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cription" sheetId="1" r:id="rId5"/>
    <sheet state="visible" name="Juma Recording forms" sheetId="2" r:id="rId6"/>
    <sheet state="visible" name="Master Tracker" sheetId="3" r:id="rId7"/>
    <sheet state="visible" name="Sermon Duration" sheetId="4" r:id="rId8"/>
    <sheet state="visible" name="Adil Final" sheetId="5" r:id="rId9"/>
    <sheet state="visible" name="Mosque Locations" sheetId="6" r:id="rId10"/>
    <sheet state="visible" name="Recording" sheetId="7" r:id="rId11"/>
    <sheet state="visible" name="Sheet6" sheetId="8" r:id="rId12"/>
    <sheet state="visible" name="mosque information" sheetId="9" r:id="rId13"/>
    <sheet state="visible" name="long term recording" sheetId="10" r:id="rId14"/>
    <sheet state="visible" name="Saif_long term recording" sheetId="11" r:id="rId15"/>
  </sheets>
  <definedNames>
    <definedName hidden="1" localSheetId="1" name="_xlnm._FilterDatabase">'Juma Recording forms'!$A$1:$BC$923</definedName>
    <definedName hidden="1" localSheetId="6" name="_xlnm._FilterDatabase">Recording!$A$1:$Y$820</definedName>
    <definedName hidden="1" localSheetId="9" name="_xlnm._FilterDatabase">'long term recording'!$A$1:$I$310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tc={17b34f98-34b4-4207-9718-51daa894b04c}</author>
    <author>tc={3cfb6005-2d49-4e61-a81e-de17ae26e4b8}</author>
    <author>tc={56f5d43a-b3ba-4f44-8b36-7bf17f1d1c52}</author>
    <author>tc={79ef1d75-fa48-43ca-997f-a67032c95fe1}</author>
    <author>tc={e21fe175-281a-4918-b7dd-4c91a6b972a6}</author>
  </authors>
  <commentList>
    <comment authorId="0" xr:uid="{17b34f98-34b4-4207-9718-51daa894b04c}" ref="A1">
      <text>
        <t xml:space="preserve">[Threaded comment]
 Your version of Excel allows you to read this threaded comment; however, any edits to it will get removed if the file is opened in a newer version of Excel. Learn more: https://go.microsoft.com/fwlink/?linkid=870924
Comment:
	@mrizwangcu8@gmail.com bhai iski replacing kider hai? 3rd Sermon
</t>
      </text>
    </comment>
    <comment authorId="1" xr:uid="{3cfb6005-2d49-4e61-a81e-de17ae26e4b8}" ref="A1">
      <text>
        <t xml:space="preserve">[Threaded comment]
 Your version of Excel allows you to read this threaded comment; however, any edits to it will get removed if the file is opened in a newer version of Excel. Learn more: https://go.microsoft.com/fwlink/?linkid=870924
Comment:
	@mrizwangcu8@gmail.com
</t>
      </text>
    </comment>
    <comment authorId="2" xr:uid="{56f5d43a-b3ba-4f44-8b36-7bf17f1d1c52}" ref="A1">
      <text>
        <t xml:space="preserve">[Threaded comment]
 Your version of Excel allows you to read this threaded comment; however, any edits to it will get removed if the file is opened in a newer version of Excel. Learn more: https://go.microsoft.com/fwlink/?linkid=870924
Comment:
	@saifimtiaz@gmail.com  bhai jb ma sermon content form 1 or 2 fill kr raha tha tb mujy is bndy ny information provide ki thi or mainy is control masjid ka sermon 1 or 2 fill kiya tha , ab setting change hogaye hai to iska form week 3 mei fill kru
</t>
      </text>
    </comment>
    <comment authorId="3" xr:uid="{79ef1d75-fa48-43ca-997f-a67032c95fe1}" ref="A1">
      <text>
        <t xml:space="preserve">[Threaded comment]
 Your version of Excel allows you to read this threaded comment; however, any edits to it will get removed if the file is opened in a newer version of Excel. Learn more: https://go.microsoft.com/fwlink/?linkid=870924
Comment:
	@saifimtiaz@gmail.com @mrizwangcu8@gmail.com
Reply:
	Bhai iskay already 3 Forms hai recording different Form mera nahi kiyal ky ek or form jaye gha
Reply:
	haaan tkh hai 3 he honey chahyea
Reply:
	Okay bhai done
</t>
      </text>
    </comment>
    <comment authorId="4" xr:uid="{e21fe175-281a-4918-b7dd-4c91a6b972a6}" ref="A1">
      <text>
        <t xml:space="preserve">[Threaded comment]
 Your version of Excel allows you to read this threaded comment; however, any edits to it will get removed if the file is opened in a newer version of Excel. Learn more: https://go.microsoft.com/fwlink/?linkid=870924
Comment:
	@saifimtiaz@gmail.com eska transcript ka form dobara mangwya hua r wo extra hai us k ma del likh deta hn baki recordings 3 e hn
Assigned to saifimtiaz@gmail.com
Reply:
	@mrizwangcu8@gmail.com  likh dain bhai del plz
Reassigned to mrizwangcu8@gmail.com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tc={025d9146-e239-4a67-8094-194ca61e8798}</author>
    <author>tc={165e5917-436d-41e0-975d-ca16bf14921f}</author>
    <author>tc={8fd4c644-8aaa-4f4b-8d9a-184d53144dce}</author>
    <author>tc={9d68fae5-b7c5-4a18-9c56-e905b95fa5bc}</author>
    <author>tc={b86143ae-2b57-4620-ad0e-9f993ece7eec}</author>
  </authors>
  <commentList>
    <comment authorId="0" xr:uid="{025d9146-e239-4a67-8094-194ca61e8798}" ref="E23">
      <text>
        <t xml:space="preserve">[Threaded comment]
 Your version of Excel allows you to read this threaded comment; however, any edits to it will get removed if the file is opened in a newer version of Excel. Learn more: https://go.microsoft.com/fwlink/?linkid=870924
Comment:
	@mrizwangcu8@gmail.com   confirm kr liya ?
Assigned to mrizwangcu8@gmail.com
</t>
      </text>
    </comment>
    <comment authorId="1" xr:uid="{165e5917-436d-41e0-975d-ca16bf14921f}" ref="G9">
      <text>
        <t xml:space="preserve">[Threaded comment]
 Your version of Excel allows you to read this threaded comment; however, any edits to it will get removed if the file is opened in a newer version of Excel. Learn more: https://go.microsoft.com/fwlink/?linkid=870924
Comment:
	@mrizwangcu8@gmail.com   ye link duplicate hai
Assigned to mrizwangcu8@gmail.com
</t>
      </text>
    </comment>
    <comment authorId="2" xr:uid="{8fd4c644-8aaa-4f4b-8d9a-184d53144dce}" ref="E44">
      <text>
        <t xml:space="preserve">[Threaded comment]
 Your version of Excel allows you to read this threaded comment; however, any edits to it will get removed if the file is opened in a newer version of Excel. Learn more: https://go.microsoft.com/fwlink/?linkid=870924
Comment:
	@mrizwangcu8@gmail.com
Assigned to mrizwangcu8@gmail.com
</t>
      </text>
    </comment>
    <comment authorId="3" xr:uid="{9d68fae5-b7c5-4a18-9c56-e905b95fa5bc}" ref="D74">
      <text>
        <t xml:space="preserve">[Threaded comment]
 Your version of Excel allows you to read this threaded comment; however, any edits to it will get removed if the file is opened in a newer version of Excel. Learn more: https://go.microsoft.com/fwlink/?linkid=870924
Comment:
	@saifimtiaz@gmail.com yh id wrong h plz bhai update krden esko
Assigned to saifimtiaz@gmail.com
Reply:
	Done @mrizwangcu8@gmail.com
Reassigned to mrizwangcu8@gmail.com
</t>
      </text>
    </comment>
    <comment authorId="4" xr:uid="{b86143ae-2b57-4620-ad0e-9f993ece7eec}" ref="D144">
      <text>
        <t xml:space="preserve">[Threaded comment]
 Your version of Excel allows you to read this threaded comment; however, any edits to it will get removed if the file is opened in a newer version of Excel. Learn more: https://go.microsoft.com/fwlink/?linkid=870924
Comment:
	@mrizwangcu8@gmail.com   recording miss hai
Assigned to mrizwangcu8@gmail.com
</t>
      </text>
    </comment>
  </commentList>
</comments>
</file>

<file path=xl/sharedStrings.xml><?xml version="1.0" encoding="utf-8"?>
<sst xmlns="http://schemas.openxmlformats.org/spreadsheetml/2006/main" count="16332" uniqueCount="5857">
  <si>
    <t>SR#</t>
  </si>
  <si>
    <t>Week #</t>
  </si>
  <si>
    <t xml:space="preserve">Delete </t>
  </si>
  <si>
    <t>was rejcted naya from mangwa lya tha updated redording ka</t>
  </si>
  <si>
    <t>del</t>
  </si>
  <si>
    <t>correct id oonhe</t>
  </si>
  <si>
    <t>correct id : cqafr</t>
  </si>
  <si>
    <t xml:space="preserve">del </t>
  </si>
  <si>
    <t>Delete</t>
  </si>
  <si>
    <t>delete</t>
  </si>
  <si>
    <t>Duplicate</t>
  </si>
  <si>
    <t xml:space="preserve">Multan zone start from here </t>
  </si>
  <si>
    <t xml:space="preserve">Voice clear nhi thi </t>
  </si>
  <si>
    <t>آپ جس مسجد کا سروے کر رہے ہیں اس کا آئی ڈی نمبر کیا ہے؟</t>
  </si>
  <si>
    <t>Timestamp</t>
  </si>
  <si>
    <t>آپ کا نام کیا ہے؟</t>
  </si>
  <si>
    <t>آپ کا فون نمبر کیا ہے؟</t>
  </si>
  <si>
    <t>آپ کس مسجد کا سروے کر رہے ہیں؟ 
-مسجد کے باہر جو مسجد کا اصل نام لکھا ہے وہ یہاں لکھیں</t>
  </si>
  <si>
    <t>مسجد میں کتنے لوگوں نے جمعہ کی نماز پڑھی؟
اندازہ لگانے کے بجائےعین نمبر لکھیں-</t>
  </si>
  <si>
    <t>پانچ منٹ کے لئے مسجد کے ارد گرد چکر لگائیں اور مسجد سے باہر صفائی کا اندازہ لیں-
٠ سے ١٠ کے پیمانے پر، جہاں ٠ کا مطلب ہے گندا، ٥ کا مطلب ہے کچھ حد تک صاف اور ١٠ کا مطلب ہے بہت صاف، مسجد کے ارد گرد علاقہ کتنا صاف ہے؟</t>
  </si>
  <si>
    <t>پانچ منٹ کے لئے مسجد کے محلے کا چکر لگائیں اور محلے کی صفائی کا اندازہ لیں-
٠ سے ١٠ کے پیمانے پر، جہاں ٠ کا مطلب ہے گندا، ٥ کا مطلب ہے کچھ حد تک صاف اور ١٠ کا مطلب ہے بہت صاف، مسجد کا محلہ کتنا صاف ہے؟</t>
  </si>
  <si>
    <t>مسجد کے قریب لیکن باہر کسی جگہ کھڑے ہو جائیں- احتیاط سے اپنے ارد گرد دیکھیں۔
آپ اپنے آس پاس کچرے کے کتنے ٹکڑے یا ڈھیر گن سکتے ہیں؟ نیچے نمبر لکھیں-</t>
  </si>
  <si>
    <t>یہ مسجد کس سال میں تعمیر ہوئی؟</t>
  </si>
  <si>
    <t>کیا اس مسجد میں خواتین کے لیے نماز پڑھنے کی جگہ یا کوئی سیکشن ہے؟</t>
  </si>
  <si>
    <t>کیا اس مسجد کے ساتھ کوئی دربار بھی وابستہ ہے؟
اگر دربار ہے تو وہ کس شخص کا دربار ہے؟ جو شخص یہاں دفن ہے اسکا پورا نام لکھیں-</t>
  </si>
  <si>
    <t>٠ سے ١٠ کے پیمانے پر، امام کے بیان کو نمازی کتنے غور سے سن رہے تھے؟</t>
  </si>
  <si>
    <t>اب ہم آپ سے امام کے بیان کے بارے میں کچھ سوال پوچھیں گے-
کیا ہم نے آپ کو امام کے بیان سے موازنہ کرنے کے لیے کوئی رسم الخط دیا ہے؟ اگر ہم نے آپ کو پڑوسیوں یا عورتوں کے حقوق کے اوپر کوئی رسم الخط نہیں دیا تو یہاں نہیں لکھیں-</t>
  </si>
  <si>
    <t xml:space="preserve">امام نے دیے ہوۓ رسم الخط کے کتنے فیصد مواد پر بات کی؟ 
اگر امام نے رسم الخط کے مواد پر بالکل بات نہیں کی تو 0% لکھیں. اگر امام نے سارے مواد پر بات کی تو 100% لکھیں-  </t>
  </si>
  <si>
    <t xml:space="preserve">
٠ سے ١٠ کے پیمانے پر، امام نے رسم الخط کی کتنی قریب سے پیروی کی؟</t>
  </si>
  <si>
    <t>٠ سے ١٠ کے پیمانے پر، امام نے دیے ہوۓ رسم الخط میں اپنی طرف سے کتنا اضافی مواد شامل کیا؟</t>
  </si>
  <si>
    <t>٠ سے ١٠ کے پیمانے پر، امام کے بیان کا مجموعی پیغام دیے ہوۓ رسم الخط کے پیغام سے کتنا ملتا جلتا تھا؟</t>
  </si>
  <si>
    <t>باہر سے مسجد کی تصویر یہاں اپلوڈ کریں-
کوشش کریں کے مسجد کا داخلہ اور پیرونی حصّہ زیادہ سے زیادہ نظر آ رہا ہو-</t>
  </si>
  <si>
    <t>اندر سے مسجد کی تصویر یہاں اپلوڈ کریں- 
کوشش کریں کے مسجد کے منبر اور اندرونی حصّہ زیادہ سے زیادہ نظر آرہے ہوں-</t>
  </si>
  <si>
    <t>امام کے پورے جمعہ کے بیان کی ریکارڈنگ یہاں اپلوڈ کریں-</t>
  </si>
  <si>
    <t>اگر آپ ہمیں اضافی معلومات فراہم کرنا چاہتے ہیں یا آپ کو کوئی پریشانی ہے تو براہ کرم اسے نیچے لکھیں۔</t>
  </si>
  <si>
    <t>Column 22</t>
  </si>
  <si>
    <t>غور سے اس رسم الخط کو پڑھیں جو ہم نے آپ کو پڑھنے کے لیے دی تھی۔ درج ذیل سوالات آپ سے اس رسم الخط کا موازنہ 
امام کے جمعہ کے بیان سے کرنے کو کہیں گے۔
کیا آپ نے یہ رسم الخط پڑھ لیا ہے؟</t>
  </si>
  <si>
    <t>Email address</t>
  </si>
  <si>
    <t xml:space="preserve">Saifullah Week </t>
  </si>
  <si>
    <t>Adil Comments</t>
  </si>
  <si>
    <t>Column 1</t>
  </si>
  <si>
    <t>این ڈی ایس این کیو</t>
  </si>
  <si>
    <t>محمد فرقان</t>
  </si>
  <si>
    <t>03017909295</t>
  </si>
  <si>
    <t>جامع مسجد سلطان احمد قتال جلالپور پیروالا</t>
  </si>
  <si>
    <t>https://drive.google.com/open?id=1V8XCJIb7728hAFJtsFTAd1rkFqkCL-pE</t>
  </si>
  <si>
    <t>کوئی نہیں</t>
  </si>
  <si>
    <t>bhattimazaan@gmail.com</t>
  </si>
  <si>
    <t>LVYEA</t>
  </si>
  <si>
    <t xml:space="preserve">Rao Aftab </t>
  </si>
  <si>
    <t>03027410445</t>
  </si>
  <si>
    <t>Jamia masjid gul din</t>
  </si>
  <si>
    <t>https://drive.google.com/file/d/12HIqKnIa7SPh8kcm8kyqaYNtxJpU_Rtk/view?usp=drive_link</t>
  </si>
  <si>
    <t>Last five minutes m loud speaker ki awaz kam hogai thi</t>
  </si>
  <si>
    <t>rao.m.aftab@gmail.com</t>
  </si>
  <si>
    <t>YOKQU</t>
  </si>
  <si>
    <t>Qurban Ali Anjum</t>
  </si>
  <si>
    <t>03009162205</t>
  </si>
  <si>
    <t>Jamia Masjid Ghalla Mandi Bahawalnagar</t>
  </si>
  <si>
    <t>https://drive.google.com/open?id=1b-qZlkWgxjdta7JgOSTlSfyC3SwZdfdo</t>
  </si>
  <si>
    <t>qurbananjum65@gmail.com</t>
  </si>
  <si>
    <t>CFHON</t>
  </si>
  <si>
    <t xml:space="preserve">Sajjad Hussain </t>
  </si>
  <si>
    <t>03013720843</t>
  </si>
  <si>
    <t xml:space="preserve">Jamia masjid ghawajagaan Multan </t>
  </si>
  <si>
    <t>https://drive.google.com/open?id=1Dq5zHiFBbfz7DSVqOC_9MV48iHjfoCya</t>
  </si>
  <si>
    <t>sajjadhussainh786@gmail.com</t>
  </si>
  <si>
    <t>FXLBT</t>
  </si>
  <si>
    <t xml:space="preserve">Mubashir Aleem </t>
  </si>
  <si>
    <t>03355555543</t>
  </si>
  <si>
    <t xml:space="preserve">Jamia masjid Gul Hassan </t>
  </si>
  <si>
    <t>https://drive.google.com/open?id=1xXoSE-wqhVuPUlokjS9lc_SzAnwNokpb</t>
  </si>
  <si>
    <t xml:space="preserve">Biyan late start howa </t>
  </si>
  <si>
    <t>maleem699@gmail.com</t>
  </si>
  <si>
    <t>HJRMQ</t>
  </si>
  <si>
    <t xml:space="preserve">Amir manzoor </t>
  </si>
  <si>
    <t>03045969137</t>
  </si>
  <si>
    <t>Masjid Neel garan</t>
  </si>
  <si>
    <t>https://drive.google.com/open?id=17sz1LOkJ7tGXA0DNsIUuYyZEAY4qenBD</t>
  </si>
  <si>
    <t>am6060648@gmail.com</t>
  </si>
  <si>
    <t xml:space="preserve">HJRMQ </t>
  </si>
  <si>
    <t xml:space="preserve">Masjid Neel garan </t>
  </si>
  <si>
    <t>https://drive.google.com/open?id=1vIgR9LHFS9wCCCljPdwpcKt4sLEsVI4M</t>
  </si>
  <si>
    <t>YBTBU</t>
  </si>
  <si>
    <t>علی اکبر</t>
  </si>
  <si>
    <t>03079438048</t>
  </si>
  <si>
    <t xml:space="preserve">مرکزی جامع مسجد چشتیاں </t>
  </si>
  <si>
    <t>https://drive.google.com/open?id=1CEfEt7DbWmERTgFULUbIriWjRs7_I-S4</t>
  </si>
  <si>
    <t>aliakbar9438048@gmail.com</t>
  </si>
  <si>
    <t>IPRWE</t>
  </si>
  <si>
    <t xml:space="preserve">Muhammad Imran </t>
  </si>
  <si>
    <t>03017561003</t>
  </si>
  <si>
    <t>Markzi jamia jalal masjid</t>
  </si>
  <si>
    <t>https://drive.google.com/open?id=1RD0G-VbOAoQ2XG06v4TX6uy7yV3tif-S</t>
  </si>
  <si>
    <t>i7561003@gmail.com</t>
  </si>
  <si>
    <t>KEZGA</t>
  </si>
  <si>
    <t xml:space="preserve">Faizullah </t>
  </si>
  <si>
    <t>03156557465</t>
  </si>
  <si>
    <t>Jamia Masjid Abdulah Shah Bukhari Chowk Qureshi Muzaffargarh</t>
  </si>
  <si>
    <t>Hin sahi likin kam hin</t>
  </si>
  <si>
    <t>https://drive.google.com/open?id=1oqEwSBpGVRzh2doPPEgFLHzxC2DPhcvp</t>
  </si>
  <si>
    <t>Imam sahi zara tawon kre to ajha hi</t>
  </si>
  <si>
    <t>geotv666666@gmail.com</t>
  </si>
  <si>
    <t>XIINW</t>
  </si>
  <si>
    <t>Suleman Javeed</t>
  </si>
  <si>
    <t>03116660178</t>
  </si>
  <si>
    <t>Qazian Wali Masjid</t>
  </si>
  <si>
    <t>https://drive.google.com/open?id=1szNGinY27z8ZASP6JwhZtlE6ytpJii2_</t>
  </si>
  <si>
    <t>لوگوں کو شعور کی ضرورت ہے۔</t>
  </si>
  <si>
    <t>sulemanjaveed741@gmail.com</t>
  </si>
  <si>
    <t>KFSQD</t>
  </si>
  <si>
    <t>Atif ali</t>
  </si>
  <si>
    <t>03290260531</t>
  </si>
  <si>
    <t>جامع مسجد اتہار کالونی</t>
  </si>
  <si>
    <t>https://drive.google.com/open?id=18r7-l-M1szLnrIrJ3QEpAsJ5d3FxYxXN</t>
  </si>
  <si>
    <t>مسجد کا ایریا اندر سے اور وضو والی جگہ بہت صاف ہے</t>
  </si>
  <si>
    <t>ali133atifjutt@gmail.com</t>
  </si>
  <si>
    <t>LRQVN</t>
  </si>
  <si>
    <t>M.Amir</t>
  </si>
  <si>
    <t>03099884405</t>
  </si>
  <si>
    <t>Jamia masjid sheakh Allah wasya machlibzar</t>
  </si>
  <si>
    <t>https://drive.google.com/open?id=1062bfFp6PXALa9DMo0meZKagxgzrj9dJ</t>
  </si>
  <si>
    <t>amirakash6830@gmail.com</t>
  </si>
  <si>
    <t>XDBPY</t>
  </si>
  <si>
    <t>Farhan Sadiq</t>
  </si>
  <si>
    <t>03025449670</t>
  </si>
  <si>
    <t>Jamia masjid Hazrat Bilal</t>
  </si>
  <si>
    <t>https://drive.google.com/open?id=11cyBapgzYrTTeCiwPdIZZJKzh89cD-oV</t>
  </si>
  <si>
    <t>farhansadiqhans786@gmail.com</t>
  </si>
  <si>
    <t>DQMJV</t>
  </si>
  <si>
    <t xml:space="preserve">M. Asad shafique </t>
  </si>
  <si>
    <t>03280905041</t>
  </si>
  <si>
    <t>Jamia masjid peer Mubarak Ali shah</t>
  </si>
  <si>
    <t>01</t>
  </si>
  <si>
    <t>https://drive.google.com/open?id=1Mj9xUFhBxLRYrw9-9FI9cxfuZDTyuW62</t>
  </si>
  <si>
    <t>asadchudhary6@gmail.com</t>
  </si>
  <si>
    <t xml:space="preserve">Shahzad Bilal </t>
  </si>
  <si>
    <t>03085398997</t>
  </si>
  <si>
    <t>Jamia Masjid perr mahal ashaq mekhma aquaf</t>
  </si>
  <si>
    <t>multaniminivelogs@gmail.com</t>
  </si>
  <si>
    <t>UXUMP</t>
  </si>
  <si>
    <t xml:space="preserve">Syed sabeeh ul Rehman bukahri </t>
  </si>
  <si>
    <t>03707446218</t>
  </si>
  <si>
    <t>Jamia Masjid Abdul wahab Shah bukhari  deera deen pnnah kot addu</t>
  </si>
  <si>
    <t>Koi nhi</t>
  </si>
  <si>
    <t>https://drive.google.com/open?id=14XhJKgcdwfsRvRSFDJSaDwlmh8eJ_XlQ</t>
  </si>
  <si>
    <t>urehman154763@gmail.com</t>
  </si>
  <si>
    <t>XXFOS</t>
  </si>
  <si>
    <t xml:space="preserve">Hamza Arif </t>
  </si>
  <si>
    <t>03072633573</t>
  </si>
  <si>
    <t>Jamia Masjid Nizamat</t>
  </si>
  <si>
    <t>https://drive.google.com/open?id=1t1QF7MsPOQijIlAgmp9ZL3jb_BlE7YQ1</t>
  </si>
  <si>
    <t>hamzadhillon18@gmail.com</t>
  </si>
  <si>
    <t>MEEPX</t>
  </si>
  <si>
    <t>Mureed abbas</t>
  </si>
  <si>
    <t>03017890996</t>
  </si>
  <si>
    <t xml:space="preserve">Jaima masjid anyat walayt Multan </t>
  </si>
  <si>
    <t>https://drive.google.com/open?id=1xBNoqqjEch-5mCp7PVxG-tgelSxE_Jvx</t>
  </si>
  <si>
    <t>mureedabbas55669@gmail.com</t>
  </si>
  <si>
    <t>YNBEH</t>
  </si>
  <si>
    <t>محمد عرفان اکرم</t>
  </si>
  <si>
    <t>03065345047</t>
  </si>
  <si>
    <t>جامع مسجد سراجاں حسین آگاہی ملتان</t>
  </si>
  <si>
    <t>https://drive.google.com/open?id=1Ghx3pxpVCivGMF7GW96vU7jo1_OBlL6U</t>
  </si>
  <si>
    <t xml:space="preserve">جی نہیں۔ </t>
  </si>
  <si>
    <t>akramif472@gmail.com</t>
  </si>
  <si>
    <t>BGZLC</t>
  </si>
  <si>
    <t xml:space="preserve">Muhammad Waqas </t>
  </si>
  <si>
    <t>03068216308</t>
  </si>
  <si>
    <t xml:space="preserve">Jamia Masjid Allah Daad Trust Jahaniya Khanewal </t>
  </si>
  <si>
    <t>https://drive.google.com/file/d/1BvB0wW9aXTBebjoGTczm_yEBh_0t0CL-/view?usp=drive_link</t>
  </si>
  <si>
    <t xml:space="preserve">Masjid ka new White wash honey ki waja sy Masjid Pora Name Nhi likha Gia tha </t>
  </si>
  <si>
    <t>wm8216308@gmail.com</t>
  </si>
  <si>
    <t>FRMFU</t>
  </si>
  <si>
    <t xml:space="preserve">Fahad Adeel </t>
  </si>
  <si>
    <t>03008396958</t>
  </si>
  <si>
    <t>jamia Masjid markazi Eid Gah khanewal</t>
  </si>
  <si>
    <t>https://drive.google.com/open?id=1uP5bHnqJQ673PhQ-o1ni7ldTiJ8je3Kd</t>
  </si>
  <si>
    <t xml:space="preserve">Nothing Special </t>
  </si>
  <si>
    <t>fahadsheikh4340@gmail.com</t>
  </si>
  <si>
    <t>OJKHV</t>
  </si>
  <si>
    <t xml:space="preserve">Kaleemullah </t>
  </si>
  <si>
    <t>03032672573</t>
  </si>
  <si>
    <t>Jamia masjid jagu wali</t>
  </si>
  <si>
    <t>https://drive.google.com/open?id=1sbHpRWDqwo3T70kXTGqNi6qcOskuqLns</t>
  </si>
  <si>
    <t>ku566650@gmail.com</t>
  </si>
  <si>
    <t>HKCEB</t>
  </si>
  <si>
    <t>Riaz Hussain</t>
  </si>
  <si>
    <t>0329-2924404</t>
  </si>
  <si>
    <t>JAMIA MASJID KUMHAR MANDI</t>
  </si>
  <si>
    <t>https://drive.google.com/open?id=1i9mjq6fHRshRZCnndVcrkoOAXoBvu1yh</t>
  </si>
  <si>
    <t>shriazhussain141@gmail.com</t>
  </si>
  <si>
    <t>UKYKE</t>
  </si>
  <si>
    <t>Muneeb Ahmad</t>
  </si>
  <si>
    <t>03036505287</t>
  </si>
  <si>
    <t>Jamia Masjid Madina Bohar Gate</t>
  </si>
  <si>
    <t>https://drive.google.com/open?id=1Q0KEZ3FuGacZ-xWYepcKvwau6O93FIDJ</t>
  </si>
  <si>
    <t>No</t>
  </si>
  <si>
    <t>kmkhan8747@gmail.com</t>
  </si>
  <si>
    <t>ZRPYU</t>
  </si>
  <si>
    <t>Muhammad Rizwan</t>
  </si>
  <si>
    <t>03020878756</t>
  </si>
  <si>
    <t xml:space="preserve">Jamia masjid jhoke veenus Multan </t>
  </si>
  <si>
    <t>https://drive.google.com/open?id=1XneVz5XtFHE6HgjhziOGooCdOIVKRd4x</t>
  </si>
  <si>
    <t>muhammadrizwankhanm276@gmail.com</t>
  </si>
  <si>
    <t>RTFEZ</t>
  </si>
  <si>
    <t>Sohaib</t>
  </si>
  <si>
    <t>03177603116</t>
  </si>
  <si>
    <t>Jamia Masjid Gaalah Mandi khanewal</t>
  </si>
  <si>
    <t>https://drive.google.com/open?id=1izC-5LejP7WTSmRZxTUBZiBFujYYCEIc</t>
  </si>
  <si>
    <t xml:space="preserve">A lot of Sounding Fan are in mosque.No proper Sound system avalable.2 box of sounds are available but non in Good condition </t>
  </si>
  <si>
    <t>NLHTW</t>
  </si>
  <si>
    <t>Sheraz Abbas</t>
  </si>
  <si>
    <t>03091519138</t>
  </si>
  <si>
    <t xml:space="preserve">مسجد سے باہر کو نام نہیں تھا، </t>
  </si>
  <si>
    <t>4 جگہ پر چھوٹی چھوٹی کندگی موجود تھی۔</t>
  </si>
  <si>
    <t>https://drive.google.com/open?id=1Q3hvK_-H5BUwHx2tfYySAcXd0SsJPjAN</t>
  </si>
  <si>
    <t>مسجد کا احاطہ بہت چھوٹا ہے، جس میں با مشکل 50 آدمی اتے ہیں اگر زیادہ آجائیں تو جگہ نہیں ہوتی اور کچھ کو دھوپ میں نماز پڑھنی پرتی ہے۔</t>
  </si>
  <si>
    <t>teamxfluxs@gmail.com</t>
  </si>
  <si>
    <t>ANROL</t>
  </si>
  <si>
    <t xml:space="preserve">Sajid Hussain </t>
  </si>
  <si>
    <t xml:space="preserve">0302-8904114 </t>
  </si>
  <si>
    <t>Jamia Masjid Balochan Vali, Khoni Burj Multan</t>
  </si>
  <si>
    <t>https://drive.google.com/open?id=1AxtL0VVX29TEnC2UQkHp2nrMeXiuC1wd</t>
  </si>
  <si>
    <t xml:space="preserve">There are two entrances of the mosque on one small entrance there use to be sitting some drug addicts they irritates imam sahib and the people who come to pray. Imam sahib has requested to help with the issue </t>
  </si>
  <si>
    <t>sajidhussain00860@gmail.com</t>
  </si>
  <si>
    <t>JBEiD</t>
  </si>
  <si>
    <t>M.usama Hanan</t>
  </si>
  <si>
    <t>03088678762</t>
  </si>
  <si>
    <t>Masjid k bahir koi nam NH likha hua tha pr masjid ka nam jamia masjid sarai ghulam Rasool h</t>
  </si>
  <si>
    <t>https://drive.google.com/file/d/1IAYLULdPYKiFw5LXi8OahxmwkrOaEbur/view?usp=drive_link, https://drive.google.com/file/d/1l0XoQSuyc008Dz_oNgTWGF18E_evqrx1/view?usp=drive_link</t>
  </si>
  <si>
    <t>NH koi NH h</t>
  </si>
  <si>
    <t>hananusama064@gmail.com</t>
  </si>
  <si>
    <t>VSRRF</t>
  </si>
  <si>
    <t xml:space="preserve">Aamir Rashid </t>
  </si>
  <si>
    <t xml:space="preserve">Jamia Masjid Darbar Mula Qaid Shah DGKhan </t>
  </si>
  <si>
    <t>https://drive.google.com/open?id=1MhSOXS9xMVJZKUPOoL44uToAaFM1A4RB</t>
  </si>
  <si>
    <t>aamirrashid007@gmail.com</t>
  </si>
  <si>
    <t>TEBUN</t>
  </si>
  <si>
    <t xml:space="preserve">Shoaib Ahmad </t>
  </si>
  <si>
    <t xml:space="preserve">Jamai Mosjid Goth Aalu Sadicabad </t>
  </si>
  <si>
    <t>https://drive.google.com/open?id=1xFVhtLoXOC3uAFfIdSVUWAMGapX_JAwE</t>
  </si>
  <si>
    <t xml:space="preserve">Jamia mosjid Goth aalu exist in sindh punjab border. A long distance from Rahim Yar khan </t>
  </si>
  <si>
    <t>threealfa89@gmail.com</t>
  </si>
  <si>
    <t xml:space="preserve">UVKDX </t>
  </si>
  <si>
    <t xml:space="preserve">Muhammad Hamid Ali </t>
  </si>
  <si>
    <t>03006923636</t>
  </si>
  <si>
    <t xml:space="preserve">جامع مسجد ملحقہ دربار حضرت بابا تاج الدین سرور سرکار رحمۃ اللّٰہ علیہ </t>
  </si>
  <si>
    <t>https://drive.google.com/open?id=1Q-5HDO_cbndN4lTHR89xMHFb9DLnzUWR</t>
  </si>
  <si>
    <t xml:space="preserve">مسجد کے چاروں اطراف قبرستان ہے </t>
  </si>
  <si>
    <t>hamidalisultani11@gmail.com</t>
  </si>
  <si>
    <t>XATDF</t>
  </si>
  <si>
    <t xml:space="preserve">AHSAN AHMAD </t>
  </si>
  <si>
    <t>03008776162</t>
  </si>
  <si>
    <t>Jamia Masjid Mustri Kamal din</t>
  </si>
  <si>
    <t>https://drive.google.com/open?id=1ZIct1WcYhE87jlo3YyRIhKkkFSaHu1Lu</t>
  </si>
  <si>
    <t>FIRST 15 MINUTE BY ASSISTANT OF MOLANA, LAST 15 MINUTE BY MOLANA MAZHAR MUKHTAR HIMSELF</t>
  </si>
  <si>
    <t>ahsanahmadrao79@gmail.com</t>
  </si>
  <si>
    <t>QQSMI</t>
  </si>
  <si>
    <t>Muhammad rehan</t>
  </si>
  <si>
    <t>03414090005</t>
  </si>
  <si>
    <t>Jammia masjid maii sab</t>
  </si>
  <si>
    <t>https://drive.google.com/open?id=1NgGffKDwBfZBYffODnUVH_hwCUoeWp8q</t>
  </si>
  <si>
    <t>rehan00000000@gmail.com</t>
  </si>
  <si>
    <t>EKXDH</t>
  </si>
  <si>
    <t>Arif Ali</t>
  </si>
  <si>
    <t>03017495940</t>
  </si>
  <si>
    <t>Jamia Masjid Ghalla Mandi</t>
  </si>
  <si>
    <t>https://drive.google.com/open?id=1vD_pDtT167ixCPI8fzxYa2ERWBIpET1O</t>
  </si>
  <si>
    <t>arifislamian@gmail.com</t>
  </si>
  <si>
    <t>ULEIT</t>
  </si>
  <si>
    <t>Muhammad Amin</t>
  </si>
  <si>
    <t>0300-7990842</t>
  </si>
  <si>
    <t>Jamia Masjid kabotar Mandi</t>
  </si>
  <si>
    <t>https://drive.google.com/open?id=1V3wp-UNHrzfwZB57fM3-PdH7Uwsqsnru</t>
  </si>
  <si>
    <t>N/A</t>
  </si>
  <si>
    <t>ameenmeo799@gmail.com</t>
  </si>
  <si>
    <t>DQKGK</t>
  </si>
  <si>
    <t xml:space="preserve">Ahsan Shahzad </t>
  </si>
  <si>
    <t>03099804129</t>
  </si>
  <si>
    <t xml:space="preserve">Chaner peer jama masjid </t>
  </si>
  <si>
    <t>https://drive.google.com/open?id=1QCg6HHy2xV7Hs7EyphyRMiJz53qtAjI-</t>
  </si>
  <si>
    <t>Nahi</t>
  </si>
  <si>
    <t>askhokhar1371@gmail.com</t>
  </si>
  <si>
    <t>Del</t>
  </si>
  <si>
    <t>DYRJS</t>
  </si>
  <si>
    <t xml:space="preserve">Muhammad Waseem </t>
  </si>
  <si>
    <t>03467041520</t>
  </si>
  <si>
    <t xml:space="preserve">Jamiya Masjid Peer Ismail wali </t>
  </si>
  <si>
    <t>https://drive.google.com/open?id=18CQ_tAVrlomKWEqxMCT4GPXtVxBLlUJB</t>
  </si>
  <si>
    <t>Koi ni hy</t>
  </si>
  <si>
    <t>wasirana1520@gmail.com</t>
  </si>
  <si>
    <t>DFNMY</t>
  </si>
  <si>
    <t>Jamia masjid Sadiq Akbar machi hatta bwp</t>
  </si>
  <si>
    <t>https://drive.google.com/open?id=13R6DvWb-LTvYDSCBYNTOgSvd3IIuGe8k</t>
  </si>
  <si>
    <t>PGVOS</t>
  </si>
  <si>
    <t xml:space="preserve">Muhammad Tahir </t>
  </si>
  <si>
    <t>03241553013</t>
  </si>
  <si>
    <t>Jamiah Masjid Khangran Wali</t>
  </si>
  <si>
    <t>https://drive.google.com/open?id=1Ff0qZSImizZY4wxjaGTKDBDB2cn7IiMp</t>
  </si>
  <si>
    <t>tahirsultanofficial@gmail.com</t>
  </si>
  <si>
    <t>VREAU</t>
  </si>
  <si>
    <t xml:space="preserve">Zafar Iqbal qamer </t>
  </si>
  <si>
    <t>03006357889</t>
  </si>
  <si>
    <t xml:space="preserve">JAMIA masjid phonagran wali </t>
  </si>
  <si>
    <t>https://drive.google.com/open?id=1rYmgd0sapKC48_nzXVcY28tOMgt1yZbY</t>
  </si>
  <si>
    <t>No pmore</t>
  </si>
  <si>
    <t>zafarq386@gmail.com</t>
  </si>
  <si>
    <t>QWLFB</t>
  </si>
  <si>
    <t xml:space="preserve">Amir malik </t>
  </si>
  <si>
    <t>03009681066</t>
  </si>
  <si>
    <t>aqsa</t>
  </si>
  <si>
    <t>https://drive.google.com/open?id=1tLiEQxG8HWowT-cLfJZ59X_kYkWVhJrq</t>
  </si>
  <si>
    <t>amirmalik2018@gmail.com</t>
  </si>
  <si>
    <t>Shahid Amin</t>
  </si>
  <si>
    <t>03016108844</t>
  </si>
  <si>
    <t>Jamia masjid madina peopal waliwpqfg</t>
  </si>
  <si>
    <t>shahidrao209@gmail.com</t>
  </si>
  <si>
    <t>WPXTS</t>
  </si>
  <si>
    <t xml:space="preserve">Masroor karim </t>
  </si>
  <si>
    <t>03051507669</t>
  </si>
  <si>
    <t xml:space="preserve">قدیمی جامعہ مسجد جنازہ گاہ نشاط روڈ لوہا مارکیٹ ملتان </t>
  </si>
  <si>
    <t>https://drive.google.com/open?id=1glf15fFUJ9lUB3oYHPJhcAIs3ZUABuUF</t>
  </si>
  <si>
    <t>masroormalik669@gmail.com</t>
  </si>
  <si>
    <t>XNHGF</t>
  </si>
  <si>
    <t xml:space="preserve">Mubashair Akhtar </t>
  </si>
  <si>
    <t>03009683779</t>
  </si>
  <si>
    <t>Al sadiq</t>
  </si>
  <si>
    <t>https://drive.google.com/open?id=1t984HtK_guWcZeKRnpb8iqKASRgbnGfk</t>
  </si>
  <si>
    <t>mubashairakhter@gmail.com</t>
  </si>
  <si>
    <t>PFFES</t>
  </si>
  <si>
    <t xml:space="preserve">JAMIA masjid kalay mandi </t>
  </si>
  <si>
    <t>https://drive.google.com/open?id=1OrMs1cxFAu2OhD9LmF1nMN7MX6rVfd5g</t>
  </si>
  <si>
    <t>ZYELN</t>
  </si>
  <si>
    <t>Shahzad</t>
  </si>
  <si>
    <t>Jamia Masjid Peer Ishaq</t>
  </si>
  <si>
    <t>https://drive.google.com/open?id=1Sgpf8xDKbapEI2wgJw6fbjB8RgUJQ7IB</t>
  </si>
  <si>
    <t>NO</t>
  </si>
  <si>
    <t>TKTXL</t>
  </si>
  <si>
    <t xml:space="preserve">Syed Ali Abbas Shamsi </t>
  </si>
  <si>
    <t>03002853902</t>
  </si>
  <si>
    <t xml:space="preserve">Jamia masjid muhkim din serani </t>
  </si>
  <si>
    <t>https://drive.google.com/open?id=1ORwtbvx5hUaHw5ltXD0a0cuDhXWSnlLK</t>
  </si>
  <si>
    <t xml:space="preserve">No problem </t>
  </si>
  <si>
    <t>alishamsi123456@gmail.com</t>
  </si>
  <si>
    <t>PBYFM</t>
  </si>
  <si>
    <t xml:space="preserve">Muhammad waseem </t>
  </si>
  <si>
    <t>03054641810</t>
  </si>
  <si>
    <t>Jamia msjid</t>
  </si>
  <si>
    <t>04</t>
  </si>
  <si>
    <t>https://drive.google.com/open?id=1MNabs416M2JSqk2PH-TswJXhEElTaAJj</t>
  </si>
  <si>
    <t>chw116668@gmail.com</t>
  </si>
  <si>
    <t>Wpqfg</t>
  </si>
  <si>
    <t>Shahid amin</t>
  </si>
  <si>
    <t>Madina masjid peopal wali</t>
  </si>
  <si>
    <t>https://drive.google.com/file/d/19luiHoMIi1iRkVl8JFA_PdQLRAl6Sz9S/view?usp=drive_link</t>
  </si>
  <si>
    <t>XALUJ</t>
  </si>
  <si>
    <t xml:space="preserve">Asim sabri </t>
  </si>
  <si>
    <t>03006481909</t>
  </si>
  <si>
    <t xml:space="preserve">Jamia masjid Mohib faqeer </t>
  </si>
  <si>
    <t>https://drive.google.com/open?id=1-bsAk3n2lUWBIbHEaZ7O7osnXp0fgd_z</t>
  </si>
  <si>
    <t xml:space="preserve">واشروم بلکل ناقص حالت </t>
  </si>
  <si>
    <t>asimsabriasimsabri198126@gmail.com</t>
  </si>
  <si>
    <t>Wpwfg</t>
  </si>
  <si>
    <t>https://drive.google.com/open?id=1ET_VSkTv4YcTLyt8XFElN2MowczT2o_B</t>
  </si>
  <si>
    <t>YEIGP</t>
  </si>
  <si>
    <t xml:space="preserve">Muhammad Shabbir </t>
  </si>
  <si>
    <t>03009543049</t>
  </si>
  <si>
    <t xml:space="preserve">Masjid Darbar  shah Rukne e alam </t>
  </si>
  <si>
    <t>https://drive.google.com/open?id=1STqfOI4emRKoiaFelzrl9vBeuiZLRlRx</t>
  </si>
  <si>
    <t>shabbirmalik017@gmail.com</t>
  </si>
  <si>
    <t>VYZQV</t>
  </si>
  <si>
    <t>Muhammad Junaid</t>
  </si>
  <si>
    <t>03422566208</t>
  </si>
  <si>
    <t>Jamia Masjid Block No. 3 DGKhan</t>
  </si>
  <si>
    <t>https://drive.google.com/open?id=1NVMtkmkhc6tSy4OFZyZl3axvssi0Ijiz</t>
  </si>
  <si>
    <t>junaidkhan4045840@gmail.com</t>
  </si>
  <si>
    <t>RAKEI</t>
  </si>
  <si>
    <t>M. Arbaz</t>
  </si>
  <si>
    <t>03011445582</t>
  </si>
  <si>
    <t>Jamia masjid Hakeem m.yar wali bwp</t>
  </si>
  <si>
    <t>https://drive.google.com/open?id=1kydPABvmdArDnBsJmq-QOgF2wJhb3gnY</t>
  </si>
  <si>
    <t>HRSOG</t>
  </si>
  <si>
    <t>Muhammad imran</t>
  </si>
  <si>
    <t>03006913636</t>
  </si>
  <si>
    <t>Jamia Masjid Khwaja Noor Mohammad Maharvi</t>
  </si>
  <si>
    <t>https://drive.google.com/open?id=1fvsYYdPXIFUBw63c0vi8q5EL3aqpfly5</t>
  </si>
  <si>
    <t>imrankhan0300692@gmail.com</t>
  </si>
  <si>
    <t>0000</t>
  </si>
  <si>
    <t>Muhammad javed</t>
  </si>
  <si>
    <t>03007354903</t>
  </si>
  <si>
    <t>Zain ull abidain</t>
  </si>
  <si>
    <t>malikjavaid250@gmail.com</t>
  </si>
  <si>
    <t>PGOLJ</t>
  </si>
  <si>
    <t xml:space="preserve">M.Ahmed </t>
  </si>
  <si>
    <t>03047615655</t>
  </si>
  <si>
    <t>Jamia masjid sheakh Syed wali Fareed gate</t>
  </si>
  <si>
    <t>https://drive.google.com/open?id=16z8Z03TJdCu4PSRPj7tpCHqCTemsYecC</t>
  </si>
  <si>
    <t>AKPFN</t>
  </si>
  <si>
    <t xml:space="preserve">Muhammad Asif Hanif </t>
  </si>
  <si>
    <t>03007196255</t>
  </si>
  <si>
    <t>Yes</t>
  </si>
  <si>
    <t>https://drive.google.com/open?id=18Ftz7IABuUeNWuhj33Wt2Qwhr8deAV0b</t>
  </si>
  <si>
    <t>hasif3590@gmail.com</t>
  </si>
  <si>
    <t>REIMC</t>
  </si>
  <si>
    <t>M.tariq</t>
  </si>
  <si>
    <t>03112643273</t>
  </si>
  <si>
    <t>Jamia masjid kocha gull Hassan shahi Bazar bwp</t>
  </si>
  <si>
    <t>https://drive.google.com/open?id=1crTXJ4c_LHTbAktyDAGNl2SaIgFOwqKO</t>
  </si>
  <si>
    <t>panwartareq@gmail.com</t>
  </si>
  <si>
    <t>Xpynm</t>
  </si>
  <si>
    <t>Sajjadch</t>
  </si>
  <si>
    <t>03005377792</t>
  </si>
  <si>
    <t>Jamia masjid badbar hazrat mianchannu</t>
  </si>
  <si>
    <t>https://drive.google.com/open?id=1Px9Ds5j67XITAeLzkzMEONOLWVpDOAat</t>
  </si>
  <si>
    <t>sajjadch9215@gmail.com</t>
  </si>
  <si>
    <t>MXMSK</t>
  </si>
  <si>
    <t>M. Ahtsam</t>
  </si>
  <si>
    <t>03004970030</t>
  </si>
  <si>
    <t>Jamia masjid darbar sakhi sultan check no 1bc</t>
  </si>
  <si>
    <t>https://drive.google.com/open?id=1m_oQjcpq592-hOSd1OFbGi32C73oxsm5</t>
  </si>
  <si>
    <t>JSPGW</t>
  </si>
  <si>
    <t xml:space="preserve">Muhammad Ibrar </t>
  </si>
  <si>
    <t>00057550824</t>
  </si>
  <si>
    <t xml:space="preserve">Jamie masjid qasba murral Multan </t>
  </si>
  <si>
    <t>https://drive.google.com/open?id=1Zq3mG0-V1G3BJcf6TxTd18GDgaIoLBaE</t>
  </si>
  <si>
    <t>rameezibrar7@gmail.com</t>
  </si>
  <si>
    <t>PXSPV</t>
  </si>
  <si>
    <t>Waseem abbas</t>
  </si>
  <si>
    <t>03313211092</t>
  </si>
  <si>
    <t>Jamia masjid Azeem ul Deen daolat gate</t>
  </si>
  <si>
    <t>https://drive.google.com/open?id=1UCx_u120klQ5wSoO3_xNchexap5-LmG0</t>
  </si>
  <si>
    <t>haiderwasem@gmail.com</t>
  </si>
  <si>
    <t>OQJMO</t>
  </si>
  <si>
    <t xml:space="preserve">Muhammad Waseem abbas </t>
  </si>
  <si>
    <t>Jamia masjid bah ul Deen zakriya Multan OQ</t>
  </si>
  <si>
    <t>https://drive.google.com/open?id=1uKk1T1Di9Y4uNozOHRTcZR3E6tteFd7y</t>
  </si>
  <si>
    <t>DODAV</t>
  </si>
  <si>
    <t xml:space="preserve">Muhammad Sajid </t>
  </si>
  <si>
    <t>03009817016</t>
  </si>
  <si>
    <t>Nawab Muhammad Ali khan wali masjid</t>
  </si>
  <si>
    <t>https://drive.google.com/open?id=1IAC0em-qxuam4fMn-ohWTuJP_a575R8W</t>
  </si>
  <si>
    <t>sajidshahzad88@gmail.com</t>
  </si>
  <si>
    <t>JYDRI</t>
  </si>
  <si>
    <t>Abdul Jabbar</t>
  </si>
  <si>
    <t>03366688476</t>
  </si>
  <si>
    <t>Jamia Masjid Haroon Abad</t>
  </si>
  <si>
    <t>https://drive.google.com/open?id=1RRuYRigdEBQ1eAosRzEFFYAigVO57g57</t>
  </si>
  <si>
    <t>muhammadjabbar647@gmail.com</t>
  </si>
  <si>
    <t xml:space="preserve">APTDT </t>
  </si>
  <si>
    <t xml:space="preserve">Syed Ali Hamza </t>
  </si>
  <si>
    <t>03261635877</t>
  </si>
  <si>
    <t xml:space="preserve">Jamia Masjid Darbar Ali Rajan Shah Layyah </t>
  </si>
  <si>
    <t xml:space="preserve">Nothing </t>
  </si>
  <si>
    <t>https://drive.google.com/open?id=1LFUyp5YRCivmeIbZF-CGoDhgozt6jQbZ</t>
  </si>
  <si>
    <t>alyhamza102@gmail.com</t>
  </si>
  <si>
    <t>LYOIX</t>
  </si>
  <si>
    <t xml:space="preserve">Syed Ali Ahmad Bukhari </t>
  </si>
  <si>
    <t>03086245045</t>
  </si>
  <si>
    <t>Jamia Masjid darbar laal Ehsan</t>
  </si>
  <si>
    <t>Approximately 300</t>
  </si>
  <si>
    <t>https://drive.google.com/open?id=1Xj9KzNMsM6WcIG8-GeA1LU1u2JTTf_Bq</t>
  </si>
  <si>
    <t>syedaliahmad720@gmail.com</t>
  </si>
  <si>
    <t>TJBAX</t>
  </si>
  <si>
    <t>Ahmad Ijaz</t>
  </si>
  <si>
    <t>03141638792</t>
  </si>
  <si>
    <t>Jamia Masjid darbar saki shah habib layyah</t>
  </si>
  <si>
    <t>https://drive.google.com/open?id=1cyYbvIqTd7YW_yIoikX3lc-cGcEhy6gc</t>
  </si>
  <si>
    <t>qhmadikhan@gmail.com</t>
  </si>
  <si>
    <t xml:space="preserve">CQXOG </t>
  </si>
  <si>
    <t xml:space="preserve">Liaqat Hussain </t>
  </si>
  <si>
    <t>03026546166</t>
  </si>
  <si>
    <t xml:space="preserve">Jamia masjid haqania makhdoom Rashid </t>
  </si>
  <si>
    <t>00</t>
  </si>
  <si>
    <t>liaqathussain6166@gmail.com</t>
  </si>
  <si>
    <t>GYDMP</t>
  </si>
  <si>
    <t xml:space="preserve">Bashir Hussain </t>
  </si>
  <si>
    <t>03028762175</t>
  </si>
  <si>
    <t>Jame Masjid Anaeytia Darbar Hazrat Anayet Shah Bukhari</t>
  </si>
  <si>
    <t>https://drive.google.com/open?id=17gZfKbLqYE9ffLFRluzuZqT6gkFX34NH</t>
  </si>
  <si>
    <t>bashir.dhatt@gmail.com</t>
  </si>
  <si>
    <t>ITYEP</t>
  </si>
  <si>
    <t>Mazhar Abbas</t>
  </si>
  <si>
    <t>03076762856</t>
  </si>
  <si>
    <t>Jamia Masjid Shamsher Shah Safri</t>
  </si>
  <si>
    <t>https://drive.google.com/open?id=1d5qFesyD16VT7VtEEMNNkQ2ayNMHZ8AM</t>
  </si>
  <si>
    <t>mazhardhatt@gmail.com</t>
  </si>
  <si>
    <t>KCAXS</t>
  </si>
  <si>
    <t xml:space="preserve">Abdul Razzaq </t>
  </si>
  <si>
    <t>034177855669</t>
  </si>
  <si>
    <t xml:space="preserve">Jamia Masjid Darbar Shah Sadar Din, DGKhan </t>
  </si>
  <si>
    <t>https://drive.google.com/open?id=1HwL2OmZWCguGaKbq72IfEpnUO2_TqVre</t>
  </si>
  <si>
    <t>https://drive.google.com/open?id=1urPYdlyPHO4se1j-cDqKGUTnl_AHm8Dz</t>
  </si>
  <si>
    <t>JHGHZJ</t>
  </si>
  <si>
    <t>Dilawar Hussain</t>
  </si>
  <si>
    <t>03346055136</t>
  </si>
  <si>
    <t xml:space="preserve">Darbar Hazrat Sakhi Sarwar </t>
  </si>
  <si>
    <t>https://drive.google.com/open?id=1TsbsfidT6OITF_T7U8hH5XiAyr032asb</t>
  </si>
  <si>
    <t xml:space="preserve">Aor Kuch nhai </t>
  </si>
  <si>
    <t>meerdilawarhussainkhan@gmail.com</t>
  </si>
  <si>
    <t>XPPXX</t>
  </si>
  <si>
    <t>M. Sarfraz</t>
  </si>
  <si>
    <t>03067387448</t>
  </si>
  <si>
    <t>Jamia masjid darbar khuja khudabaksh kherpurXPP</t>
  </si>
  <si>
    <t>https://drive.google.com/open?id=1aiypwYkruZ2IGeQvC3YmHOdG8vdDsQGO</t>
  </si>
  <si>
    <t>VBDPL</t>
  </si>
  <si>
    <t>Imran Ali Khan</t>
  </si>
  <si>
    <t>03056885716</t>
  </si>
  <si>
    <t>Haji Raheem baksh Mutwali.  Masjid Gull wali</t>
  </si>
  <si>
    <t>https://drive.google.com/open?id=1s4klhgylLVGIXanr9csSxuSeKz4vZLJX</t>
  </si>
  <si>
    <t>No Comments</t>
  </si>
  <si>
    <t>imranhaffari101@gmail.com</t>
  </si>
  <si>
    <t>RJSSU</t>
  </si>
  <si>
    <t>Nazir Ahmed</t>
  </si>
  <si>
    <t>03083233466</t>
  </si>
  <si>
    <t>Jamia Masjid Baba Sahib</t>
  </si>
  <si>
    <t>https://drive.google.com/open?id=1Q5GMCVckTkUPmFClgwFbhIBJQoGCbaVW</t>
  </si>
  <si>
    <t>nazeer1k73@gmail.com</t>
  </si>
  <si>
    <t>NJKNI</t>
  </si>
  <si>
    <t>Muhammad Abdullah</t>
  </si>
  <si>
    <t>03457182181</t>
  </si>
  <si>
    <t>Jamia Masjid Shahe Dera Nawab Shahab</t>
  </si>
  <si>
    <t>https://drive.google.com/open?id=1jEDp7YIuHTZZuA1q-0YSMZWyrWvoCueP</t>
  </si>
  <si>
    <t>malikabdullah181@gmail.com</t>
  </si>
  <si>
    <t>COCLQ</t>
  </si>
  <si>
    <t>Muhammad Amir</t>
  </si>
  <si>
    <t>03027642630</t>
  </si>
  <si>
    <t>Jamia Masjid Ahl e Hadees Tahlianwali</t>
  </si>
  <si>
    <t>https://drive.google.com/open?id=1rJjofqH45xdiGTB6wD53Oq5woYPIDr1Q</t>
  </si>
  <si>
    <t>JOFFE</t>
  </si>
  <si>
    <t>Muhammad Talha</t>
  </si>
  <si>
    <t>03092840539</t>
  </si>
  <si>
    <t>Jamia Masjid Hazrat Mehboob Subhani</t>
  </si>
  <si>
    <t>https://drive.google.com/open?id=1wbFzvR-RwS21xXZKHmUvwa0zlkdSQrYx</t>
  </si>
  <si>
    <t>VEWIG</t>
  </si>
  <si>
    <t>Muhammad Rafiq</t>
  </si>
  <si>
    <t>03055434673</t>
  </si>
  <si>
    <t>Jamia Masjid Sadiq Akbar High School Ahumdpur</t>
  </si>
  <si>
    <t>https://drive.google.com/open?id=1hA7OYF61k_VP3sgqTErw63JZ-nBeNswF</t>
  </si>
  <si>
    <t>PNYZS</t>
  </si>
  <si>
    <t>Muhammad Ishfaq</t>
  </si>
  <si>
    <t>03008685179</t>
  </si>
  <si>
    <t>Jamia Masjid Syed Jalal Ud Din</t>
  </si>
  <si>
    <t>https://drive.google.com/open?id=1pzVqEwBQU7_1OiaXVp4YfxepkrjsrTIP</t>
  </si>
  <si>
    <t>PZTQO</t>
  </si>
  <si>
    <t>Muhammad Moeen</t>
  </si>
  <si>
    <t>03018718247</t>
  </si>
  <si>
    <t>Jamia Masjid Darbar Fazal Ul Din Laadala Och Shareef</t>
  </si>
  <si>
    <t>Masjid under construction</t>
  </si>
  <si>
    <t>https://drive.google.com/open?id=1wsofiMoeHdXEkQIxF5if28lNGMyUz1_k</t>
  </si>
  <si>
    <t>Jamia masjid chaner peer</t>
  </si>
  <si>
    <t>https://drive.google.com/open?id=1jIf6y1DDZ-hFwQES3ywMdwVrGs8Ma5Fp</t>
  </si>
  <si>
    <t>CTOPI</t>
  </si>
  <si>
    <t>Zain ull abidin0</t>
  </si>
  <si>
    <t>https://drive.google.com/open?id=1il8VlVf4u1DsmGYlZlmhD3Bqg8NFu3ak</t>
  </si>
  <si>
    <t>NDSNQ</t>
  </si>
  <si>
    <t>جامع مسجد پیر قتال جلالپور پیروالا</t>
  </si>
  <si>
    <t>https://drive.google.com/open?id=1oGse1tGak-NV3d5mldph77u_idJW6cwb</t>
  </si>
  <si>
    <t xml:space="preserve">OTCCU </t>
  </si>
  <si>
    <t>M shoaib</t>
  </si>
  <si>
    <t>03002525196</t>
  </si>
  <si>
    <t>Jamia masjid</t>
  </si>
  <si>
    <t>https://drive.google.com/file/d/13qbPD7kcrcaHVyG6dnNz0uVMCAWKeaKs/view?usp=drive_link</t>
  </si>
  <si>
    <t>Nil</t>
  </si>
  <si>
    <t>QKGIH</t>
  </si>
  <si>
    <t xml:space="preserve">ہزار خان </t>
  </si>
  <si>
    <t>03201708927</t>
  </si>
  <si>
    <t xml:space="preserve">مسجد مدینہ/جامع مسجد قصاباں والی ملتان </t>
  </si>
  <si>
    <t>https://drive.google.com/file/d/12w6COgvH8XPtfEQi8HA7ULk0xY_3jySv/view?usp=drive_link</t>
  </si>
  <si>
    <t xml:space="preserve">نہیں کوئی پریشانی نہیں ہے آئیندہ مسجد کی لوکیشن ضرور بتایا جائے </t>
  </si>
  <si>
    <t>hazarkhan8657@gmail.com</t>
  </si>
  <si>
    <t xml:space="preserve">LHGFS </t>
  </si>
  <si>
    <t xml:space="preserve">Sheraz Ali Faraz </t>
  </si>
  <si>
    <t>03037724188</t>
  </si>
  <si>
    <t xml:space="preserve">Jamiah Masjid Gosha Nasheen Multan </t>
  </si>
  <si>
    <t>https://drive.google.com/file/d/1nbFjwKF5k4SRpaAeuSRuvP-6lk-DG9Qd/view?usp=drive_link</t>
  </si>
  <si>
    <t xml:space="preserve">Nhi koi pershani nhi. All working doing is well </t>
  </si>
  <si>
    <t>sherazalifraz7788@gmail.com</t>
  </si>
  <si>
    <t>DPAXP</t>
  </si>
  <si>
    <t>Waseem Abbas</t>
  </si>
  <si>
    <t>03348396958</t>
  </si>
  <si>
    <t>Jamia Masjid Habib ullah shah bagdadi</t>
  </si>
  <si>
    <t>https://drive.google.com/file/d/1j87QbV6c93ORg0urepXgfiZzZSq01cvo/view?usp=drive_link</t>
  </si>
  <si>
    <t>Nothing</t>
  </si>
  <si>
    <t>JHZJG</t>
  </si>
  <si>
    <t xml:space="preserve">Dilawar Hussain </t>
  </si>
  <si>
    <t>03347055136</t>
  </si>
  <si>
    <t xml:space="preserve">Jamia Masjid Darbar Hazrad Ahmad Sultan Sakhi Sarwar </t>
  </si>
  <si>
    <t>https://drive.google.com/file/d/1UckujZRj_ijxnFtAIPm1Wu1-Z3hd7QkL/view?usp=drive_link</t>
  </si>
  <si>
    <t>RTHFH</t>
  </si>
  <si>
    <t>Shehzad Akhter</t>
  </si>
  <si>
    <t>03099804119</t>
  </si>
  <si>
    <t>Jamia Masjid Bostan Aziz</t>
  </si>
  <si>
    <t>https://drive.google.com/open?id=1yByVKJ8ZjuBJ1_j2xfnrq8l530j503-M</t>
  </si>
  <si>
    <t>abdulquddous027@gmail.com</t>
  </si>
  <si>
    <t>LIRQW</t>
  </si>
  <si>
    <t>Faiq</t>
  </si>
  <si>
    <t>0370-3867605</t>
  </si>
  <si>
    <t>Jamia Masjid Kareem Khan Ahle Hadees Multan</t>
  </si>
  <si>
    <t>https://drive.google.com/open?id=16AA7fvX-DSLgZl2oyEXRj-AprcvRvtNk</t>
  </si>
  <si>
    <t>saifimtiaz@gmail.com</t>
  </si>
  <si>
    <t>VNNPW</t>
  </si>
  <si>
    <t>Sabar</t>
  </si>
  <si>
    <t>Jamia Masjid Muhdum Jahaniya Oh Shareef</t>
  </si>
  <si>
    <t xml:space="preserve">Recording nhe hai = saifullah </t>
  </si>
  <si>
    <t>he has done video recording = saifullah</t>
  </si>
  <si>
    <t>Jamia masjid sheakh Allah wasya machli Bazar bahawlpur</t>
  </si>
  <si>
    <t>https://drive.google.com/open?id=1Oaloj8PDBSBrXEXtjx39G4peAXvSlQgM</t>
  </si>
  <si>
    <t>Muhammad Furqan</t>
  </si>
  <si>
    <t>Jamea masjid darbar sultan ahmad qataal jalalpur pirwala</t>
  </si>
  <si>
    <t>https://drive.google.com/file/d/1dsbVN0AsTTOB1vDZ19VEZiTaw0msS0ut/view?usp=drive_link</t>
  </si>
  <si>
    <t>mfurqanbhatti58@gmail.com</t>
  </si>
  <si>
    <t xml:space="preserve">Jamia masjid Sadiq Akbar machi hatta </t>
  </si>
  <si>
    <t>https://drive.google.com/open?id=1FKnqxjgtv0HxEMRZ9maDZz77tQRuVAoP</t>
  </si>
  <si>
    <t>SQNOT</t>
  </si>
  <si>
    <t>Shahzad Bilal</t>
  </si>
  <si>
    <t>Jamia masjid Lal</t>
  </si>
  <si>
    <t>https://drive.google.com/open?id=1yx1c4wIRewAKcggOeCALUUM2jVuFZhuo</t>
  </si>
  <si>
    <t>Qurban ali anjum</t>
  </si>
  <si>
    <t>Jamia Masjid Ghala Mandi Bahawalnagar</t>
  </si>
  <si>
    <t>https://drive.google.com/open?id=11pDKrEKlMDxziZ4orQ5QZ7D2YnE0qun_</t>
  </si>
  <si>
    <t xml:space="preserve">Jamia masjid sheik Syed wali Fareed gate </t>
  </si>
  <si>
    <t>https://drive.google.com/open?id=1OQvb7Xa9CnYEA_TJo-zgs7_x2UuoTxlS</t>
  </si>
  <si>
    <t>https://drive.google.com/open?id=1QlIX3s8jifcDW6p4L7gBLu39-XIzTqIt</t>
  </si>
  <si>
    <t>rehan000000009@gmail.com</t>
  </si>
  <si>
    <t xml:space="preserve">RTHFH </t>
  </si>
  <si>
    <t>Jamia Masjid Bostan Aziz Bahawalpur</t>
  </si>
  <si>
    <t>https://drive.google.com/open?id=1BGgoR5kTDOU_BUC3_FuSYDT9pUPify4g</t>
  </si>
  <si>
    <t xml:space="preserve">جامع مسجد ملحقہ دربار حضرت بابا تاج الدین سرور سرکار شھید رحمۃ اللّٰہ علیہ </t>
  </si>
  <si>
    <t>https://drive.google.com/open?id=1rXmDEPREbD9E5sJh176fZA1PdYvctyWA</t>
  </si>
  <si>
    <t>Rao aftab</t>
  </si>
  <si>
    <t>https://drive.google.com/file/d/1Po29ThJkf5X4x-sIKKtQm75_fDIFKyUm/view?usp=drive_link</t>
  </si>
  <si>
    <t>WGVNS</t>
  </si>
  <si>
    <t>Jamia Masjid musa pak shaheed</t>
  </si>
  <si>
    <t>https://drive.google.com/open?id=1m6r7-DfluG2sPOB-8vBjKKan_mLp45XX</t>
  </si>
  <si>
    <t xml:space="preserve">Jamia masjid gul wali </t>
  </si>
  <si>
    <t>https://drive.google.com/open?id=13nscczjEh3RsYhALf5CY4i5-YbRthF9t</t>
  </si>
  <si>
    <t xml:space="preserve">None </t>
  </si>
  <si>
    <t>chahmad0262@gmail.com</t>
  </si>
  <si>
    <t>Hamza Arif</t>
  </si>
  <si>
    <t>Jamia masjid Nizamat RYK</t>
  </si>
  <si>
    <t>https://drive.google.com/open?id=1tnH_Wh92IUrdClWxqh9isYYl3CYJv6ua</t>
  </si>
  <si>
    <t xml:space="preserve">Jamia masjid Azeem ul Deen daolat gate </t>
  </si>
  <si>
    <t>https://drive.google.com/open?id=1u5hQMY7Gfkk22UdgfiarPq1gKTgw7LAB</t>
  </si>
  <si>
    <t>https://drive.google.com/open?id=1lGJmeQfJhWJZGAlu-yGw8B7Xc7y1xNpa</t>
  </si>
  <si>
    <t>M imran</t>
  </si>
  <si>
    <t>Jamia masjid Kareem khan</t>
  </si>
  <si>
    <t>https://drive.google.com/open?id=1ycGVqwwmojsx4OIXqMn8Pbwr8MqutQDb</t>
  </si>
  <si>
    <t xml:space="preserve">Not inform qari sb about khutba today
Inform naib qari Hussain </t>
  </si>
  <si>
    <t xml:space="preserve">Jamia Masjid Goth Aalu Sadicabad </t>
  </si>
  <si>
    <t>https://drive.google.com/open?id=19JQUDrbSGyqikN9uzHI9n8oLKAwLC4A_</t>
  </si>
  <si>
    <t>Is Area mai Internet ka issue hai. Isi liye Data behjne ke liye main road pe jana parta hai</t>
  </si>
  <si>
    <t xml:space="preserve">DYRJS </t>
  </si>
  <si>
    <t>https://drive.google.com/open?id=1rEN9OlRlAHpBerNvADTC5Vdq6QWfGvZo</t>
  </si>
  <si>
    <t>M. Tariq</t>
  </si>
  <si>
    <t>https://drive.google.com/open?id=1MrjFtVcfLZ3JoajGU3Etyj459lE7KTmx</t>
  </si>
  <si>
    <t>JBEID</t>
  </si>
  <si>
    <t>Jamia Masjid sarai ghulam rasool</t>
  </si>
  <si>
    <t>https://drive.google.com/file/d/1FV_RVeUvO2ymlmKFEUEU6MF4piuM3MOd/view?usp=drive_link</t>
  </si>
  <si>
    <t>وہاں نام نہہں لکھا گیا</t>
  </si>
  <si>
    <t>کچرا کا ڈھیر تو نہں تھا لیکن، تھوڑی تھوڑی گندگی تھی</t>
  </si>
  <si>
    <t>https://drive.google.com/open?id=1wH-mO-NKLsewVWTCohIwBAjPiSSL7Oem</t>
  </si>
  <si>
    <t>سپیکر کی کمی، ایک سپیکر ہے۔ جو کلیر اواز نہہں دیتا</t>
  </si>
  <si>
    <t>sakhan122004@gmail.com</t>
  </si>
  <si>
    <t xml:space="preserve">XIINW </t>
  </si>
  <si>
    <t>سلیمان جاوید</t>
  </si>
  <si>
    <t>03097851782</t>
  </si>
  <si>
    <t>قاضیاں والی مسجد</t>
  </si>
  <si>
    <t>https://drive.google.com/open?id=1knmWj3_vqpqEYE4LGLdpMJ_KvfQkbGJ-</t>
  </si>
  <si>
    <t xml:space="preserve">مسجد کے باہر صفائی کی ضرورت ہے </t>
  </si>
  <si>
    <t>rhlwr</t>
  </si>
  <si>
    <t xml:space="preserve">Muhammad Haris </t>
  </si>
  <si>
    <t>03204565224</t>
  </si>
  <si>
    <t xml:space="preserve">Jamia Masjid Shah Shamas Qadri Lahore </t>
  </si>
  <si>
    <t>https://drive.google.com/open?id=1FTokLh63CMcpmK4WsTW0_WvMXBODsiM_</t>
  </si>
  <si>
    <t>Imam ny apnay khutbay ky akhari hissay mei paroosiyoo ky haqooq ka zikker Kiya hai.</t>
  </si>
  <si>
    <t>mianharisamjad284@gmail.com</t>
  </si>
  <si>
    <t xml:space="preserve">RIAZ HUSSAIN </t>
  </si>
  <si>
    <t>03292924404</t>
  </si>
  <si>
    <t>Jamia Masjid Kumhar Mandi</t>
  </si>
  <si>
    <t>https://drive.google.com/open?id=13Uq7OYaCK_xN9bbWSDInkLkP6MemgziU</t>
  </si>
  <si>
    <t>https://drive.google.com/open?id=1Xbzmdsq3YYMRukQoYi9IyLEK07kK23lF</t>
  </si>
  <si>
    <t>kmkhan@gmail.com</t>
  </si>
  <si>
    <t>Jamia Masjid Kabotar Mandi Multan</t>
  </si>
  <si>
    <t>https://drive.google.com/open?id=1Hl5Ko2hq_zOjmcL2Ly_ISctdUaeAK13h</t>
  </si>
  <si>
    <t>Jame Masjid Anayetia Darbar Hazrat  Anaeyt Shah Bukhari</t>
  </si>
  <si>
    <t>https://drive.google.com/open?id=16aZUip6NRiOKVNZHuAWubZIgvlGQNxlG</t>
  </si>
  <si>
    <t>USEPK</t>
  </si>
  <si>
    <t xml:space="preserve">Muhammad shehzad </t>
  </si>
  <si>
    <t>03058974589</t>
  </si>
  <si>
    <t xml:space="preserve">مرکزی جامع مسجد داؤد جہانیاں </t>
  </si>
  <si>
    <t>https://drive.google.com/open?id=1do3-905idrdhmiXL9rGwNVXzhsY_qFuQ</t>
  </si>
  <si>
    <t xml:space="preserve">Good </t>
  </si>
  <si>
    <t>malikshehzadshehzad747@gmail.com</t>
  </si>
  <si>
    <t>https://drive.google.com/open?id=1DWT7E2f0B4cxejwO2t48p5CIDtNyOO1L</t>
  </si>
  <si>
    <t>NHXTI</t>
  </si>
  <si>
    <t xml:space="preserve">Muhammad Tanveer </t>
  </si>
  <si>
    <t>03077881232</t>
  </si>
  <si>
    <t xml:space="preserve">Jamia Masjid main bazar Hasilpure </t>
  </si>
  <si>
    <t>https://drive.google.com/open?id=1NhZSTXuRq46Bx3LqzbhZSc1FPwJqyjbN</t>
  </si>
  <si>
    <t>tanveertni3537@gmail.com</t>
  </si>
  <si>
    <t xml:space="preserve">Ahsan Ahmad </t>
  </si>
  <si>
    <t xml:space="preserve">Masjid Mistari Kamal din khan pur district rahim yar khan </t>
  </si>
  <si>
    <t>https://drive.google.com/open?id=12ZSx-7ZCiEvcnZyDqURKNeDwAP_XQIx4</t>
  </si>
  <si>
    <t>0315 6557465</t>
  </si>
  <si>
    <t>Jamia Masjid Abdulah Shah Bukhari Muzaffargarh</t>
  </si>
  <si>
    <t>https://drive.google.com/open?id=1xAKKTHKNv99Gv8uNmN-8KK6F7xbwnG2R</t>
  </si>
  <si>
    <t xml:space="preserve">As time sahi rha good </t>
  </si>
  <si>
    <t xml:space="preserve">Muhammad Rizwan </t>
  </si>
  <si>
    <t>Jamia masjid madni jhoke veenus</t>
  </si>
  <si>
    <t>https://drive.google.com/open?id=1nL0xIFws3x0g_UIWyKe_p3ibHZehc_LK</t>
  </si>
  <si>
    <t>SJQHK</t>
  </si>
  <si>
    <t>03196224302</t>
  </si>
  <si>
    <t xml:space="preserve">Jamia Masjid Rangila Sha darbar Hasilpure </t>
  </si>
  <si>
    <t>https://drive.google.com/open?id=1acH0lSOcwK58Q1LWxcNhIXX-7FO3Qd8Z</t>
  </si>
  <si>
    <t>Jamia masjid balochan wali khoni burj multan.</t>
  </si>
  <si>
    <t>https://drive.google.com/open?id=1-KwGMgrf4ybvfsoHHtOu87_3gxAeA3JE</t>
  </si>
  <si>
    <t xml:space="preserve"> RTFEZ</t>
  </si>
  <si>
    <t xml:space="preserve">Jamia Masjid Gaalah Mandi Khanewal </t>
  </si>
  <si>
    <t>https://drive.google.com/open?id=1a4OHAhulWq-7CbR1K6e5r7gXlnddRFLS</t>
  </si>
  <si>
    <t xml:space="preserve"> XPYNM</t>
  </si>
  <si>
    <t>+92 300 5377792</t>
  </si>
  <si>
    <t xml:space="preserve">Jamia Masjid Darbar Hazrat Mian Channu </t>
  </si>
  <si>
    <t>https://drive.google.com/open?id=1VYZI9PJVaAfY8bj_Q0vyBhZFSEOFrxpc</t>
  </si>
  <si>
    <t xml:space="preserve">Masjid haqania Makhdoom Rashid </t>
  </si>
  <si>
    <t>https://drive.google.com/open?id=1UdccjkbqY5TBESJWTuEOI8OrWGmBr9mg</t>
  </si>
  <si>
    <t>EPJYX</t>
  </si>
  <si>
    <t>Waseem</t>
  </si>
  <si>
    <t>Jamia Masjid Railway coloney Khanewal</t>
  </si>
  <si>
    <t>https://drive.google.com/open?id=1Rt6hFElO5YcW-py3UzW1s5nd-1VeoWrF</t>
  </si>
  <si>
    <t>we Need a Moazan For Azan.</t>
  </si>
  <si>
    <t>Fahadsheikh4340@gmail.com</t>
  </si>
  <si>
    <t>junaid</t>
  </si>
  <si>
    <t xml:space="preserve">Jamia Masjid Block No. 3, DGKHAN </t>
  </si>
  <si>
    <t>https://drive.google.com/open?id=1Nm2q6gkGqPkkou3_KH9YVP0UUqbDck9T</t>
  </si>
  <si>
    <t xml:space="preserve">Darbar Sahki Shah Habib Layyah </t>
  </si>
  <si>
    <t>https://drive.google.com/open?id=1wwntaRktUlPuANI2j2JOWTdyeOqboeCX</t>
  </si>
  <si>
    <t>VQUBM</t>
  </si>
  <si>
    <t xml:space="preserve">Qadeemi Jamia Masjid Darkhana Wali </t>
  </si>
  <si>
    <t>https://drive.google.com/open?id=1jy7Veuai2R5HdztGFBjj4V1ixFoxGh5b</t>
  </si>
  <si>
    <t>RNKSI</t>
  </si>
  <si>
    <t>جامع مسجد ملا عبدالغفور والی، ملتان</t>
  </si>
  <si>
    <t xml:space="preserve">ایک۔ </t>
  </si>
  <si>
    <t>https://drive.google.com/open?id=1DVCVrOPkCdEVAysfAI1ncuEG74e0NV1c</t>
  </si>
  <si>
    <t xml:space="preserve">کوئی نہیں۔ </t>
  </si>
  <si>
    <t>https://drive.google.com/open?id=10GOUazO8tGitVpnzP9jM1U6peRzuvOwi</t>
  </si>
  <si>
    <t xml:space="preserve">Dabar e Allia Shah Rukne Alam </t>
  </si>
  <si>
    <t>https://drive.google.com/open?id=1qc0R40f2JKwB-mpWh4iocbEyXjx4ddI5</t>
  </si>
  <si>
    <t>Adeel</t>
  </si>
  <si>
    <t>Jamia masjid markazi Eid gah Khanewal</t>
  </si>
  <si>
    <t>https://drive.google.com/open?id=1QAfLTXF0KU5jDpyeh62qiFwU9yoYD4zF</t>
  </si>
  <si>
    <t>First 27 Mints voice is valid .After 27 Mints  please ignore .because there is no way to collect mobile From speakers stand</t>
  </si>
  <si>
    <t>M Ibrar</t>
  </si>
  <si>
    <t>03057550824</t>
  </si>
  <si>
    <t xml:space="preserve">Jamie Masjid qasba murral Multan </t>
  </si>
  <si>
    <t>https://drive.google.com/open?id=1CgQmpggBUFn05d7h84ZIvaEsf-E6VBIb</t>
  </si>
  <si>
    <t>03277204597</t>
  </si>
  <si>
    <t>Jamia Masjid Anayat Walayat Multan</t>
  </si>
  <si>
    <t>https://drive.google.com/open?id=1EW3D1hQPuzI7WsL-9NmKzIQbNaEWh7gr</t>
  </si>
  <si>
    <t>rizomrizwan508@gmail.com</t>
  </si>
  <si>
    <t>Abdul jabbar</t>
  </si>
  <si>
    <t>Jamia Masjid Haroonabad</t>
  </si>
  <si>
    <t>https://drive.google.com/open?id=1ntzhbyJ7wpu_vDB_WmZYfYhYINvf4h4K</t>
  </si>
  <si>
    <t xml:space="preserve">Jamia Masjid musa pak shaheed </t>
  </si>
  <si>
    <t>https://drive.google.com/open?id=155nhn_vvLjNQSGCKa8EeCetO4Cg6CZQ7</t>
  </si>
  <si>
    <t>Jamia Masjid minya Nawali Minchanabad</t>
  </si>
  <si>
    <t>https://drive.google.com/open?id=15tIUKTQiLoCli4kTe3SMVpCzzz5oU0b8</t>
  </si>
  <si>
    <t xml:space="preserve">ITYEP </t>
  </si>
  <si>
    <t xml:space="preserve">Mazhar Abbas </t>
  </si>
  <si>
    <t xml:space="preserve">Jamia Masjid Shamsher Shah Safri </t>
  </si>
  <si>
    <t>https://drive.google.com/open?id=15F7oQ_MP7wpO6rFb7HlNbHO_I7R0BfdS</t>
  </si>
  <si>
    <t xml:space="preserve">CFHON </t>
  </si>
  <si>
    <t>https://drive.google.com/open?id=1tsTFG873Y9i8lTX04KoKLbwJ3dvNjGwn</t>
  </si>
  <si>
    <t xml:space="preserve">Jamia masjid phongran wali chowk Bazar multan </t>
  </si>
  <si>
    <t>https://drive.google.com/open?id=16mwG-Hh5V5nUdRQyyqnuS_d-b1Qm9y7d</t>
  </si>
  <si>
    <t xml:space="preserve">Jamia masjid kale mandi multan </t>
  </si>
  <si>
    <t>Koi nahe</t>
  </si>
  <si>
    <t>https://drive.google.com/open?id=19aNYk3ZoPRDlcd-lYv5mb6SqwTNFdRZm</t>
  </si>
  <si>
    <t>Bahaudinzikria r,a darbar par salana urs tha jis waja se shaid namazi Kam thy</t>
  </si>
  <si>
    <t>rjssu</t>
  </si>
  <si>
    <t>nazeer ahmed</t>
  </si>
  <si>
    <t>jama masjid baba sahab</t>
  </si>
  <si>
    <t>https://drive.google.com/open?id=1_HaecF5ybmvDSXoYfQDAt_E0UHdo3RjJ, https://drive.google.com/open?id=1M63dizCRW8Y1bml8aqRAX9aXvz_JrgrQ, https://drive.google.com/open?id=1mR8UZvl8Ybdw6Q1QWQAPtyKmiw9MxK_e, https://drive.google.com/open?id=1iRRNOYSHvsLR6DGxgxtAM7AXq-4BVCqs, https://drive.google.com/open?id=1UbSbg9BOV6RHDYyyFcKkSWXogXtf0piP</t>
  </si>
  <si>
    <t>خالد محمود</t>
  </si>
  <si>
    <t>03005249027</t>
  </si>
  <si>
    <t>https://drive.google.com/open?id=1_oOgWOHRd0OsS0-DhUjwUN0tkYAQYlQy</t>
  </si>
  <si>
    <t>ayyankhalidctn@gmail.com</t>
  </si>
  <si>
    <t xml:space="preserve">Jamia Masjid Abdul wahab Shah </t>
  </si>
  <si>
    <t xml:space="preserve">Not sure </t>
  </si>
  <si>
    <t>https://drive.google.com/open?id=1d4TzFp0LNeq2XR6E9PTyvBUdm-Ev2oRl</t>
  </si>
  <si>
    <t>Akpfn</t>
  </si>
  <si>
    <t>Muhammad Asif hanif</t>
  </si>
  <si>
    <t>Jamia baqar Abad masjid</t>
  </si>
  <si>
    <t xml:space="preserve">NAHI koi nai tha </t>
  </si>
  <si>
    <t>https://drive.google.com/open?id=17hwW80URiVXWllrI8VxoZlyjv88HPKZf</t>
  </si>
  <si>
    <t>https://drive.google.com/file/d/13ad0bpffyJtRGheASa3NGxEIiB3-zOPo/view?usp=drive_link</t>
  </si>
  <si>
    <t xml:space="preserve">QKGIH </t>
  </si>
  <si>
    <t xml:space="preserve">جامع مسجد قصاباں والی حرم گیٹ ملتان </t>
  </si>
  <si>
    <t>https://drive.google.com/file/d/1C7rFGU9hWlPEvS6XR9zV9fIbKAZcVAEx/view?usp=drive_link</t>
  </si>
  <si>
    <t xml:space="preserve">نہیں </t>
  </si>
  <si>
    <t>Jamia Masjid Ahl e Hadis Tahlianwali</t>
  </si>
  <si>
    <t>https://drive.google.com/open?id=1fN-zMnMvcFYlH4fbS5uhc30llQK7w_37</t>
  </si>
  <si>
    <t>talhamian1986@gmail.com</t>
  </si>
  <si>
    <t>Jamia Masjid Syed Fzal ud Din Ladla</t>
  </si>
  <si>
    <t>https://drive.google.com/open?id=1pHQCCs0PT2wBtpM1uC-21m7MZfgSbvqv</t>
  </si>
  <si>
    <t>03092840538</t>
  </si>
  <si>
    <t>https://drive.google.com/open?id=1SNl5k-qa5Kkt2mkbm9z0F24pWaDi4nBF</t>
  </si>
  <si>
    <t>Muhammad Kamran</t>
  </si>
  <si>
    <t>03003792127</t>
  </si>
  <si>
    <t>Jamia Masjid Makhdoom Jahanian</t>
  </si>
  <si>
    <t>https://drive.google.com/open?id=1T4DKumeJ72uNjtw59Xdw7FL1A93jt4Tr, https://drive.google.com/open?id=1VV8d3MEfKI6vgfxy9jsBnSVp1KcVRDHa</t>
  </si>
  <si>
    <t>0305-5434673</t>
  </si>
  <si>
    <t>https://drive.google.com/open?id=1wVX1sQhc0yBBRv7EXcNm577FgPNxaWOb</t>
  </si>
  <si>
    <t>Jamia masjid sheikh Allah wasya machli Bazar bwp</t>
  </si>
  <si>
    <t>https://drive.google.com/open?id=1zOhfF0Auy6I_p_No7W3XPsD-IiOSQvAF</t>
  </si>
  <si>
    <t xml:space="preserve">SQNOT </t>
  </si>
  <si>
    <t xml:space="preserve">Markazi Lal Jamia Masjid Multan Cannt </t>
  </si>
  <si>
    <t>https://drive.google.com/open?id=15SmFNcAfh4f1vlsBmy836yZrjyVh6_cs</t>
  </si>
  <si>
    <t>Dfnmy</t>
  </si>
  <si>
    <t>https://drive.google.com/open?id=1nBBFRwIg-ouO6ybRL7ON7eairPwPhhB_</t>
  </si>
  <si>
    <t>https://drive.google.com/open?id=1Y1CRWjzfPmkxIcmkODBUUdtDEN57mZRk</t>
  </si>
  <si>
    <t>Atif Ali</t>
  </si>
  <si>
    <t>جامع مسجد انہار کالونی</t>
  </si>
  <si>
    <t>https://drive.google.com/open?id=18-Zo8ZTccbfrq8ycowpciAAuFWqcMuWD</t>
  </si>
  <si>
    <t>03114326273</t>
  </si>
  <si>
    <t xml:space="preserve">Jamia kocha gull Hassan shahi Bazar bwp </t>
  </si>
  <si>
    <t>https://drive.google.com/open?id=1wQiiB83hwbuWLGwyrcGyY0g1ZWw8rfIM</t>
  </si>
  <si>
    <t>Iprwe</t>
  </si>
  <si>
    <t>Jamia jalal masjid gulgasht</t>
  </si>
  <si>
    <t>https://drive.google.com/open?id=1NxyLi6GUihpo7YpBs0Vcugxq6Su0f4Pr</t>
  </si>
  <si>
    <t xml:space="preserve">جامع قصاباں والی حرم گیٹ ملتان </t>
  </si>
  <si>
    <t>https://drive.google.com/file/d/1gSvnvIM2cTneg16o31UuYs6W-MCxtk3X/view?usp=drive_link</t>
  </si>
  <si>
    <t xml:space="preserve">ہاں مسجد کے لیٹرین وغیرہ کے دروازے بالکل نہیں ہیں نمازی متاثر ہیں  </t>
  </si>
  <si>
    <t>Jamia Masjid Shah Shams</t>
  </si>
  <si>
    <t>https://drive.google.com/open?id=1uHTHs29eNy0fi3bqytqNCE4JiLNOZYQ3</t>
  </si>
  <si>
    <t xml:space="preserve">Darbar ki entrance sy masjid tak, koi clean carpet nahi, nechy zameen bhot garm hoti ha chalna bhot deshwar hota ha, </t>
  </si>
  <si>
    <t>Mubashir Aleem</t>
  </si>
  <si>
    <t>Jamia Masjid Musa Pak Shaheed</t>
  </si>
  <si>
    <t>https://drive.google.com/open?id=1vZ8CeUqXh7N_cPX_wrzIdcsjqcTezD0C</t>
  </si>
  <si>
    <t>nothing</t>
  </si>
  <si>
    <t>Masjid Mistari  Kamal din</t>
  </si>
  <si>
    <t>https://drive.google.com/open?id=1rAs_Fm69m-J7cfS44NWc-VXHwtz9KKjc</t>
  </si>
  <si>
    <t>Jamia masjid Jagu wali</t>
  </si>
  <si>
    <t>https://drive.google.com/open?id=1R2EnIPGNi9N9X_W48lE-lUhSEPvDY5fo</t>
  </si>
  <si>
    <t>Jamia masjid gull hassan</t>
  </si>
  <si>
    <t>https://drive.google.com/open?id=1c-Id4PbD7woc6Ls4dyqBboaHvIyeAhOH</t>
  </si>
  <si>
    <t>Jamia masjid Nizamat</t>
  </si>
  <si>
    <t>https://drive.google.com/open?id=1gwZTfEdP4FHEG7TLZlF2xI1fJ84lQ5Ou</t>
  </si>
  <si>
    <t>OTCCU</t>
  </si>
  <si>
    <t xml:space="preserve">Muhammad Shoaib </t>
  </si>
  <si>
    <t>Jamia Masjid Kacha Khawa Khanewal</t>
  </si>
  <si>
    <t>https://drive.google.com/open?id=1OS8ePGbsO0RRp43Dlk_Pvvnh2YpAgitT</t>
  </si>
  <si>
    <t xml:space="preserve">No ok </t>
  </si>
  <si>
    <t>mshoaib1155@gmail.com</t>
  </si>
  <si>
    <t>https://drive.google.com/open?id=1o2PTNTkY2kG6TViI5fiVKOLpO8Zyrzq9</t>
  </si>
  <si>
    <t xml:space="preserve">JAMIA MASJID KUMHAR MANDI </t>
  </si>
  <si>
    <t>https://drive.google.com/open?id=1AMydLqNr_zUJSDCzC_s33gGFOzxbkTbT</t>
  </si>
  <si>
    <t>WPQFG</t>
  </si>
  <si>
    <t>03056887716</t>
  </si>
  <si>
    <t>Jamia Masjid Madina Peple Wali Dehli gate</t>
  </si>
  <si>
    <t>https://drive.google.com/open?id=1RRNq4iMZaC5nsydmLbi1QbDNETLnkJkf</t>
  </si>
  <si>
    <t xml:space="preserve">Jamia Masjid Gaalah Mandi bahawalnagar </t>
  </si>
  <si>
    <t>https://drive.google.com/open?id=1siCQjI_ZVw1vPQ5hOX3ewmIpN21KaPG0</t>
  </si>
  <si>
    <t>Zafar Iqbal qamer</t>
  </si>
  <si>
    <t>0300635889</t>
  </si>
  <si>
    <t>Jamia masjid gull din colony</t>
  </si>
  <si>
    <t>https://drive.google.com/open?id=1ZDNee2EYCW62fyhlq8RRTruMj2ulPyIu</t>
  </si>
  <si>
    <t>zafariqbalqamar456@gmail.com</t>
  </si>
  <si>
    <t>https://drive.google.com/open?id=1Tg-dCJUIFeUn9AVvb04qI_6S6-ZRb6Y-</t>
  </si>
  <si>
    <t>Last time as sam impression good</t>
  </si>
  <si>
    <t>https://drive.google.com/open?id=1Iaq6Vf2C8u6YhyfAnJbYC7JOgf33kfOz</t>
  </si>
  <si>
    <t>Jamia masjid peer ashaq</t>
  </si>
  <si>
    <t>https://drive.google.com/file/d/1juxUoQRw28lmnVvPy-17WoZcfpXXPcP5/view?usp=drive_link</t>
  </si>
  <si>
    <t>e</t>
  </si>
  <si>
    <t>Jamia masjid sheikh Syed wali fareedgate</t>
  </si>
  <si>
    <t>https://drive.google.com/open?id=19Q9LJiMqVjVkgQK5CD0eeZUw6tpWpmXs</t>
  </si>
  <si>
    <t>Fahad</t>
  </si>
  <si>
    <t>Jamia masjid markazi Eid gah khanewal</t>
  </si>
  <si>
    <t>https://drive.google.com/open?id=1LUHJRYRPKsSO4jWZJxDWY1QgW-a4IrTI</t>
  </si>
  <si>
    <t>سلیمان</t>
  </si>
  <si>
    <t>قاضیوں والی مسجد</t>
  </si>
  <si>
    <t>https://drive.google.com/open?id=1zZRK7j9e6_9PVHCHG0uE0i33kpO2_GBD</t>
  </si>
  <si>
    <t>لوگوں کو شعور کی ضرورت ہے</t>
  </si>
  <si>
    <t xml:space="preserve">Asimsabri </t>
  </si>
  <si>
    <t>جامع مسجد محب فقیر</t>
  </si>
  <si>
    <t>https://drive.google.com/open?id=1KsLZ6pml-TA3c5c8z5iG0i6p1IQ28liw</t>
  </si>
  <si>
    <t>https://drive.google.com/open?id=1kFCmwu8VZ24SI96e98BZA19PD80TYICc</t>
  </si>
  <si>
    <t>030365052878</t>
  </si>
  <si>
    <t>https://drive.google.com/open?id=1wp9rHwfpLOTbQrJVkVF1MBxpfO3wVn0_</t>
  </si>
  <si>
    <t>جامع مسجد نواب علی محمد خان ملتان</t>
  </si>
  <si>
    <t>https://drive.google.com/open?id=1znQ1e2xgIl-xER_YhHLktewaGgw-QQQR</t>
  </si>
  <si>
    <t>Sarfraz</t>
  </si>
  <si>
    <t>Jamia masjid darabar khuja Khuda baksh khearpur</t>
  </si>
  <si>
    <t>https://drive.google.com/open?id=1rP02ptEknCupdOtJvc4-m2FgwwOh9u6V</t>
  </si>
  <si>
    <t>https://drive.google.com/open?id=1LNNCHyg7wGWSZqLJ3_Bm40mtqgYCL1WJ</t>
  </si>
  <si>
    <t>https://drive.google.com/open?id=1JOzd3PM8Bd-tJJtFtyPP-tXymTrn2WUu</t>
  </si>
  <si>
    <t>waseem Abbais</t>
  </si>
  <si>
    <t>jamia masjid Railway colony khanewal</t>
  </si>
  <si>
    <t>https://drive.google.com/open?id=1FvJwOfP77rH1PgSrdNxKrHnUrfaQvhNa</t>
  </si>
  <si>
    <t xml:space="preserve">Mosjid Goth Aalu Sadicabad </t>
  </si>
  <si>
    <t>https://drive.google.com/open?id=1iihWW11MhrZkqSLVlkRYurNoP33cKIbb</t>
  </si>
  <si>
    <t xml:space="preserve">Long Travelling to reach this mosque location </t>
  </si>
  <si>
    <t>Ahtsam ul hasan</t>
  </si>
  <si>
    <t>Jamia masjid sakhi sultan check no 1bc</t>
  </si>
  <si>
    <t>https://drive.google.com/open?id=1VNGy8CkJ_dXqKg_yqTZSDKZ5Btt-H_30</t>
  </si>
  <si>
    <t>Hanza afzal</t>
  </si>
  <si>
    <t>03096069485</t>
  </si>
  <si>
    <t>jamia masjid peer mubarik ali shah</t>
  </si>
  <si>
    <t>https://drive.google.com/open?id=1rszldnj_eFL2Cf_golXMqaI4HMFprd2j</t>
  </si>
  <si>
    <t>sufiyanahmad0787@gmail.com</t>
  </si>
  <si>
    <t>sohaib</t>
  </si>
  <si>
    <t xml:space="preserve">Jamia Masjid Gala Mandi khanewal </t>
  </si>
  <si>
    <t>https://drive.google.com/open?id=1Bwit0_2EYh9910gZeXvo-T_e5Yy_nE1-</t>
  </si>
  <si>
    <t xml:space="preserve">Shahzad Akhtar </t>
  </si>
  <si>
    <t>0300-6830260</t>
  </si>
  <si>
    <t>Muhkum Din Serani</t>
  </si>
  <si>
    <t>https://drive.google.com/file/d/1VC-tCiX6kTke4BAPe7sXewChnf7b0Vs3/view?usp=drive_link</t>
  </si>
  <si>
    <t>khokhar3565@gmail.com</t>
  </si>
  <si>
    <t xml:space="preserve">Jamia Masjid bakar abad Multan </t>
  </si>
  <si>
    <t>https://drive.google.com/open?id=1LPC4xmPcL7971R7UuYxwpjD95BHD6HF7</t>
  </si>
  <si>
    <t xml:space="preserve">Jamia Masjid Haqania Makhdoom Rashid </t>
  </si>
  <si>
    <t>https://drive.google.com/open?id=1uQLEP8IK7EEf9B1oVr6UwhQa1qI_vbu6</t>
  </si>
  <si>
    <t>Jamia Masjid Munian Wali</t>
  </si>
  <si>
    <t>https://drive.google.com/open?id=1Q2POa9uJHL3CXD3FQw3-Cfoc3wraGDEr</t>
  </si>
  <si>
    <t xml:space="preserve">ANROL </t>
  </si>
  <si>
    <t xml:space="preserve">Jamia masjid balochan wali khoni burj multan </t>
  </si>
  <si>
    <t>02</t>
  </si>
  <si>
    <t>https://drive.google.com/open?id=1hbfbr8uAzv0kgEjYmdRS5ErE931XIp7t</t>
  </si>
  <si>
    <t xml:space="preserve">Jamia Masjid Haroonabad </t>
  </si>
  <si>
    <t>https://drive.google.com/open?id=1gFTxcTQVsmZpd9TeLhS2tOMPiTlRcZ_h</t>
  </si>
  <si>
    <t>Sajjad ch</t>
  </si>
  <si>
    <t>https://drive.google.com/open?id=1xX5McZbzV6RVaYoULfaXW_k1AW_eB-6q</t>
  </si>
  <si>
    <t>Bostan aziz</t>
  </si>
  <si>
    <t>https://drive.google.com/open?id=1sQ7YalYmmhaGPwsWzCPLXRCu2p8GYBUm</t>
  </si>
  <si>
    <t>Jame Masjid Anaeytia Darbar Anaeyt Shah Bukhari</t>
  </si>
  <si>
    <t>https://drive.google.com/open?id=1Z9W4gYDgHbe4RksdggyK1PA5luLIYFwS</t>
  </si>
  <si>
    <t>https://drive.google.com/open?id=15Ue0rGx9gQTY_TsCJr0kySZ6PaUqj37g</t>
  </si>
  <si>
    <t xml:space="preserve">Mubashairakhter@ gmail.com </t>
  </si>
  <si>
    <t xml:space="preserve">Al sadiq </t>
  </si>
  <si>
    <t>https://drive.google.com/open?id=1-1uBV1JKCsVXGWQwDAoVV-KDSU5RLdv9</t>
  </si>
  <si>
    <t>03007990842</t>
  </si>
  <si>
    <t>Jamia Masjid kabotar Mandi Multan</t>
  </si>
  <si>
    <t>https://drive.google.com/open?id=1LhxZ-9XbnFWRFUDsix_KLeS85UJbPH4s</t>
  </si>
  <si>
    <t>ameenmeo@gmail.com</t>
  </si>
  <si>
    <t>https://drive.google.com/open?id=19IY6j8Vv3B-D5PYOLcbtE9L81yiUH5BE</t>
  </si>
  <si>
    <t>Amir malk</t>
  </si>
  <si>
    <t>Al aqsa</t>
  </si>
  <si>
    <t>https://drive.google.com/open?id=1e53YyqXMkm-m6jZN6-Q7ShkxNdyJuYxq</t>
  </si>
  <si>
    <t>amirmalk2018@gmail.com</t>
  </si>
  <si>
    <t>https://drive.google.com/open?id=13mT83aVBzscmWOOEdW8vqtc5bw1FOhn9</t>
  </si>
  <si>
    <t xml:space="preserve">محمد جنید </t>
  </si>
  <si>
    <t>جامع مسجد بلاک نمبر 3</t>
  </si>
  <si>
    <t>https://drive.google.com/open?id=13h-kEiRQJQifLpRrKlwEArdAogBSzokm</t>
  </si>
  <si>
    <t xml:space="preserve">Jamia Masjid Khwaja Noor Mohammad Mahrvi </t>
  </si>
  <si>
    <t>https://drive.google.com/open?id=1wSkSScD5iq_pCrYYrKlmB_OsjxLaVBOh</t>
  </si>
  <si>
    <t>amir03016565258@gmail.com</t>
  </si>
  <si>
    <t xml:space="preserve">Arif Ali </t>
  </si>
  <si>
    <t>Jammia masjid galla mandi khanpur</t>
  </si>
  <si>
    <t>https://drive.google.com/open?id=1PjtF5c3UIyl_r0ylmjkov0AiQlj5jn57</t>
  </si>
  <si>
    <t>Abdul quddous</t>
  </si>
  <si>
    <t>03006164655</t>
  </si>
  <si>
    <t>Channer pir</t>
  </si>
  <si>
    <t>https://drive.google.com/open?id=1SdSJZZ67XY4JelY_ZsS9ufUjylPw7YSU</t>
  </si>
  <si>
    <t>Meepx</t>
  </si>
  <si>
    <t>Jamia masjid annayat welayat multan</t>
  </si>
  <si>
    <t>https://drive.google.com/open?id=19ODzMtGVnbkuJ9Kd1bcGg3_e9NIKXml1</t>
  </si>
  <si>
    <t xml:space="preserve">Masjid Darbar shah Rukne Alam </t>
  </si>
  <si>
    <t>https://drive.google.com/open?id=1wBYsd0ucYmOBADlFDofGXrNXGFUTa95U</t>
  </si>
  <si>
    <t xml:space="preserve">MArbaz </t>
  </si>
  <si>
    <t>Jamia masjid Hakeem Muhammad Yar wali bwp</t>
  </si>
  <si>
    <t>https://drive.google.com/open?id=1KllaHJLq5wLYnowZlkir97T5t9eGv3eo</t>
  </si>
  <si>
    <t xml:space="preserve">Jamia masjid madni jhoke veenus </t>
  </si>
  <si>
    <t>https://drive.google.com/open?id=1Ia9pPi2R4G9jywurD0-x1Ag3GFeKG9T6</t>
  </si>
  <si>
    <t>Nill</t>
  </si>
  <si>
    <t xml:space="preserve">UXUMP </t>
  </si>
  <si>
    <t>Masjid Abdul wahab Shah bukhari deera deen pnnah kot addu</t>
  </si>
  <si>
    <t>https://drive.google.com/open?id=1AvM4Q2Zr7XFViSgl7k7BDiL-A1oiKad0</t>
  </si>
  <si>
    <t xml:space="preserve">NHXTI </t>
  </si>
  <si>
    <t>https://drive.google.com/open?id=1u3nN0AtGr78paZwK3LFij250cCAWlyx6</t>
  </si>
  <si>
    <t>Jamia Masjid Darbar Laal Ehsan</t>
  </si>
  <si>
    <t>https://drive.google.com/open?id=1D69LTpgbrajZvTEVdvjNzYX6ZpsmBm7h</t>
  </si>
  <si>
    <t xml:space="preserve">SJQHK </t>
  </si>
  <si>
    <t>https://drive.google.com/open?id=1fisdnowTzl-9nz_HTYXB_JM8zFfzvP7t</t>
  </si>
  <si>
    <t>Khalid Mehmood</t>
  </si>
  <si>
    <t>0300-5249027</t>
  </si>
  <si>
    <t>Jamia Masjid Markazi Chishtian</t>
  </si>
  <si>
    <t>https://drive.google.com/open?id=1zZ_rYW-e3hyK-NKPrSocr06MIx_M-tan</t>
  </si>
  <si>
    <t>saifullah.cerp@gmail.com</t>
  </si>
  <si>
    <t xml:space="preserve">جامعہ مسجد ملحقہ دربار حضرت بابا تاج الدین سرور سرکار رحمۃ اللّٰہ علیہ </t>
  </si>
  <si>
    <t>https://drive.google.com/open?id=1QamI7P1lnMt6V4OcFtvqC34ma1KkTFoA</t>
  </si>
  <si>
    <t xml:space="preserve">Muhammad Javed </t>
  </si>
  <si>
    <t>Zain ullabidin</t>
  </si>
  <si>
    <t>https://drive.google.com/open?id=1Irp6_73Iyj6GJIYZ8nYigggzj56vc_cB</t>
  </si>
  <si>
    <t>https://drive.google.com/open?id=14_n3J14L6-QVkOGk4GcuS2EOW_BjSzwT, https://drive.google.com/open?id=1cEBFwPGVT8Mtmw2kz1jdEhmYQeJ3rhwA</t>
  </si>
  <si>
    <t xml:space="preserve">Abdullah </t>
  </si>
  <si>
    <t>03336688470</t>
  </si>
  <si>
    <t xml:space="preserve">jamia masjid  Habib ullah shah bagdadi </t>
  </si>
  <si>
    <t>https://drive.google.com/open?id=1nRm_UrW5uDxg5x9yV3OjCmxeqlLgRUyh</t>
  </si>
  <si>
    <t>wasim abbas</t>
  </si>
  <si>
    <t>Jamia Masjid Azeem Ul Din Dolat Gate Multan</t>
  </si>
  <si>
    <t>https://drive.google.com/file/d/1VLXGY97C_NxEz_5oKnop6XDp0oXIxF6v/view?usp=drive_link</t>
  </si>
  <si>
    <t xml:space="preserve">M Ibrar </t>
  </si>
  <si>
    <t xml:space="preserve">Jamia masjid qasba murral Multan </t>
  </si>
  <si>
    <t>https://drive.google.com/open?id=1DFnbat9h4RBHHJLX_kahBqvgCRoZ1MKB</t>
  </si>
  <si>
    <t xml:space="preserve">Jamia masjid kale mandi </t>
  </si>
  <si>
    <t>no</t>
  </si>
  <si>
    <t>https://drive.google.com/open?id=14uHKee9D5wQ_xZ5CVDHVfHU6HcOgEzEV</t>
  </si>
  <si>
    <t xml:space="preserve">Jamia masjid phongran wali chowk Bazar </t>
  </si>
  <si>
    <t>https://drive.google.com/open?id=1tiAA17pFz5VV6GX6grByAdaZv33SozyJ</t>
  </si>
  <si>
    <t xml:space="preserve">Muhammed waseem abbas </t>
  </si>
  <si>
    <t xml:space="preserve">Jamia masjid bahadeen zakria multan </t>
  </si>
  <si>
    <t>https://drive.google.com/open?id=1ROafTaKO9KVl480L_Tn6B1i07MSJTv20</t>
  </si>
  <si>
    <t xml:space="preserve">Darbar Hazarat Sakhi sarwar </t>
  </si>
  <si>
    <t>https://drive.google.com/file/d/1EIMNx7wSIQN2DXBB46g59TN2msyrm9O9/view?usp=drive_link</t>
  </si>
  <si>
    <t xml:space="preserve">TJBAX </t>
  </si>
  <si>
    <t xml:space="preserve">Jamia Masjid Darbar Sahki Shah Habib </t>
  </si>
  <si>
    <t>https://drive.google.com/open?id=1J3FWBKpXp-r_o-LmGr4YKw6CfFGXllxr</t>
  </si>
  <si>
    <t xml:space="preserve">PGVOS </t>
  </si>
  <si>
    <t xml:space="preserve">Jammiah Masjid khunagran Wali Multan </t>
  </si>
  <si>
    <t>https://drive.google.com/file/d/1pj5UTXzTztrspfpyJy9jPVVdzNiLpbpj/view?usp=drive_link</t>
  </si>
  <si>
    <t>APTDT</t>
  </si>
  <si>
    <t xml:space="preserve">Syed Zaryab Haider Bukhari </t>
  </si>
  <si>
    <t>03060831631</t>
  </si>
  <si>
    <t xml:space="preserve">Jamia Masjid Darbar Muhammad Ali Rajan Shah Layyah </t>
  </si>
  <si>
    <t>Zero</t>
  </si>
  <si>
    <t>https://drive.google.com/open?id=1At97IzXZlLI42vGYNE7orwlAqPjzKIx_</t>
  </si>
  <si>
    <t>syedzaryab06@gmail.com</t>
  </si>
  <si>
    <t xml:space="preserve">SajjadChoudhary </t>
  </si>
  <si>
    <t xml:space="preserve">Jamia masjid kacha kho , Khanewal </t>
  </si>
  <si>
    <t>https://drive.google.com/open?id=11Crq4t3RWNUtrn4UIKwYvNMjJZ2_HN8Z</t>
  </si>
  <si>
    <t>https://drive.google.com/file/d/1Ug8VP292w5tvDKxeTjdSG1E-f2-uV_Em/view?usp=drive_link</t>
  </si>
  <si>
    <t>Abdul Razaq</t>
  </si>
  <si>
    <t>03417785569</t>
  </si>
  <si>
    <t xml:space="preserve">Jamia Masjid Darbar Shah Sadar Din </t>
  </si>
  <si>
    <t>https://drive.google.com/file/d/1yXbJAKKhAQGPp3Ouwb_22z-2gufLiNcj/view?usp=drive_link</t>
  </si>
  <si>
    <t>Jbeid</t>
  </si>
  <si>
    <t xml:space="preserve">Jamia masjid sarai ghulam rasool </t>
  </si>
  <si>
    <t>https://drive.google.com/open?id=1OQqyFPKFkQm-4uXgDu_vd88fP98DrGIR</t>
  </si>
  <si>
    <t xml:space="preserve">Muhammad Abdullah </t>
  </si>
  <si>
    <t xml:space="preserve">Jamia Masjid shahi Dera nawab sahib </t>
  </si>
  <si>
    <t>https://drive.google.com/open?id=1sZJmcOYY4nIKzk_AKndftuJt9f9hk-TU</t>
  </si>
  <si>
    <t xml:space="preserve">Jamia Masjid ahle Hadees tahliya wali </t>
  </si>
  <si>
    <t>https://drive.google.com/open?id=1FhmxW55ZhRZ1eulAU7eWLFybnayW9C8F</t>
  </si>
  <si>
    <t xml:space="preserve">Jamia Masjid sadiqque Akbar high school </t>
  </si>
  <si>
    <t>https://drive.google.com/open?id=14HMRleqUVsK8K9E8HrhI_WpeU4IwtkV1</t>
  </si>
  <si>
    <t xml:space="preserve">Jamia Masjid Hazrat Mehboob Subhani </t>
  </si>
  <si>
    <t>https://drive.google.com/open?id=1jPcMH1wWgMRUzAf1Nd8SJKFoa2U_-r5Z, https://drive.google.com/open?id=1Lye4yDUpKlsk1ddLpVpXBzL7NbZusg0o</t>
  </si>
  <si>
    <t xml:space="preserve">Jamia Masjid Hajaat Sharif Syed Fazaluddin Ladla </t>
  </si>
  <si>
    <t>https://drive.google.com/open?id=1lZdsIVi-gBi1yNWdyzleenIuGfrpGQHE</t>
  </si>
  <si>
    <t>03008396959</t>
  </si>
  <si>
    <t>Jamia Masjid Railway Coloney Khanewal</t>
  </si>
  <si>
    <t>https://drive.google.com/open?id=1YV3Pvh-fevYnc-s34iVnZ3OmmwkO7_H2</t>
  </si>
  <si>
    <t>https://drive.google.com/open?id=1cO80Ph3-oq4RtW_uuCRozRpieKE4kd-l</t>
  </si>
  <si>
    <t xml:space="preserve">ملحقہ دربار حضرت بابا تاج الدین سرور سرکار رحمۃ اللّٰہ علیہ </t>
  </si>
  <si>
    <t>https://drive.google.com/open?id=1k0hDPwa_cwn8s4n4On5LYy4RWb6jjlIb</t>
  </si>
  <si>
    <t>Darbar e Alia Shah Rukne Alam masjid</t>
  </si>
  <si>
    <t>https://drive.google.com/open?id=1xPuxIajfX6SaNF29BkGYOGCFWMg77yrc</t>
  </si>
  <si>
    <t>https://drive.google.com/open?id=1xZzXf2li0ESfRV5jwlL9SZs2WodIYv8W</t>
  </si>
  <si>
    <t xml:space="preserve">Jamia masjid annayat welayat multan </t>
  </si>
  <si>
    <t>https://drive.google.com/open?id=1qJ3BBvJRUqG5-iA7PLR6tUtrCr3JLsY8</t>
  </si>
  <si>
    <t>Jame Masjid Shamsher Shah Safri</t>
  </si>
  <si>
    <t>https://drive.google.com/open?id=16GVdUv3R5lEmhDmikunQgnwn_iyL9Fmr, https://drive.google.com/open?id=1qg0Qj3QDAVmWwyoKGQyP6uf9hYj2IV1j</t>
  </si>
  <si>
    <t xml:space="preserve">Waseem abbas </t>
  </si>
  <si>
    <t xml:space="preserve">Jamia masjid bah ul Deen zakriya Multan </t>
  </si>
  <si>
    <t>https://drive.google.com/open?id=1OLFas_Bc9LmE3QsVowd30j4X04Rg-Ub8</t>
  </si>
  <si>
    <t>جامع مسجد دربار سلطان احمد قتال</t>
  </si>
  <si>
    <t>https://drive.google.com/open?id=1GjvwbIO97dn8nPp898rRc4ki5bpnv73G</t>
  </si>
  <si>
    <t>03006745467</t>
  </si>
  <si>
    <t xml:space="preserve">Markazi Jamia Mosjid Nizamat Rahim Yar khan </t>
  </si>
  <si>
    <t xml:space="preserve">0 ( zero) </t>
  </si>
  <si>
    <t>https://drive.google.com/open?id=10BPn7hsPEazLCu1Scm1CRuUGQwOblalC</t>
  </si>
  <si>
    <t xml:space="preserve">Satisfied </t>
  </si>
  <si>
    <t xml:space="preserve">PBYFM </t>
  </si>
  <si>
    <t xml:space="preserve">Jamia Masjid Minya Nawali Minchanabad </t>
  </si>
  <si>
    <t>https://drive.google.com/open?id=1oJ0wpo3wSh176CUU_vawTn_oKT0RUxn5</t>
  </si>
  <si>
    <t xml:space="preserve">rhlwr </t>
  </si>
  <si>
    <t>https://drive.google.com/open?id=1_RDda9LwN5GN_fFSzELQZTCoumsbnjVj</t>
  </si>
  <si>
    <t>haris.cerp@gmail.com</t>
  </si>
  <si>
    <t>Sulaman</t>
  </si>
  <si>
    <t>03126136070</t>
  </si>
  <si>
    <t>دربار جامع مسجد رشید جلال الدین</t>
  </si>
  <si>
    <t>sulamanasghar69@gmail.com</t>
  </si>
  <si>
    <t>Cqxog</t>
  </si>
  <si>
    <t>Jamia masjid mehdam Rasheed haqani</t>
  </si>
  <si>
    <t>https://drive.google.com/open?id=1-uhUtPy87fg2mC9SS79LRk9Kxj9Z2pKn</t>
  </si>
  <si>
    <t>https://drive.google.com/open?id=1MGnPk7qVfKgJ08qx4AJkVkXGIB_18sDT</t>
  </si>
  <si>
    <t>Ndsnq</t>
  </si>
  <si>
    <t>https://drive.google.com/file/d/1sU_uFjDftjCa6-HSG71OAUhWQqR7j47w/view?usp=drive_link</t>
  </si>
  <si>
    <t xml:space="preserve">Jamia masjid mehdam Rasheed haqani </t>
  </si>
  <si>
    <t>https://drive.google.com/file/d/1KPX4jd5JH58Y6C6Sq6Ial_PPJSCvHxwy/view?usp=drive_link</t>
  </si>
  <si>
    <t>M Rizwan</t>
  </si>
  <si>
    <t>03009485820</t>
  </si>
  <si>
    <t>Jamia Masjid Musa Pak Shaheed Multan</t>
  </si>
  <si>
    <t>The enumerator didn't reached in the mosque, so I contacted the Imam directly and did the rating.</t>
  </si>
  <si>
    <t>mrizwangcu8@gmail.com</t>
  </si>
  <si>
    <t>vqubm</t>
  </si>
  <si>
    <t>Jamia Masjid Darkhan Wali Multan</t>
  </si>
  <si>
    <t xml:space="preserve">Maaz Bin Saeed </t>
  </si>
  <si>
    <t>03075300083</t>
  </si>
  <si>
    <t>Jamia Masjid Darbar Rasheed Jalaal Ul Din مسجد کا نام</t>
  </si>
  <si>
    <t>https://drive.google.com/file/d/1qSSeeEb2Ky9SkFsdMBK4kCEZH7OQhlx4/view?usp=drive_link</t>
  </si>
  <si>
    <t>bemaazsaeed@gmail.com</t>
  </si>
  <si>
    <t>Abcde</t>
  </si>
  <si>
    <t>Adil Ahsan</t>
  </si>
  <si>
    <t>0335-4680867</t>
  </si>
  <si>
    <t>Masjid john</t>
  </si>
  <si>
    <t>Sksjsjsjs</t>
  </si>
  <si>
    <t>https://drive.google.com/open?id=14GK8EE2rNleneizPS2IZoy_-0-AqgIYP</t>
  </si>
  <si>
    <t>https://drive.google.com/open?id=1MFEmHCoGFvB8Cxo5uVgu2ikiAFc8K-3E</t>
  </si>
  <si>
    <t>https://drive.google.com/open?id=1-MxcxLwzYs2RsyVsZctDhPTdKoFM6-dG, https://drive.google.com/open?id=1Cdkxdb5cooBO7oV8lyDYRzBvhfBobSAf</t>
  </si>
  <si>
    <t>Iiu</t>
  </si>
  <si>
    <t>saifullah</t>
  </si>
  <si>
    <t>03008842077</t>
  </si>
  <si>
    <t>john</t>
  </si>
  <si>
    <t>https://drive.google.com/open?id=1EPTt34A9tYDeMoO3f6Y7clDz1_Jwo1qb</t>
  </si>
  <si>
    <t>https://drive.google.com/open?id=1CnlHycGEG2HytSXlJRocHxJAw3C9rBCE</t>
  </si>
  <si>
    <t>https://drive.google.com/open?id=1REuVfn6pQF3J0gXPzGotH4WZiKIsMmuo</t>
  </si>
  <si>
    <t>Pwwfr</t>
  </si>
  <si>
    <t xml:space="preserve">Salman yousaf </t>
  </si>
  <si>
    <t>03054436981</t>
  </si>
  <si>
    <t>Jamia masjid Aali</t>
  </si>
  <si>
    <t>https://drive.google.com/file/d/1lwUmi7qlZtrpKXjJtQgE0-IKd8Wwldlj/view?usp=drive_link</t>
  </si>
  <si>
    <t>salmanyousaf806@gmail.com</t>
  </si>
  <si>
    <t>wfyxg</t>
  </si>
  <si>
    <t xml:space="preserve">Adnan </t>
  </si>
  <si>
    <t>03099323116</t>
  </si>
  <si>
    <t>Jamya masjid hazore sha</t>
  </si>
  <si>
    <t>Hazrat baba hazore sha</t>
  </si>
  <si>
    <t>https://drive.google.com/open?id=1zNgHGQZIZmtEo_84SrGOw-b-46PWEcU3</t>
  </si>
  <si>
    <t>https://drive.google.com/open?id=1CBJuyR2LwoDZmMz6Vx5nuAxyLMQSL2CG</t>
  </si>
  <si>
    <t>https://drive.google.com/open?id=1WjAQVPgXlATxKte7gb59tvuyd8xHsF1b</t>
  </si>
  <si>
    <t>aadnananwar123@gmail.com</t>
  </si>
  <si>
    <t>kpwne</t>
  </si>
  <si>
    <t>Jamia Masjid Mian Karaam Bakhs Pani Wala Talaab Lahore</t>
  </si>
  <si>
    <t>gqomo</t>
  </si>
  <si>
    <t xml:space="preserve">Jamya masjid abubakar sadiq </t>
  </si>
  <si>
    <t>https://drive.google.com/open?id=1Ee7FFGdUFodpiYZ1-W8JCqp_JfLKSmyb</t>
  </si>
  <si>
    <t>https://drive.google.com/open?id=1iOIs2wHP75aoXAp-VGa-g-UOHgxUoxG0, https://drive.google.com/open?id=1YY1fSeBoRpPcQ8oFuqi6njM1EmPKrfPj, https://drive.google.com/open?id=1oFV1AjTO0L8iNGcfYzMySYdQK1702erp</t>
  </si>
  <si>
    <t>https://drive.google.com/open?id=1auIwHPYeeWqcq_6b2EtZom9fLuON1gYi</t>
  </si>
  <si>
    <t>Xdhvt</t>
  </si>
  <si>
    <t xml:space="preserve">Muhammad Razzaq Sajid </t>
  </si>
  <si>
    <t>03036162361</t>
  </si>
  <si>
    <t xml:space="preserve">Jamia Masjid Australia </t>
  </si>
  <si>
    <t>https://drive.google.com/open?id=1goIv0_ci-4qxIt7I7paXMf_Bjb7fePCV</t>
  </si>
  <si>
    <t>https://drive.google.com/open?id=1LTx_cGqSIytjhsk8TzggikZsQKpxFLxu</t>
  </si>
  <si>
    <t>https://drive.google.com/open?id=1Kniam6Czmn2Cc9493GXJd4iAFRXf_z4n</t>
  </si>
  <si>
    <t>razzaq.sajid1@gmail.com</t>
  </si>
  <si>
    <t>fjkfw</t>
  </si>
  <si>
    <t>Bilal</t>
  </si>
  <si>
    <t>0306761947</t>
  </si>
  <si>
    <t>Jaima masjid Ali shah rungareez</t>
  </si>
  <si>
    <t>https://drive.google.com/open?id=13IvzXX7w8wtefWKRPD2SB6k7GqjLkgL-</t>
  </si>
  <si>
    <t>https://drive.google.com/open?id=1Ecqqge_Th-hOWYxVCnSObMeyNKlvkI1K</t>
  </si>
  <si>
    <t>https://drive.google.com/open?id=1pXgXrGaG0bTvVmClhccpP7w3OiEynF0m</t>
  </si>
  <si>
    <t>m.bilalkhokhar013@gmail.com</t>
  </si>
  <si>
    <t>vtoiy</t>
  </si>
  <si>
    <t xml:space="preserve">Muhammad Ahsan </t>
  </si>
  <si>
    <t>03078868667</t>
  </si>
  <si>
    <t>Jamia Masjid Takiya Sain Sardaara Lahore</t>
  </si>
  <si>
    <t>https://drive.google.com/open?id=1VB313Z5VQA2xmuaRrz66n0XqtZNjlUdX</t>
  </si>
  <si>
    <t>https://drive.google.com/open?id=1OJU-0hIZcS7BvsT0Hs4Z85U2OAszd5aR</t>
  </si>
  <si>
    <t>https://drive.google.com/open?id=1pbvV0wfvf_PcOhC28q0zN6KKOWQP1HQm</t>
  </si>
  <si>
    <t>ahsanhamid496@gmail.com</t>
  </si>
  <si>
    <t>Yhrds</t>
  </si>
  <si>
    <t xml:space="preserve">Muhammad saqib </t>
  </si>
  <si>
    <t>03234041429</t>
  </si>
  <si>
    <t>Jamia masjid meeran hussain ranjani</t>
  </si>
  <si>
    <t xml:space="preserve">Meeran hussain </t>
  </si>
  <si>
    <t>https://drive.google.com/open?id=1WY3tsNfCSkvGRzQckXAOK8QuzfeTi_S_</t>
  </si>
  <si>
    <t>https://drive.google.com/open?id=1xiu1_Q8NtK6FoCiUixH9dekcUkseyfba</t>
  </si>
  <si>
    <t>https://drive.google.com/open?id=1lvKLw2_cOGoRc39eLYc2buzqm7rdQtD0</t>
  </si>
  <si>
    <t>sheikhsaqib003@gmail.com</t>
  </si>
  <si>
    <t>CWFIM</t>
  </si>
  <si>
    <t>Jamia Masjid Hanfiya Ghosia Scheme 2 Lahore</t>
  </si>
  <si>
    <t>https://drive.google.com/open?id=1-2QpoEeJL5e_V0oLaThQKGFWREeeY5B3</t>
  </si>
  <si>
    <t>https://drive.google.com/open?id=1hwExPMXfydUM6QbRn4LkWtXUX25WHulQ</t>
  </si>
  <si>
    <t>https://drive.google.com/open?id=10ekFBlqlvCwt-hJG1XhzTtrZ9QtL3NsA</t>
  </si>
  <si>
    <t xml:space="preserve">Khateeb ny mokay per kaha ky wo hmaray kutba next week mei pry gha. </t>
  </si>
  <si>
    <t>Hkeci</t>
  </si>
  <si>
    <t>Babar Ali</t>
  </si>
  <si>
    <t>03011297393</t>
  </si>
  <si>
    <t>Noorani jamia masjid</t>
  </si>
  <si>
    <t>https://drive.google.com/open?id=1t28c_QM80AEFd4lDriCXH7vdGLm7V1BF</t>
  </si>
  <si>
    <t>https://drive.google.com/open?id=1uK5cfAmapH9y3qz_xwxMHPuJzk0B7owb</t>
  </si>
  <si>
    <t>https://drive.google.com/open?id=1sA0rzef59Gh1VSSQg0mKdH6vFXEg5Ixs</t>
  </si>
  <si>
    <t>babarrasheed341@gmail.com</t>
  </si>
  <si>
    <t>jypnp</t>
  </si>
  <si>
    <t xml:space="preserve">Usman Tariq </t>
  </si>
  <si>
    <t>03015732031</t>
  </si>
  <si>
    <t xml:space="preserve">Jamiea masjid sheikh sikandar </t>
  </si>
  <si>
    <t>https://drive.google.com/open?id=1QQAy0rcgQ4qQ0ywXokEUF3p4U0GAsNph, https://drive.google.com/open?id=1XJHt05f4yVoF9eWqnfblFtorMpTgwE6y, https://drive.google.com/open?id=1a_ObuWi7aUpMPVDGRDVeyR47KFffSrqd</t>
  </si>
  <si>
    <t>https://drive.google.com/open?id=1bIZ7Wvf2OjQ1xNQs-bU6ICb9Koye1dvq, https://drive.google.com/open?id=1FmKaCliLM_pM3-YSeRH1irY7wyZPoYlA, https://drive.google.com/open?id=1pRRSj7aPSuB4g5ZSrMGWD_g9jOxFZLkt, https://drive.google.com/open?id=1mQ7UMVBJFF5-ljX1_okeEfLO3uIbM8tC, https://drive.google.com/open?id=146dyxcBm0zvm3tYqwzSep_q7QemJ9O7C</t>
  </si>
  <si>
    <t>https://drive.google.com/open?id=1yzwYTfRT2T2jBCL1WiElUqqcHeBWfYSb, https://drive.google.com/open?id=11n-V8KrTVvX42kSw9hm_pcbVEMxc7Fu9</t>
  </si>
  <si>
    <t>usmanrumi31@gmail.com</t>
  </si>
  <si>
    <t>TNJAZ</t>
  </si>
  <si>
    <t>Dilawar Abbas</t>
  </si>
  <si>
    <t>03095378593</t>
  </si>
  <si>
    <t>Jamia Masjid Noor Eman Wala</t>
  </si>
  <si>
    <t>https://drive.google.com/open?id=1HWK2N4ppCDwY1Kc258Lr8Dg8SdFbol6b</t>
  </si>
  <si>
    <t>https://drive.google.com/open?id=1qMTIDf6xAUB6yjh9Xffve1yCgK_Fxmiy, https://drive.google.com/open?id=1BKYwxunTVjmTGQVZO24H-64oVlGGxz2p</t>
  </si>
  <si>
    <t>https://drive.google.com/open?id=1mJbDNYlkHSJWfb_1vLE6XDAqeVHe6j3e</t>
  </si>
  <si>
    <t>dilawarkhan1172@gmail.com</t>
  </si>
  <si>
    <t>IEYAF</t>
  </si>
  <si>
    <t>Muhammad asif kaleem</t>
  </si>
  <si>
    <t>03228810855</t>
  </si>
  <si>
    <t>Jamia masjid dehli muslim</t>
  </si>
  <si>
    <t>https://drive.google.com/open?id=1yBoHJKJAs-dN8lP-ZYYrlowalQvAD8Y_</t>
  </si>
  <si>
    <t>https://drive.google.com/open?id=1x_Z2tLnluG4DjOHBD5VaYFUVejq9AUas</t>
  </si>
  <si>
    <t>https://drive.google.com/open?id=1qL5pNc0cGybPR3eQUic6MzwuRa3-KZ3j</t>
  </si>
  <si>
    <t>The imam did not read the sermon given in the mosque</t>
  </si>
  <si>
    <t>asifkaleem992@gmail.com</t>
  </si>
  <si>
    <t>dxome</t>
  </si>
  <si>
    <t xml:space="preserve">Muhammad Irfan Amjad </t>
  </si>
  <si>
    <t>03014813508</t>
  </si>
  <si>
    <t xml:space="preserve">جامع مسجد حنفیہ گلی نمبر 9 بیڈن روڈ لاہور </t>
  </si>
  <si>
    <t>2 سے 3</t>
  </si>
  <si>
    <t>https://drive.google.com/open?id=12s38hGCA3yuooUHfITW4VRvnVj_DVaeN, https://drive.google.com/open?id=1lACen18TA9y0Ss173c9rxbwesbrW9d3n</t>
  </si>
  <si>
    <t>https://drive.google.com/open?id=1XpWpu-VL2Aw7U0QALrvjmTNV1Sxg1fCR, https://drive.google.com/open?id=1dkr122OOeVYCq16Ktbvlrp0haiO2-6C6, https://drive.google.com/open?id=1YVfTZwXjGwtwb6q5P0vbQC51R5vO6EgY</t>
  </si>
  <si>
    <t>https://drive.google.com/open?id=1a4ox4sDxspprphXzSgyXEBric3ic4frP</t>
  </si>
  <si>
    <t>irfanamjad1983@gmail.com</t>
  </si>
  <si>
    <t xml:space="preserve">dwebz	</t>
  </si>
  <si>
    <t xml:space="preserve">Ameer hamza </t>
  </si>
  <si>
    <t>03071778530</t>
  </si>
  <si>
    <t xml:space="preserve"> Mandi Lahore</t>
  </si>
  <si>
    <t xml:space="preserve">Yes , Mubarak Ali </t>
  </si>
  <si>
    <r>
      <rPr>
        <rFont val="Roboto"/>
        <color rgb="FF434343"/>
      </rPr>
      <t xml:space="preserve">https://drive.google.com/open?id=1h7Wh14_K2YMlEnPuWkoSQC41oRoT_0Wc, https://drive.google.com/open?id=1Hrmf3ogjL89TnzUzwsb6Z1WJ0Z3yEmbC, </t>
    </r>
    <r>
      <rPr>
        <rFont val="Roboto"/>
        <color rgb="FF1155CC"/>
        <u/>
      </rPr>
      <t>https://drive.google.com/open?id=1T4FW05JhPGvDtatlUq-1lmBj2bCosqqW</t>
    </r>
  </si>
  <si>
    <t>https://drive.google.com/open?id=1QukZ6nRpLeOmvQIFmKYTLxIopMDuUeMq, https://drive.google.com/open?id=1STfeR7XXoFCxE7Ol_qjO8lziHpCIw9WU, https://drive.google.com/open?id=1QHuYk57zWRYnEe6wWLfOMXJTgOVpsnyd</t>
  </si>
  <si>
    <t>https://drive.google.com/open?id=14XRkcbypigP8gEuE1QQzaSFoCdg_LzxJ</t>
  </si>
  <si>
    <t>Nhi</t>
  </si>
  <si>
    <t>uetianhamza8@gmail.com</t>
  </si>
  <si>
    <t>John</t>
  </si>
  <si>
    <t>B</t>
  </si>
  <si>
    <t>https://drive.google.com/open?id=1RtJKbK9e6y79QrNJbvet9afOzNFEJNn7</t>
  </si>
  <si>
    <t>https://drive.google.com/open?id=1fW7EuQBIYF_w_qw0qphmZPZHI4WCw1N1</t>
  </si>
  <si>
    <t>https://drive.google.com/open?id=1BkxTZVgFSJKFnr2TOZ8X68TcM4LOxRel</t>
  </si>
  <si>
    <t>https://drive.google.com/open?id=1ncX3T9xYeitNYvVxkw4WRrOKDJxEQcZ4</t>
  </si>
  <si>
    <t>https://drive.google.com/open?id=1l_BuFHGYxN71e5EFM48KD89IW9lOrbey</t>
  </si>
  <si>
    <t>https://drive.google.com/open?id=1BWSVZFtLM9aKIXiuR0n3zpWDYIaY62io</t>
  </si>
  <si>
    <t>Wvmxf</t>
  </si>
  <si>
    <t>Umar butt</t>
  </si>
  <si>
    <t>03200099395</t>
  </si>
  <si>
    <t>Jamia Masjid Hanfia Railway</t>
  </si>
  <si>
    <t>3-4</t>
  </si>
  <si>
    <t>1900s</t>
  </si>
  <si>
    <t>https://drive.google.com/open?id=1qhXJ0Rg25OUeWrKLVgLRKn1BDH2jxlSy</t>
  </si>
  <si>
    <t>https://drive.google.com/open?id=1HcmO-vwPUaUHr0CjXBD9j4Tk7OfZDpka</t>
  </si>
  <si>
    <t>https://drive.google.com/open?id=1OqbJFz-b6N44O91q7bIxAEuEeAe_0mKh</t>
  </si>
  <si>
    <t>buttumar092@gmail.com</t>
  </si>
  <si>
    <t>buvya</t>
  </si>
  <si>
    <t xml:space="preserve">Bilal </t>
  </si>
  <si>
    <t>03008018158</t>
  </si>
  <si>
    <t xml:space="preserve">	Jamia Masjid Takiya Peer Hassan Shah Wali Lahore	</t>
  </si>
  <si>
    <t xml:space="preserve">Peer hassan shah wali </t>
  </si>
  <si>
    <t>https://drive.google.com/open?id=1A_Yo_HZAGYieGkyKDf3bNnoiylo104hY, https://drive.google.com/open?id=1sv72v86YI7mD9tBXtK_3BW3xSo0ol2JH, https://drive.google.com/open?id=1HJ7e4yPc6hh6SqyzEVm4lbLguVOPwD8c</t>
  </si>
  <si>
    <t>https://drive.google.com/open?id=1-l1I5klAhcLgCEZsVv2LScdhK0bON72K, https://drive.google.com/open?id=1XhLMgQUF3hRwytO8XJN3ss5HuqZAIKCL</t>
  </si>
  <si>
    <t>https://drive.google.com/open?id=1PRSMEqDe9sYxRIeoCCTFoc5hvHIx24KS</t>
  </si>
  <si>
    <t>eng.ameerhamza15@gmail.com</t>
  </si>
  <si>
    <t xml:space="preserve">zhcjl	</t>
  </si>
  <si>
    <t>Dealbig380@gmail.com</t>
  </si>
  <si>
    <t>03217073342</t>
  </si>
  <si>
    <t>Jamia Masjid Esha Shahab Lahore</t>
  </si>
  <si>
    <t xml:space="preserve">Nhi </t>
  </si>
  <si>
    <t>https://drive.google.com/open?id=11yNedQOuXH6q0UmCH9MYob3dQrKTPi6j</t>
  </si>
  <si>
    <t>https://drive.google.com/open?id=1035jVkTF3uYMT6KeIsGiKlqQ_d6UC2-Y, https://drive.google.com/open?id=1J0BHJFkZ4OmEi6_w5UvkNyTIa4rEn0VJ, https://drive.google.com/open?id=11SGSxztIlGwXWDEVUxhAQjY32Hy75r8m, https://drive.google.com/open?id=1hwbZrtJj46zRoFDs-yEYjb7MoKUBTT3N, https://drive.google.com/open?id=1pQ-ZyiIT4Krfn6YO6d1T023gy7SwtJTz</t>
  </si>
  <si>
    <t>https://drive.google.com/open?id=10nGn9fxzNLp--BcYN6GqfQ_XaHa9XnXa</t>
  </si>
  <si>
    <t>dealbig380@gmail.com</t>
  </si>
  <si>
    <t>Avbgy</t>
  </si>
  <si>
    <t>Ali Raza</t>
  </si>
  <si>
    <t>03059848297</t>
  </si>
  <si>
    <t>Jamia Masjid Bilal Nawab Colony Misri Shah</t>
  </si>
  <si>
    <t>https://drive.google.com/open?id=1lmaZTHQKhaT8-MxvQt-NjUCEsFSmbSKm</t>
  </si>
  <si>
    <t>https://drive.google.com/open?id=1lZ93CxPROHTvcaa1Tu7-Uk2_xmf619sj</t>
  </si>
  <si>
    <t>https://drive.google.com/open?id=1L7wX4_HQWYqVKifBsaF9rGJuiTqSpFh3</t>
  </si>
  <si>
    <t>alee.raxa007@gmail.com</t>
  </si>
  <si>
    <t>slyiw</t>
  </si>
  <si>
    <t>Ali usman</t>
  </si>
  <si>
    <t>03035218874</t>
  </si>
  <si>
    <t>Jamia Masjid Main Bazar Kahchu Pura Lahore</t>
  </si>
  <si>
    <t>https://drive.google.com/open?id=17aeyAKYo66IfHcBCBPMOquVG8-Woe81l</t>
  </si>
  <si>
    <t>https://drive.google.com/open?id=1H_ZIx3dj6t3cXMIKqKVv98wg_JODhDjw</t>
  </si>
  <si>
    <t>https://drive.google.com/open?id=1VL0Zqf8wXGt4tdaLBxJacFsZxlFn_mjy</t>
  </si>
  <si>
    <t>Bohat nice ikhlaq k Sath Pura complete lufz ba lufz prha</t>
  </si>
  <si>
    <t>hobyhobby00@gmail.com</t>
  </si>
  <si>
    <t xml:space="preserve">Abdul Rauf </t>
  </si>
  <si>
    <t>03008789090</t>
  </si>
  <si>
    <t>Jamia Masjid Shah Shams Qadari Lahore</t>
  </si>
  <si>
    <t>Shah shams</t>
  </si>
  <si>
    <t>https://drive.google.com/open?id=1N6vrjjKx2UFEieUUvhtePkSsQ-NO4mgu</t>
  </si>
  <si>
    <t>https://drive.google.com/open?id=1fwweJfdEGZcJmnnrKsLBjpNn-6wnrJB_</t>
  </si>
  <si>
    <t>rauf88699@gmail.com</t>
  </si>
  <si>
    <t>Wywfr</t>
  </si>
  <si>
    <t xml:space="preserve">Muhammad Nouman </t>
  </si>
  <si>
    <t>03284112905</t>
  </si>
  <si>
    <t>Jamia Masjid Chowk Dalkara Lahore</t>
  </si>
  <si>
    <t>https://drive.google.com/open?id=1nDBlAkLDGzuDR3ZekNzPwNjQDq4CqNER</t>
  </si>
  <si>
    <t>https://drive.google.com/open?id=16dWKNJGmt8AGL7fEnGIN71_I-eGYDPAH</t>
  </si>
  <si>
    <t>https://drive.google.com/open?id=1aE8FMoMOs4oIeK0LRThhO-jpE7Ptm3b4</t>
  </si>
  <si>
    <t>miannomanamjad284@gmail.com</t>
  </si>
  <si>
    <t>ptnjj</t>
  </si>
  <si>
    <t xml:space="preserve">0315-4165034 </t>
  </si>
  <si>
    <t>Jamia Syedna Abubakar Siddique Gumti Bazar</t>
  </si>
  <si>
    <t>https://drive.google.com/open?id=1NN2UYQIiEDPrBhgu7UPa9vEcxT_gcfc-</t>
  </si>
  <si>
    <t>https://drive.google.com/open?id=1WmgbYJtNNhnsQ0uTFF72wi-vt0rWT_Y5</t>
  </si>
  <si>
    <t>https://drive.google.com/open?id=1OIuzy2QqiuVNDwPueEXxpO7o9WwTXCze</t>
  </si>
  <si>
    <t>NA</t>
  </si>
  <si>
    <t>tahirdaudi55@gmail.com</t>
  </si>
  <si>
    <t>fevmy</t>
  </si>
  <si>
    <t>Sheri</t>
  </si>
  <si>
    <t>03438080093</t>
  </si>
  <si>
    <t xml:space="preserve">Jamia Masjid Darbar Ismail Shah Bhukari </t>
  </si>
  <si>
    <t xml:space="preserve">Darbar Ismail Shah Bhukari </t>
  </si>
  <si>
    <t>https://drive.google.com/open?id=1nrf44tdZRtDboNzYni0CbyrbaJGlWpRN</t>
  </si>
  <si>
    <t>https://drive.google.com/open?id=1X5hbYVyyPSQLnU6SDrm3RsttelE37N8y</t>
  </si>
  <si>
    <t>https://drive.google.com/open?id=1sVzmpmCZYJPWcXKbOEV1ltgPkQFvs_Jg</t>
  </si>
  <si>
    <t>ogwwf</t>
  </si>
  <si>
    <t>Shamas</t>
  </si>
  <si>
    <t xml:space="preserve">Jamia Masjid Hanfiya Muslim Gunj Kahchu Pura </t>
  </si>
  <si>
    <t>https://drive.google.com/open?id=1GqC_iC5CjQYKHebfX_WziXQXrM9TMHPm</t>
  </si>
  <si>
    <t>https://drive.google.com/open?id=1Jj1xZFyCp2OSZ0NNv2fuhv4t5-2ZIRc9</t>
  </si>
  <si>
    <t>https://drive.google.com/open?id=1WSY6RHhHBCdPG7x3BBGuAsgoVOOQ5jwy</t>
  </si>
  <si>
    <t>vmezu</t>
  </si>
  <si>
    <t xml:space="preserve">M Haseeb </t>
  </si>
  <si>
    <t>03262232424</t>
  </si>
  <si>
    <t xml:space="preserve">jamia masjid walton road </t>
  </si>
  <si>
    <t>https://drive.google.com/open?id=1rsEVxVHjESA4fiUvM6xXf5WJGv-cjjpB</t>
  </si>
  <si>
    <t>https://drive.google.com/open?id=1F0zwMrcJovTlaBBtXlidGnN5AfZTKwQc</t>
  </si>
  <si>
    <t>https://drive.google.com/open?id=1peG0mo2kdOukoA4FY4kbpIKR51AKGAC7</t>
  </si>
  <si>
    <t>haseebhamidofficial@gmail.com</t>
  </si>
  <si>
    <t>moorq</t>
  </si>
  <si>
    <t xml:space="preserve">Jamia Masjid Sakhi Abdul Wahab </t>
  </si>
  <si>
    <t xml:space="preserve">Hazrat Sakhi Abdul Wahab </t>
  </si>
  <si>
    <t>https://drive.google.com/open?id=1YV8RvDiS3nOTbKovf2rZtvVoQizGmGtA</t>
  </si>
  <si>
    <t>https://drive.google.com/open?id=1dQpZB2ZZr7YzzDhQRhiyfJBGYBJYPaoG</t>
  </si>
  <si>
    <t>https://drive.google.com/open?id=1B1t76Ga60ld94Y1IQ_DulkO8hdUnlfxq</t>
  </si>
  <si>
    <t>Jamia masjid Unchi hunfiya</t>
  </si>
  <si>
    <t xml:space="preserve">Ali usman </t>
  </si>
  <si>
    <t>https://drive.google.com/open?id=1jfHYNVt4HRrlqR4j7E1_5EI3JFeMFLlX</t>
  </si>
  <si>
    <t>https://drive.google.com/open?id=1Qi5zrmViL1m81bvgznqg5bcizfjm-kb-</t>
  </si>
  <si>
    <t>hobyhobby04@gmail.com</t>
  </si>
  <si>
    <t>mfrop</t>
  </si>
  <si>
    <t>Jamia Masjid Hanfiya Farookia Khrishan Nagar Lahore</t>
  </si>
  <si>
    <t>https://drive.google.com/open?id=1mxHwUZux-dFQTkRcUIazA3xQSeXRtqPg</t>
  </si>
  <si>
    <t>https://drive.google.com/open?id=16pXnPiIhPDOjIXHQgtSGsllNsEtkI-UJ, https://drive.google.com/open?id=1KqrgEW38ov6jOaeZRTOZuTI_3F181xQS</t>
  </si>
  <si>
    <t>https://drive.google.com/open?id=1RcW7-oCuoZ7r0-TavCG2R-Srtk6WIv2w</t>
  </si>
  <si>
    <t>Masjid locate krne me mushkil hui</t>
  </si>
  <si>
    <t>hobyhobby03@gmail.com</t>
  </si>
  <si>
    <t>xqvon</t>
  </si>
  <si>
    <t xml:space="preserve">Jamia Masjid Darbar Qurban Ali Shah </t>
  </si>
  <si>
    <t xml:space="preserve">Darbar Qurban Ali Shah </t>
  </si>
  <si>
    <t>https://drive.google.com/open?id=1xlaQEx8qgwsdjSNZC2mcq-vCgMLKcuch</t>
  </si>
  <si>
    <t>https://drive.google.com/open?id=1Emo4eURiL-L2d7JQ985fFa3vmrkSU68u</t>
  </si>
  <si>
    <t>https://drive.google.com/open?id=12vsiCJ7XNWBQwEpOeF4JSoa2IAohh1AB</t>
  </si>
  <si>
    <t>shcuy</t>
  </si>
  <si>
    <t>Muhammad Noman</t>
  </si>
  <si>
    <t>03036966304</t>
  </si>
  <si>
    <t xml:space="preserve">Jamia Masjid Bibi Pak Daman </t>
  </si>
  <si>
    <t xml:space="preserve">Darbar Bibi Pak Daman </t>
  </si>
  <si>
    <t>https://drive.google.com/open?id=1m6KDaILkzom45SameYZu-JX6HvSVOYSM</t>
  </si>
  <si>
    <t>https://drive.google.com/open?id=1TpgfThCI1PmY7jUNgRw2hm6hNFF1loIR</t>
  </si>
  <si>
    <t>https://drive.google.com/open?id=1yfgpu58wKMSdGbg3cEeXHU5S80thzp6D</t>
  </si>
  <si>
    <t>qecjr</t>
  </si>
  <si>
    <t xml:space="preserve">Muhammad Azlan </t>
  </si>
  <si>
    <t>03008032951</t>
  </si>
  <si>
    <t xml:space="preserve">Jamia Masjid Darbar Shah Gohar peer </t>
  </si>
  <si>
    <t xml:space="preserve">Darbar shah Gohar peer </t>
  </si>
  <si>
    <t>https://drive.google.com/open?id=1B2xTPAtHwcZMGMn9ihvZKGr6DuAWccgb</t>
  </si>
  <si>
    <t>https://drive.google.com/open?id=1PQOeRvaZYILlt888BY6jYhhKjtjEBSHx</t>
  </si>
  <si>
    <t>https://drive.google.com/open?id=1nAY21rV52-XfQmP8ZMgUw78KA-rl9zsi</t>
  </si>
  <si>
    <t>xmebi</t>
  </si>
  <si>
    <t xml:space="preserve">Jamia Masjid Molve taaj Deen Lahore </t>
  </si>
  <si>
    <t>https://drive.google.com/open?id=176HZkSVZyrk50mDt5YIhUpqhJ7iJD1ch</t>
  </si>
  <si>
    <t>https://drive.google.com/open?id=1IF0hpL4hE4msbeUIC9CzXRpNZYKuFZov</t>
  </si>
  <si>
    <t>https://drive.google.com/open?id=1AnkmZeeNFxYh3KJ-iXmc-TeysuTSS74y</t>
  </si>
  <si>
    <t>zqlfc</t>
  </si>
  <si>
    <t xml:space="preserve">Zaheer </t>
  </si>
  <si>
    <t>03217040700</t>
  </si>
  <si>
    <t>Jamia Masjid Muslim Luhari Gate Lahore</t>
  </si>
  <si>
    <t>Shah Abdul Ghani</t>
  </si>
  <si>
    <t>https://drive.google.com/open?id=1U4cs7QX9XT6TBau0UX1OHsAgEXmT4Hi7</t>
  </si>
  <si>
    <t>https://drive.google.com/open?id=1nOrFDFX0ECaJ3B4pJc-zVMM08bFAmrNd</t>
  </si>
  <si>
    <t>https://drive.google.com/open?id=1YWdhcNOdYO5YlBIGaQ5AHwEunrz_Aw9Q</t>
  </si>
  <si>
    <t>zbutt49@yahoo.com</t>
  </si>
  <si>
    <t>03334032972</t>
  </si>
  <si>
    <t>https://drive.google.com/open?id=1rZPgfL-n8qbNReMfrLh88WaTZrnxtXpy</t>
  </si>
  <si>
    <t>https://drive.google.com/open?id=1VkbtmoRKuHx_x6VoD7wvUvHe2qzxWulZ</t>
  </si>
  <si>
    <t>https://drive.google.com/open?id=1sD0hpjvoBXDZYXHmsBG76uTwgnCiveX2</t>
  </si>
  <si>
    <t>zbutt2391@gmail.com</t>
  </si>
  <si>
    <t>PWWFR</t>
  </si>
  <si>
    <t xml:space="preserve">Jamia masjid Aali </t>
  </si>
  <si>
    <t>https://drive.google.com/open?id=1Q8r1mY4OGi1vN3XRKZaVPlDUdDRaNVv5</t>
  </si>
  <si>
    <t>https://drive.google.com/open?id=1udsIR_mgOx4SIYt_VaS-lefhtlDxp6pL</t>
  </si>
  <si>
    <t>https://drive.google.com/file/d/1JinnoD2-Bb_UH8mJIti3TQUiFHlQBKPR/view?usp=drive_link</t>
  </si>
  <si>
    <t>Muhammad Bilal</t>
  </si>
  <si>
    <t>03066761947</t>
  </si>
  <si>
    <t>Jamia Masjid Shah Ali Rungareez Lahore2</t>
  </si>
  <si>
    <t>https://drive.google.com/open?id=1wewO0xLH8DWr6SzJiuAL5N364SgtbsUF</t>
  </si>
  <si>
    <t>https://drive.google.com/open?id=1ENU05uXxXTCd20ecI39GLQ4Cq-QxO8Jp, https://drive.google.com/open?id=1bh561_SWs7iCzo-tfe-157jddXzrLXbQ</t>
  </si>
  <si>
    <t>https://drive.google.com/open?id=1teRxO8T2SXJk7o7qNZ_gO1aGJidB6TVF</t>
  </si>
  <si>
    <t>m.bilalkholhar013@gmail.com</t>
  </si>
  <si>
    <t xml:space="preserve">Xdhvt </t>
  </si>
  <si>
    <t>https://drive.google.com/open?id=1QUQtifhLSj-d26_koiMWyfaO_c0RPSkA</t>
  </si>
  <si>
    <t>https://drive.google.com/open?id=1xn8RV5tV_K5P2NIWjCkMVYbc8Cdcrt5C</t>
  </si>
  <si>
    <t>https://drive.google.com/open?id=1NHvCxlJulyMVu8rr0_9h3cfGPvzKyMA3</t>
  </si>
  <si>
    <t xml:space="preserve">jypnp </t>
  </si>
  <si>
    <t xml:space="preserve">Jamiea masjid sheikh sikandar Lahore </t>
  </si>
  <si>
    <t>Qadeer shah Darbar</t>
  </si>
  <si>
    <t>https://drive.google.com/open?id=1e3g6KezdztWA6Id7293454XwDPtleVh3, https://drive.google.com/open?id=1-wWjIX7qq5JzZ2Swaq8T0_6cqPWwUqlR, https://drive.google.com/open?id=1Li1qDih7mBzk5Jm-hW77FN23a3MZiJDF, https://drive.google.com/open?id=14xDbjmfQt7M52Lbk4YEBKkXvnJ-nGrsw, https://drive.google.com/open?id=1Toe0pdrU2H9MdYZNVhUXI5rbAloLBRXl</t>
  </si>
  <si>
    <t>https://drive.google.com/open?id=1kOzpTj3MmGV0Y0du1I8RipJJ0eC2ST20, https://drive.google.com/open?id=1P71M0WG_YUvpRYKr5-zHNzF4yYqY9DKG, https://drive.google.com/open?id=1mQ_xdZLUnQy-wHgMTI19vX8Geg6usTBa, https://drive.google.com/open?id=1dCP2a8AWoZUGooF7FK6wT0JBZ4KsiVJJ</t>
  </si>
  <si>
    <t>https://drive.google.com/open?id=1knId5yyFRq8MkRUWSDGfXOeqzGK7jML5</t>
  </si>
  <si>
    <t>Imam sahib ny apka dia hwa khutba nahi parha hai. Unho ny kaha k next week namazieo sy mushawarat kr k phir apka khutba parhy gy.</t>
  </si>
  <si>
    <t>Hnzog</t>
  </si>
  <si>
    <t>Haider Ali</t>
  </si>
  <si>
    <t>03330031508</t>
  </si>
  <si>
    <t xml:space="preserve">Jamai masjed Mirza ourkaan Sheikupura </t>
  </si>
  <si>
    <t>https://drive.google.com/open?id=1Vd6MVyZ15AQ9ajvvpaAiu0B0MwwygEuy</t>
  </si>
  <si>
    <t>hj568050@gmail.com</t>
  </si>
  <si>
    <t>Lcwok</t>
  </si>
  <si>
    <t xml:space="preserve">Umar butt </t>
  </si>
  <si>
    <t>Jamia masjid Madina</t>
  </si>
  <si>
    <t>4 or 5</t>
  </si>
  <si>
    <t>https://drive.google.com/open?id=1cgfqUDFBKjMELy30jAEWBRGL1I8aaUiQ</t>
  </si>
  <si>
    <t>https://drive.google.com/open?id=1N3FML6AKuFiNMOLTCwwsdHmr_-I4CF38</t>
  </si>
  <si>
    <t>https://drive.google.com/open?id=1R39GHkipONP0TJ15WsxscBRWTl5vchoO</t>
  </si>
  <si>
    <t>UPUVS</t>
  </si>
  <si>
    <t>Mohsin Raza</t>
  </si>
  <si>
    <t>03014497860</t>
  </si>
  <si>
    <t>Jamia Masjid Imam bargah kalan kachary sheikhupura</t>
  </si>
  <si>
    <t xml:space="preserve">Under construction </t>
  </si>
  <si>
    <t>https://drive.google.com/open?id=18geZxzFoCRkfa2VF1THh7LKJRgn2eQ87</t>
  </si>
  <si>
    <t>https://drive.google.com/open?id=14MFO8hiim9IqEaZKnGdv0CYman08-YU5</t>
  </si>
  <si>
    <t>https://drive.google.com/open?id=1aG_lPdlkD2AJrteY90cHiQBE_tMKe1n3</t>
  </si>
  <si>
    <t>mohsingchatha@gmail.com</t>
  </si>
  <si>
    <t>Muhammad Asif kaleem</t>
  </si>
  <si>
    <t>https://drive.google.com/open?id=13nbgNmNZAjJnslF6XRRUizt6YqfyvoFt</t>
  </si>
  <si>
    <t>https://drive.google.com/open?id=1Q4SS9LMaqqNC9bsTc6zkrhy1BsxjqmyH</t>
  </si>
  <si>
    <t>https://drive.google.com/open?id=1YYIY1HQu7CPeZNNeq32z_XX53G9DmIPq</t>
  </si>
  <si>
    <t>No comments</t>
  </si>
  <si>
    <t>asufkaleem992@gmail.com</t>
  </si>
  <si>
    <t>GARUU</t>
  </si>
  <si>
    <t>M.Rizwan</t>
  </si>
  <si>
    <t>03084373512</t>
  </si>
  <si>
    <t xml:space="preserve">Jamia Masjid Farooq Abad auqaf wali Sheikhupura </t>
  </si>
  <si>
    <t>https://drive.google.com/open?id=1FlLpZrPrKd5g_QknTiK6w786chnsR1Wi</t>
  </si>
  <si>
    <t>https://drive.google.com/open?id=1SS4djcb2IpLddNeXRW5aFayAKcEhKREl</t>
  </si>
  <si>
    <t>https://drive.google.com/open?id=1kKTaUnuixWZE8jGPha3NahRndQT6p2Bk</t>
  </si>
  <si>
    <t>mrizwanrasheed666@gmail.com</t>
  </si>
  <si>
    <t>WGWH</t>
  </si>
  <si>
    <t xml:space="preserve">حافظ محمد آصف </t>
  </si>
  <si>
    <t>03318421006</t>
  </si>
  <si>
    <t xml:space="preserve">جامعہ مسجد ریلوے توڑ شیخوپورہ </t>
  </si>
  <si>
    <t xml:space="preserve">کوئی نہیں </t>
  </si>
  <si>
    <t>https://drive.google.com/open?id=1gAvcA-kA1Hf2sJCTr6cctd1NK5bU_pfP</t>
  </si>
  <si>
    <t>https://drive.google.com/open?id=1BjRvI1PdSd5FVExIbEKjhCVrbpDFKAQE</t>
  </si>
  <si>
    <t>https://drive.google.com/open?id=1UeAOZn35BEy5pP595bIpvFxSEaxzkW7Y</t>
  </si>
  <si>
    <t>saqiasif98@gmail.com</t>
  </si>
  <si>
    <t xml:space="preserve">Irfan Amjad </t>
  </si>
  <si>
    <t xml:space="preserve">جامعہ مسجدحاحنفیہ گلی نمبر 9 بیڈن روڈ لاہور </t>
  </si>
  <si>
    <t>1سے 2</t>
  </si>
  <si>
    <t>https://drive.google.com/open?id=14jd90vYfqYItnifdVUE3XQsHEcI64oxx, https://drive.google.com/open?id=1CM1X8MCjQ6ejPTTs-wBWHqpyTLLgjGjW</t>
  </si>
  <si>
    <t>https://drive.google.com/open?id=1yObd98EqoXB-9OuLjMTl87ci_8SgDSmP, https://drive.google.com/open?id=1gwdIV69k5_pGWUFvCDfBj49LlPPmwe2d, https://drive.google.com/open?id=1ICr8vrB2-Yrazso8WYQqL7kc5FD9iVWa</t>
  </si>
  <si>
    <t>https://drive.google.com/open?id=1bcOfjJcJ1rqA_z_IR3L_vY3U4oU58MKB</t>
  </si>
  <si>
    <t>wvmxf</t>
  </si>
  <si>
    <t>03306540300</t>
  </si>
  <si>
    <t xml:space="preserve">جامعہ مسجد حنفیہ فاروقیہ ریلوے روڈ گوالمنڈی لاہور </t>
  </si>
  <si>
    <t>https://drive.google.com/open?id=1T-7SWfFarhnZvg9GQx4HjCtlTMUTzJa4, https://drive.google.com/open?id=17QgZ3ixae3p1eo_i0GF8kZ5J6fiOjVs3</t>
  </si>
  <si>
    <t>https://drive.google.com/open?id=1ru9SVGQqjs6LnKQeK1NtdiysU3Bmy2yJ, https://drive.google.com/open?id=1OU8XfobmwPRVxR8nLdMuM_PFcOQ2zfBC, https://drive.google.com/open?id=1r4V5sCMN_uCiHWIf4cwxkQCxj--ZjvT1</t>
  </si>
  <si>
    <r>
      <rPr>
        <rFont val="Roboto"/>
        <color rgb="FF1155CC"/>
        <u/>
      </rPr>
      <t>https://drive.google.com/open?id=1EVoQyHNuBQMcNaHDQL2sLlQ1UFY2rA-N</t>
    </r>
    <r>
      <rPr>
        <rFont val="Roboto"/>
        <color rgb="FF434343"/>
      </rPr>
      <t>, https://drive.google.com/open?id=1EPAWYm6_De3_c7sAfWjkWXHuOrJK5xz7</t>
    </r>
  </si>
  <si>
    <t>mwaseem65403@gmail.com</t>
  </si>
  <si>
    <t>CKLBK</t>
  </si>
  <si>
    <t xml:space="preserve">Sohail asghar bhatti </t>
  </si>
  <si>
    <t>03017982931</t>
  </si>
  <si>
    <t xml:space="preserve">Jamia masjid qalandar shah </t>
  </si>
  <si>
    <t xml:space="preserve">Pear qalandar shah </t>
  </si>
  <si>
    <t>https://drive.google.com/open?id=1BDhjMuz-d4Cm3X4ZTq_1jql_rQL61OxU</t>
  </si>
  <si>
    <t>https://drive.google.com/open?id=1ssgJLVOPIw-LXyu0hQjJWrXeOS_g5brJ</t>
  </si>
  <si>
    <t>https://drive.google.com/open?id=10FYTEy4DLnoXBLSjpsgGobesv2hWqqto</t>
  </si>
  <si>
    <t>sahilbhai34657788@gmail.com</t>
  </si>
  <si>
    <t>https://drive.google.com/open?id=1_z2DTxdwCMnxQz4JMcJLJGNo_yCDEGl-</t>
  </si>
  <si>
    <t>https://drive.google.com/open?id=1MnISCufsw3IwVuznfIhJ7reBd_MxxrnK</t>
  </si>
  <si>
    <t>https://drive.google.com/open?id=1SVcV4e9R2f6o0MtoDuY6E8rEF17q8VyH</t>
  </si>
  <si>
    <t>dwebz</t>
  </si>
  <si>
    <t xml:space="preserve">	Jamia Masjid Hamam Wali Sotar Mandi Lahore	</t>
  </si>
  <si>
    <t xml:space="preserve">Hazrat mubarak ali </t>
  </si>
  <si>
    <t>https://drive.google.com/open?id=1GsVAKqmJRaTtVa8UrgZCR8p6V_wwQJsi, https://drive.google.com/open?id=1IftolwWyrLw3hTZOVjJmU9qBTtPlIEEC</t>
  </si>
  <si>
    <t>https://drive.google.com/open?id=1Ur-pf15KR3B_bClJXx1mHMcEos7tIbVd</t>
  </si>
  <si>
    <t>ekvzq</t>
  </si>
  <si>
    <t>Jamia Masjid Kingrian wali Mozang</t>
  </si>
  <si>
    <t>Na</t>
  </si>
  <si>
    <t>https://drive.google.com/open?id=1Sx20HJD3ulbIKFxPjmy0VYTjn7DEU2oy</t>
  </si>
  <si>
    <t>https://drive.google.com/open?id=1uy6qDWU5appuycefutCYc43w_8FaxnGH</t>
  </si>
  <si>
    <t>https://drive.google.com/open?id=1s13hgqYE3w1sNIyBqZcw3y4YRuBwd5ls</t>
  </si>
  <si>
    <t>XBFUU</t>
  </si>
  <si>
    <t xml:space="preserve">Sajjad Hussain bhatti </t>
  </si>
  <si>
    <t>03008432760</t>
  </si>
  <si>
    <t>Jamia masjid syeda muridka</t>
  </si>
  <si>
    <t>https://drive.google.com/open?id=1OCdKsVx_dIhQijkUuiEDhX8ps_Q409Ki</t>
  </si>
  <si>
    <t>https://drive.google.com/open?id=1yp0_ok3jsVtEj3qrtFoTWF_ctfMourq8</t>
  </si>
  <si>
    <t>https://drive.google.com/open?id=1ZHCraUjMGDwmuj1JCcxsBr0_aLMlJomS</t>
  </si>
  <si>
    <t>bsajjad124@gmail.com</t>
  </si>
  <si>
    <t>wywfr</t>
  </si>
  <si>
    <t xml:space="preserve">Noman </t>
  </si>
  <si>
    <t>321 7073342</t>
  </si>
  <si>
    <t>https://drive.google.com/open?id=1xhUtL7GAbNHO-1bH45jTr6DPyXHMgYH-, https://drive.google.com/open?id=1axP5S500RAZw_bqdtIE9ohLUURzvBo1N</t>
  </si>
  <si>
    <t>https://drive.google.com/open?id=1bk31WWvsn6Xj1Tge0CxvyKvV_iO4tWSy, https://drive.google.com/open?id=1mgzQp9lnNhaLrpZ88KKnaNo4Sd9a_fSy, https://drive.google.com/open?id=1v3ogiv-DHRoGUFbJC1Z5GmFSwKfwpbIN, https://drive.google.com/open?id=1K76BzSJNGZGTD5Fd07hJ82lQfwv2sbLV</t>
  </si>
  <si>
    <t>https://drive.google.com/open?id=1UrzgFv_fjkkDkuA04F0kBPlldeIKh-qV</t>
  </si>
  <si>
    <t>DSZHX</t>
  </si>
  <si>
    <t>Jamshaid Ali</t>
  </si>
  <si>
    <t>03344036442</t>
  </si>
  <si>
    <t>Jamia Masjid Auqaf wali session court kachary  sheikhupura</t>
  </si>
  <si>
    <t>https://drive.google.com/open?id=18sTxYVoR2V_j87J91eWm1SoIz2uWSX-l</t>
  </si>
  <si>
    <t>https://drive.google.com/open?id=1OLhB5AqkNJ_F9DTHXjQ6LrhjLARsgOUB</t>
  </si>
  <si>
    <t>https://drive.google.com/open?id=1xwdh5pNpDoVwgL7MO2FUx3Psuo80DdSx</t>
  </si>
  <si>
    <t>jamsheed.ali8888@gmail.com</t>
  </si>
  <si>
    <t xml:space="preserve">Akhtar </t>
  </si>
  <si>
    <t>03315942731</t>
  </si>
  <si>
    <t xml:space="preserve">Jamia Masjid Esha Shahab lahore </t>
  </si>
  <si>
    <t xml:space="preserve">Hazrat esha sahab </t>
  </si>
  <si>
    <t>https://drive.google.com/open?id=10C_WH_Edm4rENpjFs9FY-QCMWvtrO5r7, https://drive.google.com/open?id=136Umvlck4H11OEz9C-n_9Qdb3QQkLunH, https://drive.google.com/open?id=1en2Ek-6ldImW0GhIc0hV6J0Zbfz4xIqK, https://drive.google.com/open?id=1TtasxhGzcf85AcYgVaRJiXVe7-Zrstzv</t>
  </si>
  <si>
    <t>https://drive.google.com/open?id=1JkC99B2V22vuANR8ZQq7SEWPFJNZVJcG, https://drive.google.com/open?id=1q6PHOYegMgcsNNEX6MLZl6Og1fHppPLQ, https://drive.google.com/open?id=1Zvop0ifEyM5mw8-VdU-KxjfinKkpwjoq, https://drive.google.com/open?id=1QNfKXflJZXd6Zf9tHIwyW5RMx2MU6BhO, https://drive.google.com/open?id=13ChjqumpurFB3MZvSLXWb_Ez5JD9dmE6</t>
  </si>
  <si>
    <t>https://drive.google.com/open?id=1mEJ51F4C0fh2D0JdwZp-eVEAmTOMss5F</t>
  </si>
  <si>
    <t>dealbig380@gmail.comd</t>
  </si>
  <si>
    <t>+92 317 4582961</t>
  </si>
  <si>
    <t>Peer takiya hassan shah wali .</t>
  </si>
  <si>
    <t>https://drive.google.com/open?id=1_lanbRORj8MOVsb6DB-ZZJQ7f_6yg8Y1, https://drive.google.com/open?id=17Sja-7dSl7QP8IFbU20cT71Zba2ikK5R</t>
  </si>
  <si>
    <t>https://drive.google.com/open?id=1w-IT0ATCeWUFe60tvPBkXaPMeJHhMwRF, https://drive.google.com/open?id=13rc3RUlW19xQYyONOY6FJFiyHqXxn3mE</t>
  </si>
  <si>
    <t>https://drive.google.com/open?id=1kebdCI1z2x3Hg-hFHkRIwU9ARDmzSC7f</t>
  </si>
  <si>
    <t>Adnan</t>
  </si>
  <si>
    <t>Jamia masjid abubakar sadeeq jaloo moor</t>
  </si>
  <si>
    <t>https://drive.google.com/open?id=1HOqPI4TrRfTx7ZphHbaECUc79yWRz_SP</t>
  </si>
  <si>
    <t>https://drive.google.com/open?id=1HswrlGFqWeLiPMps-6-fDEWzCnf6L5Z_</t>
  </si>
  <si>
    <t>https://drive.google.com/open?id=1P063TMlPFMvsBsQPB7rBBz3M4YD55DPU</t>
  </si>
  <si>
    <t>Ogwwf</t>
  </si>
  <si>
    <t xml:space="preserve">Jamia Masjid Hanfiya Muslim gunj kahchu Pura </t>
  </si>
  <si>
    <t>https://drive.google.com/open?id=1qCAevKKd17kKKT8mpeDbYjt9CFHF3pYh</t>
  </si>
  <si>
    <t>https://drive.google.com/open?id=1IjiM5uPqvZOJrJP_7H8uc-35WiJVyPka</t>
  </si>
  <si>
    <t>https://drive.google.com/open?id=1TC2WjqZKV9lBde8amtMEmAd7EvG31gsq</t>
  </si>
  <si>
    <t xml:space="preserve">Jamia Masjid Ismail Shah Bhukari </t>
  </si>
  <si>
    <t>https://drive.google.com/open?id=1y_z4CCYs4y8iQHlz1ApKinneaGt6EIkO</t>
  </si>
  <si>
    <t>https://drive.google.com/open?id=1g7McvvmV3N919fWf4PbAjALGqUCPhPW6</t>
  </si>
  <si>
    <t>https://drive.google.com/open?id=1SZ7uMJMzBY26ZPAvAkPUITuM3Na1mCfh</t>
  </si>
  <si>
    <t xml:space="preserve">Imam ny apny kutbay ka akhri hissay mei hmara topic btaya or sath sath talqeen b krta raha hmary project per </t>
  </si>
  <si>
    <t>cwfim</t>
  </si>
  <si>
    <t xml:space="preserve">Jamia Masjid Hanfiya Ghousia Scheme 2 Lahore </t>
  </si>
  <si>
    <t>https://drive.google.com/open?id=1zAvAYL6pLoupOh0_0plO07VL7jEIDRfw</t>
  </si>
  <si>
    <t>https://drive.google.com/open?id=1VYUIERcO7_UaWnkHTppNbQLXOVKY1X9H</t>
  </si>
  <si>
    <t>https://drive.google.com/open?id=1RPbf1bZ7_VzntBnTXLC1vw9NFRnrkVIJ</t>
  </si>
  <si>
    <t>Khateeb sab ka kutbay ka topic Sara hmara he tha bss btanay or smjhany ka tareeqa alag tha</t>
  </si>
  <si>
    <t>Klysr</t>
  </si>
  <si>
    <t>Muhammad Fareed</t>
  </si>
  <si>
    <t>03026624607</t>
  </si>
  <si>
    <t>Jamia Masjid Darbar Madoh Laal Hussain</t>
  </si>
  <si>
    <t xml:space="preserve">Darbar Madoh Laal Hussain </t>
  </si>
  <si>
    <t>https://drive.google.com/open?id=1BICpKMbXfQ2YNjoqkeKahQOsHeV2GPIq</t>
  </si>
  <si>
    <t>https://drive.google.com/open?id=1_cHM-eiykRp8CPVA1M2RZ-4BYRIzV3kV</t>
  </si>
  <si>
    <t>https://drive.google.com/open?id=1ZzrcTeOidPtfIDnrBfHbmjIQexw5Ox7Y</t>
  </si>
  <si>
    <t>fareedkhanlalaji@gmail.com</t>
  </si>
  <si>
    <t>Jamia Masjid Bilal Nawab Colony Misri Shah Lahore</t>
  </si>
  <si>
    <t>https://drive.google.com/open?id=1gJpMZxGrtgZIDNwvs6tqTzzKl7zYeHsT</t>
  </si>
  <si>
    <t>https://drive.google.com/open?id=122tUmXEUg4ddWb1l0dkKc6hEEen6owgu</t>
  </si>
  <si>
    <t>https://drive.google.com/open?id=1iSBYCO7Vcul7mApUbalVju-7IQ_O-XVm</t>
  </si>
  <si>
    <t>None</t>
  </si>
  <si>
    <t>Asfund</t>
  </si>
  <si>
    <t>https://drive.google.com/open?id=1v4PKojb1MR8TGH-4V0zRUGqHRRdF_2Hf</t>
  </si>
  <si>
    <t>https://drive.google.com/open?id=1JR6gskmiMNA2K9bggOYHQsHl0cIVEFKO</t>
  </si>
  <si>
    <t>https://drive.google.com/open?id=1Vf3E66eV1dwir-8erQOEouErFxbdrsux, https://drive.google.com/open?id=1jxSbFG8UaR2Z57yNr0NMQDGJfJ5fQIso</t>
  </si>
  <si>
    <t>asfund.cerp@gmail.com</t>
  </si>
  <si>
    <t xml:space="preserve">Yhrds </t>
  </si>
  <si>
    <t>Jamia masjid darbar meer Husain rangani</t>
  </si>
  <si>
    <t xml:space="preserve">Meeran hussain ranjani </t>
  </si>
  <si>
    <t>https://drive.google.com/open?id=1D14l-NAjL8m0GhqCUXKdqbf5e_P0eimq</t>
  </si>
  <si>
    <t>https://drive.google.com/open?id=1zoj7mMlC3omuZmiRyJE32tXWhhokziTJ, https://drive.google.com/open?id=1qaDdjef7VlQk2tiRE0OXlXESm8UxW8Jw</t>
  </si>
  <si>
    <t>https://drive.google.com/open?id=1y7CD9ikF4b3sIfwq9imC_0KMQjm7Xlii</t>
  </si>
  <si>
    <t>bpozt</t>
  </si>
  <si>
    <t>Zahrer butt</t>
  </si>
  <si>
    <t>Madina masjid purani anarkali</t>
  </si>
  <si>
    <t>https://drive.google.com/open?id=12wHTasG807YamjS4PrN4rVWxUmYGVYV6</t>
  </si>
  <si>
    <t>https://drive.google.com/open?id=18yVdX2rk1ZP8NH0vaobRxFVXCpFCHmJ_</t>
  </si>
  <si>
    <t>https://drive.google.com/open?id=1qAxiHQa_-28MKa5mlldT9_LF6tPE411m</t>
  </si>
  <si>
    <t xml:space="preserve">Dilawar Abbas </t>
  </si>
  <si>
    <t xml:space="preserve">Jamia Masjid Noor Eman Wala </t>
  </si>
  <si>
    <t>https://drive.google.com/open?id=1YcEumL1Y7J1wLm3GWSg2HOxjdoPUG81Q, https://drive.google.com/open?id=1UncZTXNIR_gzluQICmmQNQLokqTCoRCB</t>
  </si>
  <si>
    <t>https://drive.google.com/open?id=1re3PwC0L1P4X6VGQBYiUPH6lkl2McYh4, https://drive.google.com/open?id=1xQ3dem2ejFKtTYWAIHZnOAUosMVBcped</t>
  </si>
  <si>
    <t>https://drive.google.com/open?id=1h0CmlQPJme3hIEMkKNoeU5mnnvOBp97p</t>
  </si>
  <si>
    <t xml:space="preserve">	Jamia Masjid Main Bazar Kahchu Pura Lahore</t>
  </si>
  <si>
    <t>https://drive.google.com/open?id=1ivGXG7d0x3k8iU_LT4PkueUuxPTvoamc</t>
  </si>
  <si>
    <t>https://drive.google.com/open?id=1lvLEKIdEn2Eax_vZH_hhxZOtaLvsB4vj</t>
  </si>
  <si>
    <t>https://drive.google.com/open?id=1IbLr7uhuNkb1eCBCmaa2HZoHrxZ5AuY0</t>
  </si>
  <si>
    <t>SHCUY</t>
  </si>
  <si>
    <t>Jamia masjid darbar bibi pak daman</t>
  </si>
  <si>
    <t xml:space="preserve">Darbar Bibi Pak daman </t>
  </si>
  <si>
    <t>https://drive.google.com/open?id=1auxKaKnnKsajiut7XLiOcfZjFYrdBY5C</t>
  </si>
  <si>
    <t>https://drive.google.com/open?id=1uPdQxAv4lQHNlF1aIl4f_WeKicUkvPRK</t>
  </si>
  <si>
    <t>https://drive.google.com/open?id=1Jtet982nrjyc3_gFoXM5WqIyQ54Ehbc3</t>
  </si>
  <si>
    <t>Qecjr</t>
  </si>
  <si>
    <t xml:space="preserve">Anees </t>
  </si>
  <si>
    <t>03374188965</t>
  </si>
  <si>
    <t>Jamia masjid darbar shah gohar peer</t>
  </si>
  <si>
    <t>Darbar Shah gohar peer</t>
  </si>
  <si>
    <t>https://drive.google.com/open?id=1oX9SNGo0OXwSLG1lAOXvD4F2dasB-rNf</t>
  </si>
  <si>
    <t>https://drive.google.com/open?id=1sG9ljG1_finXwGSfE7-Wc3Ensv0-12cX</t>
  </si>
  <si>
    <t>https://drive.google.com/open?id=1ElibYT8yZUnQZ-ksmskqtl56Wo93UjcN</t>
  </si>
  <si>
    <t>03008789099</t>
  </si>
  <si>
    <t xml:space="preserve">Jamiya masjid shah shams quadari Lahore </t>
  </si>
  <si>
    <t>Shah shamas</t>
  </si>
  <si>
    <t>https://drive.google.com/open?id=1Nu50NlP9a0X0_C6oAEPyEb9rgdx3qyiw</t>
  </si>
  <si>
    <t>https://drive.google.com/open?id=1KvMd6ZYBWJi3tLxWEaCExkPyg25GW5zp, https://drive.google.com/open?id=1q_hWdJJ7QuIznIvLdiHIKX2Dyo6bT9Vc</t>
  </si>
  <si>
    <t>https://drive.google.com/open?id=16O1JUFkR4Mev64TMmZlriBveLKpjVstA</t>
  </si>
  <si>
    <t>Ni</t>
  </si>
  <si>
    <t>hbroz</t>
  </si>
  <si>
    <t xml:space="preserve">Ahmad </t>
  </si>
  <si>
    <t xml:space="preserve"> 0346 7171875</t>
  </si>
  <si>
    <t>Jamiya masjid hanfiya peer hakum shah</t>
  </si>
  <si>
    <t>Peer hakum shah</t>
  </si>
  <si>
    <t>https://drive.google.com/open?id=1Vo1YJV-wa2qMb8zAYI3ljudCLIwhy-hE</t>
  </si>
  <si>
    <t>https://drive.google.com/open?id=1znZ-eB3GTnmq6riifjKvjuUCrhGEixSJ</t>
  </si>
  <si>
    <t>https://drive.google.com/open?id=1cvIqk8lDUB7l-xaAalD6V_snORVOSeFQ</t>
  </si>
  <si>
    <t>ahmedsaeed3351817@gmail.com</t>
  </si>
  <si>
    <t>https://drive.google.com/open?id=1L6V7_glf43lqG328d7ZAdm9-bnqIPmFV</t>
  </si>
  <si>
    <t xml:space="preserve">vmezu </t>
  </si>
  <si>
    <t xml:space="preserve">jamia masjid hazrat syed charag ali shah ealton road </t>
  </si>
  <si>
    <t>Ha</t>
  </si>
  <si>
    <t>https://drive.google.com/open?id=1eaRutIbfjbc5tsIhU6Ciw3K88czzAS5Y</t>
  </si>
  <si>
    <t>https://drive.google.com/open?id=1QDRrrptPZvaYtmE1pF32Ibi1AhAkTFlt</t>
  </si>
  <si>
    <t>https://drive.google.com/open?id=1e6MLpEvXEcYJxDEk0rH59lrv2XuEaP9T</t>
  </si>
  <si>
    <t>pmeqo</t>
  </si>
  <si>
    <t>Muhammad Ahsan</t>
  </si>
  <si>
    <t>Jamia Masjid Darbar Shah Chiraag Lahore</t>
  </si>
  <si>
    <t>00000</t>
  </si>
  <si>
    <t>https://drive.google.com/open?id=1d1WSb3zzd0ot7FSnh7qTVvRykbsnPH3i</t>
  </si>
  <si>
    <t>https://drive.google.com/open?id=1YWOoS0DiquUAtmmJ1dliaAlutOygRw0s</t>
  </si>
  <si>
    <t>https://drive.google.com/open?id=1-2Eh4bcLrPaRU29snlyWpok9d5Z9kSnE</t>
  </si>
  <si>
    <t>Takiya Sain Sardaara</t>
  </si>
  <si>
    <t>https://drive.google.com/open?id=1r1J41Cb7WwPN8LsKfgUqS_HVUePphFAJ, https://drive.google.com/open?id=1sF_n_2OyD_wEGOTyLM3jj-IPCKk43z2g</t>
  </si>
  <si>
    <t>https://drive.google.com/open?id=1QtTar6mTO0-o0KAFrReEUvL02O9wRTli, https://drive.google.com/open?id=1KnC7ExM05I9ava60tW5_8Sz9WCwHXpvt, https://drive.google.com/open?id=1GR0UXPbFb8uQTj_X5xxdm1Qk9lCGVSNi, https://drive.google.com/open?id=1ro_roOK_LEafEzZuvfpCOqpFhoEKjCUv, https://drive.google.com/open?id=1cBido9szDOnUBHJejSegw3FYCCdK57Bn</t>
  </si>
  <si>
    <t>https://drive.google.com/open?id=1MdjdFqxkn5wff15D8ksjid99cZz-gkR4</t>
  </si>
  <si>
    <t>lwumj</t>
  </si>
  <si>
    <t>Sheheryar Ahmad</t>
  </si>
  <si>
    <t>03194458854</t>
  </si>
  <si>
    <t>Jamiyan Masjid Nila Gumbad New Anarkali Lahore</t>
  </si>
  <si>
    <t>https://drive.google.com/open?id=1ZLIgTewvv5ccyckUPc-CzrO-AKww6v-l</t>
  </si>
  <si>
    <t>https://drive.google.com/open?id=1I2x74OpScjlytYOyQHoHk8qWQkJZY4YW</t>
  </si>
  <si>
    <t>https://drive.google.com/open?id=1xdMC6hVCECPqpRPuffotCq4iGWcT_FH_</t>
  </si>
  <si>
    <t>sheheryarahmad9@gmail.com</t>
  </si>
  <si>
    <t>INGWH</t>
  </si>
  <si>
    <t xml:space="preserve">Hafiz Muhammad Asif </t>
  </si>
  <si>
    <t xml:space="preserve">Jamia Masjid Railway Road Sheikhupura </t>
  </si>
  <si>
    <t>Koi nai</t>
  </si>
  <si>
    <t>https://drive.google.com/open?id=14vbFK4GZUywQnuN0tWxzgOna9KRitd-X</t>
  </si>
  <si>
    <t>https://drive.google.com/open?id=1OPaxrmCgZK7VNTN9jQLs1fu8AZMtF6Mz</t>
  </si>
  <si>
    <t>https://drive.google.com/open?id=1FdrO0DDVe-0nTBa-GqmK3nzv-TvIrmae</t>
  </si>
  <si>
    <t>njkhf</t>
  </si>
  <si>
    <t xml:space="preserve">Asim munir </t>
  </si>
  <si>
    <t>03005787199</t>
  </si>
  <si>
    <t>Jamia Masjid Rasool Shaheya Landa Bazar Lahore</t>
  </si>
  <si>
    <t>https://drive.google.com/open?id=1xoK_W2JlOQyG1S7a2PZYXy15TT0lVKTL</t>
  </si>
  <si>
    <t>asim.muneer9024@gmail.com</t>
  </si>
  <si>
    <t>Zaheer  Butt</t>
  </si>
  <si>
    <t>Jamaya Shah Abdul ghani Masjid</t>
  </si>
  <si>
    <t xml:space="preserve">Shah Abdul ghani </t>
  </si>
  <si>
    <t>https://drive.google.com/open?id=1_8Vjb33JpAOya38BFhZ6EyAqdzy65oQX</t>
  </si>
  <si>
    <t>https://drive.google.com/open?id=1BkRFo6M1AcmeqD6VTebKk8OSliacFPrK</t>
  </si>
  <si>
    <t>https://drive.google.com/open?id=1d5TDJ1_JOxNodo4k-KUIZZNa5DwYEmQI</t>
  </si>
  <si>
    <t xml:space="preserve">Jamaya masjid islam </t>
  </si>
  <si>
    <t>Very old</t>
  </si>
  <si>
    <t>https://drive.google.com/open?id=1hEsGMnKuDBIEGpWptQQ7jrVPFjs-zhq8</t>
  </si>
  <si>
    <t>https://drive.google.com/open?id=1UflC0gXbaQOWBigVlvwzaZbZE6X6e1k2</t>
  </si>
  <si>
    <t>https://drive.google.com/open?id=1xufQCP6q2lz41q9gQ2NVxJBjIlj4d-y2</t>
  </si>
  <si>
    <t>https://drive.google.com/open?id=1R0PmrWPs5DIriZZH4oz-6PKOe3B6r1gZ</t>
  </si>
  <si>
    <t>https://drive.google.com/open?id=1ov-sXGP8FxUARhrVpz8NShnkciaAukYP</t>
  </si>
  <si>
    <t>https://drive.google.com/file/d/1rBfJYIww--HNLCpMqHiOkWsYlQK27CdJ/view?usp=sharing</t>
  </si>
  <si>
    <t>SXNPD</t>
  </si>
  <si>
    <t xml:space="preserve">Nouman khan </t>
  </si>
  <si>
    <t>03034702785</t>
  </si>
  <si>
    <t>Sayen Karam ilahi masjid</t>
  </si>
  <si>
    <t>Sayen Karam ilahi</t>
  </si>
  <si>
    <t>https://drive.google.com/open?id=1DEFU5sDwey5HZzEE_r6baKuOMo-ZWdS4</t>
  </si>
  <si>
    <t>https://drive.google.com/open?id=15wHuFh1R-BQORy3ZocCawbuixPFxMUmS</t>
  </si>
  <si>
    <t>https://drive.google.com/open?id=1PUS2Rvl7LmLLYsTJNUW1mJ6dE5J-RL_d</t>
  </si>
  <si>
    <t xml:space="preserve">No comment </t>
  </si>
  <si>
    <t>nouuman.pak1993@gmail.com</t>
  </si>
  <si>
    <t>xdhvt</t>
  </si>
  <si>
    <t>https://drive.google.com/open?id=1xmXsfiuNKXXuWWt3z2Da9LGSUQFfj1Ip</t>
  </si>
  <si>
    <t>https://drive.google.com/open?id=1G6ftajbBh1NpQd9CB0XCr5q3Aq7KQ-vl</t>
  </si>
  <si>
    <t>https://drive.google.com/open?id=1zmKm6su4u2NNqCEEpBIl-lfdcAc-cnkv</t>
  </si>
  <si>
    <t>dkded</t>
  </si>
  <si>
    <t>03466626866</t>
  </si>
  <si>
    <t>Jamia Masjid Darbar Peer Milah Reheem Pura Kachian, Tehsil &amp; District Sialkot</t>
  </si>
  <si>
    <t>https://drive.google.com/open?id=12De6V-GYjqqAZVfw9rQHFe7shPS7Y6vQ</t>
  </si>
  <si>
    <t>https://drive.google.com/open?id=13p_goAQct7KhxsyjwJOOs4f5wCejR0uh</t>
  </si>
  <si>
    <t>https://drive.google.com/open?id=14qnOoInmDGkfHlNVJIYi-u6ZGmQp91uD</t>
  </si>
  <si>
    <t xml:space="preserve">All topics are covered </t>
  </si>
  <si>
    <t>kelash78@gmail.com</t>
  </si>
  <si>
    <t xml:space="preserve">Qadeer shah Darbar </t>
  </si>
  <si>
    <t>https://drive.google.com/open?id=19muyISgY3kdBPSEqbk7FtVtgAvJQ7u6c, https://drive.google.com/open?id=11jci9YUOhcTFbxEEoDu2vKJg3U6T3U4B, https://drive.google.com/open?id=1P0dluTzXiu24svY2kT2yqFMAhRoUppLM, https://drive.google.com/open?id=11luib1OQPxYW-ttSfCfMGg234ovqBezQ, https://drive.google.com/open?id=1wHQeof447owjnjxrWiKCPwjJ1d2sGRHa</t>
  </si>
  <si>
    <t>https://drive.google.com/open?id=1axlmFLzerDPdIX196dib3ERaeGgwiqMV, https://drive.google.com/open?id=1r_IVwwZLGIsJv_ZLJsW1AqvLbQYXiEw4, https://drive.google.com/open?id=1CV94YEc1z1-Mrv7OfAypG877Rg7ESIz3, https://drive.google.com/open?id=1gpugRFnXy3OJPkhEmu55volBBW48EYaA</t>
  </si>
  <si>
    <t>https://drive.google.com/open?id=1HrvzLinb1OnQr2TiUe1XTOXhJNNRP8Sp, https://drive.google.com/open?id=1fyE2sQNR3ttm3WATCfIIQFBClFtZn5v1</t>
  </si>
  <si>
    <t>Imam sahib ny hamara khutba nahi parha hai.</t>
  </si>
  <si>
    <t>bjngp</t>
  </si>
  <si>
    <t>Sami Ullah</t>
  </si>
  <si>
    <t>03060977105</t>
  </si>
  <si>
    <t>Jamia masjid gulzar madina</t>
  </si>
  <si>
    <t>https://drive.google.com/open?id=1gwGulCrdkF7Tc_ff6HejnsfK3JrVTecM</t>
  </si>
  <si>
    <t>https://drive.google.com/open?id=16F058S3ofRLijGkEUOIYMfcU4Q8WDTTC</t>
  </si>
  <si>
    <t>https://drive.google.com/open?id=16NnHDU7JInRK6CHpO-CFj-WZxkxOaPBL</t>
  </si>
  <si>
    <t>samiullahjoyia973@gmail.com</t>
  </si>
  <si>
    <t>Jiuks</t>
  </si>
  <si>
    <t>نوید انجم</t>
  </si>
  <si>
    <t>03009829782</t>
  </si>
  <si>
    <t>مرکزی جامع مسجد دربار شریف حضرت بابا سخی سید محمد سید شاہ</t>
  </si>
  <si>
    <t xml:space="preserve">دربار بابا سید شاہ </t>
  </si>
  <si>
    <t>https://drive.google.com/open?id=1zqvaFKnbCUOgZvA5h7GXyadZqC-nKg3p</t>
  </si>
  <si>
    <t>https://drive.google.com/open?id=1wG29YCpZkWChvNKgjNWYexf2CyuWZOqM</t>
  </si>
  <si>
    <t>https://drive.google.com/open?id=1cKS4Aciad3y2lA-_Np13z6ZIIPGoQsFg</t>
  </si>
  <si>
    <t>navidanjum20@gmail.com</t>
  </si>
  <si>
    <t>HNZOG</t>
  </si>
  <si>
    <t xml:space="preserve">Jami Masjed Mirza Ourkaan Sheikupura </t>
  </si>
  <si>
    <t>https://drive.google.com/open?id=1KjtzrwJdWxQGysgO7dDNRIwi-LQgjRgj</t>
  </si>
  <si>
    <t>https://drive.google.com/open?id=1cldsvPBlDr2zrQE7azU46GMHmQik_-lj</t>
  </si>
  <si>
    <t>https://drive.google.com/open?id=1YP_TIrfkQJhnLc4wAEHhtEnmudxtExvE</t>
  </si>
  <si>
    <t xml:space="preserve">Jamia Syedna Abubakar Siddique Gumti Bazar </t>
  </si>
  <si>
    <t>https://drive.google.com/open?id=1fzFlOpnqdBT65NKzTdEVLNr3bW7DCyYx</t>
  </si>
  <si>
    <t>https://drive.google.com/open?id=16Ivj2XBeq-svMvQXPUhLT7iSwbSP1Z-Z, https://drive.google.com/open?id=1yflX3q-m2WPOqyGPqimio4_5a3LTFTzO</t>
  </si>
  <si>
    <t>https://drive.google.com/open?id=1s8o0lort_B-bCSWZt2iHl47lpXvcGr3D</t>
  </si>
  <si>
    <t>Wrtan</t>
  </si>
  <si>
    <t xml:space="preserve">Wasif Rehman </t>
  </si>
  <si>
    <t>03466866233</t>
  </si>
  <si>
    <t>Jamia masjid derbar naghy shah</t>
  </si>
  <si>
    <t xml:space="preserve">Derbar naghy shah </t>
  </si>
  <si>
    <t>https://drive.google.com/open?id=13hrNTsuVlchrsQMcyUeFFAkQRhSeAER8</t>
  </si>
  <si>
    <t>https://drive.google.com/open?id=1kW4L8oFyCPKkZ_EdnS7pCyIdYyB9SS7w</t>
  </si>
  <si>
    <t>https://drive.google.com/open?id=1qweIClmM2tByKy4Ti5rM5xBmGCFQwUOr</t>
  </si>
  <si>
    <t>wasif6268@gmail.com</t>
  </si>
  <si>
    <t>https://drive.google.com/open?id=1EYOKAxaCjDMaZuuCu1tVYPeTgzmgzSph</t>
  </si>
  <si>
    <t>https://drive.google.com/open?id=1Cyx_ovKLYXEFNmktL0GQ3rInHBIJ_8HY</t>
  </si>
  <si>
    <t>Osgnp</t>
  </si>
  <si>
    <t>Muhammad Saifullah khan</t>
  </si>
  <si>
    <t>03101793850</t>
  </si>
  <si>
    <t>Markazi jamiya msjid maine bazar khushab</t>
  </si>
  <si>
    <t>https://drive.google.com/open?id=1ZgToLWUpFYY1Pz0UUOl_y5_C__vMvXsy</t>
  </si>
  <si>
    <t>https://drive.google.com/open?id=13-e0QourTePWt4Kp2zbtuX3OR_aU5GRa</t>
  </si>
  <si>
    <t>https://drive.google.com/open?id=1ePG7YGeGVSwo83uE7xCwzGTgAK-7cArv</t>
  </si>
  <si>
    <t>kmuhammadsaifullah@gmail.com</t>
  </si>
  <si>
    <t>Gxkkx</t>
  </si>
  <si>
    <t>Nisar Ali Nasir</t>
  </si>
  <si>
    <t>03445131452</t>
  </si>
  <si>
    <t xml:space="preserve">Jamia masjid darbar badshan </t>
  </si>
  <si>
    <t xml:space="preserve">Darbar badshan </t>
  </si>
  <si>
    <t>https://drive.google.com/open?id=1GpvAoCPvg9Z_npesaqGCA-9dn3kkDssu</t>
  </si>
  <si>
    <t>https://drive.google.com/open?id=1HQJHm8YiVb_kiuSdvrKexHSGOMMVj27K</t>
  </si>
  <si>
    <t>https://drive.google.com/open?id=1c_WuCNAIfgufoYGzPFYKraNfBZrKAViD</t>
  </si>
  <si>
    <t>nisaralinasir4@gmail.com</t>
  </si>
  <si>
    <t>https://drive.google.com/open?id=1z-p87qnOEcmu4icPDvuCbqHJEEVjkbWX</t>
  </si>
  <si>
    <t>https://drive.google.com/open?id=1GZugQPlPYb7Fljz1m8mP83xr8JDrGaDl</t>
  </si>
  <si>
    <t>https://drive.google.com/open?id=18V_uQoQbhgtJ9-sK2wZZcswokMK5WktS</t>
  </si>
  <si>
    <t>Jamia Masjid Shah Ali Rungareez Lahore</t>
  </si>
  <si>
    <t>https://drive.google.com/open?id=1Sy86Xo9n3t_BsmM3QL_Ldxe8BX6yApw7</t>
  </si>
  <si>
    <t>https://drive.google.com/open?id=1I1iPGcbRX3NCl-CC61OkJk57GVDCXuDu</t>
  </si>
  <si>
    <t>https://drive.google.com/open?id=1_exkS--n8ZhIoNB46myakyF-OGZrqgp7</t>
  </si>
  <si>
    <t>Jamia Masjid Noor Eman Wala (TNJAZ)</t>
  </si>
  <si>
    <t>https://drive.google.com/open?id=14zvqgcYwTk3ptMaZpEX4c8i_IQ66A73R</t>
  </si>
  <si>
    <t>https://drive.google.com/open?id=1Lp4eQFMThD8BfFHJer1TpQcl4qR16lMS</t>
  </si>
  <si>
    <t>https://drive.google.com/open?id=1CR9Cq3iFEcntYoD27a0mRFPWDXyKKLPx</t>
  </si>
  <si>
    <t>Oiuji</t>
  </si>
  <si>
    <t xml:space="preserve">Wajid Mushtaq </t>
  </si>
  <si>
    <t>03246427664</t>
  </si>
  <si>
    <t xml:space="preserve">Jamia Masjid Dabar Cila Ga KangnaPeera Ahmal Pura Sialkot </t>
  </si>
  <si>
    <t>https://drive.google.com/open?id=1FfjSQOIkXUx0O8p9ieIoOiWa_j66chcf</t>
  </si>
  <si>
    <t>https://drive.google.com/open?id=15mUkmgvLthZHhDrA5le5yJn6l8VooUTT</t>
  </si>
  <si>
    <t>https://drive.google.com/open?id=1WcEoM3gnUhItmNY3n7QgZgx1z08TKb32</t>
  </si>
  <si>
    <t xml:space="preserve">Not following the written instructions </t>
  </si>
  <si>
    <t>wajidmushtaq941@gmail.com</t>
  </si>
  <si>
    <t>LTSEN</t>
  </si>
  <si>
    <t xml:space="preserve">محمد وسیم </t>
  </si>
  <si>
    <t>03036313075</t>
  </si>
  <si>
    <t xml:space="preserve">شاہی مسجد چنیوٹ </t>
  </si>
  <si>
    <t>https://drive.google.com/open?id=188p23_zJQW4EfyXob-rUzkf2X0cgQK6S</t>
  </si>
  <si>
    <t>https://drive.google.com/open?id=1Iifkb2P8Y4nq8xg0NL-voX5LULJkekwP</t>
  </si>
  <si>
    <t>https://drive.google.com/file/d/1Ger7GrAnAx-MUdWrlAXsCNeh4PkCIrBN/view?usp=sharing</t>
  </si>
  <si>
    <t>waseem.pwd.chiniot@gmail.com</t>
  </si>
  <si>
    <t>Jamia Masjid Hanifia Railway Road Gawaal Mandi Lahore</t>
  </si>
  <si>
    <t>Hazrat Baba Sayed muraad Shah and Hazrar Baba Syed Natho shah</t>
  </si>
  <si>
    <t>https://drive.google.com/open?id=1HaICNJVwUOphSmk8FPu_lBccJkGlOL0v, https://drive.google.com/open?id=1f_0K26kPqaa4-hI84y8wX_p7hcdGRluO, https://drive.google.com/open?id=1WXAGwqUgNt638O-XSPS-SEa7vlBmBLX1, https://drive.google.com/open?id=1WU15OCOM2927y20UXXkYinxGst-MvomL, https://drive.google.com/open?id=1kuFqffoa2ug_Z4pWqSRi8F-VfDobDKh9</t>
  </si>
  <si>
    <t>https://drive.google.com/open?id=1HY2a-vMPALUHfAI79tbrO3D8uBrZYRLl, https://drive.google.com/open?id=19NFZ9VH0INGDrIt4fwdeWKmOVynBmPzv, https://drive.google.com/open?id=1MxzmruL0kT-oy9dIDJ7YAMmd30h1mSLG, https://drive.google.com/open?id=1z0a8ZdDopfDZG7GKw3lUZO6iKQsiz8KT</t>
  </si>
  <si>
    <t>https://drive.google.com/open?id=17Omk1xU_6g4J2WKpyLrIMEAljHH-zjUr</t>
  </si>
  <si>
    <t>ECKCL</t>
  </si>
  <si>
    <t xml:space="preserve">Muhammad Usman </t>
  </si>
  <si>
    <t>03006214381</t>
  </si>
  <si>
    <t xml:space="preserve">Jamia masjed Shah Hussain </t>
  </si>
  <si>
    <t>Shah Hussain multani</t>
  </si>
  <si>
    <t>https://drive.google.com/open?id=15za1QhbFaMbj9Dh_Yl--MEkYnTcmVD6Y, https://drive.google.com/open?id=1cJ9OjIOOs4VIIw42vjrqq6i4bmrMaXz2, https://drive.google.com/open?id=1-DqcPEfEpAeOJ3tGLUxO5beoIG0Tkm_A, https://drive.google.com/open?id=1ON72AxvGYjkV9UgsLzz_k-F7yHUakFi-, https://drive.google.com/open?id=19XitYM1Slxx6DkMe4wELyB_pCizJ2f7T</t>
  </si>
  <si>
    <t>https://drive.google.com/open?id=1PPxuxOM2wIMr0JcrITGi7syxIY8JP_KL, https://drive.google.com/open?id=1gJLpNtwDY1D6cife9Thf8IlbH2p3Lsfd, https://drive.google.com/open?id=1k1E0WFHx1KvsQXJsJbptD7UHIVIJkft_, https://drive.google.com/open?id=1QgkF_wWO6CL1zrRB5wGL6wjf8XH8t1n_, https://drive.google.com/open?id=1ICZlEbwqOvCqRq8D43jOybMgweeNK3DN</t>
  </si>
  <si>
    <t>https://drive.google.com/open?id=1mCQQpvebEevHj4A5YAHxfRMVdHTE-elx</t>
  </si>
  <si>
    <t>osman.mohammad381@gmail.com</t>
  </si>
  <si>
    <t>ZMBIV</t>
  </si>
  <si>
    <t>Farhat Abbas</t>
  </si>
  <si>
    <t>03217753289</t>
  </si>
  <si>
    <t xml:space="preserve">Jamia markazi Masjid ahl e sunnat railway Chowk malakwal </t>
  </si>
  <si>
    <t>https://drive.google.com/open?id=1jK2Rcu_apHaUS1seJp2VkQ3Um9wdAU5t, https://drive.google.com/open?id=1OStGkkQ4ePS8iBcsNINjdEW4H390-0Ei</t>
  </si>
  <si>
    <t>https://drive.google.com/open?id=1LobgM7p3DcxAYwr9NHrCgNhDmEq-xSOw</t>
  </si>
  <si>
    <t>https://drive.google.com/open?id=1JbJ3KD3V9HyMJ3yCYYal9i3hgzANb85t</t>
  </si>
  <si>
    <t>mailforfahat@gmail.com</t>
  </si>
  <si>
    <t xml:space="preserve">Jamia Masjid Farooq Abad auqaf wali </t>
  </si>
  <si>
    <t>https://drive.google.com/open?id=1pLDNfadBTvpEySYyi0sq8oSWJUezq_-1</t>
  </si>
  <si>
    <t>https://drive.google.com/open?id=1HmAKCBk05PDeOZpzpQf-HSeIviSNtU7j</t>
  </si>
  <si>
    <t>https://drive.google.com/open?id=1tJSLscdYWEcal01YimyqQs3rHd9n-R-D</t>
  </si>
  <si>
    <t>Muhammad Abu bakar</t>
  </si>
  <si>
    <t>03420642165</t>
  </si>
  <si>
    <t xml:space="preserve">QARI MUHAMMAD JAVID SULTANI </t>
  </si>
  <si>
    <t>abub55768@gmail.com</t>
  </si>
  <si>
    <t>xuynq</t>
  </si>
  <si>
    <t>Shahzad Amjad</t>
  </si>
  <si>
    <t>0323-4751058</t>
  </si>
  <si>
    <t>Jamia Masjid Ghosia Masti Gate Lahore</t>
  </si>
  <si>
    <t>https://drive.google.com/open?id=1EWh1wYRomzuc_q17BUhrGFYpT6-YsWYw</t>
  </si>
  <si>
    <t>https://drive.google.com/open?id=1QGEfcnx1TqdnyNh49u227GSkvHSLIFDN</t>
  </si>
  <si>
    <t>https://drive.google.com/open?id=1HW9q0BtiI_cLBRHkdwpteSFwDgrljlAN</t>
  </si>
  <si>
    <t>malikggg151@gmail.com</t>
  </si>
  <si>
    <t>ZRXRI</t>
  </si>
  <si>
    <t>Ali raza</t>
  </si>
  <si>
    <t>03486712713</t>
  </si>
  <si>
    <t xml:space="preserve">JAMIA MASJID FAROOQIYA RIZVIYA POWNDAWALA </t>
  </si>
  <si>
    <t>https://drive.google.com/open?id=1lnnS3aNyUDhISeUlfuRuiEhG1E0QfAEI</t>
  </si>
  <si>
    <t>https://drive.google.com/open?id=1Zg1h0JgE-1wTxi6ZXmGj7HszEF4xkDTR</t>
  </si>
  <si>
    <t>https://drive.google.com/open?id=1fuNEuXCOzlFUmqflyHBKeJijcwHnQjfh</t>
  </si>
  <si>
    <t>aliraza.hafizabadi@gmail.com</t>
  </si>
  <si>
    <t>PGPQM</t>
  </si>
  <si>
    <t xml:space="preserve">تنویر الحسن </t>
  </si>
  <si>
    <t>03095906728</t>
  </si>
  <si>
    <t>جامع مسجد دربار حاجی شیخ احمد ولی</t>
  </si>
  <si>
    <t xml:space="preserve">دربار حاجی شیخ احمد ولی </t>
  </si>
  <si>
    <t>https://drive.google.com/open?id=1sTd5YlM4l8hLhAHTgL6Sz_2S0SeNoYIK</t>
  </si>
  <si>
    <t>https://drive.google.com/open?id=15NA-z75BaMm1oYGaDZXG-oKU9z_ZiBQF</t>
  </si>
  <si>
    <t>https://drive.google.com/open?id=1cz5N4dz7rg7W8jk51Ds3r4mmMyR4xRr2</t>
  </si>
  <si>
    <t>tanveerhanjra67@gmail.com</t>
  </si>
  <si>
    <t xml:space="preserve">Babar Ali </t>
  </si>
  <si>
    <t>Jamia Mosjid Noorani Qasaban Wali</t>
  </si>
  <si>
    <t>https://drive.google.com/open?id=1sWaAS5BBgXGHbYCy5uBLzg2cIwRXBKtF</t>
  </si>
  <si>
    <t>https://drive.google.com/open?id=1xzXpaSJ22yVJgGucAW9U4U1RMVNQbg2K</t>
  </si>
  <si>
    <t>https://drive.google.com/open?id=1fKV3SMdp5FxSn84-kTa7U7k4DqLXH7Dy</t>
  </si>
  <si>
    <t>vncjq</t>
  </si>
  <si>
    <t>03290367757</t>
  </si>
  <si>
    <t xml:space="preserve">Markazi Jamia Masjid Satellite Town Sargodha </t>
  </si>
  <si>
    <t>https://drive.google.com/open?id=1WCSbUkB9ro7OHdW800JIkoZVmts-Wiuc, https://drive.google.com/open?id=1E5ltVibeHyOwsOgfnSFo0HE9kjtMYTwE</t>
  </si>
  <si>
    <t>https://drive.google.com/open?id=10XaR1Ab3Bv_v7bwDXpMer6wVYJUgIv71</t>
  </si>
  <si>
    <t>https://drive.google.com/open?id=1mF_Y4DWeChm-GK-O-rfQ6MvR5Pqq-nfB</t>
  </si>
  <si>
    <t xml:space="preserve">No
</t>
  </si>
  <si>
    <t>alyxraza777@gmail.com</t>
  </si>
  <si>
    <t>Masjid Kingrian wali Mozang</t>
  </si>
  <si>
    <t>https://drive.google.com/open?id=1ugcbGPZqxOXoqvtN3EO053ZWr6B9FmcJ</t>
  </si>
  <si>
    <t>https://drive.google.com/open?id=1nhQqpmHj0Kw3BkBctWyl1Da5lMIfQpLF</t>
  </si>
  <si>
    <t>https://drive.google.com/open?id=1YwDtR46yEUP6HXfVdFoy7PvumqpEf9g1</t>
  </si>
  <si>
    <t>qpstq</t>
  </si>
  <si>
    <t>Muhammad Saad ameer</t>
  </si>
  <si>
    <t>03285003985</t>
  </si>
  <si>
    <t>Jamia masjid gulzare madina 43 shumali sargodha</t>
  </si>
  <si>
    <t>https://drive.google.com/open?id=1Yi-VhjfvlyM1DaJaN1kt8Cvn1vhFgJOT</t>
  </si>
  <si>
    <t>https://drive.google.com/open?id=1xWnfUDtao70QHFbtZsnfx8nOfBNes5K4</t>
  </si>
  <si>
    <t>https://drive.google.com/open?id=1-UwuLHYMk7aQU1D-yfyjWOdRJyDpsixk</t>
  </si>
  <si>
    <t>meharsaad986@gmail.com</t>
  </si>
  <si>
    <t>Moorq</t>
  </si>
  <si>
    <t xml:space="preserve">Abdul Jabbar </t>
  </si>
  <si>
    <t>03092670337</t>
  </si>
  <si>
    <t xml:space="preserve">Jamia Masjid Takiya Sakhi Abdul Wahaab </t>
  </si>
  <si>
    <t xml:space="preserve">Sakhi Abdul Wahaab </t>
  </si>
  <si>
    <t>https://drive.google.com/open?id=1z4pa-ZCgThFH3oCC_sxeRP9UOL3GfibW</t>
  </si>
  <si>
    <t>https://drive.google.com/open?id=1EZjSc_6yj1vAqdmIjhGAE9jnzYBbrb9a</t>
  </si>
  <si>
    <t>https://drive.google.com/open?id=16GwmzVRw-adnS8j1_LVDt-UbPQ80wqdm</t>
  </si>
  <si>
    <t>abduljabbar02082004@gmail.com</t>
  </si>
  <si>
    <t>palog</t>
  </si>
  <si>
    <t>Shoaib</t>
  </si>
  <si>
    <t>03018698469</t>
  </si>
  <si>
    <t>Jamia masjid ashrafiya gol chok</t>
  </si>
  <si>
    <t xml:space="preserve">Koi nhi he </t>
  </si>
  <si>
    <t>https://drive.google.com/open?id=1GLzbff-eXsn9VzdYCxBf_vADZC9gaCdD</t>
  </si>
  <si>
    <t>https://drive.google.com/open?id=1YVrdlw2GkZb-JoJPgVLelwWPLW5A_BzD</t>
  </si>
  <si>
    <t>https://drive.google.com/open?id=1twylK2pnxlAIYg9y4grlhYKeO1XawihA</t>
  </si>
  <si>
    <t>shoaibmukhtar073@gmail.com</t>
  </si>
  <si>
    <t>Pmxox</t>
  </si>
  <si>
    <t>Jawad</t>
  </si>
  <si>
    <t>03076036512</t>
  </si>
  <si>
    <t>Jamia masjid block#1 sargodha</t>
  </si>
  <si>
    <t>https://drive.google.com/open?id=1cnpBYc_1Un7OFDUkgoA6uBhSUuYf0uUl</t>
  </si>
  <si>
    <t>https://drive.google.com/open?id=1oktqcfeKexYsw_rCtvQWP6GDLqzMVWCo</t>
  </si>
  <si>
    <t>https://drive.google.com/open?id=13ZWxT3T2XCJDDjT5nLlb17azWQeqv0c3</t>
  </si>
  <si>
    <t>malikjawadahmed667@gmail.com</t>
  </si>
  <si>
    <t>PXOLR</t>
  </si>
  <si>
    <t xml:space="preserve">Muhammad Naveed </t>
  </si>
  <si>
    <t>03044150404</t>
  </si>
  <si>
    <t>Jamia masjid Hafiz Noor jhelum</t>
  </si>
  <si>
    <t>https://drive.google.com/open?id=1jjJe_mAxvZl5JPAxoPZcir0TqH3mh637</t>
  </si>
  <si>
    <t>mnaveed6011@gmail.com</t>
  </si>
  <si>
    <t>Haris</t>
  </si>
  <si>
    <t>https://drive.google.com/open?id=1VoC4UT9ZmfZtPDI76VjIaQEYtbHpFzhQ</t>
  </si>
  <si>
    <t>https://drive.google.com/open?id=169lQ7OsRvC1BCMCvLU2XYl-Bgrs6OxkN</t>
  </si>
  <si>
    <t>https://drive.google.com/open?id=1r8QJykvHA7s_VKJr8kPOGLw7gxL-6cs5</t>
  </si>
  <si>
    <t xml:space="preserve">Jamia Masjid Madina township Lahore </t>
  </si>
  <si>
    <t>4-5</t>
  </si>
  <si>
    <t>https://drive.google.com/open?id=1H_awdPw9zznEkg9pJwr4C0w4LtDsxf-y</t>
  </si>
  <si>
    <t>https://drive.google.com/open?id=1hksgj4QocrWB3udVFByWJ0g8YLCIN2N3</t>
  </si>
  <si>
    <t>https://drive.google.com/open?id=1Ty3sHgkycx2xu8aL6BHuhUMOcnV5DUpR</t>
  </si>
  <si>
    <t>yhrds</t>
  </si>
  <si>
    <t xml:space="preserve">Jamia masjid darbar meer Husain zanjani </t>
  </si>
  <si>
    <t xml:space="preserve">Meraan hussain zanjani </t>
  </si>
  <si>
    <t>https://drive.google.com/open?id=1reoQ49n_3MCNCQBlCDwb09v5TdTPp3SI</t>
  </si>
  <si>
    <t>https://drive.google.com/open?id=1T0PWiQu1yPJ0IqQNP2vAVoMlcWzpjON2</t>
  </si>
  <si>
    <t>https://drive.google.com/open?id=1vYnsO4R2DAYT_0WlYOI4TGC3nljQRlYr</t>
  </si>
  <si>
    <t>Jamia masjid Bilal Nawab Colony Misri shah</t>
  </si>
  <si>
    <t>https://drive.google.com/open?id=1wDBD9d4x69JDlFyaoZpnUOgmvDyxnxE-</t>
  </si>
  <si>
    <t>https://drive.google.com/open?id=1nGhOVTmCkHmCySNwDEJfWIn5NenUvnAp</t>
  </si>
  <si>
    <t>https://drive.google.com/open?id=1BqXzbxVRL7RAEj8StbNN7A6FYYOpG5-m</t>
  </si>
  <si>
    <t>Alee.raxa007@gmail.com</t>
  </si>
  <si>
    <t>M.Shamas</t>
  </si>
  <si>
    <t xml:space="preserve">Jamia Masjid Hanfiya Muslim Gunj Kachu Pura </t>
  </si>
  <si>
    <t>https://drive.google.com/open?id=1qgpTKBekgXJTDqN9tzA1hYtZOGJhIVFK</t>
  </si>
  <si>
    <t>https://drive.google.com/open?id=1BdicaPgqbXOGj6uw-ev3Y4s6VKhYsR2r</t>
  </si>
  <si>
    <t>https://drive.google.com/open?id=12qDw6sDi_pMHu6Daknb3eJtz0sT1qZ4Z</t>
  </si>
  <si>
    <t xml:space="preserve">جامعہ مسجدحاحنفیہ بیڈن روڈ لاہور </t>
  </si>
  <si>
    <t>1 سے 2</t>
  </si>
  <si>
    <t>https://drive.google.com/open?id=1JIZO0pm7m8hXuCpw3Br2Xw3Rl66bFEZt, https://drive.google.com/open?id=1lj_tmr0bOXN_OFT_mM1yg-eeN9ISOVkf</t>
  </si>
  <si>
    <t>https://drive.google.com/open?id=15byAWEe7yw1khDFSKt4IvKs1Jnq6KnSH, https://drive.google.com/open?id=1aiyvbsNOBQVMm_TbjgTJL3Qxnhp8L0zJ</t>
  </si>
  <si>
    <t>https://drive.google.com/open?id=1Y9o6WCHjga1aHzc8FmEAiBCWhloMZySK</t>
  </si>
  <si>
    <t>Aknhz</t>
  </si>
  <si>
    <t>Muhammad Baqir</t>
  </si>
  <si>
    <t>03005551884</t>
  </si>
  <si>
    <t xml:space="preserve">Jamia Masjid Emam Ali Alhaq Sialkot </t>
  </si>
  <si>
    <t xml:space="preserve">Emam Ali Alhaq Sialkot </t>
  </si>
  <si>
    <t>https://drive.google.com/open?id=15s7JlXhj8Q3FTQPlaGi701INPxP1Dngq</t>
  </si>
  <si>
    <t>https://drive.google.com/open?id=1ur8FWGCmspeLZOgHtgka3VfOLyuWmbuw</t>
  </si>
  <si>
    <t>https://drive.google.com/open?id=1dKJwOx7CbMO34q_FKAkyVpBjnKvFQXZi</t>
  </si>
  <si>
    <t>baqir26@yahoo.com</t>
  </si>
  <si>
    <t>Zqlfc</t>
  </si>
  <si>
    <t xml:space="preserve">Adnan Ali </t>
  </si>
  <si>
    <t xml:space="preserve">0305 4045395 </t>
  </si>
  <si>
    <t xml:space="preserve">Jamia Masjid luhari Gate Lahore </t>
  </si>
  <si>
    <t>https://drive.google.com/open?id=18A_Rrw4n-pxe-LpNh_kcNeSvaGNZKTp9</t>
  </si>
  <si>
    <t>https://drive.google.com/open?id=1eBKCokVgRuGYDqg6V6gdxdMfrQu6wTqj</t>
  </si>
  <si>
    <t>https://drive.google.com/open?id=1hr6Soq_WEJi6-FyAp7kO38ijuRyv3Pxx</t>
  </si>
  <si>
    <t>a65047036@gmail.com</t>
  </si>
  <si>
    <t>https://drive.google.com/open?id=1iB0yCbKh9V4fBedekOqYdJTkNFqgsLuQ</t>
  </si>
  <si>
    <t>https://drive.google.com/open?id=1ueqfpWigvvrGvNdNNt5VxIUsWCGxr7KN</t>
  </si>
  <si>
    <t>https://drive.google.com/open?id=14inJVTTs-ua6lQ3fD2Jmvd3bAwyMW800</t>
  </si>
  <si>
    <t>Pcboq</t>
  </si>
  <si>
    <t>03076348483</t>
  </si>
  <si>
    <t>Jamia masjid safdariya rangpura sialkot</t>
  </si>
  <si>
    <t>https://drive.google.com/open?id=1K7Fw_gzV-wPdEp1AEKJduscKYzWtcRlZ</t>
  </si>
  <si>
    <t>https://drive.google.com/open?id=1ZyZvfCxCln5j--uBznvHFg0mUKshyrlH</t>
  </si>
  <si>
    <t>https://drive.google.com/open?id=17WsVvW0lC1D4xq2_GPl-KUkUAN8-Rb7M</t>
  </si>
  <si>
    <t>subhan.zulaied@gmail.com</t>
  </si>
  <si>
    <t>jamia masjid hazrat syed charag ali shah</t>
  </si>
  <si>
    <t>yes</t>
  </si>
  <si>
    <t>https://drive.google.com/open?id=1RjqIfNBh1CeINdtVOjTEwfuNne7kw5jk</t>
  </si>
  <si>
    <t>https://drive.google.com/open?id=1GD22A9LWhUXTzs-dlaA9HmPHQhfyBi_J</t>
  </si>
  <si>
    <t>https://drive.google.com/open?id=1jPo9Fgose9IPb34EDwrkXK9q8wJkk4UX</t>
  </si>
  <si>
    <t>masjid ma pena wala pani ka intazam ni tha</t>
  </si>
  <si>
    <t>IPMEE</t>
  </si>
  <si>
    <t>Muhammad Bakhsh</t>
  </si>
  <si>
    <t>03455751506</t>
  </si>
  <si>
    <t xml:space="preserve">Markzi Jamia Masjid Railway Road Mandi Bahauddin </t>
  </si>
  <si>
    <t>One</t>
  </si>
  <si>
    <t>https://drive.google.com/open?id=1WI5vLCQK1r5Mn01yJfUfAWKGBSCA-urO</t>
  </si>
  <si>
    <t>https://drive.google.com/open?id=1yBAs75IR4J8fbY4CQ8-51yvf149fOCD-, https://drive.google.com/open?id=1BK9N1IPOhg52CyF3d51axYbs2skZxYB0</t>
  </si>
  <si>
    <t>https://drive.google.com/open?id=1Bld_IDtCUwyQlJPSC2McoKf-bR1dCGE9</t>
  </si>
  <si>
    <t>mb.gondal2016@gmail.com</t>
  </si>
  <si>
    <t xml:space="preserve">Mohsin Raza </t>
  </si>
  <si>
    <t xml:space="preserve">Jamia Masjid Imam bargah kalan kacheri sheikhupura </t>
  </si>
  <si>
    <t xml:space="preserve">زیر تعمیر </t>
  </si>
  <si>
    <t>https://drive.google.com/open?id=1jpdU5xvfyzONBWcYrJ7f4VhTNJsNkLIz</t>
  </si>
  <si>
    <t>https://drive.google.com/open?id=1UjWAJmpCo9RgVGd2hP_XqukvCJaLTQka</t>
  </si>
  <si>
    <t>https://drive.google.com/open?id=1n6_LK-XExxokeY5R157brhnv04pvjsob</t>
  </si>
  <si>
    <t>DGOHD</t>
  </si>
  <si>
    <t xml:space="preserve">Abdulqayyum </t>
  </si>
  <si>
    <t>03064458620</t>
  </si>
  <si>
    <t>Jamia Masjid Darbar Abdul Salam chishti Musroor Shakargarh</t>
  </si>
  <si>
    <t xml:space="preserve">Abdul Salam chishti </t>
  </si>
  <si>
    <t>https://drive.google.com/open?id=1n5J6O8VFGw2AVuTlbqRcdb2o0u1_1GeY</t>
  </si>
  <si>
    <t>https://drive.google.com/open?id=1W9cTMzJUGIto5c2vBD81QLvkRtcDSvWG</t>
  </si>
  <si>
    <t>https://drive.google.com/open?id=1Qo8W-7qumF0eSaLqwU_4IgWEfJ9Zx5LZ</t>
  </si>
  <si>
    <t>abdulqayyum53373@gmail.com</t>
  </si>
  <si>
    <t>HOMVR</t>
  </si>
  <si>
    <t xml:space="preserve">Muhammad Abu Bakar </t>
  </si>
  <si>
    <t>Markazi jamia Masjid Sadiq akbar</t>
  </si>
  <si>
    <t>https://drive.google.com/open?id=1xK2pdMG5wb9sbsVRtsris_JpLwDvJpXA</t>
  </si>
  <si>
    <t>https://drive.google.com/open?id=1mWVQ1kFfZHSEw7ijRQ55f1ncF5KkcDHB</t>
  </si>
  <si>
    <t>Jtmur</t>
  </si>
  <si>
    <t xml:space="preserve">Saif ullah </t>
  </si>
  <si>
    <t>03232498641</t>
  </si>
  <si>
    <t>Jamia masjid phularwan sargodha</t>
  </si>
  <si>
    <t>https://drive.google.com/open?id=1WNVZRwYVuw_CP2Im9_9FVmdiig9Pe1c4</t>
  </si>
  <si>
    <t>https://drive.google.com/open?id=1XUBoUG7y2WhuAmWzracbbeRvDzJUqrdz</t>
  </si>
  <si>
    <t>https://drive.google.com/open?id=11F34ralsogpPnvOJ3_dtdv1-OTnrQdnS</t>
  </si>
  <si>
    <t>btwitssaifi2324@gmail.com</t>
  </si>
  <si>
    <t>Jamshaid Al</t>
  </si>
  <si>
    <t xml:space="preserve">Jamia Masjid Auqaf wali session court kachary sheikhupura </t>
  </si>
  <si>
    <t>https://drive.google.com/open?id=1HxanF587-3gnja1acmyjuMwdMnuP4l8k, https://drive.google.com/open?id=1biWfFfnRP0q23AGUpH2FK1Gsd3tYQWtq</t>
  </si>
  <si>
    <t>https://drive.google.com/open?id=10mc-oRazpNONUif50yf9BsdK8rLZjGj_</t>
  </si>
  <si>
    <t>https://drive.google.com/open?id=1z5fi8to9gw38-_ixzD_uWxh9HpPqMkCj</t>
  </si>
  <si>
    <t>obntr</t>
  </si>
  <si>
    <t>Hassan Farooq</t>
  </si>
  <si>
    <t>03057252835</t>
  </si>
  <si>
    <t>مرکزی جامع مسجد اہلِ سنت والجماعت</t>
  </si>
  <si>
    <t xml:space="preserve">No </t>
  </si>
  <si>
    <t>https://drive.google.com/open?id=14mEnx_pyiqNGAK6izg95pmJEcIRt8LDQ</t>
  </si>
  <si>
    <t>https://drive.google.com/open?id=1TjcN9mTneladIePIrNoZFTs5Tc3Rcls3</t>
  </si>
  <si>
    <t>https://drive.google.com/open?id=1Sx56JWlqXnN_rDmo7FlIlzxA2JFQQvYK</t>
  </si>
  <si>
    <t>hassanmalik00100200@gmail.com</t>
  </si>
  <si>
    <t xml:space="preserve">Qalandar shah </t>
  </si>
  <si>
    <t>https://drive.google.com/open?id=1WEgKIYTZFLgYTLL-hdifPMuuEDmcrKw_</t>
  </si>
  <si>
    <t>https://drive.google.com/open?id=1nE4iBk7QpNF1l5lGKBkIVnIAN6TQ-E8Y</t>
  </si>
  <si>
    <t>https://drive.google.com/open?id=1NaBoTwNPxWAvJNhkP_SzWp1UAREFmDKY</t>
  </si>
  <si>
    <t>sohailbhai34657788@gmail.com</t>
  </si>
  <si>
    <t xml:space="preserve">3 ڈھیر اینٹوں کے تجاوزات گرانے کی وجہ سے </t>
  </si>
  <si>
    <t>Koi nahi</t>
  </si>
  <si>
    <t>https://drive.google.com/open?id=1DPQiKTCDg47aQzN82QCm_yFofsyDFdRs, https://drive.google.com/open?id=1Ycw1wGQPmssuVPb4VXohiJg0EX47D_pZ</t>
  </si>
  <si>
    <t>https://drive.google.com/open?id=1fFgncUQglyLTntCU_VuryJlA-NYo7DsV</t>
  </si>
  <si>
    <t>https://drive.google.com/open?id=1CYKF5WRY6qLQcENpDGzQxu2JJMqdh_0T</t>
  </si>
  <si>
    <t>ZJBWK</t>
  </si>
  <si>
    <t xml:space="preserve">Husnain Ali bhatti </t>
  </si>
  <si>
    <t>03444433036</t>
  </si>
  <si>
    <t xml:space="preserve">Jamia masjid Musa Dewan </t>
  </si>
  <si>
    <t xml:space="preserve">Shah Musa Dewan </t>
  </si>
  <si>
    <t>https://drive.google.com/open?id=1xNw8Yk6hhh-FRLpIEAo2cQ8RaLXcWGNJ</t>
  </si>
  <si>
    <t>https://drive.google.com/open?id=1uUIzKapQdCufoyAjwHNwB8NuhMc8aHTA</t>
  </si>
  <si>
    <t>https://drive.google.com/open?id=13o8li6z9Lv1eekScnodE09racX9Y8CLR</t>
  </si>
  <si>
    <t>husnainali433036@gmail.com</t>
  </si>
  <si>
    <t>Gqomo</t>
  </si>
  <si>
    <t>Jamya masid abubakar sadeeq jaloo moor</t>
  </si>
  <si>
    <t>https://drive.google.com/open?id=1_gxEmYJu79AQWxiF9hfjkGzVpuJ4IcPO</t>
  </si>
  <si>
    <t>https://drive.google.com/open?id=1XLCb-fpzOmCoNTd4i0-kLMkVC_feKmxa</t>
  </si>
  <si>
    <t>https://drive.google.com/open?id=1uYMjMoLu7eJCNZlRLVSVDyrHLOOKrm7d</t>
  </si>
  <si>
    <t>Sajjjad Hussain bhatti</t>
  </si>
  <si>
    <t>Jamia Masjid syedia muridkey</t>
  </si>
  <si>
    <t>https://drive.google.com/open?id=1miWiDbYQnlhYq2TYqdKU7glKgx_APIn2</t>
  </si>
  <si>
    <t>https://drive.google.com/open?id=1CnyF9RdlTsJ4JpURGz3L9jZq4JUb0gJ9</t>
  </si>
  <si>
    <t>https://drive.google.com/open?id=1zjE3KrzdbSR_z1C6Cx_b7waHjQcF5yZb</t>
  </si>
  <si>
    <t xml:space="preserve">Ameer Hamza </t>
  </si>
  <si>
    <t>dwebz	Jamia Masjid Hamam Wali Sotar Mandi Lahore	Maulana Ghulam Abbas	3004761286</t>
  </si>
  <si>
    <t>https://drive.google.com/open?id=1lejeL4wlZh6hTfC6Lns2kh-884fKIZ6B, https://drive.google.com/open?id=1N2fURj_fwwZq-lSVCbx-ADWJmGUK_6FF, https://drive.google.com/open?id=1Qskc3YGqsNsAveJjuOm_jJvj_CuCUvzW, https://drive.google.com/open?id=1b-BJyK66mfPfCT2-bqr6cHzsyQarkRQW, https://drive.google.com/open?id=1BONajCCqcsnpDOyipTsNtFDHAAuRcQpn</t>
  </si>
  <si>
    <t>https://drive.google.com/open?id=1jsFyWxzl6jFlLu9FKSOlIhhKRt6ZoZFW, https://drive.google.com/open?id=1OxFxFI3u2awc1trJcPbqwW67dfWYST65, https://drive.google.com/open?id=1WmhEpAXWXqknNG88KIZEvJBsTBeG6QnE, https://drive.google.com/open?id=1MbsnYhJAEcoM4DiAiQ5GBj6UrvpgbiON, https://drive.google.com/open?id=1eVaVOYz9Y-GOjrMI29lnwb-VjWhmkHxr</t>
  </si>
  <si>
    <t>https://drive.google.com/open?id=1HPg-fxdADyJzVSk6bbPjDRLfJ1_YSoy1</t>
  </si>
  <si>
    <t>oyfuj</t>
  </si>
  <si>
    <t>Shahzad Ahmed</t>
  </si>
  <si>
    <t>03446427664</t>
  </si>
  <si>
    <t>Jamia Masjid Unchee Pansariyan Sialkot</t>
  </si>
  <si>
    <t>https://drive.google.com/open?id=11Ug7wCrug_-5fLyi72rh5j4xRtCQZz7S</t>
  </si>
  <si>
    <t>https://drive.google.com/open?id=1k2Zy4yyVDpbv_GzwByc3H6sKNBLvzOX-</t>
  </si>
  <si>
    <t>https://drive.google.com/open?id=1nH97eiujGBeeHMa6teXdAd6BdtSGuylv</t>
  </si>
  <si>
    <t>not any one</t>
  </si>
  <si>
    <t>zulaied.subhan@gmail.com</t>
  </si>
  <si>
    <t>https://drive.google.com/open?id=1EICeOpsjazUXHMkUJRN00HKxctV7sS7I</t>
  </si>
  <si>
    <t>https://drive.google.com/open?id=1D3hujcQHWIKxokqLsIi700t8OfF8LxUj, https://drive.google.com/open?id=12oL8cmGozCrrRbpnoqhaK1u2sOiszO3E, https://drive.google.com/open?id=1_q2odeWU-Yowc6oRK7NEzLd9HBSRplW4, https://drive.google.com/open?id=1BZYf873pbnp_HoOkxh6X5pE3nBl8HUFn</t>
  </si>
  <si>
    <t>https://drive.google.com/open?id=1u3CMxlGOsXBKu1SCOi6cEEpsCu11EtcV</t>
  </si>
  <si>
    <t xml:space="preserve">Jamia Masjid Chowk Dalkara Lahore	</t>
  </si>
  <si>
    <t>https://drive.google.com/open?id=1KKncQQKW-POVVMIEWyfdUl-MrazuFRe8, https://drive.google.com/open?id=1v5AGkSn7ZpJSdyOkrKtESiATicfAbW3o</t>
  </si>
  <si>
    <t>https://drive.google.com/open?id=1FpczyLU9jJiLyvztTJUX9d5UuBKtduBT, https://drive.google.com/open?id=15jtX5Rnd33wGV6bPq-zuOxSMJggAN0_T</t>
  </si>
  <si>
    <t>https://drive.google.com/open?id=1g7_grmFRdbxr6QenbCNNxj-nCgU8Du_z</t>
  </si>
  <si>
    <t>zhcjl</t>
  </si>
  <si>
    <t>+92 342 0642731</t>
  </si>
  <si>
    <t xml:space="preserve">zhcjl	Jamia Masjid Esha Shahab Lahore	</t>
  </si>
  <si>
    <t>https://drive.google.com/open?id=175qB00C6msqqmSYHdhpu2pvIp4l1ZzpJ, https://drive.google.com/open?id=1rqJ29RUdrevsdESKgnOAMKfjnVdNJDh-, https://drive.google.com/open?id=1VawLlg1FW_H5oJ3dqc-WlX-cJXYMyMht, https://drive.google.com/open?id=1vpNJI9Z7K2eNR0wVjM1ieuZ0rjP6RiVq, https://drive.google.com/open?id=1Ay9MQ9Fx7ozjeqvqmNZ9UbffpLgrCrd_</t>
  </si>
  <si>
    <t>https://drive.google.com/open?id=1gOjemp4q7F2bqXCAw7xX5Y-bQwwDTrzs, https://drive.google.com/open?id=1z48f6OYbAp8TlXn9s39H20htELCaH2v8, https://drive.google.com/open?id=1Nk1GNU3UNyw6eqI_oD8y9_i68fUtDfmU, https://drive.google.com/open?id=1AwuIsVp-rRB_Zok0gzWuD7JxDOyHKYN6, https://drive.google.com/open?id=1YQ2ian5n5FE1JRmcTSSI6qsdrXxCRkfL</t>
  </si>
  <si>
    <t>https://drive.google.com/open?id=1PiP70_blk6Y2azs1Asfim0EOrri1X4FV</t>
  </si>
  <si>
    <t>wwwqh</t>
  </si>
  <si>
    <t>Hammad Ahmed</t>
  </si>
  <si>
    <t>03497178683</t>
  </si>
  <si>
    <t>Jamia masjid sakhi shah suleman noori hazoori bhalwal</t>
  </si>
  <si>
    <t>Hazrat sakhi shah suleman noori hazoori bhalwal</t>
  </si>
  <si>
    <t>https://drive.google.com/open?id=1v7EFQCalHHMLbPP7HMigf0bY_MH7efe1</t>
  </si>
  <si>
    <t>https://drive.google.com/open?id=1j9Rl721qbSgoHWvED1jDlbfVj1ILZ0LL</t>
  </si>
  <si>
    <t>https://drive.google.com/open?id=19GGz7sMm_iND9DwRH3bx4x8lDwZH6CBs</t>
  </si>
  <si>
    <t>balkimalik88@gmail.com</t>
  </si>
  <si>
    <t>uiodj</t>
  </si>
  <si>
    <t xml:space="preserve">Muhammad Ahmad </t>
  </si>
  <si>
    <t>03057180082</t>
  </si>
  <si>
    <t xml:space="preserve">Jamia masjid zia </t>
  </si>
  <si>
    <t>https://drive.google.com/open?id=1Pa8jxSiNSNHvV8796frRZPauP5q6VoXH</t>
  </si>
  <si>
    <t>https://drive.google.com/open?id=16IMlOm6xS4rbWeuI7gI-CAbkhIND6wac</t>
  </si>
  <si>
    <t>https://drive.google.com/open?id=1qv_81oe9RRwO7lbEs6MW27W-z-_uEyvp</t>
  </si>
  <si>
    <t>abdulwahabriaz440@gmail.com</t>
  </si>
  <si>
    <t>KLYSR</t>
  </si>
  <si>
    <t xml:space="preserve">Muhammad Fareed </t>
  </si>
  <si>
    <t xml:space="preserve">Jamia Masjid Darbar Madoh Laal Hussain </t>
  </si>
  <si>
    <t>https://drive.google.com/open?id=1tj1jvS5rUqzm2hn6YKFIUcmb7uxrSoIY</t>
  </si>
  <si>
    <t>https://drive.google.com/open?id=1xfdkc9W5mPh_cuFHmELt-cavO_scjTmj</t>
  </si>
  <si>
    <t>https://drive.google.com/open?id=1b4ROcWLTkFo9wz14FvoPPxYUhwwwBVdK</t>
  </si>
  <si>
    <t>VIEXI</t>
  </si>
  <si>
    <t>Muhammad Awais</t>
  </si>
  <si>
    <t>03473681771</t>
  </si>
  <si>
    <t>Jamia masjid mian riman</t>
  </si>
  <si>
    <t>https://drive.google.com/open?id=1VpZl20HDSrdMqVZDtB6oL4xECc6y7Kwt, https://drive.google.com/open?id=1xJJQjeaWAIk7e22zUKs3ciSMMCRq2yVK, https://drive.google.com/open?id=1u8kHOBXLyIHIuNpQQ3WIAL240Xo19ykQ, https://drive.google.com/open?id=1pnw-SLI1roXcfTccFafVUclA_T5n8Ozp, https://drive.google.com/open?id=16-wHWfhTwZKBnacGS7_cV2p4kJ2gvsBO</t>
  </si>
  <si>
    <t>https://drive.google.com/open?id=10AKjP_HKCgRHBHbugJW4NpT3lgWSdHDP, https://drive.google.com/open?id=1FfyxErgKFW8wHNFhTeZt8gyQ1UYW14n6, https://drive.google.com/open?id=1pKMgTskPLeKQA4oWzJ5D_tu7ORaJfcO8, https://drive.google.com/open?id=1iL3nEfMhwUWEk2EPdzeGhDlfTdJe_OMH, https://drive.google.com/open?id=1U510zAP0T-8eCwMkWEQOBvTyu5UONPsx</t>
  </si>
  <si>
    <t>https://drive.google.com/open?id=1Vbmkdl_7Ei46isaOU8KeRUmtucMEKNlF</t>
  </si>
  <si>
    <t>ranaawais8081@gmail.com</t>
  </si>
  <si>
    <t>OHBDV</t>
  </si>
  <si>
    <t>M.yamin kanwal</t>
  </si>
  <si>
    <t>03007774537</t>
  </si>
  <si>
    <t>Jamia Masjid Noor  shakar garh</t>
  </si>
  <si>
    <t>https://drive.google.com/open?id=1L9oSBZYReKTHypvdySBgItyXzsCXL2bp</t>
  </si>
  <si>
    <t>https://drive.google.com/open?id=1DgMZOT4N2NVhegCHDzajarK1l2G_xD-m</t>
  </si>
  <si>
    <t>https://drive.google.com/open?id=188qZcmQYILmryMOpP5ifK9X1I7n91rC_</t>
  </si>
  <si>
    <t>yameenmss@gmail.com</t>
  </si>
  <si>
    <t>SPHKK</t>
  </si>
  <si>
    <t>Hasnain shah</t>
  </si>
  <si>
    <t>03247339111</t>
  </si>
  <si>
    <t xml:space="preserve">JAMIA MASJID UCHI LAHORI GATE </t>
  </si>
  <si>
    <t>https://drive.google.com/open?id=1D5SBbW3iwFU4wg0PIzFTc6_sVBMyyTV1</t>
  </si>
  <si>
    <t>https://drive.google.com/open?id=12dZ2oXeWcOtEEi-T1EKVOIY6N6VQ_xDI</t>
  </si>
  <si>
    <t>https://drive.google.com/open?id=1C1BzaOZeUWg6rrKdwl4AGrWsW9JonCi5</t>
  </si>
  <si>
    <t>Jamia Masjid Neela Ghumbat</t>
  </si>
  <si>
    <t>https://drive.google.com/open?id=1sUjnlN3muEANEsRC9RCdy_cbJjwlvcOZ</t>
  </si>
  <si>
    <t>https://drive.google.com/open?id=1jOLXk57WXLNZG68w6ZSIkXjfcS7o5OF4</t>
  </si>
  <si>
    <t>https://drive.google.com/open?id=1Zm36mkMdwUDbm9e8x7xaqiXgzvjbiMqO</t>
  </si>
  <si>
    <t>0307-8868667</t>
  </si>
  <si>
    <t>https://drive.google.com/open?id=1KY1LEkBHgGczwV_kiPYocEUrsn11IlHp</t>
  </si>
  <si>
    <t>https://drive.google.com/open?id=1fx40w1y_op9NgHe6k8a8I_L5qsZoSkxS</t>
  </si>
  <si>
    <t>https://drive.google.com/open?id=1Ocug-wCRf-GoMWs9kKlNjdiKTu5Z06VJ</t>
  </si>
  <si>
    <t>Muhammd Ahsan</t>
  </si>
  <si>
    <t>https://drive.google.com/open?id=12TPdsqDOWuzOVvFlCOvwENCm8dQ9xks2</t>
  </si>
  <si>
    <t>https://drive.google.com/open?id=1ZHPSwlaCA18MXl7pbKmeFDREfFiLCCL1</t>
  </si>
  <si>
    <t>https://drive.google.com/open?id=1oFCst-zhCdKB8ctPgZ0wSQVtIKt9ZKB-</t>
  </si>
  <si>
    <t>OUGEG</t>
  </si>
  <si>
    <t>Ghulam mustafa</t>
  </si>
  <si>
    <t>03275749410</t>
  </si>
  <si>
    <t>JAMIA MASJID BHIRI SHAH REHMAN</t>
  </si>
  <si>
    <t>SHAH ABDUL REHMAN AL MAROOF BHIRI SHAH REHMAN</t>
  </si>
  <si>
    <t>https://drive.google.com/open?id=1vjzyv-pjfYw4AnR7MzR3uD8tPMMfcSRk</t>
  </si>
  <si>
    <t>https://drive.google.com/open?id=1NfqjaDGIZkL1YzDd96_XDunx3ta2K73C</t>
  </si>
  <si>
    <t>https://drive.google.com/open?id=1Z8KQxH3IRkAxLd5omGkbS0o4w-B71N8i</t>
  </si>
  <si>
    <t>gm3130331@gmail.com</t>
  </si>
  <si>
    <t>Kmbbm</t>
  </si>
  <si>
    <t>نعمان بٹ</t>
  </si>
  <si>
    <t>Jamia masjid darbar mohri shareef</t>
  </si>
  <si>
    <t xml:space="preserve">Masoom shah </t>
  </si>
  <si>
    <t>https://drive.google.com/open?id=14id7wpXsgIi9xZojwOEGmKP9QSsDhH7m</t>
  </si>
  <si>
    <t>https://drive.google.com/open?id=1xri0t6MXIhDdICHaZ5EK0fNYqKrFN21K</t>
  </si>
  <si>
    <t>https://drive.google.com/open?id=1yde1CLFiqs8CIBA7xjc9X16TvQebxCCh</t>
  </si>
  <si>
    <t>Anees</t>
  </si>
  <si>
    <t xml:space="preserve">Jamia Masjid Molve taaj Deen </t>
  </si>
  <si>
    <t>https://drive.google.com/open?id=1UOSckozeYWtAqN61LDFnQWqgQxxk2CUp</t>
  </si>
  <si>
    <t>https://drive.google.com/open?id=1LDbdFZryofoJ8frIE1MYhtKQtNo-bunN</t>
  </si>
  <si>
    <t>https://drive.google.com/open?id=1NLdjUUqbODtbnYvK7WLMWw5z9l1WKbzp</t>
  </si>
  <si>
    <t xml:space="preserve">    Jamia Masjid Main Bazar Kahchu Pura Lahore        Maulana Muhammad Mukhtar Siyalvi        3004362549</t>
  </si>
  <si>
    <t>https://drive.google.com/open?id=1fhnUC8aO4yM8kSNflRckClKeP5c6Uzbj</t>
  </si>
  <si>
    <t>https://drive.google.com/open?id=1IX22z2iLbnmXD5oPgBgS0j5Gx7jnN2gu</t>
  </si>
  <si>
    <t>https://drive.google.com/open?id=1Zc4gwY5jGyX1W4gpeh8pYagIFjo7kMmB</t>
  </si>
  <si>
    <t>https://drive.google.com/open?id=10pBDS9LuusDrHPUNAzAlUMjT77ks8NrV, https://drive.google.com/open?id=1kc74Awqt2wp5auBXwZsPkPr3ltHUDR70</t>
  </si>
  <si>
    <t>Aovko</t>
  </si>
  <si>
    <t>Ahmad ali</t>
  </si>
  <si>
    <t>03107280745</t>
  </si>
  <si>
    <t xml:space="preserve">Jamia masjid hanfia </t>
  </si>
  <si>
    <t>Sayyad Sajjad shah almaroof baba gulab shah</t>
  </si>
  <si>
    <t>https://drive.google.com/open?id=1O3TAQSDArIuUtHqQ_qOBHFSOE2T1VZuY</t>
  </si>
  <si>
    <t>https://drive.google.com/open?id=13Vz5Ib4Fx-4f82lRSZXyLQC8MHaS1-l9</t>
  </si>
  <si>
    <t>https://drive.google.com/open?id=1R83_pHzl3j9aOO0CMApn-fWmXHtjtFHT</t>
  </si>
  <si>
    <t>samiyakoob1@gmail.com</t>
  </si>
  <si>
    <t>BWXOO</t>
  </si>
  <si>
    <t xml:space="preserve">Zulqarnain Hassan </t>
  </si>
  <si>
    <t>03071412621</t>
  </si>
  <si>
    <t xml:space="preserve">JAMIA MASJID QUDOOSIA ROZVIYA CIVIL LINE </t>
  </si>
  <si>
    <t>https://drive.google.com/open?id=1RbpkD2I6UMTAxWOskKDijKUwCF7Xv2pi</t>
  </si>
  <si>
    <t>https://drive.google.com/open?id=1PSfRpZvj3CFxcIyQ6f5zHTjW40FLlK0a</t>
  </si>
  <si>
    <t>https://drive.google.com/open?id=1Aq6bQybetF-Ds6Rj9_EoaZkt3L0hhoBz</t>
  </si>
  <si>
    <t>zulqarnainhassan43@gmail.com</t>
  </si>
  <si>
    <t>Abdul Rauf</t>
  </si>
  <si>
    <t xml:space="preserve">	Jamia Masjid Hanfiya Farookia Khrishan Nagar Lahore</t>
  </si>
  <si>
    <t>https://drive.google.com/open?id=1GDn_lip5LI2q2SYJu9hCZdPKEvctvjI-</t>
  </si>
  <si>
    <t>https://drive.google.com/open?id=17XRdT3x-IXIZQEQMSGYnb9vWea-rW1pa</t>
  </si>
  <si>
    <t>https://drive.google.com/open?id=15qd3A3eppIx9uk8Rlku9ZcL765ru7Ji6</t>
  </si>
  <si>
    <t>CNZTW</t>
  </si>
  <si>
    <t>Sulamanasghar</t>
  </si>
  <si>
    <t>03194116661</t>
  </si>
  <si>
    <t>Jamia Masjid Darbar Shah Jahangir Gujrat</t>
  </si>
  <si>
    <t>baba Wali shah</t>
  </si>
  <si>
    <t>https://drive.google.com/open?id=1OqltWyx47L-yRbbUUurDlfaQknFe8qrq</t>
  </si>
  <si>
    <t>https://drive.google.com/open?id=14415bcUiIt0OwWttq0MVBRUMY27gpcm-</t>
  </si>
  <si>
    <t>drsulamanasgharchaudhary@gmail.com</t>
  </si>
  <si>
    <t xml:space="preserve">Ahmad Saeed </t>
  </si>
  <si>
    <t>03467171875</t>
  </si>
  <si>
    <t xml:space="preserve">	Jamia Masjid Hanfiya Peer Hakum Shah Lahore</t>
  </si>
  <si>
    <t>https://drive.google.com/open?id=17hwGbzoojuIaVWl27sG5ERbnEv7stIU9</t>
  </si>
  <si>
    <t>https://drive.google.com/open?id=1v_dNEj0y6N1PLz7Lte3ZK6bdyG0N-Y-y, https://drive.google.com/open?id=1xBvVR7GR-9qlSfJSFDdN2xGcXId_dZTj</t>
  </si>
  <si>
    <t>https://drive.google.com/open?id=1_wU7gzAJJWj7llvS6C4CPHhVYA0SQst5</t>
  </si>
  <si>
    <t xml:space="preserve">	Jamia Masjid Main Bazar Kahchu Pura Lahore	</t>
  </si>
  <si>
    <t>https://drive.google.com/open?id=1frKNgY9Hhe9pPWjDOJDxhvS7XINIJ3U8</t>
  </si>
  <si>
    <t>https://drive.google.com/open?id=1oaAFNO9H0pwOx1WO_bZazGmL4UPvFw-d, https://drive.google.com/open?id=1qjaFWBKoGe0mKlQdYz9idwE2CPy8NpB5, https://drive.google.com/open?id=1hmaC3UJ3k5vgHaMVz0RRBDHx8W95jZbg, https://drive.google.com/open?id=1DgF053iit0S9LE78CAk2sE8qth3fHl2e</t>
  </si>
  <si>
    <t>https://drive.google.com/open?id=1NTjWUhCPhcjoXoVZnd9FawEnvBjs9h0L</t>
  </si>
  <si>
    <t>Qlxff</t>
  </si>
  <si>
    <t>Maqbool ahmad</t>
  </si>
  <si>
    <t>03016334942</t>
  </si>
  <si>
    <t>Qutab Shah wali masjid</t>
  </si>
  <si>
    <t>Darbar baba Qutab Shah wali</t>
  </si>
  <si>
    <t>https://drive.google.com/open?id=1Wq_qH2W793Iht8HuuSnmlYk2ffuajcWG</t>
  </si>
  <si>
    <t>https://drive.google.com/open?id=1101oG7TG3wlceoQCEdFlH8bfILiA4hte</t>
  </si>
  <si>
    <t>https://drive.google.com/open?id=1_Ln9AXybrNYRjOKjFXmKY8FXihiNwOrb</t>
  </si>
  <si>
    <t>All data done</t>
  </si>
  <si>
    <t>maqboolahmadnwl42@gmail.com</t>
  </si>
  <si>
    <t>hhmbl</t>
  </si>
  <si>
    <t>Usman</t>
  </si>
  <si>
    <t>03046190315</t>
  </si>
  <si>
    <t>Jamia masjid galah mandi bhalwal</t>
  </si>
  <si>
    <t>https://drive.google.com/open?id=12Cu0f2FYzx3953vFMwN_icmWBXhQ2GKx</t>
  </si>
  <si>
    <t>https://drive.google.com/open?id=1VLdrZw1jLoJ3fqSOAWmqddq07rccHXlA</t>
  </si>
  <si>
    <t>https://drive.google.com/open?id=10CdULj9PqPP98DZFODgS3QHEEBAcvtry</t>
  </si>
  <si>
    <t>usmanchugtai315@gmail.com</t>
  </si>
  <si>
    <t>XYHJE</t>
  </si>
  <si>
    <t>Sulaman asghar</t>
  </si>
  <si>
    <t xml:space="preserve">Ghosia musjid </t>
  </si>
  <si>
    <t>https://drive.google.com/open?id=1FE00cJ7grVMyb-Ee7ZLuHZleQFfigdtn</t>
  </si>
  <si>
    <t>https://drive.google.com/open?id=1gcFLkaKZZDZrMIP77Nk9ZbQXBdxDgDTv</t>
  </si>
  <si>
    <t>https://drive.google.com/open?id=1RuOYDxfISpHluT6l39cuNnsHp6jUrfeG</t>
  </si>
  <si>
    <t xml:space="preserve">مسجد میں ریکارڈنگ کرنے سے اور فوٹو بنانے سے روکا گیا ہے 
جس بزرگ نے روکا ہے اسکی فوٹو ساتھ اٹیچ کر دی ہے </t>
  </si>
  <si>
    <t>zaheer</t>
  </si>
  <si>
    <t>Madina masjid chonk purani Anarkali lahore</t>
  </si>
  <si>
    <t>CcxyI</t>
  </si>
  <si>
    <t xml:space="preserve">Amjad JAVED </t>
  </si>
  <si>
    <t>03094647215</t>
  </si>
  <si>
    <t xml:space="preserve">Molve Muhammad husain wali Urdu Bazar gujranwala </t>
  </si>
  <si>
    <t>https://drive.google.com/open?id=1alHwS3rg5ib6W9yGt5JvE6v3TrAVp-4I</t>
  </si>
  <si>
    <t>https://drive.google.com/open?id=1Ba2nKmzbU-HfZk33sWQkj-9UgLJcPuzT</t>
  </si>
  <si>
    <t>https://drive.google.com/open?id=1VP_QFVms_N05ghyz_5h2tlDtiJgfLdWU</t>
  </si>
  <si>
    <t>ranaamjedjaved215@gmail.com</t>
  </si>
  <si>
    <t>Zaheer Butt</t>
  </si>
  <si>
    <t>Madina Masjid chownk purani anarkali</t>
  </si>
  <si>
    <t>https://drive.google.com/open?id=1dkLwO5nB-cPIyh5vAQL-_MnKVetEc0Gw</t>
  </si>
  <si>
    <t>https://drive.google.com/open?id=1y8ADI5ZEgOtVLtKSkfHcoa952pLoYtvj</t>
  </si>
  <si>
    <t>https://drive.google.com/open?id=1PKeUCt8QFKq71ufGzjrxvwpEQS0bpoux</t>
  </si>
  <si>
    <t>pipxb</t>
  </si>
  <si>
    <t>Hamaad</t>
  </si>
  <si>
    <t>03254128007</t>
  </si>
  <si>
    <t>Jamia Masjid Syaden shah Shahrazi Chakwal</t>
  </si>
  <si>
    <t>https://drive.google.com/open?id=18xgzlbCySLLYIb1Zd-EYgFU7LSn9MOt5</t>
  </si>
  <si>
    <t>https://drive.google.com/open?id=1PChbFEy925gfFmnARhqjo2T9CihqXFk5</t>
  </si>
  <si>
    <t>https://drive.google.com/open?id=11qwN6dxeRYUsaju4c_51cScOkA-f6jN8</t>
  </si>
  <si>
    <t>hamadali47ali@gmail.com</t>
  </si>
  <si>
    <t xml:space="preserve">Jamia masjid derbar naghy shah </t>
  </si>
  <si>
    <t>https://drive.google.com/open?id=1wk7Tordn6KaJoxoBC6fwgP-VBNanYhUz</t>
  </si>
  <si>
    <t>https://drive.google.com/open?id=1IOokRKKV5YfdGI_WKgq4bcySAxcmWeEw</t>
  </si>
  <si>
    <t>https://drive.google.com/open?id=1RLQrBTTu5XMw4C2bDTpyrinIdSfR-8ax</t>
  </si>
  <si>
    <t>Dkded</t>
  </si>
  <si>
    <t>Adnan Bashir</t>
  </si>
  <si>
    <t xml:space="preserve">Jamia Masjid PEERA MALAH Raheem Pura </t>
  </si>
  <si>
    <t xml:space="preserve">Yes </t>
  </si>
  <si>
    <t>https://drive.google.com/open?id=1l2k6i2hvwLkSYNgJ93wfI2GgRRrJDDKj</t>
  </si>
  <si>
    <t>https://drive.google.com/open?id=1V7k2tepFP7UgzEbIISC6qfN6Qo2bEqvP</t>
  </si>
  <si>
    <t>https://drive.google.com/open?id=10GeL6ofm6IQ5ZUwKmbEgBIYLk6f5hQFU</t>
  </si>
  <si>
    <t>jiuks</t>
  </si>
  <si>
    <t>Naveed Anjum</t>
  </si>
  <si>
    <t>markzi jamia masjid darbar shreaf Hazrat baba skhi sayd Muhammad sayed shah</t>
  </si>
  <si>
    <t>nill</t>
  </si>
  <si>
    <t xml:space="preserve">Darbar baba syd shah </t>
  </si>
  <si>
    <t>https://drive.google.com/open?id=1mTa8ZQeJPqDaNqzl6kgRNISCM_QqzVPN</t>
  </si>
  <si>
    <t>https://drive.google.com/open?id=1DvubiaYvxG-HxmwGFnkQISHcUnVxYrAt</t>
  </si>
  <si>
    <t>https://drive.google.com/open?id=1M8PfEWAaXw0Tuw8obZJJBuoMRMtip6R2</t>
  </si>
  <si>
    <t>https://drive.google.com/open?id=1U7KIZPRLGtsXtj_qbKp9NpF8DWg164uX</t>
  </si>
  <si>
    <t>Muhammad Bakhsh Gondal</t>
  </si>
  <si>
    <t>Markazi  jamiah Masid m.b.din</t>
  </si>
  <si>
    <t>https://drive.google.com/open?id=1KW-GWxm51XrRGARm1NQ0b06vGCl2n8HE</t>
  </si>
  <si>
    <t>https://drive.google.com/open?id=1bO_n4dKGwjh5D9bexHWrdNWXozw9vStk, https://drive.google.com/open?id=1I-QdYkens5Ej73ba7qlzTIjVEZDtWumB, https://drive.google.com/open?id=117mmzhMoXzcOUvNlYj-I_ha8AF_XyxrN, https://drive.google.com/open?id=17DA2IEFxs7-Bn1VhWUuPqC6VnY4mjFMD</t>
  </si>
  <si>
    <t>https://drive.google.com/open?id=1c9tj8DU0Pjef7QmIuUwtZtxlHiTS_nzs</t>
  </si>
  <si>
    <t>mb.gondal2016@mail.com</t>
  </si>
  <si>
    <t>Jamia Masjid hanfia ghosiya rizwiya</t>
  </si>
  <si>
    <t xml:space="preserve">Peer guga Shareef </t>
  </si>
  <si>
    <t>https://drive.google.com/open?id=1WvKr1MOzp0RVUi-O5IhYSbHJ_pfe3wKW</t>
  </si>
  <si>
    <t>https://drive.google.com/open?id=1ivcrNe1WTx8ukVgv7eLXJIdlbPdjFKfa</t>
  </si>
  <si>
    <t>https://drive.google.com/open?id=1PjCi3iQ1E-KBqyqiIaQU5Yll85r9Fy0t</t>
  </si>
  <si>
    <t xml:space="preserve">Imaam Absent </t>
  </si>
  <si>
    <t>KMBBM</t>
  </si>
  <si>
    <t xml:space="preserve">سلیمان </t>
  </si>
  <si>
    <t>جامع مسجد زرین زربخت ہے</t>
  </si>
  <si>
    <t>1963 بعد میں1989 میں دوبارہ تعمیر ہوئی</t>
  </si>
  <si>
    <t xml:space="preserve">پیپر سید معصوم سرکار </t>
  </si>
  <si>
    <t>https://drive.google.com/open?id=1keqYUro6cAvl80FxyUuUlACgEps0PzwM</t>
  </si>
  <si>
    <t>https://drive.google.com/open?id=1ojFxtyNgdjFvJ143pxAZEkx0wiKmB9Wl</t>
  </si>
  <si>
    <t>https://drive.google.com/open?id=14hL-fq34Ysh4rlYw0JBMmHGUIO024xR2</t>
  </si>
  <si>
    <t>UVNAI</t>
  </si>
  <si>
    <t>Muhammad khalid salahuddin</t>
  </si>
  <si>
    <t>03135510044</t>
  </si>
  <si>
    <t xml:space="preserve">جامع مسجد افغاناں </t>
  </si>
  <si>
    <t xml:space="preserve">حضرت بابا محمد دین افغانی </t>
  </si>
  <si>
    <t>https://drive.google.com/open?id=1mS4PkYEF6Gs2EXpemEoTAYngjYcyxP_m</t>
  </si>
  <si>
    <t>https://drive.google.com/open?id=1cgwCTeWCevys3LxI-93IgDoeXhOp9wO2</t>
  </si>
  <si>
    <t>https://drive.google.com/open?id=19gIcnXZnol8BPgkgFifB8z3F8zr1lepu</t>
  </si>
  <si>
    <t>sarkaralimuhammad@gmail.com</t>
  </si>
  <si>
    <t xml:space="preserve">زیر تعمیر ہے </t>
  </si>
  <si>
    <t>https://drive.google.com/open?id=1Cp1W035P2SdUaK2flY3FhAw6miHjNPjI</t>
  </si>
  <si>
    <t>https://drive.google.com/open?id=1IwI8PmZo9qb5SBIlCxiAcvXL5HkyeFCa</t>
  </si>
  <si>
    <t>https://drive.google.com/open?id=1QzqUN0asolro6kPpb1atqziA_5CbNVRf</t>
  </si>
  <si>
    <t>Jamia Masjid Gulzar Madina Darya Khan</t>
  </si>
  <si>
    <t>https://drive.google.com/open?id=1MKsO4yto0M2w4ih4I0MsKoFrdexchEU3</t>
  </si>
  <si>
    <t>https://drive.google.com/open?id=1LvEZw5B-SZsgjVICLnQxBM5U3IqeLvxd</t>
  </si>
  <si>
    <t>https://drive.google.com/open?id=1tgpZfYSqtb9K6VrhSTqZRvr6JikTowev</t>
  </si>
  <si>
    <t xml:space="preserve">Nisar Ali Nasir </t>
  </si>
  <si>
    <t xml:space="preserve">Jamia masjid darbar badshan khushab </t>
  </si>
  <si>
    <t>https://drive.google.com/open?id=1npL-5xfr0rzkXvXA1ZuGWYxjSKsHx1zn</t>
  </si>
  <si>
    <t>https://drive.google.com/open?id=10zwrrb3ais3rP6Qi0rfcqolfWtby-1Kz</t>
  </si>
  <si>
    <t>https://drive.google.com/open?id=1jN4FSsIUJL8OisAJWVZhtTCxrKdfjqmr</t>
  </si>
  <si>
    <t xml:space="preserve">Jamia masjid safdariya rangpura sialkot </t>
  </si>
  <si>
    <t>https://drive.google.com/open?id=1Oji8bpMEg9r7QHWfVPaaVN34WteUwUk7</t>
  </si>
  <si>
    <t>https://drive.google.com/open?id=16tV_osyh0IojsONQrIoEAR5jswXZPcR0</t>
  </si>
  <si>
    <t>https://drive.google.com/open?id=1VjZo7Tptca2B14cLTK6sp0DL8do2dsNB</t>
  </si>
  <si>
    <t xml:space="preserve">2 ڈھیر اینٹوں کے </t>
  </si>
  <si>
    <t>https://drive.google.com/open?id=1pA8iMJXpML510_ZgwO1v9XR2DcEvMhk6, https://drive.google.com/open?id=1zviITZWkAkFTHLCBBiDIvlKZdQbaG5zS</t>
  </si>
  <si>
    <t>https://drive.google.com/open?id=1aCdU2315iUFtbaMxxz3O_wc3EwStqxso</t>
  </si>
  <si>
    <t>https://drive.google.com/open?id=1NvJjfbinrXcddUF8xVeXL8QuomFQSVA4</t>
  </si>
  <si>
    <t>Jamia masjid Qalander shah</t>
  </si>
  <si>
    <t xml:space="preserve">Qalander shah </t>
  </si>
  <si>
    <t>https://drive.google.com/open?id=1wvMlldvORZhiwZQ_2r0eyRVa4CHPux7-</t>
  </si>
  <si>
    <t>https://drive.google.com/open?id=1c4r04kcMS_i3ePNcYPvto3RuoPj40Pzs</t>
  </si>
  <si>
    <t>https://drive.google.com/open?id=11y8S7hTrS5-8lWhXaaITB53iXZo6KZWB</t>
  </si>
  <si>
    <t>https://drive.google.com/open?id=1emT5U2qBmTI7zv1E_RiT-Lu9hTWP3NNj</t>
  </si>
  <si>
    <t>https://drive.google.com/open?id=1LaeJOY9DsEzhyY5euIa67Av_vxvrTqIU</t>
  </si>
  <si>
    <t>https://drive.google.com/open?id=1OKtPFQtWVaVW4eYVGTna_iFG0Yin7v_6</t>
  </si>
  <si>
    <t>klysr</t>
  </si>
  <si>
    <t xml:space="preserve">Jamia Masjid Darbar Madoh Laal Hussain Lahore </t>
  </si>
  <si>
    <t>https://drive.google.com/open?id=1cDWV-6Nh_pYYv4UlIXnGwp-INOUrbBP4</t>
  </si>
  <si>
    <t>https://drive.google.com/open?id=1TNiw2NrZ1Ey_aDwFR2lHNpDgIzBZE_TU</t>
  </si>
  <si>
    <t>https://drive.google.com/open?id=1cLw96iCvYktrXAiEVYNUGSqT0FXkul0e</t>
  </si>
  <si>
    <t>Jamia Masjid Auqaf wali session court kachary sheikhpura</t>
  </si>
  <si>
    <t>https://drive.google.com/open?id=1dsfj6l0vJL548NdpisxMbqyHLb1e9EKT</t>
  </si>
  <si>
    <t>https://drive.google.com/open?id=1NGtYW8lWLTlHUiPzcWqr4Lyzgm4zYpTr</t>
  </si>
  <si>
    <t>https://drive.google.com/open?id=1nbldnDpDrCTNd9sBvDng1Pmf2ms2Cwcc</t>
  </si>
  <si>
    <t xml:space="preserve">Jamia masjid darbar Abdul Salam chishti Musroor Shakargarh </t>
  </si>
  <si>
    <t>https://drive.google.com/open?id=1ITl1B6vbXxtEzWKEYmxmNVTcqx-YiL_E</t>
  </si>
  <si>
    <t>https://drive.google.com/open?id=1TwEQPwo9Nu1ndCc1CuUmIixOOkNVnet-</t>
  </si>
  <si>
    <t>https://drive.google.com/open?id=1pDwSWPR-2e1nr2J90ZoMgm6jgM4lHcH6, https://drive.google.com/open?id=1nr98yzSn7r9kAa-W3PfFN1vg8qpp7eyy</t>
  </si>
  <si>
    <t>ebspq</t>
  </si>
  <si>
    <t>Ikram</t>
  </si>
  <si>
    <t>03136290030</t>
  </si>
  <si>
    <t>Jamia masjid galah mandi sargodha</t>
  </si>
  <si>
    <t>https://drive.google.com/open?id=1YzS0YXmkTiMFzV_0khrLKEeR4CaRikk2</t>
  </si>
  <si>
    <t>https://drive.google.com/open?id=1zBxdjSEnk-d9DzeIwodD_T7R1fjOWC0n</t>
  </si>
  <si>
    <t>https://drive.google.com/open?id=1dWLKlLGibOenkhX3xu8bpHA7SagKve64</t>
  </si>
  <si>
    <t>ikramshahzad589@gmail.com</t>
  </si>
  <si>
    <t xml:space="preserve">Jamia masjid syeda muridka </t>
  </si>
  <si>
    <t>https://drive.google.com/open?id=1whPLSLkf-5HRdvL0P6izji8T96K2wXku</t>
  </si>
  <si>
    <t>https://drive.google.com/open?id=1wfkQ027_VqDmReXuxHoVsXEifFMLCxKe</t>
  </si>
  <si>
    <t>https://drive.google.com/open?id=1hN4CAnATRIlwcXjnNJivMsMtKF2YhmQM</t>
  </si>
  <si>
    <t>Jamia masjid noor shakar garh</t>
  </si>
  <si>
    <t>https://drive.google.com/open?id=1RtJDeGOQ8QZgAvMRX8q3IsxJAr_yA_iF</t>
  </si>
  <si>
    <t>https://drive.google.com/open?id=1M_8BdYdTcjAo1k1Psy99Rc9C8T9PVg9I</t>
  </si>
  <si>
    <t>https://drive.google.com/open?id=1sugPYSD-EFCv9i3BUAXVgH7Z6c24zKEu</t>
  </si>
  <si>
    <t>yameenmss@gmail.cim</t>
  </si>
  <si>
    <t>https://drive.google.com/open?id=1yzw_7JHDE0aKWFCBGcTFGVjc75oprQg5</t>
  </si>
  <si>
    <t>https://drive.google.com/open?id=11TOR3hUXFaZbz3tEc-CoFkriTIEEE_PS</t>
  </si>
  <si>
    <t>https://drive.google.com/open?id=1LWNokqgHxJH1saY1YDbkPCrR6iLd-Qls</t>
  </si>
  <si>
    <t>Jawad Ahmed</t>
  </si>
  <si>
    <t>Jamia masjid block 1 sargodha</t>
  </si>
  <si>
    <t>https://drive.google.com/open?id=1sul0wDQYzCPdlk8FX_fl5h2xqip18EZY</t>
  </si>
  <si>
    <t>https://drive.google.com/open?id=1JnS_-QOnoP70z7EZbJD8uG36rfNvN7do</t>
  </si>
  <si>
    <t>https://drive.google.com/open?id=1qicMqBFvOk8qP25ZsGgr__yWSvuyx-mi</t>
  </si>
  <si>
    <t xml:space="preserve">Ali Raza </t>
  </si>
  <si>
    <t xml:space="preserve">Jamia Markazi Masjid Satellite Town Sargodha </t>
  </si>
  <si>
    <t>https://drive.google.com/open?id=1nQjQ9D4Iu32UKaH_IlfM2rK8UlkkQnWW</t>
  </si>
  <si>
    <t>https://drive.google.com/open?id=1Or7s1SqpiYCibKuKyHDI-Kmte_ukBHcd</t>
  </si>
  <si>
    <t>https://drive.google.com/open?id=18Glgm-JENXIOelSAUHx4c9Vv5ZU9Pbi_</t>
  </si>
  <si>
    <t xml:space="preserve">Ahmad Manzoor </t>
  </si>
  <si>
    <t>03276245142</t>
  </si>
  <si>
    <t xml:space="preserve">Jamia Masjid Gulzar e Madina Sargodha </t>
  </si>
  <si>
    <t>https://drive.google.com/open?id=1gwQ2ULl0rno_m_0l9BCwv8dXSyODpLNt</t>
  </si>
  <si>
    <t>https://drive.google.com/open?id=1seqlKlC_VxpkKJrZ9UVGk07H9-Bo-kz6</t>
  </si>
  <si>
    <t>https://drive.google.com/open?id=1a3MkULfAQBC4I4h314saM1N17ElaQa1_</t>
  </si>
  <si>
    <t>manzoorhussain8090100@gmail.com</t>
  </si>
  <si>
    <t>https://drive.google.com/open?id=1mKvg4o9N6_eqfA3nXhkPmzs1pqzdKPhV</t>
  </si>
  <si>
    <t>https://drive.google.com/open?id=1qQ1hdaCejkR0cfg44l4T-vImcDVDSgZe</t>
  </si>
  <si>
    <t>https://drive.google.com/open?id=1A7Z68n4hVUhrDPejiGR58Nfffn2Pe5ar</t>
  </si>
  <si>
    <t>Hamara kutba nahi prha laikin Thora SA milta tha apas mei ittefaq ky hawalay sy</t>
  </si>
  <si>
    <t>Wfyxg</t>
  </si>
  <si>
    <t>Jamia Masjid Takiya Hazoori Shah Lahore</t>
  </si>
  <si>
    <t>https://drive.google.com/open?id=1NgtaCrqrjHynFX7_gE-HOF6zVlyMIOpp, https://drive.google.com/open?id=1y3ocdyYLX9nYfstI6lesjJXS19S1wUyD</t>
  </si>
  <si>
    <t>https://drive.google.com/open?id=1TourKkKPizB6fSiyoQunnFv4Be43fp_P, https://drive.google.com/open?id=1RMc8SvR5gS_C_ckG9jhITKKfEb7PdQaP, https://drive.google.com/open?id=1EumAZmgZ0qJ3bf3XVwN13xcC0YKR7YYE, https://drive.google.com/open?id=1ZJvZ3SEcId-YIKGn27UbP_kJrKjdVzTb</t>
  </si>
  <si>
    <t>https://drive.google.com/open?id=1da9m8LMMlGOTpICfFZFuYWjRZM9-6N0A</t>
  </si>
  <si>
    <t>cnztw</t>
  </si>
  <si>
    <t>SULAMAN asghar</t>
  </si>
  <si>
    <t>Jamia masjid shah jahngir</t>
  </si>
  <si>
    <t>شاہ جانگیر</t>
  </si>
  <si>
    <t>https://drive.google.com/open?id=1HXDTQWC1RIqQyPwhZpVfq6t79bg0EETx</t>
  </si>
  <si>
    <t>https://drive.google.com/open?id=1KmyzPyPu-ErGIbNJdoApjOD-Q37LzEpr</t>
  </si>
  <si>
    <t>https://drive.google.com/file/d/1Y0P-7dNE2HI7brCBw0iOnCDbgKG-gCPu/view?usp=drive_link</t>
  </si>
  <si>
    <t>Saif ullah</t>
  </si>
  <si>
    <t xml:space="preserve">Jamia masjid phularwan </t>
  </si>
  <si>
    <t>https://drive.google.com/open?id=17qCYrLE-CBFxbrog1hmtIIUQOWNHnE5V</t>
  </si>
  <si>
    <t>https://drive.google.com/open?id=1l8gWoh-kJ0-Kh-fKhkHHTk_HGe8llTmo</t>
  </si>
  <si>
    <t>https://drive.google.com/open?id=14C9jO7FsmaoVRXNl8ZQNy6kC4bQ3mAmG</t>
  </si>
  <si>
    <t xml:space="preserve">Hassan Farooq </t>
  </si>
  <si>
    <t xml:space="preserve">Jamia masjid Ahla sunnat </t>
  </si>
  <si>
    <t>https://drive.google.com/open?id=1OkxpO9_p8nHxE675oaveOE_0e-4cKd_m</t>
  </si>
  <si>
    <t>https://drive.google.com/open?id=1STMBxE1PTozkoN9jOWjsJXM8KHvsTZQZ</t>
  </si>
  <si>
    <t>https://drive.google.com/open?id=1CaQBRgFko8Vrq-6PQJiGMxurM395Szbx</t>
  </si>
  <si>
    <t>ltsen</t>
  </si>
  <si>
    <t>Muhammad Waseem</t>
  </si>
  <si>
    <t>1063 ہجری</t>
  </si>
  <si>
    <t>https://drive.google.com/open?id=1VJjj8iRiGrrVJCPkAzLvnjSD9CQKC48H</t>
  </si>
  <si>
    <t>https://drive.google.com/open?id=1XApVq7Yi8RAASPph-DoI6pz0Gg-u8YR-</t>
  </si>
  <si>
    <t>https://drive.google.com/file/d/1khDkS4QC6Pe4TqxcO_YSKt8d9HzTOHXs/view?usp=sharing</t>
  </si>
  <si>
    <t xml:space="preserve">مسجد کے نام کا کوئی بورڈ یا واضح نام نہیں لکھا ہوا اس کا نام واضح ہونا چاہیے </t>
  </si>
  <si>
    <t xml:space="preserve">Jamia masjid sakhi shah suleman noori hazoori bhalwal </t>
  </si>
  <si>
    <t xml:space="preserve">Sakhi shah suleman noori hazoori bhalwal </t>
  </si>
  <si>
    <t>https://drive.google.com/open?id=1SaDy5lcAm6bd-8OPJ_A20ZUSPXKWyimE</t>
  </si>
  <si>
    <t>https://drive.google.com/open?id=1WHQP4YTUVekjeDgJT38zCUJYSO51GiUe</t>
  </si>
  <si>
    <t>https://drive.google.com/open?id=1h58z9A3b0wbNi4ImcIXT0QjTYZ1zvRim</t>
  </si>
  <si>
    <t>malikbhalki667@gmail.com</t>
  </si>
  <si>
    <t xml:space="preserve">عرفان امجد </t>
  </si>
  <si>
    <t xml:space="preserve">جامعہ مسجد ایشاں بیگم پورہ لاہور </t>
  </si>
  <si>
    <t>2سے 3</t>
  </si>
  <si>
    <t xml:space="preserve">چار سو سال پرانی </t>
  </si>
  <si>
    <t>جی</t>
  </si>
  <si>
    <t>https://drive.google.com/open?id=1NCZUYEsydqxpptFRrdS6IbD1XnlxBx7F, https://drive.google.com/open?id=1lMvZoTh4d8zf3wVnktI7ZZvA_d8vwXRu</t>
  </si>
  <si>
    <t>https://drive.google.com/open?id=1d8Csn34YQ44F3ISP3Yb3PTilC4-arI5F, https://drive.google.com/open?id=1s9R_vXfULTtx913NQctXOrdhgIhaf2h2, https://drive.google.com/open?id=1xheyla42KsyDwz-K1gcpSe4cWQ-dbfDD</t>
  </si>
  <si>
    <t>https://drive.google.com/open?id=17PScrfLWCy6sYiNxLWUDCyCdBLM6Mwxy</t>
  </si>
  <si>
    <t>Palog</t>
  </si>
  <si>
    <t>Markzi jamia masjid ashrafiya gol chok</t>
  </si>
  <si>
    <t>https://drive.google.com/open?id=11qXOiP6otxggXRTaTzdSbyFiRbX5xn1Q</t>
  </si>
  <si>
    <t>https://drive.google.com/open?id=1MQSCEhwaFBexRgJmSzUgZHYWKoY7MO2a</t>
  </si>
  <si>
    <t>https://drive.google.com/open?id=1lcTbEuu-XsOQ-2mujiVeRQXdweOkzDSN</t>
  </si>
  <si>
    <t>Jamia masjid hazrat Syed charag Ali shah</t>
  </si>
  <si>
    <t>https://drive.google.com/open?id=1542K-n3WZe7OO53ZQGaSvc9VzUrezT3f</t>
  </si>
  <si>
    <t>https://drive.google.com/open?id=1oogtubalQsU7dlZoIV1ogArVgOR2tP-z</t>
  </si>
  <si>
    <t>https://drive.google.com/open?id=1ItZmACpKFuKweVLmqVfnP7k_h0FEw7qR</t>
  </si>
  <si>
    <t xml:space="preserve">Usman </t>
  </si>
  <si>
    <t xml:space="preserve">Jamai masjid Ghala mandi bhalwal </t>
  </si>
  <si>
    <t>https://drive.google.com/open?id=1NkGoMPltbPbU9VIbu88GCSqR4sBeHKJ7</t>
  </si>
  <si>
    <t>https://drive.google.com/open?id=1X-mSm1Yzv_roHHyooxsBEQWqjuW5gVsa</t>
  </si>
  <si>
    <t>https://drive.google.com/open?id=1w7gR53IHsvEBy30bwV3_8zRiCsjNAZPL</t>
  </si>
  <si>
    <t>Uiodj</t>
  </si>
  <si>
    <t>Waleed</t>
  </si>
  <si>
    <t xml:space="preserve">Jamia masjid Zia </t>
  </si>
  <si>
    <t>https://drive.google.com/open?id=1tLC1hSwXCz1Reo_IxfcuBdllgK1gtq97</t>
  </si>
  <si>
    <t>https://drive.google.com/open?id=1Bf4-e-Yn_hoBbi334f-Q27_oc7iwmnWr</t>
  </si>
  <si>
    <t>https://drive.google.com/open?id=1Qd6E84zvwsJHC7Q8JZvencSNXxA9P5gL</t>
  </si>
  <si>
    <t>Ekvzq</t>
  </si>
  <si>
    <t xml:space="preserve">Jamia masjid Kingrian wali Mozang </t>
  </si>
  <si>
    <t>https://drive.google.com/open?id=1gzxiUQwrcIysGXHtHLYP7Ajq7MxHBaYJ</t>
  </si>
  <si>
    <t>https://drive.google.com/open?id=1R10_4q42S5pyCQG450z5ohamfO0CnULY</t>
  </si>
  <si>
    <t>https://drive.google.com/open?id=1Gi9w74SvJhR-w7JnJUR1xvvzRIHySmR6</t>
  </si>
  <si>
    <t xml:space="preserve">SULAMAN asghar </t>
  </si>
  <si>
    <t xml:space="preserve">Ghosia masjid Pakistan chock Gujrat </t>
  </si>
  <si>
    <t>نہیں</t>
  </si>
  <si>
    <t>https://drive.google.com/open?id=1ckVDCMSvukKdgtnPDaPWhVHxl4aF8wwB, https://drive.google.com/open?id=1ZMzGhWdnym1IVkO1Q8hRi2N4IcH1Glk0</t>
  </si>
  <si>
    <t>Shahbaz Ahmed</t>
  </si>
  <si>
    <t>Jamia Masjid Hanfia aljanat Onchee Pansaria Sialkot</t>
  </si>
  <si>
    <t>https://drive.google.com/open?id=1Oy3yb9VRVSLpUjuAHL1Xd-G4TzY9JrhL</t>
  </si>
  <si>
    <t>https://drive.google.com/open?id=1OOrzBi0Y4uNcnShJk_0mq0UanMwOt7-H</t>
  </si>
  <si>
    <t>https://drive.google.com/open?id=1AlZCGOf2ABJ-x0hTnEOCl4jGp3hgWW9M</t>
  </si>
  <si>
    <t xml:space="preserve">Muhammad  Abu Bakar </t>
  </si>
  <si>
    <t>Jamia Masjid sadique e Akbar</t>
  </si>
  <si>
    <t>80 Years</t>
  </si>
  <si>
    <t>https://drive.google.com/open?id=1R0j0g3mmpKyjuqmLebqbLPWT8UxfWLUL</t>
  </si>
  <si>
    <t>https://drive.google.com/open?id=14kXAU_kq1GMYBXWxWPGmm7vU8iZlQT49</t>
  </si>
  <si>
    <t>https://drive.google.com/open?id=17Z8D6sOmqQLjp8v8v8iRQzp1X9LrvyPm</t>
  </si>
  <si>
    <t xml:space="preserve">HOMVR </t>
  </si>
  <si>
    <t>Muhammad Abu Bakar</t>
  </si>
  <si>
    <t>Jamia Masjid siddique e Akbar</t>
  </si>
  <si>
    <t>https://drive.google.com/open?id=1PmRM0Hp7ODp-HiAjKA2B_CMCXknbX505</t>
  </si>
  <si>
    <t>https://drive.google.com/open?id=1W7AnWVCIaistOlIOJ9W-BcX1vZZJ-zFW</t>
  </si>
  <si>
    <r>
      <rPr>
        <rFont val="Roboto"/>
        <color rgb="FF1155CC"/>
        <u/>
      </rPr>
      <t>https://drive.google.com/open?id=1EGWT-7Ouqv7eQgPxyi_Vm4wt88RiWNMX</t>
    </r>
    <r>
      <rPr>
        <rFont val="Roboto"/>
        <color rgb="FF434343"/>
      </rPr>
      <t xml:space="preserve">, </t>
    </r>
    <r>
      <rPr>
        <rFont val="Roboto"/>
        <color rgb="FF1155CC"/>
        <u/>
      </rPr>
      <t>https://drive.google.com/open?id=1ey4769qEKRE2o0NqayHKSgD7XeD9PhQc</t>
    </r>
  </si>
  <si>
    <t>LMDFN</t>
  </si>
  <si>
    <t>Awaid</t>
  </si>
  <si>
    <t>03206556691</t>
  </si>
  <si>
    <t>Jamia masjid company Bagh sargodha</t>
  </si>
  <si>
    <t>Pir Hakim Ali shah</t>
  </si>
  <si>
    <t>https://drive.google.com/open?id=1nAnJVI59rc1gvUcdOQvLrognh9msnDq8</t>
  </si>
  <si>
    <t>https://drive.google.com/open?id=1EH8Rno9C-NygMGf4aoFjOEBgxsHyRvbz</t>
  </si>
  <si>
    <t>https://drive.google.com/open?id=1QqzLwtK9R-gxHlma3nm7z0JjMaS_7arW</t>
  </si>
  <si>
    <t>aleenaakram@gmail.com</t>
  </si>
  <si>
    <t>BJLNR</t>
  </si>
  <si>
    <t xml:space="preserve">Amjad javed </t>
  </si>
  <si>
    <t>03094647217</t>
  </si>
  <si>
    <t>Dabar botay sha</t>
  </si>
  <si>
    <t>Darbar boty sha</t>
  </si>
  <si>
    <t>https://drive.google.com/open?id=1U9KmFipx7b3hKU5R89-AHkyInOTKA_h9</t>
  </si>
  <si>
    <t>https://drive.google.com/open?id=1Z1g-jwYjIZKT50gf5Jip12d276C12nyd</t>
  </si>
  <si>
    <t>https://drive.google.com/open?id=1iA7fzouz417pdevo4UlU74pYHsAQHMCx</t>
  </si>
  <si>
    <t>CCXYI</t>
  </si>
  <si>
    <t>03706058110</t>
  </si>
  <si>
    <t>https://drive.google.com/open?id=1bd9xJOAviT2nPUNTvxJOdatfEwhWfRZL</t>
  </si>
  <si>
    <t>https://drive.google.com/open?id=1oV2qTp36fBK6pYsWGf9sVe8gu0yQpKsu</t>
  </si>
  <si>
    <t>https://drive.google.com/open?id=1B4Lq_61jZ_c93N0vxrOaHaWzJlXymyjh</t>
  </si>
  <si>
    <t>amjadjaved215@gmail.com</t>
  </si>
  <si>
    <t>CVXRS</t>
  </si>
  <si>
    <t>Dhonkal chila gha sakhi sarwer</t>
  </si>
  <si>
    <t>Shaki sarwer chila ga</t>
  </si>
  <si>
    <t>https://drive.google.com/open?id=1LAonl7Ss_zIjAuZG5zN7IziQg0Fo7RG0</t>
  </si>
  <si>
    <t>https://drive.google.com/open?id=1NdaZdj5bBZbJ2yWEp5eI8RJHEXxCAExR</t>
  </si>
  <si>
    <t>https://drive.google.com/open?id=1ahhQjHRgDocUArHUFqmZKZqDCIdxOGM8</t>
  </si>
  <si>
    <t xml:space="preserve">Masjid Syedna Abubakar Siddique Gumti Bazar </t>
  </si>
  <si>
    <t>https://drive.google.com/open?id=1esu1ykZthDvAL3qrhyn39LmhcV7WY_kX</t>
  </si>
  <si>
    <t>https://drive.google.com/open?id=1iJyE5z_fNr4eAZIGYgjyy5BDyOUHDmoy, https://drive.google.com/open?id=1Xg1P0kqOyHyylIGEDuRykvYoEaFffaFt, https://drive.google.com/open?id=1YXR6Uc80d7edQ6jAQ7F6-XWBhh5N9QLq</t>
  </si>
  <si>
    <t>https://drive.google.com/open?id=1weynkTrBVdWY2Y-gJehrckdGd9AJ8iz6</t>
  </si>
  <si>
    <t xml:space="preserve">Zulqarnain hassan </t>
  </si>
  <si>
    <t>https://drive.google.com/open?id=1ouYf474Uh1hzfrbDvEcR-Wqhvompfuj9</t>
  </si>
  <si>
    <t>https://drive.google.com/open?id=1Fz0ucbet9pCIzZytXewMCbwQcrWCjaIs</t>
  </si>
  <si>
    <t>https://drive.google.com/open?id=1LvN7HmVwDvTuNOPBUNyFjKubq94HTSHZ</t>
  </si>
  <si>
    <t>Jamia masjid hanifia farooqia railway road</t>
  </si>
  <si>
    <t>https://drive.google.com/open?id=1YDYVbE28kmw658S1x8XIZmWqfjUpOQHr</t>
  </si>
  <si>
    <t>https://drive.google.com/open?id=1uFUeLHXp-DS1q25tnawmzS6wQMwanh1y</t>
  </si>
  <si>
    <t>https://drive.google.com/open?id=1q0pdsVdKS5CmiD_IdmjItf1JSpuRlYRr</t>
  </si>
  <si>
    <t>Markazi jamiya masjid maine bazar khushab</t>
  </si>
  <si>
    <t>https://drive.google.com/open?id=1RYXeJU5hYf9dGFDY9wzW2SqQo9rvzXei</t>
  </si>
  <si>
    <t>https://drive.google.com/open?id=1VajD54DluhTMyGNpCT8-VqF_YTFcXXyD</t>
  </si>
  <si>
    <t>https://drive.google.com/open?id=1HBWjKVQoK7jE0CqrV68z4C7hHAjETlzI</t>
  </si>
  <si>
    <t>03046138132</t>
  </si>
  <si>
    <t>JAMIA MASJID FAROOQIYA GHOUSIYA  POWNDA WALA</t>
  </si>
  <si>
    <t>https://drive.google.com/open?id=1-YLzVG_ruNTKPmWe04sej9JIo1BfrppA</t>
  </si>
  <si>
    <t>https://drive.google.com/open?id=1hzewtllKsfOqukrg2UPGK5kxC5Y2tS_o</t>
  </si>
  <si>
    <t>https://drive.google.com/open?id=1CrIE2vuM2QGkJesSe-ZAUqFSRoRV_WDZ</t>
  </si>
  <si>
    <t>qb0430317@gmail.com</t>
  </si>
  <si>
    <t>JAMIA MASJID QUDSIYA RIZVIYA CIVIL LINE</t>
  </si>
  <si>
    <t>https://drive.google.com/open?id=13tZtCyl1QRbbTGUG3H4ZsM0QfhmR28le</t>
  </si>
  <si>
    <t>https://drive.google.com/open?id=1Os98Not9ey3W3wbdDYsBzwkvmVwSJtQ5</t>
  </si>
  <si>
    <t>https://drive.google.com/open?id=1yPVeMI2kifj5qc4NNKsT8k-fj5jS4Kcm</t>
  </si>
  <si>
    <t>Sxnpd</t>
  </si>
  <si>
    <t>Sain Karam elahi sarkar</t>
  </si>
  <si>
    <t>کانواں والی سرکار کرم الٰہی سرکار</t>
  </si>
  <si>
    <t>https://drive.google.com/open?id=14_mfupTiwCyq7rKFlaIKyETFZmjXpvu0</t>
  </si>
  <si>
    <t>ہمارا خطبہ نہیں پڑھا گیا بلکہ مزدور ڈے کے حوالے سے خطبہ پڑھا گیا ہے</t>
  </si>
  <si>
    <t>SHAH ZAIB</t>
  </si>
  <si>
    <t>03166200368</t>
  </si>
  <si>
    <t>Biri Shah rehman</t>
  </si>
  <si>
    <t>https://drive.google.com/open?id=17iaOCyJtPFbKqhEpGZENmDXWHXMlkMoG</t>
  </si>
  <si>
    <t>https://drive.google.com/open?id=1kNhWJuJKX2VtBZZd29OGKzTPB7uWB3TB</t>
  </si>
  <si>
    <t>https://drive.google.com/open?id=1vWi6DND9G6_qE4L8H_U-YRiVogdcKbW6</t>
  </si>
  <si>
    <t>Baqir irfat</t>
  </si>
  <si>
    <t>Jamia masjid imam ali haq skt</t>
  </si>
  <si>
    <t>Imam ali haq darbar</t>
  </si>
  <si>
    <t>https://drive.google.com/open?id=1lRmKUzk99-JKeOYCMXNyLNW9ir00P9jd</t>
  </si>
  <si>
    <t>https://drive.google.com/open?id=1_PgJULmuJ17BDT1txpjCuwtFT1TLTI8U</t>
  </si>
  <si>
    <t>https://drive.google.com/open?id=1rodmpfrD799QmYvkot0IekWk297TQf8O</t>
  </si>
  <si>
    <t>baqir26@yahoo.con</t>
  </si>
  <si>
    <t xml:space="preserve"> DARBAR BHIRI SHAH REHMAN </t>
  </si>
  <si>
    <t xml:space="preserve">SHAH ABDUL REHMAN AL MAROOF BHIRI SHAH REHMAN </t>
  </si>
  <si>
    <t>https://drive.google.com/open?id=1tAh66Xqox6K6siRI3AABSS59McSXIwuw</t>
  </si>
  <si>
    <t>https://drive.google.com/open?id=1o-9nrY1_J3VxeB9xC7MS0ul-kU6JlR5g</t>
  </si>
  <si>
    <t>QVDJF</t>
  </si>
  <si>
    <t xml:space="preserve">Abdul Rahman </t>
  </si>
  <si>
    <t>03365787199</t>
  </si>
  <si>
    <t>QVDJF	Jamia Masjid Haji Muhammad Din Gujrat</t>
  </si>
  <si>
    <t>https://drive.google.com/open?id=1PV-4uOReqLud32EOLqRLoEiZJOjhbOwJ</t>
  </si>
  <si>
    <t>asim.moon423@gmail.com</t>
  </si>
  <si>
    <t>QLXFF</t>
  </si>
  <si>
    <t>Maqbood Ahmad</t>
  </si>
  <si>
    <t>Jamil masjid Qutab Shah wali</t>
  </si>
  <si>
    <t>Qotab Shah wali</t>
  </si>
  <si>
    <t>https://drive.google.com/open?id=1jEqW-YoLKYCrzB6quE9IhJrxhNEWk0Kp</t>
  </si>
  <si>
    <t>https://drive.google.com/open?id=1f6u6dkWyYk6SNgh-uOB35ba8SZve9YbJ</t>
  </si>
  <si>
    <t>https://drive.google.com/open?id=1KUWOu7oAN0EOCLTlC8vpCFbV1VY09h9k</t>
  </si>
  <si>
    <t>PIPXB</t>
  </si>
  <si>
    <t xml:space="preserve">Hamaad </t>
  </si>
  <si>
    <t xml:space="preserve">Jamia Masjid Syaden Shah Shahrazi Chakwal </t>
  </si>
  <si>
    <t>https://drive.google.com/open?id=1nwKR9-wZ6hzNdf0Xr_66dAq2UYEBxwFX</t>
  </si>
  <si>
    <t>https://drive.google.com/open?id=1cZwzCrgjydVRl_P59F5QoV73Id3oCi6-</t>
  </si>
  <si>
    <t>https://drive.google.com/open?id=1Kal1N6K2EwoiVIFdgyLwTla_buY2Trg3</t>
  </si>
  <si>
    <t xml:space="preserve">Topic : Palestine </t>
  </si>
  <si>
    <t>HXSZB</t>
  </si>
  <si>
    <t>Afaq</t>
  </si>
  <si>
    <t>Jamia Masjid Eid gah Tala gang chakwal</t>
  </si>
  <si>
    <t>https://drive.google.com/open?id=1XZeyl6hrFje97sv1J0VsHCn_4Z4qLien</t>
  </si>
  <si>
    <t>https://drive.google.com/open?id=1GzAlNqgwn-cevTH9j4kVV-QpCTeBXmrf</t>
  </si>
  <si>
    <t>https://drive.google.com/open?id=1zgODESIvP1jNLDbtk-AkveyC4VXzBUbD</t>
  </si>
  <si>
    <t>Topic: Allah ky sth Kisi ko shirk na therana</t>
  </si>
  <si>
    <t>afaqchsarkar445@gmail.com</t>
  </si>
  <si>
    <t>tnjaz</t>
  </si>
  <si>
    <t>Jamia Masjid Noor Eman Wali Kashmir Bazar Lahore</t>
  </si>
  <si>
    <t>https://drive.google.com/open?id=1uUAu7vXdzuxneWAVRBBP_fAA3bSn1Gen</t>
  </si>
  <si>
    <t xml:space="preserve">Madina Masjid chownk purani anarkali </t>
  </si>
  <si>
    <t>https://drive.google.com/open?id=1no9yGyoe4wCfEfTSVgelSq_w_7-PlE8T</t>
  </si>
  <si>
    <t>https://drive.google.com/open?id=1ESE0Cvy9B4Zo-BlZRjr-tgkk2xgpTGgn</t>
  </si>
  <si>
    <t>https://drive.google.com/open?id=13pa9CDu1n8EUXsx-OqJsgAGs1-vXO7e8</t>
  </si>
  <si>
    <t xml:space="preserve">Jami Masjid ahl e sunnat railway Chowk malakwal </t>
  </si>
  <si>
    <t>https://drive.google.com/open?id=13snFvHslYgfzlmsTwIwVMXtTh3T3Wixg</t>
  </si>
  <si>
    <t>https://drive.google.com/open?id=1MMBMG-YW_9d-rLv9ZIGjql69bdKA3FMU</t>
  </si>
  <si>
    <t>https://drive.google.com/open?id=1sn8p9pv3JpeCkea3DJArg2uEM9A_WclQ</t>
  </si>
  <si>
    <t>mailforfarhat@gmail.com</t>
  </si>
  <si>
    <t>https://drive.google.com/open?id=1ffJX9rUlCSNtwX3DQL7F7OvkRiixYtxc</t>
  </si>
  <si>
    <t>https://drive.google.com/open?id=1dquFgJnUPsAzLCo5dgR5RRJR3mG4npos</t>
  </si>
  <si>
    <t>https://drive.google.com/open?id=1XWMWFUQrgIgzJV8sOCBNMlfiSwFYmX-2</t>
  </si>
  <si>
    <t>Fareed Khan</t>
  </si>
  <si>
    <t>Jamia Masjid Shah Ali Rangreez Lahore</t>
  </si>
  <si>
    <t xml:space="preserve">Darbar Shah Ali Rangreez </t>
  </si>
  <si>
    <t>https://drive.google.com/open?id=1PvxPxfR7624UgfRqgfXm18ZEXvKspDmg</t>
  </si>
  <si>
    <t>https://drive.google.com/open?id=1zspD3LBlEDOgBpi-sDBkDuVpEGcMg8NK</t>
  </si>
  <si>
    <t>https://drive.google.com/open?id=1cPJswgGP0xJ3tQ_D7xdoSijsuph3oqSg</t>
  </si>
  <si>
    <t xml:space="preserve">Jamia masjid PEERA MALAH Raheem Pura Sialkot </t>
  </si>
  <si>
    <t>https://drive.google.com/open?id=1xqAGtVUYDDrzo_Wad-vuuqr7KCks_T7W</t>
  </si>
  <si>
    <t>https://drive.google.com/open?id=1ilv9SOzIpY6fWIMGXbjFanaAkMTHIAqD</t>
  </si>
  <si>
    <t>https://drive.google.com/open?id=1VxeAdn7KQQVZf32LCsXnHi9K5t6e-m8p</t>
  </si>
  <si>
    <t>subhan.zulaied@gmaip.com</t>
  </si>
  <si>
    <t xml:space="preserve">Muhammad Bakhsh </t>
  </si>
  <si>
    <t xml:space="preserve"> Jamia Masjid sadique Akbar</t>
  </si>
  <si>
    <t>https://drive.google.com/open?id=1Iv1tZugaeQC2s01kxFgHEBJhsOoKDqF9</t>
  </si>
  <si>
    <t>Jamia Masjid Sadique e Akbar Jholana M.B.D</t>
  </si>
  <si>
    <t>https://drive.google.com/open?id=1m8ECLy3gFGQSWaa2HPZD3ICs21UONSyP</t>
  </si>
  <si>
    <t>https://drive.google.com/open?id=1_OUZwguggL27O-3UcdRefr91IxOzhT-q</t>
  </si>
  <si>
    <t xml:space="preserve">	.....Jamia Masjid Madina Purani Anarkali Lahore. .</t>
  </si>
  <si>
    <t>https://drive.google.com/open?id=1KnyfWBAt2ZdwOLPgMQvrmql3AMXAsn_p</t>
  </si>
  <si>
    <t>https://drive.google.com/open?id=16MgfxiW-W0oEGpyejvLuxTuel34JeEMM</t>
  </si>
  <si>
    <t>https://drive.google.com/open?id=1XRaAJrZVyyZax-zPYQuPBs1CWBKL-Qwe</t>
  </si>
  <si>
    <t>GXKKX</t>
  </si>
  <si>
    <t xml:space="preserve">Badshan darbar </t>
  </si>
  <si>
    <t>https://drive.google.com/open?id=1UNf0RKDEyTkteRy02NkMMuykPo4duoPW</t>
  </si>
  <si>
    <t>https://drive.google.com/open?id=1ODoIyD3pv2ZxE783Jjd9nxZy3i1vvB7v</t>
  </si>
  <si>
    <t>https://drive.google.com/open?id=18SVI63sKqR48swQ9Jfq_K6k1xYT4h4tt</t>
  </si>
  <si>
    <t>جامع مسجد کرم الٰہی سرکار</t>
  </si>
  <si>
    <t xml:space="preserve">سائیں کانواں والی سرکار </t>
  </si>
  <si>
    <t>https://drive.google.com/open?id=1VDHQJPuWDUuWuRpl5-uP1WM43tjpIFMA</t>
  </si>
  <si>
    <t xml:space="preserve">Jamia masjid ashrafiya gol chok Sargodha </t>
  </si>
  <si>
    <t>https://drive.google.com/open?id=10nqpp_-xLffz_eWRWY4rOjHZHOBLYS49</t>
  </si>
  <si>
    <t>https://drive.google.com/open?id=1fOUyFObSuzb6sHACFDeqytwDGx3UHxZ-</t>
  </si>
  <si>
    <t>https://drive.google.com/open?id=1FDCjAnEm3REAFI9jvsUCZ1V-latlVLMC</t>
  </si>
  <si>
    <t xml:space="preserve">Jamia masjid main bazar ahle sunnat </t>
  </si>
  <si>
    <t>https://drive.google.com/open?id=1R0GKayjCKTFTYHpYGV8F0YTdmyQAscCk</t>
  </si>
  <si>
    <t>https://drive.google.com/open?id=1rE8alas7F9z6FArhcCoEX9Bv3yy6dqzl</t>
  </si>
  <si>
    <t>https://drive.google.com/open?id=1jGbvnSaohPxducctb-AOySmbFHvZWNUs</t>
  </si>
  <si>
    <t>03</t>
  </si>
  <si>
    <t xml:space="preserve">Jamia Masjid Chowk Dalkara Lahore </t>
  </si>
  <si>
    <t>https://drive.google.com/open?id=1zOQfClwsRhU_EQXccNyxgBhrCZAz2fiI</t>
  </si>
  <si>
    <t>https://drive.google.com/open?id=1MgubGSloOBgi5TXqPY3ruERKK_lElg7i</t>
  </si>
  <si>
    <t>https://drive.google.com/open?id=106ZBaIwZixMXQXNfnwxk6ogYmHF3uvMN</t>
  </si>
  <si>
    <t>Muhammad Khalid salahuddin</t>
  </si>
  <si>
    <t>Jamia Masjid Afghan</t>
  </si>
  <si>
    <t>حضرت بابا دین محمد افغانی</t>
  </si>
  <si>
    <t>https://drive.google.com/open?id=1eJGRkwZqfVszggu24aJq9BIArR_HicgH</t>
  </si>
  <si>
    <t>https://drive.google.com/open?id=1Rk28zDK_QlFuPINcpBgzn9SSZ2lvZw2K</t>
  </si>
  <si>
    <t>https://drive.google.com/open?id=18ueNhAYV5QQXWjweC8i48vF5_eixUSzk</t>
  </si>
  <si>
    <t xml:space="preserve">Asim bhatti </t>
  </si>
  <si>
    <t>Jamia Masjid Haji Muhammad Din Gujrat</t>
  </si>
  <si>
    <t>https://drive.google.com/open?id=1ivgG3wJI1fPiOFmTXuzTuwjxGm6uAecT</t>
  </si>
  <si>
    <t>asim.bhatti5787@gmail.com</t>
  </si>
  <si>
    <t>03280860096</t>
  </si>
  <si>
    <t xml:space="preserve">Jamia Masjid Gulzar e Madina </t>
  </si>
  <si>
    <t>https://drive.google.com/open?id=1Vn5nwADCpJNgoMAlcPR5UJnXHL62nF6_</t>
  </si>
  <si>
    <t>https://drive.google.com/open?id=1gJnSV-x-4KHKHGlYFdGUA2U8bV1C4vm-</t>
  </si>
  <si>
    <t>https://drive.google.com/open?id=1Ftk66St4UXBFX60wBZ8g2bkKy78NQjf1</t>
  </si>
  <si>
    <t xml:space="preserve">شاہی مسجد </t>
  </si>
  <si>
    <t xml:space="preserve">1063 ہجری </t>
  </si>
  <si>
    <t>نہیں ہے</t>
  </si>
  <si>
    <t>https://drive.google.com/open?id=1iPg3lD2FyXdJq1P6o6BAvlhXQFPWxErA</t>
  </si>
  <si>
    <t>https://drive.google.com/open?id=1IYGDoKl36kzOV_WZUuWrJ4eiX17_dxto</t>
  </si>
  <si>
    <t>https://drive.google.com/file/d/1GmExB1ly3LPCq2jRKxd-Z_j33v51ZYHY/view?usp=sharing</t>
  </si>
  <si>
    <t xml:space="preserve">مسجد کا واضح نام نہیں لکھا ہوا </t>
  </si>
  <si>
    <t>waseehm.pwwd.chiniot@gmail.com</t>
  </si>
  <si>
    <t xml:space="preserve">Waleed </t>
  </si>
  <si>
    <t>Jamia masjid zia</t>
  </si>
  <si>
    <t>https://drive.google.com/open?id=1s_YSeHYFg0cLThqv6sfDD3eH3LEPjoPY</t>
  </si>
  <si>
    <t>https://drive.google.com/open?id=1fcotx_8HFVYVk-TXC0-BvqnU41W2cOay</t>
  </si>
  <si>
    <t>https://drive.google.com/open?id=1uQZmplAeW_khsU3rTwrJzv3YRIshkb_Z</t>
  </si>
  <si>
    <t xml:space="preserve">Jamia Masjid hanfia ghosiya rizwiya </t>
  </si>
  <si>
    <t xml:space="preserve">Peer guga </t>
  </si>
  <si>
    <t>https://drive.google.com/open?id=1qZv03A593QBAXNeA0otM4vdTdWGwIr1Y</t>
  </si>
  <si>
    <t>https://drive.google.com/open?id=1aGAseoBlwfoaZxJ35Py_s_uYcUo-5I25</t>
  </si>
  <si>
    <t>https://drive.google.com/open?id=1djkDcKLs_JZpfL9r1S56fg5zDIq4I29A</t>
  </si>
  <si>
    <t>Awaid Akram</t>
  </si>
  <si>
    <t>jamia masjid company bagh sargodha model bazar</t>
  </si>
  <si>
    <t>Par Hamid Ali Sha</t>
  </si>
  <si>
    <t>https://drive.google.com/open?id=1U4ieeYJ52OsdppXiGXvc6plYBcKWIpb8</t>
  </si>
  <si>
    <t>https://drive.google.com/open?id=1hww_2rusWtMth5klMJ-Cw7PBLb8FiQNm</t>
  </si>
  <si>
    <t>https://drive.google.com/open?id=1eu85pmOE3QFidy4a9PnlYtUT6ENf01n_</t>
  </si>
  <si>
    <t>aleenaakram30257@gmail.com</t>
  </si>
  <si>
    <t>https://drive.google.com/open?id=1xe1P6g9hp9ZI1EpW-gUuoUOogcJ7hVDw</t>
  </si>
  <si>
    <t>https://drive.google.com/open?id=1OUpD6FW69BdPl73yjWdKxLSi9PlFYvYW</t>
  </si>
  <si>
    <t>https://drive.google.com/open?id=1xn21n_USWYvNm05VFPmtSmrW65YHwyTg</t>
  </si>
  <si>
    <t xml:space="preserve">NO </t>
  </si>
  <si>
    <t>pmxox</t>
  </si>
  <si>
    <t>03076036513</t>
  </si>
  <si>
    <t>https://drive.google.com/open?id=1JJVWcWUOs0SS5ofGgSdWKQgDRcquQIQa</t>
  </si>
  <si>
    <t>https://drive.google.com/open?id=1rScZvxQqyMWXgap7zgWgPBxS1HdLMH3s</t>
  </si>
  <si>
    <t>https://drive.google.com/open?id=1QDPUBaIEi08CzHiwv_2iUL1ZAQIikutC</t>
  </si>
  <si>
    <t>bhalkimalik88@gmail.com</t>
  </si>
  <si>
    <t>0313</t>
  </si>
  <si>
    <t>Jamia masjid galah Mandi sargodha</t>
  </si>
  <si>
    <t>https://drive.google.com/open?id=1Qnx5lFzfcIz9-sqoDM6sdOUfbC5igEt8</t>
  </si>
  <si>
    <t>https://drive.google.com/open?id=1gGgP_Nv7DcBFetFZfSLOBa5udr6Wizcu</t>
  </si>
  <si>
    <t>https://drive.google.com/open?id=1dJgwn8IXHvGoRkJC590RpoE1Jl_EcUSN</t>
  </si>
  <si>
    <t>ikramshezad888@gmail.com</t>
  </si>
  <si>
    <t>Ohbdv</t>
  </si>
  <si>
    <t>M. Yamin Kanwal</t>
  </si>
  <si>
    <t>Jamia Masjid Noor shakar garh</t>
  </si>
  <si>
    <t>https://drive.google.com/open?id=13DyFfIJLXQ_AKipDIoL7e0daKIHWW2wD</t>
  </si>
  <si>
    <t>https://drive.google.com/open?id=1Gara7GrxDGfHLwiH2-Hx7RlEcrCy-eyh</t>
  </si>
  <si>
    <t>https://drive.google.com/open?id=1SuOs5-p_r02aGjll-6Jm--mOWUlkJNC9</t>
  </si>
  <si>
    <t>pcboq</t>
  </si>
  <si>
    <t>Abdullah</t>
  </si>
  <si>
    <t xml:space="preserve">jamia masjid Safdaria </t>
  </si>
  <si>
    <t>https://drive.google.com/open?id=1gIi8KHFJJSr19DJ_PbZAs7KymHIMi0iV</t>
  </si>
  <si>
    <t>https://drive.google.com/open?id=1sW-mfy3OSN_nRMXE1y8Qy11vlp6Ew_aR</t>
  </si>
  <si>
    <t>https://drive.google.com/open?id=1vIJ-e0XKs5-aJcM69N3ghozViTpxGnke</t>
  </si>
  <si>
    <t>Cnztw</t>
  </si>
  <si>
    <t>Shah jahngir multani</t>
  </si>
  <si>
    <t>Darbar shah jahngir</t>
  </si>
  <si>
    <t>https://drive.google.com/open?id=17xjNrgr5_weDwDqlL35zSjrYxMr4wSWm</t>
  </si>
  <si>
    <t>https://drive.google.com/open?id=1PJgs2WNfiQZ7wg7A4zHe-hZQV-rjwlkG</t>
  </si>
  <si>
    <t>https://drive.google.com/open?id=14t2__17LvhUtRT6q6oHpoLY0VOujM6H-</t>
  </si>
  <si>
    <t>ہمارے دونوں خطبے انھوں نے پہلے دو جمعہ میں پڑھوا دیئے ہیں</t>
  </si>
  <si>
    <t xml:space="preserve">JAMIA MASJID FAROOQIYA GHOUSIYA POWNDA WALA </t>
  </si>
  <si>
    <t>https://drive.google.com/open?id=110EylDLNxy54ZhEjYcPc1_mSP006N4Zb</t>
  </si>
  <si>
    <t>https://drive.google.com/open?id=18wpmJAeNm3HzV7UAwI9YDBoemIRNeGxE</t>
  </si>
  <si>
    <t>https://drive.google.com/open?id=1x63k8BsORceM5st9cFoBfV8kJEZ4zEC4</t>
  </si>
  <si>
    <t>https://drive.google.com/open?id=1Cl3Lr7NF437aKZwnbBY3nm_SZo7DuI-D</t>
  </si>
  <si>
    <t>https://drive.google.com/open?id=19E8Rwa1Fq6zeIyynzqy_1TrRO3XszJPK</t>
  </si>
  <si>
    <t>https://drive.google.com/open?id=1XAYBv4JERF96P_u_f_GGQLspUquiQbGH</t>
  </si>
  <si>
    <t>Maqbool  Ahmad</t>
  </si>
  <si>
    <t>Masjad Qutab shah wali</t>
  </si>
  <si>
    <t>Qutab shah wali</t>
  </si>
  <si>
    <t>https://drive.google.com/open?id=1SOClmmVUTChaUjGjGBWiE1rxI0J4Q-nq</t>
  </si>
  <si>
    <t>https://drive.google.com/open?id=1sVKhJwsijH-OC7EZdxm1G6CnNIzPaj2O</t>
  </si>
  <si>
    <t>https://drive.google.com/open?id=1P-I9H7iGnUrf4hVWOYQZJ3lLvZF2doeN</t>
  </si>
  <si>
    <t>maqboolahmadnwl42@gamil.com</t>
  </si>
  <si>
    <t xml:space="preserve">USMAN </t>
  </si>
  <si>
    <t xml:space="preserve">Jamia masjid galah mandi bhalwal </t>
  </si>
  <si>
    <t>https://drive.google.com/open?id=1QlqtCFJcL7PlVHDmA_2uf0TgOfcXKX5J</t>
  </si>
  <si>
    <t>https://drive.google.com/open?id=1sDhVUNyGLkW3li06bufeaUOHiSskH2_g</t>
  </si>
  <si>
    <t>https://drive.google.com/open?id=1aGseX32o-9Qj3RpZbfdshiPTvsvk8Z6W</t>
  </si>
  <si>
    <t xml:space="preserve">Abdul Qayoom </t>
  </si>
  <si>
    <t>Jamia masjid abdul slam chishti wada bhai</t>
  </si>
  <si>
    <t>Abdul slaam chishti wada bhai</t>
  </si>
  <si>
    <t>https://drive.google.com/open?id=17VEBcDkTh-oXc5AM873h2xwYl_mtNrqp</t>
  </si>
  <si>
    <t>https://drive.google.com/open?id=1s5y7y6lIG2l4ZLxQbifb9BK1GY3NNune</t>
  </si>
  <si>
    <t>https://drive.google.com/open?id=1_qR7RQeaJTRp8Gjpegf2z79UVao65NI9</t>
  </si>
  <si>
    <t>Last juma darbar abdul slam chishti</t>
  </si>
  <si>
    <t>غوثیہ مسجد پاکستان چوک</t>
  </si>
  <si>
    <t>https://drive.google.com/open?id=1NOnwJqfzOAb_U7myjl-QKV96NEfC_uzc</t>
  </si>
  <si>
    <t>Noman</t>
  </si>
  <si>
    <t>03036966</t>
  </si>
  <si>
    <t>Jamia masjid beadon road lahore</t>
  </si>
  <si>
    <t>https://drive.google.com/open?id=1O8UJ1W_74bw6wIojpj2wGnZrptGiiNU8</t>
  </si>
  <si>
    <t>https://drive.google.com/open?id=1-_c8e_5VfeJ7KhCT4k6MjCokwq77mO2O</t>
  </si>
  <si>
    <t>https://drive.google.com/open?id=1MXM1sl6TEKCqcmAtJO5lGU2Z5WVMRP3W</t>
  </si>
  <si>
    <t xml:space="preserve">Sulaman asghar </t>
  </si>
  <si>
    <t>جامع مسجد شاہ حسین گجرات</t>
  </si>
  <si>
    <t>شاہ حسین ملتانی</t>
  </si>
  <si>
    <t>https://drive.google.com/open?id=1RTj-m8-hlAnEiLZPPaOPRbMZGmby-TGn, https://drive.google.com/open?id=11u1hnz4WDbmBTnW-EsE21R1UpMXLhhbl, https://drive.google.com/open?id=1opMWL0FpDVtS1GIhOA3I5I8FPbvCZN4P</t>
  </si>
  <si>
    <t>https://drive.google.com/open?id=1Ep7uVS-AbJXqQUvOhcl1HaosZk-4eg5_</t>
  </si>
  <si>
    <t>https://drive.google.com/open?id=1V_avPmKOiMbJn_2YVUI74Akm4Iw5TX94</t>
  </si>
  <si>
    <t>QAQID</t>
  </si>
  <si>
    <t xml:space="preserve">Jamia masjid shahdola </t>
  </si>
  <si>
    <t xml:space="preserve">Hazrat kabeer udr Deen daryae </t>
  </si>
  <si>
    <t>https://drive.google.com/open?id=1DLOJoSadHrZC83TMddMsFS-XOhxX4xaU</t>
  </si>
  <si>
    <t>https://drive.google.com/open?id=1OONC-I2MRr-lL3GvHO-GUQkGBHnHWnFg</t>
  </si>
  <si>
    <t>https://drive.google.com/open?id=1T0lWLzbXvsB73dRjKqKuw0JBgMXn7077</t>
  </si>
  <si>
    <t>Recording ni upload ho re</t>
  </si>
  <si>
    <t>Ccxyi</t>
  </si>
  <si>
    <t xml:space="preserve">Amjad </t>
  </si>
  <si>
    <t xml:space="preserve">Urdu Bazar gujranwala molve Muhammad husain wali </t>
  </si>
  <si>
    <t>000</t>
  </si>
  <si>
    <t>https://drive.google.com/open?id=1p5cYXcmOSQnaip2z0_ylPYXBW8s7xaAo</t>
  </si>
  <si>
    <t>https://drive.google.com/open?id=1FdFoNYtRHK77Mq-3aTh2xQ2yK0ndy8_R</t>
  </si>
  <si>
    <t>https://drive.google.com/open?id=1K510sP4C9TZ8ZXT6MH25qs7n3V_j_VNr, https://drive.google.com/open?id=1gHNQMAQWI5OHXtQpuBmvrCBzAMZocYr_</t>
  </si>
  <si>
    <t xml:space="preserve">Darbar boty sha </t>
  </si>
  <si>
    <t>https://drive.google.com/open?id=1CGMrpivhFuBosObOYVsmztqFEIImh0ZP</t>
  </si>
  <si>
    <t>https://drive.google.com/open?id=1ExnG7VVhn7r_S4B-RVx6btjqxV4e91kJ</t>
  </si>
  <si>
    <t>https://drive.google.com/open?id=1lSWcKtAj2nabWaBBmNyN6GNqrosJ86eh</t>
  </si>
  <si>
    <t>0309 4647215</t>
  </si>
  <si>
    <t xml:space="preserve">Masjid mian rehema </t>
  </si>
  <si>
    <t>https://drive.google.com/open?id=1WLphKOJEyeroaocAagGuiOTFCZm0R1zL</t>
  </si>
  <si>
    <t>https://drive.google.com/open?id=1yinLLnEkzgJHC6qUsFifk8iZSECW0t0T</t>
  </si>
  <si>
    <t>https://drive.google.com/open?id=1Cb_I1345HNBYx9ePwWCzOUi9RczR5qq0</t>
  </si>
  <si>
    <t>محمد خالد صلاح الدین</t>
  </si>
  <si>
    <t>03068129812</t>
  </si>
  <si>
    <t xml:space="preserve">جامع مسجد افغان </t>
  </si>
  <si>
    <t>حضرت بابا محمد دین افغانی</t>
  </si>
  <si>
    <t>https://drive.google.com/open?id=1qniabQSSX1XD9sF4Iv1WjzBP4hyrJg5B</t>
  </si>
  <si>
    <t>https://drive.google.com/open?id=1gdxwwcmHwmoTnRflhtBpMJzuMXNgfIQK</t>
  </si>
  <si>
    <t>https://drive.google.com/open?id=1p4cVf5Z51nbnpi5BP6Y3jdCx7Y8lGWpx</t>
  </si>
  <si>
    <t xml:space="preserve">Jamia masjid shah Hussain </t>
  </si>
  <si>
    <t>https://drive.google.com/open?id=1VoCVuVS6wuP07UExIXQjWOWb14u6XLpB, https://drive.google.com/open?id=1eCAT5ws_r2GOvWdcKLWvWFxHfC1htBMD</t>
  </si>
  <si>
    <t>https://drive.google.com/open?id=1KZd02DvglccMtOqVK-arxkSyMu9PQV7t</t>
  </si>
  <si>
    <t>https://drive.google.com/open?id=1exKurshXtwzot_q9Ddmfmx5gz_9ZdsV7</t>
  </si>
  <si>
    <t>AOVKO</t>
  </si>
  <si>
    <t>ALI RAZA</t>
  </si>
  <si>
    <t xml:space="preserve">JAMIA MASJID SYED SAJJAD AL MAROOF BABA GHULAAB SHAH </t>
  </si>
  <si>
    <t>https://drive.google.com/open?id=1uOsFxIgl2pKKUGDpyqcyTlDADY9l6XmB</t>
  </si>
  <si>
    <t>https://drive.google.com/open?id=1Z1f2N-RiEiSr0GJEJmr7N4m-eX7u975P</t>
  </si>
  <si>
    <t>https://drive.google.com/open?id=11HmbJxHKjDgNbdpyfSMl8BQst2Z7mc1E</t>
  </si>
  <si>
    <t>https://drive.google.com/open?id=19ib_PHZ82TPjh2diJBmBrDw69kyMIe4J</t>
  </si>
  <si>
    <t>Zjbwk</t>
  </si>
  <si>
    <t xml:space="preserve">M Haris </t>
  </si>
  <si>
    <t xml:space="preserve">Jamia Masjid masa dewaan Shiekhupura </t>
  </si>
  <si>
    <t>Shah musa dewaan</t>
  </si>
  <si>
    <t>https://drive.google.com/file/d/1I4qXJ33kCmfHpPU_08Idy41qKd0sNDUp/view?usp=drive_link</t>
  </si>
  <si>
    <t>Week 3</t>
  </si>
  <si>
    <t>M Haris</t>
  </si>
  <si>
    <t xml:space="preserve">Darbar haji sheikh Ahmad wali </t>
  </si>
  <si>
    <t>https://drive.google.com/file/d/1linZt5zkTNX_BYSbs6uz1rqFJpZqb9fV/view?usp=drive_link</t>
  </si>
  <si>
    <t>Week 2</t>
  </si>
  <si>
    <t xml:space="preserve">Pgpqm </t>
  </si>
  <si>
    <t xml:space="preserve">Jamia Masjid Darbar sheikh Darbar wali gujrat </t>
  </si>
  <si>
    <t xml:space="preserve">Darbar sheikh Ahmad wali </t>
  </si>
  <si>
    <t>https://drive.google.com/file/d/1gl_yX3zPt1zaYzUysmILKsT_0YC-etBj/view?usp=drive_link</t>
  </si>
  <si>
    <t>Zmbiv</t>
  </si>
  <si>
    <t>Jamia Masjid ale sunnat main Bazar malakaat</t>
  </si>
  <si>
    <t>https://drive.google.com/file/d/1bHEHfupAplEkZuLRiRqLlbg2Q5YSkyhm/view?usp=drive_link</t>
  </si>
  <si>
    <t xml:space="preserve">Week 3 </t>
  </si>
  <si>
    <t>Jamia Masjid Miya Rehman Hafizabad</t>
  </si>
  <si>
    <t>https://drive.google.com/file/d/1bpFE3U8MIpvTe1QizVQSLQFtKS6jNsPz/view?usp=drive_link</t>
  </si>
  <si>
    <t>Jamia Masjid Darbar Shah Dhola Gujrat</t>
  </si>
  <si>
    <t>https://drive.google.com/file/d/1DDVisaPY7tEMr_CDFpqgXHvnUNyIVrZS/view?usp=drive_link</t>
  </si>
  <si>
    <t>Week 1</t>
  </si>
  <si>
    <t>VYRME</t>
  </si>
  <si>
    <t>Jamia Masjid Chakwali Darwaza Behra</t>
  </si>
  <si>
    <t>https://drive.google.com/file/d/1k0Ky5VCh7EcWR8q3oAvh7BFeYFD9xwjt/view?usp=sharing</t>
  </si>
  <si>
    <t>https://drive.google.com/file/d/1CyADveJQLTF0cXAZPdxgYJ-4Cy7SZXYm/view?usp=sharing</t>
  </si>
  <si>
    <t>Jamia Masjid Chila gah sakhi sarwar dhoonikal</t>
  </si>
  <si>
    <t>Sakhi sarwar Chila gah darbar</t>
  </si>
  <si>
    <t>https://drive.google.com/file/d/18cu7kWW5VUznFdxR4Qv27ZL9h5AjID0W/view?usp=drive_link</t>
  </si>
  <si>
    <t>EBSPQ</t>
  </si>
  <si>
    <t>0313-6290030</t>
  </si>
  <si>
    <t xml:space="preserve">Jamia Masjid Galah Mandi Sargodha </t>
  </si>
  <si>
    <t>https://drive.google.com/open?id=1q8zTSfyTFD5hoFLWNTQbKFPSHGOw22Ch</t>
  </si>
  <si>
    <t>Wajid</t>
  </si>
  <si>
    <t xml:space="preserve">Jamia Masjid Darbar Chila gah kangna peera amaal Pura </t>
  </si>
  <si>
    <t>Darbar Chila gha</t>
  </si>
  <si>
    <t>https://drive.google.com/file/d/1M8UkGI0R_Cf1dxJdZpmdmI8ypWVOrjgY/view?usp=drive_link</t>
  </si>
  <si>
    <t>eiuou</t>
  </si>
  <si>
    <t>M RIzwan</t>
  </si>
  <si>
    <t>Jamia Masjid Chila Gah Tabha Fareed Lahore</t>
  </si>
  <si>
    <t>https://drive.google.com/open?id=14s_s1TPKNFL8wI3hLRFX1yX5h55vjw7W</t>
  </si>
  <si>
    <t>M rizwan</t>
  </si>
  <si>
    <t>Jamia masjid Shah Hussain Gujrat</t>
  </si>
  <si>
    <t>Shah Hussain</t>
  </si>
  <si>
    <t>https://drive.google.com/open?id=1kaK-kExn1qlzaEvTZFoNt0_dSj1PyxvC</t>
  </si>
  <si>
    <t>https://drive.google.com/file/d/10t5dEi-iadyBUES3Xt9I0YDO3RreLvLn/view?usp=drive_link</t>
  </si>
  <si>
    <t>tanveer</t>
  </si>
  <si>
    <t>Jamia Masjid Darbar Shiekh Ahmad Wali Gujrat</t>
  </si>
  <si>
    <t>Shiekh Ahmad Wali</t>
  </si>
  <si>
    <t>https://drive.google.com/open?id=1zNoMyQ767m3IYnKiqrKG34M7bddNuKOG</t>
  </si>
  <si>
    <t>jamaia masjid Boty Shah</t>
  </si>
  <si>
    <t>Boty Shah</t>
  </si>
  <si>
    <t>https://drive.google.com/open?id=1GEoarcABVUWbWhJsEc7r7EAERUkbw0oV</t>
  </si>
  <si>
    <t>OIYZT</t>
  </si>
  <si>
    <t xml:space="preserve">Abdul Qayyum </t>
  </si>
  <si>
    <t>03257598827</t>
  </si>
  <si>
    <t xml:space="preserve">Jamia Masjid Abdul Ghani </t>
  </si>
  <si>
    <t>The Rights of Women</t>
  </si>
  <si>
    <t>About the rights of women, relatives and Neighbors and also about the cleaniness of the streets.</t>
  </si>
  <si>
    <t>https://drive.google.com/open?id=1IAshVXelPWQvkXvxmmXBRrdOIGnASoaM</t>
  </si>
  <si>
    <t>https://drive.google.com/open?id=1vRmESahor-di7oKdTz4plzgHWkqRJyGw</t>
  </si>
  <si>
    <t>https://drive.google.com/open?id=1IqMbGnbwIoTI7FvjElWjnZkuzt8JyZU_</t>
  </si>
  <si>
    <t>abc</t>
  </si>
  <si>
    <t xml:space="preserve">farhan imran </t>
  </si>
  <si>
    <t>03261559027</t>
  </si>
  <si>
    <t>jamia masjid abcabc</t>
  </si>
  <si>
    <t>xyz</t>
  </si>
  <si>
    <t>https://drive.google.com/open?id=1V0wJbWFD_eAUcbTquFYIMxLSjQm_hG14</t>
  </si>
  <si>
    <t>https://drive.google.com/open?id=1mMI6OqwXtRKTCswK05q4W9RCpZWPKt3Z</t>
  </si>
  <si>
    <t>https://drive.google.com/open?id=1QwrImDujgrkuP0s5rvYrxdeA0rLEfFVA</t>
  </si>
  <si>
    <t>Ali</t>
  </si>
  <si>
    <t>064828655555</t>
  </si>
  <si>
    <t>Masjid</t>
  </si>
  <si>
    <t xml:space="preserve">Averness </t>
  </si>
  <si>
    <t>Xcccccc</t>
  </si>
  <si>
    <t>https://drive.google.com/open?id=1Ctk_44Ue9Snb029D1d5guuacJ6KNSmRS</t>
  </si>
  <si>
    <t>https://drive.google.com/open?id=1Mr1VA_4P8befs74ut1u09q9NQSwx88Fp</t>
  </si>
  <si>
    <t>https://drive.google.com/open?id=1OS71i9o7Bd0TlE6sQaddzQYGffRj8y3M</t>
  </si>
  <si>
    <t>G</t>
  </si>
  <si>
    <t>Shah</t>
  </si>
  <si>
    <t>Asdf</t>
  </si>
  <si>
    <t>Jamia Masjid John</t>
  </si>
  <si>
    <t>Women Empowerment</t>
  </si>
  <si>
    <t>Women rights</t>
  </si>
  <si>
    <t>https://drive.google.com/open?id=16r6GjDDA1hzN18-fN8g5CfLlQL0ovTym</t>
  </si>
  <si>
    <t>https://drive.google.com/open?id=1D_jLgwij0lfufBGFPQeB_uvfKATw_zrk</t>
  </si>
  <si>
    <t>https://drive.google.com/open?id=1m0fxjBzMVI8N2yjTxe41ZscIb0hV6vV2</t>
  </si>
  <si>
    <t>WZJKX</t>
  </si>
  <si>
    <t xml:space="preserve">Nadir Ali </t>
  </si>
  <si>
    <t>03006581830</t>
  </si>
  <si>
    <t>Jamia masjid Shah Jamal</t>
  </si>
  <si>
    <t xml:space="preserve">معراج </t>
  </si>
  <si>
    <t>نبی اکرم صلی اللہ علیہ وسلم کے معراج کا واقع</t>
  </si>
  <si>
    <t>https://drive.google.com/open?id=1PmmRy0sluL9I4ePHxSFGcji9YSyNZL-9</t>
  </si>
  <si>
    <t>https://drive.google.com/open?id=1zKakeBK82fJGq23lPHGp0HsZd4-4IsOR</t>
  </si>
  <si>
    <t>https://drive.google.com/open?id=1GOvrqElphO7EhYTVYf2bSMmnnq_PfY1-</t>
  </si>
  <si>
    <t>Hazrat Syed Baba Shah Jamal qadri</t>
  </si>
  <si>
    <t>Gnvlx</t>
  </si>
  <si>
    <t xml:space="preserve">M. BILAL </t>
  </si>
  <si>
    <t>gnvlx	جامع مسجد صالحہ کمبوہ موچی گیٹ لاہور	Jamia Masjid Shaleha Ghumbo Mochi Gate Lahore</t>
  </si>
  <si>
    <t xml:space="preserve">بچیوں کی تعلیم و تربیت اور ملازمت </t>
  </si>
  <si>
    <t xml:space="preserve">بچیوں کی تعلیم کیلئے ہر طرح سے کوشش کرے ۔ اور انھیں تعلیم حاصل کرنے کی مکمل آزادی۔ </t>
  </si>
  <si>
    <t>https://drive.google.com/open?id=1vlQYx1jooZ20TFV3vP56nzsHu4qXTF-v, https://drive.google.com/open?id=1J7M8p3qnGP7oo3dYAMRHOQUjhFyyTx-b, https://drive.google.com/open?id=137W7lTByUwhdpNSOv_Zqb9dIJhCPxezL, https://drive.google.com/open?id=19ns_b8Jl4t-N9bQHsF95TNwZLuah93Zb, https://drive.google.com/open?id=1NGRsIJbXJLeq7v6gH80YftXVkezgHzeq</t>
  </si>
  <si>
    <t>https://drive.google.com/open?id=1wSQioLU3ZBXoURCQhL9lZeBA9sYrtPfr, https://drive.google.com/open?id=16th3w86NxhnUmjHsJx0IvG0M_l_lse8S, https://drive.google.com/open?id=10T7x5sDZnP7xKTQKKIbHH7wreTtKWbOA, https://drive.google.com/open?id=1cbVAXUzIPojIpEegV2exqtpznPBJ7QnH, https://drive.google.com/open?id=1ilHIHxV5_w0CJKMBaBuYmOncr1CDkWRR</t>
  </si>
  <si>
    <t>https://drive.google.com/open?id=1gicFTcQk-_QdH2yU9UA0vD0lSq0Gwfgc</t>
  </si>
  <si>
    <t>ZTLCN</t>
  </si>
  <si>
    <t>Jamia Masjid Takiya Puter Nagha Lahore</t>
  </si>
  <si>
    <t xml:space="preserve">Islam main Auraton ka Maqam, Kirdar aur Haq </t>
  </si>
  <si>
    <t>The Rights of Women.
The education of women.
Respect of women.</t>
  </si>
  <si>
    <t>https://drive.google.com/open?id=1yXEFVLjMvV_AZw6kHQvursfYRn8zkwNG</t>
  </si>
  <si>
    <t>https://drive.google.com/open?id=1HGimRFK9XZ6o0q94ZmyJPguOG_aLXgCT</t>
  </si>
  <si>
    <t>https://drive.google.com/open?id=1WYGS2lm-SkYOnBe7Mv_TeARYirx5tPw6</t>
  </si>
  <si>
    <t>emotn</t>
  </si>
  <si>
    <t xml:space="preserve">Hafiz Ali usman </t>
  </si>
  <si>
    <t>EMOTN	Jamia Masjid Musafir Khana Ghari Shah Lahore</t>
  </si>
  <si>
    <t>Beti ki parwarish per bat ki aur hazoor pak (saw) ki azwaje mutaharat per bat ki barabari k salook ki bat ki</t>
  </si>
  <si>
    <t>Beti ki parwarish ka ajar aur unko palne me aehem kirdar hazoor pak (saw) ki apni azwaj k Sath narmi barabari ka sallok ki bat ki</t>
  </si>
  <si>
    <t>https://drive.google.com/open?id=1jvlk1Bj_6pn9_JfMefN_2F68hRtdXVqg</t>
  </si>
  <si>
    <t>https://drive.google.com/open?id=1HABFWqH9W8ZngVqm_cVgPBADOILsE0fV, https://drive.google.com/open?id=1zpQ9oCN5O7hbAK7aRIb3bgArx3yJpu-Q</t>
  </si>
  <si>
    <t>https://drive.google.com/open?id=1CwdfmLH5YiOQyTIrG1q0MCeY04HwNCnW</t>
  </si>
  <si>
    <t>Jamia masjid Abdul ghani</t>
  </si>
  <si>
    <t>Parosioo ka haquq</t>
  </si>
  <si>
    <t xml:space="preserve"> Parosioo ka haquq or un ka sath husna-saluk Karna ki talqeen</t>
  </si>
  <si>
    <t>https://drive.google.com/open?id=136e2a420Q42dJRq0yxTOR6ez07sOFpN7</t>
  </si>
  <si>
    <t>https://drive.google.com/open?id=1yZ0Eq2VkFN3ihmrTRORciMs0NohCOTKi</t>
  </si>
  <si>
    <t>https://drive.google.com/open?id=13TCvSMBFW_bqgdYX8zsdblb32U0XgOSj</t>
  </si>
  <si>
    <t>ljvby</t>
  </si>
  <si>
    <t>Muhammad saqib</t>
  </si>
  <si>
    <t>Jamia masjid meeran hussain zanjanni</t>
  </si>
  <si>
    <t>Seerat nabvi.</t>
  </si>
  <si>
    <t>Unho ne zyada waqaia Meraj pr bat ki</t>
  </si>
  <si>
    <t>https://drive.google.com/open?id=1ZVK-kqNrj1B9JHLW6uux1aUfVvdkRZZG, https://drive.google.com/open?id=16FN9kaLlGEe3p-8MKSaxECqJdXFv8_8J</t>
  </si>
  <si>
    <t>https://drive.google.com/open?id=1o7XsaISaS7wUFGZMLZB1SSLf6HlKeDFm, https://drive.google.com/open?id=1fRwzibLJ5qiHMXh4YoBNwEJU8H2YdC65</t>
  </si>
  <si>
    <r>
      <rPr>
        <rFont val="Roboto"/>
        <color rgb="FF434343"/>
      </rPr>
      <t xml:space="preserve">https://drive.google.com/open?id=1NJFQJCAjwfx4Eev3SwzJSEUsVnLqw1bD, </t>
    </r>
    <r>
      <rPr>
        <rFont val="Roboto"/>
        <color rgb="FF1155CC"/>
        <u/>
      </rPr>
      <t>https://drive.google.com/open?id=18EO0xicOCKGsOY-dh2EPY-axRy2y2SNF</t>
    </r>
    <r>
      <rPr>
        <rFont val="Roboto"/>
        <color rgb="FF434343"/>
      </rPr>
      <t>, https://drive.google.com/open?id=1QSKJ-nwqwQ4w_bjb27STq5s5Aiu4g3GD</t>
    </r>
  </si>
  <si>
    <t>Meeran hussain zanjani</t>
  </si>
  <si>
    <t>VXOXS</t>
  </si>
  <si>
    <t xml:space="preserve">Muhammad Razzaq sajid </t>
  </si>
  <si>
    <t>مسجد جامعہ حنفیہ غوثیہ قادریہ شو و لیدر مارکیٹ شاہ عالم لاہور</t>
  </si>
  <si>
    <t>اسلام میں عورت کا مقام ،کردار اور حق</t>
  </si>
  <si>
    <t>امام نے اپنے بیان میں اسلام میں عورت کا مقام اور اس کے حقوق پر بات کی</t>
  </si>
  <si>
    <t>https://drive.google.com/open?id=1PAP7GefNjUOFPJ8qwGkWk9rOHmRtFlEg</t>
  </si>
  <si>
    <t>https://drive.google.com/open?id=1fUkA06yXBaq4nV4Q57P4ctMK9CBNqSNr</t>
  </si>
  <si>
    <t>https://drive.google.com/open?id=1iedzbKvs7BdpHGdjtlm0mkunLq0cZdYH</t>
  </si>
  <si>
    <t>umifn</t>
  </si>
  <si>
    <t>Adnan anwar</t>
  </si>
  <si>
    <t>Jamia masjid abdula sha bukahre kabotar sha</t>
  </si>
  <si>
    <t xml:space="preserve">Namaz or safii </t>
  </si>
  <si>
    <t>Namaz ke fazelat or safi pakizgee</t>
  </si>
  <si>
    <t>https://drive.google.com/open?id=1wsfrvaMifpZLuKc6v0AsI6km8pM2NfWd</t>
  </si>
  <si>
    <t>https://drive.google.com/open?id=1_hfzgAv_iU7hl0LJnP2xSGtCq1bufHHF</t>
  </si>
  <si>
    <r>
      <rPr>
        <rFont val="Roboto"/>
        <color rgb="FF434343"/>
      </rPr>
      <t xml:space="preserve">https://drive.google.com/open?id=1jEvN9-Z_ACXgWxvKVHos8A6m84byWCiS, </t>
    </r>
    <r>
      <rPr>
        <rFont val="Roboto"/>
        <color rgb="FF1155CC"/>
        <u/>
      </rPr>
      <t>https://drive.google.com/open?id=1KZwhmooVj1yAu9hSOfsk3v-a-c1CjzXK</t>
    </r>
  </si>
  <si>
    <t xml:space="preserve">Baba syad Abdullah sha bukahre/baba fata sha bukahre </t>
  </si>
  <si>
    <t>QKVVJ</t>
  </si>
  <si>
    <t>Muhammad Tahir</t>
  </si>
  <si>
    <t>Masjid Khulfa Rashidin Hata Bazar Rang Mahal</t>
  </si>
  <si>
    <t>Shabe Meraj and Rights of Women</t>
  </si>
  <si>
    <t xml:space="preserve">Shabe Meraj and emphasise of the Rights of women </t>
  </si>
  <si>
    <t>https://drive.google.com/open?id=1MsKv_tUrcc0P4YpnbqEhkKZ6UzNtiveo, https://drive.google.com/open?id=13sQQl9eEDspsXNjll5Q_wcU6w4wTvscx, https://drive.google.com/open?id=1oCmhI_HQPhfHoaZl5Vf2vWTh2njz44-0</t>
  </si>
  <si>
    <t>https://drive.google.com/open?id=14KX0GLhDqGB9f2i9oj8iMQ63xAbcB2Rt, https://drive.google.com/open?id=1_djUUqvSO2el91ek7Iu1B2rRAbhPzxxn, https://drive.google.com/open?id=118S8Wz0n82A8qrsO-bk-lrjA_j94MJPQ, https://drive.google.com/open?id=1dp-em5kz4GsePo-MTL1sv6iW15Y-IC8d, https://drive.google.com/open?id=155-J3vxuzEzZMXILCXO922SRx7u650P0</t>
  </si>
  <si>
    <t>https://drive.google.com/open?id=1n7SieE5OHcQDpxoUe1jNMJO1WoISIyPK</t>
  </si>
  <si>
    <t>PIUJL</t>
  </si>
  <si>
    <t>Jamia Masjid Noor Emaan Wali</t>
  </si>
  <si>
    <t>Aurton k hakkok, aurton ki taleem</t>
  </si>
  <si>
    <t>Unhon ne btaya k islam main aurton k hakook ki boht aehmiat ha. Aurton ki izzat krni chahyien. Aurton ko lrkon ki tarahan taleem dilwani chahyie</t>
  </si>
  <si>
    <t>https://drive.google.com/open?id=1MBDSG4Sjh7PFJk_mBSZ4cAODRQKaQHYy</t>
  </si>
  <si>
    <t>https://drive.google.com/open?id=19qWJTPblKN5qGD4KzFhfq2SO0yFbKsq_, https://drive.google.com/open?id=1mfqsxnRVIUxFQMYApjSOa2tnSVdzacqV, https://drive.google.com/open?id=1HjkwZbUozozKJSk-J9-p-BOHZLfOD7fb, https://drive.google.com/open?id=1VwXSaCHUeNrndzJKdEyrlgKL_1J3wIHy, https://drive.google.com/open?id=1SQCumJvFhpLDS23rYZn0mufyyXsRkFoG</t>
  </si>
  <si>
    <t>https://drive.google.com/open?id=10sWc5-n4napXsYsMN3LSHmHgcXloioee</t>
  </si>
  <si>
    <t>Jeztx</t>
  </si>
  <si>
    <t>Jamia masjid peer hadi rehnuma</t>
  </si>
  <si>
    <t xml:space="preserve"> "The status of women in Islam" </t>
  </si>
  <si>
    <t>The status of women in Islam is a topic that emphasizes dignity, respect, and equality. Islam grants women significant rights in various aspects of life, including education, marriage, inheritance, and social participation. The Quran and Hadith highlight the spiritual equality of men and women, stating that both are equal in the eyes of Allah and will be judged based on their deeds, not their gender</t>
  </si>
  <si>
    <t>https://drive.google.com/open?id=1TB4nBp7bgNxMRqKVbb-vAstKlYkNWSWL</t>
  </si>
  <si>
    <t>https://drive.google.com/open?id=1K5Sl4oCptG5OXH5-1HjzPtkJB-N7ZGtK</t>
  </si>
  <si>
    <t>https://drive.google.com/open?id=1d0W0a1RA7Ga6PAKVCu2c9KnudK5ntnjk</t>
  </si>
  <si>
    <t>Peer hadi rehnuma</t>
  </si>
  <si>
    <t>HSWIF</t>
  </si>
  <si>
    <t>03054045395</t>
  </si>
  <si>
    <t>جامعہ مسجد برکت بیبی</t>
  </si>
  <si>
    <t xml:space="preserve">The status of women  according to Islam </t>
  </si>
  <si>
    <t>اسلام میں عورت کو عزت اور حقوق دیے گئے ہیں، جیسے تعلیم، وراثت اور معاشرتی تحفظ۔ اسلام عورت کو مرد کے برابر حقوق دیتا ہے اور اس کی عزت و وقار کی حفاظت کرتا ہے۔</t>
  </si>
  <si>
    <t>https://drive.google.com/open?id=1FxjmIOMvtOxnlNyAfhudwwFiimWhJV2f</t>
  </si>
  <si>
    <t>https://drive.google.com/open?id=12Pos9A782qERH9H5fs3Ld7nN6YnKpaf8</t>
  </si>
  <si>
    <t>https://drive.google.com/open?id=1f9S6l913TiomJgIVIQmiSHHH9Gw0Jre9</t>
  </si>
  <si>
    <t>KGTFE</t>
  </si>
  <si>
    <t>Fakhar Abbas</t>
  </si>
  <si>
    <t>03100873896</t>
  </si>
  <si>
    <t xml:space="preserve">Jamia Masjid Laal Shah Alam Market </t>
  </si>
  <si>
    <t xml:space="preserve">بدعت اور حدیث </t>
  </si>
  <si>
    <t>ِحدیث پر بات کی اور ان پر عمل کرنے کو کہا</t>
  </si>
  <si>
    <t>https://drive.google.com/open?id=1LAX8Q4tLTx-0Z_UOA8q2blhA_jajfTnE, https://drive.google.com/open?id=1iINc8bVAcwkBZPg0tchYOQXUaPTGeWFi</t>
  </si>
  <si>
    <t>https://drive.google.com/open?id=1BMmZxOPRsi5AyIluw6qXijL78PhmuixY</t>
  </si>
  <si>
    <t>GSDAS</t>
  </si>
  <si>
    <t>Jamia masjid takiya lehri shah</t>
  </si>
  <si>
    <t>عورتوں کی عزت</t>
  </si>
  <si>
    <t xml:space="preserve">عورت ماں ہو بہن ہو یاں پھر بیٹی اللہ نے اس کی عزت کا حکم دیا </t>
  </si>
  <si>
    <t>https://drive.google.com/open?id=1Oa6z4xkLMGeSzWagHS7M6ulGnM-glTVC, https://drive.google.com/open?id=1kkFsGEZ3FK6maD84-rIAydz0cpOjibWv, https://drive.google.com/open?id=1pPVtKC5vBYKA8Urstjwept34p_HMdkgX, https://drive.google.com/open?id=1s3teslxm50YBnNHpi3I16ad8MtyQD5ay</t>
  </si>
  <si>
    <t>https://drive.google.com/open?id=18hx0sR4R2ZzlXqFLQr0uxecC5sBEmk6S</t>
  </si>
  <si>
    <t>https://drive.google.com/open?id=1kI9byMLaSLzeX3x779rPqn4Z3envRG5v</t>
  </si>
  <si>
    <t>1990s</t>
  </si>
  <si>
    <t xml:space="preserve">Close to Shah jamal </t>
  </si>
  <si>
    <t>Bad answers. Cannot be about community rights if it was about womens rights.</t>
  </si>
  <si>
    <t>HHHND</t>
  </si>
  <si>
    <t>Ameer Hamza</t>
  </si>
  <si>
    <t>0307 1778530</t>
  </si>
  <si>
    <t>Jamia Masjid Unchee Laal Kuh</t>
  </si>
  <si>
    <t>Islam main aurat ka maqam</t>
  </si>
  <si>
    <t>https://drive.google.com/open?id=1PuHIx6y2GTICmfaDE4lrlJV0bamgkRDb, https://drive.google.com/open?id=1MO4sAa7Ne_lD7OwmN5Gy_5lD7LvIEnFc</t>
  </si>
  <si>
    <r>
      <rPr>
        <rFont val="Roboto"/>
        <color rgb="FF434343"/>
      </rPr>
      <t xml:space="preserve">https://drive.google.com/open?id=1O573AHD2TDI9xbFwtPdUd9oZQXzpVKXZ, </t>
    </r>
    <r>
      <rPr>
        <rFont val="Roboto"/>
        <color rgb="FF1155CC"/>
        <u/>
      </rPr>
      <t>https://drive.google.com/open?id=1JMLnyZ_zxwcUEG8lN-yCVz6hGRyvUKmz</t>
    </r>
    <r>
      <rPr>
        <rFont val="Roboto"/>
        <color rgb="FF434343"/>
      </rPr>
      <t>, https://drive.google.com/open?id=1TUq3X_4oz2eJ-MB8jnd0IRYa8CoKTSG3, https://drive.google.com/open?id=1U2arWDXXrJDS67xXpFDyy3cAzRw7-ndc, https://drive.google.com/open?id=1tTINYuq1fHKRJArQ0BWvMo8VLNXvxNDV</t>
    </r>
  </si>
  <si>
    <t>https://drive.google.com/open?id=1hTbwtKwdS6PakGRLv7hVOhS7QPBc3E0m</t>
  </si>
  <si>
    <t xml:space="preserve">Overall good responses except for those in red. </t>
  </si>
  <si>
    <t>FITMR</t>
  </si>
  <si>
    <t xml:space="preserve">Sabir Ali </t>
  </si>
  <si>
    <t>03014299306</t>
  </si>
  <si>
    <t>FITMR	Jamia Masjid Taxsali Gate Lahore	Maulana Abdul Baais</t>
  </si>
  <si>
    <t xml:space="preserve">Allah or bando k haqoq, orat ki taleem etc </t>
  </si>
  <si>
    <t xml:space="preserve">Orato ki taleem or tarbyt or haqooq,  bndo k haqooq or Allah k haqooq etc </t>
  </si>
  <si>
    <r>
      <rPr>
        <rFont val="Roboto"/>
        <color rgb="FF434343"/>
      </rPr>
      <t xml:space="preserve">https://drive.google.com/open?id=1rGQX6U6F4y6kVqlYFlgWfaVGgtxqE2zH, https://drive.google.com/open?id=1wYi0sd6uyB-ZJnT5B3qOasXlTce4g2Ch, </t>
    </r>
    <r>
      <rPr>
        <rFont val="Roboto"/>
        <color rgb="FF1155CC"/>
        <u/>
      </rPr>
      <t>https://drive.google.com/open?id=1pqGrkHan4Ib-HkRBc1IiNcBhYkD2WbeQ</t>
    </r>
  </si>
  <si>
    <t>https://drive.google.com/open?id=1d6zoaee_HKFeW98PCjbq_SM2mlBzme06, https://drive.google.com/open?id=1TJmbwwQalYjH2XS4a-tYg3ku7mwy6BWI, https://drive.google.com/open?id=1I0lz8EyDGsUY40h3E96tgV5RDM2ViG3B</t>
  </si>
  <si>
    <t>https://drive.google.com/open?id=1Av2xVSAweq63bf0BaYZJFKX7n-fHc8W-</t>
  </si>
  <si>
    <t xml:space="preserve">Bad photos. </t>
  </si>
  <si>
    <t>TNRVG</t>
  </si>
  <si>
    <t>+923217040700</t>
  </si>
  <si>
    <t>Jamia masjid hanfia takia saduwah lahore</t>
  </si>
  <si>
    <t>Parosiou k haqooq</t>
  </si>
  <si>
    <t>Persiou k haqooq</t>
  </si>
  <si>
    <t>https://drive.google.com/open?id=1t9OLpaWT0OqlHtHaDtWCBhL9547YkJp9</t>
  </si>
  <si>
    <t>https://drive.google.com/open?id=1szyDiDalkVvawHBIKN7rWUzqXxkooTfs</t>
  </si>
  <si>
    <t>https://drive.google.com/open?id=1pMLoBXMz0iwHYBtK8Dk5u5KY8akq-FI_</t>
  </si>
  <si>
    <t xml:space="preserve">Bad photos (do not want selfies). Photos should be taken without the namazis seeing the photographer. Rating for women's questions should be 0. </t>
  </si>
  <si>
    <t>IPDNB</t>
  </si>
  <si>
    <t>Shahbaz ahmad</t>
  </si>
  <si>
    <t>03074478076</t>
  </si>
  <si>
    <t>Jamia masjid shah gadah lahore</t>
  </si>
  <si>
    <t>Paroson key haqoq</t>
  </si>
  <si>
    <t>Paroson key haqoq key matalq bat ki</t>
  </si>
  <si>
    <t>https://drive.google.com/open?id=1wH1IdkuaN20_lA046EtpsB745KDutPRC</t>
  </si>
  <si>
    <t>https://drive.google.com/open?id=1jGkgCmpPflXu3r9ZmrCL2oRFtelaUu2f</t>
  </si>
  <si>
    <t>https://drive.google.com/open?id=1QcR7Yv7d0r9NUIqjK2O9K2r68yUdGlkG</t>
  </si>
  <si>
    <t>Dargah Shah Gedah</t>
  </si>
  <si>
    <t>TELOU</t>
  </si>
  <si>
    <t>03224142429</t>
  </si>
  <si>
    <t>Jamia Masjid Peshawari Neela Gumbat Lahore</t>
  </si>
  <si>
    <t xml:space="preserve">Important of women in islam </t>
  </si>
  <si>
    <t>Women have important role in society. We should all support women may start career as doctor.</t>
  </si>
  <si>
    <t>https://drive.google.com/open?id=1x8c-G99oVgNNsG3xMvzPoFONUVIW2iJE</t>
  </si>
  <si>
    <t>https://drive.google.com/open?id=1ojhPCJOt7Q4wIAZbJTRBv9KErEjbi0-W</t>
  </si>
  <si>
    <t>https://drive.google.com/open?id=1vszGO_p_HH7SiA_Aqk1RkMg2T8CbvWTw</t>
  </si>
  <si>
    <t>Bad photos. Some answers do not make sense given sermon was women's rights and did not ask to share info</t>
  </si>
  <si>
    <t>cqafr</t>
  </si>
  <si>
    <t>شاہ ابوالمعالی</t>
  </si>
  <si>
    <t>2-3</t>
  </si>
  <si>
    <t xml:space="preserve">مسلعہ کشمیر </t>
  </si>
  <si>
    <t xml:space="preserve">کشمیری ہمارے بھائی ہیں، اور تقسیم پاکستان کے وقت یہ خطہ پاکستان کے پاس تھا </t>
  </si>
  <si>
    <t>https://drive.google.com/open?id=1bfw0bStLuoCeD0zAEMvPg_WExEgdsYcK</t>
  </si>
  <si>
    <t>https://drive.google.com/open?id=1jToCv6f_gkYmHD4uYpoNxu_nWNy33KUx</t>
  </si>
  <si>
    <t>https://drive.google.com/open?id=1eRi2QbWd307tny3_Vtgkpj5MJu_Xxawl</t>
  </si>
  <si>
    <t>مجھے جو لوکیشن دی گئی تھی وہ غلط جگہ کی تھی۔</t>
  </si>
  <si>
    <t>This mosque name does not show up in our randomization. Even if mosque is control, imam can talk about conservative issues. Bad photos</t>
  </si>
  <si>
    <t>ZBRWJ</t>
  </si>
  <si>
    <t>Jamia Masjid Allah Joya Aabkaari Road</t>
  </si>
  <si>
    <t xml:space="preserve">Rights of Neighbors </t>
  </si>
  <si>
    <t xml:space="preserve">Be kind with neighbors </t>
  </si>
  <si>
    <t>https://drive.google.com/open?id=1Jh9GjKKDjUZD4P2oHg_BAnOvkW5XeCen</t>
  </si>
  <si>
    <t>https://drive.google.com/open?id=1F6DVXJ2IUexy6v78_iaoA0vZfWTuaiF5</t>
  </si>
  <si>
    <t>https://drive.google.com/open?id=13h1tCoNige3OfFolXUEVxscEwwG-KsUE</t>
  </si>
  <si>
    <t>This was community mosque but enumerator is saying imam talked about women.</t>
  </si>
  <si>
    <t>KKRVM</t>
  </si>
  <si>
    <t>Farhan Imran</t>
  </si>
  <si>
    <t>03124953924</t>
  </si>
  <si>
    <t>jamia masjid peer maki sahab</t>
  </si>
  <si>
    <t>hamsaiyon ke haqoq</t>
  </si>
  <si>
    <t>hamsaiyo se acha salooq krna chahiye</t>
  </si>
  <si>
    <t>https://drive.google.com/open?id=1cVPP3avDSRjsamGRk188ArARddqBS0gu</t>
  </si>
  <si>
    <t>https://drive.google.com/open?id=1Ig9PIzdAU7r2km9PJP2Al_UpTswM72Eg</t>
  </si>
  <si>
    <t>https://drive.google.com/open?id=1-xBKrEDz7WSqvmommp3t-HXpY5vMGLcW</t>
  </si>
  <si>
    <t>peer maki sahab</t>
  </si>
  <si>
    <t>Might be wrong mosque. This shouldn't be peer makki</t>
  </si>
  <si>
    <t>oonhe</t>
  </si>
  <si>
    <t xml:space="preserve">Jaima majid bhohaar wali lahore Gate </t>
  </si>
  <si>
    <t xml:space="preserve">Humsauo k hakook 
</t>
  </si>
  <si>
    <t>Humsauo hakook</t>
  </si>
  <si>
    <t>https://drive.google.com/open?id=14BYIHkC0fZdvN078JsWxG5CxvITbe41g</t>
  </si>
  <si>
    <t>https://drive.google.com/open?id=1zKWBBCSB0E4Z0_FJ0Hyu0-xC3iFhLSRA</t>
  </si>
  <si>
    <t>https://drive.google.com/open?id=1lY0Nh6eGClNmRUr0qSNxxtfCvKa8xp0k</t>
  </si>
  <si>
    <t>Need to take more care in answering sermon content questions</t>
  </si>
  <si>
    <t>gnvlx</t>
  </si>
  <si>
    <t xml:space="preserve">Koi nhi </t>
  </si>
  <si>
    <t xml:space="preserve">معاشی سرگرمیوں میں عورتوں کی شرکت ۔ </t>
  </si>
  <si>
    <t xml:space="preserve">معاشرے میں عورت کا بہتر عمل ، ان کی تعلیم و تربیت اور ان کے حقوق وغیرہ۔ </t>
  </si>
  <si>
    <t>https://drive.google.com/open?id=1mQBGYkAn8yQhtFjtPqL1_kouLlrFRyzI, https://drive.google.com/open?id=1qSvlATavozyzcOqidDiHiX8rD4-o15-B</t>
  </si>
  <si>
    <t>https://drive.google.com/open?id=1znyb8b0h4XcQ_yCWJDXRmGUAbLT1axiK, https://drive.google.com/open?id=1wevqfeBL7kc8V_Ve72Jr85WE-HnVQrnt, https://drive.google.com/open?id=1pQy6pNGDfkGObeHHjO8pTLmIpVIgFhQN, https://drive.google.com/open?id=19rgJdM-4gYZJp8RYmUmA2nDhq6b0_Qrj, https://drive.google.com/open?id=14VDUFmWWSn3zCiF_S_UkD_lsGbKD9A6L</t>
  </si>
  <si>
    <t>https://drive.google.com/open?id=1T1q_XIYgKwu3_ElbddsMYCxHDcEJObdl</t>
  </si>
  <si>
    <t xml:space="preserve">جامع مسجد چوہڑ شاہ بندگی لاہور	</t>
  </si>
  <si>
    <t>Parasio ka hakook</t>
  </si>
  <si>
    <t xml:space="preserve">Imam na parasio ka hakook ka bara na bohat detail sa bataya </t>
  </si>
  <si>
    <t>https://drive.google.com/open?id=1Dir_NYcMVR7N3MwltXtLTE3LQkt2XtGV, https://drive.google.com/open?id=1WKSkqOYl3HwOPxvdw-oH3QrVV1YnGIkN, https://drive.google.com/open?id=11czZzRpk914CsxpzxZOLOJTWYNKB-W-u, https://drive.google.com/open?id=1xOs5Td9Gtzr4-Uh42SjF9zZ0Di821uH3</t>
  </si>
  <si>
    <t>https://drive.google.com/open?id=14Yj5KMARgYpR4zQLBfRWxUrVrARSCYvB, https://drive.google.com/open?id=17O-sKNEoGedcPgTip1fs8iYytGNqx-m0, https://drive.google.com/open?id=1qNZBzb0sA7tBMnvL8M39mAoyWuJqgRGf, https://drive.google.com/open?id=1yK8CpNeAZzcwvfxX6y3x5jvqILfYHMow</t>
  </si>
  <si>
    <t>https://drive.google.com/open?id=1fZ2h4NEV5SrFPcsEkE7JxD4TCrm13fxK</t>
  </si>
  <si>
    <t>چوہڑ شاہ بندگی</t>
  </si>
  <si>
    <t>ipdnb</t>
  </si>
  <si>
    <t>Shahbaz Ahmad</t>
  </si>
  <si>
    <t>Shah gidah</t>
  </si>
  <si>
    <t>Paroson key haqoq or safi suthri key bare mea</t>
  </si>
  <si>
    <t>https://drive.google.com/open?id=1NNCc8AhNgXxZS1em4VfSD6nHVZFcNW7-, https://drive.google.com/open?id=1Va7E5-5vLf65CSHp9KfcETs3HzSUzv_-</t>
  </si>
  <si>
    <t>https://drive.google.com/open?id=1Z5gKB2WP054covkCfGZRhNNYrhbSn4st, https://drive.google.com/open?id=1lSZBWlZXHsPho3Sjl4-v9djUDYzduf6j</t>
  </si>
  <si>
    <t>https://drive.google.com/open?id=1WfUVDXiNkugw6BN5Xh_fEW0aA-M6iLEo</t>
  </si>
  <si>
    <t xml:space="preserve">No comments </t>
  </si>
  <si>
    <t>Darbar shah gadah</t>
  </si>
  <si>
    <t xml:space="preserve">Islam main Auraton ka Maqam Kirdar aur Haq </t>
  </si>
  <si>
    <t xml:space="preserve">Involvement of Women in social activities 
Freedom of Women to do their decisions 
Involvement of Women in Political Activities </t>
  </si>
  <si>
    <t>https://drive.google.com/open?id=1ALsP6a5OBoPtRR3xpegdXMMLSs4QhxPr, https://drive.google.com/open?id=149FosAjYgkFmXiczg2dV2FoxlRovEPtU</t>
  </si>
  <si>
    <t>https://drive.google.com/open?id=1TWj9-a905yT_JXeXxR7dvR7YbgW6FJGB, https://drive.google.com/open?id=1ALJtKalvleinz5q3cNRB4WhNzpaTBeOJ</t>
  </si>
  <si>
    <t>https://drive.google.com/open?id=1XnI6oOsYkBAVza3lSZQ55XZRovLyB8xS</t>
  </si>
  <si>
    <t>rzccc</t>
  </si>
  <si>
    <t>Hazrat sakhe sha Muhammad goss</t>
  </si>
  <si>
    <t>Namaz or shaba maraj ke ahmyat</t>
  </si>
  <si>
    <t>Namaz ke or islami month ke Ahmet den Islam ma</t>
  </si>
  <si>
    <t>https://drive.google.com/open?id=1urteYNI850RIeU6YHuP2P3IgDgE6bbzI, https://drive.google.com/open?id=1PTEt-lIX3AzUBPpq3hKcAJIfBwlqq_i9</t>
  </si>
  <si>
    <t>https://drive.google.com/open?id=1XzRpPEKHM_9GLqH-th8ySf4nza6-uc0t, https://drive.google.com/open?id=1sZrUi89e8sfAAwxl28YOjchiv1fscFN0</t>
  </si>
  <si>
    <r>
      <rPr>
        <rFont val="Roboto"/>
        <color rgb="FF434343"/>
      </rPr>
      <t xml:space="preserve">https://drive.google.com/open?id=10C1CPIb1H21cfrbKHFf-8GFwjBwubYIy, </t>
    </r>
    <r>
      <rPr>
        <rFont val="Roboto"/>
        <color rgb="FF1155CC"/>
        <u/>
      </rPr>
      <t>https://drive.google.com/open?id=1hbQl0ReQIhmipdOA93xZ5L9m4N6hQhrF</t>
    </r>
  </si>
  <si>
    <t>Hazrat sha Muhammad guos</t>
  </si>
  <si>
    <t xml:space="preserve">Jaima masjid bhohaar wali lahore Gate </t>
  </si>
  <si>
    <t xml:space="preserve">پارسیوں کے حقوق </t>
  </si>
  <si>
    <t xml:space="preserve">پڑوسیوں کے حقوق </t>
  </si>
  <si>
    <t>https://drive.google.com/open?id=1hgBz6K6JCCSkEnwcBoWZWaE0gyU9qB-C</t>
  </si>
  <si>
    <t>https://drive.google.com/open?id=19iZNdq-ke5Yf1nhcciCwQG67WCxNNQ27, https://drive.google.com/open?id=1JMSfcOelluJkuLXylhSO57bWqnU6xwOz</t>
  </si>
  <si>
    <t>https://drive.google.com/open?id=1NGMwYqpWMWATWTucq3sFrdpCl9K_5v8w</t>
  </si>
  <si>
    <t>UCPVP</t>
  </si>
  <si>
    <t xml:space="preserve">Muhammad Asif Kaleem </t>
  </si>
  <si>
    <t>Jamia Masjid Makki New Anarkali</t>
  </si>
  <si>
    <t>Seerat ul Nabi SAW</t>
  </si>
  <si>
    <t xml:space="preserve">Seerat ul Nabi SAW ki fazeelat </t>
  </si>
  <si>
    <t>https://drive.google.com/open?id=1ttGVp-xj-LiTThGIL6Bfnc5LZmuWY17q</t>
  </si>
  <si>
    <t>https://drive.google.com/open?id=15svQt3YI4h5vxYr_xz1EOl37KOh29YHw</t>
  </si>
  <si>
    <t>https://drive.google.com/open?id=1Eg1xS5WCieGh6scwQVw4-AhjddvSdDBC</t>
  </si>
  <si>
    <t>Imam masjid koi b bat relevant topic pe nahi ki</t>
  </si>
  <si>
    <t xml:space="preserve">KSCAL	</t>
  </si>
  <si>
    <t xml:space="preserve">KSCAL	Jamia Masjid Noor Din Pepal Wehra Lahore	</t>
  </si>
  <si>
    <t xml:space="preserve">Oratto k haqooq or taleem ki. Bare </t>
  </si>
  <si>
    <t xml:space="preserve">Society k bare me , oarto ki taleem . 
Namaz ki tarteeb etc </t>
  </si>
  <si>
    <t>https://drive.google.com/open?id=1sJ72mR1gDjs5E-Ifjrlj2ngyGkLu9NzT</t>
  </si>
  <si>
    <t>https://drive.google.com/open?id=1Uya63wGeODuR6NeeFBs-4ivir6v-xN2I, https://drive.google.com/open?id=1sWks-B6HxQ7TVin9WjGGX0h-VFpeLAY1, https://drive.google.com/open?id=1y_O1yWWtppbQxaUxvp5lIBqFft0TbYO7, https://drive.google.com/open?id=1OODxxU_S16DIn7WF49xB5NyVp1inJkU9, https://drive.google.com/open?id=1mwg6F5Yh9NV4VtiaHPVxllJMgZa38wQa</t>
  </si>
  <si>
    <t>https://drive.google.com/open?id=1Q03uSOK2D5Zl2DjZAMouMa_gAPerOaz5</t>
  </si>
  <si>
    <t>Jamia masjid meer hussain zanjani</t>
  </si>
  <si>
    <t>Shuban ka month or aik dosre ka Haq ada kro</t>
  </si>
  <si>
    <t>Mahe shuban ki fazilat .</t>
  </si>
  <si>
    <t>https://drive.google.com/open?id=1oScnBb4YJBZhlwSD957dBJ0fnhxpDoot</t>
  </si>
  <si>
    <t>https://drive.google.com/open?id=1_lMdMAq6e6h8O8lbSMQrdosTJn2sIcUn, https://drive.google.com/open?id=1qZ9Ly4ycMaepHI12wfNl29IxN36F9qVG</t>
  </si>
  <si>
    <t>https://drive.google.com/open?id=1tR7gSvGJm8TrAdtQhlLVanXLAvo2oAI5</t>
  </si>
  <si>
    <t>Jamia masjid shamas ( peer hadi rehnuma)</t>
  </si>
  <si>
    <t>اسلام میں عورت کا مقام کردار اور حق</t>
  </si>
  <si>
    <t>اسلام میں عورت کو عزت اور حقوق کا خاص مقام حاصل ہے، جو اسے معاشرے میں باعزت اور مساوی حیثیت دیتا ہے۔ قرآن و حدیث میں عورت کی تعلیم، وراثت، اور معاشرتی کردار کو واضح طور پر بیان کیا گیا ہے۔</t>
  </si>
  <si>
    <t>https://drive.google.com/open?id=1QX64n7aUXGqIX8RIoTv1jE9kBLdBlQXW</t>
  </si>
  <si>
    <t>https://drive.google.com/open?id=1ER86z65BwGQ0NYk_egzeT-N277yJtzcA</t>
  </si>
  <si>
    <t>https://drive.google.com/open?id=1gUYE4OiUPCtfKOxXm8lT8p06GI-tC3fN</t>
  </si>
  <si>
    <t>Jamia Masjid Barkat bibi Lahore</t>
  </si>
  <si>
    <t xml:space="preserve">اسلام میں عورت کا مقام اور کردار </t>
  </si>
  <si>
    <t>https://drive.google.com/open?id=1Oc7Q1cKMZzIQ7_wzDIDr3u0ll6TwFXPL</t>
  </si>
  <si>
    <t>https://drive.google.com/open?id=1JlzpUecNAyJpxxPNvNAemTzTJnlHLUet</t>
  </si>
  <si>
    <t>https://drive.google.com/open?id=17ZxIxqlMo4D4LkCaH_7YQZD9NKtUVqJQ</t>
  </si>
  <si>
    <t xml:space="preserve">VXOXS </t>
  </si>
  <si>
    <t xml:space="preserve">مسجد حنفیہ غوثیہ قادریہ شو و لیدرمارکیٹ شاہ عالم لاہور </t>
  </si>
  <si>
    <t xml:space="preserve">اسلام میں عورت کا مقام ،کردار اور حق </t>
  </si>
  <si>
    <t>امام نے عورتوں روز مرہ زندگی مردوں کے شانہ بشانہ حدود میں رہ کر کام کرنے کی بات کی ۔ جیسا کے اسلام ہمیں درس دیتا ہے</t>
  </si>
  <si>
    <t>https://drive.google.com/open?id=1WBZEGUcIBCC2MiRKTbb4_S0b4j030MYe, https://drive.google.com/open?id=1EL_pv7BR4_57ssC_P3fBze3FkUgaXFMP</t>
  </si>
  <si>
    <t>https://drive.google.com/open?id=1Os-HgU-dfQr0rXI1xywLtbwGHV93jb4j, https://drive.google.com/open?id=1dV4MOZ3JEF1tgYCfKjkRll9m2NN4QyoD, https://drive.google.com/open?id=1Zss5HaeqJS5vH1-c1B-lnrf1r8j-jNI6</t>
  </si>
  <si>
    <t>https://drive.google.com/open?id=17WamdSFwc_DFDWGzXLsyCo6NV_WV2SnJ</t>
  </si>
  <si>
    <t>Fitmr</t>
  </si>
  <si>
    <t>03081862531</t>
  </si>
  <si>
    <t xml:space="preserve">Jamiea masjid taxsali gate Lahore </t>
  </si>
  <si>
    <t>Paroos or ahlay mahala k haqouq</t>
  </si>
  <si>
    <t>Apny paroos or ahlay mehlala bhai ki madad kijay har lahaza Mai ye haqouq ul ibad hai Jo bndy ny poury krny hai</t>
  </si>
  <si>
    <t>https://drive.google.com/open?id=1e6aJCRKNLYT7YQenKqPmt-deKJjeL0jr, https://drive.google.com/open?id=1ypg_pGXB-bFVNTs7ZgA0EAxMbWZwUj8u, https://drive.google.com/open?id=1vhCUKRfzoFpVJbViAZO251e0n_40Dl0y</t>
  </si>
  <si>
    <t>https://drive.google.com/open?id=19f2NtwyFd-kLRP95UBijqTf72Y0PvJ5T, https://drive.google.com/open?id=1HKV6XK2J3UQiffLzNgRQT-PRQckeAYDy, https://drive.google.com/open?id=1Svs0vJamSo3URsxEyJC1UbqG7bLhOd9n</t>
  </si>
  <si>
    <r>
      <rPr>
        <rFont val="Roboto"/>
        <color rgb="FF434343"/>
      </rPr>
      <t xml:space="preserve">https://drive.google.com/open?id=1vb2VT3BIxCYFIQc06u1ijRHcCt_a2iPB, </t>
    </r>
    <r>
      <rPr>
        <rFont val="Roboto"/>
        <color rgb="FF1155CC"/>
        <u/>
      </rPr>
      <t>https://drive.google.com/open?id=1MsRN2-kjEFKoy_6tHyE5y7G7u9XnGEpy</t>
    </r>
  </si>
  <si>
    <t>Hazrat data ganj baksh hijwari R.A</t>
  </si>
  <si>
    <t>Parosioo ka haquq or un ka sath husna saluk</t>
  </si>
  <si>
    <t>https://drive.google.com/open?id=10IxD9ThY8rzb3blzcLB7jJCbfX6Q4VqV</t>
  </si>
  <si>
    <t>https://drive.google.com/open?id=1oT9dYoHIJm6znfNXYd6hDzTgnRORQpxm</t>
  </si>
  <si>
    <t>https://drive.google.com/open?id=1r-REydTm7F_NXO1_7uM6xTuE7cm49NyQ</t>
  </si>
  <si>
    <t xml:space="preserve">Khulfa e Rashidin Rang Mahal Lahore </t>
  </si>
  <si>
    <t>Sheban ki barkaat or Orton k haqooq</t>
  </si>
  <si>
    <t>Sheban bara ba barkat month hy or islam orton completely kam krny ki axadi data hy</t>
  </si>
  <si>
    <t>https://drive.google.com/open?id=1l0E8vmIpU7eBBr6dfedUzM6SoZ7MMLAb, https://drive.google.com/open?id=121n3u7t-7SvMjyvEmHYLLN-eaRQjfpPS, https://drive.google.com/open?id=1DNzHuNEJzXNGwtKZEIpw6qTnPAN8E0A-</t>
  </si>
  <si>
    <t>https://drive.google.com/open?id=1P4jj0ZFZP6P0Tgh64TlR7MPiUP8Pl4JB, https://drive.google.com/open?id=1wRma8NZaR7CpX1IuVZUFmtnPli5FqByu, https://drive.google.com/open?id=15sBcOyIyPNru_SSGs2R9P9w1GkJu860h, https://drive.google.com/open?id=1ghNZRKvFZWVx8Cr9kdIFkC1le4SLP-Bw, https://drive.google.com/open?id=1c8xOL7WjHnQVW94QgZI2OqNG38xTwfxE</t>
  </si>
  <si>
    <t>https://drive.google.com/open?id=1tKfIOxemE2cGXZZ0HAjrm-2eRvptq54x</t>
  </si>
  <si>
    <t>WBAIL</t>
  </si>
  <si>
    <t>+92 333 4120371</t>
  </si>
  <si>
    <t>Jamia Masjid Noor</t>
  </si>
  <si>
    <t xml:space="preserve">Shab-e-Miraaj </t>
  </si>
  <si>
    <t>Imam ny apnay khutbay mei shab-e-miraaj ki Raat hamary akhri Nabi Hazrat Muhammad (S.A.W) ka Allah Pak sy mulaqat ka zikr Kiya or Miraaj ki Raat ki ehmiyat btaye.</t>
  </si>
  <si>
    <t>https://drive.google.com/open?id=1zzfXe9-nQE_bEn8D86aM3e6v6Kbk_ii3</t>
  </si>
  <si>
    <t>https://drive.google.com/open?id=1ErHoAS0rbUqAx2xmIidJ-gPnYO0IjKx7</t>
  </si>
  <si>
    <t>https://drive.google.com/open?id=1sI2r7kWhk4mTtC8GXBRNPIVuWHQ6ROAT</t>
  </si>
  <si>
    <t>Darbar Takiya Ujagar Shah</t>
  </si>
  <si>
    <t>hhhnd</t>
  </si>
  <si>
    <t>hhhnd	جامع مسجد اونچی لال کھوہ موچی دروازہ لاہور	Jamia Masjid Unchee Laal Kuh Mochi Darwaza Lahore</t>
  </si>
  <si>
    <t xml:space="preserve">Importance of women's in our society , women's education , rights </t>
  </si>
  <si>
    <t xml:space="preserve">Rights of women's in our society according to Islam,  women's right from historical quotes . 
Importnace of Education of women's . </t>
  </si>
  <si>
    <t>https://drive.google.com/open?id=1yJMs2LrNiG-wB2hpNp8VdvPlbIxO7k9v</t>
  </si>
  <si>
    <t>https://drive.google.com/open?id=1EAEFtnaCVb6rXTQOq7gECS77MPRxQQXN, https://drive.google.com/open?id=1BXf3Fa38FIpINvg_OQ0IRcwIBpJO9gd-, https://drive.google.com/open?id=19BjA9Cmy7qwAsg1Bx0YD_Iv5fIfvNLy9, https://drive.google.com/open?id=19YeGf64lRTbVU5Wb7a47B8rzw2fPjzvQ, https://drive.google.com/open?id=1L29qdbX6tnHQ5mxkY_yCSpwJdKqvefxC</t>
  </si>
  <si>
    <t>https://drive.google.com/open?id=1XtIMKP4DZyVduAae4ESBSeJajMP_LQem</t>
  </si>
  <si>
    <t>Jamia Masjid Noor Eman Wali</t>
  </si>
  <si>
    <t>Women Participation in Decision making, and in Social, economic and political affairs</t>
  </si>
  <si>
    <t xml:space="preserve">Imam sb ne btaya k aurat hr cheez mn hissa le sakti ha.
Aurat ka hak ha k use izzat mille, use naukri krne ka mauka mille ta k wo mulk o qaum ki khidmat kr sake. 
Or unhon ne btaya k islam ne aurat ko boht izzat bakshi ha. 
Or hazrat Muhammad (pbuh) ne aurton k hakook ki boht aehmiat binan ki ha k aurat siasi, smaji, moashi or Faisala sazi mn hissa le sakti ha or us ki raae ki aehmiat ko bhe btaya ha. </t>
  </si>
  <si>
    <t>https://drive.google.com/open?id=19uEhLOgpw6tRXfugXh4W6ExQrItDiOry, https://drive.google.com/open?id=154Kmh7FCofM4g7xkSDuerd73GYNWVHdk</t>
  </si>
  <si>
    <t>https://drive.google.com/open?id=1foTbsSLH2JIYxzch3l-zMAdBFuXv2bce, https://drive.google.com/open?id=1l4tB5IS1u68_S-Gc0IIQPYEnvsrMZqSw, https://drive.google.com/open?id=1_y7JN0QUW64_UK_ipg_U-SRDA9kKx4tl, https://drive.google.com/open?id=1O8eLX_lae09rp3SAYAWOlxaPWuUC7Rk6, https://drive.google.com/open?id=1ZAYUx8WgKEeTDhaBbnaP3tLcN9DWofun</t>
  </si>
  <si>
    <t>https://drive.google.com/open?id=1AXg2St0N26WfkkCwMtI0d8CI1LiIWtNT</t>
  </si>
  <si>
    <t>Imam sb ne jo khutba hum ne unhain dia ha wo sahi parha bs aage pe6e kr k parha lekin conclusion sahi se nh btaya or na hi logon ko address kr k ku6 btaya bus thori sa mukhatib kia logon ko. Imam sb ne conclusion sahi se nh btaya logon ko.</t>
  </si>
  <si>
    <t xml:space="preserve">Allah joya </t>
  </si>
  <si>
    <t>Paroso k hakoq</t>
  </si>
  <si>
    <t xml:space="preserve">Importantance of Neighbors </t>
  </si>
  <si>
    <t>https://drive.google.com/open?id=10p12y495rbZZeXCHC8dy63E-heKxT5IF, https://drive.google.com/open?id=1JnHTe4LHcPSRulOqeZ90gRR-T6GL_3Q4, https://drive.google.com/open?id=1UAMrYc-UHvukAHA-Y4rWFj6a1uBjNHDl, https://drive.google.com/open?id=1pGzAO9QqhBPdkBVQ4pNNEk_nQw0HwH-A</t>
  </si>
  <si>
    <t>https://drive.google.com/open?id=1tgBvBMGstUzjiBGtjjNFp6M6-KRkdunf, https://drive.google.com/open?id=1qFBQI06gm73Hf949lEmoI9RjpkrMg5h_, https://drive.google.com/open?id=1fIK1nsNF13qCm-ZyLAStgruMFUHJGxFl, https://drive.google.com/open?id=1RHamRD4fp4zZhaFGHofZ8wAynz0CuibI</t>
  </si>
  <si>
    <t>https://drive.google.com/open?id=1CpApQO9KEI7-Ha6NSJovw1ClU57zdGQZ</t>
  </si>
  <si>
    <t xml:space="preserve">Sheheryar Ahmad </t>
  </si>
  <si>
    <t xml:space="preserve">Masjid Abu Bakar Almarof Peshawari Masjid </t>
  </si>
  <si>
    <t xml:space="preserve">Women rights in Islam and their role in business </t>
  </si>
  <si>
    <t>Business main ana chahye women ko or job krni chahye as a doc, teacher</t>
  </si>
  <si>
    <t>https://drive.google.com/open?id=17t6vTEqr5u4uS1nuzDt0OqsKRmW34sQE</t>
  </si>
  <si>
    <t>https://drive.google.com/open?id=1NgP6emCQEAYbbellZDVRRAT_ZwQr_Xjj</t>
  </si>
  <si>
    <t>https://drive.google.com/open?id=1rSbj8PRpevn1nT0sKg-5JHxLxJr_Qcls</t>
  </si>
  <si>
    <t>emotn	جامع مسجد مسافر خانہ گڑ ھی شاھولاہور	Jamia Masjid Musafir Khana Ghari Shah Lahore</t>
  </si>
  <si>
    <t>Khawateen, roza ,shabe barat</t>
  </si>
  <si>
    <t>Aurto k haqooq hatam tai ka waqia shab ebarat  ramazan per bat ki</t>
  </si>
  <si>
    <t>https://drive.google.com/open?id=17PJr8MF8CXV_z2Hbz7Dp5nlzgFDVSCJ6</t>
  </si>
  <si>
    <t>https://drive.google.com/open?id=1MGIaUx-JzYyUrEmGKvvwVJW2GWTAcACa</t>
  </si>
  <si>
    <t>https://drive.google.com/open?id=1WpDuKMGxbMDMuAvA36cQpeKs4-XLTPIb</t>
  </si>
  <si>
    <t>gtfgm</t>
  </si>
  <si>
    <t xml:space="preserve">Muhammad Arslan Ghafoor </t>
  </si>
  <si>
    <t>03013156636</t>
  </si>
  <si>
    <t>Jamia Masjid Sheer Shah Wali Lahore</t>
  </si>
  <si>
    <t>Imam sahb ny Quran ki ehmiyat ka bary mn batya aur phr he also discuss about wahi.</t>
  </si>
  <si>
    <t xml:space="preserve">Imam sahb ny btaya ka Allah ny hmari hidyat ka lia quran otara humin sirat e mustaqeem dhkaya quran ka zarya </t>
  </si>
  <si>
    <t>https://drive.google.com/open?id=1x9R0ZU_6hSIn886mneCQ8o7tcmQfbJWR, https://drive.google.com/open?id=1FxhpUGf9kBJ6ejMbOYwtQV5cRaxaB370</t>
  </si>
  <si>
    <t>https://drive.google.com/open?id=1vOlaOiCwCzUM798ls2idrdbN1erRLgEd</t>
  </si>
  <si>
    <t>https://drive.google.com/open?id=1ExJNZBRG7xwZjCAxA2LnWwvh0CiFjXuR</t>
  </si>
  <si>
    <t>Shah wali ullah</t>
  </si>
  <si>
    <t>Zaheer butt</t>
  </si>
  <si>
    <t xml:space="preserve">Takia saduwah lahore </t>
  </si>
  <si>
    <t>Hamayou k haqooq</t>
  </si>
  <si>
    <t>Persoyou k haqooq or mahaly ki safai</t>
  </si>
  <si>
    <t>https://drive.google.com/open?id=1hO0jOd5X95GJl6mRcpYAKfo54H1VF1hc</t>
  </si>
  <si>
    <t>https://drive.google.com/open?id=1UDHjf11yMOAgzcT1vqsXlo5jWoY0Kx-e</t>
  </si>
  <si>
    <t>https://drive.google.com/open?id=1OxqiD7HDIVJuna4PoHuESDR9zQReS7L6</t>
  </si>
  <si>
    <t xml:space="preserve">umifn	</t>
  </si>
  <si>
    <t>umifn	Jamia Masjid Takiya Kabotar Shah Lahore</t>
  </si>
  <si>
    <t xml:space="preserve">3 se 5 </t>
  </si>
  <si>
    <t xml:space="preserve">شعبان و رمضان کی برکتیں اور ان کی تیاری وغیرہ </t>
  </si>
  <si>
    <t xml:space="preserve">امام نے رمضان کے آنے کی تیاری کرنے کو کہا اور رمضان کی فضیلت بیان کی اور دوسری کے حقوق کے بارے میں بات کی۔ </t>
  </si>
  <si>
    <t>https://drive.google.com/open?id=16J4Ba0ocwsJhBmud_Ott-pwX-kxAPfdb, https://drive.google.com/open?id=1q9fvUoyQVWjTxaRK79_OzufQyjnrv1UE, https://drive.google.com/open?id=14rt5V5QblOJnKeWFkeYhh_HpcLU3isuU, https://drive.google.com/open?id=1HAm_2GlrHjrCowuZKUDwAoxjXig7YNmV, https://drive.google.com/open?id=1bpLr_jeI-Fd_XJaEblMj0t3XbrKDsgWv</t>
  </si>
  <si>
    <t>https://drive.google.com/open?id=1skYis-WqOeDDy3DlLDRBiWyOc55uIbcY, https://drive.google.com/open?id=1p4O6LEGI9f8cbmS89alduKT-IPyY-8Fw, https://drive.google.com/open?id=1qGWohEIHIwVLV6xCKntzG5yZilTc_jLf</t>
  </si>
  <si>
    <t>https://drive.google.com/open?id=1SDyShFSbqeg0_cj0GVWemJZpW6aYij8_</t>
  </si>
  <si>
    <t>Baba fateh shah ( takiya kabotar shah)</t>
  </si>
  <si>
    <t xml:space="preserve">Ucpvp </t>
  </si>
  <si>
    <t xml:space="preserve">Jamia Masjid Makki New Anarkali </t>
  </si>
  <si>
    <t xml:space="preserve">Shab e Barat ki fazeelat </t>
  </si>
  <si>
    <t>Namaz ,roza, parossioun k haqqoq aur muhalay Daron k haqooq ki talqeen</t>
  </si>
  <si>
    <t>https://drive.google.com/open?id=1gWahdU-uG2KcTGRPwsSOmwICmwqiVRYQ</t>
  </si>
  <si>
    <t>https://drive.google.com/open?id=1w0gq5jlg9i6VkKm6TLgN6nnUhoCEkoP0</t>
  </si>
  <si>
    <t>https://drive.google.com/open?id=1PRi40oAZlWXxNfk6I-NlWC4VDp_va0c8</t>
  </si>
  <si>
    <t xml:space="preserve">Hamza </t>
  </si>
  <si>
    <t>03134111299</t>
  </si>
  <si>
    <t xml:space="preserve">ایمان و حیاء،  </t>
  </si>
  <si>
    <t xml:space="preserve">شب برات کی برقت،  اللہ کی رحمتیں،  ایمان و حیاء۔ 
اچھے کاموں کی ترغیب۔ برائیوں سے توبہ۔ لوگوں کے حقوق وغیرہ۔ </t>
  </si>
  <si>
    <t>https://drive.google.com/open?id=1E01oAhuR8_g_Xy6Q84gYN8_y8f1aBn8I, https://drive.google.com/open?id=1LWk5ycYqhkRWY_UfmyWZ-yE9j9IcexUS, https://drive.google.com/open?id=1viipdQ_ik72SGsck-kRUI_MuFPp87adS, https://drive.google.com/open?id=1j7I1s7Z4UuRVTvwkLKDk5XM85FZmR_es, https://drive.google.com/open?id=1hlls_LDC52Rr3cG15DkeGGBTPR-fbh2i</t>
  </si>
  <si>
    <t>https://drive.google.com/open?id=1oLTGolYGgRDLGsKRLiecrJopc14eVI4Z, https://drive.google.com/open?id=1qItQqKGd_C8Msvo-hNcqbNgJafwhiGIm, https://drive.google.com/open?id=1ZzFlTF3x9w6VOBQMMQAVKyU_bIr_MPF5, https://drive.google.com/open?id=185lGxxmnvlOZcHJX3z1VovsdFDstUKnN, https://drive.google.com/open?id=1fvOQLvvJWGSRuwRCIM7LJxtAvmXJyHKg</t>
  </si>
  <si>
    <t>https://drive.google.com/open?id=1SvmaCo-C2Z7CCyQ5qjJUCgZDFXmha1rK</t>
  </si>
  <si>
    <t>wzjkx</t>
  </si>
  <si>
    <t xml:space="preserve">Syed Abu huraira </t>
  </si>
  <si>
    <t>03354008267</t>
  </si>
  <si>
    <t xml:space="preserve">Jamia masjid shah jamal </t>
  </si>
  <si>
    <t>400+</t>
  </si>
  <si>
    <t>Hazrat Usman ki fazilat or zakat ka masarif</t>
  </si>
  <si>
    <t>https://drive.google.com/open?id=1Wxj6q7Xsk3F_7i6u5KdRdHwUChRl8UBW, https://drive.google.com/open?id=1Rlw6pHYgh4zNetuLfTCSet1uqdtoy49a, https://drive.google.com/open?id=1ycym75LTO6L8ov0hZZL-7qXqsnHv8hrV</t>
  </si>
  <si>
    <t>https://drive.google.com/open?id=1ZBU9IIFotIXHGxRFUmMABxc5RtVR2xas, https://drive.google.com/open?id=1LLPQUMMgegH3N5cv1KJ1EjXh6MW2XQLs, https://drive.google.com/open?id=1DJUIhvs9Q5Uicv14etzoGUmzKudTl5Bt, https://drive.google.com/open?id=1HmFXYwCYgHC5OvENEqR8y7xF1UZbyUSc, https://drive.google.com/open?id=1pvSO2yClrEUGR83SWY16YlMJLQA1AMvc</t>
  </si>
  <si>
    <t>https://drive.google.com/open?id=1LmaLIIW38_5W_Rsw_39-X-gxhzotFU9Q</t>
  </si>
  <si>
    <t>1588-1671</t>
  </si>
  <si>
    <t>Hazrat baba shah jamal</t>
  </si>
  <si>
    <t>Rzccc</t>
  </si>
  <si>
    <t>Jamia masgid Sayd sha Muhammad gous</t>
  </si>
  <si>
    <t>Islami maheno ke ahmyat</t>
  </si>
  <si>
    <t>Din Islam ma sahban or Ramzan ke ahmyat...</t>
  </si>
  <si>
    <t>https://drive.google.com/open?id=1A2j-C4dIY9kJEOV6m52bcEEKUI64kv5I, https://drive.google.com/open?id=105bPDF9Llt8ZGYFXFZsvkb5Neui1bpy7, https://drive.google.com/open?id=1x_0umDupDq7wgcRxshQJ-w-ZcolnuSeI</t>
  </si>
  <si>
    <t>https://drive.google.com/open?id=1LKW1_p_j2BHKGMGuKHFIVQzSkGwzGWnx, https://drive.google.com/open?id=1a0fQZMm9GDMrtvGr5ju3_QMIjneMic7Y, https://drive.google.com/open?id=1KtUzjKqDhCa0A2pGzoTsrnQWS1ZqivCt, https://drive.google.com/open?id=10EpA0jWdfF2Qk7UNw0-e_MmgZHNIOou6, https://drive.google.com/open?id=18WSzqZtkv4EKWh6T0pusybnY-4bZ-dd6</t>
  </si>
  <si>
    <r>
      <rPr>
        <rFont val="Roboto"/>
        <color rgb="FF434343"/>
      </rPr>
      <t xml:space="preserve">https://drive.google.com/open?id=14iiVvH0gSgZEO-D_HncgqNcZwuyslsFx, </t>
    </r>
    <r>
      <rPr>
        <rFont val="Roboto"/>
        <color rgb="FF1155CC"/>
        <u/>
      </rPr>
      <t>https://drive.google.com/open?id=1PY0cm_3hShzO1ataP7MLdss0QCvXxm-6</t>
    </r>
  </si>
  <si>
    <t>Syad sha Muhammad gous</t>
  </si>
  <si>
    <t xml:space="preserve">Jamia Masjid Sheer Shah Wali </t>
  </si>
  <si>
    <t xml:space="preserve">Ramzan ka related </t>
  </si>
  <si>
    <t xml:space="preserve">Roza ki ehmiyat btai aur namaz ka related btaya </t>
  </si>
  <si>
    <t>https://drive.google.com/open?id=1gLx3Bx2gBBZh7oJMHitg2l8G2ZTaC-R4, https://drive.google.com/open?id=1OMqsDSzczZQfsNW61vAdb-5rr4nOpuvj, https://drive.google.com/open?id=11v-aHmkAMwaTl6UI4Tn1daf5ESFoJCOi</t>
  </si>
  <si>
    <t>https://drive.google.com/open?id=1RD3ZLpjaV3vrshKlptrLMeEBp7ibx5ag, https://drive.google.com/open?id=13A1U7olJvr1243k8Zvx_GeT82w5zZhKA</t>
  </si>
  <si>
    <t>https://drive.google.com/open?id=1l56qhoECSePdA3RVPfJ0iiA_yCP9mz9n</t>
  </si>
  <si>
    <t>Sher shah wali</t>
  </si>
  <si>
    <t xml:space="preserve">Fakhar Abbas </t>
  </si>
  <si>
    <t>Jamia Masjid Laal</t>
  </si>
  <si>
    <t>3 ( Nearby Building Underconstrition)</t>
  </si>
  <si>
    <t>Allah Ki Rehmat</t>
  </si>
  <si>
    <t>اللہ کی رحمت اور اللّٰہ کے احکامات پر پابندی کرنے پر ذور دیا اور مختلف واقعات بیان کئے ،جیسا کہ قوم لوط ،قوم شعیب ، اور اونٹنی والا واقعے بیان کیا ۔</t>
  </si>
  <si>
    <t>https://drive.google.com/open?id=1RMXRYgCgveSewAJwnhmeXer5WbcvGY5j, https://drive.google.com/open?id=1XlaTQku8FF3OzmPxibKpSekHOGgaIXXH, https://drive.google.com/open?id=1FCV4VAZVyz_PaQHanMz4gqInuKeNWnC6, https://drive.google.com/open?id=1_ZC8jblKwgvxTzU8YD2cO47W82iwVCwm, https://drive.google.com/open?id=1BmxSWL5MmVz14sH-lfD5eq-Fc95ZO2dQ</t>
  </si>
  <si>
    <t>https://drive.google.com/open?id=1sCI2F_pQukwHHpXB_ldY0OdxYOMCs8lg, https://drive.google.com/open?id=19i49CSNGRcpJEjsxRcwN1atmhBvNyKjc, https://drive.google.com/open?id=1bzbjzT5kUoEo9yk518fyNx9O0Pm49-tH, https://drive.google.com/open?id=1drW4ZTkJg71XsCVr1jNdCaGsutp7lHkE, https://drive.google.com/open?id=1E7NrUBfRAa5xxmIDlqKwYLBfo6J3L1nE</t>
  </si>
  <si>
    <t>https://drive.google.com/open?id=190uB9gtbyeZSCipDErf3rhOnnG8SHww3</t>
  </si>
  <si>
    <t xml:space="preserve">Masjid zanjani meran hussain </t>
  </si>
  <si>
    <t>Toba or Allah ki muhabat.Allah ka fazal</t>
  </si>
  <si>
    <t>Imam ne Toba or Allah ka fazal mangne ka  kha.takabr or ajzi pr bat ki</t>
  </si>
  <si>
    <t>https://drive.google.com/open?id=1qoNcqdDLfwpfA3QtQvFYMFik_6eslOnt</t>
  </si>
  <si>
    <t>https://drive.google.com/open?id=11O7LWWu7Spv6VCxj5_gkMb9y1-JFj2vJ</t>
  </si>
  <si>
    <t>https://drive.google.com/open?id=11ul7nJjb_aU8Pp3T2cVuKstX2_XAepFL</t>
  </si>
  <si>
    <t xml:space="preserve">Meeran hussain zanjani </t>
  </si>
  <si>
    <t xml:space="preserve">WBAIL </t>
  </si>
  <si>
    <t xml:space="preserve">Jamia Masjid Noor </t>
  </si>
  <si>
    <t>Shab-e-Barat</t>
  </si>
  <si>
    <t>Shab-e-Barat Ki ehmiyat or fazilat ky baray mei guftugu ki.</t>
  </si>
  <si>
    <t>https://drive.google.com/open?id=1PkL5O5lX9Ce94dgW6ydWQSBuuWz0nlNk</t>
  </si>
  <si>
    <t>https://drive.google.com/open?id=1DIFF9IcAos1QEmZIWeryj71fQoxATDnn</t>
  </si>
  <si>
    <t>https://drive.google.com/open?id=1jSuoVEnBpGw1EKvpR68sucYxEHbPQ6I8</t>
  </si>
  <si>
    <t>Takiya Ujagar Shah Darbar</t>
  </si>
  <si>
    <t>Oonhe</t>
  </si>
  <si>
    <t>Jaima masjid Bhohaar wali lohari gate lahore</t>
  </si>
  <si>
    <t xml:space="preserve">Jaima masjid bhohaar wali </t>
  </si>
  <si>
    <t>Rasoolula ki fazeelt</t>
  </si>
  <si>
    <t>Rasool ula ki dazeelt</t>
  </si>
  <si>
    <t>https://drive.google.com/open?id=15iU_zP5uWWiHIuK1Kzd2I2cUAnpgGgRL, https://drive.google.com/open?id=12Bu5Oqed3fWZLPzMEV1A8gZCznp44tOA</t>
  </si>
  <si>
    <t>https://drive.google.com/open?id=1CCz9cLe3MLmn6JBf-7qAHnuxoH48VAYR</t>
  </si>
  <si>
    <t>https://drive.google.com/open?id=1b3LTQASZsJHic1F_aly23JVfU2nR_e9i</t>
  </si>
  <si>
    <t>+923174582961</t>
  </si>
  <si>
    <t xml:space="preserve">رمضان کی برکتیں،  دوسرے کے حقوق ، عورت سے سلوک۔ وغیرہ۔ </t>
  </si>
  <si>
    <t xml:space="preserve">میانہ روی ۔ عورت کے اچھا سلوک ۔ اسلام میں محبت کا تصور ۔ اور کو اپنی پسند سے شادی ۔ وغیرہ۔ </t>
  </si>
  <si>
    <t>https://drive.google.com/open?id=1-KWo0X1vUtKw_liqRYxuJeqo5FV7nYle, https://drive.google.com/open?id=1du0kIRwJAd0Oho1SzxcRbtHaCov4swxJ</t>
  </si>
  <si>
    <t>https://drive.google.com/open?id=1HF3jQfYLzemaFeVjLayUo4WNyiRymGXT, https://drive.google.com/open?id=1LrbB93F6xEd5sA_E6jUSvQAczmBkhXkR, https://drive.google.com/open?id=1y_gqxs33znbObGWJ3DXsrZATnMqZe-Xy, https://drive.google.com/open?id=1CA6yk7zwGCFEn5RCYm5XQoUWxsqLKRF1, https://drive.google.com/open?id=1e6rWx0AnFZ4nlF2jkv6ECWXtiWFgBHDW</t>
  </si>
  <si>
    <t>https://drive.google.com/open?id=1_xII8cy5N_UWbbJBcE2mVq-0lUwiLD47</t>
  </si>
  <si>
    <t>kscal</t>
  </si>
  <si>
    <t>kscal	Jamia Masjid Noor Din Pepal Wehra Lahore</t>
  </si>
  <si>
    <t xml:space="preserve">رجب اور شعبان اور رمضان کی برکتیں </t>
  </si>
  <si>
    <t xml:space="preserve">رمضان کی تیری ، حقوق اللہ کی پابندی،  برکت والے مہینے وغیرہ۔ </t>
  </si>
  <si>
    <t>https://drive.google.com/open?id=1laT5kwm1mZcS2binTUVn8n0Ap8nlgNjD</t>
  </si>
  <si>
    <t>https://drive.google.com/open?id=1UKzIYKdxAOtV4IRHCwGz-SN8QU24yUFC, https://drive.google.com/open?id=1PIH-on65bBP9sKA_TijgK3VRc9HcY_cs, https://drive.google.com/open?id=1KBVrTDZtyLoNoMnI3cqdARp5QT2zHW2o</t>
  </si>
  <si>
    <t>https://drive.google.com/open?id=1MQOcyurhjq27OQU_3Cv0nS144v_iL3rE</t>
  </si>
  <si>
    <t xml:space="preserve">No mentioned </t>
  </si>
  <si>
    <t xml:space="preserve">HSWIF </t>
  </si>
  <si>
    <t>Adnan ali</t>
  </si>
  <si>
    <t xml:space="preserve">Jamia Masjid Barkat bibi </t>
  </si>
  <si>
    <t xml:space="preserve">نماز کے مسائل </t>
  </si>
  <si>
    <t>نماز میں خشوع کا مطلب ہے دل کی حاضری، عاجزی اور مکمل توجہ کے ساتھ اللہ کے حضور کھڑا ہونا۔ خشوع کے بغیر نماز روح سے خالی ہو جاتی ہے اور اس کی تاثیر کم ہو جاتی ہے۔</t>
  </si>
  <si>
    <t>https://drive.google.com/open?id=1KsS9UasskLj0VeZar_GzmwwWw6qgz2W7</t>
  </si>
  <si>
    <t>https://drive.google.com/open?id=1L-yB8E6HBku_WJfG4OOopoqHnM-_AcBO</t>
  </si>
  <si>
    <t>https://drive.google.com/open?id=1FZWz3As8oaVI6CLFNnL9sPIcS7O0ClqF</t>
  </si>
  <si>
    <t>03074478087</t>
  </si>
  <si>
    <t>Shaberaat</t>
  </si>
  <si>
    <t>Shaberaat key or maa baap key hawale se bat ki</t>
  </si>
  <si>
    <t>https://drive.google.com/open?id=1DEA-qgBbbCk9DSw0txE1aTd5ZHVJLAE9, https://drive.google.com/open?id=1kHbrUO4KZTi1tmckKhl0sfXZE76a8v1I, https://drive.google.com/open?id=1Ez8GKl-KVHb6Jwa-Jv1cQfTHHKe4bXyx</t>
  </si>
  <si>
    <t>https://drive.google.com/open?id=1mVlqQuajXUbvi_cefWBgzd8slXQlxqfn, https://drive.google.com/open?id=1KeW9zVWyWir2Zw8s2qtw0le0gch70l37</t>
  </si>
  <si>
    <t>https://drive.google.com/open?id=19t7-r-3awhCryVXpao3CKrRX3e1aTmAu</t>
  </si>
  <si>
    <t>No commment</t>
  </si>
  <si>
    <t>14th February, ویلنٹائن ڈے کیا ہے اور اس کے معاشرے پر کیا اثرات ۔</t>
  </si>
  <si>
    <t>ویلنٹائن ڈے اور اسلام  تقابل</t>
  </si>
  <si>
    <t>https://drive.google.com/open?id=13KG5b06DwOrP1Q7d9kLOo8WUHmvhd6Ti, https://drive.google.com/open?id=1qd7bEda1jv1wiKKAu6Stp2YyUo4yNQzy, https://drive.google.com/open?id=1SeJIdtYwxOIA8RiZNkIWqSjjKdL0ZMKs, https://drive.google.com/open?id=1MDcC75VNCxgpK1dgjhacNwogBHESbXhq</t>
  </si>
  <si>
    <t>https://drive.google.com/open?id=1cmRkVDNvMyibdKNvzxNGQAz_ahU6tm40, https://drive.google.com/open?id=1iOgc6Qj0nNuhCfLr64kfiTOHkao6Qf6M, https://drive.google.com/open?id=1wUpyWk37p9OqPPTdsq31kCRMabdVbPvP</t>
  </si>
  <si>
    <t>https://drive.google.com/open?id=1uj59_ZIZ56uL-4-lbtCpAav2EnaEUlTU</t>
  </si>
  <si>
    <t>Azhar</t>
  </si>
  <si>
    <t>03130665403</t>
  </si>
  <si>
    <t>Jamia masjid musafir khana ghari shah lahore</t>
  </si>
  <si>
    <t>Hakuk Al ibad and rozon ki ahmiyat</t>
  </si>
  <si>
    <t>https://drive.google.com/open?id=1TvrDmS71r4dy3IVSYR0m2iHjgqBXsY4h</t>
  </si>
  <si>
    <t>https://drive.google.com/open?id=1scJjt1OZxQxXq6zt5q8NZTMvCE2nhs-5</t>
  </si>
  <si>
    <t>https://drive.google.com/open?id=1zeiKWe3XFk00J_s8BhHR77bgKcMrIvaH</t>
  </si>
  <si>
    <t xml:space="preserve">Jamia Masjid Takiya Puter Nagha </t>
  </si>
  <si>
    <t>Mah-e-Shaban ki Fazilat</t>
  </si>
  <si>
    <t>Shaban-ul-Muazzam ki importance and Shaban main rozy rakhny ka ajar aur sawab</t>
  </si>
  <si>
    <t>https://drive.google.com/open?id=1KFVbdL__jgLDorcWT0nBaXIOMxYGmgu8, https://drive.google.com/open?id=15ffweRxZx75aJqoeTUjbc8aMZPcXyK--</t>
  </si>
  <si>
    <t>https://drive.google.com/open?id=123sYPa070C_6YwdHzaUmL2GE0mdzMoKV, https://drive.google.com/open?id=1KEbFkPqOURqzMPX5anz3lxcxc_DDS3lv</t>
  </si>
  <si>
    <t>https://drive.google.com/open?id=1iAztDv-Z6REWEjU_N6u8NVWApFHE5nSN</t>
  </si>
  <si>
    <t xml:space="preserve">Masjid Khulfa Rashideen Rang Mahal </t>
  </si>
  <si>
    <t>SHARMO HAYA</t>
  </si>
  <si>
    <t xml:space="preserve">Everyone is responsible for his family as chief of House. </t>
  </si>
  <si>
    <t>https://drive.google.com/open?id=1cUPcHhEbDTZbzlPn10SIUx-Y24qyVyfh, https://drive.google.com/open?id=1xApWbRdxbHUaHnWEKAvcvb_Q9lzOyAxt, https://drive.google.com/open?id=1m7g909T1TmU9yQBQvJp1eauANaCMK29_</t>
  </si>
  <si>
    <t>https://drive.google.com/open?id=14YMwUV6vOKZNjIoxu0ZD_ToOFQBUuNbg, https://drive.google.com/open?id=11Z0o-p1qtyienKEU-4F9Mzl4JRyB0VsQ, https://drive.google.com/open?id=1QjPq41FVlStLANbe3v-X93A7aBhdTI3S, https://drive.google.com/open?id=1ElpxjFQ62PMOYNglbcFpUYf1GtOKmgBB</t>
  </si>
  <si>
    <t>https://drive.google.com/open?id=1kQjag4SARco2L37H2bWZueBTRuBpxibx</t>
  </si>
  <si>
    <t>امت مصطفی اور گزشتہ امتوں کا شرعی احکامات کا موازنہ</t>
  </si>
  <si>
    <t>Gujashta umaton k lie aehkamat boht sakht the. Lekin umat e mustafa k lie boht asani ha.
Gujashta umaten kapra Pak krne k lie kapre ko katna parta tha or jism k ksi hissa ko pak krne k lie us hisse ko aag se daghna prta tha. Lekin umat e mustafa mn hm sirf sabun se kapra dhote hn to kapra pak ho jata ha.  
Ye sb asanian hazrat Muhammad pbuh k rehmat ki waja se millen hn hmen......</t>
  </si>
  <si>
    <t>https://drive.google.com/open?id=1FhmEa35XfHaz87dfYxeV4kLyr-zLYgWu, https://drive.google.com/open?id=1Zr3v8pF_8c3Z4YYZACHoVyctQH0TR4Nl, https://drive.google.com/open?id=1gqlwJTfbl7ANT0VUaiAVzMhnysjxpYU4</t>
  </si>
  <si>
    <t>https://drive.google.com/open?id=1TcY_7AcdVIehZNNf7eCH7vSG6HseS7Jo, https://drive.google.com/open?id=1AQREjskMFkQUxGSt-uzpsBckJDVA1v_D</t>
  </si>
  <si>
    <t>https://drive.google.com/open?id=1aI1lllkcvF2FsGcX1HbcORYwNgKf6RvR</t>
  </si>
  <si>
    <t xml:space="preserve">TNRVG </t>
  </si>
  <si>
    <t xml:space="preserve">Takia saduwah Masjid Lahore </t>
  </si>
  <si>
    <t>Shab_e-barat</t>
  </si>
  <si>
    <t>Shab-e-barat</t>
  </si>
  <si>
    <t>https://drive.google.com/open?id=1BXb0u_jgpnnqt1wqC7SHuv-RZcQf-e0C</t>
  </si>
  <si>
    <t>https://drive.google.com/open?id=18ti2bOEk8weB5iRPrr3e0Y9gMBuqCqg8</t>
  </si>
  <si>
    <t>https://drive.google.com/open?id=1zixiE1mJAFFkz1xiFiaAzBYl6hlrUER7</t>
  </si>
  <si>
    <t>عمر بٹ</t>
  </si>
  <si>
    <t xml:space="preserve">جامع مسجد تکیہ لہری شاہ </t>
  </si>
  <si>
    <t>5-6</t>
  </si>
  <si>
    <t>ویلنٹائن ڈے بے حیائی اور فحاشی ہے</t>
  </si>
  <si>
    <t xml:space="preserve">حضور کی آمد کے بعد عورتوں کو ان کا مقام ملا </t>
  </si>
  <si>
    <t>https://drive.google.com/open?id=15AtLAYz2Ueay-LE4tTl8hKO9kPfT9zXY</t>
  </si>
  <si>
    <t>https://drive.google.com/open?id=1GBGinLa4y_4TpLIbkixdeuwUIpdHY3Xx</t>
  </si>
  <si>
    <t>https://drive.google.com/open?id=1HAesk_h7kFzze5_meMqaV9vgNuRSC2Jy</t>
  </si>
  <si>
    <t>The second construction with new design was built in 1890</t>
  </si>
  <si>
    <t>شاہ جمال دربار</t>
  </si>
  <si>
    <t>Masjid Abu Bakar Sadeeq (Peshawari Masjid)</t>
  </si>
  <si>
    <t>Allah or Bandy ka rishta, Ramzan ki tayari</t>
  </si>
  <si>
    <t>Allah sy rishta mazbot krna or ramzan ki abhi sy tyari krna</t>
  </si>
  <si>
    <t>https://drive.google.com/open?id=1UmI2zDxvF2PJPHkm9jKPSevcGLb2cExx</t>
  </si>
  <si>
    <t>https://drive.google.com/open?id=1A-dvB0iiEMTi1IcEp_H3SVSXp-sOSh2u</t>
  </si>
  <si>
    <t>https://drive.google.com/open?id=1FpAopcaW_zkHrizISu0eS2EJf90MOBk6</t>
  </si>
  <si>
    <t xml:space="preserve">kpwne	</t>
  </si>
  <si>
    <t>kpwne	Jamia Masjid Mian Karaam Bakhs Pani Wala Talaab Lahore</t>
  </si>
  <si>
    <t xml:space="preserve">شب برات کی اہمیت رمضان المبارک کی آمد ، </t>
  </si>
  <si>
    <t xml:space="preserve">نیک عمال کی ترغیب۔ رمضان کی آمد و اہمیت، شب برات کی اہمیت۔ </t>
  </si>
  <si>
    <t>https://drive.google.com/open?id=1g3jCN_xoY3Nq1wGJA8RMKzbxx1mXOifS, https://drive.google.com/open?id=1qnKEyMLihKcNEk19PXBM9MB7kSC0utpu, https://drive.google.com/open?id=11O35DDSC8GcUgP-mL2KVZrCFnF0-Wwdj, https://drive.google.com/open?id=10xKGdcfYfsJ9MfMD0IXY65xFdiuV9YsQ</t>
  </si>
  <si>
    <t>https://drive.google.com/open?id=135tFo8yfLGT-QvbzCWK2V_awhED_98wm, https://drive.google.com/open?id=1BX_br0ho5SGkqi6l-4Y1AqJDnbiPPP3y, https://drive.google.com/open?id=1k1SPTPMIfn0CQZvPusH7IOccT6AvKP4Q, https://drive.google.com/open?id=1lqhFE2M85adLjzQG29HeCWv1adYnJykF</t>
  </si>
  <si>
    <t>https://drive.google.com/open?id=1QOvOPJhmZky9b-jN9akyFd5_h8L1FadB</t>
  </si>
  <si>
    <t xml:space="preserve">About 70 year ago </t>
  </si>
  <si>
    <t xml:space="preserve">	جامع مسجد چوہڑ شاہ بندگی لاہور	</t>
  </si>
  <si>
    <t>Hakook ullah</t>
  </si>
  <si>
    <t>Imam na apna bayan ma hakook ullah ka bara ma bat ke</t>
  </si>
  <si>
    <t>https://drive.google.com/open?id=1az3qSdibm8iTcKfbY6Dl0SH4dOFIm7eh</t>
  </si>
  <si>
    <t>https://drive.google.com/open?id=12cylKkcP7HMkYOqW3bGfJMamdVsROp8f</t>
  </si>
  <si>
    <t>https://drive.google.com/open?id=1YqU6GCF5J37XmvqafbTjyj6wO8p5Tp0X</t>
  </si>
  <si>
    <t>000000</t>
  </si>
  <si>
    <t xml:space="preserve">  چوہڑ شاہ بندگی	</t>
  </si>
  <si>
    <t>Islamky mutabiq asal mohabbat ka haqdar Kon hy</t>
  </si>
  <si>
    <t xml:space="preserve">اسلام کے مطابق اصل محبت کا حقدار اللہ تعالیٰ ہے، کیونکہ وہی ہمارا خالق اور رازق ہے۔ اس کے بعد والدین، خاندان، اور انسانیت سے محبت کی تعلیم دی گئی ہے، جو اللہ کی رضا کے لیے ہونی چاہیے۔
</t>
  </si>
  <si>
    <t>https://drive.google.com/open?id=1FQgSqMUNf8Qt9yao7sueAEkPgvmXRlNQ</t>
  </si>
  <si>
    <t>https://drive.google.com/open?id=1puYEqpwk1NDJBdeki7uZkZt8aGdBmaWm</t>
  </si>
  <si>
    <t>https://drive.google.com/open?id=1yKKPhvCJoTaBIybcuAcj4vBQAxUMVc7_</t>
  </si>
  <si>
    <t xml:space="preserve">Peer hadi rehnuma </t>
  </si>
  <si>
    <t>Jamia Masjid Abdul Ghani</t>
  </si>
  <si>
    <t>Hazrat Muhammad (S.W.A) ki ehlabat or hazrat Hussain( R.A )</t>
  </si>
  <si>
    <t>https://drive.google.com/open?id=1vni--3ceKxqeBUCgEK1JVlL4dzKcNCK4</t>
  </si>
  <si>
    <t>https://drive.google.com/open?id=17QtOxWYxvII7vukhmUYJzaEiDR4IqxHM</t>
  </si>
  <si>
    <t>https://drive.google.com/open?id=1M7ts-bvYaSWsF0pRNcAyvJbEguTo5Kg7</t>
  </si>
  <si>
    <t xml:space="preserve">Shabrat Ramzan right of Neighbors </t>
  </si>
  <si>
    <t>Ramzan sbhrat</t>
  </si>
  <si>
    <t>https://drive.google.com/open?id=1tA0AigxMe1HnYXPmtv5aPXrKGYRCIal6, https://drive.google.com/open?id=1Q9ZoA9byKAf5aVfAhwo-h5A7TybAjvI3, https://drive.google.com/open?id=1p3CDvpdexpWlDL7wwcC0nN5f6ugbAXNi</t>
  </si>
  <si>
    <t>https://drive.google.com/open?id=1It_wnt_O_4m6116c64El7A8lXN0d1RP9</t>
  </si>
  <si>
    <t>https://drive.google.com/open?id=14QAcZ3_TFLA3gF-9eoV1NvM0VHfrYKtV</t>
  </si>
  <si>
    <t>EIUOU</t>
  </si>
  <si>
    <t xml:space="preserve">Asim Munir </t>
  </si>
  <si>
    <t>velantine day pa bt ki
behayai pa bt ki h</t>
  </si>
  <si>
    <t>https://drive.google.com/open?id=1VRwjr7mhZGi2mP5gLzFfxx4eiBHsEl59</t>
  </si>
  <si>
    <t>https://drive.google.com/open?id=1-yLedbQduj_5sbfV11q4KW05VoUrZYGZ</t>
  </si>
  <si>
    <t>https://drive.google.com/open?id=1JGmU0LYEH9f1VhxsaW9GpUrEhRf1-piW</t>
  </si>
  <si>
    <t xml:space="preserve">	Jamia Masjid Chila Gah Tabha Fareed Lahore</t>
  </si>
  <si>
    <t>velantine day pa bt ki</t>
  </si>
  <si>
    <t>behayai pa bt ki h
velantine day pa bt ki</t>
  </si>
  <si>
    <t>https://drive.google.com/open?id=1xohUUxuKkWjqcnSP66Tz6ehkeInU3zsC</t>
  </si>
  <si>
    <t>https://drive.google.com/open?id=1qS1P1yo_u52C6euKkHYZKN7fDPFFfnS0</t>
  </si>
  <si>
    <t>https://drive.google.com/open?id=1dMgLhYglTQfqWQEeCWGsQnHaZXp3WIyk</t>
  </si>
  <si>
    <t>Taxsali gate</t>
  </si>
  <si>
    <t xml:space="preserve">Namaz </t>
  </si>
  <si>
    <t xml:space="preserve">Namaz roza </t>
  </si>
  <si>
    <t>https://drive.google.com/open?id=1jC0Bw66O-_G8B1JhhVVwTcAg4kzhsjpY</t>
  </si>
  <si>
    <t>https://drive.google.com/open?id=1no9xHQvGzpcN1gqZB5Wz-9rO_Dc4nPZE</t>
  </si>
  <si>
    <t>https://drive.google.com/open?id=1vYC2g6J7trmUn2_bGucJ-EsH1BrmQo8V</t>
  </si>
  <si>
    <t>Kkrvm</t>
  </si>
  <si>
    <t>Noman Amjad</t>
  </si>
  <si>
    <t xml:space="preserve">jamia masjid nevien bhatti gate gate </t>
  </si>
  <si>
    <t>Seerat Un nabi saw</t>
  </si>
  <si>
    <t>Seerat Un nabi</t>
  </si>
  <si>
    <t>https://drive.google.com/open?id=12IY0m-2o1hCrx5dbxgf3XjJBHoYxsoIb</t>
  </si>
  <si>
    <t>https://drive.google.com/open?id=1De9CKy-QthmWKhYSTmiAkC8HuQgaNtLc</t>
  </si>
  <si>
    <t>https://drive.google.com/open?id=1w198BMvMurve52I-sXCaz7TEVS8vKVbt</t>
  </si>
  <si>
    <t>Jamia Masjid Allah joya</t>
  </si>
  <si>
    <t>نماز کے مسائل اور فوائد</t>
  </si>
  <si>
    <t xml:space="preserve">نماز کے مسائل میں خشوع و خضوع کی کمی، وقت کی پابندی اور وضو کے احکام جیسے چیلنجز شامل ہیں۔
اس کے فوائد میں روحانی سکون، گناہوں کی معافی اور دنیا و آخرت میں کامیابی شامل ہیں۔
</t>
  </si>
  <si>
    <t>https://drive.google.com/open?id=1YJBxy27WPTToO9W4iXgnjoqRntfXMM7x</t>
  </si>
  <si>
    <t>https://drive.google.com/open?id=1xfNfMATpTcY1QtHORIoI-mKobzLjxzAP</t>
  </si>
  <si>
    <t>https://drive.google.com/open?id=1ykS-HZnFyDnsk746xm0NyhbtbPNKfyPN</t>
  </si>
  <si>
    <t>New construction 2019</t>
  </si>
  <si>
    <t>Cqafr</t>
  </si>
  <si>
    <t>Jamia masjid johri sha bandgi</t>
  </si>
  <si>
    <t>Safi nisf Iman h</t>
  </si>
  <si>
    <t>Din Islam ma safi ke ahmiyat</t>
  </si>
  <si>
    <t>https://drive.google.com/open?id=1N2oJdd-PxRkik098bQW8dbzHlfoBpjKC, https://drive.google.com/open?id=1iVMUdQql8tNoBf511Nt3PKcXuycqmvLL, https://drive.google.com/open?id=1t5Ec75mwRqltY1Toe56WNoV8KGJnnUPR</t>
  </si>
  <si>
    <t>https://drive.google.com/open?id=18ICJ9R1u0POuF0lD00aluGRs9Noo8C2C, https://drive.google.com/open?id=1M8-CUJre0AkHx4JqqJJOUvA1qRxsmbrR</t>
  </si>
  <si>
    <t>https://drive.google.com/open?id=1N5iwG8v4FXf4L7bJt7BnuHVCgyRATD5Y</t>
  </si>
  <si>
    <t>Syad abdul jaleel jore shah bandge</t>
  </si>
  <si>
    <t>Ucpvp</t>
  </si>
  <si>
    <t xml:space="preserve">آصف کلیم </t>
  </si>
  <si>
    <t xml:space="preserve">مکی مسجد نیو انارکلی بازار </t>
  </si>
  <si>
    <t>ہمیں اپنے پڑوسیوں کے حقوق کا خیال رکھنا چاہیے اور ایسا کرنے والا رسول صلی کے قریب ہوگا اور ایسا نہ کرنے والا روز آخرت جابدہ ہوگا اور ایسے خوش گوار معاشرہ وجود میں آۓ گا ۔</t>
  </si>
  <si>
    <t>https://drive.google.com/open?id=1izdbUvfqNmU6BiMDMguhhDgrpJvN7Sb6</t>
  </si>
  <si>
    <t>https://drive.google.com/open?id=10KIlxC919OfdqohU3S4VkhayT1M7cnEO</t>
  </si>
  <si>
    <t>https://drive.google.com/open?id=1WNPn9YxCxqy22p76jgsPOD93Zpov4lLM</t>
  </si>
  <si>
    <t xml:space="preserve">Masid zanjani meeran </t>
  </si>
  <si>
    <t>Ramzan</t>
  </si>
  <si>
    <t>Roza or ramzan</t>
  </si>
  <si>
    <t>https://drive.google.com/open?id=1T1gFA3GRoBxi4moOGlAo0lV8pVLDjDTO</t>
  </si>
  <si>
    <t>https://drive.google.com/open?id=17on2clrGhdD57zjkYV80--UtwjwiX9e7, https://drive.google.com/open?id=19krv9pWN4fYhMfNI0SXvvheSUOIhl4gO</t>
  </si>
  <si>
    <t>https://drive.google.com/open?id=17A7HCgzE8sV-AAg892oI-PTDe5vTeVCx</t>
  </si>
  <si>
    <t xml:space="preserve">Jamia masjid taxali gate Lahore </t>
  </si>
  <si>
    <t>Allah ky haqook, Walidain ky haqook, Hamsayoo ky haqook, Rishtydaaro ky haqook</t>
  </si>
  <si>
    <t>Allah ky, hamsayo ky, walidaain ky or rishty daaro ky haqook puray krny ko kaha</t>
  </si>
  <si>
    <t>https://drive.google.com/open?id=1Ihk6aTiQ0xPV5A_xdwIoSV__ykaCLMvr</t>
  </si>
  <si>
    <t>https://drive.google.com/open?id=1yuEWP4wgzqMdodxob6KrIKkK5PayFbg0</t>
  </si>
  <si>
    <t>https://drive.google.com/open?id=1-2PUrCvzMn80RnZDvJjW6eaQ1zHorori</t>
  </si>
  <si>
    <t xml:space="preserve">Darbar Baba Bandu Shah </t>
  </si>
  <si>
    <t>qkvvj</t>
  </si>
  <si>
    <t xml:space="preserve">Zaheer Butt </t>
  </si>
  <si>
    <t>Masjid khulfa e rashdeen</t>
  </si>
  <si>
    <t>Bsabe barat</t>
  </si>
  <si>
    <t>Time ka zaya na kro</t>
  </si>
  <si>
    <t>https://drive.google.com/open?id=1yxsGCsch3NAWw4NoZEOXdMapH8xaCA8w</t>
  </si>
  <si>
    <t>https://drive.google.com/open?id=1IQTw58QNZXvBrkps5-NGplGX31kLGgUA</t>
  </si>
  <si>
    <t>https://drive.google.com/open?id=12_OKyRbr-L_haP3oSrEctC30GbLqtXiU</t>
  </si>
  <si>
    <t>VTGKG</t>
  </si>
  <si>
    <t xml:space="preserve">Naveed Khalid </t>
  </si>
  <si>
    <t>03087944200</t>
  </si>
  <si>
    <t>Jamia masjid darbar Muhammad ghous</t>
  </si>
  <si>
    <t>https://drive.google.com/open?id=1q5LCraaTyUj30JQtNozSZuTnDYYrJS5F</t>
  </si>
  <si>
    <t>rulesbreakers52@gmail.com</t>
  </si>
  <si>
    <t>IOTAE</t>
  </si>
  <si>
    <t xml:space="preserve">Waseem Rehman </t>
  </si>
  <si>
    <t>03005017007</t>
  </si>
  <si>
    <t>Jamia Masjid Sarwariya Islamia Muhammad Shah</t>
  </si>
  <si>
    <t>https://drive.google.com/open?id=1E7qcQWcI-PvvH9GkWtmdtX3bTKAwvacy</t>
  </si>
  <si>
    <t>iwaseemrehman@gmail.com</t>
  </si>
  <si>
    <t>YTVOY</t>
  </si>
  <si>
    <t xml:space="preserve">Arslan Hafeez </t>
  </si>
  <si>
    <t>03214883176</t>
  </si>
  <si>
    <t xml:space="preserve">Jamiha Masjad ghala mandi chichawatni </t>
  </si>
  <si>
    <t>https://drive.google.com/file/d/1HVbSbF8xgE4_TxTkhEA69bPLbLgvibJb/view?usp=drive_link</t>
  </si>
  <si>
    <t xml:space="preserve">Nahi </t>
  </si>
  <si>
    <t>Arslanhafeez1818@gmail.com</t>
  </si>
  <si>
    <t>VPLSV</t>
  </si>
  <si>
    <t xml:space="preserve">مجاہد امین </t>
  </si>
  <si>
    <t>0348-4724367</t>
  </si>
  <si>
    <t xml:space="preserve">جامع مسجد دربار حضرت سائیں لابھے شاہ، گوگیرہ </t>
  </si>
  <si>
    <t xml:space="preserve">کوئ نہیں </t>
  </si>
  <si>
    <t>https://drive.google.com/open?id=16NfHoFKpIhQLrdiaA30xSjjfnmQk5WuR</t>
  </si>
  <si>
    <t>mujahidamin636@gmail.com</t>
  </si>
  <si>
    <t>FFPZC</t>
  </si>
  <si>
    <t>Nadeem Akram Sahir</t>
  </si>
  <si>
    <t>03074993350</t>
  </si>
  <si>
    <t xml:space="preserve">FFPZC	Jamia Masjid Hanfiya C Block Okara	</t>
  </si>
  <si>
    <t>https://drive.google.com/file/d/1n3i5B52SNoByY92z_GX7pD6py0pGv52M/view?usp=sharing</t>
  </si>
  <si>
    <t>nadeemakramsahir@gmail.com</t>
  </si>
  <si>
    <t>BXYXM</t>
  </si>
  <si>
    <t xml:space="preserve">QasimWaseem </t>
  </si>
  <si>
    <t>03219627514</t>
  </si>
  <si>
    <t xml:space="preserve">Jamia Masjid Eid gah Sahiwal </t>
  </si>
  <si>
    <t>https://drive.google.com/file/d/1216Tn0ckwQv7SnJPE8bep8szzAgEae5n/view?usp=drive_link</t>
  </si>
  <si>
    <t>qasimwaseem222@gmail.com</t>
  </si>
  <si>
    <t>KGQJV</t>
  </si>
  <si>
    <t xml:space="preserve">Abubakar </t>
  </si>
  <si>
    <t>03111204919</t>
  </si>
  <si>
    <t xml:space="preserve">Jamiya usmaneya </t>
  </si>
  <si>
    <t>https://drive.google.com/open?id=15hAN9vrZgMc8TrNwiSCOfI3A30Q0Flsd</t>
  </si>
  <si>
    <t>ab1995312@gmail.com</t>
  </si>
  <si>
    <t>RUJKZ</t>
  </si>
  <si>
    <t xml:space="preserve">Faisal Mushtaq </t>
  </si>
  <si>
    <t>03186036329</t>
  </si>
  <si>
    <t>Ghosiya Rizwiya Markazi masjid Sadar Bazar Renala Kurd</t>
  </si>
  <si>
    <t xml:space="preserve">Kachra nhi ha </t>
  </si>
  <si>
    <t>https://drive.google.com/open?id=13JAJq2irAbPB28YLIumJkUnO2iIaQlng</t>
  </si>
  <si>
    <t>xtfaisalkhichi@gmail.com</t>
  </si>
  <si>
    <t>UOMYF</t>
  </si>
  <si>
    <t>Numan Ali</t>
  </si>
  <si>
    <t>03008196197</t>
  </si>
  <si>
    <t>Jamia Masjid Gala Mandi</t>
  </si>
  <si>
    <t>https://drive.google.com/open?id=1miYrjSb-EOPoYc6puary-rWRlm7zdb6F</t>
  </si>
  <si>
    <t>numanali8196@gmail.com</t>
  </si>
  <si>
    <t>MIIDK</t>
  </si>
  <si>
    <t>M yahya</t>
  </si>
  <si>
    <t>03027985144</t>
  </si>
  <si>
    <t>Jamia masjid Mohammaia ghousia</t>
  </si>
  <si>
    <t>https://drive.google.com/file/d/1sMzStmlCWe-9fy6HH6WwbmRCKs8q4MWq/view?usp=drive_link</t>
  </si>
  <si>
    <t>muhammadyahya@gmail.com</t>
  </si>
  <si>
    <t>IFVQA</t>
  </si>
  <si>
    <t>Rizwan Ali</t>
  </si>
  <si>
    <t>03430773443</t>
  </si>
  <si>
    <t xml:space="preserve"> noor ul masjid</t>
  </si>
  <si>
    <t>https://drive.google.com/open?id=1Wt0Li33T5xKOtK0YMIHoUyY5VKqrSaOx</t>
  </si>
  <si>
    <t>rizwanali6642@gmail.com</t>
  </si>
  <si>
    <t>QBVYB</t>
  </si>
  <si>
    <t xml:space="preserve">Nadeem basharat </t>
  </si>
  <si>
    <t>03436535890</t>
  </si>
  <si>
    <t>Jamia masjid mulhalka gaggoo Mandi tahsil burewala district vaheri</t>
  </si>
  <si>
    <t>https://drive.google.com/open?id=1PVu7ny2eIW3TG-9Ta9GdOYsFSfiglO1H</t>
  </si>
  <si>
    <t>nadeemjb241@gmail.com</t>
  </si>
  <si>
    <t>PAQQF</t>
  </si>
  <si>
    <t xml:space="preserve">Maqbool Ahmad </t>
  </si>
  <si>
    <t>03007969774</t>
  </si>
  <si>
    <t>Jamia Masjid Hazrat baba Farid ud din gunj shakar</t>
  </si>
  <si>
    <t>https://drive.google.com/open?id=1FJk0My7GeH9f_5JsuUj6TJp-ZD-JXNnT</t>
  </si>
  <si>
    <t>maqboolahmadpk68@gmail.com</t>
  </si>
  <si>
    <t>EWWLQ</t>
  </si>
  <si>
    <t xml:space="preserve">Shahzad Ahmad </t>
  </si>
  <si>
    <t>03001119795</t>
  </si>
  <si>
    <t xml:space="preserve">Masjid Aziz Makki </t>
  </si>
  <si>
    <t>https://drive.google.com/open?id=13Bpr32n24wJN2i_F6g_na5EAqcigmLhI</t>
  </si>
  <si>
    <t>ranashahzad7403@gmail.com</t>
  </si>
  <si>
    <t>OGDXP</t>
  </si>
  <si>
    <t>Afzal shahzad</t>
  </si>
  <si>
    <t>O3054123220</t>
  </si>
  <si>
    <t>Jamia Masjid Abdul kareem Pakpattan</t>
  </si>
  <si>
    <t>https://drive.google.com/open?id=1OOof4LvqA7sQx6CnH7SdHErJrt3050GO</t>
  </si>
  <si>
    <t>shahzadmalik7521129@gmail.com</t>
  </si>
  <si>
    <t>NDPFG</t>
  </si>
  <si>
    <t xml:space="preserve">Meeran Bakhah </t>
  </si>
  <si>
    <t>03146539545</t>
  </si>
  <si>
    <t xml:space="preserve"> FaizanMadina masjid madrasa jamia owaisia</t>
  </si>
  <si>
    <t>https://drive.google.com/open?id=19993VUvlHyJI9yv-6gcdoPTqN_fjIslg</t>
  </si>
  <si>
    <t>meeranbakash@gmail.com</t>
  </si>
  <si>
    <t>USAOU</t>
  </si>
  <si>
    <t>Ali hassan</t>
  </si>
  <si>
    <t>03107494117</t>
  </si>
  <si>
    <t>Jamia masjid ghallah mandi</t>
  </si>
  <si>
    <t>https://drive.google.com/file/d/1uppktk-1XqyyomF3NM-x64YqwuvXB7jd/view?usp=drive_link</t>
  </si>
  <si>
    <t>user3107784965048@gmail.com</t>
  </si>
  <si>
    <t>GTJBD</t>
  </si>
  <si>
    <t>Abdul wahab</t>
  </si>
  <si>
    <t>03023915410</t>
  </si>
  <si>
    <t>Jamia masjid sohnairy gol chakar</t>
  </si>
  <si>
    <t>https://drive.google.com/open?id=1GuLVHpTNdTmWoG_XZXTqmLUsfwvuDckb</t>
  </si>
  <si>
    <t>zahidassher@gmail.com</t>
  </si>
  <si>
    <t>IBTRF</t>
  </si>
  <si>
    <t xml:space="preserve">MUHAMMED TAHIR KHAN </t>
  </si>
  <si>
    <t>03470617767</t>
  </si>
  <si>
    <t>Jamia masjid chila Gah shair shah wali</t>
  </si>
  <si>
    <t>https://drive.google.com/file/d/1MyeVG7yAekK_Wv7ZkwfpzeDzZAn5bEa1/view?usp=sharing</t>
  </si>
  <si>
    <t>mtahirkhan1122@gmail.com</t>
  </si>
  <si>
    <t>EARRA</t>
  </si>
  <si>
    <t xml:space="preserve">Khalid Farooq </t>
  </si>
  <si>
    <t>03009473484</t>
  </si>
  <si>
    <t xml:space="preserve">Jamia masjid c block arifwala </t>
  </si>
  <si>
    <t>https://drive.google.com/open?id=1ChNjzZZd0p-PRGWM_uiNVY2bn8530bYS</t>
  </si>
  <si>
    <t>khalidfarooqbhatti@gmail.com</t>
  </si>
  <si>
    <t>LPJZI</t>
  </si>
  <si>
    <t xml:space="preserve">Khadam Hussain </t>
  </si>
  <si>
    <t>03120064803</t>
  </si>
  <si>
    <t xml:space="preserve">Jamia masjid gaalah mandi pakpattan </t>
  </si>
  <si>
    <t>https://drive.google.com/file/d/1eK4UVfykVQc-rxo6ea4Y0PqUO_mLRmUV/view?usp=drive_link, https://drive.google.com/file/d/14PotOtdZp5GpFUdKtlNbPA80MnUwEVv4/view?usp=drive_link</t>
  </si>
  <si>
    <t>khadamzaman918@gmail.com</t>
  </si>
  <si>
    <t>FSJBU</t>
  </si>
  <si>
    <t xml:space="preserve">Adnan hussain </t>
  </si>
  <si>
    <t>03088062094</t>
  </si>
  <si>
    <t>https://drive.google.com/open?id=1WLp1Rxr2FQZ0X5QOW12hqmxtmSEAZDfn</t>
  </si>
  <si>
    <t>PTTHF</t>
  </si>
  <si>
    <t>Fakhar zaman</t>
  </si>
  <si>
    <t>03078567405</t>
  </si>
  <si>
    <t>Jamia masjid badar ul din eshaq pakpattan</t>
  </si>
  <si>
    <t>https://drive.google.com/file/d/1YB7_IUEtCaswuBGC_Ofn-jijH_gw0O6M/view?usp=drive_link</t>
  </si>
  <si>
    <t>fakharzaman20170@gmail.com</t>
  </si>
  <si>
    <t>XKTYP</t>
  </si>
  <si>
    <t xml:space="preserve">Muhammad Saud Faisal </t>
  </si>
  <si>
    <t>03007737670</t>
  </si>
  <si>
    <t>Jamia masjid Fatah shah bukhari</t>
  </si>
  <si>
    <t>https://drive.google.com/open?id=1FSeiTAcFeILAi1Om9fRmzBNojrE0Xx8-</t>
  </si>
  <si>
    <t>msaudfaisal09@gmail.com</t>
  </si>
  <si>
    <t>HHWJL</t>
  </si>
  <si>
    <t>Hafiz muhammad faiz bukhsh</t>
  </si>
  <si>
    <t>03068750115</t>
  </si>
  <si>
    <t xml:space="preserve">Jamia masjid syed muhammad panah </t>
  </si>
  <si>
    <t>https://drive.google.com/file/d/1JNhPcqL5ODn7ISyxcVTe80UNm14cSMSr/view?usp=drive_link</t>
  </si>
  <si>
    <t>faiz25022@gmail.com</t>
  </si>
  <si>
    <t>Noor Ul Masjid</t>
  </si>
  <si>
    <t>https://drive.google.com/open?id=1onz1V_9XhR9UPFWTZxPlbWdysMdaJkQC</t>
  </si>
  <si>
    <t>Jamia masjid syed muhammad panah</t>
  </si>
  <si>
    <t>https://drive.google.com/file/d/17a7ps4AC4y59fduyOYFPzeR6ntjix-8u/view?usp=drive_link</t>
  </si>
  <si>
    <t>Waseem Rehman</t>
  </si>
  <si>
    <t>Jamia Masjid Sarwariya</t>
  </si>
  <si>
    <t>https://drive.google.com/open?id=1MIYOQXIDEoS8STU6BjLKo8XE5WiiCN8W</t>
  </si>
  <si>
    <t xml:space="preserve"> VTGKG</t>
  </si>
  <si>
    <t xml:space="preserve">Darbar Muhammad Ghous Bala Peer Okara	</t>
  </si>
  <si>
    <t>https://drive.google.com/open?id=118l2jUHbafIJXeLWdZBdSKGFHi3niFTv</t>
  </si>
  <si>
    <t>Arslan hafeez</t>
  </si>
  <si>
    <t xml:space="preserve">Jamiha Masjad ghala mandi </t>
  </si>
  <si>
    <t>Arslanhafeez1811@gmail.com</t>
  </si>
  <si>
    <t>https://drive.google.com/open?id=1eywB1eJtSerINvas357eIFgVd9XEXPXl</t>
  </si>
  <si>
    <t>Jameya masjid usmaneya</t>
  </si>
  <si>
    <t>https://drive.google.com/open?id=1a31tJwKxsBS14gqd82Obqwz8TS6WqhkA</t>
  </si>
  <si>
    <t>FaisalMushtaq</t>
  </si>
  <si>
    <t>03186036229</t>
  </si>
  <si>
    <t>Markazi ghosiyan rizwiya sadar bazar Renala kurd</t>
  </si>
  <si>
    <t>Koi b nhi ha</t>
  </si>
  <si>
    <t>https://drive.google.com/open?id=1T6gbWMk8FrG4sawH2b0io118FLKhAKPp</t>
  </si>
  <si>
    <t xml:space="preserve">BXYXM </t>
  </si>
  <si>
    <t xml:space="preserve">Jammia Masjid Eid gah </t>
  </si>
  <si>
    <t>Maqbool Ahmad</t>
  </si>
  <si>
    <t xml:space="preserve">Jamia Masjid Hazrat Baba Farid Gung e shakar Pakpattan </t>
  </si>
  <si>
    <t>https://drive.google.com/open?id=1TArINuI0SMFqtvswnIvWDQWe52Uw0tbb</t>
  </si>
  <si>
    <t>03054123220</t>
  </si>
  <si>
    <t>https://drive.google.com/file/d/1YX6G6v0tZyu_3ZNJbtaGxTQyWluW5XNX/view</t>
  </si>
  <si>
    <t xml:space="preserve">Jamia Masjid Aziz Makki, Pakpattan sharif </t>
  </si>
  <si>
    <t>https://drive.google.com/open?id=1Yj6CwlwA4e5gEUtAntbaX7KDgbpcKvxD</t>
  </si>
  <si>
    <t>MJOUE</t>
  </si>
  <si>
    <t>Mubashir</t>
  </si>
  <si>
    <t>03029027400</t>
  </si>
  <si>
    <t xml:space="preserve">جامعہ مسجد حنفیہ </t>
  </si>
  <si>
    <t>https://drive.google.com/open?id=1IOSb4pbqhDAFlRtpZwsaCW2UJ63pXdxD</t>
  </si>
  <si>
    <t>rajamubashar381@gmail.com</t>
  </si>
  <si>
    <t xml:space="preserve">MIIDK </t>
  </si>
  <si>
    <t xml:space="preserve">Abdul wahab </t>
  </si>
  <si>
    <t xml:space="preserve">Jamia masjid Mohammaia ghousia </t>
  </si>
  <si>
    <t>zahidasehar91@gmail.com</t>
  </si>
  <si>
    <t>Muhammad yahya</t>
  </si>
  <si>
    <t>Jamia masjid sunehri gol chakar</t>
  </si>
  <si>
    <t>https://drive.google.com/open?id=16dn2o3l0Gv1jMXhCjtY3Yw9z6YvNVTAG</t>
  </si>
  <si>
    <t>muhammadyahya131@gmail.com</t>
  </si>
  <si>
    <t xml:space="preserve">NDPFG </t>
  </si>
  <si>
    <t>Faizan e Madina masjid madrasa jamia owaisi</t>
  </si>
  <si>
    <t>https://drive.google.com/open?id=1GPqrFrCPdA36_VK1o3m1mXL9wdsWRfos</t>
  </si>
  <si>
    <t>LNPQP</t>
  </si>
  <si>
    <t>Muhammad Tanveer Tabassum</t>
  </si>
  <si>
    <t>03017931655</t>
  </si>
  <si>
    <t>Jamia Masjid Gala Mandi Burewala</t>
  </si>
  <si>
    <t>https://drive.google.com/open?id=1rS_h8jGS9QvkZpiVwS-OZZTtygDCVeFW</t>
  </si>
  <si>
    <t>tanveer.jee41@gmail.com</t>
  </si>
  <si>
    <t>Jamia masjid ghalla mandi sahiwal</t>
  </si>
  <si>
    <t>MFVFC</t>
  </si>
  <si>
    <t>Muhammad Tanveer Tabasum</t>
  </si>
  <si>
    <t>Jamia Masjid D Block Burewala</t>
  </si>
  <si>
    <t>https://drive.google.com/file/d/1UuQaYpuN4ExUPwDqHrrA4qYIUQNBPTmy/view?usp=drive_link</t>
  </si>
  <si>
    <t>Fakhar Zaman</t>
  </si>
  <si>
    <t>Jamiya Masjid badru deen ishaq pakpattan</t>
  </si>
  <si>
    <t>https://drive.google.com/open?id=17UlGlaDRjD5Me87x1fS949b3yFFnMUBi</t>
  </si>
  <si>
    <t>javeedkingaz787@gmail.com</t>
  </si>
  <si>
    <t>Khadam Hussain</t>
  </si>
  <si>
    <t>Jamiya Masjid gala mandi pakpattan</t>
  </si>
  <si>
    <t>https://drive.google.com/open?id=1-Tfi7-f5g7kYveGGKf3rQaBZydpAkntL</t>
  </si>
  <si>
    <t>Adnan hussain</t>
  </si>
  <si>
    <t xml:space="preserve">Jamia masjid c block </t>
  </si>
  <si>
    <t>https://drive.google.com/open?id=19E5NRKzcmtunhLyaNFzM7k8Jd9Az9Xe7</t>
  </si>
  <si>
    <t xml:space="preserve">Jamia masjid ghala mandi arifwala </t>
  </si>
  <si>
    <t>https://drive.google.com/open?id=18jUjv7tN6s4q-nPf-T1A7zb-Nj1Eh_7J</t>
  </si>
  <si>
    <t>M Tahir khan</t>
  </si>
  <si>
    <t>03470616777</t>
  </si>
  <si>
    <t>Jamia masjid chilla gah</t>
  </si>
  <si>
    <t>https://drive.google.com/file/d/1jbV-U_JloAEs1D9Mijyo8UVFzoZYSVdm/view?usp=drive_link</t>
  </si>
  <si>
    <t>Mtahirkhan1122@gmail.com</t>
  </si>
  <si>
    <t>usepk</t>
  </si>
  <si>
    <t xml:space="preserve">Muhammad Zeeshan </t>
  </si>
  <si>
    <t>03234486723</t>
  </si>
  <si>
    <t>Jamia Masjid Darbar Dawood Jahanian</t>
  </si>
  <si>
    <t>https://drive.google.com/file/d/1ri0O2OMVQbUz965sm2mrk0cNNNAoEMFF/view?usp=drive_link</t>
  </si>
  <si>
    <t>Za4486723@gmail.com</t>
  </si>
  <si>
    <t>xdbpy</t>
  </si>
  <si>
    <t>Muhammad Asad</t>
  </si>
  <si>
    <t>03230010051</t>
  </si>
  <si>
    <t>Jamia Masjid Naale Wali lodhran</t>
  </si>
  <si>
    <t>https://drive.google.com/file/d/1qz4KYU-5zhQWWnRjXDZLHOw33w4Ff3EY/view?usp=drive_link</t>
  </si>
  <si>
    <t>asadaliali790@gmail.com</t>
  </si>
  <si>
    <t>dyrjs</t>
  </si>
  <si>
    <t>Muhammad Tayyab</t>
  </si>
  <si>
    <t>03240015848</t>
  </si>
  <si>
    <t>Jamia masjid peer Ismail multan</t>
  </si>
  <si>
    <t>https://drive.google.com/file/d/1qceikWHiVkh7nPlraytyLGH1mGcU-941/view?usp=drive_link</t>
  </si>
  <si>
    <t>tayyabsubhani64@gmail.com</t>
  </si>
  <si>
    <t xml:space="preserve">Jamia Masjid Hazrat Baba Farid Gung e shakar </t>
  </si>
  <si>
    <t>https://drive.google.com/open?id=1FynWDazRSqFfzejdlSyePThfKeXVmkNI</t>
  </si>
  <si>
    <t xml:space="preserve"> Jamia Masjid Shah Shamas Qadri Lahore </t>
  </si>
  <si>
    <t>https://drive.google.com/open?id=1GTaYN_65bVCDWhUJDME9Wn8tgzBSjyJq</t>
  </si>
  <si>
    <t>https://drive.google.com/open?id=12IxK8T9AF9e8TWnOEiBRV-tlSXgDhC-E</t>
  </si>
  <si>
    <t>Muhammad Afzaal</t>
  </si>
  <si>
    <t>03366999407</t>
  </si>
  <si>
    <t>Madina Masjid</t>
  </si>
  <si>
    <t>https://drive.google.com/open?id=1TINbeKBAAfJdau_v8soIe4Lxvn6Pphi4</t>
  </si>
  <si>
    <t>afzaalsagar217@gmail.com</t>
  </si>
  <si>
    <t xml:space="preserve">FFPZC	</t>
  </si>
  <si>
    <t xml:space="preserve">	Jamia Masjid Hanfiya C Block Okara	</t>
  </si>
  <si>
    <t>https://drive.google.com/file/d/1-p5u1E9O2jxjY8tLRL76eiE-cjkEId4h/view?usp=drive_link</t>
  </si>
  <si>
    <t xml:space="preserve">Mujahid Amin </t>
  </si>
  <si>
    <t>03484724367</t>
  </si>
  <si>
    <t xml:space="preserve">جامع مسجد دربار حضرت بابا لابھے شاہ سرکار </t>
  </si>
  <si>
    <t>230-250</t>
  </si>
  <si>
    <t>https://drive.google.com/open?id=1vFCIZGI8MLcFUZv-GZRv7m7gPI6gS5am</t>
  </si>
  <si>
    <t>مسجد میں امام مسجد کی اشد ضرورت ہے ۔ ہر جمعے پر کہیں سے عالم دین بلانا پڑتا ہے۔ ان کی اپیل ہے کہ ہمیں کوئی امام مسجد مہیا کیا جائے</t>
  </si>
  <si>
    <t xml:space="preserve">Masjid Hazrat baba Farid ud din Masood gunj shakar </t>
  </si>
  <si>
    <t>https://drive.google.com/open?id=1hn-T7UgMCQb7DBSVSekJ070Wy4dvnNkQ</t>
  </si>
  <si>
    <t xml:space="preserve">Jamiya masjid usmaneya </t>
  </si>
  <si>
    <t>https://drive.google.com/open?id=1vd5uP5Ltq2nSBS_OURlH8Ut3edvUtlk7</t>
  </si>
  <si>
    <t>Markazi Ghosiya Rizwiya Sadar Bazar Renala Kurd</t>
  </si>
  <si>
    <t>Koi b nhi</t>
  </si>
  <si>
    <t>https://drive.google.com/open?id=1hkMgxkUMh1kMCUZf8022yuVgzaw_OZGl</t>
  </si>
  <si>
    <t>https://drive.google.com/file/d/180os61bYtf5qw8YU68Q3kJXM2YIVHvIC/view?usp=drive_link</t>
  </si>
  <si>
    <t>https://drive.google.com/open?id=1tFGfAliW01rbc5LI8Mu47qmtOOTHvQJp</t>
  </si>
  <si>
    <t xml:space="preserve">Jamia Masjid Sarwariya Muhammad Shah </t>
  </si>
  <si>
    <t>https://drive.google.com/open?id=1EK_rMaFOYia6dZE0_XoS6hbs_Yvyzw5w</t>
  </si>
  <si>
    <t>https://drive.google.com/file/d/1kPvH4kH-PKjz0K4Z7h-elz8A6hacHGkV/view?usp=drive_link</t>
  </si>
  <si>
    <t>0300-1119795</t>
  </si>
  <si>
    <t xml:space="preserve">Jamia Masjid Aziz Makki Pakpattan </t>
  </si>
  <si>
    <t>Qarbastan ki safai nhe hwi</t>
  </si>
  <si>
    <t>https://drive.google.com/open?id=11OmtAcjh8LVZzxe4cGAimb4Vbvo78zef</t>
  </si>
  <si>
    <t>https://drive.google.com/file/d/1sdmFoveod6WmmeLc9S_lQkkoNPff0YxW/view?usp=drive_link</t>
  </si>
  <si>
    <t>Tanveer Tabassum</t>
  </si>
  <si>
    <t>https://drive.google.com/file/d/1JWbJ_rarte4w03mBu6Nk7OkRvvUF0KVT/view?usp=drive_link</t>
  </si>
  <si>
    <t>lnpqp</t>
  </si>
  <si>
    <t>tanveer tabassum</t>
  </si>
  <si>
    <t>jamia masjid gala mandi burewala</t>
  </si>
  <si>
    <t>https://drive.google.com/open?id=1L8FLYwtT4JykIVINIVUZose4ujJCIs0C</t>
  </si>
  <si>
    <t>https://drive.google.com/file/d/1TGstwvHQM1UaFxwp--tEbCiyzteYNGhI/view?usp=drive_link</t>
  </si>
  <si>
    <t xml:space="preserve">Jamia masjid darbar Muhammad ghous bala peer </t>
  </si>
  <si>
    <t>https://drive.google.com/open?id=1dVhiLRbE8kj7gG6ZrtxtZPrFJQW7z7CK</t>
  </si>
  <si>
    <t xml:space="preserve">Muhammad yahya </t>
  </si>
  <si>
    <t xml:space="preserve">Jamia masjid sohnari gol chakar </t>
  </si>
  <si>
    <t>https://drive.google.com/open?id=1m9trDQ2cln7oGVlvz1IfKqixlikoZkL3</t>
  </si>
  <si>
    <t xml:space="preserve">EARRA </t>
  </si>
  <si>
    <t xml:space="preserve">Jamia masjid ghala mundi arifwala </t>
  </si>
  <si>
    <t>https://drive.google.com/open?id=1spRqtGz4oKwDnKrN3anLsU8Q7ejRMEY2</t>
  </si>
  <si>
    <t>Jamia Masjid Abdul Kareem</t>
  </si>
  <si>
    <t>https://drive.google.com/open?id=18gNKlcgsiUvUnxx2fioN3HBbs5hElBSt</t>
  </si>
  <si>
    <t>Muhammed Zeeshan</t>
  </si>
  <si>
    <t>Jamia Masjid Darbar Dawood Jahaniya</t>
  </si>
  <si>
    <t>https://drive.google.com/file/d/1jTPOACXlXuK4zAiM05k3hggjt9vpSaWV/view?usp=drive_link</t>
  </si>
  <si>
    <t>arminato88@gmail.com</t>
  </si>
  <si>
    <t>jamiya Masjid badru deen Ishaq pakpattan</t>
  </si>
  <si>
    <t>https://drive.google.com/open?id=1e8JXtMafRFd9CJPIr-PWoxFzNv_o-Q7z</t>
  </si>
  <si>
    <t>Jamiya masjid gala mandi pakpattan</t>
  </si>
  <si>
    <t>https://drive.google.com/open?id=1bvPs8CF4EPObp9lNs_zHfSqof3XTihnX</t>
  </si>
  <si>
    <t>https://drive.google.com/file/d/1PC9t-b3j7TVVhRGQHyOoS97Y4rJRRhDr/view?usp=drive_link</t>
  </si>
  <si>
    <t>https://drive.google.com/file/d/1LA370gMA7iVg_stKChDlmOWj9JSZ5Ymj/view?usp=drive_link</t>
  </si>
  <si>
    <t>faiz25022@gamil.com</t>
  </si>
  <si>
    <t>https://drive.google.com/open?id=1HRSsQOoaFKIKuc3pLqG7u-NJgtyL9FB2</t>
  </si>
  <si>
    <t>Noorul masjid</t>
  </si>
  <si>
    <t>https://drive.google.com/file/d/1q5fGIBPN4Ub6QFnlkfsJLexcm5nL_TR0/view?usp=drive_link</t>
  </si>
  <si>
    <t xml:space="preserve">Jamia Masjid Naale wali lodhran </t>
  </si>
  <si>
    <t>https://drive.google.com/file/d/18s2h4NgOiFnFuYjwz5LGaBI9ffe5vSfb/view?usp=drive_link</t>
  </si>
  <si>
    <t>meharnalayen705@gmail.com</t>
  </si>
  <si>
    <t>Jamia masjid Fateh shah bukhari</t>
  </si>
  <si>
    <t>https://drive.google.com/open?id=1Wx3JnfT_w2Atl1YQHbRzPI4BR0l_U-7d</t>
  </si>
  <si>
    <t xml:space="preserve">Mubashir </t>
  </si>
  <si>
    <t>Jamia masjid sheikh fazal</t>
  </si>
  <si>
    <t>https://drive.google.com/open?id=1jjsBawf8yhaXgOGO1w3znowMIk9FPTGm</t>
  </si>
  <si>
    <t>Muhammed Tayyab</t>
  </si>
  <si>
    <t>Jamia masjid peer ismail multan</t>
  </si>
  <si>
    <t>https://drive.google.com/file/d/1vVMDf1ys3OhW--U0r1HPLBa_5CIj1VU8/view?usp=drive_link</t>
  </si>
  <si>
    <t>ayesh.imran78@gmail.com</t>
  </si>
  <si>
    <t>Said Faisal</t>
  </si>
  <si>
    <t>Jamia masjid Fateh  shah bukhari</t>
  </si>
  <si>
    <t>https://drive.google.com/open?id=1ihbnX0FChZEEy4mVq8FVO8X9z5cLGX8G</t>
  </si>
  <si>
    <t>saudfaisal09@gmail.com</t>
  </si>
  <si>
    <t>Tahir khan</t>
  </si>
  <si>
    <t>Chila gha shair shah wali</t>
  </si>
  <si>
    <t>https://drive.google.com/file/d/1O5BgxIC_pJtrOa32O6U_NYGapHjhZIjO/view?usp=drive_link</t>
  </si>
  <si>
    <t>https://drive.google.com/open?id=1Sqnjg21D-ufacSNIbkhOwMiLuHF7cIuf</t>
  </si>
  <si>
    <t>https://drive.google.com/open?id=1oE4K6_3zm-7r4uEevQGQpIAjsCamBPJp</t>
  </si>
  <si>
    <t>https://drive.google.com/open?id=1Zgc0ZE2Cg11V6qlrgTn746WOIeKhfN95</t>
  </si>
  <si>
    <t xml:space="preserve">Jamia Masjid Darbar Muhammad Ghous Bala Peer </t>
  </si>
  <si>
    <t>https://drive.google.com/open?id=1JMg9lRzAm5YVaso8L6jYuFwhptvNL3lu</t>
  </si>
  <si>
    <t>Jamia Masjid Ghalla Mandi Vehari</t>
  </si>
  <si>
    <t>https://drive.google.com/open?id=1ex0biaIDXceSOrhr5n7aA2m_jYFqVe9A</t>
  </si>
  <si>
    <t>Markazi Jamia Rizwiya sadar bazar renala kutd</t>
  </si>
  <si>
    <t>https://drive.google.com/open?id=1E0wrc94a_ME2m16PYXvVVdCUQHofI9rd</t>
  </si>
  <si>
    <t>https://drive.google.com/open?id=1hpzauI11nctOtA-Rvi8qDzw04s6GtSqV</t>
  </si>
  <si>
    <t>mfvfc</t>
  </si>
  <si>
    <t>https://drive.google.com/file/d/1au-leyrh634SGEzFJPeyedOJRQENalEf/view?usp=drive_link</t>
  </si>
  <si>
    <t>na</t>
  </si>
  <si>
    <t xml:space="preserve">Nadeen Akram Sahir </t>
  </si>
  <si>
    <t>FFPZC	Jamia Masjid Hanfiya C Block</t>
  </si>
  <si>
    <t xml:space="preserve">usepk </t>
  </si>
  <si>
    <t xml:space="preserve">jamia masjid darbar dawood jahanian </t>
  </si>
  <si>
    <t>https://drive.google.com/file/d/1AhreUI34Gi6VNEnBBrkSiqY6Cj9lL67I/view?usp=drive_link</t>
  </si>
  <si>
    <t>shalamar579@gmail.com</t>
  </si>
  <si>
    <t>https://drive.google.com/open?id=1yMOM5bIcCrrO04Mm7-3foEIvooYfHgLf</t>
  </si>
  <si>
    <t>shahbazhamza01@gmail.com</t>
  </si>
  <si>
    <t>Qasim Wasim</t>
  </si>
  <si>
    <t>Jamia masjid Abdul kareem</t>
  </si>
  <si>
    <t>https://drive.google.com/open?id=1UuBuRYDmuYOAc-eiGBtf1S6gvSdrYTuQ</t>
  </si>
  <si>
    <t>Ewwlq</t>
  </si>
  <si>
    <t>Shahzad Ahmad</t>
  </si>
  <si>
    <t>Aziz Maki masjid</t>
  </si>
  <si>
    <t>https://drive.google.com/open?id=1l1jV4LJhHfwwBj4_2U7eWna5G3KwgKqT</t>
  </si>
  <si>
    <t>Lpjzi</t>
  </si>
  <si>
    <t>Khadim Hussain</t>
  </si>
  <si>
    <t>Jamia masjid gallah mandi pakpatan</t>
  </si>
  <si>
    <t>Jamia Masjid Peer Ismail Multan</t>
  </si>
  <si>
    <t>https://drive.google.com/open?id=18NYo9DAwcnJJJpSgyi-4qULba-ujphE_</t>
  </si>
  <si>
    <t>nuhail.ahmad1@gmail.com</t>
  </si>
  <si>
    <t>estsn</t>
  </si>
  <si>
    <t>Taha Abdullah khan</t>
  </si>
  <si>
    <t>03497062330</t>
  </si>
  <si>
    <t>جامع مسجد حاجی محمد دین</t>
  </si>
  <si>
    <t>https://drive.google.com/open?id=1Nqh7DacU98DB9pCZqwnOC7f21wzsvJHq</t>
  </si>
  <si>
    <t>tkrock321@gmail.com</t>
  </si>
  <si>
    <t>Vemox</t>
  </si>
  <si>
    <t xml:space="preserve">Rab Nawaz </t>
  </si>
  <si>
    <t>03458119266</t>
  </si>
  <si>
    <t>Jamia Masjid Qazyian Wali Jhang</t>
  </si>
  <si>
    <t>https://drive.google.com/open?id=1bcaAlTHfp-H5uo5Yo_SDrHoBDtN9o6oA</t>
  </si>
  <si>
    <t>Mosque name was not written at the entrance point.</t>
  </si>
  <si>
    <t>bhatti.rabnawaz@gmail.com</t>
  </si>
  <si>
    <t>fpyze</t>
  </si>
  <si>
    <t xml:space="preserve">Shwaiz Sheraz </t>
  </si>
  <si>
    <t>03471544349</t>
  </si>
  <si>
    <t>جامعہ مسجد نور شہید روڈ جھنگ صدر</t>
  </si>
  <si>
    <t>https://drive.google.com/open?id=1iUK_r7VprmT2Nsw35dZahVMwkb4aWzc-</t>
  </si>
  <si>
    <t>shwaiz.sheraz@gmail.com</t>
  </si>
  <si>
    <t>Pjygt</t>
  </si>
  <si>
    <t xml:space="preserve">Zain Sajjad </t>
  </si>
  <si>
    <t xml:space="preserve">Jamia Masjid Tehseel wali khachari </t>
  </si>
  <si>
    <t>https://drive.google.com/open?id=1LGCJaOqx10LqAxFPY1Nnw0MU3fdb1_iT, https://drive.google.com/open?id=1nDIZEhSS-yGowwHl12W3aGnpjDQ5T_mm</t>
  </si>
  <si>
    <t>zain.chandio881@gmail.com</t>
  </si>
  <si>
    <t>epwte</t>
  </si>
  <si>
    <t>M.rizwan</t>
  </si>
  <si>
    <t xml:space="preserve">Nolakh hazari shahkot </t>
  </si>
  <si>
    <t>https://drive.google.com/open?id=1tiLmgzLiiI7-6P5MPm5CuiROv4HqkmqU</t>
  </si>
  <si>
    <t xml:space="preserve">People are noted me due to current circumstances </t>
  </si>
  <si>
    <t>XLEMR</t>
  </si>
  <si>
    <t>Ali Ahsan</t>
  </si>
  <si>
    <t>03217827078</t>
  </si>
  <si>
    <t xml:space="preserve">Jamia Masjid Gole Karyana Karkhana bazar Faisalabad </t>
  </si>
  <si>
    <t>https://drive.google.com/file/d/1iRk9Nc77EyNwcJuNQH2HBBxLzRAYynVz/view?usp=drive_link</t>
  </si>
  <si>
    <t>inspirepharma440@gmail.com</t>
  </si>
  <si>
    <t xml:space="preserve">VTGKG </t>
  </si>
  <si>
    <t>https://drive.google.com/open?id=1GHWflDBXwAqucmS1pjN3cpBlC0-e6NIo</t>
  </si>
  <si>
    <t>fjupe</t>
  </si>
  <si>
    <t>Mohsin raza</t>
  </si>
  <si>
    <t>Lari adda shahkot</t>
  </si>
  <si>
    <t>https://drive.google.com/open?id=1B107z-E5O0O3iC0Op9oXWor0S0kTtzMg</t>
  </si>
  <si>
    <t>People  noted  me</t>
  </si>
  <si>
    <t>mohsinraza668877@gmail.com</t>
  </si>
  <si>
    <t>cfcvk</t>
  </si>
  <si>
    <t>Muhammad Sohail</t>
  </si>
  <si>
    <t>03003786086</t>
  </si>
  <si>
    <t>جامعہ مسجد اسلام پورہ دھوبی گھاٹ فیصل آباد</t>
  </si>
  <si>
    <t>https://drive.google.com/open?id=1Xq1j1Ytpli2fTIa39s-7-heBYfL9SitN</t>
  </si>
  <si>
    <t>shaheenabbasxxx@gmail.com</t>
  </si>
  <si>
    <t>Vldwg</t>
  </si>
  <si>
    <t xml:space="preserve">Shahid Fareed </t>
  </si>
  <si>
    <t>03054323435</t>
  </si>
  <si>
    <t xml:space="preserve">Jamea Masjid Eid Ghah Modal town B faisalabad </t>
  </si>
  <si>
    <t>No trash</t>
  </si>
  <si>
    <t>https://drive.google.com/open?id=10eL9BLDjUnnRMI9GBhTnQkBoYyDd433g</t>
  </si>
  <si>
    <t>Imaam sab ny cooperate nai kiya</t>
  </si>
  <si>
    <t>shahidfareed622@gmail.com</t>
  </si>
  <si>
    <t>https://drive.google.com/file/d/1tULFWmFTTPpDFujlycatQJ_bMC727KL3/view?usp=drive_link</t>
  </si>
  <si>
    <t>r d z l q</t>
  </si>
  <si>
    <t>Khurshid Qaiser</t>
  </si>
  <si>
    <t>03338163551</t>
  </si>
  <si>
    <t>Markazi Jamia Masjid rahmania Sargodha road Faisalab</t>
  </si>
  <si>
    <t>0 (Zero)</t>
  </si>
  <si>
    <t>https://drive.google.com/open?id=1maulPJVK7K42GmFqe9Aa1NJMxxgFWJNB</t>
  </si>
  <si>
    <t>khurshidqaisaer1@gmail.com</t>
  </si>
  <si>
    <t>kocqj</t>
  </si>
  <si>
    <t>شاہ رخ</t>
  </si>
  <si>
    <t>03137787277</t>
  </si>
  <si>
    <t>جامع مسجد فیصل آباد (کچہری بازار)</t>
  </si>
  <si>
    <t>https://drive.google.com/open?id=145i-Ix-yiAnHgk4d2m329yGIRhQbOcth</t>
  </si>
  <si>
    <t>shahrukhrana25022004@gmail.com</t>
  </si>
  <si>
    <t>rdzla</t>
  </si>
  <si>
    <t>Markazi Jamia Masjid Rahmania Sargodha road Faisalabad</t>
  </si>
  <si>
    <t>0(zero)</t>
  </si>
  <si>
    <t>https://drive.google.com/open?id=1-D-FnePHNt9tH8UGZP4xBzhrccDfDXuc</t>
  </si>
  <si>
    <t>khurshidqaiser1@gmail.com</t>
  </si>
  <si>
    <t>yxvut</t>
  </si>
  <si>
    <t xml:space="preserve">Altaf Hussain </t>
  </si>
  <si>
    <t>03453933260</t>
  </si>
  <si>
    <t>Jamia masjid taleem ul Quran</t>
  </si>
  <si>
    <t>https://drive.google.com/open?id=1FY6GDt92ayknXR_Eh-SbBNBLZZBn88Kx</t>
  </si>
  <si>
    <t>altafhussainchannar260@gmail.com</t>
  </si>
  <si>
    <t>ldkri</t>
  </si>
  <si>
    <t xml:space="preserve">Hassan majeed </t>
  </si>
  <si>
    <t>03490434721</t>
  </si>
  <si>
    <t>Jamia mashed hanfia gazi abad</t>
  </si>
  <si>
    <t>https://drive.google.com/open?id=1ZIlX4en9T4nALUztN0040LVjoPZc40-B</t>
  </si>
  <si>
    <t>ranahassan798081@gmail.com</t>
  </si>
  <si>
    <t>Kyzwa</t>
  </si>
  <si>
    <t xml:space="preserve">Nadeem Mirza </t>
  </si>
  <si>
    <t>03006623984</t>
  </si>
  <si>
    <t>Jamia Masjid Firdous Noor shah wali</t>
  </si>
  <si>
    <t>https://drive.google.com/open?id=1Cp-2nEtIzFFGKqIxPJQvGOXowwl_Z7bu</t>
  </si>
  <si>
    <t>Jumma speech delivered by another Imam. Govt. Has deputed them on another place. He delivered khutba on Women,s Rights.</t>
  </si>
  <si>
    <t>nadeem_mirza73@hotmail.com</t>
  </si>
  <si>
    <t>Xjphu</t>
  </si>
  <si>
    <t xml:space="preserve">Jamia masjid Baba rang Ali srkar </t>
  </si>
  <si>
    <t xml:space="preserve">Koi nih </t>
  </si>
  <si>
    <t>https://drive.google.com/open?id=15EUwebYKkY3v-i_rXJeIzgfZ6mwGrEXK</t>
  </si>
  <si>
    <t>mn2486050@gmail.com</t>
  </si>
  <si>
    <t>glpfo</t>
  </si>
  <si>
    <t>حسان قاسم</t>
  </si>
  <si>
    <t>03008830402</t>
  </si>
  <si>
    <t>مرکزی جامع مسجد ایثار القاسمی رض شہید گڑھ مہاراجہ جھنگ</t>
  </si>
  <si>
    <t>https://drive.google.com/open?id=1tnhz0Ct7zGQ3TxGG7ohJc0KTD5EXfNNv</t>
  </si>
  <si>
    <t>وہاں کے لوگ بہت اچھے ہیں مسجد اور محلے میں گندگی کے ڈھیر نہی ہیں بس تھوڑے ریپر وغیرہ نظر آئے ہیں</t>
  </si>
  <si>
    <t>hassaanqasim72@gmail.com</t>
  </si>
  <si>
    <t xml:space="preserve">حسان قاسم </t>
  </si>
  <si>
    <t>مرکزی جامع مسجد ایثار القاسمی شہید گڑھ مہاراجہ جھنگ</t>
  </si>
  <si>
    <t>https://drive.google.com/open?id=1JTTSgo_uATpl1ZaA3YVnGc1GKUlcbsam</t>
  </si>
  <si>
    <t>https://drive.google.com/open?id=1oIrik32h80TOYgO1-38ex_xiRN84cj6G</t>
  </si>
  <si>
    <t>gghzz</t>
  </si>
  <si>
    <t xml:space="preserve">Ali  Haider </t>
  </si>
  <si>
    <t>03450138028</t>
  </si>
  <si>
    <t>مرکزی جامعہ مسجد</t>
  </si>
  <si>
    <t>https://drive.google.com/open?id=1WduIGGYeaa8ZGISrAZGexsJZcrRz0PjM, https://drive.google.com/open?id=1mf30Gz0f-JeH_xxQEt5qR4Ibw7dh2oTn</t>
  </si>
  <si>
    <t>chalihaidersahu028@gmail.com</t>
  </si>
  <si>
    <t>rwyui</t>
  </si>
  <si>
    <t xml:space="preserve">Hassan Tariq </t>
  </si>
  <si>
    <t>03465742477</t>
  </si>
  <si>
    <t xml:space="preserve">Jamia Masjid madni samnabad Faisalabad </t>
  </si>
  <si>
    <t>https://drive.google.com/open?id=1PbDMYc8teiwDqab_qE-ULfvZoGAdbVBg</t>
  </si>
  <si>
    <t>hassaantariq477@gmail.com</t>
  </si>
  <si>
    <t>Tiius</t>
  </si>
  <si>
    <t xml:space="preserve">Shoaib Ahmed </t>
  </si>
  <si>
    <t>03216526034</t>
  </si>
  <si>
    <t>جامع مسجد لسوڑی شاہ  جھنگ بازار فیصل آباد</t>
  </si>
  <si>
    <t>https://drive.google.com/open?id=1Xpy9ahnNry9iYtN39fHlgrM10sX9OfvD</t>
  </si>
  <si>
    <t>shoaibfoji27@gmail.com</t>
  </si>
  <si>
    <t>https://drive.google.com/open?id=1x-qqBRvSJOJtXL66juGwfougZOwJDqD7</t>
  </si>
  <si>
    <t xml:space="preserve">Jamia makarzi masjid sadar bazar Renala kurd </t>
  </si>
  <si>
    <t>https://drive.google.com/file/d/1LBlDxrdCVi_H7uCjecLKgnNNAjNcI-kg/view?usp=drive_link</t>
  </si>
  <si>
    <t>https://drive.google.com/open?id=1jVS6FHhHzctc3kz0sNoBHtHQnmgp7LUg</t>
  </si>
  <si>
    <t>kamrb</t>
  </si>
  <si>
    <t xml:space="preserve">Muhammad shahzad </t>
  </si>
  <si>
    <t>03336079153</t>
  </si>
  <si>
    <t>Jamia Masjid 273 Rai Chak Faisalabad</t>
  </si>
  <si>
    <t>https://drive.google.com/open?id=1p_0RVBiU53rS_MQQrzLqTt7g7cA3e0oH</t>
  </si>
  <si>
    <t>rana.shahzad8896@gmail.com</t>
  </si>
  <si>
    <t>Dkwam</t>
  </si>
  <si>
    <t>03007618817</t>
  </si>
  <si>
    <t>Jamia Masjid Gulzar e Madina Old Ghala Mandi Ameen Pur Bazar Faisalabad</t>
  </si>
  <si>
    <t>https://drive.google.com/open?id=1ur7G3AUkNdnrOZFzwEYR3N_uPWwlF6xE</t>
  </si>
  <si>
    <t>awaisarfani92@gmail.com</t>
  </si>
  <si>
    <t xml:space="preserve">Jamia masjed hanfia gazi abad </t>
  </si>
  <si>
    <t>https://drive.google.com/open?id=1V_LSOBJeZ_fdGDkudEpfCD5-vYwOxY7y</t>
  </si>
  <si>
    <t>https://drive.google.com/open?id=1RxUAjGmtSdWchOXttpcYhs3jBGKT23bu</t>
  </si>
  <si>
    <t>Idkri</t>
  </si>
  <si>
    <t>https://drive.google.com/open?id=1YvmmrzAHjoWCA2r-FEt261kt7pdvwcG1</t>
  </si>
  <si>
    <t>jamia masjid d block burewala</t>
  </si>
  <si>
    <t>https://drive.google.com/file/d/1B6iDBVXHfclK4kZ4Ja1_y_3Q9adEwU4Y/view?usp=drive_link</t>
  </si>
  <si>
    <t>lsqfy</t>
  </si>
  <si>
    <t xml:space="preserve">Sarfraz Ahmad </t>
  </si>
  <si>
    <t>03017698350</t>
  </si>
  <si>
    <t>Jamia masjid haji Muhammad dean shorkot cuntt</t>
  </si>
  <si>
    <t>https://drive.google.com/file/d/1R0BO1xlOMqSmGQ1zLaGHMjYIht53K3TA/view?usp=drive_link</t>
  </si>
  <si>
    <t>drsarfrazahmed644@gmail.com</t>
  </si>
  <si>
    <t>https://drive.google.com/open?id=16RGgBqzhBMNLMzchnfmHh4m5vZmzZ2cV</t>
  </si>
  <si>
    <t>vigse</t>
  </si>
  <si>
    <t xml:space="preserve">Jamia masjad Darbar shah Sadiq nehang </t>
  </si>
  <si>
    <t>https://drive.google.com/file/d/1oT0cImZf1_OywQopwLvOcXEJT5FSpON6/view?usp=drive_link</t>
  </si>
  <si>
    <t>mxebb</t>
  </si>
  <si>
    <t xml:space="preserve">Afzal saeed </t>
  </si>
  <si>
    <t xml:space="preserve">0306 9874123 </t>
  </si>
  <si>
    <t xml:space="preserve">Jamiya ghousi rizveimasjid faisalabad </t>
  </si>
  <si>
    <t>https://drive.google.com/open?id=1lO9lMOApREQcUv65YSDtWMYhG8XnVI0x</t>
  </si>
  <si>
    <t>afzalsaeed804@gmail.com</t>
  </si>
  <si>
    <t>vmmfc</t>
  </si>
  <si>
    <t>Sajjad Ali</t>
  </si>
  <si>
    <t>03707600590</t>
  </si>
  <si>
    <t>Jamia Masjid markzi Rizwai Sangla Hill</t>
  </si>
  <si>
    <t>Light pieces of garbage plastic bags etc</t>
  </si>
  <si>
    <t>https://drive.google.com/open?id=1vQMlqxPX2gStCNxeuS_OrR678ELDHI_v</t>
  </si>
  <si>
    <t>No worries</t>
  </si>
  <si>
    <t>sajjad.ali.04242@gmail.com</t>
  </si>
  <si>
    <t>shksd</t>
  </si>
  <si>
    <t xml:space="preserve">Jamia masjad muhammdiya waqaf yaseenii </t>
  </si>
  <si>
    <t>https://drive.google.com/file/d/1Douae81TShvI4JuIKV0kSI5IKf8TzCVV/view?usp=drive_link</t>
  </si>
  <si>
    <t>rymqe</t>
  </si>
  <si>
    <t>Muhammad issa</t>
  </si>
  <si>
    <t>03468475526</t>
  </si>
  <si>
    <t>Jamia Masjid Darbar Nathu Shah Sharazi</t>
  </si>
  <si>
    <t>https://drive.google.com/open?id=19OhTfI2od_QNtl4sI7uklaPksrrSYHau</t>
  </si>
  <si>
    <t>Muhammad.issa40@gmail.com</t>
  </si>
  <si>
    <t>Name at entrance is not available but inside was written. Qazyian wali Masjid Jhang.</t>
  </si>
  <si>
    <t>https://drive.google.com/open?id=16NOAjjnIhEepRKdVPYyV0xNLJq_ryRsu</t>
  </si>
  <si>
    <t>Last time sermon was delivered by someone else. Today,s Qari Name was Abdul Hakeem.</t>
  </si>
  <si>
    <t xml:space="preserve"> gghzz</t>
  </si>
  <si>
    <t xml:space="preserve">علی حیدر </t>
  </si>
  <si>
    <t xml:space="preserve">مرکزی جامع مسجد </t>
  </si>
  <si>
    <t>https://drive.google.com/open?id=1-jRAmCgBhCa0Of_AgULb4A0ZusOvd6fw</t>
  </si>
  <si>
    <t xml:space="preserve">Cfcvk </t>
  </si>
  <si>
    <t xml:space="preserve">Muhammad Sohail </t>
  </si>
  <si>
    <t xml:space="preserve">Jamia Mosque Islam pura Dhobigat </t>
  </si>
  <si>
    <t>https://drive.google.com/open?id=1kiZWwHSqt7Ja-etEkI50KTllh_B2wbmj</t>
  </si>
  <si>
    <t xml:space="preserve"> جامع مسجد لسوڑی شاہ  جھنگ بازار فیصل آباد</t>
  </si>
  <si>
    <t>https://drive.google.com/open?id=1Zp-t6WFjmcXlP7NRgwxU4VTofucKjbLl</t>
  </si>
  <si>
    <t xml:space="preserve">Thank you </t>
  </si>
  <si>
    <t xml:space="preserve">yxvut </t>
  </si>
  <si>
    <t>Jamia masjid talimul Quran gojra</t>
  </si>
  <si>
    <t>https://drive.google.com/open?id=1d04jcHdPJ2Liu6f-6wz9Zu_w8J6ZHzgK</t>
  </si>
  <si>
    <t>حافظ صاحب کی طبیعت ناساز ہونے کی وجہ سے اج کا خطبہ مختصر اور ادارے کی طرف سے دیے گئے بیان سے ہٹ کے تھا اگلا جمعہ انشاء اللہ ادارے کے ٹاپک پہ بیان کریں گے</t>
  </si>
  <si>
    <t xml:space="preserve">Lariadda shahkot </t>
  </si>
  <si>
    <t>https://drive.google.com/open?id=1_GFmfKlZqChoNr4o0hCPAaXmEuCamMnZ</t>
  </si>
  <si>
    <t xml:space="preserve">People noted me </t>
  </si>
  <si>
    <t>TBTHQ</t>
  </si>
  <si>
    <t>Ali Imran</t>
  </si>
  <si>
    <t>03336524177</t>
  </si>
  <si>
    <t>Jamia Masjid Noor tariqabad Faisalabad</t>
  </si>
  <si>
    <t>https://drive.google.com/file/d/114BW4A8YcPMJ9AJ9pgQhZ_zygtPf1zT0/view?usp=drive_link</t>
  </si>
  <si>
    <t>Server not responding to Audio file</t>
  </si>
  <si>
    <t>aliimran609@gmail.com</t>
  </si>
  <si>
    <t xml:space="preserve">Taha Abdullah khan </t>
  </si>
  <si>
    <t xml:space="preserve">جامع مسجد حاجی محمد دین </t>
  </si>
  <si>
    <t>https://drive.google.com/open?id=12DqR8s7rQdVH8tYl9WOiW4M_Lkx9ofdQ</t>
  </si>
  <si>
    <t xml:space="preserve">جامعہ مسجد نور شہید روڈ جھنگ صدر </t>
  </si>
  <si>
    <t>https://drive.google.com/open?id=10DCuhKOlX8lMFzs401ZClowoV2e_z1ZY</t>
  </si>
  <si>
    <t xml:space="preserve">Nope </t>
  </si>
  <si>
    <t>Jamia ghusi razwi masjid</t>
  </si>
  <si>
    <t>https://drive.google.com/open?id=1XLSWZFgoVv755WqT-6z2U_rNbOx9r2xj</t>
  </si>
  <si>
    <t>pjygt</t>
  </si>
  <si>
    <t>03044801331</t>
  </si>
  <si>
    <t xml:space="preserve">Jamia Masjid Tehseel wali khachari bazar </t>
  </si>
  <si>
    <t>https://drive.google.com/open?id=1Hh8AcSLEfKgEk7yobdYfCq06NP-vSl_V, https://drive.google.com/open?id=1t1aUkm1P-1DS4zaH_ZXuAhABQJ8jhBiE</t>
  </si>
  <si>
    <t>Nii</t>
  </si>
  <si>
    <t>VmmFc</t>
  </si>
  <si>
    <t>Markzi Rizvi jamia masjid</t>
  </si>
  <si>
    <t>https://drive.google.com/open?id=1E4coFNTzraeg1pdkKKtHcvyZDBULsRz2</t>
  </si>
  <si>
    <t xml:space="preserve">KYZWA </t>
  </si>
  <si>
    <t xml:space="preserve">Jamia Masjid Firdous Darbar Hazrat Syed Baba Noor Shah Wali </t>
  </si>
  <si>
    <t>https://drive.google.com/open?id=19IUVk73DMgCmgCo35NmVp_lkfUypzc3u</t>
  </si>
  <si>
    <t xml:space="preserve">Ok
</t>
  </si>
  <si>
    <t>xlemr</t>
  </si>
  <si>
    <t xml:space="preserve">Jamia Masjid Gole Karyana Karkhana Bazar </t>
  </si>
  <si>
    <t>https://drive.google.com/open?id=1RrdTRtQECP4z9OQpeYj1bJYRqRz_7T7T</t>
  </si>
  <si>
    <t>No trash heaps</t>
  </si>
  <si>
    <t>https://drive.google.com/open?id=1KKmL4cJlVxxCnEKhiYKji4SjLbmXY_Qe</t>
  </si>
  <si>
    <t>Picture not allowed in masjid area</t>
  </si>
  <si>
    <t>مرکزی جامع مسجد ایثار القاسمی شہید رح گڑھ مہاراجہ جھنگ</t>
  </si>
  <si>
    <t>https://drive.google.com/open?id=1TUfuEDHk705NOtNk9YU9eVXPKeysJ36r</t>
  </si>
  <si>
    <t>Markazi  Jamia Masjid Rahmania Sargodha Road Faisalabad</t>
  </si>
  <si>
    <t>0 (zero)</t>
  </si>
  <si>
    <t>https://drive.google.com/open?id=199ErTQu1fWFuc9xzjredrCZrtQVtTIRX</t>
  </si>
  <si>
    <t>مرکزی جامع مسجد فیصل آباد (کچہری بازار)</t>
  </si>
  <si>
    <t>https://drive.google.com/open?id=1s2RlGNytu_BuRaI3UD6ePm-dvbT9kmiU</t>
  </si>
  <si>
    <t>shahrukh25022004@gmail.com</t>
  </si>
  <si>
    <t xml:space="preserve">Xjphu </t>
  </si>
  <si>
    <t xml:space="preserve">Baba rang Ali srkar faisalabad </t>
  </si>
  <si>
    <t>Nih the</t>
  </si>
  <si>
    <t>https://drive.google.com/open?id=1iIM_FeVONNv74TYGlmcFnNfATcfpVqWC</t>
  </si>
  <si>
    <t xml:space="preserve">Tanveer </t>
  </si>
  <si>
    <t>https://drive.google.com/open?id=1xtraBZjdlq_WYNJN8H1eoBwQGs3YOI82</t>
  </si>
  <si>
    <t>muhammad shazad</t>
  </si>
  <si>
    <t xml:space="preserve">محمّد اویس </t>
  </si>
  <si>
    <t>جامع مسجد گلزار مدینہ غالہ منڈی امین پور بازار</t>
  </si>
  <si>
    <t xml:space="preserve">کوئی بی نہیں </t>
  </si>
  <si>
    <t>https://drive.google.com/open?id=1XYvwuRh26LZfVIC9VBpKxGQ0r0u8-uLq</t>
  </si>
  <si>
    <t>شکریہ</t>
  </si>
  <si>
    <t xml:space="preserve">Jamia Masjid Madni samnabad Faisalabad </t>
  </si>
  <si>
    <t>https://drive.google.com/open?id=1SPQizj7jxtLanLXCPF2VGNYqsdlTOmzc</t>
  </si>
  <si>
    <t>Jamia masjid darbar nathu shah sharazi</t>
  </si>
  <si>
    <t>https://drive.google.com/open?id=16SRQnbs9dBfsyU1H_cGKsc-_STn7mgbA</t>
  </si>
  <si>
    <t>https://drive.google.com/open?id=1X6ooIAeEh5MgvM0sMLiTf9bXEpqOo4Fh</t>
  </si>
  <si>
    <t>Jamia markazi masjid renala kurd sadar bazar</t>
  </si>
  <si>
    <t>https://drive.google.com/open?id=19Es9R0QsOEiPvydzUqRRfJaG7DYiX7pf</t>
  </si>
  <si>
    <t>odqlq</t>
  </si>
  <si>
    <t xml:space="preserve">Muhammad Amir </t>
  </si>
  <si>
    <t>03243788100</t>
  </si>
  <si>
    <t xml:space="preserve">Jamia Masjid Bukhari Shah alyass park </t>
  </si>
  <si>
    <t>https://drive.google.com/file/d/1D7TyJnbey3gWuvkRgGas3p6MxiQpJIY4/view?usp=drive_link</t>
  </si>
  <si>
    <t>muhammadamir70jb@gmail.com</t>
  </si>
  <si>
    <t xml:space="preserve">ShKsd </t>
  </si>
  <si>
    <t xml:space="preserve">ShKsd jamia masjad Muhammadia waqaf yaseeni kot Laal waryam Wala </t>
  </si>
  <si>
    <t xml:space="preserve">Jamia masjid darbar shah saddiq nehang shorkot </t>
  </si>
  <si>
    <t>https://drive.google.com/open?id=1GXuRdplhCdPqwq5d6YDyZLqomlMnQnO9</t>
  </si>
  <si>
    <t>rnksi</t>
  </si>
  <si>
    <t>Abdullah khan</t>
  </si>
  <si>
    <t>+923217603363</t>
  </si>
  <si>
    <t>Jamia Masjid Mula Abdul Gafurur Multan</t>
  </si>
  <si>
    <t>https://drive.google.com/open?id=1BMMzZh49S3bJIZliUjcOVOTaUEtdLtPG</t>
  </si>
  <si>
    <t>lirqw</t>
  </si>
  <si>
    <t xml:space="preserve">Abeel </t>
  </si>
  <si>
    <t>+923213010900</t>
  </si>
  <si>
    <t>https://drive.google.com/open?id=1gSj-S8ajvaIjtVHJUfs2HESZEtng-cR_</t>
  </si>
  <si>
    <t>cegdy</t>
  </si>
  <si>
    <t>ALI Asghar Khan Niazi</t>
  </si>
  <si>
    <t>03007600161</t>
  </si>
  <si>
    <t xml:space="preserve">Jamia Masjid chistiya Mkuuana </t>
  </si>
  <si>
    <t>https://drive.google.com/file/d/1Nk9Hjyb4j6QuLLf9MYw2OTkjmVfgjudm/view?usp=drive_link</t>
  </si>
  <si>
    <t>ali.asghar.soc@gamil.com</t>
  </si>
  <si>
    <t>btuip</t>
  </si>
  <si>
    <t>Muhammad Tariq</t>
  </si>
  <si>
    <t>0301-6540273</t>
  </si>
  <si>
    <t>Jamia Masjid Amenia Ameen Abaad Samanbad Faisalabad</t>
  </si>
  <si>
    <t>https://drive.google.com/open?id=1BoizWdDB6ed4Yz9TEoJqklEavoA8I9h2</t>
  </si>
  <si>
    <t xml:space="preserve">  جامع مسجد لسوڑی شاہ  جھنگ بازار فیصل آباد</t>
  </si>
  <si>
    <t>https://drive.google.com/open?id=1EPgdI6JPanFpdJ5uOhFTBwDljRpT0q_k</t>
  </si>
  <si>
    <t xml:space="preserve">Jamia Masjid Islam pura Dhobigat </t>
  </si>
  <si>
    <t>https://drive.google.com/open?id=1Sj8y3T-uwDyjBVyTZwaRSdGqu_hAlkgl</t>
  </si>
  <si>
    <t xml:space="preserve">Jama masjid talimal Quran </t>
  </si>
  <si>
    <t>https://drive.google.com/open?id=1KXD2kPZA2X5qnuMMIWfZkinOFZLsxEk0</t>
  </si>
  <si>
    <t xml:space="preserve"> جامع مسجد حاجی محمد دین </t>
  </si>
  <si>
    <t>https://drive.google.com/open?id=1EVf6wzahny6oJY_aHT_iHrJzQ0Ws-5H3</t>
  </si>
  <si>
    <t xml:space="preserve">2 small trash heaps </t>
  </si>
  <si>
    <t>https://drive.google.com/open?id=19WsU144hjcMqUTXejfJJom9sgZfRp-Xg</t>
  </si>
  <si>
    <t xml:space="preserve">Jamia Masjid Tehsil wali kahchari </t>
  </si>
  <si>
    <t>https://drive.google.com/open?id=1J2ZusZtgacxd6XtnYnPLdYWxslJI238R</t>
  </si>
  <si>
    <t>https://drive.google.com/open?id=1jExpUkJLnVh_6qRanqCQi6HUkRlMglJm</t>
  </si>
  <si>
    <t>https://drive.google.com/open?id=1WusFET-mteuteLSG7_sLPHbx6-1djx2m</t>
  </si>
  <si>
    <t xml:space="preserve">Abdullah Zahid </t>
  </si>
  <si>
    <t>03263355553</t>
  </si>
  <si>
    <t xml:space="preserve">Madni masjid samanabad </t>
  </si>
  <si>
    <t>https://drive.google.com/open?id=1dEdHtTNYeuUU7D0vbwPZtQXS0x6MBQAb</t>
  </si>
  <si>
    <t>abdullahzahid0343@gmail.com</t>
  </si>
  <si>
    <t>Ni ha</t>
  </si>
  <si>
    <t>https://drive.google.com/open?id=1ukFdoZtnnKaet31DIkdN3HC6fIxU00v3</t>
  </si>
  <si>
    <t>Jamia ghusi razwai masjid</t>
  </si>
  <si>
    <t>https://drive.google.com/open?id=16opNfCyWSZ7eYagh8AfH-ZMP6sUGA2g9</t>
  </si>
  <si>
    <t>Ok</t>
  </si>
  <si>
    <t>Nolakh hazari</t>
  </si>
  <si>
    <t>https://drive.google.com/open?id=1Ur2EEoMU1LZEMfkQmv1Up4RhpheYvWeE</t>
  </si>
  <si>
    <t>https://drive.google.com/open?id=16z5OyHIsNWmHF8sCFj9A7P_JQtNQNtw7</t>
  </si>
  <si>
    <t>Markazi Jamia Masjid Rahmania Ali Town Sargodha Road Faisalabad</t>
  </si>
  <si>
    <t>0( zero)</t>
  </si>
  <si>
    <t>https://drive.google.com/open?id=19sEILeTZzb5KijYV8Fhruw8s_1NmD0sg</t>
  </si>
  <si>
    <t>DMVYD</t>
  </si>
  <si>
    <t xml:space="preserve">Jamia Masjid Jhall khanwana Faisalabad </t>
  </si>
  <si>
    <t>https://drive.google.com/open?id=17WfHnkIqZVz6KGA15lJonQ85nscAy2Is</t>
  </si>
  <si>
    <t>Only 10%(60-70) Namazi per present at the time of Urdu Khutba. Remaining  came after Urdu Khutba.</t>
  </si>
  <si>
    <t xml:space="preserve">Jamiah masjid Baba rang Ali srkar </t>
  </si>
  <si>
    <t>https://drive.google.com/open?id=1ka8sAa--E7jXaVdQAnSa8i86N4t0ZRT_</t>
  </si>
  <si>
    <t>علی شاذل شاہ</t>
  </si>
  <si>
    <t>03116552040</t>
  </si>
  <si>
    <t>مرکزی جامع مسجد ایثار القاسمی شہید گڑھ مہاراجہ</t>
  </si>
  <si>
    <t>https://drive.google.com/open?id=1H6nrH3U1WdomE-qzXlpPtZrS-OgL1u3y</t>
  </si>
  <si>
    <t>alishazil013@gmail.com</t>
  </si>
  <si>
    <t>Hassan tariq</t>
  </si>
  <si>
    <t>Jamia Masjid Madni samnabad Faisalabad</t>
  </si>
  <si>
    <t>https://drive.google.com/open?id=1BIferD9J_-kwwXxgtSxmdYvZ8LuGTCUx</t>
  </si>
  <si>
    <t xml:space="preserve">Jamia Masjid Gole Karyana karkhana bazar Faisalabad </t>
  </si>
  <si>
    <t>https://drive.google.com/open?id=1mz30i3UYButpdhkHMiC7isO0I_q8cXix</t>
  </si>
  <si>
    <t>جا میع مسجد گلزار مدینہ غلہ منڈی امین پور بازار فیصل آباد</t>
  </si>
  <si>
    <t>https://drive.google.com/open?id=1C1DgZiEGwT6hUMaJT4M9Eqx7bvN2Wgrk</t>
  </si>
  <si>
    <t xml:space="preserve">Fpyze </t>
  </si>
  <si>
    <t>https://drive.google.com/open?id=19fc1xVtceCCBDylW7Rv3-UmiGsX9T_kH</t>
  </si>
  <si>
    <t>Jamia</t>
  </si>
  <si>
    <t>tbthq</t>
  </si>
  <si>
    <t>https://drive.google.com/file/d/1idlxTbhVOH2PYsu_Qu6xggdMA9I7HDnl/view?usp=drive_link</t>
  </si>
  <si>
    <t>Today also server not uploading 13MB recording</t>
  </si>
  <si>
    <t xml:space="preserve">Vmmfc </t>
  </si>
  <si>
    <t xml:space="preserve">Sajjad Ali </t>
  </si>
  <si>
    <t xml:space="preserve">Markzi Rizvi jamia masjid </t>
  </si>
  <si>
    <t>https://drive.google.com/open?id=1-V_rAs2k2TMpKdc11sJPw78KboDJdJ6O</t>
  </si>
  <si>
    <t>JamiaMasjid Noor Tariq Abad Faisalabad</t>
  </si>
  <si>
    <t xml:space="preserve">Today server still not uploading 13 mb audio file </t>
  </si>
  <si>
    <t xml:space="preserve">Shamshair </t>
  </si>
  <si>
    <t>03249486182</t>
  </si>
  <si>
    <t>https://drive.google.com/open?id=1ovrq8DzDN5-WvTdr6hU9WvcbbKDX7AwI</t>
  </si>
  <si>
    <t>lhgfs</t>
  </si>
  <si>
    <t>Shahbaz</t>
  </si>
  <si>
    <t>03121618564</t>
  </si>
  <si>
    <t>Jamia Masjid Gosha Nasheen Multan</t>
  </si>
  <si>
    <t>https://drive.google.com/open?id=1xYexj4GEVEjoBHH2ruexteFQmessDa79</t>
  </si>
  <si>
    <t xml:space="preserve">ALi Asghar Khan Niazi </t>
  </si>
  <si>
    <t>Jamia masjid chistiya mk</t>
  </si>
  <si>
    <t>https://drive.google.com/file/d/1cDijVK65A_xPZLYUX5hTQlhZIS4t-jWl/view?usp=drive_link</t>
  </si>
  <si>
    <t>ali.asghar.soc@gmail.com</t>
  </si>
  <si>
    <t>Tariq Mehmoob</t>
  </si>
  <si>
    <t>03486868206</t>
  </si>
  <si>
    <t>https://drive.google.com/file/d/1-npo6AAiYQznTuaih-louUamKkLsTsAt/view?usp=sharing</t>
  </si>
  <si>
    <t>Yxvut</t>
  </si>
  <si>
    <t xml:space="preserve">Jamia masjid talimul Quran </t>
  </si>
  <si>
    <t>https://drive.google.com/open?id=1HI19nLKFTjsLFKX9pRLS2HeyNqCiKZW2</t>
  </si>
  <si>
    <t>vldwg</t>
  </si>
  <si>
    <t xml:space="preserve">Shahid Fareed Anwar </t>
  </si>
  <si>
    <t xml:space="preserve">No Trash heaps </t>
  </si>
  <si>
    <t>https://drive.google.com/open?id=1RKXL1YcRjGzTD2UEpq0lysV3F59RVsrP</t>
  </si>
  <si>
    <t>Picture ki ijazat nai thi</t>
  </si>
  <si>
    <t>Markazi Jamia  Masjid Rahmania Ali Town Sargodha Road  Faisalabad</t>
  </si>
  <si>
    <t>https://drive.google.com/open?id=1mhYcDWYube3Yrme-9KL9wq1gH0aYckey</t>
  </si>
  <si>
    <t>khurshidqaiser1@gmail.con</t>
  </si>
  <si>
    <t>JAmia Masjid Noor Tarq Abad faisalabad</t>
  </si>
  <si>
    <t>https://drive.google.com/open?id=1oFx0B6TjxpD-B3_M2PDrbt6lTt6myRrB</t>
  </si>
  <si>
    <t>https://drive.google.com/open?id=1x_EafIOmz5Osb1q61F2i-oRPLnqhfIrF</t>
  </si>
  <si>
    <t xml:space="preserve">Jamia Masjid Darbar Noor Shah Wali Faisalabad </t>
  </si>
  <si>
    <t>https://drive.google.com/open?id=1yr05UGe8hraU4Y6y2F4ReMgmL6veXGJ8</t>
  </si>
  <si>
    <t>جامعہ مسجد گلزار مدینہ غالہ منڈی امین پور بازار</t>
  </si>
  <si>
    <t>https://drive.google.com/open?id=1HVneWpebzcpx-hkem7Cm6BUqxPH3WX2g</t>
  </si>
  <si>
    <t>Ali shazil</t>
  </si>
  <si>
    <t>جامع مسجد دربار شاہ صادق نہنگ شورکوٹ</t>
  </si>
  <si>
    <t>https://drive.google.com/open?id=1NB3X5eb9_yLJcjOT3f3c8lH9MgtwXuhm</t>
  </si>
  <si>
    <t>Shwaiz Sheraz</t>
  </si>
  <si>
    <t>Jamia Masjid Noor Shaheen road Jhang sadar</t>
  </si>
  <si>
    <t>https://drive.google.com/open?id=1dx7VxE1sgMJgRJkWs2MDXhibqovRevs9</t>
  </si>
  <si>
    <t>Muhammad shahazad</t>
  </si>
  <si>
    <t>https://drive.google.com/open?id=1fn0VGDI3qughAzPemV5Yw6_8FJBX0ppd</t>
  </si>
  <si>
    <t xml:space="preserve">Rizwan </t>
  </si>
  <si>
    <t xml:space="preserve">Nolakh hazari </t>
  </si>
  <si>
    <t>https://drive.google.com/open?id=1Ug1DEMCHECXTgr2q-lS0C_CIoXFxo17o</t>
  </si>
  <si>
    <t>Sarfraz ahmad</t>
  </si>
  <si>
    <t>Jamia masjad haji Muhammad Dain Shorkot cuntt</t>
  </si>
  <si>
    <t>bashirawais990@gmail.com</t>
  </si>
  <si>
    <t>Btuip</t>
  </si>
  <si>
    <t xml:space="preserve">Tariq Mahmood </t>
  </si>
  <si>
    <t xml:space="preserve">Masjid Amina Samnaabad </t>
  </si>
  <si>
    <t>https://drive.google.com/file/d/1DJ7R2gc9L4Fl5BTkKC_XAZLhGQhMJPKD/view?usp=drive_link</t>
  </si>
  <si>
    <t>tariqjutt2354@gmail.com</t>
  </si>
  <si>
    <t>Rnksi</t>
  </si>
  <si>
    <t>Jamia masjed mula abdul gafurur multan</t>
  </si>
  <si>
    <t>https://drive.google.com/open?id=1jZWJctXyqV8o3St54FlZdxb-TZKBR4yT</t>
  </si>
  <si>
    <t xml:space="preserve">Zubair </t>
  </si>
  <si>
    <t>03421618219</t>
  </si>
  <si>
    <t>jamia masjid gosha nashen multan</t>
  </si>
  <si>
    <t>https://drive.google.com/open?id=1H8g1J147q3-eg546GDU07AFRtcrID0Yh</t>
  </si>
  <si>
    <t>Safdar Ali</t>
  </si>
  <si>
    <t>03121664859</t>
  </si>
  <si>
    <t>https://drive.google.com/open?id=1dE0FR58RFaOhSOACHTwwpSDjixZ5eGU2</t>
  </si>
  <si>
    <t>https://drive.google.com/open?id=1_G2BOr_j0joRtBd5RNLKSfYtaVe8ocKG</t>
  </si>
  <si>
    <t xml:space="preserve">جامعیے مسجد گلزار اے مدینہ غلا منڈی امین پور بازار فیصل آباد </t>
  </si>
  <si>
    <t>https://drive.google.com/open?id=1Z76kVxHs2OZEszdt9g0k05dluBIYTFHN</t>
  </si>
  <si>
    <t xml:space="preserve">Jamia masjid chistiya </t>
  </si>
  <si>
    <t>https://drive.google.com/file/d/11lRW_1ATkn76ogR1azGRSE0utj-xuwri/view?usp=drive_link</t>
  </si>
  <si>
    <t>https://drive.google.com/open?id=18q_zFNfDzo2wLLW34d5Wa9VePL1IZRYh</t>
  </si>
  <si>
    <t>Jima misjid Muhammadia mudrisa waqaf yaseeni kot laal</t>
  </si>
  <si>
    <t>https://drive.google.com/file/d/1W6Fq1gT8EL_yNDJAEh9jU1sRtAu9Qz4l/view?usp=sharing</t>
  </si>
  <si>
    <t>malikabby55@gmail.com</t>
  </si>
  <si>
    <t>Jamia masjid hanfia haji Muhammad daen shorkot cuntt</t>
  </si>
  <si>
    <t>https://drive.google.com/file/d/17MpiAK21toXFxuGnekJWmvCx2-XR4gN8/view?usp=drive_link</t>
  </si>
  <si>
    <t>https://drive.google.com/open?id=1g9rBWih_6ZGmZoZHk3_BaYjP5wYYbjTt</t>
  </si>
  <si>
    <t xml:space="preserve">Yousaf </t>
  </si>
  <si>
    <t>03284651684</t>
  </si>
  <si>
    <t>https://drive.google.com/open?id=1V_VpvKPICEFeoqkwesEDxi4jxFi7pYHf</t>
  </si>
  <si>
    <t>dmvyd</t>
  </si>
  <si>
    <t xml:space="preserve">Jamia Masjid Jhall khanuana Faisalabad </t>
  </si>
  <si>
    <t>https://drive.google.com/open?id=13CH1I76Dk4gkdAaNtcavStv_XaBszo7f</t>
  </si>
  <si>
    <t>cmwps</t>
  </si>
  <si>
    <t xml:space="preserve">Jamia Masjid Qasmiya rehmy Shah Faisalabad </t>
  </si>
  <si>
    <t>https://drive.google.com/open?id=1WzmlfwQD5_F67APyEpZjlpEi81-mgTPb</t>
  </si>
  <si>
    <t>https://drive.google.com/open?id=15DITqmF9OhvKqCgczyGpa49fcizweio5</t>
  </si>
  <si>
    <t xml:space="preserve">Ali Asghar Khan Niazi </t>
  </si>
  <si>
    <t xml:space="preserve">Jamia masjid chistiya Mkuuana </t>
  </si>
  <si>
    <t>https://drive.google.com/file/d/1EPNimrfPHkYHG8bxIK1MbkL26CPlEFPg/view?usp=drive_link</t>
  </si>
  <si>
    <t>https://drive.google.com/open?id=1ceFI9JA7Z3xfJfLG2aB-e7y_Kcu2sSDr</t>
  </si>
  <si>
    <t>28/11/2025 05:43:21</t>
  </si>
  <si>
    <t>Nadeem Mirza</t>
  </si>
  <si>
    <t>Jamia Masjid Jhall khanuana Faisalabad</t>
  </si>
  <si>
    <t>https://drive.google.com/open?id=1NR-kcIAr831XCxGTtmtWbiczlsPv-zg8</t>
  </si>
  <si>
    <t>Sermon topic was Hazrat Abu Bakar Sadique R.A</t>
  </si>
  <si>
    <t>Zain Sajjad</t>
  </si>
  <si>
    <t>Jamia Masjid Qasmiya rehmy Shah</t>
  </si>
  <si>
    <t>https://drive.google.com/open?id=17oA0Ovsigo0oEoQVRlgHaLhgcHLPdsJ-</t>
  </si>
  <si>
    <t>15/12/2025 05:44:14</t>
  </si>
  <si>
    <t>Rehmat Ali</t>
  </si>
  <si>
    <t>Jamia Masjid Nattu shah farazi</t>
  </si>
  <si>
    <t>https://drive.google.com/file/d/1jG_JmOwaYhO4lbZa9ZQZJVR6ekudgzAQ/view?usp=drive_link</t>
  </si>
  <si>
    <t>wohmy</t>
  </si>
  <si>
    <t>19/12/2025 03:48:12</t>
  </si>
  <si>
    <t>Gulraiz khan</t>
  </si>
  <si>
    <t>Jamia Masjid Darbar Shah Di Nahlian</t>
  </si>
  <si>
    <t>https://drive.google.com/open?id=1FxVsIK3WuQVrTdP6s9HaR4GZ287SNjn8</t>
  </si>
  <si>
    <t>gulraizkh0an299@gmail.com</t>
  </si>
  <si>
    <t>opiuv</t>
  </si>
  <si>
    <t>19/12/2025 03:58:35</t>
  </si>
  <si>
    <t>Touseeq</t>
  </si>
  <si>
    <t xml:space="preserve">opiuv	Jamia Masjid Darbar Peer Abdul Ghani op	</t>
  </si>
  <si>
    <t>https://drive.google.com/open?id=1nXW-JLuepYUsud5NTO7cmQJaCL62_IKJ</t>
  </si>
  <si>
    <t>aryankhan3315563595@gmail.com</t>
  </si>
  <si>
    <t>lnsdx</t>
  </si>
  <si>
    <t>19/12/2025 04:41:54</t>
  </si>
  <si>
    <t>Saddam Hussain</t>
  </si>
  <si>
    <t>Daud Shah Hakani</t>
  </si>
  <si>
    <t>https://drive.google.com/open?id=1-ehshSu9RgBZJN3X1pcRd7dtsTo4ageE</t>
  </si>
  <si>
    <t>saddamwazir55@gmail.com</t>
  </si>
  <si>
    <t>Egckn</t>
  </si>
  <si>
    <t>19/12/2025 04:52:29</t>
  </si>
  <si>
    <t>Asad Mumtaz</t>
  </si>
  <si>
    <t>Masjid syeden#2 rewalpind</t>
  </si>
  <si>
    <t>https://drive.google.com/file/d/1MZ_Z84aZf3xbsLa-fDhLaZTJQFW-Qpqw/view?usp=drive_link</t>
  </si>
  <si>
    <t>Masjid ki left side par aik naala hay jhu buhat ganda hay aur masjid kay peechay aik kabristaan hay jhu gandha hay</t>
  </si>
  <si>
    <t>ak6313854@gmail.com</t>
  </si>
  <si>
    <t>omcbn</t>
  </si>
  <si>
    <t>19/12/2025 05:10:35</t>
  </si>
  <si>
    <t>Aftab Ahmed</t>
  </si>
  <si>
    <t>Jamia masjid darbar Aliya Syed ghor Ali shah</t>
  </si>
  <si>
    <t>https://drive.google.com/open?id=18V-Ps_Z7TU4u23zdYz00Liy_dmmAn_YU</t>
  </si>
  <si>
    <t>All ok</t>
  </si>
  <si>
    <t>aftabahmed080@gmail.com</t>
  </si>
  <si>
    <t>gakov</t>
  </si>
  <si>
    <t>19/12/2025 05:17:28</t>
  </si>
  <si>
    <t>Adnan yousaf</t>
  </si>
  <si>
    <t>Jamia masjid Al Habib baba quma khan</t>
  </si>
  <si>
    <t>https://drive.google.com/file/d/1VCRe17H2SHVYCbmH8ER2mpE2GHcOENQ6/view?usp=drive_link</t>
  </si>
  <si>
    <t>madnan6868@gmail.com</t>
  </si>
  <si>
    <t>tgzpv</t>
  </si>
  <si>
    <t>19/12/2025 05:32:36</t>
  </si>
  <si>
    <t>Mudassar Iqbal</t>
  </si>
  <si>
    <t>Markazi Jamia Masjid Hanfia Rawalpindi</t>
  </si>
  <si>
    <t>https://drive.google.com/file/d/1EKX5M69jJ9ExSE2b0Xae4e1Ku1jNZwsZ/view?usp=drive_link</t>
  </si>
  <si>
    <t>balochmudassar44@gmail.com</t>
  </si>
  <si>
    <t>Cxyup</t>
  </si>
  <si>
    <t>19/12/2025 05:50:57</t>
  </si>
  <si>
    <t>Shahzaib Attari</t>
  </si>
  <si>
    <t>Jamia Masjid Muree barori chaklala scheme 3 Rawalpindi</t>
  </si>
  <si>
    <t>https://drive.google.com/open?id=1MXIOdDelU_XncLihTWGxT2tMp33RZgP6</t>
  </si>
  <si>
    <t>جمعہ کی نماز اپنے مقررہ ٹائم پہ نہیں ہوئی تھی بلکہ 1:50 پہ ہوئی تھی جمعہ کی نماز کا مقرر وقت 1:35 تھا</t>
  </si>
  <si>
    <t>shahzaib58750999@gmail.com</t>
  </si>
  <si>
    <t>silss</t>
  </si>
  <si>
    <t>19/12/2025 06:11:51</t>
  </si>
  <si>
    <t>Jamia Masjid ganj mandi Rawalpindi</t>
  </si>
  <si>
    <t>https://drive.google.com/open?id=1osr6nZH-i4_ppnO0XKS75mcOqxeS4E4M</t>
  </si>
  <si>
    <t>Vzblw</t>
  </si>
  <si>
    <t>19/12/2025 06:53:24</t>
  </si>
  <si>
    <t>Muhammad Ehsan Anwer</t>
  </si>
  <si>
    <t>Masjid Main Haji Sab Bagga Sher</t>
  </si>
  <si>
    <t>https://drive.google.com/open?id=1VgVTf0Out9MmejVaMXZNDPSlf0AwYuex</t>
  </si>
  <si>
    <t>malikehsan4772@gmail.com</t>
  </si>
  <si>
    <t>Cvcqu</t>
  </si>
  <si>
    <t>19/12/2025 07:10:02</t>
  </si>
  <si>
    <t>Muhammad Junaid khan</t>
  </si>
  <si>
    <t>JAMIA MASJID SABZY MANDY MOTI BAZAR RAWALPINDI</t>
  </si>
  <si>
    <t>https://drive.google.com/open?id=1zd06YbSxqBI3eCdFsND5qDeoQ3iKaNxp</t>
  </si>
  <si>
    <t>junaidkhanorakzai03@gmail.com</t>
  </si>
  <si>
    <t>fkwyh</t>
  </si>
  <si>
    <t>19/12/2025 07:31:38</t>
  </si>
  <si>
    <t>Khaleeq abbasi</t>
  </si>
  <si>
    <t>Darl ullom jamia abbasia jamia masjid sadeeq akabar</t>
  </si>
  <si>
    <t>https://drive.google.com/open?id=1n8hg6ZqKvkCYJrPY8EZQvcx13SsCU0Sz</t>
  </si>
  <si>
    <t>khaleeqabbasi377@gmail.com</t>
  </si>
  <si>
    <t>Czbuv</t>
  </si>
  <si>
    <t>19/12/2025 08:55:04</t>
  </si>
  <si>
    <t>Abdul rehman</t>
  </si>
  <si>
    <t>Jamia masjid gul siraj</t>
  </si>
  <si>
    <t>https://drive.google.com/open?id=1fjvZ0cqhYIRN7u_To7B4VGAy4VLIYpd4</t>
  </si>
  <si>
    <t>muneer4441986@gmail.com</t>
  </si>
  <si>
    <t>thjdr</t>
  </si>
  <si>
    <t>19/12/2025 09:52:56</t>
  </si>
  <si>
    <t>Naseer Ahmed</t>
  </si>
  <si>
    <t>Jamia Masjid King Mandi Rawalpindi( jamia masjid asar UL wali)</t>
  </si>
  <si>
    <t>https://drive.google.com/open?id=1xLdP4MshKdr8V5WL6KkopeC25VNwsQcp</t>
  </si>
  <si>
    <t>nasgull786@gmail.com</t>
  </si>
  <si>
    <t>izzpy</t>
  </si>
  <si>
    <t>19/12/2025 10:01:07</t>
  </si>
  <si>
    <t>Hanan</t>
  </si>
  <si>
    <t>Jamia Masjid Madina Kabari Bazar Rawalpindi</t>
  </si>
  <si>
    <t>https://drive.google.com/open?id=1_2MmJ2TBo6BksD59MevNlObM_IOSRdrp</t>
  </si>
  <si>
    <t>gdglp</t>
  </si>
  <si>
    <t>19/12/2025 10:06:41</t>
  </si>
  <si>
    <t>Wahab</t>
  </si>
  <si>
    <t>Jamia Masjid Akbari Mohanpura</t>
  </si>
  <si>
    <t>https://drive.google.com/open?id=1vs86z4urY34PTu4OGMbJN0_TNZAnPECk</t>
  </si>
  <si>
    <t>26/12/2025 03:40:53</t>
  </si>
  <si>
    <t>https://drive.google.com/open?id=1plLqCZnzbpu7rmtmJsZyrIte0EAA7Iv0</t>
  </si>
  <si>
    <t>Nhi alhamdolillah koi parishani nhi hue or koi izafi maloomat nhi ha</t>
  </si>
  <si>
    <t>Bbyok</t>
  </si>
  <si>
    <t>26/12/2025 03:42:58</t>
  </si>
  <si>
    <t>Shahzaib waheed</t>
  </si>
  <si>
    <t>Jamia masjid gawal Mandi Rawalpindi</t>
  </si>
  <si>
    <t>https://drive.google.com/open?id=15y9Yyz7X9noodOnSRt0RbwUyCKGpleWl</t>
  </si>
  <si>
    <t>نالہ لئی پر کچرا جلایا جاتا ہے جس کی وجہ سے تمام محلّہ اور مسجد میں سانس لینا مشکل ہو جاتا ہے امام صاحب کی درخواست پر یہ نوٹ تحریر کیا ہے تاکہ اوپر مینیجمنٹ تک یہ بات پہنچائی  سکے۔</t>
  </si>
  <si>
    <t>shahzaibwaheed5@gmail.com</t>
  </si>
  <si>
    <t>Fkwyh</t>
  </si>
  <si>
    <t>26/12/2025 04:01:34</t>
  </si>
  <si>
    <t>Darol uloom jamia Abbasia jamia masjid sadiq akbar</t>
  </si>
  <si>
    <t>https://drive.google.com/open?id=1YX9YAZlVjT5kD-XF43YajsXIv846eWgK</t>
  </si>
  <si>
    <t>Masjid ke 3 Hall hy bary or oper chat pay be namazi hy or bhair be pictures sirf Hall ke e lay saka O.. 1000 ke qareeb namazi hy jo me ne saaf ke hisab se lagay hy.. Jazakallah</t>
  </si>
  <si>
    <t>26/12/2025 04:22:09</t>
  </si>
  <si>
    <t>Jamila masjid syedan #2 Rawalpindi</t>
  </si>
  <si>
    <t>https://drive.google.com/open?id=1K1FLsunGLArezfAyKhSCYwz8GaU876Mz</t>
  </si>
  <si>
    <t>Podyo</t>
  </si>
  <si>
    <t>26/12/2025 04:57:04</t>
  </si>
  <si>
    <t>Imran Haider</t>
  </si>
  <si>
    <t>Jamia masjid jamun wali , Rawalpindi</t>
  </si>
  <si>
    <t>2 ... Masjid k bilkul opposite 2 points py kharcha para tha</t>
  </si>
  <si>
    <t>https://drive.google.com/open?id=1J6fG3gIRmm3qCl6AvqptOmI5AWMGQobI</t>
  </si>
  <si>
    <t>imhaider30@gmail.com</t>
  </si>
  <si>
    <t>26/12/2025 05:10:45</t>
  </si>
  <si>
    <t>https://drive.google.com/open?id=1lSVS1CDaOU1ABQMrWCoHq4iFGB9EzLSz</t>
  </si>
  <si>
    <t>glrtm</t>
  </si>
  <si>
    <t>26/12/2025 05:13:47</t>
  </si>
  <si>
    <t>Gulraiz Khan</t>
  </si>
  <si>
    <t>Jamia Masjid darbar baba jhar sarkar</t>
  </si>
  <si>
    <t>https://drive.google.com/open?id=1KjcvlgCaIPTFHA2lvvJhFuOmmN_5c8yX</t>
  </si>
  <si>
    <t>gulraizkhan299@gmail.com</t>
  </si>
  <si>
    <t>26/12/2025 05:31:24</t>
  </si>
  <si>
    <t>Waqar Ahmed</t>
  </si>
  <si>
    <t>Jamia masid darbar Aliya syed ghor ali shah</t>
  </si>
  <si>
    <t>https://drive.google.com/open?id=1qgIICVzh1Y8mNORr4QUgzzuMnYiVBBi1</t>
  </si>
  <si>
    <t>waqaryousaf044@gmail.com</t>
  </si>
  <si>
    <t>26/12/2025 05:37:24</t>
  </si>
  <si>
    <t>Jamia Masjid Ghunj Mandi Rawalpindi</t>
  </si>
  <si>
    <t>https://drive.google.com/open?id=11MXI7wcAI2t2sLFelu3QsNP7_tb7oU-L</t>
  </si>
  <si>
    <t>26/12/2025 07:32:07</t>
  </si>
  <si>
    <t>Shani</t>
  </si>
  <si>
    <t>Jamia Masjid Darbar Peer Abdul Ghani Rawalpindi</t>
  </si>
  <si>
    <t>https://drive.google.com/open?id=1bIvUW8bIlFzGEGl06gL5bivx4eLLqnj7</t>
  </si>
  <si>
    <t>Nai</t>
  </si>
  <si>
    <t>touseeqk6@gmail.com</t>
  </si>
  <si>
    <t>26/12/2025 07:36:54</t>
  </si>
  <si>
    <t>https://drive.google.com/open?id=12F-8rEeJuhN1Mh3pXEoLJkRse8cfn9Bp</t>
  </si>
  <si>
    <t>26/12/2025 09:42:48</t>
  </si>
  <si>
    <t>Saddam</t>
  </si>
  <si>
    <t>Daud shah Hakani</t>
  </si>
  <si>
    <t>https://drive.google.com/open?id=1Spah6AOG003Cq-resxicmrUXD_nIz_PZ</t>
  </si>
  <si>
    <t>CXYUP</t>
  </si>
  <si>
    <t>26/12/2025 11:02:02</t>
  </si>
  <si>
    <t>Shahzaib</t>
  </si>
  <si>
    <t>Jamia Masjid Muree barori chaklala scheme 3</t>
  </si>
  <si>
    <t>https://drive.google.com/open?id=1Z3t6L3czbUuLnPXKlogBPpOEo0gR0bJ5</t>
  </si>
  <si>
    <t>جامعہ مسجد مری بروری چکلالہ سکیم تھری راولپنڈی اس مسجد میں اردو خطبہ اج نہیں دیا گیا اس کی وجہ سعودی وزراء کا  وزٹ تھا جس کی وجہ سے روٹ لگا دیا گیا اور نماز جمعہ کا ٹائم نکل گیا کسی بھی شخص کو جامع مسجد مری بروری ارمی ہاؤس میں داخل نہیں ہونے دیا جا رہا تھا جس کی وجہ سے مولانا قاری عرفان صاحب دو بجے مسجد میں پہنچے اور انہوں نے صرف عرابک خطبہ دیا اور نماز جمعہ پڑھائی</t>
  </si>
  <si>
    <t>Tgzpv</t>
  </si>
  <si>
    <t>26/12/2025 11:55:40</t>
  </si>
  <si>
    <t>Muhammad Kashif</t>
  </si>
  <si>
    <t>Jamia masjid raja bzaar</t>
  </si>
  <si>
    <t>https://drive.google.com/open?id=1aBbTyy55S9949cFxEuuJFEVJ1yR-6Wae</t>
  </si>
  <si>
    <t>kashisardar306@gmail.com</t>
  </si>
  <si>
    <t>27/12/2025 02:27:19</t>
  </si>
  <si>
    <t>Jamia Masjid King Mandi Rawalpindi</t>
  </si>
  <si>
    <t>https://drive.google.com/open?id=1lpOfspmvDnVNEPJ-EdLHI4yyXL8m-j9F</t>
  </si>
  <si>
    <t>27/12/2025 02:42:25</t>
  </si>
  <si>
    <t>https://drive.google.com/open?id=1mEkK_Ir8cnyw7RXLUzWMloSu6ZgPWqK8</t>
  </si>
  <si>
    <t>27/12/2025 02:56:25</t>
  </si>
  <si>
    <t>https://drive.google.com/open?id=1TIT9tWwYtTeVl2cw8SlQz0SDVnzkq-dk</t>
  </si>
  <si>
    <t>27/12/2025 07:50:24</t>
  </si>
  <si>
    <t>https://drive.google.com/open?id=1AKQCC3NS3Af9fxS3kC4RpkUFAuRrbIEm</t>
  </si>
  <si>
    <t>First week jamia masjid gawal mandi</t>
  </si>
  <si>
    <t>shahzaibwaheed@hotmail.com</t>
  </si>
  <si>
    <t xml:space="preserve">Week 1 </t>
  </si>
  <si>
    <t>Week 4</t>
  </si>
  <si>
    <t>Week 5</t>
  </si>
  <si>
    <t>Week 6</t>
  </si>
  <si>
    <t>Zone</t>
  </si>
  <si>
    <t>Treatment</t>
  </si>
  <si>
    <t>Total Sermon</t>
  </si>
  <si>
    <t xml:space="preserve">Mosjid ID </t>
  </si>
  <si>
    <t xml:space="preserve">1
Sermon recording </t>
  </si>
  <si>
    <t>1
Sermon information</t>
  </si>
  <si>
    <t xml:space="preserve">1 Transcritption </t>
  </si>
  <si>
    <t xml:space="preserve">2
Sermon recording </t>
  </si>
  <si>
    <t>2
Sermon Information</t>
  </si>
  <si>
    <t xml:space="preserve">2
Transcritption </t>
  </si>
  <si>
    <t xml:space="preserve">3 Sermon recording </t>
  </si>
  <si>
    <t>3
Sermon Information</t>
  </si>
  <si>
    <t xml:space="preserve">3 Transcritption </t>
  </si>
  <si>
    <t xml:space="preserve">4 Sermon recording </t>
  </si>
  <si>
    <t>4
Sermon Information</t>
  </si>
  <si>
    <t xml:space="preserve">4 Transcritption </t>
  </si>
  <si>
    <t xml:space="preserve">5 Sermon recording </t>
  </si>
  <si>
    <t>5
Sermon Information</t>
  </si>
  <si>
    <t xml:space="preserve">5 Transcritption </t>
  </si>
  <si>
    <t xml:space="preserve">6 Sermon recording </t>
  </si>
  <si>
    <t>6
Sermon Information</t>
  </si>
  <si>
    <t xml:space="preserve">6 Transcritption </t>
  </si>
  <si>
    <t>Status</t>
  </si>
  <si>
    <t xml:space="preserve">Rizwan Comments </t>
  </si>
  <si>
    <t xml:space="preserve">Saif Comments </t>
  </si>
  <si>
    <t>Check</t>
  </si>
  <si>
    <t xml:space="preserve">Audio1 is little bit distroted </t>
  </si>
  <si>
    <t>avbgy</t>
  </si>
  <si>
    <t>In sermon 3  starting paragraph is not matching due to arabic enum wrote description of wording</t>
  </si>
  <si>
    <t>pwwfr</t>
  </si>
  <si>
    <t>sermon 3 is not matching assigned to asma</t>
  </si>
  <si>
    <t>lcwok</t>
  </si>
  <si>
    <t>sermon 1 audio is distorted enum record itself and wrote itself</t>
  </si>
  <si>
    <t>Completed</t>
  </si>
  <si>
    <t>imam voice is not clear in 2nd sermon</t>
  </si>
  <si>
    <t>sermon 2 is distorted</t>
  </si>
  <si>
    <t>yhn 2 recroding kwai hn bas imam ki wjha se baki multan zone k sath hngi</t>
  </si>
  <si>
    <t>sermon 3 is distorted assigned to muqads</t>
  </si>
  <si>
    <t>skiped duee to imam</t>
  </si>
  <si>
    <t>sermon 3 distorted part skip in the ranscript by enum</t>
  </si>
  <si>
    <t>skpped due to imam</t>
  </si>
  <si>
    <t>skipped</t>
  </si>
  <si>
    <t>audios distorted</t>
  </si>
  <si>
    <t>sermon 3 is distorted</t>
  </si>
  <si>
    <t>hkeci</t>
  </si>
  <si>
    <t>ieyaf</t>
  </si>
  <si>
    <t>sermon one is distorted</t>
  </si>
  <si>
    <t xml:space="preserve">some distortion in the recording 3 </t>
  </si>
  <si>
    <t>zbrwj</t>
  </si>
  <si>
    <t xml:space="preserve">Round 1 </t>
  </si>
  <si>
    <t>kgtfe</t>
  </si>
  <si>
    <t>some distortion in the recording 2 But Ok</t>
  </si>
  <si>
    <t>hswif</t>
  </si>
  <si>
    <t>telou</t>
  </si>
  <si>
    <t>kkrvm</t>
  </si>
  <si>
    <t>enum didn't reach in the mosque in 2 nd sermon  but imam deliver our sermon/</t>
  </si>
  <si>
    <t>oiyzt</t>
  </si>
  <si>
    <t>https://drive.google.com/file/d/1E2nLMdT6bKFCOEUcLAl-5xp3C_BbASSY/view?usp=drive_link</t>
  </si>
  <si>
    <t xml:space="preserve">1st Rec distortion </t>
  </si>
  <si>
    <t>piujl</t>
  </si>
  <si>
    <t>tnrvg</t>
  </si>
  <si>
    <t>fitmr</t>
  </si>
  <si>
    <t>ucpvp</t>
  </si>
  <si>
    <t>skipped due to imam</t>
  </si>
  <si>
    <t>ztlcn</t>
  </si>
  <si>
    <t>vxoxs</t>
  </si>
  <si>
    <t>wbail</t>
  </si>
  <si>
    <t>OK but 2nd Rec Video hai</t>
  </si>
  <si>
    <t>3rd rec is not clear</t>
  </si>
  <si>
    <t>jeztx</t>
  </si>
  <si>
    <t>gsdas</t>
  </si>
  <si>
    <t>enum 2nd jummah nh phncha tha imam ne khutba parh dya tha</t>
  </si>
  <si>
    <t>1st is distorted</t>
  </si>
  <si>
    <t>Assigned to enum to redo</t>
  </si>
  <si>
    <t>too much echo but ok</t>
  </si>
  <si>
    <t>punjabi but ok</t>
  </si>
  <si>
    <t>1st skipped duen to imam</t>
  </si>
  <si>
    <t xml:space="preserve">distorted in sermon 3 </t>
  </si>
  <si>
    <t>distorted but ok also enum didnt stop the recording even in namaz</t>
  </si>
  <si>
    <t>WRTAN</t>
  </si>
  <si>
    <t>2nd khutba imam ki wjha se skipp hua</t>
  </si>
  <si>
    <t>1st recording enum didnot reached</t>
  </si>
  <si>
    <t>sermon 2 distroted but ok</t>
  </si>
  <si>
    <t>AKNHZ</t>
  </si>
  <si>
    <t>mistakes in sermon 1 assigned to enum</t>
  </si>
  <si>
    <t>OIUJI</t>
  </si>
  <si>
    <t>OYFUJ</t>
  </si>
  <si>
    <t>PCBOQ</t>
  </si>
  <si>
    <t>DKDED</t>
  </si>
  <si>
    <t>reassigned to enum</t>
  </si>
  <si>
    <t>reassigned t0 enum</t>
  </si>
  <si>
    <t>VNCJQ</t>
  </si>
  <si>
    <t>week 1 &amp; 2 audio is entirly arabic so transcript skipped and ratings both 0 filled there.</t>
  </si>
  <si>
    <t>OBNTR</t>
  </si>
  <si>
    <t>WWWQH</t>
  </si>
  <si>
    <t>HHMBL</t>
  </si>
  <si>
    <t>JTMUR</t>
  </si>
  <si>
    <t>PMXOX</t>
  </si>
  <si>
    <t>UIODJ</t>
  </si>
  <si>
    <t>PALOG</t>
  </si>
  <si>
    <t>QPSTQ</t>
  </si>
  <si>
    <t>OSGNP</t>
  </si>
  <si>
    <t>BJNGP</t>
  </si>
  <si>
    <t>imam too much slow and echo in the voice but ok</t>
  </si>
  <si>
    <t>JIUKS</t>
  </si>
  <si>
    <t>kezga</t>
  </si>
  <si>
    <t>lyoix</t>
  </si>
  <si>
    <t>aptdt</t>
  </si>
  <si>
    <t>gydmp</t>
  </si>
  <si>
    <t>ityep</t>
  </si>
  <si>
    <t>tjbax</t>
  </si>
  <si>
    <t>uxump</t>
  </si>
  <si>
    <t>xaluj</t>
  </si>
  <si>
    <t>dodav</t>
  </si>
  <si>
    <t>ctopi</t>
  </si>
  <si>
    <t>zyeln</t>
  </si>
  <si>
    <t>week 3 Only arabic khutba</t>
  </si>
  <si>
    <t>iprwe</t>
  </si>
  <si>
    <t>hjrmq</t>
  </si>
  <si>
    <t>ndsnq</t>
  </si>
  <si>
    <t>cfhon</t>
  </si>
  <si>
    <t>dqmjv</t>
  </si>
  <si>
    <t>sqnot</t>
  </si>
  <si>
    <t>cqxog</t>
  </si>
  <si>
    <t>uleit</t>
  </si>
  <si>
    <t>wpxts</t>
  </si>
  <si>
    <t>zrpyu</t>
  </si>
  <si>
    <t>fxlbt</t>
  </si>
  <si>
    <t>hkceb</t>
  </si>
  <si>
    <t>nlhtw</t>
  </si>
  <si>
    <t>pgvos</t>
  </si>
  <si>
    <t>wgvns</t>
  </si>
  <si>
    <t>ukyke</t>
  </si>
  <si>
    <t>meepx</t>
  </si>
  <si>
    <t>vbdpl</t>
  </si>
  <si>
    <t>oqjmo</t>
  </si>
  <si>
    <t>jbeid</t>
  </si>
  <si>
    <t>pffes</t>
  </si>
  <si>
    <t>wpqfg</t>
  </si>
  <si>
    <t>akpfn</t>
  </si>
  <si>
    <t>vreau</t>
  </si>
  <si>
    <t>pxspv</t>
  </si>
  <si>
    <t>lvyea</t>
  </si>
  <si>
    <t>ojkhv</t>
  </si>
  <si>
    <t>jspgw</t>
  </si>
  <si>
    <t>ynbeh</t>
  </si>
  <si>
    <t>yeigp</t>
  </si>
  <si>
    <t>anrol</t>
  </si>
  <si>
    <t>dpaxp</t>
  </si>
  <si>
    <t>bgzlc</t>
  </si>
  <si>
    <t>frmfu</t>
  </si>
  <si>
    <t>rtfez</t>
  </si>
  <si>
    <t>xpynm</t>
  </si>
  <si>
    <t>otccu</t>
  </si>
  <si>
    <t>xiinw</t>
  </si>
  <si>
    <t>epjyx</t>
  </si>
  <si>
    <t>kcaxs</t>
  </si>
  <si>
    <t>jhzjg</t>
  </si>
  <si>
    <t>vyzqv</t>
  </si>
  <si>
    <t>vsrrf</t>
  </si>
  <si>
    <t>dfnmy</t>
  </si>
  <si>
    <t>qwlfb</t>
  </si>
  <si>
    <t>sjqhk</t>
  </si>
  <si>
    <t>xnhgf</t>
  </si>
  <si>
    <t>nhxti</t>
  </si>
  <si>
    <t>reimc</t>
  </si>
  <si>
    <t>vewig</t>
  </si>
  <si>
    <t>tktxl</t>
  </si>
  <si>
    <t>xppxx</t>
  </si>
  <si>
    <t>mxmsk</t>
  </si>
  <si>
    <t>njkni</t>
  </si>
  <si>
    <t>pnyzs</t>
  </si>
  <si>
    <t>rakei</t>
  </si>
  <si>
    <t>dqkgk</t>
  </si>
  <si>
    <t>vnnpw</t>
  </si>
  <si>
    <t xml:space="preserve">Imam was transfer and no one was avaialble to read the sermon </t>
  </si>
  <si>
    <t>joffe</t>
  </si>
  <si>
    <t>pztqo</t>
  </si>
  <si>
    <t>lrqvn</t>
  </si>
  <si>
    <t>rthfh</t>
  </si>
  <si>
    <t>coclq</t>
  </si>
  <si>
    <t>yokqu</t>
  </si>
  <si>
    <t>jydri</t>
  </si>
  <si>
    <t>hrsog</t>
  </si>
  <si>
    <t>uvkdx</t>
  </si>
  <si>
    <t>ybtbu</t>
  </si>
  <si>
    <t>pbyfm</t>
  </si>
  <si>
    <t>tebun</t>
  </si>
  <si>
    <t>xxfos</t>
  </si>
  <si>
    <t>kfsqd</t>
  </si>
  <si>
    <t>xatdf</t>
  </si>
  <si>
    <t>ekxdh</t>
  </si>
  <si>
    <t>qqsmi</t>
  </si>
  <si>
    <t>iotae</t>
  </si>
  <si>
    <t>a</t>
  </si>
  <si>
    <t>uomyf</t>
  </si>
  <si>
    <t>ndpfg</t>
  </si>
  <si>
    <t>xktyp</t>
  </si>
  <si>
    <t>mjoue</t>
  </si>
  <si>
    <t>qbvyb</t>
  </si>
  <si>
    <t>ffpzc</t>
  </si>
  <si>
    <t>kgqjv</t>
  </si>
  <si>
    <t>rujkz</t>
  </si>
  <si>
    <t>vtgkg</t>
  </si>
  <si>
    <t>vplsv</t>
  </si>
  <si>
    <t>earra</t>
  </si>
  <si>
    <t>fsjbu</t>
  </si>
  <si>
    <t>ogdxp</t>
  </si>
  <si>
    <t>ewwlq</t>
  </si>
  <si>
    <t>lpjzi</t>
  </si>
  <si>
    <t>ptthf</t>
  </si>
  <si>
    <t>paqqf</t>
  </si>
  <si>
    <t>miidk</t>
  </si>
  <si>
    <t>ytvoy</t>
  </si>
  <si>
    <t>usaou</t>
  </si>
  <si>
    <t>bxyxm</t>
  </si>
  <si>
    <t>gtjbd</t>
  </si>
  <si>
    <t>ibtrf</t>
  </si>
  <si>
    <t>ifvqa</t>
  </si>
  <si>
    <t>hhwjl</t>
  </si>
  <si>
    <t>tiius</t>
  </si>
  <si>
    <t>dkwam</t>
  </si>
  <si>
    <t>kyzwa</t>
  </si>
  <si>
    <t>xjphu</t>
  </si>
  <si>
    <t>ulfco</t>
  </si>
  <si>
    <t>rtcpq</t>
  </si>
  <si>
    <t>vemox</t>
  </si>
  <si>
    <t>fboor</t>
  </si>
  <si>
    <t>SILSS</t>
  </si>
  <si>
    <t>OMCBN</t>
  </si>
  <si>
    <t>WOHMY</t>
  </si>
  <si>
    <t>IZZPY</t>
  </si>
  <si>
    <t>GLRTM</t>
  </si>
  <si>
    <t>TGZPV</t>
  </si>
  <si>
    <t>PODYO</t>
  </si>
  <si>
    <t>CVCQU</t>
  </si>
  <si>
    <t>FOZKX</t>
  </si>
  <si>
    <t>BBYOK</t>
  </si>
  <si>
    <t>GAKOV</t>
  </si>
  <si>
    <t>EGCKN</t>
  </si>
  <si>
    <t>Week 2 only arabic 2 audio is entirly arabic so transcript skipped and ratings 0 filled there.</t>
  </si>
  <si>
    <t>CZBUV</t>
  </si>
  <si>
    <t>LNSDX</t>
  </si>
  <si>
    <t>THJDR</t>
  </si>
  <si>
    <t>GDGLP</t>
  </si>
  <si>
    <t>OPIUV</t>
  </si>
  <si>
    <t>VZBLW</t>
  </si>
  <si>
    <t>FKWYH</t>
  </si>
  <si>
    <t>end</t>
  </si>
  <si>
    <t>Sermon duration Week 1</t>
  </si>
  <si>
    <t>Sermon duration Week 2</t>
  </si>
  <si>
    <t>Sermon duration Week 3</t>
  </si>
  <si>
    <t>Sermon duration Week 4</t>
  </si>
  <si>
    <t>Sermon duration Week 5</t>
  </si>
  <si>
    <t>Sermon duration Week 6</t>
  </si>
  <si>
    <t>Lahore</t>
  </si>
  <si>
    <t>Women Religious Info Share</t>
  </si>
  <si>
    <t>Community Religious Info Share</t>
  </si>
  <si>
    <t>Control</t>
  </si>
  <si>
    <t>Community Religious No Info Share</t>
  </si>
  <si>
    <t>Women Secular Info Share</t>
  </si>
  <si>
    <t>Community Secular No Info Share</t>
  </si>
  <si>
    <t>Community Secular Info Share</t>
  </si>
  <si>
    <t>Women Religious No Info Share</t>
  </si>
  <si>
    <t>Women Secular No Info Share</t>
  </si>
  <si>
    <t>Gujrawala</t>
  </si>
  <si>
    <t>19:40:00/15:36:00</t>
  </si>
  <si>
    <t>Jhelum</t>
  </si>
  <si>
    <t>Gujrat</t>
  </si>
  <si>
    <t>Sailkot</t>
  </si>
  <si>
    <t>Shiekhupura</t>
  </si>
  <si>
    <t>Sargodha</t>
  </si>
  <si>
    <t>Khushab</t>
  </si>
  <si>
    <t>Muzaffargarh</t>
  </si>
  <si>
    <t>Multan</t>
  </si>
  <si>
    <t>Burewala</t>
  </si>
  <si>
    <t>Khanewal</t>
  </si>
  <si>
    <t>DG Khan</t>
  </si>
  <si>
    <t>Bahawalpur</t>
  </si>
  <si>
    <t>Chishtian</t>
  </si>
  <si>
    <t>Rahim Yar Khan</t>
  </si>
  <si>
    <t>khanpur</t>
  </si>
  <si>
    <t>Okara</t>
  </si>
  <si>
    <t>Pakpattan</t>
  </si>
  <si>
    <t>Sahiwal</t>
  </si>
  <si>
    <t>Faisalabad</t>
  </si>
  <si>
    <t>Jhang</t>
  </si>
  <si>
    <t>Shahkot</t>
  </si>
  <si>
    <t>Rawalpindi</t>
  </si>
  <si>
    <t>Mosque ID</t>
  </si>
  <si>
    <t>Mosque Name</t>
  </si>
  <si>
    <t>Treatment Name</t>
  </si>
  <si>
    <t>Mosque Name on Ground</t>
  </si>
  <si>
    <t>Imam Name</t>
  </si>
  <si>
    <t>Mosque Built Date</t>
  </si>
  <si>
    <t>Shrine Name</t>
  </si>
  <si>
    <t>Women’s prayer section</t>
  </si>
  <si>
    <t xml:space="preserve">Rural = 1 / Urban = 2 </t>
  </si>
  <si>
    <t>WhatsApp Location</t>
  </si>
  <si>
    <t>Latitude</t>
  </si>
  <si>
    <t>Longitude</t>
  </si>
  <si>
    <t>Closest Mosque (WhatsApp Location)</t>
  </si>
  <si>
    <t>Closest Mosque (Latitude)</t>
  </si>
  <si>
    <t>Closest Mosque (Longitude)</t>
  </si>
  <si>
    <t>Photo (Inside)</t>
  </si>
  <si>
    <t>Photo (Outside)</t>
  </si>
  <si>
    <t>Comments</t>
  </si>
  <si>
    <t>Sermon Recording (Week 1)</t>
  </si>
  <si>
    <t>Sermon Transcription (Week 1)</t>
  </si>
  <si>
    <t>Sermon Recording (Week 2)</t>
  </si>
  <si>
    <t>Sermon Transcription (Week 2)</t>
  </si>
  <si>
    <t>Sermon Recording (Week 3)</t>
  </si>
  <si>
    <t>Sermon Transcription (Week 3)</t>
  </si>
  <si>
    <t>Sermon Recording (Week 4)</t>
  </si>
  <si>
    <t>Sermon Transcription (Week 4)</t>
  </si>
  <si>
    <t>Sermon Recording (Week 5)</t>
  </si>
  <si>
    <t>Sermon Transcription (Week 5)</t>
  </si>
  <si>
    <t>Sermon Recording (Week 6)</t>
  </si>
  <si>
    <t>Sermon Transcription (Week 6)</t>
  </si>
  <si>
    <t>Attendance (Week 1)</t>
  </si>
  <si>
    <t>Attendance (Week 2)</t>
  </si>
  <si>
    <t>Attendance (Week 3)</t>
  </si>
  <si>
    <t>Attendance (Week 4)</t>
  </si>
  <si>
    <t>Attendance (Week 5)</t>
  </si>
  <si>
    <t>Attendance (Week 6)</t>
  </si>
  <si>
    <t>On a scale from 0-10, how similar was the overall message of the sermon to our script? (Week 1)</t>
  </si>
  <si>
    <t>On a scale from 0-10, how similar was the overall message of the sermon to our script? (Week 2)</t>
  </si>
  <si>
    <t>On a scale from 0-10, how similar was the overall message of the sermon to our script? (Week 3)</t>
  </si>
  <si>
    <t>On a scale from 0-10, how similar was the overall message of the sermon to our script? (Week 4)</t>
  </si>
  <si>
    <t>On a scale from 0-10, how similar was the overall message of the sermon to our script? (Week 5)</t>
  </si>
  <si>
    <t>On a scale from 0-10, how similar was the overall message of the sermon to our script? (Week 6)</t>
  </si>
  <si>
    <t>On a scale from 0-10, to what extent did the imam discuss neighbors' rights in his sermon? (Week 1)</t>
  </si>
  <si>
    <t>On a scale from 0-10, to what extent did the imam discuss neighbors' rights in his sermon? (Week 2)</t>
  </si>
  <si>
    <t>On a scale from 0-10, to what extent did the imam discuss neighbors' rights in his sermon? (Week 3)</t>
  </si>
  <si>
    <t>On a scale from 0-10, to what extent did the imam discuss neighbors' rights in his sermon? (Week 4)</t>
  </si>
  <si>
    <t>On a scale from 0-10, to what extent did the imam discuss neighbors' rights in his sermon? (Week 5)</t>
  </si>
  <si>
    <t>On a scale from 0-10, to what extent did the imam discuss neighbors' rights in his sermon? (Week 6)</t>
  </si>
  <si>
    <t>On a scale from 0-10, to what extent did the imam discuss women's rights in his sermon? (Week 1)</t>
  </si>
  <si>
    <t>On a scale from 0-10, to what extent did the imam discuss women's rights in his sermon? (Week 2)</t>
  </si>
  <si>
    <t>On a scale from 0-10, to what extent did the imam discuss women's rights in his sermon? (Week 3)</t>
  </si>
  <si>
    <t>On a scale from 0-10, to what extent did the imam discuss women's rights in his sermon? (Week 4)</t>
  </si>
  <si>
    <t>On a scale from 0-10, to what extent did the imam discuss women's rights in his sermon? (Week 5)</t>
  </si>
  <si>
    <t>On a scale from 0-10, to what extent did the imam discuss women's rights in his sermon? (Week 6)</t>
  </si>
  <si>
    <t xml:space="preserve">Takiya Hazoori Shah </t>
  </si>
  <si>
    <t>Shah Ali rangrez</t>
  </si>
  <si>
    <t xml:space="preserve">Shah Chiraag </t>
  </si>
  <si>
    <t xml:space="preserve">Peer Hakum shah </t>
  </si>
  <si>
    <t xml:space="preserve">Takiya Sain Sardaara Darbar </t>
  </si>
  <si>
    <t>Hazrat Gohar Peer Shah</t>
  </si>
  <si>
    <t xml:space="preserve">Darbar Takiya peer Hassan shah wali </t>
  </si>
  <si>
    <t xml:space="preserve">Madoh Laal Hussain </t>
  </si>
  <si>
    <t xml:space="preserve">Qurban Ali shah </t>
  </si>
  <si>
    <t>Sheer shah wali darbaar</t>
  </si>
  <si>
    <t>Syed shah Muhammad ghous</t>
  </si>
  <si>
    <t>Darbar shah Jamal</t>
  </si>
  <si>
    <t>Baba Musafir Shah</t>
  </si>
  <si>
    <t>Han g</t>
  </si>
  <si>
    <t>Darbar Johri Shah bndagi</t>
  </si>
  <si>
    <t>Darbar shah Ghadah</t>
  </si>
  <si>
    <t xml:space="preserve">Syed Musa Zanjani </t>
  </si>
  <si>
    <t>Ismail shah bukhari</t>
  </si>
  <si>
    <t>BABA BOTY SHAH</t>
  </si>
  <si>
    <t>SAYYED SAJJAD ALI AL MAROOF BABA GHULAAB SHAH</t>
  </si>
  <si>
    <t>Hazrat Baba Din Muhammad Afghani</t>
  </si>
  <si>
    <t xml:space="preserve">حضرت شاہ جہانگیر </t>
  </si>
  <si>
    <t>Peer Husain shah</t>
  </si>
  <si>
    <t>سائیں کرم الہی سرکار</t>
  </si>
  <si>
    <t>Hazrat Kabeer ud Din Daryai</t>
  </si>
  <si>
    <t xml:space="preserve">Haji Muhammad din </t>
  </si>
  <si>
    <t>Peer malah</t>
  </si>
  <si>
    <t>Peer Abdul slam chishti</t>
  </si>
  <si>
    <t>Shah masa deewan</t>
  </si>
  <si>
    <t>dszhx</t>
  </si>
  <si>
    <t>Hazrat Baba Sakhi Seyed Muhammad Said Shah</t>
  </si>
  <si>
    <t>Badshan sarkar</t>
  </si>
  <si>
    <t xml:space="preserve">Syed peer abdullah shah bukari </t>
  </si>
  <si>
    <t xml:space="preserve">Ali Rajan Shah </t>
  </si>
  <si>
    <t xml:space="preserve">Hazrat Anayet Shah Bukhari </t>
  </si>
  <si>
    <t xml:space="preserve">Hazrat Shamsher Shah Safri </t>
  </si>
  <si>
    <t>Saki Shah Habib</t>
  </si>
  <si>
    <t xml:space="preserve">Abdul Wahaab Shah Bukhari </t>
  </si>
  <si>
    <t>Hazrat Mehab Peer sarkar RA</t>
  </si>
  <si>
    <t>Syed Sakhi Zain ul Abideen (R.A.)</t>
  </si>
  <si>
    <t>Sult	an Ahmad Qataal Jalaalpur</t>
  </si>
  <si>
    <t>peer mubarak ali shah</t>
  </si>
  <si>
    <t>Abdul rasheed jhugyani</t>
  </si>
  <si>
    <t>Hazrat Shah Shams Sabzwari</t>
  </si>
  <si>
    <t xml:space="preserve"> Musa Pak Shaheed</t>
  </si>
  <si>
    <t>Bahauddin Zikriya</t>
  </si>
  <si>
    <t>Hazrat Syed Ibrahim MUltani almaroof Gosha nasheen</t>
  </si>
  <si>
    <t>Nam maloom ni</t>
  </si>
  <si>
    <t xml:space="preserve">پیر بودلہ شاہ صاحب </t>
  </si>
  <si>
    <t>Syed azeem ul deen</t>
  </si>
  <si>
    <t>Hazrat shah rukan e alam</t>
  </si>
  <si>
    <t>qkgih</t>
  </si>
  <si>
    <t>hazrat shah Habib Allah shah Bagdadi</t>
  </si>
  <si>
    <t>Syed Mula Qaid Shah sahib</t>
  </si>
  <si>
    <t>talha</t>
  </si>
  <si>
    <t>Khawaja Khuda Bhakas</t>
  </si>
  <si>
    <t>pgolj</t>
  </si>
  <si>
    <t>Rasheed Jalaal Ul Din</t>
  </si>
  <si>
    <t xml:space="preserve">Channan Pir Darbar Cholistan </t>
  </si>
  <si>
    <t xml:space="preserve">Jalaal ul din hussain </t>
  </si>
  <si>
    <t xml:space="preserve">Hazrat Mehboob Subhani </t>
  </si>
  <si>
    <t xml:space="preserve">Fazal Ul Din Laadala </t>
  </si>
  <si>
    <t>Mosque is under construction</t>
  </si>
  <si>
    <t xml:space="preserve">Peer syed sarwar shah ghelani RA </t>
  </si>
  <si>
    <t>Hazrat deewan chawali almashaikh RA</t>
  </si>
  <si>
    <t>Shiekh Faazil Ra</t>
  </si>
  <si>
    <t>Darbar Lasuri Shah Faisalabad</t>
  </si>
  <si>
    <t>Mosque is under construction so no front and inside pic</t>
  </si>
  <si>
    <t xml:space="preserve">Noor Shah Wali </t>
  </si>
  <si>
    <t>Imam Didn't allow to take pics</t>
  </si>
  <si>
    <t xml:space="preserve">Rang Wali Sarkar </t>
  </si>
  <si>
    <t>Hazart shah saddiq nehang bukhari</t>
  </si>
  <si>
    <t>imam didn;t allow take the pics</t>
  </si>
  <si>
    <t>Ghous bala peer sarkar</t>
  </si>
  <si>
    <t xml:space="preserve">this is the only enterance door </t>
  </si>
  <si>
    <t>Khuwaha Aziz Makki Sarkar Ra</t>
  </si>
  <si>
    <t>Hazrat Baba  badar ul din eshaq RA</t>
  </si>
  <si>
    <t xml:space="preserve">yh masjid ka best front hai darbar k andar masjid hai 3 main  gate aur yh badha darbar hai eska hall empty kbhi nh hota </t>
  </si>
  <si>
    <t>Hazrat peer Abdul Ghani</t>
  </si>
  <si>
    <t xml:space="preserve">Hazrat Syed baba ghor Ali shah </t>
  </si>
  <si>
    <t>czbuv</t>
  </si>
  <si>
    <t>podyo</t>
  </si>
  <si>
    <t>fozkx</t>
  </si>
  <si>
    <t>egckn</t>
  </si>
  <si>
    <t>Qari israr ul haq</t>
  </si>
  <si>
    <t>bbyok</t>
  </si>
  <si>
    <t>cvcqu</t>
  </si>
  <si>
    <t>cxyup</t>
  </si>
  <si>
    <t>vzblw</t>
  </si>
  <si>
    <t>Hazrat Baba Sher shah wali RA</t>
  </si>
  <si>
    <t>Syed Muhammad Panah Ra</t>
  </si>
  <si>
    <t>This mosque is currently under construction. Therefore, prayers are being offered in the outer courtyard, which is why pictures of the prayer hall and front view are not available</t>
  </si>
  <si>
    <t>End</t>
  </si>
  <si>
    <t>Mosque Code</t>
  </si>
  <si>
    <t>Masjid Name</t>
  </si>
  <si>
    <t>Whatsapp Location</t>
  </si>
  <si>
    <t>Jamia Masjid Syeda Muridke Shiekhupura</t>
  </si>
  <si>
    <r>
      <rPr>
        <rFont val="Calibri, sans-serif"/>
        <color rgb="FF1155CC"/>
        <sz val="11.0"/>
        <u/>
      </rPr>
      <t>https://www.google.com/maps?q=31.8018788,74.2533168</t>
    </r>
  </si>
  <si>
    <t>Jamia Masjid Masa Dewaan Shiekhupura</t>
  </si>
  <si>
    <r>
      <rPr>
        <rFont val="Calibri, sans-serif"/>
        <color rgb="FF1155CC"/>
        <sz val="11.0"/>
        <u/>
      </rPr>
      <t>https://www.google.com/maps?q=32.0023524,74.5603179</t>
    </r>
  </si>
  <si>
    <t>Jamia Masjid Amaam Bargha Kala Kachari Shiekhupura</t>
  </si>
  <si>
    <r>
      <rPr>
        <rFont val="Calibri, sans-serif"/>
        <color rgb="FF1155CC"/>
        <sz val="11.0"/>
        <u/>
      </rPr>
      <t>https://www.google.com/maps?q=31.7864383,73.9766717</t>
    </r>
  </si>
  <si>
    <t>Jamia Masjid Qalander Shah Shiekhupura</t>
  </si>
  <si>
    <r>
      <rPr>
        <rFont val="Calibri, sans-serif"/>
        <color rgb="FF1155CC"/>
        <sz val="11.0"/>
        <u/>
      </rPr>
      <t>https://www.google.com/maps?q=31.8714506,74.5247006</t>
    </r>
  </si>
  <si>
    <t>Jamia Masjid Kachari Shiekhupura</t>
  </si>
  <si>
    <r>
      <rPr>
        <rFont val="Calibri, sans-serif"/>
        <color rgb="FF1155CC"/>
        <sz val="11.0"/>
        <u/>
      </rPr>
      <t>https://www.google.com/maps?q=31.7125553,73.9844509</t>
    </r>
  </si>
  <si>
    <t>Jamia Masjid Mirza Ourkaan Shiekhupura</t>
  </si>
  <si>
    <r>
      <rPr>
        <rFont val="Calibri, sans-serif"/>
        <color rgb="FF1155CC"/>
        <sz val="11.0"/>
        <u/>
      </rPr>
      <t>https://www.google.com/maps?q=31.7166863,73.9679537</t>
    </r>
  </si>
  <si>
    <t>Jamia Masjid Farooka Abaad Shiekhupura</t>
  </si>
  <si>
    <r>
      <rPr>
        <rFont val="Calibri, sans-serif"/>
        <color rgb="FF1155CC"/>
        <sz val="11.0"/>
        <u/>
      </rPr>
      <t>https://www.google.com/maps?q=31.7409573,73.8311323</t>
    </r>
  </si>
  <si>
    <t>Jamia Masjid Railway Road Shiekhupura</t>
  </si>
  <si>
    <r>
      <rPr>
        <rFont val="Calibri, sans-serif"/>
        <color rgb="FF1155CC"/>
        <sz val="11.0"/>
        <u/>
      </rPr>
      <t>https://www.google.com/maps?q=31.7134701,73.980049</t>
    </r>
  </si>
  <si>
    <r>
      <rPr>
        <rFont val="Calibri, sans-serif"/>
        <color rgb="FF1155CC"/>
        <sz val="11.0"/>
        <u/>
      </rPr>
      <t>https://maps.google.com/maps?q=31.5742044%2C74.3040166&amp;z=17&amp;hl=en</t>
    </r>
  </si>
  <si>
    <t>Jamia Masjid Hanfiya Ghosia Shoe Market Lahore</t>
  </si>
  <si>
    <r>
      <rPr>
        <rFont val="Calibri, sans-serif"/>
        <color rgb="FF1155CC"/>
        <sz val="11.0"/>
        <u/>
      </rPr>
      <t>https://goo.gl/maps/AhMDehoqVPDpSbuv7</t>
    </r>
  </si>
  <si>
    <t>PTNJJ</t>
  </si>
  <si>
    <t>Jamia Masjid Gamti Bazar Lahore</t>
  </si>
  <si>
    <r>
      <rPr>
        <rFont val="Calibri, sans-serif"/>
        <color rgb="FF1155CC"/>
        <sz val="11.0"/>
        <u/>
      </rPr>
      <t>https://maps.google.com/maps?q=31.5822219%2C74.3164097&amp;z=17&amp;hl=en</t>
    </r>
  </si>
  <si>
    <r>
      <rPr>
        <rFont val="Calibri, sans-serif"/>
        <color rgb="FF1155CC"/>
        <sz val="11.0"/>
        <u/>
      </rPr>
      <t>https://maps.google.com/maps?q=31.5828981%2C74.3059768&amp;z=17&amp;hl=en</t>
    </r>
  </si>
  <si>
    <t>HNNHP</t>
  </si>
  <si>
    <t>Jamia Masjid Shaheed Shab-bhar Shah Alam Market Lahore</t>
  </si>
  <si>
    <t>ZQLFC</t>
  </si>
  <si>
    <r>
      <rPr>
        <rFont val="Calibri, sans-serif"/>
        <color rgb="FF1155CC"/>
        <sz val="11.0"/>
        <u/>
      </rPr>
      <t>https://maps.google.com/maps?q=31.5767703%2C74.3136464&amp;z=17&amp;hl=en</t>
    </r>
  </si>
  <si>
    <t>Jamia Masjid Maki New Anarkali Lahore</t>
  </si>
  <si>
    <r>
      <rPr>
        <rFont val="Calibri, sans-serif"/>
        <color rgb="FF1155CC"/>
        <sz val="11.0"/>
        <u/>
      </rPr>
      <t>https://maps.google.com/maps?q=31.5760629%2C74.3130287&amp;z=17&amp;hl=en</t>
    </r>
  </si>
  <si>
    <t>KSCAL</t>
  </si>
  <si>
    <t>Jamia Masjid Noor Din Pepal Wehra Lahore</t>
  </si>
  <si>
    <r>
      <rPr>
        <rFont val="Calibri, sans-serif"/>
        <color rgb="FF1155CC"/>
        <sz val="11.0"/>
        <u/>
      </rPr>
      <t>https://maps.google.com/maps?q=31.5790724%2C74.3201252&amp;z=17&amp;hl=en</t>
    </r>
  </si>
  <si>
    <t>Jamia Masjid Taxsali Gate Lahore</t>
  </si>
  <si>
    <r>
      <rPr>
        <rFont val="Calibri, sans-serif"/>
        <color rgb="FF1155CC"/>
        <sz val="11.0"/>
        <u/>
      </rPr>
      <t>https://maps.google.com/maps?q=31.5860839%2C74.3080745&amp;z=17&amp;hl=en</t>
    </r>
  </si>
  <si>
    <t>Jamia Masjid Dehli Muslim Lahore</t>
  </si>
  <si>
    <r>
      <rPr>
        <rFont val="Calibri, sans-serif"/>
        <color rgb="FF1155CC"/>
        <sz val="11.0"/>
        <u/>
      </rPr>
      <t>https://maps.google.com/maps?q=31.5740767%2C74.3134663&amp;z=17&amp;hl=en</t>
    </r>
  </si>
  <si>
    <t>WVMXF</t>
  </si>
  <si>
    <r>
      <rPr>
        <rFont val="Calibri, sans-serif"/>
        <color rgb="FF1155CC"/>
        <sz val="11.0"/>
        <u/>
      </rPr>
      <t>https://maps.google.com/maps?q=31.5734758%2C74.3221654&amp;z=17&amp;hl=en</t>
    </r>
  </si>
  <si>
    <t>Jamia Masjid Bazaad Hata Lahore</t>
  </si>
  <si>
    <r>
      <rPr>
        <rFont val="Calibri, sans-serif"/>
        <color rgb="FF1155CC"/>
        <sz val="11.0"/>
        <u/>
      </rPr>
      <t>https://maps.google.com/maps?q=31.5831058%2C74.3184517&amp;z=17&amp;hl=en</t>
    </r>
  </si>
  <si>
    <t>Jamia Masjid Laal Shah Alam Market Lahore</t>
  </si>
  <si>
    <r>
      <rPr>
        <rFont val="Calibri, sans-serif"/>
        <color rgb="FF1155CC"/>
        <sz val="11.0"/>
        <u/>
      </rPr>
      <t>https://maps.google.com/maps?q=31.5773349%2C74.3171632&amp;z=17&amp;hl=en</t>
    </r>
  </si>
  <si>
    <t>DWEBZ</t>
  </si>
  <si>
    <t>Jamia Masjid Hamam Wali Sotar Mandi Lahore</t>
  </si>
  <si>
    <r>
      <rPr>
        <rFont val="Calibri, sans-serif"/>
        <color rgb="FF1155CC"/>
        <sz val="11.0"/>
        <u/>
      </rPr>
      <t>https://maps.google.com/maps?q=31.5801501%2C74.3153044&amp;z=17&amp;hl=en</t>
    </r>
  </si>
  <si>
    <t>Jamia Masjid Barkat Bibi Lahore</t>
  </si>
  <si>
    <r>
      <rPr>
        <rFont val="Calibri, sans-serif"/>
        <color rgb="FF1155CC"/>
        <sz val="11.0"/>
        <u/>
      </rPr>
      <t>https://maps.google.com/maps?q=31.5873974%2C74.3040215&amp;z=17&amp;hl=en</t>
    </r>
  </si>
  <si>
    <t>Jamia Masjid Allah Joya Aabkaari Road Lahore</t>
  </si>
  <si>
    <r>
      <rPr>
        <rFont val="Calibri, sans-serif"/>
        <color rgb="FF1155CC"/>
        <sz val="11.0"/>
        <u/>
      </rPr>
      <t>https://maps.google.com/maps?q=31.5743089%2C74.3114858&amp;z=17&amp;hl=en</t>
    </r>
  </si>
  <si>
    <t>WJZUN</t>
  </si>
  <si>
    <t>Jamia Masjid Waqf Malik Basheer Ahumd Lahore</t>
  </si>
  <si>
    <r>
      <rPr>
        <rFont val="Calibri, sans-serif"/>
        <color rgb="FF1155CC"/>
        <sz val="11.0"/>
        <u/>
      </rPr>
      <t>https://maps.google.com/maps?q=31.5814746%2C74.3007817&amp;z=17&amp;hl=en</t>
    </r>
  </si>
  <si>
    <t>OONHE</t>
  </si>
  <si>
    <t>Jamia Masjid Bhohaar Wali Lohari Gate Lahore</t>
  </si>
  <si>
    <r>
      <rPr>
        <rFont val="Calibri, sans-serif"/>
        <color rgb="FF1155CC"/>
        <sz val="11.0"/>
        <u/>
      </rPr>
      <t>https://maps.google.com/maps?q=31.5813669%2C74.3137182&amp;z=17&amp;hl=en</t>
    </r>
  </si>
  <si>
    <t>UMIFN</t>
  </si>
  <si>
    <t>Jamia Masjid Takiya Kabotar Shah Lahore</t>
  </si>
  <si>
    <r>
      <rPr>
        <rFont val="Calibri, sans-serif"/>
        <color rgb="FF1155CC"/>
        <sz val="11.0"/>
        <u/>
      </rPr>
      <t>https://maps.google.com/maps?q=31.585691%2C74.3204243&amp;z=17&amp;hl=en</t>
    </r>
  </si>
  <si>
    <t>EOAXX</t>
  </si>
  <si>
    <t>Jamia Masjid Mae Wali Kashmir Bazar Lahore</t>
  </si>
  <si>
    <t>Jamia Masjid Unchee Laal Kuh Mochi Darwaza Lahore</t>
  </si>
  <si>
    <r>
      <rPr>
        <rFont val="Calibri, sans-serif"/>
        <color rgb="FF1155CC"/>
        <sz val="11.0"/>
        <u/>
      </rPr>
      <t>https://maps.google.com/maps?q=31.5782971%2C74.3222366&amp;z=17&amp;hl=en</t>
    </r>
  </si>
  <si>
    <t>Jamia Masjid Noor Emaan Wali Kashmri Bazar Lahore</t>
  </si>
  <si>
    <r>
      <rPr>
        <rFont val="Calibri, sans-serif"/>
        <color rgb="FF1155CC"/>
        <sz val="11.0"/>
        <u/>
      </rPr>
      <t>https://maps.google.com/maps?q=31.5834478%2C74.3211755&amp;z=17&amp;hl=en</t>
    </r>
  </si>
  <si>
    <t>KPWNE</t>
  </si>
  <si>
    <r>
      <rPr>
        <rFont val="Calibri, sans-serif"/>
        <color rgb="FF1155CC"/>
        <sz val="11.0"/>
        <u/>
      </rPr>
      <t>https://maps.google.com/maps?q=31.5839243%2C74.3165669&amp;z=17&amp;hl=en</t>
    </r>
  </si>
  <si>
    <t>Jamia Masjid Hanfiya Takiya Saduwah Lahore</t>
  </si>
  <si>
    <r>
      <rPr>
        <rFont val="Calibri, sans-serif"/>
        <color rgb="FF1155CC"/>
        <sz val="11.0"/>
        <u/>
      </rPr>
      <t>https://maps.google.com/maps?q=31.5813779%2C74.3214262&amp;z=17&amp;hl=en</t>
    </r>
  </si>
  <si>
    <t>XUYNQ</t>
  </si>
  <si>
    <r>
      <rPr>
        <rFont val="Calibri, sans-serif"/>
        <color rgb="FF1155CC"/>
        <sz val="11.0"/>
        <u/>
      </rPr>
      <t>https://maps.google.com/maps?q=31.5884155%2C74.3190388&amp;z=17&amp;hl=en</t>
    </r>
  </si>
  <si>
    <t>Jamia Masjid Neevin Bhati Gate Lahore</t>
  </si>
  <si>
    <r>
      <rPr>
        <rFont val="Calibri, sans-serif"/>
        <color rgb="FF1155CC"/>
        <sz val="11.0"/>
        <u/>
      </rPr>
      <t>https://maps.google.com/maps?q=31.5817083%2C74.3049283&amp;z=17&amp;hl=en</t>
    </r>
  </si>
  <si>
    <t>GNVLX</t>
  </si>
  <si>
    <t>Jamia Masjid Shaleha Ghumbo Mochi Gate Lahore</t>
  </si>
  <si>
    <r>
      <rPr>
        <rFont val="Calibri, sans-serif"/>
        <color rgb="FF1155CC"/>
        <sz val="11.0"/>
        <u/>
      </rPr>
      <t>https://maps.google.com/maps?q=31.5773126%2C74.3215007&amp;z=17&amp;hl=en</t>
    </r>
  </si>
  <si>
    <t>RZCCC</t>
  </si>
  <si>
    <t>Jamia Masjid Darbar Shah Muhammad Ghost Lahore</t>
  </si>
  <si>
    <r>
      <rPr>
        <rFont val="Calibri, sans-serif"/>
        <color rgb="FF1155CC"/>
        <sz val="11.0"/>
        <u/>
      </rPr>
      <t>https://maps.google.com/maps?q=31.58001708984375%2C74.326416015625&amp;z=17&amp;hl=en</t>
    </r>
  </si>
  <si>
    <t>IXHQN</t>
  </si>
  <si>
    <t>Amamiya Laal Masjid Bazaar Hakamiya Bhati Gate</t>
  </si>
  <si>
    <t>GTFGM</t>
  </si>
  <si>
    <r>
      <rPr>
        <rFont val="Calibri, sans-serif"/>
        <color rgb="FF1155CC"/>
        <sz val="11.0"/>
        <u/>
      </rPr>
      <t>https://maps.google.com/maps?q=31.5908317%2C74.3130167&amp;z=17&amp;hl=en</t>
    </r>
  </si>
  <si>
    <r>
      <rPr>
        <rFont val="Calibri, sans-serif"/>
        <color rgb="FF1155CC"/>
        <sz val="11.0"/>
        <u/>
      </rPr>
      <t>https://maps.google.com/maps?q=31.5835261%2C74.3226613&amp;z=17&amp;hl=en</t>
    </r>
  </si>
  <si>
    <t>LWUMJ</t>
  </si>
  <si>
    <t>Jamia Masjid Neela Gumbat Lahore</t>
  </si>
  <si>
    <t>https://maps.app.goo.gl/Rxz7YGn4yDVtgsDJ7</t>
  </si>
  <si>
    <r>
      <rPr>
        <rFont val="Calibri, sans-serif"/>
        <color rgb="FF1155CC"/>
        <sz val="11.0"/>
        <u/>
      </rPr>
      <t>https://maps.google.com/maps?q=31.5691184%2C74.3111879&amp;z=17&amp;hl=en</t>
    </r>
  </si>
  <si>
    <t>BPOZT</t>
  </si>
  <si>
    <t>Jamia Masjid Madina Purani Anarkali Lahore</t>
  </si>
  <si>
    <r>
      <rPr>
        <rFont val="Calibri, sans-serif"/>
        <color rgb="FF1155CC"/>
        <sz val="11.0"/>
        <u/>
      </rPr>
      <t>https://maps.google.com/maps?q=31.5644595%2C74.3106655&amp;z=17&amp;hl=en</t>
    </r>
  </si>
  <si>
    <t>Jamia Masjid Aali Nooh Coat Lahore</t>
  </si>
  <si>
    <r>
      <rPr>
        <rFont val="Calibri, sans-serif"/>
        <color rgb="FF1155CC"/>
        <sz val="11.0"/>
        <u/>
      </rPr>
      <t>https://maps.google.com/maps?q=31.504318%2C74.2550115&amp;z=17&amp;hl=en</t>
    </r>
  </si>
  <si>
    <t>UNKYF</t>
  </si>
  <si>
    <t>Jamia Masjid Tajaraar Anbiya Sabzazar Lahore</t>
  </si>
  <si>
    <t>MFROP</t>
  </si>
  <si>
    <r>
      <rPr>
        <rFont val="Calibri, sans-serif"/>
        <color rgb="FF1155CC"/>
        <sz val="11.0"/>
        <u/>
      </rPr>
      <t>https://maps.google.com/maps?q=31.5647601%2C74.2908442&amp;z=17&amp;hl=en</t>
    </r>
  </si>
  <si>
    <t>PMEQO</t>
  </si>
  <si>
    <r>
      <rPr>
        <rFont val="Calibri, sans-serif"/>
        <color rgb="FF1155CC"/>
        <sz val="11.0"/>
        <u/>
      </rPr>
      <t>https://maps.google.com/maps?q=31.5662015%2C74.3146421&amp;z=17&amp;hl=en</t>
    </r>
  </si>
  <si>
    <t>VTOIY</t>
  </si>
  <si>
    <r>
      <rPr>
        <rFont val="Calibri, sans-serif"/>
        <color rgb="FF1155CC"/>
        <sz val="11.0"/>
        <u/>
      </rPr>
      <t>https://maps.google.com/maps?q=31.5524641%2C74.3175409&amp;z=17&amp;hl=en</t>
    </r>
  </si>
  <si>
    <t>EKVZQ</t>
  </si>
  <si>
    <t>Jamia Masjid Ghangaara Nawali Lahore</t>
  </si>
  <si>
    <r>
      <rPr>
        <rFont val="Calibri, sans-serif"/>
        <color rgb="FF1155CC"/>
        <sz val="11.0"/>
        <u/>
      </rPr>
      <t>https://maps.google.com/maps?q=31.5586574%2C74.3135574&amp;z=17&amp;hl=en</t>
    </r>
  </si>
  <si>
    <t>MOORQ</t>
  </si>
  <si>
    <t>Jamia Masjid Takiya Abdul Wahaab Lahore</t>
  </si>
  <si>
    <r>
      <rPr>
        <rFont val="Calibri, sans-serif"/>
        <color rgb="FF1155CC"/>
        <sz val="11.0"/>
        <u/>
      </rPr>
      <t>https://maps.google.com/maps?q=31.5534798%2C74.3125106&amp;z=17&amp;hl=en</t>
    </r>
  </si>
  <si>
    <t>Jamia Masjid Takiya Lehri Shah Lahore</t>
  </si>
  <si>
    <r>
      <rPr>
        <rFont val="Calibri, sans-serif"/>
        <color rgb="FF1155CC"/>
        <sz val="11.0"/>
        <u/>
      </rPr>
      <t>https://maps.google.com/maps?q=31.5315355%2C74.3126097&amp;z=17&amp;hl=en</t>
    </r>
  </si>
  <si>
    <t>RHLWR</t>
  </si>
  <si>
    <r>
      <rPr>
        <rFont val="Calibri, sans-serif"/>
        <color rgb="FF1155CC"/>
        <sz val="11.0"/>
        <u/>
      </rPr>
      <t>https://maps.google.com/maps?q=31.5486526%2C74.3390041&amp;z=17&amp;hl=en</t>
    </r>
  </si>
  <si>
    <t>Jamia Masjid Bibi Pak Daman Lahore</t>
  </si>
  <si>
    <r>
      <rPr>
        <rFont val="Calibri, sans-serif"/>
        <color rgb="FF1155CC"/>
        <sz val="11.0"/>
        <u/>
      </rPr>
      <t>https://maps.google.com/maps?q=31.5644371%2C74.3387827&amp;z=17&amp;hl=en</t>
    </r>
  </si>
  <si>
    <t>JEZTX</t>
  </si>
  <si>
    <t>Jamia Masjid Darbar Peer Hadi Rehnuma Lahore</t>
  </si>
  <si>
    <r>
      <rPr>
        <rFont val="Calibri, sans-serif"/>
        <color rgb="FF1155CC"/>
        <sz val="11.0"/>
        <u/>
      </rPr>
      <t>https://maps.google.com/maps?q=31.5592031%2C74.3211046&amp;z=17&amp;hl=en</t>
    </r>
  </si>
  <si>
    <t>FEVMY</t>
  </si>
  <si>
    <t>Jamia Masjid Darbar Ismail Shah Bukhari Lahore</t>
  </si>
  <si>
    <r>
      <rPr>
        <rFont val="Calibri, sans-serif"/>
        <color rgb="FF1155CC"/>
        <sz val="11.0"/>
        <u/>
      </rPr>
      <t>https://maps.google.com/maps?q=31.5646835%2C74.3185463&amp;z=17&amp;hl=en</t>
    </r>
  </si>
  <si>
    <t>CQAFR</t>
  </si>
  <si>
    <t>Jamia Masjid Johri Shah Bandagi Lahore</t>
  </si>
  <si>
    <r>
      <rPr>
        <rFont val="Calibri, sans-serif"/>
        <color rgb="FF1155CC"/>
        <sz val="11.0"/>
        <u/>
      </rPr>
      <t>https://maps.google.com/maps?q=31.5721909%2C74.3306608&amp;z=17&amp;hl=en</t>
    </r>
  </si>
  <si>
    <t>FJKFW</t>
  </si>
  <si>
    <r>
      <rPr>
        <rFont val="Calibri, sans-serif"/>
        <color rgb="FF1155CC"/>
        <sz val="11.0"/>
        <u/>
      </rPr>
      <t>https://maps.google.com/maps?q=31.5693412%2C74.3370371&amp;z=17&amp;hl=en</t>
    </r>
  </si>
  <si>
    <t>XDHVT</t>
  </si>
  <si>
    <t>Jamia Masjid Australia Lahore</t>
  </si>
  <si>
    <r>
      <rPr>
        <rFont val="Calibri, sans-serif"/>
        <color rgb="FF1155CC"/>
        <sz val="11.0"/>
        <u/>
      </rPr>
      <t>https://maps.google.com/maps?q=31.576193%2C74.3336292&amp;z=17&amp;hl=en</t>
    </r>
  </si>
  <si>
    <t>BUVYA</t>
  </si>
  <si>
    <t>Jamia Masjid Takiya Peer Hassan Shah Wali Lahore</t>
  </si>
  <si>
    <t>https://maps.app.goo.gl/pgSCi6dwrComz1HGA</t>
  </si>
  <si>
    <t>31°34'07.2</t>
  </si>
  <si>
    <t>74°19'52.7</t>
  </si>
  <si>
    <t>NJKHF</t>
  </si>
  <si>
    <r>
      <rPr>
        <rFont val="Calibri, sans-serif"/>
        <color rgb="FF1155CC"/>
        <sz val="11.0"/>
        <u/>
      </rPr>
      <t>https://maps.google.com/maps?q=31.5877677%2C74.345873&amp;z=17&amp;hl=en</t>
    </r>
  </si>
  <si>
    <t>WYWFR</t>
  </si>
  <si>
    <r>
      <rPr>
        <rFont val="Calibri, sans-serif"/>
        <color rgb="FF1155CC"/>
        <sz val="11.0"/>
        <u/>
      </rPr>
      <t>https://maps.google.com/maps?q=31.5755784%2C74.3292907&amp;z=17&amp;hl=en</t>
    </r>
  </si>
  <si>
    <t>HBROZ</t>
  </si>
  <si>
    <t>Jamia Masjid Hanfiya Peer Hakum Shah Lahore</t>
  </si>
  <si>
    <r>
      <rPr>
        <rFont val="Calibri, sans-serif"/>
        <color rgb="FF1155CC"/>
        <sz val="11.0"/>
        <u/>
      </rPr>
      <t>https://maps.google.com/maps?q=31.5651681%2C74.3229816&amp;z=17&amp;hl=en</t>
    </r>
  </si>
  <si>
    <t>DXOME</t>
  </si>
  <si>
    <t>Jamia Masjid Bedian Road Lahore</t>
  </si>
  <si>
    <t>https://maps.app.goo.gl/5nuf3PNZkhGtgEDX7</t>
  </si>
  <si>
    <t>31°33'49.5</t>
  </si>
  <si>
    <t>74°19'19.1</t>
  </si>
  <si>
    <t>EMOTN</t>
  </si>
  <si>
    <t>Jamia Masjid Musafir Khana Ghari Shah Lahore</t>
  </si>
  <si>
    <r>
      <rPr>
        <rFont val="Calibri, sans-serif"/>
        <color rgb="FF1155CC"/>
        <sz val="11.0"/>
        <u/>
      </rPr>
      <t>https://maps.google.com/maps?q=31.5630139%2C74.3433942&amp;z=17&amp;hl=en</t>
    </r>
  </si>
  <si>
    <t>Jamia Masjid Darbr Shah Ghadah Lahore</t>
  </si>
  <si>
    <r>
      <rPr>
        <rFont val="Calibri, sans-serif"/>
        <color rgb="FF1155CC"/>
        <sz val="11.0"/>
        <u/>
      </rPr>
      <t>https://maps.google.com/maps?q=31.5680878%2C74.3453139&amp;z=17&amp;hl=en</t>
    </r>
  </si>
  <si>
    <t>MFBLR</t>
  </si>
  <si>
    <t>Jamia Masjid Khawaja Gulam Murtaza Lahore</t>
  </si>
  <si>
    <t>(No Link / Coordinates Not Provided)</t>
  </si>
  <si>
    <t>AVBGY</t>
  </si>
  <si>
    <t>Jamia Masjid Bilal Mesri Shah Lahore</t>
  </si>
  <si>
    <r>
      <rPr>
        <rFont val="Calibri, sans-serif"/>
        <color rgb="FF1155CC"/>
        <sz val="11.0"/>
        <u/>
      </rPr>
      <t>https://maps.app.goo.gl/oa993sUtC2BtQQUd7</t>
    </r>
  </si>
  <si>
    <t>SLYIW</t>
  </si>
  <si>
    <r>
      <rPr>
        <rFont val="Calibri, sans-serif"/>
        <color rgb="FF1155CC"/>
        <sz val="11.0"/>
        <u/>
      </rPr>
      <t>https://maps.google.com/maps?q=31.5856453%2C74.3374512&amp;z=17&amp;hl=en</t>
    </r>
  </si>
  <si>
    <t>OGWWF</t>
  </si>
  <si>
    <t>Jamia Masjid Hanfiya Muslim Ganj Kahchu Pura Lahore</t>
  </si>
  <si>
    <r>
      <rPr>
        <rFont val="Calibri, sans-serif"/>
        <color rgb="FF1155CC"/>
        <sz val="11.0"/>
        <u/>
      </rPr>
      <t>https://maps.google.com/maps?q=31.5842233%2C74.3376036&amp;z=17&amp;hl=en</t>
    </r>
  </si>
  <si>
    <t>LJVBY</t>
  </si>
  <si>
    <t>Jamia Masjid Darbar Musa Ranjani Lahore</t>
  </si>
  <si>
    <r>
      <rPr>
        <rFont val="Calibri, sans-serif"/>
        <color rgb="FF1155CC"/>
        <sz val="11.0"/>
        <u/>
      </rPr>
      <t>https://maps.google.com/maps?q=31.583545%2C74.3398072&amp;z=17&amp;hl=en</t>
    </r>
  </si>
  <si>
    <t>YHRDS</t>
  </si>
  <si>
    <t>Jamia Masjid Darbar Meer Hussain Rangani Lahore</t>
  </si>
  <si>
    <r>
      <rPr>
        <rFont val="Calibri, sans-serif"/>
        <color rgb="FF1155CC"/>
        <sz val="11.0"/>
        <u/>
      </rPr>
      <t>https://maps.google.com/maps?q=31.5862196%2C74.3449832&amp;z=17&amp;hl=en</t>
    </r>
  </si>
  <si>
    <t>Jamia Masjid Takiya Ujagar Shah Lahore</t>
  </si>
  <si>
    <r>
      <rPr>
        <rFont val="Calibri, sans-serif"/>
        <color rgb="FF1155CC"/>
        <sz val="11.0"/>
        <u/>
      </rPr>
      <t>https://maps.google.com/maps?q=31.5884416%2C74.3487115&amp;z=17&amp;hl=en</t>
    </r>
  </si>
  <si>
    <t>Jamia Masjid Hanifya Ghosia Scheme # 2 Lahore</t>
  </si>
  <si>
    <r>
      <rPr>
        <rFont val="Calibri, sans-serif"/>
        <color rgb="FF1155CC"/>
        <sz val="11.0"/>
        <u/>
      </rPr>
      <t>https://maps.google.com/maps?q=31.5883979%2C74.3940933&amp;z=17&amp;hl=en</t>
    </r>
  </si>
  <si>
    <t>XMEBI</t>
  </si>
  <si>
    <t>Jamia Masjid Molve Taaaj Deen Lahore</t>
  </si>
  <si>
    <r>
      <rPr>
        <rFont val="Calibri, sans-serif"/>
        <color rgb="FF1155CC"/>
        <sz val="11.0"/>
        <u/>
      </rPr>
      <t>https://maps.google.com/maps?q=31.5607%2C74.3604519&amp;z=17&amp;hl=en</t>
    </r>
  </si>
  <si>
    <t>VMEZU</t>
  </si>
  <si>
    <t>Jamia Masjid Walton Lahore</t>
  </si>
  <si>
    <r>
      <rPr>
        <rFont val="Calibri, sans-serif"/>
        <color rgb="FF1155CC"/>
        <sz val="11.0"/>
        <u/>
      </rPr>
      <t>https://maps.google.com/maps?q=31.5709116%2C74.3776771&amp;z=17&amp;hl=en</t>
    </r>
  </si>
  <si>
    <t>JYPNP</t>
  </si>
  <si>
    <t>Jamia Masjid Shiekh Sikandar Lahore</t>
  </si>
  <si>
    <r>
      <rPr>
        <rFont val="Calibri, sans-serif"/>
        <color rgb="FF1155CC"/>
        <sz val="11.0"/>
        <u/>
      </rPr>
      <t>https://maps.google.com/maps?q=31.5478558%2C74.3761134&amp;z=17&amp;hl=en</t>
    </r>
  </si>
  <si>
    <t>Jamia Masjid Abdul Ghani Lahore</t>
  </si>
  <si>
    <r>
      <rPr>
        <rFont val="Calibri, sans-serif"/>
        <color rgb="FF1155CC"/>
        <sz val="11.0"/>
        <u/>
      </rPr>
      <t>https://maps.google.com/maps?q=31.5848695%2C74.3767757&amp;z=17&amp;hl=en</t>
    </r>
  </si>
  <si>
    <t>XQVON</t>
  </si>
  <si>
    <t>Jamia Masjid Qurban Ali Shah Lahore / Darbar hazrat Qurban Ali shah</t>
  </si>
  <si>
    <r>
      <rPr>
        <rFont val="Calibri, sans-serif"/>
        <color rgb="FF1155CC"/>
        <sz val="11.0"/>
        <u/>
      </rPr>
      <t>https://maps.google.com/maps?q=31.5883979%2C74.3940933&amp;z=17&amp;hl=en</t>
    </r>
  </si>
  <si>
    <t>ZHCJL</t>
  </si>
  <si>
    <r>
      <rPr>
        <rFont val="Calibri, sans-serif"/>
        <color rgb="FF1155CC"/>
        <sz val="11.0"/>
        <u/>
      </rPr>
      <t>https://maps.google.com/maps?q=31.5806818%2C74.3605627&amp;z=17&amp;hl=en</t>
    </r>
  </si>
  <si>
    <t>Jamia Masjid Darbar Madu Laal Hussain Lahore</t>
  </si>
  <si>
    <r>
      <rPr>
        <rFont val="Calibri, sans-serif"/>
        <color rgb="FF1155CC"/>
        <sz val="11.0"/>
        <u/>
      </rPr>
      <t>https://maps.google.com/maps?q=31.5856288%2C74.3742518&amp;z=17&amp;hl=en</t>
    </r>
  </si>
  <si>
    <t>GQOMO</t>
  </si>
  <si>
    <t>Jamia Masjid Abu Bakar Sadiq Jalu Moor Lahore</t>
  </si>
  <si>
    <r>
      <rPr>
        <rFont val="Calibri, sans-serif"/>
        <color rgb="FF1155CC"/>
        <sz val="11.0"/>
        <u/>
      </rPr>
      <t>https://maps.google.com/maps?q=31.596572%2C74.4995227&amp;z=17&amp;hl=en</t>
    </r>
  </si>
  <si>
    <t>QECJR</t>
  </si>
  <si>
    <t>Darbar Hazrat Gohar peer Shah</t>
  </si>
  <si>
    <r>
      <rPr>
        <rFont val="Calibri, sans-serif"/>
        <color rgb="FF1155CC"/>
        <sz val="11.0"/>
        <u/>
      </rPr>
      <t>https://maps.google.com/maps?q=31.6009372%2C74.3954905&amp;z=17&amp;hl=en</t>
    </r>
  </si>
  <si>
    <t>HKECI</t>
  </si>
  <si>
    <r>
      <rPr>
        <rFont val="Calibri, sans-serif"/>
        <color rgb="FF1155CC"/>
        <sz val="11.0"/>
        <u/>
      </rPr>
      <t>https://maps.google.com/maps?q=31.5499248%2C74.3756515&amp;z=17&amp;hl=en</t>
    </r>
  </si>
  <si>
    <t>TWSEH</t>
  </si>
  <si>
    <t>Jamia Masjid Sadaq Ali Shah echra Lahore</t>
  </si>
  <si>
    <t>TTVEH</t>
  </si>
  <si>
    <t>Jamia Masjid Bhr Wali Hanjar Waal Lahore</t>
  </si>
  <si>
    <t>Jamia Masjid Shah Jamal Lahore</t>
  </si>
  <si>
    <r>
      <rPr>
        <rFont val="Calibri, sans-serif"/>
        <color rgb="FF1155CC"/>
        <sz val="11.0"/>
        <u/>
      </rPr>
      <t>https://maps.google.com/maps?q=31.52895%2C74.3286083&amp;z=17&amp;hl=en</t>
    </r>
  </si>
  <si>
    <t>LCWOK</t>
  </si>
  <si>
    <t>Jamia Masjid Madina Township Lahore</t>
  </si>
  <si>
    <r>
      <rPr>
        <rFont val="Calibri, sans-serif"/>
        <color rgb="FF1155CC"/>
        <sz val="11.0"/>
        <u/>
      </rPr>
      <t>https://maps.google.com/maps?q=31.4619799%2C74.3099538&amp;z=17&amp;hl=en</t>
    </r>
  </si>
  <si>
    <t>WFYXG</t>
  </si>
  <si>
    <r>
      <rPr>
        <rFont val="Calibri, sans-serif"/>
        <color rgb="FF1155CC"/>
        <sz val="11.0"/>
        <u/>
      </rPr>
      <t>https://maps.google.com/maps?q=31.5877677%2C74.345873&amp;z=17&amp;hl=en</t>
    </r>
  </si>
  <si>
    <t>Jamia Masjid Main Bazar Khushab</t>
  </si>
  <si>
    <r>
      <rPr>
        <rFont val="Calibri, sans-serif"/>
        <color rgb="FF1155CC"/>
        <sz val="11.0"/>
        <u/>
      </rPr>
      <t>https://www.google.com/maps/place/Markazi+Jamiya+Masjid,+Main+Bazar,+Khushab/@32.2941191,72.3500458,17z/data=!4m15!1m8!3m7!1s0x3921162597ce503b:0x2f7ee49841d4b080!2sKhush%C4%81b,+Khushab,+Punjab!3b1!8m2!3d32.2955365!4d72.3488721!16zL20vMDl4bHBr!3m5!1s0x3921163f768b6801:0x64603c0b00fa7cc!8m2!3d32.2935515!4d72.3538443!16s%2Fg%2F1hhwkx8wx?entry=ttu&amp;g_ep=EgoyMDI0MTAwMS4wIKXMDSoASAFQAw%3D%3D</t>
    </r>
  </si>
  <si>
    <t>Jamia Masjid Gulzar Madina Dariya Khan Bhakar</t>
  </si>
  <si>
    <r>
      <rPr>
        <rFont val="Calibri, sans-serif"/>
        <color rgb="FF1155CC"/>
        <sz val="11.0"/>
        <u/>
      </rPr>
      <t>https://www.google.com/maps?q=31.7884292,71.1076099</t>
    </r>
  </si>
  <si>
    <t>Jamia Masjid Syed Noor Pur Thal</t>
  </si>
  <si>
    <r>
      <rPr>
        <rFont val="Calibri, sans-serif"/>
        <color rgb="FF1155CC"/>
        <sz val="11.0"/>
        <u/>
      </rPr>
      <t>https://www.google.com/maps?q=31.8793269,71.9037529</t>
    </r>
  </si>
  <si>
    <t>Jamia Masjid Darbar Badshah Khushab</t>
  </si>
  <si>
    <r>
      <rPr>
        <rFont val="Calibri, sans-serif"/>
        <color rgb="FF1155CC"/>
        <sz val="11.0"/>
        <u/>
      </rPr>
      <t>https://www.google.com/maps?q=32.28773,72.3526019</t>
    </r>
  </si>
  <si>
    <t>Shahe Masjid Chiniot</t>
  </si>
  <si>
    <r>
      <rPr>
        <rFont val="Calibri, sans-serif"/>
        <color rgb="FF1155CC"/>
        <sz val="11.0"/>
        <u/>
      </rPr>
      <t>https://www.google.com/maps?q=31.7201784,72.9772104</t>
    </r>
  </si>
  <si>
    <t>NXDCP</t>
  </si>
  <si>
    <t>Jamia Masjid Kasaban Wali Chiniot</t>
  </si>
  <si>
    <t>Jamia Masjid Satellite Town</t>
  </si>
  <si>
    <r>
      <rPr>
        <rFont val="Calibri, sans-serif"/>
        <color rgb="FF1155CC"/>
        <sz val="11.0"/>
        <u/>
      </rPr>
      <t>https://maps.google.com/?q=32.0846977233887,72.6904144287109</t>
    </r>
  </si>
  <si>
    <t>Jamia Masjid Main Bazar Bhahwal</t>
  </si>
  <si>
    <r>
      <rPr>
        <rFont val="Calibri, sans-serif"/>
        <color rgb="FF1155CC"/>
        <sz val="11.0"/>
        <u/>
      </rPr>
      <t>https://maps.google.com/?q=32.2664877,72.903632</t>
    </r>
  </si>
  <si>
    <t>Jamia Masjid Sakhi Suleman Noori Hazuri</t>
  </si>
  <si>
    <r>
      <rPr>
        <rFont val="Calibri, sans-serif"/>
        <color rgb="FF1155CC"/>
        <sz val="11.0"/>
        <u/>
      </rPr>
      <t>https://www.google.com/maps?q=32.2730641,72.8746618</t>
    </r>
  </si>
  <si>
    <t>Jamia Masjid Galah Mandi Bhalwal</t>
  </si>
  <si>
    <r>
      <rPr>
        <rFont val="Calibri, sans-serif"/>
        <color rgb="FF1155CC"/>
        <sz val="11.0"/>
        <u/>
      </rPr>
      <t>https://www.google.com/maps?q=32.266441,72.9051484</t>
    </r>
  </si>
  <si>
    <t>Jamia Masjid Phalarwaan Sargodha</t>
  </si>
  <si>
    <r>
      <rPr>
        <rFont val="Calibri, sans-serif"/>
        <color rgb="FF1155CC"/>
        <sz val="11.0"/>
        <u/>
      </rPr>
      <t>https://www.google.com/maps/search/Punjab/@32.3531608581543,73.0109939575195,17z</t>
    </r>
  </si>
  <si>
    <t>EJKNU</t>
  </si>
  <si>
    <t>Jamia Masjid Kolowaal Sargodha</t>
  </si>
  <si>
    <r>
      <rPr>
        <rFont val="Calibri, sans-serif"/>
        <color rgb="FF1155CC"/>
        <sz val="11.0"/>
        <u/>
      </rPr>
      <t>https://maps.google.com/?q=32.1270669,72.4533377</t>
    </r>
  </si>
  <si>
    <t>Jamia Masjid Block # 1 Sargodha</t>
  </si>
  <si>
    <r>
      <rPr>
        <rFont val="Calibri, sans-serif"/>
        <color rgb="FF1155CC"/>
        <sz val="11.0"/>
        <u/>
      </rPr>
      <t>https://www.google.com/maps?q=32.0854693,72.6673267</t>
    </r>
  </si>
  <si>
    <t>Jamia Masjid Zia Muzam Abaad Kot Mumin</t>
  </si>
  <si>
    <r>
      <rPr>
        <rFont val="Calibri, sans-serif"/>
        <color rgb="FF1155CC"/>
        <sz val="11.0"/>
        <u/>
      </rPr>
      <t>https://www.google.com/maps/place/32%C2%B009'14.9%22N+72%C2%B055'13.3%22E/@32.1541443,72.9177742,17z/data=!3m1!4b1!4m4!3m3!8m2!3d32.1541443!4d72.9203491?entry=ttu&amp;g_ep=EgoyMDI0MTAxNi4wIKXMDSoASAFQAw%3D%3D</t>
    </r>
  </si>
  <si>
    <t>Jamia Masjid Ashrafia Gol Chowk Sargodha</t>
  </si>
  <si>
    <r>
      <rPr>
        <rFont val="Calibri, sans-serif"/>
        <color rgb="FF1155CC"/>
        <sz val="11.0"/>
        <u/>
      </rPr>
      <t>https://maps.google.com/?q=32.0872034,72.6633718</t>
    </r>
  </si>
  <si>
    <r>
      <rPr>
        <rFont val="Calibri, sans-serif"/>
        <color rgb="FF1155CC"/>
        <sz val="11.0"/>
        <u/>
      </rPr>
      <t>https://www.google.com/maps/place/32%C2%B015'59.5%22N+72%C2%B054'12.2%22E/@32.2665196,72.9008033,17z/data=!3m1!4b1!4m4!3m3!8m2!3d32.2665196!4d72.9033782?entry=ttu&amp;g_ep=EgoyMDI0MTAwMS4wIKXMDSoASAFQAw%3D%3D</t>
    </r>
  </si>
  <si>
    <t>Jamia Masjid Gulzar Madina 43 Shamali Lari Adah</t>
  </si>
  <si>
    <r>
      <rPr>
        <rFont val="Calibri, sans-serif"/>
        <color rgb="FF1155CC"/>
        <sz val="11.0"/>
        <u/>
      </rPr>
      <t>https://www.google.com/maps?q=32.0767783,72.6983749</t>
    </r>
  </si>
  <si>
    <t>Jamia Masjid Galah Mandi Sargodha</t>
  </si>
  <si>
    <r>
      <rPr>
        <rFont val="Calibri, sans-serif"/>
        <color rgb="FF1155CC"/>
        <sz val="11.0"/>
        <u/>
      </rPr>
      <t>https://www.google.com/maps?q=32.0853118896484,72.6698379516602</t>
    </r>
  </si>
  <si>
    <t>Jamia Masjid Company Bhaag Sargodha</t>
  </si>
  <si>
    <r>
      <rPr>
        <rFont val="Calibri, sans-serif"/>
        <color rgb="FF1155CC"/>
        <sz val="11.0"/>
        <u/>
      </rPr>
      <t>https://www.google.com/maps?q=32.0838981,72.664355</t>
    </r>
  </si>
  <si>
    <t>EPWTE</t>
  </si>
  <si>
    <t>Jamia Masjid Darbar Nolakha Hazari Shahkot</t>
  </si>
  <si>
    <r>
      <rPr>
        <rFont val="Calibri, sans-serif"/>
        <color rgb="FF1155CC"/>
        <sz val="11.0"/>
        <u/>
      </rPr>
      <t>https://maps.google.com/?q=31.5741166,73.4732311</t>
    </r>
  </si>
  <si>
    <t>FJUPE</t>
  </si>
  <si>
    <t>Jamia Masjid Laari Adda Shahkot</t>
  </si>
  <si>
    <r>
      <rPr>
        <rFont val="Calibri, sans-serif"/>
        <color rgb="FF1155CC"/>
        <sz val="11.0"/>
        <u/>
      </rPr>
      <t>https://www.google.com/maps?q=31.5782176,73.4759467</t>
    </r>
  </si>
  <si>
    <t>VMMFC</t>
  </si>
  <si>
    <t>Jamia Masjid Markazi Rizwi Sangala Hill</t>
  </si>
  <si>
    <r>
      <rPr>
        <rFont val="Calibri, sans-serif"/>
        <color rgb="FF1155CC"/>
        <sz val="11.0"/>
        <u/>
      </rPr>
      <t>https://maps.google.com/?q=31.7152984,73.3771368</t>
    </r>
  </si>
  <si>
    <t>FBOOR</t>
  </si>
  <si>
    <t>Jamia Masjid Syed Emam Ali Shah Sangala</t>
  </si>
  <si>
    <r>
      <rPr>
        <rFont val="Calibri, sans-serif"/>
        <color rgb="FF1155CC"/>
        <sz val="11.0"/>
        <u/>
      </rPr>
      <t>https://www.google.com/maps?q=31.7339755,73.3445062</t>
    </r>
  </si>
  <si>
    <t>ODQLQ</t>
  </si>
  <si>
    <t>Jamia Masjid Bukhari Shah Alyaas Park Faisalabad</t>
  </si>
  <si>
    <r>
      <rPr>
        <rFont val="Calibri, sans-serif"/>
        <color rgb="FF1155CC"/>
        <sz val="11.0"/>
        <u/>
      </rPr>
      <t>https://maps.google.com/maps?q=31.4202756%2C73.0431617&amp;z=17&amp;hl=en</t>
    </r>
  </si>
  <si>
    <t>Jamia Masjid Jhaal Khanuwana Faisalabad</t>
  </si>
  <si>
    <r>
      <rPr>
        <rFont val="Calibri, sans-serif"/>
        <color rgb="FF1155CC"/>
        <sz val="11.0"/>
        <u/>
      </rPr>
      <t>https://www.google.com/maps?q=31.4099091,73.0939349</t>
    </r>
  </si>
  <si>
    <t>KYZWA</t>
  </si>
  <si>
    <t>Jamia Masjid Darbar Noor Shah Wali Faisalabad</t>
  </si>
  <si>
    <r>
      <rPr>
        <rFont val="Calibri, sans-serif"/>
        <color rgb="FF1155CC"/>
        <sz val="11.0"/>
        <u/>
      </rPr>
      <t>https://maps.google.com/maps?q=31.4256616%2C73.0975612&amp;z=17&amp;hl=en</t>
    </r>
  </si>
  <si>
    <t>Jamia Masjid Noor Tariqbaad</t>
  </si>
  <si>
    <r>
      <rPr>
        <rFont val="Calibri, sans-serif"/>
        <color rgb="FF1155CC"/>
        <sz val="11.0"/>
        <u/>
      </rPr>
      <t>https://maps.google.com/maps?q=31.4229563%2C73.100885&amp;z=17&amp;hl=en</t>
    </r>
  </si>
  <si>
    <t>RDZLA</t>
  </si>
  <si>
    <t>Jamia Masjid Rehmaniya Ali Town Sargodha Road Faisalabad</t>
  </si>
  <si>
    <r>
      <rPr>
        <rFont val="Calibri, sans-serif"/>
        <color rgb="FF1155CC"/>
        <sz val="11.0"/>
        <u/>
      </rPr>
      <t>https://maps.google.com/maps?q=31.4767418%2C73.0774172&amp;z=17&amp;hl=en</t>
    </r>
  </si>
  <si>
    <t>MXEBB</t>
  </si>
  <si>
    <t>Jamia Masjid Hanfiya Gujra Basti Faisalabad</t>
  </si>
  <si>
    <r>
      <rPr>
        <rFont val="Calibri, sans-serif"/>
        <color rgb="FF1155CC"/>
        <sz val="11.0"/>
        <u/>
      </rPr>
      <t>https://maps.google.com/maps?q=31.4238529%2C73.072792&amp;z=17&amp;hl=en</t>
    </r>
  </si>
  <si>
    <t>ESTSN</t>
  </si>
  <si>
    <t>Jamia Masjid Haji Muhammad Din 125 Jharawala</t>
  </si>
  <si>
    <r>
      <rPr>
        <rFont val="Calibri, sans-serif"/>
        <color rgb="FF1155CC"/>
        <sz val="11.0"/>
        <u/>
      </rPr>
      <t>https://www.google.com/maps?q=31.3899204,73.4438562</t>
    </r>
  </si>
  <si>
    <t>DKWAM</t>
  </si>
  <si>
    <t>Jamia Masjid Gulzar Madina Gala Mandi Ameem Pura</t>
  </si>
  <si>
    <r>
      <rPr>
        <rFont val="Calibri, sans-serif"/>
        <color rgb="FF1155CC"/>
        <sz val="11.0"/>
        <u/>
      </rPr>
      <t>https://maps.app.goo.gl/J41qAuEDEuH3aCWQ7</t>
    </r>
  </si>
  <si>
    <t>73.081675 (approx extracted)</t>
  </si>
  <si>
    <t>LDKRI</t>
  </si>
  <si>
    <t>Jamia Masjid Hanfiya Ghazi Abad Faisalabad</t>
  </si>
  <si>
    <r>
      <rPr>
        <rFont val="Calibri, sans-serif"/>
        <color rgb="FF1155CC"/>
        <sz val="11.0"/>
        <u/>
      </rPr>
      <t>https://maps.google.com/maps?q=31.4070824%2C73.0992917&amp;z=17&amp;hl=en</t>
    </r>
  </si>
  <si>
    <t>ULFCO</t>
  </si>
  <si>
    <t>Jamia Masjid Muhammadiya Qasim Bazar Faisalabad</t>
  </si>
  <si>
    <r>
      <rPr>
        <rFont val="Calibri, sans-serif"/>
        <color rgb="FF1155CC"/>
        <sz val="11.0"/>
        <u/>
      </rPr>
      <t>https://maps.app.goo.gl/zyXgXmfGc29Qjv7eA</t>
    </r>
  </si>
  <si>
    <t>RWYUI</t>
  </si>
  <si>
    <t>Jamia Masjid Madini Samnabad Faisalabad</t>
  </si>
  <si>
    <r>
      <rPr>
        <rFont val="Calibri, sans-serif"/>
        <color rgb="FF1155CC"/>
        <sz val="11.0"/>
        <u/>
      </rPr>
      <t>https://maps.google.com/maps?q=31.386611%2C73.0676337&amp;z=17&amp;hl=en</t>
    </r>
  </si>
  <si>
    <t>CFCVK</t>
  </si>
  <si>
    <t>Jamia Masjid Islam Pura Dhobi Ghaat Faisalabad</t>
  </si>
  <si>
    <r>
      <rPr>
        <rFont val="Calibri, sans-serif"/>
        <color rgb="FF1155CC"/>
        <sz val="11.0"/>
        <u/>
      </rPr>
      <t>https://maps.google.com/maps?q=31.4190872%2C73.0707269&amp;z=17&amp;hl=en</t>
    </r>
  </si>
  <si>
    <t>YXVUT</t>
  </si>
  <si>
    <t>Jamia Masjid Taleem Ul Quran Gojara</t>
  </si>
  <si>
    <r>
      <rPr>
        <rFont val="Calibri, sans-serif"/>
        <color rgb="FF1155CC"/>
        <sz val="11.0"/>
        <u/>
      </rPr>
      <t>https://maps.google.com/maps?q=31.1472344%2C72.6853471&amp;z=17&amp;hl=en</t>
    </r>
  </si>
  <si>
    <t>RYMQE</t>
  </si>
  <si>
    <t>Jamia Masjid Darbar Nathu Shah Sharazi Faisalabad</t>
  </si>
  <si>
    <r>
      <rPr>
        <rFont val="Calibri, sans-serif"/>
        <color rgb="FF1155CC"/>
        <sz val="11.0"/>
        <u/>
      </rPr>
      <t>https://maps.google.com/maps?q=30.8273066%2C73.0425494&amp;z=17&amp;hl=en</t>
    </r>
  </si>
  <si>
    <t>PJYGT</t>
  </si>
  <si>
    <t>Jamia Masjid Tehseel Wali Kachari Bazar Faisalabad</t>
  </si>
  <si>
    <r>
      <rPr>
        <rFont val="Calibri, sans-serif"/>
        <color rgb="FF1155CC"/>
        <sz val="11.0"/>
        <u/>
      </rPr>
      <t>https://www.google.com/maps?q=31.4200577,73.0825363</t>
    </r>
  </si>
  <si>
    <t>Jamia Masjid Gool Karyana Karkhana Bazar Faisalabad</t>
  </si>
  <si>
    <r>
      <rPr>
        <rFont val="Calibri, sans-serif"/>
        <color rgb="FF1155CC"/>
        <sz val="11.0"/>
        <u/>
      </rPr>
      <t>https://maps.google.com/maps?q=31.4176302%2C73.0809117&amp;z=17&amp;hl=en</t>
    </r>
  </si>
  <si>
    <t>VLDWG</t>
  </si>
  <si>
    <t>Jamia Masjid Eid Ghah Madal Town B Faisalabad</t>
  </si>
  <si>
    <r>
      <rPr>
        <rFont val="Calibri, sans-serif"/>
        <color rgb="FF1155CC"/>
        <sz val="11.0"/>
        <u/>
      </rPr>
      <t>https://maps.app.goo.gl/WFAjez9Kfhc4zbF57</t>
    </r>
  </si>
  <si>
    <t>73.08390 (approx)</t>
  </si>
  <si>
    <t>KAMRB</t>
  </si>
  <si>
    <r>
      <rPr>
        <rFont val="Calibri, sans-serif"/>
        <color rgb="FF1155CC"/>
        <sz val="11.0"/>
        <u/>
      </rPr>
      <t>https://www.google.com/maps?q=31.1701072,72.8817263</t>
    </r>
  </si>
  <si>
    <t>CEGDY</t>
  </si>
  <si>
    <t>Jamia Masjid Muhammadiya Chastiya Makwana Faisalabad</t>
  </si>
  <si>
    <r>
      <rPr>
        <rFont val="Calibri, sans-serif"/>
        <color rgb="FF1155CC"/>
        <sz val="11.0"/>
        <u/>
      </rPr>
      <t>https://www.google.com/maps?q=31.3881811,73.1997689</t>
    </r>
  </si>
  <si>
    <t>TIIUS</t>
  </si>
  <si>
    <t>Jamia Masjid Darbar Lasuri Shah Faisalabad</t>
  </si>
  <si>
    <r>
      <rPr>
        <rFont val="Calibri, sans-serif"/>
        <color rgb="FF1155CC"/>
        <sz val="11.0"/>
        <u/>
      </rPr>
      <t>https://maps.google.com/maps?q=31.4160765%2C73.0771168&amp;z=17&amp;hl=en</t>
    </r>
  </si>
  <si>
    <t>XJPHU</t>
  </si>
  <si>
    <t>Jamia Masjid Darbar Rung Ali Sarkar Faisalabad</t>
  </si>
  <si>
    <r>
      <rPr>
        <rFont val="Calibri, sans-serif"/>
        <color rgb="FF1155CC"/>
        <sz val="11.0"/>
        <u/>
      </rPr>
      <t>https://maps.google.com/maps?q=31.2875093%2C72.8671717&amp;z=17&amp;hl=en</t>
    </r>
  </si>
  <si>
    <t>BTUIP</t>
  </si>
  <si>
    <r>
      <rPr>
        <rFont val="Calibri, sans-serif"/>
        <color rgb="FF1155CC"/>
        <sz val="11.0"/>
        <u/>
      </rPr>
      <t>https://www.google.com/maps?q=31.3939836,73.0724894</t>
    </r>
  </si>
  <si>
    <t>CMWPS</t>
  </si>
  <si>
    <t>Jamia Masjid Qasimiya Rehmy Shah Faisalabad</t>
  </si>
  <si>
    <r>
      <rPr>
        <rFont val="Calibri, sans-serif"/>
        <color rgb="FF1155CC"/>
        <sz val="11.0"/>
        <u/>
      </rPr>
      <t>https://maps.google.com/maps?q=30.9432969%2C73.0034394&amp;z=17&amp;hl=en</t>
    </r>
  </si>
  <si>
    <t>RTCPQ</t>
  </si>
  <si>
    <t>Jamia Masjid Ghala Mandi Gojara</t>
  </si>
  <si>
    <r>
      <rPr>
        <rFont val="Calibri, sans-serif"/>
        <color rgb="FF1155CC"/>
        <sz val="11.0"/>
        <u/>
      </rPr>
      <t>https://maps.google.com/maps?q=31.1461296%2C72.6847306&amp;z=17&amp;hl=en</t>
    </r>
  </si>
  <si>
    <t>GGHZZ</t>
  </si>
  <si>
    <t>Jamia Masjid Markazi Toba Tak Sing</t>
  </si>
  <si>
    <r>
      <rPr>
        <rFont val="Calibri, sans-serif"/>
        <color rgb="FF1155CC"/>
        <sz val="11.0"/>
        <u/>
      </rPr>
      <t>https://maps.google.com/maps?q=30.9714979%2C72.4801989&amp;z=17&amp;hl=en</t>
    </r>
  </si>
  <si>
    <t>KOCQJ</t>
  </si>
  <si>
    <t>Jamia Masjid Kalah Kachari Bazar Faisalabad</t>
  </si>
  <si>
    <r>
      <rPr>
        <rFont val="Calibri, sans-serif"/>
        <color rgb="FF1155CC"/>
        <sz val="11.0"/>
        <u/>
      </rPr>
      <t>https://www.google.com/maps?q=31.4198774,73.0796151</t>
    </r>
  </si>
  <si>
    <t>FPYZE</t>
  </si>
  <si>
    <t>Jamia Masjid Noor Shaheed Road Jhang</t>
  </si>
  <si>
    <r>
      <rPr>
        <rFont val="Calibri, sans-serif"/>
        <color rgb="FF1155CC"/>
        <sz val="11.0"/>
        <u/>
      </rPr>
      <t>https://maps.google.com/maps?q=31.275045%2C72.3155117&amp;z=17&amp;hl=en</t>
    </r>
  </si>
  <si>
    <t>VEMOX</t>
  </si>
  <si>
    <t>Jamia Masjid Qaziya Nawali Jhang</t>
  </si>
  <si>
    <r>
      <rPr>
        <rFont val="Calibri, sans-serif"/>
        <color rgb="FF1155CC"/>
        <sz val="11.0"/>
        <u/>
      </rPr>
      <t>https://maps.google.com/maps?q=31.274439%2C72.3097682&amp;z=17&amp;hl=en</t>
    </r>
  </si>
  <si>
    <t>KDJOC</t>
  </si>
  <si>
    <t>Jamia Masjid Court Road Jhung Sadar Jhang</t>
  </si>
  <si>
    <r>
      <rPr>
        <rFont val="Calibri, sans-serif"/>
        <color rgb="FF1155CC"/>
        <sz val="11.0"/>
        <u/>
      </rPr>
      <t>https://www.google.com/maps?q=31.275045,72.3155117</t>
    </r>
  </si>
  <si>
    <t>SHKSD</t>
  </si>
  <si>
    <t>Jamia Masjid Muhammadiya Waqaf Yaseeni Kot Laal Wariyaam Jhang</t>
  </si>
  <si>
    <r>
      <rPr>
        <rFont val="Calibri, sans-serif"/>
        <color rgb="FF1155CC"/>
        <sz val="11.0"/>
        <u/>
      </rPr>
      <t>https://maps.google.com/maps?q=30.9630071%2C72.2541962&amp;z=17&amp;hl=en</t>
    </r>
  </si>
  <si>
    <t>LSQFY</t>
  </si>
  <si>
    <t>Jamia Masjid Haji Muhammad Din Shorkot Cant</t>
  </si>
  <si>
    <r>
      <rPr>
        <rFont val="Calibri, sans-serif"/>
        <color rgb="FF1155CC"/>
        <sz val="11.0"/>
        <u/>
      </rPr>
      <t>https://maps.google.com/maps?q=30.9679634%2C72.2743134&amp;z=17&amp;hl=en</t>
    </r>
  </si>
  <si>
    <t>VIGSE</t>
  </si>
  <si>
    <t>Jamia Masjid Darbar Shah Sadaq Nehnang Shorkot</t>
  </si>
  <si>
    <r>
      <rPr>
        <rFont val="Calibri, sans-serif"/>
        <color rgb="FF1155CC"/>
        <sz val="11.0"/>
        <u/>
      </rPr>
      <t>https://maps.google.com/maps?q=30.939858765352707%2C72.16252114623785&amp;z=17&amp;hl=en</t>
    </r>
  </si>
  <si>
    <t>GLPFO</t>
  </si>
  <si>
    <t>Jamia Masjid Ahle Sunnat Wal Jamaat Garh Maharaja Ahumedpur Sial</t>
  </si>
  <si>
    <r>
      <rPr>
        <rFont val="Calibri, sans-serif"/>
        <color rgb="FF1155CC"/>
        <sz val="11.0"/>
        <u/>
      </rPr>
      <t>https://maps.google.com/maps?q=30.832267%2C71.9055705&amp;z=17&amp;hl=en</t>
    </r>
  </si>
  <si>
    <t>Jamia Masjid Shah Rukan Alam Multan</t>
  </si>
  <si>
    <r>
      <rPr>
        <rFont val="Calibri, sans-serif"/>
        <color rgb="FF1155CC"/>
        <sz val="11.0"/>
        <u/>
      </rPr>
      <t>https://www.google.com/maps?q=30.1998957,71.4709369&amp;z=17&amp;hl=en</t>
    </r>
  </si>
  <si>
    <t>Jamia Masjid Bakar Abad Multan</t>
  </si>
  <si>
    <r>
      <rPr>
        <rFont val="Calibri, sans-serif"/>
        <color rgb="FF1155CC"/>
        <sz val="11.0"/>
        <u/>
      </rPr>
      <t>https://maps.google.com/maps?q=30.2041953%2C71.5200364&amp;z=17&amp;hl=en</t>
    </r>
  </si>
  <si>
    <t>Jamia Masjid Balochaan Wali Multan</t>
  </si>
  <si>
    <t>https://maps.app.goo.gl/F3rEtYsCERKCV2t69</t>
  </si>
  <si>
    <t>Jamia Masjid Neel Garan Multan</t>
  </si>
  <si>
    <r>
      <rPr>
        <rFont val="Calibri, sans-serif"/>
        <color rgb="FF1155CC"/>
        <sz val="11.0"/>
        <u/>
      </rPr>
      <t>https://maps.google.com/maps?q=30.1919452%2C71.4781486&amp;z=17&amp;hl=en</t>
    </r>
  </si>
  <si>
    <t>Jamia Masjid Ghawajagaan Multan</t>
  </si>
  <si>
    <r>
      <rPr>
        <rFont val="Calibri, sans-serif"/>
        <color rgb="FF1155CC"/>
        <sz val="11.0"/>
        <u/>
      </rPr>
      <t>https://maps.google.com/maps?q=30.1888693%2C71.4727359&amp;z=17&amp;hl=en</t>
    </r>
  </si>
  <si>
    <t>Jamia Masjid Peer Ashaq Khawani Burj Multan</t>
  </si>
  <si>
    <r>
      <rPr>
        <rFont val="Calibri, sans-serif"/>
        <color rgb="FF1155CC"/>
        <sz val="11.0"/>
        <u/>
      </rPr>
      <t>https://www.google.com/maps?q=30.18822,71.4762925</t>
    </r>
  </si>
  <si>
    <r>
      <rPr>
        <rFont val="Calibri, sans-serif"/>
        <color rgb="FF1155CC"/>
        <sz val="11.0"/>
        <u/>
      </rPr>
      <t>https://maps.google.com/maps?q=30.1900445%2C71.4696343&amp;z=17&amp;hl=en</t>
    </r>
  </si>
  <si>
    <r>
      <rPr>
        <rFont val="Calibri, sans-serif"/>
        <color rgb="FF1155CC"/>
        <sz val="11.0"/>
        <u/>
      </rPr>
      <t>https://www.google.com/maps?q=30.1976348,71.4792691</t>
    </r>
  </si>
  <si>
    <r>
      <rPr>
        <rFont val="Calibri, sans-serif"/>
        <color rgb="FF1155CC"/>
        <sz val="11.0"/>
        <u/>
      </rPr>
      <t>https://goo.gl/maps/wqRxtfXKwtn7eZFz9</t>
    </r>
  </si>
  <si>
    <t>71.46691 (approx)</t>
  </si>
  <si>
    <t>Jamia Masjid Shah Shams ( Barlevri ) Multan</t>
  </si>
  <si>
    <r>
      <rPr>
        <rFont val="Calibri, sans-serif"/>
        <color rgb="FF1155CC"/>
        <sz val="11.0"/>
        <u/>
      </rPr>
      <t>https://maps.google.com/maps?q=30.2014192%2C71.4838604&amp;z=17&amp;hl=en</t>
    </r>
  </si>
  <si>
    <r>
      <rPr>
        <rFont val="Calibri, sans-serif"/>
        <color rgb="FF1155CC"/>
        <sz val="11.0"/>
        <u/>
      </rPr>
      <t>https://maps.google.com/maps?q=30.1905367%2C71.4716567&amp;z=17&amp;hl=en</t>
    </r>
  </si>
  <si>
    <t>Jamia Masjid Jhok Veenus Multan</t>
  </si>
  <si>
    <r>
      <rPr>
        <rFont val="Calibri, sans-serif"/>
        <color rgb="FF1155CC"/>
        <sz val="11.0"/>
        <u/>
      </rPr>
      <t>https://www.google.com/maps/place/30%C2%B023'24.9%22N+71%C2%B034'13.5%22E/@30.3902399,71.5678348,17z/data=!3m1!4b1!4m4!3m3!8m2!3d30.3902399!4d71.5704097?entry=ttu&amp;g_ep=EgoyMDI0MTEwNS4wIKXMDSoASAFQAw%3D%3D</t>
    </r>
  </si>
  <si>
    <t>CQXOG</t>
  </si>
  <si>
    <t>Jamia Masjid Mehdum Rasheed Haqani Multan</t>
  </si>
  <si>
    <r>
      <rPr>
        <rFont val="Calibri, sans-serif"/>
        <color rgb="FF1155CC"/>
        <sz val="11.0"/>
        <u/>
      </rPr>
      <t>https://maps.google.com/maps?q=30.0864226%2C71.6527768&amp;z=17&amp;hl=en</t>
    </r>
  </si>
  <si>
    <t>Jamia Masjid Madina Pepal Wali Multan</t>
  </si>
  <si>
    <r>
      <rPr>
        <rFont val="Calibri, sans-serif"/>
        <color rgb="FF1155CC"/>
        <sz val="11.0"/>
        <u/>
      </rPr>
      <t>https://maps.google.com/maps?q=30.3902399%2C71.5704097&amp;z=17&amp;hl=en</t>
    </r>
  </si>
  <si>
    <t>Jamia Masjid Madina Bohar Gate Multan</t>
  </si>
  <si>
    <r>
      <rPr>
        <rFont val="Calibri, sans-serif"/>
        <color rgb="FF1155CC"/>
        <sz val="11.0"/>
        <u/>
      </rPr>
      <t>https://www.google.com/maps/search/Haram%20Gate/@30.1905714678631,71.4710957413466,17z</t>
    </r>
  </si>
  <si>
    <t>Jamia Masjid Kale Mandi Multan</t>
  </si>
  <si>
    <r>
      <rPr>
        <rFont val="Calibri, sans-serif"/>
        <color rgb="FF1155CC"/>
        <sz val="11.0"/>
        <u/>
      </rPr>
      <t>https://www.google.com/maps/place/30%C2%B011'32.3%22N+71%C2%B028'14.5%22E/@30.1923015,71.4681203,17z/data=!3m1!4b1!4m4!3m3!8m2!3d30.1923015!4d71.4706952?entry=ttu&amp;g_ep=EgoyMDI1MTExNy4wIKXMDSoASAFQAw%3D%3D</t>
    </r>
  </si>
  <si>
    <t>Jamia Masjid Phonagra Nawali Multan</t>
  </si>
  <si>
    <r>
      <rPr>
        <rFont val="Calibri, sans-serif"/>
        <color rgb="FF1155CC"/>
        <sz val="11.0"/>
        <u/>
      </rPr>
      <t>https://www.google.com/maps/place/30%C2%B011'38.6%22N+71%C2%B028'25.0%22E/@30.1940506,71.4710374,17z/data=!3m1!4b1!4m4!3m3!8m2!3d30.1940506!4d71.4736123?entry=ttu&amp;g_ep=EgoyMDI1MTExNy4wIKXMDSoASAFQAw%3D%3D</t>
    </r>
  </si>
  <si>
    <t>Jamia Masjid Gul Hassan Shahnawah Multan</t>
  </si>
  <si>
    <r>
      <rPr>
        <rFont val="Calibri, sans-serif"/>
        <color rgb="FF1155CC"/>
        <sz val="11.0"/>
        <u/>
      </rPr>
      <t>https://maps.google.com/maps?q=30.19407%2C71.4546925&amp;z=17&amp;hl=en</t>
    </r>
  </si>
  <si>
    <t>Jamia Masjid Gul Din Coloney Nawah City Multan</t>
  </si>
  <si>
    <r>
      <rPr>
        <rFont val="Calibri, sans-serif"/>
        <color rgb="FF1155CC"/>
        <sz val="11.0"/>
        <u/>
      </rPr>
      <t>https://maps.google.com/maps?q=30.1919897%2C71.4549042&amp;z=17&amp;hl=en</t>
    </r>
  </si>
  <si>
    <t>Jamia Masjid Multan Cantt Multan</t>
  </si>
  <si>
    <r>
      <rPr>
        <color rgb="FF1155CC"/>
        <u/>
      </rPr>
      <t>30°11'17.1"N 71°26'17.8"E - Google Maps</t>
    </r>
  </si>
  <si>
    <t>Jamia Masjid DarkhanWali Multan</t>
  </si>
  <si>
    <r>
      <rPr>
        <rFont val="Calibri, sans-serif"/>
        <color rgb="FF1155CC"/>
        <sz val="11.0"/>
        <u/>
      </rPr>
      <t>https://maps.google.com/?q=30.1905125,71.469755</t>
    </r>
  </si>
  <si>
    <t>Jamia Masjid Sarai Ghulam Rasool Multan</t>
  </si>
  <si>
    <r>
      <rPr>
        <rFont val="Calibri, sans-serif"/>
        <color rgb="FF1155CC"/>
        <sz val="11.0"/>
        <u/>
      </rPr>
      <t>https://maps.google.com/maps?q=30.1888188%2C71.4714961&amp;z=17&amp;hl=en</t>
    </r>
  </si>
  <si>
    <t>Jamia Masjid Gul Wali Haram Gate Multan</t>
  </si>
  <si>
    <r>
      <rPr>
        <rFont val="Calibri, sans-serif"/>
        <color rgb="FF1155CC"/>
        <sz val="11.0"/>
        <u/>
      </rPr>
      <t>https://maps.google.com/maps?q=30.1882712%2C71.4695481&amp;z=17&amp;hl=en</t>
    </r>
  </si>
  <si>
    <t>Jamia Masjid Jahnaaz Gha Multan</t>
  </si>
  <si>
    <r>
      <rPr>
        <rFont val="Calibri, sans-serif"/>
        <color rgb="FF1155CC"/>
        <sz val="11.0"/>
        <u/>
      </rPr>
      <t>https://www.google.com/maps?q=30.1842724,71.4677191</t>
    </r>
  </si>
  <si>
    <t>Jamia Masjid Khunagran wali Multan</t>
  </si>
  <si>
    <r>
      <rPr>
        <rFont val="Calibri, sans-serif"/>
        <color rgb="FF1155CC"/>
        <sz val="11.0"/>
        <u/>
      </rPr>
      <t>https://maps.google.com/?q=30.1888683,71.4686767</t>
    </r>
  </si>
  <si>
    <r>
      <rPr>
        <rFont val="Calibri, sans-serif"/>
        <color rgb="FF1155CC"/>
        <sz val="11.0"/>
        <u/>
      </rPr>
      <t>https://maps.google.com/maps?q=30.1932817%2C71.4714104&amp;z=17&amp;hl=en</t>
    </r>
  </si>
  <si>
    <t>Jamia Masjid Sirajaan Wali Hussain Agahi Multan</t>
  </si>
  <si>
    <r>
      <rPr>
        <rFont val="Calibri, sans-serif"/>
        <color rgb="FF1155CC"/>
        <sz val="11.0"/>
        <u/>
      </rPr>
      <t>https://www.google.com/maps?q=30.1953384,71.4747022</t>
    </r>
  </si>
  <si>
    <t>Jamia Masjid Qasabaan Wali Multan</t>
  </si>
  <si>
    <r>
      <rPr>
        <rFont val="Calibri, sans-serif"/>
        <color rgb="FF1155CC"/>
        <sz val="11.0"/>
        <u/>
      </rPr>
      <t>https://maps.google.com/?q=30.1916734,71.4711067</t>
    </r>
  </si>
  <si>
    <r>
      <rPr>
        <rFont val="Calibri, sans-serif"/>
        <color rgb="FF1155CC"/>
        <sz val="11.0"/>
        <u/>
      </rPr>
      <t>https://maps.google.com/maps?q=30.1915612%2C71.4728007&amp;z=17&amp;hl=en</t>
    </r>
  </si>
  <si>
    <t>Jamia Masjid Nawab Ali Muhammad Khan Multan</t>
  </si>
  <si>
    <r>
      <rPr>
        <rFont val="Calibri, sans-serif"/>
        <color rgb="FF1155CC"/>
        <sz val="11.0"/>
        <u/>
      </rPr>
      <t>https://maps.google.com/maps?q=30.192173%2C71.4720247&amp;z=17&amp;hl=en</t>
    </r>
  </si>
  <si>
    <t>Jamia Masjid Baha Ul Din Zikriya Multan</t>
  </si>
  <si>
    <r>
      <rPr>
        <rFont val="Calibri, sans-serif"/>
        <color rgb="FF1155CC"/>
        <sz val="11.0"/>
        <u/>
      </rPr>
      <t>https://maps.app.goo.gl/cboL6o9SS8evb71K7</t>
    </r>
  </si>
  <si>
    <t>71.474829 (approx)</t>
  </si>
  <si>
    <t>Jamia Masjid Jalal Gilghast Coloney Multan</t>
  </si>
  <si>
    <r>
      <rPr>
        <rFont val="Calibri, sans-serif"/>
        <color rgb="FF1155CC"/>
        <sz val="11.0"/>
        <u/>
      </rPr>
      <t>https://www.google.com/maps/place/30%C2%B013'40.5%22N+71%C2%B028'32.0%22E/@30.2279235,71.4729724,17z/data=!3m1!4b1!4m4!3m3!8m2!3d30.2279235!4d71.4755473?entry=ttu&amp;g_ep=EgoyMDI1MTExNy4wIKXMDSoASAFQAw%3D%3D</t>
    </r>
  </si>
  <si>
    <t>Jamia Masjid Kumhaar Mandi Multan</t>
  </si>
  <si>
    <r>
      <rPr>
        <rFont val="Calibri, sans-serif"/>
        <color rgb="FF1155CC"/>
        <sz val="11.0"/>
        <u/>
      </rPr>
      <t>https://maps.google.com/maps?q=30.1779656%2C71.4440599&amp;z=17&amp;hl=en</t>
    </r>
  </si>
  <si>
    <t>Jamia Masjid Peer Mubarak Ali Shah Multan</t>
  </si>
  <si>
    <r>
      <rPr>
        <rFont val="Calibri, sans-serif"/>
        <color rgb="FF1155CC"/>
        <sz val="11.0"/>
        <u/>
      </rPr>
      <t>https://maps.google.com/maps?q=30.1728005%2C71.4713214&amp;z=17&amp;hl=en</t>
    </r>
  </si>
  <si>
    <t>Jamia Masjid Zain Ul Abdain Multan</t>
  </si>
  <si>
    <r>
      <rPr>
        <rFont val="Calibri, sans-serif"/>
        <color rgb="FF1155CC"/>
        <sz val="11.0"/>
        <u/>
      </rPr>
      <t>https://goo.gl/maps/wqRxtfXKwtn7eZFz9</t>
    </r>
  </si>
  <si>
    <t>71.471095 (approx)</t>
  </si>
  <si>
    <r>
      <rPr>
        <rFont val="Calibri, sans-serif"/>
        <color rgb="FF1155CC"/>
        <sz val="11.0"/>
        <u/>
      </rPr>
      <t>https://www.google.com/maps?q=30.0721967,71.4941983</t>
    </r>
  </si>
  <si>
    <t>Jamia Masjid Qasba Mural Multan</t>
  </si>
  <si>
    <r>
      <rPr>
        <rFont val="Calibri, sans-serif"/>
        <color rgb="FF1155CC"/>
        <sz val="11.0"/>
        <u/>
      </rPr>
      <t>https://maps.google.com/maps?q=29.9852211%2C71.4147549&amp;z=17&amp;hl=en</t>
    </r>
  </si>
  <si>
    <t>Jamia Masjid Jagu Wali Jalaal Pur Peer Wala Multan</t>
  </si>
  <si>
    <r>
      <rPr>
        <rFont val="Calibri, sans-serif"/>
        <color rgb="FF1155CC"/>
        <sz val="11.0"/>
        <u/>
      </rPr>
      <t>https://maps.google.com/maps?q=29.6305728%2C71.4307954&amp;z=17&amp;hl=en</t>
    </r>
  </si>
  <si>
    <t>Jamia Masjid Darbar Sultan Ahmad Qataal Jalaal Pur Peer Wala Multan</t>
  </si>
  <si>
    <r>
      <rPr>
        <rFont val="Calibri, sans-serif"/>
        <color rgb="FF1155CC"/>
        <sz val="11.0"/>
        <u/>
      </rPr>
      <t>https://maps.google.com/maps?q=29.5049032%2C71.2241351&amp;z=17&amp;hl=en</t>
    </r>
  </si>
  <si>
    <t>LHGFS</t>
  </si>
  <si>
    <r>
      <rPr>
        <rFont val="Calibri, sans-serif"/>
        <color rgb="FF1155CC"/>
        <sz val="11.0"/>
        <u/>
      </rPr>
      <t>https://maps.google.com/?q=30.1915713,71.4729772</t>
    </r>
  </si>
  <si>
    <t>ZTBGV</t>
  </si>
  <si>
    <t>Jamia Masjid Jafariya Multan</t>
  </si>
  <si>
    <t>Jamia Masjid Darbar Saki Shah Habib Layyah</t>
  </si>
  <si>
    <r>
      <rPr>
        <rFont val="Calibri, sans-serif"/>
        <color rgb="FF1155CC"/>
        <sz val="11.0"/>
        <u/>
      </rPr>
      <t>https://www.google.com/maps?q=30.9415533,70.9322</t>
    </r>
  </si>
  <si>
    <t>Jamia Masjid Darbar Abdul Wahaab Shah Bukhari Dera Deen Pnah, Kot Addu</t>
  </si>
  <si>
    <r>
      <rPr>
        <rFont val="Calibri, sans-serif"/>
        <color rgb="FF1155CC"/>
        <sz val="11.0"/>
        <u/>
      </rPr>
      <t>https://www.google.com/maps/place/HWCP%2B4RQ,+Daira+Din+Panah,+Muzaffargarh,+Punjab/@30.5701574,70.9369437,17z/data=!4m5!3m4!1s0x3925162106dc9949:0x177a01b1cd2e979e!8m2!3d30.5703375!4d70.9371094?entry=ttu&amp;g_ep=EgoyMDI0MTEwNS4wIKXMDSoASAFQAw%3D%3D</t>
    </r>
  </si>
  <si>
    <t>WNJRI</t>
  </si>
  <si>
    <t>Jamia Masjid Jafaria Karor Lal Esan</t>
  </si>
  <si>
    <t>rejected</t>
  </si>
  <si>
    <t>Rejected</t>
  </si>
  <si>
    <t>Jamia Masjid Darbar Muhammad Ali Rajan Shah Layyah</t>
  </si>
  <si>
    <r>
      <rPr>
        <rFont val="Calibri, sans-serif"/>
        <color rgb="FF1155CC"/>
        <sz val="11.0"/>
        <u/>
      </rPr>
      <t>https://maps.google.com/?q=31.146174,70.9302588</t>
    </r>
  </si>
  <si>
    <t>Jamia Masjid Darbar Laal Ehsan (Ahle Sunnat )</t>
  </si>
  <si>
    <r>
      <rPr>
        <rFont val="Calibri, sans-serif"/>
        <color rgb="FF1155CC"/>
        <sz val="11.0"/>
        <u/>
      </rPr>
      <t>https://maps.google.com/?q=31.2287769,70.9514165</t>
    </r>
  </si>
  <si>
    <t>Jamia Masjid Darbar Shamsher Shah Safri Layyah</t>
  </si>
  <si>
    <r>
      <rPr>
        <rFont val="Calibri, sans-serif"/>
        <color rgb="FF1155CC"/>
        <sz val="11.0"/>
        <u/>
      </rPr>
      <t>https://www.google.com/maps/place/30%C2%B053'04.0%22N+71%C2%B039'56.7%22E/@30.8844519,71.6631751,17z/data=!3m1!4b1!4m4!3m3!8m2!3d30.8844519!4d71.66575?entry=ttu&amp;g_ep=EgoyMDI1MTExNy4wIKXMDSoASAFQAw%3D%3D</t>
    </r>
  </si>
  <si>
    <t>Jamia Masjid Anayat Shah Bhukari Layyah</t>
  </si>
  <si>
    <r>
      <rPr>
        <rFont val="Calibri, sans-serif"/>
        <color rgb="FF1155CC"/>
        <sz val="11.0"/>
        <u/>
      </rPr>
      <t>https://maps.google.com/maps?q=31.1440939%2C71.2789281&amp;z=17&amp;hl=en</t>
    </r>
  </si>
  <si>
    <r>
      <rPr>
        <rFont val="Calibri, sans-serif"/>
        <color rgb="FF1155CC"/>
        <sz val="11.0"/>
        <u/>
      </rPr>
      <t>https://maps.google.com/?q=30.0758417,70.9654317</t>
    </r>
  </si>
  <si>
    <t>Jamia Masjid Darbar Mehab Faqeer Ali Muzaffargarh</t>
  </si>
  <si>
    <r>
      <rPr>
        <rFont val="Calibri, sans-serif"/>
        <color rgb="FF1155CC"/>
        <sz val="11.0"/>
        <u/>
      </rPr>
      <t>https://maps.google.com/maps?q=29.3448033%2C70.8380017&amp;z=17&amp;hl=en</t>
    </r>
  </si>
  <si>
    <t>JYKBO</t>
  </si>
  <si>
    <t>Jamia Masjid Darbar Ghulam Fareed Kot Mithan</t>
  </si>
  <si>
    <r>
      <rPr>
        <rFont val="Calibri, sans-serif"/>
        <color rgb="FF1155CC"/>
        <sz val="11.0"/>
        <u/>
      </rPr>
      <t>https://www.google.com/maps?q=28.9601173,70.3684692</t>
    </r>
  </si>
  <si>
    <t>Jamia Masjid Markazi Eid Gah Khanewal</t>
  </si>
  <si>
    <r>
      <rPr>
        <rFont val="Calibri, sans-serif"/>
        <color rgb="FF1155CC"/>
        <sz val="11.0"/>
        <u/>
      </rPr>
      <t>https://maps.google.com/maps?q=30.2979649%2C71.9208273&amp;z=17&amp;hl=en</t>
    </r>
  </si>
  <si>
    <t>Jamia Masjid Gaalah Mandi Khanewal</t>
  </si>
  <si>
    <r>
      <rPr>
        <rFont val="Calibri, sans-serif"/>
        <color rgb="FF1155CC"/>
        <sz val="11.0"/>
        <u/>
      </rPr>
      <t>https://maps.google.com/maps?q=30.3024802%2C71.9200804&amp;z=17&amp;hl=en</t>
    </r>
  </si>
  <si>
    <t>XPYNM</t>
  </si>
  <si>
    <t>Jamia Masjid Darbar Hazrat Mian Channu</t>
  </si>
  <si>
    <r>
      <rPr>
        <rFont val="Calibri, sans-serif"/>
        <color rgb="FF1155CC"/>
        <sz val="11.0"/>
        <u/>
      </rPr>
      <t>https://www.google.com/maps?q=30.44713592529297,72.34986114501953&amp;z=17&amp;hl=en</t>
    </r>
  </si>
  <si>
    <r>
      <rPr>
        <rFont val="Calibri, sans-serif"/>
        <color rgb="FF1155CC"/>
        <sz val="11.0"/>
        <u/>
      </rPr>
      <t>https://maps.google.com/maps?q=30.2069401%2C72.2309026&amp;z=17&amp;hl=en</t>
    </r>
  </si>
  <si>
    <r>
      <rPr>
        <rFont val="Calibri, sans-serif"/>
        <color rgb="FF1155CC"/>
        <sz val="11.0"/>
        <u/>
      </rPr>
      <t>https://maps.google.com/maps?q=30.5652863%2C72.1740672&amp;z=17&amp;hl=en</t>
    </r>
  </si>
  <si>
    <t>Jamia Masjid Habib Allah Shah Baghdadi Khanewal</t>
  </si>
  <si>
    <r>
      <rPr>
        <rFont val="Calibri, sans-serif"/>
        <color rgb="FF1155CC"/>
        <sz val="11.0"/>
        <u/>
      </rPr>
      <t>https://maps.google.com/maps?q=30.30992257%2C71.92489921&amp;z=17&amp;hl=en</t>
    </r>
  </si>
  <si>
    <t>Jamia Masjid Allah Daad Trust Jahaniya Khanewal</t>
  </si>
  <si>
    <r>
      <rPr>
        <rFont val="Calibri, sans-serif"/>
        <color rgb="FF1155CC"/>
        <sz val="11.0"/>
        <u/>
      </rPr>
      <t>https://maps.google.com/maps?q=30.038286%2C71.8147975&amp;z=17&amp;hl=en</t>
    </r>
  </si>
  <si>
    <r>
      <rPr>
        <rFont val="Calibri, sans-serif"/>
        <color rgb="FF1155CC"/>
        <sz val="11.0"/>
        <u/>
      </rPr>
      <t>https://www.google.com/maps?q=30.0277159,71.1796664</t>
    </r>
  </si>
  <si>
    <t>Jamia Masjid Qazia Nawali Kehror Pakka</t>
  </si>
  <si>
    <r>
      <rPr>
        <rFont val="Calibri, sans-serif"/>
        <color rgb="FF1155CC"/>
        <sz val="11.0"/>
        <u/>
      </rPr>
      <t>https://maps.google.com/maps?q=29.6238045%2C71.9174536&amp;z=17&amp;hl=en</t>
    </r>
  </si>
  <si>
    <t>Jamia Masjid Naale Wali Lodhran</t>
  </si>
  <si>
    <r>
      <rPr>
        <rFont val="Calibri, sans-serif"/>
        <color rgb="FF1155CC"/>
        <sz val="11.0"/>
        <u/>
      </rPr>
      <t>https://maps.google.com/maps?q=29.5392105%2C71.6346433&amp;z=17&amp;hl=en</t>
    </r>
  </si>
  <si>
    <t>Jamia Masjid Awis Darbar Dawaan Chawali Mushad Burewala</t>
  </si>
  <si>
    <r>
      <rPr>
        <rFont val="Calibri, sans-serif"/>
        <color rgb="FF1155CC"/>
        <sz val="11.0"/>
        <u/>
      </rPr>
      <t>https://maps.google.com/maps?q=30.0561824%2C72.7585299&amp;z=17&amp;hl=en</t>
    </r>
  </si>
  <si>
    <t>Jamia Masjid Fatah Shah Bukhari Burewala</t>
  </si>
  <si>
    <r>
      <rPr>
        <rFont val="Calibri, sans-serif"/>
        <color rgb="FF1155CC"/>
        <sz val="11.0"/>
        <u/>
      </rPr>
      <t>https://maps.google.com/maps?q=30.0419077%2C72.6870337&amp;z=17&amp;hl=en</t>
    </r>
  </si>
  <si>
    <t>Jamia Masjid Gaalah Mandi Vehari</t>
  </si>
  <si>
    <r>
      <rPr>
        <rFont val="Calibri, sans-serif"/>
        <color rgb="FF1155CC"/>
        <sz val="11.0"/>
        <u/>
      </rPr>
      <t>https://maps.google.com/maps?q=30.0425285%2C72.3506341&amp;z=17&amp;hl=en</t>
    </r>
  </si>
  <si>
    <t>Jamia Masjid Sarwarya Muhammad Shah Melsi</t>
  </si>
  <si>
    <r>
      <rPr>
        <rFont val="Calibri, sans-serif"/>
        <color rgb="FF1155CC"/>
        <sz val="11.0"/>
        <u/>
      </rPr>
      <t>https://maps.google.com/maps?q=29.9198%2C72.26417&amp;z=17&amp;hl=en</t>
    </r>
  </si>
  <si>
    <r>
      <rPr>
        <rFont val="Calibri, sans-serif"/>
        <color rgb="FF1155CC"/>
        <sz val="11.0"/>
        <u/>
      </rPr>
      <t>https://www.google.com/maps?q=30.1600098,72.680169</t>
    </r>
  </si>
  <si>
    <t>Jamia Masjid Gaalah Mandi Burewala</t>
  </si>
  <si>
    <r>
      <rPr>
        <rFont val="Calibri, sans-serif"/>
        <color rgb="FF1155CC"/>
        <sz val="11.0"/>
        <u/>
      </rPr>
      <t>https://maps.google.com/maps?q=30.1577583%2C72.6798617&amp;z=17&amp;hl=en</t>
    </r>
  </si>
  <si>
    <t>Jamia Masjid Shiekh Fasal Burewala</t>
  </si>
  <si>
    <r>
      <rPr>
        <rFont val="Calibri, sans-serif"/>
        <color rgb="FF1155CC"/>
        <sz val="11.0"/>
        <u/>
      </rPr>
      <t>https://maps.google.com/maps?q=30.3334797%2C72.7943812&amp;z=17&amp;hl=en</t>
    </r>
  </si>
  <si>
    <t>Jamia Masjid Mulhalka Kuko Mandi Burewala</t>
  </si>
  <si>
    <r>
      <rPr>
        <rFont val="Calibri, sans-serif"/>
        <color rgb="FF1155CC"/>
        <sz val="11.0"/>
        <u/>
      </rPr>
      <t>https://maps.google.com/maps?q=30.0478282%2C72.3612654&amp;z=17&amp;hl=en</t>
    </r>
  </si>
  <si>
    <t>Jamia Masjid Darbar Hazrat Saki Sarwar Dera Ghazi Khan</t>
  </si>
  <si>
    <r>
      <rPr>
        <rFont val="Calibri, sans-serif"/>
        <color rgb="FF1155CC"/>
        <sz val="11.0"/>
        <u/>
      </rPr>
      <t>https://maps.google.com/?q=29.9858984,70.3025885</t>
    </r>
  </si>
  <si>
    <t>Jamia Masjid Darbar Malah Quaid Shah Dera Ghazi Khan</t>
  </si>
  <si>
    <r>
      <rPr>
        <rFont val="Calibri, sans-serif"/>
        <color rgb="FF1155CC"/>
        <sz val="11.0"/>
        <u/>
      </rPr>
      <t>https://maps.google.com/?q=30.0626594,70.6434638</t>
    </r>
  </si>
  <si>
    <t>Jamia Masjid Block # 3 Dera Ghazi Khan</t>
  </si>
  <si>
    <r>
      <rPr>
        <rFont val="Calibri, sans-serif"/>
        <color rgb="FF1155CC"/>
        <sz val="11.0"/>
        <u/>
      </rPr>
      <t>https://www.google.com/maps?q=30.057959,70.6359916</t>
    </r>
  </si>
  <si>
    <t>Jamia Masjid Shah Sadar Ul Din Dera Ghazi Khan</t>
  </si>
  <si>
    <r>
      <rPr>
        <rFont val="Calibri, sans-serif"/>
        <color rgb="FF1155CC"/>
        <sz val="11.0"/>
        <u/>
      </rPr>
      <t>https://maps.google.com/?q=30.2788096,70.7268038</t>
    </r>
  </si>
  <si>
    <t>Jamia Masjid Sadiq Akbar Machi Hatta Bhawalpur</t>
  </si>
  <si>
    <r>
      <rPr>
        <rFont val="Calibri, sans-serif"/>
        <color rgb="FF1155CC"/>
        <sz val="11.0"/>
        <u/>
      </rPr>
      <t>https://www.google.com/maps?q=29.3960231,71.6824246</t>
    </r>
  </si>
  <si>
    <t>Jamia Masjid Shiekh Allah Wasaya Machli Bazar</t>
  </si>
  <si>
    <r>
      <rPr>
        <rFont val="Calibri, sans-serif"/>
        <color rgb="FF1155CC"/>
        <sz val="11.0"/>
        <u/>
      </rPr>
      <t>https://maps.google.com/maps?q=29.3982636%2C71.676085&amp;z=17&amp;hl=en</t>
    </r>
  </si>
  <si>
    <t>Jamia Masjid Sheikh Muhammad Syed Wali Fareed Gate</t>
  </si>
  <si>
    <r>
      <rPr>
        <rFont val="Calibri, sans-serif"/>
        <color rgb="FF1155CC"/>
        <sz val="11.0"/>
        <u/>
      </rPr>
      <t>https://www.google.com/maps?q=29.3964518,71.673127</t>
    </r>
  </si>
  <si>
    <t>Jamia Masjid Kocha Gul Hassan Shahe Bazar</t>
  </si>
  <si>
    <r>
      <rPr>
        <rFont val="Calibri, sans-serif"/>
        <color rgb="FF1155CC"/>
        <sz val="11.0"/>
        <u/>
      </rPr>
      <t>https://maps.google.com/?q=29.3956909179688,71.6795806884766</t>
    </r>
  </si>
  <si>
    <t>Jamia Masjid Hakeem Muhammad Yar Wali Bhawalpur</t>
  </si>
  <si>
    <r>
      <rPr>
        <rFont val="Calibri, sans-serif"/>
        <color rgb="FF1155CC"/>
        <sz val="11.0"/>
        <u/>
      </rPr>
      <t>https://www.google.com/maps?q=29.3989078,71.6736316</t>
    </r>
  </si>
  <si>
    <t>Jamia Masjid Chanan Peer Sarkar Cholistan</t>
  </si>
  <si>
    <r>
      <rPr>
        <rFont val="Calibri, sans-serif"/>
        <color rgb="FF1155CC"/>
        <sz val="11.0"/>
        <u/>
      </rPr>
      <t>https://www.google.com/maps?q=28.9754483,71.663715&amp;z=17&amp;hl=en</t>
    </r>
  </si>
  <si>
    <r>
      <rPr>
        <rFont val="Calibri, sans-serif"/>
        <color rgb="FF1155CC"/>
        <sz val="11.0"/>
        <u/>
      </rPr>
      <t>https://www.google.com/maps?q=29.4023133,71.6536017</t>
    </r>
  </si>
  <si>
    <t>Jamia Masjid Alsadiq Bhawalpur</t>
  </si>
  <si>
    <r>
      <rPr>
        <rFont val="Calibri, sans-serif"/>
        <color rgb="FF1155CC"/>
        <sz val="11.0"/>
        <u/>
      </rPr>
      <t>https://www.google.com/maps?q=29.3960534,71.6747768</t>
    </r>
  </si>
  <si>
    <t>Jamia Masjid Aqsa Bhawalpur</t>
  </si>
  <si>
    <r>
      <rPr>
        <rFont val="Calibri, sans-serif"/>
        <color rgb="FF1155CC"/>
        <sz val="11.0"/>
        <u/>
      </rPr>
      <t>https://www.google.com/maps?q=29.3953179,71.674018</t>
    </r>
  </si>
  <si>
    <t>Jamia Masjid Muhkum Ul Din Seerani Khangha Khangha</t>
  </si>
  <si>
    <r>
      <rPr>
        <rFont val="Calibri, sans-serif"/>
        <color rgb="FF1155CC"/>
        <sz val="11.0"/>
        <u/>
      </rPr>
      <t>https://maps.google.com/maps?q=29.3140056%2C71.5437025&amp;z=17&amp;hl=en</t>
    </r>
  </si>
  <si>
    <t>Jamia Masjid Sakhi Sultan Ahmad Shah Chak 1-BC</t>
  </si>
  <si>
    <r>
      <rPr>
        <rFont val="Calibri, sans-serif"/>
        <color rgb="FF1155CC"/>
        <sz val="11.0"/>
        <u/>
      </rPr>
      <t>https://maps.google.com/?q=29.4567648,71.9538872</t>
    </r>
  </si>
  <si>
    <t>Jamia Masjid Darbar Khawaja Khuda Bhakas Kharpure</t>
  </si>
  <si>
    <r>
      <rPr>
        <rFont val="Calibri, sans-serif"/>
        <color rgb="FF1155CC"/>
        <sz val="11.0"/>
        <u/>
      </rPr>
      <t>https://www.google.com/maps?q=29.5812543,72.233824</t>
    </r>
  </si>
  <si>
    <t>Jamia Masjid Mehboob Subhani Oh Shareef</t>
  </si>
  <si>
    <r>
      <rPr>
        <rFont val="Calibri, sans-serif"/>
        <color rgb="FF1155CC"/>
        <sz val="11.0"/>
        <u/>
      </rPr>
      <t>https://maps.google.com/maps?q=29.2370496%2C71.0607756&amp;z=17&amp;hl=en</t>
    </r>
  </si>
  <si>
    <t>Jamia Masjid Darbar Rasheed Jalaal Ul Din</t>
  </si>
  <si>
    <r>
      <rPr>
        <rFont val="Calibri, sans-serif"/>
        <color rgb="FF1155CC"/>
        <sz val="11.0"/>
        <u/>
      </rPr>
      <t>https://www.google.com/maps?q=29.2426835,71.0557167</t>
    </r>
  </si>
  <si>
    <r>
      <rPr>
        <rFont val="Calibri, sans-serif"/>
        <color rgb="FF1155CC"/>
        <sz val="11.0"/>
        <u/>
      </rPr>
      <t>https://www.google.com/maps?q=29.2426835,71.0557167</t>
    </r>
  </si>
  <si>
    <r>
      <rPr>
        <rFont val="Calibri, sans-serif"/>
        <color rgb="FF1155CC"/>
        <sz val="11.0"/>
        <u/>
      </rPr>
      <t>https://www.google.com/maps?q=29.2431651,71.0555136</t>
    </r>
  </si>
  <si>
    <r>
      <rPr>
        <rFont val="Calibri, sans-serif"/>
        <color rgb="FF1155CC"/>
        <sz val="11.0"/>
        <u/>
      </rPr>
      <t>https://maps.google.com/maps?q=29.0991978%2C71.2745758&amp;z=17&amp;hl=en</t>
    </r>
  </si>
  <si>
    <t>Jamia Masjid Ahle Hadess Na Haliyanawali Ahumd Pur Sharqiya</t>
  </si>
  <si>
    <r>
      <rPr>
        <rFont val="Calibri, sans-serif"/>
        <color rgb="FF1155CC"/>
        <sz val="11.0"/>
        <u/>
      </rPr>
      <t>https://maps.google.com/maps?q=29.146789%2C71.2670091&amp;z=17&amp;hl=en</t>
    </r>
  </si>
  <si>
    <r>
      <rPr>
        <rFont val="Calibri, sans-serif"/>
        <color rgb="FF1155CC"/>
        <sz val="11.0"/>
        <u/>
      </rPr>
      <t>https://maps.google.com/maps?q=29.143841%2C71.2594724&amp;z=17&amp;hl=en</t>
    </r>
  </si>
  <si>
    <t>Jamia Masjid Hasalpur</t>
  </si>
  <si>
    <r>
      <rPr>
        <rFont val="Calibri, sans-serif"/>
        <color rgb="FF1155CC"/>
        <sz val="11.0"/>
        <u/>
      </rPr>
      <t>https://maps.google.com/maps?q=29.6945603%2C72.5506141&amp;z=17&amp;hl=en</t>
    </r>
  </si>
  <si>
    <t>Jamia Masjid Shah Rangila Hasalpur</t>
  </si>
  <si>
    <r>
      <rPr>
        <rFont val="Calibri, sans-serif"/>
        <color rgb="FF1155CC"/>
        <sz val="11.0"/>
        <u/>
      </rPr>
      <t>https://maps.google.com/maps?q=29.6894137%2C72.5347834&amp;z=17&amp;hl=en</t>
    </r>
  </si>
  <si>
    <r>
      <rPr>
        <rFont val="Calibri, sans-serif"/>
        <color rgb="FF1155CC"/>
        <sz val="11.0"/>
        <u/>
      </rPr>
      <t>https://maps.google.com/?q=29.7961325,72.8581846</t>
    </r>
  </si>
  <si>
    <t>Jamia Masjid Darbar Khawaja Noor Muhammad Maharwi</t>
  </si>
  <si>
    <r>
      <rPr>
        <rFont val="Calibri, sans-serif"/>
        <color rgb="FF1155CC"/>
        <sz val="11.0"/>
        <u/>
      </rPr>
      <t>https://www.google.com/maps?q=29.8028953,72.8406527</t>
    </r>
  </si>
  <si>
    <t>UVKDX</t>
  </si>
  <si>
    <t>Jamia Masjid Baba Taj Ul Din Sarwar Chasti</t>
  </si>
  <si>
    <r>
      <rPr>
        <rFont val="Calibri, sans-serif"/>
        <color rgb="FF1155CC"/>
        <sz val="11.0"/>
        <u/>
      </rPr>
      <t>https://www.google.com/maps?q=29.7979656,72.8443663</t>
    </r>
  </si>
  <si>
    <t>Jamia Masjid Gaalah Mandi Bahawal Nagar</t>
  </si>
  <si>
    <r>
      <rPr>
        <rFont val="Calibri, sans-serif"/>
        <color rgb="FF1155CC"/>
        <sz val="11.0"/>
        <u/>
      </rPr>
      <t>https://www.google.com/maps?q=30.0029464,73.2612082&amp;z=17&amp;hl=en</t>
    </r>
  </si>
  <si>
    <t>Jamia Masjid Haronabad Bahawal Nagar</t>
  </si>
  <si>
    <r>
      <rPr>
        <rFont val="Calibri, sans-serif"/>
        <color rgb="FF1155CC"/>
        <sz val="11.0"/>
        <u/>
      </rPr>
      <t>https://www.google.com/maps?q=29.6114403,73.1376496</t>
    </r>
  </si>
  <si>
    <t>DKWXH</t>
  </si>
  <si>
    <t>Jamia Masjid Syed Pur Hussan Wala Minchanabad</t>
  </si>
  <si>
    <t>Jamia Masjid Minya Nawali Minchanabad</t>
  </si>
  <si>
    <r>
      <rPr>
        <rFont val="Calibri, sans-serif"/>
        <color rgb="FF1155CC"/>
        <sz val="11.0"/>
        <u/>
      </rPr>
      <t>https://www.google.com/maps?q=30.0365367,73.5364517&amp;z=17&amp;hl=en</t>
    </r>
  </si>
  <si>
    <t>Jamia Masjid Mastari Kamal Din Khanpur</t>
  </si>
  <si>
    <r>
      <rPr>
        <rFont val="Calibri, sans-serif"/>
        <color rgb="FF1155CC"/>
        <sz val="11.0"/>
        <u/>
      </rPr>
      <t>https://www.google.com/maps?q=28.6420075,70.6539892&amp;z=17&amp;hl=en</t>
    </r>
  </si>
  <si>
    <t>VCXKX</t>
  </si>
  <si>
    <t>Jamia Masjid Darbar Khawaja Sultan Mehmood Khan Bela</t>
  </si>
  <si>
    <r>
      <rPr>
        <rFont val="Calibri, sans-serif"/>
        <color rgb="FF1155CC"/>
        <sz val="11.0"/>
        <u/>
      </rPr>
      <t>https://www.google.com/maps?q=28.9612845,70.7403675&amp;z=17&amp;hl=en</t>
    </r>
  </si>
  <si>
    <t>Jamia Masjid Baba Shahab</t>
  </si>
  <si>
    <r>
      <rPr>
        <rFont val="Calibri, sans-serif"/>
        <color rgb="FF1155CC"/>
        <sz val="11.0"/>
        <u/>
      </rPr>
      <t>https://maps.google.com/maps?q=28.6393625%2C70.6550214&amp;z=17&amp;hl=en</t>
    </r>
  </si>
  <si>
    <t>SKVZL</t>
  </si>
  <si>
    <t>Jamia Masjid Alaabad E107</t>
  </si>
  <si>
    <r>
      <rPr>
        <rFont val="Calibri, sans-serif"/>
        <color rgb="FF1155CC"/>
        <sz val="11.0"/>
        <u/>
      </rPr>
      <t>https://www.google.com/maps?q=28.9524787,70.8788817&amp;z=17&amp;hl=en</t>
    </r>
  </si>
  <si>
    <t>Jamia Masjid Mai Shahab Khanpur</t>
  </si>
  <si>
    <r>
      <rPr>
        <rFont val="Calibri, sans-serif"/>
        <color rgb="FF1155CC"/>
        <sz val="11.0"/>
        <u/>
      </rPr>
      <t>https://www.google.com/maps?q=28.6439435,70.6589031&amp;z=17&amp;hl=en</t>
    </r>
  </si>
  <si>
    <t>Jamia Masjid Galah Mandi Khanpur</t>
  </si>
  <si>
    <r>
      <rPr>
        <rFont val="Calibri, sans-serif"/>
        <color rgb="FF1155CC"/>
        <sz val="11.0"/>
        <u/>
      </rPr>
      <t>https://www.google.com/maps?q=28.6436336,70.6536248&amp;z=17&amp;hl=en</t>
    </r>
  </si>
  <si>
    <t>Jamia Masjid Nazamat / Nazamat market Railway Road Rahim Yar Khan</t>
  </si>
  <si>
    <r>
      <rPr>
        <rFont val="Calibri, sans-serif"/>
        <color rgb="FF1155CC"/>
        <sz val="11.0"/>
        <u/>
      </rPr>
      <t>https://www.google.com/maps?q=28.4196412,70.3060157</t>
    </r>
  </si>
  <si>
    <t>Jamia Masjid Goth Aalu Sadiqabaad</t>
  </si>
  <si>
    <r>
      <rPr>
        <rFont val="Calibri, sans-serif"/>
        <color rgb="FF1155CC"/>
        <sz val="11.0"/>
        <u/>
      </rPr>
      <t>https://www.google.com/maps?q=28.2246009,69.9309028</t>
    </r>
  </si>
  <si>
    <t>Jamia Masjid uthaar Anhaar Coloney Rahim Yar Khan</t>
  </si>
  <si>
    <r>
      <rPr>
        <rFont val="Calibri, sans-serif"/>
        <color rgb="FF1155CC"/>
        <sz val="11.0"/>
        <u/>
      </rPr>
      <t>https://www.google.com/maps?q=28.4262219,70.3226971</t>
    </r>
  </si>
  <si>
    <t>Jamia Masjid Darbar Baba Fareed Ul Din Pakpattan</t>
  </si>
  <si>
    <r>
      <rPr>
        <rFont val="Calibri, sans-serif"/>
        <color rgb="FF1155CC"/>
        <sz val="11.0"/>
        <u/>
      </rPr>
      <t>https://maps.google.com/maps?q=30.3409177%2C73.387068&amp;z=17&amp;hl=en</t>
    </r>
  </si>
  <si>
    <t>Jamia Masjid Gaalah Mandi Pakpattan</t>
  </si>
  <si>
    <r>
      <rPr>
        <rFont val="Calibri, sans-serif"/>
        <color rgb="FF1155CC"/>
        <sz val="11.0"/>
        <u/>
      </rPr>
      <t>https://maps.google.com/maps?q=30.3518354%2C73.3909344&amp;z=17&amp;hl=en</t>
    </r>
  </si>
  <si>
    <t>Jamia Masjid Badar Ul Din Eshaq Pakpattan</t>
  </si>
  <si>
    <r>
      <rPr>
        <rFont val="Calibri, sans-serif"/>
        <color rgb="FF1155CC"/>
        <sz val="11.0"/>
        <u/>
      </rPr>
      <t>https://www.google.com/maps/place/30%C2%B020'34.5%22N+73%C2%B023'21.8%22E/@30.3429162,73.3868093,17z/data=!3m1!4b1!4m4!3m3!8m2!3d30.3429162!4d73.3893842?entry=ttu&amp;g_ep=EgoyMDI1MTExNy4wIKXMDSoASAFQAw%3D%3D</t>
    </r>
  </si>
  <si>
    <t>Jamia Masjid Aziz Makki Pakpattan</t>
  </si>
  <si>
    <r>
      <rPr>
        <rFont val="Calibri, sans-serif"/>
        <color rgb="FF1155CC"/>
        <sz val="11.0"/>
        <u/>
      </rPr>
      <t>https://maps.google.com/maps?q=30.3147944%2C73.3438006&amp;z=17&amp;hl=en</t>
    </r>
  </si>
  <si>
    <t>Jamia Masjid Abdul Kareem Pakpattan</t>
  </si>
  <si>
    <r>
      <rPr>
        <rFont val="Calibri, sans-serif"/>
        <color rgb="FF1155CC"/>
        <sz val="11.0"/>
        <u/>
      </rPr>
      <t>https://www.google.com/maps?q=30.3147944,73.3438006</t>
    </r>
  </si>
  <si>
    <t>Jamia Masjid C Block Arifwala</t>
  </si>
  <si>
    <r>
      <rPr>
        <rFont val="Calibri, sans-serif"/>
        <color rgb="FF1155CC"/>
        <sz val="11.0"/>
        <u/>
      </rPr>
      <t>https://maps.google.com/maps?q=30.291458129882812%2C73.06883239746094&amp;z=17&amp;hl=en</t>
    </r>
  </si>
  <si>
    <t>Jamia Masjid Galah Mandi Arifwala</t>
  </si>
  <si>
    <r>
      <rPr>
        <rFont val="Calibri, sans-serif"/>
        <color rgb="FF1155CC"/>
        <sz val="11.0"/>
        <u/>
      </rPr>
      <t>https://maps.google.com/maps?q=30.290311%2C73.0660431&amp;z=17&amp;hl=en</t>
    </r>
  </si>
  <si>
    <t>Jamia Masjid Chila Gha Sheer Shah Wali</t>
  </si>
  <si>
    <r>
      <rPr>
        <rFont val="Calibri, sans-serif"/>
        <color rgb="FF1155CC"/>
        <sz val="11.0"/>
        <u/>
      </rPr>
      <t>https://maps.google.com/maps?q=30.650259017944336%2C73.09505462646484&amp;z=17&amp;hl=en</t>
    </r>
  </si>
  <si>
    <t>Jamia Masjid Panha Kambeer Shahiwal</t>
  </si>
  <si>
    <r>
      <rPr>
        <rFont val="Calibri, sans-serif"/>
        <color rgb="FF1155CC"/>
        <sz val="11.0"/>
        <u/>
      </rPr>
      <t>https://maps.google.com/maps?q=30.429981231689453%2C73.04800415039062&amp;z=17&amp;hl=en</t>
    </r>
  </si>
  <si>
    <t>Jamia Masjid Gaalah Mandi Shahiwal</t>
  </si>
  <si>
    <r>
      <rPr>
        <rFont val="Calibri, sans-serif"/>
        <color rgb="FF1155CC"/>
        <sz val="11.0"/>
        <u/>
      </rPr>
      <t>https://maps.google.com/maps?q=30.653332%2C73.1066953&amp;z=17&amp;hl=en</t>
    </r>
  </si>
  <si>
    <t>Jamia Masjid Sunhari Gol Chowk Sahiwal</t>
  </si>
  <si>
    <r>
      <rPr>
        <rFont val="Calibri, sans-serif"/>
        <color rgb="FF1155CC"/>
        <sz val="11.0"/>
        <u/>
      </rPr>
      <t>https://www.google.com/maps?q=30.6682914,73.1088151</t>
    </r>
  </si>
  <si>
    <t>Jamia Masjid Eid Gah Shahiwal</t>
  </si>
  <si>
    <r>
      <rPr>
        <rFont val="Calibri, sans-serif"/>
        <color rgb="FF1155CC"/>
        <sz val="11.0"/>
        <u/>
      </rPr>
      <t>https://maps.google.com/maps?q=30.6597964%2C73.10988&amp;z=17&amp;hl=en</t>
    </r>
  </si>
  <si>
    <t>Jamia Masjid Taliyah Nawali Shahiwal</t>
  </si>
  <si>
    <r>
      <rPr>
        <rFont val="Calibri, sans-serif"/>
        <color rgb="FF1155CC"/>
        <sz val="11.0"/>
        <u/>
      </rPr>
      <t>https://maps.google.com/maps?q=30.6541356%2C73.1115608&amp;z=17&amp;hl=en</t>
    </r>
  </si>
  <si>
    <t>Jamia Masjid Noor Almasjid Chichawatni</t>
  </si>
  <si>
    <r>
      <rPr>
        <rFont val="Calibri, sans-serif"/>
        <color rgb="FF1155CC"/>
        <sz val="11.0"/>
        <u/>
      </rPr>
      <t>https://maps.google.com/maps?q=30.5315193%2C72.6888218&amp;z=17&amp;hl=en</t>
    </r>
  </si>
  <si>
    <t>Jamia Masjid Gaalah Mandi Chichawatni</t>
  </si>
  <si>
    <r>
      <rPr>
        <rFont val="Calibri, sans-serif"/>
        <color rgb="FF1155CC"/>
        <sz val="11.0"/>
        <u/>
      </rPr>
      <t>https://maps.google.com/maps?q=30.531882%2C72.6887089&amp;z=17&amp;hl=en</t>
    </r>
  </si>
  <si>
    <t>Jamia Masjid Hanfiya C Block Okara</t>
  </si>
  <si>
    <r>
      <rPr>
        <rFont val="Calibri, sans-serif"/>
        <color rgb="FF1155CC"/>
        <sz val="11.0"/>
        <u/>
      </rPr>
      <t>https://maps.google.com/maps?q=30.8076884%2C73.4456833&amp;z=17&amp;hl=en</t>
    </r>
  </si>
  <si>
    <t>Jamia Masjid Usmanai Gol Chowk Okara</t>
  </si>
  <si>
    <r>
      <rPr>
        <rFont val="Calibri, sans-serif"/>
        <color rgb="FF1155CC"/>
        <sz val="11.0"/>
        <u/>
      </rPr>
      <t>https://maps.google.com/maps?q=30.8087984%2C73.4445134&amp;z=17&amp;hl=en</t>
    </r>
  </si>
  <si>
    <t>Jamia Masjid Lahbey Shah Ghogera Okara</t>
  </si>
  <si>
    <r>
      <rPr>
        <rFont val="Calibri, sans-serif"/>
        <color rgb="FF1155CC"/>
        <sz val="11.0"/>
        <u/>
      </rPr>
      <t>https://maps.google.com/maps?q=30.9528117%2C73.3293886&amp;z=17&amp;hl=en</t>
    </r>
  </si>
  <si>
    <t>Jamia Masjid Darbar Muhammad Ghous Bala Peer Okara</t>
  </si>
  <si>
    <r>
      <rPr>
        <rFont val="Calibri, sans-serif"/>
        <color rgb="FF1155CC"/>
        <sz val="11.0"/>
        <u/>
      </rPr>
      <t>https://maps.google.com/maps?q=30.9524382%2C73.5387666&amp;z=17&amp;hl=en</t>
    </r>
  </si>
  <si>
    <t>Jamia Masjid Renalah Khurda Okara</t>
  </si>
  <si>
    <r>
      <rPr>
        <rFont val="Calibri, sans-serif"/>
        <color rgb="FF1155CC"/>
        <sz val="11.0"/>
        <u/>
      </rPr>
      <t>https://maps.google.com/maps?q=30.8798941%2C73.5943176&amp;z=17&amp;hl=en</t>
    </r>
  </si>
  <si>
    <t>Jamia Masjid Chila Gah Sakhi Sarwar Dhoonikal</t>
  </si>
  <si>
    <r>
      <rPr>
        <rFont val="Calibri, sans-serif"/>
        <color rgb="FF1155CC"/>
        <sz val="11.0"/>
        <u/>
      </rPr>
      <t>https://maps.google.com/maps?q=32.071094%2C73.7195025&amp;z=17&amp;hl=en</t>
    </r>
  </si>
  <si>
    <t>Jamia Masjid Molvi Muhammd Hussain Urdu Bazar</t>
  </si>
  <si>
    <r>
      <rPr>
        <rFont val="Calibri, sans-serif"/>
        <color rgb="FF1155CC"/>
        <sz val="11.0"/>
        <u/>
      </rPr>
      <t>https://maps.google.com/maps?q=32.166809%2C74.1825237&amp;z=17&amp;hl=en</t>
    </r>
  </si>
  <si>
    <t>Jamia Masjid Qudsia Rizwaiya Civil Line Gujranwala</t>
  </si>
  <si>
    <r>
      <rPr>
        <rFont val="Calibri, sans-serif"/>
        <color rgb="FF1155CC"/>
        <sz val="11.0"/>
        <u/>
      </rPr>
      <t>https://maps.google.com/maps?q=32.1650727%2C74.1907428&amp;z=17&amp;hl=en</t>
    </r>
  </si>
  <si>
    <t>Jamia Masjid Unchee Lahori Gate</t>
  </si>
  <si>
    <r>
      <rPr>
        <rFont val="Calibri, sans-serif"/>
        <color rgb="FF1155CC"/>
        <sz val="11.0"/>
        <u/>
      </rPr>
      <t>https://maps.google.com/maps?q=32.1572555%2C74.1890043&amp;z=17&amp;hl=en</t>
    </r>
  </si>
  <si>
    <t>Jamia Masjid Farookiya Chowk Pondanwala Gujranwala</t>
  </si>
  <si>
    <r>
      <rPr>
        <rFont val="Calibri, sans-serif"/>
        <color rgb="FF1155CC"/>
        <sz val="11.0"/>
        <u/>
      </rPr>
      <t>https://maps.google.com/maps?q=32.1571609%2C74.1928954&amp;z=17&amp;hl=en</t>
    </r>
  </si>
  <si>
    <r>
      <rPr>
        <rFont val="Calibri, sans-serif"/>
        <color rgb="FF1155CC"/>
        <sz val="11.0"/>
        <u/>
      </rPr>
      <t>https://maps.google.com/maps?q=31.9074519%2C73.6126611&amp;z=17&amp;hl=en</t>
    </r>
  </si>
  <si>
    <t>Jamia Masjid Darbar Boty Shah Hafizabad</t>
  </si>
  <si>
    <r>
      <rPr>
        <rFont val="Calibri, sans-serif"/>
        <color rgb="FF1155CC"/>
        <sz val="11.0"/>
        <u/>
      </rPr>
      <t>https://maps.google.com/maps?q=32.2530001%2C73.6740197&amp;z=17&amp;hl=en</t>
    </r>
  </si>
  <si>
    <t>Jamia Masjid Darbar Gulaab Shah Rasool Langar</t>
  </si>
  <si>
    <r>
      <rPr>
        <rFont val="Calibri, sans-serif"/>
        <color rgb="FF1155CC"/>
        <sz val="11.0"/>
        <u/>
      </rPr>
      <t>https://maps.google.com/maps?q=32.3301433%2C73.7796783&amp;z=17&amp;hl=en</t>
    </r>
  </si>
  <si>
    <t>Jamia Masjid Darbar Bari Shah Rehman</t>
  </si>
  <si>
    <r>
      <rPr>
        <rFont val="Calibri, sans-serif"/>
        <color rgb="FF1155CC"/>
        <sz val="11.0"/>
        <u/>
      </rPr>
      <t>https://maps.google.com/maps?q=32.1328097%2C73.8295923&amp;z=17&amp;hl=en</t>
    </r>
  </si>
  <si>
    <t>Jamia Masjid Ghousia Chowk Pakistan Gujrat</t>
  </si>
  <si>
    <r>
      <rPr>
        <rFont val="Calibri, sans-serif"/>
        <color rgb="FF1155CC"/>
        <sz val="11.0"/>
        <u/>
      </rPr>
      <t>https://maps.google.com/maps?q=32.57686233520508%2C74.08113098144531&amp;z=17&amp;hl=en</t>
    </r>
  </si>
  <si>
    <r>
      <rPr>
        <rFont val="Calibri, sans-serif"/>
        <color rgb="FF1155CC"/>
        <sz val="11.0"/>
        <u/>
      </rPr>
      <t>https://maps.google.com/maps?q=32.580035%2C74.09792&amp;z=17&amp;hl=en</t>
    </r>
  </si>
  <si>
    <t>SKRTG</t>
  </si>
  <si>
    <t>Jamia Masjid Noshah Gunj Buksh Rumal Shareef Gujrat</t>
  </si>
  <si>
    <t>Jamia Masjid Darbar Nagy Shah Gujrat</t>
  </si>
  <si>
    <r>
      <rPr>
        <rFont val="Calibri, sans-serif"/>
        <color rgb="FF1155CC"/>
        <sz val="11.0"/>
        <u/>
      </rPr>
      <t>https://maps.google.com/maps?q=32.5710369%2C74.0883756&amp;z=17&amp;hl=en</t>
    </r>
  </si>
  <si>
    <t>Jamia Masjid Shah Hussain Gujrat</t>
  </si>
  <si>
    <r>
      <rPr>
        <rFont val="Calibri, sans-serif"/>
        <color rgb="FF1155CC"/>
        <sz val="11.0"/>
        <u/>
      </rPr>
      <t>https://www.google.com/maps/place/32%C2%B034'23.1%22N+74%C2%B004'28.3%22E/@32.5730954,74.0719479,17z/data=!3m1!4b1!4m4!3m3!8m2!3d32.5730954!4d74.0745228?entry=ttu&amp;g_ep=EgoyMDI0MTIwMy4wIKXMDSoASAFQAw%3D%3D</t>
    </r>
  </si>
  <si>
    <r>
      <rPr>
        <rFont val="Calibri, sans-serif"/>
        <color rgb="FF1155CC"/>
        <sz val="11.0"/>
        <u/>
      </rPr>
      <t>https://maps.google.com/maps?q=32.55938099122827%2C73.2109635245343&amp;z=17&amp;hl=en</t>
    </r>
  </si>
  <si>
    <t>Jamia Masjid Darbr Muhri Shareef Gujrat</t>
  </si>
  <si>
    <r>
      <rPr>
        <rFont val="Calibri, sans-serif"/>
        <color rgb="FF1155CC"/>
        <sz val="11.0"/>
        <u/>
      </rPr>
      <t>https://www.google.com/maps?q=32.7960114,73.7892226</t>
    </r>
  </si>
  <si>
    <t>Jamia Masjid Darbar Sain Karam Elahe Gujrat</t>
  </si>
  <si>
    <r>
      <rPr>
        <rFont val="Calibri, sans-serif"/>
        <color rgb="FF1155CC"/>
        <sz val="11.0"/>
        <u/>
      </rPr>
      <t>https://maps.google.com/maps?q=32.5912875%2C74.0871527&amp;z=17&amp;hl=en</t>
    </r>
  </si>
  <si>
    <t>https://maps.google.com/maps?q=32.5714635%2C74.0846047&amp;z=17&amp;hl=en</t>
  </si>
  <si>
    <r>
      <rPr>
        <rFont val="Calibri, sans-serif"/>
        <color rgb="FF1155CC"/>
        <sz val="11.0"/>
        <u/>
      </rPr>
      <t>https://maps.google.com/maps?q=32.5714801%2C74.0857584&amp;z=17&amp;hl=en</t>
    </r>
  </si>
  <si>
    <t>Jamia Masjid Dars Jhulana Mandi Bahauddin</t>
  </si>
  <si>
    <r>
      <rPr>
        <rFont val="Calibri, sans-serif"/>
        <color rgb="FF1155CC"/>
        <sz val="11.0"/>
        <u/>
      </rPr>
      <t>https://maps.google.com/maps?q=32.5337283%2C73.4838909&amp;z=17&amp;hl=en</t>
    </r>
  </si>
  <si>
    <t>Jamia Masjid Mandi Bhaludin</t>
  </si>
  <si>
    <r>
      <rPr>
        <rFont val="Calibri, sans-serif"/>
        <color rgb="FF1155CC"/>
        <sz val="11.0"/>
        <u/>
      </rPr>
      <t>https://maps.google.com/maps?q=32.5864601%2C73.4900294&amp;z=17&amp;hl=en</t>
    </r>
  </si>
  <si>
    <t>Jamia Masjid Ale Sunnat Main Bazar Malakwaal</t>
  </si>
  <si>
    <r>
      <rPr>
        <rFont val="Calibri, sans-serif"/>
        <color rgb="FF1155CC"/>
        <sz val="11.0"/>
        <u/>
      </rPr>
      <t>https://maps.google.com/maps?q=32.5549029%2C73.2125862&amp;z=17&amp;hl=en</t>
    </r>
  </si>
  <si>
    <t>Jamia masjid Hafiz Noor Jhelum</t>
  </si>
  <si>
    <r>
      <rPr>
        <rFont val="Calibri, sans-serif"/>
        <color rgb="FF1155CC"/>
        <sz val="11.0"/>
        <u/>
      </rPr>
      <t>https://maps.google.com/maps?q=32.9284525%2C73.7339202&amp;z=17&amp;hl=en</t>
    </r>
  </si>
  <si>
    <t>Jamia Masjid afghan Jhelum</t>
  </si>
  <si>
    <r>
      <rPr>
        <rFont val="Calibri, sans-serif"/>
        <color rgb="FF1155CC"/>
        <sz val="11.0"/>
        <u/>
      </rPr>
      <t>https://maps.google.com/maps?q=32.9248217%2C73.7322679&amp;z=17&amp;hl=en</t>
    </r>
  </si>
  <si>
    <t>Jamia masjid syaden shah shahrazi chakwal</t>
  </si>
  <si>
    <r>
      <rPr>
        <rFont val="Calibri, sans-serif"/>
        <color rgb="FF1155CC"/>
        <sz val="11.0"/>
        <u/>
      </rPr>
      <t>https://maps.google.com/maps?q=32.719097%2C72.9852805&amp;z=17&amp;hl=en</t>
    </r>
  </si>
  <si>
    <r>
      <rPr>
        <rFont val="Calibri, sans-serif"/>
        <color rgb="FF1155CC"/>
        <sz val="11.0"/>
        <u/>
      </rPr>
      <t>https://maps.google.com/maps?q=32.9257983%2C72.4068136&amp;z=17&amp;hl=en</t>
    </r>
  </si>
  <si>
    <t>Jamia Masjid Darbar Eman Ali Alhaq Sailkot</t>
  </si>
  <si>
    <r>
      <rPr>
        <rFont val="Calibri, sans-serif"/>
        <color rgb="FF1155CC"/>
        <sz val="11.0"/>
        <u/>
      </rPr>
      <t>https://maps.google.com/maps?q=32.4882583%2C74.5383817&amp;z=17&amp;hl=en</t>
    </r>
  </si>
  <si>
    <t>Jamia Masjid Darbar Chila Ga Kangna Peera Hamal Pura</t>
  </si>
  <si>
    <r>
      <rPr>
        <rFont val="Calibri, sans-serif"/>
        <color rgb="FF1155CC"/>
        <sz val="11.0"/>
        <u/>
      </rPr>
      <t>https://maps.google.com/maps?q=32.6707567%2C74.5707033&amp;z=17&amp;hl=en</t>
    </r>
  </si>
  <si>
    <t>Jamia Masjid Unchee PansaRiya Sailkot</t>
  </si>
  <si>
    <r>
      <rPr>
        <rFont val="Calibri, sans-serif"/>
        <color rgb="FF1155CC"/>
        <sz val="11.0"/>
        <u/>
      </rPr>
      <t>https://maps.google.com/maps?q=32.4924412%2C74.5390548&amp;z=17&amp;hl=en</t>
    </r>
  </si>
  <si>
    <t>Jamia Masjid Safdariya Rangupura Sailkot</t>
  </si>
  <si>
    <r>
      <rPr>
        <rFont val="Calibri, sans-serif"/>
        <color rgb="FF1155CC"/>
        <sz val="11.0"/>
        <u/>
      </rPr>
      <t>https://maps.google.com/maps?q=32.4948115%2C74.5621511&amp;z=17&amp;hl=en</t>
    </r>
  </si>
  <si>
    <r>
      <rPr>
        <rFont val="Calibri, sans-serif"/>
        <color rgb="FF1155CC"/>
        <sz val="11.0"/>
        <u/>
      </rPr>
      <t>https://maps.google.com/maps?q=32.5489782%2C74.5487986&amp;z=17&amp;hl=en</t>
    </r>
  </si>
  <si>
    <t>Jamia Masjid Darbar Abdul Salam Chisti Shakarghar</t>
  </si>
  <si>
    <r>
      <rPr>
        <rFont val="Calibri, sans-serif"/>
        <color rgb="FF1155CC"/>
        <sz val="11.0"/>
        <u/>
      </rPr>
      <t>https://maps.google.com/maps?q=32.3261997%2C75.3006909&amp;z=17&amp;hl=en</t>
    </r>
  </si>
  <si>
    <t>Jamia Masjid Noor Shakarghar</t>
  </si>
  <si>
    <r>
      <rPr>
        <rFont val="Calibri, sans-serif"/>
        <color rgb="FF1155CC"/>
        <sz val="11.0"/>
        <u/>
      </rPr>
      <t>https://maps.google.com/maps?q=32.2635931%2C75.1662053&amp;z=17&amp;hl=en</t>
    </r>
  </si>
  <si>
    <t>Jamia Masjid Darbar Qutab Shah Wali Narowaal</t>
  </si>
  <si>
    <t>https://maps.app.goo.gl/JANsph5o58rwKjzq8</t>
  </si>
  <si>
    <t>32°05'47.1</t>
  </si>
  <si>
    <t>74°52'48.9</t>
  </si>
  <si>
    <t>Jamia Masjid Gunj Mandi Rawalpindi</t>
  </si>
  <si>
    <r>
      <rPr>
        <rFont val="Calibri, sans-serif"/>
        <color rgb="FF1155CC"/>
        <sz val="11.0"/>
        <u/>
      </rPr>
      <t>https://maps.google.com/maps?q=33.6153631%2C73.0528385&amp;z=17&amp;hl=en</t>
    </r>
  </si>
  <si>
    <t>Jamia Masjid Darbar Gohar Ali Shah Bakarmandi</t>
  </si>
  <si>
    <r>
      <rPr>
        <rFont val="Calibri, sans-serif"/>
        <color rgb="FF1155CC"/>
        <sz val="11.0"/>
        <u/>
      </rPr>
      <t>https://maps.google.com/maps?q=33.5742801%2C73.0401426&amp;z=17&amp;hl=en</t>
    </r>
  </si>
  <si>
    <r>
      <rPr>
        <rFont val="Calibri, sans-serif"/>
        <color rgb="FF1155CC"/>
        <sz val="11.0"/>
        <u/>
      </rPr>
      <t>https://maps.google.com/maps?q=33.6114515%2C73.0658015&amp;z=17&amp;hl=en</t>
    </r>
  </si>
  <si>
    <r>
      <rPr>
        <rFont val="Calibri, sans-serif"/>
        <color rgb="FF1155CC"/>
        <sz val="11.0"/>
        <u/>
      </rPr>
      <t>https://maps.google.com/maps?q=33.6138963%2C73.0548993&amp;z=17&amp;hl=en</t>
    </r>
  </si>
  <si>
    <t>Jamia Masjid Darbar Baba Jahaar Chaklala Rawalpindi</t>
  </si>
  <si>
    <r>
      <rPr>
        <rFont val="Calibri, sans-serif"/>
        <color rgb="FF1155CC"/>
        <sz val="11.0"/>
        <u/>
      </rPr>
      <t>https://maps.google.com/maps?q=33.6049542%2C73.1011314&amp;z=17&amp;hl=en</t>
    </r>
  </si>
  <si>
    <t>Markazi Jamia Masjid Rawalpindi</t>
  </si>
  <si>
    <r>
      <rPr>
        <rFont val="Calibri, sans-serif"/>
        <color rgb="FF1155CC"/>
        <sz val="11.0"/>
        <u/>
      </rPr>
      <t>https://maps.google.com/maps?q=33.6182966%2C73.0565511&amp;z=17&amp;hl=en</t>
    </r>
  </si>
  <si>
    <t>Jamia Masjid Jamun Wali Rawalpindi</t>
  </si>
  <si>
    <r>
      <rPr>
        <rFont val="Calibri, sans-serif"/>
        <color rgb="FF1155CC"/>
        <sz val="11.0"/>
        <u/>
      </rPr>
      <t>https://maps.google.com/maps?q=33.617316%2C73.0622193&amp;z=17&amp;hl=en</t>
    </r>
  </si>
  <si>
    <t>Jamia Masjid Sabzi Mandi Rawalpindi</t>
  </si>
  <si>
    <r>
      <rPr>
        <rFont val="Calibri, sans-serif"/>
        <color rgb="FF1155CC"/>
        <sz val="11.0"/>
        <u/>
      </rPr>
      <t>https://maps.google.com/maps?q=33.6141445%2C73.0576834&amp;z=17&amp;hl=en</t>
    </r>
  </si>
  <si>
    <t>Jamia Masjid Pholo Wali Rawalpindi</t>
  </si>
  <si>
    <r>
      <rPr>
        <rFont val="Calibri, sans-serif"/>
        <color rgb="FF1155CC"/>
        <sz val="11.0"/>
        <u/>
      </rPr>
      <t>https://maps.google.com/maps?q=33.6228339%2C73.0551435&amp;z=17&amp;hl=en</t>
    </r>
  </si>
  <si>
    <t>Jamia Masjid Gawaal Mandi Rawalpindi</t>
  </si>
  <si>
    <r>
      <rPr>
        <rFont val="Calibri, sans-serif"/>
        <color rgb="FF1155CC"/>
        <sz val="11.0"/>
        <u/>
      </rPr>
      <t>https://maps.google.com/maps?q=33.6059161%2C73.0571634&amp;z=17&amp;hl=en</t>
    </r>
  </si>
  <si>
    <t>Masjid Baba Ghulam Badshah Rawalpindi</t>
  </si>
  <si>
    <r>
      <rPr>
        <rFont val="Calibri, sans-serif"/>
        <color rgb="FF1155CC"/>
        <sz val="11.0"/>
        <u/>
      </rPr>
      <t>https://maps.google.com/maps?q=33.5813044%2C73.0285838&amp;z=17&amp;hl=en</t>
    </r>
  </si>
  <si>
    <t>Jamia Masjid Syedan #2 Rawalpindi</t>
  </si>
  <si>
    <r>
      <rPr>
        <rFont val="Calibri, sans-serif"/>
        <color rgb="FF1155CC"/>
        <sz val="11.0"/>
        <u/>
      </rPr>
      <t>https://maps.google.com/maps?q=33.6206937%2C73.0664336&amp;z=17&amp;hl=en</t>
    </r>
  </si>
  <si>
    <t>Jamia Masjid Murre Barori Rawalpindi</t>
  </si>
  <si>
    <r>
      <rPr>
        <rFont val="Calibri, sans-serif"/>
        <color rgb="FF1155CC"/>
        <sz val="11.0"/>
        <u/>
      </rPr>
      <t>https://maps.google.com/maps?q=33.5790168%2C73.0856103&amp;z=17&amp;hl=en</t>
    </r>
  </si>
  <si>
    <t>Jamia Masjid Gul Saraaj Rawalpindi</t>
  </si>
  <si>
    <r>
      <rPr>
        <rFont val="Calibri, sans-serif"/>
        <color rgb="FF1155CC"/>
        <sz val="11.0"/>
        <u/>
      </rPr>
      <t>https://maps.google.com/maps?q=33.6180715%2C73.0669&amp;z=17&amp;hl=en</t>
    </r>
  </si>
  <si>
    <t>Jamia Mosjid Daud Shah hakani</t>
  </si>
  <si>
    <r>
      <rPr>
        <rFont val="Calibri, sans-serif"/>
        <color rgb="FF1155CC"/>
        <sz val="11.0"/>
        <u/>
      </rPr>
      <t>https://maps.google.com/maps?q=33.3789517%2C73.5478217&amp;z=17&amp;hl=en</t>
    </r>
  </si>
  <si>
    <r>
      <rPr>
        <rFont val="Calibri, sans-serif"/>
        <color rgb="FF1155CC"/>
        <sz val="11.0"/>
        <u/>
      </rPr>
      <t>https://maps.google.com/maps?q=33.6022424%2C73.0535193&amp;z=17&amp;hl=en</t>
    </r>
  </si>
  <si>
    <r>
      <rPr>
        <rFont val="Calibri, sans-serif"/>
        <color rgb="FF1155CC"/>
        <sz val="11.0"/>
        <u/>
      </rPr>
      <t>https://maps.google.com/maps?q=33.6071287%2C73.049163&amp;z=17&amp;hl=en</t>
    </r>
  </si>
  <si>
    <r>
      <rPr>
        <rFont val="Calibri, sans-serif"/>
        <color rgb="FF1155CC"/>
        <sz val="11.0"/>
        <u/>
      </rPr>
      <t>https://maps.google.com/maps?q=33.5778038%2C73.0882561&amp;z=17&amp;hl=en</t>
    </r>
  </si>
  <si>
    <t>Jamia Masjid Bhaga Sher Dargali Rawalpindi</t>
  </si>
  <si>
    <r>
      <rPr>
        <rFont val="Calibri, sans-serif"/>
        <color rgb="FF1155CC"/>
        <sz val="11.0"/>
        <u/>
      </rPr>
      <t>https://maps.google.com/maps?q=33.378525%2C73.3373617&amp;z=17&amp;hl=en</t>
    </r>
  </si>
  <si>
    <t>Jamia Masjid Sadique-E-Akbar The Mall Muree</t>
  </si>
  <si>
    <r>
      <rPr>
        <rFont val="Calibri, sans-serif"/>
        <color rgb="FF1155CC"/>
        <sz val="11.0"/>
        <u/>
      </rPr>
      <t>https://maps.google.com/maps?q=33.9072445%2C73.39384&amp;z=17&amp;hl=en</t>
    </r>
  </si>
  <si>
    <t>TBJSZ</t>
  </si>
  <si>
    <t>MIJOS</t>
  </si>
  <si>
    <t>PMEOP</t>
  </si>
  <si>
    <t>EHCII</t>
  </si>
  <si>
    <t>NRTZY</t>
  </si>
  <si>
    <t>DDUAQ</t>
  </si>
  <si>
    <t>GIIZT</t>
  </si>
  <si>
    <t>INWLV</t>
  </si>
  <si>
    <t>FXZOO</t>
  </si>
  <si>
    <t>RIXWS</t>
  </si>
  <si>
    <t>IWVHB</t>
  </si>
  <si>
    <t>ZKBVB</t>
  </si>
  <si>
    <t>VHMAD</t>
  </si>
  <si>
    <t>KZCHP</t>
  </si>
  <si>
    <t>SFIAG</t>
  </si>
  <si>
    <t>CHRRV</t>
  </si>
  <si>
    <t>EUYDR</t>
  </si>
  <si>
    <t>LAZGH</t>
  </si>
  <si>
    <t>YJSUU</t>
  </si>
  <si>
    <t>MEKKR</t>
  </si>
  <si>
    <t>GLVLN</t>
  </si>
  <si>
    <t>CZLZC</t>
  </si>
  <si>
    <t>DKNOC</t>
  </si>
  <si>
    <t>DMXZD</t>
  </si>
  <si>
    <t>OWRZO</t>
  </si>
  <si>
    <t>XJAFK</t>
  </si>
  <si>
    <t>FWPCR</t>
  </si>
  <si>
    <t>XUTAP</t>
  </si>
  <si>
    <t>FFMLG</t>
  </si>
  <si>
    <t>BQADQ</t>
  </si>
  <si>
    <t>SVLAC</t>
  </si>
  <si>
    <t>RJYCR</t>
  </si>
  <si>
    <t>PWLHL</t>
  </si>
  <si>
    <t>WAEBF</t>
  </si>
  <si>
    <t>QWFUH</t>
  </si>
  <si>
    <t>BQTLS</t>
  </si>
  <si>
    <t>TNORZ</t>
  </si>
  <si>
    <t>YBRQP</t>
  </si>
  <si>
    <t>NPTNX</t>
  </si>
  <si>
    <t>YFSVC</t>
  </si>
  <si>
    <t>NRYXT</t>
  </si>
  <si>
    <t>EPHOX</t>
  </si>
  <si>
    <t>WDCNZ</t>
  </si>
  <si>
    <t>JIFXW</t>
  </si>
  <si>
    <t>BHSNI</t>
  </si>
  <si>
    <t>SYYGP</t>
  </si>
  <si>
    <t>HCFOS</t>
  </si>
  <si>
    <t>KVIAD</t>
  </si>
  <si>
    <t>GIESZ</t>
  </si>
  <si>
    <t>EHUGM</t>
  </si>
  <si>
    <t>RUKHD</t>
  </si>
  <si>
    <t>JRTCA</t>
  </si>
  <si>
    <t>HFKRJ</t>
  </si>
  <si>
    <t>EBJOH</t>
  </si>
  <si>
    <t>UNWRA</t>
  </si>
  <si>
    <t>SBXGZ</t>
  </si>
  <si>
    <t>PQENZ</t>
  </si>
  <si>
    <t>TDCKA</t>
  </si>
  <si>
    <t>ABXEO</t>
  </si>
  <si>
    <t>YACPK</t>
  </si>
  <si>
    <t>FDVGL</t>
  </si>
  <si>
    <t>XBKAE</t>
  </si>
  <si>
    <t>HIQIA</t>
  </si>
  <si>
    <t>ULWJN</t>
  </si>
  <si>
    <t>SXGVL</t>
  </si>
  <si>
    <t>YSMUZ</t>
  </si>
  <si>
    <t>CAREU</t>
  </si>
  <si>
    <t>EPBZV</t>
  </si>
  <si>
    <t>NEMTM</t>
  </si>
  <si>
    <t>SLTDM</t>
  </si>
  <si>
    <t>JNWDY</t>
  </si>
  <si>
    <t>BSPGD</t>
  </si>
  <si>
    <t>JWAHX</t>
  </si>
  <si>
    <t>LBRDL</t>
  </si>
  <si>
    <t>PLYME</t>
  </si>
  <si>
    <t>XUTVX</t>
  </si>
  <si>
    <t>JIJXW</t>
  </si>
  <si>
    <t>PTRKS</t>
  </si>
  <si>
    <t>QHZRM</t>
  </si>
  <si>
    <t>YKMMF</t>
  </si>
  <si>
    <t>WHAAN</t>
  </si>
  <si>
    <t>WCTLY</t>
  </si>
  <si>
    <t>IXMVB</t>
  </si>
  <si>
    <t>QAIFY</t>
  </si>
  <si>
    <t>ZRUDF</t>
  </si>
  <si>
    <t>WTDFW</t>
  </si>
  <si>
    <t>XEQYM</t>
  </si>
  <si>
    <t>CYICI</t>
  </si>
  <si>
    <t>TPASE</t>
  </si>
  <si>
    <t>SWFSH</t>
  </si>
  <si>
    <t>UVGNS</t>
  </si>
  <si>
    <t>IPNQM</t>
  </si>
  <si>
    <t>DBIBH</t>
  </si>
  <si>
    <t>YQPDY</t>
  </si>
  <si>
    <t>KJADN</t>
  </si>
  <si>
    <t>WCUUN</t>
  </si>
  <si>
    <t>ZIXUM</t>
  </si>
  <si>
    <t>DPXVQ</t>
  </si>
  <si>
    <t>VYKFG</t>
  </si>
  <si>
    <t>BRBME</t>
  </si>
  <si>
    <t>TDOFG</t>
  </si>
  <si>
    <t>PQWQD</t>
  </si>
  <si>
    <t>FBTSZ</t>
  </si>
  <si>
    <t>ISHXG</t>
  </si>
  <si>
    <t>GZKTI</t>
  </si>
  <si>
    <t>PORHC</t>
  </si>
  <si>
    <t>CIJAM</t>
  </si>
  <si>
    <t>XGURW</t>
  </si>
  <si>
    <t>IABDA</t>
  </si>
  <si>
    <t>PWZTH</t>
  </si>
  <si>
    <t>VCCNO</t>
  </si>
  <si>
    <t>JXUXW</t>
  </si>
  <si>
    <t>KLGPE</t>
  </si>
  <si>
    <t>YVRUG</t>
  </si>
  <si>
    <t>WOKIL</t>
  </si>
  <si>
    <t>KKKFB</t>
  </si>
  <si>
    <t>TRQKU</t>
  </si>
  <si>
    <t>EBHWO</t>
  </si>
  <si>
    <t>HLBVB</t>
  </si>
  <si>
    <t>YBLOC</t>
  </si>
  <si>
    <t>FCIVV</t>
  </si>
  <si>
    <t>YMLRO</t>
  </si>
  <si>
    <t>TVRPI</t>
  </si>
  <si>
    <t>OKMSH</t>
  </si>
  <si>
    <t>GDQCT</t>
  </si>
  <si>
    <t>RCJWT</t>
  </si>
  <si>
    <t>QKNOI</t>
  </si>
  <si>
    <t>CWNKB</t>
  </si>
  <si>
    <t>HUSZW</t>
  </si>
  <si>
    <t>EESHN</t>
  </si>
  <si>
    <t>TJVTP</t>
  </si>
  <si>
    <t>MWVSZ</t>
  </si>
  <si>
    <t>XWWMX</t>
  </si>
  <si>
    <t>VYCVI</t>
  </si>
  <si>
    <t>ARSZR</t>
  </si>
  <si>
    <t>MWZUW</t>
  </si>
  <si>
    <t>VXQEL</t>
  </si>
  <si>
    <t>CEOAA</t>
  </si>
  <si>
    <t>XLODI</t>
  </si>
  <si>
    <t>QWPVB</t>
  </si>
  <si>
    <t>DLOKR</t>
  </si>
  <si>
    <t>NZEDR</t>
  </si>
  <si>
    <t>FQWAA</t>
  </si>
  <si>
    <t>VKHSW</t>
  </si>
  <si>
    <t>PHLFY</t>
  </si>
  <si>
    <t>VXTSK</t>
  </si>
  <si>
    <t>PFQAP</t>
  </si>
  <si>
    <t>TJBMW</t>
  </si>
  <si>
    <t>ZRPPK</t>
  </si>
  <si>
    <t>RCRES</t>
  </si>
  <si>
    <t>YVDFB</t>
  </si>
  <si>
    <t>VQKWI</t>
  </si>
  <si>
    <t>WGXYO</t>
  </si>
  <si>
    <t>NSATQ</t>
  </si>
  <si>
    <t>PGKMS</t>
  </si>
  <si>
    <t>RZQTU</t>
  </si>
  <si>
    <t>VNVEV</t>
  </si>
  <si>
    <t>CNMWH</t>
  </si>
  <si>
    <t>BXNGZ</t>
  </si>
  <si>
    <t>HUBAF</t>
  </si>
  <si>
    <t>XBFPI</t>
  </si>
  <si>
    <t>RTBLJ</t>
  </si>
  <si>
    <t>AXJRT</t>
  </si>
  <si>
    <t>NVCCK</t>
  </si>
  <si>
    <t>ZEFCV</t>
  </si>
  <si>
    <t>YEXFU</t>
  </si>
  <si>
    <t>QWIPJ</t>
  </si>
  <si>
    <t>WTZIV</t>
  </si>
  <si>
    <t>PUNKD</t>
  </si>
  <si>
    <t>TYLWY</t>
  </si>
  <si>
    <t>CWGPG</t>
  </si>
  <si>
    <t>AYDSS</t>
  </si>
  <si>
    <t>ZJKFY</t>
  </si>
  <si>
    <t>HUALR</t>
  </si>
  <si>
    <t>BEVNP</t>
  </si>
  <si>
    <t>PELEL</t>
  </si>
  <si>
    <t>HKUGE</t>
  </si>
  <si>
    <t>KQBHK</t>
  </si>
  <si>
    <t>UQDZK</t>
  </si>
  <si>
    <t>UUMNW</t>
  </si>
  <si>
    <t>QYNHR</t>
  </si>
  <si>
    <t>week Number</t>
  </si>
  <si>
    <t>?</t>
  </si>
  <si>
    <t>yjuh</t>
  </si>
  <si>
    <t>mosqueid</t>
  </si>
  <si>
    <t>zone</t>
  </si>
  <si>
    <t>mosquename</t>
  </si>
  <si>
    <t>Enum Name</t>
  </si>
  <si>
    <t>Contact</t>
  </si>
  <si>
    <t>time</t>
  </si>
  <si>
    <t>newsermondate_str</t>
  </si>
  <si>
    <t>poorneighbordonation</t>
  </si>
  <si>
    <t xml:space="preserve">Recording Link </t>
  </si>
  <si>
    <t>6 months</t>
  </si>
  <si>
    <t>Feb</t>
  </si>
  <si>
    <t>Mar</t>
  </si>
  <si>
    <t>Apr</t>
  </si>
  <si>
    <t>May</t>
  </si>
  <si>
    <t>Jun</t>
  </si>
  <si>
    <t>Jul</t>
  </si>
  <si>
    <t>1 year</t>
  </si>
  <si>
    <t>hnzog</t>
  </si>
  <si>
    <t>homvr</t>
  </si>
  <si>
    <t>ipmee</t>
  </si>
  <si>
    <t>kmbbm</t>
  </si>
  <si>
    <t>pgpqm</t>
  </si>
  <si>
    <t>qaqid</t>
  </si>
  <si>
    <t>qvdjf</t>
  </si>
  <si>
    <t>sxnpd</t>
  </si>
  <si>
    <t>wrtan</t>
  </si>
  <si>
    <t>xyhje</t>
  </si>
  <si>
    <t>zmbiv</t>
  </si>
  <si>
    <t>aovko</t>
  </si>
  <si>
    <t>bjlnr</t>
  </si>
  <si>
    <t>bwxoo</t>
  </si>
  <si>
    <t>ccxyi</t>
  </si>
  <si>
    <t>cvxrs</t>
  </si>
  <si>
    <t>ougeg</t>
  </si>
  <si>
    <t>sphkk</t>
  </si>
  <si>
    <t>viexi</t>
  </si>
  <si>
    <t>zrxri</t>
  </si>
  <si>
    <t>hxszb</t>
  </si>
  <si>
    <t>pxolr</t>
  </si>
  <si>
    <t>uvnai</t>
  </si>
  <si>
    <t>gxkkx</t>
  </si>
  <si>
    <t>osgnp</t>
  </si>
  <si>
    <t>aknhz</t>
  </si>
  <si>
    <t>dgohd</t>
  </si>
  <si>
    <t>ohbdv</t>
  </si>
  <si>
    <t>oiuji</t>
  </si>
  <si>
    <t>qlxff</t>
  </si>
  <si>
    <t>jtmur</t>
  </si>
  <si>
    <t>lmdfn</t>
  </si>
  <si>
    <t>cklbk</t>
  </si>
  <si>
    <t>garuu</t>
  </si>
  <si>
    <t>ingwh</t>
  </si>
  <si>
    <t>upuvs</t>
  </si>
  <si>
    <t>xbfuu</t>
  </si>
  <si>
    <t>zjbwk</t>
  </si>
  <si>
    <t>eckcl</t>
  </si>
  <si>
    <t>vyrme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</si>
</sst>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m/yy hh:mm"/>
  </numFmts>
  <fonts count="63">
    <font>
      <sz val="10.0"/>
      <color rgb="FF000000"/>
      <name val="Arial"/>
      <scheme val="minor"/>
    </font>
    <font>
      <b/>
      <color theme="1"/>
      <name val="Arial"/>
      <scheme val="minor"/>
    </font>
    <font>
      <color theme="1"/>
      <name val="Arial"/>
      <scheme val="minor"/>
    </font>
    <font>
      <u/>
      <color rgb="FF0000FF"/>
    </font>
    <font>
      <u/>
      <color rgb="FF0000FF"/>
    </font>
    <font>
      <b/>
      <color rgb="FF434343"/>
      <name val="Roboto"/>
    </font>
    <font>
      <b/>
      <color theme="1"/>
      <name val="Arial"/>
    </font>
    <font>
      <b/>
      <u/>
      <color rgb="FF434343"/>
      <name val="Roboto"/>
    </font>
    <font>
      <color rgb="FF434343"/>
      <name val="Roboto"/>
    </font>
    <font>
      <color theme="1"/>
      <name val="Arial"/>
    </font>
    <font>
      <u/>
      <color rgb="FF434343"/>
      <name val="Roboto"/>
    </font>
    <font>
      <u/>
      <color rgb="FF434343"/>
      <name val="Roboto"/>
    </font>
    <font>
      <u/>
      <color rgb="FF434343"/>
      <name val="Roboto"/>
    </font>
    <font>
      <u/>
      <color rgb="FF434343"/>
      <name val="Roboto"/>
    </font>
    <font>
      <sz val="12.0"/>
      <color rgb="FF434343"/>
      <name val="Calibri"/>
    </font>
    <font>
      <u/>
      <color rgb="FF434343"/>
      <name val="Roboto"/>
    </font>
    <font>
      <u/>
      <color rgb="FF434343"/>
      <name val="Roboto"/>
    </font>
    <font>
      <u/>
      <color rgb="FF434343"/>
      <name val="Roboto"/>
    </font>
    <font>
      <u/>
      <color rgb="FF434343"/>
      <name val="Roboto"/>
    </font>
    <font>
      <u/>
      <sz val="9.0"/>
      <color rgb="FF434343"/>
      <name val="Roboto"/>
    </font>
    <font>
      <u/>
      <color rgb="FF434343"/>
      <name val="Roboto"/>
    </font>
    <font>
      <u/>
      <color rgb="FF434343"/>
      <name val="Roboto"/>
    </font>
    <font>
      <u/>
      <color rgb="FF434343"/>
      <name val="Roboto"/>
    </font>
    <font>
      <u/>
      <color rgb="FF434343"/>
      <name val="Roboto"/>
    </font>
    <font>
      <u/>
      <color rgb="FF434343"/>
      <name val="Arial"/>
    </font>
    <font>
      <u/>
      <color rgb="FF434343"/>
      <name val="Arial"/>
    </font>
    <font>
      <u/>
      <color rgb="FF434343"/>
      <name val="Arial"/>
    </font>
    <font>
      <u/>
      <color rgb="FF434343"/>
      <name val="Roboto"/>
    </font>
    <font>
      <u/>
      <color rgb="FF0000FF"/>
      <name val="Arial"/>
    </font>
    <font>
      <u/>
      <color rgb="FF0000FF"/>
      <name val="Arial"/>
    </font>
    <font>
      <u/>
      <color rgb="FF0000FF"/>
      <name val="Arial"/>
    </font>
    <font>
      <u/>
      <color rgb="FF0000FF"/>
      <name val="Arial"/>
    </font>
    <font>
      <u/>
      <sz val="9.0"/>
      <color rgb="FF1155CC"/>
      <name val="Arial"/>
    </font>
    <font>
      <sz val="9.0"/>
      <color theme="1"/>
      <name val="Arial"/>
    </font>
    <font>
      <u/>
      <sz val="9.0"/>
      <color rgb="FF1155CC"/>
      <name val="Arial"/>
    </font>
    <font>
      <u/>
      <sz val="9.0"/>
      <color rgb="FF0000FF"/>
    </font>
    <font>
      <u/>
      <sz val="9.0"/>
      <color rgb="FF0000FF"/>
    </font>
    <font>
      <sz val="9.0"/>
      <color theme="1"/>
      <name val="Arial"/>
      <scheme val="minor"/>
    </font>
    <font>
      <u/>
      <sz val="9.0"/>
      <color rgb="FF0000FF"/>
    </font>
    <font>
      <u/>
      <sz val="9.0"/>
      <color rgb="FF0000FF"/>
    </font>
    <font>
      <u/>
      <sz val="9.0"/>
      <color rgb="FF0000FF"/>
    </font>
    <font>
      <u/>
      <sz val="9.0"/>
      <color rgb="FF0000FF"/>
    </font>
    <font>
      <u/>
      <sz val="9.0"/>
      <color rgb="FF0000FF"/>
    </font>
    <font>
      <u/>
      <color rgb="FF0000FF"/>
    </font>
    <font>
      <u/>
      <color rgb="FF0000FF"/>
    </font>
    <font>
      <b/>
      <color rgb="FF000000"/>
      <name val="Arial"/>
    </font>
    <font>
      <u/>
      <color rgb="FF0000FF"/>
    </font>
    <font>
      <u/>
      <color rgb="FF0000FF"/>
    </font>
    <font>
      <u/>
      <color rgb="FF0000FF"/>
    </font>
    <font>
      <u/>
      <color rgb="FF0000FF"/>
    </font>
    <font>
      <color rgb="FF000000"/>
      <name val="Roboto"/>
    </font>
    <font>
      <u/>
      <color rgb="FF0000FF"/>
    </font>
    <font>
      <u/>
      <color rgb="FF0000FF"/>
    </font>
    <font>
      <u/>
      <color rgb="FF0000FF"/>
    </font>
    <font>
      <b/>
      <sz val="11.0"/>
      <color rgb="FF000000"/>
      <name val="Calibri"/>
    </font>
    <font>
      <sz val="11.0"/>
      <color rgb="FF000000"/>
      <name val="Calibri"/>
    </font>
    <font>
      <u/>
      <sz val="11.0"/>
      <color rgb="FF0000FF"/>
      <name val="Calibri"/>
    </font>
    <font>
      <u/>
      <sz val="11.0"/>
      <color rgb="FF000000"/>
      <name val="Calibri"/>
    </font>
    <font>
      <u/>
      <color rgb="FF0000FF"/>
    </font>
    <font>
      <i/>
      <sz val="11.0"/>
      <color rgb="FF000000"/>
      <name val="Calibri"/>
    </font>
    <font>
      <u/>
      <sz val="11.0"/>
      <color rgb="FF0000FF"/>
      <name val="Arial"/>
    </font>
    <font>
      <sz val="12.0"/>
      <color theme="1"/>
      <name val="Calibri"/>
    </font>
    <font>
      <sz val="12.0"/>
      <color rgb="FF000000"/>
      <name val="Calibri"/>
    </font>
  </fonts>
  <fills count="12">
    <fill>
      <patternFill patternType="none"/>
    </fill>
    <fill>
      <patternFill patternType="lightGray"/>
    </fill>
    <fill>
      <patternFill patternType="solid">
        <fgColor rgb="FFD9EAD3"/>
        <bgColor rgb="FFD9EAD3"/>
      </patternFill>
    </fill>
    <fill>
      <patternFill patternType="solid">
        <fgColor rgb="FFFF0000"/>
        <bgColor rgb="FFFF0000"/>
      </patternFill>
    </fill>
    <fill>
      <patternFill patternType="solid">
        <fgColor rgb="FFF8F9FA"/>
        <bgColor rgb="FFF8F9FA"/>
      </patternFill>
    </fill>
    <fill>
      <patternFill patternType="solid">
        <fgColor rgb="FFFFFFFF"/>
        <bgColor rgb="FFFFFFFF"/>
      </patternFill>
    </fill>
    <fill>
      <patternFill patternType="solid">
        <fgColor rgb="FFB7E1CD"/>
        <bgColor rgb="FFB7E1CD"/>
      </patternFill>
    </fill>
    <fill>
      <patternFill patternType="solid">
        <fgColor rgb="FFFFFF00"/>
        <bgColor rgb="FFFFFF00"/>
      </patternFill>
    </fill>
    <fill>
      <patternFill patternType="solid">
        <fgColor rgb="FFFFE599"/>
        <bgColor rgb="FFFFE599"/>
      </patternFill>
    </fill>
    <fill>
      <patternFill patternType="solid">
        <fgColor rgb="FFFFF2CC"/>
        <bgColor rgb="FFFFF2CC"/>
      </patternFill>
    </fill>
    <fill>
      <patternFill patternType="solid">
        <fgColor rgb="FF00FFFF"/>
        <bgColor rgb="FF00FFFF"/>
      </patternFill>
    </fill>
    <fill>
      <patternFill patternType="solid">
        <fgColor rgb="FF00FF00"/>
        <bgColor rgb="FF00FF00"/>
      </patternFill>
    </fill>
  </fills>
  <borders count="17">
    <border/>
    <border>
      <left style="thin">
        <color rgb="FFFFF2CC"/>
      </left>
      <right style="thin">
        <color rgb="FFFFF2CC"/>
      </right>
      <top style="thin">
        <color rgb="FFFFF2CC"/>
      </top>
      <bottom style="thin">
        <color rgb="FFFFF2CC"/>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D9EAD3"/>
      </left>
      <right style="thin">
        <color rgb="FFD9EAD3"/>
      </right>
      <top style="thin">
        <color rgb="FFD9EAD3"/>
      </top>
      <bottom style="thin">
        <color rgb="FFD9EAD3"/>
      </bottom>
    </border>
    <border>
      <left style="thin">
        <color rgb="FFB6D7A8"/>
      </left>
      <right style="thin">
        <color rgb="FFB6D7A8"/>
      </right>
      <top style="thin">
        <color rgb="FFB6D7A8"/>
      </top>
      <bottom style="thin">
        <color rgb="FFB6D7A8"/>
      </bottom>
    </border>
    <border>
      <left style="thin">
        <color rgb="FFFF0000"/>
      </left>
      <right style="thin">
        <color rgb="FFFF0000"/>
      </right>
      <top style="thin">
        <color rgb="FFFF0000"/>
      </top>
      <bottom style="thin">
        <color rgb="FFFF0000"/>
      </bottom>
    </border>
    <border>
      <left style="thin">
        <color rgb="FFF8F9FA"/>
      </left>
      <right style="thin">
        <color rgb="FFF8F9FA"/>
      </right>
      <top style="thin">
        <color rgb="FFF8F9FA"/>
      </top>
      <bottom style="thin">
        <color rgb="FF442F65"/>
      </bottom>
    </border>
    <border>
      <left style="thin">
        <color rgb="FF442F65"/>
      </left>
      <right style="thin">
        <color rgb="FFF8F9FA"/>
      </right>
      <top style="thin">
        <color rgb="FFF8F9FA"/>
      </top>
      <bottom style="thin">
        <color rgb="FF442F65"/>
      </bottom>
    </border>
    <border>
      <left style="thin">
        <color rgb="FFFFFFFF"/>
      </left>
      <right style="thin">
        <color rgb="FFFFFFFF"/>
      </right>
      <top style="thin">
        <color rgb="FFFFFFFF"/>
      </top>
      <bottom style="thin">
        <color rgb="FF442F65"/>
      </bottom>
    </border>
    <border>
      <left style="thin">
        <color rgb="FFF8F9FA"/>
      </left>
      <right style="thin">
        <color rgb="FF442F65"/>
      </right>
      <top style="thin">
        <color rgb="FFF8F9FA"/>
      </top>
      <bottom style="thin">
        <color rgb="FF442F65"/>
      </bottom>
    </border>
    <border>
      <right style="thin">
        <color rgb="FF000000"/>
      </right>
      <bottom style="thin">
        <color rgb="FF000000"/>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shrinkToFit="0" wrapText="1"/>
    </xf>
    <xf borderId="0" fillId="2" fontId="1" numFmtId="0" xfId="0" applyAlignment="1" applyFill="1" applyFont="1">
      <alignment shrinkToFit="0" wrapText="1"/>
    </xf>
    <xf borderId="0" fillId="0" fontId="1" numFmtId="0" xfId="0" applyAlignment="1" applyFont="1">
      <alignment shrinkToFit="0" wrapText="0"/>
    </xf>
    <xf borderId="0" fillId="0" fontId="1" numFmtId="0" xfId="0" applyAlignment="1" applyFont="1">
      <alignment shrinkToFit="0" wrapText="0"/>
    </xf>
    <xf borderId="0" fillId="2" fontId="1" numFmtId="0" xfId="0" applyAlignment="1" applyFont="1">
      <alignment readingOrder="0" shrinkToFit="0" wrapText="1"/>
    </xf>
    <xf borderId="0" fillId="0" fontId="2" numFmtId="0" xfId="0" applyAlignment="1" applyFont="1">
      <alignment readingOrder="0"/>
    </xf>
    <xf borderId="0" fillId="0" fontId="2" numFmtId="164" xfId="0" applyFont="1" applyNumberFormat="1"/>
    <xf borderId="0" fillId="0" fontId="2" numFmtId="0" xfId="0" applyFont="1"/>
    <xf borderId="0" fillId="0" fontId="3" numFmtId="0" xfId="0" applyAlignment="1" applyFont="1">
      <alignment shrinkToFit="0" wrapText="0"/>
    </xf>
    <xf borderId="0" fillId="0" fontId="2" numFmtId="0" xfId="0" applyAlignment="1" applyFont="1">
      <alignment shrinkToFit="0" wrapText="0"/>
    </xf>
    <xf borderId="0" fillId="2" fontId="2" numFmtId="0" xfId="0" applyAlignment="1" applyFont="1">
      <alignment readingOrder="0"/>
    </xf>
    <xf borderId="0" fillId="0" fontId="2" numFmtId="0" xfId="0" applyAlignment="1" applyFont="1">
      <alignment shrinkToFit="0" wrapText="0"/>
    </xf>
    <xf borderId="0" fillId="0" fontId="2" numFmtId="9" xfId="0" applyAlignment="1" applyFont="1" applyNumberFormat="1">
      <alignment shrinkToFit="0" wrapText="0"/>
    </xf>
    <xf borderId="0" fillId="3" fontId="2" numFmtId="0" xfId="0" applyFill="1" applyFont="1"/>
    <xf borderId="0" fillId="2" fontId="2" numFmtId="0" xfId="0" applyFont="1"/>
    <xf borderId="0" fillId="0" fontId="4" numFmtId="0" xfId="0" applyFont="1"/>
    <xf borderId="0" fillId="4" fontId="5" numFmtId="164" xfId="0" applyAlignment="1" applyFill="1" applyFont="1" applyNumberFormat="1">
      <alignment horizontal="right" shrinkToFit="0" vertical="bottom" wrapText="0"/>
    </xf>
    <xf borderId="0" fillId="4" fontId="5" numFmtId="164" xfId="0" applyAlignment="1" applyFont="1" applyNumberFormat="1">
      <alignment horizontal="right" readingOrder="0" shrinkToFit="0" wrapText="0"/>
    </xf>
    <xf borderId="0" fillId="4" fontId="5" numFmtId="0" xfId="0" applyAlignment="1" applyFont="1">
      <alignment horizontal="right" readingOrder="0" shrinkToFit="0" wrapText="0"/>
    </xf>
    <xf borderId="0" fillId="4" fontId="5" numFmtId="0" xfId="0" applyAlignment="1" applyFont="1">
      <alignment readingOrder="0" shrinkToFit="0" wrapText="0"/>
    </xf>
    <xf borderId="0" fillId="4" fontId="5" numFmtId="0" xfId="0" applyAlignment="1" applyFont="1">
      <alignment horizontal="left" readingOrder="0" shrinkToFit="0" wrapText="0"/>
    </xf>
    <xf borderId="0" fillId="4" fontId="6" numFmtId="0" xfId="0" applyAlignment="1" applyFont="1">
      <alignment readingOrder="0"/>
    </xf>
    <xf borderId="0" fillId="4" fontId="7" numFmtId="0" xfId="0" applyAlignment="1" applyFont="1">
      <alignment readingOrder="0" shrinkToFit="0" wrapText="0"/>
    </xf>
    <xf borderId="0" fillId="4" fontId="6" numFmtId="0" xfId="0" applyAlignment="1" applyFont="1">
      <alignment readingOrder="0"/>
    </xf>
    <xf borderId="0" fillId="4" fontId="5" numFmtId="0" xfId="0" applyAlignment="1" applyFont="1">
      <alignment readingOrder="0" shrinkToFit="0" wrapText="0"/>
    </xf>
    <xf borderId="0" fillId="0" fontId="6" numFmtId="0" xfId="0" applyAlignment="1" applyFont="1">
      <alignment vertical="bottom"/>
    </xf>
    <xf borderId="0" fillId="4" fontId="8" numFmtId="164" xfId="0" applyAlignment="1" applyFont="1" applyNumberFormat="1">
      <alignment horizontal="right" shrinkToFit="0" vertical="bottom" wrapText="0"/>
    </xf>
    <xf borderId="0" fillId="4" fontId="8" numFmtId="164" xfId="0" applyAlignment="1" applyFont="1" applyNumberFormat="1">
      <alignment horizontal="right" shrinkToFit="0" wrapText="0"/>
    </xf>
    <xf borderId="0" fillId="4" fontId="8" numFmtId="0" xfId="0" applyAlignment="1" applyFont="1">
      <alignment horizontal="right" shrinkToFit="0" wrapText="0"/>
    </xf>
    <xf quotePrefix="1" borderId="0" fillId="4" fontId="8" numFmtId="0" xfId="0" applyAlignment="1" applyFont="1">
      <alignment shrinkToFit="0" wrapText="0"/>
    </xf>
    <xf borderId="0" fillId="4" fontId="8" numFmtId="0" xfId="0" applyAlignment="1" applyFont="1">
      <alignment horizontal="left" shrinkToFit="0" wrapText="0"/>
    </xf>
    <xf borderId="0" fillId="4" fontId="9" numFmtId="0" xfId="0" applyFont="1"/>
    <xf borderId="0" fillId="4" fontId="10" numFmtId="0" xfId="0" applyAlignment="1" applyFont="1">
      <alignment shrinkToFit="0" wrapText="0"/>
    </xf>
    <xf borderId="0" fillId="4" fontId="8" numFmtId="0" xfId="0" applyAlignment="1" applyFont="1">
      <alignment shrinkToFit="0" wrapText="0"/>
    </xf>
    <xf borderId="0" fillId="4" fontId="9" numFmtId="0" xfId="0" applyAlignment="1" applyFont="1">
      <alignment vertical="bottom"/>
    </xf>
    <xf borderId="0" fillId="0" fontId="9" numFmtId="0" xfId="0" applyAlignment="1" applyFont="1">
      <alignment vertical="bottom"/>
    </xf>
    <xf borderId="0" fillId="5" fontId="8" numFmtId="164" xfId="0" applyAlignment="1" applyFill="1" applyFont="1" applyNumberFormat="1">
      <alignment shrinkToFit="0" vertical="bottom" wrapText="0"/>
    </xf>
    <xf borderId="0" fillId="5" fontId="8" numFmtId="164" xfId="0" applyAlignment="1" applyFont="1" applyNumberFormat="1">
      <alignment horizontal="right" shrinkToFit="0" wrapText="0"/>
    </xf>
    <xf borderId="0" fillId="5" fontId="8" numFmtId="0" xfId="0" applyAlignment="1" applyFont="1">
      <alignment shrinkToFit="0" wrapText="0"/>
    </xf>
    <xf quotePrefix="1" borderId="0" fillId="5" fontId="8" numFmtId="0" xfId="0" applyAlignment="1" applyFont="1">
      <alignment shrinkToFit="0" wrapText="0"/>
    </xf>
    <xf borderId="0" fillId="5" fontId="8" numFmtId="0" xfId="0" applyAlignment="1" applyFont="1">
      <alignment horizontal="left" shrinkToFit="0" wrapText="0"/>
    </xf>
    <xf borderId="0" fillId="5" fontId="8" numFmtId="0" xfId="0" applyAlignment="1" applyFont="1">
      <alignment horizontal="right" shrinkToFit="0" wrapText="0"/>
    </xf>
    <xf borderId="0" fillId="5" fontId="9" numFmtId="0" xfId="0" applyFont="1"/>
    <xf borderId="0" fillId="5" fontId="11" numFmtId="0" xfId="0" applyAlignment="1" applyFont="1">
      <alignment shrinkToFit="0" wrapText="0"/>
    </xf>
    <xf borderId="0" fillId="5" fontId="8" numFmtId="0" xfId="0" applyAlignment="1" applyFont="1">
      <alignment horizontal="right" shrinkToFit="0" vertical="bottom" wrapText="0"/>
    </xf>
    <xf borderId="0" fillId="4" fontId="8" numFmtId="164" xfId="0" applyAlignment="1" applyFont="1" applyNumberFormat="1">
      <alignment shrinkToFit="0" vertical="bottom" wrapText="0"/>
    </xf>
    <xf borderId="0" fillId="4" fontId="8" numFmtId="0" xfId="0" applyAlignment="1" applyFont="1">
      <alignment horizontal="right" shrinkToFit="0" vertical="bottom" wrapText="0"/>
    </xf>
    <xf borderId="0" fillId="5" fontId="8" numFmtId="0" xfId="0" applyAlignment="1" applyFont="1">
      <alignment horizontal="right" readingOrder="0" shrinkToFit="0" wrapText="0"/>
    </xf>
    <xf borderId="0" fillId="4" fontId="8" numFmtId="0" xfId="0" applyAlignment="1" applyFont="1">
      <alignment horizontal="right" readingOrder="0" shrinkToFit="0" wrapText="0"/>
    </xf>
    <xf borderId="0" fillId="5" fontId="9" numFmtId="164" xfId="0" applyAlignment="1" applyFont="1" applyNumberFormat="1">
      <alignment vertical="bottom"/>
    </xf>
    <xf borderId="0" fillId="5" fontId="9" numFmtId="0" xfId="0" applyAlignment="1" applyFont="1">
      <alignment horizontal="left"/>
    </xf>
    <xf borderId="0" fillId="5" fontId="9" numFmtId="0" xfId="0" applyAlignment="1" applyFont="1">
      <alignment vertical="bottom"/>
    </xf>
    <xf borderId="0" fillId="4" fontId="8" numFmtId="0" xfId="0" applyAlignment="1" applyFont="1">
      <alignment readingOrder="0" shrinkToFit="0" wrapText="0"/>
    </xf>
    <xf borderId="0" fillId="5" fontId="8" numFmtId="0" xfId="0" applyAlignment="1" applyFont="1">
      <alignment readingOrder="0" shrinkToFit="0" wrapText="0"/>
    </xf>
    <xf quotePrefix="1" borderId="0" fillId="5" fontId="8" numFmtId="164" xfId="0" applyAlignment="1" applyFont="1" applyNumberFormat="1">
      <alignment shrinkToFit="0" vertical="bottom" wrapText="0"/>
    </xf>
    <xf quotePrefix="1" borderId="0" fillId="5" fontId="8" numFmtId="0" xfId="0" applyAlignment="1" applyFont="1">
      <alignment horizontal="left" shrinkToFit="0" wrapText="0"/>
    </xf>
    <xf borderId="0" fillId="5" fontId="8" numFmtId="3" xfId="0" applyAlignment="1" applyFont="1" applyNumberFormat="1">
      <alignment horizontal="right" readingOrder="0" shrinkToFit="0" wrapText="0"/>
    </xf>
    <xf borderId="1" fillId="4" fontId="8" numFmtId="0" xfId="0" applyAlignment="1" applyBorder="1" applyFont="1">
      <alignment shrinkToFit="0" wrapText="0"/>
    </xf>
    <xf borderId="2" fillId="4" fontId="8" numFmtId="164" xfId="0" applyAlignment="1" applyBorder="1" applyFont="1" applyNumberFormat="1">
      <alignment horizontal="right" shrinkToFit="0" wrapText="0"/>
    </xf>
    <xf borderId="3" fillId="4" fontId="8" numFmtId="0" xfId="0" applyAlignment="1" applyBorder="1" applyFont="1">
      <alignment horizontal="right" shrinkToFit="0" wrapText="0"/>
    </xf>
    <xf quotePrefix="1" borderId="3" fillId="4" fontId="8" numFmtId="0" xfId="0" applyAlignment="1" applyBorder="1" applyFont="1">
      <alignment shrinkToFit="0" wrapText="0"/>
    </xf>
    <xf borderId="1" fillId="4" fontId="8" numFmtId="0" xfId="0" applyAlignment="1" applyBorder="1" applyFont="1">
      <alignment horizontal="left" shrinkToFit="0" wrapText="0"/>
    </xf>
    <xf borderId="3" fillId="4" fontId="8" numFmtId="0" xfId="0" applyAlignment="1" applyBorder="1" applyFont="1">
      <alignment horizontal="right" shrinkToFit="0" wrapText="0"/>
    </xf>
    <xf borderId="3" fillId="4" fontId="9" numFmtId="0" xfId="0" applyBorder="1" applyFont="1"/>
    <xf borderId="3" fillId="4" fontId="12" numFmtId="0" xfId="0" applyAlignment="1" applyBorder="1" applyFont="1">
      <alignment shrinkToFit="0" wrapText="0"/>
    </xf>
    <xf borderId="3" fillId="4" fontId="8" numFmtId="0" xfId="0" applyAlignment="1" applyBorder="1" applyFont="1">
      <alignment shrinkToFit="0" wrapText="0"/>
    </xf>
    <xf borderId="4" fillId="4" fontId="9" numFmtId="0" xfId="0" applyBorder="1" applyFont="1"/>
    <xf borderId="1" fillId="5" fontId="8" numFmtId="0" xfId="0" applyAlignment="1" applyBorder="1" applyFont="1">
      <alignment shrinkToFit="0" wrapText="0"/>
    </xf>
    <xf borderId="5" fillId="5" fontId="8" numFmtId="164" xfId="0" applyAlignment="1" applyBorder="1" applyFont="1" applyNumberFormat="1">
      <alignment horizontal="right" shrinkToFit="0" wrapText="0"/>
    </xf>
    <xf borderId="6" fillId="5" fontId="8" numFmtId="0" xfId="0" applyAlignment="1" applyBorder="1" applyFont="1">
      <alignment shrinkToFit="0" wrapText="0"/>
    </xf>
    <xf quotePrefix="1" borderId="6" fillId="5" fontId="8" numFmtId="0" xfId="0" applyAlignment="1" applyBorder="1" applyFont="1">
      <alignment shrinkToFit="0" wrapText="0"/>
    </xf>
    <xf borderId="1" fillId="5" fontId="8" numFmtId="0" xfId="0" applyAlignment="1" applyBorder="1" applyFont="1">
      <alignment horizontal="left" shrinkToFit="0" wrapText="0"/>
    </xf>
    <xf borderId="6" fillId="5" fontId="8" numFmtId="0" xfId="0" applyAlignment="1" applyBorder="1" applyFont="1">
      <alignment horizontal="right" readingOrder="0" shrinkToFit="0" wrapText="0"/>
    </xf>
    <xf borderId="6" fillId="5" fontId="8" numFmtId="0" xfId="0" applyAlignment="1" applyBorder="1" applyFont="1">
      <alignment horizontal="right" shrinkToFit="0" wrapText="0"/>
    </xf>
    <xf borderId="6" fillId="5" fontId="9" numFmtId="0" xfId="0" applyBorder="1" applyFont="1"/>
    <xf borderId="6" fillId="5" fontId="13" numFmtId="0" xfId="0" applyAlignment="1" applyBorder="1" applyFont="1">
      <alignment shrinkToFit="0" wrapText="0"/>
    </xf>
    <xf borderId="7" fillId="5" fontId="9" numFmtId="0" xfId="0" applyBorder="1" applyFont="1"/>
    <xf borderId="3" fillId="4" fontId="5" numFmtId="0" xfId="0" applyAlignment="1" applyBorder="1" applyFont="1">
      <alignment shrinkToFit="0" wrapText="0"/>
    </xf>
    <xf borderId="6" fillId="5" fontId="8" numFmtId="0" xfId="0" applyAlignment="1" applyBorder="1" applyFont="1">
      <alignment horizontal="right" shrinkToFit="0" wrapText="0"/>
    </xf>
    <xf borderId="6" fillId="5" fontId="5" numFmtId="0" xfId="0" applyAlignment="1" applyBorder="1" applyFont="1">
      <alignment shrinkToFit="0" wrapText="0"/>
    </xf>
    <xf borderId="6" fillId="5" fontId="8" numFmtId="164" xfId="0" applyAlignment="1" applyBorder="1" applyFont="1" applyNumberFormat="1">
      <alignment shrinkToFit="0" vertical="bottom" wrapText="0"/>
    </xf>
    <xf borderId="6" fillId="5" fontId="8" numFmtId="0" xfId="0" applyAlignment="1" applyBorder="1" applyFont="1">
      <alignment horizontal="left" shrinkToFit="0" wrapText="0"/>
    </xf>
    <xf borderId="6" fillId="5" fontId="8" numFmtId="9" xfId="0" applyAlignment="1" applyBorder="1" applyFont="1" applyNumberFormat="1">
      <alignment horizontal="right" shrinkToFit="0" wrapText="0"/>
    </xf>
    <xf borderId="8" fillId="4" fontId="8" numFmtId="164" xfId="0" applyAlignment="1" applyBorder="1" applyFont="1" applyNumberFormat="1">
      <alignment horizontal="right" shrinkToFit="0" vertical="bottom" wrapText="0"/>
    </xf>
    <xf borderId="8" fillId="4" fontId="8" numFmtId="0" xfId="0" applyAlignment="1" applyBorder="1" applyFont="1">
      <alignment horizontal="left" shrinkToFit="0" wrapText="0"/>
    </xf>
    <xf borderId="8" fillId="5" fontId="8" numFmtId="164" xfId="0" applyAlignment="1" applyBorder="1" applyFont="1" applyNumberFormat="1">
      <alignment shrinkToFit="0" vertical="bottom" wrapText="0"/>
    </xf>
    <xf borderId="8" fillId="5" fontId="8" numFmtId="0" xfId="0" applyAlignment="1" applyBorder="1" applyFont="1">
      <alignment horizontal="left" shrinkToFit="0" wrapText="0"/>
    </xf>
    <xf borderId="8" fillId="4" fontId="8" numFmtId="164" xfId="0" applyAlignment="1" applyBorder="1" applyFont="1" applyNumberFormat="1">
      <alignment shrinkToFit="0" vertical="bottom" wrapText="0"/>
    </xf>
    <xf borderId="8" fillId="5" fontId="14" numFmtId="164" xfId="0" applyAlignment="1" applyBorder="1" applyFont="1" applyNumberFormat="1">
      <alignment shrinkToFit="0" vertical="bottom" wrapText="0"/>
    </xf>
    <xf borderId="6" fillId="5" fontId="14" numFmtId="0" xfId="0" applyAlignment="1" applyBorder="1" applyFont="1">
      <alignment shrinkToFit="0" vertical="bottom" wrapText="0"/>
    </xf>
    <xf borderId="8" fillId="5" fontId="14" numFmtId="0" xfId="0" applyAlignment="1" applyBorder="1" applyFont="1">
      <alignment horizontal="left" shrinkToFit="0" vertical="bottom" wrapText="0"/>
    </xf>
    <xf borderId="3" fillId="4" fontId="8" numFmtId="0" xfId="0" applyAlignment="1" applyBorder="1" applyFont="1">
      <alignment horizontal="right" readingOrder="0" shrinkToFit="0" wrapText="0"/>
    </xf>
    <xf borderId="3" fillId="4" fontId="8" numFmtId="9" xfId="0" applyAlignment="1" applyBorder="1" applyFont="1" applyNumberFormat="1">
      <alignment horizontal="right" shrinkToFit="0" wrapText="0"/>
    </xf>
    <xf borderId="6" fillId="5" fontId="15" numFmtId="0" xfId="0" applyAlignment="1" applyBorder="1" applyFont="1">
      <alignment readingOrder="0" shrinkToFit="0" wrapText="0"/>
    </xf>
    <xf borderId="6" fillId="4" fontId="8" numFmtId="164" xfId="0" applyAlignment="1" applyBorder="1" applyFont="1" applyNumberFormat="1">
      <alignment shrinkToFit="0" vertical="bottom" wrapText="0"/>
    </xf>
    <xf borderId="6" fillId="4" fontId="8" numFmtId="0" xfId="0" applyAlignment="1" applyBorder="1" applyFont="1">
      <alignment horizontal="left" shrinkToFit="0" wrapText="0"/>
    </xf>
    <xf borderId="3" fillId="4" fontId="8" numFmtId="0" xfId="0" applyAlignment="1" applyBorder="1" applyFont="1">
      <alignment shrinkToFit="0" wrapText="1"/>
    </xf>
    <xf borderId="8" fillId="6" fontId="8" numFmtId="164" xfId="0" applyAlignment="1" applyBorder="1" applyFill="1" applyFont="1" applyNumberFormat="1">
      <alignment shrinkToFit="0" vertical="bottom" wrapText="0"/>
    </xf>
    <xf borderId="2" fillId="4" fontId="8" numFmtId="164" xfId="0" applyAlignment="1" applyBorder="1" applyFont="1" applyNumberFormat="1">
      <alignment horizontal="right" shrinkToFit="0" wrapText="0"/>
    </xf>
    <xf borderId="3" fillId="4" fontId="8" numFmtId="0" xfId="0" applyAlignment="1" applyBorder="1" applyFont="1">
      <alignment shrinkToFit="0" wrapText="0"/>
    </xf>
    <xf quotePrefix="1" borderId="3" fillId="4" fontId="8" numFmtId="0" xfId="0" applyAlignment="1" applyBorder="1" applyFont="1">
      <alignment shrinkToFit="0" wrapText="0"/>
    </xf>
    <xf borderId="8" fillId="6" fontId="8" numFmtId="0" xfId="0" applyAlignment="1" applyBorder="1" applyFont="1">
      <alignment horizontal="left" shrinkToFit="0" wrapText="0"/>
    </xf>
    <xf borderId="3" fillId="4" fontId="8" numFmtId="0" xfId="0" applyAlignment="1" applyBorder="1" applyFont="1">
      <alignment horizontal="right" shrinkToFit="0" wrapText="0"/>
    </xf>
    <xf borderId="3" fillId="4" fontId="9" numFmtId="0" xfId="0" applyBorder="1" applyFont="1"/>
    <xf borderId="3" fillId="4" fontId="16" numFmtId="0" xfId="0" applyAlignment="1" applyBorder="1" applyFont="1">
      <alignment shrinkToFit="0" wrapText="0"/>
    </xf>
    <xf borderId="4" fillId="4" fontId="9" numFmtId="0" xfId="0" applyBorder="1" applyFont="1"/>
    <xf borderId="5" fillId="5" fontId="8" numFmtId="164" xfId="0" applyAlignment="1" applyBorder="1" applyFont="1" applyNumberFormat="1">
      <alignment horizontal="right" shrinkToFit="0" wrapText="0"/>
    </xf>
    <xf borderId="6" fillId="5" fontId="8" numFmtId="0" xfId="0" applyAlignment="1" applyBorder="1" applyFont="1">
      <alignment shrinkToFit="0" wrapText="0"/>
    </xf>
    <xf borderId="6" fillId="5" fontId="8" numFmtId="0" xfId="0" applyAlignment="1" applyBorder="1" applyFont="1">
      <alignment horizontal="right" readingOrder="0" shrinkToFit="0" wrapText="0"/>
    </xf>
    <xf borderId="6" fillId="5" fontId="8" numFmtId="0" xfId="0" applyAlignment="1" applyBorder="1" applyFont="1">
      <alignment horizontal="right" shrinkToFit="0" wrapText="0"/>
    </xf>
    <xf borderId="6" fillId="5" fontId="8" numFmtId="9" xfId="0" applyAlignment="1" applyBorder="1" applyFont="1" applyNumberFormat="1">
      <alignment horizontal="right" shrinkToFit="0" wrapText="0"/>
    </xf>
    <xf borderId="6" fillId="5" fontId="17" numFmtId="0" xfId="0" applyAlignment="1" applyBorder="1" applyFont="1">
      <alignment shrinkToFit="0" wrapText="0"/>
    </xf>
    <xf borderId="6" fillId="5" fontId="9" numFmtId="0" xfId="0" applyBorder="1" applyFont="1"/>
    <xf borderId="7" fillId="5" fontId="9" numFmtId="0" xfId="0" applyBorder="1" applyFont="1"/>
    <xf borderId="3" fillId="4" fontId="8" numFmtId="0" xfId="0" applyAlignment="1" applyBorder="1" applyFont="1">
      <alignment horizontal="right" readingOrder="0" shrinkToFit="0" wrapText="0"/>
    </xf>
    <xf borderId="8" fillId="6" fontId="8" numFmtId="0" xfId="0" applyAlignment="1" applyBorder="1" applyFont="1">
      <alignment shrinkToFit="0" vertical="bottom" wrapText="0"/>
    </xf>
    <xf borderId="5" fillId="5" fontId="9" numFmtId="0" xfId="0" applyBorder="1" applyFont="1"/>
    <xf quotePrefix="1" borderId="6" fillId="5" fontId="8" numFmtId="0" xfId="0" applyAlignment="1" applyBorder="1" applyFont="1">
      <alignment shrinkToFit="0" wrapText="0"/>
    </xf>
    <xf borderId="3" fillId="4" fontId="8" numFmtId="9" xfId="0" applyAlignment="1" applyBorder="1" applyFont="1" applyNumberFormat="1">
      <alignment horizontal="right" shrinkToFit="0" wrapText="0"/>
    </xf>
    <xf borderId="6" fillId="5" fontId="8" numFmtId="0" xfId="0" applyAlignment="1" applyBorder="1" applyFont="1">
      <alignment horizontal="left" shrinkToFit="0" wrapText="0"/>
    </xf>
    <xf borderId="8" fillId="6" fontId="8" numFmtId="164" xfId="0" applyAlignment="1" applyBorder="1" applyFont="1" applyNumberFormat="1">
      <alignment shrinkToFit="0" vertical="bottom" wrapText="1"/>
    </xf>
    <xf borderId="8" fillId="6" fontId="8" numFmtId="0" xfId="0" applyAlignment="1" applyBorder="1" applyFont="1">
      <alignment horizontal="left" shrinkToFit="0" wrapText="1"/>
    </xf>
    <xf borderId="6" fillId="5" fontId="8" numFmtId="164" xfId="0" applyAlignment="1" applyBorder="1" applyFont="1" applyNumberFormat="1">
      <alignment horizontal="right" shrinkToFit="0" vertical="bottom" wrapText="0"/>
    </xf>
    <xf borderId="8" fillId="6" fontId="8" numFmtId="164" xfId="0" applyAlignment="1" applyBorder="1" applyFont="1" applyNumberFormat="1">
      <alignment horizontal="center" shrinkToFit="0" vertical="bottom" wrapText="1"/>
    </xf>
    <xf borderId="6" fillId="5" fontId="8" numFmtId="0" xfId="0" applyAlignment="1" applyBorder="1" applyFont="1">
      <alignment horizontal="center" shrinkToFit="0" wrapText="1"/>
    </xf>
    <xf borderId="6" fillId="5" fontId="18" numFmtId="0" xfId="0" applyAlignment="1" applyBorder="1" applyFont="1">
      <alignment readingOrder="0" shrinkToFit="0" wrapText="0"/>
    </xf>
    <xf borderId="3" fillId="4" fontId="8" numFmtId="0" xfId="0" applyAlignment="1" applyBorder="1" applyFont="1">
      <alignment readingOrder="0" shrinkToFit="0" wrapText="0"/>
    </xf>
    <xf borderId="8" fillId="6" fontId="8" numFmtId="0" xfId="0" applyAlignment="1" applyBorder="1" applyFont="1">
      <alignment shrinkToFit="0" wrapText="0"/>
    </xf>
    <xf borderId="9" fillId="5" fontId="19" numFmtId="0" xfId="0" applyAlignment="1" applyBorder="1" applyFont="1">
      <alignment shrinkToFit="0" wrapText="1"/>
    </xf>
    <xf borderId="3" fillId="4" fontId="9" numFmtId="9" xfId="0" applyBorder="1" applyFont="1" applyNumberFormat="1"/>
    <xf borderId="3" fillId="4" fontId="8" numFmtId="0" xfId="0" applyAlignment="1" applyBorder="1" applyFont="1">
      <alignment shrinkToFit="0" wrapText="1"/>
    </xf>
    <xf borderId="3" fillId="4" fontId="9" numFmtId="9" xfId="0" applyBorder="1" applyFont="1" applyNumberFormat="1"/>
    <xf borderId="5" fillId="4" fontId="8" numFmtId="164" xfId="0" applyAlignment="1" applyBorder="1" applyFont="1" applyNumberFormat="1">
      <alignment horizontal="right" shrinkToFit="0" wrapText="0"/>
    </xf>
    <xf borderId="6" fillId="4" fontId="8" numFmtId="0" xfId="0" applyAlignment="1" applyBorder="1" applyFont="1">
      <alignment shrinkToFit="0" wrapText="0"/>
    </xf>
    <xf quotePrefix="1" borderId="6" fillId="4" fontId="8" numFmtId="0" xfId="0" applyAlignment="1" applyBorder="1" applyFont="1">
      <alignment shrinkToFit="0" wrapText="0"/>
    </xf>
    <xf borderId="6" fillId="4" fontId="8" numFmtId="0" xfId="0" applyAlignment="1" applyBorder="1" applyFont="1">
      <alignment horizontal="right" readingOrder="0" shrinkToFit="0" wrapText="0"/>
    </xf>
    <xf borderId="6" fillId="4" fontId="8" numFmtId="0" xfId="0" applyAlignment="1" applyBorder="1" applyFont="1">
      <alignment horizontal="right" shrinkToFit="0" wrapText="0"/>
    </xf>
    <xf borderId="10" fillId="4" fontId="8" numFmtId="0" xfId="0" applyAlignment="1" applyBorder="1" applyFont="1">
      <alignment horizontal="right" shrinkToFit="0" wrapText="0"/>
    </xf>
    <xf borderId="6" fillId="4" fontId="8" numFmtId="0" xfId="0" applyAlignment="1" applyBorder="1" applyFont="1">
      <alignment shrinkToFit="0" wrapText="1"/>
    </xf>
    <xf borderId="6" fillId="4" fontId="20" numFmtId="0" xfId="0" applyAlignment="1" applyBorder="1" applyFont="1">
      <alignment shrinkToFit="0" wrapText="0"/>
    </xf>
    <xf borderId="6" fillId="4" fontId="9" numFmtId="0" xfId="0" applyBorder="1" applyFont="1"/>
    <xf borderId="7" fillId="4" fontId="9" numFmtId="0" xfId="0" applyBorder="1" applyFont="1"/>
    <xf borderId="3" fillId="5" fontId="8" numFmtId="164" xfId="0" applyAlignment="1" applyBorder="1" applyFont="1" applyNumberFormat="1">
      <alignment shrinkToFit="0" vertical="bottom" wrapText="0"/>
    </xf>
    <xf borderId="2" fillId="5" fontId="8" numFmtId="164" xfId="0" applyAlignment="1" applyBorder="1" applyFont="1" applyNumberFormat="1">
      <alignment horizontal="right" shrinkToFit="0" wrapText="0"/>
    </xf>
    <xf borderId="3" fillId="5" fontId="8" numFmtId="0" xfId="0" applyAlignment="1" applyBorder="1" applyFont="1">
      <alignment shrinkToFit="0" wrapText="0"/>
    </xf>
    <xf quotePrefix="1" borderId="3" fillId="5" fontId="8" numFmtId="0" xfId="0" applyAlignment="1" applyBorder="1" applyFont="1">
      <alignment shrinkToFit="0" wrapText="0"/>
    </xf>
    <xf borderId="3" fillId="5" fontId="8" numFmtId="0" xfId="0" applyAlignment="1" applyBorder="1" applyFont="1">
      <alignment horizontal="left" shrinkToFit="0" wrapText="0"/>
    </xf>
    <xf borderId="3" fillId="5" fontId="8" numFmtId="0" xfId="0" applyAlignment="1" applyBorder="1" applyFont="1">
      <alignment horizontal="right" shrinkToFit="0" wrapText="0"/>
    </xf>
    <xf borderId="10" fillId="5" fontId="9" numFmtId="0" xfId="0" applyBorder="1" applyFont="1"/>
    <xf borderId="3" fillId="5" fontId="9" numFmtId="0" xfId="0" applyBorder="1" applyFont="1"/>
    <xf borderId="6" fillId="5" fontId="8" numFmtId="0" xfId="0" applyAlignment="1" applyBorder="1" applyFont="1">
      <alignment shrinkToFit="0" wrapText="1"/>
    </xf>
    <xf borderId="3" fillId="5" fontId="21" numFmtId="0" xfId="0" applyAlignment="1" applyBorder="1" applyFont="1">
      <alignment shrinkToFit="0" wrapText="0"/>
    </xf>
    <xf borderId="4" fillId="5" fontId="9" numFmtId="0" xfId="0" applyBorder="1" applyFont="1"/>
    <xf borderId="6" fillId="4" fontId="8" numFmtId="164" xfId="0" applyAlignment="1" applyBorder="1" applyFont="1" applyNumberFormat="1">
      <alignment horizontal="right" shrinkToFit="0" vertical="bottom" wrapText="0"/>
    </xf>
    <xf borderId="10" fillId="5" fontId="8" numFmtId="0" xfId="0" applyAlignment="1" applyBorder="1" applyFont="1">
      <alignment horizontal="right" shrinkToFit="0" wrapText="0"/>
    </xf>
    <xf borderId="10" fillId="4" fontId="9" numFmtId="0" xfId="0" applyBorder="1" applyFont="1"/>
    <xf borderId="6" fillId="4" fontId="8" numFmtId="0" xfId="0" applyAlignment="1" applyBorder="1" applyFont="1">
      <alignment horizontal="right" shrinkToFit="0" wrapText="1"/>
    </xf>
    <xf borderId="3" fillId="5" fontId="8" numFmtId="0" xfId="0" applyAlignment="1" applyBorder="1" applyFont="1">
      <alignment horizontal="right" readingOrder="0" shrinkToFit="0" wrapText="0"/>
    </xf>
    <xf borderId="6" fillId="5" fontId="8" numFmtId="0" xfId="0" applyAlignment="1" applyBorder="1" applyFont="1">
      <alignment horizontal="right" shrinkToFit="0" wrapText="1"/>
    </xf>
    <xf borderId="3" fillId="5" fontId="14" numFmtId="164" xfId="0" applyAlignment="1" applyBorder="1" applyFont="1" applyNumberFormat="1">
      <alignment shrinkToFit="0" vertical="bottom" wrapText="0"/>
    </xf>
    <xf borderId="3" fillId="5" fontId="14" numFmtId="0" xfId="0" applyAlignment="1" applyBorder="1" applyFont="1">
      <alignment horizontal="left" shrinkToFit="0" vertical="bottom" wrapText="0"/>
    </xf>
    <xf borderId="11" fillId="5" fontId="8" numFmtId="0" xfId="0" applyAlignment="1" applyBorder="1" applyFont="1">
      <alignment shrinkToFit="0" wrapText="0"/>
    </xf>
    <xf borderId="11" fillId="5" fontId="8" numFmtId="0" xfId="0" applyAlignment="1" applyBorder="1" applyFont="1">
      <alignment horizontal="right" shrinkToFit="0" wrapText="0"/>
    </xf>
    <xf borderId="4" fillId="5" fontId="8" numFmtId="0" xfId="0" applyAlignment="1" applyBorder="1" applyFont="1">
      <alignment shrinkToFit="0" wrapText="1"/>
    </xf>
    <xf borderId="11" fillId="4" fontId="8" numFmtId="0" xfId="0" applyAlignment="1" applyBorder="1" applyFont="1">
      <alignment shrinkToFit="0" wrapText="0"/>
    </xf>
    <xf borderId="11" fillId="4" fontId="8" numFmtId="0" xfId="0" applyAlignment="1" applyBorder="1" applyFont="1">
      <alignment horizontal="right" shrinkToFit="0" wrapText="0"/>
    </xf>
    <xf borderId="7" fillId="4" fontId="8" numFmtId="0" xfId="0" applyAlignment="1" applyBorder="1" applyFont="1">
      <alignment shrinkToFit="0" wrapText="1"/>
    </xf>
    <xf borderId="4" fillId="5" fontId="8" numFmtId="0" xfId="0" applyAlignment="1" applyBorder="1" applyFont="1">
      <alignment shrinkToFit="0" wrapText="0"/>
    </xf>
    <xf quotePrefix="1" borderId="11" fillId="5" fontId="8" numFmtId="0" xfId="0" applyAlignment="1" applyBorder="1" applyFont="1">
      <alignment shrinkToFit="0" wrapText="0"/>
    </xf>
    <xf borderId="11" fillId="5" fontId="22" numFmtId="0" xfId="0" applyAlignment="1" applyBorder="1" applyFont="1">
      <alignment shrinkToFit="0" wrapText="0"/>
    </xf>
    <xf borderId="11" fillId="4" fontId="8" numFmtId="0" xfId="0" applyAlignment="1" applyBorder="1" applyFont="1">
      <alignment horizontal="right" readingOrder="0" shrinkToFit="0" wrapText="0"/>
    </xf>
    <xf borderId="6" fillId="4" fontId="8" numFmtId="0" xfId="0" applyAlignment="1" applyBorder="1" applyFont="1">
      <alignment readingOrder="0" shrinkToFit="0" wrapText="0"/>
    </xf>
    <xf borderId="3" fillId="4" fontId="8" numFmtId="164" xfId="0" applyAlignment="1" applyBorder="1" applyFont="1" applyNumberFormat="1">
      <alignment shrinkToFit="0" vertical="bottom" wrapText="0"/>
    </xf>
    <xf borderId="3" fillId="4" fontId="8" numFmtId="0" xfId="0" applyAlignment="1" applyBorder="1" applyFont="1">
      <alignment horizontal="left" shrinkToFit="0" wrapText="0"/>
    </xf>
    <xf borderId="12" fillId="4" fontId="14" numFmtId="164" xfId="0" applyAlignment="1" applyBorder="1" applyFont="1" applyNumberFormat="1">
      <alignment shrinkToFit="0" vertical="bottom" wrapText="0"/>
    </xf>
    <xf borderId="13" fillId="4" fontId="8" numFmtId="164" xfId="0" applyAlignment="1" applyBorder="1" applyFont="1" applyNumberFormat="1">
      <alignment horizontal="right" shrinkToFit="0" wrapText="0"/>
    </xf>
    <xf borderId="12" fillId="4" fontId="8" numFmtId="0" xfId="0" applyAlignment="1" applyBorder="1" applyFont="1">
      <alignment shrinkToFit="0" wrapText="0"/>
    </xf>
    <xf quotePrefix="1" borderId="12" fillId="4" fontId="8" numFmtId="0" xfId="0" applyAlignment="1" applyBorder="1" applyFont="1">
      <alignment shrinkToFit="0" wrapText="0"/>
    </xf>
    <xf borderId="12" fillId="4" fontId="14" numFmtId="0" xfId="0" applyAlignment="1" applyBorder="1" applyFont="1">
      <alignment horizontal="left" shrinkToFit="0" vertical="bottom" wrapText="0"/>
    </xf>
    <xf borderId="12" fillId="4" fontId="8" numFmtId="0" xfId="0" applyAlignment="1" applyBorder="1" applyFont="1">
      <alignment horizontal="right" readingOrder="0" shrinkToFit="0" wrapText="0"/>
    </xf>
    <xf borderId="12" fillId="4" fontId="8" numFmtId="0" xfId="0" applyAlignment="1" applyBorder="1" applyFont="1">
      <alignment horizontal="right" shrinkToFit="0" wrapText="0"/>
    </xf>
    <xf borderId="12" fillId="4" fontId="9" numFmtId="0" xfId="0" applyBorder="1" applyFont="1"/>
    <xf borderId="12" fillId="4" fontId="23" numFmtId="0" xfId="0" applyAlignment="1" applyBorder="1" applyFont="1">
      <alignment shrinkToFit="0" wrapText="0"/>
    </xf>
    <xf borderId="14" fillId="4" fontId="8" numFmtId="0" xfId="0" applyAlignment="1" applyBorder="1" applyFont="1">
      <alignment horizontal="right" shrinkToFit="0" wrapText="0"/>
    </xf>
    <xf borderId="15" fillId="4" fontId="9" numFmtId="0" xfId="0" applyBorder="1" applyFont="1"/>
    <xf borderId="1" fillId="5" fontId="8" numFmtId="0" xfId="0" applyAlignment="1" applyBorder="1" applyFont="1">
      <alignment shrinkToFit="0" wrapText="1"/>
    </xf>
    <xf borderId="1" fillId="5" fontId="8" numFmtId="0" xfId="0" applyAlignment="1" applyBorder="1" applyFont="1">
      <alignment horizontal="left" shrinkToFit="0" wrapText="1"/>
    </xf>
    <xf borderId="4" fillId="4" fontId="8" numFmtId="0" xfId="0" applyAlignment="1" applyBorder="1" applyFont="1">
      <alignment horizontal="right" shrinkToFit="0" wrapText="0"/>
    </xf>
    <xf borderId="6" fillId="4" fontId="24" numFmtId="0" xfId="0" applyAlignment="1" applyBorder="1" applyFont="1">
      <alignment shrinkToFit="0" wrapText="0"/>
    </xf>
    <xf borderId="3" fillId="5" fontId="25" numFmtId="0" xfId="0" applyAlignment="1" applyBorder="1" applyFont="1">
      <alignment shrinkToFit="0" wrapText="0"/>
    </xf>
    <xf borderId="7" fillId="5" fontId="8" numFmtId="0" xfId="0" applyAlignment="1" applyBorder="1" applyFont="1">
      <alignment horizontal="right" shrinkToFit="0" wrapText="0"/>
    </xf>
    <xf borderId="1" fillId="4" fontId="8" numFmtId="0" xfId="0" applyAlignment="1" applyBorder="1" applyFont="1">
      <alignment shrinkToFit="0" wrapText="1"/>
    </xf>
    <xf borderId="1" fillId="4" fontId="8" numFmtId="0" xfId="0" applyAlignment="1" applyBorder="1" applyFont="1">
      <alignment horizontal="left" shrinkToFit="0" wrapText="1"/>
    </xf>
    <xf borderId="3" fillId="4" fontId="26" numFmtId="0" xfId="0" applyAlignment="1" applyBorder="1" applyFont="1">
      <alignment shrinkToFit="0" wrapText="0"/>
    </xf>
    <xf borderId="1" fillId="7" fontId="8" numFmtId="0" xfId="0" applyAlignment="1" applyBorder="1" applyFill="1" applyFont="1">
      <alignment shrinkToFit="0" wrapText="0"/>
    </xf>
    <xf borderId="5" fillId="7" fontId="8" numFmtId="164" xfId="0" applyAlignment="1" applyBorder="1" applyFont="1" applyNumberFormat="1">
      <alignment horizontal="right" shrinkToFit="0" wrapText="0"/>
    </xf>
    <xf borderId="6" fillId="7" fontId="8" numFmtId="0" xfId="0" applyAlignment="1" applyBorder="1" applyFont="1">
      <alignment shrinkToFit="0" wrapText="0"/>
    </xf>
    <xf quotePrefix="1" borderId="6" fillId="7" fontId="8" numFmtId="0" xfId="0" applyAlignment="1" applyBorder="1" applyFont="1">
      <alignment shrinkToFit="0" wrapText="0"/>
    </xf>
    <xf borderId="1" fillId="7" fontId="8" numFmtId="0" xfId="0" applyAlignment="1" applyBorder="1" applyFont="1">
      <alignment horizontal="left" shrinkToFit="0" wrapText="0"/>
    </xf>
    <xf borderId="6" fillId="7" fontId="8" numFmtId="0" xfId="0" applyAlignment="1" applyBorder="1" applyFont="1">
      <alignment horizontal="right" shrinkToFit="0" wrapText="0"/>
    </xf>
    <xf borderId="6" fillId="7" fontId="9" numFmtId="0" xfId="0" applyBorder="1" applyFont="1"/>
    <xf borderId="6" fillId="7" fontId="27" numFmtId="0" xfId="0" applyAlignment="1" applyBorder="1" applyFont="1">
      <alignment shrinkToFit="0" wrapText="0"/>
    </xf>
    <xf borderId="7" fillId="7" fontId="9" numFmtId="0" xfId="0" applyBorder="1" applyFont="1"/>
    <xf borderId="0" fillId="7" fontId="9" numFmtId="0" xfId="0" applyAlignment="1" applyFont="1">
      <alignment vertical="bottom"/>
    </xf>
    <xf borderId="0" fillId="7" fontId="8" numFmtId="0" xfId="0" applyAlignment="1" applyFont="1">
      <alignment horizontal="right" shrinkToFit="0" wrapText="0"/>
    </xf>
    <xf borderId="0" fillId="7" fontId="8" numFmtId="0" xfId="0" applyAlignment="1" applyFont="1">
      <alignment shrinkToFit="0" wrapText="0"/>
    </xf>
    <xf borderId="0" fillId="7" fontId="9" numFmtId="0" xfId="0" applyFont="1"/>
    <xf borderId="0" fillId="7" fontId="2" numFmtId="0" xfId="0" applyFont="1"/>
    <xf borderId="0" fillId="4" fontId="14" numFmtId="0" xfId="0" applyAlignment="1" applyFont="1">
      <alignment readingOrder="0" shrinkToFit="0" vertical="bottom" wrapText="0"/>
    </xf>
    <xf borderId="2" fillId="4" fontId="9" numFmtId="0" xfId="0" applyAlignment="1" applyBorder="1" applyFont="1">
      <alignment readingOrder="0"/>
    </xf>
    <xf borderId="3" fillId="4" fontId="9" numFmtId="0" xfId="0" applyAlignment="1" applyBorder="1" applyFont="1">
      <alignment readingOrder="0"/>
    </xf>
    <xf borderId="3" fillId="4" fontId="9" numFmtId="0" xfId="0" applyAlignment="1" applyBorder="1" applyFont="1">
      <alignment horizontal="left" readingOrder="0"/>
    </xf>
    <xf borderId="3" fillId="4" fontId="28" numFmtId="0" xfId="0" applyAlignment="1" applyBorder="1" applyFont="1">
      <alignment readingOrder="0"/>
    </xf>
    <xf borderId="0" fillId="5" fontId="14" numFmtId="0" xfId="0" applyAlignment="1" applyFont="1">
      <alignment readingOrder="0" shrinkToFit="0" vertical="bottom" wrapText="0"/>
    </xf>
    <xf borderId="5" fillId="5" fontId="9" numFmtId="164" xfId="0" applyAlignment="1" applyBorder="1" applyFont="1" applyNumberFormat="1">
      <alignment readingOrder="0"/>
    </xf>
    <xf borderId="6" fillId="5" fontId="9" numFmtId="0" xfId="0" applyAlignment="1" applyBorder="1" applyFont="1">
      <alignment readingOrder="0"/>
    </xf>
    <xf borderId="6" fillId="5" fontId="9" numFmtId="0" xfId="0" applyAlignment="1" applyBorder="1" applyFont="1">
      <alignment horizontal="left" readingOrder="0"/>
    </xf>
    <xf borderId="6" fillId="5" fontId="29" numFmtId="0" xfId="0" applyAlignment="1" applyBorder="1" applyFont="1">
      <alignment readingOrder="0"/>
    </xf>
    <xf borderId="5" fillId="5" fontId="9" numFmtId="0" xfId="0" applyAlignment="1" applyBorder="1" applyFont="1">
      <alignment readingOrder="0"/>
    </xf>
    <xf borderId="3" fillId="4" fontId="9" numFmtId="0" xfId="0" applyAlignment="1" applyBorder="1" applyFont="1">
      <alignment readingOrder="0"/>
    </xf>
    <xf borderId="6" fillId="5" fontId="9" numFmtId="0" xfId="0" applyAlignment="1" applyBorder="1" applyFont="1">
      <alignment readingOrder="0"/>
    </xf>
    <xf borderId="0" fillId="4" fontId="9" numFmtId="0" xfId="0" applyAlignment="1" applyFont="1">
      <alignment readingOrder="0"/>
    </xf>
    <xf borderId="0" fillId="4" fontId="9" numFmtId="0" xfId="0" applyAlignment="1" applyFont="1">
      <alignment horizontal="left" readingOrder="0"/>
    </xf>
    <xf borderId="0" fillId="4" fontId="30" numFmtId="0" xfId="0" applyAlignment="1" applyFont="1">
      <alignment readingOrder="0"/>
    </xf>
    <xf borderId="0" fillId="5" fontId="9" numFmtId="0" xfId="0" applyAlignment="1" applyFont="1">
      <alignment readingOrder="0"/>
    </xf>
    <xf borderId="0" fillId="5" fontId="9" numFmtId="0" xfId="0" applyAlignment="1" applyFont="1">
      <alignment horizontal="left" readingOrder="0"/>
    </xf>
    <xf borderId="0" fillId="5" fontId="31" numFmtId="0" xfId="0" applyAlignment="1" applyFont="1">
      <alignment readingOrder="0"/>
    </xf>
    <xf borderId="0" fillId="0" fontId="2" numFmtId="0" xfId="0" applyAlignment="1" applyFont="1">
      <alignment horizontal="left"/>
    </xf>
    <xf borderId="0" fillId="0" fontId="1" numFmtId="0" xfId="0" applyAlignment="1" applyFont="1">
      <alignment readingOrder="0"/>
    </xf>
    <xf borderId="0" fillId="0" fontId="2" numFmtId="0" xfId="0" applyAlignment="1" applyFont="1">
      <alignment readingOrder="0" shrinkToFit="0" wrapText="0"/>
    </xf>
    <xf borderId="0" fillId="2" fontId="1" numFmtId="0" xfId="0" applyAlignment="1" applyFont="1">
      <alignment horizontal="center" readingOrder="0" shrinkToFit="0" wrapText="1"/>
    </xf>
    <xf borderId="0" fillId="0" fontId="2" numFmtId="0" xfId="0" applyAlignment="1" applyFont="1">
      <alignment readingOrder="0" shrinkToFit="0" wrapText="1"/>
    </xf>
    <xf borderId="0" fillId="2" fontId="2" numFmtId="0" xfId="0" applyAlignment="1" applyFont="1">
      <alignment horizontal="center" readingOrder="0" shrinkToFit="0" wrapText="1"/>
    </xf>
    <xf borderId="0" fillId="5" fontId="2" numFmtId="0" xfId="0" applyAlignment="1" applyFont="1">
      <alignment horizontal="center" readingOrder="0" shrinkToFit="0" wrapText="1"/>
    </xf>
    <xf borderId="0" fillId="8" fontId="2" numFmtId="0" xfId="0" applyAlignment="1" applyFill="1" applyFont="1">
      <alignment horizontal="center" readingOrder="0" shrinkToFit="0" wrapText="1"/>
    </xf>
    <xf borderId="0" fillId="0" fontId="2" numFmtId="0" xfId="0" applyAlignment="1" applyFont="1">
      <alignment shrinkToFit="0" wrapText="1"/>
    </xf>
    <xf borderId="0" fillId="2" fontId="32" numFmtId="0" xfId="0" applyAlignment="1" applyFont="1">
      <alignment shrinkToFit="0" vertical="bottom" wrapText="1"/>
    </xf>
    <xf borderId="0" fillId="5" fontId="33" numFmtId="0" xfId="0" applyAlignment="1" applyFont="1">
      <alignment shrinkToFit="0" vertical="bottom" wrapText="1"/>
    </xf>
    <xf borderId="0" fillId="8" fontId="34" numFmtId="0" xfId="0" applyAlignment="1" applyFont="1">
      <alignment shrinkToFit="0" vertical="bottom" wrapText="1"/>
    </xf>
    <xf borderId="0" fillId="2" fontId="33" numFmtId="0" xfId="0" applyAlignment="1" applyFont="1">
      <alignment shrinkToFit="0" vertical="bottom" wrapText="1"/>
    </xf>
    <xf borderId="0" fillId="8" fontId="33" numFmtId="0" xfId="0" applyAlignment="1" applyFont="1">
      <alignment shrinkToFit="0" vertical="bottom" wrapText="1"/>
    </xf>
    <xf borderId="0" fillId="2" fontId="35" numFmtId="0" xfId="0" applyAlignment="1" applyFont="1">
      <alignment shrinkToFit="0" wrapText="1"/>
    </xf>
    <xf borderId="0" fillId="8" fontId="36" numFmtId="0" xfId="0" applyAlignment="1" applyFont="1">
      <alignment shrinkToFit="0" wrapText="1"/>
    </xf>
    <xf borderId="0" fillId="2" fontId="37" numFmtId="0" xfId="0" applyAlignment="1" applyFont="1">
      <alignment shrinkToFit="0" wrapText="1"/>
    </xf>
    <xf borderId="0" fillId="8" fontId="37" numFmtId="0" xfId="0" applyAlignment="1" applyFont="1">
      <alignment shrinkToFit="0" wrapText="1"/>
    </xf>
    <xf borderId="0" fillId="5" fontId="37" numFmtId="0" xfId="0" applyAlignment="1" applyFont="1">
      <alignment shrinkToFit="0" wrapText="1"/>
    </xf>
    <xf borderId="0" fillId="9" fontId="37" numFmtId="0" xfId="0" applyAlignment="1" applyFill="1" applyFont="1">
      <alignment shrinkToFit="0" wrapText="1"/>
    </xf>
    <xf borderId="0" fillId="5" fontId="2" numFmtId="0" xfId="0" applyAlignment="1" applyFont="1">
      <alignment readingOrder="0"/>
    </xf>
    <xf borderId="0" fillId="5" fontId="2" numFmtId="0" xfId="0" applyAlignment="1" applyFont="1">
      <alignment readingOrder="0" shrinkToFit="0" wrapText="0"/>
    </xf>
    <xf borderId="0" fillId="5" fontId="38" numFmtId="0" xfId="0" applyAlignment="1" applyFont="1">
      <alignment shrinkToFit="0" wrapText="1"/>
    </xf>
    <xf borderId="0" fillId="5" fontId="2" numFmtId="0" xfId="0" applyFont="1"/>
    <xf borderId="0" fillId="9" fontId="39" numFmtId="0" xfId="0" applyAlignment="1" applyFont="1">
      <alignment shrinkToFit="0" wrapText="1"/>
    </xf>
    <xf borderId="0" fillId="2" fontId="37" numFmtId="0" xfId="0" applyAlignment="1" applyFont="1">
      <alignment readingOrder="0" shrinkToFit="0" wrapText="1"/>
    </xf>
    <xf borderId="0" fillId="8" fontId="40" numFmtId="0" xfId="0" applyAlignment="1" applyFont="1">
      <alignment readingOrder="0" shrinkToFit="0" wrapText="1"/>
    </xf>
    <xf borderId="0" fillId="7" fontId="33" numFmtId="0" xfId="0" applyAlignment="1" applyFont="1">
      <alignment shrinkToFit="0" vertical="bottom" wrapText="1"/>
    </xf>
    <xf borderId="0" fillId="3" fontId="41" numFmtId="0" xfId="0" applyAlignment="1" applyFont="1">
      <alignment shrinkToFit="0" wrapText="1"/>
    </xf>
    <xf borderId="0" fillId="0" fontId="42" numFmtId="0" xfId="0" applyAlignment="1" applyFont="1">
      <alignment shrinkToFit="0" wrapText="1"/>
    </xf>
    <xf borderId="0" fillId="3" fontId="2" numFmtId="0" xfId="0" applyAlignment="1" applyFont="1">
      <alignment readingOrder="0" shrinkToFit="0" wrapText="0"/>
    </xf>
    <xf borderId="0" fillId="2" fontId="43" numFmtId="0" xfId="0" applyAlignment="1" applyFont="1">
      <alignment shrinkToFit="0" wrapText="1"/>
    </xf>
    <xf borderId="0" fillId="2" fontId="2" numFmtId="0" xfId="0" applyAlignment="1" applyFont="1">
      <alignment shrinkToFit="0" wrapText="1"/>
    </xf>
    <xf borderId="0" fillId="3" fontId="37" numFmtId="0" xfId="0" applyAlignment="1" applyFont="1">
      <alignment shrinkToFit="0" wrapText="1"/>
    </xf>
    <xf borderId="0" fillId="3" fontId="2" numFmtId="0" xfId="0" applyAlignment="1" applyFont="1">
      <alignment readingOrder="0"/>
    </xf>
    <xf borderId="0" fillId="0" fontId="44" numFmtId="0" xfId="0" applyAlignment="1" applyFont="1">
      <alignment shrinkToFit="0" wrapText="1"/>
    </xf>
    <xf borderId="0" fillId="8" fontId="2" numFmtId="0" xfId="0" applyAlignment="1" applyFont="1">
      <alignment shrinkToFit="0" wrapText="1"/>
    </xf>
    <xf borderId="0" fillId="5" fontId="2" numFmtId="46" xfId="0" applyAlignment="1" applyFont="1" applyNumberFormat="1">
      <alignment readingOrder="0" shrinkToFit="0" wrapText="1"/>
    </xf>
    <xf borderId="0" fillId="0" fontId="2" numFmtId="46" xfId="0" applyAlignment="1" applyFont="1" applyNumberFormat="1">
      <alignment readingOrder="0"/>
    </xf>
    <xf borderId="0" fillId="5" fontId="2" numFmtId="46" xfId="0" applyAlignment="1" applyFont="1" applyNumberFormat="1">
      <alignment readingOrder="0"/>
    </xf>
    <xf borderId="0" fillId="0" fontId="2" numFmtId="46" xfId="0" applyFont="1" applyNumberFormat="1"/>
    <xf borderId="0" fillId="5" fontId="2" numFmtId="46" xfId="0" applyFont="1" applyNumberFormat="1"/>
    <xf borderId="0" fillId="7" fontId="2" numFmtId="46" xfId="0" applyAlignment="1" applyFont="1" applyNumberFormat="1">
      <alignment readingOrder="0"/>
    </xf>
    <xf borderId="0" fillId="7" fontId="2" numFmtId="0" xfId="0" applyAlignment="1" applyFont="1">
      <alignment readingOrder="0"/>
    </xf>
    <xf borderId="0" fillId="0" fontId="2" numFmtId="20" xfId="0" applyAlignment="1" applyFont="1" applyNumberFormat="1">
      <alignment readingOrder="0"/>
    </xf>
    <xf borderId="0" fillId="7" fontId="2" numFmtId="46" xfId="0" applyFont="1" applyNumberFormat="1"/>
    <xf borderId="0" fillId="7" fontId="2" numFmtId="0" xfId="0" applyAlignment="1" applyFont="1">
      <alignment readingOrder="0" shrinkToFit="0" wrapText="0"/>
    </xf>
    <xf borderId="0" fillId="5" fontId="1" numFmtId="0" xfId="0" applyAlignment="1" applyFont="1">
      <alignment horizontal="left" readingOrder="0" shrinkToFit="0" wrapText="0"/>
    </xf>
    <xf borderId="0" fillId="0" fontId="1" numFmtId="0" xfId="0" applyAlignment="1" applyFont="1">
      <alignment horizontal="left" readingOrder="0" shrinkToFit="0" wrapText="0"/>
    </xf>
    <xf borderId="0" fillId="0" fontId="1" numFmtId="0" xfId="0" applyAlignment="1" applyFont="1">
      <alignment horizontal="left" readingOrder="0" shrinkToFit="0" wrapText="1"/>
    </xf>
    <xf borderId="16" fillId="10" fontId="45" numFmtId="0" xfId="0" applyAlignment="1" applyBorder="1" applyFill="1" applyFont="1">
      <alignment horizontal="left" readingOrder="0" shrinkToFit="0" vertical="bottom" wrapText="0"/>
    </xf>
    <xf borderId="16" fillId="5" fontId="45" numFmtId="0" xfId="0" applyAlignment="1" applyBorder="1" applyFont="1">
      <alignment horizontal="left" readingOrder="0" shrinkToFit="0" vertical="bottom" wrapText="0"/>
    </xf>
    <xf borderId="0" fillId="5" fontId="45" numFmtId="0" xfId="0" applyAlignment="1" applyFont="1">
      <alignment horizontal="left" readingOrder="0" shrinkToFit="0" vertical="bottom" wrapText="0"/>
    </xf>
    <xf borderId="0" fillId="5" fontId="2" numFmtId="0" xfId="0" applyAlignment="1" applyFont="1">
      <alignment horizontal="left" readingOrder="0" shrinkToFit="0" wrapText="0"/>
    </xf>
    <xf borderId="0" fillId="0" fontId="2" numFmtId="0" xfId="0" applyAlignment="1" applyFont="1">
      <alignment horizontal="left" shrinkToFit="0" wrapText="0"/>
    </xf>
    <xf borderId="0" fillId="5" fontId="2" numFmtId="0" xfId="0" applyAlignment="1" applyFont="1">
      <alignment horizontal="left" shrinkToFit="0" wrapText="0"/>
    </xf>
    <xf borderId="0" fillId="0" fontId="2" numFmtId="0" xfId="0" applyAlignment="1" applyFont="1">
      <alignment horizontal="left" readingOrder="0" shrinkToFit="0" wrapText="0"/>
    </xf>
    <xf borderId="0" fillId="0" fontId="46" numFmtId="0" xfId="0" applyAlignment="1" applyFont="1">
      <alignment horizontal="left" readingOrder="0" shrinkToFit="0" wrapText="0"/>
    </xf>
    <xf borderId="0" fillId="0" fontId="2" numFmtId="0" xfId="0" applyAlignment="1" applyFont="1">
      <alignment horizontal="left" shrinkToFit="0" wrapText="1"/>
    </xf>
    <xf borderId="0" fillId="3" fontId="47" numFmtId="0" xfId="0" applyAlignment="1" applyFont="1">
      <alignment horizontal="left" shrinkToFit="0" wrapText="0"/>
    </xf>
    <xf borderId="0" fillId="0" fontId="48" numFmtId="0" xfId="0" applyAlignment="1" applyFont="1">
      <alignment horizontal="left" shrinkToFit="0" wrapText="0"/>
    </xf>
    <xf borderId="0" fillId="0" fontId="49" numFmtId="0" xfId="0" applyAlignment="1" applyFont="1">
      <alignment horizontal="left" readingOrder="0" shrinkToFit="0" wrapText="0"/>
    </xf>
    <xf borderId="0" fillId="0" fontId="2" numFmtId="0" xfId="0" applyAlignment="1" applyFont="1">
      <alignment horizontal="left" readingOrder="0" shrinkToFit="0" wrapText="0"/>
    </xf>
    <xf borderId="0" fillId="0" fontId="50" numFmtId="0" xfId="0" applyAlignment="1" applyFont="1">
      <alignment horizontal="left" shrinkToFit="0" wrapText="0"/>
    </xf>
    <xf borderId="0" fillId="3" fontId="2" numFmtId="0" xfId="0" applyAlignment="1" applyFont="1">
      <alignment horizontal="left" shrinkToFit="0" wrapText="0"/>
    </xf>
    <xf borderId="0" fillId="5" fontId="51" numFmtId="0" xfId="0" applyAlignment="1" applyFont="1">
      <alignment horizontal="left" shrinkToFit="0" wrapText="0"/>
    </xf>
    <xf borderId="0" fillId="7" fontId="52" numFmtId="0" xfId="0" applyAlignment="1" applyFont="1">
      <alignment horizontal="left" shrinkToFit="0" wrapText="0"/>
    </xf>
    <xf borderId="0" fillId="7" fontId="2" numFmtId="0" xfId="0" applyAlignment="1" applyFont="1">
      <alignment horizontal="left" shrinkToFit="0" wrapText="0"/>
    </xf>
    <xf borderId="0" fillId="5" fontId="2" numFmtId="0" xfId="0" applyAlignment="1" applyFont="1">
      <alignment shrinkToFit="0" wrapText="0"/>
    </xf>
    <xf borderId="0" fillId="3" fontId="2" numFmtId="0" xfId="0" applyAlignment="1" applyFont="1">
      <alignment shrinkToFit="0" wrapText="0"/>
    </xf>
    <xf borderId="0" fillId="5" fontId="2" numFmtId="0" xfId="0" applyAlignment="1" applyFont="1">
      <alignment horizontal="left" readingOrder="0" shrinkToFit="0" wrapText="0"/>
    </xf>
    <xf borderId="0" fillId="11" fontId="53" numFmtId="0" xfId="0" applyAlignment="1" applyFill="1" applyFont="1">
      <alignment horizontal="left" shrinkToFit="0" wrapText="0"/>
    </xf>
    <xf borderId="0" fillId="7" fontId="2" numFmtId="0" xfId="0" applyAlignment="1" applyFont="1">
      <alignment horizontal="left" readingOrder="0" shrinkToFit="0" wrapText="0"/>
    </xf>
    <xf borderId="0" fillId="7" fontId="2" numFmtId="0" xfId="0" applyAlignment="1" applyFont="1">
      <alignment horizontal="left" readingOrder="0" shrinkToFit="0" wrapText="1"/>
    </xf>
    <xf borderId="0" fillId="0" fontId="54" numFmtId="0" xfId="0" applyAlignment="1" applyFont="1">
      <alignment horizontal="center" readingOrder="0" shrinkToFit="0" vertical="center" wrapText="0"/>
    </xf>
    <xf borderId="0" fillId="0" fontId="54"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55" numFmtId="0" xfId="0" applyAlignment="1" applyFont="1">
      <alignment readingOrder="0" shrinkToFit="0" vertical="bottom" wrapText="0"/>
    </xf>
    <xf borderId="0" fillId="0" fontId="56" numFmtId="0" xfId="0" applyAlignment="1" applyFont="1">
      <alignment readingOrder="0" shrinkToFit="0" vertical="bottom" wrapText="1"/>
    </xf>
    <xf borderId="0" fillId="0" fontId="55" numFmtId="0" xfId="0" applyAlignment="1" applyFont="1">
      <alignment horizontal="right" readingOrder="0" shrinkToFit="0" vertical="bottom" wrapText="0"/>
    </xf>
    <xf borderId="0" fillId="0" fontId="55" numFmtId="0" xfId="0" applyAlignment="1" applyFont="1">
      <alignment shrinkToFit="0" vertical="bottom" wrapText="0"/>
    </xf>
    <xf borderId="0" fillId="0" fontId="55" numFmtId="0" xfId="0" applyAlignment="1" applyFont="1">
      <alignment horizontal="right" readingOrder="0"/>
    </xf>
    <xf borderId="0" fillId="0" fontId="57" numFmtId="0" xfId="0" applyAlignment="1" applyFont="1">
      <alignment readingOrder="0" shrinkToFit="0" vertical="bottom" wrapText="0"/>
    </xf>
    <xf borderId="0" fillId="0" fontId="55" numFmtId="0" xfId="0" applyAlignment="1" applyFont="1">
      <alignment readingOrder="0"/>
    </xf>
    <xf borderId="0" fillId="0" fontId="55" numFmtId="0" xfId="0" applyFont="1"/>
    <xf borderId="0" fillId="0" fontId="58" numFmtId="0" xfId="0" applyAlignment="1" applyFont="1">
      <alignment readingOrder="0"/>
    </xf>
    <xf borderId="0" fillId="0" fontId="59" numFmtId="0" xfId="0" applyAlignment="1" applyFont="1">
      <alignment readingOrder="0"/>
    </xf>
    <xf borderId="0" fillId="0" fontId="55" numFmtId="0" xfId="0" applyAlignment="1" applyFont="1">
      <alignment readingOrder="0" shrinkToFit="0" vertical="bottom" wrapText="1"/>
    </xf>
    <xf borderId="0" fillId="0" fontId="54" numFmtId="0" xfId="0" applyAlignment="1" applyFont="1">
      <alignment readingOrder="0"/>
    </xf>
    <xf borderId="0" fillId="0" fontId="1" numFmtId="0" xfId="0" applyAlignment="1" applyFont="1">
      <alignment horizontal="center" readingOrder="0"/>
    </xf>
    <xf borderId="0" fillId="0" fontId="60" numFmtId="0" xfId="0" applyAlignment="1" applyFont="1">
      <alignment readingOrder="0" shrinkToFit="0" vertical="bottom" wrapText="1"/>
    </xf>
    <xf borderId="0" fillId="0" fontId="55" numFmtId="0" xfId="0" applyAlignment="1" applyFont="1">
      <alignment shrinkToFit="0" vertical="bottom" wrapText="1"/>
    </xf>
    <xf borderId="0" fillId="9" fontId="1" numFmtId="0" xfId="0" applyAlignment="1" applyFont="1">
      <alignment readingOrder="0"/>
    </xf>
    <xf borderId="0" fillId="0" fontId="2" numFmtId="9" xfId="0" applyFont="1" applyNumberFormat="1"/>
    <xf borderId="0" fillId="9" fontId="2" numFmtId="0" xfId="0" applyFont="1"/>
    <xf borderId="0" fillId="9" fontId="2" numFmtId="0" xfId="0" applyAlignment="1" applyFont="1">
      <alignment readingOrder="0"/>
    </xf>
    <xf borderId="0" fillId="0" fontId="2" numFmtId="3" xfId="0" applyFont="1" applyNumberFormat="1"/>
    <xf borderId="0" fillId="0" fontId="2" numFmtId="0" xfId="0" applyFont="1"/>
    <xf borderId="0" fillId="11" fontId="61" numFmtId="0" xfId="0" applyAlignment="1" applyFont="1">
      <alignment vertical="top"/>
    </xf>
    <xf borderId="0" fillId="11" fontId="61" numFmtId="0" xfId="0" applyAlignment="1" applyFont="1">
      <alignment readingOrder="0" vertical="top"/>
    </xf>
    <xf borderId="0" fillId="0" fontId="2" numFmtId="165" xfId="0" applyFont="1" applyNumberFormat="1"/>
    <xf borderId="0" fillId="5" fontId="6" numFmtId="0" xfId="0" applyAlignment="1" applyFont="1">
      <alignment horizontal="left" shrinkToFit="0" vertical="bottom" wrapText="0"/>
    </xf>
    <xf borderId="0" fillId="0" fontId="6" numFmtId="0" xfId="0" applyAlignment="1" applyFont="1">
      <alignment horizontal="left" shrinkToFit="0" vertical="bottom" wrapText="0"/>
    </xf>
    <xf borderId="0" fillId="7" fontId="1" numFmtId="0" xfId="0" applyAlignment="1" applyFont="1">
      <alignment horizontal="left" readingOrder="0" shrinkToFit="0" wrapText="0"/>
    </xf>
    <xf borderId="0" fillId="7" fontId="2" numFmtId="0" xfId="0" applyAlignment="1" applyFont="1">
      <alignment horizontal="left" readingOrder="0"/>
    </xf>
    <xf borderId="0" fillId="11" fontId="1" numFmtId="0" xfId="0" applyAlignment="1" applyFont="1">
      <alignment horizontal="left" readingOrder="0" shrinkToFit="0" wrapText="0"/>
    </xf>
    <xf borderId="0" fillId="11" fontId="2" numFmtId="0" xfId="0" applyAlignment="1" applyFont="1">
      <alignment horizontal="left" readingOrder="0"/>
    </xf>
    <xf borderId="0" fillId="5" fontId="9" numFmtId="0" xfId="0" applyAlignment="1" applyFont="1">
      <alignment horizontal="left" shrinkToFit="0" vertical="bottom" wrapText="0"/>
    </xf>
    <xf borderId="0" fillId="11" fontId="9" numFmtId="0" xfId="0" applyAlignment="1" applyFont="1">
      <alignment horizontal="left" shrinkToFit="0" vertical="bottom" wrapText="0"/>
    </xf>
    <xf borderId="0" fillId="11" fontId="2" numFmtId="0" xfId="0" applyAlignment="1" applyFont="1">
      <alignment horizontal="left" shrinkToFit="0" wrapText="0"/>
    </xf>
    <xf borderId="0" fillId="11" fontId="2" numFmtId="0" xfId="0" applyAlignment="1" applyFont="1">
      <alignment horizontal="left"/>
    </xf>
    <xf borderId="0" fillId="0" fontId="9" numFmtId="0" xfId="0" applyAlignment="1" applyFont="1">
      <alignment horizontal="left" shrinkToFit="0" vertical="bottom" wrapText="0"/>
    </xf>
    <xf borderId="0" fillId="7" fontId="9" numFmtId="0" xfId="0" applyAlignment="1" applyFont="1">
      <alignment horizontal="left" shrinkToFit="0" vertical="bottom" wrapText="0"/>
    </xf>
    <xf borderId="0" fillId="0" fontId="2" numFmtId="0" xfId="0" applyAlignment="1" applyFont="1">
      <alignment horizontal="left" readingOrder="0"/>
    </xf>
    <xf borderId="0" fillId="11" fontId="2" numFmtId="0" xfId="0" applyAlignment="1" applyFont="1">
      <alignment horizontal="left" readingOrder="0" shrinkToFit="0" wrapText="0"/>
    </xf>
    <xf borderId="0" fillId="3" fontId="9" numFmtId="0" xfId="0" applyAlignment="1" applyFont="1">
      <alignment horizontal="left" shrinkToFit="0" vertical="bottom" wrapText="0"/>
    </xf>
    <xf borderId="0" fillId="5" fontId="9" numFmtId="0" xfId="0" applyAlignment="1" applyFont="1">
      <alignment horizontal="left" vertical="bottom"/>
    </xf>
    <xf borderId="0" fillId="0" fontId="9" numFmtId="0" xfId="0" applyAlignment="1" applyFont="1">
      <alignment horizontal="left" vertical="bottom"/>
    </xf>
    <xf borderId="0" fillId="0" fontId="62" numFmtId="0" xfId="0" applyAlignment="1" applyFont="1">
      <alignment horizontal="left" readingOrder="0" shrinkToFit="0" vertical="bottom" wrapText="0"/>
    </xf>
    <xf borderId="0" fillId="0" fontId="62" numFmtId="0" xfId="0" applyAlignment="1" applyFont="1">
      <alignment horizontal="right" readingOrder="0" shrinkToFit="0" vertical="bottom" wrapText="0"/>
    </xf>
    <xf borderId="0" fillId="0" fontId="62" numFmtId="0" xfId="0" applyAlignment="1" applyFont="1">
      <alignment shrinkToFit="0" vertical="bottom" wrapText="0"/>
    </xf>
    <xf borderId="0" fillId="0" fontId="62" numFmtId="0" xfId="0" applyAlignment="1" applyFont="1">
      <alignment horizontal="left" readingOrder="0" shrinkToFit="0" vertical="bottom" wrapText="0"/>
    </xf>
    <xf borderId="0" fillId="7" fontId="62" numFmtId="0" xfId="0" applyAlignment="1" applyFont="1">
      <alignment horizontal="left" readingOrder="0" shrinkToFit="0" vertical="bottom" wrapText="0"/>
    </xf>
    <xf borderId="0" fillId="0" fontId="62" numFmtId="0" xfId="0" applyAlignment="1" applyFont="1">
      <alignment horizontal="right" readingOrder="0" shrinkToFit="0" vertical="bottom" wrapText="0"/>
    </xf>
    <xf borderId="0" fillId="5" fontId="62" numFmtId="0" xfId="0" applyAlignment="1" applyFont="1">
      <alignment horizontal="left" readingOrder="0" shrinkToFit="0" vertical="bottom" wrapText="0"/>
    </xf>
    <xf borderId="0" fillId="5" fontId="62" numFmtId="0" xfId="0" applyAlignment="1" applyFont="1">
      <alignment horizontal="right" readingOrder="0" shrinkToFit="0" vertical="bottom" wrapText="0"/>
    </xf>
    <xf borderId="0" fillId="0" fontId="62" numFmtId="0" xfId="0" applyAlignment="1" applyFont="1">
      <alignment shrinkToFit="0" vertical="bottom" wrapText="0"/>
    </xf>
  </cellXfs>
  <cellStyles count="1">
    <cellStyle xfId="0" name="Normal" builtinId="0"/>
  </cellStyles>
  <dxfs count="2">
    <dxf>
      <font/>
      <fill>
        <patternFill patternType="none"/>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Task id="{4758228a-3937-4cd6-b942-88d4692c2e6d}">
    <Anchor>
      <Comment id="{e21fe175-281a-4918-b7dd-4c91a6b972a6}"/>
    </Anchor>
    <History>
      <Event time="2025-07-11T18:51:24.00" id="{1212461f-8827-4783-8a1a-cef499955015}">
        <Attribution userId="placeholder@email.com" userName="Saifullah Imtiaz" userProvider="google-sheets"/>
        <Anchor>
          <Comment id="{09c795fe-be02-41fb-b76f-b8c9a50864d3}"/>
        </Anchor>
        <Create/>
      </Event>
      <Event time="2025-07-11T18:51:24.00" id="{0132dd4c-7269-42a4-bae1-7a3c3e0035b0}">
        <Attribution userId="placeholder@email.com" userName="Saifullah Imtiaz" userProvider="google-sheets"/>
        <Anchor>
          <Comment id="{09c795fe-be02-41fb-b76f-b8c9a50864d3}"/>
        </Anchor>
        <Assign userId="mrizwangcu8@gmail.com" userName="mrizwangcu8@gmail.com" userProvider="google-sheets"/>
      </Event>
    </History>
  </Task>
</Tasks>
</file>

<file path=xl/documenttasks/documenttask2.xml><?xml version="1.0" encoding="utf-8"?>
<Tasks xmlns="http://schemas.microsoft.com/office/tasks/2019/documenttasks">
  <Task id="{df5cd08e-e19b-489f-94f1-ad88e3e6ca2f}">
    <Anchor>
      <Comment id="{9d68fae5-b7c5-4a18-9c56-e905b95fa5bc}"/>
    </Anchor>
    <History>
      <Event time="2025-05-28T16:13:20.00" id="{7040345d-e5a3-4d61-88ed-0fbd1302e5f4}">
        <Attribution userId="placeholder@email.com" userName="Saifullah Imtiaz" userProvider="google-sheets"/>
        <Anchor>
          <Comment id="{5756ce81-d217-4c10-a124-eef5130ad6c9}"/>
        </Anchor>
        <Create/>
      </Event>
      <Event time="2025-05-28T16:13:20.00" id="{4eb62337-6ade-4c4e-831b-32b13ead8705}">
        <Attribution userId="placeholder@email.com" userName="Saifullah Imtiaz" userProvider="google-sheets"/>
        <Anchor>
          <Comment id="{5756ce81-d217-4c10-a124-eef5130ad6c9}"/>
        </Anchor>
        <Assign userId="mrizwangcu8@gmail.com" userName="mrizwangcu8@gmail.com" userProvider="google-sheets"/>
      </Event>
    </History>
  </Task>
  <Task id="{f516fd24-16a5-4344-8384-bd5d07a3d445}">
    <Anchor>
      <Comment id="{025d9146-e239-4a67-8094-194ca61e8798}"/>
    </Anchor>
    <History>
      <Event time="2025-06-18T06:28:03.00" id="{d2211a31-7c40-4053-9cb9-91c02559e695}">
        <Attribution userId="placeholder@email.com" userName="Saifullah Imtiaz" userProvider="google-sheets"/>
        <Anchor>
          <Comment id="{025d9146-e239-4a67-8094-194ca61e8798}"/>
        </Anchor>
        <Create/>
      </Event>
      <Event time="2025-06-18T06:28:03.00" id="{a598f6f5-f08d-4ebc-813c-b95b2c5e1ce4}">
        <Attribution userId="placeholder@email.com" userName="Saifullah Imtiaz" userProvider="google-sheets"/>
        <Anchor>
          <Comment id="{025d9146-e239-4a67-8094-194ca61e8798}"/>
        </Anchor>
        <Assign userId="mrizwangcu8@gmail.com" userName="mrizwangcu8@gmail.com" userProvider="google-sheets"/>
      </Event>
    </History>
  </Task>
  <Task id="{4e557f91-526b-4a14-b28c-c6a88b3ad30a}">
    <Anchor>
      <Comment id="{8fd4c644-8aaa-4f4b-8d9a-184d53144dce}"/>
    </Anchor>
    <History>
      <Event time="2025-09-09T13:48:31.00" id="{345c2c7e-0347-4a2f-b6a8-9dd9a2870c63}">
        <Attribution userId="placeholder@email.com" userName="Saifullah Imtiaz" userProvider="google-sheets"/>
        <Anchor>
          <Comment id="{8fd4c644-8aaa-4f4b-8d9a-184d53144dce}"/>
        </Anchor>
        <Create/>
      </Event>
      <Event time="2025-09-09T13:48:31.00" id="{82f0c669-de62-4a41-9a38-281995d26829}">
        <Attribution userId="placeholder@email.com" userName="Saifullah Imtiaz" userProvider="google-sheets"/>
        <Anchor>
          <Comment id="{8fd4c644-8aaa-4f4b-8d9a-184d53144dce}"/>
        </Anchor>
        <Assign userId="mrizwangcu8@gmail.com" userName="mrizwangcu8@gmail.com" userProvider="google-sheets"/>
      </Event>
    </History>
  </Task>
  <Task id="{2d4292c6-686f-4621-ae8e-b6e652b8c10f}">
    <Anchor>
      <Comment id="{165e5917-436d-41e0-975d-ca16bf14921f}"/>
    </Anchor>
    <History>
      <Event time="2025-06-18T06:29:06.00" id="{e0221dd3-2cb8-4aca-89bb-cb2576170725}">
        <Attribution userId="placeholder@email.com" userName="Saifullah Imtiaz" userProvider="google-sheets"/>
        <Anchor>
          <Comment id="{165e5917-436d-41e0-975d-ca16bf14921f}"/>
        </Anchor>
        <Create/>
      </Event>
      <Event time="2025-06-18T06:29:06.00" id="{f68bc407-3bf4-4382-8dfc-a83b44f2f82a}">
        <Attribution userId="placeholder@email.com" userName="Saifullah Imtiaz" userProvider="google-sheets"/>
        <Anchor>
          <Comment id="{165e5917-436d-41e0-975d-ca16bf14921f}"/>
        </Anchor>
        <Assign userId="mrizwangcu8@gmail.com" userName="mrizwangcu8@gmail.com" userProvider="google-sheets"/>
      </Event>
    </History>
  </Task>
  <Task id="{13cbe1f0-2bba-49ea-833c-dfd4ff90fbf2}">
    <Anchor>
      <Comment id="{b86143ae-2b57-4620-ad0e-9f993ece7eec}"/>
    </Anchor>
    <History>
      <Event time="2025-08-22T22:51:42.00" id="{de8c49be-ce9f-4ef6-a7f0-022593f6b642}">
        <Attribution userId="placeholder@email.com" userName="Saifullah Imtiaz" userProvider="google-sheets"/>
        <Anchor>
          <Comment id="{b86143ae-2b57-4620-ad0e-9f993ece7eec}"/>
        </Anchor>
        <Create/>
      </Event>
      <Event time="2025-08-22T22:51:42.00" id="{e0625cf9-269b-4845-9bd2-e6413a5afdde}">
        <Attribution userId="placeholder@email.com" userName="Saifullah Imtiaz" userProvider="google-sheets"/>
        <Anchor>
          <Comment id="{b86143ae-2b57-4620-ad0e-9f993ece7eec}"/>
        </Anchor>
        <Assign userId="mrizwangcu8@gmail.com" userName="mrizwangcu8@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rizwangcu8@gmail.com" id="{b00629ee-df7e-449d-9682-237724bfc0fc}" userId="mrizwangcu8@gmail.com" providerId="google-sheets"/>
  <x18tc:person displayName="Muhammad Rizwan" id="{3a4e58c2-4de7-4bf3-af37-baab527a380a}" providerId="google-sheets"/>
  <x18tc:person displayName="Muhammad Haris Amjad" id="{02000e2f-0628-4f09-aacd-6e3f3390c7a9}" providerId="google-sheets"/>
  <x18tc:person displayName="Saifullah Imtiaz" id="{5e04829f-101a-4426-a6e4-bd8fe2b0390a}" providerId="google-sheets"/>
  <x18tc:person displayName="saifimtiaz@gmail.com" id="{5076cd58-2fe6-42a8-8e6c-ac3236b32886}" userId="saifimtiaz@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04T22:04:53.00" personId="{02000e2f-0628-4f09-aacd-6e3f3390c7a9}" id="{79ef1d75-fa48-43ca-997f-a67032c95fe1}" done="1">
    <x18tc:text xml:space="preserve">@saifimtiaz@gmail.com @mrizwangcu8@gmail.com</x18tc:text>
    <x18tc:mentions>
      <x18tc:mention mentionpersonId="{5076cd58-2fe6-42a8-8e6c-ac3236b32886}" mentionId="{8c5c6878-68d8-4d93-a7e5-f3a5c34f880d}" startIndex="0" length="21"/>
      <x18tc:mention mentionpersonId="{b00629ee-df7e-449d-9682-237724bfc0fc}" mentionId="{938ffe90-7a8c-43c6-8fa1-687cb3d28256}" startIndex="22" length="22"/>
    </x18tc:mentions>
  </x18tc:threadedComment>
  <x18tc:threadedComment ref="A1" dT="2025-06-04T22:05:56.00" personId="{02000e2f-0628-4f09-aacd-6e3f3390c7a9}" id="{7bb27544-2a2c-481f-b82e-cde9fb096b31}" parentId="{79ef1d75-fa48-43ca-997f-a67032c95fe1}">
    <x18tc:text xml:space="preserve">Bhai iskay already 3 Forms hai recording different Form mera nahi kiyal ky ek or form jaye gha</x18tc:text>
  </x18tc:threadedComment>
  <x18tc:threadedComment ref="A1" dT="2025-06-05T10:45:57.00" personId="{5e04829f-101a-4426-a6e4-bd8fe2b0390a}" id="{10598fa3-fd8d-4005-b123-0b1028f8016c}" parentId="{79ef1d75-fa48-43ca-997f-a67032c95fe1}">
    <x18tc:text xml:space="preserve">haaan tkh hai 3 he honey chahyea</x18tc:text>
  </x18tc:threadedComment>
  <x18tc:threadedComment ref="A1" dT="2025-06-05T11:30:37.00" personId="{02000e2f-0628-4f09-aacd-6e3f3390c7a9}" id="{9e955804-1099-4ccc-b28f-bcd83d9b44d5}" parentId="{79ef1d75-fa48-43ca-997f-a67032c95fe1}">
    <x18tc:text xml:space="preserve">Okay bhai done</x18tc:text>
  </x18tc:threadedComment>
  <x18tc:threadedComment ref="A1" dT="2025-05-31T21:17:33.00" personId="{02000e2f-0628-4f09-aacd-6e3f3390c7a9}" id="{56f5d43a-b3ba-4f44-8b36-7bf17f1d1c52}" done="0">
    <x18tc:text xml:space="preserve">@saifimtiaz@gmail.com  bhai jb ma sermon content form 1 or 2 fill kr raha tha tb mujy is bndy ny information provide ki thi or mainy is control masjid ka sermon 1 or 2 fill kiya tha , ab setting change hogaye hai to iska form week 3 mei fill kru</x18tc:text>
    <x18tc:mentions>
      <x18tc:mention mentionpersonId="{5076cd58-2fe6-42a8-8e6c-ac3236b32886}" mentionId="{f9713470-a6f6-493f-9a9f-c1e9abaf42ee}" startIndex="0" length="21"/>
    </x18tc:mentions>
  </x18tc:threadedComment>
  <x18tc:threadedComment ref="A1" dT="2025-06-27T03:56:05.00" personId="{3a4e58c2-4de7-4bf3-af37-baab527a380a}" id="{e21fe175-281a-4918-b7dd-4c91a6b972a6}" done="0">
    <x18tc:text xml:space="preserve">@saifimtiaz@gmail.com eska transcript ka form dobara mangwya hua r wo extra hai us k ma del likh deta hn baki recordings 3 e hn
Assigned to saifimtiaz@gmail.com</x18tc:text>
    <x18tc:mentions>
      <x18tc:mention mentionpersonId="{5076cd58-2fe6-42a8-8e6c-ac3236b32886}" mentionId="{16f435ab-cb67-4c6c-9058-767f50863c4d}" startIndex="0" length="21"/>
    </x18tc:mentions>
  </x18tc:threadedComment>
  <x18tc:threadedComment ref="A1" dT="2025-07-11T18:51:24.00" personId="{5e04829f-101a-4426-a6e4-bd8fe2b0390a}" id="{09c795fe-be02-41fb-b76f-b8c9a50864d3}" parentId="{e21fe175-281a-4918-b7dd-4c91a6b972a6}">
    <x18tc:text xml:space="preserve">@mrizwangcu8@gmail.com  likh dain bhai del plz
Reassigned to mrizwangcu8@gmail.com</x18tc:text>
    <x18tc:mentions>
      <x18tc:mention mentionpersonId="{b00629ee-df7e-449d-9682-237724bfc0fc}" mentionId="{bf5697d8-facf-4eb7-b615-212c863c873e}" startIndex="0" length="22"/>
    </x18tc:mentions>
  </x18tc:threadedComment>
  <x18tc:threadedComment ref="A1" dT="2025-05-31T23:40:08.00" personId="{02000e2f-0628-4f09-aacd-6e3f3390c7a9}" id="{17b34f98-34b4-4207-9718-51daa894b04c}" done="0">
    <x18tc:text xml:space="preserve">@mrizwangcu8@gmail.com bhai iski replacing kider hai? 3rd Sermon</x18tc:text>
    <x18tc:mentions>
      <x18tc:mention mentionpersonId="{b00629ee-df7e-449d-9682-237724bfc0fc}" mentionId="{401df229-a498-4173-a5d1-2c76b8667e41}" startIndex="0" length="22"/>
    </x18tc:mentions>
  </x18tc:threadedComment>
  <x18tc:threadedComment ref="A1" dT="2025-05-31T22:23:48.00" personId="{02000e2f-0628-4f09-aacd-6e3f3390c7a9}" id="{3cfb6005-2d49-4e61-a81e-de17ae26e4b8}" done="0">
    <x18tc:text xml:space="preserve">@mrizwangcu8@gmail.com</x18tc:text>
    <x18tc:mentions>
      <x18tc:mention mentionpersonId="{b00629ee-df7e-449d-9682-237724bfc0fc}" mentionId="{66fd8877-b844-45f4-9d07-55db8d4d4594}"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4" dT="2025-05-28T15:36:32.00" personId="{3a4e58c2-4de7-4bf3-af37-baab527a380a}" id="{9d68fae5-b7c5-4a18-9c56-e905b95fa5bc}" done="1">
    <x18tc:text xml:space="preserve">@saifimtiaz@gmail.com yh id wrong h plz bhai update krden esko
Assigned to saifimtiaz@gmail.com</x18tc:text>
    <x18tc:mentions>
      <x18tc:mention mentionpersonId="{5076cd58-2fe6-42a8-8e6c-ac3236b32886}" mentionId="{c19d236a-8e4f-401c-b4e1-0052c0744c59}" startIndex="0" length="21"/>
    </x18tc:mentions>
  </x18tc:threadedComment>
  <x18tc:threadedComment ref="D74" dT="2025-05-28T16:13:20.00" personId="{5e04829f-101a-4426-a6e4-bd8fe2b0390a}" id="{5756ce81-d217-4c10-a124-eef5130ad6c9}" parentId="{9d68fae5-b7c5-4a18-9c56-e905b95fa5bc}">
    <x18tc:text xml:space="preserve">Done @mrizwangcu8@gmail.com
Reassigned to mrizwangcu8@gmail.com</x18tc:text>
    <x18tc:mentions>
      <x18tc:mention mentionpersonId="{b00629ee-df7e-449d-9682-237724bfc0fc}" mentionId="{b5f8567f-cc4f-47f4-96c3-2ac7dfc73af2}" startIndex="5" length="22"/>
    </x18tc:mentions>
  </x18tc:threadedComment>
  <x18tc:threadedComment ref="E23" dT="2025-06-18T06:28:03.00" personId="{5e04829f-101a-4426-a6e4-bd8fe2b0390a}" id="{025d9146-e239-4a67-8094-194ca61e8798}" done="1">
    <x18tc:text xml:space="preserve">@mrizwangcu8@gmail.com   confirm kr liya ?
Assigned to mrizwangcu8@gmail.com</x18tc:text>
    <x18tc:mentions>
      <x18tc:mention mentionpersonId="{b00629ee-df7e-449d-9682-237724bfc0fc}" mentionId="{5b472ed1-656d-4f20-ae4a-e8c0bcc3aa43}" startIndex="0" length="22"/>
    </x18tc:mentions>
  </x18tc:threadedComment>
  <x18tc:threadedComment ref="E44" dT="2025-09-09T13:48:31.00" personId="{5e04829f-101a-4426-a6e4-bd8fe2b0390a}" id="{8fd4c644-8aaa-4f4b-8d9a-184d53144dce}" done="1">
    <x18tc:text xml:space="preserve">@mrizwangcu8@gmail.com
Assigned to mrizwangcu8@gmail.com</x18tc:text>
    <x18tc:mentions>
      <x18tc:mention mentionpersonId="{b00629ee-df7e-449d-9682-237724bfc0fc}" mentionId="{1d908df5-ff1b-4fe7-b575-6cc913454dd8}" startIndex="0" length="22"/>
    </x18tc:mentions>
  </x18tc:threadedComment>
  <x18tc:threadedComment ref="G9" dT="2025-06-18T06:29:06.00" personId="{5e04829f-101a-4426-a6e4-bd8fe2b0390a}" id="{165e5917-436d-41e0-975d-ca16bf14921f}" done="1">
    <x18tc:text xml:space="preserve">@mrizwangcu8@gmail.com   ye link duplicate hai
Assigned to mrizwangcu8@gmail.com</x18tc:text>
    <x18tc:mentions>
      <x18tc:mention mentionpersonId="{b00629ee-df7e-449d-9682-237724bfc0fc}" mentionId="{4a959383-6dbf-4a35-9230-1943746cfec6}" startIndex="0" length="22"/>
    </x18tc:mentions>
  </x18tc:threadedComment>
  <x18tc:threadedComment ref="D144" dT="2025-08-22T22:51:42.00" personId="{5e04829f-101a-4426-a6e4-bd8fe2b0390a}" id="{b86143ae-2b57-4620-ad0e-9f993ece7eec}" done="0">
    <x18tc:text xml:space="preserve">@mrizwangcu8@gmail.com   recording miss hai
Assigned to mrizwangcu8@gmail.com</x18tc:text>
    <x18tc:mentions>
      <x18tc:mention mentionpersonId="{b00629ee-df7e-449d-9682-237724bfc0fc}" mentionId="{182f8e7b-549d-47be-9d2d-673a76a8772b}" startIndex="0" length="22"/>
    </x18tc:mentions>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E1Q2x04Zyox5w-L9KMtDoNqQSpo3-JZ3" TargetMode="External"/><Relationship Id="rId194" Type="http://schemas.openxmlformats.org/officeDocument/2006/relationships/hyperlink" Target="https://drive.google.com/open?id=1LTlvonKkPHsed0PG2_OIzYBU0wYHYx1n" TargetMode="External"/><Relationship Id="rId193" Type="http://schemas.openxmlformats.org/officeDocument/2006/relationships/hyperlink" Target="https://drive.google.com/open?id=13xgyvi3qYOHflDOKhadcwjRY-EYWdqSb" TargetMode="External"/><Relationship Id="rId192" Type="http://schemas.openxmlformats.org/officeDocument/2006/relationships/hyperlink" Target="https://drive.google.com/open?id=1xMJM_TGgwYhokNDF1RqkRbfkIdyIisK2" TargetMode="External"/><Relationship Id="rId191" Type="http://schemas.openxmlformats.org/officeDocument/2006/relationships/hyperlink" Target="https://drive.google.com/open?id=1ghA7xZDVSS5NbPsi3PULp4RSHglo7TJs" TargetMode="External"/><Relationship Id="rId187" Type="http://schemas.openxmlformats.org/officeDocument/2006/relationships/hyperlink" Target="https://drive.google.com/open?id=1fknbXCBVr4Fc8SHYe00ASAwEXLwl6DADhDluGKHDuGs" TargetMode="External"/><Relationship Id="rId186" Type="http://schemas.openxmlformats.org/officeDocument/2006/relationships/hyperlink" Target="https://drive.google.com/open?id=1_-5vnWszRPTCqEbt7_qNSahjEgd5eaqA" TargetMode="External"/><Relationship Id="rId185" Type="http://schemas.openxmlformats.org/officeDocument/2006/relationships/hyperlink" Target="https://drive.google.com/open?id=1iFiJ-_kR4AZmmaPpzNfZNecY3g6aFUPc" TargetMode="External"/><Relationship Id="rId184" Type="http://schemas.openxmlformats.org/officeDocument/2006/relationships/hyperlink" Target="https://drive.google.com/open?id=1AGYglcUrUzITYZT_P0xQ-jx745cq3zz1" TargetMode="External"/><Relationship Id="rId189" Type="http://schemas.openxmlformats.org/officeDocument/2006/relationships/hyperlink" Target="https://drive.google.com/open?id=1lcVBlohMDVJPHuldW-ky0OZPTRQwTITs" TargetMode="External"/><Relationship Id="rId188" Type="http://schemas.openxmlformats.org/officeDocument/2006/relationships/hyperlink" Target="https://drive.google.com/open?id=1g566FiHwy5Re1pm4CBTCMYJCKHJl1tBXC6OQtZqVjXI" TargetMode="External"/><Relationship Id="rId183" Type="http://schemas.openxmlformats.org/officeDocument/2006/relationships/hyperlink" Target="https://drive.google.com/open?id=1-prVp-mNnYxTdhurubX_s9jNX5bk4jsj" TargetMode="External"/><Relationship Id="rId182" Type="http://schemas.openxmlformats.org/officeDocument/2006/relationships/hyperlink" Target="https://drive.google.com/open?id=1qqO9m7s5Hn1G1GELbBWvrgYpP0QNrk-k" TargetMode="External"/><Relationship Id="rId181" Type="http://schemas.openxmlformats.org/officeDocument/2006/relationships/hyperlink" Target="https://drive.google.com/open?id=1no1yxN52ie-oBOTLTAXWGOgxEID3gT6H" TargetMode="External"/><Relationship Id="rId180" Type="http://schemas.openxmlformats.org/officeDocument/2006/relationships/hyperlink" Target="https://drive.google.com/open?id=15lV0k_Ma4ljcV8hn4amgvgAFkxmqI7LV" TargetMode="External"/><Relationship Id="rId176" Type="http://schemas.openxmlformats.org/officeDocument/2006/relationships/hyperlink" Target="https://drive.google.com/open?id=1jhh8s3AufBVVIYIOH7ZF19kVviqg08ahfviy9xaKqQ8" TargetMode="External"/><Relationship Id="rId175" Type="http://schemas.openxmlformats.org/officeDocument/2006/relationships/hyperlink" Target="https://drive.google.com/open?id=1AZSMpjZYXXFZczhGihWWiRVGMpJWoJR7" TargetMode="External"/><Relationship Id="rId174" Type="http://schemas.openxmlformats.org/officeDocument/2006/relationships/hyperlink" Target="https://drive.google.com/open?id=17jNVVuJwT9wwvKbgMFNKyfmTEgmBw0Ih" TargetMode="External"/><Relationship Id="rId173" Type="http://schemas.openxmlformats.org/officeDocument/2006/relationships/hyperlink" Target="https://drive.google.com/open?id=14fqqW1DvWT0_vp1hhL8hFSMxBWc4Hm30" TargetMode="External"/><Relationship Id="rId179" Type="http://schemas.openxmlformats.org/officeDocument/2006/relationships/hyperlink" Target="https://drive.google.com/open?id=1FeknjztnM9Md5u60mT_Zqs9kG1wQnZiK" TargetMode="External"/><Relationship Id="rId178" Type="http://schemas.openxmlformats.org/officeDocument/2006/relationships/hyperlink" Target="https://drive.google.com/open?id=1LLcUDDeuWE70SUpPwg4kMBONLhvrCtEG0vTm5tA1PXo" TargetMode="External"/><Relationship Id="rId177" Type="http://schemas.openxmlformats.org/officeDocument/2006/relationships/hyperlink" Target="https://drive.google.com/open?id=1F2z5iQSVd-qKjCJxrDnmzdYbfbZYhKWV" TargetMode="External"/><Relationship Id="rId198" Type="http://schemas.openxmlformats.org/officeDocument/2006/relationships/hyperlink" Target="https://drive.google.com/open?id=1NMzrLihuOtKPnV79JOY2jlhgGs-W746x" TargetMode="External"/><Relationship Id="rId197" Type="http://schemas.openxmlformats.org/officeDocument/2006/relationships/hyperlink" Target="https://drive.google.com/open?id=1MrJEylDKFSjTsacre8Zkwpj0tGoBRiAu" TargetMode="External"/><Relationship Id="rId196" Type="http://schemas.openxmlformats.org/officeDocument/2006/relationships/hyperlink" Target="https://drive.google.com/open?id=1nO4vLvFIMR0fJYgKOXV7gzLpN5EGO-4P" TargetMode="External"/><Relationship Id="rId195" Type="http://schemas.openxmlformats.org/officeDocument/2006/relationships/hyperlink" Target="https://drive.google.com/open?id=1aFo5rGCRUmkIfgbNoE4uVl3RWL4lg2pC" TargetMode="External"/><Relationship Id="rId199" Type="http://schemas.openxmlformats.org/officeDocument/2006/relationships/hyperlink" Target="https://drive.google.com/open?id=1tGITvqp9OU-zcEpWFhZTgGG05IzmPFpi" TargetMode="External"/><Relationship Id="rId150" Type="http://schemas.openxmlformats.org/officeDocument/2006/relationships/hyperlink" Target="https://docs.google.com/document/d/1KA2tMyHqxv6H73QYm9C6vaWmfEkyY3NB/edit?usp=drivesdk&amp;ouid=109063318554935188656&amp;rtpof=true&amp;sd=true" TargetMode="External"/><Relationship Id="rId392" Type="http://schemas.openxmlformats.org/officeDocument/2006/relationships/hyperlink" Target="https://drive.google.com/open?id=15ch7cBuUfChLvc-Z5TcgqVuFkIMH0VXu" TargetMode="External"/><Relationship Id="rId391" Type="http://schemas.openxmlformats.org/officeDocument/2006/relationships/hyperlink" Target="https://drive.google.com/open?id=15YViAJszeR3PyjXyiqjuYYcfife9L3Pd" TargetMode="External"/><Relationship Id="rId390" Type="http://schemas.openxmlformats.org/officeDocument/2006/relationships/hyperlink" Target="https://drive.google.com/open?id=1rC7dUA8-Nn9U4Ew4oNOzLcSZDqqS3Jvr"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open?id=1yCdiwV_r_j-D0yUQd7m2jDu5njl5ZyP9" TargetMode="External"/><Relationship Id="rId4" Type="http://schemas.openxmlformats.org/officeDocument/2006/relationships/hyperlink" Target="https://drive.google.com/open?id=1vKJTUA9SN120dU9My0de-0Lpk6Hd9q-y" TargetMode="External"/><Relationship Id="rId148" Type="http://schemas.openxmlformats.org/officeDocument/2006/relationships/hyperlink" Target="https://drive.google.com/open?id=1S2DK-KiufFLxqgIYd8dGrwbvnmhcfL09" TargetMode="External"/><Relationship Id="rId9" Type="http://schemas.openxmlformats.org/officeDocument/2006/relationships/hyperlink" Target="https://drive.google.com/open?id=1KmOUD75NssVwphApVq7SZE-meTsh3bTJ" TargetMode="External"/><Relationship Id="rId143" Type="http://schemas.openxmlformats.org/officeDocument/2006/relationships/hyperlink" Target="https://drive.google.com/open?id=1_wN0aUkIwRzYQt-MwpKAm2qS4iSBU3eB" TargetMode="External"/><Relationship Id="rId385" Type="http://schemas.openxmlformats.org/officeDocument/2006/relationships/hyperlink" Target="https://drive.google.com/open?id=1ElJrbKstpDZ8tbRdEvJRZfGXNuJO3a86" TargetMode="External"/><Relationship Id="rId142" Type="http://schemas.openxmlformats.org/officeDocument/2006/relationships/hyperlink" Target="https://drive.google.com/open?id=19T1gmW62F-7DpvlMmFhI63LCaqDy9wQ0" TargetMode="External"/><Relationship Id="rId384" Type="http://schemas.openxmlformats.org/officeDocument/2006/relationships/hyperlink" Target="https://drive.google.com/open?id=14gSHp0AX_RB5fCKKr00mVV3DgJAIfDPc" TargetMode="External"/><Relationship Id="rId141" Type="http://schemas.openxmlformats.org/officeDocument/2006/relationships/hyperlink" Target="https://drive.google.com/open?id=1mF-yXHJO6--Lb2Cli8V2E5FMRzB2rH4HiJfsHFE09Yk" TargetMode="External"/><Relationship Id="rId383" Type="http://schemas.openxmlformats.org/officeDocument/2006/relationships/hyperlink" Target="https://drive.google.com/open?id=12Ge_aya4BlwgN3ydOIRZmf7FvfpFw5Sb" TargetMode="External"/><Relationship Id="rId140" Type="http://schemas.openxmlformats.org/officeDocument/2006/relationships/hyperlink" Target="https://drive.google.com/file/d/1QGBivu8hqfeJU9bpIjockJkIwES9QHWJ/view?usp=drive_link" TargetMode="External"/><Relationship Id="rId382" Type="http://schemas.openxmlformats.org/officeDocument/2006/relationships/hyperlink" Target="https://drive.google.com/open?id=1xcHu2ltKNiOWPE5KKMG11nsyNrWZAItB" TargetMode="External"/><Relationship Id="rId5" Type="http://schemas.openxmlformats.org/officeDocument/2006/relationships/hyperlink" Target="https://drive.google.com/open?id=1KkDFdV27Kv6kG_rPKmgHkIj3QyUZ5kPJ" TargetMode="External"/><Relationship Id="rId147" Type="http://schemas.openxmlformats.org/officeDocument/2006/relationships/hyperlink" Target="https://drive.google.com/open?id=1TkPSg-mRz9bPNQVg0ryNaT75unsbR8D1" TargetMode="External"/><Relationship Id="rId389" Type="http://schemas.openxmlformats.org/officeDocument/2006/relationships/hyperlink" Target="https://drive.google.com/open?id=1bP1qQkYb5PEmwUnxQZmkTL5UJ0F0mgUz" TargetMode="External"/><Relationship Id="rId6" Type="http://schemas.openxmlformats.org/officeDocument/2006/relationships/hyperlink" Target="https://drive.google.com/open?id=1CrhWG--K7K7mYhRjUYMPQlqZoGx7TFD1" TargetMode="External"/><Relationship Id="rId146" Type="http://schemas.openxmlformats.org/officeDocument/2006/relationships/hyperlink" Target="https://docs.google.com/document/d/1NR2vhN6PwOyAxBTKX-lUyLXEIMUgBXmT/edit?usp=drive_link&amp;ouid=114985145944407922695&amp;rtpof=true&amp;sd=true" TargetMode="External"/><Relationship Id="rId388" Type="http://schemas.openxmlformats.org/officeDocument/2006/relationships/hyperlink" Target="https://drive.google.com/open?id=1zcbaA0BbWmBzZRylSNYJGdKUatMO5zUG" TargetMode="External"/><Relationship Id="rId7" Type="http://schemas.openxmlformats.org/officeDocument/2006/relationships/hyperlink" Target="https://drive.google.com/open?id=15WbhlARN4Y3XFA7StPTASakDWlk0VyEl" TargetMode="External"/><Relationship Id="rId145" Type="http://schemas.openxmlformats.org/officeDocument/2006/relationships/hyperlink" Target="https://drive.google.com/open?id=1DKMieTLEVkYw2ZpFOqK28tsVlfURcxjC" TargetMode="External"/><Relationship Id="rId387" Type="http://schemas.openxmlformats.org/officeDocument/2006/relationships/hyperlink" Target="https://drive.google.com/open?id=1u0ynlwN89Dx4ZqUKWPB_Zqag63HTFeVk" TargetMode="External"/><Relationship Id="rId8" Type="http://schemas.openxmlformats.org/officeDocument/2006/relationships/hyperlink" Target="https://drive.google.com/open?id=1rAX0n3LUlDU_Um53O6ie9-wPvZE-Ubyj" TargetMode="External"/><Relationship Id="rId144" Type="http://schemas.openxmlformats.org/officeDocument/2006/relationships/hyperlink" Target="https://drive.google.com/open?id=1kn-c0frbRNLN4gUg77EivyI-4Tea0DTZ" TargetMode="External"/><Relationship Id="rId386" Type="http://schemas.openxmlformats.org/officeDocument/2006/relationships/hyperlink" Target="https://drive.google.com/open?id=1SwQZDy53oq7YCA4DzRaFYpgb-qixCZv-" TargetMode="External"/><Relationship Id="rId381" Type="http://schemas.openxmlformats.org/officeDocument/2006/relationships/hyperlink" Target="https://drive.google.com/open?id=1g1h1sGwfxElJlyCiv552pMG619gp9nfv" TargetMode="External"/><Relationship Id="rId380" Type="http://schemas.openxmlformats.org/officeDocument/2006/relationships/hyperlink" Target="https://drive.google.com/open?id=1gm_Gvqe7dhDcvZP2u4Leg-N7YK4lKiF9" TargetMode="External"/><Relationship Id="rId139" Type="http://schemas.openxmlformats.org/officeDocument/2006/relationships/hyperlink" Target="https://drive.google.com/open?id=13TfWvyx-aM6g4y9pDEBfkwkozAvlo_3g" TargetMode="External"/><Relationship Id="rId138" Type="http://schemas.openxmlformats.org/officeDocument/2006/relationships/hyperlink" Target="https://drive.google.com/open?id=19vQBsfdHcS2gMneQij4Ih551AMxVrDVo" TargetMode="External"/><Relationship Id="rId137" Type="http://schemas.openxmlformats.org/officeDocument/2006/relationships/hyperlink" Target="https://drive.google.com/open?id=1II6ttXBLGbckOP1XBXmDGo34jZFVe48V" TargetMode="External"/><Relationship Id="rId379" Type="http://schemas.openxmlformats.org/officeDocument/2006/relationships/hyperlink" Target="https://drive.google.com/open?id=1azBWvJrkLxUXjsNyXa2T1-ZzWgRBuTUb" TargetMode="External"/><Relationship Id="rId132" Type="http://schemas.openxmlformats.org/officeDocument/2006/relationships/hyperlink" Target="https://drive.google.com/open?id=1LiOfHglLiIIL7gqo_Hi1E6CgNHqkNUDH" TargetMode="External"/><Relationship Id="rId374" Type="http://schemas.openxmlformats.org/officeDocument/2006/relationships/hyperlink" Target="https://drive.google.com/open?id=1i5TUeOnYx68kBrJ5v322hP2enmtPN9wa" TargetMode="External"/><Relationship Id="rId131" Type="http://schemas.openxmlformats.org/officeDocument/2006/relationships/hyperlink" Target="https://drive.google.com/open?id=1rR3Mk0AidOQRV76-iPE8y_MfFIB6swKX" TargetMode="External"/><Relationship Id="rId373" Type="http://schemas.openxmlformats.org/officeDocument/2006/relationships/hyperlink" Target="https://drive.google.com/open?id=1byMhNS3VcvPWXkP_Hu02eHahVAtlp4ZZ" TargetMode="External"/><Relationship Id="rId130" Type="http://schemas.openxmlformats.org/officeDocument/2006/relationships/hyperlink" Target="https://drive.google.com/open?id=1GxtipGQZALfZfxUNmp_e1UxX-t8etcqH" TargetMode="External"/><Relationship Id="rId372" Type="http://schemas.openxmlformats.org/officeDocument/2006/relationships/hyperlink" Target="https://drive.google.com/open?id=1JzPY_Hw_TO5IkBjBMzcGwqZctZ8dT1RL" TargetMode="External"/><Relationship Id="rId371" Type="http://schemas.openxmlformats.org/officeDocument/2006/relationships/hyperlink" Target="https://drive.google.com/open?id=1tM75_FduDOfZMzEK2Qcszmyb8otSTSRD" TargetMode="External"/><Relationship Id="rId136" Type="http://schemas.openxmlformats.org/officeDocument/2006/relationships/hyperlink" Target="https://drive.google.com/open?id=1XbMLD__VB60mqF8wT-oFedt05wiJIKbo" TargetMode="External"/><Relationship Id="rId378" Type="http://schemas.openxmlformats.org/officeDocument/2006/relationships/hyperlink" Target="https://drive.google.com/open?id=1omvi7fM6kW-XYLVKK8POcmU1f6X1l3Eh" TargetMode="External"/><Relationship Id="rId135" Type="http://schemas.openxmlformats.org/officeDocument/2006/relationships/hyperlink" Target="https://drive.google.com/open?id=1tejVE87sSmdlnvWvwkPhc3qCuZdYG3cD" TargetMode="External"/><Relationship Id="rId377" Type="http://schemas.openxmlformats.org/officeDocument/2006/relationships/hyperlink" Target="https://drive.google.com/open?id=1NQOlqcU4LVCSpZJIBNeNIv1zIJVsC2Ma" TargetMode="External"/><Relationship Id="rId134" Type="http://schemas.openxmlformats.org/officeDocument/2006/relationships/hyperlink" Target="https://drive.google.com/open?id=1VvQUZ_OfIsYuxn58dXh6vUJuNfozVBdR" TargetMode="External"/><Relationship Id="rId376" Type="http://schemas.openxmlformats.org/officeDocument/2006/relationships/hyperlink" Target="https://drive.google.com/open?id=1NgBvmr57d7zvpzt0YE2ozEthbgEI7eYm" TargetMode="External"/><Relationship Id="rId133" Type="http://schemas.openxmlformats.org/officeDocument/2006/relationships/hyperlink" Target="https://drive.google.com/open?id=1Soqxuq_sAUHRJkuDF8hmJCMXlO2cWhf5" TargetMode="External"/><Relationship Id="rId375" Type="http://schemas.openxmlformats.org/officeDocument/2006/relationships/hyperlink" Target="https://drive.google.com/open?id=1GK3T8k4i5QYvR0SHeI00weddRB1m8HId" TargetMode="External"/><Relationship Id="rId172" Type="http://schemas.openxmlformats.org/officeDocument/2006/relationships/hyperlink" Target="https://drive.google.com/open?id=1OIzIsMoetYvw5gygHnEPXf1vLqFLC88q" TargetMode="External"/><Relationship Id="rId171" Type="http://schemas.openxmlformats.org/officeDocument/2006/relationships/hyperlink" Target="https://drive.google.com/file/d/12kauSy_tAhsdVObkZFh6a94WFPV_4jDo/view?usp=drive_link" TargetMode="External"/><Relationship Id="rId170" Type="http://schemas.openxmlformats.org/officeDocument/2006/relationships/hyperlink" Target="https://drive.google.com/open?id=1h2TRnBRnD7Ed2iXQgDo3nEqHsqvyymk8" TargetMode="External"/><Relationship Id="rId165" Type="http://schemas.openxmlformats.org/officeDocument/2006/relationships/hyperlink" Target="https://drive.google.com/open?id=1KRFSVfhbT4E2yQOebDw6j1GILT5Y3FGO" TargetMode="External"/><Relationship Id="rId164" Type="http://schemas.openxmlformats.org/officeDocument/2006/relationships/hyperlink" Target="https://drive.google.com/open?id=1Fft1er_k-8eslzrwjyHGLPFHdRRed7B3" TargetMode="External"/><Relationship Id="rId163" Type="http://schemas.openxmlformats.org/officeDocument/2006/relationships/hyperlink" Target="https://drive.google.com/open?id=1cDoPiEb-sCimcictySGPkmuZoL0Bpplg" TargetMode="External"/><Relationship Id="rId162" Type="http://schemas.openxmlformats.org/officeDocument/2006/relationships/hyperlink" Target="https://drive.google.com/open?id=1MGA9NFAiUv-7BuUE-znOELBki2JQ6k2V" TargetMode="External"/><Relationship Id="rId169" Type="http://schemas.openxmlformats.org/officeDocument/2006/relationships/hyperlink" Target="https://drive.google.com/open?id=1rDtQ1P5sbhEkOcCchFQjagdd5JBqYYQD" TargetMode="External"/><Relationship Id="rId168" Type="http://schemas.openxmlformats.org/officeDocument/2006/relationships/hyperlink" Target="https://drive.google.com/open?id=1_lp0GhAoS4v1qS108R77TArEbAHLm1RJ" TargetMode="External"/><Relationship Id="rId167" Type="http://schemas.openxmlformats.org/officeDocument/2006/relationships/hyperlink" Target="https://drive.google.com/open?id=1gqKo-0j9qJLx7zLlA_Ae_8BfQt4CUhpT" TargetMode="External"/><Relationship Id="rId166" Type="http://schemas.openxmlformats.org/officeDocument/2006/relationships/hyperlink" Target="https://drive.google.com/open?id=1r1t4dTo4TXoKaIhQyczqd02NKYLfGFFE" TargetMode="External"/><Relationship Id="rId161" Type="http://schemas.openxmlformats.org/officeDocument/2006/relationships/hyperlink" Target="https://drive.google.com/open?id=1ZPrItpxCu7yb5L_iOmIzm69ja-xoFH2R" TargetMode="External"/><Relationship Id="rId160" Type="http://schemas.openxmlformats.org/officeDocument/2006/relationships/hyperlink" Target="https://drive.google.com/open?id=1yEMuLrycHklyiqRqTixGGMTyKUIQwfi0" TargetMode="External"/><Relationship Id="rId159" Type="http://schemas.openxmlformats.org/officeDocument/2006/relationships/hyperlink" Target="https://drive.google.com/open?id=1UlkzXspLbT29hlANoAS1cBWUSR7jLcUT" TargetMode="External"/><Relationship Id="rId154" Type="http://schemas.openxmlformats.org/officeDocument/2006/relationships/hyperlink" Target="https://drive.google.com/open?id=11ehwLccGkgal-E47G-c9m2_n_UPeYuIi" TargetMode="External"/><Relationship Id="rId396" Type="http://schemas.openxmlformats.org/officeDocument/2006/relationships/hyperlink" Target="https://drive.google.com/open?id=1nvfBpZgn3XIIu_bhVh81vdmt4Wlw7Dr8" TargetMode="External"/><Relationship Id="rId153" Type="http://schemas.openxmlformats.org/officeDocument/2006/relationships/hyperlink" Target="https://drive.google.com/open?id=1Fx_IPpdCxerV_EqdtIR03Ozk7WtCYSfR" TargetMode="External"/><Relationship Id="rId395" Type="http://schemas.openxmlformats.org/officeDocument/2006/relationships/hyperlink" Target="https://drive.google.com/open?id=1RksftLxQTX8_idNL3g6YZ9ih_W2QUtUr" TargetMode="External"/><Relationship Id="rId152" Type="http://schemas.openxmlformats.org/officeDocument/2006/relationships/hyperlink" Target="https://drive.google.com/open?id=1AV5uiEOVaySroryGxzNCyHGrW2bDUItl" TargetMode="External"/><Relationship Id="rId394" Type="http://schemas.openxmlformats.org/officeDocument/2006/relationships/hyperlink" Target="https://drive.google.com/open?id=1c9diIwVM5mp0luNbOLMc-WEjvSQe-5Ks" TargetMode="External"/><Relationship Id="rId151" Type="http://schemas.openxmlformats.org/officeDocument/2006/relationships/hyperlink" Target="https://drive.google.com/open?id=1JqW0bqKBRzr1RstP1xNiP2bogrWXzRLY" TargetMode="External"/><Relationship Id="rId393" Type="http://schemas.openxmlformats.org/officeDocument/2006/relationships/hyperlink" Target="https://drive.google.com/open?id=1wAVoTD-HdYMjZfK3e1kZNKYy86dg5x46" TargetMode="External"/><Relationship Id="rId158" Type="http://schemas.openxmlformats.org/officeDocument/2006/relationships/hyperlink" Target="https://drive.google.com/open?id=1Ybn0BcUtPMxnNQxhSK3OGyeZJZmOp31U" TargetMode="External"/><Relationship Id="rId157" Type="http://schemas.openxmlformats.org/officeDocument/2006/relationships/hyperlink" Target="https://drive.google.com/open?id=1cdjafLq7HCnxQ-FTgfsiFk5-uBvZEzre" TargetMode="External"/><Relationship Id="rId399" Type="http://schemas.openxmlformats.org/officeDocument/2006/relationships/hyperlink" Target="https://drive.google.com/open?id=1WbAu82LKqLJHcasXKQBNZjOFWdiM-ARP" TargetMode="External"/><Relationship Id="rId156" Type="http://schemas.openxmlformats.org/officeDocument/2006/relationships/hyperlink" Target="https://drive.google.com/open?id=1AboayjPgAb3WK_AxSilQU8iXbpR-xHnn" TargetMode="External"/><Relationship Id="rId398" Type="http://schemas.openxmlformats.org/officeDocument/2006/relationships/hyperlink" Target="https://drive.google.com/open?id=153DedlwyZSZk_XNECoggINfCeN718EyU" TargetMode="External"/><Relationship Id="rId155" Type="http://schemas.openxmlformats.org/officeDocument/2006/relationships/hyperlink" Target="https://drive.google.com/open?id=1asVtJ8kD-9mckkgasbHxECSg-zWlddPL" TargetMode="External"/><Relationship Id="rId397" Type="http://schemas.openxmlformats.org/officeDocument/2006/relationships/hyperlink" Target="https://drive.google.com/open?id=1h2UB7_Uawa71Gc4JzBLpI3r1BIR0NxR_" TargetMode="External"/><Relationship Id="rId808" Type="http://schemas.openxmlformats.org/officeDocument/2006/relationships/hyperlink" Target="https://drive.google.com/open?id=1X590KD6YZjW9YirZux1ukNMRvDngbNTg" TargetMode="External"/><Relationship Id="rId807" Type="http://schemas.openxmlformats.org/officeDocument/2006/relationships/hyperlink" Target="https://drive.google.com/open?id=1YXBC3NlOIdQ2gA231B6ugUZJZjc_Qqny" TargetMode="External"/><Relationship Id="rId806" Type="http://schemas.openxmlformats.org/officeDocument/2006/relationships/hyperlink" Target="https://drive.google.com/open?id=1CSH9uNSq2T9A7cAU6XeUu342WZwRTmk-" TargetMode="External"/><Relationship Id="rId805" Type="http://schemas.openxmlformats.org/officeDocument/2006/relationships/hyperlink" Target="https://drive.google.com/open?id=1r0paE_Fz2PB4UtCX2jjVKkbZirVJB5MQ" TargetMode="External"/><Relationship Id="rId809" Type="http://schemas.openxmlformats.org/officeDocument/2006/relationships/hyperlink" Target="https://drive.google.com/open?id=1cTm-zGrlCkwKX8v24MGa3qu2obMfLBQh" TargetMode="External"/><Relationship Id="rId800" Type="http://schemas.openxmlformats.org/officeDocument/2006/relationships/hyperlink" Target="https://drive.google.com/open?id=1ZwWdm1QQgVPpJE53FPUs2bJ4cqqlf0-P" TargetMode="External"/><Relationship Id="rId804" Type="http://schemas.openxmlformats.org/officeDocument/2006/relationships/hyperlink" Target="https://drive.google.com/open?id=1sBGEpw7xq2HNHQAxpYQtRgFrxPcf79bC" TargetMode="External"/><Relationship Id="rId803" Type="http://schemas.openxmlformats.org/officeDocument/2006/relationships/hyperlink" Target="https://drive.google.com/open?id=1PlNpMQWoVTPj0RqA3c-rd8eeeniccl_g" TargetMode="External"/><Relationship Id="rId802" Type="http://schemas.openxmlformats.org/officeDocument/2006/relationships/hyperlink" Target="https://drive.google.com/open?id=1rtj5QP8MQRLO94RUKFkYI1cMDOHAGAnU" TargetMode="External"/><Relationship Id="rId801" Type="http://schemas.openxmlformats.org/officeDocument/2006/relationships/hyperlink" Target="https://drive.google.com/open?id=1g0bXqwh9iz7EM5AesgqNNP7K2IdKYhuK" TargetMode="External"/><Relationship Id="rId40" Type="http://schemas.openxmlformats.org/officeDocument/2006/relationships/hyperlink" Target="https://drive.google.com/open?id=1jD0jHzkqi7mFiALo_dIVNCqSQs5YIe5H" TargetMode="External"/><Relationship Id="rId42" Type="http://schemas.openxmlformats.org/officeDocument/2006/relationships/hyperlink" Target="https://drive.google.com/open?id=1mTtSmwTnC8EtC6zg8NgJv5KNJ2PfoWPm" TargetMode="External"/><Relationship Id="rId41" Type="http://schemas.openxmlformats.org/officeDocument/2006/relationships/hyperlink" Target="https://drive.google.com/open?id=12L1ejTiAh8HHG9xqc-sD5RHI2Zu5tAYn" TargetMode="External"/><Relationship Id="rId44" Type="http://schemas.openxmlformats.org/officeDocument/2006/relationships/hyperlink" Target="https://drive.google.com/open?id=1jJTqMTPKCyYHLXz17UdqgOn7EabV5YQZ" TargetMode="External"/><Relationship Id="rId43" Type="http://schemas.openxmlformats.org/officeDocument/2006/relationships/hyperlink" Target="https://drive.google.com/open?id=1TieWik7eBWsqSJmQCoqlcgObRxUkJj1w" TargetMode="External"/><Relationship Id="rId46" Type="http://schemas.openxmlformats.org/officeDocument/2006/relationships/hyperlink" Target="https://drive.google.com/open?id=17yIW-M2kbupIOtdZM1e_cGUJXfavXVn5" TargetMode="External"/><Relationship Id="rId45" Type="http://schemas.openxmlformats.org/officeDocument/2006/relationships/hyperlink" Target="https://drive.google.com/open?id=1bxgUDBHB-KzlPl0BxLg9izK8voyMNi6M" TargetMode="External"/><Relationship Id="rId509" Type="http://schemas.openxmlformats.org/officeDocument/2006/relationships/hyperlink" Target="https://drive.google.com/open?id=1xxGjSOABsTlQAHQ7iX7ZfwD5nEeGI1JW9W8BHALt-0s" TargetMode="External"/><Relationship Id="rId508" Type="http://schemas.openxmlformats.org/officeDocument/2006/relationships/hyperlink" Target="https://drive.google.com/open?id=1RRExHyhhyVOuYkK8bwb2CnL7eSMyvVOBov5I7IcovpU" TargetMode="External"/><Relationship Id="rId503" Type="http://schemas.openxmlformats.org/officeDocument/2006/relationships/hyperlink" Target="https://drive.google.com/open?id=1CPCrB2ZctkmZVt41pT3WKkYczRsbZlMc" TargetMode="External"/><Relationship Id="rId745" Type="http://schemas.openxmlformats.org/officeDocument/2006/relationships/hyperlink" Target="https://drive.google.com/open?id=188PocqKDyI91fLSkRlNGeUpoFxD-jqtogmJyM-mArtE" TargetMode="External"/><Relationship Id="rId502" Type="http://schemas.openxmlformats.org/officeDocument/2006/relationships/hyperlink" Target="https://drive.google.com/open?id=1dNWYyDjMq05L5AYzTMXxoBQWOPnEbmkaSTD2ws6ZppA" TargetMode="External"/><Relationship Id="rId744" Type="http://schemas.openxmlformats.org/officeDocument/2006/relationships/hyperlink" Target="https://drive.google.com/open?id=130pu-kqRtpJqr0EkyxA6b3LkX0ZlY-hPB2CPUo9Z_EA" TargetMode="External"/><Relationship Id="rId501" Type="http://schemas.openxmlformats.org/officeDocument/2006/relationships/hyperlink" Target="https://drive.google.com/open?id=1KGqOCukxkyP2yXuqkvW4vnJTRrez4-IJ" TargetMode="External"/><Relationship Id="rId743" Type="http://schemas.openxmlformats.org/officeDocument/2006/relationships/hyperlink" Target="https://drive.google.com/open?id=11uh-CIeLnTfdGWGXiye0_OXladJTSe-P" TargetMode="External"/><Relationship Id="rId500" Type="http://schemas.openxmlformats.org/officeDocument/2006/relationships/hyperlink" Target="https://drive.google.com/open?id=1bF6S8iP-x2lFnBVyt1la1NxdmNWKm6AL7gDFt-Evqc4" TargetMode="External"/><Relationship Id="rId742" Type="http://schemas.openxmlformats.org/officeDocument/2006/relationships/hyperlink" Target="https://drive.google.com/open?id=1IeumY-Kjs3FFfKwrOVtG9lP58NRZIu1Q" TargetMode="External"/><Relationship Id="rId507" Type="http://schemas.openxmlformats.org/officeDocument/2006/relationships/hyperlink" Target="https://drive.google.com/open?id=1P_zoEpgSaiqnzN8Kun_y0b30gyRZNSnL" TargetMode="External"/><Relationship Id="rId749" Type="http://schemas.openxmlformats.org/officeDocument/2006/relationships/hyperlink" Target="https://drive.google.com/open?id=1_whKw_rPFB_-KTk2SGiXTUN7TW-hlhNm" TargetMode="External"/><Relationship Id="rId506" Type="http://schemas.openxmlformats.org/officeDocument/2006/relationships/hyperlink" Target="https://drive.google.com/open?id=12IHG7LDYqGZC8qXQ8nmJkzj2cw1cHpJ1vuPFWOiL-MQ" TargetMode="External"/><Relationship Id="rId748" Type="http://schemas.openxmlformats.org/officeDocument/2006/relationships/hyperlink" Target="https://drive.google.com/open?id=1bDDGx3y_LRzQBhnSzsRijr58C9MkGej4xuxV2ux7ldU" TargetMode="External"/><Relationship Id="rId505" Type="http://schemas.openxmlformats.org/officeDocument/2006/relationships/hyperlink" Target="https://drive.google.com/open?id=1tjzknM9eT5KBMDV2tnHA7JIPfaDBHkQb3oxSjm5_lO8" TargetMode="External"/><Relationship Id="rId747" Type="http://schemas.openxmlformats.org/officeDocument/2006/relationships/hyperlink" Target="https://drive.google.com/open?id=1ZS4ebhxS4CRXISoqjCWpr6K2BuKMaa5M0877yz3dqh0" TargetMode="External"/><Relationship Id="rId504" Type="http://schemas.openxmlformats.org/officeDocument/2006/relationships/hyperlink" Target="https://drive.google.com/open?id=1sQm6tpBBvydR0XPAgzWWT9atUd_OIeZPSptjmMDE7Zo" TargetMode="External"/><Relationship Id="rId746" Type="http://schemas.openxmlformats.org/officeDocument/2006/relationships/hyperlink" Target="https://drive.google.com/open?id=1WJr6V4QXBgUABP6aa6gvZKx8WELx6OLh3SNCkp5cAkQ" TargetMode="External"/><Relationship Id="rId48" Type="http://schemas.openxmlformats.org/officeDocument/2006/relationships/hyperlink" Target="https://drive.google.com/open?id=1PAjh4PJKWgMI4KgPWZ8P_ntUMZo_2xtv" TargetMode="External"/><Relationship Id="rId47" Type="http://schemas.openxmlformats.org/officeDocument/2006/relationships/hyperlink" Target="https://drive.google.com/open?id=1NQ1uFjRUPZJ9xbPQ3_8G2BzUkmR2utlS" TargetMode="External"/><Relationship Id="rId49" Type="http://schemas.openxmlformats.org/officeDocument/2006/relationships/hyperlink" Target="https://drive.google.com/open?id=14lfGntALIMdqDLfHCs9cByjNUI_tStof" TargetMode="External"/><Relationship Id="rId741" Type="http://schemas.openxmlformats.org/officeDocument/2006/relationships/hyperlink" Target="https://drive.google.com/open?id=1O_04lbRcDQETCGgdtxy_qvofiqvZjwOuC6YuQNhheEU" TargetMode="External"/><Relationship Id="rId740" Type="http://schemas.openxmlformats.org/officeDocument/2006/relationships/hyperlink" Target="https://drive.google.com/open?id=11OINzrCmwHA1FVievyuHZtB7gdfWFrty" TargetMode="External"/><Relationship Id="rId31" Type="http://schemas.openxmlformats.org/officeDocument/2006/relationships/hyperlink" Target="https://drive.google.com/open?id=1KXVwZxf4RcqwtG_KKLxPvtjk8ABjSXSV" TargetMode="External"/><Relationship Id="rId30" Type="http://schemas.openxmlformats.org/officeDocument/2006/relationships/hyperlink" Target="https://drive.google.com/open?id=1d_1tspO0x_TvJwQHQbsnE0BFmDjXLtO3" TargetMode="External"/><Relationship Id="rId33" Type="http://schemas.openxmlformats.org/officeDocument/2006/relationships/hyperlink" Target="https://drive.google.com/open?id=1abeb3M3Hbxrveh_qXsT_goMdrVc921Ce" TargetMode="External"/><Relationship Id="rId32" Type="http://schemas.openxmlformats.org/officeDocument/2006/relationships/hyperlink" Target="https://drive.google.com/open?id=1Romwhq8HLuRSj9icXjiwETkTmx02cf_9" TargetMode="External"/><Relationship Id="rId35" Type="http://schemas.openxmlformats.org/officeDocument/2006/relationships/hyperlink" Target="https://drive.google.com/open?id=1aNeNESWGqR_XVbIwMjcoKOi-A6m8AzYe" TargetMode="External"/><Relationship Id="rId34" Type="http://schemas.openxmlformats.org/officeDocument/2006/relationships/hyperlink" Target="https://drive.google.com/open?id=1pwTTh8nYh-5XgO4SoBQ1W5nOK4oz4PuO" TargetMode="External"/><Relationship Id="rId739" Type="http://schemas.openxmlformats.org/officeDocument/2006/relationships/hyperlink" Target="https://drive.google.com/open?id=1YOmDaSKHCNtIxojssPPCNcHBmi-Muv-f" TargetMode="External"/><Relationship Id="rId734" Type="http://schemas.openxmlformats.org/officeDocument/2006/relationships/hyperlink" Target="https://drive.google.com/open?id=1trDp3bRW21IvPbtlJ8nZSUbjRPbnlVlVB57QDje6yPE" TargetMode="External"/><Relationship Id="rId976" Type="http://schemas.openxmlformats.org/officeDocument/2006/relationships/hyperlink" Target="https://drive.google.com/open?id=1NXUit1DsznvMZ5LDr78bcATe6p42KwhH" TargetMode="External"/><Relationship Id="rId733" Type="http://schemas.openxmlformats.org/officeDocument/2006/relationships/hyperlink" Target="https://drive.google.com/open?id=1xD5ISXnzqoB9zi-Sx0o4DIUIPmm7pBGwNMCGkoaVEQE" TargetMode="External"/><Relationship Id="rId975" Type="http://schemas.openxmlformats.org/officeDocument/2006/relationships/hyperlink" Target="https://drive.google.com/open?id=1fp99a_STWC8_K5OSTeVplPqYHreuBXdXITcP0poqPGs" TargetMode="External"/><Relationship Id="rId732" Type="http://schemas.openxmlformats.org/officeDocument/2006/relationships/hyperlink" Target="https://drive.google.com/open?id=1n_YF7WJA2iBKSIOm2HAHhnqkeyrrTZI8" TargetMode="External"/><Relationship Id="rId974" Type="http://schemas.openxmlformats.org/officeDocument/2006/relationships/hyperlink" Target="https://drive.google.com/open?id=1TPcDdtztVlvP62COcXzEXogKuvaYstwJ" TargetMode="External"/><Relationship Id="rId731" Type="http://schemas.openxmlformats.org/officeDocument/2006/relationships/hyperlink" Target="https://drive.google.com/open?id=1RBM_fLwrmA2QzIUL0oi2No0CEcYad_xH" TargetMode="External"/><Relationship Id="rId973" Type="http://schemas.openxmlformats.org/officeDocument/2006/relationships/hyperlink" Target="https://drive.google.com/open?id=1X1Pbb6eo_-5woR5KOetHDPbW3f35kxOZ" TargetMode="External"/><Relationship Id="rId738" Type="http://schemas.openxmlformats.org/officeDocument/2006/relationships/hyperlink" Target="https://drive.google.com/open?id=1DwZ8BO0v903G_qzXEt9HzJIp76CoCMh4" TargetMode="External"/><Relationship Id="rId737" Type="http://schemas.openxmlformats.org/officeDocument/2006/relationships/hyperlink" Target="https://drive.google.com/open?id=1aUcRcvpALIkIJxkS-irfcEkraPWmgC4f" TargetMode="External"/><Relationship Id="rId979" Type="http://schemas.openxmlformats.org/officeDocument/2006/relationships/vmlDrawing" Target="../drawings/vmlDrawing1.vml"/><Relationship Id="rId736" Type="http://schemas.openxmlformats.org/officeDocument/2006/relationships/hyperlink" Target="https://drive.google.com/open?id=1_QeZJ0lePH3E7xcJVfGOZeoOAubriXOJqmpwm_glZNs" TargetMode="External"/><Relationship Id="rId978" Type="http://schemas.openxmlformats.org/officeDocument/2006/relationships/drawing" Target="../drawings/drawing1.xml"/><Relationship Id="rId735" Type="http://schemas.openxmlformats.org/officeDocument/2006/relationships/hyperlink" Target="https://drive.google.com/open?id=1Rqpcw_7iVc8gLRFxemYBMzZGu2E-qBWwLCnO-xoixUA" TargetMode="External"/><Relationship Id="rId977" Type="http://schemas.openxmlformats.org/officeDocument/2006/relationships/hyperlink" Target="https://drive.google.com/open?id=1HA0PNNDj3KREOWZlqWbhcFLmXdq2KN20" TargetMode="External"/><Relationship Id="rId37" Type="http://schemas.openxmlformats.org/officeDocument/2006/relationships/hyperlink" Target="https://drive.google.com/open?id=1Dhfbckx-xfBuoGGx0ct5wASikaFW_VeM" TargetMode="External"/><Relationship Id="rId36" Type="http://schemas.openxmlformats.org/officeDocument/2006/relationships/hyperlink" Target="https://drive.google.com/open?id=1hkFJo8MMqmu6zrFJylALE9U7VuNt6agj" TargetMode="External"/><Relationship Id="rId39" Type="http://schemas.openxmlformats.org/officeDocument/2006/relationships/hyperlink" Target="https://drive.google.com/open?id=1Eu_dRE8LsjMe3bc1RlMtnXj44VUHC8Z6" TargetMode="External"/><Relationship Id="rId38" Type="http://schemas.openxmlformats.org/officeDocument/2006/relationships/hyperlink" Target="https://drive.google.com/open?id=1tXo1qlbH2DwiqXQ4cZ1oo-XtB64Xc2Sn" TargetMode="External"/><Relationship Id="rId730" Type="http://schemas.openxmlformats.org/officeDocument/2006/relationships/hyperlink" Target="https://drive.google.com/open?id=1206zr9eLigalQaKSEitjgxQFFg464SD_" TargetMode="External"/><Relationship Id="rId972" Type="http://schemas.openxmlformats.org/officeDocument/2006/relationships/hyperlink" Target="https://drive.google.com/open?id=1c0ZXtdX_qRdPdhuKGz5ASIcynaZL7cG6NZH_kJZymSU" TargetMode="External"/><Relationship Id="rId971" Type="http://schemas.openxmlformats.org/officeDocument/2006/relationships/hyperlink" Target="https://drive.google.com/open?id=19L2ZjexGWsyo9Vh9S4hiDpG1_uby13Agf5nBrUZZNHk" TargetMode="External"/><Relationship Id="rId970" Type="http://schemas.openxmlformats.org/officeDocument/2006/relationships/hyperlink" Target="https://drive.google.com/open?id=13lD4WOlcy5lNHJXCVtwZas6zgH1EbRfM" TargetMode="External"/><Relationship Id="rId20" Type="http://schemas.openxmlformats.org/officeDocument/2006/relationships/hyperlink" Target="https://drive.google.com/open?id=1l1gLrD1ebqmWkOxz9K4UZvZlNVT3vZ0a" TargetMode="External"/><Relationship Id="rId22" Type="http://schemas.openxmlformats.org/officeDocument/2006/relationships/hyperlink" Target="https://drive.google.com/open?id=1D76QD3BECTn1SkV_gnBFwvbe66ETrZqP" TargetMode="External"/><Relationship Id="rId21" Type="http://schemas.openxmlformats.org/officeDocument/2006/relationships/hyperlink" Target="https://drive.google.com/open?id=1rtZKuen9qbyeATgq-OqhCh-5dfefJCpJ" TargetMode="External"/><Relationship Id="rId24" Type="http://schemas.openxmlformats.org/officeDocument/2006/relationships/hyperlink" Target="https://drive.google.com/open?id=1CubVPHUdqzVm6PK48JC-42ys4kbNg6Ti" TargetMode="External"/><Relationship Id="rId23" Type="http://schemas.openxmlformats.org/officeDocument/2006/relationships/hyperlink" Target="https://drive.google.com/open?id=1-CbZb826VX9jtCAro_nM1CGc3qyAI_CQ" TargetMode="External"/><Relationship Id="rId525" Type="http://schemas.openxmlformats.org/officeDocument/2006/relationships/hyperlink" Target="https://drive.google.com/open?id=1IiaVGQXcusY5KfWufLljHWmrynrlIJOz" TargetMode="External"/><Relationship Id="rId767" Type="http://schemas.openxmlformats.org/officeDocument/2006/relationships/hyperlink" Target="https://drive.google.com/open?id=1fJdHFEIjPkH-zqrOOelM5mhv5oT5aWuR" TargetMode="External"/><Relationship Id="rId524" Type="http://schemas.openxmlformats.org/officeDocument/2006/relationships/hyperlink" Target="https://drive.google.com/open?id=1gb-LXaSSayGh2LDOBXam54wgBIZZSpyF" TargetMode="External"/><Relationship Id="rId766" Type="http://schemas.openxmlformats.org/officeDocument/2006/relationships/hyperlink" Target="https://drive.google.com/open?id=1t8T_k05AWz37Cq3joeoFcGlbfSnLcqTbB5pX25qt5bo" TargetMode="External"/><Relationship Id="rId523" Type="http://schemas.openxmlformats.org/officeDocument/2006/relationships/hyperlink" Target="https://drive.google.com/open?id=1QwAD7T_b5uvDbv55ZP4lXHpqcxk1wp2Q" TargetMode="External"/><Relationship Id="rId765" Type="http://schemas.openxmlformats.org/officeDocument/2006/relationships/hyperlink" Target="https://drive.google.com/open?id=1sLpNmym_38bQ8IBC33KmBqatOExWDxWoxKnOORAGjic" TargetMode="External"/><Relationship Id="rId522" Type="http://schemas.openxmlformats.org/officeDocument/2006/relationships/hyperlink" Target="https://drive.google.com/open?id=1FT6oUgtr0Digjfkxhg7ZuYI6kha2ggoR" TargetMode="External"/><Relationship Id="rId764" Type="http://schemas.openxmlformats.org/officeDocument/2006/relationships/hyperlink" Target="https://drive.google.com/open?id=16PKko4UVV2BdS_iB8DyJ8CsnQUxyqhhVhLXq7Iz_QKE" TargetMode="External"/><Relationship Id="rId529" Type="http://schemas.openxmlformats.org/officeDocument/2006/relationships/hyperlink" Target="https://drive.google.com/open?id=1KQmZSqUJ6NjPCKs3OdShPgArsvlMLuwa" TargetMode="External"/><Relationship Id="rId528" Type="http://schemas.openxmlformats.org/officeDocument/2006/relationships/hyperlink" Target="https://drive.google.com/open?id=1i-N9z9fJJ4boY4x6XLgMoZ4EmJWHjKmr" TargetMode="External"/><Relationship Id="rId527" Type="http://schemas.openxmlformats.org/officeDocument/2006/relationships/hyperlink" Target="https://drive.google.com/open?id=19ROVrXGJG2KbfuA-Zfzqx_zgFmzTxR0k" TargetMode="External"/><Relationship Id="rId769" Type="http://schemas.openxmlformats.org/officeDocument/2006/relationships/hyperlink" Target="https://drive.google.com/open?id=1F5Es2OsHV1USz12bnRKVArsHOmSaUH8_-ZWBQKwVnUw" TargetMode="External"/><Relationship Id="rId526" Type="http://schemas.openxmlformats.org/officeDocument/2006/relationships/hyperlink" Target="https://drive.google.com/open?id=1lhsjHREgRIZj9pELR3tRb7RLlhOMNflK" TargetMode="External"/><Relationship Id="rId768" Type="http://schemas.openxmlformats.org/officeDocument/2006/relationships/hyperlink" Target="https://drive.google.com/open?id=1kt99ZGPuxKZiAW4VrTA5B-SZFmPhm9Dr" TargetMode="External"/><Relationship Id="rId26" Type="http://schemas.openxmlformats.org/officeDocument/2006/relationships/hyperlink" Target="https://drive.google.com/open?id=10SiDtrimX2lxDAsQgDgKwmAAzUwQitP3" TargetMode="External"/><Relationship Id="rId25" Type="http://schemas.openxmlformats.org/officeDocument/2006/relationships/hyperlink" Target="https://drive.google.com/open?id=1tBUcXf7Eg23nwxVjX0fyr42z2lmyw_yC" TargetMode="External"/><Relationship Id="rId28" Type="http://schemas.openxmlformats.org/officeDocument/2006/relationships/hyperlink" Target="https://drive.google.com/open?id=1pCkb0vZqgxQNjvPg2owOF-rPTEX27C7q" TargetMode="External"/><Relationship Id="rId27" Type="http://schemas.openxmlformats.org/officeDocument/2006/relationships/hyperlink" Target="https://drive.google.com/open?id=1wSzRokkb8g0TiF5pCYRVaiNC45EA_Zqm" TargetMode="External"/><Relationship Id="rId521" Type="http://schemas.openxmlformats.org/officeDocument/2006/relationships/hyperlink" Target="https://drive.google.com/open?id=1ZtlCsADtO-Yy_N12hKu2SKkySH-lEp7x" TargetMode="External"/><Relationship Id="rId763" Type="http://schemas.openxmlformats.org/officeDocument/2006/relationships/hyperlink" Target="https://drive.google.com/open?id=1Xjdhj4fIROd-u4HXQkpRLhnwYm0jWarzQLbZDOX57H8" TargetMode="External"/><Relationship Id="rId29" Type="http://schemas.openxmlformats.org/officeDocument/2006/relationships/hyperlink" Target="https://drive.google.com/open?id=1d6CLkt8nVoAyBvqA0k2qhEP_tMT7ZZbD" TargetMode="External"/><Relationship Id="rId520" Type="http://schemas.openxmlformats.org/officeDocument/2006/relationships/hyperlink" Target="https://drive.google.com/open?id=1T-xcoPeYbaGKgZ3IomOv1bbKszjolkj6" TargetMode="External"/><Relationship Id="rId762" Type="http://schemas.openxmlformats.org/officeDocument/2006/relationships/hyperlink" Target="https://drive.google.com/open?id=1R50zP26oQvph0BD-TVn2IsQ_pv3csIFV74H_urtznNo" TargetMode="External"/><Relationship Id="rId761" Type="http://schemas.openxmlformats.org/officeDocument/2006/relationships/hyperlink" Target="https://drive.google.com/open?id=1E5yC2u7Vu3a_0pPG-h14qKq9yXimNzRe" TargetMode="External"/><Relationship Id="rId760" Type="http://schemas.openxmlformats.org/officeDocument/2006/relationships/hyperlink" Target="https://drive.google.com/open?id=1BY3zerW6XELYv_RNnrwJfV_ccjDOFG5n" TargetMode="External"/><Relationship Id="rId11" Type="http://schemas.openxmlformats.org/officeDocument/2006/relationships/hyperlink" Target="https://drive.google.com/open?id=1oPWJKKn748a0HcKfgxjQY7OIPrQg83tC" TargetMode="External"/><Relationship Id="rId10" Type="http://schemas.openxmlformats.org/officeDocument/2006/relationships/hyperlink" Target="https://drive.google.com/open?id=1K8dsFWgTQrLE0cl4SvBMENAQyNLUC7Si" TargetMode="External"/><Relationship Id="rId13" Type="http://schemas.openxmlformats.org/officeDocument/2006/relationships/hyperlink" Target="https://drive.google.com/open?id=1ONPn__gcw6Ai491mKT8sb3SSFxWFNQWr" TargetMode="External"/><Relationship Id="rId12" Type="http://schemas.openxmlformats.org/officeDocument/2006/relationships/hyperlink" Target="https://drive.google.com/open?id=1jM17BBHEVehMhVigSU1jIjio2ohBwFzz" TargetMode="External"/><Relationship Id="rId519" Type="http://schemas.openxmlformats.org/officeDocument/2006/relationships/hyperlink" Target="https://drive.google.com/open?id=1bfV8UucM0Tgqj7W9jQ91m8ICrs9Ed32q" TargetMode="External"/><Relationship Id="rId514" Type="http://schemas.openxmlformats.org/officeDocument/2006/relationships/hyperlink" Target="https://drive.google.com/open?id=16DYJXbsPWCTRiuggfdi2gSAbdcFEKVag" TargetMode="External"/><Relationship Id="rId756" Type="http://schemas.openxmlformats.org/officeDocument/2006/relationships/hyperlink" Target="https://drive.google.com/open?id=1CUhGtOSP_xP29vzgom-ptaIjLCcyAtQG" TargetMode="External"/><Relationship Id="rId513" Type="http://schemas.openxmlformats.org/officeDocument/2006/relationships/hyperlink" Target="https://drive.google.com/open?id=1omLFBqzfr1SXs9qCGSoYUEfYEoJ7FCfrqcZbTORh9-k" TargetMode="External"/><Relationship Id="rId755" Type="http://schemas.openxmlformats.org/officeDocument/2006/relationships/hyperlink" Target="https://drive.google.com/open?id=1Ilu38FDJuvcOPxPK6Mb2ZFYkhdNFErw3" TargetMode="External"/><Relationship Id="rId512" Type="http://schemas.openxmlformats.org/officeDocument/2006/relationships/hyperlink" Target="https://drive.google.com/open?id=1zO5DiJX6faQLD_Gsh7hZBA3uHnQKUePP" TargetMode="External"/><Relationship Id="rId754" Type="http://schemas.openxmlformats.org/officeDocument/2006/relationships/hyperlink" Target="https://drive.google.com/open?id=106Sj3efLoaSlCp4XmhAFW8faviIzuTlH6Gtc-Pbe7Wc" TargetMode="External"/><Relationship Id="rId511" Type="http://schemas.openxmlformats.org/officeDocument/2006/relationships/hyperlink" Target="https://drive.google.com/open?id=17dNMFQJrtihAaudERcZIEsI_jZe1IUrg" TargetMode="External"/><Relationship Id="rId753" Type="http://schemas.openxmlformats.org/officeDocument/2006/relationships/hyperlink" Target="https://drive.google.com/open?id=1M8uVi4aMidRafpTkoCyLo51eTozq2iWE" TargetMode="External"/><Relationship Id="rId518" Type="http://schemas.openxmlformats.org/officeDocument/2006/relationships/hyperlink" Target="https://drive.google.com/open?id=1aJcmpKhrlSr_enDJ-myAjzHhhMW4LoJmuFg-Qu4txq8" TargetMode="External"/><Relationship Id="rId517" Type="http://schemas.openxmlformats.org/officeDocument/2006/relationships/hyperlink" Target="https://drive.google.com/open?id=1dzUt0zi_ZosYGMZfZeVJ4Rrs5_VE6RHs" TargetMode="External"/><Relationship Id="rId759" Type="http://schemas.openxmlformats.org/officeDocument/2006/relationships/hyperlink" Target="https://drive.google.com/open?id=1NJEM8Gak-9sU-CmhayYKCFTv_xXt1NRc" TargetMode="External"/><Relationship Id="rId516" Type="http://schemas.openxmlformats.org/officeDocument/2006/relationships/hyperlink" Target="https://drive.google.com/open?id=1VFZonY37tKF5gr4NiH5kC4NYw8ozPrua" TargetMode="External"/><Relationship Id="rId758" Type="http://schemas.openxmlformats.org/officeDocument/2006/relationships/hyperlink" Target="https://drive.google.com/open?id=19m2c6Ft2r4zCSb2OhpFzJXP6iAFV06rx" TargetMode="External"/><Relationship Id="rId515" Type="http://schemas.openxmlformats.org/officeDocument/2006/relationships/hyperlink" Target="https://drive.google.com/open?id=1YxGgECqrRdIXRnMBn9DZ6L8d8TqnpSR4" TargetMode="External"/><Relationship Id="rId757" Type="http://schemas.openxmlformats.org/officeDocument/2006/relationships/hyperlink" Target="https://drive.google.com/open?id=1Smj-gnMnAvQk2nJrveEMVIX7fFIx4cZO7LukYV74QRA" TargetMode="External"/><Relationship Id="rId15" Type="http://schemas.openxmlformats.org/officeDocument/2006/relationships/hyperlink" Target="https://drive.google.com/open?id=1A8rWyxlVLIcNcIvRBjhA4QbhbExHkgWX" TargetMode="External"/><Relationship Id="rId14" Type="http://schemas.openxmlformats.org/officeDocument/2006/relationships/hyperlink" Target="https://drive.google.com/open?id=132T7Gtw7hWXGyB3cpT9M5p4rVFtCvsb-" TargetMode="External"/><Relationship Id="rId17" Type="http://schemas.openxmlformats.org/officeDocument/2006/relationships/hyperlink" Target="https://drive.google.com/open?id=1-B-LE23gtDIabp76cwDES8uVNbWHEd2r" TargetMode="External"/><Relationship Id="rId16" Type="http://schemas.openxmlformats.org/officeDocument/2006/relationships/hyperlink" Target="https://drive.google.com/open?id=1cSO6tLLNGXdiQN0KKxsqjeKW8iS__Li5" TargetMode="External"/><Relationship Id="rId19" Type="http://schemas.openxmlformats.org/officeDocument/2006/relationships/hyperlink" Target="https://drive.google.com/open?id=1HENc2nTnl-UUtKcSR-pbTAR_1cRa6dGJ" TargetMode="External"/><Relationship Id="rId510" Type="http://schemas.openxmlformats.org/officeDocument/2006/relationships/hyperlink" Target="https://drive.google.com/open?id=1r5Ci4kjtKgc55DKdOQVi-CQXZ_D2lIdSp82z2ZGEJOk" TargetMode="External"/><Relationship Id="rId752" Type="http://schemas.openxmlformats.org/officeDocument/2006/relationships/hyperlink" Target="https://drive.google.com/open?id=1EvgLDmDnAP3pGwHpLZUDGX0Iq5Id1Pvz" TargetMode="External"/><Relationship Id="rId18" Type="http://schemas.openxmlformats.org/officeDocument/2006/relationships/hyperlink" Target="https://drive.google.com/open?id=1JwMLp1VMOGzuqaxmZQpSyNvLfIS9GrDr" TargetMode="External"/><Relationship Id="rId751" Type="http://schemas.openxmlformats.org/officeDocument/2006/relationships/hyperlink" Target="https://drive.google.com/open?id=17HeuzFOfgP_brAd3cPdEBiGGOVTOgWTJ_cMwxTOWngM" TargetMode="External"/><Relationship Id="rId750" Type="http://schemas.openxmlformats.org/officeDocument/2006/relationships/hyperlink" Target="https://drive.google.com/open?id=1eFUigRLH0fJmjTGsVuxoWWtEPUonF22M" TargetMode="External"/><Relationship Id="rId84" Type="http://schemas.openxmlformats.org/officeDocument/2006/relationships/hyperlink" Target="https://drive.google.com/open?id=11AaebASSOASxzrecTrSeJQGOm9dFryG-" TargetMode="External"/><Relationship Id="rId83" Type="http://schemas.openxmlformats.org/officeDocument/2006/relationships/hyperlink" Target="https://drive.google.com/open?id=1ZYjDlW7xh1fU4U9u-43A6q4NuQLxITBT" TargetMode="External"/><Relationship Id="rId86" Type="http://schemas.openxmlformats.org/officeDocument/2006/relationships/hyperlink" Target="https://drive.google.com/open?id=1Sj6H1Z0Kc1gTW5KwD19WaGnhSYH7XqsO" TargetMode="External"/><Relationship Id="rId85" Type="http://schemas.openxmlformats.org/officeDocument/2006/relationships/hyperlink" Target="https://drive.google.com/open?id=1sv306HZuUHd_fRVu3MOtUdo1zaoG3N2d" TargetMode="External"/><Relationship Id="rId88" Type="http://schemas.openxmlformats.org/officeDocument/2006/relationships/hyperlink" Target="https://drive.google.com/open?id=1QMnYyuhMDK8FjGFxoxzgjXVuUG7H7l3U" TargetMode="External"/><Relationship Id="rId87" Type="http://schemas.openxmlformats.org/officeDocument/2006/relationships/hyperlink" Target="https://drive.google.com/open?id=1yvWGZH-iYGg_yvypOH7KTK2YVLr58Hzj" TargetMode="External"/><Relationship Id="rId89" Type="http://schemas.openxmlformats.org/officeDocument/2006/relationships/hyperlink" Target="https://drive.google.com/open?id=1Sn049r_D_rMzedvHqUhLlEAwc_zFJEVR" TargetMode="External"/><Relationship Id="rId709" Type="http://schemas.openxmlformats.org/officeDocument/2006/relationships/hyperlink" Target="https://drive.google.com/open?id=1vgy9Nq0q4cen_KDDblmolsAUmhiZ29nk" TargetMode="External"/><Relationship Id="rId708" Type="http://schemas.openxmlformats.org/officeDocument/2006/relationships/hyperlink" Target="https://drive.google.com/open?id=19IoxhpEa1JbkhJAy1u_riC5LXZfPpwJTp-c7P1U6Hes" TargetMode="External"/><Relationship Id="rId707" Type="http://schemas.openxmlformats.org/officeDocument/2006/relationships/hyperlink" Target="https://drive.google.com/open?id=1sR44X4I-J9ncBdtqwgDDzEaKxmnnhtPV" TargetMode="External"/><Relationship Id="rId949" Type="http://schemas.openxmlformats.org/officeDocument/2006/relationships/hyperlink" Target="https://drive.google.com/open?id=1UFNljZWYaW-dLWVP3lTUYon3JYV-LOFx" TargetMode="External"/><Relationship Id="rId706" Type="http://schemas.openxmlformats.org/officeDocument/2006/relationships/hyperlink" Target="https://drive.google.com/open?id=1ez7AyexLOWhILx5t8dyQXYd_RW_N82Xm9kOaXiJD0KQ" TargetMode="External"/><Relationship Id="rId948" Type="http://schemas.openxmlformats.org/officeDocument/2006/relationships/hyperlink" Target="https://drive.google.com/open?id=1UmCVXNiamkSUS5vV285LIQiLpgEXiJE8" TargetMode="External"/><Relationship Id="rId80" Type="http://schemas.openxmlformats.org/officeDocument/2006/relationships/hyperlink" Target="https://docs.google.com/document/d/1H17gw86SdmWkP0AqXVMsOc0t5vSWYHgn/edit" TargetMode="External"/><Relationship Id="rId82" Type="http://schemas.openxmlformats.org/officeDocument/2006/relationships/hyperlink" Target="https://drive.google.com/open?id=1rU5FSiyoLNqB2BYbIashm7K1E_1xOG5T" TargetMode="External"/><Relationship Id="rId81" Type="http://schemas.openxmlformats.org/officeDocument/2006/relationships/hyperlink" Target="https://drive.google.com/open?id=1Bh16WjXasnT6y4TMuYsI0neL05hnSHrd" TargetMode="External"/><Relationship Id="rId701" Type="http://schemas.openxmlformats.org/officeDocument/2006/relationships/hyperlink" Target="https://drive.google.com/open?id=1HuVnFxiOmer36Mmz16z0Q_RgueWa8eSO3h0yNByyNZQ" TargetMode="External"/><Relationship Id="rId943" Type="http://schemas.openxmlformats.org/officeDocument/2006/relationships/hyperlink" Target="https://drive.google.com/open?id=1POK0PNQIEcisDQC7ps16H_QL3vIGR4kquLw0HycPkQQ" TargetMode="External"/><Relationship Id="rId700" Type="http://schemas.openxmlformats.org/officeDocument/2006/relationships/hyperlink" Target="https://drive.google.com/open?id=1TFUHK418b_PcZbMkcTwM6dvu8fjGbQq0Vf4h3aiWt3U" TargetMode="External"/><Relationship Id="rId942" Type="http://schemas.openxmlformats.org/officeDocument/2006/relationships/hyperlink" Target="https://drive.google.com/open?id=1yzuBW1C6AVTwLZ__DFSnEzMcguzYuU-oWxtnH_TD8gU" TargetMode="External"/><Relationship Id="rId941" Type="http://schemas.openxmlformats.org/officeDocument/2006/relationships/hyperlink" Target="https://drive.google.com/open?id=1Oqz43hEilaoNzpoPYiudDrVw0OQdgb7I" TargetMode="External"/><Relationship Id="rId940" Type="http://schemas.openxmlformats.org/officeDocument/2006/relationships/hyperlink" Target="https://drive.google.com/open?id=10yXmUsWJqENeLkj79Kx5uZ4lk6VPXiR5" TargetMode="External"/><Relationship Id="rId705" Type="http://schemas.openxmlformats.org/officeDocument/2006/relationships/hyperlink" Target="https://drive.google.com/open?id=1thZJFNd3eMB8o2va8jVFoAlr0I5XlJL0" TargetMode="External"/><Relationship Id="rId947" Type="http://schemas.openxmlformats.org/officeDocument/2006/relationships/hyperlink" Target="https://drive.google.com/open?id=1y0a0lgJj_9gMZONfiFqnK7CFlSqz0s28" TargetMode="External"/><Relationship Id="rId704" Type="http://schemas.openxmlformats.org/officeDocument/2006/relationships/hyperlink" Target="https://drive.google.com/open?id=16c8GWS1utrkIUD0FM9FDXQt0S7URQ0oy" TargetMode="External"/><Relationship Id="rId946" Type="http://schemas.openxmlformats.org/officeDocument/2006/relationships/hyperlink" Target="https://drive.google.com/open?id=1yO4yM4KH74sGg9l1ZRpRqrtaqdcZ1Zl5" TargetMode="External"/><Relationship Id="rId703" Type="http://schemas.openxmlformats.org/officeDocument/2006/relationships/hyperlink" Target="https://drive.google.com/open?id=1ePiv0Etv1XEBzxNKsgK1qpB7D4vIrqfmCZIoThaebJs" TargetMode="External"/><Relationship Id="rId945" Type="http://schemas.openxmlformats.org/officeDocument/2006/relationships/hyperlink" Target="https://drive.google.com/open?id=1e4YpVhG8a25bsXUCp8KoM2r6b1IRHBzl" TargetMode="External"/><Relationship Id="rId702" Type="http://schemas.openxmlformats.org/officeDocument/2006/relationships/hyperlink" Target="https://drive.google.com/open?id=19QnL5BinTJ-iWAQRwfYdDGJ0n8ZeoJLb_ulvCDwLvrU" TargetMode="External"/><Relationship Id="rId944" Type="http://schemas.openxmlformats.org/officeDocument/2006/relationships/hyperlink" Target="https://drive.google.com/open?id=1TaAriRTCspa0LsoYnr5YJIpJY1mMiJwt" TargetMode="External"/><Relationship Id="rId73" Type="http://schemas.openxmlformats.org/officeDocument/2006/relationships/hyperlink" Target="https://drive.google.com/open?id=19Z4aqsXzFkNJTF99CZJKozIKfouW6xUa" TargetMode="External"/><Relationship Id="rId72" Type="http://schemas.openxmlformats.org/officeDocument/2006/relationships/hyperlink" Target="https://drive.google.com/open?id=1ubCkhJxE1iai3Tl-6L7lTiEzGPlY8LDz" TargetMode="External"/><Relationship Id="rId75" Type="http://schemas.openxmlformats.org/officeDocument/2006/relationships/hyperlink" Target="https://drive.google.com/open?id=1A6Pmgj2WTd-f5v7ME11KvpdcdmRpry-a" TargetMode="External"/><Relationship Id="rId74" Type="http://schemas.openxmlformats.org/officeDocument/2006/relationships/hyperlink" Target="https://drive.google.com/open?id=1NuIAhsIZ0WqfvolayMeLHnQUOdRrcvGG" TargetMode="External"/><Relationship Id="rId77" Type="http://schemas.openxmlformats.org/officeDocument/2006/relationships/hyperlink" Target="https://docs.google.com/document/d/1Kkt_3Z_n1wYIynWDhr-fTwY5zhCm53Lv/edit?usp=drive_link&amp;ouid=117122465010506134151&amp;rtpof=true&amp;sd=true" TargetMode="External"/><Relationship Id="rId76" Type="http://schemas.openxmlformats.org/officeDocument/2006/relationships/hyperlink" Target="https://docs.google.com/document/d/1VPYfcC_rCq8_go_lBR3RUVjPgYRlY8yW/edit?usp=drive_link&amp;ouid=117122465010506134151&amp;rtpof=true&amp;sd=true" TargetMode="External"/><Relationship Id="rId79" Type="http://schemas.openxmlformats.org/officeDocument/2006/relationships/hyperlink" Target="https://drive.google.com/open?id=1O-jrTkJjTHPkRuVWPVjfObbLTM1FklTf" TargetMode="External"/><Relationship Id="rId78" Type="http://schemas.openxmlformats.org/officeDocument/2006/relationships/hyperlink" Target="https://docs.google.com/document/d/13r8Zbf_8jk99BAE54mDQXbQm6bhDV5zJ/edit?usp=drive_web&amp;ouid=117122465010506134151&amp;rtpof=true" TargetMode="External"/><Relationship Id="rId939" Type="http://schemas.openxmlformats.org/officeDocument/2006/relationships/hyperlink" Target="https://drive.google.com/open?id=1N_scEj1Rh58f27Hhw29n5RtaAlEWsr7U" TargetMode="External"/><Relationship Id="rId938" Type="http://schemas.openxmlformats.org/officeDocument/2006/relationships/hyperlink" Target="https://drive.google.com/open?id=1bYmNNL7bSmxg255GCE1gOWTT6zk2as847yqSJVpVV4U" TargetMode="External"/><Relationship Id="rId937" Type="http://schemas.openxmlformats.org/officeDocument/2006/relationships/hyperlink" Target="https://drive.google.com/open?id=1UQZcpZnF5cgeVTrUyn24fnPjb0EmGw-UQPjGPRyAqJs" TargetMode="External"/><Relationship Id="rId71" Type="http://schemas.openxmlformats.org/officeDocument/2006/relationships/hyperlink" Target="https://drive.google.com/open?id=1ZF9gnQ22Sy507fxSZa9mOWB5zsmijvE0" TargetMode="External"/><Relationship Id="rId70" Type="http://schemas.openxmlformats.org/officeDocument/2006/relationships/hyperlink" Target="https://drive.google.com/open?id=16eKfwTo225F-ON0s6cQhEVYica6FpSyq" TargetMode="External"/><Relationship Id="rId932" Type="http://schemas.openxmlformats.org/officeDocument/2006/relationships/hyperlink" Target="https://drive.google.com/open?id=1oVyCTUcrMG6Z_Ojgzz2z5b3G5XxQx7Ax2S-61h3FEJ8" TargetMode="External"/><Relationship Id="rId931" Type="http://schemas.openxmlformats.org/officeDocument/2006/relationships/hyperlink" Target="https://drive.google.com/open?id=1jGQsRQJdBlMui57GZajF1RoQvcur0Fdmx6P4uUj6QtA" TargetMode="External"/><Relationship Id="rId930" Type="http://schemas.openxmlformats.org/officeDocument/2006/relationships/hyperlink" Target="https://drive.google.com/open?id=1Lu_Zy7ZRqeuh2I2TQ_06IRGKQMUPzA0P" TargetMode="External"/><Relationship Id="rId936" Type="http://schemas.openxmlformats.org/officeDocument/2006/relationships/hyperlink" Target="https://drive.google.com/open?id=1OfvblRBrGT_7ejSBavenicXMWJeM3ulkWDSWUZ5n22s" TargetMode="External"/><Relationship Id="rId935" Type="http://schemas.openxmlformats.org/officeDocument/2006/relationships/hyperlink" Target="https://drive.google.com/open?id=1UknQxXL6wCR08NTak2MPn_Cp1IZukbZE" TargetMode="External"/><Relationship Id="rId934" Type="http://schemas.openxmlformats.org/officeDocument/2006/relationships/hyperlink" Target="https://drive.google.com/open?id=1OrtrbQSst4iahiTdzP0fhp1Dck30PwhJ" TargetMode="External"/><Relationship Id="rId933" Type="http://schemas.openxmlformats.org/officeDocument/2006/relationships/hyperlink" Target="https://drive.google.com/open?id=18Sn90-e8vLKpEowrLKsvqkQeKBgclbhC" TargetMode="External"/><Relationship Id="rId62" Type="http://schemas.openxmlformats.org/officeDocument/2006/relationships/hyperlink" Target="https://drive.google.com/open?id=1Dobo2Zs_lcLn9YacVniiwyCi-WdSTe8b" TargetMode="External"/><Relationship Id="rId61" Type="http://schemas.openxmlformats.org/officeDocument/2006/relationships/hyperlink" Target="https://drive.google.com/open?id=1wJUK4Z0UHPH8zNLsuk_uRt9P_MgTOnKw" TargetMode="External"/><Relationship Id="rId64" Type="http://schemas.openxmlformats.org/officeDocument/2006/relationships/hyperlink" Target="https://drive.google.com/open?id=1CTOTa6yACncISJa68605b5jeJHde7UPh" TargetMode="External"/><Relationship Id="rId63" Type="http://schemas.openxmlformats.org/officeDocument/2006/relationships/hyperlink" Target="https://drive.google.com/open?id=1ydib4UtsFy1-dtAHV6tqmvug4fAuV4nq" TargetMode="External"/><Relationship Id="rId66" Type="http://schemas.openxmlformats.org/officeDocument/2006/relationships/hyperlink" Target="https://drive.google.com/open?id=18L90p5AFiKc4upC7ZutFRjX5qSLEYdn7" TargetMode="External"/><Relationship Id="rId65" Type="http://schemas.openxmlformats.org/officeDocument/2006/relationships/hyperlink" Target="https://drive.google.com/open?id=1K9kOC7GKByY9EZS2kqFtYVjMQ6UfHlc5" TargetMode="External"/><Relationship Id="rId68" Type="http://schemas.openxmlformats.org/officeDocument/2006/relationships/hyperlink" Target="https://drive.google.com/open?id=1hetbHvYmN55-yHJoKC1yWmUwXqp978rI" TargetMode="External"/><Relationship Id="rId67" Type="http://schemas.openxmlformats.org/officeDocument/2006/relationships/hyperlink" Target="https://drive.google.com/open?id=1C-eHhc2JEyFrFU7q6_T12Am-rlE4iqEp" TargetMode="External"/><Relationship Id="rId729" Type="http://schemas.openxmlformats.org/officeDocument/2006/relationships/hyperlink" Target="https://drive.google.com/open?id=1A19PweIHe-ltS9bh1OAf9LzxotwX3WiA" TargetMode="External"/><Relationship Id="rId728" Type="http://schemas.openxmlformats.org/officeDocument/2006/relationships/hyperlink" Target="https://drive.google.com/open?id=1K4kxV7Tskuc1l6Rpxqr-GBRWS8hwHgU7D8Ho2PLAHMc" TargetMode="External"/><Relationship Id="rId60" Type="http://schemas.openxmlformats.org/officeDocument/2006/relationships/hyperlink" Target="https://drive.google.com/open?id=14Dk_UOciQGEXLDmYPO9pvMz9hP1F2zAK" TargetMode="External"/><Relationship Id="rId723" Type="http://schemas.openxmlformats.org/officeDocument/2006/relationships/hyperlink" Target="https://drive.google.com/open?id=1n5f8yH6n_oUkSzUAyqokHwZz93aQkltYj3Q46ZWsgvI" TargetMode="External"/><Relationship Id="rId965" Type="http://schemas.openxmlformats.org/officeDocument/2006/relationships/hyperlink" Target="https://drive.google.com/open?id=1Zeu2cBiWsAxmlVyyLM9gpq80iTS8lep-" TargetMode="External"/><Relationship Id="rId722" Type="http://schemas.openxmlformats.org/officeDocument/2006/relationships/hyperlink" Target="https://drive.google.com/open?id=10EG_xtbKnJ6n3AqDNp-kTtkp0OxuvUztJRv-twu21Z4" TargetMode="External"/><Relationship Id="rId964" Type="http://schemas.openxmlformats.org/officeDocument/2006/relationships/hyperlink" Target="https://drive.google.com/open?id=1HQ-97wgduLPuFSFySDuLXkbXfA0iWgQ9" TargetMode="External"/><Relationship Id="rId721" Type="http://schemas.openxmlformats.org/officeDocument/2006/relationships/hyperlink" Target="https://drive.google.com/open?id=1keuMrxneNr9QcoBQxCVZ_ySbb12eLEpp4Bi1TSgoScg" TargetMode="External"/><Relationship Id="rId963" Type="http://schemas.openxmlformats.org/officeDocument/2006/relationships/hyperlink" Target="https://drive.google.com/open?id=1CF_N93n76AsdMF46ddwwqlA-pYIsxwBL" TargetMode="External"/><Relationship Id="rId720" Type="http://schemas.openxmlformats.org/officeDocument/2006/relationships/hyperlink" Target="https://drive.google.com/open?id=1NQPPBmyYZAiwsLFA75RgEDBCFulQ6a2rzdNCAnak22I" TargetMode="External"/><Relationship Id="rId962" Type="http://schemas.openxmlformats.org/officeDocument/2006/relationships/hyperlink" Target="https://drive.google.com/open?id=1a5nnTP2Y6xXBHQfnZGcRxOLvs9tmoLUG" TargetMode="External"/><Relationship Id="rId727" Type="http://schemas.openxmlformats.org/officeDocument/2006/relationships/hyperlink" Target="https://drive.google.com/open?id=1mjBjar_Tv8W39fa762TXWsVrniTPH3VG" TargetMode="External"/><Relationship Id="rId969" Type="http://schemas.openxmlformats.org/officeDocument/2006/relationships/hyperlink" Target="https://drive.google.com/open?id=1Y-J93t6Od0DMO-uTlq9p0ClYG1IrTJeM" TargetMode="External"/><Relationship Id="rId726" Type="http://schemas.openxmlformats.org/officeDocument/2006/relationships/hyperlink" Target="https://drive.google.com/open?id=16tFPMxuSekgM5At6SnANj4z37ND9j_6a32hYhQit6zo" TargetMode="External"/><Relationship Id="rId968" Type="http://schemas.openxmlformats.org/officeDocument/2006/relationships/hyperlink" Target="https://drive.google.com/open?id=1medLDadPiqkOf-kxhYw7Xyk-xhM0RxNoq7gnI6S5u8I" TargetMode="External"/><Relationship Id="rId725" Type="http://schemas.openxmlformats.org/officeDocument/2006/relationships/hyperlink" Target="https://drive.google.com/open?id=1YctZSSIfmv3fCeCgWcxMkaeOygTXGLeM" TargetMode="External"/><Relationship Id="rId967" Type="http://schemas.openxmlformats.org/officeDocument/2006/relationships/hyperlink" Target="https://drive.google.com/open?id=17FPT7xcgawdFpCkujtABOH8XKv6gwyhv2O1laIzKGGs" TargetMode="External"/><Relationship Id="rId724" Type="http://schemas.openxmlformats.org/officeDocument/2006/relationships/hyperlink" Target="https://drive.google.com/open?id=1fBGk4h18sfuP5PgJAgLSa_oeA8CAc7u3" TargetMode="External"/><Relationship Id="rId966" Type="http://schemas.openxmlformats.org/officeDocument/2006/relationships/hyperlink" Target="https://drive.google.com/open?id=1Vyen5zGqtQwcJ4-W1oVVtM-65N_jUrOm" TargetMode="External"/><Relationship Id="rId69" Type="http://schemas.openxmlformats.org/officeDocument/2006/relationships/hyperlink" Target="https://drive.google.com/open?id=1-VuSSAZz_KG968LD-CG6KFxPe94b7Qss" TargetMode="External"/><Relationship Id="rId961" Type="http://schemas.openxmlformats.org/officeDocument/2006/relationships/hyperlink" Target="https://drive.google.com/open?id=1Fk79r0FI-GPRGx70W2ZQmpzRTaWw5B8j" TargetMode="External"/><Relationship Id="rId960" Type="http://schemas.openxmlformats.org/officeDocument/2006/relationships/hyperlink" Target="https://drive.google.com/open?id=1JTOyFYfY0cYsGykaZkZtbMhwIrhir1Sh" TargetMode="External"/><Relationship Id="rId51" Type="http://schemas.openxmlformats.org/officeDocument/2006/relationships/hyperlink" Target="https://drive.google.com/open?id=1pJ8dAW2wvLar-CEsk1xKN69pDVl0uV4K" TargetMode="External"/><Relationship Id="rId50" Type="http://schemas.openxmlformats.org/officeDocument/2006/relationships/hyperlink" Target="https://docs.google.com/document/d/1jD8H1_2zdW8irTwP441-R-LRM5d6shZV/edit?usp=drive_link&amp;ouid=117122465010506134151&amp;rtpof=true&amp;sd=true" TargetMode="External"/><Relationship Id="rId53" Type="http://schemas.openxmlformats.org/officeDocument/2006/relationships/hyperlink" Target="https://drive.google.com/open?id=1AJscQ5nm3ni23yD6I78zRuX00HK_rs-8" TargetMode="External"/><Relationship Id="rId52" Type="http://schemas.openxmlformats.org/officeDocument/2006/relationships/hyperlink" Target="https://drive.google.com/open?id=189TXpa3pPo0mNVfA2UZkiMxfXG3Sm8-O" TargetMode="External"/><Relationship Id="rId55" Type="http://schemas.openxmlformats.org/officeDocument/2006/relationships/hyperlink" Target="https://drive.google.com/open?id=1__WLabtwREyLNI8SsMj0VditowCE1Tg6" TargetMode="External"/><Relationship Id="rId54" Type="http://schemas.openxmlformats.org/officeDocument/2006/relationships/hyperlink" Target="https://drive.google.com/open?id=1kXpAmvrmIKwEHXU2A3wocVtyKJ0onczQ" TargetMode="External"/><Relationship Id="rId57" Type="http://schemas.openxmlformats.org/officeDocument/2006/relationships/hyperlink" Target="https://drive.google.com/open?id=1dcKpMAxEC34Abxg8bHFU9OSas-_Q93mf" TargetMode="External"/><Relationship Id="rId56" Type="http://schemas.openxmlformats.org/officeDocument/2006/relationships/hyperlink" Target="https://drive.google.com/open?id=1dAMeMnxBS_hj-ujumPptLJdN9d9HWjcb" TargetMode="External"/><Relationship Id="rId719" Type="http://schemas.openxmlformats.org/officeDocument/2006/relationships/hyperlink" Target="https://drive.google.com/open?id=1Ql-G1Ugl1DufFPxCI-wvbxXEUzt288YWYgMxb9MHppg" TargetMode="External"/><Relationship Id="rId718" Type="http://schemas.openxmlformats.org/officeDocument/2006/relationships/hyperlink" Target="https://drive.google.com/open?id=1LDvIHGT9ruVY6t6cJ1vIN0xDktWRtW0T" TargetMode="External"/><Relationship Id="rId717" Type="http://schemas.openxmlformats.org/officeDocument/2006/relationships/hyperlink" Target="https://drive.google.com/open?id=16jvJL1vHVaTZfdy8vYIjT0OlxWjd9Miv" TargetMode="External"/><Relationship Id="rId959" Type="http://schemas.openxmlformats.org/officeDocument/2006/relationships/hyperlink" Target="https://drive.google.com/open?id=14mMZz8L_Pv-m5XZGBNK28JhuYtJtJBfjILJtujXqNhA" TargetMode="External"/><Relationship Id="rId712" Type="http://schemas.openxmlformats.org/officeDocument/2006/relationships/hyperlink" Target="https://drive.google.com/open?id=1QFFFiGLI8K2e1kryadP-JmHuP-WO6Hi5" TargetMode="External"/><Relationship Id="rId954" Type="http://schemas.openxmlformats.org/officeDocument/2006/relationships/hyperlink" Target="https://drive.google.com/open?id=1c8UVqdTUU6qPNwS8L2mEs2gpg-CPJwvO" TargetMode="External"/><Relationship Id="rId711" Type="http://schemas.openxmlformats.org/officeDocument/2006/relationships/hyperlink" Target="https://drive.google.com/open?id=1mmlwDHEVndmd5MLmXalewBmhDqhC2W5L" TargetMode="External"/><Relationship Id="rId953" Type="http://schemas.openxmlformats.org/officeDocument/2006/relationships/hyperlink" Target="https://drive.google.com/open?id=1eLO82Xzz9bCu5u7gLSB8hBcAQPB7Pin7" TargetMode="External"/><Relationship Id="rId710" Type="http://schemas.openxmlformats.org/officeDocument/2006/relationships/hyperlink" Target="https://drive.google.com/open?id=1uFQdGVBKWPBBp4THYT_Fft2EMoL5XkI0" TargetMode="External"/><Relationship Id="rId952" Type="http://schemas.openxmlformats.org/officeDocument/2006/relationships/hyperlink" Target="https://drive.google.com/open?id=1UylD6bRYqiwDz0mOLskvOegjcFLi84rf" TargetMode="External"/><Relationship Id="rId951" Type="http://schemas.openxmlformats.org/officeDocument/2006/relationships/hyperlink" Target="https://drive.google.com/open?id=1v7DD2zvS2FjZoioqgkqD5KScdgMGsw2Q" TargetMode="External"/><Relationship Id="rId716" Type="http://schemas.openxmlformats.org/officeDocument/2006/relationships/hyperlink" Target="https://drive.google.com/open?id=16XxulU7NImY8epFvLJhY1KAIS98lFRUH" TargetMode="External"/><Relationship Id="rId958" Type="http://schemas.openxmlformats.org/officeDocument/2006/relationships/hyperlink" Target="https://drive.google.com/open?id=1n8XwdIOzvmX5VSlb7bB-AL5hDmiWeN2GsTPBBfJBIWM" TargetMode="External"/><Relationship Id="rId715" Type="http://schemas.openxmlformats.org/officeDocument/2006/relationships/hyperlink" Target="https://drive.google.com/open?id=1XzqHU6LcvgyQavZkDmtpPuk9M28aahCC" TargetMode="External"/><Relationship Id="rId957" Type="http://schemas.openxmlformats.org/officeDocument/2006/relationships/hyperlink" Target="https://drive.google.com/open?id=1NhS9cgmn9_RjEhaZWDoROTwJIXbCBG8c" TargetMode="External"/><Relationship Id="rId714" Type="http://schemas.openxmlformats.org/officeDocument/2006/relationships/hyperlink" Target="https://drive.google.com/open?id=1F681SaoEUr7wJHCEtqU0IsGtKutZC54V" TargetMode="External"/><Relationship Id="rId956" Type="http://schemas.openxmlformats.org/officeDocument/2006/relationships/hyperlink" Target="https://drive.google.com/open?id=1CsdXUWq1Ds-03qCUjklK7OcRxnd4CiOp" TargetMode="External"/><Relationship Id="rId713" Type="http://schemas.openxmlformats.org/officeDocument/2006/relationships/hyperlink" Target="https://drive.google.com/open?id=17oxZJZQZSjG713iMxde3d7r40Rh39DGI" TargetMode="External"/><Relationship Id="rId955" Type="http://schemas.openxmlformats.org/officeDocument/2006/relationships/hyperlink" Target="https://drive.google.com/open?id=12kqL7Jb9ocA59lPSmI7_HS5iAqKVedlW" TargetMode="External"/><Relationship Id="rId59" Type="http://schemas.openxmlformats.org/officeDocument/2006/relationships/hyperlink" Target="https://drive.google.com/open?id=1gnzxm-5WbrhZENs9Da2QaLW0FGadimcB" TargetMode="External"/><Relationship Id="rId58" Type="http://schemas.openxmlformats.org/officeDocument/2006/relationships/hyperlink" Target="https://drive.google.com/open?id=1-NxnkksGkHl3KHMbk4743Vx4x1kHH44n" TargetMode="External"/><Relationship Id="rId950" Type="http://schemas.openxmlformats.org/officeDocument/2006/relationships/hyperlink" Target="https://drive.google.com/open?id=158T_PouKwsI6yNzufYN8QEXoxBcH28jb" TargetMode="External"/><Relationship Id="rId590" Type="http://schemas.openxmlformats.org/officeDocument/2006/relationships/hyperlink" Target="https://drive.google.com/open?id=1m0_AJ_ka5FhZCfemfj73yIgPqCcaOYka" TargetMode="External"/><Relationship Id="rId107" Type="http://schemas.openxmlformats.org/officeDocument/2006/relationships/hyperlink" Target="https://drive.google.com/open?id=1nHvEtwO7qgTGX4k8iwxCjvoxFPfcmvzx" TargetMode="External"/><Relationship Id="rId349" Type="http://schemas.openxmlformats.org/officeDocument/2006/relationships/hyperlink" Target="https://drive.google.com/open?id=1FqdcSlzs92PvCGWv9jftYxKXb0mZNSP1" TargetMode="External"/><Relationship Id="rId106" Type="http://schemas.openxmlformats.org/officeDocument/2006/relationships/hyperlink" Target="https://drive.google.com/open?id=1lgliwNu_DkDwTCoPSDn3wT7bkRFXTzxz" TargetMode="External"/><Relationship Id="rId348" Type="http://schemas.openxmlformats.org/officeDocument/2006/relationships/hyperlink" Target="https://drive.google.com/open?id=1KnI_AITGzMB7K7fD5b1D6ihgcKd2HFcY" TargetMode="External"/><Relationship Id="rId105" Type="http://schemas.openxmlformats.org/officeDocument/2006/relationships/hyperlink" Target="https://drive.google.com/open?id=1HGG9WXpilL888EoLqp-mWcMvBFNV2LR4" TargetMode="External"/><Relationship Id="rId347" Type="http://schemas.openxmlformats.org/officeDocument/2006/relationships/hyperlink" Target="https://drive.google.com/open?id=1rgoOJy7pVRaZ7J8VATxW0s5JKcxYaJ5n" TargetMode="External"/><Relationship Id="rId589" Type="http://schemas.openxmlformats.org/officeDocument/2006/relationships/hyperlink" Target="https://drive.google.com/open?id=1UHh_VSfU8j_jlgqrKVRgn_MbR5H_WdfY" TargetMode="External"/><Relationship Id="rId104" Type="http://schemas.openxmlformats.org/officeDocument/2006/relationships/hyperlink" Target="https://drive.google.com/open?id=1KFhXwXpPD9AWjFvoNHKN0KP6PcChOMq4" TargetMode="External"/><Relationship Id="rId346" Type="http://schemas.openxmlformats.org/officeDocument/2006/relationships/hyperlink" Target="https://drive.google.com/open?id=1FcKFSyXiLJ90M5FRa2QI7IJSJ_lK-urg" TargetMode="External"/><Relationship Id="rId588" Type="http://schemas.openxmlformats.org/officeDocument/2006/relationships/hyperlink" Target="https://drive.google.com/open?id=1jmusgh5_ilTTGZneIIMYuBb9isE0kFnH" TargetMode="External"/><Relationship Id="rId109" Type="http://schemas.openxmlformats.org/officeDocument/2006/relationships/hyperlink" Target="https://drive.google.com/open?id=11_sVNMsLVXLfuly7KPEUpm2Z-5Z8Qdwt" TargetMode="External"/><Relationship Id="rId108" Type="http://schemas.openxmlformats.org/officeDocument/2006/relationships/hyperlink" Target="https://drive.google.com/open?id=1pfGJ-RzkIV8jWpr1910c0v2P0L1c9TVg" TargetMode="External"/><Relationship Id="rId341" Type="http://schemas.openxmlformats.org/officeDocument/2006/relationships/hyperlink" Target="https://drive.google.com/open?id=1G5BZOT-IGJHK--PASd_eGs4ZIR4_Ij6d" TargetMode="External"/><Relationship Id="rId583" Type="http://schemas.openxmlformats.org/officeDocument/2006/relationships/hyperlink" Target="https://drive.google.com/open?id=1JbM8S2XPshFK6ELxGcQLwvt_ER8YjTxohci1Vyh6UBQ" TargetMode="External"/><Relationship Id="rId340" Type="http://schemas.openxmlformats.org/officeDocument/2006/relationships/hyperlink" Target="https://drive.google.com/open?id=1KubbSS51bMJtdAigoMsTcYndW0TJGfGy" TargetMode="External"/><Relationship Id="rId582" Type="http://schemas.openxmlformats.org/officeDocument/2006/relationships/hyperlink" Target="https://drive.google.com/open?id=19HN8d9xJGJOkLQGb-e3qlHfXZauOg9tCZarb32-b9Rc" TargetMode="External"/><Relationship Id="rId581" Type="http://schemas.openxmlformats.org/officeDocument/2006/relationships/hyperlink" Target="https://drive.google.com/open?id=1gMavQCWe48-FAl-ZA29rwJ1r5tGjZFLwJUzTUXvCTbg" TargetMode="External"/><Relationship Id="rId580" Type="http://schemas.openxmlformats.org/officeDocument/2006/relationships/hyperlink" Target="https://drive.google.com/open?id=1JMtldgcE2MtQAaHz-6INmEOr4Iy3VlCWunIQ0XPkS6w" TargetMode="External"/><Relationship Id="rId103" Type="http://schemas.openxmlformats.org/officeDocument/2006/relationships/hyperlink" Target="https://drive.google.com/open?id=1o8EFoMPLaDXYXQayfZCSvql00rRyfgqE" TargetMode="External"/><Relationship Id="rId345" Type="http://schemas.openxmlformats.org/officeDocument/2006/relationships/hyperlink" Target="https://drive.google.com/open?id=1AcWMg7iuRdYvFtLFnLwxIBAvaEsZjTQX" TargetMode="External"/><Relationship Id="rId587" Type="http://schemas.openxmlformats.org/officeDocument/2006/relationships/hyperlink" Target="https://drive.google.com/open?id=1VQvRF2pAodDaoKnhEBFkXsvi5WDcybff" TargetMode="External"/><Relationship Id="rId102" Type="http://schemas.openxmlformats.org/officeDocument/2006/relationships/hyperlink" Target="https://drive.google.com/open?id=1ns2YtbbOJyreAUER_MSBz-YGsv2IgZYw" TargetMode="External"/><Relationship Id="rId344" Type="http://schemas.openxmlformats.org/officeDocument/2006/relationships/hyperlink" Target="https://drive.google.com/open?id=13C_NdcCSkU4Cq4GWHViT1E0V4hNC_Otq" TargetMode="External"/><Relationship Id="rId586" Type="http://schemas.openxmlformats.org/officeDocument/2006/relationships/hyperlink" Target="https://drive.google.com/open?id=1nj6wmzJyzCQonf6ZdsPDicTvgEJSzwc0" TargetMode="External"/><Relationship Id="rId101" Type="http://schemas.openxmlformats.org/officeDocument/2006/relationships/hyperlink" Target="https://drive.google.com/open?id=1HNfsmY8nusCBntaHFo4hIDU6d90fxrGU" TargetMode="External"/><Relationship Id="rId343" Type="http://schemas.openxmlformats.org/officeDocument/2006/relationships/hyperlink" Target="https://drive.google.com/open?id=1i9qFL2vA6QtBI731WLB-bKskIsdf04Z4" TargetMode="External"/><Relationship Id="rId585" Type="http://schemas.openxmlformats.org/officeDocument/2006/relationships/hyperlink" Target="https://drive.google.com/open?id=1WaFaQg6gTp36c14C72hoKlqzxlwD7zLE" TargetMode="External"/><Relationship Id="rId100" Type="http://schemas.openxmlformats.org/officeDocument/2006/relationships/hyperlink" Target="https://drive.google.com/open?id=1HS5XShqP0r3ViM7NY_5OzYW6UCOS_kOtAI3hfSzAtdw" TargetMode="External"/><Relationship Id="rId342" Type="http://schemas.openxmlformats.org/officeDocument/2006/relationships/hyperlink" Target="https://drive.google.com/open?id=1iRHoG6RjIXvuDV6eRAd34Hsq0PKBPFTg" TargetMode="External"/><Relationship Id="rId584" Type="http://schemas.openxmlformats.org/officeDocument/2006/relationships/hyperlink" Target="https://drive.google.com/open?id=1JfM4qvyedKhy36KyHdVLq2VWCmTUl2Uzf-fmwWS2dzQ" TargetMode="External"/><Relationship Id="rId338" Type="http://schemas.openxmlformats.org/officeDocument/2006/relationships/hyperlink" Target="https://drive.google.com/open?id=1OQvu7UURV-Vidgh3v6EYK9t_F4k2FJEA" TargetMode="External"/><Relationship Id="rId337" Type="http://schemas.openxmlformats.org/officeDocument/2006/relationships/hyperlink" Target="https://drive.google.com/open?id=1T7mXoNb61x1foYh9nhmyNw-itQUUGJ_X" TargetMode="External"/><Relationship Id="rId579" Type="http://schemas.openxmlformats.org/officeDocument/2006/relationships/hyperlink" Target="https://drive.google.com/open?id=1-iCno8jIDrD8IzJ-JE5P4UN9xlGpSOPaMtGNEbnfRuA" TargetMode="External"/><Relationship Id="rId336" Type="http://schemas.openxmlformats.org/officeDocument/2006/relationships/hyperlink" Target="https://drive.google.com/open?id=1l4VGGojUkPLs9967EabVmvAwr06txFxo" TargetMode="External"/><Relationship Id="rId578" Type="http://schemas.openxmlformats.org/officeDocument/2006/relationships/hyperlink" Target="https://drive.google.com/open?id=1myLjHTYSMhEuJE6UB_joPzQFHWbcbPu-" TargetMode="External"/><Relationship Id="rId335" Type="http://schemas.openxmlformats.org/officeDocument/2006/relationships/hyperlink" Target="https://drive.google.com/open?id=1NkZ-Et4OsBAO2DFhLbrLrfW277yLtMpL" TargetMode="External"/><Relationship Id="rId577" Type="http://schemas.openxmlformats.org/officeDocument/2006/relationships/hyperlink" Target="https://drive.google.com/open?id=1SIcbR0KOBfJ4q7EdJ_i6tqCE0einmop5gaKaZL7YFS8" TargetMode="External"/><Relationship Id="rId339" Type="http://schemas.openxmlformats.org/officeDocument/2006/relationships/hyperlink" Target="https://drive.google.com/open?id=1K_QgJK08s5Srf2au6KBmzSRxW5ESJT4l" TargetMode="External"/><Relationship Id="rId330" Type="http://schemas.openxmlformats.org/officeDocument/2006/relationships/hyperlink" Target="https://drive.google.com/open?id=1KzYr9JNgtknu1k-JDwr4cIdij37Tpvp0" TargetMode="External"/><Relationship Id="rId572" Type="http://schemas.openxmlformats.org/officeDocument/2006/relationships/hyperlink" Target="https://drive.google.com/open?id=1csyGv3jB9Ym9diZUZ9nnUwCiunI7XAkgcjrXHUESqpE" TargetMode="External"/><Relationship Id="rId571" Type="http://schemas.openxmlformats.org/officeDocument/2006/relationships/hyperlink" Target="https://drive.google.com/open?id=1Bfm2yOS9zeuJT9pbaI9tDf_4zYX1WW2W" TargetMode="External"/><Relationship Id="rId570" Type="http://schemas.openxmlformats.org/officeDocument/2006/relationships/hyperlink" Target="https://drive.google.com/open?id=1UeLs8VSrVD_50CaVt0JUxg5RiGQxlSD0fGydk8olXLw" TargetMode="External"/><Relationship Id="rId334" Type="http://schemas.openxmlformats.org/officeDocument/2006/relationships/hyperlink" Target="https://drive.google.com/open?id=1sXGco1LxaYBdde96OX_df6-rKRlzJ8sH" TargetMode="External"/><Relationship Id="rId576" Type="http://schemas.openxmlformats.org/officeDocument/2006/relationships/hyperlink" Target="https://drive.google.com/open?id=1kfmXUGCFp3R3Rx0heKIhA7gqE6pPrQdA" TargetMode="External"/><Relationship Id="rId333" Type="http://schemas.openxmlformats.org/officeDocument/2006/relationships/hyperlink" Target="https://drive.google.com/open?id=1F3A2eL9DY89jEHL5Nh1m9tYnXGh7g5ka" TargetMode="External"/><Relationship Id="rId575" Type="http://schemas.openxmlformats.org/officeDocument/2006/relationships/hyperlink" Target="https://drive.google.com/open?id=1R-j5jUIMjZusWU3tmca9wX0qHWcrPJVgSuRgEBvNJ0U" TargetMode="External"/><Relationship Id="rId332" Type="http://schemas.openxmlformats.org/officeDocument/2006/relationships/hyperlink" Target="https://drive.google.com/open?id=1znNyayXyH788Ot0tRwYQAPVNM5brj1ur" TargetMode="External"/><Relationship Id="rId574" Type="http://schemas.openxmlformats.org/officeDocument/2006/relationships/hyperlink" Target="https://drive.google.com/open?id=1ES1MLuO-C3SgskZteq_zJfpAaV1YgUCS" TargetMode="External"/><Relationship Id="rId331" Type="http://schemas.openxmlformats.org/officeDocument/2006/relationships/hyperlink" Target="https://drive.google.com/open?id=1t7vGePKLrR1-pWYetQ7a-cSMD9s7RwvI" TargetMode="External"/><Relationship Id="rId573" Type="http://schemas.openxmlformats.org/officeDocument/2006/relationships/hyperlink" Target="https://drive.google.com/open?id=1pDg6b5uA6c6G1PabKHqXVAfEy8nY9_fp" TargetMode="External"/><Relationship Id="rId370" Type="http://schemas.openxmlformats.org/officeDocument/2006/relationships/hyperlink" Target="https://drive.google.com/open?id=1Ax9woOwW-iBjf1vpo8Y3sGUQi3UA0YvO" TargetMode="External"/><Relationship Id="rId129" Type="http://schemas.openxmlformats.org/officeDocument/2006/relationships/hyperlink" Target="https://drive.google.com/open?id=1h-nV5eX6kblc6Cj7L2gUd824gemcpSsW" TargetMode="External"/><Relationship Id="rId128" Type="http://schemas.openxmlformats.org/officeDocument/2006/relationships/hyperlink" Target="https://drive.google.com/open?id=1sriZAgkpS-Jo825Fu2WUIT37wXpGhBsY" TargetMode="External"/><Relationship Id="rId127" Type="http://schemas.openxmlformats.org/officeDocument/2006/relationships/hyperlink" Target="https://drive.google.com/open?id=1fHd8ESr_GA0708aRHwMPS0KgnmRP0c4g" TargetMode="External"/><Relationship Id="rId369" Type="http://schemas.openxmlformats.org/officeDocument/2006/relationships/hyperlink" Target="https://drive.google.com/open?id=1N-qVbIduScVRcla4rrIE-GXon_am-rfp" TargetMode="External"/><Relationship Id="rId126" Type="http://schemas.openxmlformats.org/officeDocument/2006/relationships/hyperlink" Target="https://drive.google.com/open?id=1m74eOyMQEFHVtHZRUajDIOX_6_0uujwN" TargetMode="External"/><Relationship Id="rId368" Type="http://schemas.openxmlformats.org/officeDocument/2006/relationships/hyperlink" Target="https://drive.google.com/open?id=181_DY4_b-IpoDQ8jQtHjBdxSyztv0ZZW" TargetMode="External"/><Relationship Id="rId121" Type="http://schemas.openxmlformats.org/officeDocument/2006/relationships/hyperlink" Target="https://drive.google.com/open?id=1VjppDLZGyaV3WxzZBbodubZuVqmRP4Do" TargetMode="External"/><Relationship Id="rId363" Type="http://schemas.openxmlformats.org/officeDocument/2006/relationships/hyperlink" Target="https://drive.google.com/open?id=19w9sqs77KEdyDJNPn9TNbyUOxCZwlpzC" TargetMode="External"/><Relationship Id="rId120" Type="http://schemas.openxmlformats.org/officeDocument/2006/relationships/hyperlink" Target="https://drive.google.com/open?id=1J34zeyDiFzj_NJf6nhMjn-VJZRcD5cgZ" TargetMode="External"/><Relationship Id="rId362" Type="http://schemas.openxmlformats.org/officeDocument/2006/relationships/hyperlink" Target="https://drive.google.com/open?id=1f6AwixGaN3W8eov0rluxYbVx0OSWdpOR" TargetMode="External"/><Relationship Id="rId361" Type="http://schemas.openxmlformats.org/officeDocument/2006/relationships/hyperlink" Target="https://drive.google.com/open?id=1wvDsQ5a8ISLw_V0BB2RpqI6x9xAqTJgBCVyu68F40q0" TargetMode="External"/><Relationship Id="rId360" Type="http://schemas.openxmlformats.org/officeDocument/2006/relationships/hyperlink" Target="https://drive.google.com/open?id=1sMwz9TYJgDMqXasARD-8gxF7PFEuIAZA" TargetMode="External"/><Relationship Id="rId125" Type="http://schemas.openxmlformats.org/officeDocument/2006/relationships/hyperlink" Target="https://drive.google.com/open?id=1sncYxqQEqDaNZyd6kbB4hrAUCzVJrsa7" TargetMode="External"/><Relationship Id="rId367" Type="http://schemas.openxmlformats.org/officeDocument/2006/relationships/hyperlink" Target="https://drive.google.com/open?id=1vvCV2smEMNoJeG3eRdeGnXAucQDBuK-3" TargetMode="External"/><Relationship Id="rId124" Type="http://schemas.openxmlformats.org/officeDocument/2006/relationships/hyperlink" Target="https://drive.google.com/open?id=1tJi5qntb5jqbIFqMp7SCpHoi5uXuPWBc" TargetMode="External"/><Relationship Id="rId366" Type="http://schemas.openxmlformats.org/officeDocument/2006/relationships/hyperlink" Target="https://drive.google.com/open?id=1-iJXkVn2diVcTqSxuzZ-9HYC1wo2zTOx" TargetMode="External"/><Relationship Id="rId123" Type="http://schemas.openxmlformats.org/officeDocument/2006/relationships/hyperlink" Target="https://drive.google.com/open?id=1es3OoYKVAlj5tLPXgcOC8Bo6ioM0JV82" TargetMode="External"/><Relationship Id="rId365" Type="http://schemas.openxmlformats.org/officeDocument/2006/relationships/hyperlink" Target="https://drive.google.com/open?id=111v1kK0I-CrqLff2TNEZryT6UW3xt-lq" TargetMode="External"/><Relationship Id="rId122" Type="http://schemas.openxmlformats.org/officeDocument/2006/relationships/hyperlink" Target="https://drive.google.com/open?id=11jtIA617Sw5GZbL-UTcVx7EqDNhI-_8n" TargetMode="External"/><Relationship Id="rId364" Type="http://schemas.openxmlformats.org/officeDocument/2006/relationships/hyperlink" Target="https://drive.google.com/open?id=1Uo0s6uig252T0i1MgOoWT1wYVFavwov9" TargetMode="External"/><Relationship Id="rId95" Type="http://schemas.openxmlformats.org/officeDocument/2006/relationships/hyperlink" Target="https://drive.google.com/open?id=106iWGI1kwp9NkrXE4s_Lap1nCFOZdzksd4P4U-kiWe8" TargetMode="External"/><Relationship Id="rId94" Type="http://schemas.openxmlformats.org/officeDocument/2006/relationships/hyperlink" Target="https://drive.google.com/open?id=1Iyt_XWIyHKQPrqdxx6AmILw69ezH1y7y" TargetMode="External"/><Relationship Id="rId97" Type="http://schemas.openxmlformats.org/officeDocument/2006/relationships/hyperlink" Target="https://drive.google.com/open?id=1fsq4K0eNzheiZ4eLjQfDjipWrcXsVXA5" TargetMode="External"/><Relationship Id="rId96" Type="http://schemas.openxmlformats.org/officeDocument/2006/relationships/hyperlink" Target="https://drive.google.com/open?id=10x6JBoP5t-Tc_PlJqhQQ2USKdyqjKebWbMRmnJfh-r0" TargetMode="External"/><Relationship Id="rId99" Type="http://schemas.openxmlformats.org/officeDocument/2006/relationships/hyperlink" Target="https://drive.google.com/open?id=1iSgu2w_P0yKP4zYXTSvmYFi74foYYn5c" TargetMode="External"/><Relationship Id="rId98" Type="http://schemas.openxmlformats.org/officeDocument/2006/relationships/hyperlink" Target="https://drive.google.com/open?id=13YecQ9mnmWy7-NSaMVdOLwQI54xtvM0C" TargetMode="External"/><Relationship Id="rId91" Type="http://schemas.openxmlformats.org/officeDocument/2006/relationships/hyperlink" Target="https://drive.google.com/open?id=1I4k_Ue_B1vN0gmtwU9DqVyFtoBLvGFJY" TargetMode="External"/><Relationship Id="rId90" Type="http://schemas.openxmlformats.org/officeDocument/2006/relationships/hyperlink" Target="https://drive.google.com/open?id=1sEs4-krnPuP_m6XusixxkPIpN8BvCT45" TargetMode="External"/><Relationship Id="rId93" Type="http://schemas.openxmlformats.org/officeDocument/2006/relationships/hyperlink" Target="https://drive.google.com/open?id=15oe2SkAtJPxJTQVVRNGJUjzj1dLAT1jk" TargetMode="External"/><Relationship Id="rId92" Type="http://schemas.openxmlformats.org/officeDocument/2006/relationships/hyperlink" Target="https://drive.google.com/open?id=1bUJZp5xJHrzTUgbuzYuD9fsVaioazrjH" TargetMode="External"/><Relationship Id="rId118" Type="http://schemas.openxmlformats.org/officeDocument/2006/relationships/hyperlink" Target="https://drive.google.com/open?id=1kGSPtzr8t7cSB6RC4V5kAM91WiutqjBT" TargetMode="External"/><Relationship Id="rId117" Type="http://schemas.openxmlformats.org/officeDocument/2006/relationships/hyperlink" Target="https://drive.google.com/open?id=1doKo4nrIPdwwCoddL2NE6HnU5Uv0E7z3" TargetMode="External"/><Relationship Id="rId359" Type="http://schemas.openxmlformats.org/officeDocument/2006/relationships/hyperlink" Target="https://drive.google.com/open?id=1-uVavsFooO1qZFQjFjIPWSkijQgTo0nb" TargetMode="External"/><Relationship Id="rId116" Type="http://schemas.openxmlformats.org/officeDocument/2006/relationships/hyperlink" Target="https://drive.google.com/open?id=1oV81VlGI-RzB36Yz2ty0IreqaOmUbBW3" TargetMode="External"/><Relationship Id="rId358" Type="http://schemas.openxmlformats.org/officeDocument/2006/relationships/hyperlink" Target="https://drive.google.com/open?id=1Y7sAqo3eXE2Sa4_0VeCtveWRPy_NPpPn" TargetMode="External"/><Relationship Id="rId115" Type="http://schemas.openxmlformats.org/officeDocument/2006/relationships/hyperlink" Target="https://drive.google.com/open?id=1WDmH039tU-WuEwPwuYNPzHXIoCmuFdJc" TargetMode="External"/><Relationship Id="rId357" Type="http://schemas.openxmlformats.org/officeDocument/2006/relationships/hyperlink" Target="https://drive.google.com/open?id=1J7rFlIeZDqhNdNNuO5KONmDyvKCGXPwP" TargetMode="External"/><Relationship Id="rId599" Type="http://schemas.openxmlformats.org/officeDocument/2006/relationships/hyperlink" Target="https://drive.google.com/open?id=1TLLRvBNiqm2Z5rLWyT2Km2Ms_iT8DQ7j" TargetMode="External"/><Relationship Id="rId119" Type="http://schemas.openxmlformats.org/officeDocument/2006/relationships/hyperlink" Target="https://drive.google.com/open?id=1I3bgwYp0ObX2ibU_KzVeTr74c2GqBekG" TargetMode="External"/><Relationship Id="rId110" Type="http://schemas.openxmlformats.org/officeDocument/2006/relationships/hyperlink" Target="https://drive.google.com/open?id=1yBi7ylRGYnl20fRBdN1yj33AfLL3fUc9" TargetMode="External"/><Relationship Id="rId352" Type="http://schemas.openxmlformats.org/officeDocument/2006/relationships/hyperlink" Target="https://drive.google.com/open?id=1JcDBbMy0vNFI6NrGMhYA5XYsdm2hJmct" TargetMode="External"/><Relationship Id="rId594" Type="http://schemas.openxmlformats.org/officeDocument/2006/relationships/hyperlink" Target="https://drive.google.com/open?id=1GkTi7ESDyMsm-4vwTQgErQrupCDyV1Jz7tRVgAs918U" TargetMode="External"/><Relationship Id="rId351" Type="http://schemas.openxmlformats.org/officeDocument/2006/relationships/hyperlink" Target="https://drive.google.com/open?id=1uGf9frUBOKdRbltgbyxq4taLTrIgCRXz" TargetMode="External"/><Relationship Id="rId593" Type="http://schemas.openxmlformats.org/officeDocument/2006/relationships/hyperlink" Target="https://drive.google.com/open?id=1uUem67rra_EdZESRoXxpVtqPYLoIBvD9Y9Zl_V9KVu8" TargetMode="External"/><Relationship Id="rId350" Type="http://schemas.openxmlformats.org/officeDocument/2006/relationships/hyperlink" Target="https://drive.google.com/open?id=1P_hU_6O5eWxS4Hm_pX5uBJo__eyGBVtP" TargetMode="External"/><Relationship Id="rId592" Type="http://schemas.openxmlformats.org/officeDocument/2006/relationships/hyperlink" Target="https://drive.google.com/open?id=1xH2x4u2DlpmUaxjxZXkHCVy6-G5dU07b" TargetMode="External"/><Relationship Id="rId591" Type="http://schemas.openxmlformats.org/officeDocument/2006/relationships/hyperlink" Target="https://drive.google.com/open?id=1RjtofLx2WwR_UHLEv5LX4Jt65lNoI3sx" TargetMode="External"/><Relationship Id="rId114" Type="http://schemas.openxmlformats.org/officeDocument/2006/relationships/hyperlink" Target="https://drive.google.com/open?id=1osfKJTVeNekXLi320hwwXj6avqVD0sDI" TargetMode="External"/><Relationship Id="rId356" Type="http://schemas.openxmlformats.org/officeDocument/2006/relationships/hyperlink" Target="https://drive.google.com/open?id=1VKOzcljp7Z6lrHA2Pm6z_RJ4OsulYAmz" TargetMode="External"/><Relationship Id="rId598" Type="http://schemas.openxmlformats.org/officeDocument/2006/relationships/hyperlink" Target="https://drive.google.com/open?id=14PbIXPs6MZMmpQeN3PAKvrmj8dZF4uua" TargetMode="External"/><Relationship Id="rId113" Type="http://schemas.openxmlformats.org/officeDocument/2006/relationships/hyperlink" Target="https://drive.google.com/open?id=19zU4n52kLeSzwrXTxg7jsVYKNybQhKCK" TargetMode="External"/><Relationship Id="rId355" Type="http://schemas.openxmlformats.org/officeDocument/2006/relationships/hyperlink" Target="https://drive.google.com/open?id=18MemRO9bqhnKyzzXhbmXiSEa052tPFHx" TargetMode="External"/><Relationship Id="rId597" Type="http://schemas.openxmlformats.org/officeDocument/2006/relationships/hyperlink" Target="https://drive.google.com/open?id=1jEqb6_z780Eu9JK0XuAPj8DJnsGqxkTh" TargetMode="External"/><Relationship Id="rId112" Type="http://schemas.openxmlformats.org/officeDocument/2006/relationships/hyperlink" Target="https://drive.google.com/open?id=1-lX5x7ZsAkaX9fP7x7V7M_kbq0yQRAtb" TargetMode="External"/><Relationship Id="rId354" Type="http://schemas.openxmlformats.org/officeDocument/2006/relationships/hyperlink" Target="https://drive.google.com/open?id=1KMURoEIE8d22kC1ckgPB3X97DQn2DaSy" TargetMode="External"/><Relationship Id="rId596" Type="http://schemas.openxmlformats.org/officeDocument/2006/relationships/hyperlink" Target="https://drive.google.com/open?id=174C_v--FDyN5j6VdexrUobXuXI89mAsz" TargetMode="External"/><Relationship Id="rId111" Type="http://schemas.openxmlformats.org/officeDocument/2006/relationships/hyperlink" Target="https://drive.google.com/open?id=1Ab0Ks3x0nk6jT9ilSVIpkKKqhD02WdelM95wNshL5nA" TargetMode="External"/><Relationship Id="rId353" Type="http://schemas.openxmlformats.org/officeDocument/2006/relationships/hyperlink" Target="https://drive.google.com/open?id=1hzDKlQblWxzpSIqIBjJBR6BayN3SsWCT" TargetMode="External"/><Relationship Id="rId595" Type="http://schemas.openxmlformats.org/officeDocument/2006/relationships/hyperlink" Target="https://drive.google.com/open?id=17OAIuBRQQ0qqmTf5yd55J0YP0istAlgz" TargetMode="External"/><Relationship Id="rId305" Type="http://schemas.openxmlformats.org/officeDocument/2006/relationships/hyperlink" Target="https://drive.google.com/open?id=1WTJs1mYvgHpDNTqArxSn55STKBWWnpv8" TargetMode="External"/><Relationship Id="rId547" Type="http://schemas.openxmlformats.org/officeDocument/2006/relationships/hyperlink" Target="https://drive.google.com/open?id=1C1hK6jhcOQb6aMCdSlInXBvoQFZLS5WqfJNggIjX8Pk" TargetMode="External"/><Relationship Id="rId789" Type="http://schemas.openxmlformats.org/officeDocument/2006/relationships/hyperlink" Target="https://drive.google.com/open?id=1xHFEcfQwhiALCqV9xSC5xKfuty2wGoyQE3Fzuc0wEx8" TargetMode="External"/><Relationship Id="rId304" Type="http://schemas.openxmlformats.org/officeDocument/2006/relationships/hyperlink" Target="https://drive.google.com/open?id=1PioLJQdV_KCAi67YGU0QNMCBV8XFLgDi" TargetMode="External"/><Relationship Id="rId546" Type="http://schemas.openxmlformats.org/officeDocument/2006/relationships/hyperlink" Target="https://drive.google.com/open?id=1rLe5eNVPg5FiBHxAl3k6kLnEFm5dp4uJ_2jxxvwh29Q" TargetMode="External"/><Relationship Id="rId788" Type="http://schemas.openxmlformats.org/officeDocument/2006/relationships/hyperlink" Target="https://drive.google.com/open?id=1xmr5In-CFLp8XrFoBu5sdvHXlJTKeQ4U" TargetMode="External"/><Relationship Id="rId303" Type="http://schemas.openxmlformats.org/officeDocument/2006/relationships/hyperlink" Target="https://drive.google.com/open?id=1PkiDQOL_GavyBUotvEO5VTE5FK2kcO30" TargetMode="External"/><Relationship Id="rId545" Type="http://schemas.openxmlformats.org/officeDocument/2006/relationships/hyperlink" Target="https://drive.google.com/open?id=1febCY2aSF61QRwRlt9yNGByNnyPcVw6T2NRT3uhtvAU" TargetMode="External"/><Relationship Id="rId787" Type="http://schemas.openxmlformats.org/officeDocument/2006/relationships/hyperlink" Target="https://drive.google.com/open?id=1LEmN_DdbFgSHvWQ19CbZ0SEHvZDbZo-MgzLdTMQe78E" TargetMode="External"/><Relationship Id="rId302" Type="http://schemas.openxmlformats.org/officeDocument/2006/relationships/hyperlink" Target="https://drive.google.com/open?id=1ZhE4_ICYRh1QBqaHdZ4gMy0uysijjb39" TargetMode="External"/><Relationship Id="rId544" Type="http://schemas.openxmlformats.org/officeDocument/2006/relationships/hyperlink" Target="https://drive.google.com/open?id=18j-PbdxoiMu2QvSuOc19ozWztr4KJJrL8avCtTRujFk" TargetMode="External"/><Relationship Id="rId786" Type="http://schemas.openxmlformats.org/officeDocument/2006/relationships/hyperlink" Target="https://drive.google.com/open?id=1jATPcr-gBCzq8HNOXJOeaiBSujWvcoO8" TargetMode="External"/><Relationship Id="rId309" Type="http://schemas.openxmlformats.org/officeDocument/2006/relationships/hyperlink" Target="https://drive.google.com/open?id=1Oi2Fku33qem98VhOZhYZAac72sZhlZ0g" TargetMode="External"/><Relationship Id="rId308" Type="http://schemas.openxmlformats.org/officeDocument/2006/relationships/hyperlink" Target="https://docs.google.com/document/d/1DsG3B_1BtEvlHnGYutmPXTDIMAUplepM/edit?usp=sharing&amp;ouid=114985145944407922695&amp;rtpof=true&amp;sd=true" TargetMode="External"/><Relationship Id="rId307" Type="http://schemas.openxmlformats.org/officeDocument/2006/relationships/hyperlink" Target="https://drive.google.com/open?id=1q81fqg6L1syrctP7on3JR68wzQW2qYdh" TargetMode="External"/><Relationship Id="rId549" Type="http://schemas.openxmlformats.org/officeDocument/2006/relationships/hyperlink" Target="https://drive.google.com/open?id=12t66EEmSUHHCK2YQUxardFwu7io9EbW5" TargetMode="External"/><Relationship Id="rId306" Type="http://schemas.openxmlformats.org/officeDocument/2006/relationships/hyperlink" Target="https://drive.google.com/open?id=1WgiZ3nwZWy2xExerNxneq2VlilD6WUrQ" TargetMode="External"/><Relationship Id="rId548" Type="http://schemas.openxmlformats.org/officeDocument/2006/relationships/hyperlink" Target="https://drive.google.com/open?id=1isMg_V2vXOMprDAAd8PIbZ3G3POMihc6" TargetMode="External"/><Relationship Id="rId781" Type="http://schemas.openxmlformats.org/officeDocument/2006/relationships/hyperlink" Target="https://drive.google.com/open?id=1NWko2c6-LHbRoCKHpc63IlxeYUfQl-GF" TargetMode="External"/><Relationship Id="rId780" Type="http://schemas.openxmlformats.org/officeDocument/2006/relationships/hyperlink" Target="https://drive.google.com/open?id=1EBKl-91rNDXDDgnuyJcFyKPK_X1Z6F4M" TargetMode="External"/><Relationship Id="rId301" Type="http://schemas.openxmlformats.org/officeDocument/2006/relationships/hyperlink" Target="https://drive.google.com/open?id=1qvi6PrTkq7wIGdFkd4sMIPQGgoOiXD56" TargetMode="External"/><Relationship Id="rId543" Type="http://schemas.openxmlformats.org/officeDocument/2006/relationships/hyperlink" Target="https://drive.google.com/open?id=19NJuuQEVdTY4gU1cGGAr9z5mTg-Gy48j" TargetMode="External"/><Relationship Id="rId785" Type="http://schemas.openxmlformats.org/officeDocument/2006/relationships/hyperlink" Target="https://drive.google.com/open?id=1T5vPMgpQeMBBvy9lAreVknhzt6GSTpp8" TargetMode="External"/><Relationship Id="rId300" Type="http://schemas.openxmlformats.org/officeDocument/2006/relationships/hyperlink" Target="https://drive.google.com/open?id=1fQkcEBSoxPPyXYiY3a1Za6N14iXGu14u" TargetMode="External"/><Relationship Id="rId542" Type="http://schemas.openxmlformats.org/officeDocument/2006/relationships/hyperlink" Target="https://drive.google.com/open?id=1xQZEXbgTrcNzrDxno8nnKjImH8dSf2Ac" TargetMode="External"/><Relationship Id="rId784" Type="http://schemas.openxmlformats.org/officeDocument/2006/relationships/hyperlink" Target="https://drive.google.com/open?id=1D-6ycxMhXDz7t8glBFr1Xa9y-BNbi-Vi" TargetMode="External"/><Relationship Id="rId541" Type="http://schemas.openxmlformats.org/officeDocument/2006/relationships/hyperlink" Target="https://drive.google.com/open?id=12WgelOeh0m8Ggqz6roNpBbGOZJUmU1JKiiE5p2LA2ys" TargetMode="External"/><Relationship Id="rId783" Type="http://schemas.openxmlformats.org/officeDocument/2006/relationships/hyperlink" Target="https://drive.google.com/open?id=1h5bqUCtyu8sfbr0CVDK8Zo6ASFse2Y4g4h-BTd3zwvI" TargetMode="External"/><Relationship Id="rId540" Type="http://schemas.openxmlformats.org/officeDocument/2006/relationships/hyperlink" Target="https://drive.google.com/open?id=1R2PS336WxB21Iy4aZENcg0kCY6MSgQIPYw1CntzzviA" TargetMode="External"/><Relationship Id="rId782" Type="http://schemas.openxmlformats.org/officeDocument/2006/relationships/hyperlink" Target="https://drive.google.com/open?id=1XCiB0ogad-zTXwSQFVyMQxELqfVknurg" TargetMode="External"/><Relationship Id="rId536" Type="http://schemas.openxmlformats.org/officeDocument/2006/relationships/hyperlink" Target="https://drive.google.com/open?id=17V8qpliegmbqUNP_kAROJ_W5cAolHof5Fqh2F9VmoRE" TargetMode="External"/><Relationship Id="rId778" Type="http://schemas.openxmlformats.org/officeDocument/2006/relationships/hyperlink" Target="https://drive.google.com/open?id=1EnybGCWentbsaNDtsGS5f2mxKndRwMlE" TargetMode="External"/><Relationship Id="rId535" Type="http://schemas.openxmlformats.org/officeDocument/2006/relationships/hyperlink" Target="https://drive.google.com/open?id=1WG9FYC6IrcllGHR511Os3tMkRse7Cy-oNDth1b52jYM" TargetMode="External"/><Relationship Id="rId777" Type="http://schemas.openxmlformats.org/officeDocument/2006/relationships/hyperlink" Target="https://drive.google.com/open?id=1T-GppLXhXqa_qx8ILw15XnQ_2g3qjAEAfPGvzVw04Yk" TargetMode="External"/><Relationship Id="rId534" Type="http://schemas.openxmlformats.org/officeDocument/2006/relationships/hyperlink" Target="https://drive.google.com/open?id=1gOHiPoqGLXKevGPQlhXcLqEqp4_6O6uazx8aoPtE3zM" TargetMode="External"/><Relationship Id="rId776" Type="http://schemas.openxmlformats.org/officeDocument/2006/relationships/hyperlink" Target="https://drive.google.com/open?id=1RKrF-aXWOlYqyowjbDl6bAdusOPbJr9qXEqx0xFkNHk" TargetMode="External"/><Relationship Id="rId533" Type="http://schemas.openxmlformats.org/officeDocument/2006/relationships/hyperlink" Target="https://drive.google.com/open?id=1EF5RYvW2hI7wjbgazCWOc3VBgCj63NS8ACO-4waSYdI" TargetMode="External"/><Relationship Id="rId775" Type="http://schemas.openxmlformats.org/officeDocument/2006/relationships/hyperlink" Target="https://drive.google.com/open?id=1eBvpz8_8VSVLd8ZvhfEpfcmsd-K-Zb_R" TargetMode="External"/><Relationship Id="rId539" Type="http://schemas.openxmlformats.org/officeDocument/2006/relationships/hyperlink" Target="https://drive.google.com/open?id=1nf2EtFaCJCqVCq2DM1j562_kpt7PgxVrAC5vFgrj_IY" TargetMode="External"/><Relationship Id="rId538" Type="http://schemas.openxmlformats.org/officeDocument/2006/relationships/hyperlink" Target="https://drive.google.com/open?id=1Hlw3pWLoZGAv9LmnjrzPNumWSv2xGWuf0aNZKe0dRjg" TargetMode="External"/><Relationship Id="rId537" Type="http://schemas.openxmlformats.org/officeDocument/2006/relationships/hyperlink" Target="https://drive.google.com/open?id=1zHwN5dxqdmv_q8SebqJg0Kq-oMw_pxrW9SmsB-zPWjk" TargetMode="External"/><Relationship Id="rId779" Type="http://schemas.openxmlformats.org/officeDocument/2006/relationships/hyperlink" Target="https://drive.google.com/open?id=1NzulmoVNakKME_U_xx1TZzCEj17p6zewCEamMFNGaTQ" TargetMode="External"/><Relationship Id="rId770" Type="http://schemas.openxmlformats.org/officeDocument/2006/relationships/hyperlink" Target="https://drive.google.com/open?id=1qD4o2j8zNW4svZwQb8VCb6_qZR-74WWu" TargetMode="External"/><Relationship Id="rId532" Type="http://schemas.openxmlformats.org/officeDocument/2006/relationships/hyperlink" Target="https://drive.google.com/open?id=1EelOyXk_-bGQWrwGcQbS-wzY9aMLd5I6CcSE4Kf5kyM" TargetMode="External"/><Relationship Id="rId774" Type="http://schemas.openxmlformats.org/officeDocument/2006/relationships/hyperlink" Target="https://drive.google.com/open?id=144k-ndLV_n_U75NRxoqMjx94Wl3OZpeR" TargetMode="External"/><Relationship Id="rId531" Type="http://schemas.openxmlformats.org/officeDocument/2006/relationships/hyperlink" Target="https://drive.google.com/open?id=1R7kOb5ddRe0iIOKAIyot78rwRNMO4t01bhNbGYg77nY" TargetMode="External"/><Relationship Id="rId773" Type="http://schemas.openxmlformats.org/officeDocument/2006/relationships/hyperlink" Target="https://drive.google.com/open?id=1jAnB5_px94FKU2rhKxUrbuBr6sr74Z9Mgt7DPnJ283I" TargetMode="External"/><Relationship Id="rId530" Type="http://schemas.openxmlformats.org/officeDocument/2006/relationships/hyperlink" Target="https://drive.google.com/open?id=1siPNTHjXvNA2dchaNaTYPK2wGvf--6bNCTaXTx3JwEM" TargetMode="External"/><Relationship Id="rId772" Type="http://schemas.openxmlformats.org/officeDocument/2006/relationships/hyperlink" Target="https://drive.google.com/open?id=1IgmpXxZS-KR2-2LLfAhrWlC1HVnkQTRvQHpCtVFMjyU" TargetMode="External"/><Relationship Id="rId771" Type="http://schemas.openxmlformats.org/officeDocument/2006/relationships/hyperlink" Target="https://drive.google.com/open?id=1h3ZsO1BggTmgR6oA_W5ymbOJZsQJmnauCsgy0itXkGA" TargetMode="External"/><Relationship Id="rId327" Type="http://schemas.openxmlformats.org/officeDocument/2006/relationships/hyperlink" Target="https://drive.google.com/open?id=1XBlVQeGGfyC_HclznbMh2PbHWAxtWc-8" TargetMode="External"/><Relationship Id="rId569" Type="http://schemas.openxmlformats.org/officeDocument/2006/relationships/hyperlink" Target="https://drive.google.com/open?id=1r1rAIuOF_u6lWhr_6tAYOtMyiaVFf4Qt" TargetMode="External"/><Relationship Id="rId326" Type="http://schemas.openxmlformats.org/officeDocument/2006/relationships/hyperlink" Target="https://drive.google.com/open?id=1q1HhwV8S4KxyUMfP8ibhqj9o1tmxSTXp" TargetMode="External"/><Relationship Id="rId568" Type="http://schemas.openxmlformats.org/officeDocument/2006/relationships/hyperlink" Target="https://drive.google.com/open?id=1HdkmToVJojPd2kAP4s_mUIvo2xFdkcQL" TargetMode="External"/><Relationship Id="rId325" Type="http://schemas.openxmlformats.org/officeDocument/2006/relationships/hyperlink" Target="https://docs.google.com/forms/u/0/d/e/1FAIpQLSf_ZhopKOe_vq1OBMgui8QqQ_6bwKDzMJ5dWDg8JHbU5LLtvQ/formResponse" TargetMode="External"/><Relationship Id="rId567" Type="http://schemas.openxmlformats.org/officeDocument/2006/relationships/hyperlink" Target="https://drive.google.com/open?id=1GF1z3Rljm701VSWb1KTFpww8Dwknz0vX" TargetMode="External"/><Relationship Id="rId324" Type="http://schemas.openxmlformats.org/officeDocument/2006/relationships/hyperlink" Target="https://drive.google.com/open?id=1bIKKjq5jeSfodgN9XlhLOucgDEjvLYJy" TargetMode="External"/><Relationship Id="rId566" Type="http://schemas.openxmlformats.org/officeDocument/2006/relationships/hyperlink" Target="https://drive.google.com/open?id=15rwtr8VLU3EIN_FP2bal6VaqzXtkJPS6" TargetMode="External"/><Relationship Id="rId329" Type="http://schemas.openxmlformats.org/officeDocument/2006/relationships/hyperlink" Target="https://drive.google.com/open?id=1yPPvf3I9MshztUSmETpEinukEnvf6E_R" TargetMode="External"/><Relationship Id="rId328" Type="http://schemas.openxmlformats.org/officeDocument/2006/relationships/hyperlink" Target="https://drive.google.com/open?id=1BtyfelQUyWEff8dPXUjanp8HSUvKXFYr" TargetMode="External"/><Relationship Id="rId561" Type="http://schemas.openxmlformats.org/officeDocument/2006/relationships/hyperlink" Target="https://drive.google.com/open?id=1loB4iqMgTtD_0lLOimq9N499FZLlmqVe" TargetMode="External"/><Relationship Id="rId560" Type="http://schemas.openxmlformats.org/officeDocument/2006/relationships/hyperlink" Target="https://drive.google.com/open?id=1s6QmyaN3J5vP-IcKD42q-pMDzRz-4yjW" TargetMode="External"/><Relationship Id="rId323" Type="http://schemas.openxmlformats.org/officeDocument/2006/relationships/hyperlink" Target="https://drive.google.com/open?id=124MzHIXQSHMKju7GDFGCb7x8shL_ffR8" TargetMode="External"/><Relationship Id="rId565" Type="http://schemas.openxmlformats.org/officeDocument/2006/relationships/hyperlink" Target="https://drive.google.com/open?id=12lYHZuiUR1wiu1qzFfgUXwo5fi1tcSgR" TargetMode="External"/><Relationship Id="rId322" Type="http://schemas.openxmlformats.org/officeDocument/2006/relationships/hyperlink" Target="https://drive.google.com/open?id=1_5VwI4MiyhHpJFwTN5-HpT4ibNZqrT9b" TargetMode="External"/><Relationship Id="rId564" Type="http://schemas.openxmlformats.org/officeDocument/2006/relationships/hyperlink" Target="https://drive.google.com/open?id=1LtXaBwCrKz1LcuhAVS83QLMU31AqEKhi" TargetMode="External"/><Relationship Id="rId321" Type="http://schemas.openxmlformats.org/officeDocument/2006/relationships/hyperlink" Target="https://drive.google.com/open?id=12IIOfwgBJnXlzNs6_9XZV93GJy-MTvFc" TargetMode="External"/><Relationship Id="rId563" Type="http://schemas.openxmlformats.org/officeDocument/2006/relationships/hyperlink" Target="https://drive.google.com/open?id=13arCE15PPw-nq2BnEQyqJ6S7O6C6ab1x" TargetMode="External"/><Relationship Id="rId320" Type="http://schemas.openxmlformats.org/officeDocument/2006/relationships/hyperlink" Target="https://drive.google.com/open?id=1qXdeYwACLUFq7LjAn_JRR-O49n-pak_U" TargetMode="External"/><Relationship Id="rId562" Type="http://schemas.openxmlformats.org/officeDocument/2006/relationships/hyperlink" Target="https://drive.google.com/open?id=18kZt1DmIbSqB-LmkL79N9rEAYlOeYfpR" TargetMode="External"/><Relationship Id="rId316" Type="http://schemas.openxmlformats.org/officeDocument/2006/relationships/hyperlink" Target="https://drive.google.com/open?id=1NqDQjk9JKhs2ADsG34wvHcipt_AesHdh" TargetMode="External"/><Relationship Id="rId558" Type="http://schemas.openxmlformats.org/officeDocument/2006/relationships/hyperlink" Target="https://drive.google.com/open?id=1-8q4KR0654RmunPFTUck74oy0wS-Dd0i" TargetMode="External"/><Relationship Id="rId315" Type="http://schemas.openxmlformats.org/officeDocument/2006/relationships/hyperlink" Target="https://drive.google.com/open?id=15_bCh7TWCLwlON7wlNmJYLf41Vd8_haU" TargetMode="External"/><Relationship Id="rId557" Type="http://schemas.openxmlformats.org/officeDocument/2006/relationships/hyperlink" Target="https://drive.google.com/open?id=1-fIxJbyBfHCoTsSJDOVDous8WDi6k8tI" TargetMode="External"/><Relationship Id="rId799" Type="http://schemas.openxmlformats.org/officeDocument/2006/relationships/hyperlink" Target="https://drive.google.com/open?id=1_qVx8NTTjXcITSLQjXh_OXqxXQ5N3RxgdiBaDNBiPDg" TargetMode="External"/><Relationship Id="rId314" Type="http://schemas.openxmlformats.org/officeDocument/2006/relationships/hyperlink" Target="https://drive.google.com/open?id=1-PJ6L2S3K_OiGl9j0bK9MmCXO-6x5sHF" TargetMode="External"/><Relationship Id="rId556" Type="http://schemas.openxmlformats.org/officeDocument/2006/relationships/hyperlink" Target="https://drive.google.com/open?id=1O-MslU7C-HJ_oFA8Jz_1OPjdAlYMSZjS" TargetMode="External"/><Relationship Id="rId798" Type="http://schemas.openxmlformats.org/officeDocument/2006/relationships/hyperlink" Target="https://drive.google.com/open?id=1jM68hyFMin6p1s-9qv8MbVngs0JBvpVFRHTusyGLw-A" TargetMode="External"/><Relationship Id="rId313" Type="http://schemas.openxmlformats.org/officeDocument/2006/relationships/hyperlink" Target="https://drive.google.com/open?id=1xhxNdLJLqYikLwCn4r50TB837jbeuzA3" TargetMode="External"/><Relationship Id="rId555" Type="http://schemas.openxmlformats.org/officeDocument/2006/relationships/hyperlink" Target="https://drive.google.com/open?id=1g6k69ozpmBe8YBrfke5gUOBw_ZkMRBhW" TargetMode="External"/><Relationship Id="rId797" Type="http://schemas.openxmlformats.org/officeDocument/2006/relationships/hyperlink" Target="https://drive.google.com/open?id=1GSFtGyMcHaSohkQI7cKZyoH7tViSkIdcM8UylAtEZrQ" TargetMode="External"/><Relationship Id="rId319" Type="http://schemas.openxmlformats.org/officeDocument/2006/relationships/hyperlink" Target="https://drive.google.com/open?id=1u-9NUNkk3LuekH6_nYXuXSET6EI1CLvb" TargetMode="External"/><Relationship Id="rId318" Type="http://schemas.openxmlformats.org/officeDocument/2006/relationships/hyperlink" Target="https://drive.google.com/open?id=1kIKbBDxSSQaB6_D_6COLtaSWGBx8d1_Y" TargetMode="External"/><Relationship Id="rId317" Type="http://schemas.openxmlformats.org/officeDocument/2006/relationships/hyperlink" Target="https://drive.google.com/open?id=1hc15aPN2PZ6XyEIsYu9M2Ep0TVrARSLX" TargetMode="External"/><Relationship Id="rId559" Type="http://schemas.openxmlformats.org/officeDocument/2006/relationships/hyperlink" Target="https://drive.google.com/open?id=1q8Hmw2tNaI6ww54BX73n2Yd_JfRnRXxzkrHJ5BJ27l4" TargetMode="External"/><Relationship Id="rId550" Type="http://schemas.openxmlformats.org/officeDocument/2006/relationships/hyperlink" Target="https://drive.google.com/open?id=1t6KOLdxrxKQzkVKgqX9WpSkD4ywwJ3ZARnuL5A65inw" TargetMode="External"/><Relationship Id="rId792" Type="http://schemas.openxmlformats.org/officeDocument/2006/relationships/hyperlink" Target="https://drive.google.com/open?id=1DR7E4i61ocPmweaEFVabAn0KwYsycgfY" TargetMode="External"/><Relationship Id="rId791" Type="http://schemas.openxmlformats.org/officeDocument/2006/relationships/hyperlink" Target="https://drive.google.com/open?id=1uk5_WI4--ytBSEvzRog-gg8BR03rVYiHN1ilV1MZAXg" TargetMode="External"/><Relationship Id="rId790" Type="http://schemas.openxmlformats.org/officeDocument/2006/relationships/hyperlink" Target="https://drive.google.com/open?id=1-kBIfVA31S8t6w-sMg-VsAPJR_K9D-c9" TargetMode="External"/><Relationship Id="rId312" Type="http://schemas.openxmlformats.org/officeDocument/2006/relationships/hyperlink" Target="https://drive.google.com/open?id=1Q7rneHPVb8FIXpbfxLYe_flTxcxWtexO" TargetMode="External"/><Relationship Id="rId554" Type="http://schemas.openxmlformats.org/officeDocument/2006/relationships/hyperlink" Target="https://drive.google.com/open?id=16WA65amX8J5j_GU3HOsqpb6PHueznf20" TargetMode="External"/><Relationship Id="rId796" Type="http://schemas.openxmlformats.org/officeDocument/2006/relationships/hyperlink" Target="https://drive.google.com/open?id=1ItZXDwQyWJAx7VMXpYEoaO09BY9sNC7J" TargetMode="External"/><Relationship Id="rId311" Type="http://schemas.openxmlformats.org/officeDocument/2006/relationships/hyperlink" Target="https://drive.google.com/open?id=1X-Af5qtsijDTmfRCp9eEYbQEjCGCX5V4jtO_3elu5So" TargetMode="External"/><Relationship Id="rId553" Type="http://schemas.openxmlformats.org/officeDocument/2006/relationships/hyperlink" Target="https://drive.google.com/open?id=1cSGFnms_XAtkqFU935wvGYcSiSBVKnwrdwHuMfbRbjA" TargetMode="External"/><Relationship Id="rId795" Type="http://schemas.openxmlformats.org/officeDocument/2006/relationships/hyperlink" Target="https://drive.google.com/open?id=1_HDz671H3AVIBJfYoIFg0SSyUv-1ygEL" TargetMode="External"/><Relationship Id="rId310" Type="http://schemas.openxmlformats.org/officeDocument/2006/relationships/hyperlink" Target="https://drive.google.com/open?id=1jJL8CQEchqSO841-hGCR5D9RlBj-ME53" TargetMode="External"/><Relationship Id="rId552" Type="http://schemas.openxmlformats.org/officeDocument/2006/relationships/hyperlink" Target="https://drive.google.com/open?id=1XtxVVy1SoN5sKHmWsw2llrKY7cuPHNe3o61m8HPMA7k" TargetMode="External"/><Relationship Id="rId794" Type="http://schemas.openxmlformats.org/officeDocument/2006/relationships/hyperlink" Target="https://drive.google.com/open?id=1wcMfvvwnNU70n-38v2c2ZTNGNHkry2Mh" TargetMode="External"/><Relationship Id="rId551" Type="http://schemas.openxmlformats.org/officeDocument/2006/relationships/hyperlink" Target="https://drive.google.com/open?id=1tvCBRNbDWoBFX2dbAbftb846tmWdv-KF" TargetMode="External"/><Relationship Id="rId793" Type="http://schemas.openxmlformats.org/officeDocument/2006/relationships/hyperlink" Target="https://drive.google.com/open?id=1NWFDtXCGl5-WIiFe55rxpXtLbdqiJNsx" TargetMode="External"/><Relationship Id="rId297" Type="http://schemas.openxmlformats.org/officeDocument/2006/relationships/hyperlink" Target="https://drive.google.com/open?id=1jLDIMt3OlETNQ2yBJvULkkgqiuZzEpTA" TargetMode="External"/><Relationship Id="rId296" Type="http://schemas.openxmlformats.org/officeDocument/2006/relationships/hyperlink" Target="https://drive.google.com/open?id=1dYPUl77fZ1dwpBogNHIXx1WjodrONzFR" TargetMode="External"/><Relationship Id="rId295" Type="http://schemas.openxmlformats.org/officeDocument/2006/relationships/hyperlink" Target="https://drive.google.com/open?id=1NHodf9jf5qc_ZV4V0yalreH0bxVd8cye" TargetMode="External"/><Relationship Id="rId294" Type="http://schemas.openxmlformats.org/officeDocument/2006/relationships/hyperlink" Target="https://drive.google.com/open?id=1mU-CITH0w9PJuUSshQvwtV0iKCN1XyO6" TargetMode="External"/><Relationship Id="rId299" Type="http://schemas.openxmlformats.org/officeDocument/2006/relationships/hyperlink" Target="https://drive.google.com/open?id=1WqEuD5gR_fAC0ySNgHkE6uX127d36zAX" TargetMode="External"/><Relationship Id="rId298" Type="http://schemas.openxmlformats.org/officeDocument/2006/relationships/hyperlink" Target="https://docs.google.com/document/d/1VNLeZkdlBHCos9MTP5xvbhjNolV2Sj5N/edit?usp=drive_link&amp;ouid=117122465010506134151&amp;rtpof=true&amp;sd=true" TargetMode="External"/><Relationship Id="rId271" Type="http://schemas.openxmlformats.org/officeDocument/2006/relationships/hyperlink" Target="https://drive.google.com/open?id=19h7zChwHDNVCCHdIrRNac2LexSfKJyDj" TargetMode="External"/><Relationship Id="rId270" Type="http://schemas.openxmlformats.org/officeDocument/2006/relationships/hyperlink" Target="https://drive.google.com/open?id=1us5fNk41MqziJwca5YmqXdxmYkyN14Tr" TargetMode="External"/><Relationship Id="rId269" Type="http://schemas.openxmlformats.org/officeDocument/2006/relationships/hyperlink" Target="https://drive.google.com/open?id=1sadlfzbXGg7Y5IVba1Aoe65q1nHiEeZd" TargetMode="External"/><Relationship Id="rId264" Type="http://schemas.openxmlformats.org/officeDocument/2006/relationships/hyperlink" Target="https://drive.google.com/open?id=1gtRlhljrRvaZwmdBIyw_nrpWFRCMzQBA" TargetMode="External"/><Relationship Id="rId263" Type="http://schemas.openxmlformats.org/officeDocument/2006/relationships/hyperlink" Target="https://drive.google.com/open?id=1sT4Aux_JzXEzjDH1HlIU8892gl_2CKlS" TargetMode="External"/><Relationship Id="rId262" Type="http://schemas.openxmlformats.org/officeDocument/2006/relationships/hyperlink" Target="https://drive.google.com/open?id=1gPqSUuwAqWWLYKPk5p8k4yGfy_2yaZ2M" TargetMode="External"/><Relationship Id="rId261" Type="http://schemas.openxmlformats.org/officeDocument/2006/relationships/hyperlink" Target="https://docs.google.com/document/d/1Z_6e_ECLU8RfpHebyyao8_DmicgmsKTi/edit?usp=drive_link&amp;ouid=117122465010506134151&amp;rtpof=true&amp;sd=true" TargetMode="External"/><Relationship Id="rId268" Type="http://schemas.openxmlformats.org/officeDocument/2006/relationships/hyperlink" Target="https://drive.google.com/open?id=1QsfAQJkd-h2BcBs8pO2RQ44Mg8uOw-0o" TargetMode="External"/><Relationship Id="rId267" Type="http://schemas.openxmlformats.org/officeDocument/2006/relationships/hyperlink" Target="https://drive.google.com/open?id=1oulwJYSCZwFOlwirE9MDGWVffxhj3Typ" TargetMode="External"/><Relationship Id="rId266" Type="http://schemas.openxmlformats.org/officeDocument/2006/relationships/hyperlink" Target="https://drive.google.com/open?id=17UoJQqE-WXl5MMwx59zyBeUAWylewC6R" TargetMode="External"/><Relationship Id="rId265" Type="http://schemas.openxmlformats.org/officeDocument/2006/relationships/hyperlink" Target="https://drive.google.com/open?id=1BVRT2y3VfL5qPRw3JHpWcvJHLieSruYy" TargetMode="External"/><Relationship Id="rId260" Type="http://schemas.openxmlformats.org/officeDocument/2006/relationships/hyperlink" Target="https://drive.google.com/open?id=1_hCqfc5IB5RnFKHsITUz8r6iw-u9tDon" TargetMode="External"/><Relationship Id="rId259" Type="http://schemas.openxmlformats.org/officeDocument/2006/relationships/hyperlink" Target="https://drive.google.com/open?id=19WWsMGxrKkCnx4sADHWyjLROKC8NMGRg" TargetMode="External"/><Relationship Id="rId258" Type="http://schemas.openxmlformats.org/officeDocument/2006/relationships/hyperlink" Target="https://drive.google.com/open?id=1hz-tyQHcODUeUAIDeBtFZH_v2noy2UJv" TargetMode="External"/><Relationship Id="rId253" Type="http://schemas.openxmlformats.org/officeDocument/2006/relationships/hyperlink" Target="https://drive.google.com/open?id=1osEh3c1WHwAe93s5E9Gj0nWzYB7y_L9Q" TargetMode="External"/><Relationship Id="rId495" Type="http://schemas.openxmlformats.org/officeDocument/2006/relationships/hyperlink" Target="https://drive.google.com/open?id=1d1zIrg2GlBQ0sErZ1IZjjUCStnHKtVDl" TargetMode="External"/><Relationship Id="rId252" Type="http://schemas.openxmlformats.org/officeDocument/2006/relationships/hyperlink" Target="https://drive.google.com/open?id=1AiXT0B3obD_avWLi6fW7FBnla14Z96t6" TargetMode="External"/><Relationship Id="rId494" Type="http://schemas.openxmlformats.org/officeDocument/2006/relationships/hyperlink" Target="https://drive.google.com/open?id=1upRxc02KBTr36lbjUHKYfRvQyk84C0zL" TargetMode="External"/><Relationship Id="rId251" Type="http://schemas.openxmlformats.org/officeDocument/2006/relationships/hyperlink" Target="https://drive.google.com/open?id=1xQug3CNANa-1fJTjvQaAWrGsH-94rhW7" TargetMode="External"/><Relationship Id="rId493" Type="http://schemas.openxmlformats.org/officeDocument/2006/relationships/hyperlink" Target="https://drive.google.com/open?id=10CGEHxL8pgLDagXgw-mPNCsVUF5uZYDh652hUYdke9E" TargetMode="External"/><Relationship Id="rId250" Type="http://schemas.openxmlformats.org/officeDocument/2006/relationships/hyperlink" Target="https://drive.google.com/open?id=1K3d80QYw-anGZHo8JVXnofe3solUxiWK" TargetMode="External"/><Relationship Id="rId492" Type="http://schemas.openxmlformats.org/officeDocument/2006/relationships/hyperlink" Target="https://drive.google.com/open?id=1gOM-uqK0JH2OufkDi2MfRhNKekNBZy4Z" TargetMode="External"/><Relationship Id="rId257" Type="http://schemas.openxmlformats.org/officeDocument/2006/relationships/hyperlink" Target="https://drive.google.com/open?id=1CvbYDI0ptbl8L3jlY1ojmIecXxVv78fZ" TargetMode="External"/><Relationship Id="rId499" Type="http://schemas.openxmlformats.org/officeDocument/2006/relationships/hyperlink" Target="https://drive.google.com/open?id=1QWFMTRLhS4v-hn_CDpMnRZNQbajV3BI7ccsNvzZ8C4c" TargetMode="External"/><Relationship Id="rId256" Type="http://schemas.openxmlformats.org/officeDocument/2006/relationships/hyperlink" Target="https://drive.google.com/open?id=1_32s0VOuZM0m8SOI5Z7l7mjV1TLH2jOb" TargetMode="External"/><Relationship Id="rId498" Type="http://schemas.openxmlformats.org/officeDocument/2006/relationships/hyperlink" Target="https://drive.google.com/open?id=17equHu9ioTAbFqMx6d2eNJTk_ysLxCuv__muCwwLC-Y" TargetMode="External"/><Relationship Id="rId255" Type="http://schemas.openxmlformats.org/officeDocument/2006/relationships/hyperlink" Target="https://drive.google.com/open?id=1ji2sfTQ5BaaGMn1rETuykWM4y5FocFjr" TargetMode="External"/><Relationship Id="rId497" Type="http://schemas.openxmlformats.org/officeDocument/2006/relationships/hyperlink" Target="https://drive.google.com/open?id=1xITEPIUK2_m03mG_bOfgRha8UpKBQbsRJS_oQPQTZXI" TargetMode="External"/><Relationship Id="rId254" Type="http://schemas.openxmlformats.org/officeDocument/2006/relationships/hyperlink" Target="https://drive.google.com/open?id=1ib-x7ebUme02xW40b8HA8MGtwedWc1wd" TargetMode="External"/><Relationship Id="rId496" Type="http://schemas.openxmlformats.org/officeDocument/2006/relationships/hyperlink" Target="https://drive.google.com/open?id=1pkMtu0EKDhAuH23b7H8c3SB4HP3nCfwpRQwiTFhllKE" TargetMode="External"/><Relationship Id="rId293" Type="http://schemas.openxmlformats.org/officeDocument/2006/relationships/hyperlink" Target="https://drive.google.com/open?id=1CZGcuDZuGXdQeF4X5iu8gF0nZK79rUKx" TargetMode="External"/><Relationship Id="rId292" Type="http://schemas.openxmlformats.org/officeDocument/2006/relationships/hyperlink" Target="https://drive.google.com/open?id=1w_KQjZwrz_zPoIVZHM9H94Ju2E_1PvP1" TargetMode="External"/><Relationship Id="rId291" Type="http://schemas.openxmlformats.org/officeDocument/2006/relationships/hyperlink" Target="https://drive.google.com/open?id=1x65igoDRN9YvcG_IgZl4_3BameAWe9Hr" TargetMode="External"/><Relationship Id="rId290" Type="http://schemas.openxmlformats.org/officeDocument/2006/relationships/hyperlink" Target="https://drive.google.com/open?id=1wvMwk5Tj5oV-Qv5TktUfhAvl3WWoiLsF" TargetMode="External"/><Relationship Id="rId286" Type="http://schemas.openxmlformats.org/officeDocument/2006/relationships/hyperlink" Target="https://drive.google.com/open?id=1GX191SD0WuSAcBbX3A-ck39h11WYmKAN" TargetMode="External"/><Relationship Id="rId285" Type="http://schemas.openxmlformats.org/officeDocument/2006/relationships/hyperlink" Target="https://drive.google.com/open?id=1sevL_lL_k4sybK_AsTdP8TWlUmXqeJ36" TargetMode="External"/><Relationship Id="rId284" Type="http://schemas.openxmlformats.org/officeDocument/2006/relationships/hyperlink" Target="https://drive.google.com/open?id=1k70WY4BvmEfGMkoWxeBQhurVGk5gy9Co" TargetMode="External"/><Relationship Id="rId283" Type="http://schemas.openxmlformats.org/officeDocument/2006/relationships/hyperlink" Target="https://drive.google.com/open?id=1M0plmwqzLNohcYP360bzsXn29UTQSO7R" TargetMode="External"/><Relationship Id="rId289" Type="http://schemas.openxmlformats.org/officeDocument/2006/relationships/hyperlink" Target="https://drive.google.com/open?id=1EJw2NzjYAney0i6AEHTmacQonGQP0aix" TargetMode="External"/><Relationship Id="rId288" Type="http://schemas.openxmlformats.org/officeDocument/2006/relationships/hyperlink" Target="https://drive.google.com/open?id=171nH7soYdPStOv6vRgo7SnpT-9SC_rR8" TargetMode="External"/><Relationship Id="rId287" Type="http://schemas.openxmlformats.org/officeDocument/2006/relationships/hyperlink" Target="https://drive.google.com/open?id=16h1XA25GJ1TU1q7rbls2EMUq8y4kwkzG" TargetMode="External"/><Relationship Id="rId282" Type="http://schemas.openxmlformats.org/officeDocument/2006/relationships/hyperlink" Target="https://drive.google.com/open?id=1zqREZEid7LjDemDQRzlRnMrBeJLDDvR6" TargetMode="External"/><Relationship Id="rId281" Type="http://schemas.openxmlformats.org/officeDocument/2006/relationships/hyperlink" Target="https://drive.google.com/open?id=1UcSefaX-YRYM9PsMTg4Xk77RaO10iD0b" TargetMode="External"/><Relationship Id="rId280" Type="http://schemas.openxmlformats.org/officeDocument/2006/relationships/hyperlink" Target="https://drive.google.com/open?id=1pXc6e2KSlhax2blaYK_aVanzK5WNcI9e" TargetMode="External"/><Relationship Id="rId275" Type="http://schemas.openxmlformats.org/officeDocument/2006/relationships/hyperlink" Target="https://drive.google.com/open?id=1s9LcQ3nsdNW-wR3M9dFD2tGpqOslvTY-" TargetMode="External"/><Relationship Id="rId274" Type="http://schemas.openxmlformats.org/officeDocument/2006/relationships/hyperlink" Target="https://drive.google.com/open?id=14CRaZReg7B0ONCigQGUBjg9U-fHNCBhA" TargetMode="External"/><Relationship Id="rId273" Type="http://schemas.openxmlformats.org/officeDocument/2006/relationships/hyperlink" Target="https://drive.google.com/open?id=1vlOcECUuUqwfh9VNUJ9BLBcN6mka85dZ" TargetMode="External"/><Relationship Id="rId272" Type="http://schemas.openxmlformats.org/officeDocument/2006/relationships/hyperlink" Target="https://drive.google.com/open?id=1oDAMVtDh5MiZK0gS71zQz-5DhpJ_bO0d" TargetMode="External"/><Relationship Id="rId279" Type="http://schemas.openxmlformats.org/officeDocument/2006/relationships/hyperlink" Target="https://drive.google.com/open?id=1z2Rc9VihMaijE3LIhoud3jfBqwR_EFm_" TargetMode="External"/><Relationship Id="rId278" Type="http://schemas.openxmlformats.org/officeDocument/2006/relationships/hyperlink" Target="https://drive.google.com/open?id=18cz6XItrxA4RcGYHvyn2iNF9DLSDdV6U" TargetMode="External"/><Relationship Id="rId277" Type="http://schemas.openxmlformats.org/officeDocument/2006/relationships/hyperlink" Target="https://drive.google.com/open?id=1FLogoChYiIWXfbR9ccyg22leAkqfp2po" TargetMode="External"/><Relationship Id="rId276" Type="http://schemas.openxmlformats.org/officeDocument/2006/relationships/hyperlink" Target="https://drive.google.com/open?id=1zNLBDeYhAs6UNwAmHE9Na_JKyIlJQ-Rh" TargetMode="External"/><Relationship Id="rId907" Type="http://schemas.openxmlformats.org/officeDocument/2006/relationships/hyperlink" Target="https://drive.google.com/open?id=1J8Ag8WjhNrExkk329q3bektSNCf-jY1sknl8SaFyiv4" TargetMode="External"/><Relationship Id="rId906" Type="http://schemas.openxmlformats.org/officeDocument/2006/relationships/hyperlink" Target="https://drive.google.com/open?id=1fzeYRBXoUxXMeMyaCfS5bEsJst41hZuuL2x-SL-Dof0" TargetMode="External"/><Relationship Id="rId905" Type="http://schemas.openxmlformats.org/officeDocument/2006/relationships/hyperlink" Target="https://drive.google.com/open?id=1N60Su56VCIhfeZ7KJbMbJ5AvNG34cUhxxUiCzYN1ME0" TargetMode="External"/><Relationship Id="rId904" Type="http://schemas.openxmlformats.org/officeDocument/2006/relationships/hyperlink" Target="https://drive.google.com/open?id=1Hfjewsnfba3ZfhSRuR-pkU2-oeNX5HeOn-L9uSYAwWM" TargetMode="External"/><Relationship Id="rId909" Type="http://schemas.openxmlformats.org/officeDocument/2006/relationships/hyperlink" Target="https://drive.google.com/open?id=1CPppvj7WvZmdL0kPMGqNCRVh4geaNMIttNcVm-PfHMc" TargetMode="External"/><Relationship Id="rId908" Type="http://schemas.openxmlformats.org/officeDocument/2006/relationships/hyperlink" Target="https://drive.google.com/open?id=17354YMNLrHE5UUJAax265tFEFO65BDTt" TargetMode="External"/><Relationship Id="rId903" Type="http://schemas.openxmlformats.org/officeDocument/2006/relationships/hyperlink" Target="https://drive.google.com/open?id=1E-osumwsnlY5kU12r1QA3n4uckGq92eHRWH3O3oJrZc" TargetMode="External"/><Relationship Id="rId902" Type="http://schemas.openxmlformats.org/officeDocument/2006/relationships/hyperlink" Target="https://drive.google.com/open?id=1Ag8a-t613yBWzbABwyZ_aivXHfD72NCw" TargetMode="External"/><Relationship Id="rId901" Type="http://schemas.openxmlformats.org/officeDocument/2006/relationships/hyperlink" Target="https://drive.google.com/open?id=1uvP9Lm2vaNDEtzDmL91MyLFoEFFOvnNxuEwpHS894wI" TargetMode="External"/><Relationship Id="rId900" Type="http://schemas.openxmlformats.org/officeDocument/2006/relationships/hyperlink" Target="https://drive.google.com/open?id=19ezccxDarZlC2i85iG8Na2hNiwtd5iaq" TargetMode="External"/><Relationship Id="rId929" Type="http://schemas.openxmlformats.org/officeDocument/2006/relationships/hyperlink" Target="https://drive.google.com/open?id=1jXQFz9tWqcKTt4NxkjUN3qEJZB_zPDup" TargetMode="External"/><Relationship Id="rId928" Type="http://schemas.openxmlformats.org/officeDocument/2006/relationships/hyperlink" Target="https://drive.google.com/open?id=1jEea5eObqc3VBTLLGQVyDSGE9L7cHchz" TargetMode="External"/><Relationship Id="rId927" Type="http://schemas.openxmlformats.org/officeDocument/2006/relationships/hyperlink" Target="https://drive.google.com/open?id=1ICDAawc92E5i5PDUqUHLujTz2ZPgF23n" TargetMode="External"/><Relationship Id="rId926" Type="http://schemas.openxmlformats.org/officeDocument/2006/relationships/hyperlink" Target="https://drive.google.com/open?id=1ctBDZBdktC0PIYmsdfgdr6hzGg9olJNf" TargetMode="External"/><Relationship Id="rId921" Type="http://schemas.openxmlformats.org/officeDocument/2006/relationships/hyperlink" Target="https://drive.google.com/open?id=1mvNQK87fXwQMId2B00LD3x-aExs_hQ440khkcBW_36M" TargetMode="External"/><Relationship Id="rId920" Type="http://schemas.openxmlformats.org/officeDocument/2006/relationships/hyperlink" Target="https://drive.google.com/open?id=1mVxqMPzDyLsQlnuR2QcqTFAVEgo2OWDeYjTnjlNdEew" TargetMode="External"/><Relationship Id="rId925" Type="http://schemas.openxmlformats.org/officeDocument/2006/relationships/hyperlink" Target="https://drive.google.com/open?id=1aCTly5T9Y29i5d-54Y18Npu_Yxw9buuT" TargetMode="External"/><Relationship Id="rId924" Type="http://schemas.openxmlformats.org/officeDocument/2006/relationships/hyperlink" Target="https://drive.google.com/open?id=1KdayRp4Utwu1ThsbNSwsYaMhIXxcrseCMb8Myt4kJvE" TargetMode="External"/><Relationship Id="rId923" Type="http://schemas.openxmlformats.org/officeDocument/2006/relationships/hyperlink" Target="https://drive.google.com/open?id=1zX2fCBjzlUDsvmaZ-yMM8Yt_HPxCXkTOpGRFxlyaaTY" TargetMode="External"/><Relationship Id="rId922" Type="http://schemas.openxmlformats.org/officeDocument/2006/relationships/hyperlink" Target="https://drive.google.com/open?id=1d18_RPcExySXem6civ3Gwz2cOzQu04jCetBKjAncThA" TargetMode="External"/><Relationship Id="rId918" Type="http://schemas.openxmlformats.org/officeDocument/2006/relationships/hyperlink" Target="https://drive.google.com/open?id=1f3wwA2BjfYfcGw3oyrNr0dhiV4HAu4zK" TargetMode="External"/><Relationship Id="rId917" Type="http://schemas.openxmlformats.org/officeDocument/2006/relationships/hyperlink" Target="https://drive.google.com/open?id=1eQZp65RdajIx1aU1IjhOTAhw3cJZ2apR" TargetMode="External"/><Relationship Id="rId916" Type="http://schemas.openxmlformats.org/officeDocument/2006/relationships/hyperlink" Target="https://drive.google.com/open?id=13tAL-HIOOkvbAGvwm3Iwl8R-yTzjBu1J" TargetMode="External"/><Relationship Id="rId915" Type="http://schemas.openxmlformats.org/officeDocument/2006/relationships/hyperlink" Target="https://drive.google.com/open?id=1zcYpjJPW5BPJ1dLBTx86a8sz3N-yhUJt" TargetMode="External"/><Relationship Id="rId919" Type="http://schemas.openxmlformats.org/officeDocument/2006/relationships/hyperlink" Target="https://drive.google.com/open?id=1xYYdK5Ct0RBpEJqM4zy6D6mFtrMODTY8" TargetMode="External"/><Relationship Id="rId910" Type="http://schemas.openxmlformats.org/officeDocument/2006/relationships/hyperlink" Target="https://drive.google.com/open?id=13IDwH1jk2BVX6yLeDhwKSyEqOzElkRkJ" TargetMode="External"/><Relationship Id="rId914" Type="http://schemas.openxmlformats.org/officeDocument/2006/relationships/hyperlink" Target="https://drive.google.com/open?id=1ldXuf6T3YaFFePiWtqIy6_arNBWlsQhz" TargetMode="External"/><Relationship Id="rId913" Type="http://schemas.openxmlformats.org/officeDocument/2006/relationships/hyperlink" Target="https://drive.google.com/open?id=143MPdKOeldMM6iZjpzX9GPKoXinf6k9AHrk2MG7ggAE" TargetMode="External"/><Relationship Id="rId912" Type="http://schemas.openxmlformats.org/officeDocument/2006/relationships/hyperlink" Target="https://drive.google.com/open?id=1Muy4CFToOt6fp0PtMoekHGMB9SIYF0Jh" TargetMode="External"/><Relationship Id="rId911" Type="http://schemas.openxmlformats.org/officeDocument/2006/relationships/hyperlink" Target="https://drive.google.com/open?id=1L5vcrtsQIMAkHr9Qv-OKVCkMAMbSTa9h" TargetMode="External"/><Relationship Id="rId629" Type="http://schemas.openxmlformats.org/officeDocument/2006/relationships/hyperlink" Target="https://drive.google.com/open?id=1gJTOe5zuqJJ7dMgxQvJimGFe1xDv1p5l" TargetMode="External"/><Relationship Id="rId624" Type="http://schemas.openxmlformats.org/officeDocument/2006/relationships/hyperlink" Target="https://drive.google.com/open?id=1pkN_-aN2DrtSMeyoj2b4Q4gj45zzrzTu49xzxqGj5yU" TargetMode="External"/><Relationship Id="rId866" Type="http://schemas.openxmlformats.org/officeDocument/2006/relationships/hyperlink" Target="https://drive.google.com/open?id=1xK-nS3kWkcJxVGhwbsz3XCoWNm1YBKRJojuj9P2tXHg" TargetMode="External"/><Relationship Id="rId623" Type="http://schemas.openxmlformats.org/officeDocument/2006/relationships/hyperlink" Target="https://drive.google.com/open?id=1xCIqwpOPdQjqRKMDJszc5xJMAA6R9YoQtGb6cgh0diM" TargetMode="External"/><Relationship Id="rId865" Type="http://schemas.openxmlformats.org/officeDocument/2006/relationships/hyperlink" Target="https://drive.google.com/open?id=1sKdwUF4gfTDiDtFo_t3p9JdS2r_4eesLloslzO23fMo" TargetMode="External"/><Relationship Id="rId622" Type="http://schemas.openxmlformats.org/officeDocument/2006/relationships/hyperlink" Target="https://drive.google.com/open?id=1WkB1JQTZ5-q_Z2QqrFQ3PAZHWVt4Ou5m" TargetMode="External"/><Relationship Id="rId864" Type="http://schemas.openxmlformats.org/officeDocument/2006/relationships/hyperlink" Target="https://drive.google.com/open?id=1SBltFbOFAuuF8mo_1AfB40dW3udQLtHYtRpZ-0ZZib8" TargetMode="External"/><Relationship Id="rId621" Type="http://schemas.openxmlformats.org/officeDocument/2006/relationships/hyperlink" Target="https://drive.google.com/open?id=1WGojeLNOgY73-14WNIX97JG8T7sh6sI5dD4fj8nBybA" TargetMode="External"/><Relationship Id="rId863" Type="http://schemas.openxmlformats.org/officeDocument/2006/relationships/hyperlink" Target="https://drive.google.com/open?id=1NWOrCh2Eu6_k31zsGOn0-nxRk8Ra5tZekLWIWg6R8mw" TargetMode="External"/><Relationship Id="rId628" Type="http://schemas.openxmlformats.org/officeDocument/2006/relationships/hyperlink" Target="https://drive.google.com/open?id=1U4P7szq7rk-yTPd7xpG3mSOrMhXi11PSubj4xc0zRso" TargetMode="External"/><Relationship Id="rId627" Type="http://schemas.openxmlformats.org/officeDocument/2006/relationships/hyperlink" Target="https://drive.google.com/open?id=1whf4uP1elvrbnorhWLg0sjuDBdY0kSDS" TargetMode="External"/><Relationship Id="rId869" Type="http://schemas.openxmlformats.org/officeDocument/2006/relationships/hyperlink" Target="https://drive.google.com/open?id=1YFf3WTkJmGwVzl4mp0bMwHJ3DzzPsC7O" TargetMode="External"/><Relationship Id="rId626" Type="http://schemas.openxmlformats.org/officeDocument/2006/relationships/hyperlink" Target="https://drive.google.com/open?id=1BJjjvQqoGJATHR5SYYmMl09OJ8kJ5ruo" TargetMode="External"/><Relationship Id="rId868" Type="http://schemas.openxmlformats.org/officeDocument/2006/relationships/hyperlink" Target="https://drive.google.com/open?id=13X5Ffpmu_lKU5n8biPngLBhBy74_rnAkzvbGsBIuJ64" TargetMode="External"/><Relationship Id="rId625" Type="http://schemas.openxmlformats.org/officeDocument/2006/relationships/hyperlink" Target="https://drive.google.com/open?id=1PWJ8F741v91AqrIOpZQn2yUVhLposmRM" TargetMode="External"/><Relationship Id="rId867" Type="http://schemas.openxmlformats.org/officeDocument/2006/relationships/hyperlink" Target="https://drive.google.com/open?id=1QUucbG4t4D0Lxqe1NorPtkZWnlJnLOt_Cm4O38-MnVc" TargetMode="External"/><Relationship Id="rId620" Type="http://schemas.openxmlformats.org/officeDocument/2006/relationships/hyperlink" Target="https://drive.google.com/open?id=1mBYsYGyV1aT6ucvbYlHoRKKs5K_uvHtupiAeYIJFwJ0" TargetMode="External"/><Relationship Id="rId862" Type="http://schemas.openxmlformats.org/officeDocument/2006/relationships/hyperlink" Target="https://drive.google.com/open?id=1aCroiMlfljehvXXdSijrgOMFADsKk7Dav77gwi0PQyI" TargetMode="External"/><Relationship Id="rId861" Type="http://schemas.openxmlformats.org/officeDocument/2006/relationships/hyperlink" Target="https://drive.google.com/open?id=1fxo-xd87HTR1BHB-QUZZk1N5-KyP2u4pQG07R3mskUY" TargetMode="External"/><Relationship Id="rId860" Type="http://schemas.openxmlformats.org/officeDocument/2006/relationships/hyperlink" Target="https://drive.google.com/open?id=1-wTVwHJFwG1mFC4otxHiftj7LvmQwUGGhPaj8MMc14I" TargetMode="External"/><Relationship Id="rId619" Type="http://schemas.openxmlformats.org/officeDocument/2006/relationships/hyperlink" Target="https://drive.google.com/open?id=1h9mXCeiQyXNlG6F5h3q7NTypeO79grpl" TargetMode="External"/><Relationship Id="rId618" Type="http://schemas.openxmlformats.org/officeDocument/2006/relationships/hyperlink" Target="https://drive.google.com/open?id=1uEtXN0R8TUX_xm-3qQL1l6hM7sK4IOiD" TargetMode="External"/><Relationship Id="rId613" Type="http://schemas.openxmlformats.org/officeDocument/2006/relationships/hyperlink" Target="https://drive.google.com/open?id=1e89_uOOuK_6akD15UZVLC_m8JGTYjpZT" TargetMode="External"/><Relationship Id="rId855" Type="http://schemas.openxmlformats.org/officeDocument/2006/relationships/hyperlink" Target="https://drive.google.com/open?id=1qogkpVI-cfHq4vef6OE70KgKOdKk7LI3bj9tfPBqo4c" TargetMode="External"/><Relationship Id="rId612" Type="http://schemas.openxmlformats.org/officeDocument/2006/relationships/hyperlink" Target="https://drive.google.com/open?id=1ogdUlLnufcDs1xmNg35PDgwASKlvOYHg" TargetMode="External"/><Relationship Id="rId854" Type="http://schemas.openxmlformats.org/officeDocument/2006/relationships/hyperlink" Target="https://drive.google.com/open?id=14SpHemu4ZjwaDGjMAcprJK1Qc9KSvRFl" TargetMode="External"/><Relationship Id="rId611" Type="http://schemas.openxmlformats.org/officeDocument/2006/relationships/hyperlink" Target="https://drive.google.com/open?id=1UhMe5los35A7iluCY3xP0FB3rqZsI6oLRkwx_mqfY-A" TargetMode="External"/><Relationship Id="rId853" Type="http://schemas.openxmlformats.org/officeDocument/2006/relationships/hyperlink" Target="https://drive.google.com/open?id=1jT0Df8_FJo8xFkApOzrlrKNdCRdgVoKu2ZZPurSPvJk" TargetMode="External"/><Relationship Id="rId610" Type="http://schemas.openxmlformats.org/officeDocument/2006/relationships/hyperlink" Target="https://drive.google.com/open?id=1KhVbasfFKDEsxZhvHcUOPj8U-Wsd365aay_fi922XHQ" TargetMode="External"/><Relationship Id="rId852" Type="http://schemas.openxmlformats.org/officeDocument/2006/relationships/hyperlink" Target="https://drive.google.com/open?id=1p7FGfT-L8XHNRABE3sRpAvhv0IewsBLVn9Fvm-ucNsU" TargetMode="External"/><Relationship Id="rId617" Type="http://schemas.openxmlformats.org/officeDocument/2006/relationships/hyperlink" Target="https://drive.google.com/open?id=1qYnAwBIylfVw0xTqZ-8yK6cJeULtCaft" TargetMode="External"/><Relationship Id="rId859" Type="http://schemas.openxmlformats.org/officeDocument/2006/relationships/hyperlink" Target="https://drive.google.com/open?id=1ErRkIyICBfLBz23guGFV6y1K1_ZKE5ZGjeyntfvoY2Y" TargetMode="External"/><Relationship Id="rId616" Type="http://schemas.openxmlformats.org/officeDocument/2006/relationships/hyperlink" Target="https://drive.google.com/open?id=1EN0MnikfgUjLn27j5bykHFSkDRBCNWafLpzmUp2Uu5o" TargetMode="External"/><Relationship Id="rId858" Type="http://schemas.openxmlformats.org/officeDocument/2006/relationships/hyperlink" Target="https://drive.google.com/open?id=1UdH1828AOM6hA_gusH4HaQoLFlGBEZXV" TargetMode="External"/><Relationship Id="rId615" Type="http://schemas.openxmlformats.org/officeDocument/2006/relationships/hyperlink" Target="https://drive.google.com/open?id=1IB0hy52FMLKmM51vquZPzWF0klZIH0jX" TargetMode="External"/><Relationship Id="rId857" Type="http://schemas.openxmlformats.org/officeDocument/2006/relationships/hyperlink" Target="https://drive.google.com/open?id=1U5lmkNQQqP-qSWCVODj3B2vOTmHPtPj_" TargetMode="External"/><Relationship Id="rId614" Type="http://schemas.openxmlformats.org/officeDocument/2006/relationships/hyperlink" Target="https://drive.google.com/open?id=1uZTCEszEHT2umDxL8qZLOUmz2IIPtIZn" TargetMode="External"/><Relationship Id="rId856" Type="http://schemas.openxmlformats.org/officeDocument/2006/relationships/hyperlink" Target="https://drive.google.com/open?id=1L_s5mWAVdn2Bf5O2sxpyvg-_SeofUbguX_YaGLNh7W4" TargetMode="External"/><Relationship Id="rId851" Type="http://schemas.openxmlformats.org/officeDocument/2006/relationships/hyperlink" Target="https://drive.google.com/open?id=1GuRbPPcjc34Hm0vPws6R-d8OeVvMKYgt" TargetMode="External"/><Relationship Id="rId850" Type="http://schemas.openxmlformats.org/officeDocument/2006/relationships/hyperlink" Target="https://drive.google.com/open?id=1A9d5Si9YGD-iOIEXZmhjyuiucokaw3bGXbZv4XJHBr8" TargetMode="External"/><Relationship Id="rId409" Type="http://schemas.openxmlformats.org/officeDocument/2006/relationships/hyperlink" Target="https://drive.google.com/open?id=1gTPXuXjjvNSMJGOOWUnIv8ID7FcvG9K6" TargetMode="External"/><Relationship Id="rId404" Type="http://schemas.openxmlformats.org/officeDocument/2006/relationships/hyperlink" Target="https://drive.google.com/open?id=1Jt7NvwRUl4sGdEC4X3Mb-sJc2E-cZ1hw" TargetMode="External"/><Relationship Id="rId646" Type="http://schemas.openxmlformats.org/officeDocument/2006/relationships/hyperlink" Target="https://drive.google.com/open?id=1fe3lhsS4mS9JXgHfOJoK2LetWx-dru7qLSB482IfruU" TargetMode="External"/><Relationship Id="rId888" Type="http://schemas.openxmlformats.org/officeDocument/2006/relationships/hyperlink" Target="https://drive.google.com/open?id=1nW9dqP4zdfkZFih-I6j7TcDr5du43shd4CnUuKhlsW8" TargetMode="External"/><Relationship Id="rId403" Type="http://schemas.openxmlformats.org/officeDocument/2006/relationships/hyperlink" Target="https://drive.google.com/open?id=16RvifwsyBaREwZ-XljjMDCWFv52SKKDE" TargetMode="External"/><Relationship Id="rId645" Type="http://schemas.openxmlformats.org/officeDocument/2006/relationships/hyperlink" Target="https://drive.google.com/open?id=1UwCxPR5yVLFt7EMl8AciKTkNdarWqOaKefqdP20cUGM" TargetMode="External"/><Relationship Id="rId887" Type="http://schemas.openxmlformats.org/officeDocument/2006/relationships/hyperlink" Target="https://drive.google.com/open?id=1DTdQvxm6qNARzmz70rsFDuKURaE-EPn285CpvtHeIhc" TargetMode="External"/><Relationship Id="rId402" Type="http://schemas.openxmlformats.org/officeDocument/2006/relationships/hyperlink" Target="https://drive.google.com/open?id=1VDk3QBTq48ok9GjVaEvRyb4xJ9g74BOV" TargetMode="External"/><Relationship Id="rId644" Type="http://schemas.openxmlformats.org/officeDocument/2006/relationships/hyperlink" Target="https://drive.google.com/open?id=13INO2t2LhRhM7iDavO9VX9n0JUednpcMrZYAKbqWMbU" TargetMode="External"/><Relationship Id="rId886" Type="http://schemas.openxmlformats.org/officeDocument/2006/relationships/hyperlink" Target="https://drive.google.com/open?id=1hgusqHr8_f1ZVpj-nt_BTzwUJgDMGKhXpGf4AFdgs1E" TargetMode="External"/><Relationship Id="rId401" Type="http://schemas.openxmlformats.org/officeDocument/2006/relationships/hyperlink" Target="https://drive.google.com/open?id=1TYjk-rmVjvr14s6LI0MZYvKHjC4etpD9" TargetMode="External"/><Relationship Id="rId643" Type="http://schemas.openxmlformats.org/officeDocument/2006/relationships/hyperlink" Target="https://drive.google.com/open?id=1KoUwMlwZ3vJ88WRnZsGsl5bpLXTWRdmg" TargetMode="External"/><Relationship Id="rId885" Type="http://schemas.openxmlformats.org/officeDocument/2006/relationships/hyperlink" Target="https://drive.google.com/open?id=1PVEVTYpwUJhr2Wy_B-gfwbNXhGc8S3Vv" TargetMode="External"/><Relationship Id="rId408" Type="http://schemas.openxmlformats.org/officeDocument/2006/relationships/hyperlink" Target="https://drive.google.com/open?id=1xWDkPuPSe-FmFJvCcyvQC3QauT1Yv4-2" TargetMode="External"/><Relationship Id="rId407" Type="http://schemas.openxmlformats.org/officeDocument/2006/relationships/hyperlink" Target="https://drive.google.com/open?id=1fzY7Y6dR2e6G8DDeg5Sx30zU5hzS4orw" TargetMode="External"/><Relationship Id="rId649" Type="http://schemas.openxmlformats.org/officeDocument/2006/relationships/hyperlink" Target="https://drive.google.com/open?id=1sRQR_0M05dUMTtSsj3weZkjs1UPfhyik3oynMq3Ux4k" TargetMode="External"/><Relationship Id="rId406" Type="http://schemas.openxmlformats.org/officeDocument/2006/relationships/hyperlink" Target="https://drive.google.com/open?id=1MWCbsyuZiCEi89YD1cvdtBfClz_UtoSG" TargetMode="External"/><Relationship Id="rId648" Type="http://schemas.openxmlformats.org/officeDocument/2006/relationships/hyperlink" Target="https://drive.google.com/open?id=1_AnbHGQuL5q1l7kwr9HwHmR26jy9XLz1COFMW0uR5Ts" TargetMode="External"/><Relationship Id="rId405" Type="http://schemas.openxmlformats.org/officeDocument/2006/relationships/hyperlink" Target="https://drive.google.com/open?id=1h6UN6M9XMjIF4MHEQFA2sPuKRg7xg0y6" TargetMode="External"/><Relationship Id="rId647" Type="http://schemas.openxmlformats.org/officeDocument/2006/relationships/hyperlink" Target="https://drive.google.com/open?id=1Ybxm8csoNsZrUfpEYgOPUGBX0DJFOAmQe8LbzvoCN3k" TargetMode="External"/><Relationship Id="rId889" Type="http://schemas.openxmlformats.org/officeDocument/2006/relationships/hyperlink" Target="https://drive.google.com/open?id=1ogQIEZQ9bDGitWYglgtEPq0-xbejsjjOwq_U0E3CffA" TargetMode="External"/><Relationship Id="rId880" Type="http://schemas.openxmlformats.org/officeDocument/2006/relationships/hyperlink" Target="https://drive.google.com/open?id=1DvUiVuPJl0w9vnKZbgNH8ABCE8Na5i0wMnVlV8UnNag" TargetMode="External"/><Relationship Id="rId400" Type="http://schemas.openxmlformats.org/officeDocument/2006/relationships/hyperlink" Target="https://drive.google.com/open?id=1elQZA4uP3z1Vuvtu8xVO3anQ1nxvk8eq" TargetMode="External"/><Relationship Id="rId642" Type="http://schemas.openxmlformats.org/officeDocument/2006/relationships/hyperlink" Target="https://drive.google.com/open?id=1yVArfpB9tr3tu2eWT86fTpYc6IJsBGZu" TargetMode="External"/><Relationship Id="rId884" Type="http://schemas.openxmlformats.org/officeDocument/2006/relationships/hyperlink" Target="https://drive.google.com/open?id=1i_tXwTUVS4at-60cZwzwtd8H_zeI7gKB" TargetMode="External"/><Relationship Id="rId641" Type="http://schemas.openxmlformats.org/officeDocument/2006/relationships/hyperlink" Target="https://drive.google.com/open?id=1cmlBbcqiS9SavXXuw4Tv7bdFeAGW8isf" TargetMode="External"/><Relationship Id="rId883" Type="http://schemas.openxmlformats.org/officeDocument/2006/relationships/hyperlink" Target="https://drive.google.com/open?id=1-AiGPu4cUfQYwvrxhucR557ogagM6gSM" TargetMode="External"/><Relationship Id="rId640" Type="http://schemas.openxmlformats.org/officeDocument/2006/relationships/hyperlink" Target="https://drive.google.com/open?id=17pKKXSGFHruMq87tq7RpefXP72ZZGtLn" TargetMode="External"/><Relationship Id="rId882" Type="http://schemas.openxmlformats.org/officeDocument/2006/relationships/hyperlink" Target="https://drive.google.com/open?id=1Dgwo4J3_Atgys1srALV2DITxI1vU3CKy" TargetMode="External"/><Relationship Id="rId881" Type="http://schemas.openxmlformats.org/officeDocument/2006/relationships/hyperlink" Target="https://drive.google.com/open?id=10ckJUB_DnQ8aLtCQHlYUITrXaO8TKK-syMv_MX0W1iM" TargetMode="External"/><Relationship Id="rId635" Type="http://schemas.openxmlformats.org/officeDocument/2006/relationships/hyperlink" Target="https://drive.google.com/open?id=1d3wNoqPNss044gWldU9BpBgxE3B4d0DMqncOBf2uZkU" TargetMode="External"/><Relationship Id="rId877" Type="http://schemas.openxmlformats.org/officeDocument/2006/relationships/hyperlink" Target="https://drive.google.com/open?id=13d6bFHNxZV-orbuu7m7Jjk8XM-zuQTyMJaGdtO2phIo" TargetMode="External"/><Relationship Id="rId634" Type="http://schemas.openxmlformats.org/officeDocument/2006/relationships/hyperlink" Target="https://drive.google.com/open?id=1p8a4aNgrQX2hS40z1CXmwgOXGL_LMj0Lfo05NUGtq54" TargetMode="External"/><Relationship Id="rId876" Type="http://schemas.openxmlformats.org/officeDocument/2006/relationships/hyperlink" Target="https://drive.google.com/open?id=15iqofTVELuqsSiDIaayIyitlPyWmg8iUs8FDBNaXKK4" TargetMode="External"/><Relationship Id="rId633" Type="http://schemas.openxmlformats.org/officeDocument/2006/relationships/hyperlink" Target="https://drive.google.com/open?id=1r1z7TpjHz5PhvkRqTXEQd5_b3EQaNLuS" TargetMode="External"/><Relationship Id="rId875" Type="http://schemas.openxmlformats.org/officeDocument/2006/relationships/hyperlink" Target="https://drive.google.com/file/d/1TBwPx9QxllPperENDYjIDC4wS_n0Riyv/view?usp=sharing" TargetMode="External"/><Relationship Id="rId632" Type="http://schemas.openxmlformats.org/officeDocument/2006/relationships/hyperlink" Target="https://drive.google.com/open?id=1ujQP-T0WqfAIMLwo1nKHNtbfGoDrOMWF" TargetMode="External"/><Relationship Id="rId874" Type="http://schemas.openxmlformats.org/officeDocument/2006/relationships/hyperlink" Target="https://drive.google.com/open?id=1gaE6TN3XGlDUW2QNWcOLaVxmO8Od2djm3wE5nZ5WLwM" TargetMode="External"/><Relationship Id="rId639" Type="http://schemas.openxmlformats.org/officeDocument/2006/relationships/hyperlink" Target="https://drive.google.com/open?id=17W37b1zEu5H0Akrg1vBCQfB1QgsQPWaBrXx6n999gyM" TargetMode="External"/><Relationship Id="rId638" Type="http://schemas.openxmlformats.org/officeDocument/2006/relationships/hyperlink" Target="https://drive.google.com/open?id=12eYNWBwT8dnN-z6dm230LPA9TRMLC9evCS_kXa5cgag" TargetMode="External"/><Relationship Id="rId637" Type="http://schemas.openxmlformats.org/officeDocument/2006/relationships/hyperlink" Target="https://drive.google.com/open?id=1KZNDLKnvjNmmlwpZjR6LXkap9uMyMAZRZEblfxcFpSc" TargetMode="External"/><Relationship Id="rId879" Type="http://schemas.openxmlformats.org/officeDocument/2006/relationships/hyperlink" Target="https://drive.google.com/open?id=1lzlyMDbn9fpLwx-EiwgI4u2q7RUPGgui0jIpl_mnUdw" TargetMode="External"/><Relationship Id="rId636" Type="http://schemas.openxmlformats.org/officeDocument/2006/relationships/hyperlink" Target="https://drive.google.com/open?id=16Bap-GSdm48zzGCmd7bx5pymgfeaEsYXwKgqYP_qLpQ" TargetMode="External"/><Relationship Id="rId878" Type="http://schemas.openxmlformats.org/officeDocument/2006/relationships/hyperlink" Target="https://drive.google.com/open?id=1VQ4tks9e81rk_ClQGF42pwHPVhoqSPmq1swlH237Uqk" TargetMode="External"/><Relationship Id="rId631" Type="http://schemas.openxmlformats.org/officeDocument/2006/relationships/hyperlink" Target="https://drive.google.com/open?id=1KLoRUUIonaCuIY9U2BmGVet-H7tP_mXv" TargetMode="External"/><Relationship Id="rId873" Type="http://schemas.openxmlformats.org/officeDocument/2006/relationships/hyperlink" Target="https://drive.google.com/open?id=1ZiL9yOV9XB0myLhpzeFX0GR_mK_CSk5U" TargetMode="External"/><Relationship Id="rId630" Type="http://schemas.openxmlformats.org/officeDocument/2006/relationships/hyperlink" Target="https://drive.google.com/open?id=1k1-ZKDJ5JqZvmEHIxu67FPWT28WM7md8" TargetMode="External"/><Relationship Id="rId872" Type="http://schemas.openxmlformats.org/officeDocument/2006/relationships/hyperlink" Target="https://drive.google.com/open?id=12M1OJtS7okYkCnBBu9rsFEccX8tWa_PX" TargetMode="External"/><Relationship Id="rId871" Type="http://schemas.openxmlformats.org/officeDocument/2006/relationships/hyperlink" Target="https://drive.google.com/open?id=1D6sY078M_mTgMMHZ4bq5Wn2Cy_ba2Eee" TargetMode="External"/><Relationship Id="rId870" Type="http://schemas.openxmlformats.org/officeDocument/2006/relationships/hyperlink" Target="https://drive.google.com/open?id=1Q-2HUV3oEy29X_CjiAHPNaaQ_xqH5-1EwGQIiCQ2mSo" TargetMode="External"/><Relationship Id="rId829" Type="http://schemas.openxmlformats.org/officeDocument/2006/relationships/hyperlink" Target="https://drive.google.com/open?id=1iZWI0uc5eB0Q3NM80H01IcKYF3qpqnBT" TargetMode="External"/><Relationship Id="rId828" Type="http://schemas.openxmlformats.org/officeDocument/2006/relationships/hyperlink" Target="https://drive.google.com/open?id=1993-PW9ns9q6ks9LnQpYOqRkNaodg1Hp" TargetMode="External"/><Relationship Id="rId827" Type="http://schemas.openxmlformats.org/officeDocument/2006/relationships/hyperlink" Target="https://drive.google.com/open?id=1PX5oWRSvv-mKJcrfQiKBhoENez3sCj9V" TargetMode="External"/><Relationship Id="rId822" Type="http://schemas.openxmlformats.org/officeDocument/2006/relationships/hyperlink" Target="https://drive.google.com/open?id=1man3c7Wa2IAAFN7vNXAxMeYl9TFaY0w57mAnZ6dGU0w" TargetMode="External"/><Relationship Id="rId821" Type="http://schemas.openxmlformats.org/officeDocument/2006/relationships/hyperlink" Target="https://drive.google.com/open?id=1tf6CBouEOkPFtVy2dhf8GvnCCpqcDTuG5OjsQWZnUZM" TargetMode="External"/><Relationship Id="rId820" Type="http://schemas.openxmlformats.org/officeDocument/2006/relationships/hyperlink" Target="https://drive.google.com/open?id=1x9AD4KCMrxPxy7Pv8B1u-b58QWRjSqrWvHsKn0K0cQA" TargetMode="External"/><Relationship Id="rId826" Type="http://schemas.openxmlformats.org/officeDocument/2006/relationships/hyperlink" Target="https://drive.google.com/open?id=1Asc7qnAfCck0lIXnW2pS3wXgagHLCAY6_QpE9bMMecc" TargetMode="External"/><Relationship Id="rId825" Type="http://schemas.openxmlformats.org/officeDocument/2006/relationships/hyperlink" Target="https://drive.google.com/open?id=1AFIGyf1bo1obCf3Mp1f5IQ_UReOsN3mnXzo1Yt9ZKUE" TargetMode="External"/><Relationship Id="rId824" Type="http://schemas.openxmlformats.org/officeDocument/2006/relationships/hyperlink" Target="https://drive.google.com/open?id=19nczYdqjh23OaGvi8eIDRe47HUKuwso2" TargetMode="External"/><Relationship Id="rId823" Type="http://schemas.openxmlformats.org/officeDocument/2006/relationships/hyperlink" Target="https://drive.google.com/open?id=19a_MtHm6zDVGIG-Q6ff4bPtEf0aTBNxy" TargetMode="External"/><Relationship Id="rId819" Type="http://schemas.openxmlformats.org/officeDocument/2006/relationships/hyperlink" Target="https://drive.google.com/open?id=1s2INv6tIqHm4WskF5pcGjGBWHAjxlJPq1LCbRgy_kSA" TargetMode="External"/><Relationship Id="rId818" Type="http://schemas.openxmlformats.org/officeDocument/2006/relationships/hyperlink" Target="https://drive.google.com/open?id=1v8PtdIXA2GLy0WdjGkYSSjJZFVKwAhCu" TargetMode="External"/><Relationship Id="rId817" Type="http://schemas.openxmlformats.org/officeDocument/2006/relationships/hyperlink" Target="https://drive.google.com/open?id=1SzwylRxSF3mWKyrcadtXt_1BodULYKyo" TargetMode="External"/><Relationship Id="rId816" Type="http://schemas.openxmlformats.org/officeDocument/2006/relationships/hyperlink" Target="https://drive.google.com/open?id=1evVwzTSqk8ppYMniVTueceneqgwi-1OXPA42UwQy2c0" TargetMode="External"/><Relationship Id="rId811" Type="http://schemas.openxmlformats.org/officeDocument/2006/relationships/hyperlink" Target="https://drive.google.com/open?id=1NS8hcHBkT-gjiSkm-FYkwLqQeAlGQ-_y8LGSm4iO--U" TargetMode="External"/><Relationship Id="rId810" Type="http://schemas.openxmlformats.org/officeDocument/2006/relationships/hyperlink" Target="https://drive.google.com/open?id=1G83kI0PunAuLNO57ws0GBekALp5Ruj2KL6h1inoDIPc" TargetMode="External"/><Relationship Id="rId815" Type="http://schemas.openxmlformats.org/officeDocument/2006/relationships/hyperlink" Target="https://drive.google.com/open?id=10wZQGsxFMGwv3d8BI3SiW-EIA6PUqgjk" TargetMode="External"/><Relationship Id="rId814" Type="http://schemas.openxmlformats.org/officeDocument/2006/relationships/hyperlink" Target="https://drive.google.com/open?id=1O0hyNSJWXLFrx3WBbQpsBVdejVXuHuOA" TargetMode="External"/><Relationship Id="rId813" Type="http://schemas.openxmlformats.org/officeDocument/2006/relationships/hyperlink" Target="https://drive.google.com/open?id=1xnQ5h9Y4Rou3nxMuRfIKsKat1cwznJvQBvBt2CjIrPI" TargetMode="External"/><Relationship Id="rId812" Type="http://schemas.openxmlformats.org/officeDocument/2006/relationships/hyperlink" Target="https://drive.google.com/open?id=1kkdTBGKMNPRgsGrJSpuDHKzB6DGB0mNc0dmW_h1L1rY" TargetMode="External"/><Relationship Id="rId609" Type="http://schemas.openxmlformats.org/officeDocument/2006/relationships/hyperlink" Target="https://drive.google.com/open?id=1AfS10l0CzZRU1TcHy6QqgidaOAdwSJEr" TargetMode="External"/><Relationship Id="rId608" Type="http://schemas.openxmlformats.org/officeDocument/2006/relationships/hyperlink" Target="https://drive.google.com/open?id=1MPOl0DYx7CukwzSpnlR49xCvZqGra1U0" TargetMode="External"/><Relationship Id="rId607" Type="http://schemas.openxmlformats.org/officeDocument/2006/relationships/hyperlink" Target="https://drive.google.com/open?id=1C73fO57KLPlGfFETqRBw5HnYlL4sKDxD" TargetMode="External"/><Relationship Id="rId849" Type="http://schemas.openxmlformats.org/officeDocument/2006/relationships/hyperlink" Target="https://drive.google.com/open?id=1WABjnrHD5oKHf5Z7uiqL9eKQ8Zmi5W6eXYKdzqOpY5M" TargetMode="External"/><Relationship Id="rId602" Type="http://schemas.openxmlformats.org/officeDocument/2006/relationships/hyperlink" Target="https://drive.google.com/open?id=1_jopZvnO2IthfC0PRpkEypHPlIL_pngh" TargetMode="External"/><Relationship Id="rId844" Type="http://schemas.openxmlformats.org/officeDocument/2006/relationships/hyperlink" Target="https://drive.google.com/open?id=1uBy1K-o-uS6M1s5ZlwBF84HXNOml31OvYWblA3--G_o" TargetMode="External"/><Relationship Id="rId601" Type="http://schemas.openxmlformats.org/officeDocument/2006/relationships/hyperlink" Target="https://drive.google.com/open?id=1sTGXOiyMN-W5zxpXsxmQtxZH8_L--MjXEzdA8i_DF8Y" TargetMode="External"/><Relationship Id="rId843" Type="http://schemas.openxmlformats.org/officeDocument/2006/relationships/hyperlink" Target="https://drive.google.com/open?id=1tLlird2y5Ai1F4b5JpWinGf2iV2EmtsWzOxkVe7XqYs" TargetMode="External"/><Relationship Id="rId600" Type="http://schemas.openxmlformats.org/officeDocument/2006/relationships/hyperlink" Target="https://drive.google.com/open?id=1LdyZmre-fwXbW6Xe9M_oX_OsTnfjFUCG" TargetMode="External"/><Relationship Id="rId842" Type="http://schemas.openxmlformats.org/officeDocument/2006/relationships/hyperlink" Target="https://drive.google.com/open?id=1oowadSxNt1a5zRjRL6N1ZeCRX7hfLhylEqO28AkiYXY" TargetMode="External"/><Relationship Id="rId841" Type="http://schemas.openxmlformats.org/officeDocument/2006/relationships/hyperlink" Target="https://drive.google.com/open?id=1egVkwO5yr75-xCKZ4pEO0KntdQiCHCRD0CenNuxypcI" TargetMode="External"/><Relationship Id="rId606" Type="http://schemas.openxmlformats.org/officeDocument/2006/relationships/hyperlink" Target="https://drive.google.com/open?id=1ptCjnS4nZETvwonRVtVh7jqXfXc1x0F6" TargetMode="External"/><Relationship Id="rId848" Type="http://schemas.openxmlformats.org/officeDocument/2006/relationships/hyperlink" Target="https://drive.google.com/open?id=1mp7FqIMstfzPcoaoCLnPa-HfrE1vB_MX3uNHVOG1Jmc" TargetMode="External"/><Relationship Id="rId605" Type="http://schemas.openxmlformats.org/officeDocument/2006/relationships/hyperlink" Target="https://drive.google.com/open?id=1sddCS4y-dQJ1DzXWJm_wCYvplUpHueU42erUBBvUxK4" TargetMode="External"/><Relationship Id="rId847" Type="http://schemas.openxmlformats.org/officeDocument/2006/relationships/hyperlink" Target="https://drive.google.com/open?id=191aDj308R04Hp2XKQzK9hBZ0drumKfm3n4ZTsaCd5wg" TargetMode="External"/><Relationship Id="rId604" Type="http://schemas.openxmlformats.org/officeDocument/2006/relationships/hyperlink" Target="https://drive.google.com/open?id=1BPt3COWepMvAv46K_5TbfAv-Xu30MrQlg5_r7LAnMqc" TargetMode="External"/><Relationship Id="rId846" Type="http://schemas.openxmlformats.org/officeDocument/2006/relationships/hyperlink" Target="https://drive.google.com/open?id=1jFGijoa5diSknR9uC3JjF_lbdNB_u8-APgPz5VPRLWk" TargetMode="External"/><Relationship Id="rId603" Type="http://schemas.openxmlformats.org/officeDocument/2006/relationships/hyperlink" Target="https://drive.google.com/open?id=18duYEGp7daS6PeL4NI_6FAfe9kWbPXCtTtGNXLeKQa8" TargetMode="External"/><Relationship Id="rId845" Type="http://schemas.openxmlformats.org/officeDocument/2006/relationships/hyperlink" Target="https://drive.google.com/open?id=1VwyU_83qaUKbGW5jy2OgjObhCuozODxJXRjP8bS7JXg" TargetMode="External"/><Relationship Id="rId840" Type="http://schemas.openxmlformats.org/officeDocument/2006/relationships/hyperlink" Target="https://drive.google.com/open?id=1wu3TqTx1Mi9A6pJfRZFBseKD1ljNQjRec-QVXMEUapM" TargetMode="External"/><Relationship Id="rId839" Type="http://schemas.openxmlformats.org/officeDocument/2006/relationships/hyperlink" Target="https://drive.google.com/open?id=1643qbCp0DQOFqyR6GkuVqqIYY3MNbJiJ" TargetMode="External"/><Relationship Id="rId838" Type="http://schemas.openxmlformats.org/officeDocument/2006/relationships/hyperlink" Target="https://drive.google.com/open?id=1lFcw_iWMtVR0h41_W_DraOFSdcaHOrXy" TargetMode="External"/><Relationship Id="rId833" Type="http://schemas.openxmlformats.org/officeDocument/2006/relationships/hyperlink" Target="https://drive.google.com/open?id=199aeESgbdYJuVKu5HOPkIMfE4EOBvNLG" TargetMode="External"/><Relationship Id="rId832" Type="http://schemas.openxmlformats.org/officeDocument/2006/relationships/hyperlink" Target="https://drive.google.com/open?id=1vAuNQzhBJi_rGfNGnOMDCp6j6hIE_g-ZH_8LGz0l9tk" TargetMode="External"/><Relationship Id="rId831" Type="http://schemas.openxmlformats.org/officeDocument/2006/relationships/hyperlink" Target="https://drive.google.com/open?id=120srCZ3YhCgy5wfVH09O5P48QVFVzOJBrhZPr-ltXis" TargetMode="External"/><Relationship Id="rId830" Type="http://schemas.openxmlformats.org/officeDocument/2006/relationships/hyperlink" Target="https://drive.google.com/open?id=1ndMXDSp8Fuw3_VvIkNKts919bTJkc8-Q" TargetMode="External"/><Relationship Id="rId837" Type="http://schemas.openxmlformats.org/officeDocument/2006/relationships/hyperlink" Target="https://drive.google.com/open?id=1P7_vnovJbvGK1khWG7Gyv37oPM5aRIgh" TargetMode="External"/><Relationship Id="rId836" Type="http://schemas.openxmlformats.org/officeDocument/2006/relationships/hyperlink" Target="https://drive.google.com/open?id=1E2DcFA8OdpvOOcoHZRr2LSnGPvE83hFN" TargetMode="External"/><Relationship Id="rId835" Type="http://schemas.openxmlformats.org/officeDocument/2006/relationships/hyperlink" Target="https://drive.google.com/open?id=1UEnbJOhpDdoDKmPk3lkE00vdXxbsT6gn" TargetMode="External"/><Relationship Id="rId834" Type="http://schemas.openxmlformats.org/officeDocument/2006/relationships/hyperlink" Target="https://drive.google.com/open?id=1TyKm8O6GmPjB-ip7i9IfHNaO_PknXT4w" TargetMode="External"/><Relationship Id="rId228" Type="http://schemas.openxmlformats.org/officeDocument/2006/relationships/hyperlink" Target="https://drive.google.com/open?id=1aLL76XtQms2nDDIrJDo-W_ZOfxJnQjda" TargetMode="External"/><Relationship Id="rId227" Type="http://schemas.openxmlformats.org/officeDocument/2006/relationships/hyperlink" Target="https://docs.google.com/document/d/1o48mLLrRZX7GAYZji39gCWnhkiVtg2VmIIPaDY5AeWw/edit?tab=t.0" TargetMode="External"/><Relationship Id="rId469" Type="http://schemas.openxmlformats.org/officeDocument/2006/relationships/hyperlink" Target="https://drive.google.com/open?id=10YOJTuqyiZnhf26J9uUTedEINvFM20oCiFF_rKprSbE" TargetMode="External"/><Relationship Id="rId226" Type="http://schemas.openxmlformats.org/officeDocument/2006/relationships/hyperlink" Target="https://drive.google.com/open?id=1ImEJJIfsjCSRy3ThygLTTkKQnPtbs9lL" TargetMode="External"/><Relationship Id="rId468" Type="http://schemas.openxmlformats.org/officeDocument/2006/relationships/hyperlink" Target="https://drive.google.com/open?id=1KZ282OQ3ZJVm_9eVSAFLg-hveU7LTV0Crq_jMi0QwGw" TargetMode="External"/><Relationship Id="rId225" Type="http://schemas.openxmlformats.org/officeDocument/2006/relationships/hyperlink" Target="https://drive.google.com/open?id=1JzfFujVlkYq_VyrA6_cqzll9oT7_cSR9" TargetMode="External"/><Relationship Id="rId467" Type="http://schemas.openxmlformats.org/officeDocument/2006/relationships/hyperlink" Target="https://drive.google.com/open?id=1NXxi1j3q2XjlnI6-1qCozh963kjyc9RJI5YIoicJFSw" TargetMode="External"/><Relationship Id="rId229" Type="http://schemas.openxmlformats.org/officeDocument/2006/relationships/hyperlink" Target="https://drive.google.com/open?id=1taA2gdtcS5Whf2W1-LzHf3BNL3b844Ld" TargetMode="External"/><Relationship Id="rId220" Type="http://schemas.openxmlformats.org/officeDocument/2006/relationships/hyperlink" Target="https://drive.google.com/open?id=14xWcNKCDlM9v3yrtQzc7rWiBRART0kq5" TargetMode="External"/><Relationship Id="rId462" Type="http://schemas.openxmlformats.org/officeDocument/2006/relationships/hyperlink" Target="https://drive.google.com/open?id=1jqY9xXgI9XzPZRVYlxuL2ssiuCf_hhnp" TargetMode="External"/><Relationship Id="rId461" Type="http://schemas.openxmlformats.org/officeDocument/2006/relationships/hyperlink" Target="https://drive.google.com/open?id=1U4nMUeuxVr8kg1R33Y4We5r4JcaVxh35GywYH8KteTA" TargetMode="External"/><Relationship Id="rId460" Type="http://schemas.openxmlformats.org/officeDocument/2006/relationships/hyperlink" Target="https://drive.google.com/open?id=1ftXAvDV8NQFkcMQGIg233qNFzvBEeuTcAY3gjZC9Wfg" TargetMode="External"/><Relationship Id="rId224" Type="http://schemas.openxmlformats.org/officeDocument/2006/relationships/hyperlink" Target="https://drive.google.com/open?id=1IrMke4_pYiw2PXdCZhRNZ6LIsTpdYPZE" TargetMode="External"/><Relationship Id="rId466" Type="http://schemas.openxmlformats.org/officeDocument/2006/relationships/hyperlink" Target="https://drive.google.com/open?id=1IRR9F2nyGz85q1wCpD8kLuOcsCdD0K3_ov3R1ZNSUy0" TargetMode="External"/><Relationship Id="rId223" Type="http://schemas.openxmlformats.org/officeDocument/2006/relationships/hyperlink" Target="https://drive.google.com/open?id=18Oh-w4Stp1yKa-C1i3xX7UPyZACVD42T" TargetMode="External"/><Relationship Id="rId465" Type="http://schemas.openxmlformats.org/officeDocument/2006/relationships/hyperlink" Target="https://drive.google.com/open?id=1DvIWm3eovYeY6rGQg31HVlR7rY7ICe6iIYW2R87Pibk" TargetMode="External"/><Relationship Id="rId222" Type="http://schemas.openxmlformats.org/officeDocument/2006/relationships/hyperlink" Target="https://drive.google.com/open?id=1hdCeAtumTZXcFdWZCgRUkAyWrJ1tCgd_" TargetMode="External"/><Relationship Id="rId464" Type="http://schemas.openxmlformats.org/officeDocument/2006/relationships/hyperlink" Target="https://drive.google.com/open?id=1Fm2ZmyXTBR0QCJZOErIRYZjOSIS2uKiIzlyBt7LM0ww" TargetMode="External"/><Relationship Id="rId221" Type="http://schemas.openxmlformats.org/officeDocument/2006/relationships/hyperlink" Target="https://drive.google.com/open?id=1LpwcukzD2SCfzsi5XTegsbb8t-iK-2jc" TargetMode="External"/><Relationship Id="rId463" Type="http://schemas.openxmlformats.org/officeDocument/2006/relationships/hyperlink" Target="https://drive.google.com/open?id=1H8XXJTlGxw8f9KjuRnYL1KWDAXSn8a_Thng8-LALE2Q" TargetMode="External"/><Relationship Id="rId217" Type="http://schemas.openxmlformats.org/officeDocument/2006/relationships/hyperlink" Target="https://drive.google.com/open?id=1TeCc5jH8knK0D_GVEfDrkgxr10WxAlZD" TargetMode="External"/><Relationship Id="rId459" Type="http://schemas.openxmlformats.org/officeDocument/2006/relationships/hyperlink" Target="https://drive.google.com/open?id=1C_58W6u3bjJC-SNtzli2xuyH8YuPUAFW" TargetMode="External"/><Relationship Id="rId216" Type="http://schemas.openxmlformats.org/officeDocument/2006/relationships/hyperlink" Target="https://drive.google.com/open?id=113_pjUpx4UIFuRaAKIht9EfNDAeMsBfL" TargetMode="External"/><Relationship Id="rId458" Type="http://schemas.openxmlformats.org/officeDocument/2006/relationships/hyperlink" Target="https://drive.google.com/open?id=1rYBmh47YWY6Sq_gk06RBlNVvhbJGmwD4" TargetMode="External"/><Relationship Id="rId215" Type="http://schemas.openxmlformats.org/officeDocument/2006/relationships/hyperlink" Target="https://drive.google.com/open?id=1XwB16c_128DzELDe4iCdIIrZviyzM5Gp" TargetMode="External"/><Relationship Id="rId457" Type="http://schemas.openxmlformats.org/officeDocument/2006/relationships/hyperlink" Target="https://drive.google.com/open?id=11kWrwwTagUy5wEXvSuiOxTKt4oSyGkZ8" TargetMode="External"/><Relationship Id="rId699" Type="http://schemas.openxmlformats.org/officeDocument/2006/relationships/hyperlink" Target="https://drive.google.com/open?id=1TDkd2SetkHxZo-X35GyLZkXABYnMwAyLhwmPzmLpejQ" TargetMode="External"/><Relationship Id="rId214" Type="http://schemas.openxmlformats.org/officeDocument/2006/relationships/hyperlink" Target="https://drive.google.com/open?id=1-tfrod7HUNYTKXHkuNvycGy4U0yS9q-U" TargetMode="External"/><Relationship Id="rId456" Type="http://schemas.openxmlformats.org/officeDocument/2006/relationships/hyperlink" Target="https://drive.google.com/open?id=1cbWz6zVPA9LCz3owSOdUAp7jYkfTjhtaiWGu6V8enAE" TargetMode="External"/><Relationship Id="rId698" Type="http://schemas.openxmlformats.org/officeDocument/2006/relationships/hyperlink" Target="https://drive.google.com/open?id=1tMNWWsX7b7ZUgmOIntuHrBn57MNcJ_HaBMP16r2Jmw4" TargetMode="External"/><Relationship Id="rId219" Type="http://schemas.openxmlformats.org/officeDocument/2006/relationships/hyperlink" Target="https://drive.google.com/open?id=1xaHqB7uwN9MBvKuJ9mOn2Zz-gFHKk5_e" TargetMode="External"/><Relationship Id="rId218" Type="http://schemas.openxmlformats.org/officeDocument/2006/relationships/hyperlink" Target="https://drive.google.com/open?id=19m6cU6Vt3En6HaD5SNTNq5NPBuzItmP3" TargetMode="External"/><Relationship Id="rId451" Type="http://schemas.openxmlformats.org/officeDocument/2006/relationships/hyperlink" Target="https://drive.google.com/open?id=1FHfpINGLTwE2LPDl2H-ZfQLrb9Tu8lj5" TargetMode="External"/><Relationship Id="rId693" Type="http://schemas.openxmlformats.org/officeDocument/2006/relationships/hyperlink" Target="https://drive.google.com/open?id=18TO5x23qkGyzi3HCOHHtyvdVJYhKGgmNP0kcf78AU-8" TargetMode="External"/><Relationship Id="rId450" Type="http://schemas.openxmlformats.org/officeDocument/2006/relationships/hyperlink" Target="https://drive.google.com/open?id=1NIdJWBDVTQtu5zaFxAONe0Bju5OeV0O4meFV0AiT1Lg" TargetMode="External"/><Relationship Id="rId692" Type="http://schemas.openxmlformats.org/officeDocument/2006/relationships/hyperlink" Target="https://drive.google.com/open?id=1m1O-9JAEB8U5MduJW6N_X06r0jQBh1IE" TargetMode="External"/><Relationship Id="rId691" Type="http://schemas.openxmlformats.org/officeDocument/2006/relationships/hyperlink" Target="https://drive.google.com/open?id=1LMdy2_eXVPDg94OCdlkjErQ13BW0bDE3g_lV53K9UzM" TargetMode="External"/><Relationship Id="rId690" Type="http://schemas.openxmlformats.org/officeDocument/2006/relationships/hyperlink" Target="https://drive.google.com/open?id=1Al9IWmLyzWgiDttka27HtyPlcMz_zbsXncuGoc3tbd8" TargetMode="External"/><Relationship Id="rId213" Type="http://schemas.openxmlformats.org/officeDocument/2006/relationships/hyperlink" Target="https://drive.google.com/open?id=1uHC5SLoeLPiqBsMHHy6giRYH6kE8fZQeT7B445jnvNw" TargetMode="External"/><Relationship Id="rId455" Type="http://schemas.openxmlformats.org/officeDocument/2006/relationships/hyperlink" Target="https://drive.google.com/open?id=1d6McYVKc7qGcdHGpMtZ1zYkG6nrJY05e" TargetMode="External"/><Relationship Id="rId697" Type="http://schemas.openxmlformats.org/officeDocument/2006/relationships/hyperlink" Target="https://drive.google.com/open?id=1ZHIjqScwqHl3Ttn0g_yj-ZbY8P9YmGLQxfzX8C3qCpo" TargetMode="External"/><Relationship Id="rId212" Type="http://schemas.openxmlformats.org/officeDocument/2006/relationships/hyperlink" Target="https://drive.google.com/open?id=1EQekoIzq6IDaSzF9LNz5GAuoI9psUx2-" TargetMode="External"/><Relationship Id="rId454" Type="http://schemas.openxmlformats.org/officeDocument/2006/relationships/hyperlink" Target="https://drive.google.com/open?id=1Xp6SQtNnee-z7pFuLl5ToC6xhFjjpAdnYgmDAali4dc" TargetMode="External"/><Relationship Id="rId696" Type="http://schemas.openxmlformats.org/officeDocument/2006/relationships/hyperlink" Target="https://drive.google.com/open?id=1qzYq2IUzDYDGZYbB2ALjKK39ViyqkOua" TargetMode="External"/><Relationship Id="rId211" Type="http://schemas.openxmlformats.org/officeDocument/2006/relationships/hyperlink" Target="https://drive.google.com/open?id=1LUJNeFfanvhoTYiAJ3RKugxKcjT4i7Y-" TargetMode="External"/><Relationship Id="rId453" Type="http://schemas.openxmlformats.org/officeDocument/2006/relationships/hyperlink" Target="https://drive.google.com/open?id=1w3wpe8ff8JkRekFBmCZvcOZDmvTNDiFx" TargetMode="External"/><Relationship Id="rId695" Type="http://schemas.openxmlformats.org/officeDocument/2006/relationships/hyperlink" Target="https://drive.google.com/open?id=1lornE2yswJhuLP2B4wK8Vq1ZAgmJghSv" TargetMode="External"/><Relationship Id="rId210" Type="http://schemas.openxmlformats.org/officeDocument/2006/relationships/hyperlink" Target="https://drive.google.com/open?id=1TRmQ0MT6DDmJlnaDcK-UxGQbvEI73kfv" TargetMode="External"/><Relationship Id="rId452" Type="http://schemas.openxmlformats.org/officeDocument/2006/relationships/hyperlink" Target="https://drive.google.com/open?id=1bKnqEglLtcaIpXsj1dZzKLHGG-mwmo1Su7CQ8OfrJPM" TargetMode="External"/><Relationship Id="rId694" Type="http://schemas.openxmlformats.org/officeDocument/2006/relationships/hyperlink" Target="https://drive.google.com/open?id=1wPebn130vIjgyClo04O0wbkAIJa1AWRK" TargetMode="External"/><Relationship Id="rId491" Type="http://schemas.openxmlformats.org/officeDocument/2006/relationships/hyperlink" Target="https://drive.google.com/open?id=16-EUSgQjTBouWEqokA_iIK15qdj2D0d95exSqCioeRs" TargetMode="External"/><Relationship Id="rId490" Type="http://schemas.openxmlformats.org/officeDocument/2006/relationships/hyperlink" Target="https://drive.google.com/open?id=1TJjgQ2NfukZxQwIXoLKaZEcOdg7kRNMhfEQrvd2UFws" TargetMode="External"/><Relationship Id="rId249" Type="http://schemas.openxmlformats.org/officeDocument/2006/relationships/hyperlink" Target="https://drive.google.com/open?id=1SNtrnHA1VIOBICUIQsXA8TcuzfMSf_pK" TargetMode="External"/><Relationship Id="rId248" Type="http://schemas.openxmlformats.org/officeDocument/2006/relationships/hyperlink" Target="https://drive.google.com/open?id=16bPFR0oHDEzzf1U9oc_aWFI5kBs3mTJn" TargetMode="External"/><Relationship Id="rId247" Type="http://schemas.openxmlformats.org/officeDocument/2006/relationships/hyperlink" Target="https://drive.google.com/open?id=13JiQlh-tU3PL7CoRdOy75fTcx_Yrw_KR" TargetMode="External"/><Relationship Id="rId489" Type="http://schemas.openxmlformats.org/officeDocument/2006/relationships/hyperlink" Target="https://drive.google.com/open?id=1TKMRl913zqEDSznSkbNVBknLC7BCADg_" TargetMode="External"/><Relationship Id="rId242" Type="http://schemas.openxmlformats.org/officeDocument/2006/relationships/hyperlink" Target="https://drive.google.com/open?id=1eaEChAuGZ594tMFM49k1VdwTw_GkUZGp" TargetMode="External"/><Relationship Id="rId484" Type="http://schemas.openxmlformats.org/officeDocument/2006/relationships/hyperlink" Target="https://drive.google.com/open?id=1g3Loq9PDzKoLNDt9yqn1j6iiXGW7I-o9" TargetMode="External"/><Relationship Id="rId241" Type="http://schemas.openxmlformats.org/officeDocument/2006/relationships/hyperlink" Target="https://drive.google.com/open?id=1FbdtXTblxFDij1sNf_KkqYbv8245PbK2" TargetMode="External"/><Relationship Id="rId483" Type="http://schemas.openxmlformats.org/officeDocument/2006/relationships/hyperlink" Target="https://drive.google.com/open?id=15G1_7u_MVvbz4WpnOpkBsWwZjX_N16o9" TargetMode="External"/><Relationship Id="rId240" Type="http://schemas.openxmlformats.org/officeDocument/2006/relationships/hyperlink" Target="https://drive.google.com/open?id=1jMNaiZQQB18oF3jBwGg3249qqkpYMiuL" TargetMode="External"/><Relationship Id="rId482" Type="http://schemas.openxmlformats.org/officeDocument/2006/relationships/hyperlink" Target="https://drive.google.com/open?id=1BtJ2mdUZFfX3V98ccdB1a5tFRNH21Lff" TargetMode="External"/><Relationship Id="rId481" Type="http://schemas.openxmlformats.org/officeDocument/2006/relationships/hyperlink" Target="https://drive.google.com/open?id=1dpkW9EuK4UI5tF8MPAdWhB3-HPZDoSAj" TargetMode="External"/><Relationship Id="rId246" Type="http://schemas.openxmlformats.org/officeDocument/2006/relationships/hyperlink" Target="https://drive.google.com/open?id=1FevtEaHqBvQ51I6bx4FfR6Q5-fuJuhtA" TargetMode="External"/><Relationship Id="rId488" Type="http://schemas.openxmlformats.org/officeDocument/2006/relationships/hyperlink" Target="https://drive.google.com/open?id=18w7id0yIAU5-eNeiSapiM-TtM6ulvgky" TargetMode="External"/><Relationship Id="rId245" Type="http://schemas.openxmlformats.org/officeDocument/2006/relationships/hyperlink" Target="https://drive.google.com/open?id=1DwcgWCRVqEMyqjyvWqFchNoZUfgpMdgJ" TargetMode="External"/><Relationship Id="rId487" Type="http://schemas.openxmlformats.org/officeDocument/2006/relationships/hyperlink" Target="https://drive.google.com/open?id=1xZ1NbdZ9lGP-JPWL4BJdDcAn5gGIfr3r" TargetMode="External"/><Relationship Id="rId244" Type="http://schemas.openxmlformats.org/officeDocument/2006/relationships/hyperlink" Target="https://drive.google.com/open?id=1HJdlQNUPNw5ZZPOWrI5RTpIN5U7Ihipm" TargetMode="External"/><Relationship Id="rId486" Type="http://schemas.openxmlformats.org/officeDocument/2006/relationships/hyperlink" Target="https://drive.google.com/open?id=1e5LPiVB9swGGjWLjgf72wtlIkiD_66Pa" TargetMode="External"/><Relationship Id="rId243" Type="http://schemas.openxmlformats.org/officeDocument/2006/relationships/hyperlink" Target="https://drive.google.com/open?id=1posjZBYfiqa1QPSvQxI9qVH5V2vL78Ke" TargetMode="External"/><Relationship Id="rId485" Type="http://schemas.openxmlformats.org/officeDocument/2006/relationships/hyperlink" Target="https://drive.google.com/open?id=1GFMbkd2PoWpDeS3l2uhKNqU27jawAKGH" TargetMode="External"/><Relationship Id="rId480" Type="http://schemas.openxmlformats.org/officeDocument/2006/relationships/hyperlink" Target="https://drive.google.com/open?id=1p6L3DXI1GDDjweMfpesFTC4sdUpTr3P-" TargetMode="External"/><Relationship Id="rId239" Type="http://schemas.openxmlformats.org/officeDocument/2006/relationships/hyperlink" Target="https://drive.google.com/open?id=1xhzL_im0vJmduAOCj-o4URUAMAN7a9jh" TargetMode="External"/><Relationship Id="rId238" Type="http://schemas.openxmlformats.org/officeDocument/2006/relationships/hyperlink" Target="https://drive.google.com/open?id=1K_ibw9CGqaaxVCrdLMcUX4eb8-ofFyxE" TargetMode="External"/><Relationship Id="rId237" Type="http://schemas.openxmlformats.org/officeDocument/2006/relationships/hyperlink" Target="https://drive.google.com/open?id=1LCSsaZBoNjyIycgEL5JrJ6fS-1CmK7m_" TargetMode="External"/><Relationship Id="rId479" Type="http://schemas.openxmlformats.org/officeDocument/2006/relationships/hyperlink" Target="https://drive.google.com/open?id=1VoXqFltymkrNwYRSuj4pnfXHcan7zd3A" TargetMode="External"/><Relationship Id="rId236" Type="http://schemas.openxmlformats.org/officeDocument/2006/relationships/hyperlink" Target="https://drive.google.com/open?id=1mphQ80j4VOoft3GEPjfKt69wre406xJi" TargetMode="External"/><Relationship Id="rId478" Type="http://schemas.openxmlformats.org/officeDocument/2006/relationships/hyperlink" Target="https://drive.google.com/open?id=1owxxZtCXWabEjEb2J0jP4tPrIYdAhbPJ" TargetMode="External"/><Relationship Id="rId231" Type="http://schemas.openxmlformats.org/officeDocument/2006/relationships/hyperlink" Target="https://drive.google.com/open?id=1zLsFcLSZKY0SctIGwn_W3EVtE4JX1nJp" TargetMode="External"/><Relationship Id="rId473" Type="http://schemas.openxmlformats.org/officeDocument/2006/relationships/hyperlink" Target="https://drive.google.com/open?id=1UDQVwYci6X0tjHZzkQf19vJC8ml_SzofCEA1AZsjZdM" TargetMode="External"/><Relationship Id="rId230" Type="http://schemas.openxmlformats.org/officeDocument/2006/relationships/hyperlink" Target="https://drive.google.com/open?id=1u4DtymKGK5i-2WPEkt4GfrigOS8_wOxq" TargetMode="External"/><Relationship Id="rId472" Type="http://schemas.openxmlformats.org/officeDocument/2006/relationships/hyperlink" Target="https://drive.google.com/open?id=1CNFgHiuvvHNtIB6MHqsksCsA4aPxjkfp" TargetMode="External"/><Relationship Id="rId471" Type="http://schemas.openxmlformats.org/officeDocument/2006/relationships/hyperlink" Target="https://drive.google.com/open?id=1gKRx__IBbE8zQHTtw_Cifju5JjfKKtGpi1totynkCK4" TargetMode="External"/><Relationship Id="rId470" Type="http://schemas.openxmlformats.org/officeDocument/2006/relationships/hyperlink" Target="https://drive.google.com/open?id=19F5oJr2EJoe6h8iXgZm1iaUud2WOXC9Jny0fhZ1gY5A" TargetMode="External"/><Relationship Id="rId235" Type="http://schemas.openxmlformats.org/officeDocument/2006/relationships/hyperlink" Target="https://drive.google.com/open?id=10_GsRL5PMmbvyvAOOqWjNTDBjymhVjrE" TargetMode="External"/><Relationship Id="rId477" Type="http://schemas.openxmlformats.org/officeDocument/2006/relationships/hyperlink" Target="https://drive.google.com/open?id=15XFYKmngd5Tx6Apo5BQ91-mFjamUpWfR" TargetMode="External"/><Relationship Id="rId234" Type="http://schemas.openxmlformats.org/officeDocument/2006/relationships/hyperlink" Target="https://drive.google.com/open?id=1gla039sz-fHKAeeM_o95bQxaTFnab2r6" TargetMode="External"/><Relationship Id="rId476" Type="http://schemas.openxmlformats.org/officeDocument/2006/relationships/hyperlink" Target="https://drive.google.com/open?id=1e9V_Z4OHO6Bcohq1oqPquNiQXIcdcl0v" TargetMode="External"/><Relationship Id="rId233" Type="http://schemas.openxmlformats.org/officeDocument/2006/relationships/hyperlink" Target="https://drive.google.com/open?id=1GqsEuSxprax607aNeduU_bQZJ5LnWg_Y" TargetMode="External"/><Relationship Id="rId475" Type="http://schemas.openxmlformats.org/officeDocument/2006/relationships/hyperlink" Target="https://drive.google.com/open?id=1SBMQpm1JiDJDhEVlD5PGWxpxLlsLHKnh" TargetMode="External"/><Relationship Id="rId232" Type="http://schemas.openxmlformats.org/officeDocument/2006/relationships/hyperlink" Target="https://drive.google.com/open?id=1VHMnJTUWuOUWnJUJBLeo_ryzZqrrVkp5" TargetMode="External"/><Relationship Id="rId474" Type="http://schemas.openxmlformats.org/officeDocument/2006/relationships/hyperlink" Target="https://drive.google.com/open?id=1l2RM_s3S4cjYAlYMWcIsbHyXIOVhBW6P" TargetMode="External"/><Relationship Id="rId426" Type="http://schemas.openxmlformats.org/officeDocument/2006/relationships/hyperlink" Target="https://drive.google.com/open?id=1Wyrg4rtzvkkiFWoOY9wmeEeJIeRpmsI2qWsiW2hY4n8" TargetMode="External"/><Relationship Id="rId668" Type="http://schemas.openxmlformats.org/officeDocument/2006/relationships/hyperlink" Target="https://drive.google.com/open?id=1GcikKd13cqvqDSuZHBoKC39ftBsq7rT0" TargetMode="External"/><Relationship Id="rId425" Type="http://schemas.openxmlformats.org/officeDocument/2006/relationships/hyperlink" Target="https://drive.google.com/open?id=1v5PBGi_hKx7vjtj3ea_tgP3YBLe5357Ky3v0gRBzktE" TargetMode="External"/><Relationship Id="rId667" Type="http://schemas.openxmlformats.org/officeDocument/2006/relationships/hyperlink" Target="https://drive.google.com/open?id=1IaNq_2RzGe5DMoahWao8PoDbOmG-51MJ" TargetMode="External"/><Relationship Id="rId424" Type="http://schemas.openxmlformats.org/officeDocument/2006/relationships/hyperlink" Target="https://drive.google.com/open?id=1MyPVX4e74m2yDpa3Ceum6oBSgPKLqgDVNg7XL_H6Dzs" TargetMode="External"/><Relationship Id="rId666" Type="http://schemas.openxmlformats.org/officeDocument/2006/relationships/hyperlink" Target="https://drive.google.com/open?id=1z_VhX-MOWFYrusFurVaNiSLGI6M4Q-Rr" TargetMode="External"/><Relationship Id="rId423" Type="http://schemas.openxmlformats.org/officeDocument/2006/relationships/hyperlink" Target="https://drive.google.com/open?id=11RM2ZaC9nVSQVF0UjGFlg5PgjPEmPz0DHnBbnRnv0c4" TargetMode="External"/><Relationship Id="rId665" Type="http://schemas.openxmlformats.org/officeDocument/2006/relationships/hyperlink" Target="https://drive.google.com/open?id=1bH3Xs1sa8pI_HPO7_Mu_dTvAYH2WJn2-" TargetMode="External"/><Relationship Id="rId429" Type="http://schemas.openxmlformats.org/officeDocument/2006/relationships/hyperlink" Target="https://drive.google.com/open?id=18azfO1e-3SqfBf6ZgkE-zwX69ANVx8YqJ11c7yyCcNg" TargetMode="External"/><Relationship Id="rId428" Type="http://schemas.openxmlformats.org/officeDocument/2006/relationships/hyperlink" Target="https://drive.google.com/open?id=1FJbeaUHuvAz88dpELZps_vgxBhBdx8mc8jgY_gAbrLw" TargetMode="External"/><Relationship Id="rId427" Type="http://schemas.openxmlformats.org/officeDocument/2006/relationships/hyperlink" Target="https://drive.google.com/open?id=1shnJitRIFu7-g6eKrNkSbo5ZxwnTLJPR8GYTliSrlfA" TargetMode="External"/><Relationship Id="rId669" Type="http://schemas.openxmlformats.org/officeDocument/2006/relationships/hyperlink" Target="https://drive.google.com/open?id=1LACt-jtgHPgAMVQ4f_I2-QT97h-DaoSPMTGJTG-h0dM" TargetMode="External"/><Relationship Id="rId660" Type="http://schemas.openxmlformats.org/officeDocument/2006/relationships/hyperlink" Target="https://drive.google.com/open?id=15zo2pj9jJnRGJf-URKeb64sSTc3Jgpwv" TargetMode="External"/><Relationship Id="rId422" Type="http://schemas.openxmlformats.org/officeDocument/2006/relationships/hyperlink" Target="https://drive.google.com/open?id=1D5TfIjQXF0K7imUdzf0YIqvth-5mABs0sWBuQGk9zXk" TargetMode="External"/><Relationship Id="rId664" Type="http://schemas.openxmlformats.org/officeDocument/2006/relationships/hyperlink" Target="https://drive.google.com/open?id=1exRhf6ZZ5uhI_FdFmPe_9LNCL-FEeb0S" TargetMode="External"/><Relationship Id="rId421" Type="http://schemas.openxmlformats.org/officeDocument/2006/relationships/hyperlink" Target="https://drive.google.com/open?id=10XyAenIdVkyErV1YnrTBbPF5r5hZ9jRMUtGjLNERhDI" TargetMode="External"/><Relationship Id="rId663" Type="http://schemas.openxmlformats.org/officeDocument/2006/relationships/hyperlink" Target="https://drive.google.com/open?id=1Mg6N-8wpwDHw2amxS2qV3QkLaBtDmoeU" TargetMode="External"/><Relationship Id="rId420" Type="http://schemas.openxmlformats.org/officeDocument/2006/relationships/hyperlink" Target="https://drive.google.com/open?id=1WXTQmOtw_l3EgdNsbJkcNBf9ZWJYU5cwtzat49eoR58" TargetMode="External"/><Relationship Id="rId662" Type="http://schemas.openxmlformats.org/officeDocument/2006/relationships/hyperlink" Target="https://drive.google.com/open?id=1lPh0fJ8EaXloKgG1YO1CLm_lOxwhwxBQ" TargetMode="External"/><Relationship Id="rId661" Type="http://schemas.openxmlformats.org/officeDocument/2006/relationships/hyperlink" Target="https://drive.google.com/open?id=1SNRs_fz0l5eL_7fBNqU3Qj7biT7dwzgW" TargetMode="External"/><Relationship Id="rId415" Type="http://schemas.openxmlformats.org/officeDocument/2006/relationships/hyperlink" Target="https://drive.google.com/open?id=1PAeF6DBJtOHEIxv6qR8DNCNEvA86OoxV" TargetMode="External"/><Relationship Id="rId657" Type="http://schemas.openxmlformats.org/officeDocument/2006/relationships/hyperlink" Target="https://drive.google.com/open?id=10zxLNyYeES2cRZYhjF7JSOBbO5GjTJWZZuGf_Wxa0CE" TargetMode="External"/><Relationship Id="rId899" Type="http://schemas.openxmlformats.org/officeDocument/2006/relationships/hyperlink" Target="https://drive.google.com/open?id=1XyUESXTQHGEh7MBRlHxuw9C4LN7jGJyW" TargetMode="External"/><Relationship Id="rId414" Type="http://schemas.openxmlformats.org/officeDocument/2006/relationships/hyperlink" Target="https://drive.google.com/open?id=1pUh89vHhyjXeEB1RFMxEUZ9Y6APpaW5VrDmBbSFyKAg" TargetMode="External"/><Relationship Id="rId656" Type="http://schemas.openxmlformats.org/officeDocument/2006/relationships/hyperlink" Target="https://drive.google.com/open?id=1LVy4m4trQjSHo53o1q1C6RNdbBUcwOZw" TargetMode="External"/><Relationship Id="rId898" Type="http://schemas.openxmlformats.org/officeDocument/2006/relationships/hyperlink" Target="https://drive.google.com/open?id=1wbiXyrEclxkW4rmPCq4BrrHa7x7xsQaIcMUm3iLcTew" TargetMode="External"/><Relationship Id="rId413" Type="http://schemas.openxmlformats.org/officeDocument/2006/relationships/hyperlink" Target="https://drive.google.com/open?id=1r2PZA5-eGCP-_IH6XgkHP7R0vIch8pba" TargetMode="External"/><Relationship Id="rId655" Type="http://schemas.openxmlformats.org/officeDocument/2006/relationships/hyperlink" Target="https://drive.google.com/open?id=1UzzXh9-Pd6cHoxtvArDnBXITL4iO20S2qC8Y5ObFsiU" TargetMode="External"/><Relationship Id="rId897" Type="http://schemas.openxmlformats.org/officeDocument/2006/relationships/hyperlink" Target="https://drive.google.com/open?id=1_L836gNbcuGgBhvNDHiC_7jcyGKgD1Ro" TargetMode="External"/><Relationship Id="rId412" Type="http://schemas.openxmlformats.org/officeDocument/2006/relationships/hyperlink" Target="https://drive.google.com/open?id=1ZI_gMCg5PeNCbuBaMZOS3R8Nk_wfxOt3" TargetMode="External"/><Relationship Id="rId654" Type="http://schemas.openxmlformats.org/officeDocument/2006/relationships/hyperlink" Target="https://drive.google.com/open?id=1RAdGsGbk5qgk6h5wfDs_cyzfPPeMmE90" TargetMode="External"/><Relationship Id="rId896" Type="http://schemas.openxmlformats.org/officeDocument/2006/relationships/hyperlink" Target="https://drive.google.com/open?id=1biSZAJ8B9OhqZyvrJWtmhRiXbvJTx34E" TargetMode="External"/><Relationship Id="rId419" Type="http://schemas.openxmlformats.org/officeDocument/2006/relationships/hyperlink" Target="https://drive.google.com/open?id=1tdsp-zy1T1Y2g2RwAg7nv9gkNUsC45Sy5ezwwuLTTLA" TargetMode="External"/><Relationship Id="rId418" Type="http://schemas.openxmlformats.org/officeDocument/2006/relationships/hyperlink" Target="https://drive.google.com/open?id=1PY5lqFjopPZVkILIvD9SGBdiwnG54icfMfHx3Yc-alo" TargetMode="External"/><Relationship Id="rId417" Type="http://schemas.openxmlformats.org/officeDocument/2006/relationships/hyperlink" Target="https://drive.google.com/open?id=1XCpE2Vn9ayvYxy9C8oV2LsVdpYRsUOl2LNL4f9aIg1A" TargetMode="External"/><Relationship Id="rId659" Type="http://schemas.openxmlformats.org/officeDocument/2006/relationships/hyperlink" Target="https://drive.google.com/open?id=1IfOlf-SoJ7NhHNUPAD95g0NLlBXdYenZ_euo4SgTsl0" TargetMode="External"/><Relationship Id="rId416" Type="http://schemas.openxmlformats.org/officeDocument/2006/relationships/hyperlink" Target="https://drive.google.com/open?id=17oK96xAQ7jaJTkST_LK-T9y-Q27zGc2qEbtO62uZqVg" TargetMode="External"/><Relationship Id="rId658" Type="http://schemas.openxmlformats.org/officeDocument/2006/relationships/hyperlink" Target="https://drive.google.com/open?id=1_hmXiGjjfkprZTEbShML-HZde2J9M4ThhRhcNhrBAhQ" TargetMode="External"/><Relationship Id="rId891" Type="http://schemas.openxmlformats.org/officeDocument/2006/relationships/hyperlink" Target="https://drive.google.com/open?id=1AP9Ghri12ceKq-AkJMKoA1SeeXfe0ruP6ALiaKkfEFg" TargetMode="External"/><Relationship Id="rId890" Type="http://schemas.openxmlformats.org/officeDocument/2006/relationships/hyperlink" Target="https://drive.google.com/open?id=1ldeouQ8fwhBLHWunNfGZOmqzUHRjn6Cw-TnOfXJ_0Io" TargetMode="External"/><Relationship Id="rId411" Type="http://schemas.openxmlformats.org/officeDocument/2006/relationships/hyperlink" Target="https://drive.google.com/open?id=1mtNqNVKg_Ke-Tk_dFRfHrOWpqfD4FBZ4" TargetMode="External"/><Relationship Id="rId653" Type="http://schemas.openxmlformats.org/officeDocument/2006/relationships/hyperlink" Target="https://drive.google.com/open?id=1d9I0s3LWZuYYR9rtJTPnTBPCj0S4iRYR0l4rbcGW4hY" TargetMode="External"/><Relationship Id="rId895" Type="http://schemas.openxmlformats.org/officeDocument/2006/relationships/hyperlink" Target="https://drive.google.com/open?id=1pTrem56gwLRCiTBgd5j6cMnKOwCwaYcV" TargetMode="External"/><Relationship Id="rId410" Type="http://schemas.openxmlformats.org/officeDocument/2006/relationships/hyperlink" Target="https://drive.google.com/open?id=1DP-DOU1atk3VAWJ0ry7rq9xgMlIvf_Th" TargetMode="External"/><Relationship Id="rId652" Type="http://schemas.openxmlformats.org/officeDocument/2006/relationships/hyperlink" Target="https://drive.google.com/open?id=1_4WPpUDE0Yr4FdbGQ2rzqQSPfyWJO6qAmDOoQoamyCs" TargetMode="External"/><Relationship Id="rId894" Type="http://schemas.openxmlformats.org/officeDocument/2006/relationships/hyperlink" Target="https://drive.google.com/open?id=18z5URNvFY77K7yHMx4JVIxcPlwW20OjHu0hf7Nx0paw" TargetMode="External"/><Relationship Id="rId651" Type="http://schemas.openxmlformats.org/officeDocument/2006/relationships/hyperlink" Target="https://drive.google.com/open?id=1YhR7Yns54ixyuj9w8bOMXyXiYhgbHChqw8pC5Wr2aBM" TargetMode="External"/><Relationship Id="rId893" Type="http://schemas.openxmlformats.org/officeDocument/2006/relationships/hyperlink" Target="https://drive.google.com/open?id=1v1qPqfX3yNTLSrUFXb5Oc5oDKNeav5QAqwPApH3QlMA" TargetMode="External"/><Relationship Id="rId650" Type="http://schemas.openxmlformats.org/officeDocument/2006/relationships/hyperlink" Target="https://drive.google.com/open?id=1paWa37wpdIiS_Q4kPN1yo4Xoiz1FKhP8X4EJELWwn5Q" TargetMode="External"/><Relationship Id="rId892" Type="http://schemas.openxmlformats.org/officeDocument/2006/relationships/hyperlink" Target="https://drive.google.com/open?id=1TjlA6H4vePU_EUPebFfj_j5NH9jdnrlGg7rl5FOAKSo" TargetMode="External"/><Relationship Id="rId206" Type="http://schemas.openxmlformats.org/officeDocument/2006/relationships/hyperlink" Target="https://drive.google.com/open?id=16x1ey0tVhnd_FKbygJqMXAQlj-ndl7VR" TargetMode="External"/><Relationship Id="rId448" Type="http://schemas.openxmlformats.org/officeDocument/2006/relationships/hyperlink" Target="https://drive.google.com/open?id=1knOEj1KWTn57BMckuPAYCrsEw7Zz2Z4TwlgLlVRSQAc" TargetMode="External"/><Relationship Id="rId205" Type="http://schemas.openxmlformats.org/officeDocument/2006/relationships/hyperlink" Target="https://drive.google.com/open?id=1KXcnbLoieVN-GfhWDn5zdBZnogTt4HS3" TargetMode="External"/><Relationship Id="rId447" Type="http://schemas.openxmlformats.org/officeDocument/2006/relationships/hyperlink" Target="https://drive.google.com/open?id=1V0tqoQSXSxcUZOPfTpeU8tEYXhXLNMD42t1tNGQ8EqU" TargetMode="External"/><Relationship Id="rId689" Type="http://schemas.openxmlformats.org/officeDocument/2006/relationships/hyperlink" Target="https://drive.google.com/open?id=1evGqhkFzmyCx1QK3cZi4IGsF_FD7aeShstGxIhjSUa8" TargetMode="External"/><Relationship Id="rId204" Type="http://schemas.openxmlformats.org/officeDocument/2006/relationships/hyperlink" Target="https://drive.google.com/open?id=1uZvbBBuXbhAlijca2704oXUbxei4Kipd" TargetMode="External"/><Relationship Id="rId446" Type="http://schemas.openxmlformats.org/officeDocument/2006/relationships/hyperlink" Target="https://drive.google.com/open?id=1Hqom0hHHYYWgd0YgZgHBCRJFH_QTLFCy1Wkkq2fF5l4" TargetMode="External"/><Relationship Id="rId688" Type="http://schemas.openxmlformats.org/officeDocument/2006/relationships/hyperlink" Target="https://drive.google.com/open?id=1NCzzrSfWCnU_4bnU7lEMmaUXC3TxERDDrxN-P5r37vs" TargetMode="External"/><Relationship Id="rId203" Type="http://schemas.openxmlformats.org/officeDocument/2006/relationships/hyperlink" Target="https://drive.google.com/open?id=14ctVqXYbHxS-5CPjVqSzTXJgimYwm_lM" TargetMode="External"/><Relationship Id="rId445" Type="http://schemas.openxmlformats.org/officeDocument/2006/relationships/hyperlink" Target="https://drive.google.com/open?id=1sV2ApFVFA5qV8amAudERwWwpk6KMNL7z6p4UXPI0fxg" TargetMode="External"/><Relationship Id="rId687" Type="http://schemas.openxmlformats.org/officeDocument/2006/relationships/hyperlink" Target="https://drive.google.com/open?id=18u5Ho5nW49TRSlUScMWlxpXFkqtUmUOoeWwZGRQ0Vas" TargetMode="External"/><Relationship Id="rId209" Type="http://schemas.openxmlformats.org/officeDocument/2006/relationships/hyperlink" Target="https://drive.google.com/open?id=1LBL5F3Y1qgPx2SA03jKT5RJ66b-gZ_41" TargetMode="External"/><Relationship Id="rId208" Type="http://schemas.openxmlformats.org/officeDocument/2006/relationships/hyperlink" Target="https://drive.google.com/open?id=1ndenLttbML2V3rEMt_nzOnq-Hfg4Z3lm" TargetMode="External"/><Relationship Id="rId207" Type="http://schemas.openxmlformats.org/officeDocument/2006/relationships/hyperlink" Target="https://drive.google.com/open?id=11eUklKQBXkrlLJBTWiGY5EPYYfxRB2Vt" TargetMode="External"/><Relationship Id="rId449" Type="http://schemas.openxmlformats.org/officeDocument/2006/relationships/hyperlink" Target="https://drive.google.com/open?id=1aMQy2ueDGj0iVU60KPWZfqLP8aPxSPcE_Ql0XReKn58" TargetMode="External"/><Relationship Id="rId440" Type="http://schemas.openxmlformats.org/officeDocument/2006/relationships/hyperlink" Target="https://drive.google.com/open?id=1eJSo6JBVBBOleaf2DaWn4g8jTAUm_-BJ" TargetMode="External"/><Relationship Id="rId682" Type="http://schemas.openxmlformats.org/officeDocument/2006/relationships/hyperlink" Target="https://drive.google.com/open?id=1bkPLH10SW3e5fFijlwKgcHEbCZ0cXgX8" TargetMode="External"/><Relationship Id="rId681" Type="http://schemas.openxmlformats.org/officeDocument/2006/relationships/hyperlink" Target="https://drive.google.com/open?id=1-lpdttx0CTYopEq-eYFdm1ko-iKHxQ7nzDNKpLZnn5A" TargetMode="External"/><Relationship Id="rId680" Type="http://schemas.openxmlformats.org/officeDocument/2006/relationships/hyperlink" Target="https://drive.google.com/open?id=1OCMqTnzumJXH-xUof9RJM5vZU924k5gc" TargetMode="External"/><Relationship Id="rId202" Type="http://schemas.openxmlformats.org/officeDocument/2006/relationships/hyperlink" Target="https://drive.google.com/open?id=1nBW4wYdL6VcYO5XfKImoQfAdaDbU2ic_" TargetMode="External"/><Relationship Id="rId444" Type="http://schemas.openxmlformats.org/officeDocument/2006/relationships/hyperlink" Target="https://drive.google.com/open?id=1dTCkOBDWnS4SKr4nRHJjAAMXnVeO_qyr" TargetMode="External"/><Relationship Id="rId686" Type="http://schemas.openxmlformats.org/officeDocument/2006/relationships/hyperlink" Target="https://drive.google.com/open?id=13Bgz76oBT2Bn-w0TrB7n_iMk6R-IO-_o" TargetMode="External"/><Relationship Id="rId201" Type="http://schemas.openxmlformats.org/officeDocument/2006/relationships/hyperlink" Target="https://docs.google.com/document/d/1PFEKaOjmr2c78NdCk07OX0A8o-EUvUsq/edit?usp=drive_link&amp;ouid=117122465010506134151&amp;rtpof=true&amp;sd=true" TargetMode="External"/><Relationship Id="rId443" Type="http://schemas.openxmlformats.org/officeDocument/2006/relationships/hyperlink" Target="https://drive.google.com/open?id=1_BEy6ovgNyAXYheW5IB5wJylymFXBVn7" TargetMode="External"/><Relationship Id="rId685" Type="http://schemas.openxmlformats.org/officeDocument/2006/relationships/hyperlink" Target="https://drive.google.com/open?id=1acfPfs_uZs9077l025B91Gkpgx1SpyBw" TargetMode="External"/><Relationship Id="rId200" Type="http://schemas.openxmlformats.org/officeDocument/2006/relationships/hyperlink" Target="https://drive.google.com/open?id=1THXCDuENZb6NZQvHiUew_VFm0aP03RDg" TargetMode="External"/><Relationship Id="rId442" Type="http://schemas.openxmlformats.org/officeDocument/2006/relationships/hyperlink" Target="https://drive.google.com/open?id=1tGl-05dOVGEFjdi8xANEOu7R1ymczi5C" TargetMode="External"/><Relationship Id="rId684" Type="http://schemas.openxmlformats.org/officeDocument/2006/relationships/hyperlink" Target="https://drive.google.com/open?id=13QF1xJGtjJ6Jmnpkg-jlYmPxe44GGhGY" TargetMode="External"/><Relationship Id="rId441" Type="http://schemas.openxmlformats.org/officeDocument/2006/relationships/hyperlink" Target="https://drive.google.com/open?id=1kJfX-05TGFCZGdKaert_FKr_y_N0V7nB" TargetMode="External"/><Relationship Id="rId683" Type="http://schemas.openxmlformats.org/officeDocument/2006/relationships/hyperlink" Target="https://drive.google.com/open?id=11MH40H31hhLMc4mksoJMCB4OMM_gZbCD" TargetMode="External"/><Relationship Id="rId437" Type="http://schemas.openxmlformats.org/officeDocument/2006/relationships/hyperlink" Target="https://drive.google.com/open?id=1eSFPMdSpYhLkeHbX-PK8b51A3rnvqbDTeji_1wTS6WE" TargetMode="External"/><Relationship Id="rId679" Type="http://schemas.openxmlformats.org/officeDocument/2006/relationships/hyperlink" Target="https://drive.google.com/open?id=1fq-ngRPNvfZUKHRNaSr7BGtEw41dcQ4Q" TargetMode="External"/><Relationship Id="rId436" Type="http://schemas.openxmlformats.org/officeDocument/2006/relationships/hyperlink" Target="https://drive.google.com/open?id=1Vaiawl-hr5JiMsqmIMPN_4UZle5Yd_mXnAp6C3EBGGg" TargetMode="External"/><Relationship Id="rId678" Type="http://schemas.openxmlformats.org/officeDocument/2006/relationships/hyperlink" Target="https://drive.google.com/open?id=1N5rLeF--aDz7VFz7jYPtPDOmeAPEycBR" TargetMode="External"/><Relationship Id="rId435" Type="http://schemas.openxmlformats.org/officeDocument/2006/relationships/hyperlink" Target="https://drive.google.com/open?id=1N55w56HFFS0K34dgsOZT4nA78pfI1msPIi5Y_I-KAdQ" TargetMode="External"/><Relationship Id="rId677" Type="http://schemas.openxmlformats.org/officeDocument/2006/relationships/hyperlink" Target="https://drive.google.com/open?id=11RRBTgs48WdRi_zYxtuwCHY5zPSD4iZT" TargetMode="External"/><Relationship Id="rId434" Type="http://schemas.openxmlformats.org/officeDocument/2006/relationships/hyperlink" Target="https://drive.google.com/open?id=1EoMT9YjvtiA1Ptr9lVFgTVZkwOe8Bnu9" TargetMode="External"/><Relationship Id="rId676" Type="http://schemas.openxmlformats.org/officeDocument/2006/relationships/hyperlink" Target="https://drive.google.com/open?id=1KdcJibQGKmHoENwLMTvZckGar44N5Y4P" TargetMode="External"/><Relationship Id="rId439" Type="http://schemas.openxmlformats.org/officeDocument/2006/relationships/hyperlink" Target="https://drive.google.com/open?id=17vv-I4iOKvIjdaG0dh3teCx_fVkf5MNM" TargetMode="External"/><Relationship Id="rId438" Type="http://schemas.openxmlformats.org/officeDocument/2006/relationships/hyperlink" Target="https://drive.google.com/open?id=1r3CEHm3eA6Wv76Ub5HelcAf6QW2HA_e0uMZ9_5pJCdo" TargetMode="External"/><Relationship Id="rId671" Type="http://schemas.openxmlformats.org/officeDocument/2006/relationships/hyperlink" Target="https://docs.google.com/document/d/1bOba5OQSS7qi929iE3ZGrkftojG45ijh/edit?usp=drive_link&amp;ouid=117122465010506134151&amp;rtpof=true&amp;sd=true" TargetMode="External"/><Relationship Id="rId670" Type="http://schemas.openxmlformats.org/officeDocument/2006/relationships/hyperlink" Target="https://drive.google.com/open?id=1j4p4_tLClfS8CnyUYm49YaSRE889o4Bbo3eHfaKRjmA" TargetMode="External"/><Relationship Id="rId433" Type="http://schemas.openxmlformats.org/officeDocument/2006/relationships/hyperlink" Target="https://drive.google.com/open?id=1g44OkqjzRHUiGHDvR_xWr-QPwThojay03JExkZAvZ6s" TargetMode="External"/><Relationship Id="rId675" Type="http://schemas.openxmlformats.org/officeDocument/2006/relationships/hyperlink" Target="https://drive.google.com/open?id=1nN4zdfgMmPJ-E_QkHdOtiqLgWrOEL9RO" TargetMode="External"/><Relationship Id="rId432" Type="http://schemas.openxmlformats.org/officeDocument/2006/relationships/hyperlink" Target="https://drive.google.com/open?id=17E3YlCypHMfUgiKuYIJo1-YPJTb7KFY4" TargetMode="External"/><Relationship Id="rId674" Type="http://schemas.openxmlformats.org/officeDocument/2006/relationships/hyperlink" Target="https://drive.google.com/open?id=1Jk-FrgRTu914TcrYoY-C4LoSXVj-sb05" TargetMode="External"/><Relationship Id="rId431" Type="http://schemas.openxmlformats.org/officeDocument/2006/relationships/hyperlink" Target="https://drive.google.com/open?id=1wxComY7Q0kQDc44tyqPBSUK6jlZOs4ZOI4R4ilfTtzQ" TargetMode="External"/><Relationship Id="rId673" Type="http://schemas.openxmlformats.org/officeDocument/2006/relationships/hyperlink" Target="https://drive.google.com/open?id=1VO2d6f1hTWR0fxtiHzDymXdiNwDDPbke" TargetMode="External"/><Relationship Id="rId430" Type="http://schemas.openxmlformats.org/officeDocument/2006/relationships/hyperlink" Target="https://drive.google.com/open?id=1A4z8fzphrv1YOolo5f37Eo56hgMMSMa3iWTPpkz9ZdU" TargetMode="External"/><Relationship Id="rId672" Type="http://schemas.openxmlformats.org/officeDocument/2006/relationships/hyperlink" Target="https://drive.google.com/open?id=1o9qiWh7YARacB9iTzyev5OCEQLrVtbSX"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iihWW11MhrZkqSLVlkRYurNoP33cKIbb" TargetMode="External"/><Relationship Id="rId194" Type="http://schemas.openxmlformats.org/officeDocument/2006/relationships/hyperlink" Target="https://drive.google.com/file/d/1VC-tCiX6kTke4BAPe7sXewChnf7b0Vs3/view?usp=drive_link" TargetMode="External"/><Relationship Id="rId193" Type="http://schemas.openxmlformats.org/officeDocument/2006/relationships/hyperlink" Target="https://drive.google.com/open?id=1Bwit0_2EYh9910gZeXvo-T_e5Yy_nE1-" TargetMode="External"/><Relationship Id="rId192" Type="http://schemas.openxmlformats.org/officeDocument/2006/relationships/hyperlink" Target="https://drive.google.com/open?id=1rszldnj_eFL2Cf_golXMqaI4HMFprd2j" TargetMode="External"/><Relationship Id="rId191" Type="http://schemas.openxmlformats.org/officeDocument/2006/relationships/hyperlink" Target="https://drive.google.com/open?id=1VNGy8CkJ_dXqKg_yqTZSDKZ5Btt-H_30" TargetMode="External"/><Relationship Id="rId187" Type="http://schemas.openxmlformats.org/officeDocument/2006/relationships/hyperlink" Target="https://drive.google.com/open?id=1LNNCHyg7wGWSZqLJ3_Bm40mtqgYCL1WJ" TargetMode="External"/><Relationship Id="rId186" Type="http://schemas.openxmlformats.org/officeDocument/2006/relationships/hyperlink" Target="https://drive.google.com/open?id=1rP02ptEknCupdOtJvc4-m2FgwwOh9u6V" TargetMode="External"/><Relationship Id="rId185" Type="http://schemas.openxmlformats.org/officeDocument/2006/relationships/hyperlink" Target="https://drive.google.com/open?id=1znQ1e2xgIl-xER_YhHLktewaGgw-QQQR" TargetMode="External"/><Relationship Id="rId184" Type="http://schemas.openxmlformats.org/officeDocument/2006/relationships/hyperlink" Target="https://drive.google.com/open?id=1wp9rHwfpLOTbQrJVkVF1MBxpfO3wVn0_" TargetMode="External"/><Relationship Id="rId189" Type="http://schemas.openxmlformats.org/officeDocument/2006/relationships/hyperlink" Target="https://drive.google.com/open?id=1FvJwOfP77rH1PgSrdNxKrHnUrfaQvhNa" TargetMode="External"/><Relationship Id="rId188" Type="http://schemas.openxmlformats.org/officeDocument/2006/relationships/hyperlink" Target="https://drive.google.com/open?id=1JOzd3PM8Bd-tJJtFtyPP-tXymTrn2WUu" TargetMode="External"/><Relationship Id="rId183" Type="http://schemas.openxmlformats.org/officeDocument/2006/relationships/hyperlink" Target="https://drive.google.com/open?id=1kFCmwu8VZ24SI96e98BZA19PD80TYICc" TargetMode="External"/><Relationship Id="rId182" Type="http://schemas.openxmlformats.org/officeDocument/2006/relationships/hyperlink" Target="https://drive.google.com/open?id=1KsLZ6pml-TA3c5c8z5iG0i6p1IQ28liw" TargetMode="External"/><Relationship Id="rId181" Type="http://schemas.openxmlformats.org/officeDocument/2006/relationships/hyperlink" Target="https://drive.google.com/open?id=1zZRK7j9e6_9PVHCHG0uE0i33kpO2_GBD" TargetMode="External"/><Relationship Id="rId180" Type="http://schemas.openxmlformats.org/officeDocument/2006/relationships/hyperlink" Target="https://drive.google.com/open?id=1LUHJRYRPKsSO4jWZJxDWY1QgW-a4IrTI" TargetMode="External"/><Relationship Id="rId176" Type="http://schemas.openxmlformats.org/officeDocument/2006/relationships/hyperlink" Target="https://drive.google.com/open?id=1Tg-dCJUIFeUn9AVvb04qI_6S6-ZRb6Y-" TargetMode="External"/><Relationship Id="rId175" Type="http://schemas.openxmlformats.org/officeDocument/2006/relationships/hyperlink" Target="https://drive.google.com/open?id=1ZDNee2EYCW62fyhlq8RRTruMj2ulPyIu" TargetMode="External"/><Relationship Id="rId174" Type="http://schemas.openxmlformats.org/officeDocument/2006/relationships/hyperlink" Target="https://drive.google.com/open?id=1siCQjI_ZVw1vPQ5hOX3ewmIpN21KaPG0" TargetMode="External"/><Relationship Id="rId173" Type="http://schemas.openxmlformats.org/officeDocument/2006/relationships/hyperlink" Target="https://drive.google.com/open?id=1RRNq4iMZaC5nsydmLbi1QbDNETLnkJkf" TargetMode="External"/><Relationship Id="rId179" Type="http://schemas.openxmlformats.org/officeDocument/2006/relationships/hyperlink" Target="https://drive.google.com/open?id=19Q9LJiMqVjVkgQK5CD0eeZUw6tpWpmXs" TargetMode="External"/><Relationship Id="rId178" Type="http://schemas.openxmlformats.org/officeDocument/2006/relationships/hyperlink" Target="https://drive.google.com/file/d/1juxUoQRw28lmnVvPy-17WoZcfpXXPcP5/view?usp=drive_link" TargetMode="External"/><Relationship Id="rId177" Type="http://schemas.openxmlformats.org/officeDocument/2006/relationships/hyperlink" Target="https://drive.google.com/open?id=1Iaq6Vf2C8u6YhyfAnJbYC7JOgf33kfOz" TargetMode="External"/><Relationship Id="rId198" Type="http://schemas.openxmlformats.org/officeDocument/2006/relationships/hyperlink" Target="https://drive.google.com/open?id=1hbfbr8uAzv0kgEjYmdRS5ErE931XIp7t" TargetMode="External"/><Relationship Id="rId197" Type="http://schemas.openxmlformats.org/officeDocument/2006/relationships/hyperlink" Target="https://drive.google.com/open?id=1Q2POa9uJHL3CXD3FQw3-Cfoc3wraGDEr" TargetMode="External"/><Relationship Id="rId196" Type="http://schemas.openxmlformats.org/officeDocument/2006/relationships/hyperlink" Target="https://drive.google.com/open?id=1uQLEP8IK7EEf9B1oVr6UwhQa1qI_vbu6" TargetMode="External"/><Relationship Id="rId195" Type="http://schemas.openxmlformats.org/officeDocument/2006/relationships/hyperlink" Target="https://drive.google.com/open?id=1LPC4xmPcL7971R7UuYxwpjD95BHD6HF7" TargetMode="External"/><Relationship Id="rId199" Type="http://schemas.openxmlformats.org/officeDocument/2006/relationships/hyperlink" Target="https://drive.google.com/open?id=1gFTxcTQVsmZpd9TeLhS2tOMPiTlRcZ_h" TargetMode="External"/><Relationship Id="rId150" Type="http://schemas.openxmlformats.org/officeDocument/2006/relationships/hyperlink" Target="https://drive.google.com/file/d/13ad0bpffyJtRGheASa3NGxEIiB3-zOPo/view?usp=drive_link" TargetMode="External"/><Relationship Id="rId392" Type="http://schemas.openxmlformats.org/officeDocument/2006/relationships/hyperlink" Target="https://drive.google.com/open?id=1yp0_ok3jsVtEj3qrtFoTWF_ctfMourq8" TargetMode="External"/><Relationship Id="rId391" Type="http://schemas.openxmlformats.org/officeDocument/2006/relationships/hyperlink" Target="https://drive.google.com/open?id=1OCdKsVx_dIhQijkUuiEDhX8ps_Q409Ki" TargetMode="External"/><Relationship Id="rId390" Type="http://schemas.openxmlformats.org/officeDocument/2006/relationships/hyperlink" Target="https://drive.google.com/open?id=1s13hgqYE3w1sNIyBqZcw3y4YRuBwd5ls" TargetMode="External"/><Relationship Id="rId1" Type="http://schemas.openxmlformats.org/officeDocument/2006/relationships/hyperlink" Target="https://drive.google.com/open?id=1V8XCJIb7728hAFJtsFTAd1rkFqkCL-pE" TargetMode="External"/><Relationship Id="rId2" Type="http://schemas.openxmlformats.org/officeDocument/2006/relationships/hyperlink" Target="https://drive.google.com/file/d/12HIqKnIa7SPh8kcm8kyqaYNtxJpU_Rtk/view?usp=drive_link" TargetMode="External"/><Relationship Id="rId3" Type="http://schemas.openxmlformats.org/officeDocument/2006/relationships/hyperlink" Target="https://drive.google.com/open?id=1b-qZlkWgxjdta7JgOSTlSfyC3SwZdfdo" TargetMode="External"/><Relationship Id="rId149" Type="http://schemas.openxmlformats.org/officeDocument/2006/relationships/hyperlink" Target="https://drive.google.com/open?id=17hwW80URiVXWllrI8VxoZlyjv88HPKZf" TargetMode="External"/><Relationship Id="rId4" Type="http://schemas.openxmlformats.org/officeDocument/2006/relationships/hyperlink" Target="https://drive.google.com/open?id=1Dq5zHiFBbfz7DSVqOC_9MV48iHjfoCya" TargetMode="External"/><Relationship Id="rId148" Type="http://schemas.openxmlformats.org/officeDocument/2006/relationships/hyperlink" Target="https://drive.google.com/open?id=1d4TzFp0LNeq2XR6E9PTyvBUdm-Ev2oRl" TargetMode="External"/><Relationship Id="rId1090" Type="http://schemas.openxmlformats.org/officeDocument/2006/relationships/hyperlink" Target="https://drive.google.com/open?id=1UDHjf11yMOAgzcT1vqsXlo5jWoY0Kx-e" TargetMode="External"/><Relationship Id="rId1091" Type="http://schemas.openxmlformats.org/officeDocument/2006/relationships/hyperlink" Target="https://drive.google.com/open?id=1OxqiD7HDIVJuna4PoHuESDR9zQReS7L6" TargetMode="External"/><Relationship Id="rId1092" Type="http://schemas.openxmlformats.org/officeDocument/2006/relationships/hyperlink" Target="https://drive.google.com/open?id=1SDyShFSbqeg0_cj0GVWemJZpW6aYij8_" TargetMode="External"/><Relationship Id="rId1093" Type="http://schemas.openxmlformats.org/officeDocument/2006/relationships/hyperlink" Target="https://drive.google.com/open?id=1gWahdU-uG2KcTGRPwsSOmwICmwqiVRYQ" TargetMode="External"/><Relationship Id="rId1094" Type="http://schemas.openxmlformats.org/officeDocument/2006/relationships/hyperlink" Target="https://drive.google.com/open?id=1w0gq5jlg9i6VkKm6TLgN6nnUhoCEkoP0" TargetMode="External"/><Relationship Id="rId9" Type="http://schemas.openxmlformats.org/officeDocument/2006/relationships/hyperlink" Target="https://drive.google.com/open?id=1RD0G-VbOAoQ2XG06v4TX6uy7yV3tif-S" TargetMode="External"/><Relationship Id="rId143" Type="http://schemas.openxmlformats.org/officeDocument/2006/relationships/hyperlink" Target="https://drive.google.com/open?id=15F7oQ_MP7wpO6rFb7HlNbHO_I7R0BfdS" TargetMode="External"/><Relationship Id="rId385" Type="http://schemas.openxmlformats.org/officeDocument/2006/relationships/hyperlink" Target="https://drive.google.com/open?id=1MnISCufsw3IwVuznfIhJ7reBd_MxxrnK" TargetMode="External"/><Relationship Id="rId1095" Type="http://schemas.openxmlformats.org/officeDocument/2006/relationships/hyperlink" Target="https://drive.google.com/open?id=1PRi40oAZlWXxNfk6I-NlWC4VDp_va0c8" TargetMode="External"/><Relationship Id="rId142" Type="http://schemas.openxmlformats.org/officeDocument/2006/relationships/hyperlink" Target="https://drive.google.com/open?id=15tIUKTQiLoCli4kTe3SMVpCzzz5oU0b8" TargetMode="External"/><Relationship Id="rId384" Type="http://schemas.openxmlformats.org/officeDocument/2006/relationships/hyperlink" Target="https://drive.google.com/open?id=1_z2DTxdwCMnxQz4JMcJLJGNo_yCDEGl-" TargetMode="External"/><Relationship Id="rId1096" Type="http://schemas.openxmlformats.org/officeDocument/2006/relationships/hyperlink" Target="https://drive.google.com/open?id=1SvmaCo-C2Z7CCyQ5qjJUCgZDFXmha1rK" TargetMode="External"/><Relationship Id="rId141" Type="http://schemas.openxmlformats.org/officeDocument/2006/relationships/hyperlink" Target="https://drive.google.com/open?id=155nhn_vvLjNQSGCKa8EeCetO4Cg6CZQ7" TargetMode="External"/><Relationship Id="rId383" Type="http://schemas.openxmlformats.org/officeDocument/2006/relationships/hyperlink" Target="https://drive.google.com/open?id=10FYTEy4DLnoXBLSjpsgGobesv2hWqqto" TargetMode="External"/><Relationship Id="rId1097" Type="http://schemas.openxmlformats.org/officeDocument/2006/relationships/hyperlink" Target="https://drive.google.com/open?id=1LmaLIIW38_5W_Rsw_39-X-gxhzotFU9Q" TargetMode="External"/><Relationship Id="rId140" Type="http://schemas.openxmlformats.org/officeDocument/2006/relationships/hyperlink" Target="https://drive.google.com/open?id=1ntzhbyJ7wpu_vDB_WmZYfYhYINvf4h4K" TargetMode="External"/><Relationship Id="rId382" Type="http://schemas.openxmlformats.org/officeDocument/2006/relationships/hyperlink" Target="https://drive.google.com/open?id=1ssgJLVOPIw-LXyu0hQjJWrXeOS_g5brJ" TargetMode="External"/><Relationship Id="rId1098" Type="http://schemas.openxmlformats.org/officeDocument/2006/relationships/hyperlink" Target="https://drive.google.com/open?id=1PY0cm_3hShzO1ataP7MLdss0QCvXxm-6" TargetMode="External"/><Relationship Id="rId5" Type="http://schemas.openxmlformats.org/officeDocument/2006/relationships/hyperlink" Target="https://drive.google.com/open?id=1xXoSE-wqhVuPUlokjS9lc_SzAnwNokpb" TargetMode="External"/><Relationship Id="rId147" Type="http://schemas.openxmlformats.org/officeDocument/2006/relationships/hyperlink" Target="https://drive.google.com/open?id=1_oOgWOHRd0OsS0-DhUjwUN0tkYAQYlQy" TargetMode="External"/><Relationship Id="rId389" Type="http://schemas.openxmlformats.org/officeDocument/2006/relationships/hyperlink" Target="https://drive.google.com/open?id=1uy6qDWU5appuycefutCYc43w_8FaxnGH" TargetMode="External"/><Relationship Id="rId1099" Type="http://schemas.openxmlformats.org/officeDocument/2006/relationships/hyperlink" Target="https://drive.google.com/open?id=1l56qhoECSePdA3RVPfJ0iiA_yCP9mz9n" TargetMode="External"/><Relationship Id="rId6" Type="http://schemas.openxmlformats.org/officeDocument/2006/relationships/hyperlink" Target="https://drive.google.com/open?id=17sz1LOkJ7tGXA0DNsIUuYyZEAY4qenBD" TargetMode="External"/><Relationship Id="rId146" Type="http://schemas.openxmlformats.org/officeDocument/2006/relationships/hyperlink" Target="https://drive.google.com/open?id=19aNYk3ZoPRDlcd-lYv5mb6SqwTNFdRZm" TargetMode="External"/><Relationship Id="rId388" Type="http://schemas.openxmlformats.org/officeDocument/2006/relationships/hyperlink" Target="https://drive.google.com/open?id=1Sx20HJD3ulbIKFxPjmy0VYTjn7DEU2oy" TargetMode="External"/><Relationship Id="rId7" Type="http://schemas.openxmlformats.org/officeDocument/2006/relationships/hyperlink" Target="https://drive.google.com/open?id=1vIgR9LHFS9wCCCljPdwpcKt4sLEsVI4M" TargetMode="External"/><Relationship Id="rId145" Type="http://schemas.openxmlformats.org/officeDocument/2006/relationships/hyperlink" Target="https://drive.google.com/open?id=16mwG-Hh5V5nUdRQyyqnuS_d-b1Qm9y7d" TargetMode="External"/><Relationship Id="rId387" Type="http://schemas.openxmlformats.org/officeDocument/2006/relationships/hyperlink" Target="https://drive.google.com/open?id=1Ur-pf15KR3B_bClJXx1mHMcEos7tIbVd" TargetMode="External"/><Relationship Id="rId8" Type="http://schemas.openxmlformats.org/officeDocument/2006/relationships/hyperlink" Target="https://drive.google.com/open?id=1CEfEt7DbWmERTgFULUbIriWjRs7_I-S4" TargetMode="External"/><Relationship Id="rId144" Type="http://schemas.openxmlformats.org/officeDocument/2006/relationships/hyperlink" Target="https://drive.google.com/open?id=1tsTFG873Y9i8lTX04KoKLbwJ3dvNjGwn" TargetMode="External"/><Relationship Id="rId386" Type="http://schemas.openxmlformats.org/officeDocument/2006/relationships/hyperlink" Target="https://drive.google.com/open?id=1SVcV4e9R2f6o0MtoDuY6E8rEF17q8VyH" TargetMode="External"/><Relationship Id="rId381" Type="http://schemas.openxmlformats.org/officeDocument/2006/relationships/hyperlink" Target="https://drive.google.com/open?id=1BDhjMuz-d4Cm3X4ZTq_1jql_rQL61OxU" TargetMode="External"/><Relationship Id="rId380" Type="http://schemas.openxmlformats.org/officeDocument/2006/relationships/hyperlink" Target="https://drive.google.com/open?id=1EVoQyHNuBQMcNaHDQL2sLlQ1UFY2rA-N" TargetMode="External"/><Relationship Id="rId139" Type="http://schemas.openxmlformats.org/officeDocument/2006/relationships/hyperlink" Target="https://drive.google.com/open?id=1EW3D1hQPuzI7WsL-9NmKzIQbNaEWh7gr" TargetMode="External"/><Relationship Id="rId138" Type="http://schemas.openxmlformats.org/officeDocument/2006/relationships/hyperlink" Target="https://drive.google.com/open?id=1CgQmpggBUFn05d7h84ZIvaEsf-E6VBIb" TargetMode="External"/><Relationship Id="rId137" Type="http://schemas.openxmlformats.org/officeDocument/2006/relationships/hyperlink" Target="https://drive.google.com/open?id=1QAfLTXF0KU5jDpyeh62qiFwU9yoYD4zF" TargetMode="External"/><Relationship Id="rId379" Type="http://schemas.openxmlformats.org/officeDocument/2006/relationships/hyperlink" Target="https://drive.google.com/open?id=1bcOfjJcJ1rqA_z_IR3L_vY3U4oU58MKB" TargetMode="External"/><Relationship Id="rId1080" Type="http://schemas.openxmlformats.org/officeDocument/2006/relationships/hyperlink" Target="https://drive.google.com/open?id=1CpApQO9KEI7-Ha6NSJovw1ClU57zdGQZ" TargetMode="External"/><Relationship Id="rId1081" Type="http://schemas.openxmlformats.org/officeDocument/2006/relationships/hyperlink" Target="https://drive.google.com/open?id=17t6vTEqr5u4uS1nuzDt0OqsKRmW34sQE" TargetMode="External"/><Relationship Id="rId1082" Type="http://schemas.openxmlformats.org/officeDocument/2006/relationships/hyperlink" Target="https://drive.google.com/open?id=1NgP6emCQEAYbbellZDVRRAT_ZwQr_Xjj" TargetMode="External"/><Relationship Id="rId1083" Type="http://schemas.openxmlformats.org/officeDocument/2006/relationships/hyperlink" Target="https://drive.google.com/open?id=1rSbj8PRpevn1nT0sKg-5JHxLxJr_Qcls" TargetMode="External"/><Relationship Id="rId132" Type="http://schemas.openxmlformats.org/officeDocument/2006/relationships/hyperlink" Target="https://drive.google.com/open?id=1wwntaRktUlPuANI2j2JOWTdyeOqboeCX" TargetMode="External"/><Relationship Id="rId374" Type="http://schemas.openxmlformats.org/officeDocument/2006/relationships/hyperlink" Target="https://drive.google.com/open?id=1SS4djcb2IpLddNeXRW5aFayAKcEhKREl" TargetMode="External"/><Relationship Id="rId1084" Type="http://schemas.openxmlformats.org/officeDocument/2006/relationships/hyperlink" Target="https://drive.google.com/open?id=17PJr8MF8CXV_z2Hbz7Dp5nlzgFDVSCJ6" TargetMode="External"/><Relationship Id="rId131" Type="http://schemas.openxmlformats.org/officeDocument/2006/relationships/hyperlink" Target="https://drive.google.com/open?id=1Nm2q6gkGqPkkou3_KH9YVP0UUqbDck9T" TargetMode="External"/><Relationship Id="rId373" Type="http://schemas.openxmlformats.org/officeDocument/2006/relationships/hyperlink" Target="https://drive.google.com/open?id=1FlLpZrPrKd5g_QknTiK6w786chnsR1Wi" TargetMode="External"/><Relationship Id="rId1085" Type="http://schemas.openxmlformats.org/officeDocument/2006/relationships/hyperlink" Target="https://drive.google.com/open?id=1MGIaUx-JzYyUrEmGKvvwVJW2GWTAcACa" TargetMode="External"/><Relationship Id="rId130" Type="http://schemas.openxmlformats.org/officeDocument/2006/relationships/hyperlink" Target="https://drive.google.com/open?id=1Rt6hFElO5YcW-py3UzW1s5nd-1VeoWrF" TargetMode="External"/><Relationship Id="rId372" Type="http://schemas.openxmlformats.org/officeDocument/2006/relationships/hyperlink" Target="https://drive.google.com/open?id=1YYIY1HQu7CPeZNNeq32z_XX53G9DmIPq" TargetMode="External"/><Relationship Id="rId1086" Type="http://schemas.openxmlformats.org/officeDocument/2006/relationships/hyperlink" Target="https://drive.google.com/open?id=1WpDuKMGxbMDMuAvA36cQpeKs4-XLTPIb" TargetMode="External"/><Relationship Id="rId371" Type="http://schemas.openxmlformats.org/officeDocument/2006/relationships/hyperlink" Target="https://drive.google.com/open?id=1Q4SS9LMaqqNC9bsTc6zkrhy1BsxjqmyH" TargetMode="External"/><Relationship Id="rId1087" Type="http://schemas.openxmlformats.org/officeDocument/2006/relationships/hyperlink" Target="https://drive.google.com/open?id=1vOlaOiCwCzUM798ls2idrdbN1erRLgEd" TargetMode="External"/><Relationship Id="rId136" Type="http://schemas.openxmlformats.org/officeDocument/2006/relationships/hyperlink" Target="https://drive.google.com/open?id=1qc0R40f2JKwB-mpWh4iocbEyXjx4ddI5" TargetMode="External"/><Relationship Id="rId378" Type="http://schemas.openxmlformats.org/officeDocument/2006/relationships/hyperlink" Target="https://drive.google.com/open?id=1UeAOZn35BEy5pP595bIpvFxSEaxzkW7Y" TargetMode="External"/><Relationship Id="rId1088" Type="http://schemas.openxmlformats.org/officeDocument/2006/relationships/hyperlink" Target="https://drive.google.com/open?id=1ExJNZBRG7xwZjCAxA2LnWwvh0CiFjXuR" TargetMode="External"/><Relationship Id="rId135" Type="http://schemas.openxmlformats.org/officeDocument/2006/relationships/hyperlink" Target="https://drive.google.com/open?id=10GOUazO8tGitVpnzP9jM1U6peRzuvOwi" TargetMode="External"/><Relationship Id="rId377" Type="http://schemas.openxmlformats.org/officeDocument/2006/relationships/hyperlink" Target="https://drive.google.com/open?id=1BjRvI1PdSd5FVExIbEKjhCVrbpDFKAQE" TargetMode="External"/><Relationship Id="rId1089" Type="http://schemas.openxmlformats.org/officeDocument/2006/relationships/hyperlink" Target="https://drive.google.com/open?id=1hO0jOd5X95GJl6mRcpYAKfo54H1VF1hc" TargetMode="External"/><Relationship Id="rId134" Type="http://schemas.openxmlformats.org/officeDocument/2006/relationships/hyperlink" Target="https://drive.google.com/open?id=1DVCVrOPkCdEVAysfAI1ncuEG74e0NV1c" TargetMode="External"/><Relationship Id="rId376" Type="http://schemas.openxmlformats.org/officeDocument/2006/relationships/hyperlink" Target="https://drive.google.com/open?id=1gAvcA-kA1Hf2sJCTr6cctd1NK5bU_pfP" TargetMode="External"/><Relationship Id="rId133" Type="http://schemas.openxmlformats.org/officeDocument/2006/relationships/hyperlink" Target="https://drive.google.com/open?id=1jy7Veuai2R5HdztGFBjj4V1ixFoxGh5b" TargetMode="External"/><Relationship Id="rId375" Type="http://schemas.openxmlformats.org/officeDocument/2006/relationships/hyperlink" Target="https://drive.google.com/open?id=1kKTaUnuixWZE8jGPha3NahRndQT6p2Bk" TargetMode="External"/><Relationship Id="rId172" Type="http://schemas.openxmlformats.org/officeDocument/2006/relationships/hyperlink" Target="https://drive.google.com/open?id=1AMydLqNr_zUJSDCzC_s33gGFOzxbkTbT" TargetMode="External"/><Relationship Id="rId171" Type="http://schemas.openxmlformats.org/officeDocument/2006/relationships/hyperlink" Target="https://drive.google.com/open?id=1o2PTNTkY2kG6TViI5fiVKOLpO8Zyrzq9" TargetMode="External"/><Relationship Id="rId170" Type="http://schemas.openxmlformats.org/officeDocument/2006/relationships/hyperlink" Target="https://drive.google.com/open?id=1OS8ePGbsO0RRp43Dlk_Pvvnh2YpAgitT" TargetMode="External"/><Relationship Id="rId165" Type="http://schemas.openxmlformats.org/officeDocument/2006/relationships/hyperlink" Target="https://drive.google.com/open?id=1vZ8CeUqXh7N_cPX_wrzIdcsjqcTezD0C" TargetMode="External"/><Relationship Id="rId164" Type="http://schemas.openxmlformats.org/officeDocument/2006/relationships/hyperlink" Target="https://drive.google.com/open?id=1uHTHs29eNy0fi3bqytqNCE4JiLNOZYQ3" TargetMode="External"/><Relationship Id="rId163" Type="http://schemas.openxmlformats.org/officeDocument/2006/relationships/hyperlink" Target="https://drive.google.com/file/d/1gSvnvIM2cTneg16o31UuYs6W-MCxtk3X/view?usp=drive_link" TargetMode="External"/><Relationship Id="rId162" Type="http://schemas.openxmlformats.org/officeDocument/2006/relationships/hyperlink" Target="https://drive.google.com/open?id=1NxyLi6GUihpo7YpBs0Vcugxq6Su0f4Pr" TargetMode="External"/><Relationship Id="rId169" Type="http://schemas.openxmlformats.org/officeDocument/2006/relationships/hyperlink" Target="https://drive.google.com/open?id=1gwZTfEdP4FHEG7TLZlF2xI1fJ84lQ5Ou" TargetMode="External"/><Relationship Id="rId168" Type="http://schemas.openxmlformats.org/officeDocument/2006/relationships/hyperlink" Target="https://drive.google.com/open?id=1c-Id4PbD7woc6Ls4dyqBboaHvIyeAhOH" TargetMode="External"/><Relationship Id="rId167" Type="http://schemas.openxmlformats.org/officeDocument/2006/relationships/hyperlink" Target="https://drive.google.com/open?id=1R2EnIPGNi9N9X_W48lE-lUhSEPvDY5fo" TargetMode="External"/><Relationship Id="rId166" Type="http://schemas.openxmlformats.org/officeDocument/2006/relationships/hyperlink" Target="https://drive.google.com/open?id=1rAs_Fm69m-J7cfS44NWc-VXHwtz9KKjc" TargetMode="External"/><Relationship Id="rId161" Type="http://schemas.openxmlformats.org/officeDocument/2006/relationships/hyperlink" Target="https://drive.google.com/open?id=1wQiiB83hwbuWLGwyrcGyY0g1ZWw8rfIM" TargetMode="External"/><Relationship Id="rId160" Type="http://schemas.openxmlformats.org/officeDocument/2006/relationships/hyperlink" Target="https://drive.google.com/open?id=18-Zo8ZTccbfrq8ycowpciAAuFWqcMuWD" TargetMode="External"/><Relationship Id="rId159" Type="http://schemas.openxmlformats.org/officeDocument/2006/relationships/hyperlink" Target="https://drive.google.com/open?id=1Y1CRWjzfPmkxIcmkODBUUdtDEN57mZRk" TargetMode="External"/><Relationship Id="rId154" Type="http://schemas.openxmlformats.org/officeDocument/2006/relationships/hyperlink" Target="https://drive.google.com/open?id=1SNl5k-qa5Kkt2mkbm9z0F24pWaDi4nBF" TargetMode="External"/><Relationship Id="rId396" Type="http://schemas.openxmlformats.org/officeDocument/2006/relationships/hyperlink" Target="https://drive.google.com/open?id=1OLhB5AqkNJ_F9DTHXjQ6LrhjLARsgOUB" TargetMode="External"/><Relationship Id="rId153" Type="http://schemas.openxmlformats.org/officeDocument/2006/relationships/hyperlink" Target="https://drive.google.com/open?id=1pHQCCs0PT2wBtpM1uC-21m7MZfgSbvqv" TargetMode="External"/><Relationship Id="rId395" Type="http://schemas.openxmlformats.org/officeDocument/2006/relationships/hyperlink" Target="https://drive.google.com/open?id=18sTxYVoR2V_j87J91eWm1SoIz2uWSX-l" TargetMode="External"/><Relationship Id="rId152" Type="http://schemas.openxmlformats.org/officeDocument/2006/relationships/hyperlink" Target="https://drive.google.com/open?id=1fN-zMnMvcFYlH4fbS5uhc30llQK7w_37" TargetMode="External"/><Relationship Id="rId394" Type="http://schemas.openxmlformats.org/officeDocument/2006/relationships/hyperlink" Target="https://drive.google.com/open?id=1UrzgFv_fjkkDkuA04F0kBPlldeIKh-qV" TargetMode="External"/><Relationship Id="rId151" Type="http://schemas.openxmlformats.org/officeDocument/2006/relationships/hyperlink" Target="https://drive.google.com/file/d/1C7rFGU9hWlPEvS6XR9zV9fIbKAZcVAEx/view?usp=drive_link" TargetMode="External"/><Relationship Id="rId393" Type="http://schemas.openxmlformats.org/officeDocument/2006/relationships/hyperlink" Target="https://drive.google.com/open?id=1ZHCraUjMGDwmuj1JCcxsBr0_aLMlJomS" TargetMode="External"/><Relationship Id="rId158" Type="http://schemas.openxmlformats.org/officeDocument/2006/relationships/hyperlink" Target="https://drive.google.com/open?id=1nBBFRwIg-ouO6ybRL7ON7eairPwPhhB_" TargetMode="External"/><Relationship Id="rId157" Type="http://schemas.openxmlformats.org/officeDocument/2006/relationships/hyperlink" Target="https://drive.google.com/open?id=15SmFNcAfh4f1vlsBmy836yZrjyVh6_cs" TargetMode="External"/><Relationship Id="rId399" Type="http://schemas.openxmlformats.org/officeDocument/2006/relationships/hyperlink" Target="https://drive.google.com/open?id=1kebdCI1z2x3Hg-hFHkRIwU9ARDmzSC7f" TargetMode="External"/><Relationship Id="rId156" Type="http://schemas.openxmlformats.org/officeDocument/2006/relationships/hyperlink" Target="https://drive.google.com/open?id=1zOhfF0Auy6I_p_No7W3XPsD-IiOSQvAF" TargetMode="External"/><Relationship Id="rId398" Type="http://schemas.openxmlformats.org/officeDocument/2006/relationships/hyperlink" Target="https://drive.google.com/open?id=1mEJ51F4C0fh2D0JdwZp-eVEAmTOMss5F" TargetMode="External"/><Relationship Id="rId155" Type="http://schemas.openxmlformats.org/officeDocument/2006/relationships/hyperlink" Target="https://drive.google.com/open?id=1wVX1sQhc0yBBRv7EXcNm577FgPNxaWOb" TargetMode="External"/><Relationship Id="rId397" Type="http://schemas.openxmlformats.org/officeDocument/2006/relationships/hyperlink" Target="https://drive.google.com/open?id=1xwdh5pNpDoVwgL7MO2FUx3Psuo80DdSx" TargetMode="External"/><Relationship Id="rId808" Type="http://schemas.openxmlformats.org/officeDocument/2006/relationships/hyperlink" Target="https://drive.google.com/open?id=1bd9xJOAviT2nPUNTvxJOdatfEwhWfRZL" TargetMode="External"/><Relationship Id="rId807" Type="http://schemas.openxmlformats.org/officeDocument/2006/relationships/hyperlink" Target="https://drive.google.com/open?id=1iA7fzouz417pdevo4UlU74pYHsAQHMCx" TargetMode="External"/><Relationship Id="rId806" Type="http://schemas.openxmlformats.org/officeDocument/2006/relationships/hyperlink" Target="https://drive.google.com/open?id=1Z1g-jwYjIZKT50gf5Jip12d276C12nyd" TargetMode="External"/><Relationship Id="rId805" Type="http://schemas.openxmlformats.org/officeDocument/2006/relationships/hyperlink" Target="https://drive.google.com/open?id=1U9KmFipx7b3hKU5R89-AHkyInOTKA_h9" TargetMode="External"/><Relationship Id="rId809" Type="http://schemas.openxmlformats.org/officeDocument/2006/relationships/hyperlink" Target="https://drive.google.com/open?id=1oV2qTp36fBK6pYsWGf9sVe8gu0yQpKsu" TargetMode="External"/><Relationship Id="rId800" Type="http://schemas.openxmlformats.org/officeDocument/2006/relationships/hyperlink" Target="https://drive.google.com/open?id=1W7AnWVCIaistOlIOJ9W-BcX1vZZJ-zFW" TargetMode="External"/><Relationship Id="rId804" Type="http://schemas.openxmlformats.org/officeDocument/2006/relationships/hyperlink" Target="https://drive.google.com/open?id=1QqzLwtK9R-gxHlma3nm7z0JjMaS_7arW" TargetMode="External"/><Relationship Id="rId803" Type="http://schemas.openxmlformats.org/officeDocument/2006/relationships/hyperlink" Target="https://drive.google.com/open?id=1EH8Rno9C-NygMGf4aoFjOEBgxsHyRvbz" TargetMode="External"/><Relationship Id="rId802" Type="http://schemas.openxmlformats.org/officeDocument/2006/relationships/hyperlink" Target="https://drive.google.com/open?id=1nAnJVI59rc1gvUcdOQvLrognh9msnDq8" TargetMode="External"/><Relationship Id="rId801" Type="http://schemas.openxmlformats.org/officeDocument/2006/relationships/hyperlink" Target="https://drive.google.com/open?id=1EGWT-7Ouqv7eQgPxyi_Vm4wt88RiWNMX" TargetMode="External"/><Relationship Id="rId40" Type="http://schemas.openxmlformats.org/officeDocument/2006/relationships/hyperlink" Target="https://drive.google.com/open?id=1rYmgd0sapKC48_nzXVcY28tOMgt1yZbY" TargetMode="External"/><Relationship Id="rId1334" Type="http://schemas.openxmlformats.org/officeDocument/2006/relationships/hyperlink" Target="https://drive.google.com/open?id=1BoizWdDB6ed4Yz9TEoJqklEavoA8I9h2" TargetMode="External"/><Relationship Id="rId1335" Type="http://schemas.openxmlformats.org/officeDocument/2006/relationships/hyperlink" Target="https://drive.google.com/open?id=1EPgdI6JPanFpdJ5uOhFTBwDljRpT0q_k" TargetMode="External"/><Relationship Id="rId42" Type="http://schemas.openxmlformats.org/officeDocument/2006/relationships/hyperlink" Target="https://drive.google.com/open?id=1glf15fFUJ9lUB3oYHPJhcAIs3ZUABuUF" TargetMode="External"/><Relationship Id="rId1336" Type="http://schemas.openxmlformats.org/officeDocument/2006/relationships/hyperlink" Target="https://drive.google.com/open?id=1Sj8y3T-uwDyjBVyTZwaRSdGqu_hAlkgl" TargetMode="External"/><Relationship Id="rId41" Type="http://schemas.openxmlformats.org/officeDocument/2006/relationships/hyperlink" Target="https://drive.google.com/open?id=1tLiEQxG8HWowT-cLfJZ59X_kYkWVhJrq" TargetMode="External"/><Relationship Id="rId1337" Type="http://schemas.openxmlformats.org/officeDocument/2006/relationships/hyperlink" Target="https://drive.google.com/open?id=1KXD2kPZA2X5qnuMMIWfZkinOFZLsxEk0" TargetMode="External"/><Relationship Id="rId44" Type="http://schemas.openxmlformats.org/officeDocument/2006/relationships/hyperlink" Target="https://drive.google.com/open?id=1OrMs1cxFAu2OhD9LmF1nMN7MX6rVfd5g" TargetMode="External"/><Relationship Id="rId1338" Type="http://schemas.openxmlformats.org/officeDocument/2006/relationships/hyperlink" Target="https://drive.google.com/open?id=1EVf6wzahny6oJY_aHT_iHrJzQ0Ws-5H3" TargetMode="External"/><Relationship Id="rId43" Type="http://schemas.openxmlformats.org/officeDocument/2006/relationships/hyperlink" Target="https://drive.google.com/open?id=1t984HtK_guWcZeKRnpb8iqKASRgbnGfk" TargetMode="External"/><Relationship Id="rId1339" Type="http://schemas.openxmlformats.org/officeDocument/2006/relationships/hyperlink" Target="https://drive.google.com/open?id=19WsU144hjcMqUTXejfJJom9sgZfRp-Xg" TargetMode="External"/><Relationship Id="rId46" Type="http://schemas.openxmlformats.org/officeDocument/2006/relationships/hyperlink" Target="https://drive.google.com/open?id=1ORwtbvx5hUaHw5ltXD0a0cuDhXWSnlLK" TargetMode="External"/><Relationship Id="rId45" Type="http://schemas.openxmlformats.org/officeDocument/2006/relationships/hyperlink" Target="https://drive.google.com/open?id=1Sgpf8xDKbapEI2wgJw6fbjB8RgUJQ7IB" TargetMode="External"/><Relationship Id="rId509" Type="http://schemas.openxmlformats.org/officeDocument/2006/relationships/hyperlink" Target="https://drive.google.com/file/d/1Ger7GrAnAx-MUdWrlAXsCNeh4PkCIrBN/view?usp=sharing" TargetMode="External"/><Relationship Id="rId508" Type="http://schemas.openxmlformats.org/officeDocument/2006/relationships/hyperlink" Target="https://drive.google.com/open?id=1Iifkb2P8Y4nq8xg0NL-voX5LULJkekwP" TargetMode="External"/><Relationship Id="rId503" Type="http://schemas.openxmlformats.org/officeDocument/2006/relationships/hyperlink" Target="https://drive.google.com/open?id=1CR9Cq3iFEcntYoD27a0mRFPWDXyKKLPx" TargetMode="External"/><Relationship Id="rId745" Type="http://schemas.openxmlformats.org/officeDocument/2006/relationships/hyperlink" Target="https://drive.google.com/open?id=1sugPYSD-EFCv9i3BUAXVgH7Z6c24zKEu" TargetMode="External"/><Relationship Id="rId987" Type="http://schemas.openxmlformats.org/officeDocument/2006/relationships/hyperlink" Target="https://drive.google.com/open?id=1Mr1VA_4P8befs74ut1u09q9NQSwx88Fp" TargetMode="External"/><Relationship Id="rId502" Type="http://schemas.openxmlformats.org/officeDocument/2006/relationships/hyperlink" Target="https://drive.google.com/open?id=1Lp4eQFMThD8BfFHJer1TpQcl4qR16lMS" TargetMode="External"/><Relationship Id="rId744" Type="http://schemas.openxmlformats.org/officeDocument/2006/relationships/hyperlink" Target="https://drive.google.com/open?id=1M_8BdYdTcjAo1k1Psy99Rc9C8T9PVg9I" TargetMode="External"/><Relationship Id="rId986" Type="http://schemas.openxmlformats.org/officeDocument/2006/relationships/hyperlink" Target="https://drive.google.com/open?id=1Ctk_44Ue9Snb029D1d5guuacJ6KNSmRS" TargetMode="External"/><Relationship Id="rId501" Type="http://schemas.openxmlformats.org/officeDocument/2006/relationships/hyperlink" Target="https://drive.google.com/open?id=14zvqgcYwTk3ptMaZpEX4c8i_IQ66A73R" TargetMode="External"/><Relationship Id="rId743" Type="http://schemas.openxmlformats.org/officeDocument/2006/relationships/hyperlink" Target="https://drive.google.com/open?id=1RtJDeGOQ8QZgAvMRX8q3IsxJAr_yA_iF" TargetMode="External"/><Relationship Id="rId985" Type="http://schemas.openxmlformats.org/officeDocument/2006/relationships/hyperlink" Target="https://drive.google.com/open?id=1QwrImDujgrkuP0s5rvYrxdeA0rLEfFVA" TargetMode="External"/><Relationship Id="rId500" Type="http://schemas.openxmlformats.org/officeDocument/2006/relationships/hyperlink" Target="https://drive.google.com/open?id=1_exkS--n8ZhIoNB46myakyF-OGZrqgp7" TargetMode="External"/><Relationship Id="rId742" Type="http://schemas.openxmlformats.org/officeDocument/2006/relationships/hyperlink" Target="https://drive.google.com/open?id=1hN4CAnATRIlwcXjnNJivMsMtKF2YhmQM" TargetMode="External"/><Relationship Id="rId984" Type="http://schemas.openxmlformats.org/officeDocument/2006/relationships/hyperlink" Target="https://drive.google.com/open?id=1mMI6OqwXtRKTCswK05q4W9RCpZWPKt3Z" TargetMode="External"/><Relationship Id="rId507" Type="http://schemas.openxmlformats.org/officeDocument/2006/relationships/hyperlink" Target="https://drive.google.com/open?id=188p23_zJQW4EfyXob-rUzkf2X0cgQK6S" TargetMode="External"/><Relationship Id="rId749" Type="http://schemas.openxmlformats.org/officeDocument/2006/relationships/hyperlink" Target="https://drive.google.com/open?id=1sul0wDQYzCPdlk8FX_fl5h2xqip18EZY" TargetMode="External"/><Relationship Id="rId506" Type="http://schemas.openxmlformats.org/officeDocument/2006/relationships/hyperlink" Target="https://drive.google.com/open?id=1WcEoM3gnUhItmNY3n7QgZgx1z08TKb32" TargetMode="External"/><Relationship Id="rId748" Type="http://schemas.openxmlformats.org/officeDocument/2006/relationships/hyperlink" Target="https://drive.google.com/open?id=1LWNokqgHxJH1saY1YDbkPCrR6iLd-Qls" TargetMode="External"/><Relationship Id="rId505" Type="http://schemas.openxmlformats.org/officeDocument/2006/relationships/hyperlink" Target="https://drive.google.com/open?id=15mUkmgvLthZHhDrA5le5yJn6l8VooUTT" TargetMode="External"/><Relationship Id="rId747" Type="http://schemas.openxmlformats.org/officeDocument/2006/relationships/hyperlink" Target="https://drive.google.com/open?id=11TOR3hUXFaZbz3tEc-CoFkriTIEEE_PS" TargetMode="External"/><Relationship Id="rId989" Type="http://schemas.openxmlformats.org/officeDocument/2006/relationships/hyperlink" Target="https://drive.google.com/open?id=16r6GjDDA1hzN18-fN8g5CfLlQL0ovTym" TargetMode="External"/><Relationship Id="rId504" Type="http://schemas.openxmlformats.org/officeDocument/2006/relationships/hyperlink" Target="https://drive.google.com/open?id=1FfjSQOIkXUx0O8p9ieIoOiWa_j66chcf" TargetMode="External"/><Relationship Id="rId746" Type="http://schemas.openxmlformats.org/officeDocument/2006/relationships/hyperlink" Target="https://drive.google.com/open?id=1yzw_7JHDE0aKWFCBGcTFGVjc75oprQg5" TargetMode="External"/><Relationship Id="rId988" Type="http://schemas.openxmlformats.org/officeDocument/2006/relationships/hyperlink" Target="https://drive.google.com/open?id=1OS71i9o7Bd0TlE6sQaddzQYGffRj8y3M" TargetMode="External"/><Relationship Id="rId48" Type="http://schemas.openxmlformats.org/officeDocument/2006/relationships/hyperlink" Target="https://drive.google.com/file/d/19luiHoMIi1iRkVl8JFA_PdQLRAl6Sz9S/view?usp=drive_link" TargetMode="External"/><Relationship Id="rId47" Type="http://schemas.openxmlformats.org/officeDocument/2006/relationships/hyperlink" Target="https://drive.google.com/open?id=1MNabs416M2JSqk2PH-TswJXhEElTaAJj" TargetMode="External"/><Relationship Id="rId49" Type="http://schemas.openxmlformats.org/officeDocument/2006/relationships/hyperlink" Target="https://drive.google.com/open?id=1-bsAk3n2lUWBIbHEaZ7O7osnXp0fgd_z" TargetMode="External"/><Relationship Id="rId741" Type="http://schemas.openxmlformats.org/officeDocument/2006/relationships/hyperlink" Target="https://drive.google.com/open?id=1wfkQ027_VqDmReXuxHoVsXEifFMLCxKe" TargetMode="External"/><Relationship Id="rId983" Type="http://schemas.openxmlformats.org/officeDocument/2006/relationships/hyperlink" Target="https://drive.google.com/open?id=1V0wJbWFD_eAUcbTquFYIMxLSjQm_hG14" TargetMode="External"/><Relationship Id="rId1330" Type="http://schemas.openxmlformats.org/officeDocument/2006/relationships/hyperlink" Target="https://drive.google.com/open?id=1GXuRdplhCdPqwq5d6YDyZLqomlMnQnO9" TargetMode="External"/><Relationship Id="rId740" Type="http://schemas.openxmlformats.org/officeDocument/2006/relationships/hyperlink" Target="https://drive.google.com/open?id=1whPLSLkf-5HRdvL0P6izji8T96K2wXku" TargetMode="External"/><Relationship Id="rId982" Type="http://schemas.openxmlformats.org/officeDocument/2006/relationships/hyperlink" Target="https://drive.google.com/open?id=1IqMbGnbwIoTI7FvjElWjnZkuzt8JyZU_" TargetMode="External"/><Relationship Id="rId1331" Type="http://schemas.openxmlformats.org/officeDocument/2006/relationships/hyperlink" Target="https://drive.google.com/open?id=1BMMzZh49S3bJIZliUjcOVOTaUEtdLtPG" TargetMode="External"/><Relationship Id="rId981" Type="http://schemas.openxmlformats.org/officeDocument/2006/relationships/hyperlink" Target="https://drive.google.com/open?id=1vRmESahor-di7oKdTz4plzgHWkqRJyGw" TargetMode="External"/><Relationship Id="rId1332" Type="http://schemas.openxmlformats.org/officeDocument/2006/relationships/hyperlink" Target="https://drive.google.com/open?id=1gSj-S8ajvaIjtVHJUfs2HESZEtng-cR_" TargetMode="External"/><Relationship Id="rId980" Type="http://schemas.openxmlformats.org/officeDocument/2006/relationships/hyperlink" Target="https://drive.google.com/open?id=1IAshVXelPWQvkXvxmmXBRrdOIGnASoaM" TargetMode="External"/><Relationship Id="rId1333" Type="http://schemas.openxmlformats.org/officeDocument/2006/relationships/hyperlink" Target="https://drive.google.com/file/d/1Nk9Hjyb4j6QuLLf9MYw2OTkjmVfgjudm/view?usp=drive_link" TargetMode="External"/><Relationship Id="rId1323" Type="http://schemas.openxmlformats.org/officeDocument/2006/relationships/hyperlink" Target="https://drive.google.com/open?id=145i-Ix-yiAnHgk4d2m329yGIRhQbOcth" TargetMode="External"/><Relationship Id="rId1324" Type="http://schemas.openxmlformats.org/officeDocument/2006/relationships/hyperlink" Target="https://drive.google.com/open?id=1XYvwuRh26LZfVIC9VBpKxGQ0r0u8-uLq" TargetMode="External"/><Relationship Id="rId31" Type="http://schemas.openxmlformats.org/officeDocument/2006/relationships/hyperlink" Target="https://drive.google.com/open?id=1Q-5HDO_cbndN4lTHR89xMHFb9DLnzUWR" TargetMode="External"/><Relationship Id="rId1325" Type="http://schemas.openxmlformats.org/officeDocument/2006/relationships/hyperlink" Target="https://drive.google.com/open?id=1SPQizj7jxtLanLXCPF2VGNYqsdlTOmzc" TargetMode="External"/><Relationship Id="rId30" Type="http://schemas.openxmlformats.org/officeDocument/2006/relationships/hyperlink" Target="https://drive.google.com/open?id=1xFVhtLoXOC3uAFfIdSVUWAMGapX_JAwE" TargetMode="External"/><Relationship Id="rId1326" Type="http://schemas.openxmlformats.org/officeDocument/2006/relationships/hyperlink" Target="https://drive.google.com/open?id=16SRQnbs9dBfsyU1H_cGKsc-_STn7mgbA" TargetMode="External"/><Relationship Id="rId33" Type="http://schemas.openxmlformats.org/officeDocument/2006/relationships/hyperlink" Target="https://drive.google.com/open?id=1NgGffKDwBfZBYffODnUVH_hwCUoeWp8q" TargetMode="External"/><Relationship Id="rId1327" Type="http://schemas.openxmlformats.org/officeDocument/2006/relationships/hyperlink" Target="https://drive.google.com/open?id=1X6ooIAeEh5MgvM0sMLiTf9bXEpqOo4Fh" TargetMode="External"/><Relationship Id="rId32" Type="http://schemas.openxmlformats.org/officeDocument/2006/relationships/hyperlink" Target="https://drive.google.com/open?id=1ZIct1WcYhE87jlo3YyRIhKkkFSaHu1Lu" TargetMode="External"/><Relationship Id="rId1328" Type="http://schemas.openxmlformats.org/officeDocument/2006/relationships/hyperlink" Target="https://drive.google.com/open?id=19Es9R0QsOEiPvydzUqRRfJaG7DYiX7pf" TargetMode="External"/><Relationship Id="rId35" Type="http://schemas.openxmlformats.org/officeDocument/2006/relationships/hyperlink" Target="https://drive.google.com/open?id=1V3wp-UNHrzfwZB57fM3-PdH7Uwsqsnru" TargetMode="External"/><Relationship Id="rId1329" Type="http://schemas.openxmlformats.org/officeDocument/2006/relationships/hyperlink" Target="https://drive.google.com/file/d/1D7TyJnbey3gWuvkRgGas3p6MxiQpJIY4/view?usp=drive_link" TargetMode="External"/><Relationship Id="rId34" Type="http://schemas.openxmlformats.org/officeDocument/2006/relationships/hyperlink" Target="https://drive.google.com/open?id=1vD_pDtT167ixCPI8fzxYa2ERWBIpET1O" TargetMode="External"/><Relationship Id="rId739" Type="http://schemas.openxmlformats.org/officeDocument/2006/relationships/hyperlink" Target="https://drive.google.com/open?id=1dWLKlLGibOenkhX3xu8bpHA7SagKve64" TargetMode="External"/><Relationship Id="rId734" Type="http://schemas.openxmlformats.org/officeDocument/2006/relationships/hyperlink" Target="https://drive.google.com/open?id=1nbldnDpDrCTNd9sBvDng1Pmf2ms2Cwcc" TargetMode="External"/><Relationship Id="rId976" Type="http://schemas.openxmlformats.org/officeDocument/2006/relationships/hyperlink" Target="https://drive.google.com/open?id=1kaK-kExn1qlzaEvTZFoNt0_dSj1PyxvC" TargetMode="External"/><Relationship Id="rId733" Type="http://schemas.openxmlformats.org/officeDocument/2006/relationships/hyperlink" Target="https://drive.google.com/open?id=1NGtYW8lWLTlHUiPzcWqr4Lyzgm4zYpTr" TargetMode="External"/><Relationship Id="rId975" Type="http://schemas.openxmlformats.org/officeDocument/2006/relationships/hyperlink" Target="https://drive.google.com/open?id=14s_s1TPKNFL8wI3hLRFX1yX5h55vjw7W" TargetMode="External"/><Relationship Id="rId732" Type="http://schemas.openxmlformats.org/officeDocument/2006/relationships/hyperlink" Target="https://drive.google.com/open?id=1dsfj6l0vJL548NdpisxMbqyHLb1e9EKT" TargetMode="External"/><Relationship Id="rId974" Type="http://schemas.openxmlformats.org/officeDocument/2006/relationships/hyperlink" Target="https://drive.google.com/file/d/1M8UkGI0R_Cf1dxJdZpmdmI8ypWVOrjgY/view?usp=drive_link" TargetMode="External"/><Relationship Id="rId731" Type="http://schemas.openxmlformats.org/officeDocument/2006/relationships/hyperlink" Target="https://drive.google.com/open?id=1cLw96iCvYktrXAiEVYNUGSqT0FXkul0e" TargetMode="External"/><Relationship Id="rId973" Type="http://schemas.openxmlformats.org/officeDocument/2006/relationships/hyperlink" Target="https://drive.google.com/open?id=1q8zTSfyTFD5hoFLWNTQbKFPSHGOw22Ch" TargetMode="External"/><Relationship Id="rId738" Type="http://schemas.openxmlformats.org/officeDocument/2006/relationships/hyperlink" Target="https://drive.google.com/open?id=1zBxdjSEnk-d9DzeIwodD_T7R1fjOWC0n" TargetMode="External"/><Relationship Id="rId737" Type="http://schemas.openxmlformats.org/officeDocument/2006/relationships/hyperlink" Target="https://drive.google.com/open?id=1YzS0YXmkTiMFzV_0khrLKEeR4CaRikk2" TargetMode="External"/><Relationship Id="rId979" Type="http://schemas.openxmlformats.org/officeDocument/2006/relationships/hyperlink" Target="https://drive.google.com/open?id=1GEoarcABVUWbWhJsEc7r7EAERUkbw0oV" TargetMode="External"/><Relationship Id="rId736" Type="http://schemas.openxmlformats.org/officeDocument/2006/relationships/hyperlink" Target="https://drive.google.com/open?id=1TwEQPwo9Nu1ndCc1CuUmIixOOkNVnet-" TargetMode="External"/><Relationship Id="rId978" Type="http://schemas.openxmlformats.org/officeDocument/2006/relationships/hyperlink" Target="https://drive.google.com/open?id=1zNoMyQ767m3IYnKiqrKG34M7bddNuKOG" TargetMode="External"/><Relationship Id="rId735" Type="http://schemas.openxmlformats.org/officeDocument/2006/relationships/hyperlink" Target="https://drive.google.com/open?id=1ITl1B6vbXxtEzWKEYmxmNVTcqx-YiL_E" TargetMode="External"/><Relationship Id="rId977" Type="http://schemas.openxmlformats.org/officeDocument/2006/relationships/hyperlink" Target="https://drive.google.com/file/d/10t5dEi-iadyBUES3Xt9I0YDO3RreLvLn/view?usp=drive_link" TargetMode="External"/><Relationship Id="rId37" Type="http://schemas.openxmlformats.org/officeDocument/2006/relationships/hyperlink" Target="https://drive.google.com/open?id=18CQ_tAVrlomKWEqxMCT4GPXtVxBLlUJB" TargetMode="External"/><Relationship Id="rId36" Type="http://schemas.openxmlformats.org/officeDocument/2006/relationships/hyperlink" Target="https://drive.google.com/open?id=1QCg6HHy2xV7Hs7EyphyRMiJz53qtAjI-" TargetMode="External"/><Relationship Id="rId39" Type="http://schemas.openxmlformats.org/officeDocument/2006/relationships/hyperlink" Target="https://drive.google.com/open?id=1Ff0qZSImizZY4wxjaGTKDBDB2cn7IiMp" TargetMode="External"/><Relationship Id="rId38" Type="http://schemas.openxmlformats.org/officeDocument/2006/relationships/hyperlink" Target="https://drive.google.com/open?id=13R6DvWb-LTvYDSCBYNTOgSvd3IIuGe8k" TargetMode="External"/><Relationship Id="rId730" Type="http://schemas.openxmlformats.org/officeDocument/2006/relationships/hyperlink" Target="https://drive.google.com/open?id=1TNiw2NrZ1Ey_aDwFR2lHNpDgIzBZE_TU" TargetMode="External"/><Relationship Id="rId972" Type="http://schemas.openxmlformats.org/officeDocument/2006/relationships/hyperlink" Target="https://drive.google.com/file/d/18cu7kWW5VUznFdxR4Qv27ZL9h5AjID0W/view?usp=drive_link" TargetMode="External"/><Relationship Id="rId971" Type="http://schemas.openxmlformats.org/officeDocument/2006/relationships/hyperlink" Target="https://drive.google.com/file/d/1CyADveJQLTF0cXAZPdxgYJ-4Cy7SZXYm/view?usp=sharing" TargetMode="External"/><Relationship Id="rId1320" Type="http://schemas.openxmlformats.org/officeDocument/2006/relationships/hyperlink" Target="https://drive.google.com/open?id=1s2RlGNytu_BuRaI3UD6ePm-dvbT9kmiU" TargetMode="External"/><Relationship Id="rId970" Type="http://schemas.openxmlformats.org/officeDocument/2006/relationships/hyperlink" Target="https://drive.google.com/file/d/1k0Ky5VCh7EcWR8q3oAvh7BFeYFD9xwjt/view?usp=sharing" TargetMode="External"/><Relationship Id="rId1321" Type="http://schemas.openxmlformats.org/officeDocument/2006/relationships/hyperlink" Target="https://drive.google.com/open?id=1iIM_FeVONNv74TYGlmcFnNfATcfpVqWC" TargetMode="External"/><Relationship Id="rId1322" Type="http://schemas.openxmlformats.org/officeDocument/2006/relationships/hyperlink" Target="https://drive.google.com/open?id=1xtraBZjdlq_WYNJN8H1eoBwQGs3YOI82" TargetMode="External"/><Relationship Id="rId1114" Type="http://schemas.openxmlformats.org/officeDocument/2006/relationships/hyperlink" Target="https://drive.google.com/open?id=1FZWz3As8oaVI6CLFNnL9sPIcS7O0ClqF" TargetMode="External"/><Relationship Id="rId1356" Type="http://schemas.openxmlformats.org/officeDocument/2006/relationships/hyperlink" Target="https://drive.google.com/file/d/1idlxTbhVOH2PYsu_Qu6xggdMA9I7HDnl/view?usp=drive_link" TargetMode="External"/><Relationship Id="rId1115" Type="http://schemas.openxmlformats.org/officeDocument/2006/relationships/hyperlink" Target="https://drive.google.com/open?id=19t7-r-3awhCryVXpao3CKrRX3e1aTmAu" TargetMode="External"/><Relationship Id="rId1357" Type="http://schemas.openxmlformats.org/officeDocument/2006/relationships/hyperlink" Target="https://drive.google.com/open?id=1-V_rAs2k2TMpKdc11sJPw78KboDJdJ6O" TargetMode="External"/><Relationship Id="rId20" Type="http://schemas.openxmlformats.org/officeDocument/2006/relationships/hyperlink" Target="https://drive.google.com/file/d/1BvB0wW9aXTBebjoGTczm_yEBh_0t0CL-/view?usp=drive_link" TargetMode="External"/><Relationship Id="rId1116" Type="http://schemas.openxmlformats.org/officeDocument/2006/relationships/hyperlink" Target="https://drive.google.com/open?id=1uj59_ZIZ56uL-4-lbtCpAav2EnaEUlTU" TargetMode="External"/><Relationship Id="rId1358" Type="http://schemas.openxmlformats.org/officeDocument/2006/relationships/hyperlink" Target="https://drive.google.com/open?id=1ovrq8DzDN5-WvTdr6hU9WvcbbKDX7AwI" TargetMode="External"/><Relationship Id="rId1117" Type="http://schemas.openxmlformats.org/officeDocument/2006/relationships/hyperlink" Target="https://drive.google.com/open?id=1TvrDmS71r4dy3IVSYR0m2iHjgqBXsY4h" TargetMode="External"/><Relationship Id="rId1359" Type="http://schemas.openxmlformats.org/officeDocument/2006/relationships/hyperlink" Target="https://drive.google.com/open?id=1xYexj4GEVEjoBHH2ruexteFQmessDa79" TargetMode="External"/><Relationship Id="rId22" Type="http://schemas.openxmlformats.org/officeDocument/2006/relationships/hyperlink" Target="https://drive.google.com/open?id=1sbHpRWDqwo3T70kXTGqNi6qcOskuqLns" TargetMode="External"/><Relationship Id="rId1118" Type="http://schemas.openxmlformats.org/officeDocument/2006/relationships/hyperlink" Target="https://drive.google.com/open?id=1scJjt1OZxQxXq6zt5q8NZTMvCE2nhs-5" TargetMode="External"/><Relationship Id="rId21" Type="http://schemas.openxmlformats.org/officeDocument/2006/relationships/hyperlink" Target="https://drive.google.com/open?id=1uP5bHnqJQ673PhQ-o1ni7ldTiJ8je3Kd" TargetMode="External"/><Relationship Id="rId1119" Type="http://schemas.openxmlformats.org/officeDocument/2006/relationships/hyperlink" Target="https://drive.google.com/open?id=1zeiKWe3XFk00J_s8BhHR77bgKcMrIvaH" TargetMode="External"/><Relationship Id="rId24" Type="http://schemas.openxmlformats.org/officeDocument/2006/relationships/hyperlink" Target="https://drive.google.com/open?id=1Q0KEZ3FuGacZ-xWYepcKvwau6O93FIDJ" TargetMode="External"/><Relationship Id="rId23" Type="http://schemas.openxmlformats.org/officeDocument/2006/relationships/hyperlink" Target="https://drive.google.com/open?id=1i9mjq6fHRshRZCnndVcrkoOAXoBvu1yh" TargetMode="External"/><Relationship Id="rId525" Type="http://schemas.openxmlformats.org/officeDocument/2006/relationships/hyperlink" Target="https://drive.google.com/open?id=1cz5N4dz7rg7W8jk51Ds3r4mmMyR4xRr2" TargetMode="External"/><Relationship Id="rId767" Type="http://schemas.openxmlformats.org/officeDocument/2006/relationships/hyperlink" Target="https://drive.google.com/open?id=14C9jO7FsmaoVRXNl8ZQNy6kC4bQ3mAmG" TargetMode="External"/><Relationship Id="rId524" Type="http://schemas.openxmlformats.org/officeDocument/2006/relationships/hyperlink" Target="https://drive.google.com/open?id=15NA-z75BaMm1oYGaDZXG-oKU9z_ZiBQF" TargetMode="External"/><Relationship Id="rId766" Type="http://schemas.openxmlformats.org/officeDocument/2006/relationships/hyperlink" Target="https://drive.google.com/open?id=1l8gWoh-kJ0-Kh-fKhkHHTk_HGe8llTmo" TargetMode="External"/><Relationship Id="rId523" Type="http://schemas.openxmlformats.org/officeDocument/2006/relationships/hyperlink" Target="https://drive.google.com/open?id=1sTd5YlM4l8hLhAHTgL6Sz_2S0SeNoYIK" TargetMode="External"/><Relationship Id="rId765" Type="http://schemas.openxmlformats.org/officeDocument/2006/relationships/hyperlink" Target="https://drive.google.com/open?id=17qCYrLE-CBFxbrog1hmtIIUQOWNHnE5V" TargetMode="External"/><Relationship Id="rId522" Type="http://schemas.openxmlformats.org/officeDocument/2006/relationships/hyperlink" Target="https://drive.google.com/open?id=1fuNEuXCOzlFUmqflyHBKeJijcwHnQjfh" TargetMode="External"/><Relationship Id="rId764" Type="http://schemas.openxmlformats.org/officeDocument/2006/relationships/hyperlink" Target="https://drive.google.com/file/d/1Y0P-7dNE2HI7brCBw0iOnCDbgKG-gCPu/view?usp=drive_link" TargetMode="External"/><Relationship Id="rId529" Type="http://schemas.openxmlformats.org/officeDocument/2006/relationships/hyperlink" Target="https://drive.google.com/open?id=10XaR1Ab3Bv_v7bwDXpMer6wVYJUgIv71" TargetMode="External"/><Relationship Id="rId528" Type="http://schemas.openxmlformats.org/officeDocument/2006/relationships/hyperlink" Target="https://drive.google.com/open?id=1fKV3SMdp5FxSn84-kTa7U7k4DqLXH7Dy" TargetMode="External"/><Relationship Id="rId527" Type="http://schemas.openxmlformats.org/officeDocument/2006/relationships/hyperlink" Target="https://drive.google.com/open?id=1xzXpaSJ22yVJgGucAW9U4U1RMVNQbg2K" TargetMode="External"/><Relationship Id="rId769" Type="http://schemas.openxmlformats.org/officeDocument/2006/relationships/hyperlink" Target="https://drive.google.com/open?id=1STMBxE1PTozkoN9jOWjsJXM8KHvsTZQZ" TargetMode="External"/><Relationship Id="rId526" Type="http://schemas.openxmlformats.org/officeDocument/2006/relationships/hyperlink" Target="https://drive.google.com/open?id=1sWaAS5BBgXGHbYCy5uBLzg2cIwRXBKtF" TargetMode="External"/><Relationship Id="rId768" Type="http://schemas.openxmlformats.org/officeDocument/2006/relationships/hyperlink" Target="https://drive.google.com/open?id=1OkxpO9_p8nHxE675oaveOE_0e-4cKd_m" TargetMode="External"/><Relationship Id="rId26" Type="http://schemas.openxmlformats.org/officeDocument/2006/relationships/hyperlink" Target="https://drive.google.com/open?id=1izC-5LejP7WTSmRZxTUBZiBFujYYCEIc" TargetMode="External"/><Relationship Id="rId25" Type="http://schemas.openxmlformats.org/officeDocument/2006/relationships/hyperlink" Target="https://drive.google.com/open?id=1XneVz5XtFHE6HgjhziOGooCdOIVKRd4x" TargetMode="External"/><Relationship Id="rId28" Type="http://schemas.openxmlformats.org/officeDocument/2006/relationships/hyperlink" Target="https://drive.google.com/open?id=1AxtL0VVX29TEnC2UQkHp2nrMeXiuC1wd" TargetMode="External"/><Relationship Id="rId1350" Type="http://schemas.openxmlformats.org/officeDocument/2006/relationships/hyperlink" Target="https://drive.google.com/open?id=1ka8sAa--E7jXaVdQAnSa8i86N4t0ZRT_" TargetMode="External"/><Relationship Id="rId27" Type="http://schemas.openxmlformats.org/officeDocument/2006/relationships/hyperlink" Target="https://drive.google.com/open?id=1Q3hvK_-H5BUwHx2tfYySAcXd0SsJPjAN" TargetMode="External"/><Relationship Id="rId1351" Type="http://schemas.openxmlformats.org/officeDocument/2006/relationships/hyperlink" Target="https://drive.google.com/open?id=1H6nrH3U1WdomE-qzXlpPtZrS-OgL1u3y" TargetMode="External"/><Relationship Id="rId521" Type="http://schemas.openxmlformats.org/officeDocument/2006/relationships/hyperlink" Target="https://drive.google.com/open?id=1Zg1h0JgE-1wTxi6ZXmGj7HszEF4xkDTR" TargetMode="External"/><Relationship Id="rId763" Type="http://schemas.openxmlformats.org/officeDocument/2006/relationships/hyperlink" Target="https://drive.google.com/open?id=1KmyzPyPu-ErGIbNJdoApjOD-Q37LzEpr" TargetMode="External"/><Relationship Id="rId1110" Type="http://schemas.openxmlformats.org/officeDocument/2006/relationships/hyperlink" Target="https://drive.google.com/open?id=1laT5kwm1mZcS2binTUVn8n0Ap8nlgNjD" TargetMode="External"/><Relationship Id="rId1352" Type="http://schemas.openxmlformats.org/officeDocument/2006/relationships/hyperlink" Target="https://drive.google.com/open?id=1BIferD9J_-kwwXxgtSxmdYvZ8LuGTCUx" TargetMode="External"/><Relationship Id="rId29" Type="http://schemas.openxmlformats.org/officeDocument/2006/relationships/hyperlink" Target="https://drive.google.com/open?id=1MhSOXS9xMVJZKUPOoL44uToAaFM1A4RB" TargetMode="External"/><Relationship Id="rId520" Type="http://schemas.openxmlformats.org/officeDocument/2006/relationships/hyperlink" Target="https://drive.google.com/open?id=1lnnS3aNyUDhISeUlfuRuiEhG1E0QfAEI" TargetMode="External"/><Relationship Id="rId762" Type="http://schemas.openxmlformats.org/officeDocument/2006/relationships/hyperlink" Target="https://drive.google.com/open?id=1HXDTQWC1RIqQyPwhZpVfq6t79bg0EETx" TargetMode="External"/><Relationship Id="rId1111" Type="http://schemas.openxmlformats.org/officeDocument/2006/relationships/hyperlink" Target="https://drive.google.com/open?id=1MQOcyurhjq27OQU_3Cv0nS144v_iL3rE" TargetMode="External"/><Relationship Id="rId1353" Type="http://schemas.openxmlformats.org/officeDocument/2006/relationships/hyperlink" Target="https://drive.google.com/open?id=1mz30i3UYButpdhkHMiC7isO0I_q8cXix" TargetMode="External"/><Relationship Id="rId761" Type="http://schemas.openxmlformats.org/officeDocument/2006/relationships/hyperlink" Target="https://drive.google.com/open?id=1da9m8LMMlGOTpICfFZFuYWjRZM9-6N0A" TargetMode="External"/><Relationship Id="rId1112" Type="http://schemas.openxmlformats.org/officeDocument/2006/relationships/hyperlink" Target="https://drive.google.com/open?id=1KsS9UasskLj0VeZar_GzmwwWw6qgz2W7" TargetMode="External"/><Relationship Id="rId1354" Type="http://schemas.openxmlformats.org/officeDocument/2006/relationships/hyperlink" Target="https://drive.google.com/open?id=1C1DgZiEGwT6hUMaJT4M9Eqx7bvN2Wgrk" TargetMode="External"/><Relationship Id="rId760" Type="http://schemas.openxmlformats.org/officeDocument/2006/relationships/hyperlink" Target="https://drive.google.com/open?id=1A7Z68n4hVUhrDPejiGR58Nfffn2Pe5ar" TargetMode="External"/><Relationship Id="rId1113" Type="http://schemas.openxmlformats.org/officeDocument/2006/relationships/hyperlink" Target="https://drive.google.com/open?id=1L-yB8E6HBku_WJfG4OOopoqHnM-_AcBO" TargetMode="External"/><Relationship Id="rId1355" Type="http://schemas.openxmlformats.org/officeDocument/2006/relationships/hyperlink" Target="https://drive.google.com/open?id=19fc1xVtceCCBDylW7Rv3-UmiGsX9T_kH" TargetMode="External"/><Relationship Id="rId1103" Type="http://schemas.openxmlformats.org/officeDocument/2006/relationships/hyperlink" Target="https://drive.google.com/open?id=11ul7nJjb_aU8Pp3T2cVuKstX2_XAepFL" TargetMode="External"/><Relationship Id="rId1345" Type="http://schemas.openxmlformats.org/officeDocument/2006/relationships/hyperlink" Target="https://drive.google.com/open?id=16opNfCyWSZ7eYagh8AfH-ZMP6sUGA2g9" TargetMode="External"/><Relationship Id="rId1104" Type="http://schemas.openxmlformats.org/officeDocument/2006/relationships/hyperlink" Target="https://drive.google.com/open?id=1PkL5O5lX9Ce94dgW6ydWQSBuuWz0nlNk" TargetMode="External"/><Relationship Id="rId1346" Type="http://schemas.openxmlformats.org/officeDocument/2006/relationships/hyperlink" Target="https://drive.google.com/open?id=1Ur2EEoMU1LZEMfkQmv1Up4RhpheYvWeE" TargetMode="External"/><Relationship Id="rId1105" Type="http://schemas.openxmlformats.org/officeDocument/2006/relationships/hyperlink" Target="https://drive.google.com/open?id=1DIFF9IcAos1QEmZIWeryj71fQoxATDnn" TargetMode="External"/><Relationship Id="rId1347" Type="http://schemas.openxmlformats.org/officeDocument/2006/relationships/hyperlink" Target="https://drive.google.com/open?id=16z5OyHIsNWmHF8sCFj9A7P_JQtNQNtw7" TargetMode="External"/><Relationship Id="rId1106" Type="http://schemas.openxmlformats.org/officeDocument/2006/relationships/hyperlink" Target="https://drive.google.com/open?id=1jSuoVEnBpGw1EKvpR68sucYxEHbPQ6I8" TargetMode="External"/><Relationship Id="rId1348" Type="http://schemas.openxmlformats.org/officeDocument/2006/relationships/hyperlink" Target="https://drive.google.com/open?id=19sEILeTZzb5KijYV8Fhruw8s_1NmD0sg" TargetMode="External"/><Relationship Id="rId11" Type="http://schemas.openxmlformats.org/officeDocument/2006/relationships/hyperlink" Target="https://drive.google.com/open?id=1szNGinY27z8ZASP6JwhZtlE6ytpJii2_" TargetMode="External"/><Relationship Id="rId1107" Type="http://schemas.openxmlformats.org/officeDocument/2006/relationships/hyperlink" Target="https://drive.google.com/open?id=1CCz9cLe3MLmn6JBf-7qAHnuxoH48VAYR" TargetMode="External"/><Relationship Id="rId1349" Type="http://schemas.openxmlformats.org/officeDocument/2006/relationships/hyperlink" Target="https://drive.google.com/open?id=17WfHnkIqZVz6KGA15lJonQ85nscAy2Is" TargetMode="External"/><Relationship Id="rId10" Type="http://schemas.openxmlformats.org/officeDocument/2006/relationships/hyperlink" Target="https://drive.google.com/open?id=1oqEwSBpGVRzh2doPPEgFLHzxC2DPhcvp" TargetMode="External"/><Relationship Id="rId1108" Type="http://schemas.openxmlformats.org/officeDocument/2006/relationships/hyperlink" Target="https://drive.google.com/open?id=1b3LTQASZsJHic1F_aly23JVfU2nR_e9i" TargetMode="External"/><Relationship Id="rId13" Type="http://schemas.openxmlformats.org/officeDocument/2006/relationships/hyperlink" Target="https://drive.google.com/open?id=1062bfFp6PXALa9DMo0meZKagxgzrj9dJ" TargetMode="External"/><Relationship Id="rId1109" Type="http://schemas.openxmlformats.org/officeDocument/2006/relationships/hyperlink" Target="https://drive.google.com/open?id=1_xII8cy5N_UWbbJBcE2mVq-0lUwiLD47" TargetMode="External"/><Relationship Id="rId12" Type="http://schemas.openxmlformats.org/officeDocument/2006/relationships/hyperlink" Target="https://drive.google.com/open?id=18r7-l-M1szLnrIrJ3QEpAsJ5d3FxYxXN" TargetMode="External"/><Relationship Id="rId519" Type="http://schemas.openxmlformats.org/officeDocument/2006/relationships/hyperlink" Target="https://drive.google.com/open?id=1HW9q0BtiI_cLBRHkdwpteSFwDgrljlAN" TargetMode="External"/><Relationship Id="rId514" Type="http://schemas.openxmlformats.org/officeDocument/2006/relationships/hyperlink" Target="https://drive.google.com/open?id=1pLDNfadBTvpEySYyi0sq8oSWJUezq_-1" TargetMode="External"/><Relationship Id="rId756" Type="http://schemas.openxmlformats.org/officeDocument/2006/relationships/hyperlink" Target="https://drive.google.com/open?id=1seqlKlC_VxpkKJrZ9UVGk07H9-Bo-kz6" TargetMode="External"/><Relationship Id="rId998" Type="http://schemas.openxmlformats.org/officeDocument/2006/relationships/hyperlink" Target="https://drive.google.com/open?id=1WYGS2lm-SkYOnBe7Mv_TeARYirx5tPw6" TargetMode="External"/><Relationship Id="rId513" Type="http://schemas.openxmlformats.org/officeDocument/2006/relationships/hyperlink" Target="https://drive.google.com/open?id=1JbJ3KD3V9HyMJ3yCYYal9i3hgzANb85t" TargetMode="External"/><Relationship Id="rId755" Type="http://schemas.openxmlformats.org/officeDocument/2006/relationships/hyperlink" Target="https://drive.google.com/open?id=1gwQ2ULl0rno_m_0l9BCwv8dXSyODpLNt" TargetMode="External"/><Relationship Id="rId997" Type="http://schemas.openxmlformats.org/officeDocument/2006/relationships/hyperlink" Target="https://drive.google.com/open?id=1HGimRFK9XZ6o0q94ZmyJPguOG_aLXgCT" TargetMode="External"/><Relationship Id="rId512" Type="http://schemas.openxmlformats.org/officeDocument/2006/relationships/hyperlink" Target="https://drive.google.com/open?id=1LobgM7p3DcxAYwr9NHrCgNhDmEq-xSOw" TargetMode="External"/><Relationship Id="rId754" Type="http://schemas.openxmlformats.org/officeDocument/2006/relationships/hyperlink" Target="https://drive.google.com/open?id=18Glgm-JENXIOelSAUHx4c9Vv5ZU9Pbi_" TargetMode="External"/><Relationship Id="rId996" Type="http://schemas.openxmlformats.org/officeDocument/2006/relationships/hyperlink" Target="https://drive.google.com/open?id=1yXEFVLjMvV_AZw6kHQvursfYRn8zkwNG" TargetMode="External"/><Relationship Id="rId511" Type="http://schemas.openxmlformats.org/officeDocument/2006/relationships/hyperlink" Target="https://drive.google.com/open?id=1mCQQpvebEevHj4A5YAHxfRMVdHTE-elx" TargetMode="External"/><Relationship Id="rId753" Type="http://schemas.openxmlformats.org/officeDocument/2006/relationships/hyperlink" Target="https://drive.google.com/open?id=1Or7s1SqpiYCibKuKyHDI-Kmte_ukBHcd" TargetMode="External"/><Relationship Id="rId995" Type="http://schemas.openxmlformats.org/officeDocument/2006/relationships/hyperlink" Target="https://drive.google.com/open?id=1gicFTcQk-_QdH2yU9UA0vD0lSq0Gwfgc" TargetMode="External"/><Relationship Id="rId518" Type="http://schemas.openxmlformats.org/officeDocument/2006/relationships/hyperlink" Target="https://drive.google.com/open?id=1QGEfcnx1TqdnyNh49u227GSkvHSLIFDN" TargetMode="External"/><Relationship Id="rId517" Type="http://schemas.openxmlformats.org/officeDocument/2006/relationships/hyperlink" Target="https://drive.google.com/open?id=1EWh1wYRomzuc_q17BUhrGFYpT6-YsWYw" TargetMode="External"/><Relationship Id="rId759" Type="http://schemas.openxmlformats.org/officeDocument/2006/relationships/hyperlink" Target="https://drive.google.com/open?id=1qQ1hdaCejkR0cfg44l4T-vImcDVDSgZe" TargetMode="External"/><Relationship Id="rId516" Type="http://schemas.openxmlformats.org/officeDocument/2006/relationships/hyperlink" Target="https://drive.google.com/open?id=1tJSLscdYWEcal01YimyqQs3rHd9n-R-D" TargetMode="External"/><Relationship Id="rId758" Type="http://schemas.openxmlformats.org/officeDocument/2006/relationships/hyperlink" Target="https://drive.google.com/open?id=1mKvg4o9N6_eqfA3nXhkPmzs1pqzdKPhV" TargetMode="External"/><Relationship Id="rId515" Type="http://schemas.openxmlformats.org/officeDocument/2006/relationships/hyperlink" Target="https://drive.google.com/open?id=1HmAKCBk05PDeOZpzpQf-HSeIviSNtU7j" TargetMode="External"/><Relationship Id="rId757" Type="http://schemas.openxmlformats.org/officeDocument/2006/relationships/hyperlink" Target="https://drive.google.com/open?id=1a3MkULfAQBC4I4h314saM1N17ElaQa1_" TargetMode="External"/><Relationship Id="rId999" Type="http://schemas.openxmlformats.org/officeDocument/2006/relationships/hyperlink" Target="https://drive.google.com/open?id=1jvlk1Bj_6pn9_JfMefN_2F68hRtdXVqg" TargetMode="External"/><Relationship Id="rId15" Type="http://schemas.openxmlformats.org/officeDocument/2006/relationships/hyperlink" Target="https://drive.google.com/open?id=1Mj9xUFhBxLRYrw9-9FI9cxfuZDTyuW62" TargetMode="External"/><Relationship Id="rId990" Type="http://schemas.openxmlformats.org/officeDocument/2006/relationships/hyperlink" Target="https://drive.google.com/open?id=1D_jLgwij0lfufBGFPQeB_uvfKATw_zrk" TargetMode="External"/><Relationship Id="rId14" Type="http://schemas.openxmlformats.org/officeDocument/2006/relationships/hyperlink" Target="https://drive.google.com/open?id=11cyBapgzYrTTeCiwPdIZZJKzh89cD-oV" TargetMode="External"/><Relationship Id="rId17" Type="http://schemas.openxmlformats.org/officeDocument/2006/relationships/hyperlink" Target="https://drive.google.com/open?id=1t1QF7MsPOQijIlAgmp9ZL3jb_BlE7YQ1" TargetMode="External"/><Relationship Id="rId16" Type="http://schemas.openxmlformats.org/officeDocument/2006/relationships/hyperlink" Target="https://drive.google.com/open?id=14XhJKgcdwfsRvRSFDJSaDwlmh8eJ_XlQ" TargetMode="External"/><Relationship Id="rId1340" Type="http://schemas.openxmlformats.org/officeDocument/2006/relationships/hyperlink" Target="https://drive.google.com/open?id=1J2ZusZtgacxd6XtnYnPLdYWxslJI238R" TargetMode="External"/><Relationship Id="rId19" Type="http://schemas.openxmlformats.org/officeDocument/2006/relationships/hyperlink" Target="https://drive.google.com/open?id=1Ghx3pxpVCivGMF7GW96vU7jo1_OBlL6U" TargetMode="External"/><Relationship Id="rId510" Type="http://schemas.openxmlformats.org/officeDocument/2006/relationships/hyperlink" Target="https://drive.google.com/open?id=17Omk1xU_6g4J2WKpyLrIMEAljHH-zjUr" TargetMode="External"/><Relationship Id="rId752" Type="http://schemas.openxmlformats.org/officeDocument/2006/relationships/hyperlink" Target="https://drive.google.com/open?id=1nQjQ9D4Iu32UKaH_IlfM2rK8UlkkQnWW" TargetMode="External"/><Relationship Id="rId994" Type="http://schemas.openxmlformats.org/officeDocument/2006/relationships/hyperlink" Target="https://drive.google.com/open?id=1GOvrqElphO7EhYTVYf2bSMmnnq_PfY1-" TargetMode="External"/><Relationship Id="rId1341" Type="http://schemas.openxmlformats.org/officeDocument/2006/relationships/hyperlink" Target="https://drive.google.com/open?id=1jExpUkJLnVh_6qRanqCQi6HUkRlMglJm" TargetMode="External"/><Relationship Id="rId18" Type="http://schemas.openxmlformats.org/officeDocument/2006/relationships/hyperlink" Target="https://drive.google.com/open?id=1xBNoqqjEch-5mCp7PVxG-tgelSxE_Jvx" TargetMode="External"/><Relationship Id="rId751" Type="http://schemas.openxmlformats.org/officeDocument/2006/relationships/hyperlink" Target="https://drive.google.com/open?id=1qicMqBFvOk8qP25ZsGgr__yWSvuyx-mi" TargetMode="External"/><Relationship Id="rId993" Type="http://schemas.openxmlformats.org/officeDocument/2006/relationships/hyperlink" Target="https://drive.google.com/open?id=1zKakeBK82fJGq23lPHGp0HsZd4-4IsOR" TargetMode="External"/><Relationship Id="rId1100" Type="http://schemas.openxmlformats.org/officeDocument/2006/relationships/hyperlink" Target="https://drive.google.com/open?id=190uB9gtbyeZSCipDErf3rhOnnG8SHww3" TargetMode="External"/><Relationship Id="rId1342" Type="http://schemas.openxmlformats.org/officeDocument/2006/relationships/hyperlink" Target="https://drive.google.com/open?id=1WusFET-mteuteLSG7_sLPHbx6-1djx2m" TargetMode="External"/><Relationship Id="rId750" Type="http://schemas.openxmlformats.org/officeDocument/2006/relationships/hyperlink" Target="https://drive.google.com/open?id=1JnS_-QOnoP70z7EZbJD8uG36rfNvN7do" TargetMode="External"/><Relationship Id="rId992" Type="http://schemas.openxmlformats.org/officeDocument/2006/relationships/hyperlink" Target="https://drive.google.com/open?id=1PmmRy0sluL9I4ePHxSFGcji9YSyNZL-9" TargetMode="External"/><Relationship Id="rId1101" Type="http://schemas.openxmlformats.org/officeDocument/2006/relationships/hyperlink" Target="https://drive.google.com/open?id=1qoNcqdDLfwpfA3QtQvFYMFik_6eslOnt" TargetMode="External"/><Relationship Id="rId1343" Type="http://schemas.openxmlformats.org/officeDocument/2006/relationships/hyperlink" Target="https://drive.google.com/open?id=1dEdHtTNYeuUU7D0vbwPZtQXS0x6MBQAb" TargetMode="External"/><Relationship Id="rId991" Type="http://schemas.openxmlformats.org/officeDocument/2006/relationships/hyperlink" Target="https://drive.google.com/open?id=1m0fxjBzMVI8N2yjTxe41ZscIb0hV6vV2" TargetMode="External"/><Relationship Id="rId1102" Type="http://schemas.openxmlformats.org/officeDocument/2006/relationships/hyperlink" Target="https://drive.google.com/open?id=11O7LWWu7Spv6VCxj5_gkMb9y1-JFj2vJ" TargetMode="External"/><Relationship Id="rId1344" Type="http://schemas.openxmlformats.org/officeDocument/2006/relationships/hyperlink" Target="https://drive.google.com/open?id=1ukFdoZtnnKaet31DIkdN3HC6fIxU00v3" TargetMode="External"/><Relationship Id="rId84" Type="http://schemas.openxmlformats.org/officeDocument/2006/relationships/hyperlink" Target="https://drive.google.com/open?id=1oGse1tGak-NV3d5mldph77u_idJW6cwb" TargetMode="External"/><Relationship Id="rId83" Type="http://schemas.openxmlformats.org/officeDocument/2006/relationships/hyperlink" Target="https://drive.google.com/open?id=1il8VlVf4u1DsmGYlZlmhD3Bqg8NFu3ak" TargetMode="External"/><Relationship Id="rId86" Type="http://schemas.openxmlformats.org/officeDocument/2006/relationships/hyperlink" Target="https://drive.google.com/file/d/12w6COgvH8XPtfEQi8HA7ULk0xY_3jySv/view?usp=drive_link" TargetMode="External"/><Relationship Id="rId85" Type="http://schemas.openxmlformats.org/officeDocument/2006/relationships/hyperlink" Target="https://drive.google.com/file/d/13qbPD7kcrcaHVyG6dnNz0uVMCAWKeaKs/view?usp=drive_link" TargetMode="External"/><Relationship Id="rId88" Type="http://schemas.openxmlformats.org/officeDocument/2006/relationships/hyperlink" Target="https://drive.google.com/file/d/1j87QbV6c93ORg0urepXgfiZzZSq01cvo/view?usp=drive_link" TargetMode="External"/><Relationship Id="rId87" Type="http://schemas.openxmlformats.org/officeDocument/2006/relationships/hyperlink" Target="https://drive.google.com/file/d/1nbFjwKF5k4SRpaAeuSRuvP-6lk-DG9Qd/view?usp=drive_link" TargetMode="External"/><Relationship Id="rId89" Type="http://schemas.openxmlformats.org/officeDocument/2006/relationships/hyperlink" Target="https://drive.google.com/file/d/1UckujZRj_ijxnFtAIPm1Wu1-Z3hd7QkL/view?usp=drive_link" TargetMode="External"/><Relationship Id="rId709" Type="http://schemas.openxmlformats.org/officeDocument/2006/relationships/hyperlink" Target="https://drive.google.com/open?id=1Cp1W035P2SdUaK2flY3FhAw6miHjNPjI" TargetMode="External"/><Relationship Id="rId708" Type="http://schemas.openxmlformats.org/officeDocument/2006/relationships/hyperlink" Target="https://drive.google.com/open?id=19gIcnXZnol8BPgkgFifB8z3F8zr1lepu" TargetMode="External"/><Relationship Id="rId707" Type="http://schemas.openxmlformats.org/officeDocument/2006/relationships/hyperlink" Target="https://drive.google.com/open?id=1cgwCTeWCevys3LxI-93IgDoeXhOp9wO2" TargetMode="External"/><Relationship Id="rId949" Type="http://schemas.openxmlformats.org/officeDocument/2006/relationships/hyperlink" Target="https://drive.google.com/open?id=1CGMrpivhFuBosObOYVsmztqFEIImh0ZP" TargetMode="External"/><Relationship Id="rId706" Type="http://schemas.openxmlformats.org/officeDocument/2006/relationships/hyperlink" Target="https://drive.google.com/open?id=1mS4PkYEF6Gs2EXpemEoTAYngjYcyxP_m" TargetMode="External"/><Relationship Id="rId948" Type="http://schemas.openxmlformats.org/officeDocument/2006/relationships/hyperlink" Target="https://drive.google.com/open?id=1FdFoNYtRHK77Mq-3aTh2xQ2yK0ndy8_R" TargetMode="External"/><Relationship Id="rId80" Type="http://schemas.openxmlformats.org/officeDocument/2006/relationships/hyperlink" Target="https://drive.google.com/open?id=1pzVqEwBQU7_1OiaXVp4YfxepkrjsrTIP" TargetMode="External"/><Relationship Id="rId82" Type="http://schemas.openxmlformats.org/officeDocument/2006/relationships/hyperlink" Target="https://drive.google.com/open?id=1jIf6y1DDZ-hFwQES3ywMdwVrGs8Ma5Fp" TargetMode="External"/><Relationship Id="rId81" Type="http://schemas.openxmlformats.org/officeDocument/2006/relationships/hyperlink" Target="https://drive.google.com/open?id=1wsofiMoeHdXEkQIxF5if28lNGMyUz1_k" TargetMode="External"/><Relationship Id="rId701" Type="http://schemas.openxmlformats.org/officeDocument/2006/relationships/hyperlink" Target="https://drive.google.com/open?id=1ivcrNe1WTx8ukVgv7eLXJIdlbPdjFKfa" TargetMode="External"/><Relationship Id="rId943" Type="http://schemas.openxmlformats.org/officeDocument/2006/relationships/hyperlink" Target="https://drive.google.com/open?id=1V_avPmKOiMbJn_2YVUI74Akm4Iw5TX94" TargetMode="External"/><Relationship Id="rId700" Type="http://schemas.openxmlformats.org/officeDocument/2006/relationships/hyperlink" Target="https://drive.google.com/open?id=1WvKr1MOzp0RVUi-O5IhYSbHJ_pfe3wKW" TargetMode="External"/><Relationship Id="rId942" Type="http://schemas.openxmlformats.org/officeDocument/2006/relationships/hyperlink" Target="https://drive.google.com/open?id=1Ep7uVS-AbJXqQUvOhcl1HaosZk-4eg5_" TargetMode="External"/><Relationship Id="rId941" Type="http://schemas.openxmlformats.org/officeDocument/2006/relationships/hyperlink" Target="https://drive.google.com/open?id=1MXM1sl6TEKCqcmAtJO5lGU2Z5WVMRP3W" TargetMode="External"/><Relationship Id="rId940" Type="http://schemas.openxmlformats.org/officeDocument/2006/relationships/hyperlink" Target="https://drive.google.com/open?id=1-_c8e_5VfeJ7KhCT4k6MjCokwq77mO2O" TargetMode="External"/><Relationship Id="rId705" Type="http://schemas.openxmlformats.org/officeDocument/2006/relationships/hyperlink" Target="https://drive.google.com/open?id=14hL-fq34Ysh4rlYw0JBMmHGUIO024xR2" TargetMode="External"/><Relationship Id="rId947" Type="http://schemas.openxmlformats.org/officeDocument/2006/relationships/hyperlink" Target="https://drive.google.com/open?id=1p5cYXcmOSQnaip2z0_ylPYXBW8s7xaAo" TargetMode="External"/><Relationship Id="rId704" Type="http://schemas.openxmlformats.org/officeDocument/2006/relationships/hyperlink" Target="https://drive.google.com/open?id=1ojFxtyNgdjFvJ143pxAZEkx0wiKmB9Wl" TargetMode="External"/><Relationship Id="rId946" Type="http://schemas.openxmlformats.org/officeDocument/2006/relationships/hyperlink" Target="https://drive.google.com/open?id=1T0lWLzbXvsB73dRjKqKuw0JBgMXn7077" TargetMode="External"/><Relationship Id="rId703" Type="http://schemas.openxmlformats.org/officeDocument/2006/relationships/hyperlink" Target="https://drive.google.com/open?id=1keqYUro6cAvl80FxyUuUlACgEps0PzwM" TargetMode="External"/><Relationship Id="rId945" Type="http://schemas.openxmlformats.org/officeDocument/2006/relationships/hyperlink" Target="https://drive.google.com/open?id=1OONC-I2MRr-lL3GvHO-GUQkGBHnHWnFg" TargetMode="External"/><Relationship Id="rId702" Type="http://schemas.openxmlformats.org/officeDocument/2006/relationships/hyperlink" Target="https://drive.google.com/open?id=1PjCi3iQ1E-KBqyqiIaQU5Yll85r9Fy0t" TargetMode="External"/><Relationship Id="rId944" Type="http://schemas.openxmlformats.org/officeDocument/2006/relationships/hyperlink" Target="https://drive.google.com/open?id=1DLOJoSadHrZC83TMddMsFS-XOhxX4xaU" TargetMode="External"/><Relationship Id="rId73" Type="http://schemas.openxmlformats.org/officeDocument/2006/relationships/hyperlink" Target="https://drive.google.com/open?id=1aiypwYkruZ2IGeQvC3YmHOdG8vdDsQGO" TargetMode="External"/><Relationship Id="rId72" Type="http://schemas.openxmlformats.org/officeDocument/2006/relationships/hyperlink" Target="https://drive.google.com/open?id=1TsbsfidT6OITF_T7U8hH5XiAyr032asb" TargetMode="External"/><Relationship Id="rId75" Type="http://schemas.openxmlformats.org/officeDocument/2006/relationships/hyperlink" Target="https://drive.google.com/open?id=1Q5GMCVckTkUPmFClgwFbhIBJQoGCbaVW" TargetMode="External"/><Relationship Id="rId74" Type="http://schemas.openxmlformats.org/officeDocument/2006/relationships/hyperlink" Target="https://drive.google.com/open?id=1s4klhgylLVGIXanr9csSxuSeKz4vZLJX" TargetMode="External"/><Relationship Id="rId77" Type="http://schemas.openxmlformats.org/officeDocument/2006/relationships/hyperlink" Target="https://drive.google.com/open?id=1rJjofqH45xdiGTB6wD53Oq5woYPIDr1Q" TargetMode="External"/><Relationship Id="rId76" Type="http://schemas.openxmlformats.org/officeDocument/2006/relationships/hyperlink" Target="https://drive.google.com/open?id=1jEDp7YIuHTZZuA1q-0YSMZWyrWvoCueP" TargetMode="External"/><Relationship Id="rId79" Type="http://schemas.openxmlformats.org/officeDocument/2006/relationships/hyperlink" Target="https://drive.google.com/open?id=1hA7OYF61k_VP3sgqTErw63JZ-nBeNswF" TargetMode="External"/><Relationship Id="rId78" Type="http://schemas.openxmlformats.org/officeDocument/2006/relationships/hyperlink" Target="https://drive.google.com/open?id=1wbFzvR-RwS21xXZKHmUvwa0zlkdSQrYx" TargetMode="External"/><Relationship Id="rId939" Type="http://schemas.openxmlformats.org/officeDocument/2006/relationships/hyperlink" Target="https://drive.google.com/open?id=1O8UJ1W_74bw6wIojpj2wGnZrptGiiNU8" TargetMode="External"/><Relationship Id="rId938" Type="http://schemas.openxmlformats.org/officeDocument/2006/relationships/hyperlink" Target="https://drive.google.com/open?id=1NOnwJqfzOAb_U7myjl-QKV96NEfC_uzc" TargetMode="External"/><Relationship Id="rId937" Type="http://schemas.openxmlformats.org/officeDocument/2006/relationships/hyperlink" Target="https://drive.google.com/open?id=1_qR7RQeaJTRp8Gjpegf2z79UVao65NI9" TargetMode="External"/><Relationship Id="rId71" Type="http://schemas.openxmlformats.org/officeDocument/2006/relationships/hyperlink" Target="https://drive.google.com/open?id=1urPYdlyPHO4se1j-cDqKGUTnl_AHm8Dz" TargetMode="External"/><Relationship Id="rId70" Type="http://schemas.openxmlformats.org/officeDocument/2006/relationships/hyperlink" Target="https://drive.google.com/open?id=1HwL2OmZWCguGaKbq72IfEpnUO2_TqVre" TargetMode="External"/><Relationship Id="rId932" Type="http://schemas.openxmlformats.org/officeDocument/2006/relationships/hyperlink" Target="https://drive.google.com/open?id=1QlqtCFJcL7PlVHDmA_2uf0TgOfcXKX5J" TargetMode="External"/><Relationship Id="rId931" Type="http://schemas.openxmlformats.org/officeDocument/2006/relationships/hyperlink" Target="https://drive.google.com/open?id=1P-I9H7iGnUrf4hVWOYQZJ3lLvZF2doeN" TargetMode="External"/><Relationship Id="rId930" Type="http://schemas.openxmlformats.org/officeDocument/2006/relationships/hyperlink" Target="https://drive.google.com/open?id=1sVKhJwsijH-OC7EZdxm1G6CnNIzPaj2O" TargetMode="External"/><Relationship Id="rId936" Type="http://schemas.openxmlformats.org/officeDocument/2006/relationships/hyperlink" Target="https://drive.google.com/open?id=1s5y7y6lIG2l4ZLxQbifb9BK1GY3NNune" TargetMode="External"/><Relationship Id="rId935" Type="http://schemas.openxmlformats.org/officeDocument/2006/relationships/hyperlink" Target="https://drive.google.com/open?id=17VEBcDkTh-oXc5AM873h2xwYl_mtNrqp" TargetMode="External"/><Relationship Id="rId934" Type="http://schemas.openxmlformats.org/officeDocument/2006/relationships/hyperlink" Target="https://drive.google.com/open?id=1aGseX32o-9Qj3RpZbfdshiPTvsvk8Z6W" TargetMode="External"/><Relationship Id="rId933" Type="http://schemas.openxmlformats.org/officeDocument/2006/relationships/hyperlink" Target="https://drive.google.com/open?id=1sDhVUNyGLkW3li06bufeaUOHiSskH2_g" TargetMode="External"/><Relationship Id="rId62" Type="http://schemas.openxmlformats.org/officeDocument/2006/relationships/hyperlink" Target="https://drive.google.com/open?id=1uKk1T1Di9Y4uNozOHRTcZR3E6tteFd7y" TargetMode="External"/><Relationship Id="rId1312" Type="http://schemas.openxmlformats.org/officeDocument/2006/relationships/hyperlink" Target="https://drive.google.com/open?id=10DCuhKOlX8lMFzs401ZClowoV2e_z1ZY" TargetMode="External"/><Relationship Id="rId61" Type="http://schemas.openxmlformats.org/officeDocument/2006/relationships/hyperlink" Target="https://drive.google.com/open?id=1UCx_u120klQ5wSoO3_xNchexap5-LmG0" TargetMode="External"/><Relationship Id="rId1313" Type="http://schemas.openxmlformats.org/officeDocument/2006/relationships/hyperlink" Target="https://drive.google.com/open?id=1XLSWZFgoVv755WqT-6z2U_rNbOx9r2xj" TargetMode="External"/><Relationship Id="rId64" Type="http://schemas.openxmlformats.org/officeDocument/2006/relationships/hyperlink" Target="https://drive.google.com/open?id=1RRuYRigdEBQ1eAosRzEFFYAigVO57g57" TargetMode="External"/><Relationship Id="rId1314" Type="http://schemas.openxmlformats.org/officeDocument/2006/relationships/hyperlink" Target="https://drive.google.com/open?id=1E4coFNTzraeg1pdkKKtHcvyZDBULsRz2" TargetMode="External"/><Relationship Id="rId63" Type="http://schemas.openxmlformats.org/officeDocument/2006/relationships/hyperlink" Target="https://drive.google.com/open?id=1IAC0em-qxuam4fMn-ohWTuJP_a575R8W" TargetMode="External"/><Relationship Id="rId1315" Type="http://schemas.openxmlformats.org/officeDocument/2006/relationships/hyperlink" Target="https://drive.google.com/open?id=19IUVk73DMgCmgCo35NmVp_lkfUypzc3u" TargetMode="External"/><Relationship Id="rId66" Type="http://schemas.openxmlformats.org/officeDocument/2006/relationships/hyperlink" Target="https://drive.google.com/open?id=1Xj9KzNMsM6WcIG8-GeA1LU1u2JTTf_Bq" TargetMode="External"/><Relationship Id="rId1316" Type="http://schemas.openxmlformats.org/officeDocument/2006/relationships/hyperlink" Target="https://drive.google.com/open?id=1RrdTRtQECP4z9OQpeYj1bJYRqRz_7T7T" TargetMode="External"/><Relationship Id="rId65" Type="http://schemas.openxmlformats.org/officeDocument/2006/relationships/hyperlink" Target="https://drive.google.com/open?id=1LFUyp5YRCivmeIbZF-CGoDhgozt6jQbZ" TargetMode="External"/><Relationship Id="rId1317" Type="http://schemas.openxmlformats.org/officeDocument/2006/relationships/hyperlink" Target="https://drive.google.com/open?id=1KKmL4cJlVxxCnEKhiYKji4SjLbmXY_Qe" TargetMode="External"/><Relationship Id="rId68" Type="http://schemas.openxmlformats.org/officeDocument/2006/relationships/hyperlink" Target="https://drive.google.com/open?id=17gZfKbLqYE9ffLFRluzuZqT6gkFX34NH" TargetMode="External"/><Relationship Id="rId1318" Type="http://schemas.openxmlformats.org/officeDocument/2006/relationships/hyperlink" Target="https://drive.google.com/open?id=1TUfuEDHk705NOtNk9YU9eVXPKeysJ36r" TargetMode="External"/><Relationship Id="rId67" Type="http://schemas.openxmlformats.org/officeDocument/2006/relationships/hyperlink" Target="https://drive.google.com/open?id=1cyYbvIqTd7YW_yIoikX3lc-cGcEhy6gc" TargetMode="External"/><Relationship Id="rId1319" Type="http://schemas.openxmlformats.org/officeDocument/2006/relationships/hyperlink" Target="https://drive.google.com/open?id=199ErTQu1fWFuc9xzjredrCZrtQVtTIRX" TargetMode="External"/><Relationship Id="rId729" Type="http://schemas.openxmlformats.org/officeDocument/2006/relationships/hyperlink" Target="https://drive.google.com/open?id=1cDWV-6Nh_pYYv4UlIXnGwp-INOUrbBP4" TargetMode="External"/><Relationship Id="rId728" Type="http://schemas.openxmlformats.org/officeDocument/2006/relationships/hyperlink" Target="https://drive.google.com/open?id=1OKtPFQtWVaVW4eYVGTna_iFG0Yin7v_6" TargetMode="External"/><Relationship Id="rId60" Type="http://schemas.openxmlformats.org/officeDocument/2006/relationships/hyperlink" Target="https://drive.google.com/open?id=1Zq3mG0-V1G3BJcf6TxTd18GDgaIoLBaE" TargetMode="External"/><Relationship Id="rId723" Type="http://schemas.openxmlformats.org/officeDocument/2006/relationships/hyperlink" Target="https://drive.google.com/open?id=1wvMlldvORZhiwZQ_2r0eyRVa4CHPux7-" TargetMode="External"/><Relationship Id="rId965" Type="http://schemas.openxmlformats.org/officeDocument/2006/relationships/hyperlink" Target="https://drive.google.com/file/d/1linZt5zkTNX_BYSbs6uz1rqFJpZqb9fV/view?usp=drive_link" TargetMode="External"/><Relationship Id="rId722" Type="http://schemas.openxmlformats.org/officeDocument/2006/relationships/hyperlink" Target="https://drive.google.com/open?id=1NvJjfbinrXcddUF8xVeXL8QuomFQSVA4" TargetMode="External"/><Relationship Id="rId964" Type="http://schemas.openxmlformats.org/officeDocument/2006/relationships/hyperlink" Target="https://drive.google.com/file/d/1I4qXJ33kCmfHpPU_08Idy41qKd0sNDUp/view?usp=drive_link" TargetMode="External"/><Relationship Id="rId721" Type="http://schemas.openxmlformats.org/officeDocument/2006/relationships/hyperlink" Target="https://drive.google.com/open?id=1aCdU2315iUFtbaMxxz3O_wc3EwStqxso" TargetMode="External"/><Relationship Id="rId963" Type="http://schemas.openxmlformats.org/officeDocument/2006/relationships/hyperlink" Target="https://drive.google.com/open?id=19ib_PHZ82TPjh2diJBmBrDw69kyMIe4J" TargetMode="External"/><Relationship Id="rId720" Type="http://schemas.openxmlformats.org/officeDocument/2006/relationships/hyperlink" Target="https://drive.google.com/open?id=1VjZo7Tptca2B14cLTK6sp0DL8do2dsNB" TargetMode="External"/><Relationship Id="rId962" Type="http://schemas.openxmlformats.org/officeDocument/2006/relationships/hyperlink" Target="https://drive.google.com/open?id=11HmbJxHKjDgNbdpyfSMl8BQst2Z7mc1E" TargetMode="External"/><Relationship Id="rId727" Type="http://schemas.openxmlformats.org/officeDocument/2006/relationships/hyperlink" Target="https://drive.google.com/open?id=1LaeJOY9DsEzhyY5euIa67Av_vxvrTqIU" TargetMode="External"/><Relationship Id="rId969" Type="http://schemas.openxmlformats.org/officeDocument/2006/relationships/hyperlink" Target="https://drive.google.com/file/d/1DDVisaPY7tEMr_CDFpqgXHvnUNyIVrZS/view?usp=drive_link" TargetMode="External"/><Relationship Id="rId726" Type="http://schemas.openxmlformats.org/officeDocument/2006/relationships/hyperlink" Target="https://drive.google.com/open?id=1emT5U2qBmTI7zv1E_RiT-Lu9hTWP3NNj" TargetMode="External"/><Relationship Id="rId968" Type="http://schemas.openxmlformats.org/officeDocument/2006/relationships/hyperlink" Target="https://drive.google.com/file/d/1bpFE3U8MIpvTe1QizVQSLQFtKS6jNsPz/view?usp=drive_link" TargetMode="External"/><Relationship Id="rId725" Type="http://schemas.openxmlformats.org/officeDocument/2006/relationships/hyperlink" Target="https://drive.google.com/open?id=11y8S7hTrS5-8lWhXaaITB53iXZo6KZWB" TargetMode="External"/><Relationship Id="rId967" Type="http://schemas.openxmlformats.org/officeDocument/2006/relationships/hyperlink" Target="https://drive.google.com/file/d/1bHEHfupAplEkZuLRiRqLlbg2Q5YSkyhm/view?usp=drive_link" TargetMode="External"/><Relationship Id="rId724" Type="http://schemas.openxmlformats.org/officeDocument/2006/relationships/hyperlink" Target="https://drive.google.com/open?id=1c4r04kcMS_i3ePNcYPvto3RuoPj40Pzs" TargetMode="External"/><Relationship Id="rId966" Type="http://schemas.openxmlformats.org/officeDocument/2006/relationships/hyperlink" Target="https://drive.google.com/file/d/1gl_yX3zPt1zaYzUysmILKsT_0YC-etBj/view?usp=drive_link" TargetMode="External"/><Relationship Id="rId69" Type="http://schemas.openxmlformats.org/officeDocument/2006/relationships/hyperlink" Target="https://drive.google.com/open?id=1d5qFesyD16VT7VtEEMNNkQ2ayNMHZ8AM" TargetMode="External"/><Relationship Id="rId961" Type="http://schemas.openxmlformats.org/officeDocument/2006/relationships/hyperlink" Target="https://drive.google.com/open?id=1Z1f2N-RiEiSr0GJEJmr7N4m-eX7u975P" TargetMode="External"/><Relationship Id="rId960" Type="http://schemas.openxmlformats.org/officeDocument/2006/relationships/hyperlink" Target="https://drive.google.com/open?id=1uOsFxIgl2pKKUGDpyqcyTlDADY9l6XmB" TargetMode="External"/><Relationship Id="rId1310" Type="http://schemas.openxmlformats.org/officeDocument/2006/relationships/hyperlink" Target="https://drive.google.com/file/d/114BW4A8YcPMJ9AJ9pgQhZ_zygtPf1zT0/view?usp=drive_link" TargetMode="External"/><Relationship Id="rId1311" Type="http://schemas.openxmlformats.org/officeDocument/2006/relationships/hyperlink" Target="https://drive.google.com/open?id=12DqR8s7rQdVH8tYl9WOiW4M_Lkx9ofdQ" TargetMode="External"/><Relationship Id="rId51" Type="http://schemas.openxmlformats.org/officeDocument/2006/relationships/hyperlink" Target="https://drive.google.com/open?id=1STqfOI4emRKoiaFelzrl9vBeuiZLRlRx" TargetMode="External"/><Relationship Id="rId1301" Type="http://schemas.openxmlformats.org/officeDocument/2006/relationships/hyperlink" Target="https://drive.google.com/open?id=1vQMlqxPX2gStCNxeuS_OrR678ELDHI_v" TargetMode="External"/><Relationship Id="rId50" Type="http://schemas.openxmlformats.org/officeDocument/2006/relationships/hyperlink" Target="https://drive.google.com/open?id=1ET_VSkTv4YcTLyt8XFElN2MowczT2o_B" TargetMode="External"/><Relationship Id="rId1302" Type="http://schemas.openxmlformats.org/officeDocument/2006/relationships/hyperlink" Target="https://drive.google.com/file/d/1Douae81TShvI4JuIKV0kSI5IKf8TzCVV/view?usp=drive_link" TargetMode="External"/><Relationship Id="rId53" Type="http://schemas.openxmlformats.org/officeDocument/2006/relationships/hyperlink" Target="https://drive.google.com/open?id=1kydPABvmdArDnBsJmq-QOgF2wJhb3gnY" TargetMode="External"/><Relationship Id="rId1303" Type="http://schemas.openxmlformats.org/officeDocument/2006/relationships/hyperlink" Target="https://drive.google.com/open?id=19OhTfI2od_QNtl4sI7uklaPksrrSYHau" TargetMode="External"/><Relationship Id="rId52" Type="http://schemas.openxmlformats.org/officeDocument/2006/relationships/hyperlink" Target="https://drive.google.com/open?id=1NVMtkmkhc6tSy4OFZyZl3axvssi0Ijiz" TargetMode="External"/><Relationship Id="rId1304" Type="http://schemas.openxmlformats.org/officeDocument/2006/relationships/hyperlink" Target="https://drive.google.com/open?id=16NOAjjnIhEepRKdVPYyV0xNLJq_ryRsu" TargetMode="External"/><Relationship Id="rId55" Type="http://schemas.openxmlformats.org/officeDocument/2006/relationships/hyperlink" Target="https://drive.google.com/open?id=16z8Z03TJdCu4PSRPj7tpCHqCTemsYecC" TargetMode="External"/><Relationship Id="rId1305" Type="http://schemas.openxmlformats.org/officeDocument/2006/relationships/hyperlink" Target="https://drive.google.com/open?id=1-jRAmCgBhCa0Of_AgULb4A0ZusOvd6fw" TargetMode="External"/><Relationship Id="rId54" Type="http://schemas.openxmlformats.org/officeDocument/2006/relationships/hyperlink" Target="https://drive.google.com/open?id=1fvsYYdPXIFUBw63c0vi8q5EL3aqpfly5" TargetMode="External"/><Relationship Id="rId1306" Type="http://schemas.openxmlformats.org/officeDocument/2006/relationships/hyperlink" Target="https://drive.google.com/open?id=1kiZWwHSqt7Ja-etEkI50KTllh_B2wbmj" TargetMode="External"/><Relationship Id="rId57" Type="http://schemas.openxmlformats.org/officeDocument/2006/relationships/hyperlink" Target="https://drive.google.com/open?id=1crTXJ4c_LHTbAktyDAGNl2SaIgFOwqKO" TargetMode="External"/><Relationship Id="rId1307" Type="http://schemas.openxmlformats.org/officeDocument/2006/relationships/hyperlink" Target="https://drive.google.com/open?id=1Zp-t6WFjmcXlP7NRgwxU4VTofucKjbLl" TargetMode="External"/><Relationship Id="rId56" Type="http://schemas.openxmlformats.org/officeDocument/2006/relationships/hyperlink" Target="https://drive.google.com/open?id=18Ftz7IABuUeNWuhj33Wt2Qwhr8deAV0b" TargetMode="External"/><Relationship Id="rId1308" Type="http://schemas.openxmlformats.org/officeDocument/2006/relationships/hyperlink" Target="https://drive.google.com/open?id=1d04jcHdPJ2Liu6f-6wz9Zu_w8J6ZHzgK" TargetMode="External"/><Relationship Id="rId1309" Type="http://schemas.openxmlformats.org/officeDocument/2006/relationships/hyperlink" Target="https://drive.google.com/open?id=1_GFmfKlZqChoNr4o0hCPAaXmEuCamMnZ" TargetMode="External"/><Relationship Id="rId719" Type="http://schemas.openxmlformats.org/officeDocument/2006/relationships/hyperlink" Target="https://drive.google.com/open?id=16tV_osyh0IojsONQrIoEAR5jswXZPcR0" TargetMode="External"/><Relationship Id="rId718" Type="http://schemas.openxmlformats.org/officeDocument/2006/relationships/hyperlink" Target="https://drive.google.com/open?id=1Oji8bpMEg9r7QHWfVPaaVN34WteUwUk7" TargetMode="External"/><Relationship Id="rId717" Type="http://schemas.openxmlformats.org/officeDocument/2006/relationships/hyperlink" Target="https://drive.google.com/open?id=1jN4FSsIUJL8OisAJWVZhtTCxrKdfjqmr" TargetMode="External"/><Relationship Id="rId959" Type="http://schemas.openxmlformats.org/officeDocument/2006/relationships/hyperlink" Target="https://drive.google.com/open?id=1exKurshXtwzot_q9Ddmfmx5gz_9ZdsV7" TargetMode="External"/><Relationship Id="rId712" Type="http://schemas.openxmlformats.org/officeDocument/2006/relationships/hyperlink" Target="https://drive.google.com/open?id=1MKsO4yto0M2w4ih4I0MsKoFrdexchEU3" TargetMode="External"/><Relationship Id="rId954" Type="http://schemas.openxmlformats.org/officeDocument/2006/relationships/hyperlink" Target="https://drive.google.com/open?id=1Cb_I1345HNBYx9ePwWCzOUi9RczR5qq0" TargetMode="External"/><Relationship Id="rId711" Type="http://schemas.openxmlformats.org/officeDocument/2006/relationships/hyperlink" Target="https://drive.google.com/open?id=1QzqUN0asolro6kPpb1atqziA_5CbNVRf" TargetMode="External"/><Relationship Id="rId953" Type="http://schemas.openxmlformats.org/officeDocument/2006/relationships/hyperlink" Target="https://drive.google.com/open?id=1yinLLnEkzgJHC6qUsFifk8iZSECW0t0T" TargetMode="External"/><Relationship Id="rId710" Type="http://schemas.openxmlformats.org/officeDocument/2006/relationships/hyperlink" Target="https://drive.google.com/open?id=1IwI8PmZo9qb5SBIlCxiAcvXL5HkyeFCa" TargetMode="External"/><Relationship Id="rId952" Type="http://schemas.openxmlformats.org/officeDocument/2006/relationships/hyperlink" Target="https://drive.google.com/open?id=1WLphKOJEyeroaocAagGuiOTFCZm0R1zL" TargetMode="External"/><Relationship Id="rId951" Type="http://schemas.openxmlformats.org/officeDocument/2006/relationships/hyperlink" Target="https://drive.google.com/open?id=1lSWcKtAj2nabWaBBmNyN6GNqrosJ86eh" TargetMode="External"/><Relationship Id="rId716" Type="http://schemas.openxmlformats.org/officeDocument/2006/relationships/hyperlink" Target="https://drive.google.com/open?id=10zwrrb3ais3rP6Qi0rfcqolfWtby-1Kz" TargetMode="External"/><Relationship Id="rId958" Type="http://schemas.openxmlformats.org/officeDocument/2006/relationships/hyperlink" Target="https://drive.google.com/open?id=1KZd02DvglccMtOqVK-arxkSyMu9PQV7t" TargetMode="External"/><Relationship Id="rId715" Type="http://schemas.openxmlformats.org/officeDocument/2006/relationships/hyperlink" Target="https://drive.google.com/open?id=1npL-5xfr0rzkXvXA1ZuGWYxjSKsHx1zn" TargetMode="External"/><Relationship Id="rId957" Type="http://schemas.openxmlformats.org/officeDocument/2006/relationships/hyperlink" Target="https://drive.google.com/open?id=1p4cVf5Z51nbnpi5BP6Y3jdCx7Y8lGWpx" TargetMode="External"/><Relationship Id="rId714" Type="http://schemas.openxmlformats.org/officeDocument/2006/relationships/hyperlink" Target="https://drive.google.com/open?id=1tgpZfYSqtb9K6VrhSTqZRvr6JikTowev" TargetMode="External"/><Relationship Id="rId956" Type="http://schemas.openxmlformats.org/officeDocument/2006/relationships/hyperlink" Target="https://drive.google.com/open?id=1gdxwwcmHwmoTnRflhtBpMJzuMXNgfIQK" TargetMode="External"/><Relationship Id="rId713" Type="http://schemas.openxmlformats.org/officeDocument/2006/relationships/hyperlink" Target="https://drive.google.com/open?id=1LvEZw5B-SZsgjVICLnQxBM5U3IqeLvxd" TargetMode="External"/><Relationship Id="rId955" Type="http://schemas.openxmlformats.org/officeDocument/2006/relationships/hyperlink" Target="https://drive.google.com/open?id=1qniabQSSX1XD9sF4Iv1WjzBP4hyrJg5B" TargetMode="External"/><Relationship Id="rId59" Type="http://schemas.openxmlformats.org/officeDocument/2006/relationships/hyperlink" Target="https://drive.google.com/open?id=1m_oQjcpq592-hOSd1OFbGi32C73oxsm5" TargetMode="External"/><Relationship Id="rId58" Type="http://schemas.openxmlformats.org/officeDocument/2006/relationships/hyperlink" Target="https://drive.google.com/open?id=1Px9Ds5j67XITAeLzkzMEONOLWVpDOAat" TargetMode="External"/><Relationship Id="rId950" Type="http://schemas.openxmlformats.org/officeDocument/2006/relationships/hyperlink" Target="https://drive.google.com/open?id=1ExnG7VVhn7r_S4B-RVx6btjqxV4e91kJ" TargetMode="External"/><Relationship Id="rId1300" Type="http://schemas.openxmlformats.org/officeDocument/2006/relationships/hyperlink" Target="https://drive.google.com/open?id=1lO9lMOApREQcUv65YSDtWMYhG8XnVI0x" TargetMode="External"/><Relationship Id="rId590" Type="http://schemas.openxmlformats.org/officeDocument/2006/relationships/hyperlink" Target="https://drive.google.com/open?id=11F34ralsogpPnvOJ3_dtdv1-OTnrQdnS" TargetMode="External"/><Relationship Id="rId107" Type="http://schemas.openxmlformats.org/officeDocument/2006/relationships/hyperlink" Target="https://drive.google.com/open?id=1ycGVqwwmojsx4OIXqMn8Pbwr8MqutQDb" TargetMode="External"/><Relationship Id="rId349" Type="http://schemas.openxmlformats.org/officeDocument/2006/relationships/hyperlink" Target="https://drive.google.com/open?id=1nOrFDFX0ECaJ3B4pJc-zVMM08bFAmrNd" TargetMode="External"/><Relationship Id="rId106" Type="http://schemas.openxmlformats.org/officeDocument/2006/relationships/hyperlink" Target="https://drive.google.com/open?id=1lGJmeQfJhWJZGAlu-yGw8B7Xc7y1xNpa" TargetMode="External"/><Relationship Id="rId348" Type="http://schemas.openxmlformats.org/officeDocument/2006/relationships/hyperlink" Target="https://drive.google.com/open?id=1U4cs7QX9XT6TBau0UX1OHsAgEXmT4Hi7" TargetMode="External"/><Relationship Id="rId105" Type="http://schemas.openxmlformats.org/officeDocument/2006/relationships/hyperlink" Target="https://drive.google.com/open?id=1u5hQMY7Gfkk22UdgfiarPq1gKTgw7LAB" TargetMode="External"/><Relationship Id="rId347" Type="http://schemas.openxmlformats.org/officeDocument/2006/relationships/hyperlink" Target="https://drive.google.com/open?id=1AnkmZeeNFxYh3KJ-iXmc-TeysuTSS74y" TargetMode="External"/><Relationship Id="rId589" Type="http://schemas.openxmlformats.org/officeDocument/2006/relationships/hyperlink" Target="https://drive.google.com/open?id=1XUBoUG7y2WhuAmWzracbbeRvDzJUqrdz" TargetMode="External"/><Relationship Id="rId104" Type="http://schemas.openxmlformats.org/officeDocument/2006/relationships/hyperlink" Target="https://drive.google.com/open?id=1tnH_Wh92IUrdClWxqh9isYYl3CYJv6ua" TargetMode="External"/><Relationship Id="rId346" Type="http://schemas.openxmlformats.org/officeDocument/2006/relationships/hyperlink" Target="https://drive.google.com/open?id=1IF0hpL4hE4msbeUIC9CzXRpNZYKuFZov" TargetMode="External"/><Relationship Id="rId588" Type="http://schemas.openxmlformats.org/officeDocument/2006/relationships/hyperlink" Target="https://drive.google.com/open?id=1WNVZRwYVuw_CP2Im9_9FVmdiig9Pe1c4" TargetMode="External"/><Relationship Id="rId109" Type="http://schemas.openxmlformats.org/officeDocument/2006/relationships/hyperlink" Target="https://drive.google.com/open?id=1rEN9OlRlAHpBerNvADTC5Vdq6QWfGvZo" TargetMode="External"/><Relationship Id="rId1170" Type="http://schemas.openxmlformats.org/officeDocument/2006/relationships/hyperlink" Target="https://drive.google.com/open?id=12_OKyRbr-L_haP3oSrEctC30GbLqtXiU" TargetMode="External"/><Relationship Id="rId108" Type="http://schemas.openxmlformats.org/officeDocument/2006/relationships/hyperlink" Target="https://drive.google.com/open?id=19JQUDrbSGyqikN9uzHI9n8oLKAwLC4A_" TargetMode="External"/><Relationship Id="rId1171" Type="http://schemas.openxmlformats.org/officeDocument/2006/relationships/hyperlink" Target="https://drive.google.com/open?id=1q5LCraaTyUj30JQtNozSZuTnDYYrJS5F" TargetMode="External"/><Relationship Id="rId341" Type="http://schemas.openxmlformats.org/officeDocument/2006/relationships/hyperlink" Target="https://drive.google.com/open?id=1yfgpu58wKMSdGbg3cEeXHU5S80thzp6D" TargetMode="External"/><Relationship Id="rId583" Type="http://schemas.openxmlformats.org/officeDocument/2006/relationships/hyperlink" Target="https://drive.google.com/open?id=1n5J6O8VFGw2AVuTlbqRcdb2o0u1_1GeY" TargetMode="External"/><Relationship Id="rId1172" Type="http://schemas.openxmlformats.org/officeDocument/2006/relationships/hyperlink" Target="https://drive.google.com/open?id=1E7qcQWcI-PvvH9GkWtmdtX3bTKAwvacy" TargetMode="External"/><Relationship Id="rId340" Type="http://schemas.openxmlformats.org/officeDocument/2006/relationships/hyperlink" Target="https://drive.google.com/open?id=1TpgfThCI1PmY7jUNgRw2hm6hNFF1loIR" TargetMode="External"/><Relationship Id="rId582" Type="http://schemas.openxmlformats.org/officeDocument/2006/relationships/hyperlink" Target="https://drive.google.com/open?id=1n6_LK-XExxokeY5R157brhnv04pvjsob" TargetMode="External"/><Relationship Id="rId1173" Type="http://schemas.openxmlformats.org/officeDocument/2006/relationships/hyperlink" Target="https://drive.google.com/file/d/1HVbSbF8xgE4_TxTkhEA69bPLbLgvibJb/view?usp=drive_link" TargetMode="External"/><Relationship Id="rId581" Type="http://schemas.openxmlformats.org/officeDocument/2006/relationships/hyperlink" Target="https://drive.google.com/open?id=1UjWAJmpCo9RgVGd2hP_XqukvCJaLTQka" TargetMode="External"/><Relationship Id="rId1174" Type="http://schemas.openxmlformats.org/officeDocument/2006/relationships/hyperlink" Target="https://drive.google.com/open?id=16NfHoFKpIhQLrdiaA30xSjjfnmQk5WuR" TargetMode="External"/><Relationship Id="rId580" Type="http://schemas.openxmlformats.org/officeDocument/2006/relationships/hyperlink" Target="https://drive.google.com/open?id=1jpdU5xvfyzONBWcYrJ7f4VhTNJsNkLIz" TargetMode="External"/><Relationship Id="rId1175" Type="http://schemas.openxmlformats.org/officeDocument/2006/relationships/hyperlink" Target="https://drive.google.com/file/d/1n3i5B52SNoByY92z_GX7pD6py0pGv52M/view?usp=sharing" TargetMode="External"/><Relationship Id="rId103" Type="http://schemas.openxmlformats.org/officeDocument/2006/relationships/hyperlink" Target="https://drive.google.com/open?id=13nscczjEh3RsYhALf5CY4i5-YbRthF9t" TargetMode="External"/><Relationship Id="rId345" Type="http://schemas.openxmlformats.org/officeDocument/2006/relationships/hyperlink" Target="https://drive.google.com/open?id=176HZkSVZyrk50mDt5YIhUpqhJ7iJD1ch" TargetMode="External"/><Relationship Id="rId587" Type="http://schemas.openxmlformats.org/officeDocument/2006/relationships/hyperlink" Target="https://drive.google.com/open?id=1mWVQ1kFfZHSEw7ijRQ55f1ncF5KkcDHB" TargetMode="External"/><Relationship Id="rId1176" Type="http://schemas.openxmlformats.org/officeDocument/2006/relationships/hyperlink" Target="https://drive.google.com/file/d/1216Tn0ckwQv7SnJPE8bep8szzAgEae5n/view?usp=drive_link" TargetMode="External"/><Relationship Id="rId102" Type="http://schemas.openxmlformats.org/officeDocument/2006/relationships/hyperlink" Target="https://drive.google.com/open?id=1m6r7-DfluG2sPOB-8vBjKKan_mLp45XX" TargetMode="External"/><Relationship Id="rId344" Type="http://schemas.openxmlformats.org/officeDocument/2006/relationships/hyperlink" Target="https://drive.google.com/open?id=1nAY21rV52-XfQmP8ZMgUw78KA-rl9zsi" TargetMode="External"/><Relationship Id="rId586" Type="http://schemas.openxmlformats.org/officeDocument/2006/relationships/hyperlink" Target="https://drive.google.com/open?id=1xK2pdMG5wb9sbsVRtsris_JpLwDvJpXA" TargetMode="External"/><Relationship Id="rId1177" Type="http://schemas.openxmlformats.org/officeDocument/2006/relationships/hyperlink" Target="https://drive.google.com/open?id=15hAN9vrZgMc8TrNwiSCOfI3A30Q0Flsd" TargetMode="External"/><Relationship Id="rId101" Type="http://schemas.openxmlformats.org/officeDocument/2006/relationships/hyperlink" Target="https://drive.google.com/file/d/1Po29ThJkf5X4x-sIKKtQm75_fDIFKyUm/view?usp=drive_link" TargetMode="External"/><Relationship Id="rId343" Type="http://schemas.openxmlformats.org/officeDocument/2006/relationships/hyperlink" Target="https://drive.google.com/open?id=1PQOeRvaZYILlt888BY6jYhhKjtjEBSHx" TargetMode="External"/><Relationship Id="rId585" Type="http://schemas.openxmlformats.org/officeDocument/2006/relationships/hyperlink" Target="https://drive.google.com/open?id=1Qo8W-7qumF0eSaLqwU_4IgWEfJ9Zx5LZ" TargetMode="External"/><Relationship Id="rId1178" Type="http://schemas.openxmlformats.org/officeDocument/2006/relationships/hyperlink" Target="https://drive.google.com/open?id=13JAJq2irAbPB28YLIumJkUnO2iIaQlng" TargetMode="External"/><Relationship Id="rId100" Type="http://schemas.openxmlformats.org/officeDocument/2006/relationships/hyperlink" Target="https://drive.google.com/open?id=1rXmDEPREbD9E5sJh176fZA1PdYvctyWA" TargetMode="External"/><Relationship Id="rId342" Type="http://schemas.openxmlformats.org/officeDocument/2006/relationships/hyperlink" Target="https://drive.google.com/open?id=1B2xTPAtHwcZMGMn9ihvZKGr6DuAWccgb" TargetMode="External"/><Relationship Id="rId584" Type="http://schemas.openxmlformats.org/officeDocument/2006/relationships/hyperlink" Target="https://drive.google.com/open?id=1W9cTMzJUGIto5c2vBD81QLvkRtcDSvWG" TargetMode="External"/><Relationship Id="rId1179" Type="http://schemas.openxmlformats.org/officeDocument/2006/relationships/hyperlink" Target="https://drive.google.com/open?id=1miYrjSb-EOPoYc6puary-rWRlm7zdb6F" TargetMode="External"/><Relationship Id="rId1169" Type="http://schemas.openxmlformats.org/officeDocument/2006/relationships/hyperlink" Target="https://drive.google.com/open?id=1IQTw58QNZXvBrkps5-NGplGX31kLGgUA" TargetMode="External"/><Relationship Id="rId338" Type="http://schemas.openxmlformats.org/officeDocument/2006/relationships/hyperlink" Target="https://drive.google.com/open?id=12vsiCJ7XNWBQwEpOeF4JSoa2IAohh1AB" TargetMode="External"/><Relationship Id="rId337" Type="http://schemas.openxmlformats.org/officeDocument/2006/relationships/hyperlink" Target="https://drive.google.com/open?id=1Emo4eURiL-L2d7JQ985fFa3vmrkSU68u" TargetMode="External"/><Relationship Id="rId579" Type="http://schemas.openxmlformats.org/officeDocument/2006/relationships/hyperlink" Target="https://drive.google.com/open?id=1Bld_IDtCUwyQlJPSC2McoKf-bR1dCGE9" TargetMode="External"/><Relationship Id="rId336" Type="http://schemas.openxmlformats.org/officeDocument/2006/relationships/hyperlink" Target="https://drive.google.com/open?id=1xlaQEx8qgwsdjSNZC2mcq-vCgMLKcuch" TargetMode="External"/><Relationship Id="rId578" Type="http://schemas.openxmlformats.org/officeDocument/2006/relationships/hyperlink" Target="https://drive.google.com/open?id=1WI5vLCQK1r5Mn01yJfUfAWKGBSCA-urO" TargetMode="External"/><Relationship Id="rId335" Type="http://schemas.openxmlformats.org/officeDocument/2006/relationships/hyperlink" Target="https://drive.google.com/open?id=1RcW7-oCuoZ7r0-TavCG2R-Srtk6WIv2w" TargetMode="External"/><Relationship Id="rId577" Type="http://schemas.openxmlformats.org/officeDocument/2006/relationships/hyperlink" Target="https://drive.google.com/open?id=1jPo9Fgose9IPb34EDwrkXK9q8wJkk4UX" TargetMode="External"/><Relationship Id="rId339" Type="http://schemas.openxmlformats.org/officeDocument/2006/relationships/hyperlink" Target="https://drive.google.com/open?id=1m6KDaILkzom45SameYZu-JX6HvSVOYSM" TargetMode="External"/><Relationship Id="rId1160" Type="http://schemas.openxmlformats.org/officeDocument/2006/relationships/hyperlink" Target="https://drive.google.com/open?id=1izdbUvfqNmU6BiMDMguhhDgrpJvN7Sb6" TargetMode="External"/><Relationship Id="rId330" Type="http://schemas.openxmlformats.org/officeDocument/2006/relationships/hyperlink" Target="https://drive.google.com/open?id=1dQpZB2ZZr7YzzDhQRhiyfJBGYBJYPaoG" TargetMode="External"/><Relationship Id="rId572" Type="http://schemas.openxmlformats.org/officeDocument/2006/relationships/hyperlink" Target="https://drive.google.com/open?id=1K7Fw_gzV-wPdEp1AEKJduscKYzWtcRlZ" TargetMode="External"/><Relationship Id="rId1161" Type="http://schemas.openxmlformats.org/officeDocument/2006/relationships/hyperlink" Target="https://drive.google.com/open?id=10KIlxC919OfdqohU3S4VkhayT1M7cnEO" TargetMode="External"/><Relationship Id="rId571" Type="http://schemas.openxmlformats.org/officeDocument/2006/relationships/hyperlink" Target="https://drive.google.com/open?id=14inJVTTs-ua6lQ3fD2Jmvd3bAwyMW800" TargetMode="External"/><Relationship Id="rId1162" Type="http://schemas.openxmlformats.org/officeDocument/2006/relationships/hyperlink" Target="https://drive.google.com/open?id=1WNPn9YxCxqy22p76jgsPOD93Zpov4lLM" TargetMode="External"/><Relationship Id="rId570" Type="http://schemas.openxmlformats.org/officeDocument/2006/relationships/hyperlink" Target="https://drive.google.com/open?id=1ueqfpWigvvrGvNdNNt5VxIUsWCGxr7KN" TargetMode="External"/><Relationship Id="rId1163" Type="http://schemas.openxmlformats.org/officeDocument/2006/relationships/hyperlink" Target="https://drive.google.com/open?id=1T1gFA3GRoBxi4moOGlAo0lV8pVLDjDTO" TargetMode="External"/><Relationship Id="rId1164" Type="http://schemas.openxmlformats.org/officeDocument/2006/relationships/hyperlink" Target="https://drive.google.com/open?id=17A7HCgzE8sV-AAg892oI-PTDe5vTeVCx" TargetMode="External"/><Relationship Id="rId334" Type="http://schemas.openxmlformats.org/officeDocument/2006/relationships/hyperlink" Target="https://drive.google.com/open?id=1mxHwUZux-dFQTkRcUIazA3xQSeXRtqPg" TargetMode="External"/><Relationship Id="rId576" Type="http://schemas.openxmlformats.org/officeDocument/2006/relationships/hyperlink" Target="https://drive.google.com/open?id=1GD22A9LWhUXTzs-dlaA9HmPHQhfyBi_J" TargetMode="External"/><Relationship Id="rId1165" Type="http://schemas.openxmlformats.org/officeDocument/2006/relationships/hyperlink" Target="https://drive.google.com/open?id=1Ihk6aTiQ0xPV5A_xdwIoSV__ykaCLMvr" TargetMode="External"/><Relationship Id="rId333" Type="http://schemas.openxmlformats.org/officeDocument/2006/relationships/hyperlink" Target="https://drive.google.com/open?id=1Qi5zrmViL1m81bvgznqg5bcizfjm-kb-" TargetMode="External"/><Relationship Id="rId575" Type="http://schemas.openxmlformats.org/officeDocument/2006/relationships/hyperlink" Target="https://drive.google.com/open?id=1RjqIfNBh1CeINdtVOjTEwfuNne7kw5jk" TargetMode="External"/><Relationship Id="rId1166" Type="http://schemas.openxmlformats.org/officeDocument/2006/relationships/hyperlink" Target="https://drive.google.com/open?id=1yuEWP4wgzqMdodxob6KrIKkK5PayFbg0" TargetMode="External"/><Relationship Id="rId332" Type="http://schemas.openxmlformats.org/officeDocument/2006/relationships/hyperlink" Target="https://drive.google.com/open?id=1jfHYNVt4HRrlqR4j7E1_5EI3JFeMFLlX" TargetMode="External"/><Relationship Id="rId574" Type="http://schemas.openxmlformats.org/officeDocument/2006/relationships/hyperlink" Target="https://drive.google.com/open?id=17WsVvW0lC1D4xq2_GPl-KUkUAN8-Rb7M" TargetMode="External"/><Relationship Id="rId1167" Type="http://schemas.openxmlformats.org/officeDocument/2006/relationships/hyperlink" Target="https://drive.google.com/open?id=1-2PUrCvzMn80RnZDvJjW6eaQ1zHorori" TargetMode="External"/><Relationship Id="rId331" Type="http://schemas.openxmlformats.org/officeDocument/2006/relationships/hyperlink" Target="https://drive.google.com/open?id=1B1t76Ga60ld94Y1IQ_DulkO8hdUnlfxq" TargetMode="External"/><Relationship Id="rId573" Type="http://schemas.openxmlformats.org/officeDocument/2006/relationships/hyperlink" Target="https://drive.google.com/open?id=1ZyZvfCxCln5j--uBznvHFg0mUKshyrlH" TargetMode="External"/><Relationship Id="rId1168" Type="http://schemas.openxmlformats.org/officeDocument/2006/relationships/hyperlink" Target="https://drive.google.com/open?id=1yxsGCsch3NAWw4NoZEOXdMapH8xaCA8w" TargetMode="External"/><Relationship Id="rId370" Type="http://schemas.openxmlformats.org/officeDocument/2006/relationships/hyperlink" Target="https://drive.google.com/open?id=13nbgNmNZAjJnslF6XRRUizt6YqfyvoFt" TargetMode="External"/><Relationship Id="rId129" Type="http://schemas.openxmlformats.org/officeDocument/2006/relationships/hyperlink" Target="https://drive.google.com/open?id=1UdccjkbqY5TBESJWTuEOI8OrWGmBr9mg" TargetMode="External"/><Relationship Id="rId128" Type="http://schemas.openxmlformats.org/officeDocument/2006/relationships/hyperlink" Target="https://drive.google.com/open?id=1VYZI9PJVaAfY8bj_Q0vyBhZFSEOFrxpc" TargetMode="External"/><Relationship Id="rId127" Type="http://schemas.openxmlformats.org/officeDocument/2006/relationships/hyperlink" Target="https://drive.google.com/open?id=1a4OHAhulWq-7CbR1K6e5r7gXlnddRFLS" TargetMode="External"/><Relationship Id="rId369" Type="http://schemas.openxmlformats.org/officeDocument/2006/relationships/hyperlink" Target="https://drive.google.com/open?id=1aG_lPdlkD2AJrteY90cHiQBE_tMKe1n3" TargetMode="External"/><Relationship Id="rId126" Type="http://schemas.openxmlformats.org/officeDocument/2006/relationships/hyperlink" Target="https://drive.google.com/open?id=1-KwGMgrf4ybvfsoHHtOu87_3gxAeA3JE" TargetMode="External"/><Relationship Id="rId368" Type="http://schemas.openxmlformats.org/officeDocument/2006/relationships/hyperlink" Target="https://drive.google.com/open?id=14MFO8hiim9IqEaZKnGdv0CYman08-YU5" TargetMode="External"/><Relationship Id="rId1190" Type="http://schemas.openxmlformats.org/officeDocument/2006/relationships/hyperlink" Target="https://drive.google.com/open?id=1ChNjzZZd0p-PRGWM_uiNVY2bn8530bYS" TargetMode="External"/><Relationship Id="rId1191" Type="http://schemas.openxmlformats.org/officeDocument/2006/relationships/hyperlink" Target="https://drive.google.com/open?id=1WLp1Rxr2FQZ0X5QOW12hqmxtmSEAZDfn" TargetMode="External"/><Relationship Id="rId1192" Type="http://schemas.openxmlformats.org/officeDocument/2006/relationships/hyperlink" Target="https://drive.google.com/file/d/1YB7_IUEtCaswuBGC_Ofn-jijH_gw0O6M/view?usp=drive_link" TargetMode="External"/><Relationship Id="rId1193" Type="http://schemas.openxmlformats.org/officeDocument/2006/relationships/hyperlink" Target="https://drive.google.com/open?id=1FSeiTAcFeILAi1Om9fRmzBNojrE0Xx8-" TargetMode="External"/><Relationship Id="rId121" Type="http://schemas.openxmlformats.org/officeDocument/2006/relationships/hyperlink" Target="https://drive.google.com/open?id=1NhZSTXuRq46Bx3LqzbhZSc1FPwJqyjbN" TargetMode="External"/><Relationship Id="rId363" Type="http://schemas.openxmlformats.org/officeDocument/2006/relationships/hyperlink" Target="https://drive.google.com/open?id=1Vd6MVyZ15AQ9ajvvpaAiu0B0MwwygEuy" TargetMode="External"/><Relationship Id="rId1194" Type="http://schemas.openxmlformats.org/officeDocument/2006/relationships/hyperlink" Target="https://drive.google.com/file/d/1JNhPcqL5ODn7ISyxcVTe80UNm14cSMSr/view?usp=drive_link" TargetMode="External"/><Relationship Id="rId120" Type="http://schemas.openxmlformats.org/officeDocument/2006/relationships/hyperlink" Target="https://drive.google.com/open?id=1DWT7E2f0B4cxejwO2t48p5CIDtNyOO1L" TargetMode="External"/><Relationship Id="rId362" Type="http://schemas.openxmlformats.org/officeDocument/2006/relationships/hyperlink" Target="https://drive.google.com/open?id=1knId5yyFRq8MkRUWSDGfXOeqzGK7jML5" TargetMode="External"/><Relationship Id="rId1195" Type="http://schemas.openxmlformats.org/officeDocument/2006/relationships/hyperlink" Target="https://drive.google.com/open?id=1onz1V_9XhR9UPFWTZxPlbWdysMdaJkQC" TargetMode="External"/><Relationship Id="rId361" Type="http://schemas.openxmlformats.org/officeDocument/2006/relationships/hyperlink" Target="https://drive.google.com/open?id=1NHvCxlJulyMVu8rr0_9h3cfGPvzKyMA3" TargetMode="External"/><Relationship Id="rId1196" Type="http://schemas.openxmlformats.org/officeDocument/2006/relationships/hyperlink" Target="https://drive.google.com/file/d/17a7ps4AC4y59fduyOYFPzeR6ntjix-8u/view?usp=drive_link" TargetMode="External"/><Relationship Id="rId360" Type="http://schemas.openxmlformats.org/officeDocument/2006/relationships/hyperlink" Target="https://drive.google.com/open?id=1xn8RV5tV_K5P2NIWjCkMVYbc8Cdcrt5C" TargetMode="External"/><Relationship Id="rId1197" Type="http://schemas.openxmlformats.org/officeDocument/2006/relationships/hyperlink" Target="https://drive.google.com/open?id=1MIYOQXIDEoS8STU6BjLKo8XE5WiiCN8W" TargetMode="External"/><Relationship Id="rId125" Type="http://schemas.openxmlformats.org/officeDocument/2006/relationships/hyperlink" Target="https://drive.google.com/open?id=1acH0lSOcwK58Q1LWxcNhIXX-7FO3Qd8Z" TargetMode="External"/><Relationship Id="rId367" Type="http://schemas.openxmlformats.org/officeDocument/2006/relationships/hyperlink" Target="https://drive.google.com/open?id=18geZxzFoCRkfa2VF1THh7LKJRgn2eQ87" TargetMode="External"/><Relationship Id="rId1198" Type="http://schemas.openxmlformats.org/officeDocument/2006/relationships/hyperlink" Target="https://drive.google.com/open?id=118l2jUHbafIJXeLWdZBdSKGFHi3niFTv" TargetMode="External"/><Relationship Id="rId124" Type="http://schemas.openxmlformats.org/officeDocument/2006/relationships/hyperlink" Target="https://drive.google.com/open?id=1nL0xIFws3x0g_UIWyKe_p3ibHZehc_LK" TargetMode="External"/><Relationship Id="rId366" Type="http://schemas.openxmlformats.org/officeDocument/2006/relationships/hyperlink" Target="https://drive.google.com/open?id=1R39GHkipONP0TJ15WsxscBRWTl5vchoO" TargetMode="External"/><Relationship Id="rId1199" Type="http://schemas.openxmlformats.org/officeDocument/2006/relationships/hyperlink" Target="https://drive.google.com/open?id=1eywB1eJtSerINvas357eIFgVd9XEXPXl" TargetMode="External"/><Relationship Id="rId123" Type="http://schemas.openxmlformats.org/officeDocument/2006/relationships/hyperlink" Target="https://drive.google.com/open?id=1xAKKTHKNv99Gv8uNmN-8KK6F7xbwnG2R" TargetMode="External"/><Relationship Id="rId365" Type="http://schemas.openxmlformats.org/officeDocument/2006/relationships/hyperlink" Target="https://drive.google.com/open?id=1N3FML6AKuFiNMOLTCwwsdHmr_-I4CF38" TargetMode="External"/><Relationship Id="rId122" Type="http://schemas.openxmlformats.org/officeDocument/2006/relationships/hyperlink" Target="https://drive.google.com/open?id=12ZSx-7ZCiEvcnZyDqURKNeDwAP_XQIx4" TargetMode="External"/><Relationship Id="rId364" Type="http://schemas.openxmlformats.org/officeDocument/2006/relationships/hyperlink" Target="https://drive.google.com/open?id=1cgfqUDFBKjMELy30jAEWBRGL1I8aaUiQ" TargetMode="External"/><Relationship Id="rId95" Type="http://schemas.openxmlformats.org/officeDocument/2006/relationships/hyperlink" Target="https://drive.google.com/open?id=1yx1c4wIRewAKcggOeCALUUM2jVuFZhuo" TargetMode="External"/><Relationship Id="rId94" Type="http://schemas.openxmlformats.org/officeDocument/2006/relationships/hyperlink" Target="https://drive.google.com/open?id=1FKnqxjgtv0HxEMRZ9maDZz77tQRuVAoP" TargetMode="External"/><Relationship Id="rId97" Type="http://schemas.openxmlformats.org/officeDocument/2006/relationships/hyperlink" Target="https://drive.google.com/open?id=1OQvb7Xa9CnYEA_TJo-zgs7_x2UuoTxlS" TargetMode="External"/><Relationship Id="rId96" Type="http://schemas.openxmlformats.org/officeDocument/2006/relationships/hyperlink" Target="https://drive.google.com/open?id=11pDKrEKlMDxziZ4orQ5QZ7D2YnE0qun_" TargetMode="External"/><Relationship Id="rId99" Type="http://schemas.openxmlformats.org/officeDocument/2006/relationships/hyperlink" Target="https://drive.google.com/open?id=1BGgoR5kTDOU_BUC3_FuSYDT9pUPify4g" TargetMode="External"/><Relationship Id="rId98" Type="http://schemas.openxmlformats.org/officeDocument/2006/relationships/hyperlink" Target="https://drive.google.com/open?id=1QlIX3s8jifcDW6p4L7gBLu39-XIzTqIt" TargetMode="External"/><Relationship Id="rId91" Type="http://schemas.openxmlformats.org/officeDocument/2006/relationships/hyperlink" Target="https://drive.google.com/open?id=16AA7fvX-DSLgZl2oyEXRj-AprcvRvtNk" TargetMode="External"/><Relationship Id="rId90" Type="http://schemas.openxmlformats.org/officeDocument/2006/relationships/hyperlink" Target="https://drive.google.com/open?id=1yByVKJ8ZjuBJ1_j2xfnrq8l530j503-M" TargetMode="External"/><Relationship Id="rId93" Type="http://schemas.openxmlformats.org/officeDocument/2006/relationships/hyperlink" Target="https://drive.google.com/file/d/1dsbVN0AsTTOB1vDZ19VEZiTaw0msS0ut/view?usp=drive_link" TargetMode="External"/><Relationship Id="rId92" Type="http://schemas.openxmlformats.org/officeDocument/2006/relationships/hyperlink" Target="https://drive.google.com/open?id=1Oaloj8PDBSBrXEXtjx39G4peAXvSlQgM" TargetMode="External"/><Relationship Id="rId118" Type="http://schemas.openxmlformats.org/officeDocument/2006/relationships/hyperlink" Target="https://drive.google.com/open?id=16aZUip6NRiOKVNZHuAWubZIgvlGQNxlG" TargetMode="External"/><Relationship Id="rId117" Type="http://schemas.openxmlformats.org/officeDocument/2006/relationships/hyperlink" Target="https://drive.google.com/open?id=1Hl5Ko2hq_zOjmcL2Ly_ISctdUaeAK13h" TargetMode="External"/><Relationship Id="rId359" Type="http://schemas.openxmlformats.org/officeDocument/2006/relationships/hyperlink" Target="https://drive.google.com/open?id=1QUQtifhLSj-d26_koiMWyfaO_c0RPSkA" TargetMode="External"/><Relationship Id="rId116" Type="http://schemas.openxmlformats.org/officeDocument/2006/relationships/hyperlink" Target="https://drive.google.com/open?id=1Xbzmdsq3YYMRukQoYi9IyLEK07kK23lF" TargetMode="External"/><Relationship Id="rId358" Type="http://schemas.openxmlformats.org/officeDocument/2006/relationships/hyperlink" Target="https://drive.google.com/open?id=1teRxO8T2SXJk7o7qNZ_gO1aGJidB6TVF" TargetMode="External"/><Relationship Id="rId115" Type="http://schemas.openxmlformats.org/officeDocument/2006/relationships/hyperlink" Target="https://drive.google.com/open?id=13Uq7OYaCK_xN9bbWSDInkLkP6MemgziU" TargetMode="External"/><Relationship Id="rId357" Type="http://schemas.openxmlformats.org/officeDocument/2006/relationships/hyperlink" Target="https://drive.google.com/open?id=1wewO0xLH8DWr6SzJiuAL5N364SgtbsUF" TargetMode="External"/><Relationship Id="rId599" Type="http://schemas.openxmlformats.org/officeDocument/2006/relationships/hyperlink" Target="https://drive.google.com/open?id=1fFgncUQglyLTntCU_VuryJlA-NYo7DsV" TargetMode="External"/><Relationship Id="rId1180" Type="http://schemas.openxmlformats.org/officeDocument/2006/relationships/hyperlink" Target="https://drive.google.com/file/d/1sMzStmlCWe-9fy6HH6WwbmRCKs8q4MWq/view?usp=drive_link" TargetMode="External"/><Relationship Id="rId1181" Type="http://schemas.openxmlformats.org/officeDocument/2006/relationships/hyperlink" Target="https://drive.google.com/open?id=1Wt0Li33T5xKOtK0YMIHoUyY5VKqrSaOx" TargetMode="External"/><Relationship Id="rId119" Type="http://schemas.openxmlformats.org/officeDocument/2006/relationships/hyperlink" Target="https://drive.google.com/open?id=1do3-905idrdhmiXL9rGwNVXzhsY_qFuQ" TargetMode="External"/><Relationship Id="rId1182" Type="http://schemas.openxmlformats.org/officeDocument/2006/relationships/hyperlink" Target="https://drive.google.com/open?id=1PVu7ny2eIW3TG-9Ta9GdOYsFSfiglO1H" TargetMode="External"/><Relationship Id="rId110" Type="http://schemas.openxmlformats.org/officeDocument/2006/relationships/hyperlink" Target="https://drive.google.com/open?id=1MrjFtVcfLZ3JoajGU3Etyj459lE7KTmx" TargetMode="External"/><Relationship Id="rId352" Type="http://schemas.openxmlformats.org/officeDocument/2006/relationships/hyperlink" Target="https://drive.google.com/open?id=1VkbtmoRKuHx_x6VoD7wvUvHe2qzxWulZ" TargetMode="External"/><Relationship Id="rId594" Type="http://schemas.openxmlformats.org/officeDocument/2006/relationships/hyperlink" Target="https://drive.google.com/open?id=1TjcN9mTneladIePIrNoZFTs5Tc3Rcls3" TargetMode="External"/><Relationship Id="rId1183" Type="http://schemas.openxmlformats.org/officeDocument/2006/relationships/hyperlink" Target="https://drive.google.com/open?id=1FJk0My7GeH9f_5JsuUj6TJp-ZD-JXNnT" TargetMode="External"/><Relationship Id="rId351" Type="http://schemas.openxmlformats.org/officeDocument/2006/relationships/hyperlink" Target="https://drive.google.com/open?id=1rZPgfL-n8qbNReMfrLh88WaTZrnxtXpy" TargetMode="External"/><Relationship Id="rId593" Type="http://schemas.openxmlformats.org/officeDocument/2006/relationships/hyperlink" Target="https://drive.google.com/open?id=14mEnx_pyiqNGAK6izg95pmJEcIRt8LDQ" TargetMode="External"/><Relationship Id="rId1184" Type="http://schemas.openxmlformats.org/officeDocument/2006/relationships/hyperlink" Target="https://drive.google.com/open?id=13Bpr32n24wJN2i_F6g_na5EAqcigmLhI" TargetMode="External"/><Relationship Id="rId350" Type="http://schemas.openxmlformats.org/officeDocument/2006/relationships/hyperlink" Target="https://drive.google.com/open?id=1YWdhcNOdYO5YlBIGaQ5AHwEunrz_Aw9Q" TargetMode="External"/><Relationship Id="rId592" Type="http://schemas.openxmlformats.org/officeDocument/2006/relationships/hyperlink" Target="https://drive.google.com/open?id=1z5fi8to9gw38-_ixzD_uWxh9HpPqMkCj" TargetMode="External"/><Relationship Id="rId1185" Type="http://schemas.openxmlformats.org/officeDocument/2006/relationships/hyperlink" Target="https://drive.google.com/open?id=1OOof4LvqA7sQx6CnH7SdHErJrt3050GO" TargetMode="External"/><Relationship Id="rId591" Type="http://schemas.openxmlformats.org/officeDocument/2006/relationships/hyperlink" Target="https://drive.google.com/open?id=10mc-oRazpNONUif50yf9BsdK8rLZjGj_" TargetMode="External"/><Relationship Id="rId1186" Type="http://schemas.openxmlformats.org/officeDocument/2006/relationships/hyperlink" Target="https://drive.google.com/open?id=19993VUvlHyJI9yv-6gcdoPTqN_fjIslg" TargetMode="External"/><Relationship Id="rId114" Type="http://schemas.openxmlformats.org/officeDocument/2006/relationships/hyperlink" Target="https://drive.google.com/open?id=1FTokLh63CMcpmK4WsTW0_WvMXBODsiM_" TargetMode="External"/><Relationship Id="rId356" Type="http://schemas.openxmlformats.org/officeDocument/2006/relationships/hyperlink" Target="https://drive.google.com/file/d/1JinnoD2-Bb_UH8mJIti3TQUiFHlQBKPR/view?usp=drive_link" TargetMode="External"/><Relationship Id="rId598" Type="http://schemas.openxmlformats.org/officeDocument/2006/relationships/hyperlink" Target="https://drive.google.com/open?id=1NaBoTwNPxWAvJNhkP_SzWp1UAREFmDKY" TargetMode="External"/><Relationship Id="rId1187" Type="http://schemas.openxmlformats.org/officeDocument/2006/relationships/hyperlink" Target="https://drive.google.com/file/d/1uppktk-1XqyyomF3NM-x64YqwuvXB7jd/view?usp=drive_link" TargetMode="External"/><Relationship Id="rId113" Type="http://schemas.openxmlformats.org/officeDocument/2006/relationships/hyperlink" Target="https://drive.google.com/open?id=1knmWj3_vqpqEYE4LGLdpMJ_KvfQkbGJ-" TargetMode="External"/><Relationship Id="rId355" Type="http://schemas.openxmlformats.org/officeDocument/2006/relationships/hyperlink" Target="https://drive.google.com/open?id=1udsIR_mgOx4SIYt_VaS-lefhtlDxp6pL" TargetMode="External"/><Relationship Id="rId597" Type="http://schemas.openxmlformats.org/officeDocument/2006/relationships/hyperlink" Target="https://drive.google.com/open?id=1nE4iBk7QpNF1l5lGKBkIVnIAN6TQ-E8Y" TargetMode="External"/><Relationship Id="rId1188" Type="http://schemas.openxmlformats.org/officeDocument/2006/relationships/hyperlink" Target="https://drive.google.com/open?id=1GuLVHpTNdTmWoG_XZXTqmLUsfwvuDckb" TargetMode="External"/><Relationship Id="rId112" Type="http://schemas.openxmlformats.org/officeDocument/2006/relationships/hyperlink" Target="https://drive.google.com/open?id=1wH-mO-NKLsewVWTCohIwBAjPiSSL7Oem" TargetMode="External"/><Relationship Id="rId354" Type="http://schemas.openxmlformats.org/officeDocument/2006/relationships/hyperlink" Target="https://drive.google.com/open?id=1Q8r1mY4OGi1vN3XRKZaVPlDUdDRaNVv5" TargetMode="External"/><Relationship Id="rId596" Type="http://schemas.openxmlformats.org/officeDocument/2006/relationships/hyperlink" Target="https://drive.google.com/open?id=1WEgKIYTZFLgYTLL-hdifPMuuEDmcrKw_" TargetMode="External"/><Relationship Id="rId1189" Type="http://schemas.openxmlformats.org/officeDocument/2006/relationships/hyperlink" Target="https://drive.google.com/file/d/1MyeVG7yAekK_Wv7ZkwfpzeDzZAn5bEa1/view?usp=sharing" TargetMode="External"/><Relationship Id="rId111" Type="http://schemas.openxmlformats.org/officeDocument/2006/relationships/hyperlink" Target="https://drive.google.com/file/d/1FV_RVeUvO2ymlmKFEUEU6MF4piuM3MOd/view?usp=drive_link" TargetMode="External"/><Relationship Id="rId353" Type="http://schemas.openxmlformats.org/officeDocument/2006/relationships/hyperlink" Target="https://drive.google.com/open?id=1sD0hpjvoBXDZYXHmsBG76uTwgnCiveX2" TargetMode="External"/><Relationship Id="rId595" Type="http://schemas.openxmlformats.org/officeDocument/2006/relationships/hyperlink" Target="https://drive.google.com/open?id=1Sx56JWlqXnN_rDmo7FlIlzxA2JFQQvYK" TargetMode="External"/><Relationship Id="rId1136" Type="http://schemas.openxmlformats.org/officeDocument/2006/relationships/hyperlink" Target="https://drive.google.com/open?id=1FQgSqMUNf8Qt9yao7sueAEkPgvmXRlNQ" TargetMode="External"/><Relationship Id="rId1378" Type="http://schemas.openxmlformats.org/officeDocument/2006/relationships/hyperlink" Target="https://drive.google.com/open?id=1Z76kVxHs2OZEszdt9g0k05dluBIYTFHN" TargetMode="External"/><Relationship Id="rId1137" Type="http://schemas.openxmlformats.org/officeDocument/2006/relationships/hyperlink" Target="https://drive.google.com/open?id=1puYEqpwk1NDJBdeki7uZkZt8aGdBmaWm" TargetMode="External"/><Relationship Id="rId1379" Type="http://schemas.openxmlformats.org/officeDocument/2006/relationships/hyperlink" Target="https://drive.google.com/file/d/11lRW_1ATkn76ogR1azGRSE0utj-xuwri/view?usp=drive_link" TargetMode="External"/><Relationship Id="rId1138" Type="http://schemas.openxmlformats.org/officeDocument/2006/relationships/hyperlink" Target="https://drive.google.com/open?id=1yKKPhvCJoTaBIybcuAcj4vBQAxUMVc7_" TargetMode="External"/><Relationship Id="rId1139" Type="http://schemas.openxmlformats.org/officeDocument/2006/relationships/hyperlink" Target="https://drive.google.com/open?id=1vni--3ceKxqeBUCgEK1JVlL4dzKcNCK4" TargetMode="External"/><Relationship Id="rId305" Type="http://schemas.openxmlformats.org/officeDocument/2006/relationships/hyperlink" Target="https://drive.google.com/open?id=10nGn9fxzNLp--BcYN6GqfQ_XaHa9XnXa" TargetMode="External"/><Relationship Id="rId547" Type="http://schemas.openxmlformats.org/officeDocument/2006/relationships/hyperlink" Target="https://drive.google.com/open?id=1VoC4UT9ZmfZtPDI76VjIaQEYtbHpFzhQ" TargetMode="External"/><Relationship Id="rId789" Type="http://schemas.openxmlformats.org/officeDocument/2006/relationships/hyperlink" Target="https://drive.google.com/open?id=1Qd6E84zvwsJHC7Q8JZvencSNXxA9P5gL" TargetMode="External"/><Relationship Id="rId304" Type="http://schemas.openxmlformats.org/officeDocument/2006/relationships/hyperlink" Target="https://drive.google.com/open?id=11yNedQOuXH6q0UmCH9MYob3dQrKTPi6j" TargetMode="External"/><Relationship Id="rId546" Type="http://schemas.openxmlformats.org/officeDocument/2006/relationships/hyperlink" Target="https://drive.google.com/open?id=1jjJe_mAxvZl5JPAxoPZcir0TqH3mh637" TargetMode="External"/><Relationship Id="rId788" Type="http://schemas.openxmlformats.org/officeDocument/2006/relationships/hyperlink" Target="https://drive.google.com/open?id=1Bf4-e-Yn_hoBbi334f-Q27_oc7iwmnWr" TargetMode="External"/><Relationship Id="rId303" Type="http://schemas.openxmlformats.org/officeDocument/2006/relationships/hyperlink" Target="https://drive.google.com/open?id=1PRSMEqDe9sYxRIeoCCTFoc5hvHIx24KS" TargetMode="External"/><Relationship Id="rId545" Type="http://schemas.openxmlformats.org/officeDocument/2006/relationships/hyperlink" Target="https://drive.google.com/open?id=13ZWxT3T2XCJDDjT5nLlb17azWQeqv0c3" TargetMode="External"/><Relationship Id="rId787" Type="http://schemas.openxmlformats.org/officeDocument/2006/relationships/hyperlink" Target="https://drive.google.com/open?id=1tLC1hSwXCz1Reo_IxfcuBdllgK1gtq97" TargetMode="External"/><Relationship Id="rId302" Type="http://schemas.openxmlformats.org/officeDocument/2006/relationships/hyperlink" Target="https://drive.google.com/open?id=1OqbJFz-b6N44O91q7bIxAEuEeAe_0mKh" TargetMode="External"/><Relationship Id="rId544" Type="http://schemas.openxmlformats.org/officeDocument/2006/relationships/hyperlink" Target="https://drive.google.com/open?id=1oktqcfeKexYsw_rCtvQWP6GDLqzMVWCo" TargetMode="External"/><Relationship Id="rId786" Type="http://schemas.openxmlformats.org/officeDocument/2006/relationships/hyperlink" Target="https://drive.google.com/open?id=1w7gR53IHsvEBy30bwV3_8zRiCsjNAZPL" TargetMode="External"/><Relationship Id="rId309" Type="http://schemas.openxmlformats.org/officeDocument/2006/relationships/hyperlink" Target="https://drive.google.com/open?id=17aeyAKYo66IfHcBCBPMOquVG8-Woe81l" TargetMode="External"/><Relationship Id="rId308" Type="http://schemas.openxmlformats.org/officeDocument/2006/relationships/hyperlink" Target="https://drive.google.com/open?id=1L7wX4_HQWYqVKifBsaF9rGJuiTqSpFh3" TargetMode="External"/><Relationship Id="rId307" Type="http://schemas.openxmlformats.org/officeDocument/2006/relationships/hyperlink" Target="https://drive.google.com/open?id=1lZ93CxPROHTvcaa1Tu7-Uk2_xmf619sj" TargetMode="External"/><Relationship Id="rId549" Type="http://schemas.openxmlformats.org/officeDocument/2006/relationships/hyperlink" Target="https://drive.google.com/open?id=1r8QJykvHA7s_VKJr8kPOGLw7gxL-6cs5" TargetMode="External"/><Relationship Id="rId306" Type="http://schemas.openxmlformats.org/officeDocument/2006/relationships/hyperlink" Target="https://drive.google.com/open?id=1lmaZTHQKhaT8-MxvQt-NjUCEsFSmbSKm" TargetMode="External"/><Relationship Id="rId548" Type="http://schemas.openxmlformats.org/officeDocument/2006/relationships/hyperlink" Target="https://drive.google.com/open?id=169lQ7OsRvC1BCMCvLU2XYl-Bgrs6OxkN" TargetMode="External"/><Relationship Id="rId781" Type="http://schemas.openxmlformats.org/officeDocument/2006/relationships/hyperlink" Target="https://drive.google.com/open?id=1542K-n3WZe7OO53ZQGaSvc9VzUrezT3f" TargetMode="External"/><Relationship Id="rId1370" Type="http://schemas.openxmlformats.org/officeDocument/2006/relationships/hyperlink" Target="https://drive.google.com/open?id=1dx7VxE1sgMJgRJkWs2MDXhibqovRevs9" TargetMode="External"/><Relationship Id="rId780" Type="http://schemas.openxmlformats.org/officeDocument/2006/relationships/hyperlink" Target="https://drive.google.com/open?id=1lcTbEuu-XsOQ-2mujiVeRQXdweOkzDSN" TargetMode="External"/><Relationship Id="rId1371" Type="http://schemas.openxmlformats.org/officeDocument/2006/relationships/hyperlink" Target="https://drive.google.com/open?id=1fn0VGDI3qughAzPemV5Yw6_8FJBX0ppd" TargetMode="External"/><Relationship Id="rId1130" Type="http://schemas.openxmlformats.org/officeDocument/2006/relationships/hyperlink" Target="https://drive.google.com/open?id=1A-dvB0iiEMTi1IcEp_H3SVSXp-sOSh2u" TargetMode="External"/><Relationship Id="rId1372" Type="http://schemas.openxmlformats.org/officeDocument/2006/relationships/hyperlink" Target="https://drive.google.com/open?id=1Ug1DEMCHECXTgr2q-lS0C_CIoXFxo17o" TargetMode="External"/><Relationship Id="rId1131" Type="http://schemas.openxmlformats.org/officeDocument/2006/relationships/hyperlink" Target="https://drive.google.com/open?id=1FpAopcaW_zkHrizISu0eS2EJf90MOBk6" TargetMode="External"/><Relationship Id="rId1373" Type="http://schemas.openxmlformats.org/officeDocument/2006/relationships/hyperlink" Target="https://drive.google.com/file/d/1DJ7R2gc9L4Fl5BTkKC_XAZLhGQhMJPKD/view?usp=drive_link" TargetMode="External"/><Relationship Id="rId301" Type="http://schemas.openxmlformats.org/officeDocument/2006/relationships/hyperlink" Target="https://drive.google.com/open?id=1HcmO-vwPUaUHr0CjXBD9j4Tk7OfZDpka" TargetMode="External"/><Relationship Id="rId543" Type="http://schemas.openxmlformats.org/officeDocument/2006/relationships/hyperlink" Target="https://drive.google.com/open?id=1cnpBYc_1Un7OFDUkgoA6uBhSUuYf0uUl" TargetMode="External"/><Relationship Id="rId785" Type="http://schemas.openxmlformats.org/officeDocument/2006/relationships/hyperlink" Target="https://drive.google.com/open?id=1X-mSm1Yzv_roHHyooxsBEQWqjuW5gVsa" TargetMode="External"/><Relationship Id="rId1132" Type="http://schemas.openxmlformats.org/officeDocument/2006/relationships/hyperlink" Target="https://drive.google.com/open?id=1QOvOPJhmZky9b-jN9akyFd5_h8L1FadB" TargetMode="External"/><Relationship Id="rId1374" Type="http://schemas.openxmlformats.org/officeDocument/2006/relationships/hyperlink" Target="https://drive.google.com/open?id=1jZWJctXyqV8o3St54FlZdxb-TZKBR4yT" TargetMode="External"/><Relationship Id="rId300" Type="http://schemas.openxmlformats.org/officeDocument/2006/relationships/hyperlink" Target="https://drive.google.com/open?id=1qhXJ0Rg25OUeWrKLVgLRKn1BDH2jxlSy" TargetMode="External"/><Relationship Id="rId542" Type="http://schemas.openxmlformats.org/officeDocument/2006/relationships/hyperlink" Target="https://drive.google.com/open?id=1twylK2pnxlAIYg9y4grlhYKeO1XawihA" TargetMode="External"/><Relationship Id="rId784" Type="http://schemas.openxmlformats.org/officeDocument/2006/relationships/hyperlink" Target="https://drive.google.com/open?id=1NkGoMPltbPbU9VIbu88GCSqR4sBeHKJ7" TargetMode="External"/><Relationship Id="rId1133" Type="http://schemas.openxmlformats.org/officeDocument/2006/relationships/hyperlink" Target="https://drive.google.com/open?id=1az3qSdibm8iTcKfbY6Dl0SH4dOFIm7eh" TargetMode="External"/><Relationship Id="rId1375" Type="http://schemas.openxmlformats.org/officeDocument/2006/relationships/hyperlink" Target="https://drive.google.com/open?id=1H8g1J147q3-eg546GDU07AFRtcrID0Yh" TargetMode="External"/><Relationship Id="rId541" Type="http://schemas.openxmlformats.org/officeDocument/2006/relationships/hyperlink" Target="https://drive.google.com/open?id=1YVrdlw2GkZb-JoJPgVLelwWPLW5A_BzD" TargetMode="External"/><Relationship Id="rId783" Type="http://schemas.openxmlformats.org/officeDocument/2006/relationships/hyperlink" Target="https://drive.google.com/open?id=1ItZmACpKFuKweVLmqVfnP7k_h0FEw7qR" TargetMode="External"/><Relationship Id="rId1134" Type="http://schemas.openxmlformats.org/officeDocument/2006/relationships/hyperlink" Target="https://drive.google.com/open?id=12cylKkcP7HMkYOqW3bGfJMamdVsROp8f" TargetMode="External"/><Relationship Id="rId1376" Type="http://schemas.openxmlformats.org/officeDocument/2006/relationships/hyperlink" Target="https://drive.google.com/open?id=1dE0FR58RFaOhSOACHTwwpSDjixZ5eGU2" TargetMode="External"/><Relationship Id="rId540" Type="http://schemas.openxmlformats.org/officeDocument/2006/relationships/hyperlink" Target="https://drive.google.com/open?id=1GLzbff-eXsn9VzdYCxBf_vADZC9gaCdD" TargetMode="External"/><Relationship Id="rId782" Type="http://schemas.openxmlformats.org/officeDocument/2006/relationships/hyperlink" Target="https://drive.google.com/open?id=1oogtubalQsU7dlZoIV1ogArVgOR2tP-z" TargetMode="External"/><Relationship Id="rId1135" Type="http://schemas.openxmlformats.org/officeDocument/2006/relationships/hyperlink" Target="https://drive.google.com/open?id=1YqU6GCF5J37XmvqafbTjyj6wO8p5Tp0X" TargetMode="External"/><Relationship Id="rId1377" Type="http://schemas.openxmlformats.org/officeDocument/2006/relationships/hyperlink" Target="https://drive.google.com/open?id=1_G2BOr_j0joRtBd5RNLKSfYtaVe8ocKG" TargetMode="External"/><Relationship Id="rId1125" Type="http://schemas.openxmlformats.org/officeDocument/2006/relationships/hyperlink" Target="https://drive.google.com/open?id=1zixiE1mJAFFkz1xiFiaAzBYl6hlrUER7" TargetMode="External"/><Relationship Id="rId1367" Type="http://schemas.openxmlformats.org/officeDocument/2006/relationships/hyperlink" Target="https://drive.google.com/open?id=1yr05UGe8hraU4Y6y2F4ReMgmL6veXGJ8" TargetMode="External"/><Relationship Id="rId1126" Type="http://schemas.openxmlformats.org/officeDocument/2006/relationships/hyperlink" Target="https://drive.google.com/open?id=15AtLAYz2Ueay-LE4tTl8hKO9kPfT9zXY" TargetMode="External"/><Relationship Id="rId1368" Type="http://schemas.openxmlformats.org/officeDocument/2006/relationships/hyperlink" Target="https://drive.google.com/open?id=1HVneWpebzcpx-hkem7Cm6BUqxPH3WX2g" TargetMode="External"/><Relationship Id="rId1127" Type="http://schemas.openxmlformats.org/officeDocument/2006/relationships/hyperlink" Target="https://drive.google.com/open?id=1GBGinLa4y_4TpLIbkixdeuwUIpdHY3Xx" TargetMode="External"/><Relationship Id="rId1369" Type="http://schemas.openxmlformats.org/officeDocument/2006/relationships/hyperlink" Target="https://drive.google.com/open?id=1NB3X5eb9_yLJcjOT3f3c8lH9MgtwXuhm" TargetMode="External"/><Relationship Id="rId1128" Type="http://schemas.openxmlformats.org/officeDocument/2006/relationships/hyperlink" Target="https://drive.google.com/open?id=1HAesk_h7kFzze5_meMqaV9vgNuRSC2Jy" TargetMode="External"/><Relationship Id="rId1129" Type="http://schemas.openxmlformats.org/officeDocument/2006/relationships/hyperlink" Target="https://drive.google.com/open?id=1UmI2zDxvF2PJPHkm9jKPSevcGLb2cExx" TargetMode="External"/><Relationship Id="rId536" Type="http://schemas.openxmlformats.org/officeDocument/2006/relationships/hyperlink" Target="https://drive.google.com/open?id=1-UwuLHYMk7aQU1D-yfyjWOdRJyDpsixk" TargetMode="External"/><Relationship Id="rId778" Type="http://schemas.openxmlformats.org/officeDocument/2006/relationships/hyperlink" Target="https://drive.google.com/open?id=11qXOiP6otxggXRTaTzdSbyFiRbX5xn1Q" TargetMode="External"/><Relationship Id="rId535" Type="http://schemas.openxmlformats.org/officeDocument/2006/relationships/hyperlink" Target="https://drive.google.com/open?id=1xWnfUDtao70QHFbtZsnfx8nOfBNes5K4" TargetMode="External"/><Relationship Id="rId777" Type="http://schemas.openxmlformats.org/officeDocument/2006/relationships/hyperlink" Target="https://drive.google.com/open?id=17PScrfLWCy6sYiNxLWUDCyCdBLM6Mwxy" TargetMode="External"/><Relationship Id="rId534" Type="http://schemas.openxmlformats.org/officeDocument/2006/relationships/hyperlink" Target="https://drive.google.com/open?id=1Yi-VhjfvlyM1DaJaN1kt8Cvn1vhFgJOT" TargetMode="External"/><Relationship Id="rId776" Type="http://schemas.openxmlformats.org/officeDocument/2006/relationships/hyperlink" Target="https://drive.google.com/open?id=1h58z9A3b0wbNi4ImcIXT0QjTYZ1zvRim" TargetMode="External"/><Relationship Id="rId533" Type="http://schemas.openxmlformats.org/officeDocument/2006/relationships/hyperlink" Target="https://drive.google.com/open?id=1YwDtR46yEUP6HXfVdFoy7PvumqpEf9g1" TargetMode="External"/><Relationship Id="rId775" Type="http://schemas.openxmlformats.org/officeDocument/2006/relationships/hyperlink" Target="https://drive.google.com/open?id=1WHQP4YTUVekjeDgJT38zCUJYSO51GiUe" TargetMode="External"/><Relationship Id="rId539" Type="http://schemas.openxmlformats.org/officeDocument/2006/relationships/hyperlink" Target="https://drive.google.com/open?id=16GwmzVRw-adnS8j1_LVDt-UbPQ80wqdm" TargetMode="External"/><Relationship Id="rId538" Type="http://schemas.openxmlformats.org/officeDocument/2006/relationships/hyperlink" Target="https://drive.google.com/open?id=1EZjSc_6yj1vAqdmIjhGAE9jnzYBbrb9a" TargetMode="External"/><Relationship Id="rId537" Type="http://schemas.openxmlformats.org/officeDocument/2006/relationships/hyperlink" Target="https://drive.google.com/open?id=1z4pa-ZCgThFH3oCC_sxeRP9UOL3GfibW" TargetMode="External"/><Relationship Id="rId779" Type="http://schemas.openxmlformats.org/officeDocument/2006/relationships/hyperlink" Target="https://drive.google.com/open?id=1MQSCEhwaFBexRgJmSzUgZHYWKoY7MO2a" TargetMode="External"/><Relationship Id="rId770" Type="http://schemas.openxmlformats.org/officeDocument/2006/relationships/hyperlink" Target="https://drive.google.com/open?id=1CaQBRgFko8Vrq-6PQJiGMxurM395Szbx" TargetMode="External"/><Relationship Id="rId1360" Type="http://schemas.openxmlformats.org/officeDocument/2006/relationships/hyperlink" Target="https://drive.google.com/file/d/1cDijVK65A_xPZLYUX5hTQlhZIS4t-jWl/view?usp=drive_link" TargetMode="External"/><Relationship Id="rId1361" Type="http://schemas.openxmlformats.org/officeDocument/2006/relationships/hyperlink" Target="https://drive.google.com/file/d/1-npo6AAiYQznTuaih-louUamKkLsTsAt/view?usp=sharing" TargetMode="External"/><Relationship Id="rId1120" Type="http://schemas.openxmlformats.org/officeDocument/2006/relationships/hyperlink" Target="https://drive.google.com/open?id=1iAztDv-Z6REWEjU_N6u8NVWApFHE5nSN" TargetMode="External"/><Relationship Id="rId1362" Type="http://schemas.openxmlformats.org/officeDocument/2006/relationships/hyperlink" Target="https://drive.google.com/open?id=1HI19nLKFTjsLFKX9pRLS2HeyNqCiKZW2" TargetMode="External"/><Relationship Id="rId532" Type="http://schemas.openxmlformats.org/officeDocument/2006/relationships/hyperlink" Target="https://drive.google.com/open?id=1nhQqpmHj0Kw3BkBctWyl1Da5lMIfQpLF" TargetMode="External"/><Relationship Id="rId774" Type="http://schemas.openxmlformats.org/officeDocument/2006/relationships/hyperlink" Target="https://drive.google.com/open?id=1SaDy5lcAm6bd-8OPJ_A20ZUSPXKWyimE" TargetMode="External"/><Relationship Id="rId1121" Type="http://schemas.openxmlformats.org/officeDocument/2006/relationships/hyperlink" Target="https://drive.google.com/open?id=1kQjag4SARco2L37H2bWZueBTRuBpxibx" TargetMode="External"/><Relationship Id="rId1363" Type="http://schemas.openxmlformats.org/officeDocument/2006/relationships/hyperlink" Target="https://drive.google.com/open?id=1RKXL1YcRjGzTD2UEpq0lysV3F59RVsrP" TargetMode="External"/><Relationship Id="rId531" Type="http://schemas.openxmlformats.org/officeDocument/2006/relationships/hyperlink" Target="https://drive.google.com/open?id=1ugcbGPZqxOXoqvtN3EO053ZWr6B9FmcJ" TargetMode="External"/><Relationship Id="rId773" Type="http://schemas.openxmlformats.org/officeDocument/2006/relationships/hyperlink" Target="https://drive.google.com/file/d/1khDkS4QC6Pe4TqxcO_YSKt8d9HzTOHXs/view?usp=sharing" TargetMode="External"/><Relationship Id="rId1122" Type="http://schemas.openxmlformats.org/officeDocument/2006/relationships/hyperlink" Target="https://drive.google.com/open?id=1aI1lllkcvF2FsGcX1HbcORYwNgKf6RvR" TargetMode="External"/><Relationship Id="rId1364" Type="http://schemas.openxmlformats.org/officeDocument/2006/relationships/hyperlink" Target="https://drive.google.com/open?id=1mhYcDWYube3Yrme-9KL9wq1gH0aYckey" TargetMode="External"/><Relationship Id="rId530" Type="http://schemas.openxmlformats.org/officeDocument/2006/relationships/hyperlink" Target="https://drive.google.com/open?id=1mF_Y4DWeChm-GK-O-rfQ6MvR5Pqq-nfB" TargetMode="External"/><Relationship Id="rId772" Type="http://schemas.openxmlformats.org/officeDocument/2006/relationships/hyperlink" Target="https://drive.google.com/open?id=1XApVq7Yi8RAASPph-DoI6pz0Gg-u8YR-" TargetMode="External"/><Relationship Id="rId1123" Type="http://schemas.openxmlformats.org/officeDocument/2006/relationships/hyperlink" Target="https://drive.google.com/open?id=1BXb0u_jgpnnqt1wqC7SHuv-RZcQf-e0C" TargetMode="External"/><Relationship Id="rId1365" Type="http://schemas.openxmlformats.org/officeDocument/2006/relationships/hyperlink" Target="https://drive.google.com/open?id=1oFx0B6TjxpD-B3_M2PDrbt6lTt6myRrB" TargetMode="External"/><Relationship Id="rId771" Type="http://schemas.openxmlformats.org/officeDocument/2006/relationships/hyperlink" Target="https://drive.google.com/open?id=1VJjj8iRiGrrVJCPkAzLvnjSD9CQKC48H" TargetMode="External"/><Relationship Id="rId1124" Type="http://schemas.openxmlformats.org/officeDocument/2006/relationships/hyperlink" Target="https://drive.google.com/open?id=18ti2bOEk8weB5iRPrr3e0Y9gMBuqCqg8" TargetMode="External"/><Relationship Id="rId1366" Type="http://schemas.openxmlformats.org/officeDocument/2006/relationships/hyperlink" Target="https://drive.google.com/open?id=1x_EafIOmz5Osb1q61F2i-oRPLnqhfIrF" TargetMode="External"/><Relationship Id="rId1158" Type="http://schemas.openxmlformats.org/officeDocument/2006/relationships/hyperlink" Target="https://drive.google.com/open?id=1ykS-HZnFyDnsk746xm0NyhbtbPNKfyPN" TargetMode="External"/><Relationship Id="rId1159" Type="http://schemas.openxmlformats.org/officeDocument/2006/relationships/hyperlink" Target="https://drive.google.com/open?id=1N5iwG8v4FXf4L7bJt7BnuHVCgyRATD5Y" TargetMode="External"/><Relationship Id="rId327" Type="http://schemas.openxmlformats.org/officeDocument/2006/relationships/hyperlink" Target="https://drive.google.com/open?id=1F0zwMrcJovTlaBBtXlidGnN5AfZTKwQc" TargetMode="External"/><Relationship Id="rId569" Type="http://schemas.openxmlformats.org/officeDocument/2006/relationships/hyperlink" Target="https://drive.google.com/open?id=1iB0yCbKh9V4fBedekOqYdJTkNFqgsLuQ" TargetMode="External"/><Relationship Id="rId326" Type="http://schemas.openxmlformats.org/officeDocument/2006/relationships/hyperlink" Target="https://drive.google.com/open?id=1rsEVxVHjESA4fiUvM6xXf5WJGv-cjjpB" TargetMode="External"/><Relationship Id="rId568" Type="http://schemas.openxmlformats.org/officeDocument/2006/relationships/hyperlink" Target="https://drive.google.com/open?id=1hr6Soq_WEJi6-FyAp7kO38ijuRyv3Pxx" TargetMode="External"/><Relationship Id="rId325" Type="http://schemas.openxmlformats.org/officeDocument/2006/relationships/hyperlink" Target="https://drive.google.com/open?id=1WSY6RHhHBCdPG7x3BBGuAsgoVOOQ5jwy" TargetMode="External"/><Relationship Id="rId567" Type="http://schemas.openxmlformats.org/officeDocument/2006/relationships/hyperlink" Target="https://drive.google.com/open?id=1eBKCokVgRuGYDqg6V6gdxdMfrQu6wTqj" TargetMode="External"/><Relationship Id="rId324" Type="http://schemas.openxmlformats.org/officeDocument/2006/relationships/hyperlink" Target="https://drive.google.com/open?id=1Jj1xZFyCp2OSZ0NNv2fuhv4t5-2ZIRc9" TargetMode="External"/><Relationship Id="rId566" Type="http://schemas.openxmlformats.org/officeDocument/2006/relationships/hyperlink" Target="https://drive.google.com/open?id=18A_Rrw4n-pxe-LpNh_kcNeSvaGNZKTp9" TargetMode="External"/><Relationship Id="rId329" Type="http://schemas.openxmlformats.org/officeDocument/2006/relationships/hyperlink" Target="https://drive.google.com/open?id=1YV8RvDiS3nOTbKovf2rZtvVoQizGmGtA" TargetMode="External"/><Relationship Id="rId1390" Type="http://schemas.openxmlformats.org/officeDocument/2006/relationships/hyperlink" Target="https://drive.google.com/open?id=1NR-kcIAr831XCxGTtmtWbiczlsPv-zg8" TargetMode="External"/><Relationship Id="rId328" Type="http://schemas.openxmlformats.org/officeDocument/2006/relationships/hyperlink" Target="https://drive.google.com/open?id=1peG0mo2kdOukoA4FY4kbpIKR51AKGAC7" TargetMode="External"/><Relationship Id="rId1391" Type="http://schemas.openxmlformats.org/officeDocument/2006/relationships/hyperlink" Target="https://drive.google.com/open?id=17oA0Ovsigo0oEoQVRlgHaLhgcHLPdsJ-" TargetMode="External"/><Relationship Id="rId561" Type="http://schemas.openxmlformats.org/officeDocument/2006/relationships/hyperlink" Target="https://drive.google.com/open?id=12qDw6sDi_pMHu6Daknb3eJtz0sT1qZ4Z" TargetMode="External"/><Relationship Id="rId1150" Type="http://schemas.openxmlformats.org/officeDocument/2006/relationships/hyperlink" Target="https://drive.google.com/open?id=1jC0Bw66O-_G8B1JhhVVwTcAg4kzhsjpY" TargetMode="External"/><Relationship Id="rId1392" Type="http://schemas.openxmlformats.org/officeDocument/2006/relationships/hyperlink" Target="https://drive.google.com/file/d/1jG_JmOwaYhO4lbZa9ZQZJVR6ekudgzAQ/view?usp=drive_link" TargetMode="External"/><Relationship Id="rId560" Type="http://schemas.openxmlformats.org/officeDocument/2006/relationships/hyperlink" Target="https://drive.google.com/open?id=1BdicaPgqbXOGj6uw-ev3Y4s6VKhYsR2r" TargetMode="External"/><Relationship Id="rId1151" Type="http://schemas.openxmlformats.org/officeDocument/2006/relationships/hyperlink" Target="https://drive.google.com/open?id=1no9xHQvGzpcN1gqZB5Wz-9rO_Dc4nPZE" TargetMode="External"/><Relationship Id="rId1393" Type="http://schemas.openxmlformats.org/officeDocument/2006/relationships/hyperlink" Target="https://drive.google.com/open?id=1FxVsIK3WuQVrTdP6s9HaR4GZ287SNjn8" TargetMode="External"/><Relationship Id="rId1152" Type="http://schemas.openxmlformats.org/officeDocument/2006/relationships/hyperlink" Target="https://drive.google.com/open?id=1vYC2g6J7trmUn2_bGucJ-EsH1BrmQo8V" TargetMode="External"/><Relationship Id="rId1394" Type="http://schemas.openxmlformats.org/officeDocument/2006/relationships/hyperlink" Target="https://drive.google.com/open?id=1nXW-JLuepYUsud5NTO7cmQJaCL62_IKJ" TargetMode="External"/><Relationship Id="rId1153" Type="http://schemas.openxmlformats.org/officeDocument/2006/relationships/hyperlink" Target="https://drive.google.com/open?id=12IY0m-2o1hCrx5dbxgf3XjJBHoYxsoIb" TargetMode="External"/><Relationship Id="rId1395" Type="http://schemas.openxmlformats.org/officeDocument/2006/relationships/hyperlink" Target="https://drive.google.com/open?id=1-ehshSu9RgBZJN3X1pcRd7dtsTo4ageE" TargetMode="External"/><Relationship Id="rId323" Type="http://schemas.openxmlformats.org/officeDocument/2006/relationships/hyperlink" Target="https://drive.google.com/open?id=1GqC_iC5CjQYKHebfX_WziXQXrM9TMHPm" TargetMode="External"/><Relationship Id="rId565" Type="http://schemas.openxmlformats.org/officeDocument/2006/relationships/hyperlink" Target="https://drive.google.com/open?id=1dKJwOx7CbMO34q_FKAkyVpBjnKvFQXZi" TargetMode="External"/><Relationship Id="rId1154" Type="http://schemas.openxmlformats.org/officeDocument/2006/relationships/hyperlink" Target="https://drive.google.com/open?id=1De9CKy-QthmWKhYSTmiAkC8HuQgaNtLc" TargetMode="External"/><Relationship Id="rId1396" Type="http://schemas.openxmlformats.org/officeDocument/2006/relationships/hyperlink" Target="https://drive.google.com/file/d/1MZ_Z84aZf3xbsLa-fDhLaZTJQFW-Qpqw/view?usp=drive_link" TargetMode="External"/><Relationship Id="rId322" Type="http://schemas.openxmlformats.org/officeDocument/2006/relationships/hyperlink" Target="https://drive.google.com/open?id=1sVzmpmCZYJPWcXKbOEV1ltgPkQFvs_Jg" TargetMode="External"/><Relationship Id="rId564" Type="http://schemas.openxmlformats.org/officeDocument/2006/relationships/hyperlink" Target="https://drive.google.com/open?id=1ur8FWGCmspeLZOgHtgka3VfOLyuWmbuw" TargetMode="External"/><Relationship Id="rId1155" Type="http://schemas.openxmlformats.org/officeDocument/2006/relationships/hyperlink" Target="https://drive.google.com/open?id=1w198BMvMurve52I-sXCaz7TEVS8vKVbt" TargetMode="External"/><Relationship Id="rId1397" Type="http://schemas.openxmlformats.org/officeDocument/2006/relationships/hyperlink" Target="https://drive.google.com/open?id=18V-Ps_Z7TU4u23zdYz00Liy_dmmAn_YU" TargetMode="External"/><Relationship Id="rId321" Type="http://schemas.openxmlformats.org/officeDocument/2006/relationships/hyperlink" Target="https://drive.google.com/open?id=1X5hbYVyyPSQLnU6SDrm3RsttelE37N8y" TargetMode="External"/><Relationship Id="rId563" Type="http://schemas.openxmlformats.org/officeDocument/2006/relationships/hyperlink" Target="https://drive.google.com/open?id=15s7JlXhj8Q3FTQPlaGi701INPxP1Dngq" TargetMode="External"/><Relationship Id="rId1156" Type="http://schemas.openxmlformats.org/officeDocument/2006/relationships/hyperlink" Target="https://drive.google.com/open?id=1YJBxy27WPTToO9W4iXgnjoqRntfXMM7x" TargetMode="External"/><Relationship Id="rId1398" Type="http://schemas.openxmlformats.org/officeDocument/2006/relationships/hyperlink" Target="https://drive.google.com/file/d/1VCRe17H2SHVYCbmH8ER2mpE2GHcOENQ6/view?usp=drive_link" TargetMode="External"/><Relationship Id="rId320" Type="http://schemas.openxmlformats.org/officeDocument/2006/relationships/hyperlink" Target="https://drive.google.com/open?id=1nrf44tdZRtDboNzYni0CbyrbaJGlWpRN" TargetMode="External"/><Relationship Id="rId562" Type="http://schemas.openxmlformats.org/officeDocument/2006/relationships/hyperlink" Target="https://drive.google.com/open?id=1Y9o6WCHjga1aHzc8FmEAiBCWhloMZySK" TargetMode="External"/><Relationship Id="rId1157" Type="http://schemas.openxmlformats.org/officeDocument/2006/relationships/hyperlink" Target="https://drive.google.com/open?id=1xfNfMATpTcY1QtHORIoI-mKobzLjxzAP" TargetMode="External"/><Relationship Id="rId1399" Type="http://schemas.openxmlformats.org/officeDocument/2006/relationships/hyperlink" Target="https://drive.google.com/file/d/1EKX5M69jJ9ExSE2b0Xae4e1Ku1jNZwsZ/view?usp=drive_link" TargetMode="External"/><Relationship Id="rId1147" Type="http://schemas.openxmlformats.org/officeDocument/2006/relationships/hyperlink" Target="https://drive.google.com/open?id=1xohUUxuKkWjqcnSP66Tz6ehkeInU3zsC" TargetMode="External"/><Relationship Id="rId1389" Type="http://schemas.openxmlformats.org/officeDocument/2006/relationships/hyperlink" Target="https://drive.google.com/open?id=1ceFI9JA7Z3xfJfLG2aB-e7y_Kcu2sSDr" TargetMode="External"/><Relationship Id="rId1148" Type="http://schemas.openxmlformats.org/officeDocument/2006/relationships/hyperlink" Target="https://drive.google.com/open?id=1qS1P1yo_u52C6euKkHYZKN7fDPFFfnS0" TargetMode="External"/><Relationship Id="rId1149" Type="http://schemas.openxmlformats.org/officeDocument/2006/relationships/hyperlink" Target="https://drive.google.com/open?id=1dMgLhYglTQfqWQEeCWGsQnHaZXp3WIyk" TargetMode="External"/><Relationship Id="rId316" Type="http://schemas.openxmlformats.org/officeDocument/2006/relationships/hyperlink" Target="https://drive.google.com/open?id=1aE8FMoMOs4oIeK0LRThhO-jpE7Ptm3b4" TargetMode="External"/><Relationship Id="rId558" Type="http://schemas.openxmlformats.org/officeDocument/2006/relationships/hyperlink" Target="https://drive.google.com/open?id=1BqXzbxVRL7RAEj8StbNN7A6FYYOpG5-m" TargetMode="External"/><Relationship Id="rId315" Type="http://schemas.openxmlformats.org/officeDocument/2006/relationships/hyperlink" Target="https://drive.google.com/open?id=16dWKNJGmt8AGL7fEnGIN71_I-eGYDPAH" TargetMode="External"/><Relationship Id="rId557" Type="http://schemas.openxmlformats.org/officeDocument/2006/relationships/hyperlink" Target="https://drive.google.com/open?id=1nGhOVTmCkHmCySNwDEJfWIn5NenUvnAp" TargetMode="External"/><Relationship Id="rId799" Type="http://schemas.openxmlformats.org/officeDocument/2006/relationships/hyperlink" Target="https://drive.google.com/open?id=1PmRM0Hp7ODp-HiAjKA2B_CMCXknbX505" TargetMode="External"/><Relationship Id="rId314" Type="http://schemas.openxmlformats.org/officeDocument/2006/relationships/hyperlink" Target="https://drive.google.com/open?id=1nDBlAkLDGzuDR3ZekNzPwNjQDq4CqNER" TargetMode="External"/><Relationship Id="rId556" Type="http://schemas.openxmlformats.org/officeDocument/2006/relationships/hyperlink" Target="https://drive.google.com/open?id=1wDBD9d4x69JDlFyaoZpnUOgmvDyxnxE-" TargetMode="External"/><Relationship Id="rId798" Type="http://schemas.openxmlformats.org/officeDocument/2006/relationships/hyperlink" Target="https://drive.google.com/open?id=17Z8D6sOmqQLjp8v8v8iRQzp1X9LrvyPm" TargetMode="External"/><Relationship Id="rId313" Type="http://schemas.openxmlformats.org/officeDocument/2006/relationships/hyperlink" Target="https://drive.google.com/open?id=1fwweJfdEGZcJmnnrKsLBjpNn-6wnrJB_" TargetMode="External"/><Relationship Id="rId555" Type="http://schemas.openxmlformats.org/officeDocument/2006/relationships/hyperlink" Target="https://drive.google.com/open?id=1vYnsO4R2DAYT_0WlYOI4TGC3nljQRlYr" TargetMode="External"/><Relationship Id="rId797" Type="http://schemas.openxmlformats.org/officeDocument/2006/relationships/hyperlink" Target="https://drive.google.com/open?id=14kXAU_kq1GMYBXWxWPGmm7vU8iZlQT49" TargetMode="External"/><Relationship Id="rId319" Type="http://schemas.openxmlformats.org/officeDocument/2006/relationships/hyperlink" Target="https://drive.google.com/open?id=1OIuzy2QqiuVNDwPueEXxpO7o9WwTXCze" TargetMode="External"/><Relationship Id="rId318" Type="http://schemas.openxmlformats.org/officeDocument/2006/relationships/hyperlink" Target="https://drive.google.com/open?id=1WmgbYJtNNhnsQ0uTFF72wi-vt0rWT_Y5" TargetMode="External"/><Relationship Id="rId317" Type="http://schemas.openxmlformats.org/officeDocument/2006/relationships/hyperlink" Target="https://drive.google.com/open?id=1NN2UYQIiEDPrBhgu7UPa9vEcxT_gcfc-" TargetMode="External"/><Relationship Id="rId559" Type="http://schemas.openxmlformats.org/officeDocument/2006/relationships/hyperlink" Target="https://drive.google.com/open?id=1qgpTKBekgXJTDqN9tzA1hYtZOGJhIVFK" TargetMode="External"/><Relationship Id="rId1380" Type="http://schemas.openxmlformats.org/officeDocument/2006/relationships/hyperlink" Target="https://drive.google.com/open?id=18q_zFNfDzo2wLLW34d5Wa9VePL1IZRYh" TargetMode="External"/><Relationship Id="rId550" Type="http://schemas.openxmlformats.org/officeDocument/2006/relationships/hyperlink" Target="https://drive.google.com/open?id=1H_awdPw9zznEkg9pJwr4C0w4LtDsxf-y" TargetMode="External"/><Relationship Id="rId792" Type="http://schemas.openxmlformats.org/officeDocument/2006/relationships/hyperlink" Target="https://drive.google.com/open?id=1Gi9w74SvJhR-w7JnJUR1xvvzRIHySmR6" TargetMode="External"/><Relationship Id="rId1381" Type="http://schemas.openxmlformats.org/officeDocument/2006/relationships/hyperlink" Target="https://drive.google.com/file/d/1W6Fq1gT8EL_yNDJAEh9jU1sRtAu9Qz4l/view?usp=sharing" TargetMode="External"/><Relationship Id="rId791" Type="http://schemas.openxmlformats.org/officeDocument/2006/relationships/hyperlink" Target="https://drive.google.com/open?id=1R10_4q42S5pyCQG450z5ohamfO0CnULY" TargetMode="External"/><Relationship Id="rId1140" Type="http://schemas.openxmlformats.org/officeDocument/2006/relationships/hyperlink" Target="https://drive.google.com/open?id=17QtOxWYxvII7vukhmUYJzaEiDR4IqxHM" TargetMode="External"/><Relationship Id="rId1382" Type="http://schemas.openxmlformats.org/officeDocument/2006/relationships/hyperlink" Target="https://drive.google.com/file/d/17MpiAK21toXFxuGnekJWmvCx2-XR4gN8/view?usp=drive_link" TargetMode="External"/><Relationship Id="rId790" Type="http://schemas.openxmlformats.org/officeDocument/2006/relationships/hyperlink" Target="https://drive.google.com/open?id=1gzxiUQwrcIysGXHtHLYP7Ajq7MxHBaYJ" TargetMode="External"/><Relationship Id="rId1141" Type="http://schemas.openxmlformats.org/officeDocument/2006/relationships/hyperlink" Target="https://drive.google.com/open?id=1M7ts-bvYaSWsF0pRNcAyvJbEguTo5Kg7" TargetMode="External"/><Relationship Id="rId1383" Type="http://schemas.openxmlformats.org/officeDocument/2006/relationships/hyperlink" Target="https://drive.google.com/open?id=1g9rBWih_6ZGmZoZHk3_BaYjP5wYYbjTt" TargetMode="External"/><Relationship Id="rId1142" Type="http://schemas.openxmlformats.org/officeDocument/2006/relationships/hyperlink" Target="https://drive.google.com/open?id=1It_wnt_O_4m6116c64El7A8lXN0d1RP9" TargetMode="External"/><Relationship Id="rId1384" Type="http://schemas.openxmlformats.org/officeDocument/2006/relationships/hyperlink" Target="https://drive.google.com/open?id=1V_VpvKPICEFeoqkwesEDxi4jxFi7pYHf" TargetMode="External"/><Relationship Id="rId312" Type="http://schemas.openxmlformats.org/officeDocument/2006/relationships/hyperlink" Target="https://drive.google.com/open?id=1N6vrjjKx2UFEieUUvhtePkSsQ-NO4mgu" TargetMode="External"/><Relationship Id="rId554" Type="http://schemas.openxmlformats.org/officeDocument/2006/relationships/hyperlink" Target="https://drive.google.com/open?id=1T0PWiQu1yPJ0IqQNP2vAVoMlcWzpjON2" TargetMode="External"/><Relationship Id="rId796" Type="http://schemas.openxmlformats.org/officeDocument/2006/relationships/hyperlink" Target="https://drive.google.com/open?id=1R0j0g3mmpKyjuqmLebqbLPWT8UxfWLUL" TargetMode="External"/><Relationship Id="rId1143" Type="http://schemas.openxmlformats.org/officeDocument/2006/relationships/hyperlink" Target="https://drive.google.com/open?id=14QAcZ3_TFLA3gF-9eoV1NvM0VHfrYKtV" TargetMode="External"/><Relationship Id="rId1385" Type="http://schemas.openxmlformats.org/officeDocument/2006/relationships/hyperlink" Target="https://drive.google.com/open?id=13CH1I76Dk4gkdAaNtcavStv_XaBszo7f" TargetMode="External"/><Relationship Id="rId311" Type="http://schemas.openxmlformats.org/officeDocument/2006/relationships/hyperlink" Target="https://drive.google.com/open?id=1VL0Zqf8wXGt4tdaLBxJacFsZxlFn_mjy" TargetMode="External"/><Relationship Id="rId553" Type="http://schemas.openxmlformats.org/officeDocument/2006/relationships/hyperlink" Target="https://drive.google.com/open?id=1reoQ49n_3MCNCQBlCDwb09v5TdTPp3SI" TargetMode="External"/><Relationship Id="rId795" Type="http://schemas.openxmlformats.org/officeDocument/2006/relationships/hyperlink" Target="https://drive.google.com/open?id=1AlZCGOf2ABJ-x0hTnEOCl4jGp3hgWW9M" TargetMode="External"/><Relationship Id="rId1144" Type="http://schemas.openxmlformats.org/officeDocument/2006/relationships/hyperlink" Target="https://drive.google.com/open?id=1VRwjr7mhZGi2mP5gLzFfxx4eiBHsEl59" TargetMode="External"/><Relationship Id="rId1386" Type="http://schemas.openxmlformats.org/officeDocument/2006/relationships/hyperlink" Target="https://drive.google.com/open?id=1WzmlfwQD5_F67APyEpZjlpEi81-mgTPb" TargetMode="External"/><Relationship Id="rId310" Type="http://schemas.openxmlformats.org/officeDocument/2006/relationships/hyperlink" Target="https://drive.google.com/open?id=1H_ZIx3dj6t3cXMIKqKVv98wg_JODhDjw" TargetMode="External"/><Relationship Id="rId552" Type="http://schemas.openxmlformats.org/officeDocument/2006/relationships/hyperlink" Target="https://drive.google.com/open?id=1Ty3sHgkycx2xu8aL6BHuhUMOcnV5DUpR" TargetMode="External"/><Relationship Id="rId794" Type="http://schemas.openxmlformats.org/officeDocument/2006/relationships/hyperlink" Target="https://drive.google.com/open?id=1OOrzBi0Y4uNcnShJk_0mq0UanMwOt7-H" TargetMode="External"/><Relationship Id="rId1145" Type="http://schemas.openxmlformats.org/officeDocument/2006/relationships/hyperlink" Target="https://drive.google.com/open?id=1-yLedbQduj_5sbfV11q4KW05VoUrZYGZ" TargetMode="External"/><Relationship Id="rId1387" Type="http://schemas.openxmlformats.org/officeDocument/2006/relationships/hyperlink" Target="https://drive.google.com/open?id=15DITqmF9OhvKqCgczyGpa49fcizweio5" TargetMode="External"/><Relationship Id="rId551" Type="http://schemas.openxmlformats.org/officeDocument/2006/relationships/hyperlink" Target="https://drive.google.com/open?id=1hksgj4QocrWB3udVFByWJ0g8YLCIN2N3" TargetMode="External"/><Relationship Id="rId793" Type="http://schemas.openxmlformats.org/officeDocument/2006/relationships/hyperlink" Target="https://drive.google.com/open?id=1Oy3yb9VRVSLpUjuAHL1Xd-G4TzY9JrhL" TargetMode="External"/><Relationship Id="rId1146" Type="http://schemas.openxmlformats.org/officeDocument/2006/relationships/hyperlink" Target="https://drive.google.com/open?id=1JGmU0LYEH9f1VhxsaW9GpUrEhRf1-piW" TargetMode="External"/><Relationship Id="rId1388" Type="http://schemas.openxmlformats.org/officeDocument/2006/relationships/hyperlink" Target="https://drive.google.com/file/d/1EPNimrfPHkYHG8bxIK1MbkL26CPlEFPg/view?usp=drive_link" TargetMode="External"/><Relationship Id="rId297" Type="http://schemas.openxmlformats.org/officeDocument/2006/relationships/hyperlink" Target="https://drive.google.com/open?id=1ncX3T9xYeitNYvVxkw4WRrOKDJxEQcZ4" TargetMode="External"/><Relationship Id="rId296" Type="http://schemas.openxmlformats.org/officeDocument/2006/relationships/hyperlink" Target="https://drive.google.com/open?id=1BkxTZVgFSJKFnr2TOZ8X68TcM4LOxRel" TargetMode="External"/><Relationship Id="rId295" Type="http://schemas.openxmlformats.org/officeDocument/2006/relationships/hyperlink" Target="https://drive.google.com/open?id=1fW7EuQBIYF_w_qw0qphmZPZHI4WCw1N1" TargetMode="External"/><Relationship Id="rId294" Type="http://schemas.openxmlformats.org/officeDocument/2006/relationships/hyperlink" Target="https://drive.google.com/open?id=1RtJKbK9e6y79QrNJbvet9afOzNFEJNn7" TargetMode="External"/><Relationship Id="rId299" Type="http://schemas.openxmlformats.org/officeDocument/2006/relationships/hyperlink" Target="https://drive.google.com/open?id=1BWSVZFtLM9aKIXiuR0n3zpWDYIaY62io" TargetMode="External"/><Relationship Id="rId298" Type="http://schemas.openxmlformats.org/officeDocument/2006/relationships/hyperlink" Target="https://drive.google.com/open?id=1l_BuFHGYxN71e5EFM48KD89IW9lOrbey" TargetMode="External"/><Relationship Id="rId271" Type="http://schemas.openxmlformats.org/officeDocument/2006/relationships/hyperlink" Target="https://drive.google.com/open?id=13IvzXX7w8wtefWKRPD2SB6k7GqjLkgL-" TargetMode="External"/><Relationship Id="rId270" Type="http://schemas.openxmlformats.org/officeDocument/2006/relationships/hyperlink" Target="https://drive.google.com/open?id=1Kniam6Czmn2Cc9493GXJd4iAFRXf_z4n" TargetMode="External"/><Relationship Id="rId269" Type="http://schemas.openxmlformats.org/officeDocument/2006/relationships/hyperlink" Target="https://drive.google.com/open?id=1LTx_cGqSIytjhsk8TzggikZsQKpxFLxu" TargetMode="External"/><Relationship Id="rId264" Type="http://schemas.openxmlformats.org/officeDocument/2006/relationships/hyperlink" Target="https://drive.google.com/open?id=1CBJuyR2LwoDZmMz6Vx5nuAxyLMQSL2CG" TargetMode="External"/><Relationship Id="rId263" Type="http://schemas.openxmlformats.org/officeDocument/2006/relationships/hyperlink" Target="https://drive.google.com/open?id=1zNgHGQZIZmtEo_84SrGOw-b-46PWEcU3" TargetMode="External"/><Relationship Id="rId262" Type="http://schemas.openxmlformats.org/officeDocument/2006/relationships/hyperlink" Target="https://drive.google.com/file/d/1lwUmi7qlZtrpKXjJtQgE0-IKd8Wwldlj/view?usp=drive_link" TargetMode="External"/><Relationship Id="rId261" Type="http://schemas.openxmlformats.org/officeDocument/2006/relationships/hyperlink" Target="https://drive.google.com/open?id=1REuVfn6pQF3J0gXPzGotH4WZiKIsMmuo" TargetMode="External"/><Relationship Id="rId268" Type="http://schemas.openxmlformats.org/officeDocument/2006/relationships/hyperlink" Target="https://drive.google.com/open?id=1goIv0_ci-4qxIt7I7paXMf_Bjb7fePCV" TargetMode="External"/><Relationship Id="rId267" Type="http://schemas.openxmlformats.org/officeDocument/2006/relationships/hyperlink" Target="https://drive.google.com/open?id=1auIwHPYeeWqcq_6b2EtZom9fLuON1gYi" TargetMode="External"/><Relationship Id="rId266" Type="http://schemas.openxmlformats.org/officeDocument/2006/relationships/hyperlink" Target="https://drive.google.com/open?id=1Ee7FFGdUFodpiYZ1-W8JCqp_JfLKSmyb" TargetMode="External"/><Relationship Id="rId265" Type="http://schemas.openxmlformats.org/officeDocument/2006/relationships/hyperlink" Target="https://drive.google.com/open?id=1WjAQVPgXlATxKte7gb59tvuyd8xHsF1b" TargetMode="External"/><Relationship Id="rId260" Type="http://schemas.openxmlformats.org/officeDocument/2006/relationships/hyperlink" Target="https://drive.google.com/open?id=1CnlHycGEG2HytSXlJRocHxJAw3C9rBCE" TargetMode="External"/><Relationship Id="rId259" Type="http://schemas.openxmlformats.org/officeDocument/2006/relationships/hyperlink" Target="https://drive.google.com/open?id=1EPTt34A9tYDeMoO3f6Y7clDz1_Jwo1qb" TargetMode="External"/><Relationship Id="rId258" Type="http://schemas.openxmlformats.org/officeDocument/2006/relationships/hyperlink" Target="https://drive.google.com/open?id=1MFEmHCoGFvB8Cxo5uVgu2ikiAFc8K-3E" TargetMode="External"/><Relationship Id="rId253" Type="http://schemas.openxmlformats.org/officeDocument/2006/relationships/hyperlink" Target="https://drive.google.com/open?id=1MGnPk7qVfKgJ08qx4AJkVkXGIB_18sDT" TargetMode="External"/><Relationship Id="rId495" Type="http://schemas.openxmlformats.org/officeDocument/2006/relationships/hyperlink" Target="https://drive.google.com/open?id=1z-p87qnOEcmu4icPDvuCbqHJEEVjkbWX" TargetMode="External"/><Relationship Id="rId252" Type="http://schemas.openxmlformats.org/officeDocument/2006/relationships/hyperlink" Target="https://drive.google.com/open?id=1-uhUtPy87fg2mC9SS79LRk9Kxj9Z2pKn" TargetMode="External"/><Relationship Id="rId494" Type="http://schemas.openxmlformats.org/officeDocument/2006/relationships/hyperlink" Target="https://drive.google.com/open?id=1c_WuCNAIfgufoYGzPFYKraNfBZrKAViD" TargetMode="External"/><Relationship Id="rId251" Type="http://schemas.openxmlformats.org/officeDocument/2006/relationships/hyperlink" Target="https://drive.google.com/open?id=1_RDda9LwN5GN_fFSzELQZTCoumsbnjVj" TargetMode="External"/><Relationship Id="rId493" Type="http://schemas.openxmlformats.org/officeDocument/2006/relationships/hyperlink" Target="https://drive.google.com/open?id=1HQJHm8YiVb_kiuSdvrKexHSGOMMVj27K" TargetMode="External"/><Relationship Id="rId250" Type="http://schemas.openxmlformats.org/officeDocument/2006/relationships/hyperlink" Target="https://drive.google.com/open?id=1oJ0wpo3wSh176CUU_vawTn_oKT0RUxn5" TargetMode="External"/><Relationship Id="rId492" Type="http://schemas.openxmlformats.org/officeDocument/2006/relationships/hyperlink" Target="https://drive.google.com/open?id=1GpvAoCPvg9Z_npesaqGCA-9dn3kkDssu" TargetMode="External"/><Relationship Id="rId257" Type="http://schemas.openxmlformats.org/officeDocument/2006/relationships/hyperlink" Target="https://drive.google.com/open?id=14GK8EE2rNleneizPS2IZoy_-0-AqgIYP" TargetMode="External"/><Relationship Id="rId499" Type="http://schemas.openxmlformats.org/officeDocument/2006/relationships/hyperlink" Target="https://drive.google.com/open?id=1I1iPGcbRX3NCl-CC61OkJk57GVDCXuDu" TargetMode="External"/><Relationship Id="rId256" Type="http://schemas.openxmlformats.org/officeDocument/2006/relationships/hyperlink" Target="https://drive.google.com/file/d/1qSSeeEb2Ky9SkFsdMBK4kCEZH7OQhlx4/view?usp=drive_link" TargetMode="External"/><Relationship Id="rId498" Type="http://schemas.openxmlformats.org/officeDocument/2006/relationships/hyperlink" Target="https://drive.google.com/open?id=1Sy86Xo9n3t_BsmM3QL_Ldxe8BX6yApw7" TargetMode="External"/><Relationship Id="rId255" Type="http://schemas.openxmlformats.org/officeDocument/2006/relationships/hyperlink" Target="https://drive.google.com/file/d/1KPX4jd5JH58Y6C6Sq6Ial_PPJSCvHxwy/view?usp=drive_link" TargetMode="External"/><Relationship Id="rId497" Type="http://schemas.openxmlformats.org/officeDocument/2006/relationships/hyperlink" Target="https://drive.google.com/open?id=18V_uQoQbhgtJ9-sK2wZZcswokMK5WktS" TargetMode="External"/><Relationship Id="rId254" Type="http://schemas.openxmlformats.org/officeDocument/2006/relationships/hyperlink" Target="https://drive.google.com/file/d/1sU_uFjDftjCa6-HSG71OAUhWQqR7j47w/view?usp=drive_link" TargetMode="External"/><Relationship Id="rId496" Type="http://schemas.openxmlformats.org/officeDocument/2006/relationships/hyperlink" Target="https://drive.google.com/open?id=1GZugQPlPYb7Fljz1m8mP83xr8JDrGaDl" TargetMode="External"/><Relationship Id="rId293" Type="http://schemas.openxmlformats.org/officeDocument/2006/relationships/hyperlink" Target="https://drive.google.com/open?id=14XRkcbypigP8gEuE1QQzaSFoCdg_LzxJ" TargetMode="External"/><Relationship Id="rId292" Type="http://schemas.openxmlformats.org/officeDocument/2006/relationships/hyperlink" Target="https://drive.google.com/open?id=1T4FW05JhPGvDtatlUq-1lmBj2bCosqqW" TargetMode="External"/><Relationship Id="rId291" Type="http://schemas.openxmlformats.org/officeDocument/2006/relationships/hyperlink" Target="https://drive.google.com/open?id=1a4ox4sDxspprphXzSgyXEBric3ic4frP" TargetMode="External"/><Relationship Id="rId290" Type="http://schemas.openxmlformats.org/officeDocument/2006/relationships/hyperlink" Target="https://drive.google.com/open?id=1qL5pNc0cGybPR3eQUic6MzwuRa3-KZ3j" TargetMode="External"/><Relationship Id="rId286" Type="http://schemas.openxmlformats.org/officeDocument/2006/relationships/hyperlink" Target="https://drive.google.com/open?id=1HWK2N4ppCDwY1Kc258Lr8Dg8SdFbol6b" TargetMode="External"/><Relationship Id="rId285" Type="http://schemas.openxmlformats.org/officeDocument/2006/relationships/hyperlink" Target="https://drive.google.com/open?id=1sA0rzef59Gh1VSSQg0mKdH6vFXEg5Ixs" TargetMode="External"/><Relationship Id="rId284" Type="http://schemas.openxmlformats.org/officeDocument/2006/relationships/hyperlink" Target="https://drive.google.com/open?id=1uK5cfAmapH9y3qz_xwxMHPuJzk0B7owb" TargetMode="External"/><Relationship Id="rId283" Type="http://schemas.openxmlformats.org/officeDocument/2006/relationships/hyperlink" Target="https://drive.google.com/open?id=1t28c_QM80AEFd4lDriCXH7vdGLm7V1BF" TargetMode="External"/><Relationship Id="rId289" Type="http://schemas.openxmlformats.org/officeDocument/2006/relationships/hyperlink" Target="https://drive.google.com/open?id=1x_Z2tLnluG4DjOHBD5VaYFUVejq9AUas" TargetMode="External"/><Relationship Id="rId288" Type="http://schemas.openxmlformats.org/officeDocument/2006/relationships/hyperlink" Target="https://drive.google.com/open?id=1yBoHJKJAs-dN8lP-ZYYrlowalQvAD8Y_" TargetMode="External"/><Relationship Id="rId287" Type="http://schemas.openxmlformats.org/officeDocument/2006/relationships/hyperlink" Target="https://drive.google.com/open?id=1mJbDNYlkHSJWfb_1vLE6XDAqeVHe6j3e" TargetMode="External"/><Relationship Id="rId282" Type="http://schemas.openxmlformats.org/officeDocument/2006/relationships/hyperlink" Target="https://drive.google.com/open?id=10ekFBlqlvCwt-hJG1XhzTtrZ9QtL3NsA" TargetMode="External"/><Relationship Id="rId281" Type="http://schemas.openxmlformats.org/officeDocument/2006/relationships/hyperlink" Target="https://drive.google.com/open?id=1hwExPMXfydUM6QbRn4LkWtXUX25WHulQ" TargetMode="External"/><Relationship Id="rId280" Type="http://schemas.openxmlformats.org/officeDocument/2006/relationships/hyperlink" Target="https://drive.google.com/open?id=1-2QpoEeJL5e_V0oLaThQKGFWREeeY5B3" TargetMode="External"/><Relationship Id="rId275" Type="http://schemas.openxmlformats.org/officeDocument/2006/relationships/hyperlink" Target="https://drive.google.com/open?id=1OJU-0hIZcS7BvsT0Hs4Z85U2OAszd5aR" TargetMode="External"/><Relationship Id="rId274" Type="http://schemas.openxmlformats.org/officeDocument/2006/relationships/hyperlink" Target="https://drive.google.com/open?id=1VB313Z5VQA2xmuaRrz66n0XqtZNjlUdX" TargetMode="External"/><Relationship Id="rId273" Type="http://schemas.openxmlformats.org/officeDocument/2006/relationships/hyperlink" Target="https://drive.google.com/open?id=1pXgXrGaG0bTvVmClhccpP7w3OiEynF0m" TargetMode="External"/><Relationship Id="rId272" Type="http://schemas.openxmlformats.org/officeDocument/2006/relationships/hyperlink" Target="https://drive.google.com/open?id=1Ecqqge_Th-hOWYxVCnSObMeyNKlvkI1K" TargetMode="External"/><Relationship Id="rId279" Type="http://schemas.openxmlformats.org/officeDocument/2006/relationships/hyperlink" Target="https://drive.google.com/open?id=1lvKLw2_cOGoRc39eLYc2buzqm7rdQtD0" TargetMode="External"/><Relationship Id="rId278" Type="http://schemas.openxmlformats.org/officeDocument/2006/relationships/hyperlink" Target="https://drive.google.com/open?id=1xiu1_Q8NtK6FoCiUixH9dekcUkseyfba" TargetMode="External"/><Relationship Id="rId277" Type="http://schemas.openxmlformats.org/officeDocument/2006/relationships/hyperlink" Target="https://drive.google.com/open?id=1WY3tsNfCSkvGRzQckXAOK8QuzfeTi_S_" TargetMode="External"/><Relationship Id="rId276" Type="http://schemas.openxmlformats.org/officeDocument/2006/relationships/hyperlink" Target="https://drive.google.com/open?id=1pbvV0wfvf_PcOhC28q0zN6KKOWQP1HQm" TargetMode="External"/><Relationship Id="rId907" Type="http://schemas.openxmlformats.org/officeDocument/2006/relationships/hyperlink" Target="https://drive.google.com/open?id=1xn21n_USWYvNm05VFPmtSmrW65YHwyTg" TargetMode="External"/><Relationship Id="rId906" Type="http://schemas.openxmlformats.org/officeDocument/2006/relationships/hyperlink" Target="https://drive.google.com/open?id=1OUpD6FW69BdPl73yjWdKxLSi9PlFYvYW" TargetMode="External"/><Relationship Id="rId905" Type="http://schemas.openxmlformats.org/officeDocument/2006/relationships/hyperlink" Target="https://drive.google.com/open?id=1xe1P6g9hp9ZI1EpW-gUuoUOogcJ7hVDw" TargetMode="External"/><Relationship Id="rId904" Type="http://schemas.openxmlformats.org/officeDocument/2006/relationships/hyperlink" Target="https://drive.google.com/open?id=1eu85pmOE3QFidy4a9PnlYtUT6ENf01n_" TargetMode="External"/><Relationship Id="rId909" Type="http://schemas.openxmlformats.org/officeDocument/2006/relationships/hyperlink" Target="https://drive.google.com/open?id=1rScZvxQqyMWXgap7zgWgPBxS1HdLMH3s" TargetMode="External"/><Relationship Id="rId908" Type="http://schemas.openxmlformats.org/officeDocument/2006/relationships/hyperlink" Target="https://drive.google.com/open?id=1JJVWcWUOs0SS5ofGgSdWKQgDRcquQIQa" TargetMode="External"/><Relationship Id="rId903" Type="http://schemas.openxmlformats.org/officeDocument/2006/relationships/hyperlink" Target="https://drive.google.com/open?id=1hww_2rusWtMth5klMJ-Cw7PBLb8FiQNm" TargetMode="External"/><Relationship Id="rId902" Type="http://schemas.openxmlformats.org/officeDocument/2006/relationships/hyperlink" Target="https://drive.google.com/open?id=1U4ieeYJ52OsdppXiGXvc6plYBcKWIpb8" TargetMode="External"/><Relationship Id="rId901" Type="http://schemas.openxmlformats.org/officeDocument/2006/relationships/hyperlink" Target="https://drive.google.com/open?id=1djkDcKLs_JZpfL9r1S56fg5zDIq4I29A" TargetMode="External"/><Relationship Id="rId900" Type="http://schemas.openxmlformats.org/officeDocument/2006/relationships/hyperlink" Target="https://drive.google.com/open?id=1aGAseoBlwfoaZxJ35Py_s_uYcUo-5I25" TargetMode="External"/><Relationship Id="rId929" Type="http://schemas.openxmlformats.org/officeDocument/2006/relationships/hyperlink" Target="https://drive.google.com/open?id=1SOClmmVUTChaUjGjGBWiE1rxI0J4Q-nq" TargetMode="External"/><Relationship Id="rId928" Type="http://schemas.openxmlformats.org/officeDocument/2006/relationships/hyperlink" Target="https://drive.google.com/open?id=1XAYBv4JERF96P_u_f_GGQLspUquiQbGH" TargetMode="External"/><Relationship Id="rId927" Type="http://schemas.openxmlformats.org/officeDocument/2006/relationships/hyperlink" Target="https://drive.google.com/open?id=19E8Rwa1Fq6zeIyynzqy_1TrRO3XszJPK" TargetMode="External"/><Relationship Id="rId926" Type="http://schemas.openxmlformats.org/officeDocument/2006/relationships/hyperlink" Target="https://drive.google.com/open?id=1Cl3Lr7NF437aKZwnbBY3nm_SZo7DuI-D" TargetMode="External"/><Relationship Id="rId921" Type="http://schemas.openxmlformats.org/officeDocument/2006/relationships/hyperlink" Target="https://drive.google.com/open?id=1PJgs2WNfiQZ7wg7A4zHe-hZQV-rjwlkG" TargetMode="External"/><Relationship Id="rId920" Type="http://schemas.openxmlformats.org/officeDocument/2006/relationships/hyperlink" Target="https://drive.google.com/open?id=17xjNrgr5_weDwDqlL35zSjrYxMr4wSWm" TargetMode="External"/><Relationship Id="rId925" Type="http://schemas.openxmlformats.org/officeDocument/2006/relationships/hyperlink" Target="https://drive.google.com/open?id=1x63k8BsORceM5st9cFoBfV8kJEZ4zEC4" TargetMode="External"/><Relationship Id="rId924" Type="http://schemas.openxmlformats.org/officeDocument/2006/relationships/hyperlink" Target="https://drive.google.com/open?id=18wpmJAeNm3HzV7UAwI9YDBoemIRNeGxE" TargetMode="External"/><Relationship Id="rId923" Type="http://schemas.openxmlformats.org/officeDocument/2006/relationships/hyperlink" Target="https://drive.google.com/open?id=110EylDLNxy54ZhEjYcPc1_mSP006N4Zb" TargetMode="External"/><Relationship Id="rId922" Type="http://schemas.openxmlformats.org/officeDocument/2006/relationships/hyperlink" Target="https://drive.google.com/open?id=14t2__17LvhUtRT6q6oHpoLY0VOujM6H-" TargetMode="External"/><Relationship Id="rId918" Type="http://schemas.openxmlformats.org/officeDocument/2006/relationships/hyperlink" Target="https://drive.google.com/open?id=1sW-mfy3OSN_nRMXE1y8Qy11vlp6Ew_aR" TargetMode="External"/><Relationship Id="rId917" Type="http://schemas.openxmlformats.org/officeDocument/2006/relationships/hyperlink" Target="https://drive.google.com/open?id=1gIi8KHFJJSr19DJ_PbZAs7KymHIMi0iV" TargetMode="External"/><Relationship Id="rId916" Type="http://schemas.openxmlformats.org/officeDocument/2006/relationships/hyperlink" Target="https://drive.google.com/open?id=1SuOs5-p_r02aGjll-6Jm--mOWUlkJNC9" TargetMode="External"/><Relationship Id="rId915" Type="http://schemas.openxmlformats.org/officeDocument/2006/relationships/hyperlink" Target="https://drive.google.com/open?id=1Gara7GrxDGfHLwiH2-Hx7RlEcrCy-eyh" TargetMode="External"/><Relationship Id="rId919" Type="http://schemas.openxmlformats.org/officeDocument/2006/relationships/hyperlink" Target="https://drive.google.com/open?id=1vIJ-e0XKs5-aJcM69N3ghozViTpxGnke" TargetMode="External"/><Relationship Id="rId910" Type="http://schemas.openxmlformats.org/officeDocument/2006/relationships/hyperlink" Target="https://drive.google.com/open?id=1QDPUBaIEi08CzHiwv_2iUL1ZAQIikutC" TargetMode="External"/><Relationship Id="rId914" Type="http://schemas.openxmlformats.org/officeDocument/2006/relationships/hyperlink" Target="https://drive.google.com/open?id=13DyFfIJLXQ_AKipDIoL7e0daKIHWW2wD" TargetMode="External"/><Relationship Id="rId913" Type="http://schemas.openxmlformats.org/officeDocument/2006/relationships/hyperlink" Target="https://drive.google.com/open?id=1dJgwn8IXHvGoRkJC590RpoE1Jl_EcUSN" TargetMode="External"/><Relationship Id="rId912" Type="http://schemas.openxmlformats.org/officeDocument/2006/relationships/hyperlink" Target="https://drive.google.com/open?id=1gGgP_Nv7DcBFetFZfSLOBa5udr6Wizcu" TargetMode="External"/><Relationship Id="rId911" Type="http://schemas.openxmlformats.org/officeDocument/2006/relationships/hyperlink" Target="https://drive.google.com/open?id=1Qnx5lFzfcIz9-sqoDM6sdOUfbC5igEt8" TargetMode="External"/><Relationship Id="rId1213" Type="http://schemas.openxmlformats.org/officeDocument/2006/relationships/hyperlink" Target="https://drive.google.com/open?id=18jUjv7tN6s4q-nPf-T1A7zb-Nj1Eh_7J" TargetMode="External"/><Relationship Id="rId1214" Type="http://schemas.openxmlformats.org/officeDocument/2006/relationships/hyperlink" Target="https://drive.google.com/file/d/1jbV-U_JloAEs1D9Mijyo8UVFzoZYSVdm/view?usp=drive_link" TargetMode="External"/><Relationship Id="rId1215" Type="http://schemas.openxmlformats.org/officeDocument/2006/relationships/hyperlink" Target="https://drive.google.com/file/d/1ri0O2OMVQbUz965sm2mrk0cNNNAoEMFF/view?usp=drive_link" TargetMode="External"/><Relationship Id="rId1216" Type="http://schemas.openxmlformats.org/officeDocument/2006/relationships/hyperlink" Target="https://drive.google.com/file/d/1qz4KYU-5zhQWWnRjXDZLHOw33w4Ff3EY/view?usp=drive_link" TargetMode="External"/><Relationship Id="rId1217" Type="http://schemas.openxmlformats.org/officeDocument/2006/relationships/hyperlink" Target="https://drive.google.com/file/d/1qceikWHiVkh7nPlraytyLGH1mGcU-941/view?usp=drive_link" TargetMode="External"/><Relationship Id="rId1218" Type="http://schemas.openxmlformats.org/officeDocument/2006/relationships/hyperlink" Target="https://drive.google.com/open?id=1FynWDazRSqFfzejdlSyePThfKeXVmkNI" TargetMode="External"/><Relationship Id="rId1219" Type="http://schemas.openxmlformats.org/officeDocument/2006/relationships/hyperlink" Target="https://drive.google.com/open?id=1GTaYN_65bVCDWhUJDME9Wn8tgzBSjyJq" TargetMode="External"/><Relationship Id="rId629" Type="http://schemas.openxmlformats.org/officeDocument/2006/relationships/hyperlink" Target="https://drive.google.com/open?id=1DgMZOT4N2NVhegCHDzajarK1l2G_xD-m" TargetMode="External"/><Relationship Id="rId624" Type="http://schemas.openxmlformats.org/officeDocument/2006/relationships/hyperlink" Target="https://drive.google.com/open?id=1tj1jvS5rUqzm2hn6YKFIUcmb7uxrSoIY" TargetMode="External"/><Relationship Id="rId866" Type="http://schemas.openxmlformats.org/officeDocument/2006/relationships/hyperlink" Target="https://drive.google.com/open?id=1VxeAdn7KQQVZf32LCsXnHi9K5t6e-m8p" TargetMode="External"/><Relationship Id="rId623" Type="http://schemas.openxmlformats.org/officeDocument/2006/relationships/hyperlink" Target="https://drive.google.com/open?id=1qv_81oe9RRwO7lbEs6MW27W-z-_uEyvp" TargetMode="External"/><Relationship Id="rId865" Type="http://schemas.openxmlformats.org/officeDocument/2006/relationships/hyperlink" Target="https://drive.google.com/open?id=1ilv9SOzIpY6fWIMGXbjFanaAkMTHIAqD" TargetMode="External"/><Relationship Id="rId622" Type="http://schemas.openxmlformats.org/officeDocument/2006/relationships/hyperlink" Target="https://drive.google.com/open?id=16IMlOm6xS4rbWeuI7gI-CAbkhIND6wac" TargetMode="External"/><Relationship Id="rId864" Type="http://schemas.openxmlformats.org/officeDocument/2006/relationships/hyperlink" Target="https://drive.google.com/open?id=1xqAGtVUYDDrzo_Wad-vuuqr7KCks_T7W" TargetMode="External"/><Relationship Id="rId621" Type="http://schemas.openxmlformats.org/officeDocument/2006/relationships/hyperlink" Target="https://drive.google.com/open?id=1Pa8jxSiNSNHvV8796frRZPauP5q6VoXH" TargetMode="External"/><Relationship Id="rId863" Type="http://schemas.openxmlformats.org/officeDocument/2006/relationships/hyperlink" Target="https://drive.google.com/open?id=1cPJswgGP0xJ3tQ_D7xdoSijsuph3oqSg" TargetMode="External"/><Relationship Id="rId628" Type="http://schemas.openxmlformats.org/officeDocument/2006/relationships/hyperlink" Target="https://drive.google.com/open?id=1L9oSBZYReKTHypvdySBgItyXzsCXL2bp" TargetMode="External"/><Relationship Id="rId627" Type="http://schemas.openxmlformats.org/officeDocument/2006/relationships/hyperlink" Target="https://drive.google.com/open?id=1Vbmkdl_7Ei46isaOU8KeRUmtucMEKNlF" TargetMode="External"/><Relationship Id="rId869" Type="http://schemas.openxmlformats.org/officeDocument/2006/relationships/hyperlink" Target="https://drive.google.com/open?id=1_OUZwguggL27O-3UcdRefr91IxOzhT-q" TargetMode="External"/><Relationship Id="rId626" Type="http://schemas.openxmlformats.org/officeDocument/2006/relationships/hyperlink" Target="https://drive.google.com/open?id=1b4ROcWLTkFo9wz14FvoPPxYUhwwwBVdK" TargetMode="External"/><Relationship Id="rId868" Type="http://schemas.openxmlformats.org/officeDocument/2006/relationships/hyperlink" Target="https://drive.google.com/open?id=1m8ECLy3gFGQSWaa2HPZD3ICs21UONSyP" TargetMode="External"/><Relationship Id="rId625" Type="http://schemas.openxmlformats.org/officeDocument/2006/relationships/hyperlink" Target="https://drive.google.com/open?id=1xfdkc9W5mPh_cuFHmELt-cavO_scjTmj" TargetMode="External"/><Relationship Id="rId867" Type="http://schemas.openxmlformats.org/officeDocument/2006/relationships/hyperlink" Target="https://drive.google.com/open?id=1Iv1tZugaeQC2s01kxFgHEBJhsOoKDqF9" TargetMode="External"/><Relationship Id="rId620" Type="http://schemas.openxmlformats.org/officeDocument/2006/relationships/hyperlink" Target="https://drive.google.com/open?id=19GGz7sMm_iND9DwRH3bx4x8lDwZH6CBs" TargetMode="External"/><Relationship Id="rId862" Type="http://schemas.openxmlformats.org/officeDocument/2006/relationships/hyperlink" Target="https://drive.google.com/open?id=1zspD3LBlEDOgBpi-sDBkDuVpEGcMg8NK" TargetMode="External"/><Relationship Id="rId861" Type="http://schemas.openxmlformats.org/officeDocument/2006/relationships/hyperlink" Target="https://drive.google.com/open?id=1PvxPxfR7624UgfRqgfXm18ZEXvKspDmg" TargetMode="External"/><Relationship Id="rId1210" Type="http://schemas.openxmlformats.org/officeDocument/2006/relationships/hyperlink" Target="https://drive.google.com/open?id=17UlGlaDRjD5Me87x1fS949b3yFFnMUBi" TargetMode="External"/><Relationship Id="rId860" Type="http://schemas.openxmlformats.org/officeDocument/2006/relationships/hyperlink" Target="https://drive.google.com/open?id=1XWMWFUQrgIgzJV8sOCBNMlfiSwFYmX-2" TargetMode="External"/><Relationship Id="rId1211" Type="http://schemas.openxmlformats.org/officeDocument/2006/relationships/hyperlink" Target="https://drive.google.com/open?id=1-Tfi7-f5g7kYveGGKf3rQaBZydpAkntL" TargetMode="External"/><Relationship Id="rId1212" Type="http://schemas.openxmlformats.org/officeDocument/2006/relationships/hyperlink" Target="https://drive.google.com/open?id=19E5NRKzcmtunhLyaNFzM7k8Jd9Az9Xe7" TargetMode="External"/><Relationship Id="rId1202" Type="http://schemas.openxmlformats.org/officeDocument/2006/relationships/hyperlink" Target="https://drive.google.com/open?id=1TArINuI0SMFqtvswnIvWDQWe52Uw0tbb" TargetMode="External"/><Relationship Id="rId1203" Type="http://schemas.openxmlformats.org/officeDocument/2006/relationships/hyperlink" Target="https://drive.google.com/file/d/1YX6G6v0tZyu_3ZNJbtaGxTQyWluW5XNX/view" TargetMode="External"/><Relationship Id="rId1204" Type="http://schemas.openxmlformats.org/officeDocument/2006/relationships/hyperlink" Target="https://drive.google.com/open?id=1Yj6CwlwA4e5gEUtAntbaX7KDgbpcKvxD" TargetMode="External"/><Relationship Id="rId1205" Type="http://schemas.openxmlformats.org/officeDocument/2006/relationships/hyperlink" Target="https://drive.google.com/open?id=1IOSb4pbqhDAFlRtpZwsaCW2UJ63pXdxD" TargetMode="External"/><Relationship Id="rId1206" Type="http://schemas.openxmlformats.org/officeDocument/2006/relationships/hyperlink" Target="https://drive.google.com/open?id=16dn2o3l0Gv1jMXhCjtY3Yw9z6YvNVTAG" TargetMode="External"/><Relationship Id="rId1207" Type="http://schemas.openxmlformats.org/officeDocument/2006/relationships/hyperlink" Target="https://drive.google.com/open?id=1GPqrFrCPdA36_VK1o3m1mXL9wdsWRfos" TargetMode="External"/><Relationship Id="rId1208" Type="http://schemas.openxmlformats.org/officeDocument/2006/relationships/hyperlink" Target="https://drive.google.com/open?id=1rS_h8jGS9QvkZpiVwS-OZZTtygDCVeFW" TargetMode="External"/><Relationship Id="rId1209" Type="http://schemas.openxmlformats.org/officeDocument/2006/relationships/hyperlink" Target="https://drive.google.com/file/d/1UuQaYpuN4ExUPwDqHrrA4qYIUQNBPTmy/view?usp=drive_link" TargetMode="External"/><Relationship Id="rId619" Type="http://schemas.openxmlformats.org/officeDocument/2006/relationships/hyperlink" Target="https://drive.google.com/open?id=1j9Rl721qbSgoHWvED1jDlbfVj1ILZ0LL" TargetMode="External"/><Relationship Id="rId618" Type="http://schemas.openxmlformats.org/officeDocument/2006/relationships/hyperlink" Target="https://drive.google.com/open?id=1v7EFQCalHHMLbPP7HMigf0bY_MH7efe1" TargetMode="External"/><Relationship Id="rId613" Type="http://schemas.openxmlformats.org/officeDocument/2006/relationships/hyperlink" Target="https://drive.google.com/open?id=1nH97eiujGBeeHMa6teXdAd6BdtSGuylv" TargetMode="External"/><Relationship Id="rId855" Type="http://schemas.openxmlformats.org/officeDocument/2006/relationships/hyperlink" Target="https://drive.google.com/open?id=13snFvHslYgfzlmsTwIwVMXtTh3T3Wixg" TargetMode="External"/><Relationship Id="rId612" Type="http://schemas.openxmlformats.org/officeDocument/2006/relationships/hyperlink" Target="https://drive.google.com/open?id=1k2Zy4yyVDpbv_GzwByc3H6sKNBLvzOX-" TargetMode="External"/><Relationship Id="rId854" Type="http://schemas.openxmlformats.org/officeDocument/2006/relationships/hyperlink" Target="https://drive.google.com/open?id=13pa9CDu1n8EUXsx-OqJsgAGs1-vXO7e8" TargetMode="External"/><Relationship Id="rId611" Type="http://schemas.openxmlformats.org/officeDocument/2006/relationships/hyperlink" Target="https://drive.google.com/open?id=11Ug7wCrug_-5fLyi72rh5j4xRtCQZz7S" TargetMode="External"/><Relationship Id="rId853" Type="http://schemas.openxmlformats.org/officeDocument/2006/relationships/hyperlink" Target="https://drive.google.com/open?id=1ESE0Cvy9B4Zo-BlZRjr-tgkk2xgpTGgn" TargetMode="External"/><Relationship Id="rId610" Type="http://schemas.openxmlformats.org/officeDocument/2006/relationships/hyperlink" Target="https://drive.google.com/open?id=1HPg-fxdADyJzVSk6bbPjDRLfJ1_YSoy1" TargetMode="External"/><Relationship Id="rId852" Type="http://schemas.openxmlformats.org/officeDocument/2006/relationships/hyperlink" Target="https://drive.google.com/open?id=1no9yGyoe4wCfEfTSVgelSq_w_7-PlE8T" TargetMode="External"/><Relationship Id="rId617" Type="http://schemas.openxmlformats.org/officeDocument/2006/relationships/hyperlink" Target="https://drive.google.com/open?id=1PiP70_blk6Y2azs1Asfim0EOrri1X4FV" TargetMode="External"/><Relationship Id="rId859" Type="http://schemas.openxmlformats.org/officeDocument/2006/relationships/hyperlink" Target="https://drive.google.com/open?id=1dquFgJnUPsAzLCo5dgR5RRJR3mG4npos" TargetMode="External"/><Relationship Id="rId616" Type="http://schemas.openxmlformats.org/officeDocument/2006/relationships/hyperlink" Target="https://drive.google.com/open?id=1g7_grmFRdbxr6QenbCNNxj-nCgU8Du_z" TargetMode="External"/><Relationship Id="rId858" Type="http://schemas.openxmlformats.org/officeDocument/2006/relationships/hyperlink" Target="https://drive.google.com/open?id=1ffJX9rUlCSNtwX3DQL7F7OvkRiixYtxc" TargetMode="External"/><Relationship Id="rId615" Type="http://schemas.openxmlformats.org/officeDocument/2006/relationships/hyperlink" Target="https://drive.google.com/open?id=1u3CMxlGOsXBKu1SCOi6cEEpsCu11EtcV" TargetMode="External"/><Relationship Id="rId857" Type="http://schemas.openxmlformats.org/officeDocument/2006/relationships/hyperlink" Target="https://drive.google.com/open?id=1sn8p9pv3JpeCkea3DJArg2uEM9A_WclQ" TargetMode="External"/><Relationship Id="rId614" Type="http://schemas.openxmlformats.org/officeDocument/2006/relationships/hyperlink" Target="https://drive.google.com/open?id=1EICeOpsjazUXHMkUJRN00HKxctV7sS7I" TargetMode="External"/><Relationship Id="rId856" Type="http://schemas.openxmlformats.org/officeDocument/2006/relationships/hyperlink" Target="https://drive.google.com/open?id=1MMBMG-YW_9d-rLv9ZIGjql69bdKA3FMU" TargetMode="External"/><Relationship Id="rId851" Type="http://schemas.openxmlformats.org/officeDocument/2006/relationships/hyperlink" Target="https://drive.google.com/open?id=1uUAu7vXdzuxneWAVRBBP_fAA3bSn1Gen" TargetMode="External"/><Relationship Id="rId850" Type="http://schemas.openxmlformats.org/officeDocument/2006/relationships/hyperlink" Target="https://drive.google.com/open?id=1zgODESIvP1jNLDbtk-AkveyC4VXzBUbD" TargetMode="External"/><Relationship Id="rId1200" Type="http://schemas.openxmlformats.org/officeDocument/2006/relationships/hyperlink" Target="https://drive.google.com/open?id=1a31tJwKxsBS14gqd82Obqwz8TS6WqhkA" TargetMode="External"/><Relationship Id="rId1201" Type="http://schemas.openxmlformats.org/officeDocument/2006/relationships/hyperlink" Target="https://drive.google.com/open?id=1T6gbWMk8FrG4sawH2b0io118FLKhAKPp" TargetMode="External"/><Relationship Id="rId1235" Type="http://schemas.openxmlformats.org/officeDocument/2006/relationships/hyperlink" Target="https://drive.google.com/file/d/1TGstwvHQM1UaFxwp--tEbCiyzteYNGhI/view?usp=drive_link" TargetMode="External"/><Relationship Id="rId1236" Type="http://schemas.openxmlformats.org/officeDocument/2006/relationships/hyperlink" Target="https://drive.google.com/open?id=1dVhiLRbE8kj7gG6ZrtxtZPrFJQW7z7CK" TargetMode="External"/><Relationship Id="rId1237" Type="http://schemas.openxmlformats.org/officeDocument/2006/relationships/hyperlink" Target="https://drive.google.com/open?id=1m9trDQ2cln7oGVlvz1IfKqixlikoZkL3" TargetMode="External"/><Relationship Id="rId1238" Type="http://schemas.openxmlformats.org/officeDocument/2006/relationships/hyperlink" Target="https://drive.google.com/open?id=1spRqtGz4oKwDnKrN3anLsU8Q7ejRMEY2" TargetMode="External"/><Relationship Id="rId1239" Type="http://schemas.openxmlformats.org/officeDocument/2006/relationships/hyperlink" Target="https://drive.google.com/open?id=18gNKlcgsiUvUnxx2fioN3HBbs5hElBSt" TargetMode="External"/><Relationship Id="rId409" Type="http://schemas.openxmlformats.org/officeDocument/2006/relationships/hyperlink" Target="https://drive.google.com/open?id=1zAvAYL6pLoupOh0_0plO07VL7jEIDRfw" TargetMode="External"/><Relationship Id="rId404" Type="http://schemas.openxmlformats.org/officeDocument/2006/relationships/hyperlink" Target="https://drive.google.com/open?id=1IjiM5uPqvZOJrJP_7H8uc-35WiJVyPka" TargetMode="External"/><Relationship Id="rId646" Type="http://schemas.openxmlformats.org/officeDocument/2006/relationships/hyperlink" Target="https://drive.google.com/open?id=14id7wpXsgIi9xZojwOEGmKP9QSsDhH7m" TargetMode="External"/><Relationship Id="rId888" Type="http://schemas.openxmlformats.org/officeDocument/2006/relationships/hyperlink" Target="https://drive.google.com/open?id=18ueNhAYV5QQXWjweC8i48vF5_eixUSzk" TargetMode="External"/><Relationship Id="rId403" Type="http://schemas.openxmlformats.org/officeDocument/2006/relationships/hyperlink" Target="https://drive.google.com/open?id=1qCAevKKd17kKKT8mpeDbYjt9CFHF3pYh" TargetMode="External"/><Relationship Id="rId645" Type="http://schemas.openxmlformats.org/officeDocument/2006/relationships/hyperlink" Target="https://drive.google.com/open?id=1Z8KQxH3IRkAxLd5omGkbS0o4w-B71N8i" TargetMode="External"/><Relationship Id="rId887" Type="http://schemas.openxmlformats.org/officeDocument/2006/relationships/hyperlink" Target="https://drive.google.com/open?id=1Rk28zDK_QlFuPINcpBgzn9SSZ2lvZw2K" TargetMode="External"/><Relationship Id="rId402" Type="http://schemas.openxmlformats.org/officeDocument/2006/relationships/hyperlink" Target="https://drive.google.com/open?id=1P063TMlPFMvsBsQPB7rBBz3M4YD55DPU" TargetMode="External"/><Relationship Id="rId644" Type="http://schemas.openxmlformats.org/officeDocument/2006/relationships/hyperlink" Target="https://drive.google.com/open?id=1NfqjaDGIZkL1YzDd96_XDunx3ta2K73C" TargetMode="External"/><Relationship Id="rId886" Type="http://schemas.openxmlformats.org/officeDocument/2006/relationships/hyperlink" Target="https://drive.google.com/open?id=1eJGRkwZqfVszggu24aJq9BIArR_HicgH" TargetMode="External"/><Relationship Id="rId401" Type="http://schemas.openxmlformats.org/officeDocument/2006/relationships/hyperlink" Target="https://drive.google.com/open?id=1HswrlGFqWeLiPMps-6-fDEWzCnf6L5Z_" TargetMode="External"/><Relationship Id="rId643" Type="http://schemas.openxmlformats.org/officeDocument/2006/relationships/hyperlink" Target="https://drive.google.com/open?id=1vjzyv-pjfYw4AnR7MzR3uD8tPMMfcSRk" TargetMode="External"/><Relationship Id="rId885" Type="http://schemas.openxmlformats.org/officeDocument/2006/relationships/hyperlink" Target="https://drive.google.com/open?id=106ZBaIwZixMXQXNfnwxk6ogYmHF3uvMN" TargetMode="External"/><Relationship Id="rId408" Type="http://schemas.openxmlformats.org/officeDocument/2006/relationships/hyperlink" Target="https://drive.google.com/open?id=1SZ7uMJMzBY26ZPAvAkPUITuM3Na1mCfh" TargetMode="External"/><Relationship Id="rId407" Type="http://schemas.openxmlformats.org/officeDocument/2006/relationships/hyperlink" Target="https://drive.google.com/open?id=1g7McvvmV3N919fWf4PbAjALGqUCPhPW6" TargetMode="External"/><Relationship Id="rId649" Type="http://schemas.openxmlformats.org/officeDocument/2006/relationships/hyperlink" Target="https://drive.google.com/open?id=1UOSckozeYWtAqN61LDFnQWqgQxxk2CUp" TargetMode="External"/><Relationship Id="rId406" Type="http://schemas.openxmlformats.org/officeDocument/2006/relationships/hyperlink" Target="https://drive.google.com/open?id=1y_z4CCYs4y8iQHlz1ApKinneaGt6EIkO" TargetMode="External"/><Relationship Id="rId648" Type="http://schemas.openxmlformats.org/officeDocument/2006/relationships/hyperlink" Target="https://drive.google.com/open?id=1yde1CLFiqs8CIBA7xjc9X16TvQebxCCh" TargetMode="External"/><Relationship Id="rId405" Type="http://schemas.openxmlformats.org/officeDocument/2006/relationships/hyperlink" Target="https://drive.google.com/open?id=1TC2WjqZKV9lBde8amtMEmAd7EvG31gsq" TargetMode="External"/><Relationship Id="rId647" Type="http://schemas.openxmlformats.org/officeDocument/2006/relationships/hyperlink" Target="https://drive.google.com/open?id=1xri0t6MXIhDdICHaZ5EK0fNYqKrFN21K" TargetMode="External"/><Relationship Id="rId889" Type="http://schemas.openxmlformats.org/officeDocument/2006/relationships/hyperlink" Target="https://drive.google.com/open?id=1ivgG3wJI1fPiOFmTXuzTuwjxGm6uAecT" TargetMode="External"/><Relationship Id="rId880" Type="http://schemas.openxmlformats.org/officeDocument/2006/relationships/hyperlink" Target="https://drive.google.com/open?id=1R0GKayjCKTFTYHpYGV8F0YTdmyQAscCk" TargetMode="External"/><Relationship Id="rId1230" Type="http://schemas.openxmlformats.org/officeDocument/2006/relationships/hyperlink" Target="https://drive.google.com/file/d/1kPvH4kH-PKjz0K4Z7h-elz8A6hacHGkV/view?usp=drive_link" TargetMode="External"/><Relationship Id="rId400" Type="http://schemas.openxmlformats.org/officeDocument/2006/relationships/hyperlink" Target="https://drive.google.com/open?id=1HOqPI4TrRfTx7ZphHbaECUc79yWRz_SP" TargetMode="External"/><Relationship Id="rId642" Type="http://schemas.openxmlformats.org/officeDocument/2006/relationships/hyperlink" Target="https://drive.google.com/open?id=1oFCst-zhCdKB8ctPgZ0wSQVtIKt9ZKB-" TargetMode="External"/><Relationship Id="rId884" Type="http://schemas.openxmlformats.org/officeDocument/2006/relationships/hyperlink" Target="https://drive.google.com/open?id=1MgubGSloOBgi5TXqPY3ruERKK_lElg7i" TargetMode="External"/><Relationship Id="rId1231" Type="http://schemas.openxmlformats.org/officeDocument/2006/relationships/hyperlink" Target="https://drive.google.com/open?id=11OmtAcjh8LVZzxe4cGAimb4Vbvo78zef" TargetMode="External"/><Relationship Id="rId641" Type="http://schemas.openxmlformats.org/officeDocument/2006/relationships/hyperlink" Target="https://drive.google.com/open?id=1ZHPSwlaCA18MXl7pbKmeFDREfFiLCCL1" TargetMode="External"/><Relationship Id="rId883" Type="http://schemas.openxmlformats.org/officeDocument/2006/relationships/hyperlink" Target="https://drive.google.com/open?id=1zOQfClwsRhU_EQXccNyxgBhrCZAz2fiI" TargetMode="External"/><Relationship Id="rId1232" Type="http://schemas.openxmlformats.org/officeDocument/2006/relationships/hyperlink" Target="https://drive.google.com/file/d/1sdmFoveod6WmmeLc9S_lQkkoNPff0YxW/view?usp=drive_link" TargetMode="External"/><Relationship Id="rId640" Type="http://schemas.openxmlformats.org/officeDocument/2006/relationships/hyperlink" Target="https://drive.google.com/open?id=12TPdsqDOWuzOVvFlCOvwENCm8dQ9xks2" TargetMode="External"/><Relationship Id="rId882" Type="http://schemas.openxmlformats.org/officeDocument/2006/relationships/hyperlink" Target="https://drive.google.com/open?id=1jGbvnSaohPxducctb-AOySmbFHvZWNUs" TargetMode="External"/><Relationship Id="rId1233" Type="http://schemas.openxmlformats.org/officeDocument/2006/relationships/hyperlink" Target="https://drive.google.com/file/d/1JWbJ_rarte4w03mBu6Nk7OkRvvUF0KVT/view?usp=drive_link" TargetMode="External"/><Relationship Id="rId881" Type="http://schemas.openxmlformats.org/officeDocument/2006/relationships/hyperlink" Target="https://drive.google.com/open?id=1rE8alas7F9z6FArhcCoEX9Bv3yy6dqzl" TargetMode="External"/><Relationship Id="rId1234" Type="http://schemas.openxmlformats.org/officeDocument/2006/relationships/hyperlink" Target="https://drive.google.com/open?id=1L8FLYwtT4JykIVINIVUZose4ujJCIs0C" TargetMode="External"/><Relationship Id="rId1224" Type="http://schemas.openxmlformats.org/officeDocument/2006/relationships/hyperlink" Target="https://drive.google.com/open?id=1hn-T7UgMCQb7DBSVSekJ070Wy4dvnNkQ" TargetMode="External"/><Relationship Id="rId1225" Type="http://schemas.openxmlformats.org/officeDocument/2006/relationships/hyperlink" Target="https://drive.google.com/open?id=1vd5uP5Ltq2nSBS_OURlH8Ut3edvUtlk7" TargetMode="External"/><Relationship Id="rId1226" Type="http://schemas.openxmlformats.org/officeDocument/2006/relationships/hyperlink" Target="https://drive.google.com/open?id=1hkMgxkUMh1kMCUZf8022yuVgzaw_OZGl" TargetMode="External"/><Relationship Id="rId1227" Type="http://schemas.openxmlformats.org/officeDocument/2006/relationships/hyperlink" Target="https://drive.google.com/file/d/180os61bYtf5qw8YU68Q3kJXM2YIVHvIC/view?usp=drive_link" TargetMode="External"/><Relationship Id="rId1228" Type="http://schemas.openxmlformats.org/officeDocument/2006/relationships/hyperlink" Target="https://drive.google.com/open?id=1tFGfAliW01rbc5LI8Mu47qmtOOTHvQJp" TargetMode="External"/><Relationship Id="rId1229" Type="http://schemas.openxmlformats.org/officeDocument/2006/relationships/hyperlink" Target="https://drive.google.com/open?id=1EK_rMaFOYia6dZE0_XoS6hbs_Yvyzw5w" TargetMode="External"/><Relationship Id="rId635" Type="http://schemas.openxmlformats.org/officeDocument/2006/relationships/hyperlink" Target="https://drive.google.com/open?id=1jOLXk57WXLNZG68w6ZSIkXjfcS7o5OF4" TargetMode="External"/><Relationship Id="rId877" Type="http://schemas.openxmlformats.org/officeDocument/2006/relationships/hyperlink" Target="https://drive.google.com/open?id=10nqpp_-xLffz_eWRWY4rOjHZHOBLYS49" TargetMode="External"/><Relationship Id="rId634" Type="http://schemas.openxmlformats.org/officeDocument/2006/relationships/hyperlink" Target="https://drive.google.com/open?id=1sUjnlN3muEANEsRC9RCdy_cbJjwlvcOZ" TargetMode="External"/><Relationship Id="rId876" Type="http://schemas.openxmlformats.org/officeDocument/2006/relationships/hyperlink" Target="https://drive.google.com/open?id=1VDHQJPuWDUuWuRpl5-uP1WM43tjpIFMA" TargetMode="External"/><Relationship Id="rId633" Type="http://schemas.openxmlformats.org/officeDocument/2006/relationships/hyperlink" Target="https://drive.google.com/open?id=1C1BzaOZeUWg6rrKdwl4AGrWsW9JonCi5" TargetMode="External"/><Relationship Id="rId875" Type="http://schemas.openxmlformats.org/officeDocument/2006/relationships/hyperlink" Target="https://drive.google.com/open?id=18SVI63sKqR48swQ9Jfq_K6k1xYT4h4tt" TargetMode="External"/><Relationship Id="rId632" Type="http://schemas.openxmlformats.org/officeDocument/2006/relationships/hyperlink" Target="https://drive.google.com/open?id=12dZ2oXeWcOtEEi-T1EKVOIY6N6VQ_xDI" TargetMode="External"/><Relationship Id="rId874" Type="http://schemas.openxmlformats.org/officeDocument/2006/relationships/hyperlink" Target="https://drive.google.com/open?id=1ODoIyD3pv2ZxE783Jjd9nxZy3i1vvB7v" TargetMode="External"/><Relationship Id="rId639" Type="http://schemas.openxmlformats.org/officeDocument/2006/relationships/hyperlink" Target="https://drive.google.com/open?id=1Ocug-wCRf-GoMWs9kKlNjdiKTu5Z06VJ" TargetMode="External"/><Relationship Id="rId638" Type="http://schemas.openxmlformats.org/officeDocument/2006/relationships/hyperlink" Target="https://drive.google.com/open?id=1fx40w1y_op9NgHe6k8a8I_L5qsZoSkxS" TargetMode="External"/><Relationship Id="rId637" Type="http://schemas.openxmlformats.org/officeDocument/2006/relationships/hyperlink" Target="https://drive.google.com/open?id=1KY1LEkBHgGczwV_kiPYocEUrsn11IlHp" TargetMode="External"/><Relationship Id="rId879" Type="http://schemas.openxmlformats.org/officeDocument/2006/relationships/hyperlink" Target="https://drive.google.com/open?id=1FDCjAnEm3REAFI9jvsUCZ1V-latlVLMC" TargetMode="External"/><Relationship Id="rId636" Type="http://schemas.openxmlformats.org/officeDocument/2006/relationships/hyperlink" Target="https://drive.google.com/open?id=1Zm36mkMdwUDbm9e8x7xaqiXgzvjbiMqO" TargetMode="External"/><Relationship Id="rId878" Type="http://schemas.openxmlformats.org/officeDocument/2006/relationships/hyperlink" Target="https://drive.google.com/open?id=1fOUyFObSuzb6sHACFDeqytwDGx3UHxZ-" TargetMode="External"/><Relationship Id="rId631" Type="http://schemas.openxmlformats.org/officeDocument/2006/relationships/hyperlink" Target="https://drive.google.com/open?id=1D5SBbW3iwFU4wg0PIzFTc6_sVBMyyTV1" TargetMode="External"/><Relationship Id="rId873" Type="http://schemas.openxmlformats.org/officeDocument/2006/relationships/hyperlink" Target="https://drive.google.com/open?id=1UNf0RKDEyTkteRy02NkMMuykPo4duoPW" TargetMode="External"/><Relationship Id="rId1220" Type="http://schemas.openxmlformats.org/officeDocument/2006/relationships/hyperlink" Target="https://drive.google.com/open?id=12IxK8T9AF9e8TWnOEiBRV-tlSXgDhC-E" TargetMode="External"/><Relationship Id="rId630" Type="http://schemas.openxmlformats.org/officeDocument/2006/relationships/hyperlink" Target="https://drive.google.com/open?id=188qZcmQYILmryMOpP5ifK9X1I7n91rC_" TargetMode="External"/><Relationship Id="rId872" Type="http://schemas.openxmlformats.org/officeDocument/2006/relationships/hyperlink" Target="https://drive.google.com/open?id=1XRaAJrZVyyZax-zPYQuPBs1CWBKL-Qwe" TargetMode="External"/><Relationship Id="rId1221" Type="http://schemas.openxmlformats.org/officeDocument/2006/relationships/hyperlink" Target="https://drive.google.com/open?id=1TINbeKBAAfJdau_v8soIe4Lxvn6Pphi4" TargetMode="External"/><Relationship Id="rId871" Type="http://schemas.openxmlformats.org/officeDocument/2006/relationships/hyperlink" Target="https://drive.google.com/open?id=16MgfxiW-W0oEGpyejvLuxTuel34JeEMM" TargetMode="External"/><Relationship Id="rId1222" Type="http://schemas.openxmlformats.org/officeDocument/2006/relationships/hyperlink" Target="https://drive.google.com/file/d/1-p5u1E9O2jxjY8tLRL76eiE-cjkEId4h/view?usp=drive_link" TargetMode="External"/><Relationship Id="rId870" Type="http://schemas.openxmlformats.org/officeDocument/2006/relationships/hyperlink" Target="https://drive.google.com/open?id=1KnyfWBAt2ZdwOLPgMQvrmql3AMXAsn_p" TargetMode="External"/><Relationship Id="rId1223" Type="http://schemas.openxmlformats.org/officeDocument/2006/relationships/hyperlink" Target="https://drive.google.com/open?id=1vFCIZGI8MLcFUZv-GZRv7m7gPI6gS5am" TargetMode="External"/><Relationship Id="rId1411" Type="http://schemas.openxmlformats.org/officeDocument/2006/relationships/hyperlink" Target="https://drive.google.com/open?id=1YX9YAZlVjT5kD-XF43YajsXIv846eWgK" TargetMode="External"/><Relationship Id="rId1412" Type="http://schemas.openxmlformats.org/officeDocument/2006/relationships/hyperlink" Target="https://drive.google.com/open?id=1K1FLsunGLArezfAyKhSCYwz8GaU876Mz" TargetMode="External"/><Relationship Id="rId1413" Type="http://schemas.openxmlformats.org/officeDocument/2006/relationships/hyperlink" Target="https://drive.google.com/open?id=1J6fG3gIRmm3qCl6AvqptOmI5AWMGQobI" TargetMode="External"/><Relationship Id="rId1414" Type="http://schemas.openxmlformats.org/officeDocument/2006/relationships/hyperlink" Target="https://drive.google.com/open?id=1lSVS1CDaOU1ABQMrWCoHq4iFGB9EzLSz" TargetMode="External"/><Relationship Id="rId1415" Type="http://schemas.openxmlformats.org/officeDocument/2006/relationships/hyperlink" Target="https://drive.google.com/open?id=1KjcvlgCaIPTFHA2lvvJhFuOmmN_5c8yX" TargetMode="External"/><Relationship Id="rId1416" Type="http://schemas.openxmlformats.org/officeDocument/2006/relationships/hyperlink" Target="https://drive.google.com/open?id=1qgIICVzh1Y8mNORr4QUgzzuMnYiVBBi1" TargetMode="External"/><Relationship Id="rId1417" Type="http://schemas.openxmlformats.org/officeDocument/2006/relationships/hyperlink" Target="https://drive.google.com/open?id=11MXI7wcAI2t2sLFelu3QsNP7_tb7oU-L" TargetMode="External"/><Relationship Id="rId1418" Type="http://schemas.openxmlformats.org/officeDocument/2006/relationships/hyperlink" Target="https://drive.google.com/open?id=1bIvUW8bIlFzGEGl06gL5bivx4eLLqnj7" TargetMode="External"/><Relationship Id="rId1419" Type="http://schemas.openxmlformats.org/officeDocument/2006/relationships/hyperlink" Target="https://drive.google.com/open?id=12F-8rEeJuhN1Mh3pXEoLJkRse8cfn9Bp" TargetMode="External"/><Relationship Id="rId829" Type="http://schemas.openxmlformats.org/officeDocument/2006/relationships/hyperlink" Target="https://drive.google.com/open?id=1Os98Not9ey3W3wbdDYsBzwkvmVwSJtQ5" TargetMode="External"/><Relationship Id="rId828" Type="http://schemas.openxmlformats.org/officeDocument/2006/relationships/hyperlink" Target="https://drive.google.com/open?id=13tZtCyl1QRbbTGUG3H4ZsM0QfhmR28le" TargetMode="External"/><Relationship Id="rId827" Type="http://schemas.openxmlformats.org/officeDocument/2006/relationships/hyperlink" Target="https://drive.google.com/open?id=1CrIE2vuM2QGkJesSe-ZAUqFSRoRV_WDZ" TargetMode="External"/><Relationship Id="rId822" Type="http://schemas.openxmlformats.org/officeDocument/2006/relationships/hyperlink" Target="https://drive.google.com/open?id=1RYXeJU5hYf9dGFDY9wzW2SqQo9rvzXei" TargetMode="External"/><Relationship Id="rId821" Type="http://schemas.openxmlformats.org/officeDocument/2006/relationships/hyperlink" Target="https://drive.google.com/open?id=1q0pdsVdKS5CmiD_IdmjItf1JSpuRlYRr" TargetMode="External"/><Relationship Id="rId820" Type="http://schemas.openxmlformats.org/officeDocument/2006/relationships/hyperlink" Target="https://drive.google.com/open?id=1uFUeLHXp-DS1q25tnawmzS6wQMwanh1y" TargetMode="External"/><Relationship Id="rId826" Type="http://schemas.openxmlformats.org/officeDocument/2006/relationships/hyperlink" Target="https://drive.google.com/open?id=1hzewtllKsfOqukrg2UPGK5kxC5Y2tS_o" TargetMode="External"/><Relationship Id="rId825" Type="http://schemas.openxmlformats.org/officeDocument/2006/relationships/hyperlink" Target="https://drive.google.com/open?id=1-YLzVG_ruNTKPmWe04sej9JIo1BfrppA" TargetMode="External"/><Relationship Id="rId824" Type="http://schemas.openxmlformats.org/officeDocument/2006/relationships/hyperlink" Target="https://drive.google.com/open?id=1HBWjKVQoK7jE0CqrV68z4C7hHAjETlzI" TargetMode="External"/><Relationship Id="rId823" Type="http://schemas.openxmlformats.org/officeDocument/2006/relationships/hyperlink" Target="https://drive.google.com/open?id=1VajD54DluhTMyGNpCT8-VqF_YTFcXXyD" TargetMode="External"/><Relationship Id="rId1410" Type="http://schemas.openxmlformats.org/officeDocument/2006/relationships/hyperlink" Target="https://drive.google.com/open?id=15y9Yyz7X9noodOnSRt0RbwUyCKGpleWl" TargetMode="External"/><Relationship Id="rId1400" Type="http://schemas.openxmlformats.org/officeDocument/2006/relationships/hyperlink" Target="https://drive.google.com/open?id=1MXIOdDelU_XncLihTWGxT2tMp33RZgP6" TargetMode="External"/><Relationship Id="rId1401" Type="http://schemas.openxmlformats.org/officeDocument/2006/relationships/hyperlink" Target="https://drive.google.com/open?id=1osr6nZH-i4_ppnO0XKS75mcOqxeS4E4M" TargetMode="External"/><Relationship Id="rId1402" Type="http://schemas.openxmlformats.org/officeDocument/2006/relationships/hyperlink" Target="https://drive.google.com/open?id=1VgVTf0Out9MmejVaMXZNDPSlf0AwYuex" TargetMode="External"/><Relationship Id="rId1403" Type="http://schemas.openxmlformats.org/officeDocument/2006/relationships/hyperlink" Target="https://drive.google.com/open?id=1zd06YbSxqBI3eCdFsND5qDeoQ3iKaNxp" TargetMode="External"/><Relationship Id="rId1404" Type="http://schemas.openxmlformats.org/officeDocument/2006/relationships/hyperlink" Target="https://drive.google.com/open?id=1n8hg6ZqKvkCYJrPY8EZQvcx13SsCU0Sz" TargetMode="External"/><Relationship Id="rId1405" Type="http://schemas.openxmlformats.org/officeDocument/2006/relationships/hyperlink" Target="https://drive.google.com/open?id=1fjvZ0cqhYIRN7u_To7B4VGAy4VLIYpd4" TargetMode="External"/><Relationship Id="rId1406" Type="http://schemas.openxmlformats.org/officeDocument/2006/relationships/hyperlink" Target="https://drive.google.com/open?id=1xLdP4MshKdr8V5WL6KkopeC25VNwsQcp" TargetMode="External"/><Relationship Id="rId1407" Type="http://schemas.openxmlformats.org/officeDocument/2006/relationships/hyperlink" Target="https://drive.google.com/open?id=1_2MmJ2TBo6BksD59MevNlObM_IOSRdrp" TargetMode="External"/><Relationship Id="rId819" Type="http://schemas.openxmlformats.org/officeDocument/2006/relationships/hyperlink" Target="https://drive.google.com/open?id=1YDYVbE28kmw658S1x8XIZmWqfjUpOQHr" TargetMode="External"/><Relationship Id="rId1408" Type="http://schemas.openxmlformats.org/officeDocument/2006/relationships/hyperlink" Target="https://drive.google.com/open?id=1vs86z4urY34PTu4OGMbJN0_TNZAnPECk" TargetMode="External"/><Relationship Id="rId818" Type="http://schemas.openxmlformats.org/officeDocument/2006/relationships/hyperlink" Target="https://drive.google.com/open?id=1LvN7HmVwDvTuNOPBUNyFjKubq94HTSHZ" TargetMode="External"/><Relationship Id="rId1409" Type="http://schemas.openxmlformats.org/officeDocument/2006/relationships/hyperlink" Target="https://drive.google.com/open?id=1plLqCZnzbpu7rmtmJsZyrIte0EAA7Iv0" TargetMode="External"/><Relationship Id="rId817" Type="http://schemas.openxmlformats.org/officeDocument/2006/relationships/hyperlink" Target="https://drive.google.com/open?id=1Fz0ucbet9pCIzZytXewMCbwQcrWCjaIs" TargetMode="External"/><Relationship Id="rId816" Type="http://schemas.openxmlformats.org/officeDocument/2006/relationships/hyperlink" Target="https://drive.google.com/open?id=1ouYf474Uh1hzfrbDvEcR-Wqhvompfuj9" TargetMode="External"/><Relationship Id="rId811" Type="http://schemas.openxmlformats.org/officeDocument/2006/relationships/hyperlink" Target="https://drive.google.com/open?id=1LAonl7Ss_zIjAuZG5zN7IziQg0Fo7RG0" TargetMode="External"/><Relationship Id="rId810" Type="http://schemas.openxmlformats.org/officeDocument/2006/relationships/hyperlink" Target="https://drive.google.com/open?id=1B4Lq_61jZ_c93N0vxrOaHaWzJlXymyjh" TargetMode="External"/><Relationship Id="rId815" Type="http://schemas.openxmlformats.org/officeDocument/2006/relationships/hyperlink" Target="https://drive.google.com/open?id=1weynkTrBVdWY2Y-gJehrckdGd9AJ8iz6" TargetMode="External"/><Relationship Id="rId814" Type="http://schemas.openxmlformats.org/officeDocument/2006/relationships/hyperlink" Target="https://drive.google.com/open?id=1esu1ykZthDvAL3qrhyn39LmhcV7WY_kX" TargetMode="External"/><Relationship Id="rId813" Type="http://schemas.openxmlformats.org/officeDocument/2006/relationships/hyperlink" Target="https://drive.google.com/open?id=1ahhQjHRgDocUArHUFqmZKZqDCIdxOGM8" TargetMode="External"/><Relationship Id="rId812" Type="http://schemas.openxmlformats.org/officeDocument/2006/relationships/hyperlink" Target="https://drive.google.com/open?id=1NdaZdj5bBZbJ2yWEp5eI8RJHEXxCAExR" TargetMode="External"/><Relationship Id="rId609" Type="http://schemas.openxmlformats.org/officeDocument/2006/relationships/hyperlink" Target="https://drive.google.com/open?id=1zjE3KrzdbSR_z1C6Cx_b7waHjQcF5yZb" TargetMode="External"/><Relationship Id="rId608" Type="http://schemas.openxmlformats.org/officeDocument/2006/relationships/hyperlink" Target="https://drive.google.com/open?id=1CnyF9RdlTsJ4JpURGz3L9jZq4JUb0gJ9" TargetMode="External"/><Relationship Id="rId607" Type="http://schemas.openxmlformats.org/officeDocument/2006/relationships/hyperlink" Target="https://drive.google.com/open?id=1miWiDbYQnlhYq2TYqdKU7glKgx_APIn2" TargetMode="External"/><Relationship Id="rId849" Type="http://schemas.openxmlformats.org/officeDocument/2006/relationships/hyperlink" Target="https://drive.google.com/open?id=1GzAlNqgwn-cevTH9j4kVV-QpCTeBXmrf" TargetMode="External"/><Relationship Id="rId602" Type="http://schemas.openxmlformats.org/officeDocument/2006/relationships/hyperlink" Target="https://drive.google.com/open?id=1uUIzKapQdCufoyAjwHNwB8NuhMc8aHTA" TargetMode="External"/><Relationship Id="rId844" Type="http://schemas.openxmlformats.org/officeDocument/2006/relationships/hyperlink" Target="https://drive.google.com/open?id=1KUWOu7oAN0EOCLTlC8vpCFbV1VY09h9k" TargetMode="External"/><Relationship Id="rId601" Type="http://schemas.openxmlformats.org/officeDocument/2006/relationships/hyperlink" Target="https://drive.google.com/open?id=1xNw8Yk6hhh-FRLpIEAo2cQ8RaLXcWGNJ" TargetMode="External"/><Relationship Id="rId843" Type="http://schemas.openxmlformats.org/officeDocument/2006/relationships/hyperlink" Target="https://drive.google.com/open?id=1f6u6dkWyYk6SNgh-uOB35ba8SZve9YbJ" TargetMode="External"/><Relationship Id="rId600" Type="http://schemas.openxmlformats.org/officeDocument/2006/relationships/hyperlink" Target="https://drive.google.com/open?id=1CYKF5WRY6qLQcENpDGzQxu2JJMqdh_0T" TargetMode="External"/><Relationship Id="rId842" Type="http://schemas.openxmlformats.org/officeDocument/2006/relationships/hyperlink" Target="https://drive.google.com/open?id=1jEqW-YoLKYCrzB6quE9IhJrxhNEWk0Kp" TargetMode="External"/><Relationship Id="rId841" Type="http://schemas.openxmlformats.org/officeDocument/2006/relationships/hyperlink" Target="https://drive.google.com/open?id=1PV-4uOReqLud32EOLqRLoEiZJOjhbOwJ" TargetMode="External"/><Relationship Id="rId606" Type="http://schemas.openxmlformats.org/officeDocument/2006/relationships/hyperlink" Target="https://drive.google.com/open?id=1uYMjMoLu7eJCNZlRLVSVDyrHLOOKrm7d" TargetMode="External"/><Relationship Id="rId848" Type="http://schemas.openxmlformats.org/officeDocument/2006/relationships/hyperlink" Target="https://drive.google.com/open?id=1XZeyl6hrFje97sv1J0VsHCn_4Z4qLien" TargetMode="External"/><Relationship Id="rId605" Type="http://schemas.openxmlformats.org/officeDocument/2006/relationships/hyperlink" Target="https://drive.google.com/open?id=1XLCb-fpzOmCoNTd4i0-kLMkVC_feKmxa" TargetMode="External"/><Relationship Id="rId847" Type="http://schemas.openxmlformats.org/officeDocument/2006/relationships/hyperlink" Target="https://drive.google.com/open?id=1Kal1N6K2EwoiVIFdgyLwTla_buY2Trg3" TargetMode="External"/><Relationship Id="rId604" Type="http://schemas.openxmlformats.org/officeDocument/2006/relationships/hyperlink" Target="https://drive.google.com/open?id=1_gxEmYJu79AQWxiF9hfjkGzVpuJ4IcPO" TargetMode="External"/><Relationship Id="rId846" Type="http://schemas.openxmlformats.org/officeDocument/2006/relationships/hyperlink" Target="https://drive.google.com/open?id=1cZwzCrgjydVRl_P59F5QoV73Id3oCi6-" TargetMode="External"/><Relationship Id="rId603" Type="http://schemas.openxmlformats.org/officeDocument/2006/relationships/hyperlink" Target="https://drive.google.com/open?id=13o8li6z9Lv1eekScnodE09racX9Y8CLR" TargetMode="External"/><Relationship Id="rId845" Type="http://schemas.openxmlformats.org/officeDocument/2006/relationships/hyperlink" Target="https://drive.google.com/open?id=1nwKR9-wZ6hzNdf0Xr_66dAq2UYEBxwFX" TargetMode="External"/><Relationship Id="rId840" Type="http://schemas.openxmlformats.org/officeDocument/2006/relationships/hyperlink" Target="https://drive.google.com/open?id=1vWi6DND9G6_qE4L8H_U-YRiVogdcKbW6" TargetMode="External"/><Relationship Id="rId1422" Type="http://schemas.openxmlformats.org/officeDocument/2006/relationships/hyperlink" Target="https://drive.google.com/open?id=1aBbTyy55S9949cFxEuuJFEVJ1yR-6Wae" TargetMode="External"/><Relationship Id="rId1423" Type="http://schemas.openxmlformats.org/officeDocument/2006/relationships/hyperlink" Target="https://drive.google.com/open?id=1lpOfspmvDnVNEPJ-EdLHI4yyXL8m-j9F" TargetMode="External"/><Relationship Id="rId1424" Type="http://schemas.openxmlformats.org/officeDocument/2006/relationships/hyperlink" Target="https://drive.google.com/open?id=1mEkK_Ir8cnyw7RXLUzWMloSu6ZgPWqK8" TargetMode="External"/><Relationship Id="rId1425" Type="http://schemas.openxmlformats.org/officeDocument/2006/relationships/hyperlink" Target="https://drive.google.com/open?id=1TIT9tWwYtTeVl2cw8SlQz0SDVnzkq-dk" TargetMode="External"/><Relationship Id="rId1426" Type="http://schemas.openxmlformats.org/officeDocument/2006/relationships/hyperlink" Target="https://drive.google.com/open?id=1AKQCC3NS3Af9fxS3kC4RpkUFAuRrbIEm" TargetMode="External"/><Relationship Id="rId1427" Type="http://schemas.openxmlformats.org/officeDocument/2006/relationships/drawing" Target="../drawings/drawing2.xml"/><Relationship Id="rId839" Type="http://schemas.openxmlformats.org/officeDocument/2006/relationships/hyperlink" Target="https://drive.google.com/open?id=1o-9nrY1_J3VxeB9xC7MS0ul-kU6JlR5g" TargetMode="External"/><Relationship Id="rId838" Type="http://schemas.openxmlformats.org/officeDocument/2006/relationships/hyperlink" Target="https://drive.google.com/open?id=1tAh66Xqox6K6siRI3AABSS59McSXIwuw" TargetMode="External"/><Relationship Id="rId833" Type="http://schemas.openxmlformats.org/officeDocument/2006/relationships/hyperlink" Target="https://drive.google.com/open?id=1kNhWJuJKX2VtBZZd29OGKzTPB7uWB3TB" TargetMode="External"/><Relationship Id="rId832" Type="http://schemas.openxmlformats.org/officeDocument/2006/relationships/hyperlink" Target="https://drive.google.com/open?id=17iaOCyJtPFbKqhEpGZENmDXWHXMlkMoG" TargetMode="External"/><Relationship Id="rId831" Type="http://schemas.openxmlformats.org/officeDocument/2006/relationships/hyperlink" Target="https://drive.google.com/open?id=14_mfupTiwCyq7rKFlaIKyETFZmjXpvu0" TargetMode="External"/><Relationship Id="rId830" Type="http://schemas.openxmlformats.org/officeDocument/2006/relationships/hyperlink" Target="https://drive.google.com/open?id=1yPVeMI2kifj5qc4NNKsT8k-fj5jS4Kcm" TargetMode="External"/><Relationship Id="rId837" Type="http://schemas.openxmlformats.org/officeDocument/2006/relationships/hyperlink" Target="https://drive.google.com/open?id=1rodmpfrD799QmYvkot0IekWk297TQf8O" TargetMode="External"/><Relationship Id="rId836" Type="http://schemas.openxmlformats.org/officeDocument/2006/relationships/hyperlink" Target="https://drive.google.com/open?id=1_PgJULmuJ17BDT1txpjCuwtFT1TLTI8U" TargetMode="External"/><Relationship Id="rId835" Type="http://schemas.openxmlformats.org/officeDocument/2006/relationships/hyperlink" Target="https://drive.google.com/open?id=1lRmKUzk99-JKeOYCMXNyLNW9ir00P9jd" TargetMode="External"/><Relationship Id="rId834" Type="http://schemas.openxmlformats.org/officeDocument/2006/relationships/hyperlink" Target="https://drive.google.com/open?id=1vWi6DND9G6_qE4L8H_U-YRiVogdcKbW6" TargetMode="External"/><Relationship Id="rId1420" Type="http://schemas.openxmlformats.org/officeDocument/2006/relationships/hyperlink" Target="https://drive.google.com/open?id=1Spah6AOG003Cq-resxicmrUXD_nIz_PZ" TargetMode="External"/><Relationship Id="rId1421" Type="http://schemas.openxmlformats.org/officeDocument/2006/relationships/hyperlink" Target="https://drive.google.com/open?id=1Z3t6L3czbUuLnPXKlogBPpOEo0gR0bJ5" TargetMode="External"/><Relationship Id="rId1059" Type="http://schemas.openxmlformats.org/officeDocument/2006/relationships/hyperlink" Target="https://drive.google.com/open?id=1Q03uSOK2D5Zl2DjZAMouMa_gAPerOaz5" TargetMode="External"/><Relationship Id="rId228" Type="http://schemas.openxmlformats.org/officeDocument/2006/relationships/hyperlink" Target="https://drive.google.com/open?id=1tiAA17pFz5VV6GX6grByAdaZv33SozyJ" TargetMode="External"/><Relationship Id="rId227" Type="http://schemas.openxmlformats.org/officeDocument/2006/relationships/hyperlink" Target="https://drive.google.com/open?id=14uHKee9D5wQ_xZ5CVDHVfHU6HcOgEzEV" TargetMode="External"/><Relationship Id="rId469" Type="http://schemas.openxmlformats.org/officeDocument/2006/relationships/hyperlink" Target="https://drive.google.com/open?id=1zmKm6su4u2NNqCEEpBIl-lfdcAc-cnkv" TargetMode="External"/><Relationship Id="rId226" Type="http://schemas.openxmlformats.org/officeDocument/2006/relationships/hyperlink" Target="https://drive.google.com/open?id=1DFnbat9h4RBHHJLX_kahBqvgCRoZ1MKB" TargetMode="External"/><Relationship Id="rId468" Type="http://schemas.openxmlformats.org/officeDocument/2006/relationships/hyperlink" Target="https://drive.google.com/open?id=1G6ftajbBh1NpQd9CB0XCr5q3Aq7KQ-vl" TargetMode="External"/><Relationship Id="rId225" Type="http://schemas.openxmlformats.org/officeDocument/2006/relationships/hyperlink" Target="https://drive.google.com/file/d/1VLXGY97C_NxEz_5oKnop6XDp0oXIxF6v/view?usp=drive_link" TargetMode="External"/><Relationship Id="rId467" Type="http://schemas.openxmlformats.org/officeDocument/2006/relationships/hyperlink" Target="https://drive.google.com/open?id=1xmXsfiuNKXXuWWt3z2Da9LGSUQFfj1Ip" TargetMode="External"/><Relationship Id="rId1290" Type="http://schemas.openxmlformats.org/officeDocument/2006/relationships/hyperlink" Target="https://drive.google.com/open?id=1jVS6FHhHzctc3kz0sNoBHtHQnmgp7LUg" TargetMode="External"/><Relationship Id="rId1291" Type="http://schemas.openxmlformats.org/officeDocument/2006/relationships/hyperlink" Target="https://drive.google.com/open?id=1p_0RVBiU53rS_MQQrzLqTt7g7cA3e0oH" TargetMode="External"/><Relationship Id="rId229" Type="http://schemas.openxmlformats.org/officeDocument/2006/relationships/hyperlink" Target="https://drive.google.com/open?id=1ROafTaKO9KVl480L_Tn6B1i07MSJTv20" TargetMode="External"/><Relationship Id="rId1050" Type="http://schemas.openxmlformats.org/officeDocument/2006/relationships/hyperlink" Target="https://drive.google.com/open?id=1WfUVDXiNkugw6BN5Xh_fEW0aA-M6iLEo" TargetMode="External"/><Relationship Id="rId1292" Type="http://schemas.openxmlformats.org/officeDocument/2006/relationships/hyperlink" Target="https://drive.google.com/open?id=1ur7G3AUkNdnrOZFzwEYR3N_uPWwlF6xE" TargetMode="External"/><Relationship Id="rId220" Type="http://schemas.openxmlformats.org/officeDocument/2006/relationships/hyperlink" Target="https://drive.google.com/open?id=1fisdnowTzl-9nz_HTYXB_JM8zFfzvP7t" TargetMode="External"/><Relationship Id="rId462" Type="http://schemas.openxmlformats.org/officeDocument/2006/relationships/hyperlink" Target="https://drive.google.com/open?id=1ov-sXGP8FxUARhrVpz8NShnkciaAukYP" TargetMode="External"/><Relationship Id="rId1051" Type="http://schemas.openxmlformats.org/officeDocument/2006/relationships/hyperlink" Target="https://drive.google.com/open?id=1XnI6oOsYkBAVza3lSZQ55XZRovLyB8xS" TargetMode="External"/><Relationship Id="rId1293" Type="http://schemas.openxmlformats.org/officeDocument/2006/relationships/hyperlink" Target="https://drive.google.com/open?id=1V_LSOBJeZ_fdGDkudEpfCD5-vYwOxY7y" TargetMode="External"/><Relationship Id="rId461" Type="http://schemas.openxmlformats.org/officeDocument/2006/relationships/hyperlink" Target="https://drive.google.com/open?id=1R0PmrWPs5DIriZZH4oz-6PKOe3B6r1gZ" TargetMode="External"/><Relationship Id="rId1052" Type="http://schemas.openxmlformats.org/officeDocument/2006/relationships/hyperlink" Target="https://drive.google.com/open?id=1hbQl0ReQIhmipdOA93xZ5L9m4N6hQhrF" TargetMode="External"/><Relationship Id="rId1294" Type="http://schemas.openxmlformats.org/officeDocument/2006/relationships/hyperlink" Target="https://drive.google.com/open?id=1RxUAjGmtSdWchOXttpcYhs3jBGKT23bu" TargetMode="External"/><Relationship Id="rId460" Type="http://schemas.openxmlformats.org/officeDocument/2006/relationships/hyperlink" Target="https://drive.google.com/open?id=1xufQCP6q2lz41q9gQ2NVxJBjIlj4d-y2" TargetMode="External"/><Relationship Id="rId1053" Type="http://schemas.openxmlformats.org/officeDocument/2006/relationships/hyperlink" Target="https://drive.google.com/open?id=1hgBz6K6JCCSkEnwcBoWZWaE0gyU9qB-C" TargetMode="External"/><Relationship Id="rId1295" Type="http://schemas.openxmlformats.org/officeDocument/2006/relationships/hyperlink" Target="https://drive.google.com/open?id=1YvmmrzAHjoWCA2r-FEt261kt7pdvwcG1" TargetMode="External"/><Relationship Id="rId1054" Type="http://schemas.openxmlformats.org/officeDocument/2006/relationships/hyperlink" Target="https://drive.google.com/open?id=1NGMwYqpWMWATWTucq3sFrdpCl9K_5v8w" TargetMode="External"/><Relationship Id="rId1296" Type="http://schemas.openxmlformats.org/officeDocument/2006/relationships/hyperlink" Target="https://drive.google.com/file/d/1B6iDBVXHfclK4kZ4Ja1_y_3Q9adEwU4Y/view?usp=drive_link" TargetMode="External"/><Relationship Id="rId224" Type="http://schemas.openxmlformats.org/officeDocument/2006/relationships/hyperlink" Target="https://drive.google.com/open?id=1nRm_UrW5uDxg5x9yV3OjCmxeqlLgRUyh" TargetMode="External"/><Relationship Id="rId466" Type="http://schemas.openxmlformats.org/officeDocument/2006/relationships/hyperlink" Target="https://drive.google.com/open?id=1PUS2Rvl7LmLLYsTJNUW1mJ6dE5J-RL_d" TargetMode="External"/><Relationship Id="rId1055" Type="http://schemas.openxmlformats.org/officeDocument/2006/relationships/hyperlink" Target="https://drive.google.com/open?id=1ttGVp-xj-LiTThGIL6Bfnc5LZmuWY17q" TargetMode="External"/><Relationship Id="rId1297" Type="http://schemas.openxmlformats.org/officeDocument/2006/relationships/hyperlink" Target="https://drive.google.com/file/d/1R0BO1xlOMqSmGQ1zLaGHMjYIht53K3TA/view?usp=drive_link" TargetMode="External"/><Relationship Id="rId223" Type="http://schemas.openxmlformats.org/officeDocument/2006/relationships/hyperlink" Target="https://drive.google.com/open?id=1Irp6_73Iyj6GJIYZ8nYigggzj56vc_cB" TargetMode="External"/><Relationship Id="rId465" Type="http://schemas.openxmlformats.org/officeDocument/2006/relationships/hyperlink" Target="https://drive.google.com/open?id=15wHuFh1R-BQORy3ZocCawbuixPFxMUmS" TargetMode="External"/><Relationship Id="rId1056" Type="http://schemas.openxmlformats.org/officeDocument/2006/relationships/hyperlink" Target="https://drive.google.com/open?id=15svQt3YI4h5vxYr_xz1EOl37KOh29YHw" TargetMode="External"/><Relationship Id="rId1298" Type="http://schemas.openxmlformats.org/officeDocument/2006/relationships/hyperlink" Target="https://drive.google.com/open?id=16RGgBqzhBMNLMzchnfmHh4m5vZmzZ2cV" TargetMode="External"/><Relationship Id="rId222" Type="http://schemas.openxmlformats.org/officeDocument/2006/relationships/hyperlink" Target="https://drive.google.com/open?id=1QamI7P1lnMt6V4OcFtvqC34ma1KkTFoA" TargetMode="External"/><Relationship Id="rId464" Type="http://schemas.openxmlformats.org/officeDocument/2006/relationships/hyperlink" Target="https://drive.google.com/open?id=1DEFU5sDwey5HZzEE_r6baKuOMo-ZWdS4" TargetMode="External"/><Relationship Id="rId1057" Type="http://schemas.openxmlformats.org/officeDocument/2006/relationships/hyperlink" Target="https://drive.google.com/open?id=1Eg1xS5WCieGh6scwQVw4-AhjddvSdDBC" TargetMode="External"/><Relationship Id="rId1299" Type="http://schemas.openxmlformats.org/officeDocument/2006/relationships/hyperlink" Target="https://drive.google.com/file/d/1oT0cImZf1_OywQopwLvOcXEJT5FSpON6/view?usp=drive_link" TargetMode="External"/><Relationship Id="rId221" Type="http://schemas.openxmlformats.org/officeDocument/2006/relationships/hyperlink" Target="https://drive.google.com/open?id=1zZ_rYW-e3hyK-NKPrSocr06MIx_M-tan" TargetMode="External"/><Relationship Id="rId463" Type="http://schemas.openxmlformats.org/officeDocument/2006/relationships/hyperlink" Target="https://drive.google.com/file/d/1rBfJYIww--HNLCpMqHiOkWsYlQK27CdJ/view?usp=sharing" TargetMode="External"/><Relationship Id="rId1058" Type="http://schemas.openxmlformats.org/officeDocument/2006/relationships/hyperlink" Target="https://drive.google.com/open?id=1sJ72mR1gDjs5E-Ifjrlj2ngyGkLu9NzT" TargetMode="External"/><Relationship Id="rId1048" Type="http://schemas.openxmlformats.org/officeDocument/2006/relationships/hyperlink" Target="https://drive.google.com/open?id=1T1q_XIYgKwu3_ElbddsMYCxHDcEJObdl" TargetMode="External"/><Relationship Id="rId1049" Type="http://schemas.openxmlformats.org/officeDocument/2006/relationships/hyperlink" Target="https://drive.google.com/open?id=1fZ2h4NEV5SrFPcsEkE7JxD4TCrm13fxK" TargetMode="External"/><Relationship Id="rId217" Type="http://schemas.openxmlformats.org/officeDocument/2006/relationships/hyperlink" Target="https://drive.google.com/open?id=1AvM4Q2Zr7XFViSgl7k7BDiL-A1oiKad0" TargetMode="External"/><Relationship Id="rId459" Type="http://schemas.openxmlformats.org/officeDocument/2006/relationships/hyperlink" Target="https://drive.google.com/open?id=1UflC0gXbaQOWBigVlvwzaZbZE6X6e1k2" TargetMode="External"/><Relationship Id="rId216" Type="http://schemas.openxmlformats.org/officeDocument/2006/relationships/hyperlink" Target="https://drive.google.com/open?id=1Ia9pPi2R4G9jywurD0-x1Ag3GFeKG9T6" TargetMode="External"/><Relationship Id="rId458" Type="http://schemas.openxmlformats.org/officeDocument/2006/relationships/hyperlink" Target="https://drive.google.com/open?id=1hEsGMnKuDBIEGpWptQQ7jrVPFjs-zhq8" TargetMode="External"/><Relationship Id="rId215" Type="http://schemas.openxmlformats.org/officeDocument/2006/relationships/hyperlink" Target="https://drive.google.com/open?id=1KllaHJLq5wLYnowZlkir97T5t9eGv3eo" TargetMode="External"/><Relationship Id="rId457" Type="http://schemas.openxmlformats.org/officeDocument/2006/relationships/hyperlink" Target="https://drive.google.com/open?id=1d5TDJ1_JOxNodo4k-KUIZZNa5DwYEmQI" TargetMode="External"/><Relationship Id="rId699" Type="http://schemas.openxmlformats.org/officeDocument/2006/relationships/hyperlink" Target="https://drive.google.com/open?id=1c9tj8DU0Pjef7QmIuUwtZtxlHiTS_nzs" TargetMode="External"/><Relationship Id="rId214" Type="http://schemas.openxmlformats.org/officeDocument/2006/relationships/hyperlink" Target="https://drive.google.com/open?id=1wBYsd0ucYmOBADlFDofGXrNXGFUTa95U" TargetMode="External"/><Relationship Id="rId456" Type="http://schemas.openxmlformats.org/officeDocument/2006/relationships/hyperlink" Target="https://drive.google.com/open?id=1BkRFo6M1AcmeqD6VTebKk8OSliacFPrK" TargetMode="External"/><Relationship Id="rId698" Type="http://schemas.openxmlformats.org/officeDocument/2006/relationships/hyperlink" Target="https://drive.google.com/open?id=1KW-GWxm51XrRGARm1NQ0b06vGCl2n8HE" TargetMode="External"/><Relationship Id="rId219" Type="http://schemas.openxmlformats.org/officeDocument/2006/relationships/hyperlink" Target="https://drive.google.com/open?id=1D69LTpgbrajZvTEVdvjNzYX6ZpsmBm7h" TargetMode="External"/><Relationship Id="rId1280" Type="http://schemas.openxmlformats.org/officeDocument/2006/relationships/hyperlink" Target="https://drive.google.com/open?id=1ZIlX4en9T4nALUztN0040LVjoPZc40-B" TargetMode="External"/><Relationship Id="rId218" Type="http://schemas.openxmlformats.org/officeDocument/2006/relationships/hyperlink" Target="https://drive.google.com/open?id=1u3nN0AtGr78paZwK3LFij250cCAWlyx6" TargetMode="External"/><Relationship Id="rId1281" Type="http://schemas.openxmlformats.org/officeDocument/2006/relationships/hyperlink" Target="https://drive.google.com/open?id=1Cp-2nEtIzFFGKqIxPJQvGOXowwl_Z7bu" TargetMode="External"/><Relationship Id="rId451" Type="http://schemas.openxmlformats.org/officeDocument/2006/relationships/hyperlink" Target="https://drive.google.com/open?id=14vbFK4GZUywQnuN0tWxzgOna9KRitd-X" TargetMode="External"/><Relationship Id="rId693" Type="http://schemas.openxmlformats.org/officeDocument/2006/relationships/hyperlink" Target="https://drive.google.com/open?id=10GeL6ofm6IQ5ZUwKmbEgBIYLk6f5hQFU" TargetMode="External"/><Relationship Id="rId1040" Type="http://schemas.openxmlformats.org/officeDocument/2006/relationships/hyperlink" Target="https://drive.google.com/open?id=1F6DVXJ2IUexy6v78_iaoA0vZfWTuaiF5" TargetMode="External"/><Relationship Id="rId1282" Type="http://schemas.openxmlformats.org/officeDocument/2006/relationships/hyperlink" Target="https://drive.google.com/open?id=15EUwebYKkY3v-i_rXJeIzgfZ6mwGrEXK" TargetMode="External"/><Relationship Id="rId450" Type="http://schemas.openxmlformats.org/officeDocument/2006/relationships/hyperlink" Target="https://drive.google.com/open?id=1xdMC6hVCECPqpRPuffotCq4iGWcT_FH_" TargetMode="External"/><Relationship Id="rId692" Type="http://schemas.openxmlformats.org/officeDocument/2006/relationships/hyperlink" Target="https://drive.google.com/open?id=1V7k2tepFP7UgzEbIISC6qfN6Qo2bEqvP" TargetMode="External"/><Relationship Id="rId1041" Type="http://schemas.openxmlformats.org/officeDocument/2006/relationships/hyperlink" Target="https://drive.google.com/open?id=13h1tCoNige3OfFolXUEVxscEwwG-KsUE" TargetMode="External"/><Relationship Id="rId1283" Type="http://schemas.openxmlformats.org/officeDocument/2006/relationships/hyperlink" Target="https://drive.google.com/open?id=1tnhz0Ct7zGQ3TxGG7ohJc0KTD5EXfNNv" TargetMode="External"/><Relationship Id="rId691" Type="http://schemas.openxmlformats.org/officeDocument/2006/relationships/hyperlink" Target="https://drive.google.com/open?id=1l2k6i2hvwLkSYNgJ93wfI2GgRRrJDDKj" TargetMode="External"/><Relationship Id="rId1042" Type="http://schemas.openxmlformats.org/officeDocument/2006/relationships/hyperlink" Target="https://drive.google.com/open?id=1cVPP3avDSRjsamGRk188ArARddqBS0gu" TargetMode="External"/><Relationship Id="rId1284" Type="http://schemas.openxmlformats.org/officeDocument/2006/relationships/hyperlink" Target="https://drive.google.com/open?id=1JTTSgo_uATpl1ZaA3YVnGc1GKUlcbsam" TargetMode="External"/><Relationship Id="rId690" Type="http://schemas.openxmlformats.org/officeDocument/2006/relationships/hyperlink" Target="https://drive.google.com/open?id=1RLQrBTTu5XMw4C2bDTpyrinIdSfR-8ax" TargetMode="External"/><Relationship Id="rId1043" Type="http://schemas.openxmlformats.org/officeDocument/2006/relationships/hyperlink" Target="https://drive.google.com/open?id=1Ig9PIzdAU7r2km9PJP2Al_UpTswM72Eg" TargetMode="External"/><Relationship Id="rId1285" Type="http://schemas.openxmlformats.org/officeDocument/2006/relationships/hyperlink" Target="https://drive.google.com/open?id=1oIrik32h80TOYgO1-38ex_xiRN84cj6G" TargetMode="External"/><Relationship Id="rId213" Type="http://schemas.openxmlformats.org/officeDocument/2006/relationships/hyperlink" Target="https://drive.google.com/open?id=19ODzMtGVnbkuJ9Kd1bcGg3_e9NIKXml1" TargetMode="External"/><Relationship Id="rId455" Type="http://schemas.openxmlformats.org/officeDocument/2006/relationships/hyperlink" Target="https://drive.google.com/open?id=1_8Vjb33JpAOya38BFhZ6EyAqdzy65oQX" TargetMode="External"/><Relationship Id="rId697" Type="http://schemas.openxmlformats.org/officeDocument/2006/relationships/hyperlink" Target="https://drive.google.com/open?id=1U7KIZPRLGtsXtj_qbKp9NpF8DWg164uX" TargetMode="External"/><Relationship Id="rId1044" Type="http://schemas.openxmlformats.org/officeDocument/2006/relationships/hyperlink" Target="https://drive.google.com/open?id=1-xBKrEDz7WSqvmommp3t-HXpY5vMGLcW" TargetMode="External"/><Relationship Id="rId1286" Type="http://schemas.openxmlformats.org/officeDocument/2006/relationships/hyperlink" Target="https://drive.google.com/open?id=1PbDMYc8teiwDqab_qE-ULfvZoGAdbVBg" TargetMode="External"/><Relationship Id="rId212" Type="http://schemas.openxmlformats.org/officeDocument/2006/relationships/hyperlink" Target="https://drive.google.com/open?id=1SdSJZZ67XY4JelY_ZsS9ufUjylPw7YSU" TargetMode="External"/><Relationship Id="rId454" Type="http://schemas.openxmlformats.org/officeDocument/2006/relationships/hyperlink" Target="https://drive.google.com/open?id=1xoK_W2JlOQyG1S7a2PZYXy15TT0lVKTL" TargetMode="External"/><Relationship Id="rId696" Type="http://schemas.openxmlformats.org/officeDocument/2006/relationships/hyperlink" Target="https://drive.google.com/open?id=1M8PfEWAaXw0Tuw8obZJJBuoMRMtip6R2" TargetMode="External"/><Relationship Id="rId1045" Type="http://schemas.openxmlformats.org/officeDocument/2006/relationships/hyperlink" Target="https://drive.google.com/open?id=14BYIHkC0fZdvN078JsWxG5CxvITbe41g" TargetMode="External"/><Relationship Id="rId1287" Type="http://schemas.openxmlformats.org/officeDocument/2006/relationships/hyperlink" Target="https://drive.google.com/open?id=1Xpy9ahnNry9iYtN39fHlgrM10sX9OfvD" TargetMode="External"/><Relationship Id="rId211" Type="http://schemas.openxmlformats.org/officeDocument/2006/relationships/hyperlink" Target="https://drive.google.com/open?id=1PjtF5c3UIyl_r0ylmjkov0AiQlj5jn57" TargetMode="External"/><Relationship Id="rId453" Type="http://schemas.openxmlformats.org/officeDocument/2006/relationships/hyperlink" Target="https://drive.google.com/open?id=1FdrO0DDVe-0nTBa-GqmK3nzv-TvIrmae" TargetMode="External"/><Relationship Id="rId695" Type="http://schemas.openxmlformats.org/officeDocument/2006/relationships/hyperlink" Target="https://drive.google.com/open?id=1DvubiaYvxG-HxmwGFnkQISHcUnVxYrAt" TargetMode="External"/><Relationship Id="rId1046" Type="http://schemas.openxmlformats.org/officeDocument/2006/relationships/hyperlink" Target="https://drive.google.com/open?id=1zKWBBCSB0E4Z0_FJ0Hyu0-xC3iFhLSRA" TargetMode="External"/><Relationship Id="rId1288" Type="http://schemas.openxmlformats.org/officeDocument/2006/relationships/hyperlink" Target="https://drive.google.com/open?id=1x-qqBRvSJOJtXL66juGwfougZOwJDqD7" TargetMode="External"/><Relationship Id="rId210" Type="http://schemas.openxmlformats.org/officeDocument/2006/relationships/hyperlink" Target="https://drive.google.com/open?id=1wSkSScD5iq_pCrYYrKlmB_OsjxLaVBOh" TargetMode="External"/><Relationship Id="rId452" Type="http://schemas.openxmlformats.org/officeDocument/2006/relationships/hyperlink" Target="https://drive.google.com/open?id=1OPaxrmCgZK7VNTN9jQLs1fu8AZMtF6Mz" TargetMode="External"/><Relationship Id="rId694" Type="http://schemas.openxmlformats.org/officeDocument/2006/relationships/hyperlink" Target="https://drive.google.com/open?id=1mTa8ZQeJPqDaNqzl6kgRNISCM_QqzVPN" TargetMode="External"/><Relationship Id="rId1047" Type="http://schemas.openxmlformats.org/officeDocument/2006/relationships/hyperlink" Target="https://drive.google.com/open?id=1lY0Nh6eGClNmRUr0qSNxxtfCvKa8xp0k" TargetMode="External"/><Relationship Id="rId1289" Type="http://schemas.openxmlformats.org/officeDocument/2006/relationships/hyperlink" Target="https://drive.google.com/file/d/1LBlDxrdCVi_H7uCjecLKgnNNAjNcI-kg/view?usp=drive_link" TargetMode="External"/><Relationship Id="rId491" Type="http://schemas.openxmlformats.org/officeDocument/2006/relationships/hyperlink" Target="https://drive.google.com/open?id=1ePG7YGeGVSwo83uE7xCwzGTgAK-7cArv" TargetMode="External"/><Relationship Id="rId490" Type="http://schemas.openxmlformats.org/officeDocument/2006/relationships/hyperlink" Target="https://drive.google.com/open?id=13-e0QourTePWt4Kp2zbtuX3OR_aU5GRa" TargetMode="External"/><Relationship Id="rId249" Type="http://schemas.openxmlformats.org/officeDocument/2006/relationships/hyperlink" Target="https://drive.google.com/open?id=10BPn7hsPEazLCu1Scm1CRuUGQwOblalC" TargetMode="External"/><Relationship Id="rId248" Type="http://schemas.openxmlformats.org/officeDocument/2006/relationships/hyperlink" Target="https://drive.google.com/open?id=1GjvwbIO97dn8nPp898rRc4ki5bpnv73G" TargetMode="External"/><Relationship Id="rId247" Type="http://schemas.openxmlformats.org/officeDocument/2006/relationships/hyperlink" Target="https://drive.google.com/open?id=1OLFas_Bc9LmE3QsVowd30j4X04Rg-Ub8" TargetMode="External"/><Relationship Id="rId489" Type="http://schemas.openxmlformats.org/officeDocument/2006/relationships/hyperlink" Target="https://drive.google.com/open?id=1ZgToLWUpFYY1Pz0UUOl_y5_C__vMvXsy" TargetMode="External"/><Relationship Id="rId1070" Type="http://schemas.openxmlformats.org/officeDocument/2006/relationships/hyperlink" Target="https://drive.google.com/open?id=10IxD9ThY8rzb3blzcLB7jJCbfX6Q4VqV" TargetMode="External"/><Relationship Id="rId1071" Type="http://schemas.openxmlformats.org/officeDocument/2006/relationships/hyperlink" Target="https://drive.google.com/open?id=1oT9dYoHIJm6znfNXYd6hDzTgnRORQpxm" TargetMode="External"/><Relationship Id="rId1072" Type="http://schemas.openxmlformats.org/officeDocument/2006/relationships/hyperlink" Target="https://drive.google.com/open?id=1r-REydTm7F_NXO1_7uM6xTuE7cm49NyQ" TargetMode="External"/><Relationship Id="rId242" Type="http://schemas.openxmlformats.org/officeDocument/2006/relationships/hyperlink" Target="https://drive.google.com/open?id=1cO80Ph3-oq4RtW_uuCRozRpieKE4kd-l" TargetMode="External"/><Relationship Id="rId484" Type="http://schemas.openxmlformats.org/officeDocument/2006/relationships/hyperlink" Target="https://drive.google.com/open?id=1kW4L8oFyCPKkZ_EdnS7pCyIdYyB9SS7w" TargetMode="External"/><Relationship Id="rId1073" Type="http://schemas.openxmlformats.org/officeDocument/2006/relationships/hyperlink" Target="https://drive.google.com/open?id=1tKfIOxemE2cGXZZ0HAjrm-2eRvptq54x" TargetMode="External"/><Relationship Id="rId241" Type="http://schemas.openxmlformats.org/officeDocument/2006/relationships/hyperlink" Target="https://drive.google.com/open?id=1YV3Pvh-fevYnc-s34iVnZ3OmmwkO7_H2" TargetMode="External"/><Relationship Id="rId483" Type="http://schemas.openxmlformats.org/officeDocument/2006/relationships/hyperlink" Target="https://drive.google.com/open?id=13hrNTsuVlchrsQMcyUeFFAkQRhSeAER8" TargetMode="External"/><Relationship Id="rId1074" Type="http://schemas.openxmlformats.org/officeDocument/2006/relationships/hyperlink" Target="https://drive.google.com/open?id=1zzfXe9-nQE_bEn8D86aM3e6v6Kbk_ii3" TargetMode="External"/><Relationship Id="rId240" Type="http://schemas.openxmlformats.org/officeDocument/2006/relationships/hyperlink" Target="https://drive.google.com/open?id=1lZdsIVi-gBi1yNWdyzleenIuGfrpGQHE" TargetMode="External"/><Relationship Id="rId482" Type="http://schemas.openxmlformats.org/officeDocument/2006/relationships/hyperlink" Target="https://drive.google.com/open?id=1s8o0lort_B-bCSWZt2iHl47lpXvcGr3D" TargetMode="External"/><Relationship Id="rId1075" Type="http://schemas.openxmlformats.org/officeDocument/2006/relationships/hyperlink" Target="https://drive.google.com/open?id=1ErHoAS0rbUqAx2xmIidJ-gPnYO0IjKx7" TargetMode="External"/><Relationship Id="rId481" Type="http://schemas.openxmlformats.org/officeDocument/2006/relationships/hyperlink" Target="https://drive.google.com/open?id=1fzFlOpnqdBT65NKzTdEVLNr3bW7DCyYx" TargetMode="External"/><Relationship Id="rId1076" Type="http://schemas.openxmlformats.org/officeDocument/2006/relationships/hyperlink" Target="https://drive.google.com/open?id=1sI2r7kWhk4mTtC8GXBRNPIVuWHQ6ROAT" TargetMode="External"/><Relationship Id="rId246" Type="http://schemas.openxmlformats.org/officeDocument/2006/relationships/hyperlink" Target="https://drive.google.com/open?id=1qJ3BBvJRUqG5-iA7PLR6tUtrCr3JLsY8" TargetMode="External"/><Relationship Id="rId488" Type="http://schemas.openxmlformats.org/officeDocument/2006/relationships/hyperlink" Target="https://drive.google.com/open?id=1YP_TIrfkQJhnLc4wAEHhtEnmudxtExvE" TargetMode="External"/><Relationship Id="rId1077" Type="http://schemas.openxmlformats.org/officeDocument/2006/relationships/hyperlink" Target="https://drive.google.com/open?id=1yJMs2LrNiG-wB2hpNp8VdvPlbIxO7k9v" TargetMode="External"/><Relationship Id="rId245" Type="http://schemas.openxmlformats.org/officeDocument/2006/relationships/hyperlink" Target="https://drive.google.com/open?id=1xZzXf2li0ESfRV5jwlL9SZs2WodIYv8W" TargetMode="External"/><Relationship Id="rId487" Type="http://schemas.openxmlformats.org/officeDocument/2006/relationships/hyperlink" Target="https://drive.google.com/open?id=1Cyx_ovKLYXEFNmktL0GQ3rInHBIJ_8HY" TargetMode="External"/><Relationship Id="rId1078" Type="http://schemas.openxmlformats.org/officeDocument/2006/relationships/hyperlink" Target="https://drive.google.com/open?id=1XtIMKP4DZyVduAae4ESBSeJajMP_LQem" TargetMode="External"/><Relationship Id="rId244" Type="http://schemas.openxmlformats.org/officeDocument/2006/relationships/hyperlink" Target="https://drive.google.com/open?id=1xPuxIajfX6SaNF29BkGYOGCFWMg77yrc" TargetMode="External"/><Relationship Id="rId486" Type="http://schemas.openxmlformats.org/officeDocument/2006/relationships/hyperlink" Target="https://drive.google.com/open?id=1EYOKAxaCjDMaZuuCu1tVYPeTgzmgzSph" TargetMode="External"/><Relationship Id="rId1079" Type="http://schemas.openxmlformats.org/officeDocument/2006/relationships/hyperlink" Target="https://drive.google.com/open?id=1AXg2St0N26WfkkCwMtI0d8CI1LiIWtNT" TargetMode="External"/><Relationship Id="rId243" Type="http://schemas.openxmlformats.org/officeDocument/2006/relationships/hyperlink" Target="https://drive.google.com/open?id=1k0hDPwa_cwn8s4n4On5LYy4RWb6jjlIb" TargetMode="External"/><Relationship Id="rId485" Type="http://schemas.openxmlformats.org/officeDocument/2006/relationships/hyperlink" Target="https://drive.google.com/open?id=1qweIClmM2tByKy4Ti5rM5xBmGCFQwUOr" TargetMode="External"/><Relationship Id="rId480" Type="http://schemas.openxmlformats.org/officeDocument/2006/relationships/hyperlink" Target="https://drive.google.com/open?id=1cldsvPBlDr2zrQE7azU46GMHmQik_-lj" TargetMode="External"/><Relationship Id="rId239" Type="http://schemas.openxmlformats.org/officeDocument/2006/relationships/hyperlink" Target="https://drive.google.com/open?id=14HMRleqUVsK8K9E8HrhI_WpeU4IwtkV1" TargetMode="External"/><Relationship Id="rId238" Type="http://schemas.openxmlformats.org/officeDocument/2006/relationships/hyperlink" Target="https://drive.google.com/open?id=1FhmxW55ZhRZ1eulAU7eWLFybnayW9C8F" TargetMode="External"/><Relationship Id="rId237" Type="http://schemas.openxmlformats.org/officeDocument/2006/relationships/hyperlink" Target="https://drive.google.com/open?id=1sZJmcOYY4nIKzk_AKndftuJt9f9hk-TU" TargetMode="External"/><Relationship Id="rId479" Type="http://schemas.openxmlformats.org/officeDocument/2006/relationships/hyperlink" Target="https://drive.google.com/open?id=1KjtzrwJdWxQGysgO7dDNRIwi-LQgjRgj" TargetMode="External"/><Relationship Id="rId236" Type="http://schemas.openxmlformats.org/officeDocument/2006/relationships/hyperlink" Target="https://drive.google.com/open?id=1OQqyFPKFkQm-4uXgDu_vd88fP98DrGIR" TargetMode="External"/><Relationship Id="rId478" Type="http://schemas.openxmlformats.org/officeDocument/2006/relationships/hyperlink" Target="https://drive.google.com/open?id=1cKS4Aciad3y2lA-_Np13z6ZIIPGoQsFg" TargetMode="External"/><Relationship Id="rId1060" Type="http://schemas.openxmlformats.org/officeDocument/2006/relationships/hyperlink" Target="https://drive.google.com/open?id=1oScnBb4YJBZhlwSD957dBJ0fnhxpDoot" TargetMode="External"/><Relationship Id="rId1061" Type="http://schemas.openxmlformats.org/officeDocument/2006/relationships/hyperlink" Target="https://drive.google.com/open?id=1tR7gSvGJm8TrAdtQhlLVanXLAvo2oAI5" TargetMode="External"/><Relationship Id="rId231" Type="http://schemas.openxmlformats.org/officeDocument/2006/relationships/hyperlink" Target="https://drive.google.com/open?id=1J3FWBKpXp-r_o-LmGr4YKw6CfFGXllxr" TargetMode="External"/><Relationship Id="rId473" Type="http://schemas.openxmlformats.org/officeDocument/2006/relationships/hyperlink" Target="https://drive.google.com/open?id=1gwGulCrdkF7Tc_ff6HejnsfK3JrVTecM" TargetMode="External"/><Relationship Id="rId1062" Type="http://schemas.openxmlformats.org/officeDocument/2006/relationships/hyperlink" Target="https://drive.google.com/open?id=1QX64n7aUXGqIX8RIoTv1jE9kBLdBlQXW" TargetMode="External"/><Relationship Id="rId230" Type="http://schemas.openxmlformats.org/officeDocument/2006/relationships/hyperlink" Target="https://drive.google.com/file/d/1EIMNx7wSIQN2DXBB46g59TN2msyrm9O9/view?usp=drive_link" TargetMode="External"/><Relationship Id="rId472" Type="http://schemas.openxmlformats.org/officeDocument/2006/relationships/hyperlink" Target="https://drive.google.com/open?id=14qnOoInmDGkfHlNVJIYi-u6ZGmQp91uD" TargetMode="External"/><Relationship Id="rId1063" Type="http://schemas.openxmlformats.org/officeDocument/2006/relationships/hyperlink" Target="https://drive.google.com/open?id=1ER86z65BwGQ0NYk_egzeT-N277yJtzcA" TargetMode="External"/><Relationship Id="rId471" Type="http://schemas.openxmlformats.org/officeDocument/2006/relationships/hyperlink" Target="https://drive.google.com/open?id=13p_goAQct7KhxsyjwJOOs4f5wCejR0uh" TargetMode="External"/><Relationship Id="rId1064" Type="http://schemas.openxmlformats.org/officeDocument/2006/relationships/hyperlink" Target="https://drive.google.com/open?id=1gUYE4OiUPCtfKOxXm8lT8p06GI-tC3fN" TargetMode="External"/><Relationship Id="rId470" Type="http://schemas.openxmlformats.org/officeDocument/2006/relationships/hyperlink" Target="https://drive.google.com/open?id=12De6V-GYjqqAZVfw9rQHFe7shPS7Y6vQ" TargetMode="External"/><Relationship Id="rId1065" Type="http://schemas.openxmlformats.org/officeDocument/2006/relationships/hyperlink" Target="https://drive.google.com/open?id=1Oc7Q1cKMZzIQ7_wzDIDr3u0ll6TwFXPL" TargetMode="External"/><Relationship Id="rId235" Type="http://schemas.openxmlformats.org/officeDocument/2006/relationships/hyperlink" Target="https://drive.google.com/file/d/1yXbJAKKhAQGPp3Ouwb_22z-2gufLiNcj/view?usp=drive_link" TargetMode="External"/><Relationship Id="rId477" Type="http://schemas.openxmlformats.org/officeDocument/2006/relationships/hyperlink" Target="https://drive.google.com/open?id=1wG29YCpZkWChvNKgjNWYexf2CyuWZOqM" TargetMode="External"/><Relationship Id="rId1066" Type="http://schemas.openxmlformats.org/officeDocument/2006/relationships/hyperlink" Target="https://drive.google.com/open?id=1JlzpUecNAyJpxxPNvNAemTzTJnlHLUet" TargetMode="External"/><Relationship Id="rId234" Type="http://schemas.openxmlformats.org/officeDocument/2006/relationships/hyperlink" Target="https://drive.google.com/file/d/1Ug8VP292w5tvDKxeTjdSG1E-f2-uV_Em/view?usp=drive_link" TargetMode="External"/><Relationship Id="rId476" Type="http://schemas.openxmlformats.org/officeDocument/2006/relationships/hyperlink" Target="https://drive.google.com/open?id=1zqvaFKnbCUOgZvA5h7GXyadZqC-nKg3p" TargetMode="External"/><Relationship Id="rId1067" Type="http://schemas.openxmlformats.org/officeDocument/2006/relationships/hyperlink" Target="https://drive.google.com/open?id=17ZxIxqlMo4D4LkCaH_7YQZD9NKtUVqJQ" TargetMode="External"/><Relationship Id="rId233" Type="http://schemas.openxmlformats.org/officeDocument/2006/relationships/hyperlink" Target="https://drive.google.com/open?id=1At97IzXZlLI42vGYNE7orwlAqPjzKIx_" TargetMode="External"/><Relationship Id="rId475" Type="http://schemas.openxmlformats.org/officeDocument/2006/relationships/hyperlink" Target="https://drive.google.com/open?id=16NnHDU7JInRK6CHpO-CFj-WZxkxOaPBL" TargetMode="External"/><Relationship Id="rId1068" Type="http://schemas.openxmlformats.org/officeDocument/2006/relationships/hyperlink" Target="https://drive.google.com/open?id=17WamdSFwc_DFDWGzXLsyCo6NV_WV2SnJ" TargetMode="External"/><Relationship Id="rId232" Type="http://schemas.openxmlformats.org/officeDocument/2006/relationships/hyperlink" Target="https://drive.google.com/file/d/1pj5UTXzTztrspfpyJy9jPVVdzNiLpbpj/view?usp=drive_link" TargetMode="External"/><Relationship Id="rId474" Type="http://schemas.openxmlformats.org/officeDocument/2006/relationships/hyperlink" Target="https://drive.google.com/open?id=16F058S3ofRLijGkEUOIYMfcU4Q8WDTTC" TargetMode="External"/><Relationship Id="rId1069" Type="http://schemas.openxmlformats.org/officeDocument/2006/relationships/hyperlink" Target="https://drive.google.com/open?id=1MsRN2-kjEFKoy_6tHyE5y7G7u9XnGEpy" TargetMode="External"/><Relationship Id="rId1015" Type="http://schemas.openxmlformats.org/officeDocument/2006/relationships/hyperlink" Target="https://drive.google.com/open?id=1K5Sl4oCptG5OXH5-1HjzPtkJB-N7ZGtK" TargetMode="External"/><Relationship Id="rId1257" Type="http://schemas.openxmlformats.org/officeDocument/2006/relationships/hyperlink" Target="https://drive.google.com/open?id=1ex0biaIDXceSOrhr5n7aA2m_jYFqVe9A" TargetMode="External"/><Relationship Id="rId1016" Type="http://schemas.openxmlformats.org/officeDocument/2006/relationships/hyperlink" Target="https://drive.google.com/open?id=1d0W0a1RA7Ga6PAKVCu2c9KnudK5ntnjk" TargetMode="External"/><Relationship Id="rId1258" Type="http://schemas.openxmlformats.org/officeDocument/2006/relationships/hyperlink" Target="https://drive.google.com/open?id=1E0wrc94a_ME2m16PYXvVVdCUQHofI9rd" TargetMode="External"/><Relationship Id="rId1017" Type="http://schemas.openxmlformats.org/officeDocument/2006/relationships/hyperlink" Target="https://drive.google.com/open?id=1FxjmIOMvtOxnlNyAfhudwwFiimWhJV2f" TargetMode="External"/><Relationship Id="rId1259" Type="http://schemas.openxmlformats.org/officeDocument/2006/relationships/hyperlink" Target="https://drive.google.com/open?id=1hpzauI11nctOtA-Rvi8qDzw04s6GtSqV" TargetMode="External"/><Relationship Id="rId1018" Type="http://schemas.openxmlformats.org/officeDocument/2006/relationships/hyperlink" Target="https://drive.google.com/open?id=12Pos9A782qERH9H5fs3Ld7nN6YnKpaf8" TargetMode="External"/><Relationship Id="rId1019" Type="http://schemas.openxmlformats.org/officeDocument/2006/relationships/hyperlink" Target="https://drive.google.com/open?id=1f9S6l913TiomJgIVIQmiSHHH9Gw0Jre9" TargetMode="External"/><Relationship Id="rId426" Type="http://schemas.openxmlformats.org/officeDocument/2006/relationships/hyperlink" Target="https://drive.google.com/open?id=1ivGXG7d0x3k8iU_LT4PkueUuxPTvoamc" TargetMode="External"/><Relationship Id="rId668" Type="http://schemas.openxmlformats.org/officeDocument/2006/relationships/hyperlink" Target="https://drive.google.com/open?id=1frKNgY9Hhe9pPWjDOJDxhvS7XINIJ3U8" TargetMode="External"/><Relationship Id="rId425" Type="http://schemas.openxmlformats.org/officeDocument/2006/relationships/hyperlink" Target="https://drive.google.com/open?id=1h0CmlQPJme3hIEMkKNoeU5mnnvOBp97p" TargetMode="External"/><Relationship Id="rId667" Type="http://schemas.openxmlformats.org/officeDocument/2006/relationships/hyperlink" Target="https://drive.google.com/open?id=1_wU7gzAJJWj7llvS6C4CPHhVYA0SQst5" TargetMode="External"/><Relationship Id="rId424" Type="http://schemas.openxmlformats.org/officeDocument/2006/relationships/hyperlink" Target="https://drive.google.com/open?id=1qAxiHQa_-28MKa5mlldT9_LF6tPE411m" TargetMode="External"/><Relationship Id="rId666" Type="http://schemas.openxmlformats.org/officeDocument/2006/relationships/hyperlink" Target="https://drive.google.com/open?id=17hwGbzoojuIaVWl27sG5ERbnEv7stIU9" TargetMode="External"/><Relationship Id="rId423" Type="http://schemas.openxmlformats.org/officeDocument/2006/relationships/hyperlink" Target="https://drive.google.com/open?id=18yVdX2rk1ZP8NH0vaobRxFVXCpFCHmJ_" TargetMode="External"/><Relationship Id="rId665" Type="http://schemas.openxmlformats.org/officeDocument/2006/relationships/hyperlink" Target="https://drive.google.com/open?id=14415bcUiIt0OwWttq0MVBRUMY27gpcm-" TargetMode="External"/><Relationship Id="rId429" Type="http://schemas.openxmlformats.org/officeDocument/2006/relationships/hyperlink" Target="https://drive.google.com/open?id=1auxKaKnnKsajiut7XLiOcfZjFYrdBY5C" TargetMode="External"/><Relationship Id="rId428" Type="http://schemas.openxmlformats.org/officeDocument/2006/relationships/hyperlink" Target="https://drive.google.com/open?id=1IbLr7uhuNkb1eCBCmaa2HZoHrxZ5AuY0" TargetMode="External"/><Relationship Id="rId427" Type="http://schemas.openxmlformats.org/officeDocument/2006/relationships/hyperlink" Target="https://drive.google.com/open?id=1lvLEKIdEn2Eax_vZH_hhxZOtaLvsB4vj" TargetMode="External"/><Relationship Id="rId669" Type="http://schemas.openxmlformats.org/officeDocument/2006/relationships/hyperlink" Target="https://drive.google.com/open?id=1NTjWUhCPhcjoXoVZnd9FawEnvBjs9h0L" TargetMode="External"/><Relationship Id="rId660" Type="http://schemas.openxmlformats.org/officeDocument/2006/relationships/hyperlink" Target="https://drive.google.com/open?id=1Aq6bQybetF-Ds6Rj9_EoaZkt3L0hhoBz" TargetMode="External"/><Relationship Id="rId1250" Type="http://schemas.openxmlformats.org/officeDocument/2006/relationships/hyperlink" Target="https://drive.google.com/file/d/1vVMDf1ys3OhW--U0r1HPLBa_5CIj1VU8/view?usp=drive_link" TargetMode="External"/><Relationship Id="rId1251" Type="http://schemas.openxmlformats.org/officeDocument/2006/relationships/hyperlink" Target="https://drive.google.com/open?id=1ihbnX0FChZEEy4mVq8FVO8X9z5cLGX8G" TargetMode="External"/><Relationship Id="rId1010" Type="http://schemas.openxmlformats.org/officeDocument/2006/relationships/hyperlink" Target="https://drive.google.com/open?id=1KZwhmooVj1yAu9hSOfsk3v-a-c1CjzXK" TargetMode="External"/><Relationship Id="rId1252" Type="http://schemas.openxmlformats.org/officeDocument/2006/relationships/hyperlink" Target="https://drive.google.com/file/d/1O5BgxIC_pJtrOa32O6U_NYGapHjhZIjO/view?usp=drive_link" TargetMode="External"/><Relationship Id="rId422" Type="http://schemas.openxmlformats.org/officeDocument/2006/relationships/hyperlink" Target="https://drive.google.com/open?id=12wHTasG807YamjS4PrN4rVWxUmYGVYV6" TargetMode="External"/><Relationship Id="rId664" Type="http://schemas.openxmlformats.org/officeDocument/2006/relationships/hyperlink" Target="https://drive.google.com/open?id=1OqltWyx47L-yRbbUUurDlfaQknFe8qrq" TargetMode="External"/><Relationship Id="rId1011" Type="http://schemas.openxmlformats.org/officeDocument/2006/relationships/hyperlink" Target="https://drive.google.com/open?id=1n7SieE5OHcQDpxoUe1jNMJO1WoISIyPK" TargetMode="External"/><Relationship Id="rId1253" Type="http://schemas.openxmlformats.org/officeDocument/2006/relationships/hyperlink" Target="https://drive.google.com/open?id=1Sqnjg21D-ufacSNIbkhOwMiLuHF7cIuf" TargetMode="External"/><Relationship Id="rId421" Type="http://schemas.openxmlformats.org/officeDocument/2006/relationships/hyperlink" Target="https://drive.google.com/open?id=1y7CD9ikF4b3sIfwq9imC_0KMQjm7Xlii" TargetMode="External"/><Relationship Id="rId663" Type="http://schemas.openxmlformats.org/officeDocument/2006/relationships/hyperlink" Target="https://drive.google.com/open?id=15qd3A3eppIx9uk8Rlku9ZcL765ru7Ji6" TargetMode="External"/><Relationship Id="rId1012" Type="http://schemas.openxmlformats.org/officeDocument/2006/relationships/hyperlink" Target="https://drive.google.com/open?id=1MBDSG4Sjh7PFJk_mBSZ4cAODRQKaQHYy" TargetMode="External"/><Relationship Id="rId1254" Type="http://schemas.openxmlformats.org/officeDocument/2006/relationships/hyperlink" Target="https://drive.google.com/open?id=1oE4K6_3zm-7r4uEevQGQpIAjsCamBPJp" TargetMode="External"/><Relationship Id="rId420" Type="http://schemas.openxmlformats.org/officeDocument/2006/relationships/hyperlink" Target="https://drive.google.com/open?id=1D14l-NAjL8m0GhqCUXKdqbf5e_P0eimq" TargetMode="External"/><Relationship Id="rId662" Type="http://schemas.openxmlformats.org/officeDocument/2006/relationships/hyperlink" Target="https://drive.google.com/open?id=17XRdT3x-IXIZQEQMSGYnb9vWea-rW1pa" TargetMode="External"/><Relationship Id="rId1013" Type="http://schemas.openxmlformats.org/officeDocument/2006/relationships/hyperlink" Target="https://drive.google.com/open?id=10sWc5-n4napXsYsMN3LSHmHgcXloioee" TargetMode="External"/><Relationship Id="rId1255" Type="http://schemas.openxmlformats.org/officeDocument/2006/relationships/hyperlink" Target="https://drive.google.com/open?id=1Zgc0ZE2Cg11V6qlrgTn746WOIeKhfN95" TargetMode="External"/><Relationship Id="rId661" Type="http://schemas.openxmlformats.org/officeDocument/2006/relationships/hyperlink" Target="https://drive.google.com/open?id=1GDn_lip5LI2q2SYJu9hCZdPKEvctvjI-" TargetMode="External"/><Relationship Id="rId1014" Type="http://schemas.openxmlformats.org/officeDocument/2006/relationships/hyperlink" Target="https://drive.google.com/open?id=1TB4nBp7bgNxMRqKVbb-vAstKlYkNWSWL" TargetMode="External"/><Relationship Id="rId1256" Type="http://schemas.openxmlformats.org/officeDocument/2006/relationships/hyperlink" Target="https://drive.google.com/open?id=1JMg9lRzAm5YVaso8L6jYuFwhptvNL3lu" TargetMode="External"/><Relationship Id="rId1004" Type="http://schemas.openxmlformats.org/officeDocument/2006/relationships/hyperlink" Target="https://drive.google.com/open?id=18EO0xicOCKGsOY-dh2EPY-axRy2y2SNF" TargetMode="External"/><Relationship Id="rId1246" Type="http://schemas.openxmlformats.org/officeDocument/2006/relationships/hyperlink" Target="https://drive.google.com/file/d/1q5fGIBPN4Ub6QFnlkfsJLexcm5nL_TR0/view?usp=drive_link" TargetMode="External"/><Relationship Id="rId1005" Type="http://schemas.openxmlformats.org/officeDocument/2006/relationships/hyperlink" Target="https://drive.google.com/open?id=1PAP7GefNjUOFPJ8qwGkWk9rOHmRtFlEg" TargetMode="External"/><Relationship Id="rId1247" Type="http://schemas.openxmlformats.org/officeDocument/2006/relationships/hyperlink" Target="https://drive.google.com/file/d/18s2h4NgOiFnFuYjwz5LGaBI9ffe5vSfb/view?usp=drive_link" TargetMode="External"/><Relationship Id="rId1006" Type="http://schemas.openxmlformats.org/officeDocument/2006/relationships/hyperlink" Target="https://drive.google.com/open?id=1fUkA06yXBaq4nV4Q57P4ctMK9CBNqSNr" TargetMode="External"/><Relationship Id="rId1248" Type="http://schemas.openxmlformats.org/officeDocument/2006/relationships/hyperlink" Target="https://drive.google.com/open?id=1Wx3JnfT_w2Atl1YQHbRzPI4BR0l_U-7d" TargetMode="External"/><Relationship Id="rId1007" Type="http://schemas.openxmlformats.org/officeDocument/2006/relationships/hyperlink" Target="https://drive.google.com/open?id=1iedzbKvs7BdpHGdjtlm0mkunLq0cZdYH" TargetMode="External"/><Relationship Id="rId1249" Type="http://schemas.openxmlformats.org/officeDocument/2006/relationships/hyperlink" Target="https://drive.google.com/open?id=1jjsBawf8yhaXgOGO1w3znowMIk9FPTGm" TargetMode="External"/><Relationship Id="rId1008" Type="http://schemas.openxmlformats.org/officeDocument/2006/relationships/hyperlink" Target="https://drive.google.com/open?id=1wsfrvaMifpZLuKc6v0AsI6km8pM2NfWd" TargetMode="External"/><Relationship Id="rId1009" Type="http://schemas.openxmlformats.org/officeDocument/2006/relationships/hyperlink" Target="https://drive.google.com/open?id=1_hfzgAv_iU7hl0LJnP2xSGtCq1bufHHF" TargetMode="External"/><Relationship Id="rId415" Type="http://schemas.openxmlformats.org/officeDocument/2006/relationships/hyperlink" Target="https://drive.google.com/open?id=1gJpMZxGrtgZIDNwvs6tqTzzKl7zYeHsT" TargetMode="External"/><Relationship Id="rId657" Type="http://schemas.openxmlformats.org/officeDocument/2006/relationships/hyperlink" Target="https://drive.google.com/open?id=1R83_pHzl3j9aOO0CMApn-fWmXHtjtFHT" TargetMode="External"/><Relationship Id="rId899" Type="http://schemas.openxmlformats.org/officeDocument/2006/relationships/hyperlink" Target="https://drive.google.com/open?id=1qZv03A593QBAXNeA0otM4vdTdWGwIr1Y" TargetMode="External"/><Relationship Id="rId414" Type="http://schemas.openxmlformats.org/officeDocument/2006/relationships/hyperlink" Target="https://drive.google.com/open?id=1ZzrcTeOidPtfIDnrBfHbmjIQexw5Ox7Y" TargetMode="External"/><Relationship Id="rId656" Type="http://schemas.openxmlformats.org/officeDocument/2006/relationships/hyperlink" Target="https://drive.google.com/open?id=13Vz5Ib4Fx-4f82lRSZXyLQC8MHaS1-l9" TargetMode="External"/><Relationship Id="rId898" Type="http://schemas.openxmlformats.org/officeDocument/2006/relationships/hyperlink" Target="https://drive.google.com/open?id=1uQZmplAeW_khsU3rTwrJzv3YRIshkb_Z" TargetMode="External"/><Relationship Id="rId413" Type="http://schemas.openxmlformats.org/officeDocument/2006/relationships/hyperlink" Target="https://drive.google.com/open?id=1_cHM-eiykRp8CPVA1M2RZ-4BYRIzV3kV" TargetMode="External"/><Relationship Id="rId655" Type="http://schemas.openxmlformats.org/officeDocument/2006/relationships/hyperlink" Target="https://drive.google.com/open?id=1O3TAQSDArIuUtHqQ_qOBHFSOE2T1VZuY" TargetMode="External"/><Relationship Id="rId897" Type="http://schemas.openxmlformats.org/officeDocument/2006/relationships/hyperlink" Target="https://drive.google.com/open?id=1fcotx_8HFVYVk-TXC0-BvqnU41W2cOay" TargetMode="External"/><Relationship Id="rId412" Type="http://schemas.openxmlformats.org/officeDocument/2006/relationships/hyperlink" Target="https://drive.google.com/open?id=1BICpKMbXfQ2YNjoqkeKahQOsHeV2GPIq" TargetMode="External"/><Relationship Id="rId654" Type="http://schemas.openxmlformats.org/officeDocument/2006/relationships/hyperlink" Target="https://drive.google.com/open?id=1Zc4gwY5jGyX1W4gpeh8pYagIFjo7kMmB" TargetMode="External"/><Relationship Id="rId896" Type="http://schemas.openxmlformats.org/officeDocument/2006/relationships/hyperlink" Target="https://drive.google.com/open?id=1s_YSeHYFg0cLThqv6sfDD3eH3LEPjoPY" TargetMode="External"/><Relationship Id="rId419" Type="http://schemas.openxmlformats.org/officeDocument/2006/relationships/hyperlink" Target="https://drive.google.com/open?id=1JR6gskmiMNA2K9bggOYHQsHl0cIVEFKO" TargetMode="External"/><Relationship Id="rId418" Type="http://schemas.openxmlformats.org/officeDocument/2006/relationships/hyperlink" Target="https://drive.google.com/open?id=1v4PKojb1MR8TGH-4V0zRUGqHRRdF_2Hf" TargetMode="External"/><Relationship Id="rId417" Type="http://schemas.openxmlformats.org/officeDocument/2006/relationships/hyperlink" Target="https://drive.google.com/open?id=1iSBYCO7Vcul7mApUbalVju-7IQ_O-XVm" TargetMode="External"/><Relationship Id="rId659" Type="http://schemas.openxmlformats.org/officeDocument/2006/relationships/hyperlink" Target="https://drive.google.com/open?id=1PSfRpZvj3CFxcIyQ6f5zHTjW40FLlK0a" TargetMode="External"/><Relationship Id="rId416" Type="http://schemas.openxmlformats.org/officeDocument/2006/relationships/hyperlink" Target="https://drive.google.com/open?id=122tUmXEUg4ddWb1l0dkKc6hEEen6owgu" TargetMode="External"/><Relationship Id="rId658" Type="http://schemas.openxmlformats.org/officeDocument/2006/relationships/hyperlink" Target="https://drive.google.com/open?id=1RbpkD2I6UMTAxWOskKDijKUwCF7Xv2pi" TargetMode="External"/><Relationship Id="rId891" Type="http://schemas.openxmlformats.org/officeDocument/2006/relationships/hyperlink" Target="https://drive.google.com/open?id=1gJnSV-x-4KHKHGlYFdGUA2U8bV1C4vm-" TargetMode="External"/><Relationship Id="rId890" Type="http://schemas.openxmlformats.org/officeDocument/2006/relationships/hyperlink" Target="https://drive.google.com/open?id=1Vn5nwADCpJNgoMAlcPR5UJnXHL62nF6_" TargetMode="External"/><Relationship Id="rId1240" Type="http://schemas.openxmlformats.org/officeDocument/2006/relationships/hyperlink" Target="https://drive.google.com/file/d/1jTPOACXlXuK4zAiM05k3hggjt9vpSaWV/view?usp=drive_link" TargetMode="External"/><Relationship Id="rId1241" Type="http://schemas.openxmlformats.org/officeDocument/2006/relationships/hyperlink" Target="https://drive.google.com/open?id=1e8JXtMafRFd9CJPIr-PWoxFzNv_o-Q7z" TargetMode="External"/><Relationship Id="rId411" Type="http://schemas.openxmlformats.org/officeDocument/2006/relationships/hyperlink" Target="https://drive.google.com/open?id=1RPbf1bZ7_VzntBnTXLC1vw9NFRnrkVIJ" TargetMode="External"/><Relationship Id="rId653" Type="http://schemas.openxmlformats.org/officeDocument/2006/relationships/hyperlink" Target="https://drive.google.com/open?id=1IX22z2iLbnmXD5oPgBgS0j5Gx7jnN2gu" TargetMode="External"/><Relationship Id="rId895" Type="http://schemas.openxmlformats.org/officeDocument/2006/relationships/hyperlink" Target="https://drive.google.com/file/d/1GmExB1ly3LPCq2jRKxd-Z_j33v51ZYHY/view?usp=sharing" TargetMode="External"/><Relationship Id="rId1000" Type="http://schemas.openxmlformats.org/officeDocument/2006/relationships/hyperlink" Target="https://drive.google.com/open?id=1CwdfmLH5YiOQyTIrG1q0MCeY04HwNCnW" TargetMode="External"/><Relationship Id="rId1242" Type="http://schemas.openxmlformats.org/officeDocument/2006/relationships/hyperlink" Target="https://drive.google.com/open?id=1bvPs8CF4EPObp9lNs_zHfSqof3XTihnX" TargetMode="External"/><Relationship Id="rId410" Type="http://schemas.openxmlformats.org/officeDocument/2006/relationships/hyperlink" Target="https://drive.google.com/open?id=1VYUIERcO7_UaWnkHTppNbQLXOVKY1X9H" TargetMode="External"/><Relationship Id="rId652" Type="http://schemas.openxmlformats.org/officeDocument/2006/relationships/hyperlink" Target="https://drive.google.com/open?id=1fhnUC8aO4yM8kSNflRckClKeP5c6Uzbj" TargetMode="External"/><Relationship Id="rId894" Type="http://schemas.openxmlformats.org/officeDocument/2006/relationships/hyperlink" Target="https://drive.google.com/open?id=1IYGDoKl36kzOV_WZUuWrJ4eiX17_dxto" TargetMode="External"/><Relationship Id="rId1001" Type="http://schemas.openxmlformats.org/officeDocument/2006/relationships/hyperlink" Target="https://drive.google.com/open?id=136e2a420Q42dJRq0yxTOR6ez07sOFpN7" TargetMode="External"/><Relationship Id="rId1243" Type="http://schemas.openxmlformats.org/officeDocument/2006/relationships/hyperlink" Target="https://drive.google.com/file/d/1PC9t-b3j7TVVhRGQHyOoS97Y4rJRRhDr/view?usp=drive_link" TargetMode="External"/><Relationship Id="rId651" Type="http://schemas.openxmlformats.org/officeDocument/2006/relationships/hyperlink" Target="https://drive.google.com/open?id=1NLdjUUqbODtbnYvK7WLMWw5z9l1WKbzp" TargetMode="External"/><Relationship Id="rId893" Type="http://schemas.openxmlformats.org/officeDocument/2006/relationships/hyperlink" Target="https://drive.google.com/open?id=1iPg3lD2FyXdJq1P6o6BAvlhXQFPWxErA" TargetMode="External"/><Relationship Id="rId1002" Type="http://schemas.openxmlformats.org/officeDocument/2006/relationships/hyperlink" Target="https://drive.google.com/open?id=1yZ0Eq2VkFN3ihmrTRORciMs0NohCOTKi" TargetMode="External"/><Relationship Id="rId1244" Type="http://schemas.openxmlformats.org/officeDocument/2006/relationships/hyperlink" Target="https://drive.google.com/file/d/1LA370gMA7iVg_stKChDlmOWj9JSZ5Ymj/view?usp=drive_link" TargetMode="External"/><Relationship Id="rId650" Type="http://schemas.openxmlformats.org/officeDocument/2006/relationships/hyperlink" Target="https://drive.google.com/open?id=1LDbdFZryofoJ8frIE1MYhtKQtNo-bunN" TargetMode="External"/><Relationship Id="rId892" Type="http://schemas.openxmlformats.org/officeDocument/2006/relationships/hyperlink" Target="https://drive.google.com/open?id=1Ftk66St4UXBFX60wBZ8g2bkKy78NQjf1" TargetMode="External"/><Relationship Id="rId1003" Type="http://schemas.openxmlformats.org/officeDocument/2006/relationships/hyperlink" Target="https://drive.google.com/open?id=13TCvSMBFW_bqgdYX8zsdblb32U0XgOSj" TargetMode="External"/><Relationship Id="rId1245" Type="http://schemas.openxmlformats.org/officeDocument/2006/relationships/hyperlink" Target="https://drive.google.com/open?id=1HRSsQOoaFKIKuc3pLqG7u-NJgtyL9FB2" TargetMode="External"/><Relationship Id="rId1037" Type="http://schemas.openxmlformats.org/officeDocument/2006/relationships/hyperlink" Target="https://drive.google.com/open?id=1jToCv6f_gkYmHD4uYpoNxu_nWNy33KUx" TargetMode="External"/><Relationship Id="rId1279" Type="http://schemas.openxmlformats.org/officeDocument/2006/relationships/hyperlink" Target="https://drive.google.com/open?id=1FY6GDt92ayknXR_Eh-SbBNBLZZBn88Kx" TargetMode="External"/><Relationship Id="rId1038" Type="http://schemas.openxmlformats.org/officeDocument/2006/relationships/hyperlink" Target="https://drive.google.com/open?id=1eRi2QbWd307tny3_Vtgkpj5MJu_Xxawl" TargetMode="External"/><Relationship Id="rId1039" Type="http://schemas.openxmlformats.org/officeDocument/2006/relationships/hyperlink" Target="https://drive.google.com/open?id=1Jh9GjKKDjUZD4P2oHg_BAnOvkW5XeCen" TargetMode="External"/><Relationship Id="rId206" Type="http://schemas.openxmlformats.org/officeDocument/2006/relationships/hyperlink" Target="https://drive.google.com/open?id=19IY6j8Vv3B-D5PYOLcbtE9L81yiUH5BE" TargetMode="External"/><Relationship Id="rId448" Type="http://schemas.openxmlformats.org/officeDocument/2006/relationships/hyperlink" Target="https://drive.google.com/open?id=1ZLIgTewvv5ccyckUPc-CzrO-AKww6v-l" TargetMode="External"/><Relationship Id="rId205" Type="http://schemas.openxmlformats.org/officeDocument/2006/relationships/hyperlink" Target="https://drive.google.com/open?id=1LhxZ-9XbnFWRFUDsix_KLeS85UJbPH4s" TargetMode="External"/><Relationship Id="rId447" Type="http://schemas.openxmlformats.org/officeDocument/2006/relationships/hyperlink" Target="https://drive.google.com/open?id=1MdjdFqxkn5wff15D8ksjid99cZz-gkR4" TargetMode="External"/><Relationship Id="rId689" Type="http://schemas.openxmlformats.org/officeDocument/2006/relationships/hyperlink" Target="https://drive.google.com/open?id=1IOokRKKV5YfdGI_WKgq4bcySAxcmWeEw" TargetMode="External"/><Relationship Id="rId204" Type="http://schemas.openxmlformats.org/officeDocument/2006/relationships/hyperlink" Target="https://drive.google.com/open?id=1-1uBV1JKCsVXGWQwDAoVV-KDSU5RLdv9" TargetMode="External"/><Relationship Id="rId446" Type="http://schemas.openxmlformats.org/officeDocument/2006/relationships/hyperlink" Target="https://drive.google.com/open?id=1-2Eh4bcLrPaRU29snlyWpok9d5Z9kSnE" TargetMode="External"/><Relationship Id="rId688" Type="http://schemas.openxmlformats.org/officeDocument/2006/relationships/hyperlink" Target="https://drive.google.com/open?id=1wk7Tordn6KaJoxoBC6fwgP-VBNanYhUz" TargetMode="External"/><Relationship Id="rId203" Type="http://schemas.openxmlformats.org/officeDocument/2006/relationships/hyperlink" Target="https://drive.google.com/open?id=15Ue0rGx9gQTY_TsCJr0kySZ6PaUqj37g" TargetMode="External"/><Relationship Id="rId445" Type="http://schemas.openxmlformats.org/officeDocument/2006/relationships/hyperlink" Target="https://drive.google.com/open?id=1YWOoS0DiquUAtmmJ1dliaAlutOygRw0s" TargetMode="External"/><Relationship Id="rId687" Type="http://schemas.openxmlformats.org/officeDocument/2006/relationships/hyperlink" Target="https://drive.google.com/open?id=11qwN6dxeRYUsaju4c_51cScOkA-f6jN8" TargetMode="External"/><Relationship Id="rId209" Type="http://schemas.openxmlformats.org/officeDocument/2006/relationships/hyperlink" Target="https://drive.google.com/open?id=13h-kEiRQJQifLpRrKlwEArdAogBSzokm" TargetMode="External"/><Relationship Id="rId208" Type="http://schemas.openxmlformats.org/officeDocument/2006/relationships/hyperlink" Target="https://drive.google.com/open?id=13mT83aVBzscmWOOEdW8vqtc5bw1FOhn9" TargetMode="External"/><Relationship Id="rId207" Type="http://schemas.openxmlformats.org/officeDocument/2006/relationships/hyperlink" Target="https://drive.google.com/open?id=1e53YyqXMkm-m6jZN6-Q7ShkxNdyJuYxq" TargetMode="External"/><Relationship Id="rId449" Type="http://schemas.openxmlformats.org/officeDocument/2006/relationships/hyperlink" Target="https://drive.google.com/open?id=1I2x74OpScjlytYOyQHoHk8qWQkJZY4YW" TargetMode="External"/><Relationship Id="rId1270" Type="http://schemas.openxmlformats.org/officeDocument/2006/relationships/hyperlink" Target="https://drive.google.com/file/d/1iRk9Nc77EyNwcJuNQH2HBBxLzRAYynVz/view?usp=drive_link" TargetMode="External"/><Relationship Id="rId440" Type="http://schemas.openxmlformats.org/officeDocument/2006/relationships/hyperlink" Target="https://drive.google.com/open?id=1L6V7_glf43lqG328d7ZAdm9-bnqIPmFV" TargetMode="External"/><Relationship Id="rId682" Type="http://schemas.openxmlformats.org/officeDocument/2006/relationships/hyperlink" Target="https://drive.google.com/open?id=1dkLwO5nB-cPIyh5vAQL-_MnKVetEc0Gw" TargetMode="External"/><Relationship Id="rId1271" Type="http://schemas.openxmlformats.org/officeDocument/2006/relationships/hyperlink" Target="https://drive.google.com/open?id=1GHWflDBXwAqucmS1pjN3cpBlC0-e6NIo" TargetMode="External"/><Relationship Id="rId681" Type="http://schemas.openxmlformats.org/officeDocument/2006/relationships/hyperlink" Target="https://drive.google.com/open?id=1VP_QFVms_N05ghyz_5h2tlDtiJgfLdWU" TargetMode="External"/><Relationship Id="rId1030" Type="http://schemas.openxmlformats.org/officeDocument/2006/relationships/hyperlink" Target="https://drive.google.com/open?id=1wH1IdkuaN20_lA046EtpsB745KDutPRC" TargetMode="External"/><Relationship Id="rId1272" Type="http://schemas.openxmlformats.org/officeDocument/2006/relationships/hyperlink" Target="https://drive.google.com/open?id=1B107z-E5O0O3iC0Op9oXWor0S0kTtzMg" TargetMode="External"/><Relationship Id="rId680" Type="http://schemas.openxmlformats.org/officeDocument/2006/relationships/hyperlink" Target="https://drive.google.com/open?id=1Ba2nKmzbU-HfZk33sWQkj-9UgLJcPuzT" TargetMode="External"/><Relationship Id="rId1031" Type="http://schemas.openxmlformats.org/officeDocument/2006/relationships/hyperlink" Target="https://drive.google.com/open?id=1jGkgCmpPflXu3r9ZmrCL2oRFtelaUu2f" TargetMode="External"/><Relationship Id="rId1273" Type="http://schemas.openxmlformats.org/officeDocument/2006/relationships/hyperlink" Target="https://drive.google.com/open?id=1Xq1j1Ytpli2fTIa39s-7-heBYfL9SitN" TargetMode="External"/><Relationship Id="rId1032" Type="http://schemas.openxmlformats.org/officeDocument/2006/relationships/hyperlink" Target="https://drive.google.com/open?id=1QcR7Yv7d0r9NUIqjK2O9K2r68yUdGlkG" TargetMode="External"/><Relationship Id="rId1274" Type="http://schemas.openxmlformats.org/officeDocument/2006/relationships/hyperlink" Target="https://drive.google.com/open?id=10eL9BLDjUnnRMI9GBhTnQkBoYyDd433g" TargetMode="External"/><Relationship Id="rId202" Type="http://schemas.openxmlformats.org/officeDocument/2006/relationships/hyperlink" Target="https://drive.google.com/open?id=1Z9W4gYDgHbe4RksdggyK1PA5luLIYFwS" TargetMode="External"/><Relationship Id="rId444" Type="http://schemas.openxmlformats.org/officeDocument/2006/relationships/hyperlink" Target="https://drive.google.com/open?id=1d1WSb3zzd0ot7FSnh7qTVvRykbsnPH3i" TargetMode="External"/><Relationship Id="rId686" Type="http://schemas.openxmlformats.org/officeDocument/2006/relationships/hyperlink" Target="https://drive.google.com/open?id=1PChbFEy925gfFmnARhqjo2T9CihqXFk5" TargetMode="External"/><Relationship Id="rId1033" Type="http://schemas.openxmlformats.org/officeDocument/2006/relationships/hyperlink" Target="https://drive.google.com/open?id=1x8c-G99oVgNNsG3xMvzPoFONUVIW2iJE" TargetMode="External"/><Relationship Id="rId1275" Type="http://schemas.openxmlformats.org/officeDocument/2006/relationships/hyperlink" Target="https://drive.google.com/file/d/1tULFWmFTTPpDFujlycatQJ_bMC727KL3/view?usp=drive_link" TargetMode="External"/><Relationship Id="rId201" Type="http://schemas.openxmlformats.org/officeDocument/2006/relationships/hyperlink" Target="https://drive.google.com/open?id=1sQ7YalYmmhaGPwsWzCPLXRCu2p8GYBUm" TargetMode="External"/><Relationship Id="rId443" Type="http://schemas.openxmlformats.org/officeDocument/2006/relationships/hyperlink" Target="https://drive.google.com/open?id=1e6MLpEvXEcYJxDEk0rH59lrv2XuEaP9T" TargetMode="External"/><Relationship Id="rId685" Type="http://schemas.openxmlformats.org/officeDocument/2006/relationships/hyperlink" Target="https://drive.google.com/open?id=18xgzlbCySLLYIb1Zd-EYgFU7LSn9MOt5" TargetMode="External"/><Relationship Id="rId1034" Type="http://schemas.openxmlformats.org/officeDocument/2006/relationships/hyperlink" Target="https://drive.google.com/open?id=1ojhPCJOt7Q4wIAZbJTRBv9KErEjbi0-W" TargetMode="External"/><Relationship Id="rId1276" Type="http://schemas.openxmlformats.org/officeDocument/2006/relationships/hyperlink" Target="https://drive.google.com/open?id=1maulPJVK7K42GmFqe9Aa1NJMxxgFWJNB" TargetMode="External"/><Relationship Id="rId200" Type="http://schemas.openxmlformats.org/officeDocument/2006/relationships/hyperlink" Target="https://drive.google.com/open?id=1xX5McZbzV6RVaYoULfaXW_k1AW_eB-6q" TargetMode="External"/><Relationship Id="rId442" Type="http://schemas.openxmlformats.org/officeDocument/2006/relationships/hyperlink" Target="https://drive.google.com/open?id=1QDRrrptPZvaYtmE1pF32Ibi1AhAkTFlt" TargetMode="External"/><Relationship Id="rId684" Type="http://schemas.openxmlformats.org/officeDocument/2006/relationships/hyperlink" Target="https://drive.google.com/open?id=1PKeUCt8QFKq71ufGzjrxvwpEQS0bpoux" TargetMode="External"/><Relationship Id="rId1035" Type="http://schemas.openxmlformats.org/officeDocument/2006/relationships/hyperlink" Target="https://drive.google.com/open?id=1vszGO_p_HH7SiA_Aqk1RkMg2T8CbvWTw" TargetMode="External"/><Relationship Id="rId1277" Type="http://schemas.openxmlformats.org/officeDocument/2006/relationships/hyperlink" Target="https://drive.google.com/open?id=145i-Ix-yiAnHgk4d2m329yGIRhQbOcth" TargetMode="External"/><Relationship Id="rId441" Type="http://schemas.openxmlformats.org/officeDocument/2006/relationships/hyperlink" Target="https://drive.google.com/open?id=1eaRutIbfjbc5tsIhU6Ciw3K88czzAS5Y" TargetMode="External"/><Relationship Id="rId683" Type="http://schemas.openxmlformats.org/officeDocument/2006/relationships/hyperlink" Target="https://drive.google.com/open?id=1y8ADI5ZEgOtVLtKSkfHcoa952pLoYtvj" TargetMode="External"/><Relationship Id="rId1036" Type="http://schemas.openxmlformats.org/officeDocument/2006/relationships/hyperlink" Target="https://drive.google.com/open?id=1bfw0bStLuoCeD0zAEMvPg_WExEgdsYcK" TargetMode="External"/><Relationship Id="rId1278" Type="http://schemas.openxmlformats.org/officeDocument/2006/relationships/hyperlink" Target="https://drive.google.com/open?id=1-D-FnePHNt9tH8UGZP4xBzhrccDfDXuc" TargetMode="External"/><Relationship Id="rId1026" Type="http://schemas.openxmlformats.org/officeDocument/2006/relationships/hyperlink" Target="https://drive.google.com/open?id=1Av2xVSAweq63bf0BaYZJFKX7n-fHc8W-" TargetMode="External"/><Relationship Id="rId1268" Type="http://schemas.openxmlformats.org/officeDocument/2006/relationships/hyperlink" Target="https://drive.google.com/open?id=1iUK_r7VprmT2Nsw35dZahVMwkb4aWzc-" TargetMode="External"/><Relationship Id="rId1027" Type="http://schemas.openxmlformats.org/officeDocument/2006/relationships/hyperlink" Target="https://drive.google.com/open?id=1t9OLpaWT0OqlHtHaDtWCBhL9547YkJp9" TargetMode="External"/><Relationship Id="rId1269" Type="http://schemas.openxmlformats.org/officeDocument/2006/relationships/hyperlink" Target="https://drive.google.com/open?id=1tiLmgzLiiI7-6P5MPm5CuiROv4HqkmqU" TargetMode="External"/><Relationship Id="rId1028" Type="http://schemas.openxmlformats.org/officeDocument/2006/relationships/hyperlink" Target="https://drive.google.com/open?id=1szyDiDalkVvawHBIKN7rWUzqXxkooTfs" TargetMode="External"/><Relationship Id="rId1029" Type="http://schemas.openxmlformats.org/officeDocument/2006/relationships/hyperlink" Target="https://drive.google.com/open?id=1pMLoBXMz0iwHYBtK8Dk5u5KY8akq-FI_" TargetMode="External"/><Relationship Id="rId437" Type="http://schemas.openxmlformats.org/officeDocument/2006/relationships/hyperlink" Target="https://drive.google.com/open?id=1Vo1YJV-wa2qMb8zAYI3ljudCLIwhy-hE" TargetMode="External"/><Relationship Id="rId679" Type="http://schemas.openxmlformats.org/officeDocument/2006/relationships/hyperlink" Target="https://drive.google.com/open?id=1alHwS3rg5ib6W9yGt5JvE6v3TrAVp-4I" TargetMode="External"/><Relationship Id="rId436" Type="http://schemas.openxmlformats.org/officeDocument/2006/relationships/hyperlink" Target="https://drive.google.com/open?id=16O1JUFkR4Mev64TMmZlriBveLKpjVstA" TargetMode="External"/><Relationship Id="rId678" Type="http://schemas.openxmlformats.org/officeDocument/2006/relationships/hyperlink" Target="https://drive.google.com/open?id=1RuOYDxfISpHluT6l39cuNnsHp6jUrfeG" TargetMode="External"/><Relationship Id="rId435" Type="http://schemas.openxmlformats.org/officeDocument/2006/relationships/hyperlink" Target="https://drive.google.com/open?id=1Nu50NlP9a0X0_C6oAEPyEb9rgdx3qyiw" TargetMode="External"/><Relationship Id="rId677" Type="http://schemas.openxmlformats.org/officeDocument/2006/relationships/hyperlink" Target="https://drive.google.com/open?id=1gcFLkaKZZDZrMIP77Nk9ZbQXBdxDgDTv" TargetMode="External"/><Relationship Id="rId434" Type="http://schemas.openxmlformats.org/officeDocument/2006/relationships/hyperlink" Target="https://drive.google.com/open?id=1ElibYT8yZUnQZ-ksmskqtl56Wo93UjcN" TargetMode="External"/><Relationship Id="rId676" Type="http://schemas.openxmlformats.org/officeDocument/2006/relationships/hyperlink" Target="https://drive.google.com/open?id=1FE00cJ7grVMyb-Ee7ZLuHZleQFfigdtn" TargetMode="External"/><Relationship Id="rId439" Type="http://schemas.openxmlformats.org/officeDocument/2006/relationships/hyperlink" Target="https://drive.google.com/open?id=1cvIqk8lDUB7l-xaAalD6V_snORVOSeFQ" TargetMode="External"/><Relationship Id="rId438" Type="http://schemas.openxmlformats.org/officeDocument/2006/relationships/hyperlink" Target="https://drive.google.com/open?id=1znZ-eB3GTnmq6riifjKvjuUCrhGEixSJ" TargetMode="External"/><Relationship Id="rId671" Type="http://schemas.openxmlformats.org/officeDocument/2006/relationships/hyperlink" Target="https://drive.google.com/open?id=1101oG7TG3wlceoQCEdFlH8bfILiA4hte" TargetMode="External"/><Relationship Id="rId1260" Type="http://schemas.openxmlformats.org/officeDocument/2006/relationships/hyperlink" Target="https://drive.google.com/file/d/1au-leyrh634SGEzFJPeyedOJRQENalEf/view?usp=drive_link" TargetMode="External"/><Relationship Id="rId670" Type="http://schemas.openxmlformats.org/officeDocument/2006/relationships/hyperlink" Target="https://drive.google.com/open?id=1Wq_qH2W793Iht8HuuSnmlYk2ffuajcWG" TargetMode="External"/><Relationship Id="rId1261" Type="http://schemas.openxmlformats.org/officeDocument/2006/relationships/hyperlink" Target="https://drive.google.com/file/d/1AhreUI34Gi6VNEnBBrkSiqY6Cj9lL67I/view?usp=drive_link" TargetMode="External"/><Relationship Id="rId1020" Type="http://schemas.openxmlformats.org/officeDocument/2006/relationships/hyperlink" Target="https://drive.google.com/open?id=1BMmZxOPRsi5AyIluw6qXijL78PhmuixY" TargetMode="External"/><Relationship Id="rId1262" Type="http://schemas.openxmlformats.org/officeDocument/2006/relationships/hyperlink" Target="https://drive.google.com/open?id=1yMOM5bIcCrrO04Mm7-3foEIvooYfHgLf" TargetMode="External"/><Relationship Id="rId1021" Type="http://schemas.openxmlformats.org/officeDocument/2006/relationships/hyperlink" Target="https://drive.google.com/open?id=18hx0sR4R2ZzlXqFLQr0uxecC5sBEmk6S" TargetMode="External"/><Relationship Id="rId1263" Type="http://schemas.openxmlformats.org/officeDocument/2006/relationships/hyperlink" Target="https://drive.google.com/open?id=1UuBuRYDmuYOAc-eiGBtf1S6gvSdrYTuQ" TargetMode="External"/><Relationship Id="rId433" Type="http://schemas.openxmlformats.org/officeDocument/2006/relationships/hyperlink" Target="https://drive.google.com/open?id=1sG9ljG1_finXwGSfE7-Wc3Ensv0-12cX" TargetMode="External"/><Relationship Id="rId675" Type="http://schemas.openxmlformats.org/officeDocument/2006/relationships/hyperlink" Target="https://drive.google.com/open?id=10CdULj9PqPP98DZFODgS3QHEEBAcvtry" TargetMode="External"/><Relationship Id="rId1022" Type="http://schemas.openxmlformats.org/officeDocument/2006/relationships/hyperlink" Target="https://drive.google.com/open?id=1kI9byMLaSLzeX3x779rPqn4Z3envRG5v" TargetMode="External"/><Relationship Id="rId1264" Type="http://schemas.openxmlformats.org/officeDocument/2006/relationships/hyperlink" Target="https://drive.google.com/open?id=1l1jV4LJhHfwwBj4_2U7eWna5G3KwgKqT" TargetMode="External"/><Relationship Id="rId432" Type="http://schemas.openxmlformats.org/officeDocument/2006/relationships/hyperlink" Target="https://drive.google.com/open?id=1oX9SNGo0OXwSLG1lAOXvD4F2dasB-rNf" TargetMode="External"/><Relationship Id="rId674" Type="http://schemas.openxmlformats.org/officeDocument/2006/relationships/hyperlink" Target="https://drive.google.com/open?id=1VLdrZw1jLoJ3fqSOAWmqddq07rccHXlA" TargetMode="External"/><Relationship Id="rId1023" Type="http://schemas.openxmlformats.org/officeDocument/2006/relationships/hyperlink" Target="https://drive.google.com/open?id=1JMLnyZ_zxwcUEG8lN-yCVz6hGRyvUKmz" TargetMode="External"/><Relationship Id="rId1265" Type="http://schemas.openxmlformats.org/officeDocument/2006/relationships/hyperlink" Target="https://drive.google.com/open?id=18NYo9DAwcnJJJpSgyi-4qULba-ujphE_" TargetMode="External"/><Relationship Id="rId431" Type="http://schemas.openxmlformats.org/officeDocument/2006/relationships/hyperlink" Target="https://drive.google.com/open?id=1Jtet982nrjyc3_gFoXM5WqIyQ54Ehbc3" TargetMode="External"/><Relationship Id="rId673" Type="http://schemas.openxmlformats.org/officeDocument/2006/relationships/hyperlink" Target="https://drive.google.com/open?id=12Cu0f2FYzx3953vFMwN_icmWBXhQ2GKx" TargetMode="External"/><Relationship Id="rId1024" Type="http://schemas.openxmlformats.org/officeDocument/2006/relationships/hyperlink" Target="https://drive.google.com/open?id=1hTbwtKwdS6PakGRLv7hVOhS7QPBc3E0m" TargetMode="External"/><Relationship Id="rId1266" Type="http://schemas.openxmlformats.org/officeDocument/2006/relationships/hyperlink" Target="https://drive.google.com/open?id=1Nqh7DacU98DB9pCZqwnOC7f21wzsvJHq" TargetMode="External"/><Relationship Id="rId430" Type="http://schemas.openxmlformats.org/officeDocument/2006/relationships/hyperlink" Target="https://drive.google.com/open?id=1uPdQxAv4lQHNlF1aIl4f_WeKicUkvPRK" TargetMode="External"/><Relationship Id="rId672" Type="http://schemas.openxmlformats.org/officeDocument/2006/relationships/hyperlink" Target="https://drive.google.com/open?id=1_Ln9AXybrNYRjOKjFXmKY8FXihiNwOrb" TargetMode="External"/><Relationship Id="rId1025" Type="http://schemas.openxmlformats.org/officeDocument/2006/relationships/hyperlink" Target="https://drive.google.com/open?id=1pqGrkHan4Ib-HkRBc1IiNcBhYkD2WbeQ" TargetMode="External"/><Relationship Id="rId1267" Type="http://schemas.openxmlformats.org/officeDocument/2006/relationships/hyperlink" Target="https://drive.google.com/open?id=1bcaAlTHfp-H5uo5Yo_SDrHoBDtN9o6oA"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E2nLMdT6bKFCOEUcLAl-5xp3C_BbASSY/view?usp=drive_link"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maps.google.com/maps?q=30.30992257%2C71.92489921&amp;z=17&amp;hl=en" TargetMode="External"/><Relationship Id="rId194" Type="http://schemas.openxmlformats.org/officeDocument/2006/relationships/hyperlink" Target="https://maps.google.com/maps?q=29.5392105%2C71.6346433&amp;z=17&amp;hl=en" TargetMode="External"/><Relationship Id="rId193" Type="http://schemas.openxmlformats.org/officeDocument/2006/relationships/hyperlink" Target="https://maps.google.com/maps?q=29.6238045%2C71.9174536&amp;z=17&amp;hl=en" TargetMode="External"/><Relationship Id="rId192" Type="http://schemas.openxmlformats.org/officeDocument/2006/relationships/hyperlink" Target="https://www.google.com/maps?q=30.0277159,71.1796664" TargetMode="External"/><Relationship Id="rId191" Type="http://schemas.openxmlformats.org/officeDocument/2006/relationships/hyperlink" Target="https://maps.google.com/maps?q=30.038286%2C71.8147975&amp;z=17&amp;hl=en" TargetMode="External"/><Relationship Id="rId187" Type="http://schemas.openxmlformats.org/officeDocument/2006/relationships/hyperlink" Target="https://www.google.com/maps?q=30.44713592529297,72.34986114501953&amp;z=17&amp;hl=en" TargetMode="External"/><Relationship Id="rId186" Type="http://schemas.openxmlformats.org/officeDocument/2006/relationships/hyperlink" Target="https://maps.google.com/maps?q=30.3024802%2C71.9200804&amp;z=17&amp;hl=en" TargetMode="External"/><Relationship Id="rId185" Type="http://schemas.openxmlformats.org/officeDocument/2006/relationships/hyperlink" Target="https://maps.google.com/maps?q=30.2979649%2C71.9208273&amp;z=17&amp;hl=en" TargetMode="External"/><Relationship Id="rId184" Type="http://schemas.openxmlformats.org/officeDocument/2006/relationships/hyperlink" Target="https://www.google.com/maps?q=28.9601173,70.3684692" TargetMode="External"/><Relationship Id="rId189" Type="http://schemas.openxmlformats.org/officeDocument/2006/relationships/hyperlink" Target="https://maps.google.com/maps?q=30.5652863%2C72.1740672&amp;z=17&amp;hl=en" TargetMode="External"/><Relationship Id="rId188" Type="http://schemas.openxmlformats.org/officeDocument/2006/relationships/hyperlink" Target="https://maps.google.com/maps?q=30.2069401%2C72.2309026&amp;z=17&amp;hl=en" TargetMode="External"/><Relationship Id="rId183" Type="http://schemas.openxmlformats.org/officeDocument/2006/relationships/hyperlink" Target="https://maps.google.com/maps?q=29.3448033%2C70.8380017&amp;z=17&amp;hl=en" TargetMode="External"/><Relationship Id="rId182" Type="http://schemas.openxmlformats.org/officeDocument/2006/relationships/hyperlink" Target="https://maps.google.com/?q=30.0758417,70.9654317" TargetMode="External"/><Relationship Id="rId181" Type="http://schemas.openxmlformats.org/officeDocument/2006/relationships/hyperlink" Target="https://maps.google.com/maps?q=31.1440939%2C71.2789281&amp;z=17&amp;hl=en" TargetMode="External"/><Relationship Id="rId180" Type="http://schemas.openxmlformats.org/officeDocument/2006/relationships/hyperlink" Target="https://www.google.com/maps/place/30%C2%B053'04.0%22N+71%C2%B039'56.7%22E/@30.8844519,71.6631751,17z/data=!3m1!4b1!4m4!3m3!8m2!3d30.8844519!4d71.66575?entry=ttu&amp;g_ep=EgoyMDI1MTExNy4wIKXMDSoASAFQAw%3D%3D" TargetMode="External"/><Relationship Id="rId176" Type="http://schemas.openxmlformats.org/officeDocument/2006/relationships/hyperlink" Target="https://www.google.com/maps?q=30.9415533,70.9322" TargetMode="External"/><Relationship Id="rId175" Type="http://schemas.openxmlformats.org/officeDocument/2006/relationships/hyperlink" Target="https://maps.google.com/?q=30.1915713,71.4729772" TargetMode="External"/><Relationship Id="rId174" Type="http://schemas.openxmlformats.org/officeDocument/2006/relationships/hyperlink" Target="https://maps.google.com/maps?q=29.5049032%2C71.2241351&amp;z=17&amp;hl=en" TargetMode="External"/><Relationship Id="rId173" Type="http://schemas.openxmlformats.org/officeDocument/2006/relationships/hyperlink" Target="https://maps.google.com/maps?q=29.6305728%2C71.4307954&amp;z=17&amp;hl=en" TargetMode="External"/><Relationship Id="rId179" Type="http://schemas.openxmlformats.org/officeDocument/2006/relationships/hyperlink" Target="https://maps.google.com/?q=31.2287769,70.9514165" TargetMode="External"/><Relationship Id="rId178" Type="http://schemas.openxmlformats.org/officeDocument/2006/relationships/hyperlink" Target="https://maps.google.com/?q=31.146174,70.9302588" TargetMode="External"/><Relationship Id="rId177" Type="http://schemas.openxmlformats.org/officeDocument/2006/relationships/hyperlink" Target="https://www.google.com/maps/place/HWCP%2B4RQ,+Daira+Din+Panah,+Muzaffargarh,+Punjab/@30.5701574,70.9369437,17z/data=!4m5!3m4!1s0x3925162106dc9949:0x177a01b1cd2e979e!8m2!3d30.5703375!4d70.9371094?entry=ttu&amp;g_ep=EgoyMDI0MTEwNS4wIKXMDSoASAFQAw%3D%3D" TargetMode="External"/><Relationship Id="rId198" Type="http://schemas.openxmlformats.org/officeDocument/2006/relationships/hyperlink" Target="https://maps.google.com/maps?q=29.9198%2C72.26417&amp;z=17&amp;hl=en" TargetMode="External"/><Relationship Id="rId197" Type="http://schemas.openxmlformats.org/officeDocument/2006/relationships/hyperlink" Target="https://maps.google.com/maps?q=30.0425285%2C72.3506341&amp;z=17&amp;hl=en" TargetMode="External"/><Relationship Id="rId196" Type="http://schemas.openxmlformats.org/officeDocument/2006/relationships/hyperlink" Target="https://maps.google.com/maps?q=30.0419077%2C72.6870337&amp;z=17&amp;hl=en" TargetMode="External"/><Relationship Id="rId195" Type="http://schemas.openxmlformats.org/officeDocument/2006/relationships/hyperlink" Target="https://maps.google.com/maps?q=30.0561824%2C72.7585299&amp;z=17&amp;hl=en" TargetMode="External"/><Relationship Id="rId199" Type="http://schemas.openxmlformats.org/officeDocument/2006/relationships/hyperlink" Target="https://www.google.com/maps?q=30.1600098,72.680169" TargetMode="External"/><Relationship Id="rId150" Type="http://schemas.openxmlformats.org/officeDocument/2006/relationships/hyperlink" Target="https://www.google.com/maps/search/Haram%20Gate/@30.1905714678631,71.4710957413466,17z" TargetMode="External"/><Relationship Id="rId1" Type="http://schemas.openxmlformats.org/officeDocument/2006/relationships/hyperlink" Target="https://www.google.com/maps?q=31.8018788,74.2533168" TargetMode="External"/><Relationship Id="rId2" Type="http://schemas.openxmlformats.org/officeDocument/2006/relationships/hyperlink" Target="https://www.google.com/maps?q=32.0023524,74.5603179" TargetMode="External"/><Relationship Id="rId3" Type="http://schemas.openxmlformats.org/officeDocument/2006/relationships/hyperlink" Target="https://www.google.com/maps?q=31.7864383,73.9766717" TargetMode="External"/><Relationship Id="rId149" Type="http://schemas.openxmlformats.org/officeDocument/2006/relationships/hyperlink" Target="https://maps.google.com/maps?q=30.3902399%2C71.5704097&amp;z=17&amp;hl=en" TargetMode="External"/><Relationship Id="rId4" Type="http://schemas.openxmlformats.org/officeDocument/2006/relationships/hyperlink" Target="https://www.google.com/maps?q=31.8714506,74.5247006" TargetMode="External"/><Relationship Id="rId148" Type="http://schemas.openxmlformats.org/officeDocument/2006/relationships/hyperlink" Target="https://maps.google.com/maps?q=30.0864226%2C71.6527768&amp;z=17&amp;hl=en" TargetMode="External"/><Relationship Id="rId9" Type="http://schemas.openxmlformats.org/officeDocument/2006/relationships/hyperlink" Target="https://maps.google.com/maps?q=31.5742044%2C74.3040166&amp;z=17&amp;hl=en" TargetMode="External"/><Relationship Id="rId143" Type="http://schemas.openxmlformats.org/officeDocument/2006/relationships/hyperlink" Target="https://www.google.com/maps?q=30.1976348,71.4792691" TargetMode="External"/><Relationship Id="rId142" Type="http://schemas.openxmlformats.org/officeDocument/2006/relationships/hyperlink" Target="https://maps.google.com/maps?q=30.1900445%2C71.4696343&amp;z=17&amp;hl=en" TargetMode="External"/><Relationship Id="rId141" Type="http://schemas.openxmlformats.org/officeDocument/2006/relationships/hyperlink" Target="https://www.google.com/maps?q=30.18822,71.4762925" TargetMode="External"/><Relationship Id="rId140" Type="http://schemas.openxmlformats.org/officeDocument/2006/relationships/hyperlink" Target="https://maps.google.com/maps?q=30.1888693%2C71.4727359&amp;z=17&amp;hl=en" TargetMode="External"/><Relationship Id="rId5" Type="http://schemas.openxmlformats.org/officeDocument/2006/relationships/hyperlink" Target="https://www.google.com/maps?q=31.7125553,73.9844509" TargetMode="External"/><Relationship Id="rId147" Type="http://schemas.openxmlformats.org/officeDocument/2006/relationships/hyperlink" Target="https://www.google.com/maps/place/30%C2%B023'24.9%22N+71%C2%B034'13.5%22E/@30.3902399,71.5678348,17z/data=!3m1!4b1!4m4!3m3!8m2!3d30.3902399!4d71.5704097?entry=ttu&amp;g_ep=EgoyMDI0MTEwNS4wIKXMDSoASAFQAw%3D%3D" TargetMode="External"/><Relationship Id="rId6" Type="http://schemas.openxmlformats.org/officeDocument/2006/relationships/hyperlink" Target="https://www.google.com/maps?q=31.7166863,73.9679537" TargetMode="External"/><Relationship Id="rId146" Type="http://schemas.openxmlformats.org/officeDocument/2006/relationships/hyperlink" Target="https://maps.google.com/maps?q=30.1905367%2C71.4716567&amp;z=17&amp;hl=en" TargetMode="External"/><Relationship Id="rId7" Type="http://schemas.openxmlformats.org/officeDocument/2006/relationships/hyperlink" Target="https://www.google.com/maps?q=31.7409573,73.8311323" TargetMode="External"/><Relationship Id="rId145" Type="http://schemas.openxmlformats.org/officeDocument/2006/relationships/hyperlink" Target="https://maps.google.com/maps?q=30.2014192%2C71.4838604&amp;z=17&amp;hl=en" TargetMode="External"/><Relationship Id="rId8" Type="http://schemas.openxmlformats.org/officeDocument/2006/relationships/hyperlink" Target="https://www.google.com/maps?q=31.7134701,73.980049" TargetMode="External"/><Relationship Id="rId144" Type="http://schemas.openxmlformats.org/officeDocument/2006/relationships/hyperlink" Target="https://goo.gl/maps/wqRxtfXKwtn7eZFz9" TargetMode="External"/><Relationship Id="rId139" Type="http://schemas.openxmlformats.org/officeDocument/2006/relationships/hyperlink" Target="https://maps.google.com/maps?q=30.1919452%2C71.4781486&amp;z=17&amp;hl=en" TargetMode="External"/><Relationship Id="rId138" Type="http://schemas.openxmlformats.org/officeDocument/2006/relationships/hyperlink" Target="https://maps.app.goo.gl/F3rEtYsCERKCV2t69" TargetMode="External"/><Relationship Id="rId137" Type="http://schemas.openxmlformats.org/officeDocument/2006/relationships/hyperlink" Target="https://maps.google.com/maps?q=30.2041953%2C71.5200364&amp;z=17&amp;hl=en" TargetMode="External"/><Relationship Id="rId132" Type="http://schemas.openxmlformats.org/officeDocument/2006/relationships/hyperlink" Target="https://maps.google.com/maps?q=30.9630071%2C72.2541962&amp;z=17&amp;hl=en" TargetMode="External"/><Relationship Id="rId131" Type="http://schemas.openxmlformats.org/officeDocument/2006/relationships/hyperlink" Target="https://www.google.com/maps?q=31.275045,72.3155117" TargetMode="External"/><Relationship Id="rId130" Type="http://schemas.openxmlformats.org/officeDocument/2006/relationships/hyperlink" Target="https://maps.google.com/maps?q=31.274439%2C72.3097682&amp;z=17&amp;hl=en" TargetMode="External"/><Relationship Id="rId136" Type="http://schemas.openxmlformats.org/officeDocument/2006/relationships/hyperlink" Target="https://www.google.com/maps?q=30.1998957,71.4709369&amp;z=17&amp;hl=en" TargetMode="External"/><Relationship Id="rId135" Type="http://schemas.openxmlformats.org/officeDocument/2006/relationships/hyperlink" Target="https://maps.google.com/maps?q=30.832267%2C71.9055705&amp;z=17&amp;hl=en" TargetMode="External"/><Relationship Id="rId134" Type="http://schemas.openxmlformats.org/officeDocument/2006/relationships/hyperlink" Target="https://maps.google.com/maps?q=30.939858765352707%2C72.16252114623785&amp;z=17&amp;hl=en" TargetMode="External"/><Relationship Id="rId133" Type="http://schemas.openxmlformats.org/officeDocument/2006/relationships/hyperlink" Target="https://maps.google.com/maps?q=30.9679634%2C72.2743134&amp;z=17&amp;hl=en" TargetMode="External"/><Relationship Id="rId172" Type="http://schemas.openxmlformats.org/officeDocument/2006/relationships/hyperlink" Target="https://maps.google.com/maps?q=29.9852211%2C71.4147549&amp;z=17&amp;hl=en" TargetMode="External"/><Relationship Id="rId171" Type="http://schemas.openxmlformats.org/officeDocument/2006/relationships/hyperlink" Target="https://www.google.com/maps?q=30.0721967,71.4941983" TargetMode="External"/><Relationship Id="rId170" Type="http://schemas.openxmlformats.org/officeDocument/2006/relationships/hyperlink" Target="https://goo.gl/maps/wqRxtfXKwtn7eZFz9" TargetMode="External"/><Relationship Id="rId165" Type="http://schemas.openxmlformats.org/officeDocument/2006/relationships/hyperlink" Target="https://maps.google.com/maps?q=30.192173%2C71.4720247&amp;z=17&amp;hl=en" TargetMode="External"/><Relationship Id="rId164" Type="http://schemas.openxmlformats.org/officeDocument/2006/relationships/hyperlink" Target="https://maps.google.com/maps?q=30.1915612%2C71.4728007&amp;z=17&amp;hl=en" TargetMode="External"/><Relationship Id="rId163" Type="http://schemas.openxmlformats.org/officeDocument/2006/relationships/hyperlink" Target="https://maps.google.com/?q=30.1916734,71.4711067" TargetMode="External"/><Relationship Id="rId162" Type="http://schemas.openxmlformats.org/officeDocument/2006/relationships/hyperlink" Target="https://www.google.com/maps?q=30.1953384,71.4747022" TargetMode="External"/><Relationship Id="rId169" Type="http://schemas.openxmlformats.org/officeDocument/2006/relationships/hyperlink" Target="https://maps.google.com/maps?q=30.1728005%2C71.4713214&amp;z=17&amp;hl=en" TargetMode="External"/><Relationship Id="rId168" Type="http://schemas.openxmlformats.org/officeDocument/2006/relationships/hyperlink" Target="https://maps.google.com/maps?q=30.1779656%2C71.4440599&amp;z=17&amp;hl=en" TargetMode="External"/><Relationship Id="rId167" Type="http://schemas.openxmlformats.org/officeDocument/2006/relationships/hyperlink" Target="https://www.google.com/maps/place/30%C2%B013'40.5%22N+71%C2%B028'32.0%22E/@30.2279235,71.4729724,17z/data=!3m1!4b1!4m4!3m3!8m2!3d30.2279235!4d71.4755473?entry=ttu&amp;g_ep=EgoyMDI1MTExNy4wIKXMDSoASAFQAw%3D%3D" TargetMode="External"/><Relationship Id="rId166" Type="http://schemas.openxmlformats.org/officeDocument/2006/relationships/hyperlink" Target="https://maps.app.goo.gl/cboL6o9SS8evb71K7" TargetMode="External"/><Relationship Id="rId161" Type="http://schemas.openxmlformats.org/officeDocument/2006/relationships/hyperlink" Target="https://maps.google.com/maps?q=30.1932817%2C71.4714104&amp;z=17&amp;hl=en" TargetMode="External"/><Relationship Id="rId160" Type="http://schemas.openxmlformats.org/officeDocument/2006/relationships/hyperlink" Target="https://maps.google.com/?q=30.1888683,71.4686767" TargetMode="External"/><Relationship Id="rId159" Type="http://schemas.openxmlformats.org/officeDocument/2006/relationships/hyperlink" Target="https://www.google.com/maps?q=30.1842724,71.4677191" TargetMode="External"/><Relationship Id="rId154" Type="http://schemas.openxmlformats.org/officeDocument/2006/relationships/hyperlink" Target="https://maps.google.com/maps?q=30.1919897%2C71.4549042&amp;z=17&amp;hl=en" TargetMode="External"/><Relationship Id="rId153" Type="http://schemas.openxmlformats.org/officeDocument/2006/relationships/hyperlink" Target="https://maps.google.com/maps?q=30.19407%2C71.4546925&amp;z=17&amp;hl=en" TargetMode="External"/><Relationship Id="rId152" Type="http://schemas.openxmlformats.org/officeDocument/2006/relationships/hyperlink" Target="https://www.google.com/maps/place/30%C2%B011'38.6%22N+71%C2%B028'25.0%22E/@30.1940506,71.4710374,17z/data=!3m1!4b1!4m4!3m3!8m2!3d30.1940506!4d71.4736123?entry=ttu&amp;g_ep=EgoyMDI1MTExNy4wIKXMDSoASAFQAw%3D%3D" TargetMode="External"/><Relationship Id="rId151" Type="http://schemas.openxmlformats.org/officeDocument/2006/relationships/hyperlink" Target="https://www.google.com/maps/place/30%C2%B011'32.3%22N+71%C2%B028'14.5%22E/@30.1923015,71.4681203,17z/data=!3m1!4b1!4m4!3m3!8m2!3d30.1923015!4d71.4706952?entry=ttu&amp;g_ep=EgoyMDI1MTExNy4wIKXMDSoASAFQAw%3D%3D" TargetMode="External"/><Relationship Id="rId158" Type="http://schemas.openxmlformats.org/officeDocument/2006/relationships/hyperlink" Target="https://maps.google.com/maps?q=30.1882712%2C71.4695481&amp;z=17&amp;hl=en" TargetMode="External"/><Relationship Id="rId157" Type="http://schemas.openxmlformats.org/officeDocument/2006/relationships/hyperlink" Target="https://maps.google.com/maps?q=30.1888188%2C71.4714961&amp;z=17&amp;hl=en" TargetMode="External"/><Relationship Id="rId156" Type="http://schemas.openxmlformats.org/officeDocument/2006/relationships/hyperlink" Target="https://maps.google.com/?q=30.1905125,71.469755" TargetMode="External"/><Relationship Id="rId155" Type="http://schemas.openxmlformats.org/officeDocument/2006/relationships/hyperlink" Target="https://www.google.com/maps?q=30.1880891,71.4382825&amp;z=17&amp;hl=en" TargetMode="External"/><Relationship Id="rId40" Type="http://schemas.openxmlformats.org/officeDocument/2006/relationships/hyperlink" Target="https://maps.google.com/maps?q=31.504318%2C74.2550115&amp;z=17&amp;hl=en" TargetMode="External"/><Relationship Id="rId42" Type="http://schemas.openxmlformats.org/officeDocument/2006/relationships/hyperlink" Target="https://maps.google.com/maps?q=31.5662015%2C74.3146421&amp;z=17&amp;hl=en" TargetMode="External"/><Relationship Id="rId41" Type="http://schemas.openxmlformats.org/officeDocument/2006/relationships/hyperlink" Target="https://maps.google.com/maps?q=31.5647601%2C74.2908442&amp;z=17&amp;hl=en" TargetMode="External"/><Relationship Id="rId44" Type="http://schemas.openxmlformats.org/officeDocument/2006/relationships/hyperlink" Target="https://maps.google.com/maps?q=31.5586574%2C74.3135574&amp;z=17&amp;hl=en" TargetMode="External"/><Relationship Id="rId43" Type="http://schemas.openxmlformats.org/officeDocument/2006/relationships/hyperlink" Target="https://maps.google.com/maps?q=31.5524641%2C74.3175409&amp;z=17&amp;hl=en" TargetMode="External"/><Relationship Id="rId46" Type="http://schemas.openxmlformats.org/officeDocument/2006/relationships/hyperlink" Target="https://maps.google.com/maps?q=31.5315355%2C74.3126097&amp;z=17&amp;hl=en" TargetMode="External"/><Relationship Id="rId45" Type="http://schemas.openxmlformats.org/officeDocument/2006/relationships/hyperlink" Target="https://maps.google.com/maps?q=31.5534798%2C74.3125106&amp;z=17&amp;hl=en" TargetMode="External"/><Relationship Id="rId48" Type="http://schemas.openxmlformats.org/officeDocument/2006/relationships/hyperlink" Target="https://maps.google.com/maps?q=31.5644371%2C74.3387827&amp;z=17&amp;hl=en" TargetMode="External"/><Relationship Id="rId47" Type="http://schemas.openxmlformats.org/officeDocument/2006/relationships/hyperlink" Target="https://maps.google.com/maps?q=31.5486526%2C74.3390041&amp;z=17&amp;hl=en" TargetMode="External"/><Relationship Id="rId49" Type="http://schemas.openxmlformats.org/officeDocument/2006/relationships/hyperlink" Target="https://maps.google.com/maps?q=31.5592031%2C74.3211046&amp;z=17&amp;hl=en" TargetMode="External"/><Relationship Id="rId31" Type="http://schemas.openxmlformats.org/officeDocument/2006/relationships/hyperlink" Target="https://maps.google.com/maps?q=31.5884155%2C74.3190388&amp;z=17&amp;hl=en" TargetMode="External"/><Relationship Id="rId30" Type="http://schemas.openxmlformats.org/officeDocument/2006/relationships/hyperlink" Target="https://maps.google.com/maps?q=31.5813779%2C74.3214262&amp;z=17&amp;hl=en" TargetMode="External"/><Relationship Id="rId33" Type="http://schemas.openxmlformats.org/officeDocument/2006/relationships/hyperlink" Target="https://maps.google.com/maps?q=31.5773126%2C74.3215007&amp;z=17&amp;hl=en" TargetMode="External"/><Relationship Id="rId32" Type="http://schemas.openxmlformats.org/officeDocument/2006/relationships/hyperlink" Target="https://maps.google.com/maps?q=31.5817083%2C74.3049283&amp;z=17&amp;hl=en" TargetMode="External"/><Relationship Id="rId35" Type="http://schemas.openxmlformats.org/officeDocument/2006/relationships/hyperlink" Target="https://maps.google.com/maps?q=31.5908317%2C74.3130167&amp;z=17&amp;hl=en" TargetMode="External"/><Relationship Id="rId34" Type="http://schemas.openxmlformats.org/officeDocument/2006/relationships/hyperlink" Target="https://maps.google.com/maps?q=31.58001708984375%2C74.326416015625&amp;z=17&amp;hl=en" TargetMode="External"/><Relationship Id="rId37" Type="http://schemas.openxmlformats.org/officeDocument/2006/relationships/hyperlink" Target="https://maps.app.goo.gl/Rxz7YGn4yDVtgsDJ7" TargetMode="External"/><Relationship Id="rId36" Type="http://schemas.openxmlformats.org/officeDocument/2006/relationships/hyperlink" Target="https://maps.google.com/maps?q=31.5835261%2C74.3226613&amp;z=17&amp;hl=en" TargetMode="External"/><Relationship Id="rId39" Type="http://schemas.openxmlformats.org/officeDocument/2006/relationships/hyperlink" Target="https://maps.google.com/maps?q=31.5644595%2C74.3106655&amp;z=17&amp;hl=en" TargetMode="External"/><Relationship Id="rId38" Type="http://schemas.openxmlformats.org/officeDocument/2006/relationships/hyperlink" Target="https://maps.google.com/maps?q=31.5691184%2C74.3111879&amp;z=17&amp;hl=en" TargetMode="External"/><Relationship Id="rId20" Type="http://schemas.openxmlformats.org/officeDocument/2006/relationships/hyperlink" Target="https://maps.google.com/maps?q=31.5773349%2C74.3171632&amp;z=17&amp;hl=en" TargetMode="External"/><Relationship Id="rId22" Type="http://schemas.openxmlformats.org/officeDocument/2006/relationships/hyperlink" Target="https://maps.google.com/maps?q=31.5873974%2C74.3040215&amp;z=17&amp;hl=en" TargetMode="External"/><Relationship Id="rId21" Type="http://schemas.openxmlformats.org/officeDocument/2006/relationships/hyperlink" Target="https://maps.google.com/maps?q=31.5801501%2C74.3153044&amp;z=17&amp;hl=en" TargetMode="External"/><Relationship Id="rId24" Type="http://schemas.openxmlformats.org/officeDocument/2006/relationships/hyperlink" Target="https://maps.google.com/maps?q=31.5814746%2C74.3007817&amp;z=17&amp;hl=en" TargetMode="External"/><Relationship Id="rId23" Type="http://schemas.openxmlformats.org/officeDocument/2006/relationships/hyperlink" Target="https://maps.google.com/maps?q=31.5743089%2C74.3114858&amp;z=17&amp;hl=en" TargetMode="External"/><Relationship Id="rId26" Type="http://schemas.openxmlformats.org/officeDocument/2006/relationships/hyperlink" Target="https://maps.google.com/maps?q=31.585691%2C74.3204243&amp;z=17&amp;hl=en" TargetMode="External"/><Relationship Id="rId25" Type="http://schemas.openxmlformats.org/officeDocument/2006/relationships/hyperlink" Target="https://maps.google.com/maps?q=31.5813669%2C74.3137182&amp;z=17&amp;hl=en" TargetMode="External"/><Relationship Id="rId28" Type="http://schemas.openxmlformats.org/officeDocument/2006/relationships/hyperlink" Target="https://maps.google.com/maps?q=31.5834478%2C74.3211755&amp;z=17&amp;hl=en" TargetMode="External"/><Relationship Id="rId27" Type="http://schemas.openxmlformats.org/officeDocument/2006/relationships/hyperlink" Target="https://maps.google.com/maps?q=31.5782971%2C74.3222366&amp;z=17&amp;hl=en" TargetMode="External"/><Relationship Id="rId29" Type="http://schemas.openxmlformats.org/officeDocument/2006/relationships/hyperlink" Target="https://maps.google.com/maps?q=31.5839243%2C74.3165669&amp;z=17&amp;hl=en" TargetMode="External"/><Relationship Id="rId11" Type="http://schemas.openxmlformats.org/officeDocument/2006/relationships/hyperlink" Target="https://maps.google.com/maps?q=31.5822219%2C74.3164097&amp;z=17&amp;hl=en" TargetMode="External"/><Relationship Id="rId10" Type="http://schemas.openxmlformats.org/officeDocument/2006/relationships/hyperlink" Target="https://goo.gl/maps/AhMDehoqVPDpSbuv7" TargetMode="External"/><Relationship Id="rId13" Type="http://schemas.openxmlformats.org/officeDocument/2006/relationships/hyperlink" Target="https://maps.google.com/maps?q=31.5767703%2C74.3136464&amp;z=17&amp;hl=en" TargetMode="External"/><Relationship Id="rId12" Type="http://schemas.openxmlformats.org/officeDocument/2006/relationships/hyperlink" Target="https://maps.google.com/maps?q=31.5828981%2C74.3059768&amp;z=17&amp;hl=en" TargetMode="External"/><Relationship Id="rId15" Type="http://schemas.openxmlformats.org/officeDocument/2006/relationships/hyperlink" Target="https://maps.google.com/maps?q=31.5790724%2C74.3201252&amp;z=17&amp;hl=en" TargetMode="External"/><Relationship Id="rId14" Type="http://schemas.openxmlformats.org/officeDocument/2006/relationships/hyperlink" Target="https://maps.google.com/maps?q=31.5760629%2C74.3130287&amp;z=17&amp;hl=en" TargetMode="External"/><Relationship Id="rId17" Type="http://schemas.openxmlformats.org/officeDocument/2006/relationships/hyperlink" Target="https://maps.google.com/maps?q=31.5740767%2C74.3134663&amp;z=17&amp;hl=en" TargetMode="External"/><Relationship Id="rId16" Type="http://schemas.openxmlformats.org/officeDocument/2006/relationships/hyperlink" Target="https://maps.google.com/maps?q=31.5860839%2C74.3080745&amp;z=17&amp;hl=en" TargetMode="External"/><Relationship Id="rId19" Type="http://schemas.openxmlformats.org/officeDocument/2006/relationships/hyperlink" Target="https://maps.google.com/maps?q=31.5831058%2C74.3184517&amp;z=17&amp;hl=en" TargetMode="External"/><Relationship Id="rId18" Type="http://schemas.openxmlformats.org/officeDocument/2006/relationships/hyperlink" Target="https://maps.google.com/maps?q=31.5734758%2C74.3221654&amp;z=17&amp;hl=en" TargetMode="External"/><Relationship Id="rId84" Type="http://schemas.openxmlformats.org/officeDocument/2006/relationships/hyperlink" Target="https://www.google.com/maps?q=32.28773,72.3526019" TargetMode="External"/><Relationship Id="rId83" Type="http://schemas.openxmlformats.org/officeDocument/2006/relationships/hyperlink" Target="https://www.google.com/maps?q=31.8793269,71.9037529" TargetMode="External"/><Relationship Id="rId86" Type="http://schemas.openxmlformats.org/officeDocument/2006/relationships/hyperlink" Target="https://maps.google.com/?q=32.0846977233887,72.6904144287109" TargetMode="External"/><Relationship Id="rId85" Type="http://schemas.openxmlformats.org/officeDocument/2006/relationships/hyperlink" Target="https://www.google.com/maps?q=31.7201784,72.9772104" TargetMode="External"/><Relationship Id="rId88" Type="http://schemas.openxmlformats.org/officeDocument/2006/relationships/hyperlink" Target="https://www.google.com/maps?q=32.2730641,72.8746618" TargetMode="External"/><Relationship Id="rId87" Type="http://schemas.openxmlformats.org/officeDocument/2006/relationships/hyperlink" Target="https://maps.google.com/?q=32.2664877,72.903632" TargetMode="External"/><Relationship Id="rId89" Type="http://schemas.openxmlformats.org/officeDocument/2006/relationships/hyperlink" Target="https://www.google.com/maps?q=32.266441,72.9051484" TargetMode="External"/><Relationship Id="rId80" Type="http://schemas.openxmlformats.org/officeDocument/2006/relationships/hyperlink" Target="https://maps.google.com/maps?q=31.5877677%2C74.345873&amp;z=17&amp;hl=en" TargetMode="External"/><Relationship Id="rId82" Type="http://schemas.openxmlformats.org/officeDocument/2006/relationships/hyperlink" Target="https://www.google.com/maps?q=31.7884292,71.1076099" TargetMode="External"/><Relationship Id="rId81" Type="http://schemas.openxmlformats.org/officeDocument/2006/relationships/hyperlink" Target="https://www.google.com/maps/place/Markazi+Jamiya+Masjid,+Main+Bazar,+Khushab/@32.2941191,72.3500458,17z/data=!4m15!1m8!3m7!1s0x3921162597ce503b:0x2f7ee49841d4b080!2sKhush%C4%81b,+Khushab,+Punjab!3b1!8m2!3d32.2955365!4d72.3488721!16zL20vMDl4bHBr!3m5!1s0x3921163f768b6801:0x64603c0b00fa7cc!8m2!3d32.2935515!4d72.3538443!16s%2Fg%2F1hhwkx8wx?entry=ttu&amp;g_ep=EgoyMDI0MTAwMS4wIKXMDSoASAFQAw%3D%3D" TargetMode="External"/><Relationship Id="rId73" Type="http://schemas.openxmlformats.org/officeDocument/2006/relationships/hyperlink" Target="https://maps.google.com/maps?q=31.5806818%2C74.3605627&amp;z=17&amp;hl=en" TargetMode="External"/><Relationship Id="rId72" Type="http://schemas.openxmlformats.org/officeDocument/2006/relationships/hyperlink" Target="https://maps.google.com/maps?q=31.5883979%2C74.3940933&amp;z=17&amp;hl=en" TargetMode="External"/><Relationship Id="rId75" Type="http://schemas.openxmlformats.org/officeDocument/2006/relationships/hyperlink" Target="https://maps.google.com/maps?q=31.596572%2C74.4995227&amp;z=17&amp;hl=en" TargetMode="External"/><Relationship Id="rId74" Type="http://schemas.openxmlformats.org/officeDocument/2006/relationships/hyperlink" Target="https://maps.google.com/maps?q=31.5856288%2C74.3742518&amp;z=17&amp;hl=en" TargetMode="External"/><Relationship Id="rId77" Type="http://schemas.openxmlformats.org/officeDocument/2006/relationships/hyperlink" Target="https://maps.google.com/maps?q=31.5499248%2C74.3756515&amp;z=17&amp;hl=en" TargetMode="External"/><Relationship Id="rId76" Type="http://schemas.openxmlformats.org/officeDocument/2006/relationships/hyperlink" Target="https://maps.google.com/maps?q=31.6009372%2C74.3954905&amp;z=17&amp;hl=en" TargetMode="External"/><Relationship Id="rId79" Type="http://schemas.openxmlformats.org/officeDocument/2006/relationships/hyperlink" Target="https://maps.google.com/maps?q=31.4619799%2C74.3099538&amp;z=17&amp;hl=en" TargetMode="External"/><Relationship Id="rId78" Type="http://schemas.openxmlformats.org/officeDocument/2006/relationships/hyperlink" Target="https://maps.google.com/maps?q=31.52895%2C74.3286083&amp;z=17&amp;hl=en" TargetMode="External"/><Relationship Id="rId71" Type="http://schemas.openxmlformats.org/officeDocument/2006/relationships/hyperlink" Target="https://maps.google.com/maps?q=31.5848695%2C74.3767757&amp;z=17&amp;hl=en" TargetMode="External"/><Relationship Id="rId70" Type="http://schemas.openxmlformats.org/officeDocument/2006/relationships/hyperlink" Target="https://maps.google.com/maps?q=31.5478558%2C74.3761134&amp;z=17&amp;hl=en" TargetMode="External"/><Relationship Id="rId62" Type="http://schemas.openxmlformats.org/officeDocument/2006/relationships/hyperlink" Target="https://maps.google.com/maps?q=31.5856453%2C74.3374512&amp;z=17&amp;hl=en" TargetMode="External"/><Relationship Id="rId61" Type="http://schemas.openxmlformats.org/officeDocument/2006/relationships/hyperlink" Target="https://maps.app.goo.gl/oa993sUtC2BtQQUd7" TargetMode="External"/><Relationship Id="rId64" Type="http://schemas.openxmlformats.org/officeDocument/2006/relationships/hyperlink" Target="https://maps.google.com/maps?q=31.583545%2C74.3398072&amp;z=17&amp;hl=en" TargetMode="External"/><Relationship Id="rId63" Type="http://schemas.openxmlformats.org/officeDocument/2006/relationships/hyperlink" Target="https://maps.google.com/maps?q=31.5842233%2C74.3376036&amp;z=17&amp;hl=en" TargetMode="External"/><Relationship Id="rId66" Type="http://schemas.openxmlformats.org/officeDocument/2006/relationships/hyperlink" Target="https://maps.google.com/maps?q=31.5884416%2C74.3487115&amp;z=17&amp;hl=en" TargetMode="External"/><Relationship Id="rId65" Type="http://schemas.openxmlformats.org/officeDocument/2006/relationships/hyperlink" Target="https://maps.google.com/maps?q=31.5862196%2C74.3449832&amp;z=17&amp;hl=en" TargetMode="External"/><Relationship Id="rId68" Type="http://schemas.openxmlformats.org/officeDocument/2006/relationships/hyperlink" Target="https://maps.google.com/maps?q=31.5607%2C74.3604519&amp;z=17&amp;hl=en" TargetMode="External"/><Relationship Id="rId67" Type="http://schemas.openxmlformats.org/officeDocument/2006/relationships/hyperlink" Target="https://maps.google.com/maps?q=31.5883979%2C74.3940933&amp;z=17&amp;hl=en" TargetMode="External"/><Relationship Id="rId60" Type="http://schemas.openxmlformats.org/officeDocument/2006/relationships/hyperlink" Target="https://maps.google.com/maps?q=31.5680878%2C74.3453139&amp;z=17&amp;hl=en" TargetMode="External"/><Relationship Id="rId69" Type="http://schemas.openxmlformats.org/officeDocument/2006/relationships/hyperlink" Target="https://maps.google.com/maps?q=31.5709116%2C74.3776771&amp;z=17&amp;hl=en" TargetMode="External"/><Relationship Id="rId51" Type="http://schemas.openxmlformats.org/officeDocument/2006/relationships/hyperlink" Target="https://maps.google.com/maps?q=31.5721909%2C74.3306608&amp;z=17&amp;hl=en" TargetMode="External"/><Relationship Id="rId50" Type="http://schemas.openxmlformats.org/officeDocument/2006/relationships/hyperlink" Target="https://maps.google.com/maps?q=31.5646835%2C74.3185463&amp;z=17&amp;hl=en" TargetMode="External"/><Relationship Id="rId53" Type="http://schemas.openxmlformats.org/officeDocument/2006/relationships/hyperlink" Target="https://maps.google.com/maps?q=31.576193%2C74.3336292&amp;z=17&amp;hl=en" TargetMode="External"/><Relationship Id="rId52" Type="http://schemas.openxmlformats.org/officeDocument/2006/relationships/hyperlink" Target="https://maps.google.com/maps?q=31.5693412%2C74.3370371&amp;z=17&amp;hl=en" TargetMode="External"/><Relationship Id="rId55" Type="http://schemas.openxmlformats.org/officeDocument/2006/relationships/hyperlink" Target="https://maps.google.com/maps?q=31.5877677%2C74.345873&amp;z=17&amp;hl=en" TargetMode="External"/><Relationship Id="rId54" Type="http://schemas.openxmlformats.org/officeDocument/2006/relationships/hyperlink" Target="https://maps.app.goo.gl/pgSCi6dwrComz1HGA" TargetMode="External"/><Relationship Id="rId57" Type="http://schemas.openxmlformats.org/officeDocument/2006/relationships/hyperlink" Target="https://maps.google.com/maps?q=31.5651681%2C74.3229816&amp;z=17&amp;hl=en" TargetMode="External"/><Relationship Id="rId56" Type="http://schemas.openxmlformats.org/officeDocument/2006/relationships/hyperlink" Target="https://maps.google.com/maps?q=31.5755784%2C74.3292907&amp;z=17&amp;hl=en" TargetMode="External"/><Relationship Id="rId59" Type="http://schemas.openxmlformats.org/officeDocument/2006/relationships/hyperlink" Target="https://maps.google.com/maps?q=31.5630139%2C74.3433942&amp;z=17&amp;hl=en" TargetMode="External"/><Relationship Id="rId58" Type="http://schemas.openxmlformats.org/officeDocument/2006/relationships/hyperlink" Target="https://maps.app.goo.gl/5nuf3PNZkhGtgEDX7" TargetMode="External"/><Relationship Id="rId107" Type="http://schemas.openxmlformats.org/officeDocument/2006/relationships/hyperlink" Target="https://maps.google.com/maps?q=31.4767418%2C73.0774172&amp;z=17&amp;hl=en" TargetMode="External"/><Relationship Id="rId106" Type="http://schemas.openxmlformats.org/officeDocument/2006/relationships/hyperlink" Target="https://maps.google.com/maps?q=31.4229563%2C73.100885&amp;z=17&amp;hl=en" TargetMode="External"/><Relationship Id="rId105" Type="http://schemas.openxmlformats.org/officeDocument/2006/relationships/hyperlink" Target="https://maps.google.com/maps?q=31.4256616%2C73.0975612&amp;z=17&amp;hl=en" TargetMode="External"/><Relationship Id="rId104" Type="http://schemas.openxmlformats.org/officeDocument/2006/relationships/hyperlink" Target="https://www.google.com/maps?q=31.4099091,73.0939349" TargetMode="External"/><Relationship Id="rId109" Type="http://schemas.openxmlformats.org/officeDocument/2006/relationships/hyperlink" Target="https://www.google.com/maps?q=31.3899204,73.4438562" TargetMode="External"/><Relationship Id="rId108" Type="http://schemas.openxmlformats.org/officeDocument/2006/relationships/hyperlink" Target="https://maps.google.com/maps?q=31.4238529%2C73.072792&amp;z=17&amp;hl=en" TargetMode="External"/><Relationship Id="rId103" Type="http://schemas.openxmlformats.org/officeDocument/2006/relationships/hyperlink" Target="https://maps.google.com/maps?q=31.4202756%2C73.0431617&amp;z=17&amp;hl=en" TargetMode="External"/><Relationship Id="rId102" Type="http://schemas.openxmlformats.org/officeDocument/2006/relationships/hyperlink" Target="https://www.google.com/maps?q=31.7339755,73.3445062" TargetMode="External"/><Relationship Id="rId101" Type="http://schemas.openxmlformats.org/officeDocument/2006/relationships/hyperlink" Target="https://maps.google.com/?q=31.7152984,73.3771368" TargetMode="External"/><Relationship Id="rId100" Type="http://schemas.openxmlformats.org/officeDocument/2006/relationships/hyperlink" Target="https://www.google.com/maps?q=31.5782176,73.4759467" TargetMode="External"/><Relationship Id="rId129" Type="http://schemas.openxmlformats.org/officeDocument/2006/relationships/hyperlink" Target="https://maps.google.com/maps?q=31.275045%2C72.3155117&amp;z=17&amp;hl=en" TargetMode="External"/><Relationship Id="rId128" Type="http://schemas.openxmlformats.org/officeDocument/2006/relationships/hyperlink" Target="https://www.google.com/maps?q=31.4198774,73.0796151" TargetMode="External"/><Relationship Id="rId127" Type="http://schemas.openxmlformats.org/officeDocument/2006/relationships/hyperlink" Target="https://maps.google.com/maps?q=30.9714979%2C72.4801989&amp;z=17&amp;hl=en" TargetMode="External"/><Relationship Id="rId126" Type="http://schemas.openxmlformats.org/officeDocument/2006/relationships/hyperlink" Target="https://maps.google.com/maps?q=31.1461296%2C72.6847306&amp;z=17&amp;hl=en" TargetMode="External"/><Relationship Id="rId121" Type="http://schemas.openxmlformats.org/officeDocument/2006/relationships/hyperlink" Target="https://www.google.com/maps?q=31.3881811,73.1997689" TargetMode="External"/><Relationship Id="rId120" Type="http://schemas.openxmlformats.org/officeDocument/2006/relationships/hyperlink" Target="https://www.google.com/maps?q=31.1701072,72.8817263" TargetMode="External"/><Relationship Id="rId125" Type="http://schemas.openxmlformats.org/officeDocument/2006/relationships/hyperlink" Target="https://maps.google.com/maps?q=30.9432969%2C73.0034394&amp;z=17&amp;hl=en" TargetMode="External"/><Relationship Id="rId124" Type="http://schemas.openxmlformats.org/officeDocument/2006/relationships/hyperlink" Target="https://www.google.com/maps?q=31.3939836,73.0724894" TargetMode="External"/><Relationship Id="rId123" Type="http://schemas.openxmlformats.org/officeDocument/2006/relationships/hyperlink" Target="https://maps.google.com/maps?q=31.2875093%2C72.8671717&amp;z=17&amp;hl=en" TargetMode="External"/><Relationship Id="rId122" Type="http://schemas.openxmlformats.org/officeDocument/2006/relationships/hyperlink" Target="https://maps.google.com/maps?q=31.4160765%2C73.0771168&amp;z=17&amp;hl=en" TargetMode="External"/><Relationship Id="rId95" Type="http://schemas.openxmlformats.org/officeDocument/2006/relationships/hyperlink" Target="https://www.google.com/maps/place/32%C2%B015'59.5%22N+72%C2%B054'12.2%22E/@32.2665196,72.9008033,17z/data=!3m1!4b1!4m4!3m3!8m2!3d32.2665196!4d72.9033782?entry=ttu&amp;g_ep=EgoyMDI0MTAwMS4wIKXMDSoASAFQAw%3D%3D" TargetMode="External"/><Relationship Id="rId94" Type="http://schemas.openxmlformats.org/officeDocument/2006/relationships/hyperlink" Target="https://maps.google.com/?q=32.0872034,72.6633718" TargetMode="External"/><Relationship Id="rId97" Type="http://schemas.openxmlformats.org/officeDocument/2006/relationships/hyperlink" Target="https://www.google.com/maps?q=32.0853118896484,72.6698379516602" TargetMode="External"/><Relationship Id="rId96" Type="http://schemas.openxmlformats.org/officeDocument/2006/relationships/hyperlink" Target="https://www.google.com/maps?q=32.0767783,72.6983749" TargetMode="External"/><Relationship Id="rId99" Type="http://schemas.openxmlformats.org/officeDocument/2006/relationships/hyperlink" Target="https://maps.google.com/?q=31.5741166,73.4732311" TargetMode="External"/><Relationship Id="rId98" Type="http://schemas.openxmlformats.org/officeDocument/2006/relationships/hyperlink" Target="https://www.google.com/maps?q=32.0838981,72.664355" TargetMode="External"/><Relationship Id="rId91" Type="http://schemas.openxmlformats.org/officeDocument/2006/relationships/hyperlink" Target="https://maps.google.com/?q=32.1270669,72.4533377" TargetMode="External"/><Relationship Id="rId90" Type="http://schemas.openxmlformats.org/officeDocument/2006/relationships/hyperlink" Target="https://www.google.com/maps/search/Punjab/@32.3531608581543,73.0109939575195,17z" TargetMode="External"/><Relationship Id="rId93" Type="http://schemas.openxmlformats.org/officeDocument/2006/relationships/hyperlink" Target="https://www.google.com/maps/place/32%C2%B009'14.9%22N+72%C2%B055'13.3%22E/@32.1541443,72.9177742,17z/data=!3m1!4b1!4m4!3m3!8m2!3d32.1541443!4d72.9203491?entry=ttu&amp;g_ep=EgoyMDI0MTAxNi4wIKXMDSoASAFQAw%3D%3D" TargetMode="External"/><Relationship Id="rId92" Type="http://schemas.openxmlformats.org/officeDocument/2006/relationships/hyperlink" Target="https://www.google.com/maps?q=32.0854693,72.6673267" TargetMode="External"/><Relationship Id="rId118" Type="http://schemas.openxmlformats.org/officeDocument/2006/relationships/hyperlink" Target="https://maps.google.com/maps?q=31.4176302%2C73.0809117&amp;z=17&amp;hl=en" TargetMode="External"/><Relationship Id="rId117" Type="http://schemas.openxmlformats.org/officeDocument/2006/relationships/hyperlink" Target="https://www.google.com/maps?q=31.4200577,73.0825363" TargetMode="External"/><Relationship Id="rId116" Type="http://schemas.openxmlformats.org/officeDocument/2006/relationships/hyperlink" Target="https://maps.google.com/maps?q=30.8273066%2C73.0425494&amp;z=17&amp;hl=en" TargetMode="External"/><Relationship Id="rId115" Type="http://schemas.openxmlformats.org/officeDocument/2006/relationships/hyperlink" Target="https://maps.google.com/maps?q=31.1472344%2C72.6853471&amp;z=17&amp;hl=en" TargetMode="External"/><Relationship Id="rId119" Type="http://schemas.openxmlformats.org/officeDocument/2006/relationships/hyperlink" Target="https://maps.app.goo.gl/WFAjez9Kfhc4zbF57" TargetMode="External"/><Relationship Id="rId110" Type="http://schemas.openxmlformats.org/officeDocument/2006/relationships/hyperlink" Target="https://maps.app.goo.gl/J41qAuEDEuH3aCWQ7" TargetMode="External"/><Relationship Id="rId114" Type="http://schemas.openxmlformats.org/officeDocument/2006/relationships/hyperlink" Target="https://maps.google.com/maps?q=31.4190872%2C73.0707269&amp;z=17&amp;hl=en" TargetMode="External"/><Relationship Id="rId113" Type="http://schemas.openxmlformats.org/officeDocument/2006/relationships/hyperlink" Target="https://maps.google.com/maps?q=31.386611%2C73.0676337&amp;z=17&amp;hl=en" TargetMode="External"/><Relationship Id="rId112" Type="http://schemas.openxmlformats.org/officeDocument/2006/relationships/hyperlink" Target="https://maps.app.goo.gl/zyXgXmfGc29Qjv7eA" TargetMode="External"/><Relationship Id="rId111" Type="http://schemas.openxmlformats.org/officeDocument/2006/relationships/hyperlink" Target="https://maps.google.com/maps?q=31.4070824%2C73.0992917&amp;z=17&amp;hl=en" TargetMode="External"/><Relationship Id="rId305" Type="http://schemas.openxmlformats.org/officeDocument/2006/relationships/hyperlink" Target="https://maps.google.com/maps?q=33.6059161%2C73.0571634&amp;z=17&amp;hl=en" TargetMode="External"/><Relationship Id="rId304" Type="http://schemas.openxmlformats.org/officeDocument/2006/relationships/hyperlink" Target="https://maps.google.com/maps?q=33.6228339%2C73.0551435&amp;z=17&amp;hl=en" TargetMode="External"/><Relationship Id="rId303" Type="http://schemas.openxmlformats.org/officeDocument/2006/relationships/hyperlink" Target="https://maps.google.com/maps?q=33.6141445%2C73.0576834&amp;z=17&amp;hl=en" TargetMode="External"/><Relationship Id="rId302" Type="http://schemas.openxmlformats.org/officeDocument/2006/relationships/hyperlink" Target="https://maps.google.com/maps?q=33.617316%2C73.0622193&amp;z=17&amp;hl=en" TargetMode="External"/><Relationship Id="rId309" Type="http://schemas.openxmlformats.org/officeDocument/2006/relationships/hyperlink" Target="https://maps.google.com/maps?q=33.6180715%2C73.0669&amp;z=17&amp;hl=en" TargetMode="External"/><Relationship Id="rId308" Type="http://schemas.openxmlformats.org/officeDocument/2006/relationships/hyperlink" Target="https://maps.google.com/maps?q=33.5790168%2C73.0856103&amp;z=17&amp;hl=en" TargetMode="External"/><Relationship Id="rId307" Type="http://schemas.openxmlformats.org/officeDocument/2006/relationships/hyperlink" Target="https://maps.google.com/maps?q=33.6206937%2C73.0664336&amp;z=17&amp;hl=en" TargetMode="External"/><Relationship Id="rId306" Type="http://schemas.openxmlformats.org/officeDocument/2006/relationships/hyperlink" Target="https://maps.google.com/maps?q=33.5813044%2C73.0285838&amp;z=17&amp;hl=en" TargetMode="External"/><Relationship Id="rId301" Type="http://schemas.openxmlformats.org/officeDocument/2006/relationships/hyperlink" Target="https://maps.google.com/maps?q=33.6182966%2C73.0565511&amp;z=17&amp;hl=en" TargetMode="External"/><Relationship Id="rId300" Type="http://schemas.openxmlformats.org/officeDocument/2006/relationships/hyperlink" Target="https://maps.google.com/maps?q=33.6049542%2C73.1011314&amp;z=17&amp;hl=en" TargetMode="External"/><Relationship Id="rId316" Type="http://schemas.openxmlformats.org/officeDocument/2006/relationships/drawing" Target="../drawings/drawing6.xml"/><Relationship Id="rId315" Type="http://schemas.openxmlformats.org/officeDocument/2006/relationships/hyperlink" Target="https://maps.google.com/maps?q=33.9072445%2C73.39384&amp;z=17&amp;hl=en" TargetMode="External"/><Relationship Id="rId314" Type="http://schemas.openxmlformats.org/officeDocument/2006/relationships/hyperlink" Target="https://maps.google.com/maps?q=33.378525%2C73.3373617&amp;z=17&amp;hl=en" TargetMode="External"/><Relationship Id="rId313" Type="http://schemas.openxmlformats.org/officeDocument/2006/relationships/hyperlink" Target="https://maps.google.com/maps?q=33.5778038%2C73.0882561&amp;z=17&amp;hl=en" TargetMode="External"/><Relationship Id="rId312" Type="http://schemas.openxmlformats.org/officeDocument/2006/relationships/hyperlink" Target="https://maps.google.com/maps?q=33.6071287%2C73.049163&amp;z=17&amp;hl=en" TargetMode="External"/><Relationship Id="rId311" Type="http://schemas.openxmlformats.org/officeDocument/2006/relationships/hyperlink" Target="https://maps.google.com/maps?q=33.6022424%2C73.0535193&amp;z=17&amp;hl=en" TargetMode="External"/><Relationship Id="rId310" Type="http://schemas.openxmlformats.org/officeDocument/2006/relationships/hyperlink" Target="https://maps.google.com/maps?q=33.3789517%2C73.5478217&amp;z=17&amp;hl=en" TargetMode="External"/><Relationship Id="rId297" Type="http://schemas.openxmlformats.org/officeDocument/2006/relationships/hyperlink" Target="https://maps.google.com/maps?q=33.5742801%2C73.0401426&amp;z=17&amp;hl=en" TargetMode="External"/><Relationship Id="rId296" Type="http://schemas.openxmlformats.org/officeDocument/2006/relationships/hyperlink" Target="https://maps.google.com/maps?q=33.6153631%2C73.0528385&amp;z=17&amp;hl=en" TargetMode="External"/><Relationship Id="rId295" Type="http://schemas.openxmlformats.org/officeDocument/2006/relationships/hyperlink" Target="https://maps.app.goo.gl/JANsph5o58rwKjzq8" TargetMode="External"/><Relationship Id="rId294" Type="http://schemas.openxmlformats.org/officeDocument/2006/relationships/hyperlink" Target="https://maps.google.com/maps?q=32.2635931%2C75.1662053&amp;z=17&amp;hl=en" TargetMode="External"/><Relationship Id="rId299" Type="http://schemas.openxmlformats.org/officeDocument/2006/relationships/hyperlink" Target="https://maps.google.com/maps?q=33.6138963%2C73.0548993&amp;z=17&amp;hl=en" TargetMode="External"/><Relationship Id="rId298" Type="http://schemas.openxmlformats.org/officeDocument/2006/relationships/hyperlink" Target="https://maps.google.com/maps?q=33.6114515%2C73.0658015&amp;z=17&amp;hl=en" TargetMode="External"/><Relationship Id="rId271" Type="http://schemas.openxmlformats.org/officeDocument/2006/relationships/hyperlink" Target="https://maps.google.com/maps?q=32.1328097%2C73.8295923&amp;z=17&amp;hl=en" TargetMode="External"/><Relationship Id="rId270" Type="http://schemas.openxmlformats.org/officeDocument/2006/relationships/hyperlink" Target="https://maps.google.com/maps?q=32.3301433%2C73.7796783&amp;z=17&amp;hl=en" TargetMode="External"/><Relationship Id="rId269" Type="http://schemas.openxmlformats.org/officeDocument/2006/relationships/hyperlink" Target="https://maps.google.com/maps?q=32.2530001%2C73.6740197&amp;z=17&amp;hl=en" TargetMode="External"/><Relationship Id="rId264" Type="http://schemas.openxmlformats.org/officeDocument/2006/relationships/hyperlink" Target="https://maps.google.com/maps?q=32.166809%2C74.1825237&amp;z=17&amp;hl=en" TargetMode="External"/><Relationship Id="rId263" Type="http://schemas.openxmlformats.org/officeDocument/2006/relationships/hyperlink" Target="https://maps.google.com/maps?q=32.071094%2C73.7195025&amp;z=17&amp;hl=en" TargetMode="External"/><Relationship Id="rId262" Type="http://schemas.openxmlformats.org/officeDocument/2006/relationships/hyperlink" Target="https://maps.google.com/maps?q=30.8798941%2C73.5943176&amp;z=17&amp;hl=en" TargetMode="External"/><Relationship Id="rId261" Type="http://schemas.openxmlformats.org/officeDocument/2006/relationships/hyperlink" Target="https://maps.google.com/maps?q=30.9524382%2C73.5387666&amp;z=17&amp;hl=en" TargetMode="External"/><Relationship Id="rId268" Type="http://schemas.openxmlformats.org/officeDocument/2006/relationships/hyperlink" Target="https://maps.google.com/maps?q=31.9074519%2C73.6126611&amp;z=17&amp;hl=en" TargetMode="External"/><Relationship Id="rId267" Type="http://schemas.openxmlformats.org/officeDocument/2006/relationships/hyperlink" Target="https://maps.google.com/maps?q=32.1571609%2C74.1928954&amp;z=17&amp;hl=en" TargetMode="External"/><Relationship Id="rId266" Type="http://schemas.openxmlformats.org/officeDocument/2006/relationships/hyperlink" Target="https://maps.google.com/maps?q=32.1572555%2C74.1890043&amp;z=17&amp;hl=en" TargetMode="External"/><Relationship Id="rId265" Type="http://schemas.openxmlformats.org/officeDocument/2006/relationships/hyperlink" Target="https://maps.google.com/maps?q=32.1650727%2C74.1907428&amp;z=17&amp;hl=en" TargetMode="External"/><Relationship Id="rId260" Type="http://schemas.openxmlformats.org/officeDocument/2006/relationships/hyperlink" Target="https://maps.google.com/maps?q=30.9528117%2C73.3293886&amp;z=17&amp;hl=en" TargetMode="External"/><Relationship Id="rId259" Type="http://schemas.openxmlformats.org/officeDocument/2006/relationships/hyperlink" Target="https://maps.google.com/maps?q=30.8087984%2C73.4445134&amp;z=17&amp;hl=en" TargetMode="External"/><Relationship Id="rId258" Type="http://schemas.openxmlformats.org/officeDocument/2006/relationships/hyperlink" Target="https://maps.google.com/maps?q=30.8076884%2C73.4456833&amp;z=17&amp;hl=en" TargetMode="External"/><Relationship Id="rId253" Type="http://schemas.openxmlformats.org/officeDocument/2006/relationships/hyperlink" Target="https://www.google.com/maps?q=30.6682914,73.1088151" TargetMode="External"/><Relationship Id="rId252" Type="http://schemas.openxmlformats.org/officeDocument/2006/relationships/hyperlink" Target="https://maps.google.com/maps?q=30.653332%2C73.1066953&amp;z=17&amp;hl=en" TargetMode="External"/><Relationship Id="rId251" Type="http://schemas.openxmlformats.org/officeDocument/2006/relationships/hyperlink" Target="https://maps.google.com/maps?q=30.429981231689453%2C73.04800415039062&amp;z=17&amp;hl=en" TargetMode="External"/><Relationship Id="rId250" Type="http://schemas.openxmlformats.org/officeDocument/2006/relationships/hyperlink" Target="https://maps.google.com/maps?q=30.650259017944336%2C73.09505462646484&amp;z=17&amp;hl=en" TargetMode="External"/><Relationship Id="rId257" Type="http://schemas.openxmlformats.org/officeDocument/2006/relationships/hyperlink" Target="https://maps.google.com/maps?q=30.531882%2C72.6887089&amp;z=17&amp;hl=en" TargetMode="External"/><Relationship Id="rId256" Type="http://schemas.openxmlformats.org/officeDocument/2006/relationships/hyperlink" Target="https://maps.google.com/maps?q=30.5315193%2C72.6888218&amp;z=17&amp;hl=en" TargetMode="External"/><Relationship Id="rId255" Type="http://schemas.openxmlformats.org/officeDocument/2006/relationships/hyperlink" Target="https://maps.google.com/maps?q=30.6541356%2C73.1115608&amp;z=17&amp;hl=en" TargetMode="External"/><Relationship Id="rId254" Type="http://schemas.openxmlformats.org/officeDocument/2006/relationships/hyperlink" Target="https://maps.google.com/maps?q=30.6597964%2C73.10988&amp;z=17&amp;hl=en" TargetMode="External"/><Relationship Id="rId293" Type="http://schemas.openxmlformats.org/officeDocument/2006/relationships/hyperlink" Target="https://maps.google.com/maps?q=32.3261997%2C75.3006909&amp;z=17&amp;hl=en" TargetMode="External"/><Relationship Id="rId292" Type="http://schemas.openxmlformats.org/officeDocument/2006/relationships/hyperlink" Target="https://maps.google.com/maps?q=32.5489782%2C74.5487986&amp;z=17&amp;hl=en" TargetMode="External"/><Relationship Id="rId291" Type="http://schemas.openxmlformats.org/officeDocument/2006/relationships/hyperlink" Target="https://maps.google.com/maps?q=32.4948115%2C74.5621511&amp;z=17&amp;hl=en" TargetMode="External"/><Relationship Id="rId290" Type="http://schemas.openxmlformats.org/officeDocument/2006/relationships/hyperlink" Target="https://maps.google.com/maps?q=32.4924412%2C74.5390548&amp;z=17&amp;hl=en" TargetMode="External"/><Relationship Id="rId286" Type="http://schemas.openxmlformats.org/officeDocument/2006/relationships/hyperlink" Target="https://maps.google.com/maps?q=32.719097%2C72.9852805&amp;z=17&amp;hl=en" TargetMode="External"/><Relationship Id="rId285" Type="http://schemas.openxmlformats.org/officeDocument/2006/relationships/hyperlink" Target="https://maps.google.com/maps?q=32.9248217%2C73.7322679&amp;z=17&amp;hl=en" TargetMode="External"/><Relationship Id="rId284" Type="http://schemas.openxmlformats.org/officeDocument/2006/relationships/hyperlink" Target="https://maps.google.com/maps?q=32.9284525%2C73.7339202&amp;z=17&amp;hl=en" TargetMode="External"/><Relationship Id="rId283" Type="http://schemas.openxmlformats.org/officeDocument/2006/relationships/hyperlink" Target="https://maps.google.com/maps?q=32.5549029%2C73.2125862&amp;z=17&amp;hl=en" TargetMode="External"/><Relationship Id="rId289" Type="http://schemas.openxmlformats.org/officeDocument/2006/relationships/hyperlink" Target="https://maps.google.com/maps?q=32.6707567%2C74.5707033&amp;z=17&amp;hl=en" TargetMode="External"/><Relationship Id="rId288" Type="http://schemas.openxmlformats.org/officeDocument/2006/relationships/hyperlink" Target="https://maps.google.com/maps?q=32.4882583%2C74.5383817&amp;z=17&amp;hl=en" TargetMode="External"/><Relationship Id="rId287" Type="http://schemas.openxmlformats.org/officeDocument/2006/relationships/hyperlink" Target="https://maps.google.com/maps?q=32.9257983%2C72.4068136&amp;z=17&amp;hl=en" TargetMode="External"/><Relationship Id="rId282" Type="http://schemas.openxmlformats.org/officeDocument/2006/relationships/hyperlink" Target="https://maps.google.com/maps?q=32.5864601%2C73.4900294&amp;z=17&amp;hl=en" TargetMode="External"/><Relationship Id="rId281" Type="http://schemas.openxmlformats.org/officeDocument/2006/relationships/hyperlink" Target="https://maps.google.com/maps?q=32.5337283%2C73.4838909&amp;z=17&amp;hl=en" TargetMode="External"/><Relationship Id="rId280" Type="http://schemas.openxmlformats.org/officeDocument/2006/relationships/hyperlink" Target="https://maps.google.com/maps?q=32.5714801%2C74.0857584&amp;z=17&amp;hl=en" TargetMode="External"/><Relationship Id="rId275" Type="http://schemas.openxmlformats.org/officeDocument/2006/relationships/hyperlink" Target="https://www.google.com/maps/place/32%C2%B034'23.1%22N+74%C2%B004'28.3%22E/@32.5730954,74.0719479,17z/data=!3m1!4b1!4m4!3m3!8m2!3d32.5730954!4d74.0745228?entry=ttu&amp;g_ep=EgoyMDI0MTIwMy4wIKXMDSoASAFQAw%3D%3D" TargetMode="External"/><Relationship Id="rId274" Type="http://schemas.openxmlformats.org/officeDocument/2006/relationships/hyperlink" Target="https://maps.google.com/maps?q=32.5710369%2C74.0883756&amp;z=17&amp;hl=en" TargetMode="External"/><Relationship Id="rId273" Type="http://schemas.openxmlformats.org/officeDocument/2006/relationships/hyperlink" Target="https://maps.google.com/maps?q=32.580035%2C74.09792&amp;z=17&amp;hl=en" TargetMode="External"/><Relationship Id="rId272" Type="http://schemas.openxmlformats.org/officeDocument/2006/relationships/hyperlink" Target="https://maps.google.com/maps?q=32.57686233520508%2C74.08113098144531&amp;z=17&amp;hl=en" TargetMode="External"/><Relationship Id="rId279" Type="http://schemas.openxmlformats.org/officeDocument/2006/relationships/hyperlink" Target="https://maps.google.com/maps?q=32.5714635%2C74.0846047&amp;z=17&amp;hl=en" TargetMode="External"/><Relationship Id="rId278" Type="http://schemas.openxmlformats.org/officeDocument/2006/relationships/hyperlink" Target="https://maps.google.com/maps?q=32.5912875%2C74.0871527&amp;z=17&amp;hl=en" TargetMode="External"/><Relationship Id="rId277" Type="http://schemas.openxmlformats.org/officeDocument/2006/relationships/hyperlink" Target="https://www.google.com/maps?q=32.7960114,73.7892226" TargetMode="External"/><Relationship Id="rId276" Type="http://schemas.openxmlformats.org/officeDocument/2006/relationships/hyperlink" Target="https://maps.google.com/maps?q=32.55938099122827%2C73.2109635245343&amp;z=17&amp;hl=en" TargetMode="External"/><Relationship Id="rId228" Type="http://schemas.openxmlformats.org/officeDocument/2006/relationships/hyperlink" Target="https://maps.google.com/?q=29.7961325,72.8581846" TargetMode="External"/><Relationship Id="rId227" Type="http://schemas.openxmlformats.org/officeDocument/2006/relationships/hyperlink" Target="https://maps.google.com/maps?q=29.6894137%2C72.5347834&amp;z=17&amp;hl=en" TargetMode="External"/><Relationship Id="rId226" Type="http://schemas.openxmlformats.org/officeDocument/2006/relationships/hyperlink" Target="https://maps.google.com/maps?q=29.6945603%2C72.5506141&amp;z=17&amp;hl=en" TargetMode="External"/><Relationship Id="rId225" Type="http://schemas.openxmlformats.org/officeDocument/2006/relationships/hyperlink" Target="https://maps.google.com/maps?q=29.143841%2C71.2594724&amp;z=17&amp;hl=en" TargetMode="External"/><Relationship Id="rId229" Type="http://schemas.openxmlformats.org/officeDocument/2006/relationships/hyperlink" Target="https://www.google.com/maps?q=29.8028953,72.8406527" TargetMode="External"/><Relationship Id="rId220" Type="http://schemas.openxmlformats.org/officeDocument/2006/relationships/hyperlink" Target="https://www.google.com/maps?q=29.2426835,71.0557167" TargetMode="External"/><Relationship Id="rId224" Type="http://schemas.openxmlformats.org/officeDocument/2006/relationships/hyperlink" Target="https://maps.google.com/maps?q=29.146789%2C71.2670091&amp;z=17&amp;hl=en" TargetMode="External"/><Relationship Id="rId223" Type="http://schemas.openxmlformats.org/officeDocument/2006/relationships/hyperlink" Target="https://maps.google.com/maps?q=29.0991978%2C71.2745758&amp;z=17&amp;hl=en" TargetMode="External"/><Relationship Id="rId222" Type="http://schemas.openxmlformats.org/officeDocument/2006/relationships/hyperlink" Target="https://www.google.com/maps?q=29.2431651,71.0555136" TargetMode="External"/><Relationship Id="rId221" Type="http://schemas.openxmlformats.org/officeDocument/2006/relationships/hyperlink" Target="https://www.google.com/maps?q=29.2426835,71.0557167" TargetMode="External"/><Relationship Id="rId217" Type="http://schemas.openxmlformats.org/officeDocument/2006/relationships/hyperlink" Target="https://maps.google.com/?q=29.4567648,71.9538872" TargetMode="External"/><Relationship Id="rId216" Type="http://schemas.openxmlformats.org/officeDocument/2006/relationships/hyperlink" Target="https://maps.google.com/maps?q=29.3140056%2C71.5437025&amp;z=17&amp;hl=en" TargetMode="External"/><Relationship Id="rId215" Type="http://schemas.openxmlformats.org/officeDocument/2006/relationships/hyperlink" Target="https://www.google.com/maps?q=29.3953179,71.674018" TargetMode="External"/><Relationship Id="rId214" Type="http://schemas.openxmlformats.org/officeDocument/2006/relationships/hyperlink" Target="https://www.google.com/maps?q=29.3960534,71.6747768" TargetMode="External"/><Relationship Id="rId219" Type="http://schemas.openxmlformats.org/officeDocument/2006/relationships/hyperlink" Target="https://maps.google.com/maps?q=29.2370496%2C71.0607756&amp;z=17&amp;hl=en" TargetMode="External"/><Relationship Id="rId218" Type="http://schemas.openxmlformats.org/officeDocument/2006/relationships/hyperlink" Target="https://www.google.com/maps?q=29.5812543,72.233824" TargetMode="External"/><Relationship Id="rId213" Type="http://schemas.openxmlformats.org/officeDocument/2006/relationships/hyperlink" Target="https://www.google.com/maps?q=29.4023133,71.6536017" TargetMode="External"/><Relationship Id="rId212" Type="http://schemas.openxmlformats.org/officeDocument/2006/relationships/hyperlink" Target="https://www.google.com/maps?q=28.9754483,71.663715&amp;z=17&amp;hl=en" TargetMode="External"/><Relationship Id="rId211" Type="http://schemas.openxmlformats.org/officeDocument/2006/relationships/hyperlink" Target="https://www.google.com/maps?q=29.3989078,71.6736316" TargetMode="External"/><Relationship Id="rId210" Type="http://schemas.openxmlformats.org/officeDocument/2006/relationships/hyperlink" Target="https://maps.google.com/?q=29.3956909179688,71.6795806884766" TargetMode="External"/><Relationship Id="rId249" Type="http://schemas.openxmlformats.org/officeDocument/2006/relationships/hyperlink" Target="https://maps.google.com/maps?q=30.290311%2C73.0660431&amp;z=17&amp;hl=en" TargetMode="External"/><Relationship Id="rId248" Type="http://schemas.openxmlformats.org/officeDocument/2006/relationships/hyperlink" Target="https://maps.google.com/maps?q=30.291458129882812%2C73.06883239746094&amp;z=17&amp;hl=en" TargetMode="External"/><Relationship Id="rId247" Type="http://schemas.openxmlformats.org/officeDocument/2006/relationships/hyperlink" Target="https://www.google.com/maps?q=30.3147944,73.3438006" TargetMode="External"/><Relationship Id="rId242" Type="http://schemas.openxmlformats.org/officeDocument/2006/relationships/hyperlink" Target="https://www.google.com/maps?q=28.4262219,70.3226971" TargetMode="External"/><Relationship Id="rId241" Type="http://schemas.openxmlformats.org/officeDocument/2006/relationships/hyperlink" Target="https://www.google.com/maps?q=28.2246009,69.9309028" TargetMode="External"/><Relationship Id="rId240" Type="http://schemas.openxmlformats.org/officeDocument/2006/relationships/hyperlink" Target="https://www.google.com/maps?q=28.4196412,70.3060157" TargetMode="External"/><Relationship Id="rId246" Type="http://schemas.openxmlformats.org/officeDocument/2006/relationships/hyperlink" Target="https://maps.google.com/maps?q=30.3147944%2C73.3438006&amp;z=17&amp;hl=en" TargetMode="External"/><Relationship Id="rId245" Type="http://schemas.openxmlformats.org/officeDocument/2006/relationships/hyperlink" Target="https://www.google.com/maps/place/30%C2%B020'34.5%22N+73%C2%B023'21.8%22E/@30.3429162,73.3868093,17z/data=!3m1!4b1!4m4!3m3!8m2!3d30.3429162!4d73.3893842?entry=ttu&amp;g_ep=EgoyMDI1MTExNy4wIKXMDSoASAFQAw%3D%3D" TargetMode="External"/><Relationship Id="rId244" Type="http://schemas.openxmlformats.org/officeDocument/2006/relationships/hyperlink" Target="https://maps.google.com/maps?q=30.3518354%2C73.3909344&amp;z=17&amp;hl=en" TargetMode="External"/><Relationship Id="rId243" Type="http://schemas.openxmlformats.org/officeDocument/2006/relationships/hyperlink" Target="https://maps.google.com/maps?q=30.3409177%2C73.387068&amp;z=17&amp;hl=en" TargetMode="External"/><Relationship Id="rId239" Type="http://schemas.openxmlformats.org/officeDocument/2006/relationships/hyperlink" Target="https://www.google.com/maps?q=28.6436336,70.6536248&amp;z=17&amp;hl=en" TargetMode="External"/><Relationship Id="rId238" Type="http://schemas.openxmlformats.org/officeDocument/2006/relationships/hyperlink" Target="https://www.google.com/maps?q=28.6439435,70.6589031&amp;z=17&amp;hl=en" TargetMode="External"/><Relationship Id="rId237" Type="http://schemas.openxmlformats.org/officeDocument/2006/relationships/hyperlink" Target="https://www.google.com/maps?q=28.9524787,70.8788817&amp;z=17&amp;hl=en" TargetMode="External"/><Relationship Id="rId236" Type="http://schemas.openxmlformats.org/officeDocument/2006/relationships/hyperlink" Target="https://maps.google.com/maps?q=28.6393625%2C70.6550214&amp;z=17&amp;hl=en" TargetMode="External"/><Relationship Id="rId231" Type="http://schemas.openxmlformats.org/officeDocument/2006/relationships/hyperlink" Target="https://www.google.com/maps?q=30.0029464,73.2612082&amp;z=17&amp;hl=en" TargetMode="External"/><Relationship Id="rId230" Type="http://schemas.openxmlformats.org/officeDocument/2006/relationships/hyperlink" Target="https://www.google.com/maps?q=29.7979656,72.8443663" TargetMode="External"/><Relationship Id="rId235" Type="http://schemas.openxmlformats.org/officeDocument/2006/relationships/hyperlink" Target="https://www.google.com/maps?q=28.9612845,70.7403675&amp;z=17&amp;hl=en" TargetMode="External"/><Relationship Id="rId234" Type="http://schemas.openxmlformats.org/officeDocument/2006/relationships/hyperlink" Target="https://www.google.com/maps?q=28.6420075,70.6539892&amp;z=17&amp;hl=en" TargetMode="External"/><Relationship Id="rId233" Type="http://schemas.openxmlformats.org/officeDocument/2006/relationships/hyperlink" Target="https://www.google.com/maps?q=30.0365367,73.5364517&amp;z=17&amp;hl=en" TargetMode="External"/><Relationship Id="rId232" Type="http://schemas.openxmlformats.org/officeDocument/2006/relationships/hyperlink" Target="https://www.google.com/maps?q=29.6114403,73.1376496" TargetMode="External"/><Relationship Id="rId206" Type="http://schemas.openxmlformats.org/officeDocument/2006/relationships/hyperlink" Target="https://maps.google.com/?q=30.2788096,70.7268038" TargetMode="External"/><Relationship Id="rId205" Type="http://schemas.openxmlformats.org/officeDocument/2006/relationships/hyperlink" Target="https://www.google.com/maps?q=30.057959,70.6359916" TargetMode="External"/><Relationship Id="rId204" Type="http://schemas.openxmlformats.org/officeDocument/2006/relationships/hyperlink" Target="https://maps.google.com/?q=30.0626594,70.6434638" TargetMode="External"/><Relationship Id="rId203" Type="http://schemas.openxmlformats.org/officeDocument/2006/relationships/hyperlink" Target="https://maps.google.com/?q=29.9858984,70.3025885" TargetMode="External"/><Relationship Id="rId209" Type="http://schemas.openxmlformats.org/officeDocument/2006/relationships/hyperlink" Target="https://www.google.com/maps?q=29.3964518,71.673127" TargetMode="External"/><Relationship Id="rId208" Type="http://schemas.openxmlformats.org/officeDocument/2006/relationships/hyperlink" Target="https://maps.google.com/maps?q=29.3982636%2C71.676085&amp;z=17&amp;hl=en" TargetMode="External"/><Relationship Id="rId207" Type="http://schemas.openxmlformats.org/officeDocument/2006/relationships/hyperlink" Target="https://www.google.com/maps?q=29.3960231,71.6824246" TargetMode="External"/><Relationship Id="rId202" Type="http://schemas.openxmlformats.org/officeDocument/2006/relationships/hyperlink" Target="https://maps.google.com/maps?q=30.0478282%2C72.3612654&amp;z=17&amp;hl=en" TargetMode="External"/><Relationship Id="rId201" Type="http://schemas.openxmlformats.org/officeDocument/2006/relationships/hyperlink" Target="https://maps.google.com/maps?q=30.3334797%2C72.7943812&amp;z=17&amp;hl=en" TargetMode="External"/><Relationship Id="rId200" Type="http://schemas.openxmlformats.org/officeDocument/2006/relationships/hyperlink" Target="https://maps.google.com/maps?q=30.1577583%2C72.6798617&amp;z=17&amp;hl=en"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drive.google.com/open?id=1L6V7_glf43lqG328d7ZAdm9-bnqIPmFV" TargetMode="External"/><Relationship Id="rId194" Type="http://schemas.openxmlformats.org/officeDocument/2006/relationships/hyperlink" Target="https://drive.google.com/open?id=1d1WSb3zzd0ot7FSnh7qTVvRykbsnPH3i" TargetMode="External"/><Relationship Id="rId193" Type="http://schemas.openxmlformats.org/officeDocument/2006/relationships/hyperlink" Target="https://drive.google.com/open?id=1e6MLpEvXEcYJxDEk0rH59lrv2XuEaP9T" TargetMode="External"/><Relationship Id="rId192" Type="http://schemas.openxmlformats.org/officeDocument/2006/relationships/hyperlink" Target="https://drive.google.com/open?id=1QDRrrptPZvaYtmE1pF32Ibi1AhAkTFlt" TargetMode="External"/><Relationship Id="rId191" Type="http://schemas.openxmlformats.org/officeDocument/2006/relationships/hyperlink" Target="https://drive.google.com/open?id=1eaRutIbfjbc5tsIhU6Ciw3K88czzAS5Y" TargetMode="External"/><Relationship Id="rId187" Type="http://schemas.openxmlformats.org/officeDocument/2006/relationships/hyperlink" Target="https://drive.google.com/open?id=1Vo1YJV-wa2qMb8zAYI3ljudCLIwhy-hE" TargetMode="External"/><Relationship Id="rId186" Type="http://schemas.openxmlformats.org/officeDocument/2006/relationships/hyperlink" Target="https://drive.google.com/open?id=16O1JUFkR4Mev64TMmZlriBveLKpjVstA" TargetMode="External"/><Relationship Id="rId185" Type="http://schemas.openxmlformats.org/officeDocument/2006/relationships/hyperlink" Target="https://drive.google.com/open?id=1Nu50NlP9a0X0_C6oAEPyEb9rgdx3qyiw" TargetMode="External"/><Relationship Id="rId184" Type="http://schemas.openxmlformats.org/officeDocument/2006/relationships/hyperlink" Target="https://drive.google.com/open?id=1ElibYT8yZUnQZ-ksmskqtl56Wo93UjcN" TargetMode="External"/><Relationship Id="rId189" Type="http://schemas.openxmlformats.org/officeDocument/2006/relationships/hyperlink" Target="https://drive.google.com/open?id=1cvIqk8lDUB7l-xaAalD6V_snORVOSeFQ" TargetMode="External"/><Relationship Id="rId188" Type="http://schemas.openxmlformats.org/officeDocument/2006/relationships/hyperlink" Target="https://drive.google.com/open?id=1znZ-eB3GTnmq6riifjKvjuUCrhGEixSJ" TargetMode="External"/><Relationship Id="rId183" Type="http://schemas.openxmlformats.org/officeDocument/2006/relationships/hyperlink" Target="https://drive.google.com/open?id=1sG9ljG1_finXwGSfE7-Wc3Ensv0-12cX" TargetMode="External"/><Relationship Id="rId182" Type="http://schemas.openxmlformats.org/officeDocument/2006/relationships/hyperlink" Target="https://drive.google.com/open?id=1oX9SNGo0OXwSLG1lAOXvD4F2dasB-rNf" TargetMode="External"/><Relationship Id="rId181" Type="http://schemas.openxmlformats.org/officeDocument/2006/relationships/hyperlink" Target="https://drive.google.com/open?id=1Jtet982nrjyc3_gFoXM5WqIyQ54Ehbc3" TargetMode="External"/><Relationship Id="rId180" Type="http://schemas.openxmlformats.org/officeDocument/2006/relationships/hyperlink" Target="https://drive.google.com/open?id=1uPdQxAv4lQHNlF1aIl4f_WeKicUkvPRK" TargetMode="External"/><Relationship Id="rId176" Type="http://schemas.openxmlformats.org/officeDocument/2006/relationships/hyperlink" Target="https://drive.google.com/open?id=1ivGXG7d0x3k8iU_LT4PkueUuxPTvoamc" TargetMode="External"/><Relationship Id="rId175" Type="http://schemas.openxmlformats.org/officeDocument/2006/relationships/hyperlink" Target="https://drive.google.com/open?id=1h0CmlQPJme3hIEMkKNoeU5mnnvOBp97p" TargetMode="External"/><Relationship Id="rId174" Type="http://schemas.openxmlformats.org/officeDocument/2006/relationships/hyperlink" Target="https://drive.google.com/open?id=1qAxiHQa_-28MKa5mlldT9_LF6tPE411m" TargetMode="External"/><Relationship Id="rId173" Type="http://schemas.openxmlformats.org/officeDocument/2006/relationships/hyperlink" Target="https://drive.google.com/open?id=18yVdX2rk1ZP8NH0vaobRxFVXCpFCHmJ_" TargetMode="External"/><Relationship Id="rId179" Type="http://schemas.openxmlformats.org/officeDocument/2006/relationships/hyperlink" Target="https://drive.google.com/open?id=1auxKaKnnKsajiut7XLiOcfZjFYrdBY5C" TargetMode="External"/><Relationship Id="rId178" Type="http://schemas.openxmlformats.org/officeDocument/2006/relationships/hyperlink" Target="https://drive.google.com/open?id=1IbLr7uhuNkb1eCBCmaa2HZoHrxZ5AuY0" TargetMode="External"/><Relationship Id="rId177" Type="http://schemas.openxmlformats.org/officeDocument/2006/relationships/hyperlink" Target="https://drive.google.com/open?id=1lvLEKIdEn2Eax_vZH_hhxZOtaLvsB4vj" TargetMode="External"/><Relationship Id="rId198" Type="http://schemas.openxmlformats.org/officeDocument/2006/relationships/hyperlink" Target="https://drive.google.com/open?id=1sUjnlN3muEANEsRC9RCdy_cbJjwlvcOZ" TargetMode="External"/><Relationship Id="rId197" Type="http://schemas.openxmlformats.org/officeDocument/2006/relationships/hyperlink" Target="https://drive.google.com/open?id=1MdjdFqxkn5wff15D8ksjid99cZz-gkR4" TargetMode="External"/><Relationship Id="rId196" Type="http://schemas.openxmlformats.org/officeDocument/2006/relationships/hyperlink" Target="https://drive.google.com/open?id=1-2Eh4bcLrPaRU29snlyWpok9d5Z9kSnE" TargetMode="External"/><Relationship Id="rId195" Type="http://schemas.openxmlformats.org/officeDocument/2006/relationships/hyperlink" Target="https://drive.google.com/open?id=1YWOoS0DiquUAtmmJ1dliaAlutOygRw0s" TargetMode="External"/><Relationship Id="rId199" Type="http://schemas.openxmlformats.org/officeDocument/2006/relationships/hyperlink" Target="https://drive.google.com/open?id=1jOLXk57WXLNZG68w6ZSIkXjfcS7o5OF4" TargetMode="External"/><Relationship Id="rId150" Type="http://schemas.openxmlformats.org/officeDocument/2006/relationships/hyperlink" Target="https://drive.google.com/open?id=1HOqPI4TrRfTx7ZphHbaECUc79yWRz_SP" TargetMode="External"/><Relationship Id="rId392" Type="http://schemas.openxmlformats.org/officeDocument/2006/relationships/hyperlink" Target="https://drive.google.com/open?id=1jOLXk57WXLNZG68w6ZSIkXjfcS7o5OF4" TargetMode="External"/><Relationship Id="rId391" Type="http://schemas.openxmlformats.org/officeDocument/2006/relationships/hyperlink" Target="https://drive.google.com/open?id=1sUjnlN3muEANEsRC9RCdy_cbJjwlvcOZ" TargetMode="External"/><Relationship Id="rId390" Type="http://schemas.openxmlformats.org/officeDocument/2006/relationships/hyperlink" Target="https://drive.google.com/open?id=1C1BzaOZeUWg6rrKdwl4AGrWsW9JonCi5" TargetMode="External"/><Relationship Id="rId1" Type="http://schemas.openxmlformats.org/officeDocument/2006/relationships/hyperlink" Target="https://drive.google.com/open?id=14GK8EE2rNleneizPS2IZoy_-0-AqgIYP" TargetMode="External"/><Relationship Id="rId2" Type="http://schemas.openxmlformats.org/officeDocument/2006/relationships/hyperlink" Target="https://drive.google.com/open?id=1MFEmHCoGFvB8Cxo5uVgu2ikiAFc8K-3E" TargetMode="External"/><Relationship Id="rId3" Type="http://schemas.openxmlformats.org/officeDocument/2006/relationships/hyperlink" Target="https://drive.google.com/open?id=1EPTt34A9tYDeMoO3f6Y7clDz1_Jwo1qb" TargetMode="External"/><Relationship Id="rId149" Type="http://schemas.openxmlformats.org/officeDocument/2006/relationships/hyperlink" Target="https://drive.google.com/open?id=1kebdCI1z2x3Hg-hFHkRIwU9ARDmzSC7f" TargetMode="External"/><Relationship Id="rId4" Type="http://schemas.openxmlformats.org/officeDocument/2006/relationships/hyperlink" Target="https://drive.google.com/open?id=1CnlHycGEG2HytSXlJRocHxJAw3C9rBCE" TargetMode="External"/><Relationship Id="rId148" Type="http://schemas.openxmlformats.org/officeDocument/2006/relationships/hyperlink" Target="https://drive.google.com/open?id=1mEJ51F4C0fh2D0JdwZp-eVEAmTOMss5F" TargetMode="External"/><Relationship Id="rId1090" Type="http://schemas.openxmlformats.org/officeDocument/2006/relationships/hyperlink" Target="https://drive.google.com/open?id=1jjsBawf8yhaXgOGO1w3znowMIk9FPTGm" TargetMode="External"/><Relationship Id="rId1091" Type="http://schemas.openxmlformats.org/officeDocument/2006/relationships/hyperlink" Target="https://drive.google.com/file/d/1vVMDf1ys3OhW--U0r1HPLBa_5CIj1VU8/view?usp=drive_link" TargetMode="External"/><Relationship Id="rId1092" Type="http://schemas.openxmlformats.org/officeDocument/2006/relationships/hyperlink" Target="https://drive.google.com/open?id=1ihbnX0FChZEEy4mVq8FVO8X9z5cLGX8G" TargetMode="External"/><Relationship Id="rId1093" Type="http://schemas.openxmlformats.org/officeDocument/2006/relationships/hyperlink" Target="https://drive.google.com/file/d/1O5BgxIC_pJtrOa32O6U_NYGapHjhZIjO/view?usp=drive_link" TargetMode="External"/><Relationship Id="rId1094" Type="http://schemas.openxmlformats.org/officeDocument/2006/relationships/hyperlink" Target="https://drive.google.com/open?id=1Sqnjg21D-ufacSNIbkhOwMiLuHF7cIuf" TargetMode="External"/><Relationship Id="rId9" Type="http://schemas.openxmlformats.org/officeDocument/2006/relationships/hyperlink" Target="https://drive.google.com/open?id=1zNgHGQZIZmtEo_84SrGOw-b-46PWEcU3" TargetMode="External"/><Relationship Id="rId143" Type="http://schemas.openxmlformats.org/officeDocument/2006/relationships/hyperlink" Target="https://drive.google.com/open?id=1ZHCraUjMGDwmuj1JCcxsBr0_aLMlJomS" TargetMode="External"/><Relationship Id="rId385" Type="http://schemas.openxmlformats.org/officeDocument/2006/relationships/hyperlink" Target="https://drive.google.com/open?id=1L9oSBZYReKTHypvdySBgItyXzsCXL2bp" TargetMode="External"/><Relationship Id="rId1095" Type="http://schemas.openxmlformats.org/officeDocument/2006/relationships/hyperlink" Target="https://drive.google.com/open?id=1oE4K6_3zm-7r4uEevQGQpIAjsCamBPJp" TargetMode="External"/><Relationship Id="rId142" Type="http://schemas.openxmlformats.org/officeDocument/2006/relationships/hyperlink" Target="https://drive.google.com/open?id=1yp0_ok3jsVtEj3qrtFoTWF_ctfMourq8" TargetMode="External"/><Relationship Id="rId384" Type="http://schemas.openxmlformats.org/officeDocument/2006/relationships/hyperlink" Target="https://drive.google.com/open?id=1Vbmkdl_7Ei46isaOU8KeRUmtucMEKNlF" TargetMode="External"/><Relationship Id="rId1096" Type="http://schemas.openxmlformats.org/officeDocument/2006/relationships/hyperlink" Target="https://drive.google.com/open?id=1Zgc0ZE2Cg11V6qlrgTn746WOIeKhfN95" TargetMode="External"/><Relationship Id="rId141" Type="http://schemas.openxmlformats.org/officeDocument/2006/relationships/hyperlink" Target="https://drive.google.com/open?id=1OCdKsVx_dIhQijkUuiEDhX8ps_Q409Ki" TargetMode="External"/><Relationship Id="rId383" Type="http://schemas.openxmlformats.org/officeDocument/2006/relationships/hyperlink" Target="https://drive.google.com/open?id=1b4ROcWLTkFo9wz14FvoPPxYUhwwwBVdK" TargetMode="External"/><Relationship Id="rId1097" Type="http://schemas.openxmlformats.org/officeDocument/2006/relationships/hyperlink" Target="https://drive.google.com/open?id=1JMg9lRzAm5YVaso8L6jYuFwhptvNL3lu" TargetMode="External"/><Relationship Id="rId140" Type="http://schemas.openxmlformats.org/officeDocument/2006/relationships/hyperlink" Target="https://drive.google.com/open?id=1s13hgqYE3w1sNIyBqZcw3y4YRuBwd5ls" TargetMode="External"/><Relationship Id="rId382" Type="http://schemas.openxmlformats.org/officeDocument/2006/relationships/hyperlink" Target="https://drive.google.com/open?id=1xfdkc9W5mPh_cuFHmELt-cavO_scjTmj" TargetMode="External"/><Relationship Id="rId1098" Type="http://schemas.openxmlformats.org/officeDocument/2006/relationships/hyperlink" Target="https://drive.google.com/open?id=1ex0biaIDXceSOrhr5n7aA2m_jYFqVe9A" TargetMode="External"/><Relationship Id="rId5" Type="http://schemas.openxmlformats.org/officeDocument/2006/relationships/hyperlink" Target="https://drive.google.com/open?id=1REuVfn6pQF3J0gXPzGotH4WZiKIsMmuo" TargetMode="External"/><Relationship Id="rId147" Type="http://schemas.openxmlformats.org/officeDocument/2006/relationships/hyperlink" Target="https://drive.google.com/open?id=1xwdh5pNpDoVwgL7MO2FUx3Psuo80DdSx" TargetMode="External"/><Relationship Id="rId389" Type="http://schemas.openxmlformats.org/officeDocument/2006/relationships/hyperlink" Target="https://drive.google.com/open?id=12dZ2oXeWcOtEEi-T1EKVOIY6N6VQ_xDI" TargetMode="External"/><Relationship Id="rId1099" Type="http://schemas.openxmlformats.org/officeDocument/2006/relationships/hyperlink" Target="https://drive.google.com/open?id=1E0wrc94a_ME2m16PYXvVVdCUQHofI9rd" TargetMode="External"/><Relationship Id="rId6" Type="http://schemas.openxmlformats.org/officeDocument/2006/relationships/hyperlink" Target="https://drive.google.com/open?id=1Q8r1mY4OGi1vN3XRKZaVPlDUdDRaNVv5" TargetMode="External"/><Relationship Id="rId146" Type="http://schemas.openxmlformats.org/officeDocument/2006/relationships/hyperlink" Target="https://drive.google.com/open?id=1OLhB5AqkNJ_F9DTHXjQ6LrhjLARsgOUB" TargetMode="External"/><Relationship Id="rId388" Type="http://schemas.openxmlformats.org/officeDocument/2006/relationships/hyperlink" Target="https://drive.google.com/open?id=1D5SBbW3iwFU4wg0PIzFTc6_sVBMyyTV1" TargetMode="External"/><Relationship Id="rId7" Type="http://schemas.openxmlformats.org/officeDocument/2006/relationships/hyperlink" Target="https://drive.google.com/file/d/1ov-sXGP8FxUARhrVpz8NShnkciaAukYP/view" TargetMode="External"/><Relationship Id="rId145" Type="http://schemas.openxmlformats.org/officeDocument/2006/relationships/hyperlink" Target="https://drive.google.com/open?id=18sTxYVoR2V_j87J91eWm1SoIz2uWSX-l" TargetMode="External"/><Relationship Id="rId387" Type="http://schemas.openxmlformats.org/officeDocument/2006/relationships/hyperlink" Target="https://drive.google.com/open?id=188qZcmQYILmryMOpP5ifK9X1I7n91rC_" TargetMode="External"/><Relationship Id="rId8" Type="http://schemas.openxmlformats.org/officeDocument/2006/relationships/hyperlink" Target="https://drive.google.com/file/d/1lwUmi7qlZtrpKXjJtQgE0-IKd8Wwldlj/view?usp=drive_link" TargetMode="External"/><Relationship Id="rId144" Type="http://schemas.openxmlformats.org/officeDocument/2006/relationships/hyperlink" Target="https://drive.google.com/open?id=1UrzgFv_fjkkDkuA04F0kBPlldeIKh-qV" TargetMode="External"/><Relationship Id="rId386" Type="http://schemas.openxmlformats.org/officeDocument/2006/relationships/hyperlink" Target="https://drive.google.com/open?id=1DgMZOT4N2NVhegCHDzajarK1l2G_xD-m" TargetMode="External"/><Relationship Id="rId381" Type="http://schemas.openxmlformats.org/officeDocument/2006/relationships/hyperlink" Target="https://drive.google.com/open?id=1tj1jvS5rUqzm2hn6YKFIUcmb7uxrSoIY" TargetMode="External"/><Relationship Id="rId380" Type="http://schemas.openxmlformats.org/officeDocument/2006/relationships/hyperlink" Target="https://drive.google.com/open?id=1qv_81oe9RRwO7lbEs6MW27W-z-_uEyvp" TargetMode="External"/><Relationship Id="rId139" Type="http://schemas.openxmlformats.org/officeDocument/2006/relationships/hyperlink" Target="https://drive.google.com/open?id=1uy6qDWU5appuycefutCYc43w_8FaxnGH" TargetMode="External"/><Relationship Id="rId138" Type="http://schemas.openxmlformats.org/officeDocument/2006/relationships/hyperlink" Target="https://drive.google.com/open?id=1Sx20HJD3ulbIKFxPjmy0VYTjn7DEU2oy" TargetMode="External"/><Relationship Id="rId137" Type="http://schemas.openxmlformats.org/officeDocument/2006/relationships/hyperlink" Target="https://drive.google.com/open?id=1Ur-pf15KR3B_bClJXx1mHMcEos7tIbVd" TargetMode="External"/><Relationship Id="rId379" Type="http://schemas.openxmlformats.org/officeDocument/2006/relationships/hyperlink" Target="https://drive.google.com/open?id=16IMlOm6xS4rbWeuI7gI-CAbkhIND6wac" TargetMode="External"/><Relationship Id="rId1080" Type="http://schemas.openxmlformats.org/officeDocument/2006/relationships/hyperlink" Target="https://drive.google.com/open?id=18gNKlcgsiUvUnxx2fioN3HBbs5hElBSt" TargetMode="External"/><Relationship Id="rId1081" Type="http://schemas.openxmlformats.org/officeDocument/2006/relationships/hyperlink" Target="https://drive.google.com/file/d/1jTPOACXlXuK4zAiM05k3hggjt9vpSaWV/view?usp=drive_link" TargetMode="External"/><Relationship Id="rId1082" Type="http://schemas.openxmlformats.org/officeDocument/2006/relationships/hyperlink" Target="https://drive.google.com/open?id=1e8JXtMafRFd9CJPIr-PWoxFzNv_o-Q7z" TargetMode="External"/><Relationship Id="rId1083" Type="http://schemas.openxmlformats.org/officeDocument/2006/relationships/hyperlink" Target="https://drive.google.com/open?id=1bvPs8CF4EPObp9lNs_zHfSqof3XTihnX" TargetMode="External"/><Relationship Id="rId132" Type="http://schemas.openxmlformats.org/officeDocument/2006/relationships/hyperlink" Target="https://drive.google.com/open?id=1ssgJLVOPIw-LXyu0hQjJWrXeOS_g5brJ" TargetMode="External"/><Relationship Id="rId374" Type="http://schemas.openxmlformats.org/officeDocument/2006/relationships/hyperlink" Target="https://drive.google.com/open?id=1PiP70_blk6Y2azs1Asfim0EOrri1X4FV" TargetMode="External"/><Relationship Id="rId1084" Type="http://schemas.openxmlformats.org/officeDocument/2006/relationships/hyperlink" Target="https://drive.google.com/file/d/1PC9t-b3j7TVVhRGQHyOoS97Y4rJRRhDr/view?usp=drive_link" TargetMode="External"/><Relationship Id="rId131" Type="http://schemas.openxmlformats.org/officeDocument/2006/relationships/hyperlink" Target="https://drive.google.com/open?id=1BDhjMuz-d4Cm3X4ZTq_1jql_rQL61OxU" TargetMode="External"/><Relationship Id="rId373" Type="http://schemas.openxmlformats.org/officeDocument/2006/relationships/hyperlink" Target="https://drive.google.com/open?id=1g7_grmFRdbxr6QenbCNNxj-nCgU8Du_z" TargetMode="External"/><Relationship Id="rId1085" Type="http://schemas.openxmlformats.org/officeDocument/2006/relationships/hyperlink" Target="https://drive.google.com/file/d/1LA370gMA7iVg_stKChDlmOWj9JSZ5Ymj/view?usp=drive_link" TargetMode="External"/><Relationship Id="rId130" Type="http://schemas.openxmlformats.org/officeDocument/2006/relationships/hyperlink" Target="https://drive.google.com/open?id=1EVoQyHNuBQMcNaHDQL2sLlQ1UFY2rA-N" TargetMode="External"/><Relationship Id="rId372" Type="http://schemas.openxmlformats.org/officeDocument/2006/relationships/hyperlink" Target="https://drive.google.com/open?id=1u3CMxlGOsXBKu1SCOi6cEEpsCu11EtcV" TargetMode="External"/><Relationship Id="rId1086" Type="http://schemas.openxmlformats.org/officeDocument/2006/relationships/hyperlink" Target="https://drive.google.com/open?id=1HRSsQOoaFKIKuc3pLqG7u-NJgtyL9FB2" TargetMode="External"/><Relationship Id="rId371" Type="http://schemas.openxmlformats.org/officeDocument/2006/relationships/hyperlink" Target="https://drive.google.com/open?id=1EICeOpsjazUXHMkUJRN00HKxctV7sS7I" TargetMode="External"/><Relationship Id="rId1087" Type="http://schemas.openxmlformats.org/officeDocument/2006/relationships/hyperlink" Target="https://drive.google.com/file/d/1q5fGIBPN4Ub6QFnlkfsJLexcm5nL_TR0/view?usp=drive_link" TargetMode="External"/><Relationship Id="rId136" Type="http://schemas.openxmlformats.org/officeDocument/2006/relationships/hyperlink" Target="https://drive.google.com/open?id=1SVcV4e9R2f6o0MtoDuY6E8rEF17q8VyH" TargetMode="External"/><Relationship Id="rId378" Type="http://schemas.openxmlformats.org/officeDocument/2006/relationships/hyperlink" Target="https://drive.google.com/open?id=1Pa8jxSiNSNHvV8796frRZPauP5q6VoXH" TargetMode="External"/><Relationship Id="rId1088" Type="http://schemas.openxmlformats.org/officeDocument/2006/relationships/hyperlink" Target="https://drive.google.com/file/d/18s2h4NgOiFnFuYjwz5LGaBI9ffe5vSfb/view?usp=drive_link" TargetMode="External"/><Relationship Id="rId135" Type="http://schemas.openxmlformats.org/officeDocument/2006/relationships/hyperlink" Target="https://drive.google.com/open?id=1MnISCufsw3IwVuznfIhJ7reBd_MxxrnK" TargetMode="External"/><Relationship Id="rId377" Type="http://schemas.openxmlformats.org/officeDocument/2006/relationships/hyperlink" Target="https://drive.google.com/open?id=19GGz7sMm_iND9DwRH3bx4x8lDwZH6CBs" TargetMode="External"/><Relationship Id="rId1089" Type="http://schemas.openxmlformats.org/officeDocument/2006/relationships/hyperlink" Target="https://drive.google.com/open?id=1Wx3JnfT_w2Atl1YQHbRzPI4BR0l_U-7d" TargetMode="External"/><Relationship Id="rId134" Type="http://schemas.openxmlformats.org/officeDocument/2006/relationships/hyperlink" Target="https://drive.google.com/open?id=1_z2DTxdwCMnxQz4JMcJLJGNo_yCDEGl-" TargetMode="External"/><Relationship Id="rId376" Type="http://schemas.openxmlformats.org/officeDocument/2006/relationships/hyperlink" Target="https://drive.google.com/open?id=1j9Rl721qbSgoHWvED1jDlbfVj1ILZ0LL" TargetMode="External"/><Relationship Id="rId133" Type="http://schemas.openxmlformats.org/officeDocument/2006/relationships/hyperlink" Target="https://drive.google.com/open?id=10FYTEy4DLnoXBLSjpsgGobesv2hWqqto" TargetMode="External"/><Relationship Id="rId375" Type="http://schemas.openxmlformats.org/officeDocument/2006/relationships/hyperlink" Target="https://drive.google.com/open?id=1v7EFQCalHHMLbPP7HMigf0bY_MH7efe1" TargetMode="External"/><Relationship Id="rId172" Type="http://schemas.openxmlformats.org/officeDocument/2006/relationships/hyperlink" Target="https://drive.google.com/open?id=12wHTasG807YamjS4PrN4rVWxUmYGVYV6" TargetMode="External"/><Relationship Id="rId171" Type="http://schemas.openxmlformats.org/officeDocument/2006/relationships/hyperlink" Target="https://drive.google.com/open?id=1y7CD9ikF4b3sIfwq9imC_0KMQjm7Xlii" TargetMode="External"/><Relationship Id="rId170" Type="http://schemas.openxmlformats.org/officeDocument/2006/relationships/hyperlink" Target="https://drive.google.com/open?id=1D14l-NAjL8m0GhqCUXKdqbf5e_P0eimq" TargetMode="External"/><Relationship Id="rId165" Type="http://schemas.openxmlformats.org/officeDocument/2006/relationships/hyperlink" Target="https://drive.google.com/open?id=1gJpMZxGrtgZIDNwvs6tqTzzKl7zYeHsT" TargetMode="External"/><Relationship Id="rId164" Type="http://schemas.openxmlformats.org/officeDocument/2006/relationships/hyperlink" Target="https://drive.google.com/open?id=1ZzrcTeOidPtfIDnrBfHbmjIQexw5Ox7Y" TargetMode="External"/><Relationship Id="rId163" Type="http://schemas.openxmlformats.org/officeDocument/2006/relationships/hyperlink" Target="https://drive.google.com/open?id=1_cHM-eiykRp8CPVA1M2RZ-4BYRIzV3kV" TargetMode="External"/><Relationship Id="rId162" Type="http://schemas.openxmlformats.org/officeDocument/2006/relationships/hyperlink" Target="https://drive.google.com/open?id=1BICpKMbXfQ2YNjoqkeKahQOsHeV2GPIq" TargetMode="External"/><Relationship Id="rId169" Type="http://schemas.openxmlformats.org/officeDocument/2006/relationships/hyperlink" Target="https://drive.google.com/open?id=1JR6gskmiMNA2K9bggOYHQsHl0cIVEFKO" TargetMode="External"/><Relationship Id="rId168" Type="http://schemas.openxmlformats.org/officeDocument/2006/relationships/hyperlink" Target="https://drive.google.com/open?id=1v4PKojb1MR8TGH-4V0zRUGqHRRdF_2Hf" TargetMode="External"/><Relationship Id="rId167" Type="http://schemas.openxmlformats.org/officeDocument/2006/relationships/hyperlink" Target="https://drive.google.com/open?id=1iSBYCO7Vcul7mApUbalVju-7IQ_O-XVm" TargetMode="External"/><Relationship Id="rId166" Type="http://schemas.openxmlformats.org/officeDocument/2006/relationships/hyperlink" Target="https://drive.google.com/open?id=122tUmXEUg4ddWb1l0dkKc6hEEen6owgu" TargetMode="External"/><Relationship Id="rId161" Type="http://schemas.openxmlformats.org/officeDocument/2006/relationships/hyperlink" Target="https://drive.google.com/open?id=1RPbf1bZ7_VzntBnTXLC1vw9NFRnrkVIJ" TargetMode="External"/><Relationship Id="rId160" Type="http://schemas.openxmlformats.org/officeDocument/2006/relationships/hyperlink" Target="https://drive.google.com/open?id=1VYUIERcO7_UaWnkHTppNbQLXOVKY1X9H" TargetMode="External"/><Relationship Id="rId159" Type="http://schemas.openxmlformats.org/officeDocument/2006/relationships/hyperlink" Target="https://drive.google.com/open?id=1zAvAYL6pLoupOh0_0plO07VL7jEIDRfw" TargetMode="External"/><Relationship Id="rId154" Type="http://schemas.openxmlformats.org/officeDocument/2006/relationships/hyperlink" Target="https://drive.google.com/open?id=1IjiM5uPqvZOJrJP_7H8uc-35WiJVyPka" TargetMode="External"/><Relationship Id="rId396" Type="http://schemas.openxmlformats.org/officeDocument/2006/relationships/hyperlink" Target="https://drive.google.com/open?id=1Ocug-wCRf-GoMWs9kKlNjdiKTu5Z06VJ" TargetMode="External"/><Relationship Id="rId153" Type="http://schemas.openxmlformats.org/officeDocument/2006/relationships/hyperlink" Target="https://drive.google.com/open?id=1qCAevKKd17kKKT8mpeDbYjt9CFHF3pYh" TargetMode="External"/><Relationship Id="rId395" Type="http://schemas.openxmlformats.org/officeDocument/2006/relationships/hyperlink" Target="https://drive.google.com/open?id=1fx40w1y_op9NgHe6k8a8I_L5qsZoSkxS" TargetMode="External"/><Relationship Id="rId152" Type="http://schemas.openxmlformats.org/officeDocument/2006/relationships/hyperlink" Target="https://drive.google.com/open?id=1P063TMlPFMvsBsQPB7rBBz3M4YD55DPU" TargetMode="External"/><Relationship Id="rId394" Type="http://schemas.openxmlformats.org/officeDocument/2006/relationships/hyperlink" Target="https://drive.google.com/open?id=1KY1LEkBHgGczwV_kiPYocEUrsn11IlHp" TargetMode="External"/><Relationship Id="rId151" Type="http://schemas.openxmlformats.org/officeDocument/2006/relationships/hyperlink" Target="https://drive.google.com/open?id=1HswrlGFqWeLiPMps-6-fDEWzCnf6L5Z_" TargetMode="External"/><Relationship Id="rId393" Type="http://schemas.openxmlformats.org/officeDocument/2006/relationships/hyperlink" Target="https://drive.google.com/open?id=1Zm36mkMdwUDbm9e8x7xaqiXgzvjbiMqO" TargetMode="External"/><Relationship Id="rId158" Type="http://schemas.openxmlformats.org/officeDocument/2006/relationships/hyperlink" Target="https://drive.google.com/open?id=1SZ7uMJMzBY26ZPAvAkPUITuM3Na1mCfh" TargetMode="External"/><Relationship Id="rId157" Type="http://schemas.openxmlformats.org/officeDocument/2006/relationships/hyperlink" Target="https://drive.google.com/open?id=1g7McvvmV3N919fWf4PbAjALGqUCPhPW6" TargetMode="External"/><Relationship Id="rId399" Type="http://schemas.openxmlformats.org/officeDocument/2006/relationships/hyperlink" Target="https://drive.google.com/open?id=1oFCst-zhCdKB8ctPgZ0wSQVtIKt9ZKB-" TargetMode="External"/><Relationship Id="rId156" Type="http://schemas.openxmlformats.org/officeDocument/2006/relationships/hyperlink" Target="https://drive.google.com/open?id=1y_z4CCYs4y8iQHlz1ApKinneaGt6EIkO" TargetMode="External"/><Relationship Id="rId398" Type="http://schemas.openxmlformats.org/officeDocument/2006/relationships/hyperlink" Target="https://drive.google.com/open?id=1ZHPSwlaCA18MXl7pbKmeFDREfFiLCCL1" TargetMode="External"/><Relationship Id="rId155" Type="http://schemas.openxmlformats.org/officeDocument/2006/relationships/hyperlink" Target="https://drive.google.com/open?id=1TC2WjqZKV9lBde8amtMEmAd7EvG31gsq" TargetMode="External"/><Relationship Id="rId397" Type="http://schemas.openxmlformats.org/officeDocument/2006/relationships/hyperlink" Target="https://drive.google.com/open?id=12TPdsqDOWuzOVvFlCOvwENCm8dQ9xks2" TargetMode="External"/><Relationship Id="rId808" Type="http://schemas.openxmlformats.org/officeDocument/2006/relationships/hyperlink" Target="https://drive.google.com/open?id=1m_oQjcpq592-hOSd1OFbGi32C73oxsm5" TargetMode="External"/><Relationship Id="rId807" Type="http://schemas.openxmlformats.org/officeDocument/2006/relationships/hyperlink" Target="https://drive.google.com/open?id=1Px9Ds5j67XITAeLzkzMEONOLWVpDOAat" TargetMode="External"/><Relationship Id="rId806" Type="http://schemas.openxmlformats.org/officeDocument/2006/relationships/hyperlink" Target="https://drive.google.com/open?id=1crTXJ4c_LHTbAktyDAGNl2SaIgFOwqKO" TargetMode="External"/><Relationship Id="rId805" Type="http://schemas.openxmlformats.org/officeDocument/2006/relationships/hyperlink" Target="https://drive.google.com/open?id=18Ftz7IABuUeNWuhj33Wt2Qwhr8deAV0b" TargetMode="External"/><Relationship Id="rId809" Type="http://schemas.openxmlformats.org/officeDocument/2006/relationships/hyperlink" Target="https://drive.google.com/open?id=1Zq3mG0-V1G3BJcf6TxTd18GDgaIoLBaE" TargetMode="External"/><Relationship Id="rId800" Type="http://schemas.openxmlformats.org/officeDocument/2006/relationships/hyperlink" Target="https://drive.google.com/open?id=1STqfOI4emRKoiaFelzrl9vBeuiZLRlRx" TargetMode="External"/><Relationship Id="rId804" Type="http://schemas.openxmlformats.org/officeDocument/2006/relationships/hyperlink" Target="https://drive.google.com/open?id=16z8Z03TJdCu4PSRPj7tpCHqCTemsYecC" TargetMode="External"/><Relationship Id="rId803" Type="http://schemas.openxmlformats.org/officeDocument/2006/relationships/hyperlink" Target="https://drive.google.com/open?id=1fvsYYdPXIFUBw63c0vi8q5EL3aqpfly5" TargetMode="External"/><Relationship Id="rId802" Type="http://schemas.openxmlformats.org/officeDocument/2006/relationships/hyperlink" Target="https://drive.google.com/open?id=1kydPABvmdArDnBsJmq-QOgF2wJhb3gnY" TargetMode="External"/><Relationship Id="rId801" Type="http://schemas.openxmlformats.org/officeDocument/2006/relationships/hyperlink" Target="https://drive.google.com/open?id=1NVMtkmkhc6tSy4OFZyZl3axvssi0Ijiz" TargetMode="External"/><Relationship Id="rId40" Type="http://schemas.openxmlformats.org/officeDocument/2006/relationships/hyperlink" Target="https://drive.google.com/open?id=14XRkcbypigP8gEuE1QQzaSFoCdg_LzxJ" TargetMode="External"/><Relationship Id="rId42" Type="http://schemas.openxmlformats.org/officeDocument/2006/relationships/hyperlink" Target="https://drive.google.com/open?id=1fW7EuQBIYF_w_qw0qphmZPZHI4WCw1N1" TargetMode="External"/><Relationship Id="rId41" Type="http://schemas.openxmlformats.org/officeDocument/2006/relationships/hyperlink" Target="https://drive.google.com/open?id=1RtJKbK9e6y79QrNJbvet9afOzNFEJNn7" TargetMode="External"/><Relationship Id="rId44" Type="http://schemas.openxmlformats.org/officeDocument/2006/relationships/hyperlink" Target="https://drive.google.com/open?id=1ncX3T9xYeitNYvVxkw4WRrOKDJxEQcZ4" TargetMode="External"/><Relationship Id="rId43" Type="http://schemas.openxmlformats.org/officeDocument/2006/relationships/hyperlink" Target="https://drive.google.com/open?id=1BkxTZVgFSJKFnr2TOZ8X68TcM4LOxRel" TargetMode="External"/><Relationship Id="rId46" Type="http://schemas.openxmlformats.org/officeDocument/2006/relationships/hyperlink" Target="https://drive.google.com/open?id=1BWSVZFtLM9aKIXiuR0n3zpWDYIaY62io" TargetMode="External"/><Relationship Id="rId45" Type="http://schemas.openxmlformats.org/officeDocument/2006/relationships/hyperlink" Target="https://drive.google.com/open?id=1l_BuFHGYxN71e5EFM48KD89IW9lOrbey" TargetMode="External"/><Relationship Id="rId509" Type="http://schemas.openxmlformats.org/officeDocument/2006/relationships/hyperlink" Target="https://drive.google.com/open?id=1qicMqBFvOk8qP25ZsGgr__yWSvuyx-mi" TargetMode="External"/><Relationship Id="rId508" Type="http://schemas.openxmlformats.org/officeDocument/2006/relationships/hyperlink" Target="https://drive.google.com/open?id=1JnS_-QOnoP70z7EZbJD8uG36rfNvN7do" TargetMode="External"/><Relationship Id="rId503" Type="http://schemas.openxmlformats.org/officeDocument/2006/relationships/hyperlink" Target="https://drive.google.com/open?id=1sugPYSD-EFCv9i3BUAXVgH7Z6c24zKEu" TargetMode="External"/><Relationship Id="rId745" Type="http://schemas.openxmlformats.org/officeDocument/2006/relationships/hyperlink" Target="https://drive.google.com/open?id=1R3EIcbuYJRLM6AX-C07JJ2m2D0QN9RqS" TargetMode="External"/><Relationship Id="rId987" Type="http://schemas.openxmlformats.org/officeDocument/2006/relationships/hyperlink" Target="https://drive.google.com/open?id=11Crq4t3RWNUtrn4UIKwYvNMjJZ2_HN8Z" TargetMode="External"/><Relationship Id="rId502" Type="http://schemas.openxmlformats.org/officeDocument/2006/relationships/hyperlink" Target="https://drive.google.com/open?id=1M_8BdYdTcjAo1k1Psy99Rc9C8T9PVg9I" TargetMode="External"/><Relationship Id="rId744" Type="http://schemas.openxmlformats.org/officeDocument/2006/relationships/hyperlink" Target="https://drive.google.com/open?id=1GEoarcABVUWbWhJsEc7r7EAERUkbw0oV" TargetMode="External"/><Relationship Id="rId986" Type="http://schemas.openxmlformats.org/officeDocument/2006/relationships/hyperlink" Target="https://drive.google.com/open?id=1At97IzXZlLI42vGYNE7orwlAqPjzKIx_" TargetMode="External"/><Relationship Id="rId501" Type="http://schemas.openxmlformats.org/officeDocument/2006/relationships/hyperlink" Target="https://drive.google.com/open?id=1RtJDeGOQ8QZgAvMRX8q3IsxJAr_yA_iF" TargetMode="External"/><Relationship Id="rId743" Type="http://schemas.openxmlformats.org/officeDocument/2006/relationships/hyperlink" Target="https://drive.google.com/open?id=1zNoMyQ767m3IYnKiqrKG34M7bddNuKOG" TargetMode="External"/><Relationship Id="rId985" Type="http://schemas.openxmlformats.org/officeDocument/2006/relationships/hyperlink" Target="https://drive.google.com/file/d/1pj5UTXzTztrspfpyJy9jPVVdzNiLpbpj/view?usp=drive_link" TargetMode="External"/><Relationship Id="rId500" Type="http://schemas.openxmlformats.org/officeDocument/2006/relationships/hyperlink" Target="https://drive.google.com/open?id=1hN4CAnATRIlwcXjnNJivMsMtKF2YhmQM" TargetMode="External"/><Relationship Id="rId742" Type="http://schemas.openxmlformats.org/officeDocument/2006/relationships/hyperlink" Target="https://drive.google.com/file/d/10t5dEi-iadyBUES3Xt9I0YDO3RreLvLn/view?usp=drive_link" TargetMode="External"/><Relationship Id="rId984" Type="http://schemas.openxmlformats.org/officeDocument/2006/relationships/hyperlink" Target="https://drive.google.com/open?id=1J3FWBKpXp-r_o-LmGr4YKw6CfFGXllxr" TargetMode="External"/><Relationship Id="rId507" Type="http://schemas.openxmlformats.org/officeDocument/2006/relationships/hyperlink" Target="https://drive.google.com/open?id=1sul0wDQYzCPdlk8FX_fl5h2xqip18EZY" TargetMode="External"/><Relationship Id="rId749" Type="http://schemas.openxmlformats.org/officeDocument/2006/relationships/hyperlink" Target="https://drive.google.com/open?id=1Dq5zHiFBbfz7DSVqOC_9MV48iHjfoCya" TargetMode="External"/><Relationship Id="rId506" Type="http://schemas.openxmlformats.org/officeDocument/2006/relationships/hyperlink" Target="https://drive.google.com/open?id=1LWNokqgHxJH1saY1YDbkPCrR6iLd-Qls" TargetMode="External"/><Relationship Id="rId748" Type="http://schemas.openxmlformats.org/officeDocument/2006/relationships/hyperlink" Target="https://drive.google.com/open?id=1b-qZlkWgxjdta7JgOSTlSfyC3SwZdfdo" TargetMode="External"/><Relationship Id="rId505" Type="http://schemas.openxmlformats.org/officeDocument/2006/relationships/hyperlink" Target="https://drive.google.com/open?id=11TOR3hUXFaZbz3tEc-CoFkriTIEEE_PS" TargetMode="External"/><Relationship Id="rId747" Type="http://schemas.openxmlformats.org/officeDocument/2006/relationships/hyperlink" Target="https://drive.google.com/file/d/12HIqKnIa7SPh8kcm8kyqaYNtxJpU_Rtk/view?usp=drive_link" TargetMode="External"/><Relationship Id="rId989" Type="http://schemas.openxmlformats.org/officeDocument/2006/relationships/hyperlink" Target="https://drive.google.com/file/d/1yXbJAKKhAQGPp3Ouwb_22z-2gufLiNcj/view?usp=drive_link" TargetMode="External"/><Relationship Id="rId504" Type="http://schemas.openxmlformats.org/officeDocument/2006/relationships/hyperlink" Target="https://drive.google.com/open?id=1yzw_7JHDE0aKWFCBGcTFGVjc75oprQg5" TargetMode="External"/><Relationship Id="rId746" Type="http://schemas.openxmlformats.org/officeDocument/2006/relationships/hyperlink" Target="https://drive.google.com/open?id=1V8XCJIb7728hAFJtsFTAd1rkFqkCL-pE" TargetMode="External"/><Relationship Id="rId988" Type="http://schemas.openxmlformats.org/officeDocument/2006/relationships/hyperlink" Target="https://drive.google.com/file/d/1Ug8VP292w5tvDKxeTjdSG1E-f2-uV_Em/view?usp=drive_link" TargetMode="External"/><Relationship Id="rId48" Type="http://schemas.openxmlformats.org/officeDocument/2006/relationships/hyperlink" Target="https://drive.google.com/open?id=1HcmO-vwPUaUHr0CjXBD9j4Tk7OfZDpka" TargetMode="External"/><Relationship Id="rId47" Type="http://schemas.openxmlformats.org/officeDocument/2006/relationships/hyperlink" Target="https://drive.google.com/open?id=1qhXJ0Rg25OUeWrKLVgLRKn1BDH2jxlSy" TargetMode="External"/><Relationship Id="rId49" Type="http://schemas.openxmlformats.org/officeDocument/2006/relationships/hyperlink" Target="https://drive.google.com/open?id=1OqbJFz-b6N44O91q7bIxAEuEeAe_0mKh" TargetMode="External"/><Relationship Id="rId741" Type="http://schemas.openxmlformats.org/officeDocument/2006/relationships/hyperlink" Target="https://drive.google.com/open?id=1kaK-kExn1qlzaEvTZFoNt0_dSj1PyxvC" TargetMode="External"/><Relationship Id="rId983" Type="http://schemas.openxmlformats.org/officeDocument/2006/relationships/hyperlink" Target="https://drive.google.com/file/d/1EIMNx7wSIQN2DXBB46g59TN2msyrm9O9/view?usp=drive_link" TargetMode="External"/><Relationship Id="rId740" Type="http://schemas.openxmlformats.org/officeDocument/2006/relationships/hyperlink" Target="https://drive.google.com/open?id=14s_s1TPKNFL8wI3hLRFX1yX5h55vjw7W" TargetMode="External"/><Relationship Id="rId982" Type="http://schemas.openxmlformats.org/officeDocument/2006/relationships/hyperlink" Target="https://drive.google.com/open?id=1ROafTaKO9KVl480L_Tn6B1i07MSJTv20" TargetMode="External"/><Relationship Id="rId981" Type="http://schemas.openxmlformats.org/officeDocument/2006/relationships/hyperlink" Target="https://drive.google.com/open?id=1tiAA17pFz5VV6GX6grByAdaZv33SozyJ" TargetMode="External"/><Relationship Id="rId980" Type="http://schemas.openxmlformats.org/officeDocument/2006/relationships/hyperlink" Target="https://drive.google.com/open?id=14uHKee9D5wQ_xZ5CVDHVfHU6HcOgEzEV" TargetMode="External"/><Relationship Id="rId31" Type="http://schemas.openxmlformats.org/officeDocument/2006/relationships/hyperlink" Target="https://drive.google.com/open?id=1sA0rzef59Gh1VSSQg0mKdH6vFXEg5Ixs" TargetMode="External"/><Relationship Id="rId30" Type="http://schemas.openxmlformats.org/officeDocument/2006/relationships/hyperlink" Target="https://drive.google.com/open?id=1uK5cfAmapH9y3qz_xwxMHPuJzk0B7owb" TargetMode="External"/><Relationship Id="rId33" Type="http://schemas.openxmlformats.org/officeDocument/2006/relationships/hyperlink" Target="https://drive.google.com/file/d/1BKYwxunTVjmTGQVZO24H-64oVlGGxz2p/view" TargetMode="External"/><Relationship Id="rId32" Type="http://schemas.openxmlformats.org/officeDocument/2006/relationships/hyperlink" Target="https://drive.google.com/open?id=1HWK2N4ppCDwY1Kc258Lr8Dg8SdFbol6b" TargetMode="External"/><Relationship Id="rId35" Type="http://schemas.openxmlformats.org/officeDocument/2006/relationships/hyperlink" Target="https://drive.google.com/open?id=1yBoHJKJAs-dN8lP-ZYYrlowalQvAD8Y_" TargetMode="External"/><Relationship Id="rId34" Type="http://schemas.openxmlformats.org/officeDocument/2006/relationships/hyperlink" Target="https://drive.google.com/open?id=1mJbDNYlkHSJWfb_1vLE6XDAqeVHe6j3e" TargetMode="External"/><Relationship Id="rId739" Type="http://schemas.openxmlformats.org/officeDocument/2006/relationships/hyperlink" Target="https://drive.google.com/file/d/1M8UkGI0R_Cf1dxJdZpmdmI8ypWVOrjgY/view?usp=drive_link" TargetMode="External"/><Relationship Id="rId734" Type="http://schemas.openxmlformats.org/officeDocument/2006/relationships/hyperlink" Target="https://drive.google.com/file/d/1DDVisaPY7tEMr_CDFpqgXHvnUNyIVrZS/view?usp=drive_link" TargetMode="External"/><Relationship Id="rId976" Type="http://schemas.openxmlformats.org/officeDocument/2006/relationships/hyperlink" Target="https://drive.google.com/open?id=1nRm_UrW5uDxg5x9yV3OjCmxeqlLgRUyh" TargetMode="External"/><Relationship Id="rId733" Type="http://schemas.openxmlformats.org/officeDocument/2006/relationships/hyperlink" Target="https://drive.google.com/file/d/1bpFE3U8MIpvTe1QizVQSLQFtKS6jNsPz/view?usp=drive_link" TargetMode="External"/><Relationship Id="rId975" Type="http://schemas.openxmlformats.org/officeDocument/2006/relationships/hyperlink" Target="https://drive.google.com/open?id=1Irp6_73Iyj6GJIYZ8nYigggzj56vc_cB" TargetMode="External"/><Relationship Id="rId732" Type="http://schemas.openxmlformats.org/officeDocument/2006/relationships/hyperlink" Target="https://drive.google.com/file/d/1bHEHfupAplEkZuLRiRqLlbg2Q5YSkyhm/view?usp=drive_link" TargetMode="External"/><Relationship Id="rId974" Type="http://schemas.openxmlformats.org/officeDocument/2006/relationships/hyperlink" Target="https://drive.google.com/open?id=1QamI7P1lnMt6V4OcFtvqC34ma1KkTFoA" TargetMode="External"/><Relationship Id="rId731" Type="http://schemas.openxmlformats.org/officeDocument/2006/relationships/hyperlink" Target="https://drive.google.com/file/d/1gl_yX3zPt1zaYzUysmILKsT_0YC-etBj/view?usp=drive_link" TargetMode="External"/><Relationship Id="rId973" Type="http://schemas.openxmlformats.org/officeDocument/2006/relationships/hyperlink" Target="https://drive.google.com/open?id=1zZ_rYW-e3hyK-NKPrSocr06MIx_M-tan" TargetMode="External"/><Relationship Id="rId738" Type="http://schemas.openxmlformats.org/officeDocument/2006/relationships/hyperlink" Target="https://drive.google.com/open?id=1q8zTSfyTFD5hoFLWNTQbKFPSHGOw22Ch" TargetMode="External"/><Relationship Id="rId737" Type="http://schemas.openxmlformats.org/officeDocument/2006/relationships/hyperlink" Target="https://drive.google.com/file/d/18cu7kWW5VUznFdxR4Qv27ZL9h5AjID0W/view?usp=drive_link" TargetMode="External"/><Relationship Id="rId979" Type="http://schemas.openxmlformats.org/officeDocument/2006/relationships/hyperlink" Target="https://drive.google.com/open?id=1DFnbat9h4RBHHJLX_kahBqvgCRoZ1MKB" TargetMode="External"/><Relationship Id="rId736" Type="http://schemas.openxmlformats.org/officeDocument/2006/relationships/hyperlink" Target="https://drive.google.com/file/d/1CyADveJQLTF0cXAZPdxgYJ-4Cy7SZXYm/view?usp=sharing" TargetMode="External"/><Relationship Id="rId978" Type="http://schemas.openxmlformats.org/officeDocument/2006/relationships/hyperlink" Target="https://drive.google.com/file/d/1VLXGY97C_NxEz_5oKnop6XDp0oXIxF6v/view?usp=drive_link" TargetMode="External"/><Relationship Id="rId735" Type="http://schemas.openxmlformats.org/officeDocument/2006/relationships/hyperlink" Target="https://drive.google.com/file/d/1k0Ky5VCh7EcWR8q3oAvh7BFeYFD9xwjt/view?usp=sharing" TargetMode="External"/><Relationship Id="rId977" Type="http://schemas.openxmlformats.org/officeDocument/2006/relationships/hyperlink" Target="https://drive.google.com/open?id=17Ka7gilPTwI_7ggO9bAIBJikFOVBZi26" TargetMode="External"/><Relationship Id="rId37" Type="http://schemas.openxmlformats.org/officeDocument/2006/relationships/hyperlink" Target="https://drive.google.com/open?id=1qL5pNc0cGybPR3eQUic6MzwuRa3-KZ3j" TargetMode="External"/><Relationship Id="rId36" Type="http://schemas.openxmlformats.org/officeDocument/2006/relationships/hyperlink" Target="https://drive.google.com/open?id=1x_Z2tLnluG4DjOHBD5VaYFUVejq9AUas" TargetMode="External"/><Relationship Id="rId39" Type="http://schemas.openxmlformats.org/officeDocument/2006/relationships/hyperlink" Target="https://drive.google.com/open?id=1a4ox4sDxspprphXzSgyXEBric3ic4frP" TargetMode="External"/><Relationship Id="rId38" Type="http://schemas.openxmlformats.org/officeDocument/2006/relationships/hyperlink" Target="https://drive.google.com/file/d/1lACen18TA9y0Ss173c9rxbwesbrW9d3n/view" TargetMode="External"/><Relationship Id="rId730" Type="http://schemas.openxmlformats.org/officeDocument/2006/relationships/hyperlink" Target="https://drive.google.com/file/d/1linZt5zkTNX_BYSbs6uz1rqFJpZqb9fV/view?usp=drive_link" TargetMode="External"/><Relationship Id="rId972" Type="http://schemas.openxmlformats.org/officeDocument/2006/relationships/hyperlink" Target="https://drive.google.com/open?id=1fisdnowTzl-9nz_HTYXB_JM8zFfzvP7t" TargetMode="External"/><Relationship Id="rId971" Type="http://schemas.openxmlformats.org/officeDocument/2006/relationships/hyperlink" Target="https://drive.google.com/open?id=1D69LTpgbrajZvTEVdvjNzYX6ZpsmBm7h" TargetMode="External"/><Relationship Id="rId970" Type="http://schemas.openxmlformats.org/officeDocument/2006/relationships/hyperlink" Target="https://drive.google.com/open?id=1u3nN0AtGr78paZwK3LFij250cCAWlyx6" TargetMode="External"/><Relationship Id="rId1114" Type="http://schemas.openxmlformats.org/officeDocument/2006/relationships/hyperlink" Target="https://drive.google.com/open?id=1Xq1j1Ytpli2fTIa39s-7-heBYfL9SitN" TargetMode="External"/><Relationship Id="rId1115" Type="http://schemas.openxmlformats.org/officeDocument/2006/relationships/hyperlink" Target="https://drive.google.com/open?id=10eL9BLDjUnnRMI9GBhTnQkBoYyDd433g" TargetMode="External"/><Relationship Id="rId20" Type="http://schemas.openxmlformats.org/officeDocument/2006/relationships/hyperlink" Target="https://drive.google.com/file/d/1sF_n_2OyD_wEGOTyLM3jj-IPCKk43z2g/view" TargetMode="External"/><Relationship Id="rId1116" Type="http://schemas.openxmlformats.org/officeDocument/2006/relationships/hyperlink" Target="https://drive.google.com/file/d/1tULFWmFTTPpDFujlycatQJ_bMC727KL3/view?usp=drive_link" TargetMode="External"/><Relationship Id="rId1117" Type="http://schemas.openxmlformats.org/officeDocument/2006/relationships/hyperlink" Target="https://drive.google.com/open?id=1maulPJVK7K42GmFqe9Aa1NJMxxgFWJNB" TargetMode="External"/><Relationship Id="rId22" Type="http://schemas.openxmlformats.org/officeDocument/2006/relationships/hyperlink" Target="https://drive.google.com/open?id=1pbvV0wfvf_PcOhC28q0zN6KKOWQP1HQm" TargetMode="External"/><Relationship Id="rId1118" Type="http://schemas.openxmlformats.org/officeDocument/2006/relationships/hyperlink" Target="https://drive.google.com/open?id=145i-Ix-yiAnHgk4d2m329yGIRhQbOcth" TargetMode="External"/><Relationship Id="rId21" Type="http://schemas.openxmlformats.org/officeDocument/2006/relationships/hyperlink" Target="https://drive.google.com/open?id=1OJU-0hIZcS7BvsT0Hs4Z85U2OAszd5aR" TargetMode="External"/><Relationship Id="rId1119" Type="http://schemas.openxmlformats.org/officeDocument/2006/relationships/hyperlink" Target="https://drive.google.com/open?id=1-D-FnePHNt9tH8UGZP4xBzhrccDfDXuc" TargetMode="External"/><Relationship Id="rId24" Type="http://schemas.openxmlformats.org/officeDocument/2006/relationships/hyperlink" Target="https://drive.google.com/open?id=1xiu1_Q8NtK6FoCiUixH9dekcUkseyfba" TargetMode="External"/><Relationship Id="rId23" Type="http://schemas.openxmlformats.org/officeDocument/2006/relationships/hyperlink" Target="https://drive.google.com/open?id=1WY3tsNfCSkvGRzQckXAOK8QuzfeTi_S_" TargetMode="External"/><Relationship Id="rId525" Type="http://schemas.openxmlformats.org/officeDocument/2006/relationships/hyperlink" Target="https://drive.google.com/file/d/1Y0P-7dNE2HI7brCBw0iOnCDbgKG-gCPu/view?usp=drive_link" TargetMode="External"/><Relationship Id="rId767" Type="http://schemas.openxmlformats.org/officeDocument/2006/relationships/hyperlink" Target="https://drive.google.com/file/d/1BvB0wW9aXTBebjoGTczm_yEBh_0t0CL-/view?usp=drive_link" TargetMode="External"/><Relationship Id="rId524" Type="http://schemas.openxmlformats.org/officeDocument/2006/relationships/hyperlink" Target="https://drive.google.com/open?id=1KmyzPyPu-ErGIbNJdoApjOD-Q37LzEpr" TargetMode="External"/><Relationship Id="rId766" Type="http://schemas.openxmlformats.org/officeDocument/2006/relationships/hyperlink" Target="https://drive.google.com/open?id=1Ghx3pxpVCivGMF7GW96vU7jo1_OBlL6U" TargetMode="External"/><Relationship Id="rId523" Type="http://schemas.openxmlformats.org/officeDocument/2006/relationships/hyperlink" Target="https://drive.google.com/open?id=1HXDTQWC1RIqQyPwhZpVfq6t79bg0EETx" TargetMode="External"/><Relationship Id="rId765" Type="http://schemas.openxmlformats.org/officeDocument/2006/relationships/hyperlink" Target="https://drive.google.com/open?id=16uZlgVwD3YcytYRjQoWVaPCnnWLmjG8g" TargetMode="External"/><Relationship Id="rId522" Type="http://schemas.openxmlformats.org/officeDocument/2006/relationships/hyperlink" Target="https://drive.google.com/open?id=1goAqnN0TFUldbi9B7vOLMXIpAl6SbToh" TargetMode="External"/><Relationship Id="rId764" Type="http://schemas.openxmlformats.org/officeDocument/2006/relationships/hyperlink" Target="https://drive.google.com/open?id=1xBNoqqjEch-5mCp7PVxG-tgelSxE_Jvx" TargetMode="External"/><Relationship Id="rId529" Type="http://schemas.openxmlformats.org/officeDocument/2006/relationships/hyperlink" Target="https://drive.google.com/open?id=1OkxpO9_p8nHxE675oaveOE_0e-4cKd_m" TargetMode="External"/><Relationship Id="rId528" Type="http://schemas.openxmlformats.org/officeDocument/2006/relationships/hyperlink" Target="https://drive.google.com/open?id=14C9jO7FsmaoVRXNl8ZQNy6kC4bQ3mAmG" TargetMode="External"/><Relationship Id="rId527" Type="http://schemas.openxmlformats.org/officeDocument/2006/relationships/hyperlink" Target="https://drive.google.com/open?id=1l8gWoh-kJ0-Kh-fKhkHHTk_HGe8llTmo" TargetMode="External"/><Relationship Id="rId769" Type="http://schemas.openxmlformats.org/officeDocument/2006/relationships/hyperlink" Target="https://drive.google.com/open?id=1sbHpRWDqwo3T70kXTGqNi6qcOskuqLns" TargetMode="External"/><Relationship Id="rId526" Type="http://schemas.openxmlformats.org/officeDocument/2006/relationships/hyperlink" Target="https://drive.google.com/open?id=17qCYrLE-CBFxbrog1hmtIIUQOWNHnE5V" TargetMode="External"/><Relationship Id="rId768" Type="http://schemas.openxmlformats.org/officeDocument/2006/relationships/hyperlink" Target="https://drive.google.com/open?id=1uP5bHnqJQ673PhQ-o1ni7ldTiJ8je3Kd" TargetMode="External"/><Relationship Id="rId26" Type="http://schemas.openxmlformats.org/officeDocument/2006/relationships/hyperlink" Target="https://drive.google.com/open?id=1-2QpoEeJL5e_V0oLaThQKGFWREeeY5B3" TargetMode="External"/><Relationship Id="rId25" Type="http://schemas.openxmlformats.org/officeDocument/2006/relationships/hyperlink" Target="https://drive.google.com/open?id=1lvKLw2_cOGoRc39eLYc2buzqm7rdQtD0" TargetMode="External"/><Relationship Id="rId28" Type="http://schemas.openxmlformats.org/officeDocument/2006/relationships/hyperlink" Target="https://drive.google.com/open?id=10ekFBlqlvCwt-hJG1XhzTtrZ9QtL3NsA" TargetMode="External"/><Relationship Id="rId27" Type="http://schemas.openxmlformats.org/officeDocument/2006/relationships/hyperlink" Target="https://drive.google.com/open?id=1hwExPMXfydUM6QbRn4LkWtXUX25WHulQ" TargetMode="External"/><Relationship Id="rId521" Type="http://schemas.openxmlformats.org/officeDocument/2006/relationships/hyperlink" Target="https://drive.google.com/open?id=19vuyhSWOHfi5P7Rrx8oLcpvX9UwzxEob" TargetMode="External"/><Relationship Id="rId763" Type="http://schemas.openxmlformats.org/officeDocument/2006/relationships/hyperlink" Target="https://drive.google.com/open?id=1t1QF7MsPOQijIlAgmp9ZL3jb_BlE7YQ1" TargetMode="External"/><Relationship Id="rId1110" Type="http://schemas.openxmlformats.org/officeDocument/2006/relationships/hyperlink" Target="https://drive.google.com/open?id=1tiLmgzLiiI7-6P5MPm5CuiROv4HqkmqU" TargetMode="External"/><Relationship Id="rId29" Type="http://schemas.openxmlformats.org/officeDocument/2006/relationships/hyperlink" Target="https://drive.google.com/open?id=1t28c_QM80AEFd4lDriCXH7vdGLm7V1BF" TargetMode="External"/><Relationship Id="rId520" Type="http://schemas.openxmlformats.org/officeDocument/2006/relationships/hyperlink" Target="https://drive.google.com/open?id=1Cuc35um-C7US_uHR1wulOxt879sqxNiJ" TargetMode="External"/><Relationship Id="rId762" Type="http://schemas.openxmlformats.org/officeDocument/2006/relationships/hyperlink" Target="https://drive.google.com/open?id=14XhJKgcdwfsRvRSFDJSaDwlmh8eJ_XlQ" TargetMode="External"/><Relationship Id="rId1111" Type="http://schemas.openxmlformats.org/officeDocument/2006/relationships/hyperlink" Target="https://drive.google.com/file/d/1iRk9Nc77EyNwcJuNQH2HBBxLzRAYynVz/view?usp=drive_link" TargetMode="External"/><Relationship Id="rId761" Type="http://schemas.openxmlformats.org/officeDocument/2006/relationships/hyperlink" Target="https://drive.google.com/open?id=1Mj9xUFhBxLRYrw9-9FI9cxfuZDTyuW62" TargetMode="External"/><Relationship Id="rId1112" Type="http://schemas.openxmlformats.org/officeDocument/2006/relationships/hyperlink" Target="https://drive.google.com/open?id=1GHWflDBXwAqucmS1pjN3cpBlC0-e6NIo" TargetMode="External"/><Relationship Id="rId760" Type="http://schemas.openxmlformats.org/officeDocument/2006/relationships/hyperlink" Target="https://drive.google.com/open?id=11cyBapgzYrTTeCiwPdIZZJKzh89cD-oV" TargetMode="External"/><Relationship Id="rId1113" Type="http://schemas.openxmlformats.org/officeDocument/2006/relationships/hyperlink" Target="https://drive.google.com/open?id=1B107z-E5O0O3iC0Op9oXWor0S0kTtzMg" TargetMode="External"/><Relationship Id="rId1103" Type="http://schemas.openxmlformats.org/officeDocument/2006/relationships/hyperlink" Target="https://drive.google.com/open?id=1yMOM5bIcCrrO04Mm7-3foEIvooYfHgLf" TargetMode="External"/><Relationship Id="rId1104" Type="http://schemas.openxmlformats.org/officeDocument/2006/relationships/hyperlink" Target="https://drive.google.com/open?id=1UuBuRYDmuYOAc-eiGBtf1S6gvSdrYTuQ" TargetMode="External"/><Relationship Id="rId1105" Type="http://schemas.openxmlformats.org/officeDocument/2006/relationships/hyperlink" Target="https://drive.google.com/open?id=1l1jV4LJhHfwwBj4_2U7eWna5G3KwgKqT" TargetMode="External"/><Relationship Id="rId1106" Type="http://schemas.openxmlformats.org/officeDocument/2006/relationships/hyperlink" Target="https://drive.google.com/open?id=18NYo9DAwcnJJJpSgyi-4qULba-ujphE_" TargetMode="External"/><Relationship Id="rId11" Type="http://schemas.openxmlformats.org/officeDocument/2006/relationships/hyperlink" Target="https://drive.google.com/open?id=1WjAQVPgXlATxKte7gb59tvuyd8xHsF1b" TargetMode="External"/><Relationship Id="rId1107" Type="http://schemas.openxmlformats.org/officeDocument/2006/relationships/hyperlink" Target="https://drive.google.com/open?id=1Nqh7DacU98DB9pCZqwnOC7f21wzsvJHq" TargetMode="External"/><Relationship Id="rId10" Type="http://schemas.openxmlformats.org/officeDocument/2006/relationships/hyperlink" Target="https://drive.google.com/open?id=1CBJuyR2LwoDZmMz6Vx5nuAxyLMQSL2CG" TargetMode="External"/><Relationship Id="rId1108" Type="http://schemas.openxmlformats.org/officeDocument/2006/relationships/hyperlink" Target="https://drive.google.com/open?id=1bcaAlTHfp-H5uo5Yo_SDrHoBDtN9o6oA" TargetMode="External"/><Relationship Id="rId13" Type="http://schemas.openxmlformats.org/officeDocument/2006/relationships/hyperlink" Target="https://drive.google.com/open?id=1auIwHPYeeWqcq_6b2EtZom9fLuON1gYi" TargetMode="External"/><Relationship Id="rId1109" Type="http://schemas.openxmlformats.org/officeDocument/2006/relationships/hyperlink" Target="https://drive.google.com/open?id=1iUK_r7VprmT2Nsw35dZahVMwkb4aWzc-" TargetMode="External"/><Relationship Id="rId12" Type="http://schemas.openxmlformats.org/officeDocument/2006/relationships/hyperlink" Target="https://drive.google.com/open?id=1Ee7FFGdUFodpiYZ1-W8JCqp_JfLKSmyb" TargetMode="External"/><Relationship Id="rId519" Type="http://schemas.openxmlformats.org/officeDocument/2006/relationships/hyperlink" Target="https://drive.google.com/open?id=1da9m8LMMlGOTpICfFZFuYWjRZM9-6N0A" TargetMode="External"/><Relationship Id="rId514" Type="http://schemas.openxmlformats.org/officeDocument/2006/relationships/hyperlink" Target="https://drive.google.com/open?id=1seqlKlC_VxpkKJrZ9UVGk07H9-Bo-kz6" TargetMode="External"/><Relationship Id="rId756" Type="http://schemas.openxmlformats.org/officeDocument/2006/relationships/hyperlink" Target="https://drive.google.com/open?id=1szNGinY27z8ZASP6JwhZtlE6ytpJii2_" TargetMode="External"/><Relationship Id="rId998" Type="http://schemas.openxmlformats.org/officeDocument/2006/relationships/hyperlink" Target="https://drive.google.com/open?id=1xPuxIajfX6SaNF29BkGYOGCFWMg77yrc" TargetMode="External"/><Relationship Id="rId513" Type="http://schemas.openxmlformats.org/officeDocument/2006/relationships/hyperlink" Target="https://drive.google.com/open?id=1gwQ2ULl0rno_m_0l9BCwv8dXSyODpLNt" TargetMode="External"/><Relationship Id="rId755" Type="http://schemas.openxmlformats.org/officeDocument/2006/relationships/hyperlink" Target="https://drive.google.com/open?id=1oqEwSBpGVRzh2doPPEgFLHzxC2DPhcvp" TargetMode="External"/><Relationship Id="rId997" Type="http://schemas.openxmlformats.org/officeDocument/2006/relationships/hyperlink" Target="https://drive.google.com/open?id=1k0hDPwa_cwn8s4n4On5LYy4RWb6jjlIb" TargetMode="External"/><Relationship Id="rId512" Type="http://schemas.openxmlformats.org/officeDocument/2006/relationships/hyperlink" Target="https://drive.google.com/open?id=18Glgm-JENXIOelSAUHx4c9Vv5ZU9Pbi_" TargetMode="External"/><Relationship Id="rId754" Type="http://schemas.openxmlformats.org/officeDocument/2006/relationships/hyperlink" Target="https://drive.google.com/open?id=1RD0G-VbOAoQ2XG06v4TX6uy7yV3tif-S" TargetMode="External"/><Relationship Id="rId996" Type="http://schemas.openxmlformats.org/officeDocument/2006/relationships/hyperlink" Target="https://drive.google.com/open?id=1cO80Ph3-oq4RtW_uuCRozRpieKE4kd-l" TargetMode="External"/><Relationship Id="rId511" Type="http://schemas.openxmlformats.org/officeDocument/2006/relationships/hyperlink" Target="https://drive.google.com/open?id=1Or7s1SqpiYCibKuKyHDI-Kmte_ukBHcd" TargetMode="External"/><Relationship Id="rId753" Type="http://schemas.openxmlformats.org/officeDocument/2006/relationships/hyperlink" Target="https://drive.google.com/open?id=1CEfEt7DbWmERTgFULUbIriWjRs7_I-S4" TargetMode="External"/><Relationship Id="rId995" Type="http://schemas.openxmlformats.org/officeDocument/2006/relationships/hyperlink" Target="https://drive.google.com/open?id=1YV3Pvh-fevYnc-s34iVnZ3OmmwkO7_H2" TargetMode="External"/><Relationship Id="rId518" Type="http://schemas.openxmlformats.org/officeDocument/2006/relationships/hyperlink" Target="https://drive.google.com/open?id=1A7Z68n4hVUhrDPejiGR58Nfffn2Pe5ar" TargetMode="External"/><Relationship Id="rId517" Type="http://schemas.openxmlformats.org/officeDocument/2006/relationships/hyperlink" Target="https://drive.google.com/open?id=1qQ1hdaCejkR0cfg44l4T-vImcDVDSgZe" TargetMode="External"/><Relationship Id="rId759" Type="http://schemas.openxmlformats.org/officeDocument/2006/relationships/hyperlink" Target="https://drive.google.com/open?id=1062bfFp6PXALa9DMo0meZKagxgzrj9dJ" TargetMode="External"/><Relationship Id="rId516" Type="http://schemas.openxmlformats.org/officeDocument/2006/relationships/hyperlink" Target="https://drive.google.com/open?id=1mKvg4o9N6_eqfA3nXhkPmzs1pqzdKPhV" TargetMode="External"/><Relationship Id="rId758" Type="http://schemas.openxmlformats.org/officeDocument/2006/relationships/hyperlink" Target="https://drive.google.com/open?id=10jrr9klWc39LS0aHafoz19qJ2iM9Zi0o" TargetMode="External"/><Relationship Id="rId515" Type="http://schemas.openxmlformats.org/officeDocument/2006/relationships/hyperlink" Target="https://drive.google.com/open?id=1a3MkULfAQBC4I4h314saM1N17ElaQa1_" TargetMode="External"/><Relationship Id="rId757" Type="http://schemas.openxmlformats.org/officeDocument/2006/relationships/hyperlink" Target="https://drive.google.com/open?id=18r7-l-M1szLnrIrJ3QEpAsJ5d3FxYxXN" TargetMode="External"/><Relationship Id="rId999" Type="http://schemas.openxmlformats.org/officeDocument/2006/relationships/hyperlink" Target="https://drive.google.com/open?id=1xZzXf2li0ESfRV5jwlL9SZs2WodIYv8W" TargetMode="External"/><Relationship Id="rId15" Type="http://schemas.openxmlformats.org/officeDocument/2006/relationships/hyperlink" Target="https://drive.google.com/open?id=1xn8RV5tV_K5P2NIWjCkMVYbc8Cdcrt5C" TargetMode="External"/><Relationship Id="rId990" Type="http://schemas.openxmlformats.org/officeDocument/2006/relationships/hyperlink" Target="https://drive.google.com/open?id=1OQqyFPKFkQm-4uXgDu_vd88fP98DrGIR" TargetMode="External"/><Relationship Id="rId14" Type="http://schemas.openxmlformats.org/officeDocument/2006/relationships/hyperlink" Target="https://drive.google.com/open?id=1goIv0_ci-4qxIt7I7paXMf_Bjb7fePCV" TargetMode="External"/><Relationship Id="rId17" Type="http://schemas.openxmlformats.org/officeDocument/2006/relationships/hyperlink" Target="https://drive.google.com/open?id=13IvzXX7w8wtefWKRPD2SB6k7GqjLkgL-" TargetMode="External"/><Relationship Id="rId16" Type="http://schemas.openxmlformats.org/officeDocument/2006/relationships/hyperlink" Target="https://drive.google.com/open?id=1Kniam6Czmn2Cc9493GXJd4iAFRXf_z4n" TargetMode="External"/><Relationship Id="rId19" Type="http://schemas.openxmlformats.org/officeDocument/2006/relationships/hyperlink" Target="https://drive.google.com/open?id=1pXgXrGaG0bTvVmClhccpP7w3OiEynF0m" TargetMode="External"/><Relationship Id="rId510" Type="http://schemas.openxmlformats.org/officeDocument/2006/relationships/hyperlink" Target="https://drive.google.com/open?id=1nQjQ9D4Iu32UKaH_IlfM2rK8UlkkQnWW" TargetMode="External"/><Relationship Id="rId752" Type="http://schemas.openxmlformats.org/officeDocument/2006/relationships/hyperlink" Target="https://drive.google.com/open?id=1vIgR9LHFS9wCCCljPdwpcKt4sLEsVI4M" TargetMode="External"/><Relationship Id="rId994" Type="http://schemas.openxmlformats.org/officeDocument/2006/relationships/hyperlink" Target="https://drive.google.com/open?id=1lZdsIVi-gBi1yNWdyzleenIuGfrpGQHE" TargetMode="External"/><Relationship Id="rId18" Type="http://schemas.openxmlformats.org/officeDocument/2006/relationships/hyperlink" Target="https://drive.google.com/open?id=1Ecqqge_Th-hOWYxVCnSObMeyNKlvkI1K" TargetMode="External"/><Relationship Id="rId751" Type="http://schemas.openxmlformats.org/officeDocument/2006/relationships/hyperlink" Target="https://drive.google.com/open?id=17sz1LOkJ7tGXA0DNsIUuYyZEAY4qenBD" TargetMode="External"/><Relationship Id="rId993" Type="http://schemas.openxmlformats.org/officeDocument/2006/relationships/hyperlink" Target="https://drive.google.com/open?id=14HMRleqUVsK8K9E8HrhI_WpeU4IwtkV1" TargetMode="External"/><Relationship Id="rId1100" Type="http://schemas.openxmlformats.org/officeDocument/2006/relationships/hyperlink" Target="https://drive.google.com/open?id=1hpzauI11nctOtA-Rvi8qDzw04s6GtSqV" TargetMode="External"/><Relationship Id="rId750" Type="http://schemas.openxmlformats.org/officeDocument/2006/relationships/hyperlink" Target="https://drive.google.com/open?id=1xXoSE-wqhVuPUlokjS9lc_SzAnwNokpb" TargetMode="External"/><Relationship Id="rId992" Type="http://schemas.openxmlformats.org/officeDocument/2006/relationships/hyperlink" Target="https://drive.google.com/open?id=1FhmxW55ZhRZ1eulAU7eWLFybnayW9C8F" TargetMode="External"/><Relationship Id="rId1101" Type="http://schemas.openxmlformats.org/officeDocument/2006/relationships/hyperlink" Target="https://drive.google.com/file/d/1au-leyrh634SGEzFJPeyedOJRQENalEf/view?usp=drive_link" TargetMode="External"/><Relationship Id="rId991" Type="http://schemas.openxmlformats.org/officeDocument/2006/relationships/hyperlink" Target="https://drive.google.com/open?id=1sZJmcOYY4nIKzk_AKndftuJt9f9hk-TU" TargetMode="External"/><Relationship Id="rId1102" Type="http://schemas.openxmlformats.org/officeDocument/2006/relationships/hyperlink" Target="https://drive.google.com/file/d/1AhreUI34Gi6VNEnBBrkSiqY6Cj9lL67I/view?usp=drive_link" TargetMode="External"/><Relationship Id="rId84" Type="http://schemas.openxmlformats.org/officeDocument/2006/relationships/hyperlink" Target="https://drive.google.com/open?id=1xlaQEx8qgwsdjSNZC2mcq-vCgMLKcuch" TargetMode="External"/><Relationship Id="rId83" Type="http://schemas.openxmlformats.org/officeDocument/2006/relationships/hyperlink" Target="https://drive.google.com/open?id=1RcW7-oCuoZ7r0-TavCG2R-Srtk6WIv2w" TargetMode="External"/><Relationship Id="rId86" Type="http://schemas.openxmlformats.org/officeDocument/2006/relationships/hyperlink" Target="https://drive.google.com/open?id=12vsiCJ7XNWBQwEpOeF4JSoa2IAohh1AB" TargetMode="External"/><Relationship Id="rId85" Type="http://schemas.openxmlformats.org/officeDocument/2006/relationships/hyperlink" Target="https://drive.google.com/open?id=1Emo4eURiL-L2d7JQ985fFa3vmrkSU68u" TargetMode="External"/><Relationship Id="rId88" Type="http://schemas.openxmlformats.org/officeDocument/2006/relationships/hyperlink" Target="https://drive.google.com/open?id=1TpgfThCI1PmY7jUNgRw2hm6hNFF1loIR" TargetMode="External"/><Relationship Id="rId87" Type="http://schemas.openxmlformats.org/officeDocument/2006/relationships/hyperlink" Target="https://drive.google.com/open?id=1m6KDaILkzom45SameYZu-JX6HvSVOYSM" TargetMode="External"/><Relationship Id="rId89" Type="http://schemas.openxmlformats.org/officeDocument/2006/relationships/hyperlink" Target="https://drive.google.com/open?id=1yfgpu58wKMSdGbg3cEeXHU5S80thzp6D" TargetMode="External"/><Relationship Id="rId709" Type="http://schemas.openxmlformats.org/officeDocument/2006/relationships/hyperlink" Target="https://drive.google.com/open?id=1DLOJoSadHrZC83TMddMsFS-XOhxX4xaU" TargetMode="External"/><Relationship Id="rId708" Type="http://schemas.openxmlformats.org/officeDocument/2006/relationships/hyperlink" Target="https://drive.google.com/open?id=1V_avPmKOiMbJn_2YVUI74Akm4Iw5TX94" TargetMode="External"/><Relationship Id="rId707" Type="http://schemas.openxmlformats.org/officeDocument/2006/relationships/hyperlink" Target="https://drive.google.com/open?id=1Ep7uVS-AbJXqQUvOhcl1HaosZk-4eg5_" TargetMode="External"/><Relationship Id="rId949" Type="http://schemas.openxmlformats.org/officeDocument/2006/relationships/hyperlink" Target="https://drive.google.com/open?id=1Q2POa9uJHL3CXD3FQw3-Cfoc3wraGDEr" TargetMode="External"/><Relationship Id="rId706" Type="http://schemas.openxmlformats.org/officeDocument/2006/relationships/hyperlink" Target="https://drive.google.com/open?id=1MXM1sl6TEKCqcmAtJO5lGU2Z5WVMRP3W" TargetMode="External"/><Relationship Id="rId948" Type="http://schemas.openxmlformats.org/officeDocument/2006/relationships/hyperlink" Target="https://drive.google.com/open?id=1uQLEP8IK7EEf9B1oVr6UwhQa1qI_vbu6" TargetMode="External"/><Relationship Id="rId80" Type="http://schemas.openxmlformats.org/officeDocument/2006/relationships/hyperlink" Target="https://drive.google.com/open?id=1jfHYNVt4HRrlqR4j7E1_5EI3JFeMFLlX" TargetMode="External"/><Relationship Id="rId82" Type="http://schemas.openxmlformats.org/officeDocument/2006/relationships/hyperlink" Target="https://drive.google.com/open?id=1mxHwUZux-dFQTkRcUIazA3xQSeXRtqPg" TargetMode="External"/><Relationship Id="rId81" Type="http://schemas.openxmlformats.org/officeDocument/2006/relationships/hyperlink" Target="https://drive.google.com/open?id=1Qi5zrmViL1m81bvgznqg5bcizfjm-kb-" TargetMode="External"/><Relationship Id="rId701" Type="http://schemas.openxmlformats.org/officeDocument/2006/relationships/hyperlink" Target="https://drive.google.com/open?id=1s5y7y6lIG2l4ZLxQbifb9BK1GY3NNune" TargetMode="External"/><Relationship Id="rId943" Type="http://schemas.openxmlformats.org/officeDocument/2006/relationships/hyperlink" Target="https://drive.google.com/open?id=1VNGy8CkJ_dXqKg_yqTZSDKZ5Btt-H_30" TargetMode="External"/><Relationship Id="rId700" Type="http://schemas.openxmlformats.org/officeDocument/2006/relationships/hyperlink" Target="https://drive.google.com/open?id=17VEBcDkTh-oXc5AM873h2xwYl_mtNrqp" TargetMode="External"/><Relationship Id="rId942" Type="http://schemas.openxmlformats.org/officeDocument/2006/relationships/hyperlink" Target="https://drive.google.com/open?id=1iihWW11MhrZkqSLVlkRYurNoP33cKIbb" TargetMode="External"/><Relationship Id="rId941" Type="http://schemas.openxmlformats.org/officeDocument/2006/relationships/hyperlink" Target="https://drive.google.com/open?id=1FvJwOfP77rH1PgSrdNxKrHnUrfaQvhNa" TargetMode="External"/><Relationship Id="rId940" Type="http://schemas.openxmlformats.org/officeDocument/2006/relationships/hyperlink" Target="https://drive.google.com/open?id=1JOzd3PM8Bd-tJJtFtyPP-tXymTrn2WUu" TargetMode="External"/><Relationship Id="rId705" Type="http://schemas.openxmlformats.org/officeDocument/2006/relationships/hyperlink" Target="https://drive.google.com/open?id=1-_c8e_5VfeJ7KhCT4k6MjCokwq77mO2O" TargetMode="External"/><Relationship Id="rId947" Type="http://schemas.openxmlformats.org/officeDocument/2006/relationships/hyperlink" Target="https://drive.google.com/open?id=1LPC4xmPcL7971R7UuYxwpjD95BHD6HF7" TargetMode="External"/><Relationship Id="rId704" Type="http://schemas.openxmlformats.org/officeDocument/2006/relationships/hyperlink" Target="https://drive.google.com/open?id=1O8UJ1W_74bw6wIojpj2wGnZrptGiiNU8" TargetMode="External"/><Relationship Id="rId946" Type="http://schemas.openxmlformats.org/officeDocument/2006/relationships/hyperlink" Target="https://drive.google.com/file/d/1VC-tCiX6kTke4BAPe7sXewChnf7b0Vs3/view?usp=drive_link" TargetMode="External"/><Relationship Id="rId703" Type="http://schemas.openxmlformats.org/officeDocument/2006/relationships/hyperlink" Target="https://drive.google.com/open?id=1NOnwJqfzOAb_U7myjl-QKV96NEfC_uzc" TargetMode="External"/><Relationship Id="rId945" Type="http://schemas.openxmlformats.org/officeDocument/2006/relationships/hyperlink" Target="https://drive.google.com/open?id=1Bwit0_2EYh9910gZeXvo-T_e5Yy_nE1-" TargetMode="External"/><Relationship Id="rId702" Type="http://schemas.openxmlformats.org/officeDocument/2006/relationships/hyperlink" Target="https://drive.google.com/open?id=1_qR7RQeaJTRp8Gjpegf2z79UVao65NI9" TargetMode="External"/><Relationship Id="rId944" Type="http://schemas.openxmlformats.org/officeDocument/2006/relationships/hyperlink" Target="https://drive.google.com/open?id=1rszldnj_eFL2Cf_golXMqaI4HMFprd2j" TargetMode="External"/><Relationship Id="rId73" Type="http://schemas.openxmlformats.org/officeDocument/2006/relationships/hyperlink" Target="https://drive.google.com/open?id=1WSY6RHhHBCdPG7x3BBGuAsgoVOOQ5jwy" TargetMode="External"/><Relationship Id="rId72" Type="http://schemas.openxmlformats.org/officeDocument/2006/relationships/hyperlink" Target="https://drive.google.com/open?id=1Jj1xZFyCp2OSZ0NNv2fuhv4t5-2ZIRc9" TargetMode="External"/><Relationship Id="rId75" Type="http://schemas.openxmlformats.org/officeDocument/2006/relationships/hyperlink" Target="https://drive.google.com/open?id=1F0zwMrcJovTlaBBtXlidGnN5AfZTKwQc" TargetMode="External"/><Relationship Id="rId74" Type="http://schemas.openxmlformats.org/officeDocument/2006/relationships/hyperlink" Target="https://drive.google.com/file/d/1eaRutIbfjbc5tsIhU6Ciw3K88czzAS5Y/view" TargetMode="External"/><Relationship Id="rId77" Type="http://schemas.openxmlformats.org/officeDocument/2006/relationships/hyperlink" Target="https://drive.google.com/open?id=1YV8RvDiS3nOTbKovf2rZtvVoQizGmGtA" TargetMode="External"/><Relationship Id="rId76" Type="http://schemas.openxmlformats.org/officeDocument/2006/relationships/hyperlink" Target="https://drive.google.com/open?id=1peG0mo2kdOukoA4FY4kbpIKR51AKGAC7" TargetMode="External"/><Relationship Id="rId79" Type="http://schemas.openxmlformats.org/officeDocument/2006/relationships/hyperlink" Target="https://drive.google.com/open?id=1B1t76Ga60ld94Y1IQ_DulkO8hdUnlfxq" TargetMode="External"/><Relationship Id="rId78" Type="http://schemas.openxmlformats.org/officeDocument/2006/relationships/hyperlink" Target="https://drive.google.com/open?id=1dQpZB2ZZr7YzzDhQRhiyfJBGYBJYPaoG" TargetMode="External"/><Relationship Id="rId939" Type="http://schemas.openxmlformats.org/officeDocument/2006/relationships/hyperlink" Target="https://drive.google.com/open?id=1LNNCHyg7wGWSZqLJ3_Bm40mtqgYCL1WJ" TargetMode="External"/><Relationship Id="rId938" Type="http://schemas.openxmlformats.org/officeDocument/2006/relationships/hyperlink" Target="https://drive.google.com/open?id=1rP02ptEknCupdOtJvc4-m2FgwwOh9u6V" TargetMode="External"/><Relationship Id="rId937" Type="http://schemas.openxmlformats.org/officeDocument/2006/relationships/hyperlink" Target="https://drive.google.com/open?id=1znQ1e2xgIl-xER_YhHLktewaGgw-QQQR" TargetMode="External"/><Relationship Id="rId71" Type="http://schemas.openxmlformats.org/officeDocument/2006/relationships/hyperlink" Target="https://drive.google.com/open?id=1GqC_iC5CjQYKHebfX_WziXQXrM9TMHPm" TargetMode="External"/><Relationship Id="rId70" Type="http://schemas.openxmlformats.org/officeDocument/2006/relationships/hyperlink" Target="https://drive.google.com/open?id=1sVzmpmCZYJPWcXKbOEV1ltgPkQFvs_Jg" TargetMode="External"/><Relationship Id="rId932" Type="http://schemas.openxmlformats.org/officeDocument/2006/relationships/hyperlink" Target="https://drive.google.com/open?id=1LUHJRYRPKsSO4jWZJxDWY1QgW-a4IrTI" TargetMode="External"/><Relationship Id="rId931" Type="http://schemas.openxmlformats.org/officeDocument/2006/relationships/hyperlink" Target="https://drive.google.com/open?id=19Q9LJiMqVjVkgQK5CD0eeZUw6tpWpmXs" TargetMode="External"/><Relationship Id="rId930" Type="http://schemas.openxmlformats.org/officeDocument/2006/relationships/hyperlink" Target="https://drive.google.com/file/d/1juxUoQRw28lmnVvPy-17WoZcfpXXPcP5/view?usp=drive_link" TargetMode="External"/><Relationship Id="rId936" Type="http://schemas.openxmlformats.org/officeDocument/2006/relationships/hyperlink" Target="https://drive.google.com/open?id=1wp9rHwfpLOTbQrJVkVF1MBxpfO3wVn0_" TargetMode="External"/><Relationship Id="rId935" Type="http://schemas.openxmlformats.org/officeDocument/2006/relationships/hyperlink" Target="https://drive.google.com/open?id=1kFCmwu8VZ24SI96e98BZA19PD80TYICc" TargetMode="External"/><Relationship Id="rId934" Type="http://schemas.openxmlformats.org/officeDocument/2006/relationships/hyperlink" Target="https://drive.google.com/open?id=1KsLZ6pml-TA3c5c8z5iG0i6p1IQ28liw" TargetMode="External"/><Relationship Id="rId933" Type="http://schemas.openxmlformats.org/officeDocument/2006/relationships/hyperlink" Target="https://drive.google.com/open?id=1zZRK7j9e6_9PVHCHG0uE0i33kpO2_GBD" TargetMode="External"/><Relationship Id="rId62" Type="http://schemas.openxmlformats.org/officeDocument/2006/relationships/hyperlink" Target="https://drive.google.com/open?id=1nDBlAkLDGzuDR3ZekNzPwNjQDq4CqNER" TargetMode="External"/><Relationship Id="rId61" Type="http://schemas.openxmlformats.org/officeDocument/2006/relationships/hyperlink" Target="https://drive.google.com/open?id=1fwweJfdEGZcJmnnrKsLBjpNn-6wnrJB_" TargetMode="External"/><Relationship Id="rId64" Type="http://schemas.openxmlformats.org/officeDocument/2006/relationships/hyperlink" Target="https://drive.google.com/open?id=1aE8FMoMOs4oIeK0LRThhO-jpE7Ptm3b4" TargetMode="External"/><Relationship Id="rId63" Type="http://schemas.openxmlformats.org/officeDocument/2006/relationships/hyperlink" Target="https://drive.google.com/open?id=16dWKNJGmt8AGL7fEnGIN71_I-eGYDPAH" TargetMode="External"/><Relationship Id="rId66" Type="http://schemas.openxmlformats.org/officeDocument/2006/relationships/hyperlink" Target="https://drive.google.com/open?id=1WmgbYJtNNhnsQ0uTFF72wi-vt0rWT_Y5" TargetMode="External"/><Relationship Id="rId65" Type="http://schemas.openxmlformats.org/officeDocument/2006/relationships/hyperlink" Target="https://drive.google.com/open?id=1NN2UYQIiEDPrBhgu7UPa9vEcxT_gcfc-" TargetMode="External"/><Relationship Id="rId68" Type="http://schemas.openxmlformats.org/officeDocument/2006/relationships/hyperlink" Target="https://drive.google.com/open?id=1iB0yCbKh9V4fBedekOqYdJTkNFqgsLuQ" TargetMode="External"/><Relationship Id="rId67" Type="http://schemas.openxmlformats.org/officeDocument/2006/relationships/hyperlink" Target="https://drive.google.com/open?id=1OIuzy2QqiuVNDwPueEXxpO7o9WwTXCze" TargetMode="External"/><Relationship Id="rId729" Type="http://schemas.openxmlformats.org/officeDocument/2006/relationships/hyperlink" Target="https://drive.google.com/file/d/1I4qXJ33kCmfHpPU_08Idy41qKd0sNDUp/view?usp=drive_link" TargetMode="External"/><Relationship Id="rId728" Type="http://schemas.openxmlformats.org/officeDocument/2006/relationships/hyperlink" Target="https://drive.google.com/open?id=19ib_PHZ82TPjh2diJBmBrDw69kyMIe4J" TargetMode="External"/><Relationship Id="rId60" Type="http://schemas.openxmlformats.org/officeDocument/2006/relationships/hyperlink" Target="https://drive.google.com/file/d/1q_hWdJJ7QuIznIvLdiHIKX2Dyo6bT9Vc/view" TargetMode="External"/><Relationship Id="rId723" Type="http://schemas.openxmlformats.org/officeDocument/2006/relationships/hyperlink" Target="https://drive.google.com/open?id=1KZd02DvglccMtOqVK-arxkSyMu9PQV7t" TargetMode="External"/><Relationship Id="rId965" Type="http://schemas.openxmlformats.org/officeDocument/2006/relationships/hyperlink" Target="https://drive.google.com/open?id=19ODzMtGVnbkuJ9Kd1bcGg3_e9NIKXml1" TargetMode="External"/><Relationship Id="rId722" Type="http://schemas.openxmlformats.org/officeDocument/2006/relationships/hyperlink" Target="https://drive.google.com/open?id=1p4cVf5Z51nbnpi5BP6Y3jdCx7Y8lGWpx" TargetMode="External"/><Relationship Id="rId964" Type="http://schemas.openxmlformats.org/officeDocument/2006/relationships/hyperlink" Target="https://drive.google.com/open?id=1SdSJZZ67XY4JelY_ZsS9ufUjylPw7YSU" TargetMode="External"/><Relationship Id="rId721" Type="http://schemas.openxmlformats.org/officeDocument/2006/relationships/hyperlink" Target="https://drive.google.com/open?id=1gdxwwcmHwmoTnRflhtBpMJzuMXNgfIQK" TargetMode="External"/><Relationship Id="rId963" Type="http://schemas.openxmlformats.org/officeDocument/2006/relationships/hyperlink" Target="https://drive.google.com/open?id=1PjtF5c3UIyl_r0ylmjkov0AiQlj5jn57" TargetMode="External"/><Relationship Id="rId720" Type="http://schemas.openxmlformats.org/officeDocument/2006/relationships/hyperlink" Target="https://drive.google.com/open?id=1qniabQSSX1XD9sF4Iv1WjzBP4hyrJg5B" TargetMode="External"/><Relationship Id="rId962" Type="http://schemas.openxmlformats.org/officeDocument/2006/relationships/hyperlink" Target="https://drive.google.com/open?id=1wSkSScD5iq_pCrYYrKlmB_OsjxLaVBOh" TargetMode="External"/><Relationship Id="rId727" Type="http://schemas.openxmlformats.org/officeDocument/2006/relationships/hyperlink" Target="https://drive.google.com/open?id=11HmbJxHKjDgNbdpyfSMl8BQst2Z7mc1E" TargetMode="External"/><Relationship Id="rId969" Type="http://schemas.openxmlformats.org/officeDocument/2006/relationships/hyperlink" Target="https://drive.google.com/open?id=1AvM4Q2Zr7XFViSgl7k7BDiL-A1oiKad0" TargetMode="External"/><Relationship Id="rId726" Type="http://schemas.openxmlformats.org/officeDocument/2006/relationships/hyperlink" Target="https://drive.google.com/open?id=1Z1f2N-RiEiSr0GJEJmr7N4m-eX7u975P" TargetMode="External"/><Relationship Id="rId968" Type="http://schemas.openxmlformats.org/officeDocument/2006/relationships/hyperlink" Target="https://drive.google.com/open?id=1Ia9pPi2R4G9jywurD0-x1Ag3GFeKG9T6" TargetMode="External"/><Relationship Id="rId725" Type="http://schemas.openxmlformats.org/officeDocument/2006/relationships/hyperlink" Target="https://drive.google.com/open?id=1uOsFxIgl2pKKUGDpyqcyTlDADY9l6XmB" TargetMode="External"/><Relationship Id="rId967" Type="http://schemas.openxmlformats.org/officeDocument/2006/relationships/hyperlink" Target="https://drive.google.com/open?id=1KllaHJLq5wLYnowZlkir97T5t9eGv3eo" TargetMode="External"/><Relationship Id="rId724" Type="http://schemas.openxmlformats.org/officeDocument/2006/relationships/hyperlink" Target="https://drive.google.com/open?id=1exKurshXtwzot_q9Ddmfmx5gz_9ZdsV7" TargetMode="External"/><Relationship Id="rId966" Type="http://schemas.openxmlformats.org/officeDocument/2006/relationships/hyperlink" Target="https://drive.google.com/open?id=1wBYsd0ucYmOBADlFDofGXrNXGFUTa95U" TargetMode="External"/><Relationship Id="rId69" Type="http://schemas.openxmlformats.org/officeDocument/2006/relationships/hyperlink" Target="https://drive.google.com/open?id=1ueqfpWigvvrGvNdNNt5VxIUsWCGxr7KN" TargetMode="External"/><Relationship Id="rId961" Type="http://schemas.openxmlformats.org/officeDocument/2006/relationships/hyperlink" Target="https://drive.google.com/open?id=13h-kEiRQJQifLpRrKlwEArdAogBSzokm" TargetMode="External"/><Relationship Id="rId960" Type="http://schemas.openxmlformats.org/officeDocument/2006/relationships/hyperlink" Target="https://drive.google.com/open?id=13mT83aVBzscmWOOEdW8vqtc5bw1FOhn9" TargetMode="External"/><Relationship Id="rId51" Type="http://schemas.openxmlformats.org/officeDocument/2006/relationships/hyperlink" Target="https://drive.google.com/open?id=11yNedQOuXH6q0UmCH9MYob3dQrKTPi6j" TargetMode="External"/><Relationship Id="rId1301" Type="http://schemas.openxmlformats.org/officeDocument/2006/relationships/hyperlink" Target="https://drive.google.com/open?id=1h7OjBdm5FxmocwRlv_xt1-4QP72Hc1D8" TargetMode="External"/><Relationship Id="rId50" Type="http://schemas.openxmlformats.org/officeDocument/2006/relationships/hyperlink" Target="https://drive.google.com/open?id=1PRSMEqDe9sYxRIeoCCTFoc5hvHIx24KS" TargetMode="External"/><Relationship Id="rId1302" Type="http://schemas.openxmlformats.org/officeDocument/2006/relationships/hyperlink" Target="https://drive.google.com/open?id=1ujBl5JG5WvS0M_xAxwFnBTcimuEZgflB" TargetMode="External"/><Relationship Id="rId53" Type="http://schemas.openxmlformats.org/officeDocument/2006/relationships/hyperlink" Target="https://drive.google.com/open?id=1lmaZTHQKhaT8-MxvQt-NjUCEsFSmbSKm" TargetMode="External"/><Relationship Id="rId1303" Type="http://schemas.openxmlformats.org/officeDocument/2006/relationships/hyperlink" Target="https://drive.google.com/open?id=1273k9pS3xKtAOc1NUfi3WNs-92ZKh2EH" TargetMode="External"/><Relationship Id="rId52" Type="http://schemas.openxmlformats.org/officeDocument/2006/relationships/hyperlink" Target="https://drive.google.com/open?id=10nGn9fxzNLp--BcYN6GqfQ_XaHa9XnXa" TargetMode="External"/><Relationship Id="rId1304" Type="http://schemas.openxmlformats.org/officeDocument/2006/relationships/hyperlink" Target="https://drive.google.com/file/d/1w49sOIEXV4E7pH-LzM_O6-IrDywqJ5Ve/view?usp=drive_link" TargetMode="External"/><Relationship Id="rId55" Type="http://schemas.openxmlformats.org/officeDocument/2006/relationships/hyperlink" Target="https://drive.google.com/open?id=1L7wX4_HQWYqVKifBsaF9rGJuiTqSpFh3" TargetMode="External"/><Relationship Id="rId1305" Type="http://schemas.openxmlformats.org/officeDocument/2006/relationships/hyperlink" Target="https://drive.google.com/open?id=1ETgZaVrtEM7wJ0GbEvTBIwRswtfMCJI0" TargetMode="External"/><Relationship Id="rId54" Type="http://schemas.openxmlformats.org/officeDocument/2006/relationships/hyperlink" Target="https://drive.google.com/file/d/122tUmXEUg4ddWb1l0dkKc6hEEen6owgu/view" TargetMode="External"/><Relationship Id="rId1306" Type="http://schemas.openxmlformats.org/officeDocument/2006/relationships/hyperlink" Target="https://drive.google.com/open?id=1kYppkRWR7lJMCRKXg-PzWpAQVNo78wkq" TargetMode="External"/><Relationship Id="rId57" Type="http://schemas.openxmlformats.org/officeDocument/2006/relationships/hyperlink" Target="https://drive.google.com/open?id=1H_ZIx3dj6t3cXMIKqKVv98wg_JODhDjw" TargetMode="External"/><Relationship Id="rId1307" Type="http://schemas.openxmlformats.org/officeDocument/2006/relationships/drawing" Target="../drawings/drawing7.xml"/><Relationship Id="rId56" Type="http://schemas.openxmlformats.org/officeDocument/2006/relationships/hyperlink" Target="https://drive.google.com/open?id=17aeyAKYo66IfHcBCBPMOquVG8-Woe81l" TargetMode="External"/><Relationship Id="rId719" Type="http://schemas.openxmlformats.org/officeDocument/2006/relationships/hyperlink" Target="https://drive.google.com/open?id=1Cb_I1345HNBYx9ePwWCzOUi9RczR5qq0" TargetMode="External"/><Relationship Id="rId718" Type="http://schemas.openxmlformats.org/officeDocument/2006/relationships/hyperlink" Target="https://drive.google.com/open?id=1yinLLnEkzgJHC6qUsFifk8iZSECW0t0T" TargetMode="External"/><Relationship Id="rId717" Type="http://schemas.openxmlformats.org/officeDocument/2006/relationships/hyperlink" Target="https://drive.google.com/open?id=1WLphKOJEyeroaocAagGuiOTFCZm0R1zL" TargetMode="External"/><Relationship Id="rId959" Type="http://schemas.openxmlformats.org/officeDocument/2006/relationships/hyperlink" Target="https://drive.google.com/open?id=1e53YyqXMkm-m6jZN6-Q7ShkxNdyJuYxq" TargetMode="External"/><Relationship Id="rId712" Type="http://schemas.openxmlformats.org/officeDocument/2006/relationships/hyperlink" Target="https://drive.google.com/open?id=1p5cYXcmOSQnaip2z0_ylPYXBW8s7xaAo" TargetMode="External"/><Relationship Id="rId954" Type="http://schemas.openxmlformats.org/officeDocument/2006/relationships/hyperlink" Target="https://drive.google.com/open?id=1Z9W4gYDgHbe4RksdggyK1PA5luLIYFwS" TargetMode="External"/><Relationship Id="rId711" Type="http://schemas.openxmlformats.org/officeDocument/2006/relationships/hyperlink" Target="https://drive.google.com/open?id=1T0lWLzbXvsB73dRjKqKuw0JBgMXn7077" TargetMode="External"/><Relationship Id="rId953" Type="http://schemas.openxmlformats.org/officeDocument/2006/relationships/hyperlink" Target="https://drive.google.com/open?id=1sQ7YalYmmhaGPwsWzCPLXRCu2p8GYBUm" TargetMode="External"/><Relationship Id="rId710" Type="http://schemas.openxmlformats.org/officeDocument/2006/relationships/hyperlink" Target="https://drive.google.com/open?id=1OONC-I2MRr-lL3GvHO-GUQkGBHnHWnFg" TargetMode="External"/><Relationship Id="rId952" Type="http://schemas.openxmlformats.org/officeDocument/2006/relationships/hyperlink" Target="https://drive.google.com/open?id=1xX5McZbzV6RVaYoULfaXW_k1AW_eB-6q" TargetMode="External"/><Relationship Id="rId951" Type="http://schemas.openxmlformats.org/officeDocument/2006/relationships/hyperlink" Target="https://drive.google.com/open?id=1gFTxcTQVsmZpd9TeLhS2tOMPiTlRcZ_h" TargetMode="External"/><Relationship Id="rId716" Type="http://schemas.openxmlformats.org/officeDocument/2006/relationships/hyperlink" Target="https://drive.google.com/open?id=1lSWcKtAj2nabWaBBmNyN6GNqrosJ86eh" TargetMode="External"/><Relationship Id="rId958" Type="http://schemas.openxmlformats.org/officeDocument/2006/relationships/hyperlink" Target="https://drive.google.com/open?id=19IY6j8Vv3B-D5PYOLcbtE9L81yiUH5BE" TargetMode="External"/><Relationship Id="rId715" Type="http://schemas.openxmlformats.org/officeDocument/2006/relationships/hyperlink" Target="https://drive.google.com/open?id=1ExnG7VVhn7r_S4B-RVx6btjqxV4e91kJ" TargetMode="External"/><Relationship Id="rId957" Type="http://schemas.openxmlformats.org/officeDocument/2006/relationships/hyperlink" Target="https://drive.google.com/open?id=1LhxZ-9XbnFWRFUDsix_KLeS85UJbPH4s" TargetMode="External"/><Relationship Id="rId714" Type="http://schemas.openxmlformats.org/officeDocument/2006/relationships/hyperlink" Target="https://drive.google.com/open?id=1CGMrpivhFuBosObOYVsmztqFEIImh0ZP" TargetMode="External"/><Relationship Id="rId956" Type="http://schemas.openxmlformats.org/officeDocument/2006/relationships/hyperlink" Target="https://drive.google.com/open?id=1-1uBV1JKCsVXGWQwDAoVV-KDSU5RLdv9" TargetMode="External"/><Relationship Id="rId713" Type="http://schemas.openxmlformats.org/officeDocument/2006/relationships/hyperlink" Target="https://drive.google.com/open?id=1FdFoNYtRHK77Mq-3aTh2xQ2yK0ndy8_R" TargetMode="External"/><Relationship Id="rId955" Type="http://schemas.openxmlformats.org/officeDocument/2006/relationships/hyperlink" Target="https://drive.google.com/open?id=15Ue0rGx9gQTY_TsCJr0kySZ6PaUqj37g" TargetMode="External"/><Relationship Id="rId59" Type="http://schemas.openxmlformats.org/officeDocument/2006/relationships/hyperlink" Target="https://drive.google.com/open?id=1N6vrjjKx2UFEieUUvhtePkSsQ-NO4mgu" TargetMode="External"/><Relationship Id="rId58" Type="http://schemas.openxmlformats.org/officeDocument/2006/relationships/hyperlink" Target="https://drive.google.com/open?id=1VL0Zqf8wXGt4tdaLBxJacFsZxlFn_mjy" TargetMode="External"/><Relationship Id="rId950" Type="http://schemas.openxmlformats.org/officeDocument/2006/relationships/hyperlink" Target="https://drive.google.com/open?id=1hbfbr8uAzv0kgEjYmdRS5ErE931XIp7t" TargetMode="External"/><Relationship Id="rId1300" Type="http://schemas.openxmlformats.org/officeDocument/2006/relationships/hyperlink" Target="https://drive.google.com/open?id=1v8y8HYdB44iYkA4zq7YXTsf5Fewlh6SH" TargetMode="External"/><Relationship Id="rId590" Type="http://schemas.openxmlformats.org/officeDocument/2006/relationships/hyperlink" Target="https://drive.google.com/open?id=1yPVeMI2kifj5qc4NNKsT8k-fj5jS4Kcm" TargetMode="External"/><Relationship Id="rId107" Type="http://schemas.openxmlformats.org/officeDocument/2006/relationships/hyperlink" Target="https://drive.google.com/open?id=1QUQtifhLSj-d26_koiMWyfaO_c0RPSkA" TargetMode="External"/><Relationship Id="rId349" Type="http://schemas.openxmlformats.org/officeDocument/2006/relationships/hyperlink" Target="https://drive.google.com/open?id=1z5fi8to9gw38-_ixzD_uWxh9HpPqMkCj" TargetMode="External"/><Relationship Id="rId106" Type="http://schemas.openxmlformats.org/officeDocument/2006/relationships/hyperlink" Target="https://drive.google.com/open?id=1teRxO8T2SXJk7o7qNZ_gO1aGJidB6TVF" TargetMode="External"/><Relationship Id="rId348" Type="http://schemas.openxmlformats.org/officeDocument/2006/relationships/hyperlink" Target="https://drive.google.com/open?id=10mc-oRazpNONUif50yf9BsdK8rLZjGj_" TargetMode="External"/><Relationship Id="rId105" Type="http://schemas.openxmlformats.org/officeDocument/2006/relationships/hyperlink" Target="https://drive.google.com/open?id=1wewO0xLH8DWr6SzJiuAL5N364SgtbsUF" TargetMode="External"/><Relationship Id="rId347" Type="http://schemas.openxmlformats.org/officeDocument/2006/relationships/hyperlink" Target="https://drive.google.com/open?id=11F34ralsogpPnvOJ3_dtdv1-OTnrQdnS" TargetMode="External"/><Relationship Id="rId589" Type="http://schemas.openxmlformats.org/officeDocument/2006/relationships/hyperlink" Target="https://drive.google.com/open?id=1Os98Not9ey3W3wbdDYsBzwkvmVwSJtQ5" TargetMode="External"/><Relationship Id="rId104" Type="http://schemas.openxmlformats.org/officeDocument/2006/relationships/hyperlink" Target="https://drive.google.com/file/d/1JinnoD2-Bb_UH8mJIti3TQUiFHlQBKPR/view?usp=drive_link" TargetMode="External"/><Relationship Id="rId346" Type="http://schemas.openxmlformats.org/officeDocument/2006/relationships/hyperlink" Target="https://drive.google.com/open?id=1XUBoUG7y2WhuAmWzracbbeRvDzJUqrdz" TargetMode="External"/><Relationship Id="rId588" Type="http://schemas.openxmlformats.org/officeDocument/2006/relationships/hyperlink" Target="https://drive.google.com/open?id=13tZtCyl1QRbbTGUG3H4ZsM0QfhmR28le" TargetMode="External"/><Relationship Id="rId109" Type="http://schemas.openxmlformats.org/officeDocument/2006/relationships/hyperlink" Target="https://drive.google.com/open?id=1NHvCxlJulyMVu8rr0_9h3cfGPvzKyMA3" TargetMode="External"/><Relationship Id="rId1170" Type="http://schemas.openxmlformats.org/officeDocument/2006/relationships/hyperlink" Target="https://drive.google.com/open?id=19Es9R0QsOEiPvydzUqRRfJaG7DYiX7pf" TargetMode="External"/><Relationship Id="rId108" Type="http://schemas.openxmlformats.org/officeDocument/2006/relationships/hyperlink" Target="https://drive.google.com/open?id=1xn8RV5tV_K5P2NIWjCkMVYbc8Cdcrt5C" TargetMode="External"/><Relationship Id="rId1171" Type="http://schemas.openxmlformats.org/officeDocument/2006/relationships/hyperlink" Target="https://drive.google.com/file/d/1D7TyJnbey3gWuvkRgGas3p6MxiQpJIY4/view?usp=drive_link" TargetMode="External"/><Relationship Id="rId341" Type="http://schemas.openxmlformats.org/officeDocument/2006/relationships/hyperlink" Target="https://drive.google.com/open?id=1W9cTMzJUGIto5c2vBD81QLvkRtcDSvWG" TargetMode="External"/><Relationship Id="rId583" Type="http://schemas.openxmlformats.org/officeDocument/2006/relationships/hyperlink" Target="https://drive.google.com/open?id=1VajD54DluhTMyGNpCT8-VqF_YTFcXXyD" TargetMode="External"/><Relationship Id="rId1172" Type="http://schemas.openxmlformats.org/officeDocument/2006/relationships/hyperlink" Target="https://drive.google.com/open?id=1GXuRdplhCdPqwq5d6YDyZLqomlMnQnO9" TargetMode="External"/><Relationship Id="rId340" Type="http://schemas.openxmlformats.org/officeDocument/2006/relationships/hyperlink" Target="https://drive.google.com/open?id=1n5J6O8VFGw2AVuTlbqRcdb2o0u1_1GeY" TargetMode="External"/><Relationship Id="rId582" Type="http://schemas.openxmlformats.org/officeDocument/2006/relationships/hyperlink" Target="https://drive.google.com/open?id=1RYXeJU5hYf9dGFDY9wzW2SqQo9rvzXei" TargetMode="External"/><Relationship Id="rId1173" Type="http://schemas.openxmlformats.org/officeDocument/2006/relationships/hyperlink" Target="https://drive.google.com/open?id=1BMMzZh49S3bJIZliUjcOVOTaUEtdLtPG" TargetMode="External"/><Relationship Id="rId581" Type="http://schemas.openxmlformats.org/officeDocument/2006/relationships/hyperlink" Target="https://drive.google.com/open?id=1q0pdsVdKS5CmiD_IdmjItf1JSpuRlYRr" TargetMode="External"/><Relationship Id="rId1174" Type="http://schemas.openxmlformats.org/officeDocument/2006/relationships/hyperlink" Target="https://drive.google.com/open?id=1gSj-S8ajvaIjtVHJUfs2HESZEtng-cR_" TargetMode="External"/><Relationship Id="rId580" Type="http://schemas.openxmlformats.org/officeDocument/2006/relationships/hyperlink" Target="https://drive.google.com/open?id=1uFUeLHXp-DS1q25tnawmzS6wQMwanh1y" TargetMode="External"/><Relationship Id="rId1175" Type="http://schemas.openxmlformats.org/officeDocument/2006/relationships/hyperlink" Target="https://drive.google.com/file/d/1Nk9Hjyb4j6QuLLf9MYw2OTkjmVfgjudm/view?usp=drive_link" TargetMode="External"/><Relationship Id="rId103" Type="http://schemas.openxmlformats.org/officeDocument/2006/relationships/hyperlink" Target="https://drive.google.com/open?id=1udsIR_mgOx4SIYt_VaS-lefhtlDxp6pL" TargetMode="External"/><Relationship Id="rId345" Type="http://schemas.openxmlformats.org/officeDocument/2006/relationships/hyperlink" Target="https://drive.google.com/open?id=1WNVZRwYVuw_CP2Im9_9FVmdiig9Pe1c4" TargetMode="External"/><Relationship Id="rId587" Type="http://schemas.openxmlformats.org/officeDocument/2006/relationships/hyperlink" Target="https://drive.google.com/open?id=1CrIE2vuM2QGkJesSe-ZAUqFSRoRV_WDZ" TargetMode="External"/><Relationship Id="rId1176" Type="http://schemas.openxmlformats.org/officeDocument/2006/relationships/hyperlink" Target="https://drive.google.com/open?id=1BoizWdDB6ed4Yz9TEoJqklEavoA8I9h2" TargetMode="External"/><Relationship Id="rId102" Type="http://schemas.openxmlformats.org/officeDocument/2006/relationships/hyperlink" Target="https://drive.google.com/open?id=1Q8r1mY4OGi1vN3XRKZaVPlDUdDRaNVv5" TargetMode="External"/><Relationship Id="rId344" Type="http://schemas.openxmlformats.org/officeDocument/2006/relationships/hyperlink" Target="https://drive.google.com/open?id=1mWVQ1kFfZHSEw7ijRQ55f1ncF5KkcDHB" TargetMode="External"/><Relationship Id="rId586" Type="http://schemas.openxmlformats.org/officeDocument/2006/relationships/hyperlink" Target="https://drive.google.com/open?id=1hzewtllKsfOqukrg2UPGK5kxC5Y2tS_o" TargetMode="External"/><Relationship Id="rId1177" Type="http://schemas.openxmlformats.org/officeDocument/2006/relationships/hyperlink" Target="https://drive.google.com/open?id=1EPgdI6JPanFpdJ5uOhFTBwDljRpT0q_k" TargetMode="External"/><Relationship Id="rId101" Type="http://schemas.openxmlformats.org/officeDocument/2006/relationships/hyperlink" Target="https://drive.google.com/open?id=1sD0hpjvoBXDZYXHmsBG76uTwgnCiveX2" TargetMode="External"/><Relationship Id="rId343" Type="http://schemas.openxmlformats.org/officeDocument/2006/relationships/hyperlink" Target="https://drive.google.com/open?id=1xK2pdMG5wb9sbsVRtsris_JpLwDvJpXA" TargetMode="External"/><Relationship Id="rId585" Type="http://schemas.openxmlformats.org/officeDocument/2006/relationships/hyperlink" Target="https://drive.google.com/open?id=1-YLzVG_ruNTKPmWe04sej9JIo1BfrppA" TargetMode="External"/><Relationship Id="rId1178" Type="http://schemas.openxmlformats.org/officeDocument/2006/relationships/hyperlink" Target="https://drive.google.com/open?id=1Sj8y3T-uwDyjBVyTZwaRSdGqu_hAlkgl" TargetMode="External"/><Relationship Id="rId100" Type="http://schemas.openxmlformats.org/officeDocument/2006/relationships/hyperlink" Target="https://drive.google.com/open?id=1VkbtmoRKuHx_x6VoD7wvUvHe2qzxWulZ" TargetMode="External"/><Relationship Id="rId342" Type="http://schemas.openxmlformats.org/officeDocument/2006/relationships/hyperlink" Target="https://drive.google.com/open?id=1Qo8W-7qumF0eSaLqwU_4IgWEfJ9Zx5LZ" TargetMode="External"/><Relationship Id="rId584" Type="http://schemas.openxmlformats.org/officeDocument/2006/relationships/hyperlink" Target="https://drive.google.com/open?id=1HBWjKVQoK7jE0CqrV68z4C7hHAjETlzI" TargetMode="External"/><Relationship Id="rId1179" Type="http://schemas.openxmlformats.org/officeDocument/2006/relationships/hyperlink" Target="https://drive.google.com/open?id=1KXD2kPZA2X5qnuMMIWfZkinOFZLsxEk0" TargetMode="External"/><Relationship Id="rId1169" Type="http://schemas.openxmlformats.org/officeDocument/2006/relationships/hyperlink" Target="https://drive.google.com/open?id=1X6ooIAeEh5MgvM0sMLiTf9bXEpqOo4Fh" TargetMode="External"/><Relationship Id="rId338" Type="http://schemas.openxmlformats.org/officeDocument/2006/relationships/hyperlink" Target="https://drive.google.com/open?id=1UjWAJmpCo9RgVGd2hP_XqukvCJaLTQka" TargetMode="External"/><Relationship Id="rId337" Type="http://schemas.openxmlformats.org/officeDocument/2006/relationships/hyperlink" Target="https://drive.google.com/open?id=1jpdU5xvfyzONBWcYrJ7f4VhTNJsNkLIz" TargetMode="External"/><Relationship Id="rId579" Type="http://schemas.openxmlformats.org/officeDocument/2006/relationships/hyperlink" Target="https://drive.google.com/open?id=1YDYVbE28kmw658S1x8XIZmWqfjUpOQHr" TargetMode="External"/><Relationship Id="rId336" Type="http://schemas.openxmlformats.org/officeDocument/2006/relationships/hyperlink" Target="https://drive.google.com/open?id=1Bld_IDtCUwyQlJPSC2McoKf-bR1dCGE9" TargetMode="External"/><Relationship Id="rId578" Type="http://schemas.openxmlformats.org/officeDocument/2006/relationships/hyperlink" Target="https://drive.google.com/open?id=1LvN7HmVwDvTuNOPBUNyFjKubq94HTSHZ" TargetMode="External"/><Relationship Id="rId335" Type="http://schemas.openxmlformats.org/officeDocument/2006/relationships/hyperlink" Target="https://drive.google.com/open?id=1WI5vLCQK1r5Mn01yJfUfAWKGBSCA-urO" TargetMode="External"/><Relationship Id="rId577" Type="http://schemas.openxmlformats.org/officeDocument/2006/relationships/hyperlink" Target="https://drive.google.com/open?id=1Fz0ucbet9pCIzZytXewMCbwQcrWCjaIs" TargetMode="External"/><Relationship Id="rId339" Type="http://schemas.openxmlformats.org/officeDocument/2006/relationships/hyperlink" Target="https://drive.google.com/open?id=1n6_LK-XExxokeY5R157brhnv04pvjsob" TargetMode="External"/><Relationship Id="rId1160" Type="http://schemas.openxmlformats.org/officeDocument/2006/relationships/hyperlink" Target="https://drive.google.com/open?id=1TUfuEDHk705NOtNk9YU9eVXPKeysJ36r" TargetMode="External"/><Relationship Id="rId330" Type="http://schemas.openxmlformats.org/officeDocument/2006/relationships/hyperlink" Target="https://drive.google.com/open?id=1ZyZvfCxCln5j--uBznvHFg0mUKshyrlH" TargetMode="External"/><Relationship Id="rId572" Type="http://schemas.openxmlformats.org/officeDocument/2006/relationships/hyperlink" Target="https://drive.google.com/open?id=1NdaZdj5bBZbJ2yWEp5eI8RJHEXxCAExR" TargetMode="External"/><Relationship Id="rId1161" Type="http://schemas.openxmlformats.org/officeDocument/2006/relationships/hyperlink" Target="https://drive.google.com/open?id=199ErTQu1fWFuc9xzjredrCZrtQVtTIRX" TargetMode="External"/><Relationship Id="rId571" Type="http://schemas.openxmlformats.org/officeDocument/2006/relationships/hyperlink" Target="https://drive.google.com/open?id=1LAonl7Ss_zIjAuZG5zN7IziQg0Fo7RG0" TargetMode="External"/><Relationship Id="rId1162" Type="http://schemas.openxmlformats.org/officeDocument/2006/relationships/hyperlink" Target="https://drive.google.com/open?id=1s2RlGNytu_BuRaI3UD6ePm-dvbT9kmiU" TargetMode="External"/><Relationship Id="rId570" Type="http://schemas.openxmlformats.org/officeDocument/2006/relationships/hyperlink" Target="https://drive.google.com/open?id=1B4Lq_61jZ_c93N0vxrOaHaWzJlXymyjh" TargetMode="External"/><Relationship Id="rId1163" Type="http://schemas.openxmlformats.org/officeDocument/2006/relationships/hyperlink" Target="https://drive.google.com/open?id=1iIM_FeVONNv74TYGlmcFnNfATcfpVqWC" TargetMode="External"/><Relationship Id="rId1164" Type="http://schemas.openxmlformats.org/officeDocument/2006/relationships/hyperlink" Target="https://drive.google.com/open?id=1xtraBZjdlq_WYNJN8H1eoBwQGs3YOI82" TargetMode="External"/><Relationship Id="rId334" Type="http://schemas.openxmlformats.org/officeDocument/2006/relationships/hyperlink" Target="https://drive.google.com/open?id=1jPo9Fgose9IPb34EDwrkXK9q8wJkk4UX" TargetMode="External"/><Relationship Id="rId576" Type="http://schemas.openxmlformats.org/officeDocument/2006/relationships/hyperlink" Target="https://drive.google.com/open?id=1ouYf474Uh1hzfrbDvEcR-Wqhvompfuj9" TargetMode="External"/><Relationship Id="rId1165" Type="http://schemas.openxmlformats.org/officeDocument/2006/relationships/hyperlink" Target="https://drive.google.com/open?id=145i-Ix-yiAnHgk4d2m329yGIRhQbOcth" TargetMode="External"/><Relationship Id="rId333" Type="http://schemas.openxmlformats.org/officeDocument/2006/relationships/hyperlink" Target="https://drive.google.com/open?id=1GD22A9LWhUXTzs-dlaA9HmPHQhfyBi_J" TargetMode="External"/><Relationship Id="rId575" Type="http://schemas.openxmlformats.org/officeDocument/2006/relationships/hyperlink" Target="https://drive.google.com/open?id=1weynkTrBVdWY2Y-gJehrckdGd9AJ8iz6" TargetMode="External"/><Relationship Id="rId1166" Type="http://schemas.openxmlformats.org/officeDocument/2006/relationships/hyperlink" Target="https://drive.google.com/open?id=1XYvwuRh26LZfVIC9VBpKxGQ0r0u8-uLq" TargetMode="External"/><Relationship Id="rId332" Type="http://schemas.openxmlformats.org/officeDocument/2006/relationships/hyperlink" Target="https://drive.google.com/open?id=1RjqIfNBh1CeINdtVOjTEwfuNne7kw5jk" TargetMode="External"/><Relationship Id="rId574" Type="http://schemas.openxmlformats.org/officeDocument/2006/relationships/hyperlink" Target="https://drive.google.com/open?id=1esu1ykZthDvAL3qrhyn39LmhcV7WY_kX" TargetMode="External"/><Relationship Id="rId1167" Type="http://schemas.openxmlformats.org/officeDocument/2006/relationships/hyperlink" Target="https://drive.google.com/open?id=1SPQizj7jxtLanLXCPF2VGNYqsdlTOmzc" TargetMode="External"/><Relationship Id="rId331" Type="http://schemas.openxmlformats.org/officeDocument/2006/relationships/hyperlink" Target="https://drive.google.com/open?id=17WsVvW0lC1D4xq2_GPl-KUkUAN8-Rb7M" TargetMode="External"/><Relationship Id="rId573" Type="http://schemas.openxmlformats.org/officeDocument/2006/relationships/hyperlink" Target="https://drive.google.com/open?id=1ahhQjHRgDocUArHUFqmZKZqDCIdxOGM8" TargetMode="External"/><Relationship Id="rId1168" Type="http://schemas.openxmlformats.org/officeDocument/2006/relationships/hyperlink" Target="https://drive.google.com/open?id=16SRQnbs9dBfsyU1H_cGKsc-_STn7mgbA" TargetMode="External"/><Relationship Id="rId370" Type="http://schemas.openxmlformats.org/officeDocument/2006/relationships/hyperlink" Target="https://drive.google.com/open?id=1nH97eiujGBeeHMa6teXdAd6BdtSGuylv" TargetMode="External"/><Relationship Id="rId129" Type="http://schemas.openxmlformats.org/officeDocument/2006/relationships/hyperlink" Target="https://drive.google.com/open?id=1bcOfjJcJ1rqA_z_IR3L_vY3U4oU58MKB" TargetMode="External"/><Relationship Id="rId128" Type="http://schemas.openxmlformats.org/officeDocument/2006/relationships/hyperlink" Target="https://drive.google.com/open?id=1UeAOZn35BEy5pP595bIpvFxSEaxzkW7Y" TargetMode="External"/><Relationship Id="rId127" Type="http://schemas.openxmlformats.org/officeDocument/2006/relationships/hyperlink" Target="https://drive.google.com/open?id=1BjRvI1PdSd5FVExIbEKjhCVrbpDFKAQE" TargetMode="External"/><Relationship Id="rId369" Type="http://schemas.openxmlformats.org/officeDocument/2006/relationships/hyperlink" Target="https://drive.google.com/open?id=1k2Zy4yyVDpbv_GzwByc3H6sKNBLvzOX-" TargetMode="External"/><Relationship Id="rId126" Type="http://schemas.openxmlformats.org/officeDocument/2006/relationships/hyperlink" Target="https://drive.google.com/open?id=1gAvcA-kA1Hf2sJCTr6cctd1NK5bU_pfP" TargetMode="External"/><Relationship Id="rId368" Type="http://schemas.openxmlformats.org/officeDocument/2006/relationships/hyperlink" Target="https://drive.google.com/open?id=11Ug7wCrug_-5fLyi72rh5j4xRtCQZz7S" TargetMode="External"/><Relationship Id="rId1190" Type="http://schemas.openxmlformats.org/officeDocument/2006/relationships/hyperlink" Target="https://drive.google.com/open?id=19sEILeTZzb5KijYV8Fhruw8s_1NmD0sg" TargetMode="External"/><Relationship Id="rId1191" Type="http://schemas.openxmlformats.org/officeDocument/2006/relationships/hyperlink" Target="https://drive.google.com/open?id=17WfHnkIqZVz6KGA15lJonQ85nscAy2Is" TargetMode="External"/><Relationship Id="rId1192" Type="http://schemas.openxmlformats.org/officeDocument/2006/relationships/hyperlink" Target="https://drive.google.com/open?id=1ka8sAa--E7jXaVdQAnSa8i86N4t0ZRT_" TargetMode="External"/><Relationship Id="rId1193" Type="http://schemas.openxmlformats.org/officeDocument/2006/relationships/hyperlink" Target="https://drive.google.com/open?id=1H6nrH3U1WdomE-qzXlpPtZrS-OgL1u3y" TargetMode="External"/><Relationship Id="rId121" Type="http://schemas.openxmlformats.org/officeDocument/2006/relationships/hyperlink" Target="https://drive.google.com/open?id=1Q4SS9LMaqqNC9bsTc6zkrhy1BsxjqmyH" TargetMode="External"/><Relationship Id="rId363" Type="http://schemas.openxmlformats.org/officeDocument/2006/relationships/hyperlink" Target="https://drive.google.com/open?id=1uYMjMoLu7eJCNZlRLVSVDyrHLOOKrm7d" TargetMode="External"/><Relationship Id="rId1194" Type="http://schemas.openxmlformats.org/officeDocument/2006/relationships/hyperlink" Target="https://drive.google.com/open?id=1BIferD9J_-kwwXxgtSxmdYvZ8LuGTCUx" TargetMode="External"/><Relationship Id="rId120" Type="http://schemas.openxmlformats.org/officeDocument/2006/relationships/hyperlink" Target="https://drive.google.com/open?id=13nbgNmNZAjJnslF6XRRUizt6YqfyvoFt" TargetMode="External"/><Relationship Id="rId362" Type="http://schemas.openxmlformats.org/officeDocument/2006/relationships/hyperlink" Target="https://drive.google.com/open?id=1XLCb-fpzOmCoNTd4i0-kLMkVC_feKmxa" TargetMode="External"/><Relationship Id="rId1195" Type="http://schemas.openxmlformats.org/officeDocument/2006/relationships/hyperlink" Target="https://drive.google.com/open?id=1mz30i3UYButpdhkHMiC7isO0I_q8cXix" TargetMode="External"/><Relationship Id="rId361" Type="http://schemas.openxmlformats.org/officeDocument/2006/relationships/hyperlink" Target="https://drive.google.com/open?id=1_gxEmYJu79AQWxiF9hfjkGzVpuJ4IcPO" TargetMode="External"/><Relationship Id="rId1196" Type="http://schemas.openxmlformats.org/officeDocument/2006/relationships/hyperlink" Target="https://drive.google.com/open?id=1C1DgZiEGwT6hUMaJT4M9Eqx7bvN2Wgrk" TargetMode="External"/><Relationship Id="rId360" Type="http://schemas.openxmlformats.org/officeDocument/2006/relationships/hyperlink" Target="https://drive.google.com/open?id=13o8li6z9Lv1eekScnodE09racX9Y8CLR" TargetMode="External"/><Relationship Id="rId1197" Type="http://schemas.openxmlformats.org/officeDocument/2006/relationships/hyperlink" Target="https://drive.google.com/open?id=19fc1xVtceCCBDylW7Rv3-UmiGsX9T_kH" TargetMode="External"/><Relationship Id="rId125" Type="http://schemas.openxmlformats.org/officeDocument/2006/relationships/hyperlink" Target="https://drive.google.com/open?id=1kKTaUnuixWZE8jGPha3NahRndQT6p2Bk" TargetMode="External"/><Relationship Id="rId367" Type="http://schemas.openxmlformats.org/officeDocument/2006/relationships/hyperlink" Target="https://drive.google.com/open?id=1HPg-fxdADyJzVSk6bbPjDRLfJ1_YSoy1" TargetMode="External"/><Relationship Id="rId1198" Type="http://schemas.openxmlformats.org/officeDocument/2006/relationships/hyperlink" Target="https://drive.google.com/file/d/1idlxTbhVOH2PYsu_Qu6xggdMA9I7HDnl/view?usp=drive_link" TargetMode="External"/><Relationship Id="rId124" Type="http://schemas.openxmlformats.org/officeDocument/2006/relationships/hyperlink" Target="https://drive.google.com/open?id=1HmAKCBk05PDeOZpzpQf-HSeIviSNtU7j" TargetMode="External"/><Relationship Id="rId366" Type="http://schemas.openxmlformats.org/officeDocument/2006/relationships/hyperlink" Target="https://drive.google.com/open?id=1zjE3KrzdbSR_z1C6Cx_b7waHjQcF5yZb" TargetMode="External"/><Relationship Id="rId1199" Type="http://schemas.openxmlformats.org/officeDocument/2006/relationships/hyperlink" Target="https://drive.google.com/open?id=1-V_rAs2k2TMpKdc11sJPw78KboDJdJ6O" TargetMode="External"/><Relationship Id="rId123" Type="http://schemas.openxmlformats.org/officeDocument/2006/relationships/hyperlink" Target="https://drive.google.com/open?id=1pLDNfadBTvpEySYyi0sq8oSWJUezq_-1" TargetMode="External"/><Relationship Id="rId365" Type="http://schemas.openxmlformats.org/officeDocument/2006/relationships/hyperlink" Target="https://drive.google.com/open?id=1CnyF9RdlTsJ4JpURGz3L9jZq4JUb0gJ9" TargetMode="External"/><Relationship Id="rId122" Type="http://schemas.openxmlformats.org/officeDocument/2006/relationships/hyperlink" Target="https://drive.google.com/open?id=1YYIY1HQu7CPeZNNeq32z_XX53G9DmIPq" TargetMode="External"/><Relationship Id="rId364" Type="http://schemas.openxmlformats.org/officeDocument/2006/relationships/hyperlink" Target="https://drive.google.com/open?id=1miWiDbYQnlhYq2TYqdKU7glKgx_APIn2" TargetMode="External"/><Relationship Id="rId95" Type="http://schemas.openxmlformats.org/officeDocument/2006/relationships/hyperlink" Target="https://drive.google.com/open?id=1AnkmZeeNFxYh3KJ-iXmc-TeysuTSS74y" TargetMode="External"/><Relationship Id="rId94" Type="http://schemas.openxmlformats.org/officeDocument/2006/relationships/hyperlink" Target="https://drive.google.com/open?id=1IF0hpL4hE4msbeUIC9CzXRpNZYKuFZov" TargetMode="External"/><Relationship Id="rId97" Type="http://schemas.openxmlformats.org/officeDocument/2006/relationships/hyperlink" Target="https://drive.google.com/open?id=1nOrFDFX0ECaJ3B4pJc-zVMM08bFAmrNd" TargetMode="External"/><Relationship Id="rId96" Type="http://schemas.openxmlformats.org/officeDocument/2006/relationships/hyperlink" Target="https://drive.google.com/open?id=1U4cs7QX9XT6TBau0UX1OHsAgEXmT4Hi7" TargetMode="External"/><Relationship Id="rId99" Type="http://schemas.openxmlformats.org/officeDocument/2006/relationships/hyperlink" Target="https://drive.google.com/open?id=1rZPgfL-n8qbNReMfrLh88WaTZrnxtXpy" TargetMode="External"/><Relationship Id="rId98" Type="http://schemas.openxmlformats.org/officeDocument/2006/relationships/hyperlink" Target="https://drive.google.com/open?id=1YWdhcNOdYO5YlBIGaQ5AHwEunrz_Aw9Q" TargetMode="External"/><Relationship Id="rId91" Type="http://schemas.openxmlformats.org/officeDocument/2006/relationships/hyperlink" Target="https://drive.google.com/open?id=1PQOeRvaZYILlt888BY6jYhhKjtjEBSHx" TargetMode="External"/><Relationship Id="rId90" Type="http://schemas.openxmlformats.org/officeDocument/2006/relationships/hyperlink" Target="https://drive.google.com/open?id=1B2xTPAtHwcZMGMn9ihvZKGr6DuAWccgb" TargetMode="External"/><Relationship Id="rId93" Type="http://schemas.openxmlformats.org/officeDocument/2006/relationships/hyperlink" Target="https://drive.google.com/open?id=176HZkSVZyrk50mDt5YIhUpqhJ7iJD1ch" TargetMode="External"/><Relationship Id="rId92" Type="http://schemas.openxmlformats.org/officeDocument/2006/relationships/hyperlink" Target="https://drive.google.com/open?id=1nAY21rV52-XfQmP8ZMgUw78KA-rl9zsi" TargetMode="External"/><Relationship Id="rId118" Type="http://schemas.openxmlformats.org/officeDocument/2006/relationships/hyperlink" Target="https://drive.google.com/open?id=14MFO8hiim9IqEaZKnGdv0CYman08-YU5" TargetMode="External"/><Relationship Id="rId117" Type="http://schemas.openxmlformats.org/officeDocument/2006/relationships/hyperlink" Target="https://drive.google.com/open?id=18geZxzFoCRkfa2VF1THh7LKJRgn2eQ87" TargetMode="External"/><Relationship Id="rId359" Type="http://schemas.openxmlformats.org/officeDocument/2006/relationships/hyperlink" Target="https://drive.google.com/open?id=1uUIzKapQdCufoyAjwHNwB8NuhMc8aHTA" TargetMode="External"/><Relationship Id="rId116" Type="http://schemas.openxmlformats.org/officeDocument/2006/relationships/hyperlink" Target="https://drive.google.com/open?id=1R39GHkipONP0TJ15WsxscBRWTl5vchoO" TargetMode="External"/><Relationship Id="rId358" Type="http://schemas.openxmlformats.org/officeDocument/2006/relationships/hyperlink" Target="https://drive.google.com/open?id=1xNw8Yk6hhh-FRLpIEAo2cQ8RaLXcWGNJ" TargetMode="External"/><Relationship Id="rId115" Type="http://schemas.openxmlformats.org/officeDocument/2006/relationships/hyperlink" Target="https://drive.google.com/open?id=1N3FML6AKuFiNMOLTCwwsdHmr_-I4CF38" TargetMode="External"/><Relationship Id="rId357" Type="http://schemas.openxmlformats.org/officeDocument/2006/relationships/hyperlink" Target="https://drive.google.com/open?id=1CYKF5WRY6qLQcENpDGzQxu2JJMqdh_0T" TargetMode="External"/><Relationship Id="rId599" Type="http://schemas.openxmlformats.org/officeDocument/2006/relationships/hyperlink" Target="https://drive.google.com/open?id=1o-9nrY1_J3VxeB9xC7MS0ul-kU6JlR5g" TargetMode="External"/><Relationship Id="rId1180" Type="http://schemas.openxmlformats.org/officeDocument/2006/relationships/hyperlink" Target="https://drive.google.com/open?id=1EVf6wzahny6oJY_aHT_iHrJzQ0Ws-5H3" TargetMode="External"/><Relationship Id="rId1181" Type="http://schemas.openxmlformats.org/officeDocument/2006/relationships/hyperlink" Target="https://drive.google.com/open?id=19WsU144hjcMqUTXejfJJom9sgZfRp-Xg" TargetMode="External"/><Relationship Id="rId119" Type="http://schemas.openxmlformats.org/officeDocument/2006/relationships/hyperlink" Target="https://drive.google.com/open?id=1aG_lPdlkD2AJrteY90cHiQBE_tMKe1n3" TargetMode="External"/><Relationship Id="rId1182" Type="http://schemas.openxmlformats.org/officeDocument/2006/relationships/hyperlink" Target="https://drive.google.com/open?id=1J2ZusZtgacxd6XtnYnPLdYWxslJI238R" TargetMode="External"/><Relationship Id="rId110" Type="http://schemas.openxmlformats.org/officeDocument/2006/relationships/hyperlink" Target="https://drive.google.com/file/d/1OOULq03OADBmQwn7vae42nITrSABHYWA/view?usp=drive_link" TargetMode="External"/><Relationship Id="rId352" Type="http://schemas.openxmlformats.org/officeDocument/2006/relationships/hyperlink" Target="https://drive.google.com/open?id=1Sx56JWlqXnN_rDmo7FlIlzxA2JFQQvYK" TargetMode="External"/><Relationship Id="rId594" Type="http://schemas.openxmlformats.org/officeDocument/2006/relationships/hyperlink" Target="https://drive.google.com/open?id=1vWi6DND9G6_qE4L8H_U-YRiVogdcKbW6" TargetMode="External"/><Relationship Id="rId1183" Type="http://schemas.openxmlformats.org/officeDocument/2006/relationships/hyperlink" Target="https://drive.google.com/open?id=1jExpUkJLnVh_6qRanqCQi6HUkRlMglJm" TargetMode="External"/><Relationship Id="rId351" Type="http://schemas.openxmlformats.org/officeDocument/2006/relationships/hyperlink" Target="https://drive.google.com/open?id=1TjcN9mTneladIePIrNoZFTs5Tc3Rcls3" TargetMode="External"/><Relationship Id="rId593" Type="http://schemas.openxmlformats.org/officeDocument/2006/relationships/hyperlink" Target="https://drive.google.com/open?id=1kNhWJuJKX2VtBZZd29OGKzTPB7uWB3TB" TargetMode="External"/><Relationship Id="rId1184" Type="http://schemas.openxmlformats.org/officeDocument/2006/relationships/hyperlink" Target="https://drive.google.com/open?id=1WusFET-mteuteLSG7_sLPHbx6-1djx2m" TargetMode="External"/><Relationship Id="rId350" Type="http://schemas.openxmlformats.org/officeDocument/2006/relationships/hyperlink" Target="https://drive.google.com/open?id=14mEnx_pyiqNGAK6izg95pmJEcIRt8LDQ" TargetMode="External"/><Relationship Id="rId592" Type="http://schemas.openxmlformats.org/officeDocument/2006/relationships/hyperlink" Target="https://drive.google.com/open?id=17iaOCyJtPFbKqhEpGZENmDXWHXMlkMoG" TargetMode="External"/><Relationship Id="rId1185" Type="http://schemas.openxmlformats.org/officeDocument/2006/relationships/hyperlink" Target="https://drive.google.com/open?id=1dEdHtTNYeuUU7D0vbwPZtQXS0x6MBQAb" TargetMode="External"/><Relationship Id="rId591" Type="http://schemas.openxmlformats.org/officeDocument/2006/relationships/hyperlink" Target="https://drive.google.com/open?id=14_mfupTiwCyq7rKFlaIKyETFZmjXpvu0" TargetMode="External"/><Relationship Id="rId1186" Type="http://schemas.openxmlformats.org/officeDocument/2006/relationships/hyperlink" Target="https://drive.google.com/open?id=1ukFdoZtnnKaet31DIkdN3HC6fIxU00v3" TargetMode="External"/><Relationship Id="rId114" Type="http://schemas.openxmlformats.org/officeDocument/2006/relationships/hyperlink" Target="https://drive.google.com/open?id=1cgfqUDFBKjMELy30jAEWBRGL1I8aaUiQ" TargetMode="External"/><Relationship Id="rId356" Type="http://schemas.openxmlformats.org/officeDocument/2006/relationships/hyperlink" Target="https://drive.google.com/open?id=1fFgncUQglyLTntCU_VuryJlA-NYo7DsV" TargetMode="External"/><Relationship Id="rId598" Type="http://schemas.openxmlformats.org/officeDocument/2006/relationships/hyperlink" Target="https://drive.google.com/open?id=1tAh66Xqox6K6siRI3AABSS59McSXIwuw" TargetMode="External"/><Relationship Id="rId1187" Type="http://schemas.openxmlformats.org/officeDocument/2006/relationships/hyperlink" Target="https://drive.google.com/open?id=16opNfCyWSZ7eYagh8AfH-ZMP6sUGA2g9" TargetMode="External"/><Relationship Id="rId113" Type="http://schemas.openxmlformats.org/officeDocument/2006/relationships/hyperlink" Target="https://drive.google.com/open?id=1Vd6MVyZ15AQ9ajvvpaAiu0B0MwwygEuy" TargetMode="External"/><Relationship Id="rId355" Type="http://schemas.openxmlformats.org/officeDocument/2006/relationships/hyperlink" Target="https://drive.google.com/open?id=1NaBoTwNPxWAvJNhkP_SzWp1UAREFmDKY" TargetMode="External"/><Relationship Id="rId597" Type="http://schemas.openxmlformats.org/officeDocument/2006/relationships/hyperlink" Target="https://drive.google.com/open?id=1rodmpfrD799QmYvkot0IekWk297TQf8O" TargetMode="External"/><Relationship Id="rId1188" Type="http://schemas.openxmlformats.org/officeDocument/2006/relationships/hyperlink" Target="https://drive.google.com/open?id=1Ur2EEoMU1LZEMfkQmv1Up4RhpheYvWeE" TargetMode="External"/><Relationship Id="rId112" Type="http://schemas.openxmlformats.org/officeDocument/2006/relationships/hyperlink" Target="https://drive.google.com/open?id=1wG29YCpZkWChvNKgjNWYexf2CyuWZOqM" TargetMode="External"/><Relationship Id="rId354" Type="http://schemas.openxmlformats.org/officeDocument/2006/relationships/hyperlink" Target="https://drive.google.com/open?id=1nE4iBk7QpNF1l5lGKBkIVnIAN6TQ-E8Y" TargetMode="External"/><Relationship Id="rId596" Type="http://schemas.openxmlformats.org/officeDocument/2006/relationships/hyperlink" Target="https://drive.google.com/open?id=1_PgJULmuJ17BDT1txpjCuwtFT1TLTI8U" TargetMode="External"/><Relationship Id="rId1189" Type="http://schemas.openxmlformats.org/officeDocument/2006/relationships/hyperlink" Target="https://drive.google.com/open?id=16z5OyHIsNWmHF8sCFj9A7P_JQtNQNtw7" TargetMode="External"/><Relationship Id="rId111" Type="http://schemas.openxmlformats.org/officeDocument/2006/relationships/hyperlink" Target="https://drive.google.com/open?id=1KjtzrwJdWxQGysgO7dDNRIwi-LQgjRgj" TargetMode="External"/><Relationship Id="rId353" Type="http://schemas.openxmlformats.org/officeDocument/2006/relationships/hyperlink" Target="https://drive.google.com/open?id=1WEgKIYTZFLgYTLL-hdifPMuuEDmcrKw_" TargetMode="External"/><Relationship Id="rId595" Type="http://schemas.openxmlformats.org/officeDocument/2006/relationships/hyperlink" Target="https://drive.google.com/open?id=1lRmKUzk99-JKeOYCMXNyLNW9ir00P9jd" TargetMode="External"/><Relationship Id="rId1136" Type="http://schemas.openxmlformats.org/officeDocument/2006/relationships/hyperlink" Target="https://drive.google.com/open?id=1YvmmrzAHjoWCA2r-FEt261kt7pdvwcG1" TargetMode="External"/><Relationship Id="rId1137" Type="http://schemas.openxmlformats.org/officeDocument/2006/relationships/hyperlink" Target="https://drive.google.com/file/d/1B6iDBVXHfclK4kZ4Ja1_y_3Q9adEwU4Y/view?usp=drive_link" TargetMode="External"/><Relationship Id="rId1138" Type="http://schemas.openxmlformats.org/officeDocument/2006/relationships/hyperlink" Target="https://drive.google.com/file/d/1R0BO1xlOMqSmGQ1zLaGHMjYIht53K3TA/view?usp=drive_link" TargetMode="External"/><Relationship Id="rId1139" Type="http://schemas.openxmlformats.org/officeDocument/2006/relationships/hyperlink" Target="https://drive.google.com/open?id=16RGgBqzhBMNLMzchnfmHh4m5vZmzZ2cV" TargetMode="External"/><Relationship Id="rId305" Type="http://schemas.openxmlformats.org/officeDocument/2006/relationships/hyperlink" Target="https://drive.google.com/open?id=169lQ7OsRvC1BCMCvLU2XYl-Bgrs6OxkN" TargetMode="External"/><Relationship Id="rId547" Type="http://schemas.openxmlformats.org/officeDocument/2006/relationships/hyperlink" Target="https://drive.google.com/open?id=1w7gR53IHsvEBy30bwV3_8zRiCsjNAZPL" TargetMode="External"/><Relationship Id="rId789" Type="http://schemas.openxmlformats.org/officeDocument/2006/relationships/hyperlink" Target="https://drive.google.com/open?id=1tLiEQxG8HWowT-cLfJZ59X_kYkWVhJrq" TargetMode="External"/><Relationship Id="rId304" Type="http://schemas.openxmlformats.org/officeDocument/2006/relationships/hyperlink" Target="https://drive.google.com/open?id=1VoC4UT9ZmfZtPDI76VjIaQEYtbHpFzhQ" TargetMode="External"/><Relationship Id="rId546" Type="http://schemas.openxmlformats.org/officeDocument/2006/relationships/hyperlink" Target="https://drive.google.com/open?id=1X-mSm1Yzv_roHHyooxsBEQWqjuW5gVsa" TargetMode="External"/><Relationship Id="rId788" Type="http://schemas.openxmlformats.org/officeDocument/2006/relationships/hyperlink" Target="https://drive.google.com/open?id=1rYmgd0sapKC48_nzXVcY28tOMgt1yZbY" TargetMode="External"/><Relationship Id="rId303" Type="http://schemas.openxmlformats.org/officeDocument/2006/relationships/hyperlink" Target="https://drive.google.com/open?id=1jjJe_mAxvZl5JPAxoPZcir0TqH3mh637" TargetMode="External"/><Relationship Id="rId545" Type="http://schemas.openxmlformats.org/officeDocument/2006/relationships/hyperlink" Target="https://drive.google.com/open?id=1NkGoMPltbPbU9VIbu88GCSqR4sBeHKJ7" TargetMode="External"/><Relationship Id="rId787" Type="http://schemas.openxmlformats.org/officeDocument/2006/relationships/hyperlink" Target="https://drive.google.com/open?id=1Ff0qZSImizZY4wxjaGTKDBDB2cn7IiMp" TargetMode="External"/><Relationship Id="rId302" Type="http://schemas.openxmlformats.org/officeDocument/2006/relationships/hyperlink" Target="https://drive.google.com/file/d/1xnndrjTvK-aCJK2V3YkLeB-S-4wvzJ-K/view?usp=sharing" TargetMode="External"/><Relationship Id="rId544" Type="http://schemas.openxmlformats.org/officeDocument/2006/relationships/hyperlink" Target="https://drive.google.com/open?id=1ItZmACpKFuKweVLmqVfnP7k_h0FEw7qR" TargetMode="External"/><Relationship Id="rId786" Type="http://schemas.openxmlformats.org/officeDocument/2006/relationships/hyperlink" Target="https://drive.google.com/open?id=13R6DvWb-LTvYDSCBYNTOgSvd3IIuGe8k" TargetMode="External"/><Relationship Id="rId309" Type="http://schemas.openxmlformats.org/officeDocument/2006/relationships/hyperlink" Target="https://drive.google.com/open?id=1Ty3sHgkycx2xu8aL6BHuhUMOcnV5DUpR" TargetMode="External"/><Relationship Id="rId308" Type="http://schemas.openxmlformats.org/officeDocument/2006/relationships/hyperlink" Target="https://drive.google.com/open?id=1hksgj4QocrWB3udVFByWJ0g8YLCIN2N3" TargetMode="External"/><Relationship Id="rId307" Type="http://schemas.openxmlformats.org/officeDocument/2006/relationships/hyperlink" Target="https://drive.google.com/open?id=1H_awdPw9zznEkg9pJwr4C0w4LtDsxf-y" TargetMode="External"/><Relationship Id="rId549" Type="http://schemas.openxmlformats.org/officeDocument/2006/relationships/hyperlink" Target="https://drive.google.com/open?id=1Bf4-e-Yn_hoBbi334f-Q27_oc7iwmnWr" TargetMode="External"/><Relationship Id="rId306" Type="http://schemas.openxmlformats.org/officeDocument/2006/relationships/hyperlink" Target="https://drive.google.com/open?id=1r8QJykvHA7s_VKJr8kPOGLw7gxL-6cs5" TargetMode="External"/><Relationship Id="rId548" Type="http://schemas.openxmlformats.org/officeDocument/2006/relationships/hyperlink" Target="https://drive.google.com/open?id=1tLC1hSwXCz1Reo_IxfcuBdllgK1gtq97" TargetMode="External"/><Relationship Id="rId781" Type="http://schemas.openxmlformats.org/officeDocument/2006/relationships/hyperlink" Target="https://drive.google.com/open?id=1vD_pDtT167ixCPI8fzxYa2ERWBIpET1O" TargetMode="External"/><Relationship Id="rId780" Type="http://schemas.openxmlformats.org/officeDocument/2006/relationships/hyperlink" Target="https://drive.google.com/open?id=1NgGffKDwBfZBYffODnUVH_hwCUoeWp8q" TargetMode="External"/><Relationship Id="rId1130" Type="http://schemas.openxmlformats.org/officeDocument/2006/relationships/hyperlink" Target="https://drive.google.com/file/d/1LBlDxrdCVi_H7uCjecLKgnNNAjNcI-kg/view?usp=drive_link" TargetMode="External"/><Relationship Id="rId1131" Type="http://schemas.openxmlformats.org/officeDocument/2006/relationships/hyperlink" Target="https://drive.google.com/open?id=1jVS6FHhHzctc3kz0sNoBHtHQnmgp7LUg" TargetMode="External"/><Relationship Id="rId301" Type="http://schemas.openxmlformats.org/officeDocument/2006/relationships/hyperlink" Target="https://drive.google.com/file/d/17KzOkC3YJ7qDdUTVT7DykL-2-q32knDW/view?usp=sharing" TargetMode="External"/><Relationship Id="rId543" Type="http://schemas.openxmlformats.org/officeDocument/2006/relationships/hyperlink" Target="https://drive.google.com/open?id=1oogtubalQsU7dlZoIV1ogArVgOR2tP-z" TargetMode="External"/><Relationship Id="rId785" Type="http://schemas.openxmlformats.org/officeDocument/2006/relationships/hyperlink" Target="https://drive.google.com/open?id=18CQ_tAVrlomKWEqxMCT4GPXtVxBLlUJB" TargetMode="External"/><Relationship Id="rId1132" Type="http://schemas.openxmlformats.org/officeDocument/2006/relationships/hyperlink" Target="https://drive.google.com/open?id=1p_0RVBiU53rS_MQQrzLqTt7g7cA3e0oH" TargetMode="External"/><Relationship Id="rId300" Type="http://schemas.openxmlformats.org/officeDocument/2006/relationships/hyperlink" Target="https://drive.google.com/open?id=13ZWxT3T2XCJDDjT5nLlb17azWQeqv0c3" TargetMode="External"/><Relationship Id="rId542" Type="http://schemas.openxmlformats.org/officeDocument/2006/relationships/hyperlink" Target="https://drive.google.com/open?id=1542K-n3WZe7OO53ZQGaSvc9VzUrezT3f" TargetMode="External"/><Relationship Id="rId784" Type="http://schemas.openxmlformats.org/officeDocument/2006/relationships/hyperlink" Target="https://drive.google.com/open?id=1QCg6HHy2xV7Hs7EyphyRMiJz53qtAjI-" TargetMode="External"/><Relationship Id="rId1133" Type="http://schemas.openxmlformats.org/officeDocument/2006/relationships/hyperlink" Target="https://drive.google.com/open?id=1ur7G3AUkNdnrOZFzwEYR3N_uPWwlF6xE" TargetMode="External"/><Relationship Id="rId541" Type="http://schemas.openxmlformats.org/officeDocument/2006/relationships/hyperlink" Target="https://drive.google.com/open?id=1lcTbEuu-XsOQ-2mujiVeRQXdweOkzDSN" TargetMode="External"/><Relationship Id="rId783" Type="http://schemas.openxmlformats.org/officeDocument/2006/relationships/hyperlink" Target="https://drive.google.com/open?id=1mLfZz0lXPjtaKBOxQKHg-Aodsvnd3Hg2" TargetMode="External"/><Relationship Id="rId1134" Type="http://schemas.openxmlformats.org/officeDocument/2006/relationships/hyperlink" Target="https://drive.google.com/open?id=1V_LSOBJeZ_fdGDkudEpfCD5-vYwOxY7y" TargetMode="External"/><Relationship Id="rId540" Type="http://schemas.openxmlformats.org/officeDocument/2006/relationships/hyperlink" Target="https://drive.google.com/open?id=1MQSCEhwaFBexRgJmSzUgZHYWKoY7MO2a" TargetMode="External"/><Relationship Id="rId782" Type="http://schemas.openxmlformats.org/officeDocument/2006/relationships/hyperlink" Target="https://drive.google.com/open?id=1V3wp-UNHrzfwZB57fM3-PdH7Uwsqsnru" TargetMode="External"/><Relationship Id="rId1135" Type="http://schemas.openxmlformats.org/officeDocument/2006/relationships/hyperlink" Target="https://drive.google.com/open?id=1RxUAjGmtSdWchOXttpcYhs3jBGKT23bu" TargetMode="External"/><Relationship Id="rId1125" Type="http://schemas.openxmlformats.org/officeDocument/2006/relationships/hyperlink" Target="https://drive.google.com/open?id=1JTTSgo_uATpl1ZaA3YVnGc1GKUlcbsam" TargetMode="External"/><Relationship Id="rId1126" Type="http://schemas.openxmlformats.org/officeDocument/2006/relationships/hyperlink" Target="https://drive.google.com/open?id=1oIrik32h80TOYgO1-38ex_xiRN84cj6G" TargetMode="External"/><Relationship Id="rId1127" Type="http://schemas.openxmlformats.org/officeDocument/2006/relationships/hyperlink" Target="https://drive.google.com/open?id=1PbDMYc8teiwDqab_qE-ULfvZoGAdbVBg" TargetMode="External"/><Relationship Id="rId1128" Type="http://schemas.openxmlformats.org/officeDocument/2006/relationships/hyperlink" Target="https://drive.google.com/open?id=1Xpy9ahnNry9iYtN39fHlgrM10sX9OfvD" TargetMode="External"/><Relationship Id="rId1129" Type="http://schemas.openxmlformats.org/officeDocument/2006/relationships/hyperlink" Target="https://drive.google.com/open?id=1x-qqBRvSJOJtXL66juGwfougZOwJDqD7" TargetMode="External"/><Relationship Id="rId536" Type="http://schemas.openxmlformats.org/officeDocument/2006/relationships/hyperlink" Target="https://drive.google.com/open?id=1WHQP4YTUVekjeDgJT38zCUJYSO51GiUe" TargetMode="External"/><Relationship Id="rId778" Type="http://schemas.openxmlformats.org/officeDocument/2006/relationships/hyperlink" Target="https://drive.google.com/open?id=1Q-5HDO_cbndN4lTHR89xMHFb9DLnzUWR" TargetMode="External"/><Relationship Id="rId535" Type="http://schemas.openxmlformats.org/officeDocument/2006/relationships/hyperlink" Target="https://drive.google.com/open?id=1SaDy5lcAm6bd-8OPJ_A20ZUSPXKWyimE" TargetMode="External"/><Relationship Id="rId777" Type="http://schemas.openxmlformats.org/officeDocument/2006/relationships/hyperlink" Target="https://drive.google.com/open?id=1xFVhtLoXOC3uAFfIdSVUWAMGapX_JAwE" TargetMode="External"/><Relationship Id="rId534" Type="http://schemas.openxmlformats.org/officeDocument/2006/relationships/hyperlink" Target="https://drive.google.com/file/d/1khDkS4QC6Pe4TqxcO_YSKt8d9HzTOHXs/view?usp=sharing" TargetMode="External"/><Relationship Id="rId776" Type="http://schemas.openxmlformats.org/officeDocument/2006/relationships/hyperlink" Target="https://drive.google.com/open?id=1MhSOXS9xMVJZKUPOoL44uToAaFM1A4RB" TargetMode="External"/><Relationship Id="rId533" Type="http://schemas.openxmlformats.org/officeDocument/2006/relationships/hyperlink" Target="https://drive.google.com/open?id=1XApVq7Yi8RAASPph-DoI6pz0Gg-u8YR-" TargetMode="External"/><Relationship Id="rId775" Type="http://schemas.openxmlformats.org/officeDocument/2006/relationships/hyperlink" Target="https://drive.google.com/open?id=1AxtL0VVX29TEnC2UQkHp2nrMeXiuC1wd" TargetMode="External"/><Relationship Id="rId539" Type="http://schemas.openxmlformats.org/officeDocument/2006/relationships/hyperlink" Target="https://drive.google.com/open?id=11qXOiP6otxggXRTaTzdSbyFiRbX5xn1Q" TargetMode="External"/><Relationship Id="rId538" Type="http://schemas.openxmlformats.org/officeDocument/2006/relationships/hyperlink" Target="https://drive.google.com/open?id=17PScrfLWCy6sYiNxLWUDCyCdBLM6Mwxy" TargetMode="External"/><Relationship Id="rId537" Type="http://schemas.openxmlformats.org/officeDocument/2006/relationships/hyperlink" Target="https://drive.google.com/open?id=1h58z9A3b0wbNi4ImcIXT0QjTYZ1zvRim" TargetMode="External"/><Relationship Id="rId779" Type="http://schemas.openxmlformats.org/officeDocument/2006/relationships/hyperlink" Target="https://drive.google.com/open?id=1ZIct1WcYhE87jlo3YyRIhKkkFSaHu1Lu" TargetMode="External"/><Relationship Id="rId770" Type="http://schemas.openxmlformats.org/officeDocument/2006/relationships/hyperlink" Target="https://drive.google.com/open?id=1i9mjq6fHRshRZCnndVcrkoOAXoBvu1yh" TargetMode="External"/><Relationship Id="rId1120" Type="http://schemas.openxmlformats.org/officeDocument/2006/relationships/hyperlink" Target="https://drive.google.com/open?id=1FY6GDt92ayknXR_Eh-SbBNBLZZBn88Kx" TargetMode="External"/><Relationship Id="rId532" Type="http://schemas.openxmlformats.org/officeDocument/2006/relationships/hyperlink" Target="https://drive.google.com/open?id=1VJjj8iRiGrrVJCPkAzLvnjSD9CQKC48H" TargetMode="External"/><Relationship Id="rId774" Type="http://schemas.openxmlformats.org/officeDocument/2006/relationships/hyperlink" Target="https://drive.google.com/open?id=1Q3hvK_-H5BUwHx2tfYySAcXd0SsJPjAN" TargetMode="External"/><Relationship Id="rId1121" Type="http://schemas.openxmlformats.org/officeDocument/2006/relationships/hyperlink" Target="https://drive.google.com/open?id=1ZIlX4en9T4nALUztN0040LVjoPZc40-B" TargetMode="External"/><Relationship Id="rId531" Type="http://schemas.openxmlformats.org/officeDocument/2006/relationships/hyperlink" Target="https://drive.google.com/open?id=1CaQBRgFko8Vrq-6PQJiGMxurM395Szbx" TargetMode="External"/><Relationship Id="rId773" Type="http://schemas.openxmlformats.org/officeDocument/2006/relationships/hyperlink" Target="https://drive.google.com/open?id=1izC-5LejP7WTSmRZxTUBZiBFujYYCEIc" TargetMode="External"/><Relationship Id="rId1122" Type="http://schemas.openxmlformats.org/officeDocument/2006/relationships/hyperlink" Target="https://drive.google.com/open?id=1Cp-2nEtIzFFGKqIxPJQvGOXowwl_Z7bu" TargetMode="External"/><Relationship Id="rId530" Type="http://schemas.openxmlformats.org/officeDocument/2006/relationships/hyperlink" Target="https://drive.google.com/open?id=1STMBxE1PTozkoN9jOWjsJXM8KHvsTZQZ" TargetMode="External"/><Relationship Id="rId772" Type="http://schemas.openxmlformats.org/officeDocument/2006/relationships/hyperlink" Target="https://drive.google.com/open?id=1XneVz5XtFHE6HgjhziOGooCdOIVKRd4x" TargetMode="External"/><Relationship Id="rId1123" Type="http://schemas.openxmlformats.org/officeDocument/2006/relationships/hyperlink" Target="https://drive.google.com/open?id=15EUwebYKkY3v-i_rXJeIzgfZ6mwGrEXK" TargetMode="External"/><Relationship Id="rId771" Type="http://schemas.openxmlformats.org/officeDocument/2006/relationships/hyperlink" Target="https://drive.google.com/open?id=1Q0KEZ3FuGacZ-xWYepcKvwau6O93FIDJ" TargetMode="External"/><Relationship Id="rId1124" Type="http://schemas.openxmlformats.org/officeDocument/2006/relationships/hyperlink" Target="https://drive.google.com/open?id=1tnhz0Ct7zGQ3TxGG7ohJc0KTD5EXfNNv" TargetMode="External"/><Relationship Id="rId1158" Type="http://schemas.openxmlformats.org/officeDocument/2006/relationships/hyperlink" Target="https://drive.google.com/open?id=1RrdTRtQECP4z9OQpeYj1bJYRqRz_7T7T" TargetMode="External"/><Relationship Id="rId1159" Type="http://schemas.openxmlformats.org/officeDocument/2006/relationships/hyperlink" Target="https://drive.google.com/open?id=1KKmL4cJlVxxCnEKhiYKji4SjLbmXY_Qe" TargetMode="External"/><Relationship Id="rId327" Type="http://schemas.openxmlformats.org/officeDocument/2006/relationships/hyperlink" Target="https://drive.google.com/open?id=1ueqfpWigvvrGvNdNNt5VxIUsWCGxr7KN" TargetMode="External"/><Relationship Id="rId569" Type="http://schemas.openxmlformats.org/officeDocument/2006/relationships/hyperlink" Target="https://drive.google.com/open?id=1oV2qTp36fBK6pYsWGf9sVe8gu0yQpKsu" TargetMode="External"/><Relationship Id="rId326" Type="http://schemas.openxmlformats.org/officeDocument/2006/relationships/hyperlink" Target="https://drive.google.com/open?id=1iB0yCbKh9V4fBedekOqYdJTkNFqgsLuQ" TargetMode="External"/><Relationship Id="rId568" Type="http://schemas.openxmlformats.org/officeDocument/2006/relationships/hyperlink" Target="https://drive.google.com/open?id=1bd9xJOAviT2nPUNTvxJOdatfEwhWfRZL" TargetMode="External"/><Relationship Id="rId325" Type="http://schemas.openxmlformats.org/officeDocument/2006/relationships/hyperlink" Target="https://drive.google.com/open?id=1hr6Soq_WEJi6-FyAp7kO38ijuRyv3Pxx" TargetMode="External"/><Relationship Id="rId567" Type="http://schemas.openxmlformats.org/officeDocument/2006/relationships/hyperlink" Target="https://drive.google.com/open?id=1iA7fzouz417pdevo4UlU74pYHsAQHMCx" TargetMode="External"/><Relationship Id="rId324" Type="http://schemas.openxmlformats.org/officeDocument/2006/relationships/hyperlink" Target="https://drive.google.com/open?id=1eBKCokVgRuGYDqg6V6gdxdMfrQu6wTqj" TargetMode="External"/><Relationship Id="rId566" Type="http://schemas.openxmlformats.org/officeDocument/2006/relationships/hyperlink" Target="https://drive.google.com/open?id=1Z1g-jwYjIZKT50gf5Jip12d276C12nyd" TargetMode="External"/><Relationship Id="rId329" Type="http://schemas.openxmlformats.org/officeDocument/2006/relationships/hyperlink" Target="https://drive.google.com/open?id=1K7Fw_gzV-wPdEp1AEKJduscKYzWtcRlZ" TargetMode="External"/><Relationship Id="rId328" Type="http://schemas.openxmlformats.org/officeDocument/2006/relationships/hyperlink" Target="https://drive.google.com/open?id=14inJVTTs-ua6lQ3fD2Jmvd3bAwyMW800" TargetMode="External"/><Relationship Id="rId561" Type="http://schemas.openxmlformats.org/officeDocument/2006/relationships/hyperlink" Target="https://drive.google.com/open?id=1W7AnWVCIaistOlIOJ9W-BcX1vZZJ-zFW" TargetMode="External"/><Relationship Id="rId1150" Type="http://schemas.openxmlformats.org/officeDocument/2006/relationships/hyperlink" Target="https://drive.google.com/open?id=1_GFmfKlZqChoNr4o0hCPAaXmEuCamMnZ" TargetMode="External"/><Relationship Id="rId560" Type="http://schemas.openxmlformats.org/officeDocument/2006/relationships/hyperlink" Target="https://drive.google.com/open?id=1PmRM0Hp7ODp-HiAjKA2B_CMCXknbX505" TargetMode="External"/><Relationship Id="rId1151" Type="http://schemas.openxmlformats.org/officeDocument/2006/relationships/hyperlink" Target="https://drive.google.com/file/d/114BW4A8YcPMJ9AJ9pgQhZ_zygtPf1zT0/view?usp=drive_link" TargetMode="External"/><Relationship Id="rId1152" Type="http://schemas.openxmlformats.org/officeDocument/2006/relationships/hyperlink" Target="https://drive.google.com/open?id=12DqR8s7rQdVH8tYl9WOiW4M_Lkx9ofdQ" TargetMode="External"/><Relationship Id="rId1153" Type="http://schemas.openxmlformats.org/officeDocument/2006/relationships/hyperlink" Target="https://drive.google.com/open?id=10DCuhKOlX8lMFzs401ZClowoV2e_z1ZY" TargetMode="External"/><Relationship Id="rId323" Type="http://schemas.openxmlformats.org/officeDocument/2006/relationships/hyperlink" Target="https://drive.google.com/open?id=18A_Rrw4n-pxe-LpNh_kcNeSvaGNZKTp9" TargetMode="External"/><Relationship Id="rId565" Type="http://schemas.openxmlformats.org/officeDocument/2006/relationships/hyperlink" Target="https://drive.google.com/open?id=1CGMrpivhFuBosObOYVsmztqFEIImh0ZP" TargetMode="External"/><Relationship Id="rId1154" Type="http://schemas.openxmlformats.org/officeDocument/2006/relationships/hyperlink" Target="https://drive.google.com/open?id=1XLSWZFgoVv755WqT-6z2U_rNbOx9r2xj" TargetMode="External"/><Relationship Id="rId322" Type="http://schemas.openxmlformats.org/officeDocument/2006/relationships/hyperlink" Target="https://drive.google.com/open?id=1dKJwOx7CbMO34q_FKAkyVpBjnKvFQXZi" TargetMode="External"/><Relationship Id="rId564" Type="http://schemas.openxmlformats.org/officeDocument/2006/relationships/hyperlink" Target="https://drive.google.com/open?id=1QqzLwtK9R-gxHlma3nm7z0JjMaS_7arW" TargetMode="External"/><Relationship Id="rId1155" Type="http://schemas.openxmlformats.org/officeDocument/2006/relationships/hyperlink" Target="https://drive.google.com/file/d/133oQ8z1fxU-8dP_IvdYxpmyTsBQzn8Re/view?usp=drive_link" TargetMode="External"/><Relationship Id="rId321" Type="http://schemas.openxmlformats.org/officeDocument/2006/relationships/hyperlink" Target="https://drive.google.com/open?id=1ur8FWGCmspeLZOgHtgka3VfOLyuWmbuw" TargetMode="External"/><Relationship Id="rId563" Type="http://schemas.openxmlformats.org/officeDocument/2006/relationships/hyperlink" Target="https://drive.google.com/open?id=1EH8Rno9C-NygMGf4aoFjOEBgxsHyRvbz" TargetMode="External"/><Relationship Id="rId1156" Type="http://schemas.openxmlformats.org/officeDocument/2006/relationships/hyperlink" Target="https://drive.google.com/open?id=1E4coFNTzraeg1pdkKKtHcvyZDBULsRz2" TargetMode="External"/><Relationship Id="rId320" Type="http://schemas.openxmlformats.org/officeDocument/2006/relationships/hyperlink" Target="https://drive.google.com/open?id=15s7JlXhj8Q3FTQPlaGi701INPxP1Dngq" TargetMode="External"/><Relationship Id="rId562" Type="http://schemas.openxmlformats.org/officeDocument/2006/relationships/hyperlink" Target="https://drive.google.com/open?id=1nAnJVI59rc1gvUcdOQvLrognh9msnDq8" TargetMode="External"/><Relationship Id="rId1157" Type="http://schemas.openxmlformats.org/officeDocument/2006/relationships/hyperlink" Target="https://drive.google.com/open?id=19IUVk73DMgCmgCo35NmVp_lkfUypzc3u" TargetMode="External"/><Relationship Id="rId1147" Type="http://schemas.openxmlformats.org/officeDocument/2006/relationships/hyperlink" Target="https://drive.google.com/open?id=1kiZWwHSqt7Ja-etEkI50KTllh_B2wbmj" TargetMode="External"/><Relationship Id="rId1148" Type="http://schemas.openxmlformats.org/officeDocument/2006/relationships/hyperlink" Target="https://drive.google.com/open?id=1Zp-t6WFjmcXlP7NRgwxU4VTofucKjbLl" TargetMode="External"/><Relationship Id="rId1149" Type="http://schemas.openxmlformats.org/officeDocument/2006/relationships/hyperlink" Target="https://drive.google.com/open?id=1d04jcHdPJ2Liu6f-6wz9Zu_w8J6ZHzgK" TargetMode="External"/><Relationship Id="rId316" Type="http://schemas.openxmlformats.org/officeDocument/2006/relationships/hyperlink" Target="https://drive.google.com/open?id=1qgpTKBekgXJTDqN9tzA1hYtZOGJhIVFK" TargetMode="External"/><Relationship Id="rId558" Type="http://schemas.openxmlformats.org/officeDocument/2006/relationships/hyperlink" Target="https://drive.google.com/open?id=14kXAU_kq1GMYBXWxWPGmm7vU8iZlQT49" TargetMode="External"/><Relationship Id="rId315" Type="http://schemas.openxmlformats.org/officeDocument/2006/relationships/hyperlink" Target="https://drive.google.com/open?id=1BqXzbxVRL7RAEj8StbNN7A6FYYOpG5-m" TargetMode="External"/><Relationship Id="rId557" Type="http://schemas.openxmlformats.org/officeDocument/2006/relationships/hyperlink" Target="https://drive.google.com/open?id=1R0j0g3mmpKyjuqmLebqbLPWT8UxfWLUL" TargetMode="External"/><Relationship Id="rId799" Type="http://schemas.openxmlformats.org/officeDocument/2006/relationships/hyperlink" Target="https://drive.google.com/open?id=1ET_VSkTv4YcTLyt8XFElN2MowczT2o_B" TargetMode="External"/><Relationship Id="rId314" Type="http://schemas.openxmlformats.org/officeDocument/2006/relationships/hyperlink" Target="https://drive.google.com/open?id=1nGhOVTmCkHmCySNwDEJfWIn5NenUvnAp" TargetMode="External"/><Relationship Id="rId556" Type="http://schemas.openxmlformats.org/officeDocument/2006/relationships/hyperlink" Target="https://drive.google.com/open?id=1AlZCGOf2ABJ-x0hTnEOCl4jGp3hgWW9M" TargetMode="External"/><Relationship Id="rId798" Type="http://schemas.openxmlformats.org/officeDocument/2006/relationships/hyperlink" Target="https://drive.google.com/file/d/1VDF4OGz0LLwM8trztTChnkz6Q48zBBQn/view?usp=drive_link" TargetMode="External"/><Relationship Id="rId313" Type="http://schemas.openxmlformats.org/officeDocument/2006/relationships/hyperlink" Target="https://drive.google.com/open?id=1wDBD9d4x69JDlFyaoZpnUOgmvDyxnxE-" TargetMode="External"/><Relationship Id="rId555" Type="http://schemas.openxmlformats.org/officeDocument/2006/relationships/hyperlink" Target="https://drive.google.com/open?id=1OOrzBi0Y4uNcnShJk_0mq0UanMwOt7-H" TargetMode="External"/><Relationship Id="rId797" Type="http://schemas.openxmlformats.org/officeDocument/2006/relationships/hyperlink" Target="https://drive.google.com/file/d/19luiHoMIi1iRkVl8JFA_PdQLRAl6Sz9S/view?usp=drive_link" TargetMode="External"/><Relationship Id="rId319" Type="http://schemas.openxmlformats.org/officeDocument/2006/relationships/hyperlink" Target="https://drive.google.com/open?id=1Y9o6WCHjga1aHzc8FmEAiBCWhloMZySK" TargetMode="External"/><Relationship Id="rId318" Type="http://schemas.openxmlformats.org/officeDocument/2006/relationships/hyperlink" Target="https://drive.google.com/open?id=12qDw6sDi_pMHu6Daknb3eJtz0sT1qZ4Z" TargetMode="External"/><Relationship Id="rId317" Type="http://schemas.openxmlformats.org/officeDocument/2006/relationships/hyperlink" Target="https://drive.google.com/open?id=1BdicaPgqbXOGj6uw-ev3Y4s6VKhYsR2r" TargetMode="External"/><Relationship Id="rId559" Type="http://schemas.openxmlformats.org/officeDocument/2006/relationships/hyperlink" Target="https://drive.google.com/open?id=17Z8D6sOmqQLjp8v8v8iRQzp1X9LrvyPm" TargetMode="External"/><Relationship Id="rId550" Type="http://schemas.openxmlformats.org/officeDocument/2006/relationships/hyperlink" Target="https://drive.google.com/open?id=1Qd6E84zvwsJHC7Q8JZvencSNXxA9P5gL" TargetMode="External"/><Relationship Id="rId792" Type="http://schemas.openxmlformats.org/officeDocument/2006/relationships/hyperlink" Target="https://drive.google.com/open?id=1t984HtK_guWcZeKRnpb8iqKASRgbnGfk" TargetMode="External"/><Relationship Id="rId791" Type="http://schemas.openxmlformats.org/officeDocument/2006/relationships/hyperlink" Target="https://drive.google.com/open?id=1glf15fFUJ9lUB3oYHPJhcAIs3ZUABuUF" TargetMode="External"/><Relationship Id="rId1140" Type="http://schemas.openxmlformats.org/officeDocument/2006/relationships/hyperlink" Target="https://drive.google.com/file/d/1oT0cImZf1_OywQopwLvOcXEJT5FSpON6/view?usp=drive_link" TargetMode="External"/><Relationship Id="rId790" Type="http://schemas.openxmlformats.org/officeDocument/2006/relationships/hyperlink" Target="https://drive.google.com/open?id=1pO1zl0t1sXkvlYoVG_UpD5Ll_Y3nhcN_" TargetMode="External"/><Relationship Id="rId1141" Type="http://schemas.openxmlformats.org/officeDocument/2006/relationships/hyperlink" Target="https://drive.google.com/open?id=1lO9lMOApREQcUv65YSDtWMYhG8XnVI0x" TargetMode="External"/><Relationship Id="rId1142" Type="http://schemas.openxmlformats.org/officeDocument/2006/relationships/hyperlink" Target="https://drive.google.com/open?id=1vQMlqxPX2gStCNxeuS_OrR678ELDHI_v" TargetMode="External"/><Relationship Id="rId312" Type="http://schemas.openxmlformats.org/officeDocument/2006/relationships/hyperlink" Target="https://drive.google.com/open?id=1vYnsO4R2DAYT_0WlYOI4TGC3nljQRlYr" TargetMode="External"/><Relationship Id="rId554" Type="http://schemas.openxmlformats.org/officeDocument/2006/relationships/hyperlink" Target="https://drive.google.com/open?id=1Oy3yb9VRVSLpUjuAHL1Xd-G4TzY9JrhL" TargetMode="External"/><Relationship Id="rId796" Type="http://schemas.openxmlformats.org/officeDocument/2006/relationships/hyperlink" Target="https://drive.google.com/open?id=1MNabs416M2JSqk2PH-TswJXhEElTaAJj" TargetMode="External"/><Relationship Id="rId1143" Type="http://schemas.openxmlformats.org/officeDocument/2006/relationships/hyperlink" Target="https://drive.google.com/file/d/1Douae81TShvI4JuIKV0kSI5IKf8TzCVV/view?usp=drive_link" TargetMode="External"/><Relationship Id="rId311" Type="http://schemas.openxmlformats.org/officeDocument/2006/relationships/hyperlink" Target="https://drive.google.com/open?id=1T0PWiQu1yPJ0IqQNP2vAVoMlcWzpjON2" TargetMode="External"/><Relationship Id="rId553" Type="http://schemas.openxmlformats.org/officeDocument/2006/relationships/hyperlink" Target="https://drive.google.com/open?id=1Gi9w74SvJhR-w7JnJUR1xvvzRIHySmR6" TargetMode="External"/><Relationship Id="rId795" Type="http://schemas.openxmlformats.org/officeDocument/2006/relationships/hyperlink" Target="https://drive.google.com/open?id=1ORwtbvx5hUaHw5ltXD0a0cuDhXWSnlLK" TargetMode="External"/><Relationship Id="rId1144" Type="http://schemas.openxmlformats.org/officeDocument/2006/relationships/hyperlink" Target="https://drive.google.com/open?id=19OhTfI2od_QNtl4sI7uklaPksrrSYHau" TargetMode="External"/><Relationship Id="rId310" Type="http://schemas.openxmlformats.org/officeDocument/2006/relationships/hyperlink" Target="https://drive.google.com/open?id=1reoQ49n_3MCNCQBlCDwb09v5TdTPp3SI" TargetMode="External"/><Relationship Id="rId552" Type="http://schemas.openxmlformats.org/officeDocument/2006/relationships/hyperlink" Target="https://drive.google.com/open?id=1R10_4q42S5pyCQG450z5ohamfO0CnULY" TargetMode="External"/><Relationship Id="rId794" Type="http://schemas.openxmlformats.org/officeDocument/2006/relationships/hyperlink" Target="https://drive.google.com/open?id=1Sgpf8xDKbapEI2wgJw6fbjB8RgUJQ7IB" TargetMode="External"/><Relationship Id="rId1145" Type="http://schemas.openxmlformats.org/officeDocument/2006/relationships/hyperlink" Target="https://drive.google.com/open?id=16NOAjjnIhEepRKdVPYyV0xNLJq_ryRsu" TargetMode="External"/><Relationship Id="rId551" Type="http://schemas.openxmlformats.org/officeDocument/2006/relationships/hyperlink" Target="https://drive.google.com/open?id=1gzxiUQwrcIysGXHtHLYP7Ajq7MxHBaYJ" TargetMode="External"/><Relationship Id="rId793" Type="http://schemas.openxmlformats.org/officeDocument/2006/relationships/hyperlink" Target="https://drive.google.com/open?id=1OrMs1cxFAu2OhD9LmF1nMN7MX6rVfd5g" TargetMode="External"/><Relationship Id="rId1146" Type="http://schemas.openxmlformats.org/officeDocument/2006/relationships/hyperlink" Target="https://drive.google.com/open?id=1-jRAmCgBhCa0Of_AgULb4A0ZusOvd6fw" TargetMode="External"/><Relationship Id="rId297" Type="http://schemas.openxmlformats.org/officeDocument/2006/relationships/hyperlink" Target="https://drive.google.com/open?id=1twylK2pnxlAIYg9y4grlhYKeO1XawihA" TargetMode="External"/><Relationship Id="rId296" Type="http://schemas.openxmlformats.org/officeDocument/2006/relationships/hyperlink" Target="https://drive.google.com/open?id=1YVrdlw2GkZb-JoJPgVLelwWPLW5A_BzD" TargetMode="External"/><Relationship Id="rId295" Type="http://schemas.openxmlformats.org/officeDocument/2006/relationships/hyperlink" Target="https://drive.google.com/open?id=1GLzbff-eXsn9VzdYCxBf_vADZC9gaCdD" TargetMode="External"/><Relationship Id="rId294" Type="http://schemas.openxmlformats.org/officeDocument/2006/relationships/hyperlink" Target="https://drive.google.com/open?id=16GwmzVRw-adnS8j1_LVDt-UbPQ80wqdm" TargetMode="External"/><Relationship Id="rId299" Type="http://schemas.openxmlformats.org/officeDocument/2006/relationships/hyperlink" Target="https://drive.google.com/open?id=1oktqcfeKexYsw_rCtvQWP6GDLqzMVWCo" TargetMode="External"/><Relationship Id="rId298" Type="http://schemas.openxmlformats.org/officeDocument/2006/relationships/hyperlink" Target="https://drive.google.com/open?id=1cnpBYc_1Un7OFDUkgoA6uBhSUuYf0uUl" TargetMode="External"/><Relationship Id="rId271" Type="http://schemas.openxmlformats.org/officeDocument/2006/relationships/hyperlink" Target="https://drive.google.com/open?id=1tJSLscdYWEcal01YimyqQs3rHd9n-R-D" TargetMode="External"/><Relationship Id="rId270" Type="http://schemas.openxmlformats.org/officeDocument/2006/relationships/hyperlink" Target="https://drive.google.com/open?id=1HmAKCBk05PDeOZpzpQf-HSeIviSNtU7j" TargetMode="External"/><Relationship Id="rId269" Type="http://schemas.openxmlformats.org/officeDocument/2006/relationships/hyperlink" Target="https://drive.google.com/open?id=1pLDNfadBTvpEySYyi0sq8oSWJUezq_-1" TargetMode="External"/><Relationship Id="rId264" Type="http://schemas.openxmlformats.org/officeDocument/2006/relationships/hyperlink" Target="https://drive.google.com/open?id=1mCQQpvebEevHj4A5YAHxfRMVdHTE-elx" TargetMode="External"/><Relationship Id="rId263" Type="http://schemas.openxmlformats.org/officeDocument/2006/relationships/hyperlink" Target="https://drive.google.com/open?id=17Omk1xU_6g4J2WKpyLrIMEAljHH-zjUr" TargetMode="External"/><Relationship Id="rId262" Type="http://schemas.openxmlformats.org/officeDocument/2006/relationships/hyperlink" Target="https://drive.google.com/file/d/1Ger7GrAnAx-MUdWrlAXsCNeh4PkCIrBN/view?usp=sharing" TargetMode="External"/><Relationship Id="rId261" Type="http://schemas.openxmlformats.org/officeDocument/2006/relationships/hyperlink" Target="https://drive.google.com/open?id=1Iifkb2P8Y4nq8xg0NL-voX5LULJkekwP" TargetMode="External"/><Relationship Id="rId268" Type="http://schemas.openxmlformats.org/officeDocument/2006/relationships/hyperlink" Target="https://drive.google.com/open?id=1JbJ3KD3V9HyMJ3yCYYal9i3hgzANb85t" TargetMode="External"/><Relationship Id="rId267" Type="http://schemas.openxmlformats.org/officeDocument/2006/relationships/hyperlink" Target="https://drive.google.com/open?id=1LobgM7p3DcxAYwr9NHrCgNhDmEq-xSOw" TargetMode="External"/><Relationship Id="rId266" Type="http://schemas.openxmlformats.org/officeDocument/2006/relationships/hyperlink" Target="https://drive.google.com/open?id=11HYvcak8k2th0PgLWJblZ1beupJd7lcy" TargetMode="External"/><Relationship Id="rId265" Type="http://schemas.openxmlformats.org/officeDocument/2006/relationships/hyperlink" Target="https://drive.google.com/open?id=1fGIfxzg4OY0wGHPC8TcmoApCD-8pKoTU" TargetMode="External"/><Relationship Id="rId260" Type="http://schemas.openxmlformats.org/officeDocument/2006/relationships/hyperlink" Target="https://drive.google.com/open?id=188p23_zJQW4EfyXob-rUzkf2X0cgQK6S" TargetMode="External"/><Relationship Id="rId259" Type="http://schemas.openxmlformats.org/officeDocument/2006/relationships/hyperlink" Target="https://drive.google.com/open?id=1WcEoM3gnUhItmNY3n7QgZgx1z08TKb32" TargetMode="External"/><Relationship Id="rId258" Type="http://schemas.openxmlformats.org/officeDocument/2006/relationships/hyperlink" Target="https://drive.google.com/open?id=15mUkmgvLthZHhDrA5le5yJn6l8VooUTT" TargetMode="External"/><Relationship Id="rId253" Type="http://schemas.openxmlformats.org/officeDocument/2006/relationships/hyperlink" Target="https://drive.google.com/open?id=1_exkS--n8ZhIoNB46myakyF-OGZrqgp7" TargetMode="External"/><Relationship Id="rId495" Type="http://schemas.openxmlformats.org/officeDocument/2006/relationships/hyperlink" Target="https://drive.google.com/open?id=1YzS0YXmkTiMFzV_0khrLKEeR4CaRikk2" TargetMode="External"/><Relationship Id="rId252" Type="http://schemas.openxmlformats.org/officeDocument/2006/relationships/hyperlink" Target="https://drive.google.com/open?id=1I1iPGcbRX3NCl-CC61OkJk57GVDCXuDu" TargetMode="External"/><Relationship Id="rId494" Type="http://schemas.openxmlformats.org/officeDocument/2006/relationships/hyperlink" Target="https://drive.google.com/open?id=1TwEQPwo9Nu1ndCc1CuUmIixOOkNVnet-" TargetMode="External"/><Relationship Id="rId251" Type="http://schemas.openxmlformats.org/officeDocument/2006/relationships/hyperlink" Target="https://drive.google.com/open?id=1Sy86Xo9n3t_BsmM3QL_Ldxe8BX6yApw7" TargetMode="External"/><Relationship Id="rId493" Type="http://schemas.openxmlformats.org/officeDocument/2006/relationships/hyperlink" Target="https://drive.google.com/open?id=1ITl1B6vbXxtEzWKEYmxmNVTcqx-YiL_E" TargetMode="External"/><Relationship Id="rId250" Type="http://schemas.openxmlformats.org/officeDocument/2006/relationships/hyperlink" Target="https://drive.google.com/open?id=18V_uQoQbhgtJ9-sK2wZZcswokMK5WktS" TargetMode="External"/><Relationship Id="rId492" Type="http://schemas.openxmlformats.org/officeDocument/2006/relationships/hyperlink" Target="https://drive.google.com/open?id=1nbldnDpDrCTNd9sBvDng1Pmf2ms2Cwcc" TargetMode="External"/><Relationship Id="rId257" Type="http://schemas.openxmlformats.org/officeDocument/2006/relationships/hyperlink" Target="https://drive.google.com/open?id=1FfjSQOIkXUx0O8p9ieIoOiWa_j66chcf" TargetMode="External"/><Relationship Id="rId499" Type="http://schemas.openxmlformats.org/officeDocument/2006/relationships/hyperlink" Target="https://drive.google.com/open?id=1wfkQ027_VqDmReXuxHoVsXEifFMLCxKe" TargetMode="External"/><Relationship Id="rId256" Type="http://schemas.openxmlformats.org/officeDocument/2006/relationships/hyperlink" Target="https://drive.google.com/open?id=1CR9Cq3iFEcntYoD27a0mRFPWDXyKKLPx" TargetMode="External"/><Relationship Id="rId498" Type="http://schemas.openxmlformats.org/officeDocument/2006/relationships/hyperlink" Target="https://drive.google.com/open?id=1whPLSLkf-5HRdvL0P6izji8T96K2wXku" TargetMode="External"/><Relationship Id="rId255" Type="http://schemas.openxmlformats.org/officeDocument/2006/relationships/hyperlink" Target="https://drive.google.com/open?id=1Lp4eQFMThD8BfFHJer1TpQcl4qR16lMS" TargetMode="External"/><Relationship Id="rId497" Type="http://schemas.openxmlformats.org/officeDocument/2006/relationships/hyperlink" Target="https://drive.google.com/open?id=1dWLKlLGibOenkhX3xu8bpHA7SagKve64" TargetMode="External"/><Relationship Id="rId254" Type="http://schemas.openxmlformats.org/officeDocument/2006/relationships/hyperlink" Target="https://drive.google.com/open?id=14zvqgcYwTk3ptMaZpEX4c8i_IQ66A73R" TargetMode="External"/><Relationship Id="rId496" Type="http://schemas.openxmlformats.org/officeDocument/2006/relationships/hyperlink" Target="https://drive.google.com/open?id=1zBxdjSEnk-d9DzeIwodD_T7R1fjOWC0n" TargetMode="External"/><Relationship Id="rId293" Type="http://schemas.openxmlformats.org/officeDocument/2006/relationships/hyperlink" Target="https://drive.google.com/open?id=1EZjSc_6yj1vAqdmIjhGAE9jnzYBbrb9a" TargetMode="External"/><Relationship Id="rId292" Type="http://schemas.openxmlformats.org/officeDocument/2006/relationships/hyperlink" Target="https://drive.google.com/open?id=1z4pa-ZCgThFH3oCC_sxeRP9UOL3GfibW" TargetMode="External"/><Relationship Id="rId291" Type="http://schemas.openxmlformats.org/officeDocument/2006/relationships/hyperlink" Target="https://drive.google.com/open?id=1-UwuLHYMk7aQU1D-yfyjWOdRJyDpsixk" TargetMode="External"/><Relationship Id="rId290" Type="http://schemas.openxmlformats.org/officeDocument/2006/relationships/hyperlink" Target="https://drive.google.com/open?id=1xWnfUDtao70QHFbtZsnfx8nOfBNes5K4" TargetMode="External"/><Relationship Id="rId286" Type="http://schemas.openxmlformats.org/officeDocument/2006/relationships/hyperlink" Target="https://drive.google.com/open?id=1ugcbGPZqxOXoqvtN3EO053ZWr6B9FmcJ" TargetMode="External"/><Relationship Id="rId285" Type="http://schemas.openxmlformats.org/officeDocument/2006/relationships/hyperlink" Target="https://drive.google.com/open?id=1mF_Y4DWeChm-GK-O-rfQ6MvR5Pqq-nfB" TargetMode="External"/><Relationship Id="rId284" Type="http://schemas.openxmlformats.org/officeDocument/2006/relationships/hyperlink" Target="https://drive.google.com/open?id=10XaR1Ab3Bv_v7bwDXpMer6wVYJUgIv71" TargetMode="External"/><Relationship Id="rId283" Type="http://schemas.openxmlformats.org/officeDocument/2006/relationships/hyperlink" Target="https://drive.google.com/open?id=1fKV3SMdp5FxSn84-kTa7U7k4DqLXH7Dy" TargetMode="External"/><Relationship Id="rId289" Type="http://schemas.openxmlformats.org/officeDocument/2006/relationships/hyperlink" Target="https://drive.google.com/open?id=1Yi-VhjfvlyM1DaJaN1kt8Cvn1vhFgJOT" TargetMode="External"/><Relationship Id="rId288" Type="http://schemas.openxmlformats.org/officeDocument/2006/relationships/hyperlink" Target="https://drive.google.com/open?id=1YwDtR46yEUP6HXfVdFoy7PvumqpEf9g1" TargetMode="External"/><Relationship Id="rId287" Type="http://schemas.openxmlformats.org/officeDocument/2006/relationships/hyperlink" Target="https://drive.google.com/open?id=1nhQqpmHj0Kw3BkBctWyl1Da5lMIfQpLF" TargetMode="External"/><Relationship Id="rId282" Type="http://schemas.openxmlformats.org/officeDocument/2006/relationships/hyperlink" Target="https://drive.google.com/open?id=1xzXpaSJ22yVJgGucAW9U4U1RMVNQbg2K" TargetMode="External"/><Relationship Id="rId281" Type="http://schemas.openxmlformats.org/officeDocument/2006/relationships/hyperlink" Target="https://drive.google.com/open?id=1sWaAS5BBgXGHbYCy5uBLzg2cIwRXBKtF" TargetMode="External"/><Relationship Id="rId280" Type="http://schemas.openxmlformats.org/officeDocument/2006/relationships/hyperlink" Target="https://drive.google.com/open?id=1cz5N4dz7rg7W8jk51Ds3r4mmMyR4xRr2" TargetMode="External"/><Relationship Id="rId275" Type="http://schemas.openxmlformats.org/officeDocument/2006/relationships/hyperlink" Target="https://drive.google.com/open?id=1lnnS3aNyUDhISeUlfuRuiEhG1E0QfAEI" TargetMode="External"/><Relationship Id="rId274" Type="http://schemas.openxmlformats.org/officeDocument/2006/relationships/hyperlink" Target="https://drive.google.com/open?id=1HW9q0BtiI_cLBRHkdwpteSFwDgrljlAN" TargetMode="External"/><Relationship Id="rId273" Type="http://schemas.openxmlformats.org/officeDocument/2006/relationships/hyperlink" Target="https://drive.google.com/open?id=1QGEfcnx1TqdnyNh49u227GSkvHSLIFDN" TargetMode="External"/><Relationship Id="rId272" Type="http://schemas.openxmlformats.org/officeDocument/2006/relationships/hyperlink" Target="https://drive.google.com/open?id=1EWh1wYRomzuc_q17BUhrGFYpT6-YsWYw" TargetMode="External"/><Relationship Id="rId279" Type="http://schemas.openxmlformats.org/officeDocument/2006/relationships/hyperlink" Target="https://drive.google.com/open?id=15NA-z75BaMm1oYGaDZXG-oKU9z_ZiBQF" TargetMode="External"/><Relationship Id="rId278" Type="http://schemas.openxmlformats.org/officeDocument/2006/relationships/hyperlink" Target="https://drive.google.com/open?id=1sTd5YlM4l8hLhAHTgL6Sz_2S0SeNoYIK" TargetMode="External"/><Relationship Id="rId277" Type="http://schemas.openxmlformats.org/officeDocument/2006/relationships/hyperlink" Target="https://drive.google.com/open?id=1fuNEuXCOzlFUmqflyHBKeJijcwHnQjfh" TargetMode="External"/><Relationship Id="rId276" Type="http://schemas.openxmlformats.org/officeDocument/2006/relationships/hyperlink" Target="https://drive.google.com/open?id=1Zg1h0JgE-1wTxi6ZXmGj7HszEF4xkDTR" TargetMode="External"/><Relationship Id="rId907" Type="http://schemas.openxmlformats.org/officeDocument/2006/relationships/hyperlink" Target="https://drive.google.com/open?id=1wVX1sQhc0yBBRv7EXcNm577FgPNxaWOb" TargetMode="External"/><Relationship Id="rId906" Type="http://schemas.openxmlformats.org/officeDocument/2006/relationships/hyperlink" Target="https://drive.google.com/open?id=1SNl5k-qa5Kkt2mkbm9z0F24pWaDi4nBF" TargetMode="External"/><Relationship Id="rId905" Type="http://schemas.openxmlformats.org/officeDocument/2006/relationships/hyperlink" Target="https://drive.google.com/open?id=1pHQCCs0PT2wBtpM1uC-21m7MZfgSbvqv" TargetMode="External"/><Relationship Id="rId904" Type="http://schemas.openxmlformats.org/officeDocument/2006/relationships/hyperlink" Target="https://drive.google.com/open?id=1fN-zMnMvcFYlH4fbS5uhc30llQK7w_37" TargetMode="External"/><Relationship Id="rId909" Type="http://schemas.openxmlformats.org/officeDocument/2006/relationships/hyperlink" Target="https://drive.google.com/open?id=15SmFNcAfh4f1vlsBmy836yZrjyVh6_cs" TargetMode="External"/><Relationship Id="rId908" Type="http://schemas.openxmlformats.org/officeDocument/2006/relationships/hyperlink" Target="https://drive.google.com/open?id=1zOhfF0Auy6I_p_No7W3XPsD-IiOSQvAF" TargetMode="External"/><Relationship Id="rId903" Type="http://schemas.openxmlformats.org/officeDocument/2006/relationships/hyperlink" Target="https://drive.google.com/file/d/1C7rFGU9hWlPEvS6XR9zV9fIbKAZcVAEx/view?usp=drive_link" TargetMode="External"/><Relationship Id="rId902" Type="http://schemas.openxmlformats.org/officeDocument/2006/relationships/hyperlink" Target="https://drive.google.com/file/d/13ad0bpffyJtRGheASa3NGxEIiB3-zOPo/view?usp=drive_link" TargetMode="External"/><Relationship Id="rId901" Type="http://schemas.openxmlformats.org/officeDocument/2006/relationships/hyperlink" Target="https://drive.google.com/open?id=17hwW80URiVXWllrI8VxoZlyjv88HPKZf" TargetMode="External"/><Relationship Id="rId900" Type="http://schemas.openxmlformats.org/officeDocument/2006/relationships/hyperlink" Target="https://drive.google.com/open?id=1d4TzFp0LNeq2XR6E9PTyvBUdm-Ev2oRl" TargetMode="External"/><Relationship Id="rId929" Type="http://schemas.openxmlformats.org/officeDocument/2006/relationships/hyperlink" Target="https://drive.google.com/open?id=1Iaq6Vf2C8u6YhyfAnJbYC7JOgf33kfOz" TargetMode="External"/><Relationship Id="rId928" Type="http://schemas.openxmlformats.org/officeDocument/2006/relationships/hyperlink" Target="https://drive.google.com/open?id=1Tg-dCJUIFeUn9AVvb04qI_6S6-ZRb6Y-" TargetMode="External"/><Relationship Id="rId927" Type="http://schemas.openxmlformats.org/officeDocument/2006/relationships/hyperlink" Target="https://drive.google.com/open?id=1ZDNee2EYCW62fyhlq8RRTruMj2ulPyIu" TargetMode="External"/><Relationship Id="rId926" Type="http://schemas.openxmlformats.org/officeDocument/2006/relationships/hyperlink" Target="https://drive.google.com/open?id=1siCQjI_ZVw1vPQ5hOX3ewmIpN21KaPG0" TargetMode="External"/><Relationship Id="rId921" Type="http://schemas.openxmlformats.org/officeDocument/2006/relationships/hyperlink" Target="https://drive.google.com/open?id=1gwZTfEdP4FHEG7TLZlF2xI1fJ84lQ5Ou" TargetMode="External"/><Relationship Id="rId920" Type="http://schemas.openxmlformats.org/officeDocument/2006/relationships/hyperlink" Target="https://drive.google.com/open?id=1c-Id4PbD7woc6Ls4dyqBboaHvIyeAhOH" TargetMode="External"/><Relationship Id="rId925" Type="http://schemas.openxmlformats.org/officeDocument/2006/relationships/hyperlink" Target="https://drive.google.com/open?id=1RRNq4iMZaC5nsydmLbi1QbDNETLnkJkf" TargetMode="External"/><Relationship Id="rId924" Type="http://schemas.openxmlformats.org/officeDocument/2006/relationships/hyperlink" Target="https://drive.google.com/open?id=1AMydLqNr_zUJSDCzC_s33gGFOzxbkTbT" TargetMode="External"/><Relationship Id="rId923" Type="http://schemas.openxmlformats.org/officeDocument/2006/relationships/hyperlink" Target="https://drive.google.com/open?id=1o2PTNTkY2kG6TViI5fiVKOLpO8Zyrzq9" TargetMode="External"/><Relationship Id="rId922" Type="http://schemas.openxmlformats.org/officeDocument/2006/relationships/hyperlink" Target="https://drive.google.com/open?id=1OS8ePGbsO0RRp43Dlk_Pvvnh2YpAgitT" TargetMode="External"/><Relationship Id="rId918" Type="http://schemas.openxmlformats.org/officeDocument/2006/relationships/hyperlink" Target="https://drive.google.com/open?id=1rAs_Fm69m-J7cfS44NWc-VXHwtz9KKjc" TargetMode="External"/><Relationship Id="rId917" Type="http://schemas.openxmlformats.org/officeDocument/2006/relationships/hyperlink" Target="https://drive.google.com/open?id=1vZ8CeUqXh7N_cPX_wrzIdcsjqcTezD0C" TargetMode="External"/><Relationship Id="rId916" Type="http://schemas.openxmlformats.org/officeDocument/2006/relationships/hyperlink" Target="https://drive.google.com/open?id=1uHTHs29eNy0fi3bqytqNCE4JiLNOZYQ3" TargetMode="External"/><Relationship Id="rId915" Type="http://schemas.openxmlformats.org/officeDocument/2006/relationships/hyperlink" Target="https://drive.google.com/file/d/1gSvnvIM2cTneg16o31UuYs6W-MCxtk3X/view?usp=drive_link" TargetMode="External"/><Relationship Id="rId919" Type="http://schemas.openxmlformats.org/officeDocument/2006/relationships/hyperlink" Target="https://drive.google.com/open?id=1R2EnIPGNi9N9X_W48lE-lUhSEPvDY5fo" TargetMode="External"/><Relationship Id="rId910" Type="http://schemas.openxmlformats.org/officeDocument/2006/relationships/hyperlink" Target="https://drive.google.com/open?id=1nBBFRwIg-ouO6ybRL7ON7eairPwPhhB_" TargetMode="External"/><Relationship Id="rId914" Type="http://schemas.openxmlformats.org/officeDocument/2006/relationships/hyperlink" Target="https://drive.google.com/open?id=1NxyLi6GUihpo7YpBs0Vcugxq6Su0f4Pr" TargetMode="External"/><Relationship Id="rId913" Type="http://schemas.openxmlformats.org/officeDocument/2006/relationships/hyperlink" Target="https://drive.google.com/open?id=1wQiiB83hwbuWLGwyrcGyY0g1ZWw8rfIM" TargetMode="External"/><Relationship Id="rId912" Type="http://schemas.openxmlformats.org/officeDocument/2006/relationships/hyperlink" Target="https://drive.google.com/open?id=18-Zo8ZTccbfrq8ycowpciAAuFWqcMuWD" TargetMode="External"/><Relationship Id="rId911" Type="http://schemas.openxmlformats.org/officeDocument/2006/relationships/hyperlink" Target="https://drive.google.com/open?id=1Y1CRWjzfPmkxIcmkODBUUdtDEN57mZRk" TargetMode="External"/><Relationship Id="rId1213" Type="http://schemas.openxmlformats.org/officeDocument/2006/relationships/hyperlink" Target="https://drive.google.com/open?id=1fn0VGDI3qughAzPemV5Yw6_8FJBX0ppd" TargetMode="External"/><Relationship Id="rId1214" Type="http://schemas.openxmlformats.org/officeDocument/2006/relationships/hyperlink" Target="https://drive.google.com/open?id=1Ug1DEMCHECXTgr2q-lS0C_CIoXFxo17o" TargetMode="External"/><Relationship Id="rId1215" Type="http://schemas.openxmlformats.org/officeDocument/2006/relationships/hyperlink" Target="https://drive.google.com/file/d/1DJ7R2gc9L4Fl5BTkKC_XAZLhGQhMJPKD/view?usp=drive_link" TargetMode="External"/><Relationship Id="rId1216" Type="http://schemas.openxmlformats.org/officeDocument/2006/relationships/hyperlink" Target="https://drive.google.com/open?id=1jZWJctXyqV8o3St54FlZdxb-TZKBR4yT" TargetMode="External"/><Relationship Id="rId1217" Type="http://schemas.openxmlformats.org/officeDocument/2006/relationships/hyperlink" Target="https://drive.google.com/open?id=1H8g1J147q3-eg546GDU07AFRtcrID0Yh" TargetMode="External"/><Relationship Id="rId1218" Type="http://schemas.openxmlformats.org/officeDocument/2006/relationships/hyperlink" Target="https://drive.google.com/open?id=1dE0FR58RFaOhSOACHTwwpSDjixZ5eGU2" TargetMode="External"/><Relationship Id="rId1219" Type="http://schemas.openxmlformats.org/officeDocument/2006/relationships/hyperlink" Target="https://drive.google.com/open?id=1_G2BOr_j0joRtBd5RNLKSfYtaVe8ocKG" TargetMode="External"/><Relationship Id="rId629" Type="http://schemas.openxmlformats.org/officeDocument/2006/relationships/hyperlink" Target="https://drive.google.com/open?id=1Iv1tZugaeQC2s01kxFgHEBJhsOoKDqF9" TargetMode="External"/><Relationship Id="rId624" Type="http://schemas.openxmlformats.org/officeDocument/2006/relationships/hyperlink" Target="https://drive.google.com/open?id=1zspD3LBlEDOgBpi-sDBkDuVpEGcMg8NK" TargetMode="External"/><Relationship Id="rId866" Type="http://schemas.openxmlformats.org/officeDocument/2006/relationships/hyperlink" Target="https://drive.google.com/open?id=13Uq7OYaCK_xN9bbWSDInkLkP6MemgziU" TargetMode="External"/><Relationship Id="rId623" Type="http://schemas.openxmlformats.org/officeDocument/2006/relationships/hyperlink" Target="https://drive.google.com/open?id=1PvxPxfR7624UgfRqgfXm18ZEXvKspDmg" TargetMode="External"/><Relationship Id="rId865" Type="http://schemas.openxmlformats.org/officeDocument/2006/relationships/hyperlink" Target="https://drive.google.com/open?id=1FTokLh63CMcpmK4WsTW0_WvMXBODsiM_" TargetMode="External"/><Relationship Id="rId622" Type="http://schemas.openxmlformats.org/officeDocument/2006/relationships/hyperlink" Target="https://drive.google.com/open?id=1XWMWFUQrgIgzJV8sOCBNMlfiSwFYmX-2" TargetMode="External"/><Relationship Id="rId864" Type="http://schemas.openxmlformats.org/officeDocument/2006/relationships/hyperlink" Target="https://drive.google.com/open?id=1knmWj3_vqpqEYE4LGLdpMJ_KvfQkbGJ-" TargetMode="External"/><Relationship Id="rId621" Type="http://schemas.openxmlformats.org/officeDocument/2006/relationships/hyperlink" Target="https://drive.google.com/open?id=1dquFgJnUPsAzLCo5dgR5RRJR3mG4npos" TargetMode="External"/><Relationship Id="rId863" Type="http://schemas.openxmlformats.org/officeDocument/2006/relationships/hyperlink" Target="https://drive.google.com/open?id=1wH-mO-NKLsewVWTCohIwBAjPiSSL7Oem" TargetMode="External"/><Relationship Id="rId628" Type="http://schemas.openxmlformats.org/officeDocument/2006/relationships/hyperlink" Target="https://drive.google.com/open?id=1VxeAdn7KQQVZf32LCsXnHi9K5t6e-m8p" TargetMode="External"/><Relationship Id="rId627" Type="http://schemas.openxmlformats.org/officeDocument/2006/relationships/hyperlink" Target="https://drive.google.com/open?id=1ilv9SOzIpY6fWIMGXbjFanaAkMTHIAqD" TargetMode="External"/><Relationship Id="rId869" Type="http://schemas.openxmlformats.org/officeDocument/2006/relationships/hyperlink" Target="https://drive.google.com/open?id=16aZUip6NRiOKVNZHuAWubZIgvlGQNxlG" TargetMode="External"/><Relationship Id="rId626" Type="http://schemas.openxmlformats.org/officeDocument/2006/relationships/hyperlink" Target="https://drive.google.com/open?id=1xqAGtVUYDDrzo_Wad-vuuqr7KCks_T7W" TargetMode="External"/><Relationship Id="rId868" Type="http://schemas.openxmlformats.org/officeDocument/2006/relationships/hyperlink" Target="https://drive.google.com/open?id=1Hl5Ko2hq_zOjmcL2Ly_ISctdUaeAK13h" TargetMode="External"/><Relationship Id="rId625" Type="http://schemas.openxmlformats.org/officeDocument/2006/relationships/hyperlink" Target="https://drive.google.com/open?id=1cPJswgGP0xJ3tQ_D7xdoSijsuph3oqSg" TargetMode="External"/><Relationship Id="rId867" Type="http://schemas.openxmlformats.org/officeDocument/2006/relationships/hyperlink" Target="https://drive.google.com/open?id=1Xbzmdsq3YYMRukQoYi9IyLEK07kK23lF" TargetMode="External"/><Relationship Id="rId620" Type="http://schemas.openxmlformats.org/officeDocument/2006/relationships/hyperlink" Target="https://drive.google.com/open?id=1ffJX9rUlCSNtwX3DQL7F7OvkRiixYtxc" TargetMode="External"/><Relationship Id="rId862" Type="http://schemas.openxmlformats.org/officeDocument/2006/relationships/hyperlink" Target="https://drive.google.com/file/d/1FV_RVeUvO2ymlmKFEUEU6MF4piuM3MOd/view?usp=drive_link" TargetMode="External"/><Relationship Id="rId861" Type="http://schemas.openxmlformats.org/officeDocument/2006/relationships/hyperlink" Target="https://drive.google.com/open?id=1MrjFtVcfLZ3JoajGU3Etyj459lE7KTmx" TargetMode="External"/><Relationship Id="rId1210" Type="http://schemas.openxmlformats.org/officeDocument/2006/relationships/hyperlink" Target="https://drive.google.com/open?id=1HVneWpebzcpx-hkem7Cm6BUqxPH3WX2g" TargetMode="External"/><Relationship Id="rId860" Type="http://schemas.openxmlformats.org/officeDocument/2006/relationships/hyperlink" Target="https://drive.google.com/open?id=1rEN9OlRlAHpBerNvADTC5Vdq6QWfGvZo" TargetMode="External"/><Relationship Id="rId1211" Type="http://schemas.openxmlformats.org/officeDocument/2006/relationships/hyperlink" Target="https://drive.google.com/open?id=1NB3X5eb9_yLJcjOT3f3c8lH9MgtwXuhm" TargetMode="External"/><Relationship Id="rId1212" Type="http://schemas.openxmlformats.org/officeDocument/2006/relationships/hyperlink" Target="https://drive.google.com/file/d/1QsvKqokUrIftbGCEMIt1zg_srLOzGdji/view?usp=drive_link" TargetMode="External"/><Relationship Id="rId1202" Type="http://schemas.openxmlformats.org/officeDocument/2006/relationships/hyperlink" Target="https://drive.google.com/file/d/1cDijVK65A_xPZLYUX5hTQlhZIS4t-jWl/view?usp=drive_link" TargetMode="External"/><Relationship Id="rId1203" Type="http://schemas.openxmlformats.org/officeDocument/2006/relationships/hyperlink" Target="https://drive.google.com/file/d/1-npo6AAiYQznTuaih-louUamKkLsTsAt/view?usp=sharing" TargetMode="External"/><Relationship Id="rId1204" Type="http://schemas.openxmlformats.org/officeDocument/2006/relationships/hyperlink" Target="https://drive.google.com/open?id=1HI19nLKFTjsLFKX9pRLS2HeyNqCiKZW2" TargetMode="External"/><Relationship Id="rId1205" Type="http://schemas.openxmlformats.org/officeDocument/2006/relationships/hyperlink" Target="https://drive.google.com/open?id=1RKXL1YcRjGzTD2UEpq0lysV3F59RVsrP" TargetMode="External"/><Relationship Id="rId1206" Type="http://schemas.openxmlformats.org/officeDocument/2006/relationships/hyperlink" Target="https://drive.google.com/open?id=1mhYcDWYube3Yrme-9KL9wq1gH0aYckey" TargetMode="External"/><Relationship Id="rId1207" Type="http://schemas.openxmlformats.org/officeDocument/2006/relationships/hyperlink" Target="https://drive.google.com/open?id=1oFx0B6TjxpD-B3_M2PDrbt6lTt6myRrB" TargetMode="External"/><Relationship Id="rId1208" Type="http://schemas.openxmlformats.org/officeDocument/2006/relationships/hyperlink" Target="https://drive.google.com/open?id=1x_EafIOmz5Osb1q61F2i-oRPLnqhfIrF" TargetMode="External"/><Relationship Id="rId1209" Type="http://schemas.openxmlformats.org/officeDocument/2006/relationships/hyperlink" Target="https://drive.google.com/open?id=1yr05UGe8hraU4Y6y2F4ReMgmL6veXGJ8" TargetMode="External"/><Relationship Id="rId619" Type="http://schemas.openxmlformats.org/officeDocument/2006/relationships/hyperlink" Target="https://drive.google.com/open?id=1sn8p9pv3JpeCkea3DJArg2uEM9A_WclQ" TargetMode="External"/><Relationship Id="rId618" Type="http://schemas.openxmlformats.org/officeDocument/2006/relationships/hyperlink" Target="https://drive.google.com/open?id=1MMBMG-YW_9d-rLv9ZIGjql69bdKA3FMU" TargetMode="External"/><Relationship Id="rId613" Type="http://schemas.openxmlformats.org/officeDocument/2006/relationships/hyperlink" Target="https://drive.google.com/open?id=1uUAu7vXdzuxneWAVRBBP_fAA3bSn1Gen" TargetMode="External"/><Relationship Id="rId855" Type="http://schemas.openxmlformats.org/officeDocument/2006/relationships/hyperlink" Target="https://drive.google.com/open?id=1tnH_Wh92IUrdClWxqh9isYYl3CYJv6ua" TargetMode="External"/><Relationship Id="rId612" Type="http://schemas.openxmlformats.org/officeDocument/2006/relationships/hyperlink" Target="https://drive.google.com/open?id=1zgODESIvP1jNLDbtk-AkveyC4VXzBUbD" TargetMode="External"/><Relationship Id="rId854" Type="http://schemas.openxmlformats.org/officeDocument/2006/relationships/hyperlink" Target="https://drive.google.com/open?id=13nscczjEh3RsYhALf5CY4i5-YbRthF9t" TargetMode="External"/><Relationship Id="rId611" Type="http://schemas.openxmlformats.org/officeDocument/2006/relationships/hyperlink" Target="https://drive.google.com/file/d/1-t5dZZW3s_cO8BUj_xf5Bz6cdpUXx76G/view?usp=sharing" TargetMode="External"/><Relationship Id="rId853" Type="http://schemas.openxmlformats.org/officeDocument/2006/relationships/hyperlink" Target="https://drive.google.com/open?id=1m6r7-DfluG2sPOB-8vBjKKan_mLp45XX" TargetMode="External"/><Relationship Id="rId610" Type="http://schemas.openxmlformats.org/officeDocument/2006/relationships/hyperlink" Target="https://drive.google.com/file/d/1vUvcX__uDw6lLrImzBEXJ680oDSLlITa/view?usp=sharing" TargetMode="External"/><Relationship Id="rId852" Type="http://schemas.openxmlformats.org/officeDocument/2006/relationships/hyperlink" Target="https://drive.google.com/file/d/1Po29ThJkf5X4x-sIKKtQm75_fDIFKyUm/view?usp=drive_link" TargetMode="External"/><Relationship Id="rId617" Type="http://schemas.openxmlformats.org/officeDocument/2006/relationships/hyperlink" Target="https://drive.google.com/open?id=13snFvHslYgfzlmsTwIwVMXtTh3T3Wixg" TargetMode="External"/><Relationship Id="rId859" Type="http://schemas.openxmlformats.org/officeDocument/2006/relationships/hyperlink" Target="https://drive.google.com/open?id=19JQUDrbSGyqikN9uzHI9n8oLKAwLC4A_" TargetMode="External"/><Relationship Id="rId616" Type="http://schemas.openxmlformats.org/officeDocument/2006/relationships/hyperlink" Target="https://drive.google.com/open?id=13pa9CDu1n8EUXsx-OqJsgAGs1-vXO7e8" TargetMode="External"/><Relationship Id="rId858" Type="http://schemas.openxmlformats.org/officeDocument/2006/relationships/hyperlink" Target="https://drive.google.com/open?id=1ycGVqwwmojsx4OIXqMn8Pbwr8MqutQDb" TargetMode="External"/><Relationship Id="rId615" Type="http://schemas.openxmlformats.org/officeDocument/2006/relationships/hyperlink" Target="https://drive.google.com/open?id=1ESE0Cvy9B4Zo-BlZRjr-tgkk2xgpTGgn" TargetMode="External"/><Relationship Id="rId857" Type="http://schemas.openxmlformats.org/officeDocument/2006/relationships/hyperlink" Target="https://drive.google.com/open?id=1lGJmeQfJhWJZGAlu-yGw8B7Xc7y1xNpa" TargetMode="External"/><Relationship Id="rId614" Type="http://schemas.openxmlformats.org/officeDocument/2006/relationships/hyperlink" Target="https://drive.google.com/open?id=1no9yGyoe4wCfEfTSVgelSq_w_7-PlE8T" TargetMode="External"/><Relationship Id="rId856" Type="http://schemas.openxmlformats.org/officeDocument/2006/relationships/hyperlink" Target="https://drive.google.com/open?id=1u5hQMY7Gfkk22UdgfiarPq1gKTgw7LAB" TargetMode="External"/><Relationship Id="rId851" Type="http://schemas.openxmlformats.org/officeDocument/2006/relationships/hyperlink" Target="https://drive.google.com/open?id=1rXmDEPREbD9E5sJh176fZA1PdYvctyWA" TargetMode="External"/><Relationship Id="rId850" Type="http://schemas.openxmlformats.org/officeDocument/2006/relationships/hyperlink" Target="https://drive.google.com/open?id=1BGgoR5kTDOU_BUC3_FuSYDT9pUPify4g" TargetMode="External"/><Relationship Id="rId1200" Type="http://schemas.openxmlformats.org/officeDocument/2006/relationships/hyperlink" Target="https://drive.google.com/open?id=1ovrq8DzDN5-WvTdr6hU9WvcbbKDX7AwI" TargetMode="External"/><Relationship Id="rId1201" Type="http://schemas.openxmlformats.org/officeDocument/2006/relationships/hyperlink" Target="https://drive.google.com/open?id=1xYexj4GEVEjoBHH2ruexteFQmessDa79" TargetMode="External"/><Relationship Id="rId1235" Type="http://schemas.openxmlformats.org/officeDocument/2006/relationships/hyperlink" Target="https://drive.google.com/open?id=1FxVsIK3WuQVrTdP6s9HaR4GZ287SNjn8" TargetMode="External"/><Relationship Id="rId1236" Type="http://schemas.openxmlformats.org/officeDocument/2006/relationships/hyperlink" Target="https://drive.google.com/open?id=1nXW-JLuepYUsud5NTO7cmQJaCL62_IKJ" TargetMode="External"/><Relationship Id="rId1237" Type="http://schemas.openxmlformats.org/officeDocument/2006/relationships/hyperlink" Target="https://drive.google.com/open?id=1Spah6AOG003Cq-resxicmrUXD_nIz_PZ" TargetMode="External"/><Relationship Id="rId1238" Type="http://schemas.openxmlformats.org/officeDocument/2006/relationships/hyperlink" Target="https://drive.google.com/file/d/1MZ_Z84aZf3xbsLa-fDhLaZTJQFW-Qpqw/view?usp=drive_link" TargetMode="External"/><Relationship Id="rId1239" Type="http://schemas.openxmlformats.org/officeDocument/2006/relationships/hyperlink" Target="https://drive.google.com/open?id=18V-Ps_Z7TU4u23zdYz00Liy_dmmAn_YU" TargetMode="External"/><Relationship Id="rId409" Type="http://schemas.openxmlformats.org/officeDocument/2006/relationships/hyperlink" Target="https://drive.google.com/open?id=1fhnUC8aO4yM8kSNflRckClKeP5c6Uzbj" TargetMode="External"/><Relationship Id="rId404" Type="http://schemas.openxmlformats.org/officeDocument/2006/relationships/hyperlink" Target="https://drive.google.com/open?id=1xri0t6MXIhDdICHaZ5EK0fNYqKrFN21K" TargetMode="External"/><Relationship Id="rId646" Type="http://schemas.openxmlformats.org/officeDocument/2006/relationships/hyperlink" Target="https://drive.google.com/open?id=1MgubGSloOBgi5TXqPY3ruERKK_lElg7i" TargetMode="External"/><Relationship Id="rId888" Type="http://schemas.openxmlformats.org/officeDocument/2006/relationships/hyperlink" Target="https://drive.google.com/open?id=1QAfLTXF0KU5jDpyeh62qiFwU9yoYD4zF" TargetMode="External"/><Relationship Id="rId403" Type="http://schemas.openxmlformats.org/officeDocument/2006/relationships/hyperlink" Target="https://drive.google.com/open?id=14id7wpXsgIi9xZojwOEGmKP9QSsDhH7m" TargetMode="External"/><Relationship Id="rId645" Type="http://schemas.openxmlformats.org/officeDocument/2006/relationships/hyperlink" Target="https://drive.google.com/open?id=1zOQfClwsRhU_EQXccNyxgBhrCZAz2fiI" TargetMode="External"/><Relationship Id="rId887" Type="http://schemas.openxmlformats.org/officeDocument/2006/relationships/hyperlink" Target="https://drive.google.com/open?id=1qc0R40f2JKwB-mpWh4iocbEyXjx4ddI5" TargetMode="External"/><Relationship Id="rId402" Type="http://schemas.openxmlformats.org/officeDocument/2006/relationships/hyperlink" Target="https://drive.google.com/open?id=1Z8KQxH3IRkAxLd5omGkbS0o4w-B71N8i" TargetMode="External"/><Relationship Id="rId644" Type="http://schemas.openxmlformats.org/officeDocument/2006/relationships/hyperlink" Target="https://drive.google.com/open?id=1jGbvnSaohPxducctb-AOySmbFHvZWNUs" TargetMode="External"/><Relationship Id="rId886" Type="http://schemas.openxmlformats.org/officeDocument/2006/relationships/hyperlink" Target="https://drive.google.com/open?id=10GOUazO8tGitVpnzP9jM1U6peRzuvOwi" TargetMode="External"/><Relationship Id="rId401" Type="http://schemas.openxmlformats.org/officeDocument/2006/relationships/hyperlink" Target="https://drive.google.com/open?id=1NfqjaDGIZkL1YzDd96_XDunx3ta2K73C" TargetMode="External"/><Relationship Id="rId643" Type="http://schemas.openxmlformats.org/officeDocument/2006/relationships/hyperlink" Target="https://drive.google.com/open?id=1rE8alas7F9z6FArhcCoEX9Bv3yy6dqzl" TargetMode="External"/><Relationship Id="rId885" Type="http://schemas.openxmlformats.org/officeDocument/2006/relationships/hyperlink" Target="https://drive.google.com/open?id=1DVCVrOPkCdEVAysfAI1ncuEG74e0NV1c" TargetMode="External"/><Relationship Id="rId408" Type="http://schemas.openxmlformats.org/officeDocument/2006/relationships/hyperlink" Target="https://drive.google.com/open?id=1NLdjUUqbODtbnYvK7WLMWw5z9l1WKbzp" TargetMode="External"/><Relationship Id="rId407" Type="http://schemas.openxmlformats.org/officeDocument/2006/relationships/hyperlink" Target="https://drive.google.com/open?id=1LDbdFZryofoJ8frIE1MYhtKQtNo-bunN" TargetMode="External"/><Relationship Id="rId649" Type="http://schemas.openxmlformats.org/officeDocument/2006/relationships/hyperlink" Target="https://drive.google.com/open?id=1Rk28zDK_QlFuPINcpBgzn9SSZ2lvZw2K" TargetMode="External"/><Relationship Id="rId406" Type="http://schemas.openxmlformats.org/officeDocument/2006/relationships/hyperlink" Target="https://drive.google.com/open?id=1UOSckozeYWtAqN61LDFnQWqgQxxk2CUp" TargetMode="External"/><Relationship Id="rId648" Type="http://schemas.openxmlformats.org/officeDocument/2006/relationships/hyperlink" Target="https://drive.google.com/open?id=1eJGRkwZqfVszggu24aJq9BIArR_HicgH" TargetMode="External"/><Relationship Id="rId405" Type="http://schemas.openxmlformats.org/officeDocument/2006/relationships/hyperlink" Target="https://drive.google.com/open?id=1yde1CLFiqs8CIBA7xjc9X16TvQebxCCh" TargetMode="External"/><Relationship Id="rId647" Type="http://schemas.openxmlformats.org/officeDocument/2006/relationships/hyperlink" Target="https://drive.google.com/open?id=106ZBaIwZixMXQXNfnwxk6ogYmHF3uvMN" TargetMode="External"/><Relationship Id="rId889" Type="http://schemas.openxmlformats.org/officeDocument/2006/relationships/hyperlink" Target="https://drive.google.com/open?id=1CgQmpggBUFn05d7h84ZIvaEsf-E6VBIb" TargetMode="External"/><Relationship Id="rId880" Type="http://schemas.openxmlformats.org/officeDocument/2006/relationships/hyperlink" Target="https://drive.google.com/open?id=1UdccjkbqY5TBESJWTuEOI8OrWGmBr9mg" TargetMode="External"/><Relationship Id="rId1230" Type="http://schemas.openxmlformats.org/officeDocument/2006/relationships/hyperlink" Target="https://drive.google.com/file/d/1EPNimrfPHkYHG8bxIK1MbkL26CPlEFPg/view?usp=drive_link" TargetMode="External"/><Relationship Id="rId400" Type="http://schemas.openxmlformats.org/officeDocument/2006/relationships/hyperlink" Target="https://drive.google.com/open?id=1vjzyv-pjfYw4AnR7MzR3uD8tPMMfcSRk" TargetMode="External"/><Relationship Id="rId642" Type="http://schemas.openxmlformats.org/officeDocument/2006/relationships/hyperlink" Target="https://drive.google.com/open?id=1R0GKayjCKTFTYHpYGV8F0YTdmyQAscCk" TargetMode="External"/><Relationship Id="rId884" Type="http://schemas.openxmlformats.org/officeDocument/2006/relationships/hyperlink" Target="https://drive.google.com/open?id=1jy7Veuai2R5HdztGFBjj4V1ixFoxGh5b" TargetMode="External"/><Relationship Id="rId1231" Type="http://schemas.openxmlformats.org/officeDocument/2006/relationships/hyperlink" Target="https://drive.google.com/open?id=1ceFI9JA7Z3xfJfLG2aB-e7y_Kcu2sSDr" TargetMode="External"/><Relationship Id="rId641" Type="http://schemas.openxmlformats.org/officeDocument/2006/relationships/hyperlink" Target="https://drive.google.com/open?id=1FDCjAnEm3REAFI9jvsUCZ1V-latlVLMC" TargetMode="External"/><Relationship Id="rId883" Type="http://schemas.openxmlformats.org/officeDocument/2006/relationships/hyperlink" Target="https://drive.google.com/open?id=1wwntaRktUlPuANI2j2JOWTdyeOqboeCX" TargetMode="External"/><Relationship Id="rId1232" Type="http://schemas.openxmlformats.org/officeDocument/2006/relationships/hyperlink" Target="https://drive.google.com/open?id=1NR-kcIAr831XCxGTtmtWbiczlsPv-zg8" TargetMode="External"/><Relationship Id="rId640" Type="http://schemas.openxmlformats.org/officeDocument/2006/relationships/hyperlink" Target="https://drive.google.com/open?id=1fOUyFObSuzb6sHACFDeqytwDGx3UHxZ-" TargetMode="External"/><Relationship Id="rId882" Type="http://schemas.openxmlformats.org/officeDocument/2006/relationships/hyperlink" Target="https://drive.google.com/open?id=1Nm2q6gkGqPkkou3_KH9YVP0UUqbDck9T" TargetMode="External"/><Relationship Id="rId1233" Type="http://schemas.openxmlformats.org/officeDocument/2006/relationships/hyperlink" Target="https://drive.google.com/open?id=17oA0Ovsigo0oEoQVRlgHaLhgcHLPdsJ-" TargetMode="External"/><Relationship Id="rId881" Type="http://schemas.openxmlformats.org/officeDocument/2006/relationships/hyperlink" Target="https://drive.google.com/open?id=1Rt6hFElO5YcW-py3UzW1s5nd-1VeoWrF" TargetMode="External"/><Relationship Id="rId1234" Type="http://schemas.openxmlformats.org/officeDocument/2006/relationships/hyperlink" Target="https://drive.google.com/file/d/1jG_JmOwaYhO4lbZa9ZQZJVR6ekudgzAQ/view?usp=drive_link" TargetMode="External"/><Relationship Id="rId1224" Type="http://schemas.openxmlformats.org/officeDocument/2006/relationships/hyperlink" Target="https://drive.google.com/file/d/17MpiAK21toXFxuGnekJWmvCx2-XR4gN8/view?usp=drive_link" TargetMode="External"/><Relationship Id="rId1225" Type="http://schemas.openxmlformats.org/officeDocument/2006/relationships/hyperlink" Target="https://drive.google.com/open?id=1g9rBWih_6ZGmZoZHk3_BaYjP5wYYbjTt" TargetMode="External"/><Relationship Id="rId1226" Type="http://schemas.openxmlformats.org/officeDocument/2006/relationships/hyperlink" Target="https://drive.google.com/open?id=1V_VpvKPICEFeoqkwesEDxi4jxFi7pYHf" TargetMode="External"/><Relationship Id="rId1227" Type="http://schemas.openxmlformats.org/officeDocument/2006/relationships/hyperlink" Target="https://drive.google.com/open?id=13CH1I76Dk4gkdAaNtcavStv_XaBszo7f" TargetMode="External"/><Relationship Id="rId1228" Type="http://schemas.openxmlformats.org/officeDocument/2006/relationships/hyperlink" Target="https://drive.google.com/open?id=1WzmlfwQD5_F67APyEpZjlpEi81-mgTPb" TargetMode="External"/><Relationship Id="rId1229" Type="http://schemas.openxmlformats.org/officeDocument/2006/relationships/hyperlink" Target="https://drive.google.com/open?id=15DITqmF9OhvKqCgczyGpa49fcizweio5" TargetMode="External"/><Relationship Id="rId635" Type="http://schemas.openxmlformats.org/officeDocument/2006/relationships/hyperlink" Target="https://drive.google.com/open?id=1UNf0RKDEyTkteRy02NkMMuykPo4duoPW" TargetMode="External"/><Relationship Id="rId877" Type="http://schemas.openxmlformats.org/officeDocument/2006/relationships/hyperlink" Target="https://drive.google.com/open?id=1-KwGMgrf4ybvfsoHHtOu87_3gxAeA3JE" TargetMode="External"/><Relationship Id="rId634" Type="http://schemas.openxmlformats.org/officeDocument/2006/relationships/hyperlink" Target="https://drive.google.com/open?id=1XRaAJrZVyyZax-zPYQuPBs1CWBKL-Qwe" TargetMode="External"/><Relationship Id="rId876" Type="http://schemas.openxmlformats.org/officeDocument/2006/relationships/hyperlink" Target="https://drive.google.com/open?id=1acH0lSOcwK58Q1LWxcNhIXX-7FO3Qd8Z" TargetMode="External"/><Relationship Id="rId633" Type="http://schemas.openxmlformats.org/officeDocument/2006/relationships/hyperlink" Target="https://drive.google.com/open?id=16MgfxiW-W0oEGpyejvLuxTuel34JeEMM" TargetMode="External"/><Relationship Id="rId875" Type="http://schemas.openxmlformats.org/officeDocument/2006/relationships/hyperlink" Target="https://drive.google.com/open?id=1nL0xIFws3x0g_UIWyKe_p3ibHZehc_LK" TargetMode="External"/><Relationship Id="rId632" Type="http://schemas.openxmlformats.org/officeDocument/2006/relationships/hyperlink" Target="https://drive.google.com/open?id=1KnyfWBAt2ZdwOLPgMQvrmql3AMXAsn_p" TargetMode="External"/><Relationship Id="rId874" Type="http://schemas.openxmlformats.org/officeDocument/2006/relationships/hyperlink" Target="https://drive.google.com/open?id=1xAKKTHKNv99Gv8uNmN-8KK6F7xbwnG2R" TargetMode="External"/><Relationship Id="rId639" Type="http://schemas.openxmlformats.org/officeDocument/2006/relationships/hyperlink" Target="https://drive.google.com/open?id=10nqpp_-xLffz_eWRWY4rOjHZHOBLYS49" TargetMode="External"/><Relationship Id="rId638" Type="http://schemas.openxmlformats.org/officeDocument/2006/relationships/hyperlink" Target="https://drive.google.com/open?id=1VDHQJPuWDUuWuRpl5-uP1WM43tjpIFMA" TargetMode="External"/><Relationship Id="rId637" Type="http://schemas.openxmlformats.org/officeDocument/2006/relationships/hyperlink" Target="https://drive.google.com/open?id=18SVI63sKqR48swQ9Jfq_K6k1xYT4h4tt" TargetMode="External"/><Relationship Id="rId879" Type="http://schemas.openxmlformats.org/officeDocument/2006/relationships/hyperlink" Target="https://drive.google.com/open?id=1VYZI9PJVaAfY8bj_Q0vyBhZFSEOFrxpc" TargetMode="External"/><Relationship Id="rId636" Type="http://schemas.openxmlformats.org/officeDocument/2006/relationships/hyperlink" Target="https://drive.google.com/open?id=1ODoIyD3pv2ZxE783Jjd9nxZy3i1vvB7v" TargetMode="External"/><Relationship Id="rId878" Type="http://schemas.openxmlformats.org/officeDocument/2006/relationships/hyperlink" Target="https://drive.google.com/open?id=1a4OHAhulWq-7CbR1K6e5r7gXlnddRFLS" TargetMode="External"/><Relationship Id="rId631" Type="http://schemas.openxmlformats.org/officeDocument/2006/relationships/hyperlink" Target="https://drive.google.com/open?id=1_OUZwguggL27O-3UcdRefr91IxOzhT-q" TargetMode="External"/><Relationship Id="rId873" Type="http://schemas.openxmlformats.org/officeDocument/2006/relationships/hyperlink" Target="https://drive.google.com/open?id=12ZSx-7ZCiEvcnZyDqURKNeDwAP_XQIx4" TargetMode="External"/><Relationship Id="rId1220" Type="http://schemas.openxmlformats.org/officeDocument/2006/relationships/hyperlink" Target="https://drive.google.com/open?id=1Z76kVxHs2OZEszdt9g0k05dluBIYTFHN" TargetMode="External"/><Relationship Id="rId630" Type="http://schemas.openxmlformats.org/officeDocument/2006/relationships/hyperlink" Target="https://drive.google.com/open?id=1m8ECLy3gFGQSWaa2HPZD3ICs21UONSyP" TargetMode="External"/><Relationship Id="rId872" Type="http://schemas.openxmlformats.org/officeDocument/2006/relationships/hyperlink" Target="https://drive.google.com/open?id=1NhZSTXuRq46Bx3LqzbhZSc1FPwJqyjbN" TargetMode="External"/><Relationship Id="rId1221" Type="http://schemas.openxmlformats.org/officeDocument/2006/relationships/hyperlink" Target="https://drive.google.com/file/d/11lRW_1ATkn76ogR1azGRSE0utj-xuwri/view?usp=drive_link" TargetMode="External"/><Relationship Id="rId871" Type="http://schemas.openxmlformats.org/officeDocument/2006/relationships/hyperlink" Target="https://drive.google.com/open?id=1DWT7E2f0B4cxejwO2t48p5CIDtNyOO1L" TargetMode="External"/><Relationship Id="rId1222" Type="http://schemas.openxmlformats.org/officeDocument/2006/relationships/hyperlink" Target="https://drive.google.com/open?id=18q_zFNfDzo2wLLW34d5Wa9VePL1IZRYh" TargetMode="External"/><Relationship Id="rId870" Type="http://schemas.openxmlformats.org/officeDocument/2006/relationships/hyperlink" Target="https://drive.google.com/open?id=1do3-905idrdhmiXL9rGwNVXzhsY_qFuQ" TargetMode="External"/><Relationship Id="rId1223" Type="http://schemas.openxmlformats.org/officeDocument/2006/relationships/hyperlink" Target="https://drive.google.com/file/d/1W6Fq1gT8EL_yNDJAEh9jU1sRtAu9Qz4l/view?usp=sharing" TargetMode="External"/><Relationship Id="rId829" Type="http://schemas.openxmlformats.org/officeDocument/2006/relationships/hyperlink" Target="https://drive.google.com/open?id=1wbFzvR-RwS21xXZKHmUvwa0zlkdSQrYx" TargetMode="External"/><Relationship Id="rId828" Type="http://schemas.openxmlformats.org/officeDocument/2006/relationships/hyperlink" Target="https://drive.google.com/open?id=1rJjofqH45xdiGTB6wD53Oq5woYPIDr1Q" TargetMode="External"/><Relationship Id="rId827" Type="http://schemas.openxmlformats.org/officeDocument/2006/relationships/hyperlink" Target="https://drive.google.com/open?id=1jEDp7YIuHTZZuA1q-0YSMZWyrWvoCueP" TargetMode="External"/><Relationship Id="rId822" Type="http://schemas.openxmlformats.org/officeDocument/2006/relationships/hyperlink" Target="https://drive.google.com/open?id=1urPYdlyPHO4se1j-cDqKGUTnl_AHm8Dz" TargetMode="External"/><Relationship Id="rId821" Type="http://schemas.openxmlformats.org/officeDocument/2006/relationships/hyperlink" Target="https://drive.google.com/open?id=17b2zm484qpURzCN4uWIZxXlGT01BaREL" TargetMode="External"/><Relationship Id="rId820" Type="http://schemas.openxmlformats.org/officeDocument/2006/relationships/hyperlink" Target="https://drive.google.com/open?id=1HwL2OmZWCguGaKbq72IfEpnUO2_TqVre" TargetMode="External"/><Relationship Id="rId826" Type="http://schemas.openxmlformats.org/officeDocument/2006/relationships/hyperlink" Target="https://drive.google.com/open?id=1Q5GMCVckTkUPmFClgwFbhIBJQoGCbaVW" TargetMode="External"/><Relationship Id="rId825" Type="http://schemas.openxmlformats.org/officeDocument/2006/relationships/hyperlink" Target="https://drive.google.com/open?id=1s4klhgylLVGIXanr9csSxuSeKz4vZLJX" TargetMode="External"/><Relationship Id="rId824" Type="http://schemas.openxmlformats.org/officeDocument/2006/relationships/hyperlink" Target="https://drive.google.com/open?id=1aiypwYkruZ2IGeQvC3YmHOdG8vdDsQGO" TargetMode="External"/><Relationship Id="rId823" Type="http://schemas.openxmlformats.org/officeDocument/2006/relationships/hyperlink" Target="https://drive.google.com/open?id=1TsbsfidT6OITF_T7U8hH5XiAyr032asb" TargetMode="External"/><Relationship Id="rId819" Type="http://schemas.openxmlformats.org/officeDocument/2006/relationships/hyperlink" Target="https://drive.google.com/open?id=1FIBk7HZmVnj6wEZ2Z8jCFMIDSRer5yBE" TargetMode="External"/><Relationship Id="rId818" Type="http://schemas.openxmlformats.org/officeDocument/2006/relationships/hyperlink" Target="https://drive.google.com/open?id=1d5qFesyD16VT7VtEEMNNkQ2ayNMHZ8AM" TargetMode="External"/><Relationship Id="rId817" Type="http://schemas.openxmlformats.org/officeDocument/2006/relationships/hyperlink" Target="https://drive.google.com/open?id=17gZfKbLqYE9ffLFRluzuZqT6gkFX34NH" TargetMode="External"/><Relationship Id="rId816" Type="http://schemas.openxmlformats.org/officeDocument/2006/relationships/hyperlink" Target="https://drive.google.com/open?id=1cyYbvIqTd7YW_yIoikX3lc-cGcEhy6gc" TargetMode="External"/><Relationship Id="rId811" Type="http://schemas.openxmlformats.org/officeDocument/2006/relationships/hyperlink" Target="https://drive.google.com/open?id=1uKk1T1Di9Y4uNozOHRTcZR3E6tteFd7y" TargetMode="External"/><Relationship Id="rId810" Type="http://schemas.openxmlformats.org/officeDocument/2006/relationships/hyperlink" Target="https://drive.google.com/open?id=1UCx_u120klQ5wSoO3_xNchexap5-LmG0" TargetMode="External"/><Relationship Id="rId815" Type="http://schemas.openxmlformats.org/officeDocument/2006/relationships/hyperlink" Target="https://drive.google.com/open?id=1Xj9KzNMsM6WcIG8-GeA1LU1u2JTTf_Bq" TargetMode="External"/><Relationship Id="rId814" Type="http://schemas.openxmlformats.org/officeDocument/2006/relationships/hyperlink" Target="https://drive.google.com/open?id=1LFUyp5YRCivmeIbZF-CGoDhgozt6jQbZ" TargetMode="External"/><Relationship Id="rId813" Type="http://schemas.openxmlformats.org/officeDocument/2006/relationships/hyperlink" Target="https://drive.google.com/open?id=1RRuYRigdEBQ1eAosRzEFFYAigVO57g57" TargetMode="External"/><Relationship Id="rId812" Type="http://schemas.openxmlformats.org/officeDocument/2006/relationships/hyperlink" Target="https://drive.google.com/open?id=1IAC0em-qxuam4fMn-ohWTuJP_a575R8W" TargetMode="External"/><Relationship Id="rId609" Type="http://schemas.openxmlformats.org/officeDocument/2006/relationships/hyperlink" Target="https://drive.google.com/open?id=1Kal1N6K2EwoiVIFdgyLwTla_buY2Trg3" TargetMode="External"/><Relationship Id="rId608" Type="http://schemas.openxmlformats.org/officeDocument/2006/relationships/hyperlink" Target="https://drive.google.com/open?id=1cZwzCrgjydVRl_P59F5QoV73Id3oCi6-" TargetMode="External"/><Relationship Id="rId607" Type="http://schemas.openxmlformats.org/officeDocument/2006/relationships/hyperlink" Target="https://drive.google.com/open?id=1nwKR9-wZ6hzNdf0Xr_66dAq2UYEBxwFX" TargetMode="External"/><Relationship Id="rId849" Type="http://schemas.openxmlformats.org/officeDocument/2006/relationships/hyperlink" Target="https://drive.google.com/open?id=1QlIX3s8jifcDW6p4L7gBLu39-XIzTqIt" TargetMode="External"/><Relationship Id="rId602" Type="http://schemas.openxmlformats.org/officeDocument/2006/relationships/hyperlink" Target="https://drive.google.com/file/d/1QjpSiGEHdRRoYdiIG8WMRvCfbRDsWhF6/view?usp=sharing" TargetMode="External"/><Relationship Id="rId844" Type="http://schemas.openxmlformats.org/officeDocument/2006/relationships/hyperlink" Target="https://drive.google.com/file/d/1dsbVN0AsTTOB1vDZ19VEZiTaw0msS0ut/view?usp=drive_link" TargetMode="External"/><Relationship Id="rId601" Type="http://schemas.openxmlformats.org/officeDocument/2006/relationships/hyperlink" Target="https://drive.google.com/file/d/1FZvF7zvORZ_HYt2MDijWMmaNnVIHfVG1/view?usp=sharing" TargetMode="External"/><Relationship Id="rId843" Type="http://schemas.openxmlformats.org/officeDocument/2006/relationships/hyperlink" Target="https://drive.google.com/open?id=1Oaloj8PDBSBrXEXtjx39G4peAXvSlQgM" TargetMode="External"/><Relationship Id="rId600" Type="http://schemas.openxmlformats.org/officeDocument/2006/relationships/hyperlink" Target="https://drive.google.com/open?id=1vWi6DND9G6_qE4L8H_U-YRiVogdcKbW6" TargetMode="External"/><Relationship Id="rId842" Type="http://schemas.openxmlformats.org/officeDocument/2006/relationships/hyperlink" Target="https://drive.google.com/open?id=16AA7fvX-DSLgZl2oyEXRj-AprcvRvtNk" TargetMode="External"/><Relationship Id="rId841" Type="http://schemas.openxmlformats.org/officeDocument/2006/relationships/hyperlink" Target="https://drive.google.com/open?id=1yByVKJ8ZjuBJ1_j2xfnrq8l530j503-M" TargetMode="External"/><Relationship Id="rId606" Type="http://schemas.openxmlformats.org/officeDocument/2006/relationships/hyperlink" Target="https://drive.google.com/open?id=1KUWOu7oAN0EOCLTlC8vpCFbV1VY09h9k" TargetMode="External"/><Relationship Id="rId848" Type="http://schemas.openxmlformats.org/officeDocument/2006/relationships/hyperlink" Target="https://drive.google.com/open?id=1OQvb7Xa9CnYEA_TJo-zgs7_x2UuoTxlS" TargetMode="External"/><Relationship Id="rId605" Type="http://schemas.openxmlformats.org/officeDocument/2006/relationships/hyperlink" Target="https://drive.google.com/open?id=1f6u6dkWyYk6SNgh-uOB35ba8SZve9YbJ" TargetMode="External"/><Relationship Id="rId847" Type="http://schemas.openxmlformats.org/officeDocument/2006/relationships/hyperlink" Target="https://drive.google.com/open?id=11pDKrEKlMDxziZ4orQ5QZ7D2YnE0qun_" TargetMode="External"/><Relationship Id="rId604" Type="http://schemas.openxmlformats.org/officeDocument/2006/relationships/hyperlink" Target="https://drive.google.com/open?id=1jEqW-YoLKYCrzB6quE9IhJrxhNEWk0Kp" TargetMode="External"/><Relationship Id="rId846" Type="http://schemas.openxmlformats.org/officeDocument/2006/relationships/hyperlink" Target="https://drive.google.com/open?id=1yx1c4wIRewAKcggOeCALUUM2jVuFZhuo" TargetMode="External"/><Relationship Id="rId603" Type="http://schemas.openxmlformats.org/officeDocument/2006/relationships/hyperlink" Target="https://drive.google.com/open?id=1PV-4uOReqLud32EOLqRLoEiZJOjhbOwJ" TargetMode="External"/><Relationship Id="rId845" Type="http://schemas.openxmlformats.org/officeDocument/2006/relationships/hyperlink" Target="https://drive.google.com/open?id=1FKnqxjgtv0HxEMRZ9maDZz77tQRuVAoP" TargetMode="External"/><Relationship Id="rId840" Type="http://schemas.openxmlformats.org/officeDocument/2006/relationships/hyperlink" Target="https://drive.google.com/file/d/1UckujZRj_ijxnFtAIPm1Wu1-Z3hd7QkL/view?usp=drive_link" TargetMode="External"/><Relationship Id="rId839" Type="http://schemas.openxmlformats.org/officeDocument/2006/relationships/hyperlink" Target="https://drive.google.com/file/d/1j87QbV6c93ORg0urepXgfiZzZSq01cvo/view?usp=drive_link" TargetMode="External"/><Relationship Id="rId838" Type="http://schemas.openxmlformats.org/officeDocument/2006/relationships/hyperlink" Target="https://drive.google.com/file/d/1nbFjwKF5k4SRpaAeuSRuvP-6lk-DG9Qd/view?usp=drive_link" TargetMode="External"/><Relationship Id="rId833" Type="http://schemas.openxmlformats.org/officeDocument/2006/relationships/hyperlink" Target="https://drive.google.com/open?id=1jIf6y1DDZ-hFwQES3ywMdwVrGs8Ma5Fp" TargetMode="External"/><Relationship Id="rId832" Type="http://schemas.openxmlformats.org/officeDocument/2006/relationships/hyperlink" Target="https://drive.google.com/open?id=1wsofiMoeHdXEkQIxF5if28lNGMyUz1_k" TargetMode="External"/><Relationship Id="rId831" Type="http://schemas.openxmlformats.org/officeDocument/2006/relationships/hyperlink" Target="https://drive.google.com/open?id=1pzVqEwBQU7_1OiaXVp4YfxepkrjsrTIP" TargetMode="External"/><Relationship Id="rId830" Type="http://schemas.openxmlformats.org/officeDocument/2006/relationships/hyperlink" Target="https://drive.google.com/open?id=1hA7OYF61k_VP3sgqTErw63JZ-nBeNswF" TargetMode="External"/><Relationship Id="rId837" Type="http://schemas.openxmlformats.org/officeDocument/2006/relationships/hyperlink" Target="https://drive.google.com/file/d/12w6COgvH8XPtfEQi8HA7ULk0xY_3jySv/view?usp=drive_link" TargetMode="External"/><Relationship Id="rId836" Type="http://schemas.openxmlformats.org/officeDocument/2006/relationships/hyperlink" Target="https://drive.google.com/file/d/13qbPD7kcrcaHVyG6dnNz0uVMCAWKeaKs/view?usp=drive_link" TargetMode="External"/><Relationship Id="rId835" Type="http://schemas.openxmlformats.org/officeDocument/2006/relationships/hyperlink" Target="https://drive.google.com/open?id=1oGse1tGak-NV3d5mldph77u_idJW6cwb" TargetMode="External"/><Relationship Id="rId834" Type="http://schemas.openxmlformats.org/officeDocument/2006/relationships/hyperlink" Target="https://drive.google.com/open?id=1il8VlVf4u1DsmGYlZlmhD3Bqg8NFu3ak" TargetMode="External"/><Relationship Id="rId1059" Type="http://schemas.openxmlformats.org/officeDocument/2006/relationships/hyperlink" Target="https://drive.google.com/open?id=1FynWDazRSqFfzejdlSyePThfKeXVmkNI" TargetMode="External"/><Relationship Id="rId228" Type="http://schemas.openxmlformats.org/officeDocument/2006/relationships/hyperlink" Target="https://drive.google.com/open?id=1zqvaFKnbCUOgZvA5h7GXyadZqC-nKg3p" TargetMode="External"/><Relationship Id="rId227" Type="http://schemas.openxmlformats.org/officeDocument/2006/relationships/hyperlink" Target="https://drive.google.com/open?id=16NnHDU7JInRK6CHpO-CFj-WZxkxOaPBL" TargetMode="External"/><Relationship Id="rId469" Type="http://schemas.openxmlformats.org/officeDocument/2006/relationships/hyperlink" Target="https://drive.google.com/open?id=1QzqUN0asolro6kPpb1atqziA_5CbNVRf" TargetMode="External"/><Relationship Id="rId226" Type="http://schemas.openxmlformats.org/officeDocument/2006/relationships/hyperlink" Target="https://drive.google.com/open?id=16F058S3ofRLijGkEUOIYMfcU4Q8WDTTC" TargetMode="External"/><Relationship Id="rId468" Type="http://schemas.openxmlformats.org/officeDocument/2006/relationships/hyperlink" Target="https://drive.google.com/open?id=1IwI8PmZo9qb5SBIlCxiAcvXL5HkyeFCa" TargetMode="External"/><Relationship Id="rId225" Type="http://schemas.openxmlformats.org/officeDocument/2006/relationships/hyperlink" Target="https://drive.google.com/open?id=1gwGulCrdkF7Tc_ff6HejnsfK3JrVTecM" TargetMode="External"/><Relationship Id="rId467" Type="http://schemas.openxmlformats.org/officeDocument/2006/relationships/hyperlink" Target="https://drive.google.com/open?id=1Cp1W035P2SdUaK2flY3FhAw6miHjNPjI" TargetMode="External"/><Relationship Id="rId1290" Type="http://schemas.openxmlformats.org/officeDocument/2006/relationships/hyperlink" Target="https://drive.google.com/open?id=1-ehshSu9RgBZJN3X1pcRd7dtsTo4ageE" TargetMode="External"/><Relationship Id="rId1291" Type="http://schemas.openxmlformats.org/officeDocument/2006/relationships/hyperlink" Target="https://drive.google.com/open?id=1oK5t-VQ1Q_zGT0rq6XThVHtb5Zz0utJt" TargetMode="External"/><Relationship Id="rId229" Type="http://schemas.openxmlformats.org/officeDocument/2006/relationships/hyperlink" Target="https://drive.google.com/open?id=1wG29YCpZkWChvNKgjNWYexf2CyuWZOqM" TargetMode="External"/><Relationship Id="rId1050" Type="http://schemas.openxmlformats.org/officeDocument/2006/relationships/hyperlink" Target="https://drive.google.com/file/d/1UuQaYpuN4ExUPwDqHrrA4qYIUQNBPTmy/view?usp=drive_link" TargetMode="External"/><Relationship Id="rId1292" Type="http://schemas.openxmlformats.org/officeDocument/2006/relationships/hyperlink" Target="https://drive.google.com/open?id=13vfFCwm-WTp61r5JWZcCc7E-tp6aQwOA" TargetMode="External"/><Relationship Id="rId220" Type="http://schemas.openxmlformats.org/officeDocument/2006/relationships/hyperlink" Target="https://drive.google.com/open?id=1G6ftajbBh1NpQd9CB0XCr5q3Aq7KQ-vl" TargetMode="External"/><Relationship Id="rId462" Type="http://schemas.openxmlformats.org/officeDocument/2006/relationships/hyperlink" Target="https://drive.google.com/open?id=1ojFxtyNgdjFvJ143pxAZEkx0wiKmB9Wl" TargetMode="External"/><Relationship Id="rId1051" Type="http://schemas.openxmlformats.org/officeDocument/2006/relationships/hyperlink" Target="https://drive.google.com/open?id=17UlGlaDRjD5Me87x1fS949b3yFFnMUBi" TargetMode="External"/><Relationship Id="rId1293" Type="http://schemas.openxmlformats.org/officeDocument/2006/relationships/hyperlink" Target="https://drive.google.com/open?id=1Roy4pTEev7cXjW8K5fubJ2AQBbG-jOhc" TargetMode="External"/><Relationship Id="rId461" Type="http://schemas.openxmlformats.org/officeDocument/2006/relationships/hyperlink" Target="https://drive.google.com/open?id=1keqYUro6cAvl80FxyUuUlACgEps0PzwM" TargetMode="External"/><Relationship Id="rId1052" Type="http://schemas.openxmlformats.org/officeDocument/2006/relationships/hyperlink" Target="https://drive.google.com/open?id=1-Tfi7-f5g7kYveGGKf3rQaBZydpAkntL" TargetMode="External"/><Relationship Id="rId1294" Type="http://schemas.openxmlformats.org/officeDocument/2006/relationships/hyperlink" Target="https://drive.google.com/file/d/1ualuQiMREzy9cKENaZck5azPo9nZ9TWB/view?usp=drive_link" TargetMode="External"/><Relationship Id="rId460" Type="http://schemas.openxmlformats.org/officeDocument/2006/relationships/hyperlink" Target="https://drive.google.com/open?id=1PjCi3iQ1E-KBqyqiIaQU5Yll85r9Fy0t" TargetMode="External"/><Relationship Id="rId1053" Type="http://schemas.openxmlformats.org/officeDocument/2006/relationships/hyperlink" Target="https://drive.google.com/open?id=19E5NRKzcmtunhLyaNFzM7k8Jd9Az9Xe7" TargetMode="External"/><Relationship Id="rId1295" Type="http://schemas.openxmlformats.org/officeDocument/2006/relationships/hyperlink" Target="https://drive.google.com/file/d/1ddnxGakt09V-l3IxdqXvmbUjHT1toX4S/view?usp=drive_link" TargetMode="External"/><Relationship Id="rId1054" Type="http://schemas.openxmlformats.org/officeDocument/2006/relationships/hyperlink" Target="https://drive.google.com/open?id=18jUjv7tN6s4q-nPf-T1A7zb-Nj1Eh_7J" TargetMode="External"/><Relationship Id="rId1296" Type="http://schemas.openxmlformats.org/officeDocument/2006/relationships/hyperlink" Target="https://drive.google.com/open?id=1-JQCOT7nkg9WjmOzM4x1iO_dvzTc7bB0" TargetMode="External"/><Relationship Id="rId224" Type="http://schemas.openxmlformats.org/officeDocument/2006/relationships/hyperlink" Target="https://drive.google.com/open?id=14qnOoInmDGkfHlNVJIYi-u6ZGmQp91uD" TargetMode="External"/><Relationship Id="rId466" Type="http://schemas.openxmlformats.org/officeDocument/2006/relationships/hyperlink" Target="https://drive.google.com/open?id=19gIcnXZnol8BPgkgFifB8z3F8zr1lepu" TargetMode="External"/><Relationship Id="rId1055" Type="http://schemas.openxmlformats.org/officeDocument/2006/relationships/hyperlink" Target="https://drive.google.com/file/d/1jbV-U_JloAEs1D9Mijyo8UVFzoZYSVdm/view?usp=drive_link" TargetMode="External"/><Relationship Id="rId1297" Type="http://schemas.openxmlformats.org/officeDocument/2006/relationships/hyperlink" Target="https://drive.google.com/open?id=1bC83J-lrPIs2VMfscxnjmm6MQ74b_5AW" TargetMode="External"/><Relationship Id="rId223" Type="http://schemas.openxmlformats.org/officeDocument/2006/relationships/hyperlink" Target="https://drive.google.com/open?id=13p_goAQct7KhxsyjwJOOs4f5wCejR0uh" TargetMode="External"/><Relationship Id="rId465" Type="http://schemas.openxmlformats.org/officeDocument/2006/relationships/hyperlink" Target="https://drive.google.com/open?id=1cgwCTeWCevys3LxI-93IgDoeXhOp9wO2" TargetMode="External"/><Relationship Id="rId1056" Type="http://schemas.openxmlformats.org/officeDocument/2006/relationships/hyperlink" Target="https://drive.google.com/file/d/1ri0O2OMVQbUz965sm2mrk0cNNNAoEMFF/view?usp=drive_link" TargetMode="External"/><Relationship Id="rId1298" Type="http://schemas.openxmlformats.org/officeDocument/2006/relationships/hyperlink" Target="https://drive.google.com/open?id=17jv7_20CoICMJkmaPWKKneIq6ZbhUZdi" TargetMode="External"/><Relationship Id="rId222" Type="http://schemas.openxmlformats.org/officeDocument/2006/relationships/hyperlink" Target="https://drive.google.com/open?id=12De6V-GYjqqAZVfw9rQHFe7shPS7Y6vQ" TargetMode="External"/><Relationship Id="rId464" Type="http://schemas.openxmlformats.org/officeDocument/2006/relationships/hyperlink" Target="https://drive.google.com/open?id=1mS4PkYEF6Gs2EXpemEoTAYngjYcyxP_m" TargetMode="External"/><Relationship Id="rId1057" Type="http://schemas.openxmlformats.org/officeDocument/2006/relationships/hyperlink" Target="https://drive.google.com/file/d/1qz4KYU-5zhQWWnRjXDZLHOw33w4Ff3EY/view?usp=drive_link" TargetMode="External"/><Relationship Id="rId1299" Type="http://schemas.openxmlformats.org/officeDocument/2006/relationships/hyperlink" Target="https://drive.google.com/open?id=1ZdzwHAZmZfKrGuU4MbSs35kRnG-zE4XQ" TargetMode="External"/><Relationship Id="rId221" Type="http://schemas.openxmlformats.org/officeDocument/2006/relationships/hyperlink" Target="https://drive.google.com/open?id=1zmKm6su4u2NNqCEEpBIl-lfdcAc-cnkv" TargetMode="External"/><Relationship Id="rId463" Type="http://schemas.openxmlformats.org/officeDocument/2006/relationships/hyperlink" Target="https://drive.google.com/open?id=14hL-fq34Ysh4rlYw0JBMmHGUIO024xR2" TargetMode="External"/><Relationship Id="rId1058" Type="http://schemas.openxmlformats.org/officeDocument/2006/relationships/hyperlink" Target="https://drive.google.com/file/d/1qceikWHiVkh7nPlraytyLGH1mGcU-941/view?usp=drive_link" TargetMode="External"/><Relationship Id="rId1048" Type="http://schemas.openxmlformats.org/officeDocument/2006/relationships/hyperlink" Target="https://drive.google.com/open?id=1GPqrFrCPdA36_VK1o3m1mXL9wdsWRfos" TargetMode="External"/><Relationship Id="rId1049" Type="http://schemas.openxmlformats.org/officeDocument/2006/relationships/hyperlink" Target="https://drive.google.com/open?id=1rS_h8jGS9QvkZpiVwS-OZZTtygDCVeFW" TargetMode="External"/><Relationship Id="rId217" Type="http://schemas.openxmlformats.org/officeDocument/2006/relationships/hyperlink" Target="https://drive.google.com/open?id=15wHuFh1R-BQORy3ZocCawbuixPFxMUmS" TargetMode="External"/><Relationship Id="rId459" Type="http://schemas.openxmlformats.org/officeDocument/2006/relationships/hyperlink" Target="https://drive.google.com/open?id=1ivcrNe1WTx8ukVgv7eLXJIdlbPdjFKfa" TargetMode="External"/><Relationship Id="rId216" Type="http://schemas.openxmlformats.org/officeDocument/2006/relationships/hyperlink" Target="https://drive.google.com/open?id=1DEFU5sDwey5HZzEE_r6baKuOMo-ZWdS4" TargetMode="External"/><Relationship Id="rId458" Type="http://schemas.openxmlformats.org/officeDocument/2006/relationships/hyperlink" Target="https://drive.google.com/open?id=1WvKr1MOzp0RVUi-O5IhYSbHJ_pfe3wKW" TargetMode="External"/><Relationship Id="rId215" Type="http://schemas.openxmlformats.org/officeDocument/2006/relationships/hyperlink" Target="https://drive.google.com/file/d/1rBfJYIww--HNLCpMqHiOkWsYlQK27CdJ/view?usp=sharing" TargetMode="External"/><Relationship Id="rId457" Type="http://schemas.openxmlformats.org/officeDocument/2006/relationships/hyperlink" Target="https://drive.google.com/open?id=1c9tj8DU0Pjef7QmIuUwtZtxlHiTS_nzs" TargetMode="External"/><Relationship Id="rId699" Type="http://schemas.openxmlformats.org/officeDocument/2006/relationships/hyperlink" Target="https://drive.google.com/open?id=1aGseX32o-9Qj3RpZbfdshiPTvsvk8Z6W" TargetMode="External"/><Relationship Id="rId214" Type="http://schemas.openxmlformats.org/officeDocument/2006/relationships/hyperlink" Target="https://drive.google.com/open?id=1ov-sXGP8FxUARhrVpz8NShnkciaAukYP" TargetMode="External"/><Relationship Id="rId456" Type="http://schemas.openxmlformats.org/officeDocument/2006/relationships/hyperlink" Target="https://drive.google.com/open?id=1KW-GWxm51XrRGARm1NQ0b06vGCl2n8HE" TargetMode="External"/><Relationship Id="rId698" Type="http://schemas.openxmlformats.org/officeDocument/2006/relationships/hyperlink" Target="https://drive.google.com/open?id=1sDhVUNyGLkW3li06bufeaUOHiSskH2_g" TargetMode="External"/><Relationship Id="rId219" Type="http://schemas.openxmlformats.org/officeDocument/2006/relationships/hyperlink" Target="https://drive.google.com/open?id=1xmXsfiuNKXXuWWt3z2Da9LGSUQFfj1Ip" TargetMode="External"/><Relationship Id="rId1280" Type="http://schemas.openxmlformats.org/officeDocument/2006/relationships/hyperlink" Target="https://drive.google.com/open?id=10kAK90Y7dnJArVgo-HdJtRikbCV-rVMG" TargetMode="External"/><Relationship Id="rId218" Type="http://schemas.openxmlformats.org/officeDocument/2006/relationships/hyperlink" Target="https://drive.google.com/open?id=1PUS2Rvl7LmLLYsTJNUW1mJ6dE5J-RL_d" TargetMode="External"/><Relationship Id="rId1281" Type="http://schemas.openxmlformats.org/officeDocument/2006/relationships/hyperlink" Target="https://drive.google.com/open?id=1n5zOzWBI1KL6UJ2ZzNK4lq8izfSnviuG" TargetMode="External"/><Relationship Id="rId451" Type="http://schemas.openxmlformats.org/officeDocument/2006/relationships/hyperlink" Target="https://drive.google.com/open?id=10GeL6ofm6IQ5ZUwKmbEgBIYLk6f5hQFU" TargetMode="External"/><Relationship Id="rId693" Type="http://schemas.openxmlformats.org/officeDocument/2006/relationships/hyperlink" Target="https://drive.google.com/open?id=1P-I9H7iGnUrf4hVWOYQZJ3lLvZF2doeN" TargetMode="External"/><Relationship Id="rId1040" Type="http://schemas.openxmlformats.org/officeDocument/2006/relationships/hyperlink" Target="https://drive.google.com/open?id=1eywB1eJtSerINvas357eIFgVd9XEXPXl" TargetMode="External"/><Relationship Id="rId1282" Type="http://schemas.openxmlformats.org/officeDocument/2006/relationships/hyperlink" Target="https://drive.google.com/open?id=1B2P-s4TNj6_uxIbqzCymsyoJ_ZDnHVji" TargetMode="External"/><Relationship Id="rId450" Type="http://schemas.openxmlformats.org/officeDocument/2006/relationships/hyperlink" Target="https://drive.google.com/open?id=1V7k2tepFP7UgzEbIISC6qfN6Qo2bEqvP" TargetMode="External"/><Relationship Id="rId692" Type="http://schemas.openxmlformats.org/officeDocument/2006/relationships/hyperlink" Target="https://drive.google.com/open?id=1sVKhJwsijH-OC7EZdxm1G6CnNIzPaj2O" TargetMode="External"/><Relationship Id="rId1041" Type="http://schemas.openxmlformats.org/officeDocument/2006/relationships/hyperlink" Target="https://drive.google.com/open?id=1a31tJwKxsBS14gqd82Obqwz8TS6WqhkA" TargetMode="External"/><Relationship Id="rId1283" Type="http://schemas.openxmlformats.org/officeDocument/2006/relationships/hyperlink" Target="https://drive.google.com/open?id=1z9HqgELKXlxHd4O5p-mOkG99utvo5B1S" TargetMode="External"/><Relationship Id="rId691" Type="http://schemas.openxmlformats.org/officeDocument/2006/relationships/hyperlink" Target="https://drive.google.com/open?id=1SOClmmVUTChaUjGjGBWiE1rxI0J4Q-nq" TargetMode="External"/><Relationship Id="rId1042" Type="http://schemas.openxmlformats.org/officeDocument/2006/relationships/hyperlink" Target="https://drive.google.com/open?id=1T6gbWMk8FrG4sawH2b0io118FLKhAKPp" TargetMode="External"/><Relationship Id="rId1284" Type="http://schemas.openxmlformats.org/officeDocument/2006/relationships/hyperlink" Target="https://drive.google.com/file/d/1D0ibfXVtfHnlulSjEmR2ksMF7DjaC0rB/view?usp=drive_link" TargetMode="External"/><Relationship Id="rId690" Type="http://schemas.openxmlformats.org/officeDocument/2006/relationships/hyperlink" Target="https://drive.google.com/open?id=1XAYBv4JERF96P_u_f_GGQLspUquiQbGH" TargetMode="External"/><Relationship Id="rId1043" Type="http://schemas.openxmlformats.org/officeDocument/2006/relationships/hyperlink" Target="https://drive.google.com/open?id=1TArINuI0SMFqtvswnIvWDQWe52Uw0tbb" TargetMode="External"/><Relationship Id="rId1285" Type="http://schemas.openxmlformats.org/officeDocument/2006/relationships/hyperlink" Target="https://drive.google.com/open?id=12lhxmer7KP_xXouBVbgPESXDdqDuUQtL" TargetMode="External"/><Relationship Id="rId213" Type="http://schemas.openxmlformats.org/officeDocument/2006/relationships/hyperlink" Target="https://drive.google.com/open?id=1R0PmrWPs5DIriZZH4oz-6PKOe3B6r1gZ" TargetMode="External"/><Relationship Id="rId455" Type="http://schemas.openxmlformats.org/officeDocument/2006/relationships/hyperlink" Target="https://drive.google.com/open?id=1U7KIZPRLGtsXtj_qbKp9NpF8DWg164uX" TargetMode="External"/><Relationship Id="rId697" Type="http://schemas.openxmlformats.org/officeDocument/2006/relationships/hyperlink" Target="https://drive.google.com/open?id=1QlqtCFJcL7PlVHDmA_2uf0TgOfcXKX5J" TargetMode="External"/><Relationship Id="rId1044" Type="http://schemas.openxmlformats.org/officeDocument/2006/relationships/hyperlink" Target="https://drive.google.com/file/d/1YX6G6v0tZyu_3ZNJbtaGxTQyWluW5XNX/view" TargetMode="External"/><Relationship Id="rId1286" Type="http://schemas.openxmlformats.org/officeDocument/2006/relationships/hyperlink" Target="https://drive.google.com/file/d/1OlDYluBtYh4T9sl41og2SHimwqI1sNrN/view?usp=drive_link" TargetMode="External"/><Relationship Id="rId212" Type="http://schemas.openxmlformats.org/officeDocument/2006/relationships/hyperlink" Target="https://drive.google.com/open?id=1xufQCP6q2lz41q9gQ2NVxJBjIlj4d-y2" TargetMode="External"/><Relationship Id="rId454" Type="http://schemas.openxmlformats.org/officeDocument/2006/relationships/hyperlink" Target="https://drive.google.com/open?id=1M8PfEWAaXw0Tuw8obZJJBuoMRMtip6R2" TargetMode="External"/><Relationship Id="rId696" Type="http://schemas.openxmlformats.org/officeDocument/2006/relationships/hyperlink" Target="https://drive.google.com/open?id=1pSn3T-e2jLoAymqsdUaMFymotvmThBy5" TargetMode="External"/><Relationship Id="rId1045" Type="http://schemas.openxmlformats.org/officeDocument/2006/relationships/hyperlink" Target="https://drive.google.com/open?id=1Yj6CwlwA4e5gEUtAntbaX7KDgbpcKvxD" TargetMode="External"/><Relationship Id="rId1287" Type="http://schemas.openxmlformats.org/officeDocument/2006/relationships/hyperlink" Target="https://drive.google.com/open?id=1mfthkfVmJ1A9PfvEf2353ARiJwZB6Pld" TargetMode="External"/><Relationship Id="rId211" Type="http://schemas.openxmlformats.org/officeDocument/2006/relationships/hyperlink" Target="https://drive.google.com/open?id=1UflC0gXbaQOWBigVlvwzaZbZE6X6e1k2" TargetMode="External"/><Relationship Id="rId453" Type="http://schemas.openxmlformats.org/officeDocument/2006/relationships/hyperlink" Target="https://drive.google.com/open?id=1DvubiaYvxG-HxmwGFnkQISHcUnVxYrAt" TargetMode="External"/><Relationship Id="rId695" Type="http://schemas.openxmlformats.org/officeDocument/2006/relationships/hyperlink" Target="https://drive.google.com/open?id=1eJXvx_cCQDi0sOprGfGe2q0hDgl_BQkr" TargetMode="External"/><Relationship Id="rId1046" Type="http://schemas.openxmlformats.org/officeDocument/2006/relationships/hyperlink" Target="https://drive.google.com/open?id=1IOSb4pbqhDAFlRtpZwsaCW2UJ63pXdxD" TargetMode="External"/><Relationship Id="rId1288" Type="http://schemas.openxmlformats.org/officeDocument/2006/relationships/hyperlink" Target="https://drive.google.com/open?id=13P3mZcXp_bTe35EjJruf0bXSHeZ13nu8" TargetMode="External"/><Relationship Id="rId210" Type="http://schemas.openxmlformats.org/officeDocument/2006/relationships/hyperlink" Target="https://drive.google.com/open?id=1hEsGMnKuDBIEGpWptQQ7jrVPFjs-zhq8" TargetMode="External"/><Relationship Id="rId452" Type="http://schemas.openxmlformats.org/officeDocument/2006/relationships/hyperlink" Target="https://drive.google.com/open?id=1mTa8ZQeJPqDaNqzl6kgRNISCM_QqzVPN" TargetMode="External"/><Relationship Id="rId694" Type="http://schemas.openxmlformats.org/officeDocument/2006/relationships/hyperlink" Target="https://drive.google.com/open?id=1o3ZeEH3OXlLIBy5e6SKUQZep99cM5eRk" TargetMode="External"/><Relationship Id="rId1047" Type="http://schemas.openxmlformats.org/officeDocument/2006/relationships/hyperlink" Target="https://drive.google.com/open?id=16dn2o3l0Gv1jMXhCjtY3Yw9z6YvNVTAG" TargetMode="External"/><Relationship Id="rId1289" Type="http://schemas.openxmlformats.org/officeDocument/2006/relationships/hyperlink" Target="https://drive.google.com/open?id=1ANmPf84hlKdrk0akGA91901vOx5rpqb1" TargetMode="External"/><Relationship Id="rId491" Type="http://schemas.openxmlformats.org/officeDocument/2006/relationships/hyperlink" Target="https://drive.google.com/open?id=1NGtYW8lWLTlHUiPzcWqr4Lyzgm4zYpTr" TargetMode="External"/><Relationship Id="rId490" Type="http://schemas.openxmlformats.org/officeDocument/2006/relationships/hyperlink" Target="https://drive.google.com/open?id=1dsfj6l0vJL548NdpisxMbqyHLb1e9EKT" TargetMode="External"/><Relationship Id="rId249" Type="http://schemas.openxmlformats.org/officeDocument/2006/relationships/hyperlink" Target="https://drive.google.com/open?id=1GZugQPlPYb7Fljz1m8mP83xr8JDrGaDl" TargetMode="External"/><Relationship Id="rId248" Type="http://schemas.openxmlformats.org/officeDocument/2006/relationships/hyperlink" Target="https://drive.google.com/open?id=1z-p87qnOEcmu4icPDvuCbqHJEEVjkbWX" TargetMode="External"/><Relationship Id="rId247" Type="http://schemas.openxmlformats.org/officeDocument/2006/relationships/hyperlink" Target="https://drive.google.com/open?id=1c_WuCNAIfgufoYGzPFYKraNfBZrKAViD" TargetMode="External"/><Relationship Id="rId489" Type="http://schemas.openxmlformats.org/officeDocument/2006/relationships/hyperlink" Target="https://drive.google.com/open?id=1cLw96iCvYktrXAiEVYNUGSqT0FXkul0e" TargetMode="External"/><Relationship Id="rId1070" Type="http://schemas.openxmlformats.org/officeDocument/2006/relationships/hyperlink" Target="https://drive.google.com/open?id=1EK_rMaFOYia6dZE0_XoS6hbs_Yvyzw5w" TargetMode="External"/><Relationship Id="rId1071" Type="http://schemas.openxmlformats.org/officeDocument/2006/relationships/hyperlink" Target="https://drive.google.com/file/d/1kPvH4kH-PKjz0K4Z7h-elz8A6hacHGkV/view?usp=drive_link" TargetMode="External"/><Relationship Id="rId1072" Type="http://schemas.openxmlformats.org/officeDocument/2006/relationships/hyperlink" Target="https://drive.google.com/open?id=11OmtAcjh8LVZzxe4cGAimb4Vbvo78zef" TargetMode="External"/><Relationship Id="rId242" Type="http://schemas.openxmlformats.org/officeDocument/2006/relationships/hyperlink" Target="https://drive.google.com/open?id=1ZgToLWUpFYY1Pz0UUOl_y5_C__vMvXsy" TargetMode="External"/><Relationship Id="rId484" Type="http://schemas.openxmlformats.org/officeDocument/2006/relationships/hyperlink" Target="https://drive.google.com/open?id=1emT5U2qBmTI7zv1E_RiT-Lu9hTWP3NNj" TargetMode="External"/><Relationship Id="rId1073" Type="http://schemas.openxmlformats.org/officeDocument/2006/relationships/hyperlink" Target="https://drive.google.com/file/d/1sdmFoveod6WmmeLc9S_lQkkoNPff0YxW/view?usp=drive_link" TargetMode="External"/><Relationship Id="rId241" Type="http://schemas.openxmlformats.org/officeDocument/2006/relationships/hyperlink" Target="https://drive.google.com/open?id=1YP_TIrfkQJhnLc4wAEHhtEnmudxtExvE" TargetMode="External"/><Relationship Id="rId483" Type="http://schemas.openxmlformats.org/officeDocument/2006/relationships/hyperlink" Target="https://drive.google.com/open?id=11y8S7hTrS5-8lWhXaaITB53iXZo6KZWB" TargetMode="External"/><Relationship Id="rId1074" Type="http://schemas.openxmlformats.org/officeDocument/2006/relationships/hyperlink" Target="https://drive.google.com/file/d/1JWbJ_rarte4w03mBu6Nk7OkRvvUF0KVT/view?usp=drive_link" TargetMode="External"/><Relationship Id="rId240" Type="http://schemas.openxmlformats.org/officeDocument/2006/relationships/hyperlink" Target="https://drive.google.com/open?id=1Cyx_ovKLYXEFNmktL0GQ3rInHBIJ_8HY" TargetMode="External"/><Relationship Id="rId482" Type="http://schemas.openxmlformats.org/officeDocument/2006/relationships/hyperlink" Target="https://drive.google.com/open?id=1c4r04kcMS_i3ePNcYPvto3RuoPj40Pzs" TargetMode="External"/><Relationship Id="rId1075" Type="http://schemas.openxmlformats.org/officeDocument/2006/relationships/hyperlink" Target="https://drive.google.com/open?id=1L8FLYwtT4JykIVINIVUZose4ujJCIs0C" TargetMode="External"/><Relationship Id="rId481" Type="http://schemas.openxmlformats.org/officeDocument/2006/relationships/hyperlink" Target="https://drive.google.com/open?id=1wvMlldvORZhiwZQ_2r0eyRVa4CHPux7-" TargetMode="External"/><Relationship Id="rId1076" Type="http://schemas.openxmlformats.org/officeDocument/2006/relationships/hyperlink" Target="https://drive.google.com/file/d/1TGstwvHQM1UaFxwp--tEbCiyzteYNGhI/view?usp=drive_link" TargetMode="External"/><Relationship Id="rId246" Type="http://schemas.openxmlformats.org/officeDocument/2006/relationships/hyperlink" Target="https://drive.google.com/open?id=1HQJHm8YiVb_kiuSdvrKexHSGOMMVj27K" TargetMode="External"/><Relationship Id="rId488" Type="http://schemas.openxmlformats.org/officeDocument/2006/relationships/hyperlink" Target="https://drive.google.com/open?id=1TNiw2NrZ1Ey_aDwFR2lHNpDgIzBZE_TU" TargetMode="External"/><Relationship Id="rId1077" Type="http://schemas.openxmlformats.org/officeDocument/2006/relationships/hyperlink" Target="https://drive.google.com/open?id=1dVhiLRbE8kj7gG6ZrtxtZPrFJQW7z7CK" TargetMode="External"/><Relationship Id="rId245" Type="http://schemas.openxmlformats.org/officeDocument/2006/relationships/hyperlink" Target="https://drive.google.com/open?id=1GpvAoCPvg9Z_npesaqGCA-9dn3kkDssu" TargetMode="External"/><Relationship Id="rId487" Type="http://schemas.openxmlformats.org/officeDocument/2006/relationships/hyperlink" Target="https://drive.google.com/open?id=1cDWV-6Nh_pYYv4UlIXnGwp-INOUrbBP4" TargetMode="External"/><Relationship Id="rId1078" Type="http://schemas.openxmlformats.org/officeDocument/2006/relationships/hyperlink" Target="https://drive.google.com/open?id=1m9trDQ2cln7oGVlvz1IfKqixlikoZkL3" TargetMode="External"/><Relationship Id="rId244" Type="http://schemas.openxmlformats.org/officeDocument/2006/relationships/hyperlink" Target="https://drive.google.com/open?id=1ePG7YGeGVSwo83uE7xCwzGTgAK-7cArv" TargetMode="External"/><Relationship Id="rId486" Type="http://schemas.openxmlformats.org/officeDocument/2006/relationships/hyperlink" Target="https://drive.google.com/open?id=1OKtPFQtWVaVW4eYVGTna_iFG0Yin7v_6" TargetMode="External"/><Relationship Id="rId1079" Type="http://schemas.openxmlformats.org/officeDocument/2006/relationships/hyperlink" Target="https://drive.google.com/open?id=1spRqtGz4oKwDnKrN3anLsU8Q7ejRMEY2" TargetMode="External"/><Relationship Id="rId243" Type="http://schemas.openxmlformats.org/officeDocument/2006/relationships/hyperlink" Target="https://drive.google.com/open?id=13-e0QourTePWt4Kp2zbtuX3OR_aU5GRa" TargetMode="External"/><Relationship Id="rId485" Type="http://schemas.openxmlformats.org/officeDocument/2006/relationships/hyperlink" Target="https://drive.google.com/open?id=1LaeJOY9DsEzhyY5euIa67Av_vxvrTqIU" TargetMode="External"/><Relationship Id="rId480" Type="http://schemas.openxmlformats.org/officeDocument/2006/relationships/hyperlink" Target="https://drive.google.com/open?id=1NvJjfbinrXcddUF8xVeXL8QuomFQSVA4" TargetMode="External"/><Relationship Id="rId239" Type="http://schemas.openxmlformats.org/officeDocument/2006/relationships/hyperlink" Target="https://drive.google.com/open?id=1EYOKAxaCjDMaZuuCu1tVYPeTgzmgzSph" TargetMode="External"/><Relationship Id="rId238" Type="http://schemas.openxmlformats.org/officeDocument/2006/relationships/hyperlink" Target="https://drive.google.com/open?id=1qweIClmM2tByKy4Ti5rM5xBmGCFQwUOr" TargetMode="External"/><Relationship Id="rId237" Type="http://schemas.openxmlformats.org/officeDocument/2006/relationships/hyperlink" Target="https://drive.google.com/open?id=1kW4L8oFyCPKkZ_EdnS7pCyIdYyB9SS7w" TargetMode="External"/><Relationship Id="rId479" Type="http://schemas.openxmlformats.org/officeDocument/2006/relationships/hyperlink" Target="https://drive.google.com/open?id=1aCdU2315iUFtbaMxxz3O_wc3EwStqxso" TargetMode="External"/><Relationship Id="rId236" Type="http://schemas.openxmlformats.org/officeDocument/2006/relationships/hyperlink" Target="https://drive.google.com/open?id=13hrNTsuVlchrsQMcyUeFFAkQRhSeAER8" TargetMode="External"/><Relationship Id="rId478" Type="http://schemas.openxmlformats.org/officeDocument/2006/relationships/hyperlink" Target="https://drive.google.com/open?id=1VjZo7Tptca2B14cLTK6sp0DL8do2dsNB" TargetMode="External"/><Relationship Id="rId1060" Type="http://schemas.openxmlformats.org/officeDocument/2006/relationships/hyperlink" Target="https://drive.google.com/open?id=1GTaYN_65bVCDWhUJDME9Wn8tgzBSjyJq" TargetMode="External"/><Relationship Id="rId1061" Type="http://schemas.openxmlformats.org/officeDocument/2006/relationships/hyperlink" Target="https://drive.google.com/open?id=12IxK8T9AF9e8TWnOEiBRV-tlSXgDhC-E" TargetMode="External"/><Relationship Id="rId231" Type="http://schemas.openxmlformats.org/officeDocument/2006/relationships/hyperlink" Target="https://drive.google.com/open?id=1KjtzrwJdWxQGysgO7dDNRIwi-LQgjRgj" TargetMode="External"/><Relationship Id="rId473" Type="http://schemas.openxmlformats.org/officeDocument/2006/relationships/hyperlink" Target="https://drive.google.com/open?id=1npL-5xfr0rzkXvXA1ZuGWYxjSKsHx1zn" TargetMode="External"/><Relationship Id="rId1062" Type="http://schemas.openxmlformats.org/officeDocument/2006/relationships/hyperlink" Target="https://drive.google.com/open?id=1TINbeKBAAfJdau_v8soIe4Lxvn6Pphi4" TargetMode="External"/><Relationship Id="rId230" Type="http://schemas.openxmlformats.org/officeDocument/2006/relationships/hyperlink" Target="https://drive.google.com/open?id=1cKS4Aciad3y2lA-_Np13z6ZIIPGoQsFg" TargetMode="External"/><Relationship Id="rId472" Type="http://schemas.openxmlformats.org/officeDocument/2006/relationships/hyperlink" Target="https://drive.google.com/open?id=1tgpZfYSqtb9K6VrhSTqZRvr6JikTowev" TargetMode="External"/><Relationship Id="rId1063" Type="http://schemas.openxmlformats.org/officeDocument/2006/relationships/hyperlink" Target="https://drive.google.com/file/d/1-p5u1E9O2jxjY8tLRL76eiE-cjkEId4h/view?usp=drive_link" TargetMode="External"/><Relationship Id="rId471" Type="http://schemas.openxmlformats.org/officeDocument/2006/relationships/hyperlink" Target="https://drive.google.com/open?id=1LvEZw5B-SZsgjVICLnQxBM5U3IqeLvxd" TargetMode="External"/><Relationship Id="rId1064" Type="http://schemas.openxmlformats.org/officeDocument/2006/relationships/hyperlink" Target="https://drive.google.com/open?id=1vFCIZGI8MLcFUZv-GZRv7m7gPI6gS5am" TargetMode="External"/><Relationship Id="rId470" Type="http://schemas.openxmlformats.org/officeDocument/2006/relationships/hyperlink" Target="https://drive.google.com/open?id=1MKsO4yto0M2w4ih4I0MsKoFrdexchEU3" TargetMode="External"/><Relationship Id="rId1065" Type="http://schemas.openxmlformats.org/officeDocument/2006/relationships/hyperlink" Target="https://drive.google.com/open?id=1hn-T7UgMCQb7DBSVSekJ070Wy4dvnNkQ" TargetMode="External"/><Relationship Id="rId235" Type="http://schemas.openxmlformats.org/officeDocument/2006/relationships/hyperlink" Target="https://drive.google.com/open?id=1s8o0lort_B-bCSWZt2iHl47lpXvcGr3D" TargetMode="External"/><Relationship Id="rId477" Type="http://schemas.openxmlformats.org/officeDocument/2006/relationships/hyperlink" Target="https://drive.google.com/open?id=16tV_osyh0IojsONQrIoEAR5jswXZPcR0" TargetMode="External"/><Relationship Id="rId1066" Type="http://schemas.openxmlformats.org/officeDocument/2006/relationships/hyperlink" Target="https://drive.google.com/open?id=1vd5uP5Ltq2nSBS_OURlH8Ut3edvUtlk7" TargetMode="External"/><Relationship Id="rId234" Type="http://schemas.openxmlformats.org/officeDocument/2006/relationships/hyperlink" Target="https://drive.google.com/open?id=1fzFlOpnqdBT65NKzTdEVLNr3bW7DCyYx" TargetMode="External"/><Relationship Id="rId476" Type="http://schemas.openxmlformats.org/officeDocument/2006/relationships/hyperlink" Target="https://drive.google.com/open?id=1Oji8bpMEg9r7QHWfVPaaVN34WteUwUk7" TargetMode="External"/><Relationship Id="rId1067" Type="http://schemas.openxmlformats.org/officeDocument/2006/relationships/hyperlink" Target="https://drive.google.com/open?id=1hkMgxkUMh1kMCUZf8022yuVgzaw_OZGl" TargetMode="External"/><Relationship Id="rId233" Type="http://schemas.openxmlformats.org/officeDocument/2006/relationships/hyperlink" Target="https://drive.google.com/open?id=1YP_TIrfkQJhnLc4wAEHhtEnmudxtExvE" TargetMode="External"/><Relationship Id="rId475" Type="http://schemas.openxmlformats.org/officeDocument/2006/relationships/hyperlink" Target="https://drive.google.com/open?id=1jN4FSsIUJL8OisAJWVZhtTCxrKdfjqmr" TargetMode="External"/><Relationship Id="rId1068" Type="http://schemas.openxmlformats.org/officeDocument/2006/relationships/hyperlink" Target="https://drive.google.com/file/d/180os61bYtf5qw8YU68Q3kJXM2YIVHvIC/view?usp=drive_link" TargetMode="External"/><Relationship Id="rId232" Type="http://schemas.openxmlformats.org/officeDocument/2006/relationships/hyperlink" Target="https://drive.google.com/open?id=1cldsvPBlDr2zrQE7azU46GMHmQik_-lj" TargetMode="External"/><Relationship Id="rId474" Type="http://schemas.openxmlformats.org/officeDocument/2006/relationships/hyperlink" Target="https://drive.google.com/open?id=10zwrrb3ais3rP6Qi0rfcqolfWtby-1Kz" TargetMode="External"/><Relationship Id="rId1069" Type="http://schemas.openxmlformats.org/officeDocument/2006/relationships/hyperlink" Target="https://drive.google.com/open?id=1tFGfAliW01rbc5LI8Mu47qmtOOTHvQJp" TargetMode="External"/><Relationship Id="rId1015" Type="http://schemas.openxmlformats.org/officeDocument/2006/relationships/hyperlink" Target="https://drive.google.com/open?id=16NfHoFKpIhQLrdiaA30xSjjfnmQk5WuR" TargetMode="External"/><Relationship Id="rId1257" Type="http://schemas.openxmlformats.org/officeDocument/2006/relationships/hyperlink" Target="https://drive.google.com/open?id=11MXI7wcAI2t2sLFelu3QsNP7_tb7oU-L" TargetMode="External"/><Relationship Id="rId1016" Type="http://schemas.openxmlformats.org/officeDocument/2006/relationships/hyperlink" Target="https://drive.google.com/file/d/1n3i5B52SNoByY92z_GX7pD6py0pGv52M/view?usp=sharing" TargetMode="External"/><Relationship Id="rId1258" Type="http://schemas.openxmlformats.org/officeDocument/2006/relationships/hyperlink" Target="https://drive.google.com/open?id=1bIvUW8bIlFzGEGl06gL5bivx4eLLqnj7" TargetMode="External"/><Relationship Id="rId1017" Type="http://schemas.openxmlformats.org/officeDocument/2006/relationships/hyperlink" Target="https://drive.google.com/file/d/1216Tn0ckwQv7SnJPE8bep8szzAgEae5n/view?usp=drive_link" TargetMode="External"/><Relationship Id="rId1259" Type="http://schemas.openxmlformats.org/officeDocument/2006/relationships/hyperlink" Target="https://drive.google.com/open?id=12F-8rEeJuhN1Mh3pXEoLJkRse8cfn9Bp" TargetMode="External"/><Relationship Id="rId1018" Type="http://schemas.openxmlformats.org/officeDocument/2006/relationships/hyperlink" Target="https://drive.google.com/open?id=15hAN9vrZgMc8TrNwiSCOfI3A30Q0Flsd" TargetMode="External"/><Relationship Id="rId1019" Type="http://schemas.openxmlformats.org/officeDocument/2006/relationships/hyperlink" Target="https://drive.google.com/open?id=13JAJq2irAbPB28YLIumJkUnO2iIaQlng" TargetMode="External"/><Relationship Id="rId426" Type="http://schemas.openxmlformats.org/officeDocument/2006/relationships/hyperlink" Target="https://drive.google.com/open?id=1frKNgY9Hhe9pPWjDOJDxhvS7XINIJ3U8" TargetMode="External"/><Relationship Id="rId668" Type="http://schemas.openxmlformats.org/officeDocument/2006/relationships/hyperlink" Target="https://drive.google.com/open?id=1OUpD6FW69BdPl73yjWdKxLSi9PlFYvYW" TargetMode="External"/><Relationship Id="rId425" Type="http://schemas.openxmlformats.org/officeDocument/2006/relationships/hyperlink" Target="https://drive.google.com/open?id=1_wU7gzAJJWj7llvS6C4CPHhVYA0SQst5" TargetMode="External"/><Relationship Id="rId667" Type="http://schemas.openxmlformats.org/officeDocument/2006/relationships/hyperlink" Target="https://drive.google.com/open?id=1xe1P6g9hp9ZI1EpW-gUuoUOogcJ7hVDw" TargetMode="External"/><Relationship Id="rId424" Type="http://schemas.openxmlformats.org/officeDocument/2006/relationships/hyperlink" Target="https://drive.google.com/open?id=17hwGbzoojuIaVWl27sG5ERbnEv7stIU9" TargetMode="External"/><Relationship Id="rId666" Type="http://schemas.openxmlformats.org/officeDocument/2006/relationships/hyperlink" Target="https://drive.google.com/open?id=1eu85pmOE3QFidy4a9PnlYtUT6ENf01n_" TargetMode="External"/><Relationship Id="rId423" Type="http://schemas.openxmlformats.org/officeDocument/2006/relationships/hyperlink" Target="https://drive.google.com/open?id=14415bcUiIt0OwWttq0MVBRUMY27gpcm-" TargetMode="External"/><Relationship Id="rId665" Type="http://schemas.openxmlformats.org/officeDocument/2006/relationships/hyperlink" Target="https://drive.google.com/open?id=1hww_2rusWtMth5klMJ-Cw7PBLb8FiQNm" TargetMode="External"/><Relationship Id="rId429" Type="http://schemas.openxmlformats.org/officeDocument/2006/relationships/hyperlink" Target="https://drive.google.com/open?id=1101oG7TG3wlceoQCEdFlH8bfILiA4hte" TargetMode="External"/><Relationship Id="rId428" Type="http://schemas.openxmlformats.org/officeDocument/2006/relationships/hyperlink" Target="https://drive.google.com/open?id=1Wq_qH2W793Iht8HuuSnmlYk2ffuajcWG" TargetMode="External"/><Relationship Id="rId427" Type="http://schemas.openxmlformats.org/officeDocument/2006/relationships/hyperlink" Target="https://drive.google.com/open?id=1NTjWUhCPhcjoXoVZnd9FawEnvBjs9h0L" TargetMode="External"/><Relationship Id="rId669" Type="http://schemas.openxmlformats.org/officeDocument/2006/relationships/hyperlink" Target="https://drive.google.com/file/d/1g-n-OmT5GNKP4BHKPeNPIOjUQjzpBF5m/view?usp=drive_link" TargetMode="External"/><Relationship Id="rId660" Type="http://schemas.openxmlformats.org/officeDocument/2006/relationships/hyperlink" Target="https://drive.google.com/open?id=1uQZmplAeW_khsU3rTwrJzv3YRIshkb_Z" TargetMode="External"/><Relationship Id="rId1250" Type="http://schemas.openxmlformats.org/officeDocument/2006/relationships/hyperlink" Target="https://drive.google.com/open?id=1vs86z4urY34PTu4OGMbJN0_TNZAnPECk" TargetMode="External"/><Relationship Id="rId1251" Type="http://schemas.openxmlformats.org/officeDocument/2006/relationships/hyperlink" Target="https://drive.google.com/open?id=1plLqCZnzbpu7rmtmJsZyrIte0EAA7Iv0" TargetMode="External"/><Relationship Id="rId1010" Type="http://schemas.openxmlformats.org/officeDocument/2006/relationships/hyperlink" Target="https://drive.google.com/file/d/1KPX4jd5JH58Y6C6Sq6Ial_PPJSCvHxwy/view?usp=drive_link" TargetMode="External"/><Relationship Id="rId1252" Type="http://schemas.openxmlformats.org/officeDocument/2006/relationships/hyperlink" Target="https://drive.google.com/open?id=15y9Yyz7X9noodOnSRt0RbwUyCKGpleWl" TargetMode="External"/><Relationship Id="rId422" Type="http://schemas.openxmlformats.org/officeDocument/2006/relationships/hyperlink" Target="https://drive.google.com/open?id=1PJgs2WNfiQZ7wg7A4zHe-hZQV-rjwlkG" TargetMode="External"/><Relationship Id="rId664" Type="http://schemas.openxmlformats.org/officeDocument/2006/relationships/hyperlink" Target="https://drive.google.com/open?id=1U4ieeYJ52OsdppXiGXvc6plYBcKWIpb8" TargetMode="External"/><Relationship Id="rId1011" Type="http://schemas.openxmlformats.org/officeDocument/2006/relationships/hyperlink" Target="https://drive.google.com/file/d/1qSSeeEb2Ky9SkFsdMBK4kCEZH7OQhlx4/view?usp=drive_link" TargetMode="External"/><Relationship Id="rId1253" Type="http://schemas.openxmlformats.org/officeDocument/2006/relationships/hyperlink" Target="https://drive.google.com/open?id=1YX9YAZlVjT5kD-XF43YajsXIv846eWgK" TargetMode="External"/><Relationship Id="rId421" Type="http://schemas.openxmlformats.org/officeDocument/2006/relationships/hyperlink" Target="https://drive.google.com/open?id=1KmyzPyPu-ErGIbNJdoApjOD-Q37LzEpr" TargetMode="External"/><Relationship Id="rId663" Type="http://schemas.openxmlformats.org/officeDocument/2006/relationships/hyperlink" Target="https://drive.google.com/open?id=1djkDcKLs_JZpfL9r1S56fg5zDIq4I29A" TargetMode="External"/><Relationship Id="rId1012" Type="http://schemas.openxmlformats.org/officeDocument/2006/relationships/hyperlink" Target="https://drive.google.com/open?id=1q5LCraaTyUj30JQtNozSZuTnDYYrJS5F" TargetMode="External"/><Relationship Id="rId1254" Type="http://schemas.openxmlformats.org/officeDocument/2006/relationships/hyperlink" Target="https://drive.google.com/open?id=1J6fG3gIRmm3qCl6AvqptOmI5AWMGQobI" TargetMode="External"/><Relationship Id="rId420" Type="http://schemas.openxmlformats.org/officeDocument/2006/relationships/hyperlink" Target="https://drive.google.com/open?id=15qd3A3eppIx9uk8Rlku9ZcL765ru7Ji6" TargetMode="External"/><Relationship Id="rId662" Type="http://schemas.openxmlformats.org/officeDocument/2006/relationships/hyperlink" Target="https://drive.google.com/open?id=1aGAseoBlwfoaZxJ35Py_s_uYcUo-5I25" TargetMode="External"/><Relationship Id="rId1013" Type="http://schemas.openxmlformats.org/officeDocument/2006/relationships/hyperlink" Target="https://drive.google.com/open?id=1E7qcQWcI-PvvH9GkWtmdtX3bTKAwvacy" TargetMode="External"/><Relationship Id="rId1255" Type="http://schemas.openxmlformats.org/officeDocument/2006/relationships/hyperlink" Target="https://drive.google.com/open?id=1KjcvlgCaIPTFHA2lvvJhFuOmmN_5c8yX" TargetMode="External"/><Relationship Id="rId661" Type="http://schemas.openxmlformats.org/officeDocument/2006/relationships/hyperlink" Target="https://drive.google.com/open?id=1qZv03A593QBAXNeA0otM4vdTdWGwIr1Y" TargetMode="External"/><Relationship Id="rId1014" Type="http://schemas.openxmlformats.org/officeDocument/2006/relationships/hyperlink" Target="https://drive.google.com/file/d/1HVbSbF8xgE4_TxTkhEA69bPLbLgvibJb/view?usp=drive_link" TargetMode="External"/><Relationship Id="rId1256" Type="http://schemas.openxmlformats.org/officeDocument/2006/relationships/hyperlink" Target="https://drive.google.com/open?id=1qgIICVzh1Y8mNORr4QUgzzuMnYiVBBi1" TargetMode="External"/><Relationship Id="rId1004" Type="http://schemas.openxmlformats.org/officeDocument/2006/relationships/hyperlink" Target="https://drive.google.com/open?id=1oJ0wpo3wSh176CUU_vawTn_oKT0RUxn5" TargetMode="External"/><Relationship Id="rId1246" Type="http://schemas.openxmlformats.org/officeDocument/2006/relationships/hyperlink" Target="https://drive.google.com/open?id=1n8hg6ZqKvkCYJrPY8EZQvcx13SsCU0Sz" TargetMode="External"/><Relationship Id="rId1005" Type="http://schemas.openxmlformats.org/officeDocument/2006/relationships/hyperlink" Target="https://drive.google.com/open?id=1_RDda9LwN5GN_fFSzELQZTCoumsbnjVj" TargetMode="External"/><Relationship Id="rId1247" Type="http://schemas.openxmlformats.org/officeDocument/2006/relationships/hyperlink" Target="https://drive.google.com/open?id=1fjvZ0cqhYIRN7u_To7B4VGAy4VLIYpd4" TargetMode="External"/><Relationship Id="rId1006" Type="http://schemas.openxmlformats.org/officeDocument/2006/relationships/hyperlink" Target="https://drive.google.com/open?id=1Wiuw73NtQv9217KU1Tuhlh9v0wmCFk-Z" TargetMode="External"/><Relationship Id="rId1248" Type="http://schemas.openxmlformats.org/officeDocument/2006/relationships/hyperlink" Target="https://drive.google.com/open?id=1xLdP4MshKdr8V5WL6KkopeC25VNwsQcp" TargetMode="External"/><Relationship Id="rId1007" Type="http://schemas.openxmlformats.org/officeDocument/2006/relationships/hyperlink" Target="https://drive.google.com/open?id=1-uhUtPy87fg2mC9SS79LRk9Kxj9Z2pKn" TargetMode="External"/><Relationship Id="rId1249" Type="http://schemas.openxmlformats.org/officeDocument/2006/relationships/hyperlink" Target="https://drive.google.com/open?id=1_2MmJ2TBo6BksD59MevNlObM_IOSRdrp" TargetMode="External"/><Relationship Id="rId1008" Type="http://schemas.openxmlformats.org/officeDocument/2006/relationships/hyperlink" Target="https://drive.google.com/open?id=1MGnPk7qVfKgJ08qx4AJkVkXGIB_18sDT" TargetMode="External"/><Relationship Id="rId1009" Type="http://schemas.openxmlformats.org/officeDocument/2006/relationships/hyperlink" Target="https://drive.google.com/file/d/1sU_uFjDftjCa6-HSG71OAUhWQqR7j47w/view?usp=drive_link" TargetMode="External"/><Relationship Id="rId415" Type="http://schemas.openxmlformats.org/officeDocument/2006/relationships/hyperlink" Target="https://drive.google.com/open?id=1RbpkD2I6UMTAxWOskKDijKUwCF7Xv2pi" TargetMode="External"/><Relationship Id="rId657" Type="http://schemas.openxmlformats.org/officeDocument/2006/relationships/hyperlink" Target="https://drive.google.com/file/d/1GmExB1ly3LPCq2jRKxd-Z_j33v51ZYHY/view?usp=sharing" TargetMode="External"/><Relationship Id="rId899" Type="http://schemas.openxmlformats.org/officeDocument/2006/relationships/hyperlink" Target="https://drive.google.com/open?id=1_oOgWOHRd0OsS0-DhUjwUN0tkYAQYlQy" TargetMode="External"/><Relationship Id="rId414" Type="http://schemas.openxmlformats.org/officeDocument/2006/relationships/hyperlink" Target="https://drive.google.com/open?id=1R83_pHzl3j9aOO0CMApn-fWmXHtjtFHT" TargetMode="External"/><Relationship Id="rId656" Type="http://schemas.openxmlformats.org/officeDocument/2006/relationships/hyperlink" Target="https://drive.google.com/open?id=1IYGDoKl36kzOV_WZUuWrJ4eiX17_dxto" TargetMode="External"/><Relationship Id="rId898" Type="http://schemas.openxmlformats.org/officeDocument/2006/relationships/hyperlink" Target="https://drive.google.com/open?id=1m_kGPxGqtLq7_aTlf6nvmjzVARfuhsA9" TargetMode="External"/><Relationship Id="rId413" Type="http://schemas.openxmlformats.org/officeDocument/2006/relationships/hyperlink" Target="https://drive.google.com/open?id=13Vz5Ib4Fx-4f82lRSZXyLQC8MHaS1-l9" TargetMode="External"/><Relationship Id="rId655" Type="http://schemas.openxmlformats.org/officeDocument/2006/relationships/hyperlink" Target="https://drive.google.com/open?id=1iPg3lD2FyXdJq1P6o6BAvlhXQFPWxErA" TargetMode="External"/><Relationship Id="rId897" Type="http://schemas.openxmlformats.org/officeDocument/2006/relationships/hyperlink" Target="https://drive.google.com/open?id=19aNYk3ZoPRDlcd-lYv5mb6SqwTNFdRZm" TargetMode="External"/><Relationship Id="rId412" Type="http://schemas.openxmlformats.org/officeDocument/2006/relationships/hyperlink" Target="https://drive.google.com/open?id=1O3TAQSDArIuUtHqQ_qOBHFSOE2T1VZuY" TargetMode="External"/><Relationship Id="rId654" Type="http://schemas.openxmlformats.org/officeDocument/2006/relationships/hyperlink" Target="https://drive.google.com/open?id=1Ftk66St4UXBFX60wBZ8g2bkKy78NQjf1" TargetMode="External"/><Relationship Id="rId896" Type="http://schemas.openxmlformats.org/officeDocument/2006/relationships/hyperlink" Target="https://drive.google.com/open?id=16mwG-Hh5V5nUdRQyyqnuS_d-b1Qm9y7d" TargetMode="External"/><Relationship Id="rId419" Type="http://schemas.openxmlformats.org/officeDocument/2006/relationships/hyperlink" Target="https://drive.google.com/open?id=17XRdT3x-IXIZQEQMSGYnb9vWea-rW1pa" TargetMode="External"/><Relationship Id="rId418" Type="http://schemas.openxmlformats.org/officeDocument/2006/relationships/hyperlink" Target="https://drive.google.com/open?id=1GDn_lip5LI2q2SYJu9hCZdPKEvctvjI-" TargetMode="External"/><Relationship Id="rId417" Type="http://schemas.openxmlformats.org/officeDocument/2006/relationships/hyperlink" Target="https://drive.google.com/open?id=1Aq6bQybetF-Ds6Rj9_EoaZkt3L0hhoBz" TargetMode="External"/><Relationship Id="rId659" Type="http://schemas.openxmlformats.org/officeDocument/2006/relationships/hyperlink" Target="https://drive.google.com/open?id=1fcotx_8HFVYVk-TXC0-BvqnU41W2cOay" TargetMode="External"/><Relationship Id="rId416" Type="http://schemas.openxmlformats.org/officeDocument/2006/relationships/hyperlink" Target="https://drive.google.com/open?id=1PSfRpZvj3CFxcIyQ6f5zHTjW40FLlK0a" TargetMode="External"/><Relationship Id="rId658" Type="http://schemas.openxmlformats.org/officeDocument/2006/relationships/hyperlink" Target="https://drive.google.com/open?id=1s_YSeHYFg0cLThqv6sfDD3eH3LEPjoPY" TargetMode="External"/><Relationship Id="rId891" Type="http://schemas.openxmlformats.org/officeDocument/2006/relationships/hyperlink" Target="https://drive.google.com/open?id=1ntzhbyJ7wpu_vDB_WmZYfYhYINvf4h4K" TargetMode="External"/><Relationship Id="rId890" Type="http://schemas.openxmlformats.org/officeDocument/2006/relationships/hyperlink" Target="https://drive.google.com/open?id=1EW3D1hQPuzI7WsL-9NmKzIQbNaEWh7gr" TargetMode="External"/><Relationship Id="rId1240" Type="http://schemas.openxmlformats.org/officeDocument/2006/relationships/hyperlink" Target="https://drive.google.com/file/d/1VCRe17H2SHVYCbmH8ER2mpE2GHcOENQ6/view?usp=drive_link" TargetMode="External"/><Relationship Id="rId1241" Type="http://schemas.openxmlformats.org/officeDocument/2006/relationships/hyperlink" Target="https://drive.google.com/file/d/1EKX5M69jJ9ExSE2b0Xae4e1Ku1jNZwsZ/view?usp=drive_link" TargetMode="External"/><Relationship Id="rId411" Type="http://schemas.openxmlformats.org/officeDocument/2006/relationships/hyperlink" Target="https://drive.google.com/open?id=1Zc4gwY5jGyX1W4gpeh8pYagIFjo7kMmB" TargetMode="External"/><Relationship Id="rId653" Type="http://schemas.openxmlformats.org/officeDocument/2006/relationships/hyperlink" Target="https://drive.google.com/open?id=1gJnSV-x-4KHKHGlYFdGUA2U8bV1C4vm-" TargetMode="External"/><Relationship Id="rId895" Type="http://schemas.openxmlformats.org/officeDocument/2006/relationships/hyperlink" Target="https://drive.google.com/open?id=1tsTFG873Y9i8lTX04KoKLbwJ3dvNjGwn" TargetMode="External"/><Relationship Id="rId1000" Type="http://schemas.openxmlformats.org/officeDocument/2006/relationships/hyperlink" Target="https://drive.google.com/open?id=1qJ3BBvJRUqG5-iA7PLR6tUtrCr3JLsY8" TargetMode="External"/><Relationship Id="rId1242" Type="http://schemas.openxmlformats.org/officeDocument/2006/relationships/hyperlink" Target="https://drive.google.com/open?id=1MXIOdDelU_XncLihTWGxT2tMp33RZgP6" TargetMode="External"/><Relationship Id="rId410" Type="http://schemas.openxmlformats.org/officeDocument/2006/relationships/hyperlink" Target="https://drive.google.com/open?id=1IX22z2iLbnmXD5oPgBgS0j5Gx7jnN2gu" TargetMode="External"/><Relationship Id="rId652" Type="http://schemas.openxmlformats.org/officeDocument/2006/relationships/hyperlink" Target="https://drive.google.com/open?id=1Vn5nwADCpJNgoMAlcPR5UJnXHL62nF6_" TargetMode="External"/><Relationship Id="rId894" Type="http://schemas.openxmlformats.org/officeDocument/2006/relationships/hyperlink" Target="https://drive.google.com/open?id=15F7oQ_MP7wpO6rFb7HlNbHO_I7R0BfdS" TargetMode="External"/><Relationship Id="rId1001" Type="http://schemas.openxmlformats.org/officeDocument/2006/relationships/hyperlink" Target="https://drive.google.com/open?id=1OLFas_Bc9LmE3QsVowd30j4X04Rg-Ub8" TargetMode="External"/><Relationship Id="rId1243" Type="http://schemas.openxmlformats.org/officeDocument/2006/relationships/hyperlink" Target="https://drive.google.com/open?id=1osr6nZH-i4_ppnO0XKS75mcOqxeS4E4M" TargetMode="External"/><Relationship Id="rId651" Type="http://schemas.openxmlformats.org/officeDocument/2006/relationships/hyperlink" Target="https://drive.google.com/open?id=1ivgG3wJI1fPiOFmTXuzTuwjxGm6uAecT" TargetMode="External"/><Relationship Id="rId893" Type="http://schemas.openxmlformats.org/officeDocument/2006/relationships/hyperlink" Target="https://drive.google.com/open?id=15tIUKTQiLoCli4kTe3SMVpCzzz5oU0b8" TargetMode="External"/><Relationship Id="rId1002" Type="http://schemas.openxmlformats.org/officeDocument/2006/relationships/hyperlink" Target="https://drive.google.com/open?id=1GjvwbIO97dn8nPp898rRc4ki5bpnv73G" TargetMode="External"/><Relationship Id="rId1244" Type="http://schemas.openxmlformats.org/officeDocument/2006/relationships/hyperlink" Target="https://drive.google.com/open?id=1VgVTf0Out9MmejVaMXZNDPSlf0AwYuex" TargetMode="External"/><Relationship Id="rId650" Type="http://schemas.openxmlformats.org/officeDocument/2006/relationships/hyperlink" Target="https://drive.google.com/open?id=18ueNhAYV5QQXWjweC8i48vF5_eixUSzk" TargetMode="External"/><Relationship Id="rId892" Type="http://schemas.openxmlformats.org/officeDocument/2006/relationships/hyperlink" Target="https://drive.google.com/open?id=155nhn_vvLjNQSGCKa8EeCetO4Cg6CZQ7" TargetMode="External"/><Relationship Id="rId1003" Type="http://schemas.openxmlformats.org/officeDocument/2006/relationships/hyperlink" Target="https://drive.google.com/open?id=10BPn7hsPEazLCu1Scm1CRuUGQwOblalC" TargetMode="External"/><Relationship Id="rId1245" Type="http://schemas.openxmlformats.org/officeDocument/2006/relationships/hyperlink" Target="https://drive.google.com/open?id=1zd06YbSxqBI3eCdFsND5qDeoQ3iKaNxp" TargetMode="External"/><Relationship Id="rId1037" Type="http://schemas.openxmlformats.org/officeDocument/2006/relationships/hyperlink" Target="https://drive.google.com/file/d/17a7ps4AC4y59fduyOYFPzeR6ntjix-8u/view?usp=drive_link" TargetMode="External"/><Relationship Id="rId1279" Type="http://schemas.openxmlformats.org/officeDocument/2006/relationships/hyperlink" Target="https://drive.google.com/open?id=1kXROIxE8m3sJPaLI7WdbrAfK-aoUzCRd" TargetMode="External"/><Relationship Id="rId1038" Type="http://schemas.openxmlformats.org/officeDocument/2006/relationships/hyperlink" Target="https://drive.google.com/open?id=1MIYOQXIDEoS8STU6BjLKo8XE5WiiCN8W" TargetMode="External"/><Relationship Id="rId1039" Type="http://schemas.openxmlformats.org/officeDocument/2006/relationships/hyperlink" Target="https://drive.google.com/open?id=118l2jUHbafIJXeLWdZBdSKGFHi3niFTv" TargetMode="External"/><Relationship Id="rId206" Type="http://schemas.openxmlformats.org/officeDocument/2006/relationships/hyperlink" Target="https://drive.google.com/open?id=1xoK_W2JlOQyG1S7a2PZYXy15TT0lVKTL" TargetMode="External"/><Relationship Id="rId448" Type="http://schemas.openxmlformats.org/officeDocument/2006/relationships/hyperlink" Target="https://drive.google.com/open?id=1RLQrBTTu5XMw4C2bDTpyrinIdSfR-8ax" TargetMode="External"/><Relationship Id="rId205" Type="http://schemas.openxmlformats.org/officeDocument/2006/relationships/hyperlink" Target="https://drive.google.com/file/d/1ocmf0DW1NU2yCLmXoADOEttVtbzzNBSt/view?usp=sharing" TargetMode="External"/><Relationship Id="rId447" Type="http://schemas.openxmlformats.org/officeDocument/2006/relationships/hyperlink" Target="https://drive.google.com/open?id=1IOokRKKV5YfdGI_WKgq4bcySAxcmWeEw" TargetMode="External"/><Relationship Id="rId689" Type="http://schemas.openxmlformats.org/officeDocument/2006/relationships/hyperlink" Target="https://drive.google.com/open?id=19E8Rwa1Fq6zeIyynzqy_1TrRO3XszJPK" TargetMode="External"/><Relationship Id="rId204" Type="http://schemas.openxmlformats.org/officeDocument/2006/relationships/hyperlink" Target="https://drive.google.com/file/d/1ZE7YlLp-92AV_5ncC3NUeMb-_TkTxTnY/view?usp=sharing" TargetMode="External"/><Relationship Id="rId446" Type="http://schemas.openxmlformats.org/officeDocument/2006/relationships/hyperlink" Target="https://drive.google.com/open?id=1wk7Tordn6KaJoxoBC6fwgP-VBNanYhUz" TargetMode="External"/><Relationship Id="rId688" Type="http://schemas.openxmlformats.org/officeDocument/2006/relationships/hyperlink" Target="https://drive.google.com/open?id=1Cl3Lr7NF437aKZwnbBY3nm_SZo7DuI-D" TargetMode="External"/><Relationship Id="rId203" Type="http://schemas.openxmlformats.org/officeDocument/2006/relationships/hyperlink" Target="https://drive.google.com/open?id=1FdrO0DDVe-0nTBa-GqmK3nzv-TvIrmae" TargetMode="External"/><Relationship Id="rId445" Type="http://schemas.openxmlformats.org/officeDocument/2006/relationships/hyperlink" Target="https://drive.google.com/open?id=11qwN6dxeRYUsaju4c_51cScOkA-f6jN8" TargetMode="External"/><Relationship Id="rId687" Type="http://schemas.openxmlformats.org/officeDocument/2006/relationships/hyperlink" Target="https://drive.google.com/open?id=1x63k8BsORceM5st9cFoBfV8kJEZ4zEC4" TargetMode="External"/><Relationship Id="rId209" Type="http://schemas.openxmlformats.org/officeDocument/2006/relationships/hyperlink" Target="https://drive.google.com/open?id=1d5TDJ1_JOxNodo4k-KUIZZNa5DwYEmQI" TargetMode="External"/><Relationship Id="rId208" Type="http://schemas.openxmlformats.org/officeDocument/2006/relationships/hyperlink" Target="https://drive.google.com/open?id=1BkRFo6M1AcmeqD6VTebKk8OSliacFPrK" TargetMode="External"/><Relationship Id="rId207" Type="http://schemas.openxmlformats.org/officeDocument/2006/relationships/hyperlink" Target="https://drive.google.com/open?id=1_8Vjb33JpAOya38BFhZ6EyAqdzy65oQX" TargetMode="External"/><Relationship Id="rId449" Type="http://schemas.openxmlformats.org/officeDocument/2006/relationships/hyperlink" Target="https://drive.google.com/open?id=1l2k6i2hvwLkSYNgJ93wfI2GgRRrJDDKj" TargetMode="External"/><Relationship Id="rId1270" Type="http://schemas.openxmlformats.org/officeDocument/2006/relationships/hyperlink" Target="https://drive.google.com/open?id=1YMV8hyCWrFbWcKHOn82SmALkGmSjFIG6" TargetMode="External"/><Relationship Id="rId440" Type="http://schemas.openxmlformats.org/officeDocument/2006/relationships/hyperlink" Target="https://drive.google.com/open?id=1dkLwO5nB-cPIyh5vAQL-_MnKVetEc0Gw" TargetMode="External"/><Relationship Id="rId682" Type="http://schemas.openxmlformats.org/officeDocument/2006/relationships/hyperlink" Target="https://drive.google.com/open?id=17xjNrgr5_weDwDqlL35zSjrYxMr4wSWm" TargetMode="External"/><Relationship Id="rId1271" Type="http://schemas.openxmlformats.org/officeDocument/2006/relationships/hyperlink" Target="https://drive.google.com/open?id=1PMUK7AKNp6tZg-dPc3VmH_wr-2Qyl_M2" TargetMode="External"/><Relationship Id="rId681" Type="http://schemas.openxmlformats.org/officeDocument/2006/relationships/hyperlink" Target="https://drive.google.com/open?id=1vIJ-e0XKs5-aJcM69N3ghozViTpxGnke" TargetMode="External"/><Relationship Id="rId1030" Type="http://schemas.openxmlformats.org/officeDocument/2006/relationships/hyperlink" Target="https://drive.google.com/file/d/1MyeVG7yAekK_Wv7ZkwfpzeDzZAn5bEa1/view?usp=sharing" TargetMode="External"/><Relationship Id="rId1272" Type="http://schemas.openxmlformats.org/officeDocument/2006/relationships/hyperlink" Target="https://drive.google.com/open?id=1UovsYMBHlgJKcEYwiQqIe59cGtp6hNRJ" TargetMode="External"/><Relationship Id="rId680" Type="http://schemas.openxmlformats.org/officeDocument/2006/relationships/hyperlink" Target="https://drive.google.com/open?id=1sW-mfy3OSN_nRMXE1y8Qy11vlp6Ew_aR" TargetMode="External"/><Relationship Id="rId1031" Type="http://schemas.openxmlformats.org/officeDocument/2006/relationships/hyperlink" Target="https://drive.google.com/open?id=1ChNjzZZd0p-PRGWM_uiNVY2bn8530bYS" TargetMode="External"/><Relationship Id="rId1273" Type="http://schemas.openxmlformats.org/officeDocument/2006/relationships/hyperlink" Target="https://drive.google.com/open?id=1JdEXIgXFrU__zGFN6oY7eJ1eE8oVBUV0" TargetMode="External"/><Relationship Id="rId1032" Type="http://schemas.openxmlformats.org/officeDocument/2006/relationships/hyperlink" Target="https://drive.google.com/open?id=1WLp1Rxr2FQZ0X5QOW12hqmxtmSEAZDfn" TargetMode="External"/><Relationship Id="rId1274" Type="http://schemas.openxmlformats.org/officeDocument/2006/relationships/hyperlink" Target="https://drive.google.com/open?id=19_ZIbDGKNcu1vlsQb965SvbAoiTw1gEJ" TargetMode="External"/><Relationship Id="rId202" Type="http://schemas.openxmlformats.org/officeDocument/2006/relationships/hyperlink" Target="https://drive.google.com/open?id=1OPaxrmCgZK7VNTN9jQLs1fu8AZMtF6Mz" TargetMode="External"/><Relationship Id="rId444" Type="http://schemas.openxmlformats.org/officeDocument/2006/relationships/hyperlink" Target="https://drive.google.com/open?id=1PChbFEy925gfFmnARhqjo2T9CihqXFk5" TargetMode="External"/><Relationship Id="rId686" Type="http://schemas.openxmlformats.org/officeDocument/2006/relationships/hyperlink" Target="https://drive.google.com/open?id=18wpmJAeNm3HzV7UAwI9YDBoemIRNeGxE" TargetMode="External"/><Relationship Id="rId1033" Type="http://schemas.openxmlformats.org/officeDocument/2006/relationships/hyperlink" Target="https://drive.google.com/file/d/1YB7_IUEtCaswuBGC_Ofn-jijH_gw0O6M/view?usp=drive_link" TargetMode="External"/><Relationship Id="rId1275" Type="http://schemas.openxmlformats.org/officeDocument/2006/relationships/hyperlink" Target="https://drive.google.com/open?id=1vKKdXewFz9a9WHE3naglr1ExEod5F4PD" TargetMode="External"/><Relationship Id="rId201" Type="http://schemas.openxmlformats.org/officeDocument/2006/relationships/hyperlink" Target="https://drive.google.com/open?id=14vbFK4GZUywQnuN0tWxzgOna9KRitd-X" TargetMode="External"/><Relationship Id="rId443" Type="http://schemas.openxmlformats.org/officeDocument/2006/relationships/hyperlink" Target="https://drive.google.com/open?id=18xgzlbCySLLYIb1Zd-EYgFU7LSn9MOt5" TargetMode="External"/><Relationship Id="rId685" Type="http://schemas.openxmlformats.org/officeDocument/2006/relationships/hyperlink" Target="https://drive.google.com/open?id=110EylDLNxy54ZhEjYcPc1_mSP006N4Zb" TargetMode="External"/><Relationship Id="rId1034" Type="http://schemas.openxmlformats.org/officeDocument/2006/relationships/hyperlink" Target="https://drive.google.com/open?id=1FSeiTAcFeILAi1Om9fRmzBNojrE0Xx8-" TargetMode="External"/><Relationship Id="rId1276" Type="http://schemas.openxmlformats.org/officeDocument/2006/relationships/hyperlink" Target="https://drive.google.com/open?id=1mkq0bbc_3ppmz3Qu9Opzbvs6nuk_pKxG" TargetMode="External"/><Relationship Id="rId200" Type="http://schemas.openxmlformats.org/officeDocument/2006/relationships/hyperlink" Target="https://drive.google.com/open?id=1xdMC6hVCECPqpRPuffotCq4iGWcT_FH_" TargetMode="External"/><Relationship Id="rId442" Type="http://schemas.openxmlformats.org/officeDocument/2006/relationships/hyperlink" Target="https://drive.google.com/open?id=1PKeUCt8QFKq71ufGzjrxvwpEQS0bpoux" TargetMode="External"/><Relationship Id="rId684" Type="http://schemas.openxmlformats.org/officeDocument/2006/relationships/hyperlink" Target="https://drive.google.com/open?id=14t2__17LvhUtRT6q6oHpoLY0VOujM6H-" TargetMode="External"/><Relationship Id="rId1035" Type="http://schemas.openxmlformats.org/officeDocument/2006/relationships/hyperlink" Target="https://drive.google.com/file/d/1JNhPcqL5ODn7ISyxcVTe80UNm14cSMSr/view?usp=drive_link" TargetMode="External"/><Relationship Id="rId1277" Type="http://schemas.openxmlformats.org/officeDocument/2006/relationships/hyperlink" Target="https://drive.google.com/open?id=1ah3Iv73iy3YCHmGFFt2Dhm142kdkjb-W" TargetMode="External"/><Relationship Id="rId441" Type="http://schemas.openxmlformats.org/officeDocument/2006/relationships/hyperlink" Target="https://drive.google.com/open?id=1y8ADI5ZEgOtVLtKSkfHcoa952pLoYtvj" TargetMode="External"/><Relationship Id="rId683" Type="http://schemas.openxmlformats.org/officeDocument/2006/relationships/hyperlink" Target="https://drive.google.com/open?id=1PJgs2WNfiQZ7wg7A4zHe-hZQV-rjwlkG" TargetMode="External"/><Relationship Id="rId1036" Type="http://schemas.openxmlformats.org/officeDocument/2006/relationships/hyperlink" Target="https://drive.google.com/open?id=1onz1V_9XhR9UPFWTZxPlbWdysMdaJkQC" TargetMode="External"/><Relationship Id="rId1278" Type="http://schemas.openxmlformats.org/officeDocument/2006/relationships/hyperlink" Target="https://drive.google.com/open?id=1_Ryykao8pERo_wYqli_47VZ9YG-6ado4" TargetMode="External"/><Relationship Id="rId1026" Type="http://schemas.openxmlformats.org/officeDocument/2006/relationships/hyperlink" Target="https://drive.google.com/open?id=1OOof4LvqA7sQx6CnH7SdHErJrt3050GO" TargetMode="External"/><Relationship Id="rId1268" Type="http://schemas.openxmlformats.org/officeDocument/2006/relationships/hyperlink" Target="https://drive.google.com/open?id=1ccUZoQjNWDvJ110267M1jVmF4Byv-Goq" TargetMode="External"/><Relationship Id="rId1027" Type="http://schemas.openxmlformats.org/officeDocument/2006/relationships/hyperlink" Target="https://drive.google.com/open?id=19993VUvlHyJI9yv-6gcdoPTqN_fjIslg" TargetMode="External"/><Relationship Id="rId1269" Type="http://schemas.openxmlformats.org/officeDocument/2006/relationships/hyperlink" Target="https://drive.google.com/open?id=12qGoXQmRuElMKshM0apa2CIaoiYNmHoW" TargetMode="External"/><Relationship Id="rId1028" Type="http://schemas.openxmlformats.org/officeDocument/2006/relationships/hyperlink" Target="https://drive.google.com/file/d/1uppktk-1XqyyomF3NM-x64YqwuvXB7jd/view?usp=drive_link" TargetMode="External"/><Relationship Id="rId1029" Type="http://schemas.openxmlformats.org/officeDocument/2006/relationships/hyperlink" Target="https://drive.google.com/open?id=1GuLVHpTNdTmWoG_XZXTqmLUsfwvuDckb" TargetMode="External"/><Relationship Id="rId437" Type="http://schemas.openxmlformats.org/officeDocument/2006/relationships/hyperlink" Target="https://drive.google.com/open?id=1alHwS3rg5ib6W9yGt5JvE6v3TrAVp-4I" TargetMode="External"/><Relationship Id="rId679" Type="http://schemas.openxmlformats.org/officeDocument/2006/relationships/hyperlink" Target="https://drive.google.com/open?id=1gIi8KHFJJSr19DJ_PbZAs7KymHIMi0iV" TargetMode="External"/><Relationship Id="rId436" Type="http://schemas.openxmlformats.org/officeDocument/2006/relationships/hyperlink" Target="https://drive.google.com/open?id=1RuOYDxfISpHluT6l39cuNnsHp6jUrfeG" TargetMode="External"/><Relationship Id="rId678" Type="http://schemas.openxmlformats.org/officeDocument/2006/relationships/hyperlink" Target="https://drive.google.com/open?id=1SuOs5-p_r02aGjll-6Jm--mOWUlkJNC9" TargetMode="External"/><Relationship Id="rId435" Type="http://schemas.openxmlformats.org/officeDocument/2006/relationships/hyperlink" Target="https://drive.google.com/open?id=1gcFLkaKZZDZrMIP77Nk9ZbQXBdxDgDTv" TargetMode="External"/><Relationship Id="rId677" Type="http://schemas.openxmlformats.org/officeDocument/2006/relationships/hyperlink" Target="https://drive.google.com/open?id=1Gara7GrxDGfHLwiH2-Hx7RlEcrCy-eyh" TargetMode="External"/><Relationship Id="rId434" Type="http://schemas.openxmlformats.org/officeDocument/2006/relationships/hyperlink" Target="https://drive.google.com/open?id=1FE00cJ7grVMyb-Ee7ZLuHZleQFfigdtn" TargetMode="External"/><Relationship Id="rId676" Type="http://schemas.openxmlformats.org/officeDocument/2006/relationships/hyperlink" Target="https://drive.google.com/open?id=13DyFfIJLXQ_AKipDIoL7e0daKIHWW2wD" TargetMode="External"/><Relationship Id="rId439" Type="http://schemas.openxmlformats.org/officeDocument/2006/relationships/hyperlink" Target="https://drive.google.com/open?id=1VP_QFVms_N05ghyz_5h2tlDtiJgfLdWU" TargetMode="External"/><Relationship Id="rId438" Type="http://schemas.openxmlformats.org/officeDocument/2006/relationships/hyperlink" Target="https://drive.google.com/open?id=1Ba2nKmzbU-HfZk33sWQkj-9UgLJcPuzT" TargetMode="External"/><Relationship Id="rId671" Type="http://schemas.openxmlformats.org/officeDocument/2006/relationships/hyperlink" Target="https://drive.google.com/open?id=1rScZvxQqyMWXgap7zgWgPBxS1HdLMH3s" TargetMode="External"/><Relationship Id="rId1260" Type="http://schemas.openxmlformats.org/officeDocument/2006/relationships/hyperlink" Target="https://drive.google.com/open?id=1ir7VW0TVFE0hK1eFnVo1jIPbZ271RpJF" TargetMode="External"/><Relationship Id="rId670" Type="http://schemas.openxmlformats.org/officeDocument/2006/relationships/hyperlink" Target="https://drive.google.com/open?id=1JJVWcWUOs0SS5ofGgSdWKQgDRcquQIQa" TargetMode="External"/><Relationship Id="rId1261" Type="http://schemas.openxmlformats.org/officeDocument/2006/relationships/hyperlink" Target="https://drive.google.com/open?id=1Z3t6L3czbUuLnPXKlogBPpOEo0gR0bJ5" TargetMode="External"/><Relationship Id="rId1020" Type="http://schemas.openxmlformats.org/officeDocument/2006/relationships/hyperlink" Target="https://drive.google.com/open?id=1miYrjSb-EOPoYc6puary-rWRlm7zdb6F" TargetMode="External"/><Relationship Id="rId1262" Type="http://schemas.openxmlformats.org/officeDocument/2006/relationships/hyperlink" Target="https://drive.google.com/open?id=1lpOfspmvDnVNEPJ-EdLHI4yyXL8m-j9F" TargetMode="External"/><Relationship Id="rId1021" Type="http://schemas.openxmlformats.org/officeDocument/2006/relationships/hyperlink" Target="https://drive.google.com/file/d/1sMzStmlCWe-9fy6HH6WwbmRCKs8q4MWq/view?usp=drive_link" TargetMode="External"/><Relationship Id="rId1263" Type="http://schemas.openxmlformats.org/officeDocument/2006/relationships/hyperlink" Target="https://drive.google.com/open?id=1mEkK_Ir8cnyw7RXLUzWMloSu6ZgPWqK8" TargetMode="External"/><Relationship Id="rId433" Type="http://schemas.openxmlformats.org/officeDocument/2006/relationships/hyperlink" Target="https://drive.google.com/open?id=10CdULj9PqPP98DZFODgS3QHEEBAcvtry" TargetMode="External"/><Relationship Id="rId675" Type="http://schemas.openxmlformats.org/officeDocument/2006/relationships/hyperlink" Target="https://drive.google.com/open?id=1dJgwn8IXHvGoRkJC590RpoE1Jl_EcUSN" TargetMode="External"/><Relationship Id="rId1022" Type="http://schemas.openxmlformats.org/officeDocument/2006/relationships/hyperlink" Target="https://drive.google.com/open?id=1Wt0Li33T5xKOtK0YMIHoUyY5VKqrSaOx" TargetMode="External"/><Relationship Id="rId1264" Type="http://schemas.openxmlformats.org/officeDocument/2006/relationships/hyperlink" Target="https://drive.google.com/open?id=1TIT9tWwYtTeVl2cw8SlQz0SDVnzkq-dk" TargetMode="External"/><Relationship Id="rId432" Type="http://schemas.openxmlformats.org/officeDocument/2006/relationships/hyperlink" Target="https://drive.google.com/open?id=1VLdrZw1jLoJ3fqSOAWmqddq07rccHXlA" TargetMode="External"/><Relationship Id="rId674" Type="http://schemas.openxmlformats.org/officeDocument/2006/relationships/hyperlink" Target="https://drive.google.com/open?id=1gGgP_Nv7DcBFetFZfSLOBa5udr6Wizcu" TargetMode="External"/><Relationship Id="rId1023" Type="http://schemas.openxmlformats.org/officeDocument/2006/relationships/hyperlink" Target="https://drive.google.com/open?id=1PVu7ny2eIW3TG-9Ta9GdOYsFSfiglO1H" TargetMode="External"/><Relationship Id="rId1265" Type="http://schemas.openxmlformats.org/officeDocument/2006/relationships/hyperlink" Target="https://drive.google.com/open?id=1AKQCC3NS3Af9fxS3kC4RpkUFAuRrbIEm" TargetMode="External"/><Relationship Id="rId431" Type="http://schemas.openxmlformats.org/officeDocument/2006/relationships/hyperlink" Target="https://drive.google.com/open?id=12Cu0f2FYzx3953vFMwN_icmWBXhQ2GKx" TargetMode="External"/><Relationship Id="rId673" Type="http://schemas.openxmlformats.org/officeDocument/2006/relationships/hyperlink" Target="https://drive.google.com/open?id=1Qnx5lFzfcIz9-sqoDM6sdOUfbC5igEt8" TargetMode="External"/><Relationship Id="rId1024" Type="http://schemas.openxmlformats.org/officeDocument/2006/relationships/hyperlink" Target="https://drive.google.com/open?id=1FJk0My7GeH9f_5JsuUj6TJp-ZD-JXNnT" TargetMode="External"/><Relationship Id="rId1266" Type="http://schemas.openxmlformats.org/officeDocument/2006/relationships/hyperlink" Target="https://drive.google.com/file/d/1pundOj6UUNwpdkYsbiON6VuzWr3wFvaa/view?usp=drive_link" TargetMode="External"/><Relationship Id="rId430" Type="http://schemas.openxmlformats.org/officeDocument/2006/relationships/hyperlink" Target="https://drive.google.com/open?id=1_Ln9AXybrNYRjOKjFXmKY8FXihiNwOrb" TargetMode="External"/><Relationship Id="rId672" Type="http://schemas.openxmlformats.org/officeDocument/2006/relationships/hyperlink" Target="https://drive.google.com/open?id=1QDPUBaIEi08CzHiwv_2iUL1ZAQIikutC" TargetMode="External"/><Relationship Id="rId1025" Type="http://schemas.openxmlformats.org/officeDocument/2006/relationships/hyperlink" Target="https://drive.google.com/open?id=13Bpr32n24wJN2i_F6g_na5EAqcigmLhI" TargetMode="External"/><Relationship Id="rId1267" Type="http://schemas.openxmlformats.org/officeDocument/2006/relationships/hyperlink" Target="https://drive.google.com/open?id=10x_dPfpFSvkQhuO0VCGv4lzNQAsIjs4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4" max="4" width="35.25"/>
    <col customWidth="1" min="5" max="5" width="29.75"/>
    <col hidden="1" min="50" max="50" width="12.63"/>
  </cols>
  <sheetData>
    <row r="1" ht="84.0" customHeight="1">
      <c r="A1" s="1" t="s">
        <v>0</v>
      </c>
      <c r="B1" s="2" t="str">
        <f>IFERROR(__xludf.DUMMYFUNCTION("IMPORTRANGE(""https://docs.google.com/spreadsheets/d/1y4c8qrWl_VAhJwJxhjPm9yFj2gC10Yzsv1SnCBUOPpQ/edit?gid=68623660#gid=68623660"",""Form responses 1!A1:AM1000"")"),"Timestamp")</f>
        <v>Timestamp</v>
      </c>
      <c r="C1" s="3" t="str">
        <f>IFERROR(__xludf.DUMMYFUNCTION("""COMPUTED_VALUE"""),"آپ کا نام کیا ہے؟")</f>
        <v>آپ کا نام کیا ہے؟</v>
      </c>
      <c r="D1" s="3" t="str">
        <f>IFERROR(__xludf.DUMMYFUNCTION("""COMPUTED_VALUE"""),"آپ کا فون نمبر کیا ہے؟")</f>
        <v>آپ کا فون نمبر کیا ہے؟</v>
      </c>
      <c r="E1" s="3" t="str">
        <f>IFERROR(__xludf.DUMMYFUNCTION("""COMPUTED_VALUE"""),"مسجد کا نام لکھیں")</f>
        <v>مسجد کا نام لکھیں</v>
      </c>
      <c r="F1" s="4" t="str">
        <f>IFERROR(__xludf.DUMMYFUNCTION("""COMPUTED_VALUE"""),"مسجد کی آئی ڈی نمبر کیا ہے جس کے لیے آپ نے خطبہ لکھا ہے۔")</f>
        <v>مسجد کی آئی ڈی نمبر کیا ہے جس کے لیے آپ نے خطبہ لکھا ہے۔</v>
      </c>
      <c r="G1" s="3" t="str">
        <f>IFERROR(__xludf.DUMMYFUNCTION("""COMPUTED_VALUE"""),"اب ہم آپ سے امام کے بیان کے بارے میں کچھ سوال پوچھیں گے- ان سوالوں کا جواب صرف تب دیں جب آپ بیان کو پوری طرح سے لکھ لیں-
کیا ہم نے آپ کو امام کے بیان سے موازنہ کرنے کے لیے کوئی رسم الخط دیا ہے؟ اگر ہم نے آپ کو پڑوسیوں یا عورتوں کے حقوق کے اوپر کوئی رسم ا"&amp;"لخط نہیں دیا تو یہاں نہیں لکھیں-")</f>
        <v>اب ہم آپ سے امام کے بیان کے بارے میں کچھ سوال پوچھیں گے- ان سوالوں کا جواب صرف تب دیں جب آپ بیان کو پوری طرح سے لکھ لیں-
کیا ہم نے آپ کو امام کے بیان سے موازنہ کرنے کے لیے کوئی رسم الخط دیا ہے؟ اگر ہم نے آپ کو پڑوسیوں یا عورتوں کے حقوق کے اوپر کوئی رسم الخط نہیں دیا تو یہاں نہیں لکھیں-</v>
      </c>
      <c r="H1" s="3" t="str">
        <f>IFERROR(__xludf.DUMMYFUNCTION("""COMPUTED_VALUE"""),"٠ سے ١٠ کے پیمانے پر، امام نے رسم الخط کی کتنی قریب سے پیروی کی؟")</f>
        <v>٠ سے ١٠ کے پیمانے پر، امام نے رسم الخط کی کتنی قریب سے پیروی کی؟</v>
      </c>
      <c r="I1" s="3" t="str">
        <f>IFERROR(__xludf.DUMMYFUNCTION("""COMPUTED_VALUE"""),"٠ سے ١٠ کے پیمانے پر، امام نے دیے ہوۓ رسم الخط میں اپنی طرف سے کتنا اضافی مواد شامل کیا؟")</f>
        <v>٠ سے ١٠ کے پیمانے پر، امام نے دیے ہوۓ رسم الخط میں اپنی طرف سے کتنا اضافی مواد شامل کیا؟</v>
      </c>
      <c r="J1" s="3" t="str">
        <f>IFERROR(__xludf.DUMMYFUNCTION("""COMPUTED_VALUE"""),"٠ سے ١٠ کے پیمانے پر، امام کے بیان کا مجموعی پیغام دیے ہوۓ رسم الخط کے پیغام سے کتنا ملتا جلتا تھا؟")</f>
        <v>٠ سے ١٠ کے پیمانے پر، امام کے بیان کا مجموعی پیغام دیے ہوۓ رسم الخط کے پیغام سے کتنا ملتا جلتا تھا؟</v>
      </c>
      <c r="K1" s="3" t="str">
        <f>IFERROR(__xludf.DUMMYFUNCTION("""COMPUTED_VALUE"""),"٠ سے ١٠ کے پیمانے پر جہاں 0 کا مطلب ہے بالکل نہیں، 5 کا مطلب ہے کچھ حد تک، اور 10 کا مطلب ہے بہت زیادہ، امام نے اپنے بیان میں عورتوں کے حقوق پر کتنی گفتگو کی؟
اگر امام نے کسی اور موضوع پر بات کی (جیسے کہ پڑوسیوں کے حقوق) اور عورتوں کے حقوق پر بالکل بات ن"&amp;"ہیں کی تو یہاں 0 لکھیں-")</f>
        <v>٠ سے ١٠ کے پیمانے پر جہاں 0 کا مطلب ہے بالکل نہیں، 5 کا مطلب ہے کچھ حد تک، اور 10 کا مطلب ہے بہت زیادہ، امام نے اپنے بیان میں عورتوں کے حقوق پر کتنی گفتگو کی؟
اگر امام نے کسی اور موضوع پر بات کی (جیسے کہ پڑوسیوں کے حقوق) اور عورتوں کے حقوق پر بالکل بات نہیں کی تو یہاں 0 لکھیں-</v>
      </c>
      <c r="L1" s="3" t="str">
        <f>IFERROR(__xludf.DUMMYFUNCTION("""COMPUTED_VALUE"""),"٠ سے ١٠ کے پیمانے پر، امام نے اپنے بیان میں پڑوسیوں کے حقوق پر کتنی گفتگو کی؟
اگر امام نے کسی اور موضوع پر بات کی (جیسے کہ عورتوں کے حقوق) اور پڑوسیوں کے حقوق پر بالکل بات نہیں کی تو یہاں 0 لکھیں-")</f>
        <v>٠ سے ١٠ کے پیمانے پر، امام نے اپنے بیان میں پڑوسیوں کے حقوق پر کتنی گفتگو کی؟
اگر امام نے کسی اور موضوع پر بات کی (جیسے کہ عورتوں کے حقوق) اور پڑوسیوں کے حقوق پر بالکل بات نہیں کی تو یہاں 0 لکھیں-</v>
      </c>
      <c r="M1" s="3" t="str">
        <f>IFERROR(__xludf.DUMMYFUNCTION("""COMPUTED_VALUE"""),"٠ سے ١٠ کے پیمانے پر، امام نے اپنے بیان میں کس حد تک نمازیوں کو عورتوں کے ساتھ اچھا سلوک کرنے کو کہا؟
اگر امام نے کسی اور موضوع پر بات کی (جیسے کہ پڑوسیوں پر) اور عورتوں پر بالکل بات نہیں کی تو یہاں 0 لکھیں-")</f>
        <v>٠ سے ١٠ کے پیمانے پر، امام نے اپنے بیان میں کس حد تک نمازیوں کو عورتوں کے ساتھ اچھا سلوک کرنے کو کہا؟
اگر امام نے کسی اور موضوع پر بات کی (جیسے کہ پڑوسیوں پر) اور عورتوں پر بالکل بات نہیں کی تو یہاں 0 لکھیں-</v>
      </c>
      <c r="N1" s="3" t="str">
        <f>IFERROR(__xludf.DUMMYFUNCTION("""COMPUTED_VALUE"""),"٠ سے ١٠ کے پیمانے پر، امام نے اپنے بیان میں کس حد تک نمازیوں کو پڑوسیوں کے ساتھ اچھا سلوک کرنے کو کہا؟
اگر امام نے کسی اور موضوع پر بات کی (جیسے کہ عورتوں پر) اور پڑوسیوں پر بالکل بات نہیں کی تو یہاں 0 لکھیں-")</f>
        <v>٠ سے ١٠ کے پیمانے پر، امام نے اپنے بیان میں کس حد تک نمازیوں کو پڑوسیوں کے ساتھ اچھا سلوک کرنے کو کہا؟
اگر امام نے کسی اور موضوع پر بات کی (جیسے کہ عورتوں پر) اور پڑوسیوں پر بالکل بات نہیں کی تو یہاں 0 لکھیں-</v>
      </c>
      <c r="O1" s="3" t="str">
        <f>IFERROR(__xludf.DUMMYFUNCTION("""COMPUTED_VALUE"""),"٠ سے ١٠ کے پیمانے پر، امام نے اپنے بیان میں خواتین کی تعلیم اور ملازمت کی کس حد تک حوصلہ افزائی کی؟
اگر امام نے کسی اور موضوع پر بات کی اور عورتوں کی تعلیم یا ملازمت پر بالکل بات نہیں کی تو یہاں 0 لکھیں-")</f>
        <v>٠ سے ١٠ کے پیمانے پر، امام نے اپنے بیان میں خواتین کی تعلیم اور ملازمت کی کس حد تک حوصلہ افزائی کی؟
اگر امام نے کسی اور موضوع پر بات کی اور عورتوں کی تعلیم یا ملازمت پر بالکل بات نہیں کی تو یہاں 0 لکھیں-</v>
      </c>
      <c r="P1" s="3" t="str">
        <f>IFERROR(__xludf.DUMMYFUNCTION("""COMPUTED_VALUE"""),"٠ سے ١٠ کے پیمانے پر، امام نے اپنے بیان میں کس حد تک نمازیوں کو محلے کو صاف رکھنے اور پڑوسیوں کی مدد کرنے کو کہا؟
اگر امام نے کسی اور موضوع پر بات کی اور پڑوسیوں یا محلے پر بالکل بات نہیں کی تو یہاں 0 لکھیں-")</f>
        <v>٠ سے ١٠ کے پیمانے پر، امام نے اپنے بیان میں کس حد تک نمازیوں کو محلے کو صاف رکھنے اور پڑوسیوں کی مدد کرنے کو کہا؟
اگر امام نے کسی اور موضوع پر بات کی اور پڑوسیوں یا محلے پر بالکل بات نہیں کی تو یہاں 0 لکھیں-</v>
      </c>
      <c r="Q1" s="3" t="str">
        <f>IFERROR(__xludf.DUMMYFUNCTION("""COMPUTED_VALUE"""),"کیا امام نے نمازیوں سے اگلے ہفتے اپنی بیویوں کے ساتھ اپنی بیٹیوں کی تعلیم یا نوکری کے بارے میں بات کرنے کو کہا؟
اگر امام نے کسی اور موضوع پر بات کی یا عورتوں پر بات کی مگر نمازیوں کو بیویوں کےساتھ بیٹیوں کی تعلیم یا نوکری کے بارے میں بات کرنے کو نہیں کہا"&amp;"، تو یہاں نہیں لکھیں-")</f>
        <v>کیا امام نے نمازیوں سے اگلے ہفتے اپنی بیویوں کے ساتھ اپنی بیٹیوں کی تعلیم یا نوکری کے بارے میں بات کرنے کو کہا؟
اگر امام نے کسی اور موضوع پر بات کی یا عورتوں پر بات کی مگر نمازیوں کو بیویوں کےساتھ بیٹیوں کی تعلیم یا نوکری کے بارے میں بات کرنے کو نہیں کہا، تو یہاں نہیں لکھیں-</v>
      </c>
      <c r="R1" s="3" t="str">
        <f>IFERROR(__xludf.DUMMYFUNCTION("""COMPUTED_VALUE"""),"کیا امام نے نمازیوں کو اگلے ہفتے اپنے محلے کو صاف کرنے کے لئے کچھ وقت نکالنے کو کہا؟
اگر امام نے کسی اور موضوع پر بات کی یا پڑوس کی صفائی پر بات کی مگر نمازیوں کو پڑوس کی صفائی کے لئے وقت نکالنے کو نہیں کہا، تو یہاں نہیں لکھیں-")</f>
        <v>کیا امام نے نمازیوں کو اگلے ہفتے اپنے محلے کو صاف کرنے کے لئے کچھ وقت نکالنے کو کہا؟
اگر امام نے کسی اور موضوع پر بات کی یا پڑوس کی صفائی پر بات کی مگر نمازیوں کو پڑوس کی صفائی کے لئے وقت نکالنے کو نہیں کہا، تو یہاں نہیں لکھیں-</v>
      </c>
      <c r="S1" s="3" t="str">
        <f>IFERROR(__xludf.DUMMYFUNCTION("""COMPUTED_VALUE"""),"کیا امام نے نمازیوں سے کہا کہ جو کچھ انہوں نے جمعہ کے بیان میں سنا ہے وہ اپنی بیویوں کو بھی بتائیں؟")</f>
        <v>کیا امام نے نمازیوں سے کہا کہ جو کچھ انہوں نے جمعہ کے بیان میں سنا ہے وہ اپنی بیویوں کو بھی بتائیں؟</v>
      </c>
      <c r="T1" s="3" t="str">
        <f>IFERROR(__xludf.DUMMYFUNCTION("""COMPUTED_VALUE"""),"٠ سے ١٠ کے پیمانے پر، امام نے اپنے بیان میں کس حد تک عورتوں کے حقوق کی اہمیت کے خلاف بات کی (مثال کے طور پر خواتین کی تعلیم، ملازمت یا آزادی کی تنقید کی ہو)؟")</f>
        <v>٠ سے ١٠ کے پیمانے پر، امام نے اپنے بیان میں کس حد تک عورتوں کے حقوق کی اہمیت کے خلاف بات کی (مثال کے طور پر خواتین کی تعلیم، ملازمت یا آزادی کی تنقید کی ہو)؟</v>
      </c>
      <c r="U1" s="3" t="str">
        <f>IFERROR(__xludf.DUMMYFUNCTION("""COMPUTED_VALUE"""),"٠ سے ١٠ کے پیمانے پر، امام نے اپنے بیان میں کس حد تک پڑوسیوں کے حقوق کی اہمیت کے خلاف بات کی (مثال کے طور پر پڑوسیوں یا پڑوس کی صفائی کی اہمیت کی تنقید کی ہو)؟")</f>
        <v>٠ سے ١٠ کے پیمانے پر، امام نے اپنے بیان میں کس حد تک پڑوسیوں کے حقوق کی اہمیت کے خلاف بات کی (مثال کے طور پر پڑوسیوں یا پڑوس کی صفائی کی اہمیت کی تنقید کی ہو)؟</v>
      </c>
      <c r="V1" s="3" t="str">
        <f>IFERROR(__xludf.DUMMYFUNCTION("""COMPUTED_VALUE"""),"امام نے جو بیان دیا اسکا موضوع کیا تھا؟")</f>
        <v>امام نے جو بیان دیا اسکا موضوع کیا تھا؟</v>
      </c>
      <c r="W1" s="3" t="str">
        <f>IFERROR(__xludf.DUMMYFUNCTION("""COMPUTED_VALUE"""),"دو جملوں میں خلاصہ کریں کہ امام نے اپنے بیان میں کیا بات کی؟")</f>
        <v>دو جملوں میں خلاصہ کریں کہ امام نے اپنے بیان میں کیا بات کی؟</v>
      </c>
      <c r="X1" s="3" t="str">
        <f>IFERROR(__xludf.DUMMYFUNCTION("""COMPUTED_VALUE"""),"٠ سے ١٠ کے پیمانے پر،امام نےبیان میں حقوق اللّہ پر کس حد تک گفتگو کی (جیسے کہ نماز، حج اور روزے کی اہمیت)؟")</f>
        <v>٠ سے ١٠ کے پیمانے پر،امام نےبیان میں حقوق اللّہ پر کس حد تک گفتگو کی (جیسے کہ نماز، حج اور روزے کی اہمیت)؟</v>
      </c>
      <c r="Y1" s="3" t="str">
        <f>IFERROR(__xludf.DUMMYFUNCTION("""COMPUTED_VALUE"""),"٠ سے ١٠ کے پیمانے پر،امام نےبیان میں حقوق العباد پر کس حد تک گفتگو کی (جیسے کہ دوسروں، معاشرے، یا قوم کے حقوق)؟")</f>
        <v>٠ سے ١٠ کے پیمانے پر،امام نےبیان میں حقوق العباد پر کس حد تک گفتگو کی (جیسے کہ دوسروں، معاشرے، یا قوم کے حقوق)؟</v>
      </c>
      <c r="Z1" s="3" t="str">
        <f>IFERROR(__xludf.DUMMYFUNCTION("""COMPUTED_VALUE"""),"٠ سے ١٠ کے پیمانے پر،امام نے بیان میں سماجی موضوعات یا مسائل پر کس حد تک بات کی؟")</f>
        <v>٠ سے ١٠ کے پیمانے پر،امام نے بیان میں سماجی موضوعات یا مسائل پر کس حد تک بات کی؟</v>
      </c>
      <c r="AA1" s="3" t="str">
        <f>IFERROR(__xludf.DUMMYFUNCTION("""COMPUTED_VALUE"""),"٠ سے ١٠ کے پیمانے پر،امام نے بیان میں مذہبی موضوعات پر کس حد تک بات کی؟")</f>
        <v>٠ سے ١٠ کے پیمانے پر،امام نے بیان میں مذہبی موضوعات پر کس حد تک بات کی؟</v>
      </c>
      <c r="AB1" s="3" t="str">
        <f>IFERROR(__xludf.DUMMYFUNCTION("""COMPUTED_VALUE"""),"٠ سے ١٠ کے پیمانے پر، امام نے اپنے بیان میں تاریخی موضوعات پر کس حد تک گفتگو کی؟")</f>
        <v>٠ سے ١٠ کے پیمانے پر، امام نے اپنے بیان میں تاریخی موضوعات پر کس حد تک گفتگو کی؟</v>
      </c>
      <c r="AC1" s="3" t="str">
        <f>IFERROR(__xludf.DUMMYFUNCTION("""COMPUTED_VALUE"""),"٠ سے ١٠ کے پیمانے پر، امام نے اپنے بیان میں سیاسی موضوعات پر کس حد تک گفتگو کی؟")</f>
        <v>٠ سے ١٠ کے پیمانے پر، امام نے اپنے بیان میں سیاسی موضوعات پر کس حد تک گفتگو کی؟</v>
      </c>
      <c r="AD1" s="3" t="str">
        <f>IFERROR(__xludf.DUMMYFUNCTION("""COMPUTED_VALUE"""),"٠ سے ١٠ کے پیمانے پر، امام نے اپنے بیان میں اقتصادی موضوعات پر کس حد تک گفتگو کی؟")</f>
        <v>٠ سے ١٠ کے پیمانے پر، امام نے اپنے بیان میں اقتصادی موضوعات پر کس حد تک گفتگو کی؟</v>
      </c>
      <c r="AE1" s="3" t="str">
        <f>IFERROR(__xludf.DUMMYFUNCTION("""COMPUTED_VALUE"""),"٠ سے ١٠ کے پیمانے پر، امام نے اپنے بیان میں مذہبی اقلیتوں کے بارے میں کس حد تک گفتگو کی؟")</f>
        <v>٠ سے ١٠ کے پیمانے پر، امام نے اپنے بیان میں مذہبی اقلیتوں کے بارے میں کس حد تک گفتگو کی؟</v>
      </c>
      <c r="AF1" s="3" t="str">
        <f>IFERROR(__xludf.DUMMYFUNCTION("""COMPUTED_VALUE"""),"٠ سے ١٠ کے پیمانے پر، امام کا بیان کس حد تک قدامت پسند تھا؟")</f>
        <v>٠ سے ١٠ کے پیمانے پر، امام کا بیان کس حد تک قدامت پسند تھا؟</v>
      </c>
      <c r="AG1" s="3" t="str">
        <f>IFERROR(__xludf.DUMMYFUNCTION("""COMPUTED_VALUE"""),"٠ سے ١٠ کے پیمانے پر، امام کا بیان کتنا خوش مزاج تھا اور لوگوں میں مثبت اثر رکھتا ہے؟")</f>
        <v>٠ سے ١٠ کے پیمانے پر، امام کا بیان کتنا خوش مزاج تھا اور لوگوں میں مثبت اثر رکھتا ہے؟</v>
      </c>
      <c r="AH1" s="3" t="str">
        <f>IFERROR(__xludf.DUMMYFUNCTION("""COMPUTED_VALUE"""),"٠ سے ١٠ کے پیمانے پر، امام کے بیان میں کس حد تک نفرت انگیز باتیں تھیں؟")</f>
        <v>٠ سے ١٠ کے پیمانے پر، امام کے بیان میں کس حد تک نفرت انگیز باتیں تھیں؟</v>
      </c>
      <c r="AI1" s="3" t="str">
        <f>IFERROR(__xludf.DUMMYFUNCTION("""COMPUTED_VALUE"""),"٠ سے ١٠ کے پیمانے پر، امام کے بیان کا مجموعی معیار کیسا تھا؟")</f>
        <v>٠ سے ١٠ کے پیمانے پر، امام کے بیان کا مجموعی معیار کیسا تھا؟</v>
      </c>
      <c r="AJ1" s="5" t="str">
        <f>IFERROR(__xludf.DUMMYFUNCTION("""COMPUTED_VALUE"""),"بیان کا متن جو آپ نے لکھا ہے اسے یہاں اپلوڈ کریں-")</f>
        <v>بیان کا متن جو آپ نے لکھا ہے اسے یہاں اپلوڈ کریں-</v>
      </c>
      <c r="AK1" s="3" t="str">
        <f>IFERROR(__xludf.DUMMYFUNCTION("""COMPUTED_VALUE"""),"اگر آپ ہمیں اضافی معلومات فراہم کرنا چاہتے ہیں یا آپ کو کوئی پریشانی ہے تو براہ کرم اسے نیچے لکھیں۔")</f>
        <v>اگر آپ ہمیں اضافی معلومات فراہم کرنا چاہتے ہیں یا آپ کو کوئی پریشانی ہے تو براہ کرم اسے نیچے لکھیں۔</v>
      </c>
      <c r="AL1" s="3" t="str">
        <f>IFERROR(__xludf.DUMMYFUNCTION("""COMPUTED_VALUE"""),"غور سے اس رسم الخط کو پڑھیں جو ہم نے آپ کو پڑھنے کے لیے دی تھی۔ درج ذیل سوالات آپ سے اس رسم الخط کا موازنہ امام کے جمعہ کے بیان سے کرنے کو کہیں گے۔
کیا آپ نے یہ رسم الخط پڑھ لیا ہے؟")</f>
        <v>غور سے اس رسم الخط کو پڑھیں جو ہم نے آپ کو پڑھنے کے لیے دی تھی۔ درج ذیل سوالات آپ سے اس رسم الخط کا موازنہ امام کے جمعہ کے بیان سے کرنے کو کہیں گے۔
کیا آپ نے یہ رسم الخط پڑھ لیا ہے؟</v>
      </c>
      <c r="AM1" s="3" t="str">
        <f>IFERROR(__xludf.DUMMYFUNCTION("""COMPUTED_VALUE"""),"امام نے دیے ہوۓ رسم الخط کے کتنے فیصد مواد پر بات کی؟ 
اگر امام نے رسم الخط کے مواد پر بالکل بات نہیں کی تو 0% لکھیں. اگر امام نے سارے مواد پر بات کی تو 100% لکھیں- ")</f>
        <v>امام نے دیے ہوۓ رسم الخط کے کتنے فیصد مواد پر بات کی؟ 
اگر امام نے رسم الخط کے مواد پر بالکل بات نہیں کی تو 0% لکھیں. اگر امام نے سارے مواد پر بات کی تو 100% لکھیں- </v>
      </c>
      <c r="AN1" s="6" t="str">
        <f>IFERROR(__xludf.DUMMYFUNCTION("""COMPUTED_VALUE"""),"خطبہ نمبر
اگر آپ خطبہ نمبر نہیں جانتے تو براہ کرم ٹیم سے تصدیق کریں اور پھر یہاں پر کریں۔")</f>
        <v>خطبہ نمبر
اگر آپ خطبہ نمبر نہیں جانتے تو براہ کرم ٹیم سے تصدیق کریں اور پھر یہاں پر کریں۔</v>
      </c>
      <c r="AO1" s="7" t="s">
        <v>1</v>
      </c>
      <c r="AP1" s="3"/>
      <c r="AQ1" s="3"/>
      <c r="AR1" s="3"/>
      <c r="AS1" s="3"/>
      <c r="AT1" s="3"/>
      <c r="AU1" s="3"/>
      <c r="AV1" s="3"/>
      <c r="AW1" s="3"/>
      <c r="AX1" s="7" t="s">
        <v>1</v>
      </c>
    </row>
    <row r="2">
      <c r="A2" s="8">
        <v>1.0</v>
      </c>
      <c r="B2" s="9">
        <f>IFERROR(__xludf.DUMMYFUNCTION("""COMPUTED_VALUE"""),45679.888320625)</f>
        <v>45679.88832</v>
      </c>
      <c r="C2" s="10" t="str">
        <f>IFERROR(__xludf.DUMMYFUNCTION("""COMPUTED_VALUE"""),"Nsjsj")</f>
        <v>Nsjsj</v>
      </c>
      <c r="D2" s="10" t="str">
        <f>IFERROR(__xludf.DUMMYFUNCTION("""COMPUTED_VALUE"""),"Dhjd")</f>
        <v>Dhjd</v>
      </c>
      <c r="E2" s="10" t="str">
        <f>IFERROR(__xludf.DUMMYFUNCTION("""COMPUTED_VALUE"""),"Hejd")</f>
        <v>Hejd</v>
      </c>
      <c r="F2" s="10" t="str">
        <f>IFERROR(__xludf.DUMMYFUNCTION("""COMPUTED_VALUE"""),"Hehej")</f>
        <v>Hehej</v>
      </c>
      <c r="G2" s="10" t="str">
        <f>IFERROR(__xludf.DUMMYFUNCTION("""COMPUTED_VALUE"""),"Yes")</f>
        <v>Yes</v>
      </c>
      <c r="H2" s="10">
        <f>IFERROR(__xludf.DUMMYFUNCTION("""COMPUTED_VALUE"""),6.0)</f>
        <v>6</v>
      </c>
      <c r="I2" s="10">
        <f>IFERROR(__xludf.DUMMYFUNCTION("""COMPUTED_VALUE"""),4.0)</f>
        <v>4</v>
      </c>
      <c r="J2" s="10">
        <f>IFERROR(__xludf.DUMMYFUNCTION("""COMPUTED_VALUE"""),4.0)</f>
        <v>4</v>
      </c>
      <c r="K2" s="10">
        <f>IFERROR(__xludf.DUMMYFUNCTION("""COMPUTED_VALUE"""),3.0)</f>
        <v>3</v>
      </c>
      <c r="L2" s="10">
        <f>IFERROR(__xludf.DUMMYFUNCTION("""COMPUTED_VALUE"""),3.0)</f>
        <v>3</v>
      </c>
      <c r="M2" s="10">
        <f>IFERROR(__xludf.DUMMYFUNCTION("""COMPUTED_VALUE"""),4.0)</f>
        <v>4</v>
      </c>
      <c r="N2" s="10">
        <f>IFERROR(__xludf.DUMMYFUNCTION("""COMPUTED_VALUE"""),3.0)</f>
        <v>3</v>
      </c>
      <c r="O2" s="10">
        <f>IFERROR(__xludf.DUMMYFUNCTION("""COMPUTED_VALUE"""),3.0)</f>
        <v>3</v>
      </c>
      <c r="P2" s="10">
        <f>IFERROR(__xludf.DUMMYFUNCTION("""COMPUTED_VALUE"""),2.0)</f>
        <v>2</v>
      </c>
      <c r="Q2" s="10" t="str">
        <f>IFERROR(__xludf.DUMMYFUNCTION("""COMPUTED_VALUE"""),"No")</f>
        <v>No</v>
      </c>
      <c r="R2" s="10" t="str">
        <f>IFERROR(__xludf.DUMMYFUNCTION("""COMPUTED_VALUE"""),"No")</f>
        <v>No</v>
      </c>
      <c r="S2" s="10" t="str">
        <f>IFERROR(__xludf.DUMMYFUNCTION("""COMPUTED_VALUE"""),"No")</f>
        <v>No</v>
      </c>
      <c r="T2" s="10">
        <f>IFERROR(__xludf.DUMMYFUNCTION("""COMPUTED_VALUE"""),7.0)</f>
        <v>7</v>
      </c>
      <c r="U2" s="10">
        <f>IFERROR(__xludf.DUMMYFUNCTION("""COMPUTED_VALUE"""),4.0)</f>
        <v>4</v>
      </c>
      <c r="V2" s="10" t="str">
        <f>IFERROR(__xludf.DUMMYFUNCTION("""COMPUTED_VALUE"""),"Hejs")</f>
        <v>Hejs</v>
      </c>
      <c r="W2" s="10" t="str">
        <f>IFERROR(__xludf.DUMMYFUNCTION("""COMPUTED_VALUE"""),"Nsjss")</f>
        <v>Nsjss</v>
      </c>
      <c r="X2" s="10">
        <f>IFERROR(__xludf.DUMMYFUNCTION("""COMPUTED_VALUE"""),7.0)</f>
        <v>7</v>
      </c>
      <c r="Y2" s="10">
        <f>IFERROR(__xludf.DUMMYFUNCTION("""COMPUTED_VALUE"""),4.0)</f>
        <v>4</v>
      </c>
      <c r="Z2" s="10">
        <f>IFERROR(__xludf.DUMMYFUNCTION("""COMPUTED_VALUE"""),4.0)</f>
        <v>4</v>
      </c>
      <c r="AA2" s="10">
        <f>IFERROR(__xludf.DUMMYFUNCTION("""COMPUTED_VALUE"""),3.0)</f>
        <v>3</v>
      </c>
      <c r="AB2" s="10">
        <f>IFERROR(__xludf.DUMMYFUNCTION("""COMPUTED_VALUE"""),4.0)</f>
        <v>4</v>
      </c>
      <c r="AC2" s="10">
        <f>IFERROR(__xludf.DUMMYFUNCTION("""COMPUTED_VALUE"""),4.0)</f>
        <v>4</v>
      </c>
      <c r="AD2" s="10">
        <f>IFERROR(__xludf.DUMMYFUNCTION("""COMPUTED_VALUE"""),6.0)</f>
        <v>6</v>
      </c>
      <c r="AE2" s="10">
        <f>IFERROR(__xludf.DUMMYFUNCTION("""COMPUTED_VALUE"""),4.0)</f>
        <v>4</v>
      </c>
      <c r="AF2" s="10">
        <f>IFERROR(__xludf.DUMMYFUNCTION("""COMPUTED_VALUE"""),5.0)</f>
        <v>5</v>
      </c>
      <c r="AG2" s="10">
        <f>IFERROR(__xludf.DUMMYFUNCTION("""COMPUTED_VALUE"""),4.0)</f>
        <v>4</v>
      </c>
      <c r="AH2" s="10">
        <f>IFERROR(__xludf.DUMMYFUNCTION("""COMPUTED_VALUE"""),4.0)</f>
        <v>4</v>
      </c>
      <c r="AI2" s="10">
        <f>IFERROR(__xludf.DUMMYFUNCTION("""COMPUTED_VALUE"""),5.0)</f>
        <v>5</v>
      </c>
      <c r="AJ2" s="11" t="str">
        <f>IFERROR(__xludf.DUMMYFUNCTION("""COMPUTED_VALUE"""),"https://drive.google.com/open?id=1vKJTUA9SN120dU9My0de-0Lpk6Hd9q-y")</f>
        <v>https://drive.google.com/open?id=1vKJTUA9SN120dU9My0de-0Lpk6Hd9q-y</v>
      </c>
      <c r="AK2" s="12"/>
      <c r="AL2" s="12"/>
      <c r="AM2" s="12"/>
      <c r="AN2" s="12"/>
      <c r="AO2" s="13" t="s">
        <v>2</v>
      </c>
      <c r="AX2" s="13"/>
    </row>
    <row r="3">
      <c r="A3" s="8">
        <v>2.0</v>
      </c>
      <c r="B3" s="9">
        <f>IFERROR(__xludf.DUMMYFUNCTION("""COMPUTED_VALUE"""),45686.550617071756)</f>
        <v>45686.55062</v>
      </c>
      <c r="C3" s="10" t="str">
        <f>IFERROR(__xludf.DUMMYFUNCTION("""COMPUTED_VALUE"""),"Jj")</f>
        <v>Jj</v>
      </c>
      <c r="D3" s="10" t="str">
        <f>IFERROR(__xludf.DUMMYFUNCTION("""COMPUTED_VALUE"""),"Jkk")</f>
        <v>Jkk</v>
      </c>
      <c r="E3" s="10" t="str">
        <f>IFERROR(__xludf.DUMMYFUNCTION("""COMPUTED_VALUE"""),"Kjhh")</f>
        <v>Kjhh</v>
      </c>
      <c r="F3" s="10" t="str">
        <f>IFERROR(__xludf.DUMMYFUNCTION("""COMPUTED_VALUE"""),"Iiu")</f>
        <v>Iiu</v>
      </c>
      <c r="G3" s="10" t="str">
        <f>IFERROR(__xludf.DUMMYFUNCTION("""COMPUTED_VALUE"""),"Yes")</f>
        <v>Yes</v>
      </c>
      <c r="H3" s="10">
        <f>IFERROR(__xludf.DUMMYFUNCTION("""COMPUTED_VALUE"""),4.0)</f>
        <v>4</v>
      </c>
      <c r="I3" s="10">
        <f>IFERROR(__xludf.DUMMYFUNCTION("""COMPUTED_VALUE"""),4.0)</f>
        <v>4</v>
      </c>
      <c r="J3" s="10">
        <f>IFERROR(__xludf.DUMMYFUNCTION("""COMPUTED_VALUE"""),6.0)</f>
        <v>6</v>
      </c>
      <c r="K3" s="10">
        <f>IFERROR(__xludf.DUMMYFUNCTION("""COMPUTED_VALUE"""),3.0)</f>
        <v>3</v>
      </c>
      <c r="L3" s="10">
        <f>IFERROR(__xludf.DUMMYFUNCTION("""COMPUTED_VALUE"""),3.0)</f>
        <v>3</v>
      </c>
      <c r="M3" s="10">
        <f>IFERROR(__xludf.DUMMYFUNCTION("""COMPUTED_VALUE"""),2.0)</f>
        <v>2</v>
      </c>
      <c r="N3" s="10">
        <f>IFERROR(__xludf.DUMMYFUNCTION("""COMPUTED_VALUE"""),3.0)</f>
        <v>3</v>
      </c>
      <c r="O3" s="10">
        <f>IFERROR(__xludf.DUMMYFUNCTION("""COMPUTED_VALUE"""),4.0)</f>
        <v>4</v>
      </c>
      <c r="P3" s="10">
        <f>IFERROR(__xludf.DUMMYFUNCTION("""COMPUTED_VALUE"""),4.0)</f>
        <v>4</v>
      </c>
      <c r="Q3" s="10" t="str">
        <f>IFERROR(__xludf.DUMMYFUNCTION("""COMPUTED_VALUE"""),"No")</f>
        <v>No</v>
      </c>
      <c r="R3" s="10" t="str">
        <f>IFERROR(__xludf.DUMMYFUNCTION("""COMPUTED_VALUE"""),"No")</f>
        <v>No</v>
      </c>
      <c r="S3" s="10" t="str">
        <f>IFERROR(__xludf.DUMMYFUNCTION("""COMPUTED_VALUE"""),"No")</f>
        <v>No</v>
      </c>
      <c r="T3" s="10">
        <f>IFERROR(__xludf.DUMMYFUNCTION("""COMPUTED_VALUE"""),0.0)</f>
        <v>0</v>
      </c>
      <c r="U3" s="10">
        <f>IFERROR(__xludf.DUMMYFUNCTION("""COMPUTED_VALUE"""),0.0)</f>
        <v>0</v>
      </c>
      <c r="V3" s="10" t="str">
        <f>IFERROR(__xludf.DUMMYFUNCTION("""COMPUTED_VALUE"""),"Bhvv")</f>
        <v>Bhvv</v>
      </c>
      <c r="W3" s="10" t="str">
        <f>IFERROR(__xludf.DUMMYFUNCTION("""COMPUTED_VALUE"""),"Uhh")</f>
        <v>Uhh</v>
      </c>
      <c r="X3" s="10">
        <f>IFERROR(__xludf.DUMMYFUNCTION("""COMPUTED_VALUE"""),2.0)</f>
        <v>2</v>
      </c>
      <c r="Y3" s="10">
        <f>IFERROR(__xludf.DUMMYFUNCTION("""COMPUTED_VALUE"""),4.0)</f>
        <v>4</v>
      </c>
      <c r="Z3" s="10">
        <f>IFERROR(__xludf.DUMMYFUNCTION("""COMPUTED_VALUE"""),5.0)</f>
        <v>5</v>
      </c>
      <c r="AA3" s="10">
        <f>IFERROR(__xludf.DUMMYFUNCTION("""COMPUTED_VALUE"""),3.0)</f>
        <v>3</v>
      </c>
      <c r="AB3" s="10">
        <f>IFERROR(__xludf.DUMMYFUNCTION("""COMPUTED_VALUE"""),4.0)</f>
        <v>4</v>
      </c>
      <c r="AC3" s="10">
        <f>IFERROR(__xludf.DUMMYFUNCTION("""COMPUTED_VALUE"""),5.0)</f>
        <v>5</v>
      </c>
      <c r="AD3" s="10">
        <f>IFERROR(__xludf.DUMMYFUNCTION("""COMPUTED_VALUE"""),4.0)</f>
        <v>4</v>
      </c>
      <c r="AE3" s="10">
        <f>IFERROR(__xludf.DUMMYFUNCTION("""COMPUTED_VALUE"""),4.0)</f>
        <v>4</v>
      </c>
      <c r="AF3" s="10">
        <f>IFERROR(__xludf.DUMMYFUNCTION("""COMPUTED_VALUE"""),5.0)</f>
        <v>5</v>
      </c>
      <c r="AG3" s="10">
        <f>IFERROR(__xludf.DUMMYFUNCTION("""COMPUTED_VALUE"""),4.0)</f>
        <v>4</v>
      </c>
      <c r="AH3" s="10">
        <f>IFERROR(__xludf.DUMMYFUNCTION("""COMPUTED_VALUE"""),4.0)</f>
        <v>4</v>
      </c>
      <c r="AI3" s="10">
        <f>IFERROR(__xludf.DUMMYFUNCTION("""COMPUTED_VALUE"""),4.0)</f>
        <v>4</v>
      </c>
      <c r="AJ3" s="14"/>
      <c r="AK3" s="12"/>
      <c r="AL3" s="12"/>
      <c r="AM3" s="12"/>
      <c r="AN3" s="12"/>
      <c r="AO3" s="13" t="s">
        <v>2</v>
      </c>
      <c r="AX3" s="13"/>
    </row>
    <row r="4">
      <c r="A4" s="8">
        <v>3.0</v>
      </c>
      <c r="B4" s="9">
        <f>IFERROR(__xludf.DUMMYFUNCTION("""COMPUTED_VALUE"""),45688.360408113425)</f>
        <v>45688.36041</v>
      </c>
      <c r="C4" s="10" t="str">
        <f>IFERROR(__xludf.DUMMYFUNCTION("""COMPUTED_VALUE"""),"Nadir Ali ")</f>
        <v>Nadir Ali </v>
      </c>
      <c r="D4" s="10" t="str">
        <f>IFERROR(__xludf.DUMMYFUNCTION("""COMPUTED_VALUE"""),"03006581830")</f>
        <v>03006581830</v>
      </c>
      <c r="E4" s="10" t="str">
        <f>IFERROR(__xludf.DUMMYFUNCTION("""COMPUTED_VALUE"""),"Jamia Masjid Shah Jamal")</f>
        <v>Jamia Masjid Shah Jamal</v>
      </c>
      <c r="F4" s="10" t="str">
        <f>IFERROR(__xludf.DUMMYFUNCTION("""COMPUTED_VALUE"""),"WZJKX")</f>
        <v>WZJKX</v>
      </c>
      <c r="G4" s="10" t="str">
        <f>IFERROR(__xludf.DUMMYFUNCTION("""COMPUTED_VALUE"""),"No")</f>
        <v>No</v>
      </c>
      <c r="H4" s="10"/>
      <c r="I4" s="10"/>
      <c r="J4" s="10"/>
      <c r="K4" s="10">
        <f>IFERROR(__xludf.DUMMYFUNCTION("""COMPUTED_VALUE"""),0.0)</f>
        <v>0</v>
      </c>
      <c r="L4" s="10">
        <f>IFERROR(__xludf.DUMMYFUNCTION("""COMPUTED_VALUE"""),0.0)</f>
        <v>0</v>
      </c>
      <c r="M4" s="10">
        <f>IFERROR(__xludf.DUMMYFUNCTION("""COMPUTED_VALUE"""),0.0)</f>
        <v>0</v>
      </c>
      <c r="N4" s="10">
        <f>IFERROR(__xludf.DUMMYFUNCTION("""COMPUTED_VALUE"""),0.0)</f>
        <v>0</v>
      </c>
      <c r="O4" s="10">
        <f>IFERROR(__xludf.DUMMYFUNCTION("""COMPUTED_VALUE"""),0.0)</f>
        <v>0</v>
      </c>
      <c r="P4" s="10">
        <f>IFERROR(__xludf.DUMMYFUNCTION("""COMPUTED_VALUE"""),0.0)</f>
        <v>0</v>
      </c>
      <c r="Q4" s="10" t="str">
        <f>IFERROR(__xludf.DUMMYFUNCTION("""COMPUTED_VALUE"""),"No")</f>
        <v>No</v>
      </c>
      <c r="R4" s="10" t="str">
        <f>IFERROR(__xludf.DUMMYFUNCTION("""COMPUTED_VALUE"""),"No")</f>
        <v>No</v>
      </c>
      <c r="S4" s="10" t="str">
        <f>IFERROR(__xludf.DUMMYFUNCTION("""COMPUTED_VALUE"""),"No")</f>
        <v>No</v>
      </c>
      <c r="T4" s="10">
        <f>IFERROR(__xludf.DUMMYFUNCTION("""COMPUTED_VALUE"""),0.0)</f>
        <v>0</v>
      </c>
      <c r="U4" s="10">
        <f>IFERROR(__xludf.DUMMYFUNCTION("""COMPUTED_VALUE"""),0.0)</f>
        <v>0</v>
      </c>
      <c r="V4" s="10" t="str">
        <f>IFERROR(__xludf.DUMMYFUNCTION("""COMPUTED_VALUE"""),"معراج ")</f>
        <v>معراج </v>
      </c>
      <c r="W4" s="10" t="str">
        <f>IFERROR(__xludf.DUMMYFUNCTION("""COMPUTED_VALUE"""),"معراج پر جانے کا واقع بیان کیا")</f>
        <v>معراج پر جانے کا واقع بیان کیا</v>
      </c>
      <c r="X4" s="10">
        <f>IFERROR(__xludf.DUMMYFUNCTION("""COMPUTED_VALUE"""),0.0)</f>
        <v>0</v>
      </c>
      <c r="Y4" s="10">
        <f>IFERROR(__xludf.DUMMYFUNCTION("""COMPUTED_VALUE"""),3.0)</f>
        <v>3</v>
      </c>
      <c r="Z4" s="10">
        <f>IFERROR(__xludf.DUMMYFUNCTION("""COMPUTED_VALUE"""),4.0)</f>
        <v>4</v>
      </c>
      <c r="AA4" s="10">
        <f>IFERROR(__xludf.DUMMYFUNCTION("""COMPUTED_VALUE"""),7.0)</f>
        <v>7</v>
      </c>
      <c r="AB4" s="10">
        <f>IFERROR(__xludf.DUMMYFUNCTION("""COMPUTED_VALUE"""),6.0)</f>
        <v>6</v>
      </c>
      <c r="AC4" s="10">
        <f>IFERROR(__xludf.DUMMYFUNCTION("""COMPUTED_VALUE"""),0.0)</f>
        <v>0</v>
      </c>
      <c r="AD4" s="10">
        <f>IFERROR(__xludf.DUMMYFUNCTION("""COMPUTED_VALUE"""),0.0)</f>
        <v>0</v>
      </c>
      <c r="AE4" s="10">
        <f>IFERROR(__xludf.DUMMYFUNCTION("""COMPUTED_VALUE"""),0.0)</f>
        <v>0</v>
      </c>
      <c r="AF4" s="10">
        <f>IFERROR(__xludf.DUMMYFUNCTION("""COMPUTED_VALUE"""),6.0)</f>
        <v>6</v>
      </c>
      <c r="AG4" s="10">
        <f>IFERROR(__xludf.DUMMYFUNCTION("""COMPUTED_VALUE"""),7.0)</f>
        <v>7</v>
      </c>
      <c r="AH4" s="10">
        <f>IFERROR(__xludf.DUMMYFUNCTION("""COMPUTED_VALUE"""),0.0)</f>
        <v>0</v>
      </c>
      <c r="AI4" s="10">
        <f>IFERROR(__xludf.DUMMYFUNCTION("""COMPUTED_VALUE"""),7.0)</f>
        <v>7</v>
      </c>
      <c r="AJ4" s="11" t="str">
        <f>IFERROR(__xludf.DUMMYFUNCTION("""COMPUTED_VALUE"""),"https://drive.google.com/open?id=1KkDFdV27Kv6kG_rPKmgHkIj3QyUZ5kPJ")</f>
        <v>https://drive.google.com/open?id=1KkDFdV27Kv6kG_rPKmgHkIj3QyUZ5kPJ</v>
      </c>
      <c r="AK4" s="12"/>
      <c r="AL4" s="12"/>
      <c r="AM4" s="12"/>
      <c r="AN4" s="12"/>
      <c r="AO4" s="13">
        <v>1.0</v>
      </c>
      <c r="AX4" s="13">
        <v>1.0</v>
      </c>
    </row>
    <row r="5">
      <c r="A5" s="8">
        <v>4.0</v>
      </c>
      <c r="B5" s="9">
        <f>IFERROR(__xludf.DUMMYFUNCTION("""COMPUTED_VALUE"""),45689.35042928241)</f>
        <v>45689.35043</v>
      </c>
      <c r="C5" s="10" t="str">
        <f>IFERROR(__xludf.DUMMYFUNCTION("""COMPUTED_VALUE"""),"Abdul Qayyum ")</f>
        <v>Abdul Qayyum </v>
      </c>
      <c r="D5" s="10" t="str">
        <f>IFERROR(__xludf.DUMMYFUNCTION("""COMPUTED_VALUE"""),"03257598827")</f>
        <v>03257598827</v>
      </c>
      <c r="E5" s="10" t="str">
        <f>IFERROR(__xludf.DUMMYFUNCTION("""COMPUTED_VALUE"""),"Jamia Masjid Takiya Puter Nagha Lahore")</f>
        <v>Jamia Masjid Takiya Puter Nagha Lahore</v>
      </c>
      <c r="F5" s="10" t="str">
        <f>IFERROR(__xludf.DUMMYFUNCTION("""COMPUTED_VALUE"""),"ZTLCN")</f>
        <v>ZTLCN</v>
      </c>
      <c r="G5" s="10" t="str">
        <f>IFERROR(__xludf.DUMMYFUNCTION("""COMPUTED_VALUE"""),"Yes")</f>
        <v>Yes</v>
      </c>
      <c r="H5" s="10">
        <f>IFERROR(__xludf.DUMMYFUNCTION("""COMPUTED_VALUE"""),9.0)</f>
        <v>9</v>
      </c>
      <c r="I5" s="10">
        <f>IFERROR(__xludf.DUMMYFUNCTION("""COMPUTED_VALUE"""),1.0)</f>
        <v>1</v>
      </c>
      <c r="J5" s="10">
        <f>IFERROR(__xludf.DUMMYFUNCTION("""COMPUTED_VALUE"""),8.0)</f>
        <v>8</v>
      </c>
      <c r="K5" s="10">
        <f>IFERROR(__xludf.DUMMYFUNCTION("""COMPUTED_VALUE"""),8.0)</f>
        <v>8</v>
      </c>
      <c r="L5" s="10">
        <f>IFERROR(__xludf.DUMMYFUNCTION("""COMPUTED_VALUE"""),0.0)</f>
        <v>0</v>
      </c>
      <c r="M5" s="10">
        <f>IFERROR(__xludf.DUMMYFUNCTION("""COMPUTED_VALUE"""),7.0)</f>
        <v>7</v>
      </c>
      <c r="N5" s="10">
        <f>IFERROR(__xludf.DUMMYFUNCTION("""COMPUTED_VALUE"""),0.0)</f>
        <v>0</v>
      </c>
      <c r="O5" s="10">
        <f>IFERROR(__xludf.DUMMYFUNCTION("""COMPUTED_VALUE"""),8.0)</f>
        <v>8</v>
      </c>
      <c r="P5" s="10">
        <f>IFERROR(__xludf.DUMMYFUNCTION("""COMPUTED_VALUE"""),0.0)</f>
        <v>0</v>
      </c>
      <c r="Q5" s="10" t="str">
        <f>IFERROR(__xludf.DUMMYFUNCTION("""COMPUTED_VALUE"""),"Yes")</f>
        <v>Yes</v>
      </c>
      <c r="R5" s="10" t="str">
        <f>IFERROR(__xludf.DUMMYFUNCTION("""COMPUTED_VALUE"""),"No")</f>
        <v>No</v>
      </c>
      <c r="S5" s="10" t="str">
        <f>IFERROR(__xludf.DUMMYFUNCTION("""COMPUTED_VALUE"""),"Yes")</f>
        <v>Yes</v>
      </c>
      <c r="T5" s="10">
        <f>IFERROR(__xludf.DUMMYFUNCTION("""COMPUTED_VALUE"""),0.0)</f>
        <v>0</v>
      </c>
      <c r="U5" s="10">
        <f>IFERROR(__xludf.DUMMYFUNCTION("""COMPUTED_VALUE"""),0.0)</f>
        <v>0</v>
      </c>
      <c r="V5" s="10" t="str">
        <f>IFERROR(__xludf.DUMMYFUNCTION("""COMPUTED_VALUE"""),"Auraton ky Haqooq aur Taleem-o-Tarbiyat")</f>
        <v>Auraton ky Haqooq aur Taleem-o-Tarbiyat</v>
      </c>
      <c r="W5" s="10" t="str">
        <f>IFERROR(__xludf.DUMMYFUNCTION("""COMPUTED_VALUE"""),"Respect of Women
Education of women 
Rights of Women ")</f>
        <v>Respect of Women
Education of women 
Rights of Women </v>
      </c>
      <c r="X5" s="10">
        <f>IFERROR(__xludf.DUMMYFUNCTION("""COMPUTED_VALUE"""),0.0)</f>
        <v>0</v>
      </c>
      <c r="Y5" s="10">
        <f>IFERROR(__xludf.DUMMYFUNCTION("""COMPUTED_VALUE"""),0.0)</f>
        <v>0</v>
      </c>
      <c r="Z5" s="10">
        <f>IFERROR(__xludf.DUMMYFUNCTION("""COMPUTED_VALUE"""),0.0)</f>
        <v>0</v>
      </c>
      <c r="AA5" s="10">
        <f>IFERROR(__xludf.DUMMYFUNCTION("""COMPUTED_VALUE"""),2.0)</f>
        <v>2</v>
      </c>
      <c r="AB5" s="10">
        <f>IFERROR(__xludf.DUMMYFUNCTION("""COMPUTED_VALUE"""),1.0)</f>
        <v>1</v>
      </c>
      <c r="AC5" s="10">
        <f>IFERROR(__xludf.DUMMYFUNCTION("""COMPUTED_VALUE"""),0.0)</f>
        <v>0</v>
      </c>
      <c r="AD5" s="10">
        <f>IFERROR(__xludf.DUMMYFUNCTION("""COMPUTED_VALUE"""),1.0)</f>
        <v>1</v>
      </c>
      <c r="AE5" s="10">
        <f>IFERROR(__xludf.DUMMYFUNCTION("""COMPUTED_VALUE"""),0.0)</f>
        <v>0</v>
      </c>
      <c r="AF5" s="10">
        <f>IFERROR(__xludf.DUMMYFUNCTION("""COMPUTED_VALUE"""),0.0)</f>
        <v>0</v>
      </c>
      <c r="AG5" s="10">
        <f>IFERROR(__xludf.DUMMYFUNCTION("""COMPUTED_VALUE"""),6.0)</f>
        <v>6</v>
      </c>
      <c r="AH5" s="10">
        <f>IFERROR(__xludf.DUMMYFUNCTION("""COMPUTED_VALUE"""),0.0)</f>
        <v>0</v>
      </c>
      <c r="AI5" s="10">
        <f>IFERROR(__xludf.DUMMYFUNCTION("""COMPUTED_VALUE"""),8.0)</f>
        <v>8</v>
      </c>
      <c r="AJ5" s="11" t="str">
        <f>IFERROR(__xludf.DUMMYFUNCTION("""COMPUTED_VALUE"""),"https://drive.google.com/open?id=1CrhWG--K7K7mYhRjUYMPQlqZoGx7TFD1")</f>
        <v>https://drive.google.com/open?id=1CrhWG--K7K7mYhRjUYMPQlqZoGx7TFD1</v>
      </c>
      <c r="AK5" s="12" t="str">
        <f>IFERROR(__xludf.DUMMYFUNCTION("""COMPUTED_VALUE"""),"No")</f>
        <v>No</v>
      </c>
      <c r="AL5" s="12"/>
      <c r="AM5" s="12"/>
      <c r="AN5" s="12"/>
      <c r="AO5" s="13">
        <v>1.0</v>
      </c>
      <c r="AX5" s="13">
        <v>1.0</v>
      </c>
    </row>
    <row r="6">
      <c r="A6" s="8">
        <v>5.0</v>
      </c>
      <c r="B6" s="9">
        <f>IFERROR(__xludf.DUMMYFUNCTION("""COMPUTED_VALUE"""),45689.65577814815)</f>
        <v>45689.65578</v>
      </c>
      <c r="C6" s="10" t="str">
        <f>IFERROR(__xludf.DUMMYFUNCTION("""COMPUTED_VALUE"""),"Abdul Rauf ")</f>
        <v>Abdul Rauf </v>
      </c>
      <c r="D6" s="10" t="str">
        <f>IFERROR(__xludf.DUMMYFUNCTION("""COMPUTED_VALUE"""),"03008789090")</f>
        <v>03008789090</v>
      </c>
      <c r="E6" s="10" t="str">
        <f>IFERROR(__xludf.DUMMYFUNCTION("""COMPUTED_VALUE"""),"Masjid Allah joya ")</f>
        <v>Masjid Allah joya </v>
      </c>
      <c r="F6" s="10" t="str">
        <f>IFERROR(__xludf.DUMMYFUNCTION("""COMPUTED_VALUE"""),"ZBRWJ")</f>
        <v>ZBRWJ</v>
      </c>
      <c r="G6" s="10" t="str">
        <f>IFERROR(__xludf.DUMMYFUNCTION("""COMPUTED_VALUE"""),"Yes")</f>
        <v>Yes</v>
      </c>
      <c r="H6" s="10">
        <f>IFERROR(__xludf.DUMMYFUNCTION("""COMPUTED_VALUE"""),8.0)</f>
        <v>8</v>
      </c>
      <c r="I6" s="10">
        <f>IFERROR(__xludf.DUMMYFUNCTION("""COMPUTED_VALUE"""),7.0)</f>
        <v>7</v>
      </c>
      <c r="J6" s="10">
        <f>IFERROR(__xludf.DUMMYFUNCTION("""COMPUTED_VALUE"""),9.0)</f>
        <v>9</v>
      </c>
      <c r="K6" s="10">
        <f>IFERROR(__xludf.DUMMYFUNCTION("""COMPUTED_VALUE"""),3.0)</f>
        <v>3</v>
      </c>
      <c r="L6" s="10">
        <f>IFERROR(__xludf.DUMMYFUNCTION("""COMPUTED_VALUE"""),7.0)</f>
        <v>7</v>
      </c>
      <c r="M6" s="10">
        <f>IFERROR(__xludf.DUMMYFUNCTION("""COMPUTED_VALUE"""),6.0)</f>
        <v>6</v>
      </c>
      <c r="N6" s="10">
        <f>IFERROR(__xludf.DUMMYFUNCTION("""COMPUTED_VALUE"""),5.0)</f>
        <v>5</v>
      </c>
      <c r="O6" s="10">
        <f>IFERROR(__xludf.DUMMYFUNCTION("""COMPUTED_VALUE"""),8.0)</f>
        <v>8</v>
      </c>
      <c r="P6" s="10">
        <f>IFERROR(__xludf.DUMMYFUNCTION("""COMPUTED_VALUE"""),7.0)</f>
        <v>7</v>
      </c>
      <c r="Q6" s="10" t="str">
        <f>IFERROR(__xludf.DUMMYFUNCTION("""COMPUTED_VALUE"""),"Yes")</f>
        <v>Yes</v>
      </c>
      <c r="R6" s="10" t="str">
        <f>IFERROR(__xludf.DUMMYFUNCTION("""COMPUTED_VALUE"""),"Yes")</f>
        <v>Yes</v>
      </c>
      <c r="S6" s="10" t="str">
        <f>IFERROR(__xludf.DUMMYFUNCTION("""COMPUTED_VALUE"""),"Yes")</f>
        <v>Yes</v>
      </c>
      <c r="T6" s="10">
        <f>IFERROR(__xludf.DUMMYFUNCTION("""COMPUTED_VALUE"""),0.0)</f>
        <v>0</v>
      </c>
      <c r="U6" s="10">
        <f>IFERROR(__xludf.DUMMYFUNCTION("""COMPUTED_VALUE"""),0.0)</f>
        <v>0</v>
      </c>
      <c r="V6" s="10" t="str">
        <f>IFERROR(__xludf.DUMMYFUNCTION("""COMPUTED_VALUE"""),"Rights of Neighbors ")</f>
        <v>Rights of Neighbors </v>
      </c>
      <c r="W6" s="10" t="str">
        <f>IFERROR(__xludf.DUMMYFUNCTION("""COMPUTED_VALUE"""),"Importantance of Neighbors ")</f>
        <v>Importantance of Neighbors </v>
      </c>
      <c r="X6" s="10">
        <f>IFERROR(__xludf.DUMMYFUNCTION("""COMPUTED_VALUE"""),1.0)</f>
        <v>1</v>
      </c>
      <c r="Y6" s="10">
        <f>IFERROR(__xludf.DUMMYFUNCTION("""COMPUTED_VALUE"""),8.0)</f>
        <v>8</v>
      </c>
      <c r="Z6" s="10">
        <f>IFERROR(__xludf.DUMMYFUNCTION("""COMPUTED_VALUE"""),8.0)</f>
        <v>8</v>
      </c>
      <c r="AA6" s="10">
        <f>IFERROR(__xludf.DUMMYFUNCTION("""COMPUTED_VALUE"""),7.0)</f>
        <v>7</v>
      </c>
      <c r="AB6" s="10">
        <f>IFERROR(__xludf.DUMMYFUNCTION("""COMPUTED_VALUE"""),6.0)</f>
        <v>6</v>
      </c>
      <c r="AC6" s="10">
        <f>IFERROR(__xludf.DUMMYFUNCTION("""COMPUTED_VALUE"""),0.0)</f>
        <v>0</v>
      </c>
      <c r="AD6" s="10">
        <f>IFERROR(__xludf.DUMMYFUNCTION("""COMPUTED_VALUE"""),1.0)</f>
        <v>1</v>
      </c>
      <c r="AE6" s="10">
        <f>IFERROR(__xludf.DUMMYFUNCTION("""COMPUTED_VALUE"""),0.0)</f>
        <v>0</v>
      </c>
      <c r="AF6" s="10">
        <f>IFERROR(__xludf.DUMMYFUNCTION("""COMPUTED_VALUE"""),6.0)</f>
        <v>6</v>
      </c>
      <c r="AG6" s="10">
        <f>IFERROR(__xludf.DUMMYFUNCTION("""COMPUTED_VALUE"""),9.0)</f>
        <v>9</v>
      </c>
      <c r="AH6" s="10">
        <f>IFERROR(__xludf.DUMMYFUNCTION("""COMPUTED_VALUE"""),0.0)</f>
        <v>0</v>
      </c>
      <c r="AI6" s="10">
        <f>IFERROR(__xludf.DUMMYFUNCTION("""COMPUTED_VALUE"""),8.0)</f>
        <v>8</v>
      </c>
      <c r="AJ6" s="11" t="str">
        <f>IFERROR(__xludf.DUMMYFUNCTION("""COMPUTED_VALUE"""),"https://drive.google.com/open?id=15WbhlARN4Y3XFA7StPTASakDWlk0VyEl")</f>
        <v>https://drive.google.com/open?id=15WbhlARN4Y3XFA7StPTASakDWlk0VyEl</v>
      </c>
      <c r="AK6" s="12" t="str">
        <f>IFERROR(__xludf.DUMMYFUNCTION("""COMPUTED_VALUE"""),"No")</f>
        <v>No</v>
      </c>
      <c r="AL6" s="12"/>
      <c r="AM6" s="12"/>
      <c r="AN6" s="12"/>
      <c r="AO6" s="13">
        <v>1.0</v>
      </c>
      <c r="AX6" s="13">
        <v>1.0</v>
      </c>
    </row>
    <row r="7">
      <c r="A7" s="8">
        <v>6.0</v>
      </c>
      <c r="B7" s="9">
        <f>IFERROR(__xludf.DUMMYFUNCTION("""COMPUTED_VALUE"""),45693.244078310185)</f>
        <v>45693.24408</v>
      </c>
      <c r="C7" s="10" t="str">
        <f>IFERROR(__xludf.DUMMYFUNCTION("""COMPUTED_VALUE"""),"Bilal")</f>
        <v>Bilal</v>
      </c>
      <c r="D7" s="10" t="str">
        <f>IFERROR(__xludf.DUMMYFUNCTION("""COMPUTED_VALUE"""),"03066761947")</f>
        <v>03066761947</v>
      </c>
      <c r="E7" s="10" t="str">
        <f>IFERROR(__xludf.DUMMYFUNCTION("""COMPUTED_VALUE"""),"Jama masjid Bhohaar wali lahore gate")</f>
        <v>Jama masjid Bhohaar wali lahore gate</v>
      </c>
      <c r="F7" s="10" t="str">
        <f>IFERROR(__xludf.DUMMYFUNCTION("""COMPUTED_VALUE"""),"oonhe")</f>
        <v>oonhe</v>
      </c>
      <c r="G7" s="10" t="str">
        <f>IFERROR(__xludf.DUMMYFUNCTION("""COMPUTED_VALUE"""),"Yes")</f>
        <v>Yes</v>
      </c>
      <c r="H7" s="10">
        <f>IFERROR(__xludf.DUMMYFUNCTION("""COMPUTED_VALUE"""),8.0)</f>
        <v>8</v>
      </c>
      <c r="I7" s="10">
        <f>IFERROR(__xludf.DUMMYFUNCTION("""COMPUTED_VALUE"""),6.0)</f>
        <v>6</v>
      </c>
      <c r="J7" s="10">
        <f>IFERROR(__xludf.DUMMYFUNCTION("""COMPUTED_VALUE"""),7.0)</f>
        <v>7</v>
      </c>
      <c r="K7" s="10">
        <f>IFERROR(__xludf.DUMMYFUNCTION("""COMPUTED_VALUE"""),7.0)</f>
        <v>7</v>
      </c>
      <c r="L7" s="10">
        <f>IFERROR(__xludf.DUMMYFUNCTION("""COMPUTED_VALUE"""),5.0)</f>
        <v>5</v>
      </c>
      <c r="M7" s="10">
        <f>IFERROR(__xludf.DUMMYFUNCTION("""COMPUTED_VALUE"""),7.0)</f>
        <v>7</v>
      </c>
      <c r="N7" s="10">
        <f>IFERROR(__xludf.DUMMYFUNCTION("""COMPUTED_VALUE"""),8.0)</f>
        <v>8</v>
      </c>
      <c r="O7" s="10">
        <f>IFERROR(__xludf.DUMMYFUNCTION("""COMPUTED_VALUE"""),8.0)</f>
        <v>8</v>
      </c>
      <c r="P7" s="10">
        <f>IFERROR(__xludf.DUMMYFUNCTION("""COMPUTED_VALUE"""),4.0)</f>
        <v>4</v>
      </c>
      <c r="Q7" s="10" t="str">
        <f>IFERROR(__xludf.DUMMYFUNCTION("""COMPUTED_VALUE"""),"Yes")</f>
        <v>Yes</v>
      </c>
      <c r="R7" s="10" t="str">
        <f>IFERROR(__xludf.DUMMYFUNCTION("""COMPUTED_VALUE"""),"Yes")</f>
        <v>Yes</v>
      </c>
      <c r="S7" s="10" t="str">
        <f>IFERROR(__xludf.DUMMYFUNCTION("""COMPUTED_VALUE"""),"No")</f>
        <v>No</v>
      </c>
      <c r="T7" s="10">
        <f>IFERROR(__xludf.DUMMYFUNCTION("""COMPUTED_VALUE"""),0.0)</f>
        <v>0</v>
      </c>
      <c r="U7" s="10">
        <f>IFERROR(__xludf.DUMMYFUNCTION("""COMPUTED_VALUE"""),4.0)</f>
        <v>4</v>
      </c>
      <c r="V7" s="10" t="str">
        <f>IFERROR(__xludf.DUMMYFUNCTION("""COMPUTED_VALUE"""),"Parasuon k  halooq")</f>
        <v>Parasuon k  halooq</v>
      </c>
      <c r="W7" s="10" t="str">
        <f>IFERROR(__xludf.DUMMYFUNCTION("""COMPUTED_VALUE"""),"Parasuon k halooq ")</f>
        <v>Parasuon k halooq </v>
      </c>
      <c r="X7" s="10">
        <f>IFERROR(__xludf.DUMMYFUNCTION("""COMPUTED_VALUE"""),2.0)</f>
        <v>2</v>
      </c>
      <c r="Y7" s="10">
        <f>IFERROR(__xludf.DUMMYFUNCTION("""COMPUTED_VALUE"""),3.0)</f>
        <v>3</v>
      </c>
      <c r="Z7" s="10">
        <f>IFERROR(__xludf.DUMMYFUNCTION("""COMPUTED_VALUE"""),4.0)</f>
        <v>4</v>
      </c>
      <c r="AA7" s="10">
        <f>IFERROR(__xludf.DUMMYFUNCTION("""COMPUTED_VALUE"""),3.0)</f>
        <v>3</v>
      </c>
      <c r="AB7" s="10">
        <f>IFERROR(__xludf.DUMMYFUNCTION("""COMPUTED_VALUE"""),0.0)</f>
        <v>0</v>
      </c>
      <c r="AC7" s="10">
        <f>IFERROR(__xludf.DUMMYFUNCTION("""COMPUTED_VALUE"""),2.0)</f>
        <v>2</v>
      </c>
      <c r="AD7" s="10">
        <f>IFERROR(__xludf.DUMMYFUNCTION("""COMPUTED_VALUE"""),2.0)</f>
        <v>2</v>
      </c>
      <c r="AE7" s="10">
        <f>IFERROR(__xludf.DUMMYFUNCTION("""COMPUTED_VALUE"""),0.0)</f>
        <v>0</v>
      </c>
      <c r="AF7" s="10">
        <f>IFERROR(__xludf.DUMMYFUNCTION("""COMPUTED_VALUE"""),0.0)</f>
        <v>0</v>
      </c>
      <c r="AG7" s="10">
        <f>IFERROR(__xludf.DUMMYFUNCTION("""COMPUTED_VALUE"""),10.0)</f>
        <v>10</v>
      </c>
      <c r="AH7" s="10">
        <f>IFERROR(__xludf.DUMMYFUNCTION("""COMPUTED_VALUE"""),0.0)</f>
        <v>0</v>
      </c>
      <c r="AI7" s="10">
        <f>IFERROR(__xludf.DUMMYFUNCTION("""COMPUTED_VALUE"""),10.0)</f>
        <v>10</v>
      </c>
      <c r="AJ7" s="11" t="str">
        <f>IFERROR(__xludf.DUMMYFUNCTION("""COMPUTED_VALUE"""),"https://drive.google.com/open?id=1rAX0n3LUlDU_Um53O6ie9-wPvZE-Ubyj")</f>
        <v>https://drive.google.com/open?id=1rAX0n3LUlDU_Um53O6ie9-wPvZE-Ubyj</v>
      </c>
      <c r="AK7" s="12" t="str">
        <f>IFERROR(__xludf.DUMMYFUNCTION("""COMPUTED_VALUE"""),"No")</f>
        <v>No</v>
      </c>
      <c r="AL7" s="12"/>
      <c r="AM7" s="12"/>
      <c r="AN7" s="12"/>
      <c r="AO7" s="13">
        <v>1.0</v>
      </c>
      <c r="AX7" s="13">
        <v>1.0</v>
      </c>
    </row>
    <row r="8">
      <c r="A8" s="8">
        <v>7.0</v>
      </c>
      <c r="B8" s="9">
        <f>IFERROR(__xludf.DUMMYFUNCTION("""COMPUTED_VALUE"""),45693.36597701389)</f>
        <v>45693.36598</v>
      </c>
      <c r="C8" s="10" t="str">
        <f>IFERROR(__xludf.DUMMYFUNCTION("""COMPUTED_VALUE"""),"M Haseeb ")</f>
        <v>M Haseeb </v>
      </c>
      <c r="D8" s="10" t="str">
        <f>IFERROR(__xludf.DUMMYFUNCTION("""COMPUTED_VALUE"""),"03262232424")</f>
        <v>03262232424</v>
      </c>
      <c r="E8" s="10" t="str">
        <f>IFERROR(__xludf.DUMMYFUNCTION("""COMPUTED_VALUE"""),"Jamia masjid Abdul Ghani")</f>
        <v>Jamia masjid Abdul Ghani</v>
      </c>
      <c r="F8" s="10" t="str">
        <f>IFERROR(__xludf.DUMMYFUNCTION("""COMPUTED_VALUE"""),"OIYZT")</f>
        <v>OIYZT</v>
      </c>
      <c r="G8" s="10" t="str">
        <f>IFERROR(__xludf.DUMMYFUNCTION("""COMPUTED_VALUE"""),"Yes")</f>
        <v>Yes</v>
      </c>
      <c r="H8" s="10">
        <f>IFERROR(__xludf.DUMMYFUNCTION("""COMPUTED_VALUE"""),9.0)</f>
        <v>9</v>
      </c>
      <c r="I8" s="10">
        <f>IFERROR(__xludf.DUMMYFUNCTION("""COMPUTED_VALUE"""),1.0)</f>
        <v>1</v>
      </c>
      <c r="J8" s="10">
        <f>IFERROR(__xludf.DUMMYFUNCTION("""COMPUTED_VALUE"""),9.0)</f>
        <v>9</v>
      </c>
      <c r="K8" s="10">
        <f>IFERROR(__xludf.DUMMYFUNCTION("""COMPUTED_VALUE"""),3.0)</f>
        <v>3</v>
      </c>
      <c r="L8" s="10">
        <f>IFERROR(__xludf.DUMMYFUNCTION("""COMPUTED_VALUE"""),9.0)</f>
        <v>9</v>
      </c>
      <c r="M8" s="10">
        <f>IFERROR(__xludf.DUMMYFUNCTION("""COMPUTED_VALUE"""),0.0)</f>
        <v>0</v>
      </c>
      <c r="N8" s="10">
        <f>IFERROR(__xludf.DUMMYFUNCTION("""COMPUTED_VALUE"""),9.0)</f>
        <v>9</v>
      </c>
      <c r="O8" s="10">
        <f>IFERROR(__xludf.DUMMYFUNCTION("""COMPUTED_VALUE"""),0.0)</f>
        <v>0</v>
      </c>
      <c r="P8" s="10">
        <f>IFERROR(__xludf.DUMMYFUNCTION("""COMPUTED_VALUE"""),0.0)</f>
        <v>0</v>
      </c>
      <c r="Q8" s="10" t="str">
        <f>IFERROR(__xludf.DUMMYFUNCTION("""COMPUTED_VALUE"""),"No")</f>
        <v>No</v>
      </c>
      <c r="R8" s="10" t="str">
        <f>IFERROR(__xludf.DUMMYFUNCTION("""COMPUTED_VALUE"""),"No")</f>
        <v>No</v>
      </c>
      <c r="S8" s="10" t="str">
        <f>IFERROR(__xludf.DUMMYFUNCTION("""COMPUTED_VALUE"""),"No")</f>
        <v>No</v>
      </c>
      <c r="T8" s="10">
        <f>IFERROR(__xludf.DUMMYFUNCTION("""COMPUTED_VALUE"""),0.0)</f>
        <v>0</v>
      </c>
      <c r="U8" s="10">
        <f>IFERROR(__xludf.DUMMYFUNCTION("""COMPUTED_VALUE"""),0.0)</f>
        <v>0</v>
      </c>
      <c r="V8" s="10" t="str">
        <f>IFERROR(__xludf.DUMMYFUNCTION("""COMPUTED_VALUE"""),"Parosioo ka haquq")</f>
        <v>Parosioo ka haquq</v>
      </c>
      <c r="W8" s="10" t="str">
        <f>IFERROR(__xludf.DUMMYFUNCTION("""COMPUTED_VALUE"""),"Parosioo ka haquq or un ka sath husna saluk")</f>
        <v>Parosioo ka haquq or un ka sath husna saluk</v>
      </c>
      <c r="X8" s="10">
        <f>IFERROR(__xludf.DUMMYFUNCTION("""COMPUTED_VALUE"""),0.0)</f>
        <v>0</v>
      </c>
      <c r="Y8" s="10">
        <f>IFERROR(__xludf.DUMMYFUNCTION("""COMPUTED_VALUE"""),10.0)</f>
        <v>10</v>
      </c>
      <c r="Z8" s="10">
        <f>IFERROR(__xludf.DUMMYFUNCTION("""COMPUTED_VALUE"""),0.0)</f>
        <v>0</v>
      </c>
      <c r="AA8" s="10">
        <f>IFERROR(__xludf.DUMMYFUNCTION("""COMPUTED_VALUE"""),10.0)</f>
        <v>10</v>
      </c>
      <c r="AB8" s="10">
        <f>IFERROR(__xludf.DUMMYFUNCTION("""COMPUTED_VALUE"""),0.0)</f>
        <v>0</v>
      </c>
      <c r="AC8" s="10">
        <f>IFERROR(__xludf.DUMMYFUNCTION("""COMPUTED_VALUE"""),0.0)</f>
        <v>0</v>
      </c>
      <c r="AD8" s="10">
        <f>IFERROR(__xludf.DUMMYFUNCTION("""COMPUTED_VALUE"""),0.0)</f>
        <v>0</v>
      </c>
      <c r="AE8" s="10">
        <f>IFERROR(__xludf.DUMMYFUNCTION("""COMPUTED_VALUE"""),0.0)</f>
        <v>0</v>
      </c>
      <c r="AF8" s="10">
        <f>IFERROR(__xludf.DUMMYFUNCTION("""COMPUTED_VALUE"""),9.0)</f>
        <v>9</v>
      </c>
      <c r="AG8" s="10">
        <f>IFERROR(__xludf.DUMMYFUNCTION("""COMPUTED_VALUE"""),8.0)</f>
        <v>8</v>
      </c>
      <c r="AH8" s="10">
        <f>IFERROR(__xludf.DUMMYFUNCTION("""COMPUTED_VALUE"""),0.0)</f>
        <v>0</v>
      </c>
      <c r="AI8" s="10">
        <f>IFERROR(__xludf.DUMMYFUNCTION("""COMPUTED_VALUE"""),9.0)</f>
        <v>9</v>
      </c>
      <c r="AJ8" s="11" t="str">
        <f>IFERROR(__xludf.DUMMYFUNCTION("""COMPUTED_VALUE"""),"https://drive.google.com/open?id=1KmOUD75NssVwphApVq7SZE-meTsh3bTJ")</f>
        <v>https://drive.google.com/open?id=1KmOUD75NssVwphApVq7SZE-meTsh3bTJ</v>
      </c>
      <c r="AK8" s="12"/>
      <c r="AL8" s="12"/>
      <c r="AM8" s="12"/>
      <c r="AN8" s="12"/>
      <c r="AO8" s="13">
        <v>1.0</v>
      </c>
      <c r="AX8" s="13">
        <v>1.0</v>
      </c>
    </row>
    <row r="9">
      <c r="A9" s="8">
        <v>8.0</v>
      </c>
      <c r="B9" s="9">
        <f>IFERROR(__xludf.DUMMYFUNCTION("""COMPUTED_VALUE"""),45693.531949571756)</f>
        <v>45693.53195</v>
      </c>
      <c r="C9" s="10" t="str">
        <f>IFERROR(__xludf.DUMMYFUNCTION("""COMPUTED_VALUE"""),"Sheheryar Ahmad")</f>
        <v>Sheheryar Ahmad</v>
      </c>
      <c r="D9" s="10" t="str">
        <f>IFERROR(__xludf.DUMMYFUNCTION("""COMPUTED_VALUE"""),"03194458854")</f>
        <v>03194458854</v>
      </c>
      <c r="E9" s="10" t="str">
        <f>IFERROR(__xludf.DUMMYFUNCTION("""COMPUTED_VALUE"""),"Masjid Abu Bakar e Sadiq almarof Peshawari Masjid")</f>
        <v>Masjid Abu Bakar e Sadiq almarof Peshawari Masjid</v>
      </c>
      <c r="F9" s="10" t="str">
        <f>IFERROR(__xludf.DUMMYFUNCTION("""COMPUTED_VALUE"""),"TELOU")</f>
        <v>TELOU</v>
      </c>
      <c r="G9" s="10" t="str">
        <f>IFERROR(__xludf.DUMMYFUNCTION("""COMPUTED_VALUE"""),"Yes")</f>
        <v>Yes</v>
      </c>
      <c r="H9" s="10">
        <f>IFERROR(__xludf.DUMMYFUNCTION("""COMPUTED_VALUE"""),8.0)</f>
        <v>8</v>
      </c>
      <c r="I9" s="10">
        <f>IFERROR(__xludf.DUMMYFUNCTION("""COMPUTED_VALUE"""),3.0)</f>
        <v>3</v>
      </c>
      <c r="J9" s="10">
        <f>IFERROR(__xludf.DUMMYFUNCTION("""COMPUTED_VALUE"""),8.0)</f>
        <v>8</v>
      </c>
      <c r="K9" s="10">
        <f>IFERROR(__xludf.DUMMYFUNCTION("""COMPUTED_VALUE"""),9.0)</f>
        <v>9</v>
      </c>
      <c r="L9" s="10">
        <f>IFERROR(__xludf.DUMMYFUNCTION("""COMPUTED_VALUE"""),0.0)</f>
        <v>0</v>
      </c>
      <c r="M9" s="10">
        <f>IFERROR(__xludf.DUMMYFUNCTION("""COMPUTED_VALUE"""),10.0)</f>
        <v>10</v>
      </c>
      <c r="N9" s="10">
        <f>IFERROR(__xludf.DUMMYFUNCTION("""COMPUTED_VALUE"""),0.0)</f>
        <v>0</v>
      </c>
      <c r="O9" s="10">
        <f>IFERROR(__xludf.DUMMYFUNCTION("""COMPUTED_VALUE"""),10.0)</f>
        <v>10</v>
      </c>
      <c r="P9" s="10">
        <f>IFERROR(__xludf.DUMMYFUNCTION("""COMPUTED_VALUE"""),0.0)</f>
        <v>0</v>
      </c>
      <c r="Q9" s="10" t="str">
        <f>IFERROR(__xludf.DUMMYFUNCTION("""COMPUTED_VALUE"""),"Yes")</f>
        <v>Yes</v>
      </c>
      <c r="R9" s="10" t="str">
        <f>IFERROR(__xludf.DUMMYFUNCTION("""COMPUTED_VALUE"""),"No")</f>
        <v>No</v>
      </c>
      <c r="S9" s="10" t="str">
        <f>IFERROR(__xludf.DUMMYFUNCTION("""COMPUTED_VALUE"""),"Yes")</f>
        <v>Yes</v>
      </c>
      <c r="T9" s="10">
        <f>IFERROR(__xludf.DUMMYFUNCTION("""COMPUTED_VALUE"""),10.0)</f>
        <v>10</v>
      </c>
      <c r="U9" s="10">
        <f>IFERROR(__xludf.DUMMYFUNCTION("""COMPUTED_VALUE"""),0.0)</f>
        <v>0</v>
      </c>
      <c r="V9" s="10" t="str">
        <f>IFERROR(__xludf.DUMMYFUNCTION("""COMPUTED_VALUE"""),"Women rights in Islam")</f>
        <v>Women rights in Islam</v>
      </c>
      <c r="W9" s="10" t="str">
        <f>IFERROR(__xludf.DUMMYFUNCTION("""COMPUTED_VALUE"""),"Kahwateen kay sath acha rawaya rakhaya jay, unko taleem ka haq milay")</f>
        <v>Kahwateen kay sath acha rawaya rakhaya jay, unko taleem ka haq milay</v>
      </c>
      <c r="X9" s="10">
        <f>IFERROR(__xludf.DUMMYFUNCTION("""COMPUTED_VALUE"""),0.0)</f>
        <v>0</v>
      </c>
      <c r="Y9" s="10">
        <f>IFERROR(__xludf.DUMMYFUNCTION("""COMPUTED_VALUE"""),9.0)</f>
        <v>9</v>
      </c>
      <c r="Z9" s="10">
        <f>IFERROR(__xludf.DUMMYFUNCTION("""COMPUTED_VALUE"""),9.0)</f>
        <v>9</v>
      </c>
      <c r="AA9" s="10">
        <f>IFERROR(__xludf.DUMMYFUNCTION("""COMPUTED_VALUE"""),0.0)</f>
        <v>0</v>
      </c>
      <c r="AB9" s="10">
        <f>IFERROR(__xludf.DUMMYFUNCTION("""COMPUTED_VALUE"""),9.0)</f>
        <v>9</v>
      </c>
      <c r="AC9" s="10">
        <f>IFERROR(__xludf.DUMMYFUNCTION("""COMPUTED_VALUE"""),0.0)</f>
        <v>0</v>
      </c>
      <c r="AD9" s="10">
        <f>IFERROR(__xludf.DUMMYFUNCTION("""COMPUTED_VALUE"""),4.0)</f>
        <v>4</v>
      </c>
      <c r="AE9" s="10">
        <f>IFERROR(__xludf.DUMMYFUNCTION("""COMPUTED_VALUE"""),0.0)</f>
        <v>0</v>
      </c>
      <c r="AF9" s="10">
        <f>IFERROR(__xludf.DUMMYFUNCTION("""COMPUTED_VALUE"""),10.0)</f>
        <v>10</v>
      </c>
      <c r="AG9" s="10">
        <f>IFERROR(__xludf.DUMMYFUNCTION("""COMPUTED_VALUE"""),10.0)</f>
        <v>10</v>
      </c>
      <c r="AH9" s="10">
        <f>IFERROR(__xludf.DUMMYFUNCTION("""COMPUTED_VALUE"""),0.0)</f>
        <v>0</v>
      </c>
      <c r="AI9" s="10">
        <f>IFERROR(__xludf.DUMMYFUNCTION("""COMPUTED_VALUE"""),10.0)</f>
        <v>10</v>
      </c>
      <c r="AJ9" s="11" t="str">
        <f>IFERROR(__xludf.DUMMYFUNCTION("""COMPUTED_VALUE"""),"https://drive.google.com/open?id=1K8dsFWgTQrLE0cl4SvBMENAQyNLUC7Si")</f>
        <v>https://drive.google.com/open?id=1K8dsFWgTQrLE0cl4SvBMENAQyNLUC7Si</v>
      </c>
      <c r="AK9" s="12"/>
      <c r="AL9" s="12"/>
      <c r="AM9" s="12"/>
      <c r="AN9" s="12"/>
      <c r="AO9" s="13" t="s">
        <v>3</v>
      </c>
      <c r="AX9" s="13">
        <v>1.0</v>
      </c>
    </row>
    <row r="10">
      <c r="A10" s="8">
        <v>9.0</v>
      </c>
      <c r="B10" s="9">
        <f>IFERROR(__xludf.DUMMYFUNCTION("""COMPUTED_VALUE"""),45694.05800422454)</f>
        <v>45694.058</v>
      </c>
      <c r="C10" s="10" t="str">
        <f>IFERROR(__xludf.DUMMYFUNCTION("""COMPUTED_VALUE"""),"Babar Ali")</f>
        <v>Babar Ali</v>
      </c>
      <c r="D10" s="10" t="str">
        <f>IFERROR(__xludf.DUMMYFUNCTION("""COMPUTED_VALUE"""),"03011297393")</f>
        <v>03011297393</v>
      </c>
      <c r="E10" s="10" t="str">
        <f>IFERROR(__xludf.DUMMYFUNCTION("""COMPUTED_VALUE"""),"Jamia Masjid Shamas( jamia masjid darbar peer hadi rehnuma)")</f>
        <v>Jamia Masjid Shamas( jamia masjid darbar peer hadi rehnuma)</v>
      </c>
      <c r="F10" s="10" t="str">
        <f>IFERROR(__xludf.DUMMYFUNCTION("""COMPUTED_VALUE"""),"Jeztx")</f>
        <v>Jeztx</v>
      </c>
      <c r="G10" s="10" t="str">
        <f>IFERROR(__xludf.DUMMYFUNCTION("""COMPUTED_VALUE"""),"Yes")</f>
        <v>Yes</v>
      </c>
      <c r="H10" s="10">
        <f>IFERROR(__xludf.DUMMYFUNCTION("""COMPUTED_VALUE"""),9.0)</f>
        <v>9</v>
      </c>
      <c r="I10" s="10">
        <f>IFERROR(__xludf.DUMMYFUNCTION("""COMPUTED_VALUE"""),2.0)</f>
        <v>2</v>
      </c>
      <c r="J10" s="10">
        <f>IFERROR(__xludf.DUMMYFUNCTION("""COMPUTED_VALUE"""),9.0)</f>
        <v>9</v>
      </c>
      <c r="K10" s="10">
        <f>IFERROR(__xludf.DUMMYFUNCTION("""COMPUTED_VALUE"""),0.0)</f>
        <v>0</v>
      </c>
      <c r="L10" s="10">
        <f>IFERROR(__xludf.DUMMYFUNCTION("""COMPUTED_VALUE"""),0.0)</f>
        <v>0</v>
      </c>
      <c r="M10" s="10">
        <f>IFERROR(__xludf.DUMMYFUNCTION("""COMPUTED_VALUE"""),9.0)</f>
        <v>9</v>
      </c>
      <c r="N10" s="10">
        <f>IFERROR(__xludf.DUMMYFUNCTION("""COMPUTED_VALUE"""),0.0)</f>
        <v>0</v>
      </c>
      <c r="O10" s="10">
        <f>IFERROR(__xludf.DUMMYFUNCTION("""COMPUTED_VALUE"""),9.0)</f>
        <v>9</v>
      </c>
      <c r="P10" s="10">
        <f>IFERROR(__xludf.DUMMYFUNCTION("""COMPUTED_VALUE"""),0.0)</f>
        <v>0</v>
      </c>
      <c r="Q10" s="10" t="str">
        <f>IFERROR(__xludf.DUMMYFUNCTION("""COMPUTED_VALUE"""),"Yes")</f>
        <v>Yes</v>
      </c>
      <c r="R10" s="10" t="str">
        <f>IFERROR(__xludf.DUMMYFUNCTION("""COMPUTED_VALUE"""),"No")</f>
        <v>No</v>
      </c>
      <c r="S10" s="10" t="str">
        <f>IFERROR(__xludf.DUMMYFUNCTION("""COMPUTED_VALUE"""),"Yes")</f>
        <v>Yes</v>
      </c>
      <c r="T10" s="10">
        <f>IFERROR(__xludf.DUMMYFUNCTION("""COMPUTED_VALUE"""),0.0)</f>
        <v>0</v>
      </c>
      <c r="U10" s="10">
        <f>IFERROR(__xludf.DUMMYFUNCTION("""COMPUTED_VALUE"""),0.0)</f>
        <v>0</v>
      </c>
      <c r="V10" s="10" t="str">
        <f>IFERROR(__xludf.DUMMYFUNCTION("""COMPUTED_VALUE"""),"اسلام میں عورت کا مقام کردار اور حق")</f>
        <v>اسلام میں عورت کا مقام کردار اور حق</v>
      </c>
      <c r="W10" s="10" t="str">
        <f>IFERROR(__xludf.DUMMYFUNCTION("""COMPUTED_VALUE"""),"اسلام میں عورت کو بلند مقام دیا گیا ہے، جہاں وہ ماں، بیٹی، بہن اور بیوی کے طور پر عزت و احترام کی مستحق ہے۔ قرآن و حدیث کے مطابق، عورت کی تعلیم، حیا، اور عفت کو اہمیت دی گئی ہے، اور اسے معاشرتی ترقی میں فعال کردار ادا کرنے کی ترغیب دی گئی ہے۔")</f>
        <v>اسلام میں عورت کو بلند مقام دیا گیا ہے، جہاں وہ ماں، بیٹی، بہن اور بیوی کے طور پر عزت و احترام کی مستحق ہے۔ قرآن و حدیث کے مطابق، عورت کی تعلیم، حیا، اور عفت کو اہمیت دی گئی ہے، اور اسے معاشرتی ترقی میں فعال کردار ادا کرنے کی ترغیب دی گئی ہے۔</v>
      </c>
      <c r="X10" s="10">
        <f>IFERROR(__xludf.DUMMYFUNCTION("""COMPUTED_VALUE"""),0.0)</f>
        <v>0</v>
      </c>
      <c r="Y10" s="10">
        <f>IFERROR(__xludf.DUMMYFUNCTION("""COMPUTED_VALUE"""),0.0)</f>
        <v>0</v>
      </c>
      <c r="Z10" s="10">
        <f>IFERROR(__xludf.DUMMYFUNCTION("""COMPUTED_VALUE"""),2.0)</f>
        <v>2</v>
      </c>
      <c r="AA10" s="10">
        <f>IFERROR(__xludf.DUMMYFUNCTION("""COMPUTED_VALUE"""),0.0)</f>
        <v>0</v>
      </c>
      <c r="AB10" s="10">
        <f>IFERROR(__xludf.DUMMYFUNCTION("""COMPUTED_VALUE"""),0.0)</f>
        <v>0</v>
      </c>
      <c r="AC10" s="10">
        <f>IFERROR(__xludf.DUMMYFUNCTION("""COMPUTED_VALUE"""),0.0)</f>
        <v>0</v>
      </c>
      <c r="AD10" s="10">
        <f>IFERROR(__xludf.DUMMYFUNCTION("""COMPUTED_VALUE"""),0.0)</f>
        <v>0</v>
      </c>
      <c r="AE10" s="10">
        <f>IFERROR(__xludf.DUMMYFUNCTION("""COMPUTED_VALUE"""),0.0)</f>
        <v>0</v>
      </c>
      <c r="AF10" s="10">
        <f>IFERROR(__xludf.DUMMYFUNCTION("""COMPUTED_VALUE"""),7.0)</f>
        <v>7</v>
      </c>
      <c r="AG10" s="10">
        <f>IFERROR(__xludf.DUMMYFUNCTION("""COMPUTED_VALUE"""),8.0)</f>
        <v>8</v>
      </c>
      <c r="AH10" s="10">
        <f>IFERROR(__xludf.DUMMYFUNCTION("""COMPUTED_VALUE"""),0.0)</f>
        <v>0</v>
      </c>
      <c r="AI10" s="10">
        <f>IFERROR(__xludf.DUMMYFUNCTION("""COMPUTED_VALUE"""),7.0)</f>
        <v>7</v>
      </c>
      <c r="AJ10" s="11" t="str">
        <f>IFERROR(__xludf.DUMMYFUNCTION("""COMPUTED_VALUE"""),"https://drive.google.com/open?id=1oPWJKKn748a0HcKfgxjQY7OIPrQg83tC")</f>
        <v>https://drive.google.com/open?id=1oPWJKKn748a0HcKfgxjQY7OIPrQg83tC</v>
      </c>
      <c r="AK10" s="12"/>
      <c r="AL10" s="12"/>
      <c r="AM10" s="12"/>
      <c r="AN10" s="12"/>
      <c r="AO10" s="13">
        <v>1.0</v>
      </c>
      <c r="AX10" s="13">
        <v>1.0</v>
      </c>
    </row>
    <row r="11">
      <c r="A11" s="8">
        <v>10.0</v>
      </c>
      <c r="B11" s="9">
        <f>IFERROR(__xludf.DUMMYFUNCTION("""COMPUTED_VALUE"""),45694.119361840276)</f>
        <v>45694.11936</v>
      </c>
      <c r="C11" s="10" t="str">
        <f>IFERROR(__xludf.DUMMYFUNCTION("""COMPUTED_VALUE"""),"Muhammad Ahsan")</f>
        <v>Muhammad Ahsan</v>
      </c>
      <c r="D11" s="10" t="str">
        <f>IFERROR(__xludf.DUMMYFUNCTION("""COMPUTED_VALUE"""),"03078868667")</f>
        <v>03078868667</v>
      </c>
      <c r="E11" s="10" t="str">
        <f>IFERROR(__xludf.DUMMYFUNCTION("""COMPUTED_VALUE"""),"شاہ ابوالمعالی")</f>
        <v>شاہ ابوالمعالی</v>
      </c>
      <c r="F11" s="10" t="str">
        <f>IFERROR(__xludf.DUMMYFUNCTION("""COMPUTED_VALUE"""),"cqafr")</f>
        <v>cqafr</v>
      </c>
      <c r="G11" s="10" t="str">
        <f>IFERROR(__xludf.DUMMYFUNCTION("""COMPUTED_VALUE"""),"Yes")</f>
        <v>Yes</v>
      </c>
      <c r="H11" s="10">
        <f>IFERROR(__xludf.DUMMYFUNCTION("""COMPUTED_VALUE"""),0.0)</f>
        <v>0</v>
      </c>
      <c r="I11" s="10">
        <f>IFERROR(__xludf.DUMMYFUNCTION("""COMPUTED_VALUE"""),10.0)</f>
        <v>10</v>
      </c>
      <c r="J11" s="10">
        <f>IFERROR(__xludf.DUMMYFUNCTION("""COMPUTED_VALUE"""),0.0)</f>
        <v>0</v>
      </c>
      <c r="K11" s="10">
        <f>IFERROR(__xludf.DUMMYFUNCTION("""COMPUTED_VALUE"""),1.0)</f>
        <v>1</v>
      </c>
      <c r="L11" s="10">
        <f>IFERROR(__xludf.DUMMYFUNCTION("""COMPUTED_VALUE"""),0.0)</f>
        <v>0</v>
      </c>
      <c r="M11" s="10">
        <f>IFERROR(__xludf.DUMMYFUNCTION("""COMPUTED_VALUE"""),0.0)</f>
        <v>0</v>
      </c>
      <c r="N11" s="10">
        <f>IFERROR(__xludf.DUMMYFUNCTION("""COMPUTED_VALUE"""),0.0)</f>
        <v>0</v>
      </c>
      <c r="O11" s="10">
        <f>IFERROR(__xludf.DUMMYFUNCTION("""COMPUTED_VALUE"""),0.0)</f>
        <v>0</v>
      </c>
      <c r="P11" s="10">
        <f>IFERROR(__xludf.DUMMYFUNCTION("""COMPUTED_VALUE"""),0.0)</f>
        <v>0</v>
      </c>
      <c r="Q11" s="10" t="str">
        <f>IFERROR(__xludf.DUMMYFUNCTION("""COMPUTED_VALUE"""),"No")</f>
        <v>No</v>
      </c>
      <c r="R11" s="10" t="str">
        <f>IFERROR(__xludf.DUMMYFUNCTION("""COMPUTED_VALUE"""),"No")</f>
        <v>No</v>
      </c>
      <c r="S11" s="10" t="str">
        <f>IFERROR(__xludf.DUMMYFUNCTION("""COMPUTED_VALUE"""),"No")</f>
        <v>No</v>
      </c>
      <c r="T11" s="10">
        <f>IFERROR(__xludf.DUMMYFUNCTION("""COMPUTED_VALUE"""),0.0)</f>
        <v>0</v>
      </c>
      <c r="U11" s="10">
        <f>IFERROR(__xludf.DUMMYFUNCTION("""COMPUTED_VALUE"""),0.0)</f>
        <v>0</v>
      </c>
      <c r="V11" s="10" t="str">
        <f>IFERROR(__xludf.DUMMYFUNCTION("""COMPUTED_VALUE"""),"Issue of Kashmir")</f>
        <v>Issue of Kashmir</v>
      </c>
      <c r="W11" s="10" t="str">
        <f>IFERROR(__xludf.DUMMYFUNCTION("""COMPUTED_VALUE"""),"imam na apna bayan ma kashmir or is par hona walal zulam par bat ke")</f>
        <v>imam na apna bayan ma kashmir or is par hona walal zulam par bat ke</v>
      </c>
      <c r="X11" s="10">
        <f>IFERROR(__xludf.DUMMYFUNCTION("""COMPUTED_VALUE"""),0.0)</f>
        <v>0</v>
      </c>
      <c r="Y11" s="10">
        <f>IFERROR(__xludf.DUMMYFUNCTION("""COMPUTED_VALUE"""),1.0)</f>
        <v>1</v>
      </c>
      <c r="Z11" s="10">
        <f>IFERROR(__xludf.DUMMYFUNCTION("""COMPUTED_VALUE"""),1.0)</f>
        <v>1</v>
      </c>
      <c r="AA11" s="10">
        <f>IFERROR(__xludf.DUMMYFUNCTION("""COMPUTED_VALUE"""),2.0)</f>
        <v>2</v>
      </c>
      <c r="AB11" s="10">
        <f>IFERROR(__xludf.DUMMYFUNCTION("""COMPUTED_VALUE"""),2.0)</f>
        <v>2</v>
      </c>
      <c r="AC11" s="10">
        <f>IFERROR(__xludf.DUMMYFUNCTION("""COMPUTED_VALUE"""),5.0)</f>
        <v>5</v>
      </c>
      <c r="AD11" s="10">
        <f>IFERROR(__xludf.DUMMYFUNCTION("""COMPUTED_VALUE"""),0.0)</f>
        <v>0</v>
      </c>
      <c r="AE11" s="10">
        <f>IFERROR(__xludf.DUMMYFUNCTION("""COMPUTED_VALUE"""),0.0)</f>
        <v>0</v>
      </c>
      <c r="AF11" s="10">
        <f>IFERROR(__xludf.DUMMYFUNCTION("""COMPUTED_VALUE"""),0.0)</f>
        <v>0</v>
      </c>
      <c r="AG11" s="10">
        <f>IFERROR(__xludf.DUMMYFUNCTION("""COMPUTED_VALUE"""),9.0)</f>
        <v>9</v>
      </c>
      <c r="AH11" s="10">
        <f>IFERROR(__xludf.DUMMYFUNCTION("""COMPUTED_VALUE"""),0.0)</f>
        <v>0</v>
      </c>
      <c r="AI11" s="10">
        <f>IFERROR(__xludf.DUMMYFUNCTION("""COMPUTED_VALUE"""),8.0)</f>
        <v>8</v>
      </c>
      <c r="AJ11" s="11" t="str">
        <f>IFERROR(__xludf.DUMMYFUNCTION("""COMPUTED_VALUE"""),"https://drive.google.com/open?id=1jM17BBHEVehMhVigSU1jIjio2ohBwFzz")</f>
        <v>https://drive.google.com/open?id=1jM17BBHEVehMhVigSU1jIjio2ohBwFzz</v>
      </c>
      <c r="AK11" s="12"/>
      <c r="AL11" s="12"/>
      <c r="AM11" s="12"/>
      <c r="AN11" s="12"/>
      <c r="AO11" s="13">
        <v>1.0</v>
      </c>
      <c r="AX11" s="13">
        <v>1.0</v>
      </c>
    </row>
    <row r="12">
      <c r="A12" s="8">
        <v>11.0</v>
      </c>
      <c r="B12" s="9">
        <f>IFERROR(__xludf.DUMMYFUNCTION("""COMPUTED_VALUE"""),45695.09888276621)</f>
        <v>45695.09888</v>
      </c>
      <c r="C12" s="10" t="str">
        <f>IFERROR(__xludf.DUMMYFUNCTION("""COMPUTED_VALUE"""),"Hafiz Ali Usman ")</f>
        <v>Hafiz Ali Usman </v>
      </c>
      <c r="D12" s="10" t="str">
        <f>IFERROR(__xludf.DUMMYFUNCTION("""COMPUTED_VALUE"""),"03035218874")</f>
        <v>03035218874</v>
      </c>
      <c r="E12" s="10" t="str">
        <f>IFERROR(__xludf.DUMMYFUNCTION("""COMPUTED_VALUE"""),"    جامع مسجد مسافر خانہ گڑ ھی شاھولاہور        Jamia Masjid Musafir Khana Ghari Shah Lahore")</f>
        <v>    جامع مسجد مسافر خانہ گڑ ھی شاھولاہور        Jamia Masjid Musafir Khana Ghari Shah Lahore</v>
      </c>
      <c r="F12" s="10" t="str">
        <f>IFERROR(__xludf.DUMMYFUNCTION("""COMPUTED_VALUE"""),"emotn")</f>
        <v>emotn</v>
      </c>
      <c r="G12" s="10" t="str">
        <f>IFERROR(__xludf.DUMMYFUNCTION("""COMPUTED_VALUE"""),"Yes")</f>
        <v>Yes</v>
      </c>
      <c r="H12" s="10">
        <f>IFERROR(__xludf.DUMMYFUNCTION("""COMPUTED_VALUE"""),5.0)</f>
        <v>5</v>
      </c>
      <c r="I12" s="10">
        <f>IFERROR(__xludf.DUMMYFUNCTION("""COMPUTED_VALUE"""),8.0)</f>
        <v>8</v>
      </c>
      <c r="J12" s="10">
        <f>IFERROR(__xludf.DUMMYFUNCTION("""COMPUTED_VALUE"""),3.0)</f>
        <v>3</v>
      </c>
      <c r="K12" s="10">
        <f>IFERROR(__xludf.DUMMYFUNCTION("""COMPUTED_VALUE"""),6.0)</f>
        <v>6</v>
      </c>
      <c r="L12" s="10">
        <f>IFERROR(__xludf.DUMMYFUNCTION("""COMPUTED_VALUE"""),0.0)</f>
        <v>0</v>
      </c>
      <c r="M12" s="10">
        <f>IFERROR(__xludf.DUMMYFUNCTION("""COMPUTED_VALUE"""),4.0)</f>
        <v>4</v>
      </c>
      <c r="N12" s="10">
        <f>IFERROR(__xludf.DUMMYFUNCTION("""COMPUTED_VALUE"""),1.0)</f>
        <v>1</v>
      </c>
      <c r="O12" s="10">
        <f>IFERROR(__xludf.DUMMYFUNCTION("""COMPUTED_VALUE"""),7.0)</f>
        <v>7</v>
      </c>
      <c r="P12" s="10">
        <f>IFERROR(__xludf.DUMMYFUNCTION("""COMPUTED_VALUE"""),4.0)</f>
        <v>4</v>
      </c>
      <c r="Q12" s="10" t="str">
        <f>IFERROR(__xludf.DUMMYFUNCTION("""COMPUTED_VALUE"""),"No")</f>
        <v>No</v>
      </c>
      <c r="R12" s="10" t="str">
        <f>IFERROR(__xludf.DUMMYFUNCTION("""COMPUTED_VALUE"""),"No")</f>
        <v>No</v>
      </c>
      <c r="S12" s="10" t="str">
        <f>IFERROR(__xludf.DUMMYFUNCTION("""COMPUTED_VALUE"""),"No")</f>
        <v>No</v>
      </c>
      <c r="T12" s="10">
        <f>IFERROR(__xludf.DUMMYFUNCTION("""COMPUTED_VALUE"""),5.0)</f>
        <v>5</v>
      </c>
      <c r="U12" s="10">
        <f>IFERROR(__xludf.DUMMYFUNCTION("""COMPUTED_VALUE"""),0.0)</f>
        <v>0</v>
      </c>
      <c r="V12" s="10" t="str">
        <f>IFERROR(__xludf.DUMMYFUNCTION("""COMPUTED_VALUE"""),"Aurt k haqooq ki bat ki")</f>
        <v>Aurt k haqooq ki bat ki</v>
      </c>
      <c r="W12" s="10" t="str">
        <f>IFERROR(__xludf.DUMMYFUNCTION("""COMPUTED_VALUE"""),"Aurt ki parwarish per bat ki ")</f>
        <v>Aurt ki parwarish per bat ki </v>
      </c>
      <c r="X12" s="10">
        <f>IFERROR(__xludf.DUMMYFUNCTION("""COMPUTED_VALUE"""),2.0)</f>
        <v>2</v>
      </c>
      <c r="Y12" s="10">
        <f>IFERROR(__xludf.DUMMYFUNCTION("""COMPUTED_VALUE"""),3.0)</f>
        <v>3</v>
      </c>
      <c r="Z12" s="10">
        <f>IFERROR(__xludf.DUMMYFUNCTION("""COMPUTED_VALUE"""),6.0)</f>
        <v>6</v>
      </c>
      <c r="AA12" s="10">
        <f>IFERROR(__xludf.DUMMYFUNCTION("""COMPUTED_VALUE"""),5.0)</f>
        <v>5</v>
      </c>
      <c r="AB12" s="10">
        <f>IFERROR(__xludf.DUMMYFUNCTION("""COMPUTED_VALUE"""),2.0)</f>
        <v>2</v>
      </c>
      <c r="AC12" s="10">
        <f>IFERROR(__xludf.DUMMYFUNCTION("""COMPUTED_VALUE"""),0.0)</f>
        <v>0</v>
      </c>
      <c r="AD12" s="10">
        <f>IFERROR(__xludf.DUMMYFUNCTION("""COMPUTED_VALUE"""),0.0)</f>
        <v>0</v>
      </c>
      <c r="AE12" s="10">
        <f>IFERROR(__xludf.DUMMYFUNCTION("""COMPUTED_VALUE"""),0.0)</f>
        <v>0</v>
      </c>
      <c r="AF12" s="10">
        <f>IFERROR(__xludf.DUMMYFUNCTION("""COMPUTED_VALUE"""),6.0)</f>
        <v>6</v>
      </c>
      <c r="AG12" s="10">
        <f>IFERROR(__xludf.DUMMYFUNCTION("""COMPUTED_VALUE"""),6.0)</f>
        <v>6</v>
      </c>
      <c r="AH12" s="10">
        <f>IFERROR(__xludf.DUMMYFUNCTION("""COMPUTED_VALUE"""),3.0)</f>
        <v>3</v>
      </c>
      <c r="AI12" s="10">
        <f>IFERROR(__xludf.DUMMYFUNCTION("""COMPUTED_VALUE"""),5.0)</f>
        <v>5</v>
      </c>
      <c r="AJ12" s="11" t="str">
        <f>IFERROR(__xludf.DUMMYFUNCTION("""COMPUTED_VALUE"""),"https://drive.google.com/open?id=1ONPn__gcw6Ai491mKT8sb3SSFxWFNQWr")</f>
        <v>https://drive.google.com/open?id=1ONPn__gcw6Ai491mKT8sb3SSFxWFNQWr</v>
      </c>
      <c r="AK12" s="12"/>
      <c r="AL12" s="12"/>
      <c r="AM12" s="12"/>
      <c r="AN12" s="12"/>
      <c r="AO12" s="13">
        <v>1.0</v>
      </c>
      <c r="AX12" s="13">
        <v>1.0</v>
      </c>
    </row>
    <row r="13">
      <c r="A13" s="8">
        <v>12.0</v>
      </c>
      <c r="B13" s="9">
        <f>IFERROR(__xludf.DUMMYFUNCTION("""COMPUTED_VALUE"""),45695.99316229166)</f>
        <v>45695.99316</v>
      </c>
      <c r="C13" s="10" t="str">
        <f>IFERROR(__xludf.DUMMYFUNCTION("""COMPUTED_VALUE"""),"Adnan Ali ")</f>
        <v>Adnan Ali </v>
      </c>
      <c r="D13" s="10" t="str">
        <f>IFERROR(__xludf.DUMMYFUNCTION("""COMPUTED_VALUE"""),"03054045395")</f>
        <v>03054045395</v>
      </c>
      <c r="E13" s="10" t="str">
        <f>IFERROR(__xludf.DUMMYFUNCTION("""COMPUTED_VALUE"""),"Jamia Masjid Barkat bibi ")</f>
        <v>Jamia Masjid Barkat bibi </v>
      </c>
      <c r="F13" s="10" t="str">
        <f>IFERROR(__xludf.DUMMYFUNCTION("""COMPUTED_VALUE"""),"HSWIF")</f>
        <v>HSWIF</v>
      </c>
      <c r="G13" s="10" t="str">
        <f>IFERROR(__xludf.DUMMYFUNCTION("""COMPUTED_VALUE"""),"Yes")</f>
        <v>Yes</v>
      </c>
      <c r="H13" s="10">
        <f>IFERROR(__xludf.DUMMYFUNCTION("""COMPUTED_VALUE"""),7.0)</f>
        <v>7</v>
      </c>
      <c r="I13" s="10">
        <f>IFERROR(__xludf.DUMMYFUNCTION("""COMPUTED_VALUE"""),3.0)</f>
        <v>3</v>
      </c>
      <c r="J13" s="10">
        <f>IFERROR(__xludf.DUMMYFUNCTION("""COMPUTED_VALUE"""),7.0)</f>
        <v>7</v>
      </c>
      <c r="K13" s="10">
        <f>IFERROR(__xludf.DUMMYFUNCTION("""COMPUTED_VALUE"""),7.0)</f>
        <v>7</v>
      </c>
      <c r="L13" s="10">
        <f>IFERROR(__xludf.DUMMYFUNCTION("""COMPUTED_VALUE"""),0.0)</f>
        <v>0</v>
      </c>
      <c r="M13" s="10">
        <f>IFERROR(__xludf.DUMMYFUNCTION("""COMPUTED_VALUE"""),6.0)</f>
        <v>6</v>
      </c>
      <c r="N13" s="10">
        <f>IFERROR(__xludf.DUMMYFUNCTION("""COMPUTED_VALUE"""),0.0)</f>
        <v>0</v>
      </c>
      <c r="O13" s="10">
        <f>IFERROR(__xludf.DUMMYFUNCTION("""COMPUTED_VALUE"""),8.0)</f>
        <v>8</v>
      </c>
      <c r="P13" s="10">
        <f>IFERROR(__xludf.DUMMYFUNCTION("""COMPUTED_VALUE"""),0.0)</f>
        <v>0</v>
      </c>
      <c r="Q13" s="10" t="str">
        <f>IFERROR(__xludf.DUMMYFUNCTION("""COMPUTED_VALUE"""),"Yes")</f>
        <v>Yes</v>
      </c>
      <c r="R13" s="10" t="str">
        <f>IFERROR(__xludf.DUMMYFUNCTION("""COMPUTED_VALUE"""),"No")</f>
        <v>No</v>
      </c>
      <c r="S13" s="10" t="str">
        <f>IFERROR(__xludf.DUMMYFUNCTION("""COMPUTED_VALUE"""),"Yes")</f>
        <v>Yes</v>
      </c>
      <c r="T13" s="10">
        <f>IFERROR(__xludf.DUMMYFUNCTION("""COMPUTED_VALUE"""),0.0)</f>
        <v>0</v>
      </c>
      <c r="U13" s="10">
        <f>IFERROR(__xludf.DUMMYFUNCTION("""COMPUTED_VALUE"""),0.0)</f>
        <v>0</v>
      </c>
      <c r="V13" s="10" t="str">
        <f>IFERROR(__xludf.DUMMYFUNCTION("""COMPUTED_VALUE"""),"اسلام میں عورت کا مقام کردار اور حق")</f>
        <v>اسلام میں عورت کا مقام کردار اور حق</v>
      </c>
      <c r="W13" s="10" t="str">
        <f>IFERROR(__xludf.DUMMYFUNCTION("""COMPUTED_VALUE"""),"اسلام میں عورت کو عزت اور حقوق دیے گئے ہیں، جیسے تعلیم، وراثت اور معاشرتی تحفظ۔ اسلام عورت کو مرد کے برابر حقوق دیتا ہے اور اس کی عزت و وقار کی حفاظت کرتا ہے۔")</f>
        <v>اسلام میں عورت کو عزت اور حقوق دیے گئے ہیں، جیسے تعلیم، وراثت اور معاشرتی تحفظ۔ اسلام عورت کو مرد کے برابر حقوق دیتا ہے اور اس کی عزت و وقار کی حفاظت کرتا ہے۔</v>
      </c>
      <c r="X13" s="10">
        <f>IFERROR(__xludf.DUMMYFUNCTION("""COMPUTED_VALUE"""),0.0)</f>
        <v>0</v>
      </c>
      <c r="Y13" s="10">
        <f>IFERROR(__xludf.DUMMYFUNCTION("""COMPUTED_VALUE"""),0.0)</f>
        <v>0</v>
      </c>
      <c r="Z13" s="10">
        <f>IFERROR(__xludf.DUMMYFUNCTION("""COMPUTED_VALUE"""),0.0)</f>
        <v>0</v>
      </c>
      <c r="AA13" s="10">
        <f>IFERROR(__xludf.DUMMYFUNCTION("""COMPUTED_VALUE"""),0.0)</f>
        <v>0</v>
      </c>
      <c r="AB13" s="10">
        <f>IFERROR(__xludf.DUMMYFUNCTION("""COMPUTED_VALUE"""),0.0)</f>
        <v>0</v>
      </c>
      <c r="AC13" s="10">
        <f>IFERROR(__xludf.DUMMYFUNCTION("""COMPUTED_VALUE"""),0.0)</f>
        <v>0</v>
      </c>
      <c r="AD13" s="10">
        <f>IFERROR(__xludf.DUMMYFUNCTION("""COMPUTED_VALUE"""),0.0)</f>
        <v>0</v>
      </c>
      <c r="AE13" s="10">
        <f>IFERROR(__xludf.DUMMYFUNCTION("""COMPUTED_VALUE"""),0.0)</f>
        <v>0</v>
      </c>
      <c r="AF13" s="10">
        <f>IFERROR(__xludf.DUMMYFUNCTION("""COMPUTED_VALUE"""),8.0)</f>
        <v>8</v>
      </c>
      <c r="AG13" s="10">
        <f>IFERROR(__xludf.DUMMYFUNCTION("""COMPUTED_VALUE"""),8.0)</f>
        <v>8</v>
      </c>
      <c r="AH13" s="10">
        <f>IFERROR(__xludf.DUMMYFUNCTION("""COMPUTED_VALUE"""),0.0)</f>
        <v>0</v>
      </c>
      <c r="AI13" s="10">
        <f>IFERROR(__xludf.DUMMYFUNCTION("""COMPUTED_VALUE"""),8.0)</f>
        <v>8</v>
      </c>
      <c r="AJ13" s="11" t="str">
        <f>IFERROR(__xludf.DUMMYFUNCTION("""COMPUTED_VALUE"""),"https://drive.google.com/open?id=132T7Gtw7hWXGyB3cpT9M5p4rVFtCvsb-")</f>
        <v>https://drive.google.com/open?id=132T7Gtw7hWXGyB3cpT9M5p4rVFtCvsb-</v>
      </c>
      <c r="AK13" s="12"/>
      <c r="AL13" s="12"/>
      <c r="AM13" s="12"/>
      <c r="AN13" s="12"/>
      <c r="AO13" s="13">
        <v>1.0</v>
      </c>
      <c r="AX13" s="13">
        <v>1.0</v>
      </c>
    </row>
    <row r="14">
      <c r="A14" s="8">
        <v>13.0</v>
      </c>
      <c r="B14" s="9">
        <f>IFERROR(__xludf.DUMMYFUNCTION("""COMPUTED_VALUE"""),45697.08860956019)</f>
        <v>45697.08861</v>
      </c>
      <c r="C14" s="10" t="str">
        <f>IFERROR(__xludf.DUMMYFUNCTION("""COMPUTED_VALUE"""),"Shakeela Rafique")</f>
        <v>Shakeela Rafique</v>
      </c>
      <c r="D14" s="10" t="str">
        <f>IFERROR(__xludf.DUMMYFUNCTION("""COMPUTED_VALUE"""),"03359485820")</f>
        <v>03359485820</v>
      </c>
      <c r="E14" s="10" t="str">
        <f>IFERROR(__xludf.DUMMYFUNCTION("""COMPUTED_VALUE"""),"Jamia Masjid takiya kabooter shah")</f>
        <v>Jamia Masjid takiya kabooter shah</v>
      </c>
      <c r="F14" s="10" t="str">
        <f>IFERROR(__xludf.DUMMYFUNCTION("""COMPUTED_VALUE"""),"umifn")</f>
        <v>umifn</v>
      </c>
      <c r="G14" s="10" t="str">
        <f>IFERROR(__xludf.DUMMYFUNCTION("""COMPUTED_VALUE"""),"No")</f>
        <v>No</v>
      </c>
      <c r="H14" s="10"/>
      <c r="I14" s="10"/>
      <c r="J14" s="10"/>
      <c r="K14" s="10">
        <f>IFERROR(__xludf.DUMMYFUNCTION("""COMPUTED_VALUE"""),0.0)</f>
        <v>0</v>
      </c>
      <c r="L14" s="10">
        <f>IFERROR(__xludf.DUMMYFUNCTION("""COMPUTED_VALUE"""),0.0)</f>
        <v>0</v>
      </c>
      <c r="M14" s="10">
        <f>IFERROR(__xludf.DUMMYFUNCTION("""COMPUTED_VALUE"""),0.0)</f>
        <v>0</v>
      </c>
      <c r="N14" s="10">
        <f>IFERROR(__xludf.DUMMYFUNCTION("""COMPUTED_VALUE"""),0.0)</f>
        <v>0</v>
      </c>
      <c r="O14" s="10">
        <f>IFERROR(__xludf.DUMMYFUNCTION("""COMPUTED_VALUE"""),0.0)</f>
        <v>0</v>
      </c>
      <c r="P14" s="10">
        <f>IFERROR(__xludf.DUMMYFUNCTION("""COMPUTED_VALUE"""),0.0)</f>
        <v>0</v>
      </c>
      <c r="Q14" s="10" t="str">
        <f>IFERROR(__xludf.DUMMYFUNCTION("""COMPUTED_VALUE"""),"No")</f>
        <v>No</v>
      </c>
      <c r="R14" s="10" t="str">
        <f>IFERROR(__xludf.DUMMYFUNCTION("""COMPUTED_VALUE"""),"No")</f>
        <v>No</v>
      </c>
      <c r="S14" s="10" t="str">
        <f>IFERROR(__xludf.DUMMYFUNCTION("""COMPUTED_VALUE"""),"No")</f>
        <v>No</v>
      </c>
      <c r="T14" s="10">
        <f>IFERROR(__xludf.DUMMYFUNCTION("""COMPUTED_VALUE"""),0.0)</f>
        <v>0</v>
      </c>
      <c r="U14" s="10">
        <f>IFERROR(__xludf.DUMMYFUNCTION("""COMPUTED_VALUE"""),0.0)</f>
        <v>0</v>
      </c>
      <c r="V14" s="10" t="str">
        <f>IFERROR(__xludf.DUMMYFUNCTION("""COMPUTED_VALUE"""),"meeraj sharif")</f>
        <v>meeraj sharif</v>
      </c>
      <c r="W14" s="10" t="str">
        <f>IFERROR(__xludf.DUMMYFUNCTION("""COMPUTED_VALUE"""),"waqia meeraj aur seerat un nabi saw byan kiya")</f>
        <v>waqia meeraj aur seerat un nabi saw byan kiya</v>
      </c>
      <c r="X14" s="10">
        <f>IFERROR(__xludf.DUMMYFUNCTION("""COMPUTED_VALUE"""),7.0)</f>
        <v>7</v>
      </c>
      <c r="Y14" s="10">
        <f>IFERROR(__xludf.DUMMYFUNCTION("""COMPUTED_VALUE"""),5.0)</f>
        <v>5</v>
      </c>
      <c r="Z14" s="10">
        <f>IFERROR(__xludf.DUMMYFUNCTION("""COMPUTED_VALUE"""),1.0)</f>
        <v>1</v>
      </c>
      <c r="AA14" s="10">
        <f>IFERROR(__xludf.DUMMYFUNCTION("""COMPUTED_VALUE"""),8.0)</f>
        <v>8</v>
      </c>
      <c r="AB14" s="10">
        <f>IFERROR(__xludf.DUMMYFUNCTION("""COMPUTED_VALUE"""),8.0)</f>
        <v>8</v>
      </c>
      <c r="AC14" s="10">
        <f>IFERROR(__xludf.DUMMYFUNCTION("""COMPUTED_VALUE"""),6.0)</f>
        <v>6</v>
      </c>
      <c r="AD14" s="10">
        <f>IFERROR(__xludf.DUMMYFUNCTION("""COMPUTED_VALUE"""),4.0)</f>
        <v>4</v>
      </c>
      <c r="AE14" s="10">
        <f>IFERROR(__xludf.DUMMYFUNCTION("""COMPUTED_VALUE"""),0.0)</f>
        <v>0</v>
      </c>
      <c r="AF14" s="10">
        <f>IFERROR(__xludf.DUMMYFUNCTION("""COMPUTED_VALUE"""),6.0)</f>
        <v>6</v>
      </c>
      <c r="AG14" s="10">
        <f>IFERROR(__xludf.DUMMYFUNCTION("""COMPUTED_VALUE"""),6.0)</f>
        <v>6</v>
      </c>
      <c r="AH14" s="10">
        <f>IFERROR(__xludf.DUMMYFUNCTION("""COMPUTED_VALUE"""),0.0)</f>
        <v>0</v>
      </c>
      <c r="AI14" s="10">
        <f>IFERROR(__xludf.DUMMYFUNCTION("""COMPUTED_VALUE"""),6.0)</f>
        <v>6</v>
      </c>
      <c r="AJ14" s="11" t="str">
        <f>IFERROR(__xludf.DUMMYFUNCTION("""COMPUTED_VALUE"""),"https://drive.google.com/open?id=1A8rWyxlVLIcNcIvRBjhA4QbhbExHkgWX")</f>
        <v>https://drive.google.com/open?id=1A8rWyxlVLIcNcIvRBjhA4QbhbExHkgWX</v>
      </c>
      <c r="AK14" s="12" t="str">
        <f>IFERROR(__xludf.DUMMYFUNCTION("""COMPUTED_VALUE"""),"no")</f>
        <v>no</v>
      </c>
      <c r="AL14" s="12"/>
      <c r="AM14" s="12"/>
      <c r="AN14" s="12"/>
      <c r="AO14" s="13">
        <v>1.0</v>
      </c>
      <c r="AX14" s="13">
        <v>1.0</v>
      </c>
    </row>
    <row r="15">
      <c r="A15" s="8">
        <v>14.0</v>
      </c>
      <c r="B15" s="9">
        <f>IFERROR(__xludf.DUMMYFUNCTION("""COMPUTED_VALUE"""),45698.02454076389)</f>
        <v>45698.02454</v>
      </c>
      <c r="C15" s="10" t="str">
        <f>IFERROR(__xludf.DUMMYFUNCTION("""COMPUTED_VALUE"""),"Shakeela Rafique")</f>
        <v>Shakeela Rafique</v>
      </c>
      <c r="D15" s="10" t="str">
        <f>IFERROR(__xludf.DUMMYFUNCTION("""COMPUTED_VALUE"""),"03359485820")</f>
        <v>03359485820</v>
      </c>
      <c r="E15" s="10" t="str">
        <f>IFERROR(__xludf.DUMMYFUNCTION("""COMPUTED_VALUE"""),"jamia Masjid Texali gate")</f>
        <v>jamia Masjid Texali gate</v>
      </c>
      <c r="F15" s="10" t="str">
        <f>IFERROR(__xludf.DUMMYFUNCTION("""COMPUTED_VALUE"""),"fitmr")</f>
        <v>fitmr</v>
      </c>
      <c r="G15" s="10" t="str">
        <f>IFERROR(__xludf.DUMMYFUNCTION("""COMPUTED_VALUE"""),"No")</f>
        <v>No</v>
      </c>
      <c r="H15" s="10"/>
      <c r="I15" s="10"/>
      <c r="J15" s="10"/>
      <c r="K15" s="10">
        <f>IFERROR(__xludf.DUMMYFUNCTION("""COMPUTED_VALUE"""),7.0)</f>
        <v>7</v>
      </c>
      <c r="L15" s="10">
        <f>IFERROR(__xludf.DUMMYFUNCTION("""COMPUTED_VALUE"""),8.0)</f>
        <v>8</v>
      </c>
      <c r="M15" s="10">
        <f>IFERROR(__xludf.DUMMYFUNCTION("""COMPUTED_VALUE"""),0.0)</f>
        <v>0</v>
      </c>
      <c r="N15" s="10">
        <f>IFERROR(__xludf.DUMMYFUNCTION("""COMPUTED_VALUE"""),9.0)</f>
        <v>9</v>
      </c>
      <c r="O15" s="10">
        <f>IFERROR(__xludf.DUMMYFUNCTION("""COMPUTED_VALUE"""),0.0)</f>
        <v>0</v>
      </c>
      <c r="P15" s="10">
        <f>IFERROR(__xludf.DUMMYFUNCTION("""COMPUTED_VALUE"""),8.0)</f>
        <v>8</v>
      </c>
      <c r="Q15" s="10" t="str">
        <f>IFERROR(__xludf.DUMMYFUNCTION("""COMPUTED_VALUE"""),"No")</f>
        <v>No</v>
      </c>
      <c r="R15" s="10" t="str">
        <f>IFERROR(__xludf.DUMMYFUNCTION("""COMPUTED_VALUE"""),"Yes")</f>
        <v>Yes</v>
      </c>
      <c r="S15" s="10" t="str">
        <f>IFERROR(__xludf.DUMMYFUNCTION("""COMPUTED_VALUE"""),"No")</f>
        <v>No</v>
      </c>
      <c r="T15" s="10">
        <f>IFERROR(__xludf.DUMMYFUNCTION("""COMPUTED_VALUE"""),0.0)</f>
        <v>0</v>
      </c>
      <c r="U15" s="10">
        <f>IFERROR(__xludf.DUMMYFUNCTION("""COMPUTED_VALUE"""),9.0)</f>
        <v>9</v>
      </c>
      <c r="V15" s="10" t="str">
        <f>IFERROR(__xludf.DUMMYFUNCTION("""COMPUTED_VALUE"""),"Parasion K haqooq")</f>
        <v>Parasion K haqooq</v>
      </c>
      <c r="W15" s="10" t="str">
        <f>IFERROR(__xludf.DUMMYFUNCTION("""COMPUTED_VALUE"""),"parasion k haqqoq")</f>
        <v>parasion k haqqoq</v>
      </c>
      <c r="X15" s="10">
        <f>IFERROR(__xludf.DUMMYFUNCTION("""COMPUTED_VALUE"""),3.0)</f>
        <v>3</v>
      </c>
      <c r="Y15" s="10">
        <f>IFERROR(__xludf.DUMMYFUNCTION("""COMPUTED_VALUE"""),8.0)</f>
        <v>8</v>
      </c>
      <c r="Z15" s="10">
        <f>IFERROR(__xludf.DUMMYFUNCTION("""COMPUTED_VALUE"""),2.0)</f>
        <v>2</v>
      </c>
      <c r="AA15" s="10">
        <f>IFERROR(__xludf.DUMMYFUNCTION("""COMPUTED_VALUE"""),3.0)</f>
        <v>3</v>
      </c>
      <c r="AB15" s="10">
        <f>IFERROR(__xludf.DUMMYFUNCTION("""COMPUTED_VALUE"""),0.0)</f>
        <v>0</v>
      </c>
      <c r="AC15" s="10">
        <f>IFERROR(__xludf.DUMMYFUNCTION("""COMPUTED_VALUE"""),0.0)</f>
        <v>0</v>
      </c>
      <c r="AD15" s="10">
        <f>IFERROR(__xludf.DUMMYFUNCTION("""COMPUTED_VALUE"""),0.0)</f>
        <v>0</v>
      </c>
      <c r="AE15" s="10">
        <f>IFERROR(__xludf.DUMMYFUNCTION("""COMPUTED_VALUE"""),0.0)</f>
        <v>0</v>
      </c>
      <c r="AF15" s="10">
        <f>IFERROR(__xludf.DUMMYFUNCTION("""COMPUTED_VALUE"""),0.0)</f>
        <v>0</v>
      </c>
      <c r="AG15" s="10">
        <f>IFERROR(__xludf.DUMMYFUNCTION("""COMPUTED_VALUE"""),6.0)</f>
        <v>6</v>
      </c>
      <c r="AH15" s="10">
        <f>IFERROR(__xludf.DUMMYFUNCTION("""COMPUTED_VALUE"""),0.0)</f>
        <v>0</v>
      </c>
      <c r="AI15" s="10">
        <f>IFERROR(__xludf.DUMMYFUNCTION("""COMPUTED_VALUE"""),6.0)</f>
        <v>6</v>
      </c>
      <c r="AJ15" s="11" t="str">
        <f>IFERROR(__xludf.DUMMYFUNCTION("""COMPUTED_VALUE"""),"https://drive.google.com/open?id=1cSO6tLLNGXdiQN0KKxsqjeKW8iS__Li5")</f>
        <v>https://drive.google.com/open?id=1cSO6tLLNGXdiQN0KKxsqjeKW8iS__Li5</v>
      </c>
      <c r="AK15" s="12" t="str">
        <f>IFERROR(__xludf.DUMMYFUNCTION("""COMPUTED_VALUE"""),"no")</f>
        <v>no</v>
      </c>
      <c r="AL15" s="12"/>
      <c r="AM15" s="12"/>
      <c r="AN15" s="12"/>
      <c r="AO15" s="13">
        <v>1.0</v>
      </c>
      <c r="AX15" s="13">
        <v>1.0</v>
      </c>
    </row>
    <row r="16">
      <c r="A16" s="8">
        <v>15.0</v>
      </c>
      <c r="B16" s="9">
        <f>IFERROR(__xludf.DUMMYFUNCTION("""COMPUTED_VALUE"""),45699.031141747684)</f>
        <v>45699.03114</v>
      </c>
      <c r="C16" s="10" t="str">
        <f>IFERROR(__xludf.DUMMYFUNCTION("""COMPUTED_VALUE"""),"Bilal")</f>
        <v>Bilal</v>
      </c>
      <c r="D16" s="10" t="str">
        <f>IFERROR(__xludf.DUMMYFUNCTION("""COMPUTED_VALUE"""),"03066761947")</f>
        <v>03066761947</v>
      </c>
      <c r="E16" s="10" t="str">
        <f>IFERROR(__xludf.DUMMYFUNCTION("""COMPUTED_VALUE"""),"Jaima masjid bohaar wali lohare gate lahore")</f>
        <v>Jaima masjid bohaar wali lohare gate lahore</v>
      </c>
      <c r="F16" s="10" t="str">
        <f>IFERROR(__xludf.DUMMYFUNCTION("""COMPUTED_VALUE"""),"oonhe")</f>
        <v>oonhe</v>
      </c>
      <c r="G16" s="10" t="str">
        <f>IFERROR(__xludf.DUMMYFUNCTION("""COMPUTED_VALUE"""),"Yes")</f>
        <v>Yes</v>
      </c>
      <c r="H16" s="10">
        <f>IFERROR(__xludf.DUMMYFUNCTION("""COMPUTED_VALUE"""),9.0)</f>
        <v>9</v>
      </c>
      <c r="I16" s="10">
        <f>IFERROR(__xludf.DUMMYFUNCTION("""COMPUTED_VALUE"""),5.0)</f>
        <v>5</v>
      </c>
      <c r="J16" s="10">
        <f>IFERROR(__xludf.DUMMYFUNCTION("""COMPUTED_VALUE"""),7.0)</f>
        <v>7</v>
      </c>
      <c r="K16" s="10">
        <f>IFERROR(__xludf.DUMMYFUNCTION("""COMPUTED_VALUE"""),10.0)</f>
        <v>10</v>
      </c>
      <c r="L16" s="10">
        <f>IFERROR(__xludf.DUMMYFUNCTION("""COMPUTED_VALUE"""),10.0)</f>
        <v>10</v>
      </c>
      <c r="M16" s="10">
        <f>IFERROR(__xludf.DUMMYFUNCTION("""COMPUTED_VALUE"""),10.0)</f>
        <v>10</v>
      </c>
      <c r="N16" s="10">
        <f>IFERROR(__xludf.DUMMYFUNCTION("""COMPUTED_VALUE"""),10.0)</f>
        <v>10</v>
      </c>
      <c r="O16" s="10">
        <f>IFERROR(__xludf.DUMMYFUNCTION("""COMPUTED_VALUE"""),5.0)</f>
        <v>5</v>
      </c>
      <c r="P16" s="10">
        <f>IFERROR(__xludf.DUMMYFUNCTION("""COMPUTED_VALUE"""),10.0)</f>
        <v>10</v>
      </c>
      <c r="Q16" s="10" t="str">
        <f>IFERROR(__xludf.DUMMYFUNCTION("""COMPUTED_VALUE"""),"No")</f>
        <v>No</v>
      </c>
      <c r="R16" s="10" t="str">
        <f>IFERROR(__xludf.DUMMYFUNCTION("""COMPUTED_VALUE"""),"Yes")</f>
        <v>Yes</v>
      </c>
      <c r="S16" s="10" t="str">
        <f>IFERROR(__xludf.DUMMYFUNCTION("""COMPUTED_VALUE"""),"No")</f>
        <v>No</v>
      </c>
      <c r="T16" s="10">
        <f>IFERROR(__xludf.DUMMYFUNCTION("""COMPUTED_VALUE"""),0.0)</f>
        <v>0</v>
      </c>
      <c r="U16" s="10">
        <f>IFERROR(__xludf.DUMMYFUNCTION("""COMPUTED_VALUE"""),0.0)</f>
        <v>0</v>
      </c>
      <c r="V16" s="10" t="str">
        <f>IFERROR(__xludf.DUMMYFUNCTION("""COMPUTED_VALUE"""),"Parasuon k hakooq")</f>
        <v>Parasuon k hakooq</v>
      </c>
      <c r="W16" s="10" t="str">
        <f>IFERROR(__xludf.DUMMYFUNCTION("""COMPUTED_VALUE"""),"Paraseuo k hakooq")</f>
        <v>Paraseuo k hakooq</v>
      </c>
      <c r="X16" s="10">
        <f>IFERROR(__xludf.DUMMYFUNCTION("""COMPUTED_VALUE"""),8.0)</f>
        <v>8</v>
      </c>
      <c r="Y16" s="10">
        <f>IFERROR(__xludf.DUMMYFUNCTION("""COMPUTED_VALUE"""),10.0)</f>
        <v>10</v>
      </c>
      <c r="Z16" s="10">
        <f>IFERROR(__xludf.DUMMYFUNCTION("""COMPUTED_VALUE"""),8.0)</f>
        <v>8</v>
      </c>
      <c r="AA16" s="10">
        <f>IFERROR(__xludf.DUMMYFUNCTION("""COMPUTED_VALUE"""),9.0)</f>
        <v>9</v>
      </c>
      <c r="AB16" s="10">
        <f>IFERROR(__xludf.DUMMYFUNCTION("""COMPUTED_VALUE"""),9.0)</f>
        <v>9</v>
      </c>
      <c r="AC16" s="10">
        <f>IFERROR(__xludf.DUMMYFUNCTION("""COMPUTED_VALUE"""),10.0)</f>
        <v>10</v>
      </c>
      <c r="AD16" s="10">
        <f>IFERROR(__xludf.DUMMYFUNCTION("""COMPUTED_VALUE"""),2.0)</f>
        <v>2</v>
      </c>
      <c r="AE16" s="10">
        <f>IFERROR(__xludf.DUMMYFUNCTION("""COMPUTED_VALUE"""),1.0)</f>
        <v>1</v>
      </c>
      <c r="AF16" s="10">
        <f>IFERROR(__xludf.DUMMYFUNCTION("""COMPUTED_VALUE"""),10.0)</f>
        <v>10</v>
      </c>
      <c r="AG16" s="10">
        <f>IFERROR(__xludf.DUMMYFUNCTION("""COMPUTED_VALUE"""),10.0)</f>
        <v>10</v>
      </c>
      <c r="AH16" s="10">
        <f>IFERROR(__xludf.DUMMYFUNCTION("""COMPUTED_VALUE"""),0.0)</f>
        <v>0</v>
      </c>
      <c r="AI16" s="10">
        <f>IFERROR(__xludf.DUMMYFUNCTION("""COMPUTED_VALUE"""),10.0)</f>
        <v>10</v>
      </c>
      <c r="AJ16" s="11" t="str">
        <f>IFERROR(__xludf.DUMMYFUNCTION("""COMPUTED_VALUE"""),"https://drive.google.com/open?id=1-B-LE23gtDIabp76cwDES8uVNbWHEd2r")</f>
        <v>https://drive.google.com/open?id=1-B-LE23gtDIabp76cwDES8uVNbWHEd2r</v>
      </c>
      <c r="AK16" s="12"/>
      <c r="AL16" s="12"/>
      <c r="AM16" s="12"/>
      <c r="AN16" s="12"/>
      <c r="AO16" s="13">
        <v>2.0</v>
      </c>
      <c r="AX16" s="13">
        <v>2.0</v>
      </c>
    </row>
    <row r="17">
      <c r="A17" s="8">
        <v>16.0</v>
      </c>
      <c r="B17" s="9">
        <f>IFERROR(__xludf.DUMMYFUNCTION("""COMPUTED_VALUE"""),45699.16125875)</f>
        <v>45699.16126</v>
      </c>
      <c r="C17" s="10" t="str">
        <f>IFERROR(__xludf.DUMMYFUNCTION("""COMPUTED_VALUE"""),"Usman Tariq ")</f>
        <v>Usman Tariq </v>
      </c>
      <c r="D17" s="10" t="str">
        <f>IFERROR(__xludf.DUMMYFUNCTION("""COMPUTED_VALUE"""),"03081862531")</f>
        <v>03081862531</v>
      </c>
      <c r="E17" s="10" t="str">
        <f>IFERROR(__xludf.DUMMYFUNCTION("""COMPUTED_VALUE"""),"Jamiea masjid taxali gate Lahore ")</f>
        <v>Jamiea masjid taxali gate Lahore </v>
      </c>
      <c r="F17" s="10" t="str">
        <f>IFERROR(__xludf.DUMMYFUNCTION("""COMPUTED_VALUE"""),"FITMR")</f>
        <v>FITMR</v>
      </c>
      <c r="G17" s="10" t="str">
        <f>IFERROR(__xludf.DUMMYFUNCTION("""COMPUTED_VALUE"""),"Yes")</f>
        <v>Yes</v>
      </c>
      <c r="H17" s="10">
        <f>IFERROR(__xludf.DUMMYFUNCTION("""COMPUTED_VALUE"""),10.0)</f>
        <v>10</v>
      </c>
      <c r="I17" s="10">
        <f>IFERROR(__xludf.DUMMYFUNCTION("""COMPUTED_VALUE"""),3.0)</f>
        <v>3</v>
      </c>
      <c r="J17" s="10">
        <f>IFERROR(__xludf.DUMMYFUNCTION("""COMPUTED_VALUE"""),10.0)</f>
        <v>10</v>
      </c>
      <c r="K17" s="10">
        <f>IFERROR(__xludf.DUMMYFUNCTION("""COMPUTED_VALUE"""),10.0)</f>
        <v>10</v>
      </c>
      <c r="L17" s="10">
        <f>IFERROR(__xludf.DUMMYFUNCTION("""COMPUTED_VALUE"""),10.0)</f>
        <v>10</v>
      </c>
      <c r="M17" s="10">
        <f>IFERROR(__xludf.DUMMYFUNCTION("""COMPUTED_VALUE"""),3.0)</f>
        <v>3</v>
      </c>
      <c r="N17" s="10">
        <f>IFERROR(__xludf.DUMMYFUNCTION("""COMPUTED_VALUE"""),10.0)</f>
        <v>10</v>
      </c>
      <c r="O17" s="10">
        <f>IFERROR(__xludf.DUMMYFUNCTION("""COMPUTED_VALUE"""),0.0)</f>
        <v>0</v>
      </c>
      <c r="P17" s="10">
        <f>IFERROR(__xludf.DUMMYFUNCTION("""COMPUTED_VALUE"""),10.0)</f>
        <v>10</v>
      </c>
      <c r="Q17" s="10" t="str">
        <f>IFERROR(__xludf.DUMMYFUNCTION("""COMPUTED_VALUE"""),"No")</f>
        <v>No</v>
      </c>
      <c r="R17" s="10" t="str">
        <f>IFERROR(__xludf.DUMMYFUNCTION("""COMPUTED_VALUE"""),"Yes")</f>
        <v>Yes</v>
      </c>
      <c r="S17" s="10" t="str">
        <f>IFERROR(__xludf.DUMMYFUNCTION("""COMPUTED_VALUE"""),"No")</f>
        <v>No</v>
      </c>
      <c r="T17" s="10">
        <f>IFERROR(__xludf.DUMMYFUNCTION("""COMPUTED_VALUE"""),0.0)</f>
        <v>0</v>
      </c>
      <c r="U17" s="10">
        <f>IFERROR(__xludf.DUMMYFUNCTION("""COMPUTED_VALUE"""),10.0)</f>
        <v>10</v>
      </c>
      <c r="V17" s="10" t="str">
        <f>IFERROR(__xludf.DUMMYFUNCTION("""COMPUTED_VALUE"""),"Hamsieo h haqouq haqouq ul abaad")</f>
        <v>Hamsieo h haqouq haqouq ul abaad</v>
      </c>
      <c r="W17" s="10" t="str">
        <f>IFERROR(__xludf.DUMMYFUNCTION("""COMPUTED_VALUE"""),"Bnday ka haq bnady per hai Jis ka sawal ho ga haqouq ul abaad ka lazmi poucha jaiy ga")</f>
        <v>Bnday ka haq bnady per hai Jis ka sawal ho ga haqouq ul abaad ka lazmi poucha jaiy ga</v>
      </c>
      <c r="X17" s="10">
        <f>IFERROR(__xludf.DUMMYFUNCTION("""COMPUTED_VALUE"""),1.0)</f>
        <v>1</v>
      </c>
      <c r="Y17" s="10">
        <f>IFERROR(__xludf.DUMMYFUNCTION("""COMPUTED_VALUE"""),10.0)</f>
        <v>10</v>
      </c>
      <c r="Z17" s="10">
        <f>IFERROR(__xludf.DUMMYFUNCTION("""COMPUTED_VALUE"""),8.0)</f>
        <v>8</v>
      </c>
      <c r="AA17" s="10">
        <f>IFERROR(__xludf.DUMMYFUNCTION("""COMPUTED_VALUE"""),4.0)</f>
        <v>4</v>
      </c>
      <c r="AB17" s="10">
        <f>IFERROR(__xludf.DUMMYFUNCTION("""COMPUTED_VALUE"""),2.0)</f>
        <v>2</v>
      </c>
      <c r="AC17" s="10">
        <f>IFERROR(__xludf.DUMMYFUNCTION("""COMPUTED_VALUE"""),1.0)</f>
        <v>1</v>
      </c>
      <c r="AD17" s="10">
        <f>IFERROR(__xludf.DUMMYFUNCTION("""COMPUTED_VALUE"""),1.0)</f>
        <v>1</v>
      </c>
      <c r="AE17" s="10">
        <f>IFERROR(__xludf.DUMMYFUNCTION("""COMPUTED_VALUE"""),0.0)</f>
        <v>0</v>
      </c>
      <c r="AF17" s="10">
        <f>IFERROR(__xludf.DUMMYFUNCTION("""COMPUTED_VALUE"""),9.0)</f>
        <v>9</v>
      </c>
      <c r="AG17" s="10">
        <f>IFERROR(__xludf.DUMMYFUNCTION("""COMPUTED_VALUE"""),10.0)</f>
        <v>10</v>
      </c>
      <c r="AH17" s="10">
        <f>IFERROR(__xludf.DUMMYFUNCTION("""COMPUTED_VALUE"""),0.0)</f>
        <v>0</v>
      </c>
      <c r="AI17" s="10">
        <f>IFERROR(__xludf.DUMMYFUNCTION("""COMPUTED_VALUE"""),10.0)</f>
        <v>10</v>
      </c>
      <c r="AJ17" s="11" t="str">
        <f>IFERROR(__xludf.DUMMYFUNCTION("""COMPUTED_VALUE"""),"https://drive.google.com/open?id=1JwMLp1VMOGzuqaxmZQpSyNvLfIS9GrDr")</f>
        <v>https://drive.google.com/open?id=1JwMLp1VMOGzuqaxmZQpSyNvLfIS9GrDr</v>
      </c>
      <c r="AK17" s="12"/>
      <c r="AL17" s="12"/>
      <c r="AM17" s="12"/>
      <c r="AN17" s="12"/>
      <c r="AO17" s="13">
        <v>2.0</v>
      </c>
      <c r="AX17" s="13">
        <v>2.0</v>
      </c>
    </row>
    <row r="18">
      <c r="A18" s="8">
        <v>17.0</v>
      </c>
      <c r="B18" s="9">
        <f>IFERROR(__xludf.DUMMYFUNCTION("""COMPUTED_VALUE"""),45699.34220309027)</f>
        <v>45699.3422</v>
      </c>
      <c r="C18" s="10" t="str">
        <f>IFERROR(__xludf.DUMMYFUNCTION("""COMPUTED_VALUE"""),"Abdul Rauf ")</f>
        <v>Abdul Rauf </v>
      </c>
      <c r="D18" s="10" t="str">
        <f>IFERROR(__xludf.DUMMYFUNCTION("""COMPUTED_VALUE"""),"03008789090")</f>
        <v>03008789090</v>
      </c>
      <c r="E18" s="10" t="str">
        <f>IFERROR(__xludf.DUMMYFUNCTION("""COMPUTED_VALUE"""),"Allah joya ")</f>
        <v>Allah joya </v>
      </c>
      <c r="F18" s="10" t="str">
        <f>IFERROR(__xludf.DUMMYFUNCTION("""COMPUTED_VALUE"""),"ZBRWJ")</f>
        <v>ZBRWJ</v>
      </c>
      <c r="G18" s="10" t="str">
        <f>IFERROR(__xludf.DUMMYFUNCTION("""COMPUTED_VALUE"""),"Yes")</f>
        <v>Yes</v>
      </c>
      <c r="H18" s="10">
        <f>IFERROR(__xludf.DUMMYFUNCTION("""COMPUTED_VALUE"""),8.0)</f>
        <v>8</v>
      </c>
      <c r="I18" s="10">
        <f>IFERROR(__xludf.DUMMYFUNCTION("""COMPUTED_VALUE"""),9.0)</f>
        <v>9</v>
      </c>
      <c r="J18" s="10">
        <f>IFERROR(__xludf.DUMMYFUNCTION("""COMPUTED_VALUE"""),9.0)</f>
        <v>9</v>
      </c>
      <c r="K18" s="10">
        <f>IFERROR(__xludf.DUMMYFUNCTION("""COMPUTED_VALUE"""),9.0)</f>
        <v>9</v>
      </c>
      <c r="L18" s="10">
        <f>IFERROR(__xludf.DUMMYFUNCTION("""COMPUTED_VALUE"""),8.0)</f>
        <v>8</v>
      </c>
      <c r="M18" s="10">
        <f>IFERROR(__xludf.DUMMYFUNCTION("""COMPUTED_VALUE"""),7.0)</f>
        <v>7</v>
      </c>
      <c r="N18" s="10">
        <f>IFERROR(__xludf.DUMMYFUNCTION("""COMPUTED_VALUE"""),9.0)</f>
        <v>9</v>
      </c>
      <c r="O18" s="10">
        <f>IFERROR(__xludf.DUMMYFUNCTION("""COMPUTED_VALUE"""),9.0)</f>
        <v>9</v>
      </c>
      <c r="P18" s="10">
        <f>IFERROR(__xludf.DUMMYFUNCTION("""COMPUTED_VALUE"""),8.0)</f>
        <v>8</v>
      </c>
      <c r="Q18" s="10" t="str">
        <f>IFERROR(__xludf.DUMMYFUNCTION("""COMPUTED_VALUE"""),"Yes")</f>
        <v>Yes</v>
      </c>
      <c r="R18" s="10" t="str">
        <f>IFERROR(__xludf.DUMMYFUNCTION("""COMPUTED_VALUE"""),"No")</f>
        <v>No</v>
      </c>
      <c r="S18" s="10" t="str">
        <f>IFERROR(__xludf.DUMMYFUNCTION("""COMPUTED_VALUE"""),"Yes")</f>
        <v>Yes</v>
      </c>
      <c r="T18" s="10">
        <f>IFERROR(__xludf.DUMMYFUNCTION("""COMPUTED_VALUE"""),1.0)</f>
        <v>1</v>
      </c>
      <c r="U18" s="10">
        <f>IFERROR(__xludf.DUMMYFUNCTION("""COMPUTED_VALUE"""),0.0)</f>
        <v>0</v>
      </c>
      <c r="V18" s="10" t="str">
        <f>IFERROR(__xludf.DUMMYFUNCTION("""COMPUTED_VALUE"""),"Paraso k hakoq ")</f>
        <v>Paraso k hakoq </v>
      </c>
      <c r="W18" s="10" t="str">
        <f>IFERROR(__xludf.DUMMYFUNCTION("""COMPUTED_VALUE"""),"Important of Neighbors ")</f>
        <v>Important of Neighbors </v>
      </c>
      <c r="X18" s="10">
        <f>IFERROR(__xludf.DUMMYFUNCTION("""COMPUTED_VALUE"""),6.0)</f>
        <v>6</v>
      </c>
      <c r="Y18" s="10">
        <f>IFERROR(__xludf.DUMMYFUNCTION("""COMPUTED_VALUE"""),9.0)</f>
        <v>9</v>
      </c>
      <c r="Z18" s="10">
        <f>IFERROR(__xludf.DUMMYFUNCTION("""COMPUTED_VALUE"""),5.0)</f>
        <v>5</v>
      </c>
      <c r="AA18" s="10">
        <f>IFERROR(__xludf.DUMMYFUNCTION("""COMPUTED_VALUE"""),9.0)</f>
        <v>9</v>
      </c>
      <c r="AB18" s="10">
        <f>IFERROR(__xludf.DUMMYFUNCTION("""COMPUTED_VALUE"""),8.0)</f>
        <v>8</v>
      </c>
      <c r="AC18" s="10">
        <f>IFERROR(__xludf.DUMMYFUNCTION("""COMPUTED_VALUE"""),9.0)</f>
        <v>9</v>
      </c>
      <c r="AD18" s="10">
        <f>IFERROR(__xludf.DUMMYFUNCTION("""COMPUTED_VALUE"""),8.0)</f>
        <v>8</v>
      </c>
      <c r="AE18" s="10">
        <f>IFERROR(__xludf.DUMMYFUNCTION("""COMPUTED_VALUE"""),0.0)</f>
        <v>0</v>
      </c>
      <c r="AF18" s="10">
        <f>IFERROR(__xludf.DUMMYFUNCTION("""COMPUTED_VALUE"""),10.0)</f>
        <v>10</v>
      </c>
      <c r="AG18" s="10">
        <f>IFERROR(__xludf.DUMMYFUNCTION("""COMPUTED_VALUE"""),9.0)</f>
        <v>9</v>
      </c>
      <c r="AH18" s="10">
        <f>IFERROR(__xludf.DUMMYFUNCTION("""COMPUTED_VALUE"""),1.0)</f>
        <v>1</v>
      </c>
      <c r="AI18" s="10">
        <f>IFERROR(__xludf.DUMMYFUNCTION("""COMPUTED_VALUE"""),9.0)</f>
        <v>9</v>
      </c>
      <c r="AJ18" s="11" t="str">
        <f>IFERROR(__xludf.DUMMYFUNCTION("""COMPUTED_VALUE"""),"https://drive.google.com/open?id=1HENc2nTnl-UUtKcSR-pbTAR_1cRa6dGJ")</f>
        <v>https://drive.google.com/open?id=1HENc2nTnl-UUtKcSR-pbTAR_1cRa6dGJ</v>
      </c>
      <c r="AK18" s="12" t="str">
        <f>IFERROR(__xludf.DUMMYFUNCTION("""COMPUTED_VALUE"""),"Sub good raha")</f>
        <v>Sub good raha</v>
      </c>
      <c r="AL18" s="12"/>
      <c r="AM18" s="12"/>
      <c r="AN18" s="12"/>
      <c r="AO18" s="13">
        <v>2.0</v>
      </c>
      <c r="AX18" s="13">
        <v>2.0</v>
      </c>
    </row>
    <row r="19">
      <c r="A19" s="8">
        <v>18.0</v>
      </c>
      <c r="B19" s="9">
        <f>IFERROR(__xludf.DUMMYFUNCTION("""COMPUTED_VALUE"""),45699.48157739583)</f>
        <v>45699.48158</v>
      </c>
      <c r="C19" s="10" t="str">
        <f>IFERROR(__xludf.DUMMYFUNCTION("""COMPUTED_VALUE"""),"Adnan Ali ")</f>
        <v>Adnan Ali </v>
      </c>
      <c r="D19" s="10" t="str">
        <f>IFERROR(__xludf.DUMMYFUNCTION("""COMPUTED_VALUE"""),"03054045395")</f>
        <v>03054045395</v>
      </c>
      <c r="E19" s="10" t="str">
        <f>IFERROR(__xludf.DUMMYFUNCTION("""COMPUTED_VALUE"""),"Jamia Masjid Barkat bibi ")</f>
        <v>Jamia Masjid Barkat bibi </v>
      </c>
      <c r="F19" s="10" t="str">
        <f>IFERROR(__xludf.DUMMYFUNCTION("""COMPUTED_VALUE"""),"HSWIF")</f>
        <v>HSWIF</v>
      </c>
      <c r="G19" s="10" t="str">
        <f>IFERROR(__xludf.DUMMYFUNCTION("""COMPUTED_VALUE"""),"Yes")</f>
        <v>Yes</v>
      </c>
      <c r="H19" s="10">
        <f>IFERROR(__xludf.DUMMYFUNCTION("""COMPUTED_VALUE"""),4.0)</f>
        <v>4</v>
      </c>
      <c r="I19" s="10">
        <f>IFERROR(__xludf.DUMMYFUNCTION("""COMPUTED_VALUE"""),6.0)</f>
        <v>6</v>
      </c>
      <c r="J19" s="10">
        <f>IFERROR(__xludf.DUMMYFUNCTION("""COMPUTED_VALUE"""),5.0)</f>
        <v>5</v>
      </c>
      <c r="K19" s="10">
        <f>IFERROR(__xludf.DUMMYFUNCTION("""COMPUTED_VALUE"""),4.0)</f>
        <v>4</v>
      </c>
      <c r="L19" s="10">
        <f>IFERROR(__xludf.DUMMYFUNCTION("""COMPUTED_VALUE"""),0.0)</f>
        <v>0</v>
      </c>
      <c r="M19" s="10">
        <f>IFERROR(__xludf.DUMMYFUNCTION("""COMPUTED_VALUE"""),7.0)</f>
        <v>7</v>
      </c>
      <c r="N19" s="10">
        <f>IFERROR(__xludf.DUMMYFUNCTION("""COMPUTED_VALUE"""),0.0)</f>
        <v>0</v>
      </c>
      <c r="O19" s="10">
        <f>IFERROR(__xludf.DUMMYFUNCTION("""COMPUTED_VALUE"""),7.0)</f>
        <v>7</v>
      </c>
      <c r="P19" s="10">
        <f>IFERROR(__xludf.DUMMYFUNCTION("""COMPUTED_VALUE"""),0.0)</f>
        <v>0</v>
      </c>
      <c r="Q19" s="10" t="str">
        <f>IFERROR(__xludf.DUMMYFUNCTION("""COMPUTED_VALUE"""),"Yes")</f>
        <v>Yes</v>
      </c>
      <c r="R19" s="10" t="str">
        <f>IFERROR(__xludf.DUMMYFUNCTION("""COMPUTED_VALUE"""),"No")</f>
        <v>No</v>
      </c>
      <c r="S19" s="10" t="str">
        <f>IFERROR(__xludf.DUMMYFUNCTION("""COMPUTED_VALUE"""),"Yes")</f>
        <v>Yes</v>
      </c>
      <c r="T19" s="10">
        <f>IFERROR(__xludf.DUMMYFUNCTION("""COMPUTED_VALUE"""),0.0)</f>
        <v>0</v>
      </c>
      <c r="U19" s="10">
        <f>IFERROR(__xludf.DUMMYFUNCTION("""COMPUTED_VALUE"""),0.0)</f>
        <v>0</v>
      </c>
      <c r="V19" s="10" t="str">
        <f>IFERROR(__xludf.DUMMYFUNCTION("""COMPUTED_VALUE"""),"Islam mein Aurat Ka makam, kardar aur hak")</f>
        <v>Islam mein Aurat Ka makam, kardar aur hak</v>
      </c>
      <c r="W19" s="10" t="str">
        <f>IFERROR(__xludf.DUMMYFUNCTION("""COMPUTED_VALUE"""),"اسلام میں عورت کو عزت اور حقوق کا خاص مقام حاصل ہے، جو اسے معاشرے میں باعزت اور مساوی حیثیت دیتا ہے۔ قرآن و حدیث میں عورت کی تعلیم، وراثت، اور معاشرتی کردار کو واضح طور پر بیان کیا گیا ہے۔")</f>
        <v>اسلام میں عورت کو عزت اور حقوق کا خاص مقام حاصل ہے، جو اسے معاشرے میں باعزت اور مساوی حیثیت دیتا ہے۔ قرآن و حدیث میں عورت کی تعلیم، وراثت، اور معاشرتی کردار کو واضح طور پر بیان کیا گیا ہے۔</v>
      </c>
      <c r="X19" s="10">
        <f>IFERROR(__xludf.DUMMYFUNCTION("""COMPUTED_VALUE"""),3.0)</f>
        <v>3</v>
      </c>
      <c r="Y19" s="10">
        <f>IFERROR(__xludf.DUMMYFUNCTION("""COMPUTED_VALUE"""),0.0)</f>
        <v>0</v>
      </c>
      <c r="Z19" s="10">
        <f>IFERROR(__xludf.DUMMYFUNCTION("""COMPUTED_VALUE"""),2.0)</f>
        <v>2</v>
      </c>
      <c r="AA19" s="10">
        <f>IFERROR(__xludf.DUMMYFUNCTION("""COMPUTED_VALUE"""),4.0)</f>
        <v>4</v>
      </c>
      <c r="AB19" s="10">
        <f>IFERROR(__xludf.DUMMYFUNCTION("""COMPUTED_VALUE"""),0.0)</f>
        <v>0</v>
      </c>
      <c r="AC19" s="10">
        <f>IFERROR(__xludf.DUMMYFUNCTION("""COMPUTED_VALUE"""),0.0)</f>
        <v>0</v>
      </c>
      <c r="AD19" s="10">
        <f>IFERROR(__xludf.DUMMYFUNCTION("""COMPUTED_VALUE"""),0.0)</f>
        <v>0</v>
      </c>
      <c r="AE19" s="10">
        <f>IFERROR(__xludf.DUMMYFUNCTION("""COMPUTED_VALUE"""),0.0)</f>
        <v>0</v>
      </c>
      <c r="AF19" s="10">
        <f>IFERROR(__xludf.DUMMYFUNCTION("""COMPUTED_VALUE"""),7.0)</f>
        <v>7</v>
      </c>
      <c r="AG19" s="10">
        <f>IFERROR(__xludf.DUMMYFUNCTION("""COMPUTED_VALUE"""),7.0)</f>
        <v>7</v>
      </c>
      <c r="AH19" s="10">
        <f>IFERROR(__xludf.DUMMYFUNCTION("""COMPUTED_VALUE"""),0.0)</f>
        <v>0</v>
      </c>
      <c r="AI19" s="10">
        <f>IFERROR(__xludf.DUMMYFUNCTION("""COMPUTED_VALUE"""),7.0)</f>
        <v>7</v>
      </c>
      <c r="AJ19" s="11" t="str">
        <f>IFERROR(__xludf.DUMMYFUNCTION("""COMPUTED_VALUE"""),"https://drive.google.com/open?id=1l1gLrD1ebqmWkOxz9K4UZvZlNVT3vZ0a")</f>
        <v>https://drive.google.com/open?id=1l1gLrD1ebqmWkOxz9K4UZvZlNVT3vZ0a</v>
      </c>
      <c r="AK19" s="12"/>
      <c r="AL19" s="12"/>
      <c r="AM19" s="12"/>
      <c r="AN19" s="12"/>
      <c r="AO19" s="13">
        <v>2.0</v>
      </c>
      <c r="AX19" s="13"/>
    </row>
    <row r="20">
      <c r="A20" s="8">
        <v>19.0</v>
      </c>
      <c r="B20" s="9">
        <f>IFERROR(__xludf.DUMMYFUNCTION("""COMPUTED_VALUE"""),45699.57575934028)</f>
        <v>45699.57576</v>
      </c>
      <c r="C20" s="10" t="str">
        <f>IFERROR(__xludf.DUMMYFUNCTION("""COMPUTED_VALUE"""),"Umar butt")</f>
        <v>Umar butt</v>
      </c>
      <c r="D20" s="10" t="str">
        <f>IFERROR(__xludf.DUMMYFUNCTION("""COMPUTED_VALUE"""),"03200099395")</f>
        <v>03200099395</v>
      </c>
      <c r="E20" s="10" t="str">
        <f>IFERROR(__xludf.DUMMYFUNCTION("""COMPUTED_VALUE"""),"Takia lehri shah")</f>
        <v>Takia lehri shah</v>
      </c>
      <c r="F20" s="10" t="str">
        <f>IFERROR(__xludf.DUMMYFUNCTION("""COMPUTED_VALUE"""),"GSDAS")</f>
        <v>GSDAS</v>
      </c>
      <c r="G20" s="10" t="str">
        <f>IFERROR(__xludf.DUMMYFUNCTION("""COMPUTED_VALUE"""),"No")</f>
        <v>No</v>
      </c>
      <c r="H20" s="10"/>
      <c r="I20" s="10"/>
      <c r="J20" s="10"/>
      <c r="K20" s="10">
        <f>IFERROR(__xludf.DUMMYFUNCTION("""COMPUTED_VALUE"""),10.0)</f>
        <v>10</v>
      </c>
      <c r="L20" s="10">
        <f>IFERROR(__xludf.DUMMYFUNCTION("""COMPUTED_VALUE"""),0.0)</f>
        <v>0</v>
      </c>
      <c r="M20" s="10">
        <f>IFERROR(__xludf.DUMMYFUNCTION("""COMPUTED_VALUE"""),10.0)</f>
        <v>10</v>
      </c>
      <c r="N20" s="10">
        <f>IFERROR(__xludf.DUMMYFUNCTION("""COMPUTED_VALUE"""),0.0)</f>
        <v>0</v>
      </c>
      <c r="O20" s="10">
        <f>IFERROR(__xludf.DUMMYFUNCTION("""COMPUTED_VALUE"""),5.0)</f>
        <v>5</v>
      </c>
      <c r="P20" s="10">
        <f>IFERROR(__xludf.DUMMYFUNCTION("""COMPUTED_VALUE"""),0.0)</f>
        <v>0</v>
      </c>
      <c r="Q20" s="10" t="str">
        <f>IFERROR(__xludf.DUMMYFUNCTION("""COMPUTED_VALUE"""),"Yes")</f>
        <v>Yes</v>
      </c>
      <c r="R20" s="10" t="str">
        <f>IFERROR(__xludf.DUMMYFUNCTION("""COMPUTED_VALUE"""),"No")</f>
        <v>No</v>
      </c>
      <c r="S20" s="10" t="str">
        <f>IFERROR(__xludf.DUMMYFUNCTION("""COMPUTED_VALUE"""),"No")</f>
        <v>No</v>
      </c>
      <c r="T20" s="10">
        <f>IFERROR(__xludf.DUMMYFUNCTION("""COMPUTED_VALUE"""),0.0)</f>
        <v>0</v>
      </c>
      <c r="U20" s="10">
        <f>IFERROR(__xludf.DUMMYFUNCTION("""COMPUTED_VALUE"""),0.0)</f>
        <v>0</v>
      </c>
      <c r="V20" s="10" t="str">
        <f>IFERROR(__xludf.DUMMYFUNCTION("""COMPUTED_VALUE"""),"عورتوں کا مقام")</f>
        <v>عورتوں کا مقام</v>
      </c>
      <c r="W20" s="10" t="str">
        <f>IFERROR(__xludf.DUMMYFUNCTION("""COMPUTED_VALUE"""),"حضور کی آمد کے بعد عورتوں کو ان کا مقام ملا ")</f>
        <v>حضور کی آمد کے بعد عورتوں کو ان کا مقام ملا </v>
      </c>
      <c r="X20" s="10">
        <f>IFERROR(__xludf.DUMMYFUNCTION("""COMPUTED_VALUE"""),0.0)</f>
        <v>0</v>
      </c>
      <c r="Y20" s="10">
        <f>IFERROR(__xludf.DUMMYFUNCTION("""COMPUTED_VALUE"""),0.0)</f>
        <v>0</v>
      </c>
      <c r="Z20" s="10">
        <f>IFERROR(__xludf.DUMMYFUNCTION("""COMPUTED_VALUE"""),5.0)</f>
        <v>5</v>
      </c>
      <c r="AA20" s="10">
        <f>IFERROR(__xludf.DUMMYFUNCTION("""COMPUTED_VALUE"""),0.0)</f>
        <v>0</v>
      </c>
      <c r="AB20" s="10">
        <f>IFERROR(__xludf.DUMMYFUNCTION("""COMPUTED_VALUE"""),0.0)</f>
        <v>0</v>
      </c>
      <c r="AC20" s="10">
        <f>IFERROR(__xludf.DUMMYFUNCTION("""COMPUTED_VALUE"""),0.0)</f>
        <v>0</v>
      </c>
      <c r="AD20" s="10">
        <f>IFERROR(__xludf.DUMMYFUNCTION("""COMPUTED_VALUE"""),0.0)</f>
        <v>0</v>
      </c>
      <c r="AE20" s="10">
        <f>IFERROR(__xludf.DUMMYFUNCTION("""COMPUTED_VALUE"""),0.0)</f>
        <v>0</v>
      </c>
      <c r="AF20" s="10">
        <f>IFERROR(__xludf.DUMMYFUNCTION("""COMPUTED_VALUE"""),10.0)</f>
        <v>10</v>
      </c>
      <c r="AG20" s="10">
        <f>IFERROR(__xludf.DUMMYFUNCTION("""COMPUTED_VALUE"""),10.0)</f>
        <v>10</v>
      </c>
      <c r="AH20" s="10">
        <f>IFERROR(__xludf.DUMMYFUNCTION("""COMPUTED_VALUE"""),0.0)</f>
        <v>0</v>
      </c>
      <c r="AI20" s="10">
        <f>IFERROR(__xludf.DUMMYFUNCTION("""COMPUTED_VALUE"""),10.0)</f>
        <v>10</v>
      </c>
      <c r="AJ20" s="11" t="str">
        <f>IFERROR(__xludf.DUMMYFUNCTION("""COMPUTED_VALUE"""),"https://drive.google.com/open?id=1rtZKuen9qbyeATgq-OqhCh-5dfefJCpJ")</f>
        <v>https://drive.google.com/open?id=1rtZKuen9qbyeATgq-OqhCh-5dfefJCpJ</v>
      </c>
      <c r="AK20" s="12" t="str">
        <f>IFERROR(__xludf.DUMMYFUNCTION("""COMPUTED_VALUE"""),"جی نہیں شکریہ!")</f>
        <v>جی نہیں شکریہ!</v>
      </c>
      <c r="AL20" s="12"/>
      <c r="AM20" s="12"/>
      <c r="AN20" s="12"/>
      <c r="AO20" s="13">
        <v>1.0</v>
      </c>
      <c r="AX20" s="13"/>
    </row>
    <row r="21">
      <c r="A21" s="8">
        <v>20.0</v>
      </c>
      <c r="B21" s="9">
        <f>IFERROR(__xludf.DUMMYFUNCTION("""COMPUTED_VALUE"""),45699.609496377314)</f>
        <v>45699.6095</v>
      </c>
      <c r="C21" s="10" t="str">
        <f>IFERROR(__xludf.DUMMYFUNCTION("""COMPUTED_VALUE"""),"Zaheer Butt")</f>
        <v>Zaheer Butt</v>
      </c>
      <c r="D21" s="10" t="str">
        <f>IFERROR(__xludf.DUMMYFUNCTION("""COMPUTED_VALUE"""),"03217040700")</f>
        <v>03217040700</v>
      </c>
      <c r="E21" s="10" t="str">
        <f>IFERROR(__xludf.DUMMYFUNCTION("""COMPUTED_VALUE"""),"Takia saduwah lahore ")</f>
        <v>Takia saduwah lahore </v>
      </c>
      <c r="F21" s="10" t="str">
        <f>IFERROR(__xludf.DUMMYFUNCTION("""COMPUTED_VALUE"""),"TNRVG")</f>
        <v>TNRVG</v>
      </c>
      <c r="G21" s="10" t="str">
        <f>IFERROR(__xludf.DUMMYFUNCTION("""COMPUTED_VALUE"""),"Yes")</f>
        <v>Yes</v>
      </c>
      <c r="H21" s="10">
        <f>IFERROR(__xludf.DUMMYFUNCTION("""COMPUTED_VALUE"""),8.0)</f>
        <v>8</v>
      </c>
      <c r="I21" s="10">
        <f>IFERROR(__xludf.DUMMYFUNCTION("""COMPUTED_VALUE"""),3.0)</f>
        <v>3</v>
      </c>
      <c r="J21" s="10">
        <f>IFERROR(__xludf.DUMMYFUNCTION("""COMPUTED_VALUE"""),9.0)</f>
        <v>9</v>
      </c>
      <c r="K21" s="10">
        <f>IFERROR(__xludf.DUMMYFUNCTION("""COMPUTED_VALUE"""),0.0)</f>
        <v>0</v>
      </c>
      <c r="L21" s="10">
        <f>IFERROR(__xludf.DUMMYFUNCTION("""COMPUTED_VALUE"""),0.0)</f>
        <v>0</v>
      </c>
      <c r="M21" s="10">
        <f>IFERROR(__xludf.DUMMYFUNCTION("""COMPUTED_VALUE"""),0.0)</f>
        <v>0</v>
      </c>
      <c r="N21" s="10">
        <f>IFERROR(__xludf.DUMMYFUNCTION("""COMPUTED_VALUE"""),9.0)</f>
        <v>9</v>
      </c>
      <c r="O21" s="10">
        <f>IFERROR(__xludf.DUMMYFUNCTION("""COMPUTED_VALUE"""),0.0)</f>
        <v>0</v>
      </c>
      <c r="P21" s="10">
        <f>IFERROR(__xludf.DUMMYFUNCTION("""COMPUTED_VALUE"""),9.0)</f>
        <v>9</v>
      </c>
      <c r="Q21" s="10" t="str">
        <f>IFERROR(__xludf.DUMMYFUNCTION("""COMPUTED_VALUE"""),"No")</f>
        <v>No</v>
      </c>
      <c r="R21" s="10" t="str">
        <f>IFERROR(__xludf.DUMMYFUNCTION("""COMPUTED_VALUE"""),"Yes")</f>
        <v>Yes</v>
      </c>
      <c r="S21" s="10" t="str">
        <f>IFERROR(__xludf.DUMMYFUNCTION("""COMPUTED_VALUE"""),"No")</f>
        <v>No</v>
      </c>
      <c r="T21" s="10">
        <f>IFERROR(__xludf.DUMMYFUNCTION("""COMPUTED_VALUE"""),0.0)</f>
        <v>0</v>
      </c>
      <c r="U21" s="10">
        <f>IFERROR(__xludf.DUMMYFUNCTION("""COMPUTED_VALUE"""),0.0)</f>
        <v>0</v>
      </c>
      <c r="V21" s="10" t="str">
        <f>IFERROR(__xludf.DUMMYFUNCTION("""COMPUTED_VALUE"""),"Persiou k haqooq")</f>
        <v>Persiou k haqooq</v>
      </c>
      <c r="W21" s="10" t="str">
        <f>IFERROR(__xludf.DUMMYFUNCTION("""COMPUTED_VALUE"""),"Persiou k haqooq ")</f>
        <v>Persiou k haqooq </v>
      </c>
      <c r="X21" s="10">
        <f>IFERROR(__xludf.DUMMYFUNCTION("""COMPUTED_VALUE"""),2.0)</f>
        <v>2</v>
      </c>
      <c r="Y21" s="10">
        <f>IFERROR(__xludf.DUMMYFUNCTION("""COMPUTED_VALUE"""),9.0)</f>
        <v>9</v>
      </c>
      <c r="Z21" s="10">
        <f>IFERROR(__xludf.DUMMYFUNCTION("""COMPUTED_VALUE"""),8.0)</f>
        <v>8</v>
      </c>
      <c r="AA21" s="10">
        <f>IFERROR(__xludf.DUMMYFUNCTION("""COMPUTED_VALUE"""),9.0)</f>
        <v>9</v>
      </c>
      <c r="AB21" s="10">
        <f>IFERROR(__xludf.DUMMYFUNCTION("""COMPUTED_VALUE"""),5.0)</f>
        <v>5</v>
      </c>
      <c r="AC21" s="10">
        <f>IFERROR(__xludf.DUMMYFUNCTION("""COMPUTED_VALUE"""),0.0)</f>
        <v>0</v>
      </c>
      <c r="AD21" s="10">
        <f>IFERROR(__xludf.DUMMYFUNCTION("""COMPUTED_VALUE"""),7.0)</f>
        <v>7</v>
      </c>
      <c r="AE21" s="10">
        <f>IFERROR(__xludf.DUMMYFUNCTION("""COMPUTED_VALUE"""),7.0)</f>
        <v>7</v>
      </c>
      <c r="AF21" s="10">
        <f>IFERROR(__xludf.DUMMYFUNCTION("""COMPUTED_VALUE"""),8.0)</f>
        <v>8</v>
      </c>
      <c r="AG21" s="10">
        <f>IFERROR(__xludf.DUMMYFUNCTION("""COMPUTED_VALUE"""),7.0)</f>
        <v>7</v>
      </c>
      <c r="AH21" s="10">
        <f>IFERROR(__xludf.DUMMYFUNCTION("""COMPUTED_VALUE"""),0.0)</f>
        <v>0</v>
      </c>
      <c r="AI21" s="10">
        <f>IFERROR(__xludf.DUMMYFUNCTION("""COMPUTED_VALUE"""),9.0)</f>
        <v>9</v>
      </c>
      <c r="AJ21" s="11" t="str">
        <f>IFERROR(__xludf.DUMMYFUNCTION("""COMPUTED_VALUE"""),"https://drive.google.com/open?id=1D76QD3BECTn1SkV_gnBFwvbe66ETrZqP")</f>
        <v>https://drive.google.com/open?id=1D76QD3BECTn1SkV_gnBFwvbe66ETrZqP</v>
      </c>
      <c r="AK21" s="12" t="str">
        <f>IFERROR(__xludf.DUMMYFUNCTION("""COMPUTED_VALUE"""),"No")</f>
        <v>No</v>
      </c>
      <c r="AL21" s="12"/>
      <c r="AM21" s="12"/>
      <c r="AN21" s="12"/>
      <c r="AO21" s="13">
        <v>1.0</v>
      </c>
      <c r="AX21" s="13"/>
    </row>
    <row r="22">
      <c r="A22" s="8">
        <v>21.0</v>
      </c>
      <c r="B22" s="9">
        <f>IFERROR(__xludf.DUMMYFUNCTION("""COMPUTED_VALUE"""),45700.02397135417)</f>
        <v>45700.02397</v>
      </c>
      <c r="C22" s="10" t="str">
        <f>IFERROR(__xludf.DUMMYFUNCTION("""COMPUTED_VALUE"""),"M Haseeb ")</f>
        <v>M Haseeb </v>
      </c>
      <c r="D22" s="10" t="str">
        <f>IFERROR(__xludf.DUMMYFUNCTION("""COMPUTED_VALUE"""),"03262232424")</f>
        <v>03262232424</v>
      </c>
      <c r="E22" s="10" t="str">
        <f>IFERROR(__xludf.DUMMYFUNCTION("""COMPUTED_VALUE"""),"Jamia masjid Abdul ghani")</f>
        <v>Jamia masjid Abdul ghani</v>
      </c>
      <c r="F22" s="10" t="str">
        <f>IFERROR(__xludf.DUMMYFUNCTION("""COMPUTED_VALUE"""),"OIYZT")</f>
        <v>OIYZT</v>
      </c>
      <c r="G22" s="10" t="str">
        <f>IFERROR(__xludf.DUMMYFUNCTION("""COMPUTED_VALUE"""),"Yes")</f>
        <v>Yes</v>
      </c>
      <c r="H22" s="10">
        <f>IFERROR(__xludf.DUMMYFUNCTION("""COMPUTED_VALUE"""),10.0)</f>
        <v>10</v>
      </c>
      <c r="I22" s="10">
        <f>IFERROR(__xludf.DUMMYFUNCTION("""COMPUTED_VALUE"""),0.0)</f>
        <v>0</v>
      </c>
      <c r="J22" s="10">
        <f>IFERROR(__xludf.DUMMYFUNCTION("""COMPUTED_VALUE"""),10.0)</f>
        <v>10</v>
      </c>
      <c r="K22" s="10">
        <f>IFERROR(__xludf.DUMMYFUNCTION("""COMPUTED_VALUE"""),0.0)</f>
        <v>0</v>
      </c>
      <c r="L22" s="10">
        <f>IFERROR(__xludf.DUMMYFUNCTION("""COMPUTED_VALUE"""),10.0)</f>
        <v>10</v>
      </c>
      <c r="M22" s="10">
        <f>IFERROR(__xludf.DUMMYFUNCTION("""COMPUTED_VALUE"""),0.0)</f>
        <v>0</v>
      </c>
      <c r="N22" s="10">
        <f>IFERROR(__xludf.DUMMYFUNCTION("""COMPUTED_VALUE"""),10.0)</f>
        <v>10</v>
      </c>
      <c r="O22" s="10">
        <f>IFERROR(__xludf.DUMMYFUNCTION("""COMPUTED_VALUE"""),0.0)</f>
        <v>0</v>
      </c>
      <c r="P22" s="10">
        <f>IFERROR(__xludf.DUMMYFUNCTION("""COMPUTED_VALUE"""),1.0)</f>
        <v>1</v>
      </c>
      <c r="Q22" s="10" t="str">
        <f>IFERROR(__xludf.DUMMYFUNCTION("""COMPUTED_VALUE"""),"No")</f>
        <v>No</v>
      </c>
      <c r="R22" s="10" t="str">
        <f>IFERROR(__xludf.DUMMYFUNCTION("""COMPUTED_VALUE"""),"No")</f>
        <v>No</v>
      </c>
      <c r="S22" s="10" t="str">
        <f>IFERROR(__xludf.DUMMYFUNCTION("""COMPUTED_VALUE"""),"No")</f>
        <v>No</v>
      </c>
      <c r="T22" s="10">
        <f>IFERROR(__xludf.DUMMYFUNCTION("""COMPUTED_VALUE"""),0.0)</f>
        <v>0</v>
      </c>
      <c r="U22" s="10">
        <f>IFERROR(__xludf.DUMMYFUNCTION("""COMPUTED_VALUE"""),0.0)</f>
        <v>0</v>
      </c>
      <c r="V22" s="10" t="str">
        <f>IFERROR(__xludf.DUMMYFUNCTION("""COMPUTED_VALUE"""),"Parosioo or ahla muhala ka haquq")</f>
        <v>Parosioo or ahla muhala ka haquq</v>
      </c>
      <c r="W22" s="10" t="str">
        <f>IFERROR(__xludf.DUMMYFUNCTION("""COMPUTED_VALUE"""),"Parosioo kor ahla muhala ka sath husna salook or un ka haquq")</f>
        <v>Parosioo kor ahla muhala ka sath husna salook or un ka haquq</v>
      </c>
      <c r="X22" s="10">
        <f>IFERROR(__xludf.DUMMYFUNCTION("""COMPUTED_VALUE"""),0.0)</f>
        <v>0</v>
      </c>
      <c r="Y22" s="10">
        <f>IFERROR(__xludf.DUMMYFUNCTION("""COMPUTED_VALUE"""),10.0)</f>
        <v>10</v>
      </c>
      <c r="Z22" s="10">
        <f>IFERROR(__xludf.DUMMYFUNCTION("""COMPUTED_VALUE"""),1.0)</f>
        <v>1</v>
      </c>
      <c r="AA22" s="10">
        <f>IFERROR(__xludf.DUMMYFUNCTION("""COMPUTED_VALUE"""),10.0)</f>
        <v>10</v>
      </c>
      <c r="AB22" s="10">
        <f>IFERROR(__xludf.DUMMYFUNCTION("""COMPUTED_VALUE"""),0.0)</f>
        <v>0</v>
      </c>
      <c r="AC22" s="10">
        <f>IFERROR(__xludf.DUMMYFUNCTION("""COMPUTED_VALUE"""),0.0)</f>
        <v>0</v>
      </c>
      <c r="AD22" s="10">
        <f>IFERROR(__xludf.DUMMYFUNCTION("""COMPUTED_VALUE"""),0.0)</f>
        <v>0</v>
      </c>
      <c r="AE22" s="10">
        <f>IFERROR(__xludf.DUMMYFUNCTION("""COMPUTED_VALUE"""),0.0)</f>
        <v>0</v>
      </c>
      <c r="AF22" s="10">
        <f>IFERROR(__xludf.DUMMYFUNCTION("""COMPUTED_VALUE"""),9.0)</f>
        <v>9</v>
      </c>
      <c r="AG22" s="10">
        <f>IFERROR(__xludf.DUMMYFUNCTION("""COMPUTED_VALUE"""),9.0)</f>
        <v>9</v>
      </c>
      <c r="AH22" s="10">
        <f>IFERROR(__xludf.DUMMYFUNCTION("""COMPUTED_VALUE"""),0.0)</f>
        <v>0</v>
      </c>
      <c r="AI22" s="10">
        <f>IFERROR(__xludf.DUMMYFUNCTION("""COMPUTED_VALUE"""),9.0)</f>
        <v>9</v>
      </c>
      <c r="AJ22" s="11" t="str">
        <f>IFERROR(__xludf.DUMMYFUNCTION("""COMPUTED_VALUE"""),"https://drive.google.com/open?id=1-CbZb826VX9jtCAro_nM1CGc3qyAI_CQ")</f>
        <v>https://drive.google.com/open?id=1-CbZb826VX9jtCAro_nM1CGc3qyAI_CQ</v>
      </c>
      <c r="AK22" s="12"/>
      <c r="AL22" s="12"/>
      <c r="AM22" s="12"/>
      <c r="AN22" s="12"/>
      <c r="AO22" s="13" t="s">
        <v>4</v>
      </c>
      <c r="AX22" s="13"/>
    </row>
    <row r="23">
      <c r="A23" s="8">
        <v>22.0</v>
      </c>
      <c r="B23" s="9">
        <f>IFERROR(__xludf.DUMMYFUNCTION("""COMPUTED_VALUE"""),45700.32473979167)</f>
        <v>45700.32474</v>
      </c>
      <c r="C23" s="10" t="str">
        <f>IFERROR(__xludf.DUMMYFUNCTION("""COMPUTED_VALUE"""),"Babar Ali")</f>
        <v>Babar Ali</v>
      </c>
      <c r="D23" s="10" t="str">
        <f>IFERROR(__xludf.DUMMYFUNCTION("""COMPUTED_VALUE"""),"03011297393")</f>
        <v>03011297393</v>
      </c>
      <c r="E23" s="10" t="str">
        <f>IFERROR(__xludf.DUMMYFUNCTION("""COMPUTED_VALUE"""),"Jamia masjid shamas ( peer hadi rehnuma)")</f>
        <v>Jamia masjid shamas ( peer hadi rehnuma)</v>
      </c>
      <c r="F23" s="10" t="str">
        <f>IFERROR(__xludf.DUMMYFUNCTION("""COMPUTED_VALUE"""),"Jeztx")</f>
        <v>Jeztx</v>
      </c>
      <c r="G23" s="10" t="str">
        <f>IFERROR(__xludf.DUMMYFUNCTION("""COMPUTED_VALUE"""),"Yes")</f>
        <v>Yes</v>
      </c>
      <c r="H23" s="10">
        <f>IFERROR(__xludf.DUMMYFUNCTION("""COMPUTED_VALUE"""),9.0)</f>
        <v>9</v>
      </c>
      <c r="I23" s="10">
        <f>IFERROR(__xludf.DUMMYFUNCTION("""COMPUTED_VALUE"""),1.0)</f>
        <v>1</v>
      </c>
      <c r="J23" s="10">
        <f>IFERROR(__xludf.DUMMYFUNCTION("""COMPUTED_VALUE"""),9.0)</f>
        <v>9</v>
      </c>
      <c r="K23" s="10">
        <f>IFERROR(__xludf.DUMMYFUNCTION("""COMPUTED_VALUE"""),9.0)</f>
        <v>9</v>
      </c>
      <c r="L23" s="10">
        <f>IFERROR(__xludf.DUMMYFUNCTION("""COMPUTED_VALUE"""),0.0)</f>
        <v>0</v>
      </c>
      <c r="M23" s="10">
        <f>IFERROR(__xludf.DUMMYFUNCTION("""COMPUTED_VALUE"""),8.0)</f>
        <v>8</v>
      </c>
      <c r="N23" s="10">
        <f>IFERROR(__xludf.DUMMYFUNCTION("""COMPUTED_VALUE"""),0.0)</f>
        <v>0</v>
      </c>
      <c r="O23" s="10">
        <f>IFERROR(__xludf.DUMMYFUNCTION("""COMPUTED_VALUE"""),9.0)</f>
        <v>9</v>
      </c>
      <c r="P23" s="10">
        <f>IFERROR(__xludf.DUMMYFUNCTION("""COMPUTED_VALUE"""),0.0)</f>
        <v>0</v>
      </c>
      <c r="Q23" s="10" t="str">
        <f>IFERROR(__xludf.DUMMYFUNCTION("""COMPUTED_VALUE"""),"Yes")</f>
        <v>Yes</v>
      </c>
      <c r="R23" s="10" t="str">
        <f>IFERROR(__xludf.DUMMYFUNCTION("""COMPUTED_VALUE"""),"No")</f>
        <v>No</v>
      </c>
      <c r="S23" s="10" t="str">
        <f>IFERROR(__xludf.DUMMYFUNCTION("""COMPUTED_VALUE"""),"Yes")</f>
        <v>Yes</v>
      </c>
      <c r="T23" s="10">
        <f>IFERROR(__xludf.DUMMYFUNCTION("""COMPUTED_VALUE"""),0.0)</f>
        <v>0</v>
      </c>
      <c r="U23" s="10">
        <f>IFERROR(__xludf.DUMMYFUNCTION("""COMPUTED_VALUE"""),10.0)</f>
        <v>10</v>
      </c>
      <c r="V23" s="10" t="str">
        <f>IFERROR(__xludf.DUMMYFUNCTION("""COMPUTED_VALUE"""),"السلام میں عورت کا مقام،کردار اور حق")</f>
        <v>السلام میں عورت کا مقام،کردار اور حق</v>
      </c>
      <c r="W23" s="10" t="str">
        <f>IFERROR(__xludf.DUMMYFUNCTION("""COMPUTED_VALUE"""),"اسلام میں عورت کو بلند مقام دیا گیا ہے، جہاں وہ ماں، بیٹی، بہن اور بیوی کے طور پر عزت و احترام کی مستحق ہے۔ قرآن و حدیث کے مطابق، عورت کی تعلیم، حیا، اور عفت کو اہمیت دی گئی ہے، اور اسے معاشرتی ترقی میں فعال کردار ادا کرنے کی ترغیب دی گئی ہے۔")</f>
        <v>اسلام میں عورت کو بلند مقام دیا گیا ہے، جہاں وہ ماں، بیٹی، بہن اور بیوی کے طور پر عزت و احترام کی مستحق ہے۔ قرآن و حدیث کے مطابق، عورت کی تعلیم، حیا، اور عفت کو اہمیت دی گئی ہے، اور اسے معاشرتی ترقی میں فعال کردار ادا کرنے کی ترغیب دی گئی ہے۔</v>
      </c>
      <c r="X23" s="10">
        <f>IFERROR(__xludf.DUMMYFUNCTION("""COMPUTED_VALUE"""),0.0)</f>
        <v>0</v>
      </c>
      <c r="Y23" s="10">
        <f>IFERROR(__xludf.DUMMYFUNCTION("""COMPUTED_VALUE"""),0.0)</f>
        <v>0</v>
      </c>
      <c r="Z23" s="10">
        <f>IFERROR(__xludf.DUMMYFUNCTION("""COMPUTED_VALUE"""),2.0)</f>
        <v>2</v>
      </c>
      <c r="AA23" s="10">
        <f>IFERROR(__xludf.DUMMYFUNCTION("""COMPUTED_VALUE"""),0.0)</f>
        <v>0</v>
      </c>
      <c r="AB23" s="10">
        <f>IFERROR(__xludf.DUMMYFUNCTION("""COMPUTED_VALUE"""),0.0)</f>
        <v>0</v>
      </c>
      <c r="AC23" s="10">
        <f>IFERROR(__xludf.DUMMYFUNCTION("""COMPUTED_VALUE"""),0.0)</f>
        <v>0</v>
      </c>
      <c r="AD23" s="10">
        <f>IFERROR(__xludf.DUMMYFUNCTION("""COMPUTED_VALUE"""),0.0)</f>
        <v>0</v>
      </c>
      <c r="AE23" s="10">
        <f>IFERROR(__xludf.DUMMYFUNCTION("""COMPUTED_VALUE"""),0.0)</f>
        <v>0</v>
      </c>
      <c r="AF23" s="10">
        <f>IFERROR(__xludf.DUMMYFUNCTION("""COMPUTED_VALUE"""),7.0)</f>
        <v>7</v>
      </c>
      <c r="AG23" s="10">
        <f>IFERROR(__xludf.DUMMYFUNCTION("""COMPUTED_VALUE"""),8.0)</f>
        <v>8</v>
      </c>
      <c r="AH23" s="10">
        <f>IFERROR(__xludf.DUMMYFUNCTION("""COMPUTED_VALUE"""),0.0)</f>
        <v>0</v>
      </c>
      <c r="AI23" s="10">
        <f>IFERROR(__xludf.DUMMYFUNCTION("""COMPUTED_VALUE"""),8.0)</f>
        <v>8</v>
      </c>
      <c r="AJ23" s="11" t="str">
        <f>IFERROR(__xludf.DUMMYFUNCTION("""COMPUTED_VALUE"""),"https://drive.google.com/open?id=1CubVPHUdqzVm6PK48JC-42ys4kbNg6Ti")</f>
        <v>https://drive.google.com/open?id=1CubVPHUdqzVm6PK48JC-42ys4kbNg6Ti</v>
      </c>
      <c r="AK23" s="12"/>
      <c r="AL23" s="12"/>
      <c r="AM23" s="12"/>
      <c r="AN23" s="12"/>
      <c r="AO23" s="13">
        <v>2.0</v>
      </c>
      <c r="AX23" s="13"/>
    </row>
    <row r="24">
      <c r="A24" s="8">
        <v>23.0</v>
      </c>
      <c r="B24" s="9">
        <f>IFERROR(__xludf.DUMMYFUNCTION("""COMPUTED_VALUE"""),45701.13651028935)</f>
        <v>45701.13651</v>
      </c>
      <c r="C24" s="10" t="str">
        <f>IFERROR(__xludf.DUMMYFUNCTION("""COMPUTED_VALUE"""),"Shakeela Rafique")</f>
        <v>Shakeela Rafique</v>
      </c>
      <c r="D24" s="10" t="str">
        <f>IFERROR(__xludf.DUMMYFUNCTION("""COMPUTED_VALUE"""),"03359485820")</f>
        <v>03359485820</v>
      </c>
      <c r="E24" s="10" t="str">
        <f>IFERROR(__xludf.DUMMYFUNCTION("""COMPUTED_VALUE"""),"Jamia Masjid Bazad Hata ")</f>
        <v>Jamia Masjid Bazad Hata </v>
      </c>
      <c r="F24" s="10" t="str">
        <f>IFERROR(__xludf.DUMMYFUNCTION("""COMPUTED_VALUE"""),"qkvvj")</f>
        <v>qkvvj</v>
      </c>
      <c r="G24" s="10" t="str">
        <f>IFERROR(__xludf.DUMMYFUNCTION("""COMPUTED_VALUE"""),"No")</f>
        <v>No</v>
      </c>
      <c r="H24" s="10"/>
      <c r="I24" s="10"/>
      <c r="J24" s="10"/>
      <c r="K24" s="10">
        <f>IFERROR(__xludf.DUMMYFUNCTION("""COMPUTED_VALUE"""),5.0)</f>
        <v>5</v>
      </c>
      <c r="L24" s="10">
        <f>IFERROR(__xludf.DUMMYFUNCTION("""COMPUTED_VALUE"""),0.0)</f>
        <v>0</v>
      </c>
      <c r="M24" s="10">
        <f>IFERROR(__xludf.DUMMYFUNCTION("""COMPUTED_VALUE"""),7.0)</f>
        <v>7</v>
      </c>
      <c r="N24" s="10">
        <f>IFERROR(__xludf.DUMMYFUNCTION("""COMPUTED_VALUE"""),0.0)</f>
        <v>0</v>
      </c>
      <c r="O24" s="10">
        <f>IFERROR(__xludf.DUMMYFUNCTION("""COMPUTED_VALUE"""),6.0)</f>
        <v>6</v>
      </c>
      <c r="P24" s="10">
        <f>IFERROR(__xludf.DUMMYFUNCTION("""COMPUTED_VALUE"""),0.0)</f>
        <v>0</v>
      </c>
      <c r="Q24" s="10" t="str">
        <f>IFERROR(__xludf.DUMMYFUNCTION("""COMPUTED_VALUE"""),"Yes")</f>
        <v>Yes</v>
      </c>
      <c r="R24" s="10" t="str">
        <f>IFERROR(__xludf.DUMMYFUNCTION("""COMPUTED_VALUE"""),"No")</f>
        <v>No</v>
      </c>
      <c r="S24" s="10" t="str">
        <f>IFERROR(__xludf.DUMMYFUNCTION("""COMPUTED_VALUE"""),"Yes")</f>
        <v>Yes</v>
      </c>
      <c r="T24" s="10">
        <f>IFERROR(__xludf.DUMMYFUNCTION("""COMPUTED_VALUE"""),7.0)</f>
        <v>7</v>
      </c>
      <c r="U24" s="10">
        <f>IFERROR(__xludf.DUMMYFUNCTION("""COMPUTED_VALUE"""),0.0)</f>
        <v>0</v>
      </c>
      <c r="V24" s="10" t="str">
        <f>IFERROR(__xludf.DUMMYFUNCTION("""COMPUTED_VALUE"""),"Meraj sharif aur khawateen k haqooq")</f>
        <v>Meraj sharif aur khawateen k haqooq</v>
      </c>
      <c r="W24" s="10" t="str">
        <f>IFERROR(__xludf.DUMMYFUNCTION("""COMPUTED_VALUE"""),"Aurton k haqooq")</f>
        <v>Aurton k haqooq</v>
      </c>
      <c r="X24" s="10">
        <f>IFERROR(__xludf.DUMMYFUNCTION("""COMPUTED_VALUE"""),2.0)</f>
        <v>2</v>
      </c>
      <c r="Y24" s="10">
        <f>IFERROR(__xludf.DUMMYFUNCTION("""COMPUTED_VALUE"""),1.0)</f>
        <v>1</v>
      </c>
      <c r="Z24" s="10">
        <f>IFERROR(__xludf.DUMMYFUNCTION("""COMPUTED_VALUE"""),1.0)</f>
        <v>1</v>
      </c>
      <c r="AA24" s="10">
        <f>IFERROR(__xludf.DUMMYFUNCTION("""COMPUTED_VALUE"""),2.0)</f>
        <v>2</v>
      </c>
      <c r="AB24" s="10">
        <f>IFERROR(__xludf.DUMMYFUNCTION("""COMPUTED_VALUE"""),0.0)</f>
        <v>0</v>
      </c>
      <c r="AC24" s="10">
        <f>IFERROR(__xludf.DUMMYFUNCTION("""COMPUTED_VALUE"""),0.0)</f>
        <v>0</v>
      </c>
      <c r="AD24" s="10">
        <f>IFERROR(__xludf.DUMMYFUNCTION("""COMPUTED_VALUE"""),0.0)</f>
        <v>0</v>
      </c>
      <c r="AE24" s="10">
        <f>IFERROR(__xludf.DUMMYFUNCTION("""COMPUTED_VALUE"""),0.0)</f>
        <v>0</v>
      </c>
      <c r="AF24" s="10">
        <f>IFERROR(__xludf.DUMMYFUNCTION("""COMPUTED_VALUE"""),3.0)</f>
        <v>3</v>
      </c>
      <c r="AG24" s="10">
        <f>IFERROR(__xludf.DUMMYFUNCTION("""COMPUTED_VALUE"""),5.0)</f>
        <v>5</v>
      </c>
      <c r="AH24" s="10">
        <f>IFERROR(__xludf.DUMMYFUNCTION("""COMPUTED_VALUE"""),0.0)</f>
        <v>0</v>
      </c>
      <c r="AI24" s="10">
        <f>IFERROR(__xludf.DUMMYFUNCTION("""COMPUTED_VALUE"""),6.0)</f>
        <v>6</v>
      </c>
      <c r="AJ24" s="11" t="str">
        <f>IFERROR(__xludf.DUMMYFUNCTION("""COMPUTED_VALUE"""),"https://drive.google.com/open?id=1tBUcXf7Eg23nwxVjX0fyr42z2lmyw_yC")</f>
        <v>https://drive.google.com/open?id=1tBUcXf7Eg23nwxVjX0fyr42z2lmyw_yC</v>
      </c>
      <c r="AK24" s="12" t="str">
        <f>IFERROR(__xludf.DUMMYFUNCTION("""COMPUTED_VALUE"""),"No")</f>
        <v>No</v>
      </c>
      <c r="AL24" s="12"/>
      <c r="AM24" s="12"/>
      <c r="AN24" s="12"/>
      <c r="AO24" s="13">
        <v>1.0</v>
      </c>
      <c r="AX24" s="13"/>
    </row>
    <row r="25">
      <c r="A25" s="8">
        <v>24.0</v>
      </c>
      <c r="B25" s="9">
        <f>IFERROR(__xludf.DUMMYFUNCTION("""COMPUTED_VALUE"""),45701.76068284722)</f>
        <v>45701.76068</v>
      </c>
      <c r="C25" s="10" t="str">
        <f>IFERROR(__xludf.DUMMYFUNCTION("""COMPUTED_VALUE"""),"Zaheer Butt")</f>
        <v>Zaheer Butt</v>
      </c>
      <c r="D25" s="10" t="str">
        <f>IFERROR(__xludf.DUMMYFUNCTION("""COMPUTED_VALUE"""),"03217040700")</f>
        <v>03217040700</v>
      </c>
      <c r="E25" s="10" t="str">
        <f>IFERROR(__xludf.DUMMYFUNCTION("""COMPUTED_VALUE"""),"Takia saduwah lahore ")</f>
        <v>Takia saduwah lahore </v>
      </c>
      <c r="F25" s="10" t="str">
        <f>IFERROR(__xludf.DUMMYFUNCTION("""COMPUTED_VALUE"""),"TNRVG")</f>
        <v>TNRVG</v>
      </c>
      <c r="G25" s="10" t="str">
        <f>IFERROR(__xludf.DUMMYFUNCTION("""COMPUTED_VALUE"""),"Yes")</f>
        <v>Yes</v>
      </c>
      <c r="H25" s="10">
        <f>IFERROR(__xludf.DUMMYFUNCTION("""COMPUTED_VALUE"""),8.0)</f>
        <v>8</v>
      </c>
      <c r="I25" s="10">
        <f>IFERROR(__xludf.DUMMYFUNCTION("""COMPUTED_VALUE"""),3.0)</f>
        <v>3</v>
      </c>
      <c r="J25" s="10">
        <f>IFERROR(__xludf.DUMMYFUNCTION("""COMPUTED_VALUE"""),8.0)</f>
        <v>8</v>
      </c>
      <c r="K25" s="10">
        <f>IFERROR(__xludf.DUMMYFUNCTION("""COMPUTED_VALUE"""),0.0)</f>
        <v>0</v>
      </c>
      <c r="L25" s="10">
        <f>IFERROR(__xludf.DUMMYFUNCTION("""COMPUTED_VALUE"""),9.0)</f>
        <v>9</v>
      </c>
      <c r="M25" s="10">
        <f>IFERROR(__xludf.DUMMYFUNCTION("""COMPUTED_VALUE"""),0.0)</f>
        <v>0</v>
      </c>
      <c r="N25" s="10">
        <f>IFERROR(__xludf.DUMMYFUNCTION("""COMPUTED_VALUE"""),10.0)</f>
        <v>10</v>
      </c>
      <c r="O25" s="10">
        <f>IFERROR(__xludf.DUMMYFUNCTION("""COMPUTED_VALUE"""),0.0)</f>
        <v>0</v>
      </c>
      <c r="P25" s="10">
        <f>IFERROR(__xludf.DUMMYFUNCTION("""COMPUTED_VALUE"""),9.0)</f>
        <v>9</v>
      </c>
      <c r="Q25" s="10" t="str">
        <f>IFERROR(__xludf.DUMMYFUNCTION("""COMPUTED_VALUE"""),"Yes")</f>
        <v>Yes</v>
      </c>
      <c r="R25" s="10" t="str">
        <f>IFERROR(__xludf.DUMMYFUNCTION("""COMPUTED_VALUE"""),"Yes")</f>
        <v>Yes</v>
      </c>
      <c r="S25" s="10" t="str">
        <f>IFERROR(__xludf.DUMMYFUNCTION("""COMPUTED_VALUE"""),"No")</f>
        <v>No</v>
      </c>
      <c r="T25" s="10">
        <f>IFERROR(__xludf.DUMMYFUNCTION("""COMPUTED_VALUE"""),0.0)</f>
        <v>0</v>
      </c>
      <c r="U25" s="10">
        <f>IFERROR(__xludf.DUMMYFUNCTION("""COMPUTED_VALUE"""),0.0)</f>
        <v>0</v>
      </c>
      <c r="V25" s="10" t="str">
        <f>IFERROR(__xludf.DUMMYFUNCTION("""COMPUTED_VALUE"""),"ہمسایہ ک حقوق")</f>
        <v>ہمسایہ ک حقوق</v>
      </c>
      <c r="W25" s="10" t="str">
        <f>IFERROR(__xludf.DUMMYFUNCTION("""COMPUTED_VALUE"""),"معاشرے اور محلے کی صفائی ")</f>
        <v>معاشرے اور محلے کی صفائی </v>
      </c>
      <c r="X25" s="10">
        <f>IFERROR(__xludf.DUMMYFUNCTION("""COMPUTED_VALUE"""),10.0)</f>
        <v>10</v>
      </c>
      <c r="Y25" s="10">
        <f>IFERROR(__xludf.DUMMYFUNCTION("""COMPUTED_VALUE"""),8.0)</f>
        <v>8</v>
      </c>
      <c r="Z25" s="10">
        <f>IFERROR(__xludf.DUMMYFUNCTION("""COMPUTED_VALUE"""),8.0)</f>
        <v>8</v>
      </c>
      <c r="AA25" s="10">
        <f>IFERROR(__xludf.DUMMYFUNCTION("""COMPUTED_VALUE"""),9.0)</f>
        <v>9</v>
      </c>
      <c r="AB25" s="10">
        <f>IFERROR(__xludf.DUMMYFUNCTION("""COMPUTED_VALUE"""),4.0)</f>
        <v>4</v>
      </c>
      <c r="AC25" s="10">
        <f>IFERROR(__xludf.DUMMYFUNCTION("""COMPUTED_VALUE"""),0.0)</f>
        <v>0</v>
      </c>
      <c r="AD25" s="10">
        <f>IFERROR(__xludf.DUMMYFUNCTION("""COMPUTED_VALUE"""),9.0)</f>
        <v>9</v>
      </c>
      <c r="AE25" s="10">
        <f>IFERROR(__xludf.DUMMYFUNCTION("""COMPUTED_VALUE"""),8.0)</f>
        <v>8</v>
      </c>
      <c r="AF25" s="10">
        <f>IFERROR(__xludf.DUMMYFUNCTION("""COMPUTED_VALUE"""),8.0)</f>
        <v>8</v>
      </c>
      <c r="AG25" s="10">
        <f>IFERROR(__xludf.DUMMYFUNCTION("""COMPUTED_VALUE"""),7.0)</f>
        <v>7</v>
      </c>
      <c r="AH25" s="10">
        <f>IFERROR(__xludf.DUMMYFUNCTION("""COMPUTED_VALUE"""),0.0)</f>
        <v>0</v>
      </c>
      <c r="AI25" s="10">
        <f>IFERROR(__xludf.DUMMYFUNCTION("""COMPUTED_VALUE"""),6.0)</f>
        <v>6</v>
      </c>
      <c r="AJ25" s="11" t="str">
        <f>IFERROR(__xludf.DUMMYFUNCTION("""COMPUTED_VALUE"""),"https://drive.google.com/open?id=10SiDtrimX2lxDAsQgDgKwmAAzUwQitP3")</f>
        <v>https://drive.google.com/open?id=10SiDtrimX2lxDAsQgDgKwmAAzUwQitP3</v>
      </c>
      <c r="AK25" s="12"/>
      <c r="AL25" s="12"/>
      <c r="AM25" s="12"/>
      <c r="AN25" s="12"/>
      <c r="AO25" s="13">
        <v>2.0</v>
      </c>
      <c r="AX25" s="13"/>
    </row>
    <row r="26">
      <c r="A26" s="8">
        <v>25.0</v>
      </c>
      <c r="B26" s="9">
        <f>IFERROR(__xludf.DUMMYFUNCTION("""COMPUTED_VALUE"""),45703.172494513885)</f>
        <v>45703.17249</v>
      </c>
      <c r="C26" s="10" t="str">
        <f>IFERROR(__xludf.DUMMYFUNCTION("""COMPUTED_VALUE"""),"Maham")</f>
        <v>Maham</v>
      </c>
      <c r="D26" s="10" t="str">
        <f>IFERROR(__xludf.DUMMYFUNCTION("""COMPUTED_VALUE"""),"03218118680")</f>
        <v>03218118680</v>
      </c>
      <c r="E26" s="10" t="str">
        <f>IFERROR(__xludf.DUMMYFUNCTION("""COMPUTED_VALUE"""),"Jamia Masjid Unchee Laal Kuch Mo.")</f>
        <v>Jamia Masjid Unchee Laal Kuch Mo.</v>
      </c>
      <c r="F26" s="10" t="str">
        <f>IFERROR(__xludf.DUMMYFUNCTION("""COMPUTED_VALUE"""),"hhhnd")</f>
        <v>hhhnd</v>
      </c>
      <c r="G26" s="10" t="str">
        <f>IFERROR(__xludf.DUMMYFUNCTION("""COMPUTED_VALUE"""),"Yes")</f>
        <v>Yes</v>
      </c>
      <c r="H26" s="10">
        <f>IFERROR(__xludf.DUMMYFUNCTION("""COMPUTED_VALUE"""),10.0)</f>
        <v>10</v>
      </c>
      <c r="I26" s="10">
        <f>IFERROR(__xludf.DUMMYFUNCTION("""COMPUTED_VALUE"""),5.0)</f>
        <v>5</v>
      </c>
      <c r="J26" s="10">
        <f>IFERROR(__xludf.DUMMYFUNCTION("""COMPUTED_VALUE"""),10.0)</f>
        <v>10</v>
      </c>
      <c r="K26" s="10">
        <f>IFERROR(__xludf.DUMMYFUNCTION("""COMPUTED_VALUE"""),10.0)</f>
        <v>10</v>
      </c>
      <c r="L26" s="10">
        <f>IFERROR(__xludf.DUMMYFUNCTION("""COMPUTED_VALUE"""),2.0)</f>
        <v>2</v>
      </c>
      <c r="M26" s="10">
        <f>IFERROR(__xludf.DUMMYFUNCTION("""COMPUTED_VALUE"""),10.0)</f>
        <v>10</v>
      </c>
      <c r="N26" s="10">
        <f>IFERROR(__xludf.DUMMYFUNCTION("""COMPUTED_VALUE"""),5.0)</f>
        <v>5</v>
      </c>
      <c r="O26" s="10">
        <f>IFERROR(__xludf.DUMMYFUNCTION("""COMPUTED_VALUE"""),10.0)</f>
        <v>10</v>
      </c>
      <c r="P26" s="10">
        <f>IFERROR(__xludf.DUMMYFUNCTION("""COMPUTED_VALUE"""),5.0)</f>
        <v>5</v>
      </c>
      <c r="Q26" s="10" t="str">
        <f>IFERROR(__xludf.DUMMYFUNCTION("""COMPUTED_VALUE"""),"Yes")</f>
        <v>Yes</v>
      </c>
      <c r="R26" s="10" t="str">
        <f>IFERROR(__xludf.DUMMYFUNCTION("""COMPUTED_VALUE"""),"Yes")</f>
        <v>Yes</v>
      </c>
      <c r="S26" s="10" t="str">
        <f>IFERROR(__xludf.DUMMYFUNCTION("""COMPUTED_VALUE"""),"Yes")</f>
        <v>Yes</v>
      </c>
      <c r="T26" s="10">
        <f>IFERROR(__xludf.DUMMYFUNCTION("""COMPUTED_VALUE"""),0.0)</f>
        <v>0</v>
      </c>
      <c r="U26" s="10">
        <f>IFERROR(__xludf.DUMMYFUNCTION("""COMPUTED_VALUE"""),0.0)</f>
        <v>0</v>
      </c>
      <c r="V26" s="10" t="str">
        <f>IFERROR(__xludf.DUMMYFUNCTION("""COMPUTED_VALUE""")," اللہ اور اس کے حضور کی محبت اطاعت اور عورتوں کے حقوق")</f>
        <v> اللہ اور اس کے حضور کی محبت اطاعت اور عورتوں کے حقوق</v>
      </c>
      <c r="W26" s="10" t="str">
        <f>IFERROR(__xludf.DUMMYFUNCTION("""COMPUTED_VALUE"""),"ہماری زندگیوں میں اللہ اور اس کے رسول کی اطاعت کرنا کتنا ضروری ہے اور عورتوں کے حقوق کے پر زور دیا")</f>
        <v>ہماری زندگیوں میں اللہ اور اس کے رسول کی اطاعت کرنا کتنا ضروری ہے اور عورتوں کے حقوق کے پر زور دیا</v>
      </c>
      <c r="X26" s="10">
        <f>IFERROR(__xludf.DUMMYFUNCTION("""COMPUTED_VALUE"""),10.0)</f>
        <v>10</v>
      </c>
      <c r="Y26" s="10">
        <f>IFERROR(__xludf.DUMMYFUNCTION("""COMPUTED_VALUE"""),10.0)</f>
        <v>10</v>
      </c>
      <c r="Z26" s="10">
        <f>IFERROR(__xludf.DUMMYFUNCTION("""COMPUTED_VALUE"""),8.0)</f>
        <v>8</v>
      </c>
      <c r="AA26" s="10">
        <f>IFERROR(__xludf.DUMMYFUNCTION("""COMPUTED_VALUE"""),10.0)</f>
        <v>10</v>
      </c>
      <c r="AB26" s="10">
        <f>IFERROR(__xludf.DUMMYFUNCTION("""COMPUTED_VALUE"""),5.0)</f>
        <v>5</v>
      </c>
      <c r="AC26" s="10">
        <f>IFERROR(__xludf.DUMMYFUNCTION("""COMPUTED_VALUE"""),5.0)</f>
        <v>5</v>
      </c>
      <c r="AD26" s="10">
        <f>IFERROR(__xludf.DUMMYFUNCTION("""COMPUTED_VALUE"""),5.0)</f>
        <v>5</v>
      </c>
      <c r="AE26" s="10">
        <f>IFERROR(__xludf.DUMMYFUNCTION("""COMPUTED_VALUE"""),3.0)</f>
        <v>3</v>
      </c>
      <c r="AF26" s="10">
        <f>IFERROR(__xludf.DUMMYFUNCTION("""COMPUTED_VALUE"""),10.0)</f>
        <v>10</v>
      </c>
      <c r="AG26" s="10">
        <f>IFERROR(__xludf.DUMMYFUNCTION("""COMPUTED_VALUE"""),10.0)</f>
        <v>10</v>
      </c>
      <c r="AH26" s="10">
        <f>IFERROR(__xludf.DUMMYFUNCTION("""COMPUTED_VALUE"""),0.0)</f>
        <v>0</v>
      </c>
      <c r="AI26" s="10">
        <f>IFERROR(__xludf.DUMMYFUNCTION("""COMPUTED_VALUE"""),10.0)</f>
        <v>10</v>
      </c>
      <c r="AJ26" s="11" t="str">
        <f>IFERROR(__xludf.DUMMYFUNCTION("""COMPUTED_VALUE"""),"https://drive.google.com/open?id=1wSzRokkb8g0TiF5pCYRVaiNC45EA_Zqm")</f>
        <v>https://drive.google.com/open?id=1wSzRokkb8g0TiF5pCYRVaiNC45EA_Zqm</v>
      </c>
      <c r="AK26" s="12">
        <f>IFERROR(__xludf.DUMMYFUNCTION("""COMPUTED_VALUE"""),0.0)</f>
        <v>0</v>
      </c>
      <c r="AL26" s="12"/>
      <c r="AM26" s="12"/>
      <c r="AN26" s="12"/>
      <c r="AO26" s="13">
        <v>2.0</v>
      </c>
      <c r="AX26" s="13"/>
    </row>
    <row r="27">
      <c r="A27" s="8">
        <v>26.0</v>
      </c>
      <c r="B27" s="9">
        <f>IFERROR(__xludf.DUMMYFUNCTION("""COMPUTED_VALUE"""),45703.17809987269)</f>
        <v>45703.1781</v>
      </c>
      <c r="C27" s="10" t="str">
        <f>IFERROR(__xludf.DUMMYFUNCTION("""COMPUTED_VALUE"""),"Maham")</f>
        <v>Maham</v>
      </c>
      <c r="D27" s="10" t="str">
        <f>IFERROR(__xludf.DUMMYFUNCTION("""COMPUTED_VALUE"""),"03218118680")</f>
        <v>03218118680</v>
      </c>
      <c r="E27" s="10" t="str">
        <f>IFERROR(__xludf.DUMMYFUNCTION("""COMPUTED_VALUE"""),"WBAIL Jamia Masjid Takiya Ujagar Shah Lahore")</f>
        <v>WBAIL Jamia Masjid Takiya Ujagar Shah Lahore</v>
      </c>
      <c r="F27" s="10" t="str">
        <f>IFERROR(__xludf.DUMMYFUNCTION("""COMPUTED_VALUE"""),"WBAIL")</f>
        <v>WBAIL</v>
      </c>
      <c r="G27" s="10" t="str">
        <f>IFERROR(__xludf.DUMMYFUNCTION("""COMPUTED_VALUE"""),"Yes")</f>
        <v>Yes</v>
      </c>
      <c r="H27" s="10">
        <f>IFERROR(__xludf.DUMMYFUNCTION("""COMPUTED_VALUE"""),10.0)</f>
        <v>10</v>
      </c>
      <c r="I27" s="10">
        <f>IFERROR(__xludf.DUMMYFUNCTION("""COMPUTED_VALUE"""),5.0)</f>
        <v>5</v>
      </c>
      <c r="J27" s="10">
        <f>IFERROR(__xludf.DUMMYFUNCTION("""COMPUTED_VALUE"""),10.0)</f>
        <v>10</v>
      </c>
      <c r="K27" s="10">
        <f>IFERROR(__xludf.DUMMYFUNCTION("""COMPUTED_VALUE"""),0.0)</f>
        <v>0</v>
      </c>
      <c r="L27" s="10">
        <f>IFERROR(__xludf.DUMMYFUNCTION("""COMPUTED_VALUE"""),5.0)</f>
        <v>5</v>
      </c>
      <c r="M27" s="10">
        <f>IFERROR(__xludf.DUMMYFUNCTION("""COMPUTED_VALUE"""),0.0)</f>
        <v>0</v>
      </c>
      <c r="N27" s="10">
        <f>IFERROR(__xludf.DUMMYFUNCTION("""COMPUTED_VALUE"""),0.0)</f>
        <v>0</v>
      </c>
      <c r="O27" s="10">
        <f>IFERROR(__xludf.DUMMYFUNCTION("""COMPUTED_VALUE"""),0.0)</f>
        <v>0</v>
      </c>
      <c r="P27" s="10">
        <f>IFERROR(__xludf.DUMMYFUNCTION("""COMPUTED_VALUE"""),0.0)</f>
        <v>0</v>
      </c>
      <c r="Q27" s="10" t="str">
        <f>IFERROR(__xludf.DUMMYFUNCTION("""COMPUTED_VALUE"""),"No")</f>
        <v>No</v>
      </c>
      <c r="R27" s="10" t="str">
        <f>IFERROR(__xludf.DUMMYFUNCTION("""COMPUTED_VALUE"""),"No")</f>
        <v>No</v>
      </c>
      <c r="S27" s="10" t="str">
        <f>IFERROR(__xludf.DUMMYFUNCTION("""COMPUTED_VALUE"""),"Yes")</f>
        <v>Yes</v>
      </c>
      <c r="T27" s="10">
        <f>IFERROR(__xludf.DUMMYFUNCTION("""COMPUTED_VALUE"""),0.0)</f>
        <v>0</v>
      </c>
      <c r="U27" s="10">
        <f>IFERROR(__xludf.DUMMYFUNCTION("""COMPUTED_VALUE"""),0.0)</f>
        <v>0</v>
      </c>
      <c r="V27" s="10" t="str">
        <f>IFERROR(__xludf.DUMMYFUNCTION("""COMPUTED_VALUE"""),"شب معراج اور قرآن پاک کی اہمیت")</f>
        <v>شب معراج اور قرآن پاک کی اہمیت</v>
      </c>
      <c r="W27" s="10" t="str">
        <f>IFERROR(__xludf.DUMMYFUNCTION("""COMPUTED_VALUE"""),"شب معراج کی فضیلت اور پیش آنے والے واقعات اور قرآن پاک سے لگاؤ")</f>
        <v>شب معراج کی فضیلت اور پیش آنے والے واقعات اور قرآن پاک سے لگاؤ</v>
      </c>
      <c r="X27" s="10">
        <f>IFERROR(__xludf.DUMMYFUNCTION("""COMPUTED_VALUE"""),10.0)</f>
        <v>10</v>
      </c>
      <c r="Y27" s="10">
        <f>IFERROR(__xludf.DUMMYFUNCTION("""COMPUTED_VALUE"""),5.0)</f>
        <v>5</v>
      </c>
      <c r="Z27" s="10">
        <f>IFERROR(__xludf.DUMMYFUNCTION("""COMPUTED_VALUE"""),3.0)</f>
        <v>3</v>
      </c>
      <c r="AA27" s="10">
        <f>IFERROR(__xludf.DUMMYFUNCTION("""COMPUTED_VALUE"""),10.0)</f>
        <v>10</v>
      </c>
      <c r="AB27" s="10">
        <f>IFERROR(__xludf.DUMMYFUNCTION("""COMPUTED_VALUE"""),3.0)</f>
        <v>3</v>
      </c>
      <c r="AC27" s="10">
        <f>IFERROR(__xludf.DUMMYFUNCTION("""COMPUTED_VALUE"""),0.0)</f>
        <v>0</v>
      </c>
      <c r="AD27" s="10">
        <f>IFERROR(__xludf.DUMMYFUNCTION("""COMPUTED_VALUE"""),0.0)</f>
        <v>0</v>
      </c>
      <c r="AE27" s="10">
        <f>IFERROR(__xludf.DUMMYFUNCTION("""COMPUTED_VALUE"""),0.0)</f>
        <v>0</v>
      </c>
      <c r="AF27" s="10">
        <f>IFERROR(__xludf.DUMMYFUNCTION("""COMPUTED_VALUE"""),10.0)</f>
        <v>10</v>
      </c>
      <c r="AG27" s="10">
        <f>IFERROR(__xludf.DUMMYFUNCTION("""COMPUTED_VALUE"""),10.0)</f>
        <v>10</v>
      </c>
      <c r="AH27" s="10">
        <f>IFERROR(__xludf.DUMMYFUNCTION("""COMPUTED_VALUE"""),0.0)</f>
        <v>0</v>
      </c>
      <c r="AI27" s="10">
        <f>IFERROR(__xludf.DUMMYFUNCTION("""COMPUTED_VALUE"""),10.0)</f>
        <v>10</v>
      </c>
      <c r="AJ27" s="11" t="str">
        <f>IFERROR(__xludf.DUMMYFUNCTION("""COMPUTED_VALUE"""),"https://drive.google.com/open?id=1pCkb0vZqgxQNjvPg2owOF-rPTEX27C7q")</f>
        <v>https://drive.google.com/open?id=1pCkb0vZqgxQNjvPg2owOF-rPTEX27C7q</v>
      </c>
      <c r="AK27" s="12">
        <f>IFERROR(__xludf.DUMMYFUNCTION("""COMPUTED_VALUE"""),0.0)</f>
        <v>0</v>
      </c>
      <c r="AL27" s="12"/>
      <c r="AM27" s="12"/>
      <c r="AN27" s="12"/>
      <c r="AO27" s="13">
        <v>1.0</v>
      </c>
      <c r="AX27" s="13"/>
    </row>
    <row r="28">
      <c r="A28" s="8">
        <v>27.0</v>
      </c>
      <c r="B28" s="9">
        <f>IFERROR(__xludf.DUMMYFUNCTION("""COMPUTED_VALUE"""),45703.18452546296)</f>
        <v>45703.18453</v>
      </c>
      <c r="C28" s="10" t="str">
        <f>IFERROR(__xludf.DUMMYFUNCTION("""COMPUTED_VALUE"""),"Maham")</f>
        <v>Maham</v>
      </c>
      <c r="D28" s="10" t="str">
        <f>IFERROR(__xludf.DUMMYFUNCTION("""COMPUTED_VALUE"""),"03218118680")</f>
        <v>03218118680</v>
      </c>
      <c r="E28" s="10" t="str">
        <f>IFERROR(__xludf.DUMMYFUNCTION("""COMPUTED_VALUE"""),"جامع مسجد حنفیہ  غوثیہ شو مارکیٹ لاہور")</f>
        <v>جامع مسجد حنفیہ  غوثیہ شو مارکیٹ لاہور</v>
      </c>
      <c r="F28" s="10" t="str">
        <f>IFERROR(__xludf.DUMMYFUNCTION("""COMPUTED_VALUE"""),"vxoxs")</f>
        <v>vxoxs</v>
      </c>
      <c r="G28" s="10" t="str">
        <f>IFERROR(__xludf.DUMMYFUNCTION("""COMPUTED_VALUE"""),"Yes")</f>
        <v>Yes</v>
      </c>
      <c r="H28" s="10">
        <f>IFERROR(__xludf.DUMMYFUNCTION("""COMPUTED_VALUE"""),10.0)</f>
        <v>10</v>
      </c>
      <c r="I28" s="10">
        <f>IFERROR(__xludf.DUMMYFUNCTION("""COMPUTED_VALUE"""),3.0)</f>
        <v>3</v>
      </c>
      <c r="J28" s="10">
        <f>IFERROR(__xludf.DUMMYFUNCTION("""COMPUTED_VALUE"""),10.0)</f>
        <v>10</v>
      </c>
      <c r="K28" s="10">
        <f>IFERROR(__xludf.DUMMYFUNCTION("""COMPUTED_VALUE"""),10.0)</f>
        <v>10</v>
      </c>
      <c r="L28" s="10">
        <f>IFERROR(__xludf.DUMMYFUNCTION("""COMPUTED_VALUE"""),5.0)</f>
        <v>5</v>
      </c>
      <c r="M28" s="10">
        <f>IFERROR(__xludf.DUMMYFUNCTION("""COMPUTED_VALUE"""),10.0)</f>
        <v>10</v>
      </c>
      <c r="N28" s="10">
        <f>IFERROR(__xludf.DUMMYFUNCTION("""COMPUTED_VALUE"""),1.0)</f>
        <v>1</v>
      </c>
      <c r="O28" s="10">
        <f>IFERROR(__xludf.DUMMYFUNCTION("""COMPUTED_VALUE"""),10.0)</f>
        <v>10</v>
      </c>
      <c r="P28" s="10">
        <f>IFERROR(__xludf.DUMMYFUNCTION("""COMPUTED_VALUE"""),0.0)</f>
        <v>0</v>
      </c>
      <c r="Q28" s="10" t="str">
        <f>IFERROR(__xludf.DUMMYFUNCTION("""COMPUTED_VALUE"""),"Yes")</f>
        <v>Yes</v>
      </c>
      <c r="R28" s="10" t="str">
        <f>IFERROR(__xludf.DUMMYFUNCTION("""COMPUTED_VALUE"""),"No")</f>
        <v>No</v>
      </c>
      <c r="S28" s="10" t="str">
        <f>IFERROR(__xludf.DUMMYFUNCTION("""COMPUTED_VALUE"""),"Yes")</f>
        <v>Yes</v>
      </c>
      <c r="T28" s="10">
        <f>IFERROR(__xludf.DUMMYFUNCTION("""COMPUTED_VALUE"""),0.0)</f>
        <v>0</v>
      </c>
      <c r="U28" s="10">
        <f>IFERROR(__xludf.DUMMYFUNCTION("""COMPUTED_VALUE"""),0.0)</f>
        <v>0</v>
      </c>
      <c r="V28" s="10" t="str">
        <f>IFERROR(__xludf.DUMMYFUNCTION("""COMPUTED_VALUE"""),"عورتوں کے حقوق پر زور")</f>
        <v>عورتوں کے حقوق پر زور</v>
      </c>
      <c r="W28" s="10" t="str">
        <f>IFERROR(__xludf.DUMMYFUNCTION("""COMPUTED_VALUE"""),"امام صاحب نے اپنی گفتگو میں عورتوں کے حقوق کے بارے میں گفتگو فرمائی اور ان کی تعلیم پہ زور دیا")</f>
        <v>امام صاحب نے اپنی گفتگو میں عورتوں کے حقوق کے بارے میں گفتگو فرمائی اور ان کی تعلیم پہ زور دیا</v>
      </c>
      <c r="X28" s="10">
        <f>IFERROR(__xludf.DUMMYFUNCTION("""COMPUTED_VALUE"""),5.0)</f>
        <v>5</v>
      </c>
      <c r="Y28" s="10">
        <f>IFERROR(__xludf.DUMMYFUNCTION("""COMPUTED_VALUE"""),0.0)</f>
        <v>0</v>
      </c>
      <c r="Z28" s="10">
        <f>IFERROR(__xludf.DUMMYFUNCTION("""COMPUTED_VALUE"""),5.0)</f>
        <v>5</v>
      </c>
      <c r="AA28" s="10">
        <f>IFERROR(__xludf.DUMMYFUNCTION("""COMPUTED_VALUE"""),10.0)</f>
        <v>10</v>
      </c>
      <c r="AB28" s="10">
        <f>IFERROR(__xludf.DUMMYFUNCTION("""COMPUTED_VALUE"""),3.0)</f>
        <v>3</v>
      </c>
      <c r="AC28" s="10">
        <f>IFERROR(__xludf.DUMMYFUNCTION("""COMPUTED_VALUE"""),3.0)</f>
        <v>3</v>
      </c>
      <c r="AD28" s="10">
        <f>IFERROR(__xludf.DUMMYFUNCTION("""COMPUTED_VALUE"""),3.0)</f>
        <v>3</v>
      </c>
      <c r="AE28" s="10">
        <f>IFERROR(__xludf.DUMMYFUNCTION("""COMPUTED_VALUE"""),0.0)</f>
        <v>0</v>
      </c>
      <c r="AF28" s="10">
        <f>IFERROR(__xludf.DUMMYFUNCTION("""COMPUTED_VALUE"""),10.0)</f>
        <v>10</v>
      </c>
      <c r="AG28" s="10">
        <f>IFERROR(__xludf.DUMMYFUNCTION("""COMPUTED_VALUE"""),10.0)</f>
        <v>10</v>
      </c>
      <c r="AH28" s="10">
        <f>IFERROR(__xludf.DUMMYFUNCTION("""COMPUTED_VALUE"""),0.0)</f>
        <v>0</v>
      </c>
      <c r="AI28" s="10">
        <f>IFERROR(__xludf.DUMMYFUNCTION("""COMPUTED_VALUE"""),10.0)</f>
        <v>10</v>
      </c>
      <c r="AJ28" s="11" t="str">
        <f>IFERROR(__xludf.DUMMYFUNCTION("""COMPUTED_VALUE"""),"https://drive.google.com/open?id=1d6CLkt8nVoAyBvqA0k2qhEP_tMT7ZZbD")</f>
        <v>https://drive.google.com/open?id=1d6CLkt8nVoAyBvqA0k2qhEP_tMT7ZZbD</v>
      </c>
      <c r="AK28" s="12">
        <f>IFERROR(__xludf.DUMMYFUNCTION("""COMPUTED_VALUE"""),0.0)</f>
        <v>0</v>
      </c>
      <c r="AL28" s="12"/>
      <c r="AM28" s="12"/>
      <c r="AN28" s="12"/>
      <c r="AO28" s="13">
        <v>2.0</v>
      </c>
      <c r="AX28" s="13"/>
    </row>
    <row r="29">
      <c r="A29" s="8">
        <v>28.0</v>
      </c>
      <c r="B29" s="9">
        <f>IFERROR(__xludf.DUMMYFUNCTION("""COMPUTED_VALUE"""),45703.18946818287)</f>
        <v>45703.18947</v>
      </c>
      <c r="C29" s="10" t="str">
        <f>IFERROR(__xludf.DUMMYFUNCTION("""COMPUTED_VALUE"""),"Maham")</f>
        <v>Maham</v>
      </c>
      <c r="D29" s="10" t="str">
        <f>IFERROR(__xludf.DUMMYFUNCTION("""COMPUTED_VALUE"""),"03218118680")</f>
        <v>03218118680</v>
      </c>
      <c r="E29" s="10" t="str">
        <f>IFERROR(__xludf.DUMMYFUNCTION("""COMPUTED_VALUE""")," جامعہ مسجد صالحہ کمبوہ موچی گیٹ لاہور")</f>
        <v> جامعہ مسجد صالحہ کمبوہ موچی گیٹ لاہور</v>
      </c>
      <c r="F29" s="10" t="str">
        <f>IFERROR(__xludf.DUMMYFUNCTION("""COMPUTED_VALUE"""),"gnvlx")</f>
        <v>gnvlx</v>
      </c>
      <c r="G29" s="10" t="str">
        <f>IFERROR(__xludf.DUMMYFUNCTION("""COMPUTED_VALUE"""),"Yes")</f>
        <v>Yes</v>
      </c>
      <c r="H29" s="10">
        <f>IFERROR(__xludf.DUMMYFUNCTION("""COMPUTED_VALUE"""),10.0)</f>
        <v>10</v>
      </c>
      <c r="I29" s="10">
        <f>IFERROR(__xludf.DUMMYFUNCTION("""COMPUTED_VALUE"""),5.0)</f>
        <v>5</v>
      </c>
      <c r="J29" s="10">
        <f>IFERROR(__xludf.DUMMYFUNCTION("""COMPUTED_VALUE"""),10.0)</f>
        <v>10</v>
      </c>
      <c r="K29" s="10">
        <f>IFERROR(__xludf.DUMMYFUNCTION("""COMPUTED_VALUE"""),10.0)</f>
        <v>10</v>
      </c>
      <c r="L29" s="10">
        <f>IFERROR(__xludf.DUMMYFUNCTION("""COMPUTED_VALUE"""),0.0)</f>
        <v>0</v>
      </c>
      <c r="M29" s="10">
        <f>IFERROR(__xludf.DUMMYFUNCTION("""COMPUTED_VALUE"""),10.0)</f>
        <v>10</v>
      </c>
      <c r="N29" s="10">
        <f>IFERROR(__xludf.DUMMYFUNCTION("""COMPUTED_VALUE"""),0.0)</f>
        <v>0</v>
      </c>
      <c r="O29" s="10">
        <f>IFERROR(__xludf.DUMMYFUNCTION("""COMPUTED_VALUE"""),10.0)</f>
        <v>10</v>
      </c>
      <c r="P29" s="10">
        <f>IFERROR(__xludf.DUMMYFUNCTION("""COMPUTED_VALUE"""),0.0)</f>
        <v>0</v>
      </c>
      <c r="Q29" s="10" t="str">
        <f>IFERROR(__xludf.DUMMYFUNCTION("""COMPUTED_VALUE"""),"Yes")</f>
        <v>Yes</v>
      </c>
      <c r="R29" s="10" t="str">
        <f>IFERROR(__xludf.DUMMYFUNCTION("""COMPUTED_VALUE"""),"No")</f>
        <v>No</v>
      </c>
      <c r="S29" s="10" t="str">
        <f>IFERROR(__xludf.DUMMYFUNCTION("""COMPUTED_VALUE"""),"Yes")</f>
        <v>Yes</v>
      </c>
      <c r="T29" s="10">
        <f>IFERROR(__xludf.DUMMYFUNCTION("""COMPUTED_VALUE"""),0.0)</f>
        <v>0</v>
      </c>
      <c r="U29" s="10">
        <f>IFERROR(__xludf.DUMMYFUNCTION("""COMPUTED_VALUE"""),0.0)</f>
        <v>0</v>
      </c>
      <c r="V29" s="10" t="str">
        <f>IFERROR(__xludf.DUMMYFUNCTION("""COMPUTED_VALUE"""),"عورتوں کے حقوق اور ان کی بہادری اور شجاعت کے دینی واقعات")</f>
        <v>عورتوں کے حقوق اور ان کی بہادری اور شجاعت کے دینی واقعات</v>
      </c>
      <c r="W29" s="10" t="str">
        <f>IFERROR(__xludf.DUMMYFUNCTION("""COMPUTED_VALUE"""),"عورتوں کے حقوق پر زور دیا گیا اور ان کی بہادری شجاعت جو ہماری صحابیات نے نبی پاک صلی اللہ علیہ وسلم کے لیے کیا اور دین کی حفاظت کے لیے کیا")</f>
        <v>عورتوں کے حقوق پر زور دیا گیا اور ان کی بہادری شجاعت جو ہماری صحابیات نے نبی پاک صلی اللہ علیہ وسلم کے لیے کیا اور دین کی حفاظت کے لیے کیا</v>
      </c>
      <c r="X29" s="10">
        <f>IFERROR(__xludf.DUMMYFUNCTION("""COMPUTED_VALUE"""),5.0)</f>
        <v>5</v>
      </c>
      <c r="Y29" s="10">
        <f>IFERROR(__xludf.DUMMYFUNCTION("""COMPUTED_VALUE"""),0.0)</f>
        <v>0</v>
      </c>
      <c r="Z29" s="10">
        <f>IFERROR(__xludf.DUMMYFUNCTION("""COMPUTED_VALUE"""),2.0)</f>
        <v>2</v>
      </c>
      <c r="AA29" s="10">
        <f>IFERROR(__xludf.DUMMYFUNCTION("""COMPUTED_VALUE"""),10.0)</f>
        <v>10</v>
      </c>
      <c r="AB29" s="10">
        <f>IFERROR(__xludf.DUMMYFUNCTION("""COMPUTED_VALUE"""),6.0)</f>
        <v>6</v>
      </c>
      <c r="AC29" s="10">
        <f>IFERROR(__xludf.DUMMYFUNCTION("""COMPUTED_VALUE"""),2.0)</f>
        <v>2</v>
      </c>
      <c r="AD29" s="10">
        <f>IFERROR(__xludf.DUMMYFUNCTION("""COMPUTED_VALUE"""),0.0)</f>
        <v>0</v>
      </c>
      <c r="AE29" s="10">
        <f>IFERROR(__xludf.DUMMYFUNCTION("""COMPUTED_VALUE"""),0.0)</f>
        <v>0</v>
      </c>
      <c r="AF29" s="10">
        <f>IFERROR(__xludf.DUMMYFUNCTION("""COMPUTED_VALUE"""),10.0)</f>
        <v>10</v>
      </c>
      <c r="AG29" s="10">
        <f>IFERROR(__xludf.DUMMYFUNCTION("""COMPUTED_VALUE"""),10.0)</f>
        <v>10</v>
      </c>
      <c r="AH29" s="10">
        <f>IFERROR(__xludf.DUMMYFUNCTION("""COMPUTED_VALUE"""),0.0)</f>
        <v>0</v>
      </c>
      <c r="AI29" s="10">
        <f>IFERROR(__xludf.DUMMYFUNCTION("""COMPUTED_VALUE"""),10.0)</f>
        <v>10</v>
      </c>
      <c r="AJ29" s="11" t="str">
        <f>IFERROR(__xludf.DUMMYFUNCTION("""COMPUTED_VALUE"""),"https://drive.google.com/open?id=1d_1tspO0x_TvJwQHQbsnE0BFmDjXLtO3")</f>
        <v>https://drive.google.com/open?id=1d_1tspO0x_TvJwQHQbsnE0BFmDjXLtO3</v>
      </c>
      <c r="AK29" s="12">
        <f>IFERROR(__xludf.DUMMYFUNCTION("""COMPUTED_VALUE"""),0.0)</f>
        <v>0</v>
      </c>
      <c r="AL29" s="12"/>
      <c r="AM29" s="12"/>
      <c r="AN29" s="12"/>
      <c r="AO29" s="13">
        <v>2.0</v>
      </c>
      <c r="AX29" s="13"/>
    </row>
    <row r="30">
      <c r="A30" s="8">
        <v>29.0</v>
      </c>
      <c r="B30" s="9">
        <f>IFERROR(__xludf.DUMMYFUNCTION("""COMPUTED_VALUE"""),45703.19477559028)</f>
        <v>45703.19478</v>
      </c>
      <c r="C30" s="10" t="str">
        <f>IFERROR(__xludf.DUMMYFUNCTION("""COMPUTED_VALUE"""),"Maham")</f>
        <v>Maham</v>
      </c>
      <c r="D30" s="10" t="str">
        <f>IFERROR(__xludf.DUMMYFUNCTION("""COMPUTED_VALUE"""),"03218118680")</f>
        <v>03218118680</v>
      </c>
      <c r="E30" s="10" t="str">
        <f>IFERROR(__xludf.DUMMYFUNCTION("""COMPUTED_VALUE"""),"جامعہ مسجد نور الدین پپل ویہرا لاہور")</f>
        <v>جامعہ مسجد نور الدین پپل ویہرا لاہور</v>
      </c>
      <c r="F30" s="10" t="str">
        <f>IFERROR(__xludf.DUMMYFUNCTION("""COMPUTED_VALUE"""),"KSCAL")</f>
        <v>KSCAL</v>
      </c>
      <c r="G30" s="10" t="str">
        <f>IFERROR(__xludf.DUMMYFUNCTION("""COMPUTED_VALUE"""),"No")</f>
        <v>No</v>
      </c>
      <c r="H30" s="10"/>
      <c r="I30" s="10"/>
      <c r="J30" s="10"/>
      <c r="K30" s="10">
        <f>IFERROR(__xludf.DUMMYFUNCTION("""COMPUTED_VALUE"""),0.0)</f>
        <v>0</v>
      </c>
      <c r="L30" s="10">
        <f>IFERROR(__xludf.DUMMYFUNCTION("""COMPUTED_VALUE"""),0.0)</f>
        <v>0</v>
      </c>
      <c r="M30" s="10">
        <f>IFERROR(__xludf.DUMMYFUNCTION("""COMPUTED_VALUE"""),0.0)</f>
        <v>0</v>
      </c>
      <c r="N30" s="10">
        <f>IFERROR(__xludf.DUMMYFUNCTION("""COMPUTED_VALUE"""),0.0)</f>
        <v>0</v>
      </c>
      <c r="O30" s="10">
        <f>IFERROR(__xludf.DUMMYFUNCTION("""COMPUTED_VALUE"""),0.0)</f>
        <v>0</v>
      </c>
      <c r="P30" s="10">
        <f>IFERROR(__xludf.DUMMYFUNCTION("""COMPUTED_VALUE"""),0.0)</f>
        <v>0</v>
      </c>
      <c r="Q30" s="10" t="str">
        <f>IFERROR(__xludf.DUMMYFUNCTION("""COMPUTED_VALUE"""),"No")</f>
        <v>No</v>
      </c>
      <c r="R30" s="10" t="str">
        <f>IFERROR(__xludf.DUMMYFUNCTION("""COMPUTED_VALUE"""),"No")</f>
        <v>No</v>
      </c>
      <c r="S30" s="10" t="str">
        <f>IFERROR(__xludf.DUMMYFUNCTION("""COMPUTED_VALUE"""),"Yes")</f>
        <v>Yes</v>
      </c>
      <c r="T30" s="10">
        <f>IFERROR(__xludf.DUMMYFUNCTION("""COMPUTED_VALUE"""),0.0)</f>
        <v>0</v>
      </c>
      <c r="U30" s="10">
        <f>IFERROR(__xludf.DUMMYFUNCTION("""COMPUTED_VALUE"""),0.0)</f>
        <v>0</v>
      </c>
      <c r="V30" s="10" t="str">
        <f>IFERROR(__xludf.DUMMYFUNCTION("""COMPUTED_VALUE"""),"نماز اور اس کی اہمیت")</f>
        <v>نماز اور اس کی اہمیت</v>
      </c>
      <c r="W30" s="10" t="str">
        <f>IFERROR(__xludf.DUMMYFUNCTION("""COMPUTED_VALUE"""),"نماز کی اہمیت اس کا طریقہ کار اس کی نیت خالص عورتوں اور مردوں کی نماز کے صحیح طریقے پر زور دیا گیا")</f>
        <v>نماز کی اہمیت اس کا طریقہ کار اس کی نیت خالص عورتوں اور مردوں کی نماز کے صحیح طریقے پر زور دیا گیا</v>
      </c>
      <c r="X30" s="10">
        <f>IFERROR(__xludf.DUMMYFUNCTION("""COMPUTED_VALUE"""),10.0)</f>
        <v>10</v>
      </c>
      <c r="Y30" s="10">
        <f>IFERROR(__xludf.DUMMYFUNCTION("""COMPUTED_VALUE"""),0.0)</f>
        <v>0</v>
      </c>
      <c r="Z30" s="10">
        <f>IFERROR(__xludf.DUMMYFUNCTION("""COMPUTED_VALUE"""),2.0)</f>
        <v>2</v>
      </c>
      <c r="AA30" s="10">
        <f>IFERROR(__xludf.DUMMYFUNCTION("""COMPUTED_VALUE"""),10.0)</f>
        <v>10</v>
      </c>
      <c r="AB30" s="10">
        <f>IFERROR(__xludf.DUMMYFUNCTION("""COMPUTED_VALUE"""),2.0)</f>
        <v>2</v>
      </c>
      <c r="AC30" s="10">
        <f>IFERROR(__xludf.DUMMYFUNCTION("""COMPUTED_VALUE"""),0.0)</f>
        <v>0</v>
      </c>
      <c r="AD30" s="10">
        <f>IFERROR(__xludf.DUMMYFUNCTION("""COMPUTED_VALUE"""),0.0)</f>
        <v>0</v>
      </c>
      <c r="AE30" s="10">
        <f>IFERROR(__xludf.DUMMYFUNCTION("""COMPUTED_VALUE"""),0.0)</f>
        <v>0</v>
      </c>
      <c r="AF30" s="10">
        <f>IFERROR(__xludf.DUMMYFUNCTION("""COMPUTED_VALUE"""),10.0)</f>
        <v>10</v>
      </c>
      <c r="AG30" s="10">
        <f>IFERROR(__xludf.DUMMYFUNCTION("""COMPUTED_VALUE"""),10.0)</f>
        <v>10</v>
      </c>
      <c r="AH30" s="10">
        <f>IFERROR(__xludf.DUMMYFUNCTION("""COMPUTED_VALUE"""),0.0)</f>
        <v>0</v>
      </c>
      <c r="AI30" s="10">
        <f>IFERROR(__xludf.DUMMYFUNCTION("""COMPUTED_VALUE"""),10.0)</f>
        <v>10</v>
      </c>
      <c r="AJ30" s="11" t="str">
        <f>IFERROR(__xludf.DUMMYFUNCTION("""COMPUTED_VALUE"""),"https://drive.google.com/open?id=1KXVwZxf4RcqwtG_KKLxPvtjk8ABjSXSV")</f>
        <v>https://drive.google.com/open?id=1KXVwZxf4RcqwtG_KKLxPvtjk8ABjSXSV</v>
      </c>
      <c r="AK30" s="12">
        <f>IFERROR(__xludf.DUMMYFUNCTION("""COMPUTED_VALUE"""),0.0)</f>
        <v>0</v>
      </c>
      <c r="AL30" s="12"/>
      <c r="AM30" s="12"/>
      <c r="AN30" s="12"/>
      <c r="AO30" s="13">
        <v>1.0</v>
      </c>
      <c r="AX30" s="13"/>
    </row>
    <row r="31">
      <c r="A31" s="8">
        <v>30.0</v>
      </c>
      <c r="B31" s="9">
        <f>IFERROR(__xludf.DUMMYFUNCTION("""COMPUTED_VALUE"""),45703.476963761575)</f>
        <v>45703.47696</v>
      </c>
      <c r="C31" s="10" t="str">
        <f>IFERROR(__xludf.DUMMYFUNCTION("""COMPUTED_VALUE"""),"Abdul Qayyum ")</f>
        <v>Abdul Qayyum </v>
      </c>
      <c r="D31" s="10" t="str">
        <f>IFERROR(__xludf.DUMMYFUNCTION("""COMPUTED_VALUE"""),"03257598827")</f>
        <v>03257598827</v>
      </c>
      <c r="E31" s="10" t="str">
        <f>IFERROR(__xludf.DUMMYFUNCTION("""COMPUTED_VALUE"""),"Jamia Masjid Takiya Puter Nagha ")</f>
        <v>Jamia Masjid Takiya Puter Nagha </v>
      </c>
      <c r="F31" s="10" t="str">
        <f>IFERROR(__xludf.DUMMYFUNCTION("""COMPUTED_VALUE"""),"ZTLCN")</f>
        <v>ZTLCN</v>
      </c>
      <c r="G31" s="10" t="str">
        <f>IFERROR(__xludf.DUMMYFUNCTION("""COMPUTED_VALUE"""),"No")</f>
        <v>No</v>
      </c>
      <c r="H31" s="10"/>
      <c r="I31" s="10"/>
      <c r="J31" s="10"/>
      <c r="K31" s="10">
        <f>IFERROR(__xludf.DUMMYFUNCTION("""COMPUTED_VALUE"""),0.0)</f>
        <v>0</v>
      </c>
      <c r="L31" s="10">
        <f>IFERROR(__xludf.DUMMYFUNCTION("""COMPUTED_VALUE"""),0.0)</f>
        <v>0</v>
      </c>
      <c r="M31" s="10">
        <f>IFERROR(__xludf.DUMMYFUNCTION("""COMPUTED_VALUE"""),0.0)</f>
        <v>0</v>
      </c>
      <c r="N31" s="10">
        <f>IFERROR(__xludf.DUMMYFUNCTION("""COMPUTED_VALUE"""),0.0)</f>
        <v>0</v>
      </c>
      <c r="O31" s="10">
        <f>IFERROR(__xludf.DUMMYFUNCTION("""COMPUTED_VALUE"""),0.0)</f>
        <v>0</v>
      </c>
      <c r="P31" s="10">
        <f>IFERROR(__xludf.DUMMYFUNCTION("""COMPUTED_VALUE"""),0.0)</f>
        <v>0</v>
      </c>
      <c r="Q31" s="10" t="str">
        <f>IFERROR(__xludf.DUMMYFUNCTION("""COMPUTED_VALUE"""),"No")</f>
        <v>No</v>
      </c>
      <c r="R31" s="10" t="str">
        <f>IFERROR(__xludf.DUMMYFUNCTION("""COMPUTED_VALUE"""),"No")</f>
        <v>No</v>
      </c>
      <c r="S31" s="10" t="str">
        <f>IFERROR(__xludf.DUMMYFUNCTION("""COMPUTED_VALUE"""),"No")</f>
        <v>No</v>
      </c>
      <c r="T31" s="10">
        <f>IFERROR(__xludf.DUMMYFUNCTION("""COMPUTED_VALUE"""),0.0)</f>
        <v>0</v>
      </c>
      <c r="U31" s="10">
        <f>IFERROR(__xludf.DUMMYFUNCTION("""COMPUTED_VALUE"""),0.0)</f>
        <v>0</v>
      </c>
      <c r="V31" s="10" t="str">
        <f>IFERROR(__xludf.DUMMYFUNCTION("""COMPUTED_VALUE"""),"Mah-e-Shaban ki Fazilat ")</f>
        <v>Mah-e-Shaban ki Fazilat </v>
      </c>
      <c r="W31" s="10" t="str">
        <f>IFERROR(__xludf.DUMMYFUNCTION("""COMPUTED_VALUE"""),"Mah-e-Shaban ki Fazilat 
Mah-e-Shaban ky Rozon ka sawab")</f>
        <v>Mah-e-Shaban ki Fazilat 
Mah-e-Shaban ky Rozon ka sawab</v>
      </c>
      <c r="X31" s="10">
        <f>IFERROR(__xludf.DUMMYFUNCTION("""COMPUTED_VALUE"""),2.0)</f>
        <v>2</v>
      </c>
      <c r="Y31" s="10">
        <f>IFERROR(__xludf.DUMMYFUNCTION("""COMPUTED_VALUE"""),0.0)</f>
        <v>0</v>
      </c>
      <c r="Z31" s="10">
        <f>IFERROR(__xludf.DUMMYFUNCTION("""COMPUTED_VALUE"""),0.0)</f>
        <v>0</v>
      </c>
      <c r="AA31" s="10">
        <f>IFERROR(__xludf.DUMMYFUNCTION("""COMPUTED_VALUE"""),5.0)</f>
        <v>5</v>
      </c>
      <c r="AB31" s="10">
        <f>IFERROR(__xludf.DUMMYFUNCTION("""COMPUTED_VALUE"""),3.0)</f>
        <v>3</v>
      </c>
      <c r="AC31" s="10">
        <f>IFERROR(__xludf.DUMMYFUNCTION("""COMPUTED_VALUE"""),0.0)</f>
        <v>0</v>
      </c>
      <c r="AD31" s="10">
        <f>IFERROR(__xludf.DUMMYFUNCTION("""COMPUTED_VALUE"""),0.0)</f>
        <v>0</v>
      </c>
      <c r="AE31" s="10">
        <f>IFERROR(__xludf.DUMMYFUNCTION("""COMPUTED_VALUE"""),0.0)</f>
        <v>0</v>
      </c>
      <c r="AF31" s="10">
        <f>IFERROR(__xludf.DUMMYFUNCTION("""COMPUTED_VALUE"""),0.0)</f>
        <v>0</v>
      </c>
      <c r="AG31" s="10">
        <f>IFERROR(__xludf.DUMMYFUNCTION("""COMPUTED_VALUE"""),7.0)</f>
        <v>7</v>
      </c>
      <c r="AH31" s="10">
        <f>IFERROR(__xludf.DUMMYFUNCTION("""COMPUTED_VALUE"""),0.0)</f>
        <v>0</v>
      </c>
      <c r="AI31" s="10">
        <f>IFERROR(__xludf.DUMMYFUNCTION("""COMPUTED_VALUE"""),8.0)</f>
        <v>8</v>
      </c>
      <c r="AJ31" s="11" t="str">
        <f>IFERROR(__xludf.DUMMYFUNCTION("""COMPUTED_VALUE"""),"https://drive.google.com/open?id=1Romwhq8HLuRSj9icXjiwETkTmx02cf_9")</f>
        <v>https://drive.google.com/open?id=1Romwhq8HLuRSj9icXjiwETkTmx02cf_9</v>
      </c>
      <c r="AK31" s="12" t="str">
        <f>IFERROR(__xludf.DUMMYFUNCTION("""COMPUTED_VALUE"""),"No")</f>
        <v>No</v>
      </c>
      <c r="AL31" s="12"/>
      <c r="AM31" s="12"/>
      <c r="AN31" s="12"/>
      <c r="AO31" s="13">
        <v>3.0</v>
      </c>
      <c r="AX31" s="13"/>
    </row>
    <row r="32">
      <c r="A32" s="8">
        <v>31.0</v>
      </c>
      <c r="B32" s="9">
        <f>IFERROR(__xludf.DUMMYFUNCTION("""COMPUTED_VALUE"""),45703.98956056713)</f>
        <v>45703.98956</v>
      </c>
      <c r="C32" s="10" t="str">
        <f>IFERROR(__xludf.DUMMYFUNCTION("""COMPUTED_VALUE"""),"Adnan Ali ")</f>
        <v>Adnan Ali </v>
      </c>
      <c r="D32" s="10" t="str">
        <f>IFERROR(__xludf.DUMMYFUNCTION("""COMPUTED_VALUE"""),"03054045395")</f>
        <v>03054045395</v>
      </c>
      <c r="E32" s="10" t="str">
        <f>IFERROR(__xludf.DUMMYFUNCTION("""COMPUTED_VALUE"""),"Jamia Masjid Barkat bibi 3rd sermon")</f>
        <v>Jamia Masjid Barkat bibi 3rd sermon</v>
      </c>
      <c r="F32" s="10" t="str">
        <f>IFERROR(__xludf.DUMMYFUNCTION("""COMPUTED_VALUE"""),"HSWIF")</f>
        <v>HSWIF</v>
      </c>
      <c r="G32" s="10" t="str">
        <f>IFERROR(__xludf.DUMMYFUNCTION("""COMPUTED_VALUE"""),"No")</f>
        <v>No</v>
      </c>
      <c r="H32" s="10"/>
      <c r="I32" s="10"/>
      <c r="J32" s="10"/>
      <c r="K32" s="10">
        <f>IFERROR(__xludf.DUMMYFUNCTION("""COMPUTED_VALUE"""),0.0)</f>
        <v>0</v>
      </c>
      <c r="L32" s="10">
        <f>IFERROR(__xludf.DUMMYFUNCTION("""COMPUTED_VALUE"""),0.0)</f>
        <v>0</v>
      </c>
      <c r="M32" s="10">
        <f>IFERROR(__xludf.DUMMYFUNCTION("""COMPUTED_VALUE"""),0.0)</f>
        <v>0</v>
      </c>
      <c r="N32" s="10">
        <f>IFERROR(__xludf.DUMMYFUNCTION("""COMPUTED_VALUE"""),0.0)</f>
        <v>0</v>
      </c>
      <c r="O32" s="10">
        <f>IFERROR(__xludf.DUMMYFUNCTION("""COMPUTED_VALUE"""),0.0)</f>
        <v>0</v>
      </c>
      <c r="P32" s="10">
        <f>IFERROR(__xludf.DUMMYFUNCTION("""COMPUTED_VALUE"""),0.0)</f>
        <v>0</v>
      </c>
      <c r="Q32" s="10" t="str">
        <f>IFERROR(__xludf.DUMMYFUNCTION("""COMPUTED_VALUE"""),"No")</f>
        <v>No</v>
      </c>
      <c r="R32" s="10" t="str">
        <f>IFERROR(__xludf.DUMMYFUNCTION("""COMPUTED_VALUE"""),"No")</f>
        <v>No</v>
      </c>
      <c r="S32" s="10" t="str">
        <f>IFERROR(__xludf.DUMMYFUNCTION("""COMPUTED_VALUE"""),"No")</f>
        <v>No</v>
      </c>
      <c r="T32" s="10">
        <f>IFERROR(__xludf.DUMMYFUNCTION("""COMPUTED_VALUE"""),0.0)</f>
        <v>0</v>
      </c>
      <c r="U32" s="10">
        <f>IFERROR(__xludf.DUMMYFUNCTION("""COMPUTED_VALUE"""),0.0)</f>
        <v>0</v>
      </c>
      <c r="V32" s="10" t="str">
        <f>IFERROR(__xludf.DUMMYFUNCTION("""COMPUTED_VALUE"""),"Namaz ka masail")</f>
        <v>Namaz ka masail</v>
      </c>
      <c r="W32" s="10" t="str">
        <f>IFERROR(__xludf.DUMMYFUNCTION("""COMPUTED_VALUE"""),"نماز میں خشوع کا مطلب ہے دل کی حاضری، عاجزی اور مکمل توجہ کے ساتھ اللہ کے حضور کھڑا ہونا۔ خشوع کے بغیر نماز روح سے خالی ہو جاتی ہے اور اس کی تاثیر کم ہو جاتی ہے۔")</f>
        <v>نماز میں خشوع کا مطلب ہے دل کی حاضری، عاجزی اور مکمل توجہ کے ساتھ اللہ کے حضور کھڑا ہونا۔ خشوع کے بغیر نماز روح سے خالی ہو جاتی ہے اور اس کی تاثیر کم ہو جاتی ہے۔</v>
      </c>
      <c r="X32" s="10">
        <f>IFERROR(__xludf.DUMMYFUNCTION("""COMPUTED_VALUE"""),6.0)</f>
        <v>6</v>
      </c>
      <c r="Y32" s="10">
        <f>IFERROR(__xludf.DUMMYFUNCTION("""COMPUTED_VALUE"""),1.0)</f>
        <v>1</v>
      </c>
      <c r="Z32" s="10">
        <f>IFERROR(__xludf.DUMMYFUNCTION("""COMPUTED_VALUE"""),3.0)</f>
        <v>3</v>
      </c>
      <c r="AA32" s="10">
        <f>IFERROR(__xludf.DUMMYFUNCTION("""COMPUTED_VALUE"""),1.0)</f>
        <v>1</v>
      </c>
      <c r="AB32" s="10">
        <f>IFERROR(__xludf.DUMMYFUNCTION("""COMPUTED_VALUE"""),0.0)</f>
        <v>0</v>
      </c>
      <c r="AC32" s="10">
        <f>IFERROR(__xludf.DUMMYFUNCTION("""COMPUTED_VALUE"""),0.0)</f>
        <v>0</v>
      </c>
      <c r="AD32" s="10">
        <f>IFERROR(__xludf.DUMMYFUNCTION("""COMPUTED_VALUE"""),0.0)</f>
        <v>0</v>
      </c>
      <c r="AE32" s="10">
        <f>IFERROR(__xludf.DUMMYFUNCTION("""COMPUTED_VALUE"""),0.0)</f>
        <v>0</v>
      </c>
      <c r="AF32" s="10">
        <f>IFERROR(__xludf.DUMMYFUNCTION("""COMPUTED_VALUE"""),8.0)</f>
        <v>8</v>
      </c>
      <c r="AG32" s="10">
        <f>IFERROR(__xludf.DUMMYFUNCTION("""COMPUTED_VALUE"""),7.0)</f>
        <v>7</v>
      </c>
      <c r="AH32" s="10">
        <f>IFERROR(__xludf.DUMMYFUNCTION("""COMPUTED_VALUE"""),0.0)</f>
        <v>0</v>
      </c>
      <c r="AI32" s="10">
        <f>IFERROR(__xludf.DUMMYFUNCTION("""COMPUTED_VALUE"""),8.0)</f>
        <v>8</v>
      </c>
      <c r="AJ32" s="11" t="str">
        <f>IFERROR(__xludf.DUMMYFUNCTION("""COMPUTED_VALUE"""),"https://drive.google.com/open?id=1abeb3M3Hbxrveh_qXsT_goMdrVc921Ce")</f>
        <v>https://drive.google.com/open?id=1abeb3M3Hbxrveh_qXsT_goMdrVc921Ce</v>
      </c>
      <c r="AK32" s="12"/>
      <c r="AL32" s="12"/>
      <c r="AM32" s="12"/>
      <c r="AN32" s="12"/>
      <c r="AO32" s="13">
        <v>3.0</v>
      </c>
      <c r="AX32" s="13"/>
    </row>
    <row r="33">
      <c r="A33" s="8">
        <v>32.0</v>
      </c>
      <c r="B33" s="9">
        <f>IFERROR(__xludf.DUMMYFUNCTION("""COMPUTED_VALUE"""),45704.08139258102)</f>
        <v>45704.08139</v>
      </c>
      <c r="C33" s="10" t="str">
        <f>IFERROR(__xludf.DUMMYFUNCTION("""COMPUTED_VALUE"""),"shakeela rafique")</f>
        <v>shakeela rafique</v>
      </c>
      <c r="D33" s="10" t="str">
        <f>IFERROR(__xludf.DUMMYFUNCTION("""COMPUTED_VALUE"""),"03359485820")</f>
        <v>03359485820</v>
      </c>
      <c r="E33" s="10" t="str">
        <f>IFERROR(__xludf.DUMMYFUNCTION("""COMPUTED_VALUE"""),"Jamia Majis Nevein Bhati Gate Lahore Sermon 1")</f>
        <v>Jamia Majis Nevein Bhati Gate Lahore Sermon 1</v>
      </c>
      <c r="F33" s="10" t="str">
        <f>IFERROR(__xludf.DUMMYFUNCTION("""COMPUTED_VALUE"""),"kkrvm")</f>
        <v>kkrvm</v>
      </c>
      <c r="G33" s="10" t="str">
        <f>IFERROR(__xludf.DUMMYFUNCTION("""COMPUTED_VALUE"""),"No")</f>
        <v>No</v>
      </c>
      <c r="H33" s="10"/>
      <c r="I33" s="10"/>
      <c r="J33" s="10"/>
      <c r="K33" s="10">
        <f>IFERROR(__xludf.DUMMYFUNCTION("""COMPUTED_VALUE"""),0.0)</f>
        <v>0</v>
      </c>
      <c r="L33" s="10">
        <f>IFERROR(__xludf.DUMMYFUNCTION("""COMPUTED_VALUE"""),5.0)</f>
        <v>5</v>
      </c>
      <c r="M33" s="10">
        <f>IFERROR(__xludf.DUMMYFUNCTION("""COMPUTED_VALUE"""),0.0)</f>
        <v>0</v>
      </c>
      <c r="N33" s="10">
        <f>IFERROR(__xludf.DUMMYFUNCTION("""COMPUTED_VALUE"""),5.0)</f>
        <v>5</v>
      </c>
      <c r="O33" s="10">
        <f>IFERROR(__xludf.DUMMYFUNCTION("""COMPUTED_VALUE"""),0.0)</f>
        <v>0</v>
      </c>
      <c r="P33" s="10">
        <f>IFERROR(__xludf.DUMMYFUNCTION("""COMPUTED_VALUE"""),1.0)</f>
        <v>1</v>
      </c>
      <c r="Q33" s="10" t="str">
        <f>IFERROR(__xludf.DUMMYFUNCTION("""COMPUTED_VALUE"""),"No")</f>
        <v>No</v>
      </c>
      <c r="R33" s="10" t="str">
        <f>IFERROR(__xludf.DUMMYFUNCTION("""COMPUTED_VALUE"""),"No")</f>
        <v>No</v>
      </c>
      <c r="S33" s="10" t="str">
        <f>IFERROR(__xludf.DUMMYFUNCTION("""COMPUTED_VALUE"""),"No")</f>
        <v>No</v>
      </c>
      <c r="T33" s="10">
        <f>IFERROR(__xludf.DUMMYFUNCTION("""COMPUTED_VALUE"""),0.0)</f>
        <v>0</v>
      </c>
      <c r="U33" s="10">
        <f>IFERROR(__xludf.DUMMYFUNCTION("""COMPUTED_VALUE"""),4.0)</f>
        <v>4</v>
      </c>
      <c r="V33" s="10" t="str">
        <f>IFERROR(__xludf.DUMMYFUNCTION("""COMPUTED_VALUE"""),"Waqia Meeraj aur padosion k haqooq")</f>
        <v>Waqia Meeraj aur padosion k haqooq</v>
      </c>
      <c r="W33" s="10" t="str">
        <f>IFERROR(__xludf.DUMMYFUNCTION("""COMPUTED_VALUE"""),"padsion k haqooq aur waqia meraj pa bt ki")</f>
        <v>padsion k haqooq aur waqia meraj pa bt ki</v>
      </c>
      <c r="X33" s="10">
        <f>IFERROR(__xludf.DUMMYFUNCTION("""COMPUTED_VALUE"""),2.0)</f>
        <v>2</v>
      </c>
      <c r="Y33" s="10">
        <f>IFERROR(__xludf.DUMMYFUNCTION("""COMPUTED_VALUE"""),0.0)</f>
        <v>0</v>
      </c>
      <c r="Z33" s="10">
        <f>IFERROR(__xludf.DUMMYFUNCTION("""COMPUTED_VALUE"""),0.0)</f>
        <v>0</v>
      </c>
      <c r="AA33" s="10">
        <f>IFERROR(__xludf.DUMMYFUNCTION("""COMPUTED_VALUE"""),0.0)</f>
        <v>0</v>
      </c>
      <c r="AB33" s="10">
        <f>IFERROR(__xludf.DUMMYFUNCTION("""COMPUTED_VALUE"""),3.0)</f>
        <v>3</v>
      </c>
      <c r="AC33" s="10">
        <f>IFERROR(__xludf.DUMMYFUNCTION("""COMPUTED_VALUE"""),0.0)</f>
        <v>0</v>
      </c>
      <c r="AD33" s="10">
        <f>IFERROR(__xludf.DUMMYFUNCTION("""COMPUTED_VALUE"""),1.0)</f>
        <v>1</v>
      </c>
      <c r="AE33" s="10">
        <f>IFERROR(__xludf.DUMMYFUNCTION("""COMPUTED_VALUE"""),0.0)</f>
        <v>0</v>
      </c>
      <c r="AF33" s="10">
        <f>IFERROR(__xludf.DUMMYFUNCTION("""COMPUTED_VALUE"""),0.0)</f>
        <v>0</v>
      </c>
      <c r="AG33" s="10">
        <f>IFERROR(__xludf.DUMMYFUNCTION("""COMPUTED_VALUE"""),4.0)</f>
        <v>4</v>
      </c>
      <c r="AH33" s="10">
        <f>IFERROR(__xludf.DUMMYFUNCTION("""COMPUTED_VALUE"""),0.0)</f>
        <v>0</v>
      </c>
      <c r="AI33" s="10">
        <f>IFERROR(__xludf.DUMMYFUNCTION("""COMPUTED_VALUE"""),5.0)</f>
        <v>5</v>
      </c>
      <c r="AJ33" s="11" t="str">
        <f>IFERROR(__xludf.DUMMYFUNCTION("""COMPUTED_VALUE"""),"https://drive.google.com/open?id=1pwTTh8nYh-5XgO4SoBQ1W5nOK4oz4PuO")</f>
        <v>https://drive.google.com/open?id=1pwTTh8nYh-5XgO4SoBQ1W5nOK4oz4PuO</v>
      </c>
      <c r="AK33" s="12"/>
      <c r="AL33" s="12"/>
      <c r="AM33" s="12"/>
      <c r="AN33" s="12"/>
      <c r="AO33" s="13">
        <v>1.0</v>
      </c>
      <c r="AX33" s="13"/>
    </row>
    <row r="34">
      <c r="A34" s="8">
        <v>33.0</v>
      </c>
      <c r="B34" s="9">
        <f>IFERROR(__xludf.DUMMYFUNCTION("""COMPUTED_VALUE"""),45704.08431586805)</f>
        <v>45704.08432</v>
      </c>
      <c r="C34" s="10" t="str">
        <f>IFERROR(__xludf.DUMMYFUNCTION("""COMPUTED_VALUE"""),"Shakeela Rafique")</f>
        <v>Shakeela Rafique</v>
      </c>
      <c r="D34" s="10" t="str">
        <f>IFERROR(__xludf.DUMMYFUNCTION("""COMPUTED_VALUE"""),"03359485820")</f>
        <v>03359485820</v>
      </c>
      <c r="E34" s="10" t="str">
        <f>IFERROR(__xludf.DUMMYFUNCTION("""COMPUTED_VALUE"""),"sermon  1Jamia Masjid Hanfiya Ghosia Shoe Market Lahore")</f>
        <v>sermon  1Jamia Masjid Hanfiya Ghosia Shoe Market Lahore</v>
      </c>
      <c r="F34" s="10" t="str">
        <f>IFERROR(__xludf.DUMMYFUNCTION("""COMPUTED_VALUE"""),"vxoxs")</f>
        <v>vxoxs</v>
      </c>
      <c r="G34" s="10" t="str">
        <f>IFERROR(__xludf.DUMMYFUNCTION("""COMPUTED_VALUE"""),"No")</f>
        <v>No</v>
      </c>
      <c r="H34" s="10"/>
      <c r="I34" s="10"/>
      <c r="J34" s="10"/>
      <c r="K34" s="10">
        <f>IFERROR(__xludf.DUMMYFUNCTION("""COMPUTED_VALUE"""),10.0)</f>
        <v>10</v>
      </c>
      <c r="L34" s="10">
        <f>IFERROR(__xludf.DUMMYFUNCTION("""COMPUTED_VALUE"""),0.0)</f>
        <v>0</v>
      </c>
      <c r="M34" s="10">
        <f>IFERROR(__xludf.DUMMYFUNCTION("""COMPUTED_VALUE"""),10.0)</f>
        <v>10</v>
      </c>
      <c r="N34" s="10">
        <f>IFERROR(__xludf.DUMMYFUNCTION("""COMPUTED_VALUE"""),0.0)</f>
        <v>0</v>
      </c>
      <c r="O34" s="10">
        <f>IFERROR(__xludf.DUMMYFUNCTION("""COMPUTED_VALUE"""),8.0)</f>
        <v>8</v>
      </c>
      <c r="P34" s="10">
        <f>IFERROR(__xludf.DUMMYFUNCTION("""COMPUTED_VALUE"""),1.0)</f>
        <v>1</v>
      </c>
      <c r="Q34" s="10" t="str">
        <f>IFERROR(__xludf.DUMMYFUNCTION("""COMPUTED_VALUE"""),"Yes")</f>
        <v>Yes</v>
      </c>
      <c r="R34" s="10" t="str">
        <f>IFERROR(__xludf.DUMMYFUNCTION("""COMPUTED_VALUE"""),"No")</f>
        <v>No</v>
      </c>
      <c r="S34" s="10" t="str">
        <f>IFERROR(__xludf.DUMMYFUNCTION("""COMPUTED_VALUE"""),"No")</f>
        <v>No</v>
      </c>
      <c r="T34" s="10">
        <f>IFERROR(__xludf.DUMMYFUNCTION("""COMPUTED_VALUE"""),6.0)</f>
        <v>6</v>
      </c>
      <c r="U34" s="10">
        <f>IFERROR(__xludf.DUMMYFUNCTION("""COMPUTED_VALUE"""),0.0)</f>
        <v>0</v>
      </c>
      <c r="V34" s="10" t="str">
        <f>IFERROR(__xludf.DUMMYFUNCTION("""COMPUTED_VALUE"""),"khawateen k haqooq")</f>
        <v>khawateen k haqooq</v>
      </c>
      <c r="W34" s="10" t="str">
        <f>IFERROR(__xludf.DUMMYFUNCTION("""COMPUTED_VALUE"""),"khawateen ka islam k mutabiq haq")</f>
        <v>khawateen ka islam k mutabiq haq</v>
      </c>
      <c r="X34" s="10">
        <f>IFERROR(__xludf.DUMMYFUNCTION("""COMPUTED_VALUE"""),0.0)</f>
        <v>0</v>
      </c>
      <c r="Y34" s="10">
        <f>IFERROR(__xludf.DUMMYFUNCTION("""COMPUTED_VALUE"""),2.0)</f>
        <v>2</v>
      </c>
      <c r="Z34" s="10">
        <f>IFERROR(__xludf.DUMMYFUNCTION("""COMPUTED_VALUE"""),0.0)</f>
        <v>0</v>
      </c>
      <c r="AA34" s="10">
        <f>IFERROR(__xludf.DUMMYFUNCTION("""COMPUTED_VALUE"""),2.0)</f>
        <v>2</v>
      </c>
      <c r="AB34" s="10">
        <f>IFERROR(__xludf.DUMMYFUNCTION("""COMPUTED_VALUE"""),0.0)</f>
        <v>0</v>
      </c>
      <c r="AC34" s="10">
        <f>IFERROR(__xludf.DUMMYFUNCTION("""COMPUTED_VALUE"""),0.0)</f>
        <v>0</v>
      </c>
      <c r="AD34" s="10">
        <f>IFERROR(__xludf.DUMMYFUNCTION("""COMPUTED_VALUE"""),0.0)</f>
        <v>0</v>
      </c>
      <c r="AE34" s="10">
        <f>IFERROR(__xludf.DUMMYFUNCTION("""COMPUTED_VALUE"""),0.0)</f>
        <v>0</v>
      </c>
      <c r="AF34" s="10">
        <f>IFERROR(__xludf.DUMMYFUNCTION("""COMPUTED_VALUE"""),0.0)</f>
        <v>0</v>
      </c>
      <c r="AG34" s="10">
        <f>IFERROR(__xludf.DUMMYFUNCTION("""COMPUTED_VALUE"""),5.0)</f>
        <v>5</v>
      </c>
      <c r="AH34" s="10">
        <f>IFERROR(__xludf.DUMMYFUNCTION("""COMPUTED_VALUE"""),0.0)</f>
        <v>0</v>
      </c>
      <c r="AI34" s="10">
        <f>IFERROR(__xludf.DUMMYFUNCTION("""COMPUTED_VALUE"""),5.0)</f>
        <v>5</v>
      </c>
      <c r="AJ34" s="11" t="str">
        <f>IFERROR(__xludf.DUMMYFUNCTION("""COMPUTED_VALUE"""),"https://drive.google.com/open?id=1aNeNESWGqR_XVbIwMjcoKOi-A6m8AzYe")</f>
        <v>https://drive.google.com/open?id=1aNeNESWGqR_XVbIwMjcoKOi-A6m8AzYe</v>
      </c>
      <c r="AK34" s="12"/>
      <c r="AL34" s="12"/>
      <c r="AM34" s="12"/>
      <c r="AN34" s="12"/>
      <c r="AO34" s="13">
        <v>1.0</v>
      </c>
      <c r="AX34" s="13"/>
    </row>
    <row r="35">
      <c r="A35" s="8">
        <v>34.0</v>
      </c>
      <c r="B35" s="9">
        <f>IFERROR(__xludf.DUMMYFUNCTION("""COMPUTED_VALUE"""),45704.15277340278)</f>
        <v>45704.15277</v>
      </c>
      <c r="C35" s="10" t="str">
        <f>IFERROR(__xludf.DUMMYFUNCTION("""COMPUTED_VALUE"""),"Shakeela ")</f>
        <v>Shakeela </v>
      </c>
      <c r="D35" s="10" t="str">
        <f>IFERROR(__xludf.DUMMYFUNCTION("""COMPUTED_VALUE"""),"03359485820")</f>
        <v>03359485820</v>
      </c>
      <c r="E35" s="10" t="str">
        <f>IFERROR(__xludf.DUMMYFUNCTION("""COMPUTED_VALUE"""),"Jamia Masjid Unchee Laal Kuh Mochi Darwaza Lahore")</f>
        <v>Jamia Masjid Unchee Laal Kuh Mochi Darwaza Lahore</v>
      </c>
      <c r="F35" s="10" t="str">
        <f>IFERROR(__xludf.DUMMYFUNCTION("""COMPUTED_VALUE"""),"hhhnd")</f>
        <v>hhhnd</v>
      </c>
      <c r="G35" s="10" t="str">
        <f>IFERROR(__xludf.DUMMYFUNCTION("""COMPUTED_VALUE"""),"No")</f>
        <v>No</v>
      </c>
      <c r="H35" s="10"/>
      <c r="I35" s="10"/>
      <c r="J35" s="10"/>
      <c r="K35" s="10">
        <f>IFERROR(__xludf.DUMMYFUNCTION("""COMPUTED_VALUE"""),10.0)</f>
        <v>10</v>
      </c>
      <c r="L35" s="10">
        <f>IFERROR(__xludf.DUMMYFUNCTION("""COMPUTED_VALUE"""),0.0)</f>
        <v>0</v>
      </c>
      <c r="M35" s="10">
        <f>IFERROR(__xludf.DUMMYFUNCTION("""COMPUTED_VALUE"""),8.0)</f>
        <v>8</v>
      </c>
      <c r="N35" s="10">
        <f>IFERROR(__xludf.DUMMYFUNCTION("""COMPUTED_VALUE"""),0.0)</f>
        <v>0</v>
      </c>
      <c r="O35" s="10">
        <f>IFERROR(__xludf.DUMMYFUNCTION("""COMPUTED_VALUE"""),5.0)</f>
        <v>5</v>
      </c>
      <c r="P35" s="10">
        <f>IFERROR(__xludf.DUMMYFUNCTION("""COMPUTED_VALUE"""),0.0)</f>
        <v>0</v>
      </c>
      <c r="Q35" s="10" t="str">
        <f>IFERROR(__xludf.DUMMYFUNCTION("""COMPUTED_VALUE"""),"Yes")</f>
        <v>Yes</v>
      </c>
      <c r="R35" s="10" t="str">
        <f>IFERROR(__xludf.DUMMYFUNCTION("""COMPUTED_VALUE"""),"No")</f>
        <v>No</v>
      </c>
      <c r="S35" s="10" t="str">
        <f>IFERROR(__xludf.DUMMYFUNCTION("""COMPUTED_VALUE"""),"No")</f>
        <v>No</v>
      </c>
      <c r="T35" s="10">
        <f>IFERROR(__xludf.DUMMYFUNCTION("""COMPUTED_VALUE"""),7.0)</f>
        <v>7</v>
      </c>
      <c r="U35" s="10">
        <f>IFERROR(__xludf.DUMMYFUNCTION("""COMPUTED_VALUE"""),0.0)</f>
        <v>0</v>
      </c>
      <c r="V35" s="10" t="str">
        <f>IFERROR(__xludf.DUMMYFUNCTION("""COMPUTED_VALUE"""),"aurton k haqooq")</f>
        <v>aurton k haqooq</v>
      </c>
      <c r="W35" s="10" t="str">
        <f>IFERROR(__xludf.DUMMYFUNCTION("""COMPUTED_VALUE"""),"rabi ul awal aur aurton k haqooq")</f>
        <v>rabi ul awal aur aurton k haqooq</v>
      </c>
      <c r="X35" s="10">
        <f>IFERROR(__xludf.DUMMYFUNCTION("""COMPUTED_VALUE"""),1.0)</f>
        <v>1</v>
      </c>
      <c r="Y35" s="10">
        <f>IFERROR(__xludf.DUMMYFUNCTION("""COMPUTED_VALUE"""),2.0)</f>
        <v>2</v>
      </c>
      <c r="Z35" s="10">
        <f>IFERROR(__xludf.DUMMYFUNCTION("""COMPUTED_VALUE"""),0.0)</f>
        <v>0</v>
      </c>
      <c r="AA35" s="10">
        <f>IFERROR(__xludf.DUMMYFUNCTION("""COMPUTED_VALUE"""),2.0)</f>
        <v>2</v>
      </c>
      <c r="AB35" s="10">
        <f>IFERROR(__xludf.DUMMYFUNCTION("""COMPUTED_VALUE"""),0.0)</f>
        <v>0</v>
      </c>
      <c r="AC35" s="10">
        <f>IFERROR(__xludf.DUMMYFUNCTION("""COMPUTED_VALUE"""),0.0)</f>
        <v>0</v>
      </c>
      <c r="AD35" s="10">
        <f>IFERROR(__xludf.DUMMYFUNCTION("""COMPUTED_VALUE"""),1.0)</f>
        <v>1</v>
      </c>
      <c r="AE35" s="10">
        <f>IFERROR(__xludf.DUMMYFUNCTION("""COMPUTED_VALUE"""),0.0)</f>
        <v>0</v>
      </c>
      <c r="AF35" s="10">
        <f>IFERROR(__xludf.DUMMYFUNCTION("""COMPUTED_VALUE"""),4.0)</f>
        <v>4</v>
      </c>
      <c r="AG35" s="10">
        <f>IFERROR(__xludf.DUMMYFUNCTION("""COMPUTED_VALUE"""),6.0)</f>
        <v>6</v>
      </c>
      <c r="AH35" s="10">
        <f>IFERROR(__xludf.DUMMYFUNCTION("""COMPUTED_VALUE"""),0.0)</f>
        <v>0</v>
      </c>
      <c r="AI35" s="10">
        <f>IFERROR(__xludf.DUMMYFUNCTION("""COMPUTED_VALUE"""),7.0)</f>
        <v>7</v>
      </c>
      <c r="AJ35" s="11" t="str">
        <f>IFERROR(__xludf.DUMMYFUNCTION("""COMPUTED_VALUE"""),"https://drive.google.com/open?id=1hkFJo8MMqmu6zrFJylALE9U7VuNt6agj")</f>
        <v>https://drive.google.com/open?id=1hkFJo8MMqmu6zrFJylALE9U7VuNt6agj</v>
      </c>
      <c r="AK35" s="12"/>
      <c r="AL35" s="12"/>
      <c r="AM35" s="12"/>
      <c r="AN35" s="12"/>
      <c r="AO35" s="13">
        <v>1.0</v>
      </c>
      <c r="AX35" s="13"/>
    </row>
    <row r="36">
      <c r="A36" s="8">
        <v>35.0</v>
      </c>
      <c r="B36" s="9">
        <f>IFERROR(__xludf.DUMMYFUNCTION("""COMPUTED_VALUE"""),45704.18179939815)</f>
        <v>45704.1818</v>
      </c>
      <c r="C36" s="10" t="str">
        <f>IFERROR(__xludf.DUMMYFUNCTION("""COMPUTED_VALUE"""),"Muhammad Tahir ")</f>
        <v>Muhammad Tahir </v>
      </c>
      <c r="D36" s="10" t="str">
        <f>IFERROR(__xludf.DUMMYFUNCTION("""COMPUTED_VALUE"""),"0315-4165034 ")</f>
        <v>0315-4165034 </v>
      </c>
      <c r="E36" s="10" t="str">
        <f>IFERROR(__xludf.DUMMYFUNCTION("""COMPUTED_VALUE"""),"Khulfa Rashidin Rang Mahal ")</f>
        <v>Khulfa Rashidin Rang Mahal </v>
      </c>
      <c r="F36" s="10" t="str">
        <f>IFERROR(__xludf.DUMMYFUNCTION("""COMPUTED_VALUE"""),"QKVVJ")</f>
        <v>QKVVJ</v>
      </c>
      <c r="G36" s="10" t="str">
        <f>IFERROR(__xludf.DUMMYFUNCTION("""COMPUTED_VALUE"""),"No")</f>
        <v>No</v>
      </c>
      <c r="H36" s="10"/>
      <c r="I36" s="10"/>
      <c r="J36" s="10"/>
      <c r="K36" s="10">
        <f>IFERROR(__xludf.DUMMYFUNCTION("""COMPUTED_VALUE"""),5.0)</f>
        <v>5</v>
      </c>
      <c r="L36" s="10">
        <f>IFERROR(__xludf.DUMMYFUNCTION("""COMPUTED_VALUE"""),5.0)</f>
        <v>5</v>
      </c>
      <c r="M36" s="10">
        <f>IFERROR(__xludf.DUMMYFUNCTION("""COMPUTED_VALUE"""),10.0)</f>
        <v>10</v>
      </c>
      <c r="N36" s="10">
        <f>IFERROR(__xludf.DUMMYFUNCTION("""COMPUTED_VALUE"""),10.0)</f>
        <v>10</v>
      </c>
      <c r="O36" s="10">
        <f>IFERROR(__xludf.DUMMYFUNCTION("""COMPUTED_VALUE"""),5.0)</f>
        <v>5</v>
      </c>
      <c r="P36" s="10">
        <f>IFERROR(__xludf.DUMMYFUNCTION("""COMPUTED_VALUE"""),5.0)</f>
        <v>5</v>
      </c>
      <c r="Q36" s="10" t="str">
        <f>IFERROR(__xludf.DUMMYFUNCTION("""COMPUTED_VALUE"""),"Yes")</f>
        <v>Yes</v>
      </c>
      <c r="R36" s="10" t="str">
        <f>IFERROR(__xludf.DUMMYFUNCTION("""COMPUTED_VALUE"""),"No")</f>
        <v>No</v>
      </c>
      <c r="S36" s="10" t="str">
        <f>IFERROR(__xludf.DUMMYFUNCTION("""COMPUTED_VALUE"""),"No")</f>
        <v>No</v>
      </c>
      <c r="T36" s="10">
        <f>IFERROR(__xludf.DUMMYFUNCTION("""COMPUTED_VALUE"""),0.0)</f>
        <v>0</v>
      </c>
      <c r="U36" s="10">
        <f>IFERROR(__xludf.DUMMYFUNCTION("""COMPUTED_VALUE"""),0.0)</f>
        <v>0</v>
      </c>
      <c r="V36" s="10" t="str">
        <f>IFERROR(__xludf.DUMMYFUNCTION("""COMPUTED_VALUE"""),"Shaban k fazail or Rights of women ")</f>
        <v>Shaban k fazail or Rights of women </v>
      </c>
      <c r="W36" s="10" t="str">
        <f>IFERROR(__xludf.DUMMYFUNCTION("""COMPUTED_VALUE"""),"Shaban a holy month and islam emphasis on the rights of women ")</f>
        <v>Shaban a holy month and islam emphasis on the rights of women </v>
      </c>
      <c r="X36" s="10">
        <f>IFERROR(__xludf.DUMMYFUNCTION("""COMPUTED_VALUE"""),10.0)</f>
        <v>10</v>
      </c>
      <c r="Y36" s="10">
        <f>IFERROR(__xludf.DUMMYFUNCTION("""COMPUTED_VALUE"""),10.0)</f>
        <v>10</v>
      </c>
      <c r="Z36" s="10">
        <f>IFERROR(__xludf.DUMMYFUNCTION("""COMPUTED_VALUE"""),5.0)</f>
        <v>5</v>
      </c>
      <c r="AA36" s="10">
        <f>IFERROR(__xludf.DUMMYFUNCTION("""COMPUTED_VALUE"""),5.0)</f>
        <v>5</v>
      </c>
      <c r="AB36" s="10">
        <f>IFERROR(__xludf.DUMMYFUNCTION("""COMPUTED_VALUE"""),5.0)</f>
        <v>5</v>
      </c>
      <c r="AC36" s="10">
        <f>IFERROR(__xludf.DUMMYFUNCTION("""COMPUTED_VALUE"""),5.0)</f>
        <v>5</v>
      </c>
      <c r="AD36" s="10">
        <f>IFERROR(__xludf.DUMMYFUNCTION("""COMPUTED_VALUE"""),6.0)</f>
        <v>6</v>
      </c>
      <c r="AE36" s="10">
        <f>IFERROR(__xludf.DUMMYFUNCTION("""COMPUTED_VALUE"""),5.0)</f>
        <v>5</v>
      </c>
      <c r="AF36" s="10">
        <f>IFERROR(__xludf.DUMMYFUNCTION("""COMPUTED_VALUE"""),6.0)</f>
        <v>6</v>
      </c>
      <c r="AG36" s="10">
        <f>IFERROR(__xludf.DUMMYFUNCTION("""COMPUTED_VALUE"""),7.0)</f>
        <v>7</v>
      </c>
      <c r="AH36" s="10">
        <f>IFERROR(__xludf.DUMMYFUNCTION("""COMPUTED_VALUE"""),0.0)</f>
        <v>0</v>
      </c>
      <c r="AI36" s="10">
        <f>IFERROR(__xludf.DUMMYFUNCTION("""COMPUTED_VALUE"""),7.0)</f>
        <v>7</v>
      </c>
      <c r="AJ36" s="11" t="str">
        <f>IFERROR(__xludf.DUMMYFUNCTION("""COMPUTED_VALUE"""),"https://drive.google.com/open?id=1Dhfbckx-xfBuoGGx0ct5wASikaFW_VeM")</f>
        <v>https://drive.google.com/open?id=1Dhfbckx-xfBuoGGx0ct5wASikaFW_VeM</v>
      </c>
      <c r="AK36" s="12" t="str">
        <f>IFERROR(__xludf.DUMMYFUNCTION("""COMPUTED_VALUE"""),"Secon Sermon ")</f>
        <v>Secon Sermon </v>
      </c>
      <c r="AL36" s="12"/>
      <c r="AM36" s="12"/>
      <c r="AN36" s="12"/>
      <c r="AO36" s="13">
        <v>2.0</v>
      </c>
      <c r="AX36" s="13"/>
    </row>
    <row r="37">
      <c r="A37" s="8">
        <v>36.0</v>
      </c>
      <c r="B37" s="9">
        <f>IFERROR(__xludf.DUMMYFUNCTION("""COMPUTED_VALUE"""),45704.19051)</f>
        <v>45704.19051</v>
      </c>
      <c r="C37" s="10" t="str">
        <f>IFERROR(__xludf.DUMMYFUNCTION("""COMPUTED_VALUE"""),"Muhammad Tahir ")</f>
        <v>Muhammad Tahir </v>
      </c>
      <c r="D37" s="10" t="str">
        <f>IFERROR(__xludf.DUMMYFUNCTION("""COMPUTED_VALUE"""),"0315-4165034 ")</f>
        <v>0315-4165034 </v>
      </c>
      <c r="E37" s="10" t="str">
        <f>IFERROR(__xludf.DUMMYFUNCTION("""COMPUTED_VALUE"""),"Khulfa Rashidin rang Mahal ")</f>
        <v>Khulfa Rashidin rang Mahal </v>
      </c>
      <c r="F37" s="10" t="str">
        <f>IFERROR(__xludf.DUMMYFUNCTION("""COMPUTED_VALUE"""),"QKVVJ")</f>
        <v>QKVVJ</v>
      </c>
      <c r="G37" s="10" t="str">
        <f>IFERROR(__xludf.DUMMYFUNCTION("""COMPUTED_VALUE"""),"No")</f>
        <v>No</v>
      </c>
      <c r="H37" s="10"/>
      <c r="I37" s="10"/>
      <c r="J37" s="10"/>
      <c r="K37" s="10">
        <f>IFERROR(__xludf.DUMMYFUNCTION("""COMPUTED_VALUE"""),5.0)</f>
        <v>5</v>
      </c>
      <c r="L37" s="10">
        <f>IFERROR(__xludf.DUMMYFUNCTION("""COMPUTED_VALUE"""),5.0)</f>
        <v>5</v>
      </c>
      <c r="M37" s="10">
        <f>IFERROR(__xludf.DUMMYFUNCTION("""COMPUTED_VALUE"""),10.0)</f>
        <v>10</v>
      </c>
      <c r="N37" s="10">
        <f>IFERROR(__xludf.DUMMYFUNCTION("""COMPUTED_VALUE"""),0.0)</f>
        <v>0</v>
      </c>
      <c r="O37" s="10">
        <f>IFERROR(__xludf.DUMMYFUNCTION("""COMPUTED_VALUE"""),0.0)</f>
        <v>0</v>
      </c>
      <c r="P37" s="10">
        <f>IFERROR(__xludf.DUMMYFUNCTION("""COMPUTED_VALUE"""),0.0)</f>
        <v>0</v>
      </c>
      <c r="Q37" s="10" t="str">
        <f>IFERROR(__xludf.DUMMYFUNCTION("""COMPUTED_VALUE"""),"No")</f>
        <v>No</v>
      </c>
      <c r="R37" s="10" t="str">
        <f>IFERROR(__xludf.DUMMYFUNCTION("""COMPUTED_VALUE"""),"No")</f>
        <v>No</v>
      </c>
      <c r="S37" s="10" t="str">
        <f>IFERROR(__xludf.DUMMYFUNCTION("""COMPUTED_VALUE"""),"No")</f>
        <v>No</v>
      </c>
      <c r="T37" s="10">
        <f>IFERROR(__xludf.DUMMYFUNCTION("""COMPUTED_VALUE"""),0.0)</f>
        <v>0</v>
      </c>
      <c r="U37" s="10">
        <f>IFERROR(__xludf.DUMMYFUNCTION("""COMPUTED_VALUE"""),0.0)</f>
        <v>0</v>
      </c>
      <c r="V37" s="10" t="str">
        <f>IFERROR(__xludf.DUMMYFUNCTION("""COMPUTED_VALUE"""),"Islam mai Sharmo haya ki ahmiat")</f>
        <v>Islam mai Sharmo haya ki ahmiat</v>
      </c>
      <c r="W37" s="10" t="str">
        <f>IFERROR(__xludf.DUMMYFUNCTION("""COMPUTED_VALUE"""),"Valentines day haram hy or islam main iski koi gunjaish nh hy")</f>
        <v>Valentines day haram hy or islam main iski koi gunjaish nh hy</v>
      </c>
      <c r="X37" s="10">
        <f>IFERROR(__xludf.DUMMYFUNCTION("""COMPUTED_VALUE"""),0.0)</f>
        <v>0</v>
      </c>
      <c r="Y37" s="10">
        <f>IFERROR(__xludf.DUMMYFUNCTION("""COMPUTED_VALUE"""),0.0)</f>
        <v>0</v>
      </c>
      <c r="Z37" s="10">
        <f>IFERROR(__xludf.DUMMYFUNCTION("""COMPUTED_VALUE"""),10.0)</f>
        <v>10</v>
      </c>
      <c r="AA37" s="10">
        <f>IFERROR(__xludf.DUMMYFUNCTION("""COMPUTED_VALUE"""),10.0)</f>
        <v>10</v>
      </c>
      <c r="AB37" s="10">
        <f>IFERROR(__xludf.DUMMYFUNCTION("""COMPUTED_VALUE"""),10.0)</f>
        <v>10</v>
      </c>
      <c r="AC37" s="10">
        <f>IFERROR(__xludf.DUMMYFUNCTION("""COMPUTED_VALUE"""),10.0)</f>
        <v>10</v>
      </c>
      <c r="AD37" s="10">
        <f>IFERROR(__xludf.DUMMYFUNCTION("""COMPUTED_VALUE"""),0.0)</f>
        <v>0</v>
      </c>
      <c r="AE37" s="10">
        <f>IFERROR(__xludf.DUMMYFUNCTION("""COMPUTED_VALUE"""),0.0)</f>
        <v>0</v>
      </c>
      <c r="AF37" s="10">
        <f>IFERROR(__xludf.DUMMYFUNCTION("""COMPUTED_VALUE"""),6.0)</f>
        <v>6</v>
      </c>
      <c r="AG37" s="10">
        <f>IFERROR(__xludf.DUMMYFUNCTION("""COMPUTED_VALUE"""),10.0)</f>
        <v>10</v>
      </c>
      <c r="AH37" s="10">
        <f>IFERROR(__xludf.DUMMYFUNCTION("""COMPUTED_VALUE"""),10.0)</f>
        <v>10</v>
      </c>
      <c r="AI37" s="10">
        <f>IFERROR(__xludf.DUMMYFUNCTION("""COMPUTED_VALUE"""),10.0)</f>
        <v>10</v>
      </c>
      <c r="AJ37" s="11" t="str">
        <f>IFERROR(__xludf.DUMMYFUNCTION("""COMPUTED_VALUE"""),"https://drive.google.com/open?id=1tXo1qlbH2DwiqXQ4cZ1oo-XtB64Xc2Sn")</f>
        <v>https://drive.google.com/open?id=1tXo1qlbH2DwiqXQ4cZ1oo-XtB64Xc2Sn</v>
      </c>
      <c r="AK37" s="12" t="str">
        <f>IFERROR(__xludf.DUMMYFUNCTION("""COMPUTED_VALUE"""),"3rd Sermon ")</f>
        <v>3rd Sermon </v>
      </c>
      <c r="AL37" s="12"/>
      <c r="AM37" s="12"/>
      <c r="AN37" s="12"/>
      <c r="AO37" s="13">
        <v>3.0</v>
      </c>
      <c r="AX37" s="13"/>
    </row>
    <row r="38">
      <c r="A38" s="8">
        <v>37.0</v>
      </c>
      <c r="B38" s="9">
        <f>IFERROR(__xludf.DUMMYFUNCTION("""COMPUTED_VALUE"""),45704.208244849535)</f>
        <v>45704.20824</v>
      </c>
      <c r="C38" s="10" t="str">
        <f>IFERROR(__xludf.DUMMYFUNCTION("""COMPUTED_VALUE"""),"Azhar")</f>
        <v>Azhar</v>
      </c>
      <c r="D38" s="10" t="str">
        <f>IFERROR(__xludf.DUMMYFUNCTION("""COMPUTED_VALUE"""),"03130665403")</f>
        <v>03130665403</v>
      </c>
      <c r="E38" s="10" t="str">
        <f>IFERROR(__xludf.DUMMYFUNCTION("""COMPUTED_VALUE"""),"Jaima masjid musafir khana Ghari shah Lahore (3)")</f>
        <v>Jaima masjid musafir khana Ghari shah Lahore (3)</v>
      </c>
      <c r="F38" s="10" t="str">
        <f>IFERROR(__xludf.DUMMYFUNCTION("""COMPUTED_VALUE"""),"emotn")</f>
        <v>emotn</v>
      </c>
      <c r="G38" s="10" t="str">
        <f>IFERROR(__xludf.DUMMYFUNCTION("""COMPUTED_VALUE"""),"No")</f>
        <v>No</v>
      </c>
      <c r="H38" s="10"/>
      <c r="I38" s="10"/>
      <c r="J38" s="10"/>
      <c r="K38" s="10">
        <f>IFERROR(__xludf.DUMMYFUNCTION("""COMPUTED_VALUE"""),0.0)</f>
        <v>0</v>
      </c>
      <c r="L38" s="10">
        <f>IFERROR(__xludf.DUMMYFUNCTION("""COMPUTED_VALUE"""),0.0)</f>
        <v>0</v>
      </c>
      <c r="M38" s="10">
        <f>IFERROR(__xludf.DUMMYFUNCTION("""COMPUTED_VALUE"""),0.0)</f>
        <v>0</v>
      </c>
      <c r="N38" s="10">
        <f>IFERROR(__xludf.DUMMYFUNCTION("""COMPUTED_VALUE"""),0.0)</f>
        <v>0</v>
      </c>
      <c r="O38" s="10">
        <f>IFERROR(__xludf.DUMMYFUNCTION("""COMPUTED_VALUE"""),0.0)</f>
        <v>0</v>
      </c>
      <c r="P38" s="10">
        <f>IFERROR(__xludf.DUMMYFUNCTION("""COMPUTED_VALUE"""),0.0)</f>
        <v>0</v>
      </c>
      <c r="Q38" s="10" t="str">
        <f>IFERROR(__xludf.DUMMYFUNCTION("""COMPUTED_VALUE"""),"No")</f>
        <v>No</v>
      </c>
      <c r="R38" s="10" t="str">
        <f>IFERROR(__xludf.DUMMYFUNCTION("""COMPUTED_VALUE"""),"No")</f>
        <v>No</v>
      </c>
      <c r="S38" s="10" t="str">
        <f>IFERROR(__xludf.DUMMYFUNCTION("""COMPUTED_VALUE"""),"No")</f>
        <v>No</v>
      </c>
      <c r="T38" s="10">
        <f>IFERROR(__xludf.DUMMYFUNCTION("""COMPUTED_VALUE"""),0.0)</f>
        <v>0</v>
      </c>
      <c r="U38" s="10">
        <f>IFERROR(__xludf.DUMMYFUNCTION("""COMPUTED_VALUE"""),0.0)</f>
        <v>0</v>
      </c>
      <c r="V38" s="10" t="str">
        <f>IFERROR(__xludf.DUMMYFUNCTION("""COMPUTED_VALUE"""),"   توبہ اور روزے کی اھمیت ")</f>
        <v>   توبہ اور روزے کی اھمیت </v>
      </c>
      <c r="W38" s="10" t="str">
        <f>IFERROR(__xludf.DUMMYFUNCTION("""COMPUTED_VALUE"""),"   توبہ اور روزے کی اھمیت")</f>
        <v>   توبہ اور روزے کی اھمیت</v>
      </c>
      <c r="X38" s="10">
        <f>IFERROR(__xludf.DUMMYFUNCTION("""COMPUTED_VALUE"""),7.0)</f>
        <v>7</v>
      </c>
      <c r="Y38" s="10">
        <f>IFERROR(__xludf.DUMMYFUNCTION("""COMPUTED_VALUE"""),8.0)</f>
        <v>8</v>
      </c>
      <c r="Z38" s="10">
        <f>IFERROR(__xludf.DUMMYFUNCTION("""COMPUTED_VALUE"""),0.0)</f>
        <v>0</v>
      </c>
      <c r="AA38" s="10">
        <f>IFERROR(__xludf.DUMMYFUNCTION("""COMPUTED_VALUE"""),0.0)</f>
        <v>0</v>
      </c>
      <c r="AB38" s="10">
        <f>IFERROR(__xludf.DUMMYFUNCTION("""COMPUTED_VALUE"""),0.0)</f>
        <v>0</v>
      </c>
      <c r="AC38" s="10">
        <f>IFERROR(__xludf.DUMMYFUNCTION("""COMPUTED_VALUE"""),0.0)</f>
        <v>0</v>
      </c>
      <c r="AD38" s="10">
        <f>IFERROR(__xludf.DUMMYFUNCTION("""COMPUTED_VALUE"""),0.0)</f>
        <v>0</v>
      </c>
      <c r="AE38" s="10">
        <f>IFERROR(__xludf.DUMMYFUNCTION("""COMPUTED_VALUE"""),0.0)</f>
        <v>0</v>
      </c>
      <c r="AF38" s="10">
        <f>IFERROR(__xludf.DUMMYFUNCTION("""COMPUTED_VALUE"""),10.0)</f>
        <v>10</v>
      </c>
      <c r="AG38" s="10">
        <f>IFERROR(__xludf.DUMMYFUNCTION("""COMPUTED_VALUE"""),10.0)</f>
        <v>10</v>
      </c>
      <c r="AH38" s="10">
        <f>IFERROR(__xludf.DUMMYFUNCTION("""COMPUTED_VALUE"""),10.0)</f>
        <v>10</v>
      </c>
      <c r="AI38" s="10">
        <f>IFERROR(__xludf.DUMMYFUNCTION("""COMPUTED_VALUE"""),10.0)</f>
        <v>10</v>
      </c>
      <c r="AJ38" s="11" t="str">
        <f>IFERROR(__xludf.DUMMYFUNCTION("""COMPUTED_VALUE"""),"https://drive.google.com/open?id=1Eu_dRE8LsjMe3bc1RlMtnXj44VUHC8Z6")</f>
        <v>https://drive.google.com/open?id=1Eu_dRE8LsjMe3bc1RlMtnXj44VUHC8Z6</v>
      </c>
      <c r="AK38" s="12" t="str">
        <f>IFERROR(__xludf.DUMMYFUNCTION("""COMPUTED_VALUE"""),"No")</f>
        <v>No</v>
      </c>
      <c r="AL38" s="12"/>
      <c r="AM38" s="12"/>
      <c r="AN38" s="12"/>
      <c r="AO38" s="13">
        <v>3.0</v>
      </c>
      <c r="AX38" s="13"/>
    </row>
    <row r="39">
      <c r="A39" s="8">
        <v>38.0</v>
      </c>
      <c r="B39" s="9">
        <f>IFERROR(__xludf.DUMMYFUNCTION("""COMPUTED_VALUE"""),45704.213590555555)</f>
        <v>45704.21359</v>
      </c>
      <c r="C39" s="10" t="str">
        <f>IFERROR(__xludf.DUMMYFUNCTION("""COMPUTED_VALUE"""),"Dilawar Abbas")</f>
        <v>Dilawar Abbas</v>
      </c>
      <c r="D39" s="10" t="str">
        <f>IFERROR(__xludf.DUMMYFUNCTION("""COMPUTED_VALUE"""),"03095378593")</f>
        <v>03095378593</v>
      </c>
      <c r="E39" s="10" t="str">
        <f>IFERROR(__xludf.DUMMYFUNCTION("""COMPUTED_VALUE"""),"Jamia Masjid Noor Eman Wali. (sermon#1 transcription)")</f>
        <v>Jamia Masjid Noor Eman Wali. (sermon#1 transcription)</v>
      </c>
      <c r="F39" s="10" t="str">
        <f>IFERROR(__xludf.DUMMYFUNCTION("""COMPUTED_VALUE"""),"PIUJL")</f>
        <v>PIUJL</v>
      </c>
      <c r="G39" s="10" t="str">
        <f>IFERROR(__xludf.DUMMYFUNCTION("""COMPUTED_VALUE"""),"No")</f>
        <v>No</v>
      </c>
      <c r="H39" s="10"/>
      <c r="I39" s="10"/>
      <c r="J39" s="10"/>
      <c r="K39" s="10">
        <f>IFERROR(__xludf.DUMMYFUNCTION("""COMPUTED_VALUE"""),10.0)</f>
        <v>10</v>
      </c>
      <c r="L39" s="10">
        <f>IFERROR(__xludf.DUMMYFUNCTION("""COMPUTED_VALUE"""),0.0)</f>
        <v>0</v>
      </c>
      <c r="M39" s="10">
        <f>IFERROR(__xludf.DUMMYFUNCTION("""COMPUTED_VALUE"""),6.0)</f>
        <v>6</v>
      </c>
      <c r="N39" s="10">
        <f>IFERROR(__xludf.DUMMYFUNCTION("""COMPUTED_VALUE"""),0.0)</f>
        <v>0</v>
      </c>
      <c r="O39" s="10">
        <f>IFERROR(__xludf.DUMMYFUNCTION("""COMPUTED_VALUE"""),10.0)</f>
        <v>10</v>
      </c>
      <c r="P39" s="10">
        <f>IFERROR(__xludf.DUMMYFUNCTION("""COMPUTED_VALUE"""),0.0)</f>
        <v>0</v>
      </c>
      <c r="Q39" s="10" t="str">
        <f>IFERROR(__xludf.DUMMYFUNCTION("""COMPUTED_VALUE"""),"Yes")</f>
        <v>Yes</v>
      </c>
      <c r="R39" s="10" t="str">
        <f>IFERROR(__xludf.DUMMYFUNCTION("""COMPUTED_VALUE"""),"No")</f>
        <v>No</v>
      </c>
      <c r="S39" s="10" t="str">
        <f>IFERROR(__xludf.DUMMYFUNCTION("""COMPUTED_VALUE"""),"No")</f>
        <v>No</v>
      </c>
      <c r="T39" s="10">
        <f>IFERROR(__xludf.DUMMYFUNCTION("""COMPUTED_VALUE"""),0.0)</f>
        <v>0</v>
      </c>
      <c r="U39" s="10">
        <f>IFERROR(__xludf.DUMMYFUNCTION("""COMPUTED_VALUE"""),0.0)</f>
        <v>0</v>
      </c>
      <c r="V39" s="10" t="str">
        <f>IFERROR(__xludf.DUMMYFUNCTION("""COMPUTED_VALUE"""),"Aurton k hakkok or Islam mn aurton Ka makam.")</f>
        <v>Aurton k hakkok or Islam mn aurton Ka makam.</v>
      </c>
      <c r="W39" s="10" t="str">
        <f>IFERROR(__xludf.DUMMYFUNCTION("""COMPUTED_VALUE"""),"Islam SE pehle aurton k sath Bura salook Kia jata tha. 
Islam ne aurat ko izzat or azmat atta ki ha. ")</f>
        <v>Islam SE pehle aurton k sath Bura salook Kia jata tha. 
Islam ne aurat ko izzat or azmat atta ki ha. </v>
      </c>
      <c r="X39" s="10">
        <f>IFERROR(__xludf.DUMMYFUNCTION("""COMPUTED_VALUE"""),0.0)</f>
        <v>0</v>
      </c>
      <c r="Y39" s="10">
        <f>IFERROR(__xludf.DUMMYFUNCTION("""COMPUTED_VALUE"""),0.0)</f>
        <v>0</v>
      </c>
      <c r="Z39" s="10">
        <f>IFERROR(__xludf.DUMMYFUNCTION("""COMPUTED_VALUE"""),0.0)</f>
        <v>0</v>
      </c>
      <c r="AA39" s="10">
        <f>IFERROR(__xludf.DUMMYFUNCTION("""COMPUTED_VALUE"""),0.0)</f>
        <v>0</v>
      </c>
      <c r="AB39" s="10">
        <f>IFERROR(__xludf.DUMMYFUNCTION("""COMPUTED_VALUE"""),2.0)</f>
        <v>2</v>
      </c>
      <c r="AC39" s="10">
        <f>IFERROR(__xludf.DUMMYFUNCTION("""COMPUTED_VALUE"""),0.0)</f>
        <v>0</v>
      </c>
      <c r="AD39" s="10">
        <f>IFERROR(__xludf.DUMMYFUNCTION("""COMPUTED_VALUE"""),0.0)</f>
        <v>0</v>
      </c>
      <c r="AE39" s="10">
        <f>IFERROR(__xludf.DUMMYFUNCTION("""COMPUTED_VALUE"""),0.0)</f>
        <v>0</v>
      </c>
      <c r="AF39" s="10">
        <f>IFERROR(__xludf.DUMMYFUNCTION("""COMPUTED_VALUE"""),0.0)</f>
        <v>0</v>
      </c>
      <c r="AG39" s="10">
        <f>IFERROR(__xludf.DUMMYFUNCTION("""COMPUTED_VALUE"""),8.0)</f>
        <v>8</v>
      </c>
      <c r="AH39" s="10">
        <f>IFERROR(__xludf.DUMMYFUNCTION("""COMPUTED_VALUE"""),0.0)</f>
        <v>0</v>
      </c>
      <c r="AI39" s="10">
        <f>IFERROR(__xludf.DUMMYFUNCTION("""COMPUTED_VALUE"""),8.0)</f>
        <v>8</v>
      </c>
      <c r="AJ39" s="11" t="str">
        <f>IFERROR(__xludf.DUMMYFUNCTION("""COMPUTED_VALUE"""),"https://drive.google.com/open?id=1jD0jHzkqi7mFiALo_dIVNCqSQs5YIe5H")</f>
        <v>https://drive.google.com/open?id=1jD0jHzkqi7mFiALo_dIVNCqSQs5YIe5H</v>
      </c>
      <c r="AK39" s="12"/>
      <c r="AL39" s="12"/>
      <c r="AM39" s="12"/>
      <c r="AN39" s="12"/>
      <c r="AO39" s="13">
        <v>1.0</v>
      </c>
      <c r="AX39" s="13"/>
    </row>
    <row r="40">
      <c r="A40" s="8">
        <v>39.0</v>
      </c>
      <c r="B40" s="9">
        <f>IFERROR(__xludf.DUMMYFUNCTION("""COMPUTED_VALUE"""),45704.26927696759)</f>
        <v>45704.26928</v>
      </c>
      <c r="C40" s="10" t="str">
        <f>IFERROR(__xludf.DUMMYFUNCTION("""COMPUTED_VALUE"""),"Bilal")</f>
        <v>Bilal</v>
      </c>
      <c r="D40" s="10" t="str">
        <f>IFERROR(__xludf.DUMMYFUNCTION("""COMPUTED_VALUE"""),"03066761947")</f>
        <v>03066761947</v>
      </c>
      <c r="E40" s="10" t="str">
        <f>IFERROR(__xludf.DUMMYFUNCTION("""COMPUTED_VALUE"""),"Jaima masjid Bohaar wali lohare gate Lahore No:3")</f>
        <v>Jaima masjid Bohaar wali lohare gate Lahore No:3</v>
      </c>
      <c r="F40" s="10" t="str">
        <f>IFERROR(__xludf.DUMMYFUNCTION("""COMPUTED_VALUE"""),"oonhe")</f>
        <v>oonhe</v>
      </c>
      <c r="G40" s="10" t="str">
        <f>IFERROR(__xludf.DUMMYFUNCTION("""COMPUTED_VALUE"""),"No")</f>
        <v>No</v>
      </c>
      <c r="H40" s="10"/>
      <c r="I40" s="10"/>
      <c r="J40" s="10"/>
      <c r="K40" s="10">
        <f>IFERROR(__xludf.DUMMYFUNCTION("""COMPUTED_VALUE"""),0.0)</f>
        <v>0</v>
      </c>
      <c r="L40" s="10">
        <f>IFERROR(__xludf.DUMMYFUNCTION("""COMPUTED_VALUE"""),0.0)</f>
        <v>0</v>
      </c>
      <c r="M40" s="10">
        <f>IFERROR(__xludf.DUMMYFUNCTION("""COMPUTED_VALUE"""),0.0)</f>
        <v>0</v>
      </c>
      <c r="N40" s="10">
        <f>IFERROR(__xludf.DUMMYFUNCTION("""COMPUTED_VALUE"""),0.0)</f>
        <v>0</v>
      </c>
      <c r="O40" s="10">
        <f>IFERROR(__xludf.DUMMYFUNCTION("""COMPUTED_VALUE"""),0.0)</f>
        <v>0</v>
      </c>
      <c r="P40" s="10">
        <f>IFERROR(__xludf.DUMMYFUNCTION("""COMPUTED_VALUE"""),0.0)</f>
        <v>0</v>
      </c>
      <c r="Q40" s="10" t="str">
        <f>IFERROR(__xludf.DUMMYFUNCTION("""COMPUTED_VALUE"""),"No")</f>
        <v>No</v>
      </c>
      <c r="R40" s="10" t="str">
        <f>IFERROR(__xludf.DUMMYFUNCTION("""COMPUTED_VALUE"""),"No")</f>
        <v>No</v>
      </c>
      <c r="S40" s="10" t="str">
        <f>IFERROR(__xludf.DUMMYFUNCTION("""COMPUTED_VALUE"""),"No")</f>
        <v>No</v>
      </c>
      <c r="T40" s="10">
        <f>IFERROR(__xludf.DUMMYFUNCTION("""COMPUTED_VALUE"""),0.0)</f>
        <v>0</v>
      </c>
      <c r="U40" s="10">
        <f>IFERROR(__xludf.DUMMYFUNCTION("""COMPUTED_VALUE"""),0.0)</f>
        <v>0</v>
      </c>
      <c r="V40" s="10" t="str">
        <f>IFERROR(__xludf.DUMMYFUNCTION("""COMPUTED_VALUE"""),"رسول الہ کی فضیلت اور روزے ")</f>
        <v>رسول الہ کی فضیلت اور روزے </v>
      </c>
      <c r="W40" s="10" t="str">
        <f>IFERROR(__xludf.DUMMYFUNCTION("""COMPUTED_VALUE"""),"رسول الہ کی فضیلت اور روزے")</f>
        <v>رسول الہ کی فضیلت اور روزے</v>
      </c>
      <c r="X40" s="10">
        <f>IFERROR(__xludf.DUMMYFUNCTION("""COMPUTED_VALUE"""),10.0)</f>
        <v>10</v>
      </c>
      <c r="Y40" s="10">
        <f>IFERROR(__xludf.DUMMYFUNCTION("""COMPUTED_VALUE"""),0.0)</f>
        <v>0</v>
      </c>
      <c r="Z40" s="10">
        <f>IFERROR(__xludf.DUMMYFUNCTION("""COMPUTED_VALUE"""),0.0)</f>
        <v>0</v>
      </c>
      <c r="AA40" s="10">
        <f>IFERROR(__xludf.DUMMYFUNCTION("""COMPUTED_VALUE"""),0.0)</f>
        <v>0</v>
      </c>
      <c r="AB40" s="10">
        <f>IFERROR(__xludf.DUMMYFUNCTION("""COMPUTED_VALUE"""),0.0)</f>
        <v>0</v>
      </c>
      <c r="AC40" s="10">
        <f>IFERROR(__xludf.DUMMYFUNCTION("""COMPUTED_VALUE"""),0.0)</f>
        <v>0</v>
      </c>
      <c r="AD40" s="10">
        <f>IFERROR(__xludf.DUMMYFUNCTION("""COMPUTED_VALUE"""),0.0)</f>
        <v>0</v>
      </c>
      <c r="AE40" s="10">
        <f>IFERROR(__xludf.DUMMYFUNCTION("""COMPUTED_VALUE"""),0.0)</f>
        <v>0</v>
      </c>
      <c r="AF40" s="10">
        <f>IFERROR(__xludf.DUMMYFUNCTION("""COMPUTED_VALUE"""),10.0)</f>
        <v>10</v>
      </c>
      <c r="AG40" s="10">
        <f>IFERROR(__xludf.DUMMYFUNCTION("""COMPUTED_VALUE"""),10.0)</f>
        <v>10</v>
      </c>
      <c r="AH40" s="10">
        <f>IFERROR(__xludf.DUMMYFUNCTION("""COMPUTED_VALUE"""),10.0)</f>
        <v>10</v>
      </c>
      <c r="AI40" s="10">
        <f>IFERROR(__xludf.DUMMYFUNCTION("""COMPUTED_VALUE"""),10.0)</f>
        <v>10</v>
      </c>
      <c r="AJ40" s="11" t="str">
        <f>IFERROR(__xludf.DUMMYFUNCTION("""COMPUTED_VALUE"""),"https://drive.google.com/open?id=12L1ejTiAh8HHG9xqc-sD5RHI2Zu5tAYn")</f>
        <v>https://drive.google.com/open?id=12L1ejTiAh8HHG9xqc-sD5RHI2Zu5tAYn</v>
      </c>
      <c r="AK40" s="12" t="str">
        <f>IFERROR(__xludf.DUMMYFUNCTION("""COMPUTED_VALUE"""),"No")</f>
        <v>No</v>
      </c>
      <c r="AL40" s="12"/>
      <c r="AM40" s="12"/>
      <c r="AN40" s="12"/>
      <c r="AO40" s="13">
        <v>3.0</v>
      </c>
      <c r="AP40" s="8" t="s">
        <v>5</v>
      </c>
      <c r="AX40" s="13"/>
    </row>
    <row r="41">
      <c r="A41" s="8">
        <v>40.0</v>
      </c>
      <c r="B41" s="9">
        <f>IFERROR(__xludf.DUMMYFUNCTION("""COMPUTED_VALUE"""),45704.39868240741)</f>
        <v>45704.39868</v>
      </c>
      <c r="C41" s="10" t="str">
        <f>IFERROR(__xludf.DUMMYFUNCTION("""COMPUTED_VALUE"""),"Babar Ali ")</f>
        <v>Babar Ali </v>
      </c>
      <c r="D41" s="10" t="str">
        <f>IFERROR(__xludf.DUMMYFUNCTION("""COMPUTED_VALUE"""),"03011297393")</f>
        <v>03011297393</v>
      </c>
      <c r="E41" s="10" t="str">
        <f>IFERROR(__xludf.DUMMYFUNCTION("""COMPUTED_VALUE"""),"Jamia masjid shamas peer hadi rehnuma ")</f>
        <v>Jamia masjid shamas peer hadi rehnuma </v>
      </c>
      <c r="F41" s="10" t="str">
        <f>IFERROR(__xludf.DUMMYFUNCTION("""COMPUTED_VALUE"""),"Jeztx")</f>
        <v>Jeztx</v>
      </c>
      <c r="G41" s="10" t="str">
        <f>IFERROR(__xludf.DUMMYFUNCTION("""COMPUTED_VALUE"""),"No")</f>
        <v>No</v>
      </c>
      <c r="H41" s="10"/>
      <c r="I41" s="10"/>
      <c r="J41" s="10"/>
      <c r="K41" s="10">
        <f>IFERROR(__xludf.DUMMYFUNCTION("""COMPUTED_VALUE"""),3.0)</f>
        <v>3</v>
      </c>
      <c r="L41" s="10">
        <f>IFERROR(__xludf.DUMMYFUNCTION("""COMPUTED_VALUE"""),0.0)</f>
        <v>0</v>
      </c>
      <c r="M41" s="10">
        <f>IFERROR(__xludf.DUMMYFUNCTION("""COMPUTED_VALUE"""),2.0)</f>
        <v>2</v>
      </c>
      <c r="N41" s="10">
        <f>IFERROR(__xludf.DUMMYFUNCTION("""COMPUTED_VALUE"""),0.0)</f>
        <v>0</v>
      </c>
      <c r="O41" s="10">
        <f>IFERROR(__xludf.DUMMYFUNCTION("""COMPUTED_VALUE"""),3.0)</f>
        <v>3</v>
      </c>
      <c r="P41" s="10">
        <f>IFERROR(__xludf.DUMMYFUNCTION("""COMPUTED_VALUE"""),0.0)</f>
        <v>0</v>
      </c>
      <c r="Q41" s="10" t="str">
        <f>IFERROR(__xludf.DUMMYFUNCTION("""COMPUTED_VALUE"""),"No")</f>
        <v>No</v>
      </c>
      <c r="R41" s="10" t="str">
        <f>IFERROR(__xludf.DUMMYFUNCTION("""COMPUTED_VALUE"""),"No")</f>
        <v>No</v>
      </c>
      <c r="S41" s="10" t="str">
        <f>IFERROR(__xludf.DUMMYFUNCTION("""COMPUTED_VALUE"""),"No")</f>
        <v>No</v>
      </c>
      <c r="T41" s="10">
        <f>IFERROR(__xludf.DUMMYFUNCTION("""COMPUTED_VALUE"""),0.0)</f>
        <v>0</v>
      </c>
      <c r="U41" s="10">
        <f>IFERROR(__xludf.DUMMYFUNCTION("""COMPUTED_VALUE"""),0.0)</f>
        <v>0</v>
      </c>
      <c r="V41" s="10" t="str">
        <f>IFERROR(__xludf.DUMMYFUNCTION("""COMPUTED_VALUE"""),"Islam KY mutabiq asal mohabbat ka haqdar Kon hy ")</f>
        <v>Islam KY mutabiq asal mohabbat ka haqdar Kon hy </v>
      </c>
      <c r="W41" s="10" t="str">
        <f>IFERROR(__xludf.DUMMYFUNCTION("""COMPUTED_VALUE"""),"اسلام کے مطابق اصل محبت کا حقدار اللہ تعالیٰ ہے، کیونکہ وہی ہمارا خالق اور رازق ہے۔ اس کے بعد والدین، خاندان، اور انسانیت سے محبت کی تعلیم دی گئی ہے، جو اللہ کی رضا کے لیے ہونی چاہیے۔
")</f>
        <v>اسلام کے مطابق اصل محبت کا حقدار اللہ تعالیٰ ہے، کیونکہ وہی ہمارا خالق اور رازق ہے۔ اس کے بعد والدین، خاندان، اور انسانیت سے محبت کی تعلیم دی گئی ہے، جو اللہ کی رضا کے لیے ہونی چاہیے۔
</v>
      </c>
      <c r="X41" s="10">
        <f>IFERROR(__xludf.DUMMYFUNCTION("""COMPUTED_VALUE"""),0.0)</f>
        <v>0</v>
      </c>
      <c r="Y41" s="10">
        <f>IFERROR(__xludf.DUMMYFUNCTION("""COMPUTED_VALUE"""),2.0)</f>
        <v>2</v>
      </c>
      <c r="Z41" s="10">
        <f>IFERROR(__xludf.DUMMYFUNCTION("""COMPUTED_VALUE"""),0.0)</f>
        <v>0</v>
      </c>
      <c r="AA41" s="10">
        <f>IFERROR(__xludf.DUMMYFUNCTION("""COMPUTED_VALUE"""),4.0)</f>
        <v>4</v>
      </c>
      <c r="AB41" s="10">
        <f>IFERROR(__xludf.DUMMYFUNCTION("""COMPUTED_VALUE"""),0.0)</f>
        <v>0</v>
      </c>
      <c r="AC41" s="10">
        <f>IFERROR(__xludf.DUMMYFUNCTION("""COMPUTED_VALUE"""),0.0)</f>
        <v>0</v>
      </c>
      <c r="AD41" s="10">
        <f>IFERROR(__xludf.DUMMYFUNCTION("""COMPUTED_VALUE"""),0.0)</f>
        <v>0</v>
      </c>
      <c r="AE41" s="10">
        <f>IFERROR(__xludf.DUMMYFUNCTION("""COMPUTED_VALUE"""),0.0)</f>
        <v>0</v>
      </c>
      <c r="AF41" s="10">
        <f>IFERROR(__xludf.DUMMYFUNCTION("""COMPUTED_VALUE"""),7.0)</f>
        <v>7</v>
      </c>
      <c r="AG41" s="10">
        <f>IFERROR(__xludf.DUMMYFUNCTION("""COMPUTED_VALUE"""),7.0)</f>
        <v>7</v>
      </c>
      <c r="AH41" s="10">
        <f>IFERROR(__xludf.DUMMYFUNCTION("""COMPUTED_VALUE"""),0.0)</f>
        <v>0</v>
      </c>
      <c r="AI41" s="10">
        <f>IFERROR(__xludf.DUMMYFUNCTION("""COMPUTED_VALUE"""),7.0)</f>
        <v>7</v>
      </c>
      <c r="AJ41" s="11" t="str">
        <f>IFERROR(__xludf.DUMMYFUNCTION("""COMPUTED_VALUE"""),"https://drive.google.com/open?id=1mTtSmwTnC8EtC6zg8NgJv5KNJ2PfoWPm")</f>
        <v>https://drive.google.com/open?id=1mTtSmwTnC8EtC6zg8NgJv5KNJ2PfoWPm</v>
      </c>
      <c r="AK41" s="12"/>
      <c r="AL41" s="12"/>
      <c r="AM41" s="12"/>
      <c r="AN41" s="12"/>
      <c r="AO41" s="13">
        <v>3.0</v>
      </c>
      <c r="AX41" s="13"/>
    </row>
    <row r="42">
      <c r="A42" s="8">
        <v>41.0</v>
      </c>
      <c r="B42" s="9">
        <f>IFERROR(__xludf.DUMMYFUNCTION("""COMPUTED_VALUE"""),45704.40454530093)</f>
        <v>45704.40455</v>
      </c>
      <c r="C42" s="10" t="str">
        <f>IFERROR(__xludf.DUMMYFUNCTION("""COMPUTED_VALUE"""),"Maham ")</f>
        <v>Maham </v>
      </c>
      <c r="D42" s="10" t="str">
        <f>IFERROR(__xludf.DUMMYFUNCTION("""COMPUTED_VALUE"""),"03218118680")</f>
        <v>03218118680</v>
      </c>
      <c r="E42" s="10" t="str">
        <f>IFERROR(__xludf.DUMMYFUNCTION("""COMPUTED_VALUE"""),"Sermon 1 Jamia Masjid Laal shah Alam Market. ")</f>
        <v>Sermon 1 Jamia Masjid Laal shah Alam Market. </v>
      </c>
      <c r="F42" s="10" t="str">
        <f>IFERROR(__xludf.DUMMYFUNCTION("""COMPUTED_VALUE"""),"Kgtfe")</f>
        <v>Kgtfe</v>
      </c>
      <c r="G42" s="10" t="str">
        <f>IFERROR(__xludf.DUMMYFUNCTION("""COMPUTED_VALUE"""),"Yes")</f>
        <v>Yes</v>
      </c>
      <c r="H42" s="10">
        <f>IFERROR(__xludf.DUMMYFUNCTION("""COMPUTED_VALUE"""),10.0)</f>
        <v>10</v>
      </c>
      <c r="I42" s="10">
        <f>IFERROR(__xludf.DUMMYFUNCTION("""COMPUTED_VALUE"""),5.0)</f>
        <v>5</v>
      </c>
      <c r="J42" s="10">
        <f>IFERROR(__xludf.DUMMYFUNCTION("""COMPUTED_VALUE"""),10.0)</f>
        <v>10</v>
      </c>
      <c r="K42" s="10">
        <f>IFERROR(__xludf.DUMMYFUNCTION("""COMPUTED_VALUE"""),0.0)</f>
        <v>0</v>
      </c>
      <c r="L42" s="10">
        <f>IFERROR(__xludf.DUMMYFUNCTION("""COMPUTED_VALUE"""),0.0)</f>
        <v>0</v>
      </c>
      <c r="M42" s="10">
        <f>IFERROR(__xludf.DUMMYFUNCTION("""COMPUTED_VALUE"""),0.0)</f>
        <v>0</v>
      </c>
      <c r="N42" s="10">
        <f>IFERROR(__xludf.DUMMYFUNCTION("""COMPUTED_VALUE"""),0.0)</f>
        <v>0</v>
      </c>
      <c r="O42" s="10">
        <f>IFERROR(__xludf.DUMMYFUNCTION("""COMPUTED_VALUE"""),0.0)</f>
        <v>0</v>
      </c>
      <c r="P42" s="10">
        <f>IFERROR(__xludf.DUMMYFUNCTION("""COMPUTED_VALUE"""),0.0)</f>
        <v>0</v>
      </c>
      <c r="Q42" s="10" t="str">
        <f>IFERROR(__xludf.DUMMYFUNCTION("""COMPUTED_VALUE"""),"No")</f>
        <v>No</v>
      </c>
      <c r="R42" s="10" t="str">
        <f>IFERROR(__xludf.DUMMYFUNCTION("""COMPUTED_VALUE"""),"No")</f>
        <v>No</v>
      </c>
      <c r="S42" s="10" t="str">
        <f>IFERROR(__xludf.DUMMYFUNCTION("""COMPUTED_VALUE"""),"Yes")</f>
        <v>Yes</v>
      </c>
      <c r="T42" s="10">
        <f>IFERROR(__xludf.DUMMYFUNCTION("""COMPUTED_VALUE"""),0.0)</f>
        <v>0</v>
      </c>
      <c r="U42" s="10">
        <f>IFERROR(__xludf.DUMMYFUNCTION("""COMPUTED_VALUE"""),0.0)</f>
        <v>0</v>
      </c>
      <c r="V42" s="10" t="str">
        <f>IFERROR(__xludf.DUMMYFUNCTION("""COMPUTED_VALUE"""),"بدعت اور ضعیف حدیث")</f>
        <v>بدعت اور ضعیف حدیث</v>
      </c>
      <c r="W42" s="10" t="str">
        <f>IFERROR(__xludf.DUMMYFUNCTION("""COMPUTED_VALUE"""),"شب برات اور شب معراج کی رات عبادت کرنے اور دن میں روزہ رکھنے کی ضعیف حدیث سے ثابت بدعت سے اس کا کیا تعلق ہے")</f>
        <v>شب برات اور شب معراج کی رات عبادت کرنے اور دن میں روزہ رکھنے کی ضعیف حدیث سے ثابت بدعت سے اس کا کیا تعلق ہے</v>
      </c>
      <c r="X42" s="10">
        <f>IFERROR(__xludf.DUMMYFUNCTION("""COMPUTED_VALUE"""),10.0)</f>
        <v>10</v>
      </c>
      <c r="Y42" s="10">
        <f>IFERROR(__xludf.DUMMYFUNCTION("""COMPUTED_VALUE"""),0.0)</f>
        <v>0</v>
      </c>
      <c r="Z42" s="10">
        <f>IFERROR(__xludf.DUMMYFUNCTION("""COMPUTED_VALUE"""),5.0)</f>
        <v>5</v>
      </c>
      <c r="AA42" s="10">
        <f>IFERROR(__xludf.DUMMYFUNCTION("""COMPUTED_VALUE"""),10.0)</f>
        <v>10</v>
      </c>
      <c r="AB42" s="10">
        <f>IFERROR(__xludf.DUMMYFUNCTION("""COMPUTED_VALUE"""),1.0)</f>
        <v>1</v>
      </c>
      <c r="AC42" s="10">
        <f>IFERROR(__xludf.DUMMYFUNCTION("""COMPUTED_VALUE"""),0.0)</f>
        <v>0</v>
      </c>
      <c r="AD42" s="10">
        <f>IFERROR(__xludf.DUMMYFUNCTION("""COMPUTED_VALUE"""),0.0)</f>
        <v>0</v>
      </c>
      <c r="AE42" s="10">
        <f>IFERROR(__xludf.DUMMYFUNCTION("""COMPUTED_VALUE"""),0.0)</f>
        <v>0</v>
      </c>
      <c r="AF42" s="10">
        <f>IFERROR(__xludf.DUMMYFUNCTION("""COMPUTED_VALUE"""),10.0)</f>
        <v>10</v>
      </c>
      <c r="AG42" s="10">
        <f>IFERROR(__xludf.DUMMYFUNCTION("""COMPUTED_VALUE"""),10.0)</f>
        <v>10</v>
      </c>
      <c r="AH42" s="10">
        <f>IFERROR(__xludf.DUMMYFUNCTION("""COMPUTED_VALUE"""),0.0)</f>
        <v>0</v>
      </c>
      <c r="AI42" s="10">
        <f>IFERROR(__xludf.DUMMYFUNCTION("""COMPUTED_VALUE"""),10.0)</f>
        <v>10</v>
      </c>
      <c r="AJ42" s="11" t="str">
        <f>IFERROR(__xludf.DUMMYFUNCTION("""COMPUTED_VALUE"""),"https://drive.google.com/open?id=1TieWik7eBWsqSJmQCoqlcgObRxUkJj1w")</f>
        <v>https://drive.google.com/open?id=1TieWik7eBWsqSJmQCoqlcgObRxUkJj1w</v>
      </c>
      <c r="AK42" s="12">
        <f>IFERROR(__xludf.DUMMYFUNCTION("""COMPUTED_VALUE"""),0.0)</f>
        <v>0</v>
      </c>
      <c r="AL42" s="12"/>
      <c r="AM42" s="12"/>
      <c r="AN42" s="12"/>
      <c r="AO42" s="13">
        <v>1.0</v>
      </c>
      <c r="AX42" s="13"/>
    </row>
    <row r="43">
      <c r="A43" s="8">
        <v>42.0</v>
      </c>
      <c r="B43" s="9">
        <f>IFERROR(__xludf.DUMMYFUNCTION("""COMPUTED_VALUE"""),45704.41201013888)</f>
        <v>45704.41201</v>
      </c>
      <c r="C43" s="10" t="str">
        <f>IFERROR(__xludf.DUMMYFUNCTION("""COMPUTED_VALUE"""),"Abdul Rauf ")</f>
        <v>Abdul Rauf </v>
      </c>
      <c r="D43" s="10" t="str">
        <f>IFERROR(__xludf.DUMMYFUNCTION("""COMPUTED_VALUE"""),"03008789090")</f>
        <v>03008789090</v>
      </c>
      <c r="E43" s="10" t="str">
        <f>IFERROR(__xludf.DUMMYFUNCTION("""COMPUTED_VALUE"""),"Allah joya ")</f>
        <v>Allah joya </v>
      </c>
      <c r="F43" s="10" t="str">
        <f>IFERROR(__xludf.DUMMYFUNCTION("""COMPUTED_VALUE"""),"ZBRWJ")</f>
        <v>ZBRWJ</v>
      </c>
      <c r="G43" s="10" t="str">
        <f>IFERROR(__xludf.DUMMYFUNCTION("""COMPUTED_VALUE"""),"Yes")</f>
        <v>Yes</v>
      </c>
      <c r="H43" s="10">
        <f>IFERROR(__xludf.DUMMYFUNCTION("""COMPUTED_VALUE"""),8.0)</f>
        <v>8</v>
      </c>
      <c r="I43" s="10">
        <f>IFERROR(__xludf.DUMMYFUNCTION("""COMPUTED_VALUE"""),10.0)</f>
        <v>10</v>
      </c>
      <c r="J43" s="10">
        <f>IFERROR(__xludf.DUMMYFUNCTION("""COMPUTED_VALUE"""),4.0)</f>
        <v>4</v>
      </c>
      <c r="K43" s="10">
        <f>IFERROR(__xludf.DUMMYFUNCTION("""COMPUTED_VALUE"""),5.0)</f>
        <v>5</v>
      </c>
      <c r="L43" s="10">
        <f>IFERROR(__xludf.DUMMYFUNCTION("""COMPUTED_VALUE"""),4.0)</f>
        <v>4</v>
      </c>
      <c r="M43" s="10">
        <f>IFERROR(__xludf.DUMMYFUNCTION("""COMPUTED_VALUE"""),8.0)</f>
        <v>8</v>
      </c>
      <c r="N43" s="10">
        <f>IFERROR(__xludf.DUMMYFUNCTION("""COMPUTED_VALUE"""),7.0)</f>
        <v>7</v>
      </c>
      <c r="O43" s="10">
        <f>IFERROR(__xludf.DUMMYFUNCTION("""COMPUTED_VALUE"""),3.0)</f>
        <v>3</v>
      </c>
      <c r="P43" s="10">
        <f>IFERROR(__xludf.DUMMYFUNCTION("""COMPUTED_VALUE"""),7.0)</f>
        <v>7</v>
      </c>
      <c r="Q43" s="10" t="str">
        <f>IFERROR(__xludf.DUMMYFUNCTION("""COMPUTED_VALUE"""),"Yes")</f>
        <v>Yes</v>
      </c>
      <c r="R43" s="10" t="str">
        <f>IFERROR(__xludf.DUMMYFUNCTION("""COMPUTED_VALUE"""),"No")</f>
        <v>No</v>
      </c>
      <c r="S43" s="10" t="str">
        <f>IFERROR(__xludf.DUMMYFUNCTION("""COMPUTED_VALUE"""),"Yes")</f>
        <v>Yes</v>
      </c>
      <c r="T43" s="10">
        <f>IFERROR(__xludf.DUMMYFUNCTION("""COMPUTED_VALUE"""),0.0)</f>
        <v>0</v>
      </c>
      <c r="U43" s="10">
        <f>IFERROR(__xludf.DUMMYFUNCTION("""COMPUTED_VALUE"""),1.0)</f>
        <v>1</v>
      </c>
      <c r="V43" s="10" t="str">
        <f>IFERROR(__xludf.DUMMYFUNCTION("""COMPUTED_VALUE"""),"Subrat ")</f>
        <v>Subrat </v>
      </c>
      <c r="W43" s="10" t="str">
        <f>IFERROR(__xludf.DUMMYFUNCTION("""COMPUTED_VALUE"""),"Zakar Allah ")</f>
        <v>Zakar Allah </v>
      </c>
      <c r="X43" s="10">
        <f>IFERROR(__xludf.DUMMYFUNCTION("""COMPUTED_VALUE"""),9.0)</f>
        <v>9</v>
      </c>
      <c r="Y43" s="10">
        <f>IFERROR(__xludf.DUMMYFUNCTION("""COMPUTED_VALUE"""),9.0)</f>
        <v>9</v>
      </c>
      <c r="Z43" s="10">
        <f>IFERROR(__xludf.DUMMYFUNCTION("""COMPUTED_VALUE"""),10.0)</f>
        <v>10</v>
      </c>
      <c r="AA43" s="10">
        <f>IFERROR(__xludf.DUMMYFUNCTION("""COMPUTED_VALUE"""),9.0)</f>
        <v>9</v>
      </c>
      <c r="AB43" s="10">
        <f>IFERROR(__xludf.DUMMYFUNCTION("""COMPUTED_VALUE"""),9.0)</f>
        <v>9</v>
      </c>
      <c r="AC43" s="10">
        <f>IFERROR(__xludf.DUMMYFUNCTION("""COMPUTED_VALUE"""),0.0)</f>
        <v>0</v>
      </c>
      <c r="AD43" s="10">
        <f>IFERROR(__xludf.DUMMYFUNCTION("""COMPUTED_VALUE"""),8.0)</f>
        <v>8</v>
      </c>
      <c r="AE43" s="10">
        <f>IFERROR(__xludf.DUMMYFUNCTION("""COMPUTED_VALUE"""),2.0)</f>
        <v>2</v>
      </c>
      <c r="AF43" s="10">
        <f>IFERROR(__xludf.DUMMYFUNCTION("""COMPUTED_VALUE"""),10.0)</f>
        <v>10</v>
      </c>
      <c r="AG43" s="10">
        <f>IFERROR(__xludf.DUMMYFUNCTION("""COMPUTED_VALUE"""),9.0)</f>
        <v>9</v>
      </c>
      <c r="AH43" s="10">
        <f>IFERROR(__xludf.DUMMYFUNCTION("""COMPUTED_VALUE"""),5.0)</f>
        <v>5</v>
      </c>
      <c r="AI43" s="10">
        <f>IFERROR(__xludf.DUMMYFUNCTION("""COMPUTED_VALUE"""),10.0)</f>
        <v>10</v>
      </c>
      <c r="AJ43" s="11" t="str">
        <f>IFERROR(__xludf.DUMMYFUNCTION("""COMPUTED_VALUE"""),"https://drive.google.com/open?id=1jJTqMTPKCyYHLXz17UdqgOn7EabV5YQZ")</f>
        <v>https://drive.google.com/open?id=1jJTqMTPKCyYHLXz17UdqgOn7EabV5YQZ</v>
      </c>
      <c r="AK43" s="12" t="str">
        <f>IFERROR(__xludf.DUMMYFUNCTION("""COMPUTED_VALUE"""),"No ")</f>
        <v>No </v>
      </c>
      <c r="AL43" s="12"/>
      <c r="AM43" s="12"/>
      <c r="AN43" s="12"/>
      <c r="AO43" s="13">
        <v>3.0</v>
      </c>
      <c r="AX43" s="13"/>
    </row>
    <row r="44">
      <c r="A44" s="8">
        <v>43.0</v>
      </c>
      <c r="B44" s="9">
        <f>IFERROR(__xludf.DUMMYFUNCTION("""COMPUTED_VALUE"""),45704.491373321755)</f>
        <v>45704.49137</v>
      </c>
      <c r="C44" s="10" t="str">
        <f>IFERROR(__xludf.DUMMYFUNCTION("""COMPUTED_VALUE"""),"Muhammad Ahsan")</f>
        <v>Muhammad Ahsan</v>
      </c>
      <c r="D44" s="10" t="str">
        <f>IFERROR(__xludf.DUMMYFUNCTION("""COMPUTED_VALUE"""),"03078868667")</f>
        <v>03078868667</v>
      </c>
      <c r="E44" s="10" t="str">
        <f>IFERROR(__xludf.DUMMYFUNCTION("""COMPUTED_VALUE"""),"Chor Shah Banadagi")</f>
        <v>Chor Shah Banadagi</v>
      </c>
      <c r="F44" s="10" t="str">
        <f>IFERROR(__xludf.DUMMYFUNCTION("""COMPUTED_VALUE"""),"cqafr")</f>
        <v>cqafr</v>
      </c>
      <c r="G44" s="10" t="str">
        <f>IFERROR(__xludf.DUMMYFUNCTION("""COMPUTED_VALUE"""),"No")</f>
        <v>No</v>
      </c>
      <c r="H44" s="10"/>
      <c r="I44" s="10"/>
      <c r="J44" s="10"/>
      <c r="K44" s="10">
        <f>IFERROR(__xludf.DUMMYFUNCTION("""COMPUTED_VALUE"""),5.0)</f>
        <v>5</v>
      </c>
      <c r="L44" s="10">
        <f>IFERROR(__xludf.DUMMYFUNCTION("""COMPUTED_VALUE"""),7.0)</f>
        <v>7</v>
      </c>
      <c r="M44" s="10">
        <f>IFERROR(__xludf.DUMMYFUNCTION("""COMPUTED_VALUE"""),6.0)</f>
        <v>6</v>
      </c>
      <c r="N44" s="10">
        <f>IFERROR(__xludf.DUMMYFUNCTION("""COMPUTED_VALUE"""),7.0)</f>
        <v>7</v>
      </c>
      <c r="O44" s="10">
        <f>IFERROR(__xludf.DUMMYFUNCTION("""COMPUTED_VALUE"""),1.0)</f>
        <v>1</v>
      </c>
      <c r="P44" s="10">
        <f>IFERROR(__xludf.DUMMYFUNCTION("""COMPUTED_VALUE"""),8.0)</f>
        <v>8</v>
      </c>
      <c r="Q44" s="10" t="str">
        <f>IFERROR(__xludf.DUMMYFUNCTION("""COMPUTED_VALUE"""),"No")</f>
        <v>No</v>
      </c>
      <c r="R44" s="10" t="str">
        <f>IFERROR(__xludf.DUMMYFUNCTION("""COMPUTED_VALUE"""),"No")</f>
        <v>No</v>
      </c>
      <c r="S44" s="10" t="str">
        <f>IFERROR(__xludf.DUMMYFUNCTION("""COMPUTED_VALUE"""),"No")</f>
        <v>No</v>
      </c>
      <c r="T44" s="10">
        <f>IFERROR(__xludf.DUMMYFUNCTION("""COMPUTED_VALUE"""),0.0)</f>
        <v>0</v>
      </c>
      <c r="U44" s="10">
        <f>IFERROR(__xludf.DUMMYFUNCTION("""COMPUTED_VALUE"""),0.0)</f>
        <v>0</v>
      </c>
      <c r="V44" s="10" t="str">
        <f>IFERROR(__xludf.DUMMYFUNCTION("""COMPUTED_VALUE"""),"Hakook ullah")</f>
        <v>Hakook ullah</v>
      </c>
      <c r="W44" s="10" t="str">
        <f>IFERROR(__xludf.DUMMYFUNCTION("""COMPUTED_VALUE"""),"imam na hakook ullah or hakook ul ibad ka bara ma bataya")</f>
        <v>imam na hakook ullah or hakook ul ibad ka bara ma bataya</v>
      </c>
      <c r="X44" s="10">
        <f>IFERROR(__xludf.DUMMYFUNCTION("""COMPUTED_VALUE"""),2.0)</f>
        <v>2</v>
      </c>
      <c r="Y44" s="10">
        <f>IFERROR(__xludf.DUMMYFUNCTION("""COMPUTED_VALUE"""),8.0)</f>
        <v>8</v>
      </c>
      <c r="Z44" s="10">
        <f>IFERROR(__xludf.DUMMYFUNCTION("""COMPUTED_VALUE"""),6.0)</f>
        <v>6</v>
      </c>
      <c r="AA44" s="10">
        <f>IFERROR(__xludf.DUMMYFUNCTION("""COMPUTED_VALUE"""),4.0)</f>
        <v>4</v>
      </c>
      <c r="AB44" s="10">
        <f>IFERROR(__xludf.DUMMYFUNCTION("""COMPUTED_VALUE"""),1.0)</f>
        <v>1</v>
      </c>
      <c r="AC44" s="10">
        <f>IFERROR(__xludf.DUMMYFUNCTION("""COMPUTED_VALUE"""),2.0)</f>
        <v>2</v>
      </c>
      <c r="AD44" s="10">
        <f>IFERROR(__xludf.DUMMYFUNCTION("""COMPUTED_VALUE"""),7.0)</f>
        <v>7</v>
      </c>
      <c r="AE44" s="10">
        <f>IFERROR(__xludf.DUMMYFUNCTION("""COMPUTED_VALUE"""),0.0)</f>
        <v>0</v>
      </c>
      <c r="AF44" s="10">
        <f>IFERROR(__xludf.DUMMYFUNCTION("""COMPUTED_VALUE"""),3.0)</f>
        <v>3</v>
      </c>
      <c r="AG44" s="10">
        <f>IFERROR(__xludf.DUMMYFUNCTION("""COMPUTED_VALUE"""),9.0)</f>
        <v>9</v>
      </c>
      <c r="AH44" s="10">
        <f>IFERROR(__xludf.DUMMYFUNCTION("""COMPUTED_VALUE"""),0.0)</f>
        <v>0</v>
      </c>
      <c r="AI44" s="10">
        <f>IFERROR(__xludf.DUMMYFUNCTION("""COMPUTED_VALUE"""),9.0)</f>
        <v>9</v>
      </c>
      <c r="AJ44" s="11" t="str">
        <f>IFERROR(__xludf.DUMMYFUNCTION("""COMPUTED_VALUE"""),"https://drive.google.com/open?id=1bxgUDBHB-KzlPl0BxLg9izK8voyMNi6M")</f>
        <v>https://drive.google.com/open?id=1bxgUDBHB-KzlPl0BxLg9izK8voyMNi6M</v>
      </c>
      <c r="AK44" s="12"/>
      <c r="AL44" s="12"/>
      <c r="AM44" s="12"/>
      <c r="AN44" s="12"/>
      <c r="AO44" s="13">
        <v>2.0</v>
      </c>
      <c r="AP44" s="8" t="s">
        <v>6</v>
      </c>
      <c r="AX44" s="13"/>
    </row>
    <row r="45">
      <c r="A45" s="8">
        <v>44.0</v>
      </c>
      <c r="B45" s="9">
        <f>IFERROR(__xludf.DUMMYFUNCTION("""COMPUTED_VALUE"""),45704.49752234954)</f>
        <v>45704.49752</v>
      </c>
      <c r="C45" s="10" t="str">
        <f>IFERROR(__xludf.DUMMYFUNCTION("""COMPUTED_VALUE"""),"Muhammad Ahsan")</f>
        <v>Muhammad Ahsan</v>
      </c>
      <c r="D45" s="10" t="str">
        <f>IFERROR(__xludf.DUMMYFUNCTION("""COMPUTED_VALUE"""),"03078868667")</f>
        <v>03078868667</v>
      </c>
      <c r="E45" s="10" t="str">
        <f>IFERROR(__xludf.DUMMYFUNCTION("""COMPUTED_VALUE"""),"جامع مسجد چوہڑ شاہ بندگی لاہور 3rd ")</f>
        <v>جامع مسجد چوہڑ شاہ بندگی لاہور 3rd </v>
      </c>
      <c r="F45" s="10" t="str">
        <f>IFERROR(__xludf.DUMMYFUNCTION("""COMPUTED_VALUE"""),"cqafr")</f>
        <v>cqafr</v>
      </c>
      <c r="G45" s="10" t="str">
        <f>IFERROR(__xludf.DUMMYFUNCTION("""COMPUTED_VALUE"""),"No")</f>
        <v>No</v>
      </c>
      <c r="H45" s="10"/>
      <c r="I45" s="10"/>
      <c r="J45" s="10"/>
      <c r="K45" s="10">
        <f>IFERROR(__xludf.DUMMYFUNCTION("""COMPUTED_VALUE"""),3.0)</f>
        <v>3</v>
      </c>
      <c r="L45" s="10">
        <f>IFERROR(__xludf.DUMMYFUNCTION("""COMPUTED_VALUE"""),8.0)</f>
        <v>8</v>
      </c>
      <c r="M45" s="10">
        <f>IFERROR(__xludf.DUMMYFUNCTION("""COMPUTED_VALUE"""),8.0)</f>
        <v>8</v>
      </c>
      <c r="N45" s="10">
        <f>IFERROR(__xludf.DUMMYFUNCTION("""COMPUTED_VALUE"""),8.0)</f>
        <v>8</v>
      </c>
      <c r="O45" s="10">
        <f>IFERROR(__xludf.DUMMYFUNCTION("""COMPUTED_VALUE"""),4.0)</f>
        <v>4</v>
      </c>
      <c r="P45" s="10">
        <f>IFERROR(__xludf.DUMMYFUNCTION("""COMPUTED_VALUE"""),6.0)</f>
        <v>6</v>
      </c>
      <c r="Q45" s="10" t="str">
        <f>IFERROR(__xludf.DUMMYFUNCTION("""COMPUTED_VALUE"""),"No")</f>
        <v>No</v>
      </c>
      <c r="R45" s="10" t="str">
        <f>IFERROR(__xludf.DUMMYFUNCTION("""COMPUTED_VALUE"""),"No")</f>
        <v>No</v>
      </c>
      <c r="S45" s="10" t="str">
        <f>IFERROR(__xludf.DUMMYFUNCTION("""COMPUTED_VALUE"""),"Yes")</f>
        <v>Yes</v>
      </c>
      <c r="T45" s="10">
        <f>IFERROR(__xludf.DUMMYFUNCTION("""COMPUTED_VALUE"""),0.0)</f>
        <v>0</v>
      </c>
      <c r="U45" s="10">
        <f>IFERROR(__xludf.DUMMYFUNCTION("""COMPUTED_VALUE"""),0.0)</f>
        <v>0</v>
      </c>
      <c r="V45" s="10" t="str">
        <f>IFERROR(__xludf.DUMMYFUNCTION("""COMPUTED_VALUE"""),"Hakook ullah")</f>
        <v>Hakook ullah</v>
      </c>
      <c r="W45" s="10" t="str">
        <f>IFERROR(__xludf.DUMMYFUNCTION("""COMPUTED_VALUE"""),"hakook ullah ka bara ma bataya imam ka bayan acha tha")</f>
        <v>hakook ullah ka bara ma bataya imam ka bayan acha tha</v>
      </c>
      <c r="X45" s="10">
        <f>IFERROR(__xludf.DUMMYFUNCTION("""COMPUTED_VALUE"""),5.0)</f>
        <v>5</v>
      </c>
      <c r="Y45" s="10">
        <f>IFERROR(__xludf.DUMMYFUNCTION("""COMPUTED_VALUE"""),7.0)</f>
        <v>7</v>
      </c>
      <c r="Z45" s="10">
        <f>IFERROR(__xludf.DUMMYFUNCTION("""COMPUTED_VALUE"""),1.0)</f>
        <v>1</v>
      </c>
      <c r="AA45" s="10">
        <f>IFERROR(__xludf.DUMMYFUNCTION("""COMPUTED_VALUE"""),7.0)</f>
        <v>7</v>
      </c>
      <c r="AB45" s="10">
        <f>IFERROR(__xludf.DUMMYFUNCTION("""COMPUTED_VALUE"""),0.0)</f>
        <v>0</v>
      </c>
      <c r="AC45" s="10">
        <f>IFERROR(__xludf.DUMMYFUNCTION("""COMPUTED_VALUE"""),0.0)</f>
        <v>0</v>
      </c>
      <c r="AD45" s="10">
        <f>IFERROR(__xludf.DUMMYFUNCTION("""COMPUTED_VALUE"""),3.0)</f>
        <v>3</v>
      </c>
      <c r="AE45" s="10">
        <f>IFERROR(__xludf.DUMMYFUNCTION("""COMPUTED_VALUE"""),0.0)</f>
        <v>0</v>
      </c>
      <c r="AF45" s="10">
        <f>IFERROR(__xludf.DUMMYFUNCTION("""COMPUTED_VALUE"""),1.0)</f>
        <v>1</v>
      </c>
      <c r="AG45" s="10">
        <f>IFERROR(__xludf.DUMMYFUNCTION("""COMPUTED_VALUE"""),9.0)</f>
        <v>9</v>
      </c>
      <c r="AH45" s="10">
        <f>IFERROR(__xludf.DUMMYFUNCTION("""COMPUTED_VALUE"""),0.0)</f>
        <v>0</v>
      </c>
      <c r="AI45" s="10">
        <f>IFERROR(__xludf.DUMMYFUNCTION("""COMPUTED_VALUE"""),9.0)</f>
        <v>9</v>
      </c>
      <c r="AJ45" s="11" t="str">
        <f>IFERROR(__xludf.DUMMYFUNCTION("""COMPUTED_VALUE"""),"https://drive.google.com/open?id=17yIW-M2kbupIOtdZM1e_cGUJXfavXVn5")</f>
        <v>https://drive.google.com/open?id=17yIW-M2kbupIOtdZM1e_cGUJXfavXVn5</v>
      </c>
      <c r="AK45" s="12"/>
      <c r="AL45" s="12"/>
      <c r="AM45" s="12"/>
      <c r="AN45" s="12"/>
      <c r="AO45" s="13">
        <v>3.0</v>
      </c>
      <c r="AP45" s="8" t="s">
        <v>6</v>
      </c>
      <c r="AX45" s="13"/>
    </row>
    <row r="46">
      <c r="A46" s="8">
        <v>45.0</v>
      </c>
      <c r="B46" s="9">
        <f>IFERROR(__xludf.DUMMYFUNCTION("""COMPUTED_VALUE"""),45704.510335555555)</f>
        <v>45704.51034</v>
      </c>
      <c r="C46" s="10" t="str">
        <f>IFERROR(__xludf.DUMMYFUNCTION("""COMPUTED_VALUE"""),"Shakeela Rafique")</f>
        <v>Shakeela Rafique</v>
      </c>
      <c r="D46" s="10" t="str">
        <f>IFERROR(__xludf.DUMMYFUNCTION("""COMPUTED_VALUE"""),"03359485820")</f>
        <v>03359485820</v>
      </c>
      <c r="E46" s="10" t="str">
        <f>IFERROR(__xludf.DUMMYFUNCTION("""COMPUTED_VALUE"""),"Jamia Masjid Darbar Shah Muhammad Ghous Lahore")</f>
        <v>Jamia Masjid Darbar Shah Muhammad Ghous Lahore</v>
      </c>
      <c r="F46" s="10" t="str">
        <f>IFERROR(__xludf.DUMMYFUNCTION("""COMPUTED_VALUE"""),"rzccc")</f>
        <v>rzccc</v>
      </c>
      <c r="G46" s="10" t="str">
        <f>IFERROR(__xludf.DUMMYFUNCTION("""COMPUTED_VALUE"""),"No")</f>
        <v>No</v>
      </c>
      <c r="H46" s="10"/>
      <c r="I46" s="10"/>
      <c r="J46" s="10"/>
      <c r="K46" s="10">
        <f>IFERROR(__xludf.DUMMYFUNCTION("""COMPUTED_VALUE"""),0.0)</f>
        <v>0</v>
      </c>
      <c r="L46" s="10">
        <f>IFERROR(__xludf.DUMMYFUNCTION("""COMPUTED_VALUE"""),0.0)</f>
        <v>0</v>
      </c>
      <c r="M46" s="10">
        <f>IFERROR(__xludf.DUMMYFUNCTION("""COMPUTED_VALUE"""),0.0)</f>
        <v>0</v>
      </c>
      <c r="N46" s="10">
        <f>IFERROR(__xludf.DUMMYFUNCTION("""COMPUTED_VALUE"""),0.0)</f>
        <v>0</v>
      </c>
      <c r="O46" s="10">
        <f>IFERROR(__xludf.DUMMYFUNCTION("""COMPUTED_VALUE"""),0.0)</f>
        <v>0</v>
      </c>
      <c r="P46" s="10">
        <f>IFERROR(__xludf.DUMMYFUNCTION("""COMPUTED_VALUE"""),0.0)</f>
        <v>0</v>
      </c>
      <c r="Q46" s="10" t="str">
        <f>IFERROR(__xludf.DUMMYFUNCTION("""COMPUTED_VALUE"""),"No")</f>
        <v>No</v>
      </c>
      <c r="R46" s="10" t="str">
        <f>IFERROR(__xludf.DUMMYFUNCTION("""COMPUTED_VALUE"""),"No")</f>
        <v>No</v>
      </c>
      <c r="S46" s="10" t="str">
        <f>IFERROR(__xludf.DUMMYFUNCTION("""COMPUTED_VALUE"""),"No")</f>
        <v>No</v>
      </c>
      <c r="T46" s="10">
        <f>IFERROR(__xludf.DUMMYFUNCTION("""COMPUTED_VALUE"""),0.0)</f>
        <v>0</v>
      </c>
      <c r="U46" s="10">
        <f>IFERROR(__xludf.DUMMYFUNCTION("""COMPUTED_VALUE"""),0.0)</f>
        <v>0</v>
      </c>
      <c r="V46" s="10" t="str">
        <f>IFERROR(__xludf.DUMMYFUNCTION("""COMPUTED_VALUE"""),"Shab e barat")</f>
        <v>Shab e barat</v>
      </c>
      <c r="W46" s="10" t="str">
        <f>IFERROR(__xludf.DUMMYFUNCTION("""COMPUTED_VALUE"""),"mah e shaban ki fazilat")</f>
        <v>mah e shaban ki fazilat</v>
      </c>
      <c r="X46" s="10">
        <f>IFERROR(__xludf.DUMMYFUNCTION("""COMPUTED_VALUE"""),0.0)</f>
        <v>0</v>
      </c>
      <c r="Y46" s="10">
        <f>IFERROR(__xludf.DUMMYFUNCTION("""COMPUTED_VALUE"""),0.0)</f>
        <v>0</v>
      </c>
      <c r="Z46" s="10">
        <f>IFERROR(__xludf.DUMMYFUNCTION("""COMPUTED_VALUE"""),0.0)</f>
        <v>0</v>
      </c>
      <c r="AA46" s="10">
        <f>IFERROR(__xludf.DUMMYFUNCTION("""COMPUTED_VALUE"""),6.0)</f>
        <v>6</v>
      </c>
      <c r="AB46" s="10">
        <f>IFERROR(__xludf.DUMMYFUNCTION("""COMPUTED_VALUE"""),6.0)</f>
        <v>6</v>
      </c>
      <c r="AC46" s="10">
        <f>IFERROR(__xludf.DUMMYFUNCTION("""COMPUTED_VALUE"""),1.0)</f>
        <v>1</v>
      </c>
      <c r="AD46" s="10">
        <f>IFERROR(__xludf.DUMMYFUNCTION("""COMPUTED_VALUE"""),2.0)</f>
        <v>2</v>
      </c>
      <c r="AE46" s="10">
        <f>IFERROR(__xludf.DUMMYFUNCTION("""COMPUTED_VALUE"""),0.0)</f>
        <v>0</v>
      </c>
      <c r="AF46" s="10">
        <f>IFERROR(__xludf.DUMMYFUNCTION("""COMPUTED_VALUE"""),5.0)</f>
        <v>5</v>
      </c>
      <c r="AG46" s="10">
        <f>IFERROR(__xludf.DUMMYFUNCTION("""COMPUTED_VALUE"""),6.0)</f>
        <v>6</v>
      </c>
      <c r="AH46" s="10">
        <f>IFERROR(__xludf.DUMMYFUNCTION("""COMPUTED_VALUE"""),0.0)</f>
        <v>0</v>
      </c>
      <c r="AI46" s="10">
        <f>IFERROR(__xludf.DUMMYFUNCTION("""COMPUTED_VALUE"""),6.0)</f>
        <v>6</v>
      </c>
      <c r="AJ46" s="11" t="str">
        <f>IFERROR(__xludf.DUMMYFUNCTION("""COMPUTED_VALUE"""),"https://drive.google.com/open?id=1NQ1uFjRUPZJ9xbPQ3_8G2BzUkmR2utlS")</f>
        <v>https://drive.google.com/open?id=1NQ1uFjRUPZJ9xbPQ3_8G2BzUkmR2utlS</v>
      </c>
      <c r="AK46" s="12"/>
      <c r="AL46" s="12"/>
      <c r="AM46" s="12"/>
      <c r="AN46" s="12"/>
      <c r="AO46" s="13">
        <v>1.0</v>
      </c>
      <c r="AX46" s="13"/>
    </row>
    <row r="47">
      <c r="A47" s="8">
        <v>46.0</v>
      </c>
      <c r="B47" s="9">
        <f>IFERROR(__xludf.DUMMYFUNCTION("""COMPUTED_VALUE"""),45704.52118318287)</f>
        <v>45704.52118</v>
      </c>
      <c r="C47" s="10" t="str">
        <f>IFERROR(__xludf.DUMMYFUNCTION("""COMPUTED_VALUE"""),"Shakeela Rafique")</f>
        <v>Shakeela Rafique</v>
      </c>
      <c r="D47" s="10" t="str">
        <f>IFERROR(__xludf.DUMMYFUNCTION("""COMPUTED_VALUE"""),"03359485820")</f>
        <v>03359485820</v>
      </c>
      <c r="E47" s="10" t="str">
        <f>IFERROR(__xludf.DUMMYFUNCTION("""COMPUTED_VALUE"""),"Jamia Masjid Chila Gah Tabha Fareed Lahore")</f>
        <v>Jamia Masjid Chila Gah Tabha Fareed Lahore</v>
      </c>
      <c r="F47" s="10" t="str">
        <f>IFERROR(__xludf.DUMMYFUNCTION("""COMPUTED_VALUE"""),"eiuou")</f>
        <v>eiuou</v>
      </c>
      <c r="G47" s="10" t="str">
        <f>IFERROR(__xludf.DUMMYFUNCTION("""COMPUTED_VALUE"""),"No")</f>
        <v>No</v>
      </c>
      <c r="H47" s="10"/>
      <c r="I47" s="10"/>
      <c r="J47" s="10"/>
      <c r="K47" s="10">
        <f>IFERROR(__xludf.DUMMYFUNCTION("""COMPUTED_VALUE"""),0.0)</f>
        <v>0</v>
      </c>
      <c r="L47" s="10">
        <f>IFERROR(__xludf.DUMMYFUNCTION("""COMPUTED_VALUE"""),0.0)</f>
        <v>0</v>
      </c>
      <c r="M47" s="10">
        <f>IFERROR(__xludf.DUMMYFUNCTION("""COMPUTED_VALUE"""),0.0)</f>
        <v>0</v>
      </c>
      <c r="N47" s="10">
        <f>IFERROR(__xludf.DUMMYFUNCTION("""COMPUTED_VALUE"""),0.0)</f>
        <v>0</v>
      </c>
      <c r="O47" s="10">
        <f>IFERROR(__xludf.DUMMYFUNCTION("""COMPUTED_VALUE"""),0.0)</f>
        <v>0</v>
      </c>
      <c r="P47" s="10">
        <f>IFERROR(__xludf.DUMMYFUNCTION("""COMPUTED_VALUE"""),0.0)</f>
        <v>0</v>
      </c>
      <c r="Q47" s="10" t="str">
        <f>IFERROR(__xludf.DUMMYFUNCTION("""COMPUTED_VALUE"""),"No")</f>
        <v>No</v>
      </c>
      <c r="R47" s="10" t="str">
        <f>IFERROR(__xludf.DUMMYFUNCTION("""COMPUTED_VALUE"""),"No")</f>
        <v>No</v>
      </c>
      <c r="S47" s="10" t="str">
        <f>IFERROR(__xludf.DUMMYFUNCTION("""COMPUTED_VALUE"""),"No")</f>
        <v>No</v>
      </c>
      <c r="T47" s="10">
        <f>IFERROR(__xludf.DUMMYFUNCTION("""COMPUTED_VALUE"""),0.0)</f>
        <v>0</v>
      </c>
      <c r="U47" s="10">
        <f>IFERROR(__xludf.DUMMYFUNCTION("""COMPUTED_VALUE"""),0.0)</f>
        <v>0</v>
      </c>
      <c r="V47" s="10" t="str">
        <f>IFERROR(__xludf.DUMMYFUNCTION("""COMPUTED_VALUE"""),"Velantine's day")</f>
        <v>Velantine's day</v>
      </c>
      <c r="W47" s="10" t="str">
        <f>IFERROR(__xludf.DUMMYFUNCTION("""COMPUTED_VALUE"""),"fahashi k khilaf bt ki")</f>
        <v>fahashi k khilaf bt ki</v>
      </c>
      <c r="X47" s="10">
        <f>IFERROR(__xludf.DUMMYFUNCTION("""COMPUTED_VALUE"""),0.0)</f>
        <v>0</v>
      </c>
      <c r="Y47" s="10">
        <f>IFERROR(__xludf.DUMMYFUNCTION("""COMPUTED_VALUE"""),0.0)</f>
        <v>0</v>
      </c>
      <c r="Z47" s="10">
        <f>IFERROR(__xludf.DUMMYFUNCTION("""COMPUTED_VALUE"""),0.0)</f>
        <v>0</v>
      </c>
      <c r="AA47" s="10">
        <f>IFERROR(__xludf.DUMMYFUNCTION("""COMPUTED_VALUE"""),5.0)</f>
        <v>5</v>
      </c>
      <c r="AB47" s="10">
        <f>IFERROR(__xludf.DUMMYFUNCTION("""COMPUTED_VALUE"""),0.0)</f>
        <v>0</v>
      </c>
      <c r="AC47" s="10">
        <f>IFERROR(__xludf.DUMMYFUNCTION("""COMPUTED_VALUE"""),3.0)</f>
        <v>3</v>
      </c>
      <c r="AD47" s="10">
        <f>IFERROR(__xludf.DUMMYFUNCTION("""COMPUTED_VALUE"""),4.0)</f>
        <v>4</v>
      </c>
      <c r="AE47" s="10">
        <f>IFERROR(__xludf.DUMMYFUNCTION("""COMPUTED_VALUE"""),3.0)</f>
        <v>3</v>
      </c>
      <c r="AF47" s="10">
        <f>IFERROR(__xludf.DUMMYFUNCTION("""COMPUTED_VALUE"""),7.0)</f>
        <v>7</v>
      </c>
      <c r="AG47" s="10">
        <f>IFERROR(__xludf.DUMMYFUNCTION("""COMPUTED_VALUE"""),10.0)</f>
        <v>10</v>
      </c>
      <c r="AH47" s="10">
        <f>IFERROR(__xludf.DUMMYFUNCTION("""COMPUTED_VALUE"""),0.0)</f>
        <v>0</v>
      </c>
      <c r="AI47" s="10">
        <f>IFERROR(__xludf.DUMMYFUNCTION("""COMPUTED_VALUE"""),9.0)</f>
        <v>9</v>
      </c>
      <c r="AJ47" s="11" t="str">
        <f>IFERROR(__xludf.DUMMYFUNCTION("""COMPUTED_VALUE"""),"https://drive.google.com/open?id=1PAjh4PJKWgMI4KgPWZ8P_ntUMZo_2xtv")</f>
        <v>https://drive.google.com/open?id=1PAjh4PJKWgMI4KgPWZ8P_ntUMZo_2xtv</v>
      </c>
      <c r="AK47" s="12"/>
      <c r="AL47" s="12"/>
      <c r="AM47" s="12"/>
      <c r="AN47" s="12"/>
      <c r="AO47" s="13">
        <v>3.0</v>
      </c>
      <c r="AX47" s="13"/>
    </row>
    <row r="48">
      <c r="A48" s="8">
        <v>47.0</v>
      </c>
      <c r="B48" s="9">
        <f>IFERROR(__xludf.DUMMYFUNCTION("""COMPUTED_VALUE"""),45704.59830827547)</f>
        <v>45704.59831</v>
      </c>
      <c r="C48" s="10" t="str">
        <f>IFERROR(__xludf.DUMMYFUNCTION("""COMPUTED_VALUE"""),"Abdul Rauf ")</f>
        <v>Abdul Rauf </v>
      </c>
      <c r="D48" s="10" t="str">
        <f>IFERROR(__xludf.DUMMYFUNCTION("""COMPUTED_VALUE"""),"03008789090")</f>
        <v>03008789090</v>
      </c>
      <c r="E48" s="10" t="str">
        <f>IFERROR(__xludf.DUMMYFUNCTION("""COMPUTED_VALUE"""),"Taxsali gate ")</f>
        <v>Taxsali gate </v>
      </c>
      <c r="F48" s="10" t="str">
        <f>IFERROR(__xludf.DUMMYFUNCTION("""COMPUTED_VALUE"""),"FITMR")</f>
        <v>FITMR</v>
      </c>
      <c r="G48" s="10" t="str">
        <f>IFERROR(__xludf.DUMMYFUNCTION("""COMPUTED_VALUE"""),"Yes")</f>
        <v>Yes</v>
      </c>
      <c r="H48" s="10">
        <f>IFERROR(__xludf.DUMMYFUNCTION("""COMPUTED_VALUE"""),1.0)</f>
        <v>1</v>
      </c>
      <c r="I48" s="10">
        <f>IFERROR(__xludf.DUMMYFUNCTION("""COMPUTED_VALUE"""),10.0)</f>
        <v>10</v>
      </c>
      <c r="J48" s="10">
        <f>IFERROR(__xludf.DUMMYFUNCTION("""COMPUTED_VALUE"""),2.0)</f>
        <v>2</v>
      </c>
      <c r="K48" s="10">
        <f>IFERROR(__xludf.DUMMYFUNCTION("""COMPUTED_VALUE"""),2.0)</f>
        <v>2</v>
      </c>
      <c r="L48" s="10">
        <f>IFERROR(__xludf.DUMMYFUNCTION("""COMPUTED_VALUE"""),4.0)</f>
        <v>4</v>
      </c>
      <c r="M48" s="10">
        <f>IFERROR(__xludf.DUMMYFUNCTION("""COMPUTED_VALUE"""),9.0)</f>
        <v>9</v>
      </c>
      <c r="N48" s="10">
        <f>IFERROR(__xludf.DUMMYFUNCTION("""COMPUTED_VALUE"""),2.0)</f>
        <v>2</v>
      </c>
      <c r="O48" s="10">
        <f>IFERROR(__xludf.DUMMYFUNCTION("""COMPUTED_VALUE"""),9.0)</f>
        <v>9</v>
      </c>
      <c r="P48" s="10">
        <f>IFERROR(__xludf.DUMMYFUNCTION("""COMPUTED_VALUE"""),10.0)</f>
        <v>10</v>
      </c>
      <c r="Q48" s="10" t="str">
        <f>IFERROR(__xludf.DUMMYFUNCTION("""COMPUTED_VALUE"""),"No")</f>
        <v>No</v>
      </c>
      <c r="R48" s="10" t="str">
        <f>IFERROR(__xludf.DUMMYFUNCTION("""COMPUTED_VALUE"""),"Yes")</f>
        <v>Yes</v>
      </c>
      <c r="S48" s="10" t="str">
        <f>IFERROR(__xludf.DUMMYFUNCTION("""COMPUTED_VALUE"""),"No")</f>
        <v>No</v>
      </c>
      <c r="T48" s="10">
        <f>IFERROR(__xludf.DUMMYFUNCTION("""COMPUTED_VALUE"""),0.0)</f>
        <v>0</v>
      </c>
      <c r="U48" s="10">
        <f>IFERROR(__xludf.DUMMYFUNCTION("""COMPUTED_VALUE"""),0.0)</f>
        <v>0</v>
      </c>
      <c r="V48" s="10" t="str">
        <f>IFERROR(__xludf.DUMMYFUNCTION("""COMPUTED_VALUE"""),"Namaz ")</f>
        <v>Namaz </v>
      </c>
      <c r="W48" s="10" t="str">
        <f>IFERROR(__xludf.DUMMYFUNCTION("""COMPUTED_VALUE"""),"Namaz roza  janaza")</f>
        <v>Namaz roza  janaza</v>
      </c>
      <c r="X48" s="10">
        <f>IFERROR(__xludf.DUMMYFUNCTION("""COMPUTED_VALUE"""),10.0)</f>
        <v>10</v>
      </c>
      <c r="Y48" s="10">
        <f>IFERROR(__xludf.DUMMYFUNCTION("""COMPUTED_VALUE"""),7.0)</f>
        <v>7</v>
      </c>
      <c r="Z48" s="10">
        <f>IFERROR(__xludf.DUMMYFUNCTION("""COMPUTED_VALUE"""),0.0)</f>
        <v>0</v>
      </c>
      <c r="AA48" s="10">
        <f>IFERROR(__xludf.DUMMYFUNCTION("""COMPUTED_VALUE"""),10.0)</f>
        <v>10</v>
      </c>
      <c r="AB48" s="10">
        <f>IFERROR(__xludf.DUMMYFUNCTION("""COMPUTED_VALUE"""),9.0)</f>
        <v>9</v>
      </c>
      <c r="AC48" s="10">
        <f>IFERROR(__xludf.DUMMYFUNCTION("""COMPUTED_VALUE"""),10.0)</f>
        <v>10</v>
      </c>
      <c r="AD48" s="10">
        <f>IFERROR(__xludf.DUMMYFUNCTION("""COMPUTED_VALUE"""),9.0)</f>
        <v>9</v>
      </c>
      <c r="AE48" s="10">
        <f>IFERROR(__xludf.DUMMYFUNCTION("""COMPUTED_VALUE"""),1.0)</f>
        <v>1</v>
      </c>
      <c r="AF48" s="10">
        <f>IFERROR(__xludf.DUMMYFUNCTION("""COMPUTED_VALUE"""),10.0)</f>
        <v>10</v>
      </c>
      <c r="AG48" s="10">
        <f>IFERROR(__xludf.DUMMYFUNCTION("""COMPUTED_VALUE"""),10.0)</f>
        <v>10</v>
      </c>
      <c r="AH48" s="10">
        <f>IFERROR(__xludf.DUMMYFUNCTION("""COMPUTED_VALUE"""),0.0)</f>
        <v>0</v>
      </c>
      <c r="AI48" s="10">
        <f>IFERROR(__xludf.DUMMYFUNCTION("""COMPUTED_VALUE"""),9.0)</f>
        <v>9</v>
      </c>
      <c r="AJ48" s="11" t="str">
        <f>IFERROR(__xludf.DUMMYFUNCTION("""COMPUTED_VALUE"""),"https://drive.google.com/open?id=14lfGntALIMdqDLfHCs9cByjNUI_tStof")</f>
        <v>https://drive.google.com/open?id=14lfGntALIMdqDLfHCs9cByjNUI_tStof</v>
      </c>
      <c r="AK48" s="12" t="str">
        <f>IFERROR(__xludf.DUMMYFUNCTION("""COMPUTED_VALUE"""),"Koi ni hohi sab ok ")</f>
        <v>Koi ni hohi sab ok </v>
      </c>
      <c r="AL48" s="12"/>
      <c r="AM48" s="12"/>
      <c r="AN48" s="12"/>
      <c r="AO48" s="13">
        <v>3.0</v>
      </c>
      <c r="AX48" s="13"/>
    </row>
    <row r="49">
      <c r="A49" s="8">
        <v>48.0</v>
      </c>
      <c r="B49" s="9">
        <f>IFERROR(__xludf.DUMMYFUNCTION("""COMPUTED_VALUE"""),45704.943737256945)</f>
        <v>45704.94374</v>
      </c>
      <c r="C49" s="10" t="str">
        <f>IFERROR(__xludf.DUMMYFUNCTION("""COMPUTED_VALUE"""),"Muhammad saqib ")</f>
        <v>Muhammad saqib </v>
      </c>
      <c r="D49" s="10" t="str">
        <f>IFERROR(__xludf.DUMMYFUNCTION("""COMPUTED_VALUE"""),"03234041429")</f>
        <v>03234041429</v>
      </c>
      <c r="E49" s="10" t="str">
        <f>IFERROR(__xludf.DUMMYFUNCTION("""COMPUTED_VALUE"""),"Jamia masjid zanjani")</f>
        <v>Jamia masjid zanjani</v>
      </c>
      <c r="F49" s="10" t="str">
        <f>IFERROR(__xludf.DUMMYFUNCTION("""COMPUTED_VALUE"""),"ljvby")</f>
        <v>ljvby</v>
      </c>
      <c r="G49" s="10" t="str">
        <f>IFERROR(__xludf.DUMMYFUNCTION("""COMPUTED_VALUE"""),"Yes")</f>
        <v>Yes</v>
      </c>
      <c r="H49" s="10">
        <f>IFERROR(__xludf.DUMMYFUNCTION("""COMPUTED_VALUE"""),5.0)</f>
        <v>5</v>
      </c>
      <c r="I49" s="10">
        <f>IFERROR(__xludf.DUMMYFUNCTION("""COMPUTED_VALUE"""),5.0)</f>
        <v>5</v>
      </c>
      <c r="J49" s="10">
        <f>IFERROR(__xludf.DUMMYFUNCTION("""COMPUTED_VALUE"""),5.0)</f>
        <v>5</v>
      </c>
      <c r="K49" s="10">
        <f>IFERROR(__xludf.DUMMYFUNCTION("""COMPUTED_VALUE"""),6.0)</f>
        <v>6</v>
      </c>
      <c r="L49" s="10">
        <f>IFERROR(__xludf.DUMMYFUNCTION("""COMPUTED_VALUE"""),5.0)</f>
        <v>5</v>
      </c>
      <c r="M49" s="10">
        <f>IFERROR(__xludf.DUMMYFUNCTION("""COMPUTED_VALUE"""),6.0)</f>
        <v>6</v>
      </c>
      <c r="N49" s="10">
        <f>IFERROR(__xludf.DUMMYFUNCTION("""COMPUTED_VALUE"""),5.0)</f>
        <v>5</v>
      </c>
      <c r="O49" s="10">
        <f>IFERROR(__xludf.DUMMYFUNCTION("""COMPUTED_VALUE"""),1.0)</f>
        <v>1</v>
      </c>
      <c r="P49" s="10">
        <f>IFERROR(__xludf.DUMMYFUNCTION("""COMPUTED_VALUE"""),1.0)</f>
        <v>1</v>
      </c>
      <c r="Q49" s="10" t="str">
        <f>IFERROR(__xludf.DUMMYFUNCTION("""COMPUTED_VALUE"""),"No")</f>
        <v>No</v>
      </c>
      <c r="R49" s="10" t="str">
        <f>IFERROR(__xludf.DUMMYFUNCTION("""COMPUTED_VALUE"""),"No")</f>
        <v>No</v>
      </c>
      <c r="S49" s="10" t="str">
        <f>IFERROR(__xludf.DUMMYFUNCTION("""COMPUTED_VALUE"""),"No")</f>
        <v>No</v>
      </c>
      <c r="T49" s="10">
        <f>IFERROR(__xludf.DUMMYFUNCTION("""COMPUTED_VALUE"""),0.0)</f>
        <v>0</v>
      </c>
      <c r="U49" s="10">
        <f>IFERROR(__xludf.DUMMYFUNCTION("""COMPUTED_VALUE"""),1.0)</f>
        <v>1</v>
      </c>
      <c r="V49" s="10" t="str">
        <f>IFERROR(__xludf.DUMMYFUNCTION("""COMPUTED_VALUE"""),"Lailatuqadar ka waqaia.sidra tul muntha ka safar.hamasyo ke haqooa")</f>
        <v>Lailatuqadar ka waqaia.sidra tul muntha ka safar.hamasyo ke haqooa</v>
      </c>
      <c r="W49" s="10" t="str">
        <f>IFERROR(__xludf.DUMMYFUNCTION("""COMPUTED_VALUE"""),"Ap sallall ho alihe wasalm ki parvi or on ka waqai Meraj.")</f>
        <v>Ap sallall ho alihe wasalm ki parvi or on ka waqai Meraj.</v>
      </c>
      <c r="X49" s="10">
        <f>IFERROR(__xludf.DUMMYFUNCTION("""COMPUTED_VALUE"""),5.0)</f>
        <v>5</v>
      </c>
      <c r="Y49" s="10">
        <f>IFERROR(__xludf.DUMMYFUNCTION("""COMPUTED_VALUE"""),5.0)</f>
        <v>5</v>
      </c>
      <c r="Z49" s="10">
        <f>IFERROR(__xludf.DUMMYFUNCTION("""COMPUTED_VALUE"""),4.0)</f>
        <v>4</v>
      </c>
      <c r="AA49" s="10">
        <f>IFERROR(__xludf.DUMMYFUNCTION("""COMPUTED_VALUE"""),6.0)</f>
        <v>6</v>
      </c>
      <c r="AB49" s="10">
        <f>IFERROR(__xludf.DUMMYFUNCTION("""COMPUTED_VALUE"""),5.0)</f>
        <v>5</v>
      </c>
      <c r="AC49" s="10">
        <f>IFERROR(__xludf.DUMMYFUNCTION("""COMPUTED_VALUE"""),1.0)</f>
        <v>1</v>
      </c>
      <c r="AD49" s="10">
        <f>IFERROR(__xludf.DUMMYFUNCTION("""COMPUTED_VALUE"""),1.0)</f>
        <v>1</v>
      </c>
      <c r="AE49" s="10">
        <f>IFERROR(__xludf.DUMMYFUNCTION("""COMPUTED_VALUE"""),5.0)</f>
        <v>5</v>
      </c>
      <c r="AF49" s="10">
        <f>IFERROR(__xludf.DUMMYFUNCTION("""COMPUTED_VALUE"""),5.0)</f>
        <v>5</v>
      </c>
      <c r="AG49" s="10">
        <f>IFERROR(__xludf.DUMMYFUNCTION("""COMPUTED_VALUE"""),6.0)</f>
        <v>6</v>
      </c>
      <c r="AH49" s="10">
        <f>IFERROR(__xludf.DUMMYFUNCTION("""COMPUTED_VALUE"""),1.0)</f>
        <v>1</v>
      </c>
      <c r="AI49" s="10">
        <f>IFERROR(__xludf.DUMMYFUNCTION("""COMPUTED_VALUE"""),7.0)</f>
        <v>7</v>
      </c>
      <c r="AJ49" s="11" t="str">
        <f>IFERROR(__xludf.DUMMYFUNCTION("""COMPUTED_VALUE"""),"https://docs.google.com/document/d/1jD8H1_2zdW8irTwP441-R-LRM5d6shZV/edit?usp=drive_link&amp;ouid=117122465010506134151&amp;rtpof=true&amp;sd=true")</f>
        <v>https://docs.google.com/document/d/1jD8H1_2zdW8irTwP441-R-LRM5d6shZV/edit?usp=drive_link&amp;ouid=117122465010506134151&amp;rtpof=true&amp;sd=true</v>
      </c>
      <c r="AK49" s="12" t="str">
        <f>IFERROR(__xludf.DUMMYFUNCTION("""COMPUTED_VALUE"""),"No")</f>
        <v>No</v>
      </c>
      <c r="AL49" s="12"/>
      <c r="AM49" s="12"/>
      <c r="AN49" s="12" t="str">
        <f>IFERROR(__xludf.DUMMYFUNCTION("""COMPUTED_VALUE"""),"week 1")</f>
        <v>week 1</v>
      </c>
      <c r="AO49" s="13">
        <v>1.0</v>
      </c>
      <c r="AX49" s="13"/>
    </row>
    <row r="50">
      <c r="A50" s="8">
        <v>49.0</v>
      </c>
      <c r="B50" s="9">
        <f>IFERROR(__xludf.DUMMYFUNCTION("""COMPUTED_VALUE"""),45705.254335949074)</f>
        <v>45705.25434</v>
      </c>
      <c r="C50" s="10" t="str">
        <f>IFERROR(__xludf.DUMMYFUNCTION("""COMPUTED_VALUE"""),"Shakeela")</f>
        <v>Shakeela</v>
      </c>
      <c r="D50" s="10" t="str">
        <f>IFERROR(__xludf.DUMMYFUNCTION("""COMPUTED_VALUE"""),"03359485820")</f>
        <v>03359485820</v>
      </c>
      <c r="E50" s="10" t="str">
        <f>IFERROR(__xludf.DUMMYFUNCTION("""COMPUTED_VALUE"""),"Jamia Masjid Putar Nagha, Lahore")</f>
        <v>Jamia Masjid Putar Nagha, Lahore</v>
      </c>
      <c r="F50" s="10" t="str">
        <f>IFERROR(__xludf.DUMMYFUNCTION("""COMPUTED_VALUE"""),"ztlcn")</f>
        <v>ztlcn</v>
      </c>
      <c r="G50" s="10" t="str">
        <f>IFERROR(__xludf.DUMMYFUNCTION("""COMPUTED_VALUE"""),"No")</f>
        <v>No</v>
      </c>
      <c r="H50" s="10"/>
      <c r="I50" s="10"/>
      <c r="J50" s="10"/>
      <c r="K50" s="10">
        <f>IFERROR(__xludf.DUMMYFUNCTION("""COMPUTED_VALUE"""),10.0)</f>
        <v>10</v>
      </c>
      <c r="L50" s="10">
        <f>IFERROR(__xludf.DUMMYFUNCTION("""COMPUTED_VALUE"""),0.0)</f>
        <v>0</v>
      </c>
      <c r="M50" s="10">
        <f>IFERROR(__xludf.DUMMYFUNCTION("""COMPUTED_VALUE"""),10.0)</f>
        <v>10</v>
      </c>
      <c r="N50" s="10">
        <f>IFERROR(__xludf.DUMMYFUNCTION("""COMPUTED_VALUE"""),0.0)</f>
        <v>0</v>
      </c>
      <c r="O50" s="10">
        <f>IFERROR(__xludf.DUMMYFUNCTION("""COMPUTED_VALUE"""),8.0)</f>
        <v>8</v>
      </c>
      <c r="P50" s="10">
        <f>IFERROR(__xludf.DUMMYFUNCTION("""COMPUTED_VALUE"""),0.0)</f>
        <v>0</v>
      </c>
      <c r="Q50" s="10" t="str">
        <f>IFERROR(__xludf.DUMMYFUNCTION("""COMPUTED_VALUE"""),"Yes")</f>
        <v>Yes</v>
      </c>
      <c r="R50" s="10" t="str">
        <f>IFERROR(__xludf.DUMMYFUNCTION("""COMPUTED_VALUE"""),"No")</f>
        <v>No</v>
      </c>
      <c r="S50" s="10" t="str">
        <f>IFERROR(__xludf.DUMMYFUNCTION("""COMPUTED_VALUE"""),"No")</f>
        <v>No</v>
      </c>
      <c r="T50" s="10">
        <f>IFERROR(__xludf.DUMMYFUNCTION("""COMPUTED_VALUE"""),9.0)</f>
        <v>9</v>
      </c>
      <c r="U50" s="10">
        <f>IFERROR(__xludf.DUMMYFUNCTION("""COMPUTED_VALUE"""),0.0)</f>
        <v>0</v>
      </c>
      <c r="V50" s="10" t="str">
        <f>IFERROR(__xludf.DUMMYFUNCTION("""COMPUTED_VALUE"""),"Islam ma aurat ka muqam")</f>
        <v>Islam ma aurat ka muqam</v>
      </c>
      <c r="W50" s="10" t="str">
        <f>IFERROR(__xludf.DUMMYFUNCTION("""COMPUTED_VALUE"""),"Aurtoon k haqooq")</f>
        <v>Aurtoon k haqooq</v>
      </c>
      <c r="X50" s="10">
        <f>IFERROR(__xludf.DUMMYFUNCTION("""COMPUTED_VALUE"""),0.0)</f>
        <v>0</v>
      </c>
      <c r="Y50" s="10">
        <f>IFERROR(__xludf.DUMMYFUNCTION("""COMPUTED_VALUE"""),0.0)</f>
        <v>0</v>
      </c>
      <c r="Z50" s="10">
        <f>IFERROR(__xludf.DUMMYFUNCTION("""COMPUTED_VALUE"""),0.0)</f>
        <v>0</v>
      </c>
      <c r="AA50" s="10">
        <f>IFERROR(__xludf.DUMMYFUNCTION("""COMPUTED_VALUE"""),1.0)</f>
        <v>1</v>
      </c>
      <c r="AB50" s="10">
        <f>IFERROR(__xludf.DUMMYFUNCTION("""COMPUTED_VALUE"""),1.0)</f>
        <v>1</v>
      </c>
      <c r="AC50" s="10">
        <f>IFERROR(__xludf.DUMMYFUNCTION("""COMPUTED_VALUE"""),0.0)</f>
        <v>0</v>
      </c>
      <c r="AD50" s="10">
        <f>IFERROR(__xludf.DUMMYFUNCTION("""COMPUTED_VALUE"""),0.0)</f>
        <v>0</v>
      </c>
      <c r="AE50" s="10">
        <f>IFERROR(__xludf.DUMMYFUNCTION("""COMPUTED_VALUE"""),0.0)</f>
        <v>0</v>
      </c>
      <c r="AF50" s="10">
        <f>IFERROR(__xludf.DUMMYFUNCTION("""COMPUTED_VALUE"""),7.0)</f>
        <v>7</v>
      </c>
      <c r="AG50" s="10">
        <f>IFERROR(__xludf.DUMMYFUNCTION("""COMPUTED_VALUE"""),9.0)</f>
        <v>9</v>
      </c>
      <c r="AH50" s="10">
        <f>IFERROR(__xludf.DUMMYFUNCTION("""COMPUTED_VALUE"""),0.0)</f>
        <v>0</v>
      </c>
      <c r="AI50" s="10">
        <f>IFERROR(__xludf.DUMMYFUNCTION("""COMPUTED_VALUE"""),9.0)</f>
        <v>9</v>
      </c>
      <c r="AJ50" s="11" t="str">
        <f>IFERROR(__xludf.DUMMYFUNCTION("""COMPUTED_VALUE"""),"https://drive.google.com/open?id=1pJ8dAW2wvLar-CEsk1xKN69pDVl0uV4K")</f>
        <v>https://drive.google.com/open?id=1pJ8dAW2wvLar-CEsk1xKN69pDVl0uV4K</v>
      </c>
      <c r="AK50" s="12"/>
      <c r="AL50" s="12"/>
      <c r="AM50" s="12"/>
      <c r="AN50" s="12"/>
      <c r="AO50" s="13">
        <v>2.0</v>
      </c>
      <c r="AX50" s="13"/>
    </row>
    <row r="51">
      <c r="A51" s="8">
        <v>50.0</v>
      </c>
      <c r="B51" s="9">
        <f>IFERROR(__xludf.DUMMYFUNCTION("""COMPUTED_VALUE"""),45706.231693229165)</f>
        <v>45706.23169</v>
      </c>
      <c r="C51" s="10" t="str">
        <f>IFERROR(__xludf.DUMMYFUNCTION("""COMPUTED_VALUE"""),"Zaheer Butt")</f>
        <v>Zaheer Butt</v>
      </c>
      <c r="D51" s="10">
        <f>IFERROR(__xludf.DUMMYFUNCTION("""COMPUTED_VALUE"""),3.2170407E9)</f>
        <v>3217040700</v>
      </c>
      <c r="E51" s="10" t="str">
        <f>IFERROR(__xludf.DUMMYFUNCTION("""COMPUTED_VALUE"""),"Takia saduwah lahore ")</f>
        <v>Takia saduwah lahore </v>
      </c>
      <c r="F51" s="10" t="str">
        <f>IFERROR(__xludf.DUMMYFUNCTION("""COMPUTED_VALUE"""),"TNRVG")</f>
        <v>TNRVG</v>
      </c>
      <c r="G51" s="10" t="str">
        <f>IFERROR(__xludf.DUMMYFUNCTION("""COMPUTED_VALUE"""),"No")</f>
        <v>No</v>
      </c>
      <c r="H51" s="10"/>
      <c r="I51" s="10"/>
      <c r="J51" s="10"/>
      <c r="K51" s="10">
        <f>IFERROR(__xludf.DUMMYFUNCTION("""COMPUTED_VALUE"""),0.0)</f>
        <v>0</v>
      </c>
      <c r="L51" s="10">
        <f>IFERROR(__xludf.DUMMYFUNCTION("""COMPUTED_VALUE"""),0.0)</f>
        <v>0</v>
      </c>
      <c r="M51" s="10">
        <f>IFERROR(__xludf.DUMMYFUNCTION("""COMPUTED_VALUE"""),0.0)</f>
        <v>0</v>
      </c>
      <c r="N51" s="10">
        <f>IFERROR(__xludf.DUMMYFUNCTION("""COMPUTED_VALUE"""),0.0)</f>
        <v>0</v>
      </c>
      <c r="O51" s="10">
        <f>IFERROR(__xludf.DUMMYFUNCTION("""COMPUTED_VALUE"""),0.0)</f>
        <v>0</v>
      </c>
      <c r="P51" s="10">
        <f>IFERROR(__xludf.DUMMYFUNCTION("""COMPUTED_VALUE"""),0.0)</f>
        <v>0</v>
      </c>
      <c r="Q51" s="10" t="str">
        <f>IFERROR(__xludf.DUMMYFUNCTION("""COMPUTED_VALUE"""),"No")</f>
        <v>No</v>
      </c>
      <c r="R51" s="10" t="str">
        <f>IFERROR(__xludf.DUMMYFUNCTION("""COMPUTED_VALUE"""),"No")</f>
        <v>No</v>
      </c>
      <c r="S51" s="10" t="str">
        <f>IFERROR(__xludf.DUMMYFUNCTION("""COMPUTED_VALUE"""),"No")</f>
        <v>No</v>
      </c>
      <c r="T51" s="10">
        <f>IFERROR(__xludf.DUMMYFUNCTION("""COMPUTED_VALUE"""),0.0)</f>
        <v>0</v>
      </c>
      <c r="U51" s="10">
        <f>IFERROR(__xludf.DUMMYFUNCTION("""COMPUTED_VALUE"""),0.0)</f>
        <v>0</v>
      </c>
      <c r="V51" s="10" t="str">
        <f>IFERROR(__xludf.DUMMYFUNCTION("""COMPUTED_VALUE"""),"Sab e barat")</f>
        <v>Sab e barat</v>
      </c>
      <c r="W51" s="10" t="str">
        <f>IFERROR(__xludf.DUMMYFUNCTION("""COMPUTED_VALUE"""),"Shab e barat ")</f>
        <v>Shab e barat </v>
      </c>
      <c r="X51" s="10">
        <f>IFERROR(__xludf.DUMMYFUNCTION("""COMPUTED_VALUE"""),0.0)</f>
        <v>0</v>
      </c>
      <c r="Y51" s="10">
        <f>IFERROR(__xludf.DUMMYFUNCTION("""COMPUTED_VALUE"""),0.0)</f>
        <v>0</v>
      </c>
      <c r="Z51" s="10">
        <f>IFERROR(__xludf.DUMMYFUNCTION("""COMPUTED_VALUE"""),0.0)</f>
        <v>0</v>
      </c>
      <c r="AA51" s="10">
        <f>IFERROR(__xludf.DUMMYFUNCTION("""COMPUTED_VALUE"""),8.0)</f>
        <v>8</v>
      </c>
      <c r="AB51" s="10">
        <f>IFERROR(__xludf.DUMMYFUNCTION("""COMPUTED_VALUE"""),0.0)</f>
        <v>0</v>
      </c>
      <c r="AC51" s="10">
        <f>IFERROR(__xludf.DUMMYFUNCTION("""COMPUTED_VALUE"""),0.0)</f>
        <v>0</v>
      </c>
      <c r="AD51" s="10">
        <f>IFERROR(__xludf.DUMMYFUNCTION("""COMPUTED_VALUE"""),0.0)</f>
        <v>0</v>
      </c>
      <c r="AE51" s="10">
        <f>IFERROR(__xludf.DUMMYFUNCTION("""COMPUTED_VALUE"""),0.0)</f>
        <v>0</v>
      </c>
      <c r="AF51" s="10">
        <f>IFERROR(__xludf.DUMMYFUNCTION("""COMPUTED_VALUE"""),5.0)</f>
        <v>5</v>
      </c>
      <c r="AG51" s="10">
        <f>IFERROR(__xludf.DUMMYFUNCTION("""COMPUTED_VALUE"""),5.0)</f>
        <v>5</v>
      </c>
      <c r="AH51" s="10">
        <f>IFERROR(__xludf.DUMMYFUNCTION("""COMPUTED_VALUE"""),0.0)</f>
        <v>0</v>
      </c>
      <c r="AI51" s="10">
        <f>IFERROR(__xludf.DUMMYFUNCTION("""COMPUTED_VALUE"""),5.0)</f>
        <v>5</v>
      </c>
      <c r="AJ51" s="11" t="str">
        <f>IFERROR(__xludf.DUMMYFUNCTION("""COMPUTED_VALUE"""),"https://drive.google.com/open?id=189TXpa3pPo0mNVfA2UZkiMxfXG3Sm8-O")</f>
        <v>https://drive.google.com/open?id=189TXpa3pPo0mNVfA2UZkiMxfXG3Sm8-O</v>
      </c>
      <c r="AK51" s="12"/>
      <c r="AL51" s="12"/>
      <c r="AM51" s="12"/>
      <c r="AN51" s="12"/>
      <c r="AO51" s="13">
        <v>3.0</v>
      </c>
      <c r="AX51" s="13"/>
    </row>
    <row r="52">
      <c r="A52" s="8">
        <v>51.0</v>
      </c>
      <c r="B52" s="9">
        <f>IFERROR(__xludf.DUMMYFUNCTION("""COMPUTED_VALUE"""),45706.4370675463)</f>
        <v>45706.43707</v>
      </c>
      <c r="C52" s="10" t="str">
        <f>IFERROR(__xludf.DUMMYFUNCTION("""COMPUTED_VALUE"""),"Maham")</f>
        <v>Maham</v>
      </c>
      <c r="D52" s="10" t="str">
        <f>IFERROR(__xludf.DUMMYFUNCTION("""COMPUTED_VALUE"""),"03218118680")</f>
        <v>03218118680</v>
      </c>
      <c r="E52" s="10" t="str">
        <f>IFERROR(__xludf.DUMMYFUNCTION("""COMPUTED_VALUE""")," Sermon 3Jamia Masjid Noor Din Pepal Wehra Lahore Sermon 3.Sermon 3")</f>
        <v> Sermon 3Jamia Masjid Noor Din Pepal Wehra Lahore Sermon 3.Sermon 3</v>
      </c>
      <c r="F52" s="10" t="str">
        <f>IFERROR(__xludf.DUMMYFUNCTION("""COMPUTED_VALUE"""),"kscal")</f>
        <v>kscal</v>
      </c>
      <c r="G52" s="10" t="str">
        <f>IFERROR(__xludf.DUMMYFUNCTION("""COMPUTED_VALUE"""),"Yes")</f>
        <v>Yes</v>
      </c>
      <c r="H52" s="10">
        <f>IFERROR(__xludf.DUMMYFUNCTION("""COMPUTED_VALUE"""),10.0)</f>
        <v>10</v>
      </c>
      <c r="I52" s="10">
        <f>IFERROR(__xludf.DUMMYFUNCTION("""COMPUTED_VALUE"""),5.0)</f>
        <v>5</v>
      </c>
      <c r="J52" s="10">
        <f>IFERROR(__xludf.DUMMYFUNCTION("""COMPUTED_VALUE"""),10.0)</f>
        <v>10</v>
      </c>
      <c r="K52" s="10">
        <f>IFERROR(__xludf.DUMMYFUNCTION("""COMPUTED_VALUE"""),0.0)</f>
        <v>0</v>
      </c>
      <c r="L52" s="10">
        <f>IFERROR(__xludf.DUMMYFUNCTION("""COMPUTED_VALUE"""),0.0)</f>
        <v>0</v>
      </c>
      <c r="M52" s="10">
        <f>IFERROR(__xludf.DUMMYFUNCTION("""COMPUTED_VALUE"""),3.0)</f>
        <v>3</v>
      </c>
      <c r="N52" s="10">
        <f>IFERROR(__xludf.DUMMYFUNCTION("""COMPUTED_VALUE"""),0.0)</f>
        <v>0</v>
      </c>
      <c r="O52" s="10">
        <f>IFERROR(__xludf.DUMMYFUNCTION("""COMPUTED_VALUE"""),0.0)</f>
        <v>0</v>
      </c>
      <c r="P52" s="10">
        <f>IFERROR(__xludf.DUMMYFUNCTION("""COMPUTED_VALUE"""),0.0)</f>
        <v>0</v>
      </c>
      <c r="Q52" s="10" t="str">
        <f>IFERROR(__xludf.DUMMYFUNCTION("""COMPUTED_VALUE"""),"No")</f>
        <v>No</v>
      </c>
      <c r="R52" s="10" t="str">
        <f>IFERROR(__xludf.DUMMYFUNCTION("""COMPUTED_VALUE"""),"No")</f>
        <v>No</v>
      </c>
      <c r="S52" s="10" t="str">
        <f>IFERROR(__xludf.DUMMYFUNCTION("""COMPUTED_VALUE"""),"Yes")</f>
        <v>Yes</v>
      </c>
      <c r="T52" s="10">
        <f>IFERROR(__xludf.DUMMYFUNCTION("""COMPUTED_VALUE"""),0.0)</f>
        <v>0</v>
      </c>
      <c r="U52" s="10">
        <f>IFERROR(__xludf.DUMMYFUNCTION("""COMPUTED_VALUE"""),0.0)</f>
        <v>0</v>
      </c>
      <c r="V52" s="10" t="str">
        <f>IFERROR(__xludf.DUMMYFUNCTION("""COMPUTED_VALUE"""),"رمضان المبارک کی تیاری اللہ اور اس کے رسول کی اطاعت")</f>
        <v>رمضان المبارک کی تیاری اللہ اور اس کے رسول کی اطاعت</v>
      </c>
      <c r="W52" s="10" t="str">
        <f>IFERROR(__xludf.DUMMYFUNCTION("""COMPUTED_VALUE"""),"رمضان آنے سے پہلے اپنے نیک اعمال کی تیاری اللہ اور اس کے حضور کی اطاعت اور اللہ سے معافی اور اپنے گناہوں پر پشیمانی")</f>
        <v>رمضان آنے سے پہلے اپنے نیک اعمال کی تیاری اللہ اور اس کے حضور کی اطاعت اور اللہ سے معافی اور اپنے گناہوں پر پشیمانی</v>
      </c>
      <c r="X52" s="10">
        <f>IFERROR(__xludf.DUMMYFUNCTION("""COMPUTED_VALUE"""),10.0)</f>
        <v>10</v>
      </c>
      <c r="Y52" s="10">
        <f>IFERROR(__xludf.DUMMYFUNCTION("""COMPUTED_VALUE"""),2.0)</f>
        <v>2</v>
      </c>
      <c r="Z52" s="10">
        <f>IFERROR(__xludf.DUMMYFUNCTION("""COMPUTED_VALUE"""),0.0)</f>
        <v>0</v>
      </c>
      <c r="AA52" s="10">
        <f>IFERROR(__xludf.DUMMYFUNCTION("""COMPUTED_VALUE"""),10.0)</f>
        <v>10</v>
      </c>
      <c r="AB52" s="10">
        <f>IFERROR(__xludf.DUMMYFUNCTION("""COMPUTED_VALUE"""),2.0)</f>
        <v>2</v>
      </c>
      <c r="AC52" s="10">
        <f>IFERROR(__xludf.DUMMYFUNCTION("""COMPUTED_VALUE"""),0.0)</f>
        <v>0</v>
      </c>
      <c r="AD52" s="10">
        <f>IFERROR(__xludf.DUMMYFUNCTION("""COMPUTED_VALUE"""),1.0)</f>
        <v>1</v>
      </c>
      <c r="AE52" s="10">
        <f>IFERROR(__xludf.DUMMYFUNCTION("""COMPUTED_VALUE"""),1.0)</f>
        <v>1</v>
      </c>
      <c r="AF52" s="10">
        <f>IFERROR(__xludf.DUMMYFUNCTION("""COMPUTED_VALUE"""),10.0)</f>
        <v>10</v>
      </c>
      <c r="AG52" s="10">
        <f>IFERROR(__xludf.DUMMYFUNCTION("""COMPUTED_VALUE"""),10.0)</f>
        <v>10</v>
      </c>
      <c r="AH52" s="10">
        <f>IFERROR(__xludf.DUMMYFUNCTION("""COMPUTED_VALUE"""),0.0)</f>
        <v>0</v>
      </c>
      <c r="AI52" s="10">
        <f>IFERROR(__xludf.DUMMYFUNCTION("""COMPUTED_VALUE"""),10.0)</f>
        <v>10</v>
      </c>
      <c r="AJ52" s="11" t="str">
        <f>IFERROR(__xludf.DUMMYFUNCTION("""COMPUTED_VALUE"""),"https://drive.google.com/open?id=1AJscQ5nm3ni23yD6I78zRuX00HK_rs-8")</f>
        <v>https://drive.google.com/open?id=1AJscQ5nm3ni23yD6I78zRuX00HK_rs-8</v>
      </c>
      <c r="AK52" s="12">
        <f>IFERROR(__xludf.DUMMYFUNCTION("""COMPUTED_VALUE"""),0.0)</f>
        <v>0</v>
      </c>
      <c r="AL52" s="12"/>
      <c r="AM52" s="12"/>
      <c r="AN52" s="12"/>
      <c r="AO52" s="13">
        <v>3.0</v>
      </c>
      <c r="AX52" s="13"/>
    </row>
    <row r="53">
      <c r="A53" s="8">
        <v>52.0</v>
      </c>
      <c r="B53" s="9">
        <f>IFERROR(__xludf.DUMMYFUNCTION("""COMPUTED_VALUE"""),45706.44526070602)</f>
        <v>45706.44526</v>
      </c>
      <c r="C53" s="10" t="str">
        <f>IFERROR(__xludf.DUMMYFUNCTION("""COMPUTED_VALUE"""),"Maham ")</f>
        <v>Maham </v>
      </c>
      <c r="D53" s="10" t="str">
        <f>IFERROR(__xludf.DUMMYFUNCTION("""COMPUTED_VALUE"""),"03218118680")</f>
        <v>03218118680</v>
      </c>
      <c r="E53" s="10" t="str">
        <f>IFERROR(__xludf.DUMMYFUNCTION("""COMPUTED_VALUE"""),"Sermon 3. Jamia Masjid Unchee Laal Kuh mochi darwaza Lahore")</f>
        <v>Sermon 3. Jamia Masjid Unchee Laal Kuh mochi darwaza Lahore</v>
      </c>
      <c r="F53" s="10" t="str">
        <f>IFERROR(__xludf.DUMMYFUNCTION("""COMPUTED_VALUE"""),"hhhnd")</f>
        <v>hhhnd</v>
      </c>
      <c r="G53" s="10" t="str">
        <f>IFERROR(__xludf.DUMMYFUNCTION("""COMPUTED_VALUE"""),"Yes")</f>
        <v>Yes</v>
      </c>
      <c r="H53" s="10">
        <f>IFERROR(__xludf.DUMMYFUNCTION("""COMPUTED_VALUE"""),10.0)</f>
        <v>10</v>
      </c>
      <c r="I53" s="10">
        <f>IFERROR(__xludf.DUMMYFUNCTION("""COMPUTED_VALUE"""),5.0)</f>
        <v>5</v>
      </c>
      <c r="J53" s="10">
        <f>IFERROR(__xludf.DUMMYFUNCTION("""COMPUTED_VALUE"""),10.0)</f>
        <v>10</v>
      </c>
      <c r="K53" s="10">
        <f>IFERROR(__xludf.DUMMYFUNCTION("""COMPUTED_VALUE"""),5.0)</f>
        <v>5</v>
      </c>
      <c r="L53" s="10">
        <f>IFERROR(__xludf.DUMMYFUNCTION("""COMPUTED_VALUE"""),2.0)</f>
        <v>2</v>
      </c>
      <c r="M53" s="10">
        <f>IFERROR(__xludf.DUMMYFUNCTION("""COMPUTED_VALUE"""),4.0)</f>
        <v>4</v>
      </c>
      <c r="N53" s="10">
        <f>IFERROR(__xludf.DUMMYFUNCTION("""COMPUTED_VALUE"""),2.0)</f>
        <v>2</v>
      </c>
      <c r="O53" s="10">
        <f>IFERROR(__xludf.DUMMYFUNCTION("""COMPUTED_VALUE"""),6.0)</f>
        <v>6</v>
      </c>
      <c r="P53" s="10">
        <f>IFERROR(__xludf.DUMMYFUNCTION("""COMPUTED_VALUE"""),0.0)</f>
        <v>0</v>
      </c>
      <c r="Q53" s="10" t="str">
        <f>IFERROR(__xludf.DUMMYFUNCTION("""COMPUTED_VALUE"""),"No")</f>
        <v>No</v>
      </c>
      <c r="R53" s="10" t="str">
        <f>IFERROR(__xludf.DUMMYFUNCTION("""COMPUTED_VALUE"""),"No")</f>
        <v>No</v>
      </c>
      <c r="S53" s="10" t="str">
        <f>IFERROR(__xludf.DUMMYFUNCTION("""COMPUTED_VALUE"""),"Yes")</f>
        <v>Yes</v>
      </c>
      <c r="T53" s="10">
        <f>IFERROR(__xludf.DUMMYFUNCTION("""COMPUTED_VALUE"""),0.0)</f>
        <v>0</v>
      </c>
      <c r="U53" s="10">
        <f>IFERROR(__xludf.DUMMYFUNCTION("""COMPUTED_VALUE"""),0.0)</f>
        <v>0</v>
      </c>
      <c r="V53" s="10" t="str">
        <f>IFERROR(__xludf.DUMMYFUNCTION("""COMPUTED_VALUE"""),"قرآن کو پڑھنے کا معمول رمضان کی تیاری اور عورتوں کو اپنی عزت کی حفاظت اور بے حیائی سے دوری اختیار کریں")</f>
        <v>قرآن کو پڑھنے کا معمول رمضان کی تیاری اور عورتوں کو اپنی عزت کی حفاظت اور بے حیائی سے دوری اختیار کریں</v>
      </c>
      <c r="W53" s="10" t="str">
        <f>IFERROR(__xludf.DUMMYFUNCTION("""COMPUTED_VALUE"""),"قرآن پاک کو سمجھیں اس پر عمل کریں اور اسے اپنی زندگیوں کا حصہ بنائیں اپنے گناہوں پہ نادم و شرمندہ ہو کر اللہ تعالی کے حضور معافی مانگی جائے اور عورتوں کو اپنی عزت اپنے نفس کی حفاظت کرنے کو کہا گیا")</f>
        <v>قرآن پاک کو سمجھیں اس پر عمل کریں اور اسے اپنی زندگیوں کا حصہ بنائیں اپنے گناہوں پہ نادم و شرمندہ ہو کر اللہ تعالی کے حضور معافی مانگی جائے اور عورتوں کو اپنی عزت اپنے نفس کی حفاظت کرنے کو کہا گیا</v>
      </c>
      <c r="X53" s="10">
        <f>IFERROR(__xludf.DUMMYFUNCTION("""COMPUTED_VALUE"""),10.0)</f>
        <v>10</v>
      </c>
      <c r="Y53" s="10">
        <f>IFERROR(__xludf.DUMMYFUNCTION("""COMPUTED_VALUE"""),2.0)</f>
        <v>2</v>
      </c>
      <c r="Z53" s="10">
        <f>IFERROR(__xludf.DUMMYFUNCTION("""COMPUTED_VALUE"""),3.0)</f>
        <v>3</v>
      </c>
      <c r="AA53" s="10">
        <f>IFERROR(__xludf.DUMMYFUNCTION("""COMPUTED_VALUE"""),10.0)</f>
        <v>10</v>
      </c>
      <c r="AB53" s="10">
        <f>IFERROR(__xludf.DUMMYFUNCTION("""COMPUTED_VALUE"""),2.0)</f>
        <v>2</v>
      </c>
      <c r="AC53" s="10">
        <f>IFERROR(__xludf.DUMMYFUNCTION("""COMPUTED_VALUE"""),0.0)</f>
        <v>0</v>
      </c>
      <c r="AD53" s="10">
        <f>IFERROR(__xludf.DUMMYFUNCTION("""COMPUTED_VALUE"""),0.0)</f>
        <v>0</v>
      </c>
      <c r="AE53" s="10">
        <f>IFERROR(__xludf.DUMMYFUNCTION("""COMPUTED_VALUE"""),0.0)</f>
        <v>0</v>
      </c>
      <c r="AF53" s="10">
        <f>IFERROR(__xludf.DUMMYFUNCTION("""COMPUTED_VALUE"""),10.0)</f>
        <v>10</v>
      </c>
      <c r="AG53" s="10">
        <f>IFERROR(__xludf.DUMMYFUNCTION("""COMPUTED_VALUE"""),10.0)</f>
        <v>10</v>
      </c>
      <c r="AH53" s="10">
        <f>IFERROR(__xludf.DUMMYFUNCTION("""COMPUTED_VALUE"""),0.0)</f>
        <v>0</v>
      </c>
      <c r="AI53" s="10">
        <f>IFERROR(__xludf.DUMMYFUNCTION("""COMPUTED_VALUE"""),10.0)</f>
        <v>10</v>
      </c>
      <c r="AJ53" s="11" t="str">
        <f>IFERROR(__xludf.DUMMYFUNCTION("""COMPUTED_VALUE"""),"https://drive.google.com/open?id=1kXpAmvrmIKwEHXU2A3wocVtyKJ0onczQ")</f>
        <v>https://drive.google.com/open?id=1kXpAmvrmIKwEHXU2A3wocVtyKJ0onczQ</v>
      </c>
      <c r="AK53" s="12">
        <f>IFERROR(__xludf.DUMMYFUNCTION("""COMPUTED_VALUE"""),0.0)</f>
        <v>0</v>
      </c>
      <c r="AL53" s="12"/>
      <c r="AM53" s="12"/>
      <c r="AN53" s="12"/>
      <c r="AO53" s="13">
        <v>3.0</v>
      </c>
      <c r="AX53" s="13"/>
    </row>
    <row r="54">
      <c r="A54" s="8">
        <v>53.0</v>
      </c>
      <c r="B54" s="9">
        <f>IFERROR(__xludf.DUMMYFUNCTION("""COMPUTED_VALUE"""),45706.45033709491)</f>
        <v>45706.45034</v>
      </c>
      <c r="C54" s="10" t="str">
        <f>IFERROR(__xludf.DUMMYFUNCTION("""COMPUTED_VALUE"""),"Maham ")</f>
        <v>Maham </v>
      </c>
      <c r="D54" s="10" t="str">
        <f>IFERROR(__xludf.DUMMYFUNCTION("""COMPUTED_VALUE"""),"03218118680")</f>
        <v>03218118680</v>
      </c>
      <c r="E54" s="10" t="str">
        <f>IFERROR(__xludf.DUMMYFUNCTION("""COMPUTED_VALUE"""),"Sermon 3. Jamia Masjid Takiya kabootar shah lahore ")</f>
        <v>Sermon 3. Jamia Masjid Takiya kabootar shah lahore </v>
      </c>
      <c r="F54" s="10" t="str">
        <f>IFERROR(__xludf.DUMMYFUNCTION("""COMPUTED_VALUE"""),"umifn")</f>
        <v>umifn</v>
      </c>
      <c r="G54" s="10" t="str">
        <f>IFERROR(__xludf.DUMMYFUNCTION("""COMPUTED_VALUE"""),"Yes")</f>
        <v>Yes</v>
      </c>
      <c r="H54" s="10">
        <f>IFERROR(__xludf.DUMMYFUNCTION("""COMPUTED_VALUE"""),10.0)</f>
        <v>10</v>
      </c>
      <c r="I54" s="10">
        <f>IFERROR(__xludf.DUMMYFUNCTION("""COMPUTED_VALUE"""),5.0)</f>
        <v>5</v>
      </c>
      <c r="J54" s="10">
        <f>IFERROR(__xludf.DUMMYFUNCTION("""COMPUTED_VALUE"""),10.0)</f>
        <v>10</v>
      </c>
      <c r="K54" s="10">
        <f>IFERROR(__xludf.DUMMYFUNCTION("""COMPUTED_VALUE"""),2.0)</f>
        <v>2</v>
      </c>
      <c r="L54" s="10">
        <f>IFERROR(__xludf.DUMMYFUNCTION("""COMPUTED_VALUE"""),5.0)</f>
        <v>5</v>
      </c>
      <c r="M54" s="10">
        <f>IFERROR(__xludf.DUMMYFUNCTION("""COMPUTED_VALUE"""),3.0)</f>
        <v>3</v>
      </c>
      <c r="N54" s="10">
        <f>IFERROR(__xludf.DUMMYFUNCTION("""COMPUTED_VALUE"""),5.0)</f>
        <v>5</v>
      </c>
      <c r="O54" s="10">
        <f>IFERROR(__xludf.DUMMYFUNCTION("""COMPUTED_VALUE"""),0.0)</f>
        <v>0</v>
      </c>
      <c r="P54" s="10">
        <f>IFERROR(__xludf.DUMMYFUNCTION("""COMPUTED_VALUE"""),0.0)</f>
        <v>0</v>
      </c>
      <c r="Q54" s="10" t="str">
        <f>IFERROR(__xludf.DUMMYFUNCTION("""COMPUTED_VALUE"""),"No")</f>
        <v>No</v>
      </c>
      <c r="R54" s="10" t="str">
        <f>IFERROR(__xludf.DUMMYFUNCTION("""COMPUTED_VALUE"""),"No")</f>
        <v>No</v>
      </c>
      <c r="S54" s="10" t="str">
        <f>IFERROR(__xludf.DUMMYFUNCTION("""COMPUTED_VALUE"""),"Yes")</f>
        <v>Yes</v>
      </c>
      <c r="T54" s="10">
        <f>IFERROR(__xludf.DUMMYFUNCTION("""COMPUTED_VALUE"""),0.0)</f>
        <v>0</v>
      </c>
      <c r="U54" s="10">
        <f>IFERROR(__xludf.DUMMYFUNCTION("""COMPUTED_VALUE"""),0.0)</f>
        <v>0</v>
      </c>
      <c r="V54" s="10" t="str">
        <f>IFERROR(__xludf.DUMMYFUNCTION("""COMPUTED_VALUE"""),"رمضان المبارک کی تیاری اپنے مال کو حلال طریقے سے حاصل کرنا اللہ تعالی کی راہ میں خرچ کرنا")</f>
        <v>رمضان المبارک کی تیاری اپنے مال کو حلال طریقے سے حاصل کرنا اللہ تعالی کی راہ میں خرچ کرنا</v>
      </c>
      <c r="W54" s="10" t="str">
        <f>IFERROR(__xludf.DUMMYFUNCTION("""COMPUTED_VALUE"""),"رمضان المبارک کے آنے سے پہلے اس کی تیاری کرنا اپنے آپ کو نماز روزہ کی پابندی اور اپنے مال کو اللہ تعالی کی راہ میں خرچ کرو اپنے ارد گرد کی ضرورت مندوں کا سفید پوش لوگوں کا خیال رکھو")</f>
        <v>رمضان المبارک کے آنے سے پہلے اس کی تیاری کرنا اپنے آپ کو نماز روزہ کی پابندی اور اپنے مال کو اللہ تعالی کی راہ میں خرچ کرو اپنے ارد گرد کی ضرورت مندوں کا سفید پوش لوگوں کا خیال رکھو</v>
      </c>
      <c r="X54" s="10">
        <f>IFERROR(__xludf.DUMMYFUNCTION("""COMPUTED_VALUE"""),10.0)</f>
        <v>10</v>
      </c>
      <c r="Y54" s="10">
        <f>IFERROR(__xludf.DUMMYFUNCTION("""COMPUTED_VALUE"""),10.0)</f>
        <v>10</v>
      </c>
      <c r="Z54" s="10">
        <f>IFERROR(__xludf.DUMMYFUNCTION("""COMPUTED_VALUE"""),3.0)</f>
        <v>3</v>
      </c>
      <c r="AA54" s="10">
        <f>IFERROR(__xludf.DUMMYFUNCTION("""COMPUTED_VALUE"""),10.0)</f>
        <v>10</v>
      </c>
      <c r="AB54" s="10">
        <f>IFERROR(__xludf.DUMMYFUNCTION("""COMPUTED_VALUE"""),1.0)</f>
        <v>1</v>
      </c>
      <c r="AC54" s="10">
        <f>IFERROR(__xludf.DUMMYFUNCTION("""COMPUTED_VALUE"""),0.0)</f>
        <v>0</v>
      </c>
      <c r="AD54" s="10">
        <f>IFERROR(__xludf.DUMMYFUNCTION("""COMPUTED_VALUE"""),0.0)</f>
        <v>0</v>
      </c>
      <c r="AE54" s="10">
        <f>IFERROR(__xludf.DUMMYFUNCTION("""COMPUTED_VALUE"""),0.0)</f>
        <v>0</v>
      </c>
      <c r="AF54" s="10">
        <f>IFERROR(__xludf.DUMMYFUNCTION("""COMPUTED_VALUE"""),10.0)</f>
        <v>10</v>
      </c>
      <c r="AG54" s="10">
        <f>IFERROR(__xludf.DUMMYFUNCTION("""COMPUTED_VALUE"""),10.0)</f>
        <v>10</v>
      </c>
      <c r="AH54" s="10">
        <f>IFERROR(__xludf.DUMMYFUNCTION("""COMPUTED_VALUE"""),0.0)</f>
        <v>0</v>
      </c>
      <c r="AI54" s="10">
        <f>IFERROR(__xludf.DUMMYFUNCTION("""COMPUTED_VALUE"""),10.0)</f>
        <v>10</v>
      </c>
      <c r="AJ54" s="11" t="str">
        <f>IFERROR(__xludf.DUMMYFUNCTION("""COMPUTED_VALUE"""),"https://drive.google.com/open?id=1__WLabtwREyLNI8SsMj0VditowCE1Tg6")</f>
        <v>https://drive.google.com/open?id=1__WLabtwREyLNI8SsMj0VditowCE1Tg6</v>
      </c>
      <c r="AK54" s="12">
        <f>IFERROR(__xludf.DUMMYFUNCTION("""COMPUTED_VALUE"""),0.0)</f>
        <v>0</v>
      </c>
      <c r="AL54" s="12"/>
      <c r="AM54" s="12"/>
      <c r="AN54" s="12"/>
      <c r="AO54" s="13">
        <v>3.0</v>
      </c>
      <c r="AX54" s="13"/>
    </row>
    <row r="55">
      <c r="A55" s="8">
        <v>54.0</v>
      </c>
      <c r="B55" s="9">
        <f>IFERROR(__xludf.DUMMYFUNCTION("""COMPUTED_VALUE"""),45706.455397557875)</f>
        <v>45706.4554</v>
      </c>
      <c r="C55" s="10" t="str">
        <f>IFERROR(__xludf.DUMMYFUNCTION("""COMPUTED_VALUE"""),"Maham ")</f>
        <v>Maham </v>
      </c>
      <c r="D55" s="10" t="str">
        <f>IFERROR(__xludf.DUMMYFUNCTION("""COMPUTED_VALUE"""),"03218118680")</f>
        <v>03218118680</v>
      </c>
      <c r="E55" s="10" t="str">
        <f>IFERROR(__xludf.DUMMYFUNCTION("""COMPUTED_VALUE"""),"Sermon 3. Jamia Masjid Mian Karam Bakhs Pani wala talaab Lahore")</f>
        <v>Sermon 3. Jamia Masjid Mian Karam Bakhs Pani wala talaab Lahore</v>
      </c>
      <c r="F55" s="10" t="str">
        <f>IFERROR(__xludf.DUMMYFUNCTION("""COMPUTED_VALUE"""),"Kpwne")</f>
        <v>Kpwne</v>
      </c>
      <c r="G55" s="10" t="str">
        <f>IFERROR(__xludf.DUMMYFUNCTION("""COMPUTED_VALUE"""),"Yes")</f>
        <v>Yes</v>
      </c>
      <c r="H55" s="10">
        <f>IFERROR(__xludf.DUMMYFUNCTION("""COMPUTED_VALUE"""),10.0)</f>
        <v>10</v>
      </c>
      <c r="I55" s="10">
        <f>IFERROR(__xludf.DUMMYFUNCTION("""COMPUTED_VALUE"""),5.0)</f>
        <v>5</v>
      </c>
      <c r="J55" s="10">
        <f>IFERROR(__xludf.DUMMYFUNCTION("""COMPUTED_VALUE"""),10.0)</f>
        <v>10</v>
      </c>
      <c r="K55" s="10">
        <f>IFERROR(__xludf.DUMMYFUNCTION("""COMPUTED_VALUE"""),10.0)</f>
        <v>10</v>
      </c>
      <c r="L55" s="10">
        <f>IFERROR(__xludf.DUMMYFUNCTION("""COMPUTED_VALUE"""),0.0)</f>
        <v>0</v>
      </c>
      <c r="M55" s="10">
        <f>IFERROR(__xludf.DUMMYFUNCTION("""COMPUTED_VALUE"""),5.0)</f>
        <v>5</v>
      </c>
      <c r="N55" s="10">
        <f>IFERROR(__xludf.DUMMYFUNCTION("""COMPUTED_VALUE"""),0.0)</f>
        <v>0</v>
      </c>
      <c r="O55" s="10">
        <f>IFERROR(__xludf.DUMMYFUNCTION("""COMPUTED_VALUE"""),0.0)</f>
        <v>0</v>
      </c>
      <c r="P55" s="10">
        <f>IFERROR(__xludf.DUMMYFUNCTION("""COMPUTED_VALUE"""),0.0)</f>
        <v>0</v>
      </c>
      <c r="Q55" s="10" t="str">
        <f>IFERROR(__xludf.DUMMYFUNCTION("""COMPUTED_VALUE"""),"No")</f>
        <v>No</v>
      </c>
      <c r="R55" s="10" t="str">
        <f>IFERROR(__xludf.DUMMYFUNCTION("""COMPUTED_VALUE"""),"No")</f>
        <v>No</v>
      </c>
      <c r="S55" s="10" t="str">
        <f>IFERROR(__xludf.DUMMYFUNCTION("""COMPUTED_VALUE"""),"Yes")</f>
        <v>Yes</v>
      </c>
      <c r="T55" s="10">
        <f>IFERROR(__xludf.DUMMYFUNCTION("""COMPUTED_VALUE"""),0.0)</f>
        <v>0</v>
      </c>
      <c r="U55" s="10">
        <f>IFERROR(__xludf.DUMMYFUNCTION("""COMPUTED_VALUE"""),0.0)</f>
        <v>0</v>
      </c>
      <c r="V55" s="10" t="str">
        <f>IFERROR(__xludf.DUMMYFUNCTION("""COMPUTED_VALUE"""),"رمضان المبارک کی تیاری نبی پاک صلی اللہ علیہ والہ وسلم کی اطاعت اور ماں باپ کی خدمت")</f>
        <v>رمضان المبارک کی تیاری نبی پاک صلی اللہ علیہ والہ وسلم کی اطاعت اور ماں باپ کی خدمت</v>
      </c>
      <c r="W55" s="10" t="str">
        <f>IFERROR(__xludf.DUMMYFUNCTION("""COMPUTED_VALUE"""),"رمضان انے سے پہلے اس کی تیاری کو مکمل کر لیجئے اپنے اعمال درست کر لیں نبی پاک صلی اللہ علیہ وسلم کو زندگی کی مثل راہ بنائیں اور ماں باپ کی خدمت کریں تو اللہ بھی راضی رہے گا اور دنیا بھی")</f>
        <v>رمضان انے سے پہلے اس کی تیاری کو مکمل کر لیجئے اپنے اعمال درست کر لیں نبی پاک صلی اللہ علیہ وسلم کو زندگی کی مثل راہ بنائیں اور ماں باپ کی خدمت کریں تو اللہ بھی راضی رہے گا اور دنیا بھی</v>
      </c>
      <c r="X55" s="10">
        <f>IFERROR(__xludf.DUMMYFUNCTION("""COMPUTED_VALUE"""),10.0)</f>
        <v>10</v>
      </c>
      <c r="Y55" s="10">
        <f>IFERROR(__xludf.DUMMYFUNCTION("""COMPUTED_VALUE"""),2.0)</f>
        <v>2</v>
      </c>
      <c r="Z55" s="10">
        <f>IFERROR(__xludf.DUMMYFUNCTION("""COMPUTED_VALUE"""),4.0)</f>
        <v>4</v>
      </c>
      <c r="AA55" s="10">
        <f>IFERROR(__xludf.DUMMYFUNCTION("""COMPUTED_VALUE"""),10.0)</f>
        <v>10</v>
      </c>
      <c r="AB55" s="10">
        <f>IFERROR(__xludf.DUMMYFUNCTION("""COMPUTED_VALUE"""),2.0)</f>
        <v>2</v>
      </c>
      <c r="AC55" s="10">
        <f>IFERROR(__xludf.DUMMYFUNCTION("""COMPUTED_VALUE"""),1.0)</f>
        <v>1</v>
      </c>
      <c r="AD55" s="10">
        <f>IFERROR(__xludf.DUMMYFUNCTION("""COMPUTED_VALUE"""),0.0)</f>
        <v>0</v>
      </c>
      <c r="AE55" s="10">
        <f>IFERROR(__xludf.DUMMYFUNCTION("""COMPUTED_VALUE"""),0.0)</f>
        <v>0</v>
      </c>
      <c r="AF55" s="10">
        <f>IFERROR(__xludf.DUMMYFUNCTION("""COMPUTED_VALUE"""),10.0)</f>
        <v>10</v>
      </c>
      <c r="AG55" s="10">
        <f>IFERROR(__xludf.DUMMYFUNCTION("""COMPUTED_VALUE"""),10.0)</f>
        <v>10</v>
      </c>
      <c r="AH55" s="10">
        <f>IFERROR(__xludf.DUMMYFUNCTION("""COMPUTED_VALUE"""),0.0)</f>
        <v>0</v>
      </c>
      <c r="AI55" s="10">
        <f>IFERROR(__xludf.DUMMYFUNCTION("""COMPUTED_VALUE"""),10.0)</f>
        <v>10</v>
      </c>
      <c r="AJ55" s="11" t="str">
        <f>IFERROR(__xludf.DUMMYFUNCTION("""COMPUTED_VALUE"""),"https://drive.google.com/open?id=1dAMeMnxBS_hj-ujumPptLJdN9d9HWjcb")</f>
        <v>https://drive.google.com/open?id=1dAMeMnxBS_hj-ujumPptLJdN9d9HWjcb</v>
      </c>
      <c r="AK55" s="12">
        <f>IFERROR(__xludf.DUMMYFUNCTION("""COMPUTED_VALUE"""),0.0)</f>
        <v>0</v>
      </c>
      <c r="AL55" s="12"/>
      <c r="AM55" s="12"/>
      <c r="AN55" s="12"/>
      <c r="AO55" s="13">
        <v>3.0</v>
      </c>
      <c r="AX55" s="13"/>
    </row>
    <row r="56">
      <c r="A56" s="8">
        <v>55.0</v>
      </c>
      <c r="B56" s="9">
        <f>IFERROR(__xludf.DUMMYFUNCTION("""COMPUTED_VALUE"""),45706.58102200231)</f>
        <v>45706.58102</v>
      </c>
      <c r="C56" s="10" t="str">
        <f>IFERROR(__xludf.DUMMYFUNCTION("""COMPUTED_VALUE"""),"Umar butt ")</f>
        <v>Umar butt </v>
      </c>
      <c r="D56" s="10" t="str">
        <f>IFERROR(__xludf.DUMMYFUNCTION("""COMPUTED_VALUE"""),"03200099395")</f>
        <v>03200099395</v>
      </c>
      <c r="E56" s="10" t="str">
        <f>IFERROR(__xludf.DUMMYFUNCTION("""COMPUTED_VALUE"""),"Jamia takiya lehri shah ")</f>
        <v>Jamia takiya lehri shah </v>
      </c>
      <c r="F56" s="10" t="str">
        <f>IFERROR(__xludf.DUMMYFUNCTION("""COMPUTED_VALUE"""),"GSDAS")</f>
        <v>GSDAS</v>
      </c>
      <c r="G56" s="10" t="str">
        <f>IFERROR(__xludf.DUMMYFUNCTION("""COMPUTED_VALUE"""),"No")</f>
        <v>No</v>
      </c>
      <c r="H56" s="10"/>
      <c r="I56" s="10"/>
      <c r="J56" s="10"/>
      <c r="K56" s="10">
        <f>IFERROR(__xludf.DUMMYFUNCTION("""COMPUTED_VALUE"""),8.0)</f>
        <v>8</v>
      </c>
      <c r="L56" s="10">
        <f>IFERROR(__xludf.DUMMYFUNCTION("""COMPUTED_VALUE"""),0.0)</f>
        <v>0</v>
      </c>
      <c r="M56" s="10">
        <f>IFERROR(__xludf.DUMMYFUNCTION("""COMPUTED_VALUE"""),5.0)</f>
        <v>5</v>
      </c>
      <c r="N56" s="10">
        <f>IFERROR(__xludf.DUMMYFUNCTION("""COMPUTED_VALUE"""),0.0)</f>
        <v>0</v>
      </c>
      <c r="O56" s="10">
        <f>IFERROR(__xludf.DUMMYFUNCTION("""COMPUTED_VALUE"""),2.0)</f>
        <v>2</v>
      </c>
      <c r="P56" s="10">
        <f>IFERROR(__xludf.DUMMYFUNCTION("""COMPUTED_VALUE"""),0.0)</f>
        <v>0</v>
      </c>
      <c r="Q56" s="10" t="str">
        <f>IFERROR(__xludf.DUMMYFUNCTION("""COMPUTED_VALUE"""),"No")</f>
        <v>No</v>
      </c>
      <c r="R56" s="10" t="str">
        <f>IFERROR(__xludf.DUMMYFUNCTION("""COMPUTED_VALUE"""),"No")</f>
        <v>No</v>
      </c>
      <c r="S56" s="10" t="str">
        <f>IFERROR(__xludf.DUMMYFUNCTION("""COMPUTED_VALUE"""),"Yes")</f>
        <v>Yes</v>
      </c>
      <c r="T56" s="10">
        <f>IFERROR(__xludf.DUMMYFUNCTION("""COMPUTED_VALUE"""),2.0)</f>
        <v>2</v>
      </c>
      <c r="U56" s="10">
        <f>IFERROR(__xludf.DUMMYFUNCTION("""COMPUTED_VALUE"""),0.0)</f>
        <v>0</v>
      </c>
      <c r="V56" s="10" t="str">
        <f>IFERROR(__xludf.DUMMYFUNCTION("""COMPUTED_VALUE"""),"Valentine jesi fahashi ko khatam Karna chahiye ")</f>
        <v>Valentine jesi fahashi ko khatam Karna chahiye </v>
      </c>
      <c r="W56" s="10" t="str">
        <f>IFERROR(__xludf.DUMMYFUNCTION("""COMPUTED_VALUE"""),"Hazrat Muhammad saw ny fahashi ko khatam kia")</f>
        <v>Hazrat Muhammad saw ny fahashi ko khatam kia</v>
      </c>
      <c r="X56" s="10">
        <f>IFERROR(__xludf.DUMMYFUNCTION("""COMPUTED_VALUE"""),0.0)</f>
        <v>0</v>
      </c>
      <c r="Y56" s="10">
        <f>IFERROR(__xludf.DUMMYFUNCTION("""COMPUTED_VALUE"""),5.0)</f>
        <v>5</v>
      </c>
      <c r="Z56" s="10">
        <f>IFERROR(__xludf.DUMMYFUNCTION("""COMPUTED_VALUE"""),5.0)</f>
        <v>5</v>
      </c>
      <c r="AA56" s="10">
        <f>IFERROR(__xludf.DUMMYFUNCTION("""COMPUTED_VALUE"""),5.0)</f>
        <v>5</v>
      </c>
      <c r="AB56" s="10">
        <f>IFERROR(__xludf.DUMMYFUNCTION("""COMPUTED_VALUE"""),0.0)</f>
        <v>0</v>
      </c>
      <c r="AC56" s="10">
        <f>IFERROR(__xludf.DUMMYFUNCTION("""COMPUTED_VALUE"""),0.0)</f>
        <v>0</v>
      </c>
      <c r="AD56" s="10">
        <f>IFERROR(__xludf.DUMMYFUNCTION("""COMPUTED_VALUE"""),0.0)</f>
        <v>0</v>
      </c>
      <c r="AE56" s="10">
        <f>IFERROR(__xludf.DUMMYFUNCTION("""COMPUTED_VALUE"""),0.0)</f>
        <v>0</v>
      </c>
      <c r="AF56" s="10">
        <f>IFERROR(__xludf.DUMMYFUNCTION("""COMPUTED_VALUE"""),10.0)</f>
        <v>10</v>
      </c>
      <c r="AG56" s="10">
        <f>IFERROR(__xludf.DUMMYFUNCTION("""COMPUTED_VALUE"""),10.0)</f>
        <v>10</v>
      </c>
      <c r="AH56" s="10">
        <f>IFERROR(__xludf.DUMMYFUNCTION("""COMPUTED_VALUE"""),0.0)</f>
        <v>0</v>
      </c>
      <c r="AI56" s="10">
        <f>IFERROR(__xludf.DUMMYFUNCTION("""COMPUTED_VALUE"""),10.0)</f>
        <v>10</v>
      </c>
      <c r="AJ56" s="11" t="str">
        <f>IFERROR(__xludf.DUMMYFUNCTION("""COMPUTED_VALUE"""),"https://drive.google.com/open?id=1dcKpMAxEC34Abxg8bHFU9OSas-_Q93mf")</f>
        <v>https://drive.google.com/open?id=1dcKpMAxEC34Abxg8bHFU9OSas-_Q93mf</v>
      </c>
      <c r="AK56" s="12"/>
      <c r="AL56" s="12"/>
      <c r="AM56" s="12"/>
      <c r="AN56" s="12"/>
      <c r="AO56" s="13">
        <v>3.0</v>
      </c>
      <c r="AX56" s="13"/>
    </row>
    <row r="57">
      <c r="A57" s="8">
        <v>56.0</v>
      </c>
      <c r="B57" s="9">
        <f>IFERROR(__xludf.DUMMYFUNCTION("""COMPUTED_VALUE"""),45706.60288475694)</f>
        <v>45706.60288</v>
      </c>
      <c r="C57" s="10" t="str">
        <f>IFERROR(__xludf.DUMMYFUNCTION("""COMPUTED_VALUE"""),"Dilawar Abbas")</f>
        <v>Dilawar Abbas</v>
      </c>
      <c r="D57" s="10" t="str">
        <f>IFERROR(__xludf.DUMMYFUNCTION("""COMPUTED_VALUE"""),"03095378593")</f>
        <v>03095378593</v>
      </c>
      <c r="E57" s="10" t="str">
        <f>IFERROR(__xludf.DUMMYFUNCTION("""COMPUTED_VALUE"""),"Jamia Masjid Noor Eman Wali (Sermon#3 transcription)")</f>
        <v>Jamia Masjid Noor Eman Wali (Sermon#3 transcription)</v>
      </c>
      <c r="F57" s="10" t="str">
        <f>IFERROR(__xludf.DUMMYFUNCTION("""COMPUTED_VALUE"""),"PIUJL")</f>
        <v>PIUJL</v>
      </c>
      <c r="G57" s="10" t="str">
        <f>IFERROR(__xludf.DUMMYFUNCTION("""COMPUTED_VALUE"""),"No")</f>
        <v>No</v>
      </c>
      <c r="H57" s="10"/>
      <c r="I57" s="10"/>
      <c r="J57" s="10"/>
      <c r="K57" s="10">
        <f>IFERROR(__xludf.DUMMYFUNCTION("""COMPUTED_VALUE"""),0.0)</f>
        <v>0</v>
      </c>
      <c r="L57" s="10">
        <f>IFERROR(__xludf.DUMMYFUNCTION("""COMPUTED_VALUE"""),0.0)</f>
        <v>0</v>
      </c>
      <c r="M57" s="10">
        <f>IFERROR(__xludf.DUMMYFUNCTION("""COMPUTED_VALUE"""),0.0)</f>
        <v>0</v>
      </c>
      <c r="N57" s="10">
        <f>IFERROR(__xludf.DUMMYFUNCTION("""COMPUTED_VALUE"""),0.0)</f>
        <v>0</v>
      </c>
      <c r="O57" s="10">
        <f>IFERROR(__xludf.DUMMYFUNCTION("""COMPUTED_VALUE"""),0.0)</f>
        <v>0</v>
      </c>
      <c r="P57" s="10">
        <f>IFERROR(__xludf.DUMMYFUNCTION("""COMPUTED_VALUE"""),0.0)</f>
        <v>0</v>
      </c>
      <c r="Q57" s="10" t="str">
        <f>IFERROR(__xludf.DUMMYFUNCTION("""COMPUTED_VALUE"""),"No")</f>
        <v>No</v>
      </c>
      <c r="R57" s="10" t="str">
        <f>IFERROR(__xludf.DUMMYFUNCTION("""COMPUTED_VALUE"""),"No")</f>
        <v>No</v>
      </c>
      <c r="S57" s="10" t="str">
        <f>IFERROR(__xludf.DUMMYFUNCTION("""COMPUTED_VALUE"""),"No")</f>
        <v>No</v>
      </c>
      <c r="T57" s="10">
        <f>IFERROR(__xludf.DUMMYFUNCTION("""COMPUTED_VALUE"""),0.0)</f>
        <v>0</v>
      </c>
      <c r="U57" s="10">
        <f>IFERROR(__xludf.DUMMYFUNCTION("""COMPUTED_VALUE"""),0.0)</f>
        <v>0</v>
      </c>
      <c r="V57" s="10" t="str">
        <f>IFERROR(__xludf.DUMMYFUNCTION("""COMPUTED_VALUE"""),"سابقہ  امتوں اور امت مصطفی کے درمیان شرعی احکامات کا موازنہ ")</f>
        <v>سابقہ  امتوں اور امت مصطفی کے درمیان شرعی احکامات کا موازنہ </v>
      </c>
      <c r="W57" s="10" t="str">
        <f>IFERROR(__xludf.DUMMYFUNCTION("""COMPUTED_VALUE"""),"Sabka umaton k lie paledi yani na paki k aehkamat boht sakht the or tauba bhe boht sakht thi. 
Umat e mustafa k lie paledi yani na paki k shari aehkamat boht asan hn or tauba bhe boht asan ha. Sirf or sirf hazrat Muhammad (pbuh) ki umat hone ki waja se. ")</f>
        <v>Sabka umaton k lie paledi yani na paki k aehkamat boht sakht the or tauba bhe boht sakht thi. 
Umat e mustafa k lie paledi yani na paki k shari aehkamat boht asan hn or tauba bhe boht asan ha. Sirf or sirf hazrat Muhammad (pbuh) ki umat hone ki waja se. </v>
      </c>
      <c r="X57" s="10">
        <f>IFERROR(__xludf.DUMMYFUNCTION("""COMPUTED_VALUE"""),0.0)</f>
        <v>0</v>
      </c>
      <c r="Y57" s="10">
        <f>IFERROR(__xludf.DUMMYFUNCTION("""COMPUTED_VALUE"""),0.0)</f>
        <v>0</v>
      </c>
      <c r="Z57" s="10">
        <f>IFERROR(__xludf.DUMMYFUNCTION("""COMPUTED_VALUE"""),0.0)</f>
        <v>0</v>
      </c>
      <c r="AA57" s="10">
        <f>IFERROR(__xludf.DUMMYFUNCTION("""COMPUTED_VALUE"""),3.0)</f>
        <v>3</v>
      </c>
      <c r="AB57" s="10">
        <f>IFERROR(__xludf.DUMMYFUNCTION("""COMPUTED_VALUE"""),4.0)</f>
        <v>4</v>
      </c>
      <c r="AC57" s="10">
        <f>IFERROR(__xludf.DUMMYFUNCTION("""COMPUTED_VALUE"""),0.0)</f>
        <v>0</v>
      </c>
      <c r="AD57" s="10">
        <f>IFERROR(__xludf.DUMMYFUNCTION("""COMPUTED_VALUE"""),0.0)</f>
        <v>0</v>
      </c>
      <c r="AE57" s="10">
        <f>IFERROR(__xludf.DUMMYFUNCTION("""COMPUTED_VALUE"""),0.0)</f>
        <v>0</v>
      </c>
      <c r="AF57" s="10">
        <f>IFERROR(__xludf.DUMMYFUNCTION("""COMPUTED_VALUE"""),0.0)</f>
        <v>0</v>
      </c>
      <c r="AG57" s="10">
        <f>IFERROR(__xludf.DUMMYFUNCTION("""COMPUTED_VALUE"""),8.0)</f>
        <v>8</v>
      </c>
      <c r="AH57" s="10">
        <f>IFERROR(__xludf.DUMMYFUNCTION("""COMPUTED_VALUE"""),0.0)</f>
        <v>0</v>
      </c>
      <c r="AI57" s="10">
        <f>IFERROR(__xludf.DUMMYFUNCTION("""COMPUTED_VALUE"""),8.0)</f>
        <v>8</v>
      </c>
      <c r="AJ57" s="11" t="str">
        <f>IFERROR(__xludf.DUMMYFUNCTION("""COMPUTED_VALUE"""),"https://drive.google.com/open?id=1-NxnkksGkHl3KHMbk4743Vx4x1kHH44n")</f>
        <v>https://drive.google.com/open?id=1-NxnkksGkHl3KHMbk4743Vx4x1kHH44n</v>
      </c>
      <c r="AK57" s="12"/>
      <c r="AL57" s="12"/>
      <c r="AM57" s="12"/>
      <c r="AN57" s="12"/>
      <c r="AO57" s="13">
        <v>3.0</v>
      </c>
      <c r="AX57" s="13"/>
    </row>
    <row r="58">
      <c r="A58" s="8">
        <v>57.0</v>
      </c>
      <c r="B58" s="9">
        <f>IFERROR(__xludf.DUMMYFUNCTION("""COMPUTED_VALUE"""),45707.03256903935)</f>
        <v>45707.03257</v>
      </c>
      <c r="C58" s="10" t="str">
        <f>IFERROR(__xludf.DUMMYFUNCTION("""COMPUTED_VALUE"""),"Syedabu huraira ")</f>
        <v>Syedabu huraira </v>
      </c>
      <c r="D58" s="10" t="str">
        <f>IFERROR(__xludf.DUMMYFUNCTION("""COMPUTED_VALUE"""),"03354008267")</f>
        <v>03354008267</v>
      </c>
      <c r="E58" s="10" t="str">
        <f>IFERROR(__xludf.DUMMYFUNCTION("""COMPUTED_VALUE"""),"WZJKX	Jamia Masjid Shah Jamal Lahore	Maulana Akhtar Raza	3017572235")</f>
        <v>WZJKX	Jamia Masjid Shah Jamal Lahore	Maulana Akhtar Raza	3017572235</v>
      </c>
      <c r="F58" s="10" t="str">
        <f>IFERROR(__xludf.DUMMYFUNCTION("""COMPUTED_VALUE"""),"wzjkx")</f>
        <v>wzjkx</v>
      </c>
      <c r="G58" s="10" t="str">
        <f>IFERROR(__xludf.DUMMYFUNCTION("""COMPUTED_VALUE"""),"No")</f>
        <v>No</v>
      </c>
      <c r="H58" s="10"/>
      <c r="I58" s="10"/>
      <c r="J58" s="10"/>
      <c r="K58" s="10">
        <f>IFERROR(__xludf.DUMMYFUNCTION("""COMPUTED_VALUE"""),5.0)</f>
        <v>5</v>
      </c>
      <c r="L58" s="10">
        <f>IFERROR(__xludf.DUMMYFUNCTION("""COMPUTED_VALUE"""),5.0)</f>
        <v>5</v>
      </c>
      <c r="M58" s="10">
        <f>IFERROR(__xludf.DUMMYFUNCTION("""COMPUTED_VALUE"""),4.0)</f>
        <v>4</v>
      </c>
      <c r="N58" s="10">
        <f>IFERROR(__xludf.DUMMYFUNCTION("""COMPUTED_VALUE"""),5.0)</f>
        <v>5</v>
      </c>
      <c r="O58" s="10">
        <f>IFERROR(__xludf.DUMMYFUNCTION("""COMPUTED_VALUE"""),4.0)</f>
        <v>4</v>
      </c>
      <c r="P58" s="10">
        <f>IFERROR(__xludf.DUMMYFUNCTION("""COMPUTED_VALUE"""),4.0)</f>
        <v>4</v>
      </c>
      <c r="Q58" s="10" t="str">
        <f>IFERROR(__xludf.DUMMYFUNCTION("""COMPUTED_VALUE"""),"No")</f>
        <v>No</v>
      </c>
      <c r="R58" s="10" t="str">
        <f>IFERROR(__xludf.DUMMYFUNCTION("""COMPUTED_VALUE"""),"No")</f>
        <v>No</v>
      </c>
      <c r="S58" s="10" t="str">
        <f>IFERROR(__xludf.DUMMYFUNCTION("""COMPUTED_VALUE"""),"Yes")</f>
        <v>Yes</v>
      </c>
      <c r="T58" s="10">
        <f>IFERROR(__xludf.DUMMYFUNCTION("""COMPUTED_VALUE"""),5.0)</f>
        <v>5</v>
      </c>
      <c r="U58" s="10">
        <f>IFERROR(__xludf.DUMMYFUNCTION("""COMPUTED_VALUE"""),5.0)</f>
        <v>5</v>
      </c>
      <c r="V58" s="10" t="str">
        <f>IFERROR(__xludf.DUMMYFUNCTION("""COMPUTED_VALUE"""),"Fikr e akhrat or Sachi tooba")</f>
        <v>Fikr e akhrat or Sachi tooba</v>
      </c>
      <c r="W58" s="10" t="str">
        <f>IFERROR(__xludf.DUMMYFUNCTION("""COMPUTED_VALUE"""),"Hazrat Usman or UN Ki azmat pr bayan or zaat Kay masarif")</f>
        <v>Hazrat Usman or UN Ki azmat pr bayan or zaat Kay masarif</v>
      </c>
      <c r="X58" s="10">
        <f>IFERROR(__xludf.DUMMYFUNCTION("""COMPUTED_VALUE"""),9.0)</f>
        <v>9</v>
      </c>
      <c r="Y58" s="10">
        <f>IFERROR(__xludf.DUMMYFUNCTION("""COMPUTED_VALUE"""),7.0)</f>
        <v>7</v>
      </c>
      <c r="Z58" s="10">
        <f>IFERROR(__xludf.DUMMYFUNCTION("""COMPUTED_VALUE"""),7.0)</f>
        <v>7</v>
      </c>
      <c r="AA58" s="10">
        <f>IFERROR(__xludf.DUMMYFUNCTION("""COMPUTED_VALUE"""),6.0)</f>
        <v>6</v>
      </c>
      <c r="AB58" s="10">
        <f>IFERROR(__xludf.DUMMYFUNCTION("""COMPUTED_VALUE"""),6.0)</f>
        <v>6</v>
      </c>
      <c r="AC58" s="10">
        <f>IFERROR(__xludf.DUMMYFUNCTION("""COMPUTED_VALUE"""),2.0)</f>
        <v>2</v>
      </c>
      <c r="AD58" s="10">
        <f>IFERROR(__xludf.DUMMYFUNCTION("""COMPUTED_VALUE"""),3.0)</f>
        <v>3</v>
      </c>
      <c r="AE58" s="10">
        <f>IFERROR(__xludf.DUMMYFUNCTION("""COMPUTED_VALUE"""),2.0)</f>
        <v>2</v>
      </c>
      <c r="AF58" s="10">
        <f>IFERROR(__xludf.DUMMYFUNCTION("""COMPUTED_VALUE"""),1.0)</f>
        <v>1</v>
      </c>
      <c r="AG58" s="10">
        <f>IFERROR(__xludf.DUMMYFUNCTION("""COMPUTED_VALUE"""),8.0)</f>
        <v>8</v>
      </c>
      <c r="AH58" s="10">
        <f>IFERROR(__xludf.DUMMYFUNCTION("""COMPUTED_VALUE"""),1.0)</f>
        <v>1</v>
      </c>
      <c r="AI58" s="10">
        <f>IFERROR(__xludf.DUMMYFUNCTION("""COMPUTED_VALUE"""),10.0)</f>
        <v>10</v>
      </c>
      <c r="AJ58" s="11" t="str">
        <f>IFERROR(__xludf.DUMMYFUNCTION("""COMPUTED_VALUE"""),"https://drive.google.com/open?id=1gnzxm-5WbrhZENs9Da2QaLW0FGadimcB")</f>
        <v>https://drive.google.com/open?id=1gnzxm-5WbrhZENs9Da2QaLW0FGadimcB</v>
      </c>
      <c r="AK58" s="12"/>
      <c r="AL58" s="12"/>
      <c r="AM58" s="12"/>
      <c r="AN58" s="12"/>
      <c r="AO58" s="13">
        <v>3.0</v>
      </c>
      <c r="AX58" s="13"/>
    </row>
    <row r="59">
      <c r="A59" s="8">
        <v>58.0</v>
      </c>
      <c r="B59" s="9">
        <f>IFERROR(__xludf.DUMMYFUNCTION("""COMPUTED_VALUE"""),45707.04739782408)</f>
        <v>45707.0474</v>
      </c>
      <c r="C59" s="10" t="str">
        <f>IFERROR(__xludf.DUMMYFUNCTION("""COMPUTED_VALUE"""),"Shakeela")</f>
        <v>Shakeela</v>
      </c>
      <c r="D59" s="10" t="str">
        <f>IFERROR(__xludf.DUMMYFUNCTION("""COMPUTED_VALUE"""),"03359485820")</f>
        <v>03359485820</v>
      </c>
      <c r="E59" s="10" t="str">
        <f>IFERROR(__xludf.DUMMYFUNCTION("""COMPUTED_VALUE"""),"Jamia Masjid Shaleha Ghumbo Mochi Gate Lahore")</f>
        <v>Jamia Masjid Shaleha Ghumbo Mochi Gate Lahore</v>
      </c>
      <c r="F59" s="10" t="str">
        <f>IFERROR(__xludf.DUMMYFUNCTION("""COMPUTED_VALUE"""),"gnvlx")</f>
        <v>gnvlx</v>
      </c>
      <c r="G59" s="10" t="str">
        <f>IFERROR(__xludf.DUMMYFUNCTION("""COMPUTED_VALUE"""),"No")</f>
        <v>No</v>
      </c>
      <c r="H59" s="10"/>
      <c r="I59" s="10"/>
      <c r="J59" s="10"/>
      <c r="K59" s="10">
        <f>IFERROR(__xludf.DUMMYFUNCTION("""COMPUTED_VALUE"""),0.0)</f>
        <v>0</v>
      </c>
      <c r="L59" s="10">
        <f>IFERROR(__xludf.DUMMYFUNCTION("""COMPUTED_VALUE"""),0.0)</f>
        <v>0</v>
      </c>
      <c r="M59" s="10">
        <f>IFERROR(__xludf.DUMMYFUNCTION("""COMPUTED_VALUE"""),0.0)</f>
        <v>0</v>
      </c>
      <c r="N59" s="10">
        <f>IFERROR(__xludf.DUMMYFUNCTION("""COMPUTED_VALUE"""),0.0)</f>
        <v>0</v>
      </c>
      <c r="O59" s="10">
        <f>IFERROR(__xludf.DUMMYFUNCTION("""COMPUTED_VALUE"""),0.0)</f>
        <v>0</v>
      </c>
      <c r="P59" s="10">
        <f>IFERROR(__xludf.DUMMYFUNCTION("""COMPUTED_VALUE"""),0.0)</f>
        <v>0</v>
      </c>
      <c r="Q59" s="10" t="str">
        <f>IFERROR(__xludf.DUMMYFUNCTION("""COMPUTED_VALUE"""),"No")</f>
        <v>No</v>
      </c>
      <c r="R59" s="10" t="str">
        <f>IFERROR(__xludf.DUMMYFUNCTION("""COMPUTED_VALUE"""),"No")</f>
        <v>No</v>
      </c>
      <c r="S59" s="10" t="str">
        <f>IFERROR(__xludf.DUMMYFUNCTION("""COMPUTED_VALUE"""),"No")</f>
        <v>No</v>
      </c>
      <c r="T59" s="10">
        <f>IFERROR(__xludf.DUMMYFUNCTION("""COMPUTED_VALUE"""),0.0)</f>
        <v>0</v>
      </c>
      <c r="U59" s="10">
        <f>IFERROR(__xludf.DUMMYFUNCTION("""COMPUTED_VALUE"""),0.0)</f>
        <v>0</v>
      </c>
      <c r="V59" s="10" t="str">
        <f>IFERROR(__xludf.DUMMYFUNCTION("""COMPUTED_VALUE"""),"Allah Aur insan")</f>
        <v>Allah Aur insan</v>
      </c>
      <c r="W59" s="10" t="str">
        <f>IFERROR(__xludf.DUMMYFUNCTION("""COMPUTED_VALUE"""),"Allaah Aur Rasool se mohabbat")</f>
        <v>Allaah Aur Rasool se mohabbat</v>
      </c>
      <c r="X59" s="10">
        <f>IFERROR(__xludf.DUMMYFUNCTION("""COMPUTED_VALUE"""),5.0)</f>
        <v>5</v>
      </c>
      <c r="Y59" s="10">
        <f>IFERROR(__xludf.DUMMYFUNCTION("""COMPUTED_VALUE"""),4.0)</f>
        <v>4</v>
      </c>
      <c r="Z59" s="10">
        <f>IFERROR(__xludf.DUMMYFUNCTION("""COMPUTED_VALUE"""),1.0)</f>
        <v>1</v>
      </c>
      <c r="AA59" s="10">
        <f>IFERROR(__xludf.DUMMYFUNCTION("""COMPUTED_VALUE"""),5.0)</f>
        <v>5</v>
      </c>
      <c r="AB59" s="10">
        <f>IFERROR(__xludf.DUMMYFUNCTION("""COMPUTED_VALUE"""),4.0)</f>
        <v>4</v>
      </c>
      <c r="AC59" s="10">
        <f>IFERROR(__xludf.DUMMYFUNCTION("""COMPUTED_VALUE"""),2.0)</f>
        <v>2</v>
      </c>
      <c r="AD59" s="10">
        <f>IFERROR(__xludf.DUMMYFUNCTION("""COMPUTED_VALUE"""),2.0)</f>
        <v>2</v>
      </c>
      <c r="AE59" s="10">
        <f>IFERROR(__xludf.DUMMYFUNCTION("""COMPUTED_VALUE"""),0.0)</f>
        <v>0</v>
      </c>
      <c r="AF59" s="10">
        <f>IFERROR(__xludf.DUMMYFUNCTION("""COMPUTED_VALUE"""),7.0)</f>
        <v>7</v>
      </c>
      <c r="AG59" s="10">
        <f>IFERROR(__xludf.DUMMYFUNCTION("""COMPUTED_VALUE"""),7.0)</f>
        <v>7</v>
      </c>
      <c r="AH59" s="10">
        <f>IFERROR(__xludf.DUMMYFUNCTION("""COMPUTED_VALUE"""),0.0)</f>
        <v>0</v>
      </c>
      <c r="AI59" s="10">
        <f>IFERROR(__xludf.DUMMYFUNCTION("""COMPUTED_VALUE"""),6.0)</f>
        <v>6</v>
      </c>
      <c r="AJ59" s="11" t="str">
        <f>IFERROR(__xludf.DUMMYFUNCTION("""COMPUTED_VALUE"""),"https://drive.google.com/open?id=14Dk_UOciQGEXLDmYPO9pvMz9hP1F2zAK")</f>
        <v>https://drive.google.com/open?id=14Dk_UOciQGEXLDmYPO9pvMz9hP1F2zAK</v>
      </c>
      <c r="AK59" s="12"/>
      <c r="AL59" s="12"/>
      <c r="AM59" s="12"/>
      <c r="AN59" s="12"/>
      <c r="AO59" s="13">
        <v>3.0</v>
      </c>
      <c r="AX59" s="13"/>
    </row>
    <row r="60">
      <c r="A60" s="8">
        <v>59.0</v>
      </c>
      <c r="B60" s="9">
        <f>IFERROR(__xludf.DUMMYFUNCTION("""COMPUTED_VALUE"""),45707.07623190973)</f>
        <v>45707.07623</v>
      </c>
      <c r="C60" s="10" t="str">
        <f>IFERROR(__xludf.DUMMYFUNCTION("""COMPUTED_VALUE"""),"Shakeela")</f>
        <v>Shakeela</v>
      </c>
      <c r="D60" s="10" t="str">
        <f>IFERROR(__xludf.DUMMYFUNCTION("""COMPUTED_VALUE"""),"03359485820")</f>
        <v>03359485820</v>
      </c>
      <c r="E60" s="10" t="str">
        <f>IFERROR(__xludf.DUMMYFUNCTION("""COMPUTED_VALUE"""),"Jami masjid maki new anarkali lahore")</f>
        <v>Jami masjid maki new anarkali lahore</v>
      </c>
      <c r="F60" s="10" t="str">
        <f>IFERROR(__xludf.DUMMYFUNCTION("""COMPUTED_VALUE"""),"Ucpvp")</f>
        <v>Ucpvp</v>
      </c>
      <c r="G60" s="10" t="str">
        <f>IFERROR(__xludf.DUMMYFUNCTION("""COMPUTED_VALUE"""),"No")</f>
        <v>No</v>
      </c>
      <c r="H60" s="10"/>
      <c r="I60" s="10"/>
      <c r="J60" s="10"/>
      <c r="K60" s="10">
        <f>IFERROR(__xludf.DUMMYFUNCTION("""COMPUTED_VALUE"""),0.0)</f>
        <v>0</v>
      </c>
      <c r="L60" s="10">
        <f>IFERROR(__xludf.DUMMYFUNCTION("""COMPUTED_VALUE"""),8.0)</f>
        <v>8</v>
      </c>
      <c r="M60" s="10">
        <f>IFERROR(__xludf.DUMMYFUNCTION("""COMPUTED_VALUE"""),0.0)</f>
        <v>0</v>
      </c>
      <c r="N60" s="10">
        <f>IFERROR(__xludf.DUMMYFUNCTION("""COMPUTED_VALUE"""),8.0)</f>
        <v>8</v>
      </c>
      <c r="O60" s="10">
        <f>IFERROR(__xludf.DUMMYFUNCTION("""COMPUTED_VALUE"""),0.0)</f>
        <v>0</v>
      </c>
      <c r="P60" s="10">
        <f>IFERROR(__xludf.DUMMYFUNCTION("""COMPUTED_VALUE"""),8.0)</f>
        <v>8</v>
      </c>
      <c r="Q60" s="10" t="str">
        <f>IFERROR(__xludf.DUMMYFUNCTION("""COMPUTED_VALUE"""),"No")</f>
        <v>No</v>
      </c>
      <c r="R60" s="10" t="str">
        <f>IFERROR(__xludf.DUMMYFUNCTION("""COMPUTED_VALUE"""),"No")</f>
        <v>No</v>
      </c>
      <c r="S60" s="10" t="str">
        <f>IFERROR(__xludf.DUMMYFUNCTION("""COMPUTED_VALUE"""),"No")</f>
        <v>No</v>
      </c>
      <c r="T60" s="10">
        <f>IFERROR(__xludf.DUMMYFUNCTION("""COMPUTED_VALUE"""),0.0)</f>
        <v>0</v>
      </c>
      <c r="U60" s="10">
        <f>IFERROR(__xludf.DUMMYFUNCTION("""COMPUTED_VALUE"""),0.0)</f>
        <v>0</v>
      </c>
      <c r="V60" s="10" t="str">
        <f>IFERROR(__xludf.DUMMYFUNCTION("""COMPUTED_VALUE"""),"Rights of neighbors ")</f>
        <v>Rights of neighbors </v>
      </c>
      <c r="W60" s="10" t="str">
        <f>IFERROR(__xludf.DUMMYFUNCTION("""COMPUTED_VALUE"""),"Right of neighbors ")</f>
        <v>Right of neighbors </v>
      </c>
      <c r="X60" s="10">
        <f>IFERROR(__xludf.DUMMYFUNCTION("""COMPUTED_VALUE"""),7.0)</f>
        <v>7</v>
      </c>
      <c r="Y60" s="10">
        <f>IFERROR(__xludf.DUMMYFUNCTION("""COMPUTED_VALUE"""),4.0)</f>
        <v>4</v>
      </c>
      <c r="Z60" s="10">
        <f>IFERROR(__xludf.DUMMYFUNCTION("""COMPUTED_VALUE"""),3.0)</f>
        <v>3</v>
      </c>
      <c r="AA60" s="10">
        <f>IFERROR(__xludf.DUMMYFUNCTION("""COMPUTED_VALUE"""),9.0)</f>
        <v>9</v>
      </c>
      <c r="AB60" s="10">
        <f>IFERROR(__xludf.DUMMYFUNCTION("""COMPUTED_VALUE"""),6.0)</f>
        <v>6</v>
      </c>
      <c r="AC60" s="10">
        <f>IFERROR(__xludf.DUMMYFUNCTION("""COMPUTED_VALUE"""),0.0)</f>
        <v>0</v>
      </c>
      <c r="AD60" s="10">
        <f>IFERROR(__xludf.DUMMYFUNCTION("""COMPUTED_VALUE"""),0.0)</f>
        <v>0</v>
      </c>
      <c r="AE60" s="10">
        <f>IFERROR(__xludf.DUMMYFUNCTION("""COMPUTED_VALUE"""),0.0)</f>
        <v>0</v>
      </c>
      <c r="AF60" s="10">
        <f>IFERROR(__xludf.DUMMYFUNCTION("""COMPUTED_VALUE"""),0.0)</f>
        <v>0</v>
      </c>
      <c r="AG60" s="10">
        <f>IFERROR(__xludf.DUMMYFUNCTION("""COMPUTED_VALUE"""),10.0)</f>
        <v>10</v>
      </c>
      <c r="AH60" s="10">
        <f>IFERROR(__xludf.DUMMYFUNCTION("""COMPUTED_VALUE"""),0.0)</f>
        <v>0</v>
      </c>
      <c r="AI60" s="10">
        <f>IFERROR(__xludf.DUMMYFUNCTION("""COMPUTED_VALUE"""),6.0)</f>
        <v>6</v>
      </c>
      <c r="AJ60" s="11" t="str">
        <f>IFERROR(__xludf.DUMMYFUNCTION("""COMPUTED_VALUE"""),"https://drive.google.com/open?id=1wJUK4Z0UHPH8zNLsuk_uRt9P_MgTOnKw")</f>
        <v>https://drive.google.com/open?id=1wJUK4Z0UHPH8zNLsuk_uRt9P_MgTOnKw</v>
      </c>
      <c r="AK60" s="12"/>
      <c r="AL60" s="12"/>
      <c r="AM60" s="12"/>
      <c r="AN60" s="12"/>
      <c r="AO60" s="13">
        <v>3.0</v>
      </c>
      <c r="AX60" s="13"/>
    </row>
    <row r="61">
      <c r="A61" s="8">
        <v>60.0</v>
      </c>
      <c r="B61" s="9">
        <f>IFERROR(__xludf.DUMMYFUNCTION("""COMPUTED_VALUE"""),45707.431797847225)</f>
        <v>45707.4318</v>
      </c>
      <c r="C61" s="10" t="str">
        <f>IFERROR(__xludf.DUMMYFUNCTION("""COMPUTED_VALUE"""),"Maham")</f>
        <v>Maham</v>
      </c>
      <c r="D61" s="10" t="str">
        <f>IFERROR(__xludf.DUMMYFUNCTION("""COMPUTED_VALUE"""),"03218118680")</f>
        <v>03218118680</v>
      </c>
      <c r="E61" s="10" t="str">
        <f>IFERROR(__xludf.DUMMYFUNCTION("""COMPUTED_VALUE""")," Sermon 3 Jamia Masjid Takiya Ujagar Shah Lahore ")</f>
        <v> Sermon 3 Jamia Masjid Takiya Ujagar Shah Lahore </v>
      </c>
      <c r="F61" s="10" t="str">
        <f>IFERROR(__xludf.DUMMYFUNCTION("""COMPUTED_VALUE"""),"WBAIL")</f>
        <v>WBAIL</v>
      </c>
      <c r="G61" s="10" t="str">
        <f>IFERROR(__xludf.DUMMYFUNCTION("""COMPUTED_VALUE"""),"Yes")</f>
        <v>Yes</v>
      </c>
      <c r="H61" s="10">
        <f>IFERROR(__xludf.DUMMYFUNCTION("""COMPUTED_VALUE"""),10.0)</f>
        <v>10</v>
      </c>
      <c r="I61" s="10">
        <f>IFERROR(__xludf.DUMMYFUNCTION("""COMPUTED_VALUE"""),5.0)</f>
        <v>5</v>
      </c>
      <c r="J61" s="10">
        <f>IFERROR(__xludf.DUMMYFUNCTION("""COMPUTED_VALUE"""),10.0)</f>
        <v>10</v>
      </c>
      <c r="K61" s="10">
        <f>IFERROR(__xludf.DUMMYFUNCTION("""COMPUTED_VALUE"""),0.0)</f>
        <v>0</v>
      </c>
      <c r="L61" s="10">
        <f>IFERROR(__xludf.DUMMYFUNCTION("""COMPUTED_VALUE"""),1.0)</f>
        <v>1</v>
      </c>
      <c r="M61" s="10">
        <f>IFERROR(__xludf.DUMMYFUNCTION("""COMPUTED_VALUE"""),0.0)</f>
        <v>0</v>
      </c>
      <c r="N61" s="10">
        <f>IFERROR(__xludf.DUMMYFUNCTION("""COMPUTED_VALUE"""),0.0)</f>
        <v>0</v>
      </c>
      <c r="O61" s="10">
        <f>IFERROR(__xludf.DUMMYFUNCTION("""COMPUTED_VALUE"""),0.0)</f>
        <v>0</v>
      </c>
      <c r="P61" s="10">
        <f>IFERROR(__xludf.DUMMYFUNCTION("""COMPUTED_VALUE"""),0.0)</f>
        <v>0</v>
      </c>
      <c r="Q61" s="10" t="str">
        <f>IFERROR(__xludf.DUMMYFUNCTION("""COMPUTED_VALUE"""),"No")</f>
        <v>No</v>
      </c>
      <c r="R61" s="10" t="str">
        <f>IFERROR(__xludf.DUMMYFUNCTION("""COMPUTED_VALUE"""),"No")</f>
        <v>No</v>
      </c>
      <c r="S61" s="10" t="str">
        <f>IFERROR(__xludf.DUMMYFUNCTION("""COMPUTED_VALUE"""),"Yes")</f>
        <v>Yes</v>
      </c>
      <c r="T61" s="10">
        <f>IFERROR(__xludf.DUMMYFUNCTION("""COMPUTED_VALUE"""),0.0)</f>
        <v>0</v>
      </c>
      <c r="U61" s="10">
        <f>IFERROR(__xludf.DUMMYFUNCTION("""COMPUTED_VALUE"""),0.0)</f>
        <v>0</v>
      </c>
      <c r="V61" s="10" t="str">
        <f>IFERROR(__xludf.DUMMYFUNCTION("""COMPUTED_VALUE"""),"شعبان اور رمضان کے مہینے کی اہمیت اور ضرورت مندوں کی ضرورت کو پوری کرنا اور خشیت الہی کا ڈر")</f>
        <v>شعبان اور رمضان کے مہینے کی اہمیت اور ضرورت مندوں کی ضرورت کو پوری کرنا اور خشیت الہی کا ڈر</v>
      </c>
      <c r="W61" s="10" t="str">
        <f>IFERROR(__xludf.DUMMYFUNCTION("""COMPUTED_VALUE"""),"امام صاحب نے شعبان اور رمضان کے مہینے کی اہمیت کو بیان کیا اور ہمیں یہ بتایا کہ ہمیں کسی کی مجبوری کو خریدنا نہیں چاہیے اور اللہ تعالی کی ذات کا اپنے دل میں خوف رکھنا چاہیے")</f>
        <v>امام صاحب نے شعبان اور رمضان کے مہینے کی اہمیت کو بیان کیا اور ہمیں یہ بتایا کہ ہمیں کسی کی مجبوری کو خریدنا نہیں چاہیے اور اللہ تعالی کی ذات کا اپنے دل میں خوف رکھنا چاہیے</v>
      </c>
      <c r="X61" s="10">
        <f>IFERROR(__xludf.DUMMYFUNCTION("""COMPUTED_VALUE"""),6.0)</f>
        <v>6</v>
      </c>
      <c r="Y61" s="10">
        <f>IFERROR(__xludf.DUMMYFUNCTION("""COMPUTED_VALUE"""),5.0)</f>
        <v>5</v>
      </c>
      <c r="Z61" s="10">
        <f>IFERROR(__xludf.DUMMYFUNCTION("""COMPUTED_VALUE"""),0.0)</f>
        <v>0</v>
      </c>
      <c r="AA61" s="10">
        <f>IFERROR(__xludf.DUMMYFUNCTION("""COMPUTED_VALUE"""),10.0)</f>
        <v>10</v>
      </c>
      <c r="AB61" s="10">
        <f>IFERROR(__xludf.DUMMYFUNCTION("""COMPUTED_VALUE"""),0.0)</f>
        <v>0</v>
      </c>
      <c r="AC61" s="10">
        <f>IFERROR(__xludf.DUMMYFUNCTION("""COMPUTED_VALUE"""),0.0)</f>
        <v>0</v>
      </c>
      <c r="AD61" s="10">
        <f>IFERROR(__xludf.DUMMYFUNCTION("""COMPUTED_VALUE"""),0.0)</f>
        <v>0</v>
      </c>
      <c r="AE61" s="10">
        <f>IFERROR(__xludf.DUMMYFUNCTION("""COMPUTED_VALUE"""),0.0)</f>
        <v>0</v>
      </c>
      <c r="AF61" s="10">
        <f>IFERROR(__xludf.DUMMYFUNCTION("""COMPUTED_VALUE"""),10.0)</f>
        <v>10</v>
      </c>
      <c r="AG61" s="10">
        <f>IFERROR(__xludf.DUMMYFUNCTION("""COMPUTED_VALUE"""),10.0)</f>
        <v>10</v>
      </c>
      <c r="AH61" s="10">
        <f>IFERROR(__xludf.DUMMYFUNCTION("""COMPUTED_VALUE"""),0.0)</f>
        <v>0</v>
      </c>
      <c r="AI61" s="10">
        <f>IFERROR(__xludf.DUMMYFUNCTION("""COMPUTED_VALUE"""),10.0)</f>
        <v>10</v>
      </c>
      <c r="AJ61" s="11" t="str">
        <f>IFERROR(__xludf.DUMMYFUNCTION("""COMPUTED_VALUE"""),"https://drive.google.com/open?id=1Dobo2Zs_lcLn9YacVniiwyCi-WdSTe8b")</f>
        <v>https://drive.google.com/open?id=1Dobo2Zs_lcLn9YacVniiwyCi-WdSTe8b</v>
      </c>
      <c r="AK61" s="12">
        <f>IFERROR(__xludf.DUMMYFUNCTION("""COMPUTED_VALUE"""),0.0)</f>
        <v>0</v>
      </c>
      <c r="AL61" s="12"/>
      <c r="AM61" s="12"/>
      <c r="AN61" s="12"/>
      <c r="AO61" s="13">
        <v>3.0</v>
      </c>
      <c r="AX61" s="13"/>
    </row>
    <row r="62">
      <c r="A62" s="8">
        <v>61.0</v>
      </c>
      <c r="B62" s="9">
        <f>IFERROR(__xludf.DUMMYFUNCTION("""COMPUTED_VALUE"""),45707.466871666664)</f>
        <v>45707.46687</v>
      </c>
      <c r="C62" s="10" t="str">
        <f>IFERROR(__xludf.DUMMYFUNCTION("""COMPUTED_VALUE"""),"Maham")</f>
        <v>Maham</v>
      </c>
      <c r="D62" s="10" t="str">
        <f>IFERROR(__xludf.DUMMYFUNCTION("""COMPUTED_VALUE"""),"03218118680")</f>
        <v>03218118680</v>
      </c>
      <c r="E62" s="10" t="str">
        <f>IFERROR(__xludf.DUMMYFUNCTION("""COMPUTED_VALUE""")," Sermon 3 Jamia Masjid Neevin Bhati Gate Lahore ")</f>
        <v> Sermon 3 Jamia Masjid Neevin Bhati Gate Lahore </v>
      </c>
      <c r="F62" s="10" t="str">
        <f>IFERROR(__xludf.DUMMYFUNCTION("""COMPUTED_VALUE"""),"kkrvm")</f>
        <v>kkrvm</v>
      </c>
      <c r="G62" s="10" t="str">
        <f>IFERROR(__xludf.DUMMYFUNCTION("""COMPUTED_VALUE"""),"Yes")</f>
        <v>Yes</v>
      </c>
      <c r="H62" s="10">
        <f>IFERROR(__xludf.DUMMYFUNCTION("""COMPUTED_VALUE"""),7.0)</f>
        <v>7</v>
      </c>
      <c r="I62" s="10">
        <f>IFERROR(__xludf.DUMMYFUNCTION("""COMPUTED_VALUE"""),5.0)</f>
        <v>5</v>
      </c>
      <c r="J62" s="10">
        <f>IFERROR(__xludf.DUMMYFUNCTION("""COMPUTED_VALUE"""),8.0)</f>
        <v>8</v>
      </c>
      <c r="K62" s="10">
        <f>IFERROR(__xludf.DUMMYFUNCTION("""COMPUTED_VALUE"""),0.0)</f>
        <v>0</v>
      </c>
      <c r="L62" s="10">
        <f>IFERROR(__xludf.DUMMYFUNCTION("""COMPUTED_VALUE"""),0.0)</f>
        <v>0</v>
      </c>
      <c r="M62" s="10">
        <f>IFERROR(__xludf.DUMMYFUNCTION("""COMPUTED_VALUE"""),0.0)</f>
        <v>0</v>
      </c>
      <c r="N62" s="10">
        <f>IFERROR(__xludf.DUMMYFUNCTION("""COMPUTED_VALUE"""),0.0)</f>
        <v>0</v>
      </c>
      <c r="O62" s="10">
        <f>IFERROR(__xludf.DUMMYFUNCTION("""COMPUTED_VALUE"""),0.0)</f>
        <v>0</v>
      </c>
      <c r="P62" s="10">
        <f>IFERROR(__xludf.DUMMYFUNCTION("""COMPUTED_VALUE"""),0.0)</f>
        <v>0</v>
      </c>
      <c r="Q62" s="10" t="str">
        <f>IFERROR(__xludf.DUMMYFUNCTION("""COMPUTED_VALUE"""),"No")</f>
        <v>No</v>
      </c>
      <c r="R62" s="10" t="str">
        <f>IFERROR(__xludf.DUMMYFUNCTION("""COMPUTED_VALUE"""),"No")</f>
        <v>No</v>
      </c>
      <c r="S62" s="10" t="str">
        <f>IFERROR(__xludf.DUMMYFUNCTION("""COMPUTED_VALUE"""),"Yes")</f>
        <v>Yes</v>
      </c>
      <c r="T62" s="10">
        <f>IFERROR(__xludf.DUMMYFUNCTION("""COMPUTED_VALUE"""),0.0)</f>
        <v>0</v>
      </c>
      <c r="U62" s="10">
        <f>IFERROR(__xludf.DUMMYFUNCTION("""COMPUTED_VALUE"""),0.0)</f>
        <v>0</v>
      </c>
      <c r="V62" s="10" t="str">
        <f>IFERROR(__xludf.DUMMYFUNCTION("""COMPUTED_VALUE"""),"نبی پاک صلی اللہ علیہ والہ وسلم کی ذات اقدس پر تبصرہ اور رمضان کے روزوں کی اہمیت")</f>
        <v>نبی پاک صلی اللہ علیہ والہ وسلم کی ذات اقدس پر تبصرہ اور رمضان کے روزوں کی اہمیت</v>
      </c>
      <c r="W62" s="10" t="str">
        <f>IFERROR(__xludf.DUMMYFUNCTION("""COMPUTED_VALUE"""),"نبی پاک صلی اللہ علیہ والہ وسلم کے پسینے کی خوشبو نبی پاک صلی اللہ علیہ وسلم ذات کے ہر پہلو پر گفتگو کی اور رمضان کے روزوں کی اہمیت بیان کی گئی")</f>
        <v>نبی پاک صلی اللہ علیہ والہ وسلم کے پسینے کی خوشبو نبی پاک صلی اللہ علیہ وسلم ذات کے ہر پہلو پر گفتگو کی اور رمضان کے روزوں کی اہمیت بیان کی گئی</v>
      </c>
      <c r="X62" s="10">
        <f>IFERROR(__xludf.DUMMYFUNCTION("""COMPUTED_VALUE"""),10.0)</f>
        <v>10</v>
      </c>
      <c r="Y62" s="10">
        <f>IFERROR(__xludf.DUMMYFUNCTION("""COMPUTED_VALUE"""),5.0)</f>
        <v>5</v>
      </c>
      <c r="Z62" s="10">
        <f>IFERROR(__xludf.DUMMYFUNCTION("""COMPUTED_VALUE"""),0.0)</f>
        <v>0</v>
      </c>
      <c r="AA62" s="10">
        <f>IFERROR(__xludf.DUMMYFUNCTION("""COMPUTED_VALUE"""),10.0)</f>
        <v>10</v>
      </c>
      <c r="AB62" s="10">
        <f>IFERROR(__xludf.DUMMYFUNCTION("""COMPUTED_VALUE"""),0.0)</f>
        <v>0</v>
      </c>
      <c r="AC62" s="10">
        <f>IFERROR(__xludf.DUMMYFUNCTION("""COMPUTED_VALUE"""),0.0)</f>
        <v>0</v>
      </c>
      <c r="AD62" s="10">
        <f>IFERROR(__xludf.DUMMYFUNCTION("""COMPUTED_VALUE"""),0.0)</f>
        <v>0</v>
      </c>
      <c r="AE62" s="10">
        <f>IFERROR(__xludf.DUMMYFUNCTION("""COMPUTED_VALUE"""),0.0)</f>
        <v>0</v>
      </c>
      <c r="AF62" s="10">
        <f>IFERROR(__xludf.DUMMYFUNCTION("""COMPUTED_VALUE"""),10.0)</f>
        <v>10</v>
      </c>
      <c r="AG62" s="10">
        <f>IFERROR(__xludf.DUMMYFUNCTION("""COMPUTED_VALUE"""),10.0)</f>
        <v>10</v>
      </c>
      <c r="AH62" s="10">
        <f>IFERROR(__xludf.DUMMYFUNCTION("""COMPUTED_VALUE"""),0.0)</f>
        <v>0</v>
      </c>
      <c r="AI62" s="10">
        <f>IFERROR(__xludf.DUMMYFUNCTION("""COMPUTED_VALUE"""),10.0)</f>
        <v>10</v>
      </c>
      <c r="AJ62" s="11" t="str">
        <f>IFERROR(__xludf.DUMMYFUNCTION("""COMPUTED_VALUE"""),"https://drive.google.com/open?id=1ydib4UtsFy1-dtAHV6tqmvug4fAuV4nq")</f>
        <v>https://drive.google.com/open?id=1ydib4UtsFy1-dtAHV6tqmvug4fAuV4nq</v>
      </c>
      <c r="AK62" s="12">
        <f>IFERROR(__xludf.DUMMYFUNCTION("""COMPUTED_VALUE"""),0.0)</f>
        <v>0</v>
      </c>
      <c r="AL62" s="12"/>
      <c r="AM62" s="12"/>
      <c r="AN62" s="12"/>
      <c r="AO62" s="13">
        <v>3.0</v>
      </c>
      <c r="AX62" s="13"/>
    </row>
    <row r="63">
      <c r="A63" s="8">
        <v>62.0</v>
      </c>
      <c r="B63" s="9">
        <f>IFERROR(__xludf.DUMMYFUNCTION("""COMPUTED_VALUE"""),45707.47822335648)</f>
        <v>45707.47822</v>
      </c>
      <c r="C63" s="10" t="str">
        <f>IFERROR(__xludf.DUMMYFUNCTION("""COMPUTED_VALUE"""),"M Haseeb ")</f>
        <v>M Haseeb </v>
      </c>
      <c r="D63" s="10" t="str">
        <f>IFERROR(__xludf.DUMMYFUNCTION("""COMPUTED_VALUE"""),"03262232424")</f>
        <v>03262232424</v>
      </c>
      <c r="E63" s="10" t="str">
        <f>IFERROR(__xludf.DUMMYFUNCTION("""COMPUTED_VALUE"""),"Jamia Masjid Abdul ghani sermon 3")</f>
        <v>Jamia Masjid Abdul ghani sermon 3</v>
      </c>
      <c r="F63" s="10" t="str">
        <f>IFERROR(__xludf.DUMMYFUNCTION("""COMPUTED_VALUE"""),"OIYZT")</f>
        <v>OIYZT</v>
      </c>
      <c r="G63" s="10" t="str">
        <f>IFERROR(__xludf.DUMMYFUNCTION("""COMPUTED_VALUE"""),"No")</f>
        <v>No</v>
      </c>
      <c r="H63" s="10"/>
      <c r="I63" s="10"/>
      <c r="J63" s="10"/>
      <c r="K63" s="10">
        <f>IFERROR(__xludf.DUMMYFUNCTION("""COMPUTED_VALUE"""),0.0)</f>
        <v>0</v>
      </c>
      <c r="L63" s="10">
        <f>IFERROR(__xludf.DUMMYFUNCTION("""COMPUTED_VALUE"""),0.0)</f>
        <v>0</v>
      </c>
      <c r="M63" s="10">
        <f>IFERROR(__xludf.DUMMYFUNCTION("""COMPUTED_VALUE"""),0.0)</f>
        <v>0</v>
      </c>
      <c r="N63" s="10">
        <f>IFERROR(__xludf.DUMMYFUNCTION("""COMPUTED_VALUE"""),0.0)</f>
        <v>0</v>
      </c>
      <c r="O63" s="10">
        <f>IFERROR(__xludf.DUMMYFUNCTION("""COMPUTED_VALUE"""),0.0)</f>
        <v>0</v>
      </c>
      <c r="P63" s="10">
        <f>IFERROR(__xludf.DUMMYFUNCTION("""COMPUTED_VALUE"""),0.0)</f>
        <v>0</v>
      </c>
      <c r="Q63" s="10" t="str">
        <f>IFERROR(__xludf.DUMMYFUNCTION("""COMPUTED_VALUE"""),"No")</f>
        <v>No</v>
      </c>
      <c r="R63" s="10" t="str">
        <f>IFERROR(__xludf.DUMMYFUNCTION("""COMPUTED_VALUE"""),"No")</f>
        <v>No</v>
      </c>
      <c r="S63" s="10" t="str">
        <f>IFERROR(__xludf.DUMMYFUNCTION("""COMPUTED_VALUE"""),"No")</f>
        <v>No</v>
      </c>
      <c r="T63" s="10">
        <f>IFERROR(__xludf.DUMMYFUNCTION("""COMPUTED_VALUE"""),0.0)</f>
        <v>0</v>
      </c>
      <c r="U63" s="10">
        <f>IFERROR(__xludf.DUMMYFUNCTION("""COMPUTED_VALUE"""),0.0)</f>
        <v>0</v>
      </c>
      <c r="V63" s="10" t="str">
        <f>IFERROR(__xludf.DUMMYFUNCTION("""COMPUTED_VALUE"""),"Hazrat Muhammad (S.A.W) Ki ehlabat or Hazrat Hussain (R.A)")</f>
        <v>Hazrat Muhammad (S.A.W) Ki ehlabat or Hazrat Hussain (R.A)</v>
      </c>
      <c r="W63" s="10" t="str">
        <f>IFERROR(__xludf.DUMMYFUNCTION("""COMPUTED_VALUE"""),"Hazrat Muhammad (S.A.W) Ki ehlabat or Hazrat Hussain (R.A)")</f>
        <v>Hazrat Muhammad (S.A.W) Ki ehlabat or Hazrat Hussain (R.A)</v>
      </c>
      <c r="X63" s="10">
        <f>IFERROR(__xludf.DUMMYFUNCTION("""COMPUTED_VALUE"""),0.0)</f>
        <v>0</v>
      </c>
      <c r="Y63" s="10">
        <f>IFERROR(__xludf.DUMMYFUNCTION("""COMPUTED_VALUE"""),0.0)</f>
        <v>0</v>
      </c>
      <c r="Z63" s="10">
        <f>IFERROR(__xludf.DUMMYFUNCTION("""COMPUTED_VALUE"""),0.0)</f>
        <v>0</v>
      </c>
      <c r="AA63" s="10">
        <f>IFERROR(__xludf.DUMMYFUNCTION("""COMPUTED_VALUE"""),10.0)</f>
        <v>10</v>
      </c>
      <c r="AB63" s="10">
        <f>IFERROR(__xludf.DUMMYFUNCTION("""COMPUTED_VALUE"""),0.0)</f>
        <v>0</v>
      </c>
      <c r="AC63" s="10">
        <f>IFERROR(__xludf.DUMMYFUNCTION("""COMPUTED_VALUE"""),0.0)</f>
        <v>0</v>
      </c>
      <c r="AD63" s="10">
        <f>IFERROR(__xludf.DUMMYFUNCTION("""COMPUTED_VALUE"""),0.0)</f>
        <v>0</v>
      </c>
      <c r="AE63" s="10">
        <f>IFERROR(__xludf.DUMMYFUNCTION("""COMPUTED_VALUE"""),0.0)</f>
        <v>0</v>
      </c>
      <c r="AF63" s="10">
        <f>IFERROR(__xludf.DUMMYFUNCTION("""COMPUTED_VALUE"""),9.0)</f>
        <v>9</v>
      </c>
      <c r="AG63" s="10">
        <f>IFERROR(__xludf.DUMMYFUNCTION("""COMPUTED_VALUE"""),9.0)</f>
        <v>9</v>
      </c>
      <c r="AH63" s="10">
        <f>IFERROR(__xludf.DUMMYFUNCTION("""COMPUTED_VALUE"""),0.0)</f>
        <v>0</v>
      </c>
      <c r="AI63" s="10">
        <f>IFERROR(__xludf.DUMMYFUNCTION("""COMPUTED_VALUE"""),9.0)</f>
        <v>9</v>
      </c>
      <c r="AJ63" s="11" t="str">
        <f>IFERROR(__xludf.DUMMYFUNCTION("""COMPUTED_VALUE"""),"https://drive.google.com/open?id=1CTOTa6yACncISJa68605b5jeJHde7UPh")</f>
        <v>https://drive.google.com/open?id=1CTOTa6yACncISJa68605b5jeJHde7UPh</v>
      </c>
      <c r="AK63" s="12"/>
      <c r="AL63" s="12"/>
      <c r="AM63" s="12"/>
      <c r="AN63" s="12"/>
      <c r="AO63" s="13">
        <v>3.0</v>
      </c>
      <c r="AX63" s="13"/>
    </row>
    <row r="64">
      <c r="A64" s="8">
        <v>63.0</v>
      </c>
      <c r="B64" s="9">
        <f>IFERROR(__xludf.DUMMYFUNCTION("""COMPUTED_VALUE"""),45707.51391042824)</f>
        <v>45707.51391</v>
      </c>
      <c r="C64" s="10" t="str">
        <f>IFERROR(__xludf.DUMMYFUNCTION("""COMPUTED_VALUE"""),"Shahbaz Ahmad")</f>
        <v>Shahbaz Ahmad</v>
      </c>
      <c r="D64" s="10" t="str">
        <f>IFERROR(__xludf.DUMMYFUNCTION("""COMPUTED_VALUE"""),"03074478076")</f>
        <v>03074478076</v>
      </c>
      <c r="E64" s="10" t="str">
        <f>IFERROR(__xludf.DUMMYFUNCTION("""COMPUTED_VALUE"""),"Shah gidah")</f>
        <v>Shah gidah</v>
      </c>
      <c r="F64" s="10" t="str">
        <f>IFERROR(__xludf.DUMMYFUNCTION("""COMPUTED_VALUE"""),"ipdnb")</f>
        <v>ipdnb</v>
      </c>
      <c r="G64" s="10" t="str">
        <f>IFERROR(__xludf.DUMMYFUNCTION("""COMPUTED_VALUE"""),"No")</f>
        <v>No</v>
      </c>
      <c r="H64" s="10"/>
      <c r="I64" s="10"/>
      <c r="J64" s="10"/>
      <c r="K64" s="10">
        <f>IFERROR(__xludf.DUMMYFUNCTION("""COMPUTED_VALUE"""),0.0)</f>
        <v>0</v>
      </c>
      <c r="L64" s="10">
        <f>IFERROR(__xludf.DUMMYFUNCTION("""COMPUTED_VALUE"""),0.0)</f>
        <v>0</v>
      </c>
      <c r="M64" s="10">
        <f>IFERROR(__xludf.DUMMYFUNCTION("""COMPUTED_VALUE"""),0.0)</f>
        <v>0</v>
      </c>
      <c r="N64" s="10">
        <f>IFERROR(__xludf.DUMMYFUNCTION("""COMPUTED_VALUE"""),0.0)</f>
        <v>0</v>
      </c>
      <c r="O64" s="10">
        <f>IFERROR(__xludf.DUMMYFUNCTION("""COMPUTED_VALUE"""),0.0)</f>
        <v>0</v>
      </c>
      <c r="P64" s="10">
        <f>IFERROR(__xludf.DUMMYFUNCTION("""COMPUTED_VALUE"""),0.0)</f>
        <v>0</v>
      </c>
      <c r="Q64" s="10" t="str">
        <f>IFERROR(__xludf.DUMMYFUNCTION("""COMPUTED_VALUE"""),"No")</f>
        <v>No</v>
      </c>
      <c r="R64" s="10" t="str">
        <f>IFERROR(__xludf.DUMMYFUNCTION("""COMPUTED_VALUE"""),"No")</f>
        <v>No</v>
      </c>
      <c r="S64" s="10" t="str">
        <f>IFERROR(__xludf.DUMMYFUNCTION("""COMPUTED_VALUE"""),"No")</f>
        <v>No</v>
      </c>
      <c r="T64" s="10">
        <f>IFERROR(__xludf.DUMMYFUNCTION("""COMPUTED_VALUE"""),0.0)</f>
        <v>0</v>
      </c>
      <c r="U64" s="10">
        <f>IFERROR(__xludf.DUMMYFUNCTION("""COMPUTED_VALUE"""),0.0)</f>
        <v>0</v>
      </c>
      <c r="V64" s="10" t="str">
        <f>IFERROR(__xludf.DUMMYFUNCTION("""COMPUTED_VALUE"""),"Shabe barat")</f>
        <v>Shabe barat</v>
      </c>
      <c r="W64" s="10" t="str">
        <f>IFERROR(__xludf.DUMMYFUNCTION("""COMPUTED_VALUE"""),"Shabe barat ki ahmiyat or five night jis mea dawa zeyda qabool hoti ha")</f>
        <v>Shabe barat ki ahmiyat or five night jis mea dawa zeyda qabool hoti ha</v>
      </c>
      <c r="X64" s="10">
        <f>IFERROR(__xludf.DUMMYFUNCTION("""COMPUTED_VALUE"""),8.0)</f>
        <v>8</v>
      </c>
      <c r="Y64" s="10">
        <f>IFERROR(__xludf.DUMMYFUNCTION("""COMPUTED_VALUE"""),0.0)</f>
        <v>0</v>
      </c>
      <c r="Z64" s="10">
        <f>IFERROR(__xludf.DUMMYFUNCTION("""COMPUTED_VALUE"""),0.0)</f>
        <v>0</v>
      </c>
      <c r="AA64" s="10">
        <f>IFERROR(__xludf.DUMMYFUNCTION("""COMPUTED_VALUE"""),10.0)</f>
        <v>10</v>
      </c>
      <c r="AB64" s="10">
        <f>IFERROR(__xludf.DUMMYFUNCTION("""COMPUTED_VALUE"""),8.0)</f>
        <v>8</v>
      </c>
      <c r="AC64" s="10">
        <f>IFERROR(__xludf.DUMMYFUNCTION("""COMPUTED_VALUE"""),0.0)</f>
        <v>0</v>
      </c>
      <c r="AD64" s="10">
        <f>IFERROR(__xludf.DUMMYFUNCTION("""COMPUTED_VALUE"""),0.0)</f>
        <v>0</v>
      </c>
      <c r="AE64" s="10">
        <f>IFERROR(__xludf.DUMMYFUNCTION("""COMPUTED_VALUE"""),0.0)</f>
        <v>0</v>
      </c>
      <c r="AF64" s="10">
        <f>IFERROR(__xludf.DUMMYFUNCTION("""COMPUTED_VALUE"""),5.0)</f>
        <v>5</v>
      </c>
      <c r="AG64" s="10">
        <f>IFERROR(__xludf.DUMMYFUNCTION("""COMPUTED_VALUE"""),5.0)</f>
        <v>5</v>
      </c>
      <c r="AH64" s="10">
        <f>IFERROR(__xludf.DUMMYFUNCTION("""COMPUTED_VALUE"""),0.0)</f>
        <v>0</v>
      </c>
      <c r="AI64" s="10">
        <f>IFERROR(__xludf.DUMMYFUNCTION("""COMPUTED_VALUE"""),7.0)</f>
        <v>7</v>
      </c>
      <c r="AJ64" s="11" t="str">
        <f>IFERROR(__xludf.DUMMYFUNCTION("""COMPUTED_VALUE"""),"https://drive.google.com/open?id=1K9kOC7GKByY9EZS2kqFtYVjMQ6UfHlc5")</f>
        <v>https://drive.google.com/open?id=1K9kOC7GKByY9EZS2kqFtYVjMQ6UfHlc5</v>
      </c>
      <c r="AK64" s="12" t="str">
        <f>IFERROR(__xludf.DUMMYFUNCTION("""COMPUTED_VALUE"""),"No")</f>
        <v>No</v>
      </c>
      <c r="AL64" s="12"/>
      <c r="AM64" s="12"/>
      <c r="AN64" s="12"/>
      <c r="AO64" s="13">
        <v>1.0</v>
      </c>
      <c r="AX64" s="13"/>
    </row>
    <row r="65">
      <c r="A65" s="8">
        <v>64.0</v>
      </c>
      <c r="B65" s="9">
        <f>IFERROR(__xludf.DUMMYFUNCTION("""COMPUTED_VALUE"""),45708.46580658565)</f>
        <v>45708.46581</v>
      </c>
      <c r="C65" s="10" t="str">
        <f>IFERROR(__xludf.DUMMYFUNCTION("""COMPUTED_VALUE"""),"Shahbaz Ahmad")</f>
        <v>Shahbaz Ahmad</v>
      </c>
      <c r="D65" s="10" t="str">
        <f>IFERROR(__xludf.DUMMYFUNCTION("""COMPUTED_VALUE"""),"03074478076")</f>
        <v>03074478076</v>
      </c>
      <c r="E65" s="10" t="str">
        <f>IFERROR(__xludf.DUMMYFUNCTION("""COMPUTED_VALUE"""),"Shah gidha")</f>
        <v>Shah gidha</v>
      </c>
      <c r="F65" s="10" t="str">
        <f>IFERROR(__xludf.DUMMYFUNCTION("""COMPUTED_VALUE"""),"ipdnb")</f>
        <v>ipdnb</v>
      </c>
      <c r="G65" s="10" t="str">
        <f>IFERROR(__xludf.DUMMYFUNCTION("""COMPUTED_VALUE"""),"Yes")</f>
        <v>Yes</v>
      </c>
      <c r="H65" s="10">
        <f>IFERROR(__xludf.DUMMYFUNCTION("""COMPUTED_VALUE"""),9.0)</f>
        <v>9</v>
      </c>
      <c r="I65" s="10">
        <f>IFERROR(__xludf.DUMMYFUNCTION("""COMPUTED_VALUE"""),2.0)</f>
        <v>2</v>
      </c>
      <c r="J65" s="10">
        <f>IFERROR(__xludf.DUMMYFUNCTION("""COMPUTED_VALUE"""),9.0)</f>
        <v>9</v>
      </c>
      <c r="K65" s="10">
        <f>IFERROR(__xludf.DUMMYFUNCTION("""COMPUTED_VALUE"""),0.0)</f>
        <v>0</v>
      </c>
      <c r="L65" s="10">
        <f>IFERROR(__xludf.DUMMYFUNCTION("""COMPUTED_VALUE"""),8.0)</f>
        <v>8</v>
      </c>
      <c r="M65" s="10">
        <f>IFERROR(__xludf.DUMMYFUNCTION("""COMPUTED_VALUE"""),0.0)</f>
        <v>0</v>
      </c>
      <c r="N65" s="10">
        <f>IFERROR(__xludf.DUMMYFUNCTION("""COMPUTED_VALUE"""),9.0)</f>
        <v>9</v>
      </c>
      <c r="O65" s="10">
        <f>IFERROR(__xludf.DUMMYFUNCTION("""COMPUTED_VALUE"""),0.0)</f>
        <v>0</v>
      </c>
      <c r="P65" s="10">
        <f>IFERROR(__xludf.DUMMYFUNCTION("""COMPUTED_VALUE"""),9.0)</f>
        <v>9</v>
      </c>
      <c r="Q65" s="10" t="str">
        <f>IFERROR(__xludf.DUMMYFUNCTION("""COMPUTED_VALUE"""),"No")</f>
        <v>No</v>
      </c>
      <c r="R65" s="10" t="str">
        <f>IFERROR(__xludf.DUMMYFUNCTION("""COMPUTED_VALUE"""),"No")</f>
        <v>No</v>
      </c>
      <c r="S65" s="10" t="str">
        <f>IFERROR(__xludf.DUMMYFUNCTION("""COMPUTED_VALUE"""),"No")</f>
        <v>No</v>
      </c>
      <c r="T65" s="10">
        <f>IFERROR(__xludf.DUMMYFUNCTION("""COMPUTED_VALUE"""),0.0)</f>
        <v>0</v>
      </c>
      <c r="U65" s="10">
        <f>IFERROR(__xludf.DUMMYFUNCTION("""COMPUTED_VALUE"""),0.0)</f>
        <v>0</v>
      </c>
      <c r="V65" s="10" t="str">
        <f>IFERROR(__xludf.DUMMYFUNCTION("""COMPUTED_VALUE"""),"Paroson key haqpoq")</f>
        <v>Paroson key haqpoq</v>
      </c>
      <c r="W65" s="10" t="str">
        <f>IFERROR(__xludf.DUMMYFUNCTION("""COMPUTED_VALUE"""),"Paroson key haqoq ki bat ki")</f>
        <v>Paroson key haqoq ki bat ki</v>
      </c>
      <c r="X65" s="10">
        <f>IFERROR(__xludf.DUMMYFUNCTION("""COMPUTED_VALUE"""),2.0)</f>
        <v>2</v>
      </c>
      <c r="Y65" s="10">
        <f>IFERROR(__xludf.DUMMYFUNCTION("""COMPUTED_VALUE"""),7.0)</f>
        <v>7</v>
      </c>
      <c r="Z65" s="10">
        <f>IFERROR(__xludf.DUMMYFUNCTION("""COMPUTED_VALUE"""),4.0)</f>
        <v>4</v>
      </c>
      <c r="AA65" s="10">
        <f>IFERROR(__xludf.DUMMYFUNCTION("""COMPUTED_VALUE"""),4.0)</f>
        <v>4</v>
      </c>
      <c r="AB65" s="10">
        <f>IFERROR(__xludf.DUMMYFUNCTION("""COMPUTED_VALUE"""),6.0)</f>
        <v>6</v>
      </c>
      <c r="AC65" s="10">
        <f>IFERROR(__xludf.DUMMYFUNCTION("""COMPUTED_VALUE"""),0.0)</f>
        <v>0</v>
      </c>
      <c r="AD65" s="10">
        <f>IFERROR(__xludf.DUMMYFUNCTION("""COMPUTED_VALUE"""),0.0)</f>
        <v>0</v>
      </c>
      <c r="AE65" s="10">
        <f>IFERROR(__xludf.DUMMYFUNCTION("""COMPUTED_VALUE"""),0.0)</f>
        <v>0</v>
      </c>
      <c r="AF65" s="10">
        <f>IFERROR(__xludf.DUMMYFUNCTION("""COMPUTED_VALUE"""),0.0)</f>
        <v>0</v>
      </c>
      <c r="AG65" s="10">
        <f>IFERROR(__xludf.DUMMYFUNCTION("""COMPUTED_VALUE"""),5.0)</f>
        <v>5</v>
      </c>
      <c r="AH65" s="10">
        <f>IFERROR(__xludf.DUMMYFUNCTION("""COMPUTED_VALUE"""),0.0)</f>
        <v>0</v>
      </c>
      <c r="AI65" s="10">
        <f>IFERROR(__xludf.DUMMYFUNCTION("""COMPUTED_VALUE"""),5.0)</f>
        <v>5</v>
      </c>
      <c r="AJ65" s="11" t="str">
        <f>IFERROR(__xludf.DUMMYFUNCTION("""COMPUTED_VALUE"""),"https://drive.google.com/open?id=18L90p5AFiKc4upC7ZutFRjX5qSLEYdn7")</f>
        <v>https://drive.google.com/open?id=18L90p5AFiKc4upC7ZutFRjX5qSLEYdn7</v>
      </c>
      <c r="AK65" s="12"/>
      <c r="AL65" s="12"/>
      <c r="AM65" s="12"/>
      <c r="AN65" s="12"/>
      <c r="AO65" s="13">
        <v>2.0</v>
      </c>
      <c r="AX65" s="13"/>
    </row>
    <row r="66">
      <c r="A66" s="8">
        <v>65.0</v>
      </c>
      <c r="B66" s="9">
        <f>IFERROR(__xludf.DUMMYFUNCTION("""COMPUTED_VALUE"""),45708.60786638889)</f>
        <v>45708.60787</v>
      </c>
      <c r="C66" s="10" t="str">
        <f>IFERROR(__xludf.DUMMYFUNCTION("""COMPUTED_VALUE"""),"Dilawar Abbas")</f>
        <v>Dilawar Abbas</v>
      </c>
      <c r="D66" s="10" t="str">
        <f>IFERROR(__xludf.DUMMYFUNCTION("""COMPUTED_VALUE"""),"03095378593")</f>
        <v>03095378593</v>
      </c>
      <c r="E66" s="10" t="str">
        <f>IFERROR(__xludf.DUMMYFUNCTION("""COMPUTED_VALUE"""),"Jamia Masjid Noor Eman Wali ( Sermon#2 transcription)")</f>
        <v>Jamia Masjid Noor Eman Wali ( Sermon#2 transcription)</v>
      </c>
      <c r="F66" s="10" t="str">
        <f>IFERROR(__xludf.DUMMYFUNCTION("""COMPUTED_VALUE"""),"PIUJL")</f>
        <v>PIUJL</v>
      </c>
      <c r="G66" s="10" t="str">
        <f>IFERROR(__xludf.DUMMYFUNCTION("""COMPUTED_VALUE"""),"Yes")</f>
        <v>Yes</v>
      </c>
      <c r="H66" s="10">
        <f>IFERROR(__xludf.DUMMYFUNCTION("""COMPUTED_VALUE"""),8.0)</f>
        <v>8</v>
      </c>
      <c r="I66" s="10">
        <f>IFERROR(__xludf.DUMMYFUNCTION("""COMPUTED_VALUE"""),3.0)</f>
        <v>3</v>
      </c>
      <c r="J66" s="10">
        <f>IFERROR(__xludf.DUMMYFUNCTION("""COMPUTED_VALUE"""),8.0)</f>
        <v>8</v>
      </c>
      <c r="K66" s="10">
        <f>IFERROR(__xludf.DUMMYFUNCTION("""COMPUTED_VALUE"""),10.0)</f>
        <v>10</v>
      </c>
      <c r="L66" s="10">
        <f>IFERROR(__xludf.DUMMYFUNCTION("""COMPUTED_VALUE"""),0.0)</f>
        <v>0</v>
      </c>
      <c r="M66" s="10">
        <f>IFERROR(__xludf.DUMMYFUNCTION("""COMPUTED_VALUE"""),4.0)</f>
        <v>4</v>
      </c>
      <c r="N66" s="10">
        <f>IFERROR(__xludf.DUMMYFUNCTION("""COMPUTED_VALUE"""),0.0)</f>
        <v>0</v>
      </c>
      <c r="O66" s="10">
        <f>IFERROR(__xludf.DUMMYFUNCTION("""COMPUTED_VALUE"""),10.0)</f>
        <v>10</v>
      </c>
      <c r="P66" s="10">
        <f>IFERROR(__xludf.DUMMYFUNCTION("""COMPUTED_VALUE"""),0.0)</f>
        <v>0</v>
      </c>
      <c r="Q66" s="10" t="str">
        <f>IFERROR(__xludf.DUMMYFUNCTION("""COMPUTED_VALUE"""),"No")</f>
        <v>No</v>
      </c>
      <c r="R66" s="10" t="str">
        <f>IFERROR(__xludf.DUMMYFUNCTION("""COMPUTED_VALUE"""),"No")</f>
        <v>No</v>
      </c>
      <c r="S66" s="10" t="str">
        <f>IFERROR(__xludf.DUMMYFUNCTION("""COMPUTED_VALUE"""),"No")</f>
        <v>No</v>
      </c>
      <c r="T66" s="10">
        <f>IFERROR(__xludf.DUMMYFUNCTION("""COMPUTED_VALUE"""),0.0)</f>
        <v>0</v>
      </c>
      <c r="U66" s="10">
        <f>IFERROR(__xludf.DUMMYFUNCTION("""COMPUTED_VALUE"""),0.0)</f>
        <v>0</v>
      </c>
      <c r="V66" s="10" t="str">
        <f>IFERROR(__xludf.DUMMYFUNCTION("""COMPUTED_VALUE"""),"Aurton ki siasi, samaji, moashi, askri zindagi k pehlu mn shirkat or un ki khidmaat. Or izhar e raae ki azadi")</f>
        <v>Aurton ki siasi, samaji, moashi, askri zindagi k pehlu mn shirkat or un ki khidmaat. Or izhar e raae ki azadi</v>
      </c>
      <c r="W66" s="10" t="str">
        <f>IFERROR(__xludf.DUMMYFUNCTION("""COMPUTED_VALUE"""),"Moashi Zindagi main or samaji khidmat mn aurton ka kirdar. 
Aurton ko apni raae izhar ki azadi ha or wo apni raae ka izhar kr sakti hn. ")</f>
        <v>Moashi Zindagi main or samaji khidmat mn aurton ka kirdar. 
Aurton ko apni raae izhar ki azadi ha or wo apni raae ka izhar kr sakti hn. </v>
      </c>
      <c r="X66" s="10">
        <f>IFERROR(__xludf.DUMMYFUNCTION("""COMPUTED_VALUE"""),0.0)</f>
        <v>0</v>
      </c>
      <c r="Y66" s="10">
        <f>IFERROR(__xludf.DUMMYFUNCTION("""COMPUTED_VALUE"""),4.0)</f>
        <v>4</v>
      </c>
      <c r="Z66" s="10">
        <f>IFERROR(__xludf.DUMMYFUNCTION("""COMPUTED_VALUE"""),0.0)</f>
        <v>0</v>
      </c>
      <c r="AA66" s="10">
        <f>IFERROR(__xludf.DUMMYFUNCTION("""COMPUTED_VALUE"""),0.0)</f>
        <v>0</v>
      </c>
      <c r="AB66" s="10">
        <f>IFERROR(__xludf.DUMMYFUNCTION("""COMPUTED_VALUE"""),2.0)</f>
        <v>2</v>
      </c>
      <c r="AC66" s="10">
        <f>IFERROR(__xludf.DUMMYFUNCTION("""COMPUTED_VALUE"""),0.0)</f>
        <v>0</v>
      </c>
      <c r="AD66" s="10">
        <f>IFERROR(__xludf.DUMMYFUNCTION("""COMPUTED_VALUE"""),0.0)</f>
        <v>0</v>
      </c>
      <c r="AE66" s="10">
        <f>IFERROR(__xludf.DUMMYFUNCTION("""COMPUTED_VALUE"""),0.0)</f>
        <v>0</v>
      </c>
      <c r="AF66" s="10">
        <f>IFERROR(__xludf.DUMMYFUNCTION("""COMPUTED_VALUE"""),0.0)</f>
        <v>0</v>
      </c>
      <c r="AG66" s="10">
        <f>IFERROR(__xludf.DUMMYFUNCTION("""COMPUTED_VALUE"""),9.0)</f>
        <v>9</v>
      </c>
      <c r="AH66" s="10">
        <f>IFERROR(__xludf.DUMMYFUNCTION("""COMPUTED_VALUE"""),0.0)</f>
        <v>0</v>
      </c>
      <c r="AI66" s="10">
        <f>IFERROR(__xludf.DUMMYFUNCTION("""COMPUTED_VALUE"""),9.0)</f>
        <v>9</v>
      </c>
      <c r="AJ66" s="11" t="str">
        <f>IFERROR(__xludf.DUMMYFUNCTION("""COMPUTED_VALUE"""),"https://drive.google.com/open?id=1C-eHhc2JEyFrFU7q6_T12Am-rlE4iqEp")</f>
        <v>https://drive.google.com/open?id=1C-eHhc2JEyFrFU7q6_T12Am-rlE4iqEp</v>
      </c>
      <c r="AK66" s="12" t="str">
        <f>IFERROR(__xludf.DUMMYFUNCTION("""COMPUTED_VALUE"""),"Imam ne awam ko apni tarf boht kam tawajo dilwai aurton k hawale se. Or logon ko khutba ka jo Maqsad ha wo bhe ziada focus kr k logon ko mutwaje nh kia...sirf ziada fazail or wakiat btaae.")</f>
        <v>Imam ne awam ko apni tarf boht kam tawajo dilwai aurton k hawale se. Or logon ko khutba ka jo Maqsad ha wo bhe ziada focus kr k logon ko mutwaje nh kia...sirf ziada fazail or wakiat btaae.</v>
      </c>
      <c r="AL66" s="12"/>
      <c r="AM66" s="12"/>
      <c r="AN66" s="12"/>
      <c r="AO66" s="13">
        <v>2.0</v>
      </c>
      <c r="AX66" s="13"/>
    </row>
    <row r="67">
      <c r="A67" s="8">
        <v>66.0</v>
      </c>
      <c r="B67" s="9">
        <f>IFERROR(__xludf.DUMMYFUNCTION("""COMPUTED_VALUE"""),45710.28511103009)</f>
        <v>45710.28511</v>
      </c>
      <c r="C67" s="10" t="str">
        <f>IFERROR(__xludf.DUMMYFUNCTION("""COMPUTED_VALUE"""),"Maham")</f>
        <v>Maham</v>
      </c>
      <c r="D67" s="10" t="str">
        <f>IFERROR(__xludf.DUMMYFUNCTION("""COMPUTED_VALUE"""),"03218118680")</f>
        <v>03218118680</v>
      </c>
      <c r="E67" s="10" t="str">
        <f>IFERROR(__xludf.DUMMYFUNCTION("""COMPUTED_VALUE"""),"Sermon 4. Jamia Masjid Taxsali gate Lahore")</f>
        <v>Sermon 4. Jamia Masjid Taxsali gate Lahore</v>
      </c>
      <c r="F67" s="10" t="str">
        <f>IFERROR(__xludf.DUMMYFUNCTION("""COMPUTED_VALUE"""),"FITMR")</f>
        <v>FITMR</v>
      </c>
      <c r="G67" s="10" t="str">
        <f>IFERROR(__xludf.DUMMYFUNCTION("""COMPUTED_VALUE"""),"Yes")</f>
        <v>Yes</v>
      </c>
      <c r="H67" s="10">
        <f>IFERROR(__xludf.DUMMYFUNCTION("""COMPUTED_VALUE"""),10.0)</f>
        <v>10</v>
      </c>
      <c r="I67" s="10">
        <f>IFERROR(__xludf.DUMMYFUNCTION("""COMPUTED_VALUE"""),5.0)</f>
        <v>5</v>
      </c>
      <c r="J67" s="10">
        <f>IFERROR(__xludf.DUMMYFUNCTION("""COMPUTED_VALUE"""),10.0)</f>
        <v>10</v>
      </c>
      <c r="K67" s="10">
        <f>IFERROR(__xludf.DUMMYFUNCTION("""COMPUTED_VALUE"""),1.0)</f>
        <v>1</v>
      </c>
      <c r="L67" s="10">
        <f>IFERROR(__xludf.DUMMYFUNCTION("""COMPUTED_VALUE"""),10.0)</f>
        <v>10</v>
      </c>
      <c r="M67" s="10">
        <f>IFERROR(__xludf.DUMMYFUNCTION("""COMPUTED_VALUE"""),1.0)</f>
        <v>1</v>
      </c>
      <c r="N67" s="10">
        <f>IFERROR(__xludf.DUMMYFUNCTION("""COMPUTED_VALUE"""),10.0)</f>
        <v>10</v>
      </c>
      <c r="O67" s="10">
        <f>IFERROR(__xludf.DUMMYFUNCTION("""COMPUTED_VALUE"""),0.0)</f>
        <v>0</v>
      </c>
      <c r="P67" s="10">
        <f>IFERROR(__xludf.DUMMYFUNCTION("""COMPUTED_VALUE"""),5.0)</f>
        <v>5</v>
      </c>
      <c r="Q67" s="10" t="str">
        <f>IFERROR(__xludf.DUMMYFUNCTION("""COMPUTED_VALUE"""),"No")</f>
        <v>No</v>
      </c>
      <c r="R67" s="10" t="str">
        <f>IFERROR(__xludf.DUMMYFUNCTION("""COMPUTED_VALUE"""),"No")</f>
        <v>No</v>
      </c>
      <c r="S67" s="10" t="str">
        <f>IFERROR(__xludf.DUMMYFUNCTION("""COMPUTED_VALUE"""),"Yes")</f>
        <v>Yes</v>
      </c>
      <c r="T67" s="10">
        <f>IFERROR(__xludf.DUMMYFUNCTION("""COMPUTED_VALUE"""),0.0)</f>
        <v>0</v>
      </c>
      <c r="U67" s="10">
        <f>IFERROR(__xludf.DUMMYFUNCTION("""COMPUTED_VALUE"""),0.0)</f>
        <v>0</v>
      </c>
      <c r="V67" s="10" t="str">
        <f>IFERROR(__xludf.DUMMYFUNCTION("""COMPUTED_VALUE"""),"حقوق اللہ و حقوق العباد")</f>
        <v>حقوق اللہ و حقوق العباد</v>
      </c>
      <c r="W67" s="10" t="str">
        <f>IFERROR(__xludf.DUMMYFUNCTION("""COMPUTED_VALUE"""),"مسلمان پر دو فرائض ہیں ایک حقوق اللہ اور ایک حقوق العباد حقوق اللہ سے مراد اللہ تعالی کے ساتھ کسی کو شریک نہ ٹھہرائیں اور حقوق العباد سے مراد اپنے ماں باپ ہمسائے کسی بھی انسان کے حقوق کو غضب نہ کریں")</f>
        <v>مسلمان پر دو فرائض ہیں ایک حقوق اللہ اور ایک حقوق العباد حقوق اللہ سے مراد اللہ تعالی کے ساتھ کسی کو شریک نہ ٹھہرائیں اور حقوق العباد سے مراد اپنے ماں باپ ہمسائے کسی بھی انسان کے حقوق کو غضب نہ کریں</v>
      </c>
      <c r="X67" s="10">
        <f>IFERROR(__xludf.DUMMYFUNCTION("""COMPUTED_VALUE"""),10.0)</f>
        <v>10</v>
      </c>
      <c r="Y67" s="10">
        <f>IFERROR(__xludf.DUMMYFUNCTION("""COMPUTED_VALUE"""),10.0)</f>
        <v>10</v>
      </c>
      <c r="Z67" s="10">
        <f>IFERROR(__xludf.DUMMYFUNCTION("""COMPUTED_VALUE"""),5.0)</f>
        <v>5</v>
      </c>
      <c r="AA67" s="10">
        <f>IFERROR(__xludf.DUMMYFUNCTION("""COMPUTED_VALUE"""),10.0)</f>
        <v>10</v>
      </c>
      <c r="AB67" s="10">
        <f>IFERROR(__xludf.DUMMYFUNCTION("""COMPUTED_VALUE"""),0.0)</f>
        <v>0</v>
      </c>
      <c r="AC67" s="10">
        <f>IFERROR(__xludf.DUMMYFUNCTION("""COMPUTED_VALUE"""),0.0)</f>
        <v>0</v>
      </c>
      <c r="AD67" s="10">
        <f>IFERROR(__xludf.DUMMYFUNCTION("""COMPUTED_VALUE"""),0.0)</f>
        <v>0</v>
      </c>
      <c r="AE67" s="10">
        <f>IFERROR(__xludf.DUMMYFUNCTION("""COMPUTED_VALUE"""),5.0)</f>
        <v>5</v>
      </c>
      <c r="AF67" s="10">
        <f>IFERROR(__xludf.DUMMYFUNCTION("""COMPUTED_VALUE"""),10.0)</f>
        <v>10</v>
      </c>
      <c r="AG67" s="10">
        <f>IFERROR(__xludf.DUMMYFUNCTION("""COMPUTED_VALUE"""),10.0)</f>
        <v>10</v>
      </c>
      <c r="AH67" s="10">
        <f>IFERROR(__xludf.DUMMYFUNCTION("""COMPUTED_VALUE"""),0.0)</f>
        <v>0</v>
      </c>
      <c r="AI67" s="10">
        <f>IFERROR(__xludf.DUMMYFUNCTION("""COMPUTED_VALUE"""),10.0)</f>
        <v>10</v>
      </c>
      <c r="AJ67" s="11" t="str">
        <f>IFERROR(__xludf.DUMMYFUNCTION("""COMPUTED_VALUE"""),"https://drive.google.com/open?id=1hetbHvYmN55-yHJoKC1yWmUwXqp978rI")</f>
        <v>https://drive.google.com/open?id=1hetbHvYmN55-yHJoKC1yWmUwXqp978rI</v>
      </c>
      <c r="AK67" s="12">
        <f>IFERROR(__xludf.DUMMYFUNCTION("""COMPUTED_VALUE"""),0.0)</f>
        <v>0</v>
      </c>
      <c r="AL67" s="12"/>
      <c r="AM67" s="12"/>
      <c r="AN67" s="12"/>
      <c r="AO67" s="13">
        <v>4.0</v>
      </c>
      <c r="AX67" s="13"/>
    </row>
    <row r="68">
      <c r="A68" s="8">
        <v>67.0</v>
      </c>
      <c r="B68" s="9">
        <f>IFERROR(__xludf.DUMMYFUNCTION("""COMPUTED_VALUE"""),45711.045441828704)</f>
        <v>45711.04544</v>
      </c>
      <c r="C68" s="10" t="str">
        <f>IFERROR(__xludf.DUMMYFUNCTION("""COMPUTED_VALUE"""),"Shakeela Rafique ")</f>
        <v>Shakeela Rafique </v>
      </c>
      <c r="D68" s="10" t="str">
        <f>IFERROR(__xludf.DUMMYFUNCTION("""COMPUTED_VALUE"""),"03359485820")</f>
        <v>03359485820</v>
      </c>
      <c r="E68" s="10" t="str">
        <f>IFERROR(__xludf.DUMMYFUNCTION("""COMPUTED_VALUE"""),"sermon 2Jamia Masjid Darbar Shah Muhammad Ghous Lahore")</f>
        <v>sermon 2Jamia Masjid Darbar Shah Muhammad Ghous Lahore</v>
      </c>
      <c r="F68" s="10" t="str">
        <f>IFERROR(__xludf.DUMMYFUNCTION("""COMPUTED_VALUE"""),"rzccc")</f>
        <v>rzccc</v>
      </c>
      <c r="G68" s="10" t="str">
        <f>IFERROR(__xludf.DUMMYFUNCTION("""COMPUTED_VALUE"""),"No")</f>
        <v>No</v>
      </c>
      <c r="H68" s="10"/>
      <c r="I68" s="10"/>
      <c r="J68" s="10"/>
      <c r="K68" s="10">
        <f>IFERROR(__xludf.DUMMYFUNCTION("""COMPUTED_VALUE"""),0.0)</f>
        <v>0</v>
      </c>
      <c r="L68" s="10">
        <f>IFERROR(__xludf.DUMMYFUNCTION("""COMPUTED_VALUE"""),0.0)</f>
        <v>0</v>
      </c>
      <c r="M68" s="10">
        <f>IFERROR(__xludf.DUMMYFUNCTION("""COMPUTED_VALUE"""),0.0)</f>
        <v>0</v>
      </c>
      <c r="N68" s="10">
        <f>IFERROR(__xludf.DUMMYFUNCTION("""COMPUTED_VALUE"""),0.0)</f>
        <v>0</v>
      </c>
      <c r="O68" s="10">
        <f>IFERROR(__xludf.DUMMYFUNCTION("""COMPUTED_VALUE"""),0.0)</f>
        <v>0</v>
      </c>
      <c r="P68" s="10">
        <f>IFERROR(__xludf.DUMMYFUNCTION("""COMPUTED_VALUE"""),0.0)</f>
        <v>0</v>
      </c>
      <c r="Q68" s="10" t="str">
        <f>IFERROR(__xludf.DUMMYFUNCTION("""COMPUTED_VALUE"""),"No")</f>
        <v>No</v>
      </c>
      <c r="R68" s="10" t="str">
        <f>IFERROR(__xludf.DUMMYFUNCTION("""COMPUTED_VALUE"""),"No")</f>
        <v>No</v>
      </c>
      <c r="S68" s="10" t="str">
        <f>IFERROR(__xludf.DUMMYFUNCTION("""COMPUTED_VALUE"""),"No")</f>
        <v>No</v>
      </c>
      <c r="T68" s="10">
        <f>IFERROR(__xludf.DUMMYFUNCTION("""COMPUTED_VALUE"""),0.0)</f>
        <v>0</v>
      </c>
      <c r="U68" s="10">
        <f>IFERROR(__xludf.DUMMYFUNCTION("""COMPUTED_VALUE"""),0.0)</f>
        <v>0</v>
      </c>
      <c r="V68" s="10" t="str">
        <f>IFERROR(__xludf.DUMMYFUNCTION("""COMPUTED_VALUE"""),"Velantine day")</f>
        <v>Velantine day</v>
      </c>
      <c r="W68" s="10" t="str">
        <f>IFERROR(__xludf.DUMMYFUNCTION("""COMPUTED_VALUE"""),"sharam o haya")</f>
        <v>sharam o haya</v>
      </c>
      <c r="X68" s="10">
        <f>IFERROR(__xludf.DUMMYFUNCTION("""COMPUTED_VALUE"""),3.0)</f>
        <v>3</v>
      </c>
      <c r="Y68" s="10">
        <f>IFERROR(__xludf.DUMMYFUNCTION("""COMPUTED_VALUE"""),3.0)</f>
        <v>3</v>
      </c>
      <c r="Z68" s="10">
        <f>IFERROR(__xludf.DUMMYFUNCTION("""COMPUTED_VALUE"""),6.0)</f>
        <v>6</v>
      </c>
      <c r="AA68" s="10">
        <f>IFERROR(__xludf.DUMMYFUNCTION("""COMPUTED_VALUE"""),3.0)</f>
        <v>3</v>
      </c>
      <c r="AB68" s="10">
        <f>IFERROR(__xludf.DUMMYFUNCTION("""COMPUTED_VALUE"""),3.0)</f>
        <v>3</v>
      </c>
      <c r="AC68" s="10">
        <f>IFERROR(__xludf.DUMMYFUNCTION("""COMPUTED_VALUE"""),0.0)</f>
        <v>0</v>
      </c>
      <c r="AD68" s="10">
        <f>IFERROR(__xludf.DUMMYFUNCTION("""COMPUTED_VALUE"""),0.0)</f>
        <v>0</v>
      </c>
      <c r="AE68" s="10">
        <f>IFERROR(__xludf.DUMMYFUNCTION("""COMPUTED_VALUE"""),3.0)</f>
        <v>3</v>
      </c>
      <c r="AF68" s="10">
        <f>IFERROR(__xludf.DUMMYFUNCTION("""COMPUTED_VALUE"""),8.0)</f>
        <v>8</v>
      </c>
      <c r="AG68" s="10">
        <f>IFERROR(__xludf.DUMMYFUNCTION("""COMPUTED_VALUE"""),4.0)</f>
        <v>4</v>
      </c>
      <c r="AH68" s="10">
        <f>IFERROR(__xludf.DUMMYFUNCTION("""COMPUTED_VALUE"""),0.0)</f>
        <v>0</v>
      </c>
      <c r="AI68" s="10">
        <f>IFERROR(__xludf.DUMMYFUNCTION("""COMPUTED_VALUE"""),4.0)</f>
        <v>4</v>
      </c>
      <c r="AJ68" s="11" t="str">
        <f>IFERROR(__xludf.DUMMYFUNCTION("""COMPUTED_VALUE"""),"https://drive.google.com/open?id=1-VuSSAZz_KG968LD-CG6KFxPe94b7Qss")</f>
        <v>https://drive.google.com/open?id=1-VuSSAZz_KG968LD-CG6KFxPe94b7Qss</v>
      </c>
      <c r="AK68" s="12"/>
      <c r="AL68" s="12"/>
      <c r="AM68" s="12"/>
      <c r="AN68" s="12"/>
      <c r="AO68" s="13">
        <v>3.0</v>
      </c>
      <c r="AX68" s="13"/>
    </row>
    <row r="69">
      <c r="A69" s="8">
        <v>68.0</v>
      </c>
      <c r="B69" s="9">
        <f>IFERROR(__xludf.DUMMYFUNCTION("""COMPUTED_VALUE"""),45711.052330624996)</f>
        <v>45711.05233</v>
      </c>
      <c r="C69" s="10" t="str">
        <f>IFERROR(__xludf.DUMMYFUNCTION("""COMPUTED_VALUE"""),"Shakeela ")</f>
        <v>Shakeela </v>
      </c>
      <c r="D69" s="10" t="str">
        <f>IFERROR(__xludf.DUMMYFUNCTION("""COMPUTED_VALUE"""),"03359485820")</f>
        <v>03359485820</v>
      </c>
      <c r="E69" s="10" t="str">
        <f>IFERROR(__xludf.DUMMYFUNCTION("""COMPUTED_VALUE"""),"Jamia Masjid Laal Shah Alam Market Lahore")</f>
        <v>Jamia Masjid Laal Shah Alam Market Lahore</v>
      </c>
      <c r="F69" s="10" t="str">
        <f>IFERROR(__xludf.DUMMYFUNCTION("""COMPUTED_VALUE"""),"kgtfe")</f>
        <v>kgtfe</v>
      </c>
      <c r="G69" s="10" t="str">
        <f>IFERROR(__xludf.DUMMYFUNCTION("""COMPUTED_VALUE"""),"No")</f>
        <v>No</v>
      </c>
      <c r="H69" s="10"/>
      <c r="I69" s="10"/>
      <c r="J69" s="10"/>
      <c r="K69" s="10">
        <f>IFERROR(__xludf.DUMMYFUNCTION("""COMPUTED_VALUE"""),5.0)</f>
        <v>5</v>
      </c>
      <c r="L69" s="10">
        <f>IFERROR(__xludf.DUMMYFUNCTION("""COMPUTED_VALUE"""),0.0)</f>
        <v>0</v>
      </c>
      <c r="M69" s="10">
        <f>IFERROR(__xludf.DUMMYFUNCTION("""COMPUTED_VALUE"""),4.0)</f>
        <v>4</v>
      </c>
      <c r="N69" s="10">
        <f>IFERROR(__xludf.DUMMYFUNCTION("""COMPUTED_VALUE"""),0.0)</f>
        <v>0</v>
      </c>
      <c r="O69" s="10">
        <f>IFERROR(__xludf.DUMMYFUNCTION("""COMPUTED_VALUE"""),0.0)</f>
        <v>0</v>
      </c>
      <c r="P69" s="10">
        <f>IFERROR(__xludf.DUMMYFUNCTION("""COMPUTED_VALUE"""),0.0)</f>
        <v>0</v>
      </c>
      <c r="Q69" s="10" t="str">
        <f>IFERROR(__xludf.DUMMYFUNCTION("""COMPUTED_VALUE"""),"No")</f>
        <v>No</v>
      </c>
      <c r="R69" s="10" t="str">
        <f>IFERROR(__xludf.DUMMYFUNCTION("""COMPUTED_VALUE"""),"No")</f>
        <v>No</v>
      </c>
      <c r="S69" s="10" t="str">
        <f>IFERROR(__xludf.DUMMYFUNCTION("""COMPUTED_VALUE"""),"No")</f>
        <v>No</v>
      </c>
      <c r="T69" s="10">
        <f>IFERROR(__xludf.DUMMYFUNCTION("""COMPUTED_VALUE"""),2.0)</f>
        <v>2</v>
      </c>
      <c r="U69" s="10">
        <f>IFERROR(__xludf.DUMMYFUNCTION("""COMPUTED_VALUE"""),0.0)</f>
        <v>0</v>
      </c>
      <c r="V69" s="10" t="str">
        <f>IFERROR(__xludf.DUMMYFUNCTION("""COMPUTED_VALUE"""),"seerat un nabi saw aur aurat")</f>
        <v>seerat un nabi saw aur aurat</v>
      </c>
      <c r="W69" s="10" t="str">
        <f>IFERROR(__xludf.DUMMYFUNCTION("""COMPUTED_VALUE"""),"serat un nabi saw aur aurat ka muqam")</f>
        <v>serat un nabi saw aur aurat ka muqam</v>
      </c>
      <c r="X69" s="10">
        <f>IFERROR(__xludf.DUMMYFUNCTION("""COMPUTED_VALUE"""),0.0)</f>
        <v>0</v>
      </c>
      <c r="Y69" s="10">
        <f>IFERROR(__xludf.DUMMYFUNCTION("""COMPUTED_VALUE"""),3.0)</f>
        <v>3</v>
      </c>
      <c r="Z69" s="10">
        <f>IFERROR(__xludf.DUMMYFUNCTION("""COMPUTED_VALUE"""),4.0)</f>
        <v>4</v>
      </c>
      <c r="AA69" s="10">
        <f>IFERROR(__xludf.DUMMYFUNCTION("""COMPUTED_VALUE"""),3.0)</f>
        <v>3</v>
      </c>
      <c r="AB69" s="10">
        <f>IFERROR(__xludf.DUMMYFUNCTION("""COMPUTED_VALUE"""),3.0)</f>
        <v>3</v>
      </c>
      <c r="AC69" s="10">
        <f>IFERROR(__xludf.DUMMYFUNCTION("""COMPUTED_VALUE"""),3.0)</f>
        <v>3</v>
      </c>
      <c r="AD69" s="10">
        <f>IFERROR(__xludf.DUMMYFUNCTION("""COMPUTED_VALUE"""),2.0)</f>
        <v>2</v>
      </c>
      <c r="AE69" s="10">
        <f>IFERROR(__xludf.DUMMYFUNCTION("""COMPUTED_VALUE"""),0.0)</f>
        <v>0</v>
      </c>
      <c r="AF69" s="10">
        <f>IFERROR(__xludf.DUMMYFUNCTION("""COMPUTED_VALUE"""),4.0)</f>
        <v>4</v>
      </c>
      <c r="AG69" s="10">
        <f>IFERROR(__xludf.DUMMYFUNCTION("""COMPUTED_VALUE"""),6.0)</f>
        <v>6</v>
      </c>
      <c r="AH69" s="10">
        <f>IFERROR(__xludf.DUMMYFUNCTION("""COMPUTED_VALUE"""),0.0)</f>
        <v>0</v>
      </c>
      <c r="AI69" s="10">
        <f>IFERROR(__xludf.DUMMYFUNCTION("""COMPUTED_VALUE"""),5.0)</f>
        <v>5</v>
      </c>
      <c r="AJ69" s="11" t="str">
        <f>IFERROR(__xludf.DUMMYFUNCTION("""COMPUTED_VALUE"""),"https://drive.google.com/open?id=16eKfwTo225F-ON0s6cQhEVYica6FpSyq")</f>
        <v>https://drive.google.com/open?id=16eKfwTo225F-ON0s6cQhEVYica6FpSyq</v>
      </c>
      <c r="AK69" s="12"/>
      <c r="AL69" s="12"/>
      <c r="AM69" s="12"/>
      <c r="AN69" s="12"/>
      <c r="AO69" s="13">
        <v>3.0</v>
      </c>
      <c r="AX69" s="13"/>
    </row>
    <row r="70">
      <c r="A70" s="8">
        <v>69.0</v>
      </c>
      <c r="B70" s="9">
        <f>IFERROR(__xludf.DUMMYFUNCTION("""COMPUTED_VALUE"""),45711.100204780094)</f>
        <v>45711.1002</v>
      </c>
      <c r="C70" s="10" t="str">
        <f>IFERROR(__xludf.DUMMYFUNCTION("""COMPUTED_VALUE"""),"Shakeela")</f>
        <v>Shakeela</v>
      </c>
      <c r="D70" s="10" t="str">
        <f>IFERROR(__xludf.DUMMYFUNCTION("""COMPUTED_VALUE"""),"03359485820")</f>
        <v>03359485820</v>
      </c>
      <c r="E70" s="10" t="str">
        <f>IFERROR(__xludf.DUMMYFUNCTION("""COMPUTED_VALUE"""),"Sermon 3 jamia masjid Hanfia Ghousia Jota market")</f>
        <v>Sermon 3 jamia masjid Hanfia Ghousia Jota market</v>
      </c>
      <c r="F70" s="10" t="str">
        <f>IFERROR(__xludf.DUMMYFUNCTION("""COMPUTED_VALUE"""),"Vxoxs")</f>
        <v>Vxoxs</v>
      </c>
      <c r="G70" s="10" t="str">
        <f>IFERROR(__xludf.DUMMYFUNCTION("""COMPUTED_VALUE"""),"No")</f>
        <v>No</v>
      </c>
      <c r="H70" s="10"/>
      <c r="I70" s="10"/>
      <c r="J70" s="10"/>
      <c r="K70" s="10">
        <f>IFERROR(__xludf.DUMMYFUNCTION("""COMPUTED_VALUE"""),0.0)</f>
        <v>0</v>
      </c>
      <c r="L70" s="10">
        <f>IFERROR(__xludf.DUMMYFUNCTION("""COMPUTED_VALUE"""),0.0)</f>
        <v>0</v>
      </c>
      <c r="M70" s="10">
        <f>IFERROR(__xludf.DUMMYFUNCTION("""COMPUTED_VALUE"""),0.0)</f>
        <v>0</v>
      </c>
      <c r="N70" s="10">
        <f>IFERROR(__xludf.DUMMYFUNCTION("""COMPUTED_VALUE"""),0.0)</f>
        <v>0</v>
      </c>
      <c r="O70" s="10">
        <f>IFERROR(__xludf.DUMMYFUNCTION("""COMPUTED_VALUE"""),0.0)</f>
        <v>0</v>
      </c>
      <c r="P70" s="10">
        <f>IFERROR(__xludf.DUMMYFUNCTION("""COMPUTED_VALUE"""),0.0)</f>
        <v>0</v>
      </c>
      <c r="Q70" s="10" t="str">
        <f>IFERROR(__xludf.DUMMYFUNCTION("""COMPUTED_VALUE"""),"No")</f>
        <v>No</v>
      </c>
      <c r="R70" s="10" t="str">
        <f>IFERROR(__xludf.DUMMYFUNCTION("""COMPUTED_VALUE"""),"No")</f>
        <v>No</v>
      </c>
      <c r="S70" s="10" t="str">
        <f>IFERROR(__xludf.DUMMYFUNCTION("""COMPUTED_VALUE"""),"No")</f>
        <v>No</v>
      </c>
      <c r="T70" s="10">
        <f>IFERROR(__xludf.DUMMYFUNCTION("""COMPUTED_VALUE"""),0.0)</f>
        <v>0</v>
      </c>
      <c r="U70" s="10">
        <f>IFERROR(__xludf.DUMMYFUNCTION("""COMPUTED_VALUE"""),0.0)</f>
        <v>0</v>
      </c>
      <c r="V70" s="10" t="str">
        <f>IFERROR(__xludf.DUMMYFUNCTION("""COMPUTED_VALUE"""),"Velantine day")</f>
        <v>Velantine day</v>
      </c>
      <c r="W70" s="10" t="str">
        <f>IFERROR(__xludf.DUMMYFUNCTION("""COMPUTED_VALUE"""),"Sharam o haya ")</f>
        <v>Sharam o haya </v>
      </c>
      <c r="X70" s="10">
        <f>IFERROR(__xludf.DUMMYFUNCTION("""COMPUTED_VALUE"""),0.0)</f>
        <v>0</v>
      </c>
      <c r="Y70" s="10">
        <f>IFERROR(__xludf.DUMMYFUNCTION("""COMPUTED_VALUE"""),0.0)</f>
        <v>0</v>
      </c>
      <c r="Z70" s="10">
        <f>IFERROR(__xludf.DUMMYFUNCTION("""COMPUTED_VALUE"""),0.0)</f>
        <v>0</v>
      </c>
      <c r="AA70" s="10">
        <f>IFERROR(__xludf.DUMMYFUNCTION("""COMPUTED_VALUE"""),0.0)</f>
        <v>0</v>
      </c>
      <c r="AB70" s="10">
        <f>IFERROR(__xludf.DUMMYFUNCTION("""COMPUTED_VALUE"""),0.0)</f>
        <v>0</v>
      </c>
      <c r="AC70" s="10">
        <f>IFERROR(__xludf.DUMMYFUNCTION("""COMPUTED_VALUE"""),6.0)</f>
        <v>6</v>
      </c>
      <c r="AD70" s="10">
        <f>IFERROR(__xludf.DUMMYFUNCTION("""COMPUTED_VALUE"""),5.0)</f>
        <v>5</v>
      </c>
      <c r="AE70" s="10">
        <f>IFERROR(__xludf.DUMMYFUNCTION("""COMPUTED_VALUE"""),5.0)</f>
        <v>5</v>
      </c>
      <c r="AF70" s="10">
        <f>IFERROR(__xludf.DUMMYFUNCTION("""COMPUTED_VALUE"""),9.0)</f>
        <v>9</v>
      </c>
      <c r="AG70" s="10">
        <f>IFERROR(__xludf.DUMMYFUNCTION("""COMPUTED_VALUE"""),8.0)</f>
        <v>8</v>
      </c>
      <c r="AH70" s="10">
        <f>IFERROR(__xludf.DUMMYFUNCTION("""COMPUTED_VALUE"""),0.0)</f>
        <v>0</v>
      </c>
      <c r="AI70" s="10">
        <f>IFERROR(__xludf.DUMMYFUNCTION("""COMPUTED_VALUE"""),6.0)</f>
        <v>6</v>
      </c>
      <c r="AJ70" s="11" t="str">
        <f>IFERROR(__xludf.DUMMYFUNCTION("""COMPUTED_VALUE"""),"https://drive.google.com/open?id=1ZF9gnQ22Sy507fxSZa9mOWB5zsmijvE0")</f>
        <v>https://drive.google.com/open?id=1ZF9gnQ22Sy507fxSZa9mOWB5zsmijvE0</v>
      </c>
      <c r="AK70" s="12"/>
      <c r="AL70" s="12"/>
      <c r="AM70" s="12"/>
      <c r="AN70" s="12"/>
      <c r="AO70" s="13">
        <v>3.0</v>
      </c>
      <c r="AX70" s="13"/>
    </row>
    <row r="71">
      <c r="A71" s="8">
        <v>70.0</v>
      </c>
      <c r="B71" s="9">
        <f>IFERROR(__xludf.DUMMYFUNCTION("""COMPUTED_VALUE"""),45711.14835697917)</f>
        <v>45711.14836</v>
      </c>
      <c r="C71" s="10" t="str">
        <f>IFERROR(__xludf.DUMMYFUNCTION("""COMPUTED_VALUE"""),"Sheheryar Ahmad")</f>
        <v>Sheheryar Ahmad</v>
      </c>
      <c r="D71" s="10" t="str">
        <f>IFERROR(__xludf.DUMMYFUNCTION("""COMPUTED_VALUE"""),"03194458854")</f>
        <v>03194458854</v>
      </c>
      <c r="E71" s="10" t="str">
        <f>IFERROR(__xludf.DUMMYFUNCTION("""COMPUTED_VALUE"""),"Jamia Masjid Peshawari ( Neela Gumbad)")</f>
        <v>Jamia Masjid Peshawari ( Neela Gumbad)</v>
      </c>
      <c r="F71" s="10" t="str">
        <f>IFERROR(__xludf.DUMMYFUNCTION("""COMPUTED_VALUE"""),"TELOU")</f>
        <v>TELOU</v>
      </c>
      <c r="G71" s="10" t="str">
        <f>IFERROR(__xludf.DUMMYFUNCTION("""COMPUTED_VALUE"""),"Yes")</f>
        <v>Yes</v>
      </c>
      <c r="H71" s="10">
        <f>IFERROR(__xludf.DUMMYFUNCTION("""COMPUTED_VALUE"""),9.0)</f>
        <v>9</v>
      </c>
      <c r="I71" s="10">
        <f>IFERROR(__xludf.DUMMYFUNCTION("""COMPUTED_VALUE"""),1.0)</f>
        <v>1</v>
      </c>
      <c r="J71" s="10">
        <f>IFERROR(__xludf.DUMMYFUNCTION("""COMPUTED_VALUE"""),9.0)</f>
        <v>9</v>
      </c>
      <c r="K71" s="10">
        <f>IFERROR(__xludf.DUMMYFUNCTION("""COMPUTED_VALUE"""),10.0)</f>
        <v>10</v>
      </c>
      <c r="L71" s="10">
        <f>IFERROR(__xludf.DUMMYFUNCTION("""COMPUTED_VALUE"""),0.0)</f>
        <v>0</v>
      </c>
      <c r="M71" s="10">
        <f>IFERROR(__xludf.DUMMYFUNCTION("""COMPUTED_VALUE"""),10.0)</f>
        <v>10</v>
      </c>
      <c r="N71" s="10">
        <f>IFERROR(__xludf.DUMMYFUNCTION("""COMPUTED_VALUE"""),0.0)</f>
        <v>0</v>
      </c>
      <c r="O71" s="10">
        <f>IFERROR(__xludf.DUMMYFUNCTION("""COMPUTED_VALUE"""),10.0)</f>
        <v>10</v>
      </c>
      <c r="P71" s="10">
        <f>IFERROR(__xludf.DUMMYFUNCTION("""COMPUTED_VALUE"""),0.0)</f>
        <v>0</v>
      </c>
      <c r="Q71" s="10" t="str">
        <f>IFERROR(__xludf.DUMMYFUNCTION("""COMPUTED_VALUE"""),"Yes")</f>
        <v>Yes</v>
      </c>
      <c r="R71" s="10" t="str">
        <f>IFERROR(__xludf.DUMMYFUNCTION("""COMPUTED_VALUE"""),"No")</f>
        <v>No</v>
      </c>
      <c r="S71" s="10" t="str">
        <f>IFERROR(__xludf.DUMMYFUNCTION("""COMPUTED_VALUE"""),"Yes")</f>
        <v>Yes</v>
      </c>
      <c r="T71" s="10">
        <f>IFERROR(__xludf.DUMMYFUNCTION("""COMPUTED_VALUE"""),0.0)</f>
        <v>0</v>
      </c>
      <c r="U71" s="10">
        <f>IFERROR(__xludf.DUMMYFUNCTION("""COMPUTED_VALUE"""),0.0)</f>
        <v>0</v>
      </c>
      <c r="V71" s="10" t="str">
        <f>IFERROR(__xludf.DUMMYFUNCTION("""COMPUTED_VALUE"""),"Women important in islam")</f>
        <v>Women important in islam</v>
      </c>
      <c r="W71" s="10" t="str">
        <f>IFERROR(__xludf.DUMMYFUNCTION("""COMPUTED_VALUE"""),"Aurat kay sath acha salook krain, taleem dain, taky any wali nasal ko samjha sky")</f>
        <v>Aurat kay sath acha salook krain, taleem dain, taky any wali nasal ko samjha sky</v>
      </c>
      <c r="X71" s="10">
        <f>IFERROR(__xludf.DUMMYFUNCTION("""COMPUTED_VALUE"""),0.0)</f>
        <v>0</v>
      </c>
      <c r="Y71" s="10">
        <f>IFERROR(__xludf.DUMMYFUNCTION("""COMPUTED_VALUE"""),0.0)</f>
        <v>0</v>
      </c>
      <c r="Z71" s="10">
        <f>IFERROR(__xludf.DUMMYFUNCTION("""COMPUTED_VALUE"""),2.0)</f>
        <v>2</v>
      </c>
      <c r="AA71" s="10">
        <f>IFERROR(__xludf.DUMMYFUNCTION("""COMPUTED_VALUE"""),0.0)</f>
        <v>0</v>
      </c>
      <c r="AB71" s="10">
        <f>IFERROR(__xludf.DUMMYFUNCTION("""COMPUTED_VALUE"""),4.0)</f>
        <v>4</v>
      </c>
      <c r="AC71" s="10">
        <f>IFERROR(__xludf.DUMMYFUNCTION("""COMPUTED_VALUE"""),0.0)</f>
        <v>0</v>
      </c>
      <c r="AD71" s="10">
        <f>IFERROR(__xludf.DUMMYFUNCTION("""COMPUTED_VALUE"""),0.0)</f>
        <v>0</v>
      </c>
      <c r="AE71" s="10">
        <f>IFERROR(__xludf.DUMMYFUNCTION("""COMPUTED_VALUE"""),0.0)</f>
        <v>0</v>
      </c>
      <c r="AF71" s="10">
        <f>IFERROR(__xludf.DUMMYFUNCTION("""COMPUTED_VALUE"""),10.0)</f>
        <v>10</v>
      </c>
      <c r="AG71" s="10">
        <f>IFERROR(__xludf.DUMMYFUNCTION("""COMPUTED_VALUE"""),10.0)</f>
        <v>10</v>
      </c>
      <c r="AH71" s="10">
        <f>IFERROR(__xludf.DUMMYFUNCTION("""COMPUTED_VALUE"""),0.0)</f>
        <v>0</v>
      </c>
      <c r="AI71" s="10">
        <f>IFERROR(__xludf.DUMMYFUNCTION("""COMPUTED_VALUE"""),10.0)</f>
        <v>10</v>
      </c>
      <c r="AJ71" s="11" t="str">
        <f>IFERROR(__xludf.DUMMYFUNCTION("""COMPUTED_VALUE"""),"https://drive.google.com/open?id=1ubCkhJxE1iai3Tl-6L7lTiEzGPlY8LDz")</f>
        <v>https://drive.google.com/open?id=1ubCkhJxE1iai3Tl-6L7lTiEzGPlY8LDz</v>
      </c>
      <c r="AK71" s="12"/>
      <c r="AL71" s="12"/>
      <c r="AM71" s="12"/>
      <c r="AN71" s="12"/>
      <c r="AO71" s="13">
        <v>1.0</v>
      </c>
      <c r="AX71" s="13"/>
    </row>
    <row r="72">
      <c r="A72" s="8">
        <v>71.0</v>
      </c>
      <c r="B72" s="9">
        <f>IFERROR(__xludf.DUMMYFUNCTION("""COMPUTED_VALUE"""),45711.161587766204)</f>
        <v>45711.16159</v>
      </c>
      <c r="C72" s="10" t="str">
        <f>IFERROR(__xludf.DUMMYFUNCTION("""COMPUTED_VALUE"""),"Babar Ali")</f>
        <v>Babar Ali</v>
      </c>
      <c r="D72" s="10" t="str">
        <f>IFERROR(__xludf.DUMMYFUNCTION("""COMPUTED_VALUE"""),"03011297393")</f>
        <v>03011297393</v>
      </c>
      <c r="E72" s="10" t="str">
        <f>IFERROR(__xludf.DUMMYFUNCTION("""COMPUTED_VALUE"""),"Jamia Masjid Allah joya")</f>
        <v>Jamia Masjid Allah joya</v>
      </c>
      <c r="F72" s="10" t="str">
        <f>IFERROR(__xludf.DUMMYFUNCTION("""COMPUTED_VALUE"""),"ZBRWJ")</f>
        <v>ZBRWJ</v>
      </c>
      <c r="G72" s="10" t="str">
        <f>IFERROR(__xludf.DUMMYFUNCTION("""COMPUTED_VALUE"""),"No")</f>
        <v>No</v>
      </c>
      <c r="H72" s="10"/>
      <c r="I72" s="10"/>
      <c r="J72" s="10"/>
      <c r="K72" s="10">
        <f>IFERROR(__xludf.DUMMYFUNCTION("""COMPUTED_VALUE"""),0.0)</f>
        <v>0</v>
      </c>
      <c r="L72" s="10">
        <f>IFERROR(__xludf.DUMMYFUNCTION("""COMPUTED_VALUE"""),6.0)</f>
        <v>6</v>
      </c>
      <c r="M72" s="10">
        <f>IFERROR(__xludf.DUMMYFUNCTION("""COMPUTED_VALUE"""),0.0)</f>
        <v>0</v>
      </c>
      <c r="N72" s="10">
        <f>IFERROR(__xludf.DUMMYFUNCTION("""COMPUTED_VALUE"""),6.0)</f>
        <v>6</v>
      </c>
      <c r="O72" s="10">
        <f>IFERROR(__xludf.DUMMYFUNCTION("""COMPUTED_VALUE"""),0.0)</f>
        <v>0</v>
      </c>
      <c r="P72" s="10">
        <f>IFERROR(__xludf.DUMMYFUNCTION("""COMPUTED_VALUE"""),5.0)</f>
        <v>5</v>
      </c>
      <c r="Q72" s="10" t="str">
        <f>IFERROR(__xludf.DUMMYFUNCTION("""COMPUTED_VALUE"""),"No")</f>
        <v>No</v>
      </c>
      <c r="R72" s="10" t="str">
        <f>IFERROR(__xludf.DUMMYFUNCTION("""COMPUTED_VALUE"""),"No")</f>
        <v>No</v>
      </c>
      <c r="S72" s="10" t="str">
        <f>IFERROR(__xludf.DUMMYFUNCTION("""COMPUTED_VALUE"""),"No")</f>
        <v>No</v>
      </c>
      <c r="T72" s="10">
        <f>IFERROR(__xludf.DUMMYFUNCTION("""COMPUTED_VALUE"""),0.0)</f>
        <v>0</v>
      </c>
      <c r="U72" s="10">
        <f>IFERROR(__xludf.DUMMYFUNCTION("""COMPUTED_VALUE"""),0.0)</f>
        <v>0</v>
      </c>
      <c r="V72" s="10" t="str">
        <f>IFERROR(__xludf.DUMMYFUNCTION("""COMPUTED_VALUE"""),"نماز اور اس کے مسائل")</f>
        <v>نماز اور اس کے مسائل</v>
      </c>
      <c r="W72" s="10" t="str">
        <f>IFERROR(__xludf.DUMMYFUNCTION("""COMPUTED_VALUE"""),"نماز کے مسائل میں خشوع و خضوع کی کمی، وقت کی پابندی اور وضو کے احکام جیسے چیلنجز شامل ہیں۔
اس کے فوائد میں روحانی سکون، گناہوں کی معافی اور دنیا و آخرت میں کامیابی شامل ہیں۔
")</f>
        <v>نماز کے مسائل میں خشوع و خضوع کی کمی، وقت کی پابندی اور وضو کے احکام جیسے چیلنجز شامل ہیں۔
اس کے فوائد میں روحانی سکون، گناہوں کی معافی اور دنیا و آخرت میں کامیابی شامل ہیں۔
</v>
      </c>
      <c r="X72" s="10">
        <f>IFERROR(__xludf.DUMMYFUNCTION("""COMPUTED_VALUE"""),7.0)</f>
        <v>7</v>
      </c>
      <c r="Y72" s="10">
        <f>IFERROR(__xludf.DUMMYFUNCTION("""COMPUTED_VALUE"""),5.0)</f>
        <v>5</v>
      </c>
      <c r="Z72" s="10">
        <f>IFERROR(__xludf.DUMMYFUNCTION("""COMPUTED_VALUE"""),2.0)</f>
        <v>2</v>
      </c>
      <c r="AA72" s="10">
        <f>IFERROR(__xludf.DUMMYFUNCTION("""COMPUTED_VALUE"""),5.0)</f>
        <v>5</v>
      </c>
      <c r="AB72" s="10">
        <f>IFERROR(__xludf.DUMMYFUNCTION("""COMPUTED_VALUE"""),0.0)</f>
        <v>0</v>
      </c>
      <c r="AC72" s="10">
        <f>IFERROR(__xludf.DUMMYFUNCTION("""COMPUTED_VALUE"""),0.0)</f>
        <v>0</v>
      </c>
      <c r="AD72" s="10">
        <f>IFERROR(__xludf.DUMMYFUNCTION("""COMPUTED_VALUE"""),4.0)</f>
        <v>4</v>
      </c>
      <c r="AE72" s="10">
        <f>IFERROR(__xludf.DUMMYFUNCTION("""COMPUTED_VALUE"""),0.0)</f>
        <v>0</v>
      </c>
      <c r="AF72" s="10">
        <f>IFERROR(__xludf.DUMMYFUNCTION("""COMPUTED_VALUE"""),7.0)</f>
        <v>7</v>
      </c>
      <c r="AG72" s="10">
        <f>IFERROR(__xludf.DUMMYFUNCTION("""COMPUTED_VALUE"""),7.0)</f>
        <v>7</v>
      </c>
      <c r="AH72" s="10">
        <f>IFERROR(__xludf.DUMMYFUNCTION("""COMPUTED_VALUE"""),0.0)</f>
        <v>0</v>
      </c>
      <c r="AI72" s="10">
        <f>IFERROR(__xludf.DUMMYFUNCTION("""COMPUTED_VALUE"""),8.0)</f>
        <v>8</v>
      </c>
      <c r="AJ72" s="11" t="str">
        <f>IFERROR(__xludf.DUMMYFUNCTION("""COMPUTED_VALUE"""),"https://drive.google.com/open?id=19Z4aqsXzFkNJTF99CZJKozIKfouW6xUa")</f>
        <v>https://drive.google.com/open?id=19Z4aqsXzFkNJTF99CZJKozIKfouW6xUa</v>
      </c>
      <c r="AK72" s="12"/>
      <c r="AL72" s="12"/>
      <c r="AM72" s="12"/>
      <c r="AN72" s="12"/>
      <c r="AO72" s="13">
        <v>4.0</v>
      </c>
      <c r="AX72" s="13"/>
    </row>
    <row r="73">
      <c r="A73" s="8">
        <v>72.0</v>
      </c>
      <c r="B73" s="9">
        <f>IFERROR(__xludf.DUMMYFUNCTION("""COMPUTED_VALUE"""),45711.25902576389)</f>
        <v>45711.25903</v>
      </c>
      <c r="C73" s="10" t="str">
        <f>IFERROR(__xludf.DUMMYFUNCTION("""COMPUTED_VALUE"""),"Shahbaz ahmad")</f>
        <v>Shahbaz ahmad</v>
      </c>
      <c r="D73" s="10" t="str">
        <f>IFERROR(__xludf.DUMMYFUNCTION("""COMPUTED_VALUE"""),"03074478076")</f>
        <v>03074478076</v>
      </c>
      <c r="E73" s="10" t="str">
        <f>IFERROR(__xludf.DUMMYFUNCTION("""COMPUTED_VALUE"""),"Shah e gidah")</f>
        <v>Shah e gidah</v>
      </c>
      <c r="F73" s="10" t="str">
        <f>IFERROR(__xludf.DUMMYFUNCTION("""COMPUTED_VALUE"""),"ipdnb")</f>
        <v>ipdnb</v>
      </c>
      <c r="G73" s="10" t="str">
        <f>IFERROR(__xludf.DUMMYFUNCTION("""COMPUTED_VALUE"""),"Yes")</f>
        <v>Yes</v>
      </c>
      <c r="H73" s="10">
        <f>IFERROR(__xludf.DUMMYFUNCTION("""COMPUTED_VALUE"""),9.0)</f>
        <v>9</v>
      </c>
      <c r="I73" s="10">
        <f>IFERROR(__xludf.DUMMYFUNCTION("""COMPUTED_VALUE"""),2.0)</f>
        <v>2</v>
      </c>
      <c r="J73" s="10">
        <f>IFERROR(__xludf.DUMMYFUNCTION("""COMPUTED_VALUE"""),9.0)</f>
        <v>9</v>
      </c>
      <c r="K73" s="10">
        <f>IFERROR(__xludf.DUMMYFUNCTION("""COMPUTED_VALUE"""),0.0)</f>
        <v>0</v>
      </c>
      <c r="L73" s="10">
        <f>IFERROR(__xludf.DUMMYFUNCTION("""COMPUTED_VALUE"""),9.0)</f>
        <v>9</v>
      </c>
      <c r="M73" s="10">
        <f>IFERROR(__xludf.DUMMYFUNCTION("""COMPUTED_VALUE"""),0.0)</f>
        <v>0</v>
      </c>
      <c r="N73" s="10">
        <f>IFERROR(__xludf.DUMMYFUNCTION("""COMPUTED_VALUE"""),10.0)</f>
        <v>10</v>
      </c>
      <c r="O73" s="10">
        <f>IFERROR(__xludf.DUMMYFUNCTION("""COMPUTED_VALUE"""),0.0)</f>
        <v>0</v>
      </c>
      <c r="P73" s="10">
        <f>IFERROR(__xludf.DUMMYFUNCTION("""COMPUTED_VALUE"""),9.0)</f>
        <v>9</v>
      </c>
      <c r="Q73" s="10" t="str">
        <f>IFERROR(__xludf.DUMMYFUNCTION("""COMPUTED_VALUE"""),"No")</f>
        <v>No</v>
      </c>
      <c r="R73" s="10" t="str">
        <f>IFERROR(__xludf.DUMMYFUNCTION("""COMPUTED_VALUE"""),"Yes")</f>
        <v>Yes</v>
      </c>
      <c r="S73" s="10" t="str">
        <f>IFERROR(__xludf.DUMMYFUNCTION("""COMPUTED_VALUE"""),"No")</f>
        <v>No</v>
      </c>
      <c r="T73" s="10">
        <f>IFERROR(__xludf.DUMMYFUNCTION("""COMPUTED_VALUE"""),0.0)</f>
        <v>0</v>
      </c>
      <c r="U73" s="10">
        <f>IFERROR(__xludf.DUMMYFUNCTION("""COMPUTED_VALUE"""),9.0)</f>
        <v>9</v>
      </c>
      <c r="V73" s="10" t="str">
        <f>IFERROR(__xludf.DUMMYFUNCTION("""COMPUTED_VALUE"""),"Paronson key haqoq or safai")</f>
        <v>Paronson key haqoq or safai</v>
      </c>
      <c r="W73" s="10" t="str">
        <f>IFERROR(__xludf.DUMMYFUNCTION("""COMPUTED_VALUE"""),"Paronson key haqoq or safai suthri ki bat ki")</f>
        <v>Paronson key haqoq or safai suthri ki bat ki</v>
      </c>
      <c r="X73" s="10">
        <f>IFERROR(__xludf.DUMMYFUNCTION("""COMPUTED_VALUE"""),3.0)</f>
        <v>3</v>
      </c>
      <c r="Y73" s="10">
        <f>IFERROR(__xludf.DUMMYFUNCTION("""COMPUTED_VALUE"""),5.0)</f>
        <v>5</v>
      </c>
      <c r="Z73" s="10">
        <f>IFERROR(__xludf.DUMMYFUNCTION("""COMPUTED_VALUE"""),5.0)</f>
        <v>5</v>
      </c>
      <c r="AA73" s="10">
        <f>IFERROR(__xludf.DUMMYFUNCTION("""COMPUTED_VALUE"""),5.0)</f>
        <v>5</v>
      </c>
      <c r="AB73" s="10">
        <f>IFERROR(__xludf.DUMMYFUNCTION("""COMPUTED_VALUE"""),6.0)</f>
        <v>6</v>
      </c>
      <c r="AC73" s="10">
        <f>IFERROR(__xludf.DUMMYFUNCTION("""COMPUTED_VALUE"""),0.0)</f>
        <v>0</v>
      </c>
      <c r="AD73" s="10">
        <f>IFERROR(__xludf.DUMMYFUNCTION("""COMPUTED_VALUE"""),0.0)</f>
        <v>0</v>
      </c>
      <c r="AE73" s="10">
        <f>IFERROR(__xludf.DUMMYFUNCTION("""COMPUTED_VALUE"""),0.0)</f>
        <v>0</v>
      </c>
      <c r="AF73" s="10">
        <f>IFERROR(__xludf.DUMMYFUNCTION("""COMPUTED_VALUE"""),0.0)</f>
        <v>0</v>
      </c>
      <c r="AG73" s="10">
        <f>IFERROR(__xludf.DUMMYFUNCTION("""COMPUTED_VALUE"""),5.0)</f>
        <v>5</v>
      </c>
      <c r="AH73" s="10">
        <f>IFERROR(__xludf.DUMMYFUNCTION("""COMPUTED_VALUE"""),0.0)</f>
        <v>0</v>
      </c>
      <c r="AI73" s="10">
        <f>IFERROR(__xludf.DUMMYFUNCTION("""COMPUTED_VALUE"""),6.0)</f>
        <v>6</v>
      </c>
      <c r="AJ73" s="11" t="str">
        <f>IFERROR(__xludf.DUMMYFUNCTION("""COMPUTED_VALUE"""),"https://drive.google.com/open?id=1NuIAhsIZ0WqfvolayMeLHnQUOdRrcvGG")</f>
        <v>https://drive.google.com/open?id=1NuIAhsIZ0WqfvolayMeLHnQUOdRrcvGG</v>
      </c>
      <c r="AK73" s="12" t="str">
        <f>IFERROR(__xludf.DUMMYFUNCTION("""COMPUTED_VALUE"""),"No")</f>
        <v>No</v>
      </c>
      <c r="AL73" s="12"/>
      <c r="AM73" s="12"/>
      <c r="AN73" s="12"/>
      <c r="AO73" s="13">
        <v>3.0</v>
      </c>
      <c r="AX73" s="13"/>
    </row>
    <row r="74">
      <c r="A74" s="8">
        <v>73.0</v>
      </c>
      <c r="B74" s="9">
        <f>IFERROR(__xludf.DUMMYFUNCTION("""COMPUTED_VALUE"""),45711.280569016206)</f>
        <v>45711.28057</v>
      </c>
      <c r="C74" s="10" t="str">
        <f>IFERROR(__xludf.DUMMYFUNCTION("""COMPUTED_VALUE"""),"M Haseeb ")</f>
        <v>M Haseeb </v>
      </c>
      <c r="D74" s="10" t="str">
        <f>IFERROR(__xludf.DUMMYFUNCTION("""COMPUTED_VALUE"""),"03262232424")</f>
        <v>03262232424</v>
      </c>
      <c r="E74" s="10" t="str">
        <f>IFERROR(__xludf.DUMMYFUNCTION("""COMPUTED_VALUE"""),"Jamia masjid Abdul ghani (sermon 2)")</f>
        <v>Jamia masjid Abdul ghani (sermon 2)</v>
      </c>
      <c r="F74" s="10" t="str">
        <f>IFERROR(__xludf.DUMMYFUNCTION("""COMPUTED_VALUE"""),"OIYZT")</f>
        <v>OIYZT</v>
      </c>
      <c r="G74" s="10" t="str">
        <f>IFERROR(__xludf.DUMMYFUNCTION("""COMPUTED_VALUE"""),"Yes")</f>
        <v>Yes</v>
      </c>
      <c r="H74" s="10">
        <f>IFERROR(__xludf.DUMMYFUNCTION("""COMPUTED_VALUE"""),10.0)</f>
        <v>10</v>
      </c>
      <c r="I74" s="10">
        <f>IFERROR(__xludf.DUMMYFUNCTION("""COMPUTED_VALUE"""),0.0)</f>
        <v>0</v>
      </c>
      <c r="J74" s="10">
        <f>IFERROR(__xludf.DUMMYFUNCTION("""COMPUTED_VALUE"""),10.0)</f>
        <v>10</v>
      </c>
      <c r="K74" s="10">
        <f>IFERROR(__xludf.DUMMYFUNCTION("""COMPUTED_VALUE"""),0.0)</f>
        <v>0</v>
      </c>
      <c r="L74" s="10">
        <f>IFERROR(__xludf.DUMMYFUNCTION("""COMPUTED_VALUE"""),10.0)</f>
        <v>10</v>
      </c>
      <c r="M74" s="10">
        <f>IFERROR(__xludf.DUMMYFUNCTION("""COMPUTED_VALUE"""),0.0)</f>
        <v>0</v>
      </c>
      <c r="N74" s="10">
        <f>IFERROR(__xludf.DUMMYFUNCTION("""COMPUTED_VALUE"""),10.0)</f>
        <v>10</v>
      </c>
      <c r="O74" s="10">
        <f>IFERROR(__xludf.DUMMYFUNCTION("""COMPUTED_VALUE"""),0.0)</f>
        <v>0</v>
      </c>
      <c r="P74" s="10">
        <f>IFERROR(__xludf.DUMMYFUNCTION("""COMPUTED_VALUE"""),0.0)</f>
        <v>0</v>
      </c>
      <c r="Q74" s="10" t="str">
        <f>IFERROR(__xludf.DUMMYFUNCTION("""COMPUTED_VALUE"""),"No")</f>
        <v>No</v>
      </c>
      <c r="R74" s="10" t="str">
        <f>IFERROR(__xludf.DUMMYFUNCTION("""COMPUTED_VALUE"""),"No")</f>
        <v>No</v>
      </c>
      <c r="S74" s="10" t="str">
        <f>IFERROR(__xludf.DUMMYFUNCTION("""COMPUTED_VALUE"""),"No")</f>
        <v>No</v>
      </c>
      <c r="T74" s="10">
        <f>IFERROR(__xludf.DUMMYFUNCTION("""COMPUTED_VALUE"""),0.0)</f>
        <v>0</v>
      </c>
      <c r="U74" s="10">
        <f>IFERROR(__xludf.DUMMYFUNCTION("""COMPUTED_VALUE"""),0.0)</f>
        <v>0</v>
      </c>
      <c r="V74" s="10" t="str">
        <f>IFERROR(__xludf.DUMMYFUNCTION("""COMPUTED_VALUE"""),"Ahla muhala or hamsayoo ka haquq")</f>
        <v>Ahla muhala or hamsayoo ka haquq</v>
      </c>
      <c r="W74" s="10" t="str">
        <f>IFERROR(__xludf.DUMMYFUNCTION("""COMPUTED_VALUE"""),"Ahla muhala or hamsayoo ka sath husna salook or un ka  haquq")</f>
        <v>Ahla muhala or hamsayoo ka sath husna salook or un ka  haquq</v>
      </c>
      <c r="X74" s="10">
        <f>IFERROR(__xludf.DUMMYFUNCTION("""COMPUTED_VALUE"""),0.0)</f>
        <v>0</v>
      </c>
      <c r="Y74" s="10">
        <f>IFERROR(__xludf.DUMMYFUNCTION("""COMPUTED_VALUE"""),10.0)</f>
        <v>10</v>
      </c>
      <c r="Z74" s="10">
        <f>IFERROR(__xludf.DUMMYFUNCTION("""COMPUTED_VALUE"""),8.0)</f>
        <v>8</v>
      </c>
      <c r="AA74" s="10">
        <f>IFERROR(__xludf.DUMMYFUNCTION("""COMPUTED_VALUE"""),10.0)</f>
        <v>10</v>
      </c>
      <c r="AB74" s="10">
        <f>IFERROR(__xludf.DUMMYFUNCTION("""COMPUTED_VALUE"""),0.0)</f>
        <v>0</v>
      </c>
      <c r="AC74" s="10">
        <f>IFERROR(__xludf.DUMMYFUNCTION("""COMPUTED_VALUE"""),0.0)</f>
        <v>0</v>
      </c>
      <c r="AD74" s="10">
        <f>IFERROR(__xludf.DUMMYFUNCTION("""COMPUTED_VALUE"""),0.0)</f>
        <v>0</v>
      </c>
      <c r="AE74" s="10">
        <f>IFERROR(__xludf.DUMMYFUNCTION("""COMPUTED_VALUE"""),0.0)</f>
        <v>0</v>
      </c>
      <c r="AF74" s="10">
        <f>IFERROR(__xludf.DUMMYFUNCTION("""COMPUTED_VALUE"""),9.0)</f>
        <v>9</v>
      </c>
      <c r="AG74" s="10">
        <f>IFERROR(__xludf.DUMMYFUNCTION("""COMPUTED_VALUE"""),9.0)</f>
        <v>9</v>
      </c>
      <c r="AH74" s="10">
        <f>IFERROR(__xludf.DUMMYFUNCTION("""COMPUTED_VALUE"""),0.0)</f>
        <v>0</v>
      </c>
      <c r="AI74" s="10">
        <f>IFERROR(__xludf.DUMMYFUNCTION("""COMPUTED_VALUE"""),9.0)</f>
        <v>9</v>
      </c>
      <c r="AJ74" s="11" t="str">
        <f>IFERROR(__xludf.DUMMYFUNCTION("""COMPUTED_VALUE"""),"https://drive.google.com/open?id=1A6Pmgj2WTd-f5v7ME11KvpdcdmRpry-a")</f>
        <v>https://drive.google.com/open?id=1A6Pmgj2WTd-f5v7ME11KvpdcdmRpry-a</v>
      </c>
      <c r="AK74" s="12"/>
      <c r="AL74" s="12"/>
      <c r="AM74" s="12"/>
      <c r="AN74" s="12"/>
      <c r="AO74" s="13">
        <v>2.0</v>
      </c>
      <c r="AX74" s="13"/>
    </row>
    <row r="75">
      <c r="A75" s="8">
        <v>74.0</v>
      </c>
      <c r="B75" s="9">
        <f>IFERROR(__xludf.DUMMYFUNCTION("""COMPUTED_VALUE"""),45711.683853333336)</f>
        <v>45711.68385</v>
      </c>
      <c r="C75" s="10" t="str">
        <f>IFERROR(__xludf.DUMMYFUNCTION("""COMPUTED_VALUE"""),"Muhammad saqib ")</f>
        <v>Muhammad saqib </v>
      </c>
      <c r="D75" s="10" t="str">
        <f>IFERROR(__xludf.DUMMYFUNCTION("""COMPUTED_VALUE"""),"03234041429")</f>
        <v>03234041429</v>
      </c>
      <c r="E75" s="10" t="str">
        <f>IFERROR(__xludf.DUMMYFUNCTION("""COMPUTED_VALUE"""),"Masjid zanjani")</f>
        <v>Masjid zanjani</v>
      </c>
      <c r="F75" s="10" t="str">
        <f>IFERROR(__xludf.DUMMYFUNCTION("""COMPUTED_VALUE"""),"ljvby")</f>
        <v>ljvby</v>
      </c>
      <c r="G75" s="10" t="str">
        <f>IFERROR(__xludf.DUMMYFUNCTION("""COMPUTED_VALUE"""),"Yes")</f>
        <v>Yes</v>
      </c>
      <c r="H75" s="10">
        <f>IFERROR(__xludf.DUMMYFUNCTION("""COMPUTED_VALUE"""),1.0)</f>
        <v>1</v>
      </c>
      <c r="I75" s="10">
        <f>IFERROR(__xludf.DUMMYFUNCTION("""COMPUTED_VALUE"""),9.0)</f>
        <v>9</v>
      </c>
      <c r="J75" s="10">
        <f>IFERROR(__xludf.DUMMYFUNCTION("""COMPUTED_VALUE"""),1.0)</f>
        <v>1</v>
      </c>
      <c r="K75" s="10">
        <f>IFERROR(__xludf.DUMMYFUNCTION("""COMPUTED_VALUE"""),5.0)</f>
        <v>5</v>
      </c>
      <c r="L75" s="10">
        <f>IFERROR(__xludf.DUMMYFUNCTION("""COMPUTED_VALUE"""),5.0)</f>
        <v>5</v>
      </c>
      <c r="M75" s="10">
        <f>IFERROR(__xludf.DUMMYFUNCTION("""COMPUTED_VALUE"""),4.0)</f>
        <v>4</v>
      </c>
      <c r="N75" s="10">
        <f>IFERROR(__xludf.DUMMYFUNCTION("""COMPUTED_VALUE"""),4.0)</f>
        <v>4</v>
      </c>
      <c r="O75" s="10">
        <f>IFERROR(__xludf.DUMMYFUNCTION("""COMPUTED_VALUE"""),0.0)</f>
        <v>0</v>
      </c>
      <c r="P75" s="10">
        <f>IFERROR(__xludf.DUMMYFUNCTION("""COMPUTED_VALUE"""),3.0)</f>
        <v>3</v>
      </c>
      <c r="Q75" s="10" t="str">
        <f>IFERROR(__xludf.DUMMYFUNCTION("""COMPUTED_VALUE"""),"No")</f>
        <v>No</v>
      </c>
      <c r="R75" s="10" t="str">
        <f>IFERROR(__xludf.DUMMYFUNCTION("""COMPUTED_VALUE"""),"No")</f>
        <v>No</v>
      </c>
      <c r="S75" s="10" t="str">
        <f>IFERROR(__xludf.DUMMYFUNCTION("""COMPUTED_VALUE"""),"No")</f>
        <v>No</v>
      </c>
      <c r="T75" s="10">
        <f>IFERROR(__xludf.DUMMYFUNCTION("""COMPUTED_VALUE"""),1.0)</f>
        <v>1</v>
      </c>
      <c r="U75" s="10">
        <f>IFERROR(__xludf.DUMMYFUNCTION("""COMPUTED_VALUE"""),2.0)</f>
        <v>2</v>
      </c>
      <c r="V75" s="10" t="str">
        <f>IFERROR(__xludf.DUMMYFUNCTION("""COMPUTED_VALUE"""),"Mahe shuban")</f>
        <v>Mahe shuban</v>
      </c>
      <c r="W75" s="10" t="str">
        <f>IFERROR(__xludf.DUMMYFUNCTION("""COMPUTED_VALUE"""),"Shuban ki fazilat or tuba sachi ")</f>
        <v>Shuban ki fazilat or tuba sachi </v>
      </c>
      <c r="X75" s="10">
        <f>IFERROR(__xludf.DUMMYFUNCTION("""COMPUTED_VALUE"""),3.0)</f>
        <v>3</v>
      </c>
      <c r="Y75" s="10">
        <f>IFERROR(__xludf.DUMMYFUNCTION("""COMPUTED_VALUE"""),4.0)</f>
        <v>4</v>
      </c>
      <c r="Z75" s="10">
        <f>IFERROR(__xludf.DUMMYFUNCTION("""COMPUTED_VALUE"""),0.0)</f>
        <v>0</v>
      </c>
      <c r="AA75" s="10">
        <f>IFERROR(__xludf.DUMMYFUNCTION("""COMPUTED_VALUE"""),8.0)</f>
        <v>8</v>
      </c>
      <c r="AB75" s="10">
        <f>IFERROR(__xludf.DUMMYFUNCTION("""COMPUTED_VALUE"""),7.0)</f>
        <v>7</v>
      </c>
      <c r="AC75" s="10">
        <f>IFERROR(__xludf.DUMMYFUNCTION("""COMPUTED_VALUE"""),1.0)</f>
        <v>1</v>
      </c>
      <c r="AD75" s="10">
        <f>IFERROR(__xludf.DUMMYFUNCTION("""COMPUTED_VALUE"""),1.0)</f>
        <v>1</v>
      </c>
      <c r="AE75" s="10">
        <f>IFERROR(__xludf.DUMMYFUNCTION("""COMPUTED_VALUE"""),4.0)</f>
        <v>4</v>
      </c>
      <c r="AF75" s="10">
        <f>IFERROR(__xludf.DUMMYFUNCTION("""COMPUTED_VALUE"""),7.0)</f>
        <v>7</v>
      </c>
      <c r="AG75" s="10">
        <f>IFERROR(__xludf.DUMMYFUNCTION("""COMPUTED_VALUE"""),8.0)</f>
        <v>8</v>
      </c>
      <c r="AH75" s="10">
        <f>IFERROR(__xludf.DUMMYFUNCTION("""COMPUTED_VALUE"""),1.0)</f>
        <v>1</v>
      </c>
      <c r="AI75" s="10">
        <f>IFERROR(__xludf.DUMMYFUNCTION("""COMPUTED_VALUE"""),3.0)</f>
        <v>3</v>
      </c>
      <c r="AJ75" s="11" t="str">
        <f>IFERROR(__xludf.DUMMYFUNCTION("""COMPUTED_VALUE"""),"https://docs.google.com/document/d/1VPYfcC_rCq8_go_lBR3RUVjPgYRlY8yW/edit?usp=drive_link&amp;ouid=117122465010506134151&amp;rtpof=true&amp;sd=true")</f>
        <v>https://docs.google.com/document/d/1VPYfcC_rCq8_go_lBR3RUVjPgYRlY8yW/edit?usp=drive_link&amp;ouid=117122465010506134151&amp;rtpof=true&amp;sd=true</v>
      </c>
      <c r="AK75" s="12" t="str">
        <f>IFERROR(__xludf.DUMMYFUNCTION("""COMPUTED_VALUE"""),"No")</f>
        <v>No</v>
      </c>
      <c r="AL75" s="12"/>
      <c r="AM75" s="12"/>
      <c r="AN75" s="12" t="str">
        <f>IFERROR(__xludf.DUMMYFUNCTION("""COMPUTED_VALUE"""),"week 2")</f>
        <v>week 2</v>
      </c>
      <c r="AO75" s="13">
        <v>2.0</v>
      </c>
      <c r="AX75" s="13"/>
    </row>
    <row r="76">
      <c r="A76" s="8">
        <v>75.0</v>
      </c>
      <c r="B76" s="9">
        <f>IFERROR(__xludf.DUMMYFUNCTION("""COMPUTED_VALUE"""),45711.936505624995)</f>
        <v>45711.93651</v>
      </c>
      <c r="C76" s="10" t="str">
        <f>IFERROR(__xludf.DUMMYFUNCTION("""COMPUTED_VALUE"""),"Muhammad saqib ")</f>
        <v>Muhammad saqib </v>
      </c>
      <c r="D76" s="10" t="str">
        <f>IFERROR(__xludf.DUMMYFUNCTION("""COMPUTED_VALUE"""),"03234041429")</f>
        <v>03234041429</v>
      </c>
      <c r="E76" s="10" t="str">
        <f>IFERROR(__xludf.DUMMYFUNCTION("""COMPUTED_VALUE"""),"Meeran hussain zanjani ")</f>
        <v>Meeran hussain zanjani </v>
      </c>
      <c r="F76" s="10" t="str">
        <f>IFERROR(__xludf.DUMMYFUNCTION("""COMPUTED_VALUE"""),"ljvby")</f>
        <v>ljvby</v>
      </c>
      <c r="G76" s="10" t="str">
        <f>IFERROR(__xludf.DUMMYFUNCTION("""COMPUTED_VALUE"""),"No")</f>
        <v>No</v>
      </c>
      <c r="H76" s="10"/>
      <c r="I76" s="10"/>
      <c r="J76" s="10"/>
      <c r="K76" s="10">
        <f>IFERROR(__xludf.DUMMYFUNCTION("""COMPUTED_VALUE"""),1.0)</f>
        <v>1</v>
      </c>
      <c r="L76" s="10">
        <f>IFERROR(__xludf.DUMMYFUNCTION("""COMPUTED_VALUE"""),4.0)</f>
        <v>4</v>
      </c>
      <c r="M76" s="10">
        <f>IFERROR(__xludf.DUMMYFUNCTION("""COMPUTED_VALUE"""),0.0)</f>
        <v>0</v>
      </c>
      <c r="N76" s="10">
        <f>IFERROR(__xludf.DUMMYFUNCTION("""COMPUTED_VALUE"""),2.0)</f>
        <v>2</v>
      </c>
      <c r="O76" s="10">
        <f>IFERROR(__xludf.DUMMYFUNCTION("""COMPUTED_VALUE"""),1.0)</f>
        <v>1</v>
      </c>
      <c r="P76" s="10">
        <f>IFERROR(__xludf.DUMMYFUNCTION("""COMPUTED_VALUE"""),5.0)</f>
        <v>5</v>
      </c>
      <c r="Q76" s="10" t="str">
        <f>IFERROR(__xludf.DUMMYFUNCTION("""COMPUTED_VALUE"""),"No")</f>
        <v>No</v>
      </c>
      <c r="R76" s="10" t="str">
        <f>IFERROR(__xludf.DUMMYFUNCTION("""COMPUTED_VALUE"""),"No")</f>
        <v>No</v>
      </c>
      <c r="S76" s="10" t="str">
        <f>IFERROR(__xludf.DUMMYFUNCTION("""COMPUTED_VALUE"""),"No")</f>
        <v>No</v>
      </c>
      <c r="T76" s="10">
        <f>IFERROR(__xludf.DUMMYFUNCTION("""COMPUTED_VALUE"""),1.0)</f>
        <v>1</v>
      </c>
      <c r="U76" s="10">
        <f>IFERROR(__xludf.DUMMYFUNCTION("""COMPUTED_VALUE"""),1.0)</f>
        <v>1</v>
      </c>
      <c r="V76" s="10" t="str">
        <f>IFERROR(__xludf.DUMMYFUNCTION("""COMPUTED_VALUE"""),"Tuba or rahamat")</f>
        <v>Tuba or rahamat</v>
      </c>
      <c r="W76" s="10" t="str">
        <f>IFERROR(__xludf.DUMMYFUNCTION("""COMPUTED_VALUE"""),"Toba or Allah ka fazal")</f>
        <v>Toba or Allah ka fazal</v>
      </c>
      <c r="X76" s="10">
        <f>IFERROR(__xludf.DUMMYFUNCTION("""COMPUTED_VALUE"""),3.0)</f>
        <v>3</v>
      </c>
      <c r="Y76" s="10">
        <f>IFERROR(__xludf.DUMMYFUNCTION("""COMPUTED_VALUE"""),3.0)</f>
        <v>3</v>
      </c>
      <c r="Z76" s="10">
        <f>IFERROR(__xludf.DUMMYFUNCTION("""COMPUTED_VALUE"""),2.0)</f>
        <v>2</v>
      </c>
      <c r="AA76" s="10">
        <f>IFERROR(__xludf.DUMMYFUNCTION("""COMPUTED_VALUE"""),5.0)</f>
        <v>5</v>
      </c>
      <c r="AB76" s="10">
        <f>IFERROR(__xludf.DUMMYFUNCTION("""COMPUTED_VALUE"""),4.0)</f>
        <v>4</v>
      </c>
      <c r="AC76" s="10">
        <f>IFERROR(__xludf.DUMMYFUNCTION("""COMPUTED_VALUE"""),0.0)</f>
        <v>0</v>
      </c>
      <c r="AD76" s="10">
        <f>IFERROR(__xludf.DUMMYFUNCTION("""COMPUTED_VALUE"""),1.0)</f>
        <v>1</v>
      </c>
      <c r="AE76" s="10">
        <f>IFERROR(__xludf.DUMMYFUNCTION("""COMPUTED_VALUE"""),3.0)</f>
        <v>3</v>
      </c>
      <c r="AF76" s="10">
        <f>IFERROR(__xludf.DUMMYFUNCTION("""COMPUTED_VALUE"""),8.0)</f>
        <v>8</v>
      </c>
      <c r="AG76" s="10">
        <f>IFERROR(__xludf.DUMMYFUNCTION("""COMPUTED_VALUE"""),8.0)</f>
        <v>8</v>
      </c>
      <c r="AH76" s="10">
        <f>IFERROR(__xludf.DUMMYFUNCTION("""COMPUTED_VALUE"""),1.0)</f>
        <v>1</v>
      </c>
      <c r="AI76" s="10">
        <f>IFERROR(__xludf.DUMMYFUNCTION("""COMPUTED_VALUE"""),9.0)</f>
        <v>9</v>
      </c>
      <c r="AJ76" s="11" t="str">
        <f>IFERROR(__xludf.DUMMYFUNCTION("""COMPUTED_VALUE"""),"https://docs.google.com/document/d/1Kkt_3Z_n1wYIynWDhr-fTwY5zhCm53Lv/edit?usp=drive_link&amp;ouid=117122465010506134151&amp;rtpof=true&amp;sd=true")</f>
        <v>https://docs.google.com/document/d/1Kkt_3Z_n1wYIynWDhr-fTwY5zhCm53Lv/edit?usp=drive_link&amp;ouid=117122465010506134151&amp;rtpof=true&amp;sd=true</v>
      </c>
      <c r="AK76" s="12" t="str">
        <f>IFERROR(__xludf.DUMMYFUNCTION("""COMPUTED_VALUE"""),"No")</f>
        <v>No</v>
      </c>
      <c r="AL76" s="12"/>
      <c r="AM76" s="12"/>
      <c r="AN76" s="12" t="str">
        <f>IFERROR(__xludf.DUMMYFUNCTION("""COMPUTED_VALUE"""),"week 3")</f>
        <v>week 3</v>
      </c>
      <c r="AO76" s="13">
        <v>3.0</v>
      </c>
      <c r="AX76" s="13"/>
    </row>
    <row r="77">
      <c r="A77" s="8">
        <v>76.0</v>
      </c>
      <c r="B77" s="9">
        <f>IFERROR(__xludf.DUMMYFUNCTION("""COMPUTED_VALUE"""),45711.941755520835)</f>
        <v>45711.94176</v>
      </c>
      <c r="C77" s="10" t="str">
        <f>IFERROR(__xludf.DUMMYFUNCTION("""COMPUTED_VALUE"""),"Muhammad saqib ")</f>
        <v>Muhammad saqib </v>
      </c>
      <c r="D77" s="10" t="str">
        <f>IFERROR(__xludf.DUMMYFUNCTION("""COMPUTED_VALUE"""),"03234041429")</f>
        <v>03234041429</v>
      </c>
      <c r="E77" s="10" t="str">
        <f>IFERROR(__xludf.DUMMYFUNCTION("""COMPUTED_VALUE"""),"Meeran hussain zanjani ")</f>
        <v>Meeran hussain zanjani </v>
      </c>
      <c r="F77" s="10" t="str">
        <f>IFERROR(__xludf.DUMMYFUNCTION("""COMPUTED_VALUE"""),"ljvby")</f>
        <v>ljvby</v>
      </c>
      <c r="G77" s="10" t="str">
        <f>IFERROR(__xludf.DUMMYFUNCTION("""COMPUTED_VALUE"""),"No")</f>
        <v>No</v>
      </c>
      <c r="H77" s="10"/>
      <c r="I77" s="10"/>
      <c r="J77" s="10"/>
      <c r="K77" s="10">
        <f>IFERROR(__xludf.DUMMYFUNCTION("""COMPUTED_VALUE"""),0.0)</f>
        <v>0</v>
      </c>
      <c r="L77" s="10">
        <f>IFERROR(__xludf.DUMMYFUNCTION("""COMPUTED_VALUE"""),0.0)</f>
        <v>0</v>
      </c>
      <c r="M77" s="10">
        <f>IFERROR(__xludf.DUMMYFUNCTION("""COMPUTED_VALUE"""),0.0)</f>
        <v>0</v>
      </c>
      <c r="N77" s="10">
        <f>IFERROR(__xludf.DUMMYFUNCTION("""COMPUTED_VALUE"""),0.0)</f>
        <v>0</v>
      </c>
      <c r="O77" s="10">
        <f>IFERROR(__xludf.DUMMYFUNCTION("""COMPUTED_VALUE"""),0.0)</f>
        <v>0</v>
      </c>
      <c r="P77" s="10">
        <f>IFERROR(__xludf.DUMMYFUNCTION("""COMPUTED_VALUE"""),1.0)</f>
        <v>1</v>
      </c>
      <c r="Q77" s="10" t="str">
        <f>IFERROR(__xludf.DUMMYFUNCTION("""COMPUTED_VALUE"""),"No")</f>
        <v>No</v>
      </c>
      <c r="R77" s="10" t="str">
        <f>IFERROR(__xludf.DUMMYFUNCTION("""COMPUTED_VALUE"""),"No")</f>
        <v>No</v>
      </c>
      <c r="S77" s="10" t="str">
        <f>IFERROR(__xludf.DUMMYFUNCTION("""COMPUTED_VALUE"""),"No")</f>
        <v>No</v>
      </c>
      <c r="T77" s="10">
        <f>IFERROR(__xludf.DUMMYFUNCTION("""COMPUTED_VALUE"""),1.0)</f>
        <v>1</v>
      </c>
      <c r="U77" s="10">
        <f>IFERROR(__xludf.DUMMYFUNCTION("""COMPUTED_VALUE"""),1.0)</f>
        <v>1</v>
      </c>
      <c r="V77" s="10" t="str">
        <f>IFERROR(__xludf.DUMMYFUNCTION("""COMPUTED_VALUE"""),"Mahe Ramzan ")</f>
        <v>Mahe Ramzan </v>
      </c>
      <c r="W77" s="10" t="str">
        <f>IFERROR(__xludf.DUMMYFUNCTION("""COMPUTED_VALUE"""),"Mahae Ramzan ke or taqwa")</f>
        <v>Mahae Ramzan ke or taqwa</v>
      </c>
      <c r="X77" s="10">
        <f>IFERROR(__xludf.DUMMYFUNCTION("""COMPUTED_VALUE"""),10.0)</f>
        <v>10</v>
      </c>
      <c r="Y77" s="10">
        <f>IFERROR(__xludf.DUMMYFUNCTION("""COMPUTED_VALUE"""),1.0)</f>
        <v>1</v>
      </c>
      <c r="Z77" s="10">
        <f>IFERROR(__xludf.DUMMYFUNCTION("""COMPUTED_VALUE"""),1.0)</f>
        <v>1</v>
      </c>
      <c r="AA77" s="10">
        <f>IFERROR(__xludf.DUMMYFUNCTION("""COMPUTED_VALUE"""),7.0)</f>
        <v>7</v>
      </c>
      <c r="AB77" s="10">
        <f>IFERROR(__xludf.DUMMYFUNCTION("""COMPUTED_VALUE"""),1.0)</f>
        <v>1</v>
      </c>
      <c r="AC77" s="10">
        <f>IFERROR(__xludf.DUMMYFUNCTION("""COMPUTED_VALUE"""),1.0)</f>
        <v>1</v>
      </c>
      <c r="AD77" s="10">
        <f>IFERROR(__xludf.DUMMYFUNCTION("""COMPUTED_VALUE"""),0.0)</f>
        <v>0</v>
      </c>
      <c r="AE77" s="10">
        <f>IFERROR(__xludf.DUMMYFUNCTION("""COMPUTED_VALUE"""),0.0)</f>
        <v>0</v>
      </c>
      <c r="AF77" s="10">
        <f>IFERROR(__xludf.DUMMYFUNCTION("""COMPUTED_VALUE"""),9.0)</f>
        <v>9</v>
      </c>
      <c r="AG77" s="10">
        <f>IFERROR(__xludf.DUMMYFUNCTION("""COMPUTED_VALUE"""),8.0)</f>
        <v>8</v>
      </c>
      <c r="AH77" s="10">
        <f>IFERROR(__xludf.DUMMYFUNCTION("""COMPUTED_VALUE"""),1.0)</f>
        <v>1</v>
      </c>
      <c r="AI77" s="10">
        <f>IFERROR(__xludf.DUMMYFUNCTION("""COMPUTED_VALUE"""),9.0)</f>
        <v>9</v>
      </c>
      <c r="AJ77" s="11" t="str">
        <f>IFERROR(__xludf.DUMMYFUNCTION("""COMPUTED_VALUE"""),"https://docs.google.com/document/d/13r8Zbf_8jk99BAE54mDQXbQm6bhDV5zJ/edit?usp=drive_web&amp;ouid=117122465010506134151&amp;rtpof=true")</f>
        <v>https://docs.google.com/document/d/13r8Zbf_8jk99BAE54mDQXbQm6bhDV5zJ/edit?usp=drive_web&amp;ouid=117122465010506134151&amp;rtpof=true</v>
      </c>
      <c r="AK77" s="12" t="str">
        <f>IFERROR(__xludf.DUMMYFUNCTION("""COMPUTED_VALUE"""),"No")</f>
        <v>No</v>
      </c>
      <c r="AL77" s="12"/>
      <c r="AM77" s="12"/>
      <c r="AN77" s="12" t="str">
        <f>IFERROR(__xludf.DUMMYFUNCTION("""COMPUTED_VALUE"""),"week 4")</f>
        <v>week 4</v>
      </c>
      <c r="AO77" s="13">
        <v>4.0</v>
      </c>
      <c r="AX77" s="13"/>
    </row>
    <row r="78">
      <c r="A78" s="8">
        <v>77.0</v>
      </c>
      <c r="B78" s="9">
        <f>IFERROR(__xludf.DUMMYFUNCTION("""COMPUTED_VALUE"""),45712.87168707176)</f>
        <v>45712.87169</v>
      </c>
      <c r="C78" s="10" t="str">
        <f>IFERROR(__xludf.DUMMYFUNCTION("""COMPUTED_VALUE"""),"Zaheer Butt ")</f>
        <v>Zaheer Butt </v>
      </c>
      <c r="D78" s="10" t="str">
        <f>IFERROR(__xludf.DUMMYFUNCTION("""COMPUTED_VALUE"""),"03217040700")</f>
        <v>03217040700</v>
      </c>
      <c r="E78" s="10" t="str">
        <f>IFERROR(__xludf.DUMMYFUNCTION("""COMPUTED_VALUE"""),"Takia saduwah Masjid Lahore ")</f>
        <v>Takia saduwah Masjid Lahore </v>
      </c>
      <c r="F78" s="10" t="str">
        <f>IFERROR(__xludf.DUMMYFUNCTION("""COMPUTED_VALUE"""),"TNRVG")</f>
        <v>TNRVG</v>
      </c>
      <c r="G78" s="10" t="str">
        <f>IFERROR(__xludf.DUMMYFUNCTION("""COMPUTED_VALUE"""),"Yes")</f>
        <v>Yes</v>
      </c>
      <c r="H78" s="10">
        <f>IFERROR(__xludf.DUMMYFUNCTION("""COMPUTED_VALUE"""),8.0)</f>
        <v>8</v>
      </c>
      <c r="I78" s="10">
        <f>IFERROR(__xludf.DUMMYFUNCTION("""COMPUTED_VALUE"""),1.0)</f>
        <v>1</v>
      </c>
      <c r="J78" s="10">
        <f>IFERROR(__xludf.DUMMYFUNCTION("""COMPUTED_VALUE"""),8.0)</f>
        <v>8</v>
      </c>
      <c r="K78" s="10">
        <f>IFERROR(__xludf.DUMMYFUNCTION("""COMPUTED_VALUE"""),0.0)</f>
        <v>0</v>
      </c>
      <c r="L78" s="10">
        <f>IFERROR(__xludf.DUMMYFUNCTION("""COMPUTED_VALUE"""),9.0)</f>
        <v>9</v>
      </c>
      <c r="M78" s="10">
        <f>IFERROR(__xludf.DUMMYFUNCTION("""COMPUTED_VALUE"""),0.0)</f>
        <v>0</v>
      </c>
      <c r="N78" s="10">
        <f>IFERROR(__xludf.DUMMYFUNCTION("""COMPUTED_VALUE"""),9.0)</f>
        <v>9</v>
      </c>
      <c r="O78" s="10">
        <f>IFERROR(__xludf.DUMMYFUNCTION("""COMPUTED_VALUE"""),0.0)</f>
        <v>0</v>
      </c>
      <c r="P78" s="10">
        <f>IFERROR(__xludf.DUMMYFUNCTION("""COMPUTED_VALUE"""),9.0)</f>
        <v>9</v>
      </c>
      <c r="Q78" s="10" t="str">
        <f>IFERROR(__xludf.DUMMYFUNCTION("""COMPUTED_VALUE"""),"No")</f>
        <v>No</v>
      </c>
      <c r="R78" s="10" t="str">
        <f>IFERROR(__xludf.DUMMYFUNCTION("""COMPUTED_VALUE"""),"Yes")</f>
        <v>Yes</v>
      </c>
      <c r="S78" s="10" t="str">
        <f>IFERROR(__xludf.DUMMYFUNCTION("""COMPUTED_VALUE"""),"No")</f>
        <v>No</v>
      </c>
      <c r="T78" s="10">
        <f>IFERROR(__xludf.DUMMYFUNCTION("""COMPUTED_VALUE"""),0.0)</f>
        <v>0</v>
      </c>
      <c r="U78" s="10">
        <f>IFERROR(__xludf.DUMMYFUNCTION("""COMPUTED_VALUE"""),0.0)</f>
        <v>0</v>
      </c>
      <c r="V78" s="10" t="str">
        <f>IFERROR(__xludf.DUMMYFUNCTION("""COMPUTED_VALUE"""),"Makhlok k haqooq ")</f>
        <v>Makhlok k haqooq </v>
      </c>
      <c r="W78" s="10" t="str">
        <f>IFERROR(__xludf.DUMMYFUNCTION("""COMPUTED_VALUE"""),"Allah ki Raza hasil kerna")</f>
        <v>Allah ki Raza hasil kerna</v>
      </c>
      <c r="X78" s="10">
        <f>IFERROR(__xludf.DUMMYFUNCTION("""COMPUTED_VALUE"""),2.0)</f>
        <v>2</v>
      </c>
      <c r="Y78" s="10">
        <f>IFERROR(__xludf.DUMMYFUNCTION("""COMPUTED_VALUE"""),9.0)</f>
        <v>9</v>
      </c>
      <c r="Z78" s="10">
        <f>IFERROR(__xludf.DUMMYFUNCTION("""COMPUTED_VALUE"""),8.0)</f>
        <v>8</v>
      </c>
      <c r="AA78" s="10">
        <f>IFERROR(__xludf.DUMMYFUNCTION("""COMPUTED_VALUE"""),7.0)</f>
        <v>7</v>
      </c>
      <c r="AB78" s="10">
        <f>IFERROR(__xludf.DUMMYFUNCTION("""COMPUTED_VALUE"""),8.0)</f>
        <v>8</v>
      </c>
      <c r="AC78" s="10">
        <f>IFERROR(__xludf.DUMMYFUNCTION("""COMPUTED_VALUE"""),0.0)</f>
        <v>0</v>
      </c>
      <c r="AD78" s="10">
        <f>IFERROR(__xludf.DUMMYFUNCTION("""COMPUTED_VALUE"""),7.0)</f>
        <v>7</v>
      </c>
      <c r="AE78" s="10">
        <f>IFERROR(__xludf.DUMMYFUNCTION("""COMPUTED_VALUE"""),3.0)</f>
        <v>3</v>
      </c>
      <c r="AF78" s="10">
        <f>IFERROR(__xludf.DUMMYFUNCTION("""COMPUTED_VALUE"""),7.0)</f>
        <v>7</v>
      </c>
      <c r="AG78" s="10">
        <f>IFERROR(__xludf.DUMMYFUNCTION("""COMPUTED_VALUE"""),7.0)</f>
        <v>7</v>
      </c>
      <c r="AH78" s="10">
        <f>IFERROR(__xludf.DUMMYFUNCTION("""COMPUTED_VALUE"""),0.0)</f>
        <v>0</v>
      </c>
      <c r="AI78" s="10">
        <f>IFERROR(__xludf.DUMMYFUNCTION("""COMPUTED_VALUE"""),7.0)</f>
        <v>7</v>
      </c>
      <c r="AJ78" s="11" t="str">
        <f>IFERROR(__xludf.DUMMYFUNCTION("""COMPUTED_VALUE"""),"https://drive.google.com/open?id=1O-jrTkJjTHPkRuVWPVjfObbLTM1FklTf")</f>
        <v>https://drive.google.com/open?id=1O-jrTkJjTHPkRuVWPVjfObbLTM1FklTf</v>
      </c>
      <c r="AK78" s="12"/>
      <c r="AL78" s="12"/>
      <c r="AM78" s="12"/>
      <c r="AN78" s="12"/>
      <c r="AO78" s="13"/>
      <c r="AX78" s="13"/>
    </row>
    <row r="79">
      <c r="A79" s="8">
        <v>78.0</v>
      </c>
      <c r="B79" s="9">
        <f>IFERROR(__xludf.DUMMYFUNCTION("""COMPUTED_VALUE"""),45713.46938591435)</f>
        <v>45713.46939</v>
      </c>
      <c r="C79" s="10" t="str">
        <f>IFERROR(__xludf.DUMMYFUNCTION("""COMPUTED_VALUE"""),"Ali usman ")</f>
        <v>Ali usman </v>
      </c>
      <c r="D79" s="10" t="str">
        <f>IFERROR(__xludf.DUMMYFUNCTION("""COMPUTED_VALUE"""),"03035218874")</f>
        <v>03035218874</v>
      </c>
      <c r="E79" s="10" t="str">
        <f>IFERROR(__xludf.DUMMYFUNCTION("""COMPUTED_VALUE"""),"  Jamia Masjid Musafir Khana Ghari Shah Lahore        Maulana Mahboob Hussain        3006911574")</f>
        <v>  Jamia Masjid Musafir Khana Ghari Shah Lahore        Maulana Mahboob Hussain        3006911574</v>
      </c>
      <c r="F79" s="10" t="str">
        <f>IFERROR(__xludf.DUMMYFUNCTION("""COMPUTED_VALUE"""),"emotn")</f>
        <v>emotn</v>
      </c>
      <c r="G79" s="10" t="str">
        <f>IFERROR(__xludf.DUMMYFUNCTION("""COMPUTED_VALUE"""),"Yes")</f>
        <v>Yes</v>
      </c>
      <c r="H79" s="10">
        <f>IFERROR(__xludf.DUMMYFUNCTION("""COMPUTED_VALUE"""),4.0)</f>
        <v>4</v>
      </c>
      <c r="I79" s="10">
        <f>IFERROR(__xludf.DUMMYFUNCTION("""COMPUTED_VALUE"""),8.0)</f>
        <v>8</v>
      </c>
      <c r="J79" s="10">
        <f>IFERROR(__xludf.DUMMYFUNCTION("""COMPUTED_VALUE"""),3.0)</f>
        <v>3</v>
      </c>
      <c r="K79" s="10">
        <f>IFERROR(__xludf.DUMMYFUNCTION("""COMPUTED_VALUE"""),7.0)</f>
        <v>7</v>
      </c>
      <c r="L79" s="10">
        <f>IFERROR(__xludf.DUMMYFUNCTION("""COMPUTED_VALUE"""),1.0)</f>
        <v>1</v>
      </c>
      <c r="M79" s="10">
        <f>IFERROR(__xludf.DUMMYFUNCTION("""COMPUTED_VALUE"""),1.0)</f>
        <v>1</v>
      </c>
      <c r="N79" s="10">
        <f>IFERROR(__xludf.DUMMYFUNCTION("""COMPUTED_VALUE"""),1.0)</f>
        <v>1</v>
      </c>
      <c r="O79" s="10">
        <f>IFERROR(__xludf.DUMMYFUNCTION("""COMPUTED_VALUE"""),1.0)</f>
        <v>1</v>
      </c>
      <c r="P79" s="10">
        <f>IFERROR(__xludf.DUMMYFUNCTION("""COMPUTED_VALUE"""),0.0)</f>
        <v>0</v>
      </c>
      <c r="Q79" s="10" t="str">
        <f>IFERROR(__xludf.DUMMYFUNCTION("""COMPUTED_VALUE"""),"No")</f>
        <v>No</v>
      </c>
      <c r="R79" s="10" t="str">
        <f>IFERROR(__xludf.DUMMYFUNCTION("""COMPUTED_VALUE"""),"No")</f>
        <v>No</v>
      </c>
      <c r="S79" s="10" t="str">
        <f>IFERROR(__xludf.DUMMYFUNCTION("""COMPUTED_VALUE"""),"No")</f>
        <v>No</v>
      </c>
      <c r="T79" s="10">
        <f>IFERROR(__xludf.DUMMYFUNCTION("""COMPUTED_VALUE"""),4.0)</f>
        <v>4</v>
      </c>
      <c r="U79" s="10">
        <f>IFERROR(__xludf.DUMMYFUNCTION("""COMPUTED_VALUE"""),0.0)</f>
        <v>0</v>
      </c>
      <c r="V79" s="10" t="str">
        <f>IFERROR(__xludf.DUMMYFUNCTION("""COMPUTED_VALUE"""),"Shabe barat aur hatam tai ki beti ki aur Kuch aurat o k bare me")</f>
        <v>Shabe barat aur hatam tai ki beti ki aur Kuch aurat o k bare me</v>
      </c>
      <c r="W79" s="10" t="str">
        <f>IFERROR(__xludf.DUMMYFUNCTION("""COMPUTED_VALUE"""),"Hatam tai ki beti se salook Jo hazoor pak saw ne kiya aur shabe barat ki ")</f>
        <v>Hatam tai ki beti se salook Jo hazoor pak saw ne kiya aur shabe barat ki </v>
      </c>
      <c r="X79" s="10">
        <f>IFERROR(__xludf.DUMMYFUNCTION("""COMPUTED_VALUE"""),1.0)</f>
        <v>1</v>
      </c>
      <c r="Y79" s="10">
        <f>IFERROR(__xludf.DUMMYFUNCTION("""COMPUTED_VALUE"""),0.0)</f>
        <v>0</v>
      </c>
      <c r="Z79" s="10">
        <f>IFERROR(__xludf.DUMMYFUNCTION("""COMPUTED_VALUE"""),3.0)</f>
        <v>3</v>
      </c>
      <c r="AA79" s="10">
        <f>IFERROR(__xludf.DUMMYFUNCTION("""COMPUTED_VALUE"""),8.0)</f>
        <v>8</v>
      </c>
      <c r="AB79" s="10">
        <f>IFERROR(__xludf.DUMMYFUNCTION("""COMPUTED_VALUE"""),5.0)</f>
        <v>5</v>
      </c>
      <c r="AC79" s="10">
        <f>IFERROR(__xludf.DUMMYFUNCTION("""COMPUTED_VALUE"""),0.0)</f>
        <v>0</v>
      </c>
      <c r="AD79" s="10">
        <f>IFERROR(__xludf.DUMMYFUNCTION("""COMPUTED_VALUE"""),0.0)</f>
        <v>0</v>
      </c>
      <c r="AE79" s="10">
        <f>IFERROR(__xludf.DUMMYFUNCTION("""COMPUTED_VALUE"""),0.0)</f>
        <v>0</v>
      </c>
      <c r="AF79" s="10">
        <f>IFERROR(__xludf.DUMMYFUNCTION("""COMPUTED_VALUE"""),5.0)</f>
        <v>5</v>
      </c>
      <c r="AG79" s="10">
        <f>IFERROR(__xludf.DUMMYFUNCTION("""COMPUTED_VALUE"""),7.0)</f>
        <v>7</v>
      </c>
      <c r="AH79" s="10">
        <f>IFERROR(__xludf.DUMMYFUNCTION("""COMPUTED_VALUE"""),0.0)</f>
        <v>0</v>
      </c>
      <c r="AI79" s="10">
        <f>IFERROR(__xludf.DUMMYFUNCTION("""COMPUTED_VALUE"""),4.0)</f>
        <v>4</v>
      </c>
      <c r="AJ79" s="11" t="str">
        <f>IFERROR(__xludf.DUMMYFUNCTION("""COMPUTED_VALUE"""),"https://docs.google.com/document/d/1H17gw86SdmWkP0AqXVMsOc0t5vSWYHgn/edit")</f>
        <v>https://docs.google.com/document/d/1H17gw86SdmWkP0AqXVMsOc0t5vSWYHgn/edit</v>
      </c>
      <c r="AK79" s="12" t="str">
        <f>IFERROR(__xludf.DUMMYFUNCTION("""COMPUTED_VALUE"""),"No")</f>
        <v>No</v>
      </c>
      <c r="AL79" s="12"/>
      <c r="AM79" s="12"/>
      <c r="AN79" s="12"/>
      <c r="AO79" s="13">
        <v>2.0</v>
      </c>
      <c r="AX79" s="13"/>
    </row>
    <row r="80">
      <c r="A80" s="8">
        <v>79.0</v>
      </c>
      <c r="B80" s="9">
        <f>IFERROR(__xludf.DUMMYFUNCTION("""COMPUTED_VALUE"""),45713.612573356484)</f>
        <v>45713.61257</v>
      </c>
      <c r="C80" s="10" t="str">
        <f>IFERROR(__xludf.DUMMYFUNCTION("""COMPUTED_VALUE"""),"Maham")</f>
        <v>Maham</v>
      </c>
      <c r="D80" s="10" t="str">
        <f>IFERROR(__xludf.DUMMYFUNCTION("""COMPUTED_VALUE"""),"03218118680")</f>
        <v>03218118680</v>
      </c>
      <c r="E80" s="10" t="str">
        <f>IFERROR(__xludf.DUMMYFUNCTION("""COMPUTED_VALUE"""),"Sermon 1 Jamia Masjid Sheer Shah wali Lahore")</f>
        <v>Sermon 1 Jamia Masjid Sheer Shah wali Lahore</v>
      </c>
      <c r="F80" s="10" t="str">
        <f>IFERROR(__xludf.DUMMYFUNCTION("""COMPUTED_VALUE"""),"Gtfgm")</f>
        <v>Gtfgm</v>
      </c>
      <c r="G80" s="10" t="str">
        <f>IFERROR(__xludf.DUMMYFUNCTION("""COMPUTED_VALUE"""),"Yes")</f>
        <v>Yes</v>
      </c>
      <c r="H80" s="10">
        <f>IFERROR(__xludf.DUMMYFUNCTION("""COMPUTED_VALUE"""),8.0)</f>
        <v>8</v>
      </c>
      <c r="I80" s="10">
        <f>IFERROR(__xludf.DUMMYFUNCTION("""COMPUTED_VALUE"""),5.0)</f>
        <v>5</v>
      </c>
      <c r="J80" s="10">
        <f>IFERROR(__xludf.DUMMYFUNCTION("""COMPUTED_VALUE"""),5.0)</f>
        <v>5</v>
      </c>
      <c r="K80" s="10">
        <f>IFERROR(__xludf.DUMMYFUNCTION("""COMPUTED_VALUE"""),0.0)</f>
        <v>0</v>
      </c>
      <c r="L80" s="10">
        <f>IFERROR(__xludf.DUMMYFUNCTION("""COMPUTED_VALUE"""),0.0)</f>
        <v>0</v>
      </c>
      <c r="M80" s="10">
        <f>IFERROR(__xludf.DUMMYFUNCTION("""COMPUTED_VALUE"""),0.0)</f>
        <v>0</v>
      </c>
      <c r="N80" s="10">
        <f>IFERROR(__xludf.DUMMYFUNCTION("""COMPUTED_VALUE"""),0.0)</f>
        <v>0</v>
      </c>
      <c r="O80" s="10">
        <f>IFERROR(__xludf.DUMMYFUNCTION("""COMPUTED_VALUE"""),0.0)</f>
        <v>0</v>
      </c>
      <c r="P80" s="10">
        <f>IFERROR(__xludf.DUMMYFUNCTION("""COMPUTED_VALUE"""),0.0)</f>
        <v>0</v>
      </c>
      <c r="Q80" s="10" t="str">
        <f>IFERROR(__xludf.DUMMYFUNCTION("""COMPUTED_VALUE"""),"No")</f>
        <v>No</v>
      </c>
      <c r="R80" s="10" t="str">
        <f>IFERROR(__xludf.DUMMYFUNCTION("""COMPUTED_VALUE"""),"No")</f>
        <v>No</v>
      </c>
      <c r="S80" s="10" t="str">
        <f>IFERROR(__xludf.DUMMYFUNCTION("""COMPUTED_VALUE"""),"Yes")</f>
        <v>Yes</v>
      </c>
      <c r="T80" s="10">
        <f>IFERROR(__xludf.DUMMYFUNCTION("""COMPUTED_VALUE"""),0.0)</f>
        <v>0</v>
      </c>
      <c r="U80" s="10">
        <f>IFERROR(__xludf.DUMMYFUNCTION("""COMPUTED_VALUE"""),0.0)</f>
        <v>0</v>
      </c>
      <c r="V80" s="10" t="str">
        <f>IFERROR(__xludf.DUMMYFUNCTION("""COMPUTED_VALUE"""),"شعبان اور رمضان المبارک کی اہمیت قران مجید کی اہمیت و صفات")</f>
        <v>شعبان اور رمضان المبارک کی اہمیت قران مجید کی اہمیت و صفات</v>
      </c>
      <c r="W80" s="10" t="str">
        <f>IFERROR(__xludf.DUMMYFUNCTION("""COMPUTED_VALUE"""),"امام صاحب نے شعبان کے مہینے کی برکتیں اور رمضان المبارک کی تیاریوں پر گفتگو کی اور قرآن مجید کی صفات کو بیان کیا گیا اور قران مجید کو حق و باطل میں فرق کرنے والی کتاب بھی کہا گیا اور انسانوں کے لیے قیامت تک رہنمائی کا ذریعہ بھی قرآن مجید ہے")</f>
        <v>امام صاحب نے شعبان کے مہینے کی برکتیں اور رمضان المبارک کی تیاریوں پر گفتگو کی اور قرآن مجید کی صفات کو بیان کیا گیا اور قران مجید کو حق و باطل میں فرق کرنے والی کتاب بھی کہا گیا اور انسانوں کے لیے قیامت تک رہنمائی کا ذریعہ بھی قرآن مجید ہے</v>
      </c>
      <c r="X80" s="10">
        <f>IFERROR(__xludf.DUMMYFUNCTION("""COMPUTED_VALUE"""),8.0)</f>
        <v>8</v>
      </c>
      <c r="Y80" s="10">
        <f>IFERROR(__xludf.DUMMYFUNCTION("""COMPUTED_VALUE"""),2.0)</f>
        <v>2</v>
      </c>
      <c r="Z80" s="10">
        <f>IFERROR(__xludf.DUMMYFUNCTION("""COMPUTED_VALUE"""),2.0)</f>
        <v>2</v>
      </c>
      <c r="AA80" s="10">
        <f>IFERROR(__xludf.DUMMYFUNCTION("""COMPUTED_VALUE"""),10.0)</f>
        <v>10</v>
      </c>
      <c r="AB80" s="10">
        <f>IFERROR(__xludf.DUMMYFUNCTION("""COMPUTED_VALUE"""),0.0)</f>
        <v>0</v>
      </c>
      <c r="AC80" s="10">
        <f>IFERROR(__xludf.DUMMYFUNCTION("""COMPUTED_VALUE"""),0.0)</f>
        <v>0</v>
      </c>
      <c r="AD80" s="10">
        <f>IFERROR(__xludf.DUMMYFUNCTION("""COMPUTED_VALUE"""),0.0)</f>
        <v>0</v>
      </c>
      <c r="AE80" s="10">
        <f>IFERROR(__xludf.DUMMYFUNCTION("""COMPUTED_VALUE"""),0.0)</f>
        <v>0</v>
      </c>
      <c r="AF80" s="10">
        <f>IFERROR(__xludf.DUMMYFUNCTION("""COMPUTED_VALUE"""),10.0)</f>
        <v>10</v>
      </c>
      <c r="AG80" s="10">
        <f>IFERROR(__xludf.DUMMYFUNCTION("""COMPUTED_VALUE"""),10.0)</f>
        <v>10</v>
      </c>
      <c r="AH80" s="10">
        <f>IFERROR(__xludf.DUMMYFUNCTION("""COMPUTED_VALUE"""),0.0)</f>
        <v>0</v>
      </c>
      <c r="AI80" s="10">
        <f>IFERROR(__xludf.DUMMYFUNCTION("""COMPUTED_VALUE"""),10.0)</f>
        <v>10</v>
      </c>
      <c r="AJ80" s="11" t="str">
        <f>IFERROR(__xludf.DUMMYFUNCTION("""COMPUTED_VALUE"""),"https://drive.google.com/open?id=1Bh16WjXasnT6y4TMuYsI0neL05hnSHrd")</f>
        <v>https://drive.google.com/open?id=1Bh16WjXasnT6y4TMuYsI0neL05hnSHrd</v>
      </c>
      <c r="AK80" s="12">
        <f>IFERROR(__xludf.DUMMYFUNCTION("""COMPUTED_VALUE"""),0.0)</f>
        <v>0</v>
      </c>
      <c r="AL80" s="12"/>
      <c r="AM80" s="12"/>
      <c r="AN80" s="12"/>
      <c r="AO80" s="13">
        <v>1.0</v>
      </c>
      <c r="AX80" s="13"/>
    </row>
    <row r="81">
      <c r="A81" s="8">
        <v>80.0</v>
      </c>
      <c r="B81" s="9">
        <f>IFERROR(__xludf.DUMMYFUNCTION("""COMPUTED_VALUE"""),45713.647217164355)</f>
        <v>45713.64722</v>
      </c>
      <c r="C81" s="10" t="str">
        <f>IFERROR(__xludf.DUMMYFUNCTION("""COMPUTED_VALUE"""),"Sheheryar Ahmad")</f>
        <v>Sheheryar Ahmad</v>
      </c>
      <c r="D81" s="10" t="str">
        <f>IFERROR(__xludf.DUMMYFUNCTION("""COMPUTED_VALUE"""),"03194458854")</f>
        <v>03194458854</v>
      </c>
      <c r="E81" s="10" t="str">
        <f>IFERROR(__xludf.DUMMYFUNCTION("""COMPUTED_VALUE"""),"Peshawari masjid")</f>
        <v>Peshawari masjid</v>
      </c>
      <c r="F81" s="10" t="str">
        <f>IFERROR(__xludf.DUMMYFUNCTION("""COMPUTED_VALUE"""),"TELOU")</f>
        <v>TELOU</v>
      </c>
      <c r="G81" s="10" t="str">
        <f>IFERROR(__xludf.DUMMYFUNCTION("""COMPUTED_VALUE"""),"Yes")</f>
        <v>Yes</v>
      </c>
      <c r="H81" s="10">
        <f>IFERROR(__xludf.DUMMYFUNCTION("""COMPUTED_VALUE"""),9.0)</f>
        <v>9</v>
      </c>
      <c r="I81" s="10">
        <f>IFERROR(__xludf.DUMMYFUNCTION("""COMPUTED_VALUE"""),1.0)</f>
        <v>1</v>
      </c>
      <c r="J81" s="10">
        <f>IFERROR(__xludf.DUMMYFUNCTION("""COMPUTED_VALUE"""),9.0)</f>
        <v>9</v>
      </c>
      <c r="K81" s="10">
        <f>IFERROR(__xludf.DUMMYFUNCTION("""COMPUTED_VALUE"""),10.0)</f>
        <v>10</v>
      </c>
      <c r="L81" s="10">
        <f>IFERROR(__xludf.DUMMYFUNCTION("""COMPUTED_VALUE"""),0.0)</f>
        <v>0</v>
      </c>
      <c r="M81" s="10">
        <f>IFERROR(__xludf.DUMMYFUNCTION("""COMPUTED_VALUE"""),10.0)</f>
        <v>10</v>
      </c>
      <c r="N81" s="10">
        <f>IFERROR(__xludf.DUMMYFUNCTION("""COMPUTED_VALUE"""),0.0)</f>
        <v>0</v>
      </c>
      <c r="O81" s="10">
        <f>IFERROR(__xludf.DUMMYFUNCTION("""COMPUTED_VALUE"""),10.0)</f>
        <v>10</v>
      </c>
      <c r="P81" s="10">
        <f>IFERROR(__xludf.DUMMYFUNCTION("""COMPUTED_VALUE"""),0.0)</f>
        <v>0</v>
      </c>
      <c r="Q81" s="10" t="str">
        <f>IFERROR(__xludf.DUMMYFUNCTION("""COMPUTED_VALUE"""),"Yes")</f>
        <v>Yes</v>
      </c>
      <c r="R81" s="10" t="str">
        <f>IFERROR(__xludf.DUMMYFUNCTION("""COMPUTED_VALUE"""),"No")</f>
        <v>No</v>
      </c>
      <c r="S81" s="10" t="str">
        <f>IFERROR(__xludf.DUMMYFUNCTION("""COMPUTED_VALUE"""),"Yes")</f>
        <v>Yes</v>
      </c>
      <c r="T81" s="10">
        <f>IFERROR(__xludf.DUMMYFUNCTION("""COMPUTED_VALUE"""),0.0)</f>
        <v>0</v>
      </c>
      <c r="U81" s="10">
        <f>IFERROR(__xludf.DUMMYFUNCTION("""COMPUTED_VALUE"""),0.0)</f>
        <v>0</v>
      </c>
      <c r="V81" s="10" t="str">
        <f>IFERROR(__xludf.DUMMYFUNCTION("""COMPUTED_VALUE"""),"Women rights in Islam")</f>
        <v>Women rights in Islam</v>
      </c>
      <c r="W81" s="10" t="str">
        <f>IFERROR(__xludf.DUMMYFUNCTION("""COMPUTED_VALUE"""),"Aurto ki respect krain, society main apna moqam dain, education dain ")</f>
        <v>Aurto ki respect krain, society main apna moqam dain, education dain </v>
      </c>
      <c r="X81" s="10">
        <f>IFERROR(__xludf.DUMMYFUNCTION("""COMPUTED_VALUE"""),0.0)</f>
        <v>0</v>
      </c>
      <c r="Y81" s="10">
        <f>IFERROR(__xludf.DUMMYFUNCTION("""COMPUTED_VALUE"""),0.0)</f>
        <v>0</v>
      </c>
      <c r="Z81" s="10">
        <f>IFERROR(__xludf.DUMMYFUNCTION("""COMPUTED_VALUE"""),0.0)</f>
        <v>0</v>
      </c>
      <c r="AA81" s="10">
        <f>IFERROR(__xludf.DUMMYFUNCTION("""COMPUTED_VALUE"""),0.0)</f>
        <v>0</v>
      </c>
      <c r="AB81" s="10">
        <f>IFERROR(__xludf.DUMMYFUNCTION("""COMPUTED_VALUE"""),0.0)</f>
        <v>0</v>
      </c>
      <c r="AC81" s="10">
        <f>IFERROR(__xludf.DUMMYFUNCTION("""COMPUTED_VALUE"""),0.0)</f>
        <v>0</v>
      </c>
      <c r="AD81" s="10">
        <f>IFERROR(__xludf.DUMMYFUNCTION("""COMPUTED_VALUE"""),0.0)</f>
        <v>0</v>
      </c>
      <c r="AE81" s="10">
        <f>IFERROR(__xludf.DUMMYFUNCTION("""COMPUTED_VALUE"""),0.0)</f>
        <v>0</v>
      </c>
      <c r="AF81" s="10">
        <f>IFERROR(__xludf.DUMMYFUNCTION("""COMPUTED_VALUE"""),10.0)</f>
        <v>10</v>
      </c>
      <c r="AG81" s="10">
        <f>IFERROR(__xludf.DUMMYFUNCTION("""COMPUTED_VALUE"""),10.0)</f>
        <v>10</v>
      </c>
      <c r="AH81" s="10">
        <f>IFERROR(__xludf.DUMMYFUNCTION("""COMPUTED_VALUE"""),0.0)</f>
        <v>0</v>
      </c>
      <c r="AI81" s="10">
        <f>IFERROR(__xludf.DUMMYFUNCTION("""COMPUTED_VALUE"""),10.0)</f>
        <v>10</v>
      </c>
      <c r="AJ81" s="11" t="str">
        <f>IFERROR(__xludf.DUMMYFUNCTION("""COMPUTED_VALUE"""),"https://drive.google.com/open?id=1rU5FSiyoLNqB2BYbIashm7K1E_1xOG5T")</f>
        <v>https://drive.google.com/open?id=1rU5FSiyoLNqB2BYbIashm7K1E_1xOG5T</v>
      </c>
      <c r="AK81" s="12"/>
      <c r="AL81" s="12"/>
      <c r="AM81" s="12"/>
      <c r="AN81" s="12"/>
      <c r="AO81" s="13">
        <v>2.0</v>
      </c>
      <c r="AX81" s="13"/>
    </row>
    <row r="82">
      <c r="A82" s="8">
        <v>81.0</v>
      </c>
      <c r="B82" s="9">
        <f>IFERROR(__xludf.DUMMYFUNCTION("""COMPUTED_VALUE"""),45716.27664232639)</f>
        <v>45716.27664</v>
      </c>
      <c r="C82" s="10" t="str">
        <f>IFERROR(__xludf.DUMMYFUNCTION("""COMPUTED_VALUE"""),"Shakeela ")</f>
        <v>Shakeela </v>
      </c>
      <c r="D82" s="10" t="str">
        <f>IFERROR(__xludf.DUMMYFUNCTION("""COMPUTED_VALUE"""),"03359485820")</f>
        <v>03359485820</v>
      </c>
      <c r="E82" s="10" t="str">
        <f>IFERROR(__xludf.DUMMYFUNCTION("""COMPUTED_VALUE"""),"Sermon 2Jamia masjid sher shah wali")</f>
        <v>Sermon 2Jamia masjid sher shah wali</v>
      </c>
      <c r="F82" s="10" t="str">
        <f>IFERROR(__xludf.DUMMYFUNCTION("""COMPUTED_VALUE"""),"Gtfgm")</f>
        <v>Gtfgm</v>
      </c>
      <c r="G82" s="10" t="str">
        <f>IFERROR(__xludf.DUMMYFUNCTION("""COMPUTED_VALUE"""),"No")</f>
        <v>No</v>
      </c>
      <c r="H82" s="10"/>
      <c r="I82" s="10"/>
      <c r="J82" s="10"/>
      <c r="K82" s="10">
        <f>IFERROR(__xludf.DUMMYFUNCTION("""COMPUTED_VALUE"""),0.0)</f>
        <v>0</v>
      </c>
      <c r="L82" s="10">
        <f>IFERROR(__xludf.DUMMYFUNCTION("""COMPUTED_VALUE"""),0.0)</f>
        <v>0</v>
      </c>
      <c r="M82" s="10">
        <f>IFERROR(__xludf.DUMMYFUNCTION("""COMPUTED_VALUE"""),0.0)</f>
        <v>0</v>
      </c>
      <c r="N82" s="10">
        <f>IFERROR(__xludf.DUMMYFUNCTION("""COMPUTED_VALUE"""),0.0)</f>
        <v>0</v>
      </c>
      <c r="O82" s="10">
        <f>IFERROR(__xludf.DUMMYFUNCTION("""COMPUTED_VALUE"""),0.0)</f>
        <v>0</v>
      </c>
      <c r="P82" s="10">
        <f>IFERROR(__xludf.DUMMYFUNCTION("""COMPUTED_VALUE"""),0.0)</f>
        <v>0</v>
      </c>
      <c r="Q82" s="10" t="str">
        <f>IFERROR(__xludf.DUMMYFUNCTION("""COMPUTED_VALUE"""),"No")</f>
        <v>No</v>
      </c>
      <c r="R82" s="10" t="str">
        <f>IFERROR(__xludf.DUMMYFUNCTION("""COMPUTED_VALUE"""),"No")</f>
        <v>No</v>
      </c>
      <c r="S82" s="10" t="str">
        <f>IFERROR(__xludf.DUMMYFUNCTION("""COMPUTED_VALUE"""),"No")</f>
        <v>No</v>
      </c>
      <c r="T82" s="10">
        <f>IFERROR(__xludf.DUMMYFUNCTION("""COMPUTED_VALUE"""),0.0)</f>
        <v>0</v>
      </c>
      <c r="U82" s="10">
        <f>IFERROR(__xludf.DUMMYFUNCTION("""COMPUTED_VALUE"""),0.0)</f>
        <v>0</v>
      </c>
      <c r="V82" s="10" t="str">
        <f>IFERROR(__xludf.DUMMYFUNCTION("""COMPUTED_VALUE"""),"Rozy ki ahmiat")</f>
        <v>Rozy ki ahmiat</v>
      </c>
      <c r="W82" s="10" t="str">
        <f>IFERROR(__xludf.DUMMYFUNCTION("""COMPUTED_VALUE"""),"Rozy ki ahmiat")</f>
        <v>Rozy ki ahmiat</v>
      </c>
      <c r="X82" s="10">
        <f>IFERROR(__xludf.DUMMYFUNCTION("""COMPUTED_VALUE"""),6.0)</f>
        <v>6</v>
      </c>
      <c r="Y82" s="10">
        <f>IFERROR(__xludf.DUMMYFUNCTION("""COMPUTED_VALUE"""),0.0)</f>
        <v>0</v>
      </c>
      <c r="Z82" s="10">
        <f>IFERROR(__xludf.DUMMYFUNCTION("""COMPUTED_VALUE"""),4.0)</f>
        <v>4</v>
      </c>
      <c r="AA82" s="10">
        <f>IFERROR(__xludf.DUMMYFUNCTION("""COMPUTED_VALUE"""),7.0)</f>
        <v>7</v>
      </c>
      <c r="AB82" s="10">
        <f>IFERROR(__xludf.DUMMYFUNCTION("""COMPUTED_VALUE"""),4.0)</f>
        <v>4</v>
      </c>
      <c r="AC82" s="10">
        <f>IFERROR(__xludf.DUMMYFUNCTION("""COMPUTED_VALUE"""),0.0)</f>
        <v>0</v>
      </c>
      <c r="AD82" s="10">
        <f>IFERROR(__xludf.DUMMYFUNCTION("""COMPUTED_VALUE"""),4.0)</f>
        <v>4</v>
      </c>
      <c r="AE82" s="10">
        <f>IFERROR(__xludf.DUMMYFUNCTION("""COMPUTED_VALUE"""),0.0)</f>
        <v>0</v>
      </c>
      <c r="AF82" s="10">
        <f>IFERROR(__xludf.DUMMYFUNCTION("""COMPUTED_VALUE"""),6.0)</f>
        <v>6</v>
      </c>
      <c r="AG82" s="10">
        <f>IFERROR(__xludf.DUMMYFUNCTION("""COMPUTED_VALUE"""),4.0)</f>
        <v>4</v>
      </c>
      <c r="AH82" s="10">
        <f>IFERROR(__xludf.DUMMYFUNCTION("""COMPUTED_VALUE"""),0.0)</f>
        <v>0</v>
      </c>
      <c r="AI82" s="10">
        <f>IFERROR(__xludf.DUMMYFUNCTION("""COMPUTED_VALUE"""),6.0)</f>
        <v>6</v>
      </c>
      <c r="AJ82" s="11" t="str">
        <f>IFERROR(__xludf.DUMMYFUNCTION("""COMPUTED_VALUE"""),"https://drive.google.com/open?id=1ZYjDlW7xh1fU4U9u-43A6q4NuQLxITBT")</f>
        <v>https://drive.google.com/open?id=1ZYjDlW7xh1fU4U9u-43A6q4NuQLxITBT</v>
      </c>
      <c r="AK82" s="12"/>
      <c r="AL82" s="12"/>
      <c r="AM82" s="12"/>
      <c r="AN82" s="12"/>
      <c r="AO82" s="13">
        <v>3.0</v>
      </c>
      <c r="AX82" s="13"/>
    </row>
    <row r="83">
      <c r="A83" s="8">
        <v>82.0</v>
      </c>
      <c r="B83" s="9">
        <f>IFERROR(__xludf.DUMMYFUNCTION("""COMPUTED_VALUE"""),45716.27991917824)</f>
        <v>45716.27992</v>
      </c>
      <c r="C83" s="10" t="str">
        <f>IFERROR(__xludf.DUMMYFUNCTION("""COMPUTED_VALUE"""),"Shakeela")</f>
        <v>Shakeela</v>
      </c>
      <c r="D83" s="10" t="str">
        <f>IFERROR(__xludf.DUMMYFUNCTION("""COMPUTED_VALUE"""),"03359485820")</f>
        <v>03359485820</v>
      </c>
      <c r="E83" s="10" t="str">
        <f>IFERROR(__xludf.DUMMYFUNCTION("""COMPUTED_VALUE"""),"Sermon 1Jamia Masjid New Anarkali")</f>
        <v>Sermon 1Jamia Masjid New Anarkali</v>
      </c>
      <c r="F83" s="10" t="str">
        <f>IFERROR(__xludf.DUMMYFUNCTION("""COMPUTED_VALUE"""),"Ucpvp")</f>
        <v>Ucpvp</v>
      </c>
      <c r="G83" s="10" t="str">
        <f>IFERROR(__xludf.DUMMYFUNCTION("""COMPUTED_VALUE"""),"No")</f>
        <v>No</v>
      </c>
      <c r="H83" s="10"/>
      <c r="I83" s="10"/>
      <c r="J83" s="10"/>
      <c r="K83" s="10">
        <f>IFERROR(__xludf.DUMMYFUNCTION("""COMPUTED_VALUE"""),0.0)</f>
        <v>0</v>
      </c>
      <c r="L83" s="10">
        <f>IFERROR(__xludf.DUMMYFUNCTION("""COMPUTED_VALUE"""),0.0)</f>
        <v>0</v>
      </c>
      <c r="M83" s="10">
        <f>IFERROR(__xludf.DUMMYFUNCTION("""COMPUTED_VALUE"""),0.0)</f>
        <v>0</v>
      </c>
      <c r="N83" s="10">
        <f>IFERROR(__xludf.DUMMYFUNCTION("""COMPUTED_VALUE"""),0.0)</f>
        <v>0</v>
      </c>
      <c r="O83" s="10">
        <f>IFERROR(__xludf.DUMMYFUNCTION("""COMPUTED_VALUE"""),0.0)</f>
        <v>0</v>
      </c>
      <c r="P83" s="10">
        <f>IFERROR(__xludf.DUMMYFUNCTION("""COMPUTED_VALUE"""),0.0)</f>
        <v>0</v>
      </c>
      <c r="Q83" s="10" t="str">
        <f>IFERROR(__xludf.DUMMYFUNCTION("""COMPUTED_VALUE"""),"No")</f>
        <v>No</v>
      </c>
      <c r="R83" s="10" t="str">
        <f>IFERROR(__xludf.DUMMYFUNCTION("""COMPUTED_VALUE"""),"No")</f>
        <v>No</v>
      </c>
      <c r="S83" s="10" t="str">
        <f>IFERROR(__xludf.DUMMYFUNCTION("""COMPUTED_VALUE"""),"No")</f>
        <v>No</v>
      </c>
      <c r="T83" s="10">
        <f>IFERROR(__xludf.DUMMYFUNCTION("""COMPUTED_VALUE"""),0.0)</f>
        <v>0</v>
      </c>
      <c r="U83" s="10">
        <f>IFERROR(__xludf.DUMMYFUNCTION("""COMPUTED_VALUE"""),0.0)</f>
        <v>0</v>
      </c>
      <c r="V83" s="10" t="str">
        <f>IFERROR(__xludf.DUMMYFUNCTION("""COMPUTED_VALUE"""),"Seerat un nabi saw")</f>
        <v>Seerat un nabi saw</v>
      </c>
      <c r="W83" s="10" t="str">
        <f>IFERROR(__xludf.DUMMYFUNCTION("""COMPUTED_VALUE"""),"Seerat un nabi saw")</f>
        <v>Seerat un nabi saw</v>
      </c>
      <c r="X83" s="10">
        <f>IFERROR(__xludf.DUMMYFUNCTION("""COMPUTED_VALUE"""),5.0)</f>
        <v>5</v>
      </c>
      <c r="Y83" s="10">
        <f>IFERROR(__xludf.DUMMYFUNCTION("""COMPUTED_VALUE"""),5.0)</f>
        <v>5</v>
      </c>
      <c r="Z83" s="10">
        <f>IFERROR(__xludf.DUMMYFUNCTION("""COMPUTED_VALUE"""),4.0)</f>
        <v>4</v>
      </c>
      <c r="AA83" s="10">
        <f>IFERROR(__xludf.DUMMYFUNCTION("""COMPUTED_VALUE"""),5.0)</f>
        <v>5</v>
      </c>
      <c r="AB83" s="10">
        <f>IFERROR(__xludf.DUMMYFUNCTION("""COMPUTED_VALUE"""),2.0)</f>
        <v>2</v>
      </c>
      <c r="AC83" s="10">
        <f>IFERROR(__xludf.DUMMYFUNCTION("""COMPUTED_VALUE"""),2.0)</f>
        <v>2</v>
      </c>
      <c r="AD83" s="10">
        <f>IFERROR(__xludf.DUMMYFUNCTION("""COMPUTED_VALUE"""),0.0)</f>
        <v>0</v>
      </c>
      <c r="AE83" s="10">
        <f>IFERROR(__xludf.DUMMYFUNCTION("""COMPUTED_VALUE"""),0.0)</f>
        <v>0</v>
      </c>
      <c r="AF83" s="10">
        <f>IFERROR(__xludf.DUMMYFUNCTION("""COMPUTED_VALUE"""),7.0)</f>
        <v>7</v>
      </c>
      <c r="AG83" s="10">
        <f>IFERROR(__xludf.DUMMYFUNCTION("""COMPUTED_VALUE"""),7.0)</f>
        <v>7</v>
      </c>
      <c r="AH83" s="10">
        <f>IFERROR(__xludf.DUMMYFUNCTION("""COMPUTED_VALUE"""),0.0)</f>
        <v>0</v>
      </c>
      <c r="AI83" s="10">
        <f>IFERROR(__xludf.DUMMYFUNCTION("""COMPUTED_VALUE"""),5.0)</f>
        <v>5</v>
      </c>
      <c r="AJ83" s="11" t="str">
        <f>IFERROR(__xludf.DUMMYFUNCTION("""COMPUTED_VALUE"""),"https://drive.google.com/open?id=11AaebASSOASxzrecTrSeJQGOm9dFryG-")</f>
        <v>https://drive.google.com/open?id=11AaebASSOASxzrecTrSeJQGOm9dFryG-</v>
      </c>
      <c r="AK83" s="12"/>
      <c r="AL83" s="12"/>
      <c r="AM83" s="12"/>
      <c r="AN83" s="12"/>
      <c r="AO83" s="13">
        <v>2.0</v>
      </c>
      <c r="AX83" s="13"/>
    </row>
    <row r="84">
      <c r="A84" s="8">
        <v>83.0</v>
      </c>
      <c r="B84" s="9">
        <f>IFERROR(__xludf.DUMMYFUNCTION("""COMPUTED_VALUE"""),45716.282789675926)</f>
        <v>45716.28279</v>
      </c>
      <c r="C84" s="10" t="str">
        <f>IFERROR(__xludf.DUMMYFUNCTION("""COMPUTED_VALUE"""),"Shakeela")</f>
        <v>Shakeela</v>
      </c>
      <c r="D84" s="10" t="str">
        <f>IFERROR(__xludf.DUMMYFUNCTION("""COMPUTED_VALUE"""),"03359485820")</f>
        <v>03359485820</v>
      </c>
      <c r="E84" s="10" t="str">
        <f>IFERROR(__xludf.DUMMYFUNCTION("""COMPUTED_VALUE"""),"Sermon 4 Jamia masjid bazad hata")</f>
        <v>Sermon 4 Jamia masjid bazad hata</v>
      </c>
      <c r="F84" s="10" t="str">
        <f>IFERROR(__xludf.DUMMYFUNCTION("""COMPUTED_VALUE"""),"qkvvj")</f>
        <v>qkvvj</v>
      </c>
      <c r="G84" s="10" t="str">
        <f>IFERROR(__xludf.DUMMYFUNCTION("""COMPUTED_VALUE"""),"No")</f>
        <v>No</v>
      </c>
      <c r="H84" s="10"/>
      <c r="I84" s="10"/>
      <c r="J84" s="10"/>
      <c r="K84" s="10">
        <f>IFERROR(__xludf.DUMMYFUNCTION("""COMPUTED_VALUE"""),0.0)</f>
        <v>0</v>
      </c>
      <c r="L84" s="10">
        <f>IFERROR(__xludf.DUMMYFUNCTION("""COMPUTED_VALUE"""),0.0)</f>
        <v>0</v>
      </c>
      <c r="M84" s="10">
        <f>IFERROR(__xludf.DUMMYFUNCTION("""COMPUTED_VALUE"""),0.0)</f>
        <v>0</v>
      </c>
      <c r="N84" s="10">
        <f>IFERROR(__xludf.DUMMYFUNCTION("""COMPUTED_VALUE"""),0.0)</f>
        <v>0</v>
      </c>
      <c r="O84" s="10">
        <f>IFERROR(__xludf.DUMMYFUNCTION("""COMPUTED_VALUE"""),1.0)</f>
        <v>1</v>
      </c>
      <c r="P84" s="10">
        <f>IFERROR(__xludf.DUMMYFUNCTION("""COMPUTED_VALUE"""),1.0)</f>
        <v>1</v>
      </c>
      <c r="Q84" s="10" t="str">
        <f>IFERROR(__xludf.DUMMYFUNCTION("""COMPUTED_VALUE"""),"No")</f>
        <v>No</v>
      </c>
      <c r="R84" s="10" t="str">
        <f>IFERROR(__xludf.DUMMYFUNCTION("""COMPUTED_VALUE"""),"No")</f>
        <v>No</v>
      </c>
      <c r="S84" s="10" t="str">
        <f>IFERROR(__xludf.DUMMYFUNCTION("""COMPUTED_VALUE"""),"No")</f>
        <v>No</v>
      </c>
      <c r="T84" s="10">
        <f>IFERROR(__xludf.DUMMYFUNCTION("""COMPUTED_VALUE"""),1.0)</f>
        <v>1</v>
      </c>
      <c r="U84" s="10">
        <f>IFERROR(__xludf.DUMMYFUNCTION("""COMPUTED_VALUE"""),0.0)</f>
        <v>0</v>
      </c>
      <c r="V84" s="10" t="str">
        <f>IFERROR(__xludf.DUMMYFUNCTION("""COMPUTED_VALUE"""),"Akhrat")</f>
        <v>Akhrat</v>
      </c>
      <c r="W84" s="10" t="str">
        <f>IFERROR(__xludf.DUMMYFUNCTION("""COMPUTED_VALUE"""),"Shaban ki fazilat aur akhrat")</f>
        <v>Shaban ki fazilat aur akhrat</v>
      </c>
      <c r="X84" s="10">
        <f>IFERROR(__xludf.DUMMYFUNCTION("""COMPUTED_VALUE"""),4.0)</f>
        <v>4</v>
      </c>
      <c r="Y84" s="10">
        <f>IFERROR(__xludf.DUMMYFUNCTION("""COMPUTED_VALUE"""),2.0)</f>
        <v>2</v>
      </c>
      <c r="Z84" s="10">
        <f>IFERROR(__xludf.DUMMYFUNCTION("""COMPUTED_VALUE"""),0.0)</f>
        <v>0</v>
      </c>
      <c r="AA84" s="10">
        <f>IFERROR(__xludf.DUMMYFUNCTION("""COMPUTED_VALUE"""),7.0)</f>
        <v>7</v>
      </c>
      <c r="AB84" s="10">
        <f>IFERROR(__xludf.DUMMYFUNCTION("""COMPUTED_VALUE"""),0.0)</f>
        <v>0</v>
      </c>
      <c r="AC84" s="10">
        <f>IFERROR(__xludf.DUMMYFUNCTION("""COMPUTED_VALUE"""),0.0)</f>
        <v>0</v>
      </c>
      <c r="AD84" s="10">
        <f>IFERROR(__xludf.DUMMYFUNCTION("""COMPUTED_VALUE"""),0.0)</f>
        <v>0</v>
      </c>
      <c r="AE84" s="10">
        <f>IFERROR(__xludf.DUMMYFUNCTION("""COMPUTED_VALUE"""),0.0)</f>
        <v>0</v>
      </c>
      <c r="AF84" s="10">
        <f>IFERROR(__xludf.DUMMYFUNCTION("""COMPUTED_VALUE"""),8.0)</f>
        <v>8</v>
      </c>
      <c r="AG84" s="10">
        <f>IFERROR(__xludf.DUMMYFUNCTION("""COMPUTED_VALUE"""),7.0)</f>
        <v>7</v>
      </c>
      <c r="AH84" s="10">
        <f>IFERROR(__xludf.DUMMYFUNCTION("""COMPUTED_VALUE"""),0.0)</f>
        <v>0</v>
      </c>
      <c r="AI84" s="10">
        <f>IFERROR(__xludf.DUMMYFUNCTION("""COMPUTED_VALUE"""),7.0)</f>
        <v>7</v>
      </c>
      <c r="AJ84" s="11" t="str">
        <f>IFERROR(__xludf.DUMMYFUNCTION("""COMPUTED_VALUE"""),"https://drive.google.com/open?id=1sv306HZuUHd_fRVu3MOtUdo1zaoG3N2d")</f>
        <v>https://drive.google.com/open?id=1sv306HZuUHd_fRVu3MOtUdo1zaoG3N2d</v>
      </c>
      <c r="AK84" s="12"/>
      <c r="AL84" s="12"/>
      <c r="AM84" s="12"/>
      <c r="AN84" s="12"/>
      <c r="AO84" s="13">
        <v>4.0</v>
      </c>
      <c r="AX84" s="13"/>
    </row>
    <row r="85">
      <c r="A85" s="8">
        <v>84.0</v>
      </c>
      <c r="B85" s="9">
        <f>IFERROR(__xludf.DUMMYFUNCTION("""COMPUTED_VALUE"""),45716.28677585648)</f>
        <v>45716.28678</v>
      </c>
      <c r="C85" s="10" t="str">
        <f>IFERROR(__xludf.DUMMYFUNCTION("""COMPUTED_VALUE"""),"Shakeela ")</f>
        <v>Shakeela </v>
      </c>
      <c r="D85" s="10" t="str">
        <f>IFERROR(__xludf.DUMMYFUNCTION("""COMPUTED_VALUE"""),"03359485820")</f>
        <v>03359485820</v>
      </c>
      <c r="E85" s="10" t="str">
        <f>IFERROR(__xludf.DUMMYFUNCTION("""COMPUTED_VALUE"""),"Sermon 4. Jamia masjid Johri shah")</f>
        <v>Sermon 4. Jamia masjid Johri shah</v>
      </c>
      <c r="F85" s="10" t="str">
        <f>IFERROR(__xludf.DUMMYFUNCTION("""COMPUTED_VALUE"""),"Cqafr")</f>
        <v>Cqafr</v>
      </c>
      <c r="G85" s="10" t="str">
        <f>IFERROR(__xludf.DUMMYFUNCTION("""COMPUTED_VALUE"""),"No")</f>
        <v>No</v>
      </c>
      <c r="H85" s="10"/>
      <c r="I85" s="10"/>
      <c r="J85" s="10"/>
      <c r="K85" s="10">
        <f>IFERROR(__xludf.DUMMYFUNCTION("""COMPUTED_VALUE"""),0.0)</f>
        <v>0</v>
      </c>
      <c r="L85" s="10">
        <f>IFERROR(__xludf.DUMMYFUNCTION("""COMPUTED_VALUE"""),10.0)</f>
        <v>10</v>
      </c>
      <c r="M85" s="10">
        <f>IFERROR(__xludf.DUMMYFUNCTION("""COMPUTED_VALUE"""),0.0)</f>
        <v>0</v>
      </c>
      <c r="N85" s="10">
        <f>IFERROR(__xludf.DUMMYFUNCTION("""COMPUTED_VALUE"""),9.0)</f>
        <v>9</v>
      </c>
      <c r="O85" s="10">
        <f>IFERROR(__xludf.DUMMYFUNCTION("""COMPUTED_VALUE"""),0.0)</f>
        <v>0</v>
      </c>
      <c r="P85" s="10">
        <f>IFERROR(__xludf.DUMMYFUNCTION("""COMPUTED_VALUE"""),8.0)</f>
        <v>8</v>
      </c>
      <c r="Q85" s="10" t="str">
        <f>IFERROR(__xludf.DUMMYFUNCTION("""COMPUTED_VALUE"""),"No")</f>
        <v>No</v>
      </c>
      <c r="R85" s="10" t="str">
        <f>IFERROR(__xludf.DUMMYFUNCTION("""COMPUTED_VALUE"""),"Yes")</f>
        <v>Yes</v>
      </c>
      <c r="S85" s="10" t="str">
        <f>IFERROR(__xludf.DUMMYFUNCTION("""COMPUTED_VALUE"""),"No")</f>
        <v>No</v>
      </c>
      <c r="T85" s="10">
        <f>IFERROR(__xludf.DUMMYFUNCTION("""COMPUTED_VALUE"""),0.0)</f>
        <v>0</v>
      </c>
      <c r="U85" s="10">
        <f>IFERROR(__xludf.DUMMYFUNCTION("""COMPUTED_VALUE"""),9.0)</f>
        <v>9</v>
      </c>
      <c r="V85" s="10" t="str">
        <f>IFERROR(__xludf.DUMMYFUNCTION("""COMPUTED_VALUE"""),"Padasion k haqooq")</f>
        <v>Padasion k haqooq</v>
      </c>
      <c r="W85" s="10" t="str">
        <f>IFERROR(__xludf.DUMMYFUNCTION("""COMPUTED_VALUE"""),"Safau suthrai aur padosion k haqooq")</f>
        <v>Safau suthrai aur padosion k haqooq</v>
      </c>
      <c r="X85" s="10">
        <f>IFERROR(__xludf.DUMMYFUNCTION("""COMPUTED_VALUE"""),5.0)</f>
        <v>5</v>
      </c>
      <c r="Y85" s="10">
        <f>IFERROR(__xludf.DUMMYFUNCTION("""COMPUTED_VALUE"""),7.0)</f>
        <v>7</v>
      </c>
      <c r="Z85" s="10">
        <f>IFERROR(__xludf.DUMMYFUNCTION("""COMPUTED_VALUE"""),1.0)</f>
        <v>1</v>
      </c>
      <c r="AA85" s="10">
        <f>IFERROR(__xludf.DUMMYFUNCTION("""COMPUTED_VALUE"""),6.0)</f>
        <v>6</v>
      </c>
      <c r="AB85" s="10">
        <f>IFERROR(__xludf.DUMMYFUNCTION("""COMPUTED_VALUE"""),2.0)</f>
        <v>2</v>
      </c>
      <c r="AC85" s="10">
        <f>IFERROR(__xludf.DUMMYFUNCTION("""COMPUTED_VALUE"""),0.0)</f>
        <v>0</v>
      </c>
      <c r="AD85" s="10">
        <f>IFERROR(__xludf.DUMMYFUNCTION("""COMPUTED_VALUE"""),0.0)</f>
        <v>0</v>
      </c>
      <c r="AE85" s="10">
        <f>IFERROR(__xludf.DUMMYFUNCTION("""COMPUTED_VALUE"""),0.0)</f>
        <v>0</v>
      </c>
      <c r="AF85" s="10">
        <f>IFERROR(__xludf.DUMMYFUNCTION("""COMPUTED_VALUE"""),6.0)</f>
        <v>6</v>
      </c>
      <c r="AG85" s="10">
        <f>IFERROR(__xludf.DUMMYFUNCTION("""COMPUTED_VALUE"""),7.0)</f>
        <v>7</v>
      </c>
      <c r="AH85" s="10">
        <f>IFERROR(__xludf.DUMMYFUNCTION("""COMPUTED_VALUE"""),0.0)</f>
        <v>0</v>
      </c>
      <c r="AI85" s="10">
        <f>IFERROR(__xludf.DUMMYFUNCTION("""COMPUTED_VALUE"""),8.0)</f>
        <v>8</v>
      </c>
      <c r="AJ85" s="11" t="str">
        <f>IFERROR(__xludf.DUMMYFUNCTION("""COMPUTED_VALUE"""),"https://drive.google.com/open?id=1Sj6H1Z0Kc1gTW5KwD19WaGnhSYH7XqsO")</f>
        <v>https://drive.google.com/open?id=1Sj6H1Z0Kc1gTW5KwD19WaGnhSYH7XqsO</v>
      </c>
      <c r="AK85" s="12"/>
      <c r="AL85" s="12"/>
      <c r="AM85" s="12"/>
      <c r="AN85" s="12"/>
      <c r="AO85" s="13">
        <v>4.0</v>
      </c>
      <c r="AX85" s="13"/>
    </row>
    <row r="86">
      <c r="A86" s="8">
        <v>85.0</v>
      </c>
      <c r="B86" s="9">
        <f>IFERROR(__xludf.DUMMYFUNCTION("""COMPUTED_VALUE"""),45716.28923490741)</f>
        <v>45716.28923</v>
      </c>
      <c r="C86" s="10" t="str">
        <f>IFERROR(__xludf.DUMMYFUNCTION("""COMPUTED_VALUE"""),"Shakeela")</f>
        <v>Shakeela</v>
      </c>
      <c r="D86" s="10" t="str">
        <f>IFERROR(__xludf.DUMMYFUNCTION("""COMPUTED_VALUE"""),"03359485820")</f>
        <v>03359485820</v>
      </c>
      <c r="E86" s="10" t="str">
        <f>IFERROR(__xludf.DUMMYFUNCTION("""COMPUTED_VALUE"""),"Sermon 3 Jamia masjid new anarkali")</f>
        <v>Sermon 3 Jamia masjid new anarkali</v>
      </c>
      <c r="F86" s="10" t="str">
        <f>IFERROR(__xludf.DUMMYFUNCTION("""COMPUTED_VALUE"""),"Ucpvp")</f>
        <v>Ucpvp</v>
      </c>
      <c r="G86" s="10" t="str">
        <f>IFERROR(__xludf.DUMMYFUNCTION("""COMPUTED_VALUE"""),"No")</f>
        <v>No</v>
      </c>
      <c r="H86" s="10"/>
      <c r="I86" s="10"/>
      <c r="J86" s="10"/>
      <c r="K86" s="10">
        <f>IFERROR(__xludf.DUMMYFUNCTION("""COMPUTED_VALUE"""),9.0)</f>
        <v>9</v>
      </c>
      <c r="L86" s="10">
        <f>IFERROR(__xludf.DUMMYFUNCTION("""COMPUTED_VALUE"""),0.0)</f>
        <v>0</v>
      </c>
      <c r="M86" s="10">
        <f>IFERROR(__xludf.DUMMYFUNCTION("""COMPUTED_VALUE"""),7.0)</f>
        <v>7</v>
      </c>
      <c r="N86" s="10">
        <f>IFERROR(__xludf.DUMMYFUNCTION("""COMPUTED_VALUE"""),9.0)</f>
        <v>9</v>
      </c>
      <c r="O86" s="10">
        <f>IFERROR(__xludf.DUMMYFUNCTION("""COMPUTED_VALUE"""),0.0)</f>
        <v>0</v>
      </c>
      <c r="P86" s="10">
        <f>IFERROR(__xludf.DUMMYFUNCTION("""COMPUTED_VALUE"""),9.0)</f>
        <v>9</v>
      </c>
      <c r="Q86" s="10" t="str">
        <f>IFERROR(__xludf.DUMMYFUNCTION("""COMPUTED_VALUE"""),"No")</f>
        <v>No</v>
      </c>
      <c r="R86" s="10" t="str">
        <f>IFERROR(__xludf.DUMMYFUNCTION("""COMPUTED_VALUE"""),"Yes")</f>
        <v>Yes</v>
      </c>
      <c r="S86" s="10" t="str">
        <f>IFERROR(__xludf.DUMMYFUNCTION("""COMPUTED_VALUE"""),"No")</f>
        <v>No</v>
      </c>
      <c r="T86" s="10">
        <f>IFERROR(__xludf.DUMMYFUNCTION("""COMPUTED_VALUE"""),0.0)</f>
        <v>0</v>
      </c>
      <c r="U86" s="10">
        <f>IFERROR(__xludf.DUMMYFUNCTION("""COMPUTED_VALUE"""),9.0)</f>
        <v>9</v>
      </c>
      <c r="V86" s="10" t="str">
        <f>IFERROR(__xludf.DUMMYFUNCTION("""COMPUTED_VALUE"""),"Padasion k haqooq")</f>
        <v>Padasion k haqooq</v>
      </c>
      <c r="W86" s="10" t="str">
        <f>IFERROR(__xludf.DUMMYFUNCTION("""COMPUTED_VALUE"""),"Padosi k haqooq")</f>
        <v>Padosi k haqooq</v>
      </c>
      <c r="X86" s="10">
        <f>IFERROR(__xludf.DUMMYFUNCTION("""COMPUTED_VALUE"""),7.0)</f>
        <v>7</v>
      </c>
      <c r="Y86" s="10">
        <f>IFERROR(__xludf.DUMMYFUNCTION("""COMPUTED_VALUE"""),6.0)</f>
        <v>6</v>
      </c>
      <c r="Z86" s="10">
        <f>IFERROR(__xludf.DUMMYFUNCTION("""COMPUTED_VALUE"""),7.0)</f>
        <v>7</v>
      </c>
      <c r="AA86" s="10">
        <f>IFERROR(__xludf.DUMMYFUNCTION("""COMPUTED_VALUE"""),0.0)</f>
        <v>0</v>
      </c>
      <c r="AB86" s="10">
        <f>IFERROR(__xludf.DUMMYFUNCTION("""COMPUTED_VALUE"""),3.0)</f>
        <v>3</v>
      </c>
      <c r="AC86" s="10">
        <f>IFERROR(__xludf.DUMMYFUNCTION("""COMPUTED_VALUE"""),0.0)</f>
        <v>0</v>
      </c>
      <c r="AD86" s="10">
        <f>IFERROR(__xludf.DUMMYFUNCTION("""COMPUTED_VALUE"""),0.0)</f>
        <v>0</v>
      </c>
      <c r="AE86" s="10">
        <f>IFERROR(__xludf.DUMMYFUNCTION("""COMPUTED_VALUE"""),0.0)</f>
        <v>0</v>
      </c>
      <c r="AF86" s="10">
        <f>IFERROR(__xludf.DUMMYFUNCTION("""COMPUTED_VALUE"""),5.0)</f>
        <v>5</v>
      </c>
      <c r="AG86" s="10">
        <f>IFERROR(__xludf.DUMMYFUNCTION("""COMPUTED_VALUE"""),7.0)</f>
        <v>7</v>
      </c>
      <c r="AH86" s="10">
        <f>IFERROR(__xludf.DUMMYFUNCTION("""COMPUTED_VALUE"""),0.0)</f>
        <v>0</v>
      </c>
      <c r="AI86" s="10">
        <f>IFERROR(__xludf.DUMMYFUNCTION("""COMPUTED_VALUE"""),7.0)</f>
        <v>7</v>
      </c>
      <c r="AJ86" s="11" t="str">
        <f>IFERROR(__xludf.DUMMYFUNCTION("""COMPUTED_VALUE"""),"https://drive.google.com/open?id=1yvWGZH-iYGg_yvypOH7KTK2YVLr58Hzj")</f>
        <v>https://drive.google.com/open?id=1yvWGZH-iYGg_yvypOH7KTK2YVLr58Hzj</v>
      </c>
      <c r="AK86" s="12"/>
      <c r="AL86" s="12"/>
      <c r="AM86" s="12"/>
      <c r="AN86" s="12"/>
      <c r="AO86" s="13">
        <v>4.0</v>
      </c>
      <c r="AX86" s="13"/>
    </row>
    <row r="87">
      <c r="A87" s="8">
        <v>86.0</v>
      </c>
      <c r="B87" s="9">
        <f>IFERROR(__xludf.DUMMYFUNCTION("""COMPUTED_VALUE"""),45716.676657766206)</f>
        <v>45716.67666</v>
      </c>
      <c r="C87" s="10" t="str">
        <f>IFERROR(__xludf.DUMMYFUNCTION("""COMPUTED_VALUE"""),"Sheheryar Ahmad ")</f>
        <v>Sheheryar Ahmad </v>
      </c>
      <c r="D87" s="10" t="str">
        <f>IFERROR(__xludf.DUMMYFUNCTION("""COMPUTED_VALUE"""),"03194458854")</f>
        <v>03194458854</v>
      </c>
      <c r="E87" s="10" t="str">
        <f>IFERROR(__xludf.DUMMYFUNCTION("""COMPUTED_VALUE"""),"Peshawari Masjid nila gumbad")</f>
        <v>Peshawari Masjid nila gumbad</v>
      </c>
      <c r="F87" s="10" t="str">
        <f>IFERROR(__xludf.DUMMYFUNCTION("""COMPUTED_VALUE"""),"TELOU")</f>
        <v>TELOU</v>
      </c>
      <c r="G87" s="10" t="str">
        <f>IFERROR(__xludf.DUMMYFUNCTION("""COMPUTED_VALUE"""),"Yes")</f>
        <v>Yes</v>
      </c>
      <c r="H87" s="10">
        <f>IFERROR(__xludf.DUMMYFUNCTION("""COMPUTED_VALUE"""),0.0)</f>
        <v>0</v>
      </c>
      <c r="I87" s="10">
        <f>IFERROR(__xludf.DUMMYFUNCTION("""COMPUTED_VALUE"""),0.0)</f>
        <v>0</v>
      </c>
      <c r="J87" s="10">
        <f>IFERROR(__xludf.DUMMYFUNCTION("""COMPUTED_VALUE"""),0.0)</f>
        <v>0</v>
      </c>
      <c r="K87" s="10">
        <f>IFERROR(__xludf.DUMMYFUNCTION("""COMPUTED_VALUE"""),0.0)</f>
        <v>0</v>
      </c>
      <c r="L87" s="10">
        <f>IFERROR(__xludf.DUMMYFUNCTION("""COMPUTED_VALUE"""),0.0)</f>
        <v>0</v>
      </c>
      <c r="M87" s="10">
        <f>IFERROR(__xludf.DUMMYFUNCTION("""COMPUTED_VALUE"""),0.0)</f>
        <v>0</v>
      </c>
      <c r="N87" s="10">
        <f>IFERROR(__xludf.DUMMYFUNCTION("""COMPUTED_VALUE"""),0.0)</f>
        <v>0</v>
      </c>
      <c r="O87" s="10">
        <f>IFERROR(__xludf.DUMMYFUNCTION("""COMPUTED_VALUE"""),0.0)</f>
        <v>0</v>
      </c>
      <c r="P87" s="10">
        <f>IFERROR(__xludf.DUMMYFUNCTION("""COMPUTED_VALUE"""),0.0)</f>
        <v>0</v>
      </c>
      <c r="Q87" s="10" t="str">
        <f>IFERROR(__xludf.DUMMYFUNCTION("""COMPUTED_VALUE"""),"No")</f>
        <v>No</v>
      </c>
      <c r="R87" s="10" t="str">
        <f>IFERROR(__xludf.DUMMYFUNCTION("""COMPUTED_VALUE"""),"No")</f>
        <v>No</v>
      </c>
      <c r="S87" s="10" t="str">
        <f>IFERROR(__xludf.DUMMYFUNCTION("""COMPUTED_VALUE"""),"No")</f>
        <v>No</v>
      </c>
      <c r="T87" s="10">
        <f>IFERROR(__xludf.DUMMYFUNCTION("""COMPUTED_VALUE"""),0.0)</f>
        <v>0</v>
      </c>
      <c r="U87" s="10">
        <f>IFERROR(__xludf.DUMMYFUNCTION("""COMPUTED_VALUE"""),0.0)</f>
        <v>0</v>
      </c>
      <c r="V87" s="10" t="str">
        <f>IFERROR(__xludf.DUMMYFUNCTION("""COMPUTED_VALUE"""),"Allah or bandy ka rishta, Ramazan ki tayari")</f>
        <v>Allah or bandy ka rishta, Ramazan ki tayari</v>
      </c>
      <c r="W87" s="10" t="str">
        <f>IFERROR(__xludf.DUMMYFUNCTION("""COMPUTED_VALUE"""),"Allah sy rishta banaain, ramadan ki tayari krain")</f>
        <v>Allah sy rishta banaain, ramadan ki tayari krain</v>
      </c>
      <c r="X87" s="10">
        <f>IFERROR(__xludf.DUMMYFUNCTION("""COMPUTED_VALUE"""),10.0)</f>
        <v>10</v>
      </c>
      <c r="Y87" s="10">
        <f>IFERROR(__xludf.DUMMYFUNCTION("""COMPUTED_VALUE"""),10.0)</f>
        <v>10</v>
      </c>
      <c r="Z87" s="10">
        <f>IFERROR(__xludf.DUMMYFUNCTION("""COMPUTED_VALUE"""),10.0)</f>
        <v>10</v>
      </c>
      <c r="AA87" s="10">
        <f>IFERROR(__xludf.DUMMYFUNCTION("""COMPUTED_VALUE"""),10.0)</f>
        <v>10</v>
      </c>
      <c r="AB87" s="10">
        <f>IFERROR(__xludf.DUMMYFUNCTION("""COMPUTED_VALUE"""),0.0)</f>
        <v>0</v>
      </c>
      <c r="AC87" s="10">
        <f>IFERROR(__xludf.DUMMYFUNCTION("""COMPUTED_VALUE"""),0.0)</f>
        <v>0</v>
      </c>
      <c r="AD87" s="10">
        <f>IFERROR(__xludf.DUMMYFUNCTION("""COMPUTED_VALUE"""),0.0)</f>
        <v>0</v>
      </c>
      <c r="AE87" s="10">
        <f>IFERROR(__xludf.DUMMYFUNCTION("""COMPUTED_VALUE"""),0.0)</f>
        <v>0</v>
      </c>
      <c r="AF87" s="10">
        <f>IFERROR(__xludf.DUMMYFUNCTION("""COMPUTED_VALUE"""),10.0)</f>
        <v>10</v>
      </c>
      <c r="AG87" s="10">
        <f>IFERROR(__xludf.DUMMYFUNCTION("""COMPUTED_VALUE"""),10.0)</f>
        <v>10</v>
      </c>
      <c r="AH87" s="10">
        <f>IFERROR(__xludf.DUMMYFUNCTION("""COMPUTED_VALUE"""),0.0)</f>
        <v>0</v>
      </c>
      <c r="AI87" s="10">
        <f>IFERROR(__xludf.DUMMYFUNCTION("""COMPUTED_VALUE"""),10.0)</f>
        <v>10</v>
      </c>
      <c r="AJ87" s="11" t="str">
        <f>IFERROR(__xludf.DUMMYFUNCTION("""COMPUTED_VALUE"""),"https://drive.google.com/open?id=1QMnYyuhMDK8FjGFxoxzgjXVuUG7H7l3U")</f>
        <v>https://drive.google.com/open?id=1QMnYyuhMDK8FjGFxoxzgjXVuUG7H7l3U</v>
      </c>
      <c r="AK87" s="12"/>
      <c r="AL87" s="12"/>
      <c r="AM87" s="12"/>
      <c r="AN87" s="12"/>
      <c r="AO87" s="13">
        <v>3.0</v>
      </c>
      <c r="AX87" s="13"/>
    </row>
    <row r="88">
      <c r="A88" s="8">
        <v>87.0</v>
      </c>
      <c r="B88" s="9">
        <f>IFERROR(__xludf.DUMMYFUNCTION("""COMPUTED_VALUE"""),45727.65657204861)</f>
        <v>45727.65657</v>
      </c>
      <c r="C88" s="10" t="str">
        <f>IFERROR(__xludf.DUMMYFUNCTION("""COMPUTED_VALUE""")," Muhammad saqib ")</f>
        <v> Muhammad saqib </v>
      </c>
      <c r="D88" s="10" t="str">
        <f>IFERROR(__xludf.DUMMYFUNCTION("""COMPUTED_VALUE"""),"03234041429")</f>
        <v>03234041429</v>
      </c>
      <c r="E88" s="10" t="str">
        <f>IFERROR(__xludf.DUMMYFUNCTION("""COMPUTED_VALUE"""),"Masjid darbar mosa zanjani ")</f>
        <v>Masjid darbar mosa zanjani </v>
      </c>
      <c r="F88" s="10" t="str">
        <f>IFERROR(__xludf.DUMMYFUNCTION("""COMPUTED_VALUE"""),"Cqafr")</f>
        <v>Cqafr</v>
      </c>
      <c r="G88" s="10" t="str">
        <f>IFERROR(__xludf.DUMMYFUNCTION("""COMPUTED_VALUE"""),"Yes")</f>
        <v>Yes</v>
      </c>
      <c r="H88" s="10">
        <f>IFERROR(__xludf.DUMMYFUNCTION("""COMPUTED_VALUE"""),2.0)</f>
        <v>2</v>
      </c>
      <c r="I88" s="10">
        <f>IFERROR(__xludf.DUMMYFUNCTION("""COMPUTED_VALUE"""),8.0)</f>
        <v>8</v>
      </c>
      <c r="J88" s="10">
        <f>IFERROR(__xludf.DUMMYFUNCTION("""COMPUTED_VALUE"""),4.0)</f>
        <v>4</v>
      </c>
      <c r="K88" s="10">
        <f>IFERROR(__xludf.DUMMYFUNCTION("""COMPUTED_VALUE"""),1.0)</f>
        <v>1</v>
      </c>
      <c r="L88" s="10">
        <f>IFERROR(__xludf.DUMMYFUNCTION("""COMPUTED_VALUE"""),2.0)</f>
        <v>2</v>
      </c>
      <c r="M88" s="10">
        <f>IFERROR(__xludf.DUMMYFUNCTION("""COMPUTED_VALUE"""),3.0)</f>
        <v>3</v>
      </c>
      <c r="N88" s="10">
        <f>IFERROR(__xludf.DUMMYFUNCTION("""COMPUTED_VALUE"""),4.0)</f>
        <v>4</v>
      </c>
      <c r="O88" s="10">
        <f>IFERROR(__xludf.DUMMYFUNCTION("""COMPUTED_VALUE"""),0.0)</f>
        <v>0</v>
      </c>
      <c r="P88" s="10">
        <f>IFERROR(__xludf.DUMMYFUNCTION("""COMPUTED_VALUE"""),1.0)</f>
        <v>1</v>
      </c>
      <c r="Q88" s="10" t="str">
        <f>IFERROR(__xludf.DUMMYFUNCTION("""COMPUTED_VALUE"""),"No")</f>
        <v>No</v>
      </c>
      <c r="R88" s="10" t="str">
        <f>IFERROR(__xludf.DUMMYFUNCTION("""COMPUTED_VALUE"""),"No")</f>
        <v>No</v>
      </c>
      <c r="S88" s="10" t="str">
        <f>IFERROR(__xludf.DUMMYFUNCTION("""COMPUTED_VALUE"""),"No")</f>
        <v>No</v>
      </c>
      <c r="T88" s="10">
        <f>IFERROR(__xludf.DUMMYFUNCTION("""COMPUTED_VALUE"""),1.0)</f>
        <v>1</v>
      </c>
      <c r="U88" s="10">
        <f>IFERROR(__xludf.DUMMYFUNCTION("""COMPUTED_VALUE"""),2.0)</f>
        <v>2</v>
      </c>
      <c r="V88" s="10" t="str">
        <f>IFERROR(__xludf.DUMMYFUNCTION("""COMPUTED_VALUE"""),"Laltutur qadar")</f>
        <v>Laltutur qadar</v>
      </c>
      <c r="W88" s="10" t="str">
        <f>IFERROR(__xludf.DUMMYFUNCTION("""COMPUTED_VALUE"""),"Toba or shuban ka month")</f>
        <v>Toba or shuban ka month</v>
      </c>
      <c r="X88" s="10">
        <f>IFERROR(__xludf.DUMMYFUNCTION("""COMPUTED_VALUE"""),0.0)</f>
        <v>0</v>
      </c>
      <c r="Y88" s="10">
        <f>IFERROR(__xludf.DUMMYFUNCTION("""COMPUTED_VALUE"""),4.0)</f>
        <v>4</v>
      </c>
      <c r="Z88" s="10">
        <f>IFERROR(__xludf.DUMMYFUNCTION("""COMPUTED_VALUE"""),4.0)</f>
        <v>4</v>
      </c>
      <c r="AA88" s="10">
        <f>IFERROR(__xludf.DUMMYFUNCTION("""COMPUTED_VALUE"""),9.0)</f>
        <v>9</v>
      </c>
      <c r="AB88" s="10">
        <f>IFERROR(__xludf.DUMMYFUNCTION("""COMPUTED_VALUE"""),4.0)</f>
        <v>4</v>
      </c>
      <c r="AC88" s="10">
        <f>IFERROR(__xludf.DUMMYFUNCTION("""COMPUTED_VALUE"""),0.0)</f>
        <v>0</v>
      </c>
      <c r="AD88" s="10">
        <f>IFERROR(__xludf.DUMMYFUNCTION("""COMPUTED_VALUE"""),2.0)</f>
        <v>2</v>
      </c>
      <c r="AE88" s="10">
        <f>IFERROR(__xludf.DUMMYFUNCTION("""COMPUTED_VALUE"""),1.0)</f>
        <v>1</v>
      </c>
      <c r="AF88" s="10">
        <f>IFERROR(__xludf.DUMMYFUNCTION("""COMPUTED_VALUE"""),7.0)</f>
        <v>7</v>
      </c>
      <c r="AG88" s="10">
        <f>IFERROR(__xludf.DUMMYFUNCTION("""COMPUTED_VALUE"""),8.0)</f>
        <v>8</v>
      </c>
      <c r="AH88" s="10">
        <f>IFERROR(__xludf.DUMMYFUNCTION("""COMPUTED_VALUE"""),3.0)</f>
        <v>3</v>
      </c>
      <c r="AI88" s="10">
        <f>IFERROR(__xludf.DUMMYFUNCTION("""COMPUTED_VALUE"""),4.0)</f>
        <v>4</v>
      </c>
      <c r="AJ88" s="11" t="str">
        <f>IFERROR(__xludf.DUMMYFUNCTION("""COMPUTED_VALUE"""),"https://drive.google.com/open?id=1Sn049r_D_rMzedvHqUhLlEAwc_zFJEVR")</f>
        <v>https://drive.google.com/open?id=1Sn049r_D_rMzedvHqUhLlEAwc_zFJEVR</v>
      </c>
      <c r="AK88" s="12" t="str">
        <f>IFERROR(__xludf.DUMMYFUNCTION("""COMPUTED_VALUE"""),"No")</f>
        <v>No</v>
      </c>
      <c r="AL88" s="12"/>
      <c r="AM88" s="12"/>
      <c r="AN88" s="12"/>
      <c r="AO88" s="13" t="s">
        <v>7</v>
      </c>
      <c r="AX88" s="13"/>
    </row>
    <row r="89">
      <c r="A89" s="8">
        <v>88.0</v>
      </c>
      <c r="B89" s="9">
        <f>IFERROR(__xludf.DUMMYFUNCTION("""COMPUTED_VALUE"""),45727.6860709375)</f>
        <v>45727.68607</v>
      </c>
      <c r="C89" s="10" t="str">
        <f>IFERROR(__xludf.DUMMYFUNCTION("""COMPUTED_VALUE"""),"Muhammad saqib ")</f>
        <v>Muhammad saqib </v>
      </c>
      <c r="D89" s="10" t="str">
        <f>IFERROR(__xludf.DUMMYFUNCTION("""COMPUTED_VALUE"""),"03234041429")</f>
        <v>03234041429</v>
      </c>
      <c r="E89" s="10" t="str">
        <f>IFERROR(__xludf.DUMMYFUNCTION("""COMPUTED_VALUE"""),"Jamia masjid darbar shah zanjani ")</f>
        <v>Jamia masjid darbar shah zanjani </v>
      </c>
      <c r="F89" s="10" t="str">
        <f>IFERROR(__xludf.DUMMYFUNCTION("""COMPUTED_VALUE"""),"Cqafr")</f>
        <v>Cqafr</v>
      </c>
      <c r="G89" s="10" t="str">
        <f>IFERROR(__xludf.DUMMYFUNCTION("""COMPUTED_VALUE"""),"No")</f>
        <v>No</v>
      </c>
      <c r="H89" s="10"/>
      <c r="I89" s="10"/>
      <c r="J89" s="10"/>
      <c r="K89" s="10">
        <f>IFERROR(__xludf.DUMMYFUNCTION("""COMPUTED_VALUE"""),1.0)</f>
        <v>1</v>
      </c>
      <c r="L89" s="10">
        <f>IFERROR(__xludf.DUMMYFUNCTION("""COMPUTED_VALUE"""),1.0)</f>
        <v>1</v>
      </c>
      <c r="M89" s="10">
        <f>IFERROR(__xludf.DUMMYFUNCTION("""COMPUTED_VALUE"""),1.0)</f>
        <v>1</v>
      </c>
      <c r="N89" s="10">
        <f>IFERROR(__xludf.DUMMYFUNCTION("""COMPUTED_VALUE"""),2.0)</f>
        <v>2</v>
      </c>
      <c r="O89" s="10">
        <f>IFERROR(__xludf.DUMMYFUNCTION("""COMPUTED_VALUE"""),2.0)</f>
        <v>2</v>
      </c>
      <c r="P89" s="10">
        <f>IFERROR(__xludf.DUMMYFUNCTION("""COMPUTED_VALUE"""),1.0)</f>
        <v>1</v>
      </c>
      <c r="Q89" s="10" t="str">
        <f>IFERROR(__xludf.DUMMYFUNCTION("""COMPUTED_VALUE"""),"No")</f>
        <v>No</v>
      </c>
      <c r="R89" s="10" t="str">
        <f>IFERROR(__xludf.DUMMYFUNCTION("""COMPUTED_VALUE"""),"No")</f>
        <v>No</v>
      </c>
      <c r="S89" s="10" t="str">
        <f>IFERROR(__xludf.DUMMYFUNCTION("""COMPUTED_VALUE"""),"No")</f>
        <v>No</v>
      </c>
      <c r="T89" s="10">
        <f>IFERROR(__xludf.DUMMYFUNCTION("""COMPUTED_VALUE"""),2.0)</f>
        <v>2</v>
      </c>
      <c r="U89" s="10">
        <f>IFERROR(__xludf.DUMMYFUNCTION("""COMPUTED_VALUE"""),1.0)</f>
        <v>1</v>
      </c>
      <c r="V89" s="10" t="str">
        <f>IFERROR(__xludf.DUMMYFUNCTION("""COMPUTED_VALUE"""),"AP ki serat sab se afzal")</f>
        <v>AP ki serat sab se afzal</v>
      </c>
      <c r="W89" s="10" t="str">
        <f>IFERROR(__xludf.DUMMYFUNCTION("""COMPUTED_VALUE"""),"Sidtul muntaha or AP ki serat")</f>
        <v>Sidtul muntaha or AP ki serat</v>
      </c>
      <c r="X89" s="10">
        <f>IFERROR(__xludf.DUMMYFUNCTION("""COMPUTED_VALUE"""),2.0)</f>
        <v>2</v>
      </c>
      <c r="Y89" s="10">
        <f>IFERROR(__xludf.DUMMYFUNCTION("""COMPUTED_VALUE"""),4.0)</f>
        <v>4</v>
      </c>
      <c r="Z89" s="10">
        <f>IFERROR(__xludf.DUMMYFUNCTION("""COMPUTED_VALUE"""),4.0)</f>
        <v>4</v>
      </c>
      <c r="AA89" s="10">
        <f>IFERROR(__xludf.DUMMYFUNCTION("""COMPUTED_VALUE"""),8.0)</f>
        <v>8</v>
      </c>
      <c r="AB89" s="10">
        <f>IFERROR(__xludf.DUMMYFUNCTION("""COMPUTED_VALUE"""),4.0)</f>
        <v>4</v>
      </c>
      <c r="AC89" s="10">
        <f>IFERROR(__xludf.DUMMYFUNCTION("""COMPUTED_VALUE"""),1.0)</f>
        <v>1</v>
      </c>
      <c r="AD89" s="10">
        <f>IFERROR(__xludf.DUMMYFUNCTION("""COMPUTED_VALUE"""),1.0)</f>
        <v>1</v>
      </c>
      <c r="AE89" s="10">
        <f>IFERROR(__xludf.DUMMYFUNCTION("""COMPUTED_VALUE"""),2.0)</f>
        <v>2</v>
      </c>
      <c r="AF89" s="10">
        <f>IFERROR(__xludf.DUMMYFUNCTION("""COMPUTED_VALUE"""),7.0)</f>
        <v>7</v>
      </c>
      <c r="AG89" s="10">
        <f>IFERROR(__xludf.DUMMYFUNCTION("""COMPUTED_VALUE"""),6.0)</f>
        <v>6</v>
      </c>
      <c r="AH89" s="10">
        <f>IFERROR(__xludf.DUMMYFUNCTION("""COMPUTED_VALUE"""),3.0)</f>
        <v>3</v>
      </c>
      <c r="AI89" s="10">
        <f>IFERROR(__xludf.DUMMYFUNCTION("""COMPUTED_VALUE"""),6.0)</f>
        <v>6</v>
      </c>
      <c r="AJ89" s="11" t="str">
        <f>IFERROR(__xludf.DUMMYFUNCTION("""COMPUTED_VALUE"""),"https://drive.google.com/open?id=1sEs4-krnPuP_m6XusixxkPIpN8BvCT45")</f>
        <v>https://drive.google.com/open?id=1sEs4-krnPuP_m6XusixxkPIpN8BvCT45</v>
      </c>
      <c r="AK89" s="12" t="str">
        <f>IFERROR(__xludf.DUMMYFUNCTION("""COMPUTED_VALUE"""),"No")</f>
        <v>No</v>
      </c>
      <c r="AL89" s="12"/>
      <c r="AM89" s="12"/>
      <c r="AN89" s="12"/>
      <c r="AO89" s="13" t="s">
        <v>7</v>
      </c>
      <c r="AX89" s="13"/>
    </row>
    <row r="90">
      <c r="A90" s="8">
        <v>89.0</v>
      </c>
      <c r="B90" s="9">
        <f>IFERROR(__xludf.DUMMYFUNCTION("""COMPUTED_VALUE"""),45728.05512047454)</f>
        <v>45728.05512</v>
      </c>
      <c r="C90" s="10" t="str">
        <f>IFERROR(__xludf.DUMMYFUNCTION("""COMPUTED_VALUE"""),"  Muhammad saqib ")</f>
        <v>  Muhammad saqib </v>
      </c>
      <c r="D90" s="10" t="str">
        <f>IFERROR(__xludf.DUMMYFUNCTION("""COMPUTED_VALUE"""),"03234041429")</f>
        <v>03234041429</v>
      </c>
      <c r="E90" s="10" t="str">
        <f>IFERROR(__xludf.DUMMYFUNCTION("""COMPUTED_VALUE"""),"Jamia masjid darbar shah zanjani ")</f>
        <v>Jamia masjid darbar shah zanjani </v>
      </c>
      <c r="F90" s="10" t="str">
        <f>IFERROR(__xludf.DUMMYFUNCTION("""COMPUTED_VALUE"""),"Cqafr")</f>
        <v>Cqafr</v>
      </c>
      <c r="G90" s="10" t="str">
        <f>IFERROR(__xludf.DUMMYFUNCTION("""COMPUTED_VALUE"""),"No")</f>
        <v>No</v>
      </c>
      <c r="H90" s="10"/>
      <c r="I90" s="10"/>
      <c r="J90" s="10"/>
      <c r="K90" s="10">
        <f>IFERROR(__xludf.DUMMYFUNCTION("""COMPUTED_VALUE"""),1.0)</f>
        <v>1</v>
      </c>
      <c r="L90" s="10">
        <f>IFERROR(__xludf.DUMMYFUNCTION("""COMPUTED_VALUE"""),2.0)</f>
        <v>2</v>
      </c>
      <c r="M90" s="10">
        <f>IFERROR(__xludf.DUMMYFUNCTION("""COMPUTED_VALUE"""),4.0)</f>
        <v>4</v>
      </c>
      <c r="N90" s="10">
        <f>IFERROR(__xludf.DUMMYFUNCTION("""COMPUTED_VALUE"""),1.0)</f>
        <v>1</v>
      </c>
      <c r="O90" s="10">
        <f>IFERROR(__xludf.DUMMYFUNCTION("""COMPUTED_VALUE"""),0.0)</f>
        <v>0</v>
      </c>
      <c r="P90" s="10">
        <f>IFERROR(__xludf.DUMMYFUNCTION("""COMPUTED_VALUE"""),2.0)</f>
        <v>2</v>
      </c>
      <c r="Q90" s="10" t="str">
        <f>IFERROR(__xludf.DUMMYFUNCTION("""COMPUTED_VALUE"""),"No")</f>
        <v>No</v>
      </c>
      <c r="R90" s="10" t="str">
        <f>IFERROR(__xludf.DUMMYFUNCTION("""COMPUTED_VALUE"""),"No")</f>
        <v>No</v>
      </c>
      <c r="S90" s="10" t="str">
        <f>IFERROR(__xludf.DUMMYFUNCTION("""COMPUTED_VALUE"""),"No")</f>
        <v>No</v>
      </c>
      <c r="T90" s="10">
        <f>IFERROR(__xludf.DUMMYFUNCTION("""COMPUTED_VALUE"""),1.0)</f>
        <v>1</v>
      </c>
      <c r="U90" s="10">
        <f>IFERROR(__xludf.DUMMYFUNCTION("""COMPUTED_VALUE"""),1.0)</f>
        <v>1</v>
      </c>
      <c r="V90" s="10" t="str">
        <f>IFERROR(__xludf.DUMMYFUNCTION("""COMPUTED_VALUE"""),"Roza ")</f>
        <v>Roza </v>
      </c>
      <c r="W90" s="10" t="str">
        <f>IFERROR(__xludf.DUMMYFUNCTION("""COMPUTED_VALUE"""),"Mahe Ramzan ")</f>
        <v>Mahe Ramzan </v>
      </c>
      <c r="X90" s="10">
        <f>IFERROR(__xludf.DUMMYFUNCTION("""COMPUTED_VALUE"""),8.0)</f>
        <v>8</v>
      </c>
      <c r="Y90" s="10">
        <f>IFERROR(__xludf.DUMMYFUNCTION("""COMPUTED_VALUE"""),6.0)</f>
        <v>6</v>
      </c>
      <c r="Z90" s="10">
        <f>IFERROR(__xludf.DUMMYFUNCTION("""COMPUTED_VALUE"""),9.0)</f>
        <v>9</v>
      </c>
      <c r="AA90" s="10">
        <f>IFERROR(__xludf.DUMMYFUNCTION("""COMPUTED_VALUE"""),7.0)</f>
        <v>7</v>
      </c>
      <c r="AB90" s="10">
        <f>IFERROR(__xludf.DUMMYFUNCTION("""COMPUTED_VALUE"""),3.0)</f>
        <v>3</v>
      </c>
      <c r="AC90" s="10">
        <f>IFERROR(__xludf.DUMMYFUNCTION("""COMPUTED_VALUE"""),2.0)</f>
        <v>2</v>
      </c>
      <c r="AD90" s="10">
        <f>IFERROR(__xludf.DUMMYFUNCTION("""COMPUTED_VALUE"""),4.0)</f>
        <v>4</v>
      </c>
      <c r="AE90" s="10">
        <f>IFERROR(__xludf.DUMMYFUNCTION("""COMPUTED_VALUE"""),8.0)</f>
        <v>8</v>
      </c>
      <c r="AF90" s="10">
        <f>IFERROR(__xludf.DUMMYFUNCTION("""COMPUTED_VALUE"""),8.0)</f>
        <v>8</v>
      </c>
      <c r="AG90" s="10">
        <f>IFERROR(__xludf.DUMMYFUNCTION("""COMPUTED_VALUE"""),10.0)</f>
        <v>10</v>
      </c>
      <c r="AH90" s="10">
        <f>IFERROR(__xludf.DUMMYFUNCTION("""COMPUTED_VALUE"""),2.0)</f>
        <v>2</v>
      </c>
      <c r="AI90" s="10">
        <f>IFERROR(__xludf.DUMMYFUNCTION("""COMPUTED_VALUE"""),5.0)</f>
        <v>5</v>
      </c>
      <c r="AJ90" s="11" t="str">
        <f>IFERROR(__xludf.DUMMYFUNCTION("""COMPUTED_VALUE"""),"https://drive.google.com/open?id=1I4k_Ue_B1vN0gmtwU9DqVyFtoBLvGFJY")</f>
        <v>https://drive.google.com/open?id=1I4k_Ue_B1vN0gmtwU9DqVyFtoBLvGFJY</v>
      </c>
      <c r="AK90" s="12" t="str">
        <f>IFERROR(__xludf.DUMMYFUNCTION("""COMPUTED_VALUE"""),"No")</f>
        <v>No</v>
      </c>
      <c r="AL90" s="12"/>
      <c r="AM90" s="12"/>
      <c r="AN90" s="12"/>
      <c r="AO90" s="13" t="s">
        <v>7</v>
      </c>
      <c r="AX90" s="13"/>
    </row>
    <row r="91">
      <c r="A91" s="8">
        <v>90.0</v>
      </c>
      <c r="B91" s="9">
        <f>IFERROR(__xludf.DUMMYFUNCTION("""COMPUTED_VALUE"""),45728.061634722224)</f>
        <v>45728.06163</v>
      </c>
      <c r="C91" s="10" t="str">
        <f>IFERROR(__xludf.DUMMYFUNCTION("""COMPUTED_VALUE"""),"Muhammad saqib ")</f>
        <v>Muhammad saqib </v>
      </c>
      <c r="D91" s="10" t="str">
        <f>IFERROR(__xludf.DUMMYFUNCTION("""COMPUTED_VALUE"""),"03234041429")</f>
        <v>03234041429</v>
      </c>
      <c r="E91" s="10" t="str">
        <f>IFERROR(__xludf.DUMMYFUNCTION("""COMPUTED_VALUE"""),"Meeran hussain zanjani masjid")</f>
        <v>Meeran hussain zanjani masjid</v>
      </c>
      <c r="F91" s="10" t="str">
        <f>IFERROR(__xludf.DUMMYFUNCTION("""COMPUTED_VALUE"""),"Cqafr")</f>
        <v>Cqafr</v>
      </c>
      <c r="G91" s="10" t="str">
        <f>IFERROR(__xludf.DUMMYFUNCTION("""COMPUTED_VALUE"""),"Yes")</f>
        <v>Yes</v>
      </c>
      <c r="H91" s="10">
        <f>IFERROR(__xludf.DUMMYFUNCTION("""COMPUTED_VALUE"""),1.0)</f>
        <v>1</v>
      </c>
      <c r="I91" s="10">
        <f>IFERROR(__xludf.DUMMYFUNCTION("""COMPUTED_VALUE"""),9.0)</f>
        <v>9</v>
      </c>
      <c r="J91" s="10">
        <f>IFERROR(__xludf.DUMMYFUNCTION("""COMPUTED_VALUE"""),1.0)</f>
        <v>1</v>
      </c>
      <c r="K91" s="10">
        <f>IFERROR(__xludf.DUMMYFUNCTION("""COMPUTED_VALUE"""),3.0)</f>
        <v>3</v>
      </c>
      <c r="L91" s="10">
        <f>IFERROR(__xludf.DUMMYFUNCTION("""COMPUTED_VALUE"""),4.0)</f>
        <v>4</v>
      </c>
      <c r="M91" s="10">
        <f>IFERROR(__xludf.DUMMYFUNCTION("""COMPUTED_VALUE"""),2.0)</f>
        <v>2</v>
      </c>
      <c r="N91" s="10">
        <f>IFERROR(__xludf.DUMMYFUNCTION("""COMPUTED_VALUE"""),3.0)</f>
        <v>3</v>
      </c>
      <c r="O91" s="10">
        <f>IFERROR(__xludf.DUMMYFUNCTION("""COMPUTED_VALUE"""),0.0)</f>
        <v>0</v>
      </c>
      <c r="P91" s="10">
        <f>IFERROR(__xludf.DUMMYFUNCTION("""COMPUTED_VALUE"""),2.0)</f>
        <v>2</v>
      </c>
      <c r="Q91" s="10" t="str">
        <f>IFERROR(__xludf.DUMMYFUNCTION("""COMPUTED_VALUE"""),"No")</f>
        <v>No</v>
      </c>
      <c r="R91" s="10" t="str">
        <f>IFERROR(__xludf.DUMMYFUNCTION("""COMPUTED_VALUE"""),"No")</f>
        <v>No</v>
      </c>
      <c r="S91" s="10" t="str">
        <f>IFERROR(__xludf.DUMMYFUNCTION("""COMPUTED_VALUE"""),"No")</f>
        <v>No</v>
      </c>
      <c r="T91" s="10">
        <f>IFERROR(__xludf.DUMMYFUNCTION("""COMPUTED_VALUE"""),1.0)</f>
        <v>1</v>
      </c>
      <c r="U91" s="10">
        <f>IFERROR(__xludf.DUMMYFUNCTION("""COMPUTED_VALUE"""),1.0)</f>
        <v>1</v>
      </c>
      <c r="V91" s="10" t="str">
        <f>IFERROR(__xludf.DUMMYFUNCTION("""COMPUTED_VALUE"""),"Shuban or toba")</f>
        <v>Shuban or toba</v>
      </c>
      <c r="W91" s="10" t="str">
        <f>IFERROR(__xludf.DUMMYFUNCTION("""COMPUTED_VALUE"""),"Toba ki fazilat or shuban ka mahina")</f>
        <v>Toba ki fazilat or shuban ka mahina</v>
      </c>
      <c r="X91" s="10">
        <f>IFERROR(__xludf.DUMMYFUNCTION("""COMPUTED_VALUE"""),6.0)</f>
        <v>6</v>
      </c>
      <c r="Y91" s="10">
        <f>IFERROR(__xludf.DUMMYFUNCTION("""COMPUTED_VALUE"""),3.0)</f>
        <v>3</v>
      </c>
      <c r="Z91" s="10">
        <f>IFERROR(__xludf.DUMMYFUNCTION("""COMPUTED_VALUE"""),3.0)</f>
        <v>3</v>
      </c>
      <c r="AA91" s="10">
        <f>IFERROR(__xludf.DUMMYFUNCTION("""COMPUTED_VALUE"""),5.0)</f>
        <v>5</v>
      </c>
      <c r="AB91" s="10">
        <f>IFERROR(__xludf.DUMMYFUNCTION("""COMPUTED_VALUE"""),6.0)</f>
        <v>6</v>
      </c>
      <c r="AC91" s="10">
        <f>IFERROR(__xludf.DUMMYFUNCTION("""COMPUTED_VALUE"""),1.0)</f>
        <v>1</v>
      </c>
      <c r="AD91" s="10">
        <f>IFERROR(__xludf.DUMMYFUNCTION("""COMPUTED_VALUE"""),5.0)</f>
        <v>5</v>
      </c>
      <c r="AE91" s="10">
        <f>IFERROR(__xludf.DUMMYFUNCTION("""COMPUTED_VALUE"""),6.0)</f>
        <v>6</v>
      </c>
      <c r="AF91" s="10">
        <f>IFERROR(__xludf.DUMMYFUNCTION("""COMPUTED_VALUE"""),7.0)</f>
        <v>7</v>
      </c>
      <c r="AG91" s="10">
        <f>IFERROR(__xludf.DUMMYFUNCTION("""COMPUTED_VALUE"""),9.0)</f>
        <v>9</v>
      </c>
      <c r="AH91" s="10">
        <f>IFERROR(__xludf.DUMMYFUNCTION("""COMPUTED_VALUE"""),2.0)</f>
        <v>2</v>
      </c>
      <c r="AI91" s="10">
        <f>IFERROR(__xludf.DUMMYFUNCTION("""COMPUTED_VALUE"""),8.0)</f>
        <v>8</v>
      </c>
      <c r="AJ91" s="11" t="str">
        <f>IFERROR(__xludf.DUMMYFUNCTION("""COMPUTED_VALUE"""),"https://drive.google.com/open?id=1bUJZp5xJHrzTUgbuzYuD9fsVaioazrjH")</f>
        <v>https://drive.google.com/open?id=1bUJZp5xJHrzTUgbuzYuD9fsVaioazrjH</v>
      </c>
      <c r="AK91" s="12" t="str">
        <f>IFERROR(__xludf.DUMMYFUNCTION("""COMPUTED_VALUE"""),"No")</f>
        <v>No</v>
      </c>
      <c r="AL91" s="12"/>
      <c r="AM91" s="12"/>
      <c r="AN91" s="12"/>
      <c r="AO91" s="13" t="s">
        <v>7</v>
      </c>
      <c r="AX91" s="13"/>
    </row>
    <row r="92">
      <c r="A92" s="8">
        <v>91.0</v>
      </c>
      <c r="B92" s="9">
        <f>IFERROR(__xludf.DUMMYFUNCTION("""COMPUTED_VALUE"""),45728.06794842593)</f>
        <v>45728.06795</v>
      </c>
      <c r="C92" s="10" t="str">
        <f>IFERROR(__xludf.DUMMYFUNCTION("""COMPUTED_VALUE"""),"Muhammad saqib ")</f>
        <v>Muhammad saqib </v>
      </c>
      <c r="D92" s="10" t="str">
        <f>IFERROR(__xludf.DUMMYFUNCTION("""COMPUTED_VALUE"""),"03234041429")</f>
        <v>03234041429</v>
      </c>
      <c r="E92" s="10" t="str">
        <f>IFERROR(__xludf.DUMMYFUNCTION("""COMPUTED_VALUE"""),"Meeran hussain zanjani masjid ")</f>
        <v>Meeran hussain zanjani masjid </v>
      </c>
      <c r="F92" s="10" t="str">
        <f>IFERROR(__xludf.DUMMYFUNCTION("""COMPUTED_VALUE"""),"Cqafr")</f>
        <v>Cqafr</v>
      </c>
      <c r="G92" s="10" t="str">
        <f>IFERROR(__xludf.DUMMYFUNCTION("""COMPUTED_VALUE"""),"No")</f>
        <v>No</v>
      </c>
      <c r="H92" s="10"/>
      <c r="I92" s="10"/>
      <c r="J92" s="10"/>
      <c r="K92" s="10">
        <f>IFERROR(__xludf.DUMMYFUNCTION("""COMPUTED_VALUE"""),2.0)</f>
        <v>2</v>
      </c>
      <c r="L92" s="10">
        <f>IFERROR(__xludf.DUMMYFUNCTION("""COMPUTED_VALUE"""),5.0)</f>
        <v>5</v>
      </c>
      <c r="M92" s="10">
        <f>IFERROR(__xludf.DUMMYFUNCTION("""COMPUTED_VALUE"""),1.0)</f>
        <v>1</v>
      </c>
      <c r="N92" s="10">
        <f>IFERROR(__xludf.DUMMYFUNCTION("""COMPUTED_VALUE"""),2.0)</f>
        <v>2</v>
      </c>
      <c r="O92" s="10">
        <f>IFERROR(__xludf.DUMMYFUNCTION("""COMPUTED_VALUE"""),2.0)</f>
        <v>2</v>
      </c>
      <c r="P92" s="10">
        <f>IFERROR(__xludf.DUMMYFUNCTION("""COMPUTED_VALUE"""),4.0)</f>
        <v>4</v>
      </c>
      <c r="Q92" s="10" t="str">
        <f>IFERROR(__xludf.DUMMYFUNCTION("""COMPUTED_VALUE"""),"No")</f>
        <v>No</v>
      </c>
      <c r="R92" s="10" t="str">
        <f>IFERROR(__xludf.DUMMYFUNCTION("""COMPUTED_VALUE"""),"No")</f>
        <v>No</v>
      </c>
      <c r="S92" s="10" t="str">
        <f>IFERROR(__xludf.DUMMYFUNCTION("""COMPUTED_VALUE"""),"No")</f>
        <v>No</v>
      </c>
      <c r="T92" s="10">
        <f>IFERROR(__xludf.DUMMYFUNCTION("""COMPUTED_VALUE"""),0.0)</f>
        <v>0</v>
      </c>
      <c r="U92" s="10">
        <f>IFERROR(__xludf.DUMMYFUNCTION("""COMPUTED_VALUE"""),4.0)</f>
        <v>4</v>
      </c>
      <c r="V92" s="10" t="str">
        <f>IFERROR(__xludf.DUMMYFUNCTION("""COMPUTED_VALUE"""),"Sachi toba")</f>
        <v>Sachi toba</v>
      </c>
      <c r="W92" s="10" t="str">
        <f>IFERROR(__xludf.DUMMYFUNCTION("""COMPUTED_VALUE"""),"Fazal or adal ka taqaza or toba")</f>
        <v>Fazal or adal ka taqaza or toba</v>
      </c>
      <c r="X92" s="10">
        <f>IFERROR(__xludf.DUMMYFUNCTION("""COMPUTED_VALUE"""),3.0)</f>
        <v>3</v>
      </c>
      <c r="Y92" s="10">
        <f>IFERROR(__xludf.DUMMYFUNCTION("""COMPUTED_VALUE"""),5.0)</f>
        <v>5</v>
      </c>
      <c r="Z92" s="10">
        <f>IFERROR(__xludf.DUMMYFUNCTION("""COMPUTED_VALUE"""),2.0)</f>
        <v>2</v>
      </c>
      <c r="AA92" s="10">
        <f>IFERROR(__xludf.DUMMYFUNCTION("""COMPUTED_VALUE"""),5.0)</f>
        <v>5</v>
      </c>
      <c r="AB92" s="10">
        <f>IFERROR(__xludf.DUMMYFUNCTION("""COMPUTED_VALUE"""),3.0)</f>
        <v>3</v>
      </c>
      <c r="AC92" s="10">
        <f>IFERROR(__xludf.DUMMYFUNCTION("""COMPUTED_VALUE"""),6.0)</f>
        <v>6</v>
      </c>
      <c r="AD92" s="10">
        <f>IFERROR(__xludf.DUMMYFUNCTION("""COMPUTED_VALUE"""),3.0)</f>
        <v>3</v>
      </c>
      <c r="AE92" s="10">
        <f>IFERROR(__xludf.DUMMYFUNCTION("""COMPUTED_VALUE"""),7.0)</f>
        <v>7</v>
      </c>
      <c r="AF92" s="10">
        <f>IFERROR(__xludf.DUMMYFUNCTION("""COMPUTED_VALUE"""),5.0)</f>
        <v>5</v>
      </c>
      <c r="AG92" s="10">
        <f>IFERROR(__xludf.DUMMYFUNCTION("""COMPUTED_VALUE"""),5.0)</f>
        <v>5</v>
      </c>
      <c r="AH92" s="10">
        <f>IFERROR(__xludf.DUMMYFUNCTION("""COMPUTED_VALUE"""),1.0)</f>
        <v>1</v>
      </c>
      <c r="AI92" s="10">
        <f>IFERROR(__xludf.DUMMYFUNCTION("""COMPUTED_VALUE"""),8.0)</f>
        <v>8</v>
      </c>
      <c r="AJ92" s="11" t="str">
        <f>IFERROR(__xludf.DUMMYFUNCTION("""COMPUTED_VALUE"""),"https://drive.google.com/open?id=15oe2SkAtJPxJTQVVRNGJUjzj1dLAT1jk")</f>
        <v>https://drive.google.com/open?id=15oe2SkAtJPxJTQVVRNGJUjzj1dLAT1jk</v>
      </c>
      <c r="AK92" s="12" t="str">
        <f>IFERROR(__xludf.DUMMYFUNCTION("""COMPUTED_VALUE"""),"No")</f>
        <v>No</v>
      </c>
      <c r="AL92" s="12"/>
      <c r="AM92" s="12"/>
      <c r="AN92" s="12"/>
      <c r="AO92" s="13" t="s">
        <v>7</v>
      </c>
      <c r="AX92" s="13"/>
    </row>
    <row r="93">
      <c r="A93" s="8">
        <v>92.0</v>
      </c>
      <c r="B93" s="9">
        <f>IFERROR(__xludf.DUMMYFUNCTION("""COMPUTED_VALUE"""),45769.15408325232)</f>
        <v>45769.15408</v>
      </c>
      <c r="C93" s="10" t="str">
        <f>IFERROR(__xludf.DUMMYFUNCTION("""COMPUTED_VALUE"""),"Haider Ali")</f>
        <v>Haider Ali</v>
      </c>
      <c r="D93" s="10" t="str">
        <f>IFERROR(__xludf.DUMMYFUNCTION("""COMPUTED_VALUE"""),"03330031508")</f>
        <v>03330031508</v>
      </c>
      <c r="E93" s="10" t="str">
        <f>IFERROR(__xludf.DUMMYFUNCTION("""COMPUTED_VALUE"""),"Jamai masjed Mirza ourkaan Sheikupura ")</f>
        <v>Jamai masjed Mirza ourkaan Sheikupura </v>
      </c>
      <c r="F93" s="10" t="str">
        <f>IFERROR(__xludf.DUMMYFUNCTION("""COMPUTED_VALUE"""),"Hnzog")</f>
        <v>Hnzog</v>
      </c>
      <c r="G93" s="10" t="str">
        <f>IFERROR(__xludf.DUMMYFUNCTION("""COMPUTED_VALUE"""),"No")</f>
        <v>No</v>
      </c>
      <c r="H93" s="10"/>
      <c r="I93" s="10"/>
      <c r="J93" s="10"/>
      <c r="K93" s="10">
        <f>IFERROR(__xludf.DUMMYFUNCTION("""COMPUTED_VALUE"""),0.0)</f>
        <v>0</v>
      </c>
      <c r="L93" s="10">
        <f>IFERROR(__xludf.DUMMYFUNCTION("""COMPUTED_VALUE"""),0.0)</f>
        <v>0</v>
      </c>
      <c r="M93" s="10">
        <f>IFERROR(__xludf.DUMMYFUNCTION("""COMPUTED_VALUE"""),0.0)</f>
        <v>0</v>
      </c>
      <c r="N93" s="10">
        <f>IFERROR(__xludf.DUMMYFUNCTION("""COMPUTED_VALUE"""),0.0)</f>
        <v>0</v>
      </c>
      <c r="O93" s="10">
        <f>IFERROR(__xludf.DUMMYFUNCTION("""COMPUTED_VALUE"""),0.0)</f>
        <v>0</v>
      </c>
      <c r="P93" s="10">
        <f>IFERROR(__xludf.DUMMYFUNCTION("""COMPUTED_VALUE"""),0.0)</f>
        <v>0</v>
      </c>
      <c r="Q93" s="10" t="str">
        <f>IFERROR(__xludf.DUMMYFUNCTION("""COMPUTED_VALUE"""),"No")</f>
        <v>No</v>
      </c>
      <c r="R93" s="10" t="str">
        <f>IFERROR(__xludf.DUMMYFUNCTION("""COMPUTED_VALUE"""),"Yes")</f>
        <v>Yes</v>
      </c>
      <c r="S93" s="10" t="str">
        <f>IFERROR(__xludf.DUMMYFUNCTION("""COMPUTED_VALUE"""),"No")</f>
        <v>No</v>
      </c>
      <c r="T93" s="10">
        <f>IFERROR(__xludf.DUMMYFUNCTION("""COMPUTED_VALUE"""),0.0)</f>
        <v>0</v>
      </c>
      <c r="U93" s="10">
        <f>IFERROR(__xludf.DUMMYFUNCTION("""COMPUTED_VALUE"""),0.0)</f>
        <v>0</v>
      </c>
      <c r="V93" s="10" t="str">
        <f>IFERROR(__xludf.DUMMYFUNCTION("""COMPUTED_VALUE"""),"Waldain KY motlik")</f>
        <v>Waldain KY motlik</v>
      </c>
      <c r="W93" s="10" t="str">
        <f>IFERROR(__xludf.DUMMYFUNCTION("""COMPUTED_VALUE"""),"Maaaa baaap ka hakook or in ki farmbrdari ")</f>
        <v>Maaaa baaap ka hakook or in ki farmbrdari </v>
      </c>
      <c r="X93" s="10">
        <f>IFERROR(__xludf.DUMMYFUNCTION("""COMPUTED_VALUE"""),4.0)</f>
        <v>4</v>
      </c>
      <c r="Y93" s="10">
        <f>IFERROR(__xludf.DUMMYFUNCTION("""COMPUTED_VALUE"""),4.0)</f>
        <v>4</v>
      </c>
      <c r="Z93" s="10">
        <f>IFERROR(__xludf.DUMMYFUNCTION("""COMPUTED_VALUE"""),3.0)</f>
        <v>3</v>
      </c>
      <c r="AA93" s="10">
        <f>IFERROR(__xludf.DUMMYFUNCTION("""COMPUTED_VALUE"""),3.0)</f>
        <v>3</v>
      </c>
      <c r="AB93" s="10">
        <f>IFERROR(__xludf.DUMMYFUNCTION("""COMPUTED_VALUE"""),0.0)</f>
        <v>0</v>
      </c>
      <c r="AC93" s="10">
        <f>IFERROR(__xludf.DUMMYFUNCTION("""COMPUTED_VALUE"""),0.0)</f>
        <v>0</v>
      </c>
      <c r="AD93" s="10">
        <f>IFERROR(__xludf.DUMMYFUNCTION("""COMPUTED_VALUE"""),2.0)</f>
        <v>2</v>
      </c>
      <c r="AE93" s="10">
        <f>IFERROR(__xludf.DUMMYFUNCTION("""COMPUTED_VALUE"""),7.0)</f>
        <v>7</v>
      </c>
      <c r="AF93" s="10">
        <f>IFERROR(__xludf.DUMMYFUNCTION("""COMPUTED_VALUE"""),10.0)</f>
        <v>10</v>
      </c>
      <c r="AG93" s="10">
        <f>IFERROR(__xludf.DUMMYFUNCTION("""COMPUTED_VALUE"""),10.0)</f>
        <v>10</v>
      </c>
      <c r="AH93" s="10">
        <f>IFERROR(__xludf.DUMMYFUNCTION("""COMPUTED_VALUE"""),0.0)</f>
        <v>0</v>
      </c>
      <c r="AI93" s="10">
        <f>IFERROR(__xludf.DUMMYFUNCTION("""COMPUTED_VALUE"""),9.0)</f>
        <v>9</v>
      </c>
      <c r="AJ93" s="14"/>
      <c r="AK93" s="12"/>
      <c r="AL93" s="12"/>
      <c r="AM93" s="12"/>
      <c r="AN93" s="12"/>
      <c r="AO93" s="13" t="s">
        <v>7</v>
      </c>
      <c r="AX93" s="13"/>
    </row>
    <row r="94">
      <c r="A94" s="8">
        <v>93.0</v>
      </c>
      <c r="B94" s="9">
        <f>IFERROR(__xludf.DUMMYFUNCTION("""COMPUTED_VALUE"""),45769.220604629634)</f>
        <v>45769.2206</v>
      </c>
      <c r="C94" s="10" t="str">
        <f>IFERROR(__xludf.DUMMYFUNCTION("""COMPUTED_VALUE"""),"Sajjad Hussain bhatti ")</f>
        <v>Sajjad Hussain bhatti </v>
      </c>
      <c r="D94" s="10">
        <f>IFERROR(__xludf.DUMMYFUNCTION("""COMPUTED_VALUE"""),3.00843276E9)</f>
        <v>3008432760</v>
      </c>
      <c r="E94" s="10" t="str">
        <f>IFERROR(__xludf.DUMMYFUNCTION("""COMPUTED_VALUE"""),"Jamia masjid syedia muridkey ")</f>
        <v>Jamia masjid syedia muridkey </v>
      </c>
      <c r="F94" s="10" t="str">
        <f>IFERROR(__xludf.DUMMYFUNCTION("""COMPUTED_VALUE"""),"XBFUU")</f>
        <v>XBFUU</v>
      </c>
      <c r="G94" s="10" t="str">
        <f>IFERROR(__xludf.DUMMYFUNCTION("""COMPUTED_VALUE"""),"Yes")</f>
        <v>Yes</v>
      </c>
      <c r="H94" s="10">
        <f>IFERROR(__xludf.DUMMYFUNCTION("""COMPUTED_VALUE"""),9.0)</f>
        <v>9</v>
      </c>
      <c r="I94" s="10">
        <f>IFERROR(__xludf.DUMMYFUNCTION("""COMPUTED_VALUE"""),1.0)</f>
        <v>1</v>
      </c>
      <c r="J94" s="10">
        <f>IFERROR(__xludf.DUMMYFUNCTION("""COMPUTED_VALUE"""),10.0)</f>
        <v>10</v>
      </c>
      <c r="K94" s="10">
        <f>IFERROR(__xludf.DUMMYFUNCTION("""COMPUTED_VALUE"""),10.0)</f>
        <v>10</v>
      </c>
      <c r="L94" s="10">
        <f>IFERROR(__xludf.DUMMYFUNCTION("""COMPUTED_VALUE"""),10.0)</f>
        <v>10</v>
      </c>
      <c r="M94" s="10">
        <f>IFERROR(__xludf.DUMMYFUNCTION("""COMPUTED_VALUE"""),10.0)</f>
        <v>10</v>
      </c>
      <c r="N94" s="10">
        <f>IFERROR(__xludf.DUMMYFUNCTION("""COMPUTED_VALUE"""),10.0)</f>
        <v>10</v>
      </c>
      <c r="O94" s="10">
        <f>IFERROR(__xludf.DUMMYFUNCTION("""COMPUTED_VALUE"""),10.0)</f>
        <v>10</v>
      </c>
      <c r="P94" s="10">
        <f>IFERROR(__xludf.DUMMYFUNCTION("""COMPUTED_VALUE"""),10.0)</f>
        <v>10</v>
      </c>
      <c r="Q94" s="10" t="str">
        <f>IFERROR(__xludf.DUMMYFUNCTION("""COMPUTED_VALUE"""),"Yes")</f>
        <v>Yes</v>
      </c>
      <c r="R94" s="10" t="str">
        <f>IFERROR(__xludf.DUMMYFUNCTION("""COMPUTED_VALUE"""),"Yes")</f>
        <v>Yes</v>
      </c>
      <c r="S94" s="10" t="str">
        <f>IFERROR(__xludf.DUMMYFUNCTION("""COMPUTED_VALUE"""),"Yes")</f>
        <v>Yes</v>
      </c>
      <c r="T94" s="10">
        <f>IFERROR(__xludf.DUMMYFUNCTION("""COMPUTED_VALUE"""),10.0)</f>
        <v>10</v>
      </c>
      <c r="U94" s="10">
        <f>IFERROR(__xludf.DUMMYFUNCTION("""COMPUTED_VALUE"""),5.0)</f>
        <v>5</v>
      </c>
      <c r="V94" s="10" t="str">
        <f>IFERROR(__xludf.DUMMYFUNCTION("""COMPUTED_VALUE"""),"پڑوسی کے حقوق ")</f>
        <v>پڑوسی کے حقوق </v>
      </c>
      <c r="W94" s="10" t="str">
        <f>IFERROR(__xludf.DUMMYFUNCTION("""COMPUTED_VALUE"""),"حقوق العباد  اور صفائی کے بارے میں بیان کیا ")</f>
        <v>حقوق العباد  اور صفائی کے بارے میں بیان کیا </v>
      </c>
      <c r="X94" s="10">
        <f>IFERROR(__xludf.DUMMYFUNCTION("""COMPUTED_VALUE"""),5.0)</f>
        <v>5</v>
      </c>
      <c r="Y94" s="10">
        <f>IFERROR(__xludf.DUMMYFUNCTION("""COMPUTED_VALUE"""),10.0)</f>
        <v>10</v>
      </c>
      <c r="Z94" s="10">
        <f>IFERROR(__xludf.DUMMYFUNCTION("""COMPUTED_VALUE"""),3.0)</f>
        <v>3</v>
      </c>
      <c r="AA94" s="10">
        <f>IFERROR(__xludf.DUMMYFUNCTION("""COMPUTED_VALUE"""),10.0)</f>
        <v>10</v>
      </c>
      <c r="AB94" s="10">
        <f>IFERROR(__xludf.DUMMYFUNCTION("""COMPUTED_VALUE"""),5.0)</f>
        <v>5</v>
      </c>
      <c r="AC94" s="10">
        <f>IFERROR(__xludf.DUMMYFUNCTION("""COMPUTED_VALUE"""),0.0)</f>
        <v>0</v>
      </c>
      <c r="AD94" s="10">
        <f>IFERROR(__xludf.DUMMYFUNCTION("""COMPUTED_VALUE"""),1.0)</f>
        <v>1</v>
      </c>
      <c r="AE94" s="10">
        <f>IFERROR(__xludf.DUMMYFUNCTION("""COMPUTED_VALUE"""),2.0)</f>
        <v>2</v>
      </c>
      <c r="AF94" s="10">
        <f>IFERROR(__xludf.DUMMYFUNCTION("""COMPUTED_VALUE"""),6.0)</f>
        <v>6</v>
      </c>
      <c r="AG94" s="10">
        <f>IFERROR(__xludf.DUMMYFUNCTION("""COMPUTED_VALUE"""),10.0)</f>
        <v>10</v>
      </c>
      <c r="AH94" s="10">
        <f>IFERROR(__xludf.DUMMYFUNCTION("""COMPUTED_VALUE"""),0.0)</f>
        <v>0</v>
      </c>
      <c r="AI94" s="10">
        <f>IFERROR(__xludf.DUMMYFUNCTION("""COMPUTED_VALUE"""),9.0)</f>
        <v>9</v>
      </c>
      <c r="AJ94" s="11" t="str">
        <f>IFERROR(__xludf.DUMMYFUNCTION("""COMPUTED_VALUE"""),"https://drive.google.com/open?id=1Iyt_XWIyHKQPrqdxx6AmILw69ezH1y7y")</f>
        <v>https://drive.google.com/open?id=1Iyt_XWIyHKQPrqdxx6AmILw69ezH1y7y</v>
      </c>
      <c r="AK94" s="12"/>
      <c r="AL94" s="12" t="str">
        <f>IFERROR(__xludf.DUMMYFUNCTION("""COMPUTED_VALUE"""),"Yes")</f>
        <v>Yes</v>
      </c>
      <c r="AM94" s="15">
        <f>IFERROR(__xludf.DUMMYFUNCTION("""COMPUTED_VALUE"""),0.9)</f>
        <v>0.9</v>
      </c>
      <c r="AN94" s="12"/>
      <c r="AO94" s="13">
        <v>1.0</v>
      </c>
      <c r="AX94" s="13">
        <v>1.0</v>
      </c>
    </row>
    <row r="95">
      <c r="A95" s="8">
        <v>94.0</v>
      </c>
      <c r="B95" s="9">
        <f>IFERROR(__xludf.DUMMYFUNCTION("""COMPUTED_VALUE"""),45769.26030759259)</f>
        <v>45769.26031</v>
      </c>
      <c r="C95" s="10" t="str">
        <f>IFERROR(__xludf.DUMMYFUNCTION("""COMPUTED_VALUE"""),"Hafiz Muhammad Asif ")</f>
        <v>Hafiz Muhammad Asif </v>
      </c>
      <c r="D95" s="10" t="str">
        <f>IFERROR(__xludf.DUMMYFUNCTION("""COMPUTED_VALUE"""),"03318421006")</f>
        <v>03318421006</v>
      </c>
      <c r="E95" s="10" t="str">
        <f>IFERROR(__xludf.DUMMYFUNCTION("""COMPUTED_VALUE"""),"Jamia Masjid Railway Road Sheikhupura ")</f>
        <v>Jamia Masjid Railway Road Sheikhupura </v>
      </c>
      <c r="F95" s="10" t="str">
        <f>IFERROR(__xludf.DUMMYFUNCTION("""COMPUTED_VALUE"""),"INGWH")</f>
        <v>INGWH</v>
      </c>
      <c r="G95" s="10" t="str">
        <f>IFERROR(__xludf.DUMMYFUNCTION("""COMPUTED_VALUE"""),"No")</f>
        <v>No</v>
      </c>
      <c r="H95" s="10"/>
      <c r="I95" s="10"/>
      <c r="J95" s="10"/>
      <c r="K95" s="10">
        <f>IFERROR(__xludf.DUMMYFUNCTION("""COMPUTED_VALUE"""),10.0)</f>
        <v>10</v>
      </c>
      <c r="L95" s="10">
        <f>IFERROR(__xludf.DUMMYFUNCTION("""COMPUTED_VALUE"""),10.0)</f>
        <v>10</v>
      </c>
      <c r="M95" s="10">
        <f>IFERROR(__xludf.DUMMYFUNCTION("""COMPUTED_VALUE"""),10.0)</f>
        <v>10</v>
      </c>
      <c r="N95" s="10">
        <f>IFERROR(__xludf.DUMMYFUNCTION("""COMPUTED_VALUE"""),10.0)</f>
        <v>10</v>
      </c>
      <c r="O95" s="10">
        <f>IFERROR(__xludf.DUMMYFUNCTION("""COMPUTED_VALUE"""),0.0)</f>
        <v>0</v>
      </c>
      <c r="P95" s="10">
        <f>IFERROR(__xludf.DUMMYFUNCTION("""COMPUTED_VALUE"""),10.0)</f>
        <v>10</v>
      </c>
      <c r="Q95" s="10" t="str">
        <f>IFERROR(__xludf.DUMMYFUNCTION("""COMPUTED_VALUE"""),"No")</f>
        <v>No</v>
      </c>
      <c r="R95" s="10" t="str">
        <f>IFERROR(__xludf.DUMMYFUNCTION("""COMPUTED_VALUE"""),"Yes")</f>
        <v>Yes</v>
      </c>
      <c r="S95" s="10" t="str">
        <f>IFERROR(__xludf.DUMMYFUNCTION("""COMPUTED_VALUE"""),"No")</f>
        <v>No</v>
      </c>
      <c r="T95" s="10">
        <f>IFERROR(__xludf.DUMMYFUNCTION("""COMPUTED_VALUE"""),0.0)</f>
        <v>0</v>
      </c>
      <c r="U95" s="10">
        <f>IFERROR(__xludf.DUMMYFUNCTION("""COMPUTED_VALUE"""),0.0)</f>
        <v>0</v>
      </c>
      <c r="V95" s="10" t="str">
        <f>IFERROR(__xludf.DUMMYFUNCTION("""COMPUTED_VALUE""")," حقوق اللہ اور حقوق العباد ")</f>
        <v> حقوق اللہ اور حقوق العباد </v>
      </c>
      <c r="W95" s="10" t="str">
        <f>IFERROR(__xludf.DUMMYFUNCTION("""COMPUTED_VALUE"""),"حقوق آللہ اور حقوق العباد کے بارےمیں بات کی 
اور صحت وصفائی کے بارے میں بھی بات کی۔")</f>
        <v>حقوق آللہ اور حقوق العباد کے بارےمیں بات کی 
اور صحت وصفائی کے بارے میں بھی بات کی۔</v>
      </c>
      <c r="X95" s="10">
        <f>IFERROR(__xludf.DUMMYFUNCTION("""COMPUTED_VALUE"""),10.0)</f>
        <v>10</v>
      </c>
      <c r="Y95" s="10">
        <f>IFERROR(__xludf.DUMMYFUNCTION("""COMPUTED_VALUE"""),10.0)</f>
        <v>10</v>
      </c>
      <c r="Z95" s="10">
        <f>IFERROR(__xludf.DUMMYFUNCTION("""COMPUTED_VALUE"""),10.0)</f>
        <v>10</v>
      </c>
      <c r="AA95" s="10">
        <f>IFERROR(__xludf.DUMMYFUNCTION("""COMPUTED_VALUE"""),10.0)</f>
        <v>10</v>
      </c>
      <c r="AB95" s="10">
        <f>IFERROR(__xludf.DUMMYFUNCTION("""COMPUTED_VALUE"""),10.0)</f>
        <v>10</v>
      </c>
      <c r="AC95" s="10">
        <f>IFERROR(__xludf.DUMMYFUNCTION("""COMPUTED_VALUE"""),0.0)</f>
        <v>0</v>
      </c>
      <c r="AD95" s="10">
        <f>IFERROR(__xludf.DUMMYFUNCTION("""COMPUTED_VALUE"""),10.0)</f>
        <v>10</v>
      </c>
      <c r="AE95" s="10">
        <f>IFERROR(__xludf.DUMMYFUNCTION("""COMPUTED_VALUE"""),5.0)</f>
        <v>5</v>
      </c>
      <c r="AF95" s="10">
        <f>IFERROR(__xludf.DUMMYFUNCTION("""COMPUTED_VALUE"""),0.0)</f>
        <v>0</v>
      </c>
      <c r="AG95" s="10">
        <f>IFERROR(__xludf.DUMMYFUNCTION("""COMPUTED_VALUE"""),10.0)</f>
        <v>10</v>
      </c>
      <c r="AH95" s="10">
        <f>IFERROR(__xludf.DUMMYFUNCTION("""COMPUTED_VALUE"""),0.0)</f>
        <v>0</v>
      </c>
      <c r="AI95" s="10">
        <f>IFERROR(__xludf.DUMMYFUNCTION("""COMPUTED_VALUE"""),10.0)</f>
        <v>10</v>
      </c>
      <c r="AJ95" s="11" t="str">
        <f>IFERROR(__xludf.DUMMYFUNCTION("""COMPUTED_VALUE"""),"https://drive.google.com/open?id=106iWGI1kwp9NkrXE4s_Lap1nCFOZdzksd4P4U-kiWe8")</f>
        <v>https://drive.google.com/open?id=106iWGI1kwp9NkrXE4s_Lap1nCFOZdzksd4P4U-kiWe8</v>
      </c>
      <c r="AK95" s="12"/>
      <c r="AL95" s="12"/>
      <c r="AM95" s="12"/>
      <c r="AN95" s="12"/>
      <c r="AO95" s="13" t="s">
        <v>4</v>
      </c>
      <c r="AX95" s="13"/>
    </row>
    <row r="96">
      <c r="A96" s="8">
        <v>95.0</v>
      </c>
      <c r="B96" s="9">
        <f>IFERROR(__xludf.DUMMYFUNCTION("""COMPUTED_VALUE"""),45769.27448702547)</f>
        <v>45769.27449</v>
      </c>
      <c r="C96" s="10" t="str">
        <f>IFERROR(__xludf.DUMMYFUNCTION("""COMPUTED_VALUE"""),"Hafiz Muhammad Asif ")</f>
        <v>Hafiz Muhammad Asif </v>
      </c>
      <c r="D96" s="10" t="str">
        <f>IFERROR(__xludf.DUMMYFUNCTION("""COMPUTED_VALUE"""),"03318421006")</f>
        <v>03318421006</v>
      </c>
      <c r="E96" s="10" t="str">
        <f>IFERROR(__xludf.DUMMYFUNCTION("""COMPUTED_VALUE"""),"Jamia Masjid Railway Road Sheikhupura ")</f>
        <v>Jamia Masjid Railway Road Sheikhupura </v>
      </c>
      <c r="F96" s="10" t="str">
        <f>IFERROR(__xludf.DUMMYFUNCTION("""COMPUTED_VALUE"""),"INGWH")</f>
        <v>INGWH</v>
      </c>
      <c r="G96" s="10" t="str">
        <f>IFERROR(__xludf.DUMMYFUNCTION("""COMPUTED_VALUE"""),"No")</f>
        <v>No</v>
      </c>
      <c r="H96" s="10"/>
      <c r="I96" s="10"/>
      <c r="J96" s="10"/>
      <c r="K96" s="10">
        <f>IFERROR(__xludf.DUMMYFUNCTION("""COMPUTED_VALUE"""),10.0)</f>
        <v>10</v>
      </c>
      <c r="L96" s="10">
        <f>IFERROR(__xludf.DUMMYFUNCTION("""COMPUTED_VALUE"""),10.0)</f>
        <v>10</v>
      </c>
      <c r="M96" s="10">
        <f>IFERROR(__xludf.DUMMYFUNCTION("""COMPUTED_VALUE"""),10.0)</f>
        <v>10</v>
      </c>
      <c r="N96" s="10">
        <f>IFERROR(__xludf.DUMMYFUNCTION("""COMPUTED_VALUE"""),10.0)</f>
        <v>10</v>
      </c>
      <c r="O96" s="10">
        <f>IFERROR(__xludf.DUMMYFUNCTION("""COMPUTED_VALUE"""),0.0)</f>
        <v>0</v>
      </c>
      <c r="P96" s="10">
        <f>IFERROR(__xludf.DUMMYFUNCTION("""COMPUTED_VALUE"""),10.0)</f>
        <v>10</v>
      </c>
      <c r="Q96" s="10" t="str">
        <f>IFERROR(__xludf.DUMMYFUNCTION("""COMPUTED_VALUE"""),"No")</f>
        <v>No</v>
      </c>
      <c r="R96" s="10" t="str">
        <f>IFERROR(__xludf.DUMMYFUNCTION("""COMPUTED_VALUE"""),"Yes")</f>
        <v>Yes</v>
      </c>
      <c r="S96" s="10" t="str">
        <f>IFERROR(__xludf.DUMMYFUNCTION("""COMPUTED_VALUE"""),"No")</f>
        <v>No</v>
      </c>
      <c r="T96" s="10">
        <f>IFERROR(__xludf.DUMMYFUNCTION("""COMPUTED_VALUE"""),0.0)</f>
        <v>0</v>
      </c>
      <c r="U96" s="10">
        <f>IFERROR(__xludf.DUMMYFUNCTION("""COMPUTED_VALUE"""),0.0)</f>
        <v>0</v>
      </c>
      <c r="V96" s="10" t="str">
        <f>IFERROR(__xludf.DUMMYFUNCTION("""COMPUTED_VALUE"""),"حقوق آللہ اور حقوق العباد ")</f>
        <v>حقوق آللہ اور حقوق العباد </v>
      </c>
      <c r="W96" s="10" t="str">
        <f>IFERROR(__xludf.DUMMYFUNCTION("""COMPUTED_VALUE"""),"حقوق آللہ اور حقوق العباد کے بارےمیں بات کی 
اور صحت وصفائی کے بارے میں بھی بات کی ")</f>
        <v>حقوق آللہ اور حقوق العباد کے بارےمیں بات کی 
اور صحت وصفائی کے بارے میں بھی بات کی </v>
      </c>
      <c r="X96" s="10">
        <f>IFERROR(__xludf.DUMMYFUNCTION("""COMPUTED_VALUE"""),10.0)</f>
        <v>10</v>
      </c>
      <c r="Y96" s="10">
        <f>IFERROR(__xludf.DUMMYFUNCTION("""COMPUTED_VALUE"""),10.0)</f>
        <v>10</v>
      </c>
      <c r="Z96" s="10">
        <f>IFERROR(__xludf.DUMMYFUNCTION("""COMPUTED_VALUE"""),10.0)</f>
        <v>10</v>
      </c>
      <c r="AA96" s="10">
        <f>IFERROR(__xludf.DUMMYFUNCTION("""COMPUTED_VALUE"""),10.0)</f>
        <v>10</v>
      </c>
      <c r="AB96" s="10">
        <f>IFERROR(__xludf.DUMMYFUNCTION("""COMPUTED_VALUE"""),5.0)</f>
        <v>5</v>
      </c>
      <c r="AC96" s="10">
        <f>IFERROR(__xludf.DUMMYFUNCTION("""COMPUTED_VALUE"""),0.0)</f>
        <v>0</v>
      </c>
      <c r="AD96" s="10">
        <f>IFERROR(__xludf.DUMMYFUNCTION("""COMPUTED_VALUE"""),10.0)</f>
        <v>10</v>
      </c>
      <c r="AE96" s="10">
        <f>IFERROR(__xludf.DUMMYFUNCTION("""COMPUTED_VALUE"""),5.0)</f>
        <v>5</v>
      </c>
      <c r="AF96" s="10">
        <f>IFERROR(__xludf.DUMMYFUNCTION("""COMPUTED_VALUE"""),0.0)</f>
        <v>0</v>
      </c>
      <c r="AG96" s="10">
        <f>IFERROR(__xludf.DUMMYFUNCTION("""COMPUTED_VALUE"""),10.0)</f>
        <v>10</v>
      </c>
      <c r="AH96" s="10">
        <f>IFERROR(__xludf.DUMMYFUNCTION("""COMPUTED_VALUE"""),0.0)</f>
        <v>0</v>
      </c>
      <c r="AI96" s="10">
        <f>IFERROR(__xludf.DUMMYFUNCTION("""COMPUTED_VALUE"""),10.0)</f>
        <v>10</v>
      </c>
      <c r="AJ96" s="11" t="str">
        <f>IFERROR(__xludf.DUMMYFUNCTION("""COMPUTED_VALUE"""),"https://drive.google.com/open?id=10x6JBoP5t-Tc_PlJqhQQ2USKdyqjKebWbMRmnJfh-r0")</f>
        <v>https://drive.google.com/open?id=10x6JBoP5t-Tc_PlJqhQQ2USKdyqjKebWbMRmnJfh-r0</v>
      </c>
      <c r="AK96" s="12"/>
      <c r="AL96" s="12"/>
      <c r="AM96" s="12"/>
      <c r="AN96" s="12"/>
      <c r="AO96" s="13">
        <v>1.0</v>
      </c>
      <c r="AX96" s="13">
        <v>1.0</v>
      </c>
    </row>
    <row r="97">
      <c r="A97" s="8">
        <v>96.0</v>
      </c>
      <c r="B97" s="9">
        <f>IFERROR(__xludf.DUMMYFUNCTION("""COMPUTED_VALUE"""),45769.30180954861)</f>
        <v>45769.30181</v>
      </c>
      <c r="C97" s="10" t="str">
        <f>IFERROR(__xludf.DUMMYFUNCTION("""COMPUTED_VALUE"""),"Jamshaid Ali")</f>
        <v>Jamshaid Ali</v>
      </c>
      <c r="D97" s="10" t="str">
        <f>IFERROR(__xludf.DUMMYFUNCTION("""COMPUTED_VALUE"""),"03344036442")</f>
        <v>03344036442</v>
      </c>
      <c r="E97" s="10" t="str">
        <f>IFERROR(__xludf.DUMMYFUNCTION("""COMPUTED_VALUE"""),"Jamia Masjid Auqaf  wali  Nazd session court kachary sheikhupura")</f>
        <v>Jamia Masjid Auqaf  wali  Nazd session court kachary sheikhupura</v>
      </c>
      <c r="F97" s="10" t="str">
        <f>IFERROR(__xludf.DUMMYFUNCTION("""COMPUTED_VALUE"""),"DSZHX")</f>
        <v>DSZHX</v>
      </c>
      <c r="G97" s="10" t="str">
        <f>IFERROR(__xludf.DUMMYFUNCTION("""COMPUTED_VALUE"""),"No")</f>
        <v>No</v>
      </c>
      <c r="H97" s="10"/>
      <c r="I97" s="10"/>
      <c r="J97" s="10"/>
      <c r="K97" s="10">
        <f>IFERROR(__xludf.DUMMYFUNCTION("""COMPUTED_VALUE"""),0.0)</f>
        <v>0</v>
      </c>
      <c r="L97" s="10">
        <f>IFERROR(__xludf.DUMMYFUNCTION("""COMPUTED_VALUE"""),9.0)</f>
        <v>9</v>
      </c>
      <c r="M97" s="10">
        <f>IFERROR(__xludf.DUMMYFUNCTION("""COMPUTED_VALUE"""),0.0)</f>
        <v>0</v>
      </c>
      <c r="N97" s="10">
        <f>IFERROR(__xludf.DUMMYFUNCTION("""COMPUTED_VALUE"""),9.0)</f>
        <v>9</v>
      </c>
      <c r="O97" s="10">
        <f>IFERROR(__xludf.DUMMYFUNCTION("""COMPUTED_VALUE"""),0.0)</f>
        <v>0</v>
      </c>
      <c r="P97" s="10">
        <f>IFERROR(__xludf.DUMMYFUNCTION("""COMPUTED_VALUE"""),8.0)</f>
        <v>8</v>
      </c>
      <c r="Q97" s="10" t="str">
        <f>IFERROR(__xludf.DUMMYFUNCTION("""COMPUTED_VALUE"""),"No")</f>
        <v>No</v>
      </c>
      <c r="R97" s="10" t="str">
        <f>IFERROR(__xludf.DUMMYFUNCTION("""COMPUTED_VALUE"""),"Yes")</f>
        <v>Yes</v>
      </c>
      <c r="S97" s="10" t="str">
        <f>IFERROR(__xludf.DUMMYFUNCTION("""COMPUTED_VALUE"""),"No")</f>
        <v>No</v>
      </c>
      <c r="T97" s="10">
        <f>IFERROR(__xludf.DUMMYFUNCTION("""COMPUTED_VALUE"""),0.0)</f>
        <v>0</v>
      </c>
      <c r="U97" s="10">
        <f>IFERROR(__xludf.DUMMYFUNCTION("""COMPUTED_VALUE"""),0.0)</f>
        <v>0</v>
      </c>
      <c r="V97" s="10" t="str">
        <f>IFERROR(__xludf.DUMMYFUNCTION("""COMPUTED_VALUE"""),"Hamsaion k Huqooq  aur  ird gird k Mahole ko Saaf rakhna")</f>
        <v>Hamsaion k Huqooq  aur  ird gird k Mahole ko Saaf rakhna</v>
      </c>
      <c r="W97" s="10" t="str">
        <f>IFERROR(__xludf.DUMMYFUNCTION("""COMPUTED_VALUE"""),"Imam nay Hamsaion ke Huqooq aur a")</f>
        <v>Imam nay Hamsaion ke Huqooq aur a</v>
      </c>
      <c r="X97" s="10">
        <f>IFERROR(__xludf.DUMMYFUNCTION("""COMPUTED_VALUE"""),1.0)</f>
        <v>1</v>
      </c>
      <c r="Y97" s="10">
        <f>IFERROR(__xludf.DUMMYFUNCTION("""COMPUTED_VALUE"""),7.0)</f>
        <v>7</v>
      </c>
      <c r="Z97" s="10">
        <f>IFERROR(__xludf.DUMMYFUNCTION("""COMPUTED_VALUE"""),7.0)</f>
        <v>7</v>
      </c>
      <c r="AA97" s="10">
        <f>IFERROR(__xludf.DUMMYFUNCTION("""COMPUTED_VALUE"""),8.0)</f>
        <v>8</v>
      </c>
      <c r="AB97" s="10">
        <f>IFERROR(__xludf.DUMMYFUNCTION("""COMPUTED_VALUE"""),4.0)</f>
        <v>4</v>
      </c>
      <c r="AC97" s="10">
        <f>IFERROR(__xludf.DUMMYFUNCTION("""COMPUTED_VALUE"""),0.0)</f>
        <v>0</v>
      </c>
      <c r="AD97" s="10">
        <f>IFERROR(__xludf.DUMMYFUNCTION("""COMPUTED_VALUE"""),0.0)</f>
        <v>0</v>
      </c>
      <c r="AE97" s="10">
        <f>IFERROR(__xludf.DUMMYFUNCTION("""COMPUTED_VALUE"""),0.0)</f>
        <v>0</v>
      </c>
      <c r="AF97" s="10">
        <f>IFERROR(__xludf.DUMMYFUNCTION("""COMPUTED_VALUE"""),4.0)</f>
        <v>4</v>
      </c>
      <c r="AG97" s="10">
        <f>IFERROR(__xludf.DUMMYFUNCTION("""COMPUTED_VALUE"""),5.0)</f>
        <v>5</v>
      </c>
      <c r="AH97" s="10">
        <f>IFERROR(__xludf.DUMMYFUNCTION("""COMPUTED_VALUE"""),0.0)</f>
        <v>0</v>
      </c>
      <c r="AI97" s="10">
        <f>IFERROR(__xludf.DUMMYFUNCTION("""COMPUTED_VALUE"""),6.0)</f>
        <v>6</v>
      </c>
      <c r="AJ97" s="11" t="str">
        <f>IFERROR(__xludf.DUMMYFUNCTION("""COMPUTED_VALUE"""),"https://drive.google.com/open?id=1fsq4K0eNzheiZ4eLjQfDjipWrcXsVXA5")</f>
        <v>https://drive.google.com/open?id=1fsq4K0eNzheiZ4eLjQfDjipWrcXsVXA5</v>
      </c>
      <c r="AK97" s="12"/>
      <c r="AL97" s="12"/>
      <c r="AM97" s="12"/>
      <c r="AN97" s="12"/>
      <c r="AO97" s="13" t="s">
        <v>4</v>
      </c>
      <c r="AX97" s="13"/>
    </row>
    <row r="98">
      <c r="A98" s="8">
        <v>97.0</v>
      </c>
      <c r="B98" s="9">
        <f>IFERROR(__xludf.DUMMYFUNCTION("""COMPUTED_VALUE"""),45769.35089857639)</f>
        <v>45769.3509</v>
      </c>
      <c r="C98" s="10" t="str">
        <f>IFERROR(__xludf.DUMMYFUNCTION("""COMPUTED_VALUE"""),"Sohail asghar bhatti ")</f>
        <v>Sohail asghar bhatti </v>
      </c>
      <c r="D98" s="10" t="str">
        <f>IFERROR(__xludf.DUMMYFUNCTION("""COMPUTED_VALUE"""),"03017982931")</f>
        <v>03017982931</v>
      </c>
      <c r="E98" s="10" t="str">
        <f>IFERROR(__xludf.DUMMYFUNCTION("""COMPUTED_VALUE"""),"Jamia masjid qalandar shah ")</f>
        <v>Jamia masjid qalandar shah </v>
      </c>
      <c r="F98" s="10" t="str">
        <f>IFERROR(__xludf.DUMMYFUNCTION("""COMPUTED_VALUE"""),"CKLBK")</f>
        <v>CKLBK</v>
      </c>
      <c r="G98" s="10" t="str">
        <f>IFERROR(__xludf.DUMMYFUNCTION("""COMPUTED_VALUE"""),"No")</f>
        <v>No</v>
      </c>
      <c r="H98" s="10"/>
      <c r="I98" s="10"/>
      <c r="J98" s="10"/>
      <c r="K98" s="10">
        <f>IFERROR(__xludf.DUMMYFUNCTION("""COMPUTED_VALUE"""),0.0)</f>
        <v>0</v>
      </c>
      <c r="L98" s="10">
        <f>IFERROR(__xludf.DUMMYFUNCTION("""COMPUTED_VALUE"""),10.0)</f>
        <v>10</v>
      </c>
      <c r="M98" s="10">
        <f>IFERROR(__xludf.DUMMYFUNCTION("""COMPUTED_VALUE"""),0.0)</f>
        <v>0</v>
      </c>
      <c r="N98" s="10">
        <f>IFERROR(__xludf.DUMMYFUNCTION("""COMPUTED_VALUE"""),10.0)</f>
        <v>10</v>
      </c>
      <c r="O98" s="10">
        <f>IFERROR(__xludf.DUMMYFUNCTION("""COMPUTED_VALUE"""),0.0)</f>
        <v>0</v>
      </c>
      <c r="P98" s="10">
        <f>IFERROR(__xludf.DUMMYFUNCTION("""COMPUTED_VALUE"""),10.0)</f>
        <v>10</v>
      </c>
      <c r="Q98" s="10" t="str">
        <f>IFERROR(__xludf.DUMMYFUNCTION("""COMPUTED_VALUE"""),"No")</f>
        <v>No</v>
      </c>
      <c r="R98" s="10" t="str">
        <f>IFERROR(__xludf.DUMMYFUNCTION("""COMPUTED_VALUE"""),"Yes")</f>
        <v>Yes</v>
      </c>
      <c r="S98" s="10" t="str">
        <f>IFERROR(__xludf.DUMMYFUNCTION("""COMPUTED_VALUE"""),"No")</f>
        <v>No</v>
      </c>
      <c r="T98" s="10">
        <f>IFERROR(__xludf.DUMMYFUNCTION("""COMPUTED_VALUE"""),0.0)</f>
        <v>0</v>
      </c>
      <c r="U98" s="10">
        <f>IFERROR(__xludf.DUMMYFUNCTION("""COMPUTED_VALUE"""),10.0)</f>
        <v>10</v>
      </c>
      <c r="V98" s="10" t="str">
        <f>IFERROR(__xludf.DUMMYFUNCTION("""COMPUTED_VALUE"""),"Parosio Kay haqoq")</f>
        <v>Parosio Kay haqoq</v>
      </c>
      <c r="W98" s="10" t="str">
        <f>IFERROR(__xludf.DUMMYFUNCTION("""COMPUTED_VALUE"""),"Parosio Kay haqoq or muhlay ki safi")</f>
        <v>Parosio Kay haqoq or muhlay ki safi</v>
      </c>
      <c r="X98" s="10">
        <f>IFERROR(__xludf.DUMMYFUNCTION("""COMPUTED_VALUE"""),0.0)</f>
        <v>0</v>
      </c>
      <c r="Y98" s="10">
        <f>IFERROR(__xludf.DUMMYFUNCTION("""COMPUTED_VALUE"""),10.0)</f>
        <v>10</v>
      </c>
      <c r="Z98" s="10">
        <f>IFERROR(__xludf.DUMMYFUNCTION("""COMPUTED_VALUE"""),10.0)</f>
        <v>10</v>
      </c>
      <c r="AA98" s="10">
        <f>IFERROR(__xludf.DUMMYFUNCTION("""COMPUTED_VALUE"""),7.0)</f>
        <v>7</v>
      </c>
      <c r="AB98" s="10">
        <f>IFERROR(__xludf.DUMMYFUNCTION("""COMPUTED_VALUE"""),5.0)</f>
        <v>5</v>
      </c>
      <c r="AC98" s="10">
        <f>IFERROR(__xludf.DUMMYFUNCTION("""COMPUTED_VALUE"""),0.0)</f>
        <v>0</v>
      </c>
      <c r="AD98" s="10">
        <f>IFERROR(__xludf.DUMMYFUNCTION("""COMPUTED_VALUE"""),3.0)</f>
        <v>3</v>
      </c>
      <c r="AE98" s="10">
        <f>IFERROR(__xludf.DUMMYFUNCTION("""COMPUTED_VALUE"""),0.0)</f>
        <v>0</v>
      </c>
      <c r="AF98" s="10">
        <f>IFERROR(__xludf.DUMMYFUNCTION("""COMPUTED_VALUE"""),10.0)</f>
        <v>10</v>
      </c>
      <c r="AG98" s="10">
        <f>IFERROR(__xludf.DUMMYFUNCTION("""COMPUTED_VALUE"""),10.0)</f>
        <v>10</v>
      </c>
      <c r="AH98" s="10">
        <f>IFERROR(__xludf.DUMMYFUNCTION("""COMPUTED_VALUE"""),0.0)</f>
        <v>0</v>
      </c>
      <c r="AI98" s="10">
        <f>IFERROR(__xludf.DUMMYFUNCTION("""COMPUTED_VALUE"""),9.0)</f>
        <v>9</v>
      </c>
      <c r="AJ98" s="11" t="str">
        <f>IFERROR(__xludf.DUMMYFUNCTION("""COMPUTED_VALUE"""),"https://drive.google.com/open?id=13YecQ9mnmWy7-NSaMVdOLwQI54xtvM0C")</f>
        <v>https://drive.google.com/open?id=13YecQ9mnmWy7-NSaMVdOLwQI54xtvM0C</v>
      </c>
      <c r="AK98" s="12" t="str">
        <f>IFERROR(__xludf.DUMMYFUNCTION("""COMPUTED_VALUE"""),"No")</f>
        <v>No</v>
      </c>
      <c r="AL98" s="12"/>
      <c r="AM98" s="12"/>
      <c r="AN98" s="12"/>
      <c r="AO98" s="13">
        <v>1.0</v>
      </c>
      <c r="AX98" s="13">
        <v>1.0</v>
      </c>
    </row>
    <row r="99">
      <c r="A99" s="8">
        <v>98.0</v>
      </c>
      <c r="B99" s="9">
        <f>IFERROR(__xludf.DUMMYFUNCTION("""COMPUTED_VALUE"""),45769.35151784722)</f>
        <v>45769.35152</v>
      </c>
      <c r="C99" s="10" t="str">
        <f>IFERROR(__xludf.DUMMYFUNCTION("""COMPUTED_VALUE"""),"Mohsin raza")</f>
        <v>Mohsin raza</v>
      </c>
      <c r="D99" s="10" t="str">
        <f>IFERROR(__xludf.DUMMYFUNCTION("""COMPUTED_VALUE"""),"03014497860")</f>
        <v>03014497860</v>
      </c>
      <c r="E99" s="10" t="str">
        <f>IFERROR(__xludf.DUMMYFUNCTION("""COMPUTED_VALUE"""),"Jamia Masjid amaam bargah kalan kacheri sheikhupura ")</f>
        <v>Jamia Masjid amaam bargah kalan kacheri sheikhupura </v>
      </c>
      <c r="F99" s="10" t="str">
        <f>IFERROR(__xludf.DUMMYFUNCTION("""COMPUTED_VALUE"""),"UPUVS")</f>
        <v>UPUVS</v>
      </c>
      <c r="G99" s="10" t="str">
        <f>IFERROR(__xludf.DUMMYFUNCTION("""COMPUTED_VALUE"""),"No")</f>
        <v>No</v>
      </c>
      <c r="H99" s="10"/>
      <c r="I99" s="10"/>
      <c r="J99" s="10"/>
      <c r="K99" s="10">
        <f>IFERROR(__xludf.DUMMYFUNCTION("""COMPUTED_VALUE"""),8.0)</f>
        <v>8</v>
      </c>
      <c r="L99" s="10">
        <f>IFERROR(__xludf.DUMMYFUNCTION("""COMPUTED_VALUE"""),9.0)</f>
        <v>9</v>
      </c>
      <c r="M99" s="10">
        <f>IFERROR(__xludf.DUMMYFUNCTION("""COMPUTED_VALUE"""),8.0)</f>
        <v>8</v>
      </c>
      <c r="N99" s="10">
        <f>IFERROR(__xludf.DUMMYFUNCTION("""COMPUTED_VALUE"""),8.0)</f>
        <v>8</v>
      </c>
      <c r="O99" s="10">
        <f>IFERROR(__xludf.DUMMYFUNCTION("""COMPUTED_VALUE"""),9.0)</f>
        <v>9</v>
      </c>
      <c r="P99" s="10">
        <f>IFERROR(__xludf.DUMMYFUNCTION("""COMPUTED_VALUE"""),8.0)</f>
        <v>8</v>
      </c>
      <c r="Q99" s="10" t="str">
        <f>IFERROR(__xludf.DUMMYFUNCTION("""COMPUTED_VALUE"""),"Yes")</f>
        <v>Yes</v>
      </c>
      <c r="R99" s="10" t="str">
        <f>IFERROR(__xludf.DUMMYFUNCTION("""COMPUTED_VALUE"""),"Yes")</f>
        <v>Yes</v>
      </c>
      <c r="S99" s="10" t="str">
        <f>IFERROR(__xludf.DUMMYFUNCTION("""COMPUTED_VALUE"""),"Yes")</f>
        <v>Yes</v>
      </c>
      <c r="T99" s="10">
        <f>IFERROR(__xludf.DUMMYFUNCTION("""COMPUTED_VALUE"""),0.0)</f>
        <v>0</v>
      </c>
      <c r="U99" s="10">
        <f>IFERROR(__xludf.DUMMYFUNCTION("""COMPUTED_VALUE"""),0.0)</f>
        <v>0</v>
      </c>
      <c r="V99" s="10" t="str">
        <f>IFERROR(__xludf.DUMMYFUNCTION("""COMPUTED_VALUE"""),"پڑوسیوں کے حقوق ")</f>
        <v>پڑوسیوں کے حقوق </v>
      </c>
      <c r="W99" s="10" t="str">
        <f>IFERROR(__xludf.DUMMYFUNCTION("""COMPUTED_VALUE"""),"حقوق العباد اور صفائی پر گفتگو کی")</f>
        <v>حقوق العباد اور صفائی پر گفتگو کی</v>
      </c>
      <c r="X99" s="10">
        <f>IFERROR(__xludf.DUMMYFUNCTION("""COMPUTED_VALUE"""),6.0)</f>
        <v>6</v>
      </c>
      <c r="Y99" s="10">
        <f>IFERROR(__xludf.DUMMYFUNCTION("""COMPUTED_VALUE"""),6.0)</f>
        <v>6</v>
      </c>
      <c r="Z99" s="10">
        <f>IFERROR(__xludf.DUMMYFUNCTION("""COMPUTED_VALUE"""),3.0)</f>
        <v>3</v>
      </c>
      <c r="AA99" s="10">
        <f>IFERROR(__xludf.DUMMYFUNCTION("""COMPUTED_VALUE"""),7.0)</f>
        <v>7</v>
      </c>
      <c r="AB99" s="10">
        <f>IFERROR(__xludf.DUMMYFUNCTION("""COMPUTED_VALUE"""),7.0)</f>
        <v>7</v>
      </c>
      <c r="AC99" s="10">
        <f>IFERROR(__xludf.DUMMYFUNCTION("""COMPUTED_VALUE"""),0.0)</f>
        <v>0</v>
      </c>
      <c r="AD99" s="10">
        <f>IFERROR(__xludf.DUMMYFUNCTION("""COMPUTED_VALUE"""),6.0)</f>
        <v>6</v>
      </c>
      <c r="AE99" s="10">
        <f>IFERROR(__xludf.DUMMYFUNCTION("""COMPUTED_VALUE"""),3.0)</f>
        <v>3</v>
      </c>
      <c r="AF99" s="10">
        <f>IFERROR(__xludf.DUMMYFUNCTION("""COMPUTED_VALUE"""),4.0)</f>
        <v>4</v>
      </c>
      <c r="AG99" s="10">
        <f>IFERROR(__xludf.DUMMYFUNCTION("""COMPUTED_VALUE"""),7.0)</f>
        <v>7</v>
      </c>
      <c r="AH99" s="10">
        <f>IFERROR(__xludf.DUMMYFUNCTION("""COMPUTED_VALUE"""),0.0)</f>
        <v>0</v>
      </c>
      <c r="AI99" s="10">
        <f>IFERROR(__xludf.DUMMYFUNCTION("""COMPUTED_VALUE"""),9.0)</f>
        <v>9</v>
      </c>
      <c r="AJ99" s="11" t="str">
        <f>IFERROR(__xludf.DUMMYFUNCTION("""COMPUTED_VALUE"""),"https://drive.google.com/open?id=1iSgu2w_P0yKP4zYXTSvmYFi74foYYn5c")</f>
        <v>https://drive.google.com/open?id=1iSgu2w_P0yKP4zYXTSvmYFi74foYYn5c</v>
      </c>
      <c r="AK99" s="12"/>
      <c r="AL99" s="12"/>
      <c r="AM99" s="12"/>
      <c r="AN99" s="12"/>
      <c r="AO99" s="13" t="s">
        <v>8</v>
      </c>
      <c r="AX99" s="13"/>
    </row>
    <row r="100">
      <c r="A100" s="8">
        <v>99.0</v>
      </c>
      <c r="B100" s="9">
        <f>IFERROR(__xludf.DUMMYFUNCTION("""COMPUTED_VALUE"""),45771.374321145835)</f>
        <v>45771.37432</v>
      </c>
      <c r="C100" s="10" t="str">
        <f>IFERROR(__xludf.DUMMYFUNCTION("""COMPUTED_VALUE"""),"Haider ali")</f>
        <v>Haider ali</v>
      </c>
      <c r="D100" s="10" t="str">
        <f>IFERROR(__xludf.DUMMYFUNCTION("""COMPUTED_VALUE"""),"03330031508")</f>
        <v>03330031508</v>
      </c>
      <c r="E100" s="10" t="str">
        <f>IFERROR(__xludf.DUMMYFUNCTION("""COMPUTED_VALUE"""),"Jami Masjed Ourkaan Sheikupura ")</f>
        <v>Jami Masjed Ourkaan Sheikupura </v>
      </c>
      <c r="F100" s="10" t="str">
        <f>IFERROR(__xludf.DUMMYFUNCTION("""COMPUTED_VALUE"""),"HNZOG")</f>
        <v>HNZOG</v>
      </c>
      <c r="G100" s="10" t="str">
        <f>IFERROR(__xludf.DUMMYFUNCTION("""COMPUTED_VALUE"""),"No")</f>
        <v>No</v>
      </c>
      <c r="H100" s="10"/>
      <c r="I100" s="10"/>
      <c r="J100" s="10"/>
      <c r="K100" s="10">
        <f>IFERROR(__xludf.DUMMYFUNCTION("""COMPUTED_VALUE"""),0.0)</f>
        <v>0</v>
      </c>
      <c r="L100" s="10">
        <f>IFERROR(__xludf.DUMMYFUNCTION("""COMPUTED_VALUE"""),0.0)</f>
        <v>0</v>
      </c>
      <c r="M100" s="10">
        <f>IFERROR(__xludf.DUMMYFUNCTION("""COMPUTED_VALUE"""),0.0)</f>
        <v>0</v>
      </c>
      <c r="N100" s="10">
        <f>IFERROR(__xludf.DUMMYFUNCTION("""COMPUTED_VALUE"""),0.0)</f>
        <v>0</v>
      </c>
      <c r="O100" s="10">
        <f>IFERROR(__xludf.DUMMYFUNCTION("""COMPUTED_VALUE"""),0.0)</f>
        <v>0</v>
      </c>
      <c r="P100" s="10">
        <f>IFERROR(__xludf.DUMMYFUNCTION("""COMPUTED_VALUE"""),0.0)</f>
        <v>0</v>
      </c>
      <c r="Q100" s="10" t="str">
        <f>IFERROR(__xludf.DUMMYFUNCTION("""COMPUTED_VALUE"""),"No")</f>
        <v>No</v>
      </c>
      <c r="R100" s="10" t="str">
        <f>IFERROR(__xludf.DUMMYFUNCTION("""COMPUTED_VALUE"""),"No")</f>
        <v>No</v>
      </c>
      <c r="S100" s="10" t="str">
        <f>IFERROR(__xludf.DUMMYFUNCTION("""COMPUTED_VALUE"""),"No")</f>
        <v>No</v>
      </c>
      <c r="T100" s="10">
        <f>IFERROR(__xludf.DUMMYFUNCTION("""COMPUTED_VALUE"""),0.0)</f>
        <v>0</v>
      </c>
      <c r="U100" s="10">
        <f>IFERROR(__xludf.DUMMYFUNCTION("""COMPUTED_VALUE"""),0.0)</f>
        <v>0</v>
      </c>
      <c r="V100" s="10" t="str">
        <f>IFERROR(__xludf.DUMMYFUNCTION("""COMPUTED_VALUE"""),"Waldain ki kadimt ")</f>
        <v>Waldain ki kadimt </v>
      </c>
      <c r="W100" s="10" t="str">
        <f>IFERROR(__xludf.DUMMYFUNCTION("""COMPUTED_VALUE"""),"Waldain ki izat ")</f>
        <v>Waldain ki izat </v>
      </c>
      <c r="X100" s="10">
        <f>IFERROR(__xludf.DUMMYFUNCTION("""COMPUTED_VALUE"""),7.0)</f>
        <v>7</v>
      </c>
      <c r="Y100" s="10">
        <f>IFERROR(__xludf.DUMMYFUNCTION("""COMPUTED_VALUE"""),0.0)</f>
        <v>0</v>
      </c>
      <c r="Z100" s="10">
        <f>IFERROR(__xludf.DUMMYFUNCTION("""COMPUTED_VALUE"""),0.0)</f>
        <v>0</v>
      </c>
      <c r="AA100" s="10">
        <f>IFERROR(__xludf.DUMMYFUNCTION("""COMPUTED_VALUE"""),0.0)</f>
        <v>0</v>
      </c>
      <c r="AB100" s="10">
        <f>IFERROR(__xludf.DUMMYFUNCTION("""COMPUTED_VALUE"""),0.0)</f>
        <v>0</v>
      </c>
      <c r="AC100" s="10">
        <f>IFERROR(__xludf.DUMMYFUNCTION("""COMPUTED_VALUE"""),0.0)</f>
        <v>0</v>
      </c>
      <c r="AD100" s="10">
        <f>IFERROR(__xludf.DUMMYFUNCTION("""COMPUTED_VALUE"""),0.0)</f>
        <v>0</v>
      </c>
      <c r="AE100" s="10">
        <f>IFERROR(__xludf.DUMMYFUNCTION("""COMPUTED_VALUE"""),0.0)</f>
        <v>0</v>
      </c>
      <c r="AF100" s="10">
        <f>IFERROR(__xludf.DUMMYFUNCTION("""COMPUTED_VALUE"""),8.0)</f>
        <v>8</v>
      </c>
      <c r="AG100" s="10">
        <f>IFERROR(__xludf.DUMMYFUNCTION("""COMPUTED_VALUE"""),8.0)</f>
        <v>8</v>
      </c>
      <c r="AH100" s="10">
        <f>IFERROR(__xludf.DUMMYFUNCTION("""COMPUTED_VALUE"""),0.0)</f>
        <v>0</v>
      </c>
      <c r="AI100" s="10">
        <f>IFERROR(__xludf.DUMMYFUNCTION("""COMPUTED_VALUE"""),6.0)</f>
        <v>6</v>
      </c>
      <c r="AJ100" s="11" t="str">
        <f>IFERROR(__xludf.DUMMYFUNCTION("""COMPUTED_VALUE"""),"https://drive.google.com/open?id=1HS5XShqP0r3ViM7NY_5OzYW6UCOS_kOtAI3hfSzAtdw")</f>
        <v>https://drive.google.com/open?id=1HS5XShqP0r3ViM7NY_5OzYW6UCOS_kOtAI3hfSzAtdw</v>
      </c>
      <c r="AK100" s="12"/>
      <c r="AL100" s="12"/>
      <c r="AM100" s="12"/>
      <c r="AN100" s="12"/>
      <c r="AO100" s="13" t="s">
        <v>7</v>
      </c>
      <c r="AX100" s="13"/>
    </row>
    <row r="101">
      <c r="A101" s="8">
        <v>100.0</v>
      </c>
      <c r="B101" s="9">
        <f>IFERROR(__xludf.DUMMYFUNCTION("""COMPUTED_VALUE"""),45771.57534673611)</f>
        <v>45771.57535</v>
      </c>
      <c r="C101" s="10" t="str">
        <f>IFERROR(__xludf.DUMMYFUNCTION("""COMPUTED_VALUE"""),"Shakeela ")</f>
        <v>Shakeela </v>
      </c>
      <c r="D101" s="10" t="str">
        <f>IFERROR(__xludf.DUMMYFUNCTION("""COMPUTED_VALUE"""),"03359485820")</f>
        <v>03359485820</v>
      </c>
      <c r="E101" s="10" t="str">
        <f>IFERROR(__xludf.DUMMYFUNCTION("""COMPUTED_VALUE"""),"Jamia masjid shah shams qadri")</f>
        <v>Jamia masjid shah shams qadri</v>
      </c>
      <c r="F101" s="10" t="str">
        <f>IFERROR(__xludf.DUMMYFUNCTION("""COMPUTED_VALUE"""),"Rhlwr")</f>
        <v>Rhlwr</v>
      </c>
      <c r="G101" s="10" t="str">
        <f>IFERROR(__xludf.DUMMYFUNCTION("""COMPUTED_VALUE"""),"Yes")</f>
        <v>Yes</v>
      </c>
      <c r="H101" s="10">
        <f>IFERROR(__xludf.DUMMYFUNCTION("""COMPUTED_VALUE"""),0.0)</f>
        <v>0</v>
      </c>
      <c r="I101" s="10">
        <f>IFERROR(__xludf.DUMMYFUNCTION("""COMPUTED_VALUE"""),0.0)</f>
        <v>0</v>
      </c>
      <c r="J101" s="10">
        <f>IFERROR(__xludf.DUMMYFUNCTION("""COMPUTED_VALUE"""),0.0)</f>
        <v>0</v>
      </c>
      <c r="K101" s="10">
        <f>IFERROR(__xludf.DUMMYFUNCTION("""COMPUTED_VALUE"""),0.0)</f>
        <v>0</v>
      </c>
      <c r="L101" s="10">
        <f>IFERROR(__xludf.DUMMYFUNCTION("""COMPUTED_VALUE"""),0.0)</f>
        <v>0</v>
      </c>
      <c r="M101" s="10">
        <f>IFERROR(__xludf.DUMMYFUNCTION("""COMPUTED_VALUE"""),0.0)</f>
        <v>0</v>
      </c>
      <c r="N101" s="10">
        <f>IFERROR(__xludf.DUMMYFUNCTION("""COMPUTED_VALUE"""),0.0)</f>
        <v>0</v>
      </c>
      <c r="O101" s="10">
        <f>IFERROR(__xludf.DUMMYFUNCTION("""COMPUTED_VALUE"""),0.0)</f>
        <v>0</v>
      </c>
      <c r="P101" s="10">
        <f>IFERROR(__xludf.DUMMYFUNCTION("""COMPUTED_VALUE"""),0.0)</f>
        <v>0</v>
      </c>
      <c r="Q101" s="10" t="str">
        <f>IFERROR(__xludf.DUMMYFUNCTION("""COMPUTED_VALUE"""),"No")</f>
        <v>No</v>
      </c>
      <c r="R101" s="10" t="str">
        <f>IFERROR(__xludf.DUMMYFUNCTION("""COMPUTED_VALUE"""),"No")</f>
        <v>No</v>
      </c>
      <c r="S101" s="10" t="str">
        <f>IFERROR(__xludf.DUMMYFUNCTION("""COMPUTED_VALUE"""),"No")</f>
        <v>No</v>
      </c>
      <c r="T101" s="10">
        <f>IFERROR(__xludf.DUMMYFUNCTION("""COMPUTED_VALUE"""),0.0)</f>
        <v>0</v>
      </c>
      <c r="U101" s="10">
        <f>IFERROR(__xludf.DUMMYFUNCTION("""COMPUTED_VALUE"""),0.0)</f>
        <v>0</v>
      </c>
      <c r="V101" s="10" t="str">
        <f>IFERROR(__xludf.DUMMYFUNCTION("""COMPUTED_VALUE"""),"Bismillah ki barkat")</f>
        <v>Bismillah ki barkat</v>
      </c>
      <c r="W101" s="10" t="str">
        <f>IFERROR(__xludf.DUMMYFUNCTION("""COMPUTED_VALUE"""),"Tauheed aur bebarkati k oper bt ki")</f>
        <v>Tauheed aur bebarkati k oper bt ki</v>
      </c>
      <c r="X101" s="10">
        <f>IFERROR(__xludf.DUMMYFUNCTION("""COMPUTED_VALUE"""),0.0)</f>
        <v>0</v>
      </c>
      <c r="Y101" s="10">
        <f>IFERROR(__xludf.DUMMYFUNCTION("""COMPUTED_VALUE"""),0.0)</f>
        <v>0</v>
      </c>
      <c r="Z101" s="10">
        <f>IFERROR(__xludf.DUMMYFUNCTION("""COMPUTED_VALUE"""),0.0)</f>
        <v>0</v>
      </c>
      <c r="AA101" s="10">
        <f>IFERROR(__xludf.DUMMYFUNCTION("""COMPUTED_VALUE"""),0.0)</f>
        <v>0</v>
      </c>
      <c r="AB101" s="10">
        <f>IFERROR(__xludf.DUMMYFUNCTION("""COMPUTED_VALUE"""),0.0)</f>
        <v>0</v>
      </c>
      <c r="AC101" s="10">
        <f>IFERROR(__xludf.DUMMYFUNCTION("""COMPUTED_VALUE"""),0.0)</f>
        <v>0</v>
      </c>
      <c r="AD101" s="10">
        <f>IFERROR(__xludf.DUMMYFUNCTION("""COMPUTED_VALUE"""),0.0)</f>
        <v>0</v>
      </c>
      <c r="AE101" s="10">
        <f>IFERROR(__xludf.DUMMYFUNCTION("""COMPUTED_VALUE"""),0.0)</f>
        <v>0</v>
      </c>
      <c r="AF101" s="10">
        <f>IFERROR(__xludf.DUMMYFUNCTION("""COMPUTED_VALUE"""),0.0)</f>
        <v>0</v>
      </c>
      <c r="AG101" s="10">
        <f>IFERROR(__xludf.DUMMYFUNCTION("""COMPUTED_VALUE"""),7.0)</f>
        <v>7</v>
      </c>
      <c r="AH101" s="10">
        <f>IFERROR(__xludf.DUMMYFUNCTION("""COMPUTED_VALUE"""),0.0)</f>
        <v>0</v>
      </c>
      <c r="AI101" s="10">
        <f>IFERROR(__xludf.DUMMYFUNCTION("""COMPUTED_VALUE"""),8.0)</f>
        <v>8</v>
      </c>
      <c r="AJ101" s="11" t="str">
        <f>IFERROR(__xludf.DUMMYFUNCTION("""COMPUTED_VALUE"""),"https://drive.google.com/open?id=1HNfsmY8nusCBntaHFo4hIDU6d90fxrGU")</f>
        <v>https://drive.google.com/open?id=1HNfsmY8nusCBntaHFo4hIDU6d90fxrGU</v>
      </c>
      <c r="AK101" s="12"/>
      <c r="AL101" s="12" t="str">
        <f>IFERROR(__xludf.DUMMYFUNCTION("""COMPUTED_VALUE"""),"Yes")</f>
        <v>Yes</v>
      </c>
      <c r="AM101" s="15">
        <f>IFERROR(__xludf.DUMMYFUNCTION("""COMPUTED_VALUE"""),0.0)</f>
        <v>0</v>
      </c>
      <c r="AN101" s="12"/>
      <c r="AO101" s="13">
        <v>1.0</v>
      </c>
      <c r="AX101" s="13">
        <v>1.0</v>
      </c>
    </row>
    <row r="102">
      <c r="A102" s="8">
        <v>101.0</v>
      </c>
      <c r="B102" s="9">
        <f>IFERROR(__xludf.DUMMYFUNCTION("""COMPUTED_VALUE"""),45772.25162900463)</f>
        <v>45772.25163</v>
      </c>
      <c r="C102" s="10" t="str">
        <f>IFERROR(__xludf.DUMMYFUNCTION("""COMPUTED_VALUE"""),"Shakeela Rafique")</f>
        <v>Shakeela Rafique</v>
      </c>
      <c r="D102" s="10" t="str">
        <f>IFERROR(__xludf.DUMMYFUNCTION("""COMPUTED_VALUE"""),"03359485820")</f>
        <v>03359485820</v>
      </c>
      <c r="E102" s="10" t="str">
        <f>IFERROR(__xludf.DUMMYFUNCTION("""COMPUTED_VALUE"""),"Jmmaia masjif Main bazar kachu pura")</f>
        <v>Jmmaia masjif Main bazar kachu pura</v>
      </c>
      <c r="F102" s="10" t="str">
        <f>IFERROR(__xludf.DUMMYFUNCTION("""COMPUTED_VALUE"""),"Slyiw")</f>
        <v>Slyiw</v>
      </c>
      <c r="G102" s="10" t="str">
        <f>IFERROR(__xludf.DUMMYFUNCTION("""COMPUTED_VALUE"""),"Yes")</f>
        <v>Yes</v>
      </c>
      <c r="H102" s="10">
        <f>IFERROR(__xludf.DUMMYFUNCTION("""COMPUTED_VALUE"""),0.0)</f>
        <v>0</v>
      </c>
      <c r="I102" s="10">
        <f>IFERROR(__xludf.DUMMYFUNCTION("""COMPUTED_VALUE"""),3.0)</f>
        <v>3</v>
      </c>
      <c r="J102" s="10">
        <f>IFERROR(__xludf.DUMMYFUNCTION("""COMPUTED_VALUE"""),8.0)</f>
        <v>8</v>
      </c>
      <c r="K102" s="10">
        <f>IFERROR(__xludf.DUMMYFUNCTION("""COMPUTED_VALUE"""),10.0)</f>
        <v>10</v>
      </c>
      <c r="L102" s="10">
        <f>IFERROR(__xludf.DUMMYFUNCTION("""COMPUTED_VALUE"""),0.0)</f>
        <v>0</v>
      </c>
      <c r="M102" s="10">
        <f>IFERROR(__xludf.DUMMYFUNCTION("""COMPUTED_VALUE"""),9.0)</f>
        <v>9</v>
      </c>
      <c r="N102" s="10">
        <f>IFERROR(__xludf.DUMMYFUNCTION("""COMPUTED_VALUE"""),1.0)</f>
        <v>1</v>
      </c>
      <c r="O102" s="10">
        <f>IFERROR(__xludf.DUMMYFUNCTION("""COMPUTED_VALUE"""),10.0)</f>
        <v>10</v>
      </c>
      <c r="P102" s="10">
        <f>IFERROR(__xludf.DUMMYFUNCTION("""COMPUTED_VALUE"""),0.0)</f>
        <v>0</v>
      </c>
      <c r="Q102" s="10" t="str">
        <f>IFERROR(__xludf.DUMMYFUNCTION("""COMPUTED_VALUE"""),"Yes")</f>
        <v>Yes</v>
      </c>
      <c r="R102" s="10" t="str">
        <f>IFERROR(__xludf.DUMMYFUNCTION("""COMPUTED_VALUE"""),"No")</f>
        <v>No</v>
      </c>
      <c r="S102" s="10" t="str">
        <f>IFERROR(__xludf.DUMMYFUNCTION("""COMPUTED_VALUE"""),"Yes")</f>
        <v>Yes</v>
      </c>
      <c r="T102" s="10">
        <f>IFERROR(__xludf.DUMMYFUNCTION("""COMPUTED_VALUE"""),0.0)</f>
        <v>0</v>
      </c>
      <c r="U102" s="10">
        <f>IFERROR(__xludf.DUMMYFUNCTION("""COMPUTED_VALUE"""),0.0)</f>
        <v>0</v>
      </c>
      <c r="V102" s="10" t="str">
        <f>IFERROR(__xludf.DUMMYFUNCTION("""COMPUTED_VALUE"""),"Uraton k haquq")</f>
        <v>Uraton k haquq</v>
      </c>
      <c r="W102" s="10" t="str">
        <f>IFERROR(__xludf.DUMMYFUNCTION("""COMPUTED_VALUE"""),"Urton ki ahmiyat or maqam")</f>
        <v>Urton ki ahmiyat or maqam</v>
      </c>
      <c r="X102" s="10">
        <f>IFERROR(__xludf.DUMMYFUNCTION("""COMPUTED_VALUE"""),2.0)</f>
        <v>2</v>
      </c>
      <c r="Y102" s="10">
        <f>IFERROR(__xludf.DUMMYFUNCTION("""COMPUTED_VALUE"""),7.0)</f>
        <v>7</v>
      </c>
      <c r="Z102" s="10">
        <f>IFERROR(__xludf.DUMMYFUNCTION("""COMPUTED_VALUE"""),4.0)</f>
        <v>4</v>
      </c>
      <c r="AA102" s="10">
        <f>IFERROR(__xludf.DUMMYFUNCTION("""COMPUTED_VALUE"""),9.0)</f>
        <v>9</v>
      </c>
      <c r="AB102" s="10">
        <f>IFERROR(__xludf.DUMMYFUNCTION("""COMPUTED_VALUE"""),10.0)</f>
        <v>10</v>
      </c>
      <c r="AC102" s="10">
        <f>IFERROR(__xludf.DUMMYFUNCTION("""COMPUTED_VALUE"""),3.0)</f>
        <v>3</v>
      </c>
      <c r="AD102" s="10">
        <f>IFERROR(__xludf.DUMMYFUNCTION("""COMPUTED_VALUE"""),2.0)</f>
        <v>2</v>
      </c>
      <c r="AE102" s="10">
        <f>IFERROR(__xludf.DUMMYFUNCTION("""COMPUTED_VALUE"""),8.0)</f>
        <v>8</v>
      </c>
      <c r="AF102" s="10">
        <f>IFERROR(__xludf.DUMMYFUNCTION("""COMPUTED_VALUE"""),2.0)</f>
        <v>2</v>
      </c>
      <c r="AG102" s="10">
        <f>IFERROR(__xludf.DUMMYFUNCTION("""COMPUTED_VALUE"""),7.0)</f>
        <v>7</v>
      </c>
      <c r="AH102" s="10">
        <f>IFERROR(__xludf.DUMMYFUNCTION("""COMPUTED_VALUE"""),0.0)</f>
        <v>0</v>
      </c>
      <c r="AI102" s="10">
        <f>IFERROR(__xludf.DUMMYFUNCTION("""COMPUTED_VALUE"""),8.0)</f>
        <v>8</v>
      </c>
      <c r="AJ102" s="11" t="str">
        <f>IFERROR(__xludf.DUMMYFUNCTION("""COMPUTED_VALUE"""),"https://drive.google.com/open?id=1ns2YtbbOJyreAUER_MSBz-YGsv2IgZYw")</f>
        <v>https://drive.google.com/open?id=1ns2YtbbOJyreAUER_MSBz-YGsv2IgZYw</v>
      </c>
      <c r="AK102" s="12"/>
      <c r="AL102" s="12" t="str">
        <f>IFERROR(__xludf.DUMMYFUNCTION("""COMPUTED_VALUE"""),"Yes")</f>
        <v>Yes</v>
      </c>
      <c r="AM102" s="15">
        <f>IFERROR(__xludf.DUMMYFUNCTION("""COMPUTED_VALUE"""),0.9)</f>
        <v>0.9</v>
      </c>
      <c r="AN102" s="12"/>
      <c r="AO102" s="13">
        <v>1.0</v>
      </c>
      <c r="AX102" s="13">
        <v>1.0</v>
      </c>
    </row>
    <row r="103">
      <c r="A103" s="8">
        <v>102.0</v>
      </c>
      <c r="B103" s="9">
        <f>IFERROR(__xludf.DUMMYFUNCTION("""COMPUTED_VALUE"""),45772.25939111111)</f>
        <v>45772.25939</v>
      </c>
      <c r="C103" s="10" t="str">
        <f>IFERROR(__xludf.DUMMYFUNCTION("""COMPUTED_VALUE"""),"Shakeela ")</f>
        <v>Shakeela </v>
      </c>
      <c r="D103" s="10" t="str">
        <f>IFERROR(__xludf.DUMMYFUNCTION("""COMPUTED_VALUE"""),"03359485820")</f>
        <v>03359485820</v>
      </c>
      <c r="E103" s="10" t="str">
        <f>IFERROR(__xludf.DUMMYFUNCTION("""COMPUTED_VALUE"""),"Jamia masjid shah rangrez")</f>
        <v>Jamia masjid shah rangrez</v>
      </c>
      <c r="F103" s="10" t="str">
        <f>IFERROR(__xludf.DUMMYFUNCTION("""COMPUTED_VALUE"""),"Fjkfw")</f>
        <v>Fjkfw</v>
      </c>
      <c r="G103" s="10" t="str">
        <f>IFERROR(__xludf.DUMMYFUNCTION("""COMPUTED_VALUE"""),"Yes")</f>
        <v>Yes</v>
      </c>
      <c r="H103" s="10">
        <f>IFERROR(__xludf.DUMMYFUNCTION("""COMPUTED_VALUE"""),10.0)</f>
        <v>10</v>
      </c>
      <c r="I103" s="10">
        <f>IFERROR(__xludf.DUMMYFUNCTION("""COMPUTED_VALUE"""),5.0)</f>
        <v>5</v>
      </c>
      <c r="J103" s="10">
        <f>IFERROR(__xludf.DUMMYFUNCTION("""COMPUTED_VALUE"""),9.0)</f>
        <v>9</v>
      </c>
      <c r="K103" s="10">
        <f>IFERROR(__xludf.DUMMYFUNCTION("""COMPUTED_VALUE"""),4.0)</f>
        <v>4</v>
      </c>
      <c r="L103" s="10">
        <f>IFERROR(__xludf.DUMMYFUNCTION("""COMPUTED_VALUE"""),10.0)</f>
        <v>10</v>
      </c>
      <c r="M103" s="10">
        <f>IFERROR(__xludf.DUMMYFUNCTION("""COMPUTED_VALUE"""),3.0)</f>
        <v>3</v>
      </c>
      <c r="N103" s="10">
        <f>IFERROR(__xludf.DUMMYFUNCTION("""COMPUTED_VALUE"""),10.0)</f>
        <v>10</v>
      </c>
      <c r="O103" s="10">
        <f>IFERROR(__xludf.DUMMYFUNCTION("""COMPUTED_VALUE"""),1.0)</f>
        <v>1</v>
      </c>
      <c r="P103" s="10">
        <f>IFERROR(__xludf.DUMMYFUNCTION("""COMPUTED_VALUE"""),10.0)</f>
        <v>10</v>
      </c>
      <c r="Q103" s="10" t="str">
        <f>IFERROR(__xludf.DUMMYFUNCTION("""COMPUTED_VALUE"""),"No")</f>
        <v>No</v>
      </c>
      <c r="R103" s="10" t="str">
        <f>IFERROR(__xludf.DUMMYFUNCTION("""COMPUTED_VALUE"""),"Yes")</f>
        <v>Yes</v>
      </c>
      <c r="S103" s="10" t="str">
        <f>IFERROR(__xludf.DUMMYFUNCTION("""COMPUTED_VALUE"""),"Yes")</f>
        <v>Yes</v>
      </c>
      <c r="T103" s="10">
        <f>IFERROR(__xludf.DUMMYFUNCTION("""COMPUTED_VALUE"""),0.0)</f>
        <v>0</v>
      </c>
      <c r="U103" s="10">
        <f>IFERROR(__xludf.DUMMYFUNCTION("""COMPUTED_VALUE"""),0.0)</f>
        <v>0</v>
      </c>
      <c r="V103" s="10" t="str">
        <f>IFERROR(__xludf.DUMMYFUNCTION("""COMPUTED_VALUE"""),"Prosiyon k haqooq ")</f>
        <v>Prosiyon k haqooq </v>
      </c>
      <c r="W103" s="10" t="str">
        <f>IFERROR(__xludf.DUMMYFUNCTION("""COMPUTED_VALUE"""),"Prosiyon k hawale se tha")</f>
        <v>Prosiyon k hawale se tha</v>
      </c>
      <c r="X103" s="10">
        <f>IFERROR(__xludf.DUMMYFUNCTION("""COMPUTED_VALUE"""),5.0)</f>
        <v>5</v>
      </c>
      <c r="Y103" s="10">
        <f>IFERROR(__xludf.DUMMYFUNCTION("""COMPUTED_VALUE"""),10.0)</f>
        <v>10</v>
      </c>
      <c r="Z103" s="10">
        <f>IFERROR(__xludf.DUMMYFUNCTION("""COMPUTED_VALUE"""),9.0)</f>
        <v>9</v>
      </c>
      <c r="AA103" s="10">
        <f>IFERROR(__xludf.DUMMYFUNCTION("""COMPUTED_VALUE"""),9.0)</f>
        <v>9</v>
      </c>
      <c r="AB103" s="10">
        <f>IFERROR(__xludf.DUMMYFUNCTION("""COMPUTED_VALUE"""),8.0)</f>
        <v>8</v>
      </c>
      <c r="AC103" s="10">
        <f>IFERROR(__xludf.DUMMYFUNCTION("""COMPUTED_VALUE"""),3.0)</f>
        <v>3</v>
      </c>
      <c r="AD103" s="10">
        <f>IFERROR(__xludf.DUMMYFUNCTION("""COMPUTED_VALUE"""),2.0)</f>
        <v>2</v>
      </c>
      <c r="AE103" s="10">
        <f>IFERROR(__xludf.DUMMYFUNCTION("""COMPUTED_VALUE"""),10.0)</f>
        <v>10</v>
      </c>
      <c r="AF103" s="10">
        <f>IFERROR(__xludf.DUMMYFUNCTION("""COMPUTED_VALUE"""),10.0)</f>
        <v>10</v>
      </c>
      <c r="AG103" s="10">
        <f>IFERROR(__xludf.DUMMYFUNCTION("""COMPUTED_VALUE"""),10.0)</f>
        <v>10</v>
      </c>
      <c r="AH103" s="10">
        <f>IFERROR(__xludf.DUMMYFUNCTION("""COMPUTED_VALUE"""),0.0)</f>
        <v>0</v>
      </c>
      <c r="AI103" s="10">
        <f>IFERROR(__xludf.DUMMYFUNCTION("""COMPUTED_VALUE"""),10.0)</f>
        <v>10</v>
      </c>
      <c r="AJ103" s="11" t="str">
        <f>IFERROR(__xludf.DUMMYFUNCTION("""COMPUTED_VALUE"""),"https://drive.google.com/open?id=1o8EFoMPLaDXYXQayfZCSvql00rRyfgqE")</f>
        <v>https://drive.google.com/open?id=1o8EFoMPLaDXYXQayfZCSvql00rRyfgqE</v>
      </c>
      <c r="AK103" s="12"/>
      <c r="AL103" s="12" t="str">
        <f>IFERROR(__xludf.DUMMYFUNCTION("""COMPUTED_VALUE"""),"Yes")</f>
        <v>Yes</v>
      </c>
      <c r="AM103" s="15">
        <f>IFERROR(__xludf.DUMMYFUNCTION("""COMPUTED_VALUE"""),0.9)</f>
        <v>0.9</v>
      </c>
      <c r="AN103" s="12"/>
      <c r="AO103" s="13">
        <v>1.0</v>
      </c>
      <c r="AX103" s="13">
        <v>1.0</v>
      </c>
    </row>
    <row r="104">
      <c r="A104" s="8">
        <v>103.0</v>
      </c>
      <c r="B104" s="9">
        <f>IFERROR(__xludf.DUMMYFUNCTION("""COMPUTED_VALUE"""),45772.41136601852)</f>
        <v>45772.41137</v>
      </c>
      <c r="C104" s="10" t="str">
        <f>IFERROR(__xludf.DUMMYFUNCTION("""COMPUTED_VALUE"""),"Shakeela ")</f>
        <v>Shakeela </v>
      </c>
      <c r="D104" s="10" t="str">
        <f>IFERROR(__xludf.DUMMYFUNCTION("""COMPUTED_VALUE"""),"03359485820")</f>
        <v>03359485820</v>
      </c>
      <c r="E104" s="10" t="str">
        <f>IFERROR(__xludf.DUMMYFUNCTION("""COMPUTED_VALUE"""),"Jamia Masjid Rasool Shaheya Landa Bazar Lahore srmon 1")</f>
        <v>Jamia Masjid Rasool Shaheya Landa Bazar Lahore srmon 1</v>
      </c>
      <c r="F104" s="10" t="str">
        <f>IFERROR(__xludf.DUMMYFUNCTION("""COMPUTED_VALUE"""),"njkhf")</f>
        <v>njkhf</v>
      </c>
      <c r="G104" s="10" t="str">
        <f>IFERROR(__xludf.DUMMYFUNCTION("""COMPUTED_VALUE"""),"Yes")</f>
        <v>Yes</v>
      </c>
      <c r="H104" s="10">
        <f>IFERROR(__xludf.DUMMYFUNCTION("""COMPUTED_VALUE"""),0.0)</f>
        <v>0</v>
      </c>
      <c r="I104" s="10">
        <f>IFERROR(__xludf.DUMMYFUNCTION("""COMPUTED_VALUE"""),0.0)</f>
        <v>0</v>
      </c>
      <c r="J104" s="10">
        <f>IFERROR(__xludf.DUMMYFUNCTION("""COMPUTED_VALUE"""),0.0)</f>
        <v>0</v>
      </c>
      <c r="K104" s="10">
        <f>IFERROR(__xludf.DUMMYFUNCTION("""COMPUTED_VALUE"""),0.0)</f>
        <v>0</v>
      </c>
      <c r="L104" s="10">
        <f>IFERROR(__xludf.DUMMYFUNCTION("""COMPUTED_VALUE"""),0.0)</f>
        <v>0</v>
      </c>
      <c r="M104" s="10">
        <f>IFERROR(__xludf.DUMMYFUNCTION("""COMPUTED_VALUE"""),0.0)</f>
        <v>0</v>
      </c>
      <c r="N104" s="10">
        <f>IFERROR(__xludf.DUMMYFUNCTION("""COMPUTED_VALUE"""),0.0)</f>
        <v>0</v>
      </c>
      <c r="O104" s="10">
        <f>IFERROR(__xludf.DUMMYFUNCTION("""COMPUTED_VALUE"""),0.0)</f>
        <v>0</v>
      </c>
      <c r="P104" s="10">
        <f>IFERROR(__xludf.DUMMYFUNCTION("""COMPUTED_VALUE"""),0.0)</f>
        <v>0</v>
      </c>
      <c r="Q104" s="10" t="str">
        <f>IFERROR(__xludf.DUMMYFUNCTION("""COMPUTED_VALUE"""),"No")</f>
        <v>No</v>
      </c>
      <c r="R104" s="10" t="str">
        <f>IFERROR(__xludf.DUMMYFUNCTION("""COMPUTED_VALUE"""),"No")</f>
        <v>No</v>
      </c>
      <c r="S104" s="10" t="str">
        <f>IFERROR(__xludf.DUMMYFUNCTION("""COMPUTED_VALUE"""),"No")</f>
        <v>No</v>
      </c>
      <c r="T104" s="10">
        <f>IFERROR(__xludf.DUMMYFUNCTION("""COMPUTED_VALUE"""),0.0)</f>
        <v>0</v>
      </c>
      <c r="U104" s="10">
        <f>IFERROR(__xludf.DUMMYFUNCTION("""COMPUTED_VALUE"""),0.0)</f>
        <v>0</v>
      </c>
      <c r="V104" s="10" t="str">
        <f>IFERROR(__xludf.DUMMYFUNCTION("""COMPUTED_VALUE"""),"Isalmi ki Allmi ahmiat")</f>
        <v>Isalmi ki Allmi ahmiat</v>
      </c>
      <c r="W104" s="10" t="str">
        <f>IFERROR(__xludf.DUMMYFUNCTION("""COMPUTED_VALUE"""),"uswa e hasna aur islam ki ahmiat")</f>
        <v>uswa e hasna aur islam ki ahmiat</v>
      </c>
      <c r="X104" s="10">
        <f>IFERROR(__xludf.DUMMYFUNCTION("""COMPUTED_VALUE"""),3.0)</f>
        <v>3</v>
      </c>
      <c r="Y104" s="10">
        <f>IFERROR(__xludf.DUMMYFUNCTION("""COMPUTED_VALUE"""),4.0)</f>
        <v>4</v>
      </c>
      <c r="Z104" s="10">
        <f>IFERROR(__xludf.DUMMYFUNCTION("""COMPUTED_VALUE"""),6.0)</f>
        <v>6</v>
      </c>
      <c r="AA104" s="10">
        <f>IFERROR(__xludf.DUMMYFUNCTION("""COMPUTED_VALUE"""),5.0)</f>
        <v>5</v>
      </c>
      <c r="AB104" s="10">
        <f>IFERROR(__xludf.DUMMYFUNCTION("""COMPUTED_VALUE"""),7.0)</f>
        <v>7</v>
      </c>
      <c r="AC104" s="10">
        <f>IFERROR(__xludf.DUMMYFUNCTION("""COMPUTED_VALUE"""),5.0)</f>
        <v>5</v>
      </c>
      <c r="AD104" s="10">
        <f>IFERROR(__xludf.DUMMYFUNCTION("""COMPUTED_VALUE"""),5.0)</f>
        <v>5</v>
      </c>
      <c r="AE104" s="10">
        <f>IFERROR(__xludf.DUMMYFUNCTION("""COMPUTED_VALUE"""),0.0)</f>
        <v>0</v>
      </c>
      <c r="AF104" s="10">
        <f>IFERROR(__xludf.DUMMYFUNCTION("""COMPUTED_VALUE"""),0.0)</f>
        <v>0</v>
      </c>
      <c r="AG104" s="10">
        <f>IFERROR(__xludf.DUMMYFUNCTION("""COMPUTED_VALUE"""),8.0)</f>
        <v>8</v>
      </c>
      <c r="AH104" s="10">
        <f>IFERROR(__xludf.DUMMYFUNCTION("""COMPUTED_VALUE"""),6.0)</f>
        <v>6</v>
      </c>
      <c r="AI104" s="10">
        <f>IFERROR(__xludf.DUMMYFUNCTION("""COMPUTED_VALUE"""),6.0)</f>
        <v>6</v>
      </c>
      <c r="AJ104" s="11" t="str">
        <f>IFERROR(__xludf.DUMMYFUNCTION("""COMPUTED_VALUE"""),"https://drive.google.com/open?id=1KFhXwXpPD9AWjFvoNHKN0KP6PcChOMq4")</f>
        <v>https://drive.google.com/open?id=1KFhXwXpPD9AWjFvoNHKN0KP6PcChOMq4</v>
      </c>
      <c r="AK104" s="12"/>
      <c r="AL104" s="12" t="str">
        <f>IFERROR(__xludf.DUMMYFUNCTION("""COMPUTED_VALUE"""),"No")</f>
        <v>No</v>
      </c>
      <c r="AM104" s="15">
        <f>IFERROR(__xludf.DUMMYFUNCTION("""COMPUTED_VALUE"""),0.0)</f>
        <v>0</v>
      </c>
      <c r="AN104" s="12"/>
      <c r="AO104" s="13">
        <v>1.0</v>
      </c>
      <c r="AX104" s="13">
        <v>1.0</v>
      </c>
    </row>
    <row r="105">
      <c r="A105" s="8">
        <v>104.0</v>
      </c>
      <c r="B105" s="9">
        <f>IFERROR(__xludf.DUMMYFUNCTION("""COMPUTED_VALUE"""),45772.47468313658)</f>
        <v>45772.47468</v>
      </c>
      <c r="C105" s="10" t="str">
        <f>IFERROR(__xludf.DUMMYFUNCTION("""COMPUTED_VALUE"""),"Shakeela")</f>
        <v>Shakeela</v>
      </c>
      <c r="D105" s="10" t="str">
        <f>IFERROR(__xludf.DUMMYFUNCTION("""COMPUTED_VALUE"""),"03359485820")</f>
        <v>03359485820</v>
      </c>
      <c r="E105" s="10" t="str">
        <f>IFERROR(__xludf.DUMMYFUNCTION("""COMPUTED_VALUE"""),"Sermon 1 jamia takia Abdul wahab")</f>
        <v>Sermon 1 jamia takia Abdul wahab</v>
      </c>
      <c r="F105" s="10" t="str">
        <f>IFERROR(__xludf.DUMMYFUNCTION("""COMPUTED_VALUE"""),"Moorq")</f>
        <v>Moorq</v>
      </c>
      <c r="G105" s="10" t="str">
        <f>IFERROR(__xludf.DUMMYFUNCTION("""COMPUTED_VALUE"""),"No")</f>
        <v>No</v>
      </c>
      <c r="H105" s="10"/>
      <c r="I105" s="10"/>
      <c r="J105" s="10"/>
      <c r="K105" s="10">
        <f>IFERROR(__xludf.DUMMYFUNCTION("""COMPUTED_VALUE"""),0.0)</f>
        <v>0</v>
      </c>
      <c r="L105" s="10">
        <f>IFERROR(__xludf.DUMMYFUNCTION("""COMPUTED_VALUE"""),0.0)</f>
        <v>0</v>
      </c>
      <c r="M105" s="10">
        <f>IFERROR(__xludf.DUMMYFUNCTION("""COMPUTED_VALUE"""),0.0)</f>
        <v>0</v>
      </c>
      <c r="N105" s="10">
        <f>IFERROR(__xludf.DUMMYFUNCTION("""COMPUTED_VALUE"""),0.0)</f>
        <v>0</v>
      </c>
      <c r="O105" s="10">
        <f>IFERROR(__xludf.DUMMYFUNCTION("""COMPUTED_VALUE"""),0.0)</f>
        <v>0</v>
      </c>
      <c r="P105" s="10">
        <f>IFERROR(__xludf.DUMMYFUNCTION("""COMPUTED_VALUE"""),0.0)</f>
        <v>0</v>
      </c>
      <c r="Q105" s="10" t="str">
        <f>IFERROR(__xludf.DUMMYFUNCTION("""COMPUTED_VALUE"""),"No")</f>
        <v>No</v>
      </c>
      <c r="R105" s="10" t="str">
        <f>IFERROR(__xludf.DUMMYFUNCTION("""COMPUTED_VALUE"""),"No")</f>
        <v>No</v>
      </c>
      <c r="S105" s="10" t="str">
        <f>IFERROR(__xludf.DUMMYFUNCTION("""COMPUTED_VALUE"""),"No")</f>
        <v>No</v>
      </c>
      <c r="T105" s="10">
        <f>IFERROR(__xludf.DUMMYFUNCTION("""COMPUTED_VALUE"""),0.0)</f>
        <v>0</v>
      </c>
      <c r="U105" s="10">
        <f>IFERROR(__xludf.DUMMYFUNCTION("""COMPUTED_VALUE"""),0.0)</f>
        <v>0</v>
      </c>
      <c r="V105" s="10" t="str">
        <f>IFERROR(__xludf.DUMMYFUNCTION("""COMPUTED_VALUE"""),"Seerat un nabi Saw")</f>
        <v>Seerat un nabi Saw</v>
      </c>
      <c r="W105" s="10" t="str">
        <f>IFERROR(__xludf.DUMMYFUNCTION("""COMPUTED_VALUE"""),"Seerat un nabi saw")</f>
        <v>Seerat un nabi saw</v>
      </c>
      <c r="X105" s="10">
        <f>IFERROR(__xludf.DUMMYFUNCTION("""COMPUTED_VALUE"""),5.0)</f>
        <v>5</v>
      </c>
      <c r="Y105" s="10">
        <f>IFERROR(__xludf.DUMMYFUNCTION("""COMPUTED_VALUE"""),4.0)</f>
        <v>4</v>
      </c>
      <c r="Z105" s="10">
        <f>IFERROR(__xludf.DUMMYFUNCTION("""COMPUTED_VALUE"""),4.0)</f>
        <v>4</v>
      </c>
      <c r="AA105" s="10">
        <f>IFERROR(__xludf.DUMMYFUNCTION("""COMPUTED_VALUE"""),5.0)</f>
        <v>5</v>
      </c>
      <c r="AB105" s="10">
        <f>IFERROR(__xludf.DUMMYFUNCTION("""COMPUTED_VALUE"""),5.0)</f>
        <v>5</v>
      </c>
      <c r="AC105" s="10">
        <f>IFERROR(__xludf.DUMMYFUNCTION("""COMPUTED_VALUE"""),5.0)</f>
        <v>5</v>
      </c>
      <c r="AD105" s="10">
        <f>IFERROR(__xludf.DUMMYFUNCTION("""COMPUTED_VALUE"""),4.0)</f>
        <v>4</v>
      </c>
      <c r="AE105" s="10">
        <f>IFERROR(__xludf.DUMMYFUNCTION("""COMPUTED_VALUE"""),5.0)</f>
        <v>5</v>
      </c>
      <c r="AF105" s="10">
        <f>IFERROR(__xludf.DUMMYFUNCTION("""COMPUTED_VALUE"""),1.0)</f>
        <v>1</v>
      </c>
      <c r="AG105" s="10">
        <f>IFERROR(__xludf.DUMMYFUNCTION("""COMPUTED_VALUE"""),9.0)</f>
        <v>9</v>
      </c>
      <c r="AH105" s="10">
        <f>IFERROR(__xludf.DUMMYFUNCTION("""COMPUTED_VALUE"""),1.0)</f>
        <v>1</v>
      </c>
      <c r="AI105" s="10">
        <f>IFERROR(__xludf.DUMMYFUNCTION("""COMPUTED_VALUE"""),7.0)</f>
        <v>7</v>
      </c>
      <c r="AJ105" s="11" t="str">
        <f>IFERROR(__xludf.DUMMYFUNCTION("""COMPUTED_VALUE"""),"https://drive.google.com/open?id=1HGG9WXpilL888EoLqp-mWcMvBFNV2LR4")</f>
        <v>https://drive.google.com/open?id=1HGG9WXpilL888EoLqp-mWcMvBFNV2LR4</v>
      </c>
      <c r="AK105" s="12"/>
      <c r="AL105" s="12"/>
      <c r="AM105" s="12"/>
      <c r="AN105" s="12"/>
      <c r="AO105" s="13">
        <v>1.0</v>
      </c>
      <c r="AX105" s="13">
        <v>1.0</v>
      </c>
    </row>
    <row r="106">
      <c r="A106" s="8">
        <v>105.0</v>
      </c>
      <c r="B106" s="9">
        <f>IFERROR(__xludf.DUMMYFUNCTION("""COMPUTED_VALUE"""),45772.47830537037)</f>
        <v>45772.47831</v>
      </c>
      <c r="C106" s="10" t="str">
        <f>IFERROR(__xludf.DUMMYFUNCTION("""COMPUTED_VALUE"""),"Shakeela")</f>
        <v>Shakeela</v>
      </c>
      <c r="D106" s="10" t="str">
        <f>IFERROR(__xludf.DUMMYFUNCTION("""COMPUTED_VALUE"""),"03359485820")</f>
        <v>03359485820</v>
      </c>
      <c r="E106" s="10" t="str">
        <f>IFERROR(__xludf.DUMMYFUNCTION("""COMPUTED_VALUE"""),"Sermon 1 jamia masjid ghosia masti gate")</f>
        <v>Sermon 1 jamia masjid ghosia masti gate</v>
      </c>
      <c r="F106" s="10" t="str">
        <f>IFERROR(__xludf.DUMMYFUNCTION("""COMPUTED_VALUE"""),"xuynq")</f>
        <v>xuynq</v>
      </c>
      <c r="G106" s="10" t="str">
        <f>IFERROR(__xludf.DUMMYFUNCTION("""COMPUTED_VALUE"""),"No")</f>
        <v>No</v>
      </c>
      <c r="H106" s="10"/>
      <c r="I106" s="10"/>
      <c r="J106" s="10"/>
      <c r="K106" s="10">
        <f>IFERROR(__xludf.DUMMYFUNCTION("""COMPUTED_VALUE"""),0.0)</f>
        <v>0</v>
      </c>
      <c r="L106" s="10">
        <f>IFERROR(__xludf.DUMMYFUNCTION("""COMPUTED_VALUE"""),0.0)</f>
        <v>0</v>
      </c>
      <c r="M106" s="10">
        <f>IFERROR(__xludf.DUMMYFUNCTION("""COMPUTED_VALUE"""),0.0)</f>
        <v>0</v>
      </c>
      <c r="N106" s="10">
        <f>IFERROR(__xludf.DUMMYFUNCTION("""COMPUTED_VALUE"""),0.0)</f>
        <v>0</v>
      </c>
      <c r="O106" s="10">
        <f>IFERROR(__xludf.DUMMYFUNCTION("""COMPUTED_VALUE"""),0.0)</f>
        <v>0</v>
      </c>
      <c r="P106" s="10">
        <f>IFERROR(__xludf.DUMMYFUNCTION("""COMPUTED_VALUE"""),0.0)</f>
        <v>0</v>
      </c>
      <c r="Q106" s="10" t="str">
        <f>IFERROR(__xludf.DUMMYFUNCTION("""COMPUTED_VALUE"""),"No")</f>
        <v>No</v>
      </c>
      <c r="R106" s="10" t="str">
        <f>IFERROR(__xludf.DUMMYFUNCTION("""COMPUTED_VALUE"""),"No")</f>
        <v>No</v>
      </c>
      <c r="S106" s="10" t="str">
        <f>IFERROR(__xludf.DUMMYFUNCTION("""COMPUTED_VALUE"""),"No")</f>
        <v>No</v>
      </c>
      <c r="T106" s="10">
        <f>IFERROR(__xludf.DUMMYFUNCTION("""COMPUTED_VALUE"""),0.0)</f>
        <v>0</v>
      </c>
      <c r="U106" s="10">
        <f>IFERROR(__xludf.DUMMYFUNCTION("""COMPUTED_VALUE"""),0.0)</f>
        <v>0</v>
      </c>
      <c r="V106" s="10" t="str">
        <f>IFERROR(__xludf.DUMMYFUNCTION("""COMPUTED_VALUE"""),"Ramzan aur Allah ki naimten")</f>
        <v>Ramzan aur Allah ki naimten</v>
      </c>
      <c r="W106" s="10" t="str">
        <f>IFERROR(__xludf.DUMMYFUNCTION("""COMPUTED_VALUE"""),"Ramzan Aur Allah ki naimten")</f>
        <v>Ramzan Aur Allah ki naimten</v>
      </c>
      <c r="X106" s="10">
        <f>IFERROR(__xludf.DUMMYFUNCTION("""COMPUTED_VALUE"""),2.0)</f>
        <v>2</v>
      </c>
      <c r="Y106" s="10">
        <f>IFERROR(__xludf.DUMMYFUNCTION("""COMPUTED_VALUE"""),5.0)</f>
        <v>5</v>
      </c>
      <c r="Z106" s="10">
        <f>IFERROR(__xludf.DUMMYFUNCTION("""COMPUTED_VALUE"""),4.0)</f>
        <v>4</v>
      </c>
      <c r="AA106" s="10">
        <f>IFERROR(__xludf.DUMMYFUNCTION("""COMPUTED_VALUE"""),4.0)</f>
        <v>4</v>
      </c>
      <c r="AB106" s="10">
        <f>IFERROR(__xludf.DUMMYFUNCTION("""COMPUTED_VALUE"""),6.0)</f>
        <v>6</v>
      </c>
      <c r="AC106" s="10">
        <f>IFERROR(__xludf.DUMMYFUNCTION("""COMPUTED_VALUE"""),4.0)</f>
        <v>4</v>
      </c>
      <c r="AD106" s="10">
        <f>IFERROR(__xludf.DUMMYFUNCTION("""COMPUTED_VALUE"""),1.0)</f>
        <v>1</v>
      </c>
      <c r="AE106" s="10">
        <f>IFERROR(__xludf.DUMMYFUNCTION("""COMPUTED_VALUE"""),0.0)</f>
        <v>0</v>
      </c>
      <c r="AF106" s="10">
        <f>IFERROR(__xludf.DUMMYFUNCTION("""COMPUTED_VALUE"""),0.0)</f>
        <v>0</v>
      </c>
      <c r="AG106" s="10">
        <f>IFERROR(__xludf.DUMMYFUNCTION("""COMPUTED_VALUE"""),6.0)</f>
        <v>6</v>
      </c>
      <c r="AH106" s="10">
        <f>IFERROR(__xludf.DUMMYFUNCTION("""COMPUTED_VALUE"""),3.0)</f>
        <v>3</v>
      </c>
      <c r="AI106" s="10">
        <f>IFERROR(__xludf.DUMMYFUNCTION("""COMPUTED_VALUE"""),7.0)</f>
        <v>7</v>
      </c>
      <c r="AJ106" s="11" t="str">
        <f>IFERROR(__xludf.DUMMYFUNCTION("""COMPUTED_VALUE"""),"https://drive.google.com/open?id=1lgliwNu_DkDwTCoPSDn3wT7bkRFXTzxz")</f>
        <v>https://drive.google.com/open?id=1lgliwNu_DkDwTCoPSDn3wT7bkRFXTzxz</v>
      </c>
      <c r="AK106" s="12"/>
      <c r="AL106" s="12"/>
      <c r="AM106" s="12"/>
      <c r="AN106" s="12"/>
      <c r="AO106" s="13">
        <v>1.0</v>
      </c>
      <c r="AX106" s="13">
        <v>1.0</v>
      </c>
    </row>
    <row r="107">
      <c r="A107" s="8">
        <v>106.0</v>
      </c>
      <c r="B107" s="9">
        <f>IFERROR(__xludf.DUMMYFUNCTION("""COMPUTED_VALUE"""),45772.482668553246)</f>
        <v>45772.48267</v>
      </c>
      <c r="C107" s="10" t="str">
        <f>IFERROR(__xludf.DUMMYFUNCTION("""COMPUTED_VALUE"""),"Shakeela")</f>
        <v>Shakeela</v>
      </c>
      <c r="D107" s="10" t="str">
        <f>IFERROR(__xludf.DUMMYFUNCTION("""COMPUTED_VALUE"""),"03359485820")</f>
        <v>03359485820</v>
      </c>
      <c r="E107" s="10" t="str">
        <f>IFERROR(__xludf.DUMMYFUNCTION("""COMPUTED_VALUE"""),"Sermon 1 jamia masjid Bilal misri Shah")</f>
        <v>Sermon 1 jamia masjid Bilal misri Shah</v>
      </c>
      <c r="F107" s="10" t="str">
        <f>IFERROR(__xludf.DUMMYFUNCTION("""COMPUTED_VALUE"""),"Avbgy")</f>
        <v>Avbgy</v>
      </c>
      <c r="G107" s="10" t="str">
        <f>IFERROR(__xludf.DUMMYFUNCTION("""COMPUTED_VALUE"""),"Yes")</f>
        <v>Yes</v>
      </c>
      <c r="H107" s="10">
        <f>IFERROR(__xludf.DUMMYFUNCTION("""COMPUTED_VALUE"""),9.0)</f>
        <v>9</v>
      </c>
      <c r="I107" s="10">
        <f>IFERROR(__xludf.DUMMYFUNCTION("""COMPUTED_VALUE"""),1.0)</f>
        <v>1</v>
      </c>
      <c r="J107" s="10">
        <f>IFERROR(__xludf.DUMMYFUNCTION("""COMPUTED_VALUE"""),9.0)</f>
        <v>9</v>
      </c>
      <c r="K107" s="10">
        <f>IFERROR(__xludf.DUMMYFUNCTION("""COMPUTED_VALUE"""),0.0)</f>
        <v>0</v>
      </c>
      <c r="L107" s="10">
        <f>IFERROR(__xludf.DUMMYFUNCTION("""COMPUTED_VALUE"""),9.0)</f>
        <v>9</v>
      </c>
      <c r="M107" s="10">
        <f>IFERROR(__xludf.DUMMYFUNCTION("""COMPUTED_VALUE"""),0.0)</f>
        <v>0</v>
      </c>
      <c r="N107" s="10">
        <f>IFERROR(__xludf.DUMMYFUNCTION("""COMPUTED_VALUE"""),9.0)</f>
        <v>9</v>
      </c>
      <c r="O107" s="10">
        <f>IFERROR(__xludf.DUMMYFUNCTION("""COMPUTED_VALUE"""),0.0)</f>
        <v>0</v>
      </c>
      <c r="P107" s="10">
        <f>IFERROR(__xludf.DUMMYFUNCTION("""COMPUTED_VALUE"""),9.0)</f>
        <v>9</v>
      </c>
      <c r="Q107" s="10" t="str">
        <f>IFERROR(__xludf.DUMMYFUNCTION("""COMPUTED_VALUE"""),"No")</f>
        <v>No</v>
      </c>
      <c r="R107" s="10" t="str">
        <f>IFERROR(__xludf.DUMMYFUNCTION("""COMPUTED_VALUE"""),"Yes")</f>
        <v>Yes</v>
      </c>
      <c r="S107" s="10" t="str">
        <f>IFERROR(__xludf.DUMMYFUNCTION("""COMPUTED_VALUE"""),"No")</f>
        <v>No</v>
      </c>
      <c r="T107" s="10">
        <f>IFERROR(__xludf.DUMMYFUNCTION("""COMPUTED_VALUE"""),0.0)</f>
        <v>0</v>
      </c>
      <c r="U107" s="10">
        <f>IFERROR(__xludf.DUMMYFUNCTION("""COMPUTED_VALUE"""),0.0)</f>
        <v>0</v>
      </c>
      <c r="V107" s="10" t="str">
        <f>IFERROR(__xludf.DUMMYFUNCTION("""COMPUTED_VALUE"""),"Padosi k haqooq")</f>
        <v>Padosi k haqooq</v>
      </c>
      <c r="W107" s="10" t="str">
        <f>IFERROR(__xludf.DUMMYFUNCTION("""COMPUTED_VALUE"""),"Safai suthrai aur padosi k haqooq")</f>
        <v>Safai suthrai aur padosi k haqooq</v>
      </c>
      <c r="X107" s="10">
        <f>IFERROR(__xludf.DUMMYFUNCTION("""COMPUTED_VALUE"""),0.0)</f>
        <v>0</v>
      </c>
      <c r="Y107" s="10">
        <f>IFERROR(__xludf.DUMMYFUNCTION("""COMPUTED_VALUE"""),6.0)</f>
        <v>6</v>
      </c>
      <c r="Z107" s="10">
        <f>IFERROR(__xludf.DUMMYFUNCTION("""COMPUTED_VALUE"""),6.0)</f>
        <v>6</v>
      </c>
      <c r="AA107" s="10">
        <f>IFERROR(__xludf.DUMMYFUNCTION("""COMPUTED_VALUE"""),2.0)</f>
        <v>2</v>
      </c>
      <c r="AB107" s="10">
        <f>IFERROR(__xludf.DUMMYFUNCTION("""COMPUTED_VALUE"""),3.0)</f>
        <v>3</v>
      </c>
      <c r="AC107" s="10">
        <f>IFERROR(__xludf.DUMMYFUNCTION("""COMPUTED_VALUE"""),0.0)</f>
        <v>0</v>
      </c>
      <c r="AD107" s="10">
        <f>IFERROR(__xludf.DUMMYFUNCTION("""COMPUTED_VALUE"""),0.0)</f>
        <v>0</v>
      </c>
      <c r="AE107" s="10">
        <f>IFERROR(__xludf.DUMMYFUNCTION("""COMPUTED_VALUE"""),0.0)</f>
        <v>0</v>
      </c>
      <c r="AF107" s="10">
        <f>IFERROR(__xludf.DUMMYFUNCTION("""COMPUTED_VALUE"""),0.0)</f>
        <v>0</v>
      </c>
      <c r="AG107" s="10">
        <f>IFERROR(__xludf.DUMMYFUNCTION("""COMPUTED_VALUE"""),9.0)</f>
        <v>9</v>
      </c>
      <c r="AH107" s="10">
        <f>IFERROR(__xludf.DUMMYFUNCTION("""COMPUTED_VALUE"""),0.0)</f>
        <v>0</v>
      </c>
      <c r="AI107" s="10">
        <f>IFERROR(__xludf.DUMMYFUNCTION("""COMPUTED_VALUE"""),7.0)</f>
        <v>7</v>
      </c>
      <c r="AJ107" s="11" t="str">
        <f>IFERROR(__xludf.DUMMYFUNCTION("""COMPUTED_VALUE"""),"https://drive.google.com/open?id=1nHvEtwO7qgTGX4k8iwxCjvoxFPfcmvzx")</f>
        <v>https://drive.google.com/open?id=1nHvEtwO7qgTGX4k8iwxCjvoxFPfcmvzx</v>
      </c>
      <c r="AK107" s="12"/>
      <c r="AL107" s="12" t="str">
        <f>IFERROR(__xludf.DUMMYFUNCTION("""COMPUTED_VALUE"""),"Yes")</f>
        <v>Yes</v>
      </c>
      <c r="AM107" s="15">
        <f>IFERROR(__xludf.DUMMYFUNCTION("""COMPUTED_VALUE"""),0.9)</f>
        <v>0.9</v>
      </c>
      <c r="AN107" s="12"/>
      <c r="AO107" s="13">
        <v>1.0</v>
      </c>
      <c r="AX107" s="13">
        <v>1.0</v>
      </c>
    </row>
    <row r="108">
      <c r="A108" s="8">
        <v>107.0</v>
      </c>
      <c r="B108" s="9">
        <f>IFERROR(__xludf.DUMMYFUNCTION("""COMPUTED_VALUE"""),45772.579344259255)</f>
        <v>45772.57934</v>
      </c>
      <c r="C108" s="10" t="str">
        <f>IFERROR(__xludf.DUMMYFUNCTION("""COMPUTED_VALUE"""),"Shakeela ")</f>
        <v>Shakeela </v>
      </c>
      <c r="D108" s="10" t="str">
        <f>IFERROR(__xludf.DUMMYFUNCTION("""COMPUTED_VALUE"""),"03359485820")</f>
        <v>03359485820</v>
      </c>
      <c r="E108" s="10" t="str">
        <f>IFERROR(__xludf.DUMMYFUNCTION("""COMPUTED_VALUE"""),"Jamia Masjid Sheikh sikandar")</f>
        <v>Jamia Masjid Sheikh sikandar</v>
      </c>
      <c r="F108" s="10" t="str">
        <f>IFERROR(__xludf.DUMMYFUNCTION("""COMPUTED_VALUE"""),"Jypnp")</f>
        <v>Jypnp</v>
      </c>
      <c r="G108" s="10" t="str">
        <f>IFERROR(__xludf.DUMMYFUNCTION("""COMPUTED_VALUE"""),"Yes")</f>
        <v>Yes</v>
      </c>
      <c r="H108" s="10">
        <f>IFERROR(__xludf.DUMMYFUNCTION("""COMPUTED_VALUE"""),0.0)</f>
        <v>0</v>
      </c>
      <c r="I108" s="10">
        <f>IFERROR(__xludf.DUMMYFUNCTION("""COMPUTED_VALUE"""),0.0)</f>
        <v>0</v>
      </c>
      <c r="J108" s="10">
        <f>IFERROR(__xludf.DUMMYFUNCTION("""COMPUTED_VALUE"""),0.0)</f>
        <v>0</v>
      </c>
      <c r="K108" s="10">
        <f>IFERROR(__xludf.DUMMYFUNCTION("""COMPUTED_VALUE"""),0.0)</f>
        <v>0</v>
      </c>
      <c r="L108" s="10">
        <f>IFERROR(__xludf.DUMMYFUNCTION("""COMPUTED_VALUE"""),0.0)</f>
        <v>0</v>
      </c>
      <c r="M108" s="10">
        <f>IFERROR(__xludf.DUMMYFUNCTION("""COMPUTED_VALUE"""),0.0)</f>
        <v>0</v>
      </c>
      <c r="N108" s="10">
        <f>IFERROR(__xludf.DUMMYFUNCTION("""COMPUTED_VALUE"""),0.0)</f>
        <v>0</v>
      </c>
      <c r="O108" s="10">
        <f>IFERROR(__xludf.DUMMYFUNCTION("""COMPUTED_VALUE"""),0.0)</f>
        <v>0</v>
      </c>
      <c r="P108" s="10">
        <f>IFERROR(__xludf.DUMMYFUNCTION("""COMPUTED_VALUE"""),0.0)</f>
        <v>0</v>
      </c>
      <c r="Q108" s="10" t="str">
        <f>IFERROR(__xludf.DUMMYFUNCTION("""COMPUTED_VALUE"""),"No")</f>
        <v>No</v>
      </c>
      <c r="R108" s="10" t="str">
        <f>IFERROR(__xludf.DUMMYFUNCTION("""COMPUTED_VALUE"""),"No")</f>
        <v>No</v>
      </c>
      <c r="S108" s="10" t="str">
        <f>IFERROR(__xludf.DUMMYFUNCTION("""COMPUTED_VALUE"""),"No")</f>
        <v>No</v>
      </c>
      <c r="T108" s="10">
        <f>IFERROR(__xludf.DUMMYFUNCTION("""COMPUTED_VALUE"""),0.0)</f>
        <v>0</v>
      </c>
      <c r="U108" s="10">
        <f>IFERROR(__xludf.DUMMYFUNCTION("""COMPUTED_VALUE"""),0.0)</f>
        <v>0</v>
      </c>
      <c r="V108" s="10" t="str">
        <f>IFERROR(__xludf.DUMMYFUNCTION("""COMPUTED_VALUE"""),"Maa baap k haqooq")</f>
        <v>Maa baap k haqooq</v>
      </c>
      <c r="W108" s="10" t="str">
        <f>IFERROR(__xludf.DUMMYFUNCTION("""COMPUTED_VALUE"""),"Maa Baap k haqooq")</f>
        <v>Maa Baap k haqooq</v>
      </c>
      <c r="X108" s="10">
        <f>IFERROR(__xludf.DUMMYFUNCTION("""COMPUTED_VALUE"""),3.0)</f>
        <v>3</v>
      </c>
      <c r="Y108" s="10">
        <f>IFERROR(__xludf.DUMMYFUNCTION("""COMPUTED_VALUE"""),4.0)</f>
        <v>4</v>
      </c>
      <c r="Z108" s="10">
        <f>IFERROR(__xludf.DUMMYFUNCTION("""COMPUTED_VALUE"""),4.0)</f>
        <v>4</v>
      </c>
      <c r="AA108" s="10">
        <f>IFERROR(__xludf.DUMMYFUNCTION("""COMPUTED_VALUE"""),6.0)</f>
        <v>6</v>
      </c>
      <c r="AB108" s="10">
        <f>IFERROR(__xludf.DUMMYFUNCTION("""COMPUTED_VALUE"""),1.0)</f>
        <v>1</v>
      </c>
      <c r="AC108" s="10">
        <f>IFERROR(__xludf.DUMMYFUNCTION("""COMPUTED_VALUE"""),0.0)</f>
        <v>0</v>
      </c>
      <c r="AD108" s="10">
        <f>IFERROR(__xludf.DUMMYFUNCTION("""COMPUTED_VALUE"""),0.0)</f>
        <v>0</v>
      </c>
      <c r="AE108" s="10">
        <f>IFERROR(__xludf.DUMMYFUNCTION("""COMPUTED_VALUE"""),0.0)</f>
        <v>0</v>
      </c>
      <c r="AF108" s="10">
        <f>IFERROR(__xludf.DUMMYFUNCTION("""COMPUTED_VALUE"""),0.0)</f>
        <v>0</v>
      </c>
      <c r="AG108" s="10">
        <f>IFERROR(__xludf.DUMMYFUNCTION("""COMPUTED_VALUE"""),5.0)</f>
        <v>5</v>
      </c>
      <c r="AH108" s="10">
        <f>IFERROR(__xludf.DUMMYFUNCTION("""COMPUTED_VALUE"""),0.0)</f>
        <v>0</v>
      </c>
      <c r="AI108" s="10">
        <f>IFERROR(__xludf.DUMMYFUNCTION("""COMPUTED_VALUE"""),8.0)</f>
        <v>8</v>
      </c>
      <c r="AJ108" s="11" t="str">
        <f>IFERROR(__xludf.DUMMYFUNCTION("""COMPUTED_VALUE"""),"https://drive.google.com/open?id=1pfGJ-RzkIV8jWpr1910c0v2P0L1c9TVg")</f>
        <v>https://drive.google.com/open?id=1pfGJ-RzkIV8jWpr1910c0v2P0L1c9TVg</v>
      </c>
      <c r="AK108" s="12"/>
      <c r="AL108" s="12" t="str">
        <f>IFERROR(__xludf.DUMMYFUNCTION("""COMPUTED_VALUE"""),"Yes")</f>
        <v>Yes</v>
      </c>
      <c r="AM108" s="15">
        <f>IFERROR(__xludf.DUMMYFUNCTION("""COMPUTED_VALUE"""),0.0)</f>
        <v>0</v>
      </c>
      <c r="AN108" s="12"/>
      <c r="AO108" s="13">
        <v>1.0</v>
      </c>
      <c r="AX108" s="13">
        <v>1.0</v>
      </c>
    </row>
    <row r="109">
      <c r="A109" s="8">
        <v>108.0</v>
      </c>
      <c r="B109" s="9">
        <f>IFERROR(__xludf.DUMMYFUNCTION("""COMPUTED_VALUE"""),45773.11878953704)</f>
        <v>45773.11879</v>
      </c>
      <c r="C109" s="10" t="str">
        <f>IFERROR(__xludf.DUMMYFUNCTION("""COMPUTED_VALUE"""),"Shakeela")</f>
        <v>Shakeela</v>
      </c>
      <c r="D109" s="10" t="str">
        <f>IFERROR(__xludf.DUMMYFUNCTION("""COMPUTED_VALUE"""),"03359485820")</f>
        <v>03359485820</v>
      </c>
      <c r="E109" s="10" t="str">
        <f>IFERROR(__xludf.DUMMYFUNCTION("""COMPUTED_VALUE"""),"Jamia Masjid Takiya Sain Sardaara Lahore")</f>
        <v>Jamia Masjid Takiya Sain Sardaara Lahore</v>
      </c>
      <c r="F109" s="10" t="str">
        <f>IFERROR(__xludf.DUMMYFUNCTION("""COMPUTED_VALUE"""),"vtoiy")</f>
        <v>vtoiy</v>
      </c>
      <c r="G109" s="10" t="str">
        <f>IFERROR(__xludf.DUMMYFUNCTION("""COMPUTED_VALUE"""),"Yes")</f>
        <v>Yes</v>
      </c>
      <c r="H109" s="10">
        <f>IFERROR(__xludf.DUMMYFUNCTION("""COMPUTED_VALUE"""),8.0)</f>
        <v>8</v>
      </c>
      <c r="I109" s="10">
        <f>IFERROR(__xludf.DUMMYFUNCTION("""COMPUTED_VALUE"""),2.0)</f>
        <v>2</v>
      </c>
      <c r="J109" s="10">
        <f>IFERROR(__xludf.DUMMYFUNCTION("""COMPUTED_VALUE"""),9.0)</f>
        <v>9</v>
      </c>
      <c r="K109" s="10">
        <f>IFERROR(__xludf.DUMMYFUNCTION("""COMPUTED_VALUE"""),0.0)</f>
        <v>0</v>
      </c>
      <c r="L109" s="10">
        <f>IFERROR(__xludf.DUMMYFUNCTION("""COMPUTED_VALUE"""),8.0)</f>
        <v>8</v>
      </c>
      <c r="M109" s="10">
        <f>IFERROR(__xludf.DUMMYFUNCTION("""COMPUTED_VALUE"""),0.0)</f>
        <v>0</v>
      </c>
      <c r="N109" s="10">
        <f>IFERROR(__xludf.DUMMYFUNCTION("""COMPUTED_VALUE"""),8.0)</f>
        <v>8</v>
      </c>
      <c r="O109" s="10">
        <f>IFERROR(__xludf.DUMMYFUNCTION("""COMPUTED_VALUE"""),0.0)</f>
        <v>0</v>
      </c>
      <c r="P109" s="10">
        <f>IFERROR(__xludf.DUMMYFUNCTION("""COMPUTED_VALUE"""),8.0)</f>
        <v>8</v>
      </c>
      <c r="Q109" s="10" t="str">
        <f>IFERROR(__xludf.DUMMYFUNCTION("""COMPUTED_VALUE"""),"No")</f>
        <v>No</v>
      </c>
      <c r="R109" s="10" t="str">
        <f>IFERROR(__xludf.DUMMYFUNCTION("""COMPUTED_VALUE"""),"Yes")</f>
        <v>Yes</v>
      </c>
      <c r="S109" s="10" t="str">
        <f>IFERROR(__xludf.DUMMYFUNCTION("""COMPUTED_VALUE"""),"No")</f>
        <v>No</v>
      </c>
      <c r="T109" s="10">
        <f>IFERROR(__xludf.DUMMYFUNCTION("""COMPUTED_VALUE"""),0.0)</f>
        <v>0</v>
      </c>
      <c r="U109" s="10">
        <f>IFERROR(__xludf.DUMMYFUNCTION("""COMPUTED_VALUE"""),8.0)</f>
        <v>8</v>
      </c>
      <c r="V109" s="10" t="str">
        <f>IFERROR(__xludf.DUMMYFUNCTION("""COMPUTED_VALUE"""),"Padosi K Haqooq")</f>
        <v>Padosi K Haqooq</v>
      </c>
      <c r="W109" s="10" t="str">
        <f>IFERROR(__xludf.DUMMYFUNCTION("""COMPUTED_VALUE"""),"mohaly dar k sath mil kr safai suthrai aur un kn haqooq")</f>
        <v>mohaly dar k sath mil kr safai suthrai aur un kn haqooq</v>
      </c>
      <c r="X109" s="10">
        <f>IFERROR(__xludf.DUMMYFUNCTION("""COMPUTED_VALUE"""),0.0)</f>
        <v>0</v>
      </c>
      <c r="Y109" s="10">
        <f>IFERROR(__xludf.DUMMYFUNCTION("""COMPUTED_VALUE"""),5.0)</f>
        <v>5</v>
      </c>
      <c r="Z109" s="10">
        <f>IFERROR(__xludf.DUMMYFUNCTION("""COMPUTED_VALUE"""),6.0)</f>
        <v>6</v>
      </c>
      <c r="AA109" s="10">
        <f>IFERROR(__xludf.DUMMYFUNCTION("""COMPUTED_VALUE"""),0.0)</f>
        <v>0</v>
      </c>
      <c r="AB109" s="10">
        <f>IFERROR(__xludf.DUMMYFUNCTION("""COMPUTED_VALUE"""),0.0)</f>
        <v>0</v>
      </c>
      <c r="AC109" s="10">
        <f>IFERROR(__xludf.DUMMYFUNCTION("""COMPUTED_VALUE"""),0.0)</f>
        <v>0</v>
      </c>
      <c r="AD109" s="10">
        <f>IFERROR(__xludf.DUMMYFUNCTION("""COMPUTED_VALUE"""),0.0)</f>
        <v>0</v>
      </c>
      <c r="AE109" s="10">
        <f>IFERROR(__xludf.DUMMYFUNCTION("""COMPUTED_VALUE"""),0.0)</f>
        <v>0</v>
      </c>
      <c r="AF109" s="10">
        <f>IFERROR(__xludf.DUMMYFUNCTION("""COMPUTED_VALUE"""),2.0)</f>
        <v>2</v>
      </c>
      <c r="AG109" s="10">
        <f>IFERROR(__xludf.DUMMYFUNCTION("""COMPUTED_VALUE"""),8.0)</f>
        <v>8</v>
      </c>
      <c r="AH109" s="10">
        <f>IFERROR(__xludf.DUMMYFUNCTION("""COMPUTED_VALUE"""),0.0)</f>
        <v>0</v>
      </c>
      <c r="AI109" s="10">
        <f>IFERROR(__xludf.DUMMYFUNCTION("""COMPUTED_VALUE"""),8.0)</f>
        <v>8</v>
      </c>
      <c r="AJ109" s="11" t="str">
        <f>IFERROR(__xludf.DUMMYFUNCTION("""COMPUTED_VALUE"""),"https://drive.google.com/open?id=11_sVNMsLVXLfuly7KPEUpm2Z-5Z8Qdwt")</f>
        <v>https://drive.google.com/open?id=11_sVNMsLVXLfuly7KPEUpm2Z-5Z8Qdwt</v>
      </c>
      <c r="AK109" s="12"/>
      <c r="AL109" s="12" t="str">
        <f>IFERROR(__xludf.DUMMYFUNCTION("""COMPUTED_VALUE"""),"Yes")</f>
        <v>Yes</v>
      </c>
      <c r="AM109" s="15">
        <f>IFERROR(__xludf.DUMMYFUNCTION("""COMPUTED_VALUE"""),0.8)</f>
        <v>0.8</v>
      </c>
      <c r="AN109" s="12"/>
      <c r="AO109" s="13">
        <v>1.0</v>
      </c>
      <c r="AX109" s="13">
        <v>1.0</v>
      </c>
    </row>
    <row r="110">
      <c r="A110" s="8">
        <v>109.0</v>
      </c>
      <c r="B110" s="9">
        <f>IFERROR(__xludf.DUMMYFUNCTION("""COMPUTED_VALUE"""),45773.12624652778)</f>
        <v>45773.12625</v>
      </c>
      <c r="C110" s="10" t="str">
        <f>IFERROR(__xludf.DUMMYFUNCTION("""COMPUTED_VALUE"""),"Shakeela Rafique")</f>
        <v>Shakeela Rafique</v>
      </c>
      <c r="D110" s="10" t="str">
        <f>IFERROR(__xludf.DUMMYFUNCTION("""COMPUTED_VALUE"""),"03359485820")</f>
        <v>03359485820</v>
      </c>
      <c r="E110" s="10" t="str">
        <f>IFERROR(__xludf.DUMMYFUNCTION("""COMPUTED_VALUE"""),"Jamia Mosjid Noorani Qasaban Wali")</f>
        <v>Jamia Mosjid Noorani Qasaban Wali</v>
      </c>
      <c r="F110" s="10" t="str">
        <f>IFERROR(__xludf.DUMMYFUNCTION("""COMPUTED_VALUE"""),"hkeci")</f>
        <v>hkeci</v>
      </c>
      <c r="G110" s="10" t="str">
        <f>IFERROR(__xludf.DUMMYFUNCTION("""COMPUTED_VALUE"""),"Yes")</f>
        <v>Yes</v>
      </c>
      <c r="H110" s="10">
        <f>IFERROR(__xludf.DUMMYFUNCTION("""COMPUTED_VALUE"""),5.0)</f>
        <v>5</v>
      </c>
      <c r="I110" s="10">
        <f>IFERROR(__xludf.DUMMYFUNCTION("""COMPUTED_VALUE"""),3.0)</f>
        <v>3</v>
      </c>
      <c r="J110" s="10">
        <f>IFERROR(__xludf.DUMMYFUNCTION("""COMPUTED_VALUE"""),8.0)</f>
        <v>8</v>
      </c>
      <c r="K110" s="10">
        <f>IFERROR(__xludf.DUMMYFUNCTION("""COMPUTED_VALUE"""),8.0)</f>
        <v>8</v>
      </c>
      <c r="L110" s="10">
        <f>IFERROR(__xludf.DUMMYFUNCTION("""COMPUTED_VALUE"""),0.0)</f>
        <v>0</v>
      </c>
      <c r="M110" s="10">
        <f>IFERROR(__xludf.DUMMYFUNCTION("""COMPUTED_VALUE"""),7.0)</f>
        <v>7</v>
      </c>
      <c r="N110" s="10">
        <f>IFERROR(__xludf.DUMMYFUNCTION("""COMPUTED_VALUE"""),0.0)</f>
        <v>0</v>
      </c>
      <c r="O110" s="10">
        <f>IFERROR(__xludf.DUMMYFUNCTION("""COMPUTED_VALUE"""),8.0)</f>
        <v>8</v>
      </c>
      <c r="P110" s="10">
        <f>IFERROR(__xludf.DUMMYFUNCTION("""COMPUTED_VALUE"""),0.0)</f>
        <v>0</v>
      </c>
      <c r="Q110" s="10" t="str">
        <f>IFERROR(__xludf.DUMMYFUNCTION("""COMPUTED_VALUE"""),"Yes")</f>
        <v>Yes</v>
      </c>
      <c r="R110" s="10" t="str">
        <f>IFERROR(__xludf.DUMMYFUNCTION("""COMPUTED_VALUE"""),"No")</f>
        <v>No</v>
      </c>
      <c r="S110" s="10" t="str">
        <f>IFERROR(__xludf.DUMMYFUNCTION("""COMPUTED_VALUE"""),"Yes")</f>
        <v>Yes</v>
      </c>
      <c r="T110" s="10">
        <f>IFERROR(__xludf.DUMMYFUNCTION("""COMPUTED_VALUE"""),0.0)</f>
        <v>0</v>
      </c>
      <c r="U110" s="10">
        <f>IFERROR(__xludf.DUMMYFUNCTION("""COMPUTED_VALUE"""),0.0)</f>
        <v>0</v>
      </c>
      <c r="V110" s="10" t="str">
        <f>IFERROR(__xludf.DUMMYFUNCTION("""COMPUTED_VALUE"""),"AUrton k Haqooq")</f>
        <v>AUrton k Haqooq</v>
      </c>
      <c r="W110" s="10" t="str">
        <f>IFERROR(__xludf.DUMMYFUNCTION("""COMPUTED_VALUE"""),"khawateen k haqooq")</f>
        <v>khawateen k haqooq</v>
      </c>
      <c r="X110" s="10">
        <f>IFERROR(__xludf.DUMMYFUNCTION("""COMPUTED_VALUE"""),0.0)</f>
        <v>0</v>
      </c>
      <c r="Y110" s="10">
        <f>IFERROR(__xludf.DUMMYFUNCTION("""COMPUTED_VALUE"""),2.0)</f>
        <v>2</v>
      </c>
      <c r="Z110" s="10">
        <f>IFERROR(__xludf.DUMMYFUNCTION("""COMPUTED_VALUE"""),4.0)</f>
        <v>4</v>
      </c>
      <c r="AA110" s="10">
        <f>IFERROR(__xludf.DUMMYFUNCTION("""COMPUTED_VALUE"""),0.0)</f>
        <v>0</v>
      </c>
      <c r="AB110" s="10">
        <f>IFERROR(__xludf.DUMMYFUNCTION("""COMPUTED_VALUE"""),0.0)</f>
        <v>0</v>
      </c>
      <c r="AC110" s="10">
        <f>IFERROR(__xludf.DUMMYFUNCTION("""COMPUTED_VALUE"""),0.0)</f>
        <v>0</v>
      </c>
      <c r="AD110" s="10">
        <f>IFERROR(__xludf.DUMMYFUNCTION("""COMPUTED_VALUE"""),0.0)</f>
        <v>0</v>
      </c>
      <c r="AE110" s="10">
        <f>IFERROR(__xludf.DUMMYFUNCTION("""COMPUTED_VALUE"""),0.0)</f>
        <v>0</v>
      </c>
      <c r="AF110" s="10">
        <f>IFERROR(__xludf.DUMMYFUNCTION("""COMPUTED_VALUE"""),0.0)</f>
        <v>0</v>
      </c>
      <c r="AG110" s="10">
        <f>IFERROR(__xludf.DUMMYFUNCTION("""COMPUTED_VALUE"""),7.0)</f>
        <v>7</v>
      </c>
      <c r="AH110" s="10">
        <f>IFERROR(__xludf.DUMMYFUNCTION("""COMPUTED_VALUE"""),1.0)</f>
        <v>1</v>
      </c>
      <c r="AI110" s="10">
        <f>IFERROR(__xludf.DUMMYFUNCTION("""COMPUTED_VALUE"""),9.0)</f>
        <v>9</v>
      </c>
      <c r="AJ110" s="11" t="str">
        <f>IFERROR(__xludf.DUMMYFUNCTION("""COMPUTED_VALUE"""),"https://drive.google.com/open?id=1yBi7ylRGYnl20fRBdN1yj33AfLL3fUc9")</f>
        <v>https://drive.google.com/open?id=1yBi7ylRGYnl20fRBdN1yj33AfLL3fUc9</v>
      </c>
      <c r="AK110" s="12"/>
      <c r="AL110" s="12" t="str">
        <f>IFERROR(__xludf.DUMMYFUNCTION("""COMPUTED_VALUE"""),"Yes")</f>
        <v>Yes</v>
      </c>
      <c r="AM110" s="15">
        <f>IFERROR(__xludf.DUMMYFUNCTION("""COMPUTED_VALUE"""),0.9)</f>
        <v>0.9</v>
      </c>
      <c r="AN110" s="12">
        <f>IFERROR(__xludf.DUMMYFUNCTION("""COMPUTED_VALUE"""),1.0)</f>
        <v>1</v>
      </c>
      <c r="AO110" s="13">
        <v>1.0</v>
      </c>
      <c r="AX110" s="13">
        <v>1.0</v>
      </c>
    </row>
    <row r="111">
      <c r="A111" s="8">
        <v>110.0</v>
      </c>
      <c r="B111" s="9">
        <f>IFERROR(__xludf.DUMMYFUNCTION("""COMPUTED_VALUE"""),45773.60351609954)</f>
        <v>45773.60352</v>
      </c>
      <c r="C111" s="10" t="str">
        <f>IFERROR(__xludf.DUMMYFUNCTION("""COMPUTED_VALUE"""),"M.Rizwan")</f>
        <v>M.Rizwan</v>
      </c>
      <c r="D111" s="10" t="str">
        <f>IFERROR(__xludf.DUMMYFUNCTION("""COMPUTED_VALUE"""),"03084373512")</f>
        <v>03084373512</v>
      </c>
      <c r="E111" s="10" t="str">
        <f>IFERROR(__xludf.DUMMYFUNCTION("""COMPUTED_VALUE"""),"Jamia Masjid Farooq Abad auqaf wali ")</f>
        <v>Jamia Masjid Farooq Abad auqaf wali </v>
      </c>
      <c r="F111" s="10" t="str">
        <f>IFERROR(__xludf.DUMMYFUNCTION("""COMPUTED_VALUE"""),"GARUU")</f>
        <v>GARUU</v>
      </c>
      <c r="G111" s="10" t="str">
        <f>IFERROR(__xludf.DUMMYFUNCTION("""COMPUTED_VALUE"""),"No")</f>
        <v>No</v>
      </c>
      <c r="H111" s="10"/>
      <c r="I111" s="10"/>
      <c r="J111" s="10"/>
      <c r="K111" s="10">
        <f>IFERROR(__xludf.DUMMYFUNCTION("""COMPUTED_VALUE"""),9.0)</f>
        <v>9</v>
      </c>
      <c r="L111" s="10">
        <f>IFERROR(__xludf.DUMMYFUNCTION("""COMPUTED_VALUE"""),0.0)</f>
        <v>0</v>
      </c>
      <c r="M111" s="10">
        <f>IFERROR(__xludf.DUMMYFUNCTION("""COMPUTED_VALUE"""),9.0)</f>
        <v>9</v>
      </c>
      <c r="N111" s="10">
        <f>IFERROR(__xludf.DUMMYFUNCTION("""COMPUTED_VALUE"""),0.0)</f>
        <v>0</v>
      </c>
      <c r="O111" s="10">
        <f>IFERROR(__xludf.DUMMYFUNCTION("""COMPUTED_VALUE"""),8.0)</f>
        <v>8</v>
      </c>
      <c r="P111" s="10">
        <f>IFERROR(__xludf.DUMMYFUNCTION("""COMPUTED_VALUE"""),0.0)</f>
        <v>0</v>
      </c>
      <c r="Q111" s="10" t="str">
        <f>IFERROR(__xludf.DUMMYFUNCTION("""COMPUTED_VALUE"""),"No")</f>
        <v>No</v>
      </c>
      <c r="R111" s="10" t="str">
        <f>IFERROR(__xludf.DUMMYFUNCTION("""COMPUTED_VALUE"""),"No")</f>
        <v>No</v>
      </c>
      <c r="S111" s="10" t="str">
        <f>IFERROR(__xludf.DUMMYFUNCTION("""COMPUTED_VALUE"""),"No")</f>
        <v>No</v>
      </c>
      <c r="T111" s="10">
        <f>IFERROR(__xludf.DUMMYFUNCTION("""COMPUTED_VALUE"""),0.0)</f>
        <v>0</v>
      </c>
      <c r="U111" s="10">
        <f>IFERROR(__xludf.DUMMYFUNCTION("""COMPUTED_VALUE"""),0.0)</f>
        <v>0</v>
      </c>
      <c r="V111" s="10" t="str">
        <f>IFERROR(__xludf.DUMMYFUNCTION("""COMPUTED_VALUE"""),"Women right in Islam ")</f>
        <v>Women right in Islam </v>
      </c>
      <c r="W111" s="10" t="str">
        <f>IFERROR(__xludf.DUMMYFUNCTION("""COMPUTED_VALUE"""),"Women right ")</f>
        <v>Women right </v>
      </c>
      <c r="X111" s="10">
        <f>IFERROR(__xludf.DUMMYFUNCTION("""COMPUTED_VALUE"""),0.0)</f>
        <v>0</v>
      </c>
      <c r="Y111" s="10">
        <f>IFERROR(__xludf.DUMMYFUNCTION("""COMPUTED_VALUE"""),2.0)</f>
        <v>2</v>
      </c>
      <c r="Z111" s="10">
        <f>IFERROR(__xludf.DUMMYFUNCTION("""COMPUTED_VALUE"""),2.0)</f>
        <v>2</v>
      </c>
      <c r="AA111" s="10">
        <f>IFERROR(__xludf.DUMMYFUNCTION("""COMPUTED_VALUE"""),2.0)</f>
        <v>2</v>
      </c>
      <c r="AB111" s="10">
        <f>IFERROR(__xludf.DUMMYFUNCTION("""COMPUTED_VALUE"""),3.0)</f>
        <v>3</v>
      </c>
      <c r="AC111" s="10">
        <f>IFERROR(__xludf.DUMMYFUNCTION("""COMPUTED_VALUE"""),0.0)</f>
        <v>0</v>
      </c>
      <c r="AD111" s="10">
        <f>IFERROR(__xludf.DUMMYFUNCTION("""COMPUTED_VALUE"""),1.0)</f>
        <v>1</v>
      </c>
      <c r="AE111" s="10">
        <f>IFERROR(__xludf.DUMMYFUNCTION("""COMPUTED_VALUE"""),0.0)</f>
        <v>0</v>
      </c>
      <c r="AF111" s="10">
        <f>IFERROR(__xludf.DUMMYFUNCTION("""COMPUTED_VALUE"""),7.0)</f>
        <v>7</v>
      </c>
      <c r="AG111" s="10">
        <f>IFERROR(__xludf.DUMMYFUNCTION("""COMPUTED_VALUE"""),7.0)</f>
        <v>7</v>
      </c>
      <c r="AH111" s="10">
        <f>IFERROR(__xludf.DUMMYFUNCTION("""COMPUTED_VALUE"""),0.0)</f>
        <v>0</v>
      </c>
      <c r="AI111" s="10">
        <f>IFERROR(__xludf.DUMMYFUNCTION("""COMPUTED_VALUE"""),8.0)</f>
        <v>8</v>
      </c>
      <c r="AJ111" s="11" t="str">
        <f>IFERROR(__xludf.DUMMYFUNCTION("""COMPUTED_VALUE"""),"https://drive.google.com/open?id=1Ab0Ks3x0nk6jT9ilSVIpkKKqhD02WdelM95wNshL5nA")</f>
        <v>https://drive.google.com/open?id=1Ab0Ks3x0nk6jT9ilSVIpkKKqhD02WdelM95wNshL5nA</v>
      </c>
      <c r="AK111" s="12" t="str">
        <f>IFERROR(__xludf.DUMMYFUNCTION("""COMPUTED_VALUE"""),"Speaker voice is not clear due to technical faults ")</f>
        <v>Speaker voice is not clear due to technical faults </v>
      </c>
      <c r="AL111" s="12"/>
      <c r="AM111" s="12"/>
      <c r="AN111" s="12"/>
      <c r="AO111" s="13">
        <v>1.0</v>
      </c>
      <c r="AX111" s="13">
        <v>1.0</v>
      </c>
    </row>
    <row r="112">
      <c r="A112" s="8">
        <v>111.0</v>
      </c>
      <c r="B112" s="9">
        <f>IFERROR(__xludf.DUMMYFUNCTION("""COMPUTED_VALUE"""),45773.67804805556)</f>
        <v>45773.67805</v>
      </c>
      <c r="C112" s="10" t="str">
        <f>IFERROR(__xludf.DUMMYFUNCTION("""COMPUTED_VALUE"""),"Maham Amjad ")</f>
        <v>Maham Amjad </v>
      </c>
      <c r="D112" s="10" t="str">
        <f>IFERROR(__xludf.DUMMYFUNCTION("""COMPUTED_VALUE"""),"03218118680")</f>
        <v>03218118680</v>
      </c>
      <c r="E112" s="10" t="str">
        <f>IFERROR(__xludf.DUMMYFUNCTION("""COMPUTED_VALUE"""),"Sermon # 1 Jamia Masjid Bibi Pak daman")</f>
        <v>Sermon # 1 Jamia Masjid Bibi Pak daman</v>
      </c>
      <c r="F112" s="10" t="str">
        <f>IFERROR(__xludf.DUMMYFUNCTION("""COMPUTED_VALUE"""),"shcuy")</f>
        <v>shcuy</v>
      </c>
      <c r="G112" s="10" t="str">
        <f>IFERROR(__xludf.DUMMYFUNCTION("""COMPUTED_VALUE"""),"Yes")</f>
        <v>Yes</v>
      </c>
      <c r="H112" s="10">
        <f>IFERROR(__xludf.DUMMYFUNCTION("""COMPUTED_VALUE"""),0.0)</f>
        <v>0</v>
      </c>
      <c r="I112" s="10">
        <f>IFERROR(__xludf.DUMMYFUNCTION("""COMPUTED_VALUE"""),0.0)</f>
        <v>0</v>
      </c>
      <c r="J112" s="10">
        <f>IFERROR(__xludf.DUMMYFUNCTION("""COMPUTED_VALUE"""),0.0)</f>
        <v>0</v>
      </c>
      <c r="K112" s="10">
        <f>IFERROR(__xludf.DUMMYFUNCTION("""COMPUTED_VALUE"""),0.0)</f>
        <v>0</v>
      </c>
      <c r="L112" s="10">
        <f>IFERROR(__xludf.DUMMYFUNCTION("""COMPUTED_VALUE"""),0.0)</f>
        <v>0</v>
      </c>
      <c r="M112" s="10">
        <f>IFERROR(__xludf.DUMMYFUNCTION("""COMPUTED_VALUE"""),0.0)</f>
        <v>0</v>
      </c>
      <c r="N112" s="10">
        <f>IFERROR(__xludf.DUMMYFUNCTION("""COMPUTED_VALUE"""),0.0)</f>
        <v>0</v>
      </c>
      <c r="O112" s="10">
        <f>IFERROR(__xludf.DUMMYFUNCTION("""COMPUTED_VALUE"""),0.0)</f>
        <v>0</v>
      </c>
      <c r="P112" s="10">
        <f>IFERROR(__xludf.DUMMYFUNCTION("""COMPUTED_VALUE"""),0.0)</f>
        <v>0</v>
      </c>
      <c r="Q112" s="10" t="str">
        <f>IFERROR(__xludf.DUMMYFUNCTION("""COMPUTED_VALUE"""),"No")</f>
        <v>No</v>
      </c>
      <c r="R112" s="10" t="str">
        <f>IFERROR(__xludf.DUMMYFUNCTION("""COMPUTED_VALUE"""),"No")</f>
        <v>No</v>
      </c>
      <c r="S112" s="10" t="str">
        <f>IFERROR(__xludf.DUMMYFUNCTION("""COMPUTED_VALUE"""),"No")</f>
        <v>No</v>
      </c>
      <c r="T112" s="10">
        <f>IFERROR(__xludf.DUMMYFUNCTION("""COMPUTED_VALUE"""),0.0)</f>
        <v>0</v>
      </c>
      <c r="U112" s="10">
        <f>IFERROR(__xludf.DUMMYFUNCTION("""COMPUTED_VALUE"""),0.0)</f>
        <v>0</v>
      </c>
      <c r="V112" s="10" t="str">
        <f>IFERROR(__xludf.DUMMYFUNCTION("""COMPUTED_VALUE"""),"شوال کے مہینے کی اہمیت")</f>
        <v>شوال کے مہینے کی اہمیت</v>
      </c>
      <c r="W112" s="10" t="str">
        <f>IFERROR(__xludf.DUMMYFUNCTION("""COMPUTED_VALUE"""),"رمضان المبارک کے جانے کے بعد مسجدوں کا ویران ہونا اس میں امام صاحب نے مسجدوں کو اباد رکھنے کی تاکید کی ہے اور شوال کے مہینے کی اہمیت کو بیان کیا ہے اللہ سے معافی کے لیے رجوع")</f>
        <v>رمضان المبارک کے جانے کے بعد مسجدوں کا ویران ہونا اس میں امام صاحب نے مسجدوں کو اباد رکھنے کی تاکید کی ہے اور شوال کے مہینے کی اہمیت کو بیان کیا ہے اللہ سے معافی کے لیے رجوع</v>
      </c>
      <c r="X112" s="10">
        <f>IFERROR(__xludf.DUMMYFUNCTION("""COMPUTED_VALUE"""),9.0)</f>
        <v>9</v>
      </c>
      <c r="Y112" s="10">
        <f>IFERROR(__xludf.DUMMYFUNCTION("""COMPUTED_VALUE"""),1.0)</f>
        <v>1</v>
      </c>
      <c r="Z112" s="10">
        <f>IFERROR(__xludf.DUMMYFUNCTION("""COMPUTED_VALUE"""),0.0)</f>
        <v>0</v>
      </c>
      <c r="AA112" s="10">
        <f>IFERROR(__xludf.DUMMYFUNCTION("""COMPUTED_VALUE"""),10.0)</f>
        <v>10</v>
      </c>
      <c r="AB112" s="10">
        <f>IFERROR(__xludf.DUMMYFUNCTION("""COMPUTED_VALUE"""),0.0)</f>
        <v>0</v>
      </c>
      <c r="AC112" s="10">
        <f>IFERROR(__xludf.DUMMYFUNCTION("""COMPUTED_VALUE"""),0.0)</f>
        <v>0</v>
      </c>
      <c r="AD112" s="10">
        <f>IFERROR(__xludf.DUMMYFUNCTION("""COMPUTED_VALUE"""),0.0)</f>
        <v>0</v>
      </c>
      <c r="AE112" s="10">
        <f>IFERROR(__xludf.DUMMYFUNCTION("""COMPUTED_VALUE"""),0.0)</f>
        <v>0</v>
      </c>
      <c r="AF112" s="10">
        <f>IFERROR(__xludf.DUMMYFUNCTION("""COMPUTED_VALUE"""),9.0)</f>
        <v>9</v>
      </c>
      <c r="AG112" s="10">
        <f>IFERROR(__xludf.DUMMYFUNCTION("""COMPUTED_VALUE"""),9.0)</f>
        <v>9</v>
      </c>
      <c r="AH112" s="10">
        <f>IFERROR(__xludf.DUMMYFUNCTION("""COMPUTED_VALUE"""),0.0)</f>
        <v>0</v>
      </c>
      <c r="AI112" s="10">
        <f>IFERROR(__xludf.DUMMYFUNCTION("""COMPUTED_VALUE"""),9.0)</f>
        <v>9</v>
      </c>
      <c r="AJ112" s="11" t="str">
        <f>IFERROR(__xludf.DUMMYFUNCTION("""COMPUTED_VALUE"""),"https://drive.google.com/open?id=1-lX5x7ZsAkaX9fP7x7V7M_kbq0yQRAtb")</f>
        <v>https://drive.google.com/open?id=1-lX5x7ZsAkaX9fP7x7V7M_kbq0yQRAtb</v>
      </c>
      <c r="AK112" s="12" t="str">
        <f>IFERROR(__xludf.DUMMYFUNCTION("""COMPUTED_VALUE"""),"No")</f>
        <v>No</v>
      </c>
      <c r="AL112" s="12" t="str">
        <f>IFERROR(__xludf.DUMMYFUNCTION("""COMPUTED_VALUE"""),"Yes")</f>
        <v>Yes</v>
      </c>
      <c r="AM112" s="15">
        <f>IFERROR(__xludf.DUMMYFUNCTION("""COMPUTED_VALUE"""),0.0)</f>
        <v>0</v>
      </c>
      <c r="AN112" s="12"/>
      <c r="AO112" s="13">
        <v>1.0</v>
      </c>
      <c r="AX112" s="13">
        <v>1.0</v>
      </c>
    </row>
    <row r="113">
      <c r="A113" s="8">
        <v>112.0</v>
      </c>
      <c r="B113" s="9">
        <f>IFERROR(__xludf.DUMMYFUNCTION("""COMPUTED_VALUE"""),45773.68188392361)</f>
        <v>45773.68188</v>
      </c>
      <c r="C113" s="10" t="str">
        <f>IFERROR(__xludf.DUMMYFUNCTION("""COMPUTED_VALUE"""),"Maham Amjad ")</f>
        <v>Maham Amjad </v>
      </c>
      <c r="D113" s="10" t="str">
        <f>IFERROR(__xludf.DUMMYFUNCTION("""COMPUTED_VALUE"""),"03218118680")</f>
        <v>03218118680</v>
      </c>
      <c r="E113" s="10" t="str">
        <f>IFERROR(__xludf.DUMMYFUNCTION("""COMPUTED_VALUE"""),"Sermon 1 Jamia Masjid Darbar Qurban Ali shah")</f>
        <v>Sermon 1 Jamia Masjid Darbar Qurban Ali shah</v>
      </c>
      <c r="F113" s="10" t="str">
        <f>IFERROR(__xludf.DUMMYFUNCTION("""COMPUTED_VALUE"""),"xqvon")</f>
        <v>xqvon</v>
      </c>
      <c r="G113" s="10" t="str">
        <f>IFERROR(__xludf.DUMMYFUNCTION("""COMPUTED_VALUE"""),"Yes")</f>
        <v>Yes</v>
      </c>
      <c r="H113" s="10">
        <f>IFERROR(__xludf.DUMMYFUNCTION("""COMPUTED_VALUE"""),0.0)</f>
        <v>0</v>
      </c>
      <c r="I113" s="10">
        <f>IFERROR(__xludf.DUMMYFUNCTION("""COMPUTED_VALUE"""),2.0)</f>
        <v>2</v>
      </c>
      <c r="J113" s="10">
        <f>IFERROR(__xludf.DUMMYFUNCTION("""COMPUTED_VALUE"""),0.0)</f>
        <v>0</v>
      </c>
      <c r="K113" s="10">
        <f>IFERROR(__xludf.DUMMYFUNCTION("""COMPUTED_VALUE"""),0.0)</f>
        <v>0</v>
      </c>
      <c r="L113" s="10">
        <f>IFERROR(__xludf.DUMMYFUNCTION("""COMPUTED_VALUE"""),0.0)</f>
        <v>0</v>
      </c>
      <c r="M113" s="10">
        <f>IFERROR(__xludf.DUMMYFUNCTION("""COMPUTED_VALUE"""),0.0)</f>
        <v>0</v>
      </c>
      <c r="N113" s="10">
        <f>IFERROR(__xludf.DUMMYFUNCTION("""COMPUTED_VALUE"""),0.0)</f>
        <v>0</v>
      </c>
      <c r="O113" s="10">
        <f>IFERROR(__xludf.DUMMYFUNCTION("""COMPUTED_VALUE"""),0.0)</f>
        <v>0</v>
      </c>
      <c r="P113" s="10">
        <f>IFERROR(__xludf.DUMMYFUNCTION("""COMPUTED_VALUE"""),0.0)</f>
        <v>0</v>
      </c>
      <c r="Q113" s="10" t="str">
        <f>IFERROR(__xludf.DUMMYFUNCTION("""COMPUTED_VALUE"""),"No")</f>
        <v>No</v>
      </c>
      <c r="R113" s="10" t="str">
        <f>IFERROR(__xludf.DUMMYFUNCTION("""COMPUTED_VALUE"""),"No")</f>
        <v>No</v>
      </c>
      <c r="S113" s="10" t="str">
        <f>IFERROR(__xludf.DUMMYFUNCTION("""COMPUTED_VALUE"""),"No")</f>
        <v>No</v>
      </c>
      <c r="T113" s="10">
        <f>IFERROR(__xludf.DUMMYFUNCTION("""COMPUTED_VALUE"""),0.0)</f>
        <v>0</v>
      </c>
      <c r="U113" s="10">
        <f>IFERROR(__xludf.DUMMYFUNCTION("""COMPUTED_VALUE"""),0.0)</f>
        <v>0</v>
      </c>
      <c r="V113" s="10" t="str">
        <f>IFERROR(__xludf.DUMMYFUNCTION("""COMPUTED_VALUE"""),"شوال کے مہینے کی اہمیت")</f>
        <v>شوال کے مہینے کی اہمیت</v>
      </c>
      <c r="W113" s="10" t="str">
        <f>IFERROR(__xludf.DUMMYFUNCTION("""COMPUTED_VALUE"""),"رمضان جانے کے بعد مسجدوں کو اباد رکھنا اور شوال کے مہینے کی اہمیت")</f>
        <v>رمضان جانے کے بعد مسجدوں کو اباد رکھنا اور شوال کے مہینے کی اہمیت</v>
      </c>
      <c r="X113" s="10">
        <f>IFERROR(__xludf.DUMMYFUNCTION("""COMPUTED_VALUE"""),9.0)</f>
        <v>9</v>
      </c>
      <c r="Y113" s="10">
        <f>IFERROR(__xludf.DUMMYFUNCTION("""COMPUTED_VALUE"""),1.0)</f>
        <v>1</v>
      </c>
      <c r="Z113" s="10">
        <f>IFERROR(__xludf.DUMMYFUNCTION("""COMPUTED_VALUE"""),0.0)</f>
        <v>0</v>
      </c>
      <c r="AA113" s="10">
        <f>IFERROR(__xludf.DUMMYFUNCTION("""COMPUTED_VALUE"""),9.0)</f>
        <v>9</v>
      </c>
      <c r="AB113" s="10">
        <f>IFERROR(__xludf.DUMMYFUNCTION("""COMPUTED_VALUE"""),0.0)</f>
        <v>0</v>
      </c>
      <c r="AC113" s="10">
        <f>IFERROR(__xludf.DUMMYFUNCTION("""COMPUTED_VALUE"""),0.0)</f>
        <v>0</v>
      </c>
      <c r="AD113" s="10">
        <f>IFERROR(__xludf.DUMMYFUNCTION("""COMPUTED_VALUE"""),0.0)</f>
        <v>0</v>
      </c>
      <c r="AE113" s="10">
        <f>IFERROR(__xludf.DUMMYFUNCTION("""COMPUTED_VALUE"""),0.0)</f>
        <v>0</v>
      </c>
      <c r="AF113" s="10">
        <f>IFERROR(__xludf.DUMMYFUNCTION("""COMPUTED_VALUE"""),9.0)</f>
        <v>9</v>
      </c>
      <c r="AG113" s="10">
        <f>IFERROR(__xludf.DUMMYFUNCTION("""COMPUTED_VALUE"""),9.0)</f>
        <v>9</v>
      </c>
      <c r="AH113" s="10">
        <f>IFERROR(__xludf.DUMMYFUNCTION("""COMPUTED_VALUE"""),0.0)</f>
        <v>0</v>
      </c>
      <c r="AI113" s="10">
        <f>IFERROR(__xludf.DUMMYFUNCTION("""COMPUTED_VALUE"""),9.0)</f>
        <v>9</v>
      </c>
      <c r="AJ113" s="11" t="str">
        <f>IFERROR(__xludf.DUMMYFUNCTION("""COMPUTED_VALUE"""),"https://drive.google.com/open?id=19zU4n52kLeSzwrXTxg7jsVYKNybQhKCK")</f>
        <v>https://drive.google.com/open?id=19zU4n52kLeSzwrXTxg7jsVYKNybQhKCK</v>
      </c>
      <c r="AK113" s="12" t="str">
        <f>IFERROR(__xludf.DUMMYFUNCTION("""COMPUTED_VALUE"""),"no")</f>
        <v>no</v>
      </c>
      <c r="AL113" s="12" t="str">
        <f>IFERROR(__xludf.DUMMYFUNCTION("""COMPUTED_VALUE"""),"Yes")</f>
        <v>Yes</v>
      </c>
      <c r="AM113" s="15">
        <f>IFERROR(__xludf.DUMMYFUNCTION("""COMPUTED_VALUE"""),0.0)</f>
        <v>0</v>
      </c>
      <c r="AN113" s="12"/>
      <c r="AO113" s="13">
        <v>1.0</v>
      </c>
      <c r="AX113" s="13">
        <v>1.0</v>
      </c>
    </row>
    <row r="114">
      <c r="A114" s="8">
        <v>113.0</v>
      </c>
      <c r="B114" s="9">
        <f>IFERROR(__xludf.DUMMYFUNCTION("""COMPUTED_VALUE"""),45773.685869085646)</f>
        <v>45773.68587</v>
      </c>
      <c r="C114" s="10" t="str">
        <f>IFERROR(__xludf.DUMMYFUNCTION("""COMPUTED_VALUE"""),"Maham Amjad ")</f>
        <v>Maham Amjad </v>
      </c>
      <c r="D114" s="10" t="str">
        <f>IFERROR(__xludf.DUMMYFUNCTION("""COMPUTED_VALUE"""),"03218118680")</f>
        <v>03218118680</v>
      </c>
      <c r="E114" s="10" t="str">
        <f>IFERROR(__xludf.DUMMYFUNCTION("""COMPUTED_VALUE"""),"Sermon 1 Jamia Masjid Darbar shah gohar peer")</f>
        <v>Sermon 1 Jamia Masjid Darbar shah gohar peer</v>
      </c>
      <c r="F114" s="10" t="str">
        <f>IFERROR(__xludf.DUMMYFUNCTION("""COMPUTED_VALUE"""),"qecjr")</f>
        <v>qecjr</v>
      </c>
      <c r="G114" s="10" t="str">
        <f>IFERROR(__xludf.DUMMYFUNCTION("""COMPUTED_VALUE"""),"Yes")</f>
        <v>Yes</v>
      </c>
      <c r="H114" s="10">
        <f>IFERROR(__xludf.DUMMYFUNCTION("""COMPUTED_VALUE"""),0.0)</f>
        <v>0</v>
      </c>
      <c r="I114" s="10">
        <f>IFERROR(__xludf.DUMMYFUNCTION("""COMPUTED_VALUE"""),1.0)</f>
        <v>1</v>
      </c>
      <c r="J114" s="10">
        <f>IFERROR(__xludf.DUMMYFUNCTION("""COMPUTED_VALUE"""),0.0)</f>
        <v>0</v>
      </c>
      <c r="K114" s="10">
        <f>IFERROR(__xludf.DUMMYFUNCTION("""COMPUTED_VALUE"""),0.0)</f>
        <v>0</v>
      </c>
      <c r="L114" s="10">
        <f>IFERROR(__xludf.DUMMYFUNCTION("""COMPUTED_VALUE"""),0.0)</f>
        <v>0</v>
      </c>
      <c r="M114" s="10">
        <f>IFERROR(__xludf.DUMMYFUNCTION("""COMPUTED_VALUE"""),0.0)</f>
        <v>0</v>
      </c>
      <c r="N114" s="10">
        <f>IFERROR(__xludf.DUMMYFUNCTION("""COMPUTED_VALUE"""),0.0)</f>
        <v>0</v>
      </c>
      <c r="O114" s="10">
        <f>IFERROR(__xludf.DUMMYFUNCTION("""COMPUTED_VALUE"""),0.0)</f>
        <v>0</v>
      </c>
      <c r="P114" s="10">
        <f>IFERROR(__xludf.DUMMYFUNCTION("""COMPUTED_VALUE"""),0.0)</f>
        <v>0</v>
      </c>
      <c r="Q114" s="10" t="str">
        <f>IFERROR(__xludf.DUMMYFUNCTION("""COMPUTED_VALUE"""),"No")</f>
        <v>No</v>
      </c>
      <c r="R114" s="10" t="str">
        <f>IFERROR(__xludf.DUMMYFUNCTION("""COMPUTED_VALUE"""),"No")</f>
        <v>No</v>
      </c>
      <c r="S114" s="10" t="str">
        <f>IFERROR(__xludf.DUMMYFUNCTION("""COMPUTED_VALUE"""),"No")</f>
        <v>No</v>
      </c>
      <c r="T114" s="10">
        <f>IFERROR(__xludf.DUMMYFUNCTION("""COMPUTED_VALUE"""),0.0)</f>
        <v>0</v>
      </c>
      <c r="U114" s="10">
        <f>IFERROR(__xludf.DUMMYFUNCTION("""COMPUTED_VALUE"""),0.0)</f>
        <v>0</v>
      </c>
      <c r="V114" s="10" t="str">
        <f>IFERROR(__xludf.DUMMYFUNCTION("""COMPUTED_VALUE"""),"شوال کے مہینے کی اہمیت")</f>
        <v>شوال کے مہینے کی اہمیت</v>
      </c>
      <c r="W114" s="10" t="str">
        <f>IFERROR(__xludf.DUMMYFUNCTION("""COMPUTED_VALUE"""),"رمضان المبارک کے جانے کے بعد بھی مسجدوں کو اباد رکھنا اور شوال کے مہینے کی اہمیت اللہ تعالی سے توبہ اور اس سے رجوع اللہ تعالی کی ذات سے سارا سال کا تعلق کے بارے میں رہنمائی کرنا")</f>
        <v>رمضان المبارک کے جانے کے بعد بھی مسجدوں کو اباد رکھنا اور شوال کے مہینے کی اہمیت اللہ تعالی سے توبہ اور اس سے رجوع اللہ تعالی کی ذات سے سارا سال کا تعلق کے بارے میں رہنمائی کرنا</v>
      </c>
      <c r="X114" s="10">
        <f>IFERROR(__xludf.DUMMYFUNCTION("""COMPUTED_VALUE"""),9.0)</f>
        <v>9</v>
      </c>
      <c r="Y114" s="10">
        <f>IFERROR(__xludf.DUMMYFUNCTION("""COMPUTED_VALUE"""),1.0)</f>
        <v>1</v>
      </c>
      <c r="Z114" s="10">
        <f>IFERROR(__xludf.DUMMYFUNCTION("""COMPUTED_VALUE"""),0.0)</f>
        <v>0</v>
      </c>
      <c r="AA114" s="10">
        <f>IFERROR(__xludf.DUMMYFUNCTION("""COMPUTED_VALUE"""),0.0)</f>
        <v>0</v>
      </c>
      <c r="AB114" s="10">
        <f>IFERROR(__xludf.DUMMYFUNCTION("""COMPUTED_VALUE"""),0.0)</f>
        <v>0</v>
      </c>
      <c r="AC114" s="10">
        <f>IFERROR(__xludf.DUMMYFUNCTION("""COMPUTED_VALUE"""),0.0)</f>
        <v>0</v>
      </c>
      <c r="AD114" s="10">
        <f>IFERROR(__xludf.DUMMYFUNCTION("""COMPUTED_VALUE"""),0.0)</f>
        <v>0</v>
      </c>
      <c r="AE114" s="10">
        <f>IFERROR(__xludf.DUMMYFUNCTION("""COMPUTED_VALUE"""),0.0)</f>
        <v>0</v>
      </c>
      <c r="AF114" s="10">
        <f>IFERROR(__xludf.DUMMYFUNCTION("""COMPUTED_VALUE"""),9.0)</f>
        <v>9</v>
      </c>
      <c r="AG114" s="10">
        <f>IFERROR(__xludf.DUMMYFUNCTION("""COMPUTED_VALUE"""),8.0)</f>
        <v>8</v>
      </c>
      <c r="AH114" s="10">
        <f>IFERROR(__xludf.DUMMYFUNCTION("""COMPUTED_VALUE"""),0.0)</f>
        <v>0</v>
      </c>
      <c r="AI114" s="10">
        <f>IFERROR(__xludf.DUMMYFUNCTION("""COMPUTED_VALUE"""),9.0)</f>
        <v>9</v>
      </c>
      <c r="AJ114" s="11" t="str">
        <f>IFERROR(__xludf.DUMMYFUNCTION("""COMPUTED_VALUE"""),"https://drive.google.com/open?id=1osfKJTVeNekXLi320hwwXj6avqVD0sDI")</f>
        <v>https://drive.google.com/open?id=1osfKJTVeNekXLi320hwwXj6avqVD0sDI</v>
      </c>
      <c r="AK114" s="12" t="str">
        <f>IFERROR(__xludf.DUMMYFUNCTION("""COMPUTED_VALUE"""),"no")</f>
        <v>no</v>
      </c>
      <c r="AL114" s="12" t="str">
        <f>IFERROR(__xludf.DUMMYFUNCTION("""COMPUTED_VALUE"""),"Yes")</f>
        <v>Yes</v>
      </c>
      <c r="AM114" s="15">
        <f>IFERROR(__xludf.DUMMYFUNCTION("""COMPUTED_VALUE"""),0.0)</f>
        <v>0</v>
      </c>
      <c r="AN114" s="12"/>
      <c r="AO114" s="13">
        <v>1.0</v>
      </c>
      <c r="AX114" s="13">
        <v>1.0</v>
      </c>
    </row>
    <row r="115">
      <c r="A115" s="8">
        <v>114.0</v>
      </c>
      <c r="B115" s="9">
        <f>IFERROR(__xludf.DUMMYFUNCTION("""COMPUTED_VALUE"""),45773.68947370371)</f>
        <v>45773.68947</v>
      </c>
      <c r="C115" s="10" t="str">
        <f>IFERROR(__xludf.DUMMYFUNCTION("""COMPUTED_VALUE"""),"Maham Amjad ")</f>
        <v>Maham Amjad </v>
      </c>
      <c r="D115" s="10" t="str">
        <f>IFERROR(__xludf.DUMMYFUNCTION("""COMPUTED_VALUE"""),"03218118680")</f>
        <v>03218118680</v>
      </c>
      <c r="E115" s="10" t="str">
        <f>IFERROR(__xludf.DUMMYFUNCTION("""COMPUTED_VALUE"""),"Sermon 1 Jamia Masjid molve taaj deen Lahore")</f>
        <v>Sermon 1 Jamia Masjid molve taaj deen Lahore</v>
      </c>
      <c r="F115" s="10" t="str">
        <f>IFERROR(__xludf.DUMMYFUNCTION("""COMPUTED_VALUE"""),"xmebi")</f>
        <v>xmebi</v>
      </c>
      <c r="G115" s="10" t="str">
        <f>IFERROR(__xludf.DUMMYFUNCTION("""COMPUTED_VALUE"""),"Yes")</f>
        <v>Yes</v>
      </c>
      <c r="H115" s="10">
        <f>IFERROR(__xludf.DUMMYFUNCTION("""COMPUTED_VALUE"""),0.0)</f>
        <v>0</v>
      </c>
      <c r="I115" s="10">
        <f>IFERROR(__xludf.DUMMYFUNCTION("""COMPUTED_VALUE"""),0.0)</f>
        <v>0</v>
      </c>
      <c r="J115" s="10">
        <f>IFERROR(__xludf.DUMMYFUNCTION("""COMPUTED_VALUE"""),0.0)</f>
        <v>0</v>
      </c>
      <c r="K115" s="10">
        <f>IFERROR(__xludf.DUMMYFUNCTION("""COMPUTED_VALUE"""),0.0)</f>
        <v>0</v>
      </c>
      <c r="L115" s="10">
        <f>IFERROR(__xludf.DUMMYFUNCTION("""COMPUTED_VALUE"""),0.0)</f>
        <v>0</v>
      </c>
      <c r="M115" s="10">
        <f>IFERROR(__xludf.DUMMYFUNCTION("""COMPUTED_VALUE"""),0.0)</f>
        <v>0</v>
      </c>
      <c r="N115" s="10">
        <f>IFERROR(__xludf.DUMMYFUNCTION("""COMPUTED_VALUE"""),0.0)</f>
        <v>0</v>
      </c>
      <c r="O115" s="10">
        <f>IFERROR(__xludf.DUMMYFUNCTION("""COMPUTED_VALUE"""),0.0)</f>
        <v>0</v>
      </c>
      <c r="P115" s="10">
        <f>IFERROR(__xludf.DUMMYFUNCTION("""COMPUTED_VALUE"""),0.0)</f>
        <v>0</v>
      </c>
      <c r="Q115" s="10" t="str">
        <f>IFERROR(__xludf.DUMMYFUNCTION("""COMPUTED_VALUE"""),"No")</f>
        <v>No</v>
      </c>
      <c r="R115" s="10" t="str">
        <f>IFERROR(__xludf.DUMMYFUNCTION("""COMPUTED_VALUE"""),"No")</f>
        <v>No</v>
      </c>
      <c r="S115" s="10" t="str">
        <f>IFERROR(__xludf.DUMMYFUNCTION("""COMPUTED_VALUE"""),"No")</f>
        <v>No</v>
      </c>
      <c r="T115" s="10">
        <f>IFERROR(__xludf.DUMMYFUNCTION("""COMPUTED_VALUE"""),0.0)</f>
        <v>0</v>
      </c>
      <c r="U115" s="10">
        <f>IFERROR(__xludf.DUMMYFUNCTION("""COMPUTED_VALUE"""),0.0)</f>
        <v>0</v>
      </c>
      <c r="V115" s="10" t="str">
        <f>IFERROR(__xludf.DUMMYFUNCTION("""COMPUTED_VALUE"""),"اللہ تعالی کی توفیق اور قران پاک نماز راہ نجات کا طریقہ")</f>
        <v>اللہ تعالی کی توفیق اور قران پاک نماز راہ نجات کا طریقہ</v>
      </c>
      <c r="W115" s="10" t="str">
        <f>IFERROR(__xludf.DUMMYFUNCTION("""COMPUTED_VALUE"""),"اس میں امام صاحب نے ہمارا نماز پڑھنا اللہ تعالی کی بارگاہ میں پیش ہونا یہ سب اللہ تعالی کے حکم کے مطابق اور قران پاک جیسی کتاب جس کا کوئی کتاب موازنہ نہیں کر سکتی اس کی اہمیت کے بارے میں اگاہ کیا")</f>
        <v>اس میں امام صاحب نے ہمارا نماز پڑھنا اللہ تعالی کی بارگاہ میں پیش ہونا یہ سب اللہ تعالی کے حکم کے مطابق اور قران پاک جیسی کتاب جس کا کوئی کتاب موازنہ نہیں کر سکتی اس کی اہمیت کے بارے میں اگاہ کیا</v>
      </c>
      <c r="X115" s="10">
        <f>IFERROR(__xludf.DUMMYFUNCTION("""COMPUTED_VALUE"""),10.0)</f>
        <v>10</v>
      </c>
      <c r="Y115" s="10">
        <f>IFERROR(__xludf.DUMMYFUNCTION("""COMPUTED_VALUE"""),6.0)</f>
        <v>6</v>
      </c>
      <c r="Z115" s="10">
        <f>IFERROR(__xludf.DUMMYFUNCTION("""COMPUTED_VALUE"""),0.0)</f>
        <v>0</v>
      </c>
      <c r="AA115" s="10">
        <f>IFERROR(__xludf.DUMMYFUNCTION("""COMPUTED_VALUE"""),8.0)</f>
        <v>8</v>
      </c>
      <c r="AB115" s="10">
        <f>IFERROR(__xludf.DUMMYFUNCTION("""COMPUTED_VALUE"""),0.0)</f>
        <v>0</v>
      </c>
      <c r="AC115" s="10">
        <f>IFERROR(__xludf.DUMMYFUNCTION("""COMPUTED_VALUE"""),0.0)</f>
        <v>0</v>
      </c>
      <c r="AD115" s="10">
        <f>IFERROR(__xludf.DUMMYFUNCTION("""COMPUTED_VALUE"""),0.0)</f>
        <v>0</v>
      </c>
      <c r="AE115" s="10">
        <f>IFERROR(__xludf.DUMMYFUNCTION("""COMPUTED_VALUE"""),0.0)</f>
        <v>0</v>
      </c>
      <c r="AF115" s="10">
        <f>IFERROR(__xludf.DUMMYFUNCTION("""COMPUTED_VALUE"""),9.0)</f>
        <v>9</v>
      </c>
      <c r="AG115" s="10">
        <f>IFERROR(__xludf.DUMMYFUNCTION("""COMPUTED_VALUE"""),9.0)</f>
        <v>9</v>
      </c>
      <c r="AH115" s="10">
        <f>IFERROR(__xludf.DUMMYFUNCTION("""COMPUTED_VALUE"""),0.0)</f>
        <v>0</v>
      </c>
      <c r="AI115" s="10">
        <f>IFERROR(__xludf.DUMMYFUNCTION("""COMPUTED_VALUE"""),8.0)</f>
        <v>8</v>
      </c>
      <c r="AJ115" s="11" t="str">
        <f>IFERROR(__xludf.DUMMYFUNCTION("""COMPUTED_VALUE"""),"https://drive.google.com/open?id=1WDmH039tU-WuEwPwuYNPzHXIoCmuFdJc")</f>
        <v>https://drive.google.com/open?id=1WDmH039tU-WuEwPwuYNPzHXIoCmuFdJc</v>
      </c>
      <c r="AK115" s="12" t="str">
        <f>IFERROR(__xludf.DUMMYFUNCTION("""COMPUTED_VALUE"""),"No")</f>
        <v>No</v>
      </c>
      <c r="AL115" s="12" t="str">
        <f>IFERROR(__xludf.DUMMYFUNCTION("""COMPUTED_VALUE"""),"Yes")</f>
        <v>Yes</v>
      </c>
      <c r="AM115" s="15">
        <f>IFERROR(__xludf.DUMMYFUNCTION("""COMPUTED_VALUE"""),0.0)</f>
        <v>0</v>
      </c>
      <c r="AN115" s="12"/>
      <c r="AO115" s="13">
        <v>1.0</v>
      </c>
      <c r="AX115" s="13">
        <v>1.0</v>
      </c>
    </row>
    <row r="116">
      <c r="A116" s="8">
        <v>115.0</v>
      </c>
      <c r="B116" s="9">
        <f>IFERROR(__xludf.DUMMYFUNCTION("""COMPUTED_VALUE"""),45773.692400092594)</f>
        <v>45773.6924</v>
      </c>
      <c r="C116" s="10" t="str">
        <f>IFERROR(__xludf.DUMMYFUNCTION("""COMPUTED_VALUE"""),"Maham Amjad ")</f>
        <v>Maham Amjad </v>
      </c>
      <c r="D116" s="10" t="str">
        <f>IFERROR(__xludf.DUMMYFUNCTION("""COMPUTED_VALUE"""),"03218118680")</f>
        <v>03218118680</v>
      </c>
      <c r="E116" s="10" t="str">
        <f>IFERROR(__xludf.DUMMYFUNCTION("""COMPUTED_VALUE"""),"sermon 1 Jamia Masjid Dalkara chowk Lahore ")</f>
        <v>sermon 1 Jamia Masjid Dalkara chowk Lahore </v>
      </c>
      <c r="F116" s="10" t="str">
        <f>IFERROR(__xludf.DUMMYFUNCTION("""COMPUTED_VALUE"""),"wywfr")</f>
        <v>wywfr</v>
      </c>
      <c r="G116" s="10" t="str">
        <f>IFERROR(__xludf.DUMMYFUNCTION("""COMPUTED_VALUE"""),"Yes")</f>
        <v>Yes</v>
      </c>
      <c r="H116" s="10">
        <f>IFERROR(__xludf.DUMMYFUNCTION("""COMPUTED_VALUE"""),0.0)</f>
        <v>0</v>
      </c>
      <c r="I116" s="10">
        <f>IFERROR(__xludf.DUMMYFUNCTION("""COMPUTED_VALUE"""),0.0)</f>
        <v>0</v>
      </c>
      <c r="J116" s="10">
        <f>IFERROR(__xludf.DUMMYFUNCTION("""COMPUTED_VALUE"""),0.0)</f>
        <v>0</v>
      </c>
      <c r="K116" s="10">
        <f>IFERROR(__xludf.DUMMYFUNCTION("""COMPUTED_VALUE"""),0.0)</f>
        <v>0</v>
      </c>
      <c r="L116" s="10">
        <f>IFERROR(__xludf.DUMMYFUNCTION("""COMPUTED_VALUE"""),0.0)</f>
        <v>0</v>
      </c>
      <c r="M116" s="10">
        <f>IFERROR(__xludf.DUMMYFUNCTION("""COMPUTED_VALUE"""),0.0)</f>
        <v>0</v>
      </c>
      <c r="N116" s="10">
        <f>IFERROR(__xludf.DUMMYFUNCTION("""COMPUTED_VALUE"""),0.0)</f>
        <v>0</v>
      </c>
      <c r="O116" s="10">
        <f>IFERROR(__xludf.DUMMYFUNCTION("""COMPUTED_VALUE"""),0.0)</f>
        <v>0</v>
      </c>
      <c r="P116" s="10">
        <f>IFERROR(__xludf.DUMMYFUNCTION("""COMPUTED_VALUE"""),0.0)</f>
        <v>0</v>
      </c>
      <c r="Q116" s="10" t="str">
        <f>IFERROR(__xludf.DUMMYFUNCTION("""COMPUTED_VALUE"""),"No")</f>
        <v>No</v>
      </c>
      <c r="R116" s="10" t="str">
        <f>IFERROR(__xludf.DUMMYFUNCTION("""COMPUTED_VALUE"""),"No")</f>
        <v>No</v>
      </c>
      <c r="S116" s="10" t="str">
        <f>IFERROR(__xludf.DUMMYFUNCTION("""COMPUTED_VALUE"""),"No")</f>
        <v>No</v>
      </c>
      <c r="T116" s="10">
        <f>IFERROR(__xludf.DUMMYFUNCTION("""COMPUTED_VALUE"""),0.0)</f>
        <v>0</v>
      </c>
      <c r="U116" s="10">
        <f>IFERROR(__xludf.DUMMYFUNCTION("""COMPUTED_VALUE"""),0.0)</f>
        <v>0</v>
      </c>
      <c r="V116" s="10" t="str">
        <f>IFERROR(__xludf.DUMMYFUNCTION("""COMPUTED_VALUE"""),"فلسطین پر ہونے والا ظلم و جبر اور جہاد کی تلقین")</f>
        <v>فلسطین پر ہونے والا ظلم و جبر اور جہاد کی تلقین</v>
      </c>
      <c r="W116" s="10" t="str">
        <f>IFERROR(__xludf.DUMMYFUNCTION("""COMPUTED_VALUE"""),"فلسطین میں بچے بوڑھے عورتیں شہیدوں نے پر مذمت اور مسلمانوں کو جہاد کی تلقین اور ان کی مصنوعات سے بائیکاٹ کرنے کا کہا")</f>
        <v>فلسطین میں بچے بوڑھے عورتیں شہیدوں نے پر مذمت اور مسلمانوں کو جہاد کی تلقین اور ان کی مصنوعات سے بائیکاٹ کرنے کا کہا</v>
      </c>
      <c r="X116" s="10">
        <f>IFERROR(__xludf.DUMMYFUNCTION("""COMPUTED_VALUE"""),1.0)</f>
        <v>1</v>
      </c>
      <c r="Y116" s="10">
        <f>IFERROR(__xludf.DUMMYFUNCTION("""COMPUTED_VALUE"""),6.0)</f>
        <v>6</v>
      </c>
      <c r="Z116" s="10">
        <f>IFERROR(__xludf.DUMMYFUNCTION("""COMPUTED_VALUE"""),0.0)</f>
        <v>0</v>
      </c>
      <c r="AA116" s="10">
        <f>IFERROR(__xludf.DUMMYFUNCTION("""COMPUTED_VALUE"""),7.0)</f>
        <v>7</v>
      </c>
      <c r="AB116" s="10">
        <f>IFERROR(__xludf.DUMMYFUNCTION("""COMPUTED_VALUE"""),0.0)</f>
        <v>0</v>
      </c>
      <c r="AC116" s="10">
        <f>IFERROR(__xludf.DUMMYFUNCTION("""COMPUTED_VALUE"""),0.0)</f>
        <v>0</v>
      </c>
      <c r="AD116" s="10">
        <f>IFERROR(__xludf.DUMMYFUNCTION("""COMPUTED_VALUE"""),0.0)</f>
        <v>0</v>
      </c>
      <c r="AE116" s="10">
        <f>IFERROR(__xludf.DUMMYFUNCTION("""COMPUTED_VALUE"""),2.0)</f>
        <v>2</v>
      </c>
      <c r="AF116" s="10">
        <f>IFERROR(__xludf.DUMMYFUNCTION("""COMPUTED_VALUE"""),9.0)</f>
        <v>9</v>
      </c>
      <c r="AG116" s="10">
        <f>IFERROR(__xludf.DUMMYFUNCTION("""COMPUTED_VALUE"""),8.0)</f>
        <v>8</v>
      </c>
      <c r="AH116" s="10">
        <f>IFERROR(__xludf.DUMMYFUNCTION("""COMPUTED_VALUE"""),0.0)</f>
        <v>0</v>
      </c>
      <c r="AI116" s="10">
        <f>IFERROR(__xludf.DUMMYFUNCTION("""COMPUTED_VALUE"""),8.0)</f>
        <v>8</v>
      </c>
      <c r="AJ116" s="11" t="str">
        <f>IFERROR(__xludf.DUMMYFUNCTION("""COMPUTED_VALUE"""),"https://drive.google.com/open?id=1oV81VlGI-RzB36Yz2ty0IreqaOmUbBW3")</f>
        <v>https://drive.google.com/open?id=1oV81VlGI-RzB36Yz2ty0IreqaOmUbBW3</v>
      </c>
      <c r="AK116" s="12" t="str">
        <f>IFERROR(__xludf.DUMMYFUNCTION("""COMPUTED_VALUE"""),"no")</f>
        <v>no</v>
      </c>
      <c r="AL116" s="12" t="str">
        <f>IFERROR(__xludf.DUMMYFUNCTION("""COMPUTED_VALUE"""),"Yes")</f>
        <v>Yes</v>
      </c>
      <c r="AM116" s="15">
        <f>IFERROR(__xludf.DUMMYFUNCTION("""COMPUTED_VALUE"""),0.0)</f>
        <v>0</v>
      </c>
      <c r="AN116" s="12"/>
      <c r="AO116" s="13">
        <v>1.0</v>
      </c>
      <c r="AX116" s="13">
        <v>1.0</v>
      </c>
    </row>
    <row r="117">
      <c r="A117" s="8">
        <v>116.0</v>
      </c>
      <c r="B117" s="9">
        <f>IFERROR(__xludf.DUMMYFUNCTION("""COMPUTED_VALUE"""),45773.69586460648)</f>
        <v>45773.69586</v>
      </c>
      <c r="C117" s="10" t="str">
        <f>IFERROR(__xludf.DUMMYFUNCTION("""COMPUTED_VALUE"""),"Maham Amjad ")</f>
        <v>Maham Amjad </v>
      </c>
      <c r="D117" s="10" t="str">
        <f>IFERROR(__xludf.DUMMYFUNCTION("""COMPUTED_VALUE"""),"03218118680")</f>
        <v>03218118680</v>
      </c>
      <c r="E117" s="10" t="str">
        <f>IFERROR(__xludf.DUMMYFUNCTION("""COMPUTED_VALUE"""),"Sermon 1Jamia Masjid Ismail shah bukhari Lahore ")</f>
        <v>Sermon 1Jamia Masjid Ismail shah bukhari Lahore </v>
      </c>
      <c r="F117" s="10" t="str">
        <f>IFERROR(__xludf.DUMMYFUNCTION("""COMPUTED_VALUE"""),"fevmy")</f>
        <v>fevmy</v>
      </c>
      <c r="G117" s="10" t="str">
        <f>IFERROR(__xludf.DUMMYFUNCTION("""COMPUTED_VALUE"""),"Yes")</f>
        <v>Yes</v>
      </c>
      <c r="H117" s="10">
        <f>IFERROR(__xludf.DUMMYFUNCTION("""COMPUTED_VALUE"""),4.0)</f>
        <v>4</v>
      </c>
      <c r="I117" s="10">
        <f>IFERROR(__xludf.DUMMYFUNCTION("""COMPUTED_VALUE"""),8.0)</f>
        <v>8</v>
      </c>
      <c r="J117" s="10">
        <f>IFERROR(__xludf.DUMMYFUNCTION("""COMPUTED_VALUE"""),4.0)</f>
        <v>4</v>
      </c>
      <c r="K117" s="10">
        <f>IFERROR(__xludf.DUMMYFUNCTION("""COMPUTED_VALUE"""),0.0)</f>
        <v>0</v>
      </c>
      <c r="L117" s="10">
        <f>IFERROR(__xludf.DUMMYFUNCTION("""COMPUTED_VALUE"""),0.0)</f>
        <v>0</v>
      </c>
      <c r="M117" s="10">
        <f>IFERROR(__xludf.DUMMYFUNCTION("""COMPUTED_VALUE"""),0.0)</f>
        <v>0</v>
      </c>
      <c r="N117" s="10">
        <f>IFERROR(__xludf.DUMMYFUNCTION("""COMPUTED_VALUE"""),4.0)</f>
        <v>4</v>
      </c>
      <c r="O117" s="10">
        <f>IFERROR(__xludf.DUMMYFUNCTION("""COMPUTED_VALUE"""),0.0)</f>
        <v>0</v>
      </c>
      <c r="P117" s="10">
        <f>IFERROR(__xludf.DUMMYFUNCTION("""COMPUTED_VALUE"""),0.0)</f>
        <v>0</v>
      </c>
      <c r="Q117" s="10" t="str">
        <f>IFERROR(__xludf.DUMMYFUNCTION("""COMPUTED_VALUE"""),"No")</f>
        <v>No</v>
      </c>
      <c r="R117" s="10" t="str">
        <f>IFERROR(__xludf.DUMMYFUNCTION("""COMPUTED_VALUE"""),"No")</f>
        <v>No</v>
      </c>
      <c r="S117" s="10" t="str">
        <f>IFERROR(__xludf.DUMMYFUNCTION("""COMPUTED_VALUE"""),"No")</f>
        <v>No</v>
      </c>
      <c r="T117" s="10">
        <f>IFERROR(__xludf.DUMMYFUNCTION("""COMPUTED_VALUE"""),0.0)</f>
        <v>0</v>
      </c>
      <c r="U117" s="10">
        <f>IFERROR(__xludf.DUMMYFUNCTION("""COMPUTED_VALUE"""),0.0)</f>
        <v>0</v>
      </c>
      <c r="V117" s="10" t="str">
        <f>IFERROR(__xludf.DUMMYFUNCTION("""COMPUTED_VALUE"""),"فلسطین میں ہونے والا ظلم و جبر کے بارے میں مسلمانوں کو اگاہ کیا اور ہمسایوں کے حقوق پر بات کی")</f>
        <v>فلسطین میں ہونے والا ظلم و جبر کے بارے میں مسلمانوں کو اگاہ کیا اور ہمسایوں کے حقوق پر بات کی</v>
      </c>
      <c r="W117" s="10" t="str">
        <f>IFERROR(__xludf.DUMMYFUNCTION("""COMPUTED_VALUE"""),"فلسطین میں شہید ہونے والے بچوں کے لیے جہاد کی تلقین اور ان کی اشیاء سے بائیکاٹ اور ہمسایوں کے حقوق کے بارے میں بھی بات کی ان کی اہمیت کے بارے میں اگاہ کیا")</f>
        <v>فلسطین میں شہید ہونے والے بچوں کے لیے جہاد کی تلقین اور ان کی اشیاء سے بائیکاٹ اور ہمسایوں کے حقوق کے بارے میں بھی بات کی ان کی اہمیت کے بارے میں اگاہ کیا</v>
      </c>
      <c r="X117" s="10">
        <f>IFERROR(__xludf.DUMMYFUNCTION("""COMPUTED_VALUE"""),5.0)</f>
        <v>5</v>
      </c>
      <c r="Y117" s="10">
        <f>IFERROR(__xludf.DUMMYFUNCTION("""COMPUTED_VALUE"""),6.0)</f>
        <v>6</v>
      </c>
      <c r="Z117" s="10">
        <f>IFERROR(__xludf.DUMMYFUNCTION("""COMPUTED_VALUE"""),0.0)</f>
        <v>0</v>
      </c>
      <c r="AA117" s="10">
        <f>IFERROR(__xludf.DUMMYFUNCTION("""COMPUTED_VALUE"""),4.0)</f>
        <v>4</v>
      </c>
      <c r="AB117" s="10">
        <f>IFERROR(__xludf.DUMMYFUNCTION("""COMPUTED_VALUE"""),0.0)</f>
        <v>0</v>
      </c>
      <c r="AC117" s="10">
        <f>IFERROR(__xludf.DUMMYFUNCTION("""COMPUTED_VALUE"""),0.0)</f>
        <v>0</v>
      </c>
      <c r="AD117" s="10">
        <f>IFERROR(__xludf.DUMMYFUNCTION("""COMPUTED_VALUE"""),0.0)</f>
        <v>0</v>
      </c>
      <c r="AE117" s="10">
        <f>IFERROR(__xludf.DUMMYFUNCTION("""COMPUTED_VALUE"""),0.0)</f>
        <v>0</v>
      </c>
      <c r="AF117" s="10">
        <f>IFERROR(__xludf.DUMMYFUNCTION("""COMPUTED_VALUE"""),9.0)</f>
        <v>9</v>
      </c>
      <c r="AG117" s="10">
        <f>IFERROR(__xludf.DUMMYFUNCTION("""COMPUTED_VALUE"""),9.0)</f>
        <v>9</v>
      </c>
      <c r="AH117" s="10">
        <f>IFERROR(__xludf.DUMMYFUNCTION("""COMPUTED_VALUE"""),0.0)</f>
        <v>0</v>
      </c>
      <c r="AI117" s="10">
        <f>IFERROR(__xludf.DUMMYFUNCTION("""COMPUTED_VALUE"""),9.0)</f>
        <v>9</v>
      </c>
      <c r="AJ117" s="11" t="str">
        <f>IFERROR(__xludf.DUMMYFUNCTION("""COMPUTED_VALUE"""),"https://drive.google.com/open?id=1doKo4nrIPdwwCoddL2NE6HnU5Uv0E7z3")</f>
        <v>https://drive.google.com/open?id=1doKo4nrIPdwwCoddL2NE6HnU5Uv0E7z3</v>
      </c>
      <c r="AK117" s="12" t="str">
        <f>IFERROR(__xludf.DUMMYFUNCTION("""COMPUTED_VALUE"""),"no")</f>
        <v>no</v>
      </c>
      <c r="AL117" s="12" t="str">
        <f>IFERROR(__xludf.DUMMYFUNCTION("""COMPUTED_VALUE"""),"Yes")</f>
        <v>Yes</v>
      </c>
      <c r="AM117" s="15">
        <f>IFERROR(__xludf.DUMMYFUNCTION("""COMPUTED_VALUE"""),0.4)</f>
        <v>0.4</v>
      </c>
      <c r="AN117" s="12"/>
      <c r="AO117" s="13">
        <v>1.0</v>
      </c>
      <c r="AX117" s="13">
        <v>2.0</v>
      </c>
    </row>
    <row r="118">
      <c r="A118" s="8">
        <v>117.0</v>
      </c>
      <c r="B118" s="9">
        <f>IFERROR(__xludf.DUMMYFUNCTION("""COMPUTED_VALUE"""),45773.69992509259)</f>
        <v>45773.69993</v>
      </c>
      <c r="C118" s="10" t="str">
        <f>IFERROR(__xludf.DUMMYFUNCTION("""COMPUTED_VALUE"""),"Maham Amjad ")</f>
        <v>Maham Amjad </v>
      </c>
      <c r="D118" s="10" t="str">
        <f>IFERROR(__xludf.DUMMYFUNCTION("""COMPUTED_VALUE"""),"03218118680")</f>
        <v>03218118680</v>
      </c>
      <c r="E118" s="10" t="str">
        <f>IFERROR(__xludf.DUMMYFUNCTION("""COMPUTED_VALUE"""),"sermon 1 Jamia Masjid Delhi Muslim Lahore")</f>
        <v>sermon 1 Jamia Masjid Delhi Muslim Lahore</v>
      </c>
      <c r="F118" s="10" t="str">
        <f>IFERROR(__xludf.DUMMYFUNCTION("""COMPUTED_VALUE"""),"ieyaf")</f>
        <v>ieyaf</v>
      </c>
      <c r="G118" s="10" t="str">
        <f>IFERROR(__xludf.DUMMYFUNCTION("""COMPUTED_VALUE"""),"Yes")</f>
        <v>Yes</v>
      </c>
      <c r="H118" s="10">
        <f>IFERROR(__xludf.DUMMYFUNCTION("""COMPUTED_VALUE"""),8.0)</f>
        <v>8</v>
      </c>
      <c r="I118" s="10">
        <f>IFERROR(__xludf.DUMMYFUNCTION("""COMPUTED_VALUE"""),2.0)</f>
        <v>2</v>
      </c>
      <c r="J118" s="10">
        <f>IFERROR(__xludf.DUMMYFUNCTION("""COMPUTED_VALUE"""),8.0)</f>
        <v>8</v>
      </c>
      <c r="K118" s="10">
        <f>IFERROR(__xludf.DUMMYFUNCTION("""COMPUTED_VALUE"""),5.0)</f>
        <v>5</v>
      </c>
      <c r="L118" s="10">
        <f>IFERROR(__xludf.DUMMYFUNCTION("""COMPUTED_VALUE"""),5.0)</f>
        <v>5</v>
      </c>
      <c r="M118" s="10">
        <f>IFERROR(__xludf.DUMMYFUNCTION("""COMPUTED_VALUE"""),3.0)</f>
        <v>3</v>
      </c>
      <c r="N118" s="10">
        <f>IFERROR(__xludf.DUMMYFUNCTION("""COMPUTED_VALUE"""),3.0)</f>
        <v>3</v>
      </c>
      <c r="O118" s="10">
        <f>IFERROR(__xludf.DUMMYFUNCTION("""COMPUTED_VALUE"""),0.0)</f>
        <v>0</v>
      </c>
      <c r="P118" s="10">
        <f>IFERROR(__xludf.DUMMYFUNCTION("""COMPUTED_VALUE"""),0.0)</f>
        <v>0</v>
      </c>
      <c r="Q118" s="10" t="str">
        <f>IFERROR(__xludf.DUMMYFUNCTION("""COMPUTED_VALUE"""),"No")</f>
        <v>No</v>
      </c>
      <c r="R118" s="10" t="str">
        <f>IFERROR(__xludf.DUMMYFUNCTION("""COMPUTED_VALUE"""),"No")</f>
        <v>No</v>
      </c>
      <c r="S118" s="10" t="str">
        <f>IFERROR(__xludf.DUMMYFUNCTION("""COMPUTED_VALUE"""),"No")</f>
        <v>No</v>
      </c>
      <c r="T118" s="10">
        <f>IFERROR(__xludf.DUMMYFUNCTION("""COMPUTED_VALUE"""),0.0)</f>
        <v>0</v>
      </c>
      <c r="U118" s="10">
        <f>IFERROR(__xludf.DUMMYFUNCTION("""COMPUTED_VALUE"""),0.0)</f>
        <v>0</v>
      </c>
      <c r="V118" s="10" t="str">
        <f>IFERROR(__xludf.DUMMYFUNCTION("""COMPUTED_VALUE"""),"حقوق العباد پر زور اور نماز قران سے جڑے رہنا")</f>
        <v>حقوق العباد پر زور اور نماز قران سے جڑے رہنا</v>
      </c>
      <c r="W118" s="10" t="str">
        <f>IFERROR(__xludf.DUMMYFUNCTION("""COMPUTED_VALUE"""),"امام صاحب نے حقوق العباد پر بھی زور دیا ہے ہمسایوں عورتوں کے حقوق کے بارے میں ذکر کیا ہے اور اس کے ساتھ نماز قران کے ساتھ اپنا تعلق کو مضبوط کرنے کا کہا اپنی زندگی کے ہر دور میں قران پاک سے رہنمائی لینے پر تاکید کی")</f>
        <v>امام صاحب نے حقوق العباد پر بھی زور دیا ہے ہمسایوں عورتوں کے حقوق کے بارے میں ذکر کیا ہے اور اس کے ساتھ نماز قران کے ساتھ اپنا تعلق کو مضبوط کرنے کا کہا اپنی زندگی کے ہر دور میں قران پاک سے رہنمائی لینے پر تاکید کی</v>
      </c>
      <c r="X118" s="10">
        <f>IFERROR(__xludf.DUMMYFUNCTION("""COMPUTED_VALUE"""),5.0)</f>
        <v>5</v>
      </c>
      <c r="Y118" s="10">
        <f>IFERROR(__xludf.DUMMYFUNCTION("""COMPUTED_VALUE"""),5.0)</f>
        <v>5</v>
      </c>
      <c r="Z118" s="10">
        <f>IFERROR(__xludf.DUMMYFUNCTION("""COMPUTED_VALUE"""),0.0)</f>
        <v>0</v>
      </c>
      <c r="AA118" s="10">
        <f>IFERROR(__xludf.DUMMYFUNCTION("""COMPUTED_VALUE"""),8.0)</f>
        <v>8</v>
      </c>
      <c r="AB118" s="10">
        <f>IFERROR(__xludf.DUMMYFUNCTION("""COMPUTED_VALUE"""),0.0)</f>
        <v>0</v>
      </c>
      <c r="AC118" s="10">
        <f>IFERROR(__xludf.DUMMYFUNCTION("""COMPUTED_VALUE"""),0.0)</f>
        <v>0</v>
      </c>
      <c r="AD118" s="10">
        <f>IFERROR(__xludf.DUMMYFUNCTION("""COMPUTED_VALUE"""),0.0)</f>
        <v>0</v>
      </c>
      <c r="AE118" s="10">
        <f>IFERROR(__xludf.DUMMYFUNCTION("""COMPUTED_VALUE"""),0.0)</f>
        <v>0</v>
      </c>
      <c r="AF118" s="10">
        <f>IFERROR(__xludf.DUMMYFUNCTION("""COMPUTED_VALUE"""),8.0)</f>
        <v>8</v>
      </c>
      <c r="AG118" s="10">
        <f>IFERROR(__xludf.DUMMYFUNCTION("""COMPUTED_VALUE"""),8.0)</f>
        <v>8</v>
      </c>
      <c r="AH118" s="10">
        <f>IFERROR(__xludf.DUMMYFUNCTION("""COMPUTED_VALUE"""),0.0)</f>
        <v>0</v>
      </c>
      <c r="AI118" s="10">
        <f>IFERROR(__xludf.DUMMYFUNCTION("""COMPUTED_VALUE"""),8.0)</f>
        <v>8</v>
      </c>
      <c r="AJ118" s="11" t="str">
        <f>IFERROR(__xludf.DUMMYFUNCTION("""COMPUTED_VALUE"""),"https://drive.google.com/open?id=1kGSPtzr8t7cSB6RC4V5kAM91WiutqjBT")</f>
        <v>https://drive.google.com/open?id=1kGSPtzr8t7cSB6RC4V5kAM91WiutqjBT</v>
      </c>
      <c r="AK118" s="12" t="str">
        <f>IFERROR(__xludf.DUMMYFUNCTION("""COMPUTED_VALUE"""),"no")</f>
        <v>no</v>
      </c>
      <c r="AL118" s="12" t="str">
        <f>IFERROR(__xludf.DUMMYFUNCTION("""COMPUTED_VALUE"""),"Yes")</f>
        <v>Yes</v>
      </c>
      <c r="AM118" s="15">
        <f>IFERROR(__xludf.DUMMYFUNCTION("""COMPUTED_VALUE"""),0.8)</f>
        <v>0.8</v>
      </c>
      <c r="AN118" s="12"/>
      <c r="AO118" s="13">
        <v>1.0</v>
      </c>
      <c r="AX118" s="13">
        <v>1.0</v>
      </c>
    </row>
    <row r="119">
      <c r="A119" s="8">
        <v>118.0</v>
      </c>
      <c r="B119" s="9">
        <f>IFERROR(__xludf.DUMMYFUNCTION("""COMPUTED_VALUE"""),45773.70285108796)</f>
        <v>45773.70285</v>
      </c>
      <c r="C119" s="10" t="str">
        <f>IFERROR(__xludf.DUMMYFUNCTION("""COMPUTED_VALUE"""),"Maham Amjad ")</f>
        <v>Maham Amjad </v>
      </c>
      <c r="D119" s="10" t="str">
        <f>IFERROR(__xludf.DUMMYFUNCTION("""COMPUTED_VALUE"""),"03218118680")</f>
        <v>03218118680</v>
      </c>
      <c r="E119" s="10" t="str">
        <f>IFERROR(__xludf.DUMMYFUNCTION("""COMPUTED_VALUE"""),"sermon 1Jamia Masjid Aali Nooh coat")</f>
        <v>sermon 1Jamia Masjid Aali Nooh coat</v>
      </c>
      <c r="F119" s="10" t="str">
        <f>IFERROR(__xludf.DUMMYFUNCTION("""COMPUTED_VALUE"""),"pwwfr")</f>
        <v>pwwfr</v>
      </c>
      <c r="G119" s="10" t="str">
        <f>IFERROR(__xludf.DUMMYFUNCTION("""COMPUTED_VALUE"""),"Yes")</f>
        <v>Yes</v>
      </c>
      <c r="H119" s="10">
        <f>IFERROR(__xludf.DUMMYFUNCTION("""COMPUTED_VALUE"""),9.0)</f>
        <v>9</v>
      </c>
      <c r="I119" s="10">
        <f>IFERROR(__xludf.DUMMYFUNCTION("""COMPUTED_VALUE"""),2.0)</f>
        <v>2</v>
      </c>
      <c r="J119" s="10">
        <f>IFERROR(__xludf.DUMMYFUNCTION("""COMPUTED_VALUE"""),9.0)</f>
        <v>9</v>
      </c>
      <c r="K119" s="10">
        <f>IFERROR(__xludf.DUMMYFUNCTION("""COMPUTED_VALUE"""),0.0)</f>
        <v>0</v>
      </c>
      <c r="L119" s="10">
        <f>IFERROR(__xludf.DUMMYFUNCTION("""COMPUTED_VALUE"""),9.0)</f>
        <v>9</v>
      </c>
      <c r="M119" s="10">
        <f>IFERROR(__xludf.DUMMYFUNCTION("""COMPUTED_VALUE"""),0.0)</f>
        <v>0</v>
      </c>
      <c r="N119" s="10">
        <f>IFERROR(__xludf.DUMMYFUNCTION("""COMPUTED_VALUE"""),8.0)</f>
        <v>8</v>
      </c>
      <c r="O119" s="10">
        <f>IFERROR(__xludf.DUMMYFUNCTION("""COMPUTED_VALUE"""),0.0)</f>
        <v>0</v>
      </c>
      <c r="P119" s="10">
        <f>IFERROR(__xludf.DUMMYFUNCTION("""COMPUTED_VALUE"""),5.0)</f>
        <v>5</v>
      </c>
      <c r="Q119" s="10" t="str">
        <f>IFERROR(__xludf.DUMMYFUNCTION("""COMPUTED_VALUE"""),"No")</f>
        <v>No</v>
      </c>
      <c r="R119" s="10" t="str">
        <f>IFERROR(__xludf.DUMMYFUNCTION("""COMPUTED_VALUE"""),"No")</f>
        <v>No</v>
      </c>
      <c r="S119" s="10" t="str">
        <f>IFERROR(__xludf.DUMMYFUNCTION("""COMPUTED_VALUE"""),"No")</f>
        <v>No</v>
      </c>
      <c r="T119" s="10">
        <f>IFERROR(__xludf.DUMMYFUNCTION("""COMPUTED_VALUE"""),0.0)</f>
        <v>0</v>
      </c>
      <c r="U119" s="10">
        <f>IFERROR(__xludf.DUMMYFUNCTION("""COMPUTED_VALUE"""),0.0)</f>
        <v>0</v>
      </c>
      <c r="V119" s="10" t="str">
        <f>IFERROR(__xludf.DUMMYFUNCTION("""COMPUTED_VALUE"""),"ہمسایوں سے حسن سلوک اور ان کے حقوق")</f>
        <v>ہمسایوں سے حسن سلوک اور ان کے حقوق</v>
      </c>
      <c r="W119" s="10" t="str">
        <f>IFERROR(__xludf.DUMMYFUNCTION("""COMPUTED_VALUE"""),"ہمسایوں کے ساتھ نیک سلوک کرنے کا ان کے حقوق کو پورے کرنے کا کہا گیا اور اس کی اہمیت پر زور دیا گیا")</f>
        <v>ہمسایوں کے ساتھ نیک سلوک کرنے کا ان کے حقوق کو پورے کرنے کا کہا گیا اور اس کی اہمیت پر زور دیا گیا</v>
      </c>
      <c r="X119" s="10">
        <f>IFERROR(__xludf.DUMMYFUNCTION("""COMPUTED_VALUE"""),2.0)</f>
        <v>2</v>
      </c>
      <c r="Y119" s="10">
        <f>IFERROR(__xludf.DUMMYFUNCTION("""COMPUTED_VALUE"""),7.0)</f>
        <v>7</v>
      </c>
      <c r="Z119" s="10">
        <f>IFERROR(__xludf.DUMMYFUNCTION("""COMPUTED_VALUE"""),0.0)</f>
        <v>0</v>
      </c>
      <c r="AA119" s="10">
        <f>IFERROR(__xludf.DUMMYFUNCTION("""COMPUTED_VALUE"""),6.0)</f>
        <v>6</v>
      </c>
      <c r="AB119" s="10">
        <f>IFERROR(__xludf.DUMMYFUNCTION("""COMPUTED_VALUE"""),0.0)</f>
        <v>0</v>
      </c>
      <c r="AC119" s="10">
        <f>IFERROR(__xludf.DUMMYFUNCTION("""COMPUTED_VALUE"""),0.0)</f>
        <v>0</v>
      </c>
      <c r="AD119" s="10">
        <f>IFERROR(__xludf.DUMMYFUNCTION("""COMPUTED_VALUE"""),0.0)</f>
        <v>0</v>
      </c>
      <c r="AE119" s="10">
        <f>IFERROR(__xludf.DUMMYFUNCTION("""COMPUTED_VALUE"""),0.0)</f>
        <v>0</v>
      </c>
      <c r="AF119" s="10">
        <f>IFERROR(__xludf.DUMMYFUNCTION("""COMPUTED_VALUE"""),8.0)</f>
        <v>8</v>
      </c>
      <c r="AG119" s="10">
        <f>IFERROR(__xludf.DUMMYFUNCTION("""COMPUTED_VALUE"""),8.0)</f>
        <v>8</v>
      </c>
      <c r="AH119" s="10">
        <f>IFERROR(__xludf.DUMMYFUNCTION("""COMPUTED_VALUE"""),0.0)</f>
        <v>0</v>
      </c>
      <c r="AI119" s="10">
        <f>IFERROR(__xludf.DUMMYFUNCTION("""COMPUTED_VALUE"""),8.0)</f>
        <v>8</v>
      </c>
      <c r="AJ119" s="11" t="str">
        <f>IFERROR(__xludf.DUMMYFUNCTION("""COMPUTED_VALUE"""),"https://drive.google.com/open?id=1I3bgwYp0ObX2ibU_KzVeTr74c2GqBekG")</f>
        <v>https://drive.google.com/open?id=1I3bgwYp0ObX2ibU_KzVeTr74c2GqBekG</v>
      </c>
      <c r="AK119" s="12" t="str">
        <f>IFERROR(__xludf.DUMMYFUNCTION("""COMPUTED_VALUE"""),"no")</f>
        <v>no</v>
      </c>
      <c r="AL119" s="12" t="str">
        <f>IFERROR(__xludf.DUMMYFUNCTION("""COMPUTED_VALUE"""),"Yes")</f>
        <v>Yes</v>
      </c>
      <c r="AM119" s="15">
        <f>IFERROR(__xludf.DUMMYFUNCTION("""COMPUTED_VALUE"""),0.9)</f>
        <v>0.9</v>
      </c>
      <c r="AN119" s="12"/>
      <c r="AO119" s="13">
        <v>1.0</v>
      </c>
      <c r="AX119" s="13">
        <v>1.0</v>
      </c>
    </row>
    <row r="120">
      <c r="A120" s="8">
        <v>119.0</v>
      </c>
      <c r="B120" s="9">
        <f>IFERROR(__xludf.DUMMYFUNCTION("""COMPUTED_VALUE"""),45773.70563001157)</f>
        <v>45773.70563</v>
      </c>
      <c r="C120" s="10" t="str">
        <f>IFERROR(__xludf.DUMMYFUNCTION("""COMPUTED_VALUE"""),"Maham Amjad ")</f>
        <v>Maham Amjad </v>
      </c>
      <c r="D120" s="10" t="str">
        <f>IFERROR(__xludf.DUMMYFUNCTION("""COMPUTED_VALUE"""),"03218118680")</f>
        <v>03218118680</v>
      </c>
      <c r="E120" s="10" t="str">
        <f>IFERROR(__xludf.DUMMYFUNCTION("""COMPUTED_VALUE"""),"sermon 1 Jamia Masjid Australia Lahore")</f>
        <v>sermon 1 Jamia Masjid Australia Lahore</v>
      </c>
      <c r="F120" s="10" t="str">
        <f>IFERROR(__xludf.DUMMYFUNCTION("""COMPUTED_VALUE"""),"xdhvt")</f>
        <v>xdhvt</v>
      </c>
      <c r="G120" s="10" t="str">
        <f>IFERROR(__xludf.DUMMYFUNCTION("""COMPUTED_VALUE"""),"Yes")</f>
        <v>Yes</v>
      </c>
      <c r="H120" s="10">
        <f>IFERROR(__xludf.DUMMYFUNCTION("""COMPUTED_VALUE"""),8.0)</f>
        <v>8</v>
      </c>
      <c r="I120" s="10">
        <f>IFERROR(__xludf.DUMMYFUNCTION("""COMPUTED_VALUE"""),2.0)</f>
        <v>2</v>
      </c>
      <c r="J120" s="10">
        <f>IFERROR(__xludf.DUMMYFUNCTION("""COMPUTED_VALUE"""),8.0)</f>
        <v>8</v>
      </c>
      <c r="K120" s="10">
        <f>IFERROR(__xludf.DUMMYFUNCTION("""COMPUTED_VALUE"""),2.0)</f>
        <v>2</v>
      </c>
      <c r="L120" s="10">
        <f>IFERROR(__xludf.DUMMYFUNCTION("""COMPUTED_VALUE"""),8.0)</f>
        <v>8</v>
      </c>
      <c r="M120" s="10">
        <f>IFERROR(__xludf.DUMMYFUNCTION("""COMPUTED_VALUE"""),0.0)</f>
        <v>0</v>
      </c>
      <c r="N120" s="10">
        <f>IFERROR(__xludf.DUMMYFUNCTION("""COMPUTED_VALUE"""),8.0)</f>
        <v>8</v>
      </c>
      <c r="O120" s="10">
        <f>IFERROR(__xludf.DUMMYFUNCTION("""COMPUTED_VALUE"""),0.0)</f>
        <v>0</v>
      </c>
      <c r="P120" s="10">
        <f>IFERROR(__xludf.DUMMYFUNCTION("""COMPUTED_VALUE"""),8.0)</f>
        <v>8</v>
      </c>
      <c r="Q120" s="10" t="str">
        <f>IFERROR(__xludf.DUMMYFUNCTION("""COMPUTED_VALUE"""),"No")</f>
        <v>No</v>
      </c>
      <c r="R120" s="10" t="str">
        <f>IFERROR(__xludf.DUMMYFUNCTION("""COMPUTED_VALUE"""),"No")</f>
        <v>No</v>
      </c>
      <c r="S120" s="10" t="str">
        <f>IFERROR(__xludf.DUMMYFUNCTION("""COMPUTED_VALUE"""),"No")</f>
        <v>No</v>
      </c>
      <c r="T120" s="10">
        <f>IFERROR(__xludf.DUMMYFUNCTION("""COMPUTED_VALUE"""),0.0)</f>
        <v>0</v>
      </c>
      <c r="U120" s="10">
        <f>IFERROR(__xludf.DUMMYFUNCTION("""COMPUTED_VALUE"""),0.0)</f>
        <v>0</v>
      </c>
      <c r="V120" s="10" t="str">
        <f>IFERROR(__xludf.DUMMYFUNCTION("""COMPUTED_VALUE"""),"ہمسائے سے حسن سلوک اور ان کے حقوق")</f>
        <v>ہمسائے سے حسن سلوک اور ان کے حقوق</v>
      </c>
      <c r="W120" s="10" t="str">
        <f>IFERROR(__xludf.DUMMYFUNCTION("""COMPUTED_VALUE"""),"ہمسایہ سے حسن سلوک اور ان کے حقوق پورا کرنے کی تلقین اس کی اہمیت اور اس کا ثواب بیان")</f>
        <v>ہمسایہ سے حسن سلوک اور ان کے حقوق پورا کرنے کی تلقین اس کی اہمیت اور اس کا ثواب بیان</v>
      </c>
      <c r="X120" s="10">
        <f>IFERROR(__xludf.DUMMYFUNCTION("""COMPUTED_VALUE"""),2.0)</f>
        <v>2</v>
      </c>
      <c r="Y120" s="10">
        <f>IFERROR(__xludf.DUMMYFUNCTION("""COMPUTED_VALUE"""),8.0)</f>
        <v>8</v>
      </c>
      <c r="Z120" s="10">
        <f>IFERROR(__xludf.DUMMYFUNCTION("""COMPUTED_VALUE"""),0.0)</f>
        <v>0</v>
      </c>
      <c r="AA120" s="10">
        <f>IFERROR(__xludf.DUMMYFUNCTION("""COMPUTED_VALUE"""),7.0)</f>
        <v>7</v>
      </c>
      <c r="AB120" s="10">
        <f>IFERROR(__xludf.DUMMYFUNCTION("""COMPUTED_VALUE"""),0.0)</f>
        <v>0</v>
      </c>
      <c r="AC120" s="10">
        <f>IFERROR(__xludf.DUMMYFUNCTION("""COMPUTED_VALUE"""),0.0)</f>
        <v>0</v>
      </c>
      <c r="AD120" s="10">
        <f>IFERROR(__xludf.DUMMYFUNCTION("""COMPUTED_VALUE"""),0.0)</f>
        <v>0</v>
      </c>
      <c r="AE120" s="10">
        <f>IFERROR(__xludf.DUMMYFUNCTION("""COMPUTED_VALUE"""),0.0)</f>
        <v>0</v>
      </c>
      <c r="AF120" s="10">
        <f>IFERROR(__xludf.DUMMYFUNCTION("""COMPUTED_VALUE"""),8.0)</f>
        <v>8</v>
      </c>
      <c r="AG120" s="10">
        <f>IFERROR(__xludf.DUMMYFUNCTION("""COMPUTED_VALUE"""),9.0)</f>
        <v>9</v>
      </c>
      <c r="AH120" s="10">
        <f>IFERROR(__xludf.DUMMYFUNCTION("""COMPUTED_VALUE"""),0.0)</f>
        <v>0</v>
      </c>
      <c r="AI120" s="10">
        <f>IFERROR(__xludf.DUMMYFUNCTION("""COMPUTED_VALUE"""),8.0)</f>
        <v>8</v>
      </c>
      <c r="AJ120" s="11" t="str">
        <f>IFERROR(__xludf.DUMMYFUNCTION("""COMPUTED_VALUE"""),"https://drive.google.com/open?id=1J34zeyDiFzj_NJf6nhMjn-VJZRcD5cgZ")</f>
        <v>https://drive.google.com/open?id=1J34zeyDiFzj_NJf6nhMjn-VJZRcD5cgZ</v>
      </c>
      <c r="AK120" s="12" t="str">
        <f>IFERROR(__xludf.DUMMYFUNCTION("""COMPUTED_VALUE"""),"no")</f>
        <v>no</v>
      </c>
      <c r="AL120" s="12" t="str">
        <f>IFERROR(__xludf.DUMMYFUNCTION("""COMPUTED_VALUE"""),"Yes")</f>
        <v>Yes</v>
      </c>
      <c r="AM120" s="15">
        <f>IFERROR(__xludf.DUMMYFUNCTION("""COMPUTED_VALUE"""),0.8)</f>
        <v>0.8</v>
      </c>
      <c r="AN120" s="12"/>
      <c r="AO120" s="13">
        <v>1.0</v>
      </c>
      <c r="AX120" s="13">
        <v>1.0</v>
      </c>
    </row>
    <row r="121">
      <c r="A121" s="8">
        <v>120.0</v>
      </c>
      <c r="B121" s="9">
        <f>IFERROR(__xludf.DUMMYFUNCTION("""COMPUTED_VALUE"""),45773.70903189815)</f>
        <v>45773.70903</v>
      </c>
      <c r="C121" s="10" t="str">
        <f>IFERROR(__xludf.DUMMYFUNCTION("""COMPUTED_VALUE"""),"Maham Amjad ")</f>
        <v>Maham Amjad </v>
      </c>
      <c r="D121" s="10" t="str">
        <f>IFERROR(__xludf.DUMMYFUNCTION("""COMPUTED_VALUE"""),"03218118680")</f>
        <v>03218118680</v>
      </c>
      <c r="E121" s="10" t="str">
        <f>IFERROR(__xludf.DUMMYFUNCTION("""COMPUTED_VALUE"""),"sermon 1 Jamia Masjid Darbar meer hussain Rangani Lahore ")</f>
        <v>sermon 1 Jamia Masjid Darbar meer hussain Rangani Lahore </v>
      </c>
      <c r="F121" s="10" t="str">
        <f>IFERROR(__xludf.DUMMYFUNCTION("""COMPUTED_VALUE"""),"yhrds")</f>
        <v>yhrds</v>
      </c>
      <c r="G121" s="10" t="str">
        <f>IFERROR(__xludf.DUMMYFUNCTION("""COMPUTED_VALUE"""),"Yes")</f>
        <v>Yes</v>
      </c>
      <c r="H121" s="10">
        <f>IFERROR(__xludf.DUMMYFUNCTION("""COMPUTED_VALUE"""),7.0)</f>
        <v>7</v>
      </c>
      <c r="I121" s="10">
        <f>IFERROR(__xludf.DUMMYFUNCTION("""COMPUTED_VALUE"""),3.0)</f>
        <v>3</v>
      </c>
      <c r="J121" s="10">
        <f>IFERROR(__xludf.DUMMYFUNCTION("""COMPUTED_VALUE"""),7.0)</f>
        <v>7</v>
      </c>
      <c r="K121" s="10">
        <f>IFERROR(__xludf.DUMMYFUNCTION("""COMPUTED_VALUE"""),2.0)</f>
        <v>2</v>
      </c>
      <c r="L121" s="10">
        <f>IFERROR(__xludf.DUMMYFUNCTION("""COMPUTED_VALUE"""),8.0)</f>
        <v>8</v>
      </c>
      <c r="M121" s="10">
        <f>IFERROR(__xludf.DUMMYFUNCTION("""COMPUTED_VALUE"""),1.0)</f>
        <v>1</v>
      </c>
      <c r="N121" s="10">
        <f>IFERROR(__xludf.DUMMYFUNCTION("""COMPUTED_VALUE"""),8.0)</f>
        <v>8</v>
      </c>
      <c r="O121" s="10">
        <f>IFERROR(__xludf.DUMMYFUNCTION("""COMPUTED_VALUE"""),0.0)</f>
        <v>0</v>
      </c>
      <c r="P121" s="10">
        <f>IFERROR(__xludf.DUMMYFUNCTION("""COMPUTED_VALUE"""),8.0)</f>
        <v>8</v>
      </c>
      <c r="Q121" s="10" t="str">
        <f>IFERROR(__xludf.DUMMYFUNCTION("""COMPUTED_VALUE"""),"No")</f>
        <v>No</v>
      </c>
      <c r="R121" s="10" t="str">
        <f>IFERROR(__xludf.DUMMYFUNCTION("""COMPUTED_VALUE"""),"No")</f>
        <v>No</v>
      </c>
      <c r="S121" s="10" t="str">
        <f>IFERROR(__xludf.DUMMYFUNCTION("""COMPUTED_VALUE"""),"No")</f>
        <v>No</v>
      </c>
      <c r="T121" s="10">
        <f>IFERROR(__xludf.DUMMYFUNCTION("""COMPUTED_VALUE"""),0.0)</f>
        <v>0</v>
      </c>
      <c r="U121" s="10">
        <f>IFERROR(__xludf.DUMMYFUNCTION("""COMPUTED_VALUE"""),0.0)</f>
        <v>0</v>
      </c>
      <c r="V121" s="10" t="str">
        <f>IFERROR(__xludf.DUMMYFUNCTION("""COMPUTED_VALUE"""),"حقوق العباد کے بارے میں اور خاص کر ہمسایوں کےحقوق پر زور")</f>
        <v>حقوق العباد کے بارے میں اور خاص کر ہمسایوں کےحقوق پر زور</v>
      </c>
      <c r="W121" s="10" t="str">
        <f>IFERROR(__xludf.DUMMYFUNCTION("""COMPUTED_VALUE"""),"حقوق العباد کی اہمیت کو بیان کیا اور ہمسایوں کے بارے میں ان کے ساتھ حسن سلوک نیکی کا معاملہ کرنے کی تاکید کی گئی")</f>
        <v>حقوق العباد کی اہمیت کو بیان کیا اور ہمسایوں کے بارے میں ان کے ساتھ حسن سلوک نیکی کا معاملہ کرنے کی تاکید کی گئی</v>
      </c>
      <c r="X121" s="10">
        <f>IFERROR(__xludf.DUMMYFUNCTION("""COMPUTED_VALUE"""),2.0)</f>
        <v>2</v>
      </c>
      <c r="Y121" s="10">
        <f>IFERROR(__xludf.DUMMYFUNCTION("""COMPUTED_VALUE"""),2.0)</f>
        <v>2</v>
      </c>
      <c r="Z121" s="10">
        <f>IFERROR(__xludf.DUMMYFUNCTION("""COMPUTED_VALUE"""),0.0)</f>
        <v>0</v>
      </c>
      <c r="AA121" s="10">
        <f>IFERROR(__xludf.DUMMYFUNCTION("""COMPUTED_VALUE"""),8.0)</f>
        <v>8</v>
      </c>
      <c r="AB121" s="10">
        <f>IFERROR(__xludf.DUMMYFUNCTION("""COMPUTED_VALUE"""),0.0)</f>
        <v>0</v>
      </c>
      <c r="AC121" s="10">
        <f>IFERROR(__xludf.DUMMYFUNCTION("""COMPUTED_VALUE"""),0.0)</f>
        <v>0</v>
      </c>
      <c r="AD121" s="10">
        <f>IFERROR(__xludf.DUMMYFUNCTION("""COMPUTED_VALUE"""),0.0)</f>
        <v>0</v>
      </c>
      <c r="AE121" s="10">
        <f>IFERROR(__xludf.DUMMYFUNCTION("""COMPUTED_VALUE"""),0.0)</f>
        <v>0</v>
      </c>
      <c r="AF121" s="10">
        <f>IFERROR(__xludf.DUMMYFUNCTION("""COMPUTED_VALUE"""),8.0)</f>
        <v>8</v>
      </c>
      <c r="AG121" s="10">
        <f>IFERROR(__xludf.DUMMYFUNCTION("""COMPUTED_VALUE"""),8.0)</f>
        <v>8</v>
      </c>
      <c r="AH121" s="10">
        <f>IFERROR(__xludf.DUMMYFUNCTION("""COMPUTED_VALUE"""),0.0)</f>
        <v>0</v>
      </c>
      <c r="AI121" s="10">
        <f>IFERROR(__xludf.DUMMYFUNCTION("""COMPUTED_VALUE"""),9.0)</f>
        <v>9</v>
      </c>
      <c r="AJ121" s="11" t="str">
        <f>IFERROR(__xludf.DUMMYFUNCTION("""COMPUTED_VALUE"""),"https://drive.google.com/open?id=1VjppDLZGyaV3WxzZBbodubZuVqmRP4Do")</f>
        <v>https://drive.google.com/open?id=1VjppDLZGyaV3WxzZBbodubZuVqmRP4Do</v>
      </c>
      <c r="AK121" s="12" t="str">
        <f>IFERROR(__xludf.DUMMYFUNCTION("""COMPUTED_VALUE"""),"no")</f>
        <v>no</v>
      </c>
      <c r="AL121" s="12" t="str">
        <f>IFERROR(__xludf.DUMMYFUNCTION("""COMPUTED_VALUE"""),"Yes")</f>
        <v>Yes</v>
      </c>
      <c r="AM121" s="15">
        <f>IFERROR(__xludf.DUMMYFUNCTION("""COMPUTED_VALUE"""),0.7)</f>
        <v>0.7</v>
      </c>
      <c r="AN121" s="12"/>
      <c r="AO121" s="13">
        <v>1.0</v>
      </c>
      <c r="AX121" s="13">
        <v>1.0</v>
      </c>
    </row>
    <row r="122">
      <c r="A122" s="8">
        <v>121.0</v>
      </c>
      <c r="B122" s="9">
        <f>IFERROR(__xludf.DUMMYFUNCTION("""COMPUTED_VALUE"""),45773.71314586805)</f>
        <v>45773.71315</v>
      </c>
      <c r="C122" s="10" t="str">
        <f>IFERROR(__xludf.DUMMYFUNCTION("""COMPUTED_VALUE"""),"Maham Amjad ")</f>
        <v>Maham Amjad </v>
      </c>
      <c r="D122" s="10" t="str">
        <f>IFERROR(__xludf.DUMMYFUNCTION("""COMPUTED_VALUE"""),"03218118680")</f>
        <v>03218118680</v>
      </c>
      <c r="E122" s="10" t="str">
        <f>IFERROR(__xludf.DUMMYFUNCTION("""COMPUTED_VALUE"""),"sermon 1 Jamia Masjid Hanfiya Muslim gunj kahchu pura lahore")</f>
        <v>sermon 1 Jamia Masjid Hanfiya Muslim gunj kahchu pura lahore</v>
      </c>
      <c r="F122" s="10" t="str">
        <f>IFERROR(__xludf.DUMMYFUNCTION("""COMPUTED_VALUE"""),"ogwwf")</f>
        <v>ogwwf</v>
      </c>
      <c r="G122" s="10" t="str">
        <f>IFERROR(__xludf.DUMMYFUNCTION("""COMPUTED_VALUE"""),"Yes")</f>
        <v>Yes</v>
      </c>
      <c r="H122" s="10">
        <f>IFERROR(__xludf.DUMMYFUNCTION("""COMPUTED_VALUE"""),9.0)</f>
        <v>9</v>
      </c>
      <c r="I122" s="10">
        <f>IFERROR(__xludf.DUMMYFUNCTION("""COMPUTED_VALUE"""),1.0)</f>
        <v>1</v>
      </c>
      <c r="J122" s="10">
        <f>IFERROR(__xludf.DUMMYFUNCTION("""COMPUTED_VALUE"""),9.0)</f>
        <v>9</v>
      </c>
      <c r="K122" s="10">
        <f>IFERROR(__xludf.DUMMYFUNCTION("""COMPUTED_VALUE"""),8.0)</f>
        <v>8</v>
      </c>
      <c r="L122" s="10">
        <f>IFERROR(__xludf.DUMMYFUNCTION("""COMPUTED_VALUE"""),1.0)</f>
        <v>1</v>
      </c>
      <c r="M122" s="10">
        <f>IFERROR(__xludf.DUMMYFUNCTION("""COMPUTED_VALUE"""),9.0)</f>
        <v>9</v>
      </c>
      <c r="N122" s="10">
        <f>IFERROR(__xludf.DUMMYFUNCTION("""COMPUTED_VALUE"""),1.0)</f>
        <v>1</v>
      </c>
      <c r="O122" s="10">
        <f>IFERROR(__xludf.DUMMYFUNCTION("""COMPUTED_VALUE"""),7.0)</f>
        <v>7</v>
      </c>
      <c r="P122" s="10">
        <f>IFERROR(__xludf.DUMMYFUNCTION("""COMPUTED_VALUE"""),0.0)</f>
        <v>0</v>
      </c>
      <c r="Q122" s="10" t="str">
        <f>IFERROR(__xludf.DUMMYFUNCTION("""COMPUTED_VALUE"""),"No")</f>
        <v>No</v>
      </c>
      <c r="R122" s="10" t="str">
        <f>IFERROR(__xludf.DUMMYFUNCTION("""COMPUTED_VALUE"""),"No")</f>
        <v>No</v>
      </c>
      <c r="S122" s="10" t="str">
        <f>IFERROR(__xludf.DUMMYFUNCTION("""COMPUTED_VALUE"""),"No")</f>
        <v>No</v>
      </c>
      <c r="T122" s="10">
        <f>IFERROR(__xludf.DUMMYFUNCTION("""COMPUTED_VALUE"""),0.0)</f>
        <v>0</v>
      </c>
      <c r="U122" s="10">
        <f>IFERROR(__xludf.DUMMYFUNCTION("""COMPUTED_VALUE"""),0.0)</f>
        <v>0</v>
      </c>
      <c r="V122" s="10" t="str">
        <f>IFERROR(__xludf.DUMMYFUNCTION("""COMPUTED_VALUE"""),"عورتوں کے حقوق پر بات کی")</f>
        <v>عورتوں کے حقوق پر بات کی</v>
      </c>
      <c r="W122" s="10" t="str">
        <f>IFERROR(__xludf.DUMMYFUNCTION("""COMPUTED_VALUE"""),"معاشرے میں عورت چاہے بیٹی بہن ماں بیوی جس بھی روپ میں ہو اس کے حقوق پر روشنی ڈالی")</f>
        <v>معاشرے میں عورت چاہے بیٹی بہن ماں بیوی جس بھی روپ میں ہو اس کے حقوق پر روشنی ڈالی</v>
      </c>
      <c r="X122" s="10">
        <f>IFERROR(__xludf.DUMMYFUNCTION("""COMPUTED_VALUE"""),1.0)</f>
        <v>1</v>
      </c>
      <c r="Y122" s="10">
        <f>IFERROR(__xludf.DUMMYFUNCTION("""COMPUTED_VALUE"""),0.0)</f>
        <v>0</v>
      </c>
      <c r="Z122" s="10">
        <f>IFERROR(__xludf.DUMMYFUNCTION("""COMPUTED_VALUE"""),1.0)</f>
        <v>1</v>
      </c>
      <c r="AA122" s="10">
        <f>IFERROR(__xludf.DUMMYFUNCTION("""COMPUTED_VALUE"""),7.0)</f>
        <v>7</v>
      </c>
      <c r="AB122" s="10">
        <f>IFERROR(__xludf.DUMMYFUNCTION("""COMPUTED_VALUE"""),0.0)</f>
        <v>0</v>
      </c>
      <c r="AC122" s="10">
        <f>IFERROR(__xludf.DUMMYFUNCTION("""COMPUTED_VALUE"""),0.0)</f>
        <v>0</v>
      </c>
      <c r="AD122" s="10">
        <f>IFERROR(__xludf.DUMMYFUNCTION("""COMPUTED_VALUE"""),0.0)</f>
        <v>0</v>
      </c>
      <c r="AE122" s="10">
        <f>IFERROR(__xludf.DUMMYFUNCTION("""COMPUTED_VALUE"""),0.0)</f>
        <v>0</v>
      </c>
      <c r="AF122" s="10">
        <f>IFERROR(__xludf.DUMMYFUNCTION("""COMPUTED_VALUE"""),8.0)</f>
        <v>8</v>
      </c>
      <c r="AG122" s="10">
        <f>IFERROR(__xludf.DUMMYFUNCTION("""COMPUTED_VALUE"""),8.0)</f>
        <v>8</v>
      </c>
      <c r="AH122" s="10">
        <f>IFERROR(__xludf.DUMMYFUNCTION("""COMPUTED_VALUE"""),0.0)</f>
        <v>0</v>
      </c>
      <c r="AI122" s="10">
        <f>IFERROR(__xludf.DUMMYFUNCTION("""COMPUTED_VALUE"""),8.0)</f>
        <v>8</v>
      </c>
      <c r="AJ122" s="11" t="str">
        <f>IFERROR(__xludf.DUMMYFUNCTION("""COMPUTED_VALUE"""),"https://drive.google.com/open?id=11jtIA617Sw5GZbL-UTcVx7EqDNhI-_8n")</f>
        <v>https://drive.google.com/open?id=11jtIA617Sw5GZbL-UTcVx7EqDNhI-_8n</v>
      </c>
      <c r="AK122" s="12" t="str">
        <f>IFERROR(__xludf.DUMMYFUNCTION("""COMPUTED_VALUE"""),"no")</f>
        <v>no</v>
      </c>
      <c r="AL122" s="12" t="str">
        <f>IFERROR(__xludf.DUMMYFUNCTION("""COMPUTED_VALUE"""),"Yes")</f>
        <v>Yes</v>
      </c>
      <c r="AM122" s="15">
        <f>IFERROR(__xludf.DUMMYFUNCTION("""COMPUTED_VALUE"""),0.9)</f>
        <v>0.9</v>
      </c>
      <c r="AN122" s="12"/>
      <c r="AO122" s="13">
        <v>1.0</v>
      </c>
      <c r="AX122" s="13">
        <v>1.0</v>
      </c>
    </row>
    <row r="123">
      <c r="A123" s="8">
        <v>122.0</v>
      </c>
      <c r="B123" s="9">
        <f>IFERROR(__xludf.DUMMYFUNCTION("""COMPUTED_VALUE"""),45773.71637717592)</f>
        <v>45773.71638</v>
      </c>
      <c r="C123" s="10" t="str">
        <f>IFERROR(__xludf.DUMMYFUNCTION("""COMPUTED_VALUE"""),"Maham Amjad ")</f>
        <v>Maham Amjad </v>
      </c>
      <c r="D123" s="10" t="str">
        <f>IFERROR(__xludf.DUMMYFUNCTION("""COMPUTED_VALUE"""),"03218118680")</f>
        <v>03218118680</v>
      </c>
      <c r="E123" s="10" t="str">
        <f>IFERROR(__xludf.DUMMYFUNCTION("""COMPUTED_VALUE"""),"sermon 1 Jamia Masjid Hanfiya ghousia scheme2 Lahore")</f>
        <v>sermon 1 Jamia Masjid Hanfiya ghousia scheme2 Lahore</v>
      </c>
      <c r="F123" s="10" t="str">
        <f>IFERROR(__xludf.DUMMYFUNCTION("""COMPUTED_VALUE"""),"cwfim")</f>
        <v>cwfim</v>
      </c>
      <c r="G123" s="10" t="str">
        <f>IFERROR(__xludf.DUMMYFUNCTION("""COMPUTED_VALUE"""),"Yes")</f>
        <v>Yes</v>
      </c>
      <c r="H123" s="10">
        <f>IFERROR(__xludf.DUMMYFUNCTION("""COMPUTED_VALUE"""),8.0)</f>
        <v>8</v>
      </c>
      <c r="I123" s="10">
        <f>IFERROR(__xludf.DUMMYFUNCTION("""COMPUTED_VALUE"""),2.0)</f>
        <v>2</v>
      </c>
      <c r="J123" s="10">
        <f>IFERROR(__xludf.DUMMYFUNCTION("""COMPUTED_VALUE"""),8.0)</f>
        <v>8</v>
      </c>
      <c r="K123" s="10">
        <f>IFERROR(__xludf.DUMMYFUNCTION("""COMPUTED_VALUE"""),1.0)</f>
        <v>1</v>
      </c>
      <c r="L123" s="10">
        <f>IFERROR(__xludf.DUMMYFUNCTION("""COMPUTED_VALUE"""),9.0)</f>
        <v>9</v>
      </c>
      <c r="M123" s="10">
        <f>IFERROR(__xludf.DUMMYFUNCTION("""COMPUTED_VALUE"""),2.0)</f>
        <v>2</v>
      </c>
      <c r="N123" s="10">
        <f>IFERROR(__xludf.DUMMYFUNCTION("""COMPUTED_VALUE"""),8.0)</f>
        <v>8</v>
      </c>
      <c r="O123" s="10">
        <f>IFERROR(__xludf.DUMMYFUNCTION("""COMPUTED_VALUE"""),1.0)</f>
        <v>1</v>
      </c>
      <c r="P123" s="10">
        <f>IFERROR(__xludf.DUMMYFUNCTION("""COMPUTED_VALUE"""),7.0)</f>
        <v>7</v>
      </c>
      <c r="Q123" s="10" t="str">
        <f>IFERROR(__xludf.DUMMYFUNCTION("""COMPUTED_VALUE"""),"No")</f>
        <v>No</v>
      </c>
      <c r="R123" s="10" t="str">
        <f>IFERROR(__xludf.DUMMYFUNCTION("""COMPUTED_VALUE"""),"No")</f>
        <v>No</v>
      </c>
      <c r="S123" s="10" t="str">
        <f>IFERROR(__xludf.DUMMYFUNCTION("""COMPUTED_VALUE"""),"No")</f>
        <v>No</v>
      </c>
      <c r="T123" s="10">
        <f>IFERROR(__xludf.DUMMYFUNCTION("""COMPUTED_VALUE"""),0.0)</f>
        <v>0</v>
      </c>
      <c r="U123" s="10">
        <f>IFERROR(__xludf.DUMMYFUNCTION("""COMPUTED_VALUE"""),0.0)</f>
        <v>0</v>
      </c>
      <c r="V123" s="10" t="str">
        <f>IFERROR(__xludf.DUMMYFUNCTION("""COMPUTED_VALUE"""),"ہمسائے کے حقوق")</f>
        <v>ہمسائے کے حقوق</v>
      </c>
      <c r="W123" s="10" t="str">
        <f>IFERROR(__xludf.DUMMYFUNCTION("""COMPUTED_VALUE"""),"ہمسائے کے حقوق اور  ان سے حسن سلوک کے بارے میں تاکید کی گئی")</f>
        <v>ہمسائے کے حقوق اور  ان سے حسن سلوک کے بارے میں تاکید کی گئی</v>
      </c>
      <c r="X123" s="10">
        <f>IFERROR(__xludf.DUMMYFUNCTION("""COMPUTED_VALUE"""),1.0)</f>
        <v>1</v>
      </c>
      <c r="Y123" s="10">
        <f>IFERROR(__xludf.DUMMYFUNCTION("""COMPUTED_VALUE"""),0.0)</f>
        <v>0</v>
      </c>
      <c r="Z123" s="10">
        <f>IFERROR(__xludf.DUMMYFUNCTION("""COMPUTED_VALUE"""),0.0)</f>
        <v>0</v>
      </c>
      <c r="AA123" s="10">
        <f>IFERROR(__xludf.DUMMYFUNCTION("""COMPUTED_VALUE"""),5.0)</f>
        <v>5</v>
      </c>
      <c r="AB123" s="10">
        <f>IFERROR(__xludf.DUMMYFUNCTION("""COMPUTED_VALUE"""),0.0)</f>
        <v>0</v>
      </c>
      <c r="AC123" s="10">
        <f>IFERROR(__xludf.DUMMYFUNCTION("""COMPUTED_VALUE"""),0.0)</f>
        <v>0</v>
      </c>
      <c r="AD123" s="10">
        <f>IFERROR(__xludf.DUMMYFUNCTION("""COMPUTED_VALUE"""),0.0)</f>
        <v>0</v>
      </c>
      <c r="AE123" s="10">
        <f>IFERROR(__xludf.DUMMYFUNCTION("""COMPUTED_VALUE"""),0.0)</f>
        <v>0</v>
      </c>
      <c r="AF123" s="10">
        <f>IFERROR(__xludf.DUMMYFUNCTION("""COMPUTED_VALUE"""),8.0)</f>
        <v>8</v>
      </c>
      <c r="AG123" s="10">
        <f>IFERROR(__xludf.DUMMYFUNCTION("""COMPUTED_VALUE"""),8.0)</f>
        <v>8</v>
      </c>
      <c r="AH123" s="10">
        <f>IFERROR(__xludf.DUMMYFUNCTION("""COMPUTED_VALUE"""),0.0)</f>
        <v>0</v>
      </c>
      <c r="AI123" s="10">
        <f>IFERROR(__xludf.DUMMYFUNCTION("""COMPUTED_VALUE"""),10.0)</f>
        <v>10</v>
      </c>
      <c r="AJ123" s="11" t="str">
        <f>IFERROR(__xludf.DUMMYFUNCTION("""COMPUTED_VALUE"""),"https://drive.google.com/open?id=1es3OoYKVAlj5tLPXgcOC8Bo6ioM0JV82")</f>
        <v>https://drive.google.com/open?id=1es3OoYKVAlj5tLPXgcOC8Bo6ioM0JV82</v>
      </c>
      <c r="AK123" s="12" t="str">
        <f>IFERROR(__xludf.DUMMYFUNCTION("""COMPUTED_VALUE"""),"no")</f>
        <v>no</v>
      </c>
      <c r="AL123" s="12" t="str">
        <f>IFERROR(__xludf.DUMMYFUNCTION("""COMPUTED_VALUE"""),"Yes")</f>
        <v>Yes</v>
      </c>
      <c r="AM123" s="12"/>
      <c r="AN123" s="12"/>
      <c r="AO123" s="13">
        <v>1.0</v>
      </c>
      <c r="AX123" s="13">
        <v>1.0</v>
      </c>
    </row>
    <row r="124">
      <c r="A124" s="8">
        <v>123.0</v>
      </c>
      <c r="B124" s="9">
        <f>IFERROR(__xludf.DUMMYFUNCTION("""COMPUTED_VALUE"""),45773.72027290509)</f>
        <v>45773.72027</v>
      </c>
      <c r="C124" s="10" t="str">
        <f>IFERROR(__xludf.DUMMYFUNCTION("""COMPUTED_VALUE"""),"Maham Amjad ")</f>
        <v>Maham Amjad </v>
      </c>
      <c r="D124" s="10" t="str">
        <f>IFERROR(__xludf.DUMMYFUNCTION("""COMPUTED_VALUE"""),"03218118680")</f>
        <v>03218118680</v>
      </c>
      <c r="E124" s="10" t="str">
        <f>IFERROR(__xludf.DUMMYFUNCTION("""COMPUTED_VALUE"""),"Sermon 1 Jamia Masjid madoh Laal Hussain lahore")</f>
        <v>Sermon 1 Jamia Masjid madoh Laal Hussain lahore</v>
      </c>
      <c r="F124" s="10" t="str">
        <f>IFERROR(__xludf.DUMMYFUNCTION("""COMPUTED_VALUE"""),"klysr")</f>
        <v>klysr</v>
      </c>
      <c r="G124" s="10" t="str">
        <f>IFERROR(__xludf.DUMMYFUNCTION("""COMPUTED_VALUE"""),"Yes")</f>
        <v>Yes</v>
      </c>
      <c r="H124" s="10">
        <f>IFERROR(__xludf.DUMMYFUNCTION("""COMPUTED_VALUE"""),9.0)</f>
        <v>9</v>
      </c>
      <c r="I124" s="10">
        <f>IFERROR(__xludf.DUMMYFUNCTION("""COMPUTED_VALUE"""),1.0)</f>
        <v>1</v>
      </c>
      <c r="J124" s="10">
        <f>IFERROR(__xludf.DUMMYFUNCTION("""COMPUTED_VALUE"""),8.0)</f>
        <v>8</v>
      </c>
      <c r="K124" s="10">
        <f>IFERROR(__xludf.DUMMYFUNCTION("""COMPUTED_VALUE"""),9.0)</f>
        <v>9</v>
      </c>
      <c r="L124" s="10">
        <f>IFERROR(__xludf.DUMMYFUNCTION("""COMPUTED_VALUE"""),0.0)</f>
        <v>0</v>
      </c>
      <c r="M124" s="10">
        <f>IFERROR(__xludf.DUMMYFUNCTION("""COMPUTED_VALUE"""),2.0)</f>
        <v>2</v>
      </c>
      <c r="N124" s="10">
        <f>IFERROR(__xludf.DUMMYFUNCTION("""COMPUTED_VALUE"""),0.0)</f>
        <v>0</v>
      </c>
      <c r="O124" s="10">
        <f>IFERROR(__xludf.DUMMYFUNCTION("""COMPUTED_VALUE"""),7.0)</f>
        <v>7</v>
      </c>
      <c r="P124" s="10">
        <f>IFERROR(__xludf.DUMMYFUNCTION("""COMPUTED_VALUE"""),0.0)</f>
        <v>0</v>
      </c>
      <c r="Q124" s="10" t="str">
        <f>IFERROR(__xludf.DUMMYFUNCTION("""COMPUTED_VALUE"""),"No")</f>
        <v>No</v>
      </c>
      <c r="R124" s="10" t="str">
        <f>IFERROR(__xludf.DUMMYFUNCTION("""COMPUTED_VALUE"""),"No")</f>
        <v>No</v>
      </c>
      <c r="S124" s="10" t="str">
        <f>IFERROR(__xludf.DUMMYFUNCTION("""COMPUTED_VALUE"""),"No")</f>
        <v>No</v>
      </c>
      <c r="T124" s="10">
        <f>IFERROR(__xludf.DUMMYFUNCTION("""COMPUTED_VALUE"""),0.0)</f>
        <v>0</v>
      </c>
      <c r="U124" s="10">
        <f>IFERROR(__xludf.DUMMYFUNCTION("""COMPUTED_VALUE"""),0.0)</f>
        <v>0</v>
      </c>
      <c r="V124" s="10" t="str">
        <f>IFERROR(__xludf.DUMMYFUNCTION("""COMPUTED_VALUE"""),"عورتوں کے حقوق اور ان کی اہمیت")</f>
        <v>عورتوں کے حقوق اور ان کی اہمیت</v>
      </c>
      <c r="W124" s="10" t="str">
        <f>IFERROR(__xludf.DUMMYFUNCTION("""COMPUTED_VALUE"""),"عورتوں کے حقوق کے بارے میں تفصیلی گفتگو کی گئی اور عورت کو ہر روپ میں باعث رحمت قرار دیا")</f>
        <v>عورتوں کے حقوق کے بارے میں تفصیلی گفتگو کی گئی اور عورت کو ہر روپ میں باعث رحمت قرار دیا</v>
      </c>
      <c r="X124" s="10">
        <f>IFERROR(__xludf.DUMMYFUNCTION("""COMPUTED_VALUE"""),1.0)</f>
        <v>1</v>
      </c>
      <c r="Y124" s="10">
        <f>IFERROR(__xludf.DUMMYFUNCTION("""COMPUTED_VALUE"""),0.0)</f>
        <v>0</v>
      </c>
      <c r="Z124" s="10">
        <f>IFERROR(__xludf.DUMMYFUNCTION("""COMPUTED_VALUE"""),0.0)</f>
        <v>0</v>
      </c>
      <c r="AA124" s="10">
        <f>IFERROR(__xludf.DUMMYFUNCTION("""COMPUTED_VALUE"""),6.0)</f>
        <v>6</v>
      </c>
      <c r="AB124" s="10">
        <f>IFERROR(__xludf.DUMMYFUNCTION("""COMPUTED_VALUE"""),0.0)</f>
        <v>0</v>
      </c>
      <c r="AC124" s="10">
        <f>IFERROR(__xludf.DUMMYFUNCTION("""COMPUTED_VALUE"""),0.0)</f>
        <v>0</v>
      </c>
      <c r="AD124" s="10">
        <f>IFERROR(__xludf.DUMMYFUNCTION("""COMPUTED_VALUE"""),0.0)</f>
        <v>0</v>
      </c>
      <c r="AE124" s="10">
        <f>IFERROR(__xludf.DUMMYFUNCTION("""COMPUTED_VALUE"""),0.0)</f>
        <v>0</v>
      </c>
      <c r="AF124" s="10">
        <f>IFERROR(__xludf.DUMMYFUNCTION("""COMPUTED_VALUE"""),8.0)</f>
        <v>8</v>
      </c>
      <c r="AG124" s="10">
        <f>IFERROR(__xludf.DUMMYFUNCTION("""COMPUTED_VALUE"""),8.0)</f>
        <v>8</v>
      </c>
      <c r="AH124" s="10">
        <f>IFERROR(__xludf.DUMMYFUNCTION("""COMPUTED_VALUE"""),0.0)</f>
        <v>0</v>
      </c>
      <c r="AI124" s="10">
        <f>IFERROR(__xludf.DUMMYFUNCTION("""COMPUTED_VALUE"""),7.0)</f>
        <v>7</v>
      </c>
      <c r="AJ124" s="11" t="str">
        <f>IFERROR(__xludf.DUMMYFUNCTION("""COMPUTED_VALUE"""),"https://drive.google.com/open?id=1tJi5qntb5jqbIFqMp7SCpHoi5uXuPWBc")</f>
        <v>https://drive.google.com/open?id=1tJi5qntb5jqbIFqMp7SCpHoi5uXuPWBc</v>
      </c>
      <c r="AK124" s="12" t="str">
        <f>IFERROR(__xludf.DUMMYFUNCTION("""COMPUTED_VALUE"""),"no")</f>
        <v>no</v>
      </c>
      <c r="AL124" s="12" t="str">
        <f>IFERROR(__xludf.DUMMYFUNCTION("""COMPUTED_VALUE"""),"Yes")</f>
        <v>Yes</v>
      </c>
      <c r="AM124" s="15">
        <f>IFERROR(__xludf.DUMMYFUNCTION("""COMPUTED_VALUE"""),0.9)</f>
        <v>0.9</v>
      </c>
      <c r="AN124" s="12"/>
      <c r="AO124" s="13">
        <v>2.0</v>
      </c>
      <c r="AX124" s="13">
        <v>2.0</v>
      </c>
    </row>
    <row r="125">
      <c r="A125" s="8">
        <v>124.0</v>
      </c>
      <c r="B125" s="9">
        <f>IFERROR(__xludf.DUMMYFUNCTION("""COMPUTED_VALUE"""),45774.08361644676)</f>
        <v>45774.08362</v>
      </c>
      <c r="C125" s="10" t="str">
        <f>IFERROR(__xludf.DUMMYFUNCTION("""COMPUTED_VALUE"""),"Asma Gul ")</f>
        <v>Asma Gul </v>
      </c>
      <c r="D125" s="10" t="str">
        <f>IFERROR(__xludf.DUMMYFUNCTION("""COMPUTED_VALUE"""),"03459308620")</f>
        <v>03459308620</v>
      </c>
      <c r="E125" s="10" t="str">
        <f>IFERROR(__xludf.DUMMYFUNCTION("""COMPUTED_VALUE"""),"Jamia Masjid Bilal Mesri Shah Lahore")</f>
        <v>Jamia Masjid Bilal Mesri Shah Lahore</v>
      </c>
      <c r="F125" s="10" t="str">
        <f>IFERROR(__xludf.DUMMYFUNCTION("""COMPUTED_VALUE"""),"avbgy")</f>
        <v>avbgy</v>
      </c>
      <c r="G125" s="10" t="str">
        <f>IFERROR(__xludf.DUMMYFUNCTION("""COMPUTED_VALUE"""),"Yes")</f>
        <v>Yes</v>
      </c>
      <c r="H125" s="10">
        <f>IFERROR(__xludf.DUMMYFUNCTION("""COMPUTED_VALUE"""),6.0)</f>
        <v>6</v>
      </c>
      <c r="I125" s="10">
        <f>IFERROR(__xludf.DUMMYFUNCTION("""COMPUTED_VALUE"""),8.0)</f>
        <v>8</v>
      </c>
      <c r="J125" s="10">
        <f>IFERROR(__xludf.DUMMYFUNCTION("""COMPUTED_VALUE"""),5.0)</f>
        <v>5</v>
      </c>
      <c r="K125" s="10">
        <f>IFERROR(__xludf.DUMMYFUNCTION("""COMPUTED_VALUE"""),6.0)</f>
        <v>6</v>
      </c>
      <c r="L125" s="10">
        <f>IFERROR(__xludf.DUMMYFUNCTION("""COMPUTED_VALUE"""),5.0)</f>
        <v>5</v>
      </c>
      <c r="M125" s="10">
        <f>IFERROR(__xludf.DUMMYFUNCTION("""COMPUTED_VALUE"""),3.0)</f>
        <v>3</v>
      </c>
      <c r="N125" s="10">
        <f>IFERROR(__xludf.DUMMYFUNCTION("""COMPUTED_VALUE"""),3.0)</f>
        <v>3</v>
      </c>
      <c r="O125" s="10">
        <f>IFERROR(__xludf.DUMMYFUNCTION("""COMPUTED_VALUE"""),2.0)</f>
        <v>2</v>
      </c>
      <c r="P125" s="10">
        <f>IFERROR(__xludf.DUMMYFUNCTION("""COMPUTED_VALUE"""),1.0)</f>
        <v>1</v>
      </c>
      <c r="Q125" s="10" t="str">
        <f>IFERROR(__xludf.DUMMYFUNCTION("""COMPUTED_VALUE"""),"No")</f>
        <v>No</v>
      </c>
      <c r="R125" s="10" t="str">
        <f>IFERROR(__xludf.DUMMYFUNCTION("""COMPUTED_VALUE"""),"No")</f>
        <v>No</v>
      </c>
      <c r="S125" s="10" t="str">
        <f>IFERROR(__xludf.DUMMYFUNCTION("""COMPUTED_VALUE"""),"No")</f>
        <v>No</v>
      </c>
      <c r="T125" s="10">
        <f>IFERROR(__xludf.DUMMYFUNCTION("""COMPUTED_VALUE"""),2.0)</f>
        <v>2</v>
      </c>
      <c r="U125" s="10">
        <f>IFERROR(__xludf.DUMMYFUNCTION("""COMPUTED_VALUE"""),1.0)</f>
        <v>1</v>
      </c>
      <c r="V125" s="10" t="str">
        <f>IFERROR(__xludf.DUMMYFUNCTION("""COMPUTED_VALUE"""),"دوستی کا اثر")</f>
        <v>دوستی کا اثر</v>
      </c>
      <c r="W125" s="10" t="str">
        <f>IFERROR(__xludf.DUMMYFUNCTION("""COMPUTED_VALUE"""),"دوستی نیک لوگوں سے رکھنی چاہیے ۔ حضرت ابوبکر صدیق حضرت عثمان حضرت جیسی دوستی رکھنی چاہیے دنیا کی مال و دولت کی حرص نہیں رکھنی چاہیے جو چیز مل جائے اس پر ایک دفع کا لینا چاہیے قیامت والے دن اللہ تعالی کے قریب وہی شخص ہوگا جو اللہ تعالی کی اطاعت کرے گا اور "&amp;"دوسروں کے ساتھ اچھا سلوک کرے گا۔")</f>
        <v>دوستی نیک لوگوں سے رکھنی چاہیے ۔ حضرت ابوبکر صدیق حضرت عثمان حضرت جیسی دوستی رکھنی چاہیے دنیا کی مال و دولت کی حرص نہیں رکھنی چاہیے جو چیز مل جائے اس پر ایک دفع کا لینا چاہیے قیامت والے دن اللہ تعالی کے قریب وہی شخص ہوگا جو اللہ تعالی کی اطاعت کرے گا اور دوسروں کے ساتھ اچھا سلوک کرے گا۔</v>
      </c>
      <c r="X125" s="10">
        <f>IFERROR(__xludf.DUMMYFUNCTION("""COMPUTED_VALUE"""),9.0)</f>
        <v>9</v>
      </c>
      <c r="Y125" s="10">
        <f>IFERROR(__xludf.DUMMYFUNCTION("""COMPUTED_VALUE"""),8.0)</f>
        <v>8</v>
      </c>
      <c r="Z125" s="10">
        <f>IFERROR(__xludf.DUMMYFUNCTION("""COMPUTED_VALUE"""),8.0)</f>
        <v>8</v>
      </c>
      <c r="AA125" s="10">
        <f>IFERROR(__xludf.DUMMYFUNCTION("""COMPUTED_VALUE"""),10.0)</f>
        <v>10</v>
      </c>
      <c r="AB125" s="10">
        <f>IFERROR(__xludf.DUMMYFUNCTION("""COMPUTED_VALUE"""),10.0)</f>
        <v>10</v>
      </c>
      <c r="AC125" s="10">
        <f>IFERROR(__xludf.DUMMYFUNCTION("""COMPUTED_VALUE"""),8.0)</f>
        <v>8</v>
      </c>
      <c r="AD125" s="10">
        <f>IFERROR(__xludf.DUMMYFUNCTION("""COMPUTED_VALUE"""),8.0)</f>
        <v>8</v>
      </c>
      <c r="AE125" s="10">
        <f>IFERROR(__xludf.DUMMYFUNCTION("""COMPUTED_VALUE"""),10.0)</f>
        <v>10</v>
      </c>
      <c r="AF125" s="10">
        <f>IFERROR(__xludf.DUMMYFUNCTION("""COMPUTED_VALUE"""),5.0)</f>
        <v>5</v>
      </c>
      <c r="AG125" s="10">
        <f>IFERROR(__xludf.DUMMYFUNCTION("""COMPUTED_VALUE"""),10.0)</f>
        <v>10</v>
      </c>
      <c r="AH125" s="10">
        <f>IFERROR(__xludf.DUMMYFUNCTION("""COMPUTED_VALUE"""),3.0)</f>
        <v>3</v>
      </c>
      <c r="AI125" s="10">
        <f>IFERROR(__xludf.DUMMYFUNCTION("""COMPUTED_VALUE"""),8.0)</f>
        <v>8</v>
      </c>
      <c r="AJ125" s="11" t="str">
        <f>IFERROR(__xludf.DUMMYFUNCTION("""COMPUTED_VALUE"""),"https://drive.google.com/open?id=1sncYxqQEqDaNZyd6kbB4hrAUCzVJrsa7")</f>
        <v>https://drive.google.com/open?id=1sncYxqQEqDaNZyd6kbB4hrAUCzVJrsa7</v>
      </c>
      <c r="AK125" s="12" t="str">
        <f>IFERROR(__xludf.DUMMYFUNCTION("""COMPUTED_VALUE"""),"نہیں ۔")</f>
        <v>نہیں ۔</v>
      </c>
      <c r="AL125" s="12" t="str">
        <f>IFERROR(__xludf.DUMMYFUNCTION("""COMPUTED_VALUE"""),"Yes")</f>
        <v>Yes</v>
      </c>
      <c r="AM125" s="15">
        <f>IFERROR(__xludf.DUMMYFUNCTION("""COMPUTED_VALUE"""),0.6)</f>
        <v>0.6</v>
      </c>
      <c r="AN125" s="12" t="str">
        <f>IFERROR(__xludf.DUMMYFUNCTION("""COMPUTED_VALUE"""),"3rd week")</f>
        <v>3rd week</v>
      </c>
      <c r="AO125" s="13">
        <v>3.0</v>
      </c>
      <c r="AX125" s="13">
        <v>3.0</v>
      </c>
    </row>
    <row r="126">
      <c r="A126" s="8">
        <v>125.0</v>
      </c>
      <c r="B126" s="9">
        <f>IFERROR(__xludf.DUMMYFUNCTION("""COMPUTED_VALUE"""),45774.13229041667)</f>
        <v>45774.13229</v>
      </c>
      <c r="C126" s="10" t="str">
        <f>IFERROR(__xludf.DUMMYFUNCTION("""COMPUTED_VALUE"""),"Asma Gul ")</f>
        <v>Asma Gul </v>
      </c>
      <c r="D126" s="10" t="str">
        <f>IFERROR(__xludf.DUMMYFUNCTION("""COMPUTED_VALUE"""),"03459308620")</f>
        <v>03459308620</v>
      </c>
      <c r="E126" s="10" t="str">
        <f>IFERROR(__xludf.DUMMYFUNCTION("""COMPUTED_VALUE"""),"Jamia Masjid Aali Noah Coat Lahore")</f>
        <v>Jamia Masjid Aali Noah Coat Lahore</v>
      </c>
      <c r="F126" s="10" t="str">
        <f>IFERROR(__xludf.DUMMYFUNCTION("""COMPUTED_VALUE"""),"pwwfr")</f>
        <v>pwwfr</v>
      </c>
      <c r="G126" s="10" t="str">
        <f>IFERROR(__xludf.DUMMYFUNCTION("""COMPUTED_VALUE"""),"Yes")</f>
        <v>Yes</v>
      </c>
      <c r="H126" s="10">
        <f>IFERROR(__xludf.DUMMYFUNCTION("""COMPUTED_VALUE"""),10.0)</f>
        <v>10</v>
      </c>
      <c r="I126" s="10">
        <f>IFERROR(__xludf.DUMMYFUNCTION("""COMPUTED_VALUE"""),9.0)</f>
        <v>9</v>
      </c>
      <c r="J126" s="10">
        <f>IFERROR(__xludf.DUMMYFUNCTION("""COMPUTED_VALUE"""),10.0)</f>
        <v>10</v>
      </c>
      <c r="K126" s="10">
        <f>IFERROR(__xludf.DUMMYFUNCTION("""COMPUTED_VALUE"""),10.0)</f>
        <v>10</v>
      </c>
      <c r="L126" s="10">
        <f>IFERROR(__xludf.DUMMYFUNCTION("""COMPUTED_VALUE"""),10.0)</f>
        <v>10</v>
      </c>
      <c r="M126" s="10">
        <f>IFERROR(__xludf.DUMMYFUNCTION("""COMPUTED_VALUE"""),10.0)</f>
        <v>10</v>
      </c>
      <c r="N126" s="10">
        <f>IFERROR(__xludf.DUMMYFUNCTION("""COMPUTED_VALUE"""),10.0)</f>
        <v>10</v>
      </c>
      <c r="O126" s="10">
        <f>IFERROR(__xludf.DUMMYFUNCTION("""COMPUTED_VALUE"""),7.0)</f>
        <v>7</v>
      </c>
      <c r="P126" s="10">
        <f>IFERROR(__xludf.DUMMYFUNCTION("""COMPUTED_VALUE"""),7.0)</f>
        <v>7</v>
      </c>
      <c r="Q126" s="10" t="str">
        <f>IFERROR(__xludf.DUMMYFUNCTION("""COMPUTED_VALUE"""),"No")</f>
        <v>No</v>
      </c>
      <c r="R126" s="10" t="str">
        <f>IFERROR(__xludf.DUMMYFUNCTION("""COMPUTED_VALUE"""),"No")</f>
        <v>No</v>
      </c>
      <c r="S126" s="10" t="str">
        <f>IFERROR(__xludf.DUMMYFUNCTION("""COMPUTED_VALUE"""),"No")</f>
        <v>No</v>
      </c>
      <c r="T126" s="10">
        <f>IFERROR(__xludf.DUMMYFUNCTION("""COMPUTED_VALUE"""),1.0)</f>
        <v>1</v>
      </c>
      <c r="U126" s="10">
        <f>IFERROR(__xludf.DUMMYFUNCTION("""COMPUTED_VALUE"""),1.0)</f>
        <v>1</v>
      </c>
      <c r="V126" s="10" t="str">
        <f>IFERROR(__xludf.DUMMYFUNCTION("""COMPUTED_VALUE"""),"پڑوسیوں کے حقوق")</f>
        <v>پڑوسیوں کے حقوق</v>
      </c>
      <c r="W126" s="10" t="str">
        <f>IFERROR(__xludf.DUMMYFUNCTION("""COMPUTED_VALUE"""),"پڑوسی کے ساتھ اچھے سلوک کرنا چاہیے ان کی مرداری کا نیچے ان کی مشکل میں مدد کرنی چاہیے اور امت مسلمہ کو اکٹھا ہونا چاہیے")</f>
        <v>پڑوسی کے ساتھ اچھے سلوک کرنا چاہیے ان کی مرداری کا نیچے ان کی مشکل میں مدد کرنی چاہیے اور امت مسلمہ کو اکٹھا ہونا چاہیے</v>
      </c>
      <c r="X126" s="10">
        <f>IFERROR(__xludf.DUMMYFUNCTION("""COMPUTED_VALUE"""),7.0)</f>
        <v>7</v>
      </c>
      <c r="Y126" s="10">
        <f>IFERROR(__xludf.DUMMYFUNCTION("""COMPUTED_VALUE"""),8.0)</f>
        <v>8</v>
      </c>
      <c r="Z126" s="10">
        <f>IFERROR(__xludf.DUMMYFUNCTION("""COMPUTED_VALUE"""),10.0)</f>
        <v>10</v>
      </c>
      <c r="AA126" s="10">
        <f>IFERROR(__xludf.DUMMYFUNCTION("""COMPUTED_VALUE"""),9.0)</f>
        <v>9</v>
      </c>
      <c r="AB126" s="10">
        <f>IFERROR(__xludf.DUMMYFUNCTION("""COMPUTED_VALUE"""),10.0)</f>
        <v>10</v>
      </c>
      <c r="AC126" s="10">
        <f>IFERROR(__xludf.DUMMYFUNCTION("""COMPUTED_VALUE"""),6.0)</f>
        <v>6</v>
      </c>
      <c r="AD126" s="10">
        <f>IFERROR(__xludf.DUMMYFUNCTION("""COMPUTED_VALUE"""),10.0)</f>
        <v>10</v>
      </c>
      <c r="AE126" s="10">
        <f>IFERROR(__xludf.DUMMYFUNCTION("""COMPUTED_VALUE"""),10.0)</f>
        <v>10</v>
      </c>
      <c r="AF126" s="10">
        <f>IFERROR(__xludf.DUMMYFUNCTION("""COMPUTED_VALUE"""),5.0)</f>
        <v>5</v>
      </c>
      <c r="AG126" s="10">
        <f>IFERROR(__xludf.DUMMYFUNCTION("""COMPUTED_VALUE"""),6.0)</f>
        <v>6</v>
      </c>
      <c r="AH126" s="10">
        <f>IFERROR(__xludf.DUMMYFUNCTION("""COMPUTED_VALUE"""),6.0)</f>
        <v>6</v>
      </c>
      <c r="AI126" s="10">
        <f>IFERROR(__xludf.DUMMYFUNCTION("""COMPUTED_VALUE"""),10.0)</f>
        <v>10</v>
      </c>
      <c r="AJ126" s="11" t="str">
        <f>IFERROR(__xludf.DUMMYFUNCTION("""COMPUTED_VALUE"""),"https://drive.google.com/open?id=1m74eOyMQEFHVtHZRUajDIOX_6_0uujwN")</f>
        <v>https://drive.google.com/open?id=1m74eOyMQEFHVtHZRUajDIOX_6_0uujwN</v>
      </c>
      <c r="AK126" s="12" t="str">
        <f>IFERROR(__xludf.DUMMYFUNCTION("""COMPUTED_VALUE"""),"Nhe")</f>
        <v>Nhe</v>
      </c>
      <c r="AL126" s="12" t="str">
        <f>IFERROR(__xludf.DUMMYFUNCTION("""COMPUTED_VALUE"""),"Yes")</f>
        <v>Yes</v>
      </c>
      <c r="AM126" s="15">
        <f>IFERROR(__xludf.DUMMYFUNCTION("""COMPUTED_VALUE"""),1.0)</f>
        <v>1</v>
      </c>
      <c r="AN126" s="12"/>
      <c r="AO126" s="13" t="s">
        <v>9</v>
      </c>
      <c r="AX126" s="13"/>
    </row>
    <row r="127">
      <c r="A127" s="8">
        <v>126.0</v>
      </c>
      <c r="B127" s="9">
        <f>IFERROR(__xludf.DUMMYFUNCTION("""COMPUTED_VALUE"""),45774.18547399306)</f>
        <v>45774.18547</v>
      </c>
      <c r="C127" s="10" t="str">
        <f>IFERROR(__xludf.DUMMYFUNCTION("""COMPUTED_VALUE"""),"Asma Gul ")</f>
        <v>Asma Gul </v>
      </c>
      <c r="D127" s="10" t="str">
        <f>IFERROR(__xludf.DUMMYFUNCTION("""COMPUTED_VALUE"""),"03459308620")</f>
        <v>03459308620</v>
      </c>
      <c r="E127" s="10" t="str">
        <f>IFERROR(__xludf.DUMMYFUNCTION("""COMPUTED_VALUE"""),"Jamia Masjid Takiya Sain Sardaara Lahore")</f>
        <v>Jamia Masjid Takiya Sain Sardaara Lahore</v>
      </c>
      <c r="F127" s="10" t="str">
        <f>IFERROR(__xludf.DUMMYFUNCTION("""COMPUTED_VALUE"""),"vtoiy")</f>
        <v>vtoiy</v>
      </c>
      <c r="G127" s="10" t="str">
        <f>IFERROR(__xludf.DUMMYFUNCTION("""COMPUTED_VALUE"""),"Yes")</f>
        <v>Yes</v>
      </c>
      <c r="H127" s="10">
        <f>IFERROR(__xludf.DUMMYFUNCTION("""COMPUTED_VALUE"""),6.0)</f>
        <v>6</v>
      </c>
      <c r="I127" s="10">
        <f>IFERROR(__xludf.DUMMYFUNCTION("""COMPUTED_VALUE"""),9.0)</f>
        <v>9</v>
      </c>
      <c r="J127" s="10">
        <f>IFERROR(__xludf.DUMMYFUNCTION("""COMPUTED_VALUE"""),8.0)</f>
        <v>8</v>
      </c>
      <c r="K127" s="10">
        <f>IFERROR(__xludf.DUMMYFUNCTION("""COMPUTED_VALUE"""),4.0)</f>
        <v>4</v>
      </c>
      <c r="L127" s="10">
        <f>IFERROR(__xludf.DUMMYFUNCTION("""COMPUTED_VALUE"""),4.0)</f>
        <v>4</v>
      </c>
      <c r="M127" s="10">
        <f>IFERROR(__xludf.DUMMYFUNCTION("""COMPUTED_VALUE"""),2.0)</f>
        <v>2</v>
      </c>
      <c r="N127" s="10">
        <f>IFERROR(__xludf.DUMMYFUNCTION("""COMPUTED_VALUE"""),6.0)</f>
        <v>6</v>
      </c>
      <c r="O127" s="10">
        <f>IFERROR(__xludf.DUMMYFUNCTION("""COMPUTED_VALUE"""),0.0)</f>
        <v>0</v>
      </c>
      <c r="P127" s="10">
        <f>IFERROR(__xludf.DUMMYFUNCTION("""COMPUTED_VALUE"""),0.0)</f>
        <v>0</v>
      </c>
      <c r="Q127" s="10" t="str">
        <f>IFERROR(__xludf.DUMMYFUNCTION("""COMPUTED_VALUE"""),"No")</f>
        <v>No</v>
      </c>
      <c r="R127" s="10" t="str">
        <f>IFERROR(__xludf.DUMMYFUNCTION("""COMPUTED_VALUE"""),"No")</f>
        <v>No</v>
      </c>
      <c r="S127" s="10" t="str">
        <f>IFERROR(__xludf.DUMMYFUNCTION("""COMPUTED_VALUE"""),"No")</f>
        <v>No</v>
      </c>
      <c r="T127" s="10">
        <f>IFERROR(__xludf.DUMMYFUNCTION("""COMPUTED_VALUE"""),0.0)</f>
        <v>0</v>
      </c>
      <c r="U127" s="10">
        <f>IFERROR(__xludf.DUMMYFUNCTION("""COMPUTED_VALUE"""),0.0)</f>
        <v>0</v>
      </c>
      <c r="V127" s="10" t="str">
        <f>IFERROR(__xludf.DUMMYFUNCTION("""COMPUTED_VALUE"""),"عشق رسول صلی اللہ علیہ وسلم کی پیروی ")</f>
        <v>عشق رسول صلی اللہ علیہ وسلم کی پیروی </v>
      </c>
      <c r="W127" s="10" t="str">
        <f>IFERROR(__xludf.DUMMYFUNCTION("""COMPUTED_VALUE"""),"مل جل کر رہے اپس میں تفرقے میں نہ پڑھیں اور سپہ سالار کے نام مثبت پیغامات دیے")</f>
        <v>مل جل کر رہے اپس میں تفرقے میں نہ پڑھیں اور سپہ سالار کے نام مثبت پیغامات دیے</v>
      </c>
      <c r="X127" s="10">
        <f>IFERROR(__xludf.DUMMYFUNCTION("""COMPUTED_VALUE"""),8.0)</f>
        <v>8</v>
      </c>
      <c r="Y127" s="10">
        <f>IFERROR(__xludf.DUMMYFUNCTION("""COMPUTED_VALUE"""),8.0)</f>
        <v>8</v>
      </c>
      <c r="Z127" s="10">
        <f>IFERROR(__xludf.DUMMYFUNCTION("""COMPUTED_VALUE"""),6.0)</f>
        <v>6</v>
      </c>
      <c r="AA127" s="10">
        <f>IFERROR(__xludf.DUMMYFUNCTION("""COMPUTED_VALUE"""),7.0)</f>
        <v>7</v>
      </c>
      <c r="AB127" s="10">
        <f>IFERROR(__xludf.DUMMYFUNCTION("""COMPUTED_VALUE"""),8.0)</f>
        <v>8</v>
      </c>
      <c r="AC127" s="10">
        <f>IFERROR(__xludf.DUMMYFUNCTION("""COMPUTED_VALUE"""),10.0)</f>
        <v>10</v>
      </c>
      <c r="AD127" s="10">
        <f>IFERROR(__xludf.DUMMYFUNCTION("""COMPUTED_VALUE"""),9.0)</f>
        <v>9</v>
      </c>
      <c r="AE127" s="10">
        <f>IFERROR(__xludf.DUMMYFUNCTION("""COMPUTED_VALUE"""),6.0)</f>
        <v>6</v>
      </c>
      <c r="AF127" s="10">
        <f>IFERROR(__xludf.DUMMYFUNCTION("""COMPUTED_VALUE"""),3.0)</f>
        <v>3</v>
      </c>
      <c r="AG127" s="10">
        <f>IFERROR(__xludf.DUMMYFUNCTION("""COMPUTED_VALUE"""),7.0)</f>
        <v>7</v>
      </c>
      <c r="AH127" s="10">
        <f>IFERROR(__xludf.DUMMYFUNCTION("""COMPUTED_VALUE"""),5.0)</f>
        <v>5</v>
      </c>
      <c r="AI127" s="10">
        <f>IFERROR(__xludf.DUMMYFUNCTION("""COMPUTED_VALUE"""),6.0)</f>
        <v>6</v>
      </c>
      <c r="AJ127" s="11" t="str">
        <f>IFERROR(__xludf.DUMMYFUNCTION("""COMPUTED_VALUE"""),"https://drive.google.com/open?id=1fHd8ESr_GA0708aRHwMPS0KgnmRP0c4g")</f>
        <v>https://drive.google.com/open?id=1fHd8ESr_GA0708aRHwMPS0KgnmRP0c4g</v>
      </c>
      <c r="AK127" s="12" t="str">
        <f>IFERROR(__xludf.DUMMYFUNCTION("""COMPUTED_VALUE"""),"نہیں ")</f>
        <v>نہیں </v>
      </c>
      <c r="AL127" s="12" t="str">
        <f>IFERROR(__xludf.DUMMYFUNCTION("""COMPUTED_VALUE"""),"Yes")</f>
        <v>Yes</v>
      </c>
      <c r="AM127" s="15">
        <f>IFERROR(__xludf.DUMMYFUNCTION("""COMPUTED_VALUE"""),0.6)</f>
        <v>0.6</v>
      </c>
      <c r="AN127" s="12" t="str">
        <f>IFERROR(__xludf.DUMMYFUNCTION("""COMPUTED_VALUE"""),"3rd week")</f>
        <v>3rd week</v>
      </c>
      <c r="AO127" s="13">
        <v>3.0</v>
      </c>
      <c r="AX127" s="13">
        <v>3.0</v>
      </c>
    </row>
    <row r="128">
      <c r="A128" s="8">
        <v>127.0</v>
      </c>
      <c r="B128" s="9">
        <f>IFERROR(__xludf.DUMMYFUNCTION("""COMPUTED_VALUE"""),45774.213466967594)</f>
        <v>45774.21347</v>
      </c>
      <c r="C128" s="10" t="str">
        <f>IFERROR(__xludf.DUMMYFUNCTION("""COMPUTED_VALUE"""),"Maham Amjad ")</f>
        <v>Maham Amjad </v>
      </c>
      <c r="D128" s="10" t="str">
        <f>IFERROR(__xludf.DUMMYFUNCTION("""COMPUTED_VALUE"""),"03218118680")</f>
        <v>03218118680</v>
      </c>
      <c r="E128" s="10" t="str">
        <f>IFERROR(__xludf.DUMMYFUNCTION("""COMPUTED_VALUE"""),"sermon 1 Jamia Masjid Noor Emaan wali Kashmir bazaar Lahore ")</f>
        <v>sermon 1 Jamia Masjid Noor Emaan wali Kashmir bazaar Lahore </v>
      </c>
      <c r="F128" s="10" t="str">
        <f>IFERROR(__xludf.DUMMYFUNCTION("""COMPUTED_VALUE"""),"tnjaz")</f>
        <v>tnjaz</v>
      </c>
      <c r="G128" s="10" t="str">
        <f>IFERROR(__xludf.DUMMYFUNCTION("""COMPUTED_VALUE"""),"Yes")</f>
        <v>Yes</v>
      </c>
      <c r="H128" s="10">
        <f>IFERROR(__xludf.DUMMYFUNCTION("""COMPUTED_VALUE"""),2.0)</f>
        <v>2</v>
      </c>
      <c r="I128" s="10">
        <f>IFERROR(__xludf.DUMMYFUNCTION("""COMPUTED_VALUE"""),8.0)</f>
        <v>8</v>
      </c>
      <c r="J128" s="10">
        <f>IFERROR(__xludf.DUMMYFUNCTION("""COMPUTED_VALUE"""),2.0)</f>
        <v>2</v>
      </c>
      <c r="K128" s="10">
        <f>IFERROR(__xludf.DUMMYFUNCTION("""COMPUTED_VALUE"""),0.0)</f>
        <v>0</v>
      </c>
      <c r="L128" s="10">
        <f>IFERROR(__xludf.DUMMYFUNCTION("""COMPUTED_VALUE"""),2.0)</f>
        <v>2</v>
      </c>
      <c r="M128" s="10">
        <f>IFERROR(__xludf.DUMMYFUNCTION("""COMPUTED_VALUE"""),0.0)</f>
        <v>0</v>
      </c>
      <c r="N128" s="10">
        <f>IFERROR(__xludf.DUMMYFUNCTION("""COMPUTED_VALUE"""),0.0)</f>
        <v>0</v>
      </c>
      <c r="O128" s="10">
        <f>IFERROR(__xludf.DUMMYFUNCTION("""COMPUTED_VALUE"""),0.0)</f>
        <v>0</v>
      </c>
      <c r="P128" s="10">
        <f>IFERROR(__xludf.DUMMYFUNCTION("""COMPUTED_VALUE"""),3.0)</f>
        <v>3</v>
      </c>
      <c r="Q128" s="10" t="str">
        <f>IFERROR(__xludf.DUMMYFUNCTION("""COMPUTED_VALUE"""),"No")</f>
        <v>No</v>
      </c>
      <c r="R128" s="10" t="str">
        <f>IFERROR(__xludf.DUMMYFUNCTION("""COMPUTED_VALUE"""),"No")</f>
        <v>No</v>
      </c>
      <c r="S128" s="10" t="str">
        <f>IFERROR(__xludf.DUMMYFUNCTION("""COMPUTED_VALUE"""),"No")</f>
        <v>No</v>
      </c>
      <c r="T128" s="10">
        <f>IFERROR(__xludf.DUMMYFUNCTION("""COMPUTED_VALUE"""),0.0)</f>
        <v>0</v>
      </c>
      <c r="U128" s="10">
        <f>IFERROR(__xludf.DUMMYFUNCTION("""COMPUTED_VALUE"""),0.0)</f>
        <v>0</v>
      </c>
      <c r="V128" s="10" t="str">
        <f>IFERROR(__xludf.DUMMYFUNCTION("""COMPUTED_VALUE"""),"درود و سلام کی اہمیت اور فلسطین میں ہونے والے وہ ظالم کے خلاف جہاد")</f>
        <v>درود و سلام کی اہمیت اور فلسطین میں ہونے والے وہ ظالم کے خلاف جہاد</v>
      </c>
      <c r="W128" s="10" t="str">
        <f>IFERROR(__xludf.DUMMYFUNCTION("""COMPUTED_VALUE"""),"درود و سلام کی اہمیت اور فضیلت بیان کی قران مجید کی روشنی میں اور فلسطین میں ہونے والے ظلم مسلمان بہن بھائیوں کی خاطر جہاد کی ترغیب کی")</f>
        <v>درود و سلام کی اہمیت اور فضیلت بیان کی قران مجید کی روشنی میں اور فلسطین میں ہونے والے ظلم مسلمان بہن بھائیوں کی خاطر جہاد کی ترغیب کی</v>
      </c>
      <c r="X128" s="10">
        <f>IFERROR(__xludf.DUMMYFUNCTION("""COMPUTED_VALUE"""),4.0)</f>
        <v>4</v>
      </c>
      <c r="Y128" s="10">
        <f>IFERROR(__xludf.DUMMYFUNCTION("""COMPUTED_VALUE"""),3.0)</f>
        <v>3</v>
      </c>
      <c r="Z128" s="10">
        <f>IFERROR(__xludf.DUMMYFUNCTION("""COMPUTED_VALUE"""),0.0)</f>
        <v>0</v>
      </c>
      <c r="AA128" s="10">
        <f>IFERROR(__xludf.DUMMYFUNCTION("""COMPUTED_VALUE"""),7.0)</f>
        <v>7</v>
      </c>
      <c r="AB128" s="10">
        <f>IFERROR(__xludf.DUMMYFUNCTION("""COMPUTED_VALUE"""),7.0)</f>
        <v>7</v>
      </c>
      <c r="AC128" s="10">
        <f>IFERROR(__xludf.DUMMYFUNCTION("""COMPUTED_VALUE"""),0.0)</f>
        <v>0</v>
      </c>
      <c r="AD128" s="10">
        <f>IFERROR(__xludf.DUMMYFUNCTION("""COMPUTED_VALUE"""),0.0)</f>
        <v>0</v>
      </c>
      <c r="AE128" s="10">
        <f>IFERROR(__xludf.DUMMYFUNCTION("""COMPUTED_VALUE"""),2.0)</f>
        <v>2</v>
      </c>
      <c r="AF128" s="10">
        <f>IFERROR(__xludf.DUMMYFUNCTION("""COMPUTED_VALUE"""),8.0)</f>
        <v>8</v>
      </c>
      <c r="AG128" s="10">
        <f>IFERROR(__xludf.DUMMYFUNCTION("""COMPUTED_VALUE"""),7.0)</f>
        <v>7</v>
      </c>
      <c r="AH128" s="10">
        <f>IFERROR(__xludf.DUMMYFUNCTION("""COMPUTED_VALUE"""),0.0)</f>
        <v>0</v>
      </c>
      <c r="AI128" s="10">
        <f>IFERROR(__xludf.DUMMYFUNCTION("""COMPUTED_VALUE"""),7.0)</f>
        <v>7</v>
      </c>
      <c r="AJ128" s="11" t="str">
        <f>IFERROR(__xludf.DUMMYFUNCTION("""COMPUTED_VALUE"""),"https://drive.google.com/open?id=1sriZAgkpS-Jo825Fu2WUIT37wXpGhBsY")</f>
        <v>https://drive.google.com/open?id=1sriZAgkpS-Jo825Fu2WUIT37wXpGhBsY</v>
      </c>
      <c r="AK128" s="12" t="str">
        <f>IFERROR(__xludf.DUMMYFUNCTION("""COMPUTED_VALUE"""),"no")</f>
        <v>no</v>
      </c>
      <c r="AL128" s="12" t="str">
        <f>IFERROR(__xludf.DUMMYFUNCTION("""COMPUTED_VALUE"""),"Yes")</f>
        <v>Yes</v>
      </c>
      <c r="AM128" s="15">
        <f>IFERROR(__xludf.DUMMYFUNCTION("""COMPUTED_VALUE"""),0.2)</f>
        <v>0.2</v>
      </c>
      <c r="AN128" s="12" t="str">
        <f>IFERROR(__xludf.DUMMYFUNCTION("""COMPUTED_VALUE"""),"1st week")</f>
        <v>1st week</v>
      </c>
      <c r="AO128" s="13">
        <v>1.0</v>
      </c>
      <c r="AX128" s="13">
        <v>1.0</v>
      </c>
    </row>
    <row r="129">
      <c r="A129" s="8">
        <v>128.0</v>
      </c>
      <c r="B129" s="9">
        <f>IFERROR(__xludf.DUMMYFUNCTION("""COMPUTED_VALUE"""),45774.213944849536)</f>
        <v>45774.21394</v>
      </c>
      <c r="C129" s="10" t="str">
        <f>IFERROR(__xludf.DUMMYFUNCTION("""COMPUTED_VALUE"""),"Asma Gul ")</f>
        <v>Asma Gul </v>
      </c>
      <c r="D129" s="10" t="str">
        <f>IFERROR(__xludf.DUMMYFUNCTION("""COMPUTED_VALUE"""),"03459308620")</f>
        <v>03459308620</v>
      </c>
      <c r="E129" s="10" t="str">
        <f>IFERROR(__xludf.DUMMYFUNCTION("""COMPUTED_VALUE"""),"Jamia Masjid Australia Lahore")</f>
        <v>Jamia Masjid Australia Lahore</v>
      </c>
      <c r="F129" s="10" t="str">
        <f>IFERROR(__xludf.DUMMYFUNCTION("""COMPUTED_VALUE"""),"xdhvt")</f>
        <v>xdhvt</v>
      </c>
      <c r="G129" s="10" t="str">
        <f>IFERROR(__xludf.DUMMYFUNCTION("""COMPUTED_VALUE"""),"Yes")</f>
        <v>Yes</v>
      </c>
      <c r="H129" s="10">
        <f>IFERROR(__xludf.DUMMYFUNCTION("""COMPUTED_VALUE"""),10.0)</f>
        <v>10</v>
      </c>
      <c r="I129" s="10">
        <f>IFERROR(__xludf.DUMMYFUNCTION("""COMPUTED_VALUE"""),5.0)</f>
        <v>5</v>
      </c>
      <c r="J129" s="10">
        <f>IFERROR(__xludf.DUMMYFUNCTION("""COMPUTED_VALUE"""),9.0)</f>
        <v>9</v>
      </c>
      <c r="K129" s="10">
        <f>IFERROR(__xludf.DUMMYFUNCTION("""COMPUTED_VALUE"""),4.0)</f>
        <v>4</v>
      </c>
      <c r="L129" s="10">
        <f>IFERROR(__xludf.DUMMYFUNCTION("""COMPUTED_VALUE"""),8.0)</f>
        <v>8</v>
      </c>
      <c r="M129" s="10">
        <f>IFERROR(__xludf.DUMMYFUNCTION("""COMPUTED_VALUE"""),10.0)</f>
        <v>10</v>
      </c>
      <c r="N129" s="10">
        <f>IFERROR(__xludf.DUMMYFUNCTION("""COMPUTED_VALUE"""),6.0)</f>
        <v>6</v>
      </c>
      <c r="O129" s="10">
        <f>IFERROR(__xludf.DUMMYFUNCTION("""COMPUTED_VALUE"""),5.0)</f>
        <v>5</v>
      </c>
      <c r="P129" s="10">
        <f>IFERROR(__xludf.DUMMYFUNCTION("""COMPUTED_VALUE"""),10.0)</f>
        <v>10</v>
      </c>
      <c r="Q129" s="10" t="str">
        <f>IFERROR(__xludf.DUMMYFUNCTION("""COMPUTED_VALUE"""),"No")</f>
        <v>No</v>
      </c>
      <c r="R129" s="10" t="str">
        <f>IFERROR(__xludf.DUMMYFUNCTION("""COMPUTED_VALUE"""),"Yes")</f>
        <v>Yes</v>
      </c>
      <c r="S129" s="10" t="str">
        <f>IFERROR(__xludf.DUMMYFUNCTION("""COMPUTED_VALUE"""),"No")</f>
        <v>No</v>
      </c>
      <c r="T129" s="10">
        <f>IFERROR(__xludf.DUMMYFUNCTION("""COMPUTED_VALUE"""),8.0)</f>
        <v>8</v>
      </c>
      <c r="U129" s="10">
        <f>IFERROR(__xludf.DUMMYFUNCTION("""COMPUTED_VALUE"""),6.0)</f>
        <v>6</v>
      </c>
      <c r="V129" s="10" t="str">
        <f>IFERROR(__xludf.DUMMYFUNCTION("""COMPUTED_VALUE"""),"پڑوسیوں کے حقوق")</f>
        <v>پڑوسیوں کے حقوق</v>
      </c>
      <c r="W129" s="10" t="str">
        <f>IFERROR(__xludf.DUMMYFUNCTION("""COMPUTED_VALUE"""),"پڑوسی کے ساتھ اچھا سلو کرنا چاہیے ان کی بیماری میں تمارداری کا نیچے مصیبت میں مدد کرنی چاہیے اور خوشی میں خوش ہونا چاہیے")</f>
        <v>پڑوسی کے ساتھ اچھا سلو کرنا چاہیے ان کی بیماری میں تمارداری کا نیچے مصیبت میں مدد کرنی چاہیے اور خوشی میں خوش ہونا چاہیے</v>
      </c>
      <c r="X129" s="10">
        <f>IFERROR(__xludf.DUMMYFUNCTION("""COMPUTED_VALUE"""),6.0)</f>
        <v>6</v>
      </c>
      <c r="Y129" s="10">
        <f>IFERROR(__xludf.DUMMYFUNCTION("""COMPUTED_VALUE"""),9.0)</f>
        <v>9</v>
      </c>
      <c r="Z129" s="10">
        <f>IFERROR(__xludf.DUMMYFUNCTION("""COMPUTED_VALUE"""),8.0)</f>
        <v>8</v>
      </c>
      <c r="AA129" s="10">
        <f>IFERROR(__xludf.DUMMYFUNCTION("""COMPUTED_VALUE"""),9.0)</f>
        <v>9</v>
      </c>
      <c r="AB129" s="10">
        <f>IFERROR(__xludf.DUMMYFUNCTION("""COMPUTED_VALUE"""),7.0)</f>
        <v>7</v>
      </c>
      <c r="AC129" s="10">
        <f>IFERROR(__xludf.DUMMYFUNCTION("""COMPUTED_VALUE"""),8.0)</f>
        <v>8</v>
      </c>
      <c r="AD129" s="10">
        <f>IFERROR(__xludf.DUMMYFUNCTION("""COMPUTED_VALUE"""),6.0)</f>
        <v>6</v>
      </c>
      <c r="AE129" s="10">
        <f>IFERROR(__xludf.DUMMYFUNCTION("""COMPUTED_VALUE"""),5.0)</f>
        <v>5</v>
      </c>
      <c r="AF129" s="10">
        <f>IFERROR(__xludf.DUMMYFUNCTION("""COMPUTED_VALUE"""),6.0)</f>
        <v>6</v>
      </c>
      <c r="AG129" s="10">
        <f>IFERROR(__xludf.DUMMYFUNCTION("""COMPUTED_VALUE"""),7.0)</f>
        <v>7</v>
      </c>
      <c r="AH129" s="10">
        <f>IFERROR(__xludf.DUMMYFUNCTION("""COMPUTED_VALUE"""),4.0)</f>
        <v>4</v>
      </c>
      <c r="AI129" s="10">
        <f>IFERROR(__xludf.DUMMYFUNCTION("""COMPUTED_VALUE"""),7.0)</f>
        <v>7</v>
      </c>
      <c r="AJ129" s="11" t="str">
        <f>IFERROR(__xludf.DUMMYFUNCTION("""COMPUTED_VALUE"""),"https://drive.google.com/open?id=1h-nV5eX6kblc6Cj7L2gUd824gemcpSsW")</f>
        <v>https://drive.google.com/open?id=1h-nV5eX6kblc6Cj7L2gUd824gemcpSsW</v>
      </c>
      <c r="AK129" s="12"/>
      <c r="AL129" s="12" t="str">
        <f>IFERROR(__xludf.DUMMYFUNCTION("""COMPUTED_VALUE"""),"Yes")</f>
        <v>Yes</v>
      </c>
      <c r="AM129" s="15">
        <f>IFERROR(__xludf.DUMMYFUNCTION("""COMPUTED_VALUE"""),1.0)</f>
        <v>1</v>
      </c>
      <c r="AN129" s="12" t="str">
        <f>IFERROR(__xludf.DUMMYFUNCTION("""COMPUTED_VALUE"""),"3rd week")</f>
        <v>3rd week</v>
      </c>
      <c r="AO129" s="13">
        <v>3.0</v>
      </c>
      <c r="AX129" s="13">
        <v>3.0</v>
      </c>
    </row>
    <row r="130">
      <c r="A130" s="8">
        <v>129.0</v>
      </c>
      <c r="B130" s="9">
        <f>IFERROR(__xludf.DUMMYFUNCTION("""COMPUTED_VALUE"""),45774.21763881945)</f>
        <v>45774.21764</v>
      </c>
      <c r="C130" s="10" t="str">
        <f>IFERROR(__xludf.DUMMYFUNCTION("""COMPUTED_VALUE"""),"Maham Amjad ")</f>
        <v>Maham Amjad </v>
      </c>
      <c r="D130" s="10" t="str">
        <f>IFERROR(__xludf.DUMMYFUNCTION("""COMPUTED_VALUE"""),"03218118680")</f>
        <v>03218118680</v>
      </c>
      <c r="E130" s="10" t="str">
        <f>IFERROR(__xludf.DUMMYFUNCTION("""COMPUTED_VALUE"""),"sermon 1 Jamia Masjid Hanfiya peer Hakum shah Lahore ")</f>
        <v>sermon 1 Jamia Masjid Hanfiya peer Hakum shah Lahore </v>
      </c>
      <c r="F130" s="10" t="str">
        <f>IFERROR(__xludf.DUMMYFUNCTION("""COMPUTED_VALUE"""),"hbroz")</f>
        <v>hbroz</v>
      </c>
      <c r="G130" s="10" t="str">
        <f>IFERROR(__xludf.DUMMYFUNCTION("""COMPUTED_VALUE"""),"Yes")</f>
        <v>Yes</v>
      </c>
      <c r="H130" s="10">
        <f>IFERROR(__xludf.DUMMYFUNCTION("""COMPUTED_VALUE"""),0.0)</f>
        <v>0</v>
      </c>
      <c r="I130" s="10">
        <f>IFERROR(__xludf.DUMMYFUNCTION("""COMPUTED_VALUE"""),0.0)</f>
        <v>0</v>
      </c>
      <c r="J130" s="10">
        <f>IFERROR(__xludf.DUMMYFUNCTION("""COMPUTED_VALUE"""),0.0)</f>
        <v>0</v>
      </c>
      <c r="K130" s="10">
        <f>IFERROR(__xludf.DUMMYFUNCTION("""COMPUTED_VALUE"""),0.0)</f>
        <v>0</v>
      </c>
      <c r="L130" s="10">
        <f>IFERROR(__xludf.DUMMYFUNCTION("""COMPUTED_VALUE"""),0.0)</f>
        <v>0</v>
      </c>
      <c r="M130" s="10">
        <f>IFERROR(__xludf.DUMMYFUNCTION("""COMPUTED_VALUE"""),0.0)</f>
        <v>0</v>
      </c>
      <c r="N130" s="10">
        <f>IFERROR(__xludf.DUMMYFUNCTION("""COMPUTED_VALUE"""),0.0)</f>
        <v>0</v>
      </c>
      <c r="O130" s="10">
        <f>IFERROR(__xludf.DUMMYFUNCTION("""COMPUTED_VALUE"""),0.0)</f>
        <v>0</v>
      </c>
      <c r="P130" s="10">
        <f>IFERROR(__xludf.DUMMYFUNCTION("""COMPUTED_VALUE"""),0.0)</f>
        <v>0</v>
      </c>
      <c r="Q130" s="10" t="str">
        <f>IFERROR(__xludf.DUMMYFUNCTION("""COMPUTED_VALUE"""),"No")</f>
        <v>No</v>
      </c>
      <c r="R130" s="10" t="str">
        <f>IFERROR(__xludf.DUMMYFUNCTION("""COMPUTED_VALUE"""),"No")</f>
        <v>No</v>
      </c>
      <c r="S130" s="10" t="str">
        <f>IFERROR(__xludf.DUMMYFUNCTION("""COMPUTED_VALUE"""),"No")</f>
        <v>No</v>
      </c>
      <c r="T130" s="10">
        <f>IFERROR(__xludf.DUMMYFUNCTION("""COMPUTED_VALUE"""),0.0)</f>
        <v>0</v>
      </c>
      <c r="U130" s="10">
        <f>IFERROR(__xludf.DUMMYFUNCTION("""COMPUTED_VALUE"""),0.0)</f>
        <v>0</v>
      </c>
      <c r="V130" s="10" t="str">
        <f>IFERROR(__xludf.DUMMYFUNCTION("""COMPUTED_VALUE"""),"مقدس مقامات کی اہمیت و فضیلت شوال کے مہینے کی اہمیت")</f>
        <v>مقدس مقامات کی اہمیت و فضیلت شوال کے مہینے کی اہمیت</v>
      </c>
      <c r="W130" s="10" t="str">
        <f>IFERROR(__xludf.DUMMYFUNCTION("""COMPUTED_VALUE"""),"اس خطبے میں مقدس مقامات کی اہمیت مدینہ منورہ حجرہ اسود غزوہ احد کے میدان کا ذکر کیا گیا ہے اور شوال کے مہینے کی اہمیت کو بیان کیا گیا ہے")</f>
        <v>اس خطبے میں مقدس مقامات کی اہمیت مدینہ منورہ حجرہ اسود غزوہ احد کے میدان کا ذکر کیا گیا ہے اور شوال کے مہینے کی اہمیت کو بیان کیا گیا ہے</v>
      </c>
      <c r="X130" s="10">
        <f>IFERROR(__xludf.DUMMYFUNCTION("""COMPUTED_VALUE"""),2.0)</f>
        <v>2</v>
      </c>
      <c r="Y130" s="10">
        <f>IFERROR(__xludf.DUMMYFUNCTION("""COMPUTED_VALUE"""),0.0)</f>
        <v>0</v>
      </c>
      <c r="Z130" s="10">
        <f>IFERROR(__xludf.DUMMYFUNCTION("""COMPUTED_VALUE"""),0.0)</f>
        <v>0</v>
      </c>
      <c r="AA130" s="10">
        <f>IFERROR(__xludf.DUMMYFUNCTION("""COMPUTED_VALUE"""),9.0)</f>
        <v>9</v>
      </c>
      <c r="AB130" s="10">
        <f>IFERROR(__xludf.DUMMYFUNCTION("""COMPUTED_VALUE"""),0.0)</f>
        <v>0</v>
      </c>
      <c r="AC130" s="10">
        <f>IFERROR(__xludf.DUMMYFUNCTION("""COMPUTED_VALUE"""),0.0)</f>
        <v>0</v>
      </c>
      <c r="AD130" s="10">
        <f>IFERROR(__xludf.DUMMYFUNCTION("""COMPUTED_VALUE"""),0.0)</f>
        <v>0</v>
      </c>
      <c r="AE130" s="10">
        <f>IFERROR(__xludf.DUMMYFUNCTION("""COMPUTED_VALUE"""),0.0)</f>
        <v>0</v>
      </c>
      <c r="AF130" s="10">
        <f>IFERROR(__xludf.DUMMYFUNCTION("""COMPUTED_VALUE"""),8.0)</f>
        <v>8</v>
      </c>
      <c r="AG130" s="10">
        <f>IFERROR(__xludf.DUMMYFUNCTION("""COMPUTED_VALUE"""),8.0)</f>
        <v>8</v>
      </c>
      <c r="AH130" s="10">
        <f>IFERROR(__xludf.DUMMYFUNCTION("""COMPUTED_VALUE"""),0.0)</f>
        <v>0</v>
      </c>
      <c r="AI130" s="10">
        <f>IFERROR(__xludf.DUMMYFUNCTION("""COMPUTED_VALUE"""),8.0)</f>
        <v>8</v>
      </c>
      <c r="AJ130" s="11" t="str">
        <f>IFERROR(__xludf.DUMMYFUNCTION("""COMPUTED_VALUE"""),"https://drive.google.com/open?id=1GxtipGQZALfZfxUNmp_e1UxX-t8etcqH")</f>
        <v>https://drive.google.com/open?id=1GxtipGQZALfZfxUNmp_e1UxX-t8etcqH</v>
      </c>
      <c r="AK130" s="12" t="str">
        <f>IFERROR(__xludf.DUMMYFUNCTION("""COMPUTED_VALUE"""),"no")</f>
        <v>no</v>
      </c>
      <c r="AL130" s="12" t="str">
        <f>IFERROR(__xludf.DUMMYFUNCTION("""COMPUTED_VALUE"""),"Yes")</f>
        <v>Yes</v>
      </c>
      <c r="AM130" s="15">
        <f>IFERROR(__xludf.DUMMYFUNCTION("""COMPUTED_VALUE"""),0.0)</f>
        <v>0</v>
      </c>
      <c r="AN130" s="12" t="str">
        <f>IFERROR(__xludf.DUMMYFUNCTION("""COMPUTED_VALUE"""),"1st week")</f>
        <v>1st week</v>
      </c>
      <c r="AO130" s="13">
        <v>1.0</v>
      </c>
      <c r="AX130" s="13">
        <v>1.0</v>
      </c>
    </row>
    <row r="131">
      <c r="A131" s="8">
        <v>130.0</v>
      </c>
      <c r="B131" s="9">
        <f>IFERROR(__xludf.DUMMYFUNCTION("""COMPUTED_VALUE"""),45774.230604386576)</f>
        <v>45774.2306</v>
      </c>
      <c r="C131" s="10" t="str">
        <f>IFERROR(__xludf.DUMMYFUNCTION("""COMPUTED_VALUE"""),"مقدس ")</f>
        <v>مقدس </v>
      </c>
      <c r="D131" s="10" t="str">
        <f>IFERROR(__xludf.DUMMYFUNCTION("""COMPUTED_VALUE"""),"03075314147")</f>
        <v>03075314147</v>
      </c>
      <c r="E131" s="10" t="str">
        <f>IFERROR(__xludf.DUMMYFUNCTION("""COMPUTED_VALUE"""),"Jamia Masjid Main Bazar Kahchu Pura Lahore")</f>
        <v>Jamia Masjid Main Bazar Kahchu Pura Lahore</v>
      </c>
      <c r="F131" s="10" t="str">
        <f>IFERROR(__xludf.DUMMYFUNCTION("""COMPUTED_VALUE"""),"slyiw")</f>
        <v>slyiw</v>
      </c>
      <c r="G131" s="10" t="str">
        <f>IFERROR(__xludf.DUMMYFUNCTION("""COMPUTED_VALUE"""),"No")</f>
        <v>No</v>
      </c>
      <c r="H131" s="10"/>
      <c r="I131" s="10"/>
      <c r="J131" s="10"/>
      <c r="K131" s="10">
        <f>IFERROR(__xludf.DUMMYFUNCTION("""COMPUTED_VALUE"""),0.0)</f>
        <v>0</v>
      </c>
      <c r="L131" s="10">
        <f>IFERROR(__xludf.DUMMYFUNCTION("""COMPUTED_VALUE"""),0.0)</f>
        <v>0</v>
      </c>
      <c r="M131" s="10">
        <f>IFERROR(__xludf.DUMMYFUNCTION("""COMPUTED_VALUE"""),0.0)</f>
        <v>0</v>
      </c>
      <c r="N131" s="10">
        <f>IFERROR(__xludf.DUMMYFUNCTION("""COMPUTED_VALUE"""),0.0)</f>
        <v>0</v>
      </c>
      <c r="O131" s="10">
        <f>IFERROR(__xludf.DUMMYFUNCTION("""COMPUTED_VALUE"""),0.0)</f>
        <v>0</v>
      </c>
      <c r="P131" s="10">
        <f>IFERROR(__xludf.DUMMYFUNCTION("""COMPUTED_VALUE"""),0.0)</f>
        <v>0</v>
      </c>
      <c r="Q131" s="10" t="str">
        <f>IFERROR(__xludf.DUMMYFUNCTION("""COMPUTED_VALUE"""),"No")</f>
        <v>No</v>
      </c>
      <c r="R131" s="10" t="str">
        <f>IFERROR(__xludf.DUMMYFUNCTION("""COMPUTED_VALUE"""),"No")</f>
        <v>No</v>
      </c>
      <c r="S131" s="10" t="str">
        <f>IFERROR(__xludf.DUMMYFUNCTION("""COMPUTED_VALUE"""),"No")</f>
        <v>No</v>
      </c>
      <c r="T131" s="10">
        <f>IFERROR(__xludf.DUMMYFUNCTION("""COMPUTED_VALUE"""),0.0)</f>
        <v>0</v>
      </c>
      <c r="U131" s="10">
        <f>IFERROR(__xludf.DUMMYFUNCTION("""COMPUTED_VALUE"""),0.0)</f>
        <v>0</v>
      </c>
      <c r="V131" s="10" t="str">
        <f>IFERROR(__xludf.DUMMYFUNCTION("""COMPUTED_VALUE""")," اسرائیلی پروڈکٹس کا بائیکاٹ ")</f>
        <v> اسرائیلی پروڈکٹس کا بائیکاٹ </v>
      </c>
      <c r="W131" s="10" t="str">
        <f>IFERROR(__xludf.DUMMYFUNCTION("""COMPUTED_VALUE"""),"امام نے اپنے خطبے میں بیان کیا کہ اسرائیلی پروڈکٹس کا بائیکاٹ کر رہے ہیں اور اس کی ضرورت بیان کی کہ کتنا ضروری ہے بائیکاٹ کرنا اس کی مثالیں دی حضور پاک کی زندگی سے")</f>
        <v>امام نے اپنے خطبے میں بیان کیا کہ اسرائیلی پروڈکٹس کا بائیکاٹ کر رہے ہیں اور اس کی ضرورت بیان کی کہ کتنا ضروری ہے بائیکاٹ کرنا اس کی مثالیں دی حضور پاک کی زندگی سے</v>
      </c>
      <c r="X131" s="10">
        <f>IFERROR(__xludf.DUMMYFUNCTION("""COMPUTED_VALUE"""),0.0)</f>
        <v>0</v>
      </c>
      <c r="Y131" s="10">
        <f>IFERROR(__xludf.DUMMYFUNCTION("""COMPUTED_VALUE"""),0.0)</f>
        <v>0</v>
      </c>
      <c r="Z131" s="10">
        <f>IFERROR(__xludf.DUMMYFUNCTION("""COMPUTED_VALUE"""),0.0)</f>
        <v>0</v>
      </c>
      <c r="AA131" s="10">
        <f>IFERROR(__xludf.DUMMYFUNCTION("""COMPUTED_VALUE"""),0.0)</f>
        <v>0</v>
      </c>
      <c r="AB131" s="10">
        <f>IFERROR(__xludf.DUMMYFUNCTION("""COMPUTED_VALUE"""),0.0)</f>
        <v>0</v>
      </c>
      <c r="AC131" s="10">
        <f>IFERROR(__xludf.DUMMYFUNCTION("""COMPUTED_VALUE"""),0.0)</f>
        <v>0</v>
      </c>
      <c r="AD131" s="10">
        <f>IFERROR(__xludf.DUMMYFUNCTION("""COMPUTED_VALUE"""),0.0)</f>
        <v>0</v>
      </c>
      <c r="AE131" s="10">
        <f>IFERROR(__xludf.DUMMYFUNCTION("""COMPUTED_VALUE"""),0.0)</f>
        <v>0</v>
      </c>
      <c r="AF131" s="10">
        <f>IFERROR(__xludf.DUMMYFUNCTION("""COMPUTED_VALUE"""),0.0)</f>
        <v>0</v>
      </c>
      <c r="AG131" s="10">
        <f>IFERROR(__xludf.DUMMYFUNCTION("""COMPUTED_VALUE"""),8.0)</f>
        <v>8</v>
      </c>
      <c r="AH131" s="10">
        <f>IFERROR(__xludf.DUMMYFUNCTION("""COMPUTED_VALUE"""),2.0)</f>
        <v>2</v>
      </c>
      <c r="AI131" s="10">
        <f>IFERROR(__xludf.DUMMYFUNCTION("""COMPUTED_VALUE"""),4.0)</f>
        <v>4</v>
      </c>
      <c r="AJ131" s="11" t="str">
        <f>IFERROR(__xludf.DUMMYFUNCTION("""COMPUTED_VALUE"""),"https://drive.google.com/open?id=1rR3Mk0AidOQRV76-iPE8y_MfFIB6swKX")</f>
        <v>https://drive.google.com/open?id=1rR3Mk0AidOQRV76-iPE8y_MfFIB6swKX</v>
      </c>
      <c r="AK131" s="12" t="str">
        <f>IFERROR(__xludf.DUMMYFUNCTION("""COMPUTED_VALUE"""),"Nill ")</f>
        <v>Nill </v>
      </c>
      <c r="AL131" s="12"/>
      <c r="AM131" s="12"/>
      <c r="AN131" s="12" t="str">
        <f>IFERROR(__xludf.DUMMYFUNCTION("""COMPUTED_VALUE"""),"3rd week")</f>
        <v>3rd week</v>
      </c>
      <c r="AO131" s="13">
        <v>3.0</v>
      </c>
      <c r="AX131" s="13">
        <v>3.0</v>
      </c>
    </row>
    <row r="132">
      <c r="A132" s="8">
        <v>131.0</v>
      </c>
      <c r="B132" s="9">
        <f>IFERROR(__xludf.DUMMYFUNCTION("""COMPUTED_VALUE"""),45774.27254907407)</f>
        <v>45774.27255</v>
      </c>
      <c r="C132" s="10" t="str">
        <f>IFERROR(__xludf.DUMMYFUNCTION("""COMPUTED_VALUE"""),"Maham Amjad ")</f>
        <v>Maham Amjad </v>
      </c>
      <c r="D132" s="10" t="str">
        <f>IFERROR(__xludf.DUMMYFUNCTION("""COMPUTED_VALUE"""),"03218118680")</f>
        <v>03218118680</v>
      </c>
      <c r="E132" s="10" t="str">
        <f>IFERROR(__xludf.DUMMYFUNCTION("""COMPUTED_VALUE"""),"Sermon 1 Jamia Masjid Darbar shah Chiraag Lahore")</f>
        <v>Sermon 1 Jamia Masjid Darbar shah Chiraag Lahore</v>
      </c>
      <c r="F132" s="10" t="str">
        <f>IFERROR(__xludf.DUMMYFUNCTION("""COMPUTED_VALUE"""),"pmeqo")</f>
        <v>pmeqo</v>
      </c>
      <c r="G132" s="10" t="str">
        <f>IFERROR(__xludf.DUMMYFUNCTION("""COMPUTED_VALUE"""),"Yes")</f>
        <v>Yes</v>
      </c>
      <c r="H132" s="10">
        <f>IFERROR(__xludf.DUMMYFUNCTION("""COMPUTED_VALUE"""),0.0)</f>
        <v>0</v>
      </c>
      <c r="I132" s="10">
        <f>IFERROR(__xludf.DUMMYFUNCTION("""COMPUTED_VALUE"""),0.0)</f>
        <v>0</v>
      </c>
      <c r="J132" s="10">
        <f>IFERROR(__xludf.DUMMYFUNCTION("""COMPUTED_VALUE"""),0.0)</f>
        <v>0</v>
      </c>
      <c r="K132" s="10">
        <f>IFERROR(__xludf.DUMMYFUNCTION("""COMPUTED_VALUE"""),0.0)</f>
        <v>0</v>
      </c>
      <c r="L132" s="10">
        <f>IFERROR(__xludf.DUMMYFUNCTION("""COMPUTED_VALUE"""),0.0)</f>
        <v>0</v>
      </c>
      <c r="M132" s="10">
        <f>IFERROR(__xludf.DUMMYFUNCTION("""COMPUTED_VALUE"""),0.0)</f>
        <v>0</v>
      </c>
      <c r="N132" s="10">
        <f>IFERROR(__xludf.DUMMYFUNCTION("""COMPUTED_VALUE"""),0.0)</f>
        <v>0</v>
      </c>
      <c r="O132" s="10">
        <f>IFERROR(__xludf.DUMMYFUNCTION("""COMPUTED_VALUE"""),0.0)</f>
        <v>0</v>
      </c>
      <c r="P132" s="10">
        <f>IFERROR(__xludf.DUMMYFUNCTION("""COMPUTED_VALUE"""),0.0)</f>
        <v>0</v>
      </c>
      <c r="Q132" s="10" t="str">
        <f>IFERROR(__xludf.DUMMYFUNCTION("""COMPUTED_VALUE"""),"No")</f>
        <v>No</v>
      </c>
      <c r="R132" s="10" t="str">
        <f>IFERROR(__xludf.DUMMYFUNCTION("""COMPUTED_VALUE"""),"No")</f>
        <v>No</v>
      </c>
      <c r="S132" s="10" t="str">
        <f>IFERROR(__xludf.DUMMYFUNCTION("""COMPUTED_VALUE"""),"No")</f>
        <v>No</v>
      </c>
      <c r="T132" s="10">
        <f>IFERROR(__xludf.DUMMYFUNCTION("""COMPUTED_VALUE"""),0.0)</f>
        <v>0</v>
      </c>
      <c r="U132" s="10">
        <f>IFERROR(__xludf.DUMMYFUNCTION("""COMPUTED_VALUE"""),0.0)</f>
        <v>0</v>
      </c>
      <c r="V132" s="10" t="str">
        <f>IFERROR(__xludf.DUMMYFUNCTION("""COMPUTED_VALUE"""),"حافظ قران کی اہمیت اور فضیلت اور اپنے بچوں میں قران کی ترغیب")</f>
        <v>حافظ قران کی اہمیت اور فضیلت اور اپنے بچوں میں قران کی ترغیب</v>
      </c>
      <c r="W132" s="10" t="str">
        <f>IFERROR(__xludf.DUMMYFUNCTION("""COMPUTED_VALUE"""),"حافظ قران کی اہمیت اور فضیلت کو بیان کرتے ہوئے اپنے بچوں کو بھی حافظ قران اور دینی علم سکھانا صدقہ جاریہ اور اپنے معاملات اخلاقیات معاشرت کو کس طرح حسن سلوک سے خوش اسلوبی سے ادا کرنا")</f>
        <v>حافظ قران کی اہمیت اور فضیلت کو بیان کرتے ہوئے اپنے بچوں کو بھی حافظ قران اور دینی علم سکھانا صدقہ جاریہ اور اپنے معاملات اخلاقیات معاشرت کو کس طرح حسن سلوک سے خوش اسلوبی سے ادا کرنا</v>
      </c>
      <c r="X132" s="10">
        <f>IFERROR(__xludf.DUMMYFUNCTION("""COMPUTED_VALUE"""),5.0)</f>
        <v>5</v>
      </c>
      <c r="Y132" s="10">
        <f>IFERROR(__xludf.DUMMYFUNCTION("""COMPUTED_VALUE"""),0.0)</f>
        <v>0</v>
      </c>
      <c r="Z132" s="10">
        <f>IFERROR(__xludf.DUMMYFUNCTION("""COMPUTED_VALUE"""),0.0)</f>
        <v>0</v>
      </c>
      <c r="AA132" s="10">
        <f>IFERROR(__xludf.DUMMYFUNCTION("""COMPUTED_VALUE"""),8.0)</f>
        <v>8</v>
      </c>
      <c r="AB132" s="10">
        <f>IFERROR(__xludf.DUMMYFUNCTION("""COMPUTED_VALUE"""),0.0)</f>
        <v>0</v>
      </c>
      <c r="AC132" s="10">
        <f>IFERROR(__xludf.DUMMYFUNCTION("""COMPUTED_VALUE"""),0.0)</f>
        <v>0</v>
      </c>
      <c r="AD132" s="10">
        <f>IFERROR(__xludf.DUMMYFUNCTION("""COMPUTED_VALUE"""),0.0)</f>
        <v>0</v>
      </c>
      <c r="AE132" s="10">
        <f>IFERROR(__xludf.DUMMYFUNCTION("""COMPUTED_VALUE"""),0.0)</f>
        <v>0</v>
      </c>
      <c r="AF132" s="10">
        <f>IFERROR(__xludf.DUMMYFUNCTION("""COMPUTED_VALUE"""),8.0)</f>
        <v>8</v>
      </c>
      <c r="AG132" s="10">
        <f>IFERROR(__xludf.DUMMYFUNCTION("""COMPUTED_VALUE"""),8.0)</f>
        <v>8</v>
      </c>
      <c r="AH132" s="10">
        <f>IFERROR(__xludf.DUMMYFUNCTION("""COMPUTED_VALUE"""),0.0)</f>
        <v>0</v>
      </c>
      <c r="AI132" s="10">
        <f>IFERROR(__xludf.DUMMYFUNCTION("""COMPUTED_VALUE"""),8.0)</f>
        <v>8</v>
      </c>
      <c r="AJ132" s="11" t="str">
        <f>IFERROR(__xludf.DUMMYFUNCTION("""COMPUTED_VALUE"""),"https://drive.google.com/open?id=1LiOfHglLiIIL7gqo_Hi1E6CgNHqkNUDH")</f>
        <v>https://drive.google.com/open?id=1LiOfHglLiIIL7gqo_Hi1E6CgNHqkNUDH</v>
      </c>
      <c r="AK132" s="12" t="str">
        <f>IFERROR(__xludf.DUMMYFUNCTION("""COMPUTED_VALUE"""),"no")</f>
        <v>no</v>
      </c>
      <c r="AL132" s="12" t="str">
        <f>IFERROR(__xludf.DUMMYFUNCTION("""COMPUTED_VALUE"""),"Yes")</f>
        <v>Yes</v>
      </c>
      <c r="AM132" s="15">
        <f>IFERROR(__xludf.DUMMYFUNCTION("""COMPUTED_VALUE"""),0.0)</f>
        <v>0</v>
      </c>
      <c r="AN132" s="12" t="str">
        <f>IFERROR(__xludf.DUMMYFUNCTION("""COMPUTED_VALUE"""),"1st week")</f>
        <v>1st week</v>
      </c>
      <c r="AO132" s="13">
        <v>1.0</v>
      </c>
      <c r="AX132" s="13">
        <v>2.0</v>
      </c>
    </row>
    <row r="133">
      <c r="A133" s="8">
        <v>132.0</v>
      </c>
      <c r="B133" s="9">
        <f>IFERROR(__xludf.DUMMYFUNCTION("""COMPUTED_VALUE"""),45774.28862122685)</f>
        <v>45774.28862</v>
      </c>
      <c r="C133" s="10" t="str">
        <f>IFERROR(__xludf.DUMMYFUNCTION("""COMPUTED_VALUE"""),"Asma Gul ")</f>
        <v>Asma Gul </v>
      </c>
      <c r="D133" s="10" t="str">
        <f>IFERROR(__xludf.DUMMYFUNCTION("""COMPUTED_VALUE"""),"03459308620")</f>
        <v>03459308620</v>
      </c>
      <c r="E133" s="10" t="str">
        <f>IFERROR(__xludf.DUMMYFUNCTION("""COMPUTED_VALUE"""),"Jamia Masjid Darbar Meer Hussain Rangani Lahore")</f>
        <v>Jamia Masjid Darbar Meer Hussain Rangani Lahore</v>
      </c>
      <c r="F133" s="10" t="str">
        <f>IFERROR(__xludf.DUMMYFUNCTION("""COMPUTED_VALUE"""),"yhrds")</f>
        <v>yhrds</v>
      </c>
      <c r="G133" s="10" t="str">
        <f>IFERROR(__xludf.DUMMYFUNCTION("""COMPUTED_VALUE"""),"Yes")</f>
        <v>Yes</v>
      </c>
      <c r="H133" s="10">
        <f>IFERROR(__xludf.DUMMYFUNCTION("""COMPUTED_VALUE"""),2.0)</f>
        <v>2</v>
      </c>
      <c r="I133" s="10">
        <f>IFERROR(__xludf.DUMMYFUNCTION("""COMPUTED_VALUE"""),9.0)</f>
        <v>9</v>
      </c>
      <c r="J133" s="10">
        <f>IFERROR(__xludf.DUMMYFUNCTION("""COMPUTED_VALUE"""),9.0)</f>
        <v>9</v>
      </c>
      <c r="K133" s="10">
        <f>IFERROR(__xludf.DUMMYFUNCTION("""COMPUTED_VALUE"""),0.0)</f>
        <v>0</v>
      </c>
      <c r="L133" s="10">
        <f>IFERROR(__xludf.DUMMYFUNCTION("""COMPUTED_VALUE"""),0.0)</f>
        <v>0</v>
      </c>
      <c r="M133" s="10">
        <f>IFERROR(__xludf.DUMMYFUNCTION("""COMPUTED_VALUE"""),1.0)</f>
        <v>1</v>
      </c>
      <c r="N133" s="10">
        <f>IFERROR(__xludf.DUMMYFUNCTION("""COMPUTED_VALUE"""),1.0)</f>
        <v>1</v>
      </c>
      <c r="O133" s="10">
        <f>IFERROR(__xludf.DUMMYFUNCTION("""COMPUTED_VALUE"""),1.0)</f>
        <v>1</v>
      </c>
      <c r="P133" s="10">
        <f>IFERROR(__xludf.DUMMYFUNCTION("""COMPUTED_VALUE"""),0.0)</f>
        <v>0</v>
      </c>
      <c r="Q133" s="10" t="str">
        <f>IFERROR(__xludf.DUMMYFUNCTION("""COMPUTED_VALUE"""),"No")</f>
        <v>No</v>
      </c>
      <c r="R133" s="10" t="str">
        <f>IFERROR(__xludf.DUMMYFUNCTION("""COMPUTED_VALUE"""),"No")</f>
        <v>No</v>
      </c>
      <c r="S133" s="10" t="str">
        <f>IFERROR(__xludf.DUMMYFUNCTION("""COMPUTED_VALUE"""),"No")</f>
        <v>No</v>
      </c>
      <c r="T133" s="10">
        <f>IFERROR(__xludf.DUMMYFUNCTION("""COMPUTED_VALUE"""),0.0)</f>
        <v>0</v>
      </c>
      <c r="U133" s="10">
        <f>IFERROR(__xludf.DUMMYFUNCTION("""COMPUTED_VALUE"""),0.0)</f>
        <v>0</v>
      </c>
      <c r="V133" s="10" t="str">
        <f>IFERROR(__xludf.DUMMYFUNCTION("""COMPUTED_VALUE"""),"تخلیق انسان")</f>
        <v>تخلیق انسان</v>
      </c>
      <c r="W133" s="10" t="str">
        <f>IFERROR(__xludf.DUMMYFUNCTION("""COMPUTED_VALUE"""),"حضرت ادم علیہ السلام کی تخلیق کا ہونا اور اس کے بعد فرشتوں کو ان کو سجدہ کرنا شیطان کا انکار کرنا دنیا پہ انسان کی ابتدا سب کچھ ڈسکس کیا گیا ہے")</f>
        <v>حضرت ادم علیہ السلام کی تخلیق کا ہونا اور اس کے بعد فرشتوں کو ان کو سجدہ کرنا شیطان کا انکار کرنا دنیا پہ انسان کی ابتدا سب کچھ ڈسکس کیا گیا ہے</v>
      </c>
      <c r="X133" s="10">
        <f>IFERROR(__xludf.DUMMYFUNCTION("""COMPUTED_VALUE"""),3.0)</f>
        <v>3</v>
      </c>
      <c r="Y133" s="10">
        <f>IFERROR(__xludf.DUMMYFUNCTION("""COMPUTED_VALUE"""),9.0)</f>
        <v>9</v>
      </c>
      <c r="Z133" s="10">
        <f>IFERROR(__xludf.DUMMYFUNCTION("""COMPUTED_VALUE"""),3.0)</f>
        <v>3</v>
      </c>
      <c r="AA133" s="10">
        <f>IFERROR(__xludf.DUMMYFUNCTION("""COMPUTED_VALUE"""),1.0)</f>
        <v>1</v>
      </c>
      <c r="AB133" s="10">
        <f>IFERROR(__xludf.DUMMYFUNCTION("""COMPUTED_VALUE"""),10.0)</f>
        <v>10</v>
      </c>
      <c r="AC133" s="10">
        <f>IFERROR(__xludf.DUMMYFUNCTION("""COMPUTED_VALUE"""),3.0)</f>
        <v>3</v>
      </c>
      <c r="AD133" s="10">
        <f>IFERROR(__xludf.DUMMYFUNCTION("""COMPUTED_VALUE"""),2.0)</f>
        <v>2</v>
      </c>
      <c r="AE133" s="10">
        <f>IFERROR(__xludf.DUMMYFUNCTION("""COMPUTED_VALUE"""),6.0)</f>
        <v>6</v>
      </c>
      <c r="AF133" s="10">
        <f>IFERROR(__xludf.DUMMYFUNCTION("""COMPUTED_VALUE"""),2.0)</f>
        <v>2</v>
      </c>
      <c r="AG133" s="10">
        <f>IFERROR(__xludf.DUMMYFUNCTION("""COMPUTED_VALUE"""),6.0)</f>
        <v>6</v>
      </c>
      <c r="AH133" s="10">
        <f>IFERROR(__xludf.DUMMYFUNCTION("""COMPUTED_VALUE"""),0.0)</f>
        <v>0</v>
      </c>
      <c r="AI133" s="10">
        <f>IFERROR(__xludf.DUMMYFUNCTION("""COMPUTED_VALUE"""),7.0)</f>
        <v>7</v>
      </c>
      <c r="AJ133" s="11" t="str">
        <f>IFERROR(__xludf.DUMMYFUNCTION("""COMPUTED_VALUE"""),"https://drive.google.com/open?id=1Soqxuq_sAUHRJkuDF8hmJCMXlO2cWhf5")</f>
        <v>https://drive.google.com/open?id=1Soqxuq_sAUHRJkuDF8hmJCMXlO2cWhf5</v>
      </c>
      <c r="AK133" s="12"/>
      <c r="AL133" s="12" t="str">
        <f>IFERROR(__xludf.DUMMYFUNCTION("""COMPUTED_VALUE"""),"Yes")</f>
        <v>Yes</v>
      </c>
      <c r="AM133" s="15">
        <f>IFERROR(__xludf.DUMMYFUNCTION("""COMPUTED_VALUE"""),0.1)</f>
        <v>0.1</v>
      </c>
      <c r="AN133" s="12" t="str">
        <f>IFERROR(__xludf.DUMMYFUNCTION("""COMPUTED_VALUE"""),"3rd week")</f>
        <v>3rd week</v>
      </c>
      <c r="AO133" s="13">
        <v>3.0</v>
      </c>
      <c r="AX133" s="13">
        <v>3.0</v>
      </c>
    </row>
    <row r="134">
      <c r="A134" s="8">
        <v>133.0</v>
      </c>
      <c r="B134" s="9">
        <f>IFERROR(__xludf.DUMMYFUNCTION("""COMPUTED_VALUE"""),45774.305910254625)</f>
        <v>45774.30591</v>
      </c>
      <c r="C134" s="10" t="str">
        <f>IFERROR(__xludf.DUMMYFUNCTION("""COMPUTED_VALUE"""),"مقدس ")</f>
        <v>مقدس </v>
      </c>
      <c r="D134" s="10" t="str">
        <f>IFERROR(__xludf.DUMMYFUNCTION("""COMPUTED_VALUE"""),"03075314147")</f>
        <v>03075314147</v>
      </c>
      <c r="E134" s="10" t="str">
        <f>IFERROR(__xludf.DUMMYFUNCTION("""COMPUTED_VALUE"""),"Jamia masjid ghangara nawali Lahore ")</f>
        <v>Jamia masjid ghangara nawali Lahore </v>
      </c>
      <c r="F134" s="10" t="str">
        <f>IFERROR(__xludf.DUMMYFUNCTION("""COMPUTED_VALUE"""),"ekvzq")</f>
        <v>ekvzq</v>
      </c>
      <c r="G134" s="10" t="str">
        <f>IFERROR(__xludf.DUMMYFUNCTION("""COMPUTED_VALUE"""),"No")</f>
        <v>No</v>
      </c>
      <c r="H134" s="10"/>
      <c r="I134" s="10"/>
      <c r="J134" s="10"/>
      <c r="K134" s="10">
        <f>IFERROR(__xludf.DUMMYFUNCTION("""COMPUTED_VALUE"""),0.0)</f>
        <v>0</v>
      </c>
      <c r="L134" s="10">
        <f>IFERROR(__xludf.DUMMYFUNCTION("""COMPUTED_VALUE"""),0.0)</f>
        <v>0</v>
      </c>
      <c r="M134" s="10">
        <f>IFERROR(__xludf.DUMMYFUNCTION("""COMPUTED_VALUE"""),0.0)</f>
        <v>0</v>
      </c>
      <c r="N134" s="10">
        <f>IFERROR(__xludf.DUMMYFUNCTION("""COMPUTED_VALUE"""),0.0)</f>
        <v>0</v>
      </c>
      <c r="O134" s="10">
        <f>IFERROR(__xludf.DUMMYFUNCTION("""COMPUTED_VALUE"""),0.0)</f>
        <v>0</v>
      </c>
      <c r="P134" s="10">
        <f>IFERROR(__xludf.DUMMYFUNCTION("""COMPUTED_VALUE"""),0.0)</f>
        <v>0</v>
      </c>
      <c r="Q134" s="10" t="str">
        <f>IFERROR(__xludf.DUMMYFUNCTION("""COMPUTED_VALUE"""),"No")</f>
        <v>No</v>
      </c>
      <c r="R134" s="10" t="str">
        <f>IFERROR(__xludf.DUMMYFUNCTION("""COMPUTED_VALUE"""),"No")</f>
        <v>No</v>
      </c>
      <c r="S134" s="10" t="str">
        <f>IFERROR(__xludf.DUMMYFUNCTION("""COMPUTED_VALUE"""),"No")</f>
        <v>No</v>
      </c>
      <c r="T134" s="10">
        <f>IFERROR(__xludf.DUMMYFUNCTION("""COMPUTED_VALUE"""),0.0)</f>
        <v>0</v>
      </c>
      <c r="U134" s="10">
        <f>IFERROR(__xludf.DUMMYFUNCTION("""COMPUTED_VALUE"""),0.0)</f>
        <v>0</v>
      </c>
      <c r="V134" s="10" t="str">
        <f>IFERROR(__xludf.DUMMYFUNCTION("""COMPUTED_VALUE"""),"نماز اور جہاد کی اہمیت")</f>
        <v>نماز اور جہاد کی اہمیت</v>
      </c>
      <c r="W134" s="10" t="str">
        <f>IFERROR(__xludf.DUMMYFUNCTION("""COMPUTED_VALUE"""),"امام نے اپنے بیان میں بتایا کہ نماز قائم کرنا کتنا ضروری ہے جہاد کے بارے میں بتایا مثالیں دیں اسلامی ممالک کی مدد کرنے کا بتایا")</f>
        <v>امام نے اپنے بیان میں بتایا کہ نماز قائم کرنا کتنا ضروری ہے جہاد کے بارے میں بتایا مثالیں دیں اسلامی ممالک کی مدد کرنے کا بتایا</v>
      </c>
      <c r="X134" s="10">
        <f>IFERROR(__xludf.DUMMYFUNCTION("""COMPUTED_VALUE"""),7.0)</f>
        <v>7</v>
      </c>
      <c r="Y134" s="10">
        <f>IFERROR(__xludf.DUMMYFUNCTION("""COMPUTED_VALUE"""),10.0)</f>
        <v>10</v>
      </c>
      <c r="Z134" s="10">
        <f>IFERROR(__xludf.DUMMYFUNCTION("""COMPUTED_VALUE"""),5.0)</f>
        <v>5</v>
      </c>
      <c r="AA134" s="10">
        <f>IFERROR(__xludf.DUMMYFUNCTION("""COMPUTED_VALUE"""),8.0)</f>
        <v>8</v>
      </c>
      <c r="AB134" s="10">
        <f>IFERROR(__xludf.DUMMYFUNCTION("""COMPUTED_VALUE"""),0.0)</f>
        <v>0</v>
      </c>
      <c r="AC134" s="10">
        <f>IFERROR(__xludf.DUMMYFUNCTION("""COMPUTED_VALUE"""),2.0)</f>
        <v>2</v>
      </c>
      <c r="AD134" s="10">
        <f>IFERROR(__xludf.DUMMYFUNCTION("""COMPUTED_VALUE"""),5.0)</f>
        <v>5</v>
      </c>
      <c r="AE134" s="10">
        <f>IFERROR(__xludf.DUMMYFUNCTION("""COMPUTED_VALUE"""),0.0)</f>
        <v>0</v>
      </c>
      <c r="AF134" s="10">
        <f>IFERROR(__xludf.DUMMYFUNCTION("""COMPUTED_VALUE"""),4.0)</f>
        <v>4</v>
      </c>
      <c r="AG134" s="10">
        <f>IFERROR(__xludf.DUMMYFUNCTION("""COMPUTED_VALUE"""),8.0)</f>
        <v>8</v>
      </c>
      <c r="AH134" s="10">
        <f>IFERROR(__xludf.DUMMYFUNCTION("""COMPUTED_VALUE"""),1.0)</f>
        <v>1</v>
      </c>
      <c r="AI134" s="10">
        <f>IFERROR(__xludf.DUMMYFUNCTION("""COMPUTED_VALUE"""),4.0)</f>
        <v>4</v>
      </c>
      <c r="AJ134" s="11" t="str">
        <f>IFERROR(__xludf.DUMMYFUNCTION("""COMPUTED_VALUE"""),"https://drive.google.com/open?id=1VvQUZ_OfIsYuxn58dXh6vUJuNfozVBdR")</f>
        <v>https://drive.google.com/open?id=1VvQUZ_OfIsYuxn58dXh6vUJuNfozVBdR</v>
      </c>
      <c r="AK134" s="12" t="str">
        <f>IFERROR(__xludf.DUMMYFUNCTION("""COMPUTED_VALUE"""),"Nill")</f>
        <v>Nill</v>
      </c>
      <c r="AL134" s="12"/>
      <c r="AM134" s="12"/>
      <c r="AN134" s="12" t="str">
        <f>IFERROR(__xludf.DUMMYFUNCTION("""COMPUTED_VALUE"""),"3rd week")</f>
        <v>3rd week</v>
      </c>
      <c r="AO134" s="13">
        <v>3.0</v>
      </c>
      <c r="AX134" s="13">
        <v>3.0</v>
      </c>
    </row>
    <row r="135">
      <c r="A135" s="8">
        <v>134.0</v>
      </c>
      <c r="B135" s="9">
        <f>IFERROR(__xludf.DUMMYFUNCTION("""COMPUTED_VALUE"""),45774.32037621528)</f>
        <v>45774.32038</v>
      </c>
      <c r="C135" s="10" t="str">
        <f>IFERROR(__xludf.DUMMYFUNCTION("""COMPUTED_VALUE"""),"Shakeela")</f>
        <v>Shakeela</v>
      </c>
      <c r="D135" s="10" t="str">
        <f>IFERROR(__xludf.DUMMYFUNCTION("""COMPUTED_VALUE"""),"03359485820")</f>
        <v>03359485820</v>
      </c>
      <c r="E135" s="10" t="str">
        <f>IFERROR(__xludf.DUMMYFUNCTION("""COMPUTED_VALUE"""),"Jamia Masjid Hanfiya Farookia Khrishan Nagar Lahore")</f>
        <v>Jamia Masjid Hanfiya Farookia Khrishan Nagar Lahore</v>
      </c>
      <c r="F135" s="10" t="str">
        <f>IFERROR(__xludf.DUMMYFUNCTION("""COMPUTED_VALUE"""),"mfrop")</f>
        <v>mfrop</v>
      </c>
      <c r="G135" s="10" t="str">
        <f>IFERROR(__xludf.DUMMYFUNCTION("""COMPUTED_VALUE"""),"No")</f>
        <v>No</v>
      </c>
      <c r="H135" s="10"/>
      <c r="I135" s="10"/>
      <c r="J135" s="10"/>
      <c r="K135" s="10">
        <f>IFERROR(__xludf.DUMMYFUNCTION("""COMPUTED_VALUE"""),0.0)</f>
        <v>0</v>
      </c>
      <c r="L135" s="10">
        <f>IFERROR(__xludf.DUMMYFUNCTION("""COMPUTED_VALUE"""),0.0)</f>
        <v>0</v>
      </c>
      <c r="M135" s="10">
        <f>IFERROR(__xludf.DUMMYFUNCTION("""COMPUTED_VALUE"""),0.0)</f>
        <v>0</v>
      </c>
      <c r="N135" s="10">
        <f>IFERROR(__xludf.DUMMYFUNCTION("""COMPUTED_VALUE"""),0.0)</f>
        <v>0</v>
      </c>
      <c r="O135" s="10">
        <f>IFERROR(__xludf.DUMMYFUNCTION("""COMPUTED_VALUE"""),0.0)</f>
        <v>0</v>
      </c>
      <c r="P135" s="10">
        <f>IFERROR(__xludf.DUMMYFUNCTION("""COMPUTED_VALUE"""),0.0)</f>
        <v>0</v>
      </c>
      <c r="Q135" s="10" t="str">
        <f>IFERROR(__xludf.DUMMYFUNCTION("""COMPUTED_VALUE"""),"No")</f>
        <v>No</v>
      </c>
      <c r="R135" s="10" t="str">
        <f>IFERROR(__xludf.DUMMYFUNCTION("""COMPUTED_VALUE"""),"No")</f>
        <v>No</v>
      </c>
      <c r="S135" s="10" t="str">
        <f>IFERROR(__xludf.DUMMYFUNCTION("""COMPUTED_VALUE"""),"No")</f>
        <v>No</v>
      </c>
      <c r="T135" s="10">
        <f>IFERROR(__xludf.DUMMYFUNCTION("""COMPUTED_VALUE"""),0.0)</f>
        <v>0</v>
      </c>
      <c r="U135" s="10">
        <f>IFERROR(__xludf.DUMMYFUNCTION("""COMPUTED_VALUE"""),0.0)</f>
        <v>0</v>
      </c>
      <c r="V135" s="10" t="str">
        <f>IFERROR(__xludf.DUMMYFUNCTION("""COMPUTED_VALUE"""),"Haqooq Allah aur qayyamt")</f>
        <v>Haqooq Allah aur qayyamt</v>
      </c>
      <c r="W135" s="10" t="str">
        <f>IFERROR(__xludf.DUMMYFUNCTION("""COMPUTED_VALUE"""),"AKhirt , islami qanoon aur Haqooq ullah per bt kii")</f>
        <v>AKhirt , islami qanoon aur Haqooq ullah per bt kii</v>
      </c>
      <c r="X135" s="10">
        <f>IFERROR(__xludf.DUMMYFUNCTION("""COMPUTED_VALUE"""),5.0)</f>
        <v>5</v>
      </c>
      <c r="Y135" s="10">
        <f>IFERROR(__xludf.DUMMYFUNCTION("""COMPUTED_VALUE"""),3.0)</f>
        <v>3</v>
      </c>
      <c r="Z135" s="10">
        <f>IFERROR(__xludf.DUMMYFUNCTION("""COMPUTED_VALUE"""),3.0)</f>
        <v>3</v>
      </c>
      <c r="AA135" s="10">
        <f>IFERROR(__xludf.DUMMYFUNCTION("""COMPUTED_VALUE"""),5.0)</f>
        <v>5</v>
      </c>
      <c r="AB135" s="10">
        <f>IFERROR(__xludf.DUMMYFUNCTION("""COMPUTED_VALUE"""),4.0)</f>
        <v>4</v>
      </c>
      <c r="AC135" s="10">
        <f>IFERROR(__xludf.DUMMYFUNCTION("""COMPUTED_VALUE"""),0.0)</f>
        <v>0</v>
      </c>
      <c r="AD135" s="10">
        <f>IFERROR(__xludf.DUMMYFUNCTION("""COMPUTED_VALUE"""),0.0)</f>
        <v>0</v>
      </c>
      <c r="AE135" s="10">
        <f>IFERROR(__xludf.DUMMYFUNCTION("""COMPUTED_VALUE"""),0.0)</f>
        <v>0</v>
      </c>
      <c r="AF135" s="10">
        <f>IFERROR(__xludf.DUMMYFUNCTION("""COMPUTED_VALUE"""),0.0)</f>
        <v>0</v>
      </c>
      <c r="AG135" s="10">
        <f>IFERROR(__xludf.DUMMYFUNCTION("""COMPUTED_VALUE"""),0.0)</f>
        <v>0</v>
      </c>
      <c r="AH135" s="10">
        <f>IFERROR(__xludf.DUMMYFUNCTION("""COMPUTED_VALUE"""),0.0)</f>
        <v>0</v>
      </c>
      <c r="AI135" s="10">
        <f>IFERROR(__xludf.DUMMYFUNCTION("""COMPUTED_VALUE"""),0.0)</f>
        <v>0</v>
      </c>
      <c r="AJ135" s="11" t="str">
        <f>IFERROR(__xludf.DUMMYFUNCTION("""COMPUTED_VALUE"""),"https://drive.google.com/open?id=1tejVE87sSmdlnvWvwkPhc3qCuZdYG3cD")</f>
        <v>https://drive.google.com/open?id=1tejVE87sSmdlnvWvwkPhc3qCuZdYG3cD</v>
      </c>
      <c r="AK135" s="12"/>
      <c r="AL135" s="12"/>
      <c r="AM135" s="12"/>
      <c r="AN135" s="12" t="str">
        <f>IFERROR(__xludf.DUMMYFUNCTION("""COMPUTED_VALUE"""),"2nd week")</f>
        <v>2nd week</v>
      </c>
      <c r="AO135" s="13">
        <v>3.0</v>
      </c>
      <c r="AX135" s="13">
        <v>3.0</v>
      </c>
    </row>
    <row r="136">
      <c r="A136" s="8">
        <v>135.0</v>
      </c>
      <c r="B136" s="9">
        <f>IFERROR(__xludf.DUMMYFUNCTION("""COMPUTED_VALUE"""),45774.32319322917)</f>
        <v>45774.32319</v>
      </c>
      <c r="C136" s="10" t="str">
        <f>IFERROR(__xludf.DUMMYFUNCTION("""COMPUTED_VALUE"""),"Shakeela")</f>
        <v>Shakeela</v>
      </c>
      <c r="D136" s="10" t="str">
        <f>IFERROR(__xludf.DUMMYFUNCTION("""COMPUTED_VALUE"""),"03359485820")</f>
        <v>03359485820</v>
      </c>
      <c r="E136" s="10" t="str">
        <f>IFERROR(__xludf.DUMMYFUNCTION("""COMPUTED_VALUE"""),"Jamia Masjid Neela Gumbat Lahore")</f>
        <v>Jamia Masjid Neela Gumbat Lahore</v>
      </c>
      <c r="F136" s="10" t="str">
        <f>IFERROR(__xludf.DUMMYFUNCTION("""COMPUTED_VALUE"""),"lwumj")</f>
        <v>lwumj</v>
      </c>
      <c r="G136" s="10" t="str">
        <f>IFERROR(__xludf.DUMMYFUNCTION("""COMPUTED_VALUE"""),"No")</f>
        <v>No</v>
      </c>
      <c r="H136" s="10"/>
      <c r="I136" s="10"/>
      <c r="J136" s="10"/>
      <c r="K136" s="10">
        <f>IFERROR(__xludf.DUMMYFUNCTION("""COMPUTED_VALUE"""),0.0)</f>
        <v>0</v>
      </c>
      <c r="L136" s="10">
        <f>IFERROR(__xludf.DUMMYFUNCTION("""COMPUTED_VALUE"""),0.0)</f>
        <v>0</v>
      </c>
      <c r="M136" s="10">
        <f>IFERROR(__xludf.DUMMYFUNCTION("""COMPUTED_VALUE"""),0.0)</f>
        <v>0</v>
      </c>
      <c r="N136" s="10">
        <f>IFERROR(__xludf.DUMMYFUNCTION("""COMPUTED_VALUE"""),0.0)</f>
        <v>0</v>
      </c>
      <c r="O136" s="10">
        <f>IFERROR(__xludf.DUMMYFUNCTION("""COMPUTED_VALUE"""),0.0)</f>
        <v>0</v>
      </c>
      <c r="P136" s="10">
        <f>IFERROR(__xludf.DUMMYFUNCTION("""COMPUTED_VALUE"""),0.0)</f>
        <v>0</v>
      </c>
      <c r="Q136" s="10" t="str">
        <f>IFERROR(__xludf.DUMMYFUNCTION("""COMPUTED_VALUE"""),"No")</f>
        <v>No</v>
      </c>
      <c r="R136" s="10" t="str">
        <f>IFERROR(__xludf.DUMMYFUNCTION("""COMPUTED_VALUE"""),"No")</f>
        <v>No</v>
      </c>
      <c r="S136" s="10" t="str">
        <f>IFERROR(__xludf.DUMMYFUNCTION("""COMPUTED_VALUE"""),"No")</f>
        <v>No</v>
      </c>
      <c r="T136" s="10">
        <f>IFERROR(__xludf.DUMMYFUNCTION("""COMPUTED_VALUE"""),0.0)</f>
        <v>0</v>
      </c>
      <c r="U136" s="10">
        <f>IFERROR(__xludf.DUMMYFUNCTION("""COMPUTED_VALUE"""),0.0)</f>
        <v>0</v>
      </c>
      <c r="V136" s="10" t="str">
        <f>IFERROR(__xludf.DUMMYFUNCTION("""COMPUTED_VALUE"""),"Roza ")</f>
        <v>Roza </v>
      </c>
      <c r="W136" s="10" t="str">
        <f>IFERROR(__xludf.DUMMYFUNCTION("""COMPUTED_VALUE"""),"Roza, seerat um nabi saw aur qabar per bt ki")</f>
        <v>Roza, seerat um nabi saw aur qabar per bt ki</v>
      </c>
      <c r="X136" s="10">
        <f>IFERROR(__xludf.DUMMYFUNCTION("""COMPUTED_VALUE"""),5.0)</f>
        <v>5</v>
      </c>
      <c r="Y136" s="10">
        <f>IFERROR(__xludf.DUMMYFUNCTION("""COMPUTED_VALUE"""),6.0)</f>
        <v>6</v>
      </c>
      <c r="Z136" s="10">
        <f>IFERROR(__xludf.DUMMYFUNCTION("""COMPUTED_VALUE"""),6.0)</f>
        <v>6</v>
      </c>
      <c r="AA136" s="10">
        <f>IFERROR(__xludf.DUMMYFUNCTION("""COMPUTED_VALUE"""),6.0)</f>
        <v>6</v>
      </c>
      <c r="AB136" s="10">
        <f>IFERROR(__xludf.DUMMYFUNCTION("""COMPUTED_VALUE"""),6.0)</f>
        <v>6</v>
      </c>
      <c r="AC136" s="10">
        <f>IFERROR(__xludf.DUMMYFUNCTION("""COMPUTED_VALUE"""),6.0)</f>
        <v>6</v>
      </c>
      <c r="AD136" s="10">
        <f>IFERROR(__xludf.DUMMYFUNCTION("""COMPUTED_VALUE"""),5.0)</f>
        <v>5</v>
      </c>
      <c r="AE136" s="10">
        <f>IFERROR(__xludf.DUMMYFUNCTION("""COMPUTED_VALUE"""),3.0)</f>
        <v>3</v>
      </c>
      <c r="AF136" s="10">
        <f>IFERROR(__xludf.DUMMYFUNCTION("""COMPUTED_VALUE"""),1.0)</f>
        <v>1</v>
      </c>
      <c r="AG136" s="10">
        <f>IFERROR(__xludf.DUMMYFUNCTION("""COMPUTED_VALUE"""),7.0)</f>
        <v>7</v>
      </c>
      <c r="AH136" s="10">
        <f>IFERROR(__xludf.DUMMYFUNCTION("""COMPUTED_VALUE"""),1.0)</f>
        <v>1</v>
      </c>
      <c r="AI136" s="10">
        <f>IFERROR(__xludf.DUMMYFUNCTION("""COMPUTED_VALUE"""),8.0)</f>
        <v>8</v>
      </c>
      <c r="AJ136" s="11" t="str">
        <f>IFERROR(__xludf.DUMMYFUNCTION("""COMPUTED_VALUE"""),"https://drive.google.com/open?id=1XbMLD__VB60mqF8wT-oFedt05wiJIKbo")</f>
        <v>https://drive.google.com/open?id=1XbMLD__VB60mqF8wT-oFedt05wiJIKbo</v>
      </c>
      <c r="AK136" s="12"/>
      <c r="AL136" s="12"/>
      <c r="AM136" s="12"/>
      <c r="AN136" s="12" t="str">
        <f>IFERROR(__xludf.DUMMYFUNCTION("""COMPUTED_VALUE"""),"1st week")</f>
        <v>1st week</v>
      </c>
      <c r="AO136" s="13">
        <v>1.0</v>
      </c>
      <c r="AX136" s="13">
        <v>1.0</v>
      </c>
    </row>
    <row r="137">
      <c r="A137" s="8">
        <v>136.0</v>
      </c>
      <c r="B137" s="9">
        <f>IFERROR(__xludf.DUMMYFUNCTION("""COMPUTED_VALUE"""),45774.341984108796)</f>
        <v>45774.34198</v>
      </c>
      <c r="C137" s="10" t="str">
        <f>IFERROR(__xludf.DUMMYFUNCTION("""COMPUTED_VALUE"""),"Asma Gul ")</f>
        <v>Asma Gul </v>
      </c>
      <c r="D137" s="10" t="str">
        <f>IFERROR(__xludf.DUMMYFUNCTION("""COMPUTED_VALUE"""),"03459308620")</f>
        <v>03459308620</v>
      </c>
      <c r="E137" s="10" t="str">
        <f>IFERROR(__xludf.DUMMYFUNCTION("""COMPUTED_VALUE"""),"Jamia Masjid Hanifya Ghosia Scheme # 2 Lahore")</f>
        <v>Jamia Masjid Hanifya Ghosia Scheme # 2 Lahore</v>
      </c>
      <c r="F137" s="10" t="str">
        <f>IFERROR(__xludf.DUMMYFUNCTION("""COMPUTED_VALUE"""),"cwfim")</f>
        <v>cwfim</v>
      </c>
      <c r="G137" s="10" t="str">
        <f>IFERROR(__xludf.DUMMYFUNCTION("""COMPUTED_VALUE"""),"Yes")</f>
        <v>Yes</v>
      </c>
      <c r="H137" s="10">
        <f>IFERROR(__xludf.DUMMYFUNCTION("""COMPUTED_VALUE"""),3.0)</f>
        <v>3</v>
      </c>
      <c r="I137" s="10">
        <f>IFERROR(__xludf.DUMMYFUNCTION("""COMPUTED_VALUE"""),9.0)</f>
        <v>9</v>
      </c>
      <c r="J137" s="10">
        <f>IFERROR(__xludf.DUMMYFUNCTION("""COMPUTED_VALUE"""),5.0)</f>
        <v>5</v>
      </c>
      <c r="K137" s="10">
        <f>IFERROR(__xludf.DUMMYFUNCTION("""COMPUTED_VALUE"""),6.0)</f>
        <v>6</v>
      </c>
      <c r="L137" s="10">
        <f>IFERROR(__xludf.DUMMYFUNCTION("""COMPUTED_VALUE"""),5.0)</f>
        <v>5</v>
      </c>
      <c r="M137" s="10">
        <f>IFERROR(__xludf.DUMMYFUNCTION("""COMPUTED_VALUE"""),4.0)</f>
        <v>4</v>
      </c>
      <c r="N137" s="10">
        <f>IFERROR(__xludf.DUMMYFUNCTION("""COMPUTED_VALUE"""),4.0)</f>
        <v>4</v>
      </c>
      <c r="O137" s="10">
        <f>IFERROR(__xludf.DUMMYFUNCTION("""COMPUTED_VALUE"""),8.0)</f>
        <v>8</v>
      </c>
      <c r="P137" s="10">
        <f>IFERROR(__xludf.DUMMYFUNCTION("""COMPUTED_VALUE"""),3.0)</f>
        <v>3</v>
      </c>
      <c r="Q137" s="10" t="str">
        <f>IFERROR(__xludf.DUMMYFUNCTION("""COMPUTED_VALUE"""),"No")</f>
        <v>No</v>
      </c>
      <c r="R137" s="10" t="str">
        <f>IFERROR(__xludf.DUMMYFUNCTION("""COMPUTED_VALUE"""),"No")</f>
        <v>No</v>
      </c>
      <c r="S137" s="10" t="str">
        <f>IFERROR(__xludf.DUMMYFUNCTION("""COMPUTED_VALUE"""),"No")</f>
        <v>No</v>
      </c>
      <c r="T137" s="10">
        <f>IFERROR(__xludf.DUMMYFUNCTION("""COMPUTED_VALUE"""),6.0)</f>
        <v>6</v>
      </c>
      <c r="U137" s="10">
        <f>IFERROR(__xludf.DUMMYFUNCTION("""COMPUTED_VALUE"""),2.0)</f>
        <v>2</v>
      </c>
      <c r="V137" s="10" t="str">
        <f>IFERROR(__xludf.DUMMYFUNCTION("""COMPUTED_VALUE"""),"فقہ حنفیہ ")</f>
        <v>فقہ حنفیہ </v>
      </c>
      <c r="W137" s="10" t="str">
        <f>IFERROR(__xludf.DUMMYFUNCTION("""COMPUTED_VALUE"""),"فقہ حنفیہ کا ذکر کیا اس کے ساتھ ساتھ امام اعظم ابو حنفیہ کا ذکر کیا اور باقی مذاہب کا ذکر کیا")</f>
        <v>فقہ حنفیہ کا ذکر کیا اس کے ساتھ ساتھ امام اعظم ابو حنفیہ کا ذکر کیا اور باقی مذاہب کا ذکر کیا</v>
      </c>
      <c r="X137" s="10">
        <f>IFERROR(__xludf.DUMMYFUNCTION("""COMPUTED_VALUE"""),9.0)</f>
        <v>9</v>
      </c>
      <c r="Y137" s="10">
        <f>IFERROR(__xludf.DUMMYFUNCTION("""COMPUTED_VALUE"""),7.0)</f>
        <v>7</v>
      </c>
      <c r="Z137" s="10">
        <f>IFERROR(__xludf.DUMMYFUNCTION("""COMPUTED_VALUE"""),6.0)</f>
        <v>6</v>
      </c>
      <c r="AA137" s="10">
        <f>IFERROR(__xludf.DUMMYFUNCTION("""COMPUTED_VALUE"""),10.0)</f>
        <v>10</v>
      </c>
      <c r="AB137" s="10">
        <f>IFERROR(__xludf.DUMMYFUNCTION("""COMPUTED_VALUE"""),10.0)</f>
        <v>10</v>
      </c>
      <c r="AC137" s="10">
        <f>IFERROR(__xludf.DUMMYFUNCTION("""COMPUTED_VALUE"""),4.0)</f>
        <v>4</v>
      </c>
      <c r="AD137" s="10">
        <f>IFERROR(__xludf.DUMMYFUNCTION("""COMPUTED_VALUE"""),4.0)</f>
        <v>4</v>
      </c>
      <c r="AE137" s="10">
        <f>IFERROR(__xludf.DUMMYFUNCTION("""COMPUTED_VALUE"""),7.0)</f>
        <v>7</v>
      </c>
      <c r="AF137" s="10">
        <f>IFERROR(__xludf.DUMMYFUNCTION("""COMPUTED_VALUE"""),9.0)</f>
        <v>9</v>
      </c>
      <c r="AG137" s="10">
        <f>IFERROR(__xludf.DUMMYFUNCTION("""COMPUTED_VALUE"""),8.0)</f>
        <v>8</v>
      </c>
      <c r="AH137" s="10">
        <f>IFERROR(__xludf.DUMMYFUNCTION("""COMPUTED_VALUE"""),2.0)</f>
        <v>2</v>
      </c>
      <c r="AI137" s="10">
        <f>IFERROR(__xludf.DUMMYFUNCTION("""COMPUTED_VALUE"""),7.0)</f>
        <v>7</v>
      </c>
      <c r="AJ137" s="11" t="str">
        <f>IFERROR(__xludf.DUMMYFUNCTION("""COMPUTED_VALUE"""),"https://drive.google.com/open?id=1II6ttXBLGbckOP1XBXmDGo34jZFVe48V")</f>
        <v>https://drive.google.com/open?id=1II6ttXBLGbckOP1XBXmDGo34jZFVe48V</v>
      </c>
      <c r="AK137" s="12"/>
      <c r="AL137" s="12" t="str">
        <f>IFERROR(__xludf.DUMMYFUNCTION("""COMPUTED_VALUE"""),"Yes")</f>
        <v>Yes</v>
      </c>
      <c r="AM137" s="15">
        <f>IFERROR(__xludf.DUMMYFUNCTION("""COMPUTED_VALUE"""),0.3)</f>
        <v>0.3</v>
      </c>
      <c r="AN137" s="12" t="str">
        <f>IFERROR(__xludf.DUMMYFUNCTION("""COMPUTED_VALUE"""),"3rd week")</f>
        <v>3rd week</v>
      </c>
      <c r="AO137" s="13">
        <v>3.0</v>
      </c>
      <c r="AX137" s="13">
        <v>3.0</v>
      </c>
    </row>
    <row r="138">
      <c r="A138" s="8">
        <v>137.0</v>
      </c>
      <c r="B138" s="9">
        <f>IFERROR(__xludf.DUMMYFUNCTION("""COMPUTED_VALUE"""),45774.41379219908)</f>
        <v>45774.41379</v>
      </c>
      <c r="C138" s="10" t="str">
        <f>IFERROR(__xludf.DUMMYFUNCTION("""COMPUTED_VALUE"""),"Asma Gul ")</f>
        <v>Asma Gul </v>
      </c>
      <c r="D138" s="10" t="str">
        <f>IFERROR(__xludf.DUMMYFUNCTION("""COMPUTED_VALUE"""),"03459308620")</f>
        <v>03459308620</v>
      </c>
      <c r="E138" s="10" t="str">
        <f>IFERROR(__xludf.DUMMYFUNCTION("""COMPUTED_VALUE"""),"Jamia Masjid Hamam Wali Sotar Mandi Lahore")</f>
        <v>Jamia Masjid Hamam Wali Sotar Mandi Lahore</v>
      </c>
      <c r="F138" s="10" t="str">
        <f>IFERROR(__xludf.DUMMYFUNCTION("""COMPUTED_VALUE"""),"dwebz")</f>
        <v>dwebz</v>
      </c>
      <c r="G138" s="10" t="str">
        <f>IFERROR(__xludf.DUMMYFUNCTION("""COMPUTED_VALUE"""),"Yes")</f>
        <v>Yes</v>
      </c>
      <c r="H138" s="10">
        <f>IFERROR(__xludf.DUMMYFUNCTION("""COMPUTED_VALUE"""),3.0)</f>
        <v>3</v>
      </c>
      <c r="I138" s="10">
        <f>IFERROR(__xludf.DUMMYFUNCTION("""COMPUTED_VALUE"""),7.0)</f>
        <v>7</v>
      </c>
      <c r="J138" s="10">
        <f>IFERROR(__xludf.DUMMYFUNCTION("""COMPUTED_VALUE"""),4.0)</f>
        <v>4</v>
      </c>
      <c r="K138" s="10">
        <f>IFERROR(__xludf.DUMMYFUNCTION("""COMPUTED_VALUE"""),3.0)</f>
        <v>3</v>
      </c>
      <c r="L138" s="10">
        <f>IFERROR(__xludf.DUMMYFUNCTION("""COMPUTED_VALUE"""),5.0)</f>
        <v>5</v>
      </c>
      <c r="M138" s="10">
        <f>IFERROR(__xludf.DUMMYFUNCTION("""COMPUTED_VALUE"""),6.0)</f>
        <v>6</v>
      </c>
      <c r="N138" s="10">
        <f>IFERROR(__xludf.DUMMYFUNCTION("""COMPUTED_VALUE"""),5.0)</f>
        <v>5</v>
      </c>
      <c r="O138" s="10">
        <f>IFERROR(__xludf.DUMMYFUNCTION("""COMPUTED_VALUE"""),1.0)</f>
        <v>1</v>
      </c>
      <c r="P138" s="10">
        <f>IFERROR(__xludf.DUMMYFUNCTION("""COMPUTED_VALUE"""),8.0)</f>
        <v>8</v>
      </c>
      <c r="Q138" s="10" t="str">
        <f>IFERROR(__xludf.DUMMYFUNCTION("""COMPUTED_VALUE"""),"No")</f>
        <v>No</v>
      </c>
      <c r="R138" s="10" t="str">
        <f>IFERROR(__xludf.DUMMYFUNCTION("""COMPUTED_VALUE"""),"No")</f>
        <v>No</v>
      </c>
      <c r="S138" s="10" t="str">
        <f>IFERROR(__xludf.DUMMYFUNCTION("""COMPUTED_VALUE"""),"No")</f>
        <v>No</v>
      </c>
      <c r="T138" s="10">
        <f>IFERROR(__xludf.DUMMYFUNCTION("""COMPUTED_VALUE"""),0.0)</f>
        <v>0</v>
      </c>
      <c r="U138" s="10">
        <f>IFERROR(__xludf.DUMMYFUNCTION("""COMPUTED_VALUE"""),3.0)</f>
        <v>3</v>
      </c>
      <c r="V138" s="10" t="str">
        <f>IFERROR(__xludf.DUMMYFUNCTION("""COMPUTED_VALUE"""),"نبی کریم صلی اللہ علیہ وسلم کی زندگی ہمارے لیے مشعل راہ ")</f>
        <v>نبی کریم صلی اللہ علیہ وسلم کی زندگی ہمارے لیے مشعل راہ </v>
      </c>
      <c r="W138" s="10" t="str">
        <f>IFERROR(__xludf.DUMMYFUNCTION("""COMPUTED_VALUE"""),"نبی کریم صلی اللہ علیہ وسلم کے ناموں کی وضاحت کی اس کے ساتھ ساتھ نبی کریم صلی اللہ علیہ وسلم کی زندگی ہمارے لیے مشعل راہ ہے اور ان کے احادیث اور قول و فعل کا ذکر کیا ہے")</f>
        <v>نبی کریم صلی اللہ علیہ وسلم کے ناموں کی وضاحت کی اس کے ساتھ ساتھ نبی کریم صلی اللہ علیہ وسلم کی زندگی ہمارے لیے مشعل راہ ہے اور ان کے احادیث اور قول و فعل کا ذکر کیا ہے</v>
      </c>
      <c r="X138" s="10">
        <f>IFERROR(__xludf.DUMMYFUNCTION("""COMPUTED_VALUE"""),8.0)</f>
        <v>8</v>
      </c>
      <c r="Y138" s="10">
        <f>IFERROR(__xludf.DUMMYFUNCTION("""COMPUTED_VALUE"""),6.0)</f>
        <v>6</v>
      </c>
      <c r="Z138" s="10">
        <f>IFERROR(__xludf.DUMMYFUNCTION("""COMPUTED_VALUE"""),8.0)</f>
        <v>8</v>
      </c>
      <c r="AA138" s="10">
        <f>IFERROR(__xludf.DUMMYFUNCTION("""COMPUTED_VALUE"""),6.0)</f>
        <v>6</v>
      </c>
      <c r="AB138" s="10">
        <f>IFERROR(__xludf.DUMMYFUNCTION("""COMPUTED_VALUE"""),7.0)</f>
        <v>7</v>
      </c>
      <c r="AC138" s="10">
        <f>IFERROR(__xludf.DUMMYFUNCTION("""COMPUTED_VALUE"""),6.0)</f>
        <v>6</v>
      </c>
      <c r="AD138" s="10">
        <f>IFERROR(__xludf.DUMMYFUNCTION("""COMPUTED_VALUE"""),6.0)</f>
        <v>6</v>
      </c>
      <c r="AE138" s="10">
        <f>IFERROR(__xludf.DUMMYFUNCTION("""COMPUTED_VALUE"""),5.0)</f>
        <v>5</v>
      </c>
      <c r="AF138" s="10">
        <f>IFERROR(__xludf.DUMMYFUNCTION("""COMPUTED_VALUE"""),5.0)</f>
        <v>5</v>
      </c>
      <c r="AG138" s="10">
        <f>IFERROR(__xludf.DUMMYFUNCTION("""COMPUTED_VALUE"""),7.0)</f>
        <v>7</v>
      </c>
      <c r="AH138" s="10">
        <f>IFERROR(__xludf.DUMMYFUNCTION("""COMPUTED_VALUE"""),1.0)</f>
        <v>1</v>
      </c>
      <c r="AI138" s="10">
        <f>IFERROR(__xludf.DUMMYFUNCTION("""COMPUTED_VALUE"""),6.0)</f>
        <v>6</v>
      </c>
      <c r="AJ138" s="11" t="str">
        <f>IFERROR(__xludf.DUMMYFUNCTION("""COMPUTED_VALUE"""),"https://drive.google.com/open?id=19vQBsfdHcS2gMneQij4Ih551AMxVrDVo")</f>
        <v>https://drive.google.com/open?id=19vQBsfdHcS2gMneQij4Ih551AMxVrDVo</v>
      </c>
      <c r="AK138" s="12"/>
      <c r="AL138" s="12" t="str">
        <f>IFERROR(__xludf.DUMMYFUNCTION("""COMPUTED_VALUE"""),"Yes")</f>
        <v>Yes</v>
      </c>
      <c r="AM138" s="15">
        <f>IFERROR(__xludf.DUMMYFUNCTION("""COMPUTED_VALUE"""),0.5)</f>
        <v>0.5</v>
      </c>
      <c r="AN138" s="12" t="str">
        <f>IFERROR(__xludf.DUMMYFUNCTION("""COMPUTED_VALUE"""),"3rd week")</f>
        <v>3rd week</v>
      </c>
      <c r="AO138" s="13">
        <v>3.0</v>
      </c>
      <c r="AX138" s="13">
        <v>3.0</v>
      </c>
    </row>
    <row r="139">
      <c r="A139" s="8">
        <v>138.0</v>
      </c>
      <c r="B139" s="9">
        <f>IFERROR(__xludf.DUMMYFUNCTION("""COMPUTED_VALUE"""),45774.4495871875)</f>
        <v>45774.44959</v>
      </c>
      <c r="C139" s="10" t="str">
        <f>IFERROR(__xludf.DUMMYFUNCTION("""COMPUTED_VALUE"""),"M.Yamin kanwal")</f>
        <v>M.Yamin kanwal</v>
      </c>
      <c r="D139" s="10" t="str">
        <f>IFERROR(__xludf.DUMMYFUNCTION("""COMPUTED_VALUE"""),"03007774537")</f>
        <v>03007774537</v>
      </c>
      <c r="E139" s="10" t="str">
        <f>IFERROR(__xludf.DUMMYFUNCTION("""COMPUTED_VALUE"""),"Jamia masjid noor")</f>
        <v>Jamia masjid noor</v>
      </c>
      <c r="F139" s="10" t="str">
        <f>IFERROR(__xludf.DUMMYFUNCTION("""COMPUTED_VALUE"""),"OHBDV")</f>
        <v>OHBDV</v>
      </c>
      <c r="G139" s="10" t="str">
        <f>IFERROR(__xludf.DUMMYFUNCTION("""COMPUTED_VALUE"""),"Yes")</f>
        <v>Yes</v>
      </c>
      <c r="H139" s="10">
        <f>IFERROR(__xludf.DUMMYFUNCTION("""COMPUTED_VALUE"""),8.0)</f>
        <v>8</v>
      </c>
      <c r="I139" s="10">
        <f>IFERROR(__xludf.DUMMYFUNCTION("""COMPUTED_VALUE"""),2.0)</f>
        <v>2</v>
      </c>
      <c r="J139" s="10">
        <f>IFERROR(__xludf.DUMMYFUNCTION("""COMPUTED_VALUE"""),8.0)</f>
        <v>8</v>
      </c>
      <c r="K139" s="10">
        <f>IFERROR(__xludf.DUMMYFUNCTION("""COMPUTED_VALUE"""),8.0)</f>
        <v>8</v>
      </c>
      <c r="L139" s="10">
        <f>IFERROR(__xludf.DUMMYFUNCTION("""COMPUTED_VALUE"""),0.0)</f>
        <v>0</v>
      </c>
      <c r="M139" s="10">
        <f>IFERROR(__xludf.DUMMYFUNCTION("""COMPUTED_VALUE"""),8.0)</f>
        <v>8</v>
      </c>
      <c r="N139" s="10">
        <f>IFERROR(__xludf.DUMMYFUNCTION("""COMPUTED_VALUE"""),8.0)</f>
        <v>8</v>
      </c>
      <c r="O139" s="10">
        <f>IFERROR(__xludf.DUMMYFUNCTION("""COMPUTED_VALUE"""),6.0)</f>
        <v>6</v>
      </c>
      <c r="P139" s="10">
        <f>IFERROR(__xludf.DUMMYFUNCTION("""COMPUTED_VALUE"""),0.0)</f>
        <v>0</v>
      </c>
      <c r="Q139" s="10" t="str">
        <f>IFERROR(__xludf.DUMMYFUNCTION("""COMPUTED_VALUE"""),"Yes")</f>
        <v>Yes</v>
      </c>
      <c r="R139" s="10" t="str">
        <f>IFERROR(__xludf.DUMMYFUNCTION("""COMPUTED_VALUE"""),"No")</f>
        <v>No</v>
      </c>
      <c r="S139" s="10" t="str">
        <f>IFERROR(__xludf.DUMMYFUNCTION("""COMPUTED_VALUE"""),"Yes")</f>
        <v>Yes</v>
      </c>
      <c r="T139" s="10">
        <f>IFERROR(__xludf.DUMMYFUNCTION("""COMPUTED_VALUE"""),0.0)</f>
        <v>0</v>
      </c>
      <c r="U139" s="10">
        <f>IFERROR(__xludf.DUMMYFUNCTION("""COMPUTED_VALUE"""),0.0)</f>
        <v>0</v>
      </c>
      <c r="V139" s="10" t="str">
        <f>IFERROR(__xludf.DUMMYFUNCTION("""COMPUTED_VALUE"""),"Orat ka muqam or kirdar")</f>
        <v>Orat ka muqam or kirdar</v>
      </c>
      <c r="W139" s="10" t="str">
        <f>IFERROR(__xludf.DUMMYFUNCTION("""COMPUTED_VALUE"""),"Zmana jahliat or Nabi Pak ki aamid k bad orat ki ehmiat or muqam ko biyan kia gya.orat ki taleem or ehmiat ko mard k brabar rkha gya")</f>
        <v>Zmana jahliat or Nabi Pak ki aamid k bad orat ki ehmiat or muqam ko biyan kia gya.orat ki taleem or ehmiat ko mard k brabar rkha gya</v>
      </c>
      <c r="X139" s="10">
        <f>IFERROR(__xludf.DUMMYFUNCTION("""COMPUTED_VALUE"""),0.0)</f>
        <v>0</v>
      </c>
      <c r="Y139" s="10">
        <f>IFERROR(__xludf.DUMMYFUNCTION("""COMPUTED_VALUE"""),2.0)</f>
        <v>2</v>
      </c>
      <c r="Z139" s="10">
        <f>IFERROR(__xludf.DUMMYFUNCTION("""COMPUTED_VALUE"""),2.0)</f>
        <v>2</v>
      </c>
      <c r="AA139" s="10">
        <f>IFERROR(__xludf.DUMMYFUNCTION("""COMPUTED_VALUE"""),0.0)</f>
        <v>0</v>
      </c>
      <c r="AB139" s="10">
        <f>IFERROR(__xludf.DUMMYFUNCTION("""COMPUTED_VALUE"""),0.0)</f>
        <v>0</v>
      </c>
      <c r="AC139" s="10">
        <f>IFERROR(__xludf.DUMMYFUNCTION("""COMPUTED_VALUE"""),0.0)</f>
        <v>0</v>
      </c>
      <c r="AD139" s="10">
        <f>IFERROR(__xludf.DUMMYFUNCTION("""COMPUTED_VALUE"""),0.0)</f>
        <v>0</v>
      </c>
      <c r="AE139" s="10">
        <f>IFERROR(__xludf.DUMMYFUNCTION("""COMPUTED_VALUE"""),0.0)</f>
        <v>0</v>
      </c>
      <c r="AF139" s="10">
        <f>IFERROR(__xludf.DUMMYFUNCTION("""COMPUTED_VALUE"""),9.0)</f>
        <v>9</v>
      </c>
      <c r="AG139" s="10">
        <f>IFERROR(__xludf.DUMMYFUNCTION("""COMPUTED_VALUE"""),9.0)</f>
        <v>9</v>
      </c>
      <c r="AH139" s="10">
        <f>IFERROR(__xludf.DUMMYFUNCTION("""COMPUTED_VALUE"""),0.0)</f>
        <v>0</v>
      </c>
      <c r="AI139" s="10">
        <f>IFERROR(__xludf.DUMMYFUNCTION("""COMPUTED_VALUE"""),9.0)</f>
        <v>9</v>
      </c>
      <c r="AJ139" s="11" t="str">
        <f>IFERROR(__xludf.DUMMYFUNCTION("""COMPUTED_VALUE"""),"https://drive.google.com/open?id=13TfWvyx-aM6g4y9pDEBfkwkozAvlo_3g")</f>
        <v>https://drive.google.com/open?id=13TfWvyx-aM6g4y9pDEBfkwkozAvlo_3g</v>
      </c>
      <c r="AK139" s="12" t="str">
        <f>IFERROR(__xludf.DUMMYFUNCTION("""COMPUTED_VALUE"""),"No thanks")</f>
        <v>No thanks</v>
      </c>
      <c r="AL139" s="12" t="str">
        <f>IFERROR(__xludf.DUMMYFUNCTION("""COMPUTED_VALUE"""),"Yes")</f>
        <v>Yes</v>
      </c>
      <c r="AM139" s="15">
        <f>IFERROR(__xludf.DUMMYFUNCTION("""COMPUTED_VALUE"""),0.8)</f>
        <v>0.8</v>
      </c>
      <c r="AN139" s="12" t="str">
        <f>IFERROR(__xludf.DUMMYFUNCTION("""COMPUTED_VALUE"""),"1st week")</f>
        <v>1st week</v>
      </c>
      <c r="AO139" s="13">
        <v>1.0</v>
      </c>
      <c r="AX139" s="13"/>
    </row>
    <row r="140">
      <c r="A140" s="8">
        <v>139.0</v>
      </c>
      <c r="B140" s="9">
        <f>IFERROR(__xludf.DUMMYFUNCTION("""COMPUTED_VALUE"""),45774.49819607638)</f>
        <v>45774.4982</v>
      </c>
      <c r="C140" s="10" t="str">
        <f>IFERROR(__xludf.DUMMYFUNCTION("""COMPUTED_VALUE"""),"Umar butt ")</f>
        <v>Umar butt </v>
      </c>
      <c r="D140" s="10" t="str">
        <f>IFERROR(__xludf.DUMMYFUNCTION("""COMPUTED_VALUE"""),"03200099395")</f>
        <v>03200099395</v>
      </c>
      <c r="E140" s="10" t="str">
        <f>IFERROR(__xludf.DUMMYFUNCTION("""COMPUTED_VALUE"""),"Jamia Masjid Madina ")</f>
        <v>Jamia Masjid Madina </v>
      </c>
      <c r="F140" s="10" t="str">
        <f>IFERROR(__xludf.DUMMYFUNCTION("""COMPUTED_VALUE"""),"Lcwok")</f>
        <v>Lcwok</v>
      </c>
      <c r="G140" s="10" t="str">
        <f>IFERROR(__xludf.DUMMYFUNCTION("""COMPUTED_VALUE"""),"No")</f>
        <v>No</v>
      </c>
      <c r="H140" s="10"/>
      <c r="I140" s="10"/>
      <c r="J140" s="10"/>
      <c r="K140" s="10">
        <f>IFERROR(__xludf.DUMMYFUNCTION("""COMPUTED_VALUE"""),0.0)</f>
        <v>0</v>
      </c>
      <c r="L140" s="10">
        <f>IFERROR(__xludf.DUMMYFUNCTION("""COMPUTED_VALUE"""),0.0)</f>
        <v>0</v>
      </c>
      <c r="M140" s="10">
        <f>IFERROR(__xludf.DUMMYFUNCTION("""COMPUTED_VALUE"""),0.0)</f>
        <v>0</v>
      </c>
      <c r="N140" s="10">
        <f>IFERROR(__xludf.DUMMYFUNCTION("""COMPUTED_VALUE"""),0.0)</f>
        <v>0</v>
      </c>
      <c r="O140" s="10">
        <f>IFERROR(__xludf.DUMMYFUNCTION("""COMPUTED_VALUE"""),0.0)</f>
        <v>0</v>
      </c>
      <c r="P140" s="10">
        <f>IFERROR(__xludf.DUMMYFUNCTION("""COMPUTED_VALUE"""),0.0)</f>
        <v>0</v>
      </c>
      <c r="Q140" s="10" t="str">
        <f>IFERROR(__xludf.DUMMYFUNCTION("""COMPUTED_VALUE"""),"No")</f>
        <v>No</v>
      </c>
      <c r="R140" s="10" t="str">
        <f>IFERROR(__xludf.DUMMYFUNCTION("""COMPUTED_VALUE"""),"No")</f>
        <v>No</v>
      </c>
      <c r="S140" s="10" t="str">
        <f>IFERROR(__xludf.DUMMYFUNCTION("""COMPUTED_VALUE"""),"No")</f>
        <v>No</v>
      </c>
      <c r="T140" s="10">
        <f>IFERROR(__xludf.DUMMYFUNCTION("""COMPUTED_VALUE"""),2.0)</f>
        <v>2</v>
      </c>
      <c r="U140" s="10">
        <f>IFERROR(__xludf.DUMMYFUNCTION("""COMPUTED_VALUE"""),2.0)</f>
        <v>2</v>
      </c>
      <c r="V140" s="10" t="str">
        <f>IFERROR(__xludf.DUMMYFUNCTION("""COMPUTED_VALUE"""),"حضرت حمزہ کی پیدائش سے شہادت تک تبصرہ")</f>
        <v>حضرت حمزہ کی پیدائش سے شہادت تک تبصرہ</v>
      </c>
      <c r="W140" s="10" t="str">
        <f>IFERROR(__xludf.DUMMYFUNCTION("""COMPUTED_VALUE"""),"حضرت حمزہ اور آپ صلی اللہ علیہ وسلم کا بھائی چارہ ")</f>
        <v>حضرت حمزہ اور آپ صلی اللہ علیہ وسلم کا بھائی چارہ </v>
      </c>
      <c r="X140" s="10">
        <f>IFERROR(__xludf.DUMMYFUNCTION("""COMPUTED_VALUE"""),2.0)</f>
        <v>2</v>
      </c>
      <c r="Y140" s="10">
        <f>IFERROR(__xludf.DUMMYFUNCTION("""COMPUTED_VALUE"""),2.0)</f>
        <v>2</v>
      </c>
      <c r="Z140" s="10">
        <f>IFERROR(__xludf.DUMMYFUNCTION("""COMPUTED_VALUE"""),2.0)</f>
        <v>2</v>
      </c>
      <c r="AA140" s="10">
        <f>IFERROR(__xludf.DUMMYFUNCTION("""COMPUTED_VALUE"""),2.0)</f>
        <v>2</v>
      </c>
      <c r="AB140" s="10">
        <f>IFERROR(__xludf.DUMMYFUNCTION("""COMPUTED_VALUE"""),5.0)</f>
        <v>5</v>
      </c>
      <c r="AC140" s="10">
        <f>IFERROR(__xludf.DUMMYFUNCTION("""COMPUTED_VALUE"""),0.0)</f>
        <v>0</v>
      </c>
      <c r="AD140" s="10">
        <f>IFERROR(__xludf.DUMMYFUNCTION("""COMPUTED_VALUE"""),0.0)</f>
        <v>0</v>
      </c>
      <c r="AE140" s="10">
        <f>IFERROR(__xludf.DUMMYFUNCTION("""COMPUTED_VALUE"""),2.0)</f>
        <v>2</v>
      </c>
      <c r="AF140" s="10">
        <f>IFERROR(__xludf.DUMMYFUNCTION("""COMPUTED_VALUE"""),8.0)</f>
        <v>8</v>
      </c>
      <c r="AG140" s="10">
        <f>IFERROR(__xludf.DUMMYFUNCTION("""COMPUTED_VALUE"""),8.0)</f>
        <v>8</v>
      </c>
      <c r="AH140" s="10">
        <f>IFERROR(__xludf.DUMMYFUNCTION("""COMPUTED_VALUE"""),0.0)</f>
        <v>0</v>
      </c>
      <c r="AI140" s="10">
        <f>IFERROR(__xludf.DUMMYFUNCTION("""COMPUTED_VALUE"""),8.0)</f>
        <v>8</v>
      </c>
      <c r="AJ140" s="11" t="str">
        <f>IFERROR(__xludf.DUMMYFUNCTION("""COMPUTED_VALUE"""),"https://drive.google.com/file/d/1QGBivu8hqfeJU9bpIjockJkIwES9QHWJ/view?usp=drive_link")</f>
        <v>https://drive.google.com/file/d/1QGBivu8hqfeJU9bpIjockJkIwES9QHWJ/view?usp=drive_link</v>
      </c>
      <c r="AK140" s="12" t="str">
        <f>IFERROR(__xludf.DUMMYFUNCTION("""COMPUTED_VALUE"""),"اب تک جتنی مسجدوں میں اس لحاظ سے شریک ہوا زیادہ تر بیان اسوہ حسنہ پر ہی دیا گیا ")</f>
        <v>اب تک جتنی مسجدوں میں اس لحاظ سے شریک ہوا زیادہ تر بیان اسوہ حسنہ پر ہی دیا گیا </v>
      </c>
      <c r="AL140" s="12"/>
      <c r="AM140" s="12"/>
      <c r="AN140" s="12" t="str">
        <f>IFERROR(__xludf.DUMMYFUNCTION("""COMPUTED_VALUE"""),"3ed week")</f>
        <v>3ed week</v>
      </c>
      <c r="AO140" s="13">
        <v>1.0</v>
      </c>
      <c r="AX140" s="13"/>
    </row>
    <row r="141">
      <c r="A141" s="8">
        <v>140.0</v>
      </c>
      <c r="B141" s="9">
        <f>IFERROR(__xludf.DUMMYFUNCTION("""COMPUTED_VALUE"""),45774.53745509259)</f>
        <v>45774.53746</v>
      </c>
      <c r="C141" s="10" t="str">
        <f>IFERROR(__xludf.DUMMYFUNCTION("""COMPUTED_VALUE"""),"M.Rizwan")</f>
        <v>M.Rizwan</v>
      </c>
      <c r="D141" s="10" t="str">
        <f>IFERROR(__xludf.DUMMYFUNCTION("""COMPUTED_VALUE"""),"03084373512")</f>
        <v>03084373512</v>
      </c>
      <c r="E141" s="10" t="str">
        <f>IFERROR(__xludf.DUMMYFUNCTION("""COMPUTED_VALUE"""),"Jamia Masjid Farooq Abad auqaf wali ")</f>
        <v>Jamia Masjid Farooq Abad auqaf wali </v>
      </c>
      <c r="F141" s="10" t="str">
        <f>IFERROR(__xludf.DUMMYFUNCTION("""COMPUTED_VALUE"""),"GARUU")</f>
        <v>GARUU</v>
      </c>
      <c r="G141" s="10" t="str">
        <f>IFERROR(__xludf.DUMMYFUNCTION("""COMPUTED_VALUE"""),"No")</f>
        <v>No</v>
      </c>
      <c r="H141" s="10"/>
      <c r="I141" s="10"/>
      <c r="J141" s="10"/>
      <c r="K141" s="10">
        <f>IFERROR(__xludf.DUMMYFUNCTION("""COMPUTED_VALUE"""),9.0)</f>
        <v>9</v>
      </c>
      <c r="L141" s="10">
        <f>IFERROR(__xludf.DUMMYFUNCTION("""COMPUTED_VALUE"""),0.0)</f>
        <v>0</v>
      </c>
      <c r="M141" s="10">
        <f>IFERROR(__xludf.DUMMYFUNCTION("""COMPUTED_VALUE"""),8.0)</f>
        <v>8</v>
      </c>
      <c r="N141" s="10">
        <f>IFERROR(__xludf.DUMMYFUNCTION("""COMPUTED_VALUE"""),0.0)</f>
        <v>0</v>
      </c>
      <c r="O141" s="10">
        <f>IFERROR(__xludf.DUMMYFUNCTION("""COMPUTED_VALUE"""),3.0)</f>
        <v>3</v>
      </c>
      <c r="P141" s="10">
        <f>IFERROR(__xludf.DUMMYFUNCTION("""COMPUTED_VALUE"""),0.0)</f>
        <v>0</v>
      </c>
      <c r="Q141" s="10" t="str">
        <f>IFERROR(__xludf.DUMMYFUNCTION("""COMPUTED_VALUE"""),"No")</f>
        <v>No</v>
      </c>
      <c r="R141" s="10" t="str">
        <f>IFERROR(__xludf.DUMMYFUNCTION("""COMPUTED_VALUE"""),"No")</f>
        <v>No</v>
      </c>
      <c r="S141" s="10" t="str">
        <f>IFERROR(__xludf.DUMMYFUNCTION("""COMPUTED_VALUE"""),"No")</f>
        <v>No</v>
      </c>
      <c r="T141" s="10">
        <f>IFERROR(__xludf.DUMMYFUNCTION("""COMPUTED_VALUE"""),0.0)</f>
        <v>0</v>
      </c>
      <c r="U141" s="10">
        <f>IFERROR(__xludf.DUMMYFUNCTION("""COMPUTED_VALUE"""),0.0)</f>
        <v>0</v>
      </c>
      <c r="V141" s="10" t="str">
        <f>IFERROR(__xludf.DUMMYFUNCTION("""COMPUTED_VALUE"""),"Women right in Islam ")</f>
        <v>Women right in Islam </v>
      </c>
      <c r="W141" s="10" t="str">
        <f>IFERROR(__xludf.DUMMYFUNCTION("""COMPUTED_VALUE"""),"Women right ")</f>
        <v>Women right </v>
      </c>
      <c r="X141" s="10">
        <f>IFERROR(__xludf.DUMMYFUNCTION("""COMPUTED_VALUE"""),0.0)</f>
        <v>0</v>
      </c>
      <c r="Y141" s="10">
        <f>IFERROR(__xludf.DUMMYFUNCTION("""COMPUTED_VALUE"""),2.0)</f>
        <v>2</v>
      </c>
      <c r="Z141" s="10">
        <f>IFERROR(__xludf.DUMMYFUNCTION("""COMPUTED_VALUE"""),1.0)</f>
        <v>1</v>
      </c>
      <c r="AA141" s="10">
        <f>IFERROR(__xludf.DUMMYFUNCTION("""COMPUTED_VALUE"""),2.0)</f>
        <v>2</v>
      </c>
      <c r="AB141" s="10">
        <f>IFERROR(__xludf.DUMMYFUNCTION("""COMPUTED_VALUE"""),1.0)</f>
        <v>1</v>
      </c>
      <c r="AC141" s="10">
        <f>IFERROR(__xludf.DUMMYFUNCTION("""COMPUTED_VALUE"""),0.0)</f>
        <v>0</v>
      </c>
      <c r="AD141" s="10">
        <f>IFERROR(__xludf.DUMMYFUNCTION("""COMPUTED_VALUE"""),0.0)</f>
        <v>0</v>
      </c>
      <c r="AE141" s="10">
        <f>IFERROR(__xludf.DUMMYFUNCTION("""COMPUTED_VALUE"""),0.0)</f>
        <v>0</v>
      </c>
      <c r="AF141" s="10">
        <f>IFERROR(__xludf.DUMMYFUNCTION("""COMPUTED_VALUE"""),9.0)</f>
        <v>9</v>
      </c>
      <c r="AG141" s="10">
        <f>IFERROR(__xludf.DUMMYFUNCTION("""COMPUTED_VALUE"""),8.0)</f>
        <v>8</v>
      </c>
      <c r="AH141" s="10">
        <f>IFERROR(__xludf.DUMMYFUNCTION("""COMPUTED_VALUE"""),0.0)</f>
        <v>0</v>
      </c>
      <c r="AI141" s="10">
        <f>IFERROR(__xludf.DUMMYFUNCTION("""COMPUTED_VALUE"""),9.0)</f>
        <v>9</v>
      </c>
      <c r="AJ141" s="11" t="str">
        <f>IFERROR(__xludf.DUMMYFUNCTION("""COMPUTED_VALUE"""),"https://drive.google.com/open?id=1mF-yXHJO6--Lb2Cli8V2E5FMRzB2rH4HiJfsHFE09Yk")</f>
        <v>https://drive.google.com/open?id=1mF-yXHJO6--Lb2Cli8V2E5FMRzB2rH4HiJfsHFE09Yk</v>
      </c>
      <c r="AK141" s="12" t="str">
        <f>IFERROR(__xludf.DUMMYFUNCTION("""COMPUTED_VALUE"""),"Speaker voice was not clear due to technical error")</f>
        <v>Speaker voice was not clear due to technical error</v>
      </c>
      <c r="AL141" s="12"/>
      <c r="AM141" s="12"/>
      <c r="AN141" s="12" t="str">
        <f>IFERROR(__xludf.DUMMYFUNCTION("""COMPUTED_VALUE"""),"2nd week")</f>
        <v>2nd week</v>
      </c>
      <c r="AO141" s="13" t="s">
        <v>4</v>
      </c>
      <c r="AX141" s="13"/>
    </row>
    <row r="142">
      <c r="A142" s="8">
        <v>141.0</v>
      </c>
      <c r="B142" s="9">
        <f>IFERROR(__xludf.DUMMYFUNCTION("""COMPUTED_VALUE"""),45774.60624613426)</f>
        <v>45774.60625</v>
      </c>
      <c r="C142" s="10" t="str">
        <f>IFERROR(__xludf.DUMMYFUNCTION("""COMPUTED_VALUE"""),"Muqaddas ")</f>
        <v>Muqaddas </v>
      </c>
      <c r="D142" s="10" t="str">
        <f>IFERROR(__xludf.DUMMYFUNCTION("""COMPUTED_VALUE"""),"03075314147")</f>
        <v>03075314147</v>
      </c>
      <c r="E142" s="10" t="str">
        <f>IFERROR(__xludf.DUMMYFUNCTION("""COMPUTED_VALUE"""),"Jamia Masjid Abu Bakar Sadiq Jalu Moor Lahore")</f>
        <v>Jamia Masjid Abu Bakar Sadiq Jalu Moor Lahore</v>
      </c>
      <c r="F142" s="10" t="str">
        <f>IFERROR(__xludf.DUMMYFUNCTION("""COMPUTED_VALUE"""),"gqomo")</f>
        <v>gqomo</v>
      </c>
      <c r="G142" s="10" t="str">
        <f>IFERROR(__xludf.DUMMYFUNCTION("""COMPUTED_VALUE"""),"No")</f>
        <v>No</v>
      </c>
      <c r="H142" s="10"/>
      <c r="I142" s="10"/>
      <c r="J142" s="10"/>
      <c r="K142" s="10">
        <f>IFERROR(__xludf.DUMMYFUNCTION("""COMPUTED_VALUE"""),0.0)</f>
        <v>0</v>
      </c>
      <c r="L142" s="10">
        <f>IFERROR(__xludf.DUMMYFUNCTION("""COMPUTED_VALUE"""),0.0)</f>
        <v>0</v>
      </c>
      <c r="M142" s="10">
        <f>IFERROR(__xludf.DUMMYFUNCTION("""COMPUTED_VALUE"""),0.0)</f>
        <v>0</v>
      </c>
      <c r="N142" s="10">
        <f>IFERROR(__xludf.DUMMYFUNCTION("""COMPUTED_VALUE"""),0.0)</f>
        <v>0</v>
      </c>
      <c r="O142" s="10">
        <f>IFERROR(__xludf.DUMMYFUNCTION("""COMPUTED_VALUE"""),0.0)</f>
        <v>0</v>
      </c>
      <c r="P142" s="10">
        <f>IFERROR(__xludf.DUMMYFUNCTION("""COMPUTED_VALUE"""),0.0)</f>
        <v>0</v>
      </c>
      <c r="Q142" s="10" t="str">
        <f>IFERROR(__xludf.DUMMYFUNCTION("""COMPUTED_VALUE"""),"No")</f>
        <v>No</v>
      </c>
      <c r="R142" s="10" t="str">
        <f>IFERROR(__xludf.DUMMYFUNCTION("""COMPUTED_VALUE"""),"No")</f>
        <v>No</v>
      </c>
      <c r="S142" s="10" t="str">
        <f>IFERROR(__xludf.DUMMYFUNCTION("""COMPUTED_VALUE"""),"No")</f>
        <v>No</v>
      </c>
      <c r="T142" s="10">
        <f>IFERROR(__xludf.DUMMYFUNCTION("""COMPUTED_VALUE"""),0.0)</f>
        <v>0</v>
      </c>
      <c r="U142" s="10">
        <f>IFERROR(__xludf.DUMMYFUNCTION("""COMPUTED_VALUE"""),0.0)</f>
        <v>0</v>
      </c>
      <c r="V142" s="10" t="str">
        <f>IFERROR(__xludf.DUMMYFUNCTION("""COMPUTED_VALUE"""),"دنیا دھوکہ اور اخرت اپنی زندگی ہے")</f>
        <v>دنیا دھوکہ اور اخرت اپنی زندگی ہے</v>
      </c>
      <c r="W142" s="10" t="str">
        <f>IFERROR(__xludf.DUMMYFUNCTION("""COMPUTED_VALUE""")," ابدی گھر جو ہے انسان کا وہ اخرت کا گھر ہے جو  دنیا کا یہ جو حصہ ہم گزار ہیں زندگی کا یہ حقیقت میں ابتدائی زندگی ہے ")</f>
        <v> ابدی گھر جو ہے انسان کا وہ اخرت کا گھر ہے جو  دنیا کا یہ جو حصہ ہم گزار ہیں زندگی کا یہ حقیقت میں ابتدائی زندگی ہے </v>
      </c>
      <c r="X142" s="10">
        <f>IFERROR(__xludf.DUMMYFUNCTION("""COMPUTED_VALUE"""),7.0)</f>
        <v>7</v>
      </c>
      <c r="Y142" s="10">
        <f>IFERROR(__xludf.DUMMYFUNCTION("""COMPUTED_VALUE"""),2.0)</f>
        <v>2</v>
      </c>
      <c r="Z142" s="10">
        <f>IFERROR(__xludf.DUMMYFUNCTION("""COMPUTED_VALUE"""),1.0)</f>
        <v>1</v>
      </c>
      <c r="AA142" s="10">
        <f>IFERROR(__xludf.DUMMYFUNCTION("""COMPUTED_VALUE"""),4.0)</f>
        <v>4</v>
      </c>
      <c r="AB142" s="10">
        <f>IFERROR(__xludf.DUMMYFUNCTION("""COMPUTED_VALUE"""),1.0)</f>
        <v>1</v>
      </c>
      <c r="AC142" s="10">
        <f>IFERROR(__xludf.DUMMYFUNCTION("""COMPUTED_VALUE"""),0.0)</f>
        <v>0</v>
      </c>
      <c r="AD142" s="10">
        <f>IFERROR(__xludf.DUMMYFUNCTION("""COMPUTED_VALUE"""),0.0)</f>
        <v>0</v>
      </c>
      <c r="AE142" s="10">
        <f>IFERROR(__xludf.DUMMYFUNCTION("""COMPUTED_VALUE"""),0.0)</f>
        <v>0</v>
      </c>
      <c r="AF142" s="10">
        <f>IFERROR(__xludf.DUMMYFUNCTION("""COMPUTED_VALUE"""),0.0)</f>
        <v>0</v>
      </c>
      <c r="AG142" s="10">
        <f>IFERROR(__xludf.DUMMYFUNCTION("""COMPUTED_VALUE"""),10.0)</f>
        <v>10</v>
      </c>
      <c r="AH142" s="10">
        <f>IFERROR(__xludf.DUMMYFUNCTION("""COMPUTED_VALUE"""),0.0)</f>
        <v>0</v>
      </c>
      <c r="AI142" s="10">
        <f>IFERROR(__xludf.DUMMYFUNCTION("""COMPUTED_VALUE"""),5.0)</f>
        <v>5</v>
      </c>
      <c r="AJ142" s="11" t="str">
        <f>IFERROR(__xludf.DUMMYFUNCTION("""COMPUTED_VALUE"""),"https://drive.google.com/open?id=19T1gmW62F-7DpvlMmFhI63LCaqDy9wQ0")</f>
        <v>https://drive.google.com/open?id=19T1gmW62F-7DpvlMmFhI63LCaqDy9wQ0</v>
      </c>
      <c r="AK142" s="12" t="str">
        <f>IFERROR(__xludf.DUMMYFUNCTION("""COMPUTED_VALUE"""),"Nill")</f>
        <v>Nill</v>
      </c>
      <c r="AL142" s="12"/>
      <c r="AM142" s="12"/>
      <c r="AN142" s="12" t="str">
        <f>IFERROR(__xludf.DUMMYFUNCTION("""COMPUTED_VALUE"""),"3rd week")</f>
        <v>3rd week</v>
      </c>
      <c r="AO142" s="13">
        <v>3.0</v>
      </c>
      <c r="AX142" s="13">
        <v>3.0</v>
      </c>
    </row>
    <row r="143">
      <c r="A143" s="8">
        <v>142.0</v>
      </c>
      <c r="B143" s="9">
        <f>IFERROR(__xludf.DUMMYFUNCTION("""COMPUTED_VALUE"""),45774.99211875)</f>
        <v>45774.99212</v>
      </c>
      <c r="C143" s="10" t="str">
        <f>IFERROR(__xludf.DUMMYFUNCTION("""COMPUTED_VALUE"""),"Shakeela")</f>
        <v>Shakeela</v>
      </c>
      <c r="D143" s="10" t="str">
        <f>IFERROR(__xludf.DUMMYFUNCTION("""COMPUTED_VALUE"""),"03359485820")</f>
        <v>03359485820</v>
      </c>
      <c r="E143" s="10" t="str">
        <f>IFERROR(__xludf.DUMMYFUNCTION("""COMPUTED_VALUE"""),"Jamia Masjid Esha Sahib")</f>
        <v>Jamia Masjid Esha Sahib</v>
      </c>
      <c r="F143" s="10" t="str">
        <f>IFERROR(__xludf.DUMMYFUNCTION("""COMPUTED_VALUE"""),"zhcjl")</f>
        <v>zhcjl</v>
      </c>
      <c r="G143" s="10" t="str">
        <f>IFERROR(__xludf.DUMMYFUNCTION("""COMPUTED_VALUE"""),"Yes")</f>
        <v>Yes</v>
      </c>
      <c r="H143" s="10">
        <f>IFERROR(__xludf.DUMMYFUNCTION("""COMPUTED_VALUE"""),0.0)</f>
        <v>0</v>
      </c>
      <c r="I143" s="10">
        <f>IFERROR(__xludf.DUMMYFUNCTION("""COMPUTED_VALUE"""),0.0)</f>
        <v>0</v>
      </c>
      <c r="J143" s="10">
        <f>IFERROR(__xludf.DUMMYFUNCTION("""COMPUTED_VALUE"""),0.0)</f>
        <v>0</v>
      </c>
      <c r="K143" s="10">
        <f>IFERROR(__xludf.DUMMYFUNCTION("""COMPUTED_VALUE"""),0.0)</f>
        <v>0</v>
      </c>
      <c r="L143" s="10">
        <f>IFERROR(__xludf.DUMMYFUNCTION("""COMPUTED_VALUE"""),0.0)</f>
        <v>0</v>
      </c>
      <c r="M143" s="10">
        <f>IFERROR(__xludf.DUMMYFUNCTION("""COMPUTED_VALUE"""),0.0)</f>
        <v>0</v>
      </c>
      <c r="N143" s="10">
        <f>IFERROR(__xludf.DUMMYFUNCTION("""COMPUTED_VALUE"""),0.0)</f>
        <v>0</v>
      </c>
      <c r="O143" s="10">
        <f>IFERROR(__xludf.DUMMYFUNCTION("""COMPUTED_VALUE"""),0.0)</f>
        <v>0</v>
      </c>
      <c r="P143" s="10">
        <f>IFERROR(__xludf.DUMMYFUNCTION("""COMPUTED_VALUE"""),0.0)</f>
        <v>0</v>
      </c>
      <c r="Q143" s="10" t="str">
        <f>IFERROR(__xludf.DUMMYFUNCTION("""COMPUTED_VALUE"""),"No")</f>
        <v>No</v>
      </c>
      <c r="R143" s="10" t="str">
        <f>IFERROR(__xludf.DUMMYFUNCTION("""COMPUTED_VALUE"""),"No")</f>
        <v>No</v>
      </c>
      <c r="S143" s="10" t="str">
        <f>IFERROR(__xludf.DUMMYFUNCTION("""COMPUTED_VALUE"""),"No")</f>
        <v>No</v>
      </c>
      <c r="T143" s="10">
        <f>IFERROR(__xludf.DUMMYFUNCTION("""COMPUTED_VALUE"""),0.0)</f>
        <v>0</v>
      </c>
      <c r="U143" s="10">
        <f>IFERROR(__xludf.DUMMYFUNCTION("""COMPUTED_VALUE"""),0.0)</f>
        <v>0</v>
      </c>
      <c r="V143" s="10" t="str">
        <f>IFERROR(__xludf.DUMMYFUNCTION("""COMPUTED_VALUE"""),"Namaz AUr aaabi wasial ki qadar auur kharach")</f>
        <v>Namaz AUr aaabi wasial ki qadar auur kharach</v>
      </c>
      <c r="W143" s="10" t="str">
        <f>IFERROR(__xludf.DUMMYFUNCTION("""COMPUTED_VALUE"""),"AAbi wasail k islam ki nazar ma ahmiat")</f>
        <v>AAbi wasail k islam ki nazar ma ahmiat</v>
      </c>
      <c r="X143" s="10">
        <f>IFERROR(__xludf.DUMMYFUNCTION("""COMPUTED_VALUE"""),4.0)</f>
        <v>4</v>
      </c>
      <c r="Y143" s="10">
        <f>IFERROR(__xludf.DUMMYFUNCTION("""COMPUTED_VALUE"""),5.0)</f>
        <v>5</v>
      </c>
      <c r="Z143" s="10">
        <f>IFERROR(__xludf.DUMMYFUNCTION("""COMPUTED_VALUE"""),8.0)</f>
        <v>8</v>
      </c>
      <c r="AA143" s="10">
        <f>IFERROR(__xludf.DUMMYFUNCTION("""COMPUTED_VALUE"""),4.0)</f>
        <v>4</v>
      </c>
      <c r="AB143" s="10">
        <f>IFERROR(__xludf.DUMMYFUNCTION("""COMPUTED_VALUE"""),6.0)</f>
        <v>6</v>
      </c>
      <c r="AC143" s="10">
        <f>IFERROR(__xludf.DUMMYFUNCTION("""COMPUTED_VALUE"""),6.0)</f>
        <v>6</v>
      </c>
      <c r="AD143" s="10">
        <f>IFERROR(__xludf.DUMMYFUNCTION("""COMPUTED_VALUE"""),4.0)</f>
        <v>4</v>
      </c>
      <c r="AE143" s="10">
        <f>IFERROR(__xludf.DUMMYFUNCTION("""COMPUTED_VALUE"""),0.0)</f>
        <v>0</v>
      </c>
      <c r="AF143" s="10">
        <f>IFERROR(__xludf.DUMMYFUNCTION("""COMPUTED_VALUE"""),0.0)</f>
        <v>0</v>
      </c>
      <c r="AG143" s="10">
        <f>IFERROR(__xludf.DUMMYFUNCTION("""COMPUTED_VALUE"""),8.0)</f>
        <v>8</v>
      </c>
      <c r="AH143" s="10">
        <f>IFERROR(__xludf.DUMMYFUNCTION("""COMPUTED_VALUE"""),2.0)</f>
        <v>2</v>
      </c>
      <c r="AI143" s="10">
        <f>IFERROR(__xludf.DUMMYFUNCTION("""COMPUTED_VALUE"""),6.0)</f>
        <v>6</v>
      </c>
      <c r="AJ143" s="11" t="str">
        <f>IFERROR(__xludf.DUMMYFUNCTION("""COMPUTED_VALUE"""),"https://drive.google.com/open?id=1_wN0aUkIwRzYQt-MwpKAm2qS4iSBU3eB")</f>
        <v>https://drive.google.com/open?id=1_wN0aUkIwRzYQt-MwpKAm2qS4iSBU3eB</v>
      </c>
      <c r="AK143" s="12"/>
      <c r="AL143" s="12" t="str">
        <f>IFERROR(__xludf.DUMMYFUNCTION("""COMPUTED_VALUE"""),"Yes")</f>
        <v>Yes</v>
      </c>
      <c r="AM143" s="15">
        <f>IFERROR(__xludf.DUMMYFUNCTION("""COMPUTED_VALUE"""),0.0)</f>
        <v>0</v>
      </c>
      <c r="AN143" s="12" t="str">
        <f>IFERROR(__xludf.DUMMYFUNCTION("""COMPUTED_VALUE"""),"1st week")</f>
        <v>1st week</v>
      </c>
      <c r="AO143" s="13">
        <v>1.0</v>
      </c>
      <c r="AX143" s="13">
        <v>1.0</v>
      </c>
    </row>
    <row r="144">
      <c r="A144" s="8">
        <v>143.0</v>
      </c>
      <c r="B144" s="9">
        <f>IFERROR(__xludf.DUMMYFUNCTION("""COMPUTED_VALUE"""),45774.994976331014)</f>
        <v>45774.99498</v>
      </c>
      <c r="C144" s="10" t="str">
        <f>IFERROR(__xludf.DUMMYFUNCTION("""COMPUTED_VALUE"""),"Shakeela")</f>
        <v>Shakeela</v>
      </c>
      <c r="D144" s="10" t="str">
        <f>IFERROR(__xludf.DUMMYFUNCTION("""COMPUTED_VALUE"""),"03359485820")</f>
        <v>03359485820</v>
      </c>
      <c r="E144" s="10" t="str">
        <f>IFERROR(__xludf.DUMMYFUNCTION("""COMPUTED_VALUE"""),"Jamia Masjid Hamam Wali Sotar Mandi Lahore")</f>
        <v>Jamia Masjid Hamam Wali Sotar Mandi Lahore</v>
      </c>
      <c r="F144" s="10" t="str">
        <f>IFERROR(__xludf.DUMMYFUNCTION("""COMPUTED_VALUE"""),"dwebz")</f>
        <v>dwebz</v>
      </c>
      <c r="G144" s="10" t="str">
        <f>IFERROR(__xludf.DUMMYFUNCTION("""COMPUTED_VALUE"""),"Yes")</f>
        <v>Yes</v>
      </c>
      <c r="H144" s="10">
        <f>IFERROR(__xludf.DUMMYFUNCTION("""COMPUTED_VALUE"""),8.0)</f>
        <v>8</v>
      </c>
      <c r="I144" s="10">
        <f>IFERROR(__xludf.DUMMYFUNCTION("""COMPUTED_VALUE"""),7.0)</f>
        <v>7</v>
      </c>
      <c r="J144" s="10">
        <f>IFERROR(__xludf.DUMMYFUNCTION("""COMPUTED_VALUE"""),7.0)</f>
        <v>7</v>
      </c>
      <c r="K144" s="10">
        <f>IFERROR(__xludf.DUMMYFUNCTION("""COMPUTED_VALUE"""),0.0)</f>
        <v>0</v>
      </c>
      <c r="L144" s="10">
        <f>IFERROR(__xludf.DUMMYFUNCTION("""COMPUTED_VALUE"""),10.0)</f>
        <v>10</v>
      </c>
      <c r="M144" s="10">
        <f>IFERROR(__xludf.DUMMYFUNCTION("""COMPUTED_VALUE"""),0.0)</f>
        <v>0</v>
      </c>
      <c r="N144" s="10">
        <f>IFERROR(__xludf.DUMMYFUNCTION("""COMPUTED_VALUE"""),9.0)</f>
        <v>9</v>
      </c>
      <c r="O144" s="10">
        <f>IFERROR(__xludf.DUMMYFUNCTION("""COMPUTED_VALUE"""),0.0)</f>
        <v>0</v>
      </c>
      <c r="P144" s="10">
        <f>IFERROR(__xludf.DUMMYFUNCTION("""COMPUTED_VALUE"""),9.0)</f>
        <v>9</v>
      </c>
      <c r="Q144" s="10" t="str">
        <f>IFERROR(__xludf.DUMMYFUNCTION("""COMPUTED_VALUE"""),"No")</f>
        <v>No</v>
      </c>
      <c r="R144" s="10" t="str">
        <f>IFERROR(__xludf.DUMMYFUNCTION("""COMPUTED_VALUE"""),"Yes")</f>
        <v>Yes</v>
      </c>
      <c r="S144" s="10" t="str">
        <f>IFERROR(__xludf.DUMMYFUNCTION("""COMPUTED_VALUE"""),"No")</f>
        <v>No</v>
      </c>
      <c r="T144" s="10">
        <f>IFERROR(__xludf.DUMMYFUNCTION("""COMPUTED_VALUE"""),0.0)</f>
        <v>0</v>
      </c>
      <c r="U144" s="10">
        <f>IFERROR(__xludf.DUMMYFUNCTION("""COMPUTED_VALUE"""),0.0)</f>
        <v>0</v>
      </c>
      <c r="V144" s="10" t="str">
        <f>IFERROR(__xludf.DUMMYFUNCTION("""COMPUTED_VALUE"""),"Community Rights in the light of islam")</f>
        <v>Community Rights in the light of islam</v>
      </c>
      <c r="W144" s="10" t="str">
        <f>IFERROR(__xludf.DUMMYFUNCTION("""COMPUTED_VALUE"""),"Community Rights in the light of islam")</f>
        <v>Community Rights in the light of islam</v>
      </c>
      <c r="X144" s="10">
        <f>IFERROR(__xludf.DUMMYFUNCTION("""COMPUTED_VALUE"""),2.0)</f>
        <v>2</v>
      </c>
      <c r="Y144" s="10">
        <f>IFERROR(__xludf.DUMMYFUNCTION("""COMPUTED_VALUE"""),8.0)</f>
        <v>8</v>
      </c>
      <c r="Z144" s="10">
        <f>IFERROR(__xludf.DUMMYFUNCTION("""COMPUTED_VALUE"""),8.0)</f>
        <v>8</v>
      </c>
      <c r="AA144" s="10">
        <f>IFERROR(__xludf.DUMMYFUNCTION("""COMPUTED_VALUE"""),4.0)</f>
        <v>4</v>
      </c>
      <c r="AB144" s="10">
        <f>IFERROR(__xludf.DUMMYFUNCTION("""COMPUTED_VALUE"""),6.0)</f>
        <v>6</v>
      </c>
      <c r="AC144" s="10">
        <f>IFERROR(__xludf.DUMMYFUNCTION("""COMPUTED_VALUE"""),4.0)</f>
        <v>4</v>
      </c>
      <c r="AD144" s="10">
        <f>IFERROR(__xludf.DUMMYFUNCTION("""COMPUTED_VALUE"""),0.0)</f>
        <v>0</v>
      </c>
      <c r="AE144" s="10">
        <f>IFERROR(__xludf.DUMMYFUNCTION("""COMPUTED_VALUE"""),0.0)</f>
        <v>0</v>
      </c>
      <c r="AF144" s="10">
        <f>IFERROR(__xludf.DUMMYFUNCTION("""COMPUTED_VALUE"""),0.0)</f>
        <v>0</v>
      </c>
      <c r="AG144" s="10">
        <f>IFERROR(__xludf.DUMMYFUNCTION("""COMPUTED_VALUE"""),7.0)</f>
        <v>7</v>
      </c>
      <c r="AH144" s="10">
        <f>IFERROR(__xludf.DUMMYFUNCTION("""COMPUTED_VALUE"""),0.0)</f>
        <v>0</v>
      </c>
      <c r="AI144" s="10">
        <f>IFERROR(__xludf.DUMMYFUNCTION("""COMPUTED_VALUE"""),7.0)</f>
        <v>7</v>
      </c>
      <c r="AJ144" s="11" t="str">
        <f>IFERROR(__xludf.DUMMYFUNCTION("""COMPUTED_VALUE"""),"https://drive.google.com/open?id=1kn-c0frbRNLN4gUg77EivyI-4Tea0DTZ")</f>
        <v>https://drive.google.com/open?id=1kn-c0frbRNLN4gUg77EivyI-4Tea0DTZ</v>
      </c>
      <c r="AK144" s="12"/>
      <c r="AL144" s="12" t="str">
        <f>IFERROR(__xludf.DUMMYFUNCTION("""COMPUTED_VALUE"""),"Yes")</f>
        <v>Yes</v>
      </c>
      <c r="AM144" s="15">
        <f>IFERROR(__xludf.DUMMYFUNCTION("""COMPUTED_VALUE"""),0.8)</f>
        <v>0.8</v>
      </c>
      <c r="AN144" s="12" t="str">
        <f>IFERROR(__xludf.DUMMYFUNCTION("""COMPUTED_VALUE"""),"1st week")</f>
        <v>1st week</v>
      </c>
      <c r="AO144" s="13">
        <v>1.0</v>
      </c>
      <c r="AX144" s="13">
        <v>1.0</v>
      </c>
    </row>
    <row r="145">
      <c r="A145" s="8">
        <v>144.0</v>
      </c>
      <c r="B145" s="9">
        <f>IFERROR(__xludf.DUMMYFUNCTION("""COMPUTED_VALUE"""),45775.150730486115)</f>
        <v>45775.15073</v>
      </c>
      <c r="C145" s="10" t="str">
        <f>IFERROR(__xludf.DUMMYFUNCTION("""COMPUTED_VALUE"""),"Shakeela")</f>
        <v>Shakeela</v>
      </c>
      <c r="D145" s="10" t="str">
        <f>IFERROR(__xludf.DUMMYFUNCTION("""COMPUTED_VALUE"""),"03359485820")</f>
        <v>03359485820</v>
      </c>
      <c r="E145" s="10" t="str">
        <f>IFERROR(__xludf.DUMMYFUNCTION("""COMPUTED_VALUE"""),"Jamia Masjid Esha Shahab Lahore")</f>
        <v>Jamia Masjid Esha Shahab Lahore</v>
      </c>
      <c r="F145" s="10" t="str">
        <f>IFERROR(__xludf.DUMMYFUNCTION("""COMPUTED_VALUE"""),"zhcjl")</f>
        <v>zhcjl</v>
      </c>
      <c r="G145" s="10" t="str">
        <f>IFERROR(__xludf.DUMMYFUNCTION("""COMPUTED_VALUE"""),"Yes")</f>
        <v>Yes</v>
      </c>
      <c r="H145" s="10">
        <f>IFERROR(__xludf.DUMMYFUNCTION("""COMPUTED_VALUE"""),0.0)</f>
        <v>0</v>
      </c>
      <c r="I145" s="10">
        <f>IFERROR(__xludf.DUMMYFUNCTION("""COMPUTED_VALUE"""),0.0)</f>
        <v>0</v>
      </c>
      <c r="J145" s="10">
        <f>IFERROR(__xludf.DUMMYFUNCTION("""COMPUTED_VALUE"""),0.0)</f>
        <v>0</v>
      </c>
      <c r="K145" s="10">
        <f>IFERROR(__xludf.DUMMYFUNCTION("""COMPUTED_VALUE"""),0.0)</f>
        <v>0</v>
      </c>
      <c r="L145" s="10">
        <f>IFERROR(__xludf.DUMMYFUNCTION("""COMPUTED_VALUE"""),0.0)</f>
        <v>0</v>
      </c>
      <c r="M145" s="10">
        <f>IFERROR(__xludf.DUMMYFUNCTION("""COMPUTED_VALUE"""),0.0)</f>
        <v>0</v>
      </c>
      <c r="N145" s="10">
        <f>IFERROR(__xludf.DUMMYFUNCTION("""COMPUTED_VALUE"""),0.0)</f>
        <v>0</v>
      </c>
      <c r="O145" s="10">
        <f>IFERROR(__xludf.DUMMYFUNCTION("""COMPUTED_VALUE"""),0.0)</f>
        <v>0</v>
      </c>
      <c r="P145" s="10">
        <f>IFERROR(__xludf.DUMMYFUNCTION("""COMPUTED_VALUE"""),0.0)</f>
        <v>0</v>
      </c>
      <c r="Q145" s="10" t="str">
        <f>IFERROR(__xludf.DUMMYFUNCTION("""COMPUTED_VALUE"""),"No")</f>
        <v>No</v>
      </c>
      <c r="R145" s="10" t="str">
        <f>IFERROR(__xludf.DUMMYFUNCTION("""COMPUTED_VALUE"""),"No")</f>
        <v>No</v>
      </c>
      <c r="S145" s="10" t="str">
        <f>IFERROR(__xludf.DUMMYFUNCTION("""COMPUTED_VALUE"""),"No")</f>
        <v>No</v>
      </c>
      <c r="T145" s="10">
        <f>IFERROR(__xludf.DUMMYFUNCTION("""COMPUTED_VALUE"""),0.0)</f>
        <v>0</v>
      </c>
      <c r="U145" s="10">
        <f>IFERROR(__xludf.DUMMYFUNCTION("""COMPUTED_VALUE"""),0.0)</f>
        <v>0</v>
      </c>
      <c r="V145" s="10" t="str">
        <f>IFERROR(__xludf.DUMMYFUNCTION("""COMPUTED_VALUE"""),"Allah Aur Rasool Saw K Ahkmaat")</f>
        <v>Allah Aur Rasool Saw K Ahkmaat</v>
      </c>
      <c r="W145" s="10" t="str">
        <f>IFERROR(__xludf.DUMMYFUNCTION("""COMPUTED_VALUE"""),"Allah Aur Rasool Saw K Ahkmaat")</f>
        <v>Allah Aur Rasool Saw K Ahkmaat</v>
      </c>
      <c r="X145" s="10">
        <f>IFERROR(__xludf.DUMMYFUNCTION("""COMPUTED_VALUE"""),6.0)</f>
        <v>6</v>
      </c>
      <c r="Y145" s="10">
        <f>IFERROR(__xludf.DUMMYFUNCTION("""COMPUTED_VALUE"""),7.0)</f>
        <v>7</v>
      </c>
      <c r="Z145" s="10">
        <f>IFERROR(__xludf.DUMMYFUNCTION("""COMPUTED_VALUE"""),4.0)</f>
        <v>4</v>
      </c>
      <c r="AA145" s="10">
        <f>IFERROR(__xludf.DUMMYFUNCTION("""COMPUTED_VALUE"""),6.0)</f>
        <v>6</v>
      </c>
      <c r="AB145" s="10">
        <f>IFERROR(__xludf.DUMMYFUNCTION("""COMPUTED_VALUE"""),6.0)</f>
        <v>6</v>
      </c>
      <c r="AC145" s="10">
        <f>IFERROR(__xludf.DUMMYFUNCTION("""COMPUTED_VALUE"""),5.0)</f>
        <v>5</v>
      </c>
      <c r="AD145" s="10">
        <f>IFERROR(__xludf.DUMMYFUNCTION("""COMPUTED_VALUE"""),6.0)</f>
        <v>6</v>
      </c>
      <c r="AE145" s="10">
        <f>IFERROR(__xludf.DUMMYFUNCTION("""COMPUTED_VALUE"""),0.0)</f>
        <v>0</v>
      </c>
      <c r="AF145" s="10">
        <f>IFERROR(__xludf.DUMMYFUNCTION("""COMPUTED_VALUE"""),1.0)</f>
        <v>1</v>
      </c>
      <c r="AG145" s="10">
        <f>IFERROR(__xludf.DUMMYFUNCTION("""COMPUTED_VALUE"""),7.0)</f>
        <v>7</v>
      </c>
      <c r="AH145" s="10">
        <f>IFERROR(__xludf.DUMMYFUNCTION("""COMPUTED_VALUE"""),8.0)</f>
        <v>8</v>
      </c>
      <c r="AI145" s="10">
        <f>IFERROR(__xludf.DUMMYFUNCTION("""COMPUTED_VALUE"""),8.0)</f>
        <v>8</v>
      </c>
      <c r="AJ145" s="11" t="str">
        <f>IFERROR(__xludf.DUMMYFUNCTION("""COMPUTED_VALUE"""),"https://drive.google.com/open?id=1DKMieTLEVkYw2ZpFOqK28tsVlfURcxjC")</f>
        <v>https://drive.google.com/open?id=1DKMieTLEVkYw2ZpFOqK28tsVlfURcxjC</v>
      </c>
      <c r="AK145" s="12"/>
      <c r="AL145" s="12" t="str">
        <f>IFERROR(__xludf.DUMMYFUNCTION("""COMPUTED_VALUE"""),"Yes")</f>
        <v>Yes</v>
      </c>
      <c r="AM145" s="15">
        <f>IFERROR(__xludf.DUMMYFUNCTION("""COMPUTED_VALUE"""),0.0)</f>
        <v>0</v>
      </c>
      <c r="AN145" s="12" t="str">
        <f>IFERROR(__xludf.DUMMYFUNCTION("""COMPUTED_VALUE"""),"2nd week")</f>
        <v>2nd week</v>
      </c>
      <c r="AO145" s="13">
        <v>2.0</v>
      </c>
      <c r="AX145" s="13">
        <v>2.0</v>
      </c>
    </row>
    <row r="146">
      <c r="A146" s="8">
        <v>145.0</v>
      </c>
      <c r="B146" s="9">
        <f>IFERROR(__xludf.DUMMYFUNCTION("""COMPUTED_VALUE"""),45775.15829866898)</f>
        <v>45775.1583</v>
      </c>
      <c r="C146" s="10" t="str">
        <f>IFERROR(__xludf.DUMMYFUNCTION("""COMPUTED_VALUE"""),"Rabia")</f>
        <v>Rabia</v>
      </c>
      <c r="D146" s="10" t="str">
        <f>IFERROR(__xludf.DUMMYFUNCTION("""COMPUTED_VALUE"""),"03171522107")</f>
        <v>03171522107</v>
      </c>
      <c r="E146" s="10" t="str">
        <f>IFERROR(__xludf.DUMMYFUNCTION("""COMPUTED_VALUE"""),"Jamia masjid walton lahore")</f>
        <v>Jamia masjid walton lahore</v>
      </c>
      <c r="F146" s="10" t="str">
        <f>IFERROR(__xludf.DUMMYFUNCTION("""COMPUTED_VALUE"""),"Vmezu")</f>
        <v>Vmezu</v>
      </c>
      <c r="G146" s="10" t="str">
        <f>IFERROR(__xludf.DUMMYFUNCTION("""COMPUTED_VALUE"""),"No")</f>
        <v>No</v>
      </c>
      <c r="H146" s="10"/>
      <c r="I146" s="10"/>
      <c r="J146" s="10"/>
      <c r="K146" s="10">
        <f>IFERROR(__xludf.DUMMYFUNCTION("""COMPUTED_VALUE"""),10.0)</f>
        <v>10</v>
      </c>
      <c r="L146" s="10">
        <f>IFERROR(__xludf.DUMMYFUNCTION("""COMPUTED_VALUE"""),0.0)</f>
        <v>0</v>
      </c>
      <c r="M146" s="10">
        <f>IFERROR(__xludf.DUMMYFUNCTION("""COMPUTED_VALUE"""),10.0)</f>
        <v>10</v>
      </c>
      <c r="N146" s="10">
        <f>IFERROR(__xludf.DUMMYFUNCTION("""COMPUTED_VALUE"""),0.0)</f>
        <v>0</v>
      </c>
      <c r="O146" s="10">
        <f>IFERROR(__xludf.DUMMYFUNCTION("""COMPUTED_VALUE"""),10.0)</f>
        <v>10</v>
      </c>
      <c r="P146" s="10">
        <f>IFERROR(__xludf.DUMMYFUNCTION("""COMPUTED_VALUE"""),0.0)</f>
        <v>0</v>
      </c>
      <c r="Q146" s="10" t="str">
        <f>IFERROR(__xludf.DUMMYFUNCTION("""COMPUTED_VALUE"""),"Yes")</f>
        <v>Yes</v>
      </c>
      <c r="R146" s="10" t="str">
        <f>IFERROR(__xludf.DUMMYFUNCTION("""COMPUTED_VALUE"""),"No")</f>
        <v>No</v>
      </c>
      <c r="S146" s="10" t="str">
        <f>IFERROR(__xludf.DUMMYFUNCTION("""COMPUTED_VALUE"""),"Yes")</f>
        <v>Yes</v>
      </c>
      <c r="T146" s="10">
        <f>IFERROR(__xludf.DUMMYFUNCTION("""COMPUTED_VALUE"""),0.0)</f>
        <v>0</v>
      </c>
      <c r="U146" s="10">
        <f>IFERROR(__xludf.DUMMYFUNCTION("""COMPUTED_VALUE"""),0.0)</f>
        <v>0</v>
      </c>
      <c r="V146" s="10" t="str">
        <f>IFERROR(__xludf.DUMMYFUNCTION("""COMPUTED_VALUE"""),"عورتوں کے حقوق کے بارے میں ")</f>
        <v>عورتوں کے حقوق کے بارے میں </v>
      </c>
      <c r="W146" s="10" t="str">
        <f>IFERROR(__xludf.DUMMYFUNCTION("""COMPUTED_VALUE"""),"امام نے اپنے بیان میں یہ بات کی کہ عورت کو حقوق دیے جائیں کہ وہ پڑھے لکھے نرس بنے ڈاکٹر بنے ملک کی خدمت کر سکے ٹیچرز بنے ")</f>
        <v>امام نے اپنے بیان میں یہ بات کی کہ عورت کو حقوق دیے جائیں کہ وہ پڑھے لکھے نرس بنے ڈاکٹر بنے ملک کی خدمت کر سکے ٹیچرز بنے </v>
      </c>
      <c r="X146" s="10">
        <f>IFERROR(__xludf.DUMMYFUNCTION("""COMPUTED_VALUE"""),0.0)</f>
        <v>0</v>
      </c>
      <c r="Y146" s="10">
        <f>IFERROR(__xludf.DUMMYFUNCTION("""COMPUTED_VALUE"""),0.0)</f>
        <v>0</v>
      </c>
      <c r="Z146" s="10">
        <f>IFERROR(__xludf.DUMMYFUNCTION("""COMPUTED_VALUE"""),6.0)</f>
        <v>6</v>
      </c>
      <c r="AA146" s="10">
        <f>IFERROR(__xludf.DUMMYFUNCTION("""COMPUTED_VALUE"""),10.0)</f>
        <v>10</v>
      </c>
      <c r="AB146" s="10">
        <f>IFERROR(__xludf.DUMMYFUNCTION("""COMPUTED_VALUE"""),0.0)</f>
        <v>0</v>
      </c>
      <c r="AC146" s="10">
        <f>IFERROR(__xludf.DUMMYFUNCTION("""COMPUTED_VALUE"""),5.0)</f>
        <v>5</v>
      </c>
      <c r="AD146" s="10">
        <f>IFERROR(__xludf.DUMMYFUNCTION("""COMPUTED_VALUE"""),0.0)</f>
        <v>0</v>
      </c>
      <c r="AE146" s="10">
        <f>IFERROR(__xludf.DUMMYFUNCTION("""COMPUTED_VALUE"""),5.0)</f>
        <v>5</v>
      </c>
      <c r="AF146" s="10">
        <f>IFERROR(__xludf.DUMMYFUNCTION("""COMPUTED_VALUE"""),10.0)</f>
        <v>10</v>
      </c>
      <c r="AG146" s="10">
        <f>IFERROR(__xludf.DUMMYFUNCTION("""COMPUTED_VALUE"""),10.0)</f>
        <v>10</v>
      </c>
      <c r="AH146" s="10">
        <f>IFERROR(__xludf.DUMMYFUNCTION("""COMPUTED_VALUE"""),0.0)</f>
        <v>0</v>
      </c>
      <c r="AI146" s="10">
        <f>IFERROR(__xludf.DUMMYFUNCTION("""COMPUTED_VALUE"""),10.0)</f>
        <v>10</v>
      </c>
      <c r="AJ146" s="11" t="str">
        <f>IFERROR(__xludf.DUMMYFUNCTION("""COMPUTED_VALUE"""),"https://docs.google.com/document/d/1NR2vhN6PwOyAxBTKX-lUyLXEIMUgBXmT/edit?usp=drive_link&amp;ouid=114985145944407922695&amp;rtpof=true&amp;sd=true")</f>
        <v>https://docs.google.com/document/d/1NR2vhN6PwOyAxBTKX-lUyLXEIMUgBXmT/edit?usp=drive_link&amp;ouid=114985145944407922695&amp;rtpof=true&amp;sd=true</v>
      </c>
      <c r="AK146" s="12" t="str">
        <f>IFERROR(__xludf.DUMMYFUNCTION("""COMPUTED_VALUE"""),"No")</f>
        <v>No</v>
      </c>
      <c r="AL146" s="12"/>
      <c r="AM146" s="12"/>
      <c r="AN146" s="12" t="str">
        <f>IFERROR(__xludf.DUMMYFUNCTION("""COMPUTED_VALUE"""),"3rd week")</f>
        <v>3rd week</v>
      </c>
      <c r="AO146" s="13">
        <v>3.0</v>
      </c>
      <c r="AX146" s="13">
        <v>3.0</v>
      </c>
    </row>
    <row r="147">
      <c r="A147" s="8">
        <v>146.0</v>
      </c>
      <c r="B147" s="9">
        <f>IFERROR(__xludf.DUMMYFUNCTION("""COMPUTED_VALUE"""),45775.20845440972)</f>
        <v>45775.20845</v>
      </c>
      <c r="C147" s="10" t="str">
        <f>IFERROR(__xludf.DUMMYFUNCTION("""COMPUTED_VALUE"""),"Shakeela ")</f>
        <v>Shakeela </v>
      </c>
      <c r="D147" s="10" t="str">
        <f>IFERROR(__xludf.DUMMYFUNCTION("""COMPUTED_VALUE"""),"03359485820")</f>
        <v>03359485820</v>
      </c>
      <c r="E147" s="10" t="str">
        <f>IFERROR(__xludf.DUMMYFUNCTION("""COMPUTED_VALUE"""),"Jamia Masjid Gamti Bazar Lahore")</f>
        <v>Jamia Masjid Gamti Bazar Lahore</v>
      </c>
      <c r="F147" s="10" t="str">
        <f>IFERROR(__xludf.DUMMYFUNCTION("""COMPUTED_VALUE"""),"ptnjj")</f>
        <v>ptnjj</v>
      </c>
      <c r="G147" s="10" t="str">
        <f>IFERROR(__xludf.DUMMYFUNCTION("""COMPUTED_VALUE"""),"No")</f>
        <v>No</v>
      </c>
      <c r="H147" s="10"/>
      <c r="I147" s="10"/>
      <c r="J147" s="10"/>
      <c r="K147" s="10">
        <f>IFERROR(__xludf.DUMMYFUNCTION("""COMPUTED_VALUE"""),0.0)</f>
        <v>0</v>
      </c>
      <c r="L147" s="10">
        <f>IFERROR(__xludf.DUMMYFUNCTION("""COMPUTED_VALUE"""),0.0)</f>
        <v>0</v>
      </c>
      <c r="M147" s="10">
        <f>IFERROR(__xludf.DUMMYFUNCTION("""COMPUTED_VALUE"""),0.0)</f>
        <v>0</v>
      </c>
      <c r="N147" s="10">
        <f>IFERROR(__xludf.DUMMYFUNCTION("""COMPUTED_VALUE"""),0.0)</f>
        <v>0</v>
      </c>
      <c r="O147" s="10">
        <f>IFERROR(__xludf.DUMMYFUNCTION("""COMPUTED_VALUE"""),0.0)</f>
        <v>0</v>
      </c>
      <c r="P147" s="10">
        <f>IFERROR(__xludf.DUMMYFUNCTION("""COMPUTED_VALUE"""),0.0)</f>
        <v>0</v>
      </c>
      <c r="Q147" s="10" t="str">
        <f>IFERROR(__xludf.DUMMYFUNCTION("""COMPUTED_VALUE"""),"No")</f>
        <v>No</v>
      </c>
      <c r="R147" s="10" t="str">
        <f>IFERROR(__xludf.DUMMYFUNCTION("""COMPUTED_VALUE"""),"No")</f>
        <v>No</v>
      </c>
      <c r="S147" s="10" t="str">
        <f>IFERROR(__xludf.DUMMYFUNCTION("""COMPUTED_VALUE"""),"No")</f>
        <v>No</v>
      </c>
      <c r="T147" s="10">
        <f>IFERROR(__xludf.DUMMYFUNCTION("""COMPUTED_VALUE"""),0.0)</f>
        <v>0</v>
      </c>
      <c r="U147" s="10">
        <f>IFERROR(__xludf.DUMMYFUNCTION("""COMPUTED_VALUE"""),0.0)</f>
        <v>0</v>
      </c>
      <c r="V147" s="10" t="str">
        <f>IFERROR(__xludf.DUMMYFUNCTION("""COMPUTED_VALUE"""),"Tauheed")</f>
        <v>Tauheed</v>
      </c>
      <c r="W147" s="10" t="str">
        <f>IFERROR(__xludf.DUMMYFUNCTION("""COMPUTED_VALUE"""),"Tauheed")</f>
        <v>Tauheed</v>
      </c>
      <c r="X147" s="10">
        <f>IFERROR(__xludf.DUMMYFUNCTION("""COMPUTED_VALUE"""),7.0)</f>
        <v>7</v>
      </c>
      <c r="Y147" s="10">
        <f>IFERROR(__xludf.DUMMYFUNCTION("""COMPUTED_VALUE"""),4.0)</f>
        <v>4</v>
      </c>
      <c r="Z147" s="10">
        <f>IFERROR(__xludf.DUMMYFUNCTION("""COMPUTED_VALUE"""),5.0)</f>
        <v>5</v>
      </c>
      <c r="AA147" s="10">
        <f>IFERROR(__xludf.DUMMYFUNCTION("""COMPUTED_VALUE"""),5.0)</f>
        <v>5</v>
      </c>
      <c r="AB147" s="10">
        <f>IFERROR(__xludf.DUMMYFUNCTION("""COMPUTED_VALUE"""),4.0)</f>
        <v>4</v>
      </c>
      <c r="AC147" s="10">
        <f>IFERROR(__xludf.DUMMYFUNCTION("""COMPUTED_VALUE"""),5.0)</f>
        <v>5</v>
      </c>
      <c r="AD147" s="10">
        <f>IFERROR(__xludf.DUMMYFUNCTION("""COMPUTED_VALUE"""),5.0)</f>
        <v>5</v>
      </c>
      <c r="AE147" s="10">
        <f>IFERROR(__xludf.DUMMYFUNCTION("""COMPUTED_VALUE"""),0.0)</f>
        <v>0</v>
      </c>
      <c r="AF147" s="10">
        <f>IFERROR(__xludf.DUMMYFUNCTION("""COMPUTED_VALUE"""),1.0)</f>
        <v>1</v>
      </c>
      <c r="AG147" s="10">
        <f>IFERROR(__xludf.DUMMYFUNCTION("""COMPUTED_VALUE"""),6.0)</f>
        <v>6</v>
      </c>
      <c r="AH147" s="10">
        <f>IFERROR(__xludf.DUMMYFUNCTION("""COMPUTED_VALUE"""),1.0)</f>
        <v>1</v>
      </c>
      <c r="AI147" s="10">
        <f>IFERROR(__xludf.DUMMYFUNCTION("""COMPUTED_VALUE"""),6.0)</f>
        <v>6</v>
      </c>
      <c r="AJ147" s="11" t="str">
        <f>IFERROR(__xludf.DUMMYFUNCTION("""COMPUTED_VALUE"""),"https://drive.google.com/open?id=1TkPSg-mRz9bPNQVg0ryNaT75unsbR8D1")</f>
        <v>https://drive.google.com/open?id=1TkPSg-mRz9bPNQVg0ryNaT75unsbR8D1</v>
      </c>
      <c r="AK147" s="12"/>
      <c r="AL147" s="12"/>
      <c r="AM147" s="12"/>
      <c r="AN147" s="12" t="str">
        <f>IFERROR(__xludf.DUMMYFUNCTION("""COMPUTED_VALUE"""),"1st week")</f>
        <v>1st week</v>
      </c>
      <c r="AO147" s="13">
        <v>1.0</v>
      </c>
      <c r="AX147" s="13">
        <v>1.0</v>
      </c>
    </row>
    <row r="148">
      <c r="A148" s="8">
        <v>147.0</v>
      </c>
      <c r="B148" s="9">
        <f>IFERROR(__xludf.DUMMYFUNCTION("""COMPUTED_VALUE"""),45775.33949083333)</f>
        <v>45775.33949</v>
      </c>
      <c r="C148" s="10" t="str">
        <f>IFERROR(__xludf.DUMMYFUNCTION("""COMPUTED_VALUE"""),"Asma Gul ")</f>
        <v>Asma Gul </v>
      </c>
      <c r="D148" s="10" t="str">
        <f>IFERROR(__xludf.DUMMYFUNCTION("""COMPUTED_VALUE"""),"03459308620")</f>
        <v>03459308620</v>
      </c>
      <c r="E148" s="10" t="str">
        <f>IFERROR(__xludf.DUMMYFUNCTION("""COMPUTED_VALUE"""),"Jamia Masjid Noor Eman Wali Kashmir Bazar Lahore ")</f>
        <v>Jamia Masjid Noor Eman Wali Kashmir Bazar Lahore </v>
      </c>
      <c r="F148" s="10" t="str">
        <f>IFERROR(__xludf.DUMMYFUNCTION("""COMPUTED_VALUE"""),"tnjaz")</f>
        <v>tnjaz</v>
      </c>
      <c r="G148" s="10" t="str">
        <f>IFERROR(__xludf.DUMMYFUNCTION("""COMPUTED_VALUE"""),"Yes")</f>
        <v>Yes</v>
      </c>
      <c r="H148" s="10">
        <f>IFERROR(__xludf.DUMMYFUNCTION("""COMPUTED_VALUE"""),10.0)</f>
        <v>10</v>
      </c>
      <c r="I148" s="10">
        <f>IFERROR(__xludf.DUMMYFUNCTION("""COMPUTED_VALUE"""),4.0)</f>
        <v>4</v>
      </c>
      <c r="J148" s="10">
        <f>IFERROR(__xludf.DUMMYFUNCTION("""COMPUTED_VALUE"""),9.0)</f>
        <v>9</v>
      </c>
      <c r="K148" s="10">
        <f>IFERROR(__xludf.DUMMYFUNCTION("""COMPUTED_VALUE"""),10.0)</f>
        <v>10</v>
      </c>
      <c r="L148" s="10">
        <f>IFERROR(__xludf.DUMMYFUNCTION("""COMPUTED_VALUE"""),8.0)</f>
        <v>8</v>
      </c>
      <c r="M148" s="10">
        <f>IFERROR(__xludf.DUMMYFUNCTION("""COMPUTED_VALUE"""),10.0)</f>
        <v>10</v>
      </c>
      <c r="N148" s="10">
        <f>IFERROR(__xludf.DUMMYFUNCTION("""COMPUTED_VALUE"""),10.0)</f>
        <v>10</v>
      </c>
      <c r="O148" s="10">
        <f>IFERROR(__xludf.DUMMYFUNCTION("""COMPUTED_VALUE"""),7.0)</f>
        <v>7</v>
      </c>
      <c r="P148" s="10">
        <f>IFERROR(__xludf.DUMMYFUNCTION("""COMPUTED_VALUE"""),8.0)</f>
        <v>8</v>
      </c>
      <c r="Q148" s="10" t="str">
        <f>IFERROR(__xludf.DUMMYFUNCTION("""COMPUTED_VALUE"""),"Yes")</f>
        <v>Yes</v>
      </c>
      <c r="R148" s="10" t="str">
        <f>IFERROR(__xludf.DUMMYFUNCTION("""COMPUTED_VALUE"""),"No")</f>
        <v>No</v>
      </c>
      <c r="S148" s="10" t="str">
        <f>IFERROR(__xludf.DUMMYFUNCTION("""COMPUTED_VALUE"""),"No")</f>
        <v>No</v>
      </c>
      <c r="T148" s="10">
        <f>IFERROR(__xludf.DUMMYFUNCTION("""COMPUTED_VALUE"""),7.0)</f>
        <v>7</v>
      </c>
      <c r="U148" s="10">
        <f>IFERROR(__xludf.DUMMYFUNCTION("""COMPUTED_VALUE"""),6.0)</f>
        <v>6</v>
      </c>
      <c r="V148" s="10" t="str">
        <f>IFERROR(__xludf.DUMMYFUNCTION("""COMPUTED_VALUE"""),"حقوق العباد ")</f>
        <v>حقوق العباد </v>
      </c>
      <c r="W148" s="10" t="str">
        <f>IFERROR(__xludf.DUMMYFUNCTION("""COMPUTED_VALUE"""),"اماں باپ بہن بیٹیوں سب سے اس نے سلوک کا تاکید کی گئی ہے اس کے ساتھ ساتھ ہمیں اپنے حقوق کا بتایا گیا")</f>
        <v>اماں باپ بہن بیٹیوں سب سے اس نے سلوک کا تاکید کی گئی ہے اس کے ساتھ ساتھ ہمیں اپنے حقوق کا بتایا گیا</v>
      </c>
      <c r="X148" s="10">
        <f>IFERROR(__xludf.DUMMYFUNCTION("""COMPUTED_VALUE"""),8.0)</f>
        <v>8</v>
      </c>
      <c r="Y148" s="10">
        <f>IFERROR(__xludf.DUMMYFUNCTION("""COMPUTED_VALUE"""),8.0)</f>
        <v>8</v>
      </c>
      <c r="Z148" s="10">
        <f>IFERROR(__xludf.DUMMYFUNCTION("""COMPUTED_VALUE"""),9.0)</f>
        <v>9</v>
      </c>
      <c r="AA148" s="10">
        <f>IFERROR(__xludf.DUMMYFUNCTION("""COMPUTED_VALUE"""),5.0)</f>
        <v>5</v>
      </c>
      <c r="AB148" s="10">
        <f>IFERROR(__xludf.DUMMYFUNCTION("""COMPUTED_VALUE"""),8.0)</f>
        <v>8</v>
      </c>
      <c r="AC148" s="10">
        <f>IFERROR(__xludf.DUMMYFUNCTION("""COMPUTED_VALUE"""),5.0)</f>
        <v>5</v>
      </c>
      <c r="AD148" s="10">
        <f>IFERROR(__xludf.DUMMYFUNCTION("""COMPUTED_VALUE"""),3.0)</f>
        <v>3</v>
      </c>
      <c r="AE148" s="10">
        <f>IFERROR(__xludf.DUMMYFUNCTION("""COMPUTED_VALUE"""),8.0)</f>
        <v>8</v>
      </c>
      <c r="AF148" s="10">
        <f>IFERROR(__xludf.DUMMYFUNCTION("""COMPUTED_VALUE"""),3.0)</f>
        <v>3</v>
      </c>
      <c r="AG148" s="10">
        <f>IFERROR(__xludf.DUMMYFUNCTION("""COMPUTED_VALUE"""),8.0)</f>
        <v>8</v>
      </c>
      <c r="AH148" s="10">
        <f>IFERROR(__xludf.DUMMYFUNCTION("""COMPUTED_VALUE"""),2.0)</f>
        <v>2</v>
      </c>
      <c r="AI148" s="10">
        <f>IFERROR(__xludf.DUMMYFUNCTION("""COMPUTED_VALUE"""),7.0)</f>
        <v>7</v>
      </c>
      <c r="AJ148" s="11" t="str">
        <f>IFERROR(__xludf.DUMMYFUNCTION("""COMPUTED_VALUE"""),"https://drive.google.com/open?id=1S2DK-KiufFLxqgIYd8dGrwbvnmhcfL09")</f>
        <v>https://drive.google.com/open?id=1S2DK-KiufFLxqgIYd8dGrwbvnmhcfL09</v>
      </c>
      <c r="AK148" s="12"/>
      <c r="AL148" s="12" t="str">
        <f>IFERROR(__xludf.DUMMYFUNCTION("""COMPUTED_VALUE"""),"Yes")</f>
        <v>Yes</v>
      </c>
      <c r="AM148" s="15">
        <f>IFERROR(__xludf.DUMMYFUNCTION("""COMPUTED_VALUE"""),1.0)</f>
        <v>1</v>
      </c>
      <c r="AN148" s="12" t="str">
        <f>IFERROR(__xludf.DUMMYFUNCTION("""COMPUTED_VALUE"""),"3rd week")</f>
        <v>3rd week</v>
      </c>
      <c r="AO148" s="13">
        <v>3.0</v>
      </c>
      <c r="AX148" s="13">
        <v>3.0</v>
      </c>
    </row>
    <row r="149">
      <c r="A149" s="8">
        <v>148.0</v>
      </c>
      <c r="B149" s="9">
        <f>IFERROR(__xludf.DUMMYFUNCTION("""COMPUTED_VALUE"""),45775.38448679398)</f>
        <v>45775.38449</v>
      </c>
      <c r="C149" s="10" t="str">
        <f>IFERROR(__xludf.DUMMYFUNCTION("""COMPUTED_VALUE"""),"Asma Gul ")</f>
        <v>Asma Gul </v>
      </c>
      <c r="D149" s="10" t="str">
        <f>IFERROR(__xludf.DUMMYFUNCTION("""COMPUTED_VALUE"""),"03459308620")</f>
        <v>03459308620</v>
      </c>
      <c r="E149" s="10" t="str">
        <f>IFERROR(__xludf.DUMMYFUNCTION("""COMPUTED_VALUE"""),"Jamia Masjid Molve Taaaj Deen Lahore ")</f>
        <v>Jamia Masjid Molve Taaaj Deen Lahore </v>
      </c>
      <c r="F149" s="10" t="str">
        <f>IFERROR(__xludf.DUMMYFUNCTION("""COMPUTED_VALUE"""),"xmebi")</f>
        <v>xmebi</v>
      </c>
      <c r="G149" s="10" t="str">
        <f>IFERROR(__xludf.DUMMYFUNCTION("""COMPUTED_VALUE"""),"Yes")</f>
        <v>Yes</v>
      </c>
      <c r="H149" s="10">
        <f>IFERROR(__xludf.DUMMYFUNCTION("""COMPUTED_VALUE"""),6.0)</f>
        <v>6</v>
      </c>
      <c r="I149" s="10">
        <f>IFERROR(__xludf.DUMMYFUNCTION("""COMPUTED_VALUE"""),5.0)</f>
        <v>5</v>
      </c>
      <c r="J149" s="10">
        <f>IFERROR(__xludf.DUMMYFUNCTION("""COMPUTED_VALUE"""),7.0)</f>
        <v>7</v>
      </c>
      <c r="K149" s="10">
        <f>IFERROR(__xludf.DUMMYFUNCTION("""COMPUTED_VALUE"""),6.0)</f>
        <v>6</v>
      </c>
      <c r="L149" s="10">
        <f>IFERROR(__xludf.DUMMYFUNCTION("""COMPUTED_VALUE"""),5.0)</f>
        <v>5</v>
      </c>
      <c r="M149" s="10">
        <f>IFERROR(__xludf.DUMMYFUNCTION("""COMPUTED_VALUE"""),5.0)</f>
        <v>5</v>
      </c>
      <c r="N149" s="10">
        <f>IFERROR(__xludf.DUMMYFUNCTION("""COMPUTED_VALUE"""),8.0)</f>
        <v>8</v>
      </c>
      <c r="O149" s="10">
        <f>IFERROR(__xludf.DUMMYFUNCTION("""COMPUTED_VALUE"""),3.0)</f>
        <v>3</v>
      </c>
      <c r="P149" s="10">
        <f>IFERROR(__xludf.DUMMYFUNCTION("""COMPUTED_VALUE"""),4.0)</f>
        <v>4</v>
      </c>
      <c r="Q149" s="10" t="str">
        <f>IFERROR(__xludf.DUMMYFUNCTION("""COMPUTED_VALUE"""),"No")</f>
        <v>No</v>
      </c>
      <c r="R149" s="10" t="str">
        <f>IFERROR(__xludf.DUMMYFUNCTION("""COMPUTED_VALUE"""),"No")</f>
        <v>No</v>
      </c>
      <c r="S149" s="10" t="str">
        <f>IFERROR(__xludf.DUMMYFUNCTION("""COMPUTED_VALUE"""),"Yes")</f>
        <v>Yes</v>
      </c>
      <c r="T149" s="10">
        <f>IFERROR(__xludf.DUMMYFUNCTION("""COMPUTED_VALUE"""),6.0)</f>
        <v>6</v>
      </c>
      <c r="U149" s="10">
        <f>IFERROR(__xludf.DUMMYFUNCTION("""COMPUTED_VALUE"""),5.0)</f>
        <v>5</v>
      </c>
      <c r="V149" s="10" t="str">
        <f>IFERROR(__xludf.DUMMYFUNCTION("""COMPUTED_VALUE"""),"عورت کا مقام مرتبہ")</f>
        <v>عورت کا مقام مرتبہ</v>
      </c>
      <c r="W149" s="10" t="str">
        <f>IFERROR(__xludf.DUMMYFUNCTION("""COMPUTED_VALUE"""),"عورت کا مقام بیان کیا عورت کی عظمت کا ذکر کیا حدیث و قران کی روشنی میں عورت کا مرتبہ ماں کی حیثیت سی بیٹی کی حیثیت سے بیوی کی حیثیت سے بیان کیا ہے")</f>
        <v>عورت کا مقام بیان کیا عورت کی عظمت کا ذکر کیا حدیث و قران کی روشنی میں عورت کا مرتبہ ماں کی حیثیت سی بیٹی کی حیثیت سے بیوی کی حیثیت سے بیان کیا ہے</v>
      </c>
      <c r="X149" s="10">
        <f>IFERROR(__xludf.DUMMYFUNCTION("""COMPUTED_VALUE"""),6.0)</f>
        <v>6</v>
      </c>
      <c r="Y149" s="10">
        <f>IFERROR(__xludf.DUMMYFUNCTION("""COMPUTED_VALUE"""),6.0)</f>
        <v>6</v>
      </c>
      <c r="Z149" s="10">
        <f>IFERROR(__xludf.DUMMYFUNCTION("""COMPUTED_VALUE"""),9.0)</f>
        <v>9</v>
      </c>
      <c r="AA149" s="10">
        <f>IFERROR(__xludf.DUMMYFUNCTION("""COMPUTED_VALUE"""),7.0)</f>
        <v>7</v>
      </c>
      <c r="AB149" s="10">
        <f>IFERROR(__xludf.DUMMYFUNCTION("""COMPUTED_VALUE"""),10.0)</f>
        <v>10</v>
      </c>
      <c r="AC149" s="10">
        <f>IFERROR(__xludf.DUMMYFUNCTION("""COMPUTED_VALUE"""),9.0)</f>
        <v>9</v>
      </c>
      <c r="AD149" s="10">
        <f>IFERROR(__xludf.DUMMYFUNCTION("""COMPUTED_VALUE"""),4.0)</f>
        <v>4</v>
      </c>
      <c r="AE149" s="10">
        <f>IFERROR(__xludf.DUMMYFUNCTION("""COMPUTED_VALUE"""),8.0)</f>
        <v>8</v>
      </c>
      <c r="AF149" s="10">
        <f>IFERROR(__xludf.DUMMYFUNCTION("""COMPUTED_VALUE"""),8.0)</f>
        <v>8</v>
      </c>
      <c r="AG149" s="10">
        <f>IFERROR(__xludf.DUMMYFUNCTION("""COMPUTED_VALUE"""),9.0)</f>
        <v>9</v>
      </c>
      <c r="AH149" s="10">
        <f>IFERROR(__xludf.DUMMYFUNCTION("""COMPUTED_VALUE"""),1.0)</f>
        <v>1</v>
      </c>
      <c r="AI149" s="10">
        <f>IFERROR(__xludf.DUMMYFUNCTION("""COMPUTED_VALUE"""),7.0)</f>
        <v>7</v>
      </c>
      <c r="AJ149" s="11" t="str">
        <f>IFERROR(__xludf.DUMMYFUNCTION("""COMPUTED_VALUE"""),"https://drive.google.com/open?id=1yCdiwV_r_j-D0yUQd7m2jDu5njl5ZyP9")</f>
        <v>https://drive.google.com/open?id=1yCdiwV_r_j-D0yUQd7m2jDu5njl5ZyP9</v>
      </c>
      <c r="AK149" s="12"/>
      <c r="AL149" s="12" t="str">
        <f>IFERROR(__xludf.DUMMYFUNCTION("""COMPUTED_VALUE"""),"Yes")</f>
        <v>Yes</v>
      </c>
      <c r="AM149" s="15">
        <f>IFERROR(__xludf.DUMMYFUNCTION("""COMPUTED_VALUE"""),0.9)</f>
        <v>0.9</v>
      </c>
      <c r="AN149" s="12" t="str">
        <f>IFERROR(__xludf.DUMMYFUNCTION("""COMPUTED_VALUE"""),"3rd week")</f>
        <v>3rd week</v>
      </c>
      <c r="AO149" s="13">
        <v>3.0</v>
      </c>
      <c r="AX149" s="13">
        <v>3.0</v>
      </c>
    </row>
    <row r="150">
      <c r="A150" s="8">
        <v>149.0</v>
      </c>
      <c r="B150" s="9">
        <f>IFERROR(__xludf.DUMMYFUNCTION("""COMPUTED_VALUE"""),45775.41144560185)</f>
        <v>45775.41145</v>
      </c>
      <c r="C150" s="10" t="str">
        <f>IFERROR(__xludf.DUMMYFUNCTION("""COMPUTED_VALUE"""),"Asma Gul ")</f>
        <v>Asma Gul </v>
      </c>
      <c r="D150" s="10" t="str">
        <f>IFERROR(__xludf.DUMMYFUNCTION("""COMPUTED_VALUE"""),"03459308620")</f>
        <v>03459308620</v>
      </c>
      <c r="E150" s="10" t="str">
        <f>IFERROR(__xludf.DUMMYFUNCTION("""COMPUTED_VALUE"""),"Jamia Masjid Darbar Madu Laal Hussain Lahore ")</f>
        <v>Jamia Masjid Darbar Madu Laal Hussain Lahore </v>
      </c>
      <c r="F150" s="10" t="str">
        <f>IFERROR(__xludf.DUMMYFUNCTION("""COMPUTED_VALUE"""),"klysr")</f>
        <v>klysr</v>
      </c>
      <c r="G150" s="10" t="str">
        <f>IFERROR(__xludf.DUMMYFUNCTION("""COMPUTED_VALUE"""),"Yes")</f>
        <v>Yes</v>
      </c>
      <c r="H150" s="10">
        <f>IFERROR(__xludf.DUMMYFUNCTION("""COMPUTED_VALUE"""),8.0)</f>
        <v>8</v>
      </c>
      <c r="I150" s="10">
        <f>IFERROR(__xludf.DUMMYFUNCTION("""COMPUTED_VALUE"""),5.0)</f>
        <v>5</v>
      </c>
      <c r="J150" s="10">
        <f>IFERROR(__xludf.DUMMYFUNCTION("""COMPUTED_VALUE"""),8.0)</f>
        <v>8</v>
      </c>
      <c r="K150" s="10">
        <f>IFERROR(__xludf.DUMMYFUNCTION("""COMPUTED_VALUE"""),3.0)</f>
        <v>3</v>
      </c>
      <c r="L150" s="10">
        <f>IFERROR(__xludf.DUMMYFUNCTION("""COMPUTED_VALUE"""),2.0)</f>
        <v>2</v>
      </c>
      <c r="M150" s="10">
        <f>IFERROR(__xludf.DUMMYFUNCTION("""COMPUTED_VALUE"""),8.0)</f>
        <v>8</v>
      </c>
      <c r="N150" s="10">
        <f>IFERROR(__xludf.DUMMYFUNCTION("""COMPUTED_VALUE"""),8.0)</f>
        <v>8</v>
      </c>
      <c r="O150" s="10">
        <f>IFERROR(__xludf.DUMMYFUNCTION("""COMPUTED_VALUE"""),7.0)</f>
        <v>7</v>
      </c>
      <c r="P150" s="10">
        <f>IFERROR(__xludf.DUMMYFUNCTION("""COMPUTED_VALUE"""),4.0)</f>
        <v>4</v>
      </c>
      <c r="Q150" s="10" t="str">
        <f>IFERROR(__xludf.DUMMYFUNCTION("""COMPUTED_VALUE"""),"Yes")</f>
        <v>Yes</v>
      </c>
      <c r="R150" s="10" t="str">
        <f>IFERROR(__xludf.DUMMYFUNCTION("""COMPUTED_VALUE"""),"No")</f>
        <v>No</v>
      </c>
      <c r="S150" s="10" t="str">
        <f>IFERROR(__xludf.DUMMYFUNCTION("""COMPUTED_VALUE"""),"No")</f>
        <v>No</v>
      </c>
      <c r="T150" s="10">
        <f>IFERROR(__xludf.DUMMYFUNCTION("""COMPUTED_VALUE"""),2.0)</f>
        <v>2</v>
      </c>
      <c r="U150" s="10">
        <f>IFERROR(__xludf.DUMMYFUNCTION("""COMPUTED_VALUE"""),2.0)</f>
        <v>2</v>
      </c>
      <c r="V150" s="10" t="str">
        <f>IFERROR(__xludf.DUMMYFUNCTION("""COMPUTED_VALUE"""),"عورتوں کے حقوق ")</f>
        <v>عورتوں کے حقوق </v>
      </c>
      <c r="W150" s="10" t="str">
        <f>IFERROR(__xludf.DUMMYFUNCTION("""COMPUTED_VALUE"""),"عورتوں کے حقوق کا ذکر کیا گیا ہے ماضی میں کی گئی حضرت خدیجہ کی طرف سے مالی معاونت کا ذکر کیا گیا ہے شریعت کے اصولوں میں عورت کا جاب کرنا کاروبار کرنے پر روشنی ڈالی گئی ہے")</f>
        <v>عورتوں کے حقوق کا ذکر کیا گیا ہے ماضی میں کی گئی حضرت خدیجہ کی طرف سے مالی معاونت کا ذکر کیا گیا ہے شریعت کے اصولوں میں عورت کا جاب کرنا کاروبار کرنے پر روشنی ڈالی گئی ہے</v>
      </c>
      <c r="X150" s="10">
        <f>IFERROR(__xludf.DUMMYFUNCTION("""COMPUTED_VALUE"""),7.0)</f>
        <v>7</v>
      </c>
      <c r="Y150" s="10">
        <f>IFERROR(__xludf.DUMMYFUNCTION("""COMPUTED_VALUE"""),8.0)</f>
        <v>8</v>
      </c>
      <c r="Z150" s="10">
        <f>IFERROR(__xludf.DUMMYFUNCTION("""COMPUTED_VALUE"""),9.0)</f>
        <v>9</v>
      </c>
      <c r="AA150" s="10">
        <f>IFERROR(__xludf.DUMMYFUNCTION("""COMPUTED_VALUE"""),8.0)</f>
        <v>8</v>
      </c>
      <c r="AB150" s="10">
        <f>IFERROR(__xludf.DUMMYFUNCTION("""COMPUTED_VALUE"""),9.0)</f>
        <v>9</v>
      </c>
      <c r="AC150" s="10">
        <f>IFERROR(__xludf.DUMMYFUNCTION("""COMPUTED_VALUE"""),9.0)</f>
        <v>9</v>
      </c>
      <c r="AD150" s="10">
        <f>IFERROR(__xludf.DUMMYFUNCTION("""COMPUTED_VALUE"""),8.0)</f>
        <v>8</v>
      </c>
      <c r="AE150" s="10">
        <f>IFERROR(__xludf.DUMMYFUNCTION("""COMPUTED_VALUE"""),8.0)</f>
        <v>8</v>
      </c>
      <c r="AF150" s="10">
        <f>IFERROR(__xludf.DUMMYFUNCTION("""COMPUTED_VALUE"""),9.0)</f>
        <v>9</v>
      </c>
      <c r="AG150" s="10">
        <f>IFERROR(__xludf.DUMMYFUNCTION("""COMPUTED_VALUE"""),9.0)</f>
        <v>9</v>
      </c>
      <c r="AH150" s="10">
        <f>IFERROR(__xludf.DUMMYFUNCTION("""COMPUTED_VALUE"""),2.0)</f>
        <v>2</v>
      </c>
      <c r="AI150" s="10">
        <f>IFERROR(__xludf.DUMMYFUNCTION("""COMPUTED_VALUE"""),8.0)</f>
        <v>8</v>
      </c>
      <c r="AJ150" s="11" t="str">
        <f>IFERROR(__xludf.DUMMYFUNCTION("""COMPUTED_VALUE"""),"https://docs.google.com/document/d/1KA2tMyHqxv6H73QYm9C6vaWmfEkyY3NB/edit?usp=drivesdk&amp;ouid=109063318554935188656&amp;rtpof=true&amp;sd=true")</f>
        <v>https://docs.google.com/document/d/1KA2tMyHqxv6H73QYm9C6vaWmfEkyY3NB/edit?usp=drivesdk&amp;ouid=109063318554935188656&amp;rtpof=true&amp;sd=true</v>
      </c>
      <c r="AK150" s="12"/>
      <c r="AL150" s="12" t="str">
        <f>IFERROR(__xludf.DUMMYFUNCTION("""COMPUTED_VALUE"""),"Yes")</f>
        <v>Yes</v>
      </c>
      <c r="AM150" s="15">
        <f>IFERROR(__xludf.DUMMYFUNCTION("""COMPUTED_VALUE"""),0.9)</f>
        <v>0.9</v>
      </c>
      <c r="AN150" s="12" t="str">
        <f>IFERROR(__xludf.DUMMYFUNCTION("""COMPUTED_VALUE"""),"3rd week")</f>
        <v>3rd week</v>
      </c>
      <c r="AO150" s="13">
        <v>3.0</v>
      </c>
      <c r="AX150" s="13">
        <v>3.0</v>
      </c>
    </row>
    <row r="151">
      <c r="A151" s="8">
        <v>150.0</v>
      </c>
      <c r="B151" s="9">
        <f>IFERROR(__xludf.DUMMYFUNCTION("""COMPUTED_VALUE"""),45775.480769953705)</f>
        <v>45775.48077</v>
      </c>
      <c r="C151" s="10" t="str">
        <f>IFERROR(__xludf.DUMMYFUNCTION("""COMPUTED_VALUE"""),"Asma Gul ")</f>
        <v>Asma Gul </v>
      </c>
      <c r="D151" s="10" t="str">
        <f>IFERROR(__xludf.DUMMYFUNCTION("""COMPUTED_VALUE"""),"03459308620")</f>
        <v>03459308620</v>
      </c>
      <c r="E151" s="10" t="str">
        <f>IFERROR(__xludf.DUMMYFUNCTION("""COMPUTED_VALUE"""),"Jamia Masjid Darbar Shah Chiraag Lahore ")</f>
        <v>Jamia Masjid Darbar Shah Chiraag Lahore </v>
      </c>
      <c r="F151" s="10" t="str">
        <f>IFERROR(__xludf.DUMMYFUNCTION("""COMPUTED_VALUE"""),"pmeqo")</f>
        <v>pmeqo</v>
      </c>
      <c r="G151" s="10" t="str">
        <f>IFERROR(__xludf.DUMMYFUNCTION("""COMPUTED_VALUE"""),"Yes")</f>
        <v>Yes</v>
      </c>
      <c r="H151" s="10">
        <f>IFERROR(__xludf.DUMMYFUNCTION("""COMPUTED_VALUE"""),9.0)</f>
        <v>9</v>
      </c>
      <c r="I151" s="10">
        <f>IFERROR(__xludf.DUMMYFUNCTION("""COMPUTED_VALUE"""),7.0)</f>
        <v>7</v>
      </c>
      <c r="J151" s="10">
        <f>IFERROR(__xludf.DUMMYFUNCTION("""COMPUTED_VALUE"""),8.0)</f>
        <v>8</v>
      </c>
      <c r="K151" s="10">
        <f>IFERROR(__xludf.DUMMYFUNCTION("""COMPUTED_VALUE"""),7.0)</f>
        <v>7</v>
      </c>
      <c r="L151" s="10">
        <f>IFERROR(__xludf.DUMMYFUNCTION("""COMPUTED_VALUE"""),9.0)</f>
        <v>9</v>
      </c>
      <c r="M151" s="10">
        <f>IFERROR(__xludf.DUMMYFUNCTION("""COMPUTED_VALUE"""),2.0)</f>
        <v>2</v>
      </c>
      <c r="N151" s="10">
        <f>IFERROR(__xludf.DUMMYFUNCTION("""COMPUTED_VALUE"""),2.0)</f>
        <v>2</v>
      </c>
      <c r="O151" s="10">
        <f>IFERROR(__xludf.DUMMYFUNCTION("""COMPUTED_VALUE"""),2.0)</f>
        <v>2</v>
      </c>
      <c r="P151" s="10">
        <f>IFERROR(__xludf.DUMMYFUNCTION("""COMPUTED_VALUE"""),1.0)</f>
        <v>1</v>
      </c>
      <c r="Q151" s="10" t="str">
        <f>IFERROR(__xludf.DUMMYFUNCTION("""COMPUTED_VALUE"""),"No")</f>
        <v>No</v>
      </c>
      <c r="R151" s="10" t="str">
        <f>IFERROR(__xludf.DUMMYFUNCTION("""COMPUTED_VALUE"""),"No")</f>
        <v>No</v>
      </c>
      <c r="S151" s="10" t="str">
        <f>IFERROR(__xludf.DUMMYFUNCTION("""COMPUTED_VALUE"""),"No")</f>
        <v>No</v>
      </c>
      <c r="T151" s="10">
        <f>IFERROR(__xludf.DUMMYFUNCTION("""COMPUTED_VALUE"""),1.0)</f>
        <v>1</v>
      </c>
      <c r="U151" s="10">
        <f>IFERROR(__xludf.DUMMYFUNCTION("""COMPUTED_VALUE"""),0.0)</f>
        <v>0</v>
      </c>
      <c r="V151" s="10" t="str">
        <f>IFERROR(__xludf.DUMMYFUNCTION("""COMPUTED_VALUE"""),"فلسطین اور مسلم اُمہ ")</f>
        <v>فلسطین اور مسلم اُمہ </v>
      </c>
      <c r="W151" s="10" t="str">
        <f>IFERROR(__xludf.DUMMYFUNCTION("""COMPUTED_VALUE"""),"فلسطین کے معاملے پر مسلم اماں کا کیا  رد عمل ہونا چاہیے اور مسلمانوں کو ا غیر ملک کی مصنوعات کا بائیکاٹ کرنا چاہیے اور لوکل چیزوں کو سپورٹ کرنا چاہیے")</f>
        <v>فلسطین کے معاملے پر مسلم اماں کا کیا  رد عمل ہونا چاہیے اور مسلمانوں کو ا غیر ملک کی مصنوعات کا بائیکاٹ کرنا چاہیے اور لوکل چیزوں کو سپورٹ کرنا چاہیے</v>
      </c>
      <c r="X151" s="10">
        <f>IFERROR(__xludf.DUMMYFUNCTION("""COMPUTED_VALUE"""),5.0)</f>
        <v>5</v>
      </c>
      <c r="Y151" s="10">
        <f>IFERROR(__xludf.DUMMYFUNCTION("""COMPUTED_VALUE"""),10.0)</f>
        <v>10</v>
      </c>
      <c r="Z151" s="10">
        <f>IFERROR(__xludf.DUMMYFUNCTION("""COMPUTED_VALUE"""),9.0)</f>
        <v>9</v>
      </c>
      <c r="AA151" s="10">
        <f>IFERROR(__xludf.DUMMYFUNCTION("""COMPUTED_VALUE"""),9.0)</f>
        <v>9</v>
      </c>
      <c r="AB151" s="10">
        <f>IFERROR(__xludf.DUMMYFUNCTION("""COMPUTED_VALUE"""),9.0)</f>
        <v>9</v>
      </c>
      <c r="AC151" s="10">
        <f>IFERROR(__xludf.DUMMYFUNCTION("""COMPUTED_VALUE"""),5.0)</f>
        <v>5</v>
      </c>
      <c r="AD151" s="10">
        <f>IFERROR(__xludf.DUMMYFUNCTION("""COMPUTED_VALUE"""),9.0)</f>
        <v>9</v>
      </c>
      <c r="AE151" s="10">
        <f>IFERROR(__xludf.DUMMYFUNCTION("""COMPUTED_VALUE"""),6.0)</f>
        <v>6</v>
      </c>
      <c r="AF151" s="10">
        <f>IFERROR(__xludf.DUMMYFUNCTION("""COMPUTED_VALUE"""),3.0)</f>
        <v>3</v>
      </c>
      <c r="AG151" s="10">
        <f>IFERROR(__xludf.DUMMYFUNCTION("""COMPUTED_VALUE"""),9.0)</f>
        <v>9</v>
      </c>
      <c r="AH151" s="10">
        <f>IFERROR(__xludf.DUMMYFUNCTION("""COMPUTED_VALUE"""),3.0)</f>
        <v>3</v>
      </c>
      <c r="AI151" s="10">
        <f>IFERROR(__xludf.DUMMYFUNCTION("""COMPUTED_VALUE"""),8.0)</f>
        <v>8</v>
      </c>
      <c r="AJ151" s="11" t="str">
        <f>IFERROR(__xludf.DUMMYFUNCTION("""COMPUTED_VALUE"""),"https://drive.google.com/open?id=1JqW0bqKBRzr1RstP1xNiP2bogrWXzRLY")</f>
        <v>https://drive.google.com/open?id=1JqW0bqKBRzr1RstP1xNiP2bogrWXzRLY</v>
      </c>
      <c r="AK151" s="12"/>
      <c r="AL151" s="12" t="str">
        <f>IFERROR(__xludf.DUMMYFUNCTION("""COMPUTED_VALUE"""),"Yes")</f>
        <v>Yes</v>
      </c>
      <c r="AM151" s="15">
        <f>IFERROR(__xludf.DUMMYFUNCTION("""COMPUTED_VALUE"""),0.8)</f>
        <v>0.8</v>
      </c>
      <c r="AN151" s="12" t="str">
        <f>IFERROR(__xludf.DUMMYFUNCTION("""COMPUTED_VALUE"""),"3rd week")</f>
        <v>3rd week</v>
      </c>
      <c r="AO151" s="13">
        <v>3.0</v>
      </c>
      <c r="AX151" s="13">
        <v>3.0</v>
      </c>
    </row>
    <row r="152">
      <c r="A152" s="8">
        <v>151.0</v>
      </c>
      <c r="B152" s="9">
        <f>IFERROR(__xludf.DUMMYFUNCTION("""COMPUTED_VALUE"""),45775.535750208335)</f>
        <v>45775.53575</v>
      </c>
      <c r="C152" s="10" t="str">
        <f>IFERROR(__xludf.DUMMYFUNCTION("""COMPUTED_VALUE"""),"Kainat Idrees")</f>
        <v>Kainat Idrees</v>
      </c>
      <c r="D152" s="10" t="str">
        <f>IFERROR(__xludf.DUMMYFUNCTION("""COMPUTED_VALUE"""),"03125121140")</f>
        <v>03125121140</v>
      </c>
      <c r="E152" s="10" t="str">
        <f>IFERROR(__xludf.DUMMYFUNCTION("""COMPUTED_VALUE"""),"Jamia Masjid Neela Ghumbat Lahore ")</f>
        <v>Jamia Masjid Neela Ghumbat Lahore </v>
      </c>
      <c r="F152" s="10" t="str">
        <f>IFERROR(__xludf.DUMMYFUNCTION("""COMPUTED_VALUE"""),"lwumj")</f>
        <v>lwumj</v>
      </c>
      <c r="G152" s="10" t="str">
        <f>IFERROR(__xludf.DUMMYFUNCTION("""COMPUTED_VALUE"""),"No")</f>
        <v>No</v>
      </c>
      <c r="H152" s="10"/>
      <c r="I152" s="10"/>
      <c r="J152" s="10"/>
      <c r="K152" s="10">
        <f>IFERROR(__xludf.DUMMYFUNCTION("""COMPUTED_VALUE"""),0.0)</f>
        <v>0</v>
      </c>
      <c r="L152" s="10">
        <f>IFERROR(__xludf.DUMMYFUNCTION("""COMPUTED_VALUE"""),0.0)</f>
        <v>0</v>
      </c>
      <c r="M152" s="10">
        <f>IFERROR(__xludf.DUMMYFUNCTION("""COMPUTED_VALUE"""),0.0)</f>
        <v>0</v>
      </c>
      <c r="N152" s="10">
        <f>IFERROR(__xludf.DUMMYFUNCTION("""COMPUTED_VALUE"""),0.0)</f>
        <v>0</v>
      </c>
      <c r="O152" s="10">
        <f>IFERROR(__xludf.DUMMYFUNCTION("""COMPUTED_VALUE"""),0.0)</f>
        <v>0</v>
      </c>
      <c r="P152" s="10">
        <f>IFERROR(__xludf.DUMMYFUNCTION("""COMPUTED_VALUE"""),0.0)</f>
        <v>0</v>
      </c>
      <c r="Q152" s="10" t="str">
        <f>IFERROR(__xludf.DUMMYFUNCTION("""COMPUTED_VALUE"""),"No")</f>
        <v>No</v>
      </c>
      <c r="R152" s="10" t="str">
        <f>IFERROR(__xludf.DUMMYFUNCTION("""COMPUTED_VALUE"""),"No")</f>
        <v>No</v>
      </c>
      <c r="S152" s="10" t="str">
        <f>IFERROR(__xludf.DUMMYFUNCTION("""COMPUTED_VALUE"""),"Yes")</f>
        <v>Yes</v>
      </c>
      <c r="T152" s="10">
        <f>IFERROR(__xludf.DUMMYFUNCTION("""COMPUTED_VALUE"""),0.0)</f>
        <v>0</v>
      </c>
      <c r="U152" s="10">
        <f>IFERROR(__xludf.DUMMYFUNCTION("""COMPUTED_VALUE"""),0.0)</f>
        <v>0</v>
      </c>
      <c r="V152" s="10" t="str">
        <f>IFERROR(__xludf.DUMMYFUNCTION("""COMPUTED_VALUE"""),"Kalma Tayaba ")</f>
        <v>Kalma Tayaba </v>
      </c>
      <c r="W152" s="10" t="str">
        <f>IFERROR(__xludf.DUMMYFUNCTION("""COMPUTED_VALUE"""),"kalma tayba ky nukty pr pakistan ki bunyad rakhi gai ")</f>
        <v>kalma tayba ky nukty pr pakistan ki bunyad rakhi gai </v>
      </c>
      <c r="X152" s="10">
        <f>IFERROR(__xludf.DUMMYFUNCTION("""COMPUTED_VALUE"""),5.0)</f>
        <v>5</v>
      </c>
      <c r="Y152" s="10">
        <f>IFERROR(__xludf.DUMMYFUNCTION("""COMPUTED_VALUE"""),7.0)</f>
        <v>7</v>
      </c>
      <c r="Z152" s="10">
        <f>IFERROR(__xludf.DUMMYFUNCTION("""COMPUTED_VALUE"""),1.0)</f>
        <v>1</v>
      </c>
      <c r="AA152" s="10">
        <f>IFERROR(__xludf.DUMMYFUNCTION("""COMPUTED_VALUE"""),10.0)</f>
        <v>10</v>
      </c>
      <c r="AB152" s="10">
        <f>IFERROR(__xludf.DUMMYFUNCTION("""COMPUTED_VALUE"""),2.0)</f>
        <v>2</v>
      </c>
      <c r="AC152" s="10">
        <f>IFERROR(__xludf.DUMMYFUNCTION("""COMPUTED_VALUE"""),0.0)</f>
        <v>0</v>
      </c>
      <c r="AD152" s="10">
        <f>IFERROR(__xludf.DUMMYFUNCTION("""COMPUTED_VALUE"""),0.0)</f>
        <v>0</v>
      </c>
      <c r="AE152" s="10">
        <f>IFERROR(__xludf.DUMMYFUNCTION("""COMPUTED_VALUE"""),7.0)</f>
        <v>7</v>
      </c>
      <c r="AF152" s="10">
        <f>IFERROR(__xludf.DUMMYFUNCTION("""COMPUTED_VALUE"""),7.0)</f>
        <v>7</v>
      </c>
      <c r="AG152" s="10">
        <f>IFERROR(__xludf.DUMMYFUNCTION("""COMPUTED_VALUE"""),8.0)</f>
        <v>8</v>
      </c>
      <c r="AH152" s="10">
        <f>IFERROR(__xludf.DUMMYFUNCTION("""COMPUTED_VALUE"""),0.0)</f>
        <v>0</v>
      </c>
      <c r="AI152" s="10">
        <f>IFERROR(__xludf.DUMMYFUNCTION("""COMPUTED_VALUE"""),7.0)</f>
        <v>7</v>
      </c>
      <c r="AJ152" s="11" t="str">
        <f>IFERROR(__xludf.DUMMYFUNCTION("""COMPUTED_VALUE"""),"https://drive.google.com/open?id=1AV5uiEOVaySroryGxzNCyHGrW2bDUItl")</f>
        <v>https://drive.google.com/open?id=1AV5uiEOVaySroryGxzNCyHGrW2bDUItl</v>
      </c>
      <c r="AK152" s="12" t="str">
        <f>IFERROR(__xludf.DUMMYFUNCTION("""COMPUTED_VALUE"""),"No suggestion")</f>
        <v>No suggestion</v>
      </c>
      <c r="AL152" s="12"/>
      <c r="AM152" s="12"/>
      <c r="AN152" s="12" t="str">
        <f>IFERROR(__xludf.DUMMYFUNCTION("""COMPUTED_VALUE"""),"3rd week")</f>
        <v>3rd week</v>
      </c>
      <c r="AO152" s="13">
        <v>3.0</v>
      </c>
      <c r="AX152" s="13">
        <v>3.0</v>
      </c>
    </row>
    <row r="153">
      <c r="A153" s="8">
        <v>152.0</v>
      </c>
      <c r="B153" s="9">
        <f>IFERROR(__xludf.DUMMYFUNCTION("""COMPUTED_VALUE"""),45775.540097164354)</f>
        <v>45775.5401</v>
      </c>
      <c r="C153" s="10" t="str">
        <f>IFERROR(__xludf.DUMMYFUNCTION("""COMPUTED_VALUE"""),"Sulaman asghar")</f>
        <v>Sulaman asghar</v>
      </c>
      <c r="D153" s="10" t="str">
        <f>IFERROR(__xludf.DUMMYFUNCTION("""COMPUTED_VALUE"""),"03194116661")</f>
        <v>03194116661</v>
      </c>
      <c r="E153" s="10" t="str">
        <f>IFERROR(__xludf.DUMMYFUNCTION("""COMPUTED_VALUE"""),"Jamia masjid ghosia Pakistan chok Gujrat ")</f>
        <v>Jamia masjid ghosia Pakistan chok Gujrat </v>
      </c>
      <c r="F153" s="10" t="str">
        <f>IFERROR(__xludf.DUMMYFUNCTION("""COMPUTED_VALUE"""),"XYHJE")</f>
        <v>XYHJE</v>
      </c>
      <c r="G153" s="10" t="str">
        <f>IFERROR(__xludf.DUMMYFUNCTION("""COMPUTED_VALUE"""),"Yes")</f>
        <v>Yes</v>
      </c>
      <c r="H153" s="10">
        <f>IFERROR(__xludf.DUMMYFUNCTION("""COMPUTED_VALUE"""),9.0)</f>
        <v>9</v>
      </c>
      <c r="I153" s="10">
        <f>IFERROR(__xludf.DUMMYFUNCTION("""COMPUTED_VALUE"""),6.0)</f>
        <v>6</v>
      </c>
      <c r="J153" s="10">
        <f>IFERROR(__xludf.DUMMYFUNCTION("""COMPUTED_VALUE"""),9.0)</f>
        <v>9</v>
      </c>
      <c r="K153" s="10">
        <f>IFERROR(__xludf.DUMMYFUNCTION("""COMPUTED_VALUE"""),0.0)</f>
        <v>0</v>
      </c>
      <c r="L153" s="10">
        <f>IFERROR(__xludf.DUMMYFUNCTION("""COMPUTED_VALUE"""),9.0)</f>
        <v>9</v>
      </c>
      <c r="M153" s="10">
        <f>IFERROR(__xludf.DUMMYFUNCTION("""COMPUTED_VALUE"""),0.0)</f>
        <v>0</v>
      </c>
      <c r="N153" s="10">
        <f>IFERROR(__xludf.DUMMYFUNCTION("""COMPUTED_VALUE"""),9.0)</f>
        <v>9</v>
      </c>
      <c r="O153" s="10">
        <f>IFERROR(__xludf.DUMMYFUNCTION("""COMPUTED_VALUE"""),0.0)</f>
        <v>0</v>
      </c>
      <c r="P153" s="10">
        <f>IFERROR(__xludf.DUMMYFUNCTION("""COMPUTED_VALUE"""),9.0)</f>
        <v>9</v>
      </c>
      <c r="Q153" s="10" t="str">
        <f>IFERROR(__xludf.DUMMYFUNCTION("""COMPUTED_VALUE"""),"No")</f>
        <v>No</v>
      </c>
      <c r="R153" s="10" t="str">
        <f>IFERROR(__xludf.DUMMYFUNCTION("""COMPUTED_VALUE"""),"Yes")</f>
        <v>Yes</v>
      </c>
      <c r="S153" s="10" t="str">
        <f>IFERROR(__xludf.DUMMYFUNCTION("""COMPUTED_VALUE"""),"No")</f>
        <v>No</v>
      </c>
      <c r="T153" s="10">
        <f>IFERROR(__xludf.DUMMYFUNCTION("""COMPUTED_VALUE"""),0.0)</f>
        <v>0</v>
      </c>
      <c r="U153" s="10">
        <f>IFERROR(__xludf.DUMMYFUNCTION("""COMPUTED_VALUE"""),0.0)</f>
        <v>0</v>
      </c>
      <c r="V153" s="10" t="str">
        <f>IFERROR(__xludf.DUMMYFUNCTION("""COMPUTED_VALUE"""),"ہمسائیوں کے حقوق ")</f>
        <v>ہمسائیوں کے حقوق </v>
      </c>
      <c r="W153" s="10" t="str">
        <f>IFERROR(__xludf.DUMMYFUNCTION("""COMPUTED_VALUE"""),"امام صاحب نے پڑوسیوں کے حقوق پر بات کی ہے اور پڑوسیوں کے حقوق قرآن۔ حدیث امام کے قول صحابہ کے واقعات اور بزرگان دین کے واقعات سنا کر واضح کی ہے اور فرمایا ہے جس نے پڑوس کے حقوق ادا کیے وہ جنتی ہے")</f>
        <v>امام صاحب نے پڑوسیوں کے حقوق پر بات کی ہے اور پڑوسیوں کے حقوق قرآن۔ حدیث امام کے قول صحابہ کے واقعات اور بزرگان دین کے واقعات سنا کر واضح کی ہے اور فرمایا ہے جس نے پڑوس کے حقوق ادا کیے وہ جنتی ہے</v>
      </c>
      <c r="X153" s="10">
        <f>IFERROR(__xludf.DUMMYFUNCTION("""COMPUTED_VALUE"""),1.0)</f>
        <v>1</v>
      </c>
      <c r="Y153" s="10">
        <f>IFERROR(__xludf.DUMMYFUNCTION("""COMPUTED_VALUE"""),9.0)</f>
        <v>9</v>
      </c>
      <c r="Z153" s="10">
        <f>IFERROR(__xludf.DUMMYFUNCTION("""COMPUTED_VALUE"""),2.0)</f>
        <v>2</v>
      </c>
      <c r="AA153" s="10">
        <f>IFERROR(__xludf.DUMMYFUNCTION("""COMPUTED_VALUE"""),5.0)</f>
        <v>5</v>
      </c>
      <c r="AB153" s="10">
        <f>IFERROR(__xludf.DUMMYFUNCTION("""COMPUTED_VALUE"""),5.0)</f>
        <v>5</v>
      </c>
      <c r="AC153" s="10">
        <f>IFERROR(__xludf.DUMMYFUNCTION("""COMPUTED_VALUE"""),0.0)</f>
        <v>0</v>
      </c>
      <c r="AD153" s="10">
        <f>IFERROR(__xludf.DUMMYFUNCTION("""COMPUTED_VALUE"""),0.0)</f>
        <v>0</v>
      </c>
      <c r="AE153" s="10">
        <f>IFERROR(__xludf.DUMMYFUNCTION("""COMPUTED_VALUE"""),1.0)</f>
        <v>1</v>
      </c>
      <c r="AF153" s="10">
        <f>IFERROR(__xludf.DUMMYFUNCTION("""COMPUTED_VALUE"""),8.0)</f>
        <v>8</v>
      </c>
      <c r="AG153" s="10">
        <f>IFERROR(__xludf.DUMMYFUNCTION("""COMPUTED_VALUE"""),8.0)</f>
        <v>8</v>
      </c>
      <c r="AH153" s="10">
        <f>IFERROR(__xludf.DUMMYFUNCTION("""COMPUTED_VALUE"""),0.0)</f>
        <v>0</v>
      </c>
      <c r="AI153" s="10">
        <f>IFERROR(__xludf.DUMMYFUNCTION("""COMPUTED_VALUE"""),8.0)</f>
        <v>8</v>
      </c>
      <c r="AJ153" s="11" t="str">
        <f>IFERROR(__xludf.DUMMYFUNCTION("""COMPUTED_VALUE"""),"https://drive.google.com/open?id=1Fx_IPpdCxerV_EqdtIR03Ozk7WtCYSfR")</f>
        <v>https://drive.google.com/open?id=1Fx_IPpdCxerV_EqdtIR03Ozk7WtCYSfR</v>
      </c>
      <c r="AK153" s="12"/>
      <c r="AL153" s="12" t="str">
        <f>IFERROR(__xludf.DUMMYFUNCTION("""COMPUTED_VALUE"""),"Yes")</f>
        <v>Yes</v>
      </c>
      <c r="AM153" s="15">
        <f>IFERROR(__xludf.DUMMYFUNCTION("""COMPUTED_VALUE"""),0.9)</f>
        <v>0.9</v>
      </c>
      <c r="AN153" s="12" t="str">
        <f>IFERROR(__xludf.DUMMYFUNCTION("""COMPUTED_VALUE"""),"1st week")</f>
        <v>1st week</v>
      </c>
      <c r="AO153" s="13">
        <v>1.0</v>
      </c>
      <c r="AX153" s="13"/>
    </row>
    <row r="154">
      <c r="A154" s="8">
        <v>153.0</v>
      </c>
      <c r="B154" s="9">
        <f>IFERROR(__xludf.DUMMYFUNCTION("""COMPUTED_VALUE"""),45775.56163246528)</f>
        <v>45775.56163</v>
      </c>
      <c r="C154" s="10" t="str">
        <f>IFERROR(__xludf.DUMMYFUNCTION("""COMPUTED_VALUE"""),"Abdulqayyum ")</f>
        <v>Abdulqayyum </v>
      </c>
      <c r="D154" s="10" t="str">
        <f>IFERROR(__xludf.DUMMYFUNCTION("""COMPUTED_VALUE"""),"03064458620")</f>
        <v>03064458620</v>
      </c>
      <c r="E154" s="10" t="str">
        <f>IFERROR(__xludf.DUMMYFUNCTION("""COMPUTED_VALUE"""),"Jamia masjid darbar Abdullah Salam chishti")</f>
        <v>Jamia masjid darbar Abdullah Salam chishti</v>
      </c>
      <c r="F154" s="10" t="str">
        <f>IFERROR(__xludf.DUMMYFUNCTION("""COMPUTED_VALUE"""),"DGOHD")</f>
        <v>DGOHD</v>
      </c>
      <c r="G154" s="10" t="str">
        <f>IFERROR(__xludf.DUMMYFUNCTION("""COMPUTED_VALUE"""),"Yes")</f>
        <v>Yes</v>
      </c>
      <c r="H154" s="10">
        <f>IFERROR(__xludf.DUMMYFUNCTION("""COMPUTED_VALUE"""),9.0)</f>
        <v>9</v>
      </c>
      <c r="I154" s="10">
        <f>IFERROR(__xludf.DUMMYFUNCTION("""COMPUTED_VALUE"""),1.0)</f>
        <v>1</v>
      </c>
      <c r="J154" s="10">
        <f>IFERROR(__xludf.DUMMYFUNCTION("""COMPUTED_VALUE"""),9.0)</f>
        <v>9</v>
      </c>
      <c r="K154" s="10">
        <f>IFERROR(__xludf.DUMMYFUNCTION("""COMPUTED_VALUE"""),10.0)</f>
        <v>10</v>
      </c>
      <c r="L154" s="10">
        <f>IFERROR(__xludf.DUMMYFUNCTION("""COMPUTED_VALUE"""),5.0)</f>
        <v>5</v>
      </c>
      <c r="M154" s="10">
        <f>IFERROR(__xludf.DUMMYFUNCTION("""COMPUTED_VALUE"""),9.0)</f>
        <v>9</v>
      </c>
      <c r="N154" s="10">
        <f>IFERROR(__xludf.DUMMYFUNCTION("""COMPUTED_VALUE"""),5.0)</f>
        <v>5</v>
      </c>
      <c r="O154" s="10">
        <f>IFERROR(__xludf.DUMMYFUNCTION("""COMPUTED_VALUE"""),9.0)</f>
        <v>9</v>
      </c>
      <c r="P154" s="10">
        <f>IFERROR(__xludf.DUMMYFUNCTION("""COMPUTED_VALUE"""),9.0)</f>
        <v>9</v>
      </c>
      <c r="Q154" s="10" t="str">
        <f>IFERROR(__xludf.DUMMYFUNCTION("""COMPUTED_VALUE"""),"Yes")</f>
        <v>Yes</v>
      </c>
      <c r="R154" s="10" t="str">
        <f>IFERROR(__xludf.DUMMYFUNCTION("""COMPUTED_VALUE"""),"No")</f>
        <v>No</v>
      </c>
      <c r="S154" s="10" t="str">
        <f>IFERROR(__xludf.DUMMYFUNCTION("""COMPUTED_VALUE"""),"Yes")</f>
        <v>Yes</v>
      </c>
      <c r="T154" s="10">
        <f>IFERROR(__xludf.DUMMYFUNCTION("""COMPUTED_VALUE"""),5.0)</f>
        <v>5</v>
      </c>
      <c r="U154" s="10">
        <f>IFERROR(__xludf.DUMMYFUNCTION("""COMPUTED_VALUE"""),5.0)</f>
        <v>5</v>
      </c>
      <c r="V154" s="10" t="str">
        <f>IFERROR(__xludf.DUMMYFUNCTION("""COMPUTED_VALUE"""),"Islam mein aurat ka maqam kardar aur haq")</f>
        <v>Islam mein aurat ka maqam kardar aur haq</v>
      </c>
      <c r="W154" s="10" t="str">
        <f>IFERROR(__xludf.DUMMYFUNCTION("""COMPUTED_VALUE"""),"Imam Sahab ne pure byan mein sirf aurat ke bare mein baat ki. Ialam mein aurat ka maqamm kardar aur aurat ke haq ke bare mein baat ki.")</f>
        <v>Imam Sahab ne pure byan mein sirf aurat ke bare mein baat ki. Ialam mein aurat ka maqamm kardar aur aurat ke haq ke bare mein baat ki.</v>
      </c>
      <c r="X154" s="10">
        <f>IFERROR(__xludf.DUMMYFUNCTION("""COMPUTED_VALUE"""),0.0)</f>
        <v>0</v>
      </c>
      <c r="Y154" s="10">
        <f>IFERROR(__xludf.DUMMYFUNCTION("""COMPUTED_VALUE"""),0.0)</f>
        <v>0</v>
      </c>
      <c r="Z154" s="10">
        <f>IFERROR(__xludf.DUMMYFUNCTION("""COMPUTED_VALUE"""),0.0)</f>
        <v>0</v>
      </c>
      <c r="AA154" s="10">
        <f>IFERROR(__xludf.DUMMYFUNCTION("""COMPUTED_VALUE"""),0.0)</f>
        <v>0</v>
      </c>
      <c r="AB154" s="10">
        <f>IFERROR(__xludf.DUMMYFUNCTION("""COMPUTED_VALUE"""),0.0)</f>
        <v>0</v>
      </c>
      <c r="AC154" s="10">
        <f>IFERROR(__xludf.DUMMYFUNCTION("""COMPUTED_VALUE"""),1.0)</f>
        <v>1</v>
      </c>
      <c r="AD154" s="10">
        <f>IFERROR(__xludf.DUMMYFUNCTION("""COMPUTED_VALUE"""),0.0)</f>
        <v>0</v>
      </c>
      <c r="AE154" s="10">
        <f>IFERROR(__xludf.DUMMYFUNCTION("""COMPUTED_VALUE"""),0.0)</f>
        <v>0</v>
      </c>
      <c r="AF154" s="10">
        <f>IFERROR(__xludf.DUMMYFUNCTION("""COMPUTED_VALUE"""),9.0)</f>
        <v>9</v>
      </c>
      <c r="AG154" s="10">
        <f>IFERROR(__xludf.DUMMYFUNCTION("""COMPUTED_VALUE"""),8.0)</f>
        <v>8</v>
      </c>
      <c r="AH154" s="10">
        <f>IFERROR(__xludf.DUMMYFUNCTION("""COMPUTED_VALUE"""),0.0)</f>
        <v>0</v>
      </c>
      <c r="AI154" s="10">
        <f>IFERROR(__xludf.DUMMYFUNCTION("""COMPUTED_VALUE"""),9.0)</f>
        <v>9</v>
      </c>
      <c r="AJ154" s="11" t="str">
        <f>IFERROR(__xludf.DUMMYFUNCTION("""COMPUTED_VALUE"""),"https://drive.google.com/open?id=11ehwLccGkgal-E47G-c9m2_n_UPeYuIi")</f>
        <v>https://drive.google.com/open?id=11ehwLccGkgal-E47G-c9m2_n_UPeYuIi</v>
      </c>
      <c r="AK154" s="12" t="str">
        <f>IFERROR(__xludf.DUMMYFUNCTION("""COMPUTED_VALUE"""),"Masjid dur ha. Rasta bahut khatarnak ha. Kam jyada ha. Paise kam hai.")</f>
        <v>Masjid dur ha. Rasta bahut khatarnak ha. Kam jyada ha. Paise kam hai.</v>
      </c>
      <c r="AL154" s="12" t="str">
        <f>IFERROR(__xludf.DUMMYFUNCTION("""COMPUTED_VALUE"""),"Yes")</f>
        <v>Yes</v>
      </c>
      <c r="AM154" s="15">
        <f>IFERROR(__xludf.DUMMYFUNCTION("""COMPUTED_VALUE"""),0.9)</f>
        <v>0.9</v>
      </c>
      <c r="AN154" s="12" t="str">
        <f>IFERROR(__xludf.DUMMYFUNCTION("""COMPUTED_VALUE"""),"1st week")</f>
        <v>1st week</v>
      </c>
      <c r="AO154" s="13">
        <v>1.0</v>
      </c>
      <c r="AX154" s="13"/>
    </row>
    <row r="155">
      <c r="A155" s="8">
        <v>154.0</v>
      </c>
      <c r="B155" s="9">
        <f>IFERROR(__xludf.DUMMYFUNCTION("""COMPUTED_VALUE"""),45775.56954697917)</f>
        <v>45775.56955</v>
      </c>
      <c r="C155" s="10" t="str">
        <f>IFERROR(__xludf.DUMMYFUNCTION("""COMPUTED_VALUE"""),"Muqaddas ")</f>
        <v>Muqaddas </v>
      </c>
      <c r="D155" s="10" t="str">
        <f>IFERROR(__xludf.DUMMYFUNCTION("""COMPUTED_VALUE"""),"03075314147")</f>
        <v>03075314147</v>
      </c>
      <c r="E155" s="10" t="str">
        <f>IFERROR(__xludf.DUMMYFUNCTION("""COMPUTED_VALUE"""),"Jamia masjid noorani qasaban wali Lahore ")</f>
        <v>Jamia masjid noorani qasaban wali Lahore </v>
      </c>
      <c r="F155" s="10" t="str">
        <f>IFERROR(__xludf.DUMMYFUNCTION("""COMPUTED_VALUE"""),"hkeci")</f>
        <v>hkeci</v>
      </c>
      <c r="G155" s="10" t="str">
        <f>IFERROR(__xludf.DUMMYFUNCTION("""COMPUTED_VALUE"""),"No")</f>
        <v>No</v>
      </c>
      <c r="H155" s="10"/>
      <c r="I155" s="10"/>
      <c r="J155" s="10"/>
      <c r="K155" s="10">
        <f>IFERROR(__xludf.DUMMYFUNCTION("""COMPUTED_VALUE"""),0.0)</f>
        <v>0</v>
      </c>
      <c r="L155" s="10">
        <f>IFERROR(__xludf.DUMMYFUNCTION("""COMPUTED_VALUE"""),0.0)</f>
        <v>0</v>
      </c>
      <c r="M155" s="10">
        <f>IFERROR(__xludf.DUMMYFUNCTION("""COMPUTED_VALUE"""),0.0)</f>
        <v>0</v>
      </c>
      <c r="N155" s="10">
        <f>IFERROR(__xludf.DUMMYFUNCTION("""COMPUTED_VALUE"""),0.0)</f>
        <v>0</v>
      </c>
      <c r="O155" s="10">
        <f>IFERROR(__xludf.DUMMYFUNCTION("""COMPUTED_VALUE"""),0.0)</f>
        <v>0</v>
      </c>
      <c r="P155" s="10">
        <f>IFERROR(__xludf.DUMMYFUNCTION("""COMPUTED_VALUE"""),0.0)</f>
        <v>0</v>
      </c>
      <c r="Q155" s="10" t="str">
        <f>IFERROR(__xludf.DUMMYFUNCTION("""COMPUTED_VALUE"""),"No")</f>
        <v>No</v>
      </c>
      <c r="R155" s="10" t="str">
        <f>IFERROR(__xludf.DUMMYFUNCTION("""COMPUTED_VALUE"""),"No")</f>
        <v>No</v>
      </c>
      <c r="S155" s="10" t="str">
        <f>IFERROR(__xludf.DUMMYFUNCTION("""COMPUTED_VALUE"""),"No")</f>
        <v>No</v>
      </c>
      <c r="T155" s="10">
        <f>IFERROR(__xludf.DUMMYFUNCTION("""COMPUTED_VALUE"""),0.0)</f>
        <v>0</v>
      </c>
      <c r="U155" s="10">
        <f>IFERROR(__xludf.DUMMYFUNCTION("""COMPUTED_VALUE"""),0.0)</f>
        <v>0</v>
      </c>
      <c r="V155" s="10" t="str">
        <f>IFERROR(__xludf.DUMMYFUNCTION("""COMPUTED_VALUE"""),"میت کو دفنانے تک کے تمام اداب")</f>
        <v>میت کو دفنانے تک کے تمام اداب</v>
      </c>
      <c r="W155" s="10" t="str">
        <f>IFERROR(__xludf.DUMMYFUNCTION("""COMPUTED_VALUE""")," امام نے بیان کیا کہ انسان جب فوت ہو رہا ہو تو صورت یاسین پڑھی جائے اس کے علاوہ میت کو دفنانے تک کے تمام اداب بیان کیے گئے")</f>
        <v> امام نے بیان کیا کہ انسان جب فوت ہو رہا ہو تو صورت یاسین پڑھی جائے اس کے علاوہ میت کو دفنانے تک کے تمام اداب بیان کیے گئے</v>
      </c>
      <c r="X155" s="10">
        <f>IFERROR(__xludf.DUMMYFUNCTION("""COMPUTED_VALUE"""),3.0)</f>
        <v>3</v>
      </c>
      <c r="Y155" s="10">
        <f>IFERROR(__xludf.DUMMYFUNCTION("""COMPUTED_VALUE"""),4.0)</f>
        <v>4</v>
      </c>
      <c r="Z155" s="10">
        <f>IFERROR(__xludf.DUMMYFUNCTION("""COMPUTED_VALUE"""),2.0)</f>
        <v>2</v>
      </c>
      <c r="AA155" s="10">
        <f>IFERROR(__xludf.DUMMYFUNCTION("""COMPUTED_VALUE"""),5.0)</f>
        <v>5</v>
      </c>
      <c r="AB155" s="10">
        <f>IFERROR(__xludf.DUMMYFUNCTION("""COMPUTED_VALUE"""),1.0)</f>
        <v>1</v>
      </c>
      <c r="AC155" s="10">
        <f>IFERROR(__xludf.DUMMYFUNCTION("""COMPUTED_VALUE"""),0.0)</f>
        <v>0</v>
      </c>
      <c r="AD155" s="10">
        <f>IFERROR(__xludf.DUMMYFUNCTION("""COMPUTED_VALUE"""),0.0)</f>
        <v>0</v>
      </c>
      <c r="AE155" s="10">
        <f>IFERROR(__xludf.DUMMYFUNCTION("""COMPUTED_VALUE"""),0.0)</f>
        <v>0</v>
      </c>
      <c r="AF155" s="10">
        <f>IFERROR(__xludf.DUMMYFUNCTION("""COMPUTED_VALUE"""),3.0)</f>
        <v>3</v>
      </c>
      <c r="AG155" s="10">
        <f>IFERROR(__xludf.DUMMYFUNCTION("""COMPUTED_VALUE"""),8.0)</f>
        <v>8</v>
      </c>
      <c r="AH155" s="10">
        <f>IFERROR(__xludf.DUMMYFUNCTION("""COMPUTED_VALUE"""),0.0)</f>
        <v>0</v>
      </c>
      <c r="AI155" s="10">
        <f>IFERROR(__xludf.DUMMYFUNCTION("""COMPUTED_VALUE"""),8.0)</f>
        <v>8</v>
      </c>
      <c r="AJ155" s="11" t="str">
        <f>IFERROR(__xludf.DUMMYFUNCTION("""COMPUTED_VALUE"""),"https://drive.google.com/open?id=1asVtJ8kD-9mckkgasbHxECSg-zWlddPL")</f>
        <v>https://drive.google.com/open?id=1asVtJ8kD-9mckkgasbHxECSg-zWlddPL</v>
      </c>
      <c r="AK155" s="12" t="str">
        <f>IFERROR(__xludf.DUMMYFUNCTION("""COMPUTED_VALUE"""),"Nill ")</f>
        <v>Nill </v>
      </c>
      <c r="AL155" s="12"/>
      <c r="AM155" s="12"/>
      <c r="AN155" s="12" t="str">
        <f>IFERROR(__xludf.DUMMYFUNCTION("""COMPUTED_VALUE"""),"3rd week")</f>
        <v>3rd week</v>
      </c>
      <c r="AO155" s="13">
        <v>3.0</v>
      </c>
      <c r="AX155" s="13">
        <v>3.0</v>
      </c>
    </row>
    <row r="156">
      <c r="A156" s="8">
        <v>155.0</v>
      </c>
      <c r="B156" s="9">
        <f>IFERROR(__xludf.DUMMYFUNCTION("""COMPUTED_VALUE"""),45775.573684131945)</f>
        <v>45775.57368</v>
      </c>
      <c r="C156" s="10" t="str">
        <f>IFERROR(__xludf.DUMMYFUNCTION("""COMPUTED_VALUE"""),"Kainat Idrees")</f>
        <v>Kainat Idrees</v>
      </c>
      <c r="D156" s="10" t="str">
        <f>IFERROR(__xludf.DUMMYFUNCTION("""COMPUTED_VALUE"""),"03125121140")</f>
        <v>03125121140</v>
      </c>
      <c r="E156" s="10" t="str">
        <f>IFERROR(__xludf.DUMMYFUNCTION("""COMPUTED_VALUE"""),"Jamia Masjid Hanfiya Peer Hakum Shah Lahore")</f>
        <v>Jamia Masjid Hanfiya Peer Hakum Shah Lahore</v>
      </c>
      <c r="F156" s="10" t="str">
        <f>IFERROR(__xludf.DUMMYFUNCTION("""COMPUTED_VALUE"""),"hbroz")</f>
        <v>hbroz</v>
      </c>
      <c r="G156" s="10" t="str">
        <f>IFERROR(__xludf.DUMMYFUNCTION("""COMPUTED_VALUE"""),"No")</f>
        <v>No</v>
      </c>
      <c r="H156" s="10"/>
      <c r="I156" s="10"/>
      <c r="J156" s="10"/>
      <c r="K156" s="10">
        <f>IFERROR(__xludf.DUMMYFUNCTION("""COMPUTED_VALUE"""),0.0)</f>
        <v>0</v>
      </c>
      <c r="L156" s="10">
        <f>IFERROR(__xludf.DUMMYFUNCTION("""COMPUTED_VALUE"""),0.0)</f>
        <v>0</v>
      </c>
      <c r="M156" s="10">
        <f>IFERROR(__xludf.DUMMYFUNCTION("""COMPUTED_VALUE"""),0.0)</f>
        <v>0</v>
      </c>
      <c r="N156" s="10">
        <f>IFERROR(__xludf.DUMMYFUNCTION("""COMPUTED_VALUE"""),0.0)</f>
        <v>0</v>
      </c>
      <c r="O156" s="10">
        <f>IFERROR(__xludf.DUMMYFUNCTION("""COMPUTED_VALUE"""),0.0)</f>
        <v>0</v>
      </c>
      <c r="P156" s="10">
        <f>IFERROR(__xludf.DUMMYFUNCTION("""COMPUTED_VALUE"""),0.0)</f>
        <v>0</v>
      </c>
      <c r="Q156" s="10" t="str">
        <f>IFERROR(__xludf.DUMMYFUNCTION("""COMPUTED_VALUE"""),"Yes")</f>
        <v>Yes</v>
      </c>
      <c r="R156" s="10" t="str">
        <f>IFERROR(__xludf.DUMMYFUNCTION("""COMPUTED_VALUE"""),"No")</f>
        <v>No</v>
      </c>
      <c r="S156" s="10" t="str">
        <f>IFERROR(__xludf.DUMMYFUNCTION("""COMPUTED_VALUE"""),"No")</f>
        <v>No</v>
      </c>
      <c r="T156" s="10">
        <f>IFERROR(__xludf.DUMMYFUNCTION("""COMPUTED_VALUE"""),0.0)</f>
        <v>0</v>
      </c>
      <c r="U156" s="10">
        <f>IFERROR(__xludf.DUMMYFUNCTION("""COMPUTED_VALUE"""),0.0)</f>
        <v>0</v>
      </c>
      <c r="V156" s="10" t="str">
        <f>IFERROR(__xludf.DUMMYFUNCTION("""COMPUTED_VALUE"""),"ALLAH ky mehboob log,ALLAH sy dosti")</f>
        <v>ALLAH ky mehboob log,ALLAH sy dosti</v>
      </c>
      <c r="W156" s="10" t="str">
        <f>IFERROR(__xludf.DUMMYFUNCTION("""COMPUTED_VALUE"""),"ALLAH ky mehboob log,ALLAH sy dosti or ALLAH ky naik logo ki ALLAH sy muhabat")</f>
        <v>ALLAH ky mehboob log,ALLAH sy dosti or ALLAH ky naik logo ki ALLAH sy muhabat</v>
      </c>
      <c r="X156" s="10">
        <f>IFERROR(__xludf.DUMMYFUNCTION("""COMPUTED_VALUE"""),1.0)</f>
        <v>1</v>
      </c>
      <c r="Y156" s="10">
        <f>IFERROR(__xludf.DUMMYFUNCTION("""COMPUTED_VALUE"""),0.0)</f>
        <v>0</v>
      </c>
      <c r="Z156" s="10">
        <f>IFERROR(__xludf.DUMMYFUNCTION("""COMPUTED_VALUE"""),4.0)</f>
        <v>4</v>
      </c>
      <c r="AA156" s="10">
        <f>IFERROR(__xludf.DUMMYFUNCTION("""COMPUTED_VALUE"""),10.0)</f>
        <v>10</v>
      </c>
      <c r="AB156" s="10">
        <f>IFERROR(__xludf.DUMMYFUNCTION("""COMPUTED_VALUE"""),0.0)</f>
        <v>0</v>
      </c>
      <c r="AC156" s="10">
        <f>IFERROR(__xludf.DUMMYFUNCTION("""COMPUTED_VALUE"""),0.0)</f>
        <v>0</v>
      </c>
      <c r="AD156" s="10">
        <f>IFERROR(__xludf.DUMMYFUNCTION("""COMPUTED_VALUE"""),0.0)</f>
        <v>0</v>
      </c>
      <c r="AE156" s="10">
        <f>IFERROR(__xludf.DUMMYFUNCTION("""COMPUTED_VALUE"""),0.0)</f>
        <v>0</v>
      </c>
      <c r="AF156" s="10">
        <f>IFERROR(__xludf.DUMMYFUNCTION("""COMPUTED_VALUE"""),0.0)</f>
        <v>0</v>
      </c>
      <c r="AG156" s="10">
        <f>IFERROR(__xludf.DUMMYFUNCTION("""COMPUTED_VALUE"""),10.0)</f>
        <v>10</v>
      </c>
      <c r="AH156" s="10">
        <f>IFERROR(__xludf.DUMMYFUNCTION("""COMPUTED_VALUE"""),0.0)</f>
        <v>0</v>
      </c>
      <c r="AI156" s="10">
        <f>IFERROR(__xludf.DUMMYFUNCTION("""COMPUTED_VALUE"""),10.0)</f>
        <v>10</v>
      </c>
      <c r="AJ156" s="11" t="str">
        <f>IFERROR(__xludf.DUMMYFUNCTION("""COMPUTED_VALUE"""),"https://drive.google.com/open?id=1AboayjPgAb3WK_AxSilQU8iXbpR-xHnn")</f>
        <v>https://drive.google.com/open?id=1AboayjPgAb3WK_AxSilQU8iXbpR-xHnn</v>
      </c>
      <c r="AK156" s="12" t="str">
        <f>IFERROR(__xludf.DUMMYFUNCTION("""COMPUTED_VALUE"""),"No suggestion")</f>
        <v>No suggestion</v>
      </c>
      <c r="AL156" s="12"/>
      <c r="AM156" s="12"/>
      <c r="AN156" s="12" t="str">
        <f>IFERROR(__xludf.DUMMYFUNCTION("""COMPUTED_VALUE"""),"3rd week")</f>
        <v>3rd week</v>
      </c>
      <c r="AO156" s="13">
        <v>3.0</v>
      </c>
      <c r="AX156" s="13">
        <v>3.0</v>
      </c>
    </row>
    <row r="157">
      <c r="A157" s="8">
        <v>156.0</v>
      </c>
      <c r="B157" s="9">
        <f>IFERROR(__xludf.DUMMYFUNCTION("""COMPUTED_VALUE"""),45775.622818449076)</f>
        <v>45775.62282</v>
      </c>
      <c r="C157" s="10" t="str">
        <f>IFERROR(__xludf.DUMMYFUNCTION("""COMPUTED_VALUE"""),"Muqaddas ")</f>
        <v>Muqaddas </v>
      </c>
      <c r="D157" s="10" t="str">
        <f>IFERROR(__xludf.DUMMYFUNCTION("""COMPUTED_VALUE"""),"03075314147")</f>
        <v>03075314147</v>
      </c>
      <c r="E157" s="10" t="str">
        <f>IFERROR(__xludf.DUMMYFUNCTION("""COMPUTED_VALUE"""),"Jamia masjid dehli museum lahore ")</f>
        <v>Jamia masjid dehli museum lahore </v>
      </c>
      <c r="F157" s="10" t="str">
        <f>IFERROR(__xludf.DUMMYFUNCTION("""COMPUTED_VALUE"""),"ieyaf")</f>
        <v>ieyaf</v>
      </c>
      <c r="G157" s="10" t="str">
        <f>IFERROR(__xludf.DUMMYFUNCTION("""COMPUTED_VALUE"""),"Yes")</f>
        <v>Yes</v>
      </c>
      <c r="H157" s="10">
        <f>IFERROR(__xludf.DUMMYFUNCTION("""COMPUTED_VALUE"""),5.0)</f>
        <v>5</v>
      </c>
      <c r="I157" s="10">
        <f>IFERROR(__xludf.DUMMYFUNCTION("""COMPUTED_VALUE"""),5.0)</f>
        <v>5</v>
      </c>
      <c r="J157" s="10">
        <f>IFERROR(__xludf.DUMMYFUNCTION("""COMPUTED_VALUE"""),3.0)</f>
        <v>3</v>
      </c>
      <c r="K157" s="10">
        <f>IFERROR(__xludf.DUMMYFUNCTION("""COMPUTED_VALUE"""),8.0)</f>
        <v>8</v>
      </c>
      <c r="L157" s="10">
        <f>IFERROR(__xludf.DUMMYFUNCTION("""COMPUTED_VALUE"""),0.0)</f>
        <v>0</v>
      </c>
      <c r="M157" s="10">
        <f>IFERROR(__xludf.DUMMYFUNCTION("""COMPUTED_VALUE"""),0.0)</f>
        <v>0</v>
      </c>
      <c r="N157" s="10">
        <f>IFERROR(__xludf.DUMMYFUNCTION("""COMPUTED_VALUE"""),0.0)</f>
        <v>0</v>
      </c>
      <c r="O157" s="10">
        <f>IFERROR(__xludf.DUMMYFUNCTION("""COMPUTED_VALUE"""),0.0)</f>
        <v>0</v>
      </c>
      <c r="P157" s="10">
        <f>IFERROR(__xludf.DUMMYFUNCTION("""COMPUTED_VALUE"""),0.0)</f>
        <v>0</v>
      </c>
      <c r="Q157" s="10" t="str">
        <f>IFERROR(__xludf.DUMMYFUNCTION("""COMPUTED_VALUE"""),"No")</f>
        <v>No</v>
      </c>
      <c r="R157" s="10" t="str">
        <f>IFERROR(__xludf.DUMMYFUNCTION("""COMPUTED_VALUE"""),"No")</f>
        <v>No</v>
      </c>
      <c r="S157" s="10" t="str">
        <f>IFERROR(__xludf.DUMMYFUNCTION("""COMPUTED_VALUE"""),"No")</f>
        <v>No</v>
      </c>
      <c r="T157" s="10">
        <f>IFERROR(__xludf.DUMMYFUNCTION("""COMPUTED_VALUE"""),0.0)</f>
        <v>0</v>
      </c>
      <c r="U157" s="10">
        <f>IFERROR(__xludf.DUMMYFUNCTION("""COMPUTED_VALUE"""),0.0)</f>
        <v>0</v>
      </c>
      <c r="V157" s="10" t="str">
        <f>IFERROR(__xludf.DUMMYFUNCTION("""COMPUTED_VALUE"""),"مسلم خواتین کا سیاسی سرگرمیوں میں شرکت")</f>
        <v>مسلم خواتین کا سیاسی سرگرمیوں میں شرکت</v>
      </c>
      <c r="W157" s="10" t="str">
        <f>IFERROR(__xludf.DUMMYFUNCTION("""COMPUTED_VALUE"""),"اسلام میں مسلم خواتین کا سیاسی سرگرمیوں میں شرکت کے حوالے سے بات کی گئی حضرت سلمان فارسی کے زمانے کی مثال دی گئی اور حضور پاک اور حضرت خدیجہ کی مثال دی گئی اور یہ بھی بتایا گیا کہ اگر عورت کی طرف سے اچھا مشورہ ا جائے تو اس سے ریجیکٹ نہیں کرنا چاہیے")</f>
        <v>اسلام میں مسلم خواتین کا سیاسی سرگرمیوں میں شرکت کے حوالے سے بات کی گئی حضرت سلمان فارسی کے زمانے کی مثال دی گئی اور حضور پاک اور حضرت خدیجہ کی مثال دی گئی اور یہ بھی بتایا گیا کہ اگر عورت کی طرف سے اچھا مشورہ ا جائے تو اس سے ریجیکٹ نہیں کرنا چاہیے</v>
      </c>
      <c r="X157" s="10">
        <f>IFERROR(__xludf.DUMMYFUNCTION("""COMPUTED_VALUE"""),0.0)</f>
        <v>0</v>
      </c>
      <c r="Y157" s="10">
        <f>IFERROR(__xludf.DUMMYFUNCTION("""COMPUTED_VALUE"""),3.0)</f>
        <v>3</v>
      </c>
      <c r="Z157" s="10">
        <f>IFERROR(__xludf.DUMMYFUNCTION("""COMPUTED_VALUE"""),0.0)</f>
        <v>0</v>
      </c>
      <c r="AA157" s="10">
        <f>IFERROR(__xludf.DUMMYFUNCTION("""COMPUTED_VALUE"""),0.0)</f>
        <v>0</v>
      </c>
      <c r="AB157" s="10">
        <f>IFERROR(__xludf.DUMMYFUNCTION("""COMPUTED_VALUE"""),4.0)</f>
        <v>4</v>
      </c>
      <c r="AC157" s="10">
        <f>IFERROR(__xludf.DUMMYFUNCTION("""COMPUTED_VALUE"""),0.0)</f>
        <v>0</v>
      </c>
      <c r="AD157" s="10">
        <f>IFERROR(__xludf.DUMMYFUNCTION("""COMPUTED_VALUE"""),0.0)</f>
        <v>0</v>
      </c>
      <c r="AE157" s="10">
        <f>IFERROR(__xludf.DUMMYFUNCTION("""COMPUTED_VALUE"""),0.0)</f>
        <v>0</v>
      </c>
      <c r="AF157" s="10">
        <f>IFERROR(__xludf.DUMMYFUNCTION("""COMPUTED_VALUE"""),3.0)</f>
        <v>3</v>
      </c>
      <c r="AG157" s="10">
        <f>IFERROR(__xludf.DUMMYFUNCTION("""COMPUTED_VALUE"""),7.0)</f>
        <v>7</v>
      </c>
      <c r="AH157" s="10">
        <f>IFERROR(__xludf.DUMMYFUNCTION("""COMPUTED_VALUE"""),0.0)</f>
        <v>0</v>
      </c>
      <c r="AI157" s="10">
        <f>IFERROR(__xludf.DUMMYFUNCTION("""COMPUTED_VALUE"""),7.0)</f>
        <v>7</v>
      </c>
      <c r="AJ157" s="11" t="str">
        <f>IFERROR(__xludf.DUMMYFUNCTION("""COMPUTED_VALUE"""),"https://drive.google.com/open?id=1cdjafLq7HCnxQ-FTgfsiFk5-uBvZEzre")</f>
        <v>https://drive.google.com/open?id=1cdjafLq7HCnxQ-FTgfsiFk5-uBvZEzre</v>
      </c>
      <c r="AK157" s="12" t="str">
        <f>IFERROR(__xludf.DUMMYFUNCTION("""COMPUTED_VALUE"""),"Nill")</f>
        <v>Nill</v>
      </c>
      <c r="AL157" s="12" t="str">
        <f>IFERROR(__xludf.DUMMYFUNCTION("""COMPUTED_VALUE"""),"Yes")</f>
        <v>Yes</v>
      </c>
      <c r="AM157" s="15">
        <f>IFERROR(__xludf.DUMMYFUNCTION("""COMPUTED_VALUE"""),0.6)</f>
        <v>0.6</v>
      </c>
      <c r="AN157" s="12" t="str">
        <f>IFERROR(__xludf.DUMMYFUNCTION("""COMPUTED_VALUE"""),"3rd week")</f>
        <v>3rd week</v>
      </c>
      <c r="AO157" s="13">
        <v>3.0</v>
      </c>
      <c r="AX157" s="13">
        <v>3.0</v>
      </c>
    </row>
    <row r="158">
      <c r="A158" s="8">
        <v>157.0</v>
      </c>
      <c r="B158" s="9">
        <f>IFERROR(__xludf.DUMMYFUNCTION("""COMPUTED_VALUE"""),45776.00582015046)</f>
        <v>45776.00582</v>
      </c>
      <c r="C158" s="10" t="str">
        <f>IFERROR(__xludf.DUMMYFUNCTION("""COMPUTED_VALUE"""),"Sajjad Hussain bhatti ")</f>
        <v>Sajjad Hussain bhatti </v>
      </c>
      <c r="D158" s="10" t="str">
        <f>IFERROR(__xludf.DUMMYFUNCTION("""COMPUTED_VALUE"""),"03008432760")</f>
        <v>03008432760</v>
      </c>
      <c r="E158" s="10" t="str">
        <f>IFERROR(__xludf.DUMMYFUNCTION("""COMPUTED_VALUE"""),"Jamia masjid syeda muridka ")</f>
        <v>Jamia masjid syeda muridka </v>
      </c>
      <c r="F158" s="10" t="str">
        <f>IFERROR(__xludf.DUMMYFUNCTION("""COMPUTED_VALUE"""),"XBFUU")</f>
        <v>XBFUU</v>
      </c>
      <c r="G158" s="10" t="str">
        <f>IFERROR(__xludf.DUMMYFUNCTION("""COMPUTED_VALUE"""),"No")</f>
        <v>No</v>
      </c>
      <c r="H158" s="10"/>
      <c r="I158" s="10"/>
      <c r="J158" s="10"/>
      <c r="K158" s="10">
        <f>IFERROR(__xludf.DUMMYFUNCTION("""COMPUTED_VALUE"""),6.0)</f>
        <v>6</v>
      </c>
      <c r="L158" s="10">
        <f>IFERROR(__xludf.DUMMYFUNCTION("""COMPUTED_VALUE"""),9.0)</f>
        <v>9</v>
      </c>
      <c r="M158" s="10">
        <f>IFERROR(__xludf.DUMMYFUNCTION("""COMPUTED_VALUE"""),5.0)</f>
        <v>5</v>
      </c>
      <c r="N158" s="10">
        <f>IFERROR(__xludf.DUMMYFUNCTION("""COMPUTED_VALUE"""),8.0)</f>
        <v>8</v>
      </c>
      <c r="O158" s="10">
        <f>IFERROR(__xludf.DUMMYFUNCTION("""COMPUTED_VALUE"""),0.0)</f>
        <v>0</v>
      </c>
      <c r="P158" s="10">
        <f>IFERROR(__xludf.DUMMYFUNCTION("""COMPUTED_VALUE"""),9.0)</f>
        <v>9</v>
      </c>
      <c r="Q158" s="10" t="str">
        <f>IFERROR(__xludf.DUMMYFUNCTION("""COMPUTED_VALUE"""),"No")</f>
        <v>No</v>
      </c>
      <c r="R158" s="10" t="str">
        <f>IFERROR(__xludf.DUMMYFUNCTION("""COMPUTED_VALUE"""),"Yes")</f>
        <v>Yes</v>
      </c>
      <c r="S158" s="10" t="str">
        <f>IFERROR(__xludf.DUMMYFUNCTION("""COMPUTED_VALUE"""),"No")</f>
        <v>No</v>
      </c>
      <c r="T158" s="10">
        <f>IFERROR(__xludf.DUMMYFUNCTION("""COMPUTED_VALUE"""),0.0)</f>
        <v>0</v>
      </c>
      <c r="U158" s="10">
        <f>IFERROR(__xludf.DUMMYFUNCTION("""COMPUTED_VALUE"""),0.0)</f>
        <v>0</v>
      </c>
      <c r="V158" s="10" t="str">
        <f>IFERROR(__xludf.DUMMYFUNCTION("""COMPUTED_VALUE"""),"پڑوسی کے حقوق۔ کے بارے میں مسجد کی اہمیت کے کردار کے بارے میں اور صفائی کے بارے میں گفتگو کی ")</f>
        <v>پڑوسی کے حقوق۔ کے بارے میں مسجد کی اہمیت کے کردار کے بارے میں اور صفائی کے بارے میں گفتگو کی </v>
      </c>
      <c r="W158" s="10" t="str">
        <f>IFERROR(__xludf.DUMMYFUNCTION("""COMPUTED_VALUE"""),"پڑوسی کے حقوق ۔مسجد کی اہمیت صفائی ")</f>
        <v>پڑوسی کے حقوق ۔مسجد کی اہمیت صفائی </v>
      </c>
      <c r="X158" s="10">
        <f>IFERROR(__xludf.DUMMYFUNCTION("""COMPUTED_VALUE"""),5.0)</f>
        <v>5</v>
      </c>
      <c r="Y158" s="10">
        <f>IFERROR(__xludf.DUMMYFUNCTION("""COMPUTED_VALUE"""),9.0)</f>
        <v>9</v>
      </c>
      <c r="Z158" s="10">
        <f>IFERROR(__xludf.DUMMYFUNCTION("""COMPUTED_VALUE"""),5.0)</f>
        <v>5</v>
      </c>
      <c r="AA158" s="10">
        <f>IFERROR(__xludf.DUMMYFUNCTION("""COMPUTED_VALUE"""),5.0)</f>
        <v>5</v>
      </c>
      <c r="AB158" s="10">
        <f>IFERROR(__xludf.DUMMYFUNCTION("""COMPUTED_VALUE"""),0.0)</f>
        <v>0</v>
      </c>
      <c r="AC158" s="10">
        <f>IFERROR(__xludf.DUMMYFUNCTION("""COMPUTED_VALUE"""),0.0)</f>
        <v>0</v>
      </c>
      <c r="AD158" s="10">
        <f>IFERROR(__xludf.DUMMYFUNCTION("""COMPUTED_VALUE"""),3.0)</f>
        <v>3</v>
      </c>
      <c r="AE158" s="10">
        <f>IFERROR(__xludf.DUMMYFUNCTION("""COMPUTED_VALUE"""),0.0)</f>
        <v>0</v>
      </c>
      <c r="AF158" s="10">
        <f>IFERROR(__xludf.DUMMYFUNCTION("""COMPUTED_VALUE"""),0.0)</f>
        <v>0</v>
      </c>
      <c r="AG158" s="10">
        <f>IFERROR(__xludf.DUMMYFUNCTION("""COMPUTED_VALUE"""),8.0)</f>
        <v>8</v>
      </c>
      <c r="AH158" s="10">
        <f>IFERROR(__xludf.DUMMYFUNCTION("""COMPUTED_VALUE"""),0.0)</f>
        <v>0</v>
      </c>
      <c r="AI158" s="10">
        <f>IFERROR(__xludf.DUMMYFUNCTION("""COMPUTED_VALUE"""),8.0)</f>
        <v>8</v>
      </c>
      <c r="AJ158" s="11" t="str">
        <f>IFERROR(__xludf.DUMMYFUNCTION("""COMPUTED_VALUE"""),"https://drive.google.com/open?id=1Ybn0BcUtPMxnNQxhSK3OGyeZJZmOp31U")</f>
        <v>https://drive.google.com/open?id=1Ybn0BcUtPMxnNQxhSK3OGyeZJZmOp31U</v>
      </c>
      <c r="AK158" s="12"/>
      <c r="AL158" s="12"/>
      <c r="AM158" s="12"/>
      <c r="AN158" s="12" t="str">
        <f>IFERROR(__xludf.DUMMYFUNCTION("""COMPUTED_VALUE"""),"2nd week")</f>
        <v>2nd week</v>
      </c>
      <c r="AO158" s="13">
        <v>2.0</v>
      </c>
      <c r="AX158" s="13"/>
    </row>
    <row r="159">
      <c r="A159" s="8">
        <v>158.0</v>
      </c>
      <c r="B159" s="9">
        <f>IFERROR(__xludf.DUMMYFUNCTION("""COMPUTED_VALUE"""),45776.00978769676)</f>
        <v>45776.00979</v>
      </c>
      <c r="C159" s="10" t="str">
        <f>IFERROR(__xludf.DUMMYFUNCTION("""COMPUTED_VALUE"""),"Mohsin Raza ")</f>
        <v>Mohsin Raza </v>
      </c>
      <c r="D159" s="10" t="str">
        <f>IFERROR(__xludf.DUMMYFUNCTION("""COMPUTED_VALUE"""),"03014497860")</f>
        <v>03014497860</v>
      </c>
      <c r="E159" s="10" t="str">
        <f>IFERROR(__xludf.DUMMYFUNCTION("""COMPUTED_VALUE"""),"Jamia Masjid Imam bargah kalan kacheri sheikhupura ")</f>
        <v>Jamia Masjid Imam bargah kalan kacheri sheikhupura </v>
      </c>
      <c r="F159" s="10" t="str">
        <f>IFERROR(__xludf.DUMMYFUNCTION("""COMPUTED_VALUE"""),"UPUVS")</f>
        <v>UPUVS</v>
      </c>
      <c r="G159" s="10" t="str">
        <f>IFERROR(__xludf.DUMMYFUNCTION("""COMPUTED_VALUE"""),"No")</f>
        <v>No</v>
      </c>
      <c r="H159" s="10"/>
      <c r="I159" s="10"/>
      <c r="J159" s="10"/>
      <c r="K159" s="10">
        <f>IFERROR(__xludf.DUMMYFUNCTION("""COMPUTED_VALUE"""),8.0)</f>
        <v>8</v>
      </c>
      <c r="L159" s="10">
        <f>IFERROR(__xludf.DUMMYFUNCTION("""COMPUTED_VALUE"""),8.0)</f>
        <v>8</v>
      </c>
      <c r="M159" s="10">
        <f>IFERROR(__xludf.DUMMYFUNCTION("""COMPUTED_VALUE"""),8.0)</f>
        <v>8</v>
      </c>
      <c r="N159" s="10">
        <f>IFERROR(__xludf.DUMMYFUNCTION("""COMPUTED_VALUE"""),8.0)</f>
        <v>8</v>
      </c>
      <c r="O159" s="10">
        <f>IFERROR(__xludf.DUMMYFUNCTION("""COMPUTED_VALUE"""),8.0)</f>
        <v>8</v>
      </c>
      <c r="P159" s="10">
        <f>IFERROR(__xludf.DUMMYFUNCTION("""COMPUTED_VALUE"""),8.0)</f>
        <v>8</v>
      </c>
      <c r="Q159" s="10" t="str">
        <f>IFERROR(__xludf.DUMMYFUNCTION("""COMPUTED_VALUE"""),"Yes")</f>
        <v>Yes</v>
      </c>
      <c r="R159" s="10" t="str">
        <f>IFERROR(__xludf.DUMMYFUNCTION("""COMPUTED_VALUE"""),"Yes")</f>
        <v>Yes</v>
      </c>
      <c r="S159" s="10" t="str">
        <f>IFERROR(__xludf.DUMMYFUNCTION("""COMPUTED_VALUE"""),"Yes")</f>
        <v>Yes</v>
      </c>
      <c r="T159" s="10">
        <f>IFERROR(__xludf.DUMMYFUNCTION("""COMPUTED_VALUE"""),8.0)</f>
        <v>8</v>
      </c>
      <c r="U159" s="10">
        <f>IFERROR(__xludf.DUMMYFUNCTION("""COMPUTED_VALUE"""),7.0)</f>
        <v>7</v>
      </c>
      <c r="V159" s="10" t="str">
        <f>IFERROR(__xludf.DUMMYFUNCTION("""COMPUTED_VALUE"""),"پڑوسیوں کے حقوق ")</f>
        <v>پڑوسیوں کے حقوق </v>
      </c>
      <c r="W159" s="10" t="str">
        <f>IFERROR(__xludf.DUMMYFUNCTION("""COMPUTED_VALUE"""),"پڑوسیوں کے حقوق اور عورتوں کی تعلیم ")</f>
        <v>پڑوسیوں کے حقوق اور عورتوں کی تعلیم </v>
      </c>
      <c r="X159" s="10">
        <f>IFERROR(__xludf.DUMMYFUNCTION("""COMPUTED_VALUE"""),8.0)</f>
        <v>8</v>
      </c>
      <c r="Y159" s="10">
        <f>IFERROR(__xludf.DUMMYFUNCTION("""COMPUTED_VALUE"""),8.0)</f>
        <v>8</v>
      </c>
      <c r="Z159" s="10">
        <f>IFERROR(__xludf.DUMMYFUNCTION("""COMPUTED_VALUE"""),5.0)</f>
        <v>5</v>
      </c>
      <c r="AA159" s="10">
        <f>IFERROR(__xludf.DUMMYFUNCTION("""COMPUTED_VALUE"""),7.0)</f>
        <v>7</v>
      </c>
      <c r="AB159" s="10">
        <f>IFERROR(__xludf.DUMMYFUNCTION("""COMPUTED_VALUE"""),7.0)</f>
        <v>7</v>
      </c>
      <c r="AC159" s="10">
        <f>IFERROR(__xludf.DUMMYFUNCTION("""COMPUTED_VALUE"""),0.0)</f>
        <v>0</v>
      </c>
      <c r="AD159" s="10">
        <f>IFERROR(__xludf.DUMMYFUNCTION("""COMPUTED_VALUE"""),7.0)</f>
        <v>7</v>
      </c>
      <c r="AE159" s="10">
        <f>IFERROR(__xludf.DUMMYFUNCTION("""COMPUTED_VALUE"""),8.0)</f>
        <v>8</v>
      </c>
      <c r="AF159" s="10">
        <f>IFERROR(__xludf.DUMMYFUNCTION("""COMPUTED_VALUE"""),8.0)</f>
        <v>8</v>
      </c>
      <c r="AG159" s="10">
        <f>IFERROR(__xludf.DUMMYFUNCTION("""COMPUTED_VALUE"""),7.0)</f>
        <v>7</v>
      </c>
      <c r="AH159" s="10">
        <f>IFERROR(__xludf.DUMMYFUNCTION("""COMPUTED_VALUE"""),0.0)</f>
        <v>0</v>
      </c>
      <c r="AI159" s="10">
        <f>IFERROR(__xludf.DUMMYFUNCTION("""COMPUTED_VALUE"""),10.0)</f>
        <v>10</v>
      </c>
      <c r="AJ159" s="11" t="str">
        <f>IFERROR(__xludf.DUMMYFUNCTION("""COMPUTED_VALUE"""),"https://drive.google.com/open?id=1UlkzXspLbT29hlANoAS1cBWUSR7jLcUT")</f>
        <v>https://drive.google.com/open?id=1UlkzXspLbT29hlANoAS1cBWUSR7jLcUT</v>
      </c>
      <c r="AK159" s="12"/>
      <c r="AL159" s="12"/>
      <c r="AM159" s="12"/>
      <c r="AN159" s="12" t="str">
        <f>IFERROR(__xludf.DUMMYFUNCTION("""COMPUTED_VALUE"""),"1st week")</f>
        <v>1st week</v>
      </c>
      <c r="AO159" s="13">
        <v>1.0</v>
      </c>
      <c r="AX159" s="13">
        <v>1.0</v>
      </c>
    </row>
    <row r="160">
      <c r="A160" s="8">
        <v>159.0</v>
      </c>
      <c r="B160" s="9">
        <f>IFERROR(__xludf.DUMMYFUNCTION("""COMPUTED_VALUE"""),45776.041471261575)</f>
        <v>45776.04147</v>
      </c>
      <c r="C160" s="10" t="str">
        <f>IFERROR(__xludf.DUMMYFUNCTION("""COMPUTED_VALUE"""),"Shakeela")</f>
        <v>Shakeela</v>
      </c>
      <c r="D160" s="10" t="str">
        <f>IFERROR(__xludf.DUMMYFUNCTION("""COMPUTED_VALUE"""),"03359485820")</f>
        <v>03359485820</v>
      </c>
      <c r="E160" s="10" t="str">
        <f>IFERROR(__xludf.DUMMYFUNCTION("""COMPUTED_VALUE"""),"Jamia Masjid Bilal Mesri Shah Lahore")</f>
        <v>Jamia Masjid Bilal Mesri Shah Lahore</v>
      </c>
      <c r="F160" s="10" t="str">
        <f>IFERROR(__xludf.DUMMYFUNCTION("""COMPUTED_VALUE"""),"avbgy")</f>
        <v>avbgy</v>
      </c>
      <c r="G160" s="10" t="str">
        <f>IFERROR(__xludf.DUMMYFUNCTION("""COMPUTED_VALUE"""),"Yes")</f>
        <v>Yes</v>
      </c>
      <c r="H160" s="10">
        <f>IFERROR(__xludf.DUMMYFUNCTION("""COMPUTED_VALUE"""),9.0)</f>
        <v>9</v>
      </c>
      <c r="I160" s="10">
        <f>IFERROR(__xludf.DUMMYFUNCTION("""COMPUTED_VALUE"""),1.0)</f>
        <v>1</v>
      </c>
      <c r="J160" s="10">
        <f>IFERROR(__xludf.DUMMYFUNCTION("""COMPUTED_VALUE"""),8.0)</f>
        <v>8</v>
      </c>
      <c r="K160" s="10">
        <f>IFERROR(__xludf.DUMMYFUNCTION("""COMPUTED_VALUE"""),0.0)</f>
        <v>0</v>
      </c>
      <c r="L160" s="10">
        <f>IFERROR(__xludf.DUMMYFUNCTION("""COMPUTED_VALUE"""),8.0)</f>
        <v>8</v>
      </c>
      <c r="M160" s="10">
        <f>IFERROR(__xludf.DUMMYFUNCTION("""COMPUTED_VALUE"""),0.0)</f>
        <v>0</v>
      </c>
      <c r="N160" s="10">
        <f>IFERROR(__xludf.DUMMYFUNCTION("""COMPUTED_VALUE"""),9.0)</f>
        <v>9</v>
      </c>
      <c r="O160" s="10">
        <f>IFERROR(__xludf.DUMMYFUNCTION("""COMPUTED_VALUE"""),0.0)</f>
        <v>0</v>
      </c>
      <c r="P160" s="10">
        <f>IFERROR(__xludf.DUMMYFUNCTION("""COMPUTED_VALUE"""),9.0)</f>
        <v>9</v>
      </c>
      <c r="Q160" s="10" t="str">
        <f>IFERROR(__xludf.DUMMYFUNCTION("""COMPUTED_VALUE"""),"No")</f>
        <v>No</v>
      </c>
      <c r="R160" s="10" t="str">
        <f>IFERROR(__xludf.DUMMYFUNCTION("""COMPUTED_VALUE"""),"Yes")</f>
        <v>Yes</v>
      </c>
      <c r="S160" s="10" t="str">
        <f>IFERROR(__xludf.DUMMYFUNCTION("""COMPUTED_VALUE"""),"No")</f>
        <v>No</v>
      </c>
      <c r="T160" s="10">
        <f>IFERROR(__xludf.DUMMYFUNCTION("""COMPUTED_VALUE"""),0.0)</f>
        <v>0</v>
      </c>
      <c r="U160" s="10">
        <f>IFERROR(__xludf.DUMMYFUNCTION("""COMPUTED_VALUE"""),0.0)</f>
        <v>0</v>
      </c>
      <c r="V160" s="10" t="str">
        <f>IFERROR(__xludf.DUMMYFUNCTION("""COMPUTED_VALUE"""),"Community Rights")</f>
        <v>Community Rights</v>
      </c>
      <c r="W160" s="10" t="str">
        <f>IFERROR(__xludf.DUMMYFUNCTION("""COMPUTED_VALUE"""),"community rights in slam")</f>
        <v>community rights in slam</v>
      </c>
      <c r="X160" s="10">
        <f>IFERROR(__xludf.DUMMYFUNCTION("""COMPUTED_VALUE"""),0.0)</f>
        <v>0</v>
      </c>
      <c r="Y160" s="10">
        <f>IFERROR(__xludf.DUMMYFUNCTION("""COMPUTED_VALUE"""),9.0)</f>
        <v>9</v>
      </c>
      <c r="Z160" s="10">
        <f>IFERROR(__xludf.DUMMYFUNCTION("""COMPUTED_VALUE"""),6.0)</f>
        <v>6</v>
      </c>
      <c r="AA160" s="10">
        <f>IFERROR(__xludf.DUMMYFUNCTION("""COMPUTED_VALUE"""),6.0)</f>
        <v>6</v>
      </c>
      <c r="AB160" s="10">
        <f>IFERROR(__xludf.DUMMYFUNCTION("""COMPUTED_VALUE"""),1.0)</f>
        <v>1</v>
      </c>
      <c r="AC160" s="10">
        <f>IFERROR(__xludf.DUMMYFUNCTION("""COMPUTED_VALUE"""),2.0)</f>
        <v>2</v>
      </c>
      <c r="AD160" s="10">
        <f>IFERROR(__xludf.DUMMYFUNCTION("""COMPUTED_VALUE"""),0.0)</f>
        <v>0</v>
      </c>
      <c r="AE160" s="10">
        <f>IFERROR(__xludf.DUMMYFUNCTION("""COMPUTED_VALUE"""),0.0)</f>
        <v>0</v>
      </c>
      <c r="AF160" s="10">
        <f>IFERROR(__xludf.DUMMYFUNCTION("""COMPUTED_VALUE"""),0.0)</f>
        <v>0</v>
      </c>
      <c r="AG160" s="10">
        <f>IFERROR(__xludf.DUMMYFUNCTION("""COMPUTED_VALUE"""),8.0)</f>
        <v>8</v>
      </c>
      <c r="AH160" s="10">
        <f>IFERROR(__xludf.DUMMYFUNCTION("""COMPUTED_VALUE"""),1.0)</f>
        <v>1</v>
      </c>
      <c r="AI160" s="10">
        <f>IFERROR(__xludf.DUMMYFUNCTION("""COMPUTED_VALUE"""),9.0)</f>
        <v>9</v>
      </c>
      <c r="AJ160" s="11" t="str">
        <f>IFERROR(__xludf.DUMMYFUNCTION("""COMPUTED_VALUE"""),"https://drive.google.com/open?id=1yEMuLrycHklyiqRqTixGGMTyKUIQwfi0")</f>
        <v>https://drive.google.com/open?id=1yEMuLrycHklyiqRqTixGGMTyKUIQwfi0</v>
      </c>
      <c r="AK160" s="12"/>
      <c r="AL160" s="12" t="str">
        <f>IFERROR(__xludf.DUMMYFUNCTION("""COMPUTED_VALUE"""),"Yes")</f>
        <v>Yes</v>
      </c>
      <c r="AM160" s="15">
        <f>IFERROR(__xludf.DUMMYFUNCTION("""COMPUTED_VALUE"""),0.9)</f>
        <v>0.9</v>
      </c>
      <c r="AN160" s="12" t="str">
        <f>IFERROR(__xludf.DUMMYFUNCTION("""COMPUTED_VALUE"""),"2nd week")</f>
        <v>2nd week</v>
      </c>
      <c r="AO160" s="13">
        <v>2.0</v>
      </c>
      <c r="AX160" s="13">
        <v>2.0</v>
      </c>
    </row>
    <row r="161">
      <c r="A161" s="8">
        <v>160.0</v>
      </c>
      <c r="B161" s="9">
        <f>IFERROR(__xludf.DUMMYFUNCTION("""COMPUTED_VALUE"""),45776.04508510417)</f>
        <v>45776.04509</v>
      </c>
      <c r="C161" s="10" t="str">
        <f>IFERROR(__xludf.DUMMYFUNCTION("""COMPUTED_VALUE"""),"Shakeela")</f>
        <v>Shakeela</v>
      </c>
      <c r="D161" s="10" t="str">
        <f>IFERROR(__xludf.DUMMYFUNCTION("""COMPUTED_VALUE"""),"03359485820")</f>
        <v>03359485820</v>
      </c>
      <c r="E161" s="10" t="str">
        <f>IFERROR(__xludf.DUMMYFUNCTION("""COMPUTED_VALUE"""),"Jamia Masjid Bedian Road Lahore")</f>
        <v>Jamia Masjid Bedian Road Lahore</v>
      </c>
      <c r="F161" s="10" t="str">
        <f>IFERROR(__xludf.DUMMYFUNCTION("""COMPUTED_VALUE"""),"dxome")</f>
        <v>dxome</v>
      </c>
      <c r="G161" s="10" t="str">
        <f>IFERROR(__xludf.DUMMYFUNCTION("""COMPUTED_VALUE"""),"Yes")</f>
        <v>Yes</v>
      </c>
      <c r="H161" s="10">
        <f>IFERROR(__xludf.DUMMYFUNCTION("""COMPUTED_VALUE"""),0.0)</f>
        <v>0</v>
      </c>
      <c r="I161" s="10">
        <f>IFERROR(__xludf.DUMMYFUNCTION("""COMPUTED_VALUE"""),0.0)</f>
        <v>0</v>
      </c>
      <c r="J161" s="10">
        <f>IFERROR(__xludf.DUMMYFUNCTION("""COMPUTED_VALUE"""),0.0)</f>
        <v>0</v>
      </c>
      <c r="K161" s="10">
        <f>IFERROR(__xludf.DUMMYFUNCTION("""COMPUTED_VALUE"""),0.0)</f>
        <v>0</v>
      </c>
      <c r="L161" s="10">
        <f>IFERROR(__xludf.DUMMYFUNCTION("""COMPUTED_VALUE"""),0.0)</f>
        <v>0</v>
      </c>
      <c r="M161" s="10">
        <f>IFERROR(__xludf.DUMMYFUNCTION("""COMPUTED_VALUE"""),0.0)</f>
        <v>0</v>
      </c>
      <c r="N161" s="10">
        <f>IFERROR(__xludf.DUMMYFUNCTION("""COMPUTED_VALUE"""),0.0)</f>
        <v>0</v>
      </c>
      <c r="O161" s="10">
        <f>IFERROR(__xludf.DUMMYFUNCTION("""COMPUTED_VALUE"""),0.0)</f>
        <v>0</v>
      </c>
      <c r="P161" s="10">
        <f>IFERROR(__xludf.DUMMYFUNCTION("""COMPUTED_VALUE"""),0.0)</f>
        <v>0</v>
      </c>
      <c r="Q161" s="10" t="str">
        <f>IFERROR(__xludf.DUMMYFUNCTION("""COMPUTED_VALUE"""),"No")</f>
        <v>No</v>
      </c>
      <c r="R161" s="10" t="str">
        <f>IFERROR(__xludf.DUMMYFUNCTION("""COMPUTED_VALUE"""),"No")</f>
        <v>No</v>
      </c>
      <c r="S161" s="10" t="str">
        <f>IFERROR(__xludf.DUMMYFUNCTION("""COMPUTED_VALUE"""),"No")</f>
        <v>No</v>
      </c>
      <c r="T161" s="10">
        <f>IFERROR(__xludf.DUMMYFUNCTION("""COMPUTED_VALUE"""),0.0)</f>
        <v>0</v>
      </c>
      <c r="U161" s="10">
        <f>IFERROR(__xludf.DUMMYFUNCTION("""COMPUTED_VALUE"""),0.0)</f>
        <v>0</v>
      </c>
      <c r="V161" s="10" t="str">
        <f>IFERROR(__xludf.DUMMYFUNCTION("""COMPUTED_VALUE"""),"Anbia e karam ki Zindagi")</f>
        <v>Anbia e karam ki Zindagi</v>
      </c>
      <c r="W161" s="10" t="str">
        <f>IFERROR(__xludf.DUMMYFUNCTION("""COMPUTED_VALUE"""),"Hazrat nooh A.S ki zindgi aur Hazrat Muhammad saw ki zindagi per bt ki")</f>
        <v>Hazrat nooh A.S ki zindgi aur Hazrat Muhammad saw ki zindagi per bt ki</v>
      </c>
      <c r="X161" s="10">
        <f>IFERROR(__xludf.DUMMYFUNCTION("""COMPUTED_VALUE"""),6.0)</f>
        <v>6</v>
      </c>
      <c r="Y161" s="10">
        <f>IFERROR(__xludf.DUMMYFUNCTION("""COMPUTED_VALUE"""),6.0)</f>
        <v>6</v>
      </c>
      <c r="Z161" s="10">
        <f>IFERROR(__xludf.DUMMYFUNCTION("""COMPUTED_VALUE"""),6.0)</f>
        <v>6</v>
      </c>
      <c r="AA161" s="10">
        <f>IFERROR(__xludf.DUMMYFUNCTION("""COMPUTED_VALUE"""),6.0)</f>
        <v>6</v>
      </c>
      <c r="AB161" s="10">
        <f>IFERROR(__xludf.DUMMYFUNCTION("""COMPUTED_VALUE"""),8.0)</f>
        <v>8</v>
      </c>
      <c r="AC161" s="10">
        <f>IFERROR(__xludf.DUMMYFUNCTION("""COMPUTED_VALUE"""),0.0)</f>
        <v>0</v>
      </c>
      <c r="AD161" s="10">
        <f>IFERROR(__xludf.DUMMYFUNCTION("""COMPUTED_VALUE"""),0.0)</f>
        <v>0</v>
      </c>
      <c r="AE161" s="10">
        <f>IFERROR(__xludf.DUMMYFUNCTION("""COMPUTED_VALUE"""),0.0)</f>
        <v>0</v>
      </c>
      <c r="AF161" s="10">
        <f>IFERROR(__xludf.DUMMYFUNCTION("""COMPUTED_VALUE"""),0.0)</f>
        <v>0</v>
      </c>
      <c r="AG161" s="10">
        <f>IFERROR(__xludf.DUMMYFUNCTION("""COMPUTED_VALUE"""),8.0)</f>
        <v>8</v>
      </c>
      <c r="AH161" s="10">
        <f>IFERROR(__xludf.DUMMYFUNCTION("""COMPUTED_VALUE"""),1.0)</f>
        <v>1</v>
      </c>
      <c r="AI161" s="10">
        <f>IFERROR(__xludf.DUMMYFUNCTION("""COMPUTED_VALUE"""),7.0)</f>
        <v>7</v>
      </c>
      <c r="AJ161" s="11" t="str">
        <f>IFERROR(__xludf.DUMMYFUNCTION("""COMPUTED_VALUE"""),"https://drive.google.com/open?id=1ZPrItpxCu7yb5L_iOmIzm69ja-xoFH2R")</f>
        <v>https://drive.google.com/open?id=1ZPrItpxCu7yb5L_iOmIzm69ja-xoFH2R</v>
      </c>
      <c r="AK161" s="12"/>
      <c r="AL161" s="12" t="str">
        <f>IFERROR(__xludf.DUMMYFUNCTION("""COMPUTED_VALUE"""),"Yes")</f>
        <v>Yes</v>
      </c>
      <c r="AM161" s="15">
        <f>IFERROR(__xludf.DUMMYFUNCTION("""COMPUTED_VALUE"""),0.0)</f>
        <v>0</v>
      </c>
      <c r="AN161" s="12" t="str">
        <f>IFERROR(__xludf.DUMMYFUNCTION("""COMPUTED_VALUE"""),"1st week")</f>
        <v>1st week</v>
      </c>
      <c r="AO161" s="13">
        <v>1.0</v>
      </c>
      <c r="AX161" s="13">
        <v>1.0</v>
      </c>
    </row>
    <row r="162">
      <c r="A162" s="8">
        <v>161.0</v>
      </c>
      <c r="B162" s="9">
        <f>IFERROR(__xludf.DUMMYFUNCTION("""COMPUTED_VALUE"""),45776.05246372685)</f>
        <v>45776.05246</v>
      </c>
      <c r="C162" s="10" t="str">
        <f>IFERROR(__xludf.DUMMYFUNCTION("""COMPUTED_VALUE"""),"Shakeela")</f>
        <v>Shakeela</v>
      </c>
      <c r="D162" s="10" t="str">
        <f>IFERROR(__xludf.DUMMYFUNCTION("""COMPUTED_VALUE"""),"03359485820")</f>
        <v>03359485820</v>
      </c>
      <c r="E162" s="10" t="str">
        <f>IFERROR(__xludf.DUMMYFUNCTION("""COMPUTED_VALUE"""),"Jamia Masjid Aali Nooh Coat Lahore")</f>
        <v>Jamia Masjid Aali Nooh Coat Lahore</v>
      </c>
      <c r="F162" s="10" t="str">
        <f>IFERROR(__xludf.DUMMYFUNCTION("""COMPUTED_VALUE"""),"pwwfr")</f>
        <v>pwwfr</v>
      </c>
      <c r="G162" s="10" t="str">
        <f>IFERROR(__xludf.DUMMYFUNCTION("""COMPUTED_VALUE"""),"Yes")</f>
        <v>Yes</v>
      </c>
      <c r="H162" s="10">
        <f>IFERROR(__xludf.DUMMYFUNCTION("""COMPUTED_VALUE"""),8.0)</f>
        <v>8</v>
      </c>
      <c r="I162" s="10">
        <f>IFERROR(__xludf.DUMMYFUNCTION("""COMPUTED_VALUE"""),1.0)</f>
        <v>1</v>
      </c>
      <c r="J162" s="10">
        <f>IFERROR(__xludf.DUMMYFUNCTION("""COMPUTED_VALUE"""),8.0)</f>
        <v>8</v>
      </c>
      <c r="K162" s="10">
        <f>IFERROR(__xludf.DUMMYFUNCTION("""COMPUTED_VALUE"""),0.0)</f>
        <v>0</v>
      </c>
      <c r="L162" s="10">
        <f>IFERROR(__xludf.DUMMYFUNCTION("""COMPUTED_VALUE"""),8.0)</f>
        <v>8</v>
      </c>
      <c r="M162" s="10">
        <f>IFERROR(__xludf.DUMMYFUNCTION("""COMPUTED_VALUE"""),0.0)</f>
        <v>0</v>
      </c>
      <c r="N162" s="10">
        <f>IFERROR(__xludf.DUMMYFUNCTION("""COMPUTED_VALUE"""),8.0)</f>
        <v>8</v>
      </c>
      <c r="O162" s="10">
        <f>IFERROR(__xludf.DUMMYFUNCTION("""COMPUTED_VALUE"""),0.0)</f>
        <v>0</v>
      </c>
      <c r="P162" s="10">
        <f>IFERROR(__xludf.DUMMYFUNCTION("""COMPUTED_VALUE"""),8.0)</f>
        <v>8</v>
      </c>
      <c r="Q162" s="10" t="str">
        <f>IFERROR(__xludf.DUMMYFUNCTION("""COMPUTED_VALUE"""),"No")</f>
        <v>No</v>
      </c>
      <c r="R162" s="10" t="str">
        <f>IFERROR(__xludf.DUMMYFUNCTION("""COMPUTED_VALUE"""),"Yes")</f>
        <v>Yes</v>
      </c>
      <c r="S162" s="10" t="str">
        <f>IFERROR(__xludf.DUMMYFUNCTION("""COMPUTED_VALUE"""),"No")</f>
        <v>No</v>
      </c>
      <c r="T162" s="10">
        <f>IFERROR(__xludf.DUMMYFUNCTION("""COMPUTED_VALUE"""),0.0)</f>
        <v>0</v>
      </c>
      <c r="U162" s="10">
        <f>IFERROR(__xludf.DUMMYFUNCTION("""COMPUTED_VALUE"""),0.0)</f>
        <v>0</v>
      </c>
      <c r="V162" s="10" t="str">
        <f>IFERROR(__xludf.DUMMYFUNCTION("""COMPUTED_VALUE"""),"Padosi k Haqooq")</f>
        <v>Padosi k Haqooq</v>
      </c>
      <c r="W162" s="10" t="str">
        <f>IFERROR(__xludf.DUMMYFUNCTION("""COMPUTED_VALUE"""),"safai suthrai aur padaosi k haqooq")</f>
        <v>safai suthrai aur padaosi k haqooq</v>
      </c>
      <c r="X162" s="10">
        <f>IFERROR(__xludf.DUMMYFUNCTION("""COMPUTED_VALUE"""),0.0)</f>
        <v>0</v>
      </c>
      <c r="Y162" s="10">
        <f>IFERROR(__xludf.DUMMYFUNCTION("""COMPUTED_VALUE"""),7.0)</f>
        <v>7</v>
      </c>
      <c r="Z162" s="10">
        <f>IFERROR(__xludf.DUMMYFUNCTION("""COMPUTED_VALUE"""),7.0)</f>
        <v>7</v>
      </c>
      <c r="AA162" s="10">
        <f>IFERROR(__xludf.DUMMYFUNCTION("""COMPUTED_VALUE"""),6.0)</f>
        <v>6</v>
      </c>
      <c r="AB162" s="10">
        <f>IFERROR(__xludf.DUMMYFUNCTION("""COMPUTED_VALUE"""),6.0)</f>
        <v>6</v>
      </c>
      <c r="AC162" s="10">
        <f>IFERROR(__xludf.DUMMYFUNCTION("""COMPUTED_VALUE"""),6.0)</f>
        <v>6</v>
      </c>
      <c r="AD162" s="10">
        <f>IFERROR(__xludf.DUMMYFUNCTION("""COMPUTED_VALUE"""),6.0)</f>
        <v>6</v>
      </c>
      <c r="AE162" s="10">
        <f>IFERROR(__xludf.DUMMYFUNCTION("""COMPUTED_VALUE"""),0.0)</f>
        <v>0</v>
      </c>
      <c r="AF162" s="10">
        <f>IFERROR(__xludf.DUMMYFUNCTION("""COMPUTED_VALUE"""),0.0)</f>
        <v>0</v>
      </c>
      <c r="AG162" s="10">
        <f>IFERROR(__xludf.DUMMYFUNCTION("""COMPUTED_VALUE"""),7.0)</f>
        <v>7</v>
      </c>
      <c r="AH162" s="10">
        <f>IFERROR(__xludf.DUMMYFUNCTION("""COMPUTED_VALUE"""),1.0)</f>
        <v>1</v>
      </c>
      <c r="AI162" s="10">
        <f>IFERROR(__xludf.DUMMYFUNCTION("""COMPUTED_VALUE"""),8.0)</f>
        <v>8</v>
      </c>
      <c r="AJ162" s="11" t="str">
        <f>IFERROR(__xludf.DUMMYFUNCTION("""COMPUTED_VALUE"""),"https://drive.google.com/open?id=1MGA9NFAiUv-7BuUE-znOELBki2JQ6k2V")</f>
        <v>https://drive.google.com/open?id=1MGA9NFAiUv-7BuUE-znOELBki2JQ6k2V</v>
      </c>
      <c r="AK162" s="12"/>
      <c r="AL162" s="12" t="str">
        <f>IFERROR(__xludf.DUMMYFUNCTION("""COMPUTED_VALUE"""),"Yes")</f>
        <v>Yes</v>
      </c>
      <c r="AM162" s="15">
        <f>IFERROR(__xludf.DUMMYFUNCTION("""COMPUTED_VALUE"""),0.9)</f>
        <v>0.9</v>
      </c>
      <c r="AN162" s="12" t="str">
        <f>IFERROR(__xludf.DUMMYFUNCTION("""COMPUTED_VALUE"""),"2nd week")</f>
        <v>2nd week</v>
      </c>
      <c r="AO162" s="13">
        <v>2.0</v>
      </c>
      <c r="AX162" s="13">
        <v>2.0</v>
      </c>
    </row>
    <row r="163">
      <c r="A163" s="8">
        <v>162.0</v>
      </c>
      <c r="B163" s="9">
        <f>IFERROR(__xludf.DUMMYFUNCTION("""COMPUTED_VALUE"""),45776.07099128472)</f>
        <v>45776.07099</v>
      </c>
      <c r="C163" s="10" t="str">
        <f>IFERROR(__xludf.DUMMYFUNCTION("""COMPUTED_VALUE"""),"Shakeela")</f>
        <v>Shakeela</v>
      </c>
      <c r="D163" s="10" t="str">
        <f>IFERROR(__xludf.DUMMYFUNCTION("""COMPUTED_VALUE"""),"03359485820")</f>
        <v>03359485820</v>
      </c>
      <c r="E163" s="10" t="str">
        <f>IFERROR(__xludf.DUMMYFUNCTION("""COMPUTED_VALUE"""),"Jamia Masjid Hamam Wali Sotar Mandi Lahore")</f>
        <v>Jamia Masjid Hamam Wali Sotar Mandi Lahore</v>
      </c>
      <c r="F163" s="10" t="str">
        <f>IFERROR(__xludf.DUMMYFUNCTION("""COMPUTED_VALUE"""),"dwebz")</f>
        <v>dwebz</v>
      </c>
      <c r="G163" s="10" t="str">
        <f>IFERROR(__xludf.DUMMYFUNCTION("""COMPUTED_VALUE"""),"Yes")</f>
        <v>Yes</v>
      </c>
      <c r="H163" s="10">
        <f>IFERROR(__xludf.DUMMYFUNCTION("""COMPUTED_VALUE"""),7.0)</f>
        <v>7</v>
      </c>
      <c r="I163" s="10">
        <f>IFERROR(__xludf.DUMMYFUNCTION("""COMPUTED_VALUE"""),2.0)</f>
        <v>2</v>
      </c>
      <c r="J163" s="10">
        <f>IFERROR(__xludf.DUMMYFUNCTION("""COMPUTED_VALUE"""),7.0)</f>
        <v>7</v>
      </c>
      <c r="K163" s="10">
        <f>IFERROR(__xludf.DUMMYFUNCTION("""COMPUTED_VALUE"""),0.0)</f>
        <v>0</v>
      </c>
      <c r="L163" s="10">
        <f>IFERROR(__xludf.DUMMYFUNCTION("""COMPUTED_VALUE"""),8.0)</f>
        <v>8</v>
      </c>
      <c r="M163" s="10">
        <f>IFERROR(__xludf.DUMMYFUNCTION("""COMPUTED_VALUE"""),0.0)</f>
        <v>0</v>
      </c>
      <c r="N163" s="10">
        <f>IFERROR(__xludf.DUMMYFUNCTION("""COMPUTED_VALUE"""),8.0)</f>
        <v>8</v>
      </c>
      <c r="O163" s="10">
        <f>IFERROR(__xludf.DUMMYFUNCTION("""COMPUTED_VALUE"""),0.0)</f>
        <v>0</v>
      </c>
      <c r="P163" s="10">
        <f>IFERROR(__xludf.DUMMYFUNCTION("""COMPUTED_VALUE"""),8.0)</f>
        <v>8</v>
      </c>
      <c r="Q163" s="10" t="str">
        <f>IFERROR(__xludf.DUMMYFUNCTION("""COMPUTED_VALUE"""),"No")</f>
        <v>No</v>
      </c>
      <c r="R163" s="10" t="str">
        <f>IFERROR(__xludf.DUMMYFUNCTION("""COMPUTED_VALUE"""),"Yes")</f>
        <v>Yes</v>
      </c>
      <c r="S163" s="10" t="str">
        <f>IFERROR(__xludf.DUMMYFUNCTION("""COMPUTED_VALUE"""),"No")</f>
        <v>No</v>
      </c>
      <c r="T163" s="10">
        <f>IFERROR(__xludf.DUMMYFUNCTION("""COMPUTED_VALUE"""),0.0)</f>
        <v>0</v>
      </c>
      <c r="U163" s="10">
        <f>IFERROR(__xludf.DUMMYFUNCTION("""COMPUTED_VALUE"""),0.0)</f>
        <v>0</v>
      </c>
      <c r="V163" s="10" t="str">
        <f>IFERROR(__xludf.DUMMYFUNCTION("""COMPUTED_VALUE"""),"Padosi K Haqooq")</f>
        <v>Padosi K Haqooq</v>
      </c>
      <c r="W163" s="10" t="str">
        <f>IFERROR(__xludf.DUMMYFUNCTION("""COMPUTED_VALUE"""),"Padosi K Haqooq")</f>
        <v>Padosi K Haqooq</v>
      </c>
      <c r="X163" s="10">
        <f>IFERROR(__xludf.DUMMYFUNCTION("""COMPUTED_VALUE"""),0.0)</f>
        <v>0</v>
      </c>
      <c r="Y163" s="10">
        <f>IFERROR(__xludf.DUMMYFUNCTION("""COMPUTED_VALUE"""),7.0)</f>
        <v>7</v>
      </c>
      <c r="Z163" s="10">
        <f>IFERROR(__xludf.DUMMYFUNCTION("""COMPUTED_VALUE"""),6.0)</f>
        <v>6</v>
      </c>
      <c r="AA163" s="10">
        <f>IFERROR(__xludf.DUMMYFUNCTION("""COMPUTED_VALUE"""),0.0)</f>
        <v>0</v>
      </c>
      <c r="AB163" s="10">
        <f>IFERROR(__xludf.DUMMYFUNCTION("""COMPUTED_VALUE"""),2.0)</f>
        <v>2</v>
      </c>
      <c r="AC163" s="10">
        <f>IFERROR(__xludf.DUMMYFUNCTION("""COMPUTED_VALUE"""),7.0)</f>
        <v>7</v>
      </c>
      <c r="AD163" s="10">
        <f>IFERROR(__xludf.DUMMYFUNCTION("""COMPUTED_VALUE"""),0.0)</f>
        <v>0</v>
      </c>
      <c r="AE163" s="10">
        <f>IFERROR(__xludf.DUMMYFUNCTION("""COMPUTED_VALUE"""),0.0)</f>
        <v>0</v>
      </c>
      <c r="AF163" s="10">
        <f>IFERROR(__xludf.DUMMYFUNCTION("""COMPUTED_VALUE"""),0.0)</f>
        <v>0</v>
      </c>
      <c r="AG163" s="10">
        <f>IFERROR(__xludf.DUMMYFUNCTION("""COMPUTED_VALUE"""),6.0)</f>
        <v>6</v>
      </c>
      <c r="AH163" s="10">
        <f>IFERROR(__xludf.DUMMYFUNCTION("""COMPUTED_VALUE"""),1.0)</f>
        <v>1</v>
      </c>
      <c r="AI163" s="10">
        <f>IFERROR(__xludf.DUMMYFUNCTION("""COMPUTED_VALUE"""),7.0)</f>
        <v>7</v>
      </c>
      <c r="AJ163" s="11" t="str">
        <f>IFERROR(__xludf.DUMMYFUNCTION("""COMPUTED_VALUE"""),"https://drive.google.com/open?id=1cDoPiEb-sCimcictySGPkmuZoL0Bpplg")</f>
        <v>https://drive.google.com/open?id=1cDoPiEb-sCimcictySGPkmuZoL0Bpplg</v>
      </c>
      <c r="AK163" s="12"/>
      <c r="AL163" s="12" t="str">
        <f>IFERROR(__xludf.DUMMYFUNCTION("""COMPUTED_VALUE"""),"Yes")</f>
        <v>Yes</v>
      </c>
      <c r="AM163" s="15">
        <f>IFERROR(__xludf.DUMMYFUNCTION("""COMPUTED_VALUE"""),0.8)</f>
        <v>0.8</v>
      </c>
      <c r="AN163" s="12" t="str">
        <f>IFERROR(__xludf.DUMMYFUNCTION("""COMPUTED_VALUE"""),"2nd week")</f>
        <v>2nd week</v>
      </c>
      <c r="AO163" s="13">
        <v>2.0</v>
      </c>
      <c r="AX163" s="13">
        <v>2.0</v>
      </c>
    </row>
    <row r="164">
      <c r="A164" s="8">
        <v>163.0</v>
      </c>
      <c r="B164" s="9">
        <f>IFERROR(__xludf.DUMMYFUNCTION("""COMPUTED_VALUE"""),45776.07722543982)</f>
        <v>45776.07723</v>
      </c>
      <c r="C164" s="10" t="str">
        <f>IFERROR(__xludf.DUMMYFUNCTION("""COMPUTED_VALUE"""),"Shakeela")</f>
        <v>Shakeela</v>
      </c>
      <c r="D164" s="10" t="str">
        <f>IFERROR(__xludf.DUMMYFUNCTION("""COMPUTED_VALUE"""),"03359485820")</f>
        <v>03359485820</v>
      </c>
      <c r="E164" s="10" t="str">
        <f>IFERROR(__xludf.DUMMYFUNCTION("""COMPUTED_VALUE"""),"Jamia Masjid Bedian Road Lahore")</f>
        <v>Jamia Masjid Bedian Road Lahore</v>
      </c>
      <c r="F164" s="10" t="str">
        <f>IFERROR(__xludf.DUMMYFUNCTION("""COMPUTED_VALUE"""),"dxome")</f>
        <v>dxome</v>
      </c>
      <c r="G164" s="10" t="str">
        <f>IFERROR(__xludf.DUMMYFUNCTION("""COMPUTED_VALUE"""),"Yes")</f>
        <v>Yes</v>
      </c>
      <c r="H164" s="10">
        <f>IFERROR(__xludf.DUMMYFUNCTION("""COMPUTED_VALUE"""),7.0)</f>
        <v>7</v>
      </c>
      <c r="I164" s="10">
        <f>IFERROR(__xludf.DUMMYFUNCTION("""COMPUTED_VALUE"""),2.0)</f>
        <v>2</v>
      </c>
      <c r="J164" s="10">
        <f>IFERROR(__xludf.DUMMYFUNCTION("""COMPUTED_VALUE"""),7.0)</f>
        <v>7</v>
      </c>
      <c r="K164" s="10">
        <f>IFERROR(__xludf.DUMMYFUNCTION("""COMPUTED_VALUE"""),0.0)</f>
        <v>0</v>
      </c>
      <c r="L164" s="10">
        <f>IFERROR(__xludf.DUMMYFUNCTION("""COMPUTED_VALUE"""),9.0)</f>
        <v>9</v>
      </c>
      <c r="M164" s="10">
        <f>IFERROR(__xludf.DUMMYFUNCTION("""COMPUTED_VALUE"""),0.0)</f>
        <v>0</v>
      </c>
      <c r="N164" s="10">
        <f>IFERROR(__xludf.DUMMYFUNCTION("""COMPUTED_VALUE"""),8.0)</f>
        <v>8</v>
      </c>
      <c r="O164" s="10">
        <f>IFERROR(__xludf.DUMMYFUNCTION("""COMPUTED_VALUE"""),0.0)</f>
        <v>0</v>
      </c>
      <c r="P164" s="10">
        <f>IFERROR(__xludf.DUMMYFUNCTION("""COMPUTED_VALUE"""),7.0)</f>
        <v>7</v>
      </c>
      <c r="Q164" s="10" t="str">
        <f>IFERROR(__xludf.DUMMYFUNCTION("""COMPUTED_VALUE"""),"No")</f>
        <v>No</v>
      </c>
      <c r="R164" s="10" t="str">
        <f>IFERROR(__xludf.DUMMYFUNCTION("""COMPUTED_VALUE"""),"Yes")</f>
        <v>Yes</v>
      </c>
      <c r="S164" s="10" t="str">
        <f>IFERROR(__xludf.DUMMYFUNCTION("""COMPUTED_VALUE"""),"Yes")</f>
        <v>Yes</v>
      </c>
      <c r="T164" s="10">
        <f>IFERROR(__xludf.DUMMYFUNCTION("""COMPUTED_VALUE"""),0.0)</f>
        <v>0</v>
      </c>
      <c r="U164" s="10">
        <f>IFERROR(__xludf.DUMMYFUNCTION("""COMPUTED_VALUE"""),8.0)</f>
        <v>8</v>
      </c>
      <c r="V164" s="10" t="str">
        <f>IFERROR(__xludf.DUMMYFUNCTION("""COMPUTED_VALUE"""),"Padosi K Haqooq")</f>
        <v>Padosi K Haqooq</v>
      </c>
      <c r="W164" s="10" t="str">
        <f>IFERROR(__xludf.DUMMYFUNCTION("""COMPUTED_VALUE"""),"Padosi K Haqooq")</f>
        <v>Padosi K Haqooq</v>
      </c>
      <c r="X164" s="10">
        <f>IFERROR(__xludf.DUMMYFUNCTION("""COMPUTED_VALUE"""),0.0)</f>
        <v>0</v>
      </c>
      <c r="Y164" s="10">
        <f>IFERROR(__xludf.DUMMYFUNCTION("""COMPUTED_VALUE"""),7.0)</f>
        <v>7</v>
      </c>
      <c r="Z164" s="10">
        <f>IFERROR(__xludf.DUMMYFUNCTION("""COMPUTED_VALUE"""),0.0)</f>
        <v>0</v>
      </c>
      <c r="AA164" s="10">
        <f>IFERROR(__xludf.DUMMYFUNCTION("""COMPUTED_VALUE"""),5.0)</f>
        <v>5</v>
      </c>
      <c r="AB164" s="10">
        <f>IFERROR(__xludf.DUMMYFUNCTION("""COMPUTED_VALUE"""),5.0)</f>
        <v>5</v>
      </c>
      <c r="AC164" s="10">
        <f>IFERROR(__xludf.DUMMYFUNCTION("""COMPUTED_VALUE"""),5.0)</f>
        <v>5</v>
      </c>
      <c r="AD164" s="10">
        <f>IFERROR(__xludf.DUMMYFUNCTION("""COMPUTED_VALUE"""),5.0)</f>
        <v>5</v>
      </c>
      <c r="AE164" s="10">
        <f>IFERROR(__xludf.DUMMYFUNCTION("""COMPUTED_VALUE"""),0.0)</f>
        <v>0</v>
      </c>
      <c r="AF164" s="10">
        <f>IFERROR(__xludf.DUMMYFUNCTION("""COMPUTED_VALUE"""),0.0)</f>
        <v>0</v>
      </c>
      <c r="AG164" s="10">
        <f>IFERROR(__xludf.DUMMYFUNCTION("""COMPUTED_VALUE"""),7.0)</f>
        <v>7</v>
      </c>
      <c r="AH164" s="10">
        <f>IFERROR(__xludf.DUMMYFUNCTION("""COMPUTED_VALUE"""),1.0)</f>
        <v>1</v>
      </c>
      <c r="AI164" s="10">
        <f>IFERROR(__xludf.DUMMYFUNCTION("""COMPUTED_VALUE"""),7.0)</f>
        <v>7</v>
      </c>
      <c r="AJ164" s="11" t="str">
        <f>IFERROR(__xludf.DUMMYFUNCTION("""COMPUTED_VALUE"""),"https://drive.google.com/open?id=1Fft1er_k-8eslzrwjyHGLPFHdRRed7B3")</f>
        <v>https://drive.google.com/open?id=1Fft1er_k-8eslzrwjyHGLPFHdRRed7B3</v>
      </c>
      <c r="AK164" s="12"/>
      <c r="AL164" s="12" t="str">
        <f>IFERROR(__xludf.DUMMYFUNCTION("""COMPUTED_VALUE"""),"Yes")</f>
        <v>Yes</v>
      </c>
      <c r="AM164" s="15">
        <f>IFERROR(__xludf.DUMMYFUNCTION("""COMPUTED_VALUE"""),0.8)</f>
        <v>0.8</v>
      </c>
      <c r="AN164" s="12" t="str">
        <f>IFERROR(__xludf.DUMMYFUNCTION("""COMPUTED_VALUE"""),"2nd week")</f>
        <v>2nd week</v>
      </c>
      <c r="AO164" s="13">
        <v>2.0</v>
      </c>
      <c r="AX164" s="13">
        <v>2.0</v>
      </c>
    </row>
    <row r="165">
      <c r="A165" s="8">
        <v>164.0</v>
      </c>
      <c r="B165" s="9">
        <f>IFERROR(__xludf.DUMMYFUNCTION("""COMPUTED_VALUE"""),45776.18726409722)</f>
        <v>45776.18726</v>
      </c>
      <c r="C165" s="10" t="str">
        <f>IFERROR(__xludf.DUMMYFUNCTION("""COMPUTED_VALUE"""),"Nida Ahmad ")</f>
        <v>Nida Ahmad </v>
      </c>
      <c r="D165" s="10" t="str">
        <f>IFERROR(__xludf.DUMMYFUNCTION("""COMPUTED_VALUE"""),"03431554546")</f>
        <v>03431554546</v>
      </c>
      <c r="E165" s="10" t="str">
        <f>IFERROR(__xludf.DUMMYFUNCTION("""COMPUTED_VALUE"""),"Jamia Masjid Molve Taaaj Deen Lahore")</f>
        <v>Jamia Masjid Molve Taaaj Deen Lahore</v>
      </c>
      <c r="F165" s="10" t="str">
        <f>IFERROR(__xludf.DUMMYFUNCTION("""COMPUTED_VALUE"""),"xmebi")</f>
        <v>xmebi</v>
      </c>
      <c r="G165" s="10" t="str">
        <f>IFERROR(__xludf.DUMMYFUNCTION("""COMPUTED_VALUE"""),"No")</f>
        <v>No</v>
      </c>
      <c r="H165" s="10"/>
      <c r="I165" s="10"/>
      <c r="J165" s="10"/>
      <c r="K165" s="10">
        <f>IFERROR(__xludf.DUMMYFUNCTION("""COMPUTED_VALUE"""),0.0)</f>
        <v>0</v>
      </c>
      <c r="L165" s="10">
        <f>IFERROR(__xludf.DUMMYFUNCTION("""COMPUTED_VALUE"""),0.0)</f>
        <v>0</v>
      </c>
      <c r="M165" s="10">
        <f>IFERROR(__xludf.DUMMYFUNCTION("""COMPUTED_VALUE"""),0.0)</f>
        <v>0</v>
      </c>
      <c r="N165" s="10">
        <f>IFERROR(__xludf.DUMMYFUNCTION("""COMPUTED_VALUE"""),0.0)</f>
        <v>0</v>
      </c>
      <c r="O165" s="10">
        <f>IFERROR(__xludf.DUMMYFUNCTION("""COMPUTED_VALUE"""),0.0)</f>
        <v>0</v>
      </c>
      <c r="P165" s="10">
        <f>IFERROR(__xludf.DUMMYFUNCTION("""COMPUTED_VALUE"""),0.0)</f>
        <v>0</v>
      </c>
      <c r="Q165" s="10" t="str">
        <f>IFERROR(__xludf.DUMMYFUNCTION("""COMPUTED_VALUE"""),"No")</f>
        <v>No</v>
      </c>
      <c r="R165" s="10" t="str">
        <f>IFERROR(__xludf.DUMMYFUNCTION("""COMPUTED_VALUE"""),"No")</f>
        <v>No</v>
      </c>
      <c r="S165" s="10" t="str">
        <f>IFERROR(__xludf.DUMMYFUNCTION("""COMPUTED_VALUE"""),"No")</f>
        <v>No</v>
      </c>
      <c r="T165" s="10">
        <f>IFERROR(__xludf.DUMMYFUNCTION("""COMPUTED_VALUE"""),0.0)</f>
        <v>0</v>
      </c>
      <c r="U165" s="10">
        <f>IFERROR(__xludf.DUMMYFUNCTION("""COMPUTED_VALUE"""),0.0)</f>
        <v>0</v>
      </c>
      <c r="V165" s="10" t="str">
        <f>IFERROR(__xludf.DUMMYFUNCTION("""COMPUTED_VALUE"""),"Yahudi Muslmano se nfrt q krty...")</f>
        <v>Yahudi Muslmano se nfrt q krty...</v>
      </c>
      <c r="W165" s="10" t="str">
        <f>IFERROR(__xludf.DUMMYFUNCTION("""COMPUTED_VALUE"""),"yuhudio k nfrt shru se chlti arhi h....is liy aj ghaza m ye horha.")</f>
        <v>yuhudio k nfrt shru se chlti arhi h....is liy aj ghaza m ye horha.</v>
      </c>
      <c r="X165" s="10">
        <f>IFERROR(__xludf.DUMMYFUNCTION("""COMPUTED_VALUE"""),0.0)</f>
        <v>0</v>
      </c>
      <c r="Y165" s="10">
        <f>IFERROR(__xludf.DUMMYFUNCTION("""COMPUTED_VALUE"""),0.0)</f>
        <v>0</v>
      </c>
      <c r="Z165" s="10">
        <f>IFERROR(__xludf.DUMMYFUNCTION("""COMPUTED_VALUE"""),0.0)</f>
        <v>0</v>
      </c>
      <c r="AA165" s="10">
        <f>IFERROR(__xludf.DUMMYFUNCTION("""COMPUTED_VALUE"""),10.0)</f>
        <v>10</v>
      </c>
      <c r="AB165" s="10">
        <f>IFERROR(__xludf.DUMMYFUNCTION("""COMPUTED_VALUE"""),10.0)</f>
        <v>10</v>
      </c>
      <c r="AC165" s="10">
        <f>IFERROR(__xludf.DUMMYFUNCTION("""COMPUTED_VALUE"""),0.0)</f>
        <v>0</v>
      </c>
      <c r="AD165" s="10">
        <f>IFERROR(__xludf.DUMMYFUNCTION("""COMPUTED_VALUE"""),0.0)</f>
        <v>0</v>
      </c>
      <c r="AE165" s="10">
        <f>IFERROR(__xludf.DUMMYFUNCTION("""COMPUTED_VALUE"""),0.0)</f>
        <v>0</v>
      </c>
      <c r="AF165" s="10">
        <f>IFERROR(__xludf.DUMMYFUNCTION("""COMPUTED_VALUE"""),10.0)</f>
        <v>10</v>
      </c>
      <c r="AG165" s="10">
        <f>IFERROR(__xludf.DUMMYFUNCTION("""COMPUTED_VALUE"""),10.0)</f>
        <v>10</v>
      </c>
      <c r="AH165" s="10">
        <f>IFERROR(__xludf.DUMMYFUNCTION("""COMPUTED_VALUE"""),0.0)</f>
        <v>0</v>
      </c>
      <c r="AI165" s="10">
        <f>IFERROR(__xludf.DUMMYFUNCTION("""COMPUTED_VALUE"""),10.0)</f>
        <v>10</v>
      </c>
      <c r="AJ165" s="11" t="str">
        <f>IFERROR(__xludf.DUMMYFUNCTION("""COMPUTED_VALUE"""),"https://drive.google.com/open?id=1KRFSVfhbT4E2yQOebDw6j1GILT5Y3FGO")</f>
        <v>https://drive.google.com/open?id=1KRFSVfhbT4E2yQOebDw6j1GILT5Y3FGO</v>
      </c>
      <c r="AK165" s="12"/>
      <c r="AL165" s="12"/>
      <c r="AM165" s="12"/>
      <c r="AN165" s="12" t="str">
        <f>IFERROR(__xludf.DUMMYFUNCTION("""COMPUTED_VALUE"""),"3rd week")</f>
        <v>3rd week</v>
      </c>
      <c r="AO165" s="13">
        <v>3.0</v>
      </c>
      <c r="AX165" s="13"/>
    </row>
    <row r="166">
      <c r="A166" s="8">
        <v>165.0</v>
      </c>
      <c r="B166" s="9">
        <f>IFERROR(__xludf.DUMMYFUNCTION("""COMPUTED_VALUE"""),45776.249818020835)</f>
        <v>45776.24982</v>
      </c>
      <c r="C166" s="10" t="str">
        <f>IFERROR(__xludf.DUMMYFUNCTION("""COMPUTED_VALUE"""),"Asma Gul ")</f>
        <v>Asma Gul </v>
      </c>
      <c r="D166" s="10" t="str">
        <f>IFERROR(__xludf.DUMMYFUNCTION("""COMPUTED_VALUE"""),"03459308620")</f>
        <v>03459308620</v>
      </c>
      <c r="E166" s="10" t="str">
        <f>IFERROR(__xludf.DUMMYFUNCTION("""COMPUTED_VALUE"""),"Jamia Masjid Takiya Abdul Wahaab Lahore")</f>
        <v>Jamia Masjid Takiya Abdul Wahaab Lahore</v>
      </c>
      <c r="F166" s="10" t="str">
        <f>IFERROR(__xludf.DUMMYFUNCTION("""COMPUTED_VALUE"""),"moorq")</f>
        <v>moorq</v>
      </c>
      <c r="G166" s="10" t="str">
        <f>IFERROR(__xludf.DUMMYFUNCTION("""COMPUTED_VALUE"""),"Yes")</f>
        <v>Yes</v>
      </c>
      <c r="H166" s="10">
        <f>IFERROR(__xludf.DUMMYFUNCTION("""COMPUTED_VALUE"""),8.0)</f>
        <v>8</v>
      </c>
      <c r="I166" s="10">
        <f>IFERROR(__xludf.DUMMYFUNCTION("""COMPUTED_VALUE"""),5.0)</f>
        <v>5</v>
      </c>
      <c r="J166" s="10">
        <f>IFERROR(__xludf.DUMMYFUNCTION("""COMPUTED_VALUE"""),6.0)</f>
        <v>6</v>
      </c>
      <c r="K166" s="10">
        <f>IFERROR(__xludf.DUMMYFUNCTION("""COMPUTED_VALUE"""),7.0)</f>
        <v>7</v>
      </c>
      <c r="L166" s="10">
        <f>IFERROR(__xludf.DUMMYFUNCTION("""COMPUTED_VALUE"""),3.0)</f>
        <v>3</v>
      </c>
      <c r="M166" s="10">
        <f>IFERROR(__xludf.DUMMYFUNCTION("""COMPUTED_VALUE"""),3.0)</f>
        <v>3</v>
      </c>
      <c r="N166" s="10">
        <f>IFERROR(__xludf.DUMMYFUNCTION("""COMPUTED_VALUE"""),6.0)</f>
        <v>6</v>
      </c>
      <c r="O166" s="10">
        <f>IFERROR(__xludf.DUMMYFUNCTION("""COMPUTED_VALUE"""),2.0)</f>
        <v>2</v>
      </c>
      <c r="P166" s="10">
        <f>IFERROR(__xludf.DUMMYFUNCTION("""COMPUTED_VALUE"""),5.0)</f>
        <v>5</v>
      </c>
      <c r="Q166" s="10" t="str">
        <f>IFERROR(__xludf.DUMMYFUNCTION("""COMPUTED_VALUE"""),"No")</f>
        <v>No</v>
      </c>
      <c r="R166" s="10" t="str">
        <f>IFERROR(__xludf.DUMMYFUNCTION("""COMPUTED_VALUE"""),"No")</f>
        <v>No</v>
      </c>
      <c r="S166" s="10" t="str">
        <f>IFERROR(__xludf.DUMMYFUNCTION("""COMPUTED_VALUE"""),"No")</f>
        <v>No</v>
      </c>
      <c r="T166" s="10">
        <f>IFERROR(__xludf.DUMMYFUNCTION("""COMPUTED_VALUE"""),4.0)</f>
        <v>4</v>
      </c>
      <c r="U166" s="10">
        <f>IFERROR(__xludf.DUMMYFUNCTION("""COMPUTED_VALUE"""),5.0)</f>
        <v>5</v>
      </c>
      <c r="V166" s="10" t="str">
        <f>IFERROR(__xludf.DUMMYFUNCTION("""COMPUTED_VALUE"""),"اللہ کی دی ہوئی نعمتوں کا شکر ")</f>
        <v>اللہ کی دی ہوئی نعمتوں کا شکر </v>
      </c>
      <c r="W166" s="10" t="str">
        <f>IFERROR(__xludf.DUMMYFUNCTION("""COMPUTED_VALUE"""),"اللہ نے ہمیں بہت سی نعمتوں سے نوازا ہے شہر مکہ کی فضیلت بیان کی ہے اور اس کے ساتھ ساتھ مولوی صاحب نے ہمیں اللہ تعالی کا شکر ادا کرنے کی تلقین دی ہے")</f>
        <v>اللہ نے ہمیں بہت سی نعمتوں سے نوازا ہے شہر مکہ کی فضیلت بیان کی ہے اور اس کے ساتھ ساتھ مولوی صاحب نے ہمیں اللہ تعالی کا شکر ادا کرنے کی تلقین دی ہے</v>
      </c>
      <c r="X166" s="10">
        <f>IFERROR(__xludf.DUMMYFUNCTION("""COMPUTED_VALUE"""),6.0)</f>
        <v>6</v>
      </c>
      <c r="Y166" s="10">
        <f>IFERROR(__xludf.DUMMYFUNCTION("""COMPUTED_VALUE"""),8.0)</f>
        <v>8</v>
      </c>
      <c r="Z166" s="10">
        <f>IFERROR(__xludf.DUMMYFUNCTION("""COMPUTED_VALUE"""),6.0)</f>
        <v>6</v>
      </c>
      <c r="AA166" s="10">
        <f>IFERROR(__xludf.DUMMYFUNCTION("""COMPUTED_VALUE"""),6.0)</f>
        <v>6</v>
      </c>
      <c r="AB166" s="10">
        <f>IFERROR(__xludf.DUMMYFUNCTION("""COMPUTED_VALUE"""),6.0)</f>
        <v>6</v>
      </c>
      <c r="AC166" s="10">
        <f>IFERROR(__xludf.DUMMYFUNCTION("""COMPUTED_VALUE"""),3.0)</f>
        <v>3</v>
      </c>
      <c r="AD166" s="10">
        <f>IFERROR(__xludf.DUMMYFUNCTION("""COMPUTED_VALUE"""),6.0)</f>
        <v>6</v>
      </c>
      <c r="AE166" s="10">
        <f>IFERROR(__xludf.DUMMYFUNCTION("""COMPUTED_VALUE"""),5.0)</f>
        <v>5</v>
      </c>
      <c r="AF166" s="10">
        <f>IFERROR(__xludf.DUMMYFUNCTION("""COMPUTED_VALUE"""),4.0)</f>
        <v>4</v>
      </c>
      <c r="AG166" s="10">
        <f>IFERROR(__xludf.DUMMYFUNCTION("""COMPUTED_VALUE"""),8.0)</f>
        <v>8</v>
      </c>
      <c r="AH166" s="10">
        <f>IFERROR(__xludf.DUMMYFUNCTION("""COMPUTED_VALUE"""),3.0)</f>
        <v>3</v>
      </c>
      <c r="AI166" s="10">
        <f>IFERROR(__xludf.DUMMYFUNCTION("""COMPUTED_VALUE"""),7.0)</f>
        <v>7</v>
      </c>
      <c r="AJ166" s="11" t="str">
        <f>IFERROR(__xludf.DUMMYFUNCTION("""COMPUTED_VALUE"""),"https://drive.google.com/open?id=1r1t4dTo4TXoKaIhQyczqd02NKYLfGFFE")</f>
        <v>https://drive.google.com/open?id=1r1t4dTo4TXoKaIhQyczqd02NKYLfGFFE</v>
      </c>
      <c r="AK166" s="12"/>
      <c r="AL166" s="12" t="str">
        <f>IFERROR(__xludf.DUMMYFUNCTION("""COMPUTED_VALUE"""),"Yes")</f>
        <v>Yes</v>
      </c>
      <c r="AM166" s="15">
        <f>IFERROR(__xludf.DUMMYFUNCTION("""COMPUTED_VALUE"""),0.8)</f>
        <v>0.8</v>
      </c>
      <c r="AN166" s="12" t="str">
        <f>IFERROR(__xludf.DUMMYFUNCTION("""COMPUTED_VALUE"""),"3rd week")</f>
        <v>3rd week</v>
      </c>
      <c r="AO166" s="13">
        <v>3.0</v>
      </c>
      <c r="AX166" s="13">
        <v>3.0</v>
      </c>
    </row>
    <row r="167">
      <c r="A167" s="8">
        <v>166.0</v>
      </c>
      <c r="B167" s="9">
        <f>IFERROR(__xludf.DUMMYFUNCTION("""COMPUTED_VALUE"""),45776.26111548611)</f>
        <v>45776.26112</v>
      </c>
      <c r="C167" s="10" t="str">
        <f>IFERROR(__xludf.DUMMYFUNCTION("""COMPUTED_VALUE"""),"ARTI KUMARI")</f>
        <v>ARTI KUMARI</v>
      </c>
      <c r="D167" s="10" t="str">
        <f>IFERROR(__xludf.DUMMYFUNCTION("""COMPUTED_VALUE"""),"03346661865")</f>
        <v>03346661865</v>
      </c>
      <c r="E167" s="10" t="str">
        <f>IFERROR(__xludf.DUMMYFUNCTION("""COMPUTED_VALUE"""),"JAMIA MASJID HANFIYA FAROOKIA KRISHAN NAGAR LAHORE")</f>
        <v>JAMIA MASJID HANFIYA FAROOKIA KRISHAN NAGAR LAHORE</v>
      </c>
      <c r="F167" s="10" t="str">
        <f>IFERROR(__xludf.DUMMYFUNCTION("""COMPUTED_VALUE"""),"mfrop")</f>
        <v>mfrop</v>
      </c>
      <c r="G167" s="10" t="str">
        <f>IFERROR(__xludf.DUMMYFUNCTION("""COMPUTED_VALUE"""),"No")</f>
        <v>No</v>
      </c>
      <c r="H167" s="10"/>
      <c r="I167" s="10"/>
      <c r="J167" s="10"/>
      <c r="K167" s="10">
        <f>IFERROR(__xludf.DUMMYFUNCTION("""COMPUTED_VALUE"""),0.0)</f>
        <v>0</v>
      </c>
      <c r="L167" s="10">
        <f>IFERROR(__xludf.DUMMYFUNCTION("""COMPUTED_VALUE"""),0.0)</f>
        <v>0</v>
      </c>
      <c r="M167" s="10">
        <f>IFERROR(__xludf.DUMMYFUNCTION("""COMPUTED_VALUE"""),0.0)</f>
        <v>0</v>
      </c>
      <c r="N167" s="10">
        <f>IFERROR(__xludf.DUMMYFUNCTION("""COMPUTED_VALUE"""),0.0)</f>
        <v>0</v>
      </c>
      <c r="O167" s="10">
        <f>IFERROR(__xludf.DUMMYFUNCTION("""COMPUTED_VALUE"""),0.0)</f>
        <v>0</v>
      </c>
      <c r="P167" s="10">
        <f>IFERROR(__xludf.DUMMYFUNCTION("""COMPUTED_VALUE"""),0.0)</f>
        <v>0</v>
      </c>
      <c r="Q167" s="10" t="str">
        <f>IFERROR(__xludf.DUMMYFUNCTION("""COMPUTED_VALUE"""),"Yes")</f>
        <v>Yes</v>
      </c>
      <c r="R167" s="10" t="str">
        <f>IFERROR(__xludf.DUMMYFUNCTION("""COMPUTED_VALUE"""),"Yes")</f>
        <v>Yes</v>
      </c>
      <c r="S167" s="10" t="str">
        <f>IFERROR(__xludf.DUMMYFUNCTION("""COMPUTED_VALUE"""),"No")</f>
        <v>No</v>
      </c>
      <c r="T167" s="10">
        <f>IFERROR(__xludf.DUMMYFUNCTION("""COMPUTED_VALUE"""),0.0)</f>
        <v>0</v>
      </c>
      <c r="U167" s="10">
        <f>IFERROR(__xludf.DUMMYFUNCTION("""COMPUTED_VALUE"""),0.0)</f>
        <v>0</v>
      </c>
      <c r="V167" s="10" t="str">
        <f>IFERROR(__xludf.DUMMYFUNCTION("""COMPUTED_VALUE"""),"وعدہ خلافی سے اجتناب")</f>
        <v>وعدہ خلافی سے اجتناب</v>
      </c>
      <c r="W167" s="10" t="str">
        <f>IFERROR(__xludf.DUMMYFUNCTION("""COMPUTED_VALUE"""),"انسان اللہ کی راہ میں خرچ کر، جو وعدہ کرے اسے پورا کرے۔ ")</f>
        <v>انسان اللہ کی راہ میں خرچ کر، جو وعدہ کرے اسے پورا کرے۔ </v>
      </c>
      <c r="X167" s="10">
        <f>IFERROR(__xludf.DUMMYFUNCTION("""COMPUTED_VALUE"""),5.0)</f>
        <v>5</v>
      </c>
      <c r="Y167" s="10">
        <f>IFERROR(__xludf.DUMMYFUNCTION("""COMPUTED_VALUE"""),0.0)</f>
        <v>0</v>
      </c>
      <c r="Z167" s="10">
        <f>IFERROR(__xludf.DUMMYFUNCTION("""COMPUTED_VALUE"""),7.0)</f>
        <v>7</v>
      </c>
      <c r="AA167" s="10">
        <f>IFERROR(__xludf.DUMMYFUNCTION("""COMPUTED_VALUE"""),8.0)</f>
        <v>8</v>
      </c>
      <c r="AB167" s="10">
        <f>IFERROR(__xludf.DUMMYFUNCTION("""COMPUTED_VALUE"""),8.0)</f>
        <v>8</v>
      </c>
      <c r="AC167" s="10">
        <f>IFERROR(__xludf.DUMMYFUNCTION("""COMPUTED_VALUE"""),0.0)</f>
        <v>0</v>
      </c>
      <c r="AD167" s="10">
        <f>IFERROR(__xludf.DUMMYFUNCTION("""COMPUTED_VALUE"""),3.0)</f>
        <v>3</v>
      </c>
      <c r="AE167" s="10">
        <f>IFERROR(__xludf.DUMMYFUNCTION("""COMPUTED_VALUE"""),0.0)</f>
        <v>0</v>
      </c>
      <c r="AF167" s="10">
        <f>IFERROR(__xludf.DUMMYFUNCTION("""COMPUTED_VALUE"""),0.0)</f>
        <v>0</v>
      </c>
      <c r="AG167" s="10">
        <f>IFERROR(__xludf.DUMMYFUNCTION("""COMPUTED_VALUE"""),5.0)</f>
        <v>5</v>
      </c>
      <c r="AH167" s="10">
        <f>IFERROR(__xludf.DUMMYFUNCTION("""COMPUTED_VALUE"""),0.0)</f>
        <v>0</v>
      </c>
      <c r="AI167" s="10">
        <f>IFERROR(__xludf.DUMMYFUNCTION("""COMPUTED_VALUE"""),4.0)</f>
        <v>4</v>
      </c>
      <c r="AJ167" s="11" t="str">
        <f>IFERROR(__xludf.DUMMYFUNCTION("""COMPUTED_VALUE"""),"https://drive.google.com/open?id=1gqKo-0j9qJLx7zLlA_Ae_8BfQt4CUhpT")</f>
        <v>https://drive.google.com/open?id=1gqKo-0j9qJLx7zLlA_Ae_8BfQt4CUhpT</v>
      </c>
      <c r="AK167" s="12" t="str">
        <f>IFERROR(__xludf.DUMMYFUNCTION("""COMPUTED_VALUE"""),"آواز میں کچھ شور تھا جس کی وجی سے سننے میں دشواری تھی")</f>
        <v>آواز میں کچھ شور تھا جس کی وجی سے سننے میں دشواری تھی</v>
      </c>
      <c r="AL167" s="12"/>
      <c r="AM167" s="12"/>
      <c r="AN167" s="12" t="str">
        <f>IFERROR(__xludf.DUMMYFUNCTION("""COMPUTED_VALUE"""),"1st week")</f>
        <v>1st week</v>
      </c>
      <c r="AO167" s="13">
        <v>1.0</v>
      </c>
      <c r="AX167" s="13">
        <v>1.0</v>
      </c>
    </row>
    <row r="168">
      <c r="A168" s="8">
        <v>167.0</v>
      </c>
      <c r="B168" s="9">
        <f>IFERROR(__xludf.DUMMYFUNCTION("""COMPUTED_VALUE"""),45776.27937546297)</f>
        <v>45776.27938</v>
      </c>
      <c r="C168" s="10" t="str">
        <f>IFERROR(__xludf.DUMMYFUNCTION("""COMPUTED_VALUE""")," ARTI KUMARI ")</f>
        <v> ARTI KUMARI </v>
      </c>
      <c r="D168" s="10" t="str">
        <f>IFERROR(__xludf.DUMMYFUNCTION("""COMPUTED_VALUE"""),"03346661865")</f>
        <v>03346661865</v>
      </c>
      <c r="E168" s="10" t="str">
        <f>IFERROR(__xludf.DUMMYFUNCTION("""COMPUTED_VALUE"""),"JAMIA MASJID HANIFIA RAILWAY ROAD GAWAL MANDI LAHORE")</f>
        <v>JAMIA MASJID HANIFIA RAILWAY ROAD GAWAL MANDI LAHORE</v>
      </c>
      <c r="F168" s="10" t="str">
        <f>IFERROR(__xludf.DUMMYFUNCTION("""COMPUTED_VALUE"""),"WVMXF")</f>
        <v>WVMXF</v>
      </c>
      <c r="G168" s="10" t="str">
        <f>IFERROR(__xludf.DUMMYFUNCTION("""COMPUTED_VALUE"""),"No")</f>
        <v>No</v>
      </c>
      <c r="H168" s="10"/>
      <c r="I168" s="10"/>
      <c r="J168" s="10"/>
      <c r="K168" s="10">
        <f>IFERROR(__xludf.DUMMYFUNCTION("""COMPUTED_VALUE"""),0.0)</f>
        <v>0</v>
      </c>
      <c r="L168" s="10">
        <f>IFERROR(__xludf.DUMMYFUNCTION("""COMPUTED_VALUE"""),0.0)</f>
        <v>0</v>
      </c>
      <c r="M168" s="10">
        <f>IFERROR(__xludf.DUMMYFUNCTION("""COMPUTED_VALUE"""),0.0)</f>
        <v>0</v>
      </c>
      <c r="N168" s="10">
        <f>IFERROR(__xludf.DUMMYFUNCTION("""COMPUTED_VALUE"""),0.0)</f>
        <v>0</v>
      </c>
      <c r="O168" s="10">
        <f>IFERROR(__xludf.DUMMYFUNCTION("""COMPUTED_VALUE"""),0.0)</f>
        <v>0</v>
      </c>
      <c r="P168" s="10">
        <f>IFERROR(__xludf.DUMMYFUNCTION("""COMPUTED_VALUE"""),0.0)</f>
        <v>0</v>
      </c>
      <c r="Q168" s="10" t="str">
        <f>IFERROR(__xludf.DUMMYFUNCTION("""COMPUTED_VALUE"""),"No")</f>
        <v>No</v>
      </c>
      <c r="R168" s="10" t="str">
        <f>IFERROR(__xludf.DUMMYFUNCTION("""COMPUTED_VALUE"""),"No")</f>
        <v>No</v>
      </c>
      <c r="S168" s="10" t="str">
        <f>IFERROR(__xludf.DUMMYFUNCTION("""COMPUTED_VALUE"""),"No")</f>
        <v>No</v>
      </c>
      <c r="T168" s="10">
        <f>IFERROR(__xludf.DUMMYFUNCTION("""COMPUTED_VALUE"""),0.0)</f>
        <v>0</v>
      </c>
      <c r="U168" s="10">
        <f>IFERROR(__xludf.DUMMYFUNCTION("""COMPUTED_VALUE"""),0.0)</f>
        <v>0</v>
      </c>
      <c r="V168" s="10" t="str">
        <f>IFERROR(__xludf.DUMMYFUNCTION("""COMPUTED_VALUE"""),"صحابہ کا اپنے نبی اور اللہ کے فرمان کی پاسدرای کرنا")</f>
        <v>صحابہ کا اپنے نبی اور اللہ کے فرمان کی پاسدرای کرنا</v>
      </c>
      <c r="W168" s="10" t="str">
        <f>IFERROR(__xludf.DUMMYFUNCTION("""COMPUTED_VALUE"""),"اللہ اور اس کے نبی کے فرمان کی پاسداری کرنا اون کے بتائے ہوئے اصولوں پر چلنا اور جو ان کے ھکم کی پاسدرای کرنا ہے اللہ ان کی  غیبی مدد فرماتا ہے")</f>
        <v>اللہ اور اس کے نبی کے فرمان کی پاسداری کرنا اون کے بتائے ہوئے اصولوں پر چلنا اور جو ان کے ھکم کی پاسدرای کرنا ہے اللہ ان کی  غیبی مدد فرماتا ہے</v>
      </c>
      <c r="X168" s="10">
        <f>IFERROR(__xludf.DUMMYFUNCTION("""COMPUTED_VALUE"""),8.0)</f>
        <v>8</v>
      </c>
      <c r="Y168" s="10">
        <f>IFERROR(__xludf.DUMMYFUNCTION("""COMPUTED_VALUE"""),8.0)</f>
        <v>8</v>
      </c>
      <c r="Z168" s="10">
        <f>IFERROR(__xludf.DUMMYFUNCTION("""COMPUTED_VALUE"""),6.0)</f>
        <v>6</v>
      </c>
      <c r="AA168" s="10">
        <f>IFERROR(__xludf.DUMMYFUNCTION("""COMPUTED_VALUE"""),8.0)</f>
        <v>8</v>
      </c>
      <c r="AB168" s="10">
        <f>IFERROR(__xludf.DUMMYFUNCTION("""COMPUTED_VALUE"""),8.0)</f>
        <v>8</v>
      </c>
      <c r="AC168" s="10">
        <f>IFERROR(__xludf.DUMMYFUNCTION("""COMPUTED_VALUE"""),0.0)</f>
        <v>0</v>
      </c>
      <c r="AD168" s="10">
        <f>IFERROR(__xludf.DUMMYFUNCTION("""COMPUTED_VALUE"""),0.0)</f>
        <v>0</v>
      </c>
      <c r="AE168" s="10">
        <f>IFERROR(__xludf.DUMMYFUNCTION("""COMPUTED_VALUE"""),2.0)</f>
        <v>2</v>
      </c>
      <c r="AF168" s="10">
        <f>IFERROR(__xludf.DUMMYFUNCTION("""COMPUTED_VALUE"""),0.0)</f>
        <v>0</v>
      </c>
      <c r="AG168" s="10">
        <f>IFERROR(__xludf.DUMMYFUNCTION("""COMPUTED_VALUE"""),6.0)</f>
        <v>6</v>
      </c>
      <c r="AH168" s="10">
        <f>IFERROR(__xludf.DUMMYFUNCTION("""COMPUTED_VALUE"""),1.0)</f>
        <v>1</v>
      </c>
      <c r="AI168" s="10">
        <f>IFERROR(__xludf.DUMMYFUNCTION("""COMPUTED_VALUE"""),8.0)</f>
        <v>8</v>
      </c>
      <c r="AJ168" s="11" t="str">
        <f>IFERROR(__xludf.DUMMYFUNCTION("""COMPUTED_VALUE"""),"https://drive.google.com/open?id=1_lp0GhAoS4v1qS108R77TArEbAHLm1RJ")</f>
        <v>https://drive.google.com/open?id=1_lp0GhAoS4v1qS108R77TArEbAHLm1RJ</v>
      </c>
      <c r="AK168" s="12"/>
      <c r="AL168" s="12"/>
      <c r="AM168" s="12"/>
      <c r="AN168" s="12" t="str">
        <f>IFERROR(__xludf.DUMMYFUNCTION("""COMPUTED_VALUE"""),"2nd week")</f>
        <v>2nd week</v>
      </c>
      <c r="AO168" s="13">
        <v>2.0</v>
      </c>
      <c r="AX168" s="13"/>
    </row>
    <row r="169">
      <c r="A169" s="8">
        <v>168.0</v>
      </c>
      <c r="B169" s="9">
        <f>IFERROR(__xludf.DUMMYFUNCTION("""COMPUTED_VALUE"""),45776.28020681713)</f>
        <v>45776.28021</v>
      </c>
      <c r="C169" s="10" t="str">
        <f>IFERROR(__xludf.DUMMYFUNCTION("""COMPUTED_VALUE"""),"Muqaddas ")</f>
        <v>Muqaddas </v>
      </c>
      <c r="D169" s="10" t="str">
        <f>IFERROR(__xludf.DUMMYFUNCTION("""COMPUTED_VALUE"""),"03075314147")</f>
        <v>03075314147</v>
      </c>
      <c r="E169" s="10" t="str">
        <f>IFERROR(__xludf.DUMMYFUNCTION("""COMPUTED_VALUE"""),"Jamia masjid bedian road lahore ")</f>
        <v>Jamia masjid bedian road lahore </v>
      </c>
      <c r="F169" s="10" t="str">
        <f>IFERROR(__xludf.DUMMYFUNCTION("""COMPUTED_VALUE"""),"dxome")</f>
        <v>dxome</v>
      </c>
      <c r="G169" s="10" t="str">
        <f>IFERROR(__xludf.DUMMYFUNCTION("""COMPUTED_VALUE"""),"Yes")</f>
        <v>Yes</v>
      </c>
      <c r="H169" s="10">
        <f>IFERROR(__xludf.DUMMYFUNCTION("""COMPUTED_VALUE"""),4.0)</f>
        <v>4</v>
      </c>
      <c r="I169" s="10">
        <f>IFERROR(__xludf.DUMMYFUNCTION("""COMPUTED_VALUE"""),5.0)</f>
        <v>5</v>
      </c>
      <c r="J169" s="10">
        <f>IFERROR(__xludf.DUMMYFUNCTION("""COMPUTED_VALUE"""),4.0)</f>
        <v>4</v>
      </c>
      <c r="K169" s="10">
        <f>IFERROR(__xludf.DUMMYFUNCTION("""COMPUTED_VALUE"""),1.0)</f>
        <v>1</v>
      </c>
      <c r="L169" s="10">
        <f>IFERROR(__xludf.DUMMYFUNCTION("""COMPUTED_VALUE"""),10.0)</f>
        <v>10</v>
      </c>
      <c r="M169" s="10">
        <f>IFERROR(__xludf.DUMMYFUNCTION("""COMPUTED_VALUE"""),0.0)</f>
        <v>0</v>
      </c>
      <c r="N169" s="10">
        <f>IFERROR(__xludf.DUMMYFUNCTION("""COMPUTED_VALUE"""),10.0)</f>
        <v>10</v>
      </c>
      <c r="O169" s="10">
        <f>IFERROR(__xludf.DUMMYFUNCTION("""COMPUTED_VALUE"""),0.0)</f>
        <v>0</v>
      </c>
      <c r="P169" s="10">
        <f>IFERROR(__xludf.DUMMYFUNCTION("""COMPUTED_VALUE"""),7.0)</f>
        <v>7</v>
      </c>
      <c r="Q169" s="10" t="str">
        <f>IFERROR(__xludf.DUMMYFUNCTION("""COMPUTED_VALUE"""),"No")</f>
        <v>No</v>
      </c>
      <c r="R169" s="10" t="str">
        <f>IFERROR(__xludf.DUMMYFUNCTION("""COMPUTED_VALUE"""),"No")</f>
        <v>No</v>
      </c>
      <c r="S169" s="10" t="str">
        <f>IFERROR(__xludf.DUMMYFUNCTION("""COMPUTED_VALUE"""),"No")</f>
        <v>No</v>
      </c>
      <c r="T169" s="10">
        <f>IFERROR(__xludf.DUMMYFUNCTION("""COMPUTED_VALUE"""),0.0)</f>
        <v>0</v>
      </c>
      <c r="U169" s="10">
        <f>IFERROR(__xludf.DUMMYFUNCTION("""COMPUTED_VALUE"""),0.0)</f>
        <v>0</v>
      </c>
      <c r="V169" s="10" t="str">
        <f>IFERROR(__xludf.DUMMYFUNCTION("""COMPUTED_VALUE"""),"پڑوسیوں کے حقوق")</f>
        <v>پڑوسیوں کے حقوق</v>
      </c>
      <c r="W169" s="10" t="str">
        <f>IFERROR(__xludf.DUMMYFUNCTION("""COMPUTED_VALUE"""),"پڑوسیوں کا خیال رکھا جائے اگر فوت ہو جائیں تو نماز جنازہ پڑھی جائے قرضدار ہوں تو قرض دیا جائے ان کے حقوق کا خیال رکھا جائے بے شک وہ رشتہ دار نہیں ہے لیکن ان کے حقوق کا خیال رکھا جائے")</f>
        <v>پڑوسیوں کا خیال رکھا جائے اگر فوت ہو جائیں تو نماز جنازہ پڑھی جائے قرضدار ہوں تو قرض دیا جائے ان کے حقوق کا خیال رکھا جائے بے شک وہ رشتہ دار نہیں ہے لیکن ان کے حقوق کا خیال رکھا جائے</v>
      </c>
      <c r="X169" s="10">
        <f>IFERROR(__xludf.DUMMYFUNCTION("""COMPUTED_VALUE"""),0.0)</f>
        <v>0</v>
      </c>
      <c r="Y169" s="10">
        <f>IFERROR(__xludf.DUMMYFUNCTION("""COMPUTED_VALUE"""),6.0)</f>
        <v>6</v>
      </c>
      <c r="Z169" s="10">
        <f>IFERROR(__xludf.DUMMYFUNCTION("""COMPUTED_VALUE"""),0.0)</f>
        <v>0</v>
      </c>
      <c r="AA169" s="10">
        <f>IFERROR(__xludf.DUMMYFUNCTION("""COMPUTED_VALUE"""),0.0)</f>
        <v>0</v>
      </c>
      <c r="AB169" s="10">
        <f>IFERROR(__xludf.DUMMYFUNCTION("""COMPUTED_VALUE"""),0.0)</f>
        <v>0</v>
      </c>
      <c r="AC169" s="10">
        <f>IFERROR(__xludf.DUMMYFUNCTION("""COMPUTED_VALUE"""),0.0)</f>
        <v>0</v>
      </c>
      <c r="AD169" s="10">
        <f>IFERROR(__xludf.DUMMYFUNCTION("""COMPUTED_VALUE"""),0.0)</f>
        <v>0</v>
      </c>
      <c r="AE169" s="10">
        <f>IFERROR(__xludf.DUMMYFUNCTION("""COMPUTED_VALUE"""),0.0)</f>
        <v>0</v>
      </c>
      <c r="AF169" s="10">
        <f>IFERROR(__xludf.DUMMYFUNCTION("""COMPUTED_VALUE"""),4.0)</f>
        <v>4</v>
      </c>
      <c r="AG169" s="10">
        <f>IFERROR(__xludf.DUMMYFUNCTION("""COMPUTED_VALUE"""),8.0)</f>
        <v>8</v>
      </c>
      <c r="AH169" s="10">
        <f>IFERROR(__xludf.DUMMYFUNCTION("""COMPUTED_VALUE"""),0.0)</f>
        <v>0</v>
      </c>
      <c r="AI169" s="10">
        <f>IFERROR(__xludf.DUMMYFUNCTION("""COMPUTED_VALUE"""),5.0)</f>
        <v>5</v>
      </c>
      <c r="AJ169" s="11" t="str">
        <f>IFERROR(__xludf.DUMMYFUNCTION("""COMPUTED_VALUE"""),"https://drive.google.com/open?id=1rDtQ1P5sbhEkOcCchFQjagdd5JBqYYQD")</f>
        <v>https://drive.google.com/open?id=1rDtQ1P5sbhEkOcCchFQjagdd5JBqYYQD</v>
      </c>
      <c r="AK169" s="12" t="str">
        <f>IFERROR(__xludf.DUMMYFUNCTION("""COMPUTED_VALUE"""),"Nill")</f>
        <v>Nill</v>
      </c>
      <c r="AL169" s="12" t="str">
        <f>IFERROR(__xludf.DUMMYFUNCTION("""COMPUTED_VALUE"""),"Yes")</f>
        <v>Yes</v>
      </c>
      <c r="AM169" s="15">
        <f>IFERROR(__xludf.DUMMYFUNCTION("""COMPUTED_VALUE"""),0.5)</f>
        <v>0.5</v>
      </c>
      <c r="AN169" s="12" t="str">
        <f>IFERROR(__xludf.DUMMYFUNCTION("""COMPUTED_VALUE"""),"3rd week")</f>
        <v>3rd week</v>
      </c>
      <c r="AO169" s="13">
        <v>3.0</v>
      </c>
      <c r="AX169" s="13">
        <v>3.0</v>
      </c>
    </row>
    <row r="170">
      <c r="A170" s="8">
        <v>169.0</v>
      </c>
      <c r="B170" s="9">
        <f>IFERROR(__xludf.DUMMYFUNCTION("""COMPUTED_VALUE"""),45776.32641335648)</f>
        <v>45776.32641</v>
      </c>
      <c r="C170" s="10" t="str">
        <f>IFERROR(__xludf.DUMMYFUNCTION("""COMPUTED_VALUE"""),"ARTI KUMARI")</f>
        <v>ARTI KUMARI</v>
      </c>
      <c r="D170" s="10" t="str">
        <f>IFERROR(__xludf.DUMMYFUNCTION("""COMPUTED_VALUE"""),"03346661865")</f>
        <v>03346661865</v>
      </c>
      <c r="E170" s="10" t="str">
        <f>IFERROR(__xludf.DUMMYFUNCTION("""COMPUTED_VALUE"""),"JAMIA MASJID HANFIYA MUSLIM GUNJ KACHU PURA-MUHAMMAD HARIS")</f>
        <v>JAMIA MASJID HANFIYA MUSLIM GUNJ KACHU PURA-MUHAMMAD HARIS</v>
      </c>
      <c r="F170" s="10" t="str">
        <f>IFERROR(__xludf.DUMMYFUNCTION("""COMPUTED_VALUE"""),"ogwwf")</f>
        <v>ogwwf</v>
      </c>
      <c r="G170" s="10" t="str">
        <f>IFERROR(__xludf.DUMMYFUNCTION("""COMPUTED_VALUE"""),"No")</f>
        <v>No</v>
      </c>
      <c r="H170" s="10"/>
      <c r="I170" s="10"/>
      <c r="J170" s="10"/>
      <c r="K170" s="10">
        <f>IFERROR(__xludf.DUMMYFUNCTION("""COMPUTED_VALUE"""),4.0)</f>
        <v>4</v>
      </c>
      <c r="L170" s="10">
        <f>IFERROR(__xludf.DUMMYFUNCTION("""COMPUTED_VALUE"""),4.0)</f>
        <v>4</v>
      </c>
      <c r="M170" s="10">
        <f>IFERROR(__xludf.DUMMYFUNCTION("""COMPUTED_VALUE"""),6.0)</f>
        <v>6</v>
      </c>
      <c r="N170" s="10">
        <f>IFERROR(__xludf.DUMMYFUNCTION("""COMPUTED_VALUE"""),0.0)</f>
        <v>0</v>
      </c>
      <c r="O170" s="10">
        <f>IFERROR(__xludf.DUMMYFUNCTION("""COMPUTED_VALUE"""),0.0)</f>
        <v>0</v>
      </c>
      <c r="P170" s="10">
        <f>IFERROR(__xludf.DUMMYFUNCTION("""COMPUTED_VALUE"""),0.0)</f>
        <v>0</v>
      </c>
      <c r="Q170" s="10" t="str">
        <f>IFERROR(__xludf.DUMMYFUNCTION("""COMPUTED_VALUE"""),"No")</f>
        <v>No</v>
      </c>
      <c r="R170" s="10" t="str">
        <f>IFERROR(__xludf.DUMMYFUNCTION("""COMPUTED_VALUE"""),"No")</f>
        <v>No</v>
      </c>
      <c r="S170" s="10" t="str">
        <f>IFERROR(__xludf.DUMMYFUNCTION("""COMPUTED_VALUE"""),"Yes")</f>
        <v>Yes</v>
      </c>
      <c r="T170" s="10">
        <f>IFERROR(__xludf.DUMMYFUNCTION("""COMPUTED_VALUE"""),0.0)</f>
        <v>0</v>
      </c>
      <c r="U170" s="10">
        <f>IFERROR(__xludf.DUMMYFUNCTION("""COMPUTED_VALUE"""),0.0)</f>
        <v>0</v>
      </c>
      <c r="V170" s="10" t="str">
        <f>IFERROR(__xludf.DUMMYFUNCTION("""COMPUTED_VALUE"""),"والدین کی اطاعت ")</f>
        <v>والدین کی اطاعت </v>
      </c>
      <c r="W170" s="10" t="str">
        <f>IFERROR(__xludf.DUMMYFUNCTION("""COMPUTED_VALUE"""),"والدین کی اطاعت کرو والدین کا رتبہ سب سے پہلے ہے اگر والدین راضی ہیں تو اللہ بھی راضی ہے")</f>
        <v>والدین کی اطاعت کرو والدین کا رتبہ سب سے پہلے ہے اگر والدین راضی ہیں تو اللہ بھی راضی ہے</v>
      </c>
      <c r="X170" s="10">
        <f>IFERROR(__xludf.DUMMYFUNCTION("""COMPUTED_VALUE"""),5.0)</f>
        <v>5</v>
      </c>
      <c r="Y170" s="10">
        <f>IFERROR(__xludf.DUMMYFUNCTION("""COMPUTED_VALUE"""),5.0)</f>
        <v>5</v>
      </c>
      <c r="Z170" s="10">
        <f>IFERROR(__xludf.DUMMYFUNCTION("""COMPUTED_VALUE"""),3.0)</f>
        <v>3</v>
      </c>
      <c r="AA170" s="10">
        <f>IFERROR(__xludf.DUMMYFUNCTION("""COMPUTED_VALUE"""),7.0)</f>
        <v>7</v>
      </c>
      <c r="AB170" s="10">
        <f>IFERROR(__xludf.DUMMYFUNCTION("""COMPUTED_VALUE"""),6.0)</f>
        <v>6</v>
      </c>
      <c r="AC170" s="10">
        <f>IFERROR(__xludf.DUMMYFUNCTION("""COMPUTED_VALUE"""),0.0)</f>
        <v>0</v>
      </c>
      <c r="AD170" s="10">
        <f>IFERROR(__xludf.DUMMYFUNCTION("""COMPUTED_VALUE"""),3.0)</f>
        <v>3</v>
      </c>
      <c r="AE170" s="10">
        <f>IFERROR(__xludf.DUMMYFUNCTION("""COMPUTED_VALUE"""),3.0)</f>
        <v>3</v>
      </c>
      <c r="AF170" s="10">
        <f>IFERROR(__xludf.DUMMYFUNCTION("""COMPUTED_VALUE"""),0.0)</f>
        <v>0</v>
      </c>
      <c r="AG170" s="10">
        <f>IFERROR(__xludf.DUMMYFUNCTION("""COMPUTED_VALUE"""),9.0)</f>
        <v>9</v>
      </c>
      <c r="AH170" s="10">
        <f>IFERROR(__xludf.DUMMYFUNCTION("""COMPUTED_VALUE"""),0.0)</f>
        <v>0</v>
      </c>
      <c r="AI170" s="10">
        <f>IFERROR(__xludf.DUMMYFUNCTION("""COMPUTED_VALUE"""),8.0)</f>
        <v>8</v>
      </c>
      <c r="AJ170" s="11" t="str">
        <f>IFERROR(__xludf.DUMMYFUNCTION("""COMPUTED_VALUE"""),"https://drive.google.com/open?id=1h2TRnBRnD7Ed2iXQgDo3nEqHsqvyymk8")</f>
        <v>https://drive.google.com/open?id=1h2TRnBRnD7Ed2iXQgDo3nEqHsqvyymk8</v>
      </c>
      <c r="AK170" s="12" t="str">
        <f>IFERROR(__xludf.DUMMYFUNCTION("""COMPUTED_VALUE"""),"آواز سنننے میں بہت دشواری  کا سامنا کرنا پڑا امام بہت جلدی جلدی بول ریا تحا جس کی وجہ سے بہت دشواری تھئ")</f>
        <v>آواز سنننے میں بہت دشواری  کا سامنا کرنا پڑا امام بہت جلدی جلدی بول ریا تحا جس کی وجہ سے بہت دشواری تھئ</v>
      </c>
      <c r="AL170" s="12"/>
      <c r="AM170" s="12"/>
      <c r="AN170" s="12" t="str">
        <f>IFERROR(__xludf.DUMMYFUNCTION("""COMPUTED_VALUE"""),"3rd week")</f>
        <v>3rd week</v>
      </c>
      <c r="AO170" s="13">
        <v>3.0</v>
      </c>
      <c r="AX170" s="13">
        <v>3.0</v>
      </c>
    </row>
    <row r="171">
      <c r="A171" s="8">
        <v>170.0</v>
      </c>
      <c r="B171" s="9">
        <f>IFERROR(__xludf.DUMMYFUNCTION("""COMPUTED_VALUE"""),45776.32811621528)</f>
        <v>45776.32812</v>
      </c>
      <c r="C171" s="10" t="str">
        <f>IFERROR(__xludf.DUMMYFUNCTION("""COMPUTED_VALUE"""),"Umar butt ")</f>
        <v>Umar butt </v>
      </c>
      <c r="D171" s="10" t="str">
        <f>IFERROR(__xludf.DUMMYFUNCTION("""COMPUTED_VALUE"""),"03200099395")</f>
        <v>03200099395</v>
      </c>
      <c r="E171" s="10" t="str">
        <f>IFERROR(__xludf.DUMMYFUNCTION("""COMPUTED_VALUE"""),"Jamia masjid madina")</f>
        <v>Jamia masjid madina</v>
      </c>
      <c r="F171" s="10" t="str">
        <f>IFERROR(__xludf.DUMMYFUNCTION("""COMPUTED_VALUE"""),"Lcwok")</f>
        <v>Lcwok</v>
      </c>
      <c r="G171" s="10" t="str">
        <f>IFERROR(__xludf.DUMMYFUNCTION("""COMPUTED_VALUE"""),"No")</f>
        <v>No</v>
      </c>
      <c r="H171" s="10"/>
      <c r="I171" s="10"/>
      <c r="J171" s="10"/>
      <c r="K171" s="10">
        <f>IFERROR(__xludf.DUMMYFUNCTION("""COMPUTED_VALUE"""),0.0)</f>
        <v>0</v>
      </c>
      <c r="L171" s="10">
        <f>IFERROR(__xludf.DUMMYFUNCTION("""COMPUTED_VALUE"""),2.0)</f>
        <v>2</v>
      </c>
      <c r="M171" s="10">
        <f>IFERROR(__xludf.DUMMYFUNCTION("""COMPUTED_VALUE"""),0.0)</f>
        <v>0</v>
      </c>
      <c r="N171" s="10">
        <f>IFERROR(__xludf.DUMMYFUNCTION("""COMPUTED_VALUE"""),0.0)</f>
        <v>0</v>
      </c>
      <c r="O171" s="10">
        <f>IFERROR(__xludf.DUMMYFUNCTION("""COMPUTED_VALUE"""),0.0)</f>
        <v>0</v>
      </c>
      <c r="P171" s="10">
        <f>IFERROR(__xludf.DUMMYFUNCTION("""COMPUTED_VALUE"""),1.0)</f>
        <v>1</v>
      </c>
      <c r="Q171" s="10" t="str">
        <f>IFERROR(__xludf.DUMMYFUNCTION("""COMPUTED_VALUE"""),"No")</f>
        <v>No</v>
      </c>
      <c r="R171" s="10" t="str">
        <f>IFERROR(__xludf.DUMMYFUNCTION("""COMPUTED_VALUE"""),"No")</f>
        <v>No</v>
      </c>
      <c r="S171" s="10" t="str">
        <f>IFERROR(__xludf.DUMMYFUNCTION("""COMPUTED_VALUE"""),"No")</f>
        <v>No</v>
      </c>
      <c r="T171" s="10">
        <f>IFERROR(__xludf.DUMMYFUNCTION("""COMPUTED_VALUE"""),0.0)</f>
        <v>0</v>
      </c>
      <c r="U171" s="10">
        <f>IFERROR(__xludf.DUMMYFUNCTION("""COMPUTED_VALUE"""),0.0)</f>
        <v>0</v>
      </c>
      <c r="V171" s="10" t="str">
        <f>IFERROR(__xludf.DUMMYFUNCTION("""COMPUTED_VALUE"""),"امانت میں خیانت نہیں کرنی چاہیے ")</f>
        <v>امانت میں خیانت نہیں کرنی چاہیے </v>
      </c>
      <c r="W171" s="10" t="str">
        <f>IFERROR(__xludf.DUMMYFUNCTION("""COMPUTED_VALUE"""),"کفار بھی آپ صلی اللہ علیہ وسلم کو صادق اور امین مانتے تھے کیونکہ آپ امانت میں خیانت نہیں کرتے تھے ")</f>
        <v>کفار بھی آپ صلی اللہ علیہ وسلم کو صادق اور امین مانتے تھے کیونکہ آپ امانت میں خیانت نہیں کرتے تھے </v>
      </c>
      <c r="X171" s="10">
        <f>IFERROR(__xludf.DUMMYFUNCTION("""COMPUTED_VALUE"""),5.0)</f>
        <v>5</v>
      </c>
      <c r="Y171" s="10">
        <f>IFERROR(__xludf.DUMMYFUNCTION("""COMPUTED_VALUE"""),5.0)</f>
        <v>5</v>
      </c>
      <c r="Z171" s="10">
        <f>IFERROR(__xludf.DUMMYFUNCTION("""COMPUTED_VALUE"""),2.0)</f>
        <v>2</v>
      </c>
      <c r="AA171" s="10">
        <f>IFERROR(__xludf.DUMMYFUNCTION("""COMPUTED_VALUE"""),2.0)</f>
        <v>2</v>
      </c>
      <c r="AB171" s="10">
        <f>IFERROR(__xludf.DUMMYFUNCTION("""COMPUTED_VALUE"""),2.0)</f>
        <v>2</v>
      </c>
      <c r="AC171" s="10">
        <f>IFERROR(__xludf.DUMMYFUNCTION("""COMPUTED_VALUE"""),2.0)</f>
        <v>2</v>
      </c>
      <c r="AD171" s="10">
        <f>IFERROR(__xludf.DUMMYFUNCTION("""COMPUTED_VALUE"""),1.0)</f>
        <v>1</v>
      </c>
      <c r="AE171" s="10">
        <f>IFERROR(__xludf.DUMMYFUNCTION("""COMPUTED_VALUE"""),1.0)</f>
        <v>1</v>
      </c>
      <c r="AF171" s="10">
        <f>IFERROR(__xludf.DUMMYFUNCTION("""COMPUTED_VALUE"""),8.0)</f>
        <v>8</v>
      </c>
      <c r="AG171" s="10">
        <f>IFERROR(__xludf.DUMMYFUNCTION("""COMPUTED_VALUE"""),8.0)</f>
        <v>8</v>
      </c>
      <c r="AH171" s="10">
        <f>IFERROR(__xludf.DUMMYFUNCTION("""COMPUTED_VALUE"""),0.0)</f>
        <v>0</v>
      </c>
      <c r="AI171" s="10">
        <f>IFERROR(__xludf.DUMMYFUNCTION("""COMPUTED_VALUE"""),10.0)</f>
        <v>10</v>
      </c>
      <c r="AJ171" s="11" t="str">
        <f>IFERROR(__xludf.DUMMYFUNCTION("""COMPUTED_VALUE"""),"https://drive.google.com/file/d/12kauSy_tAhsdVObkZFh6a94WFPV_4jDo/view?usp=drive_link")</f>
        <v>https://drive.google.com/file/d/12kauSy_tAhsdVObkZFh6a94WFPV_4jDo/view?usp=drive_link</v>
      </c>
      <c r="AK171" s="12"/>
      <c r="AL171" s="12"/>
      <c r="AM171" s="12"/>
      <c r="AN171" s="12" t="str">
        <f>IFERROR(__xludf.DUMMYFUNCTION("""COMPUTED_VALUE"""),"4th week")</f>
        <v>4th week</v>
      </c>
      <c r="AO171" s="13">
        <v>3.0</v>
      </c>
      <c r="AX171" s="13"/>
    </row>
    <row r="172">
      <c r="A172" s="8">
        <v>171.0</v>
      </c>
      <c r="B172" s="9">
        <f>IFERROR(__xludf.DUMMYFUNCTION("""COMPUTED_VALUE"""),45776.37689085648)</f>
        <v>45776.37689</v>
      </c>
      <c r="C172" s="10" t="str">
        <f>IFERROR(__xludf.DUMMYFUNCTION("""COMPUTED_VALUE"""),"Asma Gul ")</f>
        <v>Asma Gul </v>
      </c>
      <c r="D172" s="10" t="str">
        <f>IFERROR(__xludf.DUMMYFUNCTION("""COMPUTED_VALUE"""),"03459308620")</f>
        <v>03459308620</v>
      </c>
      <c r="E172" s="10" t="str">
        <f>IFERROR(__xludf.DUMMYFUNCTION("""COMPUTED_VALUE"""),"Jamia Masjid Esha Shahab Lahore ")</f>
        <v>Jamia Masjid Esha Shahab Lahore </v>
      </c>
      <c r="F172" s="10" t="str">
        <f>IFERROR(__xludf.DUMMYFUNCTION("""COMPUTED_VALUE"""),"zhcjl")</f>
        <v>zhcjl</v>
      </c>
      <c r="G172" s="10" t="str">
        <f>IFERROR(__xludf.DUMMYFUNCTION("""COMPUTED_VALUE"""),"Yes")</f>
        <v>Yes</v>
      </c>
      <c r="H172" s="10">
        <f>IFERROR(__xludf.DUMMYFUNCTION("""COMPUTED_VALUE"""),7.0)</f>
        <v>7</v>
      </c>
      <c r="I172" s="10">
        <f>IFERROR(__xludf.DUMMYFUNCTION("""COMPUTED_VALUE"""),5.0)</f>
        <v>5</v>
      </c>
      <c r="J172" s="10">
        <f>IFERROR(__xludf.DUMMYFUNCTION("""COMPUTED_VALUE"""),6.0)</f>
        <v>6</v>
      </c>
      <c r="K172" s="10">
        <f>IFERROR(__xludf.DUMMYFUNCTION("""COMPUTED_VALUE"""),5.0)</f>
        <v>5</v>
      </c>
      <c r="L172" s="10">
        <f>IFERROR(__xludf.DUMMYFUNCTION("""COMPUTED_VALUE"""),5.0)</f>
        <v>5</v>
      </c>
      <c r="M172" s="10">
        <f>IFERROR(__xludf.DUMMYFUNCTION("""COMPUTED_VALUE"""),6.0)</f>
        <v>6</v>
      </c>
      <c r="N172" s="10">
        <f>IFERROR(__xludf.DUMMYFUNCTION("""COMPUTED_VALUE"""),6.0)</f>
        <v>6</v>
      </c>
      <c r="O172" s="10">
        <f>IFERROR(__xludf.DUMMYFUNCTION("""COMPUTED_VALUE"""),4.0)</f>
        <v>4</v>
      </c>
      <c r="P172" s="10">
        <f>IFERROR(__xludf.DUMMYFUNCTION("""COMPUTED_VALUE"""),6.0)</f>
        <v>6</v>
      </c>
      <c r="Q172" s="10" t="str">
        <f>IFERROR(__xludf.DUMMYFUNCTION("""COMPUTED_VALUE"""),"No")</f>
        <v>No</v>
      </c>
      <c r="R172" s="10" t="str">
        <f>IFERROR(__xludf.DUMMYFUNCTION("""COMPUTED_VALUE"""),"No")</f>
        <v>No</v>
      </c>
      <c r="S172" s="10" t="str">
        <f>IFERROR(__xludf.DUMMYFUNCTION("""COMPUTED_VALUE"""),"No")</f>
        <v>No</v>
      </c>
      <c r="T172" s="10">
        <f>IFERROR(__xludf.DUMMYFUNCTION("""COMPUTED_VALUE"""),5.0)</f>
        <v>5</v>
      </c>
      <c r="U172" s="10">
        <f>IFERROR(__xludf.DUMMYFUNCTION("""COMPUTED_VALUE"""),6.0)</f>
        <v>6</v>
      </c>
      <c r="V172" s="10" t="str">
        <f>IFERROR(__xludf.DUMMYFUNCTION("""COMPUTED_VALUE"""),"اللہ کی اطاعت کے فائدے")</f>
        <v>اللہ کی اطاعت کے فائدے</v>
      </c>
      <c r="W172" s="10" t="str">
        <f>IFERROR(__xludf.DUMMYFUNCTION("""COMPUTED_VALUE"""),"اس میں امام نے اللہ تعالی کی اطاعت کے فائدے بیان کیے ہیں اس کے ساتھ ساتھ حضرت بلال حبشی اور دیگر کی اسلام کے لیے قربانیاں کا ذکر کیا ہے۔")</f>
        <v>اس میں امام نے اللہ تعالی کی اطاعت کے فائدے بیان کیے ہیں اس کے ساتھ ساتھ حضرت بلال حبشی اور دیگر کی اسلام کے لیے قربانیاں کا ذکر کیا ہے۔</v>
      </c>
      <c r="X172" s="10">
        <f>IFERROR(__xludf.DUMMYFUNCTION("""COMPUTED_VALUE"""),5.0)</f>
        <v>5</v>
      </c>
      <c r="Y172" s="10">
        <f>IFERROR(__xludf.DUMMYFUNCTION("""COMPUTED_VALUE"""),6.0)</f>
        <v>6</v>
      </c>
      <c r="Z172" s="10">
        <f>IFERROR(__xludf.DUMMYFUNCTION("""COMPUTED_VALUE"""),7.0)</f>
        <v>7</v>
      </c>
      <c r="AA172" s="10">
        <f>IFERROR(__xludf.DUMMYFUNCTION("""COMPUTED_VALUE"""),6.0)</f>
        <v>6</v>
      </c>
      <c r="AB172" s="10">
        <f>IFERROR(__xludf.DUMMYFUNCTION("""COMPUTED_VALUE"""),7.0)</f>
        <v>7</v>
      </c>
      <c r="AC172" s="10">
        <f>IFERROR(__xludf.DUMMYFUNCTION("""COMPUTED_VALUE"""),7.0)</f>
        <v>7</v>
      </c>
      <c r="AD172" s="10">
        <f>IFERROR(__xludf.DUMMYFUNCTION("""COMPUTED_VALUE"""),6.0)</f>
        <v>6</v>
      </c>
      <c r="AE172" s="10">
        <f>IFERROR(__xludf.DUMMYFUNCTION("""COMPUTED_VALUE"""),6.0)</f>
        <v>6</v>
      </c>
      <c r="AF172" s="10">
        <f>IFERROR(__xludf.DUMMYFUNCTION("""COMPUTED_VALUE"""),2.0)</f>
        <v>2</v>
      </c>
      <c r="AG172" s="10">
        <f>IFERROR(__xludf.DUMMYFUNCTION("""COMPUTED_VALUE"""),7.0)</f>
        <v>7</v>
      </c>
      <c r="AH172" s="10">
        <f>IFERROR(__xludf.DUMMYFUNCTION("""COMPUTED_VALUE"""),7.0)</f>
        <v>7</v>
      </c>
      <c r="AI172" s="10">
        <f>IFERROR(__xludf.DUMMYFUNCTION("""COMPUTED_VALUE"""),6.0)</f>
        <v>6</v>
      </c>
      <c r="AJ172" s="11" t="str">
        <f>IFERROR(__xludf.DUMMYFUNCTION("""COMPUTED_VALUE"""),"https://drive.google.com/open?id=1OIzIsMoetYvw5gygHnEPXf1vLqFLC88q")</f>
        <v>https://drive.google.com/open?id=1OIzIsMoetYvw5gygHnEPXf1vLqFLC88q</v>
      </c>
      <c r="AK172" s="12"/>
      <c r="AL172" s="12" t="str">
        <f>IFERROR(__xludf.DUMMYFUNCTION("""COMPUTED_VALUE"""),"Yes")</f>
        <v>Yes</v>
      </c>
      <c r="AM172" s="15">
        <f>IFERROR(__xludf.DUMMYFUNCTION("""COMPUTED_VALUE"""),0.7)</f>
        <v>0.7</v>
      </c>
      <c r="AN172" s="12" t="str">
        <f>IFERROR(__xludf.DUMMYFUNCTION("""COMPUTED_VALUE"""),"3rd week")</f>
        <v>3rd week</v>
      </c>
      <c r="AO172" s="13">
        <v>3.0</v>
      </c>
      <c r="AX172" s="13">
        <v>3.0</v>
      </c>
    </row>
    <row r="173">
      <c r="A173" s="8">
        <v>172.0</v>
      </c>
      <c r="B173" s="9">
        <f>IFERROR(__xludf.DUMMYFUNCTION("""COMPUTED_VALUE"""),45776.43828555556)</f>
        <v>45776.43829</v>
      </c>
      <c r="C173" s="10" t="str">
        <f>IFERROR(__xludf.DUMMYFUNCTION("""COMPUTED_VALUE"""),"Asma Gul ")</f>
        <v>Asma Gul </v>
      </c>
      <c r="D173" s="10" t="str">
        <f>IFERROR(__xludf.DUMMYFUNCTION("""COMPUTED_VALUE"""),"03459308620")</f>
        <v>03459308620</v>
      </c>
      <c r="E173" s="10" t="str">
        <f>IFERROR(__xludf.DUMMYFUNCTION("""COMPUTED_VALUE"""),"Jamia Masjid Darbar Ismail Shah Bukhari Lahore ")</f>
        <v>Jamia Masjid Darbar Ismail Shah Bukhari Lahore </v>
      </c>
      <c r="F173" s="10" t="str">
        <f>IFERROR(__xludf.DUMMYFUNCTION("""COMPUTED_VALUE"""),"fevmy")</f>
        <v>fevmy</v>
      </c>
      <c r="G173" s="10" t="str">
        <f>IFERROR(__xludf.DUMMYFUNCTION("""COMPUTED_VALUE"""),"Yes")</f>
        <v>Yes</v>
      </c>
      <c r="H173" s="10">
        <f>IFERROR(__xludf.DUMMYFUNCTION("""COMPUTED_VALUE"""),6.0)</f>
        <v>6</v>
      </c>
      <c r="I173" s="10">
        <f>IFERROR(__xludf.DUMMYFUNCTION("""COMPUTED_VALUE"""),5.0)</f>
        <v>5</v>
      </c>
      <c r="J173" s="10">
        <f>IFERROR(__xludf.DUMMYFUNCTION("""COMPUTED_VALUE"""),7.0)</f>
        <v>7</v>
      </c>
      <c r="K173" s="10">
        <f>IFERROR(__xludf.DUMMYFUNCTION("""COMPUTED_VALUE"""),5.0)</f>
        <v>5</v>
      </c>
      <c r="L173" s="10">
        <f>IFERROR(__xludf.DUMMYFUNCTION("""COMPUTED_VALUE"""),7.0)</f>
        <v>7</v>
      </c>
      <c r="M173" s="10">
        <f>IFERROR(__xludf.DUMMYFUNCTION("""COMPUTED_VALUE"""),5.0)</f>
        <v>5</v>
      </c>
      <c r="N173" s="10">
        <f>IFERROR(__xludf.DUMMYFUNCTION("""COMPUTED_VALUE"""),9.0)</f>
        <v>9</v>
      </c>
      <c r="O173" s="10">
        <f>IFERROR(__xludf.DUMMYFUNCTION("""COMPUTED_VALUE"""),4.0)</f>
        <v>4</v>
      </c>
      <c r="P173" s="10">
        <f>IFERROR(__xludf.DUMMYFUNCTION("""COMPUTED_VALUE"""),7.0)</f>
        <v>7</v>
      </c>
      <c r="Q173" s="10" t="str">
        <f>IFERROR(__xludf.DUMMYFUNCTION("""COMPUTED_VALUE"""),"No")</f>
        <v>No</v>
      </c>
      <c r="R173" s="10" t="str">
        <f>IFERROR(__xludf.DUMMYFUNCTION("""COMPUTED_VALUE"""),"No")</f>
        <v>No</v>
      </c>
      <c r="S173" s="10" t="str">
        <f>IFERROR(__xludf.DUMMYFUNCTION("""COMPUTED_VALUE"""),"No")</f>
        <v>No</v>
      </c>
      <c r="T173" s="10">
        <f>IFERROR(__xludf.DUMMYFUNCTION("""COMPUTED_VALUE"""),8.0)</f>
        <v>8</v>
      </c>
      <c r="U173" s="10">
        <f>IFERROR(__xludf.DUMMYFUNCTION("""COMPUTED_VALUE"""),6.0)</f>
        <v>6</v>
      </c>
      <c r="V173" s="10" t="str">
        <f>IFERROR(__xludf.DUMMYFUNCTION("""COMPUTED_VALUE"""),"فلسطین کی جنگ میں عالم اسلام کا کردار")</f>
        <v>فلسطین کی جنگ میں عالم اسلام کا کردار</v>
      </c>
      <c r="W173" s="10" t="str">
        <f>IFERROR(__xludf.DUMMYFUNCTION("""COMPUTED_VALUE"""),"دشمن سے مقابلہ کرنے کی صلاحیتیں بتائی گئی ہیں فلسطین کے ساتھ عوام مسلمانوں کو کیسے ساتھ دینا چاہیے")</f>
        <v>دشمن سے مقابلہ کرنے کی صلاحیتیں بتائی گئی ہیں فلسطین کے ساتھ عوام مسلمانوں کو کیسے ساتھ دینا چاہیے</v>
      </c>
      <c r="X173" s="10">
        <f>IFERROR(__xludf.DUMMYFUNCTION("""COMPUTED_VALUE"""),6.0)</f>
        <v>6</v>
      </c>
      <c r="Y173" s="10">
        <f>IFERROR(__xludf.DUMMYFUNCTION("""COMPUTED_VALUE"""),9.0)</f>
        <v>9</v>
      </c>
      <c r="Z173" s="10">
        <f>IFERROR(__xludf.DUMMYFUNCTION("""COMPUTED_VALUE"""),7.0)</f>
        <v>7</v>
      </c>
      <c r="AA173" s="10">
        <f>IFERROR(__xludf.DUMMYFUNCTION("""COMPUTED_VALUE"""),8.0)</f>
        <v>8</v>
      </c>
      <c r="AB173" s="10">
        <f>IFERROR(__xludf.DUMMYFUNCTION("""COMPUTED_VALUE"""),10.0)</f>
        <v>10</v>
      </c>
      <c r="AC173" s="10">
        <f>IFERROR(__xludf.DUMMYFUNCTION("""COMPUTED_VALUE"""),5.0)</f>
        <v>5</v>
      </c>
      <c r="AD173" s="10">
        <f>IFERROR(__xludf.DUMMYFUNCTION("""COMPUTED_VALUE"""),7.0)</f>
        <v>7</v>
      </c>
      <c r="AE173" s="10">
        <f>IFERROR(__xludf.DUMMYFUNCTION("""COMPUTED_VALUE"""),7.0)</f>
        <v>7</v>
      </c>
      <c r="AF173" s="10">
        <f>IFERROR(__xludf.DUMMYFUNCTION("""COMPUTED_VALUE"""),3.0)</f>
        <v>3</v>
      </c>
      <c r="AG173" s="10">
        <f>IFERROR(__xludf.DUMMYFUNCTION("""COMPUTED_VALUE"""),7.0)</f>
        <v>7</v>
      </c>
      <c r="AH173" s="10">
        <f>IFERROR(__xludf.DUMMYFUNCTION("""COMPUTED_VALUE"""),6.0)</f>
        <v>6</v>
      </c>
      <c r="AI173" s="10">
        <f>IFERROR(__xludf.DUMMYFUNCTION("""COMPUTED_VALUE"""),5.0)</f>
        <v>5</v>
      </c>
      <c r="AJ173" s="11" t="str">
        <f>IFERROR(__xludf.DUMMYFUNCTION("""COMPUTED_VALUE"""),"https://drive.google.com/open?id=14fqqW1DvWT0_vp1hhL8hFSMxBWc4Hm30")</f>
        <v>https://drive.google.com/open?id=14fqqW1DvWT0_vp1hhL8hFSMxBWc4Hm30</v>
      </c>
      <c r="AK173" s="12"/>
      <c r="AL173" s="12" t="str">
        <f>IFERROR(__xludf.DUMMYFUNCTION("""COMPUTED_VALUE"""),"Yes")</f>
        <v>Yes</v>
      </c>
      <c r="AM173" s="15">
        <f>IFERROR(__xludf.DUMMYFUNCTION("""COMPUTED_VALUE"""),0.8)</f>
        <v>0.8</v>
      </c>
      <c r="AN173" s="12" t="str">
        <f>IFERROR(__xludf.DUMMYFUNCTION("""COMPUTED_VALUE"""),"3rd week")</f>
        <v>3rd week</v>
      </c>
      <c r="AO173" s="13">
        <v>3.0</v>
      </c>
      <c r="AX173" s="13">
        <v>3.0</v>
      </c>
    </row>
    <row r="174">
      <c r="A174" s="8">
        <v>173.0</v>
      </c>
      <c r="B174" s="9">
        <f>IFERROR(__xludf.DUMMYFUNCTION("""COMPUTED_VALUE"""),45776.580537511574)</f>
        <v>45776.58054</v>
      </c>
      <c r="C174" s="10" t="str">
        <f>IFERROR(__xludf.DUMMYFUNCTION("""COMPUTED_VALUE"""),"Jamshaid Ali")</f>
        <v>Jamshaid Ali</v>
      </c>
      <c r="D174" s="10" t="str">
        <f>IFERROR(__xludf.DUMMYFUNCTION("""COMPUTED_VALUE"""),"03344036442")</f>
        <v>03344036442</v>
      </c>
      <c r="E174" s="10" t="str">
        <f>IFERROR(__xludf.DUMMYFUNCTION("""COMPUTED_VALUE"""),"Jamia Masjid auqaf wali session court kachary sheikhupura")</f>
        <v>Jamia Masjid auqaf wali session court kachary sheikhupura</v>
      </c>
      <c r="F174" s="10" t="str">
        <f>IFERROR(__xludf.DUMMYFUNCTION("""COMPUTED_VALUE"""),"DSZHX")</f>
        <v>DSZHX</v>
      </c>
      <c r="G174" s="10" t="str">
        <f>IFERROR(__xludf.DUMMYFUNCTION("""COMPUTED_VALUE"""),"No")</f>
        <v>No</v>
      </c>
      <c r="H174" s="10"/>
      <c r="I174" s="10"/>
      <c r="J174" s="10"/>
      <c r="K174" s="10">
        <f>IFERROR(__xludf.DUMMYFUNCTION("""COMPUTED_VALUE"""),0.0)</f>
        <v>0</v>
      </c>
      <c r="L174" s="10">
        <f>IFERROR(__xludf.DUMMYFUNCTION("""COMPUTED_VALUE"""),8.0)</f>
        <v>8</v>
      </c>
      <c r="M174" s="10">
        <f>IFERROR(__xludf.DUMMYFUNCTION("""COMPUTED_VALUE"""),0.0)</f>
        <v>0</v>
      </c>
      <c r="N174" s="10">
        <f>IFERROR(__xludf.DUMMYFUNCTION("""COMPUTED_VALUE"""),10.0)</f>
        <v>10</v>
      </c>
      <c r="O174" s="10">
        <f>IFERROR(__xludf.DUMMYFUNCTION("""COMPUTED_VALUE"""),0.0)</f>
        <v>0</v>
      </c>
      <c r="P174" s="10">
        <f>IFERROR(__xludf.DUMMYFUNCTION("""COMPUTED_VALUE"""),6.0)</f>
        <v>6</v>
      </c>
      <c r="Q174" s="10" t="str">
        <f>IFERROR(__xludf.DUMMYFUNCTION("""COMPUTED_VALUE"""),"No")</f>
        <v>No</v>
      </c>
      <c r="R174" s="10" t="str">
        <f>IFERROR(__xludf.DUMMYFUNCTION("""COMPUTED_VALUE"""),"Yes")</f>
        <v>Yes</v>
      </c>
      <c r="S174" s="10" t="str">
        <f>IFERROR(__xludf.DUMMYFUNCTION("""COMPUTED_VALUE"""),"No")</f>
        <v>No</v>
      </c>
      <c r="T174" s="10">
        <f>IFERROR(__xludf.DUMMYFUNCTION("""COMPUTED_VALUE"""),0.0)</f>
        <v>0</v>
      </c>
      <c r="U174" s="10">
        <f>IFERROR(__xludf.DUMMYFUNCTION("""COMPUTED_VALUE"""),0.0)</f>
        <v>0</v>
      </c>
      <c r="V174" s="10" t="str">
        <f>IFERROR(__xludf.DUMMYFUNCTION("""COMPUTED_VALUE"""),"Hamsaion ke Haqooq aur Safai nisf emaan")</f>
        <v>Hamsaion ke Haqooq aur Safai nisf emaan</v>
      </c>
      <c r="W174" s="10" t="str">
        <f>IFERROR(__xludf.DUMMYFUNCTION("""COMPUTED_VALUE"""),"Hamsaion k Haqooq ka khial rakhna chahay aur apnay ird gird ka mahole saaf rakhna chahiay")</f>
        <v>Hamsaion k Haqooq ka khial rakhna chahay aur apnay ird gird ka mahole saaf rakhna chahiay</v>
      </c>
      <c r="X174" s="10">
        <f>IFERROR(__xludf.DUMMYFUNCTION("""COMPUTED_VALUE"""),3.0)</f>
        <v>3</v>
      </c>
      <c r="Y174" s="10">
        <f>IFERROR(__xludf.DUMMYFUNCTION("""COMPUTED_VALUE"""),8.0)</f>
        <v>8</v>
      </c>
      <c r="Z174" s="10">
        <f>IFERROR(__xludf.DUMMYFUNCTION("""COMPUTED_VALUE"""),7.0)</f>
        <v>7</v>
      </c>
      <c r="AA174" s="10">
        <f>IFERROR(__xludf.DUMMYFUNCTION("""COMPUTED_VALUE"""),7.0)</f>
        <v>7</v>
      </c>
      <c r="AB174" s="10">
        <f>IFERROR(__xludf.DUMMYFUNCTION("""COMPUTED_VALUE"""),3.0)</f>
        <v>3</v>
      </c>
      <c r="AC174" s="10">
        <f>IFERROR(__xludf.DUMMYFUNCTION("""COMPUTED_VALUE"""),0.0)</f>
        <v>0</v>
      </c>
      <c r="AD174" s="10">
        <f>IFERROR(__xludf.DUMMYFUNCTION("""COMPUTED_VALUE"""),0.0)</f>
        <v>0</v>
      </c>
      <c r="AE174" s="10">
        <f>IFERROR(__xludf.DUMMYFUNCTION("""COMPUTED_VALUE"""),3.0)</f>
        <v>3</v>
      </c>
      <c r="AF174" s="10">
        <f>IFERROR(__xludf.DUMMYFUNCTION("""COMPUTED_VALUE"""),0.0)</f>
        <v>0</v>
      </c>
      <c r="AG174" s="10">
        <f>IFERROR(__xludf.DUMMYFUNCTION("""COMPUTED_VALUE"""),8.0)</f>
        <v>8</v>
      </c>
      <c r="AH174" s="10">
        <f>IFERROR(__xludf.DUMMYFUNCTION("""COMPUTED_VALUE"""),0.0)</f>
        <v>0</v>
      </c>
      <c r="AI174" s="10">
        <f>IFERROR(__xludf.DUMMYFUNCTION("""COMPUTED_VALUE"""),9.0)</f>
        <v>9</v>
      </c>
      <c r="AJ174" s="11" t="str">
        <f>IFERROR(__xludf.DUMMYFUNCTION("""COMPUTED_VALUE"""),"https://drive.google.com/open?id=17jNVVuJwT9wwvKbgMFNKyfmTEgmBw0Ih")</f>
        <v>https://drive.google.com/open?id=17jNVVuJwT9wwvKbgMFNKyfmTEgmBw0Ih</v>
      </c>
      <c r="AK174" s="12"/>
      <c r="AL174" s="12"/>
      <c r="AM174" s="12"/>
      <c r="AN174" s="12" t="str">
        <f>IFERROR(__xludf.DUMMYFUNCTION("""COMPUTED_VALUE"""),"1st week")</f>
        <v>1st week</v>
      </c>
      <c r="AO174" s="13">
        <v>1.0</v>
      </c>
      <c r="AX174" s="13">
        <v>1.0</v>
      </c>
    </row>
    <row r="175">
      <c r="A175" s="8">
        <v>174.0</v>
      </c>
      <c r="B175" s="9">
        <f>IFERROR(__xludf.DUMMYFUNCTION("""COMPUTED_VALUE"""),45776.613071886575)</f>
        <v>45776.61307</v>
      </c>
      <c r="C175" s="10" t="str">
        <f>IFERROR(__xludf.DUMMYFUNCTION("""COMPUTED_VALUE"""),"Muqaddas ")</f>
        <v>Muqaddas </v>
      </c>
      <c r="D175" s="10" t="str">
        <f>IFERROR(__xludf.DUMMYFUNCTION("""COMPUTED_VALUE"""),"03075314147")</f>
        <v>03075314147</v>
      </c>
      <c r="E175" s="10" t="str">
        <f>IFERROR(__xludf.DUMMYFUNCTION("""COMPUTED_VALUE"""),"Jamia masjid Aali Nooh Coat Lahore")</f>
        <v>Jamia masjid Aali Nooh Coat Lahore</v>
      </c>
      <c r="F175" s="10" t="str">
        <f>IFERROR(__xludf.DUMMYFUNCTION("""COMPUTED_VALUE"""),"Pwwfr")</f>
        <v>Pwwfr</v>
      </c>
      <c r="G175" s="10" t="str">
        <f>IFERROR(__xludf.DUMMYFUNCTION("""COMPUTED_VALUE"""),"Yes")</f>
        <v>Yes</v>
      </c>
      <c r="H175" s="10">
        <f>IFERROR(__xludf.DUMMYFUNCTION("""COMPUTED_VALUE"""),0.0)</f>
        <v>0</v>
      </c>
      <c r="I175" s="10">
        <f>IFERROR(__xludf.DUMMYFUNCTION("""COMPUTED_VALUE"""),8.0)</f>
        <v>8</v>
      </c>
      <c r="J175" s="10">
        <f>IFERROR(__xludf.DUMMYFUNCTION("""COMPUTED_VALUE"""),0.0)</f>
        <v>0</v>
      </c>
      <c r="K175" s="10">
        <f>IFERROR(__xludf.DUMMYFUNCTION("""COMPUTED_VALUE"""),2.0)</f>
        <v>2</v>
      </c>
      <c r="L175" s="10">
        <f>IFERROR(__xludf.DUMMYFUNCTION("""COMPUTED_VALUE"""),0.0)</f>
        <v>0</v>
      </c>
      <c r="M175" s="10">
        <f>IFERROR(__xludf.DUMMYFUNCTION("""COMPUTED_VALUE"""),0.0)</f>
        <v>0</v>
      </c>
      <c r="N175" s="10">
        <f>IFERROR(__xludf.DUMMYFUNCTION("""COMPUTED_VALUE"""),0.0)</f>
        <v>0</v>
      </c>
      <c r="O175" s="10">
        <f>IFERROR(__xludf.DUMMYFUNCTION("""COMPUTED_VALUE"""),0.0)</f>
        <v>0</v>
      </c>
      <c r="P175" s="10">
        <f>IFERROR(__xludf.DUMMYFUNCTION("""COMPUTED_VALUE"""),0.0)</f>
        <v>0</v>
      </c>
      <c r="Q175" s="10" t="str">
        <f>IFERROR(__xludf.DUMMYFUNCTION("""COMPUTED_VALUE"""),"No")</f>
        <v>No</v>
      </c>
      <c r="R175" s="10" t="str">
        <f>IFERROR(__xludf.DUMMYFUNCTION("""COMPUTED_VALUE"""),"No")</f>
        <v>No</v>
      </c>
      <c r="S175" s="10" t="str">
        <f>IFERROR(__xludf.DUMMYFUNCTION("""COMPUTED_VALUE"""),"No")</f>
        <v>No</v>
      </c>
      <c r="T175" s="10">
        <f>IFERROR(__xludf.DUMMYFUNCTION("""COMPUTED_VALUE"""),0.0)</f>
        <v>0</v>
      </c>
      <c r="U175" s="10">
        <f>IFERROR(__xludf.DUMMYFUNCTION("""COMPUTED_VALUE"""),0.0)</f>
        <v>0</v>
      </c>
      <c r="V175" s="10" t="str">
        <f>IFERROR(__xludf.DUMMYFUNCTION("""COMPUTED_VALUE"""),"صلح رحمی، مسلمان اپس میں بھائی بھائی")</f>
        <v>صلح رحمی، مسلمان اپس میں بھائی بھائی</v>
      </c>
      <c r="W175" s="10" t="str">
        <f>IFERROR(__xludf.DUMMYFUNCTION("""COMPUTED_VALUE"""),"مومنین اپس میں بھائی بھائی ہیں اگر مسلمانوں میں لڑائی ہو تو صلح کروانی چاہیے بھائی چارے میں فرق ا رہا ہو تو صلح کروانے کے لیے جھگڑا ختم کروا رہا ہے سر یہ جو مسلمان اپنے بھائی کی حاجت پوری کرتا ہے اللہ اس کی حاجت پوری کرتا")</f>
        <v>مومنین اپس میں بھائی بھائی ہیں اگر مسلمانوں میں لڑائی ہو تو صلح کروانی چاہیے بھائی چارے میں فرق ا رہا ہو تو صلح کروانے کے لیے جھگڑا ختم کروا رہا ہے سر یہ جو مسلمان اپنے بھائی کی حاجت پوری کرتا ہے اللہ اس کی حاجت پوری کرتا</v>
      </c>
      <c r="X175" s="10">
        <f>IFERROR(__xludf.DUMMYFUNCTION("""COMPUTED_VALUE"""),0.0)</f>
        <v>0</v>
      </c>
      <c r="Y175" s="10">
        <f>IFERROR(__xludf.DUMMYFUNCTION("""COMPUTED_VALUE"""),10.0)</f>
        <v>10</v>
      </c>
      <c r="Z175" s="10">
        <f>IFERROR(__xludf.DUMMYFUNCTION("""COMPUTED_VALUE"""),5.0)</f>
        <v>5</v>
      </c>
      <c r="AA175" s="10">
        <f>IFERROR(__xludf.DUMMYFUNCTION("""COMPUTED_VALUE"""),4.0)</f>
        <v>4</v>
      </c>
      <c r="AB175" s="10">
        <f>IFERROR(__xludf.DUMMYFUNCTION("""COMPUTED_VALUE"""),0.0)</f>
        <v>0</v>
      </c>
      <c r="AC175" s="10">
        <f>IFERROR(__xludf.DUMMYFUNCTION("""COMPUTED_VALUE"""),0.0)</f>
        <v>0</v>
      </c>
      <c r="AD175" s="10">
        <f>IFERROR(__xludf.DUMMYFUNCTION("""COMPUTED_VALUE"""),0.0)</f>
        <v>0</v>
      </c>
      <c r="AE175" s="10">
        <f>IFERROR(__xludf.DUMMYFUNCTION("""COMPUTED_VALUE"""),0.0)</f>
        <v>0</v>
      </c>
      <c r="AF175" s="10">
        <f>IFERROR(__xludf.DUMMYFUNCTION("""COMPUTED_VALUE"""),3.0)</f>
        <v>3</v>
      </c>
      <c r="AG175" s="10">
        <f>IFERROR(__xludf.DUMMYFUNCTION("""COMPUTED_VALUE"""),7.0)</f>
        <v>7</v>
      </c>
      <c r="AH175" s="10">
        <f>IFERROR(__xludf.DUMMYFUNCTION("""COMPUTED_VALUE"""),0.0)</f>
        <v>0</v>
      </c>
      <c r="AI175" s="10">
        <f>IFERROR(__xludf.DUMMYFUNCTION("""COMPUTED_VALUE"""),4.0)</f>
        <v>4</v>
      </c>
      <c r="AJ175" s="11" t="str">
        <f>IFERROR(__xludf.DUMMYFUNCTION("""COMPUTED_VALUE"""),"https://drive.google.com/open?id=1AZSMpjZYXXFZczhGihWWiRVGMpJWoJR7")</f>
        <v>https://drive.google.com/open?id=1AZSMpjZYXXFZczhGihWWiRVGMpJWoJR7</v>
      </c>
      <c r="AK175" s="12" t="str">
        <f>IFERROR(__xludf.DUMMYFUNCTION("""COMPUTED_VALUE"""),"No")</f>
        <v>No</v>
      </c>
      <c r="AL175" s="12" t="str">
        <f>IFERROR(__xludf.DUMMYFUNCTION("""COMPUTED_VALUE"""),"Yes")</f>
        <v>Yes</v>
      </c>
      <c r="AM175" s="15">
        <f>IFERROR(__xludf.DUMMYFUNCTION("""COMPUTED_VALUE"""),0.0)</f>
        <v>0</v>
      </c>
      <c r="AN175" s="12" t="str">
        <f>IFERROR(__xludf.DUMMYFUNCTION("""COMPUTED_VALUE"""),"3rd week")</f>
        <v>3rd week</v>
      </c>
      <c r="AO175" s="13" t="s">
        <v>9</v>
      </c>
      <c r="AX175" s="13">
        <v>3.0</v>
      </c>
    </row>
    <row r="176">
      <c r="A176" s="8">
        <v>175.0</v>
      </c>
      <c r="B176" s="9">
        <f>IFERROR(__xludf.DUMMYFUNCTION("""COMPUTED_VALUE"""),45776.66684929398)</f>
        <v>45776.66685</v>
      </c>
      <c r="C176" s="10" t="str">
        <f>IFERROR(__xludf.DUMMYFUNCTION("""COMPUTED_VALUE"""),"Haider Ali")</f>
        <v>Haider Ali</v>
      </c>
      <c r="D176" s="10" t="str">
        <f>IFERROR(__xludf.DUMMYFUNCTION("""COMPUTED_VALUE"""),"03330031508")</f>
        <v>03330031508</v>
      </c>
      <c r="E176" s="10" t="str">
        <f>IFERROR(__xludf.DUMMYFUNCTION("""COMPUTED_VALUE"""),"Jamia masjed Mirza ourkaan Sheikupura ")</f>
        <v>Jamia masjed Mirza ourkaan Sheikupura </v>
      </c>
      <c r="F176" s="10" t="str">
        <f>IFERROR(__xludf.DUMMYFUNCTION("""COMPUTED_VALUE"""),"Hnzog")</f>
        <v>Hnzog</v>
      </c>
      <c r="G176" s="10" t="str">
        <f>IFERROR(__xludf.DUMMYFUNCTION("""COMPUTED_VALUE"""),"No")</f>
        <v>No</v>
      </c>
      <c r="H176" s="10"/>
      <c r="I176" s="10"/>
      <c r="J176" s="10"/>
      <c r="K176" s="10">
        <f>IFERROR(__xludf.DUMMYFUNCTION("""COMPUTED_VALUE"""),6.0)</f>
        <v>6</v>
      </c>
      <c r="L176" s="10">
        <f>IFERROR(__xludf.DUMMYFUNCTION("""COMPUTED_VALUE"""),8.0)</f>
        <v>8</v>
      </c>
      <c r="M176" s="10">
        <f>IFERROR(__xludf.DUMMYFUNCTION("""COMPUTED_VALUE"""),8.0)</f>
        <v>8</v>
      </c>
      <c r="N176" s="10">
        <f>IFERROR(__xludf.DUMMYFUNCTION("""COMPUTED_VALUE"""),7.0)</f>
        <v>7</v>
      </c>
      <c r="O176" s="10">
        <f>IFERROR(__xludf.DUMMYFUNCTION("""COMPUTED_VALUE"""),2.0)</f>
        <v>2</v>
      </c>
      <c r="P176" s="10">
        <f>IFERROR(__xludf.DUMMYFUNCTION("""COMPUTED_VALUE"""),7.0)</f>
        <v>7</v>
      </c>
      <c r="Q176" s="10" t="str">
        <f>IFERROR(__xludf.DUMMYFUNCTION("""COMPUTED_VALUE"""),"No")</f>
        <v>No</v>
      </c>
      <c r="R176" s="10" t="str">
        <f>IFERROR(__xludf.DUMMYFUNCTION("""COMPUTED_VALUE"""),"No")</f>
        <v>No</v>
      </c>
      <c r="S176" s="10" t="str">
        <f>IFERROR(__xludf.DUMMYFUNCTION("""COMPUTED_VALUE"""),"No")</f>
        <v>No</v>
      </c>
      <c r="T176" s="10">
        <f>IFERROR(__xludf.DUMMYFUNCTION("""COMPUTED_VALUE"""),0.0)</f>
        <v>0</v>
      </c>
      <c r="U176" s="10">
        <f>IFERROR(__xludf.DUMMYFUNCTION("""COMPUTED_VALUE"""),5.0)</f>
        <v>5</v>
      </c>
      <c r="V176" s="10" t="str">
        <f>IFERROR(__xludf.DUMMYFUNCTION("""COMPUTED_VALUE"""),"Waldain KY hakook")</f>
        <v>Waldain KY hakook</v>
      </c>
      <c r="W176" s="10" t="str">
        <f>IFERROR(__xludf.DUMMYFUNCTION("""COMPUTED_VALUE"""),"Waldain ki kadimt")</f>
        <v>Waldain ki kadimt</v>
      </c>
      <c r="X176" s="10">
        <f>IFERROR(__xludf.DUMMYFUNCTION("""COMPUTED_VALUE"""),4.0)</f>
        <v>4</v>
      </c>
      <c r="Y176" s="10">
        <f>IFERROR(__xludf.DUMMYFUNCTION("""COMPUTED_VALUE"""),7.0)</f>
        <v>7</v>
      </c>
      <c r="Z176" s="10">
        <f>IFERROR(__xludf.DUMMYFUNCTION("""COMPUTED_VALUE"""),0.0)</f>
        <v>0</v>
      </c>
      <c r="AA176" s="10">
        <f>IFERROR(__xludf.DUMMYFUNCTION("""COMPUTED_VALUE"""),5.0)</f>
        <v>5</v>
      </c>
      <c r="AB176" s="10">
        <f>IFERROR(__xludf.DUMMYFUNCTION("""COMPUTED_VALUE"""),0.0)</f>
        <v>0</v>
      </c>
      <c r="AC176" s="10">
        <f>IFERROR(__xludf.DUMMYFUNCTION("""COMPUTED_VALUE"""),0.0)</f>
        <v>0</v>
      </c>
      <c r="AD176" s="10">
        <f>IFERROR(__xludf.DUMMYFUNCTION("""COMPUTED_VALUE"""),0.0)</f>
        <v>0</v>
      </c>
      <c r="AE176" s="10">
        <f>IFERROR(__xludf.DUMMYFUNCTION("""COMPUTED_VALUE"""),0.0)</f>
        <v>0</v>
      </c>
      <c r="AF176" s="10">
        <f>IFERROR(__xludf.DUMMYFUNCTION("""COMPUTED_VALUE"""),7.0)</f>
        <v>7</v>
      </c>
      <c r="AG176" s="10">
        <f>IFERROR(__xludf.DUMMYFUNCTION("""COMPUTED_VALUE"""),6.0)</f>
        <v>6</v>
      </c>
      <c r="AH176" s="10">
        <f>IFERROR(__xludf.DUMMYFUNCTION("""COMPUTED_VALUE"""),0.0)</f>
        <v>0</v>
      </c>
      <c r="AI176" s="10">
        <f>IFERROR(__xludf.DUMMYFUNCTION("""COMPUTED_VALUE"""),7.0)</f>
        <v>7</v>
      </c>
      <c r="AJ176" s="11" t="str">
        <f>IFERROR(__xludf.DUMMYFUNCTION("""COMPUTED_VALUE"""),"https://drive.google.com/open?id=1jhh8s3AufBVVIYIOH7ZF19kVviqg08ahfviy9xaKqQ8")</f>
        <v>https://drive.google.com/open?id=1jhh8s3AufBVVIYIOH7ZF19kVviqg08ahfviy9xaKqQ8</v>
      </c>
      <c r="AK176" s="12" t="str">
        <f>IFERROR(__xludf.DUMMYFUNCTION("""COMPUTED_VALUE"""),"No")</f>
        <v>No</v>
      </c>
      <c r="AL176" s="12"/>
      <c r="AM176" s="12"/>
      <c r="AN176" s="12" t="str">
        <f>IFERROR(__xludf.DUMMYFUNCTION("""COMPUTED_VALUE"""),"1st week")</f>
        <v>1st week</v>
      </c>
      <c r="AO176" s="13">
        <v>1.0</v>
      </c>
      <c r="AX176" s="13">
        <v>1.0</v>
      </c>
    </row>
    <row r="177">
      <c r="A177" s="8">
        <v>176.0</v>
      </c>
      <c r="B177" s="9">
        <f>IFERROR(__xludf.DUMMYFUNCTION("""COMPUTED_VALUE"""),45776.668417673616)</f>
        <v>45776.66842</v>
      </c>
      <c r="C177" s="10" t="str">
        <f>IFERROR(__xludf.DUMMYFUNCTION("""COMPUTED_VALUE"""),"Sulamanasghar")</f>
        <v>Sulamanasghar</v>
      </c>
      <c r="D177" s="10" t="str">
        <f>IFERROR(__xludf.DUMMYFUNCTION("""COMPUTED_VALUE"""),"03126136070")</f>
        <v>03126136070</v>
      </c>
      <c r="E177" s="10" t="str">
        <f>IFERROR(__xludf.DUMMYFUNCTION("""COMPUTED_VALUE"""),"جامع مسجد جانگیر گجرات")</f>
        <v>جامع مسجد جانگیر گجرات</v>
      </c>
      <c r="F177" s="10" t="str">
        <f>IFERROR(__xludf.DUMMYFUNCTION("""COMPUTED_VALUE"""),"CNZTW")</f>
        <v>CNZTW</v>
      </c>
      <c r="G177" s="10" t="str">
        <f>IFERROR(__xludf.DUMMYFUNCTION("""COMPUTED_VALUE"""),"Yes")</f>
        <v>Yes</v>
      </c>
      <c r="H177" s="10">
        <f>IFERROR(__xludf.DUMMYFUNCTION("""COMPUTED_VALUE"""),9.0)</f>
        <v>9</v>
      </c>
      <c r="I177" s="10">
        <f>IFERROR(__xludf.DUMMYFUNCTION("""COMPUTED_VALUE"""),6.0)</f>
        <v>6</v>
      </c>
      <c r="J177" s="10">
        <f>IFERROR(__xludf.DUMMYFUNCTION("""COMPUTED_VALUE"""),8.0)</f>
        <v>8</v>
      </c>
      <c r="K177" s="10">
        <f>IFERROR(__xludf.DUMMYFUNCTION("""COMPUTED_VALUE"""),1.0)</f>
        <v>1</v>
      </c>
      <c r="L177" s="10">
        <f>IFERROR(__xludf.DUMMYFUNCTION("""COMPUTED_VALUE"""),9.0)</f>
        <v>9</v>
      </c>
      <c r="M177" s="10">
        <f>IFERROR(__xludf.DUMMYFUNCTION("""COMPUTED_VALUE"""),1.0)</f>
        <v>1</v>
      </c>
      <c r="N177" s="10">
        <f>IFERROR(__xludf.DUMMYFUNCTION("""COMPUTED_VALUE"""),8.0)</f>
        <v>8</v>
      </c>
      <c r="O177" s="10">
        <f>IFERROR(__xludf.DUMMYFUNCTION("""COMPUTED_VALUE"""),0.0)</f>
        <v>0</v>
      </c>
      <c r="P177" s="10">
        <f>IFERROR(__xludf.DUMMYFUNCTION("""COMPUTED_VALUE"""),3.0)</f>
        <v>3</v>
      </c>
      <c r="Q177" s="10" t="str">
        <f>IFERROR(__xludf.DUMMYFUNCTION("""COMPUTED_VALUE"""),"No")</f>
        <v>No</v>
      </c>
      <c r="R177" s="10" t="str">
        <f>IFERROR(__xludf.DUMMYFUNCTION("""COMPUTED_VALUE"""),"Yes")</f>
        <v>Yes</v>
      </c>
      <c r="S177" s="10" t="str">
        <f>IFERROR(__xludf.DUMMYFUNCTION("""COMPUTED_VALUE"""),"No")</f>
        <v>No</v>
      </c>
      <c r="T177" s="10">
        <f>IFERROR(__xludf.DUMMYFUNCTION("""COMPUTED_VALUE"""),0.0)</f>
        <v>0</v>
      </c>
      <c r="U177" s="10">
        <f>IFERROR(__xludf.DUMMYFUNCTION("""COMPUTED_VALUE"""),0.0)</f>
        <v>0</v>
      </c>
      <c r="V177" s="10" t="str">
        <f>IFERROR(__xludf.DUMMYFUNCTION("""COMPUTED_VALUE"""),"پڑوسی ")</f>
        <v>پڑوسی </v>
      </c>
      <c r="W177" s="10" t="str">
        <f>IFERROR(__xludf.DUMMYFUNCTION("""COMPUTED_VALUE"""),"حقوق اللہ حقوق العباد ہمسائیوں کے حقوق اور صفائی پر بات ہوئی")</f>
        <v>حقوق اللہ حقوق العباد ہمسائیوں کے حقوق اور صفائی پر بات ہوئی</v>
      </c>
      <c r="X177" s="10">
        <f>IFERROR(__xludf.DUMMYFUNCTION("""COMPUTED_VALUE"""),3.0)</f>
        <v>3</v>
      </c>
      <c r="Y177" s="10">
        <f>IFERROR(__xludf.DUMMYFUNCTION("""COMPUTED_VALUE"""),8.0)</f>
        <v>8</v>
      </c>
      <c r="Z177" s="10">
        <f>IFERROR(__xludf.DUMMYFUNCTION("""COMPUTED_VALUE"""),4.0)</f>
        <v>4</v>
      </c>
      <c r="AA177" s="10">
        <f>IFERROR(__xludf.DUMMYFUNCTION("""COMPUTED_VALUE"""),10.0)</f>
        <v>10</v>
      </c>
      <c r="AB177" s="10">
        <f>IFERROR(__xludf.DUMMYFUNCTION("""COMPUTED_VALUE"""),1.0)</f>
        <v>1</v>
      </c>
      <c r="AC177" s="10">
        <f>IFERROR(__xludf.DUMMYFUNCTION("""COMPUTED_VALUE"""),0.0)</f>
        <v>0</v>
      </c>
      <c r="AD177" s="10">
        <f>IFERROR(__xludf.DUMMYFUNCTION("""COMPUTED_VALUE"""),0.0)</f>
        <v>0</v>
      </c>
      <c r="AE177" s="10">
        <f>IFERROR(__xludf.DUMMYFUNCTION("""COMPUTED_VALUE"""),4.0)</f>
        <v>4</v>
      </c>
      <c r="AF177" s="10">
        <f>IFERROR(__xludf.DUMMYFUNCTION("""COMPUTED_VALUE"""),9.0)</f>
        <v>9</v>
      </c>
      <c r="AG177" s="10">
        <f>IFERROR(__xludf.DUMMYFUNCTION("""COMPUTED_VALUE"""),9.0)</f>
        <v>9</v>
      </c>
      <c r="AH177" s="10">
        <f>IFERROR(__xludf.DUMMYFUNCTION("""COMPUTED_VALUE"""),0.0)</f>
        <v>0</v>
      </c>
      <c r="AI177" s="10">
        <f>IFERROR(__xludf.DUMMYFUNCTION("""COMPUTED_VALUE"""),8.0)</f>
        <v>8</v>
      </c>
      <c r="AJ177" s="11" t="str">
        <f>IFERROR(__xludf.DUMMYFUNCTION("""COMPUTED_VALUE"""),"https://drive.google.com/open?id=1F2z5iQSVd-qKjCJxrDnmzdYbfbZYhKWV")</f>
        <v>https://drive.google.com/open?id=1F2z5iQSVd-qKjCJxrDnmzdYbfbZYhKWV</v>
      </c>
      <c r="AK177" s="12"/>
      <c r="AL177" s="12" t="str">
        <f>IFERROR(__xludf.DUMMYFUNCTION("""COMPUTED_VALUE"""),"Yes")</f>
        <v>Yes</v>
      </c>
      <c r="AM177" s="15">
        <f>IFERROR(__xludf.DUMMYFUNCTION("""COMPUTED_VALUE"""),0.9)</f>
        <v>0.9</v>
      </c>
      <c r="AN177" s="12" t="str">
        <f>IFERROR(__xludf.DUMMYFUNCTION("""COMPUTED_VALUE"""),"1st week")</f>
        <v>1st week</v>
      </c>
      <c r="AO177" s="13">
        <v>1.0</v>
      </c>
      <c r="AX177" s="13"/>
    </row>
    <row r="178">
      <c r="A178" s="8">
        <v>177.0</v>
      </c>
      <c r="B178" s="9">
        <f>IFERROR(__xludf.DUMMYFUNCTION("""COMPUTED_VALUE"""),45776.67025837963)</f>
        <v>45776.67026</v>
      </c>
      <c r="C178" s="10" t="str">
        <f>IFERROR(__xludf.DUMMYFUNCTION("""COMPUTED_VALUE"""),"Haider ali")</f>
        <v>Haider ali</v>
      </c>
      <c r="D178" s="10" t="str">
        <f>IFERROR(__xludf.DUMMYFUNCTION("""COMPUTED_VALUE"""),"03330031508")</f>
        <v>03330031508</v>
      </c>
      <c r="E178" s="10" t="str">
        <f>IFERROR(__xludf.DUMMYFUNCTION("""COMPUTED_VALUE"""),"Jamai masjed Mirza ourkaan Sheikupura ")</f>
        <v>Jamai masjed Mirza ourkaan Sheikupura </v>
      </c>
      <c r="F178" s="10" t="str">
        <f>IFERROR(__xludf.DUMMYFUNCTION("""COMPUTED_VALUE"""),"Hnzog")</f>
        <v>Hnzog</v>
      </c>
      <c r="G178" s="10" t="str">
        <f>IFERROR(__xludf.DUMMYFUNCTION("""COMPUTED_VALUE"""),"No")</f>
        <v>No</v>
      </c>
      <c r="H178" s="10"/>
      <c r="I178" s="10"/>
      <c r="J178" s="10"/>
      <c r="K178" s="10">
        <f>IFERROR(__xludf.DUMMYFUNCTION("""COMPUTED_VALUE"""),0.0)</f>
        <v>0</v>
      </c>
      <c r="L178" s="10">
        <f>IFERROR(__xludf.DUMMYFUNCTION("""COMPUTED_VALUE"""),0.0)</f>
        <v>0</v>
      </c>
      <c r="M178" s="10">
        <f>IFERROR(__xludf.DUMMYFUNCTION("""COMPUTED_VALUE"""),0.0)</f>
        <v>0</v>
      </c>
      <c r="N178" s="10">
        <f>IFERROR(__xludf.DUMMYFUNCTION("""COMPUTED_VALUE"""),4.0)</f>
        <v>4</v>
      </c>
      <c r="O178" s="10">
        <f>IFERROR(__xludf.DUMMYFUNCTION("""COMPUTED_VALUE"""),0.0)</f>
        <v>0</v>
      </c>
      <c r="P178" s="10">
        <f>IFERROR(__xludf.DUMMYFUNCTION("""COMPUTED_VALUE"""),5.0)</f>
        <v>5</v>
      </c>
      <c r="Q178" s="10" t="str">
        <f>IFERROR(__xludf.DUMMYFUNCTION("""COMPUTED_VALUE"""),"No")</f>
        <v>No</v>
      </c>
      <c r="R178" s="10" t="str">
        <f>IFERROR(__xludf.DUMMYFUNCTION("""COMPUTED_VALUE"""),"No")</f>
        <v>No</v>
      </c>
      <c r="S178" s="10" t="str">
        <f>IFERROR(__xludf.DUMMYFUNCTION("""COMPUTED_VALUE"""),"No")</f>
        <v>No</v>
      </c>
      <c r="T178" s="10">
        <f>IFERROR(__xludf.DUMMYFUNCTION("""COMPUTED_VALUE"""),0.0)</f>
        <v>0</v>
      </c>
      <c r="U178" s="10">
        <f>IFERROR(__xludf.DUMMYFUNCTION("""COMPUTED_VALUE"""),7.0)</f>
        <v>7</v>
      </c>
      <c r="V178" s="10" t="str">
        <f>IFERROR(__xludf.DUMMYFUNCTION("""COMPUTED_VALUE"""),"Hamsya KY hakook or Sood lain dain ")</f>
        <v>Hamsya KY hakook or Sood lain dain </v>
      </c>
      <c r="W178" s="10" t="str">
        <f>IFERROR(__xludf.DUMMYFUNCTION("""COMPUTED_VALUE"""),"Sood ni Lena chaya karz ly to wapis krain Sood KY bgair ")</f>
        <v>Sood ni Lena chaya karz ly to wapis krain Sood KY bgair </v>
      </c>
      <c r="X178" s="10">
        <f>IFERROR(__xludf.DUMMYFUNCTION("""COMPUTED_VALUE"""),8.0)</f>
        <v>8</v>
      </c>
      <c r="Y178" s="10">
        <f>IFERROR(__xludf.DUMMYFUNCTION("""COMPUTED_VALUE"""),7.0)</f>
        <v>7</v>
      </c>
      <c r="Z178" s="10">
        <f>IFERROR(__xludf.DUMMYFUNCTION("""COMPUTED_VALUE"""),3.0)</f>
        <v>3</v>
      </c>
      <c r="AA178" s="10">
        <f>IFERROR(__xludf.DUMMYFUNCTION("""COMPUTED_VALUE"""),0.0)</f>
        <v>0</v>
      </c>
      <c r="AB178" s="10">
        <f>IFERROR(__xludf.DUMMYFUNCTION("""COMPUTED_VALUE"""),0.0)</f>
        <v>0</v>
      </c>
      <c r="AC178" s="10">
        <f>IFERROR(__xludf.DUMMYFUNCTION("""COMPUTED_VALUE"""),0.0)</f>
        <v>0</v>
      </c>
      <c r="AD178" s="10">
        <f>IFERROR(__xludf.DUMMYFUNCTION("""COMPUTED_VALUE"""),0.0)</f>
        <v>0</v>
      </c>
      <c r="AE178" s="10">
        <f>IFERROR(__xludf.DUMMYFUNCTION("""COMPUTED_VALUE"""),0.0)</f>
        <v>0</v>
      </c>
      <c r="AF178" s="10">
        <f>IFERROR(__xludf.DUMMYFUNCTION("""COMPUTED_VALUE"""),10.0)</f>
        <v>10</v>
      </c>
      <c r="AG178" s="10">
        <f>IFERROR(__xludf.DUMMYFUNCTION("""COMPUTED_VALUE"""),10.0)</f>
        <v>10</v>
      </c>
      <c r="AH178" s="10">
        <f>IFERROR(__xludf.DUMMYFUNCTION("""COMPUTED_VALUE"""),0.0)</f>
        <v>0</v>
      </c>
      <c r="AI178" s="10">
        <f>IFERROR(__xludf.DUMMYFUNCTION("""COMPUTED_VALUE"""),10.0)</f>
        <v>10</v>
      </c>
      <c r="AJ178" s="11" t="str">
        <f>IFERROR(__xludf.DUMMYFUNCTION("""COMPUTED_VALUE"""),"https://drive.google.com/open?id=1LLcUDDeuWE70SUpPwg4kMBONLhvrCtEG0vTm5tA1PXo")</f>
        <v>https://drive.google.com/open?id=1LLcUDDeuWE70SUpPwg4kMBONLhvrCtEG0vTm5tA1PXo</v>
      </c>
      <c r="AK178" s="12"/>
      <c r="AL178" s="12"/>
      <c r="AM178" s="12"/>
      <c r="AN178" s="12" t="str">
        <f>IFERROR(__xludf.DUMMYFUNCTION("""COMPUTED_VALUE"""),"2nd week")</f>
        <v>2nd week</v>
      </c>
      <c r="AO178" s="13">
        <v>3.0</v>
      </c>
      <c r="AX178" s="13"/>
    </row>
    <row r="179">
      <c r="A179" s="8">
        <v>178.0</v>
      </c>
      <c r="B179" s="9">
        <f>IFERROR(__xludf.DUMMYFUNCTION("""COMPUTED_VALUE"""),45776.92372119213)</f>
        <v>45776.92372</v>
      </c>
      <c r="C179" s="10" t="str">
        <f>IFERROR(__xludf.DUMMYFUNCTION("""COMPUTED_VALUE"""),"Mohsin Raza ")</f>
        <v>Mohsin Raza </v>
      </c>
      <c r="D179" s="10" t="str">
        <f>IFERROR(__xludf.DUMMYFUNCTION("""COMPUTED_VALUE"""),"03014497860")</f>
        <v>03014497860</v>
      </c>
      <c r="E179" s="10" t="str">
        <f>IFERROR(__xludf.DUMMYFUNCTION("""COMPUTED_VALUE"""),"Imam bargah kalan kacheri sheikhupura ")</f>
        <v>Imam bargah kalan kacheri sheikhupura </v>
      </c>
      <c r="F179" s="10" t="str">
        <f>IFERROR(__xludf.DUMMYFUNCTION("""COMPUTED_VALUE"""),"UPUVS")</f>
        <v>UPUVS</v>
      </c>
      <c r="G179" s="10" t="str">
        <f>IFERROR(__xludf.DUMMYFUNCTION("""COMPUTED_VALUE"""),"Yes")</f>
        <v>Yes</v>
      </c>
      <c r="H179" s="10">
        <f>IFERROR(__xludf.DUMMYFUNCTION("""COMPUTED_VALUE"""),8.0)</f>
        <v>8</v>
      </c>
      <c r="I179" s="10">
        <f>IFERROR(__xludf.DUMMYFUNCTION("""COMPUTED_VALUE"""),8.0)</f>
        <v>8</v>
      </c>
      <c r="J179" s="10">
        <f>IFERROR(__xludf.DUMMYFUNCTION("""COMPUTED_VALUE"""),9.0)</f>
        <v>9</v>
      </c>
      <c r="K179" s="10">
        <f>IFERROR(__xludf.DUMMYFUNCTION("""COMPUTED_VALUE"""),8.0)</f>
        <v>8</v>
      </c>
      <c r="L179" s="10">
        <f>IFERROR(__xludf.DUMMYFUNCTION("""COMPUTED_VALUE"""),8.0)</f>
        <v>8</v>
      </c>
      <c r="M179" s="10">
        <f>IFERROR(__xludf.DUMMYFUNCTION("""COMPUTED_VALUE"""),8.0)</f>
        <v>8</v>
      </c>
      <c r="N179" s="10">
        <f>IFERROR(__xludf.DUMMYFUNCTION("""COMPUTED_VALUE"""),7.0)</f>
        <v>7</v>
      </c>
      <c r="O179" s="10">
        <f>IFERROR(__xludf.DUMMYFUNCTION("""COMPUTED_VALUE"""),8.0)</f>
        <v>8</v>
      </c>
      <c r="P179" s="10">
        <f>IFERROR(__xludf.DUMMYFUNCTION("""COMPUTED_VALUE"""),9.0)</f>
        <v>9</v>
      </c>
      <c r="Q179" s="10" t="str">
        <f>IFERROR(__xludf.DUMMYFUNCTION("""COMPUTED_VALUE"""),"Yes")</f>
        <v>Yes</v>
      </c>
      <c r="R179" s="10" t="str">
        <f>IFERROR(__xludf.DUMMYFUNCTION("""COMPUTED_VALUE"""),"Yes")</f>
        <v>Yes</v>
      </c>
      <c r="S179" s="10" t="str">
        <f>IFERROR(__xludf.DUMMYFUNCTION("""COMPUTED_VALUE"""),"Yes")</f>
        <v>Yes</v>
      </c>
      <c r="T179" s="10">
        <f>IFERROR(__xludf.DUMMYFUNCTION("""COMPUTED_VALUE"""),0.0)</f>
        <v>0</v>
      </c>
      <c r="U179" s="10">
        <f>IFERROR(__xludf.DUMMYFUNCTION("""COMPUTED_VALUE"""),0.0)</f>
        <v>0</v>
      </c>
      <c r="V179" s="10" t="str">
        <f>IFERROR(__xludf.DUMMYFUNCTION("""COMPUTED_VALUE"""),"پڑوسیوں کے حقوق ")</f>
        <v>پڑوسیوں کے حقوق </v>
      </c>
      <c r="W179" s="10" t="str">
        <f>IFERROR(__xludf.DUMMYFUNCTION("""COMPUTED_VALUE"""),"پڑوسیوں کے حقوق اور عورتوں کے حقوق")</f>
        <v>پڑوسیوں کے حقوق اور عورتوں کے حقوق</v>
      </c>
      <c r="X179" s="10">
        <f>IFERROR(__xludf.DUMMYFUNCTION("""COMPUTED_VALUE"""),9.0)</f>
        <v>9</v>
      </c>
      <c r="Y179" s="10">
        <f>IFERROR(__xludf.DUMMYFUNCTION("""COMPUTED_VALUE"""),9.0)</f>
        <v>9</v>
      </c>
      <c r="Z179" s="10">
        <f>IFERROR(__xludf.DUMMYFUNCTION("""COMPUTED_VALUE"""),9.0)</f>
        <v>9</v>
      </c>
      <c r="AA179" s="10">
        <f>IFERROR(__xludf.DUMMYFUNCTION("""COMPUTED_VALUE"""),9.0)</f>
        <v>9</v>
      </c>
      <c r="AB179" s="10">
        <f>IFERROR(__xludf.DUMMYFUNCTION("""COMPUTED_VALUE"""),9.0)</f>
        <v>9</v>
      </c>
      <c r="AC179" s="10">
        <f>IFERROR(__xludf.DUMMYFUNCTION("""COMPUTED_VALUE"""),0.0)</f>
        <v>0</v>
      </c>
      <c r="AD179" s="10">
        <f>IFERROR(__xludf.DUMMYFUNCTION("""COMPUTED_VALUE"""),9.0)</f>
        <v>9</v>
      </c>
      <c r="AE179" s="10">
        <f>IFERROR(__xludf.DUMMYFUNCTION("""COMPUTED_VALUE"""),8.0)</f>
        <v>8</v>
      </c>
      <c r="AF179" s="10">
        <f>IFERROR(__xludf.DUMMYFUNCTION("""COMPUTED_VALUE"""),9.0)</f>
        <v>9</v>
      </c>
      <c r="AG179" s="10">
        <f>IFERROR(__xludf.DUMMYFUNCTION("""COMPUTED_VALUE"""),10.0)</f>
        <v>10</v>
      </c>
      <c r="AH179" s="10">
        <f>IFERROR(__xludf.DUMMYFUNCTION("""COMPUTED_VALUE"""),0.0)</f>
        <v>0</v>
      </c>
      <c r="AI179" s="10">
        <f>IFERROR(__xludf.DUMMYFUNCTION("""COMPUTED_VALUE"""),10.0)</f>
        <v>10</v>
      </c>
      <c r="AJ179" s="11" t="str">
        <f>IFERROR(__xludf.DUMMYFUNCTION("""COMPUTED_VALUE"""),"https://drive.google.com/open?id=1FeknjztnM9Md5u60mT_Zqs9kG1wQnZiK")</f>
        <v>https://drive.google.com/open?id=1FeknjztnM9Md5u60mT_Zqs9kG1wQnZiK</v>
      </c>
      <c r="AK179" s="12"/>
      <c r="AL179" s="12" t="str">
        <f>IFERROR(__xludf.DUMMYFUNCTION("""COMPUTED_VALUE"""),"Yes")</f>
        <v>Yes</v>
      </c>
      <c r="AM179" s="15">
        <f>IFERROR(__xludf.DUMMYFUNCTION("""COMPUTED_VALUE"""),1.0)</f>
        <v>1</v>
      </c>
      <c r="AN179" s="12" t="str">
        <f>IFERROR(__xludf.DUMMYFUNCTION("""COMPUTED_VALUE"""),"2nd week")</f>
        <v>2nd week</v>
      </c>
      <c r="AO179" s="13">
        <v>2.0</v>
      </c>
      <c r="AX179" s="13">
        <v>2.0</v>
      </c>
    </row>
    <row r="180">
      <c r="A180" s="8">
        <v>179.0</v>
      </c>
      <c r="B180" s="9">
        <f>IFERROR(__xludf.DUMMYFUNCTION("""COMPUTED_VALUE"""),45776.94160883102)</f>
        <v>45776.94161</v>
      </c>
      <c r="C180" s="10" t="str">
        <f>IFERROR(__xludf.DUMMYFUNCTION("""COMPUTED_VALUE"""),"Rabia")</f>
        <v>Rabia</v>
      </c>
      <c r="D180" s="10" t="str">
        <f>IFERROR(__xludf.DUMMYFUNCTION("""COMPUTED_VALUE"""),"03171522107")</f>
        <v>03171522107</v>
      </c>
      <c r="E180" s="10" t="str">
        <f>IFERROR(__xludf.DUMMYFUNCTION("""COMPUTED_VALUE"""),"Jamia masjid madina purani anarkali lahor 73")</f>
        <v>Jamia masjid madina purani anarkali lahor 73</v>
      </c>
      <c r="F180" s="10" t="str">
        <f>IFERROR(__xludf.DUMMYFUNCTION("""COMPUTED_VALUE"""),"Dpozt")</f>
        <v>Dpozt</v>
      </c>
      <c r="G180" s="10" t="str">
        <f>IFERROR(__xludf.DUMMYFUNCTION("""COMPUTED_VALUE"""),"No")</f>
        <v>No</v>
      </c>
      <c r="H180" s="10"/>
      <c r="I180" s="10"/>
      <c r="J180" s="10"/>
      <c r="K180" s="10">
        <f>IFERROR(__xludf.DUMMYFUNCTION("""COMPUTED_VALUE"""),10.0)</f>
        <v>10</v>
      </c>
      <c r="L180" s="10">
        <f>IFERROR(__xludf.DUMMYFUNCTION("""COMPUTED_VALUE"""),10.0)</f>
        <v>10</v>
      </c>
      <c r="M180" s="10">
        <f>IFERROR(__xludf.DUMMYFUNCTION("""COMPUTED_VALUE"""),0.0)</f>
        <v>0</v>
      </c>
      <c r="N180" s="10">
        <f>IFERROR(__xludf.DUMMYFUNCTION("""COMPUTED_VALUE"""),10.0)</f>
        <v>10</v>
      </c>
      <c r="O180" s="10">
        <f>IFERROR(__xludf.DUMMYFUNCTION("""COMPUTED_VALUE"""),0.0)</f>
        <v>0</v>
      </c>
      <c r="P180" s="10">
        <f>IFERROR(__xludf.DUMMYFUNCTION("""COMPUTED_VALUE"""),10.0)</f>
        <v>10</v>
      </c>
      <c r="Q180" s="10" t="str">
        <f>IFERROR(__xludf.DUMMYFUNCTION("""COMPUTED_VALUE"""),"No")</f>
        <v>No</v>
      </c>
      <c r="R180" s="10" t="str">
        <f>IFERROR(__xludf.DUMMYFUNCTION("""COMPUTED_VALUE"""),"Yes")</f>
        <v>Yes</v>
      </c>
      <c r="S180" s="10" t="str">
        <f>IFERROR(__xludf.DUMMYFUNCTION("""COMPUTED_VALUE"""),"No")</f>
        <v>No</v>
      </c>
      <c r="T180" s="10">
        <f>IFERROR(__xludf.DUMMYFUNCTION("""COMPUTED_VALUE"""),0.0)</f>
        <v>0</v>
      </c>
      <c r="U180" s="10">
        <f>IFERROR(__xludf.DUMMYFUNCTION("""COMPUTED_VALUE"""),0.0)</f>
        <v>0</v>
      </c>
      <c r="V180" s="10" t="str">
        <f>IFERROR(__xludf.DUMMYFUNCTION("""COMPUTED_VALUE"""),"پڑوس اور اہل محلہ کے حقوق ")</f>
        <v>پڑوس اور اہل محلہ کے حقوق </v>
      </c>
      <c r="W180" s="10" t="str">
        <f>IFERROR(__xludf.DUMMYFUNCTION("""COMPUTED_VALUE"""),"پڑوس اور اہل محلہ کے حقوق مشرتی اتحادمحلہ اور ارد گرد کے ماحول کو صاف رکھنا ")</f>
        <v>پڑوس اور اہل محلہ کے حقوق مشرتی اتحادمحلہ اور ارد گرد کے ماحول کو صاف رکھنا </v>
      </c>
      <c r="X180" s="10">
        <f>IFERROR(__xludf.DUMMYFUNCTION("""COMPUTED_VALUE"""),10.0)</f>
        <v>10</v>
      </c>
      <c r="Y180" s="10">
        <f>IFERROR(__xludf.DUMMYFUNCTION("""COMPUTED_VALUE"""),7.0)</f>
        <v>7</v>
      </c>
      <c r="Z180" s="10">
        <f>IFERROR(__xludf.DUMMYFUNCTION("""COMPUTED_VALUE"""),4.0)</f>
        <v>4</v>
      </c>
      <c r="AA180" s="10">
        <f>IFERROR(__xludf.DUMMYFUNCTION("""COMPUTED_VALUE"""),10.0)</f>
        <v>10</v>
      </c>
      <c r="AB180" s="10">
        <f>IFERROR(__xludf.DUMMYFUNCTION("""COMPUTED_VALUE"""),0.0)</f>
        <v>0</v>
      </c>
      <c r="AC180" s="10">
        <f>IFERROR(__xludf.DUMMYFUNCTION("""COMPUTED_VALUE"""),0.0)</f>
        <v>0</v>
      </c>
      <c r="AD180" s="10">
        <f>IFERROR(__xludf.DUMMYFUNCTION("""COMPUTED_VALUE"""),0.0)</f>
        <v>0</v>
      </c>
      <c r="AE180" s="10">
        <f>IFERROR(__xludf.DUMMYFUNCTION("""COMPUTED_VALUE"""),0.0)</f>
        <v>0</v>
      </c>
      <c r="AF180" s="10">
        <f>IFERROR(__xludf.DUMMYFUNCTION("""COMPUTED_VALUE"""),10.0)</f>
        <v>10</v>
      </c>
      <c r="AG180" s="10">
        <f>IFERROR(__xludf.DUMMYFUNCTION("""COMPUTED_VALUE"""),10.0)</f>
        <v>10</v>
      </c>
      <c r="AH180" s="10">
        <f>IFERROR(__xludf.DUMMYFUNCTION("""COMPUTED_VALUE"""),0.0)</f>
        <v>0</v>
      </c>
      <c r="AI180" s="10">
        <f>IFERROR(__xludf.DUMMYFUNCTION("""COMPUTED_VALUE"""),10.0)</f>
        <v>10</v>
      </c>
      <c r="AJ180" s="11" t="str">
        <f>IFERROR(__xludf.DUMMYFUNCTION("""COMPUTED_VALUE"""),"https://drive.google.com/open?id=15lV0k_Ma4ljcV8hn4amgvgAFkxmqI7LV")</f>
        <v>https://drive.google.com/open?id=15lV0k_Ma4ljcV8hn4amgvgAFkxmqI7LV</v>
      </c>
      <c r="AK180" s="12" t="str">
        <f>IFERROR(__xludf.DUMMYFUNCTION("""COMPUTED_VALUE"""),"No")</f>
        <v>No</v>
      </c>
      <c r="AL180" s="12"/>
      <c r="AM180" s="12"/>
      <c r="AN180" s="12" t="str">
        <f>IFERROR(__xludf.DUMMYFUNCTION("""COMPUTED_VALUE"""),"3rd week")</f>
        <v>3rd week</v>
      </c>
      <c r="AO180" s="13">
        <v>3.0</v>
      </c>
      <c r="AX180" s="13"/>
    </row>
    <row r="181">
      <c r="A181" s="8">
        <v>180.0</v>
      </c>
      <c r="B181" s="9">
        <f>IFERROR(__xludf.DUMMYFUNCTION("""COMPUTED_VALUE"""),45777.12045599537)</f>
        <v>45777.12046</v>
      </c>
      <c r="C181" s="10" t="str">
        <f>IFERROR(__xludf.DUMMYFUNCTION("""COMPUTED_VALUE"""),"Sohail asghar bhatti ")</f>
        <v>Sohail asghar bhatti </v>
      </c>
      <c r="D181" s="10" t="str">
        <f>IFERROR(__xludf.DUMMYFUNCTION("""COMPUTED_VALUE"""),"03017982931")</f>
        <v>03017982931</v>
      </c>
      <c r="E181" s="10" t="str">
        <f>IFERROR(__xludf.DUMMYFUNCTION("""COMPUTED_VALUE"""),"Jamia masjid qalandar shah ")</f>
        <v>Jamia masjid qalandar shah </v>
      </c>
      <c r="F181" s="10" t="str">
        <f>IFERROR(__xludf.DUMMYFUNCTION("""COMPUTED_VALUE"""),"CKLBK")</f>
        <v>CKLBK</v>
      </c>
      <c r="G181" s="10" t="str">
        <f>IFERROR(__xludf.DUMMYFUNCTION("""COMPUTED_VALUE"""),"No")</f>
        <v>No</v>
      </c>
      <c r="H181" s="10"/>
      <c r="I181" s="10"/>
      <c r="J181" s="10"/>
      <c r="K181" s="10">
        <f>IFERROR(__xludf.DUMMYFUNCTION("""COMPUTED_VALUE"""),0.0)</f>
        <v>0</v>
      </c>
      <c r="L181" s="10">
        <f>IFERROR(__xludf.DUMMYFUNCTION("""COMPUTED_VALUE"""),10.0)</f>
        <v>10</v>
      </c>
      <c r="M181" s="10">
        <f>IFERROR(__xludf.DUMMYFUNCTION("""COMPUTED_VALUE"""),0.0)</f>
        <v>0</v>
      </c>
      <c r="N181" s="10">
        <f>IFERROR(__xludf.DUMMYFUNCTION("""COMPUTED_VALUE"""),10.0)</f>
        <v>10</v>
      </c>
      <c r="O181" s="10">
        <f>IFERROR(__xludf.DUMMYFUNCTION("""COMPUTED_VALUE"""),0.0)</f>
        <v>0</v>
      </c>
      <c r="P181" s="10">
        <f>IFERROR(__xludf.DUMMYFUNCTION("""COMPUTED_VALUE"""),10.0)</f>
        <v>10</v>
      </c>
      <c r="Q181" s="10" t="str">
        <f>IFERROR(__xludf.DUMMYFUNCTION("""COMPUTED_VALUE"""),"No")</f>
        <v>No</v>
      </c>
      <c r="R181" s="10" t="str">
        <f>IFERROR(__xludf.DUMMYFUNCTION("""COMPUTED_VALUE"""),"Yes")</f>
        <v>Yes</v>
      </c>
      <c r="S181" s="10" t="str">
        <f>IFERROR(__xludf.DUMMYFUNCTION("""COMPUTED_VALUE"""),"No")</f>
        <v>No</v>
      </c>
      <c r="T181" s="10">
        <f>IFERROR(__xludf.DUMMYFUNCTION("""COMPUTED_VALUE"""),0.0)</f>
        <v>0</v>
      </c>
      <c r="U181" s="10">
        <f>IFERROR(__xludf.DUMMYFUNCTION("""COMPUTED_VALUE"""),10.0)</f>
        <v>10</v>
      </c>
      <c r="V181" s="10" t="str">
        <f>IFERROR(__xludf.DUMMYFUNCTION("""COMPUTED_VALUE"""),"پڑوسی کے حقوق اور محلے کی صفائی ")</f>
        <v>پڑوسی کے حقوق اور محلے کی صفائی </v>
      </c>
      <c r="W181" s="10" t="str">
        <f>IFERROR(__xludf.DUMMYFUNCTION("""COMPUTED_VALUE"""),"حقوق العباد کے بارے میں کہا اور اور مساجد کی اہمیت کو اجاگر کیا اور لوگوں کو بتایا کہ صفائی نفس ایمان ہے")</f>
        <v>حقوق العباد کے بارے میں کہا اور اور مساجد کی اہمیت کو اجاگر کیا اور لوگوں کو بتایا کہ صفائی نفس ایمان ہے</v>
      </c>
      <c r="X181" s="10">
        <f>IFERROR(__xludf.DUMMYFUNCTION("""COMPUTED_VALUE"""),0.0)</f>
        <v>0</v>
      </c>
      <c r="Y181" s="10">
        <f>IFERROR(__xludf.DUMMYFUNCTION("""COMPUTED_VALUE"""),10.0)</f>
        <v>10</v>
      </c>
      <c r="Z181" s="10">
        <f>IFERROR(__xludf.DUMMYFUNCTION("""COMPUTED_VALUE"""),0.0)</f>
        <v>0</v>
      </c>
      <c r="AA181" s="10">
        <f>IFERROR(__xludf.DUMMYFUNCTION("""COMPUTED_VALUE"""),10.0)</f>
        <v>10</v>
      </c>
      <c r="AB181" s="10">
        <f>IFERROR(__xludf.DUMMYFUNCTION("""COMPUTED_VALUE"""),0.0)</f>
        <v>0</v>
      </c>
      <c r="AC181" s="10">
        <f>IFERROR(__xludf.DUMMYFUNCTION("""COMPUTED_VALUE"""),0.0)</f>
        <v>0</v>
      </c>
      <c r="AD181" s="10">
        <f>IFERROR(__xludf.DUMMYFUNCTION("""COMPUTED_VALUE"""),5.0)</f>
        <v>5</v>
      </c>
      <c r="AE181" s="10">
        <f>IFERROR(__xludf.DUMMYFUNCTION("""COMPUTED_VALUE"""),0.0)</f>
        <v>0</v>
      </c>
      <c r="AF181" s="10">
        <f>IFERROR(__xludf.DUMMYFUNCTION("""COMPUTED_VALUE"""),0.0)</f>
        <v>0</v>
      </c>
      <c r="AG181" s="10">
        <f>IFERROR(__xludf.DUMMYFUNCTION("""COMPUTED_VALUE"""),10.0)</f>
        <v>10</v>
      </c>
      <c r="AH181" s="10">
        <f>IFERROR(__xludf.DUMMYFUNCTION("""COMPUTED_VALUE"""),0.0)</f>
        <v>0</v>
      </c>
      <c r="AI181" s="10">
        <f>IFERROR(__xludf.DUMMYFUNCTION("""COMPUTED_VALUE"""),10.0)</f>
        <v>10</v>
      </c>
      <c r="AJ181" s="11" t="str">
        <f>IFERROR(__xludf.DUMMYFUNCTION("""COMPUTED_VALUE"""),"https://drive.google.com/open?id=1no1yxN52ie-oBOTLTAXWGOgxEID3gT6H")</f>
        <v>https://drive.google.com/open?id=1no1yxN52ie-oBOTLTAXWGOgxEID3gT6H</v>
      </c>
      <c r="AK181" s="12"/>
      <c r="AL181" s="12"/>
      <c r="AM181" s="12"/>
      <c r="AN181" s="12" t="str">
        <f>IFERROR(__xludf.DUMMYFUNCTION("""COMPUTED_VALUE"""),"2nd week")</f>
        <v>2nd week</v>
      </c>
      <c r="AO181" s="13">
        <v>2.0</v>
      </c>
      <c r="AX181" s="13"/>
    </row>
    <row r="182">
      <c r="A182" s="8">
        <v>181.0</v>
      </c>
      <c r="B182" s="9">
        <f>IFERROR(__xludf.DUMMYFUNCTION("""COMPUTED_VALUE"""),45777.21218164352)</f>
        <v>45777.21218</v>
      </c>
      <c r="C182" s="10" t="str">
        <f>IFERROR(__xludf.DUMMYFUNCTION("""COMPUTED_VALUE"""),"Husnain Ali bhatti ")</f>
        <v>Husnain Ali bhatti </v>
      </c>
      <c r="D182" s="10" t="str">
        <f>IFERROR(__xludf.DUMMYFUNCTION("""COMPUTED_VALUE"""),"03444433036")</f>
        <v>03444433036</v>
      </c>
      <c r="E182" s="10" t="str">
        <f>IFERROR(__xludf.DUMMYFUNCTION("""COMPUTED_VALUE"""),"Jamia masjid Musa Dewan ")</f>
        <v>Jamia masjid Musa Dewan </v>
      </c>
      <c r="F182" s="10" t="str">
        <f>IFERROR(__xludf.DUMMYFUNCTION("""COMPUTED_VALUE"""),"ZJBWK")</f>
        <v>ZJBWK</v>
      </c>
      <c r="G182" s="10" t="str">
        <f>IFERROR(__xludf.DUMMYFUNCTION("""COMPUTED_VALUE"""),"No")</f>
        <v>No</v>
      </c>
      <c r="H182" s="10"/>
      <c r="I182" s="10"/>
      <c r="J182" s="10"/>
      <c r="K182" s="10">
        <f>IFERROR(__xludf.DUMMYFUNCTION("""COMPUTED_VALUE"""),0.0)</f>
        <v>0</v>
      </c>
      <c r="L182" s="10">
        <f>IFERROR(__xludf.DUMMYFUNCTION("""COMPUTED_VALUE"""),10.0)</f>
        <v>10</v>
      </c>
      <c r="M182" s="10">
        <f>IFERROR(__xludf.DUMMYFUNCTION("""COMPUTED_VALUE"""),0.0)</f>
        <v>0</v>
      </c>
      <c r="N182" s="10">
        <f>IFERROR(__xludf.DUMMYFUNCTION("""COMPUTED_VALUE"""),10.0)</f>
        <v>10</v>
      </c>
      <c r="O182" s="10">
        <f>IFERROR(__xludf.DUMMYFUNCTION("""COMPUTED_VALUE"""),0.0)</f>
        <v>0</v>
      </c>
      <c r="P182" s="10">
        <f>IFERROR(__xludf.DUMMYFUNCTION("""COMPUTED_VALUE"""),10.0)</f>
        <v>10</v>
      </c>
      <c r="Q182" s="10" t="str">
        <f>IFERROR(__xludf.DUMMYFUNCTION("""COMPUTED_VALUE"""),"No")</f>
        <v>No</v>
      </c>
      <c r="R182" s="10" t="str">
        <f>IFERROR(__xludf.DUMMYFUNCTION("""COMPUTED_VALUE"""),"Yes")</f>
        <v>Yes</v>
      </c>
      <c r="S182" s="10" t="str">
        <f>IFERROR(__xludf.DUMMYFUNCTION("""COMPUTED_VALUE"""),"No")</f>
        <v>No</v>
      </c>
      <c r="T182" s="10">
        <f>IFERROR(__xludf.DUMMYFUNCTION("""COMPUTED_VALUE"""),0.0)</f>
        <v>0</v>
      </c>
      <c r="U182" s="10">
        <f>IFERROR(__xludf.DUMMYFUNCTION("""COMPUTED_VALUE"""),0.0)</f>
        <v>0</v>
      </c>
      <c r="V182" s="10" t="str">
        <f>IFERROR(__xludf.DUMMYFUNCTION("""COMPUTED_VALUE"""),"پڑوسی کے حقوق ")</f>
        <v>پڑوسی کے حقوق </v>
      </c>
      <c r="W182" s="10" t="str">
        <f>IFERROR(__xludf.DUMMYFUNCTION("""COMPUTED_VALUE"""),"پڑوسی کے حقوق اور محلے کی صفائی کے بارے میں گفتگو کی ")</f>
        <v>پڑوسی کے حقوق اور محلے کی صفائی کے بارے میں گفتگو کی </v>
      </c>
      <c r="X182" s="10">
        <f>IFERROR(__xludf.DUMMYFUNCTION("""COMPUTED_VALUE"""),0.0)</f>
        <v>0</v>
      </c>
      <c r="Y182" s="10">
        <f>IFERROR(__xludf.DUMMYFUNCTION("""COMPUTED_VALUE"""),10.0)</f>
        <v>10</v>
      </c>
      <c r="Z182" s="10">
        <f>IFERROR(__xludf.DUMMYFUNCTION("""COMPUTED_VALUE"""),5.0)</f>
        <v>5</v>
      </c>
      <c r="AA182" s="10">
        <f>IFERROR(__xludf.DUMMYFUNCTION("""COMPUTED_VALUE"""),5.0)</f>
        <v>5</v>
      </c>
      <c r="AB182" s="10">
        <f>IFERROR(__xludf.DUMMYFUNCTION("""COMPUTED_VALUE"""),0.0)</f>
        <v>0</v>
      </c>
      <c r="AC182" s="10">
        <f>IFERROR(__xludf.DUMMYFUNCTION("""COMPUTED_VALUE"""),0.0)</f>
        <v>0</v>
      </c>
      <c r="AD182" s="10">
        <f>IFERROR(__xludf.DUMMYFUNCTION("""COMPUTED_VALUE"""),5.0)</f>
        <v>5</v>
      </c>
      <c r="AE182" s="10">
        <f>IFERROR(__xludf.DUMMYFUNCTION("""COMPUTED_VALUE"""),0.0)</f>
        <v>0</v>
      </c>
      <c r="AF182" s="10">
        <f>IFERROR(__xludf.DUMMYFUNCTION("""COMPUTED_VALUE"""),10.0)</f>
        <v>10</v>
      </c>
      <c r="AG182" s="10">
        <f>IFERROR(__xludf.DUMMYFUNCTION("""COMPUTED_VALUE"""),10.0)</f>
        <v>10</v>
      </c>
      <c r="AH182" s="10">
        <f>IFERROR(__xludf.DUMMYFUNCTION("""COMPUTED_VALUE"""),0.0)</f>
        <v>0</v>
      </c>
      <c r="AI182" s="10">
        <f>IFERROR(__xludf.DUMMYFUNCTION("""COMPUTED_VALUE"""),10.0)</f>
        <v>10</v>
      </c>
      <c r="AJ182" s="11" t="str">
        <f>IFERROR(__xludf.DUMMYFUNCTION("""COMPUTED_VALUE"""),"https://drive.google.com/open?id=1qqO9m7s5Hn1G1GELbBWvrgYpP0QNrk-k")</f>
        <v>https://drive.google.com/open?id=1qqO9m7s5Hn1G1GELbBWvrgYpP0QNrk-k</v>
      </c>
      <c r="AK182" s="12" t="str">
        <f>IFERROR(__xludf.DUMMYFUNCTION("""COMPUTED_VALUE"""),"No")</f>
        <v>No</v>
      </c>
      <c r="AL182" s="12"/>
      <c r="AM182" s="12"/>
      <c r="AN182" s="12" t="str">
        <f>IFERROR(__xludf.DUMMYFUNCTION("""COMPUTED_VALUE"""),"2nd week")</f>
        <v>2nd week</v>
      </c>
      <c r="AO182" s="13" t="s">
        <v>4</v>
      </c>
      <c r="AX182" s="13"/>
    </row>
    <row r="183">
      <c r="A183" s="8">
        <v>182.0</v>
      </c>
      <c r="B183" s="9">
        <f>IFERROR(__xludf.DUMMYFUNCTION("""COMPUTED_VALUE"""),45777.330993587966)</f>
        <v>45777.33099</v>
      </c>
      <c r="C183" s="10" t="str">
        <f>IFERROR(__xludf.DUMMYFUNCTION("""COMPUTED_VALUE"""),"Hafiz Muhammad Asif ")</f>
        <v>Hafiz Muhammad Asif </v>
      </c>
      <c r="D183" s="10" t="str">
        <f>IFERROR(__xludf.DUMMYFUNCTION("""COMPUTED_VALUE"""),"03318421006")</f>
        <v>03318421006</v>
      </c>
      <c r="E183" s="10" t="str">
        <f>IFERROR(__xludf.DUMMYFUNCTION("""COMPUTED_VALUE"""),"Jamia Masjid Railway Road Sheikhupura ")</f>
        <v>Jamia Masjid Railway Road Sheikhupura </v>
      </c>
      <c r="F183" s="10" t="str">
        <f>IFERROR(__xludf.DUMMYFUNCTION("""COMPUTED_VALUE"""),"INGWH")</f>
        <v>INGWH</v>
      </c>
      <c r="G183" s="10" t="str">
        <f>IFERROR(__xludf.DUMMYFUNCTION("""COMPUTED_VALUE"""),"Yes")</f>
        <v>Yes</v>
      </c>
      <c r="H183" s="10">
        <f>IFERROR(__xludf.DUMMYFUNCTION("""COMPUTED_VALUE"""),10.0)</f>
        <v>10</v>
      </c>
      <c r="I183" s="10">
        <f>IFERROR(__xludf.DUMMYFUNCTION("""COMPUTED_VALUE"""),5.0)</f>
        <v>5</v>
      </c>
      <c r="J183" s="10">
        <f>IFERROR(__xludf.DUMMYFUNCTION("""COMPUTED_VALUE"""),10.0)</f>
        <v>10</v>
      </c>
      <c r="K183" s="10">
        <f>IFERROR(__xludf.DUMMYFUNCTION("""COMPUTED_VALUE"""),5.0)</f>
        <v>5</v>
      </c>
      <c r="L183" s="10">
        <f>IFERROR(__xludf.DUMMYFUNCTION("""COMPUTED_VALUE"""),10.0)</f>
        <v>10</v>
      </c>
      <c r="M183" s="10">
        <f>IFERROR(__xludf.DUMMYFUNCTION("""COMPUTED_VALUE"""),0.0)</f>
        <v>0</v>
      </c>
      <c r="N183" s="10">
        <f>IFERROR(__xludf.DUMMYFUNCTION("""COMPUTED_VALUE"""),10.0)</f>
        <v>10</v>
      </c>
      <c r="O183" s="10">
        <f>IFERROR(__xludf.DUMMYFUNCTION("""COMPUTED_VALUE"""),0.0)</f>
        <v>0</v>
      </c>
      <c r="P183" s="10">
        <f>IFERROR(__xludf.DUMMYFUNCTION("""COMPUTED_VALUE"""),10.0)</f>
        <v>10</v>
      </c>
      <c r="Q183" s="10" t="str">
        <f>IFERROR(__xludf.DUMMYFUNCTION("""COMPUTED_VALUE"""),"No")</f>
        <v>No</v>
      </c>
      <c r="R183" s="10" t="str">
        <f>IFERROR(__xludf.DUMMYFUNCTION("""COMPUTED_VALUE"""),"Yes")</f>
        <v>Yes</v>
      </c>
      <c r="S183" s="10" t="str">
        <f>IFERROR(__xludf.DUMMYFUNCTION("""COMPUTED_VALUE"""),"No")</f>
        <v>No</v>
      </c>
      <c r="T183" s="10">
        <f>IFERROR(__xludf.DUMMYFUNCTION("""COMPUTED_VALUE"""),0.0)</f>
        <v>0</v>
      </c>
      <c r="U183" s="10">
        <f>IFERROR(__xludf.DUMMYFUNCTION("""COMPUTED_VALUE"""),10.0)</f>
        <v>10</v>
      </c>
      <c r="V183" s="10" t="str">
        <f>IFERROR(__xludf.DUMMYFUNCTION("""COMPUTED_VALUE"""),"معاشرے کے ساتھ سلوک اور ہمسایوں کے حقوق ")</f>
        <v>معاشرے کے ساتھ سلوک اور ہمسایوں کے حقوق </v>
      </c>
      <c r="W183" s="10" t="str">
        <f>IFERROR(__xludf.DUMMYFUNCTION("""COMPUTED_VALUE"""),"دین اور دنیا دونوں کو ساتھ لیکر کر چلنا ۔نہ صرف دین ہو ۔اور نہ ہی صرف دنیا ہو۔")</f>
        <v>دین اور دنیا دونوں کو ساتھ لیکر کر چلنا ۔نہ صرف دین ہو ۔اور نہ ہی صرف دنیا ہو۔</v>
      </c>
      <c r="X183" s="10">
        <f>IFERROR(__xludf.DUMMYFUNCTION("""COMPUTED_VALUE"""),10.0)</f>
        <v>10</v>
      </c>
      <c r="Y183" s="10">
        <f>IFERROR(__xludf.DUMMYFUNCTION("""COMPUTED_VALUE"""),10.0)</f>
        <v>10</v>
      </c>
      <c r="Z183" s="10">
        <f>IFERROR(__xludf.DUMMYFUNCTION("""COMPUTED_VALUE"""),10.0)</f>
        <v>10</v>
      </c>
      <c r="AA183" s="10">
        <f>IFERROR(__xludf.DUMMYFUNCTION("""COMPUTED_VALUE"""),7.0)</f>
        <v>7</v>
      </c>
      <c r="AB183" s="10">
        <f>IFERROR(__xludf.DUMMYFUNCTION("""COMPUTED_VALUE"""),0.0)</f>
        <v>0</v>
      </c>
      <c r="AC183" s="10">
        <f>IFERROR(__xludf.DUMMYFUNCTION("""COMPUTED_VALUE"""),0.0)</f>
        <v>0</v>
      </c>
      <c r="AD183" s="10">
        <f>IFERROR(__xludf.DUMMYFUNCTION("""COMPUTED_VALUE"""),5.0)</f>
        <v>5</v>
      </c>
      <c r="AE183" s="10">
        <f>IFERROR(__xludf.DUMMYFUNCTION("""COMPUTED_VALUE"""),5.0)</f>
        <v>5</v>
      </c>
      <c r="AF183" s="10">
        <f>IFERROR(__xludf.DUMMYFUNCTION("""COMPUTED_VALUE"""),0.0)</f>
        <v>0</v>
      </c>
      <c r="AG183" s="10">
        <f>IFERROR(__xludf.DUMMYFUNCTION("""COMPUTED_VALUE"""),10.0)</f>
        <v>10</v>
      </c>
      <c r="AH183" s="10">
        <f>IFERROR(__xludf.DUMMYFUNCTION("""COMPUTED_VALUE"""),0.0)</f>
        <v>0</v>
      </c>
      <c r="AI183" s="10">
        <f>IFERROR(__xludf.DUMMYFUNCTION("""COMPUTED_VALUE"""),10.0)</f>
        <v>10</v>
      </c>
      <c r="AJ183" s="11" t="str">
        <f>IFERROR(__xludf.DUMMYFUNCTION("""COMPUTED_VALUE"""),"https://drive.google.com/open?id=1-prVp-mNnYxTdhurubX_s9jNX5bk4jsj")</f>
        <v>https://drive.google.com/open?id=1-prVp-mNnYxTdhurubX_s9jNX5bk4jsj</v>
      </c>
      <c r="AK183" s="12"/>
      <c r="AL183" s="12" t="str">
        <f>IFERROR(__xludf.DUMMYFUNCTION("""COMPUTED_VALUE"""),"Yes")</f>
        <v>Yes</v>
      </c>
      <c r="AM183" s="15">
        <f>IFERROR(__xludf.DUMMYFUNCTION("""COMPUTED_VALUE"""),1.0)</f>
        <v>1</v>
      </c>
      <c r="AN183" s="12" t="str">
        <f>IFERROR(__xludf.DUMMYFUNCTION("""COMPUTED_VALUE"""),"2nd week")</f>
        <v>2nd week</v>
      </c>
      <c r="AO183" s="13">
        <v>2.0</v>
      </c>
      <c r="AX183" s="13">
        <v>2.0</v>
      </c>
    </row>
    <row r="184">
      <c r="A184" s="8">
        <v>183.0</v>
      </c>
      <c r="B184" s="9">
        <f>IFERROR(__xludf.DUMMYFUNCTION("""COMPUTED_VALUE"""),45777.516121423614)</f>
        <v>45777.51612</v>
      </c>
      <c r="C184" s="10" t="str">
        <f>IFERROR(__xludf.DUMMYFUNCTION("""COMPUTED_VALUE"""),"ARTI KUMARI")</f>
        <v>ARTI KUMARI</v>
      </c>
      <c r="D184" s="10" t="str">
        <f>IFERROR(__xludf.DUMMYFUNCTION("""COMPUTED_VALUE"""),"03346661865")</f>
        <v>03346661865</v>
      </c>
      <c r="E184" s="10" t="str">
        <f>IFERROR(__xludf.DUMMYFUNCTION("""COMPUTED_VALUE"""),"JAMIS MASJID CHOWK DALKARA LAHORE")</f>
        <v>JAMIS MASJID CHOWK DALKARA LAHORE</v>
      </c>
      <c r="F184" s="10" t="str">
        <f>IFERROR(__xludf.DUMMYFUNCTION("""COMPUTED_VALUE"""),"wywfr")</f>
        <v>wywfr</v>
      </c>
      <c r="G184" s="10" t="str">
        <f>IFERROR(__xludf.DUMMYFUNCTION("""COMPUTED_VALUE"""),"No")</f>
        <v>No</v>
      </c>
      <c r="H184" s="10"/>
      <c r="I184" s="10"/>
      <c r="J184" s="10"/>
      <c r="K184" s="10">
        <f>IFERROR(__xludf.DUMMYFUNCTION("""COMPUTED_VALUE"""),0.0)</f>
        <v>0</v>
      </c>
      <c r="L184" s="10">
        <f>IFERROR(__xludf.DUMMYFUNCTION("""COMPUTED_VALUE"""),0.0)</f>
        <v>0</v>
      </c>
      <c r="M184" s="10">
        <f>IFERROR(__xludf.DUMMYFUNCTION("""COMPUTED_VALUE"""),0.0)</f>
        <v>0</v>
      </c>
      <c r="N184" s="10">
        <f>IFERROR(__xludf.DUMMYFUNCTION("""COMPUTED_VALUE"""),0.0)</f>
        <v>0</v>
      </c>
      <c r="O184" s="10">
        <f>IFERROR(__xludf.DUMMYFUNCTION("""COMPUTED_VALUE"""),0.0)</f>
        <v>0</v>
      </c>
      <c r="P184" s="10">
        <f>IFERROR(__xludf.DUMMYFUNCTION("""COMPUTED_VALUE"""),0.0)</f>
        <v>0</v>
      </c>
      <c r="Q184" s="10" t="str">
        <f>IFERROR(__xludf.DUMMYFUNCTION("""COMPUTED_VALUE"""),"No")</f>
        <v>No</v>
      </c>
      <c r="R184" s="10" t="str">
        <f>IFERROR(__xludf.DUMMYFUNCTION("""COMPUTED_VALUE"""),"No")</f>
        <v>No</v>
      </c>
      <c r="S184" s="10" t="str">
        <f>IFERROR(__xludf.DUMMYFUNCTION("""COMPUTED_VALUE"""),"No")</f>
        <v>No</v>
      </c>
      <c r="T184" s="10">
        <f>IFERROR(__xludf.DUMMYFUNCTION("""COMPUTED_VALUE"""),0.0)</f>
        <v>0</v>
      </c>
      <c r="U184" s="10">
        <f>IFERROR(__xludf.DUMMYFUNCTION("""COMPUTED_VALUE"""),0.0)</f>
        <v>0</v>
      </c>
      <c r="V184" s="10" t="str">
        <f>IFERROR(__xludf.DUMMYFUNCTION("""COMPUTED_VALUE"""),"پانی کی اہمیت ")</f>
        <v>پانی کی اہمیت </v>
      </c>
      <c r="W184" s="10" t="str">
        <f>IFERROR(__xludf.DUMMYFUNCTION("""COMPUTED_VALUE"""),"پانی کو بج استتعمال نہ کریں، اپنے آنے والے وقت کے لیے بچا کر رکھیں")</f>
        <v>پانی کو بج استتعمال نہ کریں، اپنے آنے والے وقت کے لیے بچا کر رکھیں</v>
      </c>
      <c r="X184" s="10">
        <f>IFERROR(__xludf.DUMMYFUNCTION("""COMPUTED_VALUE"""),0.0)</f>
        <v>0</v>
      </c>
      <c r="Y184" s="10">
        <f>IFERROR(__xludf.DUMMYFUNCTION("""COMPUTED_VALUE"""),0.0)</f>
        <v>0</v>
      </c>
      <c r="Z184" s="10">
        <f>IFERROR(__xludf.DUMMYFUNCTION("""COMPUTED_VALUE"""),9.0)</f>
        <v>9</v>
      </c>
      <c r="AA184" s="10">
        <f>IFERROR(__xludf.DUMMYFUNCTION("""COMPUTED_VALUE"""),7.0)</f>
        <v>7</v>
      </c>
      <c r="AB184" s="10">
        <f>IFERROR(__xludf.DUMMYFUNCTION("""COMPUTED_VALUE"""),7.0)</f>
        <v>7</v>
      </c>
      <c r="AC184" s="10">
        <f>IFERROR(__xludf.DUMMYFUNCTION("""COMPUTED_VALUE"""),5.0)</f>
        <v>5</v>
      </c>
      <c r="AD184" s="10">
        <f>IFERROR(__xludf.DUMMYFUNCTION("""COMPUTED_VALUE"""),0.0)</f>
        <v>0</v>
      </c>
      <c r="AE184" s="10">
        <f>IFERROR(__xludf.DUMMYFUNCTION("""COMPUTED_VALUE"""),2.0)</f>
        <v>2</v>
      </c>
      <c r="AF184" s="10">
        <f>IFERROR(__xludf.DUMMYFUNCTION("""COMPUTED_VALUE"""),0.0)</f>
        <v>0</v>
      </c>
      <c r="AG184" s="10">
        <f>IFERROR(__xludf.DUMMYFUNCTION("""COMPUTED_VALUE"""),10.0)</f>
        <v>10</v>
      </c>
      <c r="AH184" s="10">
        <f>IFERROR(__xludf.DUMMYFUNCTION("""COMPUTED_VALUE"""),0.0)</f>
        <v>0</v>
      </c>
      <c r="AI184" s="10">
        <f>IFERROR(__xludf.DUMMYFUNCTION("""COMPUTED_VALUE"""),9.0)</f>
        <v>9</v>
      </c>
      <c r="AJ184" s="11" t="str">
        <f>IFERROR(__xludf.DUMMYFUNCTION("""COMPUTED_VALUE"""),"https://drive.google.com/open?id=1AGYglcUrUzITYZT_P0xQ-jx745cq3zz1")</f>
        <v>https://drive.google.com/open?id=1AGYglcUrUzITYZT_P0xQ-jx745cq3zz1</v>
      </c>
      <c r="AK184" s="12"/>
      <c r="AL184" s="12"/>
      <c r="AM184" s="12"/>
      <c r="AN184" s="12" t="str">
        <f>IFERROR(__xludf.DUMMYFUNCTION("""COMPUTED_VALUE"""),"3rd week")</f>
        <v>3rd week</v>
      </c>
      <c r="AO184" s="13">
        <v>3.0</v>
      </c>
      <c r="AX184" s="13">
        <v>3.0</v>
      </c>
    </row>
    <row r="185">
      <c r="A185" s="8">
        <v>184.0</v>
      </c>
      <c r="B185" s="9">
        <f>IFERROR(__xludf.DUMMYFUNCTION("""COMPUTED_VALUE"""),45777.54897238426)</f>
        <v>45777.54897</v>
      </c>
      <c r="C185" s="10" t="str">
        <f>IFERROR(__xludf.DUMMYFUNCTION("""COMPUTED_VALUE"""),"Shakeela")</f>
        <v>Shakeela</v>
      </c>
      <c r="D185" s="10" t="str">
        <f>IFERROR(__xludf.DUMMYFUNCTION("""COMPUTED_VALUE"""),"03359485820")</f>
        <v>03359485820</v>
      </c>
      <c r="E185" s="10" t="str">
        <f>IFERROR(__xludf.DUMMYFUNCTION("""COMPUTED_VALUE"""),"Jamia Masjid Main Bazar Kahchu Pura Lahore")</f>
        <v>Jamia Masjid Main Bazar Kahchu Pura Lahore</v>
      </c>
      <c r="F185" s="10" t="str">
        <f>IFERROR(__xludf.DUMMYFUNCTION("""COMPUTED_VALUE"""),"slyiw")</f>
        <v>slyiw</v>
      </c>
      <c r="G185" s="10" t="str">
        <f>IFERROR(__xludf.DUMMYFUNCTION("""COMPUTED_VALUE"""),"Yes")</f>
        <v>Yes</v>
      </c>
      <c r="H185" s="10">
        <f>IFERROR(__xludf.DUMMYFUNCTION("""COMPUTED_VALUE"""),6.0)</f>
        <v>6</v>
      </c>
      <c r="I185" s="10">
        <f>IFERROR(__xludf.DUMMYFUNCTION("""COMPUTED_VALUE"""),3.0)</f>
        <v>3</v>
      </c>
      <c r="J185" s="10">
        <f>IFERROR(__xludf.DUMMYFUNCTION("""COMPUTED_VALUE"""),8.0)</f>
        <v>8</v>
      </c>
      <c r="K185" s="10">
        <f>IFERROR(__xludf.DUMMYFUNCTION("""COMPUTED_VALUE"""),7.0)</f>
        <v>7</v>
      </c>
      <c r="L185" s="10">
        <f>IFERROR(__xludf.DUMMYFUNCTION("""COMPUTED_VALUE"""),0.0)</f>
        <v>0</v>
      </c>
      <c r="M185" s="10">
        <f>IFERROR(__xludf.DUMMYFUNCTION("""COMPUTED_VALUE"""),7.0)</f>
        <v>7</v>
      </c>
      <c r="N185" s="10">
        <f>IFERROR(__xludf.DUMMYFUNCTION("""COMPUTED_VALUE"""),0.0)</f>
        <v>0</v>
      </c>
      <c r="O185" s="10">
        <f>IFERROR(__xludf.DUMMYFUNCTION("""COMPUTED_VALUE"""),7.0)</f>
        <v>7</v>
      </c>
      <c r="P185" s="10">
        <f>IFERROR(__xludf.DUMMYFUNCTION("""COMPUTED_VALUE"""),0.0)</f>
        <v>0</v>
      </c>
      <c r="Q185" s="10" t="str">
        <f>IFERROR(__xludf.DUMMYFUNCTION("""COMPUTED_VALUE"""),"Yes")</f>
        <v>Yes</v>
      </c>
      <c r="R185" s="10" t="str">
        <f>IFERROR(__xludf.DUMMYFUNCTION("""COMPUTED_VALUE"""),"No")</f>
        <v>No</v>
      </c>
      <c r="S185" s="10" t="str">
        <f>IFERROR(__xludf.DUMMYFUNCTION("""COMPUTED_VALUE"""),"Yes")</f>
        <v>Yes</v>
      </c>
      <c r="T185" s="10">
        <f>IFERROR(__xludf.DUMMYFUNCTION("""COMPUTED_VALUE"""),0.0)</f>
        <v>0</v>
      </c>
      <c r="U185" s="10">
        <f>IFERROR(__xludf.DUMMYFUNCTION("""COMPUTED_VALUE"""),0.0)</f>
        <v>0</v>
      </c>
      <c r="V185" s="10" t="str">
        <f>IFERROR(__xludf.DUMMYFUNCTION("""COMPUTED_VALUE"""),"Khawateen K Haqooq")</f>
        <v>Khawateen K Haqooq</v>
      </c>
      <c r="W185" s="10" t="str">
        <f>IFERROR(__xludf.DUMMYFUNCTION("""COMPUTED_VALUE"""),"Khawateen K Haqooq")</f>
        <v>Khawateen K Haqooq</v>
      </c>
      <c r="X185" s="10">
        <f>IFERROR(__xludf.DUMMYFUNCTION("""COMPUTED_VALUE"""),0.0)</f>
        <v>0</v>
      </c>
      <c r="Y185" s="10">
        <f>IFERROR(__xludf.DUMMYFUNCTION("""COMPUTED_VALUE"""),0.0)</f>
        <v>0</v>
      </c>
      <c r="Z185" s="10">
        <f>IFERROR(__xludf.DUMMYFUNCTION("""COMPUTED_VALUE"""),5.0)</f>
        <v>5</v>
      </c>
      <c r="AA185" s="10">
        <f>IFERROR(__xludf.DUMMYFUNCTION("""COMPUTED_VALUE"""),5.0)</f>
        <v>5</v>
      </c>
      <c r="AB185" s="10">
        <f>IFERROR(__xludf.DUMMYFUNCTION("""COMPUTED_VALUE"""),5.0)</f>
        <v>5</v>
      </c>
      <c r="AC185" s="10">
        <f>IFERROR(__xludf.DUMMYFUNCTION("""COMPUTED_VALUE"""),5.0)</f>
        <v>5</v>
      </c>
      <c r="AD185" s="10">
        <f>IFERROR(__xludf.DUMMYFUNCTION("""COMPUTED_VALUE"""),5.0)</f>
        <v>5</v>
      </c>
      <c r="AE185" s="10">
        <f>IFERROR(__xludf.DUMMYFUNCTION("""COMPUTED_VALUE"""),0.0)</f>
        <v>0</v>
      </c>
      <c r="AF185" s="10">
        <f>IFERROR(__xludf.DUMMYFUNCTION("""COMPUTED_VALUE"""),0.0)</f>
        <v>0</v>
      </c>
      <c r="AG185" s="10">
        <f>IFERROR(__xludf.DUMMYFUNCTION("""COMPUTED_VALUE"""),7.0)</f>
        <v>7</v>
      </c>
      <c r="AH185" s="10">
        <f>IFERROR(__xludf.DUMMYFUNCTION("""COMPUTED_VALUE"""),0.0)</f>
        <v>0</v>
      </c>
      <c r="AI185" s="10">
        <f>IFERROR(__xludf.DUMMYFUNCTION("""COMPUTED_VALUE"""),7.0)</f>
        <v>7</v>
      </c>
      <c r="AJ185" s="11" t="str">
        <f>IFERROR(__xludf.DUMMYFUNCTION("""COMPUTED_VALUE"""),"https://drive.google.com/open?id=1iFiJ-_kR4AZmmaPpzNfZNecY3g6aFUPc")</f>
        <v>https://drive.google.com/open?id=1iFiJ-_kR4AZmmaPpzNfZNecY3g6aFUPc</v>
      </c>
      <c r="AK185" s="12"/>
      <c r="AL185" s="12" t="str">
        <f>IFERROR(__xludf.DUMMYFUNCTION("""COMPUTED_VALUE"""),"Yes")</f>
        <v>Yes</v>
      </c>
      <c r="AM185" s="15">
        <f>IFERROR(__xludf.DUMMYFUNCTION("""COMPUTED_VALUE"""),0.8)</f>
        <v>0.8</v>
      </c>
      <c r="AN185" s="12" t="str">
        <f>IFERROR(__xludf.DUMMYFUNCTION("""COMPUTED_VALUE"""),"2nd week")</f>
        <v>2nd week</v>
      </c>
      <c r="AO185" s="13">
        <v>2.0</v>
      </c>
      <c r="AX185" s="13">
        <v>2.0</v>
      </c>
    </row>
    <row r="186">
      <c r="A186" s="8">
        <v>185.0</v>
      </c>
      <c r="B186" s="9">
        <f>IFERROR(__xludf.DUMMYFUNCTION("""COMPUTED_VALUE"""),45777.55384949074)</f>
        <v>45777.55385</v>
      </c>
      <c r="C186" s="10" t="str">
        <f>IFERROR(__xludf.DUMMYFUNCTION("""COMPUTED_VALUE"""),"shakeela")</f>
        <v>shakeela</v>
      </c>
      <c r="D186" s="10" t="str">
        <f>IFERROR(__xludf.DUMMYFUNCTION("""COMPUTED_VALUE"""),"03359485820")</f>
        <v>03359485820</v>
      </c>
      <c r="E186" s="10" t="str">
        <f>IFERROR(__xludf.DUMMYFUNCTION("""COMPUTED_VALUE"""),"Jamia Masjid Abu Bakar Sadiq Jalu Moor Lahore")</f>
        <v>Jamia Masjid Abu Bakar Sadiq Jalu Moor Lahore</v>
      </c>
      <c r="F186" s="10" t="str">
        <f>IFERROR(__xludf.DUMMYFUNCTION("""COMPUTED_VALUE"""),"gqomo")</f>
        <v>gqomo</v>
      </c>
      <c r="G186" s="10" t="str">
        <f>IFERROR(__xludf.DUMMYFUNCTION("""COMPUTED_VALUE"""),"Yes")</f>
        <v>Yes</v>
      </c>
      <c r="H186" s="10">
        <f>IFERROR(__xludf.DUMMYFUNCTION("""COMPUTED_VALUE"""),6.0)</f>
        <v>6</v>
      </c>
      <c r="I186" s="10">
        <f>IFERROR(__xludf.DUMMYFUNCTION("""COMPUTED_VALUE"""),1.0)</f>
        <v>1</v>
      </c>
      <c r="J186" s="10">
        <f>IFERROR(__xludf.DUMMYFUNCTION("""COMPUTED_VALUE"""),7.0)</f>
        <v>7</v>
      </c>
      <c r="K186" s="10">
        <f>IFERROR(__xludf.DUMMYFUNCTION("""COMPUTED_VALUE"""),7.0)</f>
        <v>7</v>
      </c>
      <c r="L186" s="10">
        <f>IFERROR(__xludf.DUMMYFUNCTION("""COMPUTED_VALUE"""),0.0)</f>
        <v>0</v>
      </c>
      <c r="M186" s="10">
        <f>IFERROR(__xludf.DUMMYFUNCTION("""COMPUTED_VALUE"""),8.0)</f>
        <v>8</v>
      </c>
      <c r="N186" s="10">
        <f>IFERROR(__xludf.DUMMYFUNCTION("""COMPUTED_VALUE"""),0.0)</f>
        <v>0</v>
      </c>
      <c r="O186" s="10">
        <f>IFERROR(__xludf.DUMMYFUNCTION("""COMPUTED_VALUE"""),7.0)</f>
        <v>7</v>
      </c>
      <c r="P186" s="10">
        <f>IFERROR(__xludf.DUMMYFUNCTION("""COMPUTED_VALUE"""),0.0)</f>
        <v>0</v>
      </c>
      <c r="Q186" s="10" t="str">
        <f>IFERROR(__xludf.DUMMYFUNCTION("""COMPUTED_VALUE"""),"Yes")</f>
        <v>Yes</v>
      </c>
      <c r="R186" s="10" t="str">
        <f>IFERROR(__xludf.DUMMYFUNCTION("""COMPUTED_VALUE"""),"No")</f>
        <v>No</v>
      </c>
      <c r="S186" s="10" t="str">
        <f>IFERROR(__xludf.DUMMYFUNCTION("""COMPUTED_VALUE"""),"Yes")</f>
        <v>Yes</v>
      </c>
      <c r="T186" s="10">
        <f>IFERROR(__xludf.DUMMYFUNCTION("""COMPUTED_VALUE"""),0.0)</f>
        <v>0</v>
      </c>
      <c r="U186" s="10">
        <f>IFERROR(__xludf.DUMMYFUNCTION("""COMPUTED_VALUE"""),0.0)</f>
        <v>0</v>
      </c>
      <c r="V186" s="10" t="str">
        <f>IFERROR(__xludf.DUMMYFUNCTION("""COMPUTED_VALUE"""),"Aurton k Haqooq ")</f>
        <v>Aurton k Haqooq </v>
      </c>
      <c r="W186" s="10" t="str">
        <f>IFERROR(__xludf.DUMMYFUNCTION("""COMPUTED_VALUE"""),"islam ma aurat ka muqam")</f>
        <v>islam ma aurat ka muqam</v>
      </c>
      <c r="X186" s="10">
        <f>IFERROR(__xludf.DUMMYFUNCTION("""COMPUTED_VALUE"""),0.0)</f>
        <v>0</v>
      </c>
      <c r="Y186" s="10">
        <f>IFERROR(__xludf.DUMMYFUNCTION("""COMPUTED_VALUE"""),7.0)</f>
        <v>7</v>
      </c>
      <c r="Z186" s="10">
        <f>IFERROR(__xludf.DUMMYFUNCTION("""COMPUTED_VALUE"""),5.0)</f>
        <v>5</v>
      </c>
      <c r="AA186" s="10">
        <f>IFERROR(__xludf.DUMMYFUNCTION("""COMPUTED_VALUE"""),5.0)</f>
        <v>5</v>
      </c>
      <c r="AB186" s="10">
        <f>IFERROR(__xludf.DUMMYFUNCTION("""COMPUTED_VALUE"""),6.0)</f>
        <v>6</v>
      </c>
      <c r="AC186" s="10">
        <f>IFERROR(__xludf.DUMMYFUNCTION("""COMPUTED_VALUE"""),0.0)</f>
        <v>0</v>
      </c>
      <c r="AD186" s="10">
        <f>IFERROR(__xludf.DUMMYFUNCTION("""COMPUTED_VALUE"""),4.0)</f>
        <v>4</v>
      </c>
      <c r="AE186" s="10">
        <f>IFERROR(__xludf.DUMMYFUNCTION("""COMPUTED_VALUE"""),0.0)</f>
        <v>0</v>
      </c>
      <c r="AF186" s="10">
        <f>IFERROR(__xludf.DUMMYFUNCTION("""COMPUTED_VALUE"""),4.0)</f>
        <v>4</v>
      </c>
      <c r="AG186" s="10">
        <f>IFERROR(__xludf.DUMMYFUNCTION("""COMPUTED_VALUE"""),5.0)</f>
        <v>5</v>
      </c>
      <c r="AH186" s="10">
        <f>IFERROR(__xludf.DUMMYFUNCTION("""COMPUTED_VALUE"""),0.0)</f>
        <v>0</v>
      </c>
      <c r="AI186" s="10">
        <f>IFERROR(__xludf.DUMMYFUNCTION("""COMPUTED_VALUE"""),5.0)</f>
        <v>5</v>
      </c>
      <c r="AJ186" s="11" t="str">
        <f>IFERROR(__xludf.DUMMYFUNCTION("""COMPUTED_VALUE"""),"https://drive.google.com/open?id=1_-5vnWszRPTCqEbt7_qNSahjEgd5eaqA")</f>
        <v>https://drive.google.com/open?id=1_-5vnWszRPTCqEbt7_qNSahjEgd5eaqA</v>
      </c>
      <c r="AK186" s="12"/>
      <c r="AL186" s="12" t="str">
        <f>IFERROR(__xludf.DUMMYFUNCTION("""COMPUTED_VALUE"""),"Yes")</f>
        <v>Yes</v>
      </c>
      <c r="AM186" s="15">
        <f>IFERROR(__xludf.DUMMYFUNCTION("""COMPUTED_VALUE"""),0.7)</f>
        <v>0.7</v>
      </c>
      <c r="AN186" s="12" t="str">
        <f>IFERROR(__xludf.DUMMYFUNCTION("""COMPUTED_VALUE"""),"1st week")</f>
        <v>1st week</v>
      </c>
      <c r="AO186" s="13">
        <v>1.0</v>
      </c>
      <c r="AX186" s="13">
        <v>1.0</v>
      </c>
    </row>
    <row r="187">
      <c r="A187" s="8">
        <v>186.0</v>
      </c>
      <c r="B187" s="9">
        <f>IFERROR(__xludf.DUMMYFUNCTION("""COMPUTED_VALUE"""),45777.60811450232)</f>
        <v>45777.60811</v>
      </c>
      <c r="C187" s="10" t="str">
        <f>IFERROR(__xludf.DUMMYFUNCTION("""COMPUTED_VALUE"""),"M.Rizwan")</f>
        <v>M.Rizwan</v>
      </c>
      <c r="D187" s="10" t="str">
        <f>IFERROR(__xludf.DUMMYFUNCTION("""COMPUTED_VALUE"""),"03084373512")</f>
        <v>03084373512</v>
      </c>
      <c r="E187" s="10" t="str">
        <f>IFERROR(__xludf.DUMMYFUNCTION("""COMPUTED_VALUE"""),"Jamia Masjid Farooq Abad auqaf wali ")</f>
        <v>Jamia Masjid Farooq Abad auqaf wali </v>
      </c>
      <c r="F187" s="10" t="str">
        <f>IFERROR(__xludf.DUMMYFUNCTION("""COMPUTED_VALUE"""),"GARUU")</f>
        <v>GARUU</v>
      </c>
      <c r="G187" s="10" t="str">
        <f>IFERROR(__xludf.DUMMYFUNCTION("""COMPUTED_VALUE"""),"No")</f>
        <v>No</v>
      </c>
      <c r="H187" s="10"/>
      <c r="I187" s="10"/>
      <c r="J187" s="10"/>
      <c r="K187" s="10">
        <f>IFERROR(__xludf.DUMMYFUNCTION("""COMPUTED_VALUE"""),10.0)</f>
        <v>10</v>
      </c>
      <c r="L187" s="10">
        <f>IFERROR(__xludf.DUMMYFUNCTION("""COMPUTED_VALUE"""),0.0)</f>
        <v>0</v>
      </c>
      <c r="M187" s="10">
        <f>IFERROR(__xludf.DUMMYFUNCTION("""COMPUTED_VALUE"""),8.0)</f>
        <v>8</v>
      </c>
      <c r="N187" s="10">
        <f>IFERROR(__xludf.DUMMYFUNCTION("""COMPUTED_VALUE"""),0.0)</f>
        <v>0</v>
      </c>
      <c r="O187" s="10">
        <f>IFERROR(__xludf.DUMMYFUNCTION("""COMPUTED_VALUE"""),10.0)</f>
        <v>10</v>
      </c>
      <c r="P187" s="10">
        <f>IFERROR(__xludf.DUMMYFUNCTION("""COMPUTED_VALUE"""),0.0)</f>
        <v>0</v>
      </c>
      <c r="Q187" s="10" t="str">
        <f>IFERROR(__xludf.DUMMYFUNCTION("""COMPUTED_VALUE"""),"Yes")</f>
        <v>Yes</v>
      </c>
      <c r="R187" s="10" t="str">
        <f>IFERROR(__xludf.DUMMYFUNCTION("""COMPUTED_VALUE"""),"No")</f>
        <v>No</v>
      </c>
      <c r="S187" s="10" t="str">
        <f>IFERROR(__xludf.DUMMYFUNCTION("""COMPUTED_VALUE"""),"Yes")</f>
        <v>Yes</v>
      </c>
      <c r="T187" s="10">
        <f>IFERROR(__xludf.DUMMYFUNCTION("""COMPUTED_VALUE"""),0.0)</f>
        <v>0</v>
      </c>
      <c r="U187" s="10">
        <f>IFERROR(__xludf.DUMMYFUNCTION("""COMPUTED_VALUE"""),0.0)</f>
        <v>0</v>
      </c>
      <c r="V187" s="10" t="str">
        <f>IFERROR(__xludf.DUMMYFUNCTION("""COMPUTED_VALUE"""),"Women right ")</f>
        <v>Women right </v>
      </c>
      <c r="W187" s="10" t="str">
        <f>IFERROR(__xludf.DUMMYFUNCTION("""COMPUTED_VALUE"""),"Women right ")</f>
        <v>Women right </v>
      </c>
      <c r="X187" s="10">
        <f>IFERROR(__xludf.DUMMYFUNCTION("""COMPUTED_VALUE"""),0.0)</f>
        <v>0</v>
      </c>
      <c r="Y187" s="10">
        <f>IFERROR(__xludf.DUMMYFUNCTION("""COMPUTED_VALUE"""),0.0)</f>
        <v>0</v>
      </c>
      <c r="Z187" s="10">
        <f>IFERROR(__xludf.DUMMYFUNCTION("""COMPUTED_VALUE"""),3.0)</f>
        <v>3</v>
      </c>
      <c r="AA187" s="10">
        <f>IFERROR(__xludf.DUMMYFUNCTION("""COMPUTED_VALUE"""),2.0)</f>
        <v>2</v>
      </c>
      <c r="AB187" s="10">
        <f>IFERROR(__xludf.DUMMYFUNCTION("""COMPUTED_VALUE"""),3.0)</f>
        <v>3</v>
      </c>
      <c r="AC187" s="10">
        <f>IFERROR(__xludf.DUMMYFUNCTION("""COMPUTED_VALUE"""),1.0)</f>
        <v>1</v>
      </c>
      <c r="AD187" s="10">
        <f>IFERROR(__xludf.DUMMYFUNCTION("""COMPUTED_VALUE"""),3.0)</f>
        <v>3</v>
      </c>
      <c r="AE187" s="10">
        <f>IFERROR(__xludf.DUMMYFUNCTION("""COMPUTED_VALUE"""),0.0)</f>
        <v>0</v>
      </c>
      <c r="AF187" s="10">
        <f>IFERROR(__xludf.DUMMYFUNCTION("""COMPUTED_VALUE"""),7.0)</f>
        <v>7</v>
      </c>
      <c r="AG187" s="10">
        <f>IFERROR(__xludf.DUMMYFUNCTION("""COMPUTED_VALUE"""),8.0)</f>
        <v>8</v>
      </c>
      <c r="AH187" s="10">
        <f>IFERROR(__xludf.DUMMYFUNCTION("""COMPUTED_VALUE"""),0.0)</f>
        <v>0</v>
      </c>
      <c r="AI187" s="10">
        <f>IFERROR(__xludf.DUMMYFUNCTION("""COMPUTED_VALUE"""),9.0)</f>
        <v>9</v>
      </c>
      <c r="AJ187" s="11" t="str">
        <f>IFERROR(__xludf.DUMMYFUNCTION("""COMPUTED_VALUE"""),"https://drive.google.com/open?id=1fknbXCBVr4Fc8SHYe00ASAwEXLwl6DADhDluGKHDuGs")</f>
        <v>https://drive.google.com/open?id=1fknbXCBVr4Fc8SHYe00ASAwEXLwl6DADhDluGKHDuGs</v>
      </c>
      <c r="AK187" s="12"/>
      <c r="AL187" s="12"/>
      <c r="AM187" s="12"/>
      <c r="AN187" s="12" t="str">
        <f>IFERROR(__xludf.DUMMYFUNCTION("""COMPUTED_VALUE"""),"2nd week")</f>
        <v>2nd week</v>
      </c>
      <c r="AO187" s="13">
        <v>2.0</v>
      </c>
      <c r="AX187" s="13">
        <v>2.0</v>
      </c>
    </row>
    <row r="188">
      <c r="A188" s="8">
        <v>187.0</v>
      </c>
      <c r="B188" s="9">
        <f>IFERROR(__xludf.DUMMYFUNCTION("""COMPUTED_VALUE"""),45777.663304201385)</f>
        <v>45777.6633</v>
      </c>
      <c r="C188" s="10" t="str">
        <f>IFERROR(__xludf.DUMMYFUNCTION("""COMPUTED_VALUE"""),"سلیمان ")</f>
        <v>سلیمان </v>
      </c>
      <c r="D188" s="10" t="str">
        <f>IFERROR(__xludf.DUMMYFUNCTION("""COMPUTED_VALUE"""),"03126136070")</f>
        <v>03126136070</v>
      </c>
      <c r="E188" s="10" t="str">
        <f>IFERROR(__xludf.DUMMYFUNCTION("""COMPUTED_VALUE"""),"جامع مسجد موہری شریف")</f>
        <v>جامع مسجد موہری شریف</v>
      </c>
      <c r="F188" s="10" t="str">
        <f>IFERROR(__xludf.DUMMYFUNCTION("""COMPUTED_VALUE"""),"Kmbbm")</f>
        <v>Kmbbm</v>
      </c>
      <c r="G188" s="10" t="str">
        <f>IFERROR(__xludf.DUMMYFUNCTION("""COMPUTED_VALUE"""),"No")</f>
        <v>No</v>
      </c>
      <c r="H188" s="10"/>
      <c r="I188" s="10"/>
      <c r="J188" s="10"/>
      <c r="K188" s="10">
        <f>IFERROR(__xludf.DUMMYFUNCTION("""COMPUTED_VALUE"""),0.0)</f>
        <v>0</v>
      </c>
      <c r="L188" s="10">
        <f>IFERROR(__xludf.DUMMYFUNCTION("""COMPUTED_VALUE"""),0.0)</f>
        <v>0</v>
      </c>
      <c r="M188" s="10">
        <f>IFERROR(__xludf.DUMMYFUNCTION("""COMPUTED_VALUE"""),0.0)</f>
        <v>0</v>
      </c>
      <c r="N188" s="10">
        <f>IFERROR(__xludf.DUMMYFUNCTION("""COMPUTED_VALUE"""),0.0)</f>
        <v>0</v>
      </c>
      <c r="O188" s="10">
        <f>IFERROR(__xludf.DUMMYFUNCTION("""COMPUTED_VALUE"""),0.0)</f>
        <v>0</v>
      </c>
      <c r="P188" s="10">
        <f>IFERROR(__xludf.DUMMYFUNCTION("""COMPUTED_VALUE"""),0.0)</f>
        <v>0</v>
      </c>
      <c r="Q188" s="10" t="str">
        <f>IFERROR(__xludf.DUMMYFUNCTION("""COMPUTED_VALUE"""),"No")</f>
        <v>No</v>
      </c>
      <c r="R188" s="10" t="str">
        <f>IFERROR(__xludf.DUMMYFUNCTION("""COMPUTED_VALUE"""),"No")</f>
        <v>No</v>
      </c>
      <c r="S188" s="10" t="str">
        <f>IFERROR(__xludf.DUMMYFUNCTION("""COMPUTED_VALUE"""),"No")</f>
        <v>No</v>
      </c>
      <c r="T188" s="10">
        <f>IFERROR(__xludf.DUMMYFUNCTION("""COMPUTED_VALUE"""),0.0)</f>
        <v>0</v>
      </c>
      <c r="U188" s="10">
        <f>IFERROR(__xludf.DUMMYFUNCTION("""COMPUTED_VALUE"""),0.0)</f>
        <v>0</v>
      </c>
      <c r="V188" s="10" t="str">
        <f>IFERROR(__xludf.DUMMYFUNCTION("""COMPUTED_VALUE"""),"حج کے فضائل پر گفتگو کی ")</f>
        <v>حج کے فضائل پر گفتگو کی </v>
      </c>
      <c r="W188" s="10" t="str">
        <f>IFERROR(__xludf.DUMMYFUNCTION("""COMPUTED_VALUE"""),"اگلا ماہ حج کا چل رہا ہے اس حوالے سے بات ہوئی")</f>
        <v>اگلا ماہ حج کا چل رہا ہے اس حوالے سے بات ہوئی</v>
      </c>
      <c r="X188" s="10">
        <f>IFERROR(__xludf.DUMMYFUNCTION("""COMPUTED_VALUE"""),10.0)</f>
        <v>10</v>
      </c>
      <c r="Y188" s="10">
        <f>IFERROR(__xludf.DUMMYFUNCTION("""COMPUTED_VALUE"""),0.0)</f>
        <v>0</v>
      </c>
      <c r="Z188" s="10">
        <f>IFERROR(__xludf.DUMMYFUNCTION("""COMPUTED_VALUE"""),0.0)</f>
        <v>0</v>
      </c>
      <c r="AA188" s="10">
        <f>IFERROR(__xludf.DUMMYFUNCTION("""COMPUTED_VALUE"""),10.0)</f>
        <v>10</v>
      </c>
      <c r="AB188" s="10">
        <f>IFERROR(__xludf.DUMMYFUNCTION("""COMPUTED_VALUE"""),1.0)</f>
        <v>1</v>
      </c>
      <c r="AC188" s="10">
        <f>IFERROR(__xludf.DUMMYFUNCTION("""COMPUTED_VALUE"""),0.0)</f>
        <v>0</v>
      </c>
      <c r="AD188" s="10">
        <f>IFERROR(__xludf.DUMMYFUNCTION("""COMPUTED_VALUE"""),0.0)</f>
        <v>0</v>
      </c>
      <c r="AE188" s="10">
        <f>IFERROR(__xludf.DUMMYFUNCTION("""COMPUTED_VALUE"""),0.0)</f>
        <v>0</v>
      </c>
      <c r="AF188" s="10">
        <f>IFERROR(__xludf.DUMMYFUNCTION("""COMPUTED_VALUE"""),5.0)</f>
        <v>5</v>
      </c>
      <c r="AG188" s="10">
        <f>IFERROR(__xludf.DUMMYFUNCTION("""COMPUTED_VALUE"""),5.0)</f>
        <v>5</v>
      </c>
      <c r="AH188" s="10">
        <f>IFERROR(__xludf.DUMMYFUNCTION("""COMPUTED_VALUE"""),1.0)</f>
        <v>1</v>
      </c>
      <c r="AI188" s="10">
        <f>IFERROR(__xludf.DUMMYFUNCTION("""COMPUTED_VALUE"""),5.0)</f>
        <v>5</v>
      </c>
      <c r="AJ188" s="11" t="str">
        <f>IFERROR(__xludf.DUMMYFUNCTION("""COMPUTED_VALUE"""),"https://drive.google.com/open?id=1g566FiHwy5Re1pm4CBTCMYJCKHJl1tBXC6OQtZqVjXI")</f>
        <v>https://drive.google.com/open?id=1g566FiHwy5Re1pm4CBTCMYJCKHJl1tBXC6OQtZqVjXI</v>
      </c>
      <c r="AK188" s="12"/>
      <c r="AL188" s="12"/>
      <c r="AM188" s="12"/>
      <c r="AN188" s="12" t="str">
        <f>IFERROR(__xludf.DUMMYFUNCTION("""COMPUTED_VALUE"""),"1st week")</f>
        <v>1st week</v>
      </c>
      <c r="AO188" s="13">
        <v>1.0</v>
      </c>
      <c r="AX188" s="13"/>
    </row>
    <row r="189">
      <c r="A189" s="8">
        <v>188.0</v>
      </c>
      <c r="B189" s="9">
        <f>IFERROR(__xludf.DUMMYFUNCTION("""COMPUTED_VALUE"""),45777.83061590278)</f>
        <v>45777.83062</v>
      </c>
      <c r="C189" s="10" t="str">
        <f>IFERROR(__xludf.DUMMYFUNCTION("""COMPUTED_VALUE"""),"Maham")</f>
        <v>Maham</v>
      </c>
      <c r="D189" s="10" t="str">
        <f>IFERROR(__xludf.DUMMYFUNCTION("""COMPUTED_VALUE"""),"03218118680")</f>
        <v>03218118680</v>
      </c>
      <c r="E189" s="10" t="str">
        <f>IFERROR(__xludf.DUMMYFUNCTION("""COMPUTED_VALUE"""),"sermon #2 Jamia Masjid Hanfiya Muslim gunj kahchu pura lahore ")</f>
        <v>sermon #2 Jamia Masjid Hanfiya Muslim gunj kahchu pura lahore </v>
      </c>
      <c r="F189" s="10" t="str">
        <f>IFERROR(__xludf.DUMMYFUNCTION("""COMPUTED_VALUE"""),"ogwwf")</f>
        <v>ogwwf</v>
      </c>
      <c r="G189" s="10" t="str">
        <f>IFERROR(__xludf.DUMMYFUNCTION("""COMPUTED_VALUE"""),"Yes")</f>
        <v>Yes</v>
      </c>
      <c r="H189" s="10">
        <f>IFERROR(__xludf.DUMMYFUNCTION("""COMPUTED_VALUE"""),9.0)</f>
        <v>9</v>
      </c>
      <c r="I189" s="10">
        <f>IFERROR(__xludf.DUMMYFUNCTION("""COMPUTED_VALUE"""),5.0)</f>
        <v>5</v>
      </c>
      <c r="J189" s="10">
        <f>IFERROR(__xludf.DUMMYFUNCTION("""COMPUTED_VALUE"""),10.0)</f>
        <v>10</v>
      </c>
      <c r="K189" s="10">
        <f>IFERROR(__xludf.DUMMYFUNCTION("""COMPUTED_VALUE"""),10.0)</f>
        <v>10</v>
      </c>
      <c r="L189" s="10">
        <f>IFERROR(__xludf.DUMMYFUNCTION("""COMPUTED_VALUE"""),0.0)</f>
        <v>0</v>
      </c>
      <c r="M189" s="10">
        <f>IFERROR(__xludf.DUMMYFUNCTION("""COMPUTED_VALUE"""),9.0)</f>
        <v>9</v>
      </c>
      <c r="N189" s="10">
        <f>IFERROR(__xludf.DUMMYFUNCTION("""COMPUTED_VALUE"""),0.0)</f>
        <v>0</v>
      </c>
      <c r="O189" s="10">
        <f>IFERROR(__xludf.DUMMYFUNCTION("""COMPUTED_VALUE"""),8.0)</f>
        <v>8</v>
      </c>
      <c r="P189" s="10">
        <f>IFERROR(__xludf.DUMMYFUNCTION("""COMPUTED_VALUE"""),0.0)</f>
        <v>0</v>
      </c>
      <c r="Q189" s="10" t="str">
        <f>IFERROR(__xludf.DUMMYFUNCTION("""COMPUTED_VALUE"""),"No")</f>
        <v>No</v>
      </c>
      <c r="R189" s="10" t="str">
        <f>IFERROR(__xludf.DUMMYFUNCTION("""COMPUTED_VALUE"""),"No")</f>
        <v>No</v>
      </c>
      <c r="S189" s="10" t="str">
        <f>IFERROR(__xludf.DUMMYFUNCTION("""COMPUTED_VALUE"""),"No")</f>
        <v>No</v>
      </c>
      <c r="T189" s="10">
        <f>IFERROR(__xludf.DUMMYFUNCTION("""COMPUTED_VALUE"""),0.0)</f>
        <v>0</v>
      </c>
      <c r="U189" s="10">
        <f>IFERROR(__xludf.DUMMYFUNCTION("""COMPUTED_VALUE"""),0.0)</f>
        <v>0</v>
      </c>
      <c r="V189" s="10" t="str">
        <f>IFERROR(__xludf.DUMMYFUNCTION("""COMPUTED_VALUE"""),"عورتوں کے حقوق اور ان کی اہمیت")</f>
        <v>عورتوں کے حقوق اور ان کی اہمیت</v>
      </c>
      <c r="W189" s="10" t="str">
        <f>IFERROR(__xludf.DUMMYFUNCTION("""COMPUTED_VALUE"""),"اس میں عورتوں کے حقوق بیان کیے گئے ہیں اور ان کی اہمیت کو واضح کیا گیا ہے اسلام سے پہلے عورت کے ساتھ کس طرح کا سلوک روا رکھا جاتا تھا اور اسلام نے کس طرح سے عورتوں کو عزت دی")</f>
        <v>اس میں عورتوں کے حقوق بیان کیے گئے ہیں اور ان کی اہمیت کو واضح کیا گیا ہے اسلام سے پہلے عورت کے ساتھ کس طرح کا سلوک روا رکھا جاتا تھا اور اسلام نے کس طرح سے عورتوں کو عزت دی</v>
      </c>
      <c r="X189" s="10">
        <f>IFERROR(__xludf.DUMMYFUNCTION("""COMPUTED_VALUE"""),0.0)</f>
        <v>0</v>
      </c>
      <c r="Y189" s="10">
        <f>IFERROR(__xludf.DUMMYFUNCTION("""COMPUTED_VALUE"""),0.0)</f>
        <v>0</v>
      </c>
      <c r="Z189" s="10">
        <f>IFERROR(__xludf.DUMMYFUNCTION("""COMPUTED_VALUE"""),0.0)</f>
        <v>0</v>
      </c>
      <c r="AA189" s="10">
        <f>IFERROR(__xludf.DUMMYFUNCTION("""COMPUTED_VALUE"""),8.0)</f>
        <v>8</v>
      </c>
      <c r="AB189" s="10">
        <f>IFERROR(__xludf.DUMMYFUNCTION("""COMPUTED_VALUE"""),0.0)</f>
        <v>0</v>
      </c>
      <c r="AC189" s="10">
        <f>IFERROR(__xludf.DUMMYFUNCTION("""COMPUTED_VALUE"""),0.0)</f>
        <v>0</v>
      </c>
      <c r="AD189" s="10">
        <f>IFERROR(__xludf.DUMMYFUNCTION("""COMPUTED_VALUE"""),0.0)</f>
        <v>0</v>
      </c>
      <c r="AE189" s="10">
        <f>IFERROR(__xludf.DUMMYFUNCTION("""COMPUTED_VALUE"""),0.0)</f>
        <v>0</v>
      </c>
      <c r="AF189" s="10">
        <f>IFERROR(__xludf.DUMMYFUNCTION("""COMPUTED_VALUE"""),9.0)</f>
        <v>9</v>
      </c>
      <c r="AG189" s="10">
        <f>IFERROR(__xludf.DUMMYFUNCTION("""COMPUTED_VALUE"""),9.0)</f>
        <v>9</v>
      </c>
      <c r="AH189" s="10">
        <f>IFERROR(__xludf.DUMMYFUNCTION("""COMPUTED_VALUE"""),0.0)</f>
        <v>0</v>
      </c>
      <c r="AI189" s="10">
        <f>IFERROR(__xludf.DUMMYFUNCTION("""COMPUTED_VALUE"""),9.0)</f>
        <v>9</v>
      </c>
      <c r="AJ189" s="11" t="str">
        <f>IFERROR(__xludf.DUMMYFUNCTION("""COMPUTED_VALUE"""),"https://drive.google.com/open?id=1lcVBlohMDVJPHuldW-ky0OZPTRQwTITs")</f>
        <v>https://drive.google.com/open?id=1lcVBlohMDVJPHuldW-ky0OZPTRQwTITs</v>
      </c>
      <c r="AK189" s="12">
        <f>IFERROR(__xludf.DUMMYFUNCTION("""COMPUTED_VALUE"""),0.0)</f>
        <v>0</v>
      </c>
      <c r="AL189" s="12" t="str">
        <f>IFERROR(__xludf.DUMMYFUNCTION("""COMPUTED_VALUE"""),"Yes")</f>
        <v>Yes</v>
      </c>
      <c r="AM189" s="15">
        <f>IFERROR(__xludf.DUMMYFUNCTION("""COMPUTED_VALUE"""),0.9)</f>
        <v>0.9</v>
      </c>
      <c r="AN189" s="12" t="str">
        <f>IFERROR(__xludf.DUMMYFUNCTION("""COMPUTED_VALUE"""),"2nd week")</f>
        <v>2nd week</v>
      </c>
      <c r="AO189" s="13">
        <v>2.0</v>
      </c>
      <c r="AX189" s="13">
        <v>2.0</v>
      </c>
    </row>
    <row r="190">
      <c r="A190" s="8">
        <v>189.0</v>
      </c>
      <c r="B190" s="9">
        <f>IFERROR(__xludf.DUMMYFUNCTION("""COMPUTED_VALUE"""),45777.83686222222)</f>
        <v>45777.83686</v>
      </c>
      <c r="C190" s="10" t="str">
        <f>IFERROR(__xludf.DUMMYFUNCTION("""COMPUTED_VALUE"""),"maham ")</f>
        <v>maham </v>
      </c>
      <c r="D190" s="10" t="str">
        <f>IFERROR(__xludf.DUMMYFUNCTION("""COMPUTED_VALUE"""),"03218118680")</f>
        <v>03218118680</v>
      </c>
      <c r="E190" s="10" t="str">
        <f>IFERROR(__xludf.DUMMYFUNCTION("""COMPUTED_VALUE"""),"sermon#2 Jamia Masjid Australia Lahore ")</f>
        <v>sermon#2 Jamia Masjid Australia Lahore </v>
      </c>
      <c r="F190" s="10" t="str">
        <f>IFERROR(__xludf.DUMMYFUNCTION("""COMPUTED_VALUE"""),"xdhvt")</f>
        <v>xdhvt</v>
      </c>
      <c r="G190" s="10" t="str">
        <f>IFERROR(__xludf.DUMMYFUNCTION("""COMPUTED_VALUE"""),"Yes")</f>
        <v>Yes</v>
      </c>
      <c r="H190" s="10">
        <f>IFERROR(__xludf.DUMMYFUNCTION("""COMPUTED_VALUE"""),0.0)</f>
        <v>0</v>
      </c>
      <c r="I190" s="10">
        <f>IFERROR(__xludf.DUMMYFUNCTION("""COMPUTED_VALUE"""),0.0)</f>
        <v>0</v>
      </c>
      <c r="J190" s="10">
        <f>IFERROR(__xludf.DUMMYFUNCTION("""COMPUTED_VALUE"""),0.0)</f>
        <v>0</v>
      </c>
      <c r="K190" s="10">
        <f>IFERROR(__xludf.DUMMYFUNCTION("""COMPUTED_VALUE"""),0.0)</f>
        <v>0</v>
      </c>
      <c r="L190" s="10">
        <f>IFERROR(__xludf.DUMMYFUNCTION("""COMPUTED_VALUE"""),0.0)</f>
        <v>0</v>
      </c>
      <c r="M190" s="10">
        <f>IFERROR(__xludf.DUMMYFUNCTION("""COMPUTED_VALUE"""),0.0)</f>
        <v>0</v>
      </c>
      <c r="N190" s="10">
        <f>IFERROR(__xludf.DUMMYFUNCTION("""COMPUTED_VALUE"""),0.0)</f>
        <v>0</v>
      </c>
      <c r="O190" s="10">
        <f>IFERROR(__xludf.DUMMYFUNCTION("""COMPUTED_VALUE"""),0.0)</f>
        <v>0</v>
      </c>
      <c r="P190" s="10">
        <f>IFERROR(__xludf.DUMMYFUNCTION("""COMPUTED_VALUE"""),0.0)</f>
        <v>0</v>
      </c>
      <c r="Q190" s="10" t="str">
        <f>IFERROR(__xludf.DUMMYFUNCTION("""COMPUTED_VALUE"""),"No")</f>
        <v>No</v>
      </c>
      <c r="R190" s="10" t="str">
        <f>IFERROR(__xludf.DUMMYFUNCTION("""COMPUTED_VALUE"""),"No")</f>
        <v>No</v>
      </c>
      <c r="S190" s="10" t="str">
        <f>IFERROR(__xludf.DUMMYFUNCTION("""COMPUTED_VALUE"""),"No")</f>
        <v>No</v>
      </c>
      <c r="T190" s="10">
        <f>IFERROR(__xludf.DUMMYFUNCTION("""COMPUTED_VALUE"""),0.0)</f>
        <v>0</v>
      </c>
      <c r="U190" s="10">
        <f>IFERROR(__xludf.DUMMYFUNCTION("""COMPUTED_VALUE"""),0.0)</f>
        <v>0</v>
      </c>
      <c r="V190" s="10" t="str">
        <f>IFERROR(__xludf.DUMMYFUNCTION("""COMPUTED_VALUE"""),"فلسطین میں ہونے والا ظلم کے خلاف جہاد اور پیغمبر اسلام کے بارے میں تذکرہ کیا گیا")</f>
        <v>فلسطین میں ہونے والا ظلم کے خلاف جہاد اور پیغمبر اسلام کے بارے میں تذکرہ کیا گیا</v>
      </c>
      <c r="W190" s="10" t="str">
        <f>IFERROR(__xludf.DUMMYFUNCTION("""COMPUTED_VALUE"""),"فلسطین میں ہونے والے ظلم کے خلاف جہاد اور غلط نظریات کے بارے میں تحقیق کرنا اور سچ کو جاننا اور پیغمبر اسلام سے چلتے واقعات اور مسجد اقصی کی اہمیت اور فلسطین کے خلاف ریلی نکالے جانے کے بارے میں بتایا")</f>
        <v>فلسطین میں ہونے والے ظلم کے خلاف جہاد اور غلط نظریات کے بارے میں تحقیق کرنا اور سچ کو جاننا اور پیغمبر اسلام سے چلتے واقعات اور مسجد اقصی کی اہمیت اور فلسطین کے خلاف ریلی نکالے جانے کے بارے میں بتایا</v>
      </c>
      <c r="X190" s="10">
        <f>IFERROR(__xludf.DUMMYFUNCTION("""COMPUTED_VALUE"""),0.0)</f>
        <v>0</v>
      </c>
      <c r="Y190" s="10">
        <f>IFERROR(__xludf.DUMMYFUNCTION("""COMPUTED_VALUE"""),5.0)</f>
        <v>5</v>
      </c>
      <c r="Z190" s="10">
        <f>IFERROR(__xludf.DUMMYFUNCTION("""COMPUTED_VALUE"""),0.0)</f>
        <v>0</v>
      </c>
      <c r="AA190" s="10">
        <f>IFERROR(__xludf.DUMMYFUNCTION("""COMPUTED_VALUE"""),5.0)</f>
        <v>5</v>
      </c>
      <c r="AB190" s="10">
        <f>IFERROR(__xludf.DUMMYFUNCTION("""COMPUTED_VALUE"""),0.0)</f>
        <v>0</v>
      </c>
      <c r="AC190" s="10">
        <f>IFERROR(__xludf.DUMMYFUNCTION("""COMPUTED_VALUE"""),2.0)</f>
        <v>2</v>
      </c>
      <c r="AD190" s="10">
        <f>IFERROR(__xludf.DUMMYFUNCTION("""COMPUTED_VALUE"""),1.0)</f>
        <v>1</v>
      </c>
      <c r="AE190" s="10">
        <f>IFERROR(__xludf.DUMMYFUNCTION("""COMPUTED_VALUE"""),0.0)</f>
        <v>0</v>
      </c>
      <c r="AF190" s="10">
        <f>IFERROR(__xludf.DUMMYFUNCTION("""COMPUTED_VALUE"""),8.0)</f>
        <v>8</v>
      </c>
      <c r="AG190" s="10">
        <f>IFERROR(__xludf.DUMMYFUNCTION("""COMPUTED_VALUE"""),8.0)</f>
        <v>8</v>
      </c>
      <c r="AH190" s="10">
        <f>IFERROR(__xludf.DUMMYFUNCTION("""COMPUTED_VALUE"""),0.0)</f>
        <v>0</v>
      </c>
      <c r="AI190" s="10">
        <f>IFERROR(__xludf.DUMMYFUNCTION("""COMPUTED_VALUE"""),8.0)</f>
        <v>8</v>
      </c>
      <c r="AJ190" s="11" t="str">
        <f>IFERROR(__xludf.DUMMYFUNCTION("""COMPUTED_VALUE"""),"https://drive.google.com/open?id=1E1Q2x04Zyox5w-L9KMtDoNqQSpo3-JZ3")</f>
        <v>https://drive.google.com/open?id=1E1Q2x04Zyox5w-L9KMtDoNqQSpo3-JZ3</v>
      </c>
      <c r="AK190" s="12">
        <f>IFERROR(__xludf.DUMMYFUNCTION("""COMPUTED_VALUE"""),0.0)</f>
        <v>0</v>
      </c>
      <c r="AL190" s="12" t="str">
        <f>IFERROR(__xludf.DUMMYFUNCTION("""COMPUTED_VALUE"""),"Yes")</f>
        <v>Yes</v>
      </c>
      <c r="AM190" s="15">
        <f>IFERROR(__xludf.DUMMYFUNCTION("""COMPUTED_VALUE"""),0.0)</f>
        <v>0</v>
      </c>
      <c r="AN190" s="12" t="str">
        <f>IFERROR(__xludf.DUMMYFUNCTION("""COMPUTED_VALUE"""),"2nd week")</f>
        <v>2nd week</v>
      </c>
      <c r="AO190" s="13">
        <v>2.0</v>
      </c>
      <c r="AX190" s="13">
        <v>2.0</v>
      </c>
    </row>
    <row r="191">
      <c r="A191" s="8">
        <v>190.0</v>
      </c>
      <c r="B191" s="9">
        <f>IFERROR(__xludf.DUMMYFUNCTION("""COMPUTED_VALUE"""),45777.84109739584)</f>
        <v>45777.8411</v>
      </c>
      <c r="C191" s="10" t="str">
        <f>IFERROR(__xludf.DUMMYFUNCTION("""COMPUTED_VALUE"""),"maham ")</f>
        <v>maham </v>
      </c>
      <c r="D191" s="10" t="str">
        <f>IFERROR(__xludf.DUMMYFUNCTION("""COMPUTED_VALUE"""),"03218118680")</f>
        <v>03218118680</v>
      </c>
      <c r="E191" s="10" t="str">
        <f>IFERROR(__xludf.DUMMYFUNCTION("""COMPUTED_VALUE"""),"sermon #2 Jamia Masjid Ghangaara Nawali Lahore")</f>
        <v>sermon #2 Jamia Masjid Ghangaara Nawali Lahore</v>
      </c>
      <c r="F191" s="10" t="str">
        <f>IFERROR(__xludf.DUMMYFUNCTION("""COMPUTED_VALUE"""),"ekvzq")</f>
        <v>ekvzq</v>
      </c>
      <c r="G191" s="10" t="str">
        <f>IFERROR(__xludf.DUMMYFUNCTION("""COMPUTED_VALUE"""),"Yes")</f>
        <v>Yes</v>
      </c>
      <c r="H191" s="10">
        <f>IFERROR(__xludf.DUMMYFUNCTION("""COMPUTED_VALUE"""),9.0)</f>
        <v>9</v>
      </c>
      <c r="I191" s="10">
        <f>IFERROR(__xludf.DUMMYFUNCTION("""COMPUTED_VALUE"""),1.0)</f>
        <v>1</v>
      </c>
      <c r="J191" s="10">
        <f>IFERROR(__xludf.DUMMYFUNCTION("""COMPUTED_VALUE"""),9.0)</f>
        <v>9</v>
      </c>
      <c r="K191" s="10">
        <f>IFERROR(__xludf.DUMMYFUNCTION("""COMPUTED_VALUE"""),9.0)</f>
        <v>9</v>
      </c>
      <c r="L191" s="10">
        <f>IFERROR(__xludf.DUMMYFUNCTION("""COMPUTED_VALUE"""),0.0)</f>
        <v>0</v>
      </c>
      <c r="M191" s="10">
        <f>IFERROR(__xludf.DUMMYFUNCTION("""COMPUTED_VALUE"""),8.0)</f>
        <v>8</v>
      </c>
      <c r="N191" s="10">
        <f>IFERROR(__xludf.DUMMYFUNCTION("""COMPUTED_VALUE"""),0.0)</f>
        <v>0</v>
      </c>
      <c r="O191" s="10">
        <f>IFERROR(__xludf.DUMMYFUNCTION("""COMPUTED_VALUE"""),7.0)</f>
        <v>7</v>
      </c>
      <c r="P191" s="10">
        <f>IFERROR(__xludf.DUMMYFUNCTION("""COMPUTED_VALUE"""),0.0)</f>
        <v>0</v>
      </c>
      <c r="Q191" s="10" t="str">
        <f>IFERROR(__xludf.DUMMYFUNCTION("""COMPUTED_VALUE"""),"No")</f>
        <v>No</v>
      </c>
      <c r="R191" s="10" t="str">
        <f>IFERROR(__xludf.DUMMYFUNCTION("""COMPUTED_VALUE"""),"No")</f>
        <v>No</v>
      </c>
      <c r="S191" s="10" t="str">
        <f>IFERROR(__xludf.DUMMYFUNCTION("""COMPUTED_VALUE"""),"No")</f>
        <v>No</v>
      </c>
      <c r="T191" s="10">
        <f>IFERROR(__xludf.DUMMYFUNCTION("""COMPUTED_VALUE"""),0.0)</f>
        <v>0</v>
      </c>
      <c r="U191" s="10">
        <f>IFERROR(__xludf.DUMMYFUNCTION("""COMPUTED_VALUE"""),0.0)</f>
        <v>0</v>
      </c>
      <c r="V191" s="10" t="str">
        <f>IFERROR(__xludf.DUMMYFUNCTION("""COMPUTED_VALUE"""),"عورتوں کے حقوق اور ان کی اہمیت")</f>
        <v>عورتوں کے حقوق اور ان کی اہمیت</v>
      </c>
      <c r="W191" s="10" t="str">
        <f>IFERROR(__xludf.DUMMYFUNCTION("""COMPUTED_VALUE"""),"عورتوں کے حقوق اور ان کی اہمیت پر زور دیا گیا اور انہیں معاشرے کا اہم ترین حصہ قرار دیا گیا اور ان کے ساتھ اچھا سلوک روا رکھنے کی تلقین کی گئی")</f>
        <v>عورتوں کے حقوق اور ان کی اہمیت پر زور دیا گیا اور انہیں معاشرے کا اہم ترین حصہ قرار دیا گیا اور ان کے ساتھ اچھا سلوک روا رکھنے کی تلقین کی گئی</v>
      </c>
      <c r="X191" s="10">
        <f>IFERROR(__xludf.DUMMYFUNCTION("""COMPUTED_VALUE"""),0.0)</f>
        <v>0</v>
      </c>
      <c r="Y191" s="10">
        <f>IFERROR(__xludf.DUMMYFUNCTION("""COMPUTED_VALUE"""),1.0)</f>
        <v>1</v>
      </c>
      <c r="Z191" s="10">
        <f>IFERROR(__xludf.DUMMYFUNCTION("""COMPUTED_VALUE"""),0.0)</f>
        <v>0</v>
      </c>
      <c r="AA191" s="10">
        <f>IFERROR(__xludf.DUMMYFUNCTION("""COMPUTED_VALUE"""),8.0)</f>
        <v>8</v>
      </c>
      <c r="AB191" s="10">
        <f>IFERROR(__xludf.DUMMYFUNCTION("""COMPUTED_VALUE"""),0.0)</f>
        <v>0</v>
      </c>
      <c r="AC191" s="10">
        <f>IFERROR(__xludf.DUMMYFUNCTION("""COMPUTED_VALUE"""),0.0)</f>
        <v>0</v>
      </c>
      <c r="AD191" s="10">
        <f>IFERROR(__xludf.DUMMYFUNCTION("""COMPUTED_VALUE"""),0.0)</f>
        <v>0</v>
      </c>
      <c r="AE191" s="10">
        <f>IFERROR(__xludf.DUMMYFUNCTION("""COMPUTED_VALUE"""),0.0)</f>
        <v>0</v>
      </c>
      <c r="AF191" s="10">
        <f>IFERROR(__xludf.DUMMYFUNCTION("""COMPUTED_VALUE"""),9.0)</f>
        <v>9</v>
      </c>
      <c r="AG191" s="10">
        <f>IFERROR(__xludf.DUMMYFUNCTION("""COMPUTED_VALUE"""),9.0)</f>
        <v>9</v>
      </c>
      <c r="AH191" s="10">
        <f>IFERROR(__xludf.DUMMYFUNCTION("""COMPUTED_VALUE"""),0.0)</f>
        <v>0</v>
      </c>
      <c r="AI191" s="10">
        <f>IFERROR(__xludf.DUMMYFUNCTION("""COMPUTED_VALUE"""),9.0)</f>
        <v>9</v>
      </c>
      <c r="AJ191" s="11" t="str">
        <f>IFERROR(__xludf.DUMMYFUNCTION("""COMPUTED_VALUE"""),"https://drive.google.com/open?id=1ghA7xZDVSS5NbPsi3PULp4RSHglo7TJs")</f>
        <v>https://drive.google.com/open?id=1ghA7xZDVSS5NbPsi3PULp4RSHglo7TJs</v>
      </c>
      <c r="AK191" s="12">
        <f>IFERROR(__xludf.DUMMYFUNCTION("""COMPUTED_VALUE"""),0.0)</f>
        <v>0</v>
      </c>
      <c r="AL191" s="12" t="str">
        <f>IFERROR(__xludf.DUMMYFUNCTION("""COMPUTED_VALUE"""),"Yes")</f>
        <v>Yes</v>
      </c>
      <c r="AM191" s="15">
        <f>IFERROR(__xludf.DUMMYFUNCTION("""COMPUTED_VALUE"""),0.9)</f>
        <v>0.9</v>
      </c>
      <c r="AN191" s="12" t="str">
        <f>IFERROR(__xludf.DUMMYFUNCTION("""COMPUTED_VALUE"""),"2nd week")</f>
        <v>2nd week</v>
      </c>
      <c r="AO191" s="13">
        <v>2.0</v>
      </c>
      <c r="AX191" s="13">
        <v>2.0</v>
      </c>
    </row>
    <row r="192">
      <c r="A192" s="8">
        <v>191.0</v>
      </c>
      <c r="B192" s="9">
        <f>IFERROR(__xludf.DUMMYFUNCTION("""COMPUTED_VALUE"""),45777.8451324537)</f>
        <v>45777.84513</v>
      </c>
      <c r="C192" s="10" t="str">
        <f>IFERROR(__xludf.DUMMYFUNCTION("""COMPUTED_VALUE"""),"maham ")</f>
        <v>maham </v>
      </c>
      <c r="D192" s="10" t="str">
        <f>IFERROR(__xludf.DUMMYFUNCTION("""COMPUTED_VALUE"""),"03218118680")</f>
        <v>03218118680</v>
      </c>
      <c r="E192" s="10" t="str">
        <f>IFERROR(__xludf.DUMMYFUNCTION("""COMPUTED_VALUE"""),"sermon 2 Jamia Masjid Darbar meer Hussain rangani Lahore ")</f>
        <v>sermon 2 Jamia Masjid Darbar meer Hussain rangani Lahore </v>
      </c>
      <c r="F192" s="10" t="str">
        <f>IFERROR(__xludf.DUMMYFUNCTION("""COMPUTED_VALUE"""),"yhrds")</f>
        <v>yhrds</v>
      </c>
      <c r="G192" s="10" t="str">
        <f>IFERROR(__xludf.DUMMYFUNCTION("""COMPUTED_VALUE"""),"Yes")</f>
        <v>Yes</v>
      </c>
      <c r="H192" s="10">
        <f>IFERROR(__xludf.DUMMYFUNCTION("""COMPUTED_VALUE"""),3.0)</f>
        <v>3</v>
      </c>
      <c r="I192" s="10">
        <f>IFERROR(__xludf.DUMMYFUNCTION("""COMPUTED_VALUE"""),3.0)</f>
        <v>3</v>
      </c>
      <c r="J192" s="10">
        <f>IFERROR(__xludf.DUMMYFUNCTION("""COMPUTED_VALUE"""),3.0)</f>
        <v>3</v>
      </c>
      <c r="K192" s="10">
        <f>IFERROR(__xludf.DUMMYFUNCTION("""COMPUTED_VALUE"""),0.0)</f>
        <v>0</v>
      </c>
      <c r="L192" s="10">
        <f>IFERROR(__xludf.DUMMYFUNCTION("""COMPUTED_VALUE"""),3.0)</f>
        <v>3</v>
      </c>
      <c r="M192" s="10">
        <f>IFERROR(__xludf.DUMMYFUNCTION("""COMPUTED_VALUE"""),0.0)</f>
        <v>0</v>
      </c>
      <c r="N192" s="10">
        <f>IFERROR(__xludf.DUMMYFUNCTION("""COMPUTED_VALUE"""),3.0)</f>
        <v>3</v>
      </c>
      <c r="O192" s="10">
        <f>IFERROR(__xludf.DUMMYFUNCTION("""COMPUTED_VALUE"""),0.0)</f>
        <v>0</v>
      </c>
      <c r="P192" s="10">
        <f>IFERROR(__xludf.DUMMYFUNCTION("""COMPUTED_VALUE"""),2.0)</f>
        <v>2</v>
      </c>
      <c r="Q192" s="10" t="str">
        <f>IFERROR(__xludf.DUMMYFUNCTION("""COMPUTED_VALUE"""),"No")</f>
        <v>No</v>
      </c>
      <c r="R192" s="10" t="str">
        <f>IFERROR(__xludf.DUMMYFUNCTION("""COMPUTED_VALUE"""),"No")</f>
        <v>No</v>
      </c>
      <c r="S192" s="10" t="str">
        <f>IFERROR(__xludf.DUMMYFUNCTION("""COMPUTED_VALUE"""),"No")</f>
        <v>No</v>
      </c>
      <c r="T192" s="10">
        <f>IFERROR(__xludf.DUMMYFUNCTION("""COMPUTED_VALUE"""),0.0)</f>
        <v>0</v>
      </c>
      <c r="U192" s="10">
        <f>IFERROR(__xludf.DUMMYFUNCTION("""COMPUTED_VALUE"""),0.0)</f>
        <v>0</v>
      </c>
      <c r="V192" s="10" t="str">
        <f>IFERROR(__xludf.DUMMYFUNCTION("""COMPUTED_VALUE"""),"شعبان رمضان اور شوال کے مہینے کی اہمیت کو بیان کیا اور کچھ ہمسائے کی اہمیت کے حوالے سے")</f>
        <v>شعبان رمضان اور شوال کے مہینے کی اہمیت کو بیان کیا اور کچھ ہمسائے کی اہمیت کے حوالے سے</v>
      </c>
      <c r="W192" s="10" t="str">
        <f>IFERROR(__xludf.DUMMYFUNCTION("""COMPUTED_VALUE"""),"شعبان رمضان اور شوال کے مہینے کی رحمتیں اور برکتوں کے بارے میں ذکر کیا اور اخری لمحات میں ہمسائے کے حقوق کے بارے میں تلقین کی اور ان کے ساتھ اچھا سلوک روا رکھنے کا کہا گیا")</f>
        <v>شعبان رمضان اور شوال کے مہینے کی رحمتیں اور برکتوں کے بارے میں ذکر کیا اور اخری لمحات میں ہمسائے کے حقوق کے بارے میں تلقین کی اور ان کے ساتھ اچھا سلوک روا رکھنے کا کہا گیا</v>
      </c>
      <c r="X192" s="10">
        <f>IFERROR(__xludf.DUMMYFUNCTION("""COMPUTED_VALUE"""),7.0)</f>
        <v>7</v>
      </c>
      <c r="Y192" s="10">
        <f>IFERROR(__xludf.DUMMYFUNCTION("""COMPUTED_VALUE"""),1.0)</f>
        <v>1</v>
      </c>
      <c r="Z192" s="10">
        <f>IFERROR(__xludf.DUMMYFUNCTION("""COMPUTED_VALUE"""),0.0)</f>
        <v>0</v>
      </c>
      <c r="AA192" s="10">
        <f>IFERROR(__xludf.DUMMYFUNCTION("""COMPUTED_VALUE"""),9.0)</f>
        <v>9</v>
      </c>
      <c r="AB192" s="10">
        <f>IFERROR(__xludf.DUMMYFUNCTION("""COMPUTED_VALUE"""),0.0)</f>
        <v>0</v>
      </c>
      <c r="AC192" s="10">
        <f>IFERROR(__xludf.DUMMYFUNCTION("""COMPUTED_VALUE"""),0.0)</f>
        <v>0</v>
      </c>
      <c r="AD192" s="10">
        <f>IFERROR(__xludf.DUMMYFUNCTION("""COMPUTED_VALUE"""),0.0)</f>
        <v>0</v>
      </c>
      <c r="AE192" s="10">
        <f>IFERROR(__xludf.DUMMYFUNCTION("""COMPUTED_VALUE"""),0.0)</f>
        <v>0</v>
      </c>
      <c r="AF192" s="10">
        <f>IFERROR(__xludf.DUMMYFUNCTION("""COMPUTED_VALUE"""),8.0)</f>
        <v>8</v>
      </c>
      <c r="AG192" s="10">
        <f>IFERROR(__xludf.DUMMYFUNCTION("""COMPUTED_VALUE"""),8.0)</f>
        <v>8</v>
      </c>
      <c r="AH192" s="10">
        <f>IFERROR(__xludf.DUMMYFUNCTION("""COMPUTED_VALUE"""),0.0)</f>
        <v>0</v>
      </c>
      <c r="AI192" s="10">
        <f>IFERROR(__xludf.DUMMYFUNCTION("""COMPUTED_VALUE"""),8.0)</f>
        <v>8</v>
      </c>
      <c r="AJ192" s="11" t="str">
        <f>IFERROR(__xludf.DUMMYFUNCTION("""COMPUTED_VALUE"""),"https://drive.google.com/open?id=1xMJM_TGgwYhokNDF1RqkRbfkIdyIisK2")</f>
        <v>https://drive.google.com/open?id=1xMJM_TGgwYhokNDF1RqkRbfkIdyIisK2</v>
      </c>
      <c r="AK192" s="12">
        <f>IFERROR(__xludf.DUMMYFUNCTION("""COMPUTED_VALUE"""),0.0)</f>
        <v>0</v>
      </c>
      <c r="AL192" s="12" t="str">
        <f>IFERROR(__xludf.DUMMYFUNCTION("""COMPUTED_VALUE"""),"Yes")</f>
        <v>Yes</v>
      </c>
      <c r="AM192" s="15">
        <f>IFERROR(__xludf.DUMMYFUNCTION("""COMPUTED_VALUE"""),0.3)</f>
        <v>0.3</v>
      </c>
      <c r="AN192" s="12" t="str">
        <f>IFERROR(__xludf.DUMMYFUNCTION("""COMPUTED_VALUE"""),"2nd week")</f>
        <v>2nd week</v>
      </c>
      <c r="AO192" s="13">
        <v>2.0</v>
      </c>
      <c r="AX192" s="13">
        <v>2.0</v>
      </c>
    </row>
    <row r="193">
      <c r="A193" s="8">
        <v>192.0</v>
      </c>
      <c r="B193" s="9">
        <f>IFERROR(__xludf.DUMMYFUNCTION("""COMPUTED_VALUE"""),45777.850997870366)</f>
        <v>45777.851</v>
      </c>
      <c r="C193" s="10" t="str">
        <f>IFERROR(__xludf.DUMMYFUNCTION("""COMPUTED_VALUE"""),"maham")</f>
        <v>maham</v>
      </c>
      <c r="D193" s="10" t="str">
        <f>IFERROR(__xludf.DUMMYFUNCTION("""COMPUTED_VALUE"""),"03218118680")</f>
        <v>03218118680</v>
      </c>
      <c r="E193" s="10" t="str">
        <f>IFERROR(__xludf.DUMMYFUNCTION("""COMPUTED_VALUE"""),"sermon #2 Jamia Masjid Darbar shah gohar peer ")</f>
        <v>sermon #2 Jamia Masjid Darbar shah gohar peer </v>
      </c>
      <c r="F193" s="10" t="str">
        <f>IFERROR(__xludf.DUMMYFUNCTION("""COMPUTED_VALUE"""),"qecjr")</f>
        <v>qecjr</v>
      </c>
      <c r="G193" s="10" t="str">
        <f>IFERROR(__xludf.DUMMYFUNCTION("""COMPUTED_VALUE"""),"Yes")</f>
        <v>Yes</v>
      </c>
      <c r="H193" s="10">
        <f>IFERROR(__xludf.DUMMYFUNCTION("""COMPUTED_VALUE"""),0.0)</f>
        <v>0</v>
      </c>
      <c r="I193" s="10">
        <f>IFERROR(__xludf.DUMMYFUNCTION("""COMPUTED_VALUE"""),0.0)</f>
        <v>0</v>
      </c>
      <c r="J193" s="10">
        <f>IFERROR(__xludf.DUMMYFUNCTION("""COMPUTED_VALUE"""),0.0)</f>
        <v>0</v>
      </c>
      <c r="K193" s="10">
        <f>IFERROR(__xludf.DUMMYFUNCTION("""COMPUTED_VALUE"""),0.0)</f>
        <v>0</v>
      </c>
      <c r="L193" s="10">
        <f>IFERROR(__xludf.DUMMYFUNCTION("""COMPUTED_VALUE"""),0.0)</f>
        <v>0</v>
      </c>
      <c r="M193" s="10">
        <f>IFERROR(__xludf.DUMMYFUNCTION("""COMPUTED_VALUE"""),0.0)</f>
        <v>0</v>
      </c>
      <c r="N193" s="10">
        <f>IFERROR(__xludf.DUMMYFUNCTION("""COMPUTED_VALUE"""),0.0)</f>
        <v>0</v>
      </c>
      <c r="O193" s="10">
        <f>IFERROR(__xludf.DUMMYFUNCTION("""COMPUTED_VALUE"""),0.0)</f>
        <v>0</v>
      </c>
      <c r="P193" s="10">
        <f>IFERROR(__xludf.DUMMYFUNCTION("""COMPUTED_VALUE"""),0.0)</f>
        <v>0</v>
      </c>
      <c r="Q193" s="10" t="str">
        <f>IFERROR(__xludf.DUMMYFUNCTION("""COMPUTED_VALUE"""),"No")</f>
        <v>No</v>
      </c>
      <c r="R193" s="10" t="str">
        <f>IFERROR(__xludf.DUMMYFUNCTION("""COMPUTED_VALUE"""),"No")</f>
        <v>No</v>
      </c>
      <c r="S193" s="10" t="str">
        <f>IFERROR(__xludf.DUMMYFUNCTION("""COMPUTED_VALUE"""),"No")</f>
        <v>No</v>
      </c>
      <c r="T193" s="10">
        <f>IFERROR(__xludf.DUMMYFUNCTION("""COMPUTED_VALUE"""),0.0)</f>
        <v>0</v>
      </c>
      <c r="U193" s="10">
        <f>IFERROR(__xludf.DUMMYFUNCTION("""COMPUTED_VALUE"""),0.0)</f>
        <v>0</v>
      </c>
      <c r="V193" s="10" t="str">
        <f>IFERROR(__xludf.DUMMYFUNCTION("""COMPUTED_VALUE"""),"نبی کریم صلی اللہ علیہ والہ وسلم کی اطاعت اور نبی کریم صلی اللہ علیہ وسلم کا اپنے چچا حضرت امیر حمزہ سے محبت")</f>
        <v>نبی کریم صلی اللہ علیہ والہ وسلم کی اطاعت اور نبی کریم صلی اللہ علیہ وسلم کا اپنے چچا حضرت امیر حمزہ سے محبت</v>
      </c>
      <c r="W193" s="10" t="str">
        <f>IFERROR(__xludf.DUMMYFUNCTION("""COMPUTED_VALUE"""),"اس خطبے میں نبی پاک صلی اللہ علیہ وسلم کی اطاعت پہ زور دیا گیا اور نبی کریم صلی اللہ علیہ وسلم کا اپنے پیارے چچا سے محبت کا اظہار بیان کیا گیا")</f>
        <v>اس خطبے میں نبی پاک صلی اللہ علیہ وسلم کی اطاعت پہ زور دیا گیا اور نبی کریم صلی اللہ علیہ وسلم کا اپنے پیارے چچا سے محبت کا اظہار بیان کیا گیا</v>
      </c>
      <c r="X193" s="10">
        <f>IFERROR(__xludf.DUMMYFUNCTION("""COMPUTED_VALUE"""),0.0)</f>
        <v>0</v>
      </c>
      <c r="Y193" s="10">
        <f>IFERROR(__xludf.DUMMYFUNCTION("""COMPUTED_VALUE"""),0.0)</f>
        <v>0</v>
      </c>
      <c r="Z193" s="10">
        <f>IFERROR(__xludf.DUMMYFUNCTION("""COMPUTED_VALUE"""),0.0)</f>
        <v>0</v>
      </c>
      <c r="AA193" s="10">
        <f>IFERROR(__xludf.DUMMYFUNCTION("""COMPUTED_VALUE"""),8.0)</f>
        <v>8</v>
      </c>
      <c r="AB193" s="10">
        <f>IFERROR(__xludf.DUMMYFUNCTION("""COMPUTED_VALUE"""),0.0)</f>
        <v>0</v>
      </c>
      <c r="AC193" s="10">
        <f>IFERROR(__xludf.DUMMYFUNCTION("""COMPUTED_VALUE"""),0.0)</f>
        <v>0</v>
      </c>
      <c r="AD193" s="10">
        <f>IFERROR(__xludf.DUMMYFUNCTION("""COMPUTED_VALUE"""),0.0)</f>
        <v>0</v>
      </c>
      <c r="AE193" s="10">
        <f>IFERROR(__xludf.DUMMYFUNCTION("""COMPUTED_VALUE"""),0.0)</f>
        <v>0</v>
      </c>
      <c r="AF193" s="10">
        <f>IFERROR(__xludf.DUMMYFUNCTION("""COMPUTED_VALUE"""),8.0)</f>
        <v>8</v>
      </c>
      <c r="AG193" s="10">
        <f>IFERROR(__xludf.DUMMYFUNCTION("""COMPUTED_VALUE"""),8.0)</f>
        <v>8</v>
      </c>
      <c r="AH193" s="10">
        <f>IFERROR(__xludf.DUMMYFUNCTION("""COMPUTED_VALUE"""),0.0)</f>
        <v>0</v>
      </c>
      <c r="AI193" s="10">
        <f>IFERROR(__xludf.DUMMYFUNCTION("""COMPUTED_VALUE"""),7.0)</f>
        <v>7</v>
      </c>
      <c r="AJ193" s="11" t="str">
        <f>IFERROR(__xludf.DUMMYFUNCTION("""COMPUTED_VALUE"""),"https://drive.google.com/open?id=13xgyvi3qYOHflDOKhadcwjRY-EYWdqSb")</f>
        <v>https://drive.google.com/open?id=13xgyvi3qYOHflDOKhadcwjRY-EYWdqSb</v>
      </c>
      <c r="AK193" s="12">
        <f>IFERROR(__xludf.DUMMYFUNCTION("""COMPUTED_VALUE"""),0.0)</f>
        <v>0</v>
      </c>
      <c r="AL193" s="12" t="str">
        <f>IFERROR(__xludf.DUMMYFUNCTION("""COMPUTED_VALUE"""),"Yes")</f>
        <v>Yes</v>
      </c>
      <c r="AM193" s="15">
        <f>IFERROR(__xludf.DUMMYFUNCTION("""COMPUTED_VALUE"""),0.0)</f>
        <v>0</v>
      </c>
      <c r="AN193" s="12" t="str">
        <f>IFERROR(__xludf.DUMMYFUNCTION("""COMPUTED_VALUE"""),"2nd week")</f>
        <v>2nd week</v>
      </c>
      <c r="AO193" s="13">
        <v>3.0</v>
      </c>
      <c r="AX193" s="13">
        <v>2.0</v>
      </c>
    </row>
    <row r="194">
      <c r="A194" s="8">
        <v>193.0</v>
      </c>
      <c r="B194" s="9">
        <f>IFERROR(__xludf.DUMMYFUNCTION("""COMPUTED_VALUE"""),45777.85496324074)</f>
        <v>45777.85496</v>
      </c>
      <c r="C194" s="10" t="str">
        <f>IFERROR(__xludf.DUMMYFUNCTION("""COMPUTED_VALUE"""),"maham")</f>
        <v>maham</v>
      </c>
      <c r="D194" s="10" t="str">
        <f>IFERROR(__xludf.DUMMYFUNCTION("""COMPUTED_VALUE"""),"03218118680")</f>
        <v>03218118680</v>
      </c>
      <c r="E194" s="10" t="str">
        <f>IFERROR(__xludf.DUMMYFUNCTION("""COMPUTED_VALUE"""),"sermon #2 Jamia Masjid Hanfiya ghousia scheme2 Lahore ")</f>
        <v>sermon #2 Jamia Masjid Hanfiya ghousia scheme2 Lahore </v>
      </c>
      <c r="F194" s="10" t="str">
        <f>IFERROR(__xludf.DUMMYFUNCTION("""COMPUTED_VALUE"""),"cwfim")</f>
        <v>cwfim</v>
      </c>
      <c r="G194" s="10" t="str">
        <f>IFERROR(__xludf.DUMMYFUNCTION("""COMPUTED_VALUE"""),"Yes")</f>
        <v>Yes</v>
      </c>
      <c r="H194" s="10">
        <f>IFERROR(__xludf.DUMMYFUNCTION("""COMPUTED_VALUE"""),9.0)</f>
        <v>9</v>
      </c>
      <c r="I194" s="10">
        <f>IFERROR(__xludf.DUMMYFUNCTION("""COMPUTED_VALUE"""),5.0)</f>
        <v>5</v>
      </c>
      <c r="J194" s="10">
        <f>IFERROR(__xludf.DUMMYFUNCTION("""COMPUTED_VALUE"""),9.0)</f>
        <v>9</v>
      </c>
      <c r="K194" s="10">
        <f>IFERROR(__xludf.DUMMYFUNCTION("""COMPUTED_VALUE"""),0.0)</f>
        <v>0</v>
      </c>
      <c r="L194" s="10">
        <f>IFERROR(__xludf.DUMMYFUNCTION("""COMPUTED_VALUE"""),9.0)</f>
        <v>9</v>
      </c>
      <c r="M194" s="10">
        <f>IFERROR(__xludf.DUMMYFUNCTION("""COMPUTED_VALUE"""),0.0)</f>
        <v>0</v>
      </c>
      <c r="N194" s="10">
        <f>IFERROR(__xludf.DUMMYFUNCTION("""COMPUTED_VALUE"""),9.0)</f>
        <v>9</v>
      </c>
      <c r="O194" s="10">
        <f>IFERROR(__xludf.DUMMYFUNCTION("""COMPUTED_VALUE"""),0.0)</f>
        <v>0</v>
      </c>
      <c r="P194" s="10">
        <f>IFERROR(__xludf.DUMMYFUNCTION("""COMPUTED_VALUE"""),6.0)</f>
        <v>6</v>
      </c>
      <c r="Q194" s="10" t="str">
        <f>IFERROR(__xludf.DUMMYFUNCTION("""COMPUTED_VALUE"""),"No")</f>
        <v>No</v>
      </c>
      <c r="R194" s="10" t="str">
        <f>IFERROR(__xludf.DUMMYFUNCTION("""COMPUTED_VALUE"""),"No")</f>
        <v>No</v>
      </c>
      <c r="S194" s="10" t="str">
        <f>IFERROR(__xludf.DUMMYFUNCTION("""COMPUTED_VALUE"""),"No")</f>
        <v>No</v>
      </c>
      <c r="T194" s="10">
        <f>IFERROR(__xludf.DUMMYFUNCTION("""COMPUTED_VALUE"""),0.0)</f>
        <v>0</v>
      </c>
      <c r="U194" s="10">
        <f>IFERROR(__xludf.DUMMYFUNCTION("""COMPUTED_VALUE"""),0.0)</f>
        <v>0</v>
      </c>
      <c r="V194" s="10" t="str">
        <f>IFERROR(__xludf.DUMMYFUNCTION("""COMPUTED_VALUE"""),"ہمسائے کے حقوق پر اہمیت")</f>
        <v>ہمسائے کے حقوق پر اہمیت</v>
      </c>
      <c r="W194" s="10" t="str">
        <f>IFERROR(__xludf.DUMMYFUNCTION("""COMPUTED_VALUE"""),"ہمسائے کے حقوق کیا ہیں اور نبی کریم صلی اللہ علیہ وسلم نے ان کی کیا اہمیت  اور کس طرح بیان فرمائی ہے اور ہمسایوں کو ہمارے لیے راہ نجات کا ذریعہ بھی بتایا")</f>
        <v>ہمسائے کے حقوق کیا ہیں اور نبی کریم صلی اللہ علیہ وسلم نے ان کی کیا اہمیت  اور کس طرح بیان فرمائی ہے اور ہمسایوں کو ہمارے لیے راہ نجات کا ذریعہ بھی بتایا</v>
      </c>
      <c r="X194" s="10">
        <f>IFERROR(__xludf.DUMMYFUNCTION("""COMPUTED_VALUE"""),1.0)</f>
        <v>1</v>
      </c>
      <c r="Y194" s="10">
        <f>IFERROR(__xludf.DUMMYFUNCTION("""COMPUTED_VALUE"""),0.0)</f>
        <v>0</v>
      </c>
      <c r="Z194" s="10">
        <f>IFERROR(__xludf.DUMMYFUNCTION("""COMPUTED_VALUE"""),0.0)</f>
        <v>0</v>
      </c>
      <c r="AA194" s="10">
        <f>IFERROR(__xludf.DUMMYFUNCTION("""COMPUTED_VALUE"""),7.0)</f>
        <v>7</v>
      </c>
      <c r="AB194" s="10">
        <f>IFERROR(__xludf.DUMMYFUNCTION("""COMPUTED_VALUE"""),0.0)</f>
        <v>0</v>
      </c>
      <c r="AC194" s="10">
        <f>IFERROR(__xludf.DUMMYFUNCTION("""COMPUTED_VALUE"""),0.0)</f>
        <v>0</v>
      </c>
      <c r="AD194" s="10">
        <f>IFERROR(__xludf.DUMMYFUNCTION("""COMPUTED_VALUE"""),0.0)</f>
        <v>0</v>
      </c>
      <c r="AE194" s="10">
        <f>IFERROR(__xludf.DUMMYFUNCTION("""COMPUTED_VALUE"""),0.0)</f>
        <v>0</v>
      </c>
      <c r="AF194" s="10">
        <f>IFERROR(__xludf.DUMMYFUNCTION("""COMPUTED_VALUE"""),9.0)</f>
        <v>9</v>
      </c>
      <c r="AG194" s="10">
        <f>IFERROR(__xludf.DUMMYFUNCTION("""COMPUTED_VALUE"""),9.0)</f>
        <v>9</v>
      </c>
      <c r="AH194" s="10">
        <f>IFERROR(__xludf.DUMMYFUNCTION("""COMPUTED_VALUE"""),0.0)</f>
        <v>0</v>
      </c>
      <c r="AI194" s="10">
        <f>IFERROR(__xludf.DUMMYFUNCTION("""COMPUTED_VALUE"""),9.0)</f>
        <v>9</v>
      </c>
      <c r="AJ194" s="11" t="str">
        <f>IFERROR(__xludf.DUMMYFUNCTION("""COMPUTED_VALUE"""),"https://drive.google.com/open?id=1LTlvonKkPHsed0PG2_OIzYBU0wYHYx1n")</f>
        <v>https://drive.google.com/open?id=1LTlvonKkPHsed0PG2_OIzYBU0wYHYx1n</v>
      </c>
      <c r="AK194" s="12">
        <f>IFERROR(__xludf.DUMMYFUNCTION("""COMPUTED_VALUE"""),0.0)</f>
        <v>0</v>
      </c>
      <c r="AL194" s="12" t="str">
        <f>IFERROR(__xludf.DUMMYFUNCTION("""COMPUTED_VALUE"""),"Yes")</f>
        <v>Yes</v>
      </c>
      <c r="AM194" s="15">
        <f>IFERROR(__xludf.DUMMYFUNCTION("""COMPUTED_VALUE"""),0.9)</f>
        <v>0.9</v>
      </c>
      <c r="AN194" s="12" t="str">
        <f>IFERROR(__xludf.DUMMYFUNCTION("""COMPUTED_VALUE"""),"2nd week")</f>
        <v>2nd week</v>
      </c>
      <c r="AO194" s="13">
        <v>2.0</v>
      </c>
      <c r="AX194" s="13">
        <v>2.0</v>
      </c>
    </row>
    <row r="195">
      <c r="A195" s="8">
        <v>194.0</v>
      </c>
      <c r="B195" s="9">
        <f>IFERROR(__xludf.DUMMYFUNCTION("""COMPUTED_VALUE"""),45777.86602216435)</f>
        <v>45777.86602</v>
      </c>
      <c r="C195" s="10" t="str">
        <f>IFERROR(__xludf.DUMMYFUNCTION("""COMPUTED_VALUE"""),"maham")</f>
        <v>maham</v>
      </c>
      <c r="D195" s="10" t="str">
        <f>IFERROR(__xludf.DUMMYFUNCTION("""COMPUTED_VALUE"""),"03218118680")</f>
        <v>03218118680</v>
      </c>
      <c r="E195" s="10" t="str">
        <f>IFERROR(__xludf.DUMMYFUNCTION("""COMPUTED_VALUE"""),"sermon#2 Jamia Masjid Delhi Muslim Lahore ")</f>
        <v>sermon#2 Jamia Masjid Delhi Muslim Lahore </v>
      </c>
      <c r="F195" s="10" t="str">
        <f>IFERROR(__xludf.DUMMYFUNCTION("""COMPUTED_VALUE"""),"ieyaf")</f>
        <v>ieyaf</v>
      </c>
      <c r="G195" s="10" t="str">
        <f>IFERROR(__xludf.DUMMYFUNCTION("""COMPUTED_VALUE"""),"Yes")</f>
        <v>Yes</v>
      </c>
      <c r="H195" s="10">
        <f>IFERROR(__xludf.DUMMYFUNCTION("""COMPUTED_VALUE"""),9.0)</f>
        <v>9</v>
      </c>
      <c r="I195" s="10">
        <f>IFERROR(__xludf.DUMMYFUNCTION("""COMPUTED_VALUE"""),4.0)</f>
        <v>4</v>
      </c>
      <c r="J195" s="10">
        <f>IFERROR(__xludf.DUMMYFUNCTION("""COMPUTED_VALUE"""),9.0)</f>
        <v>9</v>
      </c>
      <c r="K195" s="10">
        <f>IFERROR(__xludf.DUMMYFUNCTION("""COMPUTED_VALUE"""),9.0)</f>
        <v>9</v>
      </c>
      <c r="L195" s="10">
        <f>IFERROR(__xludf.DUMMYFUNCTION("""COMPUTED_VALUE"""),0.0)</f>
        <v>0</v>
      </c>
      <c r="M195" s="10">
        <f>IFERROR(__xludf.DUMMYFUNCTION("""COMPUTED_VALUE"""),9.0)</f>
        <v>9</v>
      </c>
      <c r="N195" s="10">
        <f>IFERROR(__xludf.DUMMYFUNCTION("""COMPUTED_VALUE"""),0.0)</f>
        <v>0</v>
      </c>
      <c r="O195" s="10">
        <f>IFERROR(__xludf.DUMMYFUNCTION("""COMPUTED_VALUE"""),8.0)</f>
        <v>8</v>
      </c>
      <c r="P195" s="10">
        <f>IFERROR(__xludf.DUMMYFUNCTION("""COMPUTED_VALUE"""),0.0)</f>
        <v>0</v>
      </c>
      <c r="Q195" s="10" t="str">
        <f>IFERROR(__xludf.DUMMYFUNCTION("""COMPUTED_VALUE"""),"No")</f>
        <v>No</v>
      </c>
      <c r="R195" s="10" t="str">
        <f>IFERROR(__xludf.DUMMYFUNCTION("""COMPUTED_VALUE"""),"No")</f>
        <v>No</v>
      </c>
      <c r="S195" s="10" t="str">
        <f>IFERROR(__xludf.DUMMYFUNCTION("""COMPUTED_VALUE"""),"No")</f>
        <v>No</v>
      </c>
      <c r="T195" s="10">
        <f>IFERROR(__xludf.DUMMYFUNCTION("""COMPUTED_VALUE"""),0.0)</f>
        <v>0</v>
      </c>
      <c r="U195" s="10">
        <f>IFERROR(__xludf.DUMMYFUNCTION("""COMPUTED_VALUE"""),0.0)</f>
        <v>0</v>
      </c>
      <c r="V195" s="10" t="str">
        <f>IFERROR(__xludf.DUMMYFUNCTION("""COMPUTED_VALUE"""),"عورتوں کے حقوق اور معاشرے میں اس کا مقام")</f>
        <v>عورتوں کے حقوق اور معاشرے میں اس کا مقام</v>
      </c>
      <c r="W195" s="10" t="str">
        <f>IFERROR(__xludf.DUMMYFUNCTION("""COMPUTED_VALUE"""),"عورتوں کہ معاشرے میں حقوق ان کا مقام ان کی اہمیت اور ان کی رائے کو اہمیت دینا اور انہیں اپنے ہر معاملات زندگی میں شامل کرنا")</f>
        <v>عورتوں کہ معاشرے میں حقوق ان کا مقام ان کی اہمیت اور ان کی رائے کو اہمیت دینا اور انہیں اپنے ہر معاملات زندگی میں شامل کرنا</v>
      </c>
      <c r="X195" s="10">
        <f>IFERROR(__xludf.DUMMYFUNCTION("""COMPUTED_VALUE"""),0.0)</f>
        <v>0</v>
      </c>
      <c r="Y195" s="10">
        <f>IFERROR(__xludf.DUMMYFUNCTION("""COMPUTED_VALUE"""),1.0)</f>
        <v>1</v>
      </c>
      <c r="Z195" s="10">
        <f>IFERROR(__xludf.DUMMYFUNCTION("""COMPUTED_VALUE"""),0.0)</f>
        <v>0</v>
      </c>
      <c r="AA195" s="10">
        <f>IFERROR(__xludf.DUMMYFUNCTION("""COMPUTED_VALUE"""),8.0)</f>
        <v>8</v>
      </c>
      <c r="AB195" s="10">
        <f>IFERROR(__xludf.DUMMYFUNCTION("""COMPUTED_VALUE"""),0.0)</f>
        <v>0</v>
      </c>
      <c r="AC195" s="10">
        <f>IFERROR(__xludf.DUMMYFUNCTION("""COMPUTED_VALUE"""),0.0)</f>
        <v>0</v>
      </c>
      <c r="AD195" s="10">
        <f>IFERROR(__xludf.DUMMYFUNCTION("""COMPUTED_VALUE"""),0.0)</f>
        <v>0</v>
      </c>
      <c r="AE195" s="10">
        <f>IFERROR(__xludf.DUMMYFUNCTION("""COMPUTED_VALUE"""),0.0)</f>
        <v>0</v>
      </c>
      <c r="AF195" s="10">
        <f>IFERROR(__xludf.DUMMYFUNCTION("""COMPUTED_VALUE"""),10.0)</f>
        <v>10</v>
      </c>
      <c r="AG195" s="10">
        <f>IFERROR(__xludf.DUMMYFUNCTION("""COMPUTED_VALUE"""),10.0)</f>
        <v>10</v>
      </c>
      <c r="AH195" s="10">
        <f>IFERROR(__xludf.DUMMYFUNCTION("""COMPUTED_VALUE"""),0.0)</f>
        <v>0</v>
      </c>
      <c r="AI195" s="10">
        <f>IFERROR(__xludf.DUMMYFUNCTION("""COMPUTED_VALUE"""),10.0)</f>
        <v>10</v>
      </c>
      <c r="AJ195" s="11" t="str">
        <f>IFERROR(__xludf.DUMMYFUNCTION("""COMPUTED_VALUE"""),"https://drive.google.com/open?id=1aFo5rGCRUmkIfgbNoE4uVl3RWL4lg2pC")</f>
        <v>https://drive.google.com/open?id=1aFo5rGCRUmkIfgbNoE4uVl3RWL4lg2pC</v>
      </c>
      <c r="AK195" s="12">
        <f>IFERROR(__xludf.DUMMYFUNCTION("""COMPUTED_VALUE"""),0.0)</f>
        <v>0</v>
      </c>
      <c r="AL195" s="12" t="str">
        <f>IFERROR(__xludf.DUMMYFUNCTION("""COMPUTED_VALUE"""),"Yes")</f>
        <v>Yes</v>
      </c>
      <c r="AM195" s="15">
        <f>IFERROR(__xludf.DUMMYFUNCTION("""COMPUTED_VALUE"""),0.9)</f>
        <v>0.9</v>
      </c>
      <c r="AN195" s="12" t="str">
        <f>IFERROR(__xludf.DUMMYFUNCTION("""COMPUTED_VALUE"""),"2nd week")</f>
        <v>2nd week</v>
      </c>
      <c r="AO195" s="13">
        <v>2.0</v>
      </c>
      <c r="AX195" s="13">
        <v>2.0</v>
      </c>
    </row>
    <row r="196">
      <c r="A196" s="8">
        <v>195.0</v>
      </c>
      <c r="B196" s="9">
        <f>IFERROR(__xludf.DUMMYFUNCTION("""COMPUTED_VALUE"""),45777.87247288194)</f>
        <v>45777.87247</v>
      </c>
      <c r="C196" s="10" t="str">
        <f>IFERROR(__xludf.DUMMYFUNCTION("""COMPUTED_VALUE"""),"Maham")</f>
        <v>Maham</v>
      </c>
      <c r="D196" s="10" t="str">
        <f>IFERROR(__xludf.DUMMYFUNCTION("""COMPUTED_VALUE"""),"03218118680")</f>
        <v>03218118680</v>
      </c>
      <c r="E196" s="10" t="str">
        <f>IFERROR(__xludf.DUMMYFUNCTION("""COMPUTED_VALUE"""),"sermon 2 Jamia Masjid Bibi Pak daman Lahore")</f>
        <v>sermon 2 Jamia Masjid Bibi Pak daman Lahore</v>
      </c>
      <c r="F196" s="10" t="str">
        <f>IFERROR(__xludf.DUMMYFUNCTION("""COMPUTED_VALUE"""),"shcuy")</f>
        <v>shcuy</v>
      </c>
      <c r="G196" s="10" t="str">
        <f>IFERROR(__xludf.DUMMYFUNCTION("""COMPUTED_VALUE"""),"Yes")</f>
        <v>Yes</v>
      </c>
      <c r="H196" s="10">
        <f>IFERROR(__xludf.DUMMYFUNCTION("""COMPUTED_VALUE"""),0.0)</f>
        <v>0</v>
      </c>
      <c r="I196" s="10">
        <f>IFERROR(__xludf.DUMMYFUNCTION("""COMPUTED_VALUE"""),0.0)</f>
        <v>0</v>
      </c>
      <c r="J196" s="10">
        <f>IFERROR(__xludf.DUMMYFUNCTION("""COMPUTED_VALUE"""),0.0)</f>
        <v>0</v>
      </c>
      <c r="K196" s="10">
        <f>IFERROR(__xludf.DUMMYFUNCTION("""COMPUTED_VALUE"""),0.0)</f>
        <v>0</v>
      </c>
      <c r="L196" s="10">
        <f>IFERROR(__xludf.DUMMYFUNCTION("""COMPUTED_VALUE"""),0.0)</f>
        <v>0</v>
      </c>
      <c r="M196" s="10">
        <f>IFERROR(__xludf.DUMMYFUNCTION("""COMPUTED_VALUE"""),0.0)</f>
        <v>0</v>
      </c>
      <c r="N196" s="10">
        <f>IFERROR(__xludf.DUMMYFUNCTION("""COMPUTED_VALUE"""),0.0)</f>
        <v>0</v>
      </c>
      <c r="O196" s="10">
        <f>IFERROR(__xludf.DUMMYFUNCTION("""COMPUTED_VALUE"""),0.0)</f>
        <v>0</v>
      </c>
      <c r="P196" s="10">
        <f>IFERROR(__xludf.DUMMYFUNCTION("""COMPUTED_VALUE"""),0.0)</f>
        <v>0</v>
      </c>
      <c r="Q196" s="10" t="str">
        <f>IFERROR(__xludf.DUMMYFUNCTION("""COMPUTED_VALUE"""),"No")</f>
        <v>No</v>
      </c>
      <c r="R196" s="10" t="str">
        <f>IFERROR(__xludf.DUMMYFUNCTION("""COMPUTED_VALUE"""),"No")</f>
        <v>No</v>
      </c>
      <c r="S196" s="10" t="str">
        <f>IFERROR(__xludf.DUMMYFUNCTION("""COMPUTED_VALUE"""),"No")</f>
        <v>No</v>
      </c>
      <c r="T196" s="10">
        <f>IFERROR(__xludf.DUMMYFUNCTION("""COMPUTED_VALUE"""),0.0)</f>
        <v>0</v>
      </c>
      <c r="U196" s="10">
        <f>IFERROR(__xludf.DUMMYFUNCTION("""COMPUTED_VALUE"""),0.0)</f>
        <v>0</v>
      </c>
      <c r="V196" s="10" t="str">
        <f>IFERROR(__xludf.DUMMYFUNCTION("""COMPUTED_VALUE"""),"اللہ تعالی کے مومن بندوں کا ذکر کیا گیا")</f>
        <v>اللہ تعالی کے مومن بندوں کا ذکر کیا گیا</v>
      </c>
      <c r="W196" s="10" t="str">
        <f>IFERROR(__xludf.DUMMYFUNCTION("""COMPUTED_VALUE"""),"اللہ تعالی کے مومن بندوں کا ذکر کیا گیا مومن کی صفات کا ذکر کیا گیا اور ان کے لیے درجات کو بیان کیا گیا")</f>
        <v>اللہ تعالی کے مومن بندوں کا ذکر کیا گیا مومن کی صفات کا ذکر کیا گیا اور ان کے لیے درجات کو بیان کیا گیا</v>
      </c>
      <c r="X196" s="10">
        <f>IFERROR(__xludf.DUMMYFUNCTION("""COMPUTED_VALUE"""),2.0)</f>
        <v>2</v>
      </c>
      <c r="Y196" s="10">
        <f>IFERROR(__xludf.DUMMYFUNCTION("""COMPUTED_VALUE"""),0.0)</f>
        <v>0</v>
      </c>
      <c r="Z196" s="10">
        <f>IFERROR(__xludf.DUMMYFUNCTION("""COMPUTED_VALUE"""),0.0)</f>
        <v>0</v>
      </c>
      <c r="AA196" s="10">
        <f>IFERROR(__xludf.DUMMYFUNCTION("""COMPUTED_VALUE"""),8.0)</f>
        <v>8</v>
      </c>
      <c r="AB196" s="10">
        <f>IFERROR(__xludf.DUMMYFUNCTION("""COMPUTED_VALUE"""),0.0)</f>
        <v>0</v>
      </c>
      <c r="AC196" s="10">
        <f>IFERROR(__xludf.DUMMYFUNCTION("""COMPUTED_VALUE"""),0.0)</f>
        <v>0</v>
      </c>
      <c r="AD196" s="10">
        <f>IFERROR(__xludf.DUMMYFUNCTION("""COMPUTED_VALUE"""),0.0)</f>
        <v>0</v>
      </c>
      <c r="AE196" s="10">
        <f>IFERROR(__xludf.DUMMYFUNCTION("""COMPUTED_VALUE"""),0.0)</f>
        <v>0</v>
      </c>
      <c r="AF196" s="10">
        <f>IFERROR(__xludf.DUMMYFUNCTION("""COMPUTED_VALUE"""),8.0)</f>
        <v>8</v>
      </c>
      <c r="AG196" s="10">
        <f>IFERROR(__xludf.DUMMYFUNCTION("""COMPUTED_VALUE"""),8.0)</f>
        <v>8</v>
      </c>
      <c r="AH196" s="10">
        <f>IFERROR(__xludf.DUMMYFUNCTION("""COMPUTED_VALUE"""),0.0)</f>
        <v>0</v>
      </c>
      <c r="AI196" s="10">
        <f>IFERROR(__xludf.DUMMYFUNCTION("""COMPUTED_VALUE"""),8.0)</f>
        <v>8</v>
      </c>
      <c r="AJ196" s="11" t="str">
        <f>IFERROR(__xludf.DUMMYFUNCTION("""COMPUTED_VALUE"""),"https://drive.google.com/open?id=1nO4vLvFIMR0fJYgKOXV7gzLpN5EGO-4P")</f>
        <v>https://drive.google.com/open?id=1nO4vLvFIMR0fJYgKOXV7gzLpN5EGO-4P</v>
      </c>
      <c r="AK196" s="12">
        <f>IFERROR(__xludf.DUMMYFUNCTION("""COMPUTED_VALUE"""),0.0)</f>
        <v>0</v>
      </c>
      <c r="AL196" s="12" t="str">
        <f>IFERROR(__xludf.DUMMYFUNCTION("""COMPUTED_VALUE"""),"Yes")</f>
        <v>Yes</v>
      </c>
      <c r="AM196" s="15">
        <f>IFERROR(__xludf.DUMMYFUNCTION("""COMPUTED_VALUE"""),0.0)</f>
        <v>0</v>
      </c>
      <c r="AN196" s="12" t="str">
        <f>IFERROR(__xludf.DUMMYFUNCTION("""COMPUTED_VALUE"""),"2nd week")</f>
        <v>2nd week</v>
      </c>
      <c r="AO196" s="13">
        <v>3.0</v>
      </c>
      <c r="AX196" s="13">
        <v>2.0</v>
      </c>
    </row>
    <row r="197">
      <c r="A197" s="8">
        <v>196.0</v>
      </c>
      <c r="B197" s="9">
        <f>IFERROR(__xludf.DUMMYFUNCTION("""COMPUTED_VALUE"""),45777.87875004629)</f>
        <v>45777.87875</v>
      </c>
      <c r="C197" s="10" t="str">
        <f>IFERROR(__xludf.DUMMYFUNCTION("""COMPUTED_VALUE"""),"maham")</f>
        <v>maham</v>
      </c>
      <c r="D197" s="10" t="str">
        <f>IFERROR(__xludf.DUMMYFUNCTION("""COMPUTED_VALUE"""),"03218118680")</f>
        <v>03218118680</v>
      </c>
      <c r="E197" s="10" t="str">
        <f>IFERROR(__xludf.DUMMYFUNCTION("""COMPUTED_VALUE"""),"sermon 2 Jamia Masjid Darbar Qurban Ali shah ")</f>
        <v>sermon 2 Jamia Masjid Darbar Qurban Ali shah </v>
      </c>
      <c r="F197" s="10" t="str">
        <f>IFERROR(__xludf.DUMMYFUNCTION("""COMPUTED_VALUE"""),"xqvon")</f>
        <v>xqvon</v>
      </c>
      <c r="G197" s="10" t="str">
        <f>IFERROR(__xludf.DUMMYFUNCTION("""COMPUTED_VALUE"""),"Yes")</f>
        <v>Yes</v>
      </c>
      <c r="H197" s="10">
        <f>IFERROR(__xludf.DUMMYFUNCTION("""COMPUTED_VALUE"""),0.0)</f>
        <v>0</v>
      </c>
      <c r="I197" s="10">
        <f>IFERROR(__xludf.DUMMYFUNCTION("""COMPUTED_VALUE"""),0.0)</f>
        <v>0</v>
      </c>
      <c r="J197" s="10">
        <f>IFERROR(__xludf.DUMMYFUNCTION("""COMPUTED_VALUE"""),0.0)</f>
        <v>0</v>
      </c>
      <c r="K197" s="10">
        <f>IFERROR(__xludf.DUMMYFUNCTION("""COMPUTED_VALUE"""),0.0)</f>
        <v>0</v>
      </c>
      <c r="L197" s="10">
        <f>IFERROR(__xludf.DUMMYFUNCTION("""COMPUTED_VALUE"""),0.0)</f>
        <v>0</v>
      </c>
      <c r="M197" s="10">
        <f>IFERROR(__xludf.DUMMYFUNCTION("""COMPUTED_VALUE"""),0.0)</f>
        <v>0</v>
      </c>
      <c r="N197" s="10">
        <f>IFERROR(__xludf.DUMMYFUNCTION("""COMPUTED_VALUE"""),0.0)</f>
        <v>0</v>
      </c>
      <c r="O197" s="10">
        <f>IFERROR(__xludf.DUMMYFUNCTION("""COMPUTED_VALUE"""),0.0)</f>
        <v>0</v>
      </c>
      <c r="P197" s="10">
        <f>IFERROR(__xludf.DUMMYFUNCTION("""COMPUTED_VALUE"""),0.0)</f>
        <v>0</v>
      </c>
      <c r="Q197" s="10" t="str">
        <f>IFERROR(__xludf.DUMMYFUNCTION("""COMPUTED_VALUE"""),"No")</f>
        <v>No</v>
      </c>
      <c r="R197" s="10" t="str">
        <f>IFERROR(__xludf.DUMMYFUNCTION("""COMPUTED_VALUE"""),"No")</f>
        <v>No</v>
      </c>
      <c r="S197" s="10" t="str">
        <f>IFERROR(__xludf.DUMMYFUNCTION("""COMPUTED_VALUE"""),"No")</f>
        <v>No</v>
      </c>
      <c r="T197" s="10">
        <f>IFERROR(__xludf.DUMMYFUNCTION("""COMPUTED_VALUE"""),0.0)</f>
        <v>0</v>
      </c>
      <c r="U197" s="10">
        <f>IFERROR(__xludf.DUMMYFUNCTION("""COMPUTED_VALUE"""),0.0)</f>
        <v>0</v>
      </c>
      <c r="V197" s="10" t="str">
        <f>IFERROR(__xludf.DUMMYFUNCTION("""COMPUTED_VALUE"""),"جمعہ کے دن کی اہمیت اور فلسطین میں ظلم ہونے کے خلاف جہاد کی ترغیب")</f>
        <v>جمعہ کے دن کی اہمیت اور فلسطین میں ظلم ہونے کے خلاف جہاد کی ترغیب</v>
      </c>
      <c r="W197" s="10" t="str">
        <f>IFERROR(__xludf.DUMMYFUNCTION("""COMPUTED_VALUE"""),"جمعہ کے دن اپنے تمام کام کو چھوڑ دینا اور صرف جمعے کی طرف دھیان دینا اور فلسطین میں جو مظلوم بچوں کے لیے دعا کرنا اور ان کے لیے جہاد کا انتظام کرنا چاہے وہ کسی بھی صورت میں ہو دعا کی یا مصنوعات کے بائیکاٹ سے")</f>
        <v>جمعہ کے دن اپنے تمام کام کو چھوڑ دینا اور صرف جمعے کی طرف دھیان دینا اور فلسطین میں جو مظلوم بچوں کے لیے دعا کرنا اور ان کے لیے جہاد کا انتظام کرنا چاہے وہ کسی بھی صورت میں ہو دعا کی یا مصنوعات کے بائیکاٹ سے</v>
      </c>
      <c r="X197" s="10">
        <f>IFERROR(__xludf.DUMMYFUNCTION("""COMPUTED_VALUE"""),7.0)</f>
        <v>7</v>
      </c>
      <c r="Y197" s="10">
        <f>IFERROR(__xludf.DUMMYFUNCTION("""COMPUTED_VALUE"""),2.0)</f>
        <v>2</v>
      </c>
      <c r="Z197" s="10">
        <f>IFERROR(__xludf.DUMMYFUNCTION("""COMPUTED_VALUE"""),0.0)</f>
        <v>0</v>
      </c>
      <c r="AA197" s="10">
        <f>IFERROR(__xludf.DUMMYFUNCTION("""COMPUTED_VALUE"""),7.0)</f>
        <v>7</v>
      </c>
      <c r="AB197" s="10">
        <f>IFERROR(__xludf.DUMMYFUNCTION("""COMPUTED_VALUE"""),0.0)</f>
        <v>0</v>
      </c>
      <c r="AC197" s="10">
        <f>IFERROR(__xludf.DUMMYFUNCTION("""COMPUTED_VALUE"""),0.0)</f>
        <v>0</v>
      </c>
      <c r="AD197" s="10">
        <f>IFERROR(__xludf.DUMMYFUNCTION("""COMPUTED_VALUE"""),0.0)</f>
        <v>0</v>
      </c>
      <c r="AE197" s="10">
        <f>IFERROR(__xludf.DUMMYFUNCTION("""COMPUTED_VALUE"""),0.0)</f>
        <v>0</v>
      </c>
      <c r="AF197" s="10">
        <f>IFERROR(__xludf.DUMMYFUNCTION("""COMPUTED_VALUE"""),8.0)</f>
        <v>8</v>
      </c>
      <c r="AG197" s="10">
        <f>IFERROR(__xludf.DUMMYFUNCTION("""COMPUTED_VALUE"""),8.0)</f>
        <v>8</v>
      </c>
      <c r="AH197" s="10">
        <f>IFERROR(__xludf.DUMMYFUNCTION("""COMPUTED_VALUE"""),0.0)</f>
        <v>0</v>
      </c>
      <c r="AI197" s="10">
        <f>IFERROR(__xludf.DUMMYFUNCTION("""COMPUTED_VALUE"""),8.0)</f>
        <v>8</v>
      </c>
      <c r="AJ197" s="11" t="str">
        <f>IFERROR(__xludf.DUMMYFUNCTION("""COMPUTED_VALUE"""),"https://drive.google.com/open?id=1MrJEylDKFSjTsacre8Zkwpj0tGoBRiAu")</f>
        <v>https://drive.google.com/open?id=1MrJEylDKFSjTsacre8Zkwpj0tGoBRiAu</v>
      </c>
      <c r="AK197" s="12">
        <f>IFERROR(__xludf.DUMMYFUNCTION("""COMPUTED_VALUE"""),0.0)</f>
        <v>0</v>
      </c>
      <c r="AL197" s="12" t="str">
        <f>IFERROR(__xludf.DUMMYFUNCTION("""COMPUTED_VALUE"""),"Yes")</f>
        <v>Yes</v>
      </c>
      <c r="AM197" s="15">
        <f>IFERROR(__xludf.DUMMYFUNCTION("""COMPUTED_VALUE"""),0.0)</f>
        <v>0</v>
      </c>
      <c r="AN197" s="12" t="str">
        <f>IFERROR(__xludf.DUMMYFUNCTION("""COMPUTED_VALUE"""),"2nd week")</f>
        <v>2nd week</v>
      </c>
      <c r="AO197" s="13">
        <v>3.0</v>
      </c>
      <c r="AX197" s="13">
        <v>2.0</v>
      </c>
    </row>
    <row r="198">
      <c r="A198" s="8">
        <v>197.0</v>
      </c>
      <c r="B198" s="9">
        <f>IFERROR(__xludf.DUMMYFUNCTION("""COMPUTED_VALUE"""),45778.321965752315)</f>
        <v>45778.32197</v>
      </c>
      <c r="C198" s="10" t="str">
        <f>IFERROR(__xludf.DUMMYFUNCTION("""COMPUTED_VALUE"""),"Shakeela")</f>
        <v>Shakeela</v>
      </c>
      <c r="D198" s="10" t="str">
        <f>IFERROR(__xludf.DUMMYFUNCTION("""COMPUTED_VALUE"""),"03359485820")</f>
        <v>03359485820</v>
      </c>
      <c r="E198" s="10" t="str">
        <f>IFERROR(__xludf.DUMMYFUNCTION("""COMPUTED_VALUE"""),"Jamia Masjid Takiya Peer Hassan Shah Wali Lahore")</f>
        <v>Jamia Masjid Takiya Peer Hassan Shah Wali Lahore</v>
      </c>
      <c r="F198" s="10" t="str">
        <f>IFERROR(__xludf.DUMMYFUNCTION("""COMPUTED_VALUE"""),"buvya")</f>
        <v>buvya</v>
      </c>
      <c r="G198" s="10" t="str">
        <f>IFERROR(__xludf.DUMMYFUNCTION("""COMPUTED_VALUE"""),"Yes")</f>
        <v>Yes</v>
      </c>
      <c r="H198" s="10">
        <f>IFERROR(__xludf.DUMMYFUNCTION("""COMPUTED_VALUE"""),7.0)</f>
        <v>7</v>
      </c>
      <c r="I198" s="10">
        <f>IFERROR(__xludf.DUMMYFUNCTION("""COMPUTED_VALUE"""),2.0)</f>
        <v>2</v>
      </c>
      <c r="J198" s="10">
        <f>IFERROR(__xludf.DUMMYFUNCTION("""COMPUTED_VALUE"""),8.0)</f>
        <v>8</v>
      </c>
      <c r="K198" s="10">
        <f>IFERROR(__xludf.DUMMYFUNCTION("""COMPUTED_VALUE"""),0.0)</f>
        <v>0</v>
      </c>
      <c r="L198" s="10">
        <f>IFERROR(__xludf.DUMMYFUNCTION("""COMPUTED_VALUE"""),9.0)</f>
        <v>9</v>
      </c>
      <c r="M198" s="10">
        <f>IFERROR(__xludf.DUMMYFUNCTION("""COMPUTED_VALUE"""),0.0)</f>
        <v>0</v>
      </c>
      <c r="N198" s="10">
        <f>IFERROR(__xludf.DUMMYFUNCTION("""COMPUTED_VALUE"""),8.0)</f>
        <v>8</v>
      </c>
      <c r="O198" s="10">
        <f>IFERROR(__xludf.DUMMYFUNCTION("""COMPUTED_VALUE"""),0.0)</f>
        <v>0</v>
      </c>
      <c r="P198" s="10">
        <f>IFERROR(__xludf.DUMMYFUNCTION("""COMPUTED_VALUE"""),8.0)</f>
        <v>8</v>
      </c>
      <c r="Q198" s="10" t="str">
        <f>IFERROR(__xludf.DUMMYFUNCTION("""COMPUTED_VALUE"""),"No")</f>
        <v>No</v>
      </c>
      <c r="R198" s="10" t="str">
        <f>IFERROR(__xludf.DUMMYFUNCTION("""COMPUTED_VALUE"""),"Yes")</f>
        <v>Yes</v>
      </c>
      <c r="S198" s="10" t="str">
        <f>IFERROR(__xludf.DUMMYFUNCTION("""COMPUTED_VALUE"""),"No")</f>
        <v>No</v>
      </c>
      <c r="T198" s="10">
        <f>IFERROR(__xludf.DUMMYFUNCTION("""COMPUTED_VALUE"""),0.0)</f>
        <v>0</v>
      </c>
      <c r="U198" s="10">
        <f>IFERROR(__xludf.DUMMYFUNCTION("""COMPUTED_VALUE"""),0.0)</f>
        <v>0</v>
      </c>
      <c r="V198" s="10" t="str">
        <f>IFERROR(__xludf.DUMMYFUNCTION("""COMPUTED_VALUE"""),"Hamsayion K haqooq")</f>
        <v>Hamsayion K haqooq</v>
      </c>
      <c r="W198" s="10" t="str">
        <f>IFERROR(__xludf.DUMMYFUNCTION("""COMPUTED_VALUE"""),"Hamsayoon k Haqooq")</f>
        <v>Hamsayoon k Haqooq</v>
      </c>
      <c r="X198" s="10">
        <f>IFERROR(__xludf.DUMMYFUNCTION("""COMPUTED_VALUE"""),3.0)</f>
        <v>3</v>
      </c>
      <c r="Y198" s="10">
        <f>IFERROR(__xludf.DUMMYFUNCTION("""COMPUTED_VALUE"""),7.0)</f>
        <v>7</v>
      </c>
      <c r="Z198" s="10">
        <f>IFERROR(__xludf.DUMMYFUNCTION("""COMPUTED_VALUE"""),0.0)</f>
        <v>0</v>
      </c>
      <c r="AA198" s="10">
        <f>IFERROR(__xludf.DUMMYFUNCTION("""COMPUTED_VALUE"""),0.0)</f>
        <v>0</v>
      </c>
      <c r="AB198" s="10">
        <f>IFERROR(__xludf.DUMMYFUNCTION("""COMPUTED_VALUE"""),3.0)</f>
        <v>3</v>
      </c>
      <c r="AC198" s="10">
        <f>IFERROR(__xludf.DUMMYFUNCTION("""COMPUTED_VALUE"""),0.0)</f>
        <v>0</v>
      </c>
      <c r="AD198" s="10">
        <f>IFERROR(__xludf.DUMMYFUNCTION("""COMPUTED_VALUE"""),0.0)</f>
        <v>0</v>
      </c>
      <c r="AE198" s="10">
        <f>IFERROR(__xludf.DUMMYFUNCTION("""COMPUTED_VALUE"""),0.0)</f>
        <v>0</v>
      </c>
      <c r="AF198" s="10">
        <f>IFERROR(__xludf.DUMMYFUNCTION("""COMPUTED_VALUE"""),0.0)</f>
        <v>0</v>
      </c>
      <c r="AG198" s="10">
        <f>IFERROR(__xludf.DUMMYFUNCTION("""COMPUTED_VALUE"""),6.0)</f>
        <v>6</v>
      </c>
      <c r="AH198" s="10">
        <f>IFERROR(__xludf.DUMMYFUNCTION("""COMPUTED_VALUE"""),1.0)</f>
        <v>1</v>
      </c>
      <c r="AI198" s="10">
        <f>IFERROR(__xludf.DUMMYFUNCTION("""COMPUTED_VALUE"""),7.0)</f>
        <v>7</v>
      </c>
      <c r="AJ198" s="11" t="str">
        <f>IFERROR(__xludf.DUMMYFUNCTION("""COMPUTED_VALUE"""),"https://drive.google.com/open?id=1NMzrLihuOtKPnV79JOY2jlhgGs-W746x")</f>
        <v>https://drive.google.com/open?id=1NMzrLihuOtKPnV79JOY2jlhgGs-W746x</v>
      </c>
      <c r="AK198" s="12"/>
      <c r="AL198" s="12" t="str">
        <f>IFERROR(__xludf.DUMMYFUNCTION("""COMPUTED_VALUE"""),"Yes")</f>
        <v>Yes</v>
      </c>
      <c r="AM198" s="15">
        <f>IFERROR(__xludf.DUMMYFUNCTION("""COMPUTED_VALUE"""),0.7)</f>
        <v>0.7</v>
      </c>
      <c r="AN198" s="12" t="str">
        <f>IFERROR(__xludf.DUMMYFUNCTION("""COMPUTED_VALUE"""),"1st week")</f>
        <v>1st week</v>
      </c>
      <c r="AO198" s="13">
        <v>1.0</v>
      </c>
      <c r="AX198" s="13">
        <v>1.0</v>
      </c>
    </row>
    <row r="199">
      <c r="A199" s="8">
        <v>198.0</v>
      </c>
      <c r="B199" s="9">
        <f>IFERROR(__xludf.DUMMYFUNCTION("""COMPUTED_VALUE"""),45778.32822614584)</f>
        <v>45778.32823</v>
      </c>
      <c r="C199" s="10" t="str">
        <f>IFERROR(__xludf.DUMMYFUNCTION("""COMPUTED_VALUE"""),"Shakeela")</f>
        <v>Shakeela</v>
      </c>
      <c r="D199" s="10" t="str">
        <f>IFERROR(__xludf.DUMMYFUNCTION("""COMPUTED_VALUE"""),"03359485820")</f>
        <v>03359485820</v>
      </c>
      <c r="E199" s="10" t="str">
        <f>IFERROR(__xludf.DUMMYFUNCTION("""COMPUTED_VALUE"""),"Jamia Masjid Walton Lahore")</f>
        <v>Jamia Masjid Walton Lahore</v>
      </c>
      <c r="F199" s="10" t="str">
        <f>IFERROR(__xludf.DUMMYFUNCTION("""COMPUTED_VALUE"""),"vmezu")</f>
        <v>vmezu</v>
      </c>
      <c r="G199" s="10" t="str">
        <f>IFERROR(__xludf.DUMMYFUNCTION("""COMPUTED_VALUE"""),"Yes")</f>
        <v>Yes</v>
      </c>
      <c r="H199" s="10">
        <f>IFERROR(__xludf.DUMMYFUNCTION("""COMPUTED_VALUE"""),10.0)</f>
        <v>10</v>
      </c>
      <c r="I199" s="10">
        <f>IFERROR(__xludf.DUMMYFUNCTION("""COMPUTED_VALUE"""),1.0)</f>
        <v>1</v>
      </c>
      <c r="J199" s="10">
        <f>IFERROR(__xludf.DUMMYFUNCTION("""COMPUTED_VALUE"""),9.0)</f>
        <v>9</v>
      </c>
      <c r="K199" s="10">
        <f>IFERROR(__xludf.DUMMYFUNCTION("""COMPUTED_VALUE"""),0.0)</f>
        <v>0</v>
      </c>
      <c r="L199" s="10">
        <f>IFERROR(__xludf.DUMMYFUNCTION("""COMPUTED_VALUE"""),10.0)</f>
        <v>10</v>
      </c>
      <c r="M199" s="10">
        <f>IFERROR(__xludf.DUMMYFUNCTION("""COMPUTED_VALUE"""),0.0)</f>
        <v>0</v>
      </c>
      <c r="N199" s="10">
        <f>IFERROR(__xludf.DUMMYFUNCTION("""COMPUTED_VALUE"""),10.0)</f>
        <v>10</v>
      </c>
      <c r="O199" s="10">
        <f>IFERROR(__xludf.DUMMYFUNCTION("""COMPUTED_VALUE"""),0.0)</f>
        <v>0</v>
      </c>
      <c r="P199" s="10">
        <f>IFERROR(__xludf.DUMMYFUNCTION("""COMPUTED_VALUE"""),10.0)</f>
        <v>10</v>
      </c>
      <c r="Q199" s="10" t="str">
        <f>IFERROR(__xludf.DUMMYFUNCTION("""COMPUTED_VALUE"""),"No")</f>
        <v>No</v>
      </c>
      <c r="R199" s="10" t="str">
        <f>IFERROR(__xludf.DUMMYFUNCTION("""COMPUTED_VALUE"""),"Yes")</f>
        <v>Yes</v>
      </c>
      <c r="S199" s="10" t="str">
        <f>IFERROR(__xludf.DUMMYFUNCTION("""COMPUTED_VALUE"""),"Yes")</f>
        <v>Yes</v>
      </c>
      <c r="T199" s="10">
        <f>IFERROR(__xludf.DUMMYFUNCTION("""COMPUTED_VALUE"""),0.0)</f>
        <v>0</v>
      </c>
      <c r="U199" s="10">
        <f>IFERROR(__xludf.DUMMYFUNCTION("""COMPUTED_VALUE"""),0.0)</f>
        <v>0</v>
      </c>
      <c r="V199" s="10" t="str">
        <f>IFERROR(__xludf.DUMMYFUNCTION("""COMPUTED_VALUE"""),"Community Rights")</f>
        <v>Community Rights</v>
      </c>
      <c r="W199" s="10" t="str">
        <f>IFERROR(__xludf.DUMMYFUNCTION("""COMPUTED_VALUE"""),"Community rights in islam")</f>
        <v>Community rights in islam</v>
      </c>
      <c r="X199" s="10">
        <f>IFERROR(__xludf.DUMMYFUNCTION("""COMPUTED_VALUE"""),1.0)</f>
        <v>1</v>
      </c>
      <c r="Y199" s="10">
        <f>IFERROR(__xludf.DUMMYFUNCTION("""COMPUTED_VALUE"""),9.0)</f>
        <v>9</v>
      </c>
      <c r="Z199" s="10">
        <f>IFERROR(__xludf.DUMMYFUNCTION("""COMPUTED_VALUE"""),6.0)</f>
        <v>6</v>
      </c>
      <c r="AA199" s="10">
        <f>IFERROR(__xludf.DUMMYFUNCTION("""COMPUTED_VALUE"""),5.0)</f>
        <v>5</v>
      </c>
      <c r="AB199" s="10">
        <f>IFERROR(__xludf.DUMMYFUNCTION("""COMPUTED_VALUE"""),7.0)</f>
        <v>7</v>
      </c>
      <c r="AC199" s="10">
        <f>IFERROR(__xludf.DUMMYFUNCTION("""COMPUTED_VALUE"""),4.0)</f>
        <v>4</v>
      </c>
      <c r="AD199" s="10">
        <f>IFERROR(__xludf.DUMMYFUNCTION("""COMPUTED_VALUE"""),1.0)</f>
        <v>1</v>
      </c>
      <c r="AE199" s="10">
        <f>IFERROR(__xludf.DUMMYFUNCTION("""COMPUTED_VALUE"""),0.0)</f>
        <v>0</v>
      </c>
      <c r="AF199" s="10">
        <f>IFERROR(__xludf.DUMMYFUNCTION("""COMPUTED_VALUE"""),0.0)</f>
        <v>0</v>
      </c>
      <c r="AG199" s="10">
        <f>IFERROR(__xludf.DUMMYFUNCTION("""COMPUTED_VALUE"""),10.0)</f>
        <v>10</v>
      </c>
      <c r="AH199" s="10">
        <f>IFERROR(__xludf.DUMMYFUNCTION("""COMPUTED_VALUE"""),1.0)</f>
        <v>1</v>
      </c>
      <c r="AI199" s="10">
        <f>IFERROR(__xludf.DUMMYFUNCTION("""COMPUTED_VALUE"""),10.0)</f>
        <v>10</v>
      </c>
      <c r="AJ199" s="11" t="str">
        <f>IFERROR(__xludf.DUMMYFUNCTION("""COMPUTED_VALUE"""),"https://drive.google.com/open?id=1tGITvqp9OU-zcEpWFhZTgGG05IzmPFpi")</f>
        <v>https://drive.google.com/open?id=1tGITvqp9OU-zcEpWFhZTgGG05IzmPFpi</v>
      </c>
      <c r="AK199" s="12"/>
      <c r="AL199" s="12" t="str">
        <f>IFERROR(__xludf.DUMMYFUNCTION("""COMPUTED_VALUE"""),"Yes")</f>
        <v>Yes</v>
      </c>
      <c r="AM199" s="15">
        <f>IFERROR(__xludf.DUMMYFUNCTION("""COMPUTED_VALUE"""),1.0)</f>
        <v>1</v>
      </c>
      <c r="AN199" s="12" t="str">
        <f>IFERROR(__xludf.DUMMYFUNCTION("""COMPUTED_VALUE"""),"2nd week")</f>
        <v>2nd week</v>
      </c>
      <c r="AO199" s="13">
        <v>2.0</v>
      </c>
      <c r="AX199" s="13">
        <v>2.0</v>
      </c>
    </row>
    <row r="200">
      <c r="A200" s="8">
        <v>199.0</v>
      </c>
      <c r="B200" s="9">
        <f>IFERROR(__xludf.DUMMYFUNCTION("""COMPUTED_VALUE"""),45778.334279409726)</f>
        <v>45778.33428</v>
      </c>
      <c r="C200" s="10" t="str">
        <f>IFERROR(__xludf.DUMMYFUNCTION("""COMPUTED_VALUE"""),"Shakeela")</f>
        <v>Shakeela</v>
      </c>
      <c r="D200" s="10" t="str">
        <f>IFERROR(__xludf.DUMMYFUNCTION("""COMPUTED_VALUE"""),"03359485820")</f>
        <v>03359485820</v>
      </c>
      <c r="E200" s="10" t="str">
        <f>IFERROR(__xludf.DUMMYFUNCTION("""COMPUTED_VALUE"""),"Jamia Masjid Takiya Hazoori Shah Lahore")</f>
        <v>Jamia Masjid Takiya Hazoori Shah Lahore</v>
      </c>
      <c r="F200" s="10" t="str">
        <f>IFERROR(__xludf.DUMMYFUNCTION("""COMPUTED_VALUE"""),"wfyxg")</f>
        <v>wfyxg</v>
      </c>
      <c r="G200" s="10" t="str">
        <f>IFERROR(__xludf.DUMMYFUNCTION("""COMPUTED_VALUE"""),"No")</f>
        <v>No</v>
      </c>
      <c r="H200" s="10"/>
      <c r="I200" s="10"/>
      <c r="J200" s="10"/>
      <c r="K200" s="10">
        <f>IFERROR(__xludf.DUMMYFUNCTION("""COMPUTED_VALUE"""),0.0)</f>
        <v>0</v>
      </c>
      <c r="L200" s="10">
        <f>IFERROR(__xludf.DUMMYFUNCTION("""COMPUTED_VALUE"""),0.0)</f>
        <v>0</v>
      </c>
      <c r="M200" s="10">
        <f>IFERROR(__xludf.DUMMYFUNCTION("""COMPUTED_VALUE"""),0.0)</f>
        <v>0</v>
      </c>
      <c r="N200" s="10">
        <f>IFERROR(__xludf.DUMMYFUNCTION("""COMPUTED_VALUE"""),0.0)</f>
        <v>0</v>
      </c>
      <c r="O200" s="10">
        <f>IFERROR(__xludf.DUMMYFUNCTION("""COMPUTED_VALUE"""),0.0)</f>
        <v>0</v>
      </c>
      <c r="P200" s="10">
        <f>IFERROR(__xludf.DUMMYFUNCTION("""COMPUTED_VALUE"""),0.0)</f>
        <v>0</v>
      </c>
      <c r="Q200" s="10" t="str">
        <f>IFERROR(__xludf.DUMMYFUNCTION("""COMPUTED_VALUE"""),"No")</f>
        <v>No</v>
      </c>
      <c r="R200" s="10" t="str">
        <f>IFERROR(__xludf.DUMMYFUNCTION("""COMPUTED_VALUE"""),"No")</f>
        <v>No</v>
      </c>
      <c r="S200" s="10" t="str">
        <f>IFERROR(__xludf.DUMMYFUNCTION("""COMPUTED_VALUE"""),"No")</f>
        <v>No</v>
      </c>
      <c r="T200" s="10">
        <f>IFERROR(__xludf.DUMMYFUNCTION("""COMPUTED_VALUE"""),0.0)</f>
        <v>0</v>
      </c>
      <c r="U200" s="10">
        <f>IFERROR(__xludf.DUMMYFUNCTION("""COMPUTED_VALUE"""),0.0)</f>
        <v>0</v>
      </c>
      <c r="V200" s="10" t="str">
        <f>IFERROR(__xludf.DUMMYFUNCTION("""COMPUTED_VALUE"""),"Tauheed, safai")</f>
        <v>Tauheed, safai</v>
      </c>
      <c r="W200" s="10" t="str">
        <f>IFERROR(__xludf.DUMMYFUNCTION("""COMPUTED_VALUE"""),"Safau nisaf eman hai")</f>
        <v>Safau nisaf eman hai</v>
      </c>
      <c r="X200" s="10">
        <f>IFERROR(__xludf.DUMMYFUNCTION("""COMPUTED_VALUE"""),3.0)</f>
        <v>3</v>
      </c>
      <c r="Y200" s="10">
        <f>IFERROR(__xludf.DUMMYFUNCTION("""COMPUTED_VALUE"""),4.0)</f>
        <v>4</v>
      </c>
      <c r="Z200" s="10">
        <f>IFERROR(__xludf.DUMMYFUNCTION("""COMPUTED_VALUE"""),6.0)</f>
        <v>6</v>
      </c>
      <c r="AA200" s="10">
        <f>IFERROR(__xludf.DUMMYFUNCTION("""COMPUTED_VALUE"""),6.0)</f>
        <v>6</v>
      </c>
      <c r="AB200" s="10">
        <f>IFERROR(__xludf.DUMMYFUNCTION("""COMPUTED_VALUE"""),6.0)</f>
        <v>6</v>
      </c>
      <c r="AC200" s="10">
        <f>IFERROR(__xludf.DUMMYFUNCTION("""COMPUTED_VALUE"""),2.0)</f>
        <v>2</v>
      </c>
      <c r="AD200" s="10">
        <f>IFERROR(__xludf.DUMMYFUNCTION("""COMPUTED_VALUE"""),4.0)</f>
        <v>4</v>
      </c>
      <c r="AE200" s="10">
        <f>IFERROR(__xludf.DUMMYFUNCTION("""COMPUTED_VALUE"""),0.0)</f>
        <v>0</v>
      </c>
      <c r="AF200" s="10">
        <f>IFERROR(__xludf.DUMMYFUNCTION("""COMPUTED_VALUE"""),0.0)</f>
        <v>0</v>
      </c>
      <c r="AG200" s="10">
        <f>IFERROR(__xludf.DUMMYFUNCTION("""COMPUTED_VALUE"""),8.0)</f>
        <v>8</v>
      </c>
      <c r="AH200" s="10">
        <f>IFERROR(__xludf.DUMMYFUNCTION("""COMPUTED_VALUE"""),1.0)</f>
        <v>1</v>
      </c>
      <c r="AI200" s="10">
        <f>IFERROR(__xludf.DUMMYFUNCTION("""COMPUTED_VALUE"""),9.0)</f>
        <v>9</v>
      </c>
      <c r="AJ200" s="11" t="str">
        <f>IFERROR(__xludf.DUMMYFUNCTION("""COMPUTED_VALUE"""),"https://drive.google.com/open?id=1THXCDuENZb6NZQvHiUew_VFm0aP03RDg")</f>
        <v>https://drive.google.com/open?id=1THXCDuENZb6NZQvHiUew_VFm0aP03RDg</v>
      </c>
      <c r="AK200" s="12"/>
      <c r="AL200" s="12"/>
      <c r="AM200" s="12"/>
      <c r="AN200" s="12" t="str">
        <f>IFERROR(__xludf.DUMMYFUNCTION("""COMPUTED_VALUE"""),"1st week")</f>
        <v>1st week</v>
      </c>
      <c r="AO200" s="13">
        <v>1.0</v>
      </c>
      <c r="AX200" s="13">
        <v>1.0</v>
      </c>
    </row>
    <row r="201">
      <c r="A201" s="8">
        <v>200.0</v>
      </c>
      <c r="B201" s="9">
        <f>IFERROR(__xludf.DUMMYFUNCTION("""COMPUTED_VALUE"""),45778.34196571759)</f>
        <v>45778.34197</v>
      </c>
      <c r="C201" s="10" t="str">
        <f>IFERROR(__xludf.DUMMYFUNCTION("""COMPUTED_VALUE"""),"Shakeela")</f>
        <v>Shakeela</v>
      </c>
      <c r="D201" s="10" t="str">
        <f>IFERROR(__xludf.DUMMYFUNCTION("""COMPUTED_VALUE"""),"03359485820")</f>
        <v>03359485820</v>
      </c>
      <c r="E201" s="10" t="str">
        <f>IFERROR(__xludf.DUMMYFUNCTION("""COMPUTED_VALUE"""),"Jamia Masjid Shiekh Sikandar Lahore")</f>
        <v>Jamia Masjid Shiekh Sikandar Lahore</v>
      </c>
      <c r="F201" s="10" t="str">
        <f>IFERROR(__xludf.DUMMYFUNCTION("""COMPUTED_VALUE"""),"jypnp")</f>
        <v>jypnp</v>
      </c>
      <c r="G201" s="10" t="str">
        <f>IFERROR(__xludf.DUMMYFUNCTION("""COMPUTED_VALUE"""),"Yes")</f>
        <v>Yes</v>
      </c>
      <c r="H201" s="10">
        <f>IFERROR(__xludf.DUMMYFUNCTION("""COMPUTED_VALUE"""),8.0)</f>
        <v>8</v>
      </c>
      <c r="I201" s="10">
        <f>IFERROR(__xludf.DUMMYFUNCTION("""COMPUTED_VALUE"""),3.0)</f>
        <v>3</v>
      </c>
      <c r="J201" s="10">
        <f>IFERROR(__xludf.DUMMYFUNCTION("""COMPUTED_VALUE"""),8.0)</f>
        <v>8</v>
      </c>
      <c r="K201" s="10">
        <f>IFERROR(__xludf.DUMMYFUNCTION("""COMPUTED_VALUE"""),0.0)</f>
        <v>0</v>
      </c>
      <c r="L201" s="10">
        <f>IFERROR(__xludf.DUMMYFUNCTION("""COMPUTED_VALUE"""),8.0)</f>
        <v>8</v>
      </c>
      <c r="M201" s="10">
        <f>IFERROR(__xludf.DUMMYFUNCTION("""COMPUTED_VALUE"""),0.0)</f>
        <v>0</v>
      </c>
      <c r="N201" s="10">
        <f>IFERROR(__xludf.DUMMYFUNCTION("""COMPUTED_VALUE"""),9.0)</f>
        <v>9</v>
      </c>
      <c r="O201" s="10">
        <f>IFERROR(__xludf.DUMMYFUNCTION("""COMPUTED_VALUE"""),0.0)</f>
        <v>0</v>
      </c>
      <c r="P201" s="10">
        <f>IFERROR(__xludf.DUMMYFUNCTION("""COMPUTED_VALUE"""),7.0)</f>
        <v>7</v>
      </c>
      <c r="Q201" s="10" t="str">
        <f>IFERROR(__xludf.DUMMYFUNCTION("""COMPUTED_VALUE"""),"No")</f>
        <v>No</v>
      </c>
      <c r="R201" s="10" t="str">
        <f>IFERROR(__xludf.DUMMYFUNCTION("""COMPUTED_VALUE"""),"Yes")</f>
        <v>Yes</v>
      </c>
      <c r="S201" s="10" t="str">
        <f>IFERROR(__xludf.DUMMYFUNCTION("""COMPUTED_VALUE"""),"No")</f>
        <v>No</v>
      </c>
      <c r="T201" s="10">
        <f>IFERROR(__xludf.DUMMYFUNCTION("""COMPUTED_VALUE"""),0.0)</f>
        <v>0</v>
      </c>
      <c r="U201" s="10">
        <f>IFERROR(__xludf.DUMMYFUNCTION("""COMPUTED_VALUE"""),0.0)</f>
        <v>0</v>
      </c>
      <c r="V201" s="10" t="str">
        <f>IFERROR(__xludf.DUMMYFUNCTION("""COMPUTED_VALUE"""),"Padosion k Haqooq")</f>
        <v>Padosion k Haqooq</v>
      </c>
      <c r="W201" s="10" t="str">
        <f>IFERROR(__xludf.DUMMYFUNCTION("""COMPUTED_VALUE"""),"Padosi k haqooq")</f>
        <v>Padosi k haqooq</v>
      </c>
      <c r="X201" s="10">
        <f>IFERROR(__xludf.DUMMYFUNCTION("""COMPUTED_VALUE"""),2.0)</f>
        <v>2</v>
      </c>
      <c r="Y201" s="10">
        <f>IFERROR(__xludf.DUMMYFUNCTION("""COMPUTED_VALUE"""),7.0)</f>
        <v>7</v>
      </c>
      <c r="Z201" s="10">
        <f>IFERROR(__xludf.DUMMYFUNCTION("""COMPUTED_VALUE"""),6.0)</f>
        <v>6</v>
      </c>
      <c r="AA201" s="10">
        <f>IFERROR(__xludf.DUMMYFUNCTION("""COMPUTED_VALUE"""),5.0)</f>
        <v>5</v>
      </c>
      <c r="AB201" s="10">
        <f>IFERROR(__xludf.DUMMYFUNCTION("""COMPUTED_VALUE"""),6.0)</f>
        <v>6</v>
      </c>
      <c r="AC201" s="10">
        <f>IFERROR(__xludf.DUMMYFUNCTION("""COMPUTED_VALUE"""),5.0)</f>
        <v>5</v>
      </c>
      <c r="AD201" s="10">
        <f>IFERROR(__xludf.DUMMYFUNCTION("""COMPUTED_VALUE"""),0.0)</f>
        <v>0</v>
      </c>
      <c r="AE201" s="10">
        <f>IFERROR(__xludf.DUMMYFUNCTION("""COMPUTED_VALUE"""),0.0)</f>
        <v>0</v>
      </c>
      <c r="AF201" s="10">
        <f>IFERROR(__xludf.DUMMYFUNCTION("""COMPUTED_VALUE"""),0.0)</f>
        <v>0</v>
      </c>
      <c r="AG201" s="10">
        <f>IFERROR(__xludf.DUMMYFUNCTION("""COMPUTED_VALUE"""),6.0)</f>
        <v>6</v>
      </c>
      <c r="AH201" s="10">
        <f>IFERROR(__xludf.DUMMYFUNCTION("""COMPUTED_VALUE"""),2.0)</f>
        <v>2</v>
      </c>
      <c r="AI201" s="10">
        <f>IFERROR(__xludf.DUMMYFUNCTION("""COMPUTED_VALUE"""),8.0)</f>
        <v>8</v>
      </c>
      <c r="AJ201" s="11" t="str">
        <f>IFERROR(__xludf.DUMMYFUNCTION("""COMPUTED_VALUE"""),"https://docs.google.com/document/d/1PFEKaOjmr2c78NdCk07OX0A8o-EUvUsq/edit?usp=drive_link&amp;ouid=117122465010506134151&amp;rtpof=true&amp;sd=true")</f>
        <v>https://docs.google.com/document/d/1PFEKaOjmr2c78NdCk07OX0A8o-EUvUsq/edit?usp=drive_link&amp;ouid=117122465010506134151&amp;rtpof=true&amp;sd=true</v>
      </c>
      <c r="AK201" s="12"/>
      <c r="AL201" s="12" t="str">
        <f>IFERROR(__xludf.DUMMYFUNCTION("""COMPUTED_VALUE"""),"Yes")</f>
        <v>Yes</v>
      </c>
      <c r="AM201" s="15">
        <f>IFERROR(__xludf.DUMMYFUNCTION("""COMPUTED_VALUE"""),0.8)</f>
        <v>0.8</v>
      </c>
      <c r="AN201" s="12" t="str">
        <f>IFERROR(__xludf.DUMMYFUNCTION("""COMPUTED_VALUE"""),"2nd week")</f>
        <v>2nd week</v>
      </c>
      <c r="AO201" s="13">
        <v>2.0</v>
      </c>
      <c r="AX201" s="13">
        <v>2.0</v>
      </c>
    </row>
    <row r="202">
      <c r="A202" s="8">
        <v>201.0</v>
      </c>
      <c r="B202" s="9">
        <f>IFERROR(__xludf.DUMMYFUNCTION("""COMPUTED_VALUE"""),45778.3444090625)</f>
        <v>45778.34441</v>
      </c>
      <c r="C202" s="10" t="str">
        <f>IFERROR(__xludf.DUMMYFUNCTION("""COMPUTED_VALUE"""),"Shakeela")</f>
        <v>Shakeela</v>
      </c>
      <c r="D202" s="10" t="str">
        <f>IFERROR(__xludf.DUMMYFUNCTION("""COMPUTED_VALUE"""),"03359485820")</f>
        <v>03359485820</v>
      </c>
      <c r="E202" s="10" t="str">
        <f>IFERROR(__xludf.DUMMYFUNCTION("""COMPUTED_VALUE"""),"Jamia Masjid Takiya Peer Hassan Shah Wali Lahore")</f>
        <v>Jamia Masjid Takiya Peer Hassan Shah Wali Lahore</v>
      </c>
      <c r="F202" s="10" t="str">
        <f>IFERROR(__xludf.DUMMYFUNCTION("""COMPUTED_VALUE"""),"buvya")</f>
        <v>buvya</v>
      </c>
      <c r="G202" s="10" t="str">
        <f>IFERROR(__xludf.DUMMYFUNCTION("""COMPUTED_VALUE"""),"Yes")</f>
        <v>Yes</v>
      </c>
      <c r="H202" s="10">
        <f>IFERROR(__xludf.DUMMYFUNCTION("""COMPUTED_VALUE"""),7.0)</f>
        <v>7</v>
      </c>
      <c r="I202" s="10">
        <f>IFERROR(__xludf.DUMMYFUNCTION("""COMPUTED_VALUE"""),1.0)</f>
        <v>1</v>
      </c>
      <c r="J202" s="10">
        <f>IFERROR(__xludf.DUMMYFUNCTION("""COMPUTED_VALUE"""),7.0)</f>
        <v>7</v>
      </c>
      <c r="K202" s="10">
        <f>IFERROR(__xludf.DUMMYFUNCTION("""COMPUTED_VALUE"""),0.0)</f>
        <v>0</v>
      </c>
      <c r="L202" s="10">
        <f>IFERROR(__xludf.DUMMYFUNCTION("""COMPUTED_VALUE"""),8.0)</f>
        <v>8</v>
      </c>
      <c r="M202" s="10">
        <f>IFERROR(__xludf.DUMMYFUNCTION("""COMPUTED_VALUE"""),0.0)</f>
        <v>0</v>
      </c>
      <c r="N202" s="10">
        <f>IFERROR(__xludf.DUMMYFUNCTION("""COMPUTED_VALUE"""),8.0)</f>
        <v>8</v>
      </c>
      <c r="O202" s="10">
        <f>IFERROR(__xludf.DUMMYFUNCTION("""COMPUTED_VALUE"""),0.0)</f>
        <v>0</v>
      </c>
      <c r="P202" s="10">
        <f>IFERROR(__xludf.DUMMYFUNCTION("""COMPUTED_VALUE"""),8.0)</f>
        <v>8</v>
      </c>
      <c r="Q202" s="10" t="str">
        <f>IFERROR(__xludf.DUMMYFUNCTION("""COMPUTED_VALUE"""),"No")</f>
        <v>No</v>
      </c>
      <c r="R202" s="10" t="str">
        <f>IFERROR(__xludf.DUMMYFUNCTION("""COMPUTED_VALUE"""),"Yes")</f>
        <v>Yes</v>
      </c>
      <c r="S202" s="10" t="str">
        <f>IFERROR(__xludf.DUMMYFUNCTION("""COMPUTED_VALUE"""),"No")</f>
        <v>No</v>
      </c>
      <c r="T202" s="10">
        <f>IFERROR(__xludf.DUMMYFUNCTION("""COMPUTED_VALUE"""),0.0)</f>
        <v>0</v>
      </c>
      <c r="U202" s="10">
        <f>IFERROR(__xludf.DUMMYFUNCTION("""COMPUTED_VALUE"""),0.0)</f>
        <v>0</v>
      </c>
      <c r="V202" s="10" t="str">
        <f>IFERROR(__xludf.DUMMYFUNCTION("""COMPUTED_VALUE"""),"Padosi K Haqooq")</f>
        <v>Padosi K Haqooq</v>
      </c>
      <c r="W202" s="10" t="str">
        <f>IFERROR(__xludf.DUMMYFUNCTION("""COMPUTED_VALUE"""),"Padosion k haqooq")</f>
        <v>Padosion k haqooq</v>
      </c>
      <c r="X202" s="10">
        <f>IFERROR(__xludf.DUMMYFUNCTION("""COMPUTED_VALUE"""),2.0)</f>
        <v>2</v>
      </c>
      <c r="Y202" s="10">
        <f>IFERROR(__xludf.DUMMYFUNCTION("""COMPUTED_VALUE"""),7.0)</f>
        <v>7</v>
      </c>
      <c r="Z202" s="10">
        <f>IFERROR(__xludf.DUMMYFUNCTION("""COMPUTED_VALUE"""),7.0)</f>
        <v>7</v>
      </c>
      <c r="AA202" s="10">
        <f>IFERROR(__xludf.DUMMYFUNCTION("""COMPUTED_VALUE"""),5.0)</f>
        <v>5</v>
      </c>
      <c r="AB202" s="10">
        <f>IFERROR(__xludf.DUMMYFUNCTION("""COMPUTED_VALUE"""),5.0)</f>
        <v>5</v>
      </c>
      <c r="AC202" s="10">
        <f>IFERROR(__xludf.DUMMYFUNCTION("""COMPUTED_VALUE"""),0.0)</f>
        <v>0</v>
      </c>
      <c r="AD202" s="10">
        <f>IFERROR(__xludf.DUMMYFUNCTION("""COMPUTED_VALUE"""),0.0)</f>
        <v>0</v>
      </c>
      <c r="AE202" s="10">
        <f>IFERROR(__xludf.DUMMYFUNCTION("""COMPUTED_VALUE"""),0.0)</f>
        <v>0</v>
      </c>
      <c r="AF202" s="10">
        <f>IFERROR(__xludf.DUMMYFUNCTION("""COMPUTED_VALUE"""),0.0)</f>
        <v>0</v>
      </c>
      <c r="AG202" s="10">
        <f>IFERROR(__xludf.DUMMYFUNCTION("""COMPUTED_VALUE"""),5.0)</f>
        <v>5</v>
      </c>
      <c r="AH202" s="10">
        <f>IFERROR(__xludf.DUMMYFUNCTION("""COMPUTED_VALUE"""),3.0)</f>
        <v>3</v>
      </c>
      <c r="AI202" s="10">
        <f>IFERROR(__xludf.DUMMYFUNCTION("""COMPUTED_VALUE"""),6.0)</f>
        <v>6</v>
      </c>
      <c r="AJ202" s="11" t="str">
        <f>IFERROR(__xludf.DUMMYFUNCTION("""COMPUTED_VALUE"""),"https://drive.google.com/open?id=1nBW4wYdL6VcYO5XfKImoQfAdaDbU2ic_")</f>
        <v>https://drive.google.com/open?id=1nBW4wYdL6VcYO5XfKImoQfAdaDbU2ic_</v>
      </c>
      <c r="AK202" s="12"/>
      <c r="AL202" s="12" t="str">
        <f>IFERROR(__xludf.DUMMYFUNCTION("""COMPUTED_VALUE"""),"Yes")</f>
        <v>Yes</v>
      </c>
      <c r="AM202" s="12"/>
      <c r="AN202" s="12" t="str">
        <f>IFERROR(__xludf.DUMMYFUNCTION("""COMPUTED_VALUE"""),"2nd week")</f>
        <v>2nd week</v>
      </c>
      <c r="AO202" s="13">
        <v>2.0</v>
      </c>
      <c r="AX202" s="13">
        <v>2.0</v>
      </c>
    </row>
    <row r="203">
      <c r="A203" s="8">
        <v>202.0</v>
      </c>
      <c r="B203" s="9">
        <f>IFERROR(__xludf.DUMMYFUNCTION("""COMPUTED_VALUE"""),45778.364530844905)</f>
        <v>45778.36453</v>
      </c>
      <c r="C203" s="10" t="str">
        <f>IFERROR(__xludf.DUMMYFUNCTION("""COMPUTED_VALUE"""),"Jamshaid Ali")</f>
        <v>Jamshaid Ali</v>
      </c>
      <c r="D203" s="10" t="str">
        <f>IFERROR(__xludf.DUMMYFUNCTION("""COMPUTED_VALUE"""),"03344036442")</f>
        <v>03344036442</v>
      </c>
      <c r="E203" s="10" t="str">
        <f>IFERROR(__xludf.DUMMYFUNCTION("""COMPUTED_VALUE"""),"Jamia Masjid Auqaf wali session  court kachary sheikhupura")</f>
        <v>Jamia Masjid Auqaf wali session  court kachary sheikhupura</v>
      </c>
      <c r="F203" s="16" t="str">
        <f>IFERROR(__xludf.DUMMYFUNCTION("""COMPUTED_VALUE"""),"fjkfw")</f>
        <v>fjkfw</v>
      </c>
      <c r="G203" s="10" t="str">
        <f>IFERROR(__xludf.DUMMYFUNCTION("""COMPUTED_VALUE"""),"Yes")</f>
        <v>Yes</v>
      </c>
      <c r="H203" s="10">
        <f>IFERROR(__xludf.DUMMYFUNCTION("""COMPUTED_VALUE"""),9.0)</f>
        <v>9</v>
      </c>
      <c r="I203" s="10">
        <f>IFERROR(__xludf.DUMMYFUNCTION("""COMPUTED_VALUE"""),3.0)</f>
        <v>3</v>
      </c>
      <c r="J203" s="10">
        <f>IFERROR(__xludf.DUMMYFUNCTION("""COMPUTED_VALUE"""),9.0)</f>
        <v>9</v>
      </c>
      <c r="K203" s="10">
        <f>IFERROR(__xludf.DUMMYFUNCTION("""COMPUTED_VALUE"""),0.0)</f>
        <v>0</v>
      </c>
      <c r="L203" s="10">
        <f>IFERROR(__xludf.DUMMYFUNCTION("""COMPUTED_VALUE"""),9.0)</f>
        <v>9</v>
      </c>
      <c r="M203" s="10">
        <f>IFERROR(__xludf.DUMMYFUNCTION("""COMPUTED_VALUE"""),0.0)</f>
        <v>0</v>
      </c>
      <c r="N203" s="10">
        <f>IFERROR(__xludf.DUMMYFUNCTION("""COMPUTED_VALUE"""),9.0)</f>
        <v>9</v>
      </c>
      <c r="O203" s="10">
        <f>IFERROR(__xludf.DUMMYFUNCTION("""COMPUTED_VALUE"""),0.0)</f>
        <v>0</v>
      </c>
      <c r="P203" s="10">
        <f>IFERROR(__xludf.DUMMYFUNCTION("""COMPUTED_VALUE"""),10.0)</f>
        <v>10</v>
      </c>
      <c r="Q203" s="10" t="str">
        <f>IFERROR(__xludf.DUMMYFUNCTION("""COMPUTED_VALUE"""),"No")</f>
        <v>No</v>
      </c>
      <c r="R203" s="10" t="str">
        <f>IFERROR(__xludf.DUMMYFUNCTION("""COMPUTED_VALUE"""),"Yes")</f>
        <v>Yes</v>
      </c>
      <c r="S203" s="10" t="str">
        <f>IFERROR(__xludf.DUMMYFUNCTION("""COMPUTED_VALUE"""),"No")</f>
        <v>No</v>
      </c>
      <c r="T203" s="10">
        <f>IFERROR(__xludf.DUMMYFUNCTION("""COMPUTED_VALUE"""),0.0)</f>
        <v>0</v>
      </c>
      <c r="U203" s="10">
        <f>IFERROR(__xludf.DUMMYFUNCTION("""COMPUTED_VALUE"""),0.0)</f>
        <v>0</v>
      </c>
      <c r="V203" s="10" t="str">
        <f>IFERROR(__xludf.DUMMYFUNCTION("""COMPUTED_VALUE"""),"Hamsaion ke Haqooq aur Safai nisf emaan")</f>
        <v>Hamsaion ke Haqooq aur Safai nisf emaan</v>
      </c>
      <c r="W203" s="10" t="str">
        <f>IFERROR(__xludf.DUMMYFUNCTION("""COMPUTED_VALUE"""),"Hamsaion k sath acha salook krein aur apny ird gird k mahole ko saaf rakhein")</f>
        <v>Hamsaion k sath acha salook krein aur apny ird gird k mahole ko saaf rakhein</v>
      </c>
      <c r="X203" s="10">
        <f>IFERROR(__xludf.DUMMYFUNCTION("""COMPUTED_VALUE"""),1.0)</f>
        <v>1</v>
      </c>
      <c r="Y203" s="10">
        <f>IFERROR(__xludf.DUMMYFUNCTION("""COMPUTED_VALUE"""),8.0)</f>
        <v>8</v>
      </c>
      <c r="Z203" s="10">
        <f>IFERROR(__xludf.DUMMYFUNCTION("""COMPUTED_VALUE"""),7.0)</f>
        <v>7</v>
      </c>
      <c r="AA203" s="10">
        <f>IFERROR(__xludf.DUMMYFUNCTION("""COMPUTED_VALUE"""),5.0)</f>
        <v>5</v>
      </c>
      <c r="AB203" s="10">
        <f>IFERROR(__xludf.DUMMYFUNCTION("""COMPUTED_VALUE"""),5.0)</f>
        <v>5</v>
      </c>
      <c r="AC203" s="10">
        <f>IFERROR(__xludf.DUMMYFUNCTION("""COMPUTED_VALUE"""),0.0)</f>
        <v>0</v>
      </c>
      <c r="AD203" s="10">
        <f>IFERROR(__xludf.DUMMYFUNCTION("""COMPUTED_VALUE"""),0.0)</f>
        <v>0</v>
      </c>
      <c r="AE203" s="10">
        <f>IFERROR(__xludf.DUMMYFUNCTION("""COMPUTED_VALUE"""),4.0)</f>
        <v>4</v>
      </c>
      <c r="AF203" s="10">
        <f>IFERROR(__xludf.DUMMYFUNCTION("""COMPUTED_VALUE"""),2.0)</f>
        <v>2</v>
      </c>
      <c r="AG203" s="10">
        <f>IFERROR(__xludf.DUMMYFUNCTION("""COMPUTED_VALUE"""),8.0)</f>
        <v>8</v>
      </c>
      <c r="AH203" s="10">
        <f>IFERROR(__xludf.DUMMYFUNCTION("""COMPUTED_VALUE"""),0.0)</f>
        <v>0</v>
      </c>
      <c r="AI203" s="10">
        <f>IFERROR(__xludf.DUMMYFUNCTION("""COMPUTED_VALUE"""),8.0)</f>
        <v>8</v>
      </c>
      <c r="AJ203" s="11" t="str">
        <f>IFERROR(__xludf.DUMMYFUNCTION("""COMPUTED_VALUE"""),"https://drive.google.com/open?id=14ctVqXYbHxS-5CPjVqSzTXJgimYwm_lM")</f>
        <v>https://drive.google.com/open?id=14ctVqXYbHxS-5CPjVqSzTXJgimYwm_lM</v>
      </c>
      <c r="AK203" s="12"/>
      <c r="AL203" s="12" t="str">
        <f>IFERROR(__xludf.DUMMYFUNCTION("""COMPUTED_VALUE"""),"Yes")</f>
        <v>Yes</v>
      </c>
      <c r="AM203" s="15">
        <f>IFERROR(__xludf.DUMMYFUNCTION("""COMPUTED_VALUE"""),0.8)</f>
        <v>0.8</v>
      </c>
      <c r="AN203" s="12" t="str">
        <f>IFERROR(__xludf.DUMMYFUNCTION("""COMPUTED_VALUE"""),"2nd week")</f>
        <v>2nd week</v>
      </c>
      <c r="AO203" s="13" t="s">
        <v>9</v>
      </c>
      <c r="AX203" s="13"/>
    </row>
    <row r="204">
      <c r="A204" s="8">
        <v>203.0</v>
      </c>
      <c r="B204" s="9">
        <f>IFERROR(__xludf.DUMMYFUNCTION("""COMPUTED_VALUE"""),45778.460669872686)</f>
        <v>45778.46067</v>
      </c>
      <c r="C204" s="10" t="str">
        <f>IFERROR(__xludf.DUMMYFUNCTION("""COMPUTED_VALUE"""),"maham")</f>
        <v>maham</v>
      </c>
      <c r="D204" s="10" t="str">
        <f>IFERROR(__xludf.DUMMYFUNCTION("""COMPUTED_VALUE"""),"03218118680")</f>
        <v>03218118680</v>
      </c>
      <c r="E204" s="10" t="str">
        <f>IFERROR(__xludf.DUMMYFUNCTION("""COMPUTED_VALUE"""),"sermon 2 Jamia Masjid Noor Emaan wali Kashmiri bazaar Lahore ")</f>
        <v>sermon 2 Jamia Masjid Noor Emaan wali Kashmiri bazaar Lahore </v>
      </c>
      <c r="F204" s="10" t="str">
        <f>IFERROR(__xludf.DUMMYFUNCTION("""COMPUTED_VALUE"""),"tnjaz")</f>
        <v>tnjaz</v>
      </c>
      <c r="G204" s="10" t="str">
        <f>IFERROR(__xludf.DUMMYFUNCTION("""COMPUTED_VALUE"""),"Yes")</f>
        <v>Yes</v>
      </c>
      <c r="H204" s="10">
        <f>IFERROR(__xludf.DUMMYFUNCTION("""COMPUTED_VALUE"""),5.0)</f>
        <v>5</v>
      </c>
      <c r="I204" s="10">
        <f>IFERROR(__xludf.DUMMYFUNCTION("""COMPUTED_VALUE"""),3.0)</f>
        <v>3</v>
      </c>
      <c r="J204" s="10">
        <f>IFERROR(__xludf.DUMMYFUNCTION("""COMPUTED_VALUE"""),5.0)</f>
        <v>5</v>
      </c>
      <c r="K204" s="10">
        <f>IFERROR(__xludf.DUMMYFUNCTION("""COMPUTED_VALUE"""),0.0)</f>
        <v>0</v>
      </c>
      <c r="L204" s="10">
        <f>IFERROR(__xludf.DUMMYFUNCTION("""COMPUTED_VALUE"""),3.0)</f>
        <v>3</v>
      </c>
      <c r="M204" s="10">
        <f>IFERROR(__xludf.DUMMYFUNCTION("""COMPUTED_VALUE"""),0.0)</f>
        <v>0</v>
      </c>
      <c r="N204" s="10">
        <f>IFERROR(__xludf.DUMMYFUNCTION("""COMPUTED_VALUE"""),2.0)</f>
        <v>2</v>
      </c>
      <c r="O204" s="10">
        <f>IFERROR(__xludf.DUMMYFUNCTION("""COMPUTED_VALUE"""),0.0)</f>
        <v>0</v>
      </c>
      <c r="P204" s="10">
        <f>IFERROR(__xludf.DUMMYFUNCTION("""COMPUTED_VALUE"""),0.0)</f>
        <v>0</v>
      </c>
      <c r="Q204" s="10" t="str">
        <f>IFERROR(__xludf.DUMMYFUNCTION("""COMPUTED_VALUE"""),"No")</f>
        <v>No</v>
      </c>
      <c r="R204" s="10" t="str">
        <f>IFERROR(__xludf.DUMMYFUNCTION("""COMPUTED_VALUE"""),"No")</f>
        <v>No</v>
      </c>
      <c r="S204" s="10" t="str">
        <f>IFERROR(__xludf.DUMMYFUNCTION("""COMPUTED_VALUE"""),"No")</f>
        <v>No</v>
      </c>
      <c r="T204" s="10">
        <f>IFERROR(__xludf.DUMMYFUNCTION("""COMPUTED_VALUE"""),0.0)</f>
        <v>0</v>
      </c>
      <c r="U204" s="10">
        <f>IFERROR(__xludf.DUMMYFUNCTION("""COMPUTED_VALUE"""),0.0)</f>
        <v>0</v>
      </c>
      <c r="V204" s="10" t="str">
        <f>IFERROR(__xludf.DUMMYFUNCTION("""COMPUTED_VALUE"""),"اللہ اور اس کے رسول کی اطاعت ارکان اسلام کی اہمیت اور فلسطین میں ہونے والے مظالم کے خلاف جہاد")</f>
        <v>اللہ اور اس کے رسول کی اطاعت ارکان اسلام کی اہمیت اور فلسطین میں ہونے والے مظالم کے خلاف جہاد</v>
      </c>
      <c r="W204" s="10" t="str">
        <f>IFERROR(__xludf.DUMMYFUNCTION("""COMPUTED_VALUE"""),"اس خطبے میں امام صاحب نے اللہ اور اس کے رسول کی اطاعت کو ضروری قرار دیا اور ارکان اسلام کے نماز روزہ کی اہمیت کو بیان کیا اور فلسطین میں ہونے والے ظلم کے خلاف جہاد کی ترغیب تھی")</f>
        <v>اس خطبے میں امام صاحب نے اللہ اور اس کے رسول کی اطاعت کو ضروری قرار دیا اور ارکان اسلام کے نماز روزہ کی اہمیت کو بیان کیا اور فلسطین میں ہونے والے ظلم کے خلاف جہاد کی ترغیب تھی</v>
      </c>
      <c r="X204" s="10">
        <f>IFERROR(__xludf.DUMMYFUNCTION("""COMPUTED_VALUE"""),6.0)</f>
        <v>6</v>
      </c>
      <c r="Y204" s="10">
        <f>IFERROR(__xludf.DUMMYFUNCTION("""COMPUTED_VALUE"""),2.0)</f>
        <v>2</v>
      </c>
      <c r="Z204" s="10">
        <f>IFERROR(__xludf.DUMMYFUNCTION("""COMPUTED_VALUE"""),0.0)</f>
        <v>0</v>
      </c>
      <c r="AA204" s="10">
        <f>IFERROR(__xludf.DUMMYFUNCTION("""COMPUTED_VALUE"""),8.0)</f>
        <v>8</v>
      </c>
      <c r="AB204" s="10">
        <f>IFERROR(__xludf.DUMMYFUNCTION("""COMPUTED_VALUE"""),0.0)</f>
        <v>0</v>
      </c>
      <c r="AC204" s="10">
        <f>IFERROR(__xludf.DUMMYFUNCTION("""COMPUTED_VALUE"""),0.0)</f>
        <v>0</v>
      </c>
      <c r="AD204" s="10">
        <f>IFERROR(__xludf.DUMMYFUNCTION("""COMPUTED_VALUE"""),0.0)</f>
        <v>0</v>
      </c>
      <c r="AE204" s="10">
        <f>IFERROR(__xludf.DUMMYFUNCTION("""COMPUTED_VALUE"""),0.0)</f>
        <v>0</v>
      </c>
      <c r="AF204" s="10">
        <f>IFERROR(__xludf.DUMMYFUNCTION("""COMPUTED_VALUE"""),8.0)</f>
        <v>8</v>
      </c>
      <c r="AG204" s="10">
        <f>IFERROR(__xludf.DUMMYFUNCTION("""COMPUTED_VALUE"""),8.0)</f>
        <v>8</v>
      </c>
      <c r="AH204" s="10">
        <f>IFERROR(__xludf.DUMMYFUNCTION("""COMPUTED_VALUE"""),0.0)</f>
        <v>0</v>
      </c>
      <c r="AI204" s="10">
        <f>IFERROR(__xludf.DUMMYFUNCTION("""COMPUTED_VALUE"""),9.0)</f>
        <v>9</v>
      </c>
      <c r="AJ204" s="11" t="str">
        <f>IFERROR(__xludf.DUMMYFUNCTION("""COMPUTED_VALUE"""),"https://drive.google.com/open?id=1uZvbBBuXbhAlijca2704oXUbxei4Kipd")</f>
        <v>https://drive.google.com/open?id=1uZvbBBuXbhAlijca2704oXUbxei4Kipd</v>
      </c>
      <c r="AK204" s="12">
        <f>IFERROR(__xludf.DUMMYFUNCTION("""COMPUTED_VALUE"""),0.0)</f>
        <v>0</v>
      </c>
      <c r="AL204" s="12" t="str">
        <f>IFERROR(__xludf.DUMMYFUNCTION("""COMPUTED_VALUE"""),"Yes")</f>
        <v>Yes</v>
      </c>
      <c r="AM204" s="15">
        <f>IFERROR(__xludf.DUMMYFUNCTION("""COMPUTED_VALUE"""),0.5)</f>
        <v>0.5</v>
      </c>
      <c r="AN204" s="12" t="str">
        <f>IFERROR(__xludf.DUMMYFUNCTION("""COMPUTED_VALUE"""),"2nd week")</f>
        <v>2nd week</v>
      </c>
      <c r="AO204" s="13">
        <v>2.0</v>
      </c>
      <c r="AX204" s="13">
        <v>2.0</v>
      </c>
    </row>
    <row r="205">
      <c r="A205" s="8">
        <v>204.0</v>
      </c>
      <c r="B205" s="9">
        <f>IFERROR(__xludf.DUMMYFUNCTION("""COMPUTED_VALUE"""),45779.05665219907)</f>
        <v>45779.05665</v>
      </c>
      <c r="C205" s="10" t="str">
        <f>IFERROR(__xludf.DUMMYFUNCTION("""COMPUTED_VALUE"""),"shakeela")</f>
        <v>shakeela</v>
      </c>
      <c r="D205" s="10" t="str">
        <f>IFERROR(__xludf.DUMMYFUNCTION("""COMPUTED_VALUE"""),"03359485820")</f>
        <v>03359485820</v>
      </c>
      <c r="E205" s="10" t="str">
        <f>IFERROR(__xludf.DUMMYFUNCTION("""COMPUTED_VALUE"""),"Jamia Mosjid Noorani Qasaban Wali")</f>
        <v>Jamia Mosjid Noorani Qasaban Wali</v>
      </c>
      <c r="F205" s="10" t="str">
        <f>IFERROR(__xludf.DUMMYFUNCTION("""COMPUTED_VALUE"""),"hkeci")</f>
        <v>hkeci</v>
      </c>
      <c r="G205" s="10" t="str">
        <f>IFERROR(__xludf.DUMMYFUNCTION("""COMPUTED_VALUE"""),"Yes")</f>
        <v>Yes</v>
      </c>
      <c r="H205" s="10">
        <f>IFERROR(__xludf.DUMMYFUNCTION("""COMPUTED_VALUE"""),8.0)</f>
        <v>8</v>
      </c>
      <c r="I205" s="10">
        <f>IFERROR(__xludf.DUMMYFUNCTION("""COMPUTED_VALUE"""),2.0)</f>
        <v>2</v>
      </c>
      <c r="J205" s="10">
        <f>IFERROR(__xludf.DUMMYFUNCTION("""COMPUTED_VALUE"""),9.0)</f>
        <v>9</v>
      </c>
      <c r="K205" s="10">
        <f>IFERROR(__xludf.DUMMYFUNCTION("""COMPUTED_VALUE"""),9.0)</f>
        <v>9</v>
      </c>
      <c r="L205" s="10">
        <f>IFERROR(__xludf.DUMMYFUNCTION("""COMPUTED_VALUE"""),0.0)</f>
        <v>0</v>
      </c>
      <c r="M205" s="10">
        <f>IFERROR(__xludf.DUMMYFUNCTION("""COMPUTED_VALUE"""),8.0)</f>
        <v>8</v>
      </c>
      <c r="N205" s="10">
        <f>IFERROR(__xludf.DUMMYFUNCTION("""COMPUTED_VALUE"""),0.0)</f>
        <v>0</v>
      </c>
      <c r="O205" s="10">
        <f>IFERROR(__xludf.DUMMYFUNCTION("""COMPUTED_VALUE"""),8.0)</f>
        <v>8</v>
      </c>
      <c r="P205" s="10">
        <f>IFERROR(__xludf.DUMMYFUNCTION("""COMPUTED_VALUE"""),0.0)</f>
        <v>0</v>
      </c>
      <c r="Q205" s="10" t="str">
        <f>IFERROR(__xludf.DUMMYFUNCTION("""COMPUTED_VALUE"""),"Yes")</f>
        <v>Yes</v>
      </c>
      <c r="R205" s="10" t="str">
        <f>IFERROR(__xludf.DUMMYFUNCTION("""COMPUTED_VALUE"""),"No")</f>
        <v>No</v>
      </c>
      <c r="S205" s="10" t="str">
        <f>IFERROR(__xludf.DUMMYFUNCTION("""COMPUTED_VALUE"""),"Yes")</f>
        <v>Yes</v>
      </c>
      <c r="T205" s="10">
        <f>IFERROR(__xludf.DUMMYFUNCTION("""COMPUTED_VALUE"""),0.0)</f>
        <v>0</v>
      </c>
      <c r="U205" s="10">
        <f>IFERROR(__xludf.DUMMYFUNCTION("""COMPUTED_VALUE"""),0.0)</f>
        <v>0</v>
      </c>
      <c r="V205" s="10" t="str">
        <f>IFERROR(__xludf.DUMMYFUNCTION("""COMPUTED_VALUE"""),"Islam Ma Aurton ka muqam ")</f>
        <v>Islam Ma Aurton ka muqam </v>
      </c>
      <c r="W205" s="10" t="str">
        <f>IFERROR(__xludf.DUMMYFUNCTION("""COMPUTED_VALUE"""),"Islam Ma Aurton ka muqam ")</f>
        <v>Islam Ma Aurton ka muqam </v>
      </c>
      <c r="X205" s="10">
        <f>IFERROR(__xludf.DUMMYFUNCTION("""COMPUTED_VALUE"""),3.0)</f>
        <v>3</v>
      </c>
      <c r="Y205" s="10">
        <f>IFERROR(__xludf.DUMMYFUNCTION("""COMPUTED_VALUE"""),6.0)</f>
        <v>6</v>
      </c>
      <c r="Z205" s="10">
        <f>IFERROR(__xludf.DUMMYFUNCTION("""COMPUTED_VALUE"""),5.0)</f>
        <v>5</v>
      </c>
      <c r="AA205" s="10">
        <f>IFERROR(__xludf.DUMMYFUNCTION("""COMPUTED_VALUE"""),5.0)</f>
        <v>5</v>
      </c>
      <c r="AB205" s="10">
        <f>IFERROR(__xludf.DUMMYFUNCTION("""COMPUTED_VALUE"""),5.0)</f>
        <v>5</v>
      </c>
      <c r="AC205" s="10">
        <f>IFERROR(__xludf.DUMMYFUNCTION("""COMPUTED_VALUE"""),4.0)</f>
        <v>4</v>
      </c>
      <c r="AD205" s="10">
        <f>IFERROR(__xludf.DUMMYFUNCTION("""COMPUTED_VALUE"""),6.0)</f>
        <v>6</v>
      </c>
      <c r="AE205" s="10">
        <f>IFERROR(__xludf.DUMMYFUNCTION("""COMPUTED_VALUE"""),0.0)</f>
        <v>0</v>
      </c>
      <c r="AF205" s="10">
        <f>IFERROR(__xludf.DUMMYFUNCTION("""COMPUTED_VALUE"""),0.0)</f>
        <v>0</v>
      </c>
      <c r="AG205" s="10">
        <f>IFERROR(__xludf.DUMMYFUNCTION("""COMPUTED_VALUE"""),7.0)</f>
        <v>7</v>
      </c>
      <c r="AH205" s="10">
        <f>IFERROR(__xludf.DUMMYFUNCTION("""COMPUTED_VALUE"""),1.0)</f>
        <v>1</v>
      </c>
      <c r="AI205" s="10">
        <f>IFERROR(__xludf.DUMMYFUNCTION("""COMPUTED_VALUE"""),8.0)</f>
        <v>8</v>
      </c>
      <c r="AJ205" s="11" t="str">
        <f>IFERROR(__xludf.DUMMYFUNCTION("""COMPUTED_VALUE"""),"https://drive.google.com/open?id=1KXcnbLoieVN-GfhWDn5zdBZnogTt4HS3")</f>
        <v>https://drive.google.com/open?id=1KXcnbLoieVN-GfhWDn5zdBZnogTt4HS3</v>
      </c>
      <c r="AK205" s="12"/>
      <c r="AL205" s="12" t="str">
        <f>IFERROR(__xludf.DUMMYFUNCTION("""COMPUTED_VALUE"""),"Yes")</f>
        <v>Yes</v>
      </c>
      <c r="AM205" s="15">
        <f>IFERROR(__xludf.DUMMYFUNCTION("""COMPUTED_VALUE"""),0.8)</f>
        <v>0.8</v>
      </c>
      <c r="AN205" s="12" t="str">
        <f>IFERROR(__xludf.DUMMYFUNCTION("""COMPUTED_VALUE"""),"2nd week")</f>
        <v>2nd week</v>
      </c>
      <c r="AO205" s="13">
        <v>2.0</v>
      </c>
      <c r="AX205" s="13">
        <v>2.0</v>
      </c>
    </row>
    <row r="206">
      <c r="A206" s="8">
        <v>205.0</v>
      </c>
      <c r="B206" s="9">
        <f>IFERROR(__xludf.DUMMYFUNCTION("""COMPUTED_VALUE"""),45779.06198935185)</f>
        <v>45779.06199</v>
      </c>
      <c r="C206" s="10" t="str">
        <f>IFERROR(__xludf.DUMMYFUNCTION("""COMPUTED_VALUE"""),"Shakeela")</f>
        <v>Shakeela</v>
      </c>
      <c r="D206" s="10" t="str">
        <f>IFERROR(__xludf.DUMMYFUNCTION("""COMPUTED_VALUE"""),"03359485820")</f>
        <v>03359485820</v>
      </c>
      <c r="E206" s="10" t="str">
        <f>IFERROR(__xludf.DUMMYFUNCTION("""COMPUTED_VALUE"""),"Jamia Masjid Madina Purani Anarkali Lahore")</f>
        <v>Jamia Masjid Madina Purani Anarkali Lahore</v>
      </c>
      <c r="F206" s="10" t="str">
        <f>IFERROR(__xludf.DUMMYFUNCTION("""COMPUTED_VALUE"""),"bpozt")</f>
        <v>bpozt</v>
      </c>
      <c r="G206" s="10" t="str">
        <f>IFERROR(__xludf.DUMMYFUNCTION("""COMPUTED_VALUE"""),"Yes")</f>
        <v>Yes</v>
      </c>
      <c r="H206" s="10">
        <f>IFERROR(__xludf.DUMMYFUNCTION("""COMPUTED_VALUE"""),0.0)</f>
        <v>0</v>
      </c>
      <c r="I206" s="10">
        <f>IFERROR(__xludf.DUMMYFUNCTION("""COMPUTED_VALUE"""),0.0)</f>
        <v>0</v>
      </c>
      <c r="J206" s="10">
        <f>IFERROR(__xludf.DUMMYFUNCTION("""COMPUTED_VALUE"""),0.0)</f>
        <v>0</v>
      </c>
      <c r="K206" s="10">
        <f>IFERROR(__xludf.DUMMYFUNCTION("""COMPUTED_VALUE"""),0.0)</f>
        <v>0</v>
      </c>
      <c r="L206" s="10">
        <f>IFERROR(__xludf.DUMMYFUNCTION("""COMPUTED_VALUE"""),0.0)</f>
        <v>0</v>
      </c>
      <c r="M206" s="10">
        <f>IFERROR(__xludf.DUMMYFUNCTION("""COMPUTED_VALUE"""),0.0)</f>
        <v>0</v>
      </c>
      <c r="N206" s="10">
        <f>IFERROR(__xludf.DUMMYFUNCTION("""COMPUTED_VALUE"""),0.0)</f>
        <v>0</v>
      </c>
      <c r="O206" s="10">
        <f>IFERROR(__xludf.DUMMYFUNCTION("""COMPUTED_VALUE"""),0.0)</f>
        <v>0</v>
      </c>
      <c r="P206" s="10">
        <f>IFERROR(__xludf.DUMMYFUNCTION("""COMPUTED_VALUE"""),0.0)</f>
        <v>0</v>
      </c>
      <c r="Q206" s="10" t="str">
        <f>IFERROR(__xludf.DUMMYFUNCTION("""COMPUTED_VALUE"""),"No")</f>
        <v>No</v>
      </c>
      <c r="R206" s="10" t="str">
        <f>IFERROR(__xludf.DUMMYFUNCTION("""COMPUTED_VALUE"""),"No")</f>
        <v>No</v>
      </c>
      <c r="S206" s="10" t="str">
        <f>IFERROR(__xludf.DUMMYFUNCTION("""COMPUTED_VALUE"""),"No")</f>
        <v>No</v>
      </c>
      <c r="T206" s="10">
        <f>IFERROR(__xludf.DUMMYFUNCTION("""COMPUTED_VALUE"""),0.0)</f>
        <v>0</v>
      </c>
      <c r="U206" s="10">
        <f>IFERROR(__xludf.DUMMYFUNCTION("""COMPUTED_VALUE"""),0.0)</f>
        <v>0</v>
      </c>
      <c r="V206" s="10" t="str">
        <f>IFERROR(__xludf.DUMMYFUNCTION("""COMPUTED_VALUE"""),"Pani ki ahmiat")</f>
        <v>Pani ki ahmiat</v>
      </c>
      <c r="W206" s="10" t="str">
        <f>IFERROR(__xludf.DUMMYFUNCTION("""COMPUTED_VALUE"""),"pani ko zaya na kren yh ak naimat hai")</f>
        <v>pani ko zaya na kren yh ak naimat hai</v>
      </c>
      <c r="X206" s="10">
        <f>IFERROR(__xludf.DUMMYFUNCTION("""COMPUTED_VALUE"""),4.0)</f>
        <v>4</v>
      </c>
      <c r="Y206" s="10">
        <f>IFERROR(__xludf.DUMMYFUNCTION("""COMPUTED_VALUE"""),6.0)</f>
        <v>6</v>
      </c>
      <c r="Z206" s="10">
        <f>IFERROR(__xludf.DUMMYFUNCTION("""COMPUTED_VALUE"""),5.0)</f>
        <v>5</v>
      </c>
      <c r="AA206" s="10">
        <f>IFERROR(__xludf.DUMMYFUNCTION("""COMPUTED_VALUE"""),4.0)</f>
        <v>4</v>
      </c>
      <c r="AB206" s="10">
        <f>IFERROR(__xludf.DUMMYFUNCTION("""COMPUTED_VALUE"""),5.0)</f>
        <v>5</v>
      </c>
      <c r="AC206" s="10">
        <f>IFERROR(__xludf.DUMMYFUNCTION("""COMPUTED_VALUE"""),5.0)</f>
        <v>5</v>
      </c>
      <c r="AD206" s="10">
        <f>IFERROR(__xludf.DUMMYFUNCTION("""COMPUTED_VALUE"""),0.0)</f>
        <v>0</v>
      </c>
      <c r="AE206" s="10">
        <f>IFERROR(__xludf.DUMMYFUNCTION("""COMPUTED_VALUE"""),0.0)</f>
        <v>0</v>
      </c>
      <c r="AF206" s="10">
        <f>IFERROR(__xludf.DUMMYFUNCTION("""COMPUTED_VALUE"""),1.0)</f>
        <v>1</v>
      </c>
      <c r="AG206" s="10">
        <f>IFERROR(__xludf.DUMMYFUNCTION("""COMPUTED_VALUE"""),8.0)</f>
        <v>8</v>
      </c>
      <c r="AH206" s="10">
        <f>IFERROR(__xludf.DUMMYFUNCTION("""COMPUTED_VALUE"""),0.0)</f>
        <v>0</v>
      </c>
      <c r="AI206" s="10">
        <f>IFERROR(__xludf.DUMMYFUNCTION("""COMPUTED_VALUE"""),7.0)</f>
        <v>7</v>
      </c>
      <c r="AJ206" s="11" t="str">
        <f>IFERROR(__xludf.DUMMYFUNCTION("""COMPUTED_VALUE"""),"https://drive.google.com/open?id=16x1ey0tVhnd_FKbygJqMXAQlj-ndl7VR")</f>
        <v>https://drive.google.com/open?id=16x1ey0tVhnd_FKbygJqMXAQlj-ndl7VR</v>
      </c>
      <c r="AK206" s="12"/>
      <c r="AL206" s="12" t="str">
        <f>IFERROR(__xludf.DUMMYFUNCTION("""COMPUTED_VALUE"""),"Yes")</f>
        <v>Yes</v>
      </c>
      <c r="AM206" s="15">
        <f>IFERROR(__xludf.DUMMYFUNCTION("""COMPUTED_VALUE"""),0.0)</f>
        <v>0</v>
      </c>
      <c r="AN206" s="12" t="str">
        <f>IFERROR(__xludf.DUMMYFUNCTION("""COMPUTED_VALUE"""),"1st week")</f>
        <v>1st week</v>
      </c>
      <c r="AO206" s="13">
        <v>2.0</v>
      </c>
      <c r="AX206" s="13">
        <v>2.0</v>
      </c>
    </row>
    <row r="207">
      <c r="A207" s="8">
        <v>206.0</v>
      </c>
      <c r="B207" s="9">
        <f>IFERROR(__xludf.DUMMYFUNCTION("""COMPUTED_VALUE"""),45779.065744548614)</f>
        <v>45779.06574</v>
      </c>
      <c r="C207" s="10" t="str">
        <f>IFERROR(__xludf.DUMMYFUNCTION("""COMPUTED_VALUE"""),"SHakeela")</f>
        <v>SHakeela</v>
      </c>
      <c r="D207" s="10" t="str">
        <f>IFERROR(__xludf.DUMMYFUNCTION("""COMPUTED_VALUE"""),"03359485820")</f>
        <v>03359485820</v>
      </c>
      <c r="E207" s="10" t="str">
        <f>IFERROR(__xludf.DUMMYFUNCTION("""COMPUTED_VALUE"""),"Jamia Masjid Shah Ali Rungareez Lahore")</f>
        <v>Jamia Masjid Shah Ali Rungareez Lahore</v>
      </c>
      <c r="F207" s="10" t="str">
        <f>IFERROR(__xludf.DUMMYFUNCTION("""COMPUTED_VALUE"""),"fjkfw")</f>
        <v>fjkfw</v>
      </c>
      <c r="G207" s="10" t="str">
        <f>IFERROR(__xludf.DUMMYFUNCTION("""COMPUTED_VALUE"""),"Yes")</f>
        <v>Yes</v>
      </c>
      <c r="H207" s="10">
        <f>IFERROR(__xludf.DUMMYFUNCTION("""COMPUTED_VALUE"""),8.0)</f>
        <v>8</v>
      </c>
      <c r="I207" s="10">
        <f>IFERROR(__xludf.DUMMYFUNCTION("""COMPUTED_VALUE"""),1.0)</f>
        <v>1</v>
      </c>
      <c r="J207" s="10">
        <f>IFERROR(__xludf.DUMMYFUNCTION("""COMPUTED_VALUE"""),8.0)</f>
        <v>8</v>
      </c>
      <c r="K207" s="10">
        <f>IFERROR(__xludf.DUMMYFUNCTION("""COMPUTED_VALUE"""),0.0)</f>
        <v>0</v>
      </c>
      <c r="L207" s="10">
        <f>IFERROR(__xludf.DUMMYFUNCTION("""COMPUTED_VALUE"""),8.0)</f>
        <v>8</v>
      </c>
      <c r="M207" s="10">
        <f>IFERROR(__xludf.DUMMYFUNCTION("""COMPUTED_VALUE"""),0.0)</f>
        <v>0</v>
      </c>
      <c r="N207" s="10">
        <f>IFERROR(__xludf.DUMMYFUNCTION("""COMPUTED_VALUE"""),9.0)</f>
        <v>9</v>
      </c>
      <c r="O207" s="10">
        <f>IFERROR(__xludf.DUMMYFUNCTION("""COMPUTED_VALUE"""),0.0)</f>
        <v>0</v>
      </c>
      <c r="P207" s="10">
        <f>IFERROR(__xludf.DUMMYFUNCTION("""COMPUTED_VALUE"""),8.0)</f>
        <v>8</v>
      </c>
      <c r="Q207" s="10" t="str">
        <f>IFERROR(__xludf.DUMMYFUNCTION("""COMPUTED_VALUE"""),"No")</f>
        <v>No</v>
      </c>
      <c r="R207" s="10" t="str">
        <f>IFERROR(__xludf.DUMMYFUNCTION("""COMPUTED_VALUE"""),"Yes")</f>
        <v>Yes</v>
      </c>
      <c r="S207" s="10" t="str">
        <f>IFERROR(__xludf.DUMMYFUNCTION("""COMPUTED_VALUE"""),"No")</f>
        <v>No</v>
      </c>
      <c r="T207" s="10">
        <f>IFERROR(__xludf.DUMMYFUNCTION("""COMPUTED_VALUE"""),0.0)</f>
        <v>0</v>
      </c>
      <c r="U207" s="10">
        <f>IFERROR(__xludf.DUMMYFUNCTION("""COMPUTED_VALUE"""),7.0)</f>
        <v>7</v>
      </c>
      <c r="V207" s="10" t="str">
        <f>IFERROR(__xludf.DUMMYFUNCTION("""COMPUTED_VALUE"""),"Padosi K Haqooq")</f>
        <v>Padosi K Haqooq</v>
      </c>
      <c r="W207" s="10" t="str">
        <f>IFERROR(__xludf.DUMMYFUNCTION("""COMPUTED_VALUE"""),"Padosi K Haqooq")</f>
        <v>Padosi K Haqooq</v>
      </c>
      <c r="X207" s="10">
        <f>IFERROR(__xludf.DUMMYFUNCTION("""COMPUTED_VALUE"""),1.0)</f>
        <v>1</v>
      </c>
      <c r="Y207" s="10">
        <f>IFERROR(__xludf.DUMMYFUNCTION("""COMPUTED_VALUE"""),8.0)</f>
        <v>8</v>
      </c>
      <c r="Z207" s="10">
        <f>IFERROR(__xludf.DUMMYFUNCTION("""COMPUTED_VALUE"""),5.0)</f>
        <v>5</v>
      </c>
      <c r="AA207" s="10">
        <f>IFERROR(__xludf.DUMMYFUNCTION("""COMPUTED_VALUE"""),5.0)</f>
        <v>5</v>
      </c>
      <c r="AB207" s="10">
        <f>IFERROR(__xludf.DUMMYFUNCTION("""COMPUTED_VALUE"""),6.0)</f>
        <v>6</v>
      </c>
      <c r="AC207" s="10">
        <f>IFERROR(__xludf.DUMMYFUNCTION("""COMPUTED_VALUE"""),6.0)</f>
        <v>6</v>
      </c>
      <c r="AD207" s="10">
        <f>IFERROR(__xludf.DUMMYFUNCTION("""COMPUTED_VALUE"""),0.0)</f>
        <v>0</v>
      </c>
      <c r="AE207" s="10">
        <f>IFERROR(__xludf.DUMMYFUNCTION("""COMPUTED_VALUE"""),0.0)</f>
        <v>0</v>
      </c>
      <c r="AF207" s="10">
        <f>IFERROR(__xludf.DUMMYFUNCTION("""COMPUTED_VALUE"""),0.0)</f>
        <v>0</v>
      </c>
      <c r="AG207" s="10">
        <f>IFERROR(__xludf.DUMMYFUNCTION("""COMPUTED_VALUE"""),7.0)</f>
        <v>7</v>
      </c>
      <c r="AH207" s="10">
        <f>IFERROR(__xludf.DUMMYFUNCTION("""COMPUTED_VALUE"""),1.0)</f>
        <v>1</v>
      </c>
      <c r="AI207" s="10">
        <f>IFERROR(__xludf.DUMMYFUNCTION("""COMPUTED_VALUE"""),9.0)</f>
        <v>9</v>
      </c>
      <c r="AJ207" s="11" t="str">
        <f>IFERROR(__xludf.DUMMYFUNCTION("""COMPUTED_VALUE"""),"https://drive.google.com/open?id=11eUklKQBXkrlLJBTWiGY5EPYYfxRB2Vt")</f>
        <v>https://drive.google.com/open?id=11eUklKQBXkrlLJBTWiGY5EPYYfxRB2Vt</v>
      </c>
      <c r="AK207" s="12"/>
      <c r="AL207" s="12" t="str">
        <f>IFERROR(__xludf.DUMMYFUNCTION("""COMPUTED_VALUE"""),"Yes")</f>
        <v>Yes</v>
      </c>
      <c r="AM207" s="15">
        <f>IFERROR(__xludf.DUMMYFUNCTION("""COMPUTED_VALUE"""),0.8)</f>
        <v>0.8</v>
      </c>
      <c r="AN207" s="12" t="str">
        <f>IFERROR(__xludf.DUMMYFUNCTION("""COMPUTED_VALUE"""),"2nd week")</f>
        <v>2nd week</v>
      </c>
      <c r="AO207" s="13">
        <v>2.0</v>
      </c>
      <c r="AX207" s="13">
        <v>2.0</v>
      </c>
    </row>
    <row r="208">
      <c r="A208" s="8">
        <v>207.0</v>
      </c>
      <c r="B208" s="9">
        <f>IFERROR(__xludf.DUMMYFUNCTION("""COMPUTED_VALUE"""),45779.06845125)</f>
        <v>45779.06845</v>
      </c>
      <c r="C208" s="10" t="str">
        <f>IFERROR(__xludf.DUMMYFUNCTION("""COMPUTED_VALUE"""),"Shakeela")</f>
        <v>Shakeela</v>
      </c>
      <c r="D208" s="10" t="str">
        <f>IFERROR(__xludf.DUMMYFUNCTION("""COMPUTED_VALUE"""),"03359485820")</f>
        <v>03359485820</v>
      </c>
      <c r="E208" s="10" t="str">
        <f>IFERROR(__xludf.DUMMYFUNCTION("""COMPUTED_VALUE"""),"Jamia Masjid Shah Shams Qadari Lahore")</f>
        <v>Jamia Masjid Shah Shams Qadari Lahore</v>
      </c>
      <c r="F208" s="10" t="str">
        <f>IFERROR(__xludf.DUMMYFUNCTION("""COMPUTED_VALUE"""),"rhlwr")</f>
        <v>rhlwr</v>
      </c>
      <c r="G208" s="10" t="str">
        <f>IFERROR(__xludf.DUMMYFUNCTION("""COMPUTED_VALUE"""),"Yes")</f>
        <v>Yes</v>
      </c>
      <c r="H208" s="10">
        <f>IFERROR(__xludf.DUMMYFUNCTION("""COMPUTED_VALUE"""),0.0)</f>
        <v>0</v>
      </c>
      <c r="I208" s="10">
        <f>IFERROR(__xludf.DUMMYFUNCTION("""COMPUTED_VALUE"""),0.0)</f>
        <v>0</v>
      </c>
      <c r="J208" s="10">
        <f>IFERROR(__xludf.DUMMYFUNCTION("""COMPUTED_VALUE"""),0.0)</f>
        <v>0</v>
      </c>
      <c r="K208" s="10">
        <f>IFERROR(__xludf.DUMMYFUNCTION("""COMPUTED_VALUE"""),0.0)</f>
        <v>0</v>
      </c>
      <c r="L208" s="10">
        <f>IFERROR(__xludf.DUMMYFUNCTION("""COMPUTED_VALUE"""),0.0)</f>
        <v>0</v>
      </c>
      <c r="M208" s="10">
        <f>IFERROR(__xludf.DUMMYFUNCTION("""COMPUTED_VALUE"""),0.0)</f>
        <v>0</v>
      </c>
      <c r="N208" s="10">
        <f>IFERROR(__xludf.DUMMYFUNCTION("""COMPUTED_VALUE"""),0.0)</f>
        <v>0</v>
      </c>
      <c r="O208" s="10">
        <f>IFERROR(__xludf.DUMMYFUNCTION("""COMPUTED_VALUE"""),0.0)</f>
        <v>0</v>
      </c>
      <c r="P208" s="10">
        <f>IFERROR(__xludf.DUMMYFUNCTION("""COMPUTED_VALUE"""),0.0)</f>
        <v>0</v>
      </c>
      <c r="Q208" s="10" t="str">
        <f>IFERROR(__xludf.DUMMYFUNCTION("""COMPUTED_VALUE"""),"No")</f>
        <v>No</v>
      </c>
      <c r="R208" s="10" t="str">
        <f>IFERROR(__xludf.DUMMYFUNCTION("""COMPUTED_VALUE"""),"No")</f>
        <v>No</v>
      </c>
      <c r="S208" s="10" t="str">
        <f>IFERROR(__xludf.DUMMYFUNCTION("""COMPUTED_VALUE"""),"No")</f>
        <v>No</v>
      </c>
      <c r="T208" s="10">
        <f>IFERROR(__xludf.DUMMYFUNCTION("""COMPUTED_VALUE"""),0.0)</f>
        <v>0</v>
      </c>
      <c r="U208" s="10">
        <f>IFERROR(__xludf.DUMMYFUNCTION("""COMPUTED_VALUE"""),0.0)</f>
        <v>0</v>
      </c>
      <c r="V208" s="10" t="str">
        <f>IFERROR(__xludf.DUMMYFUNCTION("""COMPUTED_VALUE"""),"Tauheed. khana kaba aur Hazrat Ibrahim A.S")</f>
        <v>Tauheed. khana kaba aur Hazrat Ibrahim A.S</v>
      </c>
      <c r="W208" s="10" t="str">
        <f>IFERROR(__xludf.DUMMYFUNCTION("""COMPUTED_VALUE"""),"Tauheed. khana kaba aur Hazrat Ibrahim A.S")</f>
        <v>Tauheed. khana kaba aur Hazrat Ibrahim A.S</v>
      </c>
      <c r="X208" s="10">
        <f>IFERROR(__xludf.DUMMYFUNCTION("""COMPUTED_VALUE"""),6.0)</f>
        <v>6</v>
      </c>
      <c r="Y208" s="10">
        <f>IFERROR(__xludf.DUMMYFUNCTION("""COMPUTED_VALUE"""),6.0)</f>
        <v>6</v>
      </c>
      <c r="Z208" s="10">
        <f>IFERROR(__xludf.DUMMYFUNCTION("""COMPUTED_VALUE"""),6.0)</f>
        <v>6</v>
      </c>
      <c r="AA208" s="10">
        <f>IFERROR(__xludf.DUMMYFUNCTION("""COMPUTED_VALUE"""),6.0)</f>
        <v>6</v>
      </c>
      <c r="AB208" s="10">
        <f>IFERROR(__xludf.DUMMYFUNCTION("""COMPUTED_VALUE"""),10.0)</f>
        <v>10</v>
      </c>
      <c r="AC208" s="10">
        <f>IFERROR(__xludf.DUMMYFUNCTION("""COMPUTED_VALUE"""),5.0)</f>
        <v>5</v>
      </c>
      <c r="AD208" s="10">
        <f>IFERROR(__xludf.DUMMYFUNCTION("""COMPUTED_VALUE"""),0.0)</f>
        <v>0</v>
      </c>
      <c r="AE208" s="10">
        <f>IFERROR(__xludf.DUMMYFUNCTION("""COMPUTED_VALUE"""),0.0)</f>
        <v>0</v>
      </c>
      <c r="AF208" s="10">
        <f>IFERROR(__xludf.DUMMYFUNCTION("""COMPUTED_VALUE"""),0.0)</f>
        <v>0</v>
      </c>
      <c r="AG208" s="10">
        <f>IFERROR(__xludf.DUMMYFUNCTION("""COMPUTED_VALUE"""),7.0)</f>
        <v>7</v>
      </c>
      <c r="AH208" s="10">
        <f>IFERROR(__xludf.DUMMYFUNCTION("""COMPUTED_VALUE"""),2.0)</f>
        <v>2</v>
      </c>
      <c r="AI208" s="10">
        <f>IFERROR(__xludf.DUMMYFUNCTION("""COMPUTED_VALUE"""),8.0)</f>
        <v>8</v>
      </c>
      <c r="AJ208" s="11" t="str">
        <f>IFERROR(__xludf.DUMMYFUNCTION("""COMPUTED_VALUE"""),"https://drive.google.com/open?id=1ndenLttbML2V3rEMt_nzOnq-Hfg4Z3lm")</f>
        <v>https://drive.google.com/open?id=1ndenLttbML2V3rEMt_nzOnq-Hfg4Z3lm</v>
      </c>
      <c r="AK208" s="12"/>
      <c r="AL208" s="12" t="str">
        <f>IFERROR(__xludf.DUMMYFUNCTION("""COMPUTED_VALUE"""),"Yes")</f>
        <v>Yes</v>
      </c>
      <c r="AM208" s="15">
        <f>IFERROR(__xludf.DUMMYFUNCTION("""COMPUTED_VALUE"""),0.0)</f>
        <v>0</v>
      </c>
      <c r="AN208" s="12" t="str">
        <f>IFERROR(__xludf.DUMMYFUNCTION("""COMPUTED_VALUE"""),"2nd week")</f>
        <v>2nd week</v>
      </c>
      <c r="AO208" s="13">
        <v>2.0</v>
      </c>
      <c r="AX208" s="13">
        <v>2.0</v>
      </c>
    </row>
    <row r="209">
      <c r="A209" s="8">
        <v>208.0</v>
      </c>
      <c r="B209" s="9">
        <f>IFERROR(__xludf.DUMMYFUNCTION("""COMPUTED_VALUE"""),45779.58978597222)</f>
        <v>45779.58979</v>
      </c>
      <c r="C209" s="10" t="str">
        <f>IFERROR(__xludf.DUMMYFUNCTION("""COMPUTED_VALUE"""),"Maham ")</f>
        <v>Maham </v>
      </c>
      <c r="D209" s="10" t="str">
        <f>IFERROR(__xludf.DUMMYFUNCTION("""COMPUTED_VALUE"""),"03218118680")</f>
        <v>03218118680</v>
      </c>
      <c r="E209" s="10" t="str">
        <f>IFERROR(__xludf.DUMMYFUNCTION("""COMPUTED_VALUE"""),"sermon 2 Jamia Masjid chowk dalkara Lahore")</f>
        <v>sermon 2 Jamia Masjid chowk dalkara Lahore</v>
      </c>
      <c r="F209" s="10" t="str">
        <f>IFERROR(__xludf.DUMMYFUNCTION("""COMPUTED_VALUE"""),"wywfr")</f>
        <v>wywfr</v>
      </c>
      <c r="G209" s="10" t="str">
        <f>IFERROR(__xludf.DUMMYFUNCTION("""COMPUTED_VALUE"""),"Yes")</f>
        <v>Yes</v>
      </c>
      <c r="H209" s="10">
        <f>IFERROR(__xludf.DUMMYFUNCTION("""COMPUTED_VALUE"""),6.0)</f>
        <v>6</v>
      </c>
      <c r="I209" s="10">
        <f>IFERROR(__xludf.DUMMYFUNCTION("""COMPUTED_VALUE"""),4.0)</f>
        <v>4</v>
      </c>
      <c r="J209" s="10">
        <f>IFERROR(__xludf.DUMMYFUNCTION("""COMPUTED_VALUE"""),6.0)</f>
        <v>6</v>
      </c>
      <c r="K209" s="10">
        <f>IFERROR(__xludf.DUMMYFUNCTION("""COMPUTED_VALUE"""),6.0)</f>
        <v>6</v>
      </c>
      <c r="L209" s="10">
        <f>IFERROR(__xludf.DUMMYFUNCTION("""COMPUTED_VALUE"""),0.0)</f>
        <v>0</v>
      </c>
      <c r="M209" s="10">
        <f>IFERROR(__xludf.DUMMYFUNCTION("""COMPUTED_VALUE"""),2.0)</f>
        <v>2</v>
      </c>
      <c r="N209" s="10">
        <f>IFERROR(__xludf.DUMMYFUNCTION("""COMPUTED_VALUE"""),0.0)</f>
        <v>0</v>
      </c>
      <c r="O209" s="10">
        <f>IFERROR(__xludf.DUMMYFUNCTION("""COMPUTED_VALUE"""),0.0)</f>
        <v>0</v>
      </c>
      <c r="P209" s="10">
        <f>IFERROR(__xludf.DUMMYFUNCTION("""COMPUTED_VALUE"""),0.0)</f>
        <v>0</v>
      </c>
      <c r="Q209" s="10" t="str">
        <f>IFERROR(__xludf.DUMMYFUNCTION("""COMPUTED_VALUE"""),"No")</f>
        <v>No</v>
      </c>
      <c r="R209" s="10" t="str">
        <f>IFERROR(__xludf.DUMMYFUNCTION("""COMPUTED_VALUE"""),"No")</f>
        <v>No</v>
      </c>
      <c r="S209" s="10" t="str">
        <f>IFERROR(__xludf.DUMMYFUNCTION("""COMPUTED_VALUE"""),"No")</f>
        <v>No</v>
      </c>
      <c r="T209" s="10">
        <f>IFERROR(__xludf.DUMMYFUNCTION("""COMPUTED_VALUE"""),0.0)</f>
        <v>0</v>
      </c>
      <c r="U209" s="10">
        <f>IFERROR(__xludf.DUMMYFUNCTION("""COMPUTED_VALUE"""),0.0)</f>
        <v>0</v>
      </c>
      <c r="V209" s="10" t="str">
        <f>IFERROR(__xludf.DUMMYFUNCTION("""COMPUTED_VALUE"""),"اسلامی وراثتی نظام اور عورت کا حق")</f>
        <v>اسلامی وراثتی نظام اور عورت کا حق</v>
      </c>
      <c r="W209" s="10" t="str">
        <f>IFERROR(__xludf.DUMMYFUNCTION("""COMPUTED_VALUE"""),"عورت کا جائیداد میں حق اور اسلامی وراثتی نظام کی تقسیم کس طرح کی جاتی ہے اور ہر ایک کا حصہ اسلام کے مطابق کتنا ہے")</f>
        <v>عورت کا جائیداد میں حق اور اسلامی وراثتی نظام کی تقسیم کس طرح کی جاتی ہے اور ہر ایک کا حصہ اسلام کے مطابق کتنا ہے</v>
      </c>
      <c r="X209" s="10">
        <f>IFERROR(__xludf.DUMMYFUNCTION("""COMPUTED_VALUE"""),0.0)</f>
        <v>0</v>
      </c>
      <c r="Y209" s="10">
        <f>IFERROR(__xludf.DUMMYFUNCTION("""COMPUTED_VALUE"""),0.0)</f>
        <v>0</v>
      </c>
      <c r="Z209" s="10">
        <f>IFERROR(__xludf.DUMMYFUNCTION("""COMPUTED_VALUE"""),2.0)</f>
        <v>2</v>
      </c>
      <c r="AA209" s="10">
        <f>IFERROR(__xludf.DUMMYFUNCTION("""COMPUTED_VALUE"""),8.0)</f>
        <v>8</v>
      </c>
      <c r="AB209" s="10">
        <f>IFERROR(__xludf.DUMMYFUNCTION("""COMPUTED_VALUE"""),0.0)</f>
        <v>0</v>
      </c>
      <c r="AC209" s="10">
        <f>IFERROR(__xludf.DUMMYFUNCTION("""COMPUTED_VALUE"""),0.0)</f>
        <v>0</v>
      </c>
      <c r="AD209" s="10">
        <f>IFERROR(__xludf.DUMMYFUNCTION("""COMPUTED_VALUE"""),0.0)</f>
        <v>0</v>
      </c>
      <c r="AE209" s="10">
        <f>IFERROR(__xludf.DUMMYFUNCTION("""COMPUTED_VALUE"""),0.0)</f>
        <v>0</v>
      </c>
      <c r="AF209" s="10">
        <f>IFERROR(__xludf.DUMMYFUNCTION("""COMPUTED_VALUE"""),8.0)</f>
        <v>8</v>
      </c>
      <c r="AG209" s="10">
        <f>IFERROR(__xludf.DUMMYFUNCTION("""COMPUTED_VALUE"""),8.0)</f>
        <v>8</v>
      </c>
      <c r="AH209" s="10">
        <f>IFERROR(__xludf.DUMMYFUNCTION("""COMPUTED_VALUE"""),0.0)</f>
        <v>0</v>
      </c>
      <c r="AI209" s="10">
        <f>IFERROR(__xludf.DUMMYFUNCTION("""COMPUTED_VALUE"""),9.0)</f>
        <v>9</v>
      </c>
      <c r="AJ209" s="11" t="str">
        <f>IFERROR(__xludf.DUMMYFUNCTION("""COMPUTED_VALUE"""),"https://drive.google.com/open?id=1LBL5F3Y1qgPx2SA03jKT5RJ66b-gZ_41")</f>
        <v>https://drive.google.com/open?id=1LBL5F3Y1qgPx2SA03jKT5RJ66b-gZ_41</v>
      </c>
      <c r="AK209" s="12">
        <f>IFERROR(__xludf.DUMMYFUNCTION("""COMPUTED_VALUE"""),0.0)</f>
        <v>0</v>
      </c>
      <c r="AL209" s="12" t="str">
        <f>IFERROR(__xludf.DUMMYFUNCTION("""COMPUTED_VALUE"""),"Yes")</f>
        <v>Yes</v>
      </c>
      <c r="AM209" s="15">
        <f>IFERROR(__xludf.DUMMYFUNCTION("""COMPUTED_VALUE"""),0.6)</f>
        <v>0.6</v>
      </c>
      <c r="AN209" s="12" t="str">
        <f>IFERROR(__xludf.DUMMYFUNCTION("""COMPUTED_VALUE"""),"2nd week")</f>
        <v>2nd week</v>
      </c>
      <c r="AO209" s="13">
        <v>2.0</v>
      </c>
      <c r="AX209" s="13">
        <v>2.0</v>
      </c>
    </row>
    <row r="210">
      <c r="A210" s="8">
        <v>209.0</v>
      </c>
      <c r="B210" s="9">
        <f>IFERROR(__xludf.DUMMYFUNCTION("""COMPUTED_VALUE"""),45780.57070967593)</f>
        <v>45780.57071</v>
      </c>
      <c r="C210" s="10" t="str">
        <f>IFERROR(__xludf.DUMMYFUNCTION("""COMPUTED_VALUE"""),"Abdulqayyum ")</f>
        <v>Abdulqayyum </v>
      </c>
      <c r="D210" s="10" t="str">
        <f>IFERROR(__xludf.DUMMYFUNCTION("""COMPUTED_VALUE"""),"03064458620")</f>
        <v>03064458620</v>
      </c>
      <c r="E210" s="10" t="str">
        <f>IFERROR(__xludf.DUMMYFUNCTION("""COMPUTED_VALUE"""),"Jamia masjid darbar Abdul Salam chishti Musroor ")</f>
        <v>Jamia masjid darbar Abdul Salam chishti Musroor </v>
      </c>
      <c r="F210" s="10" t="str">
        <f>IFERROR(__xludf.DUMMYFUNCTION("""COMPUTED_VALUE"""),"DGOHD")</f>
        <v>DGOHD</v>
      </c>
      <c r="G210" s="10" t="str">
        <f>IFERROR(__xludf.DUMMYFUNCTION("""COMPUTED_VALUE"""),"Yes")</f>
        <v>Yes</v>
      </c>
      <c r="H210" s="10">
        <f>IFERROR(__xludf.DUMMYFUNCTION("""COMPUTED_VALUE"""),9.0)</f>
        <v>9</v>
      </c>
      <c r="I210" s="10">
        <f>IFERROR(__xludf.DUMMYFUNCTION("""COMPUTED_VALUE"""),1.0)</f>
        <v>1</v>
      </c>
      <c r="J210" s="10">
        <f>IFERROR(__xludf.DUMMYFUNCTION("""COMPUTED_VALUE"""),9.0)</f>
        <v>9</v>
      </c>
      <c r="K210" s="10">
        <f>IFERROR(__xludf.DUMMYFUNCTION("""COMPUTED_VALUE"""),9.0)</f>
        <v>9</v>
      </c>
      <c r="L210" s="10">
        <f>IFERROR(__xludf.DUMMYFUNCTION("""COMPUTED_VALUE"""),5.0)</f>
        <v>5</v>
      </c>
      <c r="M210" s="10">
        <f>IFERROR(__xludf.DUMMYFUNCTION("""COMPUTED_VALUE"""),5.0)</f>
        <v>5</v>
      </c>
      <c r="N210" s="10">
        <f>IFERROR(__xludf.DUMMYFUNCTION("""COMPUTED_VALUE"""),5.0)</f>
        <v>5</v>
      </c>
      <c r="O210" s="10">
        <f>IFERROR(__xludf.DUMMYFUNCTION("""COMPUTED_VALUE"""),9.0)</f>
        <v>9</v>
      </c>
      <c r="P210" s="10">
        <f>IFERROR(__xludf.DUMMYFUNCTION("""COMPUTED_VALUE"""),5.0)</f>
        <v>5</v>
      </c>
      <c r="Q210" s="10" t="str">
        <f>IFERROR(__xludf.DUMMYFUNCTION("""COMPUTED_VALUE"""),"Yes")</f>
        <v>Yes</v>
      </c>
      <c r="R210" s="10" t="str">
        <f>IFERROR(__xludf.DUMMYFUNCTION("""COMPUTED_VALUE"""),"Yes")</f>
        <v>Yes</v>
      </c>
      <c r="S210" s="10" t="str">
        <f>IFERROR(__xludf.DUMMYFUNCTION("""COMPUTED_VALUE"""),"Yes")</f>
        <v>Yes</v>
      </c>
      <c r="T210" s="10">
        <f>IFERROR(__xludf.DUMMYFUNCTION("""COMPUTED_VALUE"""),0.0)</f>
        <v>0</v>
      </c>
      <c r="U210" s="10">
        <f>IFERROR(__xludf.DUMMYFUNCTION("""COMPUTED_VALUE"""),0.0)</f>
        <v>0</v>
      </c>
      <c r="V210" s="10" t="str">
        <f>IFERROR(__xludf.DUMMYFUNCTION("""COMPUTED_VALUE"""),"Mauseri mein aurat ka maqam kardar aur Haq")</f>
        <v>Mauseri mein aurat ka maqam kardar aur Haq</v>
      </c>
      <c r="W210" s="10" t="str">
        <f>IFERROR(__xludf.DUMMYFUNCTION("""COMPUTED_VALUE"""),"Imam Sahab ne apne byan mein auraton ke bare mein baat ki. Hazrat Khadija tul kubra aur umiya maara ke bare mein baat ki.")</f>
        <v>Imam Sahab ne apne byan mein auraton ke bare mein baat ki. Hazrat Khadija tul kubra aur umiya maara ke bare mein baat ki.</v>
      </c>
      <c r="X210" s="10">
        <f>IFERROR(__xludf.DUMMYFUNCTION("""COMPUTED_VALUE"""),1.0)</f>
        <v>1</v>
      </c>
      <c r="Y210" s="10">
        <f>IFERROR(__xludf.DUMMYFUNCTION("""COMPUTED_VALUE"""),1.0)</f>
        <v>1</v>
      </c>
      <c r="Z210" s="10">
        <f>IFERROR(__xludf.DUMMYFUNCTION("""COMPUTED_VALUE"""),0.0)</f>
        <v>0</v>
      </c>
      <c r="AA210" s="10">
        <f>IFERROR(__xludf.DUMMYFUNCTION("""COMPUTED_VALUE"""),0.0)</f>
        <v>0</v>
      </c>
      <c r="AB210" s="10">
        <f>IFERROR(__xludf.DUMMYFUNCTION("""COMPUTED_VALUE"""),0.0)</f>
        <v>0</v>
      </c>
      <c r="AC210" s="10">
        <f>IFERROR(__xludf.DUMMYFUNCTION("""COMPUTED_VALUE"""),0.0)</f>
        <v>0</v>
      </c>
      <c r="AD210" s="10">
        <f>IFERROR(__xludf.DUMMYFUNCTION("""COMPUTED_VALUE"""),0.0)</f>
        <v>0</v>
      </c>
      <c r="AE210" s="10">
        <f>IFERROR(__xludf.DUMMYFUNCTION("""COMPUTED_VALUE"""),0.0)</f>
        <v>0</v>
      </c>
      <c r="AF210" s="10">
        <f>IFERROR(__xludf.DUMMYFUNCTION("""COMPUTED_VALUE"""),8.0)</f>
        <v>8</v>
      </c>
      <c r="AG210" s="10">
        <f>IFERROR(__xludf.DUMMYFUNCTION("""COMPUTED_VALUE"""),8.0)</f>
        <v>8</v>
      </c>
      <c r="AH210" s="10">
        <f>IFERROR(__xludf.DUMMYFUNCTION("""COMPUTED_VALUE"""),0.0)</f>
        <v>0</v>
      </c>
      <c r="AI210" s="10">
        <f>IFERROR(__xludf.DUMMYFUNCTION("""COMPUTED_VALUE"""),8.0)</f>
        <v>8</v>
      </c>
      <c r="AJ210" s="11" t="str">
        <f>IFERROR(__xludf.DUMMYFUNCTION("""COMPUTED_VALUE"""),"https://drive.google.com/open?id=1TRmQ0MT6DDmJlnaDcK-UxGQbvEI73kfv")</f>
        <v>https://drive.google.com/open?id=1TRmQ0MT6DDmJlnaDcK-UxGQbvEI73kfv</v>
      </c>
      <c r="AK210" s="12" t="str">
        <f>IFERROR(__xludf.DUMMYFUNCTION("""COMPUTED_VALUE"""),"No")</f>
        <v>No</v>
      </c>
      <c r="AL210" s="12" t="str">
        <f>IFERROR(__xludf.DUMMYFUNCTION("""COMPUTED_VALUE"""),"Yes")</f>
        <v>Yes</v>
      </c>
      <c r="AM210" s="15">
        <f>IFERROR(__xludf.DUMMYFUNCTION("""COMPUTED_VALUE"""),0.9)</f>
        <v>0.9</v>
      </c>
      <c r="AN210" s="12" t="str">
        <f>IFERROR(__xludf.DUMMYFUNCTION("""COMPUTED_VALUE"""),"2nd week")</f>
        <v>2nd week</v>
      </c>
      <c r="AO210" s="13">
        <v>2.0</v>
      </c>
      <c r="AX210" s="13"/>
    </row>
    <row r="211">
      <c r="A211" s="8">
        <v>210.0</v>
      </c>
      <c r="B211" s="9">
        <f>IFERROR(__xludf.DUMMYFUNCTION("""COMPUTED_VALUE"""),45781.047423449076)</f>
        <v>45781.04742</v>
      </c>
      <c r="C211" s="10" t="str">
        <f>IFERROR(__xludf.DUMMYFUNCTION("""COMPUTED_VALUE"""),"Hafiz Muhammad Asif ")</f>
        <v>Hafiz Muhammad Asif </v>
      </c>
      <c r="D211" s="10" t="str">
        <f>IFERROR(__xludf.DUMMYFUNCTION("""COMPUTED_VALUE"""),"03318421006")</f>
        <v>03318421006</v>
      </c>
      <c r="E211" s="10" t="str">
        <f>IFERROR(__xludf.DUMMYFUNCTION("""COMPUTED_VALUE"""),"Jamia Masjid Railway Road Sheikhupura ")</f>
        <v>Jamia Masjid Railway Road Sheikhupura </v>
      </c>
      <c r="F211" s="10" t="str">
        <f>IFERROR(__xludf.DUMMYFUNCTION("""COMPUTED_VALUE"""),"INGWH")</f>
        <v>INGWH</v>
      </c>
      <c r="G211" s="10" t="str">
        <f>IFERROR(__xludf.DUMMYFUNCTION("""COMPUTED_VALUE"""),"No")</f>
        <v>No</v>
      </c>
      <c r="H211" s="10"/>
      <c r="I211" s="10"/>
      <c r="J211" s="10"/>
      <c r="K211" s="10">
        <f>IFERROR(__xludf.DUMMYFUNCTION("""COMPUTED_VALUE"""),5.0)</f>
        <v>5</v>
      </c>
      <c r="L211" s="10">
        <f>IFERROR(__xludf.DUMMYFUNCTION("""COMPUTED_VALUE"""),10.0)</f>
        <v>10</v>
      </c>
      <c r="M211" s="10">
        <f>IFERROR(__xludf.DUMMYFUNCTION("""COMPUTED_VALUE"""),10.0)</f>
        <v>10</v>
      </c>
      <c r="N211" s="10">
        <f>IFERROR(__xludf.DUMMYFUNCTION("""COMPUTED_VALUE"""),10.0)</f>
        <v>10</v>
      </c>
      <c r="O211" s="10">
        <f>IFERROR(__xludf.DUMMYFUNCTION("""COMPUTED_VALUE"""),0.0)</f>
        <v>0</v>
      </c>
      <c r="P211" s="10">
        <f>IFERROR(__xludf.DUMMYFUNCTION("""COMPUTED_VALUE"""),10.0)</f>
        <v>10</v>
      </c>
      <c r="Q211" s="10" t="str">
        <f>IFERROR(__xludf.DUMMYFUNCTION("""COMPUTED_VALUE"""),"No")</f>
        <v>No</v>
      </c>
      <c r="R211" s="10" t="str">
        <f>IFERROR(__xludf.DUMMYFUNCTION("""COMPUTED_VALUE"""),"No")</f>
        <v>No</v>
      </c>
      <c r="S211" s="10" t="str">
        <f>IFERROR(__xludf.DUMMYFUNCTION("""COMPUTED_VALUE"""),"No")</f>
        <v>No</v>
      </c>
      <c r="T211" s="10">
        <f>IFERROR(__xludf.DUMMYFUNCTION("""COMPUTED_VALUE"""),0.0)</f>
        <v>0</v>
      </c>
      <c r="U211" s="10">
        <f>IFERROR(__xludf.DUMMYFUNCTION("""COMPUTED_VALUE"""),0.0)</f>
        <v>0</v>
      </c>
      <c r="V211" s="10" t="str">
        <f>IFERROR(__xludf.DUMMYFUNCTION("""COMPUTED_VALUE"""),"اصلاح معاشرہ ")</f>
        <v>اصلاح معاشرہ </v>
      </c>
      <c r="W211" s="10" t="str">
        <f>IFERROR(__xludf.DUMMYFUNCTION("""COMPUTED_VALUE"""),"قرآن مجید میں اللّٰہ تعالٰی کی ذات نے %25فیصد عبادات پر زور دیا اور
75فیصد انسانون کے ساتھ معاملات کو درست رکھنے کی تاکید کی ")</f>
        <v>قرآن مجید میں اللّٰہ تعالٰی کی ذات نے %25فیصد عبادات پر زور دیا اور
75فیصد انسانون کے ساتھ معاملات کو درست رکھنے کی تاکید کی </v>
      </c>
      <c r="X211" s="10">
        <f>IFERROR(__xludf.DUMMYFUNCTION("""COMPUTED_VALUE"""),10.0)</f>
        <v>10</v>
      </c>
      <c r="Y211" s="10">
        <f>IFERROR(__xludf.DUMMYFUNCTION("""COMPUTED_VALUE"""),10.0)</f>
        <v>10</v>
      </c>
      <c r="Z211" s="10">
        <f>IFERROR(__xludf.DUMMYFUNCTION("""COMPUTED_VALUE"""),10.0)</f>
        <v>10</v>
      </c>
      <c r="AA211" s="10">
        <f>IFERROR(__xludf.DUMMYFUNCTION("""COMPUTED_VALUE"""),10.0)</f>
        <v>10</v>
      </c>
      <c r="AB211" s="10">
        <f>IFERROR(__xludf.DUMMYFUNCTION("""COMPUTED_VALUE"""),5.0)</f>
        <v>5</v>
      </c>
      <c r="AC211" s="10">
        <f>IFERROR(__xludf.DUMMYFUNCTION("""COMPUTED_VALUE"""),0.0)</f>
        <v>0</v>
      </c>
      <c r="AD211" s="10">
        <f>IFERROR(__xludf.DUMMYFUNCTION("""COMPUTED_VALUE"""),10.0)</f>
        <v>10</v>
      </c>
      <c r="AE211" s="10">
        <f>IFERROR(__xludf.DUMMYFUNCTION("""COMPUTED_VALUE"""),10.0)</f>
        <v>10</v>
      </c>
      <c r="AF211" s="10">
        <f>IFERROR(__xludf.DUMMYFUNCTION("""COMPUTED_VALUE"""),0.0)</f>
        <v>0</v>
      </c>
      <c r="AG211" s="10">
        <f>IFERROR(__xludf.DUMMYFUNCTION("""COMPUTED_VALUE"""),10.0)</f>
        <v>10</v>
      </c>
      <c r="AH211" s="10">
        <f>IFERROR(__xludf.DUMMYFUNCTION("""COMPUTED_VALUE"""),0.0)</f>
        <v>0</v>
      </c>
      <c r="AI211" s="10">
        <f>IFERROR(__xludf.DUMMYFUNCTION("""COMPUTED_VALUE"""),10.0)</f>
        <v>10</v>
      </c>
      <c r="AJ211" s="11" t="str">
        <f>IFERROR(__xludf.DUMMYFUNCTION("""COMPUTED_VALUE"""),"https://drive.google.com/open?id=1LUJNeFfanvhoTYiAJ3RKugxKcjT4i7Y-")</f>
        <v>https://drive.google.com/open?id=1LUJNeFfanvhoTYiAJ3RKugxKcjT4i7Y-</v>
      </c>
      <c r="AK211" s="12"/>
      <c r="AL211" s="12"/>
      <c r="AM211" s="12"/>
      <c r="AN211" s="12" t="str">
        <f>IFERROR(__xludf.DUMMYFUNCTION("""COMPUTED_VALUE"""),"3rd week")</f>
        <v>3rd week</v>
      </c>
      <c r="AO211" s="13">
        <v>3.0</v>
      </c>
      <c r="AX211" s="13">
        <v>3.0</v>
      </c>
    </row>
    <row r="212">
      <c r="A212" s="8">
        <v>211.0</v>
      </c>
      <c r="B212" s="9">
        <f>IFERROR(__xludf.DUMMYFUNCTION("""COMPUTED_VALUE"""),45781.14060932871)</f>
        <v>45781.14061</v>
      </c>
      <c r="C212" s="10" t="str">
        <f>IFERROR(__xludf.DUMMYFUNCTION("""COMPUTED_VALUE"""),"Sulaman")</f>
        <v>Sulaman</v>
      </c>
      <c r="D212" s="10" t="str">
        <f>IFERROR(__xludf.DUMMYFUNCTION("""COMPUTED_VALUE"""),"03126136070")</f>
        <v>03126136070</v>
      </c>
      <c r="E212" s="10" t="str">
        <f>IFERROR(__xludf.DUMMYFUNCTION("""COMPUTED_VALUE"""),"Sain Karam elahi sarkar ")</f>
        <v>Sain Karam elahi sarkar </v>
      </c>
      <c r="F212" s="10" t="str">
        <f>IFERROR(__xludf.DUMMYFUNCTION("""COMPUTED_VALUE"""),"Sxnpd")</f>
        <v>Sxnpd</v>
      </c>
      <c r="G212" s="10" t="str">
        <f>IFERROR(__xludf.DUMMYFUNCTION("""COMPUTED_VALUE"""),"Yes")</f>
        <v>Yes</v>
      </c>
      <c r="H212" s="10">
        <f>IFERROR(__xludf.DUMMYFUNCTION("""COMPUTED_VALUE"""),0.0)</f>
        <v>0</v>
      </c>
      <c r="I212" s="10">
        <f>IFERROR(__xludf.DUMMYFUNCTION("""COMPUTED_VALUE"""),10.0)</f>
        <v>10</v>
      </c>
      <c r="J212" s="10">
        <f>IFERROR(__xludf.DUMMYFUNCTION("""COMPUTED_VALUE"""),1.0)</f>
        <v>1</v>
      </c>
      <c r="K212" s="10">
        <f>IFERROR(__xludf.DUMMYFUNCTION("""COMPUTED_VALUE"""),0.0)</f>
        <v>0</v>
      </c>
      <c r="L212" s="10">
        <f>IFERROR(__xludf.DUMMYFUNCTION("""COMPUTED_VALUE"""),0.0)</f>
        <v>0</v>
      </c>
      <c r="M212" s="10">
        <f>IFERROR(__xludf.DUMMYFUNCTION("""COMPUTED_VALUE"""),0.0)</f>
        <v>0</v>
      </c>
      <c r="N212" s="10">
        <f>IFERROR(__xludf.DUMMYFUNCTION("""COMPUTED_VALUE"""),0.0)</f>
        <v>0</v>
      </c>
      <c r="O212" s="10">
        <f>IFERROR(__xludf.DUMMYFUNCTION("""COMPUTED_VALUE"""),0.0)</f>
        <v>0</v>
      </c>
      <c r="P212" s="10">
        <f>IFERROR(__xludf.DUMMYFUNCTION("""COMPUTED_VALUE"""),0.0)</f>
        <v>0</v>
      </c>
      <c r="Q212" s="10" t="str">
        <f>IFERROR(__xludf.DUMMYFUNCTION("""COMPUTED_VALUE"""),"No")</f>
        <v>No</v>
      </c>
      <c r="R212" s="10" t="str">
        <f>IFERROR(__xludf.DUMMYFUNCTION("""COMPUTED_VALUE"""),"No")</f>
        <v>No</v>
      </c>
      <c r="S212" s="10" t="str">
        <f>IFERROR(__xludf.DUMMYFUNCTION("""COMPUTED_VALUE"""),"No")</f>
        <v>No</v>
      </c>
      <c r="T212" s="10">
        <f>IFERROR(__xludf.DUMMYFUNCTION("""COMPUTED_VALUE"""),0.0)</f>
        <v>0</v>
      </c>
      <c r="U212" s="10">
        <f>IFERROR(__xludf.DUMMYFUNCTION("""COMPUTED_VALUE"""),0.0)</f>
        <v>0</v>
      </c>
      <c r="V212" s="10" t="str">
        <f>IFERROR(__xludf.DUMMYFUNCTION("""COMPUTED_VALUE"""),"مزدوروں کے حقوق لیبرڈے عالمی دن")</f>
        <v>مزدوروں کے حقوق لیبرڈے عالمی دن</v>
      </c>
      <c r="W212" s="10" t="str">
        <f>IFERROR(__xludf.DUMMYFUNCTION("""COMPUTED_VALUE"""),"لیبر کے ساتھ اچھا سلوک کرنا چائیے جو خود کھائیں اسے بھی وہ کھلائیں ")</f>
        <v>لیبر کے ساتھ اچھا سلوک کرنا چائیے جو خود کھائیں اسے بھی وہ کھلائیں </v>
      </c>
      <c r="X212" s="10">
        <f>IFERROR(__xludf.DUMMYFUNCTION("""COMPUTED_VALUE"""),0.0)</f>
        <v>0</v>
      </c>
      <c r="Y212" s="10">
        <f>IFERROR(__xludf.DUMMYFUNCTION("""COMPUTED_VALUE"""),10.0)</f>
        <v>10</v>
      </c>
      <c r="Z212" s="10">
        <f>IFERROR(__xludf.DUMMYFUNCTION("""COMPUTED_VALUE"""),5.0)</f>
        <v>5</v>
      </c>
      <c r="AA212" s="10">
        <f>IFERROR(__xludf.DUMMYFUNCTION("""COMPUTED_VALUE"""),8.0)</f>
        <v>8</v>
      </c>
      <c r="AB212" s="10">
        <f>IFERROR(__xludf.DUMMYFUNCTION("""COMPUTED_VALUE"""),5.0)</f>
        <v>5</v>
      </c>
      <c r="AC212" s="10">
        <f>IFERROR(__xludf.DUMMYFUNCTION("""COMPUTED_VALUE"""),0.0)</f>
        <v>0</v>
      </c>
      <c r="AD212" s="10">
        <f>IFERROR(__xludf.DUMMYFUNCTION("""COMPUTED_VALUE"""),0.0)</f>
        <v>0</v>
      </c>
      <c r="AE212" s="10">
        <f>IFERROR(__xludf.DUMMYFUNCTION("""COMPUTED_VALUE"""),0.0)</f>
        <v>0</v>
      </c>
      <c r="AF212" s="10">
        <f>IFERROR(__xludf.DUMMYFUNCTION("""COMPUTED_VALUE"""),8.0)</f>
        <v>8</v>
      </c>
      <c r="AG212" s="10">
        <f>IFERROR(__xludf.DUMMYFUNCTION("""COMPUTED_VALUE"""),8.0)</f>
        <v>8</v>
      </c>
      <c r="AH212" s="10">
        <f>IFERROR(__xludf.DUMMYFUNCTION("""COMPUTED_VALUE"""),0.0)</f>
        <v>0</v>
      </c>
      <c r="AI212" s="10">
        <f>IFERROR(__xludf.DUMMYFUNCTION("""COMPUTED_VALUE"""),8.0)</f>
        <v>8</v>
      </c>
      <c r="AJ212" s="11" t="str">
        <f>IFERROR(__xludf.DUMMYFUNCTION("""COMPUTED_VALUE"""),"https://drive.google.com/open?id=1EQekoIzq6IDaSzF9LNz5GAuoI9psUx2-")</f>
        <v>https://drive.google.com/open?id=1EQekoIzq6IDaSzF9LNz5GAuoI9psUx2-</v>
      </c>
      <c r="AK212" s="12"/>
      <c r="AL212" s="12" t="str">
        <f>IFERROR(__xludf.DUMMYFUNCTION("""COMPUTED_VALUE"""),"Yes")</f>
        <v>Yes</v>
      </c>
      <c r="AM212" s="15">
        <f>IFERROR(__xludf.DUMMYFUNCTION("""COMPUTED_VALUE"""),0.0)</f>
        <v>0</v>
      </c>
      <c r="AN212" s="12" t="str">
        <f>IFERROR(__xludf.DUMMYFUNCTION("""COMPUTED_VALUE"""),"2nd week")</f>
        <v>2nd week</v>
      </c>
      <c r="AO212" s="13">
        <v>2.0</v>
      </c>
      <c r="AX212" s="13"/>
    </row>
    <row r="213">
      <c r="A213" s="8">
        <v>212.0</v>
      </c>
      <c r="B213" s="9">
        <f>IFERROR(__xludf.DUMMYFUNCTION("""COMPUTED_VALUE"""),45781.229279363426)</f>
        <v>45781.22928</v>
      </c>
      <c r="C213" s="10" t="str">
        <f>IFERROR(__xludf.DUMMYFUNCTION("""COMPUTED_VALUE"""),"Haider ali")</f>
        <v>Haider ali</v>
      </c>
      <c r="D213" s="10" t="str">
        <f>IFERROR(__xludf.DUMMYFUNCTION("""COMPUTED_VALUE"""),"03330031508")</f>
        <v>03330031508</v>
      </c>
      <c r="E213" s="10" t="str">
        <f>IFERROR(__xludf.DUMMYFUNCTION("""COMPUTED_VALUE"""),"Jami Masjed Mirza ourkaan Sheikupura ")</f>
        <v>Jami Masjed Mirza ourkaan Sheikupura </v>
      </c>
      <c r="F213" s="10" t="str">
        <f>IFERROR(__xludf.DUMMYFUNCTION("""COMPUTED_VALUE"""),"Hnzog")</f>
        <v>Hnzog</v>
      </c>
      <c r="G213" s="10" t="str">
        <f>IFERROR(__xludf.DUMMYFUNCTION("""COMPUTED_VALUE"""),"No")</f>
        <v>No</v>
      </c>
      <c r="H213" s="10"/>
      <c r="I213" s="10"/>
      <c r="J213" s="10"/>
      <c r="K213" s="10">
        <f>IFERROR(__xludf.DUMMYFUNCTION("""COMPUTED_VALUE"""),0.0)</f>
        <v>0</v>
      </c>
      <c r="L213" s="10">
        <f>IFERROR(__xludf.DUMMYFUNCTION("""COMPUTED_VALUE"""),0.0)</f>
        <v>0</v>
      </c>
      <c r="M213" s="10">
        <f>IFERROR(__xludf.DUMMYFUNCTION("""COMPUTED_VALUE"""),0.0)</f>
        <v>0</v>
      </c>
      <c r="N213" s="10">
        <f>IFERROR(__xludf.DUMMYFUNCTION("""COMPUTED_VALUE"""),0.0)</f>
        <v>0</v>
      </c>
      <c r="O213" s="10">
        <f>IFERROR(__xludf.DUMMYFUNCTION("""COMPUTED_VALUE"""),0.0)</f>
        <v>0</v>
      </c>
      <c r="P213" s="10">
        <f>IFERROR(__xludf.DUMMYFUNCTION("""COMPUTED_VALUE"""),5.0)</f>
        <v>5</v>
      </c>
      <c r="Q213" s="10" t="str">
        <f>IFERROR(__xludf.DUMMYFUNCTION("""COMPUTED_VALUE"""),"No")</f>
        <v>No</v>
      </c>
      <c r="R213" s="10" t="str">
        <f>IFERROR(__xludf.DUMMYFUNCTION("""COMPUTED_VALUE"""),"No")</f>
        <v>No</v>
      </c>
      <c r="S213" s="10" t="str">
        <f>IFERROR(__xludf.DUMMYFUNCTION("""COMPUTED_VALUE"""),"No")</f>
        <v>No</v>
      </c>
      <c r="T213" s="10">
        <f>IFERROR(__xludf.DUMMYFUNCTION("""COMPUTED_VALUE"""),0.0)</f>
        <v>0</v>
      </c>
      <c r="U213" s="10">
        <f>IFERROR(__xludf.DUMMYFUNCTION("""COMPUTED_VALUE"""),4.0)</f>
        <v>4</v>
      </c>
      <c r="V213" s="10" t="str">
        <f>IFERROR(__xludf.DUMMYFUNCTION("""COMPUTED_VALUE"""),"Mashry KY hakook or krza KY bry mai")</f>
        <v>Mashry KY hakook or krza KY bry mai</v>
      </c>
      <c r="W213" s="10" t="str">
        <f>IFERROR(__xludf.DUMMYFUNCTION("""COMPUTED_VALUE"""),"Sood ni Lena chya ")</f>
        <v>Sood ni Lena chya </v>
      </c>
      <c r="X213" s="10">
        <f>IFERROR(__xludf.DUMMYFUNCTION("""COMPUTED_VALUE"""),3.0)</f>
        <v>3</v>
      </c>
      <c r="Y213" s="10">
        <f>IFERROR(__xludf.DUMMYFUNCTION("""COMPUTED_VALUE"""),0.0)</f>
        <v>0</v>
      </c>
      <c r="Z213" s="10">
        <f>IFERROR(__xludf.DUMMYFUNCTION("""COMPUTED_VALUE"""),0.0)</f>
        <v>0</v>
      </c>
      <c r="AA213" s="10">
        <f>IFERROR(__xludf.DUMMYFUNCTION("""COMPUTED_VALUE"""),9.0)</f>
        <v>9</v>
      </c>
      <c r="AB213" s="10">
        <f>IFERROR(__xludf.DUMMYFUNCTION("""COMPUTED_VALUE"""),2.0)</f>
        <v>2</v>
      </c>
      <c r="AC213" s="10">
        <f>IFERROR(__xludf.DUMMYFUNCTION("""COMPUTED_VALUE"""),8.0)</f>
        <v>8</v>
      </c>
      <c r="AD213" s="10">
        <f>IFERROR(__xludf.DUMMYFUNCTION("""COMPUTED_VALUE"""),0.0)</f>
        <v>0</v>
      </c>
      <c r="AE213" s="10">
        <f>IFERROR(__xludf.DUMMYFUNCTION("""COMPUTED_VALUE"""),7.0)</f>
        <v>7</v>
      </c>
      <c r="AF213" s="10">
        <f>IFERROR(__xludf.DUMMYFUNCTION("""COMPUTED_VALUE"""),10.0)</f>
        <v>10</v>
      </c>
      <c r="AG213" s="10">
        <f>IFERROR(__xludf.DUMMYFUNCTION("""COMPUTED_VALUE"""),10.0)</f>
        <v>10</v>
      </c>
      <c r="AH213" s="10">
        <f>IFERROR(__xludf.DUMMYFUNCTION("""COMPUTED_VALUE"""),0.0)</f>
        <v>0</v>
      </c>
      <c r="AI213" s="10">
        <f>IFERROR(__xludf.DUMMYFUNCTION("""COMPUTED_VALUE"""),10.0)</f>
        <v>10</v>
      </c>
      <c r="AJ213" s="11" t="str">
        <f>IFERROR(__xludf.DUMMYFUNCTION("""COMPUTED_VALUE"""),"https://drive.google.com/open?id=1uHC5SLoeLPiqBsMHHy6giRYH6kE8fZQeT7B445jnvNw")</f>
        <v>https://drive.google.com/open?id=1uHC5SLoeLPiqBsMHHy6giRYH6kE8fZQeT7B445jnvNw</v>
      </c>
      <c r="AK213" s="12"/>
      <c r="AL213" s="12"/>
      <c r="AM213" s="12"/>
      <c r="AN213" s="12" t="str">
        <f>IFERROR(__xludf.DUMMYFUNCTION("""COMPUTED_VALUE"""),"2nd week")</f>
        <v>2nd week</v>
      </c>
      <c r="AO213" s="13" t="s">
        <v>4</v>
      </c>
      <c r="AX213" s="13">
        <v>2.0</v>
      </c>
    </row>
    <row r="214">
      <c r="A214" s="8">
        <v>213.0</v>
      </c>
      <c r="B214" s="9">
        <f>IFERROR(__xludf.DUMMYFUNCTION("""COMPUTED_VALUE"""),45781.323675312495)</f>
        <v>45781.32368</v>
      </c>
      <c r="C214" s="10" t="str">
        <f>IFERROR(__xludf.DUMMYFUNCTION("""COMPUTED_VALUE"""),"Sohail asghar bhatti ")</f>
        <v>Sohail asghar bhatti </v>
      </c>
      <c r="D214" s="10" t="str">
        <f>IFERROR(__xludf.DUMMYFUNCTION("""COMPUTED_VALUE"""),"03017982931")</f>
        <v>03017982931</v>
      </c>
      <c r="E214" s="10" t="str">
        <f>IFERROR(__xludf.DUMMYFUNCTION("""COMPUTED_VALUE"""),"Jamia masjid Qalander shah ")</f>
        <v>Jamia masjid Qalander shah </v>
      </c>
      <c r="F214" s="10" t="str">
        <f>IFERROR(__xludf.DUMMYFUNCTION("""COMPUTED_VALUE"""),"CKLBK")</f>
        <v>CKLBK</v>
      </c>
      <c r="G214" s="10" t="str">
        <f>IFERROR(__xludf.DUMMYFUNCTION("""COMPUTED_VALUE"""),"No")</f>
        <v>No</v>
      </c>
      <c r="H214" s="10"/>
      <c r="I214" s="10"/>
      <c r="J214" s="10"/>
      <c r="K214" s="10">
        <f>IFERROR(__xludf.DUMMYFUNCTION("""COMPUTED_VALUE"""),0.0)</f>
        <v>0</v>
      </c>
      <c r="L214" s="10">
        <f>IFERROR(__xludf.DUMMYFUNCTION("""COMPUTED_VALUE"""),10.0)</f>
        <v>10</v>
      </c>
      <c r="M214" s="10">
        <f>IFERROR(__xludf.DUMMYFUNCTION("""COMPUTED_VALUE"""),0.0)</f>
        <v>0</v>
      </c>
      <c r="N214" s="10">
        <f>IFERROR(__xludf.DUMMYFUNCTION("""COMPUTED_VALUE"""),10.0)</f>
        <v>10</v>
      </c>
      <c r="O214" s="10">
        <f>IFERROR(__xludf.DUMMYFUNCTION("""COMPUTED_VALUE"""),0.0)</f>
        <v>0</v>
      </c>
      <c r="P214" s="10">
        <f>IFERROR(__xludf.DUMMYFUNCTION("""COMPUTED_VALUE"""),10.0)</f>
        <v>10</v>
      </c>
      <c r="Q214" s="10" t="str">
        <f>IFERROR(__xludf.DUMMYFUNCTION("""COMPUTED_VALUE"""),"No")</f>
        <v>No</v>
      </c>
      <c r="R214" s="10" t="str">
        <f>IFERROR(__xludf.DUMMYFUNCTION("""COMPUTED_VALUE"""),"Yes")</f>
        <v>Yes</v>
      </c>
      <c r="S214" s="10" t="str">
        <f>IFERROR(__xludf.DUMMYFUNCTION("""COMPUTED_VALUE"""),"No")</f>
        <v>No</v>
      </c>
      <c r="T214" s="10">
        <f>IFERROR(__xludf.DUMMYFUNCTION("""COMPUTED_VALUE"""),0.0)</f>
        <v>0</v>
      </c>
      <c r="U214" s="10">
        <f>IFERROR(__xludf.DUMMYFUNCTION("""COMPUTED_VALUE"""),0.0)</f>
        <v>0</v>
      </c>
      <c r="V214" s="10" t="str">
        <f>IFERROR(__xludf.DUMMYFUNCTION("""COMPUTED_VALUE"""),"پڑوسی کے حقوق ")</f>
        <v>پڑوسی کے حقوق </v>
      </c>
      <c r="W214" s="10" t="str">
        <f>IFERROR(__xludf.DUMMYFUNCTION("""COMPUTED_VALUE"""),"پڑوسی کے حقوق اور محلے کی صفائی اور مسجد کی اہمیت پر زور دیا ")</f>
        <v>پڑوسی کے حقوق اور محلے کی صفائی اور مسجد کی اہمیت پر زور دیا </v>
      </c>
      <c r="X214" s="10">
        <f>IFERROR(__xludf.DUMMYFUNCTION("""COMPUTED_VALUE"""),2.0)</f>
        <v>2</v>
      </c>
      <c r="Y214" s="10">
        <f>IFERROR(__xludf.DUMMYFUNCTION("""COMPUTED_VALUE"""),10.0)</f>
        <v>10</v>
      </c>
      <c r="Z214" s="10">
        <f>IFERROR(__xludf.DUMMYFUNCTION("""COMPUTED_VALUE"""),2.0)</f>
        <v>2</v>
      </c>
      <c r="AA214" s="10">
        <f>IFERROR(__xludf.DUMMYFUNCTION("""COMPUTED_VALUE"""),2.0)</f>
        <v>2</v>
      </c>
      <c r="AB214" s="10">
        <f>IFERROR(__xludf.DUMMYFUNCTION("""COMPUTED_VALUE"""),2.0)</f>
        <v>2</v>
      </c>
      <c r="AC214" s="10">
        <f>IFERROR(__xludf.DUMMYFUNCTION("""COMPUTED_VALUE"""),0.0)</f>
        <v>0</v>
      </c>
      <c r="AD214" s="10">
        <f>IFERROR(__xludf.DUMMYFUNCTION("""COMPUTED_VALUE"""),0.0)</f>
        <v>0</v>
      </c>
      <c r="AE214" s="10">
        <f>IFERROR(__xludf.DUMMYFUNCTION("""COMPUTED_VALUE"""),0.0)</f>
        <v>0</v>
      </c>
      <c r="AF214" s="10">
        <f>IFERROR(__xludf.DUMMYFUNCTION("""COMPUTED_VALUE"""),10.0)</f>
        <v>10</v>
      </c>
      <c r="AG214" s="10">
        <f>IFERROR(__xludf.DUMMYFUNCTION("""COMPUTED_VALUE"""),10.0)</f>
        <v>10</v>
      </c>
      <c r="AH214" s="10">
        <f>IFERROR(__xludf.DUMMYFUNCTION("""COMPUTED_VALUE"""),0.0)</f>
        <v>0</v>
      </c>
      <c r="AI214" s="10">
        <f>IFERROR(__xludf.DUMMYFUNCTION("""COMPUTED_VALUE"""),10.0)</f>
        <v>10</v>
      </c>
      <c r="AJ214" s="11" t="str">
        <f>IFERROR(__xludf.DUMMYFUNCTION("""COMPUTED_VALUE"""),"https://drive.google.com/open?id=1-tfrod7HUNYTKXHkuNvycGy4U0yS9q-U")</f>
        <v>https://drive.google.com/open?id=1-tfrod7HUNYTKXHkuNvycGy4U0yS9q-U</v>
      </c>
      <c r="AK214" s="12" t="str">
        <f>IFERROR(__xludf.DUMMYFUNCTION("""COMPUTED_VALUE"""),"No")</f>
        <v>No</v>
      </c>
      <c r="AL214" s="12"/>
      <c r="AM214" s="12"/>
      <c r="AN214" s="12" t="str">
        <f>IFERROR(__xludf.DUMMYFUNCTION("""COMPUTED_VALUE"""),"2nd week")</f>
        <v>2nd week</v>
      </c>
      <c r="AO214" s="13">
        <v>2.0</v>
      </c>
      <c r="AX214" s="13">
        <v>2.0</v>
      </c>
    </row>
    <row r="215">
      <c r="A215" s="8">
        <v>214.0</v>
      </c>
      <c r="B215" s="9">
        <f>IFERROR(__xludf.DUMMYFUNCTION("""COMPUTED_VALUE"""),45781.40395609954)</f>
        <v>45781.40396</v>
      </c>
      <c r="C215" s="10" t="str">
        <f>IFERROR(__xludf.DUMMYFUNCTION("""COMPUTED_VALUE"""),"Sajjad Hussain bhatti ")</f>
        <v>Sajjad Hussain bhatti </v>
      </c>
      <c r="D215" s="10" t="str">
        <f>IFERROR(__xludf.DUMMYFUNCTION("""COMPUTED_VALUE"""),"03008432760")</f>
        <v>03008432760</v>
      </c>
      <c r="E215" s="10" t="str">
        <f>IFERROR(__xludf.DUMMYFUNCTION("""COMPUTED_VALUE"""),"Jamia masjid syeda muridka ")</f>
        <v>Jamia masjid syeda muridka </v>
      </c>
      <c r="F215" s="10" t="str">
        <f>IFERROR(__xludf.DUMMYFUNCTION("""COMPUTED_VALUE"""),"XBFUU")</f>
        <v>XBFUU</v>
      </c>
      <c r="G215" s="10" t="str">
        <f>IFERROR(__xludf.DUMMYFUNCTION("""COMPUTED_VALUE"""),"No")</f>
        <v>No</v>
      </c>
      <c r="H215" s="10"/>
      <c r="I215" s="10"/>
      <c r="J215" s="10"/>
      <c r="K215" s="10">
        <f>IFERROR(__xludf.DUMMYFUNCTION("""COMPUTED_VALUE"""),0.0)</f>
        <v>0</v>
      </c>
      <c r="L215" s="10">
        <f>IFERROR(__xludf.DUMMYFUNCTION("""COMPUTED_VALUE"""),9.0)</f>
        <v>9</v>
      </c>
      <c r="M215" s="10">
        <f>IFERROR(__xludf.DUMMYFUNCTION("""COMPUTED_VALUE"""),0.0)</f>
        <v>0</v>
      </c>
      <c r="N215" s="10">
        <f>IFERROR(__xludf.DUMMYFUNCTION("""COMPUTED_VALUE"""),5.0)</f>
        <v>5</v>
      </c>
      <c r="O215" s="10">
        <f>IFERROR(__xludf.DUMMYFUNCTION("""COMPUTED_VALUE"""),0.0)</f>
        <v>0</v>
      </c>
      <c r="P215" s="10">
        <f>IFERROR(__xludf.DUMMYFUNCTION("""COMPUTED_VALUE"""),8.0)</f>
        <v>8</v>
      </c>
      <c r="Q215" s="10" t="str">
        <f>IFERROR(__xludf.DUMMYFUNCTION("""COMPUTED_VALUE"""),"No")</f>
        <v>No</v>
      </c>
      <c r="R215" s="10" t="str">
        <f>IFERROR(__xludf.DUMMYFUNCTION("""COMPUTED_VALUE"""),"Yes")</f>
        <v>Yes</v>
      </c>
      <c r="S215" s="10" t="str">
        <f>IFERROR(__xludf.DUMMYFUNCTION("""COMPUTED_VALUE"""),"No")</f>
        <v>No</v>
      </c>
      <c r="T215" s="10">
        <f>IFERROR(__xludf.DUMMYFUNCTION("""COMPUTED_VALUE"""),0.0)</f>
        <v>0</v>
      </c>
      <c r="U215" s="10">
        <f>IFERROR(__xludf.DUMMYFUNCTION("""COMPUTED_VALUE"""),0.0)</f>
        <v>0</v>
      </c>
      <c r="V215" s="10" t="str">
        <f>IFERROR(__xludf.DUMMYFUNCTION("""COMPUTED_VALUE"""),"پڑوسی کے حقوق اور محلے کی صفائی ")</f>
        <v>پڑوسی کے حقوق اور محلے کی صفائی </v>
      </c>
      <c r="W215" s="10" t="str">
        <f>IFERROR(__xludf.DUMMYFUNCTION("""COMPUTED_VALUE"""),"پڑوسی کے حقوق اور محلے کی صفائی اور مسجد کی اہمیت کو اجاگر کیا ")</f>
        <v>پڑوسی کے حقوق اور محلے کی صفائی اور مسجد کی اہمیت کو اجاگر کیا </v>
      </c>
      <c r="X215" s="10">
        <f>IFERROR(__xludf.DUMMYFUNCTION("""COMPUTED_VALUE"""),2.0)</f>
        <v>2</v>
      </c>
      <c r="Y215" s="10">
        <f>IFERROR(__xludf.DUMMYFUNCTION("""COMPUTED_VALUE"""),9.0)</f>
        <v>9</v>
      </c>
      <c r="Z215" s="10">
        <f>IFERROR(__xludf.DUMMYFUNCTION("""COMPUTED_VALUE"""),0.0)</f>
        <v>0</v>
      </c>
      <c r="AA215" s="10">
        <f>IFERROR(__xludf.DUMMYFUNCTION("""COMPUTED_VALUE"""),5.0)</f>
        <v>5</v>
      </c>
      <c r="AB215" s="10">
        <f>IFERROR(__xludf.DUMMYFUNCTION("""COMPUTED_VALUE"""),0.0)</f>
        <v>0</v>
      </c>
      <c r="AC215" s="10">
        <f>IFERROR(__xludf.DUMMYFUNCTION("""COMPUTED_VALUE"""),0.0)</f>
        <v>0</v>
      </c>
      <c r="AD215" s="10">
        <f>IFERROR(__xludf.DUMMYFUNCTION("""COMPUTED_VALUE"""),2.0)</f>
        <v>2</v>
      </c>
      <c r="AE215" s="10">
        <f>IFERROR(__xludf.DUMMYFUNCTION("""COMPUTED_VALUE"""),0.0)</f>
        <v>0</v>
      </c>
      <c r="AF215" s="10">
        <f>IFERROR(__xludf.DUMMYFUNCTION("""COMPUTED_VALUE"""),8.0)</f>
        <v>8</v>
      </c>
      <c r="AG215" s="10">
        <f>IFERROR(__xludf.DUMMYFUNCTION("""COMPUTED_VALUE"""),8.0)</f>
        <v>8</v>
      </c>
      <c r="AH215" s="10">
        <f>IFERROR(__xludf.DUMMYFUNCTION("""COMPUTED_VALUE"""),0.0)</f>
        <v>0</v>
      </c>
      <c r="AI215" s="10">
        <f>IFERROR(__xludf.DUMMYFUNCTION("""COMPUTED_VALUE"""),7.0)</f>
        <v>7</v>
      </c>
      <c r="AJ215" s="11" t="str">
        <f>IFERROR(__xludf.DUMMYFUNCTION("""COMPUTED_VALUE"""),"https://drive.google.com/open?id=1XwB16c_128DzELDe4iCdIIrZviyzM5Gp")</f>
        <v>https://drive.google.com/open?id=1XwB16c_128DzELDe4iCdIIrZviyzM5Gp</v>
      </c>
      <c r="AK215" s="12"/>
      <c r="AL215" s="12"/>
      <c r="AM215" s="12"/>
      <c r="AN215" s="12" t="str">
        <f>IFERROR(__xludf.DUMMYFUNCTION("""COMPUTED_VALUE"""),"2nd week")</f>
        <v>2nd week</v>
      </c>
      <c r="AO215" s="13">
        <v>2.0</v>
      </c>
      <c r="AX215" s="13">
        <v>2.0</v>
      </c>
    </row>
    <row r="216">
      <c r="A216" s="8">
        <v>215.0</v>
      </c>
      <c r="B216" s="9">
        <f>IFERROR(__xludf.DUMMYFUNCTION("""COMPUTED_VALUE"""),45781.58018737269)</f>
        <v>45781.58019</v>
      </c>
      <c r="C216" s="10" t="str">
        <f>IFERROR(__xludf.DUMMYFUNCTION("""COMPUTED_VALUE"""),"Sulaman")</f>
        <v>Sulaman</v>
      </c>
      <c r="D216" s="10" t="str">
        <f>IFERROR(__xludf.DUMMYFUNCTION("""COMPUTED_VALUE"""),"03126136070")</f>
        <v>03126136070</v>
      </c>
      <c r="E216" s="10" t="str">
        <f>IFERROR(__xludf.DUMMYFUNCTION("""COMPUTED_VALUE"""),"Jamia masjid ghosia ")</f>
        <v>Jamia masjid ghosia </v>
      </c>
      <c r="F216" s="10" t="str">
        <f>IFERROR(__xludf.DUMMYFUNCTION("""COMPUTED_VALUE"""),"XYHJE")</f>
        <v>XYHJE</v>
      </c>
      <c r="G216" s="10" t="str">
        <f>IFERROR(__xludf.DUMMYFUNCTION("""COMPUTED_VALUE"""),"Yes")</f>
        <v>Yes</v>
      </c>
      <c r="H216" s="10">
        <f>IFERROR(__xludf.DUMMYFUNCTION("""COMPUTED_VALUE"""),9.0)</f>
        <v>9</v>
      </c>
      <c r="I216" s="10">
        <f>IFERROR(__xludf.DUMMYFUNCTION("""COMPUTED_VALUE"""),1.0)</f>
        <v>1</v>
      </c>
      <c r="J216" s="10">
        <f>IFERROR(__xludf.DUMMYFUNCTION("""COMPUTED_VALUE"""),9.0)</f>
        <v>9</v>
      </c>
      <c r="K216" s="10">
        <f>IFERROR(__xludf.DUMMYFUNCTION("""COMPUTED_VALUE"""),10.0)</f>
        <v>10</v>
      </c>
      <c r="L216" s="10">
        <f>IFERROR(__xludf.DUMMYFUNCTION("""COMPUTED_VALUE"""),0.0)</f>
        <v>0</v>
      </c>
      <c r="M216" s="10">
        <f>IFERROR(__xludf.DUMMYFUNCTION("""COMPUTED_VALUE"""),10.0)</f>
        <v>10</v>
      </c>
      <c r="N216" s="10">
        <f>IFERROR(__xludf.DUMMYFUNCTION("""COMPUTED_VALUE"""),0.0)</f>
        <v>0</v>
      </c>
      <c r="O216" s="10">
        <f>IFERROR(__xludf.DUMMYFUNCTION("""COMPUTED_VALUE"""),9.0)</f>
        <v>9</v>
      </c>
      <c r="P216" s="10">
        <f>IFERROR(__xludf.DUMMYFUNCTION("""COMPUTED_VALUE"""),0.0)</f>
        <v>0</v>
      </c>
      <c r="Q216" s="10" t="str">
        <f>IFERROR(__xludf.DUMMYFUNCTION("""COMPUTED_VALUE"""),"Yes")</f>
        <v>Yes</v>
      </c>
      <c r="R216" s="10" t="str">
        <f>IFERROR(__xludf.DUMMYFUNCTION("""COMPUTED_VALUE"""),"No")</f>
        <v>No</v>
      </c>
      <c r="S216" s="10" t="str">
        <f>IFERROR(__xludf.DUMMYFUNCTION("""COMPUTED_VALUE"""),"No")</f>
        <v>No</v>
      </c>
      <c r="T216" s="10">
        <f>IFERROR(__xludf.DUMMYFUNCTION("""COMPUTED_VALUE"""),0.0)</f>
        <v>0</v>
      </c>
      <c r="U216" s="10">
        <f>IFERROR(__xludf.DUMMYFUNCTION("""COMPUTED_VALUE"""),0.0)</f>
        <v>0</v>
      </c>
      <c r="V216" s="10" t="str">
        <f>IFERROR(__xludf.DUMMYFUNCTION("""COMPUTED_VALUE"""),"عورتوں کے اسلام میں حقوق ")</f>
        <v>عورتوں کے اسلام میں حقوق </v>
      </c>
      <c r="W216" s="10" t="str">
        <f>IFERROR(__xludf.DUMMYFUNCTION("""COMPUTED_VALUE"""),"قرآن و حدیث کی روشنی میں عورتوں کے ساتھ حسن سلوک سے پیش آنے کی وضاحت کی گئی ")</f>
        <v>قرآن و حدیث کی روشنی میں عورتوں کے ساتھ حسن سلوک سے پیش آنے کی وضاحت کی گئی </v>
      </c>
      <c r="X216" s="10">
        <f>IFERROR(__xludf.DUMMYFUNCTION("""COMPUTED_VALUE"""),0.0)</f>
        <v>0</v>
      </c>
      <c r="Y216" s="10">
        <f>IFERROR(__xludf.DUMMYFUNCTION("""COMPUTED_VALUE"""),10.0)</f>
        <v>10</v>
      </c>
      <c r="Z216" s="10">
        <f>IFERROR(__xludf.DUMMYFUNCTION("""COMPUTED_VALUE"""),1.0)</f>
        <v>1</v>
      </c>
      <c r="AA216" s="10">
        <f>IFERROR(__xludf.DUMMYFUNCTION("""COMPUTED_VALUE"""),10.0)</f>
        <v>10</v>
      </c>
      <c r="AB216" s="10">
        <f>IFERROR(__xludf.DUMMYFUNCTION("""COMPUTED_VALUE"""),5.0)</f>
        <v>5</v>
      </c>
      <c r="AC216" s="10">
        <f>IFERROR(__xludf.DUMMYFUNCTION("""COMPUTED_VALUE"""),0.0)</f>
        <v>0</v>
      </c>
      <c r="AD216" s="10">
        <f>IFERROR(__xludf.DUMMYFUNCTION("""COMPUTED_VALUE"""),0.0)</f>
        <v>0</v>
      </c>
      <c r="AE216" s="10">
        <f>IFERROR(__xludf.DUMMYFUNCTION("""COMPUTED_VALUE"""),0.0)</f>
        <v>0</v>
      </c>
      <c r="AF216" s="10">
        <f>IFERROR(__xludf.DUMMYFUNCTION("""COMPUTED_VALUE"""),9.0)</f>
        <v>9</v>
      </c>
      <c r="AG216" s="10">
        <f>IFERROR(__xludf.DUMMYFUNCTION("""COMPUTED_VALUE"""),9.0)</f>
        <v>9</v>
      </c>
      <c r="AH216" s="10">
        <f>IFERROR(__xludf.DUMMYFUNCTION("""COMPUTED_VALUE"""),0.0)</f>
        <v>0</v>
      </c>
      <c r="AI216" s="10">
        <f>IFERROR(__xludf.DUMMYFUNCTION("""COMPUTED_VALUE"""),9.0)</f>
        <v>9</v>
      </c>
      <c r="AJ216" s="11" t="str">
        <f>IFERROR(__xludf.DUMMYFUNCTION("""COMPUTED_VALUE"""),"https://drive.google.com/open?id=113_pjUpx4UIFuRaAKIht9EfNDAeMsBfL")</f>
        <v>https://drive.google.com/open?id=113_pjUpx4UIFuRaAKIht9EfNDAeMsBfL</v>
      </c>
      <c r="AK216" s="12"/>
      <c r="AL216" s="12" t="str">
        <f>IFERROR(__xludf.DUMMYFUNCTION("""COMPUTED_VALUE"""),"Yes")</f>
        <v>Yes</v>
      </c>
      <c r="AM216" s="15">
        <f>IFERROR(__xludf.DUMMYFUNCTION("""COMPUTED_VALUE"""),0.9)</f>
        <v>0.9</v>
      </c>
      <c r="AN216" s="12" t="str">
        <f>IFERROR(__xludf.DUMMYFUNCTION("""COMPUTED_VALUE"""),"2nd week")</f>
        <v>2nd week</v>
      </c>
      <c r="AO216" s="13">
        <v>2.0</v>
      </c>
      <c r="AX216" s="13"/>
    </row>
    <row r="217">
      <c r="A217" s="8">
        <v>216.0</v>
      </c>
      <c r="B217" s="9">
        <f>IFERROR(__xludf.DUMMYFUNCTION("""COMPUTED_VALUE"""),45781.93973680555)</f>
        <v>45781.93974</v>
      </c>
      <c r="C217" s="10" t="str">
        <f>IFERROR(__xludf.DUMMYFUNCTION("""COMPUTED_VALUE"""),"Sajjad Hussain bhatti ")</f>
        <v>Sajjad Hussain bhatti </v>
      </c>
      <c r="D217" s="10" t="str">
        <f>IFERROR(__xludf.DUMMYFUNCTION("""COMPUTED_VALUE"""),"03008432760")</f>
        <v>03008432760</v>
      </c>
      <c r="E217" s="10" t="str">
        <f>IFERROR(__xludf.DUMMYFUNCTION("""COMPUTED_VALUE"""),"Jamia masjid syeda muridka ")</f>
        <v>Jamia masjid syeda muridka </v>
      </c>
      <c r="F217" s="10" t="str">
        <f>IFERROR(__xludf.DUMMYFUNCTION("""COMPUTED_VALUE"""),"XBFUU")</f>
        <v>XBFUU</v>
      </c>
      <c r="G217" s="10" t="str">
        <f>IFERROR(__xludf.DUMMYFUNCTION("""COMPUTED_VALUE"""),"No")</f>
        <v>No</v>
      </c>
      <c r="H217" s="10"/>
      <c r="I217" s="10"/>
      <c r="J217" s="10"/>
      <c r="K217" s="10">
        <f>IFERROR(__xludf.DUMMYFUNCTION("""COMPUTED_VALUE"""),0.0)</f>
        <v>0</v>
      </c>
      <c r="L217" s="10">
        <f>IFERROR(__xludf.DUMMYFUNCTION("""COMPUTED_VALUE"""),9.0)</f>
        <v>9</v>
      </c>
      <c r="M217" s="10">
        <f>IFERROR(__xludf.DUMMYFUNCTION("""COMPUTED_VALUE"""),0.0)</f>
        <v>0</v>
      </c>
      <c r="N217" s="10">
        <f>IFERROR(__xludf.DUMMYFUNCTION("""COMPUTED_VALUE"""),9.0)</f>
        <v>9</v>
      </c>
      <c r="O217" s="10">
        <f>IFERROR(__xludf.DUMMYFUNCTION("""COMPUTED_VALUE"""),0.0)</f>
        <v>0</v>
      </c>
      <c r="P217" s="10">
        <f>IFERROR(__xludf.DUMMYFUNCTION("""COMPUTED_VALUE"""),9.0)</f>
        <v>9</v>
      </c>
      <c r="Q217" s="10" t="str">
        <f>IFERROR(__xludf.DUMMYFUNCTION("""COMPUTED_VALUE"""),"No")</f>
        <v>No</v>
      </c>
      <c r="R217" s="10" t="str">
        <f>IFERROR(__xludf.DUMMYFUNCTION("""COMPUTED_VALUE"""),"Yes")</f>
        <v>Yes</v>
      </c>
      <c r="S217" s="10" t="str">
        <f>IFERROR(__xludf.DUMMYFUNCTION("""COMPUTED_VALUE"""),"No")</f>
        <v>No</v>
      </c>
      <c r="T217" s="10">
        <f>IFERROR(__xludf.DUMMYFUNCTION("""COMPUTED_VALUE"""),0.0)</f>
        <v>0</v>
      </c>
      <c r="U217" s="10">
        <f>IFERROR(__xludf.DUMMYFUNCTION("""COMPUTED_VALUE"""),0.0)</f>
        <v>0</v>
      </c>
      <c r="V217" s="10" t="str">
        <f>IFERROR(__xludf.DUMMYFUNCTION("""COMPUTED_VALUE"""),"پڑوسی کے حقوق اور محلے کی صفائی ")</f>
        <v>پڑوسی کے حقوق اور محلے کی صفائی </v>
      </c>
      <c r="W217" s="10" t="str">
        <f>IFERROR(__xludf.DUMMYFUNCTION("""COMPUTED_VALUE"""),"پڑوسی کے حقوق اور محلے کی صفائی اور مسجد کی اہمیت کو اجاگر کیا ")</f>
        <v>پڑوسی کے حقوق اور محلے کی صفائی اور مسجد کی اہمیت کو اجاگر کیا </v>
      </c>
      <c r="X217" s="10">
        <f>IFERROR(__xludf.DUMMYFUNCTION("""COMPUTED_VALUE"""),2.0)</f>
        <v>2</v>
      </c>
      <c r="Y217" s="10">
        <f>IFERROR(__xludf.DUMMYFUNCTION("""COMPUTED_VALUE"""),9.0)</f>
        <v>9</v>
      </c>
      <c r="Z217" s="10">
        <f>IFERROR(__xludf.DUMMYFUNCTION("""COMPUTED_VALUE"""),2.0)</f>
        <v>2</v>
      </c>
      <c r="AA217" s="10">
        <f>IFERROR(__xludf.DUMMYFUNCTION("""COMPUTED_VALUE"""),2.0)</f>
        <v>2</v>
      </c>
      <c r="AB217" s="10">
        <f>IFERROR(__xludf.DUMMYFUNCTION("""COMPUTED_VALUE"""),0.0)</f>
        <v>0</v>
      </c>
      <c r="AC217" s="10">
        <f>IFERROR(__xludf.DUMMYFUNCTION("""COMPUTED_VALUE"""),0.0)</f>
        <v>0</v>
      </c>
      <c r="AD217" s="10">
        <f>IFERROR(__xludf.DUMMYFUNCTION("""COMPUTED_VALUE"""),2.0)</f>
        <v>2</v>
      </c>
      <c r="AE217" s="10">
        <f>IFERROR(__xludf.DUMMYFUNCTION("""COMPUTED_VALUE"""),0.0)</f>
        <v>0</v>
      </c>
      <c r="AF217" s="10">
        <f>IFERROR(__xludf.DUMMYFUNCTION("""COMPUTED_VALUE"""),9.0)</f>
        <v>9</v>
      </c>
      <c r="AG217" s="10">
        <f>IFERROR(__xludf.DUMMYFUNCTION("""COMPUTED_VALUE"""),9.0)</f>
        <v>9</v>
      </c>
      <c r="AH217" s="10">
        <f>IFERROR(__xludf.DUMMYFUNCTION("""COMPUTED_VALUE"""),0.0)</f>
        <v>0</v>
      </c>
      <c r="AI217" s="10">
        <f>IFERROR(__xludf.DUMMYFUNCTION("""COMPUTED_VALUE"""),9.0)</f>
        <v>9</v>
      </c>
      <c r="AJ217" s="11" t="str">
        <f>IFERROR(__xludf.DUMMYFUNCTION("""COMPUTED_VALUE"""),"https://drive.google.com/open?id=1TeCc5jH8knK0D_GVEfDrkgxr10WxAlZD")</f>
        <v>https://drive.google.com/open?id=1TeCc5jH8knK0D_GVEfDrkgxr10WxAlZD</v>
      </c>
      <c r="AK217" s="12" t="str">
        <f>IFERROR(__xludf.DUMMYFUNCTION("""COMPUTED_VALUE"""),"No")</f>
        <v>No</v>
      </c>
      <c r="AL217" s="12"/>
      <c r="AM217" s="12"/>
      <c r="AN217" s="12" t="str">
        <f>IFERROR(__xludf.DUMMYFUNCTION("""COMPUTED_VALUE"""),"3rd week")</f>
        <v>3rd week</v>
      </c>
      <c r="AO217" s="13">
        <v>3.0</v>
      </c>
      <c r="AX217" s="13">
        <v>3.0</v>
      </c>
    </row>
    <row r="218">
      <c r="A218" s="8">
        <v>217.0</v>
      </c>
      <c r="B218" s="9">
        <f>IFERROR(__xludf.DUMMYFUNCTION("""COMPUTED_VALUE"""),45781.94350494213)</f>
        <v>45781.9435</v>
      </c>
      <c r="C218" s="10" t="str">
        <f>IFERROR(__xludf.DUMMYFUNCTION("""COMPUTED_VALUE"""),"Jamshaid Ali")</f>
        <v>Jamshaid Ali</v>
      </c>
      <c r="D218" s="10" t="str">
        <f>IFERROR(__xludf.DUMMYFUNCTION("""COMPUTED_VALUE"""),"03344036442")</f>
        <v>03344036442</v>
      </c>
      <c r="E218" s="10" t="str">
        <f>IFERROR(__xludf.DUMMYFUNCTION("""COMPUTED_VALUE"""),"Jamia Masjid Auqaf wali session court kachary sheikupura")</f>
        <v>Jamia Masjid Auqaf wali session court kachary sheikupura</v>
      </c>
      <c r="F218" s="10" t="str">
        <f>IFERROR(__xludf.DUMMYFUNCTION("""COMPUTED_VALUE"""),"DSZHX")</f>
        <v>DSZHX</v>
      </c>
      <c r="G218" s="10" t="str">
        <f>IFERROR(__xludf.DUMMYFUNCTION("""COMPUTED_VALUE"""),"Yes")</f>
        <v>Yes</v>
      </c>
      <c r="H218" s="10">
        <f>IFERROR(__xludf.DUMMYFUNCTION("""COMPUTED_VALUE"""),8.0)</f>
        <v>8</v>
      </c>
      <c r="I218" s="10">
        <f>IFERROR(__xludf.DUMMYFUNCTION("""COMPUTED_VALUE"""),4.0)</f>
        <v>4</v>
      </c>
      <c r="J218" s="10">
        <f>IFERROR(__xludf.DUMMYFUNCTION("""COMPUTED_VALUE"""),6.0)</f>
        <v>6</v>
      </c>
      <c r="K218" s="10">
        <f>IFERROR(__xludf.DUMMYFUNCTION("""COMPUTED_VALUE"""),0.0)</f>
        <v>0</v>
      </c>
      <c r="L218" s="10">
        <f>IFERROR(__xludf.DUMMYFUNCTION("""COMPUTED_VALUE"""),8.0)</f>
        <v>8</v>
      </c>
      <c r="M218" s="10">
        <f>IFERROR(__xludf.DUMMYFUNCTION("""COMPUTED_VALUE"""),0.0)</f>
        <v>0</v>
      </c>
      <c r="N218" s="10">
        <f>IFERROR(__xludf.DUMMYFUNCTION("""COMPUTED_VALUE"""),9.0)</f>
        <v>9</v>
      </c>
      <c r="O218" s="10">
        <f>IFERROR(__xludf.DUMMYFUNCTION("""COMPUTED_VALUE"""),0.0)</f>
        <v>0</v>
      </c>
      <c r="P218" s="10">
        <f>IFERROR(__xludf.DUMMYFUNCTION("""COMPUTED_VALUE"""),4.0)</f>
        <v>4</v>
      </c>
      <c r="Q218" s="10" t="str">
        <f>IFERROR(__xludf.DUMMYFUNCTION("""COMPUTED_VALUE"""),"No")</f>
        <v>No</v>
      </c>
      <c r="R218" s="10" t="str">
        <f>IFERROR(__xludf.DUMMYFUNCTION("""COMPUTED_VALUE"""),"Yes")</f>
        <v>Yes</v>
      </c>
      <c r="S218" s="10" t="str">
        <f>IFERROR(__xludf.DUMMYFUNCTION("""COMPUTED_VALUE"""),"No")</f>
        <v>No</v>
      </c>
      <c r="T218" s="10">
        <f>IFERROR(__xludf.DUMMYFUNCTION("""COMPUTED_VALUE"""),0.0)</f>
        <v>0</v>
      </c>
      <c r="U218" s="10">
        <f>IFERROR(__xludf.DUMMYFUNCTION("""COMPUTED_VALUE"""),0.0)</f>
        <v>0</v>
      </c>
      <c r="V218" s="10" t="str">
        <f>IFERROR(__xludf.DUMMYFUNCTION("""COMPUTED_VALUE"""),"Hamsaion k Huqooq  aur safai ka khial rakhein")</f>
        <v>Hamsaion k Huqooq  aur safai ka khial rakhein</v>
      </c>
      <c r="W218" s="10" t="str">
        <f>IFERROR(__xludf.DUMMYFUNCTION("""COMPUTED_VALUE"""),"Hamsaion k sath ach salook krein aur dafai nisf emaan hay")</f>
        <v>Hamsaion k sath ach salook krein aur dafai nisf emaan hay</v>
      </c>
      <c r="X218" s="10">
        <f>IFERROR(__xludf.DUMMYFUNCTION("""COMPUTED_VALUE"""),2.0)</f>
        <v>2</v>
      </c>
      <c r="Y218" s="10">
        <f>IFERROR(__xludf.DUMMYFUNCTION("""COMPUTED_VALUE"""),6.0)</f>
        <v>6</v>
      </c>
      <c r="Z218" s="10">
        <f>IFERROR(__xludf.DUMMYFUNCTION("""COMPUTED_VALUE"""),2.0)</f>
        <v>2</v>
      </c>
      <c r="AA218" s="10">
        <f>IFERROR(__xludf.DUMMYFUNCTION("""COMPUTED_VALUE"""),3.0)</f>
        <v>3</v>
      </c>
      <c r="AB218" s="10">
        <f>IFERROR(__xludf.DUMMYFUNCTION("""COMPUTED_VALUE"""),4.0)</f>
        <v>4</v>
      </c>
      <c r="AC218" s="10">
        <f>IFERROR(__xludf.DUMMYFUNCTION("""COMPUTED_VALUE"""),0.0)</f>
        <v>0</v>
      </c>
      <c r="AD218" s="10">
        <f>IFERROR(__xludf.DUMMYFUNCTION("""COMPUTED_VALUE"""),0.0)</f>
        <v>0</v>
      </c>
      <c r="AE218" s="10">
        <f>IFERROR(__xludf.DUMMYFUNCTION("""COMPUTED_VALUE"""),2.0)</f>
        <v>2</v>
      </c>
      <c r="AF218" s="10">
        <f>IFERROR(__xludf.DUMMYFUNCTION("""COMPUTED_VALUE"""),2.0)</f>
        <v>2</v>
      </c>
      <c r="AG218" s="10">
        <f>IFERROR(__xludf.DUMMYFUNCTION("""COMPUTED_VALUE"""),6.0)</f>
        <v>6</v>
      </c>
      <c r="AH218" s="10">
        <f>IFERROR(__xludf.DUMMYFUNCTION("""COMPUTED_VALUE"""),0.0)</f>
        <v>0</v>
      </c>
      <c r="AI218" s="10">
        <f>IFERROR(__xludf.DUMMYFUNCTION("""COMPUTED_VALUE"""),8.0)</f>
        <v>8</v>
      </c>
      <c r="AJ218" s="11" t="str">
        <f>IFERROR(__xludf.DUMMYFUNCTION("""COMPUTED_VALUE"""),"https://drive.google.com/open?id=19m6cU6Vt3En6HaD5SNTNq5NPBuzItmP3")</f>
        <v>https://drive.google.com/open?id=19m6cU6Vt3En6HaD5SNTNq5NPBuzItmP3</v>
      </c>
      <c r="AK218" s="12"/>
      <c r="AL218" s="12" t="str">
        <f>IFERROR(__xludf.DUMMYFUNCTION("""COMPUTED_VALUE"""),"Yes")</f>
        <v>Yes</v>
      </c>
      <c r="AM218" s="15">
        <f>IFERROR(__xludf.DUMMYFUNCTION("""COMPUTED_VALUE"""),0.5)</f>
        <v>0.5</v>
      </c>
      <c r="AN218" s="12" t="str">
        <f>IFERROR(__xludf.DUMMYFUNCTION("""COMPUTED_VALUE"""),"2nd week")</f>
        <v>2nd week</v>
      </c>
      <c r="AO218" s="13">
        <v>2.0</v>
      </c>
      <c r="AX218" s="13">
        <v>2.0</v>
      </c>
    </row>
    <row r="219">
      <c r="A219" s="8">
        <v>218.0</v>
      </c>
      <c r="B219" s="9">
        <f>IFERROR(__xludf.DUMMYFUNCTION("""COMPUTED_VALUE"""),45782.29103266203)</f>
        <v>45782.29103</v>
      </c>
      <c r="C219" s="10" t="str">
        <f>IFERROR(__xludf.DUMMYFUNCTION("""COMPUTED_VALUE"""),"Husnain Ali bhatti ")</f>
        <v>Husnain Ali bhatti </v>
      </c>
      <c r="D219" s="10" t="str">
        <f>IFERROR(__xludf.DUMMYFUNCTION("""COMPUTED_VALUE"""),"03444433036")</f>
        <v>03444433036</v>
      </c>
      <c r="E219" s="10" t="str">
        <f>IFERROR(__xludf.DUMMYFUNCTION("""COMPUTED_VALUE"""),"Jamia masjid Qalander shah ")</f>
        <v>Jamia masjid Qalander shah </v>
      </c>
      <c r="F219" s="10" t="str">
        <f>IFERROR(__xludf.DUMMYFUNCTION("""COMPUTED_VALUE"""),"CKLBK")</f>
        <v>CKLBK</v>
      </c>
      <c r="G219" s="10" t="str">
        <f>IFERROR(__xludf.DUMMYFUNCTION("""COMPUTED_VALUE"""),"No")</f>
        <v>No</v>
      </c>
      <c r="H219" s="10"/>
      <c r="I219" s="10"/>
      <c r="J219" s="10"/>
      <c r="K219" s="10">
        <f>IFERROR(__xludf.DUMMYFUNCTION("""COMPUTED_VALUE"""),0.0)</f>
        <v>0</v>
      </c>
      <c r="L219" s="10">
        <f>IFERROR(__xludf.DUMMYFUNCTION("""COMPUTED_VALUE"""),10.0)</f>
        <v>10</v>
      </c>
      <c r="M219" s="10">
        <f>IFERROR(__xludf.DUMMYFUNCTION("""COMPUTED_VALUE"""),0.0)</f>
        <v>0</v>
      </c>
      <c r="N219" s="10">
        <f>IFERROR(__xludf.DUMMYFUNCTION("""COMPUTED_VALUE"""),10.0)</f>
        <v>10</v>
      </c>
      <c r="O219" s="10">
        <f>IFERROR(__xludf.DUMMYFUNCTION("""COMPUTED_VALUE"""),0.0)</f>
        <v>0</v>
      </c>
      <c r="P219" s="10">
        <f>IFERROR(__xludf.DUMMYFUNCTION("""COMPUTED_VALUE"""),10.0)</f>
        <v>10</v>
      </c>
      <c r="Q219" s="10" t="str">
        <f>IFERROR(__xludf.DUMMYFUNCTION("""COMPUTED_VALUE"""),"No")</f>
        <v>No</v>
      </c>
      <c r="R219" s="10" t="str">
        <f>IFERROR(__xludf.DUMMYFUNCTION("""COMPUTED_VALUE"""),"Yes")</f>
        <v>Yes</v>
      </c>
      <c r="S219" s="10" t="str">
        <f>IFERROR(__xludf.DUMMYFUNCTION("""COMPUTED_VALUE"""),"No")</f>
        <v>No</v>
      </c>
      <c r="T219" s="10">
        <f>IFERROR(__xludf.DUMMYFUNCTION("""COMPUTED_VALUE"""),0.0)</f>
        <v>0</v>
      </c>
      <c r="U219" s="10">
        <f>IFERROR(__xludf.DUMMYFUNCTION("""COMPUTED_VALUE"""),10.0)</f>
        <v>10</v>
      </c>
      <c r="V219" s="10" t="str">
        <f>IFERROR(__xludf.DUMMYFUNCTION("""COMPUTED_VALUE"""),"پڑوسی کے حقوق اور مسجد کی اہمیت ")</f>
        <v>پڑوسی کے حقوق اور مسجد کی اہمیت </v>
      </c>
      <c r="W219" s="10" t="str">
        <f>IFERROR(__xludf.DUMMYFUNCTION("""COMPUTED_VALUE"""),"پڑوسی کے حقوق اور محلے کی صفائی اور مسجد کی اہمیت اور حسن سلوک ")</f>
        <v>پڑوسی کے حقوق اور محلے کی صفائی اور مسجد کی اہمیت اور حسن سلوک </v>
      </c>
      <c r="X219" s="10">
        <f>IFERROR(__xludf.DUMMYFUNCTION("""COMPUTED_VALUE"""),0.0)</f>
        <v>0</v>
      </c>
      <c r="Y219" s="10">
        <f>IFERROR(__xludf.DUMMYFUNCTION("""COMPUTED_VALUE"""),10.0)</f>
        <v>10</v>
      </c>
      <c r="Z219" s="10">
        <f>IFERROR(__xludf.DUMMYFUNCTION("""COMPUTED_VALUE"""),2.0)</f>
        <v>2</v>
      </c>
      <c r="AA219" s="10">
        <f>IFERROR(__xludf.DUMMYFUNCTION("""COMPUTED_VALUE"""),2.0)</f>
        <v>2</v>
      </c>
      <c r="AB219" s="10">
        <f>IFERROR(__xludf.DUMMYFUNCTION("""COMPUTED_VALUE"""),2.0)</f>
        <v>2</v>
      </c>
      <c r="AC219" s="10">
        <f>IFERROR(__xludf.DUMMYFUNCTION("""COMPUTED_VALUE"""),0.0)</f>
        <v>0</v>
      </c>
      <c r="AD219" s="10">
        <f>IFERROR(__xludf.DUMMYFUNCTION("""COMPUTED_VALUE"""),2.0)</f>
        <v>2</v>
      </c>
      <c r="AE219" s="10">
        <f>IFERROR(__xludf.DUMMYFUNCTION("""COMPUTED_VALUE"""),2.0)</f>
        <v>2</v>
      </c>
      <c r="AF219" s="10">
        <f>IFERROR(__xludf.DUMMYFUNCTION("""COMPUTED_VALUE"""),10.0)</f>
        <v>10</v>
      </c>
      <c r="AG219" s="10">
        <f>IFERROR(__xludf.DUMMYFUNCTION("""COMPUTED_VALUE"""),10.0)</f>
        <v>10</v>
      </c>
      <c r="AH219" s="10">
        <f>IFERROR(__xludf.DUMMYFUNCTION("""COMPUTED_VALUE"""),0.0)</f>
        <v>0</v>
      </c>
      <c r="AI219" s="10">
        <f>IFERROR(__xludf.DUMMYFUNCTION("""COMPUTED_VALUE"""),10.0)</f>
        <v>10</v>
      </c>
      <c r="AJ219" s="11" t="str">
        <f>IFERROR(__xludf.DUMMYFUNCTION("""COMPUTED_VALUE"""),"https://drive.google.com/open?id=1xaHqB7uwN9MBvKuJ9mOn2Zz-gFHKk5_e")</f>
        <v>https://drive.google.com/open?id=1xaHqB7uwN9MBvKuJ9mOn2Zz-gFHKk5_e</v>
      </c>
      <c r="AK219" s="12"/>
      <c r="AL219" s="12"/>
      <c r="AM219" s="12"/>
      <c r="AN219" s="12" t="str">
        <f>IFERROR(__xludf.DUMMYFUNCTION("""COMPUTED_VALUE"""),"3rd week")</f>
        <v>3rd week</v>
      </c>
      <c r="AO219" s="13">
        <v>3.0</v>
      </c>
      <c r="AX219" s="13">
        <v>3.0</v>
      </c>
    </row>
    <row r="220">
      <c r="A220" s="8">
        <v>219.0</v>
      </c>
      <c r="B220" s="9">
        <f>IFERROR(__xludf.DUMMYFUNCTION("""COMPUTED_VALUE"""),45782.56219635416)</f>
        <v>45782.5622</v>
      </c>
      <c r="C220" s="10" t="str">
        <f>IFERROR(__xludf.DUMMYFUNCTION("""COMPUTED_VALUE"""),"Sulaman")</f>
        <v>Sulaman</v>
      </c>
      <c r="D220" s="10" t="str">
        <f>IFERROR(__xludf.DUMMYFUNCTION("""COMPUTED_VALUE"""),"03126136070")</f>
        <v>03126136070</v>
      </c>
      <c r="E220" s="10" t="str">
        <f>IFERROR(__xludf.DUMMYFUNCTION("""COMPUTED_VALUE"""),"Jamia masjid darbar shah jahngir ")</f>
        <v>Jamia masjid darbar shah jahngir </v>
      </c>
      <c r="F220" s="10" t="str">
        <f>IFERROR(__xludf.DUMMYFUNCTION("""COMPUTED_VALUE"""),"Cnztw")</f>
        <v>Cnztw</v>
      </c>
      <c r="G220" s="10" t="str">
        <f>IFERROR(__xludf.DUMMYFUNCTION("""COMPUTED_VALUE"""),"Yes")</f>
        <v>Yes</v>
      </c>
      <c r="H220" s="10">
        <f>IFERROR(__xludf.DUMMYFUNCTION("""COMPUTED_VALUE"""),8.0)</f>
        <v>8</v>
      </c>
      <c r="I220" s="10">
        <f>IFERROR(__xludf.DUMMYFUNCTION("""COMPUTED_VALUE"""),2.0)</f>
        <v>2</v>
      </c>
      <c r="J220" s="10">
        <f>IFERROR(__xludf.DUMMYFUNCTION("""COMPUTED_VALUE"""),8.0)</f>
        <v>8</v>
      </c>
      <c r="K220" s="10">
        <f>IFERROR(__xludf.DUMMYFUNCTION("""COMPUTED_VALUE"""),0.0)</f>
        <v>0</v>
      </c>
      <c r="L220" s="10">
        <f>IFERROR(__xludf.DUMMYFUNCTION("""COMPUTED_VALUE"""),8.0)</f>
        <v>8</v>
      </c>
      <c r="M220" s="10">
        <f>IFERROR(__xludf.DUMMYFUNCTION("""COMPUTED_VALUE"""),0.0)</f>
        <v>0</v>
      </c>
      <c r="N220" s="10">
        <f>IFERROR(__xludf.DUMMYFUNCTION("""COMPUTED_VALUE"""),8.0)</f>
        <v>8</v>
      </c>
      <c r="O220" s="10">
        <f>IFERROR(__xludf.DUMMYFUNCTION("""COMPUTED_VALUE"""),0.0)</f>
        <v>0</v>
      </c>
      <c r="P220" s="10">
        <f>IFERROR(__xludf.DUMMYFUNCTION("""COMPUTED_VALUE"""),5.0)</f>
        <v>5</v>
      </c>
      <c r="Q220" s="10" t="str">
        <f>IFERROR(__xludf.DUMMYFUNCTION("""COMPUTED_VALUE"""),"No")</f>
        <v>No</v>
      </c>
      <c r="R220" s="10" t="str">
        <f>IFERROR(__xludf.DUMMYFUNCTION("""COMPUTED_VALUE"""),"Yes")</f>
        <v>Yes</v>
      </c>
      <c r="S220" s="10" t="str">
        <f>IFERROR(__xludf.DUMMYFUNCTION("""COMPUTED_VALUE"""),"No")</f>
        <v>No</v>
      </c>
      <c r="T220" s="10">
        <f>IFERROR(__xludf.DUMMYFUNCTION("""COMPUTED_VALUE"""),0.0)</f>
        <v>0</v>
      </c>
      <c r="U220" s="10">
        <f>IFERROR(__xludf.DUMMYFUNCTION("""COMPUTED_VALUE"""),8.0)</f>
        <v>8</v>
      </c>
      <c r="V220" s="10" t="str">
        <f>IFERROR(__xludf.DUMMYFUNCTION("""COMPUTED_VALUE"""),"پڑوسیوں محلے داروں کے حقوق ")</f>
        <v>پڑوسیوں محلے داروں کے حقوق </v>
      </c>
      <c r="W220" s="10" t="str">
        <f>IFERROR(__xludf.DUMMYFUNCTION("""COMPUTED_VALUE"""),"پڑوسیوں کے حقوق 
پڑوس کو صاف رکھنا 
سخاوت ")</f>
        <v>پڑوسیوں کے حقوق 
پڑوس کو صاف رکھنا 
سخاوت </v>
      </c>
      <c r="X220" s="10">
        <f>IFERROR(__xludf.DUMMYFUNCTION("""COMPUTED_VALUE"""),1.0)</f>
        <v>1</v>
      </c>
      <c r="Y220" s="10">
        <f>IFERROR(__xludf.DUMMYFUNCTION("""COMPUTED_VALUE"""),8.0)</f>
        <v>8</v>
      </c>
      <c r="Z220" s="10">
        <f>IFERROR(__xludf.DUMMYFUNCTION("""COMPUTED_VALUE"""),7.0)</f>
        <v>7</v>
      </c>
      <c r="AA220" s="10">
        <f>IFERROR(__xludf.DUMMYFUNCTION("""COMPUTED_VALUE"""),9.0)</f>
        <v>9</v>
      </c>
      <c r="AB220" s="10">
        <f>IFERROR(__xludf.DUMMYFUNCTION("""COMPUTED_VALUE"""),4.0)</f>
        <v>4</v>
      </c>
      <c r="AC220" s="10">
        <f>IFERROR(__xludf.DUMMYFUNCTION("""COMPUTED_VALUE"""),0.0)</f>
        <v>0</v>
      </c>
      <c r="AD220" s="10">
        <f>IFERROR(__xludf.DUMMYFUNCTION("""COMPUTED_VALUE"""),0.0)</f>
        <v>0</v>
      </c>
      <c r="AE220" s="10">
        <f>IFERROR(__xludf.DUMMYFUNCTION("""COMPUTED_VALUE"""),0.0)</f>
        <v>0</v>
      </c>
      <c r="AF220" s="10">
        <f>IFERROR(__xludf.DUMMYFUNCTION("""COMPUTED_VALUE"""),8.0)</f>
        <v>8</v>
      </c>
      <c r="AG220" s="10">
        <f>IFERROR(__xludf.DUMMYFUNCTION("""COMPUTED_VALUE"""),9.0)</f>
        <v>9</v>
      </c>
      <c r="AH220" s="10">
        <f>IFERROR(__xludf.DUMMYFUNCTION("""COMPUTED_VALUE"""),0.0)</f>
        <v>0</v>
      </c>
      <c r="AI220" s="10">
        <f>IFERROR(__xludf.DUMMYFUNCTION("""COMPUTED_VALUE"""),8.0)</f>
        <v>8</v>
      </c>
      <c r="AJ220" s="11" t="str">
        <f>IFERROR(__xludf.DUMMYFUNCTION("""COMPUTED_VALUE"""),"https://drive.google.com/open?id=14xWcNKCDlM9v3yrtQzc7rWiBRART0kq5")</f>
        <v>https://drive.google.com/open?id=14xWcNKCDlM9v3yrtQzc7rWiBRART0kq5</v>
      </c>
      <c r="AK220" s="12"/>
      <c r="AL220" s="12" t="str">
        <f>IFERROR(__xludf.DUMMYFUNCTION("""COMPUTED_VALUE"""),"Yes")</f>
        <v>Yes</v>
      </c>
      <c r="AM220" s="15">
        <f>IFERROR(__xludf.DUMMYFUNCTION("""COMPUTED_VALUE"""),0.8)</f>
        <v>0.8</v>
      </c>
      <c r="AN220" s="12" t="str">
        <f>IFERROR(__xludf.DUMMYFUNCTION("""COMPUTED_VALUE"""),"2nd week")</f>
        <v>2nd week</v>
      </c>
      <c r="AO220" s="13">
        <v>2.0</v>
      </c>
      <c r="AX220" s="13"/>
    </row>
    <row r="221">
      <c r="A221" s="8">
        <v>220.0</v>
      </c>
      <c r="B221" s="9">
        <f>IFERROR(__xludf.DUMMYFUNCTION("""COMPUTED_VALUE"""),45782.601561828706)</f>
        <v>45782.60156</v>
      </c>
      <c r="C221" s="10" t="str">
        <f>IFERROR(__xludf.DUMMYFUNCTION("""COMPUTED_VALUE"""),"Jamshaid Ali")</f>
        <v>Jamshaid Ali</v>
      </c>
      <c r="D221" s="10" t="str">
        <f>IFERROR(__xludf.DUMMYFUNCTION("""COMPUTED_VALUE"""),"03344036442")</f>
        <v>03344036442</v>
      </c>
      <c r="E221" s="10" t="str">
        <f>IFERROR(__xludf.DUMMYFUNCTION("""COMPUTED_VALUE"""),"Jamia Masjid Auqaf wali session court kachary sheikupura")</f>
        <v>Jamia Masjid Auqaf wali session court kachary sheikupura</v>
      </c>
      <c r="F221" s="10" t="str">
        <f>IFERROR(__xludf.DUMMYFUNCTION("""COMPUTED_VALUE"""),"DSZHX")</f>
        <v>DSZHX</v>
      </c>
      <c r="G221" s="10" t="str">
        <f>IFERROR(__xludf.DUMMYFUNCTION("""COMPUTED_VALUE"""),"No")</f>
        <v>No</v>
      </c>
      <c r="H221" s="10"/>
      <c r="I221" s="10"/>
      <c r="J221" s="10"/>
      <c r="K221" s="10">
        <f>IFERROR(__xludf.DUMMYFUNCTION("""COMPUTED_VALUE"""),0.0)</f>
        <v>0</v>
      </c>
      <c r="L221" s="10">
        <f>IFERROR(__xludf.DUMMYFUNCTION("""COMPUTED_VALUE"""),0.0)</f>
        <v>0</v>
      </c>
      <c r="M221" s="10">
        <f>IFERROR(__xludf.DUMMYFUNCTION("""COMPUTED_VALUE"""),0.0)</f>
        <v>0</v>
      </c>
      <c r="N221" s="10">
        <f>IFERROR(__xludf.DUMMYFUNCTION("""COMPUTED_VALUE"""),0.0)</f>
        <v>0</v>
      </c>
      <c r="O221" s="10">
        <f>IFERROR(__xludf.DUMMYFUNCTION("""COMPUTED_VALUE"""),0.0)</f>
        <v>0</v>
      </c>
      <c r="P221" s="10">
        <f>IFERROR(__xludf.DUMMYFUNCTION("""COMPUTED_VALUE"""),0.0)</f>
        <v>0</v>
      </c>
      <c r="Q221" s="10" t="str">
        <f>IFERROR(__xludf.DUMMYFUNCTION("""COMPUTED_VALUE"""),"No")</f>
        <v>No</v>
      </c>
      <c r="R221" s="10" t="str">
        <f>IFERROR(__xludf.DUMMYFUNCTION("""COMPUTED_VALUE"""),"No")</f>
        <v>No</v>
      </c>
      <c r="S221" s="10" t="str">
        <f>IFERROR(__xludf.DUMMYFUNCTION("""COMPUTED_VALUE"""),"No")</f>
        <v>No</v>
      </c>
      <c r="T221" s="10">
        <f>IFERROR(__xludf.DUMMYFUNCTION("""COMPUTED_VALUE"""),0.0)</f>
        <v>0</v>
      </c>
      <c r="U221" s="10">
        <f>IFERROR(__xludf.DUMMYFUNCTION("""COMPUTED_VALUE"""),0.0)</f>
        <v>0</v>
      </c>
      <c r="V221" s="10" t="str">
        <f>IFERROR(__xludf.DUMMYFUNCTION("""COMPUTED_VALUE"""),"اسلامی مہینے کی حرمت ")</f>
        <v>اسلامی مہینے کی حرمت </v>
      </c>
      <c r="W221" s="10" t="str">
        <f>IFERROR(__xludf.DUMMYFUNCTION("""COMPUTED_VALUE"""),"اسلامی مہینے کی حرمت اور عشر گندم کے متلعق")</f>
        <v>اسلامی مہینے کی حرمت اور عشر گندم کے متلعق</v>
      </c>
      <c r="X221" s="10">
        <f>IFERROR(__xludf.DUMMYFUNCTION("""COMPUTED_VALUE"""),10.0)</f>
        <v>10</v>
      </c>
      <c r="Y221" s="10">
        <f>IFERROR(__xludf.DUMMYFUNCTION("""COMPUTED_VALUE"""),3.0)</f>
        <v>3</v>
      </c>
      <c r="Z221" s="10">
        <f>IFERROR(__xludf.DUMMYFUNCTION("""COMPUTED_VALUE"""),3.0)</f>
        <v>3</v>
      </c>
      <c r="AA221" s="10">
        <f>IFERROR(__xludf.DUMMYFUNCTION("""COMPUTED_VALUE"""),10.0)</f>
        <v>10</v>
      </c>
      <c r="AB221" s="10">
        <f>IFERROR(__xludf.DUMMYFUNCTION("""COMPUTED_VALUE"""),0.0)</f>
        <v>0</v>
      </c>
      <c r="AC221" s="10">
        <f>IFERROR(__xludf.DUMMYFUNCTION("""COMPUTED_VALUE"""),0.0)</f>
        <v>0</v>
      </c>
      <c r="AD221" s="10">
        <f>IFERROR(__xludf.DUMMYFUNCTION("""COMPUTED_VALUE"""),4.0)</f>
        <v>4</v>
      </c>
      <c r="AE221" s="10">
        <f>IFERROR(__xludf.DUMMYFUNCTION("""COMPUTED_VALUE"""),0.0)</f>
        <v>0</v>
      </c>
      <c r="AF221" s="10">
        <f>IFERROR(__xludf.DUMMYFUNCTION("""COMPUTED_VALUE"""),2.0)</f>
        <v>2</v>
      </c>
      <c r="AG221" s="10">
        <f>IFERROR(__xludf.DUMMYFUNCTION("""COMPUTED_VALUE"""),7.0)</f>
        <v>7</v>
      </c>
      <c r="AH221" s="10">
        <f>IFERROR(__xludf.DUMMYFUNCTION("""COMPUTED_VALUE"""),0.0)</f>
        <v>0</v>
      </c>
      <c r="AI221" s="10">
        <f>IFERROR(__xludf.DUMMYFUNCTION("""COMPUTED_VALUE"""),8.0)</f>
        <v>8</v>
      </c>
      <c r="AJ221" s="11" t="str">
        <f>IFERROR(__xludf.DUMMYFUNCTION("""COMPUTED_VALUE"""),"https://drive.google.com/open?id=1LpwcukzD2SCfzsi5XTegsbb8t-iK-2jc")</f>
        <v>https://drive.google.com/open?id=1LpwcukzD2SCfzsi5XTegsbb8t-iK-2jc</v>
      </c>
      <c r="AK221" s="12"/>
      <c r="AL221" s="12"/>
      <c r="AM221" s="12"/>
      <c r="AN221" s="12" t="str">
        <f>IFERROR(__xludf.DUMMYFUNCTION("""COMPUTED_VALUE"""),"3rd week")</f>
        <v>3rd week</v>
      </c>
      <c r="AO221" s="13" t="s">
        <v>8</v>
      </c>
      <c r="AX221" s="13">
        <v>3.0</v>
      </c>
    </row>
    <row r="222">
      <c r="A222" s="8">
        <v>221.0</v>
      </c>
      <c r="B222" s="9">
        <f>IFERROR(__xludf.DUMMYFUNCTION("""COMPUTED_VALUE"""),45782.615894884264)</f>
        <v>45782.61589</v>
      </c>
      <c r="C222" s="10" t="str">
        <f>IFERROR(__xludf.DUMMYFUNCTION("""COMPUTED_VALUE"""),"Mohsin Raza ")</f>
        <v>Mohsin Raza </v>
      </c>
      <c r="D222" s="10" t="str">
        <f>IFERROR(__xludf.DUMMYFUNCTION("""COMPUTED_VALUE"""),"03014497860")</f>
        <v>03014497860</v>
      </c>
      <c r="E222" s="10" t="str">
        <f>IFERROR(__xludf.DUMMYFUNCTION("""COMPUTED_VALUE"""),"Jamia Masjid Imam bargah kalan kacheri sheikhupura ")</f>
        <v>Jamia Masjid Imam bargah kalan kacheri sheikhupura </v>
      </c>
      <c r="F222" s="10" t="str">
        <f>IFERROR(__xludf.DUMMYFUNCTION("""COMPUTED_VALUE"""),"UPUVS")</f>
        <v>UPUVS</v>
      </c>
      <c r="G222" s="10" t="str">
        <f>IFERROR(__xludf.DUMMYFUNCTION("""COMPUTED_VALUE"""),"No")</f>
        <v>No</v>
      </c>
      <c r="H222" s="10"/>
      <c r="I222" s="10"/>
      <c r="J222" s="10"/>
      <c r="K222" s="10">
        <f>IFERROR(__xludf.DUMMYFUNCTION("""COMPUTED_VALUE"""),0.0)</f>
        <v>0</v>
      </c>
      <c r="L222" s="10">
        <f>IFERROR(__xludf.DUMMYFUNCTION("""COMPUTED_VALUE"""),0.0)</f>
        <v>0</v>
      </c>
      <c r="M222" s="10">
        <f>IFERROR(__xludf.DUMMYFUNCTION("""COMPUTED_VALUE"""),0.0)</f>
        <v>0</v>
      </c>
      <c r="N222" s="10">
        <f>IFERROR(__xludf.DUMMYFUNCTION("""COMPUTED_VALUE"""),0.0)</f>
        <v>0</v>
      </c>
      <c r="O222" s="10">
        <f>IFERROR(__xludf.DUMMYFUNCTION("""COMPUTED_VALUE"""),4.0)</f>
        <v>4</v>
      </c>
      <c r="P222" s="10">
        <f>IFERROR(__xludf.DUMMYFUNCTION("""COMPUTED_VALUE"""),8.0)</f>
        <v>8</v>
      </c>
      <c r="Q222" s="10" t="str">
        <f>IFERROR(__xludf.DUMMYFUNCTION("""COMPUTED_VALUE"""),"No")</f>
        <v>No</v>
      </c>
      <c r="R222" s="10" t="str">
        <f>IFERROR(__xludf.DUMMYFUNCTION("""COMPUTED_VALUE"""),"Yes")</f>
        <v>Yes</v>
      </c>
      <c r="S222" s="10" t="str">
        <f>IFERROR(__xludf.DUMMYFUNCTION("""COMPUTED_VALUE"""),"Yes")</f>
        <v>Yes</v>
      </c>
      <c r="T222" s="10">
        <f>IFERROR(__xludf.DUMMYFUNCTION("""COMPUTED_VALUE"""),5.0)</f>
        <v>5</v>
      </c>
      <c r="U222" s="10">
        <f>IFERROR(__xludf.DUMMYFUNCTION("""COMPUTED_VALUE"""),5.0)</f>
        <v>5</v>
      </c>
      <c r="V222" s="10" t="str">
        <f>IFERROR(__xludf.DUMMYFUNCTION("""COMPUTED_VALUE"""),"تقوی ")</f>
        <v>تقوی </v>
      </c>
      <c r="W222" s="10" t="str">
        <f>IFERROR(__xludf.DUMMYFUNCTION("""COMPUTED_VALUE"""),"تقوی اور ایمان ابو طالب علیہ السلام")</f>
        <v>تقوی اور ایمان ابو طالب علیہ السلام</v>
      </c>
      <c r="X222" s="10">
        <f>IFERROR(__xludf.DUMMYFUNCTION("""COMPUTED_VALUE"""),10.0)</f>
        <v>10</v>
      </c>
      <c r="Y222" s="10">
        <f>IFERROR(__xludf.DUMMYFUNCTION("""COMPUTED_VALUE"""),10.0)</f>
        <v>10</v>
      </c>
      <c r="Z222" s="10">
        <f>IFERROR(__xludf.DUMMYFUNCTION("""COMPUTED_VALUE"""),6.0)</f>
        <v>6</v>
      </c>
      <c r="AA222" s="10">
        <f>IFERROR(__xludf.DUMMYFUNCTION("""COMPUTED_VALUE"""),8.0)</f>
        <v>8</v>
      </c>
      <c r="AB222" s="10">
        <f>IFERROR(__xludf.DUMMYFUNCTION("""COMPUTED_VALUE"""),8.0)</f>
        <v>8</v>
      </c>
      <c r="AC222" s="10">
        <f>IFERROR(__xludf.DUMMYFUNCTION("""COMPUTED_VALUE"""),0.0)</f>
        <v>0</v>
      </c>
      <c r="AD222" s="10">
        <f>IFERROR(__xludf.DUMMYFUNCTION("""COMPUTED_VALUE"""),7.0)</f>
        <v>7</v>
      </c>
      <c r="AE222" s="10">
        <f>IFERROR(__xludf.DUMMYFUNCTION("""COMPUTED_VALUE"""),7.0)</f>
        <v>7</v>
      </c>
      <c r="AF222" s="10">
        <f>IFERROR(__xludf.DUMMYFUNCTION("""COMPUTED_VALUE"""),10.0)</f>
        <v>10</v>
      </c>
      <c r="AG222" s="10">
        <f>IFERROR(__xludf.DUMMYFUNCTION("""COMPUTED_VALUE"""),10.0)</f>
        <v>10</v>
      </c>
      <c r="AH222" s="10">
        <f>IFERROR(__xludf.DUMMYFUNCTION("""COMPUTED_VALUE"""),0.0)</f>
        <v>0</v>
      </c>
      <c r="AI222" s="10">
        <f>IFERROR(__xludf.DUMMYFUNCTION("""COMPUTED_VALUE"""),10.0)</f>
        <v>10</v>
      </c>
      <c r="AJ222" s="11" t="str">
        <f>IFERROR(__xludf.DUMMYFUNCTION("""COMPUTED_VALUE"""),"https://drive.google.com/open?id=1hdCeAtumTZXcFdWZCgRUkAyWrJ1tCgd_")</f>
        <v>https://drive.google.com/open?id=1hdCeAtumTZXcFdWZCgRUkAyWrJ1tCgd_</v>
      </c>
      <c r="AK222" s="12"/>
      <c r="AL222" s="12"/>
      <c r="AM222" s="12"/>
      <c r="AN222" s="12" t="str">
        <f>IFERROR(__xludf.DUMMYFUNCTION("""COMPUTED_VALUE"""),"3rd week")</f>
        <v>3rd week</v>
      </c>
      <c r="AO222" s="13" t="s">
        <v>8</v>
      </c>
      <c r="AX222" s="13">
        <v>3.0</v>
      </c>
    </row>
    <row r="223">
      <c r="A223" s="8">
        <v>222.0</v>
      </c>
      <c r="B223" s="9">
        <f>IFERROR(__xludf.DUMMYFUNCTION("""COMPUTED_VALUE"""),45784.36297267361)</f>
        <v>45784.36297</v>
      </c>
      <c r="C223" s="10" t="str">
        <f>IFERROR(__xludf.DUMMYFUNCTION("""COMPUTED_VALUE"""),"Muhammad Baqir")</f>
        <v>Muhammad Baqir</v>
      </c>
      <c r="D223" s="10" t="str">
        <f>IFERROR(__xludf.DUMMYFUNCTION("""COMPUTED_VALUE"""),"03005551884")</f>
        <v>03005551884</v>
      </c>
      <c r="E223" s="10" t="str">
        <f>IFERROR(__xludf.DUMMYFUNCTION("""COMPUTED_VALUE"""),"JAmia MAsjid emam Ali Allahq sailkot")</f>
        <v>JAmia MAsjid emam Ali Allahq sailkot</v>
      </c>
      <c r="F223" s="10" t="str">
        <f>IFERROR(__xludf.DUMMYFUNCTION("""COMPUTED_VALUE"""),"AKNHZ")</f>
        <v>AKNHZ</v>
      </c>
      <c r="G223" s="10" t="str">
        <f>IFERROR(__xludf.DUMMYFUNCTION("""COMPUTED_VALUE"""),"No")</f>
        <v>No</v>
      </c>
      <c r="H223" s="10"/>
      <c r="I223" s="10"/>
      <c r="J223" s="10"/>
      <c r="K223" s="10">
        <f>IFERROR(__xludf.DUMMYFUNCTION("""COMPUTED_VALUE"""),1.0)</f>
        <v>1</v>
      </c>
      <c r="L223" s="10">
        <f>IFERROR(__xludf.DUMMYFUNCTION("""COMPUTED_VALUE"""),1.0)</f>
        <v>1</v>
      </c>
      <c r="M223" s="10">
        <f>IFERROR(__xludf.DUMMYFUNCTION("""COMPUTED_VALUE"""),1.0)</f>
        <v>1</v>
      </c>
      <c r="N223" s="10">
        <f>IFERROR(__xludf.DUMMYFUNCTION("""COMPUTED_VALUE"""),0.0)</f>
        <v>0</v>
      </c>
      <c r="O223" s="10">
        <f>IFERROR(__xludf.DUMMYFUNCTION("""COMPUTED_VALUE"""),1.0)</f>
        <v>1</v>
      </c>
      <c r="P223" s="10">
        <f>IFERROR(__xludf.DUMMYFUNCTION("""COMPUTED_VALUE"""),1.0)</f>
        <v>1</v>
      </c>
      <c r="Q223" s="10" t="str">
        <f>IFERROR(__xludf.DUMMYFUNCTION("""COMPUTED_VALUE"""),"No")</f>
        <v>No</v>
      </c>
      <c r="R223" s="10" t="str">
        <f>IFERROR(__xludf.DUMMYFUNCTION("""COMPUTED_VALUE"""),"No")</f>
        <v>No</v>
      </c>
      <c r="S223" s="10" t="str">
        <f>IFERROR(__xludf.DUMMYFUNCTION("""COMPUTED_VALUE"""),"No")</f>
        <v>No</v>
      </c>
      <c r="T223" s="10">
        <f>IFERROR(__xludf.DUMMYFUNCTION("""COMPUTED_VALUE"""),0.0)</f>
        <v>0</v>
      </c>
      <c r="U223" s="10">
        <f>IFERROR(__xludf.DUMMYFUNCTION("""COMPUTED_VALUE"""),1.0)</f>
        <v>1</v>
      </c>
      <c r="V223" s="10" t="str">
        <f>IFERROR(__xludf.DUMMYFUNCTION("""COMPUTED_VALUE"""),"Allah K Nabi Shan Bayan ki ")</f>
        <v>Allah K Nabi Shan Bayan ki </v>
      </c>
      <c r="W223" s="10" t="str">
        <f>IFERROR(__xludf.DUMMYFUNCTION("""COMPUTED_VALUE"""),"Allah k NAbi k Shan bayan ki haa ")</f>
        <v>Allah k NAbi k Shan bayan ki haa </v>
      </c>
      <c r="X223" s="10">
        <f>IFERROR(__xludf.DUMMYFUNCTION("""COMPUTED_VALUE"""),0.0)</f>
        <v>0</v>
      </c>
      <c r="Y223" s="10">
        <f>IFERROR(__xludf.DUMMYFUNCTION("""COMPUTED_VALUE"""),0.0)</f>
        <v>0</v>
      </c>
      <c r="Z223" s="10">
        <f>IFERROR(__xludf.DUMMYFUNCTION("""COMPUTED_VALUE"""),3.0)</f>
        <v>3</v>
      </c>
      <c r="AA223" s="10">
        <f>IFERROR(__xludf.DUMMYFUNCTION("""COMPUTED_VALUE"""),5.0)</f>
        <v>5</v>
      </c>
      <c r="AB223" s="10">
        <f>IFERROR(__xludf.DUMMYFUNCTION("""COMPUTED_VALUE"""),1.0)</f>
        <v>1</v>
      </c>
      <c r="AC223" s="10">
        <f>IFERROR(__xludf.DUMMYFUNCTION("""COMPUTED_VALUE"""),1.0)</f>
        <v>1</v>
      </c>
      <c r="AD223" s="10">
        <f>IFERROR(__xludf.DUMMYFUNCTION("""COMPUTED_VALUE"""),1.0)</f>
        <v>1</v>
      </c>
      <c r="AE223" s="10">
        <f>IFERROR(__xludf.DUMMYFUNCTION("""COMPUTED_VALUE"""),2.0)</f>
        <v>2</v>
      </c>
      <c r="AF223" s="10">
        <f>IFERROR(__xludf.DUMMYFUNCTION("""COMPUTED_VALUE"""),1.0)</f>
        <v>1</v>
      </c>
      <c r="AG223" s="10">
        <f>IFERROR(__xludf.DUMMYFUNCTION("""COMPUTED_VALUE"""),1.0)</f>
        <v>1</v>
      </c>
      <c r="AH223" s="10">
        <f>IFERROR(__xludf.DUMMYFUNCTION("""COMPUTED_VALUE"""),0.0)</f>
        <v>0</v>
      </c>
      <c r="AI223" s="10">
        <f>IFERROR(__xludf.DUMMYFUNCTION("""COMPUTED_VALUE"""),3.0)</f>
        <v>3</v>
      </c>
      <c r="AJ223" s="11" t="str">
        <f>IFERROR(__xludf.DUMMYFUNCTION("""COMPUTED_VALUE"""),"https://drive.google.com/open?id=18Oh-w4Stp1yKa-C1i3xX7UPyZACVD42T")</f>
        <v>https://drive.google.com/open?id=18Oh-w4Stp1yKa-C1i3xX7UPyZACVD42T</v>
      </c>
      <c r="AK223" s="12" t="str">
        <f>IFERROR(__xludf.DUMMYFUNCTION("""COMPUTED_VALUE"""),"aa")</f>
        <v>aa</v>
      </c>
      <c r="AL223" s="12"/>
      <c r="AM223" s="12"/>
      <c r="AN223" s="12" t="str">
        <f>IFERROR(__xludf.DUMMYFUNCTION("""COMPUTED_VALUE"""),"2nd week")</f>
        <v>2nd week</v>
      </c>
      <c r="AO223" s="13">
        <v>3.0</v>
      </c>
      <c r="AX223" s="13"/>
    </row>
    <row r="224">
      <c r="A224" s="8">
        <v>223.0</v>
      </c>
      <c r="B224" s="9">
        <f>IFERROR(__xludf.DUMMYFUNCTION("""COMPUTED_VALUE"""),45784.37687341435)</f>
        <v>45784.37687</v>
      </c>
      <c r="C224" s="10" t="str">
        <f>IFERROR(__xludf.DUMMYFUNCTION("""COMPUTED_VALUE"""),"M.Yamin Kanwal")</f>
        <v>M.Yamin Kanwal</v>
      </c>
      <c r="D224" s="10" t="str">
        <f>IFERROR(__xludf.DUMMYFUNCTION("""COMPUTED_VALUE"""),"03007774537")</f>
        <v>03007774537</v>
      </c>
      <c r="E224" s="10" t="str">
        <f>IFERROR(__xludf.DUMMYFUNCTION("""COMPUTED_VALUE"""),"Jamia masjid noor shakar garh")</f>
        <v>Jamia masjid noor shakar garh</v>
      </c>
      <c r="F224" s="10" t="str">
        <f>IFERROR(__xludf.DUMMYFUNCTION("""COMPUTED_VALUE"""),"OHBDV")</f>
        <v>OHBDV</v>
      </c>
      <c r="G224" s="10" t="str">
        <f>IFERROR(__xludf.DUMMYFUNCTION("""COMPUTED_VALUE"""),"No")</f>
        <v>No</v>
      </c>
      <c r="H224" s="10"/>
      <c r="I224" s="10"/>
      <c r="J224" s="10"/>
      <c r="K224" s="10">
        <f>IFERROR(__xludf.DUMMYFUNCTION("""COMPUTED_VALUE"""),8.0)</f>
        <v>8</v>
      </c>
      <c r="L224" s="10">
        <f>IFERROR(__xludf.DUMMYFUNCTION("""COMPUTED_VALUE"""),2.0)</f>
        <v>2</v>
      </c>
      <c r="M224" s="10">
        <f>IFERROR(__xludf.DUMMYFUNCTION("""COMPUTED_VALUE"""),8.0)</f>
        <v>8</v>
      </c>
      <c r="N224" s="10">
        <f>IFERROR(__xludf.DUMMYFUNCTION("""COMPUTED_VALUE"""),2.0)</f>
        <v>2</v>
      </c>
      <c r="O224" s="10">
        <f>IFERROR(__xludf.DUMMYFUNCTION("""COMPUTED_VALUE"""),8.0)</f>
        <v>8</v>
      </c>
      <c r="P224" s="10">
        <f>IFERROR(__xludf.DUMMYFUNCTION("""COMPUTED_VALUE"""),0.0)</f>
        <v>0</v>
      </c>
      <c r="Q224" s="10" t="str">
        <f>IFERROR(__xludf.DUMMYFUNCTION("""COMPUTED_VALUE"""),"Yes")</f>
        <v>Yes</v>
      </c>
      <c r="R224" s="10" t="str">
        <f>IFERROR(__xludf.DUMMYFUNCTION("""COMPUTED_VALUE"""),"No")</f>
        <v>No</v>
      </c>
      <c r="S224" s="10" t="str">
        <f>IFERROR(__xludf.DUMMYFUNCTION("""COMPUTED_VALUE"""),"Yes")</f>
        <v>Yes</v>
      </c>
      <c r="T224" s="10">
        <f>IFERROR(__xludf.DUMMYFUNCTION("""COMPUTED_VALUE"""),0.0)</f>
        <v>0</v>
      </c>
      <c r="U224" s="10">
        <f>IFERROR(__xludf.DUMMYFUNCTION("""COMPUTED_VALUE"""),0.0)</f>
        <v>0</v>
      </c>
      <c r="V224" s="10" t="str">
        <f>IFERROR(__xludf.DUMMYFUNCTION("""COMPUTED_VALUE"""),"Orat ka muqam,kirdar or ehmiat")</f>
        <v>Orat ka muqam,kirdar or ehmiat</v>
      </c>
      <c r="W224" s="10" t="str">
        <f>IFERROR(__xludf.DUMMYFUNCTION("""COMPUTED_VALUE"""),"Orat ki ehmiat or orat k kidar k hwale se,Nabi pak ne orat ko syast or moeeshat or education pr bat ki")</f>
        <v>Orat ki ehmiat or orat k kidar k hwale se,Nabi pak ne orat ko syast or moeeshat or education pr bat ki</v>
      </c>
      <c r="X224" s="10">
        <f>IFERROR(__xludf.DUMMYFUNCTION("""COMPUTED_VALUE"""),3.0)</f>
        <v>3</v>
      </c>
      <c r="Y224" s="10">
        <f>IFERROR(__xludf.DUMMYFUNCTION("""COMPUTED_VALUE"""),2.0)</f>
        <v>2</v>
      </c>
      <c r="Z224" s="10">
        <f>IFERROR(__xludf.DUMMYFUNCTION("""COMPUTED_VALUE"""),2.0)</f>
        <v>2</v>
      </c>
      <c r="AA224" s="10">
        <f>IFERROR(__xludf.DUMMYFUNCTION("""COMPUTED_VALUE"""),3.0)</f>
        <v>3</v>
      </c>
      <c r="AB224" s="10">
        <f>IFERROR(__xludf.DUMMYFUNCTION("""COMPUTED_VALUE"""),2.0)</f>
        <v>2</v>
      </c>
      <c r="AC224" s="10">
        <f>IFERROR(__xludf.DUMMYFUNCTION("""COMPUTED_VALUE"""),4.0)</f>
        <v>4</v>
      </c>
      <c r="AD224" s="10">
        <f>IFERROR(__xludf.DUMMYFUNCTION("""COMPUTED_VALUE"""),4.0)</f>
        <v>4</v>
      </c>
      <c r="AE224" s="10">
        <f>IFERROR(__xludf.DUMMYFUNCTION("""COMPUTED_VALUE"""),0.0)</f>
        <v>0</v>
      </c>
      <c r="AF224" s="10">
        <f>IFERROR(__xludf.DUMMYFUNCTION("""COMPUTED_VALUE"""),8.0)</f>
        <v>8</v>
      </c>
      <c r="AG224" s="10">
        <f>IFERROR(__xludf.DUMMYFUNCTION("""COMPUTED_VALUE"""),9.0)</f>
        <v>9</v>
      </c>
      <c r="AH224" s="10">
        <f>IFERROR(__xludf.DUMMYFUNCTION("""COMPUTED_VALUE"""),0.0)</f>
        <v>0</v>
      </c>
      <c r="AI224" s="10">
        <f>IFERROR(__xludf.DUMMYFUNCTION("""COMPUTED_VALUE"""),9.0)</f>
        <v>9</v>
      </c>
      <c r="AJ224" s="11" t="str">
        <f>IFERROR(__xludf.DUMMYFUNCTION("""COMPUTED_VALUE"""),"https://drive.google.com/open?id=1IrMke4_pYiw2PXdCZhRNZ6LIsTpdYPZE")</f>
        <v>https://drive.google.com/open?id=1IrMke4_pYiw2PXdCZhRNZ6LIsTpdYPZE</v>
      </c>
      <c r="AK224" s="12"/>
      <c r="AL224" s="12"/>
      <c r="AM224" s="12"/>
      <c r="AN224" s="12" t="str">
        <f>IFERROR(__xludf.DUMMYFUNCTION("""COMPUTED_VALUE"""),"2nd week")</f>
        <v>2nd week</v>
      </c>
      <c r="AO224" s="13">
        <v>2.0</v>
      </c>
      <c r="AX224" s="13"/>
    </row>
    <row r="225">
      <c r="A225" s="8">
        <v>224.0</v>
      </c>
      <c r="B225" s="9">
        <f>IFERROR(__xludf.DUMMYFUNCTION("""COMPUTED_VALUE"""),45784.42097652778)</f>
        <v>45784.42098</v>
      </c>
      <c r="C225" s="10" t="str">
        <f>IFERROR(__xludf.DUMMYFUNCTION("""COMPUTED_VALUE"""),"Sulaman")</f>
        <v>Sulaman</v>
      </c>
      <c r="D225" s="10" t="str">
        <f>IFERROR(__xludf.DUMMYFUNCTION("""COMPUTED_VALUE"""),"03126136070")</f>
        <v>03126136070</v>
      </c>
      <c r="E225" s="10" t="str">
        <f>IFERROR(__xludf.DUMMYFUNCTION("""COMPUTED_VALUE"""),"Jamia masjid mohri shareef")</f>
        <v>Jamia masjid mohri shareef</v>
      </c>
      <c r="F225" s="10" t="str">
        <f>IFERROR(__xludf.DUMMYFUNCTION("""COMPUTED_VALUE"""),"kmbbm")</f>
        <v>kmbbm</v>
      </c>
      <c r="G225" s="10" t="str">
        <f>IFERROR(__xludf.DUMMYFUNCTION("""COMPUTED_VALUE"""),"No")</f>
        <v>No</v>
      </c>
      <c r="H225" s="10"/>
      <c r="I225" s="10"/>
      <c r="J225" s="10"/>
      <c r="K225" s="10">
        <f>IFERROR(__xludf.DUMMYFUNCTION("""COMPUTED_VALUE"""),0.0)</f>
        <v>0</v>
      </c>
      <c r="L225" s="10">
        <f>IFERROR(__xludf.DUMMYFUNCTION("""COMPUTED_VALUE"""),0.0)</f>
        <v>0</v>
      </c>
      <c r="M225" s="10">
        <f>IFERROR(__xludf.DUMMYFUNCTION("""COMPUTED_VALUE"""),0.0)</f>
        <v>0</v>
      </c>
      <c r="N225" s="10">
        <f>IFERROR(__xludf.DUMMYFUNCTION("""COMPUTED_VALUE"""),0.0)</f>
        <v>0</v>
      </c>
      <c r="O225" s="10">
        <f>IFERROR(__xludf.DUMMYFUNCTION("""COMPUTED_VALUE"""),0.0)</f>
        <v>0</v>
      </c>
      <c r="P225" s="10">
        <f>IFERROR(__xludf.DUMMYFUNCTION("""COMPUTED_VALUE"""),0.0)</f>
        <v>0</v>
      </c>
      <c r="Q225" s="10" t="str">
        <f>IFERROR(__xludf.DUMMYFUNCTION("""COMPUTED_VALUE"""),"No")</f>
        <v>No</v>
      </c>
      <c r="R225" s="10" t="str">
        <f>IFERROR(__xludf.DUMMYFUNCTION("""COMPUTED_VALUE"""),"No")</f>
        <v>No</v>
      </c>
      <c r="S225" s="10" t="str">
        <f>IFERROR(__xludf.DUMMYFUNCTION("""COMPUTED_VALUE"""),"No")</f>
        <v>No</v>
      </c>
      <c r="T225" s="10">
        <f>IFERROR(__xludf.DUMMYFUNCTION("""COMPUTED_VALUE"""),0.0)</f>
        <v>0</v>
      </c>
      <c r="U225" s="10">
        <f>IFERROR(__xludf.DUMMYFUNCTION("""COMPUTED_VALUE"""),0.0)</f>
        <v>0</v>
      </c>
      <c r="V225" s="10" t="str">
        <f>IFERROR(__xludf.DUMMYFUNCTION("""COMPUTED_VALUE"""),"توحید رسالت والدین کے حقوق")</f>
        <v>توحید رسالت والدین کے حقوق</v>
      </c>
      <c r="W225" s="10" t="str">
        <f>IFERROR(__xludf.DUMMYFUNCTION("""COMPUTED_VALUE"""),"توحید رسالت والدین کے حقوق
والدین کی طرف سے حج ")</f>
        <v>توحید رسالت والدین کے حقوق
والدین کی طرف سے حج </v>
      </c>
      <c r="X225" s="10">
        <f>IFERROR(__xludf.DUMMYFUNCTION("""COMPUTED_VALUE"""),3.0)</f>
        <v>3</v>
      </c>
      <c r="Y225" s="10">
        <f>IFERROR(__xludf.DUMMYFUNCTION("""COMPUTED_VALUE"""),7.0)</f>
        <v>7</v>
      </c>
      <c r="Z225" s="10">
        <f>IFERROR(__xludf.DUMMYFUNCTION("""COMPUTED_VALUE"""),3.0)</f>
        <v>3</v>
      </c>
      <c r="AA225" s="10">
        <f>IFERROR(__xludf.DUMMYFUNCTION("""COMPUTED_VALUE"""),5.0)</f>
        <v>5</v>
      </c>
      <c r="AB225" s="10">
        <f>IFERROR(__xludf.DUMMYFUNCTION("""COMPUTED_VALUE"""),3.0)</f>
        <v>3</v>
      </c>
      <c r="AC225" s="10">
        <f>IFERROR(__xludf.DUMMYFUNCTION("""COMPUTED_VALUE"""),0.0)</f>
        <v>0</v>
      </c>
      <c r="AD225" s="10">
        <f>IFERROR(__xludf.DUMMYFUNCTION("""COMPUTED_VALUE"""),0.0)</f>
        <v>0</v>
      </c>
      <c r="AE225" s="10">
        <f>IFERROR(__xludf.DUMMYFUNCTION("""COMPUTED_VALUE"""),0.0)</f>
        <v>0</v>
      </c>
      <c r="AF225" s="10">
        <f>IFERROR(__xludf.DUMMYFUNCTION("""COMPUTED_VALUE"""),6.0)</f>
        <v>6</v>
      </c>
      <c r="AG225" s="10">
        <f>IFERROR(__xludf.DUMMYFUNCTION("""COMPUTED_VALUE"""),6.0)</f>
        <v>6</v>
      </c>
      <c r="AH225" s="10">
        <f>IFERROR(__xludf.DUMMYFUNCTION("""COMPUTED_VALUE"""),0.0)</f>
        <v>0</v>
      </c>
      <c r="AI225" s="10">
        <f>IFERROR(__xludf.DUMMYFUNCTION("""COMPUTED_VALUE"""),6.0)</f>
        <v>6</v>
      </c>
      <c r="AJ225" s="11" t="str">
        <f>IFERROR(__xludf.DUMMYFUNCTION("""COMPUTED_VALUE"""),"https://drive.google.com/open?id=1JzfFujVlkYq_VyrA6_cqzll9oT7_cSR9")</f>
        <v>https://drive.google.com/open?id=1JzfFujVlkYq_VyrA6_cqzll9oT7_cSR9</v>
      </c>
      <c r="AK225" s="12"/>
      <c r="AL225" s="12"/>
      <c r="AM225" s="12"/>
      <c r="AN225" s="12" t="str">
        <f>IFERROR(__xludf.DUMMYFUNCTION("""COMPUTED_VALUE"""),"2nd week")</f>
        <v>2nd week</v>
      </c>
      <c r="AO225" s="13">
        <v>3.0</v>
      </c>
      <c r="AX225" s="13"/>
    </row>
    <row r="226">
      <c r="A226" s="8">
        <v>225.0</v>
      </c>
      <c r="B226" s="9">
        <f>IFERROR(__xludf.DUMMYFUNCTION("""COMPUTED_VALUE"""),45784.53392403935)</f>
        <v>45784.53392</v>
      </c>
      <c r="C226" s="10" t="str">
        <f>IFERROR(__xludf.DUMMYFUNCTION("""COMPUTED_VALUE"""),"Kainat Idrees")</f>
        <v>Kainat Idrees</v>
      </c>
      <c r="D226" s="10" t="str">
        <f>IFERROR(__xludf.DUMMYFUNCTION("""COMPUTED_VALUE"""),"03125121140")</f>
        <v>03125121140</v>
      </c>
      <c r="E226" s="10" t="str">
        <f>IFERROR(__xludf.DUMMYFUNCTION("""COMPUTED_VALUE"""),"Jamia Masjid Takiya Hazoori Shah Lahore")</f>
        <v>Jamia Masjid Takiya Hazoori Shah Lahore</v>
      </c>
      <c r="F226" s="10" t="str">
        <f>IFERROR(__xludf.DUMMYFUNCTION("""COMPUTED_VALUE"""),"wfyxg")</f>
        <v>wfyxg</v>
      </c>
      <c r="G226" s="10" t="str">
        <f>IFERROR(__xludf.DUMMYFUNCTION("""COMPUTED_VALUE"""),"Yes")</f>
        <v>Yes</v>
      </c>
      <c r="H226" s="10">
        <f>IFERROR(__xludf.DUMMYFUNCTION("""COMPUTED_VALUE"""),5.0)</f>
        <v>5</v>
      </c>
      <c r="I226" s="10">
        <f>IFERROR(__xludf.DUMMYFUNCTION("""COMPUTED_VALUE"""),5.0)</f>
        <v>5</v>
      </c>
      <c r="J226" s="10">
        <f>IFERROR(__xludf.DUMMYFUNCTION("""COMPUTED_VALUE"""),3.0)</f>
        <v>3</v>
      </c>
      <c r="K226" s="10">
        <f>IFERROR(__xludf.DUMMYFUNCTION("""COMPUTED_VALUE"""),0.0)</f>
        <v>0</v>
      </c>
      <c r="L226" s="10">
        <f>IFERROR(__xludf.DUMMYFUNCTION("""COMPUTED_VALUE"""),0.0)</f>
        <v>0</v>
      </c>
      <c r="M226" s="10">
        <f>IFERROR(__xludf.DUMMYFUNCTION("""COMPUTED_VALUE"""),0.0)</f>
        <v>0</v>
      </c>
      <c r="N226" s="10">
        <f>IFERROR(__xludf.DUMMYFUNCTION("""COMPUTED_VALUE"""),0.0)</f>
        <v>0</v>
      </c>
      <c r="O226" s="10">
        <f>IFERROR(__xludf.DUMMYFUNCTION("""COMPUTED_VALUE"""),0.0)</f>
        <v>0</v>
      </c>
      <c r="P226" s="10">
        <f>IFERROR(__xludf.DUMMYFUNCTION("""COMPUTED_VALUE"""),0.0)</f>
        <v>0</v>
      </c>
      <c r="Q226" s="10" t="str">
        <f>IFERROR(__xludf.DUMMYFUNCTION("""COMPUTED_VALUE"""),"No")</f>
        <v>No</v>
      </c>
      <c r="R226" s="10" t="str">
        <f>IFERROR(__xludf.DUMMYFUNCTION("""COMPUTED_VALUE"""),"No")</f>
        <v>No</v>
      </c>
      <c r="S226" s="10" t="str">
        <f>IFERROR(__xludf.DUMMYFUNCTION("""COMPUTED_VALUE"""),"No")</f>
        <v>No</v>
      </c>
      <c r="T226" s="10">
        <f>IFERROR(__xludf.DUMMYFUNCTION("""COMPUTED_VALUE"""),0.0)</f>
        <v>0</v>
      </c>
      <c r="U226" s="10">
        <f>IFERROR(__xludf.DUMMYFUNCTION("""COMPUTED_VALUE"""),0.0)</f>
        <v>0</v>
      </c>
      <c r="V226" s="10" t="str">
        <f>IFERROR(__xludf.DUMMYFUNCTION("""COMPUTED_VALUE"""),"khatm e nabut")</f>
        <v>khatm e nabut</v>
      </c>
      <c r="W226" s="10" t="str">
        <f>IFERROR(__xludf.DUMMYFUNCTION("""COMPUTED_VALUE"""),"khatm e nabut ")</f>
        <v>khatm e nabut </v>
      </c>
      <c r="X226" s="10">
        <f>IFERROR(__xludf.DUMMYFUNCTION("""COMPUTED_VALUE"""),6.0)</f>
        <v>6</v>
      </c>
      <c r="Y226" s="10">
        <f>IFERROR(__xludf.DUMMYFUNCTION("""COMPUTED_VALUE"""),5.0)</f>
        <v>5</v>
      </c>
      <c r="Z226" s="10">
        <f>IFERROR(__xludf.DUMMYFUNCTION("""COMPUTED_VALUE"""),4.0)</f>
        <v>4</v>
      </c>
      <c r="AA226" s="10">
        <f>IFERROR(__xludf.DUMMYFUNCTION("""COMPUTED_VALUE"""),3.0)</f>
        <v>3</v>
      </c>
      <c r="AB226" s="10">
        <f>IFERROR(__xludf.DUMMYFUNCTION("""COMPUTED_VALUE"""),3.0)</f>
        <v>3</v>
      </c>
      <c r="AC226" s="10">
        <f>IFERROR(__xludf.DUMMYFUNCTION("""COMPUTED_VALUE"""),3.0)</f>
        <v>3</v>
      </c>
      <c r="AD226" s="10">
        <f>IFERROR(__xludf.DUMMYFUNCTION("""COMPUTED_VALUE"""),1.0)</f>
        <v>1</v>
      </c>
      <c r="AE226" s="10">
        <f>IFERROR(__xludf.DUMMYFUNCTION("""COMPUTED_VALUE"""),0.0)</f>
        <v>0</v>
      </c>
      <c r="AF226" s="10">
        <f>IFERROR(__xludf.DUMMYFUNCTION("""COMPUTED_VALUE"""),0.0)</f>
        <v>0</v>
      </c>
      <c r="AG226" s="10">
        <f>IFERROR(__xludf.DUMMYFUNCTION("""COMPUTED_VALUE"""),10.0)</f>
        <v>10</v>
      </c>
      <c r="AH226" s="10">
        <f>IFERROR(__xludf.DUMMYFUNCTION("""COMPUTED_VALUE"""),0.0)</f>
        <v>0</v>
      </c>
      <c r="AI226" s="10">
        <f>IFERROR(__xludf.DUMMYFUNCTION("""COMPUTED_VALUE"""),1.0)</f>
        <v>1</v>
      </c>
      <c r="AJ226" s="11" t="str">
        <f>IFERROR(__xludf.DUMMYFUNCTION("""COMPUTED_VALUE"""),"https://drive.google.com/open?id=1ImEJJIfsjCSRy3ThygLTTkKQnPtbs9lL")</f>
        <v>https://drive.google.com/open?id=1ImEJJIfsjCSRy3ThygLTTkKQnPtbs9lL</v>
      </c>
      <c r="AK226" s="12"/>
      <c r="AL226" s="12" t="str">
        <f>IFERROR(__xludf.DUMMYFUNCTION("""COMPUTED_VALUE"""),"Yes")</f>
        <v>Yes</v>
      </c>
      <c r="AM226" s="15">
        <f>IFERROR(__xludf.DUMMYFUNCTION("""COMPUTED_VALUE"""),0.7)</f>
        <v>0.7</v>
      </c>
      <c r="AN226" s="12" t="str">
        <f>IFERROR(__xludf.DUMMYFUNCTION("""COMPUTED_VALUE"""),"2nd week")</f>
        <v>2nd week</v>
      </c>
      <c r="AO226" s="13" t="s">
        <v>10</v>
      </c>
      <c r="AX226" s="13"/>
    </row>
    <row r="227">
      <c r="A227" s="8">
        <v>226.0</v>
      </c>
      <c r="B227" s="9">
        <f>IFERROR(__xludf.DUMMYFUNCTION("""COMPUTED_VALUE"""),45784.5822658449)</f>
        <v>45784.58227</v>
      </c>
      <c r="C227" s="10" t="str">
        <f>IFERROR(__xludf.DUMMYFUNCTION("""COMPUTED_VALUE"""),"Kainat Idrees")</f>
        <v>Kainat Idrees</v>
      </c>
      <c r="D227" s="10" t="str">
        <f>IFERROR(__xludf.DUMMYFUNCTION("""COMPUTED_VALUE"""),"03125121140")</f>
        <v>03125121140</v>
      </c>
      <c r="E227" s="10" t="str">
        <f>IFERROR(__xludf.DUMMYFUNCTION("""COMPUTED_VALUE"""),"Jamia Masjid Shiekh Sikandar Lahore")</f>
        <v>Jamia Masjid Shiekh Sikandar Lahore</v>
      </c>
      <c r="F227" s="10" t="str">
        <f>IFERROR(__xludf.DUMMYFUNCTION("""COMPUTED_VALUE"""),"jypnp")</f>
        <v>jypnp</v>
      </c>
      <c r="G227" s="10" t="str">
        <f>IFERROR(__xludf.DUMMYFUNCTION("""COMPUTED_VALUE"""),"Yes")</f>
        <v>Yes</v>
      </c>
      <c r="H227" s="10">
        <f>IFERROR(__xludf.DUMMYFUNCTION("""COMPUTED_VALUE"""),9.0)</f>
        <v>9</v>
      </c>
      <c r="I227" s="10">
        <f>IFERROR(__xludf.DUMMYFUNCTION("""COMPUTED_VALUE"""),9.0)</f>
        <v>9</v>
      </c>
      <c r="J227" s="10">
        <f>IFERROR(__xludf.DUMMYFUNCTION("""COMPUTED_VALUE"""),9.0)</f>
        <v>9</v>
      </c>
      <c r="K227" s="10">
        <f>IFERROR(__xludf.DUMMYFUNCTION("""COMPUTED_VALUE"""),10.0)</f>
        <v>10</v>
      </c>
      <c r="L227" s="10">
        <f>IFERROR(__xludf.DUMMYFUNCTION("""COMPUTED_VALUE"""),9.0)</f>
        <v>9</v>
      </c>
      <c r="M227" s="10">
        <f>IFERROR(__xludf.DUMMYFUNCTION("""COMPUTED_VALUE"""),8.0)</f>
        <v>8</v>
      </c>
      <c r="N227" s="10">
        <f>IFERROR(__xludf.DUMMYFUNCTION("""COMPUTED_VALUE"""),10.0)</f>
        <v>10</v>
      </c>
      <c r="O227" s="10">
        <f>IFERROR(__xludf.DUMMYFUNCTION("""COMPUTED_VALUE"""),9.0)</f>
        <v>9</v>
      </c>
      <c r="P227" s="10">
        <f>IFERROR(__xludf.DUMMYFUNCTION("""COMPUTED_VALUE"""),9.0)</f>
        <v>9</v>
      </c>
      <c r="Q227" s="10" t="str">
        <f>IFERROR(__xludf.DUMMYFUNCTION("""COMPUTED_VALUE"""),"Yes")</f>
        <v>Yes</v>
      </c>
      <c r="R227" s="10" t="str">
        <f>IFERROR(__xludf.DUMMYFUNCTION("""COMPUTED_VALUE"""),"Yes")</f>
        <v>Yes</v>
      </c>
      <c r="S227" s="10" t="str">
        <f>IFERROR(__xludf.DUMMYFUNCTION("""COMPUTED_VALUE"""),"Yes")</f>
        <v>Yes</v>
      </c>
      <c r="T227" s="10">
        <f>IFERROR(__xludf.DUMMYFUNCTION("""COMPUTED_VALUE"""),5.0)</f>
        <v>5</v>
      </c>
      <c r="U227" s="10">
        <f>IFERROR(__xludf.DUMMYFUNCTION("""COMPUTED_VALUE"""),0.0)</f>
        <v>0</v>
      </c>
      <c r="V227" s="10" t="str">
        <f>IFERROR(__xludf.DUMMYFUNCTION("""COMPUTED_VALUE"""),"Aurat ka deen m mukam")</f>
        <v>Aurat ka deen m mukam</v>
      </c>
      <c r="W227" s="10" t="str">
        <f>IFERROR(__xludf.DUMMYFUNCTION("""COMPUTED_VALUE"""),"Aurat ka deen m mukam")</f>
        <v>Aurat ka deen m mukam</v>
      </c>
      <c r="X227" s="10">
        <f>IFERROR(__xludf.DUMMYFUNCTION("""COMPUTED_VALUE"""),7.0)</f>
        <v>7</v>
      </c>
      <c r="Y227" s="10">
        <f>IFERROR(__xludf.DUMMYFUNCTION("""COMPUTED_VALUE"""),6.0)</f>
        <v>6</v>
      </c>
      <c r="Z227" s="10">
        <f>IFERROR(__xludf.DUMMYFUNCTION("""COMPUTED_VALUE"""),6.0)</f>
        <v>6</v>
      </c>
      <c r="AA227" s="10">
        <f>IFERROR(__xludf.DUMMYFUNCTION("""COMPUTED_VALUE"""),4.0)</f>
        <v>4</v>
      </c>
      <c r="AB227" s="10">
        <f>IFERROR(__xludf.DUMMYFUNCTION("""COMPUTED_VALUE"""),7.0)</f>
        <v>7</v>
      </c>
      <c r="AC227" s="10">
        <f>IFERROR(__xludf.DUMMYFUNCTION("""COMPUTED_VALUE"""),6.0)</f>
        <v>6</v>
      </c>
      <c r="AD227" s="10">
        <f>IFERROR(__xludf.DUMMYFUNCTION("""COMPUTED_VALUE"""),8.0)</f>
        <v>8</v>
      </c>
      <c r="AE227" s="10">
        <f>IFERROR(__xludf.DUMMYFUNCTION("""COMPUTED_VALUE"""),0.0)</f>
        <v>0</v>
      </c>
      <c r="AF227" s="10">
        <f>IFERROR(__xludf.DUMMYFUNCTION("""COMPUTED_VALUE"""),0.0)</f>
        <v>0</v>
      </c>
      <c r="AG227" s="10">
        <f>IFERROR(__xludf.DUMMYFUNCTION("""COMPUTED_VALUE"""),6.0)</f>
        <v>6</v>
      </c>
      <c r="AH227" s="10">
        <f>IFERROR(__xludf.DUMMYFUNCTION("""COMPUTED_VALUE"""),0.0)</f>
        <v>0</v>
      </c>
      <c r="AI227" s="10">
        <f>IFERROR(__xludf.DUMMYFUNCTION("""COMPUTED_VALUE"""),9.0)</f>
        <v>9</v>
      </c>
      <c r="AJ227" s="11" t="str">
        <f>IFERROR(__xludf.DUMMYFUNCTION("""COMPUTED_VALUE"""),"https://docs.google.com/document/d/1o48mLLrRZX7GAYZji39gCWnhkiVtg2VmIIPaDY5AeWw/edit?tab=t.0")</f>
        <v>https://docs.google.com/document/d/1o48mLLrRZX7GAYZji39gCWnhkiVtg2VmIIPaDY5AeWw/edit?tab=t.0</v>
      </c>
      <c r="AK227" s="12"/>
      <c r="AL227" s="12" t="str">
        <f>IFERROR(__xludf.DUMMYFUNCTION("""COMPUTED_VALUE"""),"Yes")</f>
        <v>Yes</v>
      </c>
      <c r="AM227" s="15">
        <f>IFERROR(__xludf.DUMMYFUNCTION("""COMPUTED_VALUE"""),0.9)</f>
        <v>0.9</v>
      </c>
      <c r="AN227" s="12" t="str">
        <f>IFERROR(__xludf.DUMMYFUNCTION("""COMPUTED_VALUE"""),"3rd week")</f>
        <v>3rd week</v>
      </c>
      <c r="AO227" s="13">
        <v>3.0</v>
      </c>
      <c r="AX227" s="13">
        <v>3.0</v>
      </c>
    </row>
    <row r="228">
      <c r="A228" s="8">
        <v>227.0</v>
      </c>
      <c r="B228" s="9">
        <f>IFERROR(__xludf.DUMMYFUNCTION("""COMPUTED_VALUE"""),45787.51659399306)</f>
        <v>45787.51659</v>
      </c>
      <c r="C228" s="10" t="str">
        <f>IFERROR(__xludf.DUMMYFUNCTION("""COMPUTED_VALUE"""),"Kainat Idrees")</f>
        <v>Kainat Idrees</v>
      </c>
      <c r="D228" s="10" t="str">
        <f>IFERROR(__xludf.DUMMYFUNCTION("""COMPUTED_VALUE"""),"03125121140")</f>
        <v>03125121140</v>
      </c>
      <c r="E228" s="10" t="str">
        <f>IFERROR(__xludf.DUMMYFUNCTION("""COMPUTED_VALUE"""),"Jamia Masjid Takiya Hazoori Shah Lahore")</f>
        <v>Jamia Masjid Takiya Hazoori Shah Lahore</v>
      </c>
      <c r="F228" s="10" t="str">
        <f>IFERROR(__xludf.DUMMYFUNCTION("""COMPUTED_VALUE"""),"wfyxg")</f>
        <v>wfyxg</v>
      </c>
      <c r="G228" s="10" t="str">
        <f>IFERROR(__xludf.DUMMYFUNCTION("""COMPUTED_VALUE"""),"Yes")</f>
        <v>Yes</v>
      </c>
      <c r="H228" s="10">
        <f>IFERROR(__xludf.DUMMYFUNCTION("""COMPUTED_VALUE"""),8.0)</f>
        <v>8</v>
      </c>
      <c r="I228" s="10">
        <f>IFERROR(__xludf.DUMMYFUNCTION("""COMPUTED_VALUE"""),7.0)</f>
        <v>7</v>
      </c>
      <c r="J228" s="10">
        <f>IFERROR(__xludf.DUMMYFUNCTION("""COMPUTED_VALUE"""),7.0)</f>
        <v>7</v>
      </c>
      <c r="K228" s="10">
        <f>IFERROR(__xludf.DUMMYFUNCTION("""COMPUTED_VALUE"""),0.0)</f>
        <v>0</v>
      </c>
      <c r="L228" s="10">
        <f>IFERROR(__xludf.DUMMYFUNCTION("""COMPUTED_VALUE"""),0.0)</f>
        <v>0</v>
      </c>
      <c r="M228" s="10">
        <f>IFERROR(__xludf.DUMMYFUNCTION("""COMPUTED_VALUE"""),0.0)</f>
        <v>0</v>
      </c>
      <c r="N228" s="10">
        <f>IFERROR(__xludf.DUMMYFUNCTION("""COMPUTED_VALUE"""),0.0)</f>
        <v>0</v>
      </c>
      <c r="O228" s="10">
        <f>IFERROR(__xludf.DUMMYFUNCTION("""COMPUTED_VALUE"""),0.0)</f>
        <v>0</v>
      </c>
      <c r="P228" s="10">
        <f>IFERROR(__xludf.DUMMYFUNCTION("""COMPUTED_VALUE"""),0.0)</f>
        <v>0</v>
      </c>
      <c r="Q228" s="10" t="str">
        <f>IFERROR(__xludf.DUMMYFUNCTION("""COMPUTED_VALUE"""),"No")</f>
        <v>No</v>
      </c>
      <c r="R228" s="10" t="str">
        <f>IFERROR(__xludf.DUMMYFUNCTION("""COMPUTED_VALUE"""),"No")</f>
        <v>No</v>
      </c>
      <c r="S228" s="10" t="str">
        <f>IFERROR(__xludf.DUMMYFUNCTION("""COMPUTED_VALUE"""),"No")</f>
        <v>No</v>
      </c>
      <c r="T228" s="10">
        <f>IFERROR(__xludf.DUMMYFUNCTION("""COMPUTED_VALUE"""),0.0)</f>
        <v>0</v>
      </c>
      <c r="U228" s="10">
        <f>IFERROR(__xludf.DUMMYFUNCTION("""COMPUTED_VALUE"""),0.0)</f>
        <v>0</v>
      </c>
      <c r="V228" s="10" t="str">
        <f>IFERROR(__xludf.DUMMYFUNCTION("""COMPUTED_VALUE"""),"Khatam e Nabaut")</f>
        <v>Khatam e Nabaut</v>
      </c>
      <c r="W228" s="10" t="str">
        <f>IFERROR(__xludf.DUMMYFUNCTION("""COMPUTED_VALUE"""),"قیامت تک کوئی دوسرا نبی انشاءاللہ نھی اے گا ")</f>
        <v>قیامت تک کوئی دوسرا نبی انشاءاللہ نھی اے گا </v>
      </c>
      <c r="X228" s="10">
        <f>IFERROR(__xludf.DUMMYFUNCTION("""COMPUTED_VALUE"""),0.0)</f>
        <v>0</v>
      </c>
      <c r="Y228" s="10">
        <f>IFERROR(__xludf.DUMMYFUNCTION("""COMPUTED_VALUE"""),0.0)</f>
        <v>0</v>
      </c>
      <c r="Z228" s="10">
        <f>IFERROR(__xludf.DUMMYFUNCTION("""COMPUTED_VALUE"""),3.0)</f>
        <v>3</v>
      </c>
      <c r="AA228" s="10">
        <f>IFERROR(__xludf.DUMMYFUNCTION("""COMPUTED_VALUE"""),10.0)</f>
        <v>10</v>
      </c>
      <c r="AB228" s="10">
        <f>IFERROR(__xludf.DUMMYFUNCTION("""COMPUTED_VALUE"""),2.0)</f>
        <v>2</v>
      </c>
      <c r="AC228" s="10">
        <f>IFERROR(__xludf.DUMMYFUNCTION("""COMPUTED_VALUE"""),0.0)</f>
        <v>0</v>
      </c>
      <c r="AD228" s="10">
        <f>IFERROR(__xludf.DUMMYFUNCTION("""COMPUTED_VALUE"""),0.0)</f>
        <v>0</v>
      </c>
      <c r="AE228" s="10">
        <f>IFERROR(__xludf.DUMMYFUNCTION("""COMPUTED_VALUE"""),4.0)</f>
        <v>4</v>
      </c>
      <c r="AF228" s="10">
        <f>IFERROR(__xludf.DUMMYFUNCTION("""COMPUTED_VALUE"""),0.0)</f>
        <v>0</v>
      </c>
      <c r="AG228" s="10">
        <f>IFERROR(__xludf.DUMMYFUNCTION("""COMPUTED_VALUE"""),9.0)</f>
        <v>9</v>
      </c>
      <c r="AH228" s="10">
        <f>IFERROR(__xludf.DUMMYFUNCTION("""COMPUTED_VALUE"""),0.0)</f>
        <v>0</v>
      </c>
      <c r="AI228" s="10">
        <f>IFERROR(__xludf.DUMMYFUNCTION("""COMPUTED_VALUE"""),0.0)</f>
        <v>0</v>
      </c>
      <c r="AJ228" s="11" t="str">
        <f>IFERROR(__xludf.DUMMYFUNCTION("""COMPUTED_VALUE"""),"https://drive.google.com/open?id=1aLL76XtQms2nDDIrJDo-W_ZOfxJnQjda")</f>
        <v>https://drive.google.com/open?id=1aLL76XtQms2nDDIrJDo-W_ZOfxJnQjda</v>
      </c>
      <c r="AK228" s="12"/>
      <c r="AL228" s="12" t="str">
        <f>IFERROR(__xludf.DUMMYFUNCTION("""COMPUTED_VALUE"""),"Yes")</f>
        <v>Yes</v>
      </c>
      <c r="AM228" s="15">
        <f>IFERROR(__xludf.DUMMYFUNCTION("""COMPUTED_VALUE"""),0.8)</f>
        <v>0.8</v>
      </c>
      <c r="AN228" s="12" t="str">
        <f>IFERROR(__xludf.DUMMYFUNCTION("""COMPUTED_VALUE"""),"2nd week")</f>
        <v>2nd week</v>
      </c>
      <c r="AO228" s="13" t="s">
        <v>10</v>
      </c>
      <c r="AX228" s="13"/>
    </row>
    <row r="229">
      <c r="A229" s="8">
        <v>228.0</v>
      </c>
      <c r="B229" s="9">
        <f>IFERROR(__xludf.DUMMYFUNCTION("""COMPUTED_VALUE"""),45787.540522800926)</f>
        <v>45787.54052</v>
      </c>
      <c r="C229" s="10" t="str">
        <f>IFERROR(__xludf.DUMMYFUNCTION("""COMPUTED_VALUE"""),"Kainat Idrees")</f>
        <v>Kainat Idrees</v>
      </c>
      <c r="D229" s="10" t="str">
        <f>IFERROR(__xludf.DUMMYFUNCTION("""COMPUTED_VALUE"""),"03125121140")</f>
        <v>03125121140</v>
      </c>
      <c r="E229" s="10" t="str">
        <f>IFERROR(__xludf.DUMMYFUNCTION("""COMPUTED_VALUE"""),"Jamia Masjid Rasool Shaheya Landa Bazar Lahore  ")</f>
        <v>Jamia Masjid Rasool Shaheya Landa Bazar Lahore  </v>
      </c>
      <c r="F229" s="10" t="str">
        <f>IFERROR(__xludf.DUMMYFUNCTION("""COMPUTED_VALUE"""),"njkhf")</f>
        <v>njkhf</v>
      </c>
      <c r="G229" s="10" t="str">
        <f>IFERROR(__xludf.DUMMYFUNCTION("""COMPUTED_VALUE"""),"Yes")</f>
        <v>Yes</v>
      </c>
      <c r="H229" s="10">
        <f>IFERROR(__xludf.DUMMYFUNCTION("""COMPUTED_VALUE"""),3.0)</f>
        <v>3</v>
      </c>
      <c r="I229" s="10">
        <f>IFERROR(__xludf.DUMMYFUNCTION("""COMPUTED_VALUE"""),5.0)</f>
        <v>5</v>
      </c>
      <c r="J229" s="10">
        <f>IFERROR(__xludf.DUMMYFUNCTION("""COMPUTED_VALUE"""),4.0)</f>
        <v>4</v>
      </c>
      <c r="K229" s="10">
        <f>IFERROR(__xludf.DUMMYFUNCTION("""COMPUTED_VALUE"""),0.0)</f>
        <v>0</v>
      </c>
      <c r="L229" s="10">
        <f>IFERROR(__xludf.DUMMYFUNCTION("""COMPUTED_VALUE"""),0.0)</f>
        <v>0</v>
      </c>
      <c r="M229" s="10">
        <f>IFERROR(__xludf.DUMMYFUNCTION("""COMPUTED_VALUE"""),0.0)</f>
        <v>0</v>
      </c>
      <c r="N229" s="10">
        <f>IFERROR(__xludf.DUMMYFUNCTION("""COMPUTED_VALUE"""),0.0)</f>
        <v>0</v>
      </c>
      <c r="O229" s="10">
        <f>IFERROR(__xludf.DUMMYFUNCTION("""COMPUTED_VALUE"""),0.0)</f>
        <v>0</v>
      </c>
      <c r="P229" s="10">
        <f>IFERROR(__xludf.DUMMYFUNCTION("""COMPUTED_VALUE"""),0.0)</f>
        <v>0</v>
      </c>
      <c r="Q229" s="10" t="str">
        <f>IFERROR(__xludf.DUMMYFUNCTION("""COMPUTED_VALUE"""),"No")</f>
        <v>No</v>
      </c>
      <c r="R229" s="10" t="str">
        <f>IFERROR(__xludf.DUMMYFUNCTION("""COMPUTED_VALUE"""),"No")</f>
        <v>No</v>
      </c>
      <c r="S229" s="10" t="str">
        <f>IFERROR(__xludf.DUMMYFUNCTION("""COMPUTED_VALUE"""),"No")</f>
        <v>No</v>
      </c>
      <c r="T229" s="10">
        <f>IFERROR(__xludf.DUMMYFUNCTION("""COMPUTED_VALUE"""),0.0)</f>
        <v>0</v>
      </c>
      <c r="U229" s="10">
        <f>IFERROR(__xludf.DUMMYFUNCTION("""COMPUTED_VALUE"""),0.0)</f>
        <v>0</v>
      </c>
      <c r="V229" s="10" t="str">
        <f>IFERROR(__xludf.DUMMYFUNCTION("""COMPUTED_VALUE"""),"jung ka agahz")</f>
        <v>jung ka agahz</v>
      </c>
      <c r="W229" s="10" t="str">
        <f>IFERROR(__xludf.DUMMYFUNCTION("""COMPUTED_VALUE"""),"India ny jung shuru ki khatm hm karein gy hm pur aman mulk hain")</f>
        <v>India ny jung shuru ki khatm hm karein gy hm pur aman mulk hain</v>
      </c>
      <c r="X229" s="10">
        <f>IFERROR(__xludf.DUMMYFUNCTION("""COMPUTED_VALUE"""),0.0)</f>
        <v>0</v>
      </c>
      <c r="Y229" s="10">
        <f>IFERROR(__xludf.DUMMYFUNCTION("""COMPUTED_VALUE"""),0.0)</f>
        <v>0</v>
      </c>
      <c r="Z229" s="10">
        <f>IFERROR(__xludf.DUMMYFUNCTION("""COMPUTED_VALUE"""),0.0)</f>
        <v>0</v>
      </c>
      <c r="AA229" s="10">
        <f>IFERROR(__xludf.DUMMYFUNCTION("""COMPUTED_VALUE"""),4.0)</f>
        <v>4</v>
      </c>
      <c r="AB229" s="10">
        <f>IFERROR(__xludf.DUMMYFUNCTION("""COMPUTED_VALUE"""),4.0)</f>
        <v>4</v>
      </c>
      <c r="AC229" s="10">
        <f>IFERROR(__xludf.DUMMYFUNCTION("""COMPUTED_VALUE"""),0.0)</f>
        <v>0</v>
      </c>
      <c r="AD229" s="10">
        <f>IFERROR(__xludf.DUMMYFUNCTION("""COMPUTED_VALUE"""),0.0)</f>
        <v>0</v>
      </c>
      <c r="AE229" s="10">
        <f>IFERROR(__xludf.DUMMYFUNCTION("""COMPUTED_VALUE"""),2.0)</f>
        <v>2</v>
      </c>
      <c r="AF229" s="10">
        <f>IFERROR(__xludf.DUMMYFUNCTION("""COMPUTED_VALUE"""),0.0)</f>
        <v>0</v>
      </c>
      <c r="AG229" s="10">
        <f>IFERROR(__xludf.DUMMYFUNCTION("""COMPUTED_VALUE"""),8.0)</f>
        <v>8</v>
      </c>
      <c r="AH229" s="10">
        <f>IFERROR(__xludf.DUMMYFUNCTION("""COMPUTED_VALUE"""),0.0)</f>
        <v>0</v>
      </c>
      <c r="AI229" s="10">
        <f>IFERROR(__xludf.DUMMYFUNCTION("""COMPUTED_VALUE"""),2.0)</f>
        <v>2</v>
      </c>
      <c r="AJ229" s="11" t="str">
        <f>IFERROR(__xludf.DUMMYFUNCTION("""COMPUTED_VALUE"""),"https://drive.google.com/open?id=1taA2gdtcS5Whf2W1-LzHf3BNL3b844Ld")</f>
        <v>https://drive.google.com/open?id=1taA2gdtcS5Whf2W1-LzHf3BNL3b844Ld</v>
      </c>
      <c r="AK229" s="12"/>
      <c r="AL229" s="12" t="str">
        <f>IFERROR(__xludf.DUMMYFUNCTION("""COMPUTED_VALUE"""),"Yes")</f>
        <v>Yes</v>
      </c>
      <c r="AM229" s="15">
        <f>IFERROR(__xludf.DUMMYFUNCTION("""COMPUTED_VALUE"""),0.8)</f>
        <v>0.8</v>
      </c>
      <c r="AN229" s="12" t="str">
        <f>IFERROR(__xludf.DUMMYFUNCTION("""COMPUTED_VALUE"""),"2nd week")</f>
        <v>2nd week</v>
      </c>
      <c r="AO229" s="13">
        <v>3.0</v>
      </c>
      <c r="AX229" s="13">
        <v>3.0</v>
      </c>
    </row>
    <row r="230">
      <c r="A230" s="8">
        <v>229.0</v>
      </c>
      <c r="B230" s="9">
        <f>IFERROR(__xludf.DUMMYFUNCTION("""COMPUTED_VALUE"""),45787.965358113426)</f>
        <v>45787.96536</v>
      </c>
      <c r="C230" s="10" t="str">
        <f>IFERROR(__xludf.DUMMYFUNCTION("""COMPUTED_VALUE"""),"Husnain Ali bhatti ")</f>
        <v>Husnain Ali bhatti </v>
      </c>
      <c r="D230" s="10" t="str">
        <f>IFERROR(__xludf.DUMMYFUNCTION("""COMPUTED_VALUE"""),"03444433036")</f>
        <v>03444433036</v>
      </c>
      <c r="E230" s="10" t="str">
        <f>IFERROR(__xludf.DUMMYFUNCTION("""COMPUTED_VALUE"""),"Jamia masjid Musa Dewan ")</f>
        <v>Jamia masjid Musa Dewan </v>
      </c>
      <c r="F230" s="10" t="str">
        <f>IFERROR(__xludf.DUMMYFUNCTION("""COMPUTED_VALUE"""),"ZJBWK")</f>
        <v>ZJBWK</v>
      </c>
      <c r="G230" s="10" t="str">
        <f>IFERROR(__xludf.DUMMYFUNCTION("""COMPUTED_VALUE"""),"No")</f>
        <v>No</v>
      </c>
      <c r="H230" s="10"/>
      <c r="I230" s="10"/>
      <c r="J230" s="10"/>
      <c r="K230" s="10">
        <f>IFERROR(__xludf.DUMMYFUNCTION("""COMPUTED_VALUE"""),0.0)</f>
        <v>0</v>
      </c>
      <c r="L230" s="10">
        <f>IFERROR(__xludf.DUMMYFUNCTION("""COMPUTED_VALUE"""),10.0)</f>
        <v>10</v>
      </c>
      <c r="M230" s="10">
        <f>IFERROR(__xludf.DUMMYFUNCTION("""COMPUTED_VALUE"""),0.0)</f>
        <v>0</v>
      </c>
      <c r="N230" s="10">
        <f>IFERROR(__xludf.DUMMYFUNCTION("""COMPUTED_VALUE"""),10.0)</f>
        <v>10</v>
      </c>
      <c r="O230" s="10">
        <f>IFERROR(__xludf.DUMMYFUNCTION("""COMPUTED_VALUE"""),0.0)</f>
        <v>0</v>
      </c>
      <c r="P230" s="10">
        <f>IFERROR(__xludf.DUMMYFUNCTION("""COMPUTED_VALUE"""),10.0)</f>
        <v>10</v>
      </c>
      <c r="Q230" s="10" t="str">
        <f>IFERROR(__xludf.DUMMYFUNCTION("""COMPUTED_VALUE"""),"No")</f>
        <v>No</v>
      </c>
      <c r="R230" s="10" t="str">
        <f>IFERROR(__xludf.DUMMYFUNCTION("""COMPUTED_VALUE"""),"Yes")</f>
        <v>Yes</v>
      </c>
      <c r="S230" s="10" t="str">
        <f>IFERROR(__xludf.DUMMYFUNCTION("""COMPUTED_VALUE"""),"No")</f>
        <v>No</v>
      </c>
      <c r="T230" s="10">
        <f>IFERROR(__xludf.DUMMYFUNCTION("""COMPUTED_VALUE"""),0.0)</f>
        <v>0</v>
      </c>
      <c r="U230" s="10">
        <f>IFERROR(__xludf.DUMMYFUNCTION("""COMPUTED_VALUE"""),0.0)</f>
        <v>0</v>
      </c>
      <c r="V230" s="10" t="str">
        <f>IFERROR(__xludf.DUMMYFUNCTION("""COMPUTED_VALUE"""),"پڑوسی کے حقوق ")</f>
        <v>پڑوسی کے حقوق </v>
      </c>
      <c r="W230" s="10" t="str">
        <f>IFERROR(__xludf.DUMMYFUNCTION("""COMPUTED_VALUE"""),"پڑوسی کے حقوق اور محلے کی صفائی اور مسجد کی اہمیت ")</f>
        <v>پڑوسی کے حقوق اور محلے کی صفائی اور مسجد کی اہمیت </v>
      </c>
      <c r="X230" s="10">
        <f>IFERROR(__xludf.DUMMYFUNCTION("""COMPUTED_VALUE"""),2.0)</f>
        <v>2</v>
      </c>
      <c r="Y230" s="10">
        <f>IFERROR(__xludf.DUMMYFUNCTION("""COMPUTED_VALUE"""),10.0)</f>
        <v>10</v>
      </c>
      <c r="Z230" s="10">
        <f>IFERROR(__xludf.DUMMYFUNCTION("""COMPUTED_VALUE"""),2.0)</f>
        <v>2</v>
      </c>
      <c r="AA230" s="10">
        <f>IFERROR(__xludf.DUMMYFUNCTION("""COMPUTED_VALUE"""),2.0)</f>
        <v>2</v>
      </c>
      <c r="AB230" s="10">
        <f>IFERROR(__xludf.DUMMYFUNCTION("""COMPUTED_VALUE"""),0.0)</f>
        <v>0</v>
      </c>
      <c r="AC230" s="10">
        <f>IFERROR(__xludf.DUMMYFUNCTION("""COMPUTED_VALUE"""),0.0)</f>
        <v>0</v>
      </c>
      <c r="AD230" s="10">
        <f>IFERROR(__xludf.DUMMYFUNCTION("""COMPUTED_VALUE"""),2.0)</f>
        <v>2</v>
      </c>
      <c r="AE230" s="10">
        <f>IFERROR(__xludf.DUMMYFUNCTION("""COMPUTED_VALUE"""),0.0)</f>
        <v>0</v>
      </c>
      <c r="AF230" s="10">
        <f>IFERROR(__xludf.DUMMYFUNCTION("""COMPUTED_VALUE"""),10.0)</f>
        <v>10</v>
      </c>
      <c r="AG230" s="10">
        <f>IFERROR(__xludf.DUMMYFUNCTION("""COMPUTED_VALUE"""),10.0)</f>
        <v>10</v>
      </c>
      <c r="AH230" s="10">
        <f>IFERROR(__xludf.DUMMYFUNCTION("""COMPUTED_VALUE"""),0.0)</f>
        <v>0</v>
      </c>
      <c r="AI230" s="10">
        <f>IFERROR(__xludf.DUMMYFUNCTION("""COMPUTED_VALUE"""),10.0)</f>
        <v>10</v>
      </c>
      <c r="AJ230" s="11" t="str">
        <f>IFERROR(__xludf.DUMMYFUNCTION("""COMPUTED_VALUE"""),"https://drive.google.com/open?id=1u4DtymKGK5i-2WPEkt4GfrigOS8_wOxq")</f>
        <v>https://drive.google.com/open?id=1u4DtymKGK5i-2WPEkt4GfrigOS8_wOxq</v>
      </c>
      <c r="AK230" s="12"/>
      <c r="AL230" s="12"/>
      <c r="AM230" s="12"/>
      <c r="AN230" s="12" t="str">
        <f>IFERROR(__xludf.DUMMYFUNCTION("""COMPUTED_VALUE"""),"2nd week")</f>
        <v>2nd week</v>
      </c>
      <c r="AO230" s="13">
        <v>1.0</v>
      </c>
      <c r="AX230" s="13">
        <v>2.0</v>
      </c>
    </row>
    <row r="231">
      <c r="A231" s="8">
        <v>230.0</v>
      </c>
      <c r="B231" s="9">
        <f>IFERROR(__xludf.DUMMYFUNCTION("""COMPUTED_VALUE"""),45788.034671574074)</f>
        <v>45788.03467</v>
      </c>
      <c r="C231" s="10" t="str">
        <f>IFERROR(__xludf.DUMMYFUNCTION("""COMPUTED_VALUE"""),"Muhammad Rizwan ")</f>
        <v>Muhammad Rizwan </v>
      </c>
      <c r="D231" s="10" t="str">
        <f>IFERROR(__xludf.DUMMYFUNCTION("""COMPUTED_VALUE"""),"03084373512")</f>
        <v>03084373512</v>
      </c>
      <c r="E231" s="10" t="str">
        <f>IFERROR(__xludf.DUMMYFUNCTION("""COMPUTED_VALUE"""),"Jamia Masjid Farooq Abad auqaf wali ")</f>
        <v>Jamia Masjid Farooq Abad auqaf wali </v>
      </c>
      <c r="F231" s="10" t="str">
        <f>IFERROR(__xludf.DUMMYFUNCTION("""COMPUTED_VALUE"""),"GARUU")</f>
        <v>GARUU</v>
      </c>
      <c r="G231" s="10" t="str">
        <f>IFERROR(__xludf.DUMMYFUNCTION("""COMPUTED_VALUE"""),"No")</f>
        <v>No</v>
      </c>
      <c r="H231" s="10"/>
      <c r="I231" s="10"/>
      <c r="J231" s="10"/>
      <c r="K231" s="10">
        <f>IFERROR(__xludf.DUMMYFUNCTION("""COMPUTED_VALUE"""),0.0)</f>
        <v>0</v>
      </c>
      <c r="L231" s="10">
        <f>IFERROR(__xludf.DUMMYFUNCTION("""COMPUTED_VALUE"""),0.0)</f>
        <v>0</v>
      </c>
      <c r="M231" s="10">
        <f>IFERROR(__xludf.DUMMYFUNCTION("""COMPUTED_VALUE"""),0.0)</f>
        <v>0</v>
      </c>
      <c r="N231" s="10">
        <f>IFERROR(__xludf.DUMMYFUNCTION("""COMPUTED_VALUE"""),0.0)</f>
        <v>0</v>
      </c>
      <c r="O231" s="10">
        <f>IFERROR(__xludf.DUMMYFUNCTION("""COMPUTED_VALUE"""),0.0)</f>
        <v>0</v>
      </c>
      <c r="P231" s="10">
        <f>IFERROR(__xludf.DUMMYFUNCTION("""COMPUTED_VALUE"""),0.0)</f>
        <v>0</v>
      </c>
      <c r="Q231" s="10" t="str">
        <f>IFERROR(__xludf.DUMMYFUNCTION("""COMPUTED_VALUE"""),"No")</f>
        <v>No</v>
      </c>
      <c r="R231" s="10" t="str">
        <f>IFERROR(__xludf.DUMMYFUNCTION("""COMPUTED_VALUE"""),"No")</f>
        <v>No</v>
      </c>
      <c r="S231" s="10" t="str">
        <f>IFERROR(__xludf.DUMMYFUNCTION("""COMPUTED_VALUE"""),"No")</f>
        <v>No</v>
      </c>
      <c r="T231" s="10">
        <f>IFERROR(__xludf.DUMMYFUNCTION("""COMPUTED_VALUE"""),0.0)</f>
        <v>0</v>
      </c>
      <c r="U231" s="10">
        <f>IFERROR(__xludf.DUMMYFUNCTION("""COMPUTED_VALUE"""),0.0)</f>
        <v>0</v>
      </c>
      <c r="V231" s="10" t="str">
        <f>IFERROR(__xludf.DUMMYFUNCTION("""COMPUTED_VALUE"""),"شان مصطفیٰ صلی اللہ علیہ وآلہ وسلم ")</f>
        <v>شان مصطفیٰ صلی اللہ علیہ وآلہ وسلم </v>
      </c>
      <c r="W231" s="10" t="str">
        <f>IFERROR(__xludf.DUMMYFUNCTION("""COMPUTED_VALUE"""),"شان مصطفیٰ صلی اللہ علیہ وآلہ وسلم ")</f>
        <v>شان مصطفیٰ صلی اللہ علیہ وآلہ وسلم </v>
      </c>
      <c r="X231" s="10">
        <f>IFERROR(__xludf.DUMMYFUNCTION("""COMPUTED_VALUE"""),0.0)</f>
        <v>0</v>
      </c>
      <c r="Y231" s="10">
        <f>IFERROR(__xludf.DUMMYFUNCTION("""COMPUTED_VALUE"""),0.0)</f>
        <v>0</v>
      </c>
      <c r="Z231" s="10">
        <f>IFERROR(__xludf.DUMMYFUNCTION("""COMPUTED_VALUE"""),0.0)</f>
        <v>0</v>
      </c>
      <c r="AA231" s="10">
        <f>IFERROR(__xludf.DUMMYFUNCTION("""COMPUTED_VALUE"""),10.0)</f>
        <v>10</v>
      </c>
      <c r="AB231" s="10">
        <f>IFERROR(__xludf.DUMMYFUNCTION("""COMPUTED_VALUE"""),0.0)</f>
        <v>0</v>
      </c>
      <c r="AC231" s="10">
        <f>IFERROR(__xludf.DUMMYFUNCTION("""COMPUTED_VALUE"""),0.0)</f>
        <v>0</v>
      </c>
      <c r="AD231" s="10">
        <f>IFERROR(__xludf.DUMMYFUNCTION("""COMPUTED_VALUE"""),0.0)</f>
        <v>0</v>
      </c>
      <c r="AE231" s="10">
        <f>IFERROR(__xludf.DUMMYFUNCTION("""COMPUTED_VALUE"""),0.0)</f>
        <v>0</v>
      </c>
      <c r="AF231" s="10">
        <f>IFERROR(__xludf.DUMMYFUNCTION("""COMPUTED_VALUE"""),10.0)</f>
        <v>10</v>
      </c>
      <c r="AG231" s="10">
        <f>IFERROR(__xludf.DUMMYFUNCTION("""COMPUTED_VALUE"""),10.0)</f>
        <v>10</v>
      </c>
      <c r="AH231" s="10">
        <f>IFERROR(__xludf.DUMMYFUNCTION("""COMPUTED_VALUE"""),0.0)</f>
        <v>0</v>
      </c>
      <c r="AI231" s="10">
        <f>IFERROR(__xludf.DUMMYFUNCTION("""COMPUTED_VALUE"""),10.0)</f>
        <v>10</v>
      </c>
      <c r="AJ231" s="11" t="str">
        <f>IFERROR(__xludf.DUMMYFUNCTION("""COMPUTED_VALUE"""),"https://drive.google.com/open?id=1zLsFcLSZKY0SctIGwn_W3EVtE4JX1nJp")</f>
        <v>https://drive.google.com/open?id=1zLsFcLSZKY0SctIGwn_W3EVtE4JX1nJp</v>
      </c>
      <c r="AK231" s="12" t="str">
        <f>IFERROR(__xludf.DUMMYFUNCTION("""COMPUTED_VALUE"""),"No")</f>
        <v>No</v>
      </c>
      <c r="AL231" s="12"/>
      <c r="AM231" s="12"/>
      <c r="AN231" s="12" t="str">
        <f>IFERROR(__xludf.DUMMYFUNCTION("""COMPUTED_VALUE"""),"3rd week")</f>
        <v>3rd week</v>
      </c>
      <c r="AO231" s="13">
        <v>3.0</v>
      </c>
      <c r="AX231" s="13">
        <v>3.0</v>
      </c>
    </row>
    <row r="232">
      <c r="A232" s="8">
        <v>231.0</v>
      </c>
      <c r="B232" s="9">
        <f>IFERROR(__xludf.DUMMYFUNCTION("""COMPUTED_VALUE"""),45791.22219030093)</f>
        <v>45791.22219</v>
      </c>
      <c r="C232" s="10" t="str">
        <f>IFERROR(__xludf.DUMMYFUNCTION("""COMPUTED_VALUE"""),"Shakeela ")</f>
        <v>Shakeela </v>
      </c>
      <c r="D232" s="10" t="str">
        <f>IFERROR(__xludf.DUMMYFUNCTION("""COMPUTED_VALUE"""),"03359485820")</f>
        <v>03359485820</v>
      </c>
      <c r="E232" s="10" t="str">
        <f>IFERROR(__xludf.DUMMYFUNCTION("""COMPUTED_VALUE"""),"Jamia Masjid Gamti Bazar Lahore")</f>
        <v>Jamia Masjid Gamti Bazar Lahore</v>
      </c>
      <c r="F232" s="10" t="str">
        <f>IFERROR(__xludf.DUMMYFUNCTION("""COMPUTED_VALUE"""),"ptnjj")</f>
        <v>ptnjj</v>
      </c>
      <c r="G232" s="10" t="str">
        <f>IFERROR(__xludf.DUMMYFUNCTION("""COMPUTED_VALUE"""),"No")</f>
        <v>No</v>
      </c>
      <c r="H232" s="10"/>
      <c r="I232" s="10"/>
      <c r="J232" s="10"/>
      <c r="K232" s="10">
        <f>IFERROR(__xludf.DUMMYFUNCTION("""COMPUTED_VALUE"""),0.0)</f>
        <v>0</v>
      </c>
      <c r="L232" s="10">
        <f>IFERROR(__xludf.DUMMYFUNCTION("""COMPUTED_VALUE"""),0.0)</f>
        <v>0</v>
      </c>
      <c r="M232" s="10">
        <f>IFERROR(__xludf.DUMMYFUNCTION("""COMPUTED_VALUE"""),0.0)</f>
        <v>0</v>
      </c>
      <c r="N232" s="10">
        <f>IFERROR(__xludf.DUMMYFUNCTION("""COMPUTED_VALUE"""),0.0)</f>
        <v>0</v>
      </c>
      <c r="O232" s="10">
        <f>IFERROR(__xludf.DUMMYFUNCTION("""COMPUTED_VALUE"""),0.0)</f>
        <v>0</v>
      </c>
      <c r="P232" s="10">
        <f>IFERROR(__xludf.DUMMYFUNCTION("""COMPUTED_VALUE"""),0.0)</f>
        <v>0</v>
      </c>
      <c r="Q232" s="10" t="str">
        <f>IFERROR(__xludf.DUMMYFUNCTION("""COMPUTED_VALUE"""),"No")</f>
        <v>No</v>
      </c>
      <c r="R232" s="10" t="str">
        <f>IFERROR(__xludf.DUMMYFUNCTION("""COMPUTED_VALUE"""),"No")</f>
        <v>No</v>
      </c>
      <c r="S232" s="10" t="str">
        <f>IFERROR(__xludf.DUMMYFUNCTION("""COMPUTED_VALUE"""),"No")</f>
        <v>No</v>
      </c>
      <c r="T232" s="10">
        <f>IFERROR(__xludf.DUMMYFUNCTION("""COMPUTED_VALUE"""),0.0)</f>
        <v>0</v>
      </c>
      <c r="U232" s="10">
        <f>IFERROR(__xludf.DUMMYFUNCTION("""COMPUTED_VALUE"""),0.0)</f>
        <v>0</v>
      </c>
      <c r="V232" s="10" t="str">
        <f>IFERROR(__xludf.DUMMYFUNCTION("""COMPUTED_VALUE"""),"masla e falsteen")</f>
        <v>masla e falsteen</v>
      </c>
      <c r="W232" s="10" t="str">
        <f>IFERROR(__xludf.DUMMYFUNCTION("""COMPUTED_VALUE"""),"israeeli masnooat ka boycot aur jihad")</f>
        <v>israeeli masnooat ka boycot aur jihad</v>
      </c>
      <c r="X232" s="10">
        <f>IFERROR(__xludf.DUMMYFUNCTION("""COMPUTED_VALUE"""),7.0)</f>
        <v>7</v>
      </c>
      <c r="Y232" s="10">
        <f>IFERROR(__xludf.DUMMYFUNCTION("""COMPUTED_VALUE"""),6.0)</f>
        <v>6</v>
      </c>
      <c r="Z232" s="10">
        <f>IFERROR(__xludf.DUMMYFUNCTION("""COMPUTED_VALUE"""),5.0)</f>
        <v>5</v>
      </c>
      <c r="AA232" s="10">
        <f>IFERROR(__xludf.DUMMYFUNCTION("""COMPUTED_VALUE"""),5.0)</f>
        <v>5</v>
      </c>
      <c r="AB232" s="10">
        <f>IFERROR(__xludf.DUMMYFUNCTION("""COMPUTED_VALUE"""),5.0)</f>
        <v>5</v>
      </c>
      <c r="AC232" s="10">
        <f>IFERROR(__xludf.DUMMYFUNCTION("""COMPUTED_VALUE"""),5.0)</f>
        <v>5</v>
      </c>
      <c r="AD232" s="10">
        <f>IFERROR(__xludf.DUMMYFUNCTION("""COMPUTED_VALUE"""),6.0)</f>
        <v>6</v>
      </c>
      <c r="AE232" s="10">
        <f>IFERROR(__xludf.DUMMYFUNCTION("""COMPUTED_VALUE"""),5.0)</f>
        <v>5</v>
      </c>
      <c r="AF232" s="10">
        <f>IFERROR(__xludf.DUMMYFUNCTION("""COMPUTED_VALUE"""),4.0)</f>
        <v>4</v>
      </c>
      <c r="AG232" s="10">
        <f>IFERROR(__xludf.DUMMYFUNCTION("""COMPUTED_VALUE"""),4.0)</f>
        <v>4</v>
      </c>
      <c r="AH232" s="10">
        <f>IFERROR(__xludf.DUMMYFUNCTION("""COMPUTED_VALUE"""),4.0)</f>
        <v>4</v>
      </c>
      <c r="AI232" s="10">
        <f>IFERROR(__xludf.DUMMYFUNCTION("""COMPUTED_VALUE"""),6.0)</f>
        <v>6</v>
      </c>
      <c r="AJ232" s="11" t="str">
        <f>IFERROR(__xludf.DUMMYFUNCTION("""COMPUTED_VALUE"""),"https://drive.google.com/open?id=1VHMnJTUWuOUWnJUJBLeo_ryzZqrrVkp5")</f>
        <v>https://drive.google.com/open?id=1VHMnJTUWuOUWnJUJBLeo_ryzZqrrVkp5</v>
      </c>
      <c r="AK232" s="12"/>
      <c r="AL232" s="12"/>
      <c r="AM232" s="12"/>
      <c r="AN232" s="12" t="str">
        <f>IFERROR(__xludf.DUMMYFUNCTION("""COMPUTED_VALUE"""),"2nd week")</f>
        <v>2nd week</v>
      </c>
      <c r="AO232" s="13">
        <v>3.0</v>
      </c>
      <c r="AX232" s="13">
        <v>2.0</v>
      </c>
    </row>
    <row r="233">
      <c r="A233" s="8">
        <v>232.0</v>
      </c>
      <c r="B233" s="9">
        <f>IFERROR(__xludf.DUMMYFUNCTION("""COMPUTED_VALUE"""),45793.33252159722)</f>
        <v>45793.33252</v>
      </c>
      <c r="C233" s="10" t="str">
        <f>IFERROR(__xludf.DUMMYFUNCTION("""COMPUTED_VALUE"""),"Sulaman asghar ")</f>
        <v>Sulaman asghar </v>
      </c>
      <c r="D233" s="10" t="str">
        <f>IFERROR(__xludf.DUMMYFUNCTION("""COMPUTED_VALUE"""),"03126136070")</f>
        <v>03126136070</v>
      </c>
      <c r="E233" s="10" t="str">
        <f>IFERROR(__xludf.DUMMYFUNCTION("""COMPUTED_VALUE"""),"Sain Karam elahi sarkar ")</f>
        <v>Sain Karam elahi sarkar </v>
      </c>
      <c r="F233" s="10" t="str">
        <f>IFERROR(__xludf.DUMMYFUNCTION("""COMPUTED_VALUE"""),"Sxnpd")</f>
        <v>Sxnpd</v>
      </c>
      <c r="G233" s="10" t="str">
        <f>IFERROR(__xludf.DUMMYFUNCTION("""COMPUTED_VALUE"""),"Yes")</f>
        <v>Yes</v>
      </c>
      <c r="H233" s="10">
        <f>IFERROR(__xludf.DUMMYFUNCTION("""COMPUTED_VALUE"""),8.0)</f>
        <v>8</v>
      </c>
      <c r="I233" s="10">
        <f>IFERROR(__xludf.DUMMYFUNCTION("""COMPUTED_VALUE"""),1.0)</f>
        <v>1</v>
      </c>
      <c r="J233" s="10">
        <f>IFERROR(__xludf.DUMMYFUNCTION("""COMPUTED_VALUE"""),9.0)</f>
        <v>9</v>
      </c>
      <c r="K233" s="10">
        <f>IFERROR(__xludf.DUMMYFUNCTION("""COMPUTED_VALUE"""),9.0)</f>
        <v>9</v>
      </c>
      <c r="L233" s="10">
        <f>IFERROR(__xludf.DUMMYFUNCTION("""COMPUTED_VALUE"""),9.0)</f>
        <v>9</v>
      </c>
      <c r="M233" s="10">
        <f>IFERROR(__xludf.DUMMYFUNCTION("""COMPUTED_VALUE"""),0.0)</f>
        <v>0</v>
      </c>
      <c r="N233" s="10">
        <f>IFERROR(__xludf.DUMMYFUNCTION("""COMPUTED_VALUE"""),9.0)</f>
        <v>9</v>
      </c>
      <c r="O233" s="10">
        <f>IFERROR(__xludf.DUMMYFUNCTION("""COMPUTED_VALUE"""),0.0)</f>
        <v>0</v>
      </c>
      <c r="P233" s="10">
        <f>IFERROR(__xludf.DUMMYFUNCTION("""COMPUTED_VALUE"""),9.0)</f>
        <v>9</v>
      </c>
      <c r="Q233" s="10" t="str">
        <f>IFERROR(__xludf.DUMMYFUNCTION("""COMPUTED_VALUE"""),"No")</f>
        <v>No</v>
      </c>
      <c r="R233" s="10" t="str">
        <f>IFERROR(__xludf.DUMMYFUNCTION("""COMPUTED_VALUE"""),"No")</f>
        <v>No</v>
      </c>
      <c r="S233" s="10" t="str">
        <f>IFERROR(__xludf.DUMMYFUNCTION("""COMPUTED_VALUE"""),"No")</f>
        <v>No</v>
      </c>
      <c r="T233" s="10">
        <f>IFERROR(__xludf.DUMMYFUNCTION("""COMPUTED_VALUE"""),0.0)</f>
        <v>0</v>
      </c>
      <c r="U233" s="10">
        <f>IFERROR(__xludf.DUMMYFUNCTION("""COMPUTED_VALUE"""),0.0)</f>
        <v>0</v>
      </c>
      <c r="V233" s="10" t="str">
        <f>IFERROR(__xludf.DUMMYFUNCTION("""COMPUTED_VALUE"""),"پڑوسیوں کے حقوق ")</f>
        <v>پڑوسیوں کے حقوق </v>
      </c>
      <c r="W233" s="10" t="str">
        <f>IFERROR(__xludf.DUMMYFUNCTION("""COMPUTED_VALUE"""),"پڑوسوں کے ساتھ اچھا برتاؤ کریں قرآن و حدیث سے سمجھایا ")</f>
        <v>پڑوسوں کے ساتھ اچھا برتاؤ کریں قرآن و حدیث سے سمجھایا </v>
      </c>
      <c r="X233" s="10">
        <f>IFERROR(__xludf.DUMMYFUNCTION("""COMPUTED_VALUE"""),0.0)</f>
        <v>0</v>
      </c>
      <c r="Y233" s="10">
        <f>IFERROR(__xludf.DUMMYFUNCTION("""COMPUTED_VALUE"""),9.0)</f>
        <v>9</v>
      </c>
      <c r="Z233" s="10">
        <f>IFERROR(__xludf.DUMMYFUNCTION("""COMPUTED_VALUE"""),1.0)</f>
        <v>1</v>
      </c>
      <c r="AA233" s="10">
        <f>IFERROR(__xludf.DUMMYFUNCTION("""COMPUTED_VALUE"""),9.0)</f>
        <v>9</v>
      </c>
      <c r="AB233" s="10">
        <f>IFERROR(__xludf.DUMMYFUNCTION("""COMPUTED_VALUE"""),0.0)</f>
        <v>0</v>
      </c>
      <c r="AC233" s="10">
        <f>IFERROR(__xludf.DUMMYFUNCTION("""COMPUTED_VALUE"""),0.0)</f>
        <v>0</v>
      </c>
      <c r="AD233" s="10">
        <f>IFERROR(__xludf.DUMMYFUNCTION("""COMPUTED_VALUE"""),0.0)</f>
        <v>0</v>
      </c>
      <c r="AE233" s="10">
        <f>IFERROR(__xludf.DUMMYFUNCTION("""COMPUTED_VALUE"""),1.0)</f>
        <v>1</v>
      </c>
      <c r="AF233" s="10">
        <f>IFERROR(__xludf.DUMMYFUNCTION("""COMPUTED_VALUE"""),8.0)</f>
        <v>8</v>
      </c>
      <c r="AG233" s="10">
        <f>IFERROR(__xludf.DUMMYFUNCTION("""COMPUTED_VALUE"""),9.0)</f>
        <v>9</v>
      </c>
      <c r="AH233" s="10">
        <f>IFERROR(__xludf.DUMMYFUNCTION("""COMPUTED_VALUE"""),0.0)</f>
        <v>0</v>
      </c>
      <c r="AI233" s="10">
        <f>IFERROR(__xludf.DUMMYFUNCTION("""COMPUTED_VALUE"""),9.0)</f>
        <v>9</v>
      </c>
      <c r="AJ233" s="11" t="str">
        <f>IFERROR(__xludf.DUMMYFUNCTION("""COMPUTED_VALUE"""),"https://drive.google.com/open?id=1GqsEuSxprax607aNeduU_bQZJ5LnWg_Y")</f>
        <v>https://drive.google.com/open?id=1GqsEuSxprax607aNeduU_bQZJ5LnWg_Y</v>
      </c>
      <c r="AK233" s="12"/>
      <c r="AL233" s="12" t="str">
        <f>IFERROR(__xludf.DUMMYFUNCTION("""COMPUTED_VALUE"""),"Yes")</f>
        <v>Yes</v>
      </c>
      <c r="AM233" s="15">
        <f>IFERROR(__xludf.DUMMYFUNCTION("""COMPUTED_VALUE"""),0.9)</f>
        <v>0.9</v>
      </c>
      <c r="AN233" s="12" t="str">
        <f>IFERROR(__xludf.DUMMYFUNCTION("""COMPUTED_VALUE"""),"3rd week")</f>
        <v>3rd week</v>
      </c>
      <c r="AO233" s="13">
        <v>3.0</v>
      </c>
      <c r="AX233" s="13"/>
    </row>
    <row r="234">
      <c r="A234" s="8">
        <v>233.0</v>
      </c>
      <c r="B234" s="9">
        <f>IFERROR(__xludf.DUMMYFUNCTION("""COMPUTED_VALUE"""),45794.11771237268)</f>
        <v>45794.11771</v>
      </c>
      <c r="C234" s="10" t="str">
        <f>IFERROR(__xludf.DUMMYFUNCTION("""COMPUTED_VALUE"""),"Shakeela")</f>
        <v>Shakeela</v>
      </c>
      <c r="D234" s="10" t="str">
        <f>IFERROR(__xludf.DUMMYFUNCTION("""COMPUTED_VALUE"""),"03359485820")</f>
        <v>03359485820</v>
      </c>
      <c r="E234" s="10" t="str">
        <f>IFERROR(__xludf.DUMMYFUNCTION("""COMPUTED_VALUE"""),"Jamia Masjid Takiya Hazoori Shah Lahore")</f>
        <v>Jamia Masjid Takiya Hazoori Shah Lahore</v>
      </c>
      <c r="F234" s="10" t="str">
        <f>IFERROR(__xludf.DUMMYFUNCTION("""COMPUTED_VALUE"""),"wfyxg")</f>
        <v>wfyxg</v>
      </c>
      <c r="G234" s="10" t="str">
        <f>IFERROR(__xludf.DUMMYFUNCTION("""COMPUTED_VALUE"""),"No")</f>
        <v>No</v>
      </c>
      <c r="H234" s="10"/>
      <c r="I234" s="10"/>
      <c r="J234" s="10"/>
      <c r="K234" s="10">
        <f>IFERROR(__xludf.DUMMYFUNCTION("""COMPUTED_VALUE"""),0.0)</f>
        <v>0</v>
      </c>
      <c r="L234" s="10">
        <f>IFERROR(__xludf.DUMMYFUNCTION("""COMPUTED_VALUE"""),0.0)</f>
        <v>0</v>
      </c>
      <c r="M234" s="10">
        <f>IFERROR(__xludf.DUMMYFUNCTION("""COMPUTED_VALUE"""),0.0)</f>
        <v>0</v>
      </c>
      <c r="N234" s="10">
        <f>IFERROR(__xludf.DUMMYFUNCTION("""COMPUTED_VALUE"""),0.0)</f>
        <v>0</v>
      </c>
      <c r="O234" s="10">
        <f>IFERROR(__xludf.DUMMYFUNCTION("""COMPUTED_VALUE"""),0.0)</f>
        <v>0</v>
      </c>
      <c r="P234" s="10">
        <f>IFERROR(__xludf.DUMMYFUNCTION("""COMPUTED_VALUE"""),0.0)</f>
        <v>0</v>
      </c>
      <c r="Q234" s="10" t="str">
        <f>IFERROR(__xludf.DUMMYFUNCTION("""COMPUTED_VALUE"""),"No")</f>
        <v>No</v>
      </c>
      <c r="R234" s="10" t="str">
        <f>IFERROR(__xludf.DUMMYFUNCTION("""COMPUTED_VALUE"""),"No")</f>
        <v>No</v>
      </c>
      <c r="S234" s="10" t="str">
        <f>IFERROR(__xludf.DUMMYFUNCTION("""COMPUTED_VALUE"""),"No")</f>
        <v>No</v>
      </c>
      <c r="T234" s="10">
        <f>IFERROR(__xludf.DUMMYFUNCTION("""COMPUTED_VALUE"""),0.0)</f>
        <v>0</v>
      </c>
      <c r="U234" s="10">
        <f>IFERROR(__xludf.DUMMYFUNCTION("""COMPUTED_VALUE"""),0.0)</f>
        <v>0</v>
      </c>
      <c r="V234" s="10" t="str">
        <f>IFERROR(__xludf.DUMMYFUNCTION("""COMPUTED_VALUE"""),"Allah kki ibadat ")</f>
        <v>Allah kki ibadat </v>
      </c>
      <c r="W234" s="10" t="str">
        <f>IFERROR(__xludf.DUMMYFUNCTION("""COMPUTED_VALUE"""),"Allah ki byan")</f>
        <v>Allah ki byan</v>
      </c>
      <c r="X234" s="10">
        <f>IFERROR(__xludf.DUMMYFUNCTION("""COMPUTED_VALUE"""),7.0)</f>
        <v>7</v>
      </c>
      <c r="Y234" s="10">
        <f>IFERROR(__xludf.DUMMYFUNCTION("""COMPUTED_VALUE"""),5.0)</f>
        <v>5</v>
      </c>
      <c r="Z234" s="10">
        <f>IFERROR(__xludf.DUMMYFUNCTION("""COMPUTED_VALUE"""),5.0)</f>
        <v>5</v>
      </c>
      <c r="AA234" s="10">
        <f>IFERROR(__xludf.DUMMYFUNCTION("""COMPUTED_VALUE"""),5.0)</f>
        <v>5</v>
      </c>
      <c r="AB234" s="10">
        <f>IFERROR(__xludf.DUMMYFUNCTION("""COMPUTED_VALUE"""),6.0)</f>
        <v>6</v>
      </c>
      <c r="AC234" s="10">
        <f>IFERROR(__xludf.DUMMYFUNCTION("""COMPUTED_VALUE"""),7.0)</f>
        <v>7</v>
      </c>
      <c r="AD234" s="10">
        <f>IFERROR(__xludf.DUMMYFUNCTION("""COMPUTED_VALUE"""),5.0)</f>
        <v>5</v>
      </c>
      <c r="AE234" s="10">
        <f>IFERROR(__xludf.DUMMYFUNCTION("""COMPUTED_VALUE"""),5.0)</f>
        <v>5</v>
      </c>
      <c r="AF234" s="10">
        <f>IFERROR(__xludf.DUMMYFUNCTION("""COMPUTED_VALUE"""),0.0)</f>
        <v>0</v>
      </c>
      <c r="AG234" s="10">
        <f>IFERROR(__xludf.DUMMYFUNCTION("""COMPUTED_VALUE"""),8.0)</f>
        <v>8</v>
      </c>
      <c r="AH234" s="10">
        <f>IFERROR(__xludf.DUMMYFUNCTION("""COMPUTED_VALUE"""),0.0)</f>
        <v>0</v>
      </c>
      <c r="AI234" s="10">
        <f>IFERROR(__xludf.DUMMYFUNCTION("""COMPUTED_VALUE"""),6.0)</f>
        <v>6</v>
      </c>
      <c r="AJ234" s="11" t="str">
        <f>IFERROR(__xludf.DUMMYFUNCTION("""COMPUTED_VALUE"""),"https://drive.google.com/open?id=1gla039sz-fHKAeeM_o95bQxaTFnab2r6")</f>
        <v>https://drive.google.com/open?id=1gla039sz-fHKAeeM_o95bQxaTFnab2r6</v>
      </c>
      <c r="AK234" s="12"/>
      <c r="AL234" s="12"/>
      <c r="AM234" s="12"/>
      <c r="AN234" s="12" t="str">
        <f>IFERROR(__xludf.DUMMYFUNCTION("""COMPUTED_VALUE"""),"2nd week")</f>
        <v>2nd week</v>
      </c>
      <c r="AO234" s="13">
        <v>3.0</v>
      </c>
      <c r="AX234" s="13">
        <v>3.0</v>
      </c>
    </row>
    <row r="235">
      <c r="A235" s="8">
        <v>234.0</v>
      </c>
      <c r="B235" s="9">
        <f>IFERROR(__xludf.DUMMYFUNCTION("""COMPUTED_VALUE"""),45794.125569502314)</f>
        <v>45794.12557</v>
      </c>
      <c r="C235" s="10" t="str">
        <f>IFERROR(__xludf.DUMMYFUNCTION("""COMPUTED_VALUE"""),"Shakeela")</f>
        <v>Shakeela</v>
      </c>
      <c r="D235" s="10" t="str">
        <f>IFERROR(__xludf.DUMMYFUNCTION("""COMPUTED_VALUE"""),"03359485820")</f>
        <v>03359485820</v>
      </c>
      <c r="E235" s="10" t="str">
        <f>IFERROR(__xludf.DUMMYFUNCTION("""COMPUTED_VALUE"""),"Jamia Masjid Muslim Luhari Gate Lahore")</f>
        <v>Jamia Masjid Muslim Luhari Gate Lahore</v>
      </c>
      <c r="F235" s="10" t="str">
        <f>IFERROR(__xludf.DUMMYFUNCTION("""COMPUTED_VALUE"""),"zqlfc")</f>
        <v>zqlfc</v>
      </c>
      <c r="G235" s="10" t="str">
        <f>IFERROR(__xludf.DUMMYFUNCTION("""COMPUTED_VALUE"""),"No")</f>
        <v>No</v>
      </c>
      <c r="H235" s="10"/>
      <c r="I235" s="10"/>
      <c r="J235" s="10"/>
      <c r="K235" s="10">
        <f>IFERROR(__xludf.DUMMYFUNCTION("""COMPUTED_VALUE"""),0.0)</f>
        <v>0</v>
      </c>
      <c r="L235" s="10">
        <f>IFERROR(__xludf.DUMMYFUNCTION("""COMPUTED_VALUE"""),0.0)</f>
        <v>0</v>
      </c>
      <c r="M235" s="10">
        <f>IFERROR(__xludf.DUMMYFUNCTION("""COMPUTED_VALUE"""),0.0)</f>
        <v>0</v>
      </c>
      <c r="N235" s="10">
        <f>IFERROR(__xludf.DUMMYFUNCTION("""COMPUTED_VALUE"""),0.0)</f>
        <v>0</v>
      </c>
      <c r="O235" s="10">
        <f>IFERROR(__xludf.DUMMYFUNCTION("""COMPUTED_VALUE"""),0.0)</f>
        <v>0</v>
      </c>
      <c r="P235" s="10">
        <f>IFERROR(__xludf.DUMMYFUNCTION("""COMPUTED_VALUE"""),0.0)</f>
        <v>0</v>
      </c>
      <c r="Q235" s="10" t="str">
        <f>IFERROR(__xludf.DUMMYFUNCTION("""COMPUTED_VALUE"""),"No")</f>
        <v>No</v>
      </c>
      <c r="R235" s="10" t="str">
        <f>IFERROR(__xludf.DUMMYFUNCTION("""COMPUTED_VALUE"""),"No")</f>
        <v>No</v>
      </c>
      <c r="S235" s="10" t="str">
        <f>IFERROR(__xludf.DUMMYFUNCTION("""COMPUTED_VALUE"""),"No")</f>
        <v>No</v>
      </c>
      <c r="T235" s="10">
        <f>IFERROR(__xludf.DUMMYFUNCTION("""COMPUTED_VALUE"""),0.0)</f>
        <v>0</v>
      </c>
      <c r="U235" s="10">
        <f>IFERROR(__xludf.DUMMYFUNCTION("""COMPUTED_VALUE"""),0.0)</f>
        <v>0</v>
      </c>
      <c r="V235" s="10" t="str">
        <f>IFERROR(__xludf.DUMMYFUNCTION("""COMPUTED_VALUE"""),"Sahaba Karam ki fazilat")</f>
        <v>Sahaba Karam ki fazilat</v>
      </c>
      <c r="W235" s="10" t="str">
        <f>IFERROR(__xludf.DUMMYFUNCTION("""COMPUTED_VALUE"""),"Haqooq Alah aur Sahaba Karam")</f>
        <v>Haqooq Alah aur Sahaba Karam</v>
      </c>
      <c r="X235" s="10">
        <f>IFERROR(__xludf.DUMMYFUNCTION("""COMPUTED_VALUE"""),6.0)</f>
        <v>6</v>
      </c>
      <c r="Y235" s="10">
        <f>IFERROR(__xludf.DUMMYFUNCTION("""COMPUTED_VALUE"""),6.0)</f>
        <v>6</v>
      </c>
      <c r="Z235" s="10">
        <f>IFERROR(__xludf.DUMMYFUNCTION("""COMPUTED_VALUE"""),5.0)</f>
        <v>5</v>
      </c>
      <c r="AA235" s="10">
        <f>IFERROR(__xludf.DUMMYFUNCTION("""COMPUTED_VALUE"""),5.0)</f>
        <v>5</v>
      </c>
      <c r="AB235" s="10">
        <f>IFERROR(__xludf.DUMMYFUNCTION("""COMPUTED_VALUE"""),5.0)</f>
        <v>5</v>
      </c>
      <c r="AC235" s="10">
        <f>IFERROR(__xludf.DUMMYFUNCTION("""COMPUTED_VALUE"""),5.0)</f>
        <v>5</v>
      </c>
      <c r="AD235" s="10">
        <f>IFERROR(__xludf.DUMMYFUNCTION("""COMPUTED_VALUE"""),4.0)</f>
        <v>4</v>
      </c>
      <c r="AE235" s="10">
        <f>IFERROR(__xludf.DUMMYFUNCTION("""COMPUTED_VALUE"""),4.0)</f>
        <v>4</v>
      </c>
      <c r="AF235" s="10">
        <f>IFERROR(__xludf.DUMMYFUNCTION("""COMPUTED_VALUE"""),0.0)</f>
        <v>0</v>
      </c>
      <c r="AG235" s="10">
        <f>IFERROR(__xludf.DUMMYFUNCTION("""COMPUTED_VALUE"""),5.0)</f>
        <v>5</v>
      </c>
      <c r="AH235" s="10">
        <f>IFERROR(__xludf.DUMMYFUNCTION("""COMPUTED_VALUE"""),0.0)</f>
        <v>0</v>
      </c>
      <c r="AI235" s="10">
        <f>IFERROR(__xludf.DUMMYFUNCTION("""COMPUTED_VALUE"""),7.0)</f>
        <v>7</v>
      </c>
      <c r="AJ235" s="11" t="str">
        <f>IFERROR(__xludf.DUMMYFUNCTION("""COMPUTED_VALUE"""),"https://drive.google.com/open?id=10_GsRL5PMmbvyvAOOqWjNTDBjymhVjrE")</f>
        <v>https://drive.google.com/open?id=10_GsRL5PMmbvyvAOOqWjNTDBjymhVjrE</v>
      </c>
      <c r="AK235" s="12"/>
      <c r="AL235" s="12"/>
      <c r="AM235" s="12"/>
      <c r="AN235" s="12" t="str">
        <f>IFERROR(__xludf.DUMMYFUNCTION("""COMPUTED_VALUE"""),"1st week")</f>
        <v>1st week</v>
      </c>
      <c r="AO235" s="13">
        <v>1.0</v>
      </c>
      <c r="AX235" s="13">
        <v>1.0</v>
      </c>
    </row>
    <row r="236">
      <c r="A236" s="8">
        <v>235.0</v>
      </c>
      <c r="B236" s="9">
        <f>IFERROR(__xludf.DUMMYFUNCTION("""COMPUTED_VALUE"""),45794.2033185301)</f>
        <v>45794.20332</v>
      </c>
      <c r="C236" s="10" t="str">
        <f>IFERROR(__xludf.DUMMYFUNCTION("""COMPUTED_VALUE"""),"Asim munir ")</f>
        <v>Asim munir </v>
      </c>
      <c r="D236" s="10" t="str">
        <f>IFERROR(__xludf.DUMMYFUNCTION("""COMPUTED_VALUE"""),"03005787199")</f>
        <v>03005787199</v>
      </c>
      <c r="E236" s="10" t="str">
        <f>IFERROR(__xludf.DUMMYFUNCTION("""COMPUTED_VALUE"""),"Jamia Masjid Haji Muhammad Din Gujrat")</f>
        <v>Jamia Masjid Haji Muhammad Din Gujrat</v>
      </c>
      <c r="F236" s="10" t="str">
        <f>IFERROR(__xludf.DUMMYFUNCTION("""COMPUTED_VALUE"""),"QvDJF")</f>
        <v>QvDJF</v>
      </c>
      <c r="G236" s="10" t="str">
        <f>IFERROR(__xludf.DUMMYFUNCTION("""COMPUTED_VALUE"""),"No")</f>
        <v>No</v>
      </c>
      <c r="H236" s="10"/>
      <c r="I236" s="10"/>
      <c r="J236" s="10"/>
      <c r="K236" s="10">
        <f>IFERROR(__xludf.DUMMYFUNCTION("""COMPUTED_VALUE"""),3.0)</f>
        <v>3</v>
      </c>
      <c r="L236" s="10">
        <f>IFERROR(__xludf.DUMMYFUNCTION("""COMPUTED_VALUE"""),1.0)</f>
        <v>1</v>
      </c>
      <c r="M236" s="10">
        <f>IFERROR(__xludf.DUMMYFUNCTION("""COMPUTED_VALUE"""),3.0)</f>
        <v>3</v>
      </c>
      <c r="N236" s="10">
        <f>IFERROR(__xludf.DUMMYFUNCTION("""COMPUTED_VALUE"""),3.0)</f>
        <v>3</v>
      </c>
      <c r="O236" s="10">
        <f>IFERROR(__xludf.DUMMYFUNCTION("""COMPUTED_VALUE"""),0.0)</f>
        <v>0</v>
      </c>
      <c r="P236" s="10">
        <f>IFERROR(__xludf.DUMMYFUNCTION("""COMPUTED_VALUE"""),0.0)</f>
        <v>0</v>
      </c>
      <c r="Q236" s="10" t="str">
        <f>IFERROR(__xludf.DUMMYFUNCTION("""COMPUTED_VALUE"""),"No")</f>
        <v>No</v>
      </c>
      <c r="R236" s="10" t="str">
        <f>IFERROR(__xludf.DUMMYFUNCTION("""COMPUTED_VALUE"""),"No")</f>
        <v>No</v>
      </c>
      <c r="S236" s="10" t="str">
        <f>IFERROR(__xludf.DUMMYFUNCTION("""COMPUTED_VALUE"""),"No")</f>
        <v>No</v>
      </c>
      <c r="T236" s="10">
        <f>IFERROR(__xludf.DUMMYFUNCTION("""COMPUTED_VALUE"""),2.0)</f>
        <v>2</v>
      </c>
      <c r="U236" s="10">
        <f>IFERROR(__xludf.DUMMYFUNCTION("""COMPUTED_VALUE"""),3.0)</f>
        <v>3</v>
      </c>
      <c r="V236" s="10" t="str">
        <f>IFERROR(__xludf.DUMMYFUNCTION("""COMPUTED_VALUE"""),"جنگ بندی کے حوالے سے")</f>
        <v>جنگ بندی کے حوالے سے</v>
      </c>
      <c r="W236" s="10" t="str">
        <f>IFERROR(__xludf.DUMMYFUNCTION("""COMPUTED_VALUE"""),", دشمن نے بزدلانہ حملہ کیا اور پاکستان نے بھرپور جواب دیا")</f>
        <v>, دشمن نے بزدلانہ حملہ کیا اور پاکستان نے بھرپور جواب دیا</v>
      </c>
      <c r="X236" s="10">
        <f>IFERROR(__xludf.DUMMYFUNCTION("""COMPUTED_VALUE"""),5.0)</f>
        <v>5</v>
      </c>
      <c r="Y236" s="10">
        <f>IFERROR(__xludf.DUMMYFUNCTION("""COMPUTED_VALUE"""),10.0)</f>
        <v>10</v>
      </c>
      <c r="Z236" s="10">
        <f>IFERROR(__xludf.DUMMYFUNCTION("""COMPUTED_VALUE"""),8.0)</f>
        <v>8</v>
      </c>
      <c r="AA236" s="10">
        <f>IFERROR(__xludf.DUMMYFUNCTION("""COMPUTED_VALUE"""),7.0)</f>
        <v>7</v>
      </c>
      <c r="AB236" s="10">
        <f>IFERROR(__xludf.DUMMYFUNCTION("""COMPUTED_VALUE"""),10.0)</f>
        <v>10</v>
      </c>
      <c r="AC236" s="10">
        <f>IFERROR(__xludf.DUMMYFUNCTION("""COMPUTED_VALUE"""),8.0)</f>
        <v>8</v>
      </c>
      <c r="AD236" s="10">
        <f>IFERROR(__xludf.DUMMYFUNCTION("""COMPUTED_VALUE"""),5.0)</f>
        <v>5</v>
      </c>
      <c r="AE236" s="10">
        <f>IFERROR(__xludf.DUMMYFUNCTION("""COMPUTED_VALUE"""),6.0)</f>
        <v>6</v>
      </c>
      <c r="AF236" s="10">
        <f>IFERROR(__xludf.DUMMYFUNCTION("""COMPUTED_VALUE"""),7.0)</f>
        <v>7</v>
      </c>
      <c r="AG236" s="10">
        <f>IFERROR(__xludf.DUMMYFUNCTION("""COMPUTED_VALUE"""),10.0)</f>
        <v>10</v>
      </c>
      <c r="AH236" s="10">
        <f>IFERROR(__xludf.DUMMYFUNCTION("""COMPUTED_VALUE"""),0.0)</f>
        <v>0</v>
      </c>
      <c r="AI236" s="10">
        <f>IFERROR(__xludf.DUMMYFUNCTION("""COMPUTED_VALUE"""),8.0)</f>
        <v>8</v>
      </c>
      <c r="AJ236" s="11" t="str">
        <f>IFERROR(__xludf.DUMMYFUNCTION("""COMPUTED_VALUE"""),"https://drive.google.com/open?id=1mphQ80j4VOoft3GEPjfKt69wre406xJi")</f>
        <v>https://drive.google.com/open?id=1mphQ80j4VOoft3GEPjfKt69wre406xJi</v>
      </c>
      <c r="AK236" s="12" t="str">
        <f>IFERROR(__xludf.DUMMYFUNCTION("""COMPUTED_VALUE"""),"No")</f>
        <v>No</v>
      </c>
      <c r="AL236" s="12"/>
      <c r="AM236" s="12"/>
      <c r="AN236" s="12" t="str">
        <f>IFERROR(__xludf.DUMMYFUNCTION("""COMPUTED_VALUE"""),"2nd week")</f>
        <v>2nd week</v>
      </c>
      <c r="AO236" s="13" t="s">
        <v>4</v>
      </c>
      <c r="AX236" s="13"/>
    </row>
    <row r="237">
      <c r="A237" s="8">
        <v>236.0</v>
      </c>
      <c r="B237" s="9">
        <f>IFERROR(__xludf.DUMMYFUNCTION("""COMPUTED_VALUE"""),45794.42569945602)</f>
        <v>45794.4257</v>
      </c>
      <c r="C237" s="10" t="str">
        <f>IFERROR(__xludf.DUMMYFUNCTION("""COMPUTED_VALUE"""),"Asim munir ")</f>
        <v>Asim munir </v>
      </c>
      <c r="D237" s="10" t="str">
        <f>IFERROR(__xludf.DUMMYFUNCTION("""COMPUTED_VALUE"""),"03005787199")</f>
        <v>03005787199</v>
      </c>
      <c r="E237" s="10" t="str">
        <f>IFERROR(__xludf.DUMMYFUNCTION("""COMPUTED_VALUE"""),"Jamia Masjid Noor Eman Wali Kashmir Bazar Lahore")</f>
        <v>Jamia Masjid Noor Eman Wali Kashmir Bazar Lahore</v>
      </c>
      <c r="F237" s="10" t="str">
        <f>IFERROR(__xludf.DUMMYFUNCTION("""COMPUTED_VALUE"""),"tnjaz")</f>
        <v>tnjaz</v>
      </c>
      <c r="G237" s="10" t="str">
        <f>IFERROR(__xludf.DUMMYFUNCTION("""COMPUTED_VALUE"""),"Yes")</f>
        <v>Yes</v>
      </c>
      <c r="H237" s="10">
        <f>IFERROR(__xludf.DUMMYFUNCTION("""COMPUTED_VALUE"""),8.0)</f>
        <v>8</v>
      </c>
      <c r="I237" s="10">
        <f>IFERROR(__xludf.DUMMYFUNCTION("""COMPUTED_VALUE"""),2.0)</f>
        <v>2</v>
      </c>
      <c r="J237" s="10">
        <f>IFERROR(__xludf.DUMMYFUNCTION("""COMPUTED_VALUE"""),8.0)</f>
        <v>8</v>
      </c>
      <c r="K237" s="10">
        <f>IFERROR(__xludf.DUMMYFUNCTION("""COMPUTED_VALUE"""),5.0)</f>
        <v>5</v>
      </c>
      <c r="L237" s="10">
        <f>IFERROR(__xludf.DUMMYFUNCTION("""COMPUTED_VALUE"""),3.0)</f>
        <v>3</v>
      </c>
      <c r="M237" s="10">
        <f>IFERROR(__xludf.DUMMYFUNCTION("""COMPUTED_VALUE"""),4.0)</f>
        <v>4</v>
      </c>
      <c r="N237" s="10">
        <f>IFERROR(__xludf.DUMMYFUNCTION("""COMPUTED_VALUE"""),2.0)</f>
        <v>2</v>
      </c>
      <c r="O237" s="10">
        <f>IFERROR(__xludf.DUMMYFUNCTION("""COMPUTED_VALUE"""),5.0)</f>
        <v>5</v>
      </c>
      <c r="P237" s="10">
        <f>IFERROR(__xludf.DUMMYFUNCTION("""COMPUTED_VALUE"""),5.0)</f>
        <v>5</v>
      </c>
      <c r="Q237" s="10" t="str">
        <f>IFERROR(__xludf.DUMMYFUNCTION("""COMPUTED_VALUE"""),"No")</f>
        <v>No</v>
      </c>
      <c r="R237" s="10" t="str">
        <f>IFERROR(__xludf.DUMMYFUNCTION("""COMPUTED_VALUE"""),"No")</f>
        <v>No</v>
      </c>
      <c r="S237" s="10" t="str">
        <f>IFERROR(__xludf.DUMMYFUNCTION("""COMPUTED_VALUE"""),"No")</f>
        <v>No</v>
      </c>
      <c r="T237" s="10">
        <f>IFERROR(__xludf.DUMMYFUNCTION("""COMPUTED_VALUE"""),0.0)</f>
        <v>0</v>
      </c>
      <c r="U237" s="10">
        <f>IFERROR(__xludf.DUMMYFUNCTION("""COMPUTED_VALUE"""),1.0)</f>
        <v>1</v>
      </c>
      <c r="V237" s="10" t="str">
        <f>IFERROR(__xludf.DUMMYFUNCTION("""COMPUTED_VALUE"""),"اللہ پاک جسے بخشتا ہے اسے نیکی کی توفیق عطا کرتا ہے")</f>
        <v>اللہ پاک جسے بخشتا ہے اسے نیکی کی توفیق عطا کرتا ہے</v>
      </c>
      <c r="W237" s="10" t="str">
        <f>IFERROR(__xludf.DUMMYFUNCTION("""COMPUTED_VALUE"""),"اللہ پاک جسے بخشا ہے اسے نیکی کی توفیق عطا کرتا ہے نیکی کی ہر صورت میں جیسا کہ مثال کے طور پر نماز روزہ زکوۃ اور غریبوں کی مدد کرنا کہ توفیق عطا کرتا ہے")</f>
        <v>اللہ پاک جسے بخشا ہے اسے نیکی کی توفیق عطا کرتا ہے نیکی کی ہر صورت میں جیسا کہ مثال کے طور پر نماز روزہ زکوۃ اور غریبوں کی مدد کرنا کہ توفیق عطا کرتا ہے</v>
      </c>
      <c r="X237" s="10">
        <f>IFERROR(__xludf.DUMMYFUNCTION("""COMPUTED_VALUE"""),5.0)</f>
        <v>5</v>
      </c>
      <c r="Y237" s="10">
        <f>IFERROR(__xludf.DUMMYFUNCTION("""COMPUTED_VALUE"""),2.0)</f>
        <v>2</v>
      </c>
      <c r="Z237" s="10">
        <f>IFERROR(__xludf.DUMMYFUNCTION("""COMPUTED_VALUE"""),4.0)</f>
        <v>4</v>
      </c>
      <c r="AA237" s="10">
        <f>IFERROR(__xludf.DUMMYFUNCTION("""COMPUTED_VALUE"""),6.0)</f>
        <v>6</v>
      </c>
      <c r="AB237" s="10">
        <f>IFERROR(__xludf.DUMMYFUNCTION("""COMPUTED_VALUE"""),5.0)</f>
        <v>5</v>
      </c>
      <c r="AC237" s="10">
        <f>IFERROR(__xludf.DUMMYFUNCTION("""COMPUTED_VALUE"""),1.0)</f>
        <v>1</v>
      </c>
      <c r="AD237" s="10">
        <f>IFERROR(__xludf.DUMMYFUNCTION("""COMPUTED_VALUE"""),0.0)</f>
        <v>0</v>
      </c>
      <c r="AE237" s="10">
        <f>IFERROR(__xludf.DUMMYFUNCTION("""COMPUTED_VALUE"""),2.0)</f>
        <v>2</v>
      </c>
      <c r="AF237" s="10">
        <f>IFERROR(__xludf.DUMMYFUNCTION("""COMPUTED_VALUE"""),10.0)</f>
        <v>10</v>
      </c>
      <c r="AG237" s="10">
        <f>IFERROR(__xludf.DUMMYFUNCTION("""COMPUTED_VALUE"""),8.0)</f>
        <v>8</v>
      </c>
      <c r="AH237" s="10">
        <f>IFERROR(__xludf.DUMMYFUNCTION("""COMPUTED_VALUE"""),0.0)</f>
        <v>0</v>
      </c>
      <c r="AI237" s="10">
        <f>IFERROR(__xludf.DUMMYFUNCTION("""COMPUTED_VALUE"""),6.0)</f>
        <v>6</v>
      </c>
      <c r="AJ237" s="11" t="str">
        <f>IFERROR(__xludf.DUMMYFUNCTION("""COMPUTED_VALUE"""),"https://drive.google.com/open?id=1LCSsaZBoNjyIycgEL5JrJ6fS-1CmK7m_")</f>
        <v>https://drive.google.com/open?id=1LCSsaZBoNjyIycgEL5JrJ6fS-1CmK7m_</v>
      </c>
      <c r="AK237" s="12" t="str">
        <f>IFERROR(__xludf.DUMMYFUNCTION("""COMPUTED_VALUE"""),"No")</f>
        <v>No</v>
      </c>
      <c r="AL237" s="12" t="str">
        <f>IFERROR(__xludf.DUMMYFUNCTION("""COMPUTED_VALUE"""),"Yes")</f>
        <v>Yes</v>
      </c>
      <c r="AM237" s="15">
        <f>IFERROR(__xludf.DUMMYFUNCTION("""COMPUTED_VALUE"""),0.9)</f>
        <v>0.9</v>
      </c>
      <c r="AN237" s="12" t="str">
        <f>IFERROR(__xludf.DUMMYFUNCTION("""COMPUTED_VALUE"""),"4th week")</f>
        <v>4th week</v>
      </c>
      <c r="AO237" s="13">
        <v>4.0</v>
      </c>
      <c r="AX237" s="13">
        <v>4.0</v>
      </c>
    </row>
    <row r="238">
      <c r="A238" s="8">
        <v>237.0</v>
      </c>
      <c r="B238" s="9">
        <f>IFERROR(__xludf.DUMMYFUNCTION("""COMPUTED_VALUE"""),45794.66686309028)</f>
        <v>45794.66686</v>
      </c>
      <c r="C238" s="10" t="str">
        <f>IFERROR(__xludf.DUMMYFUNCTION("""COMPUTED_VALUE"""),"Sulaman asghar ")</f>
        <v>Sulaman asghar </v>
      </c>
      <c r="D238" s="10" t="str">
        <f>IFERROR(__xludf.DUMMYFUNCTION("""COMPUTED_VALUE"""),"03126136070")</f>
        <v>03126136070</v>
      </c>
      <c r="E238" s="10" t="str">
        <f>IFERROR(__xludf.DUMMYFUNCTION("""COMPUTED_VALUE"""),"شاہ جانگیر مسجد گجرات")</f>
        <v>شاہ جانگیر مسجد گجرات</v>
      </c>
      <c r="F238" s="10" t="str">
        <f>IFERROR(__xludf.DUMMYFUNCTION("""COMPUTED_VALUE"""),"Cnztw")</f>
        <v>Cnztw</v>
      </c>
      <c r="G238" s="10" t="str">
        <f>IFERROR(__xludf.DUMMYFUNCTION("""COMPUTED_VALUE"""),"Yes")</f>
        <v>Yes</v>
      </c>
      <c r="H238" s="10">
        <f>IFERROR(__xludf.DUMMYFUNCTION("""COMPUTED_VALUE"""),0.0)</f>
        <v>0</v>
      </c>
      <c r="I238" s="10">
        <f>IFERROR(__xludf.DUMMYFUNCTION("""COMPUTED_VALUE"""),10.0)</f>
        <v>10</v>
      </c>
      <c r="J238" s="10">
        <f>IFERROR(__xludf.DUMMYFUNCTION("""COMPUTED_VALUE"""),0.0)</f>
        <v>0</v>
      </c>
      <c r="K238" s="10">
        <f>IFERROR(__xludf.DUMMYFUNCTION("""COMPUTED_VALUE"""),0.0)</f>
        <v>0</v>
      </c>
      <c r="L238" s="10">
        <f>IFERROR(__xludf.DUMMYFUNCTION("""COMPUTED_VALUE"""),0.0)</f>
        <v>0</v>
      </c>
      <c r="M238" s="10">
        <f>IFERROR(__xludf.DUMMYFUNCTION("""COMPUTED_VALUE"""),0.0)</f>
        <v>0</v>
      </c>
      <c r="N238" s="10">
        <f>IFERROR(__xludf.DUMMYFUNCTION("""COMPUTED_VALUE"""),0.0)</f>
        <v>0</v>
      </c>
      <c r="O238" s="10">
        <f>IFERROR(__xludf.DUMMYFUNCTION("""COMPUTED_VALUE"""),0.0)</f>
        <v>0</v>
      </c>
      <c r="P238" s="10">
        <f>IFERROR(__xludf.DUMMYFUNCTION("""COMPUTED_VALUE"""),0.0)</f>
        <v>0</v>
      </c>
      <c r="Q238" s="10" t="str">
        <f>IFERROR(__xludf.DUMMYFUNCTION("""COMPUTED_VALUE"""),"No")</f>
        <v>No</v>
      </c>
      <c r="R238" s="10" t="str">
        <f>IFERROR(__xludf.DUMMYFUNCTION("""COMPUTED_VALUE"""),"No")</f>
        <v>No</v>
      </c>
      <c r="S238" s="10" t="str">
        <f>IFERROR(__xludf.DUMMYFUNCTION("""COMPUTED_VALUE"""),"No")</f>
        <v>No</v>
      </c>
      <c r="T238" s="10">
        <f>IFERROR(__xludf.DUMMYFUNCTION("""COMPUTED_VALUE"""),0.0)</f>
        <v>0</v>
      </c>
      <c r="U238" s="10">
        <f>IFERROR(__xludf.DUMMYFUNCTION("""COMPUTED_VALUE"""),0.0)</f>
        <v>0</v>
      </c>
      <c r="V238" s="10" t="str">
        <f>IFERROR(__xludf.DUMMYFUNCTION("""COMPUTED_VALUE"""),"ذوالقعد اور حج کے اور مکہ کی حرمت")</f>
        <v>ذوالقعد اور حج کے اور مکہ کی حرمت</v>
      </c>
      <c r="W238" s="10" t="str">
        <f>IFERROR(__xludf.DUMMYFUNCTION("""COMPUTED_VALUE"""),"ذوالقعد کی فضیلت حج اور مکہ کی حرمت پر بیان")</f>
        <v>ذوالقعد کی فضیلت حج اور مکہ کی حرمت پر بیان</v>
      </c>
      <c r="X238" s="10">
        <f>IFERROR(__xludf.DUMMYFUNCTION("""COMPUTED_VALUE"""),9.0)</f>
        <v>9</v>
      </c>
      <c r="Y238" s="10">
        <f>IFERROR(__xludf.DUMMYFUNCTION("""COMPUTED_VALUE"""),1.0)</f>
        <v>1</v>
      </c>
      <c r="Z238" s="10">
        <f>IFERROR(__xludf.DUMMYFUNCTION("""COMPUTED_VALUE"""),1.0)</f>
        <v>1</v>
      </c>
      <c r="AA238" s="10">
        <f>IFERROR(__xludf.DUMMYFUNCTION("""COMPUTED_VALUE"""),0.0)</f>
        <v>0</v>
      </c>
      <c r="AB238" s="10">
        <f>IFERROR(__xludf.DUMMYFUNCTION("""COMPUTED_VALUE"""),0.0)</f>
        <v>0</v>
      </c>
      <c r="AC238" s="10">
        <f>IFERROR(__xludf.DUMMYFUNCTION("""COMPUTED_VALUE"""),0.0)</f>
        <v>0</v>
      </c>
      <c r="AD238" s="10">
        <f>IFERROR(__xludf.DUMMYFUNCTION("""COMPUTED_VALUE"""),0.0)</f>
        <v>0</v>
      </c>
      <c r="AE238" s="10">
        <f>IFERROR(__xludf.DUMMYFUNCTION("""COMPUTED_VALUE"""),0.0)</f>
        <v>0</v>
      </c>
      <c r="AF238" s="10">
        <f>IFERROR(__xludf.DUMMYFUNCTION("""COMPUTED_VALUE"""),9.0)</f>
        <v>9</v>
      </c>
      <c r="AG238" s="10">
        <f>IFERROR(__xludf.DUMMYFUNCTION("""COMPUTED_VALUE"""),9.0)</f>
        <v>9</v>
      </c>
      <c r="AH238" s="10">
        <f>IFERROR(__xludf.DUMMYFUNCTION("""COMPUTED_VALUE"""),0.0)</f>
        <v>0</v>
      </c>
      <c r="AI238" s="10">
        <f>IFERROR(__xludf.DUMMYFUNCTION("""COMPUTED_VALUE"""),9.0)</f>
        <v>9</v>
      </c>
      <c r="AJ238" s="11" t="str">
        <f>IFERROR(__xludf.DUMMYFUNCTION("""COMPUTED_VALUE"""),"https://drive.google.com/open?id=1K_ibw9CGqaaxVCrdLMcUX4eb8-ofFyxE")</f>
        <v>https://drive.google.com/open?id=1K_ibw9CGqaaxVCrdLMcUX4eb8-ofFyxE</v>
      </c>
      <c r="AK238" s="12"/>
      <c r="AL238" s="12" t="str">
        <f>IFERROR(__xludf.DUMMYFUNCTION("""COMPUTED_VALUE"""),"Yes")</f>
        <v>Yes</v>
      </c>
      <c r="AM238" s="15">
        <f>IFERROR(__xludf.DUMMYFUNCTION("""COMPUTED_VALUE"""),0.0)</f>
        <v>0</v>
      </c>
      <c r="AN238" s="12" t="str">
        <f>IFERROR(__xludf.DUMMYFUNCTION("""COMPUTED_VALUE"""),"3rd week")</f>
        <v>3rd week</v>
      </c>
      <c r="AO238" s="13">
        <v>3.0</v>
      </c>
      <c r="AX238" s="13"/>
    </row>
    <row r="239">
      <c r="A239" s="8">
        <v>238.0</v>
      </c>
      <c r="B239" s="9">
        <f>IFERROR(__xludf.DUMMYFUNCTION("""COMPUTED_VALUE"""),45795.42329092593)</f>
        <v>45795.42329</v>
      </c>
      <c r="C239" s="10" t="str">
        <f>IFERROR(__xludf.DUMMYFUNCTION("""COMPUTED_VALUE"""),"Sulaman asghar")</f>
        <v>Sulaman asghar</v>
      </c>
      <c r="D239" s="10" t="str">
        <f>IFERROR(__xludf.DUMMYFUNCTION("""COMPUTED_VALUE"""),"03126136070")</f>
        <v>03126136070</v>
      </c>
      <c r="E239" s="10" t="str">
        <f>IFERROR(__xludf.DUMMYFUNCTION("""COMPUTED_VALUE"""),"Jamia masjid ghosia Pakistan chok Gujrat ")</f>
        <v>Jamia masjid ghosia Pakistan chok Gujrat </v>
      </c>
      <c r="F239" s="10" t="str">
        <f>IFERROR(__xludf.DUMMYFUNCTION("""COMPUTED_VALUE"""),"XYHJE")</f>
        <v>XYHJE</v>
      </c>
      <c r="G239" s="10" t="str">
        <f>IFERROR(__xludf.DUMMYFUNCTION("""COMPUTED_VALUE"""),"Yes")</f>
        <v>Yes</v>
      </c>
      <c r="H239" s="10">
        <f>IFERROR(__xludf.DUMMYFUNCTION("""COMPUTED_VALUE"""),0.0)</f>
        <v>0</v>
      </c>
      <c r="I239" s="10">
        <f>IFERROR(__xludf.DUMMYFUNCTION("""COMPUTED_VALUE"""),10.0)</f>
        <v>10</v>
      </c>
      <c r="J239" s="10">
        <f>IFERROR(__xludf.DUMMYFUNCTION("""COMPUTED_VALUE"""),0.0)</f>
        <v>0</v>
      </c>
      <c r="K239" s="10">
        <f>IFERROR(__xludf.DUMMYFUNCTION("""COMPUTED_VALUE"""),0.0)</f>
        <v>0</v>
      </c>
      <c r="L239" s="10">
        <f>IFERROR(__xludf.DUMMYFUNCTION("""COMPUTED_VALUE"""),0.0)</f>
        <v>0</v>
      </c>
      <c r="M239" s="10">
        <f>IFERROR(__xludf.DUMMYFUNCTION("""COMPUTED_VALUE"""),0.0)</f>
        <v>0</v>
      </c>
      <c r="N239" s="10">
        <f>IFERROR(__xludf.DUMMYFUNCTION("""COMPUTED_VALUE"""),0.0)</f>
        <v>0</v>
      </c>
      <c r="O239" s="10">
        <f>IFERROR(__xludf.DUMMYFUNCTION("""COMPUTED_VALUE"""),0.0)</f>
        <v>0</v>
      </c>
      <c r="P239" s="10">
        <f>IFERROR(__xludf.DUMMYFUNCTION("""COMPUTED_VALUE"""),0.0)</f>
        <v>0</v>
      </c>
      <c r="Q239" s="10" t="str">
        <f>IFERROR(__xludf.DUMMYFUNCTION("""COMPUTED_VALUE"""),"No")</f>
        <v>No</v>
      </c>
      <c r="R239" s="10" t="str">
        <f>IFERROR(__xludf.DUMMYFUNCTION("""COMPUTED_VALUE"""),"No")</f>
        <v>No</v>
      </c>
      <c r="S239" s="10" t="str">
        <f>IFERROR(__xludf.DUMMYFUNCTION("""COMPUTED_VALUE"""),"No")</f>
        <v>No</v>
      </c>
      <c r="T239" s="10">
        <f>IFERROR(__xludf.DUMMYFUNCTION("""COMPUTED_VALUE"""),0.0)</f>
        <v>0</v>
      </c>
      <c r="U239" s="10">
        <f>IFERROR(__xludf.DUMMYFUNCTION("""COMPUTED_VALUE"""),0.0)</f>
        <v>0</v>
      </c>
      <c r="V239" s="10" t="str">
        <f>IFERROR(__xludf.DUMMYFUNCTION("""COMPUTED_VALUE"""),"حالات حاضرہ")</f>
        <v>حالات حاضرہ</v>
      </c>
      <c r="W239" s="10" t="str">
        <f>IFERROR(__xludf.DUMMYFUNCTION("""COMPUTED_VALUE"""),"حق اور باطل میں فرق ")</f>
        <v>حق اور باطل میں فرق </v>
      </c>
      <c r="X239" s="10">
        <f>IFERROR(__xludf.DUMMYFUNCTION("""COMPUTED_VALUE"""),0.0)</f>
        <v>0</v>
      </c>
      <c r="Y239" s="10">
        <f>IFERROR(__xludf.DUMMYFUNCTION("""COMPUTED_VALUE"""),0.0)</f>
        <v>0</v>
      </c>
      <c r="Z239" s="10">
        <f>IFERROR(__xludf.DUMMYFUNCTION("""COMPUTED_VALUE"""),0.0)</f>
        <v>0</v>
      </c>
      <c r="AA239" s="10">
        <f>IFERROR(__xludf.DUMMYFUNCTION("""COMPUTED_VALUE"""),5.0)</f>
        <v>5</v>
      </c>
      <c r="AB239" s="10">
        <f>IFERROR(__xludf.DUMMYFUNCTION("""COMPUTED_VALUE"""),5.0)</f>
        <v>5</v>
      </c>
      <c r="AC239" s="10">
        <f>IFERROR(__xludf.DUMMYFUNCTION("""COMPUTED_VALUE"""),1.0)</f>
        <v>1</v>
      </c>
      <c r="AD239" s="10">
        <f>IFERROR(__xludf.DUMMYFUNCTION("""COMPUTED_VALUE"""),0.0)</f>
        <v>0</v>
      </c>
      <c r="AE239" s="10">
        <f>IFERROR(__xludf.DUMMYFUNCTION("""COMPUTED_VALUE"""),2.0)</f>
        <v>2</v>
      </c>
      <c r="AF239" s="10">
        <f>IFERROR(__xludf.DUMMYFUNCTION("""COMPUTED_VALUE"""),7.0)</f>
        <v>7</v>
      </c>
      <c r="AG239" s="10">
        <f>IFERROR(__xludf.DUMMYFUNCTION("""COMPUTED_VALUE"""),7.0)</f>
        <v>7</v>
      </c>
      <c r="AH239" s="10">
        <f>IFERROR(__xludf.DUMMYFUNCTION("""COMPUTED_VALUE"""),1.0)</f>
        <v>1</v>
      </c>
      <c r="AI239" s="10">
        <f>IFERROR(__xludf.DUMMYFUNCTION("""COMPUTED_VALUE"""),8.0)</f>
        <v>8</v>
      </c>
      <c r="AJ239" s="11" t="str">
        <f>IFERROR(__xludf.DUMMYFUNCTION("""COMPUTED_VALUE"""),"https://drive.google.com/open?id=1xhzL_im0vJmduAOCj-o4URUAMAN7a9jh")</f>
        <v>https://drive.google.com/open?id=1xhzL_im0vJmduAOCj-o4URUAMAN7a9jh</v>
      </c>
      <c r="AK239" s="12"/>
      <c r="AL239" s="12" t="str">
        <f>IFERROR(__xludf.DUMMYFUNCTION("""COMPUTED_VALUE"""),"Yes")</f>
        <v>Yes</v>
      </c>
      <c r="AM239" s="15">
        <f>IFERROR(__xludf.DUMMYFUNCTION("""COMPUTED_VALUE"""),0.0)</f>
        <v>0</v>
      </c>
      <c r="AN239" s="12" t="str">
        <f>IFERROR(__xludf.DUMMYFUNCTION("""COMPUTED_VALUE"""),"3rd week")</f>
        <v>3rd week</v>
      </c>
      <c r="AO239" s="13">
        <v>3.0</v>
      </c>
      <c r="AX239" s="13"/>
    </row>
    <row r="240">
      <c r="A240" s="8">
        <v>239.0</v>
      </c>
      <c r="B240" s="9">
        <f>IFERROR(__xludf.DUMMYFUNCTION("""COMPUTED_VALUE"""),45796.58796376157)</f>
        <v>45796.58796</v>
      </c>
      <c r="C240" s="10" t="str">
        <f>IFERROR(__xludf.DUMMYFUNCTION("""COMPUTED_VALUE"""),"Sulaman asghar ")</f>
        <v>Sulaman asghar </v>
      </c>
      <c r="D240" s="10" t="str">
        <f>IFERROR(__xludf.DUMMYFUNCTION("""COMPUTED_VALUE"""),"03126136070")</f>
        <v>03126136070</v>
      </c>
      <c r="E240" s="10" t="str">
        <f>IFERROR(__xludf.DUMMYFUNCTION("""COMPUTED_VALUE"""),"Shah Hussein ")</f>
        <v>Shah Hussein </v>
      </c>
      <c r="F240" s="10" t="str">
        <f>IFERROR(__xludf.DUMMYFUNCTION("""COMPUTED_VALUE"""),"Eckcl")</f>
        <v>Eckcl</v>
      </c>
      <c r="G240" s="10" t="str">
        <f>IFERROR(__xludf.DUMMYFUNCTION("""COMPUTED_VALUE"""),"Yes")</f>
        <v>Yes</v>
      </c>
      <c r="H240" s="10">
        <f>IFERROR(__xludf.DUMMYFUNCTION("""COMPUTED_VALUE"""),0.0)</f>
        <v>0</v>
      </c>
      <c r="I240" s="10">
        <f>IFERROR(__xludf.DUMMYFUNCTION("""COMPUTED_VALUE"""),10.0)</f>
        <v>10</v>
      </c>
      <c r="J240" s="10">
        <f>IFERROR(__xludf.DUMMYFUNCTION("""COMPUTED_VALUE"""),0.0)</f>
        <v>0</v>
      </c>
      <c r="K240" s="10">
        <f>IFERROR(__xludf.DUMMYFUNCTION("""COMPUTED_VALUE"""),0.0)</f>
        <v>0</v>
      </c>
      <c r="L240" s="10">
        <f>IFERROR(__xludf.DUMMYFUNCTION("""COMPUTED_VALUE"""),0.0)</f>
        <v>0</v>
      </c>
      <c r="M240" s="10">
        <f>IFERROR(__xludf.DUMMYFUNCTION("""COMPUTED_VALUE"""),0.0)</f>
        <v>0</v>
      </c>
      <c r="N240" s="10">
        <f>IFERROR(__xludf.DUMMYFUNCTION("""COMPUTED_VALUE"""),0.0)</f>
        <v>0</v>
      </c>
      <c r="O240" s="10">
        <f>IFERROR(__xludf.DUMMYFUNCTION("""COMPUTED_VALUE"""),0.0)</f>
        <v>0</v>
      </c>
      <c r="P240" s="10">
        <f>IFERROR(__xludf.DUMMYFUNCTION("""COMPUTED_VALUE"""),0.0)</f>
        <v>0</v>
      </c>
      <c r="Q240" s="10" t="str">
        <f>IFERROR(__xludf.DUMMYFUNCTION("""COMPUTED_VALUE"""),"No")</f>
        <v>No</v>
      </c>
      <c r="R240" s="10" t="str">
        <f>IFERROR(__xludf.DUMMYFUNCTION("""COMPUTED_VALUE"""),"No")</f>
        <v>No</v>
      </c>
      <c r="S240" s="10" t="str">
        <f>IFERROR(__xludf.DUMMYFUNCTION("""COMPUTED_VALUE"""),"No")</f>
        <v>No</v>
      </c>
      <c r="T240" s="10">
        <f>IFERROR(__xludf.DUMMYFUNCTION("""COMPUTED_VALUE"""),0.0)</f>
        <v>0</v>
      </c>
      <c r="U240" s="10">
        <f>IFERROR(__xludf.DUMMYFUNCTION("""COMPUTED_VALUE"""),0.0)</f>
        <v>0</v>
      </c>
      <c r="V240" s="10" t="str">
        <f>IFERROR(__xludf.DUMMYFUNCTION("""COMPUTED_VALUE"""),"حج کے بارے")</f>
        <v>حج کے بارے</v>
      </c>
      <c r="W240" s="10" t="str">
        <f>IFERROR(__xludf.DUMMYFUNCTION("""COMPUTED_VALUE"""),"حج کے فضائل بیان کیے گئے ہیں ")</f>
        <v>حج کے فضائل بیان کیے گئے ہیں </v>
      </c>
      <c r="X240" s="10">
        <f>IFERROR(__xludf.DUMMYFUNCTION("""COMPUTED_VALUE"""),10.0)</f>
        <v>10</v>
      </c>
      <c r="Y240" s="10">
        <f>IFERROR(__xludf.DUMMYFUNCTION("""COMPUTED_VALUE"""),0.0)</f>
        <v>0</v>
      </c>
      <c r="Z240" s="10">
        <f>IFERROR(__xludf.DUMMYFUNCTION("""COMPUTED_VALUE"""),0.0)</f>
        <v>0</v>
      </c>
      <c r="AA240" s="10">
        <f>IFERROR(__xludf.DUMMYFUNCTION("""COMPUTED_VALUE"""),10.0)</f>
        <v>10</v>
      </c>
      <c r="AB240" s="10">
        <f>IFERROR(__xludf.DUMMYFUNCTION("""COMPUTED_VALUE"""),0.0)</f>
        <v>0</v>
      </c>
      <c r="AC240" s="10">
        <f>IFERROR(__xludf.DUMMYFUNCTION("""COMPUTED_VALUE"""),0.0)</f>
        <v>0</v>
      </c>
      <c r="AD240" s="10">
        <f>IFERROR(__xludf.DUMMYFUNCTION("""COMPUTED_VALUE"""),0.0)</f>
        <v>0</v>
      </c>
      <c r="AE240" s="10">
        <f>IFERROR(__xludf.DUMMYFUNCTION("""COMPUTED_VALUE"""),0.0)</f>
        <v>0</v>
      </c>
      <c r="AF240" s="10">
        <f>IFERROR(__xludf.DUMMYFUNCTION("""COMPUTED_VALUE"""),9.0)</f>
        <v>9</v>
      </c>
      <c r="AG240" s="10">
        <f>IFERROR(__xludf.DUMMYFUNCTION("""COMPUTED_VALUE"""),9.0)</f>
        <v>9</v>
      </c>
      <c r="AH240" s="10">
        <f>IFERROR(__xludf.DUMMYFUNCTION("""COMPUTED_VALUE"""),0.0)</f>
        <v>0</v>
      </c>
      <c r="AI240" s="10">
        <f>IFERROR(__xludf.DUMMYFUNCTION("""COMPUTED_VALUE"""),9.0)</f>
        <v>9</v>
      </c>
      <c r="AJ240" s="11" t="str">
        <f>IFERROR(__xludf.DUMMYFUNCTION("""COMPUTED_VALUE"""),"https://drive.google.com/open?id=1jMNaiZQQB18oF3jBwGg3249qqkpYMiuL")</f>
        <v>https://drive.google.com/open?id=1jMNaiZQQB18oF3jBwGg3249qqkpYMiuL</v>
      </c>
      <c r="AK240" s="12" t="str">
        <f>IFERROR(__xludf.DUMMYFUNCTION("""COMPUTED_VALUE"""),"ہمارا خطبہ نہیں پڑھا گیا")</f>
        <v>ہمارا خطبہ نہیں پڑھا گیا</v>
      </c>
      <c r="AL240" s="12" t="str">
        <f>IFERROR(__xludf.DUMMYFUNCTION("""COMPUTED_VALUE"""),"Yes")</f>
        <v>Yes</v>
      </c>
      <c r="AM240" s="15">
        <f>IFERROR(__xludf.DUMMYFUNCTION("""COMPUTED_VALUE"""),0.0)</f>
        <v>0</v>
      </c>
      <c r="AN240" s="12" t="str">
        <f>IFERROR(__xludf.DUMMYFUNCTION("""COMPUTED_VALUE"""),"3rd week")</f>
        <v>3rd week</v>
      </c>
      <c r="AO240" s="13">
        <v>3.0</v>
      </c>
      <c r="AX240" s="13"/>
    </row>
    <row r="241">
      <c r="A241" s="8">
        <v>240.0</v>
      </c>
      <c r="B241" s="9">
        <f>IFERROR(__xludf.DUMMYFUNCTION("""COMPUTED_VALUE"""),45799.201835127315)</f>
        <v>45799.20184</v>
      </c>
      <c r="C241" s="10" t="str">
        <f>IFERROR(__xludf.DUMMYFUNCTION("""COMPUTED_VALUE"""),"Asim munir ")</f>
        <v>Asim munir </v>
      </c>
      <c r="D241" s="10" t="str">
        <f>IFERROR(__xludf.DUMMYFUNCTION("""COMPUTED_VALUE"""),"03005787199")</f>
        <v>03005787199</v>
      </c>
      <c r="E241" s="10" t="str">
        <f>IFERROR(__xludf.DUMMYFUNCTION("""COMPUTED_VALUE"""),"Jamia Masjid Haji Muhammad Din Gujrat")</f>
        <v>Jamia Masjid Haji Muhammad Din Gujrat</v>
      </c>
      <c r="F241" s="10" t="str">
        <f>IFERROR(__xludf.DUMMYFUNCTION("""COMPUTED_VALUE"""),"QvDJF")</f>
        <v>QvDJF</v>
      </c>
      <c r="G241" s="10" t="str">
        <f>IFERROR(__xludf.DUMMYFUNCTION("""COMPUTED_VALUE"""),"No")</f>
        <v>No</v>
      </c>
      <c r="H241" s="10"/>
      <c r="I241" s="10"/>
      <c r="J241" s="10"/>
      <c r="K241" s="10">
        <f>IFERROR(__xludf.DUMMYFUNCTION("""COMPUTED_VALUE"""),1.0)</f>
        <v>1</v>
      </c>
      <c r="L241" s="10">
        <f>IFERROR(__xludf.DUMMYFUNCTION("""COMPUTED_VALUE"""),1.0)</f>
        <v>1</v>
      </c>
      <c r="M241" s="10">
        <f>IFERROR(__xludf.DUMMYFUNCTION("""COMPUTED_VALUE"""),5.0)</f>
        <v>5</v>
      </c>
      <c r="N241" s="10">
        <f>IFERROR(__xludf.DUMMYFUNCTION("""COMPUTED_VALUE"""),3.0)</f>
        <v>3</v>
      </c>
      <c r="O241" s="10">
        <f>IFERROR(__xludf.DUMMYFUNCTION("""COMPUTED_VALUE"""),1.0)</f>
        <v>1</v>
      </c>
      <c r="P241" s="10">
        <f>IFERROR(__xludf.DUMMYFUNCTION("""COMPUTED_VALUE"""),5.0)</f>
        <v>5</v>
      </c>
      <c r="Q241" s="10" t="str">
        <f>IFERROR(__xludf.DUMMYFUNCTION("""COMPUTED_VALUE"""),"No")</f>
        <v>No</v>
      </c>
      <c r="R241" s="10" t="str">
        <f>IFERROR(__xludf.DUMMYFUNCTION("""COMPUTED_VALUE"""),"No")</f>
        <v>No</v>
      </c>
      <c r="S241" s="10" t="str">
        <f>IFERROR(__xludf.DUMMYFUNCTION("""COMPUTED_VALUE"""),"No")</f>
        <v>No</v>
      </c>
      <c r="T241" s="10">
        <f>IFERROR(__xludf.DUMMYFUNCTION("""COMPUTED_VALUE"""),3.0)</f>
        <v>3</v>
      </c>
      <c r="U241" s="10">
        <f>IFERROR(__xludf.DUMMYFUNCTION("""COMPUTED_VALUE"""),0.0)</f>
        <v>0</v>
      </c>
      <c r="V241" s="10" t="str">
        <f>IFERROR(__xludf.DUMMYFUNCTION("""COMPUTED_VALUE"""),"جنگ بندی کے حوالے سے")</f>
        <v>جنگ بندی کے حوالے سے</v>
      </c>
      <c r="W241" s="10" t="str">
        <f>IFERROR(__xludf.DUMMYFUNCTION("""COMPUTED_VALUE"""),"دشمن نے بزدلانہ حملہ کیا اور پاکستان نے بھرپور جواب دیا یار وہی لا")</f>
        <v>دشمن نے بزدلانہ حملہ کیا اور پاکستان نے بھرپور جواب دیا یار وہی لا</v>
      </c>
      <c r="X241" s="10">
        <f>IFERROR(__xludf.DUMMYFUNCTION("""COMPUTED_VALUE"""),5.0)</f>
        <v>5</v>
      </c>
      <c r="Y241" s="10">
        <f>IFERROR(__xludf.DUMMYFUNCTION("""COMPUTED_VALUE"""),5.0)</f>
        <v>5</v>
      </c>
      <c r="Z241" s="10">
        <f>IFERROR(__xludf.DUMMYFUNCTION("""COMPUTED_VALUE"""),2.0)</f>
        <v>2</v>
      </c>
      <c r="AA241" s="10">
        <f>IFERROR(__xludf.DUMMYFUNCTION("""COMPUTED_VALUE"""),0.0)</f>
        <v>0</v>
      </c>
      <c r="AB241" s="10">
        <f>IFERROR(__xludf.DUMMYFUNCTION("""COMPUTED_VALUE"""),5.0)</f>
        <v>5</v>
      </c>
      <c r="AC241" s="10">
        <f>IFERROR(__xludf.DUMMYFUNCTION("""COMPUTED_VALUE"""),2.0)</f>
        <v>2</v>
      </c>
      <c r="AD241" s="10">
        <f>IFERROR(__xludf.DUMMYFUNCTION("""COMPUTED_VALUE"""),2.0)</f>
        <v>2</v>
      </c>
      <c r="AE241" s="10">
        <f>IFERROR(__xludf.DUMMYFUNCTION("""COMPUTED_VALUE"""),0.0)</f>
        <v>0</v>
      </c>
      <c r="AF241" s="10">
        <f>IFERROR(__xludf.DUMMYFUNCTION("""COMPUTED_VALUE"""),10.0)</f>
        <v>10</v>
      </c>
      <c r="AG241" s="10">
        <f>IFERROR(__xludf.DUMMYFUNCTION("""COMPUTED_VALUE"""),10.0)</f>
        <v>10</v>
      </c>
      <c r="AH241" s="10">
        <f>IFERROR(__xludf.DUMMYFUNCTION("""COMPUTED_VALUE"""),0.0)</f>
        <v>0</v>
      </c>
      <c r="AI241" s="10">
        <f>IFERROR(__xludf.DUMMYFUNCTION("""COMPUTED_VALUE"""),8.0)</f>
        <v>8</v>
      </c>
      <c r="AJ241" s="11" t="str">
        <f>IFERROR(__xludf.DUMMYFUNCTION("""COMPUTED_VALUE"""),"https://drive.google.com/open?id=1FbdtXTblxFDij1sNf_KkqYbv8245PbK2")</f>
        <v>https://drive.google.com/open?id=1FbdtXTblxFDij1sNf_KkqYbv8245PbK2</v>
      </c>
      <c r="AK241" s="12" t="str">
        <f>IFERROR(__xludf.DUMMYFUNCTION("""COMPUTED_VALUE"""),"No")</f>
        <v>No</v>
      </c>
      <c r="AL241" s="12"/>
      <c r="AM241" s="12"/>
      <c r="AN241" s="12" t="str">
        <f>IFERROR(__xludf.DUMMYFUNCTION("""COMPUTED_VALUE"""),"2nd week")</f>
        <v>2nd week</v>
      </c>
      <c r="AO241" s="13">
        <v>3.0</v>
      </c>
      <c r="AX241" s="13"/>
    </row>
    <row r="242">
      <c r="A242" s="8">
        <v>241.0</v>
      </c>
      <c r="B242" s="9">
        <f>IFERROR(__xludf.DUMMYFUNCTION("""COMPUTED_VALUE"""),45802.67413940972)</f>
        <v>45802.67414</v>
      </c>
      <c r="C242" s="10" t="str">
        <f>IFERROR(__xludf.DUMMYFUNCTION("""COMPUTED_VALUE"""),"Sulaman asghar ")</f>
        <v>Sulaman asghar </v>
      </c>
      <c r="D242" s="10" t="str">
        <f>IFERROR(__xludf.DUMMYFUNCTION("""COMPUTED_VALUE"""),"03126136070")</f>
        <v>03126136070</v>
      </c>
      <c r="E242" s="10" t="str">
        <f>IFERROR(__xludf.DUMMYFUNCTION("""COMPUTED_VALUE"""),"Shah hussain")</f>
        <v>Shah hussain</v>
      </c>
      <c r="F242" s="10" t="str">
        <f>IFERROR(__xludf.DUMMYFUNCTION("""COMPUTED_VALUE"""),"ECKCL")</f>
        <v>ECKCL</v>
      </c>
      <c r="G242" s="10" t="str">
        <f>IFERROR(__xludf.DUMMYFUNCTION("""COMPUTED_VALUE"""),"Yes")</f>
        <v>Yes</v>
      </c>
      <c r="H242" s="10">
        <f>IFERROR(__xludf.DUMMYFUNCTION("""COMPUTED_VALUE"""),9.0)</f>
        <v>9</v>
      </c>
      <c r="I242" s="10">
        <f>IFERROR(__xludf.DUMMYFUNCTION("""COMPUTED_VALUE"""),0.0)</f>
        <v>0</v>
      </c>
      <c r="J242" s="10">
        <f>IFERROR(__xludf.DUMMYFUNCTION("""COMPUTED_VALUE"""),9.0)</f>
        <v>9</v>
      </c>
      <c r="K242" s="10">
        <f>IFERROR(__xludf.DUMMYFUNCTION("""COMPUTED_VALUE"""),10.0)</f>
        <v>10</v>
      </c>
      <c r="L242" s="10">
        <f>IFERROR(__xludf.DUMMYFUNCTION("""COMPUTED_VALUE"""),0.0)</f>
        <v>0</v>
      </c>
      <c r="M242" s="10">
        <f>IFERROR(__xludf.DUMMYFUNCTION("""COMPUTED_VALUE"""),10.0)</f>
        <v>10</v>
      </c>
      <c r="N242" s="10">
        <f>IFERROR(__xludf.DUMMYFUNCTION("""COMPUTED_VALUE"""),0.0)</f>
        <v>0</v>
      </c>
      <c r="O242" s="10">
        <f>IFERROR(__xludf.DUMMYFUNCTION("""COMPUTED_VALUE"""),9.0)</f>
        <v>9</v>
      </c>
      <c r="P242" s="10">
        <f>IFERROR(__xludf.DUMMYFUNCTION("""COMPUTED_VALUE"""),0.0)</f>
        <v>0</v>
      </c>
      <c r="Q242" s="10" t="str">
        <f>IFERROR(__xludf.DUMMYFUNCTION("""COMPUTED_VALUE"""),"No")</f>
        <v>No</v>
      </c>
      <c r="R242" s="10" t="str">
        <f>IFERROR(__xludf.DUMMYFUNCTION("""COMPUTED_VALUE"""),"No")</f>
        <v>No</v>
      </c>
      <c r="S242" s="10" t="str">
        <f>IFERROR(__xludf.DUMMYFUNCTION("""COMPUTED_VALUE"""),"No")</f>
        <v>No</v>
      </c>
      <c r="T242" s="10">
        <f>IFERROR(__xludf.DUMMYFUNCTION("""COMPUTED_VALUE"""),0.0)</f>
        <v>0</v>
      </c>
      <c r="U242" s="10">
        <f>IFERROR(__xludf.DUMMYFUNCTION("""COMPUTED_VALUE"""),0.0)</f>
        <v>0</v>
      </c>
      <c r="V242" s="10" t="str">
        <f>IFERROR(__xludf.DUMMYFUNCTION("""COMPUTED_VALUE"""),"خواتین کے حقوق")</f>
        <v>خواتین کے حقوق</v>
      </c>
      <c r="W242" s="10" t="str">
        <f>IFERROR(__xludf.DUMMYFUNCTION("""COMPUTED_VALUE"""),"عورت ذات کے حقوق کو ادا کریں اور انکے ساتھ حسن سلوک سے پیش آئیں")</f>
        <v>عورت ذات کے حقوق کو ادا کریں اور انکے ساتھ حسن سلوک سے پیش آئیں</v>
      </c>
      <c r="X242" s="10">
        <f>IFERROR(__xludf.DUMMYFUNCTION("""COMPUTED_VALUE"""),0.0)</f>
        <v>0</v>
      </c>
      <c r="Y242" s="10">
        <f>IFERROR(__xludf.DUMMYFUNCTION("""COMPUTED_VALUE"""),10.0)</f>
        <v>10</v>
      </c>
      <c r="Z242" s="10">
        <f>IFERROR(__xludf.DUMMYFUNCTION("""COMPUTED_VALUE"""),6.0)</f>
        <v>6</v>
      </c>
      <c r="AA242" s="10">
        <f>IFERROR(__xludf.DUMMYFUNCTION("""COMPUTED_VALUE"""),6.0)</f>
        <v>6</v>
      </c>
      <c r="AB242" s="10">
        <f>IFERROR(__xludf.DUMMYFUNCTION("""COMPUTED_VALUE"""),0.0)</f>
        <v>0</v>
      </c>
      <c r="AC242" s="10">
        <f>IFERROR(__xludf.DUMMYFUNCTION("""COMPUTED_VALUE"""),0.0)</f>
        <v>0</v>
      </c>
      <c r="AD242" s="10">
        <f>IFERROR(__xludf.DUMMYFUNCTION("""COMPUTED_VALUE"""),0.0)</f>
        <v>0</v>
      </c>
      <c r="AE242" s="10">
        <f>IFERROR(__xludf.DUMMYFUNCTION("""COMPUTED_VALUE"""),0.0)</f>
        <v>0</v>
      </c>
      <c r="AF242" s="10">
        <f>IFERROR(__xludf.DUMMYFUNCTION("""COMPUTED_VALUE"""),9.0)</f>
        <v>9</v>
      </c>
      <c r="AG242" s="10">
        <f>IFERROR(__xludf.DUMMYFUNCTION("""COMPUTED_VALUE"""),9.0)</f>
        <v>9</v>
      </c>
      <c r="AH242" s="10">
        <f>IFERROR(__xludf.DUMMYFUNCTION("""COMPUTED_VALUE"""),0.0)</f>
        <v>0</v>
      </c>
      <c r="AI242" s="10">
        <f>IFERROR(__xludf.DUMMYFUNCTION("""COMPUTED_VALUE"""),9.0)</f>
        <v>9</v>
      </c>
      <c r="AJ242" s="11" t="str">
        <f>IFERROR(__xludf.DUMMYFUNCTION("""COMPUTED_VALUE"""),"https://drive.google.com/open?id=1eaEChAuGZ594tMFM49k1VdwTw_GkUZGp")</f>
        <v>https://drive.google.com/open?id=1eaEChAuGZ594tMFM49k1VdwTw_GkUZGp</v>
      </c>
      <c r="AK242" s="12"/>
      <c r="AL242" s="12" t="str">
        <f>IFERROR(__xludf.DUMMYFUNCTION("""COMPUTED_VALUE"""),"Yes")</f>
        <v>Yes</v>
      </c>
      <c r="AM242" s="15">
        <f>IFERROR(__xludf.DUMMYFUNCTION("""COMPUTED_VALUE"""),0.9)</f>
        <v>0.9</v>
      </c>
      <c r="AN242" s="12" t="str">
        <f>IFERROR(__xludf.DUMMYFUNCTION("""COMPUTED_VALUE"""),"4th week")</f>
        <v>4th week</v>
      </c>
      <c r="AO242" s="13">
        <v>4.0</v>
      </c>
      <c r="AX242" s="13"/>
    </row>
    <row r="243">
      <c r="A243" s="8">
        <v>242.0</v>
      </c>
      <c r="B243" s="9">
        <f>IFERROR(__xludf.DUMMYFUNCTION("""COMPUTED_VALUE"""),45803.37466369213)</f>
        <v>45803.37466</v>
      </c>
      <c r="C243" s="10" t="str">
        <f>IFERROR(__xludf.DUMMYFUNCTION("""COMPUTED_VALUE"""),"Muhammad Yamin Kanwal")</f>
        <v>Muhammad Yamin Kanwal</v>
      </c>
      <c r="D243" s="10" t="str">
        <f>IFERROR(__xludf.DUMMYFUNCTION("""COMPUTED_VALUE"""),"04007774537")</f>
        <v>04007774537</v>
      </c>
      <c r="E243" s="10" t="str">
        <f>IFERROR(__xludf.DUMMYFUNCTION("""COMPUTED_VALUE"""),"Jamia masjid noor shakar garh")</f>
        <v>Jamia masjid noor shakar garh</v>
      </c>
      <c r="F243" s="10" t="str">
        <f>IFERROR(__xludf.DUMMYFUNCTION("""COMPUTED_VALUE"""),"Ohbdv")</f>
        <v>Ohbdv</v>
      </c>
      <c r="G243" s="10" t="str">
        <f>IFERROR(__xludf.DUMMYFUNCTION("""COMPUTED_VALUE"""),"No")</f>
        <v>No</v>
      </c>
      <c r="H243" s="10"/>
      <c r="I243" s="10"/>
      <c r="J243" s="10"/>
      <c r="K243" s="10">
        <f>IFERROR(__xludf.DUMMYFUNCTION("""COMPUTED_VALUE"""),10.0)</f>
        <v>10</v>
      </c>
      <c r="L243" s="10">
        <f>IFERROR(__xludf.DUMMYFUNCTION("""COMPUTED_VALUE"""),4.0)</f>
        <v>4</v>
      </c>
      <c r="M243" s="10">
        <f>IFERROR(__xludf.DUMMYFUNCTION("""COMPUTED_VALUE"""),9.0)</f>
        <v>9</v>
      </c>
      <c r="N243" s="10">
        <f>IFERROR(__xludf.DUMMYFUNCTION("""COMPUTED_VALUE"""),3.0)</f>
        <v>3</v>
      </c>
      <c r="O243" s="10">
        <f>IFERROR(__xludf.DUMMYFUNCTION("""COMPUTED_VALUE"""),10.0)</f>
        <v>10</v>
      </c>
      <c r="P243" s="10">
        <f>IFERROR(__xludf.DUMMYFUNCTION("""COMPUTED_VALUE"""),0.0)</f>
        <v>0</v>
      </c>
      <c r="Q243" s="10" t="str">
        <f>IFERROR(__xludf.DUMMYFUNCTION("""COMPUTED_VALUE"""),"Yes")</f>
        <v>Yes</v>
      </c>
      <c r="R243" s="10" t="str">
        <f>IFERROR(__xludf.DUMMYFUNCTION("""COMPUTED_VALUE"""),"No")</f>
        <v>No</v>
      </c>
      <c r="S243" s="10" t="str">
        <f>IFERROR(__xludf.DUMMYFUNCTION("""COMPUTED_VALUE"""),"No")</f>
        <v>No</v>
      </c>
      <c r="T243" s="10">
        <f>IFERROR(__xludf.DUMMYFUNCTION("""COMPUTED_VALUE"""),0.0)</f>
        <v>0</v>
      </c>
      <c r="U243" s="10">
        <f>IFERROR(__xludf.DUMMYFUNCTION("""COMPUTED_VALUE"""),0.0)</f>
        <v>0</v>
      </c>
      <c r="V243" s="10" t="str">
        <f>IFERROR(__xludf.DUMMYFUNCTION("""COMPUTED_VALUE"""),"Orat ki ehmiat or kirdar")</f>
        <v>Orat ki ehmiat or kirdar</v>
      </c>
      <c r="W243" s="10" t="str">
        <f>IFERROR(__xludf.DUMMYFUNCTION("""COMPUTED_VALUE"""),"Imam sab ne deen islam ki roh se orat ki ehmiat or orat ki job,karobar k hwale se hazar khadeeja or b kafi misaley de biyan ki.")</f>
        <v>Imam sab ne deen islam ki roh se orat ki ehmiat or orat ki job,karobar k hwale se hazar khadeeja or b kafi misaley de biyan ki.</v>
      </c>
      <c r="X243" s="10">
        <f>IFERROR(__xludf.DUMMYFUNCTION("""COMPUTED_VALUE"""),3.0)</f>
        <v>3</v>
      </c>
      <c r="Y243" s="10">
        <f>IFERROR(__xludf.DUMMYFUNCTION("""COMPUTED_VALUE"""),3.0)</f>
        <v>3</v>
      </c>
      <c r="Z243" s="10">
        <f>IFERROR(__xludf.DUMMYFUNCTION("""COMPUTED_VALUE"""),5.0)</f>
        <v>5</v>
      </c>
      <c r="AA243" s="10">
        <f>IFERROR(__xludf.DUMMYFUNCTION("""COMPUTED_VALUE"""),4.0)</f>
        <v>4</v>
      </c>
      <c r="AB243" s="10">
        <f>IFERROR(__xludf.DUMMYFUNCTION("""COMPUTED_VALUE"""),8.0)</f>
        <v>8</v>
      </c>
      <c r="AC243" s="10">
        <f>IFERROR(__xludf.DUMMYFUNCTION("""COMPUTED_VALUE"""),3.0)</f>
        <v>3</v>
      </c>
      <c r="AD243" s="10">
        <f>IFERROR(__xludf.DUMMYFUNCTION("""COMPUTED_VALUE"""),4.0)</f>
        <v>4</v>
      </c>
      <c r="AE243" s="10">
        <f>IFERROR(__xludf.DUMMYFUNCTION("""COMPUTED_VALUE"""),0.0)</f>
        <v>0</v>
      </c>
      <c r="AF243" s="10">
        <f>IFERROR(__xludf.DUMMYFUNCTION("""COMPUTED_VALUE"""),10.0)</f>
        <v>10</v>
      </c>
      <c r="AG243" s="10">
        <f>IFERROR(__xludf.DUMMYFUNCTION("""COMPUTED_VALUE"""),10.0)</f>
        <v>10</v>
      </c>
      <c r="AH243" s="10">
        <f>IFERROR(__xludf.DUMMYFUNCTION("""COMPUTED_VALUE"""),0.0)</f>
        <v>0</v>
      </c>
      <c r="AI243" s="10">
        <f>IFERROR(__xludf.DUMMYFUNCTION("""COMPUTED_VALUE"""),10.0)</f>
        <v>10</v>
      </c>
      <c r="AJ243" s="11" t="str">
        <f>IFERROR(__xludf.DUMMYFUNCTION("""COMPUTED_VALUE"""),"https://drive.google.com/open?id=1posjZBYfiqa1QPSvQxI9qVH5V2vL78Ke")</f>
        <v>https://drive.google.com/open?id=1posjZBYfiqa1QPSvQxI9qVH5V2vL78Ke</v>
      </c>
      <c r="AK243" s="12"/>
      <c r="AL243" s="12"/>
      <c r="AM243" s="12"/>
      <c r="AN243" s="12" t="str">
        <f>IFERROR(__xludf.DUMMYFUNCTION("""COMPUTED_VALUE"""),"3rd week")</f>
        <v>3rd week</v>
      </c>
      <c r="AO243" s="13">
        <v>3.0</v>
      </c>
      <c r="AX243" s="17"/>
    </row>
    <row r="244">
      <c r="A244" s="8">
        <v>243.0</v>
      </c>
      <c r="B244" s="9">
        <f>IFERROR(__xludf.DUMMYFUNCTION("""COMPUTED_VALUE"""),45804.2691965625)</f>
        <v>45804.2692</v>
      </c>
      <c r="C244" s="10" t="str">
        <f>IFERROR(__xludf.DUMMYFUNCTION("""COMPUTED_VALUE"""),"M.yamin kanwal")</f>
        <v>M.yamin kanwal</v>
      </c>
      <c r="D244" s="10" t="str">
        <f>IFERROR(__xludf.DUMMYFUNCTION("""COMPUTED_VALUE"""),"03007774537")</f>
        <v>03007774537</v>
      </c>
      <c r="E244" s="10" t="str">
        <f>IFERROR(__xludf.DUMMYFUNCTION("""COMPUTED_VALUE"""),"Jamia masjid darbar abdul slam chishti wada bhai")</f>
        <v>Jamia masjid darbar abdul slam chishti wada bhai</v>
      </c>
      <c r="F244" s="10" t="str">
        <f>IFERROR(__xludf.DUMMYFUNCTION("""COMPUTED_VALUE"""),"Dgohd")</f>
        <v>Dgohd</v>
      </c>
      <c r="G244" s="10" t="str">
        <f>IFERROR(__xludf.DUMMYFUNCTION("""COMPUTED_VALUE"""),"No")</f>
        <v>No</v>
      </c>
      <c r="H244" s="10"/>
      <c r="I244" s="10"/>
      <c r="J244" s="10"/>
      <c r="K244" s="10">
        <f>IFERROR(__xludf.DUMMYFUNCTION("""COMPUTED_VALUE"""),5.0)</f>
        <v>5</v>
      </c>
      <c r="L244" s="10">
        <f>IFERROR(__xludf.DUMMYFUNCTION("""COMPUTED_VALUE"""),10.0)</f>
        <v>10</v>
      </c>
      <c r="M244" s="10">
        <f>IFERROR(__xludf.DUMMYFUNCTION("""COMPUTED_VALUE"""),5.0)</f>
        <v>5</v>
      </c>
      <c r="N244" s="10">
        <f>IFERROR(__xludf.DUMMYFUNCTION("""COMPUTED_VALUE"""),10.0)</f>
        <v>10</v>
      </c>
      <c r="O244" s="10">
        <f>IFERROR(__xludf.DUMMYFUNCTION("""COMPUTED_VALUE"""),6.0)</f>
        <v>6</v>
      </c>
      <c r="P244" s="10">
        <f>IFERROR(__xludf.DUMMYFUNCTION("""COMPUTED_VALUE"""),0.0)</f>
        <v>0</v>
      </c>
      <c r="Q244" s="10" t="str">
        <f>IFERROR(__xludf.DUMMYFUNCTION("""COMPUTED_VALUE"""),"No")</f>
        <v>No</v>
      </c>
      <c r="R244" s="10" t="str">
        <f>IFERROR(__xludf.DUMMYFUNCTION("""COMPUTED_VALUE"""),"No")</f>
        <v>No</v>
      </c>
      <c r="S244" s="10" t="str">
        <f>IFERROR(__xludf.DUMMYFUNCTION("""COMPUTED_VALUE"""),"No")</f>
        <v>No</v>
      </c>
      <c r="T244" s="10">
        <f>IFERROR(__xludf.DUMMYFUNCTION("""COMPUTED_VALUE"""),0.0)</f>
        <v>0</v>
      </c>
      <c r="U244" s="10">
        <f>IFERROR(__xludf.DUMMYFUNCTION("""COMPUTED_VALUE"""),0.0)</f>
        <v>0</v>
      </c>
      <c r="V244" s="10" t="str">
        <f>IFERROR(__xludf.DUMMYFUNCTION("""COMPUTED_VALUE"""),"Orato k haqooq,krdar k elawa hmsayo k haqooq pr ziada bat ki gai")</f>
        <v>Orato k haqooq,krdar k elawa hmsayo k haqooq pr ziada bat ki gai</v>
      </c>
      <c r="W244" s="10" t="str">
        <f>IFERROR(__xludf.DUMMYFUNCTION("""COMPUTED_VALUE"""),"Imam sb ne poora juma hi orat or hmsayo k haqooq k hwale se bat ki,nabio k zmanae or hwale de juma ki taqreer ki gai")</f>
        <v>Imam sb ne poora juma hi orat or hmsayo k haqooq k hwale se bat ki,nabio k zmanae or hwale de juma ki taqreer ki gai</v>
      </c>
      <c r="X244" s="10">
        <f>IFERROR(__xludf.DUMMYFUNCTION("""COMPUTED_VALUE"""),2.0)</f>
        <v>2</v>
      </c>
      <c r="Y244" s="10">
        <f>IFERROR(__xludf.DUMMYFUNCTION("""COMPUTED_VALUE"""),4.0)</f>
        <v>4</v>
      </c>
      <c r="Z244" s="10">
        <f>IFERROR(__xludf.DUMMYFUNCTION("""COMPUTED_VALUE"""),3.0)</f>
        <v>3</v>
      </c>
      <c r="AA244" s="10">
        <f>IFERROR(__xludf.DUMMYFUNCTION("""COMPUTED_VALUE"""),5.0)</f>
        <v>5</v>
      </c>
      <c r="AB244" s="10">
        <f>IFERROR(__xludf.DUMMYFUNCTION("""COMPUTED_VALUE"""),9.0)</f>
        <v>9</v>
      </c>
      <c r="AC244" s="10">
        <f>IFERROR(__xludf.DUMMYFUNCTION("""COMPUTED_VALUE"""),0.0)</f>
        <v>0</v>
      </c>
      <c r="AD244" s="10">
        <f>IFERROR(__xludf.DUMMYFUNCTION("""COMPUTED_VALUE"""),5.0)</f>
        <v>5</v>
      </c>
      <c r="AE244" s="10">
        <f>IFERROR(__xludf.DUMMYFUNCTION("""COMPUTED_VALUE"""),0.0)</f>
        <v>0</v>
      </c>
      <c r="AF244" s="10">
        <f>IFERROR(__xludf.DUMMYFUNCTION("""COMPUTED_VALUE"""),9.0)</f>
        <v>9</v>
      </c>
      <c r="AG244" s="10">
        <f>IFERROR(__xludf.DUMMYFUNCTION("""COMPUTED_VALUE"""),8.0)</f>
        <v>8</v>
      </c>
      <c r="AH244" s="10">
        <f>IFERROR(__xludf.DUMMYFUNCTION("""COMPUTED_VALUE"""),0.0)</f>
        <v>0</v>
      </c>
      <c r="AI244" s="10">
        <f>IFERROR(__xludf.DUMMYFUNCTION("""COMPUTED_VALUE"""),8.0)</f>
        <v>8</v>
      </c>
      <c r="AJ244" s="11" t="str">
        <f>IFERROR(__xludf.DUMMYFUNCTION("""COMPUTED_VALUE"""),"https://drive.google.com/open?id=1HJdlQNUPNw5ZZPOWrI5RTpIN5U7Ihipm")</f>
        <v>https://drive.google.com/open?id=1HJdlQNUPNw5ZZPOWrI5RTpIN5U7Ihipm</v>
      </c>
      <c r="AK244" s="12"/>
      <c r="AL244" s="12"/>
      <c r="AM244" s="12"/>
      <c r="AN244" s="12" t="str">
        <f>IFERROR(__xludf.DUMMYFUNCTION("""COMPUTED_VALUE"""),"3rd week")</f>
        <v>3rd week</v>
      </c>
      <c r="AO244" s="13">
        <v>3.0</v>
      </c>
      <c r="AX244" s="17"/>
    </row>
    <row r="245">
      <c r="A245" s="8">
        <v>244.0</v>
      </c>
      <c r="B245" s="9">
        <f>IFERROR(__xludf.DUMMYFUNCTION("""COMPUTED_VALUE"""),45804.27602902778)</f>
        <v>45804.27603</v>
      </c>
      <c r="C245" s="10" t="str">
        <f>IFERROR(__xludf.DUMMYFUNCTION("""COMPUTED_VALUE"""),"Maqboolb Ahmad ")</f>
        <v>Maqboolb Ahmad </v>
      </c>
      <c r="D245" s="10" t="str">
        <f>IFERROR(__xludf.DUMMYFUNCTION("""COMPUTED_VALUE"""),"03016334942")</f>
        <v>03016334942</v>
      </c>
      <c r="E245" s="10" t="str">
        <f>IFERROR(__xludf.DUMMYFUNCTION("""COMPUTED_VALUE"""),"Jamia masjid qutab shah wali")</f>
        <v>Jamia masjid qutab shah wali</v>
      </c>
      <c r="F245" s="10" t="str">
        <f>IFERROR(__xludf.DUMMYFUNCTION("""COMPUTED_VALUE"""),"Qlxff")</f>
        <v>Qlxff</v>
      </c>
      <c r="G245" s="10" t="str">
        <f>IFERROR(__xludf.DUMMYFUNCTION("""COMPUTED_VALUE"""),"No")</f>
        <v>No</v>
      </c>
      <c r="H245" s="10"/>
      <c r="I245" s="10"/>
      <c r="J245" s="10"/>
      <c r="K245" s="10">
        <f>IFERROR(__xludf.DUMMYFUNCTION("""COMPUTED_VALUE"""),5.0)</f>
        <v>5</v>
      </c>
      <c r="L245" s="10">
        <f>IFERROR(__xludf.DUMMYFUNCTION("""COMPUTED_VALUE"""),6.0)</f>
        <v>6</v>
      </c>
      <c r="M245" s="10">
        <f>IFERROR(__xludf.DUMMYFUNCTION("""COMPUTED_VALUE"""),4.0)</f>
        <v>4</v>
      </c>
      <c r="N245" s="10">
        <f>IFERROR(__xludf.DUMMYFUNCTION("""COMPUTED_VALUE"""),4.0)</f>
        <v>4</v>
      </c>
      <c r="O245" s="10">
        <f>IFERROR(__xludf.DUMMYFUNCTION("""COMPUTED_VALUE"""),3.0)</f>
        <v>3</v>
      </c>
      <c r="P245" s="10">
        <f>IFERROR(__xludf.DUMMYFUNCTION("""COMPUTED_VALUE"""),0.0)</f>
        <v>0</v>
      </c>
      <c r="Q245" s="10" t="str">
        <f>IFERROR(__xludf.DUMMYFUNCTION("""COMPUTED_VALUE"""),"No")</f>
        <v>No</v>
      </c>
      <c r="R245" s="10" t="str">
        <f>IFERROR(__xludf.DUMMYFUNCTION("""COMPUTED_VALUE"""),"No")</f>
        <v>No</v>
      </c>
      <c r="S245" s="10" t="str">
        <f>IFERROR(__xludf.DUMMYFUNCTION("""COMPUTED_VALUE"""),"No")</f>
        <v>No</v>
      </c>
      <c r="T245" s="10">
        <f>IFERROR(__xludf.DUMMYFUNCTION("""COMPUTED_VALUE"""),2.0)</f>
        <v>2</v>
      </c>
      <c r="U245" s="10">
        <f>IFERROR(__xludf.DUMMYFUNCTION("""COMPUTED_VALUE"""),0.0)</f>
        <v>0</v>
      </c>
      <c r="V245" s="10" t="str">
        <f>IFERROR(__xludf.DUMMYFUNCTION("""COMPUTED_VALUE"""),"Groor or logo ka haq marna k hwale se bat ki")</f>
        <v>Groor or logo ka haq marna k hwale se bat ki</v>
      </c>
      <c r="W245" s="10" t="str">
        <f>IFERROR(__xludf.DUMMYFUNCTION("""COMPUTED_VALUE"""),"Apne ap me ajizi peda krna,groor na krna, orto k haq pr bat ki etc")</f>
        <v>Apne ap me ajizi peda krna,groor na krna, orto k haq pr bat ki etc</v>
      </c>
      <c r="X245" s="10">
        <f>IFERROR(__xludf.DUMMYFUNCTION("""COMPUTED_VALUE"""),3.0)</f>
        <v>3</v>
      </c>
      <c r="Y245" s="10">
        <f>IFERROR(__xludf.DUMMYFUNCTION("""COMPUTED_VALUE"""),7.0)</f>
        <v>7</v>
      </c>
      <c r="Z245" s="10">
        <f>IFERROR(__xludf.DUMMYFUNCTION("""COMPUTED_VALUE"""),5.0)</f>
        <v>5</v>
      </c>
      <c r="AA245" s="10">
        <f>IFERROR(__xludf.DUMMYFUNCTION("""COMPUTED_VALUE"""),2.0)</f>
        <v>2</v>
      </c>
      <c r="AB245" s="10">
        <f>IFERROR(__xludf.DUMMYFUNCTION("""COMPUTED_VALUE"""),0.0)</f>
        <v>0</v>
      </c>
      <c r="AC245" s="10">
        <f>IFERROR(__xludf.DUMMYFUNCTION("""COMPUTED_VALUE"""),0.0)</f>
        <v>0</v>
      </c>
      <c r="AD245" s="10">
        <f>IFERROR(__xludf.DUMMYFUNCTION("""COMPUTED_VALUE"""),0.0)</f>
        <v>0</v>
      </c>
      <c r="AE245" s="10">
        <f>IFERROR(__xludf.DUMMYFUNCTION("""COMPUTED_VALUE"""),0.0)</f>
        <v>0</v>
      </c>
      <c r="AF245" s="10">
        <f>IFERROR(__xludf.DUMMYFUNCTION("""COMPUTED_VALUE"""),7.0)</f>
        <v>7</v>
      </c>
      <c r="AG245" s="10">
        <f>IFERROR(__xludf.DUMMYFUNCTION("""COMPUTED_VALUE"""),7.0)</f>
        <v>7</v>
      </c>
      <c r="AH245" s="10">
        <f>IFERROR(__xludf.DUMMYFUNCTION("""COMPUTED_VALUE"""),0.0)</f>
        <v>0</v>
      </c>
      <c r="AI245" s="10">
        <f>IFERROR(__xludf.DUMMYFUNCTION("""COMPUTED_VALUE"""),7.0)</f>
        <v>7</v>
      </c>
      <c r="AJ245" s="11" t="str">
        <f>IFERROR(__xludf.DUMMYFUNCTION("""COMPUTED_VALUE"""),"https://drive.google.com/open?id=1DwcgWCRVqEMyqjyvWqFchNoZUfgpMdgJ")</f>
        <v>https://drive.google.com/open?id=1DwcgWCRVqEMyqjyvWqFchNoZUfgpMdgJ</v>
      </c>
      <c r="AK245" s="12"/>
      <c r="AL245" s="12"/>
      <c r="AM245" s="12"/>
      <c r="AN245" s="12" t="str">
        <f>IFERROR(__xludf.DUMMYFUNCTION("""COMPUTED_VALUE"""),"3rd week")</f>
        <v>3rd week</v>
      </c>
      <c r="AO245" s="13">
        <v>3.0</v>
      </c>
      <c r="AX245" s="17"/>
    </row>
    <row r="246">
      <c r="A246" s="8">
        <v>245.0</v>
      </c>
      <c r="B246" s="9">
        <f>IFERROR(__xludf.DUMMYFUNCTION("""COMPUTED_VALUE"""),45804.490626099534)</f>
        <v>45804.49063</v>
      </c>
      <c r="C246" s="10" t="str">
        <f>IFERROR(__xludf.DUMMYFUNCTION("""COMPUTED_VALUE"""),"Adnan Bashir")</f>
        <v>Adnan Bashir</v>
      </c>
      <c r="D246" s="10" t="str">
        <f>IFERROR(__xludf.DUMMYFUNCTION("""COMPUTED_VALUE"""),"03466626866")</f>
        <v>03466626866</v>
      </c>
      <c r="E246" s="10" t="str">
        <f>IFERROR(__xludf.DUMMYFUNCTION("""COMPUTED_VALUE"""),"Jamia masjid PEERA MALAH Raheem Pura Khichian Sialkot ")</f>
        <v>Jamia masjid PEERA MALAH Raheem Pura Khichian Sialkot </v>
      </c>
      <c r="F246" s="10" t="str">
        <f>IFERROR(__xludf.DUMMYFUNCTION("""COMPUTED_VALUE"""),"Dkded")</f>
        <v>Dkded</v>
      </c>
      <c r="G246" s="10" t="str">
        <f>IFERROR(__xludf.DUMMYFUNCTION("""COMPUTED_VALUE"""),"Yes")</f>
        <v>Yes</v>
      </c>
      <c r="H246" s="10">
        <f>IFERROR(__xludf.DUMMYFUNCTION("""COMPUTED_VALUE"""),9.0)</f>
        <v>9</v>
      </c>
      <c r="I246" s="10">
        <f>IFERROR(__xludf.DUMMYFUNCTION("""COMPUTED_VALUE"""),1.0)</f>
        <v>1</v>
      </c>
      <c r="J246" s="10">
        <f>IFERROR(__xludf.DUMMYFUNCTION("""COMPUTED_VALUE"""),9.0)</f>
        <v>9</v>
      </c>
      <c r="K246" s="10">
        <f>IFERROR(__xludf.DUMMYFUNCTION("""COMPUTED_VALUE"""),0.0)</f>
        <v>0</v>
      </c>
      <c r="L246" s="10">
        <f>IFERROR(__xludf.DUMMYFUNCTION("""COMPUTED_VALUE"""),9.0)</f>
        <v>9</v>
      </c>
      <c r="M246" s="10">
        <f>IFERROR(__xludf.DUMMYFUNCTION("""COMPUTED_VALUE"""),0.0)</f>
        <v>0</v>
      </c>
      <c r="N246" s="10">
        <f>IFERROR(__xludf.DUMMYFUNCTION("""COMPUTED_VALUE"""),9.0)</f>
        <v>9</v>
      </c>
      <c r="O246" s="10">
        <f>IFERROR(__xludf.DUMMYFUNCTION("""COMPUTED_VALUE"""),0.0)</f>
        <v>0</v>
      </c>
      <c r="P246" s="10">
        <f>IFERROR(__xludf.DUMMYFUNCTION("""COMPUTED_VALUE"""),6.0)</f>
        <v>6</v>
      </c>
      <c r="Q246" s="10" t="str">
        <f>IFERROR(__xludf.DUMMYFUNCTION("""COMPUTED_VALUE"""),"No")</f>
        <v>No</v>
      </c>
      <c r="R246" s="10" t="str">
        <f>IFERROR(__xludf.DUMMYFUNCTION("""COMPUTED_VALUE"""),"Yes")</f>
        <v>Yes</v>
      </c>
      <c r="S246" s="10" t="str">
        <f>IFERROR(__xludf.DUMMYFUNCTION("""COMPUTED_VALUE"""),"Yes")</f>
        <v>Yes</v>
      </c>
      <c r="T246" s="10">
        <f>IFERROR(__xludf.DUMMYFUNCTION("""COMPUTED_VALUE"""),0.0)</f>
        <v>0</v>
      </c>
      <c r="U246" s="10">
        <f>IFERROR(__xludf.DUMMYFUNCTION("""COMPUTED_VALUE"""),0.0)</f>
        <v>0</v>
      </c>
      <c r="V246" s="10" t="str">
        <f>IFERROR(__xludf.DUMMYFUNCTION("""COMPUTED_VALUE"""),"Hamsaiyon Kay Haqooq")</f>
        <v>Hamsaiyon Kay Haqooq</v>
      </c>
      <c r="W246" s="10" t="str">
        <f>IFERROR(__xludf.DUMMYFUNCTION("""COMPUTED_VALUE"""),"ہمسایوں کے ساتھ اچھا سلوک کرنا چاہیے اوران کے حقوق کے تحفظ کو یقینی بنایا جائے ")</f>
        <v>ہمسایوں کے ساتھ اچھا سلوک کرنا چاہیے اوران کے حقوق کے تحفظ کو یقینی بنایا جائے </v>
      </c>
      <c r="X246" s="10">
        <f>IFERROR(__xludf.DUMMYFUNCTION("""COMPUTED_VALUE"""),0.0)</f>
        <v>0</v>
      </c>
      <c r="Y246" s="10">
        <f>IFERROR(__xludf.DUMMYFUNCTION("""COMPUTED_VALUE"""),3.0)</f>
        <v>3</v>
      </c>
      <c r="Z246" s="10">
        <f>IFERROR(__xludf.DUMMYFUNCTION("""COMPUTED_VALUE"""),0.0)</f>
        <v>0</v>
      </c>
      <c r="AA246" s="10">
        <f>IFERROR(__xludf.DUMMYFUNCTION("""COMPUTED_VALUE"""),3.0)</f>
        <v>3</v>
      </c>
      <c r="AB246" s="10">
        <f>IFERROR(__xludf.DUMMYFUNCTION("""COMPUTED_VALUE"""),0.0)</f>
        <v>0</v>
      </c>
      <c r="AC246" s="10">
        <f>IFERROR(__xludf.DUMMYFUNCTION("""COMPUTED_VALUE"""),0.0)</f>
        <v>0</v>
      </c>
      <c r="AD246" s="10">
        <f>IFERROR(__xludf.DUMMYFUNCTION("""COMPUTED_VALUE"""),0.0)</f>
        <v>0</v>
      </c>
      <c r="AE246" s="10">
        <f>IFERROR(__xludf.DUMMYFUNCTION("""COMPUTED_VALUE"""),3.0)</f>
        <v>3</v>
      </c>
      <c r="AF246" s="10">
        <f>IFERROR(__xludf.DUMMYFUNCTION("""COMPUTED_VALUE"""),3.0)</f>
        <v>3</v>
      </c>
      <c r="AG246" s="10">
        <f>IFERROR(__xludf.DUMMYFUNCTION("""COMPUTED_VALUE"""),6.0)</f>
        <v>6</v>
      </c>
      <c r="AH246" s="10">
        <f>IFERROR(__xludf.DUMMYFUNCTION("""COMPUTED_VALUE"""),0.0)</f>
        <v>0</v>
      </c>
      <c r="AI246" s="10">
        <f>IFERROR(__xludf.DUMMYFUNCTION("""COMPUTED_VALUE"""),7.0)</f>
        <v>7</v>
      </c>
      <c r="AJ246" s="11" t="str">
        <f>IFERROR(__xludf.DUMMYFUNCTION("""COMPUTED_VALUE"""),"https://drive.google.com/open?id=1FevtEaHqBvQ51I6bx4FfR6Q5-fuJuhtA")</f>
        <v>https://drive.google.com/open?id=1FevtEaHqBvQ51I6bx4FfR6Q5-fuJuhtA</v>
      </c>
      <c r="AK246" s="12"/>
      <c r="AL246" s="12" t="str">
        <f>IFERROR(__xludf.DUMMYFUNCTION("""COMPUTED_VALUE"""),"Yes")</f>
        <v>Yes</v>
      </c>
      <c r="AM246" s="15">
        <f>IFERROR(__xludf.DUMMYFUNCTION("""COMPUTED_VALUE"""),0.9)</f>
        <v>0.9</v>
      </c>
      <c r="AN246" s="12" t="str">
        <f>IFERROR(__xludf.DUMMYFUNCTION("""COMPUTED_VALUE"""),"1st week")</f>
        <v>1st week</v>
      </c>
      <c r="AO246" s="13">
        <v>1.0</v>
      </c>
      <c r="AX246" s="17"/>
    </row>
    <row r="247">
      <c r="A247" s="8">
        <v>246.0</v>
      </c>
      <c r="B247" s="9">
        <f>IFERROR(__xludf.DUMMYFUNCTION("""COMPUTED_VALUE"""),45804.49912288194)</f>
        <v>45804.49912</v>
      </c>
      <c r="C247" s="10" t="str">
        <f>IFERROR(__xludf.DUMMYFUNCTION("""COMPUTED_VALUE"""),"Adnan Bashir")</f>
        <v>Adnan Bashir</v>
      </c>
      <c r="D247" s="10" t="str">
        <f>IFERROR(__xludf.DUMMYFUNCTION("""COMPUTED_VALUE"""),"03466626866")</f>
        <v>03466626866</v>
      </c>
      <c r="E247" s="10" t="str">
        <f>IFERROR(__xludf.DUMMYFUNCTION("""COMPUTED_VALUE"""),"Jamia masjid PEERA MALAH Raheem Pura Khichian Sialkot ")</f>
        <v>Jamia masjid PEERA MALAH Raheem Pura Khichian Sialkot </v>
      </c>
      <c r="F247" s="10" t="str">
        <f>IFERROR(__xludf.DUMMYFUNCTION("""COMPUTED_VALUE"""),"Dkded")</f>
        <v>Dkded</v>
      </c>
      <c r="G247" s="10" t="str">
        <f>IFERROR(__xludf.DUMMYFUNCTION("""COMPUTED_VALUE"""),"Yes")</f>
        <v>Yes</v>
      </c>
      <c r="H247" s="10">
        <f>IFERROR(__xludf.DUMMYFUNCTION("""COMPUTED_VALUE"""),6.0)</f>
        <v>6</v>
      </c>
      <c r="I247" s="10">
        <f>IFERROR(__xludf.DUMMYFUNCTION("""COMPUTED_VALUE"""),4.0)</f>
        <v>4</v>
      </c>
      <c r="J247" s="10">
        <f>IFERROR(__xludf.DUMMYFUNCTION("""COMPUTED_VALUE"""),6.0)</f>
        <v>6</v>
      </c>
      <c r="K247" s="10">
        <f>IFERROR(__xludf.DUMMYFUNCTION("""COMPUTED_VALUE"""),0.0)</f>
        <v>0</v>
      </c>
      <c r="L247" s="10">
        <f>IFERROR(__xludf.DUMMYFUNCTION("""COMPUTED_VALUE"""),6.0)</f>
        <v>6</v>
      </c>
      <c r="M247" s="10">
        <f>IFERROR(__xludf.DUMMYFUNCTION("""COMPUTED_VALUE"""),0.0)</f>
        <v>0</v>
      </c>
      <c r="N247" s="10">
        <f>IFERROR(__xludf.DUMMYFUNCTION("""COMPUTED_VALUE"""),6.0)</f>
        <v>6</v>
      </c>
      <c r="O247" s="10">
        <f>IFERROR(__xludf.DUMMYFUNCTION("""COMPUTED_VALUE"""),0.0)</f>
        <v>0</v>
      </c>
      <c r="P247" s="10">
        <f>IFERROR(__xludf.DUMMYFUNCTION("""COMPUTED_VALUE"""),3.0)</f>
        <v>3</v>
      </c>
      <c r="Q247" s="10" t="str">
        <f>IFERROR(__xludf.DUMMYFUNCTION("""COMPUTED_VALUE"""),"No")</f>
        <v>No</v>
      </c>
      <c r="R247" s="10" t="str">
        <f>IFERROR(__xludf.DUMMYFUNCTION("""COMPUTED_VALUE"""),"No")</f>
        <v>No</v>
      </c>
      <c r="S247" s="10" t="str">
        <f>IFERROR(__xludf.DUMMYFUNCTION("""COMPUTED_VALUE"""),"No")</f>
        <v>No</v>
      </c>
      <c r="T247" s="10">
        <f>IFERROR(__xludf.DUMMYFUNCTION("""COMPUTED_VALUE"""),0.0)</f>
        <v>0</v>
      </c>
      <c r="U247" s="10">
        <f>IFERROR(__xludf.DUMMYFUNCTION("""COMPUTED_VALUE"""),0.0)</f>
        <v>0</v>
      </c>
      <c r="V247" s="10" t="str">
        <f>IFERROR(__xludf.DUMMYFUNCTION("""COMPUTED_VALUE"""),"Hamsaiyon Kay Haqooq ")</f>
        <v>Hamsaiyon Kay Haqooq </v>
      </c>
      <c r="W247" s="10" t="str">
        <f>IFERROR(__xludf.DUMMYFUNCTION("""COMPUTED_VALUE"""),"ہمسایوں کے ساتھ اچھا سلوک کیا جائے اور ان کے حقوق کے تحفظ کے لیے کام کرنا چاہیے ")</f>
        <v>ہمسایوں کے ساتھ اچھا سلوک کیا جائے اور ان کے حقوق کے تحفظ کے لیے کام کرنا چاہیے </v>
      </c>
      <c r="X247" s="10">
        <f>IFERROR(__xludf.DUMMYFUNCTION("""COMPUTED_VALUE"""),0.0)</f>
        <v>0</v>
      </c>
      <c r="Y247" s="10">
        <f>IFERROR(__xludf.DUMMYFUNCTION("""COMPUTED_VALUE"""),3.0)</f>
        <v>3</v>
      </c>
      <c r="Z247" s="10">
        <f>IFERROR(__xludf.DUMMYFUNCTION("""COMPUTED_VALUE"""),2.0)</f>
        <v>2</v>
      </c>
      <c r="AA247" s="10">
        <f>IFERROR(__xludf.DUMMYFUNCTION("""COMPUTED_VALUE"""),4.0)</f>
        <v>4</v>
      </c>
      <c r="AB247" s="10">
        <f>IFERROR(__xludf.DUMMYFUNCTION("""COMPUTED_VALUE"""),0.0)</f>
        <v>0</v>
      </c>
      <c r="AC247" s="10">
        <f>IFERROR(__xludf.DUMMYFUNCTION("""COMPUTED_VALUE"""),0.0)</f>
        <v>0</v>
      </c>
      <c r="AD247" s="10">
        <f>IFERROR(__xludf.DUMMYFUNCTION("""COMPUTED_VALUE"""),0.0)</f>
        <v>0</v>
      </c>
      <c r="AE247" s="10">
        <f>IFERROR(__xludf.DUMMYFUNCTION("""COMPUTED_VALUE"""),2.0)</f>
        <v>2</v>
      </c>
      <c r="AF247" s="10">
        <f>IFERROR(__xludf.DUMMYFUNCTION("""COMPUTED_VALUE"""),3.0)</f>
        <v>3</v>
      </c>
      <c r="AG247" s="10">
        <f>IFERROR(__xludf.DUMMYFUNCTION("""COMPUTED_VALUE"""),6.0)</f>
        <v>6</v>
      </c>
      <c r="AH247" s="10">
        <f>IFERROR(__xludf.DUMMYFUNCTION("""COMPUTED_VALUE"""),0.0)</f>
        <v>0</v>
      </c>
      <c r="AI247" s="10">
        <f>IFERROR(__xludf.DUMMYFUNCTION("""COMPUTED_VALUE"""),6.0)</f>
        <v>6</v>
      </c>
      <c r="AJ247" s="11" t="str">
        <f>IFERROR(__xludf.DUMMYFUNCTION("""COMPUTED_VALUE"""),"https://drive.google.com/open?id=13JiQlh-tU3PL7CoRdOy75fTcx_Yrw_KR")</f>
        <v>https://drive.google.com/open?id=13JiQlh-tU3PL7CoRdOy75fTcx_Yrw_KR</v>
      </c>
      <c r="AK247" s="12"/>
      <c r="AL247" s="12" t="str">
        <f>IFERROR(__xludf.DUMMYFUNCTION("""COMPUTED_VALUE"""),"Yes")</f>
        <v>Yes</v>
      </c>
      <c r="AM247" s="15">
        <f>IFERROR(__xludf.DUMMYFUNCTION("""COMPUTED_VALUE"""),0.6)</f>
        <v>0.6</v>
      </c>
      <c r="AN247" s="12" t="str">
        <f>IFERROR(__xludf.DUMMYFUNCTION("""COMPUTED_VALUE"""),"2nd week")</f>
        <v>2nd week</v>
      </c>
      <c r="AO247" s="13">
        <v>2.0</v>
      </c>
      <c r="AX247" s="17"/>
    </row>
    <row r="248">
      <c r="A248" s="8">
        <v>247.0</v>
      </c>
      <c r="B248" s="9">
        <f>IFERROR(__xludf.DUMMYFUNCTION("""COMPUTED_VALUE"""),45804.94628387732)</f>
        <v>45804.94628</v>
      </c>
      <c r="C248" s="10" t="str">
        <f>IFERROR(__xludf.DUMMYFUNCTION("""COMPUTED_VALUE"""),"Adnan Bashir")</f>
        <v>Adnan Bashir</v>
      </c>
      <c r="D248" s="10" t="str">
        <f>IFERROR(__xludf.DUMMYFUNCTION("""COMPUTED_VALUE"""),"03466626866")</f>
        <v>03466626866</v>
      </c>
      <c r="E248" s="10" t="str">
        <f>IFERROR(__xludf.DUMMYFUNCTION("""COMPUTED_VALUE"""),"Jamia masjid PEERA MALAH Raheem Pura Khichian Sialkot ")</f>
        <v>Jamia masjid PEERA MALAH Raheem Pura Khichian Sialkot </v>
      </c>
      <c r="F248" s="10" t="str">
        <f>IFERROR(__xludf.DUMMYFUNCTION("""COMPUTED_VALUE"""),"Dkded")</f>
        <v>Dkded</v>
      </c>
      <c r="G248" s="10" t="str">
        <f>IFERROR(__xludf.DUMMYFUNCTION("""COMPUTED_VALUE"""),"No")</f>
        <v>No</v>
      </c>
      <c r="H248" s="10"/>
      <c r="I248" s="10"/>
      <c r="J248" s="10"/>
      <c r="K248" s="10">
        <f>IFERROR(__xludf.DUMMYFUNCTION("""COMPUTED_VALUE"""),0.0)</f>
        <v>0</v>
      </c>
      <c r="L248" s="10">
        <f>IFERROR(__xludf.DUMMYFUNCTION("""COMPUTED_VALUE"""),0.0)</f>
        <v>0</v>
      </c>
      <c r="M248" s="10">
        <f>IFERROR(__xludf.DUMMYFUNCTION("""COMPUTED_VALUE"""),0.0)</f>
        <v>0</v>
      </c>
      <c r="N248" s="10">
        <f>IFERROR(__xludf.DUMMYFUNCTION("""COMPUTED_VALUE"""),0.0)</f>
        <v>0</v>
      </c>
      <c r="O248" s="10">
        <f>IFERROR(__xludf.DUMMYFUNCTION("""COMPUTED_VALUE"""),0.0)</f>
        <v>0</v>
      </c>
      <c r="P248" s="10">
        <f>IFERROR(__xludf.DUMMYFUNCTION("""COMPUTED_VALUE"""),0.0)</f>
        <v>0</v>
      </c>
      <c r="Q248" s="10" t="str">
        <f>IFERROR(__xludf.DUMMYFUNCTION("""COMPUTED_VALUE"""),"No")</f>
        <v>No</v>
      </c>
      <c r="R248" s="10" t="str">
        <f>IFERROR(__xludf.DUMMYFUNCTION("""COMPUTED_VALUE"""),"No")</f>
        <v>No</v>
      </c>
      <c r="S248" s="10" t="str">
        <f>IFERROR(__xludf.DUMMYFUNCTION("""COMPUTED_VALUE"""),"No")</f>
        <v>No</v>
      </c>
      <c r="T248" s="10">
        <f>IFERROR(__xludf.DUMMYFUNCTION("""COMPUTED_VALUE"""),0.0)</f>
        <v>0</v>
      </c>
      <c r="U248" s="10">
        <f>IFERROR(__xludf.DUMMYFUNCTION("""COMPUTED_VALUE"""),0.0)</f>
        <v>0</v>
      </c>
      <c r="V248" s="10" t="str">
        <f>IFERROR(__xludf.DUMMYFUNCTION("""COMPUTED_VALUE"""),"حضرت ابرہیم علیہ السلام کی زندگی پر ")</f>
        <v>حضرت ابرہیم علیہ السلام کی زندگی پر </v>
      </c>
      <c r="W248" s="10" t="str">
        <f>IFERROR(__xludf.DUMMYFUNCTION("""COMPUTED_VALUE"""),"حضرت ابرہیم علیہ السلام کی زندگی پر روشنی ڈالی")</f>
        <v>حضرت ابرہیم علیہ السلام کی زندگی پر روشنی ڈالی</v>
      </c>
      <c r="X248" s="10">
        <f>IFERROR(__xludf.DUMMYFUNCTION("""COMPUTED_VALUE"""),0.0)</f>
        <v>0</v>
      </c>
      <c r="Y248" s="10">
        <f>IFERROR(__xludf.DUMMYFUNCTION("""COMPUTED_VALUE"""),0.0)</f>
        <v>0</v>
      </c>
      <c r="Z248" s="10">
        <f>IFERROR(__xludf.DUMMYFUNCTION("""COMPUTED_VALUE"""),0.0)</f>
        <v>0</v>
      </c>
      <c r="AA248" s="10">
        <f>IFERROR(__xludf.DUMMYFUNCTION("""COMPUTED_VALUE"""),0.0)</f>
        <v>0</v>
      </c>
      <c r="AB248" s="10">
        <f>IFERROR(__xludf.DUMMYFUNCTION("""COMPUTED_VALUE"""),0.0)</f>
        <v>0</v>
      </c>
      <c r="AC248" s="10">
        <f>IFERROR(__xludf.DUMMYFUNCTION("""COMPUTED_VALUE"""),0.0)</f>
        <v>0</v>
      </c>
      <c r="AD248" s="10">
        <f>IFERROR(__xludf.DUMMYFUNCTION("""COMPUTED_VALUE"""),0.0)</f>
        <v>0</v>
      </c>
      <c r="AE248" s="10">
        <f>IFERROR(__xludf.DUMMYFUNCTION("""COMPUTED_VALUE"""),0.0)</f>
        <v>0</v>
      </c>
      <c r="AF248" s="10">
        <f>IFERROR(__xludf.DUMMYFUNCTION("""COMPUTED_VALUE"""),5.0)</f>
        <v>5</v>
      </c>
      <c r="AG248" s="10">
        <f>IFERROR(__xludf.DUMMYFUNCTION("""COMPUTED_VALUE"""),8.0)</f>
        <v>8</v>
      </c>
      <c r="AH248" s="10">
        <f>IFERROR(__xludf.DUMMYFUNCTION("""COMPUTED_VALUE"""),0.0)</f>
        <v>0</v>
      </c>
      <c r="AI248" s="10">
        <f>IFERROR(__xludf.DUMMYFUNCTION("""COMPUTED_VALUE"""),6.0)</f>
        <v>6</v>
      </c>
      <c r="AJ248" s="11" t="str">
        <f>IFERROR(__xludf.DUMMYFUNCTION("""COMPUTED_VALUE"""),"https://drive.google.com/open?id=16bPFR0oHDEzzf1U9oc_aWFI5kBs3mTJn")</f>
        <v>https://drive.google.com/open?id=16bPFR0oHDEzzf1U9oc_aWFI5kBs3mTJn</v>
      </c>
      <c r="AK248" s="12"/>
      <c r="AL248" s="12"/>
      <c r="AM248" s="12"/>
      <c r="AN248" s="12" t="str">
        <f>IFERROR(__xludf.DUMMYFUNCTION("""COMPUTED_VALUE"""),"3rd week")</f>
        <v>3rd week</v>
      </c>
      <c r="AO248" s="13">
        <v>3.0</v>
      </c>
      <c r="AX248" s="17"/>
    </row>
    <row r="249">
      <c r="A249" s="8">
        <v>248.0</v>
      </c>
      <c r="B249" s="9">
        <f>IFERROR(__xludf.DUMMYFUNCTION("""COMPUTED_VALUE"""),45805.50087552083)</f>
        <v>45805.50088</v>
      </c>
      <c r="C249" s="10" t="str">
        <f>IFERROR(__xludf.DUMMYFUNCTION("""COMPUTED_VALUE"""),"Adnan Bashir ")</f>
        <v>Adnan Bashir </v>
      </c>
      <c r="D249" s="10" t="str">
        <f>IFERROR(__xludf.DUMMYFUNCTION("""COMPUTED_VALUE"""),"03466626866")</f>
        <v>03466626866</v>
      </c>
      <c r="E249" s="10" t="str">
        <f>IFERROR(__xludf.DUMMYFUNCTION("""COMPUTED_VALUE"""),"Jamia masjid Safdriya ")</f>
        <v>Jamia masjid Safdriya </v>
      </c>
      <c r="F249" s="10" t="str">
        <f>IFERROR(__xludf.DUMMYFUNCTION("""COMPUTED_VALUE"""),"PCBOQ")</f>
        <v>PCBOQ</v>
      </c>
      <c r="G249" s="10" t="str">
        <f>IFERROR(__xludf.DUMMYFUNCTION("""COMPUTED_VALUE"""),"Yes")</f>
        <v>Yes</v>
      </c>
      <c r="H249" s="10">
        <f>IFERROR(__xludf.DUMMYFUNCTION("""COMPUTED_VALUE"""),10.0)</f>
        <v>10</v>
      </c>
      <c r="I249" s="10">
        <f>IFERROR(__xludf.DUMMYFUNCTION("""COMPUTED_VALUE"""),0.0)</f>
        <v>0</v>
      </c>
      <c r="J249" s="10">
        <f>IFERROR(__xludf.DUMMYFUNCTION("""COMPUTED_VALUE"""),10.0)</f>
        <v>10</v>
      </c>
      <c r="K249" s="10">
        <f>IFERROR(__xludf.DUMMYFUNCTION("""COMPUTED_VALUE"""),10.0)</f>
        <v>10</v>
      </c>
      <c r="L249" s="10">
        <f>IFERROR(__xludf.DUMMYFUNCTION("""COMPUTED_VALUE"""),0.0)</f>
        <v>0</v>
      </c>
      <c r="M249" s="10">
        <f>IFERROR(__xludf.DUMMYFUNCTION("""COMPUTED_VALUE"""),10.0)</f>
        <v>10</v>
      </c>
      <c r="N249" s="10">
        <f>IFERROR(__xludf.DUMMYFUNCTION("""COMPUTED_VALUE"""),0.0)</f>
        <v>0</v>
      </c>
      <c r="O249" s="10">
        <f>IFERROR(__xludf.DUMMYFUNCTION("""COMPUTED_VALUE"""),1.0)</f>
        <v>1</v>
      </c>
      <c r="P249" s="10">
        <f>IFERROR(__xludf.DUMMYFUNCTION("""COMPUTED_VALUE"""),0.0)</f>
        <v>0</v>
      </c>
      <c r="Q249" s="10" t="str">
        <f>IFERROR(__xludf.DUMMYFUNCTION("""COMPUTED_VALUE"""),"No")</f>
        <v>No</v>
      </c>
      <c r="R249" s="10" t="str">
        <f>IFERROR(__xludf.DUMMYFUNCTION("""COMPUTED_VALUE"""),"No")</f>
        <v>No</v>
      </c>
      <c r="S249" s="10" t="str">
        <f>IFERROR(__xludf.DUMMYFUNCTION("""COMPUTED_VALUE"""),"Yes")</f>
        <v>Yes</v>
      </c>
      <c r="T249" s="10">
        <f>IFERROR(__xludf.DUMMYFUNCTION("""COMPUTED_VALUE"""),0.0)</f>
        <v>0</v>
      </c>
      <c r="U249" s="10">
        <f>IFERROR(__xludf.DUMMYFUNCTION("""COMPUTED_VALUE"""),0.0)</f>
        <v>0</v>
      </c>
      <c r="V249" s="10" t="str">
        <f>IFERROR(__xludf.DUMMYFUNCTION("""COMPUTED_VALUE"""),"عورتوں کے حقوق ")</f>
        <v>عورتوں کے حقوق </v>
      </c>
      <c r="W249" s="10" t="str">
        <f>IFERROR(__xludf.DUMMYFUNCTION("""COMPUTED_VALUE"""),"اسلام میں عورتوں کے حقوق اور عورتوں کے ساتھ اچھا سلوک کرنے کی تلقین کی گئی ہے ")</f>
        <v>اسلام میں عورتوں کے حقوق اور عورتوں کے ساتھ اچھا سلوک کرنے کی تلقین کی گئی ہے </v>
      </c>
      <c r="X249" s="10">
        <f>IFERROR(__xludf.DUMMYFUNCTION("""COMPUTED_VALUE"""),0.0)</f>
        <v>0</v>
      </c>
      <c r="Y249" s="10">
        <f>IFERROR(__xludf.DUMMYFUNCTION("""COMPUTED_VALUE"""),0.0)</f>
        <v>0</v>
      </c>
      <c r="Z249" s="10">
        <f>IFERROR(__xludf.DUMMYFUNCTION("""COMPUTED_VALUE"""),0.0)</f>
        <v>0</v>
      </c>
      <c r="AA249" s="10">
        <f>IFERROR(__xludf.DUMMYFUNCTION("""COMPUTED_VALUE"""),7.0)</f>
        <v>7</v>
      </c>
      <c r="AB249" s="10">
        <f>IFERROR(__xludf.DUMMYFUNCTION("""COMPUTED_VALUE"""),0.0)</f>
        <v>0</v>
      </c>
      <c r="AC249" s="10">
        <f>IFERROR(__xludf.DUMMYFUNCTION("""COMPUTED_VALUE"""),0.0)</f>
        <v>0</v>
      </c>
      <c r="AD249" s="10">
        <f>IFERROR(__xludf.DUMMYFUNCTION("""COMPUTED_VALUE"""),0.0)</f>
        <v>0</v>
      </c>
      <c r="AE249" s="10">
        <f>IFERROR(__xludf.DUMMYFUNCTION("""COMPUTED_VALUE"""),0.0)</f>
        <v>0</v>
      </c>
      <c r="AF249" s="10">
        <f>IFERROR(__xludf.DUMMYFUNCTION("""COMPUTED_VALUE"""),4.0)</f>
        <v>4</v>
      </c>
      <c r="AG249" s="10">
        <f>IFERROR(__xludf.DUMMYFUNCTION("""COMPUTED_VALUE"""),10.0)</f>
        <v>10</v>
      </c>
      <c r="AH249" s="10">
        <f>IFERROR(__xludf.DUMMYFUNCTION("""COMPUTED_VALUE"""),0.0)</f>
        <v>0</v>
      </c>
      <c r="AI249" s="10">
        <f>IFERROR(__xludf.DUMMYFUNCTION("""COMPUTED_VALUE"""),9.0)</f>
        <v>9</v>
      </c>
      <c r="AJ249" s="11" t="str">
        <f>IFERROR(__xludf.DUMMYFUNCTION("""COMPUTED_VALUE"""),"https://drive.google.com/open?id=1SNtrnHA1VIOBICUIQsXA8TcuzfMSf_pK")</f>
        <v>https://drive.google.com/open?id=1SNtrnHA1VIOBICUIQsXA8TcuzfMSf_pK</v>
      </c>
      <c r="AK249" s="12"/>
      <c r="AL249" s="12" t="str">
        <f>IFERROR(__xludf.DUMMYFUNCTION("""COMPUTED_VALUE"""),"Yes")</f>
        <v>Yes</v>
      </c>
      <c r="AM249" s="15">
        <f>IFERROR(__xludf.DUMMYFUNCTION("""COMPUTED_VALUE"""),1.0)</f>
        <v>1</v>
      </c>
      <c r="AN249" s="12" t="str">
        <f>IFERROR(__xludf.DUMMYFUNCTION("""COMPUTED_VALUE"""),"1st week")</f>
        <v>1st week</v>
      </c>
      <c r="AO249" s="13">
        <v>1.0</v>
      </c>
      <c r="AX249" s="17"/>
    </row>
    <row r="250">
      <c r="A250" s="8">
        <v>249.0</v>
      </c>
      <c r="B250" s="9">
        <f>IFERROR(__xludf.DUMMYFUNCTION("""COMPUTED_VALUE"""),45805.5060137963)</f>
        <v>45805.50601</v>
      </c>
      <c r="C250" s="10" t="str">
        <f>IFERROR(__xludf.DUMMYFUNCTION("""COMPUTED_VALUE"""),"Adnan Bashir ")</f>
        <v>Adnan Bashir </v>
      </c>
      <c r="D250" s="10" t="str">
        <f>IFERROR(__xludf.DUMMYFUNCTION("""COMPUTED_VALUE"""),"03466626866")</f>
        <v>03466626866</v>
      </c>
      <c r="E250" s="10" t="str">
        <f>IFERROR(__xludf.DUMMYFUNCTION("""COMPUTED_VALUE"""),"Jamia masjid Safdriya ")</f>
        <v>Jamia masjid Safdriya </v>
      </c>
      <c r="F250" s="10" t="str">
        <f>IFERROR(__xludf.DUMMYFUNCTION("""COMPUTED_VALUE"""),"PCBOQ")</f>
        <v>PCBOQ</v>
      </c>
      <c r="G250" s="10" t="str">
        <f>IFERROR(__xludf.DUMMYFUNCTION("""COMPUTED_VALUE"""),"Yes")</f>
        <v>Yes</v>
      </c>
      <c r="H250" s="10">
        <f>IFERROR(__xludf.DUMMYFUNCTION("""COMPUTED_VALUE"""),9.0)</f>
        <v>9</v>
      </c>
      <c r="I250" s="10">
        <f>IFERROR(__xludf.DUMMYFUNCTION("""COMPUTED_VALUE"""),1.0)</f>
        <v>1</v>
      </c>
      <c r="J250" s="10">
        <f>IFERROR(__xludf.DUMMYFUNCTION("""COMPUTED_VALUE"""),9.0)</f>
        <v>9</v>
      </c>
      <c r="K250" s="10">
        <f>IFERROR(__xludf.DUMMYFUNCTION("""COMPUTED_VALUE"""),9.0)</f>
        <v>9</v>
      </c>
      <c r="L250" s="10">
        <f>IFERROR(__xludf.DUMMYFUNCTION("""COMPUTED_VALUE"""),0.0)</f>
        <v>0</v>
      </c>
      <c r="M250" s="10">
        <f>IFERROR(__xludf.DUMMYFUNCTION("""COMPUTED_VALUE"""),9.0)</f>
        <v>9</v>
      </c>
      <c r="N250" s="10">
        <f>IFERROR(__xludf.DUMMYFUNCTION("""COMPUTED_VALUE"""),0.0)</f>
        <v>0</v>
      </c>
      <c r="O250" s="10">
        <f>IFERROR(__xludf.DUMMYFUNCTION("""COMPUTED_VALUE"""),8.0)</f>
        <v>8</v>
      </c>
      <c r="P250" s="10">
        <f>IFERROR(__xludf.DUMMYFUNCTION("""COMPUTED_VALUE"""),0.0)</f>
        <v>0</v>
      </c>
      <c r="Q250" s="10" t="str">
        <f>IFERROR(__xludf.DUMMYFUNCTION("""COMPUTED_VALUE"""),"No")</f>
        <v>No</v>
      </c>
      <c r="R250" s="10" t="str">
        <f>IFERROR(__xludf.DUMMYFUNCTION("""COMPUTED_VALUE"""),"No")</f>
        <v>No</v>
      </c>
      <c r="S250" s="10" t="str">
        <f>IFERROR(__xludf.DUMMYFUNCTION("""COMPUTED_VALUE"""),"Yes")</f>
        <v>Yes</v>
      </c>
      <c r="T250" s="10">
        <f>IFERROR(__xludf.DUMMYFUNCTION("""COMPUTED_VALUE"""),0.0)</f>
        <v>0</v>
      </c>
      <c r="U250" s="10">
        <f>IFERROR(__xludf.DUMMYFUNCTION("""COMPUTED_VALUE"""),0.0)</f>
        <v>0</v>
      </c>
      <c r="V250" s="10" t="str">
        <f>IFERROR(__xludf.DUMMYFUNCTION("""COMPUTED_VALUE"""),"عورتوں کے حقوق ")</f>
        <v>عورتوں کے حقوق </v>
      </c>
      <c r="W250" s="10" t="str">
        <f>IFERROR(__xludf.DUMMYFUNCTION("""COMPUTED_VALUE"""),"عورتوں کے حقوق اور اسلام میں عورتوں کے کی اہمیت اور ان کے ساتھ اچھا سلوک ")</f>
        <v>عورتوں کے حقوق اور اسلام میں عورتوں کے کی اہمیت اور ان کے ساتھ اچھا سلوک </v>
      </c>
      <c r="X250" s="10">
        <f>IFERROR(__xludf.DUMMYFUNCTION("""COMPUTED_VALUE"""),0.0)</f>
        <v>0</v>
      </c>
      <c r="Y250" s="10">
        <f>IFERROR(__xludf.DUMMYFUNCTION("""COMPUTED_VALUE"""),0.0)</f>
        <v>0</v>
      </c>
      <c r="Z250" s="10">
        <f>IFERROR(__xludf.DUMMYFUNCTION("""COMPUTED_VALUE"""),0.0)</f>
        <v>0</v>
      </c>
      <c r="AA250" s="10">
        <f>IFERROR(__xludf.DUMMYFUNCTION("""COMPUTED_VALUE"""),0.0)</f>
        <v>0</v>
      </c>
      <c r="AB250" s="10">
        <f>IFERROR(__xludf.DUMMYFUNCTION("""COMPUTED_VALUE"""),0.0)</f>
        <v>0</v>
      </c>
      <c r="AC250" s="10">
        <f>IFERROR(__xludf.DUMMYFUNCTION("""COMPUTED_VALUE"""),0.0)</f>
        <v>0</v>
      </c>
      <c r="AD250" s="10">
        <f>IFERROR(__xludf.DUMMYFUNCTION("""COMPUTED_VALUE"""),0.0)</f>
        <v>0</v>
      </c>
      <c r="AE250" s="10">
        <f>IFERROR(__xludf.DUMMYFUNCTION("""COMPUTED_VALUE"""),0.0)</f>
        <v>0</v>
      </c>
      <c r="AF250" s="10">
        <f>IFERROR(__xludf.DUMMYFUNCTION("""COMPUTED_VALUE"""),4.0)</f>
        <v>4</v>
      </c>
      <c r="AG250" s="10">
        <f>IFERROR(__xludf.DUMMYFUNCTION("""COMPUTED_VALUE"""),9.0)</f>
        <v>9</v>
      </c>
      <c r="AH250" s="10">
        <f>IFERROR(__xludf.DUMMYFUNCTION("""COMPUTED_VALUE"""),0.0)</f>
        <v>0</v>
      </c>
      <c r="AI250" s="10">
        <f>IFERROR(__xludf.DUMMYFUNCTION("""COMPUTED_VALUE"""),9.0)</f>
        <v>9</v>
      </c>
      <c r="AJ250" s="11" t="str">
        <f>IFERROR(__xludf.DUMMYFUNCTION("""COMPUTED_VALUE"""),"https://drive.google.com/open?id=1K3d80QYw-anGZHo8JVXnofe3solUxiWK")</f>
        <v>https://drive.google.com/open?id=1K3d80QYw-anGZHo8JVXnofe3solUxiWK</v>
      </c>
      <c r="AK250" s="12"/>
      <c r="AL250" s="12" t="str">
        <f>IFERROR(__xludf.DUMMYFUNCTION("""COMPUTED_VALUE"""),"Yes")</f>
        <v>Yes</v>
      </c>
      <c r="AM250" s="15">
        <f>IFERROR(__xludf.DUMMYFUNCTION("""COMPUTED_VALUE"""),0.9)</f>
        <v>0.9</v>
      </c>
      <c r="AN250" s="12" t="str">
        <f>IFERROR(__xludf.DUMMYFUNCTION("""COMPUTED_VALUE"""),"2nd week")</f>
        <v>2nd week</v>
      </c>
      <c r="AO250" s="13">
        <v>2.0</v>
      </c>
      <c r="AX250" s="17"/>
    </row>
    <row r="251">
      <c r="A251" s="8">
        <v>250.0</v>
      </c>
      <c r="B251" s="9">
        <f>IFERROR(__xludf.DUMMYFUNCTION("""COMPUTED_VALUE"""),45805.50997586806)</f>
        <v>45805.50998</v>
      </c>
      <c r="C251" s="10" t="str">
        <f>IFERROR(__xludf.DUMMYFUNCTION("""COMPUTED_VALUE"""),"Adnan Bashir")</f>
        <v>Adnan Bashir</v>
      </c>
      <c r="D251" s="10" t="str">
        <f>IFERROR(__xludf.DUMMYFUNCTION("""COMPUTED_VALUE"""),"03466626866")</f>
        <v>03466626866</v>
      </c>
      <c r="E251" s="10" t="str">
        <f>IFERROR(__xludf.DUMMYFUNCTION("""COMPUTED_VALUE"""),"Jamia Masjid Safdariya Rungpura Sialkot ")</f>
        <v>Jamia Masjid Safdariya Rungpura Sialkot </v>
      </c>
      <c r="F251" s="10" t="str">
        <f>IFERROR(__xludf.DUMMYFUNCTION("""COMPUTED_VALUE"""),"PCBOQ")</f>
        <v>PCBOQ</v>
      </c>
      <c r="G251" s="10" t="str">
        <f>IFERROR(__xludf.DUMMYFUNCTION("""COMPUTED_VALUE"""),"No")</f>
        <v>No</v>
      </c>
      <c r="H251" s="10"/>
      <c r="I251" s="10"/>
      <c r="J251" s="10"/>
      <c r="K251" s="10">
        <f>IFERROR(__xludf.DUMMYFUNCTION("""COMPUTED_VALUE"""),0.0)</f>
        <v>0</v>
      </c>
      <c r="L251" s="10">
        <f>IFERROR(__xludf.DUMMYFUNCTION("""COMPUTED_VALUE"""),0.0)</f>
        <v>0</v>
      </c>
      <c r="M251" s="10">
        <f>IFERROR(__xludf.DUMMYFUNCTION("""COMPUTED_VALUE"""),0.0)</f>
        <v>0</v>
      </c>
      <c r="N251" s="10">
        <f>IFERROR(__xludf.DUMMYFUNCTION("""COMPUTED_VALUE"""),0.0)</f>
        <v>0</v>
      </c>
      <c r="O251" s="10">
        <f>IFERROR(__xludf.DUMMYFUNCTION("""COMPUTED_VALUE"""),0.0)</f>
        <v>0</v>
      </c>
      <c r="P251" s="10">
        <f>IFERROR(__xludf.DUMMYFUNCTION("""COMPUTED_VALUE"""),0.0)</f>
        <v>0</v>
      </c>
      <c r="Q251" s="10" t="str">
        <f>IFERROR(__xludf.DUMMYFUNCTION("""COMPUTED_VALUE"""),"No")</f>
        <v>No</v>
      </c>
      <c r="R251" s="10" t="str">
        <f>IFERROR(__xludf.DUMMYFUNCTION("""COMPUTED_VALUE"""),"No")</f>
        <v>No</v>
      </c>
      <c r="S251" s="10" t="str">
        <f>IFERROR(__xludf.DUMMYFUNCTION("""COMPUTED_VALUE"""),"No")</f>
        <v>No</v>
      </c>
      <c r="T251" s="10">
        <f>IFERROR(__xludf.DUMMYFUNCTION("""COMPUTED_VALUE"""),0.0)</f>
        <v>0</v>
      </c>
      <c r="U251" s="10">
        <f>IFERROR(__xludf.DUMMYFUNCTION("""COMPUTED_VALUE"""),0.0)</f>
        <v>0</v>
      </c>
      <c r="V251" s="10" t="str">
        <f>IFERROR(__xludf.DUMMYFUNCTION("""COMPUTED_VALUE"""),"کامیابی کے 3 اصول")</f>
        <v>کامیابی کے 3 اصول</v>
      </c>
      <c r="W251" s="10" t="str">
        <f>IFERROR(__xludf.DUMMYFUNCTION("""COMPUTED_VALUE"""),"کامیابی کے لیے تین اصولوں کو اپنانا چاہیے ایک واسیلہ، محنت، ")</f>
        <v>کامیابی کے لیے تین اصولوں کو اپنانا چاہیے ایک واسیلہ، محنت، </v>
      </c>
      <c r="X251" s="10">
        <f>IFERROR(__xludf.DUMMYFUNCTION("""COMPUTED_VALUE"""),0.0)</f>
        <v>0</v>
      </c>
      <c r="Y251" s="10">
        <f>IFERROR(__xludf.DUMMYFUNCTION("""COMPUTED_VALUE"""),0.0)</f>
        <v>0</v>
      </c>
      <c r="Z251" s="10">
        <f>IFERROR(__xludf.DUMMYFUNCTION("""COMPUTED_VALUE"""),0.0)</f>
        <v>0</v>
      </c>
      <c r="AA251" s="10">
        <f>IFERROR(__xludf.DUMMYFUNCTION("""COMPUTED_VALUE"""),0.0)</f>
        <v>0</v>
      </c>
      <c r="AB251" s="10">
        <f>IFERROR(__xludf.DUMMYFUNCTION("""COMPUTED_VALUE"""),0.0)</f>
        <v>0</v>
      </c>
      <c r="AC251" s="10">
        <f>IFERROR(__xludf.DUMMYFUNCTION("""COMPUTED_VALUE"""),0.0)</f>
        <v>0</v>
      </c>
      <c r="AD251" s="10">
        <f>IFERROR(__xludf.DUMMYFUNCTION("""COMPUTED_VALUE"""),0.0)</f>
        <v>0</v>
      </c>
      <c r="AE251" s="10">
        <f>IFERROR(__xludf.DUMMYFUNCTION("""COMPUTED_VALUE"""),0.0)</f>
        <v>0</v>
      </c>
      <c r="AF251" s="10">
        <f>IFERROR(__xludf.DUMMYFUNCTION("""COMPUTED_VALUE"""),0.0)</f>
        <v>0</v>
      </c>
      <c r="AG251" s="10">
        <f>IFERROR(__xludf.DUMMYFUNCTION("""COMPUTED_VALUE"""),8.0)</f>
        <v>8</v>
      </c>
      <c r="AH251" s="10">
        <f>IFERROR(__xludf.DUMMYFUNCTION("""COMPUTED_VALUE"""),0.0)</f>
        <v>0</v>
      </c>
      <c r="AI251" s="10">
        <f>IFERROR(__xludf.DUMMYFUNCTION("""COMPUTED_VALUE"""),8.0)</f>
        <v>8</v>
      </c>
      <c r="AJ251" s="11" t="str">
        <f>IFERROR(__xludf.DUMMYFUNCTION("""COMPUTED_VALUE"""),"https://drive.google.com/open?id=1xQug3CNANa-1fJTjvQaAWrGsH-94rhW7")</f>
        <v>https://drive.google.com/open?id=1xQug3CNANa-1fJTjvQaAWrGsH-94rhW7</v>
      </c>
      <c r="AK251" s="12"/>
      <c r="AL251" s="12"/>
      <c r="AM251" s="12"/>
      <c r="AN251" s="12" t="str">
        <f>IFERROR(__xludf.DUMMYFUNCTION("""COMPUTED_VALUE"""),"3rd week")</f>
        <v>3rd week</v>
      </c>
      <c r="AO251" s="13">
        <v>3.0</v>
      </c>
      <c r="AX251" s="17"/>
    </row>
    <row r="252">
      <c r="A252" s="8">
        <v>251.0</v>
      </c>
      <c r="B252" s="9">
        <f>IFERROR(__xludf.DUMMYFUNCTION("""COMPUTED_VALUE"""),45805.51623565972)</f>
        <v>45805.51624</v>
      </c>
      <c r="C252" s="10" t="str">
        <f>IFERROR(__xludf.DUMMYFUNCTION("""COMPUTED_VALUE"""),"Adnan Bashir")</f>
        <v>Adnan Bashir</v>
      </c>
      <c r="D252" s="10" t="str">
        <f>IFERROR(__xludf.DUMMYFUNCTION("""COMPUTED_VALUE"""),"03466626866")</f>
        <v>03466626866</v>
      </c>
      <c r="E252" s="10" t="str">
        <f>IFERROR(__xludf.DUMMYFUNCTION("""COMPUTED_VALUE"""),"Jamia Masjid Onchi Pansaria")</f>
        <v>Jamia Masjid Onchi Pansaria</v>
      </c>
      <c r="F252" s="10" t="str">
        <f>IFERROR(__xludf.DUMMYFUNCTION("""COMPUTED_VALUE"""),"Oyfuj")</f>
        <v>Oyfuj</v>
      </c>
      <c r="G252" s="10" t="str">
        <f>IFERROR(__xludf.DUMMYFUNCTION("""COMPUTED_VALUE"""),"No")</f>
        <v>No</v>
      </c>
      <c r="H252" s="10"/>
      <c r="I252" s="10"/>
      <c r="J252" s="10"/>
      <c r="K252" s="10">
        <f>IFERROR(__xludf.DUMMYFUNCTION("""COMPUTED_VALUE"""),0.0)</f>
        <v>0</v>
      </c>
      <c r="L252" s="10">
        <f>IFERROR(__xludf.DUMMYFUNCTION("""COMPUTED_VALUE"""),0.0)</f>
        <v>0</v>
      </c>
      <c r="M252" s="10">
        <f>IFERROR(__xludf.DUMMYFUNCTION("""COMPUTED_VALUE"""),0.0)</f>
        <v>0</v>
      </c>
      <c r="N252" s="10">
        <f>IFERROR(__xludf.DUMMYFUNCTION("""COMPUTED_VALUE"""),0.0)</f>
        <v>0</v>
      </c>
      <c r="O252" s="10">
        <f>IFERROR(__xludf.DUMMYFUNCTION("""COMPUTED_VALUE"""),0.0)</f>
        <v>0</v>
      </c>
      <c r="P252" s="10">
        <f>IFERROR(__xludf.DUMMYFUNCTION("""COMPUTED_VALUE"""),0.0)</f>
        <v>0</v>
      </c>
      <c r="Q252" s="10" t="str">
        <f>IFERROR(__xludf.DUMMYFUNCTION("""COMPUTED_VALUE"""),"No")</f>
        <v>No</v>
      </c>
      <c r="R252" s="10" t="str">
        <f>IFERROR(__xludf.DUMMYFUNCTION("""COMPUTED_VALUE"""),"No")</f>
        <v>No</v>
      </c>
      <c r="S252" s="10" t="str">
        <f>IFERROR(__xludf.DUMMYFUNCTION("""COMPUTED_VALUE"""),"No")</f>
        <v>No</v>
      </c>
      <c r="T252" s="10">
        <f>IFERROR(__xludf.DUMMYFUNCTION("""COMPUTED_VALUE"""),0.0)</f>
        <v>0</v>
      </c>
      <c r="U252" s="10">
        <f>IFERROR(__xludf.DUMMYFUNCTION("""COMPUTED_VALUE"""),0.0)</f>
        <v>0</v>
      </c>
      <c r="V252" s="10" t="str">
        <f>IFERROR(__xludf.DUMMYFUNCTION("""COMPUTED_VALUE"""),"اللہ تعالیٰ کی خوشنودی کے لیے کسی کو دست بانا یا دشمنبنانا")</f>
        <v>اللہ تعالیٰ کی خوشنودی کے لیے کسی کو دست بانا یا دشمنبنانا</v>
      </c>
      <c r="W252" s="10" t="str">
        <f>IFERROR(__xludf.DUMMYFUNCTION("""COMPUTED_VALUE"""),"اللہ تعالیٰ کی خوشنودی حاصل کرنے کے لیے کسی کو دوست رکھنا اور کسی سے تعلقات ختم کرنا")</f>
        <v>اللہ تعالیٰ کی خوشنودی حاصل کرنے کے لیے کسی کو دوست رکھنا اور کسی سے تعلقات ختم کرنا</v>
      </c>
      <c r="X252" s="10">
        <f>IFERROR(__xludf.DUMMYFUNCTION("""COMPUTED_VALUE"""),0.0)</f>
        <v>0</v>
      </c>
      <c r="Y252" s="10">
        <f>IFERROR(__xludf.DUMMYFUNCTION("""COMPUTED_VALUE"""),0.0)</f>
        <v>0</v>
      </c>
      <c r="Z252" s="10">
        <f>IFERROR(__xludf.DUMMYFUNCTION("""COMPUTED_VALUE"""),0.0)</f>
        <v>0</v>
      </c>
      <c r="AA252" s="10">
        <f>IFERROR(__xludf.DUMMYFUNCTION("""COMPUTED_VALUE"""),0.0)</f>
        <v>0</v>
      </c>
      <c r="AB252" s="10">
        <f>IFERROR(__xludf.DUMMYFUNCTION("""COMPUTED_VALUE"""),0.0)</f>
        <v>0</v>
      </c>
      <c r="AC252" s="10">
        <f>IFERROR(__xludf.DUMMYFUNCTION("""COMPUTED_VALUE"""),0.0)</f>
        <v>0</v>
      </c>
      <c r="AD252" s="10">
        <f>IFERROR(__xludf.DUMMYFUNCTION("""COMPUTED_VALUE"""),0.0)</f>
        <v>0</v>
      </c>
      <c r="AE252" s="10">
        <f>IFERROR(__xludf.DUMMYFUNCTION("""COMPUTED_VALUE"""),0.0)</f>
        <v>0</v>
      </c>
      <c r="AF252" s="10">
        <f>IFERROR(__xludf.DUMMYFUNCTION("""COMPUTED_VALUE"""),5.0)</f>
        <v>5</v>
      </c>
      <c r="AG252" s="10">
        <f>IFERROR(__xludf.DUMMYFUNCTION("""COMPUTED_VALUE"""),8.0)</f>
        <v>8</v>
      </c>
      <c r="AH252" s="10">
        <f>IFERROR(__xludf.DUMMYFUNCTION("""COMPUTED_VALUE"""),0.0)</f>
        <v>0</v>
      </c>
      <c r="AI252" s="10">
        <f>IFERROR(__xludf.DUMMYFUNCTION("""COMPUTED_VALUE"""),8.0)</f>
        <v>8</v>
      </c>
      <c r="AJ252" s="11" t="str">
        <f>IFERROR(__xludf.DUMMYFUNCTION("""COMPUTED_VALUE"""),"https://drive.google.com/open?id=1AiXT0B3obD_avWLi6fW7FBnla14Z96t6")</f>
        <v>https://drive.google.com/open?id=1AiXT0B3obD_avWLi6fW7FBnla14Z96t6</v>
      </c>
      <c r="AK252" s="12"/>
      <c r="AL252" s="12"/>
      <c r="AM252" s="12"/>
      <c r="AN252" s="12" t="str">
        <f>IFERROR(__xludf.DUMMYFUNCTION("""COMPUTED_VALUE"""),"1st week")</f>
        <v>1st week</v>
      </c>
      <c r="AO252" s="13">
        <v>1.0</v>
      </c>
      <c r="AX252" s="17"/>
    </row>
    <row r="253">
      <c r="A253" s="8">
        <v>252.0</v>
      </c>
      <c r="B253" s="9">
        <f>IFERROR(__xludf.DUMMYFUNCTION("""COMPUTED_VALUE"""),45805.523289247685)</f>
        <v>45805.52329</v>
      </c>
      <c r="C253" s="10" t="str">
        <f>IFERROR(__xludf.DUMMYFUNCTION("""COMPUTED_VALUE"""),"Adnan Bashir")</f>
        <v>Adnan Bashir</v>
      </c>
      <c r="D253" s="10" t="str">
        <f>IFERROR(__xludf.DUMMYFUNCTION("""COMPUTED_VALUE"""),"03466626866")</f>
        <v>03466626866</v>
      </c>
      <c r="E253" s="10" t="str">
        <f>IFERROR(__xludf.DUMMYFUNCTION("""COMPUTED_VALUE"""),"JAMIA MASJID unche Pansaria ")</f>
        <v>JAMIA MASJID unche Pansaria </v>
      </c>
      <c r="F253" s="10" t="str">
        <f>IFERROR(__xludf.DUMMYFUNCTION("""COMPUTED_VALUE"""),"Oyfuj")</f>
        <v>Oyfuj</v>
      </c>
      <c r="G253" s="10" t="str">
        <f>IFERROR(__xludf.DUMMYFUNCTION("""COMPUTED_VALUE"""),"No")</f>
        <v>No</v>
      </c>
      <c r="H253" s="10"/>
      <c r="I253" s="10"/>
      <c r="J253" s="10"/>
      <c r="K253" s="10">
        <f>IFERROR(__xludf.DUMMYFUNCTION("""COMPUTED_VALUE"""),0.0)</f>
        <v>0</v>
      </c>
      <c r="L253" s="10">
        <f>IFERROR(__xludf.DUMMYFUNCTION("""COMPUTED_VALUE"""),0.0)</f>
        <v>0</v>
      </c>
      <c r="M253" s="10">
        <f>IFERROR(__xludf.DUMMYFUNCTION("""COMPUTED_VALUE"""),0.0)</f>
        <v>0</v>
      </c>
      <c r="N253" s="10">
        <f>IFERROR(__xludf.DUMMYFUNCTION("""COMPUTED_VALUE"""),0.0)</f>
        <v>0</v>
      </c>
      <c r="O253" s="10">
        <f>IFERROR(__xludf.DUMMYFUNCTION("""COMPUTED_VALUE"""),0.0)</f>
        <v>0</v>
      </c>
      <c r="P253" s="10">
        <f>IFERROR(__xludf.DUMMYFUNCTION("""COMPUTED_VALUE"""),0.0)</f>
        <v>0</v>
      </c>
      <c r="Q253" s="10" t="str">
        <f>IFERROR(__xludf.DUMMYFUNCTION("""COMPUTED_VALUE"""),"No")</f>
        <v>No</v>
      </c>
      <c r="R253" s="10" t="str">
        <f>IFERROR(__xludf.DUMMYFUNCTION("""COMPUTED_VALUE"""),"No")</f>
        <v>No</v>
      </c>
      <c r="S253" s="10" t="str">
        <f>IFERROR(__xludf.DUMMYFUNCTION("""COMPUTED_VALUE"""),"No")</f>
        <v>No</v>
      </c>
      <c r="T253" s="10">
        <f>IFERROR(__xludf.DUMMYFUNCTION("""COMPUTED_VALUE"""),0.0)</f>
        <v>0</v>
      </c>
      <c r="U253" s="10">
        <f>IFERROR(__xludf.DUMMYFUNCTION("""COMPUTED_VALUE"""),0.0)</f>
        <v>0</v>
      </c>
      <c r="V253" s="10" t="str">
        <f>IFERROR(__xludf.DUMMYFUNCTION("""COMPUTED_VALUE"""),"عہد نبھانا")</f>
        <v>عہد نبھانا</v>
      </c>
      <c r="W253" s="10" t="str">
        <f>IFERROR(__xludf.DUMMYFUNCTION("""COMPUTED_VALUE"""),"اللہ تعالیٰ کے ساتھ عہد کو نبھائیں")</f>
        <v>اللہ تعالیٰ کے ساتھ عہد کو نبھائیں</v>
      </c>
      <c r="X253" s="10">
        <f>IFERROR(__xludf.DUMMYFUNCTION("""COMPUTED_VALUE"""),0.0)</f>
        <v>0</v>
      </c>
      <c r="Y253" s="10">
        <f>IFERROR(__xludf.DUMMYFUNCTION("""COMPUTED_VALUE"""),0.0)</f>
        <v>0</v>
      </c>
      <c r="Z253" s="10">
        <f>IFERROR(__xludf.DUMMYFUNCTION("""COMPUTED_VALUE"""),0.0)</f>
        <v>0</v>
      </c>
      <c r="AA253" s="10">
        <f>IFERROR(__xludf.DUMMYFUNCTION("""COMPUTED_VALUE"""),0.0)</f>
        <v>0</v>
      </c>
      <c r="AB253" s="10">
        <f>IFERROR(__xludf.DUMMYFUNCTION("""COMPUTED_VALUE"""),0.0)</f>
        <v>0</v>
      </c>
      <c r="AC253" s="10">
        <f>IFERROR(__xludf.DUMMYFUNCTION("""COMPUTED_VALUE"""),0.0)</f>
        <v>0</v>
      </c>
      <c r="AD253" s="10">
        <f>IFERROR(__xludf.DUMMYFUNCTION("""COMPUTED_VALUE"""),0.0)</f>
        <v>0</v>
      </c>
      <c r="AE253" s="10">
        <f>IFERROR(__xludf.DUMMYFUNCTION("""COMPUTED_VALUE"""),0.0)</f>
        <v>0</v>
      </c>
      <c r="AF253" s="10">
        <f>IFERROR(__xludf.DUMMYFUNCTION("""COMPUTED_VALUE"""),5.0)</f>
        <v>5</v>
      </c>
      <c r="AG253" s="10">
        <f>IFERROR(__xludf.DUMMYFUNCTION("""COMPUTED_VALUE"""),7.0)</f>
        <v>7</v>
      </c>
      <c r="AH253" s="10">
        <f>IFERROR(__xludf.DUMMYFUNCTION("""COMPUTED_VALUE"""),0.0)</f>
        <v>0</v>
      </c>
      <c r="AI253" s="10">
        <f>IFERROR(__xludf.DUMMYFUNCTION("""COMPUTED_VALUE"""),7.0)</f>
        <v>7</v>
      </c>
      <c r="AJ253" s="11" t="str">
        <f>IFERROR(__xludf.DUMMYFUNCTION("""COMPUTED_VALUE"""),"https://drive.google.com/open?id=1osEh3c1WHwAe93s5E9Gj0nWzYB7y_L9Q")</f>
        <v>https://drive.google.com/open?id=1osEh3c1WHwAe93s5E9Gj0nWzYB7y_L9Q</v>
      </c>
      <c r="AK253" s="12"/>
      <c r="AL253" s="12"/>
      <c r="AM253" s="12"/>
      <c r="AN253" s="12" t="str">
        <f>IFERROR(__xludf.DUMMYFUNCTION("""COMPUTED_VALUE"""),"2nd week")</f>
        <v>2nd week</v>
      </c>
      <c r="AO253" s="13">
        <v>3.0</v>
      </c>
      <c r="AX253" s="17"/>
    </row>
    <row r="254">
      <c r="A254" s="8">
        <v>253.0</v>
      </c>
      <c r="B254" s="9">
        <f>IFERROR(__xludf.DUMMYFUNCTION("""COMPUTED_VALUE"""),45805.90394576389)</f>
        <v>45805.90395</v>
      </c>
      <c r="C254" s="10" t="str">
        <f>IFERROR(__xludf.DUMMYFUNCTION("""COMPUTED_VALUE"""),"Adnan Bashir")</f>
        <v>Adnan Bashir</v>
      </c>
      <c r="D254" s="10" t="str">
        <f>IFERROR(__xludf.DUMMYFUNCTION("""COMPUTED_VALUE"""),"03466626866")</f>
        <v>03466626866</v>
      </c>
      <c r="E254" s="10" t="str">
        <f>IFERROR(__xludf.DUMMYFUNCTION("""COMPUTED_VALUE"""),"Jamia Masjid Darbar Chilla Ga Kangna PEERA Ahmal Pura")</f>
        <v>Jamia Masjid Darbar Chilla Ga Kangna PEERA Ahmal Pura</v>
      </c>
      <c r="F254" s="10" t="str">
        <f>IFERROR(__xludf.DUMMYFUNCTION("""COMPUTED_VALUE"""),"Oiuji")</f>
        <v>Oiuji</v>
      </c>
      <c r="G254" s="10" t="str">
        <f>IFERROR(__xludf.DUMMYFUNCTION("""COMPUTED_VALUE"""),"Yes")</f>
        <v>Yes</v>
      </c>
      <c r="H254" s="10">
        <f>IFERROR(__xludf.DUMMYFUNCTION("""COMPUTED_VALUE"""),0.0)</f>
        <v>0</v>
      </c>
      <c r="I254" s="10">
        <f>IFERROR(__xludf.DUMMYFUNCTION("""COMPUTED_VALUE"""),10.0)</f>
        <v>10</v>
      </c>
      <c r="J254" s="10">
        <f>IFERROR(__xludf.DUMMYFUNCTION("""COMPUTED_VALUE"""),0.0)</f>
        <v>0</v>
      </c>
      <c r="K254" s="10">
        <f>IFERROR(__xludf.DUMMYFUNCTION("""COMPUTED_VALUE"""),0.0)</f>
        <v>0</v>
      </c>
      <c r="L254" s="10">
        <f>IFERROR(__xludf.DUMMYFUNCTION("""COMPUTED_VALUE"""),0.0)</f>
        <v>0</v>
      </c>
      <c r="M254" s="10">
        <f>IFERROR(__xludf.DUMMYFUNCTION("""COMPUTED_VALUE"""),0.0)</f>
        <v>0</v>
      </c>
      <c r="N254" s="10">
        <f>IFERROR(__xludf.DUMMYFUNCTION("""COMPUTED_VALUE"""),0.0)</f>
        <v>0</v>
      </c>
      <c r="O254" s="10">
        <f>IFERROR(__xludf.DUMMYFUNCTION("""COMPUTED_VALUE"""),0.0)</f>
        <v>0</v>
      </c>
      <c r="P254" s="10">
        <f>IFERROR(__xludf.DUMMYFUNCTION("""COMPUTED_VALUE"""),0.0)</f>
        <v>0</v>
      </c>
      <c r="Q254" s="10" t="str">
        <f>IFERROR(__xludf.DUMMYFUNCTION("""COMPUTED_VALUE"""),"No")</f>
        <v>No</v>
      </c>
      <c r="R254" s="10" t="str">
        <f>IFERROR(__xludf.DUMMYFUNCTION("""COMPUTED_VALUE"""),"No")</f>
        <v>No</v>
      </c>
      <c r="S254" s="10" t="str">
        <f>IFERROR(__xludf.DUMMYFUNCTION("""COMPUTED_VALUE"""),"No")</f>
        <v>No</v>
      </c>
      <c r="T254" s="10">
        <f>IFERROR(__xludf.DUMMYFUNCTION("""COMPUTED_VALUE"""),0.0)</f>
        <v>0</v>
      </c>
      <c r="U254" s="10">
        <f>IFERROR(__xludf.DUMMYFUNCTION("""COMPUTED_VALUE"""),0.0)</f>
        <v>0</v>
      </c>
      <c r="V254" s="10" t="str">
        <f>IFERROR(__xludf.DUMMYFUNCTION("""COMPUTED_VALUE"""),"Palestine k liya dua aor madad")</f>
        <v>Palestine k liya dua aor madad</v>
      </c>
      <c r="W254" s="10" t="str">
        <f>IFERROR(__xludf.DUMMYFUNCTION("""COMPUTED_VALUE"""),"فلسطین میں بیت المقدس کی حرمت کعبہ اللہ کے گھر کے جتنی ہے اس کی حفاظت کے لیے دعا کریں")</f>
        <v>فلسطین میں بیت المقدس کی حرمت کعبہ اللہ کے گھر کے جتنی ہے اس کی حفاظت کے لیے دعا کریں</v>
      </c>
      <c r="X254" s="10">
        <f>IFERROR(__xludf.DUMMYFUNCTION("""COMPUTED_VALUE"""),0.0)</f>
        <v>0</v>
      </c>
      <c r="Y254" s="10">
        <f>IFERROR(__xludf.DUMMYFUNCTION("""COMPUTED_VALUE"""),0.0)</f>
        <v>0</v>
      </c>
      <c r="Z254" s="10">
        <f>IFERROR(__xludf.DUMMYFUNCTION("""COMPUTED_VALUE"""),0.0)</f>
        <v>0</v>
      </c>
      <c r="AA254" s="10">
        <f>IFERROR(__xludf.DUMMYFUNCTION("""COMPUTED_VALUE"""),0.0)</f>
        <v>0</v>
      </c>
      <c r="AB254" s="10">
        <f>IFERROR(__xludf.DUMMYFUNCTION("""COMPUTED_VALUE"""),0.0)</f>
        <v>0</v>
      </c>
      <c r="AC254" s="10">
        <f>IFERROR(__xludf.DUMMYFUNCTION("""COMPUTED_VALUE"""),0.0)</f>
        <v>0</v>
      </c>
      <c r="AD254" s="10">
        <f>IFERROR(__xludf.DUMMYFUNCTION("""COMPUTED_VALUE"""),0.0)</f>
        <v>0</v>
      </c>
      <c r="AE254" s="10">
        <f>IFERROR(__xludf.DUMMYFUNCTION("""COMPUTED_VALUE"""),0.0)</f>
        <v>0</v>
      </c>
      <c r="AF254" s="10">
        <f>IFERROR(__xludf.DUMMYFUNCTION("""COMPUTED_VALUE"""),0.0)</f>
        <v>0</v>
      </c>
      <c r="AG254" s="10">
        <f>IFERROR(__xludf.DUMMYFUNCTION("""COMPUTED_VALUE"""),7.0)</f>
        <v>7</v>
      </c>
      <c r="AH254" s="10">
        <f>IFERROR(__xludf.DUMMYFUNCTION("""COMPUTED_VALUE"""),0.0)</f>
        <v>0</v>
      </c>
      <c r="AI254" s="10">
        <f>IFERROR(__xludf.DUMMYFUNCTION("""COMPUTED_VALUE"""),6.0)</f>
        <v>6</v>
      </c>
      <c r="AJ254" s="11" t="str">
        <f>IFERROR(__xludf.DUMMYFUNCTION("""COMPUTED_VALUE"""),"https://drive.google.com/open?id=1ib-x7ebUme02xW40b8HA8MGtwedWc1wd")</f>
        <v>https://drive.google.com/open?id=1ib-x7ebUme02xW40b8HA8MGtwedWc1wd</v>
      </c>
      <c r="AK254" s="12"/>
      <c r="AL254" s="12" t="str">
        <f>IFERROR(__xludf.DUMMYFUNCTION("""COMPUTED_VALUE"""),"Yes")</f>
        <v>Yes</v>
      </c>
      <c r="AM254" s="15">
        <f>IFERROR(__xludf.DUMMYFUNCTION("""COMPUTED_VALUE"""),0.0)</f>
        <v>0</v>
      </c>
      <c r="AN254" s="12" t="str">
        <f>IFERROR(__xludf.DUMMYFUNCTION("""COMPUTED_VALUE"""),"1st week")</f>
        <v>1st week</v>
      </c>
      <c r="AO254" s="13">
        <v>1.0</v>
      </c>
      <c r="AX254" s="17"/>
    </row>
    <row r="255">
      <c r="A255" s="8">
        <v>254.0</v>
      </c>
      <c r="B255" s="9">
        <f>IFERROR(__xludf.DUMMYFUNCTION("""COMPUTED_VALUE"""),45805.91139047453)</f>
        <v>45805.91139</v>
      </c>
      <c r="C255" s="10" t="str">
        <f>IFERROR(__xludf.DUMMYFUNCTION("""COMPUTED_VALUE"""),"Adnan Bashir")</f>
        <v>Adnan Bashir</v>
      </c>
      <c r="D255" s="10" t="str">
        <f>IFERROR(__xludf.DUMMYFUNCTION("""COMPUTED_VALUE"""),"03466626866")</f>
        <v>03466626866</v>
      </c>
      <c r="E255" s="10" t="str">
        <f>IFERROR(__xludf.DUMMYFUNCTION("""COMPUTED_VALUE"""),"Jamia Masjid Darbar Chilla Ga Kangna PEERA Ahmal Pura Sialkot ")</f>
        <v>Jamia Masjid Darbar Chilla Ga Kangna PEERA Ahmal Pura Sialkot </v>
      </c>
      <c r="F255" s="10" t="str">
        <f>IFERROR(__xludf.DUMMYFUNCTION("""COMPUTED_VALUE"""),"Oiuji")</f>
        <v>Oiuji</v>
      </c>
      <c r="G255" s="10" t="str">
        <f>IFERROR(__xludf.DUMMYFUNCTION("""COMPUTED_VALUE"""),"Yes")</f>
        <v>Yes</v>
      </c>
      <c r="H255" s="10">
        <f>IFERROR(__xludf.DUMMYFUNCTION("""COMPUTED_VALUE"""),0.0)</f>
        <v>0</v>
      </c>
      <c r="I255" s="10">
        <f>IFERROR(__xludf.DUMMYFUNCTION("""COMPUTED_VALUE"""),10.0)</f>
        <v>10</v>
      </c>
      <c r="J255" s="10">
        <f>IFERROR(__xludf.DUMMYFUNCTION("""COMPUTED_VALUE"""),0.0)</f>
        <v>0</v>
      </c>
      <c r="K255" s="10">
        <f>IFERROR(__xludf.DUMMYFUNCTION("""COMPUTED_VALUE"""),0.0)</f>
        <v>0</v>
      </c>
      <c r="L255" s="10">
        <f>IFERROR(__xludf.DUMMYFUNCTION("""COMPUTED_VALUE"""),0.0)</f>
        <v>0</v>
      </c>
      <c r="M255" s="10">
        <f>IFERROR(__xludf.DUMMYFUNCTION("""COMPUTED_VALUE"""),0.0)</f>
        <v>0</v>
      </c>
      <c r="N255" s="10">
        <f>IFERROR(__xludf.DUMMYFUNCTION("""COMPUTED_VALUE"""),0.0)</f>
        <v>0</v>
      </c>
      <c r="O255" s="10">
        <f>IFERROR(__xludf.DUMMYFUNCTION("""COMPUTED_VALUE"""),0.0)</f>
        <v>0</v>
      </c>
      <c r="P255" s="10">
        <f>IFERROR(__xludf.DUMMYFUNCTION("""COMPUTED_VALUE"""),0.0)</f>
        <v>0</v>
      </c>
      <c r="Q255" s="10" t="str">
        <f>IFERROR(__xludf.DUMMYFUNCTION("""COMPUTED_VALUE"""),"No")</f>
        <v>No</v>
      </c>
      <c r="R255" s="10" t="str">
        <f>IFERROR(__xludf.DUMMYFUNCTION("""COMPUTED_VALUE"""),"No")</f>
        <v>No</v>
      </c>
      <c r="S255" s="10" t="str">
        <f>IFERROR(__xludf.DUMMYFUNCTION("""COMPUTED_VALUE"""),"No")</f>
        <v>No</v>
      </c>
      <c r="T255" s="10">
        <f>IFERROR(__xludf.DUMMYFUNCTION("""COMPUTED_VALUE"""),0.0)</f>
        <v>0</v>
      </c>
      <c r="U255" s="10">
        <f>IFERROR(__xludf.DUMMYFUNCTION("""COMPUTED_VALUE"""),0.0)</f>
        <v>0</v>
      </c>
      <c r="V255" s="10" t="str">
        <f>IFERROR(__xludf.DUMMYFUNCTION("""COMPUTED_VALUE"""),"Allah Ka Qurb")</f>
        <v>Allah Ka Qurb</v>
      </c>
      <c r="W255" s="10" t="str">
        <f>IFERROR(__xludf.DUMMYFUNCTION("""COMPUTED_VALUE"""),"اللہ کے قرب کو حاصل کرنے کے لیے اپنی عزت و احترام کو قربان کرنا اور دل میں غرور کا ذرا بھی احساس نہ ہونے دینا")</f>
        <v>اللہ کے قرب کو حاصل کرنے کے لیے اپنی عزت و احترام کو قربان کرنا اور دل میں غرور کا ذرا بھی احساس نہ ہونے دینا</v>
      </c>
      <c r="X255" s="10">
        <f>IFERROR(__xludf.DUMMYFUNCTION("""COMPUTED_VALUE"""),0.0)</f>
        <v>0</v>
      </c>
      <c r="Y255" s="10">
        <f>IFERROR(__xludf.DUMMYFUNCTION("""COMPUTED_VALUE"""),0.0)</f>
        <v>0</v>
      </c>
      <c r="Z255" s="10">
        <f>IFERROR(__xludf.DUMMYFUNCTION("""COMPUTED_VALUE"""),0.0)</f>
        <v>0</v>
      </c>
      <c r="AA255" s="10">
        <f>IFERROR(__xludf.DUMMYFUNCTION("""COMPUTED_VALUE"""),0.0)</f>
        <v>0</v>
      </c>
      <c r="AB255" s="10">
        <f>IFERROR(__xludf.DUMMYFUNCTION("""COMPUTED_VALUE"""),0.0)</f>
        <v>0</v>
      </c>
      <c r="AC255" s="10">
        <f>IFERROR(__xludf.DUMMYFUNCTION("""COMPUTED_VALUE"""),0.0)</f>
        <v>0</v>
      </c>
      <c r="AD255" s="10">
        <f>IFERROR(__xludf.DUMMYFUNCTION("""COMPUTED_VALUE"""),0.0)</f>
        <v>0</v>
      </c>
      <c r="AE255" s="10">
        <f>IFERROR(__xludf.DUMMYFUNCTION("""COMPUTED_VALUE"""),0.0)</f>
        <v>0</v>
      </c>
      <c r="AF255" s="10">
        <f>IFERROR(__xludf.DUMMYFUNCTION("""COMPUTED_VALUE"""),0.0)</f>
        <v>0</v>
      </c>
      <c r="AG255" s="10">
        <f>IFERROR(__xludf.DUMMYFUNCTION("""COMPUTED_VALUE"""),6.0)</f>
        <v>6</v>
      </c>
      <c r="AH255" s="10">
        <f>IFERROR(__xludf.DUMMYFUNCTION("""COMPUTED_VALUE"""),0.0)</f>
        <v>0</v>
      </c>
      <c r="AI255" s="10">
        <f>IFERROR(__xludf.DUMMYFUNCTION("""COMPUTED_VALUE"""),6.0)</f>
        <v>6</v>
      </c>
      <c r="AJ255" s="11" t="str">
        <f>IFERROR(__xludf.DUMMYFUNCTION("""COMPUTED_VALUE"""),"https://drive.google.com/open?id=1ji2sfTQ5BaaGMn1rETuykWM4y5FocFjr")</f>
        <v>https://drive.google.com/open?id=1ji2sfTQ5BaaGMn1rETuykWM4y5FocFjr</v>
      </c>
      <c r="AK255" s="12"/>
      <c r="AL255" s="12" t="str">
        <f>IFERROR(__xludf.DUMMYFUNCTION("""COMPUTED_VALUE"""),"Yes")</f>
        <v>Yes</v>
      </c>
      <c r="AM255" s="15">
        <f>IFERROR(__xludf.DUMMYFUNCTION("""COMPUTED_VALUE"""),0.0)</f>
        <v>0</v>
      </c>
      <c r="AN255" s="12" t="str">
        <f>IFERROR(__xludf.DUMMYFUNCTION("""COMPUTED_VALUE"""),"2nd week")</f>
        <v>2nd week</v>
      </c>
      <c r="AO255" s="13">
        <v>4.0</v>
      </c>
      <c r="AX255" s="17"/>
    </row>
    <row r="256">
      <c r="A256" s="8">
        <v>255.0</v>
      </c>
      <c r="B256" s="9">
        <f>IFERROR(__xludf.DUMMYFUNCTION("""COMPUTED_VALUE"""),45806.113236006946)</f>
        <v>45806.11324</v>
      </c>
      <c r="C256" s="10" t="str">
        <f>IFERROR(__xludf.DUMMYFUNCTION("""COMPUTED_VALUE"""),"M baqir")</f>
        <v>M baqir</v>
      </c>
      <c r="D256" s="10" t="str">
        <f>IFERROR(__xludf.DUMMYFUNCTION("""COMPUTED_VALUE"""),"03005551884")</f>
        <v>03005551884</v>
      </c>
      <c r="E256" s="10" t="str">
        <f>IFERROR(__xludf.DUMMYFUNCTION("""COMPUTED_VALUE"""),"Jamia masjid emam Ali alhaq sialkot")</f>
        <v>Jamia masjid emam Ali alhaq sialkot</v>
      </c>
      <c r="F256" s="10" t="str">
        <f>IFERROR(__xludf.DUMMYFUNCTION("""COMPUTED_VALUE"""),"Aknhz")</f>
        <v>Aknhz</v>
      </c>
      <c r="G256" s="10" t="str">
        <f>IFERROR(__xludf.DUMMYFUNCTION("""COMPUTED_VALUE"""),"No")</f>
        <v>No</v>
      </c>
      <c r="H256" s="10"/>
      <c r="I256" s="10"/>
      <c r="J256" s="10"/>
      <c r="K256" s="10">
        <f>IFERROR(__xludf.DUMMYFUNCTION("""COMPUTED_VALUE"""),6.0)</f>
        <v>6</v>
      </c>
      <c r="L256" s="10">
        <f>IFERROR(__xludf.DUMMYFUNCTION("""COMPUTED_VALUE"""),2.0)</f>
        <v>2</v>
      </c>
      <c r="M256" s="10">
        <f>IFERROR(__xludf.DUMMYFUNCTION("""COMPUTED_VALUE"""),3.0)</f>
        <v>3</v>
      </c>
      <c r="N256" s="10">
        <f>IFERROR(__xludf.DUMMYFUNCTION("""COMPUTED_VALUE"""),6.0)</f>
        <v>6</v>
      </c>
      <c r="O256" s="10">
        <f>IFERROR(__xludf.DUMMYFUNCTION("""COMPUTED_VALUE"""),6.0)</f>
        <v>6</v>
      </c>
      <c r="P256" s="10">
        <f>IFERROR(__xludf.DUMMYFUNCTION("""COMPUTED_VALUE"""),5.0)</f>
        <v>5</v>
      </c>
      <c r="Q256" s="10" t="str">
        <f>IFERROR(__xludf.DUMMYFUNCTION("""COMPUTED_VALUE"""),"No")</f>
        <v>No</v>
      </c>
      <c r="R256" s="10" t="str">
        <f>IFERROR(__xludf.DUMMYFUNCTION("""COMPUTED_VALUE"""),"No")</f>
        <v>No</v>
      </c>
      <c r="S256" s="10" t="str">
        <f>IFERROR(__xludf.DUMMYFUNCTION("""COMPUTED_VALUE"""),"No")</f>
        <v>No</v>
      </c>
      <c r="T256" s="10">
        <f>IFERROR(__xludf.DUMMYFUNCTION("""COMPUTED_VALUE"""),7.0)</f>
        <v>7</v>
      </c>
      <c r="U256" s="10">
        <f>IFERROR(__xludf.DUMMYFUNCTION("""COMPUTED_VALUE"""),7.0)</f>
        <v>7</v>
      </c>
      <c r="V256" s="10" t="str">
        <f>IFERROR(__xludf.DUMMYFUNCTION("""COMPUTED_VALUE"""),"Nil")</f>
        <v>Nil</v>
      </c>
      <c r="W256" s="10" t="str">
        <f>IFERROR(__xludf.DUMMYFUNCTION("""COMPUTED_VALUE"""),"Allah k nabi shan")</f>
        <v>Allah k nabi shan</v>
      </c>
      <c r="X256" s="10">
        <f>IFERROR(__xludf.DUMMYFUNCTION("""COMPUTED_VALUE"""),5.0)</f>
        <v>5</v>
      </c>
      <c r="Y256" s="10">
        <f>IFERROR(__xludf.DUMMYFUNCTION("""COMPUTED_VALUE"""),5.0)</f>
        <v>5</v>
      </c>
      <c r="Z256" s="10">
        <f>IFERROR(__xludf.DUMMYFUNCTION("""COMPUTED_VALUE"""),5.0)</f>
        <v>5</v>
      </c>
      <c r="AA256" s="10">
        <f>IFERROR(__xludf.DUMMYFUNCTION("""COMPUTED_VALUE"""),5.0)</f>
        <v>5</v>
      </c>
      <c r="AB256" s="10">
        <f>IFERROR(__xludf.DUMMYFUNCTION("""COMPUTED_VALUE"""),5.0)</f>
        <v>5</v>
      </c>
      <c r="AC256" s="10">
        <f>IFERROR(__xludf.DUMMYFUNCTION("""COMPUTED_VALUE"""),3.0)</f>
        <v>3</v>
      </c>
      <c r="AD256" s="10">
        <f>IFERROR(__xludf.DUMMYFUNCTION("""COMPUTED_VALUE"""),2.0)</f>
        <v>2</v>
      </c>
      <c r="AE256" s="10">
        <f>IFERROR(__xludf.DUMMYFUNCTION("""COMPUTED_VALUE"""),4.0)</f>
        <v>4</v>
      </c>
      <c r="AF256" s="10">
        <f>IFERROR(__xludf.DUMMYFUNCTION("""COMPUTED_VALUE"""),6.0)</f>
        <v>6</v>
      </c>
      <c r="AG256" s="10">
        <f>IFERROR(__xludf.DUMMYFUNCTION("""COMPUTED_VALUE"""),5.0)</f>
        <v>5</v>
      </c>
      <c r="AH256" s="10">
        <f>IFERROR(__xludf.DUMMYFUNCTION("""COMPUTED_VALUE"""),5.0)</f>
        <v>5</v>
      </c>
      <c r="AI256" s="10">
        <f>IFERROR(__xludf.DUMMYFUNCTION("""COMPUTED_VALUE"""),5.0)</f>
        <v>5</v>
      </c>
      <c r="AJ256" s="11" t="str">
        <f>IFERROR(__xludf.DUMMYFUNCTION("""COMPUTED_VALUE"""),"https://drive.google.com/open?id=1_32s0VOuZM0m8SOI5Z7l7mjV1TLH2jOb")</f>
        <v>https://drive.google.com/open?id=1_32s0VOuZM0m8SOI5Z7l7mjV1TLH2jOb</v>
      </c>
      <c r="AK256" s="12" t="str">
        <f>IFERROR(__xludf.DUMMYFUNCTION("""COMPUTED_VALUE"""),"Aa")</f>
        <v>Aa</v>
      </c>
      <c r="AL256" s="12"/>
      <c r="AM256" s="12"/>
      <c r="AN256" s="12" t="str">
        <f>IFERROR(__xludf.DUMMYFUNCTION("""COMPUTED_VALUE"""),"1st week")</f>
        <v>1st week</v>
      </c>
      <c r="AO256" s="13">
        <v>1.0</v>
      </c>
      <c r="AX256" s="17"/>
    </row>
    <row r="257">
      <c r="A257" s="8">
        <v>256.0</v>
      </c>
      <c r="B257" s="9">
        <f>IFERROR(__xludf.DUMMYFUNCTION("""COMPUTED_VALUE"""),45806.11734431713)</f>
        <v>45806.11734</v>
      </c>
      <c r="C257" s="10" t="str">
        <f>IFERROR(__xludf.DUMMYFUNCTION("""COMPUTED_VALUE"""),"Baqir")</f>
        <v>Baqir</v>
      </c>
      <c r="D257" s="10" t="str">
        <f>IFERROR(__xludf.DUMMYFUNCTION("""COMPUTED_VALUE"""),"03005551884")</f>
        <v>03005551884</v>
      </c>
      <c r="E257" s="10" t="str">
        <f>IFERROR(__xludf.DUMMYFUNCTION("""COMPUTED_VALUE"""),"Qotab shah wali narowal")</f>
        <v>Qotab shah wali narowal</v>
      </c>
      <c r="F257" s="10" t="str">
        <f>IFERROR(__xludf.DUMMYFUNCTION("""COMPUTED_VALUE"""),"Qlxff")</f>
        <v>Qlxff</v>
      </c>
      <c r="G257" s="10" t="str">
        <f>IFERROR(__xludf.DUMMYFUNCTION("""COMPUTED_VALUE"""),"Yes")</f>
        <v>Yes</v>
      </c>
      <c r="H257" s="10">
        <f>IFERROR(__xludf.DUMMYFUNCTION("""COMPUTED_VALUE"""),6.0)</f>
        <v>6</v>
      </c>
      <c r="I257" s="10">
        <f>IFERROR(__xludf.DUMMYFUNCTION("""COMPUTED_VALUE"""),5.0)</f>
        <v>5</v>
      </c>
      <c r="J257" s="10">
        <f>IFERROR(__xludf.DUMMYFUNCTION("""COMPUTED_VALUE"""),5.0)</f>
        <v>5</v>
      </c>
      <c r="K257" s="10">
        <f>IFERROR(__xludf.DUMMYFUNCTION("""COMPUTED_VALUE"""),8.0)</f>
        <v>8</v>
      </c>
      <c r="L257" s="10">
        <f>IFERROR(__xludf.DUMMYFUNCTION("""COMPUTED_VALUE"""),9.0)</f>
        <v>9</v>
      </c>
      <c r="M257" s="10">
        <f>IFERROR(__xludf.DUMMYFUNCTION("""COMPUTED_VALUE"""),9.0)</f>
        <v>9</v>
      </c>
      <c r="N257" s="10">
        <f>IFERROR(__xludf.DUMMYFUNCTION("""COMPUTED_VALUE"""),9.0)</f>
        <v>9</v>
      </c>
      <c r="O257" s="10">
        <f>IFERROR(__xludf.DUMMYFUNCTION("""COMPUTED_VALUE"""),9.0)</f>
        <v>9</v>
      </c>
      <c r="P257" s="10">
        <f>IFERROR(__xludf.DUMMYFUNCTION("""COMPUTED_VALUE"""),8.0)</f>
        <v>8</v>
      </c>
      <c r="Q257" s="10" t="str">
        <f>IFERROR(__xludf.DUMMYFUNCTION("""COMPUTED_VALUE"""),"Yes")</f>
        <v>Yes</v>
      </c>
      <c r="R257" s="10" t="str">
        <f>IFERROR(__xludf.DUMMYFUNCTION("""COMPUTED_VALUE"""),"Yes")</f>
        <v>Yes</v>
      </c>
      <c r="S257" s="10" t="str">
        <f>IFERROR(__xludf.DUMMYFUNCTION("""COMPUTED_VALUE"""),"Yes")</f>
        <v>Yes</v>
      </c>
      <c r="T257" s="10">
        <f>IFERROR(__xludf.DUMMYFUNCTION("""COMPUTED_VALUE"""),7.0)</f>
        <v>7</v>
      </c>
      <c r="U257" s="10">
        <f>IFERROR(__xludf.DUMMYFUNCTION("""COMPUTED_VALUE"""),8.0)</f>
        <v>8</v>
      </c>
      <c r="V257" s="10" t="str">
        <f>IFERROR(__xludf.DUMMYFUNCTION("""COMPUTED_VALUE"""),"Hamsayo k haqoq")</f>
        <v>Hamsayo k haqoq</v>
      </c>
      <c r="W257" s="10" t="str">
        <f>IFERROR(__xludf.DUMMYFUNCTION("""COMPUTED_VALUE"""),"Hamsayo haqooq")</f>
        <v>Hamsayo haqooq</v>
      </c>
      <c r="X257" s="10">
        <f>IFERROR(__xludf.DUMMYFUNCTION("""COMPUTED_VALUE"""),8.0)</f>
        <v>8</v>
      </c>
      <c r="Y257" s="10">
        <f>IFERROR(__xludf.DUMMYFUNCTION("""COMPUTED_VALUE"""),9.0)</f>
        <v>9</v>
      </c>
      <c r="Z257" s="10">
        <f>IFERROR(__xludf.DUMMYFUNCTION("""COMPUTED_VALUE"""),9.0)</f>
        <v>9</v>
      </c>
      <c r="AA257" s="10">
        <f>IFERROR(__xludf.DUMMYFUNCTION("""COMPUTED_VALUE"""),9.0)</f>
        <v>9</v>
      </c>
      <c r="AB257" s="10">
        <f>IFERROR(__xludf.DUMMYFUNCTION("""COMPUTED_VALUE"""),5.0)</f>
        <v>5</v>
      </c>
      <c r="AC257" s="10">
        <f>IFERROR(__xludf.DUMMYFUNCTION("""COMPUTED_VALUE"""),9.0)</f>
        <v>9</v>
      </c>
      <c r="AD257" s="10">
        <f>IFERROR(__xludf.DUMMYFUNCTION("""COMPUTED_VALUE"""),9.0)</f>
        <v>9</v>
      </c>
      <c r="AE257" s="10">
        <f>IFERROR(__xludf.DUMMYFUNCTION("""COMPUTED_VALUE"""),8.0)</f>
        <v>8</v>
      </c>
      <c r="AF257" s="10">
        <f>IFERROR(__xludf.DUMMYFUNCTION("""COMPUTED_VALUE"""),8.0)</f>
        <v>8</v>
      </c>
      <c r="AG257" s="10">
        <f>IFERROR(__xludf.DUMMYFUNCTION("""COMPUTED_VALUE"""),8.0)</f>
        <v>8</v>
      </c>
      <c r="AH257" s="10">
        <f>IFERROR(__xludf.DUMMYFUNCTION("""COMPUTED_VALUE"""),8.0)</f>
        <v>8</v>
      </c>
      <c r="AI257" s="10">
        <f>IFERROR(__xludf.DUMMYFUNCTION("""COMPUTED_VALUE"""),8.0)</f>
        <v>8</v>
      </c>
      <c r="AJ257" s="11" t="str">
        <f>IFERROR(__xludf.DUMMYFUNCTION("""COMPUTED_VALUE"""),"https://drive.google.com/open?id=1CvbYDI0ptbl8L3jlY1ojmIecXxVv78fZ")</f>
        <v>https://drive.google.com/open?id=1CvbYDI0ptbl8L3jlY1ojmIecXxVv78fZ</v>
      </c>
      <c r="AK257" s="12" t="str">
        <f>IFERROR(__xludf.DUMMYFUNCTION("""COMPUTED_VALUE"""),"Aa")</f>
        <v>Aa</v>
      </c>
      <c r="AL257" s="12" t="str">
        <f>IFERROR(__xludf.DUMMYFUNCTION("""COMPUTED_VALUE"""),"Yes")</f>
        <v>Yes</v>
      </c>
      <c r="AM257" s="15">
        <f>IFERROR(__xludf.DUMMYFUNCTION("""COMPUTED_VALUE"""),0.8)</f>
        <v>0.8</v>
      </c>
      <c r="AN257" s="12" t="str">
        <f>IFERROR(__xludf.DUMMYFUNCTION("""COMPUTED_VALUE"""),"2nd week")</f>
        <v>2nd week</v>
      </c>
      <c r="AO257" s="13">
        <v>1.0</v>
      </c>
      <c r="AX257" s="17"/>
    </row>
    <row r="258">
      <c r="A258" s="8">
        <v>257.0</v>
      </c>
      <c r="B258" s="9">
        <f>IFERROR(__xludf.DUMMYFUNCTION("""COMPUTED_VALUE"""),45806.159910393515)</f>
        <v>45806.15991</v>
      </c>
      <c r="C258" s="10" t="str">
        <f>IFERROR(__xludf.DUMMYFUNCTION("""COMPUTED_VALUE"""),"M Baqir")</f>
        <v>M Baqir</v>
      </c>
      <c r="D258" s="10" t="str">
        <f>IFERROR(__xludf.DUMMYFUNCTION("""COMPUTED_VALUE"""),"03005551884")</f>
        <v>03005551884</v>
      </c>
      <c r="E258" s="10" t="str">
        <f>IFERROR(__xludf.DUMMYFUNCTION("""COMPUTED_VALUE"""),"Jamia masjid qotab shah wali")</f>
        <v>Jamia masjid qotab shah wali</v>
      </c>
      <c r="F258" s="10" t="str">
        <f>IFERROR(__xludf.DUMMYFUNCTION("""COMPUTED_VALUE"""),"qlxff")</f>
        <v>qlxff</v>
      </c>
      <c r="G258" s="10" t="str">
        <f>IFERROR(__xludf.DUMMYFUNCTION("""COMPUTED_VALUE"""),"Yes")</f>
        <v>Yes</v>
      </c>
      <c r="H258" s="10">
        <f>IFERROR(__xludf.DUMMYFUNCTION("""COMPUTED_VALUE"""),8.0)</f>
        <v>8</v>
      </c>
      <c r="I258" s="10">
        <f>IFERROR(__xludf.DUMMYFUNCTION("""COMPUTED_VALUE"""),9.0)</f>
        <v>9</v>
      </c>
      <c r="J258" s="10">
        <f>IFERROR(__xludf.DUMMYFUNCTION("""COMPUTED_VALUE"""),9.0)</f>
        <v>9</v>
      </c>
      <c r="K258" s="10">
        <f>IFERROR(__xludf.DUMMYFUNCTION("""COMPUTED_VALUE"""),5.0)</f>
        <v>5</v>
      </c>
      <c r="L258" s="10">
        <f>IFERROR(__xludf.DUMMYFUNCTION("""COMPUTED_VALUE"""),5.0)</f>
        <v>5</v>
      </c>
      <c r="M258" s="10">
        <f>IFERROR(__xludf.DUMMYFUNCTION("""COMPUTED_VALUE"""),5.0)</f>
        <v>5</v>
      </c>
      <c r="N258" s="10">
        <f>IFERROR(__xludf.DUMMYFUNCTION("""COMPUTED_VALUE"""),5.0)</f>
        <v>5</v>
      </c>
      <c r="O258" s="10">
        <f>IFERROR(__xludf.DUMMYFUNCTION("""COMPUTED_VALUE"""),5.0)</f>
        <v>5</v>
      </c>
      <c r="P258" s="10">
        <f>IFERROR(__xludf.DUMMYFUNCTION("""COMPUTED_VALUE"""),5.0)</f>
        <v>5</v>
      </c>
      <c r="Q258" s="10" t="str">
        <f>IFERROR(__xludf.DUMMYFUNCTION("""COMPUTED_VALUE"""),"Yes")</f>
        <v>Yes</v>
      </c>
      <c r="R258" s="10" t="str">
        <f>IFERROR(__xludf.DUMMYFUNCTION("""COMPUTED_VALUE"""),"Yes")</f>
        <v>Yes</v>
      </c>
      <c r="S258" s="10" t="str">
        <f>IFERROR(__xludf.DUMMYFUNCTION("""COMPUTED_VALUE"""),"Yes")</f>
        <v>Yes</v>
      </c>
      <c r="T258" s="10">
        <f>IFERROR(__xludf.DUMMYFUNCTION("""COMPUTED_VALUE"""),5.0)</f>
        <v>5</v>
      </c>
      <c r="U258" s="10">
        <f>IFERROR(__xludf.DUMMYFUNCTION("""COMPUTED_VALUE"""),5.0)</f>
        <v>5</v>
      </c>
      <c r="V258" s="10" t="str">
        <f>IFERROR(__xludf.DUMMYFUNCTION("""COMPUTED_VALUE"""),"Khat ")</f>
        <v>Khat </v>
      </c>
      <c r="W258" s="10" t="str">
        <f>IFERROR(__xludf.DUMMYFUNCTION("""COMPUTED_VALUE"""),"Khat")</f>
        <v>Khat</v>
      </c>
      <c r="X258" s="10">
        <f>IFERROR(__xludf.DUMMYFUNCTION("""COMPUTED_VALUE"""),5.0)</f>
        <v>5</v>
      </c>
      <c r="Y258" s="10">
        <f>IFERROR(__xludf.DUMMYFUNCTION("""COMPUTED_VALUE"""),5.0)</f>
        <v>5</v>
      </c>
      <c r="Z258" s="10">
        <f>IFERROR(__xludf.DUMMYFUNCTION("""COMPUTED_VALUE"""),5.0)</f>
        <v>5</v>
      </c>
      <c r="AA258" s="10">
        <f>IFERROR(__xludf.DUMMYFUNCTION("""COMPUTED_VALUE"""),5.0)</f>
        <v>5</v>
      </c>
      <c r="AB258" s="10">
        <f>IFERROR(__xludf.DUMMYFUNCTION("""COMPUTED_VALUE"""),5.0)</f>
        <v>5</v>
      </c>
      <c r="AC258" s="10">
        <f>IFERROR(__xludf.DUMMYFUNCTION("""COMPUTED_VALUE"""),5.0)</f>
        <v>5</v>
      </c>
      <c r="AD258" s="10">
        <f>IFERROR(__xludf.DUMMYFUNCTION("""COMPUTED_VALUE"""),5.0)</f>
        <v>5</v>
      </c>
      <c r="AE258" s="10">
        <f>IFERROR(__xludf.DUMMYFUNCTION("""COMPUTED_VALUE"""),5.0)</f>
        <v>5</v>
      </c>
      <c r="AF258" s="10">
        <f>IFERROR(__xludf.DUMMYFUNCTION("""COMPUTED_VALUE"""),5.0)</f>
        <v>5</v>
      </c>
      <c r="AG258" s="10">
        <f>IFERROR(__xludf.DUMMYFUNCTION("""COMPUTED_VALUE"""),5.0)</f>
        <v>5</v>
      </c>
      <c r="AH258" s="10">
        <f>IFERROR(__xludf.DUMMYFUNCTION("""COMPUTED_VALUE"""),5.0)</f>
        <v>5</v>
      </c>
      <c r="AI258" s="10">
        <f>IFERROR(__xludf.DUMMYFUNCTION("""COMPUTED_VALUE"""),5.0)</f>
        <v>5</v>
      </c>
      <c r="AJ258" s="11" t="str">
        <f>IFERROR(__xludf.DUMMYFUNCTION("""COMPUTED_VALUE"""),"https://drive.google.com/open?id=1hz-tyQHcODUeUAIDeBtFZH_v2noy2UJv")</f>
        <v>https://drive.google.com/open?id=1hz-tyQHcODUeUAIDeBtFZH_v2noy2UJv</v>
      </c>
      <c r="AK258" s="12" t="str">
        <f>IFERROR(__xludf.DUMMYFUNCTION("""COMPUTED_VALUE"""),"Aa")</f>
        <v>Aa</v>
      </c>
      <c r="AL258" s="12" t="str">
        <f>IFERROR(__xludf.DUMMYFUNCTION("""COMPUTED_VALUE"""),"Yes")</f>
        <v>Yes</v>
      </c>
      <c r="AM258" s="15">
        <f>IFERROR(__xludf.DUMMYFUNCTION("""COMPUTED_VALUE"""),0.7)</f>
        <v>0.7</v>
      </c>
      <c r="AN258" s="12" t="str">
        <f>IFERROR(__xludf.DUMMYFUNCTION("""COMPUTED_VALUE"""),"2nd week")</f>
        <v>2nd week</v>
      </c>
      <c r="AO258" s="13">
        <v>2.0</v>
      </c>
      <c r="AX258" s="17"/>
    </row>
    <row r="259">
      <c r="A259" s="8">
        <v>258.0</v>
      </c>
      <c r="B259" s="9">
        <f>IFERROR(__xludf.DUMMYFUNCTION("""COMPUTED_VALUE"""),45806.55575697917)</f>
        <v>45806.55576</v>
      </c>
      <c r="C259" s="10" t="str">
        <f>IFERROR(__xludf.DUMMYFUNCTION("""COMPUTED_VALUE"""),"ADNAN BASHIR")</f>
        <v>ADNAN BASHIR</v>
      </c>
      <c r="D259" s="10" t="str">
        <f>IFERROR(__xludf.DUMMYFUNCTION("""COMPUTED_VALUE"""),"03466626866")</f>
        <v>03466626866</v>
      </c>
      <c r="E259" s="10" t="str">
        <f>IFERROR(__xludf.DUMMYFUNCTION("""COMPUTED_VALUE"""),"Jamia Masjid Darbar chila ga kanggna ahmal Pura")</f>
        <v>Jamia Masjid Darbar chila ga kanggna ahmal Pura</v>
      </c>
      <c r="F259" s="10" t="str">
        <f>IFERROR(__xludf.DUMMYFUNCTION("""COMPUTED_VALUE"""),"oiuji")</f>
        <v>oiuji</v>
      </c>
      <c r="G259" s="10" t="str">
        <f>IFERROR(__xludf.DUMMYFUNCTION("""COMPUTED_VALUE"""),"No")</f>
        <v>No</v>
      </c>
      <c r="H259" s="10"/>
      <c r="I259" s="10"/>
      <c r="J259" s="10"/>
      <c r="K259" s="10">
        <f>IFERROR(__xludf.DUMMYFUNCTION("""COMPUTED_VALUE"""),0.0)</f>
        <v>0</v>
      </c>
      <c r="L259" s="10">
        <f>IFERROR(__xludf.DUMMYFUNCTION("""COMPUTED_VALUE"""),0.0)</f>
        <v>0</v>
      </c>
      <c r="M259" s="10">
        <f>IFERROR(__xludf.DUMMYFUNCTION("""COMPUTED_VALUE"""),0.0)</f>
        <v>0</v>
      </c>
      <c r="N259" s="10">
        <f>IFERROR(__xludf.DUMMYFUNCTION("""COMPUTED_VALUE"""),0.0)</f>
        <v>0</v>
      </c>
      <c r="O259" s="10">
        <f>IFERROR(__xludf.DUMMYFUNCTION("""COMPUTED_VALUE"""),0.0)</f>
        <v>0</v>
      </c>
      <c r="P259" s="10">
        <f>IFERROR(__xludf.DUMMYFUNCTION("""COMPUTED_VALUE"""),0.0)</f>
        <v>0</v>
      </c>
      <c r="Q259" s="10" t="str">
        <f>IFERROR(__xludf.DUMMYFUNCTION("""COMPUTED_VALUE"""),"No")</f>
        <v>No</v>
      </c>
      <c r="R259" s="10" t="str">
        <f>IFERROR(__xludf.DUMMYFUNCTION("""COMPUTED_VALUE"""),"No")</f>
        <v>No</v>
      </c>
      <c r="S259" s="10" t="str">
        <f>IFERROR(__xludf.DUMMYFUNCTION("""COMPUTED_VALUE"""),"No")</f>
        <v>No</v>
      </c>
      <c r="T259" s="10">
        <f>IFERROR(__xludf.DUMMYFUNCTION("""COMPUTED_VALUE"""),0.0)</f>
        <v>0</v>
      </c>
      <c r="U259" s="10">
        <f>IFERROR(__xludf.DUMMYFUNCTION("""COMPUTED_VALUE"""),0.0)</f>
        <v>0</v>
      </c>
      <c r="V259" s="10" t="str">
        <f>IFERROR(__xludf.DUMMYFUNCTION("""COMPUTED_VALUE"""),"Musalmano aor Kufar k Sath Tuluqat")</f>
        <v>Musalmano aor Kufar k Sath Tuluqat</v>
      </c>
      <c r="W259" s="10" t="str">
        <f>IFERROR(__xludf.DUMMYFUNCTION("""COMPUTED_VALUE"""),"مسلمانوں اور کفار کے ساتھ تعلقات اور کفار مسلمانوں کے کبھی بھی دوست نہیں ہو سکتے")</f>
        <v>مسلمانوں اور کفار کے ساتھ تعلقات اور کفار مسلمانوں کے کبھی بھی دوست نہیں ہو سکتے</v>
      </c>
      <c r="X259" s="10">
        <f>IFERROR(__xludf.DUMMYFUNCTION("""COMPUTED_VALUE"""),0.0)</f>
        <v>0</v>
      </c>
      <c r="Y259" s="10">
        <f>IFERROR(__xludf.DUMMYFUNCTION("""COMPUTED_VALUE"""),0.0)</f>
        <v>0</v>
      </c>
      <c r="Z259" s="10">
        <f>IFERROR(__xludf.DUMMYFUNCTION("""COMPUTED_VALUE"""),0.0)</f>
        <v>0</v>
      </c>
      <c r="AA259" s="10">
        <f>IFERROR(__xludf.DUMMYFUNCTION("""COMPUTED_VALUE"""),0.0)</f>
        <v>0</v>
      </c>
      <c r="AB259" s="10">
        <f>IFERROR(__xludf.DUMMYFUNCTION("""COMPUTED_VALUE"""),3.0)</f>
        <v>3</v>
      </c>
      <c r="AC259" s="10">
        <f>IFERROR(__xludf.DUMMYFUNCTION("""COMPUTED_VALUE"""),0.0)</f>
        <v>0</v>
      </c>
      <c r="AD259" s="10">
        <f>IFERROR(__xludf.DUMMYFUNCTION("""COMPUTED_VALUE"""),0.0)</f>
        <v>0</v>
      </c>
      <c r="AE259" s="10">
        <f>IFERROR(__xludf.DUMMYFUNCTION("""COMPUTED_VALUE"""),0.0)</f>
        <v>0</v>
      </c>
      <c r="AF259" s="10">
        <f>IFERROR(__xludf.DUMMYFUNCTION("""COMPUTED_VALUE"""),5.0)</f>
        <v>5</v>
      </c>
      <c r="AG259" s="10">
        <f>IFERROR(__xludf.DUMMYFUNCTION("""COMPUTED_VALUE"""),6.0)</f>
        <v>6</v>
      </c>
      <c r="AH259" s="10">
        <f>IFERROR(__xludf.DUMMYFUNCTION("""COMPUTED_VALUE"""),0.0)</f>
        <v>0</v>
      </c>
      <c r="AI259" s="10">
        <f>IFERROR(__xludf.DUMMYFUNCTION("""COMPUTED_VALUE"""),8.0)</f>
        <v>8</v>
      </c>
      <c r="AJ259" s="11" t="str">
        <f>IFERROR(__xludf.DUMMYFUNCTION("""COMPUTED_VALUE"""),"https://drive.google.com/open?id=19WWsMGxrKkCnx4sADHWyjLROKC8NMGRg")</f>
        <v>https://drive.google.com/open?id=19WWsMGxrKkCnx4sADHWyjLROKC8NMGRg</v>
      </c>
      <c r="AK259" s="12"/>
      <c r="AL259" s="12"/>
      <c r="AM259" s="12"/>
      <c r="AN259" s="12" t="str">
        <f>IFERROR(__xludf.DUMMYFUNCTION("""COMPUTED_VALUE"""),"3rd week")</f>
        <v>3rd week</v>
      </c>
      <c r="AO259" s="13">
        <v>3.0</v>
      </c>
      <c r="AX259" s="17"/>
    </row>
    <row r="260">
      <c r="A260" s="8">
        <v>259.0</v>
      </c>
      <c r="B260" s="9">
        <f>IFERROR(__xludf.DUMMYFUNCTION("""COMPUTED_VALUE"""),45807.12167127315)</f>
        <v>45807.12167</v>
      </c>
      <c r="C260" s="10" t="str">
        <f>IFERROR(__xludf.DUMMYFUNCTION("""COMPUTED_VALUE"""),"aliraza.hafizabadi@gmail.com")</f>
        <v>aliraza.hafizabadi@gmail.com</v>
      </c>
      <c r="D260" s="10" t="str">
        <f>IFERROR(__xludf.DUMMYFUNCTION("""COMPUTED_VALUE"""),"03046138132")</f>
        <v>03046138132</v>
      </c>
      <c r="E260" s="10" t="str">
        <f>IFERROR(__xludf.DUMMYFUNCTION("""COMPUTED_VALUE"""),"JAMIA MASJID UNCHI LAHORE GATE")</f>
        <v>JAMIA MASJID UNCHI LAHORE GATE</v>
      </c>
      <c r="F260" s="10" t="str">
        <f>IFERROR(__xludf.DUMMYFUNCTION("""COMPUTED_VALUE"""),"SPHKK")</f>
        <v>SPHKK</v>
      </c>
      <c r="G260" s="10" t="str">
        <f>IFERROR(__xludf.DUMMYFUNCTION("""COMPUTED_VALUE"""),"Yes")</f>
        <v>Yes</v>
      </c>
      <c r="H260" s="10">
        <f>IFERROR(__xludf.DUMMYFUNCTION("""COMPUTED_VALUE"""),0.0)</f>
        <v>0</v>
      </c>
      <c r="I260" s="10">
        <f>IFERROR(__xludf.DUMMYFUNCTION("""COMPUTED_VALUE"""),10.0)</f>
        <v>10</v>
      </c>
      <c r="J260" s="10">
        <f>IFERROR(__xludf.DUMMYFUNCTION("""COMPUTED_VALUE"""),0.0)</f>
        <v>0</v>
      </c>
      <c r="K260" s="10">
        <f>IFERROR(__xludf.DUMMYFUNCTION("""COMPUTED_VALUE"""),0.0)</f>
        <v>0</v>
      </c>
      <c r="L260" s="10">
        <f>IFERROR(__xludf.DUMMYFUNCTION("""COMPUTED_VALUE"""),0.0)</f>
        <v>0</v>
      </c>
      <c r="M260" s="10">
        <f>IFERROR(__xludf.DUMMYFUNCTION("""COMPUTED_VALUE"""),0.0)</f>
        <v>0</v>
      </c>
      <c r="N260" s="10">
        <f>IFERROR(__xludf.DUMMYFUNCTION("""COMPUTED_VALUE"""),0.0)</f>
        <v>0</v>
      </c>
      <c r="O260" s="10">
        <f>IFERROR(__xludf.DUMMYFUNCTION("""COMPUTED_VALUE"""),0.0)</f>
        <v>0</v>
      </c>
      <c r="P260" s="10">
        <f>IFERROR(__xludf.DUMMYFUNCTION("""COMPUTED_VALUE"""),0.0)</f>
        <v>0</v>
      </c>
      <c r="Q260" s="10" t="str">
        <f>IFERROR(__xludf.DUMMYFUNCTION("""COMPUTED_VALUE"""),"No")</f>
        <v>No</v>
      </c>
      <c r="R260" s="10" t="str">
        <f>IFERROR(__xludf.DUMMYFUNCTION("""COMPUTED_VALUE"""),"No")</f>
        <v>No</v>
      </c>
      <c r="S260" s="10" t="str">
        <f>IFERROR(__xludf.DUMMYFUNCTION("""COMPUTED_VALUE"""),"No")</f>
        <v>No</v>
      </c>
      <c r="T260" s="10">
        <f>IFERROR(__xludf.DUMMYFUNCTION("""COMPUTED_VALUE"""),0.0)</f>
        <v>0</v>
      </c>
      <c r="U260" s="10">
        <f>IFERROR(__xludf.DUMMYFUNCTION("""COMPUTED_VALUE"""),0.0)</f>
        <v>0</v>
      </c>
      <c r="V260" s="10" t="str">
        <f>IFERROR(__xludf.DUMMYFUNCTION("""COMPUTED_VALUE"""),"ALLAH AUR RASOOL KI SHAN E PAK")</f>
        <v>ALLAH AUR RASOOL KI SHAN E PAK</v>
      </c>
      <c r="W260" s="10" t="str">
        <f>IFERROR(__xludf.DUMMYFUNCTION("""COMPUTED_VALUE"""),"ALLAH AUR RASOL PAK KI SHAN E PAK")</f>
        <v>ALLAH AUR RASOL PAK KI SHAN E PAK</v>
      </c>
      <c r="X260" s="10">
        <f>IFERROR(__xludf.DUMMYFUNCTION("""COMPUTED_VALUE"""),3.0)</f>
        <v>3</v>
      </c>
      <c r="Y260" s="10">
        <f>IFERROR(__xludf.DUMMYFUNCTION("""COMPUTED_VALUE"""),5.0)</f>
        <v>5</v>
      </c>
      <c r="Z260" s="10">
        <f>IFERROR(__xludf.DUMMYFUNCTION("""COMPUTED_VALUE"""),4.0)</f>
        <v>4</v>
      </c>
      <c r="AA260" s="10">
        <f>IFERROR(__xludf.DUMMYFUNCTION("""COMPUTED_VALUE"""),4.0)</f>
        <v>4</v>
      </c>
      <c r="AB260" s="10">
        <f>IFERROR(__xludf.DUMMYFUNCTION("""COMPUTED_VALUE"""),3.0)</f>
        <v>3</v>
      </c>
      <c r="AC260" s="10">
        <f>IFERROR(__xludf.DUMMYFUNCTION("""COMPUTED_VALUE"""),3.0)</f>
        <v>3</v>
      </c>
      <c r="AD260" s="10">
        <f>IFERROR(__xludf.DUMMYFUNCTION("""COMPUTED_VALUE"""),4.0)</f>
        <v>4</v>
      </c>
      <c r="AE260" s="10">
        <f>IFERROR(__xludf.DUMMYFUNCTION("""COMPUTED_VALUE"""),2.0)</f>
        <v>2</v>
      </c>
      <c r="AF260" s="10">
        <f>IFERROR(__xludf.DUMMYFUNCTION("""COMPUTED_VALUE"""),7.0)</f>
        <v>7</v>
      </c>
      <c r="AG260" s="10">
        <f>IFERROR(__xludf.DUMMYFUNCTION("""COMPUTED_VALUE"""),7.0)</f>
        <v>7</v>
      </c>
      <c r="AH260" s="10">
        <f>IFERROR(__xludf.DUMMYFUNCTION("""COMPUTED_VALUE"""),4.0)</f>
        <v>4</v>
      </c>
      <c r="AI260" s="10">
        <f>IFERROR(__xludf.DUMMYFUNCTION("""COMPUTED_VALUE"""),7.0)</f>
        <v>7</v>
      </c>
      <c r="AJ260" s="11" t="str">
        <f>IFERROR(__xludf.DUMMYFUNCTION("""COMPUTED_VALUE"""),"https://drive.google.com/open?id=1_hCqfc5IB5RnFKHsITUz8r6iw-u9tDon")</f>
        <v>https://drive.google.com/open?id=1_hCqfc5IB5RnFKHsITUz8r6iw-u9tDon</v>
      </c>
      <c r="AK260" s="12" t="str">
        <f>IFERROR(__xludf.DUMMYFUNCTION("""COMPUTED_VALUE"""),"No")</f>
        <v>No</v>
      </c>
      <c r="AL260" s="12" t="str">
        <f>IFERROR(__xludf.DUMMYFUNCTION("""COMPUTED_VALUE"""),"Yes")</f>
        <v>Yes</v>
      </c>
      <c r="AM260" s="15">
        <f>IFERROR(__xludf.DUMMYFUNCTION("""COMPUTED_VALUE"""),0.0)</f>
        <v>0</v>
      </c>
      <c r="AN260" s="12" t="str">
        <f>IFERROR(__xludf.DUMMYFUNCTION("""COMPUTED_VALUE"""),"1st week")</f>
        <v>1st week</v>
      </c>
      <c r="AO260" s="13">
        <v>1.0</v>
      </c>
      <c r="AX260" s="17"/>
    </row>
    <row r="261">
      <c r="A261" s="8">
        <v>260.0</v>
      </c>
      <c r="B261" s="9">
        <f>IFERROR(__xludf.DUMMYFUNCTION("""COMPUTED_VALUE"""),45807.15400768518)</f>
        <v>45807.15401</v>
      </c>
      <c r="C261" s="10" t="str">
        <f>IFERROR(__xludf.DUMMYFUNCTION("""COMPUTED_VALUE"""),"Asim munir ")</f>
        <v>Asim munir </v>
      </c>
      <c r="D261" s="10" t="str">
        <f>IFERROR(__xludf.DUMMYFUNCTION("""COMPUTED_VALUE"""),"03005787199")</f>
        <v>03005787199</v>
      </c>
      <c r="E261" s="10" t="str">
        <f>IFERROR(__xludf.DUMMYFUNCTION("""COMPUTED_VALUE"""),"Jamia Masjid Eid gah Tala gang chakwal")</f>
        <v>Jamia Masjid Eid gah Tala gang chakwal</v>
      </c>
      <c r="F261" s="10" t="str">
        <f>IFERROR(__xludf.DUMMYFUNCTION("""COMPUTED_VALUE"""),"HXSzb")</f>
        <v>HXSzb</v>
      </c>
      <c r="G261" s="10" t="str">
        <f>IFERROR(__xludf.DUMMYFUNCTION("""COMPUTED_VALUE"""),"No")</f>
        <v>No</v>
      </c>
      <c r="H261" s="10"/>
      <c r="I261" s="10"/>
      <c r="J261" s="10"/>
      <c r="K261" s="10">
        <f>IFERROR(__xludf.DUMMYFUNCTION("""COMPUTED_VALUE"""),5.0)</f>
        <v>5</v>
      </c>
      <c r="L261" s="10">
        <f>IFERROR(__xludf.DUMMYFUNCTION("""COMPUTED_VALUE"""),5.0)</f>
        <v>5</v>
      </c>
      <c r="M261" s="10">
        <f>IFERROR(__xludf.DUMMYFUNCTION("""COMPUTED_VALUE"""),0.0)</f>
        <v>0</v>
      </c>
      <c r="N261" s="10">
        <f>IFERROR(__xludf.DUMMYFUNCTION("""COMPUTED_VALUE"""),6.0)</f>
        <v>6</v>
      </c>
      <c r="O261" s="10">
        <f>IFERROR(__xludf.DUMMYFUNCTION("""COMPUTED_VALUE"""),0.0)</f>
        <v>0</v>
      </c>
      <c r="P261" s="10">
        <f>IFERROR(__xludf.DUMMYFUNCTION("""COMPUTED_VALUE"""),2.0)</f>
        <v>2</v>
      </c>
      <c r="Q261" s="10" t="str">
        <f>IFERROR(__xludf.DUMMYFUNCTION("""COMPUTED_VALUE"""),"No")</f>
        <v>No</v>
      </c>
      <c r="R261" s="10" t="str">
        <f>IFERROR(__xludf.DUMMYFUNCTION("""COMPUTED_VALUE"""),"No")</f>
        <v>No</v>
      </c>
      <c r="S261" s="10" t="str">
        <f>IFERROR(__xludf.DUMMYFUNCTION("""COMPUTED_VALUE"""),"Yes")</f>
        <v>Yes</v>
      </c>
      <c r="T261" s="10">
        <f>IFERROR(__xludf.DUMMYFUNCTION("""COMPUTED_VALUE"""),2.0)</f>
        <v>2</v>
      </c>
      <c r="U261" s="10">
        <f>IFERROR(__xludf.DUMMYFUNCTION("""COMPUTED_VALUE"""),3.0)</f>
        <v>3</v>
      </c>
      <c r="V261" s="10" t="str">
        <f>IFERROR(__xludf.DUMMYFUNCTION("""COMPUTED_VALUE"""),"ایسا ذخیرہ جو سود کے زمرے میں ہو سود لینے والا اور سود دینے والا دونوں ہی جہنم کی اگ میں ڈالے جائیں گے رشوت دینے والا اور رشوت لینے والا دونوں ہی اللہ کے کھلے دشمن ہیں")</f>
        <v>ایسا ذخیرہ جو سود کے زمرے میں ہو سود لینے والا اور سود دینے والا دونوں ہی جہنم کی اگ میں ڈالے جائیں گے رشوت دینے والا اور رشوت لینے والا دونوں ہی اللہ کے کھلے دشمن ہیں</v>
      </c>
      <c r="W261" s="10" t="str">
        <f>IFERROR(__xludf.DUMMYFUNCTION("""COMPUTED_VALUE"""),"ایسا ذخیرہ جو سود کے زمرے میں ہو سود لینے والا اور سود دینے والا دونوں ہی جہنم کی اگ میں ڈالے جائیں گے رشوت دینے والا اور رشوت لینے والا دونوں ہی اللہ کے کھلے دشمن ہیں")</f>
        <v>ایسا ذخیرہ جو سود کے زمرے میں ہو سود لینے والا اور سود دینے والا دونوں ہی جہنم کی اگ میں ڈالے جائیں گے رشوت دینے والا اور رشوت لینے والا دونوں ہی اللہ کے کھلے دشمن ہیں</v>
      </c>
      <c r="X261" s="10">
        <f>IFERROR(__xludf.DUMMYFUNCTION("""COMPUTED_VALUE"""),8.0)</f>
        <v>8</v>
      </c>
      <c r="Y261" s="10">
        <f>IFERROR(__xludf.DUMMYFUNCTION("""COMPUTED_VALUE"""),5.0)</f>
        <v>5</v>
      </c>
      <c r="Z261" s="10">
        <f>IFERROR(__xludf.DUMMYFUNCTION("""COMPUTED_VALUE"""),2.0)</f>
        <v>2</v>
      </c>
      <c r="AA261" s="10">
        <f>IFERROR(__xludf.DUMMYFUNCTION("""COMPUTED_VALUE"""),5.0)</f>
        <v>5</v>
      </c>
      <c r="AB261" s="10">
        <f>IFERROR(__xludf.DUMMYFUNCTION("""COMPUTED_VALUE"""),4.0)</f>
        <v>4</v>
      </c>
      <c r="AC261" s="10">
        <f>IFERROR(__xludf.DUMMYFUNCTION("""COMPUTED_VALUE"""),3.0)</f>
        <v>3</v>
      </c>
      <c r="AD261" s="10">
        <f>IFERROR(__xludf.DUMMYFUNCTION("""COMPUTED_VALUE"""),5.0)</f>
        <v>5</v>
      </c>
      <c r="AE261" s="10">
        <f>IFERROR(__xludf.DUMMYFUNCTION("""COMPUTED_VALUE"""),5.0)</f>
        <v>5</v>
      </c>
      <c r="AF261" s="10">
        <f>IFERROR(__xludf.DUMMYFUNCTION("""COMPUTED_VALUE"""),5.0)</f>
        <v>5</v>
      </c>
      <c r="AG261" s="10">
        <f>IFERROR(__xludf.DUMMYFUNCTION("""COMPUTED_VALUE"""),10.0)</f>
        <v>10</v>
      </c>
      <c r="AH261" s="10">
        <f>IFERROR(__xludf.DUMMYFUNCTION("""COMPUTED_VALUE"""),0.0)</f>
        <v>0</v>
      </c>
      <c r="AI261" s="10">
        <f>IFERROR(__xludf.DUMMYFUNCTION("""COMPUTED_VALUE"""),5.0)</f>
        <v>5</v>
      </c>
      <c r="AJ261" s="11" t="str">
        <f>IFERROR(__xludf.DUMMYFUNCTION("""COMPUTED_VALUE"""),"https://docs.google.com/document/d/1Z_6e_ECLU8RfpHebyyao8_DmicgmsKTi/edit?usp=drive_link&amp;ouid=117122465010506134151&amp;rtpof=true&amp;sd=true")</f>
        <v>https://docs.google.com/document/d/1Z_6e_ECLU8RfpHebyyao8_DmicgmsKTi/edit?usp=drive_link&amp;ouid=117122465010506134151&amp;rtpof=true&amp;sd=true</v>
      </c>
      <c r="AK261" s="12" t="str">
        <f>IFERROR(__xludf.DUMMYFUNCTION("""COMPUTED_VALUE"""),"No")</f>
        <v>No</v>
      </c>
      <c r="AL261" s="12"/>
      <c r="AM261" s="12"/>
      <c r="AN261" s="12" t="str">
        <f>IFERROR(__xludf.DUMMYFUNCTION("""COMPUTED_VALUE"""),"1st week")</f>
        <v>1st week</v>
      </c>
      <c r="AO261" s="13">
        <v>1.0</v>
      </c>
      <c r="AX261" s="17"/>
    </row>
    <row r="262">
      <c r="A262" s="8">
        <v>261.0</v>
      </c>
      <c r="B262" s="9">
        <f>IFERROR(__xludf.DUMMYFUNCTION("""COMPUTED_VALUE"""),45807.298577974536)</f>
        <v>45807.29858</v>
      </c>
      <c r="C262" s="10" t="str">
        <f>IFERROR(__xludf.DUMMYFUNCTION("""COMPUTED_VALUE"""),"aliraza.hafizabadi@gmail.com")</f>
        <v>aliraza.hafizabadi@gmail.com</v>
      </c>
      <c r="D262" s="10" t="str">
        <f>IFERROR(__xludf.DUMMYFUNCTION("""COMPUTED_VALUE"""),"03046138132")</f>
        <v>03046138132</v>
      </c>
      <c r="E262" s="10" t="str">
        <f>IFERROR(__xludf.DUMMYFUNCTION("""COMPUTED_VALUE"""),"JAMIA MASJID UNCHI LAHORI GATE ")</f>
        <v>JAMIA MASJID UNCHI LAHORI GATE </v>
      </c>
      <c r="F262" s="10" t="str">
        <f>IFERROR(__xludf.DUMMYFUNCTION("""COMPUTED_VALUE"""),"SPHKK")</f>
        <v>SPHKK</v>
      </c>
      <c r="G262" s="10" t="str">
        <f>IFERROR(__xludf.DUMMYFUNCTION("""COMPUTED_VALUE"""),"Yes")</f>
        <v>Yes</v>
      </c>
      <c r="H262" s="10">
        <f>IFERROR(__xludf.DUMMYFUNCTION("""COMPUTED_VALUE"""),3.0)</f>
        <v>3</v>
      </c>
      <c r="I262" s="10">
        <f>IFERROR(__xludf.DUMMYFUNCTION("""COMPUTED_VALUE"""),7.0)</f>
        <v>7</v>
      </c>
      <c r="J262" s="10">
        <f>IFERROR(__xludf.DUMMYFUNCTION("""COMPUTED_VALUE"""),3.0)</f>
        <v>3</v>
      </c>
      <c r="K262" s="10">
        <f>IFERROR(__xludf.DUMMYFUNCTION("""COMPUTED_VALUE"""),0.0)</f>
        <v>0</v>
      </c>
      <c r="L262" s="10">
        <f>IFERROR(__xludf.DUMMYFUNCTION("""COMPUTED_VALUE"""),2.0)</f>
        <v>2</v>
      </c>
      <c r="M262" s="10">
        <f>IFERROR(__xludf.DUMMYFUNCTION("""COMPUTED_VALUE"""),0.0)</f>
        <v>0</v>
      </c>
      <c r="N262" s="10">
        <f>IFERROR(__xludf.DUMMYFUNCTION("""COMPUTED_VALUE"""),0.0)</f>
        <v>0</v>
      </c>
      <c r="O262" s="10">
        <f>IFERROR(__xludf.DUMMYFUNCTION("""COMPUTED_VALUE"""),2.0)</f>
        <v>2</v>
      </c>
      <c r="P262" s="10">
        <f>IFERROR(__xludf.DUMMYFUNCTION("""COMPUTED_VALUE"""),2.0)</f>
        <v>2</v>
      </c>
      <c r="Q262" s="10" t="str">
        <f>IFERROR(__xludf.DUMMYFUNCTION("""COMPUTED_VALUE"""),"No")</f>
        <v>No</v>
      </c>
      <c r="R262" s="10" t="str">
        <f>IFERROR(__xludf.DUMMYFUNCTION("""COMPUTED_VALUE"""),"Yes")</f>
        <v>Yes</v>
      </c>
      <c r="S262" s="10" t="str">
        <f>IFERROR(__xludf.DUMMYFUNCTION("""COMPUTED_VALUE"""),"No")</f>
        <v>No</v>
      </c>
      <c r="T262" s="10">
        <f>IFERROR(__xludf.DUMMYFUNCTION("""COMPUTED_VALUE"""),2.0)</f>
        <v>2</v>
      </c>
      <c r="U262" s="10">
        <f>IFERROR(__xludf.DUMMYFUNCTION("""COMPUTED_VALUE"""),3.0)</f>
        <v>3</v>
      </c>
      <c r="V262" s="10" t="str">
        <f>IFERROR(__xludf.DUMMYFUNCTION("""COMPUTED_VALUE"""),"QURAN SUNNAT")</f>
        <v>QURAN SUNNAT</v>
      </c>
      <c r="W262" s="10" t="str">
        <f>IFERROR(__xludf.DUMMYFUNCTION("""COMPUTED_VALUE"""),"QURAN U SUUNAT")</f>
        <v>QURAN U SUUNAT</v>
      </c>
      <c r="X262" s="10">
        <f>IFERROR(__xludf.DUMMYFUNCTION("""COMPUTED_VALUE"""),3.0)</f>
        <v>3</v>
      </c>
      <c r="Y262" s="10">
        <f>IFERROR(__xludf.DUMMYFUNCTION("""COMPUTED_VALUE"""),2.0)</f>
        <v>2</v>
      </c>
      <c r="Z262" s="10">
        <f>IFERROR(__xludf.DUMMYFUNCTION("""COMPUTED_VALUE"""),3.0)</f>
        <v>3</v>
      </c>
      <c r="AA262" s="10">
        <f>IFERROR(__xludf.DUMMYFUNCTION("""COMPUTED_VALUE"""),3.0)</f>
        <v>3</v>
      </c>
      <c r="AB262" s="10">
        <f>IFERROR(__xludf.DUMMYFUNCTION("""COMPUTED_VALUE"""),3.0)</f>
        <v>3</v>
      </c>
      <c r="AC262" s="10">
        <f>IFERROR(__xludf.DUMMYFUNCTION("""COMPUTED_VALUE"""),3.0)</f>
        <v>3</v>
      </c>
      <c r="AD262" s="10">
        <f>IFERROR(__xludf.DUMMYFUNCTION("""COMPUTED_VALUE"""),3.0)</f>
        <v>3</v>
      </c>
      <c r="AE262" s="10">
        <f>IFERROR(__xludf.DUMMYFUNCTION("""COMPUTED_VALUE"""),0.0)</f>
        <v>0</v>
      </c>
      <c r="AF262" s="10">
        <f>IFERROR(__xludf.DUMMYFUNCTION("""COMPUTED_VALUE"""),5.0)</f>
        <v>5</v>
      </c>
      <c r="AG262" s="10">
        <f>IFERROR(__xludf.DUMMYFUNCTION("""COMPUTED_VALUE"""),8.0)</f>
        <v>8</v>
      </c>
      <c r="AH262" s="10">
        <f>IFERROR(__xludf.DUMMYFUNCTION("""COMPUTED_VALUE"""),0.0)</f>
        <v>0</v>
      </c>
      <c r="AI262" s="10">
        <f>IFERROR(__xludf.DUMMYFUNCTION("""COMPUTED_VALUE"""),5.0)</f>
        <v>5</v>
      </c>
      <c r="AJ262" s="11" t="str">
        <f>IFERROR(__xludf.DUMMYFUNCTION("""COMPUTED_VALUE"""),"https://drive.google.com/open?id=1gPqSUuwAqWWLYKPk5p8k4yGfy_2yaZ2M")</f>
        <v>https://drive.google.com/open?id=1gPqSUuwAqWWLYKPk5p8k4yGfy_2yaZ2M</v>
      </c>
      <c r="AK262" s="12" t="str">
        <f>IFERROR(__xludf.DUMMYFUNCTION("""COMPUTED_VALUE"""),"No")</f>
        <v>No</v>
      </c>
      <c r="AL262" s="12" t="str">
        <f>IFERROR(__xludf.DUMMYFUNCTION("""COMPUTED_VALUE"""),"Yes")</f>
        <v>Yes</v>
      </c>
      <c r="AM262" s="15">
        <f>IFERROR(__xludf.DUMMYFUNCTION("""COMPUTED_VALUE"""),0.2)</f>
        <v>0.2</v>
      </c>
      <c r="AN262" s="12" t="str">
        <f>IFERROR(__xludf.DUMMYFUNCTION("""COMPUTED_VALUE"""),"2nd week")</f>
        <v>2nd week</v>
      </c>
      <c r="AO262" s="13">
        <v>3.0</v>
      </c>
      <c r="AX262" s="17"/>
    </row>
    <row r="263">
      <c r="A263" s="8">
        <v>262.0</v>
      </c>
      <c r="B263" s="9">
        <f>IFERROR(__xludf.DUMMYFUNCTION("""COMPUTED_VALUE"""),45807.31421416666)</f>
        <v>45807.31421</v>
      </c>
      <c r="C263" s="10" t="str">
        <f>IFERROR(__xludf.DUMMYFUNCTION("""COMPUTED_VALUE"""),"Ali raza")</f>
        <v>Ali raza</v>
      </c>
      <c r="D263" s="10" t="str">
        <f>IFERROR(__xludf.DUMMYFUNCTION("""COMPUTED_VALUE"""),"03046138132")</f>
        <v>03046138132</v>
      </c>
      <c r="E263" s="10" t="str">
        <f>IFERROR(__xludf.DUMMYFUNCTION("""COMPUTED_VALUE"""),"JAMIA MASJID FAROOKIYA GHOUSIYA")</f>
        <v>JAMIA MASJID FAROOKIYA GHOUSIYA</v>
      </c>
      <c r="F263" s="10" t="str">
        <f>IFERROR(__xludf.DUMMYFUNCTION("""COMPUTED_VALUE"""),"ZRXRI")</f>
        <v>ZRXRI</v>
      </c>
      <c r="G263" s="10" t="str">
        <f>IFERROR(__xludf.DUMMYFUNCTION("""COMPUTED_VALUE"""),"Yes")</f>
        <v>Yes</v>
      </c>
      <c r="H263" s="10">
        <f>IFERROR(__xludf.DUMMYFUNCTION("""COMPUTED_VALUE"""),4.0)</f>
        <v>4</v>
      </c>
      <c r="I263" s="10">
        <f>IFERROR(__xludf.DUMMYFUNCTION("""COMPUTED_VALUE"""),7.0)</f>
        <v>7</v>
      </c>
      <c r="J263" s="10">
        <f>IFERROR(__xludf.DUMMYFUNCTION("""COMPUTED_VALUE"""),2.0)</f>
        <v>2</v>
      </c>
      <c r="K263" s="10">
        <f>IFERROR(__xludf.DUMMYFUNCTION("""COMPUTED_VALUE"""),0.0)</f>
        <v>0</v>
      </c>
      <c r="L263" s="10">
        <f>IFERROR(__xludf.DUMMYFUNCTION("""COMPUTED_VALUE"""),0.0)</f>
        <v>0</v>
      </c>
      <c r="M263" s="10">
        <f>IFERROR(__xludf.DUMMYFUNCTION("""COMPUTED_VALUE"""),0.0)</f>
        <v>0</v>
      </c>
      <c r="N263" s="10">
        <f>IFERROR(__xludf.DUMMYFUNCTION("""COMPUTED_VALUE"""),0.0)</f>
        <v>0</v>
      </c>
      <c r="O263" s="10">
        <f>IFERROR(__xludf.DUMMYFUNCTION("""COMPUTED_VALUE"""),0.0)</f>
        <v>0</v>
      </c>
      <c r="P263" s="10">
        <f>IFERROR(__xludf.DUMMYFUNCTION("""COMPUTED_VALUE"""),5.0)</f>
        <v>5</v>
      </c>
      <c r="Q263" s="10" t="str">
        <f>IFERROR(__xludf.DUMMYFUNCTION("""COMPUTED_VALUE"""),"No")</f>
        <v>No</v>
      </c>
      <c r="R263" s="10" t="str">
        <f>IFERROR(__xludf.DUMMYFUNCTION("""COMPUTED_VALUE"""),"No")</f>
        <v>No</v>
      </c>
      <c r="S263" s="10" t="str">
        <f>IFERROR(__xludf.DUMMYFUNCTION("""COMPUTED_VALUE"""),"No")</f>
        <v>No</v>
      </c>
      <c r="T263" s="10">
        <f>IFERROR(__xludf.DUMMYFUNCTION("""COMPUTED_VALUE"""),0.0)</f>
        <v>0</v>
      </c>
      <c r="U263" s="10">
        <f>IFERROR(__xludf.DUMMYFUNCTION("""COMPUTED_VALUE"""),5.0)</f>
        <v>5</v>
      </c>
      <c r="V263" s="10" t="str">
        <f>IFERROR(__xludf.DUMMYFUNCTION("""COMPUTED_VALUE"""),"UHAD PAHAAR")</f>
        <v>UHAD PAHAAR</v>
      </c>
      <c r="W263" s="10" t="str">
        <f>IFERROR(__xludf.DUMMYFUNCTION("""COMPUTED_VALUE"""),"UHAD pahar 
")</f>
        <v>UHAD pahar 
</v>
      </c>
      <c r="X263" s="10">
        <f>IFERROR(__xludf.DUMMYFUNCTION("""COMPUTED_VALUE"""),10.0)</f>
        <v>10</v>
      </c>
      <c r="Y263" s="10">
        <f>IFERROR(__xludf.DUMMYFUNCTION("""COMPUTED_VALUE"""),3.0)</f>
        <v>3</v>
      </c>
      <c r="Z263" s="10">
        <f>IFERROR(__xludf.DUMMYFUNCTION("""COMPUTED_VALUE"""),5.0)</f>
        <v>5</v>
      </c>
      <c r="AA263" s="10">
        <f>IFERROR(__xludf.DUMMYFUNCTION("""COMPUTED_VALUE"""),5.0)</f>
        <v>5</v>
      </c>
      <c r="AB263" s="10">
        <f>IFERROR(__xludf.DUMMYFUNCTION("""COMPUTED_VALUE"""),5.0)</f>
        <v>5</v>
      </c>
      <c r="AC263" s="10">
        <f>IFERROR(__xludf.DUMMYFUNCTION("""COMPUTED_VALUE"""),7.0)</f>
        <v>7</v>
      </c>
      <c r="AD263" s="10">
        <f>IFERROR(__xludf.DUMMYFUNCTION("""COMPUTED_VALUE"""),7.0)</f>
        <v>7</v>
      </c>
      <c r="AE263" s="10">
        <f>IFERROR(__xludf.DUMMYFUNCTION("""COMPUTED_VALUE"""),2.0)</f>
        <v>2</v>
      </c>
      <c r="AF263" s="10">
        <f>IFERROR(__xludf.DUMMYFUNCTION("""COMPUTED_VALUE"""),8.0)</f>
        <v>8</v>
      </c>
      <c r="AG263" s="10">
        <f>IFERROR(__xludf.DUMMYFUNCTION("""COMPUTED_VALUE"""),10.0)</f>
        <v>10</v>
      </c>
      <c r="AH263" s="10">
        <f>IFERROR(__xludf.DUMMYFUNCTION("""COMPUTED_VALUE"""),0.0)</f>
        <v>0</v>
      </c>
      <c r="AI263" s="10">
        <f>IFERROR(__xludf.DUMMYFUNCTION("""COMPUTED_VALUE"""),10.0)</f>
        <v>10</v>
      </c>
      <c r="AJ263" s="11" t="str">
        <f>IFERROR(__xludf.DUMMYFUNCTION("""COMPUTED_VALUE"""),"https://drive.google.com/open?id=1sT4Aux_JzXEzjDH1HlIU8892gl_2CKlS")</f>
        <v>https://drive.google.com/open?id=1sT4Aux_JzXEzjDH1HlIU8892gl_2CKlS</v>
      </c>
      <c r="AK263" s="12" t="str">
        <f>IFERROR(__xludf.DUMMYFUNCTION("""COMPUTED_VALUE"""),"No")</f>
        <v>No</v>
      </c>
      <c r="AL263" s="12" t="str">
        <f>IFERROR(__xludf.DUMMYFUNCTION("""COMPUTED_VALUE"""),"Yes")</f>
        <v>Yes</v>
      </c>
      <c r="AM263" s="15">
        <f>IFERROR(__xludf.DUMMYFUNCTION("""COMPUTED_VALUE"""),0.0)</f>
        <v>0</v>
      </c>
      <c r="AN263" s="12" t="str">
        <f>IFERROR(__xludf.DUMMYFUNCTION("""COMPUTED_VALUE"""),"1st week")</f>
        <v>1st week</v>
      </c>
      <c r="AO263" s="13">
        <v>1.0</v>
      </c>
      <c r="AX263" s="17"/>
    </row>
    <row r="264">
      <c r="A264" s="8">
        <v>263.0</v>
      </c>
      <c r="B264" s="9">
        <f>IFERROR(__xludf.DUMMYFUNCTION("""COMPUTED_VALUE"""),45807.33318393519)</f>
        <v>45807.33318</v>
      </c>
      <c r="C264" s="10" t="str">
        <f>IFERROR(__xludf.DUMMYFUNCTION("""COMPUTED_VALUE"""),"ALI RAZA")</f>
        <v>ALI RAZA</v>
      </c>
      <c r="D264" s="10" t="str">
        <f>IFERROR(__xludf.DUMMYFUNCTION("""COMPUTED_VALUE"""),"03046138132")</f>
        <v>03046138132</v>
      </c>
      <c r="E264" s="10" t="str">
        <f>IFERROR(__xludf.DUMMYFUNCTION("""COMPUTED_VALUE"""),"JAMIA MASJID FAROOKIYA GHOUSIYA POWNDAWALA")</f>
        <v>JAMIA MASJID FAROOKIYA GHOUSIYA POWNDAWALA</v>
      </c>
      <c r="F264" s="10" t="str">
        <f>IFERROR(__xludf.DUMMYFUNCTION("""COMPUTED_VALUE"""),"ZRXRI")</f>
        <v>ZRXRI</v>
      </c>
      <c r="G264" s="10" t="str">
        <f>IFERROR(__xludf.DUMMYFUNCTION("""COMPUTED_VALUE"""),"Yes")</f>
        <v>Yes</v>
      </c>
      <c r="H264" s="10">
        <f>IFERROR(__xludf.DUMMYFUNCTION("""COMPUTED_VALUE"""),10.0)</f>
        <v>10</v>
      </c>
      <c r="I264" s="10">
        <f>IFERROR(__xludf.DUMMYFUNCTION("""COMPUTED_VALUE"""),0.0)</f>
        <v>0</v>
      </c>
      <c r="J264" s="10">
        <f>IFERROR(__xludf.DUMMYFUNCTION("""COMPUTED_VALUE"""),10.0)</f>
        <v>10</v>
      </c>
      <c r="K264" s="10">
        <f>IFERROR(__xludf.DUMMYFUNCTION("""COMPUTED_VALUE"""),2.0)</f>
        <v>2</v>
      </c>
      <c r="L264" s="10">
        <f>IFERROR(__xludf.DUMMYFUNCTION("""COMPUTED_VALUE"""),10.0)</f>
        <v>10</v>
      </c>
      <c r="M264" s="10">
        <f>IFERROR(__xludf.DUMMYFUNCTION("""COMPUTED_VALUE"""),0.0)</f>
        <v>0</v>
      </c>
      <c r="N264" s="10">
        <f>IFERROR(__xludf.DUMMYFUNCTION("""COMPUTED_VALUE"""),10.0)</f>
        <v>10</v>
      </c>
      <c r="O264" s="10">
        <f>IFERROR(__xludf.DUMMYFUNCTION("""COMPUTED_VALUE"""),5.0)</f>
        <v>5</v>
      </c>
      <c r="P264" s="10">
        <f>IFERROR(__xludf.DUMMYFUNCTION("""COMPUTED_VALUE"""),10.0)</f>
        <v>10</v>
      </c>
      <c r="Q264" s="10" t="str">
        <f>IFERROR(__xludf.DUMMYFUNCTION("""COMPUTED_VALUE"""),"No")</f>
        <v>No</v>
      </c>
      <c r="R264" s="10" t="str">
        <f>IFERROR(__xludf.DUMMYFUNCTION("""COMPUTED_VALUE"""),"Yes")</f>
        <v>Yes</v>
      </c>
      <c r="S264" s="10" t="str">
        <f>IFERROR(__xludf.DUMMYFUNCTION("""COMPUTED_VALUE"""),"No")</f>
        <v>No</v>
      </c>
      <c r="T264" s="10">
        <f>IFERROR(__xludf.DUMMYFUNCTION("""COMPUTED_VALUE"""),0.0)</f>
        <v>0</v>
      </c>
      <c r="U264" s="10">
        <f>IFERROR(__xludf.DUMMYFUNCTION("""COMPUTED_VALUE"""),10.0)</f>
        <v>10</v>
      </c>
      <c r="V264" s="10" t="str">
        <f>IFERROR(__xludf.DUMMYFUNCTION("""COMPUTED_VALUE"""),"PAROOSIYO K HAQOOQ")</f>
        <v>PAROOSIYO K HAQOOQ</v>
      </c>
      <c r="W264" s="10" t="str">
        <f>IFERROR(__xludf.DUMMYFUNCTION("""COMPUTED_VALUE"""),"PAROSIYOO K HAQOOQ")</f>
        <v>PAROSIYOO K HAQOOQ</v>
      </c>
      <c r="X264" s="10">
        <f>IFERROR(__xludf.DUMMYFUNCTION("""COMPUTED_VALUE"""),10.0)</f>
        <v>10</v>
      </c>
      <c r="Y264" s="10">
        <f>IFERROR(__xludf.DUMMYFUNCTION("""COMPUTED_VALUE"""),10.0)</f>
        <v>10</v>
      </c>
      <c r="Z264" s="10">
        <f>IFERROR(__xludf.DUMMYFUNCTION("""COMPUTED_VALUE"""),5.0)</f>
        <v>5</v>
      </c>
      <c r="AA264" s="10">
        <f>IFERROR(__xludf.DUMMYFUNCTION("""COMPUTED_VALUE"""),8.0)</f>
        <v>8</v>
      </c>
      <c r="AB264" s="10">
        <f>IFERROR(__xludf.DUMMYFUNCTION("""COMPUTED_VALUE"""),10.0)</f>
        <v>10</v>
      </c>
      <c r="AC264" s="10">
        <f>IFERROR(__xludf.DUMMYFUNCTION("""COMPUTED_VALUE"""),7.0)</f>
        <v>7</v>
      </c>
      <c r="AD264" s="10">
        <f>IFERROR(__xludf.DUMMYFUNCTION("""COMPUTED_VALUE"""),8.0)</f>
        <v>8</v>
      </c>
      <c r="AE264" s="10">
        <f>IFERROR(__xludf.DUMMYFUNCTION("""COMPUTED_VALUE"""),5.0)</f>
        <v>5</v>
      </c>
      <c r="AF264" s="10">
        <f>IFERROR(__xludf.DUMMYFUNCTION("""COMPUTED_VALUE"""),10.0)</f>
        <v>10</v>
      </c>
      <c r="AG264" s="10">
        <f>IFERROR(__xludf.DUMMYFUNCTION("""COMPUTED_VALUE"""),10.0)</f>
        <v>10</v>
      </c>
      <c r="AH264" s="10">
        <f>IFERROR(__xludf.DUMMYFUNCTION("""COMPUTED_VALUE"""),0.0)</f>
        <v>0</v>
      </c>
      <c r="AI264" s="10">
        <f>IFERROR(__xludf.DUMMYFUNCTION("""COMPUTED_VALUE"""),10.0)</f>
        <v>10</v>
      </c>
      <c r="AJ264" s="11" t="str">
        <f>IFERROR(__xludf.DUMMYFUNCTION("""COMPUTED_VALUE"""),"https://drive.google.com/open?id=1gtRlhljrRvaZwmdBIyw_nrpWFRCMzQBA")</f>
        <v>https://drive.google.com/open?id=1gtRlhljrRvaZwmdBIyw_nrpWFRCMzQBA</v>
      </c>
      <c r="AK264" s="12" t="str">
        <f>IFERROR(__xludf.DUMMYFUNCTION("""COMPUTED_VALUE"""),"No")</f>
        <v>No</v>
      </c>
      <c r="AL264" s="12" t="str">
        <f>IFERROR(__xludf.DUMMYFUNCTION("""COMPUTED_VALUE"""),"Yes")</f>
        <v>Yes</v>
      </c>
      <c r="AM264" s="15">
        <f>IFERROR(__xludf.DUMMYFUNCTION("""COMPUTED_VALUE"""),1.0)</f>
        <v>1</v>
      </c>
      <c r="AN264" s="12" t="str">
        <f>IFERROR(__xludf.DUMMYFUNCTION("""COMPUTED_VALUE"""),"2nd week")</f>
        <v>2nd week</v>
      </c>
      <c r="AO264" s="13">
        <v>2.0</v>
      </c>
      <c r="AX264" s="17"/>
    </row>
    <row r="265">
      <c r="A265" s="8">
        <v>264.0</v>
      </c>
      <c r="B265" s="9">
        <f>IFERROR(__xludf.DUMMYFUNCTION("""COMPUTED_VALUE"""),45807.346109826394)</f>
        <v>45807.34611</v>
      </c>
      <c r="C265" s="10" t="str">
        <f>IFERROR(__xludf.DUMMYFUNCTION("""COMPUTED_VALUE"""),"ALI RAZA")</f>
        <v>ALI RAZA</v>
      </c>
      <c r="D265" s="10" t="str">
        <f>IFERROR(__xludf.DUMMYFUNCTION("""COMPUTED_VALUE"""),"03046138132")</f>
        <v>03046138132</v>
      </c>
      <c r="E265" s="10" t="str">
        <f>IFERROR(__xludf.DUMMYFUNCTION("""COMPUTED_VALUE"""),"JAMIA masjid FAROOKIYA GHOUSIYA POWNDAWALA")</f>
        <v>JAMIA masjid FAROOKIYA GHOUSIYA POWNDAWALA</v>
      </c>
      <c r="F265" s="10" t="str">
        <f>IFERROR(__xludf.DUMMYFUNCTION("""COMPUTED_VALUE"""),"ZRXRI")</f>
        <v>ZRXRI</v>
      </c>
      <c r="G265" s="10" t="str">
        <f>IFERROR(__xludf.DUMMYFUNCTION("""COMPUTED_VALUE"""),"Yes")</f>
        <v>Yes</v>
      </c>
      <c r="H265" s="10">
        <f>IFERROR(__xludf.DUMMYFUNCTION("""COMPUTED_VALUE"""),10.0)</f>
        <v>10</v>
      </c>
      <c r="I265" s="10">
        <f>IFERROR(__xludf.DUMMYFUNCTION("""COMPUTED_VALUE"""),0.0)</f>
        <v>0</v>
      </c>
      <c r="J265" s="10">
        <f>IFERROR(__xludf.DUMMYFUNCTION("""COMPUTED_VALUE"""),10.0)</f>
        <v>10</v>
      </c>
      <c r="K265" s="10">
        <f>IFERROR(__xludf.DUMMYFUNCTION("""COMPUTED_VALUE"""),0.0)</f>
        <v>0</v>
      </c>
      <c r="L265" s="10">
        <f>IFERROR(__xludf.DUMMYFUNCTION("""COMPUTED_VALUE"""),5.0)</f>
        <v>5</v>
      </c>
      <c r="M265" s="10">
        <f>IFERROR(__xludf.DUMMYFUNCTION("""COMPUTED_VALUE"""),7.0)</f>
        <v>7</v>
      </c>
      <c r="N265" s="10">
        <f>IFERROR(__xludf.DUMMYFUNCTION("""COMPUTED_VALUE"""),7.0)</f>
        <v>7</v>
      </c>
      <c r="O265" s="10">
        <f>IFERROR(__xludf.DUMMYFUNCTION("""COMPUTED_VALUE"""),7.0)</f>
        <v>7</v>
      </c>
      <c r="P265" s="10">
        <f>IFERROR(__xludf.DUMMYFUNCTION("""COMPUTED_VALUE"""),7.0)</f>
        <v>7</v>
      </c>
      <c r="Q265" s="10" t="str">
        <f>IFERROR(__xludf.DUMMYFUNCTION("""COMPUTED_VALUE"""),"Yes")</f>
        <v>Yes</v>
      </c>
      <c r="R265" s="10" t="str">
        <f>IFERROR(__xludf.DUMMYFUNCTION("""COMPUTED_VALUE"""),"Yes")</f>
        <v>Yes</v>
      </c>
      <c r="S265" s="10" t="str">
        <f>IFERROR(__xludf.DUMMYFUNCTION("""COMPUTED_VALUE"""),"Yes")</f>
        <v>Yes</v>
      </c>
      <c r="T265" s="10">
        <f>IFERROR(__xludf.DUMMYFUNCTION("""COMPUTED_VALUE"""),5.0)</f>
        <v>5</v>
      </c>
      <c r="U265" s="10">
        <f>IFERROR(__xludf.DUMMYFUNCTION("""COMPUTED_VALUE"""),5.0)</f>
        <v>5</v>
      </c>
      <c r="V265" s="10" t="str">
        <f>IFERROR(__xludf.DUMMYFUNCTION("""COMPUTED_VALUE"""),"PAK army bunyanum marsoos")</f>
        <v>PAK army bunyanum marsoos</v>
      </c>
      <c r="W265" s="10" t="str">
        <f>IFERROR(__xludf.DUMMYFUNCTION("""COMPUTED_VALUE"""),"PAK army bunyanum marsoos")</f>
        <v>PAK army bunyanum marsoos</v>
      </c>
      <c r="X265" s="10">
        <f>IFERROR(__xludf.DUMMYFUNCTION("""COMPUTED_VALUE"""),10.0)</f>
        <v>10</v>
      </c>
      <c r="Y265" s="10">
        <f>IFERROR(__xludf.DUMMYFUNCTION("""COMPUTED_VALUE"""),10.0)</f>
        <v>10</v>
      </c>
      <c r="Z265" s="10">
        <f>IFERROR(__xludf.DUMMYFUNCTION("""COMPUTED_VALUE"""),10.0)</f>
        <v>10</v>
      </c>
      <c r="AA265" s="10">
        <f>IFERROR(__xludf.DUMMYFUNCTION("""COMPUTED_VALUE"""),10.0)</f>
        <v>10</v>
      </c>
      <c r="AB265" s="10">
        <f>IFERROR(__xludf.DUMMYFUNCTION("""COMPUTED_VALUE"""),10.0)</f>
        <v>10</v>
      </c>
      <c r="AC265" s="10">
        <f>IFERROR(__xludf.DUMMYFUNCTION("""COMPUTED_VALUE"""),10.0)</f>
        <v>10</v>
      </c>
      <c r="AD265" s="10">
        <f>IFERROR(__xludf.DUMMYFUNCTION("""COMPUTED_VALUE"""),10.0)</f>
        <v>10</v>
      </c>
      <c r="AE265" s="10">
        <f>IFERROR(__xludf.DUMMYFUNCTION("""COMPUTED_VALUE"""),6.0)</f>
        <v>6</v>
      </c>
      <c r="AF265" s="10">
        <f>IFERROR(__xludf.DUMMYFUNCTION("""COMPUTED_VALUE"""),10.0)</f>
        <v>10</v>
      </c>
      <c r="AG265" s="10">
        <f>IFERROR(__xludf.DUMMYFUNCTION("""COMPUTED_VALUE"""),10.0)</f>
        <v>10</v>
      </c>
      <c r="AH265" s="10">
        <f>IFERROR(__xludf.DUMMYFUNCTION("""COMPUTED_VALUE"""),0.0)</f>
        <v>0</v>
      </c>
      <c r="AI265" s="10">
        <f>IFERROR(__xludf.DUMMYFUNCTION("""COMPUTED_VALUE"""),10.0)</f>
        <v>10</v>
      </c>
      <c r="AJ265" s="11" t="str">
        <f>IFERROR(__xludf.DUMMYFUNCTION("""COMPUTED_VALUE"""),"https://drive.google.com/open?id=1BVRT2y3VfL5qPRw3JHpWcvJHLieSruYy")</f>
        <v>https://drive.google.com/open?id=1BVRT2y3VfL5qPRw3JHpWcvJHLieSruYy</v>
      </c>
      <c r="AK265" s="12"/>
      <c r="AL265" s="12" t="str">
        <f>IFERROR(__xludf.DUMMYFUNCTION("""COMPUTED_VALUE"""),"Yes")</f>
        <v>Yes</v>
      </c>
      <c r="AM265" s="15">
        <f>IFERROR(__xludf.DUMMYFUNCTION("""COMPUTED_VALUE"""),1.0)</f>
        <v>1</v>
      </c>
      <c r="AN265" s="12" t="str">
        <f>IFERROR(__xludf.DUMMYFUNCTION("""COMPUTED_VALUE"""),"3rd week")</f>
        <v>3rd week</v>
      </c>
      <c r="AO265" s="13">
        <v>3.0</v>
      </c>
      <c r="AX265" s="17"/>
    </row>
    <row r="266">
      <c r="A266" s="8">
        <v>265.0</v>
      </c>
      <c r="B266" s="9">
        <f>IFERROR(__xludf.DUMMYFUNCTION("""COMPUTED_VALUE"""),45807.365247407404)</f>
        <v>45807.36525</v>
      </c>
      <c r="C266" s="10" t="str">
        <f>IFERROR(__xludf.DUMMYFUNCTION("""COMPUTED_VALUE"""),"ALI RAZA")</f>
        <v>ALI RAZA</v>
      </c>
      <c r="D266" s="10" t="str">
        <f>IFERROR(__xludf.DUMMYFUNCTION("""COMPUTED_VALUE"""),"03046138132")</f>
        <v>03046138132</v>
      </c>
      <c r="E266" s="10" t="str">
        <f>IFERROR(__xludf.DUMMYFUNCTION("""COMPUTED_VALUE"""),"JAKIA MADJID QUDSIYA RIZVIYA")</f>
        <v>JAKIA MADJID QUDSIYA RIZVIYA</v>
      </c>
      <c r="F266" s="10" t="str">
        <f>IFERROR(__xludf.DUMMYFUNCTION("""COMPUTED_VALUE"""),"BWXOO")</f>
        <v>BWXOO</v>
      </c>
      <c r="G266" s="10" t="str">
        <f>IFERROR(__xludf.DUMMYFUNCTION("""COMPUTED_VALUE"""),"Yes")</f>
        <v>Yes</v>
      </c>
      <c r="H266" s="10">
        <f>IFERROR(__xludf.DUMMYFUNCTION("""COMPUTED_VALUE"""),10.0)</f>
        <v>10</v>
      </c>
      <c r="I266" s="10">
        <f>IFERROR(__xludf.DUMMYFUNCTION("""COMPUTED_VALUE"""),0.0)</f>
        <v>0</v>
      </c>
      <c r="J266" s="10">
        <f>IFERROR(__xludf.DUMMYFUNCTION("""COMPUTED_VALUE"""),10.0)</f>
        <v>10</v>
      </c>
      <c r="K266" s="10">
        <f>IFERROR(__xludf.DUMMYFUNCTION("""COMPUTED_VALUE"""),10.0)</f>
        <v>10</v>
      </c>
      <c r="L266" s="10">
        <f>IFERROR(__xludf.DUMMYFUNCTION("""COMPUTED_VALUE"""),10.0)</f>
        <v>10</v>
      </c>
      <c r="M266" s="10">
        <f>IFERROR(__xludf.DUMMYFUNCTION("""COMPUTED_VALUE"""),10.0)</f>
        <v>10</v>
      </c>
      <c r="N266" s="10">
        <f>IFERROR(__xludf.DUMMYFUNCTION("""COMPUTED_VALUE"""),2.0)</f>
        <v>2</v>
      </c>
      <c r="O266" s="10">
        <f>IFERROR(__xludf.DUMMYFUNCTION("""COMPUTED_VALUE"""),10.0)</f>
        <v>10</v>
      </c>
      <c r="P266" s="10">
        <f>IFERROR(__xludf.DUMMYFUNCTION("""COMPUTED_VALUE"""),10.0)</f>
        <v>10</v>
      </c>
      <c r="Q266" s="10" t="str">
        <f>IFERROR(__xludf.DUMMYFUNCTION("""COMPUTED_VALUE"""),"Yes")</f>
        <v>Yes</v>
      </c>
      <c r="R266" s="10" t="str">
        <f>IFERROR(__xludf.DUMMYFUNCTION("""COMPUTED_VALUE"""),"Yes")</f>
        <v>Yes</v>
      </c>
      <c r="S266" s="10" t="str">
        <f>IFERROR(__xludf.DUMMYFUNCTION("""COMPUTED_VALUE"""),"Yes")</f>
        <v>Yes</v>
      </c>
      <c r="T266" s="10">
        <f>IFERROR(__xludf.DUMMYFUNCTION("""COMPUTED_VALUE"""),10.0)</f>
        <v>10</v>
      </c>
      <c r="U266" s="10">
        <f>IFERROR(__xludf.DUMMYFUNCTION("""COMPUTED_VALUE"""),0.0)</f>
        <v>0</v>
      </c>
      <c r="V266" s="10" t="str">
        <f>IFERROR(__xludf.DUMMYFUNCTION("""COMPUTED_VALUE"""),"AURTOO K HAQOOQ")</f>
        <v>AURTOO K HAQOOQ</v>
      </c>
      <c r="W266" s="10" t="str">
        <f>IFERROR(__xludf.DUMMYFUNCTION("""COMPUTED_VALUE"""),"AURTOO K HAQOOK")</f>
        <v>AURTOO K HAQOOK</v>
      </c>
      <c r="X266" s="10">
        <f>IFERROR(__xludf.DUMMYFUNCTION("""COMPUTED_VALUE"""),4.0)</f>
        <v>4</v>
      </c>
      <c r="Y266" s="10">
        <f>IFERROR(__xludf.DUMMYFUNCTION("""COMPUTED_VALUE"""),5.0)</f>
        <v>5</v>
      </c>
      <c r="Z266" s="10">
        <f>IFERROR(__xludf.DUMMYFUNCTION("""COMPUTED_VALUE"""),8.0)</f>
        <v>8</v>
      </c>
      <c r="AA266" s="10">
        <f>IFERROR(__xludf.DUMMYFUNCTION("""COMPUTED_VALUE"""),10.0)</f>
        <v>10</v>
      </c>
      <c r="AB266" s="10">
        <f>IFERROR(__xludf.DUMMYFUNCTION("""COMPUTED_VALUE"""),10.0)</f>
        <v>10</v>
      </c>
      <c r="AC266" s="10">
        <f>IFERROR(__xludf.DUMMYFUNCTION("""COMPUTED_VALUE"""),8.0)</f>
        <v>8</v>
      </c>
      <c r="AD266" s="10">
        <f>IFERROR(__xludf.DUMMYFUNCTION("""COMPUTED_VALUE"""),8.0)</f>
        <v>8</v>
      </c>
      <c r="AE266" s="10">
        <f>IFERROR(__xludf.DUMMYFUNCTION("""COMPUTED_VALUE"""),5.0)</f>
        <v>5</v>
      </c>
      <c r="AF266" s="10">
        <f>IFERROR(__xludf.DUMMYFUNCTION("""COMPUTED_VALUE"""),10.0)</f>
        <v>10</v>
      </c>
      <c r="AG266" s="10">
        <f>IFERROR(__xludf.DUMMYFUNCTION("""COMPUTED_VALUE"""),10.0)</f>
        <v>10</v>
      </c>
      <c r="AH266" s="10">
        <f>IFERROR(__xludf.DUMMYFUNCTION("""COMPUTED_VALUE"""),0.0)</f>
        <v>0</v>
      </c>
      <c r="AI266" s="10">
        <f>IFERROR(__xludf.DUMMYFUNCTION("""COMPUTED_VALUE"""),7.0)</f>
        <v>7</v>
      </c>
      <c r="AJ266" s="11" t="str">
        <f>IFERROR(__xludf.DUMMYFUNCTION("""COMPUTED_VALUE"""),"https://drive.google.com/open?id=17UoJQqE-WXl5MMwx59zyBeUAWylewC6R")</f>
        <v>https://drive.google.com/open?id=17UoJQqE-WXl5MMwx59zyBeUAWylewC6R</v>
      </c>
      <c r="AK266" s="12"/>
      <c r="AL266" s="12" t="str">
        <f>IFERROR(__xludf.DUMMYFUNCTION("""COMPUTED_VALUE"""),"Yes")</f>
        <v>Yes</v>
      </c>
      <c r="AM266" s="15">
        <f>IFERROR(__xludf.DUMMYFUNCTION("""COMPUTED_VALUE"""),1.0)</f>
        <v>1</v>
      </c>
      <c r="AN266" s="12" t="str">
        <f>IFERROR(__xludf.DUMMYFUNCTION("""COMPUTED_VALUE"""),"2nd week")</f>
        <v>2nd week</v>
      </c>
      <c r="AO266" s="13">
        <v>2.0</v>
      </c>
      <c r="AX266" s="17"/>
    </row>
    <row r="267">
      <c r="A267" s="8">
        <v>266.0</v>
      </c>
      <c r="B267" s="9">
        <f>IFERROR(__xludf.DUMMYFUNCTION("""COMPUTED_VALUE"""),45807.38330295139)</f>
        <v>45807.3833</v>
      </c>
      <c r="C267" s="10" t="str">
        <f>IFERROR(__xludf.DUMMYFUNCTION("""COMPUTED_VALUE"""),"ALI RAZA")</f>
        <v>ALI RAZA</v>
      </c>
      <c r="D267" s="10" t="str">
        <f>IFERROR(__xludf.DUMMYFUNCTION("""COMPUTED_VALUE"""),"03046138132")</f>
        <v>03046138132</v>
      </c>
      <c r="E267" s="10" t="str">
        <f>IFERROR(__xludf.DUMMYFUNCTION("""COMPUTED_VALUE"""),"JAMIA MASJID QUDSIYA RIZVIYA  civil line")</f>
        <v>JAMIA MASJID QUDSIYA RIZVIYA  civil line</v>
      </c>
      <c r="F267" s="10" t="str">
        <f>IFERROR(__xludf.DUMMYFUNCTION("""COMPUTED_VALUE"""),"BWXOO")</f>
        <v>BWXOO</v>
      </c>
      <c r="G267" s="10" t="str">
        <f>IFERROR(__xludf.DUMMYFUNCTION("""COMPUTED_VALUE"""),"Yes")</f>
        <v>Yes</v>
      </c>
      <c r="H267" s="10">
        <f>IFERROR(__xludf.DUMMYFUNCTION("""COMPUTED_VALUE"""),10.0)</f>
        <v>10</v>
      </c>
      <c r="I267" s="10">
        <f>IFERROR(__xludf.DUMMYFUNCTION("""COMPUTED_VALUE"""),0.0)</f>
        <v>0</v>
      </c>
      <c r="J267" s="10">
        <f>IFERROR(__xludf.DUMMYFUNCTION("""COMPUTED_VALUE"""),10.0)</f>
        <v>10</v>
      </c>
      <c r="K267" s="10">
        <f>IFERROR(__xludf.DUMMYFUNCTION("""COMPUTED_VALUE"""),5.0)</f>
        <v>5</v>
      </c>
      <c r="L267" s="10">
        <f>IFERROR(__xludf.DUMMYFUNCTION("""COMPUTED_VALUE"""),5.0)</f>
        <v>5</v>
      </c>
      <c r="M267" s="10">
        <f>IFERROR(__xludf.DUMMYFUNCTION("""COMPUTED_VALUE"""),0.0)</f>
        <v>0</v>
      </c>
      <c r="N267" s="10">
        <f>IFERROR(__xludf.DUMMYFUNCTION("""COMPUTED_VALUE"""),10.0)</f>
        <v>10</v>
      </c>
      <c r="O267" s="10">
        <f>IFERROR(__xludf.DUMMYFUNCTION("""COMPUTED_VALUE"""),10.0)</f>
        <v>10</v>
      </c>
      <c r="P267" s="10">
        <f>IFERROR(__xludf.DUMMYFUNCTION("""COMPUTED_VALUE"""),10.0)</f>
        <v>10</v>
      </c>
      <c r="Q267" s="10" t="str">
        <f>IFERROR(__xludf.DUMMYFUNCTION("""COMPUTED_VALUE"""),"Yes")</f>
        <v>Yes</v>
      </c>
      <c r="R267" s="10" t="str">
        <f>IFERROR(__xludf.DUMMYFUNCTION("""COMPUTED_VALUE"""),"Yes")</f>
        <v>Yes</v>
      </c>
      <c r="S267" s="10" t="str">
        <f>IFERROR(__xludf.DUMMYFUNCTION("""COMPUTED_VALUE"""),"Yes")</f>
        <v>Yes</v>
      </c>
      <c r="T267" s="10">
        <f>IFERROR(__xludf.DUMMYFUNCTION("""COMPUTED_VALUE"""),10.0)</f>
        <v>10</v>
      </c>
      <c r="U267" s="10">
        <f>IFERROR(__xludf.DUMMYFUNCTION("""COMPUTED_VALUE"""),10.0)</f>
        <v>10</v>
      </c>
      <c r="V267" s="10" t="str">
        <f>IFERROR(__xludf.DUMMYFUNCTION("""COMPUTED_VALUE"""),"YOOM E TASHKKAR  PAK ARMY")</f>
        <v>YOOM E TASHKKAR  PAK ARMY</v>
      </c>
      <c r="W267" s="10" t="str">
        <f>IFERROR(__xludf.DUMMYFUNCTION("""COMPUTED_VALUE"""),"YOOM TASHKKAR PAK ARMY ")</f>
        <v>YOOM TASHKKAR PAK ARMY </v>
      </c>
      <c r="X267" s="10">
        <f>IFERROR(__xludf.DUMMYFUNCTION("""COMPUTED_VALUE"""),7.0)</f>
        <v>7</v>
      </c>
      <c r="Y267" s="10">
        <f>IFERROR(__xludf.DUMMYFUNCTION("""COMPUTED_VALUE"""),10.0)</f>
        <v>10</v>
      </c>
      <c r="Z267" s="10">
        <f>IFERROR(__xludf.DUMMYFUNCTION("""COMPUTED_VALUE"""),10.0)</f>
        <v>10</v>
      </c>
      <c r="AA267" s="10">
        <f>IFERROR(__xludf.DUMMYFUNCTION("""COMPUTED_VALUE"""),10.0)</f>
        <v>10</v>
      </c>
      <c r="AB267" s="10">
        <f>IFERROR(__xludf.DUMMYFUNCTION("""COMPUTED_VALUE"""),10.0)</f>
        <v>10</v>
      </c>
      <c r="AC267" s="10">
        <f>IFERROR(__xludf.DUMMYFUNCTION("""COMPUTED_VALUE"""),10.0)</f>
        <v>10</v>
      </c>
      <c r="AD267" s="10">
        <f>IFERROR(__xludf.DUMMYFUNCTION("""COMPUTED_VALUE"""),10.0)</f>
        <v>10</v>
      </c>
      <c r="AE267" s="10">
        <f>IFERROR(__xludf.DUMMYFUNCTION("""COMPUTED_VALUE"""),0.0)</f>
        <v>0</v>
      </c>
      <c r="AF267" s="10">
        <f>IFERROR(__xludf.DUMMYFUNCTION("""COMPUTED_VALUE"""),10.0)</f>
        <v>10</v>
      </c>
      <c r="AG267" s="10">
        <f>IFERROR(__xludf.DUMMYFUNCTION("""COMPUTED_VALUE"""),10.0)</f>
        <v>10</v>
      </c>
      <c r="AH267" s="10">
        <f>IFERROR(__xludf.DUMMYFUNCTION("""COMPUTED_VALUE"""),0.0)</f>
        <v>0</v>
      </c>
      <c r="AI267" s="10">
        <f>IFERROR(__xludf.DUMMYFUNCTION("""COMPUTED_VALUE"""),10.0)</f>
        <v>10</v>
      </c>
      <c r="AJ267" s="11" t="str">
        <f>IFERROR(__xludf.DUMMYFUNCTION("""COMPUTED_VALUE"""),"https://drive.google.com/open?id=1oulwJYSCZwFOlwirE9MDGWVffxhj3Typ")</f>
        <v>https://drive.google.com/open?id=1oulwJYSCZwFOlwirE9MDGWVffxhj3Typ</v>
      </c>
      <c r="AK267" s="12" t="str">
        <f>IFERROR(__xludf.DUMMYFUNCTION("""COMPUTED_VALUE"""),"NO ")</f>
        <v>NO </v>
      </c>
      <c r="AL267" s="12" t="str">
        <f>IFERROR(__xludf.DUMMYFUNCTION("""COMPUTED_VALUE"""),"Yes")</f>
        <v>Yes</v>
      </c>
      <c r="AM267" s="15">
        <f>IFERROR(__xludf.DUMMYFUNCTION("""COMPUTED_VALUE"""),1.0)</f>
        <v>1</v>
      </c>
      <c r="AN267" s="12" t="str">
        <f>IFERROR(__xludf.DUMMYFUNCTION("""COMPUTED_VALUE"""),"3rd week")</f>
        <v>3rd week</v>
      </c>
      <c r="AO267" s="13">
        <v>3.0</v>
      </c>
      <c r="AX267" s="17"/>
    </row>
    <row r="268">
      <c r="A268" s="8">
        <v>267.0</v>
      </c>
      <c r="B268" s="9">
        <f>IFERROR(__xludf.DUMMYFUNCTION("""COMPUTED_VALUE"""),45807.450609293985)</f>
        <v>45807.45061</v>
      </c>
      <c r="C268" s="10" t="str">
        <f>IFERROR(__xludf.DUMMYFUNCTION("""COMPUTED_VALUE"""),"ALI RAZA")</f>
        <v>ALI RAZA</v>
      </c>
      <c r="D268" s="10" t="str">
        <f>IFERROR(__xludf.DUMMYFUNCTION("""COMPUTED_VALUE"""),"03046138132")</f>
        <v>03046138132</v>
      </c>
      <c r="E268" s="10" t="str">
        <f>IFERROR(__xludf.DUMMYFUNCTION("""COMPUTED_VALUE"""),"JAMIA MADJID BHIRI SHAH REHMEN")</f>
        <v>JAMIA MADJID BHIRI SHAH REHMEN</v>
      </c>
      <c r="F268" s="10" t="str">
        <f>IFERROR(__xludf.DUMMYFUNCTION("""COMPUTED_VALUE"""),"OUGEG")</f>
        <v>OUGEG</v>
      </c>
      <c r="G268" s="10" t="str">
        <f>IFERROR(__xludf.DUMMYFUNCTION("""COMPUTED_VALUE"""),"No")</f>
        <v>No</v>
      </c>
      <c r="H268" s="10"/>
      <c r="I268" s="10"/>
      <c r="J268" s="10"/>
      <c r="K268" s="10">
        <f>IFERROR(__xludf.DUMMYFUNCTION("""COMPUTED_VALUE"""),5.0)</f>
        <v>5</v>
      </c>
      <c r="L268" s="10">
        <f>IFERROR(__xludf.DUMMYFUNCTION("""COMPUTED_VALUE"""),5.0)</f>
        <v>5</v>
      </c>
      <c r="M268" s="10">
        <f>IFERROR(__xludf.DUMMYFUNCTION("""COMPUTED_VALUE"""),0.0)</f>
        <v>0</v>
      </c>
      <c r="N268" s="10">
        <f>IFERROR(__xludf.DUMMYFUNCTION("""COMPUTED_VALUE"""),0.0)</f>
        <v>0</v>
      </c>
      <c r="O268" s="10">
        <f>IFERROR(__xludf.DUMMYFUNCTION("""COMPUTED_VALUE"""),4.0)</f>
        <v>4</v>
      </c>
      <c r="P268" s="10">
        <f>IFERROR(__xludf.DUMMYFUNCTION("""COMPUTED_VALUE"""),5.0)</f>
        <v>5</v>
      </c>
      <c r="Q268" s="10" t="str">
        <f>IFERROR(__xludf.DUMMYFUNCTION("""COMPUTED_VALUE"""),"No")</f>
        <v>No</v>
      </c>
      <c r="R268" s="10" t="str">
        <f>IFERROR(__xludf.DUMMYFUNCTION("""COMPUTED_VALUE"""),"No")</f>
        <v>No</v>
      </c>
      <c r="S268" s="10" t="str">
        <f>IFERROR(__xludf.DUMMYFUNCTION("""COMPUTED_VALUE"""),"Yes")</f>
        <v>Yes</v>
      </c>
      <c r="T268" s="10">
        <f>IFERROR(__xludf.DUMMYFUNCTION("""COMPUTED_VALUE"""),4.0)</f>
        <v>4</v>
      </c>
      <c r="U268" s="10">
        <f>IFERROR(__xludf.DUMMYFUNCTION("""COMPUTED_VALUE"""),6.0)</f>
        <v>6</v>
      </c>
      <c r="V268" s="10" t="str">
        <f>IFERROR(__xludf.DUMMYFUNCTION("""COMPUTED_VALUE"""),"PHALISTEEN  AND SHANE MUSTFA")</f>
        <v>PHALISTEEN  AND SHANE MUSTFA</v>
      </c>
      <c r="W268" s="10" t="str">
        <f>IFERROR(__xludf.DUMMYFUNCTION("""COMPUTED_VALUE"""),"PHALISTEEN AND SHANE MUSTFA")</f>
        <v>PHALISTEEN AND SHANE MUSTFA</v>
      </c>
      <c r="X268" s="10">
        <f>IFERROR(__xludf.DUMMYFUNCTION("""COMPUTED_VALUE"""),5.0)</f>
        <v>5</v>
      </c>
      <c r="Y268" s="10">
        <f>IFERROR(__xludf.DUMMYFUNCTION("""COMPUTED_VALUE"""),5.0)</f>
        <v>5</v>
      </c>
      <c r="Z268" s="10">
        <f>IFERROR(__xludf.DUMMYFUNCTION("""COMPUTED_VALUE"""),5.0)</f>
        <v>5</v>
      </c>
      <c r="AA268" s="10">
        <f>IFERROR(__xludf.DUMMYFUNCTION("""COMPUTED_VALUE"""),8.0)</f>
        <v>8</v>
      </c>
      <c r="AB268" s="10">
        <f>IFERROR(__xludf.DUMMYFUNCTION("""COMPUTED_VALUE"""),6.0)</f>
        <v>6</v>
      </c>
      <c r="AC268" s="10">
        <f>IFERROR(__xludf.DUMMYFUNCTION("""COMPUTED_VALUE"""),5.0)</f>
        <v>5</v>
      </c>
      <c r="AD268" s="10">
        <f>IFERROR(__xludf.DUMMYFUNCTION("""COMPUTED_VALUE"""),5.0)</f>
        <v>5</v>
      </c>
      <c r="AE268" s="10">
        <f>IFERROR(__xludf.DUMMYFUNCTION("""COMPUTED_VALUE"""),5.0)</f>
        <v>5</v>
      </c>
      <c r="AF268" s="10">
        <f>IFERROR(__xludf.DUMMYFUNCTION("""COMPUTED_VALUE"""),10.0)</f>
        <v>10</v>
      </c>
      <c r="AG268" s="10">
        <f>IFERROR(__xludf.DUMMYFUNCTION("""COMPUTED_VALUE"""),10.0)</f>
        <v>10</v>
      </c>
      <c r="AH268" s="10">
        <f>IFERROR(__xludf.DUMMYFUNCTION("""COMPUTED_VALUE"""),0.0)</f>
        <v>0</v>
      </c>
      <c r="AI268" s="10">
        <f>IFERROR(__xludf.DUMMYFUNCTION("""COMPUTED_VALUE"""),10.0)</f>
        <v>10</v>
      </c>
      <c r="AJ268" s="11" t="str">
        <f>IFERROR(__xludf.DUMMYFUNCTION("""COMPUTED_VALUE"""),"https://drive.google.com/open?id=1QsfAQJkd-h2BcBs8pO2RQ44Mg8uOw-0o")</f>
        <v>https://drive.google.com/open?id=1QsfAQJkd-h2BcBs8pO2RQ44Mg8uOw-0o</v>
      </c>
      <c r="AK268" s="12" t="str">
        <f>IFERROR(__xludf.DUMMYFUNCTION("""COMPUTED_VALUE"""),"No")</f>
        <v>No</v>
      </c>
      <c r="AL268" s="12"/>
      <c r="AM268" s="12"/>
      <c r="AN268" s="12" t="str">
        <f>IFERROR(__xludf.DUMMYFUNCTION("""COMPUTED_VALUE"""),"1st week")</f>
        <v>1st week</v>
      </c>
      <c r="AO268" s="13">
        <v>1.0</v>
      </c>
      <c r="AX268" s="17"/>
    </row>
    <row r="269">
      <c r="A269" s="8">
        <v>268.0</v>
      </c>
      <c r="B269" s="9">
        <f>IFERROR(__xludf.DUMMYFUNCTION("""COMPUTED_VALUE"""),45807.46022386574)</f>
        <v>45807.46022</v>
      </c>
      <c r="C269" s="10" t="str">
        <f>IFERROR(__xludf.DUMMYFUNCTION("""COMPUTED_VALUE"""),"ALI RAZA")</f>
        <v>ALI RAZA</v>
      </c>
      <c r="D269" s="10" t="str">
        <f>IFERROR(__xludf.DUMMYFUNCTION("""COMPUTED_VALUE"""),"03046138132")</f>
        <v>03046138132</v>
      </c>
      <c r="E269" s="10" t="str">
        <f>IFERROR(__xludf.DUMMYFUNCTION("""COMPUTED_VALUE"""),"JAMIA MADJID BHIRI SHAH REHMAN")</f>
        <v>JAMIA MADJID BHIRI SHAH REHMAN</v>
      </c>
      <c r="F269" s="10" t="str">
        <f>IFERROR(__xludf.DUMMYFUNCTION("""COMPUTED_VALUE"""),"OUGEG")</f>
        <v>OUGEG</v>
      </c>
      <c r="G269" s="10" t="str">
        <f>IFERROR(__xludf.DUMMYFUNCTION("""COMPUTED_VALUE"""),"Yes")</f>
        <v>Yes</v>
      </c>
      <c r="H269" s="10">
        <f>IFERROR(__xludf.DUMMYFUNCTION("""COMPUTED_VALUE"""),5.0)</f>
        <v>5</v>
      </c>
      <c r="I269" s="10">
        <f>IFERROR(__xludf.DUMMYFUNCTION("""COMPUTED_VALUE"""),5.0)</f>
        <v>5</v>
      </c>
      <c r="J269" s="10">
        <f>IFERROR(__xludf.DUMMYFUNCTION("""COMPUTED_VALUE"""),5.0)</f>
        <v>5</v>
      </c>
      <c r="K269" s="10">
        <f>IFERROR(__xludf.DUMMYFUNCTION("""COMPUTED_VALUE"""),5.0)</f>
        <v>5</v>
      </c>
      <c r="L269" s="10">
        <f>IFERROR(__xludf.DUMMYFUNCTION("""COMPUTED_VALUE"""),5.0)</f>
        <v>5</v>
      </c>
      <c r="M269" s="10">
        <f>IFERROR(__xludf.DUMMYFUNCTION("""COMPUTED_VALUE"""),5.0)</f>
        <v>5</v>
      </c>
      <c r="N269" s="10">
        <f>IFERROR(__xludf.DUMMYFUNCTION("""COMPUTED_VALUE"""),5.0)</f>
        <v>5</v>
      </c>
      <c r="O269" s="10">
        <f>IFERROR(__xludf.DUMMYFUNCTION("""COMPUTED_VALUE"""),5.0)</f>
        <v>5</v>
      </c>
      <c r="P269" s="10">
        <f>IFERROR(__xludf.DUMMYFUNCTION("""COMPUTED_VALUE"""),5.0)</f>
        <v>5</v>
      </c>
      <c r="Q269" s="10" t="str">
        <f>IFERROR(__xludf.DUMMYFUNCTION("""COMPUTED_VALUE"""),"No")</f>
        <v>No</v>
      </c>
      <c r="R269" s="10" t="str">
        <f>IFERROR(__xludf.DUMMYFUNCTION("""COMPUTED_VALUE"""),"Yes")</f>
        <v>Yes</v>
      </c>
      <c r="S269" s="10" t="str">
        <f>IFERROR(__xludf.DUMMYFUNCTION("""COMPUTED_VALUE"""),"Yes")</f>
        <v>Yes</v>
      </c>
      <c r="T269" s="10">
        <f>IFERROR(__xludf.DUMMYFUNCTION("""COMPUTED_VALUE"""),5.0)</f>
        <v>5</v>
      </c>
      <c r="U269" s="10">
        <f>IFERROR(__xludf.DUMMYFUNCTION("""COMPUTED_VALUE"""),5.0)</f>
        <v>5</v>
      </c>
      <c r="V269" s="10" t="str">
        <f>IFERROR(__xludf.DUMMYFUNCTION("""COMPUTED_VALUE"""),"HAMDO SANA ALLAH PAK AUR SAFAI MOHALLA")</f>
        <v>HAMDO SANA ALLAH PAK AUR SAFAI MOHALLA</v>
      </c>
      <c r="W269" s="10" t="str">
        <f>IFERROR(__xludf.DUMMYFUNCTION("""COMPUTED_VALUE"""),"HAMDO SANA ALLAH PAK AUR SAFAI MOHALLA")</f>
        <v>HAMDO SANA ALLAH PAK AUR SAFAI MOHALLA</v>
      </c>
      <c r="X269" s="10">
        <f>IFERROR(__xludf.DUMMYFUNCTION("""COMPUTED_VALUE"""),8.0)</f>
        <v>8</v>
      </c>
      <c r="Y269" s="10">
        <f>IFERROR(__xludf.DUMMYFUNCTION("""COMPUTED_VALUE"""),5.0)</f>
        <v>5</v>
      </c>
      <c r="Z269" s="10">
        <f>IFERROR(__xludf.DUMMYFUNCTION("""COMPUTED_VALUE"""),5.0)</f>
        <v>5</v>
      </c>
      <c r="AA269" s="10">
        <f>IFERROR(__xludf.DUMMYFUNCTION("""COMPUTED_VALUE"""),10.0)</f>
        <v>10</v>
      </c>
      <c r="AB269" s="10">
        <f>IFERROR(__xludf.DUMMYFUNCTION("""COMPUTED_VALUE"""),7.0)</f>
        <v>7</v>
      </c>
      <c r="AC269" s="10">
        <f>IFERROR(__xludf.DUMMYFUNCTION("""COMPUTED_VALUE"""),0.0)</f>
        <v>0</v>
      </c>
      <c r="AD269" s="10">
        <f>IFERROR(__xludf.DUMMYFUNCTION("""COMPUTED_VALUE"""),5.0)</f>
        <v>5</v>
      </c>
      <c r="AE269" s="10">
        <f>IFERROR(__xludf.DUMMYFUNCTION("""COMPUTED_VALUE"""),0.0)</f>
        <v>0</v>
      </c>
      <c r="AF269" s="10">
        <f>IFERROR(__xludf.DUMMYFUNCTION("""COMPUTED_VALUE"""),10.0)</f>
        <v>10</v>
      </c>
      <c r="AG269" s="10">
        <f>IFERROR(__xludf.DUMMYFUNCTION("""COMPUTED_VALUE"""),10.0)</f>
        <v>10</v>
      </c>
      <c r="AH269" s="10">
        <f>IFERROR(__xludf.DUMMYFUNCTION("""COMPUTED_VALUE"""),0.0)</f>
        <v>0</v>
      </c>
      <c r="AI269" s="10">
        <f>IFERROR(__xludf.DUMMYFUNCTION("""COMPUTED_VALUE"""),10.0)</f>
        <v>10</v>
      </c>
      <c r="AJ269" s="11" t="str">
        <f>IFERROR(__xludf.DUMMYFUNCTION("""COMPUTED_VALUE"""),"https://drive.google.com/open?id=1sadlfzbXGg7Y5IVba1Aoe65q1nHiEeZd")</f>
        <v>https://drive.google.com/open?id=1sadlfzbXGg7Y5IVba1Aoe65q1nHiEeZd</v>
      </c>
      <c r="AK269" s="12"/>
      <c r="AL269" s="12" t="str">
        <f>IFERROR(__xludf.DUMMYFUNCTION("""COMPUTED_VALUE"""),"No")</f>
        <v>No</v>
      </c>
      <c r="AM269" s="15">
        <f>IFERROR(__xludf.DUMMYFUNCTION("""COMPUTED_VALUE"""),0.5)</f>
        <v>0.5</v>
      </c>
      <c r="AN269" s="12" t="str">
        <f>IFERROR(__xludf.DUMMYFUNCTION("""COMPUTED_VALUE"""),"2nd week")</f>
        <v>2nd week</v>
      </c>
      <c r="AO269" s="13">
        <v>3.0</v>
      </c>
      <c r="AX269" s="17"/>
    </row>
    <row r="270">
      <c r="A270" s="8">
        <v>269.0</v>
      </c>
      <c r="B270" s="9">
        <f>IFERROR(__xludf.DUMMYFUNCTION("""COMPUTED_VALUE"""),45807.46735009259)</f>
        <v>45807.46735</v>
      </c>
      <c r="C270" s="10" t="str">
        <f>IFERROR(__xludf.DUMMYFUNCTION("""COMPUTED_VALUE"""),"ALI RAZA")</f>
        <v>ALI RAZA</v>
      </c>
      <c r="D270" s="10" t="str">
        <f>IFERROR(__xludf.DUMMYFUNCTION("""COMPUTED_VALUE"""),"03046138132")</f>
        <v>03046138132</v>
      </c>
      <c r="E270" s="10" t="str">
        <f>IFERROR(__xludf.DUMMYFUNCTION("""COMPUTED_VALUE"""),"JAMIA MASJID GHULASB SHAH")</f>
        <v>JAMIA MASJID GHULASB SHAH</v>
      </c>
      <c r="F270" s="10" t="str">
        <f>IFERROR(__xludf.DUMMYFUNCTION("""COMPUTED_VALUE"""),"AOVKO")</f>
        <v>AOVKO</v>
      </c>
      <c r="G270" s="10" t="str">
        <f>IFERROR(__xludf.DUMMYFUNCTION("""COMPUTED_VALUE"""),"No")</f>
        <v>No</v>
      </c>
      <c r="H270" s="10"/>
      <c r="I270" s="10"/>
      <c r="J270" s="10"/>
      <c r="K270" s="10">
        <f>IFERROR(__xludf.DUMMYFUNCTION("""COMPUTED_VALUE"""),0.0)</f>
        <v>0</v>
      </c>
      <c r="L270" s="10">
        <f>IFERROR(__xludf.DUMMYFUNCTION("""COMPUTED_VALUE"""),0.0)</f>
        <v>0</v>
      </c>
      <c r="M270" s="10">
        <f>IFERROR(__xludf.DUMMYFUNCTION("""COMPUTED_VALUE"""),0.0)</f>
        <v>0</v>
      </c>
      <c r="N270" s="10">
        <f>IFERROR(__xludf.DUMMYFUNCTION("""COMPUTED_VALUE"""),5.0)</f>
        <v>5</v>
      </c>
      <c r="O270" s="10">
        <f>IFERROR(__xludf.DUMMYFUNCTION("""COMPUTED_VALUE"""),5.0)</f>
        <v>5</v>
      </c>
      <c r="P270" s="10">
        <f>IFERROR(__xludf.DUMMYFUNCTION("""COMPUTED_VALUE"""),8.0)</f>
        <v>8</v>
      </c>
      <c r="Q270" s="10" t="str">
        <f>IFERROR(__xludf.DUMMYFUNCTION("""COMPUTED_VALUE"""),"No")</f>
        <v>No</v>
      </c>
      <c r="R270" s="10" t="str">
        <f>IFERROR(__xludf.DUMMYFUNCTION("""COMPUTED_VALUE"""),"Yes")</f>
        <v>Yes</v>
      </c>
      <c r="S270" s="10" t="str">
        <f>IFERROR(__xludf.DUMMYFUNCTION("""COMPUTED_VALUE"""),"Yes")</f>
        <v>Yes</v>
      </c>
      <c r="T270" s="10">
        <f>IFERROR(__xludf.DUMMYFUNCTION("""COMPUTED_VALUE"""),0.0)</f>
        <v>0</v>
      </c>
      <c r="U270" s="10">
        <f>IFERROR(__xludf.DUMMYFUNCTION("""COMPUTED_VALUE"""),5.0)</f>
        <v>5</v>
      </c>
      <c r="V270" s="10" t="str">
        <f>IFERROR(__xludf.DUMMYFUNCTION("""COMPUTED_VALUE"""),"MOLA ASGHAR 
SHANE MUSTFA 
MAA BAAP KI KHIDMAT")</f>
        <v>MOLA ASGHAR 
SHANE MUSTFA 
MAA BAAP KI KHIDMAT</v>
      </c>
      <c r="W270" s="10" t="str">
        <f>IFERROR(__xludf.DUMMYFUNCTION("""COMPUTED_VALUE"""),"MOLA ASHHAR 
SHANE MUSTFA
MA BAAP KI KHIDMAT")</f>
        <v>MOLA ASHHAR 
SHANE MUSTFA
MA BAAP KI KHIDMAT</v>
      </c>
      <c r="X270" s="10">
        <f>IFERROR(__xludf.DUMMYFUNCTION("""COMPUTED_VALUE"""),5.0)</f>
        <v>5</v>
      </c>
      <c r="Y270" s="10">
        <f>IFERROR(__xludf.DUMMYFUNCTION("""COMPUTED_VALUE"""),5.0)</f>
        <v>5</v>
      </c>
      <c r="Z270" s="10">
        <f>IFERROR(__xludf.DUMMYFUNCTION("""COMPUTED_VALUE"""),5.0)</f>
        <v>5</v>
      </c>
      <c r="AA270" s="10">
        <f>IFERROR(__xludf.DUMMYFUNCTION("""COMPUTED_VALUE"""),6.0)</f>
        <v>6</v>
      </c>
      <c r="AB270" s="10">
        <f>IFERROR(__xludf.DUMMYFUNCTION("""COMPUTED_VALUE"""),5.0)</f>
        <v>5</v>
      </c>
      <c r="AC270" s="10">
        <f>IFERROR(__xludf.DUMMYFUNCTION("""COMPUTED_VALUE"""),5.0)</f>
        <v>5</v>
      </c>
      <c r="AD270" s="10">
        <f>IFERROR(__xludf.DUMMYFUNCTION("""COMPUTED_VALUE"""),5.0)</f>
        <v>5</v>
      </c>
      <c r="AE270" s="10">
        <f>IFERROR(__xludf.DUMMYFUNCTION("""COMPUTED_VALUE"""),5.0)</f>
        <v>5</v>
      </c>
      <c r="AF270" s="10">
        <f>IFERROR(__xludf.DUMMYFUNCTION("""COMPUTED_VALUE"""),10.0)</f>
        <v>10</v>
      </c>
      <c r="AG270" s="10">
        <f>IFERROR(__xludf.DUMMYFUNCTION("""COMPUTED_VALUE"""),10.0)</f>
        <v>10</v>
      </c>
      <c r="AH270" s="10">
        <f>IFERROR(__xludf.DUMMYFUNCTION("""COMPUTED_VALUE"""),0.0)</f>
        <v>0</v>
      </c>
      <c r="AI270" s="10">
        <f>IFERROR(__xludf.DUMMYFUNCTION("""COMPUTED_VALUE"""),5.0)</f>
        <v>5</v>
      </c>
      <c r="AJ270" s="11" t="str">
        <f>IFERROR(__xludf.DUMMYFUNCTION("""COMPUTED_VALUE"""),"https://drive.google.com/open?id=1us5fNk41MqziJwca5YmqXdxmYkyN14Tr")</f>
        <v>https://drive.google.com/open?id=1us5fNk41MqziJwca5YmqXdxmYkyN14Tr</v>
      </c>
      <c r="AK270" s="12" t="str">
        <f>IFERROR(__xludf.DUMMYFUNCTION("""COMPUTED_VALUE"""),"No")</f>
        <v>No</v>
      </c>
      <c r="AL270" s="12"/>
      <c r="AM270" s="12"/>
      <c r="AN270" s="12" t="str">
        <f>IFERROR(__xludf.DUMMYFUNCTION("""COMPUTED_VALUE"""),"2nd week")</f>
        <v>2nd week</v>
      </c>
      <c r="AO270" s="13">
        <v>3.0</v>
      </c>
      <c r="AX270" s="17"/>
    </row>
    <row r="271">
      <c r="A271" s="8">
        <v>270.0</v>
      </c>
      <c r="B271" s="9">
        <f>IFERROR(__xludf.DUMMYFUNCTION("""COMPUTED_VALUE"""),45807.46735009259)</f>
        <v>45807.46735</v>
      </c>
      <c r="C271" s="10" t="str">
        <f>IFERROR(__xludf.DUMMYFUNCTION("""COMPUTED_VALUE"""),"Asim munir ")</f>
        <v>Asim munir </v>
      </c>
      <c r="D271" s="10" t="str">
        <f>IFERROR(__xludf.DUMMYFUNCTION("""COMPUTED_VALUE"""),"03005787199")</f>
        <v>03005787199</v>
      </c>
      <c r="E271" s="10" t="str">
        <f>IFERROR(__xludf.DUMMYFUNCTION("""COMPUTED_VALUE"""),"	Jamia Masjid Haji Muhammad Din Gujrat")</f>
        <v>	Jamia Masjid Haji Muhammad Din Gujrat</v>
      </c>
      <c r="F271" s="10" t="str">
        <f>IFERROR(__xludf.DUMMYFUNCTION("""COMPUTED_VALUE"""),"QVDJF")</f>
        <v>QVDJF</v>
      </c>
      <c r="G271" s="10" t="str">
        <f>IFERROR(__xludf.DUMMYFUNCTION("""COMPUTED_VALUE"""),"No")</f>
        <v>No</v>
      </c>
      <c r="H271" s="10"/>
      <c r="I271" s="10"/>
      <c r="J271" s="10"/>
      <c r="K271" s="10">
        <f>IFERROR(__xludf.DUMMYFUNCTION("""COMPUTED_VALUE"""),2.0)</f>
        <v>2</v>
      </c>
      <c r="L271" s="10">
        <f>IFERROR(__xludf.DUMMYFUNCTION("""COMPUTED_VALUE"""),1.0)</f>
        <v>1</v>
      </c>
      <c r="M271" s="10">
        <f>IFERROR(__xludf.DUMMYFUNCTION("""COMPUTED_VALUE"""),6.0)</f>
        <v>6</v>
      </c>
      <c r="N271" s="10">
        <f>IFERROR(__xludf.DUMMYFUNCTION("""COMPUTED_VALUE"""),6.0)</f>
        <v>6</v>
      </c>
      <c r="O271" s="10">
        <f>IFERROR(__xludf.DUMMYFUNCTION("""COMPUTED_VALUE"""),1.0)</f>
        <v>1</v>
      </c>
      <c r="P271" s="10">
        <f>IFERROR(__xludf.DUMMYFUNCTION("""COMPUTED_VALUE"""),10.0)</f>
        <v>10</v>
      </c>
      <c r="Q271" s="10" t="str">
        <f>IFERROR(__xludf.DUMMYFUNCTION("""COMPUTED_VALUE"""),"No")</f>
        <v>No</v>
      </c>
      <c r="R271" s="10" t="str">
        <f>IFERROR(__xludf.DUMMYFUNCTION("""COMPUTED_VALUE"""),"Yes")</f>
        <v>Yes</v>
      </c>
      <c r="S271" s="10" t="str">
        <f>IFERROR(__xludf.DUMMYFUNCTION("""COMPUTED_VALUE"""),"Yes")</f>
        <v>Yes</v>
      </c>
      <c r="T271" s="10">
        <f>IFERROR(__xludf.DUMMYFUNCTION("""COMPUTED_VALUE"""),5.0)</f>
        <v>5</v>
      </c>
      <c r="U271" s="10">
        <f>IFERROR(__xludf.DUMMYFUNCTION("""COMPUTED_VALUE"""),2.0)</f>
        <v>2</v>
      </c>
      <c r="V271" s="10" t="str">
        <f>IFERROR(__xludf.DUMMYFUNCTION("""COMPUTED_VALUE"""),"سود لینے اور دینے والے پر اللہ تعالی کی لعنت ہے")</f>
        <v>سود لینے اور دینے والے پر اللہ تعالی کی لعنت ہے</v>
      </c>
      <c r="W271" s="10" t="str">
        <f>IFERROR(__xludf.DUMMYFUNCTION("""COMPUTED_VALUE"""),"رشوت لینے والا رشوت دینے والا دونوں ہی جہنم کی اگ میں ڈالے جائیں گے اور سود لینے والا اور سود دینے والا ہے پر اللہ تعالی کی لعنت ہے")</f>
        <v>رشوت لینے والا رشوت دینے والا دونوں ہی جہنم کی اگ میں ڈالے جائیں گے اور سود لینے والا اور سود دینے والا ہے پر اللہ تعالی کی لعنت ہے</v>
      </c>
      <c r="X271" s="10">
        <f>IFERROR(__xludf.DUMMYFUNCTION("""COMPUTED_VALUE"""),5.0)</f>
        <v>5</v>
      </c>
      <c r="Y271" s="10">
        <f>IFERROR(__xludf.DUMMYFUNCTION("""COMPUTED_VALUE"""),6.0)</f>
        <v>6</v>
      </c>
      <c r="Z271" s="10">
        <f>IFERROR(__xludf.DUMMYFUNCTION("""COMPUTED_VALUE"""),4.0)</f>
        <v>4</v>
      </c>
      <c r="AA271" s="10">
        <f>IFERROR(__xludf.DUMMYFUNCTION("""COMPUTED_VALUE"""),5.0)</f>
        <v>5</v>
      </c>
      <c r="AB271" s="10">
        <f>IFERROR(__xludf.DUMMYFUNCTION("""COMPUTED_VALUE"""),5.0)</f>
        <v>5</v>
      </c>
      <c r="AC271" s="10">
        <f>IFERROR(__xludf.DUMMYFUNCTION("""COMPUTED_VALUE"""),2.0)</f>
        <v>2</v>
      </c>
      <c r="AD271" s="10">
        <f>IFERROR(__xludf.DUMMYFUNCTION("""COMPUTED_VALUE"""),7.0)</f>
        <v>7</v>
      </c>
      <c r="AE271" s="10">
        <f>IFERROR(__xludf.DUMMYFUNCTION("""COMPUTED_VALUE"""),5.0)</f>
        <v>5</v>
      </c>
      <c r="AF271" s="10">
        <f>IFERROR(__xludf.DUMMYFUNCTION("""COMPUTED_VALUE"""),5.0)</f>
        <v>5</v>
      </c>
      <c r="AG271" s="10">
        <f>IFERROR(__xludf.DUMMYFUNCTION("""COMPUTED_VALUE"""),10.0)</f>
        <v>10</v>
      </c>
      <c r="AH271" s="10">
        <f>IFERROR(__xludf.DUMMYFUNCTION("""COMPUTED_VALUE"""),0.0)</f>
        <v>0</v>
      </c>
      <c r="AI271" s="10">
        <f>IFERROR(__xludf.DUMMYFUNCTION("""COMPUTED_VALUE"""),5.0)</f>
        <v>5</v>
      </c>
      <c r="AJ271" s="11" t="str">
        <f>IFERROR(__xludf.DUMMYFUNCTION("""COMPUTED_VALUE"""),"https://drive.google.com/open?id=19h7zChwHDNVCCHdIrRNac2LexSfKJyDj")</f>
        <v>https://drive.google.com/open?id=19h7zChwHDNVCCHdIrRNac2LexSfKJyDj</v>
      </c>
      <c r="AK271" s="12" t="str">
        <f>IFERROR(__xludf.DUMMYFUNCTION("""COMPUTED_VALUE"""),"No")</f>
        <v>No</v>
      </c>
      <c r="AL271" s="12"/>
      <c r="AM271" s="12"/>
      <c r="AN271" s="12" t="str">
        <f>IFERROR(__xludf.DUMMYFUNCTION("""COMPUTED_VALUE"""),"1st week")</f>
        <v>1st week</v>
      </c>
      <c r="AO271" s="13">
        <v>1.0</v>
      </c>
      <c r="AX271" s="17"/>
    </row>
    <row r="272">
      <c r="A272" s="8">
        <v>271.0</v>
      </c>
      <c r="B272" s="9">
        <f>IFERROR(__xludf.DUMMYFUNCTION("""COMPUTED_VALUE"""),45823.36520193287)</f>
        <v>45823.3652</v>
      </c>
      <c r="C272" s="10" t="str">
        <f>IFERROR(__xludf.DUMMYFUNCTION("""COMPUTED_VALUE"""),"haris ")</f>
        <v>haris </v>
      </c>
      <c r="D272" s="10" t="str">
        <f>IFERROR(__xludf.DUMMYFUNCTION("""COMPUTED_VALUE"""),"03204565224")</f>
        <v>03204565224</v>
      </c>
      <c r="E272" s="10" t="str">
        <f>IFERROR(__xludf.DUMMYFUNCTION("""COMPUTED_VALUE"""),"jamia Masjid Hanfiya farooqiya krishan nagar lahore")</f>
        <v>jamia Masjid Hanfiya farooqiya krishan nagar lahore</v>
      </c>
      <c r="F272" s="10" t="str">
        <f>IFERROR(__xludf.DUMMYFUNCTION("""COMPUTED_VALUE"""),"mfrop")</f>
        <v>mfrop</v>
      </c>
      <c r="G272" s="10" t="str">
        <f>IFERROR(__xludf.DUMMYFUNCTION("""COMPUTED_VALUE"""),"Yes")</f>
        <v>Yes</v>
      </c>
      <c r="H272" s="10">
        <f>IFERROR(__xludf.DUMMYFUNCTION("""COMPUTED_VALUE"""),0.0)</f>
        <v>0</v>
      </c>
      <c r="I272" s="10">
        <f>IFERROR(__xludf.DUMMYFUNCTION("""COMPUTED_VALUE"""),10.0)</f>
        <v>10</v>
      </c>
      <c r="J272" s="10">
        <f>IFERROR(__xludf.DUMMYFUNCTION("""COMPUTED_VALUE"""),0.0)</f>
        <v>0</v>
      </c>
      <c r="K272" s="10">
        <f>IFERROR(__xludf.DUMMYFUNCTION("""COMPUTED_VALUE"""),0.0)</f>
        <v>0</v>
      </c>
      <c r="L272" s="10">
        <f>IFERROR(__xludf.DUMMYFUNCTION("""COMPUTED_VALUE"""),0.0)</f>
        <v>0</v>
      </c>
      <c r="M272" s="10">
        <f>IFERROR(__xludf.DUMMYFUNCTION("""COMPUTED_VALUE"""),2.0)</f>
        <v>2</v>
      </c>
      <c r="N272" s="10">
        <f>IFERROR(__xludf.DUMMYFUNCTION("""COMPUTED_VALUE"""),0.0)</f>
        <v>0</v>
      </c>
      <c r="O272" s="10">
        <f>IFERROR(__xludf.DUMMYFUNCTION("""COMPUTED_VALUE"""),0.0)</f>
        <v>0</v>
      </c>
      <c r="P272" s="10">
        <f>IFERROR(__xludf.DUMMYFUNCTION("""COMPUTED_VALUE"""),0.0)</f>
        <v>0</v>
      </c>
      <c r="Q272" s="10" t="str">
        <f>IFERROR(__xludf.DUMMYFUNCTION("""COMPUTED_VALUE"""),"No")</f>
        <v>No</v>
      </c>
      <c r="R272" s="10" t="str">
        <f>IFERROR(__xludf.DUMMYFUNCTION("""COMPUTED_VALUE"""),"No")</f>
        <v>No</v>
      </c>
      <c r="S272" s="10" t="str">
        <f>IFERROR(__xludf.DUMMYFUNCTION("""COMPUTED_VALUE"""),"No")</f>
        <v>No</v>
      </c>
      <c r="T272" s="10">
        <f>IFERROR(__xludf.DUMMYFUNCTION("""COMPUTED_VALUE"""),0.0)</f>
        <v>0</v>
      </c>
      <c r="U272" s="10">
        <f>IFERROR(__xludf.DUMMYFUNCTION("""COMPUTED_VALUE"""),0.0)</f>
        <v>0</v>
      </c>
      <c r="V272" s="10" t="str">
        <f>IFERROR(__xludf.DUMMYFUNCTION("""COMPUTED_VALUE"""),"نماز کی اہمیت اور اللہ تعالی کی نعمت ہے")</f>
        <v>نماز کی اہمیت اور اللہ تعالی کی نعمت ہے</v>
      </c>
      <c r="W272" s="10" t="str">
        <f>IFERROR(__xludf.DUMMYFUNCTION("""COMPUTED_VALUE"""),"نماز کی اہمیت پر زور دیا گیا اور اللہ تعالی کی نعمتوں کی قدر کے بارے میں بات کی")</f>
        <v>نماز کی اہمیت پر زور دیا گیا اور اللہ تعالی کی نعمتوں کی قدر کے بارے میں بات کی</v>
      </c>
      <c r="X272" s="10">
        <f>IFERROR(__xludf.DUMMYFUNCTION("""COMPUTED_VALUE"""),10.0)</f>
        <v>10</v>
      </c>
      <c r="Y272" s="10">
        <f>IFERROR(__xludf.DUMMYFUNCTION("""COMPUTED_VALUE"""),0.0)</f>
        <v>0</v>
      </c>
      <c r="Z272" s="10">
        <f>IFERROR(__xludf.DUMMYFUNCTION("""COMPUTED_VALUE"""),0.0)</f>
        <v>0</v>
      </c>
      <c r="AA272" s="10">
        <f>IFERROR(__xludf.DUMMYFUNCTION("""COMPUTED_VALUE"""),10.0)</f>
        <v>10</v>
      </c>
      <c r="AB272" s="10">
        <f>IFERROR(__xludf.DUMMYFUNCTION("""COMPUTED_VALUE"""),0.0)</f>
        <v>0</v>
      </c>
      <c r="AC272" s="10">
        <f>IFERROR(__xludf.DUMMYFUNCTION("""COMPUTED_VALUE"""),0.0)</f>
        <v>0</v>
      </c>
      <c r="AD272" s="10">
        <f>IFERROR(__xludf.DUMMYFUNCTION("""COMPUTED_VALUE"""),0.0)</f>
        <v>0</v>
      </c>
      <c r="AE272" s="10">
        <f>IFERROR(__xludf.DUMMYFUNCTION("""COMPUTED_VALUE"""),0.0)</f>
        <v>0</v>
      </c>
      <c r="AF272" s="10">
        <f>IFERROR(__xludf.DUMMYFUNCTION("""COMPUTED_VALUE"""),10.0)</f>
        <v>10</v>
      </c>
      <c r="AG272" s="10">
        <f>IFERROR(__xludf.DUMMYFUNCTION("""COMPUTED_VALUE"""),10.0)</f>
        <v>10</v>
      </c>
      <c r="AH272" s="10">
        <f>IFERROR(__xludf.DUMMYFUNCTION("""COMPUTED_VALUE"""),0.0)</f>
        <v>0</v>
      </c>
      <c r="AI272" s="10">
        <f>IFERROR(__xludf.DUMMYFUNCTION("""COMPUTED_VALUE"""),9.0)</f>
        <v>9</v>
      </c>
      <c r="AJ272" s="11" t="str">
        <f>IFERROR(__xludf.DUMMYFUNCTION("""COMPUTED_VALUE"""),"https://drive.google.com/open?id=1oDAMVtDh5MiZK0gS71zQz-5DhpJ_bO0d")</f>
        <v>https://drive.google.com/open?id=1oDAMVtDh5MiZK0gS71zQz-5DhpJ_bO0d</v>
      </c>
      <c r="AK272" s="12">
        <f>IFERROR(__xludf.DUMMYFUNCTION("""COMPUTED_VALUE"""),0.0)</f>
        <v>0</v>
      </c>
      <c r="AL272" s="12" t="str">
        <f>IFERROR(__xludf.DUMMYFUNCTION("""COMPUTED_VALUE"""),"Yes")</f>
        <v>Yes</v>
      </c>
      <c r="AM272" s="15">
        <f>IFERROR(__xludf.DUMMYFUNCTION("""COMPUTED_VALUE"""),0.0)</f>
        <v>0</v>
      </c>
      <c r="AN272" s="12" t="str">
        <f>IFERROR(__xludf.DUMMYFUNCTION("""COMPUTED_VALUE"""),"1st week")</f>
        <v>1st week</v>
      </c>
      <c r="AO272" s="13">
        <v>1.0</v>
      </c>
      <c r="AX272" s="17"/>
    </row>
    <row r="273">
      <c r="A273" s="8">
        <v>272.0</v>
      </c>
      <c r="B273" s="9">
        <f>IFERROR(__xludf.DUMMYFUNCTION("""COMPUTED_VALUE"""),45823.37185216435)</f>
        <v>45823.37185</v>
      </c>
      <c r="C273" s="10" t="str">
        <f>IFERROR(__xludf.DUMMYFUNCTION("""COMPUTED_VALUE"""),"haris")</f>
        <v>haris</v>
      </c>
      <c r="D273" s="10" t="str">
        <f>IFERROR(__xludf.DUMMYFUNCTION("""COMPUTED_VALUE"""),"03204565224")</f>
        <v>03204565224</v>
      </c>
      <c r="E273" s="10" t="str">
        <f>IFERROR(__xludf.DUMMYFUNCTION("""COMPUTED_VALUE"""),"jamia Masjid Walton road")</f>
        <v>jamia Masjid Walton road</v>
      </c>
      <c r="F273" s="10" t="str">
        <f>IFERROR(__xludf.DUMMYFUNCTION("""COMPUTED_VALUE"""),"vmezu")</f>
        <v>vmezu</v>
      </c>
      <c r="G273" s="10" t="str">
        <f>IFERROR(__xludf.DUMMYFUNCTION("""COMPUTED_VALUE"""),"Yes")</f>
        <v>Yes</v>
      </c>
      <c r="H273" s="10">
        <f>IFERROR(__xludf.DUMMYFUNCTION("""COMPUTED_VALUE"""),0.0)</f>
        <v>0</v>
      </c>
      <c r="I273" s="10">
        <f>IFERROR(__xludf.DUMMYFUNCTION("""COMPUTED_VALUE"""),10.0)</f>
        <v>10</v>
      </c>
      <c r="J273" s="10">
        <f>IFERROR(__xludf.DUMMYFUNCTION("""COMPUTED_VALUE"""),0.0)</f>
        <v>0</v>
      </c>
      <c r="K273" s="10">
        <f>IFERROR(__xludf.DUMMYFUNCTION("""COMPUTED_VALUE"""),0.0)</f>
        <v>0</v>
      </c>
      <c r="L273" s="10">
        <f>IFERROR(__xludf.DUMMYFUNCTION("""COMPUTED_VALUE"""),0.0)</f>
        <v>0</v>
      </c>
      <c r="M273" s="10">
        <f>IFERROR(__xludf.DUMMYFUNCTION("""COMPUTED_VALUE"""),0.0)</f>
        <v>0</v>
      </c>
      <c r="N273" s="10">
        <f>IFERROR(__xludf.DUMMYFUNCTION("""COMPUTED_VALUE"""),0.0)</f>
        <v>0</v>
      </c>
      <c r="O273" s="10">
        <f>IFERROR(__xludf.DUMMYFUNCTION("""COMPUTED_VALUE"""),0.0)</f>
        <v>0</v>
      </c>
      <c r="P273" s="10">
        <f>IFERROR(__xludf.DUMMYFUNCTION("""COMPUTED_VALUE"""),0.0)</f>
        <v>0</v>
      </c>
      <c r="Q273" s="10" t="str">
        <f>IFERROR(__xludf.DUMMYFUNCTION("""COMPUTED_VALUE"""),"No")</f>
        <v>No</v>
      </c>
      <c r="R273" s="10" t="str">
        <f>IFERROR(__xludf.DUMMYFUNCTION("""COMPUTED_VALUE"""),"No")</f>
        <v>No</v>
      </c>
      <c r="S273" s="10" t="str">
        <f>IFERROR(__xludf.DUMMYFUNCTION("""COMPUTED_VALUE"""),"No")</f>
        <v>No</v>
      </c>
      <c r="T273" s="10">
        <f>IFERROR(__xludf.DUMMYFUNCTION("""COMPUTED_VALUE"""),0.0)</f>
        <v>0</v>
      </c>
      <c r="U273" s="10">
        <f>IFERROR(__xludf.DUMMYFUNCTION("""COMPUTED_VALUE"""),0.0)</f>
        <v>0</v>
      </c>
      <c r="V273" s="10" t="str">
        <f>IFERROR(__xludf.DUMMYFUNCTION("""COMPUTED_VALUE"""),"نماز کی اہمیت")</f>
        <v>نماز کی اہمیت</v>
      </c>
      <c r="W273" s="10" t="str">
        <f>IFERROR(__xludf.DUMMYFUNCTION("""COMPUTED_VALUE"""),"نماز کی اہمیت پر زور دیا گیا")</f>
        <v>نماز کی اہمیت پر زور دیا گیا</v>
      </c>
      <c r="X273" s="10">
        <f>IFERROR(__xludf.DUMMYFUNCTION("""COMPUTED_VALUE"""),10.0)</f>
        <v>10</v>
      </c>
      <c r="Y273" s="10">
        <f>IFERROR(__xludf.DUMMYFUNCTION("""COMPUTED_VALUE"""),0.0)</f>
        <v>0</v>
      </c>
      <c r="Z273" s="10">
        <f>IFERROR(__xludf.DUMMYFUNCTION("""COMPUTED_VALUE"""),0.0)</f>
        <v>0</v>
      </c>
      <c r="AA273" s="10">
        <f>IFERROR(__xludf.DUMMYFUNCTION("""COMPUTED_VALUE"""),10.0)</f>
        <v>10</v>
      </c>
      <c r="AB273" s="10">
        <f>IFERROR(__xludf.DUMMYFUNCTION("""COMPUTED_VALUE"""),0.0)</f>
        <v>0</v>
      </c>
      <c r="AC273" s="10">
        <f>IFERROR(__xludf.DUMMYFUNCTION("""COMPUTED_VALUE"""),0.0)</f>
        <v>0</v>
      </c>
      <c r="AD273" s="10">
        <f>IFERROR(__xludf.DUMMYFUNCTION("""COMPUTED_VALUE"""),0.0)</f>
        <v>0</v>
      </c>
      <c r="AE273" s="10">
        <f>IFERROR(__xludf.DUMMYFUNCTION("""COMPUTED_VALUE"""),0.0)</f>
        <v>0</v>
      </c>
      <c r="AF273" s="10">
        <f>IFERROR(__xludf.DUMMYFUNCTION("""COMPUTED_VALUE"""),10.0)</f>
        <v>10</v>
      </c>
      <c r="AG273" s="10">
        <f>IFERROR(__xludf.DUMMYFUNCTION("""COMPUTED_VALUE"""),10.0)</f>
        <v>10</v>
      </c>
      <c r="AH273" s="10">
        <f>IFERROR(__xludf.DUMMYFUNCTION("""COMPUTED_VALUE"""),0.0)</f>
        <v>0</v>
      </c>
      <c r="AI273" s="10">
        <f>IFERROR(__xludf.DUMMYFUNCTION("""COMPUTED_VALUE"""),10.0)</f>
        <v>10</v>
      </c>
      <c r="AJ273" s="11" t="str">
        <f>IFERROR(__xludf.DUMMYFUNCTION("""COMPUTED_VALUE"""),"https://drive.google.com/open?id=1vlOcECUuUqwfh9VNUJ9BLBcN6mka85dZ")</f>
        <v>https://drive.google.com/open?id=1vlOcECUuUqwfh9VNUJ9BLBcN6mka85dZ</v>
      </c>
      <c r="AK273" s="12">
        <f>IFERROR(__xludf.DUMMYFUNCTION("""COMPUTED_VALUE"""),0.0)</f>
        <v>0</v>
      </c>
      <c r="AL273" s="12" t="str">
        <f>IFERROR(__xludf.DUMMYFUNCTION("""COMPUTED_VALUE"""),"Yes")</f>
        <v>Yes</v>
      </c>
      <c r="AM273" s="15">
        <f>IFERROR(__xludf.DUMMYFUNCTION("""COMPUTED_VALUE"""),0.0)</f>
        <v>0</v>
      </c>
      <c r="AN273" s="12" t="str">
        <f>IFERROR(__xludf.DUMMYFUNCTION("""COMPUTED_VALUE"""),"1st week")</f>
        <v>1st week</v>
      </c>
      <c r="AO273" s="13">
        <v>1.0</v>
      </c>
      <c r="AX273" s="17"/>
    </row>
    <row r="274">
      <c r="A274" s="8">
        <v>273.0</v>
      </c>
      <c r="B274" s="9">
        <f>IFERROR(__xludf.DUMMYFUNCTION("""COMPUTED_VALUE"""),45823.37800996528)</f>
        <v>45823.37801</v>
      </c>
      <c r="C274" s="10" t="str">
        <f>IFERROR(__xludf.DUMMYFUNCTION("""COMPUTED_VALUE"""),"haris ")</f>
        <v>haris </v>
      </c>
      <c r="D274" s="10" t="str">
        <f>IFERROR(__xludf.DUMMYFUNCTION("""COMPUTED_VALUE"""),"03204565224")</f>
        <v>03204565224</v>
      </c>
      <c r="E274" s="10" t="str">
        <f>IFERROR(__xludf.DUMMYFUNCTION("""COMPUTED_VALUE"""),"jamia Masjid hanfiya railway road gawal mandi lahore")</f>
        <v>jamia Masjid hanfiya railway road gawal mandi lahore</v>
      </c>
      <c r="F274" s="10" t="str">
        <f>IFERROR(__xludf.DUMMYFUNCTION("""COMPUTED_VALUE"""),"wvmxf")</f>
        <v>wvmxf</v>
      </c>
      <c r="G274" s="10" t="str">
        <f>IFERROR(__xludf.DUMMYFUNCTION("""COMPUTED_VALUE"""),"Yes")</f>
        <v>Yes</v>
      </c>
      <c r="H274" s="10">
        <f>IFERROR(__xludf.DUMMYFUNCTION("""COMPUTED_VALUE"""),0.0)</f>
        <v>0</v>
      </c>
      <c r="I274" s="10">
        <f>IFERROR(__xludf.DUMMYFUNCTION("""COMPUTED_VALUE"""),10.0)</f>
        <v>10</v>
      </c>
      <c r="J274" s="10">
        <f>IFERROR(__xludf.DUMMYFUNCTION("""COMPUTED_VALUE"""),0.0)</f>
        <v>0</v>
      </c>
      <c r="K274" s="10">
        <f>IFERROR(__xludf.DUMMYFUNCTION("""COMPUTED_VALUE"""),0.0)</f>
        <v>0</v>
      </c>
      <c r="L274" s="10">
        <f>IFERROR(__xludf.DUMMYFUNCTION("""COMPUTED_VALUE"""),0.0)</f>
        <v>0</v>
      </c>
      <c r="M274" s="10">
        <f>IFERROR(__xludf.DUMMYFUNCTION("""COMPUTED_VALUE"""),0.0)</f>
        <v>0</v>
      </c>
      <c r="N274" s="10">
        <f>IFERROR(__xludf.DUMMYFUNCTION("""COMPUTED_VALUE"""),0.0)</f>
        <v>0</v>
      </c>
      <c r="O274" s="10">
        <f>IFERROR(__xludf.DUMMYFUNCTION("""COMPUTED_VALUE"""),0.0)</f>
        <v>0</v>
      </c>
      <c r="P274" s="10">
        <f>IFERROR(__xludf.DUMMYFUNCTION("""COMPUTED_VALUE"""),0.0)</f>
        <v>0</v>
      </c>
      <c r="Q274" s="10" t="str">
        <f>IFERROR(__xludf.DUMMYFUNCTION("""COMPUTED_VALUE"""),"No")</f>
        <v>No</v>
      </c>
      <c r="R274" s="10" t="str">
        <f>IFERROR(__xludf.DUMMYFUNCTION("""COMPUTED_VALUE"""),"No")</f>
        <v>No</v>
      </c>
      <c r="S274" s="10" t="str">
        <f>IFERROR(__xludf.DUMMYFUNCTION("""COMPUTED_VALUE"""),"No")</f>
        <v>No</v>
      </c>
      <c r="T274" s="10">
        <f>IFERROR(__xludf.DUMMYFUNCTION("""COMPUTED_VALUE"""),0.0)</f>
        <v>0</v>
      </c>
      <c r="U274" s="10">
        <f>IFERROR(__xludf.DUMMYFUNCTION("""COMPUTED_VALUE"""),0.0)</f>
        <v>0</v>
      </c>
      <c r="V274" s="10" t="str">
        <f>IFERROR(__xludf.DUMMYFUNCTION("""COMPUTED_VALUE"""),"نبی کریم صلی اللہ علیہ والہ وسلم کے دور میں ہونے والی جنگوں کا ذکر کیا گیا اور نماز کے بارے میں")</f>
        <v>نبی کریم صلی اللہ علیہ والہ وسلم کے دور میں ہونے والی جنگوں کا ذکر کیا گیا اور نماز کے بارے میں</v>
      </c>
      <c r="W274" s="10" t="str">
        <f>IFERROR(__xludf.DUMMYFUNCTION("""COMPUTED_VALUE"""),"نبی کریم صلی اللہ علیہ والہ وسلم کے دور حیات میں ہونے والی جنگوں کا ذکر کیا گیا اور نماز کی اہمیت پر زور دیا گیا")</f>
        <v>نبی کریم صلی اللہ علیہ والہ وسلم کے دور حیات میں ہونے والی جنگوں کا ذکر کیا گیا اور نماز کی اہمیت پر زور دیا گیا</v>
      </c>
      <c r="X274" s="10">
        <f>IFERROR(__xludf.DUMMYFUNCTION("""COMPUTED_VALUE"""),4.0)</f>
        <v>4</v>
      </c>
      <c r="Y274" s="10">
        <f>IFERROR(__xludf.DUMMYFUNCTION("""COMPUTED_VALUE"""),2.0)</f>
        <v>2</v>
      </c>
      <c r="Z274" s="10">
        <f>IFERROR(__xludf.DUMMYFUNCTION("""COMPUTED_VALUE"""),0.0)</f>
        <v>0</v>
      </c>
      <c r="AA274" s="10">
        <f>IFERROR(__xludf.DUMMYFUNCTION("""COMPUTED_VALUE"""),10.0)</f>
        <v>10</v>
      </c>
      <c r="AB274" s="10">
        <f>IFERROR(__xludf.DUMMYFUNCTION("""COMPUTED_VALUE"""),0.0)</f>
        <v>0</v>
      </c>
      <c r="AC274" s="10">
        <f>IFERROR(__xludf.DUMMYFUNCTION("""COMPUTED_VALUE"""),0.0)</f>
        <v>0</v>
      </c>
      <c r="AD274" s="10">
        <f>IFERROR(__xludf.DUMMYFUNCTION("""COMPUTED_VALUE"""),0.0)</f>
        <v>0</v>
      </c>
      <c r="AE274" s="10">
        <f>IFERROR(__xludf.DUMMYFUNCTION("""COMPUTED_VALUE"""),0.0)</f>
        <v>0</v>
      </c>
      <c r="AF274" s="10">
        <f>IFERROR(__xludf.DUMMYFUNCTION("""COMPUTED_VALUE"""),8.0)</f>
        <v>8</v>
      </c>
      <c r="AG274" s="10">
        <f>IFERROR(__xludf.DUMMYFUNCTION("""COMPUTED_VALUE"""),8.0)</f>
        <v>8</v>
      </c>
      <c r="AH274" s="10">
        <f>IFERROR(__xludf.DUMMYFUNCTION("""COMPUTED_VALUE"""),0.0)</f>
        <v>0</v>
      </c>
      <c r="AI274" s="10">
        <f>IFERROR(__xludf.DUMMYFUNCTION("""COMPUTED_VALUE"""),8.0)</f>
        <v>8</v>
      </c>
      <c r="AJ274" s="11" t="str">
        <f>IFERROR(__xludf.DUMMYFUNCTION("""COMPUTED_VALUE"""),"https://drive.google.com/open?id=14CRaZReg7B0ONCigQGUBjg9U-fHNCBhA")</f>
        <v>https://drive.google.com/open?id=14CRaZReg7B0ONCigQGUBjg9U-fHNCBhA</v>
      </c>
      <c r="AK274" s="12">
        <f>IFERROR(__xludf.DUMMYFUNCTION("""COMPUTED_VALUE"""),0.0)</f>
        <v>0</v>
      </c>
      <c r="AL274" s="12" t="str">
        <f>IFERROR(__xludf.DUMMYFUNCTION("""COMPUTED_VALUE"""),"Yes")</f>
        <v>Yes</v>
      </c>
      <c r="AM274" s="15">
        <f>IFERROR(__xludf.DUMMYFUNCTION("""COMPUTED_VALUE"""),0.0)</f>
        <v>0</v>
      </c>
      <c r="AN274" s="12" t="str">
        <f>IFERROR(__xludf.DUMMYFUNCTION("""COMPUTED_VALUE"""),"1st week")</f>
        <v>1st week</v>
      </c>
      <c r="AO274" s="13">
        <v>1.0</v>
      </c>
      <c r="AX274" s="17"/>
    </row>
    <row r="275">
      <c r="A275" s="8">
        <v>274.0</v>
      </c>
      <c r="B275" s="9">
        <f>IFERROR(__xludf.DUMMYFUNCTION("""COMPUTED_VALUE"""),45826.56699494213)</f>
        <v>45826.56699</v>
      </c>
      <c r="C275" s="10" t="str">
        <f>IFERROR(__xludf.DUMMYFUNCTION("""COMPUTED_VALUE"""),"Arti Kumari ")</f>
        <v>Arti Kumari </v>
      </c>
      <c r="D275" s="10" t="str">
        <f>IFERROR(__xludf.DUMMYFUNCTION("""COMPUTED_VALUE"""),"03346661865")</f>
        <v>03346661865</v>
      </c>
      <c r="E275" s="10" t="str">
        <f>IFERROR(__xludf.DUMMYFUNCTION("""COMPUTED_VALUE"""),"Jamia Masjid Darbar Ismail Shah Bukhari Lahore")</f>
        <v>Jamia Masjid Darbar Ismail Shah Bukhari Lahore</v>
      </c>
      <c r="F275" s="10" t="str">
        <f>IFERROR(__xludf.DUMMYFUNCTION("""COMPUTED_VALUE"""),"fevmy")</f>
        <v>fevmy</v>
      </c>
      <c r="G275" s="10" t="str">
        <f>IFERROR(__xludf.DUMMYFUNCTION("""COMPUTED_VALUE"""),"No")</f>
        <v>No</v>
      </c>
      <c r="H275" s="10"/>
      <c r="I275" s="10"/>
      <c r="J275" s="10"/>
      <c r="K275" s="10">
        <f>IFERROR(__xludf.DUMMYFUNCTION("""COMPUTED_VALUE"""),0.0)</f>
        <v>0</v>
      </c>
      <c r="L275" s="10">
        <f>IFERROR(__xludf.DUMMYFUNCTION("""COMPUTED_VALUE"""),0.0)</f>
        <v>0</v>
      </c>
      <c r="M275" s="10">
        <f>IFERROR(__xludf.DUMMYFUNCTION("""COMPUTED_VALUE"""),0.0)</f>
        <v>0</v>
      </c>
      <c r="N275" s="10">
        <f>IFERROR(__xludf.DUMMYFUNCTION("""COMPUTED_VALUE"""),0.0)</f>
        <v>0</v>
      </c>
      <c r="O275" s="10">
        <f>IFERROR(__xludf.DUMMYFUNCTION("""COMPUTED_VALUE"""),0.0)</f>
        <v>0</v>
      </c>
      <c r="P275" s="10">
        <f>IFERROR(__xludf.DUMMYFUNCTION("""COMPUTED_VALUE"""),0.0)</f>
        <v>0</v>
      </c>
      <c r="Q275" s="10" t="str">
        <f>IFERROR(__xludf.DUMMYFUNCTION("""COMPUTED_VALUE"""),"No")</f>
        <v>No</v>
      </c>
      <c r="R275" s="10" t="str">
        <f>IFERROR(__xludf.DUMMYFUNCTION("""COMPUTED_VALUE"""),"No")</f>
        <v>No</v>
      </c>
      <c r="S275" s="10" t="str">
        <f>IFERROR(__xludf.DUMMYFUNCTION("""COMPUTED_VALUE"""),"No")</f>
        <v>No</v>
      </c>
      <c r="T275" s="10">
        <f>IFERROR(__xludf.DUMMYFUNCTION("""COMPUTED_VALUE"""),0.0)</f>
        <v>0</v>
      </c>
      <c r="U275" s="10">
        <f>IFERROR(__xludf.DUMMYFUNCTION("""COMPUTED_VALUE"""),0.0)</f>
        <v>0</v>
      </c>
      <c r="V275" s="10" t="str">
        <f>IFERROR(__xludf.DUMMYFUNCTION("""COMPUTED_VALUE"""),"واحدنیت، اللہ کا ایک ہونا")</f>
        <v>واحدنیت، اللہ کا ایک ہونا</v>
      </c>
      <c r="W275" s="10" t="str">
        <f>IFERROR(__xludf.DUMMYFUNCTION("""COMPUTED_VALUE"""),"امام نے ذیادہ اللہ کا ایک ہونے پر بات کی اور دوسرے کو مزہب کو ٹھیک کرنے سے پہلے اپنے آپ پھر گھر اور باقی سب کو تنقید کرنے کو کہا")</f>
        <v>امام نے ذیادہ اللہ کا ایک ہونے پر بات کی اور دوسرے کو مزہب کو ٹھیک کرنے سے پہلے اپنے آپ پھر گھر اور باقی سب کو تنقید کرنے کو کہا</v>
      </c>
      <c r="X275" s="10">
        <f>IFERROR(__xludf.DUMMYFUNCTION("""COMPUTED_VALUE"""),10.0)</f>
        <v>10</v>
      </c>
      <c r="Y275" s="10">
        <f>IFERROR(__xludf.DUMMYFUNCTION("""COMPUTED_VALUE"""),5.0)</f>
        <v>5</v>
      </c>
      <c r="Z275" s="10">
        <f>IFERROR(__xludf.DUMMYFUNCTION("""COMPUTED_VALUE"""),2.0)</f>
        <v>2</v>
      </c>
      <c r="AA275" s="10">
        <f>IFERROR(__xludf.DUMMYFUNCTION("""COMPUTED_VALUE"""),10.0)</f>
        <v>10</v>
      </c>
      <c r="AB275" s="10">
        <f>IFERROR(__xludf.DUMMYFUNCTION("""COMPUTED_VALUE"""),3.0)</f>
        <v>3</v>
      </c>
      <c r="AC275" s="10">
        <f>IFERROR(__xludf.DUMMYFUNCTION("""COMPUTED_VALUE"""),0.0)</f>
        <v>0</v>
      </c>
      <c r="AD275" s="10">
        <f>IFERROR(__xludf.DUMMYFUNCTION("""COMPUTED_VALUE"""),1.0)</f>
        <v>1</v>
      </c>
      <c r="AE275" s="10">
        <f>IFERROR(__xludf.DUMMYFUNCTION("""COMPUTED_VALUE"""),10.0)</f>
        <v>10</v>
      </c>
      <c r="AF275" s="10">
        <f>IFERROR(__xludf.DUMMYFUNCTION("""COMPUTED_VALUE"""),5.0)</f>
        <v>5</v>
      </c>
      <c r="AG275" s="10">
        <f>IFERROR(__xludf.DUMMYFUNCTION("""COMPUTED_VALUE"""),6.0)</f>
        <v>6</v>
      </c>
      <c r="AH275" s="10">
        <f>IFERROR(__xludf.DUMMYFUNCTION("""COMPUTED_VALUE"""),5.0)</f>
        <v>5</v>
      </c>
      <c r="AI275" s="10">
        <f>IFERROR(__xludf.DUMMYFUNCTION("""COMPUTED_VALUE"""),8.0)</f>
        <v>8</v>
      </c>
      <c r="AJ275" s="11" t="str">
        <f>IFERROR(__xludf.DUMMYFUNCTION("""COMPUTED_VALUE"""),"https://drive.google.com/open?id=1s9LcQ3nsdNW-wR3M9dFD2tGpqOslvTY-")</f>
        <v>https://drive.google.com/open?id=1s9LcQ3nsdNW-wR3M9dFD2tGpqOslvTY-</v>
      </c>
      <c r="AK275" s="12"/>
      <c r="AL275" s="12"/>
      <c r="AM275" s="12"/>
      <c r="AN275" s="12" t="str">
        <f>IFERROR(__xludf.DUMMYFUNCTION("""COMPUTED_VALUE"""),"4th week")</f>
        <v>4th week</v>
      </c>
      <c r="AO275" s="13">
        <v>4.0</v>
      </c>
      <c r="AX275" s="17"/>
    </row>
    <row r="276">
      <c r="A276" s="8">
        <v>275.0</v>
      </c>
      <c r="B276" s="9">
        <f>IFERROR(__xludf.DUMMYFUNCTION("""COMPUTED_VALUE"""),45827.270597002316)</f>
        <v>45827.2706</v>
      </c>
      <c r="C276" s="10" t="str">
        <f>IFERROR(__xludf.DUMMYFUNCTION("""COMPUTED_VALUE"""),"Arti Kumari ")</f>
        <v>Arti Kumari </v>
      </c>
      <c r="D276" s="10" t="str">
        <f>IFERROR(__xludf.DUMMYFUNCTION("""COMPUTED_VALUE"""),"03346661865")</f>
        <v>03346661865</v>
      </c>
      <c r="E276" s="10" t="str">
        <f>IFERROR(__xludf.DUMMYFUNCTION("""COMPUTED_VALUE"""),"Jamia Masjid Darbar Ismail Shah Bukhari Lahore")</f>
        <v>Jamia Masjid Darbar Ismail Shah Bukhari Lahore</v>
      </c>
      <c r="F276" s="10" t="str">
        <f>IFERROR(__xludf.DUMMYFUNCTION("""COMPUTED_VALUE"""),"fevmy")</f>
        <v>fevmy</v>
      </c>
      <c r="G276" s="10" t="str">
        <f>IFERROR(__xludf.DUMMYFUNCTION("""COMPUTED_VALUE"""),"No")</f>
        <v>No</v>
      </c>
      <c r="H276" s="10"/>
      <c r="I276" s="10"/>
      <c r="J276" s="10"/>
      <c r="K276" s="10">
        <f>IFERROR(__xludf.DUMMYFUNCTION("""COMPUTED_VALUE"""),0.0)</f>
        <v>0</v>
      </c>
      <c r="L276" s="10">
        <f>IFERROR(__xludf.DUMMYFUNCTION("""COMPUTED_VALUE"""),0.0)</f>
        <v>0</v>
      </c>
      <c r="M276" s="10">
        <f>IFERROR(__xludf.DUMMYFUNCTION("""COMPUTED_VALUE"""),2.0)</f>
        <v>2</v>
      </c>
      <c r="N276" s="10">
        <f>IFERROR(__xludf.DUMMYFUNCTION("""COMPUTED_VALUE"""),0.0)</f>
        <v>0</v>
      </c>
      <c r="O276" s="10">
        <f>IFERROR(__xludf.DUMMYFUNCTION("""COMPUTED_VALUE"""),0.0)</f>
        <v>0</v>
      </c>
      <c r="P276" s="10">
        <f>IFERROR(__xludf.DUMMYFUNCTION("""COMPUTED_VALUE"""),0.0)</f>
        <v>0</v>
      </c>
      <c r="Q276" s="10" t="str">
        <f>IFERROR(__xludf.DUMMYFUNCTION("""COMPUTED_VALUE"""),"No")</f>
        <v>No</v>
      </c>
      <c r="R276" s="10" t="str">
        <f>IFERROR(__xludf.DUMMYFUNCTION("""COMPUTED_VALUE"""),"No")</f>
        <v>No</v>
      </c>
      <c r="S276" s="10" t="str">
        <f>IFERROR(__xludf.DUMMYFUNCTION("""COMPUTED_VALUE"""),"No")</f>
        <v>No</v>
      </c>
      <c r="T276" s="10">
        <f>IFERROR(__xludf.DUMMYFUNCTION("""COMPUTED_VALUE"""),0.0)</f>
        <v>0</v>
      </c>
      <c r="U276" s="10">
        <f>IFERROR(__xludf.DUMMYFUNCTION("""COMPUTED_VALUE"""),0.0)</f>
        <v>0</v>
      </c>
      <c r="V276" s="10" t="str">
        <f>IFERROR(__xludf.DUMMYFUNCTION("""COMPUTED_VALUE"""),"اللہ ایک ہے اس کا کوئی شریک نہیں")</f>
        <v>اللہ ایک ہے اس کا کوئی شریک نہیں</v>
      </c>
      <c r="W276" s="10" t="str">
        <f>IFERROR(__xludf.DUMMYFUNCTION("""COMPUTED_VALUE"""),"امام نے اللہ کی واحدانیت پر بات کی کہ اللہ ایک ہے اس کا کوئی شریک نہیں،  نمرود اور اس کے بچے کی پیدائش کا زکر کیا لوگوں کو سیدھے راستے پر چلنے کی تلقین کی اور سب سے پہلے اپنے گھر سے اپنے آپ سے شروع کرنے کی تلقین کی۔ ")</f>
        <v>امام نے اللہ کی واحدانیت پر بات کی کہ اللہ ایک ہے اس کا کوئی شریک نہیں،  نمرود اور اس کے بچے کی پیدائش کا زکر کیا لوگوں کو سیدھے راستے پر چلنے کی تلقین کی اور سب سے پہلے اپنے گھر سے اپنے آپ سے شروع کرنے کی تلقین کی۔ </v>
      </c>
      <c r="X276" s="10">
        <f>IFERROR(__xludf.DUMMYFUNCTION("""COMPUTED_VALUE"""),10.0)</f>
        <v>10</v>
      </c>
      <c r="Y276" s="10">
        <f>IFERROR(__xludf.DUMMYFUNCTION("""COMPUTED_VALUE"""),2.0)</f>
        <v>2</v>
      </c>
      <c r="Z276" s="10">
        <f>IFERROR(__xludf.DUMMYFUNCTION("""COMPUTED_VALUE"""),3.0)</f>
        <v>3</v>
      </c>
      <c r="AA276" s="10">
        <f>IFERROR(__xludf.DUMMYFUNCTION("""COMPUTED_VALUE"""),10.0)</f>
        <v>10</v>
      </c>
      <c r="AB276" s="10">
        <f>IFERROR(__xludf.DUMMYFUNCTION("""COMPUTED_VALUE"""),5.0)</f>
        <v>5</v>
      </c>
      <c r="AC276" s="10">
        <f>IFERROR(__xludf.DUMMYFUNCTION("""COMPUTED_VALUE"""),0.0)</f>
        <v>0</v>
      </c>
      <c r="AD276" s="10">
        <f>IFERROR(__xludf.DUMMYFUNCTION("""COMPUTED_VALUE"""),0.0)</f>
        <v>0</v>
      </c>
      <c r="AE276" s="10">
        <f>IFERROR(__xludf.DUMMYFUNCTION("""COMPUTED_VALUE"""),5.0)</f>
        <v>5</v>
      </c>
      <c r="AF276" s="10">
        <f>IFERROR(__xludf.DUMMYFUNCTION("""COMPUTED_VALUE"""),0.0)</f>
        <v>0</v>
      </c>
      <c r="AG276" s="10">
        <f>IFERROR(__xludf.DUMMYFUNCTION("""COMPUTED_VALUE"""),7.0)</f>
        <v>7</v>
      </c>
      <c r="AH276" s="10">
        <f>IFERROR(__xludf.DUMMYFUNCTION("""COMPUTED_VALUE"""),0.0)</f>
        <v>0</v>
      </c>
      <c r="AI276" s="10">
        <f>IFERROR(__xludf.DUMMYFUNCTION("""COMPUTED_VALUE"""),10.0)</f>
        <v>10</v>
      </c>
      <c r="AJ276" s="11" t="str">
        <f>IFERROR(__xludf.DUMMYFUNCTION("""COMPUTED_VALUE"""),"https://drive.google.com/open?id=1zNLBDeYhAs6UNwAmHE9Na_JKyIlJQ-Rh")</f>
        <v>https://drive.google.com/open?id=1zNLBDeYhAs6UNwAmHE9Na_JKyIlJQ-Rh</v>
      </c>
      <c r="AK276" s="12"/>
      <c r="AL276" s="12"/>
      <c r="AM276" s="12"/>
      <c r="AN276" s="12" t="str">
        <f>IFERROR(__xludf.DUMMYFUNCTION("""COMPUTED_VALUE"""),"4th week")</f>
        <v>4th week</v>
      </c>
      <c r="AO276" s="13" t="s">
        <v>8</v>
      </c>
      <c r="AX276" s="17"/>
    </row>
    <row r="277">
      <c r="A277" s="8">
        <v>276.0</v>
      </c>
      <c r="B277" s="9">
        <f>IFERROR(__xludf.DUMMYFUNCTION("""COMPUTED_VALUE"""),45827.343552199076)</f>
        <v>45827.34355</v>
      </c>
      <c r="C277" s="10" t="str">
        <f>IFERROR(__xludf.DUMMYFUNCTION("""COMPUTED_VALUE"""),"Shahid Iqbal")</f>
        <v>Shahid Iqbal</v>
      </c>
      <c r="D277" s="10" t="str">
        <f>IFERROR(__xludf.DUMMYFUNCTION("""COMPUTED_VALUE"""),"03013665049")</f>
        <v>03013665049</v>
      </c>
      <c r="E277" s="10" t="str">
        <f>IFERROR(__xludf.DUMMYFUNCTION("""COMPUTED_VALUE"""),"Jamia Masjid Madina Purani Anarkali")</f>
        <v>Jamia Masjid Madina Purani Anarkali</v>
      </c>
      <c r="F277" s="10" t="str">
        <f>IFERROR(__xludf.DUMMYFUNCTION("""COMPUTED_VALUE"""),"bpozt")</f>
        <v>bpozt</v>
      </c>
      <c r="G277" s="10" t="str">
        <f>IFERROR(__xludf.DUMMYFUNCTION("""COMPUTED_VALUE"""),"Yes")</f>
        <v>Yes</v>
      </c>
      <c r="H277" s="10">
        <f>IFERROR(__xludf.DUMMYFUNCTION("""COMPUTED_VALUE"""),0.0)</f>
        <v>0</v>
      </c>
      <c r="I277" s="10">
        <f>IFERROR(__xludf.DUMMYFUNCTION("""COMPUTED_VALUE"""),0.0)</f>
        <v>0</v>
      </c>
      <c r="J277" s="10">
        <f>IFERROR(__xludf.DUMMYFUNCTION("""COMPUTED_VALUE"""),0.0)</f>
        <v>0</v>
      </c>
      <c r="K277" s="10">
        <f>IFERROR(__xludf.DUMMYFUNCTION("""COMPUTED_VALUE"""),0.0)</f>
        <v>0</v>
      </c>
      <c r="L277" s="10">
        <f>IFERROR(__xludf.DUMMYFUNCTION("""COMPUTED_VALUE"""),0.0)</f>
        <v>0</v>
      </c>
      <c r="M277" s="10">
        <f>IFERROR(__xludf.DUMMYFUNCTION("""COMPUTED_VALUE"""),0.0)</f>
        <v>0</v>
      </c>
      <c r="N277" s="10">
        <f>IFERROR(__xludf.DUMMYFUNCTION("""COMPUTED_VALUE"""),0.0)</f>
        <v>0</v>
      </c>
      <c r="O277" s="10">
        <f>IFERROR(__xludf.DUMMYFUNCTION("""COMPUTED_VALUE"""),0.0)</f>
        <v>0</v>
      </c>
      <c r="P277" s="10">
        <f>IFERROR(__xludf.DUMMYFUNCTION("""COMPUTED_VALUE"""),0.0)</f>
        <v>0</v>
      </c>
      <c r="Q277" s="10" t="str">
        <f>IFERROR(__xludf.DUMMYFUNCTION("""COMPUTED_VALUE"""),"No")</f>
        <v>No</v>
      </c>
      <c r="R277" s="10" t="str">
        <f>IFERROR(__xludf.DUMMYFUNCTION("""COMPUTED_VALUE"""),"No")</f>
        <v>No</v>
      </c>
      <c r="S277" s="10" t="str">
        <f>IFERROR(__xludf.DUMMYFUNCTION("""COMPUTED_VALUE"""),"No")</f>
        <v>No</v>
      </c>
      <c r="T277" s="10">
        <f>IFERROR(__xludf.DUMMYFUNCTION("""COMPUTED_VALUE"""),0.0)</f>
        <v>0</v>
      </c>
      <c r="U277" s="10">
        <f>IFERROR(__xludf.DUMMYFUNCTION("""COMPUTED_VALUE"""),0.0)</f>
        <v>0</v>
      </c>
      <c r="V277" s="10" t="str">
        <f>IFERROR(__xludf.DUMMYFUNCTION("""COMPUTED_VALUE"""),"be Hayai aur fahashi")</f>
        <v>be Hayai aur fahashi</v>
      </c>
      <c r="W277" s="10" t="str">
        <f>IFERROR(__xludf.DUMMYFUNCTION("""COMPUTED_VALUE"""),"be Hayai aur fahashi")</f>
        <v>be Hayai aur fahashi</v>
      </c>
      <c r="X277" s="10">
        <f>IFERROR(__xludf.DUMMYFUNCTION("""COMPUTED_VALUE"""),3.0)</f>
        <v>3</v>
      </c>
      <c r="Y277" s="10">
        <f>IFERROR(__xludf.DUMMYFUNCTION("""COMPUTED_VALUE"""),4.0)</f>
        <v>4</v>
      </c>
      <c r="Z277" s="10">
        <f>IFERROR(__xludf.DUMMYFUNCTION("""COMPUTED_VALUE"""),9.0)</f>
        <v>9</v>
      </c>
      <c r="AA277" s="10">
        <f>IFERROR(__xludf.DUMMYFUNCTION("""COMPUTED_VALUE"""),5.0)</f>
        <v>5</v>
      </c>
      <c r="AB277" s="10">
        <f>IFERROR(__xludf.DUMMYFUNCTION("""COMPUTED_VALUE"""),6.0)</f>
        <v>6</v>
      </c>
      <c r="AC277" s="10">
        <f>IFERROR(__xludf.DUMMYFUNCTION("""COMPUTED_VALUE"""),5.0)</f>
        <v>5</v>
      </c>
      <c r="AD277" s="10">
        <f>IFERROR(__xludf.DUMMYFUNCTION("""COMPUTED_VALUE"""),3.0)</f>
        <v>3</v>
      </c>
      <c r="AE277" s="10">
        <f>IFERROR(__xludf.DUMMYFUNCTION("""COMPUTED_VALUE"""),1.0)</f>
        <v>1</v>
      </c>
      <c r="AF277" s="10">
        <f>IFERROR(__xludf.DUMMYFUNCTION("""COMPUTED_VALUE"""),4.0)</f>
        <v>4</v>
      </c>
      <c r="AG277" s="10">
        <f>IFERROR(__xludf.DUMMYFUNCTION("""COMPUTED_VALUE"""),6.0)</f>
        <v>6</v>
      </c>
      <c r="AH277" s="10">
        <f>IFERROR(__xludf.DUMMYFUNCTION("""COMPUTED_VALUE"""),2.0)</f>
        <v>2</v>
      </c>
      <c r="AI277" s="10">
        <f>IFERROR(__xludf.DUMMYFUNCTION("""COMPUTED_VALUE"""),7.0)</f>
        <v>7</v>
      </c>
      <c r="AJ277" s="11" t="str">
        <f>IFERROR(__xludf.DUMMYFUNCTION("""COMPUTED_VALUE"""),"https://drive.google.com/open?id=1FLogoChYiIWXfbR9ccyg22leAkqfp2po")</f>
        <v>https://drive.google.com/open?id=1FLogoChYiIWXfbR9ccyg22leAkqfp2po</v>
      </c>
      <c r="AK277" s="12"/>
      <c r="AL277" s="12" t="str">
        <f>IFERROR(__xludf.DUMMYFUNCTION("""COMPUTED_VALUE"""),"Yes")</f>
        <v>Yes</v>
      </c>
      <c r="AM277" s="15">
        <f>IFERROR(__xludf.DUMMYFUNCTION("""COMPUTED_VALUE"""),0.0)</f>
        <v>0</v>
      </c>
      <c r="AN277" s="12" t="str">
        <f>IFERROR(__xludf.DUMMYFUNCTION("""COMPUTED_VALUE"""),"4th week")</f>
        <v>4th week</v>
      </c>
      <c r="AO277" s="13" t="s">
        <v>8</v>
      </c>
      <c r="AX277" s="17"/>
    </row>
    <row r="278" ht="30.0" customHeight="1">
      <c r="A278" s="8">
        <v>277.0</v>
      </c>
      <c r="B278" s="9">
        <f>IFERROR(__xludf.DUMMYFUNCTION("""COMPUTED_VALUE"""),45827.35856133101)</f>
        <v>45827.35856</v>
      </c>
      <c r="C278" s="10" t="str">
        <f>IFERROR(__xludf.DUMMYFUNCTION("""COMPUTED_VALUE"""),"Sumaia Hayat")</f>
        <v>Sumaia Hayat</v>
      </c>
      <c r="D278" s="10" t="str">
        <f>IFERROR(__xludf.DUMMYFUNCTION("""COMPUTED_VALUE"""),"03260671819")</f>
        <v>03260671819</v>
      </c>
      <c r="E278" s="10" t="str">
        <f>IFERROR(__xludf.DUMMYFUNCTION("""COMPUTED_VALUE"""),"Jamia Masjid Takiya Peer Hassan Shah Wali Lahore")</f>
        <v>Jamia Masjid Takiya Peer Hassan Shah Wali Lahore</v>
      </c>
      <c r="F278" s="10" t="str">
        <f>IFERROR(__xludf.DUMMYFUNCTION("""COMPUTED_VALUE"""),"buvya")</f>
        <v>buvya</v>
      </c>
      <c r="G278" s="10" t="str">
        <f>IFERROR(__xludf.DUMMYFUNCTION("""COMPUTED_VALUE"""),"No")</f>
        <v>No</v>
      </c>
      <c r="H278" s="10"/>
      <c r="I278" s="10"/>
      <c r="J278" s="10"/>
      <c r="K278" s="10">
        <f>IFERROR(__xludf.DUMMYFUNCTION("""COMPUTED_VALUE"""),0.0)</f>
        <v>0</v>
      </c>
      <c r="L278" s="10">
        <f>IFERROR(__xludf.DUMMYFUNCTION("""COMPUTED_VALUE"""),10.0)</f>
        <v>10</v>
      </c>
      <c r="M278" s="10">
        <f>IFERROR(__xludf.DUMMYFUNCTION("""COMPUTED_VALUE"""),0.0)</f>
        <v>0</v>
      </c>
      <c r="N278" s="10">
        <f>IFERROR(__xludf.DUMMYFUNCTION("""COMPUTED_VALUE"""),10.0)</f>
        <v>10</v>
      </c>
      <c r="O278" s="10">
        <f>IFERROR(__xludf.DUMMYFUNCTION("""COMPUTED_VALUE"""),0.0)</f>
        <v>0</v>
      </c>
      <c r="P278" s="10">
        <f>IFERROR(__xludf.DUMMYFUNCTION("""COMPUTED_VALUE"""),10.0)</f>
        <v>10</v>
      </c>
      <c r="Q278" s="10" t="str">
        <f>IFERROR(__xludf.DUMMYFUNCTION("""COMPUTED_VALUE"""),"No")</f>
        <v>No</v>
      </c>
      <c r="R278" s="10" t="str">
        <f>IFERROR(__xludf.DUMMYFUNCTION("""COMPUTED_VALUE"""),"No")</f>
        <v>No</v>
      </c>
      <c r="S278" s="10" t="str">
        <f>IFERROR(__xludf.DUMMYFUNCTION("""COMPUTED_VALUE"""),"Yes")</f>
        <v>Yes</v>
      </c>
      <c r="T278" s="10">
        <f>IFERROR(__xludf.DUMMYFUNCTION("""COMPUTED_VALUE"""),0.0)</f>
        <v>0</v>
      </c>
      <c r="U278" s="10">
        <f>IFERROR(__xludf.DUMMYFUNCTION("""COMPUTED_VALUE"""),0.0)</f>
        <v>0</v>
      </c>
      <c r="V278" s="10" t="str">
        <f>IFERROR(__xludf.DUMMYFUNCTION("""COMPUTED_VALUE"""),"امام کے بیان کا مرکزی موضوع ""عبادات، تقویٰ، حقوق العباد اور اسلامی معاشرت"" تھا۔")</f>
        <v>امام کے بیان کا مرکزی موضوع "عبادات، تقویٰ، حقوق العباد اور اسلامی معاشرت" تھا۔</v>
      </c>
      <c r="W278" s="10" t="str">
        <f>IFERROR(__xludf.DUMMYFUNCTION("""COMPUTED_VALUE"""),"امام نے اپنے بیان میں زور دیا کہ عبادات کے ساتھ ساتھ تقویٰ، حسنِ اخلاق، اور حقوق العباد ادا کرنا ایک مؤمن کی مکمل پہچان ہے۔ انہوں نے خاص طور پر پڑوسیوں کے حقوق، صفائی، اور گھریلو دینی تربیت کو اسلامی معاشرت کی بنیاد قرار دیا۔
")</f>
        <v>امام نے اپنے بیان میں زور دیا کہ عبادات کے ساتھ ساتھ تقویٰ، حسنِ اخلاق، اور حقوق العباد ادا کرنا ایک مؤمن کی مکمل پہچان ہے۔ انہوں نے خاص طور پر پڑوسیوں کے حقوق، صفائی، اور گھریلو دینی تربیت کو اسلامی معاشرت کی بنیاد قرار دیا۔
</v>
      </c>
      <c r="X278" s="10">
        <f>IFERROR(__xludf.DUMMYFUNCTION("""COMPUTED_VALUE"""),8.0)</f>
        <v>8</v>
      </c>
      <c r="Y278" s="10">
        <f>IFERROR(__xludf.DUMMYFUNCTION("""COMPUTED_VALUE"""),10.0)</f>
        <v>10</v>
      </c>
      <c r="Z278" s="10">
        <f>IFERROR(__xludf.DUMMYFUNCTION("""COMPUTED_VALUE"""),9.0)</f>
        <v>9</v>
      </c>
      <c r="AA278" s="10">
        <f>IFERROR(__xludf.DUMMYFUNCTION("""COMPUTED_VALUE"""),10.0)</f>
        <v>10</v>
      </c>
      <c r="AB278" s="10">
        <f>IFERROR(__xludf.DUMMYFUNCTION("""COMPUTED_VALUE"""),6.0)</f>
        <v>6</v>
      </c>
      <c r="AC278" s="10">
        <f>IFERROR(__xludf.DUMMYFUNCTION("""COMPUTED_VALUE"""),1.0)</f>
        <v>1</v>
      </c>
      <c r="AD278" s="10">
        <f>IFERROR(__xludf.DUMMYFUNCTION("""COMPUTED_VALUE"""),2.0)</f>
        <v>2</v>
      </c>
      <c r="AE278" s="10">
        <f>IFERROR(__xludf.DUMMYFUNCTION("""COMPUTED_VALUE"""),1.0)</f>
        <v>1</v>
      </c>
      <c r="AF278" s="10">
        <f>IFERROR(__xludf.DUMMYFUNCTION("""COMPUTED_VALUE"""),8.0)</f>
        <v>8</v>
      </c>
      <c r="AG278" s="10">
        <f>IFERROR(__xludf.DUMMYFUNCTION("""COMPUTED_VALUE"""),9.0)</f>
        <v>9</v>
      </c>
      <c r="AH278" s="10">
        <f>IFERROR(__xludf.DUMMYFUNCTION("""COMPUTED_VALUE"""),0.0)</f>
        <v>0</v>
      </c>
      <c r="AI278" s="10">
        <f>IFERROR(__xludf.DUMMYFUNCTION("""COMPUTED_VALUE"""),9.0)</f>
        <v>9</v>
      </c>
      <c r="AJ278" s="11" t="str">
        <f>IFERROR(__xludf.DUMMYFUNCTION("""COMPUTED_VALUE"""),"https://drive.google.com/open?id=18cz6XItrxA4RcGYHvyn2iNF9DLSDdV6U")</f>
        <v>https://drive.google.com/open?id=18cz6XItrxA4RcGYHvyn2iNF9DLSDdV6U</v>
      </c>
      <c r="AK278" s="12" t="str">
        <f>IFERROR(__xludf.DUMMYFUNCTION("""COMPUTED_VALUE"""),"جی ہاں، میں کچھ اہم نکات بطور اضافی معلومات پیش کرنا چاہوں گا:
1. بیان کا توازن: امام نے عبادات اور اخلاقیات کے درمیان بہترین توازن قائم کیا۔ صرف نماز، روزہ یا قرآن پر زور دینے کے بجائے انہوں نے حسنِ سلوک، صفائی، اور حقوق العباد کو عملی دین کا حصہ بنا کر"&amp;" پیش کیا، جو بہت مؤثر اور جامع پہلو تھا۔
2. بیان کا دائرہ: اگرچہ بیان بہت مثبت اور تعمیری تھا، لیکن کچھ اہم سماجی موضوعات جیسے خواتین کے تعلیم و کردار، معاشی مسائل، یا موجودہ معاشرتی چیلنجز پر گفتگو نہیں کی گئی۔ اگر یہ پہلو بھی شامل کیے جاتے تو بیان مزی"&amp;"د جامع بن سکتا تھا۔
3. زبان اور انداز: بیان کا انداز دل کو نرم کرنے والا، عقیدت انگیز اور آسان فہم تھا۔ کوئی سخت یا تنقیدی زبان استعمال نہیں کی گئی، جس سے یہ اندازہ ہوتا ہے کہ امام سامعین کو محبت سے اصلاح کی طرف مائل کرنا چاہتے تھے۔
4. عملی رہنمائی: ا"&amp;"گرچہ امام نے دینی تعلیمات کی اہمیت پر زور دیا، لیکن عملی ہدایات (جیسے ہفتہ وار عمل، مخصوص اقدام وغیرہ) کی کمی محسوس ہوئی۔ اگر سامعین کو واضح عمل کی دعوت دی جاتی تو اثر اور بڑھ سکتا تھا۔
کوئی پریشانی نہیں — آپ کے سوالات منظم، واضح اور تحقیقی نوعیت کے ہی"&amp;"ں، جن سے اندازہ ہوتا ہے کہ آپ مواد کو باریک بینی سے پرکھ رہے ہیں، جو قابلِ تحسین ہے۔ اگر مزید کسی بیان کا تجزیہ یا مدد درکار ہو، تو ضرور اطلاع دیں۔
")</f>
        <v>جی ہاں، میں کچھ اہم نکات بطور اضافی معلومات پیش کرنا چاہوں گا:
1. بیان کا توازن: امام نے عبادات اور اخلاقیات کے درمیان بہترین توازن قائم کیا۔ صرف نماز، روزہ یا قرآن پر زور دینے کے بجائے انہوں نے حسنِ سلوک، صفائی، اور حقوق العباد کو عملی دین کا حصہ بنا کر پیش کیا، جو بہت مؤثر اور جامع پہلو تھا۔
2. بیان کا دائرہ: اگرچہ بیان بہت مثبت اور تعمیری تھا، لیکن کچھ اہم سماجی موضوعات جیسے خواتین کے تعلیم و کردار، معاشی مسائل، یا موجودہ معاشرتی چیلنجز پر گفتگو نہیں کی گئی۔ اگر یہ پہلو بھی شامل کیے جاتے تو بیان مزید جامع بن سکتا تھا۔
3. زبان اور انداز: بیان کا انداز دل کو نرم کرنے والا، عقیدت انگیز اور آسان فہم تھا۔ کوئی سخت یا تنقیدی زبان استعمال نہیں کی گئی، جس سے یہ اندازہ ہوتا ہے کہ امام سامعین کو محبت سے اصلاح کی طرف مائل کرنا چاہتے تھے۔
4. عملی رہنمائی: اگرچہ امام نے دینی تعلیمات کی اہمیت پر زور دیا، لیکن عملی ہدایات (جیسے ہفتہ وار عمل، مخصوص اقدام وغیرہ) کی کمی محسوس ہوئی۔ اگر سامعین کو واضح عمل کی دعوت دی جاتی تو اثر اور بڑھ سکتا تھا۔
کوئی پریشانی نہیں — آپ کے سوالات منظم، واضح اور تحقیقی نوعیت کے ہیں، جن سے اندازہ ہوتا ہے کہ آپ مواد کو باریک بینی سے پرکھ رہے ہیں، جو قابلِ تحسین ہے۔ اگر مزید کسی بیان کا تجزیہ یا مدد درکار ہو، تو ضرور اطلاع دیں۔
</v>
      </c>
      <c r="AL278" s="12"/>
      <c r="AM278" s="12"/>
      <c r="AN278" s="12" t="str">
        <f>IFERROR(__xludf.DUMMYFUNCTION("""COMPUTED_VALUE"""),"3rd week")</f>
        <v>3rd week</v>
      </c>
      <c r="AO278" s="13" t="s">
        <v>8</v>
      </c>
      <c r="AX278" s="17"/>
    </row>
    <row r="279" ht="26.25" customHeight="1">
      <c r="A279" s="8">
        <v>278.0</v>
      </c>
      <c r="B279" s="9">
        <f>IFERROR(__xludf.DUMMYFUNCTION("""COMPUTED_VALUE"""),45827.45956875)</f>
        <v>45827.45957</v>
      </c>
      <c r="C279" s="10" t="str">
        <f>IFERROR(__xludf.DUMMYFUNCTION("""COMPUTED_VALUE"""),"Sumaia Hayat")</f>
        <v>Sumaia Hayat</v>
      </c>
      <c r="D279" s="10" t="str">
        <f>IFERROR(__xludf.DUMMYFUNCTION("""COMPUTED_VALUE"""),"03260671819")</f>
        <v>03260671819</v>
      </c>
      <c r="E279" s="10" t="str">
        <f>IFERROR(__xludf.DUMMYFUNCTION("""COMPUTED_VALUE"""),"Jamia Masjid Miya Rehman Hafizabad")</f>
        <v>Jamia Masjid Miya Rehman Hafizabad</v>
      </c>
      <c r="F279" s="10" t="str">
        <f>IFERROR(__xludf.DUMMYFUNCTION("""COMPUTED_VALUE"""),"VIEXI")</f>
        <v>VIEXI</v>
      </c>
      <c r="G279" s="10" t="str">
        <f>IFERROR(__xludf.DUMMYFUNCTION("""COMPUTED_VALUE"""),"No")</f>
        <v>No</v>
      </c>
      <c r="H279" s="10"/>
      <c r="I279" s="10"/>
      <c r="J279" s="10"/>
      <c r="K279" s="10">
        <f>IFERROR(__xludf.DUMMYFUNCTION("""COMPUTED_VALUE"""),10.0)</f>
        <v>10</v>
      </c>
      <c r="L279" s="10">
        <f>IFERROR(__xludf.DUMMYFUNCTION("""COMPUTED_VALUE"""),0.0)</f>
        <v>0</v>
      </c>
      <c r="M279" s="10">
        <f>IFERROR(__xludf.DUMMYFUNCTION("""COMPUTED_VALUE"""),10.0)</f>
        <v>10</v>
      </c>
      <c r="N279" s="10">
        <f>IFERROR(__xludf.DUMMYFUNCTION("""COMPUTED_VALUE"""),0.0)</f>
        <v>0</v>
      </c>
      <c r="O279" s="10">
        <f>IFERROR(__xludf.DUMMYFUNCTION("""COMPUTED_VALUE"""),9.0)</f>
        <v>9</v>
      </c>
      <c r="P279" s="10">
        <f>IFERROR(__xludf.DUMMYFUNCTION("""COMPUTED_VALUE"""),0.0)</f>
        <v>0</v>
      </c>
      <c r="Q279" s="10" t="str">
        <f>IFERROR(__xludf.DUMMYFUNCTION("""COMPUTED_VALUE"""),"Yes")</f>
        <v>Yes</v>
      </c>
      <c r="R279" s="10" t="str">
        <f>IFERROR(__xludf.DUMMYFUNCTION("""COMPUTED_VALUE"""),"No")</f>
        <v>No</v>
      </c>
      <c r="S279" s="10" t="str">
        <f>IFERROR(__xludf.DUMMYFUNCTION("""COMPUTED_VALUE"""),"No")</f>
        <v>No</v>
      </c>
      <c r="T279" s="10">
        <f>IFERROR(__xludf.DUMMYFUNCTION("""COMPUTED_VALUE"""),0.0)</f>
        <v>0</v>
      </c>
      <c r="U279" s="10">
        <f>IFERROR(__xludf.DUMMYFUNCTION("""COMPUTED_VALUE"""),0.0)</f>
        <v>0</v>
      </c>
      <c r="V279" s="10" t="str">
        <f>IFERROR(__xludf.DUMMYFUNCTION("""COMPUTED_VALUE"""),"امام کے بیان کا مرکزی موضوع تھا:
""اسلام میں عورت کا مقام، حقوق، اور تعلیم و تربیت کی اہمیت""
بیان میں درج ذیل نکات پر تفصیلی گفتگو کی گئی:
عورت کے مختلف رشتوں (ماں، بیوی، بیٹی، بہن) میں مقام
جاہلیت کے دور میں عورت کے ساتھ ہونے والے ظلم
نبی کریم ﷺ کی "&amp;"سیرت میں عورت کے ساتھ حسنِ سلوک کی مثالیں
خواتین کی تعلیم و تربیت کی شرعی اہمیت
بیٹیوں کی پرورش کو جنت کا ذریعہ قرار دینا
اور سامعین کو اس حوالے سے عملی اقدامات کی دعوت دینا
یہ تمام باتیں اس بات کی وضاحت کرتی ہیں کہ بیان کا مکمل زور عورت کی عزت، وقار"&amp;"، حقوق اور اسلامی معاشرے میں اس کے کردار پر تھا۔")</f>
        <v>امام کے بیان کا مرکزی موضوع تھا:
"اسلام میں عورت کا مقام، حقوق، اور تعلیم و تربیت کی اہمیت"
بیان میں درج ذیل نکات پر تفصیلی گفتگو کی گئی:
عورت کے مختلف رشتوں (ماں، بیوی، بیٹی، بہن) میں مقام
جاہلیت کے دور میں عورت کے ساتھ ہونے والے ظلم
نبی کریم ﷺ کی سیرت میں عورت کے ساتھ حسنِ سلوک کی مثالیں
خواتین کی تعلیم و تربیت کی شرعی اہمیت
بیٹیوں کی پرورش کو جنت کا ذریعہ قرار دینا
اور سامعین کو اس حوالے سے عملی اقدامات کی دعوت دینا
یہ تمام باتیں اس بات کی وضاحت کرتی ہیں کہ بیان کا مکمل زور عورت کی عزت، وقار، حقوق اور اسلامی معاشرے میں اس کے کردار پر تھا۔</v>
      </c>
      <c r="W279" s="10" t="str">
        <f>IFERROR(__xludf.DUMMYFUNCTION("""COMPUTED_VALUE"""),"امام نے اپنے بیان میں اسلام میں عورت کے مقام، عزت اور حقوق کو قرآن و سنت کی روشنی میں واضح کیا اور ماں، بیوی، بہن، اور بیٹی کے طور پر اس کے ساتھ حسنِ سلوک کی تاکید کی۔
انہوں نے خواتین کی تعلیم و تربیت کو ضروری قرار دیتے ہوئے سامعین کو اس حوالے سے عملی اقد"&amp;"امات کی ترغیب دی۔
")</f>
        <v>امام نے اپنے بیان میں اسلام میں عورت کے مقام، عزت اور حقوق کو قرآن و سنت کی روشنی میں واضح کیا اور ماں، بیوی، بہن، اور بیٹی کے طور پر اس کے ساتھ حسنِ سلوک کی تاکید کی۔
انہوں نے خواتین کی تعلیم و تربیت کو ضروری قرار دیتے ہوئے سامعین کو اس حوالے سے عملی اقدامات کی ترغیب دی۔
</v>
      </c>
      <c r="X279" s="10">
        <f>IFERROR(__xludf.DUMMYFUNCTION("""COMPUTED_VALUE"""),0.0)</f>
        <v>0</v>
      </c>
      <c r="Y279" s="10">
        <f>IFERROR(__xludf.DUMMYFUNCTION("""COMPUTED_VALUE"""),9.0)</f>
        <v>9</v>
      </c>
      <c r="Z279" s="10">
        <f>IFERROR(__xludf.DUMMYFUNCTION("""COMPUTED_VALUE"""),7.0)</f>
        <v>7</v>
      </c>
      <c r="AA279" s="10">
        <f>IFERROR(__xludf.DUMMYFUNCTION("""COMPUTED_VALUE"""),8.0)</f>
        <v>8</v>
      </c>
      <c r="AB279" s="10">
        <f>IFERROR(__xludf.DUMMYFUNCTION("""COMPUTED_VALUE"""),7.0)</f>
        <v>7</v>
      </c>
      <c r="AC279" s="10">
        <f>IFERROR(__xludf.DUMMYFUNCTION("""COMPUTED_VALUE"""),0.0)</f>
        <v>0</v>
      </c>
      <c r="AD279" s="10">
        <f>IFERROR(__xludf.DUMMYFUNCTION("""COMPUTED_VALUE"""),2.0)</f>
        <v>2</v>
      </c>
      <c r="AE279" s="10">
        <f>IFERROR(__xludf.DUMMYFUNCTION("""COMPUTED_VALUE"""),0.0)</f>
        <v>0</v>
      </c>
      <c r="AF279" s="10">
        <f>IFERROR(__xludf.DUMMYFUNCTION("""COMPUTED_VALUE"""),9.0)</f>
        <v>9</v>
      </c>
      <c r="AG279" s="10">
        <f>IFERROR(__xludf.DUMMYFUNCTION("""COMPUTED_VALUE"""),9.0)</f>
        <v>9</v>
      </c>
      <c r="AH279" s="10">
        <f>IFERROR(__xludf.DUMMYFUNCTION("""COMPUTED_VALUE"""),0.0)</f>
        <v>0</v>
      </c>
      <c r="AI279" s="10">
        <f>IFERROR(__xludf.DUMMYFUNCTION("""COMPUTED_VALUE"""),9.0)</f>
        <v>9</v>
      </c>
      <c r="AJ279" s="11" t="str">
        <f>IFERROR(__xludf.DUMMYFUNCTION("""COMPUTED_VALUE"""),"https://drive.google.com/open?id=1z2Rc9VihMaijE3LIhoud3jfBqwR_EFm_")</f>
        <v>https://drive.google.com/open?id=1z2Rc9VihMaijE3LIhoud3jfBqwR_EFm_</v>
      </c>
      <c r="AK279" s="12" t="str">
        <f>IFERROR(__xludf.DUMMYFUNCTION("""COMPUTED_VALUE"""),"جی ہاں، چند اضافی نکات گزارش ہیں:
1. بیان کا تسلسل اور وضاحت بہت عمدہ تھی — امام صاحب نے موضوع کو ابتدا سے آخر تک مربوط انداز میں پیش کیا، جس سے سامعین کے لیے پیغام کو سمجھنا آسان ہو گیا۔
2. مثبت پہلو یہ بھی تھا کہ خواتین کے حقوق پر بات کرتے ہوئے شدت پ"&amp;"سندی یا تنقید سے اجتناب کیا گیا، بلکہ نرمی اور رحم دلی کا پیغام غالب رہا۔
3. اگر اس بیان کو کسی تعلیمی یا اصلاحی پروگرام میں استعمال کیا جائے، تو یہ خواتین کی عزت و وقار کے حوالے سے ایک بہت عمدہ نصاب یا تربیتی مواد بن سکتا ہے۔
کوئی پریشانی نہیں ہوئی —"&amp;" اگر آئندہ کسی اور بیان پر بھی تجزیہ یا خلاصہ درکار ہو تو خوشی سے حاضر ہوں۔
")</f>
        <v>جی ہاں، چند اضافی نکات گزارش ہیں:
1. بیان کا تسلسل اور وضاحت بہت عمدہ تھی — امام صاحب نے موضوع کو ابتدا سے آخر تک مربوط انداز میں پیش کیا، جس سے سامعین کے لیے پیغام کو سمجھنا آسان ہو گیا۔
2. مثبت پہلو یہ بھی تھا کہ خواتین کے حقوق پر بات کرتے ہوئے شدت پسندی یا تنقید سے اجتناب کیا گیا، بلکہ نرمی اور رحم دلی کا پیغام غالب رہا۔
3. اگر اس بیان کو کسی تعلیمی یا اصلاحی پروگرام میں استعمال کیا جائے، تو یہ خواتین کی عزت و وقار کے حوالے سے ایک بہت عمدہ نصاب یا تربیتی مواد بن سکتا ہے۔
کوئی پریشانی نہیں ہوئی — اگر آئندہ کسی اور بیان پر بھی تجزیہ یا خلاصہ درکار ہو تو خوشی سے حاضر ہوں۔
</v>
      </c>
      <c r="AL279" s="12"/>
      <c r="AM279" s="12"/>
      <c r="AN279" s="12" t="str">
        <f>IFERROR(__xludf.DUMMYFUNCTION("""COMPUTED_VALUE"""),"1st week")</f>
        <v>1st week</v>
      </c>
      <c r="AO279" s="13" t="s">
        <v>8</v>
      </c>
      <c r="AX279" s="17"/>
    </row>
    <row r="280">
      <c r="A280" s="8">
        <v>279.0</v>
      </c>
      <c r="B280" s="9">
        <f>IFERROR(__xludf.DUMMYFUNCTION("""COMPUTED_VALUE"""),45827.573803611114)</f>
        <v>45827.5738</v>
      </c>
      <c r="C280" s="10" t="str">
        <f>IFERROR(__xludf.DUMMYFUNCTION("""COMPUTED_VALUE"""),"Asma Gul ")</f>
        <v>Asma Gul </v>
      </c>
      <c r="D280" s="10" t="str">
        <f>IFERROR(__xludf.DUMMYFUNCTION("""COMPUTED_VALUE"""),"03459308620")</f>
        <v>03459308620</v>
      </c>
      <c r="E280" s="10" t="str">
        <f>IFERROR(__xludf.DUMMYFUNCTION("""COMPUTED_VALUE"""),"Jamia Masjid Chowk Dalkara Lahore ")</f>
        <v>Jamia Masjid Chowk Dalkara Lahore </v>
      </c>
      <c r="F280" s="10" t="str">
        <f>IFERROR(__xludf.DUMMYFUNCTION("""COMPUTED_VALUE"""),"wywfr")</f>
        <v>wywfr</v>
      </c>
      <c r="G280" s="10" t="str">
        <f>IFERROR(__xludf.DUMMYFUNCTION("""COMPUTED_VALUE"""),"Yes")</f>
        <v>Yes</v>
      </c>
      <c r="H280" s="10">
        <f>IFERROR(__xludf.DUMMYFUNCTION("""COMPUTED_VALUE"""),4.0)</f>
        <v>4</v>
      </c>
      <c r="I280" s="10">
        <f>IFERROR(__xludf.DUMMYFUNCTION("""COMPUTED_VALUE"""),5.0)</f>
        <v>5</v>
      </c>
      <c r="J280" s="10">
        <f>IFERROR(__xludf.DUMMYFUNCTION("""COMPUTED_VALUE"""),4.0)</f>
        <v>4</v>
      </c>
      <c r="K280" s="10">
        <f>IFERROR(__xludf.DUMMYFUNCTION("""COMPUTED_VALUE"""),5.0)</f>
        <v>5</v>
      </c>
      <c r="L280" s="10">
        <f>IFERROR(__xludf.DUMMYFUNCTION("""COMPUTED_VALUE"""),3.0)</f>
        <v>3</v>
      </c>
      <c r="M280" s="10">
        <f>IFERROR(__xludf.DUMMYFUNCTION("""COMPUTED_VALUE"""),1.0)</f>
        <v>1</v>
      </c>
      <c r="N280" s="10">
        <f>IFERROR(__xludf.DUMMYFUNCTION("""COMPUTED_VALUE"""),7.0)</f>
        <v>7</v>
      </c>
      <c r="O280" s="10">
        <f>IFERROR(__xludf.DUMMYFUNCTION("""COMPUTED_VALUE"""),4.0)</f>
        <v>4</v>
      </c>
      <c r="P280" s="10">
        <f>IFERROR(__xludf.DUMMYFUNCTION("""COMPUTED_VALUE"""),4.0)</f>
        <v>4</v>
      </c>
      <c r="Q280" s="10" t="str">
        <f>IFERROR(__xludf.DUMMYFUNCTION("""COMPUTED_VALUE"""),"No")</f>
        <v>No</v>
      </c>
      <c r="R280" s="10" t="str">
        <f>IFERROR(__xludf.DUMMYFUNCTION("""COMPUTED_VALUE"""),"No")</f>
        <v>No</v>
      </c>
      <c r="S280" s="10" t="str">
        <f>IFERROR(__xludf.DUMMYFUNCTION("""COMPUTED_VALUE"""),"No")</f>
        <v>No</v>
      </c>
      <c r="T280" s="10">
        <f>IFERROR(__xludf.DUMMYFUNCTION("""COMPUTED_VALUE"""),2.0)</f>
        <v>2</v>
      </c>
      <c r="U280" s="10">
        <f>IFERROR(__xludf.DUMMYFUNCTION("""COMPUTED_VALUE"""),2.0)</f>
        <v>2</v>
      </c>
      <c r="V280" s="10" t="str">
        <f>IFERROR(__xludf.DUMMYFUNCTION("""COMPUTED_VALUE"""),"روز آخرت اور اللّٰہ کی ہدایت کی گئی عبادات کی تکمیل ")</f>
        <v>روز آخرت اور اللّٰہ کی ہدایت کی گئی عبادات کی تکمیل </v>
      </c>
      <c r="W280" s="10" t="str">
        <f>IFERROR(__xludf.DUMMYFUNCTION("""COMPUTED_VALUE"""),"کہ ہمیں دینی عبادات کا خیال رکھنا چاہیے چاہے وہ بدنی ہو یا پھر جسمانی ہوں یا پھر مالیاتی ہوں جیسا کہ نماز روزہ حج زکوۃ شرک سے بچنا چاہیے شرک کی دو اقسام ہیں دونوں سے ہی بچنا چاہیے ہر عبادت کو صرف اللہ تعالی کے لیے کرنا چاہیے دکھلاوے سے بچنا چاہیے ریاکاری "&amp;"سے بچنا چاہیے")</f>
        <v>کہ ہمیں دینی عبادات کا خیال رکھنا چاہیے چاہے وہ بدنی ہو یا پھر جسمانی ہوں یا پھر مالیاتی ہوں جیسا کہ نماز روزہ حج زکوۃ شرک سے بچنا چاہیے شرک کی دو اقسام ہیں دونوں سے ہی بچنا چاہیے ہر عبادت کو صرف اللہ تعالی کے لیے کرنا چاہیے دکھلاوے سے بچنا چاہیے ریاکاری سے بچنا چاہیے</v>
      </c>
      <c r="X280" s="10">
        <f>IFERROR(__xludf.DUMMYFUNCTION("""COMPUTED_VALUE"""),10.0)</f>
        <v>10</v>
      </c>
      <c r="Y280" s="10">
        <f>IFERROR(__xludf.DUMMYFUNCTION("""COMPUTED_VALUE"""),6.0)</f>
        <v>6</v>
      </c>
      <c r="Z280" s="10">
        <f>IFERROR(__xludf.DUMMYFUNCTION("""COMPUTED_VALUE"""),7.0)</f>
        <v>7</v>
      </c>
      <c r="AA280" s="10">
        <f>IFERROR(__xludf.DUMMYFUNCTION("""COMPUTED_VALUE"""),10.0)</f>
        <v>10</v>
      </c>
      <c r="AB280" s="10">
        <f>IFERROR(__xludf.DUMMYFUNCTION("""COMPUTED_VALUE"""),9.0)</f>
        <v>9</v>
      </c>
      <c r="AC280" s="10">
        <f>IFERROR(__xludf.DUMMYFUNCTION("""COMPUTED_VALUE"""),3.0)</f>
        <v>3</v>
      </c>
      <c r="AD280" s="10">
        <f>IFERROR(__xludf.DUMMYFUNCTION("""COMPUTED_VALUE"""),5.0)</f>
        <v>5</v>
      </c>
      <c r="AE280" s="10">
        <f>IFERROR(__xludf.DUMMYFUNCTION("""COMPUTED_VALUE"""),7.0)</f>
        <v>7</v>
      </c>
      <c r="AF280" s="10">
        <f>IFERROR(__xludf.DUMMYFUNCTION("""COMPUTED_VALUE"""),4.0)</f>
        <v>4</v>
      </c>
      <c r="AG280" s="10">
        <f>IFERROR(__xludf.DUMMYFUNCTION("""COMPUTED_VALUE"""),7.0)</f>
        <v>7</v>
      </c>
      <c r="AH280" s="10">
        <f>IFERROR(__xludf.DUMMYFUNCTION("""COMPUTED_VALUE"""),2.0)</f>
        <v>2</v>
      </c>
      <c r="AI280" s="10">
        <f>IFERROR(__xludf.DUMMYFUNCTION("""COMPUTED_VALUE"""),9.0)</f>
        <v>9</v>
      </c>
      <c r="AJ280" s="11" t="str">
        <f>IFERROR(__xludf.DUMMYFUNCTION("""COMPUTED_VALUE"""),"https://drive.google.com/open?id=1pXc6e2KSlhax2blaYK_aVanzK5WNcI9e")</f>
        <v>https://drive.google.com/open?id=1pXc6e2KSlhax2blaYK_aVanzK5WNcI9e</v>
      </c>
      <c r="AK280" s="12"/>
      <c r="AL280" s="12" t="str">
        <f>IFERROR(__xludf.DUMMYFUNCTION("""COMPUTED_VALUE"""),"Yes")</f>
        <v>Yes</v>
      </c>
      <c r="AM280" s="15">
        <f>IFERROR(__xludf.DUMMYFUNCTION("""COMPUTED_VALUE"""),0.5)</f>
        <v>0.5</v>
      </c>
      <c r="AN280" s="12" t="str">
        <f>IFERROR(__xludf.DUMMYFUNCTION("""COMPUTED_VALUE"""),"4th week")</f>
        <v>4th week</v>
      </c>
      <c r="AO280" s="13">
        <v>4.0</v>
      </c>
      <c r="AX280" s="17"/>
    </row>
    <row r="281" ht="74.25" customHeight="1">
      <c r="A281" s="8">
        <v>280.0</v>
      </c>
      <c r="B281" s="9">
        <f>IFERROR(__xludf.DUMMYFUNCTION("""COMPUTED_VALUE"""),45828.559802662036)</f>
        <v>45828.5598</v>
      </c>
      <c r="C281" s="10" t="str">
        <f>IFERROR(__xludf.DUMMYFUNCTION("""COMPUTED_VALUE"""),"Sumaia Hayat")</f>
        <v>Sumaia Hayat</v>
      </c>
      <c r="D281" s="10" t="str">
        <f>IFERROR(__xludf.DUMMYFUNCTION("""COMPUTED_VALUE"""),"03260671819")</f>
        <v>03260671819</v>
      </c>
      <c r="E281" s="10" t="str">
        <f>IFERROR(__xludf.DUMMYFUNCTION("""COMPUTED_VALUE"""),"Shahe Masjid Chiniot")</f>
        <v>Shahe Masjid Chiniot</v>
      </c>
      <c r="F281" s="10" t="str">
        <f>IFERROR(__xludf.DUMMYFUNCTION("""COMPUTED_VALUE"""),"LTSEN")</f>
        <v>LTSEN</v>
      </c>
      <c r="G281" s="10" t="str">
        <f>IFERROR(__xludf.DUMMYFUNCTION("""COMPUTED_VALUE"""),"Yes")</f>
        <v>Yes</v>
      </c>
      <c r="H281" s="10">
        <f>IFERROR(__xludf.DUMMYFUNCTION("""COMPUTED_VALUE"""),10.0)</f>
        <v>10</v>
      </c>
      <c r="I281" s="10">
        <f>IFERROR(__xludf.DUMMYFUNCTION("""COMPUTED_VALUE"""),2.0)</f>
        <v>2</v>
      </c>
      <c r="J281" s="10">
        <f>IFERROR(__xludf.DUMMYFUNCTION("""COMPUTED_VALUE"""),10.0)</f>
        <v>10</v>
      </c>
      <c r="K281" s="10">
        <f>IFERROR(__xludf.DUMMYFUNCTION("""COMPUTED_VALUE"""),0.0)</f>
        <v>0</v>
      </c>
      <c r="L281" s="10">
        <f>IFERROR(__xludf.DUMMYFUNCTION("""COMPUTED_VALUE"""),10.0)</f>
        <v>10</v>
      </c>
      <c r="M281" s="10">
        <f>IFERROR(__xludf.DUMMYFUNCTION("""COMPUTED_VALUE"""),0.0)</f>
        <v>0</v>
      </c>
      <c r="N281" s="10">
        <f>IFERROR(__xludf.DUMMYFUNCTION("""COMPUTED_VALUE"""),10.0)</f>
        <v>10</v>
      </c>
      <c r="O281" s="10">
        <f>IFERROR(__xludf.DUMMYFUNCTION("""COMPUTED_VALUE"""),0.0)</f>
        <v>0</v>
      </c>
      <c r="P281" s="10">
        <f>IFERROR(__xludf.DUMMYFUNCTION("""COMPUTED_VALUE"""),10.0)</f>
        <v>10</v>
      </c>
      <c r="Q281" s="10" t="str">
        <f>IFERROR(__xludf.DUMMYFUNCTION("""COMPUTED_VALUE"""),"No")</f>
        <v>No</v>
      </c>
      <c r="R281" s="10" t="str">
        <f>IFERROR(__xludf.DUMMYFUNCTION("""COMPUTED_VALUE"""),"No")</f>
        <v>No</v>
      </c>
      <c r="S281" s="10" t="str">
        <f>IFERROR(__xludf.DUMMYFUNCTION("""COMPUTED_VALUE"""),"No")</f>
        <v>No</v>
      </c>
      <c r="T281" s="10">
        <f>IFERROR(__xludf.DUMMYFUNCTION("""COMPUTED_VALUE"""),0.0)</f>
        <v>0</v>
      </c>
      <c r="U281" s="10">
        <f>IFERROR(__xludf.DUMMYFUNCTION("""COMPUTED_VALUE"""),0.0)</f>
        <v>0</v>
      </c>
      <c r="V281" s="10" t="str">
        <f>IFERROR(__xludf.DUMMYFUNCTION("""COMPUTED_VALUE"""),"امام کے بیان کا موضوع تھا:
""اسلام کی اصل تعلیم: انسان، معاشرہ، اور حسنِ اخلاق""
اس بیان میں درج ذیل اہم پہلوؤں پر روشنی ڈالی گئی:
انسان کا معاشرتی کردار اور ذمہ داریاں
پڑوسیوں کے حقوق اور حسنِ سلوک
ایمان، اخلاق، اور صفائی کی اہمیت
سیرتِ نبوی ﷺ کی ر"&amp;"وشنی میں معاشرتی اصلاح
ایثار، قربانی، اور فلاحی معاشرہ قائم کرنے کا اسلامی تصور
یعنی مجموعی طور پر امام کا بیان اسلامی معاشرت، سماجی اخلاق، اور عملی ایمان کے گرد گھومتا تھا۔
")</f>
        <v>امام کے بیان کا موضوع تھا:
"اسلام کی اصل تعلیم: انسان، معاشرہ، اور حسنِ اخلاق"
اس بیان میں درج ذیل اہم پہلوؤں پر روشنی ڈالی گئی:
انسان کا معاشرتی کردار اور ذمہ داریاں
پڑوسیوں کے حقوق اور حسنِ سلوک
ایمان، اخلاق، اور صفائی کی اہمیت
سیرتِ نبوی ﷺ کی روشنی میں معاشرتی اصلاح
ایثار، قربانی، اور فلاحی معاشرہ قائم کرنے کا اسلامی تصور
یعنی مجموعی طور پر امام کا بیان اسلامی معاشرت، سماجی اخلاق، اور عملی ایمان کے گرد گھومتا تھا۔
</v>
      </c>
      <c r="W281" s="10" t="str">
        <f>IFERROR(__xludf.DUMMYFUNCTION("""COMPUTED_VALUE"""),"امام نے اپنے بیان میں اسلام کی اصل تعلیمات کو بیان کرتے ہوئے کہا کہ ایک سچا مسلمان وہ ہے جو اپنے اخلاق، کردار، اور رویے سے معاشرے کو بہتر بنائے، خاص طور پر پڑوسیوں کے ساتھ حسنِ سلوک کرے۔ انہوں نے زور دیا کہ ایمان صرف عبادات کا نام نہیں بلکہ صفائی، ایثار، "&amp;"عدل، اور دوسروں کی بھلائی بھی اس کا لازمی حصہ ہیں۔
")</f>
        <v>امام نے اپنے بیان میں اسلام کی اصل تعلیمات کو بیان کرتے ہوئے کہا کہ ایک سچا مسلمان وہ ہے جو اپنے اخلاق، کردار، اور رویے سے معاشرے کو بہتر بنائے، خاص طور پر پڑوسیوں کے ساتھ حسنِ سلوک کرے۔ انہوں نے زور دیا کہ ایمان صرف عبادات کا نام نہیں بلکہ صفائی، ایثار، عدل، اور دوسروں کی بھلائی بھی اس کا لازمی حصہ ہیں۔
</v>
      </c>
      <c r="X281" s="10">
        <f>IFERROR(__xludf.DUMMYFUNCTION("""COMPUTED_VALUE"""),3.0)</f>
        <v>3</v>
      </c>
      <c r="Y281" s="10">
        <f>IFERROR(__xludf.DUMMYFUNCTION("""COMPUTED_VALUE"""),10.0)</f>
        <v>10</v>
      </c>
      <c r="Z281" s="10">
        <f>IFERROR(__xludf.DUMMYFUNCTION("""COMPUTED_VALUE"""),10.0)</f>
        <v>10</v>
      </c>
      <c r="AA281" s="10">
        <f>IFERROR(__xludf.DUMMYFUNCTION("""COMPUTED_VALUE"""),8.0)</f>
        <v>8</v>
      </c>
      <c r="AB281" s="10">
        <f>IFERROR(__xludf.DUMMYFUNCTION("""COMPUTED_VALUE"""),3.0)</f>
        <v>3</v>
      </c>
      <c r="AC281" s="10">
        <f>IFERROR(__xludf.DUMMYFUNCTION("""COMPUTED_VALUE"""),2.0)</f>
        <v>2</v>
      </c>
      <c r="AD281" s="10">
        <f>IFERROR(__xludf.DUMMYFUNCTION("""COMPUTED_VALUE"""),4.0)</f>
        <v>4</v>
      </c>
      <c r="AE281" s="10">
        <f>IFERROR(__xludf.DUMMYFUNCTION("""COMPUTED_VALUE"""),0.0)</f>
        <v>0</v>
      </c>
      <c r="AF281" s="10">
        <f>IFERROR(__xludf.DUMMYFUNCTION("""COMPUTED_VALUE"""),7.0)</f>
        <v>7</v>
      </c>
      <c r="AG281" s="10">
        <f>IFERROR(__xludf.DUMMYFUNCTION("""COMPUTED_VALUE"""),9.0)</f>
        <v>9</v>
      </c>
      <c r="AH281" s="10">
        <f>IFERROR(__xludf.DUMMYFUNCTION("""COMPUTED_VALUE"""),0.0)</f>
        <v>0</v>
      </c>
      <c r="AI281" s="10">
        <f>IFERROR(__xludf.DUMMYFUNCTION("""COMPUTED_VALUE"""),9.0)</f>
        <v>9</v>
      </c>
      <c r="AJ281" s="11" t="str">
        <f>IFERROR(__xludf.DUMMYFUNCTION("""COMPUTED_VALUE"""),"https://drive.google.com/open?id=1UcSefaX-YRYM9PsMTg4Xk77RaO10iD0b")</f>
        <v>https://drive.google.com/open?id=1UcSefaX-YRYM9PsMTg4Xk77RaO10iD0b</v>
      </c>
      <c r="AK281" s="12" t="str">
        <f>IFERROR(__xludf.DUMMYFUNCTION("""COMPUTED_VALUE"""),"1. بیان کا عمومی تاثر:
امام کا بیان نہایت متوازن، نرم مزاج، اور دلوں کو چھو لینے والا تھا۔ معاشرتی اصلاح کو دینی تعلیم کے ساتھ جوڑنا سامعین کے لیے عملی زندگی میں تبدیلی کی تحریک دے سکتا ہے۔
2. موضوعات کی وسعت:
اگرچہ بیان میں اخلاق، پڑوسیوں کے حقوق، اور "&amp;"معاشرتی خدمت پر گہری بات کی گئی، لیکن خواتین، نوجوانوں، تعلیمی اصلاحات، یا جدید چیلنجز جیسے موضوعات کو شامل کیا جاتا تو بیان مزید جامع ہو سکتا تھا۔
3. عملی اقدامات کی کمی:
بیان میں سماجی اصلاح کی بات تو کی گئی، مگر سامعین کو کوئی واضح عملی ہدایات (جیسے "&amp;"اگلے ہفتے فلاں کام کریں) کم دی گئیں، جو اصلاحی عمل کو مزید مؤثر بنا سکتی تھیں۔")</f>
        <v>1. بیان کا عمومی تاثر:
امام کا بیان نہایت متوازن، نرم مزاج، اور دلوں کو چھو لینے والا تھا۔ معاشرتی اصلاح کو دینی تعلیم کے ساتھ جوڑنا سامعین کے لیے عملی زندگی میں تبدیلی کی تحریک دے سکتا ہے۔
2. موضوعات کی وسعت:
اگرچہ بیان میں اخلاق، پڑوسیوں کے حقوق، اور معاشرتی خدمت پر گہری بات کی گئی، لیکن خواتین، نوجوانوں، تعلیمی اصلاحات، یا جدید چیلنجز جیسے موضوعات کو شامل کیا جاتا تو بیان مزید جامع ہو سکتا تھا۔
3. عملی اقدامات کی کمی:
بیان میں سماجی اصلاح کی بات تو کی گئی، مگر سامعین کو کوئی واضح عملی ہدایات (جیسے اگلے ہفتے فلاں کام کریں) کم دی گئیں، جو اصلاحی عمل کو مزید مؤثر بنا سکتی تھیں۔</v>
      </c>
      <c r="AL281" s="12" t="str">
        <f>IFERROR(__xludf.DUMMYFUNCTION("""COMPUTED_VALUE"""),"Yes")</f>
        <v>Yes</v>
      </c>
      <c r="AM281" s="15">
        <f>IFERROR(__xludf.DUMMYFUNCTION("""COMPUTED_VALUE"""),1.0)</f>
        <v>1</v>
      </c>
      <c r="AN281" s="12" t="str">
        <f>IFERROR(__xludf.DUMMYFUNCTION("""COMPUTED_VALUE"""),"1st week")</f>
        <v>1st week</v>
      </c>
      <c r="AO281" s="13" t="s">
        <v>8</v>
      </c>
      <c r="AX281" s="17"/>
    </row>
    <row r="282">
      <c r="A282" s="8">
        <v>281.0</v>
      </c>
      <c r="B282" s="9">
        <f>IFERROR(__xludf.DUMMYFUNCTION("""COMPUTED_VALUE"""),45828.6464962037)</f>
        <v>45828.6465</v>
      </c>
      <c r="C282" s="10" t="str">
        <f>IFERROR(__xludf.DUMMYFUNCTION("""COMPUTED_VALUE"""),"Sumaia Hayat ")</f>
        <v>Sumaia Hayat </v>
      </c>
      <c r="D282" s="10" t="str">
        <f>IFERROR(__xludf.DUMMYFUNCTION("""COMPUTED_VALUE"""),"03260671819")</f>
        <v>03260671819</v>
      </c>
      <c r="E282" s="10" t="str">
        <f>IFERROR(__xludf.DUMMYFUNCTION("""COMPUTED_VALUE"""),"Jamia Masjid Main Bazar Bhahwal")</f>
        <v>Jamia Masjid Main Bazar Bhahwal</v>
      </c>
      <c r="F282" s="10" t="str">
        <f>IFERROR(__xludf.DUMMYFUNCTION("""COMPUTED_VALUE"""),"OBNTR")</f>
        <v>OBNTR</v>
      </c>
      <c r="G282" s="10" t="str">
        <f>IFERROR(__xludf.DUMMYFUNCTION("""COMPUTED_VALUE"""),"No")</f>
        <v>No</v>
      </c>
      <c r="H282" s="10"/>
      <c r="I282" s="10"/>
      <c r="J282" s="10"/>
      <c r="K282" s="10">
        <f>IFERROR(__xludf.DUMMYFUNCTION("""COMPUTED_VALUE"""),0.0)</f>
        <v>0</v>
      </c>
      <c r="L282" s="10">
        <f>IFERROR(__xludf.DUMMYFUNCTION("""COMPUTED_VALUE"""),10.0)</f>
        <v>10</v>
      </c>
      <c r="M282" s="10">
        <f>IFERROR(__xludf.DUMMYFUNCTION("""COMPUTED_VALUE"""),0.0)</f>
        <v>0</v>
      </c>
      <c r="N282" s="10">
        <f>IFERROR(__xludf.DUMMYFUNCTION("""COMPUTED_VALUE"""),10.0)</f>
        <v>10</v>
      </c>
      <c r="O282" s="10">
        <f>IFERROR(__xludf.DUMMYFUNCTION("""COMPUTED_VALUE"""),0.0)</f>
        <v>0</v>
      </c>
      <c r="P282" s="10">
        <f>IFERROR(__xludf.DUMMYFUNCTION("""COMPUTED_VALUE"""),10.0)</f>
        <v>10</v>
      </c>
      <c r="Q282" s="10" t="str">
        <f>IFERROR(__xludf.DUMMYFUNCTION("""COMPUTED_VALUE"""),"No")</f>
        <v>No</v>
      </c>
      <c r="R282" s="10" t="str">
        <f>IFERROR(__xludf.DUMMYFUNCTION("""COMPUTED_VALUE"""),"No")</f>
        <v>No</v>
      </c>
      <c r="S282" s="10" t="str">
        <f>IFERROR(__xludf.DUMMYFUNCTION("""COMPUTED_VALUE"""),"No")</f>
        <v>No</v>
      </c>
      <c r="T282" s="10">
        <f>IFERROR(__xludf.DUMMYFUNCTION("""COMPUTED_VALUE"""),0.0)</f>
        <v>0</v>
      </c>
      <c r="U282" s="10">
        <f>IFERROR(__xludf.DUMMYFUNCTION("""COMPUTED_VALUE"""),0.0)</f>
        <v>0</v>
      </c>
      <c r="V282" s="10" t="str">
        <f>IFERROR(__xludf.DUMMYFUNCTION("""COMPUTED_VALUE"""),"امام کے بیان کا موضوع تھا: ""اسلام میں ہمسایوں کے حقوق""۔")</f>
        <v>امام کے بیان کا موضوع تھا: "اسلام میں ہمسایوں کے حقوق"۔</v>
      </c>
      <c r="W282" s="10" t="str">
        <f>IFERROR(__xludf.DUMMYFUNCTION("""COMPUTED_VALUE"""),"امام نے اپنے بیان میں اسلام میں ہمسایوں کے حقوق پر تفصیل سے روشنی ڈالی اور بتایا کہ اچھا برتاؤ، مدد، اور محبت ہمسایگی کا دینی فریضہ ہے۔ انہوں نے احادیث اور قرآن کی روشنی میں سمجھایا کہ ایک مثالی اسلامی معاشرہ ہمسایوں کے حقوق کی ادائیگی سے قائم ہوتا ہے۔
")</f>
        <v>امام نے اپنے بیان میں اسلام میں ہمسایوں کے حقوق پر تفصیل سے روشنی ڈالی اور بتایا کہ اچھا برتاؤ، مدد، اور محبت ہمسایگی کا دینی فریضہ ہے۔ انہوں نے احادیث اور قرآن کی روشنی میں سمجھایا کہ ایک مثالی اسلامی معاشرہ ہمسایوں کے حقوق کی ادائیگی سے قائم ہوتا ہے۔
</v>
      </c>
      <c r="X282" s="10">
        <f>IFERROR(__xludf.DUMMYFUNCTION("""COMPUTED_VALUE"""),3.0)</f>
        <v>3</v>
      </c>
      <c r="Y282" s="10">
        <f>IFERROR(__xludf.DUMMYFUNCTION("""COMPUTED_VALUE"""),10.0)</f>
        <v>10</v>
      </c>
      <c r="Z282" s="10">
        <f>IFERROR(__xludf.DUMMYFUNCTION("""COMPUTED_VALUE"""),10.0)</f>
        <v>10</v>
      </c>
      <c r="AA282" s="10">
        <f>IFERROR(__xludf.DUMMYFUNCTION("""COMPUTED_VALUE"""),8.0)</f>
        <v>8</v>
      </c>
      <c r="AB282" s="10">
        <f>IFERROR(__xludf.DUMMYFUNCTION("""COMPUTED_VALUE"""),2.0)</f>
        <v>2</v>
      </c>
      <c r="AC282" s="10">
        <f>IFERROR(__xludf.DUMMYFUNCTION("""COMPUTED_VALUE"""),0.0)</f>
        <v>0</v>
      </c>
      <c r="AD282" s="10">
        <f>IFERROR(__xludf.DUMMYFUNCTION("""COMPUTED_VALUE"""),1.0)</f>
        <v>1</v>
      </c>
      <c r="AE282" s="10">
        <f>IFERROR(__xludf.DUMMYFUNCTION("""COMPUTED_VALUE"""),2.0)</f>
        <v>2</v>
      </c>
      <c r="AF282" s="10">
        <f>IFERROR(__xludf.DUMMYFUNCTION("""COMPUTED_VALUE"""),7.0)</f>
        <v>7</v>
      </c>
      <c r="AG282" s="10">
        <f>IFERROR(__xludf.DUMMYFUNCTION("""COMPUTED_VALUE"""),9.0)</f>
        <v>9</v>
      </c>
      <c r="AH282" s="10">
        <f>IFERROR(__xludf.DUMMYFUNCTION("""COMPUTED_VALUE"""),0.0)</f>
        <v>0</v>
      </c>
      <c r="AI282" s="10">
        <f>IFERROR(__xludf.DUMMYFUNCTION("""COMPUTED_VALUE"""),9.0)</f>
        <v>9</v>
      </c>
      <c r="AJ282" s="11" t="str">
        <f>IFERROR(__xludf.DUMMYFUNCTION("""COMPUTED_VALUE"""),"https://drive.google.com/open?id=1zqREZEid7LjDemDQRzlRnMrBeJLDDvR6")</f>
        <v>https://drive.google.com/open?id=1zqREZEid7LjDemDQRzlRnMrBeJLDDvR6</v>
      </c>
      <c r="AK282" s="12" t="str">
        <f>IFERROR(__xludf.DUMMYFUNCTION("""COMPUTED_VALUE"""),"امام کا بیان واضح، مدلل اور معاشرتی لحاظ سے بہت مفید تھا۔ انہوں نے ہمسایوں کے حقوق پر قرآن و حدیث کی روشنی میں گفتگو کی، جو کہ آج کے معاشرتی تناظر میں نہایت اہم اور قابلِ عمل موضوع ہے۔ بیان میں نفرت انگیزی یا کسی بھی گروہ کے خلاف کوئی بات شامل نہیں تھی، ب"&amp;"لکہ اتحاد، حسنِ سلوک، اور اسلامی اخوت کا پیغام دیا گیا۔
کوئی پریشانی نہیں ہوئی، تمام باتیں سمجھنے اور اندازہ لگانے کے لیے مواد مکمل اور واضح تھا۔
")</f>
        <v>امام کا بیان واضح، مدلل اور معاشرتی لحاظ سے بہت مفید تھا۔ انہوں نے ہمسایوں کے حقوق پر قرآن و حدیث کی روشنی میں گفتگو کی، جو کہ آج کے معاشرتی تناظر میں نہایت اہم اور قابلِ عمل موضوع ہے۔ بیان میں نفرت انگیزی یا کسی بھی گروہ کے خلاف کوئی بات شامل نہیں تھی، بلکہ اتحاد، حسنِ سلوک، اور اسلامی اخوت کا پیغام دیا گیا۔
کوئی پریشانی نہیں ہوئی، تمام باتیں سمجھنے اور اندازہ لگانے کے لیے مواد مکمل اور واضح تھا۔
</v>
      </c>
      <c r="AL282" s="12"/>
      <c r="AM282" s="12"/>
      <c r="AN282" s="12" t="str">
        <f>IFERROR(__xludf.DUMMYFUNCTION("""COMPUTED_VALUE"""),"1st week")</f>
        <v>1st week</v>
      </c>
      <c r="AO282" s="13" t="s">
        <v>8</v>
      </c>
      <c r="AX282" s="17"/>
    </row>
    <row r="283">
      <c r="A283" s="8">
        <v>282.0</v>
      </c>
      <c r="B283" s="9">
        <f>IFERROR(__xludf.DUMMYFUNCTION("""COMPUTED_VALUE"""),45828.66540326389)</f>
        <v>45828.6654</v>
      </c>
      <c r="C283" s="10" t="str">
        <f>IFERROR(__xludf.DUMMYFUNCTION("""COMPUTED_VALUE"""),"Arti Kumari ")</f>
        <v>Arti Kumari </v>
      </c>
      <c r="D283" s="10" t="str">
        <f>IFERROR(__xludf.DUMMYFUNCTION("""COMPUTED_VALUE"""),"03346661865")</f>
        <v>03346661865</v>
      </c>
      <c r="E283" s="10" t="str">
        <f>IFERROR(__xludf.DUMMYFUNCTION("""COMPUTED_VALUE"""),"Jamia Masjid Esha Shahab Lahore")</f>
        <v>Jamia Masjid Esha Shahab Lahore</v>
      </c>
      <c r="F283" s="10" t="str">
        <f>IFERROR(__xludf.DUMMYFUNCTION("""COMPUTED_VALUE"""),"zhcjl")</f>
        <v>zhcjl</v>
      </c>
      <c r="G283" s="10" t="str">
        <f>IFERROR(__xludf.DUMMYFUNCTION("""COMPUTED_VALUE"""),"Yes")</f>
        <v>Yes</v>
      </c>
      <c r="H283" s="10">
        <f>IFERROR(__xludf.DUMMYFUNCTION("""COMPUTED_VALUE"""),0.0)</f>
        <v>0</v>
      </c>
      <c r="I283" s="10">
        <f>IFERROR(__xludf.DUMMYFUNCTION("""COMPUTED_VALUE"""),0.0)</f>
        <v>0</v>
      </c>
      <c r="J283" s="10">
        <f>IFERROR(__xludf.DUMMYFUNCTION("""COMPUTED_VALUE"""),0.0)</f>
        <v>0</v>
      </c>
      <c r="K283" s="10">
        <f>IFERROR(__xludf.DUMMYFUNCTION("""COMPUTED_VALUE"""),0.0)</f>
        <v>0</v>
      </c>
      <c r="L283" s="10">
        <f>IFERROR(__xludf.DUMMYFUNCTION("""COMPUTED_VALUE"""),0.0)</f>
        <v>0</v>
      </c>
      <c r="M283" s="10">
        <f>IFERROR(__xludf.DUMMYFUNCTION("""COMPUTED_VALUE"""),0.0)</f>
        <v>0</v>
      </c>
      <c r="N283" s="10">
        <f>IFERROR(__xludf.DUMMYFUNCTION("""COMPUTED_VALUE"""),0.0)</f>
        <v>0</v>
      </c>
      <c r="O283" s="10">
        <f>IFERROR(__xludf.DUMMYFUNCTION("""COMPUTED_VALUE"""),0.0)</f>
        <v>0</v>
      </c>
      <c r="P283" s="10">
        <f>IFERROR(__xludf.DUMMYFUNCTION("""COMPUTED_VALUE"""),0.0)</f>
        <v>0</v>
      </c>
      <c r="Q283" s="10" t="str">
        <f>IFERROR(__xludf.DUMMYFUNCTION("""COMPUTED_VALUE"""),"No")</f>
        <v>No</v>
      </c>
      <c r="R283" s="10" t="str">
        <f>IFERROR(__xludf.DUMMYFUNCTION("""COMPUTED_VALUE"""),"No")</f>
        <v>No</v>
      </c>
      <c r="S283" s="10" t="str">
        <f>IFERROR(__xludf.DUMMYFUNCTION("""COMPUTED_VALUE"""),"No")</f>
        <v>No</v>
      </c>
      <c r="T283" s="10">
        <f>IFERROR(__xludf.DUMMYFUNCTION("""COMPUTED_VALUE"""),0.0)</f>
        <v>0</v>
      </c>
      <c r="U283" s="10">
        <f>IFERROR(__xludf.DUMMYFUNCTION("""COMPUTED_VALUE"""),0.0)</f>
        <v>0</v>
      </c>
      <c r="V283" s="10" t="str">
        <f>IFERROR(__xludf.DUMMYFUNCTION("""COMPUTED_VALUE"""),"اللہ اور اس کے نبی ")</f>
        <v>اللہ اور اس کے نبی </v>
      </c>
      <c r="W283" s="10" t="str">
        <f>IFERROR(__xludf.DUMMYFUNCTION("""COMPUTED_VALUE"""),"امام نے نبی کے اختیارت کا ذکر کیا جو نبی کی پیروی نہیں کرتا وہ مومن نہیں۔ اور کچھ واقعات کا زکر کیا غیر مسلم سے نبی پاک کے سلوک کا زکر کیا اور بتایا روزہ ٹوٹ جائے تو اس کے قرآن میں کیا قوانین ہیں۔")</f>
        <v>امام نے نبی کے اختیارت کا ذکر کیا جو نبی کی پیروی نہیں کرتا وہ مومن نہیں۔ اور کچھ واقعات کا زکر کیا غیر مسلم سے نبی پاک کے سلوک کا زکر کیا اور بتایا روزہ ٹوٹ جائے تو اس کے قرآن میں کیا قوانین ہیں۔</v>
      </c>
      <c r="X283" s="10">
        <f>IFERROR(__xludf.DUMMYFUNCTION("""COMPUTED_VALUE"""),10.0)</f>
        <v>10</v>
      </c>
      <c r="Y283" s="10">
        <f>IFERROR(__xludf.DUMMYFUNCTION("""COMPUTED_VALUE"""),2.0)</f>
        <v>2</v>
      </c>
      <c r="Z283" s="10">
        <f>IFERROR(__xludf.DUMMYFUNCTION("""COMPUTED_VALUE"""),2.0)</f>
        <v>2</v>
      </c>
      <c r="AA283" s="10">
        <f>IFERROR(__xludf.DUMMYFUNCTION("""COMPUTED_VALUE"""),10.0)</f>
        <v>10</v>
      </c>
      <c r="AB283" s="10">
        <f>IFERROR(__xludf.DUMMYFUNCTION("""COMPUTED_VALUE"""),10.0)</f>
        <v>10</v>
      </c>
      <c r="AC283" s="10">
        <f>IFERROR(__xludf.DUMMYFUNCTION("""COMPUTED_VALUE"""),0.0)</f>
        <v>0</v>
      </c>
      <c r="AD283" s="10">
        <f>IFERROR(__xludf.DUMMYFUNCTION("""COMPUTED_VALUE"""),0.0)</f>
        <v>0</v>
      </c>
      <c r="AE283" s="10">
        <f>IFERROR(__xludf.DUMMYFUNCTION("""COMPUTED_VALUE"""),3.0)</f>
        <v>3</v>
      </c>
      <c r="AF283" s="10">
        <f>IFERROR(__xludf.DUMMYFUNCTION("""COMPUTED_VALUE"""),0.0)</f>
        <v>0</v>
      </c>
      <c r="AG283" s="10">
        <f>IFERROR(__xludf.DUMMYFUNCTION("""COMPUTED_VALUE"""),9.0)</f>
        <v>9</v>
      </c>
      <c r="AH283" s="10">
        <f>IFERROR(__xludf.DUMMYFUNCTION("""COMPUTED_VALUE"""),0.0)</f>
        <v>0</v>
      </c>
      <c r="AI283" s="10">
        <f>IFERROR(__xludf.DUMMYFUNCTION("""COMPUTED_VALUE"""),10.0)</f>
        <v>10</v>
      </c>
      <c r="AJ283" s="11" t="str">
        <f>IFERROR(__xludf.DUMMYFUNCTION("""COMPUTED_VALUE"""),"https://drive.google.com/open?id=1M0plmwqzLNohcYP360bzsXn29UTQSO7R")</f>
        <v>https://drive.google.com/open?id=1M0plmwqzLNohcYP360bzsXn29UTQSO7R</v>
      </c>
      <c r="AK283" s="12"/>
      <c r="AL283" s="12" t="str">
        <f>IFERROR(__xludf.DUMMYFUNCTION("""COMPUTED_VALUE"""),"Yes")</f>
        <v>Yes</v>
      </c>
      <c r="AM283" s="15">
        <f>IFERROR(__xludf.DUMMYFUNCTION("""COMPUTED_VALUE"""),0.0)</f>
        <v>0</v>
      </c>
      <c r="AN283" s="12" t="str">
        <f>IFERROR(__xludf.DUMMYFUNCTION("""COMPUTED_VALUE"""),"4th week")</f>
        <v>4th week</v>
      </c>
      <c r="AO283" s="13">
        <v>4.0</v>
      </c>
      <c r="AX283" s="17"/>
    </row>
    <row r="284">
      <c r="A284" s="8">
        <v>283.0</v>
      </c>
      <c r="B284" s="9">
        <f>IFERROR(__xludf.DUMMYFUNCTION("""COMPUTED_VALUE"""),45828.67533506945)</f>
        <v>45828.67534</v>
      </c>
      <c r="C284" s="10" t="str">
        <f>IFERROR(__xludf.DUMMYFUNCTION("""COMPUTED_VALUE"""),"Arti Kumari ")</f>
        <v>Arti Kumari </v>
      </c>
      <c r="D284" s="10" t="str">
        <f>IFERROR(__xludf.DUMMYFUNCTION("""COMPUTED_VALUE"""),"03346661865")</f>
        <v>03346661865</v>
      </c>
      <c r="E284" s="10" t="str">
        <f>IFERROR(__xludf.DUMMYFUNCTION("""COMPUTED_VALUE"""),"Jamia Masjid Esha Shahab Lahore")</f>
        <v>Jamia Masjid Esha Shahab Lahore</v>
      </c>
      <c r="F284" s="10" t="str">
        <f>IFERROR(__xludf.DUMMYFUNCTION("""COMPUTED_VALUE"""),"zhcjl")</f>
        <v>zhcjl</v>
      </c>
      <c r="G284" s="10" t="str">
        <f>IFERROR(__xludf.DUMMYFUNCTION("""COMPUTED_VALUE"""),"Yes")</f>
        <v>Yes</v>
      </c>
      <c r="H284" s="10">
        <f>IFERROR(__xludf.DUMMYFUNCTION("""COMPUTED_VALUE"""),0.0)</f>
        <v>0</v>
      </c>
      <c r="I284" s="10">
        <f>IFERROR(__xludf.DUMMYFUNCTION("""COMPUTED_VALUE"""),0.0)</f>
        <v>0</v>
      </c>
      <c r="J284" s="10">
        <f>IFERROR(__xludf.DUMMYFUNCTION("""COMPUTED_VALUE"""),0.0)</f>
        <v>0</v>
      </c>
      <c r="K284" s="10">
        <f>IFERROR(__xludf.DUMMYFUNCTION("""COMPUTED_VALUE"""),0.0)</f>
        <v>0</v>
      </c>
      <c r="L284" s="10">
        <f>IFERROR(__xludf.DUMMYFUNCTION("""COMPUTED_VALUE"""),0.0)</f>
        <v>0</v>
      </c>
      <c r="M284" s="10">
        <f>IFERROR(__xludf.DUMMYFUNCTION("""COMPUTED_VALUE"""),0.0)</f>
        <v>0</v>
      </c>
      <c r="N284" s="10">
        <f>IFERROR(__xludf.DUMMYFUNCTION("""COMPUTED_VALUE"""),0.0)</f>
        <v>0</v>
      </c>
      <c r="O284" s="10">
        <f>IFERROR(__xludf.DUMMYFUNCTION("""COMPUTED_VALUE"""),0.0)</f>
        <v>0</v>
      </c>
      <c r="P284" s="10">
        <f>IFERROR(__xludf.DUMMYFUNCTION("""COMPUTED_VALUE"""),0.0)</f>
        <v>0</v>
      </c>
      <c r="Q284" s="10" t="str">
        <f>IFERROR(__xludf.DUMMYFUNCTION("""COMPUTED_VALUE"""),"No")</f>
        <v>No</v>
      </c>
      <c r="R284" s="10" t="str">
        <f>IFERROR(__xludf.DUMMYFUNCTION("""COMPUTED_VALUE"""),"No")</f>
        <v>No</v>
      </c>
      <c r="S284" s="10" t="str">
        <f>IFERROR(__xludf.DUMMYFUNCTION("""COMPUTED_VALUE"""),"No")</f>
        <v>No</v>
      </c>
      <c r="T284" s="10">
        <f>IFERROR(__xludf.DUMMYFUNCTION("""COMPUTED_VALUE"""),0.0)</f>
        <v>0</v>
      </c>
      <c r="U284" s="10">
        <f>IFERROR(__xludf.DUMMYFUNCTION("""COMPUTED_VALUE"""),0.0)</f>
        <v>0</v>
      </c>
      <c r="V284" s="10" t="str">
        <f>IFERROR(__xludf.DUMMYFUNCTION("""COMPUTED_VALUE"""),"اللہ اور اس کے نبی پر ایمان")</f>
        <v>اللہ اور اس کے نبی پر ایمان</v>
      </c>
      <c r="W284" s="10" t="str">
        <f>IFERROR(__xludf.DUMMYFUNCTION("""COMPUTED_VALUE"""),"امام نے نبی کریم کی پیروی کرنے کا حکم دیا اللہ نے نبی کو حاکم اور مختیار بنا کر بھیجا ہے۔ اس کے علاوہ کچھ واقعات کا زکر کیا ہے اور نبی کریم کا غیر مسلموں کے ساتھ سلوک کو بیان کیا اور روزہ اگر مکرو ہو جائے تو قرآن نہیں اس کا کفارہ کرنے کا کیا زکر ہے ۔ ")</f>
        <v>امام نے نبی کریم کی پیروی کرنے کا حکم دیا اللہ نے نبی کو حاکم اور مختیار بنا کر بھیجا ہے۔ اس کے علاوہ کچھ واقعات کا زکر کیا ہے اور نبی کریم کا غیر مسلموں کے ساتھ سلوک کو بیان کیا اور روزہ اگر مکرو ہو جائے تو قرآن نہیں اس کا کفارہ کرنے کا کیا زکر ہے ۔ </v>
      </c>
      <c r="X284" s="10">
        <f>IFERROR(__xludf.DUMMYFUNCTION("""COMPUTED_VALUE"""),10.0)</f>
        <v>10</v>
      </c>
      <c r="Y284" s="10">
        <f>IFERROR(__xludf.DUMMYFUNCTION("""COMPUTED_VALUE"""),3.0)</f>
        <v>3</v>
      </c>
      <c r="Z284" s="10">
        <f>IFERROR(__xludf.DUMMYFUNCTION("""COMPUTED_VALUE"""),3.0)</f>
        <v>3</v>
      </c>
      <c r="AA284" s="10">
        <f>IFERROR(__xludf.DUMMYFUNCTION("""COMPUTED_VALUE"""),10.0)</f>
        <v>10</v>
      </c>
      <c r="AB284" s="10">
        <f>IFERROR(__xludf.DUMMYFUNCTION("""COMPUTED_VALUE"""),10.0)</f>
        <v>10</v>
      </c>
      <c r="AC284" s="10">
        <f>IFERROR(__xludf.DUMMYFUNCTION("""COMPUTED_VALUE"""),2.0)</f>
        <v>2</v>
      </c>
      <c r="AD284" s="10">
        <f>IFERROR(__xludf.DUMMYFUNCTION("""COMPUTED_VALUE"""),0.0)</f>
        <v>0</v>
      </c>
      <c r="AE284" s="10">
        <f>IFERROR(__xludf.DUMMYFUNCTION("""COMPUTED_VALUE"""),5.0)</f>
        <v>5</v>
      </c>
      <c r="AF284" s="10">
        <f>IFERROR(__xludf.DUMMYFUNCTION("""COMPUTED_VALUE"""),0.0)</f>
        <v>0</v>
      </c>
      <c r="AG284" s="10">
        <f>IFERROR(__xludf.DUMMYFUNCTION("""COMPUTED_VALUE"""),10.0)</f>
        <v>10</v>
      </c>
      <c r="AH284" s="10">
        <f>IFERROR(__xludf.DUMMYFUNCTION("""COMPUTED_VALUE"""),0.0)</f>
        <v>0</v>
      </c>
      <c r="AI284" s="10">
        <f>IFERROR(__xludf.DUMMYFUNCTION("""COMPUTED_VALUE"""),10.0)</f>
        <v>10</v>
      </c>
      <c r="AJ284" s="11" t="str">
        <f>IFERROR(__xludf.DUMMYFUNCTION("""COMPUTED_VALUE"""),"https://drive.google.com/open?id=1k70WY4BvmEfGMkoWxeBQhurVGk5gy9Co")</f>
        <v>https://drive.google.com/open?id=1k70WY4BvmEfGMkoWxeBQhurVGk5gy9Co</v>
      </c>
      <c r="AK284" s="12"/>
      <c r="AL284" s="12" t="str">
        <f>IFERROR(__xludf.DUMMYFUNCTION("""COMPUTED_VALUE"""),"Yes")</f>
        <v>Yes</v>
      </c>
      <c r="AM284" s="15">
        <f>IFERROR(__xludf.DUMMYFUNCTION("""COMPUTED_VALUE"""),0.0)</f>
        <v>0</v>
      </c>
      <c r="AN284" s="12" t="str">
        <f>IFERROR(__xludf.DUMMYFUNCTION("""COMPUTED_VALUE"""),"4th week")</f>
        <v>4th week</v>
      </c>
      <c r="AO284" s="13">
        <v>4.0</v>
      </c>
      <c r="AX284" s="17"/>
    </row>
    <row r="285" ht="30.0" customHeight="1">
      <c r="A285" s="8">
        <v>284.0</v>
      </c>
      <c r="B285" s="9">
        <f>IFERROR(__xludf.DUMMYFUNCTION("""COMPUTED_VALUE"""),45828.69272548611)</f>
        <v>45828.69273</v>
      </c>
      <c r="C285" s="10" t="str">
        <f>IFERROR(__xludf.DUMMYFUNCTION("""COMPUTED_VALUE"""),"Sumaia Hayat ")</f>
        <v>Sumaia Hayat </v>
      </c>
      <c r="D285" s="10" t="str">
        <f>IFERROR(__xludf.DUMMYFUNCTION("""COMPUTED_VALUE"""),"03260671819")</f>
        <v>03260671819</v>
      </c>
      <c r="E285" s="10" t="str">
        <f>IFERROR(__xludf.DUMMYFUNCTION("""COMPUTED_VALUE"""),"Jamia Masjid Block # 1 Sargodha")</f>
        <v>Jamia Masjid Block # 1 Sargodha</v>
      </c>
      <c r="F285" s="10" t="str">
        <f>IFERROR(__xludf.DUMMYFUNCTION("""COMPUTED_VALUE"""),"PMXOX")</f>
        <v>PMXOX</v>
      </c>
      <c r="G285" s="10" t="str">
        <f>IFERROR(__xludf.DUMMYFUNCTION("""COMPUTED_VALUE"""),"No")</f>
        <v>No</v>
      </c>
      <c r="H285" s="10"/>
      <c r="I285" s="10"/>
      <c r="J285" s="10"/>
      <c r="K285" s="10">
        <f>IFERROR(__xludf.DUMMYFUNCTION("""COMPUTED_VALUE"""),0.0)</f>
        <v>0</v>
      </c>
      <c r="L285" s="10">
        <f>IFERROR(__xludf.DUMMYFUNCTION("""COMPUTED_VALUE"""),0.0)</f>
        <v>0</v>
      </c>
      <c r="M285" s="10">
        <f>IFERROR(__xludf.DUMMYFUNCTION("""COMPUTED_VALUE"""),0.0)</f>
        <v>0</v>
      </c>
      <c r="N285" s="10">
        <f>IFERROR(__xludf.DUMMYFUNCTION("""COMPUTED_VALUE"""),0.0)</f>
        <v>0</v>
      </c>
      <c r="O285" s="10">
        <f>IFERROR(__xludf.DUMMYFUNCTION("""COMPUTED_VALUE"""),0.0)</f>
        <v>0</v>
      </c>
      <c r="P285" s="10">
        <f>IFERROR(__xludf.DUMMYFUNCTION("""COMPUTED_VALUE"""),0.0)</f>
        <v>0</v>
      </c>
      <c r="Q285" s="10" t="str">
        <f>IFERROR(__xludf.DUMMYFUNCTION("""COMPUTED_VALUE"""),"No")</f>
        <v>No</v>
      </c>
      <c r="R285" s="10" t="str">
        <f>IFERROR(__xludf.DUMMYFUNCTION("""COMPUTED_VALUE"""),"No")</f>
        <v>No</v>
      </c>
      <c r="S285" s="10" t="str">
        <f>IFERROR(__xludf.DUMMYFUNCTION("""COMPUTED_VALUE"""),"No")</f>
        <v>No</v>
      </c>
      <c r="T285" s="10">
        <f>IFERROR(__xludf.DUMMYFUNCTION("""COMPUTED_VALUE"""),0.0)</f>
        <v>0</v>
      </c>
      <c r="U285" s="10">
        <f>IFERROR(__xludf.DUMMYFUNCTION("""COMPUTED_VALUE"""),0.0)</f>
        <v>0</v>
      </c>
      <c r="V285" s="10" t="str">
        <f>IFERROR(__xludf.DUMMYFUNCTION("""COMPUTED_VALUE"""),"امام صاحب کے بیان کا مرکزی موضوع تھا:
نبی آخر الزمان ﷺ کی پیش گوئی، یہود کا علم، انکار، اور اسلام کے خلاف یہود و نصاریٰ کی تاریخی اور موجودہ دشمنی۔
اس میں خاص طور پر درج ذیل نکات پر زور دیا گیا:
یہودیوں کا نبی کریم ﷺ کی آمد سے پہلے مدینہ میں آ کر آباد "&amp;"ہونا
تورات میں نبی ﷺ کی نشانیاں
یہودیوں کا ضد اور تعصب کی بنیاد پر انکار
حضرت عبداللہ بن سلامؓ کا قبولِ اسلام
اسلام کے خلاف یہود و نصاریٰ کا گٹھ جوڑ
اسرائیل، بھارت اور مسلمانوں کے خلاف سازشیں
مسلمانوں کی غفلت اور بیداری کی ضرورت
یعنی بیان کا موضوع"&amp;" دینی، تاریخی، اور سیاسی تناظر میں یہود و نصاریٰ کی دشمنی اور مسلمانوں کی ایمانی ذمہ داری تھا۔
")</f>
        <v>امام صاحب کے بیان کا مرکزی موضوع تھا:
نبی آخر الزمان ﷺ کی پیش گوئی، یہود کا علم، انکار، اور اسلام کے خلاف یہود و نصاریٰ کی تاریخی اور موجودہ دشمنی۔
اس میں خاص طور پر درج ذیل نکات پر زور دیا گیا:
یہودیوں کا نبی کریم ﷺ کی آمد سے پہلے مدینہ میں آ کر آباد ہونا
تورات میں نبی ﷺ کی نشانیاں
یہودیوں کا ضد اور تعصب کی بنیاد پر انکار
حضرت عبداللہ بن سلامؓ کا قبولِ اسلام
اسلام کے خلاف یہود و نصاریٰ کا گٹھ جوڑ
اسرائیل، بھارت اور مسلمانوں کے خلاف سازشیں
مسلمانوں کی غفلت اور بیداری کی ضرورت
یعنی بیان کا موضوع دینی، تاریخی، اور سیاسی تناظر میں یہود و نصاریٰ کی دشمنی اور مسلمانوں کی ایمانی ذمہ داری تھا۔
</v>
      </c>
      <c r="W285" s="10" t="str">
        <f>IFERROR(__xludf.DUMMYFUNCTION("""COMPUTED_VALUE"""),"امام صاحب نے بیان میں یہ واضح کیا کہ یہودی نبی آخر الزمان ﷺ کی سچائی کو پہچانتے تھے مگر ضد، حسد اور تعصب کی وجہ سے ایمان نہ لائے۔ انہوں نے زور دیا کہ آج بھی یہود و نصاریٰ اسلام کے خلاف متحد ہیں، اور مسلمانوں کو بیدار ہو کر اپنے ایمان، غیرت اور اتحاد کا ثب"&amp;"وت دینا چاہیے۔
")</f>
        <v>امام صاحب نے بیان میں یہ واضح کیا کہ یہودی نبی آخر الزمان ﷺ کی سچائی کو پہچانتے تھے مگر ضد، حسد اور تعصب کی وجہ سے ایمان نہ لائے۔ انہوں نے زور دیا کہ آج بھی یہود و نصاریٰ اسلام کے خلاف متحد ہیں، اور مسلمانوں کو بیدار ہو کر اپنے ایمان، غیرت اور اتحاد کا ثبوت دینا چاہیے۔
</v>
      </c>
      <c r="X285" s="10">
        <f>IFERROR(__xludf.DUMMYFUNCTION("""COMPUTED_VALUE"""),1.0)</f>
        <v>1</v>
      </c>
      <c r="Y285" s="10">
        <f>IFERROR(__xludf.DUMMYFUNCTION("""COMPUTED_VALUE"""),3.0)</f>
        <v>3</v>
      </c>
      <c r="Z285" s="10">
        <f>IFERROR(__xludf.DUMMYFUNCTION("""COMPUTED_VALUE"""),1.0)</f>
        <v>1</v>
      </c>
      <c r="AA285" s="10">
        <f>IFERROR(__xludf.DUMMYFUNCTION("""COMPUTED_VALUE"""),10.0)</f>
        <v>10</v>
      </c>
      <c r="AB285" s="10">
        <f>IFERROR(__xludf.DUMMYFUNCTION("""COMPUTED_VALUE"""),10.0)</f>
        <v>10</v>
      </c>
      <c r="AC285" s="10">
        <f>IFERROR(__xludf.DUMMYFUNCTION("""COMPUTED_VALUE"""),10.0)</f>
        <v>10</v>
      </c>
      <c r="AD285" s="10">
        <f>IFERROR(__xludf.DUMMYFUNCTION("""COMPUTED_VALUE"""),2.0)</f>
        <v>2</v>
      </c>
      <c r="AE285" s="10">
        <f>IFERROR(__xludf.DUMMYFUNCTION("""COMPUTED_VALUE"""),8.0)</f>
        <v>8</v>
      </c>
      <c r="AF285" s="10">
        <f>IFERROR(__xludf.DUMMYFUNCTION("""COMPUTED_VALUE"""),9.0)</f>
        <v>9</v>
      </c>
      <c r="AG285" s="10">
        <f>IFERROR(__xludf.DUMMYFUNCTION("""COMPUTED_VALUE"""),4.0)</f>
        <v>4</v>
      </c>
      <c r="AH285" s="10">
        <f>IFERROR(__xludf.DUMMYFUNCTION("""COMPUTED_VALUE"""),7.0)</f>
        <v>7</v>
      </c>
      <c r="AI285" s="10">
        <f>IFERROR(__xludf.DUMMYFUNCTION("""COMPUTED_VALUE"""),7.0)</f>
        <v>7</v>
      </c>
      <c r="AJ285" s="11" t="str">
        <f>IFERROR(__xludf.DUMMYFUNCTION("""COMPUTED_VALUE"""),"https://drive.google.com/open?id=1sevL_lL_k4sybK_AsTdP8TWlUmXqeJ36")</f>
        <v>https://drive.google.com/open?id=1sevL_lL_k4sybK_AsTdP8TWlUmXqeJ36</v>
      </c>
      <c r="AK285" s="12" t="str">
        <f>IFERROR(__xludf.DUMMYFUNCTION("""COMPUTED_VALUE"""),"
1. بیان کا عمومی اثر:
یہ بیان سننے والوں میں دینی جوش و جذبہ اور تاریخی شعور پیدا کر سکتا ہے، مگر بعض حصے بین المذاہب ہم آہنگی یا مکالمے کے لیے چیلنج ہو سکتے ہیں۔
2. بیان کا توازن:
بیان عقیدہ اور امت کی بیداری پر تو بہت زور دیتا ہے، مگر اصلاحِ نفس، "&amp;"معاشرتی رویوں، یا عملی رہنمائی میں نسبتاً کمزور ہے۔
3. مستقبل کے لیے تجاویز:
اگر امام صاحب اس میں تھوڑا سا توازن پیدا کرتے — جیسے حقوق العباد، خواتین، تعلیم، صفائی، سماجی ہم آہنگی جیسے موضوعات کو بھی شامل کرتے — تو اس کا دائرہ اثر اور جامعیت مزید بڑھ "&amp;"سکتی تھی۔
")</f>
        <v>
1. بیان کا عمومی اثر:
یہ بیان سننے والوں میں دینی جوش و جذبہ اور تاریخی شعور پیدا کر سکتا ہے، مگر بعض حصے بین المذاہب ہم آہنگی یا مکالمے کے لیے چیلنج ہو سکتے ہیں۔
2. بیان کا توازن:
بیان عقیدہ اور امت کی بیداری پر تو بہت زور دیتا ہے، مگر اصلاحِ نفس، معاشرتی رویوں، یا عملی رہنمائی میں نسبتاً کمزور ہے۔
3. مستقبل کے لیے تجاویز:
اگر امام صاحب اس میں تھوڑا سا توازن پیدا کرتے — جیسے حقوق العباد، خواتین، تعلیم، صفائی، سماجی ہم آہنگی جیسے موضوعات کو بھی شامل کرتے — تو اس کا دائرہ اثر اور جامعیت مزید بڑھ سکتی تھی۔
</v>
      </c>
      <c r="AL285" s="12"/>
      <c r="AM285" s="12"/>
      <c r="AN285" s="12" t="str">
        <f>IFERROR(__xludf.DUMMYFUNCTION("""COMPUTED_VALUE"""),"1st week")</f>
        <v>1st week</v>
      </c>
      <c r="AO285" s="13" t="s">
        <v>8</v>
      </c>
      <c r="AX285" s="17"/>
    </row>
    <row r="286">
      <c r="A286" s="8">
        <v>285.0</v>
      </c>
      <c r="B286" s="9">
        <f>IFERROR(__xludf.DUMMYFUNCTION("""COMPUTED_VALUE"""),45829.13981486111)</f>
        <v>45829.13981</v>
      </c>
      <c r="C286" s="10" t="str">
        <f>IFERROR(__xludf.DUMMYFUNCTION("""COMPUTED_VALUE"""),"Asma Gul ")</f>
        <v>Asma Gul </v>
      </c>
      <c r="D286" s="10" t="str">
        <f>IFERROR(__xludf.DUMMYFUNCTION("""COMPUTED_VALUE"""),"03459308620")</f>
        <v>03459308620</v>
      </c>
      <c r="E286" s="10" t="str">
        <f>IFERROR(__xludf.DUMMYFUNCTION("""COMPUTED_VALUE"""),"Jamia Masjid Hanifya Ghosia Scheme # 2 Lahore  ")</f>
        <v>Jamia Masjid Hanifya Ghosia Scheme # 2 Lahore  </v>
      </c>
      <c r="F286" s="10" t="str">
        <f>IFERROR(__xludf.DUMMYFUNCTION("""COMPUTED_VALUE"""),"cwfim")</f>
        <v>cwfim</v>
      </c>
      <c r="G286" s="10" t="str">
        <f>IFERROR(__xludf.DUMMYFUNCTION("""COMPUTED_VALUE"""),"Yes")</f>
        <v>Yes</v>
      </c>
      <c r="H286" s="10">
        <f>IFERROR(__xludf.DUMMYFUNCTION("""COMPUTED_VALUE"""),7.0)</f>
        <v>7</v>
      </c>
      <c r="I286" s="10">
        <f>IFERROR(__xludf.DUMMYFUNCTION("""COMPUTED_VALUE"""),1.0)</f>
        <v>1</v>
      </c>
      <c r="J286" s="10">
        <f>IFERROR(__xludf.DUMMYFUNCTION("""COMPUTED_VALUE"""),8.0)</f>
        <v>8</v>
      </c>
      <c r="K286" s="10">
        <f>IFERROR(__xludf.DUMMYFUNCTION("""COMPUTED_VALUE"""),9.0)</f>
        <v>9</v>
      </c>
      <c r="L286" s="10">
        <f>IFERROR(__xludf.DUMMYFUNCTION("""COMPUTED_VALUE"""),10.0)</f>
        <v>10</v>
      </c>
      <c r="M286" s="10">
        <f>IFERROR(__xludf.DUMMYFUNCTION("""COMPUTED_VALUE"""),10.0)</f>
        <v>10</v>
      </c>
      <c r="N286" s="10">
        <f>IFERROR(__xludf.DUMMYFUNCTION("""COMPUTED_VALUE"""),9.0)</f>
        <v>9</v>
      </c>
      <c r="O286" s="10">
        <f>IFERROR(__xludf.DUMMYFUNCTION("""COMPUTED_VALUE"""),9.0)</f>
        <v>9</v>
      </c>
      <c r="P286" s="10">
        <f>IFERROR(__xludf.DUMMYFUNCTION("""COMPUTED_VALUE"""),8.0)</f>
        <v>8</v>
      </c>
      <c r="Q286" s="10" t="str">
        <f>IFERROR(__xludf.DUMMYFUNCTION("""COMPUTED_VALUE"""),"Yes")</f>
        <v>Yes</v>
      </c>
      <c r="R286" s="10" t="str">
        <f>IFERROR(__xludf.DUMMYFUNCTION("""COMPUTED_VALUE"""),"Yes")</f>
        <v>Yes</v>
      </c>
      <c r="S286" s="10" t="str">
        <f>IFERROR(__xludf.DUMMYFUNCTION("""COMPUTED_VALUE"""),"Yes")</f>
        <v>Yes</v>
      </c>
      <c r="T286" s="10">
        <f>IFERROR(__xludf.DUMMYFUNCTION("""COMPUTED_VALUE"""),3.0)</f>
        <v>3</v>
      </c>
      <c r="U286" s="10">
        <f>IFERROR(__xludf.DUMMYFUNCTION("""COMPUTED_VALUE"""),8.0)</f>
        <v>8</v>
      </c>
      <c r="V286" s="10" t="str">
        <f>IFERROR(__xludf.DUMMYFUNCTION("""COMPUTED_VALUE"""),"ہمسایہ کہ حقوق ")</f>
        <v>ہمسایہ کہ حقوق </v>
      </c>
      <c r="W286" s="10" t="str">
        <f>IFERROR(__xludf.DUMMYFUNCTION("""COMPUTED_VALUE"""),"ہمیں دوسروں کے ساتھ اچھا سلوک کرنا چاہیے اور مظلوم کے ساتھ ہونا چاہیے لوگوں کی غم خوشی میں شریک ہونا چاہیے ")</f>
        <v>ہمیں دوسروں کے ساتھ اچھا سلوک کرنا چاہیے اور مظلوم کے ساتھ ہونا چاہیے لوگوں کی غم خوشی میں شریک ہونا چاہیے </v>
      </c>
      <c r="X286" s="10">
        <f>IFERROR(__xludf.DUMMYFUNCTION("""COMPUTED_VALUE"""),10.0)</f>
        <v>10</v>
      </c>
      <c r="Y286" s="10">
        <f>IFERROR(__xludf.DUMMYFUNCTION("""COMPUTED_VALUE"""),10.0)</f>
        <v>10</v>
      </c>
      <c r="Z286" s="10">
        <f>IFERROR(__xludf.DUMMYFUNCTION("""COMPUTED_VALUE"""),8.0)</f>
        <v>8</v>
      </c>
      <c r="AA286" s="10">
        <f>IFERROR(__xludf.DUMMYFUNCTION("""COMPUTED_VALUE"""),8.0)</f>
        <v>8</v>
      </c>
      <c r="AB286" s="10">
        <f>IFERROR(__xludf.DUMMYFUNCTION("""COMPUTED_VALUE"""),8.0)</f>
        <v>8</v>
      </c>
      <c r="AC286" s="10">
        <f>IFERROR(__xludf.DUMMYFUNCTION("""COMPUTED_VALUE"""),8.0)</f>
        <v>8</v>
      </c>
      <c r="AD286" s="10">
        <f>IFERROR(__xludf.DUMMYFUNCTION("""COMPUTED_VALUE"""),8.0)</f>
        <v>8</v>
      </c>
      <c r="AE286" s="10">
        <f>IFERROR(__xludf.DUMMYFUNCTION("""COMPUTED_VALUE"""),8.0)</f>
        <v>8</v>
      </c>
      <c r="AF286" s="10">
        <f>IFERROR(__xludf.DUMMYFUNCTION("""COMPUTED_VALUE"""),2.0)</f>
        <v>2</v>
      </c>
      <c r="AG286" s="10">
        <f>IFERROR(__xludf.DUMMYFUNCTION("""COMPUTED_VALUE"""),6.0)</f>
        <v>6</v>
      </c>
      <c r="AH286" s="10">
        <f>IFERROR(__xludf.DUMMYFUNCTION("""COMPUTED_VALUE"""),1.0)</f>
        <v>1</v>
      </c>
      <c r="AI286" s="10">
        <f>IFERROR(__xludf.DUMMYFUNCTION("""COMPUTED_VALUE"""),10.0)</f>
        <v>10</v>
      </c>
      <c r="AJ286" s="11" t="str">
        <f>IFERROR(__xludf.DUMMYFUNCTION("""COMPUTED_VALUE"""),"https://drive.google.com/open?id=1GX191SD0WuSAcBbX3A-ck39h11WYmKAN")</f>
        <v>https://drive.google.com/open?id=1GX191SD0WuSAcBbX3A-ck39h11WYmKAN</v>
      </c>
      <c r="AK286" s="12"/>
      <c r="AL286" s="12" t="str">
        <f>IFERROR(__xludf.DUMMYFUNCTION("""COMPUTED_VALUE"""),"Yes")</f>
        <v>Yes</v>
      </c>
      <c r="AM286" s="15">
        <f>IFERROR(__xludf.DUMMYFUNCTION("""COMPUTED_VALUE"""),0.9)</f>
        <v>0.9</v>
      </c>
      <c r="AN286" s="12" t="str">
        <f>IFERROR(__xludf.DUMMYFUNCTION("""COMPUTED_VALUE"""),"4th week")</f>
        <v>4th week</v>
      </c>
      <c r="AO286" s="13" t="s">
        <v>8</v>
      </c>
      <c r="AX286" s="17"/>
    </row>
    <row r="287">
      <c r="A287" s="8">
        <v>286.0</v>
      </c>
      <c r="B287" s="9">
        <f>IFERROR(__xludf.DUMMYFUNCTION("""COMPUTED_VALUE"""),45829.14390476852)</f>
        <v>45829.1439</v>
      </c>
      <c r="C287" s="10" t="str">
        <f>IFERROR(__xludf.DUMMYFUNCTION("""COMPUTED_VALUE"""),"Asma Gul ")</f>
        <v>Asma Gul </v>
      </c>
      <c r="D287" s="10" t="str">
        <f>IFERROR(__xludf.DUMMYFUNCTION("""COMPUTED_VALUE"""),"03459308620")</f>
        <v>03459308620</v>
      </c>
      <c r="E287" s="10" t="str">
        <f>IFERROR(__xludf.DUMMYFUNCTION("""COMPUTED_VALUE"""),"Jamia Masjid Darbar Sain Karam Elahe Gujrat  ")</f>
        <v>Jamia Masjid Darbar Sain Karam Elahe Gujrat  </v>
      </c>
      <c r="F287" s="10" t="str">
        <f>IFERROR(__xludf.DUMMYFUNCTION("""COMPUTED_VALUE"""),"  SXNPD")</f>
        <v>  SXNPD</v>
      </c>
      <c r="G287" s="10" t="str">
        <f>IFERROR(__xludf.DUMMYFUNCTION("""COMPUTED_VALUE"""),"Yes")</f>
        <v>Yes</v>
      </c>
      <c r="H287" s="10">
        <f>IFERROR(__xludf.DUMMYFUNCTION("""COMPUTED_VALUE"""),8.0)</f>
        <v>8</v>
      </c>
      <c r="I287" s="10">
        <f>IFERROR(__xludf.DUMMYFUNCTION("""COMPUTED_VALUE"""),2.0)</f>
        <v>2</v>
      </c>
      <c r="J287" s="10">
        <f>IFERROR(__xludf.DUMMYFUNCTION("""COMPUTED_VALUE"""),9.0)</f>
        <v>9</v>
      </c>
      <c r="K287" s="10">
        <f>IFERROR(__xludf.DUMMYFUNCTION("""COMPUTED_VALUE"""),9.0)</f>
        <v>9</v>
      </c>
      <c r="L287" s="10">
        <f>IFERROR(__xludf.DUMMYFUNCTION("""COMPUTED_VALUE"""),9.0)</f>
        <v>9</v>
      </c>
      <c r="M287" s="10">
        <f>IFERROR(__xludf.DUMMYFUNCTION("""COMPUTED_VALUE"""),9.0)</f>
        <v>9</v>
      </c>
      <c r="N287" s="10">
        <f>IFERROR(__xludf.DUMMYFUNCTION("""COMPUTED_VALUE"""),10.0)</f>
        <v>10</v>
      </c>
      <c r="O287" s="10">
        <f>IFERROR(__xludf.DUMMYFUNCTION("""COMPUTED_VALUE"""),9.0)</f>
        <v>9</v>
      </c>
      <c r="P287" s="10">
        <f>IFERROR(__xludf.DUMMYFUNCTION("""COMPUTED_VALUE"""),9.0)</f>
        <v>9</v>
      </c>
      <c r="Q287" s="10" t="str">
        <f>IFERROR(__xludf.DUMMYFUNCTION("""COMPUTED_VALUE"""),"No")</f>
        <v>No</v>
      </c>
      <c r="R287" s="10" t="str">
        <f>IFERROR(__xludf.DUMMYFUNCTION("""COMPUTED_VALUE"""),"Yes")</f>
        <v>Yes</v>
      </c>
      <c r="S287" s="10" t="str">
        <f>IFERROR(__xludf.DUMMYFUNCTION("""COMPUTED_VALUE"""),"Yes")</f>
        <v>Yes</v>
      </c>
      <c r="T287" s="10">
        <f>IFERROR(__xludf.DUMMYFUNCTION("""COMPUTED_VALUE"""),3.0)</f>
        <v>3</v>
      </c>
      <c r="U287" s="10">
        <f>IFERROR(__xludf.DUMMYFUNCTION("""COMPUTED_VALUE"""),9.0)</f>
        <v>9</v>
      </c>
      <c r="V287" s="10" t="str">
        <f>IFERROR(__xludf.DUMMYFUNCTION("""COMPUTED_VALUE"""),"پڑوسیوں کے حقوق ")</f>
        <v>پڑوسیوں کے حقوق </v>
      </c>
      <c r="W287" s="10" t="str">
        <f>IFERROR(__xludf.DUMMYFUNCTION("""COMPUTED_VALUE"""),"دوسرے ہمسائےکے حقوق پورے کرنا اور انکے تکلیف دکھ پریشانی کا خیال رکھنا")</f>
        <v>دوسرے ہمسائےکے حقوق پورے کرنا اور انکے تکلیف دکھ پریشانی کا خیال رکھنا</v>
      </c>
      <c r="X287" s="10">
        <f>IFERROR(__xludf.DUMMYFUNCTION("""COMPUTED_VALUE"""),9.0)</f>
        <v>9</v>
      </c>
      <c r="Y287" s="10">
        <f>IFERROR(__xludf.DUMMYFUNCTION("""COMPUTED_VALUE"""),9.0)</f>
        <v>9</v>
      </c>
      <c r="Z287" s="10">
        <f>IFERROR(__xludf.DUMMYFUNCTION("""COMPUTED_VALUE"""),9.0)</f>
        <v>9</v>
      </c>
      <c r="AA287" s="10">
        <f>IFERROR(__xludf.DUMMYFUNCTION("""COMPUTED_VALUE"""),8.0)</f>
        <v>8</v>
      </c>
      <c r="AB287" s="10">
        <f>IFERROR(__xludf.DUMMYFUNCTION("""COMPUTED_VALUE"""),8.0)</f>
        <v>8</v>
      </c>
      <c r="AC287" s="10">
        <f>IFERROR(__xludf.DUMMYFUNCTION("""COMPUTED_VALUE"""),9.0)</f>
        <v>9</v>
      </c>
      <c r="AD287" s="10">
        <f>IFERROR(__xludf.DUMMYFUNCTION("""COMPUTED_VALUE"""),9.0)</f>
        <v>9</v>
      </c>
      <c r="AE287" s="10">
        <f>IFERROR(__xludf.DUMMYFUNCTION("""COMPUTED_VALUE"""),6.0)</f>
        <v>6</v>
      </c>
      <c r="AF287" s="10">
        <f>IFERROR(__xludf.DUMMYFUNCTION("""COMPUTED_VALUE"""),3.0)</f>
        <v>3</v>
      </c>
      <c r="AG287" s="10">
        <f>IFERROR(__xludf.DUMMYFUNCTION("""COMPUTED_VALUE"""),9.0)</f>
        <v>9</v>
      </c>
      <c r="AH287" s="10">
        <f>IFERROR(__xludf.DUMMYFUNCTION("""COMPUTED_VALUE"""),2.0)</f>
        <v>2</v>
      </c>
      <c r="AI287" s="10">
        <f>IFERROR(__xludf.DUMMYFUNCTION("""COMPUTED_VALUE"""),10.0)</f>
        <v>10</v>
      </c>
      <c r="AJ287" s="11" t="str">
        <f>IFERROR(__xludf.DUMMYFUNCTION("""COMPUTED_VALUE"""),"https://drive.google.com/open?id=16h1XA25GJ1TU1q7rbls2EMUq8y4kwkzG")</f>
        <v>https://drive.google.com/open?id=16h1XA25GJ1TU1q7rbls2EMUq8y4kwkzG</v>
      </c>
      <c r="AK287" s="12"/>
      <c r="AL287" s="12" t="str">
        <f>IFERROR(__xludf.DUMMYFUNCTION("""COMPUTED_VALUE"""),"Yes")</f>
        <v>Yes</v>
      </c>
      <c r="AM287" s="15">
        <f>IFERROR(__xludf.DUMMYFUNCTION("""COMPUTED_VALUE"""),0.9)</f>
        <v>0.9</v>
      </c>
      <c r="AN287" s="12" t="str">
        <f>IFERROR(__xludf.DUMMYFUNCTION("""COMPUTED_VALUE"""),"1st week")</f>
        <v>1st week</v>
      </c>
      <c r="AO287" s="13">
        <v>1.0</v>
      </c>
      <c r="AX287" s="17"/>
    </row>
    <row r="288">
      <c r="A288" s="8">
        <v>287.0</v>
      </c>
      <c r="B288" s="9">
        <f>IFERROR(__xludf.DUMMYFUNCTION("""COMPUTED_VALUE"""),45829.147217199075)</f>
        <v>45829.14722</v>
      </c>
      <c r="C288" s="10" t="str">
        <f>IFERROR(__xludf.DUMMYFUNCTION("""COMPUTED_VALUE"""),"Asma Gul ")</f>
        <v>Asma Gul </v>
      </c>
      <c r="D288" s="10" t="str">
        <f>IFERROR(__xludf.DUMMYFUNCTION("""COMPUTED_VALUE"""),"03459308620")</f>
        <v>03459308620</v>
      </c>
      <c r="E288" s="10" t="str">
        <f>IFERROR(__xludf.DUMMYFUNCTION("""COMPUTED_VALUE"""),"  Jamia Masjid Darbar Shiekh Ahmad Wali Gujrat")</f>
        <v>  Jamia Masjid Darbar Shiekh Ahmad Wali Gujrat</v>
      </c>
      <c r="F288" s="10" t="str">
        <f>IFERROR(__xludf.DUMMYFUNCTION("""COMPUTED_VALUE"""),"PGPQM  ")</f>
        <v>PGPQM  </v>
      </c>
      <c r="G288" s="10" t="str">
        <f>IFERROR(__xludf.DUMMYFUNCTION("""COMPUTED_VALUE"""),"Yes")</f>
        <v>Yes</v>
      </c>
      <c r="H288" s="10">
        <f>IFERROR(__xludf.DUMMYFUNCTION("""COMPUTED_VALUE"""),9.0)</f>
        <v>9</v>
      </c>
      <c r="I288" s="10">
        <f>IFERROR(__xludf.DUMMYFUNCTION("""COMPUTED_VALUE"""),1.0)</f>
        <v>1</v>
      </c>
      <c r="J288" s="10">
        <f>IFERROR(__xludf.DUMMYFUNCTION("""COMPUTED_VALUE"""),9.0)</f>
        <v>9</v>
      </c>
      <c r="K288" s="10">
        <f>IFERROR(__xludf.DUMMYFUNCTION("""COMPUTED_VALUE"""),8.0)</f>
        <v>8</v>
      </c>
      <c r="L288" s="10">
        <f>IFERROR(__xludf.DUMMYFUNCTION("""COMPUTED_VALUE"""),9.0)</f>
        <v>9</v>
      </c>
      <c r="M288" s="10">
        <f>IFERROR(__xludf.DUMMYFUNCTION("""COMPUTED_VALUE"""),10.0)</f>
        <v>10</v>
      </c>
      <c r="N288" s="10">
        <f>IFERROR(__xludf.DUMMYFUNCTION("""COMPUTED_VALUE"""),8.0)</f>
        <v>8</v>
      </c>
      <c r="O288" s="10">
        <f>IFERROR(__xludf.DUMMYFUNCTION("""COMPUTED_VALUE"""),7.0)</f>
        <v>7</v>
      </c>
      <c r="P288" s="10">
        <f>IFERROR(__xludf.DUMMYFUNCTION("""COMPUTED_VALUE"""),10.0)</f>
        <v>10</v>
      </c>
      <c r="Q288" s="10" t="str">
        <f>IFERROR(__xludf.DUMMYFUNCTION("""COMPUTED_VALUE"""),"No")</f>
        <v>No</v>
      </c>
      <c r="R288" s="10" t="str">
        <f>IFERROR(__xludf.DUMMYFUNCTION("""COMPUTED_VALUE"""),"Yes")</f>
        <v>Yes</v>
      </c>
      <c r="S288" s="10" t="str">
        <f>IFERROR(__xludf.DUMMYFUNCTION("""COMPUTED_VALUE"""),"Yes")</f>
        <v>Yes</v>
      </c>
      <c r="T288" s="10">
        <f>IFERROR(__xludf.DUMMYFUNCTION("""COMPUTED_VALUE"""),9.0)</f>
        <v>9</v>
      </c>
      <c r="U288" s="10">
        <f>IFERROR(__xludf.DUMMYFUNCTION("""COMPUTED_VALUE"""),8.0)</f>
        <v>8</v>
      </c>
      <c r="V288" s="10" t="str">
        <f>IFERROR(__xludf.DUMMYFUNCTION("""COMPUTED_VALUE"""),"حقوق العباد ")</f>
        <v>حقوق العباد </v>
      </c>
      <c r="W288" s="10" t="str">
        <f>IFERROR(__xludf.DUMMYFUNCTION("""COMPUTED_VALUE"""),"نبی کریم صلی اللہ علیہ وسلم دوسروں کے ساتھ کیسے پیش آتے تھے اور ہمسایوں کے ساتھ حسن سلوک کرنا ")</f>
        <v>نبی کریم صلی اللہ علیہ وسلم دوسروں کے ساتھ کیسے پیش آتے تھے اور ہمسایوں کے ساتھ حسن سلوک کرنا </v>
      </c>
      <c r="X288" s="10">
        <f>IFERROR(__xludf.DUMMYFUNCTION("""COMPUTED_VALUE"""),9.0)</f>
        <v>9</v>
      </c>
      <c r="Y288" s="10">
        <f>IFERROR(__xludf.DUMMYFUNCTION("""COMPUTED_VALUE"""),9.0)</f>
        <v>9</v>
      </c>
      <c r="Z288" s="10">
        <f>IFERROR(__xludf.DUMMYFUNCTION("""COMPUTED_VALUE"""),8.0)</f>
        <v>8</v>
      </c>
      <c r="AA288" s="10">
        <f>IFERROR(__xludf.DUMMYFUNCTION("""COMPUTED_VALUE"""),10.0)</f>
        <v>10</v>
      </c>
      <c r="AB288" s="10">
        <f>IFERROR(__xludf.DUMMYFUNCTION("""COMPUTED_VALUE"""),10.0)</f>
        <v>10</v>
      </c>
      <c r="AC288" s="10">
        <f>IFERROR(__xludf.DUMMYFUNCTION("""COMPUTED_VALUE"""),9.0)</f>
        <v>9</v>
      </c>
      <c r="AD288" s="10">
        <f>IFERROR(__xludf.DUMMYFUNCTION("""COMPUTED_VALUE"""),8.0)</f>
        <v>8</v>
      </c>
      <c r="AE288" s="10">
        <f>IFERROR(__xludf.DUMMYFUNCTION("""COMPUTED_VALUE"""),8.0)</f>
        <v>8</v>
      </c>
      <c r="AF288" s="10">
        <f>IFERROR(__xludf.DUMMYFUNCTION("""COMPUTED_VALUE"""),3.0)</f>
        <v>3</v>
      </c>
      <c r="AG288" s="10">
        <f>IFERROR(__xludf.DUMMYFUNCTION("""COMPUTED_VALUE"""),9.0)</f>
        <v>9</v>
      </c>
      <c r="AH288" s="10">
        <f>IFERROR(__xludf.DUMMYFUNCTION("""COMPUTED_VALUE"""),2.0)</f>
        <v>2</v>
      </c>
      <c r="AI288" s="10">
        <f>IFERROR(__xludf.DUMMYFUNCTION("""COMPUTED_VALUE"""),9.0)</f>
        <v>9</v>
      </c>
      <c r="AJ288" s="11" t="str">
        <f>IFERROR(__xludf.DUMMYFUNCTION("""COMPUTED_VALUE"""),"https://drive.google.com/open?id=171nH7soYdPStOv6vRgo7SnpT-9SC_rR8")</f>
        <v>https://drive.google.com/open?id=171nH7soYdPStOv6vRgo7SnpT-9SC_rR8</v>
      </c>
      <c r="AK288" s="12"/>
      <c r="AL288" s="12" t="str">
        <f>IFERROR(__xludf.DUMMYFUNCTION("""COMPUTED_VALUE"""),"Yes")</f>
        <v>Yes</v>
      </c>
      <c r="AM288" s="15">
        <f>IFERROR(__xludf.DUMMYFUNCTION("""COMPUTED_VALUE"""),0.9)</f>
        <v>0.9</v>
      </c>
      <c r="AN288" s="12" t="str">
        <f>IFERROR(__xludf.DUMMYFUNCTION("""COMPUTED_VALUE"""),"1st week")</f>
        <v>1st week</v>
      </c>
      <c r="AO288" s="13">
        <v>1.0</v>
      </c>
      <c r="AX288" s="17"/>
    </row>
    <row r="289">
      <c r="A289" s="8">
        <v>288.0</v>
      </c>
      <c r="B289" s="9">
        <f>IFERROR(__xludf.DUMMYFUNCTION("""COMPUTED_VALUE"""),45829.1852712963)</f>
        <v>45829.18527</v>
      </c>
      <c r="C289" s="10" t="str">
        <f>IFERROR(__xludf.DUMMYFUNCTION("""COMPUTED_VALUE"""),"Arti Kumari ")</f>
        <v>Arti Kumari </v>
      </c>
      <c r="D289" s="10" t="str">
        <f>IFERROR(__xludf.DUMMYFUNCTION("""COMPUTED_VALUE"""),"03346661865")</f>
        <v>03346661865</v>
      </c>
      <c r="E289" s="10" t="str">
        <f>IFERROR(__xludf.DUMMYFUNCTION("""COMPUTED_VALUE"""),"Jamia Masjid Esha Shahab Lahore")</f>
        <v>Jamia Masjid Esha Shahab Lahore</v>
      </c>
      <c r="F289" s="10" t="str">
        <f>IFERROR(__xludf.DUMMYFUNCTION("""COMPUTED_VALUE"""),"zhcjl")</f>
        <v>zhcjl</v>
      </c>
      <c r="G289" s="10" t="str">
        <f>IFERROR(__xludf.DUMMYFUNCTION("""COMPUTED_VALUE"""),"Yes")</f>
        <v>Yes</v>
      </c>
      <c r="H289" s="10">
        <f>IFERROR(__xludf.DUMMYFUNCTION("""COMPUTED_VALUE"""),0.0)</f>
        <v>0</v>
      </c>
      <c r="I289" s="10">
        <f>IFERROR(__xludf.DUMMYFUNCTION("""COMPUTED_VALUE"""),0.0)</f>
        <v>0</v>
      </c>
      <c r="J289" s="10">
        <f>IFERROR(__xludf.DUMMYFUNCTION("""COMPUTED_VALUE"""),0.0)</f>
        <v>0</v>
      </c>
      <c r="K289" s="10">
        <f>IFERROR(__xludf.DUMMYFUNCTION("""COMPUTED_VALUE"""),0.0)</f>
        <v>0</v>
      </c>
      <c r="L289" s="10">
        <f>IFERROR(__xludf.DUMMYFUNCTION("""COMPUTED_VALUE"""),0.0)</f>
        <v>0</v>
      </c>
      <c r="M289" s="10">
        <f>IFERROR(__xludf.DUMMYFUNCTION("""COMPUTED_VALUE"""),0.0)</f>
        <v>0</v>
      </c>
      <c r="N289" s="10">
        <f>IFERROR(__xludf.DUMMYFUNCTION("""COMPUTED_VALUE"""),0.0)</f>
        <v>0</v>
      </c>
      <c r="O289" s="10">
        <f>IFERROR(__xludf.DUMMYFUNCTION("""COMPUTED_VALUE"""),0.0)</f>
        <v>0</v>
      </c>
      <c r="P289" s="10">
        <f>IFERROR(__xludf.DUMMYFUNCTION("""COMPUTED_VALUE"""),0.0)</f>
        <v>0</v>
      </c>
      <c r="Q289" s="10" t="str">
        <f>IFERROR(__xludf.DUMMYFUNCTION("""COMPUTED_VALUE"""),"No")</f>
        <v>No</v>
      </c>
      <c r="R289" s="10" t="str">
        <f>IFERROR(__xludf.DUMMYFUNCTION("""COMPUTED_VALUE"""),"No")</f>
        <v>No</v>
      </c>
      <c r="S289" s="10" t="str">
        <f>IFERROR(__xludf.DUMMYFUNCTION("""COMPUTED_VALUE"""),"No")</f>
        <v>No</v>
      </c>
      <c r="T289" s="10">
        <f>IFERROR(__xludf.DUMMYFUNCTION("""COMPUTED_VALUE"""),0.0)</f>
        <v>0</v>
      </c>
      <c r="U289" s="10">
        <f>IFERROR(__xludf.DUMMYFUNCTION("""COMPUTED_VALUE"""),0.0)</f>
        <v>0</v>
      </c>
      <c r="V289" s="10" t="str">
        <f>IFERROR(__xludf.DUMMYFUNCTION("""COMPUTED_VALUE"""),"اللہ اور اس کے نبی کی پیروی")</f>
        <v>اللہ اور اس کے نبی کی پیروی</v>
      </c>
      <c r="W289" s="10" t="str">
        <f>IFERROR(__xludf.DUMMYFUNCTION("""COMPUTED_VALUE"""),"امام نے خطبہ میں نبی کے حکم کی پیروی کرنے کا کہا اللّٰہ نے نبی کو حاکم اور مختیار بنا کر بھیجا ہے جو اس کے حکم کی پیروی کرتا ہے وہ مومن ہے۔ اس کے علاوہ کچھ واقعات کا زکر کیا اور نبی کا غیر مسلموں کے ساتھ سلوک کو بیان کیا۔")</f>
        <v>امام نے خطبہ میں نبی کے حکم کی پیروی کرنے کا کہا اللّٰہ نے نبی کو حاکم اور مختیار بنا کر بھیجا ہے جو اس کے حکم کی پیروی کرتا ہے وہ مومن ہے۔ اس کے علاوہ کچھ واقعات کا زکر کیا اور نبی کا غیر مسلموں کے ساتھ سلوک کو بیان کیا۔</v>
      </c>
      <c r="X289" s="10">
        <f>IFERROR(__xludf.DUMMYFUNCTION("""COMPUTED_VALUE"""),10.0)</f>
        <v>10</v>
      </c>
      <c r="Y289" s="10">
        <f>IFERROR(__xludf.DUMMYFUNCTION("""COMPUTED_VALUE"""),0.0)</f>
        <v>0</v>
      </c>
      <c r="Z289" s="10">
        <f>IFERROR(__xludf.DUMMYFUNCTION("""COMPUTED_VALUE"""),4.0)</f>
        <v>4</v>
      </c>
      <c r="AA289" s="10">
        <f>IFERROR(__xludf.DUMMYFUNCTION("""COMPUTED_VALUE"""),10.0)</f>
        <v>10</v>
      </c>
      <c r="AB289" s="10">
        <f>IFERROR(__xludf.DUMMYFUNCTION("""COMPUTED_VALUE"""),10.0)</f>
        <v>10</v>
      </c>
      <c r="AC289" s="10">
        <f>IFERROR(__xludf.DUMMYFUNCTION("""COMPUTED_VALUE"""),3.0)</f>
        <v>3</v>
      </c>
      <c r="AD289" s="10">
        <f>IFERROR(__xludf.DUMMYFUNCTION("""COMPUTED_VALUE"""),0.0)</f>
        <v>0</v>
      </c>
      <c r="AE289" s="10">
        <f>IFERROR(__xludf.DUMMYFUNCTION("""COMPUTED_VALUE"""),4.0)</f>
        <v>4</v>
      </c>
      <c r="AF289" s="10">
        <f>IFERROR(__xludf.DUMMYFUNCTION("""COMPUTED_VALUE"""),0.0)</f>
        <v>0</v>
      </c>
      <c r="AG289" s="10">
        <f>IFERROR(__xludf.DUMMYFUNCTION("""COMPUTED_VALUE"""),10.0)</f>
        <v>10</v>
      </c>
      <c r="AH289" s="10">
        <f>IFERROR(__xludf.DUMMYFUNCTION("""COMPUTED_VALUE"""),0.0)</f>
        <v>0</v>
      </c>
      <c r="AI289" s="10">
        <f>IFERROR(__xludf.DUMMYFUNCTION("""COMPUTED_VALUE"""),10.0)</f>
        <v>10</v>
      </c>
      <c r="AJ289" s="11" t="str">
        <f>IFERROR(__xludf.DUMMYFUNCTION("""COMPUTED_VALUE"""),"https://drive.google.com/open?id=1EJw2NzjYAney0i6AEHTmacQonGQP0aix")</f>
        <v>https://drive.google.com/open?id=1EJw2NzjYAney0i6AEHTmacQonGQP0aix</v>
      </c>
      <c r="AK289" s="12"/>
      <c r="AL289" s="12" t="str">
        <f>IFERROR(__xludf.DUMMYFUNCTION("""COMPUTED_VALUE"""),"Yes")</f>
        <v>Yes</v>
      </c>
      <c r="AM289" s="15">
        <f>IFERROR(__xludf.DUMMYFUNCTION("""COMPUTED_VALUE"""),0.0)</f>
        <v>0</v>
      </c>
      <c r="AN289" s="12" t="str">
        <f>IFERROR(__xludf.DUMMYFUNCTION("""COMPUTED_VALUE"""),"4th week")</f>
        <v>4th week</v>
      </c>
      <c r="AO289" s="13">
        <v>4.0</v>
      </c>
      <c r="AX289" s="17"/>
    </row>
    <row r="290">
      <c r="A290" s="8">
        <v>289.0</v>
      </c>
      <c r="B290" s="9">
        <f>IFERROR(__xludf.DUMMYFUNCTION("""COMPUTED_VALUE"""),45829.20763420139)</f>
        <v>45829.20763</v>
      </c>
      <c r="C290" s="10" t="str">
        <f>IFERROR(__xludf.DUMMYFUNCTION("""COMPUTED_VALUE"""),"Sumaia Hayat ")</f>
        <v>Sumaia Hayat </v>
      </c>
      <c r="D290" s="10" t="str">
        <f>IFERROR(__xludf.DUMMYFUNCTION("""COMPUTED_VALUE"""),"03260671819")</f>
        <v>03260671819</v>
      </c>
      <c r="E290" s="10" t="str">
        <f>IFERROR(__xludf.DUMMYFUNCTION("""COMPUTED_VALUE"""),"Jamia Masjid Zia Muzam Abaad Kot Mumin")</f>
        <v>Jamia Masjid Zia Muzam Abaad Kot Mumin</v>
      </c>
      <c r="F290" s="10" t="str">
        <f>IFERROR(__xludf.DUMMYFUNCTION("""COMPUTED_VALUE"""),"UIODJ")</f>
        <v>UIODJ</v>
      </c>
      <c r="G290" s="10" t="str">
        <f>IFERROR(__xludf.DUMMYFUNCTION("""COMPUTED_VALUE"""),"No")</f>
        <v>No</v>
      </c>
      <c r="H290" s="10"/>
      <c r="I290" s="10"/>
      <c r="J290" s="10"/>
      <c r="K290" s="10">
        <f>IFERROR(__xludf.DUMMYFUNCTION("""COMPUTED_VALUE"""),1.0)</f>
        <v>1</v>
      </c>
      <c r="L290" s="10">
        <f>IFERROR(__xludf.DUMMYFUNCTION("""COMPUTED_VALUE"""),10.0)</f>
        <v>10</v>
      </c>
      <c r="M290" s="10">
        <f>IFERROR(__xludf.DUMMYFUNCTION("""COMPUTED_VALUE"""),2.0)</f>
        <v>2</v>
      </c>
      <c r="N290" s="10">
        <f>IFERROR(__xludf.DUMMYFUNCTION("""COMPUTED_VALUE"""),10.0)</f>
        <v>10</v>
      </c>
      <c r="O290" s="10">
        <f>IFERROR(__xludf.DUMMYFUNCTION("""COMPUTED_VALUE"""),0.0)</f>
        <v>0</v>
      </c>
      <c r="P290" s="10">
        <f>IFERROR(__xludf.DUMMYFUNCTION("""COMPUTED_VALUE"""),9.0)</f>
        <v>9</v>
      </c>
      <c r="Q290" s="10" t="str">
        <f>IFERROR(__xludf.DUMMYFUNCTION("""COMPUTED_VALUE"""),"No")</f>
        <v>No</v>
      </c>
      <c r="R290" s="10" t="str">
        <f>IFERROR(__xludf.DUMMYFUNCTION("""COMPUTED_VALUE"""),"Yes")</f>
        <v>Yes</v>
      </c>
      <c r="S290" s="10" t="str">
        <f>IFERROR(__xludf.DUMMYFUNCTION("""COMPUTED_VALUE"""),"No")</f>
        <v>No</v>
      </c>
      <c r="T290" s="10">
        <f>IFERROR(__xludf.DUMMYFUNCTION("""COMPUTED_VALUE"""),0.0)</f>
        <v>0</v>
      </c>
      <c r="U290" s="10">
        <f>IFERROR(__xludf.DUMMYFUNCTION("""COMPUTED_VALUE"""),0.0)</f>
        <v>0</v>
      </c>
      <c r="V290" s="10" t="str">
        <f>IFERROR(__xludf.DUMMYFUNCTION("""COMPUTED_VALUE"""),"موضوع: حسنِ سلوک، حقوق العباد، خاص طور پر پڑوسیوں کے حقوق، ایثار، اور ماحول کی بہتری۔
")</f>
        <v>موضوع: حسنِ سلوک، حقوق العباد، خاص طور پر پڑوسیوں کے حقوق، ایثار، اور ماحول کی بہتری۔
</v>
      </c>
      <c r="W290" s="10" t="str">
        <f>IFERROR(__xludf.DUMMYFUNCTION("""COMPUTED_VALUE"""),"امام نے حقوق العباد، خاص طور پر پڑوسیوں کے ساتھ حسنِ سلوک، خدمت خلق، اور معاشرتی بہتری پر زور دیا۔ انہوں نے مختلف اسلامی واقعات اور تعلیمات کے ذریعے سامعین کو دوسروں کے حقوق ادا کرنے کی ترغیب دی۔
")</f>
        <v>امام نے حقوق العباد، خاص طور پر پڑوسیوں کے ساتھ حسنِ سلوک، خدمت خلق، اور معاشرتی بہتری پر زور دیا۔ انہوں نے مختلف اسلامی واقعات اور تعلیمات کے ذریعے سامعین کو دوسروں کے حقوق ادا کرنے کی ترغیب دی۔
</v>
      </c>
      <c r="X290" s="10">
        <f>IFERROR(__xludf.DUMMYFUNCTION("""COMPUTED_VALUE"""),4.0)</f>
        <v>4</v>
      </c>
      <c r="Y290" s="10">
        <f>IFERROR(__xludf.DUMMYFUNCTION("""COMPUTED_VALUE"""),10.0)</f>
        <v>10</v>
      </c>
      <c r="Z290" s="10">
        <f>IFERROR(__xludf.DUMMYFUNCTION("""COMPUTED_VALUE"""),9.0)</f>
        <v>9</v>
      </c>
      <c r="AA290" s="10">
        <f>IFERROR(__xludf.DUMMYFUNCTION("""COMPUTED_VALUE"""),7.0)</f>
        <v>7</v>
      </c>
      <c r="AB290" s="10">
        <f>IFERROR(__xludf.DUMMYFUNCTION("""COMPUTED_VALUE"""),6.0)</f>
        <v>6</v>
      </c>
      <c r="AC290" s="10">
        <f>IFERROR(__xludf.DUMMYFUNCTION("""COMPUTED_VALUE"""),0.0)</f>
        <v>0</v>
      </c>
      <c r="AD290" s="10">
        <f>IFERROR(__xludf.DUMMYFUNCTION("""COMPUTED_VALUE"""),1.0)</f>
        <v>1</v>
      </c>
      <c r="AE290" s="10">
        <f>IFERROR(__xludf.DUMMYFUNCTION("""COMPUTED_VALUE"""),2.0)</f>
        <v>2</v>
      </c>
      <c r="AF290" s="10">
        <f>IFERROR(__xludf.DUMMYFUNCTION("""COMPUTED_VALUE"""),6.0)</f>
        <v>6</v>
      </c>
      <c r="AG290" s="10">
        <f>IFERROR(__xludf.DUMMYFUNCTION("""COMPUTED_VALUE"""),8.0)</f>
        <v>8</v>
      </c>
      <c r="AH290" s="10">
        <f>IFERROR(__xludf.DUMMYFUNCTION("""COMPUTED_VALUE"""),0.0)</f>
        <v>0</v>
      </c>
      <c r="AI290" s="10">
        <f>IFERROR(__xludf.DUMMYFUNCTION("""COMPUTED_VALUE"""),9.0)</f>
        <v>9</v>
      </c>
      <c r="AJ290" s="11" t="str">
        <f>IFERROR(__xludf.DUMMYFUNCTION("""COMPUTED_VALUE"""),"https://drive.google.com/open?id=1wvMwk5Tj5oV-Qv5TktUfhAvl3WWoiLsF")</f>
        <v>https://drive.google.com/open?id=1wvMwk5Tj5oV-Qv5TktUfhAvl3WWoiLsF</v>
      </c>
      <c r="AK290" s="12" t="str">
        <f>IFERROR(__xludf.DUMMYFUNCTION("""COMPUTED_VALUE"""),"اگر ممکن ہو تو آئندہ بیان میں خواتین کے عملی کردار (تعلیم، اصلاحِ معاشرہ) پر بھی کچھ روشنی ڈالی جائے، تاکہ وہ بھی اس دعوت کا فعال حصہ بن سکیں۔
")</f>
        <v>اگر ممکن ہو تو آئندہ بیان میں خواتین کے عملی کردار (تعلیم، اصلاحِ معاشرہ) پر بھی کچھ روشنی ڈالی جائے، تاکہ وہ بھی اس دعوت کا فعال حصہ بن سکیں۔
</v>
      </c>
      <c r="AL290" s="12"/>
      <c r="AM290" s="12"/>
      <c r="AN290" s="12" t="str">
        <f>IFERROR(__xludf.DUMMYFUNCTION("""COMPUTED_VALUE"""),"1st week")</f>
        <v>1st week</v>
      </c>
      <c r="AO290" s="13" t="s">
        <v>8</v>
      </c>
      <c r="AX290" s="17"/>
    </row>
    <row r="291">
      <c r="A291" s="8">
        <v>290.0</v>
      </c>
      <c r="B291" s="9">
        <f>IFERROR(__xludf.DUMMYFUNCTION("""COMPUTED_VALUE"""),45829.23245152777)</f>
        <v>45829.23245</v>
      </c>
      <c r="C291" s="10" t="str">
        <f>IFERROR(__xludf.DUMMYFUNCTION("""COMPUTED_VALUE"""),"Sumaia Hayat ")</f>
        <v>Sumaia Hayat </v>
      </c>
      <c r="D291" s="10" t="str">
        <f>IFERROR(__xludf.DUMMYFUNCTION("""COMPUTED_VALUE"""),"03260671819")</f>
        <v>03260671819</v>
      </c>
      <c r="E291" s="10" t="str">
        <f>IFERROR(__xludf.DUMMYFUNCTION("""COMPUTED_VALUE"""),"Jamia Masjid Gulzar Madina 43 Shamali Lari Adah")</f>
        <v>Jamia Masjid Gulzar Madina 43 Shamali Lari Adah</v>
      </c>
      <c r="F291" s="10" t="str">
        <f>IFERROR(__xludf.DUMMYFUNCTION("""COMPUTED_VALUE"""),"QPSTQ")</f>
        <v>QPSTQ</v>
      </c>
      <c r="G291" s="10" t="str">
        <f>IFERROR(__xludf.DUMMYFUNCTION("""COMPUTED_VALUE"""),"No")</f>
        <v>No</v>
      </c>
      <c r="H291" s="10"/>
      <c r="I291" s="10"/>
      <c r="J291" s="10"/>
      <c r="K291" s="10">
        <f>IFERROR(__xludf.DUMMYFUNCTION("""COMPUTED_VALUE"""),6.0)</f>
        <v>6</v>
      </c>
      <c r="L291" s="10">
        <f>IFERROR(__xludf.DUMMYFUNCTION("""COMPUTED_VALUE"""),10.0)</f>
        <v>10</v>
      </c>
      <c r="M291" s="10">
        <f>IFERROR(__xludf.DUMMYFUNCTION("""COMPUTED_VALUE"""),7.0)</f>
        <v>7</v>
      </c>
      <c r="N291" s="10">
        <f>IFERROR(__xludf.DUMMYFUNCTION("""COMPUTED_VALUE"""),10.0)</f>
        <v>10</v>
      </c>
      <c r="O291" s="10">
        <f>IFERROR(__xludf.DUMMYFUNCTION("""COMPUTED_VALUE"""),1.0)</f>
        <v>1</v>
      </c>
      <c r="P291" s="10">
        <f>IFERROR(__xludf.DUMMYFUNCTION("""COMPUTED_VALUE"""),6.0)</f>
        <v>6</v>
      </c>
      <c r="Q291" s="10" t="str">
        <f>IFERROR(__xludf.DUMMYFUNCTION("""COMPUTED_VALUE"""),"No")</f>
        <v>No</v>
      </c>
      <c r="R291" s="10" t="str">
        <f>IFERROR(__xludf.DUMMYFUNCTION("""COMPUTED_VALUE"""),"No")</f>
        <v>No</v>
      </c>
      <c r="S291" s="10" t="str">
        <f>IFERROR(__xludf.DUMMYFUNCTION("""COMPUTED_VALUE"""),"No")</f>
        <v>No</v>
      </c>
      <c r="T291" s="10">
        <f>IFERROR(__xludf.DUMMYFUNCTION("""COMPUTED_VALUE"""),0.0)</f>
        <v>0</v>
      </c>
      <c r="U291" s="10">
        <f>IFERROR(__xludf.DUMMYFUNCTION("""COMPUTED_VALUE"""),0.0)</f>
        <v>0</v>
      </c>
      <c r="V291" s="10" t="str">
        <f>IFERROR(__xludf.DUMMYFUNCTION("""COMPUTED_VALUE"""),"جواب: نبی کریم ﷺ کی سیرتِ طیبہ، نکاح کی سنت، اور خصوصاً پڑوسیوں کے حقوق۔")</f>
        <v>جواب: نبی کریم ﷺ کی سیرتِ طیبہ، نکاح کی سنت، اور خصوصاً پڑوسیوں کے حقوق۔</v>
      </c>
      <c r="W291" s="10" t="str">
        <f>IFERROR(__xludf.DUMMYFUNCTION("""COMPUTED_VALUE"""),"جواب: امام نے نبی کریم ﷺ کی سیرت کو دنیاوی اور اُخروی مسائل کا حل قرار دیا۔ خاص طور پر نکاح کی سادگی اور پڑوسیوں کے حقوق پر زور دیا۔
")</f>
        <v>جواب: امام نے نبی کریم ﷺ کی سیرت کو دنیاوی اور اُخروی مسائل کا حل قرار دیا۔ خاص طور پر نکاح کی سادگی اور پڑوسیوں کے حقوق پر زور دیا۔
</v>
      </c>
      <c r="X291" s="10">
        <f>IFERROR(__xludf.DUMMYFUNCTION("""COMPUTED_VALUE"""),4.0)</f>
        <v>4</v>
      </c>
      <c r="Y291" s="10">
        <f>IFERROR(__xludf.DUMMYFUNCTION("""COMPUTED_VALUE"""),10.0)</f>
        <v>10</v>
      </c>
      <c r="Z291" s="10">
        <f>IFERROR(__xludf.DUMMYFUNCTION("""COMPUTED_VALUE"""),9.0)</f>
        <v>9</v>
      </c>
      <c r="AA291" s="10">
        <f>IFERROR(__xludf.DUMMYFUNCTION("""COMPUTED_VALUE"""),8.0)</f>
        <v>8</v>
      </c>
      <c r="AB291" s="10">
        <f>IFERROR(__xludf.DUMMYFUNCTION("""COMPUTED_VALUE"""),6.0)</f>
        <v>6</v>
      </c>
      <c r="AC291" s="10">
        <f>IFERROR(__xludf.DUMMYFUNCTION("""COMPUTED_VALUE"""),0.0)</f>
        <v>0</v>
      </c>
      <c r="AD291" s="10">
        <f>IFERROR(__xludf.DUMMYFUNCTION("""COMPUTED_VALUE"""),2.0)</f>
        <v>2</v>
      </c>
      <c r="AE291" s="10">
        <f>IFERROR(__xludf.DUMMYFUNCTION("""COMPUTED_VALUE"""),0.0)</f>
        <v>0</v>
      </c>
      <c r="AF291" s="10">
        <f>IFERROR(__xludf.DUMMYFUNCTION("""COMPUTED_VALUE"""),8.0)</f>
        <v>8</v>
      </c>
      <c r="AG291" s="10">
        <f>IFERROR(__xludf.DUMMYFUNCTION("""COMPUTED_VALUE"""),9.0)</f>
        <v>9</v>
      </c>
      <c r="AH291" s="10">
        <f>IFERROR(__xludf.DUMMYFUNCTION("""COMPUTED_VALUE"""),0.0)</f>
        <v>0</v>
      </c>
      <c r="AI291" s="10">
        <f>IFERROR(__xludf.DUMMYFUNCTION("""COMPUTED_VALUE"""),9.0)</f>
        <v>9</v>
      </c>
      <c r="AJ291" s="11" t="str">
        <f>IFERROR(__xludf.DUMMYFUNCTION("""COMPUTED_VALUE"""),"https://drive.google.com/open?id=1x65igoDRN9YvcG_IgZl4_3BameAWe9Hr")</f>
        <v>https://drive.google.com/open?id=1x65igoDRN9YvcG_IgZl4_3BameAWe9Hr</v>
      </c>
      <c r="AK291" s="12" t="str">
        <f>IFERROR(__xludf.DUMMYFUNCTION("""COMPUTED_VALUE""")," بیان کی سب سے بڑی خوبی اس کا درد مندانہ انداز اور سیرت کے عملی پہلوؤں پر زور دینا تھا۔ البتہ، خواتین کی تعلیم اور معاشرتی ترقی جیسے جدید موضوعات پر بھی روشنی ڈالی جاتی تو بیان مزید مکمل ہوتا۔
")</f>
        <v> بیان کی سب سے بڑی خوبی اس کا درد مندانہ انداز اور سیرت کے عملی پہلوؤں پر زور دینا تھا۔ البتہ، خواتین کی تعلیم اور معاشرتی ترقی جیسے جدید موضوعات پر بھی روشنی ڈالی جاتی تو بیان مزید مکمل ہوتا۔
</v>
      </c>
      <c r="AL291" s="12"/>
      <c r="AM291" s="12"/>
      <c r="AN291" s="12" t="str">
        <f>IFERROR(__xludf.DUMMYFUNCTION("""COMPUTED_VALUE"""),"1st week")</f>
        <v>1st week</v>
      </c>
      <c r="AO291" s="13" t="s">
        <v>8</v>
      </c>
      <c r="AX291" s="17"/>
    </row>
    <row r="292">
      <c r="A292" s="8">
        <v>291.0</v>
      </c>
      <c r="B292" s="9">
        <f>IFERROR(__xludf.DUMMYFUNCTION("""COMPUTED_VALUE"""),45829.27261824074)</f>
        <v>45829.27262</v>
      </c>
      <c r="C292" s="10" t="str">
        <f>IFERROR(__xludf.DUMMYFUNCTION("""COMPUTED_VALUE"""),"Shahid Iqbal")</f>
        <v>Shahid Iqbal</v>
      </c>
      <c r="D292" s="10" t="str">
        <f>IFERROR(__xludf.DUMMYFUNCTION("""COMPUTED_VALUE"""),"03013665049")</f>
        <v>03013665049</v>
      </c>
      <c r="E292" s="10" t="str">
        <f>IFERROR(__xludf.DUMMYFUNCTION("""COMPUTED_VALUE"""),"Jamia Masjid Ashrafia Gol Chowk Sargodha")</f>
        <v>Jamia Masjid Ashrafia Gol Chowk Sargodha</v>
      </c>
      <c r="F292" s="10" t="str">
        <f>IFERROR(__xludf.DUMMYFUNCTION("""COMPUTED_VALUE"""),"PALOG")</f>
        <v>PALOG</v>
      </c>
      <c r="G292" s="10" t="str">
        <f>IFERROR(__xludf.DUMMYFUNCTION("""COMPUTED_VALUE"""),"Yes")</f>
        <v>Yes</v>
      </c>
      <c r="H292" s="10">
        <f>IFERROR(__xludf.DUMMYFUNCTION("""COMPUTED_VALUE"""),7.0)</f>
        <v>7</v>
      </c>
      <c r="I292" s="10">
        <f>IFERROR(__xludf.DUMMYFUNCTION("""COMPUTED_VALUE"""),2.0)</f>
        <v>2</v>
      </c>
      <c r="J292" s="10">
        <f>IFERROR(__xludf.DUMMYFUNCTION("""COMPUTED_VALUE"""),7.0)</f>
        <v>7</v>
      </c>
      <c r="K292" s="10">
        <f>IFERROR(__xludf.DUMMYFUNCTION("""COMPUTED_VALUE"""),10.0)</f>
        <v>10</v>
      </c>
      <c r="L292" s="10">
        <f>IFERROR(__xludf.DUMMYFUNCTION("""COMPUTED_VALUE"""),0.0)</f>
        <v>0</v>
      </c>
      <c r="M292" s="10">
        <f>IFERROR(__xludf.DUMMYFUNCTION("""COMPUTED_VALUE"""),9.0)</f>
        <v>9</v>
      </c>
      <c r="N292" s="10">
        <f>IFERROR(__xludf.DUMMYFUNCTION("""COMPUTED_VALUE"""),1.0)</f>
        <v>1</v>
      </c>
      <c r="O292" s="10">
        <f>IFERROR(__xludf.DUMMYFUNCTION("""COMPUTED_VALUE"""),9.0)</f>
        <v>9</v>
      </c>
      <c r="P292" s="10">
        <f>IFERROR(__xludf.DUMMYFUNCTION("""COMPUTED_VALUE"""),0.0)</f>
        <v>0</v>
      </c>
      <c r="Q292" s="10" t="str">
        <f>IFERROR(__xludf.DUMMYFUNCTION("""COMPUTED_VALUE"""),"Yes")</f>
        <v>Yes</v>
      </c>
      <c r="R292" s="10" t="str">
        <f>IFERROR(__xludf.DUMMYFUNCTION("""COMPUTED_VALUE"""),"No")</f>
        <v>No</v>
      </c>
      <c r="S292" s="10" t="str">
        <f>IFERROR(__xludf.DUMMYFUNCTION("""COMPUTED_VALUE"""),"Yes")</f>
        <v>Yes</v>
      </c>
      <c r="T292" s="10">
        <f>IFERROR(__xludf.DUMMYFUNCTION("""COMPUTED_VALUE"""),6.0)</f>
        <v>6</v>
      </c>
      <c r="U292" s="10">
        <f>IFERROR(__xludf.DUMMYFUNCTION("""COMPUTED_VALUE"""),0.0)</f>
        <v>0</v>
      </c>
      <c r="V292" s="10" t="str">
        <f>IFERROR(__xludf.DUMMYFUNCTION("""COMPUTED_VALUE"""),"Aurat ka islam ma muqam")</f>
        <v>Aurat ka islam ma muqam</v>
      </c>
      <c r="W292" s="10" t="str">
        <f>IFERROR(__xludf.DUMMYFUNCTION("""COMPUTED_VALUE"""),"Aurat ka islam ma muqam")</f>
        <v>Aurat ka islam ma muqam</v>
      </c>
      <c r="X292" s="10">
        <f>IFERROR(__xludf.DUMMYFUNCTION("""COMPUTED_VALUE"""),3.0)</f>
        <v>3</v>
      </c>
      <c r="Y292" s="10">
        <f>IFERROR(__xludf.DUMMYFUNCTION("""COMPUTED_VALUE"""),0.0)</f>
        <v>0</v>
      </c>
      <c r="Z292" s="10">
        <f>IFERROR(__xludf.DUMMYFUNCTION("""COMPUTED_VALUE"""),0.0)</f>
        <v>0</v>
      </c>
      <c r="AA292" s="10">
        <f>IFERROR(__xludf.DUMMYFUNCTION("""COMPUTED_VALUE"""),0.0)</f>
        <v>0</v>
      </c>
      <c r="AB292" s="10">
        <f>IFERROR(__xludf.DUMMYFUNCTION("""COMPUTED_VALUE"""),0.0)</f>
        <v>0</v>
      </c>
      <c r="AC292" s="10">
        <f>IFERROR(__xludf.DUMMYFUNCTION("""COMPUTED_VALUE"""),0.0)</f>
        <v>0</v>
      </c>
      <c r="AD292" s="10">
        <f>IFERROR(__xludf.DUMMYFUNCTION("""COMPUTED_VALUE"""),0.0)</f>
        <v>0</v>
      </c>
      <c r="AE292" s="10">
        <f>IFERROR(__xludf.DUMMYFUNCTION("""COMPUTED_VALUE"""),0.0)</f>
        <v>0</v>
      </c>
      <c r="AF292" s="10">
        <f>IFERROR(__xludf.DUMMYFUNCTION("""COMPUTED_VALUE"""),3.0)</f>
        <v>3</v>
      </c>
      <c r="AG292" s="10">
        <f>IFERROR(__xludf.DUMMYFUNCTION("""COMPUTED_VALUE"""),7.0)</f>
        <v>7</v>
      </c>
      <c r="AH292" s="10">
        <f>IFERROR(__xludf.DUMMYFUNCTION("""COMPUTED_VALUE"""),2.0)</f>
        <v>2</v>
      </c>
      <c r="AI292" s="10">
        <f>IFERROR(__xludf.DUMMYFUNCTION("""COMPUTED_VALUE"""),6.0)</f>
        <v>6</v>
      </c>
      <c r="AJ292" s="11" t="str">
        <f>IFERROR(__xludf.DUMMYFUNCTION("""COMPUTED_VALUE"""),"https://drive.google.com/open?id=1w_KQjZwrz_zPoIVZHM9H94Ju2E_1PvP1")</f>
        <v>https://drive.google.com/open?id=1w_KQjZwrz_zPoIVZHM9H94Ju2E_1PvP1</v>
      </c>
      <c r="AK292" s="12"/>
      <c r="AL292" s="12" t="str">
        <f>IFERROR(__xludf.DUMMYFUNCTION("""COMPUTED_VALUE"""),"Yes")</f>
        <v>Yes</v>
      </c>
      <c r="AM292" s="15">
        <f>IFERROR(__xludf.DUMMYFUNCTION("""COMPUTED_VALUE"""),0.8)</f>
        <v>0.8</v>
      </c>
      <c r="AN292" s="12" t="str">
        <f>IFERROR(__xludf.DUMMYFUNCTION("""COMPUTED_VALUE"""),"1st week")</f>
        <v>1st week</v>
      </c>
      <c r="AO292" s="13">
        <v>1.0</v>
      </c>
      <c r="AX292" s="17"/>
    </row>
    <row r="293">
      <c r="A293" s="8">
        <v>292.0</v>
      </c>
      <c r="B293" s="9">
        <f>IFERROR(__xludf.DUMMYFUNCTION("""COMPUTED_VALUE"""),45829.282052905095)</f>
        <v>45829.28205</v>
      </c>
      <c r="C293" s="10" t="str">
        <f>IFERROR(__xludf.DUMMYFUNCTION("""COMPUTED_VALUE"""),"Shahid Iqbal")</f>
        <v>Shahid Iqbal</v>
      </c>
      <c r="D293" s="10" t="str">
        <f>IFERROR(__xludf.DUMMYFUNCTION("""COMPUTED_VALUE"""),"03013665049")</f>
        <v>03013665049</v>
      </c>
      <c r="E293" s="10" t="str">
        <f>IFERROR(__xludf.DUMMYFUNCTION("""COMPUTED_VALUE"""),"Jamia Masjid Galah Mandi Bhalwal")</f>
        <v>Jamia Masjid Galah Mandi Bhalwal</v>
      </c>
      <c r="F293" s="10" t="str">
        <f>IFERROR(__xludf.DUMMYFUNCTION("""COMPUTED_VALUE"""),"HHMBL")</f>
        <v>HHMBL</v>
      </c>
      <c r="G293" s="10" t="str">
        <f>IFERROR(__xludf.DUMMYFUNCTION("""COMPUTED_VALUE"""),"Yes")</f>
        <v>Yes</v>
      </c>
      <c r="H293" s="10">
        <f>IFERROR(__xludf.DUMMYFUNCTION("""COMPUTED_VALUE"""),0.0)</f>
        <v>0</v>
      </c>
      <c r="I293" s="10">
        <f>IFERROR(__xludf.DUMMYFUNCTION("""COMPUTED_VALUE"""),9.0)</f>
        <v>9</v>
      </c>
      <c r="J293" s="10">
        <f>IFERROR(__xludf.DUMMYFUNCTION("""COMPUTED_VALUE"""),0.0)</f>
        <v>0</v>
      </c>
      <c r="K293" s="10">
        <f>IFERROR(__xludf.DUMMYFUNCTION("""COMPUTED_VALUE"""),0.0)</f>
        <v>0</v>
      </c>
      <c r="L293" s="10">
        <f>IFERROR(__xludf.DUMMYFUNCTION("""COMPUTED_VALUE"""),1.0)</f>
        <v>1</v>
      </c>
      <c r="M293" s="10">
        <f>IFERROR(__xludf.DUMMYFUNCTION("""COMPUTED_VALUE"""),0.0)</f>
        <v>0</v>
      </c>
      <c r="N293" s="10">
        <f>IFERROR(__xludf.DUMMYFUNCTION("""COMPUTED_VALUE"""),1.0)</f>
        <v>1</v>
      </c>
      <c r="O293" s="10">
        <f>IFERROR(__xludf.DUMMYFUNCTION("""COMPUTED_VALUE"""),0.0)</f>
        <v>0</v>
      </c>
      <c r="P293" s="10">
        <f>IFERROR(__xludf.DUMMYFUNCTION("""COMPUTED_VALUE"""),0.0)</f>
        <v>0</v>
      </c>
      <c r="Q293" s="10" t="str">
        <f>IFERROR(__xludf.DUMMYFUNCTION("""COMPUTED_VALUE"""),"No")</f>
        <v>No</v>
      </c>
      <c r="R293" s="10" t="str">
        <f>IFERROR(__xludf.DUMMYFUNCTION("""COMPUTED_VALUE"""),"No")</f>
        <v>No</v>
      </c>
      <c r="S293" s="10" t="str">
        <f>IFERROR(__xludf.DUMMYFUNCTION("""COMPUTED_VALUE"""),"No")</f>
        <v>No</v>
      </c>
      <c r="T293" s="10">
        <f>IFERROR(__xludf.DUMMYFUNCTION("""COMPUTED_VALUE"""),0.0)</f>
        <v>0</v>
      </c>
      <c r="U293" s="10">
        <f>IFERROR(__xludf.DUMMYFUNCTION("""COMPUTED_VALUE"""),0.0)</f>
        <v>0</v>
      </c>
      <c r="V293" s="10" t="str">
        <f>IFERROR(__xludf.DUMMYFUNCTION("""COMPUTED_VALUE"""),"Seerat Un nabi Saw aur haqooq al Ibad")</f>
        <v>Seerat Un nabi Saw aur haqooq al Ibad</v>
      </c>
      <c r="W293" s="10" t="str">
        <f>IFERROR(__xludf.DUMMYFUNCTION("""COMPUTED_VALUE"""),"Seerat Un nabi Saw aur haqooq al Ibad")</f>
        <v>Seerat Un nabi Saw aur haqooq al Ibad</v>
      </c>
      <c r="X293" s="10">
        <f>IFERROR(__xludf.DUMMYFUNCTION("""COMPUTED_VALUE"""),0.0)</f>
        <v>0</v>
      </c>
      <c r="Y293" s="10">
        <f>IFERROR(__xludf.DUMMYFUNCTION("""COMPUTED_VALUE"""),6.0)</f>
        <v>6</v>
      </c>
      <c r="Z293" s="10">
        <f>IFERROR(__xludf.DUMMYFUNCTION("""COMPUTED_VALUE"""),6.0)</f>
        <v>6</v>
      </c>
      <c r="AA293" s="10">
        <f>IFERROR(__xludf.DUMMYFUNCTION("""COMPUTED_VALUE"""),0.0)</f>
        <v>0</v>
      </c>
      <c r="AB293" s="10">
        <f>IFERROR(__xludf.DUMMYFUNCTION("""COMPUTED_VALUE"""),0.0)</f>
        <v>0</v>
      </c>
      <c r="AC293" s="10">
        <f>IFERROR(__xludf.DUMMYFUNCTION("""COMPUTED_VALUE"""),0.0)</f>
        <v>0</v>
      </c>
      <c r="AD293" s="10">
        <f>IFERROR(__xludf.DUMMYFUNCTION("""COMPUTED_VALUE"""),0.0)</f>
        <v>0</v>
      </c>
      <c r="AE293" s="10">
        <f>IFERROR(__xludf.DUMMYFUNCTION("""COMPUTED_VALUE"""),0.0)</f>
        <v>0</v>
      </c>
      <c r="AF293" s="10">
        <f>IFERROR(__xludf.DUMMYFUNCTION("""COMPUTED_VALUE"""),0.0)</f>
        <v>0</v>
      </c>
      <c r="AG293" s="10">
        <f>IFERROR(__xludf.DUMMYFUNCTION("""COMPUTED_VALUE"""),9.0)</f>
        <v>9</v>
      </c>
      <c r="AH293" s="10">
        <f>IFERROR(__xludf.DUMMYFUNCTION("""COMPUTED_VALUE"""),2.0)</f>
        <v>2</v>
      </c>
      <c r="AI293" s="10">
        <f>IFERROR(__xludf.DUMMYFUNCTION("""COMPUTED_VALUE"""),8.0)</f>
        <v>8</v>
      </c>
      <c r="AJ293" s="11" t="str">
        <f>IFERROR(__xludf.DUMMYFUNCTION("""COMPUTED_VALUE"""),"https://drive.google.com/open?id=1CZGcuDZuGXdQeF4X5iu8gF0nZK79rUKx")</f>
        <v>https://drive.google.com/open?id=1CZGcuDZuGXdQeF4X5iu8gF0nZK79rUKx</v>
      </c>
      <c r="AK293" s="12"/>
      <c r="AL293" s="12" t="str">
        <f>IFERROR(__xludf.DUMMYFUNCTION("""COMPUTED_VALUE"""),"Yes")</f>
        <v>Yes</v>
      </c>
      <c r="AM293" s="15">
        <f>IFERROR(__xludf.DUMMYFUNCTION("""COMPUTED_VALUE"""),0.0)</f>
        <v>0</v>
      </c>
      <c r="AN293" s="12" t="str">
        <f>IFERROR(__xludf.DUMMYFUNCTION("""COMPUTED_VALUE"""),"1st week")</f>
        <v>1st week</v>
      </c>
      <c r="AO293" s="13">
        <v>1.0</v>
      </c>
      <c r="AX293" s="17"/>
    </row>
    <row r="294">
      <c r="A294" s="8">
        <v>293.0</v>
      </c>
      <c r="B294" s="9">
        <f>IFERROR(__xludf.DUMMYFUNCTION("""COMPUTED_VALUE"""),45829.29468894676)</f>
        <v>45829.29469</v>
      </c>
      <c r="C294" s="10" t="str">
        <f>IFERROR(__xludf.DUMMYFUNCTION("""COMPUTED_VALUE"""),"Shahid Iqbal")</f>
        <v>Shahid Iqbal</v>
      </c>
      <c r="D294" s="10" t="str">
        <f>IFERROR(__xludf.DUMMYFUNCTION("""COMPUTED_VALUE"""),"03013665049")</f>
        <v>03013665049</v>
      </c>
      <c r="E294" s="10" t="str">
        <f>IFERROR(__xludf.DUMMYFUNCTION("""COMPUTED_VALUE"""),"Jamia Masjid Molvi Muhammd Hussain Urdu Bazar")</f>
        <v>Jamia Masjid Molvi Muhammd Hussain Urdu Bazar</v>
      </c>
      <c r="F294" s="10" t="str">
        <f>IFERROR(__xludf.DUMMYFUNCTION("""COMPUTED_VALUE"""),"CCXYI")</f>
        <v>CCXYI</v>
      </c>
      <c r="G294" s="10" t="str">
        <f>IFERROR(__xludf.DUMMYFUNCTION("""COMPUTED_VALUE"""),"Yes")</f>
        <v>Yes</v>
      </c>
      <c r="H294" s="10">
        <f>IFERROR(__xludf.DUMMYFUNCTION("""COMPUTED_VALUE"""),0.0)</f>
        <v>0</v>
      </c>
      <c r="I294" s="10">
        <f>IFERROR(__xludf.DUMMYFUNCTION("""COMPUTED_VALUE"""),8.0)</f>
        <v>8</v>
      </c>
      <c r="J294" s="10">
        <f>IFERROR(__xludf.DUMMYFUNCTION("""COMPUTED_VALUE"""),0.0)</f>
        <v>0</v>
      </c>
      <c r="K294" s="10">
        <f>IFERROR(__xludf.DUMMYFUNCTION("""COMPUTED_VALUE"""),0.0)</f>
        <v>0</v>
      </c>
      <c r="L294" s="10">
        <f>IFERROR(__xludf.DUMMYFUNCTION("""COMPUTED_VALUE"""),0.0)</f>
        <v>0</v>
      </c>
      <c r="M294" s="10">
        <f>IFERROR(__xludf.DUMMYFUNCTION("""COMPUTED_VALUE"""),0.0)</f>
        <v>0</v>
      </c>
      <c r="N294" s="10">
        <f>IFERROR(__xludf.DUMMYFUNCTION("""COMPUTED_VALUE"""),0.0)</f>
        <v>0</v>
      </c>
      <c r="O294" s="10">
        <f>IFERROR(__xludf.DUMMYFUNCTION("""COMPUTED_VALUE"""),0.0)</f>
        <v>0</v>
      </c>
      <c r="P294" s="10">
        <f>IFERROR(__xludf.DUMMYFUNCTION("""COMPUTED_VALUE"""),0.0)</f>
        <v>0</v>
      </c>
      <c r="Q294" s="10" t="str">
        <f>IFERROR(__xludf.DUMMYFUNCTION("""COMPUTED_VALUE"""),"No")</f>
        <v>No</v>
      </c>
      <c r="R294" s="10" t="str">
        <f>IFERROR(__xludf.DUMMYFUNCTION("""COMPUTED_VALUE"""),"No")</f>
        <v>No</v>
      </c>
      <c r="S294" s="10" t="str">
        <f>IFERROR(__xludf.DUMMYFUNCTION("""COMPUTED_VALUE"""),"No")</f>
        <v>No</v>
      </c>
      <c r="T294" s="10">
        <f>IFERROR(__xludf.DUMMYFUNCTION("""COMPUTED_VALUE"""),0.0)</f>
        <v>0</v>
      </c>
      <c r="U294" s="10">
        <f>IFERROR(__xludf.DUMMYFUNCTION("""COMPUTED_VALUE"""),0.0)</f>
        <v>0</v>
      </c>
      <c r="V294" s="10" t="str">
        <f>IFERROR(__xludf.DUMMYFUNCTION("""COMPUTED_VALUE"""),"Gareebon aur akhrat k bary ma bt ki")</f>
        <v>Gareebon aur akhrat k bary ma bt ki</v>
      </c>
      <c r="W294" s="10" t="str">
        <f>IFERROR(__xludf.DUMMYFUNCTION("""COMPUTED_VALUE"""),"Gareebon aur akhrat k bary ma bt ki")</f>
        <v>Gareebon aur akhrat k bary ma bt ki</v>
      </c>
      <c r="X294" s="10">
        <f>IFERROR(__xludf.DUMMYFUNCTION("""COMPUTED_VALUE"""),4.0)</f>
        <v>4</v>
      </c>
      <c r="Y294" s="10">
        <f>IFERROR(__xludf.DUMMYFUNCTION("""COMPUTED_VALUE"""),6.0)</f>
        <v>6</v>
      </c>
      <c r="Z294" s="10">
        <f>IFERROR(__xludf.DUMMYFUNCTION("""COMPUTED_VALUE"""),3.0)</f>
        <v>3</v>
      </c>
      <c r="AA294" s="10">
        <f>IFERROR(__xludf.DUMMYFUNCTION("""COMPUTED_VALUE"""),4.0)</f>
        <v>4</v>
      </c>
      <c r="AB294" s="10">
        <f>IFERROR(__xludf.DUMMYFUNCTION("""COMPUTED_VALUE"""),5.0)</f>
        <v>5</v>
      </c>
      <c r="AC294" s="10">
        <f>IFERROR(__xludf.DUMMYFUNCTION("""COMPUTED_VALUE"""),0.0)</f>
        <v>0</v>
      </c>
      <c r="AD294" s="10">
        <f>IFERROR(__xludf.DUMMYFUNCTION("""COMPUTED_VALUE"""),0.0)</f>
        <v>0</v>
      </c>
      <c r="AE294" s="10">
        <f>IFERROR(__xludf.DUMMYFUNCTION("""COMPUTED_VALUE"""),0.0)</f>
        <v>0</v>
      </c>
      <c r="AF294" s="10">
        <f>IFERROR(__xludf.DUMMYFUNCTION("""COMPUTED_VALUE"""),1.0)</f>
        <v>1</v>
      </c>
      <c r="AG294" s="10">
        <f>IFERROR(__xludf.DUMMYFUNCTION("""COMPUTED_VALUE"""),7.0)</f>
        <v>7</v>
      </c>
      <c r="AH294" s="10">
        <f>IFERROR(__xludf.DUMMYFUNCTION("""COMPUTED_VALUE"""),0.0)</f>
        <v>0</v>
      </c>
      <c r="AI294" s="10">
        <f>IFERROR(__xludf.DUMMYFUNCTION("""COMPUTED_VALUE"""),8.0)</f>
        <v>8</v>
      </c>
      <c r="AJ294" s="11" t="str">
        <f>IFERROR(__xludf.DUMMYFUNCTION("""COMPUTED_VALUE"""),"https://drive.google.com/open?id=1mU-CITH0w9PJuUSshQvwtV0iKCN1XyO6")</f>
        <v>https://drive.google.com/open?id=1mU-CITH0w9PJuUSshQvwtV0iKCN1XyO6</v>
      </c>
      <c r="AK294" s="12"/>
      <c r="AL294" s="12" t="str">
        <f>IFERROR(__xludf.DUMMYFUNCTION("""COMPUTED_VALUE"""),"Yes")</f>
        <v>Yes</v>
      </c>
      <c r="AM294" s="15">
        <f>IFERROR(__xludf.DUMMYFUNCTION("""COMPUTED_VALUE"""),0.0)</f>
        <v>0</v>
      </c>
      <c r="AN294" s="12" t="str">
        <f>IFERROR(__xludf.DUMMYFUNCTION("""COMPUTED_VALUE"""),"1st week")</f>
        <v>1st week</v>
      </c>
      <c r="AO294" s="13">
        <v>1.0</v>
      </c>
      <c r="AX294" s="17"/>
    </row>
    <row r="295">
      <c r="A295" s="8">
        <v>294.0</v>
      </c>
      <c r="B295" s="9">
        <f>IFERROR(__xludf.DUMMYFUNCTION("""COMPUTED_VALUE"""),45829.31039903935)</f>
        <v>45829.3104</v>
      </c>
      <c r="C295" s="10" t="str">
        <f>IFERROR(__xludf.DUMMYFUNCTION("""COMPUTED_VALUE"""),"Asim munir")</f>
        <v>Asim munir</v>
      </c>
      <c r="D295" s="10" t="str">
        <f>IFERROR(__xludf.DUMMYFUNCTION("""COMPUTED_VALUE"""),"03005787199")</f>
        <v>03005787199</v>
      </c>
      <c r="E295" s="10" t="str">
        <f>IFERROR(__xludf.DUMMYFUNCTION("""COMPUTED_VALUE"""),"Jamia Masjid Muslim Luhari Gate Lahore")</f>
        <v>Jamia Masjid Muslim Luhari Gate Lahore</v>
      </c>
      <c r="F295" s="10" t="str">
        <f>IFERROR(__xludf.DUMMYFUNCTION("""COMPUTED_VALUE"""),"zqlfc")</f>
        <v>zqlfc</v>
      </c>
      <c r="G295" s="10" t="str">
        <f>IFERROR(__xludf.DUMMYFUNCTION("""COMPUTED_VALUE"""),"No")</f>
        <v>No</v>
      </c>
      <c r="H295" s="10"/>
      <c r="I295" s="10"/>
      <c r="J295" s="10"/>
      <c r="K295" s="10">
        <f>IFERROR(__xludf.DUMMYFUNCTION("""COMPUTED_VALUE"""),0.0)</f>
        <v>0</v>
      </c>
      <c r="L295" s="10">
        <f>IFERROR(__xludf.DUMMYFUNCTION("""COMPUTED_VALUE"""),0.0)</f>
        <v>0</v>
      </c>
      <c r="M295" s="10">
        <f>IFERROR(__xludf.DUMMYFUNCTION("""COMPUTED_VALUE"""),0.0)</f>
        <v>0</v>
      </c>
      <c r="N295" s="10">
        <f>IFERROR(__xludf.DUMMYFUNCTION("""COMPUTED_VALUE"""),0.0)</f>
        <v>0</v>
      </c>
      <c r="O295" s="10">
        <f>IFERROR(__xludf.DUMMYFUNCTION("""COMPUTED_VALUE"""),0.0)</f>
        <v>0</v>
      </c>
      <c r="P295" s="10">
        <f>IFERROR(__xludf.DUMMYFUNCTION("""COMPUTED_VALUE"""),0.0)</f>
        <v>0</v>
      </c>
      <c r="Q295" s="10" t="str">
        <f>IFERROR(__xludf.DUMMYFUNCTION("""COMPUTED_VALUE"""),"No")</f>
        <v>No</v>
      </c>
      <c r="R295" s="10" t="str">
        <f>IFERROR(__xludf.DUMMYFUNCTION("""COMPUTED_VALUE"""),"No")</f>
        <v>No</v>
      </c>
      <c r="S295" s="10" t="str">
        <f>IFERROR(__xludf.DUMMYFUNCTION("""COMPUTED_VALUE"""),"No")</f>
        <v>No</v>
      </c>
      <c r="T295" s="10">
        <f>IFERROR(__xludf.DUMMYFUNCTION("""COMPUTED_VALUE"""),0.0)</f>
        <v>0</v>
      </c>
      <c r="U295" s="10">
        <f>IFERROR(__xludf.DUMMYFUNCTION("""COMPUTED_VALUE"""),0.0)</f>
        <v>0</v>
      </c>
      <c r="V295" s="10" t="str">
        <f>IFERROR(__xludf.DUMMYFUNCTION("""COMPUTED_VALUE"""),"Hajj r eid Uladha")</f>
        <v>Hajj r eid Uladha</v>
      </c>
      <c r="W295" s="10" t="str">
        <f>IFERROR(__xludf.DUMMYFUNCTION("""COMPUTED_VALUE"""),"Hajj and qurbani ki eid")</f>
        <v>Hajj and qurbani ki eid</v>
      </c>
      <c r="X295" s="10">
        <f>IFERROR(__xludf.DUMMYFUNCTION("""COMPUTED_VALUE"""),7.0)</f>
        <v>7</v>
      </c>
      <c r="Y295" s="10">
        <f>IFERROR(__xludf.DUMMYFUNCTION("""COMPUTED_VALUE"""),5.0)</f>
        <v>5</v>
      </c>
      <c r="Z295" s="10">
        <f>IFERROR(__xludf.DUMMYFUNCTION("""COMPUTED_VALUE"""),5.0)</f>
        <v>5</v>
      </c>
      <c r="AA295" s="10">
        <f>IFERROR(__xludf.DUMMYFUNCTION("""COMPUTED_VALUE"""),5.0)</f>
        <v>5</v>
      </c>
      <c r="AB295" s="10">
        <f>IFERROR(__xludf.DUMMYFUNCTION("""COMPUTED_VALUE"""),5.0)</f>
        <v>5</v>
      </c>
      <c r="AC295" s="10">
        <f>IFERROR(__xludf.DUMMYFUNCTION("""COMPUTED_VALUE"""),3.0)</f>
        <v>3</v>
      </c>
      <c r="AD295" s="10">
        <f>IFERROR(__xludf.DUMMYFUNCTION("""COMPUTED_VALUE"""),4.0)</f>
        <v>4</v>
      </c>
      <c r="AE295" s="10">
        <f>IFERROR(__xludf.DUMMYFUNCTION("""COMPUTED_VALUE"""),2.0)</f>
        <v>2</v>
      </c>
      <c r="AF295" s="10">
        <f>IFERROR(__xludf.DUMMYFUNCTION("""COMPUTED_VALUE"""),1.0)</f>
        <v>1</v>
      </c>
      <c r="AG295" s="10">
        <f>IFERROR(__xludf.DUMMYFUNCTION("""COMPUTED_VALUE"""),8.0)</f>
        <v>8</v>
      </c>
      <c r="AH295" s="10">
        <f>IFERROR(__xludf.DUMMYFUNCTION("""COMPUTED_VALUE"""),1.0)</f>
        <v>1</v>
      </c>
      <c r="AI295" s="10">
        <f>IFERROR(__xludf.DUMMYFUNCTION("""COMPUTED_VALUE"""),9.0)</f>
        <v>9</v>
      </c>
      <c r="AJ295" s="11" t="str">
        <f>IFERROR(__xludf.DUMMYFUNCTION("""COMPUTED_VALUE"""),"https://drive.google.com/open?id=1NHodf9jf5qc_ZV4V0yalreH0bxVd8cye")</f>
        <v>https://drive.google.com/open?id=1NHodf9jf5qc_ZV4V0yalreH0bxVd8cye</v>
      </c>
      <c r="AK295" s="12"/>
      <c r="AL295" s="12"/>
      <c r="AM295" s="12"/>
      <c r="AN295" s="12" t="str">
        <f>IFERROR(__xludf.DUMMYFUNCTION("""COMPUTED_VALUE"""),"3rd week")</f>
        <v>3rd week</v>
      </c>
      <c r="AO295" s="13">
        <v>3.0</v>
      </c>
      <c r="AX295" s="17"/>
    </row>
    <row r="296">
      <c r="A296" s="8">
        <v>295.0</v>
      </c>
      <c r="B296" s="9">
        <f>IFERROR(__xludf.DUMMYFUNCTION("""COMPUTED_VALUE"""),45829.348588402776)</f>
        <v>45829.34859</v>
      </c>
      <c r="C296" s="10" t="str">
        <f>IFERROR(__xludf.DUMMYFUNCTION("""COMPUTED_VALUE"""),"Sumaia Hayat ")</f>
        <v>Sumaia Hayat </v>
      </c>
      <c r="D296" s="10" t="str">
        <f>IFERROR(__xludf.DUMMYFUNCTION("""COMPUTED_VALUE"""),"03260671819")</f>
        <v>03260671819</v>
      </c>
      <c r="E296" s="10" t="str">
        <f>IFERROR(__xludf.DUMMYFUNCTION("""COMPUTED_VALUE"""),"Jamia Masjid Ale Sunnat Main Bazar Malakwaal")</f>
        <v>Jamia Masjid Ale Sunnat Main Bazar Malakwaal</v>
      </c>
      <c r="F296" s="10" t="str">
        <f>IFERROR(__xludf.DUMMYFUNCTION("""COMPUTED_VALUE"""),"ZMBIV")</f>
        <v>ZMBIV</v>
      </c>
      <c r="G296" s="10" t="str">
        <f>IFERROR(__xludf.DUMMYFUNCTION("""COMPUTED_VALUE"""),"No")</f>
        <v>No</v>
      </c>
      <c r="H296" s="10"/>
      <c r="I296" s="10"/>
      <c r="J296" s="10"/>
      <c r="K296" s="10">
        <f>IFERROR(__xludf.DUMMYFUNCTION("""COMPUTED_VALUE"""),1.0)</f>
        <v>1</v>
      </c>
      <c r="L296" s="10">
        <f>IFERROR(__xludf.DUMMYFUNCTION("""COMPUTED_VALUE"""),9.0)</f>
        <v>9</v>
      </c>
      <c r="M296" s="10">
        <f>IFERROR(__xludf.DUMMYFUNCTION("""COMPUTED_VALUE"""),1.0)</f>
        <v>1</v>
      </c>
      <c r="N296" s="10">
        <f>IFERROR(__xludf.DUMMYFUNCTION("""COMPUTED_VALUE"""),10.0)</f>
        <v>10</v>
      </c>
      <c r="O296" s="10">
        <f>IFERROR(__xludf.DUMMYFUNCTION("""COMPUTED_VALUE"""),0.0)</f>
        <v>0</v>
      </c>
      <c r="P296" s="10">
        <f>IFERROR(__xludf.DUMMYFUNCTION("""COMPUTED_VALUE"""),5.0)</f>
        <v>5</v>
      </c>
      <c r="Q296" s="10" t="str">
        <f>IFERROR(__xludf.DUMMYFUNCTION("""COMPUTED_VALUE"""),"No")</f>
        <v>No</v>
      </c>
      <c r="R296" s="10" t="str">
        <f>IFERROR(__xludf.DUMMYFUNCTION("""COMPUTED_VALUE"""),"No")</f>
        <v>No</v>
      </c>
      <c r="S296" s="10" t="str">
        <f>IFERROR(__xludf.DUMMYFUNCTION("""COMPUTED_VALUE"""),"No")</f>
        <v>No</v>
      </c>
      <c r="T296" s="10">
        <f>IFERROR(__xludf.DUMMYFUNCTION("""COMPUTED_VALUE"""),0.0)</f>
        <v>0</v>
      </c>
      <c r="U296" s="10">
        <f>IFERROR(__xludf.DUMMYFUNCTION("""COMPUTED_VALUE"""),0.0)</f>
        <v>0</v>
      </c>
      <c r="V296" s="10" t="str">
        <f>IFERROR(__xludf.DUMMYFUNCTION("""COMPUTED_VALUE"""),"نماز کی روحانیت، اخلاص، اخلاق، پڑوسیوں کے حقوق، اور معاشرتی رویے۔
")</f>
        <v>نماز کی روحانیت، اخلاص، اخلاق، پڑوسیوں کے حقوق، اور معاشرتی رویے۔
</v>
      </c>
      <c r="W296" s="10" t="str">
        <f>IFERROR(__xludf.DUMMYFUNCTION("""COMPUTED_VALUE"""),"نماز صرف ظاہری عمل نہیں بلکہ دل کی حاضری اور خلوص سے ادا کی جانے والی عبادت ہے، جو انسان کو برے کاموں سے روکتی ہے۔
ساتھ ہی امام نے اخلاق، پڑوسیوں کے حقوق، اور معاشرتی برداشت کی اہمیت پر زور دیا۔")</f>
        <v>نماز صرف ظاہری عمل نہیں بلکہ دل کی حاضری اور خلوص سے ادا کی جانے والی عبادت ہے، جو انسان کو برے کاموں سے روکتی ہے۔
ساتھ ہی امام نے اخلاق، پڑوسیوں کے حقوق، اور معاشرتی برداشت کی اہمیت پر زور دیا۔</v>
      </c>
      <c r="X296" s="10">
        <f>IFERROR(__xludf.DUMMYFUNCTION("""COMPUTED_VALUE"""),8.0)</f>
        <v>8</v>
      </c>
      <c r="Y296" s="10">
        <f>IFERROR(__xludf.DUMMYFUNCTION("""COMPUTED_VALUE"""),9.0)</f>
        <v>9</v>
      </c>
      <c r="Z296" s="10">
        <f>IFERROR(__xludf.DUMMYFUNCTION("""COMPUTED_VALUE"""),8.0)</f>
        <v>8</v>
      </c>
      <c r="AA296" s="10">
        <f>IFERROR(__xludf.DUMMYFUNCTION("""COMPUTED_VALUE"""),9.0)</f>
        <v>9</v>
      </c>
      <c r="AB296" s="10">
        <f>IFERROR(__xludf.DUMMYFUNCTION("""COMPUTED_VALUE"""),1.0)</f>
        <v>1</v>
      </c>
      <c r="AC296" s="10">
        <f>IFERROR(__xludf.DUMMYFUNCTION("""COMPUTED_VALUE"""),0.0)</f>
        <v>0</v>
      </c>
      <c r="AD296" s="10">
        <f>IFERROR(__xludf.DUMMYFUNCTION("""COMPUTED_VALUE"""),2.0)</f>
        <v>2</v>
      </c>
      <c r="AE296" s="10">
        <f>IFERROR(__xludf.DUMMYFUNCTION("""COMPUTED_VALUE"""),0.0)</f>
        <v>0</v>
      </c>
      <c r="AF296" s="10">
        <f>IFERROR(__xludf.DUMMYFUNCTION("""COMPUTED_VALUE"""),7.0)</f>
        <v>7</v>
      </c>
      <c r="AG296" s="10">
        <f>IFERROR(__xludf.DUMMYFUNCTION("""COMPUTED_VALUE"""),8.0)</f>
        <v>8</v>
      </c>
      <c r="AH296" s="10">
        <f>IFERROR(__xludf.DUMMYFUNCTION("""COMPUTED_VALUE"""),0.0)</f>
        <v>0</v>
      </c>
      <c r="AI296" s="10">
        <f>IFERROR(__xludf.DUMMYFUNCTION("""COMPUTED_VALUE"""),8.0)</f>
        <v>8</v>
      </c>
      <c r="AJ296" s="11" t="str">
        <f>IFERROR(__xludf.DUMMYFUNCTION("""COMPUTED_VALUE"""),"https://drive.google.com/open?id=1dYPUl77fZ1dwpBogNHIXx1WjodrONzFR")</f>
        <v>https://drive.google.com/open?id=1dYPUl77fZ1dwpBogNHIXx1WjodrONzFR</v>
      </c>
      <c r="AK296" s="12" t="str">
        <f>IFERROR(__xludf.DUMMYFUNCTION("""COMPUTED_VALUE"""),"بیان عمدہ اور دینی جذبے سے لبریز تھا، مگر خواتین، نوجوانوں، اور جدید سماجی مسائل جیسے تعلیم، روزگار، یا ماحولیاتی ذمہ داریوں پر بھی کچھ روشنی ڈالنا مفید ہو سکتا تھا۔")</f>
        <v>بیان عمدہ اور دینی جذبے سے لبریز تھا، مگر خواتین، نوجوانوں، اور جدید سماجی مسائل جیسے تعلیم، روزگار، یا ماحولیاتی ذمہ داریوں پر بھی کچھ روشنی ڈالنا مفید ہو سکتا تھا۔</v>
      </c>
      <c r="AL296" s="12"/>
      <c r="AM296" s="12"/>
      <c r="AN296" s="12" t="str">
        <f>IFERROR(__xludf.DUMMYFUNCTION("""COMPUTED_VALUE"""),"2nd week")</f>
        <v>2nd week</v>
      </c>
      <c r="AO296" s="13" t="s">
        <v>8</v>
      </c>
      <c r="AX296" s="17"/>
    </row>
    <row r="297">
      <c r="A297" s="8">
        <v>296.0</v>
      </c>
      <c r="B297" s="9">
        <f>IFERROR(__xludf.DUMMYFUNCTION("""COMPUTED_VALUE"""),45830.18834597222)</f>
        <v>45830.18835</v>
      </c>
      <c r="C297" s="10" t="str">
        <f>IFERROR(__xludf.DUMMYFUNCTION("""COMPUTED_VALUE"""),"Arti Kumari ")</f>
        <v>Arti Kumari </v>
      </c>
      <c r="D297" s="10" t="str">
        <f>IFERROR(__xludf.DUMMYFUNCTION("""COMPUTED_VALUE"""),"03346661865")</f>
        <v>03346661865</v>
      </c>
      <c r="E297" s="10" t="str">
        <f>IFERROR(__xludf.DUMMYFUNCTION("""COMPUTED_VALUE"""),"Jamia Masjid Madina Purani Anarkali Lahore")</f>
        <v>Jamia Masjid Madina Purani Anarkali Lahore</v>
      </c>
      <c r="F297" s="10" t="str">
        <f>IFERROR(__xludf.DUMMYFUNCTION("""COMPUTED_VALUE"""),"bpozt")</f>
        <v>bpozt</v>
      </c>
      <c r="G297" s="10" t="str">
        <f>IFERROR(__xludf.DUMMYFUNCTION("""COMPUTED_VALUE"""),"Yes")</f>
        <v>Yes</v>
      </c>
      <c r="H297" s="10">
        <f>IFERROR(__xludf.DUMMYFUNCTION("""COMPUTED_VALUE"""),0.0)</f>
        <v>0</v>
      </c>
      <c r="I297" s="10">
        <f>IFERROR(__xludf.DUMMYFUNCTION("""COMPUTED_VALUE"""),0.0)</f>
        <v>0</v>
      </c>
      <c r="J297" s="10">
        <f>IFERROR(__xludf.DUMMYFUNCTION("""COMPUTED_VALUE"""),0.0)</f>
        <v>0</v>
      </c>
      <c r="K297" s="10">
        <f>IFERROR(__xludf.DUMMYFUNCTION("""COMPUTED_VALUE"""),0.0)</f>
        <v>0</v>
      </c>
      <c r="L297" s="10">
        <f>IFERROR(__xludf.DUMMYFUNCTION("""COMPUTED_VALUE"""),0.0)</f>
        <v>0</v>
      </c>
      <c r="M297" s="10">
        <f>IFERROR(__xludf.DUMMYFUNCTION("""COMPUTED_VALUE"""),5.0)</f>
        <v>5</v>
      </c>
      <c r="N297" s="10">
        <f>IFERROR(__xludf.DUMMYFUNCTION("""COMPUTED_VALUE"""),0.0)</f>
        <v>0</v>
      </c>
      <c r="O297" s="10">
        <f>IFERROR(__xludf.DUMMYFUNCTION("""COMPUTED_VALUE"""),0.0)</f>
        <v>0</v>
      </c>
      <c r="P297" s="10">
        <f>IFERROR(__xludf.DUMMYFUNCTION("""COMPUTED_VALUE"""),0.0)</f>
        <v>0</v>
      </c>
      <c r="Q297" s="10" t="str">
        <f>IFERROR(__xludf.DUMMYFUNCTION("""COMPUTED_VALUE"""),"No")</f>
        <v>No</v>
      </c>
      <c r="R297" s="10" t="str">
        <f>IFERROR(__xludf.DUMMYFUNCTION("""COMPUTED_VALUE"""),"No")</f>
        <v>No</v>
      </c>
      <c r="S297" s="10" t="str">
        <f>IFERROR(__xludf.DUMMYFUNCTION("""COMPUTED_VALUE"""),"Yes")</f>
        <v>Yes</v>
      </c>
      <c r="T297" s="10">
        <f>IFERROR(__xludf.DUMMYFUNCTION("""COMPUTED_VALUE"""),0.0)</f>
        <v>0</v>
      </c>
      <c r="U297" s="10">
        <f>IFERROR(__xludf.DUMMYFUNCTION("""COMPUTED_VALUE"""),0.0)</f>
        <v>0</v>
      </c>
      <c r="V297" s="10" t="str">
        <f>IFERROR(__xludf.DUMMYFUNCTION("""COMPUTED_VALUE"""),"اسلام میں حیا اور پردے کی اہمیت")</f>
        <v>اسلام میں حیا اور پردے کی اہمیت</v>
      </c>
      <c r="W297" s="10" t="str">
        <f>IFERROR(__xludf.DUMMYFUNCTION("""COMPUTED_VALUE"""),"امام نے اسلام میاں حیا اور پردے پر بہت زور دیا ہے نہ صرف عورتوں کو بلکہ مردوں کو بھی حیا کا حکم ہے۔ اجکل جو معاشرے میں فحاشی پھیل رہی ہے اس پر والدین کو ترغیب دی ہے ہے کہ اولاد کی صحیح طرح تربیت کریں اور سب سے پہلے اپنے گھروں بیویوں اور بیٹیوں سے شروع کری"&amp;"ں۔")</f>
        <v>امام نے اسلام میاں حیا اور پردے پر بہت زور دیا ہے نہ صرف عورتوں کو بلکہ مردوں کو بھی حیا کا حکم ہے۔ اجکل جو معاشرے میں فحاشی پھیل رہی ہے اس پر والدین کو ترغیب دی ہے ہے کہ اولاد کی صحیح طرح تربیت کریں اور سب سے پہلے اپنے گھروں بیویوں اور بیٹیوں سے شروع کریں۔</v>
      </c>
      <c r="X297" s="10">
        <f>IFERROR(__xludf.DUMMYFUNCTION("""COMPUTED_VALUE"""),0.0)</f>
        <v>0</v>
      </c>
      <c r="Y297" s="10">
        <f>IFERROR(__xludf.DUMMYFUNCTION("""COMPUTED_VALUE"""),0.0)</f>
        <v>0</v>
      </c>
      <c r="Z297" s="10">
        <f>IFERROR(__xludf.DUMMYFUNCTION("""COMPUTED_VALUE"""),7.0)</f>
        <v>7</v>
      </c>
      <c r="AA297" s="10">
        <f>IFERROR(__xludf.DUMMYFUNCTION("""COMPUTED_VALUE"""),10.0)</f>
        <v>10</v>
      </c>
      <c r="AB297" s="10">
        <f>IFERROR(__xludf.DUMMYFUNCTION("""COMPUTED_VALUE"""),8.0)</f>
        <v>8</v>
      </c>
      <c r="AC297" s="10">
        <f>IFERROR(__xludf.DUMMYFUNCTION("""COMPUTED_VALUE"""),4.0)</f>
        <v>4</v>
      </c>
      <c r="AD297" s="10">
        <f>IFERROR(__xludf.DUMMYFUNCTION("""COMPUTED_VALUE"""),0.0)</f>
        <v>0</v>
      </c>
      <c r="AE297" s="10">
        <f>IFERROR(__xludf.DUMMYFUNCTION("""COMPUTED_VALUE"""),5.0)</f>
        <v>5</v>
      </c>
      <c r="AF297" s="10">
        <f>IFERROR(__xludf.DUMMYFUNCTION("""COMPUTED_VALUE"""),0.0)</f>
        <v>0</v>
      </c>
      <c r="AG297" s="10">
        <f>IFERROR(__xludf.DUMMYFUNCTION("""COMPUTED_VALUE"""),10.0)</f>
        <v>10</v>
      </c>
      <c r="AH297" s="10">
        <f>IFERROR(__xludf.DUMMYFUNCTION("""COMPUTED_VALUE"""),0.0)</f>
        <v>0</v>
      </c>
      <c r="AI297" s="10">
        <f>IFERROR(__xludf.DUMMYFUNCTION("""COMPUTED_VALUE"""),10.0)</f>
        <v>10</v>
      </c>
      <c r="AJ297" s="11" t="str">
        <f>IFERROR(__xludf.DUMMYFUNCTION("""COMPUTED_VALUE"""),"https://drive.google.com/open?id=1jLDIMt3OlETNQ2yBJvULkkgqiuZzEpTA")</f>
        <v>https://drive.google.com/open?id=1jLDIMt3OlETNQ2yBJvULkkgqiuZzEpTA</v>
      </c>
      <c r="AK297" s="12"/>
      <c r="AL297" s="12" t="str">
        <f>IFERROR(__xludf.DUMMYFUNCTION("""COMPUTED_VALUE"""),"Yes")</f>
        <v>Yes</v>
      </c>
      <c r="AM297" s="15">
        <f>IFERROR(__xludf.DUMMYFUNCTION("""COMPUTED_VALUE"""),0.0)</f>
        <v>0</v>
      </c>
      <c r="AN297" s="12" t="str">
        <f>IFERROR(__xludf.DUMMYFUNCTION("""COMPUTED_VALUE"""),"3rd week")</f>
        <v>3rd week</v>
      </c>
      <c r="AO297" s="13">
        <v>3.0</v>
      </c>
      <c r="AX297" s="17"/>
    </row>
    <row r="298">
      <c r="A298" s="8">
        <v>297.0</v>
      </c>
      <c r="B298" s="9">
        <f>IFERROR(__xludf.DUMMYFUNCTION("""COMPUTED_VALUE"""),45830.237466527775)</f>
        <v>45830.23747</v>
      </c>
      <c r="C298" s="10" t="str">
        <f>IFERROR(__xludf.DUMMYFUNCTION("""COMPUTED_VALUE"""),"Muhammad Haris ")</f>
        <v>Muhammad Haris </v>
      </c>
      <c r="D298" s="10" t="str">
        <f>IFERROR(__xludf.DUMMYFUNCTION("""COMPUTED_VALUE"""),"03204565224")</f>
        <v>03204565224</v>
      </c>
      <c r="E298" s="10" t="str">
        <f>IFERROR(__xludf.DUMMYFUNCTION("""COMPUTED_VALUE"""),"Jamia Masjid Chila gah amal pura ")</f>
        <v>Jamia Masjid Chila gah amal pura </v>
      </c>
      <c r="F298" s="10" t="str">
        <f>IFERROR(__xludf.DUMMYFUNCTION("""COMPUTED_VALUE"""),"OIUJI")</f>
        <v>OIUJI</v>
      </c>
      <c r="G298" s="10" t="str">
        <f>IFERROR(__xludf.DUMMYFUNCTION("""COMPUTED_VALUE"""),"Yes")</f>
        <v>Yes</v>
      </c>
      <c r="H298" s="10">
        <f>IFERROR(__xludf.DUMMYFUNCTION("""COMPUTED_VALUE"""),7.0)</f>
        <v>7</v>
      </c>
      <c r="I298" s="10">
        <f>IFERROR(__xludf.DUMMYFUNCTION("""COMPUTED_VALUE"""),3.0)</f>
        <v>3</v>
      </c>
      <c r="J298" s="10">
        <f>IFERROR(__xludf.DUMMYFUNCTION("""COMPUTED_VALUE"""),7.0)</f>
        <v>7</v>
      </c>
      <c r="K298" s="10">
        <f>IFERROR(__xludf.DUMMYFUNCTION("""COMPUTED_VALUE"""),0.0)</f>
        <v>0</v>
      </c>
      <c r="L298" s="10">
        <f>IFERROR(__xludf.DUMMYFUNCTION("""COMPUTED_VALUE"""),7.0)</f>
        <v>7</v>
      </c>
      <c r="M298" s="10">
        <f>IFERROR(__xludf.DUMMYFUNCTION("""COMPUTED_VALUE"""),0.0)</f>
        <v>0</v>
      </c>
      <c r="N298" s="10">
        <f>IFERROR(__xludf.DUMMYFUNCTION("""COMPUTED_VALUE"""),7.0)</f>
        <v>7</v>
      </c>
      <c r="O298" s="10">
        <f>IFERROR(__xludf.DUMMYFUNCTION("""COMPUTED_VALUE"""),0.0)</f>
        <v>0</v>
      </c>
      <c r="P298" s="10">
        <f>IFERROR(__xludf.DUMMYFUNCTION("""COMPUTED_VALUE"""),7.0)</f>
        <v>7</v>
      </c>
      <c r="Q298" s="10" t="str">
        <f>IFERROR(__xludf.DUMMYFUNCTION("""COMPUTED_VALUE"""),"No")</f>
        <v>No</v>
      </c>
      <c r="R298" s="10" t="str">
        <f>IFERROR(__xludf.DUMMYFUNCTION("""COMPUTED_VALUE"""),"Yes")</f>
        <v>Yes</v>
      </c>
      <c r="S298" s="10" t="str">
        <f>IFERROR(__xludf.DUMMYFUNCTION("""COMPUTED_VALUE"""),"No")</f>
        <v>No</v>
      </c>
      <c r="T298" s="10">
        <f>IFERROR(__xludf.DUMMYFUNCTION("""COMPUTED_VALUE"""),0.0)</f>
        <v>0</v>
      </c>
      <c r="U298" s="10">
        <f>IFERROR(__xludf.DUMMYFUNCTION("""COMPUTED_VALUE"""),0.0)</f>
        <v>0</v>
      </c>
      <c r="V298" s="10" t="str">
        <f>IFERROR(__xludf.DUMMYFUNCTION("""COMPUTED_VALUE"""),"Parosiyo ky haqooq")</f>
        <v>Parosiyo ky haqooq</v>
      </c>
      <c r="W298" s="10" t="str">
        <f>IFERROR(__xludf.DUMMYFUNCTION("""COMPUTED_VALUE"""),"Paroosiyoo ky haqooq per beyaan ")</f>
        <v>Paroosiyoo ky haqooq per beyaan </v>
      </c>
      <c r="X298" s="10">
        <f>IFERROR(__xludf.DUMMYFUNCTION("""COMPUTED_VALUE"""),1.0)</f>
        <v>1</v>
      </c>
      <c r="Y298" s="10">
        <f>IFERROR(__xludf.DUMMYFUNCTION("""COMPUTED_VALUE"""),7.0)</f>
        <v>7</v>
      </c>
      <c r="Z298" s="10">
        <f>IFERROR(__xludf.DUMMYFUNCTION("""COMPUTED_VALUE"""),6.0)</f>
        <v>6</v>
      </c>
      <c r="AA298" s="10">
        <f>IFERROR(__xludf.DUMMYFUNCTION("""COMPUTED_VALUE"""),2.0)</f>
        <v>2</v>
      </c>
      <c r="AB298" s="10">
        <f>IFERROR(__xludf.DUMMYFUNCTION("""COMPUTED_VALUE"""),1.0)</f>
        <v>1</v>
      </c>
      <c r="AC298" s="10">
        <f>IFERROR(__xludf.DUMMYFUNCTION("""COMPUTED_VALUE"""),0.0)</f>
        <v>0</v>
      </c>
      <c r="AD298" s="10">
        <f>IFERROR(__xludf.DUMMYFUNCTION("""COMPUTED_VALUE"""),0.0)</f>
        <v>0</v>
      </c>
      <c r="AE298" s="10">
        <f>IFERROR(__xludf.DUMMYFUNCTION("""COMPUTED_VALUE"""),0.0)</f>
        <v>0</v>
      </c>
      <c r="AF298" s="10">
        <f>IFERROR(__xludf.DUMMYFUNCTION("""COMPUTED_VALUE"""),6.0)</f>
        <v>6</v>
      </c>
      <c r="AG298" s="10">
        <f>IFERROR(__xludf.DUMMYFUNCTION("""COMPUTED_VALUE"""),8.0)</f>
        <v>8</v>
      </c>
      <c r="AH298" s="10">
        <f>IFERROR(__xludf.DUMMYFUNCTION("""COMPUTED_VALUE"""),0.0)</f>
        <v>0</v>
      </c>
      <c r="AI298" s="10">
        <f>IFERROR(__xludf.DUMMYFUNCTION("""COMPUTED_VALUE"""),8.0)</f>
        <v>8</v>
      </c>
      <c r="AJ298" s="11" t="str">
        <f>IFERROR(__xludf.DUMMYFUNCTION("""COMPUTED_VALUE"""),"https://docs.google.com/document/d/1VNLeZkdlBHCos9MTP5xvbhjNolV2Sj5N/edit?usp=drive_link&amp;ouid=117122465010506134151&amp;rtpof=true&amp;sd=true")</f>
        <v>https://docs.google.com/document/d/1VNLeZkdlBHCos9MTP5xvbhjNolV2Sj5N/edit?usp=drive_link&amp;ouid=117122465010506134151&amp;rtpof=true&amp;sd=true</v>
      </c>
      <c r="AK298" s="12" t="str">
        <f>IFERROR(__xludf.DUMMYFUNCTION("""COMPUTED_VALUE"""),"Sermon 2")</f>
        <v>Sermon 2</v>
      </c>
      <c r="AL298" s="12" t="str">
        <f>IFERROR(__xludf.DUMMYFUNCTION("""COMPUTED_VALUE"""),"Yes")</f>
        <v>Yes</v>
      </c>
      <c r="AM298" s="15">
        <f>IFERROR(__xludf.DUMMYFUNCTION("""COMPUTED_VALUE"""),0.7)</f>
        <v>0.7</v>
      </c>
      <c r="AN298" s="12" t="str">
        <f>IFERROR(__xludf.DUMMYFUNCTION("""COMPUTED_VALUE"""),"2nd week")</f>
        <v>2nd week</v>
      </c>
      <c r="AO298" s="13">
        <v>2.0</v>
      </c>
      <c r="AX298" s="17"/>
    </row>
    <row r="299">
      <c r="A299" s="8">
        <v>298.0</v>
      </c>
      <c r="B299" s="9">
        <f>IFERROR(__xludf.DUMMYFUNCTION("""COMPUTED_VALUE"""),45830.25852311343)</f>
        <v>45830.25852</v>
      </c>
      <c r="C299" s="10" t="str">
        <f>IFERROR(__xludf.DUMMYFUNCTION("""COMPUTED_VALUE"""),"Shahid Iqbal")</f>
        <v>Shahid Iqbal</v>
      </c>
      <c r="D299" s="10" t="str">
        <f>IFERROR(__xludf.DUMMYFUNCTION("""COMPUTED_VALUE"""),"03013665049")</f>
        <v>03013665049</v>
      </c>
      <c r="E299" s="10" t="str">
        <f>IFERROR(__xludf.DUMMYFUNCTION("""COMPUTED_VALUE"""),"Jamia Masjid Darbar Boty Shah Hafizabad")</f>
        <v>Jamia Masjid Darbar Boty Shah Hafizabad</v>
      </c>
      <c r="F299" s="10" t="str">
        <f>IFERROR(__xludf.DUMMYFUNCTION("""COMPUTED_VALUE"""),"BJLNR")</f>
        <v>BJLNR</v>
      </c>
      <c r="G299" s="10" t="str">
        <f>IFERROR(__xludf.DUMMYFUNCTION("""COMPUTED_VALUE"""),"Yes")</f>
        <v>Yes</v>
      </c>
      <c r="H299" s="10">
        <f>IFERROR(__xludf.DUMMYFUNCTION("""COMPUTED_VALUE"""),7.0)</f>
        <v>7</v>
      </c>
      <c r="I299" s="10">
        <f>IFERROR(__xludf.DUMMYFUNCTION("""COMPUTED_VALUE"""),3.0)</f>
        <v>3</v>
      </c>
      <c r="J299" s="10">
        <f>IFERROR(__xludf.DUMMYFUNCTION("""COMPUTED_VALUE"""),7.0)</f>
        <v>7</v>
      </c>
      <c r="K299" s="10">
        <f>IFERROR(__xludf.DUMMYFUNCTION("""COMPUTED_VALUE"""),7.0)</f>
        <v>7</v>
      </c>
      <c r="L299" s="10">
        <f>IFERROR(__xludf.DUMMYFUNCTION("""COMPUTED_VALUE"""),0.0)</f>
        <v>0</v>
      </c>
      <c r="M299" s="10">
        <f>IFERROR(__xludf.DUMMYFUNCTION("""COMPUTED_VALUE"""),7.0)</f>
        <v>7</v>
      </c>
      <c r="N299" s="10">
        <f>IFERROR(__xludf.DUMMYFUNCTION("""COMPUTED_VALUE"""),0.0)</f>
        <v>0</v>
      </c>
      <c r="O299" s="10">
        <f>IFERROR(__xludf.DUMMYFUNCTION("""COMPUTED_VALUE"""),7.0)</f>
        <v>7</v>
      </c>
      <c r="P299" s="10">
        <f>IFERROR(__xludf.DUMMYFUNCTION("""COMPUTED_VALUE"""),0.0)</f>
        <v>0</v>
      </c>
      <c r="Q299" s="10" t="str">
        <f>IFERROR(__xludf.DUMMYFUNCTION("""COMPUTED_VALUE"""),"Yes")</f>
        <v>Yes</v>
      </c>
      <c r="R299" s="10" t="str">
        <f>IFERROR(__xludf.DUMMYFUNCTION("""COMPUTED_VALUE"""),"No")</f>
        <v>No</v>
      </c>
      <c r="S299" s="10" t="str">
        <f>IFERROR(__xludf.DUMMYFUNCTION("""COMPUTED_VALUE"""),"No")</f>
        <v>No</v>
      </c>
      <c r="T299" s="10">
        <f>IFERROR(__xludf.DUMMYFUNCTION("""COMPUTED_VALUE"""),0.0)</f>
        <v>0</v>
      </c>
      <c r="U299" s="10">
        <f>IFERROR(__xludf.DUMMYFUNCTION("""COMPUTED_VALUE"""),0.0)</f>
        <v>0</v>
      </c>
      <c r="V299" s="10" t="str">
        <f>IFERROR(__xludf.DUMMYFUNCTION("""COMPUTED_VALUE"""),"Aurton k haqooq")</f>
        <v>Aurton k haqooq</v>
      </c>
      <c r="W299" s="10" t="str">
        <f>IFERROR(__xludf.DUMMYFUNCTION("""COMPUTED_VALUE"""),"Aurtoon k Haqooq")</f>
        <v>Aurtoon k Haqooq</v>
      </c>
      <c r="X299" s="10">
        <f>IFERROR(__xludf.DUMMYFUNCTION("""COMPUTED_VALUE"""),2.0)</f>
        <v>2</v>
      </c>
      <c r="Y299" s="10">
        <f>IFERROR(__xludf.DUMMYFUNCTION("""COMPUTED_VALUE"""),2.0)</f>
        <v>2</v>
      </c>
      <c r="Z299" s="10">
        <f>IFERROR(__xludf.DUMMYFUNCTION("""COMPUTED_VALUE"""),3.0)</f>
        <v>3</v>
      </c>
      <c r="AA299" s="10">
        <f>IFERROR(__xludf.DUMMYFUNCTION("""COMPUTED_VALUE"""),2.0)</f>
        <v>2</v>
      </c>
      <c r="AB299" s="10">
        <f>IFERROR(__xludf.DUMMYFUNCTION("""COMPUTED_VALUE"""),2.0)</f>
        <v>2</v>
      </c>
      <c r="AC299" s="10">
        <f>IFERROR(__xludf.DUMMYFUNCTION("""COMPUTED_VALUE"""),0.0)</f>
        <v>0</v>
      </c>
      <c r="AD299" s="10">
        <f>IFERROR(__xludf.DUMMYFUNCTION("""COMPUTED_VALUE"""),0.0)</f>
        <v>0</v>
      </c>
      <c r="AE299" s="10">
        <f>IFERROR(__xludf.DUMMYFUNCTION("""COMPUTED_VALUE"""),0.0)</f>
        <v>0</v>
      </c>
      <c r="AF299" s="10">
        <f>IFERROR(__xludf.DUMMYFUNCTION("""COMPUTED_VALUE"""),3.0)</f>
        <v>3</v>
      </c>
      <c r="AG299" s="10">
        <f>IFERROR(__xludf.DUMMYFUNCTION("""COMPUTED_VALUE"""),6.0)</f>
        <v>6</v>
      </c>
      <c r="AH299" s="10">
        <f>IFERROR(__xludf.DUMMYFUNCTION("""COMPUTED_VALUE"""),2.0)</f>
        <v>2</v>
      </c>
      <c r="AI299" s="10">
        <f>IFERROR(__xludf.DUMMYFUNCTION("""COMPUTED_VALUE"""),8.0)</f>
        <v>8</v>
      </c>
      <c r="AJ299" s="11" t="str">
        <f>IFERROR(__xludf.DUMMYFUNCTION("""COMPUTED_VALUE"""),"https://drive.google.com/open?id=1WqEuD5gR_fAC0ySNgHkE6uX127d36zAX")</f>
        <v>https://drive.google.com/open?id=1WqEuD5gR_fAC0ySNgHkE6uX127d36zAX</v>
      </c>
      <c r="AK299" s="12"/>
      <c r="AL299" s="12" t="str">
        <f>IFERROR(__xludf.DUMMYFUNCTION("""COMPUTED_VALUE"""),"Yes")</f>
        <v>Yes</v>
      </c>
      <c r="AM299" s="15">
        <f>IFERROR(__xludf.DUMMYFUNCTION("""COMPUTED_VALUE"""),0.7)</f>
        <v>0.7</v>
      </c>
      <c r="AN299" s="12" t="str">
        <f>IFERROR(__xludf.DUMMYFUNCTION("""COMPUTED_VALUE"""),"2nd week")</f>
        <v>2nd week</v>
      </c>
      <c r="AO299" s="13">
        <v>2.0</v>
      </c>
      <c r="AX299" s="17"/>
    </row>
    <row r="300">
      <c r="A300" s="8">
        <v>299.0</v>
      </c>
      <c r="B300" s="9">
        <f>IFERROR(__xludf.DUMMYFUNCTION("""COMPUTED_VALUE"""),45830.2646587037)</f>
        <v>45830.26466</v>
      </c>
      <c r="C300" s="10" t="str">
        <f>IFERROR(__xludf.DUMMYFUNCTION("""COMPUTED_VALUE"""),"Shahid Iqbal")</f>
        <v>Shahid Iqbal</v>
      </c>
      <c r="D300" s="10" t="str">
        <f>IFERROR(__xludf.DUMMYFUNCTION("""COMPUTED_VALUE"""),"03013665049")</f>
        <v>03013665049</v>
      </c>
      <c r="E300" s="10" t="str">
        <f>IFERROR(__xludf.DUMMYFUNCTION("""COMPUTED_VALUE"""),"Jamia Masjid Ashrafia Gol Chowk Sargodha")</f>
        <v>Jamia Masjid Ashrafia Gol Chowk Sargodha</v>
      </c>
      <c r="F300" s="10" t="str">
        <f>IFERROR(__xludf.DUMMYFUNCTION("""COMPUTED_VALUE"""),"PALOG")</f>
        <v>PALOG</v>
      </c>
      <c r="G300" s="10" t="str">
        <f>IFERROR(__xludf.DUMMYFUNCTION("""COMPUTED_VALUE"""),"Yes")</f>
        <v>Yes</v>
      </c>
      <c r="H300" s="10">
        <f>IFERROR(__xludf.DUMMYFUNCTION("""COMPUTED_VALUE"""),0.0)</f>
        <v>0</v>
      </c>
      <c r="I300" s="10">
        <f>IFERROR(__xludf.DUMMYFUNCTION("""COMPUTED_VALUE"""),0.0)</f>
        <v>0</v>
      </c>
      <c r="J300" s="10">
        <f>IFERROR(__xludf.DUMMYFUNCTION("""COMPUTED_VALUE"""),0.0)</f>
        <v>0</v>
      </c>
      <c r="K300" s="10">
        <f>IFERROR(__xludf.DUMMYFUNCTION("""COMPUTED_VALUE"""),0.0)</f>
        <v>0</v>
      </c>
      <c r="L300" s="10">
        <f>IFERROR(__xludf.DUMMYFUNCTION("""COMPUTED_VALUE"""),0.0)</f>
        <v>0</v>
      </c>
      <c r="M300" s="10">
        <f>IFERROR(__xludf.DUMMYFUNCTION("""COMPUTED_VALUE"""),0.0)</f>
        <v>0</v>
      </c>
      <c r="N300" s="10">
        <f>IFERROR(__xludf.DUMMYFUNCTION("""COMPUTED_VALUE"""),0.0)</f>
        <v>0</v>
      </c>
      <c r="O300" s="10">
        <f>IFERROR(__xludf.DUMMYFUNCTION("""COMPUTED_VALUE"""),0.0)</f>
        <v>0</v>
      </c>
      <c r="P300" s="10">
        <f>IFERROR(__xludf.DUMMYFUNCTION("""COMPUTED_VALUE"""),0.0)</f>
        <v>0</v>
      </c>
      <c r="Q300" s="10" t="str">
        <f>IFERROR(__xludf.DUMMYFUNCTION("""COMPUTED_VALUE"""),"No")</f>
        <v>No</v>
      </c>
      <c r="R300" s="10" t="str">
        <f>IFERROR(__xludf.DUMMYFUNCTION("""COMPUTED_VALUE"""),"No")</f>
        <v>No</v>
      </c>
      <c r="S300" s="10" t="str">
        <f>IFERROR(__xludf.DUMMYFUNCTION("""COMPUTED_VALUE"""),"No")</f>
        <v>No</v>
      </c>
      <c r="T300" s="10">
        <f>IFERROR(__xludf.DUMMYFUNCTION("""COMPUTED_VALUE"""),0.0)</f>
        <v>0</v>
      </c>
      <c r="U300" s="10">
        <f>IFERROR(__xludf.DUMMYFUNCTION("""COMPUTED_VALUE"""),0.0)</f>
        <v>0</v>
      </c>
      <c r="V300" s="10" t="str">
        <f>IFERROR(__xludf.DUMMYFUNCTION("""COMPUTED_VALUE"""),"mazdoor day")</f>
        <v>mazdoor day</v>
      </c>
      <c r="W300" s="10" t="str">
        <f>IFERROR(__xludf.DUMMYFUNCTION("""COMPUTED_VALUE"""),"mazdoor day")</f>
        <v>mazdoor day</v>
      </c>
      <c r="X300" s="10">
        <f>IFERROR(__xludf.DUMMYFUNCTION("""COMPUTED_VALUE"""),3.0)</f>
        <v>3</v>
      </c>
      <c r="Y300" s="10">
        <f>IFERROR(__xludf.DUMMYFUNCTION("""COMPUTED_VALUE"""),9.0)</f>
        <v>9</v>
      </c>
      <c r="Z300" s="10">
        <f>IFERROR(__xludf.DUMMYFUNCTION("""COMPUTED_VALUE"""),6.0)</f>
        <v>6</v>
      </c>
      <c r="AA300" s="10">
        <f>IFERROR(__xludf.DUMMYFUNCTION("""COMPUTED_VALUE"""),6.0)</f>
        <v>6</v>
      </c>
      <c r="AB300" s="10">
        <f>IFERROR(__xludf.DUMMYFUNCTION("""COMPUTED_VALUE"""),0.0)</f>
        <v>0</v>
      </c>
      <c r="AC300" s="10">
        <f>IFERROR(__xludf.DUMMYFUNCTION("""COMPUTED_VALUE"""),0.0)</f>
        <v>0</v>
      </c>
      <c r="AD300" s="10">
        <f>IFERROR(__xludf.DUMMYFUNCTION("""COMPUTED_VALUE"""),0.0)</f>
        <v>0</v>
      </c>
      <c r="AE300" s="10">
        <f>IFERROR(__xludf.DUMMYFUNCTION("""COMPUTED_VALUE"""),0.0)</f>
        <v>0</v>
      </c>
      <c r="AF300" s="10">
        <f>IFERROR(__xludf.DUMMYFUNCTION("""COMPUTED_VALUE"""),0.0)</f>
        <v>0</v>
      </c>
      <c r="AG300" s="10">
        <f>IFERROR(__xludf.DUMMYFUNCTION("""COMPUTED_VALUE"""),4.0)</f>
        <v>4</v>
      </c>
      <c r="AH300" s="10">
        <f>IFERROR(__xludf.DUMMYFUNCTION("""COMPUTED_VALUE"""),0.0)</f>
        <v>0</v>
      </c>
      <c r="AI300" s="10">
        <f>IFERROR(__xludf.DUMMYFUNCTION("""COMPUTED_VALUE"""),7.0)</f>
        <v>7</v>
      </c>
      <c r="AJ300" s="11" t="str">
        <f>IFERROR(__xludf.DUMMYFUNCTION("""COMPUTED_VALUE"""),"https://drive.google.com/open?id=1fQkcEBSoxPPyXYiY3a1Za6N14iXGu14u")</f>
        <v>https://drive.google.com/open?id=1fQkcEBSoxPPyXYiY3a1Za6N14iXGu14u</v>
      </c>
      <c r="AK300" s="12"/>
      <c r="AL300" s="12" t="str">
        <f>IFERROR(__xludf.DUMMYFUNCTION("""COMPUTED_VALUE"""),"Yes")</f>
        <v>Yes</v>
      </c>
      <c r="AM300" s="15">
        <f>IFERROR(__xludf.DUMMYFUNCTION("""COMPUTED_VALUE"""),0.0)</f>
        <v>0</v>
      </c>
      <c r="AN300" s="12" t="str">
        <f>IFERROR(__xludf.DUMMYFUNCTION("""COMPUTED_VALUE"""),"2nd week")</f>
        <v>2nd week</v>
      </c>
      <c r="AO300" s="13">
        <v>2.0</v>
      </c>
      <c r="AX300" s="17"/>
    </row>
    <row r="301">
      <c r="A301" s="8">
        <v>300.0</v>
      </c>
      <c r="B301" s="9">
        <f>IFERROR(__xludf.DUMMYFUNCTION("""COMPUTED_VALUE"""),45830.27717701389)</f>
        <v>45830.27718</v>
      </c>
      <c r="C301" s="10" t="str">
        <f>IFERROR(__xludf.DUMMYFUNCTION("""COMPUTED_VALUE"""),"shahid iqbal")</f>
        <v>shahid iqbal</v>
      </c>
      <c r="D301" s="10" t="str">
        <f>IFERROR(__xludf.DUMMYFUNCTION("""COMPUTED_VALUE"""),"03013665049")</f>
        <v>03013665049</v>
      </c>
      <c r="E301" s="10" t="str">
        <f>IFERROR(__xludf.DUMMYFUNCTION("""COMPUTED_VALUE"""),"Jamia Masjid Molvi Muhammd Hussain Urdu Bazar")</f>
        <v>Jamia Masjid Molvi Muhammd Hussain Urdu Bazar</v>
      </c>
      <c r="F301" s="10" t="str">
        <f>IFERROR(__xludf.DUMMYFUNCTION("""COMPUTED_VALUE"""),"CCXYI")</f>
        <v>CCXYI</v>
      </c>
      <c r="G301" s="10" t="str">
        <f>IFERROR(__xludf.DUMMYFUNCTION("""COMPUTED_VALUE"""),"Yes")</f>
        <v>Yes</v>
      </c>
      <c r="H301" s="10">
        <f>IFERROR(__xludf.DUMMYFUNCTION("""COMPUTED_VALUE"""),7.0)</f>
        <v>7</v>
      </c>
      <c r="I301" s="10">
        <f>IFERROR(__xludf.DUMMYFUNCTION("""COMPUTED_VALUE"""),2.0)</f>
        <v>2</v>
      </c>
      <c r="J301" s="10">
        <f>IFERROR(__xludf.DUMMYFUNCTION("""COMPUTED_VALUE"""),7.0)</f>
        <v>7</v>
      </c>
      <c r="K301" s="10">
        <f>IFERROR(__xludf.DUMMYFUNCTION("""COMPUTED_VALUE"""),0.0)</f>
        <v>0</v>
      </c>
      <c r="L301" s="10">
        <f>IFERROR(__xludf.DUMMYFUNCTION("""COMPUTED_VALUE"""),8.0)</f>
        <v>8</v>
      </c>
      <c r="M301" s="10">
        <f>IFERROR(__xludf.DUMMYFUNCTION("""COMPUTED_VALUE"""),0.0)</f>
        <v>0</v>
      </c>
      <c r="N301" s="10">
        <f>IFERROR(__xludf.DUMMYFUNCTION("""COMPUTED_VALUE"""),3.0)</f>
        <v>3</v>
      </c>
      <c r="O301" s="10">
        <f>IFERROR(__xludf.DUMMYFUNCTION("""COMPUTED_VALUE"""),0.0)</f>
        <v>0</v>
      </c>
      <c r="P301" s="10">
        <f>IFERROR(__xludf.DUMMYFUNCTION("""COMPUTED_VALUE"""),0.0)</f>
        <v>0</v>
      </c>
      <c r="Q301" s="10" t="str">
        <f>IFERROR(__xludf.DUMMYFUNCTION("""COMPUTED_VALUE"""),"No")</f>
        <v>No</v>
      </c>
      <c r="R301" s="10" t="str">
        <f>IFERROR(__xludf.DUMMYFUNCTION("""COMPUTED_VALUE"""),"Yes")</f>
        <v>Yes</v>
      </c>
      <c r="S301" s="10" t="str">
        <f>IFERROR(__xludf.DUMMYFUNCTION("""COMPUTED_VALUE"""),"No")</f>
        <v>No</v>
      </c>
      <c r="T301" s="10">
        <f>IFERROR(__xludf.DUMMYFUNCTION("""COMPUTED_VALUE"""),0.0)</f>
        <v>0</v>
      </c>
      <c r="U301" s="10">
        <f>IFERROR(__xludf.DUMMYFUNCTION("""COMPUTED_VALUE"""),0.0)</f>
        <v>0</v>
      </c>
      <c r="V301" s="10" t="str">
        <f>IFERROR(__xludf.DUMMYFUNCTION("""COMPUTED_VALUE"""),"eman allah r bnadon k haqooq")</f>
        <v>eman allah r bnadon k haqooq</v>
      </c>
      <c r="W301" s="10" t="str">
        <f>IFERROR(__xludf.DUMMYFUNCTION("""COMPUTED_VALUE"""),"eman allah r bnadon k haqooq")</f>
        <v>eman allah r bnadon k haqooq</v>
      </c>
      <c r="X301" s="10">
        <f>IFERROR(__xludf.DUMMYFUNCTION("""COMPUTED_VALUE"""),7.0)</f>
        <v>7</v>
      </c>
      <c r="Y301" s="10">
        <f>IFERROR(__xludf.DUMMYFUNCTION("""COMPUTED_VALUE"""),7.0)</f>
        <v>7</v>
      </c>
      <c r="Z301" s="10">
        <f>IFERROR(__xludf.DUMMYFUNCTION("""COMPUTED_VALUE"""),5.0)</f>
        <v>5</v>
      </c>
      <c r="AA301" s="10">
        <f>IFERROR(__xludf.DUMMYFUNCTION("""COMPUTED_VALUE"""),5.0)</f>
        <v>5</v>
      </c>
      <c r="AB301" s="10">
        <f>IFERROR(__xludf.DUMMYFUNCTION("""COMPUTED_VALUE"""),6.0)</f>
        <v>6</v>
      </c>
      <c r="AC301" s="10">
        <f>IFERROR(__xludf.DUMMYFUNCTION("""COMPUTED_VALUE"""),0.0)</f>
        <v>0</v>
      </c>
      <c r="AD301" s="10">
        <f>IFERROR(__xludf.DUMMYFUNCTION("""COMPUTED_VALUE"""),0.0)</f>
        <v>0</v>
      </c>
      <c r="AE301" s="10">
        <f>IFERROR(__xludf.DUMMYFUNCTION("""COMPUTED_VALUE"""),0.0)</f>
        <v>0</v>
      </c>
      <c r="AF301" s="10">
        <f>IFERROR(__xludf.DUMMYFUNCTION("""COMPUTED_VALUE"""),0.0)</f>
        <v>0</v>
      </c>
      <c r="AG301" s="10">
        <f>IFERROR(__xludf.DUMMYFUNCTION("""COMPUTED_VALUE"""),6.0)</f>
        <v>6</v>
      </c>
      <c r="AH301" s="10">
        <f>IFERROR(__xludf.DUMMYFUNCTION("""COMPUTED_VALUE"""),1.0)</f>
        <v>1</v>
      </c>
      <c r="AI301" s="10">
        <f>IFERROR(__xludf.DUMMYFUNCTION("""COMPUTED_VALUE"""),8.0)</f>
        <v>8</v>
      </c>
      <c r="AJ301" s="11" t="str">
        <f>IFERROR(__xludf.DUMMYFUNCTION("""COMPUTED_VALUE"""),"https://drive.google.com/open?id=1qvi6PrTkq7wIGdFkd4sMIPQGgoOiXD56")</f>
        <v>https://drive.google.com/open?id=1qvi6PrTkq7wIGdFkd4sMIPQGgoOiXD56</v>
      </c>
      <c r="AK301" s="12"/>
      <c r="AL301" s="12" t="str">
        <f>IFERROR(__xludf.DUMMYFUNCTION("""COMPUTED_VALUE"""),"Yes")</f>
        <v>Yes</v>
      </c>
      <c r="AM301" s="15">
        <f>IFERROR(__xludf.DUMMYFUNCTION("""COMPUTED_VALUE"""),0.8)</f>
        <v>0.8</v>
      </c>
      <c r="AN301" s="12" t="str">
        <f>IFERROR(__xludf.DUMMYFUNCTION("""COMPUTED_VALUE"""),"2nd week")</f>
        <v>2nd week</v>
      </c>
      <c r="AO301" s="13">
        <v>2.0</v>
      </c>
      <c r="AX301" s="17"/>
    </row>
    <row r="302">
      <c r="A302" s="8">
        <v>301.0</v>
      </c>
      <c r="B302" s="9">
        <f>IFERROR(__xludf.DUMMYFUNCTION("""COMPUTED_VALUE"""),45830.28019592592)</f>
        <v>45830.2802</v>
      </c>
      <c r="C302" s="10" t="str">
        <f>IFERROR(__xludf.DUMMYFUNCTION("""COMPUTED_VALUE"""),"shahid iqbal")</f>
        <v>shahid iqbal</v>
      </c>
      <c r="D302" s="10" t="str">
        <f>IFERROR(__xludf.DUMMYFUNCTION("""COMPUTED_VALUE"""),"03013665049")</f>
        <v>03013665049</v>
      </c>
      <c r="E302" s="10" t="str">
        <f>IFERROR(__xludf.DUMMYFUNCTION("""COMPUTED_VALUE"""),"Jamia Masjid Miya Rehman Hafizabad")</f>
        <v>Jamia Masjid Miya Rehman Hafizabad</v>
      </c>
      <c r="F302" s="10" t="str">
        <f>IFERROR(__xludf.DUMMYFUNCTION("""COMPUTED_VALUE"""),"VIEXI")</f>
        <v>VIEXI</v>
      </c>
      <c r="G302" s="10" t="str">
        <f>IFERROR(__xludf.DUMMYFUNCTION("""COMPUTED_VALUE"""),"Yes")</f>
        <v>Yes</v>
      </c>
      <c r="H302" s="10">
        <f>IFERROR(__xludf.DUMMYFUNCTION("""COMPUTED_VALUE"""),7.0)</f>
        <v>7</v>
      </c>
      <c r="I302" s="10">
        <f>IFERROR(__xludf.DUMMYFUNCTION("""COMPUTED_VALUE"""),1.0)</f>
        <v>1</v>
      </c>
      <c r="J302" s="10">
        <f>IFERROR(__xludf.DUMMYFUNCTION("""COMPUTED_VALUE"""),7.0)</f>
        <v>7</v>
      </c>
      <c r="K302" s="10">
        <f>IFERROR(__xludf.DUMMYFUNCTION("""COMPUTED_VALUE"""),8.0)</f>
        <v>8</v>
      </c>
      <c r="L302" s="10">
        <f>IFERROR(__xludf.DUMMYFUNCTION("""COMPUTED_VALUE"""),0.0)</f>
        <v>0</v>
      </c>
      <c r="M302" s="10">
        <f>IFERROR(__xludf.DUMMYFUNCTION("""COMPUTED_VALUE"""),8.0)</f>
        <v>8</v>
      </c>
      <c r="N302" s="10">
        <f>IFERROR(__xludf.DUMMYFUNCTION("""COMPUTED_VALUE"""),0.0)</f>
        <v>0</v>
      </c>
      <c r="O302" s="10">
        <f>IFERROR(__xludf.DUMMYFUNCTION("""COMPUTED_VALUE"""),8.0)</f>
        <v>8</v>
      </c>
      <c r="P302" s="10">
        <f>IFERROR(__xludf.DUMMYFUNCTION("""COMPUTED_VALUE"""),8.0)</f>
        <v>8</v>
      </c>
      <c r="Q302" s="10" t="str">
        <f>IFERROR(__xludf.DUMMYFUNCTION("""COMPUTED_VALUE"""),"Yes")</f>
        <v>Yes</v>
      </c>
      <c r="R302" s="10" t="str">
        <f>IFERROR(__xludf.DUMMYFUNCTION("""COMPUTED_VALUE"""),"No")</f>
        <v>No</v>
      </c>
      <c r="S302" s="10" t="str">
        <f>IFERROR(__xludf.DUMMYFUNCTION("""COMPUTED_VALUE"""),"No")</f>
        <v>No</v>
      </c>
      <c r="T302" s="10">
        <f>IFERROR(__xludf.DUMMYFUNCTION("""COMPUTED_VALUE"""),0.0)</f>
        <v>0</v>
      </c>
      <c r="U302" s="10">
        <f>IFERROR(__xludf.DUMMYFUNCTION("""COMPUTED_VALUE"""),0.0)</f>
        <v>0</v>
      </c>
      <c r="V302" s="10" t="str">
        <f>IFERROR(__xludf.DUMMYFUNCTION("""COMPUTED_VALUE"""),"khawateen k haqooq")</f>
        <v>khawateen k haqooq</v>
      </c>
      <c r="W302" s="10" t="str">
        <f>IFERROR(__xludf.DUMMYFUNCTION("""COMPUTED_VALUE"""),"Khawateen K haqooq")</f>
        <v>Khawateen K haqooq</v>
      </c>
      <c r="X302" s="10">
        <f>IFERROR(__xludf.DUMMYFUNCTION("""COMPUTED_VALUE"""),2.0)</f>
        <v>2</v>
      </c>
      <c r="Y302" s="10">
        <f>IFERROR(__xludf.DUMMYFUNCTION("""COMPUTED_VALUE"""),0.0)</f>
        <v>0</v>
      </c>
      <c r="Z302" s="10">
        <f>IFERROR(__xludf.DUMMYFUNCTION("""COMPUTED_VALUE"""),0.0)</f>
        <v>0</v>
      </c>
      <c r="AA302" s="10">
        <f>IFERROR(__xludf.DUMMYFUNCTION("""COMPUTED_VALUE"""),0.0)</f>
        <v>0</v>
      </c>
      <c r="AB302" s="10">
        <f>IFERROR(__xludf.DUMMYFUNCTION("""COMPUTED_VALUE"""),0.0)</f>
        <v>0</v>
      </c>
      <c r="AC302" s="10">
        <f>IFERROR(__xludf.DUMMYFUNCTION("""COMPUTED_VALUE"""),0.0)</f>
        <v>0</v>
      </c>
      <c r="AD302" s="10">
        <f>IFERROR(__xludf.DUMMYFUNCTION("""COMPUTED_VALUE"""),0.0)</f>
        <v>0</v>
      </c>
      <c r="AE302" s="10">
        <f>IFERROR(__xludf.DUMMYFUNCTION("""COMPUTED_VALUE"""),0.0)</f>
        <v>0</v>
      </c>
      <c r="AF302" s="10">
        <f>IFERROR(__xludf.DUMMYFUNCTION("""COMPUTED_VALUE"""),0.0)</f>
        <v>0</v>
      </c>
      <c r="AG302" s="10">
        <f>IFERROR(__xludf.DUMMYFUNCTION("""COMPUTED_VALUE"""),8.0)</f>
        <v>8</v>
      </c>
      <c r="AH302" s="10">
        <f>IFERROR(__xludf.DUMMYFUNCTION("""COMPUTED_VALUE"""),1.0)</f>
        <v>1</v>
      </c>
      <c r="AI302" s="10">
        <f>IFERROR(__xludf.DUMMYFUNCTION("""COMPUTED_VALUE"""),8.0)</f>
        <v>8</v>
      </c>
      <c r="AJ302" s="11" t="str">
        <f>IFERROR(__xludf.DUMMYFUNCTION("""COMPUTED_VALUE"""),"https://drive.google.com/open?id=1ZhE4_ICYRh1QBqaHdZ4gMy0uysijjb39")</f>
        <v>https://drive.google.com/open?id=1ZhE4_ICYRh1QBqaHdZ4gMy0uysijjb39</v>
      </c>
      <c r="AK302" s="12"/>
      <c r="AL302" s="12" t="str">
        <f>IFERROR(__xludf.DUMMYFUNCTION("""COMPUTED_VALUE"""),"Yes")</f>
        <v>Yes</v>
      </c>
      <c r="AM302" s="15">
        <f>IFERROR(__xludf.DUMMYFUNCTION("""COMPUTED_VALUE"""),0.8)</f>
        <v>0.8</v>
      </c>
      <c r="AN302" s="12" t="str">
        <f>IFERROR(__xludf.DUMMYFUNCTION("""COMPUTED_VALUE"""),"2nd week")</f>
        <v>2nd week</v>
      </c>
      <c r="AO302" s="13">
        <v>2.0</v>
      </c>
      <c r="AX302" s="17"/>
    </row>
    <row r="303">
      <c r="A303" s="8">
        <v>302.0</v>
      </c>
      <c r="B303" s="9">
        <f>IFERROR(__xludf.DUMMYFUNCTION("""COMPUTED_VALUE"""),45830.28279916667)</f>
        <v>45830.2828</v>
      </c>
      <c r="C303" s="10" t="str">
        <f>IFERROR(__xludf.DUMMYFUNCTION("""COMPUTED_VALUE"""),"Shahid Iqbal")</f>
        <v>Shahid Iqbal</v>
      </c>
      <c r="D303" s="10" t="str">
        <f>IFERROR(__xludf.DUMMYFUNCTION("""COMPUTED_VALUE"""),"03013665049")</f>
        <v>03013665049</v>
      </c>
      <c r="E303" s="10" t="str">
        <f>IFERROR(__xludf.DUMMYFUNCTION("""COMPUTED_VALUE"""),"Jamia Masjid Galah Mandi Bhalwal")</f>
        <v>Jamia Masjid Galah Mandi Bhalwal</v>
      </c>
      <c r="F303" s="10" t="str">
        <f>IFERROR(__xludf.DUMMYFUNCTION("""COMPUTED_VALUE"""),"HHMBL")</f>
        <v>HHMBL</v>
      </c>
      <c r="G303" s="10" t="str">
        <f>IFERROR(__xludf.DUMMYFUNCTION("""COMPUTED_VALUE"""),"Yes")</f>
        <v>Yes</v>
      </c>
      <c r="H303" s="10">
        <f>IFERROR(__xludf.DUMMYFUNCTION("""COMPUTED_VALUE"""),6.0)</f>
        <v>6</v>
      </c>
      <c r="I303" s="10">
        <f>IFERROR(__xludf.DUMMYFUNCTION("""COMPUTED_VALUE"""),2.0)</f>
        <v>2</v>
      </c>
      <c r="J303" s="10">
        <f>IFERROR(__xludf.DUMMYFUNCTION("""COMPUTED_VALUE"""),7.0)</f>
        <v>7</v>
      </c>
      <c r="K303" s="10">
        <f>IFERROR(__xludf.DUMMYFUNCTION("""COMPUTED_VALUE"""),8.0)</f>
        <v>8</v>
      </c>
      <c r="L303" s="10">
        <f>IFERROR(__xludf.DUMMYFUNCTION("""COMPUTED_VALUE"""),0.0)</f>
        <v>0</v>
      </c>
      <c r="M303" s="10">
        <f>IFERROR(__xludf.DUMMYFUNCTION("""COMPUTED_VALUE"""),8.0)</f>
        <v>8</v>
      </c>
      <c r="N303" s="10">
        <f>IFERROR(__xludf.DUMMYFUNCTION("""COMPUTED_VALUE"""),0.0)</f>
        <v>0</v>
      </c>
      <c r="O303" s="10">
        <f>IFERROR(__xludf.DUMMYFUNCTION("""COMPUTED_VALUE"""),7.0)</f>
        <v>7</v>
      </c>
      <c r="P303" s="10">
        <f>IFERROR(__xludf.DUMMYFUNCTION("""COMPUTED_VALUE"""),0.0)</f>
        <v>0</v>
      </c>
      <c r="Q303" s="10" t="str">
        <f>IFERROR(__xludf.DUMMYFUNCTION("""COMPUTED_VALUE"""),"Yes")</f>
        <v>Yes</v>
      </c>
      <c r="R303" s="10" t="str">
        <f>IFERROR(__xludf.DUMMYFUNCTION("""COMPUTED_VALUE"""),"No")</f>
        <v>No</v>
      </c>
      <c r="S303" s="10" t="str">
        <f>IFERROR(__xludf.DUMMYFUNCTION("""COMPUTED_VALUE"""),"Yes")</f>
        <v>Yes</v>
      </c>
      <c r="T303" s="10">
        <f>IFERROR(__xludf.DUMMYFUNCTION("""COMPUTED_VALUE"""),0.0)</f>
        <v>0</v>
      </c>
      <c r="U303" s="10">
        <f>IFERROR(__xludf.DUMMYFUNCTION("""COMPUTED_VALUE"""),0.0)</f>
        <v>0</v>
      </c>
      <c r="V303" s="10" t="str">
        <f>IFERROR(__xludf.DUMMYFUNCTION("""COMPUTED_VALUE"""),"aurtoon k haqooq")</f>
        <v>aurtoon k haqooq</v>
      </c>
      <c r="W303" s="10" t="str">
        <f>IFERROR(__xludf.DUMMYFUNCTION("""COMPUTED_VALUE"""),"aurtoon k haqooq")</f>
        <v>aurtoon k haqooq</v>
      </c>
      <c r="X303" s="10">
        <f>IFERROR(__xludf.DUMMYFUNCTION("""COMPUTED_VALUE"""),0.0)</f>
        <v>0</v>
      </c>
      <c r="Y303" s="10">
        <f>IFERROR(__xludf.DUMMYFUNCTION("""COMPUTED_VALUE"""),0.0)</f>
        <v>0</v>
      </c>
      <c r="Z303" s="10">
        <f>IFERROR(__xludf.DUMMYFUNCTION("""COMPUTED_VALUE"""),0.0)</f>
        <v>0</v>
      </c>
      <c r="AA303" s="10">
        <f>IFERROR(__xludf.DUMMYFUNCTION("""COMPUTED_VALUE"""),0.0)</f>
        <v>0</v>
      </c>
      <c r="AB303" s="10">
        <f>IFERROR(__xludf.DUMMYFUNCTION("""COMPUTED_VALUE"""),0.0)</f>
        <v>0</v>
      </c>
      <c r="AC303" s="10">
        <f>IFERROR(__xludf.DUMMYFUNCTION("""COMPUTED_VALUE"""),0.0)</f>
        <v>0</v>
      </c>
      <c r="AD303" s="10">
        <f>IFERROR(__xludf.DUMMYFUNCTION("""COMPUTED_VALUE"""),0.0)</f>
        <v>0</v>
      </c>
      <c r="AE303" s="10">
        <f>IFERROR(__xludf.DUMMYFUNCTION("""COMPUTED_VALUE"""),0.0)</f>
        <v>0</v>
      </c>
      <c r="AF303" s="10">
        <f>IFERROR(__xludf.DUMMYFUNCTION("""COMPUTED_VALUE"""),1.0)</f>
        <v>1</v>
      </c>
      <c r="AG303" s="10">
        <f>IFERROR(__xludf.DUMMYFUNCTION("""COMPUTED_VALUE"""),7.0)</f>
        <v>7</v>
      </c>
      <c r="AH303" s="10">
        <f>IFERROR(__xludf.DUMMYFUNCTION("""COMPUTED_VALUE"""),1.0)</f>
        <v>1</v>
      </c>
      <c r="AI303" s="10">
        <f>IFERROR(__xludf.DUMMYFUNCTION("""COMPUTED_VALUE"""),8.0)</f>
        <v>8</v>
      </c>
      <c r="AJ303" s="11" t="str">
        <f>IFERROR(__xludf.DUMMYFUNCTION("""COMPUTED_VALUE"""),"https://drive.google.com/open?id=1PkiDQOL_GavyBUotvEO5VTE5FK2kcO30")</f>
        <v>https://drive.google.com/open?id=1PkiDQOL_GavyBUotvEO5VTE5FK2kcO30</v>
      </c>
      <c r="AK303" s="12"/>
      <c r="AL303" s="12" t="str">
        <f>IFERROR(__xludf.DUMMYFUNCTION("""COMPUTED_VALUE"""),"Yes")</f>
        <v>Yes</v>
      </c>
      <c r="AM303" s="15">
        <f>IFERROR(__xludf.DUMMYFUNCTION("""COMPUTED_VALUE"""),0.8)</f>
        <v>0.8</v>
      </c>
      <c r="AN303" s="12" t="str">
        <f>IFERROR(__xludf.DUMMYFUNCTION("""COMPUTED_VALUE"""),"2nd week")</f>
        <v>2nd week</v>
      </c>
      <c r="AO303" s="13">
        <v>2.0</v>
      </c>
      <c r="AX303" s="17"/>
    </row>
    <row r="304">
      <c r="A304" s="8">
        <v>303.0</v>
      </c>
      <c r="B304" s="9">
        <f>IFERROR(__xludf.DUMMYFUNCTION("""COMPUTED_VALUE"""),45830.342250925925)</f>
        <v>45830.34225</v>
      </c>
      <c r="C304" s="10" t="str">
        <f>IFERROR(__xludf.DUMMYFUNCTION("""COMPUTED_VALUE"""),"Asma Gul ")</f>
        <v>Asma Gul </v>
      </c>
      <c r="D304" s="10" t="str">
        <f>IFERROR(__xludf.DUMMYFUNCTION("""COMPUTED_VALUE"""),"03459308620")</f>
        <v>03459308620</v>
      </c>
      <c r="E304" s="10" t="str">
        <f>IFERROR(__xludf.DUMMYFUNCTION("""COMPUTED_VALUE"""),"Jamia Masjid Main Bazar Bhahwal ")</f>
        <v>Jamia Masjid Main Bazar Bhahwal </v>
      </c>
      <c r="F304" s="10" t="str">
        <f>IFERROR(__xludf.DUMMYFUNCTION("""COMPUTED_VALUE""")," OBNTR ")</f>
        <v> OBNTR </v>
      </c>
      <c r="G304" s="10" t="str">
        <f>IFERROR(__xludf.DUMMYFUNCTION("""COMPUTED_VALUE"""),"Yes")</f>
        <v>Yes</v>
      </c>
      <c r="H304" s="10">
        <f>IFERROR(__xludf.DUMMYFUNCTION("""COMPUTED_VALUE"""),7.0)</f>
        <v>7</v>
      </c>
      <c r="I304" s="10">
        <f>IFERROR(__xludf.DUMMYFUNCTION("""COMPUTED_VALUE"""),5.0)</f>
        <v>5</v>
      </c>
      <c r="J304" s="10">
        <f>IFERROR(__xludf.DUMMYFUNCTION("""COMPUTED_VALUE"""),8.0)</f>
        <v>8</v>
      </c>
      <c r="K304" s="10">
        <f>IFERROR(__xludf.DUMMYFUNCTION("""COMPUTED_VALUE"""),7.0)</f>
        <v>7</v>
      </c>
      <c r="L304" s="10">
        <f>IFERROR(__xludf.DUMMYFUNCTION("""COMPUTED_VALUE"""),2.0)</f>
        <v>2</v>
      </c>
      <c r="M304" s="10">
        <f>IFERROR(__xludf.DUMMYFUNCTION("""COMPUTED_VALUE"""),6.0)</f>
        <v>6</v>
      </c>
      <c r="N304" s="10">
        <f>IFERROR(__xludf.DUMMYFUNCTION("""COMPUTED_VALUE"""),8.0)</f>
        <v>8</v>
      </c>
      <c r="O304" s="10">
        <f>IFERROR(__xludf.DUMMYFUNCTION("""COMPUTED_VALUE"""),3.0)</f>
        <v>3</v>
      </c>
      <c r="P304" s="10">
        <f>IFERROR(__xludf.DUMMYFUNCTION("""COMPUTED_VALUE"""),5.0)</f>
        <v>5</v>
      </c>
      <c r="Q304" s="10" t="str">
        <f>IFERROR(__xludf.DUMMYFUNCTION("""COMPUTED_VALUE"""),"No")</f>
        <v>No</v>
      </c>
      <c r="R304" s="10" t="str">
        <f>IFERROR(__xludf.DUMMYFUNCTION("""COMPUTED_VALUE"""),"Yes")</f>
        <v>Yes</v>
      </c>
      <c r="S304" s="10" t="str">
        <f>IFERROR(__xludf.DUMMYFUNCTION("""COMPUTED_VALUE"""),"No")</f>
        <v>No</v>
      </c>
      <c r="T304" s="10">
        <f>IFERROR(__xludf.DUMMYFUNCTION("""COMPUTED_VALUE"""),4.0)</f>
        <v>4</v>
      </c>
      <c r="U304" s="10">
        <f>IFERROR(__xludf.DUMMYFUNCTION("""COMPUTED_VALUE"""),6.0)</f>
        <v>6</v>
      </c>
      <c r="V304" s="10" t="str">
        <f>IFERROR(__xludf.DUMMYFUNCTION("""COMPUTED_VALUE"""),"حضرت ابراہیم علیہ السلام کی ذاتی زندگی ")</f>
        <v>حضرت ابراہیم علیہ السلام کی ذاتی زندگی </v>
      </c>
      <c r="W304" s="10" t="str">
        <f>IFERROR(__xludf.DUMMYFUNCTION("""COMPUTED_VALUE"""),"حضرت ابراہیم علیہ السلام کی ذاتی زندگی حضرت ہاجرہ اور سارہ کا کردار ")</f>
        <v>حضرت ابراہیم علیہ السلام کی ذاتی زندگی حضرت ہاجرہ اور سارہ کا کردار </v>
      </c>
      <c r="X304" s="10">
        <f>IFERROR(__xludf.DUMMYFUNCTION("""COMPUTED_VALUE"""),7.0)</f>
        <v>7</v>
      </c>
      <c r="Y304" s="10">
        <f>IFERROR(__xludf.DUMMYFUNCTION("""COMPUTED_VALUE"""),9.0)</f>
        <v>9</v>
      </c>
      <c r="Z304" s="10">
        <f>IFERROR(__xludf.DUMMYFUNCTION("""COMPUTED_VALUE"""),7.0)</f>
        <v>7</v>
      </c>
      <c r="AA304" s="10">
        <f>IFERROR(__xludf.DUMMYFUNCTION("""COMPUTED_VALUE"""),7.0)</f>
        <v>7</v>
      </c>
      <c r="AB304" s="10">
        <f>IFERROR(__xludf.DUMMYFUNCTION("""COMPUTED_VALUE"""),6.0)</f>
        <v>6</v>
      </c>
      <c r="AC304" s="10">
        <f>IFERROR(__xludf.DUMMYFUNCTION("""COMPUTED_VALUE"""),5.0)</f>
        <v>5</v>
      </c>
      <c r="AD304" s="10">
        <f>IFERROR(__xludf.DUMMYFUNCTION("""COMPUTED_VALUE"""),7.0)</f>
        <v>7</v>
      </c>
      <c r="AE304" s="10">
        <f>IFERROR(__xludf.DUMMYFUNCTION("""COMPUTED_VALUE"""),7.0)</f>
        <v>7</v>
      </c>
      <c r="AF304" s="10">
        <f>IFERROR(__xludf.DUMMYFUNCTION("""COMPUTED_VALUE"""),3.0)</f>
        <v>3</v>
      </c>
      <c r="AG304" s="10">
        <f>IFERROR(__xludf.DUMMYFUNCTION("""COMPUTED_VALUE"""),7.0)</f>
        <v>7</v>
      </c>
      <c r="AH304" s="10">
        <f>IFERROR(__xludf.DUMMYFUNCTION("""COMPUTED_VALUE"""),3.0)</f>
        <v>3</v>
      </c>
      <c r="AI304" s="10">
        <f>IFERROR(__xludf.DUMMYFUNCTION("""COMPUTED_VALUE"""),7.0)</f>
        <v>7</v>
      </c>
      <c r="AJ304" s="11" t="str">
        <f>IFERROR(__xludf.DUMMYFUNCTION("""COMPUTED_VALUE"""),"https://drive.google.com/open?id=1PioLJQdV_KCAi67YGU0QNMCBV8XFLgDi")</f>
        <v>https://drive.google.com/open?id=1PioLJQdV_KCAi67YGU0QNMCBV8XFLgDi</v>
      </c>
      <c r="AK304" s="12"/>
      <c r="AL304" s="12" t="str">
        <f>IFERROR(__xludf.DUMMYFUNCTION("""COMPUTED_VALUE"""),"Yes")</f>
        <v>Yes</v>
      </c>
      <c r="AM304" s="15">
        <f>IFERROR(__xludf.DUMMYFUNCTION("""COMPUTED_VALUE"""),0.8)</f>
        <v>0.8</v>
      </c>
      <c r="AN304" s="12" t="str">
        <f>IFERROR(__xludf.DUMMYFUNCTION("""COMPUTED_VALUE"""),"3rd week")</f>
        <v>3rd week</v>
      </c>
      <c r="AO304" s="13" t="s">
        <v>8</v>
      </c>
      <c r="AX304" s="17"/>
    </row>
    <row r="305">
      <c r="A305" s="8">
        <v>304.0</v>
      </c>
      <c r="B305" s="9">
        <f>IFERROR(__xludf.DUMMYFUNCTION("""COMPUTED_VALUE"""),45830.353096562496)</f>
        <v>45830.3531</v>
      </c>
      <c r="C305" s="10" t="str">
        <f>IFERROR(__xludf.DUMMYFUNCTION("""COMPUTED_VALUE"""),"مقدس بی بی")</f>
        <v>مقدس بی بی</v>
      </c>
      <c r="D305" s="10" t="str">
        <f>IFERROR(__xludf.DUMMYFUNCTION("""COMPUTED_VALUE"""),"03075314147")</f>
        <v>03075314147</v>
      </c>
      <c r="E305" s="10" t="str">
        <f>IFERROR(__xludf.DUMMYFUNCTION("""COMPUTED_VALUE"""),"جامعہ مسجد ابوبکر صادق جالو موڑ لاہور")</f>
        <v>جامعہ مسجد ابوبکر صادق جالو موڑ لاہور</v>
      </c>
      <c r="F305" s="10" t="str">
        <f>IFERROR(__xludf.DUMMYFUNCTION("""COMPUTED_VALUE"""),"gqomo")</f>
        <v>gqomo</v>
      </c>
      <c r="G305" s="10" t="str">
        <f>IFERROR(__xludf.DUMMYFUNCTION("""COMPUTED_VALUE"""),"No")</f>
        <v>No</v>
      </c>
      <c r="H305" s="10"/>
      <c r="I305" s="10"/>
      <c r="J305" s="10"/>
      <c r="K305" s="10">
        <f>IFERROR(__xludf.DUMMYFUNCTION("""COMPUTED_VALUE"""),10.0)</f>
        <v>10</v>
      </c>
      <c r="L305" s="10">
        <f>IFERROR(__xludf.DUMMYFUNCTION("""COMPUTED_VALUE"""),0.0)</f>
        <v>0</v>
      </c>
      <c r="M305" s="10">
        <f>IFERROR(__xludf.DUMMYFUNCTION("""COMPUTED_VALUE"""),7.0)</f>
        <v>7</v>
      </c>
      <c r="N305" s="10">
        <f>IFERROR(__xludf.DUMMYFUNCTION("""COMPUTED_VALUE"""),0.0)</f>
        <v>0</v>
      </c>
      <c r="O305" s="10">
        <f>IFERROR(__xludf.DUMMYFUNCTION("""COMPUTED_VALUE"""),10.0)</f>
        <v>10</v>
      </c>
      <c r="P305" s="10">
        <f>IFERROR(__xludf.DUMMYFUNCTION("""COMPUTED_VALUE"""),1.0)</f>
        <v>1</v>
      </c>
      <c r="Q305" s="10" t="str">
        <f>IFERROR(__xludf.DUMMYFUNCTION("""COMPUTED_VALUE"""),"Yes")</f>
        <v>Yes</v>
      </c>
      <c r="R305" s="10" t="str">
        <f>IFERROR(__xludf.DUMMYFUNCTION("""COMPUTED_VALUE"""),"No")</f>
        <v>No</v>
      </c>
      <c r="S305" s="10" t="str">
        <f>IFERROR(__xludf.DUMMYFUNCTION("""COMPUTED_VALUE"""),"No")</f>
        <v>No</v>
      </c>
      <c r="T305" s="10">
        <f>IFERROR(__xludf.DUMMYFUNCTION("""COMPUTED_VALUE"""),0.0)</f>
        <v>0</v>
      </c>
      <c r="U305" s="10">
        <f>IFERROR(__xludf.DUMMYFUNCTION("""COMPUTED_VALUE"""),0.0)</f>
        <v>0</v>
      </c>
      <c r="V305" s="10" t="str">
        <f>IFERROR(__xludf.DUMMYFUNCTION("""COMPUTED_VALUE"""),"عورتوں کے حقوق سیاسی میدان میں ان کی خدمات")</f>
        <v>عورتوں کے حقوق سیاسی میدان میں ان کی خدمات</v>
      </c>
      <c r="W305" s="10" t="str">
        <f>IFERROR(__xludf.DUMMYFUNCTION("""COMPUTED_VALUE"""),"اس خطبے میں اسلام میں عورتوں کے حقوق تعلیمی معاشی سیاسی معاشرتی کردار پر روشنی ڈالی گئی دین اسلام نے عورتوں کی رائے مشورے اور خدمات کو ہمیشہ اہمیت دی ہے یہ بتایا گیا ہے")</f>
        <v>اس خطبے میں اسلام میں عورتوں کے حقوق تعلیمی معاشی سیاسی معاشرتی کردار پر روشنی ڈالی گئی دین اسلام نے عورتوں کی رائے مشورے اور خدمات کو ہمیشہ اہمیت دی ہے یہ بتایا گیا ہے</v>
      </c>
      <c r="X305" s="10">
        <f>IFERROR(__xludf.DUMMYFUNCTION("""COMPUTED_VALUE"""),0.0)</f>
        <v>0</v>
      </c>
      <c r="Y305" s="10">
        <f>IFERROR(__xludf.DUMMYFUNCTION("""COMPUTED_VALUE"""),3.0)</f>
        <v>3</v>
      </c>
      <c r="Z305" s="10">
        <f>IFERROR(__xludf.DUMMYFUNCTION("""COMPUTED_VALUE"""),5.0)</f>
        <v>5</v>
      </c>
      <c r="AA305" s="10">
        <f>IFERROR(__xludf.DUMMYFUNCTION("""COMPUTED_VALUE"""),5.0)</f>
        <v>5</v>
      </c>
      <c r="AB305" s="10">
        <f>IFERROR(__xludf.DUMMYFUNCTION("""COMPUTED_VALUE"""),5.0)</f>
        <v>5</v>
      </c>
      <c r="AC305" s="10">
        <f>IFERROR(__xludf.DUMMYFUNCTION("""COMPUTED_VALUE"""),6.0)</f>
        <v>6</v>
      </c>
      <c r="AD305" s="10">
        <f>IFERROR(__xludf.DUMMYFUNCTION("""COMPUTED_VALUE"""),4.0)</f>
        <v>4</v>
      </c>
      <c r="AE305" s="10">
        <f>IFERROR(__xludf.DUMMYFUNCTION("""COMPUTED_VALUE"""),0.0)</f>
        <v>0</v>
      </c>
      <c r="AF305" s="10">
        <f>IFERROR(__xludf.DUMMYFUNCTION("""COMPUTED_VALUE"""),5.0)</f>
        <v>5</v>
      </c>
      <c r="AG305" s="10">
        <f>IFERROR(__xludf.DUMMYFUNCTION("""COMPUTED_VALUE"""),8.0)</f>
        <v>8</v>
      </c>
      <c r="AH305" s="10">
        <f>IFERROR(__xludf.DUMMYFUNCTION("""COMPUTED_VALUE"""),1.0)</f>
        <v>1</v>
      </c>
      <c r="AI305" s="10">
        <f>IFERROR(__xludf.DUMMYFUNCTION("""COMPUTED_VALUE"""),8.0)</f>
        <v>8</v>
      </c>
      <c r="AJ305" s="11" t="str">
        <f>IFERROR(__xludf.DUMMYFUNCTION("""COMPUTED_VALUE"""),"https://drive.google.com/open?id=1WTJs1mYvgHpDNTqArxSn55STKBWWnpv8")</f>
        <v>https://drive.google.com/open?id=1WTJs1mYvgHpDNTqArxSn55STKBWWnpv8</v>
      </c>
      <c r="AK305" s="12" t="str">
        <f>IFERROR(__xludf.DUMMYFUNCTION("""COMPUTED_VALUE"""),"نہیں")</f>
        <v>نہیں</v>
      </c>
      <c r="AL305" s="12"/>
      <c r="AM305" s="12"/>
      <c r="AN305" s="12" t="str">
        <f>IFERROR(__xludf.DUMMYFUNCTION("""COMPUTED_VALUE"""),"2nd week")</f>
        <v>2nd week</v>
      </c>
      <c r="AO305" s="13">
        <v>2.0</v>
      </c>
      <c r="AX305" s="17"/>
    </row>
    <row r="306">
      <c r="A306" s="8">
        <v>305.0</v>
      </c>
      <c r="B306" s="9">
        <f>IFERROR(__xludf.DUMMYFUNCTION("""COMPUTED_VALUE"""),45830.3665593287)</f>
        <v>45830.36656</v>
      </c>
      <c r="C306" s="10" t="str">
        <f>IFERROR(__xludf.DUMMYFUNCTION("""COMPUTED_VALUE"""),"مقدس بی بی")</f>
        <v>مقدس بی بی</v>
      </c>
      <c r="D306" s="10" t="str">
        <f>IFERROR(__xludf.DUMMYFUNCTION("""COMPUTED_VALUE"""),"03075314147")</f>
        <v>03075314147</v>
      </c>
      <c r="E306" s="10" t="str">
        <f>IFERROR(__xludf.DUMMYFUNCTION("""COMPUTED_VALUE"""),"جامعہ مسجد درس جھلانا منڈی بہاؤدین")</f>
        <v>جامعہ مسجد درس جھلانا منڈی بہاؤدین</v>
      </c>
      <c r="F306" s="10" t="str">
        <f>IFERROR(__xludf.DUMMYFUNCTION("""COMPUTED_VALUE"""),"HOMVR")</f>
        <v>HOMVR</v>
      </c>
      <c r="G306" s="10" t="str">
        <f>IFERROR(__xludf.DUMMYFUNCTION("""COMPUTED_VALUE"""),"No")</f>
        <v>No</v>
      </c>
      <c r="H306" s="10"/>
      <c r="I306" s="10"/>
      <c r="J306" s="10"/>
      <c r="K306" s="10">
        <f>IFERROR(__xludf.DUMMYFUNCTION("""COMPUTED_VALUE"""),0.0)</f>
        <v>0</v>
      </c>
      <c r="L306" s="10">
        <f>IFERROR(__xludf.DUMMYFUNCTION("""COMPUTED_VALUE"""),10.0)</f>
        <v>10</v>
      </c>
      <c r="M306" s="10">
        <f>IFERROR(__xludf.DUMMYFUNCTION("""COMPUTED_VALUE"""),4.0)</f>
        <v>4</v>
      </c>
      <c r="N306" s="10">
        <f>IFERROR(__xludf.DUMMYFUNCTION("""COMPUTED_VALUE"""),10.0)</f>
        <v>10</v>
      </c>
      <c r="O306" s="10">
        <f>IFERROR(__xludf.DUMMYFUNCTION("""COMPUTED_VALUE"""),0.0)</f>
        <v>0</v>
      </c>
      <c r="P306" s="10">
        <f>IFERROR(__xludf.DUMMYFUNCTION("""COMPUTED_VALUE"""),8.0)</f>
        <v>8</v>
      </c>
      <c r="Q306" s="10" t="str">
        <f>IFERROR(__xludf.DUMMYFUNCTION("""COMPUTED_VALUE"""),"No")</f>
        <v>No</v>
      </c>
      <c r="R306" s="10" t="str">
        <f>IFERROR(__xludf.DUMMYFUNCTION("""COMPUTED_VALUE"""),"No")</f>
        <v>No</v>
      </c>
      <c r="S306" s="10" t="str">
        <f>IFERROR(__xludf.DUMMYFUNCTION("""COMPUTED_VALUE"""),"No")</f>
        <v>No</v>
      </c>
      <c r="T306" s="10">
        <f>IFERROR(__xludf.DUMMYFUNCTION("""COMPUTED_VALUE"""),0.0)</f>
        <v>0</v>
      </c>
      <c r="U306" s="10">
        <f>IFERROR(__xludf.DUMMYFUNCTION("""COMPUTED_VALUE"""),0.0)</f>
        <v>0</v>
      </c>
      <c r="V306" s="10" t="str">
        <f>IFERROR(__xludf.DUMMYFUNCTION("""COMPUTED_VALUE"""),"پڑوسیوں کے حقوق اور انسانیت سے محبت")</f>
        <v>پڑوسیوں کے حقوق اور انسانیت سے محبت</v>
      </c>
      <c r="W306" s="10" t="str">
        <f>IFERROR(__xludf.DUMMYFUNCTION("""COMPUTED_VALUE"""),"یہ بیان نفس کی مخالفت پڑوسیوں کے حقوق اور انسانیت سے محبت کی اہمیت پر ہے جس میں قران و حدیث کی روشنی میں بتایا گیا کہ مسلمان کو دوسروں کا خیر خواہ بننا چاہیے")</f>
        <v>یہ بیان نفس کی مخالفت پڑوسیوں کے حقوق اور انسانیت سے محبت کی اہمیت پر ہے جس میں قران و حدیث کی روشنی میں بتایا گیا کہ مسلمان کو دوسروں کا خیر خواہ بننا چاہیے</v>
      </c>
      <c r="X306" s="10">
        <f>IFERROR(__xludf.DUMMYFUNCTION("""COMPUTED_VALUE"""),7.0)</f>
        <v>7</v>
      </c>
      <c r="Y306" s="10">
        <f>IFERROR(__xludf.DUMMYFUNCTION("""COMPUTED_VALUE"""),6.0)</f>
        <v>6</v>
      </c>
      <c r="Z306" s="10">
        <f>IFERROR(__xludf.DUMMYFUNCTION("""COMPUTED_VALUE"""),2.0)</f>
        <v>2</v>
      </c>
      <c r="AA306" s="10">
        <f>IFERROR(__xludf.DUMMYFUNCTION("""COMPUTED_VALUE"""),5.0)</f>
        <v>5</v>
      </c>
      <c r="AB306" s="10">
        <f>IFERROR(__xludf.DUMMYFUNCTION("""COMPUTED_VALUE"""),1.0)</f>
        <v>1</v>
      </c>
      <c r="AC306" s="10">
        <f>IFERROR(__xludf.DUMMYFUNCTION("""COMPUTED_VALUE"""),4.0)</f>
        <v>4</v>
      </c>
      <c r="AD306" s="10">
        <f>IFERROR(__xludf.DUMMYFUNCTION("""COMPUTED_VALUE"""),4.0)</f>
        <v>4</v>
      </c>
      <c r="AE306" s="10">
        <f>IFERROR(__xludf.DUMMYFUNCTION("""COMPUTED_VALUE"""),0.0)</f>
        <v>0</v>
      </c>
      <c r="AF306" s="10">
        <f>IFERROR(__xludf.DUMMYFUNCTION("""COMPUTED_VALUE"""),5.0)</f>
        <v>5</v>
      </c>
      <c r="AG306" s="10">
        <f>IFERROR(__xludf.DUMMYFUNCTION("""COMPUTED_VALUE"""),7.0)</f>
        <v>7</v>
      </c>
      <c r="AH306" s="10">
        <f>IFERROR(__xludf.DUMMYFUNCTION("""COMPUTED_VALUE"""),0.0)</f>
        <v>0</v>
      </c>
      <c r="AI306" s="10">
        <f>IFERROR(__xludf.DUMMYFUNCTION("""COMPUTED_VALUE"""),6.0)</f>
        <v>6</v>
      </c>
      <c r="AJ306" s="11" t="str">
        <f>IFERROR(__xludf.DUMMYFUNCTION("""COMPUTED_VALUE"""),"https://drive.google.com/open?id=1WgiZ3nwZWy2xExerNxneq2VlilD6WUrQ")</f>
        <v>https://drive.google.com/open?id=1WgiZ3nwZWy2xExerNxneq2VlilD6WUrQ</v>
      </c>
      <c r="AK306" s="12" t="str">
        <f>IFERROR(__xludf.DUMMYFUNCTION("""COMPUTED_VALUE"""),"Nill")</f>
        <v>Nill</v>
      </c>
      <c r="AL306" s="12"/>
      <c r="AM306" s="12"/>
      <c r="AN306" s="12" t="str">
        <f>IFERROR(__xludf.DUMMYFUNCTION("""COMPUTED_VALUE"""),"3rd week")</f>
        <v>3rd week</v>
      </c>
      <c r="AO306" s="13">
        <v>3.0</v>
      </c>
      <c r="AX306" s="17"/>
    </row>
    <row r="307">
      <c r="A307" s="8">
        <v>306.0</v>
      </c>
      <c r="B307" s="9">
        <f>IFERROR(__xludf.DUMMYFUNCTION("""COMPUTED_VALUE"""),45830.415631111115)</f>
        <v>45830.41563</v>
      </c>
      <c r="C307" s="10" t="str">
        <f>IFERROR(__xludf.DUMMYFUNCTION("""COMPUTED_VALUE"""),"Sumaia Hayat ")</f>
        <v>Sumaia Hayat </v>
      </c>
      <c r="D307" s="10" t="str">
        <f>IFERROR(__xludf.DUMMYFUNCTION("""COMPUTED_VALUE"""),"03260671819")</f>
        <v>03260671819</v>
      </c>
      <c r="E307" s="10" t="str">
        <f>IFERROR(__xludf.DUMMYFUNCTION("""COMPUTED_VALUE"""),"Jamia Masjid Hanifia Railway Road Gawaal Mandi Lahore")</f>
        <v>Jamia Masjid Hanifia Railway Road Gawaal Mandi Lahore</v>
      </c>
      <c r="F307" s="10" t="str">
        <f>IFERROR(__xludf.DUMMYFUNCTION("""COMPUTED_VALUE"""),"wvmxf")</f>
        <v>wvmxf</v>
      </c>
      <c r="G307" s="10" t="str">
        <f>IFERROR(__xludf.DUMMYFUNCTION("""COMPUTED_VALUE"""),"No")</f>
        <v>No</v>
      </c>
      <c r="H307" s="10"/>
      <c r="I307" s="10"/>
      <c r="J307" s="10"/>
      <c r="K307" s="10">
        <f>IFERROR(__xludf.DUMMYFUNCTION("""COMPUTED_VALUE"""),0.0)</f>
        <v>0</v>
      </c>
      <c r="L307" s="10">
        <f>IFERROR(__xludf.DUMMYFUNCTION("""COMPUTED_VALUE"""),0.0)</f>
        <v>0</v>
      </c>
      <c r="M307" s="10">
        <f>IFERROR(__xludf.DUMMYFUNCTION("""COMPUTED_VALUE"""),0.0)</f>
        <v>0</v>
      </c>
      <c r="N307" s="10">
        <f>IFERROR(__xludf.DUMMYFUNCTION("""COMPUTED_VALUE"""),0.0)</f>
        <v>0</v>
      </c>
      <c r="O307" s="10">
        <f>IFERROR(__xludf.DUMMYFUNCTION("""COMPUTED_VALUE"""),0.0)</f>
        <v>0</v>
      </c>
      <c r="P307" s="10">
        <f>IFERROR(__xludf.DUMMYFUNCTION("""COMPUTED_VALUE"""),0.0)</f>
        <v>0</v>
      </c>
      <c r="Q307" s="10" t="str">
        <f>IFERROR(__xludf.DUMMYFUNCTION("""COMPUTED_VALUE"""),"No")</f>
        <v>No</v>
      </c>
      <c r="R307" s="10" t="str">
        <f>IFERROR(__xludf.DUMMYFUNCTION("""COMPUTED_VALUE"""),"No")</f>
        <v>No</v>
      </c>
      <c r="S307" s="10" t="str">
        <f>IFERROR(__xludf.DUMMYFUNCTION("""COMPUTED_VALUE"""),"No")</f>
        <v>No</v>
      </c>
      <c r="T307" s="10">
        <f>IFERROR(__xludf.DUMMYFUNCTION("""COMPUTED_VALUE"""),0.0)</f>
        <v>0</v>
      </c>
      <c r="U307" s="10">
        <f>IFERROR(__xludf.DUMMYFUNCTION("""COMPUTED_VALUE"""),0.0)</f>
        <v>0</v>
      </c>
      <c r="V307" s="10" t="str">
        <f>IFERROR(__xludf.DUMMYFUNCTION("""COMPUTED_VALUE"""),"نیت کی خالصی، ریاکاری کے انجام، اور عمل کی قبولیت میں نیت کی اہمیت")</f>
        <v>نیت کی خالصی، ریاکاری کے انجام، اور عمل کی قبولیت میں نیت کی اہمیت</v>
      </c>
      <c r="W307" s="10" t="str">
        <f>IFERROR(__xludf.DUMMYFUNCTION("""COMPUTED_VALUE""")," امام نے بیان میں وضاحت کی کہ اللہ تعالیٰ کے ہاں عمل کی قبولیت کا دار و مدار خالص نیت پر ہے، نہ کہ ظاہری شان و شوکت پر۔ ریاکاری سے کیا گیا عمل قیامت کے دن باعثِ ذلت بنے گا، چاہے وہ علم، جہاد یا صدقہ کیوں نہ ہو۔
")</f>
        <v> امام نے بیان میں وضاحت کی کہ اللہ تعالیٰ کے ہاں عمل کی قبولیت کا دار و مدار خالص نیت پر ہے، نہ کہ ظاہری شان و شوکت پر۔ ریاکاری سے کیا گیا عمل قیامت کے دن باعثِ ذلت بنے گا، چاہے وہ علم، جہاد یا صدقہ کیوں نہ ہو۔
</v>
      </c>
      <c r="X307" s="10">
        <f>IFERROR(__xludf.DUMMYFUNCTION("""COMPUTED_VALUE"""),9.0)</f>
        <v>9</v>
      </c>
      <c r="Y307" s="10">
        <f>IFERROR(__xludf.DUMMYFUNCTION("""COMPUTED_VALUE"""),2.0)</f>
        <v>2</v>
      </c>
      <c r="Z307" s="10">
        <f>IFERROR(__xludf.DUMMYFUNCTION("""COMPUTED_VALUE"""),1.0)</f>
        <v>1</v>
      </c>
      <c r="AA307" s="10">
        <f>IFERROR(__xludf.DUMMYFUNCTION("""COMPUTED_VALUE"""),10.0)</f>
        <v>10</v>
      </c>
      <c r="AB307" s="10">
        <f>IFERROR(__xludf.DUMMYFUNCTION("""COMPUTED_VALUE"""),1.0)</f>
        <v>1</v>
      </c>
      <c r="AC307" s="10">
        <f>IFERROR(__xludf.DUMMYFUNCTION("""COMPUTED_VALUE"""),0.0)</f>
        <v>0</v>
      </c>
      <c r="AD307" s="10">
        <f>IFERROR(__xludf.DUMMYFUNCTION("""COMPUTED_VALUE"""),0.0)</f>
        <v>0</v>
      </c>
      <c r="AE307" s="10">
        <f>IFERROR(__xludf.DUMMYFUNCTION("""COMPUTED_VALUE"""),0.0)</f>
        <v>0</v>
      </c>
      <c r="AF307" s="10">
        <f>IFERROR(__xludf.DUMMYFUNCTION("""COMPUTED_VALUE"""),9.0)</f>
        <v>9</v>
      </c>
      <c r="AG307" s="10">
        <f>IFERROR(__xludf.DUMMYFUNCTION("""COMPUTED_VALUE"""),7.0)</f>
        <v>7</v>
      </c>
      <c r="AH307" s="10">
        <f>IFERROR(__xludf.DUMMYFUNCTION("""COMPUTED_VALUE"""),0.0)</f>
        <v>0</v>
      </c>
      <c r="AI307" s="10">
        <f>IFERROR(__xludf.DUMMYFUNCTION("""COMPUTED_VALUE"""),8.0)</f>
        <v>8</v>
      </c>
      <c r="AJ307" s="11" t="str">
        <f>IFERROR(__xludf.DUMMYFUNCTION("""COMPUTED_VALUE"""),"https://drive.google.com/open?id=1q81fqg6L1syrctP7on3JR68wzQW2qYdh")</f>
        <v>https://drive.google.com/open?id=1q81fqg6L1syrctP7on3JR68wzQW2qYdh</v>
      </c>
      <c r="AK307" s="12" t="str">
        <f>IFERROR(__xludf.DUMMYFUNCTION("""COMPUTED_VALUE"""),"بیان خالصتاً اصلاحی اور دینی جذبے سے لبریز تھا، جس میں اخلاص نیت، خود احتسابی، اور ریاکاری سے اجتناب جیسے اہم روحانی اور اخلاقی نکات کو نہایت مؤثر انداز میں اجاگر کیا گیا۔")</f>
        <v>بیان خالصتاً اصلاحی اور دینی جذبے سے لبریز تھا، جس میں اخلاص نیت، خود احتسابی، اور ریاکاری سے اجتناب جیسے اہم روحانی اور اخلاقی نکات کو نہایت مؤثر انداز میں اجاگر کیا گیا۔</v>
      </c>
      <c r="AL307" s="12"/>
      <c r="AM307" s="12"/>
      <c r="AN307" s="12" t="str">
        <f>IFERROR(__xludf.DUMMYFUNCTION("""COMPUTED_VALUE"""),"3rd week")</f>
        <v>3rd week</v>
      </c>
      <c r="AO307" s="13" t="s">
        <v>8</v>
      </c>
      <c r="AX307" s="17"/>
    </row>
    <row r="308">
      <c r="A308" s="8">
        <v>307.0</v>
      </c>
      <c r="B308" s="9">
        <f>IFERROR(__xludf.DUMMYFUNCTION("""COMPUTED_VALUE"""),45830.4328312963)</f>
        <v>45830.43283</v>
      </c>
      <c r="C308" s="10" t="str">
        <f>IFERROR(__xludf.DUMMYFUNCTION("""COMPUTED_VALUE"""),"Sumaia Hayat ")</f>
        <v>Sumaia Hayat </v>
      </c>
      <c r="D308" s="10" t="str">
        <f>IFERROR(__xludf.DUMMYFUNCTION("""COMPUTED_VALUE"""),"03260671819")</f>
        <v>03260671819</v>
      </c>
      <c r="E308" s="10" t="str">
        <f>IFERROR(__xludf.DUMMYFUNCTION("""COMPUTED_VALUE"""),"Jamia Masjid Madina Purani Anarkali Lahore")</f>
        <v>Jamia Masjid Madina Purani Anarkali Lahore</v>
      </c>
      <c r="F308" s="10" t="str">
        <f>IFERROR(__xludf.DUMMYFUNCTION("""COMPUTED_VALUE"""),"bpozt")</f>
        <v>bpozt</v>
      </c>
      <c r="G308" s="10" t="str">
        <f>IFERROR(__xludf.DUMMYFUNCTION("""COMPUTED_VALUE"""),"No")</f>
        <v>No</v>
      </c>
      <c r="H308" s="10"/>
      <c r="I308" s="10"/>
      <c r="J308" s="10"/>
      <c r="K308" s="10">
        <f>IFERROR(__xludf.DUMMYFUNCTION("""COMPUTED_VALUE"""),1.0)</f>
        <v>1</v>
      </c>
      <c r="L308" s="10">
        <f>IFERROR(__xludf.DUMMYFUNCTION("""COMPUTED_VALUE"""),0.0)</f>
        <v>0</v>
      </c>
      <c r="M308" s="10">
        <f>IFERROR(__xludf.DUMMYFUNCTION("""COMPUTED_VALUE"""),0.0)</f>
        <v>0</v>
      </c>
      <c r="N308" s="10">
        <f>IFERROR(__xludf.DUMMYFUNCTION("""COMPUTED_VALUE"""),0.0)</f>
        <v>0</v>
      </c>
      <c r="O308" s="10">
        <f>IFERROR(__xludf.DUMMYFUNCTION("""COMPUTED_VALUE"""),0.0)</f>
        <v>0</v>
      </c>
      <c r="P308" s="10">
        <f>IFERROR(__xludf.DUMMYFUNCTION("""COMPUTED_VALUE"""),0.0)</f>
        <v>0</v>
      </c>
      <c r="Q308" s="10" t="str">
        <f>IFERROR(__xludf.DUMMYFUNCTION("""COMPUTED_VALUE"""),"No")</f>
        <v>No</v>
      </c>
      <c r="R308" s="10" t="str">
        <f>IFERROR(__xludf.DUMMYFUNCTION("""COMPUTED_VALUE"""),"No")</f>
        <v>No</v>
      </c>
      <c r="S308" s="10" t="str">
        <f>IFERROR(__xludf.DUMMYFUNCTION("""COMPUTED_VALUE"""),"No")</f>
        <v>No</v>
      </c>
      <c r="T308" s="10">
        <f>IFERROR(__xludf.DUMMYFUNCTION("""COMPUTED_VALUE"""),0.0)</f>
        <v>0</v>
      </c>
      <c r="U308" s="10">
        <f>IFERROR(__xludf.DUMMYFUNCTION("""COMPUTED_VALUE"""),0.0)</f>
        <v>0</v>
      </c>
      <c r="V308" s="10" t="str">
        <f>IFERROR(__xludf.DUMMYFUNCTION("""COMPUTED_VALUE"""),"امام کا بیان ایمان، عدل، معافی، دشمن کے خلاف اسلامی ردعمل، اور فتح مکہ جیسے تاریخی واقعات سے سبق سیکھنے پر مشتمل تھا۔
")</f>
        <v>امام کا بیان ایمان، عدل، معافی، دشمن کے خلاف اسلامی ردعمل، اور فتح مکہ جیسے تاریخی واقعات سے سبق سیکھنے پر مشتمل تھا۔
</v>
      </c>
      <c r="W308" s="10" t="str">
        <f>IFERROR(__xludf.DUMMYFUNCTION("""COMPUTED_VALUE"""),"امام نے بیان کیا کہ اسلام معافی، عدل اور دشمن کے خلاف جرأت کے ساتھ کھڑے ہونے کا دین ہے۔ انہوں نے تاریخی واقعات سے یہ سبق دیا کہ کامیابی کے بعد عاجزی اختیار کرنا اور اپنی اصلاح کرتے رہنا ضروری ہے۔
")</f>
        <v>امام نے بیان کیا کہ اسلام معافی، عدل اور دشمن کے خلاف جرأت کے ساتھ کھڑے ہونے کا دین ہے۔ انہوں نے تاریخی واقعات سے یہ سبق دیا کہ کامیابی کے بعد عاجزی اختیار کرنا اور اپنی اصلاح کرتے رہنا ضروری ہے۔
</v>
      </c>
      <c r="X308" s="10">
        <f>IFERROR(__xludf.DUMMYFUNCTION("""COMPUTED_VALUE"""),7.0)</f>
        <v>7</v>
      </c>
      <c r="Y308" s="10">
        <f>IFERROR(__xludf.DUMMYFUNCTION("""COMPUTED_VALUE"""),3.0)</f>
        <v>3</v>
      </c>
      <c r="Z308" s="10">
        <f>IFERROR(__xludf.DUMMYFUNCTION("""COMPUTED_VALUE"""),4.0)</f>
        <v>4</v>
      </c>
      <c r="AA308" s="10">
        <f>IFERROR(__xludf.DUMMYFUNCTION("""COMPUTED_VALUE"""),9.0)</f>
        <v>9</v>
      </c>
      <c r="AB308" s="10">
        <f>IFERROR(__xludf.DUMMYFUNCTION("""COMPUTED_VALUE"""),8.0)</f>
        <v>8</v>
      </c>
      <c r="AC308" s="10">
        <f>IFERROR(__xludf.DUMMYFUNCTION("""COMPUTED_VALUE"""),2.0)</f>
        <v>2</v>
      </c>
      <c r="AD308" s="10">
        <f>IFERROR(__xludf.DUMMYFUNCTION("""COMPUTED_VALUE"""),0.0)</f>
        <v>0</v>
      </c>
      <c r="AE308" s="10">
        <f>IFERROR(__xludf.DUMMYFUNCTION("""COMPUTED_VALUE"""),0.0)</f>
        <v>0</v>
      </c>
      <c r="AF308" s="10">
        <f>IFERROR(__xludf.DUMMYFUNCTION("""COMPUTED_VALUE"""),7.0)</f>
        <v>7</v>
      </c>
      <c r="AG308" s="10">
        <f>IFERROR(__xludf.DUMMYFUNCTION("""COMPUTED_VALUE"""),8.0)</f>
        <v>8</v>
      </c>
      <c r="AH308" s="10">
        <f>IFERROR(__xludf.DUMMYFUNCTION("""COMPUTED_VALUE"""),0.0)</f>
        <v>0</v>
      </c>
      <c r="AI308" s="10">
        <f>IFERROR(__xludf.DUMMYFUNCTION("""COMPUTED_VALUE"""),8.0)</f>
        <v>8</v>
      </c>
      <c r="AJ308" s="11" t="str">
        <f>IFERROR(__xludf.DUMMYFUNCTION("""COMPUTED_VALUE"""),"https://docs.google.com/document/d/1DsG3B_1BtEvlHnGYutmPXTDIMAUplepM/edit?usp=sharing&amp;ouid=114985145944407922695&amp;rtpof=true&amp;sd=true")</f>
        <v>https://docs.google.com/document/d/1DsG3B_1BtEvlHnGYutmPXTDIMAUplepM/edit?usp=sharing&amp;ouid=114985145944407922695&amp;rtpof=true&amp;sd=true</v>
      </c>
      <c r="AK308" s="12" t="str">
        <f>IFERROR(__xludf.DUMMYFUNCTION("""COMPUTED_VALUE"""),"کوئی پریشانی نہیں۔ اگر آپ چاہیں تو اس بیان کو جدید تقاضوں سے ہم آہنگ بنانے، یا خواتین، نوجوانوں، اور معاشرتی اصلاح جیسے موضوعات کی شمولیت کے ساتھ وسعت دی جا سکتی ہے۔")</f>
        <v>کوئی پریشانی نہیں۔ اگر آپ چاہیں تو اس بیان کو جدید تقاضوں سے ہم آہنگ بنانے، یا خواتین، نوجوانوں، اور معاشرتی اصلاح جیسے موضوعات کی شمولیت کے ساتھ وسعت دی جا سکتی ہے۔</v>
      </c>
      <c r="AL308" s="12"/>
      <c r="AM308" s="12"/>
      <c r="AN308" s="12" t="str">
        <f>IFERROR(__xludf.DUMMYFUNCTION("""COMPUTED_VALUE"""),"5th week")</f>
        <v>5th week</v>
      </c>
      <c r="AO308" s="13" t="s">
        <v>8</v>
      </c>
      <c r="AX308" s="17"/>
    </row>
    <row r="309">
      <c r="A309" s="8">
        <v>308.0</v>
      </c>
      <c r="B309" s="9">
        <f>IFERROR(__xludf.DUMMYFUNCTION("""COMPUTED_VALUE"""),45830.456901655096)</f>
        <v>45830.4569</v>
      </c>
      <c r="C309" s="10" t="str">
        <f>IFERROR(__xludf.DUMMYFUNCTION("""COMPUTED_VALUE"""),"Asma Gul ")</f>
        <v>Asma Gul </v>
      </c>
      <c r="D309" s="10" t="str">
        <f>IFERROR(__xludf.DUMMYFUNCTION("""COMPUTED_VALUE"""),"03459308620")</f>
        <v>03459308620</v>
      </c>
      <c r="E309" s="10" t="str">
        <f>IFERROR(__xludf.DUMMYFUNCTION("""COMPUTED_VALUE"""),"Jamia Masjid Block # 1 Sargodha ")</f>
        <v>Jamia Masjid Block # 1 Sargodha </v>
      </c>
      <c r="F309" s="10" t="str">
        <f>IFERROR(__xludf.DUMMYFUNCTION("""COMPUTED_VALUE"""),"  PMXOX")</f>
        <v>  PMXOX</v>
      </c>
      <c r="G309" s="10" t="str">
        <f>IFERROR(__xludf.DUMMYFUNCTION("""COMPUTED_VALUE"""),"Yes")</f>
        <v>Yes</v>
      </c>
      <c r="H309" s="10">
        <f>IFERROR(__xludf.DUMMYFUNCTION("""COMPUTED_VALUE"""),7.0)</f>
        <v>7</v>
      </c>
      <c r="I309" s="10">
        <f>IFERROR(__xludf.DUMMYFUNCTION("""COMPUTED_VALUE"""),3.0)</f>
        <v>3</v>
      </c>
      <c r="J309" s="10">
        <f>IFERROR(__xludf.DUMMYFUNCTION("""COMPUTED_VALUE"""),7.0)</f>
        <v>7</v>
      </c>
      <c r="K309" s="10">
        <f>IFERROR(__xludf.DUMMYFUNCTION("""COMPUTED_VALUE"""),7.0)</f>
        <v>7</v>
      </c>
      <c r="L309" s="10">
        <f>IFERROR(__xludf.DUMMYFUNCTION("""COMPUTED_VALUE"""),6.0)</f>
        <v>6</v>
      </c>
      <c r="M309" s="10">
        <f>IFERROR(__xludf.DUMMYFUNCTION("""COMPUTED_VALUE"""),7.0)</f>
        <v>7</v>
      </c>
      <c r="N309" s="10">
        <f>IFERROR(__xludf.DUMMYFUNCTION("""COMPUTED_VALUE"""),6.0)</f>
        <v>6</v>
      </c>
      <c r="O309" s="10">
        <f>IFERROR(__xludf.DUMMYFUNCTION("""COMPUTED_VALUE"""),7.0)</f>
        <v>7</v>
      </c>
      <c r="P309" s="10">
        <f>IFERROR(__xludf.DUMMYFUNCTION("""COMPUTED_VALUE"""),7.0)</f>
        <v>7</v>
      </c>
      <c r="Q309" s="10" t="str">
        <f>IFERROR(__xludf.DUMMYFUNCTION("""COMPUTED_VALUE"""),"No")</f>
        <v>No</v>
      </c>
      <c r="R309" s="10" t="str">
        <f>IFERROR(__xludf.DUMMYFUNCTION("""COMPUTED_VALUE"""),"Yes")</f>
        <v>Yes</v>
      </c>
      <c r="S309" s="10" t="str">
        <f>IFERROR(__xludf.DUMMYFUNCTION("""COMPUTED_VALUE"""),"No")</f>
        <v>No</v>
      </c>
      <c r="T309" s="10">
        <f>IFERROR(__xludf.DUMMYFUNCTION("""COMPUTED_VALUE"""),2.0)</f>
        <v>2</v>
      </c>
      <c r="U309" s="10">
        <f>IFERROR(__xludf.DUMMYFUNCTION("""COMPUTED_VALUE"""),2.0)</f>
        <v>2</v>
      </c>
      <c r="V309" s="10" t="str">
        <f>IFERROR(__xludf.DUMMYFUNCTION("""COMPUTED_VALUE"""),"عبادت کی اہمیت ")</f>
        <v>عبادت کی اہمیت </v>
      </c>
      <c r="W309" s="10" t="str">
        <f>IFERROR(__xludf.DUMMYFUNCTION("""COMPUTED_VALUE"""),"شیطان انسان کو بھڑکاتا ہے اور مختلف طریقے سے اپنے کام سے ورغلاتا  ہے عالم اور جاہل کبھی برابر نہیں ہو سکتے ہیں")</f>
        <v>شیطان انسان کو بھڑکاتا ہے اور مختلف طریقے سے اپنے کام سے ورغلاتا  ہے عالم اور جاہل کبھی برابر نہیں ہو سکتے ہیں</v>
      </c>
      <c r="X309" s="10">
        <f>IFERROR(__xludf.DUMMYFUNCTION("""COMPUTED_VALUE"""),9.0)</f>
        <v>9</v>
      </c>
      <c r="Y309" s="10">
        <f>IFERROR(__xludf.DUMMYFUNCTION("""COMPUTED_VALUE"""),9.0)</f>
        <v>9</v>
      </c>
      <c r="Z309" s="10">
        <f>IFERROR(__xludf.DUMMYFUNCTION("""COMPUTED_VALUE"""),6.0)</f>
        <v>6</v>
      </c>
      <c r="AA309" s="10">
        <f>IFERROR(__xludf.DUMMYFUNCTION("""COMPUTED_VALUE"""),9.0)</f>
        <v>9</v>
      </c>
      <c r="AB309" s="10">
        <f>IFERROR(__xludf.DUMMYFUNCTION("""COMPUTED_VALUE"""),8.0)</f>
        <v>8</v>
      </c>
      <c r="AC309" s="10">
        <f>IFERROR(__xludf.DUMMYFUNCTION("""COMPUTED_VALUE"""),6.0)</f>
        <v>6</v>
      </c>
      <c r="AD309" s="10">
        <f>IFERROR(__xludf.DUMMYFUNCTION("""COMPUTED_VALUE"""),5.0)</f>
        <v>5</v>
      </c>
      <c r="AE309" s="10">
        <f>IFERROR(__xludf.DUMMYFUNCTION("""COMPUTED_VALUE"""),3.0)</f>
        <v>3</v>
      </c>
      <c r="AF309" s="10">
        <f>IFERROR(__xludf.DUMMYFUNCTION("""COMPUTED_VALUE"""),2.0)</f>
        <v>2</v>
      </c>
      <c r="AG309" s="10">
        <f>IFERROR(__xludf.DUMMYFUNCTION("""COMPUTED_VALUE"""),8.0)</f>
        <v>8</v>
      </c>
      <c r="AH309" s="10">
        <f>IFERROR(__xludf.DUMMYFUNCTION("""COMPUTED_VALUE"""),2.0)</f>
        <v>2</v>
      </c>
      <c r="AI309" s="10">
        <f>IFERROR(__xludf.DUMMYFUNCTION("""COMPUTED_VALUE"""),2.0)</f>
        <v>2</v>
      </c>
      <c r="AJ309" s="11" t="str">
        <f>IFERROR(__xludf.DUMMYFUNCTION("""COMPUTED_VALUE"""),"https://drive.google.com/open?id=1Oi2Fku33qem98VhOZhYZAac72sZhlZ0g")</f>
        <v>https://drive.google.com/open?id=1Oi2Fku33qem98VhOZhYZAac72sZhlZ0g</v>
      </c>
      <c r="AK309" s="12"/>
      <c r="AL309" s="12" t="str">
        <f>IFERROR(__xludf.DUMMYFUNCTION("""COMPUTED_VALUE"""),"Yes")</f>
        <v>Yes</v>
      </c>
      <c r="AM309" s="15">
        <f>IFERROR(__xludf.DUMMYFUNCTION("""COMPUTED_VALUE"""),0.7)</f>
        <v>0.7</v>
      </c>
      <c r="AN309" s="12" t="str">
        <f>IFERROR(__xludf.DUMMYFUNCTION("""COMPUTED_VALUE"""),"3rd week")</f>
        <v>3rd week</v>
      </c>
      <c r="AO309" s="13" t="s">
        <v>8</v>
      </c>
      <c r="AX309" s="17"/>
    </row>
    <row r="310">
      <c r="A310" s="8">
        <v>309.0</v>
      </c>
      <c r="B310" s="9">
        <f>IFERROR(__xludf.DUMMYFUNCTION("""COMPUTED_VALUE"""),45830.46132091436)</f>
        <v>45830.46132</v>
      </c>
      <c r="C310" s="10" t="str">
        <f>IFERROR(__xludf.DUMMYFUNCTION("""COMPUTED_VALUE"""),"Asma Gul ")</f>
        <v>Asma Gul </v>
      </c>
      <c r="D310" s="10" t="str">
        <f>IFERROR(__xludf.DUMMYFUNCTION("""COMPUTED_VALUE"""),"03459308620")</f>
        <v>03459308620</v>
      </c>
      <c r="E310" s="10" t="str">
        <f>IFERROR(__xludf.DUMMYFUNCTION("""COMPUTED_VALUE"""),"Jamia Masjid Darbar Shah Dhola Gujrat ")</f>
        <v>Jamia Masjid Darbar Shah Dhola Gujrat </v>
      </c>
      <c r="F310" s="10" t="str">
        <f>IFERROR(__xludf.DUMMYFUNCTION("""COMPUTED_VALUE""")," QAQID ")</f>
        <v> QAQID </v>
      </c>
      <c r="G310" s="10" t="str">
        <f>IFERROR(__xludf.DUMMYFUNCTION("""COMPUTED_VALUE"""),"Yes")</f>
        <v>Yes</v>
      </c>
      <c r="H310" s="10">
        <f>IFERROR(__xludf.DUMMYFUNCTION("""COMPUTED_VALUE"""),7.0)</f>
        <v>7</v>
      </c>
      <c r="I310" s="10">
        <f>IFERROR(__xludf.DUMMYFUNCTION("""COMPUTED_VALUE"""),4.0)</f>
        <v>4</v>
      </c>
      <c r="J310" s="10">
        <f>IFERROR(__xludf.DUMMYFUNCTION("""COMPUTED_VALUE"""),5.0)</f>
        <v>5</v>
      </c>
      <c r="K310" s="10">
        <f>IFERROR(__xludf.DUMMYFUNCTION("""COMPUTED_VALUE"""),3.0)</f>
        <v>3</v>
      </c>
      <c r="L310" s="10">
        <f>IFERROR(__xludf.DUMMYFUNCTION("""COMPUTED_VALUE"""),4.0)</f>
        <v>4</v>
      </c>
      <c r="M310" s="10">
        <f>IFERROR(__xludf.DUMMYFUNCTION("""COMPUTED_VALUE"""),5.0)</f>
        <v>5</v>
      </c>
      <c r="N310" s="10">
        <f>IFERROR(__xludf.DUMMYFUNCTION("""COMPUTED_VALUE"""),5.0)</f>
        <v>5</v>
      </c>
      <c r="O310" s="10">
        <f>IFERROR(__xludf.DUMMYFUNCTION("""COMPUTED_VALUE"""),5.0)</f>
        <v>5</v>
      </c>
      <c r="P310" s="10">
        <f>IFERROR(__xludf.DUMMYFUNCTION("""COMPUTED_VALUE"""),4.0)</f>
        <v>4</v>
      </c>
      <c r="Q310" s="10" t="str">
        <f>IFERROR(__xludf.DUMMYFUNCTION("""COMPUTED_VALUE"""),"Yes")</f>
        <v>Yes</v>
      </c>
      <c r="R310" s="10" t="str">
        <f>IFERROR(__xludf.DUMMYFUNCTION("""COMPUTED_VALUE"""),"No")</f>
        <v>No</v>
      </c>
      <c r="S310" s="10" t="str">
        <f>IFERROR(__xludf.DUMMYFUNCTION("""COMPUTED_VALUE"""),"Yes")</f>
        <v>Yes</v>
      </c>
      <c r="T310" s="10">
        <f>IFERROR(__xludf.DUMMYFUNCTION("""COMPUTED_VALUE"""),5.0)</f>
        <v>5</v>
      </c>
      <c r="U310" s="10">
        <f>IFERROR(__xludf.DUMMYFUNCTION("""COMPUTED_VALUE"""),5.0)</f>
        <v>5</v>
      </c>
      <c r="V310" s="10" t="str">
        <f>IFERROR(__xludf.DUMMYFUNCTION("""COMPUTED_VALUE"""),"درود شریف کی اہمیت فضیلت")</f>
        <v>درود شریف کی اہمیت فضیلت</v>
      </c>
      <c r="W310" s="10" t="str">
        <f>IFERROR(__xludf.DUMMYFUNCTION("""COMPUTED_VALUE"""),"میں نے ابھی علم پہ درود پینے چاہیے کیونکہ فرشتے بھی ان پر درود بھیجتے ہیں اگر کوئی بھی عبادت یا ایت سنی جائے تو اسے بالکل خاموشی سے اور احترام سے سنا جائے ۔")</f>
        <v>میں نے ابھی علم پہ درود پینے چاہیے کیونکہ فرشتے بھی ان پر درود بھیجتے ہیں اگر کوئی بھی عبادت یا ایت سنی جائے تو اسے بالکل خاموشی سے اور احترام سے سنا جائے ۔</v>
      </c>
      <c r="X310" s="10">
        <f>IFERROR(__xludf.DUMMYFUNCTION("""COMPUTED_VALUE"""),8.0)</f>
        <v>8</v>
      </c>
      <c r="Y310" s="10">
        <f>IFERROR(__xludf.DUMMYFUNCTION("""COMPUTED_VALUE"""),9.0)</f>
        <v>9</v>
      </c>
      <c r="Z310" s="10">
        <f>IFERROR(__xludf.DUMMYFUNCTION("""COMPUTED_VALUE"""),6.0)</f>
        <v>6</v>
      </c>
      <c r="AA310" s="10">
        <f>IFERROR(__xludf.DUMMYFUNCTION("""COMPUTED_VALUE"""),8.0)</f>
        <v>8</v>
      </c>
      <c r="AB310" s="10">
        <f>IFERROR(__xludf.DUMMYFUNCTION("""COMPUTED_VALUE"""),8.0)</f>
        <v>8</v>
      </c>
      <c r="AC310" s="10">
        <f>IFERROR(__xludf.DUMMYFUNCTION("""COMPUTED_VALUE"""),7.0)</f>
        <v>7</v>
      </c>
      <c r="AD310" s="10">
        <f>IFERROR(__xludf.DUMMYFUNCTION("""COMPUTED_VALUE"""),6.0)</f>
        <v>6</v>
      </c>
      <c r="AE310" s="10">
        <f>IFERROR(__xludf.DUMMYFUNCTION("""COMPUTED_VALUE"""),7.0)</f>
        <v>7</v>
      </c>
      <c r="AF310" s="10">
        <f>IFERROR(__xludf.DUMMYFUNCTION("""COMPUTED_VALUE"""),2.0)</f>
        <v>2</v>
      </c>
      <c r="AG310" s="10">
        <f>IFERROR(__xludf.DUMMYFUNCTION("""COMPUTED_VALUE"""),10.0)</f>
        <v>10</v>
      </c>
      <c r="AH310" s="10">
        <f>IFERROR(__xludf.DUMMYFUNCTION("""COMPUTED_VALUE"""),1.0)</f>
        <v>1</v>
      </c>
      <c r="AI310" s="10">
        <f>IFERROR(__xludf.DUMMYFUNCTION("""COMPUTED_VALUE"""),8.0)</f>
        <v>8</v>
      </c>
      <c r="AJ310" s="11" t="str">
        <f>IFERROR(__xludf.DUMMYFUNCTION("""COMPUTED_VALUE"""),"https://drive.google.com/open?id=1jJL8CQEchqSO841-hGCR5D9RlBj-ME53")</f>
        <v>https://drive.google.com/open?id=1jJL8CQEchqSO841-hGCR5D9RlBj-ME53</v>
      </c>
      <c r="AK310" s="12"/>
      <c r="AL310" s="12" t="str">
        <f>IFERROR(__xludf.DUMMYFUNCTION("""COMPUTED_VALUE"""),"Yes")</f>
        <v>Yes</v>
      </c>
      <c r="AM310" s="15">
        <f>IFERROR(__xludf.DUMMYFUNCTION("""COMPUTED_VALUE"""),0.8)</f>
        <v>0.8</v>
      </c>
      <c r="AN310" s="12" t="str">
        <f>IFERROR(__xludf.DUMMYFUNCTION("""COMPUTED_VALUE"""),"3rd week")</f>
        <v>3rd week</v>
      </c>
      <c r="AO310" s="13" t="s">
        <v>8</v>
      </c>
      <c r="AX310" s="17"/>
    </row>
    <row r="311">
      <c r="A311" s="8">
        <v>310.0</v>
      </c>
      <c r="B311" s="9">
        <f>IFERROR(__xludf.DUMMYFUNCTION("""COMPUTED_VALUE"""),45830.54510888889)</f>
        <v>45830.54511</v>
      </c>
      <c r="C311" s="10" t="str">
        <f>IFERROR(__xludf.DUMMYFUNCTION("""COMPUTED_VALUE"""),"Muqaddas bibi ")</f>
        <v>Muqaddas bibi </v>
      </c>
      <c r="D311" s="10" t="str">
        <f>IFERROR(__xludf.DUMMYFUNCTION("""COMPUTED_VALUE"""),"03075314147")</f>
        <v>03075314147</v>
      </c>
      <c r="E311" s="10" t="str">
        <f>IFERROR(__xludf.DUMMYFUNCTION("""COMPUTED_VALUE"""),"Jamia masjid shah Hussain  Gujrat ")</f>
        <v>Jamia masjid shah Hussain  Gujrat </v>
      </c>
      <c r="F311" s="10" t="str">
        <f>IFERROR(__xludf.DUMMYFUNCTION("""COMPUTED_VALUE"""),"ECKCL")</f>
        <v>ECKCL</v>
      </c>
      <c r="G311" s="10" t="str">
        <f>IFERROR(__xludf.DUMMYFUNCTION("""COMPUTED_VALUE"""),"No")</f>
        <v>No</v>
      </c>
      <c r="H311" s="10"/>
      <c r="I311" s="10"/>
      <c r="J311" s="10"/>
      <c r="K311" s="10">
        <f>IFERROR(__xludf.DUMMYFUNCTION("""COMPUTED_VALUE"""),0.0)</f>
        <v>0</v>
      </c>
      <c r="L311" s="10">
        <f>IFERROR(__xludf.DUMMYFUNCTION("""COMPUTED_VALUE"""),0.0)</f>
        <v>0</v>
      </c>
      <c r="M311" s="10">
        <f>IFERROR(__xludf.DUMMYFUNCTION("""COMPUTED_VALUE"""),0.0)</f>
        <v>0</v>
      </c>
      <c r="N311" s="10">
        <f>IFERROR(__xludf.DUMMYFUNCTION("""COMPUTED_VALUE"""),0.0)</f>
        <v>0</v>
      </c>
      <c r="O311" s="10">
        <f>IFERROR(__xludf.DUMMYFUNCTION("""COMPUTED_VALUE"""),0.0)</f>
        <v>0</v>
      </c>
      <c r="P311" s="10">
        <f>IFERROR(__xludf.DUMMYFUNCTION("""COMPUTED_VALUE"""),0.0)</f>
        <v>0</v>
      </c>
      <c r="Q311" s="10" t="str">
        <f>IFERROR(__xludf.DUMMYFUNCTION("""COMPUTED_VALUE"""),"No")</f>
        <v>No</v>
      </c>
      <c r="R311" s="10" t="str">
        <f>IFERROR(__xludf.DUMMYFUNCTION("""COMPUTED_VALUE"""),"No")</f>
        <v>No</v>
      </c>
      <c r="S311" s="10" t="str">
        <f>IFERROR(__xludf.DUMMYFUNCTION("""COMPUTED_VALUE"""),"No")</f>
        <v>No</v>
      </c>
      <c r="T311" s="10">
        <f>IFERROR(__xludf.DUMMYFUNCTION("""COMPUTED_VALUE"""),0.0)</f>
        <v>0</v>
      </c>
      <c r="U311" s="10">
        <f>IFERROR(__xludf.DUMMYFUNCTION("""COMPUTED_VALUE"""),0.0)</f>
        <v>0</v>
      </c>
      <c r="V311" s="10" t="str">
        <f>IFERROR(__xludf.DUMMYFUNCTION("""COMPUTED_VALUE"""),"نبی کریم صلی اللہ علیہ والہ وسلم سے محبت اور مکمل ایمان")</f>
        <v>نبی کریم صلی اللہ علیہ والہ وسلم سے محبت اور مکمل ایمان</v>
      </c>
      <c r="W311" s="10" t="str">
        <f>IFERROR(__xludf.DUMMYFUNCTION("""COMPUTED_VALUE"""),"اس خطبے میں نبی کریم کی ذات سے سچی اور عملی محبت کی اہمیت بتائی گئی ہے اور زور دیا گیا ہے کہ جب تک انسان حضور پاک کو ہر رشتے مال اور دنیاوی چیز سے زیادہ محبوب نہ سمجھے اس کا ایمان مکمل نہیں ہوتا")</f>
        <v>اس خطبے میں نبی کریم کی ذات سے سچی اور عملی محبت کی اہمیت بتائی گئی ہے اور زور دیا گیا ہے کہ جب تک انسان حضور پاک کو ہر رشتے مال اور دنیاوی چیز سے زیادہ محبوب نہ سمجھے اس کا ایمان مکمل نہیں ہوتا</v>
      </c>
      <c r="X311" s="10">
        <f>IFERROR(__xludf.DUMMYFUNCTION("""COMPUTED_VALUE"""),2.0)</f>
        <v>2</v>
      </c>
      <c r="Y311" s="10">
        <f>IFERROR(__xludf.DUMMYFUNCTION("""COMPUTED_VALUE"""),0.0)</f>
        <v>0</v>
      </c>
      <c r="Z311" s="10">
        <f>IFERROR(__xludf.DUMMYFUNCTION("""COMPUTED_VALUE"""),4.0)</f>
        <v>4</v>
      </c>
      <c r="AA311" s="10">
        <f>IFERROR(__xludf.DUMMYFUNCTION("""COMPUTED_VALUE"""),3.0)</f>
        <v>3</v>
      </c>
      <c r="AB311" s="10">
        <f>IFERROR(__xludf.DUMMYFUNCTION("""COMPUTED_VALUE"""),5.0)</f>
        <v>5</v>
      </c>
      <c r="AC311" s="10">
        <f>IFERROR(__xludf.DUMMYFUNCTION("""COMPUTED_VALUE"""),1.0)</f>
        <v>1</v>
      </c>
      <c r="AD311" s="10">
        <f>IFERROR(__xludf.DUMMYFUNCTION("""COMPUTED_VALUE"""),3.0)</f>
        <v>3</v>
      </c>
      <c r="AE311" s="10">
        <f>IFERROR(__xludf.DUMMYFUNCTION("""COMPUTED_VALUE"""),0.0)</f>
        <v>0</v>
      </c>
      <c r="AF311" s="10">
        <f>IFERROR(__xludf.DUMMYFUNCTION("""COMPUTED_VALUE"""),6.0)</f>
        <v>6</v>
      </c>
      <c r="AG311" s="10">
        <f>IFERROR(__xludf.DUMMYFUNCTION("""COMPUTED_VALUE"""),9.0)</f>
        <v>9</v>
      </c>
      <c r="AH311" s="10">
        <f>IFERROR(__xludf.DUMMYFUNCTION("""COMPUTED_VALUE"""),1.0)</f>
        <v>1</v>
      </c>
      <c r="AI311" s="10">
        <f>IFERROR(__xludf.DUMMYFUNCTION("""COMPUTED_VALUE"""),6.0)</f>
        <v>6</v>
      </c>
      <c r="AJ311" s="11" t="str">
        <f>IFERROR(__xludf.DUMMYFUNCTION("""COMPUTED_VALUE"""),"https://drive.google.com/open?id=1X-Af5qtsijDTmfRCp9eEYbQEjCGCX5V4jtO_3elu5So")</f>
        <v>https://drive.google.com/open?id=1X-Af5qtsijDTmfRCp9eEYbQEjCGCX5V4jtO_3elu5So</v>
      </c>
      <c r="AK311" s="12"/>
      <c r="AL311" s="12"/>
      <c r="AM311" s="12"/>
      <c r="AN311" s="12" t="str">
        <f>IFERROR(__xludf.DUMMYFUNCTION("""COMPUTED_VALUE"""),"1st week")</f>
        <v>1st week</v>
      </c>
      <c r="AO311" s="13">
        <v>1.0</v>
      </c>
      <c r="AX311" s="17"/>
    </row>
    <row r="312">
      <c r="A312" s="8">
        <v>311.0</v>
      </c>
      <c r="B312" s="9">
        <f>IFERROR(__xludf.DUMMYFUNCTION("""COMPUTED_VALUE"""),45830.67041827546)</f>
        <v>45830.67042</v>
      </c>
      <c r="C312" s="10" t="str">
        <f>IFERROR(__xludf.DUMMYFUNCTION("""COMPUTED_VALUE"""),"Sumaia Hayat ")</f>
        <v>Sumaia Hayat </v>
      </c>
      <c r="D312" s="10" t="str">
        <f>IFERROR(__xludf.DUMMYFUNCTION("""COMPUTED_VALUE"""),"03260671819")</f>
        <v>03260671819</v>
      </c>
      <c r="E312" s="10" t="str">
        <f>IFERROR(__xludf.DUMMYFUNCTION("""COMPUTED_VALUE"""),"Jamia masjid Hafiz Noor Jhelum")</f>
        <v>Jamia masjid Hafiz Noor Jhelum</v>
      </c>
      <c r="F312" s="10" t="str">
        <f>IFERROR(__xludf.DUMMYFUNCTION("""COMPUTED_VALUE"""),"PXOLR")</f>
        <v>PXOLR</v>
      </c>
      <c r="G312" s="10" t="str">
        <f>IFERROR(__xludf.DUMMYFUNCTION("""COMPUTED_VALUE"""),"Yes")</f>
        <v>Yes</v>
      </c>
      <c r="H312" s="10">
        <f>IFERROR(__xludf.DUMMYFUNCTION("""COMPUTED_VALUE"""),9.0)</f>
        <v>9</v>
      </c>
      <c r="I312" s="10">
        <f>IFERROR(__xludf.DUMMYFUNCTION("""COMPUTED_VALUE"""),2.0)</f>
        <v>2</v>
      </c>
      <c r="J312" s="10">
        <f>IFERROR(__xludf.DUMMYFUNCTION("""COMPUTED_VALUE"""),9.0)</f>
        <v>9</v>
      </c>
      <c r="K312" s="10">
        <f>IFERROR(__xludf.DUMMYFUNCTION("""COMPUTED_VALUE"""),4.0)</f>
        <v>4</v>
      </c>
      <c r="L312" s="10">
        <f>IFERROR(__xludf.DUMMYFUNCTION("""COMPUTED_VALUE"""),2.0)</f>
        <v>2</v>
      </c>
      <c r="M312" s="10">
        <f>IFERROR(__xludf.DUMMYFUNCTION("""COMPUTED_VALUE"""),3.0)</f>
        <v>3</v>
      </c>
      <c r="N312" s="10">
        <f>IFERROR(__xludf.DUMMYFUNCTION("""COMPUTED_VALUE"""),2.0)</f>
        <v>2</v>
      </c>
      <c r="O312" s="10">
        <f>IFERROR(__xludf.DUMMYFUNCTION("""COMPUTED_VALUE"""),3.0)</f>
        <v>3</v>
      </c>
      <c r="P312" s="10">
        <f>IFERROR(__xludf.DUMMYFUNCTION("""COMPUTED_VALUE"""),1.0)</f>
        <v>1</v>
      </c>
      <c r="Q312" s="10" t="str">
        <f>IFERROR(__xludf.DUMMYFUNCTION("""COMPUTED_VALUE"""),"No")</f>
        <v>No</v>
      </c>
      <c r="R312" s="10" t="str">
        <f>IFERROR(__xludf.DUMMYFUNCTION("""COMPUTED_VALUE"""),"No")</f>
        <v>No</v>
      </c>
      <c r="S312" s="10" t="str">
        <f>IFERROR(__xludf.DUMMYFUNCTION("""COMPUTED_VALUE"""),"No")</f>
        <v>No</v>
      </c>
      <c r="T312" s="10">
        <f>IFERROR(__xludf.DUMMYFUNCTION("""COMPUTED_VALUE"""),0.0)</f>
        <v>0</v>
      </c>
      <c r="U312" s="10">
        <f>IFERROR(__xludf.DUMMYFUNCTION("""COMPUTED_VALUE"""),0.0)</f>
        <v>0</v>
      </c>
      <c r="V312" s="10" t="str">
        <f>IFERROR(__xludf.DUMMYFUNCTION("""COMPUTED_VALUE"""),"حج کی اہمیت، تقویٰ، قربانی، اور اللہ سے قرب حاصل کرنے کی کوشش۔
")</f>
        <v>حج کی اہمیت، تقویٰ، قربانی، اور اللہ سے قرب حاصل کرنے کی کوشش۔
</v>
      </c>
      <c r="W312" s="10" t="str">
        <f>IFERROR(__xludf.DUMMYFUNCTION("""COMPUTED_VALUE"""),"امام نے حج کی عبادات، نیت، اخلاص، قربانی، اور روحانی فائدے پر زور دیا۔ انہوں نے ایسے اعمال بھی بیان کیے جو حج کا ثواب دلاتے ہیں، اور اللہ سے تعلق کو مضبوط کرنے کی تلقین کی۔
")</f>
        <v>امام نے حج کی عبادات، نیت، اخلاص، قربانی، اور روحانی فائدے پر زور دیا۔ انہوں نے ایسے اعمال بھی بیان کیے جو حج کا ثواب دلاتے ہیں، اور اللہ سے تعلق کو مضبوط کرنے کی تلقین کی۔
</v>
      </c>
      <c r="X312" s="10">
        <f>IFERROR(__xludf.DUMMYFUNCTION("""COMPUTED_VALUE"""),9.0)</f>
        <v>9</v>
      </c>
      <c r="Y312" s="10">
        <f>IFERROR(__xludf.DUMMYFUNCTION("""COMPUTED_VALUE"""),3.0)</f>
        <v>3</v>
      </c>
      <c r="Z312" s="10">
        <f>IFERROR(__xludf.DUMMYFUNCTION("""COMPUTED_VALUE"""),4.0)</f>
        <v>4</v>
      </c>
      <c r="AA312" s="10">
        <f>IFERROR(__xludf.DUMMYFUNCTION("""COMPUTED_VALUE"""),10.0)</f>
        <v>10</v>
      </c>
      <c r="AB312" s="10">
        <f>IFERROR(__xludf.DUMMYFUNCTION("""COMPUTED_VALUE"""),6.0)</f>
        <v>6</v>
      </c>
      <c r="AC312" s="10">
        <f>IFERROR(__xludf.DUMMYFUNCTION("""COMPUTED_VALUE"""),2.0)</f>
        <v>2</v>
      </c>
      <c r="AD312" s="10">
        <f>IFERROR(__xludf.DUMMYFUNCTION("""COMPUTED_VALUE"""),4.0)</f>
        <v>4</v>
      </c>
      <c r="AE312" s="10">
        <f>IFERROR(__xludf.DUMMYFUNCTION("""COMPUTED_VALUE"""),0.0)</f>
        <v>0</v>
      </c>
      <c r="AF312" s="10">
        <f>IFERROR(__xludf.DUMMYFUNCTION("""COMPUTED_VALUE"""),7.0)</f>
        <v>7</v>
      </c>
      <c r="AG312" s="10">
        <f>IFERROR(__xludf.DUMMYFUNCTION("""COMPUTED_VALUE"""),8.0)</f>
        <v>8</v>
      </c>
      <c r="AH312" s="10">
        <f>IFERROR(__xludf.DUMMYFUNCTION("""COMPUTED_VALUE"""),0.0)</f>
        <v>0</v>
      </c>
      <c r="AI312" s="10">
        <f>IFERROR(__xludf.DUMMYFUNCTION("""COMPUTED_VALUE"""),8.0)</f>
        <v>8</v>
      </c>
      <c r="AJ312" s="11" t="str">
        <f>IFERROR(__xludf.DUMMYFUNCTION("""COMPUTED_VALUE"""),"https://drive.google.com/open?id=1Q7rneHPVb8FIXpbfxLYe_flTxcxWtexO")</f>
        <v>https://drive.google.com/open?id=1Q7rneHPVb8FIXpbfxLYe_flTxcxWtexO</v>
      </c>
      <c r="AK312" s="12" t="str">
        <f>IFERROR(__xludf.DUMMYFUNCTION("""COMPUTED_VALUE"""),"الحمدللہ، کوئی پریشانی نہیں، یہ تجزیہ مکمل ہے۔ اگر آپ چاہیں تو اسی بیان کے حوالے سے مزید تجزیے یا نکات بھی فراہم کیے جا سکتے ہیں 
")</f>
        <v>الحمدللہ، کوئی پریشانی نہیں، یہ تجزیہ مکمل ہے۔ اگر آپ چاہیں تو اسی بیان کے حوالے سے مزید تجزیے یا نکات بھی فراہم کیے جا سکتے ہیں 
</v>
      </c>
      <c r="AL312" s="12" t="str">
        <f>IFERROR(__xludf.DUMMYFUNCTION("""COMPUTED_VALUE"""),"Yes")</f>
        <v>Yes</v>
      </c>
      <c r="AM312" s="15">
        <f>IFERROR(__xludf.DUMMYFUNCTION("""COMPUTED_VALUE"""),0.9)</f>
        <v>0.9</v>
      </c>
      <c r="AN312" s="12" t="str">
        <f>IFERROR(__xludf.DUMMYFUNCTION("""COMPUTED_VALUE"""),"1st week")</f>
        <v>1st week</v>
      </c>
      <c r="AO312" s="13">
        <v>1.0</v>
      </c>
      <c r="AX312" s="17"/>
    </row>
    <row r="313">
      <c r="A313" s="8">
        <v>312.0</v>
      </c>
      <c r="B313" s="9">
        <f>IFERROR(__xludf.DUMMYFUNCTION("""COMPUTED_VALUE"""),45831.23059664352)</f>
        <v>45831.2306</v>
      </c>
      <c r="C313" s="10" t="str">
        <f>IFERROR(__xludf.DUMMYFUNCTION("""COMPUTED_VALUE"""),"Asma Gul ")</f>
        <v>Asma Gul </v>
      </c>
      <c r="D313" s="10" t="str">
        <f>IFERROR(__xludf.DUMMYFUNCTION("""COMPUTED_VALUE"""),"03459308620")</f>
        <v>03459308620</v>
      </c>
      <c r="E313" s="10" t="str">
        <f>IFERROR(__xludf.DUMMYFUNCTION("""COMPUTED_VALUE"""),"Jamia Masjid Masa Dewaan Shiekhupura ")</f>
        <v>Jamia Masjid Masa Dewaan Shiekhupura </v>
      </c>
      <c r="F313" s="10" t="str">
        <f>IFERROR(__xludf.DUMMYFUNCTION("""COMPUTED_VALUE"""),"  ZJBWK")</f>
        <v>  ZJBWK</v>
      </c>
      <c r="G313" s="10" t="str">
        <f>IFERROR(__xludf.DUMMYFUNCTION("""COMPUTED_VALUE"""),"Yes")</f>
        <v>Yes</v>
      </c>
      <c r="H313" s="10">
        <f>IFERROR(__xludf.DUMMYFUNCTION("""COMPUTED_VALUE"""),9.0)</f>
        <v>9</v>
      </c>
      <c r="I313" s="10">
        <f>IFERROR(__xludf.DUMMYFUNCTION("""COMPUTED_VALUE"""),1.0)</f>
        <v>1</v>
      </c>
      <c r="J313" s="10">
        <f>IFERROR(__xludf.DUMMYFUNCTION("""COMPUTED_VALUE"""),8.0)</f>
        <v>8</v>
      </c>
      <c r="K313" s="10">
        <f>IFERROR(__xludf.DUMMYFUNCTION("""COMPUTED_VALUE"""),8.0)</f>
        <v>8</v>
      </c>
      <c r="L313" s="10">
        <f>IFERROR(__xludf.DUMMYFUNCTION("""COMPUTED_VALUE"""),5.0)</f>
        <v>5</v>
      </c>
      <c r="M313" s="10">
        <f>IFERROR(__xludf.DUMMYFUNCTION("""COMPUTED_VALUE"""),7.0)</f>
        <v>7</v>
      </c>
      <c r="N313" s="10">
        <f>IFERROR(__xludf.DUMMYFUNCTION("""COMPUTED_VALUE"""),8.0)</f>
        <v>8</v>
      </c>
      <c r="O313" s="10">
        <f>IFERROR(__xludf.DUMMYFUNCTION("""COMPUTED_VALUE"""),8.0)</f>
        <v>8</v>
      </c>
      <c r="P313" s="10">
        <f>IFERROR(__xludf.DUMMYFUNCTION("""COMPUTED_VALUE"""),6.0)</f>
        <v>6</v>
      </c>
      <c r="Q313" s="10" t="str">
        <f>IFERROR(__xludf.DUMMYFUNCTION("""COMPUTED_VALUE"""),"No")</f>
        <v>No</v>
      </c>
      <c r="R313" s="10" t="str">
        <f>IFERROR(__xludf.DUMMYFUNCTION("""COMPUTED_VALUE"""),"No")</f>
        <v>No</v>
      </c>
      <c r="S313" s="10" t="str">
        <f>IFERROR(__xludf.DUMMYFUNCTION("""COMPUTED_VALUE"""),"No")</f>
        <v>No</v>
      </c>
      <c r="T313" s="10">
        <f>IFERROR(__xludf.DUMMYFUNCTION("""COMPUTED_VALUE"""),2.0)</f>
        <v>2</v>
      </c>
      <c r="U313" s="10">
        <f>IFERROR(__xludf.DUMMYFUNCTION("""COMPUTED_VALUE"""),2.0)</f>
        <v>2</v>
      </c>
      <c r="V313" s="10" t="str">
        <f>IFERROR(__xludf.DUMMYFUNCTION("""COMPUTED_VALUE"""),"صحابہ کرام کی شان ")</f>
        <v>صحابہ کرام کی شان </v>
      </c>
      <c r="W313" s="10" t="str">
        <f>IFERROR(__xludf.DUMMYFUNCTION("""COMPUTED_VALUE"""),"حضرت عثمان ذوالنورین کا ذکر کیا انکی سخاوت کا ذکر کیا گیا صحابہ کرام کی شان بیان کی گئی ہے ")</f>
        <v>حضرت عثمان ذوالنورین کا ذکر کیا انکی سخاوت کا ذکر کیا گیا صحابہ کرام کی شان بیان کی گئی ہے </v>
      </c>
      <c r="X313" s="10">
        <f>IFERROR(__xludf.DUMMYFUNCTION("""COMPUTED_VALUE"""),7.0)</f>
        <v>7</v>
      </c>
      <c r="Y313" s="10">
        <f>IFERROR(__xludf.DUMMYFUNCTION("""COMPUTED_VALUE"""),7.0)</f>
        <v>7</v>
      </c>
      <c r="Z313" s="10">
        <f>IFERROR(__xludf.DUMMYFUNCTION("""COMPUTED_VALUE"""),8.0)</f>
        <v>8</v>
      </c>
      <c r="AA313" s="10">
        <f>IFERROR(__xludf.DUMMYFUNCTION("""COMPUTED_VALUE"""),7.0)</f>
        <v>7</v>
      </c>
      <c r="AB313" s="10">
        <f>IFERROR(__xludf.DUMMYFUNCTION("""COMPUTED_VALUE"""),8.0)</f>
        <v>8</v>
      </c>
      <c r="AC313" s="10">
        <f>IFERROR(__xludf.DUMMYFUNCTION("""COMPUTED_VALUE"""),7.0)</f>
        <v>7</v>
      </c>
      <c r="AD313" s="10">
        <f>IFERROR(__xludf.DUMMYFUNCTION("""COMPUTED_VALUE"""),8.0)</f>
        <v>8</v>
      </c>
      <c r="AE313" s="10">
        <f>IFERROR(__xludf.DUMMYFUNCTION("""COMPUTED_VALUE"""),8.0)</f>
        <v>8</v>
      </c>
      <c r="AF313" s="10">
        <f>IFERROR(__xludf.DUMMYFUNCTION("""COMPUTED_VALUE"""),3.0)</f>
        <v>3</v>
      </c>
      <c r="AG313" s="10">
        <f>IFERROR(__xludf.DUMMYFUNCTION("""COMPUTED_VALUE"""),9.0)</f>
        <v>9</v>
      </c>
      <c r="AH313" s="10">
        <f>IFERROR(__xludf.DUMMYFUNCTION("""COMPUTED_VALUE"""),1.0)</f>
        <v>1</v>
      </c>
      <c r="AI313" s="10">
        <f>IFERROR(__xludf.DUMMYFUNCTION("""COMPUTED_VALUE"""),9.0)</f>
        <v>9</v>
      </c>
      <c r="AJ313" s="11" t="str">
        <f>IFERROR(__xludf.DUMMYFUNCTION("""COMPUTED_VALUE"""),"https://drive.google.com/open?id=1xhxNdLJLqYikLwCn4r50TB837jbeuzA3")</f>
        <v>https://drive.google.com/open?id=1xhxNdLJLqYikLwCn4r50TB837jbeuzA3</v>
      </c>
      <c r="AK313" s="12"/>
      <c r="AL313" s="12" t="str">
        <f>IFERROR(__xludf.DUMMYFUNCTION("""COMPUTED_VALUE"""),"Yes")</f>
        <v>Yes</v>
      </c>
      <c r="AM313" s="15">
        <f>IFERROR(__xludf.DUMMYFUNCTION("""COMPUTED_VALUE"""),1.0)</f>
        <v>1</v>
      </c>
      <c r="AN313" s="12" t="str">
        <f>IFERROR(__xludf.DUMMYFUNCTION("""COMPUTED_VALUE"""),"3rd week")</f>
        <v>3rd week</v>
      </c>
      <c r="AO313" s="13" t="s">
        <v>8</v>
      </c>
      <c r="AX313" s="17"/>
    </row>
    <row r="314">
      <c r="A314" s="8">
        <v>313.0</v>
      </c>
      <c r="B314" s="9">
        <f>IFERROR(__xludf.DUMMYFUNCTION("""COMPUTED_VALUE"""),45831.2323380787)</f>
        <v>45831.23234</v>
      </c>
      <c r="C314" s="10" t="str">
        <f>IFERROR(__xludf.DUMMYFUNCTION("""COMPUTED_VALUE"""),"Sumaia Hayat ")</f>
        <v>Sumaia Hayat </v>
      </c>
      <c r="D314" s="10" t="str">
        <f>IFERROR(__xludf.DUMMYFUNCTION("""COMPUTED_VALUE"""),"03260671819")</f>
        <v>03260671819</v>
      </c>
      <c r="E314" s="10" t="str">
        <f>IFERROR(__xludf.DUMMYFUNCTION("""COMPUTED_VALUE"""),"Jamia masjid syaden shah shahrazi chakwal")</f>
        <v>Jamia masjid syaden shah shahrazi chakwal</v>
      </c>
      <c r="F314" s="10" t="str">
        <f>IFERROR(__xludf.DUMMYFUNCTION("""COMPUTED_VALUE"""),"PIPXB")</f>
        <v>PIPXB</v>
      </c>
      <c r="G314" s="10" t="str">
        <f>IFERROR(__xludf.DUMMYFUNCTION("""COMPUTED_VALUE"""),"No")</f>
        <v>No</v>
      </c>
      <c r="H314" s="10"/>
      <c r="I314" s="10"/>
      <c r="J314" s="10"/>
      <c r="K314" s="10">
        <f>IFERROR(__xludf.DUMMYFUNCTION("""COMPUTED_VALUE"""),2.0)</f>
        <v>2</v>
      </c>
      <c r="L314" s="10">
        <f>IFERROR(__xludf.DUMMYFUNCTION("""COMPUTED_VALUE"""),2.0)</f>
        <v>2</v>
      </c>
      <c r="M314" s="10">
        <f>IFERROR(__xludf.DUMMYFUNCTION("""COMPUTED_VALUE"""),1.0)</f>
        <v>1</v>
      </c>
      <c r="N314" s="10">
        <f>IFERROR(__xludf.DUMMYFUNCTION("""COMPUTED_VALUE"""),2.0)</f>
        <v>2</v>
      </c>
      <c r="O314" s="10">
        <f>IFERROR(__xludf.DUMMYFUNCTION("""COMPUTED_VALUE"""),0.0)</f>
        <v>0</v>
      </c>
      <c r="P314" s="10">
        <f>IFERROR(__xludf.DUMMYFUNCTION("""COMPUTED_VALUE"""),0.0)</f>
        <v>0</v>
      </c>
      <c r="Q314" s="10" t="str">
        <f>IFERROR(__xludf.DUMMYFUNCTION("""COMPUTED_VALUE"""),"No")</f>
        <v>No</v>
      </c>
      <c r="R314" s="10" t="str">
        <f>IFERROR(__xludf.DUMMYFUNCTION("""COMPUTED_VALUE"""),"No")</f>
        <v>No</v>
      </c>
      <c r="S314" s="10" t="str">
        <f>IFERROR(__xludf.DUMMYFUNCTION("""COMPUTED_VALUE"""),"No")</f>
        <v>No</v>
      </c>
      <c r="T314" s="10">
        <f>IFERROR(__xludf.DUMMYFUNCTION("""COMPUTED_VALUE"""),0.0)</f>
        <v>0</v>
      </c>
      <c r="U314" s="10">
        <f>IFERROR(__xludf.DUMMYFUNCTION("""COMPUTED_VALUE"""),0.0)</f>
        <v>0</v>
      </c>
      <c r="V314" s="10" t="str">
        <f>IFERROR(__xludf.DUMMYFUNCTION("""COMPUTED_VALUE"""),"عزت، ظلم، علم، علما، عقیدت، قربانی اور دین کی اصل کامیابی
")</f>
        <v>عزت، ظلم، علم، علما، عقیدت، قربانی اور دین کی اصل کامیابی
</v>
      </c>
      <c r="W314" s="10" t="str">
        <f>IFERROR(__xludf.DUMMYFUNCTION("""COMPUTED_VALUE"""),"امام نے بتایا کہ اصل عزت اور کامیابی صرف اللہ کی رضا، تقویٰ، علم اور دین کے ساتھ جڑی ہوتی ہے، نہ کہ دنیاوی مرتبے سے۔ بزرگوں کی نصیحت، علما کی شان اور دین کی نسبت ہی اصل فلاح کا ذریعہ ہے۔")</f>
        <v>امام نے بتایا کہ اصل عزت اور کامیابی صرف اللہ کی رضا، تقویٰ، علم اور دین کے ساتھ جڑی ہوتی ہے، نہ کہ دنیاوی مرتبے سے۔ بزرگوں کی نصیحت، علما کی شان اور دین کی نسبت ہی اصل فلاح کا ذریعہ ہے۔</v>
      </c>
      <c r="X314" s="10">
        <f>IFERROR(__xludf.DUMMYFUNCTION("""COMPUTED_VALUE"""),6.0)</f>
        <v>6</v>
      </c>
      <c r="Y314" s="10">
        <f>IFERROR(__xludf.DUMMYFUNCTION("""COMPUTED_VALUE"""),5.0)</f>
        <v>5</v>
      </c>
      <c r="Z314" s="10">
        <f>IFERROR(__xludf.DUMMYFUNCTION("""COMPUTED_VALUE"""),6.0)</f>
        <v>6</v>
      </c>
      <c r="AA314" s="10">
        <f>IFERROR(__xludf.DUMMYFUNCTION("""COMPUTED_VALUE"""),9.0)</f>
        <v>9</v>
      </c>
      <c r="AB314" s="10">
        <f>IFERROR(__xludf.DUMMYFUNCTION("""COMPUTED_VALUE"""),8.0)</f>
        <v>8</v>
      </c>
      <c r="AC314" s="10">
        <f>IFERROR(__xludf.DUMMYFUNCTION("""COMPUTED_VALUE"""),1.0)</f>
        <v>1</v>
      </c>
      <c r="AD314" s="10">
        <f>IFERROR(__xludf.DUMMYFUNCTION("""COMPUTED_VALUE"""),0.0)</f>
        <v>0</v>
      </c>
      <c r="AE314" s="10">
        <f>IFERROR(__xludf.DUMMYFUNCTION("""COMPUTED_VALUE"""),0.0)</f>
        <v>0</v>
      </c>
      <c r="AF314" s="10">
        <f>IFERROR(__xludf.DUMMYFUNCTION("""COMPUTED_VALUE"""),8.0)</f>
        <v>8</v>
      </c>
      <c r="AG314" s="10">
        <f>IFERROR(__xludf.DUMMYFUNCTION("""COMPUTED_VALUE"""),7.0)</f>
        <v>7</v>
      </c>
      <c r="AH314" s="10">
        <f>IFERROR(__xludf.DUMMYFUNCTION("""COMPUTED_VALUE"""),0.0)</f>
        <v>0</v>
      </c>
      <c r="AI314" s="10">
        <f>IFERROR(__xludf.DUMMYFUNCTION("""COMPUTED_VALUE"""),8.0)</f>
        <v>8</v>
      </c>
      <c r="AJ314" s="11" t="str">
        <f>IFERROR(__xludf.DUMMYFUNCTION("""COMPUTED_VALUE"""),"https://drive.google.com/open?id=1-PJ6L2S3K_OiGl9j0bK9MmCXO-6x5sHF")</f>
        <v>https://drive.google.com/open?id=1-PJ6L2S3K_OiGl9j0bK9MmCXO-6x5sHF</v>
      </c>
      <c r="AK314" s="12" t="str">
        <f>IFERROR(__xludf.DUMMYFUNCTION("""COMPUTED_VALUE"""),"بیان دینی لحاظ سے مضبوط، عقیدت، علم اور تاریخ سے بھرپور تھا، مگر عملی سماجی مسائل جیسے خواتین کی تعلیم، پڑوسیوں کے حقوق یا معاشرتی خدمت جیسے موضوعات پر توجہ نسبتاً کم رہی۔ اگلی بار ان پہلوؤں کو شامل کرنا مفید ہوگا۔")</f>
        <v>بیان دینی لحاظ سے مضبوط، عقیدت، علم اور تاریخ سے بھرپور تھا، مگر عملی سماجی مسائل جیسے خواتین کی تعلیم، پڑوسیوں کے حقوق یا معاشرتی خدمت جیسے موضوعات پر توجہ نسبتاً کم رہی۔ اگلی بار ان پہلوؤں کو شامل کرنا مفید ہوگا۔</v>
      </c>
      <c r="AL314" s="12"/>
      <c r="AM314" s="12"/>
      <c r="AN314" s="12" t="str">
        <f>IFERROR(__xludf.DUMMYFUNCTION("""COMPUTED_VALUE"""),"1st week")</f>
        <v>1st week</v>
      </c>
      <c r="AO314" s="13">
        <v>1.0</v>
      </c>
      <c r="AX314" s="17"/>
    </row>
    <row r="315">
      <c r="A315" s="8">
        <v>314.0</v>
      </c>
      <c r="B315" s="9">
        <f>IFERROR(__xludf.DUMMYFUNCTION("""COMPUTED_VALUE"""),45831.4273890162)</f>
        <v>45831.42739</v>
      </c>
      <c r="C315" s="10" t="str">
        <f>IFERROR(__xludf.DUMMYFUNCTION("""COMPUTED_VALUE"""),"Muqaddas bibi ")</f>
        <v>Muqaddas bibi </v>
      </c>
      <c r="D315" s="10" t="str">
        <f>IFERROR(__xludf.DUMMYFUNCTION("""COMPUTED_VALUE"""),"03075314147")</f>
        <v>03075314147</v>
      </c>
      <c r="E315" s="10" t="str">
        <f>IFERROR(__xludf.DUMMYFUNCTION("""COMPUTED_VALUE"""),"Jamia masjid darbar badshah khushab ")</f>
        <v>Jamia masjid darbar badshah khushab </v>
      </c>
      <c r="F315" s="10" t="str">
        <f>IFERROR(__xludf.DUMMYFUNCTION("""COMPUTED_VALUE"""),"GXKKX")</f>
        <v>GXKKX</v>
      </c>
      <c r="G315" s="10" t="str">
        <f>IFERROR(__xludf.DUMMYFUNCTION("""COMPUTED_VALUE"""),"No")</f>
        <v>No</v>
      </c>
      <c r="H315" s="10"/>
      <c r="I315" s="10"/>
      <c r="J315" s="10"/>
      <c r="K315" s="10">
        <f>IFERROR(__xludf.DUMMYFUNCTION("""COMPUTED_VALUE"""),0.0)</f>
        <v>0</v>
      </c>
      <c r="L315" s="10">
        <f>IFERROR(__xludf.DUMMYFUNCTION("""COMPUTED_VALUE"""),0.0)</f>
        <v>0</v>
      </c>
      <c r="M315" s="10">
        <f>IFERROR(__xludf.DUMMYFUNCTION("""COMPUTED_VALUE"""),0.0)</f>
        <v>0</v>
      </c>
      <c r="N315" s="10">
        <f>IFERROR(__xludf.DUMMYFUNCTION("""COMPUTED_VALUE"""),0.0)</f>
        <v>0</v>
      </c>
      <c r="O315" s="10">
        <f>IFERROR(__xludf.DUMMYFUNCTION("""COMPUTED_VALUE"""),0.0)</f>
        <v>0</v>
      </c>
      <c r="P315" s="10">
        <f>IFERROR(__xludf.DUMMYFUNCTION("""COMPUTED_VALUE"""),0.0)</f>
        <v>0</v>
      </c>
      <c r="Q315" s="10" t="str">
        <f>IFERROR(__xludf.DUMMYFUNCTION("""COMPUTED_VALUE"""),"No")</f>
        <v>No</v>
      </c>
      <c r="R315" s="10" t="str">
        <f>IFERROR(__xludf.DUMMYFUNCTION("""COMPUTED_VALUE"""),"No")</f>
        <v>No</v>
      </c>
      <c r="S315" s="10" t="str">
        <f>IFERROR(__xludf.DUMMYFUNCTION("""COMPUTED_VALUE"""),"No")</f>
        <v>No</v>
      </c>
      <c r="T315" s="10">
        <f>IFERROR(__xludf.DUMMYFUNCTION("""COMPUTED_VALUE"""),0.0)</f>
        <v>0</v>
      </c>
      <c r="U315" s="10">
        <f>IFERROR(__xludf.DUMMYFUNCTION("""COMPUTED_VALUE"""),0.0)</f>
        <v>0</v>
      </c>
      <c r="V315" s="10" t="str">
        <f>IFERROR(__xludf.DUMMYFUNCTION("""COMPUTED_VALUE"""),"فضائل حج اور حج کی مختلف اقسام کا بیان")</f>
        <v>فضائل حج اور حج کی مختلف اقسام کا بیان</v>
      </c>
      <c r="W315" s="10" t="str">
        <f>IFERROR(__xludf.DUMMYFUNCTION("""COMPUTED_VALUE"""),"اس بیان میں حج کی اہمیت اس کی تین اقسام اور مناسک حج کی وضاحت دی گئی ہے اس میں ایک ایمان افروز واقعہ کے ذریعے حج کی روحانی برکات اور اللہ کی رضا حاصل کرنے کی تلقین کی گئی ہے")</f>
        <v>اس بیان میں حج کی اہمیت اس کی تین اقسام اور مناسک حج کی وضاحت دی گئی ہے اس میں ایک ایمان افروز واقعہ کے ذریعے حج کی روحانی برکات اور اللہ کی رضا حاصل کرنے کی تلقین کی گئی ہے</v>
      </c>
      <c r="X315" s="10">
        <f>IFERROR(__xludf.DUMMYFUNCTION("""COMPUTED_VALUE"""),8.0)</f>
        <v>8</v>
      </c>
      <c r="Y315" s="10">
        <f>IFERROR(__xludf.DUMMYFUNCTION("""COMPUTED_VALUE"""),0.0)</f>
        <v>0</v>
      </c>
      <c r="Z315" s="10">
        <f>IFERROR(__xludf.DUMMYFUNCTION("""COMPUTED_VALUE"""),3.0)</f>
        <v>3</v>
      </c>
      <c r="AA315" s="10">
        <f>IFERROR(__xludf.DUMMYFUNCTION("""COMPUTED_VALUE"""),3.0)</f>
        <v>3</v>
      </c>
      <c r="AB315" s="10">
        <f>IFERROR(__xludf.DUMMYFUNCTION("""COMPUTED_VALUE"""),4.0)</f>
        <v>4</v>
      </c>
      <c r="AC315" s="10">
        <f>IFERROR(__xludf.DUMMYFUNCTION("""COMPUTED_VALUE"""),5.0)</f>
        <v>5</v>
      </c>
      <c r="AD315" s="10">
        <f>IFERROR(__xludf.DUMMYFUNCTION("""COMPUTED_VALUE"""),0.0)</f>
        <v>0</v>
      </c>
      <c r="AE315" s="10">
        <f>IFERROR(__xludf.DUMMYFUNCTION("""COMPUTED_VALUE"""),0.0)</f>
        <v>0</v>
      </c>
      <c r="AF315" s="10">
        <f>IFERROR(__xludf.DUMMYFUNCTION("""COMPUTED_VALUE"""),4.0)</f>
        <v>4</v>
      </c>
      <c r="AG315" s="10">
        <f>IFERROR(__xludf.DUMMYFUNCTION("""COMPUTED_VALUE"""),6.0)</f>
        <v>6</v>
      </c>
      <c r="AH315" s="10">
        <f>IFERROR(__xludf.DUMMYFUNCTION("""COMPUTED_VALUE"""),0.0)</f>
        <v>0</v>
      </c>
      <c r="AI315" s="10">
        <f>IFERROR(__xludf.DUMMYFUNCTION("""COMPUTED_VALUE"""),8.0)</f>
        <v>8</v>
      </c>
      <c r="AJ315" s="11" t="str">
        <f>IFERROR(__xludf.DUMMYFUNCTION("""COMPUTED_VALUE"""),"https://drive.google.com/open?id=15_bCh7TWCLwlON7wlNmJYLf41Vd8_haU")</f>
        <v>https://drive.google.com/open?id=15_bCh7TWCLwlON7wlNmJYLf41Vd8_haU</v>
      </c>
      <c r="AK315" s="12" t="str">
        <f>IFERROR(__xludf.DUMMYFUNCTION("""COMPUTED_VALUE"""),"نہیں ")</f>
        <v>نہیں </v>
      </c>
      <c r="AL315" s="12"/>
      <c r="AM315" s="12"/>
      <c r="AN315" s="12" t="str">
        <f>IFERROR(__xludf.DUMMYFUNCTION("""COMPUTED_VALUE"""),"3rd week")</f>
        <v>3rd week</v>
      </c>
      <c r="AO315" s="13">
        <v>3.0</v>
      </c>
      <c r="AX315" s="17"/>
    </row>
    <row r="316">
      <c r="A316" s="8">
        <v>315.0</v>
      </c>
      <c r="B316" s="9">
        <f>IFERROR(__xludf.DUMMYFUNCTION("""COMPUTED_VALUE"""),45831.46551837963)</f>
        <v>45831.46552</v>
      </c>
      <c r="C316" s="10" t="str">
        <f>IFERROR(__xludf.DUMMYFUNCTION("""COMPUTED_VALUE"""),"Sumaia Hayat ")</f>
        <v>Sumaia Hayat </v>
      </c>
      <c r="D316" s="10" t="str">
        <f>IFERROR(__xludf.DUMMYFUNCTION("""COMPUTED_VALUE"""),"03260671819")</f>
        <v>03260671819</v>
      </c>
      <c r="E316" s="10" t="str">
        <f>IFERROR(__xludf.DUMMYFUNCTION("""COMPUTED_VALUE"""),"Jamia Masjid Darbar Nagy Shah Gujrat")</f>
        <v>Jamia Masjid Darbar Nagy Shah Gujrat</v>
      </c>
      <c r="F316" s="10" t="str">
        <f>IFERROR(__xludf.DUMMYFUNCTION("""COMPUTED_VALUE"""),"WRTAN")</f>
        <v>WRTAN</v>
      </c>
      <c r="G316" s="10" t="str">
        <f>IFERROR(__xludf.DUMMYFUNCTION("""COMPUTED_VALUE"""),"Yes")</f>
        <v>Yes</v>
      </c>
      <c r="H316" s="10">
        <f>IFERROR(__xludf.DUMMYFUNCTION("""COMPUTED_VALUE"""),0.0)</f>
        <v>0</v>
      </c>
      <c r="I316" s="10">
        <f>IFERROR(__xludf.DUMMYFUNCTION("""COMPUTED_VALUE"""),10.0)</f>
        <v>10</v>
      </c>
      <c r="J316" s="10">
        <f>IFERROR(__xludf.DUMMYFUNCTION("""COMPUTED_VALUE"""),1.0)</f>
        <v>1</v>
      </c>
      <c r="K316" s="10">
        <f>IFERROR(__xludf.DUMMYFUNCTION("""COMPUTED_VALUE"""),2.0)</f>
        <v>2</v>
      </c>
      <c r="L316" s="10">
        <f>IFERROR(__xludf.DUMMYFUNCTION("""COMPUTED_VALUE"""),1.0)</f>
        <v>1</v>
      </c>
      <c r="M316" s="10">
        <f>IFERROR(__xludf.DUMMYFUNCTION("""COMPUTED_VALUE"""),1.0)</f>
        <v>1</v>
      </c>
      <c r="N316" s="10">
        <f>IFERROR(__xludf.DUMMYFUNCTION("""COMPUTED_VALUE"""),1.0)</f>
        <v>1</v>
      </c>
      <c r="O316" s="10">
        <f>IFERROR(__xludf.DUMMYFUNCTION("""COMPUTED_VALUE"""),0.0)</f>
        <v>0</v>
      </c>
      <c r="P316" s="10">
        <f>IFERROR(__xludf.DUMMYFUNCTION("""COMPUTED_VALUE"""),0.0)</f>
        <v>0</v>
      </c>
      <c r="Q316" s="10" t="str">
        <f>IFERROR(__xludf.DUMMYFUNCTION("""COMPUTED_VALUE"""),"No")</f>
        <v>No</v>
      </c>
      <c r="R316" s="10" t="str">
        <f>IFERROR(__xludf.DUMMYFUNCTION("""COMPUTED_VALUE"""),"No")</f>
        <v>No</v>
      </c>
      <c r="S316" s="10" t="str">
        <f>IFERROR(__xludf.DUMMYFUNCTION("""COMPUTED_VALUE"""),"No")</f>
        <v>No</v>
      </c>
      <c r="T316" s="10">
        <f>IFERROR(__xludf.DUMMYFUNCTION("""COMPUTED_VALUE"""),0.0)</f>
        <v>0</v>
      </c>
      <c r="U316" s="10">
        <f>IFERROR(__xludf.DUMMYFUNCTION("""COMPUTED_VALUE"""),0.0)</f>
        <v>0</v>
      </c>
      <c r="V316" s="10" t="str">
        <f>IFERROR(__xludf.DUMMYFUNCTION("""COMPUTED_VALUE"""),"امام کا بیان سورۃ الکوثر کی روشنی میں نبی کریم ﷺ کی عظمت، اختیارات اور کوثر کی مفہوم پر تھا۔")</f>
        <v>امام کا بیان سورۃ الکوثر کی روشنی میں نبی کریم ﷺ کی عظمت، اختیارات اور کوثر کی مفہوم پر تھا۔</v>
      </c>
      <c r="W316" s="10" t="str">
        <f>IFERROR(__xludf.DUMMYFUNCTION("""COMPUTED_VALUE"""),"امام نے سورۃ الکوثر کی تفسیر بیان کرتے ہوئے نبی کریم ﷺ کو عطا کی گئی کوثر کی جامع اور ابدی شان بیان کی۔ اس عطا کو نبی کے اختیار، معجزات، شریعت، جلال، جمال، اور شفاعت سے جوڑ کر واضح کیا گیا۔
")</f>
        <v>امام نے سورۃ الکوثر کی تفسیر بیان کرتے ہوئے نبی کریم ﷺ کو عطا کی گئی کوثر کی جامع اور ابدی شان بیان کی۔ اس عطا کو نبی کے اختیار، معجزات، شریعت، جلال، جمال، اور شفاعت سے جوڑ کر واضح کیا گیا۔
</v>
      </c>
      <c r="X316" s="10">
        <f>IFERROR(__xludf.DUMMYFUNCTION("""COMPUTED_VALUE"""),6.0)</f>
        <v>6</v>
      </c>
      <c r="Y316" s="10">
        <f>IFERROR(__xludf.DUMMYFUNCTION("""COMPUTED_VALUE"""),2.0)</f>
        <v>2</v>
      </c>
      <c r="Z316" s="10">
        <f>IFERROR(__xludf.DUMMYFUNCTION("""COMPUTED_VALUE"""),2.0)</f>
        <v>2</v>
      </c>
      <c r="AA316" s="10">
        <f>IFERROR(__xludf.DUMMYFUNCTION("""COMPUTED_VALUE"""),10.0)</f>
        <v>10</v>
      </c>
      <c r="AB316" s="10">
        <f>IFERROR(__xludf.DUMMYFUNCTION("""COMPUTED_VALUE"""),6.0)</f>
        <v>6</v>
      </c>
      <c r="AC316" s="10">
        <f>IFERROR(__xludf.DUMMYFUNCTION("""COMPUTED_VALUE"""),0.0)</f>
        <v>0</v>
      </c>
      <c r="AD316" s="10">
        <f>IFERROR(__xludf.DUMMYFUNCTION("""COMPUTED_VALUE"""),1.0)</f>
        <v>1</v>
      </c>
      <c r="AE316" s="10">
        <f>IFERROR(__xludf.DUMMYFUNCTION("""COMPUTED_VALUE"""),0.0)</f>
        <v>0</v>
      </c>
      <c r="AF316" s="10">
        <f>IFERROR(__xludf.DUMMYFUNCTION("""COMPUTED_VALUE"""),8.0)</f>
        <v>8</v>
      </c>
      <c r="AG316" s="10">
        <f>IFERROR(__xludf.DUMMYFUNCTION("""COMPUTED_VALUE"""),7.0)</f>
        <v>7</v>
      </c>
      <c r="AH316" s="10">
        <f>IFERROR(__xludf.DUMMYFUNCTION("""COMPUTED_VALUE"""),0.0)</f>
        <v>0</v>
      </c>
      <c r="AI316" s="10">
        <f>IFERROR(__xludf.DUMMYFUNCTION("""COMPUTED_VALUE"""),9.0)</f>
        <v>9</v>
      </c>
      <c r="AJ316" s="11" t="str">
        <f>IFERROR(__xludf.DUMMYFUNCTION("""COMPUTED_VALUE"""),"https://drive.google.com/open?id=1NqDQjk9JKhs2ADsG34wvHcipt_AesHdh")</f>
        <v>https://drive.google.com/open?id=1NqDQjk9JKhs2ADsG34wvHcipt_AesHdh</v>
      </c>
      <c r="AK316" s="12" t="str">
        <f>IFERROR(__xludf.DUMMYFUNCTION("""COMPUTED_VALUE"""),"بیان علمی اور روحانی اعتبار سے نہایت پختہ تھا، مگر اگر امام سماجی یا معاشرتی اصلاح جیسے پہلو بھی شامل کرتے، جیسے خواتین، تعلیم، ہمسایہ، صفائی وغیرہ، تو اسے مزید متوازن اور عملی بنایا جا سکتا تھا۔
")</f>
        <v>بیان علمی اور روحانی اعتبار سے نہایت پختہ تھا، مگر اگر امام سماجی یا معاشرتی اصلاح جیسے پہلو بھی شامل کرتے، جیسے خواتین، تعلیم، ہمسایہ، صفائی وغیرہ، تو اسے مزید متوازن اور عملی بنایا جا سکتا تھا۔
</v>
      </c>
      <c r="AL316" s="12" t="str">
        <f>IFERROR(__xludf.DUMMYFUNCTION("""COMPUTED_VALUE"""),"Yes")</f>
        <v>Yes</v>
      </c>
      <c r="AM316" s="15">
        <f>IFERROR(__xludf.DUMMYFUNCTION("""COMPUTED_VALUE"""),0.0)</f>
        <v>0</v>
      </c>
      <c r="AN316" s="12" t="str">
        <f>IFERROR(__xludf.DUMMYFUNCTION("""COMPUTED_VALUE"""),"1st week")</f>
        <v>1st week</v>
      </c>
      <c r="AO316" s="13">
        <v>1.0</v>
      </c>
      <c r="AX316" s="17"/>
    </row>
    <row r="317">
      <c r="A317" s="8">
        <v>316.0</v>
      </c>
      <c r="B317" s="9">
        <f>IFERROR(__xludf.DUMMYFUNCTION("""COMPUTED_VALUE"""),45831.47229002314)</f>
        <v>45831.47229</v>
      </c>
      <c r="C317" s="10" t="str">
        <f>IFERROR(__xludf.DUMMYFUNCTION("""COMPUTED_VALUE"""),"Shahid Iqbal")</f>
        <v>Shahid Iqbal</v>
      </c>
      <c r="D317" s="10" t="str">
        <f>IFERROR(__xludf.DUMMYFUNCTION("""COMPUTED_VALUE"""),"03013665049")</f>
        <v>03013665049</v>
      </c>
      <c r="E317" s="10" t="str">
        <f>IFERROR(__xludf.DUMMYFUNCTION("""COMPUTED_VALUE"""),"Jamia Masjid afghan Jhelum")</f>
        <v>Jamia Masjid afghan Jhelum</v>
      </c>
      <c r="F317" s="10" t="str">
        <f>IFERROR(__xludf.DUMMYFUNCTION("""COMPUTED_VALUE"""),"UVNAI")</f>
        <v>UVNAI</v>
      </c>
      <c r="G317" s="10" t="str">
        <f>IFERROR(__xludf.DUMMYFUNCTION("""COMPUTED_VALUE"""),"Yes")</f>
        <v>Yes</v>
      </c>
      <c r="H317" s="10">
        <f>IFERROR(__xludf.DUMMYFUNCTION("""COMPUTED_VALUE"""),8.0)</f>
        <v>8</v>
      </c>
      <c r="I317" s="10">
        <f>IFERROR(__xludf.DUMMYFUNCTION("""COMPUTED_VALUE"""),1.0)</f>
        <v>1</v>
      </c>
      <c r="J317" s="10">
        <f>IFERROR(__xludf.DUMMYFUNCTION("""COMPUTED_VALUE"""),7.0)</f>
        <v>7</v>
      </c>
      <c r="K317" s="10">
        <f>IFERROR(__xludf.DUMMYFUNCTION("""COMPUTED_VALUE"""),8.0)</f>
        <v>8</v>
      </c>
      <c r="L317" s="10">
        <f>IFERROR(__xludf.DUMMYFUNCTION("""COMPUTED_VALUE"""),0.0)</f>
        <v>0</v>
      </c>
      <c r="M317" s="10">
        <f>IFERROR(__xludf.DUMMYFUNCTION("""COMPUTED_VALUE"""),8.0)</f>
        <v>8</v>
      </c>
      <c r="N317" s="10">
        <f>IFERROR(__xludf.DUMMYFUNCTION("""COMPUTED_VALUE"""),0.0)</f>
        <v>0</v>
      </c>
      <c r="O317" s="10">
        <f>IFERROR(__xludf.DUMMYFUNCTION("""COMPUTED_VALUE"""),8.0)</f>
        <v>8</v>
      </c>
      <c r="P317" s="10">
        <f>IFERROR(__xludf.DUMMYFUNCTION("""COMPUTED_VALUE"""),0.0)</f>
        <v>0</v>
      </c>
      <c r="Q317" s="10" t="str">
        <f>IFERROR(__xludf.DUMMYFUNCTION("""COMPUTED_VALUE"""),"Yes")</f>
        <v>Yes</v>
      </c>
      <c r="R317" s="10" t="str">
        <f>IFERROR(__xludf.DUMMYFUNCTION("""COMPUTED_VALUE"""),"No")</f>
        <v>No</v>
      </c>
      <c r="S317" s="10" t="str">
        <f>IFERROR(__xludf.DUMMYFUNCTION("""COMPUTED_VALUE"""),"No")</f>
        <v>No</v>
      </c>
      <c r="T317" s="10">
        <f>IFERROR(__xludf.DUMMYFUNCTION("""COMPUTED_VALUE"""),0.0)</f>
        <v>0</v>
      </c>
      <c r="U317" s="10">
        <f>IFERROR(__xludf.DUMMYFUNCTION("""COMPUTED_VALUE"""),0.0)</f>
        <v>0</v>
      </c>
      <c r="V317" s="10" t="str">
        <f>IFERROR(__xludf.DUMMYFUNCTION("""COMPUTED_VALUE"""),"Aurton k Haqooq")</f>
        <v>Aurton k Haqooq</v>
      </c>
      <c r="W317" s="10" t="str">
        <f>IFERROR(__xludf.DUMMYFUNCTION("""COMPUTED_VALUE"""),"Aurton k Haqooq")</f>
        <v>Aurton k Haqooq</v>
      </c>
      <c r="X317" s="10">
        <f>IFERROR(__xludf.DUMMYFUNCTION("""COMPUTED_VALUE"""),5.0)</f>
        <v>5</v>
      </c>
      <c r="Y317" s="10">
        <f>IFERROR(__xludf.DUMMYFUNCTION("""COMPUTED_VALUE"""),5.0)</f>
        <v>5</v>
      </c>
      <c r="Z317" s="10">
        <f>IFERROR(__xludf.DUMMYFUNCTION("""COMPUTED_VALUE"""),5.0)</f>
        <v>5</v>
      </c>
      <c r="AA317" s="10">
        <f>IFERROR(__xludf.DUMMYFUNCTION("""COMPUTED_VALUE"""),3.0)</f>
        <v>3</v>
      </c>
      <c r="AB317" s="10">
        <f>IFERROR(__xludf.DUMMYFUNCTION("""COMPUTED_VALUE"""),0.0)</f>
        <v>0</v>
      </c>
      <c r="AC317" s="10">
        <f>IFERROR(__xludf.DUMMYFUNCTION("""COMPUTED_VALUE"""),0.0)</f>
        <v>0</v>
      </c>
      <c r="AD317" s="10">
        <f>IFERROR(__xludf.DUMMYFUNCTION("""COMPUTED_VALUE"""),0.0)</f>
        <v>0</v>
      </c>
      <c r="AE317" s="10">
        <f>IFERROR(__xludf.DUMMYFUNCTION("""COMPUTED_VALUE"""),0.0)</f>
        <v>0</v>
      </c>
      <c r="AF317" s="10">
        <f>IFERROR(__xludf.DUMMYFUNCTION("""COMPUTED_VALUE"""),0.0)</f>
        <v>0</v>
      </c>
      <c r="AG317" s="10">
        <f>IFERROR(__xludf.DUMMYFUNCTION("""COMPUTED_VALUE"""),0.0)</f>
        <v>0</v>
      </c>
      <c r="AH317" s="10">
        <f>IFERROR(__xludf.DUMMYFUNCTION("""COMPUTED_VALUE"""),0.0)</f>
        <v>0</v>
      </c>
      <c r="AI317" s="10">
        <f>IFERROR(__xludf.DUMMYFUNCTION("""COMPUTED_VALUE"""),9.0)</f>
        <v>9</v>
      </c>
      <c r="AJ317" s="11" t="str">
        <f>IFERROR(__xludf.DUMMYFUNCTION("""COMPUTED_VALUE"""),"https://drive.google.com/open?id=1hc15aPN2PZ6XyEIsYu9M2Ep0TVrARSLX")</f>
        <v>https://drive.google.com/open?id=1hc15aPN2PZ6XyEIsYu9M2Ep0TVrARSLX</v>
      </c>
      <c r="AK317" s="12"/>
      <c r="AL317" s="12" t="str">
        <f>IFERROR(__xludf.DUMMYFUNCTION("""COMPUTED_VALUE"""),"Yes")</f>
        <v>Yes</v>
      </c>
      <c r="AM317" s="15">
        <f>IFERROR(__xludf.DUMMYFUNCTION("""COMPUTED_VALUE"""),0.8)</f>
        <v>0.8</v>
      </c>
      <c r="AN317" s="12" t="str">
        <f>IFERROR(__xludf.DUMMYFUNCTION("""COMPUTED_VALUE"""),"2nd week")</f>
        <v>2nd week</v>
      </c>
      <c r="AO317" s="13">
        <v>2.0</v>
      </c>
      <c r="AX317" s="17"/>
    </row>
    <row r="318">
      <c r="A318" s="8">
        <v>317.0</v>
      </c>
      <c r="B318" s="9">
        <f>IFERROR(__xludf.DUMMYFUNCTION("""COMPUTED_VALUE"""),45831.47749701389)</f>
        <v>45831.4775</v>
      </c>
      <c r="C318" s="10" t="str">
        <f>IFERROR(__xludf.DUMMYFUNCTION("""COMPUTED_VALUE"""),"Shahid iqbal")</f>
        <v>Shahid iqbal</v>
      </c>
      <c r="D318" s="10" t="str">
        <f>IFERROR(__xludf.DUMMYFUNCTION("""COMPUTED_VALUE"""),"03013665049")</f>
        <v>03013665049</v>
      </c>
      <c r="E318" s="10" t="str">
        <f>IFERROR(__xludf.DUMMYFUNCTION("""COMPUTED_VALUE"""),"Jamia Masjid Galah Mandi Sargodha")</f>
        <v>Jamia Masjid Galah Mandi Sargodha</v>
      </c>
      <c r="F318" s="10" t="str">
        <f>IFERROR(__xludf.DUMMYFUNCTION("""COMPUTED_VALUE"""),"EBSPQ")</f>
        <v>EBSPQ</v>
      </c>
      <c r="G318" s="10" t="str">
        <f>IFERROR(__xludf.DUMMYFUNCTION("""COMPUTED_VALUE"""),"No")</f>
        <v>No</v>
      </c>
      <c r="H318" s="10"/>
      <c r="I318" s="10"/>
      <c r="J318" s="10"/>
      <c r="K318" s="10">
        <f>IFERROR(__xludf.DUMMYFUNCTION("""COMPUTED_VALUE"""),0.0)</f>
        <v>0</v>
      </c>
      <c r="L318" s="10">
        <f>IFERROR(__xludf.DUMMYFUNCTION("""COMPUTED_VALUE"""),0.0)</f>
        <v>0</v>
      </c>
      <c r="M318" s="10">
        <f>IFERROR(__xludf.DUMMYFUNCTION("""COMPUTED_VALUE"""),0.0)</f>
        <v>0</v>
      </c>
      <c r="N318" s="10">
        <f>IFERROR(__xludf.DUMMYFUNCTION("""COMPUTED_VALUE"""),0.0)</f>
        <v>0</v>
      </c>
      <c r="O318" s="10">
        <f>IFERROR(__xludf.DUMMYFUNCTION("""COMPUTED_VALUE"""),0.0)</f>
        <v>0</v>
      </c>
      <c r="P318" s="10">
        <f>IFERROR(__xludf.DUMMYFUNCTION("""COMPUTED_VALUE"""),0.0)</f>
        <v>0</v>
      </c>
      <c r="Q318" s="10" t="str">
        <f>IFERROR(__xludf.DUMMYFUNCTION("""COMPUTED_VALUE"""),"No")</f>
        <v>No</v>
      </c>
      <c r="R318" s="10" t="str">
        <f>IFERROR(__xludf.DUMMYFUNCTION("""COMPUTED_VALUE"""),"No")</f>
        <v>No</v>
      </c>
      <c r="S318" s="10" t="str">
        <f>IFERROR(__xludf.DUMMYFUNCTION("""COMPUTED_VALUE"""),"No")</f>
        <v>No</v>
      </c>
      <c r="T318" s="10">
        <f>IFERROR(__xludf.DUMMYFUNCTION("""COMPUTED_VALUE"""),0.0)</f>
        <v>0</v>
      </c>
      <c r="U318" s="10">
        <f>IFERROR(__xludf.DUMMYFUNCTION("""COMPUTED_VALUE"""),0.0)</f>
        <v>0</v>
      </c>
      <c r="V318" s="10" t="str">
        <f>IFERROR(__xludf.DUMMYFUNCTION("""COMPUTED_VALUE"""),"jang aur pak fouj")</f>
        <v>jang aur pak fouj</v>
      </c>
      <c r="W318" s="10" t="str">
        <f>IFERROR(__xludf.DUMMYFUNCTION("""COMPUTED_VALUE"""),"jang aur pak fouj")</f>
        <v>jang aur pak fouj</v>
      </c>
      <c r="X318" s="10">
        <f>IFERROR(__xludf.DUMMYFUNCTION("""COMPUTED_VALUE"""),7.0)</f>
        <v>7</v>
      </c>
      <c r="Y318" s="10">
        <f>IFERROR(__xludf.DUMMYFUNCTION("""COMPUTED_VALUE"""),6.0)</f>
        <v>6</v>
      </c>
      <c r="Z318" s="10">
        <f>IFERROR(__xludf.DUMMYFUNCTION("""COMPUTED_VALUE"""),5.0)</f>
        <v>5</v>
      </c>
      <c r="AA318" s="10">
        <f>IFERROR(__xludf.DUMMYFUNCTION("""COMPUTED_VALUE"""),6.0)</f>
        <v>6</v>
      </c>
      <c r="AB318" s="10">
        <f>IFERROR(__xludf.DUMMYFUNCTION("""COMPUTED_VALUE"""),6.0)</f>
        <v>6</v>
      </c>
      <c r="AC318" s="10">
        <f>IFERROR(__xludf.DUMMYFUNCTION("""COMPUTED_VALUE"""),6.0)</f>
        <v>6</v>
      </c>
      <c r="AD318" s="10">
        <f>IFERROR(__xludf.DUMMYFUNCTION("""COMPUTED_VALUE"""),0.0)</f>
        <v>0</v>
      </c>
      <c r="AE318" s="10">
        <f>IFERROR(__xludf.DUMMYFUNCTION("""COMPUTED_VALUE"""),0.0)</f>
        <v>0</v>
      </c>
      <c r="AF318" s="10">
        <f>IFERROR(__xludf.DUMMYFUNCTION("""COMPUTED_VALUE"""),0.0)</f>
        <v>0</v>
      </c>
      <c r="AG318" s="10">
        <f>IFERROR(__xludf.DUMMYFUNCTION("""COMPUTED_VALUE"""),4.0)</f>
        <v>4</v>
      </c>
      <c r="AH318" s="10">
        <f>IFERROR(__xludf.DUMMYFUNCTION("""COMPUTED_VALUE"""),3.0)</f>
        <v>3</v>
      </c>
      <c r="AI318" s="10">
        <f>IFERROR(__xludf.DUMMYFUNCTION("""COMPUTED_VALUE"""),7.0)</f>
        <v>7</v>
      </c>
      <c r="AJ318" s="11" t="str">
        <f>IFERROR(__xludf.DUMMYFUNCTION("""COMPUTED_VALUE"""),"https://drive.google.com/open?id=1kIKbBDxSSQaB6_D_6COLtaSWGBx8d1_Y")</f>
        <v>https://drive.google.com/open?id=1kIKbBDxSSQaB6_D_6COLtaSWGBx8d1_Y</v>
      </c>
      <c r="AK318" s="12"/>
      <c r="AL318" s="12"/>
      <c r="AM318" s="12"/>
      <c r="AN318" s="12" t="str">
        <f>IFERROR(__xludf.DUMMYFUNCTION("""COMPUTED_VALUE"""),"3rd week")</f>
        <v>3rd week</v>
      </c>
      <c r="AO318" s="13">
        <v>3.0</v>
      </c>
      <c r="AX318" s="17"/>
    </row>
    <row r="319">
      <c r="A319" s="8">
        <v>318.0</v>
      </c>
      <c r="B319" s="9">
        <f>IFERROR(__xludf.DUMMYFUNCTION("""COMPUTED_VALUE"""),45831.48765938658)</f>
        <v>45831.48766</v>
      </c>
      <c r="C319" s="10" t="str">
        <f>IFERROR(__xludf.DUMMYFUNCTION("""COMPUTED_VALUE"""),"Shahid iqbal")</f>
        <v>Shahid iqbal</v>
      </c>
      <c r="D319" s="10" t="str">
        <f>IFERROR(__xludf.DUMMYFUNCTION("""COMPUTED_VALUE"""),"03013665049")</f>
        <v>03013665049</v>
      </c>
      <c r="E319" s="10" t="str">
        <f>IFERROR(__xludf.DUMMYFUNCTION("""COMPUTED_VALUE"""),"Jamia Masjid Ghangaara Nawali Lahore")</f>
        <v>Jamia Masjid Ghangaara Nawali Lahore</v>
      </c>
      <c r="F319" s="10" t="str">
        <f>IFERROR(__xludf.DUMMYFUNCTION("""COMPUTED_VALUE"""),"ekvzq")</f>
        <v>ekvzq</v>
      </c>
      <c r="G319" s="10" t="str">
        <f>IFERROR(__xludf.DUMMYFUNCTION("""COMPUTED_VALUE"""),"No")</f>
        <v>No</v>
      </c>
      <c r="H319" s="10"/>
      <c r="I319" s="10"/>
      <c r="J319" s="10"/>
      <c r="K319" s="10">
        <f>IFERROR(__xludf.DUMMYFUNCTION("""COMPUTED_VALUE"""),0.0)</f>
        <v>0</v>
      </c>
      <c r="L319" s="10">
        <f>IFERROR(__xludf.DUMMYFUNCTION("""COMPUTED_VALUE"""),0.0)</f>
        <v>0</v>
      </c>
      <c r="M319" s="10">
        <f>IFERROR(__xludf.DUMMYFUNCTION("""COMPUTED_VALUE"""),0.0)</f>
        <v>0</v>
      </c>
      <c r="N319" s="10">
        <f>IFERROR(__xludf.DUMMYFUNCTION("""COMPUTED_VALUE"""),0.0)</f>
        <v>0</v>
      </c>
      <c r="O319" s="10">
        <f>IFERROR(__xludf.DUMMYFUNCTION("""COMPUTED_VALUE"""),0.0)</f>
        <v>0</v>
      </c>
      <c r="P319" s="10">
        <f>IFERROR(__xludf.DUMMYFUNCTION("""COMPUTED_VALUE"""),0.0)</f>
        <v>0</v>
      </c>
      <c r="Q319" s="10" t="str">
        <f>IFERROR(__xludf.DUMMYFUNCTION("""COMPUTED_VALUE"""),"No")</f>
        <v>No</v>
      </c>
      <c r="R319" s="10" t="str">
        <f>IFERROR(__xludf.DUMMYFUNCTION("""COMPUTED_VALUE"""),"No")</f>
        <v>No</v>
      </c>
      <c r="S319" s="10" t="str">
        <f>IFERROR(__xludf.DUMMYFUNCTION("""COMPUTED_VALUE"""),"No")</f>
        <v>No</v>
      </c>
      <c r="T319" s="10">
        <f>IFERROR(__xludf.DUMMYFUNCTION("""COMPUTED_VALUE"""),0.0)</f>
        <v>0</v>
      </c>
      <c r="U319" s="10">
        <f>IFERROR(__xludf.DUMMYFUNCTION("""COMPUTED_VALUE"""),0.0)</f>
        <v>0</v>
      </c>
      <c r="V319" s="10" t="str">
        <f>IFERROR(__xludf.DUMMYFUNCTION("""COMPUTED_VALUE"""),"islam aur jang")</f>
        <v>islam aur jang</v>
      </c>
      <c r="W319" s="10" t="str">
        <f>IFERROR(__xludf.DUMMYFUNCTION("""COMPUTED_VALUE"""),"islam aur jang")</f>
        <v>islam aur jang</v>
      </c>
      <c r="X319" s="10">
        <f>IFERROR(__xludf.DUMMYFUNCTION("""COMPUTED_VALUE"""),6.0)</f>
        <v>6</v>
      </c>
      <c r="Y319" s="10">
        <f>IFERROR(__xludf.DUMMYFUNCTION("""COMPUTED_VALUE"""),7.0)</f>
        <v>7</v>
      </c>
      <c r="Z319" s="10">
        <f>IFERROR(__xludf.DUMMYFUNCTION("""COMPUTED_VALUE"""),7.0)</f>
        <v>7</v>
      </c>
      <c r="AA319" s="10">
        <f>IFERROR(__xludf.DUMMYFUNCTION("""COMPUTED_VALUE"""),8.0)</f>
        <v>8</v>
      </c>
      <c r="AB319" s="10">
        <f>IFERROR(__xludf.DUMMYFUNCTION("""COMPUTED_VALUE"""),7.0)</f>
        <v>7</v>
      </c>
      <c r="AC319" s="10">
        <f>IFERROR(__xludf.DUMMYFUNCTION("""COMPUTED_VALUE"""),8.0)</f>
        <v>8</v>
      </c>
      <c r="AD319" s="10">
        <f>IFERROR(__xludf.DUMMYFUNCTION("""COMPUTED_VALUE"""),1.0)</f>
        <v>1</v>
      </c>
      <c r="AE319" s="10">
        <f>IFERROR(__xludf.DUMMYFUNCTION("""COMPUTED_VALUE"""),1.0)</f>
        <v>1</v>
      </c>
      <c r="AF319" s="10">
        <f>IFERROR(__xludf.DUMMYFUNCTION("""COMPUTED_VALUE"""),1.0)</f>
        <v>1</v>
      </c>
      <c r="AG319" s="10">
        <f>IFERROR(__xludf.DUMMYFUNCTION("""COMPUTED_VALUE"""),5.0)</f>
        <v>5</v>
      </c>
      <c r="AH319" s="10">
        <f>IFERROR(__xludf.DUMMYFUNCTION("""COMPUTED_VALUE"""),2.0)</f>
        <v>2</v>
      </c>
      <c r="AI319" s="10">
        <f>IFERROR(__xludf.DUMMYFUNCTION("""COMPUTED_VALUE"""),7.0)</f>
        <v>7</v>
      </c>
      <c r="AJ319" s="11" t="str">
        <f>IFERROR(__xludf.DUMMYFUNCTION("""COMPUTED_VALUE"""),"https://drive.google.com/open?id=1u-9NUNkk3LuekH6_nYXuXSET6EI1CLvb")</f>
        <v>https://drive.google.com/open?id=1u-9NUNkk3LuekH6_nYXuXSET6EI1CLvb</v>
      </c>
      <c r="AK319" s="12"/>
      <c r="AL319" s="12"/>
      <c r="AM319" s="12"/>
      <c r="AN319" s="12" t="str">
        <f>IFERROR(__xludf.DUMMYFUNCTION("""COMPUTED_VALUE"""),"4th week")</f>
        <v>4th week</v>
      </c>
      <c r="AO319" s="13">
        <v>4.0</v>
      </c>
      <c r="AX319" s="17"/>
    </row>
    <row r="320">
      <c r="A320" s="8">
        <v>319.0</v>
      </c>
      <c r="B320" s="9">
        <f>IFERROR(__xludf.DUMMYFUNCTION("""COMPUTED_VALUE"""),45831.492479293986)</f>
        <v>45831.49248</v>
      </c>
      <c r="C320" s="10" t="str">
        <f>IFERROR(__xludf.DUMMYFUNCTION("""COMPUTED_VALUE"""),"Shahid Iqbal")</f>
        <v>Shahid Iqbal</v>
      </c>
      <c r="D320" s="10" t="str">
        <f>IFERROR(__xludf.DUMMYFUNCTION("""COMPUTED_VALUE"""),"03013665049")</f>
        <v>03013665049</v>
      </c>
      <c r="E320" s="10" t="str">
        <f>IFERROR(__xludf.DUMMYFUNCTION("""COMPUTED_VALUE"""),"Jamia Masjid Ashrafia Gol Chowk Sargodha")</f>
        <v>Jamia Masjid Ashrafia Gol Chowk Sargodha</v>
      </c>
      <c r="F320" s="10" t="str">
        <f>IFERROR(__xludf.DUMMYFUNCTION("""COMPUTED_VALUE"""),"PALOG")</f>
        <v>PALOG</v>
      </c>
      <c r="G320" s="10" t="str">
        <f>IFERROR(__xludf.DUMMYFUNCTION("""COMPUTED_VALUE"""),"No")</f>
        <v>No</v>
      </c>
      <c r="H320" s="10"/>
      <c r="I320" s="10"/>
      <c r="J320" s="10"/>
      <c r="K320" s="10">
        <f>IFERROR(__xludf.DUMMYFUNCTION("""COMPUTED_VALUE"""),0.0)</f>
        <v>0</v>
      </c>
      <c r="L320" s="10">
        <f>IFERROR(__xludf.DUMMYFUNCTION("""COMPUTED_VALUE"""),0.0)</f>
        <v>0</v>
      </c>
      <c r="M320" s="10">
        <f>IFERROR(__xludf.DUMMYFUNCTION("""COMPUTED_VALUE"""),0.0)</f>
        <v>0</v>
      </c>
      <c r="N320" s="10">
        <f>IFERROR(__xludf.DUMMYFUNCTION("""COMPUTED_VALUE"""),0.0)</f>
        <v>0</v>
      </c>
      <c r="O320" s="10">
        <f>IFERROR(__xludf.DUMMYFUNCTION("""COMPUTED_VALUE"""),0.0)</f>
        <v>0</v>
      </c>
      <c r="P320" s="10">
        <f>IFERROR(__xludf.DUMMYFUNCTION("""COMPUTED_VALUE"""),0.0)</f>
        <v>0</v>
      </c>
      <c r="Q320" s="10" t="str">
        <f>IFERROR(__xludf.DUMMYFUNCTION("""COMPUTED_VALUE"""),"No")</f>
        <v>No</v>
      </c>
      <c r="R320" s="10" t="str">
        <f>IFERROR(__xludf.DUMMYFUNCTION("""COMPUTED_VALUE"""),"No")</f>
        <v>No</v>
      </c>
      <c r="S320" s="10" t="str">
        <f>IFERROR(__xludf.DUMMYFUNCTION("""COMPUTED_VALUE"""),"No")</f>
        <v>No</v>
      </c>
      <c r="T320" s="10">
        <f>IFERROR(__xludf.DUMMYFUNCTION("""COMPUTED_VALUE"""),0.0)</f>
        <v>0</v>
      </c>
      <c r="U320" s="10">
        <f>IFERROR(__xludf.DUMMYFUNCTION("""COMPUTED_VALUE"""),0.0)</f>
        <v>0</v>
      </c>
      <c r="V320" s="10" t="str">
        <f>IFERROR(__xludf.DUMMYFUNCTION("""COMPUTED_VALUE"""),"jung kufar k khilaf")</f>
        <v>jung kufar k khilaf</v>
      </c>
      <c r="W320" s="10" t="str">
        <f>IFERROR(__xludf.DUMMYFUNCTION("""COMPUTED_VALUE"""),"kufar k Khilaf jung")</f>
        <v>kufar k Khilaf jung</v>
      </c>
      <c r="X320" s="10">
        <f>IFERROR(__xludf.DUMMYFUNCTION("""COMPUTED_VALUE"""),6.0)</f>
        <v>6</v>
      </c>
      <c r="Y320" s="10">
        <f>IFERROR(__xludf.DUMMYFUNCTION("""COMPUTED_VALUE"""),6.0)</f>
        <v>6</v>
      </c>
      <c r="Z320" s="10">
        <f>IFERROR(__xludf.DUMMYFUNCTION("""COMPUTED_VALUE"""),4.0)</f>
        <v>4</v>
      </c>
      <c r="AA320" s="10">
        <f>IFERROR(__xludf.DUMMYFUNCTION("""COMPUTED_VALUE"""),5.0)</f>
        <v>5</v>
      </c>
      <c r="AB320" s="10">
        <f>IFERROR(__xludf.DUMMYFUNCTION("""COMPUTED_VALUE"""),7.0)</f>
        <v>7</v>
      </c>
      <c r="AC320" s="10">
        <f>IFERROR(__xludf.DUMMYFUNCTION("""COMPUTED_VALUE"""),6.0)</f>
        <v>6</v>
      </c>
      <c r="AD320" s="10">
        <f>IFERROR(__xludf.DUMMYFUNCTION("""COMPUTED_VALUE"""),0.0)</f>
        <v>0</v>
      </c>
      <c r="AE320" s="10">
        <f>IFERROR(__xludf.DUMMYFUNCTION("""COMPUTED_VALUE"""),0.0)</f>
        <v>0</v>
      </c>
      <c r="AF320" s="10">
        <f>IFERROR(__xludf.DUMMYFUNCTION("""COMPUTED_VALUE"""),0.0)</f>
        <v>0</v>
      </c>
      <c r="AG320" s="10">
        <f>IFERROR(__xludf.DUMMYFUNCTION("""COMPUTED_VALUE"""),5.0)</f>
        <v>5</v>
      </c>
      <c r="AH320" s="10">
        <f>IFERROR(__xludf.DUMMYFUNCTION("""COMPUTED_VALUE"""),2.0)</f>
        <v>2</v>
      </c>
      <c r="AI320" s="10">
        <f>IFERROR(__xludf.DUMMYFUNCTION("""COMPUTED_VALUE"""),7.0)</f>
        <v>7</v>
      </c>
      <c r="AJ320" s="11" t="str">
        <f>IFERROR(__xludf.DUMMYFUNCTION("""COMPUTED_VALUE"""),"https://drive.google.com/open?id=1qXdeYwACLUFq7LjAn_JRR-O49n-pak_U")</f>
        <v>https://drive.google.com/open?id=1qXdeYwACLUFq7LjAn_JRR-O49n-pak_U</v>
      </c>
      <c r="AK320" s="12"/>
      <c r="AL320" s="12"/>
      <c r="AM320" s="12"/>
      <c r="AN320" s="12" t="str">
        <f>IFERROR(__xludf.DUMMYFUNCTION("""COMPUTED_VALUE"""),"3rd week")</f>
        <v>3rd week</v>
      </c>
      <c r="AO320" s="13">
        <v>3.0</v>
      </c>
      <c r="AX320" s="17"/>
    </row>
    <row r="321">
      <c r="A321" s="8">
        <v>320.0</v>
      </c>
      <c r="B321" s="9">
        <f>IFERROR(__xludf.DUMMYFUNCTION("""COMPUTED_VALUE"""),45831.52222921296)</f>
        <v>45831.52223</v>
      </c>
      <c r="C321" s="10" t="str">
        <f>IFERROR(__xludf.DUMMYFUNCTION("""COMPUTED_VALUE"""),"Sumaia Hayat ")</f>
        <v>Sumaia Hayat </v>
      </c>
      <c r="D321" s="10" t="str">
        <f>IFERROR(__xludf.DUMMYFUNCTION("""COMPUTED_VALUE"""),"03260671819")</f>
        <v>03260671819</v>
      </c>
      <c r="E321" s="10" t="str">
        <f>IFERROR(__xludf.DUMMYFUNCTION("""COMPUTED_VALUE"""),"Jamia Masjid Darbar Shah Dhola Gujrat")</f>
        <v>Jamia Masjid Darbar Shah Dhola Gujrat</v>
      </c>
      <c r="F321" s="10" t="str">
        <f>IFERROR(__xludf.DUMMYFUNCTION("""COMPUTED_VALUE"""),"QAQID")</f>
        <v>QAQID</v>
      </c>
      <c r="G321" s="10" t="str">
        <f>IFERROR(__xludf.DUMMYFUNCTION("""COMPUTED_VALUE"""),"No")</f>
        <v>No</v>
      </c>
      <c r="H321" s="10"/>
      <c r="I321" s="10"/>
      <c r="J321" s="10"/>
      <c r="K321" s="10">
        <f>IFERROR(__xludf.DUMMYFUNCTION("""COMPUTED_VALUE"""),0.0)</f>
        <v>0</v>
      </c>
      <c r="L321" s="10">
        <f>IFERROR(__xludf.DUMMYFUNCTION("""COMPUTED_VALUE"""),0.0)</f>
        <v>0</v>
      </c>
      <c r="M321" s="10">
        <f>IFERROR(__xludf.DUMMYFUNCTION("""COMPUTED_VALUE"""),0.0)</f>
        <v>0</v>
      </c>
      <c r="N321" s="10">
        <f>IFERROR(__xludf.DUMMYFUNCTION("""COMPUTED_VALUE"""),0.0)</f>
        <v>0</v>
      </c>
      <c r="O321" s="10">
        <f>IFERROR(__xludf.DUMMYFUNCTION("""COMPUTED_VALUE"""),0.0)</f>
        <v>0</v>
      </c>
      <c r="P321" s="10">
        <f>IFERROR(__xludf.DUMMYFUNCTION("""COMPUTED_VALUE"""),0.0)</f>
        <v>0</v>
      </c>
      <c r="Q321" s="10" t="str">
        <f>IFERROR(__xludf.DUMMYFUNCTION("""COMPUTED_VALUE"""),"No")</f>
        <v>No</v>
      </c>
      <c r="R321" s="10" t="str">
        <f>IFERROR(__xludf.DUMMYFUNCTION("""COMPUTED_VALUE"""),"No")</f>
        <v>No</v>
      </c>
      <c r="S321" s="10" t="str">
        <f>IFERROR(__xludf.DUMMYFUNCTION("""COMPUTED_VALUE"""),"No")</f>
        <v>No</v>
      </c>
      <c r="T321" s="10">
        <f>IFERROR(__xludf.DUMMYFUNCTION("""COMPUTED_VALUE"""),2.0)</f>
        <v>2</v>
      </c>
      <c r="U321" s="10">
        <f>IFERROR(__xludf.DUMMYFUNCTION("""COMPUTED_VALUE"""),0.0)</f>
        <v>0</v>
      </c>
      <c r="V321" s="10" t="str">
        <f>IFERROR(__xludf.DUMMYFUNCTION("""COMPUTED_VALUE"""),"صہیونی تحریک، اسرائیل کا قیام، ان کے عالمی عزائم، اور امت مسلمہ کی ذمہ داریاں۔")</f>
        <v>صہیونی تحریک، اسرائیل کا قیام، ان کے عالمی عزائم، اور امت مسلمہ کی ذمہ داریاں۔</v>
      </c>
      <c r="W321" s="10" t="str">
        <f>IFERROR(__xludf.DUMMYFUNCTION("""COMPUTED_VALUE"""),"امام نے صہیونی تحریک کی تاریخی، سیاسی اور مذہبی بنیادوں پر روشنی ڈالی اور ان کے موجودہ عالمی منصوبوں کا جائزہ لیا۔ ساتھ ہی امتِ مسلمہ کو قرآن، اتحاد، اور عسکری تیاری کے ذریعے ان سازشوں کا مقابلہ کرنے کی تلقین کی۔")</f>
        <v>امام نے صہیونی تحریک کی تاریخی، سیاسی اور مذہبی بنیادوں پر روشنی ڈالی اور ان کے موجودہ عالمی منصوبوں کا جائزہ لیا۔ ساتھ ہی امتِ مسلمہ کو قرآن، اتحاد، اور عسکری تیاری کے ذریعے ان سازشوں کا مقابلہ کرنے کی تلقین کی۔</v>
      </c>
      <c r="X321" s="10">
        <f>IFERROR(__xludf.DUMMYFUNCTION("""COMPUTED_VALUE"""),3.0)</f>
        <v>3</v>
      </c>
      <c r="Y321" s="10">
        <f>IFERROR(__xludf.DUMMYFUNCTION("""COMPUTED_VALUE"""),7.0)</f>
        <v>7</v>
      </c>
      <c r="Z321" s="10">
        <f>IFERROR(__xludf.DUMMYFUNCTION("""COMPUTED_VALUE"""),8.0)</f>
        <v>8</v>
      </c>
      <c r="AA321" s="10">
        <f>IFERROR(__xludf.DUMMYFUNCTION("""COMPUTED_VALUE"""),8.0)</f>
        <v>8</v>
      </c>
      <c r="AB321" s="10">
        <f>IFERROR(__xludf.DUMMYFUNCTION("""COMPUTED_VALUE"""),9.0)</f>
        <v>9</v>
      </c>
      <c r="AC321" s="10">
        <f>IFERROR(__xludf.DUMMYFUNCTION("""COMPUTED_VALUE"""),9.0)</f>
        <v>9</v>
      </c>
      <c r="AD321" s="10">
        <f>IFERROR(__xludf.DUMMYFUNCTION("""COMPUTED_VALUE"""),7.0)</f>
        <v>7</v>
      </c>
      <c r="AE321" s="10">
        <f>IFERROR(__xludf.DUMMYFUNCTION("""COMPUTED_VALUE"""),1.0)</f>
        <v>1</v>
      </c>
      <c r="AF321" s="10">
        <f>IFERROR(__xludf.DUMMYFUNCTION("""COMPUTED_VALUE"""),8.0)</f>
        <v>8</v>
      </c>
      <c r="AG321" s="10">
        <f>IFERROR(__xludf.DUMMYFUNCTION("""COMPUTED_VALUE"""),5.0)</f>
        <v>5</v>
      </c>
      <c r="AH321" s="10">
        <f>IFERROR(__xludf.DUMMYFUNCTION("""COMPUTED_VALUE"""),7.0)</f>
        <v>7</v>
      </c>
      <c r="AI321" s="10">
        <f>IFERROR(__xludf.DUMMYFUNCTION("""COMPUTED_VALUE"""),8.0)</f>
        <v>8</v>
      </c>
      <c r="AJ321" s="11" t="str">
        <f>IFERROR(__xludf.DUMMYFUNCTION("""COMPUTED_VALUE"""),"https://drive.google.com/open?id=12IIOfwgBJnXlzNs6_9XZV93GJy-MTvFc")</f>
        <v>https://drive.google.com/open?id=12IIOfwgBJnXlzNs6_9XZV93GJy-MTvFc</v>
      </c>
      <c r="AK321" s="12" t="str">
        <f>IFERROR(__xludf.DUMMYFUNCTION("""COMPUTED_VALUE"""),"امام کا بیان بھرپور تحقیق اور تاریخی حوالہ جات پر مبنی تھا لیکن اس میں خواتین، سماجی فلاح و بہبود، اور مقامی اصلاحات پر کوئی توجہ نہیں دی گئی۔ بیان زیادہ تر عالمی سیاست، اسرائیل مخالف موقف، اور مسلم عسکری اتحاد پر مرکوز رہا۔")</f>
        <v>امام کا بیان بھرپور تحقیق اور تاریخی حوالہ جات پر مبنی تھا لیکن اس میں خواتین، سماجی فلاح و بہبود، اور مقامی اصلاحات پر کوئی توجہ نہیں دی گئی۔ بیان زیادہ تر عالمی سیاست، اسرائیل مخالف موقف، اور مسلم عسکری اتحاد پر مرکوز رہا۔</v>
      </c>
      <c r="AL321" s="12"/>
      <c r="AM321" s="12"/>
      <c r="AN321" s="12" t="str">
        <f>IFERROR(__xludf.DUMMYFUNCTION("""COMPUTED_VALUE"""),"1st week")</f>
        <v>1st week</v>
      </c>
      <c r="AO321" s="13">
        <v>1.0</v>
      </c>
      <c r="AX321" s="17"/>
    </row>
    <row r="322">
      <c r="A322" s="8">
        <v>321.0</v>
      </c>
      <c r="B322" s="9">
        <f>IFERROR(__xludf.DUMMYFUNCTION("""COMPUTED_VALUE"""),45832.115577557866)</f>
        <v>45832.11558</v>
      </c>
      <c r="C322" s="10" t="str">
        <f>IFERROR(__xludf.DUMMYFUNCTION("""COMPUTED_VALUE"""),"Shahid Iqbal")</f>
        <v>Shahid Iqbal</v>
      </c>
      <c r="D322" s="10" t="str">
        <f>IFERROR(__xludf.DUMMYFUNCTION("""COMPUTED_VALUE"""),"03013665049")</f>
        <v>03013665049</v>
      </c>
      <c r="E322" s="10" t="str">
        <f>IFERROR(__xludf.DUMMYFUNCTION("""COMPUTED_VALUE"""),"Jamia Masjid Darbar Boty Shah Hafizabad")</f>
        <v>Jamia Masjid Darbar Boty Shah Hafizabad</v>
      </c>
      <c r="F322" s="10" t="str">
        <f>IFERROR(__xludf.DUMMYFUNCTION("""COMPUTED_VALUE"""),"BJLNR")</f>
        <v>BJLNR</v>
      </c>
      <c r="G322" s="10" t="str">
        <f>IFERROR(__xludf.DUMMYFUNCTION("""COMPUTED_VALUE"""),"No")</f>
        <v>No</v>
      </c>
      <c r="H322" s="10"/>
      <c r="I322" s="10"/>
      <c r="J322" s="10"/>
      <c r="K322" s="10">
        <f>IFERROR(__xludf.DUMMYFUNCTION("""COMPUTED_VALUE"""),0.0)</f>
        <v>0</v>
      </c>
      <c r="L322" s="10">
        <f>IFERROR(__xludf.DUMMYFUNCTION("""COMPUTED_VALUE"""),0.0)</f>
        <v>0</v>
      </c>
      <c r="M322" s="10">
        <f>IFERROR(__xludf.DUMMYFUNCTION("""COMPUTED_VALUE"""),0.0)</f>
        <v>0</v>
      </c>
      <c r="N322" s="10">
        <f>IFERROR(__xludf.DUMMYFUNCTION("""COMPUTED_VALUE"""),0.0)</f>
        <v>0</v>
      </c>
      <c r="O322" s="10">
        <f>IFERROR(__xludf.DUMMYFUNCTION("""COMPUTED_VALUE"""),0.0)</f>
        <v>0</v>
      </c>
      <c r="P322" s="10">
        <f>IFERROR(__xludf.DUMMYFUNCTION("""COMPUTED_VALUE"""),0.0)</f>
        <v>0</v>
      </c>
      <c r="Q322" s="10" t="str">
        <f>IFERROR(__xludf.DUMMYFUNCTION("""COMPUTED_VALUE"""),"No")</f>
        <v>No</v>
      </c>
      <c r="R322" s="10" t="str">
        <f>IFERROR(__xludf.DUMMYFUNCTION("""COMPUTED_VALUE"""),"No")</f>
        <v>No</v>
      </c>
      <c r="S322" s="10" t="str">
        <f>IFERROR(__xludf.DUMMYFUNCTION("""COMPUTED_VALUE"""),"No")</f>
        <v>No</v>
      </c>
      <c r="T322" s="10">
        <f>IFERROR(__xludf.DUMMYFUNCTION("""COMPUTED_VALUE"""),0.0)</f>
        <v>0</v>
      </c>
      <c r="U322" s="10">
        <f>IFERROR(__xludf.DUMMYFUNCTION("""COMPUTED_VALUE"""),0.0)</f>
        <v>0</v>
      </c>
      <c r="V322" s="10" t="str">
        <f>IFERROR(__xludf.DUMMYFUNCTION("""COMPUTED_VALUE"""),"uswa e hasna Saw")</f>
        <v>uswa e hasna Saw</v>
      </c>
      <c r="W322" s="10" t="str">
        <f>IFERROR(__xludf.DUMMYFUNCTION("""COMPUTED_VALUE"""),"uswa e Hasna Saw")</f>
        <v>uswa e Hasna Saw</v>
      </c>
      <c r="X322" s="10">
        <f>IFERROR(__xludf.DUMMYFUNCTION("""COMPUTED_VALUE"""),6.0)</f>
        <v>6</v>
      </c>
      <c r="Y322" s="10">
        <f>IFERROR(__xludf.DUMMYFUNCTION("""COMPUTED_VALUE"""),7.0)</f>
        <v>7</v>
      </c>
      <c r="Z322" s="10">
        <f>IFERROR(__xludf.DUMMYFUNCTION("""COMPUTED_VALUE"""),6.0)</f>
        <v>6</v>
      </c>
      <c r="AA322" s="10">
        <f>IFERROR(__xludf.DUMMYFUNCTION("""COMPUTED_VALUE"""),5.0)</f>
        <v>5</v>
      </c>
      <c r="AB322" s="10">
        <f>IFERROR(__xludf.DUMMYFUNCTION("""COMPUTED_VALUE"""),5.0)</f>
        <v>5</v>
      </c>
      <c r="AC322" s="10">
        <f>IFERROR(__xludf.DUMMYFUNCTION("""COMPUTED_VALUE"""),3.0)</f>
        <v>3</v>
      </c>
      <c r="AD322" s="10">
        <f>IFERROR(__xludf.DUMMYFUNCTION("""COMPUTED_VALUE"""),2.0)</f>
        <v>2</v>
      </c>
      <c r="AE322" s="10">
        <f>IFERROR(__xludf.DUMMYFUNCTION("""COMPUTED_VALUE"""),0.0)</f>
        <v>0</v>
      </c>
      <c r="AF322" s="10">
        <f>IFERROR(__xludf.DUMMYFUNCTION("""COMPUTED_VALUE"""),0.0)</f>
        <v>0</v>
      </c>
      <c r="AG322" s="10">
        <f>IFERROR(__xludf.DUMMYFUNCTION("""COMPUTED_VALUE"""),7.0)</f>
        <v>7</v>
      </c>
      <c r="AH322" s="10">
        <f>IFERROR(__xludf.DUMMYFUNCTION("""COMPUTED_VALUE"""),0.0)</f>
        <v>0</v>
      </c>
      <c r="AI322" s="10">
        <f>IFERROR(__xludf.DUMMYFUNCTION("""COMPUTED_VALUE"""),8.0)</f>
        <v>8</v>
      </c>
      <c r="AJ322" s="11" t="str">
        <f>IFERROR(__xludf.DUMMYFUNCTION("""COMPUTED_VALUE"""),"https://drive.google.com/open?id=1_5VwI4MiyhHpJFwTN5-HpT4ibNZqrT9b")</f>
        <v>https://drive.google.com/open?id=1_5VwI4MiyhHpJFwTN5-HpT4ibNZqrT9b</v>
      </c>
      <c r="AK322" s="12"/>
      <c r="AL322" s="12"/>
      <c r="AM322" s="12"/>
      <c r="AN322" s="12" t="str">
        <f>IFERROR(__xludf.DUMMYFUNCTION("""COMPUTED_VALUE"""),"3rd week")</f>
        <v>3rd week</v>
      </c>
      <c r="AO322" s="13">
        <v>3.0</v>
      </c>
      <c r="AX322" s="17"/>
    </row>
    <row r="323">
      <c r="A323" s="8">
        <v>322.0</v>
      </c>
      <c r="B323" s="9">
        <f>IFERROR(__xludf.DUMMYFUNCTION("""COMPUTED_VALUE"""),45832.11901909723)</f>
        <v>45832.11902</v>
      </c>
      <c r="C323" s="10" t="str">
        <f>IFERROR(__xludf.DUMMYFUNCTION("""COMPUTED_VALUE"""),"Shahid Iqbal")</f>
        <v>Shahid Iqbal</v>
      </c>
      <c r="D323" s="10" t="str">
        <f>IFERROR(__xludf.DUMMYFUNCTION("""COMPUTED_VALUE"""),"03013665049")</f>
        <v>03013665049</v>
      </c>
      <c r="E323" s="10" t="str">
        <f>IFERROR(__xludf.DUMMYFUNCTION("""COMPUTED_VALUE"""),"Jamia Masjid Galah Mandi Bhalwal")</f>
        <v>Jamia Masjid Galah Mandi Bhalwal</v>
      </c>
      <c r="F323" s="10" t="str">
        <f>IFERROR(__xludf.DUMMYFUNCTION("""COMPUTED_VALUE"""),"HHMBL")</f>
        <v>HHMBL</v>
      </c>
      <c r="G323" s="10" t="str">
        <f>IFERROR(__xludf.DUMMYFUNCTION("""COMPUTED_VALUE"""),"No")</f>
        <v>No</v>
      </c>
      <c r="H323" s="10"/>
      <c r="I323" s="10"/>
      <c r="J323" s="10"/>
      <c r="K323" s="10">
        <f>IFERROR(__xludf.DUMMYFUNCTION("""COMPUTED_VALUE"""),0.0)</f>
        <v>0</v>
      </c>
      <c r="L323" s="10">
        <f>IFERROR(__xludf.DUMMYFUNCTION("""COMPUTED_VALUE"""),0.0)</f>
        <v>0</v>
      </c>
      <c r="M323" s="10">
        <f>IFERROR(__xludf.DUMMYFUNCTION("""COMPUTED_VALUE"""),0.0)</f>
        <v>0</v>
      </c>
      <c r="N323" s="10">
        <f>IFERROR(__xludf.DUMMYFUNCTION("""COMPUTED_VALUE"""),0.0)</f>
        <v>0</v>
      </c>
      <c r="O323" s="10">
        <f>IFERROR(__xludf.DUMMYFUNCTION("""COMPUTED_VALUE"""),0.0)</f>
        <v>0</v>
      </c>
      <c r="P323" s="10">
        <f>IFERROR(__xludf.DUMMYFUNCTION("""COMPUTED_VALUE"""),0.0)</f>
        <v>0</v>
      </c>
      <c r="Q323" s="10" t="str">
        <f>IFERROR(__xludf.DUMMYFUNCTION("""COMPUTED_VALUE"""),"No")</f>
        <v>No</v>
      </c>
      <c r="R323" s="10" t="str">
        <f>IFERROR(__xludf.DUMMYFUNCTION("""COMPUTED_VALUE"""),"No")</f>
        <v>No</v>
      </c>
      <c r="S323" s="10" t="str">
        <f>IFERROR(__xludf.DUMMYFUNCTION("""COMPUTED_VALUE"""),"No")</f>
        <v>No</v>
      </c>
      <c r="T323" s="10">
        <f>IFERROR(__xludf.DUMMYFUNCTION("""COMPUTED_VALUE"""),0.0)</f>
        <v>0</v>
      </c>
      <c r="U323" s="10">
        <f>IFERROR(__xludf.DUMMYFUNCTION("""COMPUTED_VALUE"""),0.0)</f>
        <v>0</v>
      </c>
      <c r="V323" s="10" t="str">
        <f>IFERROR(__xludf.DUMMYFUNCTION("""COMPUTED_VALUE"""),"Kalma tayyba aur Rasool saw ki zindagi per amal")</f>
        <v>Kalma tayyba aur Rasool saw ki zindagi per amal</v>
      </c>
      <c r="W323" s="10" t="str">
        <f>IFERROR(__xludf.DUMMYFUNCTION("""COMPUTED_VALUE"""),"Kalma tayyba aur Rasool saw ki zindagi per amal")</f>
        <v>Kalma tayyba aur Rasool saw ki zindagi per amal</v>
      </c>
      <c r="X323" s="10">
        <f>IFERROR(__xludf.DUMMYFUNCTION("""COMPUTED_VALUE"""),7.0)</f>
        <v>7</v>
      </c>
      <c r="Y323" s="10">
        <f>IFERROR(__xludf.DUMMYFUNCTION("""COMPUTED_VALUE"""),7.0)</f>
        <v>7</v>
      </c>
      <c r="Z323" s="10">
        <f>IFERROR(__xludf.DUMMYFUNCTION("""COMPUTED_VALUE"""),7.0)</f>
        <v>7</v>
      </c>
      <c r="AA323" s="10">
        <f>IFERROR(__xludf.DUMMYFUNCTION("""COMPUTED_VALUE"""),7.0)</f>
        <v>7</v>
      </c>
      <c r="AB323" s="10">
        <f>IFERROR(__xludf.DUMMYFUNCTION("""COMPUTED_VALUE"""),4.0)</f>
        <v>4</v>
      </c>
      <c r="AC323" s="10">
        <f>IFERROR(__xludf.DUMMYFUNCTION("""COMPUTED_VALUE"""),4.0)</f>
        <v>4</v>
      </c>
      <c r="AD323" s="10">
        <f>IFERROR(__xludf.DUMMYFUNCTION("""COMPUTED_VALUE"""),2.0)</f>
        <v>2</v>
      </c>
      <c r="AE323" s="10">
        <f>IFERROR(__xludf.DUMMYFUNCTION("""COMPUTED_VALUE"""),2.0)</f>
        <v>2</v>
      </c>
      <c r="AF323" s="10">
        <f>IFERROR(__xludf.DUMMYFUNCTION("""COMPUTED_VALUE"""),0.0)</f>
        <v>0</v>
      </c>
      <c r="AG323" s="10">
        <f>IFERROR(__xludf.DUMMYFUNCTION("""COMPUTED_VALUE"""),6.0)</f>
        <v>6</v>
      </c>
      <c r="AH323" s="10">
        <f>IFERROR(__xludf.DUMMYFUNCTION("""COMPUTED_VALUE"""),0.0)</f>
        <v>0</v>
      </c>
      <c r="AI323" s="10">
        <f>IFERROR(__xludf.DUMMYFUNCTION("""COMPUTED_VALUE"""),9.0)</f>
        <v>9</v>
      </c>
      <c r="AJ323" s="11" t="str">
        <f>IFERROR(__xludf.DUMMYFUNCTION("""COMPUTED_VALUE"""),"https://drive.google.com/open?id=124MzHIXQSHMKju7GDFGCb7x8shL_ffR8")</f>
        <v>https://drive.google.com/open?id=124MzHIXQSHMKju7GDFGCb7x8shL_ffR8</v>
      </c>
      <c r="AK323" s="12"/>
      <c r="AL323" s="12"/>
      <c r="AM323" s="12"/>
      <c r="AN323" s="12" t="str">
        <f>IFERROR(__xludf.DUMMYFUNCTION("""COMPUTED_VALUE"""),"3rd week")</f>
        <v>3rd week</v>
      </c>
      <c r="AO323" s="13">
        <v>3.0</v>
      </c>
      <c r="AX323" s="17"/>
    </row>
    <row r="324">
      <c r="A324" s="8">
        <v>323.0</v>
      </c>
      <c r="B324" s="9">
        <f>IFERROR(__xludf.DUMMYFUNCTION("""COMPUTED_VALUE"""),45832.12255855324)</f>
        <v>45832.12256</v>
      </c>
      <c r="C324" s="10" t="str">
        <f>IFERROR(__xludf.DUMMYFUNCTION("""COMPUTED_VALUE"""),"shahid Iqbal")</f>
        <v>shahid Iqbal</v>
      </c>
      <c r="D324" s="10" t="str">
        <f>IFERROR(__xludf.DUMMYFUNCTION("""COMPUTED_VALUE"""),"03013665049")</f>
        <v>03013665049</v>
      </c>
      <c r="E324" s="10" t="str">
        <f>IFERROR(__xludf.DUMMYFUNCTION("""COMPUTED_VALUE"""),"Jamia Masjid Main Bazar Khushab")</f>
        <v>Jamia Masjid Main Bazar Khushab</v>
      </c>
      <c r="F324" s="10" t="str">
        <f>IFERROR(__xludf.DUMMYFUNCTION("""COMPUTED_VALUE"""),"OSGNP")</f>
        <v>OSGNP</v>
      </c>
      <c r="G324" s="10" t="str">
        <f>IFERROR(__xludf.DUMMYFUNCTION("""COMPUTED_VALUE"""),"No")</f>
        <v>No</v>
      </c>
      <c r="H324" s="10"/>
      <c r="I324" s="10"/>
      <c r="J324" s="10"/>
      <c r="K324" s="10">
        <f>IFERROR(__xludf.DUMMYFUNCTION("""COMPUTED_VALUE"""),0.0)</f>
        <v>0</v>
      </c>
      <c r="L324" s="10">
        <f>IFERROR(__xludf.DUMMYFUNCTION("""COMPUTED_VALUE"""),0.0)</f>
        <v>0</v>
      </c>
      <c r="M324" s="10">
        <f>IFERROR(__xludf.DUMMYFUNCTION("""COMPUTED_VALUE"""),0.0)</f>
        <v>0</v>
      </c>
      <c r="N324" s="10">
        <f>IFERROR(__xludf.DUMMYFUNCTION("""COMPUTED_VALUE"""),0.0)</f>
        <v>0</v>
      </c>
      <c r="O324" s="10">
        <f>IFERROR(__xludf.DUMMYFUNCTION("""COMPUTED_VALUE"""),0.0)</f>
        <v>0</v>
      </c>
      <c r="P324" s="10">
        <f>IFERROR(__xludf.DUMMYFUNCTION("""COMPUTED_VALUE"""),0.0)</f>
        <v>0</v>
      </c>
      <c r="Q324" s="10" t="str">
        <f>IFERROR(__xludf.DUMMYFUNCTION("""COMPUTED_VALUE"""),"No")</f>
        <v>No</v>
      </c>
      <c r="R324" s="10" t="str">
        <f>IFERROR(__xludf.DUMMYFUNCTION("""COMPUTED_VALUE"""),"No")</f>
        <v>No</v>
      </c>
      <c r="S324" s="10" t="str">
        <f>IFERROR(__xludf.DUMMYFUNCTION("""COMPUTED_VALUE"""),"No")</f>
        <v>No</v>
      </c>
      <c r="T324" s="10">
        <f>IFERROR(__xludf.DUMMYFUNCTION("""COMPUTED_VALUE"""),0.0)</f>
        <v>0</v>
      </c>
      <c r="U324" s="10">
        <f>IFERROR(__xludf.DUMMYFUNCTION("""COMPUTED_VALUE"""),0.0)</f>
        <v>0</v>
      </c>
      <c r="V324" s="10" t="str">
        <f>IFERROR(__xludf.DUMMYFUNCTION("""COMPUTED_VALUE"""),"namaz")</f>
        <v>namaz</v>
      </c>
      <c r="W324" s="10" t="str">
        <f>IFERROR(__xludf.DUMMYFUNCTION("""COMPUTED_VALUE"""),"namaz a sharyi hukam ")</f>
        <v>namaz a sharyi hukam </v>
      </c>
      <c r="X324" s="10">
        <f>IFERROR(__xludf.DUMMYFUNCTION("""COMPUTED_VALUE"""),9.0)</f>
        <v>9</v>
      </c>
      <c r="Y324" s="10">
        <f>IFERROR(__xludf.DUMMYFUNCTION("""COMPUTED_VALUE"""),7.0)</f>
        <v>7</v>
      </c>
      <c r="Z324" s="10">
        <f>IFERROR(__xludf.DUMMYFUNCTION("""COMPUTED_VALUE"""),7.0)</f>
        <v>7</v>
      </c>
      <c r="AA324" s="10">
        <f>IFERROR(__xludf.DUMMYFUNCTION("""COMPUTED_VALUE"""),7.0)</f>
        <v>7</v>
      </c>
      <c r="AB324" s="10">
        <f>IFERROR(__xludf.DUMMYFUNCTION("""COMPUTED_VALUE"""),6.0)</f>
        <v>6</v>
      </c>
      <c r="AC324" s="10">
        <f>IFERROR(__xludf.DUMMYFUNCTION("""COMPUTED_VALUE"""),5.0)</f>
        <v>5</v>
      </c>
      <c r="AD324" s="10">
        <f>IFERROR(__xludf.DUMMYFUNCTION("""COMPUTED_VALUE"""),0.0)</f>
        <v>0</v>
      </c>
      <c r="AE324" s="10">
        <f>IFERROR(__xludf.DUMMYFUNCTION("""COMPUTED_VALUE"""),0.0)</f>
        <v>0</v>
      </c>
      <c r="AF324" s="10">
        <f>IFERROR(__xludf.DUMMYFUNCTION("""COMPUTED_VALUE"""),0.0)</f>
        <v>0</v>
      </c>
      <c r="AG324" s="10">
        <f>IFERROR(__xludf.DUMMYFUNCTION("""COMPUTED_VALUE"""),6.0)</f>
        <v>6</v>
      </c>
      <c r="AH324" s="10">
        <f>IFERROR(__xludf.DUMMYFUNCTION("""COMPUTED_VALUE"""),0.0)</f>
        <v>0</v>
      </c>
      <c r="AI324" s="10">
        <f>IFERROR(__xludf.DUMMYFUNCTION("""COMPUTED_VALUE"""),7.0)</f>
        <v>7</v>
      </c>
      <c r="AJ324" s="11" t="str">
        <f>IFERROR(__xludf.DUMMYFUNCTION("""COMPUTED_VALUE"""),"https://drive.google.com/open?id=1bIKKjq5jeSfodgN9XlhLOucgDEjvLYJy")</f>
        <v>https://drive.google.com/open?id=1bIKKjq5jeSfodgN9XlhLOucgDEjvLYJy</v>
      </c>
      <c r="AK324" s="12"/>
      <c r="AL324" s="12"/>
      <c r="AM324" s="12"/>
      <c r="AN324" s="12" t="str">
        <f>IFERROR(__xludf.DUMMYFUNCTION("""COMPUTED_VALUE"""),"2nd week")</f>
        <v>2nd week</v>
      </c>
      <c r="AO324" s="13">
        <v>3.0</v>
      </c>
      <c r="AX324" s="17"/>
    </row>
    <row r="325">
      <c r="A325" s="8">
        <v>324.0</v>
      </c>
      <c r="B325" s="9">
        <f>IFERROR(__xludf.DUMMYFUNCTION("""COMPUTED_VALUE"""),45832.12914668981)</f>
        <v>45832.12915</v>
      </c>
      <c r="C325" s="10" t="str">
        <f>IFERROR(__xludf.DUMMYFUNCTION("""COMPUTED_VALUE"""),"M Rizwan")</f>
        <v>M Rizwan</v>
      </c>
      <c r="D325" s="10" t="str">
        <f>IFERROR(__xludf.DUMMYFUNCTION("""COMPUTED_VALUE"""),"03009485820")</f>
        <v>03009485820</v>
      </c>
      <c r="E325" s="18" t="str">
        <f>IFERROR(__xludf.DUMMYFUNCTION("""COMPUTED_VALUE"""),"https://docs.google.com/forms/u/0/d/e/1FAIpQLSf_ZhopKOe_vq1OBMgui8QqQ_6bwKDzMJ5dWDg8JHbU5LLtvQ/formResponse")</f>
        <v>https://docs.google.com/forms/u/0/d/e/1FAIpQLSf_ZhopKOe_vq1OBMgui8QqQ_6bwKDzMJ5dWDg8JHbU5LLtvQ/formResponse</v>
      </c>
      <c r="F325" s="10" t="str">
        <f>IFERROR(__xludf.DUMMYFUNCTION("""COMPUTED_VALUE"""),"EBSPQ")</f>
        <v>EBSPQ</v>
      </c>
      <c r="G325" s="10" t="str">
        <f>IFERROR(__xludf.DUMMYFUNCTION("""COMPUTED_VALUE"""),"Yes")</f>
        <v>Yes</v>
      </c>
      <c r="H325" s="10">
        <f>IFERROR(__xludf.DUMMYFUNCTION("""COMPUTED_VALUE"""),7.0)</f>
        <v>7</v>
      </c>
      <c r="I325" s="10">
        <f>IFERROR(__xludf.DUMMYFUNCTION("""COMPUTED_VALUE"""),2.0)</f>
        <v>2</v>
      </c>
      <c r="J325" s="10">
        <f>IFERROR(__xludf.DUMMYFUNCTION("""COMPUTED_VALUE"""),8.0)</f>
        <v>8</v>
      </c>
      <c r="K325" s="10">
        <f>IFERROR(__xludf.DUMMYFUNCTION("""COMPUTED_VALUE"""),9.0)</f>
        <v>9</v>
      </c>
      <c r="L325" s="10">
        <f>IFERROR(__xludf.DUMMYFUNCTION("""COMPUTED_VALUE"""),0.0)</f>
        <v>0</v>
      </c>
      <c r="M325" s="10">
        <f>IFERROR(__xludf.DUMMYFUNCTION("""COMPUTED_VALUE"""),8.0)</f>
        <v>8</v>
      </c>
      <c r="N325" s="10">
        <f>IFERROR(__xludf.DUMMYFUNCTION("""COMPUTED_VALUE"""),0.0)</f>
        <v>0</v>
      </c>
      <c r="O325" s="10">
        <f>IFERROR(__xludf.DUMMYFUNCTION("""COMPUTED_VALUE"""),8.0)</f>
        <v>8</v>
      </c>
      <c r="P325" s="10">
        <f>IFERROR(__xludf.DUMMYFUNCTION("""COMPUTED_VALUE"""),0.0)</f>
        <v>0</v>
      </c>
      <c r="Q325" s="10" t="str">
        <f>IFERROR(__xludf.DUMMYFUNCTION("""COMPUTED_VALUE"""),"Yes")</f>
        <v>Yes</v>
      </c>
      <c r="R325" s="10" t="str">
        <f>IFERROR(__xludf.DUMMYFUNCTION("""COMPUTED_VALUE"""),"No")</f>
        <v>No</v>
      </c>
      <c r="S325" s="10" t="str">
        <f>IFERROR(__xludf.DUMMYFUNCTION("""COMPUTED_VALUE"""),"No")</f>
        <v>No</v>
      </c>
      <c r="T325" s="10">
        <f>IFERROR(__xludf.DUMMYFUNCTION("""COMPUTED_VALUE"""),0.0)</f>
        <v>0</v>
      </c>
      <c r="U325" s="10">
        <f>IFERROR(__xludf.DUMMYFUNCTION("""COMPUTED_VALUE"""),0.0)</f>
        <v>0</v>
      </c>
      <c r="V325" s="10" t="str">
        <f>IFERROR(__xludf.DUMMYFUNCTION("""COMPUTED_VALUE"""),"Aurton K haqooq")</f>
        <v>Aurton K haqooq</v>
      </c>
      <c r="W325" s="10" t="str">
        <f>IFERROR(__xludf.DUMMYFUNCTION("""COMPUTED_VALUE"""),"Aurtoon k haqooq")</f>
        <v>Aurtoon k haqooq</v>
      </c>
      <c r="X325" s="10">
        <f>IFERROR(__xludf.DUMMYFUNCTION("""COMPUTED_VALUE"""),0.0)</f>
        <v>0</v>
      </c>
      <c r="Y325" s="10">
        <f>IFERROR(__xludf.DUMMYFUNCTION("""COMPUTED_VALUE"""),0.0)</f>
        <v>0</v>
      </c>
      <c r="Z325" s="10">
        <f>IFERROR(__xludf.DUMMYFUNCTION("""COMPUTED_VALUE"""),0.0)</f>
        <v>0</v>
      </c>
      <c r="AA325" s="10">
        <f>IFERROR(__xludf.DUMMYFUNCTION("""COMPUTED_VALUE"""),0.0)</f>
        <v>0</v>
      </c>
      <c r="AB325" s="10">
        <f>IFERROR(__xludf.DUMMYFUNCTION("""COMPUTED_VALUE"""),0.0)</f>
        <v>0</v>
      </c>
      <c r="AC325" s="10">
        <f>IFERROR(__xludf.DUMMYFUNCTION("""COMPUTED_VALUE"""),0.0)</f>
        <v>0</v>
      </c>
      <c r="AD325" s="10">
        <f>IFERROR(__xludf.DUMMYFUNCTION("""COMPUTED_VALUE"""),0.0)</f>
        <v>0</v>
      </c>
      <c r="AE325" s="10">
        <f>IFERROR(__xludf.DUMMYFUNCTION("""COMPUTED_VALUE"""),0.0)</f>
        <v>0</v>
      </c>
      <c r="AF325" s="10">
        <f>IFERROR(__xludf.DUMMYFUNCTION("""COMPUTED_VALUE"""),0.0)</f>
        <v>0</v>
      </c>
      <c r="AG325" s="10">
        <f>IFERROR(__xludf.DUMMYFUNCTION("""COMPUTED_VALUE"""),8.0)</f>
        <v>8</v>
      </c>
      <c r="AH325" s="10">
        <f>IFERROR(__xludf.DUMMYFUNCTION("""COMPUTED_VALUE"""),0.0)</f>
        <v>0</v>
      </c>
      <c r="AI325" s="10">
        <f>IFERROR(__xludf.DUMMYFUNCTION("""COMPUTED_VALUE"""),8.0)</f>
        <v>8</v>
      </c>
      <c r="AJ325" s="11" t="str">
        <f>IFERROR(__xludf.DUMMYFUNCTION("""COMPUTED_VALUE"""),"https://drive.google.com/open?id=1q1HhwV8S4KxyUMfP8ibhqj9o1tmxSTXp")</f>
        <v>https://drive.google.com/open?id=1q1HhwV8S4KxyUMfP8ibhqj9o1tmxSTXp</v>
      </c>
      <c r="AK325" s="12"/>
      <c r="AL325" s="12" t="str">
        <f>IFERROR(__xludf.DUMMYFUNCTION("""COMPUTED_VALUE"""),"Yes")</f>
        <v>Yes</v>
      </c>
      <c r="AM325" s="15">
        <f>IFERROR(__xludf.DUMMYFUNCTION("""COMPUTED_VALUE"""),0.7)</f>
        <v>0.7</v>
      </c>
      <c r="AN325" s="12" t="str">
        <f>IFERROR(__xludf.DUMMYFUNCTION("""COMPUTED_VALUE"""),"1st week")</f>
        <v>1st week</v>
      </c>
      <c r="AO325" s="13">
        <v>1.0</v>
      </c>
      <c r="AX325" s="17"/>
    </row>
    <row r="326">
      <c r="A326" s="8">
        <v>325.0</v>
      </c>
      <c r="B326" s="9">
        <f>IFERROR(__xludf.DUMMYFUNCTION("""COMPUTED_VALUE"""),45832.140400289354)</f>
        <v>45832.1404</v>
      </c>
      <c r="C326" s="10" t="str">
        <f>IFERROR(__xludf.DUMMYFUNCTION("""COMPUTED_VALUE"""),"Shahid Iqbal")</f>
        <v>Shahid Iqbal</v>
      </c>
      <c r="D326" s="10" t="str">
        <f>IFERROR(__xludf.DUMMYFUNCTION("""COMPUTED_VALUE"""),"03009485820")</f>
        <v>03009485820</v>
      </c>
      <c r="E326" s="10" t="str">
        <f>IFERROR(__xludf.DUMMYFUNCTION("""COMPUTED_VALUE"""),"Jamia Masjid Darbar Shiekh Ahmad Wali Gujrat")</f>
        <v>Jamia Masjid Darbar Shiekh Ahmad Wali Gujrat</v>
      </c>
      <c r="F326" s="10" t="str">
        <f>IFERROR(__xludf.DUMMYFUNCTION("""COMPUTED_VALUE"""),"PGPQM")</f>
        <v>PGPQM</v>
      </c>
      <c r="G326" s="10" t="str">
        <f>IFERROR(__xludf.DUMMYFUNCTION("""COMPUTED_VALUE"""),"Yes")</f>
        <v>Yes</v>
      </c>
      <c r="H326" s="10">
        <f>IFERROR(__xludf.DUMMYFUNCTION("""COMPUTED_VALUE"""),7.0)</f>
        <v>7</v>
      </c>
      <c r="I326" s="10">
        <f>IFERROR(__xludf.DUMMYFUNCTION("""COMPUTED_VALUE"""),1.0)</f>
        <v>1</v>
      </c>
      <c r="J326" s="10">
        <f>IFERROR(__xludf.DUMMYFUNCTION("""COMPUTED_VALUE"""),7.0)</f>
        <v>7</v>
      </c>
      <c r="K326" s="10">
        <f>IFERROR(__xludf.DUMMYFUNCTION("""COMPUTED_VALUE"""),0.0)</f>
        <v>0</v>
      </c>
      <c r="L326" s="10">
        <f>IFERROR(__xludf.DUMMYFUNCTION("""COMPUTED_VALUE"""),8.0)</f>
        <v>8</v>
      </c>
      <c r="M326" s="10">
        <f>IFERROR(__xludf.DUMMYFUNCTION("""COMPUTED_VALUE"""),0.0)</f>
        <v>0</v>
      </c>
      <c r="N326" s="10">
        <f>IFERROR(__xludf.DUMMYFUNCTION("""COMPUTED_VALUE"""),7.0)</f>
        <v>7</v>
      </c>
      <c r="O326" s="10">
        <f>IFERROR(__xludf.DUMMYFUNCTION("""COMPUTED_VALUE"""),0.0)</f>
        <v>0</v>
      </c>
      <c r="P326" s="10">
        <f>IFERROR(__xludf.DUMMYFUNCTION("""COMPUTED_VALUE"""),8.0)</f>
        <v>8</v>
      </c>
      <c r="Q326" s="10" t="str">
        <f>IFERROR(__xludf.DUMMYFUNCTION("""COMPUTED_VALUE"""),"No")</f>
        <v>No</v>
      </c>
      <c r="R326" s="10" t="str">
        <f>IFERROR(__xludf.DUMMYFUNCTION("""COMPUTED_VALUE"""),"No")</f>
        <v>No</v>
      </c>
      <c r="S326" s="10" t="str">
        <f>IFERROR(__xludf.DUMMYFUNCTION("""COMPUTED_VALUE"""),"No")</f>
        <v>No</v>
      </c>
      <c r="T326" s="10">
        <f>IFERROR(__xludf.DUMMYFUNCTION("""COMPUTED_VALUE"""),0.0)</f>
        <v>0</v>
      </c>
      <c r="U326" s="10">
        <f>IFERROR(__xludf.DUMMYFUNCTION("""COMPUTED_VALUE"""),0.0)</f>
        <v>0</v>
      </c>
      <c r="V326" s="10" t="str">
        <f>IFERROR(__xludf.DUMMYFUNCTION("""COMPUTED_VALUE"""),"Hamsayion k Haqooq")</f>
        <v>Hamsayion k Haqooq</v>
      </c>
      <c r="W326" s="10" t="str">
        <f>IFERROR(__xludf.DUMMYFUNCTION("""COMPUTED_VALUE"""),"Hamsaayion k Haqoqq aur safai suthrai")</f>
        <v>Hamsaayion k Haqoqq aur safai suthrai</v>
      </c>
      <c r="X326" s="10">
        <f>IFERROR(__xludf.DUMMYFUNCTION("""COMPUTED_VALUE"""),0.0)</f>
        <v>0</v>
      </c>
      <c r="Y326" s="10">
        <f>IFERROR(__xludf.DUMMYFUNCTION("""COMPUTED_VALUE"""),7.0)</f>
        <v>7</v>
      </c>
      <c r="Z326" s="10">
        <f>IFERROR(__xludf.DUMMYFUNCTION("""COMPUTED_VALUE"""),0.0)</f>
        <v>0</v>
      </c>
      <c r="AA326" s="10">
        <f>IFERROR(__xludf.DUMMYFUNCTION("""COMPUTED_VALUE"""),0.0)</f>
        <v>0</v>
      </c>
      <c r="AB326" s="10">
        <f>IFERROR(__xludf.DUMMYFUNCTION("""COMPUTED_VALUE"""),0.0)</f>
        <v>0</v>
      </c>
      <c r="AC326" s="10">
        <f>IFERROR(__xludf.DUMMYFUNCTION("""COMPUTED_VALUE"""),0.0)</f>
        <v>0</v>
      </c>
      <c r="AD326" s="10">
        <f>IFERROR(__xludf.DUMMYFUNCTION("""COMPUTED_VALUE"""),0.0)</f>
        <v>0</v>
      </c>
      <c r="AE326" s="10">
        <f>IFERROR(__xludf.DUMMYFUNCTION("""COMPUTED_VALUE"""),0.0)</f>
        <v>0</v>
      </c>
      <c r="AF326" s="10">
        <f>IFERROR(__xludf.DUMMYFUNCTION("""COMPUTED_VALUE"""),0.0)</f>
        <v>0</v>
      </c>
      <c r="AG326" s="10">
        <f>IFERROR(__xludf.DUMMYFUNCTION("""COMPUTED_VALUE"""),7.0)</f>
        <v>7</v>
      </c>
      <c r="AH326" s="10">
        <f>IFERROR(__xludf.DUMMYFUNCTION("""COMPUTED_VALUE"""),0.0)</f>
        <v>0</v>
      </c>
      <c r="AI326" s="10">
        <f>IFERROR(__xludf.DUMMYFUNCTION("""COMPUTED_VALUE"""),8.0)</f>
        <v>8</v>
      </c>
      <c r="AJ326" s="11" t="str">
        <f>IFERROR(__xludf.DUMMYFUNCTION("""COMPUTED_VALUE"""),"https://drive.google.com/open?id=1XBlVQeGGfyC_HclznbMh2PbHWAxtWc-8")</f>
        <v>https://drive.google.com/open?id=1XBlVQeGGfyC_HclznbMh2PbHWAxtWc-8</v>
      </c>
      <c r="AK326" s="12"/>
      <c r="AL326" s="12" t="str">
        <f>IFERROR(__xludf.DUMMYFUNCTION("""COMPUTED_VALUE"""),"Yes")</f>
        <v>Yes</v>
      </c>
      <c r="AM326" s="15">
        <f>IFERROR(__xludf.DUMMYFUNCTION("""COMPUTED_VALUE"""),0.8)</f>
        <v>0.8</v>
      </c>
      <c r="AN326" s="12" t="str">
        <f>IFERROR(__xludf.DUMMYFUNCTION("""COMPUTED_VALUE"""),"2nd week")</f>
        <v>2nd week</v>
      </c>
      <c r="AO326" s="13">
        <v>2.0</v>
      </c>
      <c r="AX326" s="17"/>
    </row>
    <row r="327">
      <c r="A327" s="8">
        <v>326.0</v>
      </c>
      <c r="B327" s="9">
        <f>IFERROR(__xludf.DUMMYFUNCTION("""COMPUTED_VALUE"""),45832.15900791666)</f>
        <v>45832.15901</v>
      </c>
      <c r="C327" s="10" t="str">
        <f>IFERROR(__xludf.DUMMYFUNCTION("""COMPUTED_VALUE"""),"Sumaia Hayat ")</f>
        <v>Sumaia Hayat </v>
      </c>
      <c r="D327" s="10" t="str">
        <f>IFERROR(__xludf.DUMMYFUNCTION("""COMPUTED_VALUE"""),"03260671819")</f>
        <v>03260671819</v>
      </c>
      <c r="E327" s="10" t="str">
        <f>IFERROR(__xludf.DUMMYFUNCTION("""COMPUTED_VALUE"""),"Jamia Masjid Sakhi Suleman Noori Hazuri")</f>
        <v>Jamia Masjid Sakhi Suleman Noori Hazuri</v>
      </c>
      <c r="F327" s="10" t="str">
        <f>IFERROR(__xludf.DUMMYFUNCTION("""COMPUTED_VALUE"""),"WWWQH")</f>
        <v>WWWQH</v>
      </c>
      <c r="G327" s="10" t="str">
        <f>IFERROR(__xludf.DUMMYFUNCTION("""COMPUTED_VALUE"""),"No")</f>
        <v>No</v>
      </c>
      <c r="H327" s="10"/>
      <c r="I327" s="10"/>
      <c r="J327" s="10"/>
      <c r="K327" s="10">
        <f>IFERROR(__xludf.DUMMYFUNCTION("""COMPUTED_VALUE"""),0.0)</f>
        <v>0</v>
      </c>
      <c r="L327" s="10">
        <f>IFERROR(__xludf.DUMMYFUNCTION("""COMPUTED_VALUE"""),0.0)</f>
        <v>0</v>
      </c>
      <c r="M327" s="10">
        <f>IFERROR(__xludf.DUMMYFUNCTION("""COMPUTED_VALUE"""),0.0)</f>
        <v>0</v>
      </c>
      <c r="N327" s="10">
        <f>IFERROR(__xludf.DUMMYFUNCTION("""COMPUTED_VALUE"""),0.0)</f>
        <v>0</v>
      </c>
      <c r="O327" s="10">
        <f>IFERROR(__xludf.DUMMYFUNCTION("""COMPUTED_VALUE"""),0.0)</f>
        <v>0</v>
      </c>
      <c r="P327" s="10">
        <f>IFERROR(__xludf.DUMMYFUNCTION("""COMPUTED_VALUE"""),0.0)</f>
        <v>0</v>
      </c>
      <c r="Q327" s="10" t="str">
        <f>IFERROR(__xludf.DUMMYFUNCTION("""COMPUTED_VALUE"""),"No")</f>
        <v>No</v>
      </c>
      <c r="R327" s="10" t="str">
        <f>IFERROR(__xludf.DUMMYFUNCTION("""COMPUTED_VALUE"""),"No")</f>
        <v>No</v>
      </c>
      <c r="S327" s="10" t="str">
        <f>IFERROR(__xludf.DUMMYFUNCTION("""COMPUTED_VALUE"""),"No")</f>
        <v>No</v>
      </c>
      <c r="T327" s="10">
        <f>IFERROR(__xludf.DUMMYFUNCTION("""COMPUTED_VALUE"""),0.0)</f>
        <v>0</v>
      </c>
      <c r="U327" s="10">
        <f>IFERROR(__xludf.DUMMYFUNCTION("""COMPUTED_VALUE"""),0.0)</f>
        <v>0</v>
      </c>
      <c r="V327" s="10" t="str">
        <f>IFERROR(__xludf.DUMMYFUNCTION("""COMPUTED_VALUE"""),"زندگی، موت، برزخ اور آخرت کی حقیقت
")</f>
        <v>زندگی، موت، برزخ اور آخرت کی حقیقت
</v>
      </c>
      <c r="W327" s="10" t="str">
        <f>IFERROR(__xludf.DUMMYFUNCTION("""COMPUTED_VALUE"""),"امام نے بیان میں زندگی اور موت کو اللہ کی آزمائش قرار دیا، اور موت کے بعد کی برزخی زندگی کی حقیقت پر روشنی ڈالی۔
انہوں نے بتایا کہ انسان کی اصل زندگی موت کے بعد شروع ہوتی ہے، جس کے لیے تیاری ضروری ہے۔
")</f>
        <v>امام نے بیان میں زندگی اور موت کو اللہ کی آزمائش قرار دیا، اور موت کے بعد کی برزخی زندگی کی حقیقت پر روشنی ڈالی۔
انہوں نے بتایا کہ انسان کی اصل زندگی موت کے بعد شروع ہوتی ہے، جس کے لیے تیاری ضروری ہے۔
</v>
      </c>
      <c r="X327" s="10">
        <f>IFERROR(__xludf.DUMMYFUNCTION("""COMPUTED_VALUE"""),3.0)</f>
        <v>3</v>
      </c>
      <c r="Y327" s="10">
        <f>IFERROR(__xludf.DUMMYFUNCTION("""COMPUTED_VALUE"""),2.0)</f>
        <v>2</v>
      </c>
      <c r="Z327" s="10">
        <f>IFERROR(__xludf.DUMMYFUNCTION("""COMPUTED_VALUE"""),1.0)</f>
        <v>1</v>
      </c>
      <c r="AA327" s="10">
        <f>IFERROR(__xludf.DUMMYFUNCTION("""COMPUTED_VALUE"""),9.0)</f>
        <v>9</v>
      </c>
      <c r="AB327" s="10">
        <f>IFERROR(__xludf.DUMMYFUNCTION("""COMPUTED_VALUE"""),2.0)</f>
        <v>2</v>
      </c>
      <c r="AC327" s="10">
        <f>IFERROR(__xludf.DUMMYFUNCTION("""COMPUTED_VALUE"""),0.0)</f>
        <v>0</v>
      </c>
      <c r="AD327" s="10">
        <f>IFERROR(__xludf.DUMMYFUNCTION("""COMPUTED_VALUE"""),0.0)</f>
        <v>0</v>
      </c>
      <c r="AE327" s="10">
        <f>IFERROR(__xludf.DUMMYFUNCTION("""COMPUTED_VALUE"""),0.0)</f>
        <v>0</v>
      </c>
      <c r="AF327" s="10">
        <f>IFERROR(__xludf.DUMMYFUNCTION("""COMPUTED_VALUE"""),7.0)</f>
        <v>7</v>
      </c>
      <c r="AG327" s="10">
        <f>IFERROR(__xludf.DUMMYFUNCTION("""COMPUTED_VALUE"""),6.0)</f>
        <v>6</v>
      </c>
      <c r="AH327" s="10">
        <f>IFERROR(__xludf.DUMMYFUNCTION("""COMPUTED_VALUE"""),0.0)</f>
        <v>0</v>
      </c>
      <c r="AI327" s="10">
        <f>IFERROR(__xludf.DUMMYFUNCTION("""COMPUTED_VALUE"""),8.0)</f>
        <v>8</v>
      </c>
      <c r="AJ327" s="11" t="str">
        <f>IFERROR(__xludf.DUMMYFUNCTION("""COMPUTED_VALUE"""),"https://drive.google.com/open?id=1BtyfelQUyWEff8dPXUjanp8HSUvKXFYr")</f>
        <v>https://drive.google.com/open?id=1BtyfelQUyWEff8dPXUjanp8HSUvKXFYr</v>
      </c>
      <c r="AK327" s="12" t="str">
        <f>IFERROR(__xludf.DUMMYFUNCTION("""COMPUTED_VALUE"""),"امام کا بیان آخرت کی تیاری پر مرکوز، اصلاحی اور جذباتی تھا، مگر موجودہ سماجی و معاشرتی مسائل سے کٹ کر تھا۔ خواتین، معاشرت، صفائی، تعلیم، یا جدید دور کے مسائل کا ذکر شامل ہوتا تو بیان زیادہ ہمہ گیر ہوتا۔
")</f>
        <v>امام کا بیان آخرت کی تیاری پر مرکوز، اصلاحی اور جذباتی تھا، مگر موجودہ سماجی و معاشرتی مسائل سے کٹ کر تھا۔ خواتین، معاشرت، صفائی، تعلیم، یا جدید دور کے مسائل کا ذکر شامل ہوتا تو بیان زیادہ ہمہ گیر ہوتا۔
</v>
      </c>
      <c r="AL327" s="12"/>
      <c r="AM327" s="12"/>
      <c r="AN327" s="12" t="str">
        <f>IFERROR(__xludf.DUMMYFUNCTION("""COMPUTED_VALUE"""),"1st week")</f>
        <v>1st week</v>
      </c>
      <c r="AO327" s="13" t="s">
        <v>8</v>
      </c>
      <c r="AX327" s="17"/>
    </row>
    <row r="328">
      <c r="A328" s="8">
        <v>327.0</v>
      </c>
      <c r="B328" s="9">
        <f>IFERROR(__xludf.DUMMYFUNCTION("""COMPUTED_VALUE"""),45832.30581021991)</f>
        <v>45832.30581</v>
      </c>
      <c r="C328" s="10" t="str">
        <f>IFERROR(__xludf.DUMMYFUNCTION("""COMPUTED_VALUE"""),"Asim munir")</f>
        <v>Asim munir</v>
      </c>
      <c r="D328" s="10" t="str">
        <f>IFERROR(__xludf.DUMMYFUNCTION("""COMPUTED_VALUE"""),"03005787199")</f>
        <v>03005787199</v>
      </c>
      <c r="E328" s="10" t="str">
        <f>IFERROR(__xludf.DUMMYFUNCTION("""COMPUTED_VALUE"""),"Jamia Masjid Galah Mandi Sargodha")</f>
        <v>Jamia Masjid Galah Mandi Sargodha</v>
      </c>
      <c r="F328" s="10" t="str">
        <f>IFERROR(__xludf.DUMMYFUNCTION("""COMPUTED_VALUE"""),"EBSPQ")</f>
        <v>EBSPQ</v>
      </c>
      <c r="G328" s="10" t="str">
        <f>IFERROR(__xludf.DUMMYFUNCTION("""COMPUTED_VALUE"""),"Yes")</f>
        <v>Yes</v>
      </c>
      <c r="H328" s="10">
        <f>IFERROR(__xludf.DUMMYFUNCTION("""COMPUTED_VALUE"""),5.0)</f>
        <v>5</v>
      </c>
      <c r="I328" s="10">
        <f>IFERROR(__xludf.DUMMYFUNCTION("""COMPUTED_VALUE"""),3.0)</f>
        <v>3</v>
      </c>
      <c r="J328" s="10">
        <f>IFERROR(__xludf.DUMMYFUNCTION("""COMPUTED_VALUE"""),5.0)</f>
        <v>5</v>
      </c>
      <c r="K328" s="10">
        <f>IFERROR(__xludf.DUMMYFUNCTION("""COMPUTED_VALUE"""),7.0)</f>
        <v>7</v>
      </c>
      <c r="L328" s="10">
        <f>IFERROR(__xludf.DUMMYFUNCTION("""COMPUTED_VALUE"""),0.0)</f>
        <v>0</v>
      </c>
      <c r="M328" s="10">
        <f>IFERROR(__xludf.DUMMYFUNCTION("""COMPUTED_VALUE"""),7.0)</f>
        <v>7</v>
      </c>
      <c r="N328" s="10">
        <f>IFERROR(__xludf.DUMMYFUNCTION("""COMPUTED_VALUE"""),0.0)</f>
        <v>0</v>
      </c>
      <c r="O328" s="10">
        <f>IFERROR(__xludf.DUMMYFUNCTION("""COMPUTED_VALUE"""),7.0)</f>
        <v>7</v>
      </c>
      <c r="P328" s="10">
        <f>IFERROR(__xludf.DUMMYFUNCTION("""COMPUTED_VALUE"""),0.0)</f>
        <v>0</v>
      </c>
      <c r="Q328" s="10" t="str">
        <f>IFERROR(__xludf.DUMMYFUNCTION("""COMPUTED_VALUE"""),"Yes")</f>
        <v>Yes</v>
      </c>
      <c r="R328" s="10" t="str">
        <f>IFERROR(__xludf.DUMMYFUNCTION("""COMPUTED_VALUE"""),"No")</f>
        <v>No</v>
      </c>
      <c r="S328" s="10" t="str">
        <f>IFERROR(__xludf.DUMMYFUNCTION("""COMPUTED_VALUE"""),"No")</f>
        <v>No</v>
      </c>
      <c r="T328" s="10">
        <f>IFERROR(__xludf.DUMMYFUNCTION("""COMPUTED_VALUE"""),0.0)</f>
        <v>0</v>
      </c>
      <c r="U328" s="10">
        <f>IFERROR(__xludf.DUMMYFUNCTION("""COMPUTED_VALUE"""),0.0)</f>
        <v>0</v>
      </c>
      <c r="V328" s="10" t="str">
        <f>IFERROR(__xludf.DUMMYFUNCTION("""COMPUTED_VALUE"""),"Aurtoon K haqooq")</f>
        <v>Aurtoon K haqooq</v>
      </c>
      <c r="W328" s="10" t="str">
        <f>IFERROR(__xludf.DUMMYFUNCTION("""COMPUTED_VALUE"""),"aurtoon k haoqq")</f>
        <v>aurtoon k haoqq</v>
      </c>
      <c r="X328" s="10">
        <f>IFERROR(__xludf.DUMMYFUNCTION("""COMPUTED_VALUE"""),0.0)</f>
        <v>0</v>
      </c>
      <c r="Y328" s="10">
        <f>IFERROR(__xludf.DUMMYFUNCTION("""COMPUTED_VALUE"""),0.0)</f>
        <v>0</v>
      </c>
      <c r="Z328" s="10">
        <f>IFERROR(__xludf.DUMMYFUNCTION("""COMPUTED_VALUE"""),0.0)</f>
        <v>0</v>
      </c>
      <c r="AA328" s="10">
        <f>IFERROR(__xludf.DUMMYFUNCTION("""COMPUTED_VALUE"""),0.0)</f>
        <v>0</v>
      </c>
      <c r="AB328" s="10">
        <f>IFERROR(__xludf.DUMMYFUNCTION("""COMPUTED_VALUE"""),0.0)</f>
        <v>0</v>
      </c>
      <c r="AC328" s="10">
        <f>IFERROR(__xludf.DUMMYFUNCTION("""COMPUTED_VALUE"""),3.0)</f>
        <v>3</v>
      </c>
      <c r="AD328" s="10">
        <f>IFERROR(__xludf.DUMMYFUNCTION("""COMPUTED_VALUE"""),1.0)</f>
        <v>1</v>
      </c>
      <c r="AE328" s="10">
        <f>IFERROR(__xludf.DUMMYFUNCTION("""COMPUTED_VALUE"""),1.0)</f>
        <v>1</v>
      </c>
      <c r="AF328" s="10">
        <f>IFERROR(__xludf.DUMMYFUNCTION("""COMPUTED_VALUE"""),1.0)</f>
        <v>1</v>
      </c>
      <c r="AG328" s="10">
        <f>IFERROR(__xludf.DUMMYFUNCTION("""COMPUTED_VALUE"""),6.0)</f>
        <v>6</v>
      </c>
      <c r="AH328" s="10">
        <f>IFERROR(__xludf.DUMMYFUNCTION("""COMPUTED_VALUE"""),0.0)</f>
        <v>0</v>
      </c>
      <c r="AI328" s="10">
        <f>IFERROR(__xludf.DUMMYFUNCTION("""COMPUTED_VALUE"""),7.0)</f>
        <v>7</v>
      </c>
      <c r="AJ328" s="11" t="str">
        <f>IFERROR(__xludf.DUMMYFUNCTION("""COMPUTED_VALUE"""),"https://drive.google.com/open?id=1yPPvf3I9MshztUSmETpEinukEnvf6E_R")</f>
        <v>https://drive.google.com/open?id=1yPPvf3I9MshztUSmETpEinukEnvf6E_R</v>
      </c>
      <c r="AK328" s="12"/>
      <c r="AL328" s="12" t="str">
        <f>IFERROR(__xludf.DUMMYFUNCTION("""COMPUTED_VALUE"""),"Yes")</f>
        <v>Yes</v>
      </c>
      <c r="AM328" s="15">
        <f>IFERROR(__xludf.DUMMYFUNCTION("""COMPUTED_VALUE"""),0.8)</f>
        <v>0.8</v>
      </c>
      <c r="AN328" s="12" t="str">
        <f>IFERROR(__xludf.DUMMYFUNCTION("""COMPUTED_VALUE"""),"2nd week")</f>
        <v>2nd week</v>
      </c>
      <c r="AO328" s="13">
        <v>2.0</v>
      </c>
      <c r="AX328" s="17"/>
    </row>
    <row r="329">
      <c r="A329" s="8">
        <v>328.0</v>
      </c>
      <c r="B329" s="9">
        <f>IFERROR(__xludf.DUMMYFUNCTION("""COMPUTED_VALUE"""),45832.44933024306)</f>
        <v>45832.44933</v>
      </c>
      <c r="C329" s="10" t="str">
        <f>IFERROR(__xludf.DUMMYFUNCTION("""COMPUTED_VALUE"""),"Sumaia Hayat ")</f>
        <v>Sumaia Hayat </v>
      </c>
      <c r="D329" s="10" t="str">
        <f>IFERROR(__xludf.DUMMYFUNCTION("""COMPUTED_VALUE"""),"03260671819")</f>
        <v>03260671819</v>
      </c>
      <c r="E329" s="10" t="str">
        <f>IFERROR(__xludf.DUMMYFUNCTION("""COMPUTED_VALUE"""),"Jamia Masjid Phalarwaan Sargodha")</f>
        <v>Jamia Masjid Phalarwaan Sargodha</v>
      </c>
      <c r="F329" s="10" t="str">
        <f>IFERROR(__xludf.DUMMYFUNCTION("""COMPUTED_VALUE"""),"JTMUR")</f>
        <v>JTMUR</v>
      </c>
      <c r="G329" s="10" t="str">
        <f>IFERROR(__xludf.DUMMYFUNCTION("""COMPUTED_VALUE"""),"No")</f>
        <v>No</v>
      </c>
      <c r="H329" s="10"/>
      <c r="I329" s="10"/>
      <c r="J329" s="10"/>
      <c r="K329" s="10">
        <f>IFERROR(__xludf.DUMMYFUNCTION("""COMPUTED_VALUE"""),0.0)</f>
        <v>0</v>
      </c>
      <c r="L329" s="10">
        <f>IFERROR(__xludf.DUMMYFUNCTION("""COMPUTED_VALUE"""),0.0)</f>
        <v>0</v>
      </c>
      <c r="M329" s="10">
        <f>IFERROR(__xludf.DUMMYFUNCTION("""COMPUTED_VALUE"""),0.0)</f>
        <v>0</v>
      </c>
      <c r="N329" s="10">
        <f>IFERROR(__xludf.DUMMYFUNCTION("""COMPUTED_VALUE"""),0.0)</f>
        <v>0</v>
      </c>
      <c r="O329" s="10">
        <f>IFERROR(__xludf.DUMMYFUNCTION("""COMPUTED_VALUE"""),0.0)</f>
        <v>0</v>
      </c>
      <c r="P329" s="10">
        <f>IFERROR(__xludf.DUMMYFUNCTION("""COMPUTED_VALUE"""),0.0)</f>
        <v>0</v>
      </c>
      <c r="Q329" s="10" t="str">
        <f>IFERROR(__xludf.DUMMYFUNCTION("""COMPUTED_VALUE"""),"No")</f>
        <v>No</v>
      </c>
      <c r="R329" s="10" t="str">
        <f>IFERROR(__xludf.DUMMYFUNCTION("""COMPUTED_VALUE"""),"No")</f>
        <v>No</v>
      </c>
      <c r="S329" s="10" t="str">
        <f>IFERROR(__xludf.DUMMYFUNCTION("""COMPUTED_VALUE"""),"No")</f>
        <v>No</v>
      </c>
      <c r="T329" s="10">
        <f>IFERROR(__xludf.DUMMYFUNCTION("""COMPUTED_VALUE"""),0.0)</f>
        <v>0</v>
      </c>
      <c r="U329" s="10">
        <f>IFERROR(__xludf.DUMMYFUNCTION("""COMPUTED_VALUE"""),0.0)</f>
        <v>0</v>
      </c>
      <c r="V329" s="10" t="str">
        <f>IFERROR(__xludf.DUMMYFUNCTION("""COMPUTED_VALUE"""),"اللہ کی قدرت، انسان کی محدودیت، اور شکرگزاری کی اہمیت")</f>
        <v>اللہ کی قدرت، انسان کی محدودیت، اور شکرگزاری کی اہمیت</v>
      </c>
      <c r="W329" s="10" t="str">
        <f>IFERROR(__xludf.DUMMYFUNCTION("""COMPUTED_VALUE"""),"اللہ تعالیٰ کی قدرت اور انسان کی بےبسی کو بیان کرتے ہوئے شکرگزاری کی تلقین کی گئی۔ امام نے بتایا کہ تمام نعمتیں اللہ کی عطا ہیں اور ہمیں ہر وقت عاجزی اور شکر کے ساتھ زندگی گزارنی چاہیے۔
")</f>
        <v>اللہ تعالیٰ کی قدرت اور انسان کی بےبسی کو بیان کرتے ہوئے شکرگزاری کی تلقین کی گئی۔ امام نے بتایا کہ تمام نعمتیں اللہ کی عطا ہیں اور ہمیں ہر وقت عاجزی اور شکر کے ساتھ زندگی گزارنی چاہیے۔
</v>
      </c>
      <c r="X329" s="10">
        <f>IFERROR(__xludf.DUMMYFUNCTION("""COMPUTED_VALUE"""),9.0)</f>
        <v>9</v>
      </c>
      <c r="Y329" s="10">
        <f>IFERROR(__xludf.DUMMYFUNCTION("""COMPUTED_VALUE"""),1.0)</f>
        <v>1</v>
      </c>
      <c r="Z329" s="10">
        <f>IFERROR(__xludf.DUMMYFUNCTION("""COMPUTED_VALUE"""),1.0)</f>
        <v>1</v>
      </c>
      <c r="AA329" s="10">
        <f>IFERROR(__xludf.DUMMYFUNCTION("""COMPUTED_VALUE"""),0.0)</f>
        <v>0</v>
      </c>
      <c r="AB329" s="10">
        <f>IFERROR(__xludf.DUMMYFUNCTION("""COMPUTED_VALUE"""),1.0)</f>
        <v>1</v>
      </c>
      <c r="AC329" s="10">
        <f>IFERROR(__xludf.DUMMYFUNCTION("""COMPUTED_VALUE"""),0.0)</f>
        <v>0</v>
      </c>
      <c r="AD329" s="10">
        <f>IFERROR(__xludf.DUMMYFUNCTION("""COMPUTED_VALUE"""),0.0)</f>
        <v>0</v>
      </c>
      <c r="AE329" s="10">
        <f>IFERROR(__xludf.DUMMYFUNCTION("""COMPUTED_VALUE"""),0.0)</f>
        <v>0</v>
      </c>
      <c r="AF329" s="10">
        <f>IFERROR(__xludf.DUMMYFUNCTION("""COMPUTED_VALUE"""),8.0)</f>
        <v>8</v>
      </c>
      <c r="AG329" s="10">
        <f>IFERROR(__xludf.DUMMYFUNCTION("""COMPUTED_VALUE"""),7.0)</f>
        <v>7</v>
      </c>
      <c r="AH329" s="10">
        <f>IFERROR(__xludf.DUMMYFUNCTION("""COMPUTED_VALUE"""),0.0)</f>
        <v>0</v>
      </c>
      <c r="AI329" s="10">
        <f>IFERROR(__xludf.DUMMYFUNCTION("""COMPUTED_VALUE"""),8.0)</f>
        <v>8</v>
      </c>
      <c r="AJ329" s="11" t="str">
        <f>IFERROR(__xludf.DUMMYFUNCTION("""COMPUTED_VALUE"""),"https://drive.google.com/open?id=1KzYr9JNgtknu1k-JDwr4cIdij37Tpvp0")</f>
        <v>https://drive.google.com/open?id=1KzYr9JNgtknu1k-JDwr4cIdij37Tpvp0</v>
      </c>
      <c r="AK329" s="12" t="str">
        <f>IFERROR(__xludf.DUMMYFUNCTION("""COMPUTED_VALUE"""),"بیان کا عمومی انداز دینی جذبے سے بھرپور تھا، مگر سماجی و عملی پہلو، جیسے خواتین، ہمسایہ حقوق یا مقامی ذمہ داریوں کی تفصیل شامل نہیں تھی۔ اگر خطبے کو سماج سے جوڑا جائے تو جامعیت میں اضافہ ہو سکتا ہے۔")</f>
        <v>بیان کا عمومی انداز دینی جذبے سے بھرپور تھا، مگر سماجی و عملی پہلو، جیسے خواتین، ہمسایہ حقوق یا مقامی ذمہ داریوں کی تفصیل شامل نہیں تھی۔ اگر خطبے کو سماج سے جوڑا جائے تو جامعیت میں اضافہ ہو سکتا ہے۔</v>
      </c>
      <c r="AL329" s="12"/>
      <c r="AM329" s="12"/>
      <c r="AN329" s="12" t="str">
        <f>IFERROR(__xludf.DUMMYFUNCTION("""COMPUTED_VALUE"""),"1st week")</f>
        <v>1st week</v>
      </c>
      <c r="AO329" s="13" t="s">
        <v>8</v>
      </c>
      <c r="AX329" s="17"/>
    </row>
    <row r="330">
      <c r="A330" s="8">
        <v>329.0</v>
      </c>
      <c r="B330" s="9">
        <f>IFERROR(__xludf.DUMMYFUNCTION("""COMPUTED_VALUE"""),45832.49057006944)</f>
        <v>45832.49057</v>
      </c>
      <c r="C330" s="10" t="str">
        <f>IFERROR(__xludf.DUMMYFUNCTION("""COMPUTED_VALUE"""),"Asma Gul ")</f>
        <v>Asma Gul </v>
      </c>
      <c r="D330" s="10" t="str">
        <f>IFERROR(__xludf.DUMMYFUNCTION("""COMPUTED_VALUE"""),"03459309620")</f>
        <v>03459309620</v>
      </c>
      <c r="E330" s="10" t="str">
        <f>IFERROR(__xludf.DUMMYFUNCTION("""COMPUTED_VALUE"""),"Jamia Masjid Company Bhaag Sargodha")</f>
        <v>Jamia Masjid Company Bhaag Sargodha</v>
      </c>
      <c r="F330" s="10" t="str">
        <f>IFERROR(__xludf.DUMMYFUNCTION("""COMPUTED_VALUE"""),"  LMDFN ")</f>
        <v>  LMDFN </v>
      </c>
      <c r="G330" s="10" t="str">
        <f>IFERROR(__xludf.DUMMYFUNCTION("""COMPUTED_VALUE"""),"Yes")</f>
        <v>Yes</v>
      </c>
      <c r="H330" s="10">
        <f>IFERROR(__xludf.DUMMYFUNCTION("""COMPUTED_VALUE"""),9.0)</f>
        <v>9</v>
      </c>
      <c r="I330" s="10">
        <f>IFERROR(__xludf.DUMMYFUNCTION("""COMPUTED_VALUE"""),3.0)</f>
        <v>3</v>
      </c>
      <c r="J330" s="10">
        <f>IFERROR(__xludf.DUMMYFUNCTION("""COMPUTED_VALUE"""),8.0)</f>
        <v>8</v>
      </c>
      <c r="K330" s="10">
        <f>IFERROR(__xludf.DUMMYFUNCTION("""COMPUTED_VALUE"""),5.0)</f>
        <v>5</v>
      </c>
      <c r="L330" s="10">
        <f>IFERROR(__xludf.DUMMYFUNCTION("""COMPUTED_VALUE"""),7.0)</f>
        <v>7</v>
      </c>
      <c r="M330" s="10">
        <f>IFERROR(__xludf.DUMMYFUNCTION("""COMPUTED_VALUE"""),8.0)</f>
        <v>8</v>
      </c>
      <c r="N330" s="10">
        <f>IFERROR(__xludf.DUMMYFUNCTION("""COMPUTED_VALUE"""),9.0)</f>
        <v>9</v>
      </c>
      <c r="O330" s="10">
        <f>IFERROR(__xludf.DUMMYFUNCTION("""COMPUTED_VALUE"""),8.0)</f>
        <v>8</v>
      </c>
      <c r="P330" s="10">
        <f>IFERROR(__xludf.DUMMYFUNCTION("""COMPUTED_VALUE"""),4.0)</f>
        <v>4</v>
      </c>
      <c r="Q330" s="10" t="str">
        <f>IFERROR(__xludf.DUMMYFUNCTION("""COMPUTED_VALUE"""),"No")</f>
        <v>No</v>
      </c>
      <c r="R330" s="10" t="str">
        <f>IFERROR(__xludf.DUMMYFUNCTION("""COMPUTED_VALUE"""),"No")</f>
        <v>No</v>
      </c>
      <c r="S330" s="10" t="str">
        <f>IFERROR(__xludf.DUMMYFUNCTION("""COMPUTED_VALUE"""),"Yes")</f>
        <v>Yes</v>
      </c>
      <c r="T330" s="10">
        <f>IFERROR(__xludf.DUMMYFUNCTION("""COMPUTED_VALUE"""),2.0)</f>
        <v>2</v>
      </c>
      <c r="U330" s="10">
        <f>IFERROR(__xludf.DUMMYFUNCTION("""COMPUTED_VALUE"""),6.0)</f>
        <v>6</v>
      </c>
      <c r="V330" s="10" t="str">
        <f>IFERROR(__xludf.DUMMYFUNCTION("""COMPUTED_VALUE"""),"مدینہ اور صحابہ سے عقیدت ")</f>
        <v>مدینہ اور صحابہ سے عقیدت </v>
      </c>
      <c r="W330" s="10" t="str">
        <f>IFERROR(__xludf.DUMMYFUNCTION("""COMPUTED_VALUE"""),"اہل بیت اور صحابہ کرام کے ساتھ بے ادبی ناقابل معافی ہےاس نے مصطفی کی جھلک ہی لوگوں کے دل بدل دیتی تھی")</f>
        <v>اہل بیت اور صحابہ کرام کے ساتھ بے ادبی ناقابل معافی ہےاس نے مصطفی کی جھلک ہی لوگوں کے دل بدل دیتی تھی</v>
      </c>
      <c r="X330" s="10">
        <f>IFERROR(__xludf.DUMMYFUNCTION("""COMPUTED_VALUE"""),8.0)</f>
        <v>8</v>
      </c>
      <c r="Y330" s="10">
        <f>IFERROR(__xludf.DUMMYFUNCTION("""COMPUTED_VALUE"""),9.0)</f>
        <v>9</v>
      </c>
      <c r="Z330" s="10">
        <f>IFERROR(__xludf.DUMMYFUNCTION("""COMPUTED_VALUE"""),8.0)</f>
        <v>8</v>
      </c>
      <c r="AA330" s="10">
        <f>IFERROR(__xludf.DUMMYFUNCTION("""COMPUTED_VALUE"""),9.0)</f>
        <v>9</v>
      </c>
      <c r="AB330" s="10">
        <f>IFERROR(__xludf.DUMMYFUNCTION("""COMPUTED_VALUE"""),8.0)</f>
        <v>8</v>
      </c>
      <c r="AC330" s="10">
        <f>IFERROR(__xludf.DUMMYFUNCTION("""COMPUTED_VALUE"""),5.0)</f>
        <v>5</v>
      </c>
      <c r="AD330" s="10">
        <f>IFERROR(__xludf.DUMMYFUNCTION("""COMPUTED_VALUE"""),7.0)</f>
        <v>7</v>
      </c>
      <c r="AE330" s="10">
        <f>IFERROR(__xludf.DUMMYFUNCTION("""COMPUTED_VALUE"""),4.0)</f>
        <v>4</v>
      </c>
      <c r="AF330" s="10">
        <f>IFERROR(__xludf.DUMMYFUNCTION("""COMPUTED_VALUE"""),4.0)</f>
        <v>4</v>
      </c>
      <c r="AG330" s="10">
        <f>IFERROR(__xludf.DUMMYFUNCTION("""COMPUTED_VALUE"""),4.0)</f>
        <v>4</v>
      </c>
      <c r="AH330" s="10">
        <f>IFERROR(__xludf.DUMMYFUNCTION("""COMPUTED_VALUE"""),2.0)</f>
        <v>2</v>
      </c>
      <c r="AI330" s="10">
        <f>IFERROR(__xludf.DUMMYFUNCTION("""COMPUTED_VALUE"""),9.0)</f>
        <v>9</v>
      </c>
      <c r="AJ330" s="11" t="str">
        <f>IFERROR(__xludf.DUMMYFUNCTION("""COMPUTED_VALUE"""),"https://drive.google.com/open?id=1t7vGePKLrR1-pWYetQ7a-cSMD9s7RwvI")</f>
        <v>https://drive.google.com/open?id=1t7vGePKLrR1-pWYetQ7a-cSMD9s7RwvI</v>
      </c>
      <c r="AK330" s="12"/>
      <c r="AL330" s="12" t="str">
        <f>IFERROR(__xludf.DUMMYFUNCTION("""COMPUTED_VALUE"""),"Yes")</f>
        <v>Yes</v>
      </c>
      <c r="AM330" s="15">
        <f>IFERROR(__xludf.DUMMYFUNCTION("""COMPUTED_VALUE"""),0.8)</f>
        <v>0.8</v>
      </c>
      <c r="AN330" s="12" t="str">
        <f>IFERROR(__xludf.DUMMYFUNCTION("""COMPUTED_VALUE"""),"3rd week")</f>
        <v>3rd week</v>
      </c>
      <c r="AO330" s="13" t="s">
        <v>8</v>
      </c>
      <c r="AX330" s="17"/>
    </row>
    <row r="331">
      <c r="A331" s="8">
        <v>330.0</v>
      </c>
      <c r="B331" s="9">
        <f>IFERROR(__xludf.DUMMYFUNCTION("""COMPUTED_VALUE"""),45832.49142119213)</f>
        <v>45832.49142</v>
      </c>
      <c r="C331" s="10" t="str">
        <f>IFERROR(__xludf.DUMMYFUNCTION("""COMPUTED_VALUE"""),"Sumaia Hayat ")</f>
        <v>Sumaia Hayat </v>
      </c>
      <c r="D331" s="10" t="str">
        <f>IFERROR(__xludf.DUMMYFUNCTION("""COMPUTED_VALUE"""),"03260671819")</f>
        <v>03260671819</v>
      </c>
      <c r="E331" s="10" t="str">
        <f>IFERROR(__xludf.DUMMYFUNCTION("""COMPUTED_VALUE"""),"Jamia Masjid Gulzar Madina Dariya Khan Bhakar")</f>
        <v>Jamia Masjid Gulzar Madina Dariya Khan Bhakar</v>
      </c>
      <c r="F331" s="10" t="str">
        <f>IFERROR(__xludf.DUMMYFUNCTION("""COMPUTED_VALUE"""),"BJNGP")</f>
        <v>BJNGP</v>
      </c>
      <c r="G331" s="10" t="str">
        <f>IFERROR(__xludf.DUMMYFUNCTION("""COMPUTED_VALUE"""),"No")</f>
        <v>No</v>
      </c>
      <c r="H331" s="10"/>
      <c r="I331" s="10"/>
      <c r="J331" s="10"/>
      <c r="K331" s="10">
        <f>IFERROR(__xludf.DUMMYFUNCTION("""COMPUTED_VALUE"""),2.0)</f>
        <v>2</v>
      </c>
      <c r="L331" s="10">
        <f>IFERROR(__xludf.DUMMYFUNCTION("""COMPUTED_VALUE"""),0.0)</f>
        <v>0</v>
      </c>
      <c r="M331" s="10">
        <f>IFERROR(__xludf.DUMMYFUNCTION("""COMPUTED_VALUE"""),1.0)</f>
        <v>1</v>
      </c>
      <c r="N331" s="10">
        <f>IFERROR(__xludf.DUMMYFUNCTION("""COMPUTED_VALUE"""),0.0)</f>
        <v>0</v>
      </c>
      <c r="O331" s="10">
        <f>IFERROR(__xludf.DUMMYFUNCTION("""COMPUTED_VALUE"""),0.0)</f>
        <v>0</v>
      </c>
      <c r="P331" s="10">
        <f>IFERROR(__xludf.DUMMYFUNCTION("""COMPUTED_VALUE"""),0.0)</f>
        <v>0</v>
      </c>
      <c r="Q331" s="10" t="str">
        <f>IFERROR(__xludf.DUMMYFUNCTION("""COMPUTED_VALUE"""),"No")</f>
        <v>No</v>
      </c>
      <c r="R331" s="10" t="str">
        <f>IFERROR(__xludf.DUMMYFUNCTION("""COMPUTED_VALUE"""),"No")</f>
        <v>No</v>
      </c>
      <c r="S331" s="10" t="str">
        <f>IFERROR(__xludf.DUMMYFUNCTION("""COMPUTED_VALUE"""),"No")</f>
        <v>No</v>
      </c>
      <c r="T331" s="10">
        <f>IFERROR(__xludf.DUMMYFUNCTION("""COMPUTED_VALUE"""),0.0)</f>
        <v>0</v>
      </c>
      <c r="U331" s="10">
        <f>IFERROR(__xludf.DUMMYFUNCTION("""COMPUTED_VALUE"""),0.0)</f>
        <v>0</v>
      </c>
      <c r="V331" s="10" t="str">
        <f>IFERROR(__xludf.DUMMYFUNCTION("""COMPUTED_VALUE"""),"اللہ کی قدرت، قیامت کے دن دوبارہ زندہ ہونے کا عقیدہ، اور مجاہد کی صفات
")</f>
        <v>اللہ کی قدرت، قیامت کے دن دوبارہ زندہ ہونے کا عقیدہ، اور مجاہد کی صفات
</v>
      </c>
      <c r="W331" s="10" t="str">
        <f>IFERROR(__xludf.DUMMYFUNCTION("""COMPUTED_VALUE"""),"
امام نے اللہ کی قدرت اور کائنات کی تخلیق کے دلائل سے قیامت کے دن دوبارہ اٹھائے جانے کو ثابت کیا، اور پھر ایک سچے مجاہد کی صفات، جیسے صبر، وفاداری، اطاعت اور عشقِ رسول بیان کیے۔
")</f>
        <v>
امام نے اللہ کی قدرت اور کائنات کی تخلیق کے دلائل سے قیامت کے دن دوبارہ اٹھائے جانے کو ثابت کیا، اور پھر ایک سچے مجاہد کی صفات، جیسے صبر، وفاداری، اطاعت اور عشقِ رسول بیان کیے۔
</v>
      </c>
      <c r="X331" s="10">
        <f>IFERROR(__xludf.DUMMYFUNCTION("""COMPUTED_VALUE"""),7.0)</f>
        <v>7</v>
      </c>
      <c r="Y331" s="10">
        <f>IFERROR(__xludf.DUMMYFUNCTION("""COMPUTED_VALUE"""),3.0)</f>
        <v>3</v>
      </c>
      <c r="Z331" s="10">
        <f>IFERROR(__xludf.DUMMYFUNCTION("""COMPUTED_VALUE"""),3.0)</f>
        <v>3</v>
      </c>
      <c r="AA331" s="10">
        <f>IFERROR(__xludf.DUMMYFUNCTION("""COMPUTED_VALUE"""),9.0)</f>
        <v>9</v>
      </c>
      <c r="AB331" s="10">
        <f>IFERROR(__xludf.DUMMYFUNCTION("""COMPUTED_VALUE"""),5.0)</f>
        <v>5</v>
      </c>
      <c r="AC331" s="10">
        <f>IFERROR(__xludf.DUMMYFUNCTION("""COMPUTED_VALUE"""),1.0)</f>
        <v>1</v>
      </c>
      <c r="AD331" s="10">
        <f>IFERROR(__xludf.DUMMYFUNCTION("""COMPUTED_VALUE"""),0.0)</f>
        <v>0</v>
      </c>
      <c r="AE331" s="10">
        <f>IFERROR(__xludf.DUMMYFUNCTION("""COMPUTED_VALUE"""),0.0)</f>
        <v>0</v>
      </c>
      <c r="AF331" s="10">
        <f>IFERROR(__xludf.DUMMYFUNCTION("""COMPUTED_VALUE"""),8.0)</f>
        <v>8</v>
      </c>
      <c r="AG331" s="10">
        <f>IFERROR(__xludf.DUMMYFUNCTION("""COMPUTED_VALUE"""),7.0)</f>
        <v>7</v>
      </c>
      <c r="AH331" s="10">
        <f>IFERROR(__xludf.DUMMYFUNCTION("""COMPUTED_VALUE"""),0.0)</f>
        <v>0</v>
      </c>
      <c r="AI331" s="10">
        <f>IFERROR(__xludf.DUMMYFUNCTION("""COMPUTED_VALUE"""),8.0)</f>
        <v>8</v>
      </c>
      <c r="AJ331" s="11" t="str">
        <f>IFERROR(__xludf.DUMMYFUNCTION("""COMPUTED_VALUE"""),"https://drive.google.com/open?id=1znNyayXyH788Ot0tRwYQAPVNM5brj1ur")</f>
        <v>https://drive.google.com/open?id=1znNyayXyH788Ot0tRwYQAPVNM5brj1ur</v>
      </c>
      <c r="AK331" s="12" t="str">
        <f>IFERROR(__xludf.DUMMYFUNCTION("""COMPUTED_VALUE"""),"بیان دینی طور پر جامع اور جذبۂ ایمانی سے بھرپور تھا، مگر معاشرتی اور خواتین کے موضوعات پر مزید توازن کے ساتھ بات کی جا سکتی تھی۔
")</f>
        <v>بیان دینی طور پر جامع اور جذبۂ ایمانی سے بھرپور تھا، مگر معاشرتی اور خواتین کے موضوعات پر مزید توازن کے ساتھ بات کی جا سکتی تھی۔
</v>
      </c>
      <c r="AL331" s="12"/>
      <c r="AM331" s="12"/>
      <c r="AN331" s="12" t="str">
        <f>IFERROR(__xludf.DUMMYFUNCTION("""COMPUTED_VALUE"""),"1st week")</f>
        <v>1st week</v>
      </c>
      <c r="AO331" s="13" t="s">
        <v>8</v>
      </c>
      <c r="AX331" s="17"/>
    </row>
    <row r="332">
      <c r="A332" s="8">
        <v>331.0</v>
      </c>
      <c r="B332" s="9">
        <f>IFERROR(__xludf.DUMMYFUNCTION("""COMPUTED_VALUE"""),45832.64164581019)</f>
        <v>45832.64165</v>
      </c>
      <c r="C332" s="10" t="str">
        <f>IFERROR(__xludf.DUMMYFUNCTION("""COMPUTED_VALUE"""),"Arti Kumari ")</f>
        <v>Arti Kumari </v>
      </c>
      <c r="D332" s="10" t="str">
        <f>IFERROR(__xludf.DUMMYFUNCTION("""COMPUTED_VALUE"""),"03346661865")</f>
        <v>03346661865</v>
      </c>
      <c r="E332" s="10" t="str">
        <f>IFERROR(__xludf.DUMMYFUNCTION("""COMPUTED_VALUE"""),"Jamia Masjid Hanifia Railway Road Gawaal Mandi Lahore")</f>
        <v>Jamia Masjid Hanifia Railway Road Gawaal Mandi Lahore</v>
      </c>
      <c r="F332" s="10" t="str">
        <f>IFERROR(__xludf.DUMMYFUNCTION("""COMPUTED_VALUE"""),"wvmxf")</f>
        <v>wvmxf</v>
      </c>
      <c r="G332" s="10" t="str">
        <f>IFERROR(__xludf.DUMMYFUNCTION("""COMPUTED_VALUE"""),"Yes")</f>
        <v>Yes</v>
      </c>
      <c r="H332" s="10">
        <f>IFERROR(__xludf.DUMMYFUNCTION("""COMPUTED_VALUE"""),7.0)</f>
        <v>7</v>
      </c>
      <c r="I332" s="10">
        <f>IFERROR(__xludf.DUMMYFUNCTION("""COMPUTED_VALUE"""),10.0)</f>
        <v>10</v>
      </c>
      <c r="J332" s="10">
        <f>IFERROR(__xludf.DUMMYFUNCTION("""COMPUTED_VALUE"""),9.0)</f>
        <v>9</v>
      </c>
      <c r="K332" s="10">
        <f>IFERROR(__xludf.DUMMYFUNCTION("""COMPUTED_VALUE"""),0.0)</f>
        <v>0</v>
      </c>
      <c r="L332" s="10">
        <f>IFERROR(__xludf.DUMMYFUNCTION("""COMPUTED_VALUE"""),5.0)</f>
        <v>5</v>
      </c>
      <c r="M332" s="10">
        <f>IFERROR(__xludf.DUMMYFUNCTION("""COMPUTED_VALUE"""),3.0)</f>
        <v>3</v>
      </c>
      <c r="N332" s="10">
        <f>IFERROR(__xludf.DUMMYFUNCTION("""COMPUTED_VALUE"""),6.0)</f>
        <v>6</v>
      </c>
      <c r="O332" s="10">
        <f>IFERROR(__xludf.DUMMYFUNCTION("""COMPUTED_VALUE"""),0.0)</f>
        <v>0</v>
      </c>
      <c r="P332" s="10">
        <f>IFERROR(__xludf.DUMMYFUNCTION("""COMPUTED_VALUE"""),0.0)</f>
        <v>0</v>
      </c>
      <c r="Q332" s="10" t="str">
        <f>IFERROR(__xludf.DUMMYFUNCTION("""COMPUTED_VALUE"""),"No")</f>
        <v>No</v>
      </c>
      <c r="R332" s="10" t="str">
        <f>IFERROR(__xludf.DUMMYFUNCTION("""COMPUTED_VALUE"""),"No")</f>
        <v>No</v>
      </c>
      <c r="S332" s="10" t="str">
        <f>IFERROR(__xludf.DUMMYFUNCTION("""COMPUTED_VALUE"""),"No")</f>
        <v>No</v>
      </c>
      <c r="T332" s="10">
        <f>IFERROR(__xludf.DUMMYFUNCTION("""COMPUTED_VALUE"""),0.0)</f>
        <v>0</v>
      </c>
      <c r="U332" s="10">
        <f>IFERROR(__xludf.DUMMYFUNCTION("""COMPUTED_VALUE"""),0.0)</f>
        <v>0</v>
      </c>
      <c r="V332" s="10" t="str">
        <f>IFERROR(__xludf.DUMMYFUNCTION("""COMPUTED_VALUE"""),"حقوق اللہ اور حقوق العباد")</f>
        <v>حقوق اللہ اور حقوق العباد</v>
      </c>
      <c r="W332" s="10" t="str">
        <f>IFERROR(__xludf.DUMMYFUNCTION("""COMPUTED_VALUE"""),"امام نے لوگوں سے احسان کا سلوک کرنے سے پیش آنے کا حکم دیا جیسے اللہ نے ہم پر احسان کیا ہے ویسے ہی لوگوں کے ساتھ اچھائی کا درس دیا ہے")</f>
        <v>امام نے لوگوں سے احسان کا سلوک کرنے سے پیش آنے کا حکم دیا جیسے اللہ نے ہم پر احسان کیا ہے ویسے ہی لوگوں کے ساتھ اچھائی کا درس دیا ہے</v>
      </c>
      <c r="X332" s="10">
        <f>IFERROR(__xludf.DUMMYFUNCTION("""COMPUTED_VALUE"""),5.0)</f>
        <v>5</v>
      </c>
      <c r="Y332" s="10">
        <f>IFERROR(__xludf.DUMMYFUNCTION("""COMPUTED_VALUE"""),10.0)</f>
        <v>10</v>
      </c>
      <c r="Z332" s="10">
        <f>IFERROR(__xludf.DUMMYFUNCTION("""COMPUTED_VALUE"""),4.0)</f>
        <v>4</v>
      </c>
      <c r="AA332" s="10">
        <f>IFERROR(__xludf.DUMMYFUNCTION("""COMPUTED_VALUE"""),7.0)</f>
        <v>7</v>
      </c>
      <c r="AB332" s="10">
        <f>IFERROR(__xludf.DUMMYFUNCTION("""COMPUTED_VALUE"""),3.0)</f>
        <v>3</v>
      </c>
      <c r="AC332" s="10">
        <f>IFERROR(__xludf.DUMMYFUNCTION("""COMPUTED_VALUE"""),2.0)</f>
        <v>2</v>
      </c>
      <c r="AD332" s="10">
        <f>IFERROR(__xludf.DUMMYFUNCTION("""COMPUTED_VALUE"""),2.0)</f>
        <v>2</v>
      </c>
      <c r="AE332" s="10">
        <f>IFERROR(__xludf.DUMMYFUNCTION("""COMPUTED_VALUE"""),0.0)</f>
        <v>0</v>
      </c>
      <c r="AF332" s="10">
        <f>IFERROR(__xludf.DUMMYFUNCTION("""COMPUTED_VALUE"""),0.0)</f>
        <v>0</v>
      </c>
      <c r="AG332" s="10">
        <f>IFERROR(__xludf.DUMMYFUNCTION("""COMPUTED_VALUE"""),5.0)</f>
        <v>5</v>
      </c>
      <c r="AH332" s="10">
        <f>IFERROR(__xludf.DUMMYFUNCTION("""COMPUTED_VALUE"""),0.0)</f>
        <v>0</v>
      </c>
      <c r="AI332" s="10">
        <f>IFERROR(__xludf.DUMMYFUNCTION("""COMPUTED_VALUE"""),2.0)</f>
        <v>2</v>
      </c>
      <c r="AJ332" s="11" t="str">
        <f>IFERROR(__xludf.DUMMYFUNCTION("""COMPUTED_VALUE"""),"https://drive.google.com/open?id=1F3A2eL9DY89jEHL5Nh1m9tYnXGh7g5ka")</f>
        <v>https://drive.google.com/open?id=1F3A2eL9DY89jEHL5Nh1m9tYnXGh7g5ka</v>
      </c>
      <c r="AK332" s="12" t="str">
        <f>IFERROR(__xludf.DUMMYFUNCTION("""COMPUTED_VALUE"""),"اس ریکارڈنگ میں بہت شور تھا جس وجہ سے لکھنے میں کافی مشکل ہوئی")</f>
        <v>اس ریکارڈنگ میں بہت شور تھا جس وجہ سے لکھنے میں کافی مشکل ہوئی</v>
      </c>
      <c r="AL332" s="12" t="str">
        <f>IFERROR(__xludf.DUMMYFUNCTION("""COMPUTED_VALUE"""),"Yes")</f>
        <v>Yes</v>
      </c>
      <c r="AM332" s="15">
        <f>IFERROR(__xludf.DUMMYFUNCTION("""COMPUTED_VALUE"""),0.7)</f>
        <v>0.7</v>
      </c>
      <c r="AN332" s="12" t="str">
        <f>IFERROR(__xludf.DUMMYFUNCTION("""COMPUTED_VALUE"""),"4th week")</f>
        <v>4th week</v>
      </c>
      <c r="AO332" s="13" t="s">
        <v>8</v>
      </c>
      <c r="AX332" s="17"/>
    </row>
    <row r="333">
      <c r="A333" s="8">
        <v>332.0</v>
      </c>
      <c r="B333" s="9">
        <f>IFERROR(__xludf.DUMMYFUNCTION("""COMPUTED_VALUE"""),45832.662037002316)</f>
        <v>45832.66204</v>
      </c>
      <c r="C333" s="10" t="str">
        <f>IFERROR(__xludf.DUMMYFUNCTION("""COMPUTED_VALUE"""),"Sumaia Hayat ")</f>
        <v>Sumaia Hayat </v>
      </c>
      <c r="D333" s="10" t="str">
        <f>IFERROR(__xludf.DUMMYFUNCTION("""COMPUTED_VALUE"""),"03260671819")</f>
        <v>03260671819</v>
      </c>
      <c r="E333" s="10" t="str">
        <f>IFERROR(__xludf.DUMMYFUNCTION("""COMPUTED_VALUE"""),"Shahe Masjid Chiniot")</f>
        <v>Shahe Masjid Chiniot</v>
      </c>
      <c r="F333" s="10" t="str">
        <f>IFERROR(__xludf.DUMMYFUNCTION("""COMPUTED_VALUE"""),"LTSEN")</f>
        <v>LTSEN</v>
      </c>
      <c r="G333" s="10" t="str">
        <f>IFERROR(__xludf.DUMMYFUNCTION("""COMPUTED_VALUE"""),"No")</f>
        <v>No</v>
      </c>
      <c r="H333" s="10"/>
      <c r="I333" s="10"/>
      <c r="J333" s="10"/>
      <c r="K333" s="10">
        <f>IFERROR(__xludf.DUMMYFUNCTION("""COMPUTED_VALUE"""),1.0)</f>
        <v>1</v>
      </c>
      <c r="L333" s="10">
        <f>IFERROR(__xludf.DUMMYFUNCTION("""COMPUTED_VALUE"""),1.0)</f>
        <v>1</v>
      </c>
      <c r="M333" s="10">
        <f>IFERROR(__xludf.DUMMYFUNCTION("""COMPUTED_VALUE"""),0.0)</f>
        <v>0</v>
      </c>
      <c r="N333" s="10">
        <f>IFERROR(__xludf.DUMMYFUNCTION("""COMPUTED_VALUE"""),0.0)</f>
        <v>0</v>
      </c>
      <c r="O333" s="10">
        <f>IFERROR(__xludf.DUMMYFUNCTION("""COMPUTED_VALUE"""),0.0)</f>
        <v>0</v>
      </c>
      <c r="P333" s="10">
        <f>IFERROR(__xludf.DUMMYFUNCTION("""COMPUTED_VALUE"""),0.0)</f>
        <v>0</v>
      </c>
      <c r="Q333" s="10" t="str">
        <f>IFERROR(__xludf.DUMMYFUNCTION("""COMPUTED_VALUE"""),"No")</f>
        <v>No</v>
      </c>
      <c r="R333" s="10" t="str">
        <f>IFERROR(__xludf.DUMMYFUNCTION("""COMPUTED_VALUE"""),"No")</f>
        <v>No</v>
      </c>
      <c r="S333" s="10" t="str">
        <f>IFERROR(__xludf.DUMMYFUNCTION("""COMPUTED_VALUE"""),"No")</f>
        <v>No</v>
      </c>
      <c r="T333" s="10">
        <f>IFERROR(__xludf.DUMMYFUNCTION("""COMPUTED_VALUE"""),0.0)</f>
        <v>0</v>
      </c>
      <c r="U333" s="10">
        <f>IFERROR(__xludf.DUMMYFUNCTION("""COMPUTED_VALUE"""),0.0)</f>
        <v>0</v>
      </c>
      <c r="V333" s="10" t="str">
        <f>IFERROR(__xludf.DUMMYFUNCTION("""COMPUTED_VALUE"""),"اتباعِ رسول ﷺ اور نماز و سیرت سے دوری کی اصلاح
")</f>
        <v>اتباعِ رسول ﷺ اور نماز و سیرت سے دوری کی اصلاح
</v>
      </c>
      <c r="W333" s="10" t="str">
        <f>IFERROR(__xludf.DUMMYFUNCTION("""COMPUTED_VALUE"""),"امام نے فرمایا کہ اللہ کی محبت صرف نبی ﷺ کی اتباع سے حاصل ہوتی ہے، اور ہماری کامیابی قرآن و سنت پر عمل سے مشروط ہے۔ انہوں نے نماز، سیرتِ نبوی ﷺ اور صحابہ کرام کی عملی زندگی کو نمونہ بنانے کی تلقین کی۔
")</f>
        <v>امام نے فرمایا کہ اللہ کی محبت صرف نبی ﷺ کی اتباع سے حاصل ہوتی ہے، اور ہماری کامیابی قرآن و سنت پر عمل سے مشروط ہے۔ انہوں نے نماز، سیرتِ نبوی ﷺ اور صحابہ کرام کی عملی زندگی کو نمونہ بنانے کی تلقین کی۔
</v>
      </c>
      <c r="X333" s="10">
        <f>IFERROR(__xludf.DUMMYFUNCTION("""COMPUTED_VALUE"""),9.0)</f>
        <v>9</v>
      </c>
      <c r="Y333" s="10">
        <f>IFERROR(__xludf.DUMMYFUNCTION("""COMPUTED_VALUE"""),2.0)</f>
        <v>2</v>
      </c>
      <c r="Z333" s="10">
        <f>IFERROR(__xludf.DUMMYFUNCTION("""COMPUTED_VALUE"""),3.0)</f>
        <v>3</v>
      </c>
      <c r="AA333" s="10">
        <f>IFERROR(__xludf.DUMMYFUNCTION("""COMPUTED_VALUE"""),10.0)</f>
        <v>10</v>
      </c>
      <c r="AB333" s="10">
        <f>IFERROR(__xludf.DUMMYFUNCTION("""COMPUTED_VALUE"""),4.0)</f>
        <v>4</v>
      </c>
      <c r="AC333" s="10">
        <f>IFERROR(__xludf.DUMMYFUNCTION("""COMPUTED_VALUE"""),0.0)</f>
        <v>0</v>
      </c>
      <c r="AD333" s="10">
        <f>IFERROR(__xludf.DUMMYFUNCTION("""COMPUTED_VALUE"""),0.0)</f>
        <v>0</v>
      </c>
      <c r="AE333" s="10">
        <f>IFERROR(__xludf.DUMMYFUNCTION("""COMPUTED_VALUE"""),0.0)</f>
        <v>0</v>
      </c>
      <c r="AF333" s="10">
        <f>IFERROR(__xludf.DUMMYFUNCTION("""COMPUTED_VALUE"""),8.0)</f>
        <v>8</v>
      </c>
      <c r="AG333" s="10">
        <f>IFERROR(__xludf.DUMMYFUNCTION("""COMPUTED_VALUE"""),7.0)</f>
        <v>7</v>
      </c>
      <c r="AH333" s="10">
        <f>IFERROR(__xludf.DUMMYFUNCTION("""COMPUTED_VALUE"""),0.0)</f>
        <v>0</v>
      </c>
      <c r="AI333" s="10">
        <f>IFERROR(__xludf.DUMMYFUNCTION("""COMPUTED_VALUE"""),8.0)</f>
        <v>8</v>
      </c>
      <c r="AJ333" s="11" t="str">
        <f>IFERROR(__xludf.DUMMYFUNCTION("""COMPUTED_VALUE"""),"https://drive.google.com/open?id=1sXGco1LxaYBdde96OX_df6-rKRlzJ8sH")</f>
        <v>https://drive.google.com/open?id=1sXGco1LxaYBdde96OX_df6-rKRlzJ8sH</v>
      </c>
      <c r="AK333" s="12" t="str">
        <f>IFERROR(__xludf.DUMMYFUNCTION("""COMPUTED_VALUE"""),"بیان کا عمومی مزاج اصلاحی، دینی اور سیرتِ نبوی ﷺ پر مبنی تھا۔ معاشرتی اصلاح پر توجہ دی گئی، لیکن عورتوں، اقلیتوں، یا سماجی خدمت جیسے موضوعات پر گفتگو نسبتاً کم تھی۔")</f>
        <v>بیان کا عمومی مزاج اصلاحی، دینی اور سیرتِ نبوی ﷺ پر مبنی تھا۔ معاشرتی اصلاح پر توجہ دی گئی، لیکن عورتوں، اقلیتوں، یا سماجی خدمت جیسے موضوعات پر گفتگو نسبتاً کم تھی۔</v>
      </c>
      <c r="AL333" s="12"/>
      <c r="AM333" s="12"/>
      <c r="AN333" s="12" t="str">
        <f>IFERROR(__xludf.DUMMYFUNCTION("""COMPUTED_VALUE"""),"2nd week")</f>
        <v>2nd week</v>
      </c>
      <c r="AO333" s="13" t="s">
        <v>8</v>
      </c>
      <c r="AX333" s="17"/>
    </row>
    <row r="334">
      <c r="A334" s="8">
        <v>333.0</v>
      </c>
      <c r="B334" s="9">
        <f>IFERROR(__xludf.DUMMYFUNCTION("""COMPUTED_VALUE"""),45832.680738877316)</f>
        <v>45832.68074</v>
      </c>
      <c r="C334" s="10" t="str">
        <f>IFERROR(__xludf.DUMMYFUNCTION("""COMPUTED_VALUE"""),"Sumaia Hayat ")</f>
        <v>Sumaia Hayat </v>
      </c>
      <c r="D334" s="10" t="str">
        <f>IFERROR(__xludf.DUMMYFUNCTION("""COMPUTED_VALUE"""),"03260671819")</f>
        <v>03260671819</v>
      </c>
      <c r="E334" s="10" t="str">
        <f>IFERROR(__xludf.DUMMYFUNCTION("""COMPUTED_VALUE"""),"Jamia Masjid Phalarwaan Sargodha")</f>
        <v>Jamia Masjid Phalarwaan Sargodha</v>
      </c>
      <c r="F334" s="10" t="str">
        <f>IFERROR(__xludf.DUMMYFUNCTION("""COMPUTED_VALUE"""),"JTMUR")</f>
        <v>JTMUR</v>
      </c>
      <c r="G334" s="10" t="str">
        <f>IFERROR(__xludf.DUMMYFUNCTION("""COMPUTED_VALUE"""),"No")</f>
        <v>No</v>
      </c>
      <c r="H334" s="10"/>
      <c r="I334" s="10"/>
      <c r="J334" s="10"/>
      <c r="K334" s="10">
        <f>IFERROR(__xludf.DUMMYFUNCTION("""COMPUTED_VALUE"""),1.0)</f>
        <v>1</v>
      </c>
      <c r="L334" s="10">
        <f>IFERROR(__xludf.DUMMYFUNCTION("""COMPUTED_VALUE"""),0.0)</f>
        <v>0</v>
      </c>
      <c r="M334" s="10">
        <f>IFERROR(__xludf.DUMMYFUNCTION("""COMPUTED_VALUE"""),0.0)</f>
        <v>0</v>
      </c>
      <c r="N334" s="10">
        <f>IFERROR(__xludf.DUMMYFUNCTION("""COMPUTED_VALUE"""),0.0)</f>
        <v>0</v>
      </c>
      <c r="O334" s="10">
        <f>IFERROR(__xludf.DUMMYFUNCTION("""COMPUTED_VALUE"""),0.0)</f>
        <v>0</v>
      </c>
      <c r="P334" s="10">
        <f>IFERROR(__xludf.DUMMYFUNCTION("""COMPUTED_VALUE"""),0.0)</f>
        <v>0</v>
      </c>
      <c r="Q334" s="10" t="str">
        <f>IFERROR(__xludf.DUMMYFUNCTION("""COMPUTED_VALUE"""),"No")</f>
        <v>No</v>
      </c>
      <c r="R334" s="10" t="str">
        <f>IFERROR(__xludf.DUMMYFUNCTION("""COMPUTED_VALUE"""),"No")</f>
        <v>No</v>
      </c>
      <c r="S334" s="10" t="str">
        <f>IFERROR(__xludf.DUMMYFUNCTION("""COMPUTED_VALUE"""),"No")</f>
        <v>No</v>
      </c>
      <c r="T334" s="10">
        <f>IFERROR(__xludf.DUMMYFUNCTION("""COMPUTED_VALUE"""),0.0)</f>
        <v>0</v>
      </c>
      <c r="U334" s="10">
        <f>IFERROR(__xludf.DUMMYFUNCTION("""COMPUTED_VALUE"""),0.0)</f>
        <v>0</v>
      </c>
      <c r="V334" s="10" t="str">
        <f>IFERROR(__xludf.DUMMYFUNCTION("""COMPUTED_VALUE"""),"اللہ کی نعمتیں اور شکر کی حقیقت
")</f>
        <v>اللہ کی نعمتیں اور شکر کی حقیقت
</v>
      </c>
      <c r="W334" s="10" t="str">
        <f>IFERROR(__xludf.DUMMYFUNCTION("""COMPUTED_VALUE"""),"امام نے بیان کیا کہ اللہ کی ہر نعمت ایک انعام ہے اور ان کا شکر ادا کرنا فرض ہے۔ شکر گزاری صرف زبان سے نہیں بلکہ تمام اعضاء کو اللہ کی رضا کے مطابق استعمال کرنا ہی اصل شکر ہے۔
")</f>
        <v>امام نے بیان کیا کہ اللہ کی ہر نعمت ایک انعام ہے اور ان کا شکر ادا کرنا فرض ہے۔ شکر گزاری صرف زبان سے نہیں بلکہ تمام اعضاء کو اللہ کی رضا کے مطابق استعمال کرنا ہی اصل شکر ہے۔
</v>
      </c>
      <c r="X334" s="10">
        <f>IFERROR(__xludf.DUMMYFUNCTION("""COMPUTED_VALUE"""),8.0)</f>
        <v>8</v>
      </c>
      <c r="Y334" s="10">
        <f>IFERROR(__xludf.DUMMYFUNCTION("""COMPUTED_VALUE"""),2.0)</f>
        <v>2</v>
      </c>
      <c r="Z334" s="10">
        <f>IFERROR(__xludf.DUMMYFUNCTION("""COMPUTED_VALUE"""),2.0)</f>
        <v>2</v>
      </c>
      <c r="AA334" s="10">
        <f>IFERROR(__xludf.DUMMYFUNCTION("""COMPUTED_VALUE"""),9.0)</f>
        <v>9</v>
      </c>
      <c r="AB334" s="10">
        <f>IFERROR(__xludf.DUMMYFUNCTION("""COMPUTED_VALUE"""),1.0)</f>
        <v>1</v>
      </c>
      <c r="AC334" s="10">
        <f>IFERROR(__xludf.DUMMYFUNCTION("""COMPUTED_VALUE"""),0.0)</f>
        <v>0</v>
      </c>
      <c r="AD334" s="10">
        <f>IFERROR(__xludf.DUMMYFUNCTION("""COMPUTED_VALUE"""),0.0)</f>
        <v>0</v>
      </c>
      <c r="AE334" s="10">
        <f>IFERROR(__xludf.DUMMYFUNCTION("""COMPUTED_VALUE"""),0.0)</f>
        <v>0</v>
      </c>
      <c r="AF334" s="10">
        <f>IFERROR(__xludf.DUMMYFUNCTION("""COMPUTED_VALUE"""),7.0)</f>
        <v>7</v>
      </c>
      <c r="AG334" s="10">
        <f>IFERROR(__xludf.DUMMYFUNCTION("""COMPUTED_VALUE"""),8.0)</f>
        <v>8</v>
      </c>
      <c r="AH334" s="10">
        <f>IFERROR(__xludf.DUMMYFUNCTION("""COMPUTED_VALUE"""),0.0)</f>
        <v>0</v>
      </c>
      <c r="AI334" s="10">
        <f>IFERROR(__xludf.DUMMYFUNCTION("""COMPUTED_VALUE"""),8.0)</f>
        <v>8</v>
      </c>
      <c r="AJ334" s="11" t="str">
        <f>IFERROR(__xludf.DUMMYFUNCTION("""COMPUTED_VALUE"""),"https://drive.google.com/open?id=1NkZ-Et4OsBAO2DFhLbrLrfW277yLtMpL")</f>
        <v>https://drive.google.com/open?id=1NkZ-Et4OsBAO2DFhLbrLrfW277yLtMpL</v>
      </c>
      <c r="AK334" s="12" t="str">
        <f>IFERROR(__xludf.DUMMYFUNCTION("""COMPUTED_VALUE"""),"بیان عمدہ تھا، مگر اگر امام صاحب تھوڑا حقوق العباد اور موجودہ سماجی مسائل پر بھی روشنی ڈالتے تو بیان مزید جامع اور عملی ہوتا۔
")</f>
        <v>بیان عمدہ تھا، مگر اگر امام صاحب تھوڑا حقوق العباد اور موجودہ سماجی مسائل پر بھی روشنی ڈالتے تو بیان مزید جامع اور عملی ہوتا۔
</v>
      </c>
      <c r="AL334" s="12"/>
      <c r="AM334" s="12"/>
      <c r="AN334" s="12" t="str">
        <f>IFERROR(__xludf.DUMMYFUNCTION("""COMPUTED_VALUE"""),"2nd week")</f>
        <v>2nd week</v>
      </c>
      <c r="AO334" s="13" t="s">
        <v>8</v>
      </c>
      <c r="AX334" s="17"/>
    </row>
    <row r="335">
      <c r="A335" s="8">
        <v>334.0</v>
      </c>
      <c r="B335" s="9">
        <f>IFERROR(__xludf.DUMMYFUNCTION("""COMPUTED_VALUE"""),45833.02682837963)</f>
        <v>45833.02683</v>
      </c>
      <c r="C335" s="10" t="str">
        <f>IFERROR(__xludf.DUMMYFUNCTION("""COMPUTED_VALUE"""),"Sumaia Hayat ")</f>
        <v>Sumaia Hayat </v>
      </c>
      <c r="D335" s="10" t="str">
        <f>IFERROR(__xludf.DUMMYFUNCTION("""COMPUTED_VALUE"""),"03260671819")</f>
        <v>03260671819</v>
      </c>
      <c r="E335" s="10" t="str">
        <f>IFERROR(__xludf.DUMMYFUNCTION("""COMPUTED_VALUE"""),"Jamia Masjid Darbar Gulaab Shah Rasool Langar")</f>
        <v>Jamia Masjid Darbar Gulaab Shah Rasool Langar</v>
      </c>
      <c r="F335" s="10" t="str">
        <f>IFERROR(__xludf.DUMMYFUNCTION("""COMPUTED_VALUE"""),"AOVKO")</f>
        <v>AOVKO</v>
      </c>
      <c r="G335" s="10" t="str">
        <f>IFERROR(__xludf.DUMMYFUNCTION("""COMPUTED_VALUE"""),"No")</f>
        <v>No</v>
      </c>
      <c r="H335" s="10"/>
      <c r="I335" s="10"/>
      <c r="J335" s="10"/>
      <c r="K335" s="10">
        <f>IFERROR(__xludf.DUMMYFUNCTION("""COMPUTED_VALUE"""),8.0)</f>
        <v>8</v>
      </c>
      <c r="L335" s="10">
        <f>IFERROR(__xludf.DUMMYFUNCTION("""COMPUTED_VALUE"""),1.0)</f>
        <v>1</v>
      </c>
      <c r="M335" s="10">
        <f>IFERROR(__xludf.DUMMYFUNCTION("""COMPUTED_VALUE"""),7.0)</f>
        <v>7</v>
      </c>
      <c r="N335" s="10">
        <f>IFERROR(__xludf.DUMMYFUNCTION("""COMPUTED_VALUE"""),1.0)</f>
        <v>1</v>
      </c>
      <c r="O335" s="10">
        <f>IFERROR(__xludf.DUMMYFUNCTION("""COMPUTED_VALUE"""),6.0)</f>
        <v>6</v>
      </c>
      <c r="P335" s="10">
        <f>IFERROR(__xludf.DUMMYFUNCTION("""COMPUTED_VALUE"""),1.0)</f>
        <v>1</v>
      </c>
      <c r="Q335" s="10" t="str">
        <f>IFERROR(__xludf.DUMMYFUNCTION("""COMPUTED_VALUE"""),"No")</f>
        <v>No</v>
      </c>
      <c r="R335" s="10" t="str">
        <f>IFERROR(__xludf.DUMMYFUNCTION("""COMPUTED_VALUE"""),"No")</f>
        <v>No</v>
      </c>
      <c r="S335" s="10" t="str">
        <f>IFERROR(__xludf.DUMMYFUNCTION("""COMPUTED_VALUE"""),"No")</f>
        <v>No</v>
      </c>
      <c r="T335" s="10">
        <f>IFERROR(__xludf.DUMMYFUNCTION("""COMPUTED_VALUE"""),0.0)</f>
        <v>0</v>
      </c>
      <c r="U335" s="10">
        <f>IFERROR(__xludf.DUMMYFUNCTION("""COMPUTED_VALUE"""),0.0)</f>
        <v>0</v>
      </c>
      <c r="V335" s="10" t="str">
        <f>IFERROR(__xludf.DUMMYFUNCTION("""COMPUTED_VALUE"""),"امت مسلمہ کی بیداری، غیرتِ ایمانی، خواتین کا کردار، علم و جہاد کی اہمیت، اور امت کی وحدت۔
")</f>
        <v>امت مسلمہ کی بیداری، غیرتِ ایمانی، خواتین کا کردار، علم و جہاد کی اہمیت، اور امت کی وحدت۔
</v>
      </c>
      <c r="W335" s="10" t="str">
        <f>IFERROR(__xludf.DUMMYFUNCTION("""COMPUTED_VALUE"""),"امام نے فرمایا کہ اسلام صرف عبادات کا مجموعہ نہیں، بلکہ زندگی کا مکمل نظام ہے، جس میں غیرت، علم، خواتین کی عزت اور امت کی وحدت بنیادی ستون ہیں۔
انہوں نے امت کو بیدار ہونے، عورتوں کو باعزت مقام دینے، علماء سے جڑنے، اور جہاد کی روح کو اپنانے کی دعوت دی۔
")</f>
        <v>امام نے فرمایا کہ اسلام صرف عبادات کا مجموعہ نہیں، بلکہ زندگی کا مکمل نظام ہے، جس میں غیرت، علم، خواتین کی عزت اور امت کی وحدت بنیادی ستون ہیں۔
انہوں نے امت کو بیدار ہونے، عورتوں کو باعزت مقام دینے، علماء سے جڑنے، اور جہاد کی روح کو اپنانے کی دعوت دی۔
</v>
      </c>
      <c r="X335" s="10">
        <f>IFERROR(__xludf.DUMMYFUNCTION("""COMPUTED_VALUE"""),6.0)</f>
        <v>6</v>
      </c>
      <c r="Y335" s="10">
        <f>IFERROR(__xludf.DUMMYFUNCTION("""COMPUTED_VALUE"""),7.0)</f>
        <v>7</v>
      </c>
      <c r="Z335" s="10">
        <f>IFERROR(__xludf.DUMMYFUNCTION("""COMPUTED_VALUE"""),8.0)</f>
        <v>8</v>
      </c>
      <c r="AA335" s="10">
        <f>IFERROR(__xludf.DUMMYFUNCTION("""COMPUTED_VALUE"""),9.0)</f>
        <v>9</v>
      </c>
      <c r="AB335" s="10">
        <f>IFERROR(__xludf.DUMMYFUNCTION("""COMPUTED_VALUE"""),6.0)</f>
        <v>6</v>
      </c>
      <c r="AC335" s="10">
        <f>IFERROR(__xludf.DUMMYFUNCTION("""COMPUTED_VALUE"""),7.0)</f>
        <v>7</v>
      </c>
      <c r="AD335" s="10">
        <f>IFERROR(__xludf.DUMMYFUNCTION("""COMPUTED_VALUE"""),2.0)</f>
        <v>2</v>
      </c>
      <c r="AE335" s="10">
        <f>IFERROR(__xludf.DUMMYFUNCTION("""COMPUTED_VALUE"""),0.0)</f>
        <v>0</v>
      </c>
      <c r="AF335" s="10">
        <f>IFERROR(__xludf.DUMMYFUNCTION("""COMPUTED_VALUE"""),8.0)</f>
        <v>8</v>
      </c>
      <c r="AG335" s="10">
        <f>IFERROR(__xludf.DUMMYFUNCTION("""COMPUTED_VALUE"""),7.0)</f>
        <v>7</v>
      </c>
      <c r="AH335" s="10">
        <f>IFERROR(__xludf.DUMMYFUNCTION("""COMPUTED_VALUE"""),1.0)</f>
        <v>1</v>
      </c>
      <c r="AI335" s="10">
        <f>IFERROR(__xludf.DUMMYFUNCTION("""COMPUTED_VALUE"""),9.0)</f>
        <v>9</v>
      </c>
      <c r="AJ335" s="11" t="str">
        <f>IFERROR(__xludf.DUMMYFUNCTION("""COMPUTED_VALUE"""),"https://drive.google.com/open?id=1l4VGGojUkPLs9967EabVmvAwr06txFxo")</f>
        <v>https://drive.google.com/open?id=1l4VGGojUkPLs9967EabVmvAwr06txFxo</v>
      </c>
      <c r="AK335" s="12" t="str">
        <f>IFERROR(__xludf.DUMMYFUNCTION("""COMPUTED_VALUE"""),"امام کا بیان امت مسلمہ کی روحانی، اخلاقی اور اجتماعی بیداری کے لیے بہت مؤثر تھا۔ اگر اس میں عملی اقدامات کی زیادہ وضاحت بھی کی جاتی (جیسے مخصوص کام، تعلیمی یا فلاحی مشورے)، تو مزید مفید ہوتا۔
")</f>
        <v>امام کا بیان امت مسلمہ کی روحانی، اخلاقی اور اجتماعی بیداری کے لیے بہت مؤثر تھا۔ اگر اس میں عملی اقدامات کی زیادہ وضاحت بھی کی جاتی (جیسے مخصوص کام، تعلیمی یا فلاحی مشورے)، تو مزید مفید ہوتا۔
</v>
      </c>
      <c r="AL335" s="12"/>
      <c r="AM335" s="12"/>
      <c r="AN335" s="12" t="str">
        <f>IFERROR(__xludf.DUMMYFUNCTION("""COMPUTED_VALUE"""),"1st week")</f>
        <v>1st week</v>
      </c>
      <c r="AO335" s="13">
        <v>1.0</v>
      </c>
      <c r="AX335" s="17"/>
    </row>
    <row r="336">
      <c r="A336" s="8">
        <v>335.0</v>
      </c>
      <c r="B336" s="9">
        <f>IFERROR(__xludf.DUMMYFUNCTION("""COMPUTED_VALUE"""),45833.18984503472)</f>
        <v>45833.18985</v>
      </c>
      <c r="C336" s="10" t="str">
        <f>IFERROR(__xludf.DUMMYFUNCTION("""COMPUTED_VALUE"""),"Arti Kumari ")</f>
        <v>Arti Kumari </v>
      </c>
      <c r="D336" s="10" t="str">
        <f>IFERROR(__xludf.DUMMYFUNCTION("""COMPUTED_VALUE"""),"03346661865")</f>
        <v>03346661865</v>
      </c>
      <c r="E336" s="10" t="str">
        <f>IFERROR(__xludf.DUMMYFUNCTION("""COMPUTED_VALUE"""),"Jamia masjid Hafiz Noor Jhelum")</f>
        <v>Jamia masjid Hafiz Noor Jhelum</v>
      </c>
      <c r="F336" s="10" t="str">
        <f>IFERROR(__xludf.DUMMYFUNCTION("""COMPUTED_VALUE"""),"PXOLR")</f>
        <v>PXOLR</v>
      </c>
      <c r="G336" s="10" t="str">
        <f>IFERROR(__xludf.DUMMYFUNCTION("""COMPUTED_VALUE"""),"No")</f>
        <v>No</v>
      </c>
      <c r="H336" s="10"/>
      <c r="I336" s="10"/>
      <c r="J336" s="10"/>
      <c r="K336" s="10">
        <f>IFERROR(__xludf.DUMMYFUNCTION("""COMPUTED_VALUE"""),0.0)</f>
        <v>0</v>
      </c>
      <c r="L336" s="10">
        <f>IFERROR(__xludf.DUMMYFUNCTION("""COMPUTED_VALUE"""),0.0)</f>
        <v>0</v>
      </c>
      <c r="M336" s="10">
        <f>IFERROR(__xludf.DUMMYFUNCTION("""COMPUTED_VALUE"""),0.0)</f>
        <v>0</v>
      </c>
      <c r="N336" s="10">
        <f>IFERROR(__xludf.DUMMYFUNCTION("""COMPUTED_VALUE"""),0.0)</f>
        <v>0</v>
      </c>
      <c r="O336" s="10">
        <f>IFERROR(__xludf.DUMMYFUNCTION("""COMPUTED_VALUE"""),0.0)</f>
        <v>0</v>
      </c>
      <c r="P336" s="10">
        <f>IFERROR(__xludf.DUMMYFUNCTION("""COMPUTED_VALUE"""),0.0)</f>
        <v>0</v>
      </c>
      <c r="Q336" s="10" t="str">
        <f>IFERROR(__xludf.DUMMYFUNCTION("""COMPUTED_VALUE"""),"No")</f>
        <v>No</v>
      </c>
      <c r="R336" s="10" t="str">
        <f>IFERROR(__xludf.DUMMYFUNCTION("""COMPUTED_VALUE"""),"No")</f>
        <v>No</v>
      </c>
      <c r="S336" s="10" t="str">
        <f>IFERROR(__xludf.DUMMYFUNCTION("""COMPUTED_VALUE"""),"No")</f>
        <v>No</v>
      </c>
      <c r="T336" s="10">
        <f>IFERROR(__xludf.DUMMYFUNCTION("""COMPUTED_VALUE"""),0.0)</f>
        <v>0</v>
      </c>
      <c r="U336" s="10">
        <f>IFERROR(__xludf.DUMMYFUNCTION("""COMPUTED_VALUE"""),0.0)</f>
        <v>0</v>
      </c>
      <c r="V336" s="10" t="str">
        <f>IFERROR(__xludf.DUMMYFUNCTION("""COMPUTED_VALUE"""),"حقوق اللہ")</f>
        <v>حقوق اللہ</v>
      </c>
      <c r="W336" s="10" t="str">
        <f>IFERROR(__xludf.DUMMYFUNCTION("""COMPUTED_VALUE"""),"امام نے اپنے بیان میں بتایا ہے کہ حقوق اللہ ادا کرو، جو نماز احتمام سے کرتا ہے اللہ اس کے لیے دروازے کھول دیتا ہے اللہ کی راہ میں جہاد کرو بے شک قرآن میں بھی جہاد کا حکم ہے۔  جیسے ہمارے صحابہ اکرام اللہ کی راہ میں چلتے تھے ویسے بننے کی کوشش کرو۔ جب اللہ س"&amp;"اتھ ہو گا تو کوئی بھی ہمیں برباد نہیں کر سکتا۔")</f>
        <v>امام نے اپنے بیان میں بتایا ہے کہ حقوق اللہ ادا کرو، جو نماز احتمام سے کرتا ہے اللہ اس کے لیے دروازے کھول دیتا ہے اللہ کی راہ میں جہاد کرو بے شک قرآن میں بھی جہاد کا حکم ہے۔  جیسے ہمارے صحابہ اکرام اللہ کی راہ میں چلتے تھے ویسے بننے کی کوشش کرو۔ جب اللہ ساتھ ہو گا تو کوئی بھی ہمیں برباد نہیں کر سکتا۔</v>
      </c>
      <c r="X336" s="10">
        <f>IFERROR(__xludf.DUMMYFUNCTION("""COMPUTED_VALUE"""),10.0)</f>
        <v>10</v>
      </c>
      <c r="Y336" s="10">
        <f>IFERROR(__xludf.DUMMYFUNCTION("""COMPUTED_VALUE"""),0.0)</f>
        <v>0</v>
      </c>
      <c r="Z336" s="10">
        <f>IFERROR(__xludf.DUMMYFUNCTION("""COMPUTED_VALUE"""),4.0)</f>
        <v>4</v>
      </c>
      <c r="AA336" s="10">
        <f>IFERROR(__xludf.DUMMYFUNCTION("""COMPUTED_VALUE"""),9.0)</f>
        <v>9</v>
      </c>
      <c r="AB336" s="10">
        <f>IFERROR(__xludf.DUMMYFUNCTION("""COMPUTED_VALUE"""),3.0)</f>
        <v>3</v>
      </c>
      <c r="AC336" s="10">
        <f>IFERROR(__xludf.DUMMYFUNCTION("""COMPUTED_VALUE"""),3.0)</f>
        <v>3</v>
      </c>
      <c r="AD336" s="10">
        <f>IFERROR(__xludf.DUMMYFUNCTION("""COMPUTED_VALUE"""),3.0)</f>
        <v>3</v>
      </c>
      <c r="AE336" s="10">
        <f>IFERROR(__xludf.DUMMYFUNCTION("""COMPUTED_VALUE"""),0.0)</f>
        <v>0</v>
      </c>
      <c r="AF336" s="10">
        <f>IFERROR(__xludf.DUMMYFUNCTION("""COMPUTED_VALUE"""),0.0)</f>
        <v>0</v>
      </c>
      <c r="AG336" s="10">
        <f>IFERROR(__xludf.DUMMYFUNCTION("""COMPUTED_VALUE"""),10.0)</f>
        <v>10</v>
      </c>
      <c r="AH336" s="10">
        <f>IFERROR(__xludf.DUMMYFUNCTION("""COMPUTED_VALUE"""),0.0)</f>
        <v>0</v>
      </c>
      <c r="AI336" s="10">
        <f>IFERROR(__xludf.DUMMYFUNCTION("""COMPUTED_VALUE"""),10.0)</f>
        <v>10</v>
      </c>
      <c r="AJ336" s="11" t="str">
        <f>IFERROR(__xludf.DUMMYFUNCTION("""COMPUTED_VALUE"""),"https://drive.google.com/open?id=1T7mXoNb61x1foYh9nhmyNw-itQUUGJ_X")</f>
        <v>https://drive.google.com/open?id=1T7mXoNb61x1foYh9nhmyNw-itQUUGJ_X</v>
      </c>
      <c r="AK336" s="12"/>
      <c r="AL336" s="12"/>
      <c r="AM336" s="12"/>
      <c r="AN336" s="12" t="str">
        <f>IFERROR(__xludf.DUMMYFUNCTION("""COMPUTED_VALUE"""),"3rd week")</f>
        <v>3rd week</v>
      </c>
      <c r="AO336" s="13">
        <v>3.0</v>
      </c>
      <c r="AX336" s="17"/>
    </row>
    <row r="337">
      <c r="A337" s="8">
        <v>336.0</v>
      </c>
      <c r="B337" s="9">
        <f>IFERROR(__xludf.DUMMYFUNCTION("""COMPUTED_VALUE"""),45833.217303240745)</f>
        <v>45833.2173</v>
      </c>
      <c r="C337" s="10" t="str">
        <f>IFERROR(__xludf.DUMMYFUNCTION("""COMPUTED_VALUE"""),"Sumaia Hayat ")</f>
        <v>Sumaia Hayat </v>
      </c>
      <c r="D337" s="10" t="str">
        <f>IFERROR(__xludf.DUMMYFUNCTION("""COMPUTED_VALUE"""),"03260671819")</f>
        <v>03260671819</v>
      </c>
      <c r="E337" s="10" t="str">
        <f>IFERROR(__xludf.DUMMYFUNCTION("""COMPUTED_VALUE"""),"Jamia Masjid Main Bazar Khushab")</f>
        <v>Jamia Masjid Main Bazar Khushab</v>
      </c>
      <c r="F337" s="10" t="str">
        <f>IFERROR(__xludf.DUMMYFUNCTION("""COMPUTED_VALUE"""),"QPSTQ")</f>
        <v>QPSTQ</v>
      </c>
      <c r="G337" s="10" t="str">
        <f>IFERROR(__xludf.DUMMYFUNCTION("""COMPUTED_VALUE"""),"No")</f>
        <v>No</v>
      </c>
      <c r="H337" s="10"/>
      <c r="I337" s="10"/>
      <c r="J337" s="10"/>
      <c r="K337" s="10">
        <f>IFERROR(__xludf.DUMMYFUNCTION("""COMPUTED_VALUE"""),1.0)</f>
        <v>1</v>
      </c>
      <c r="L337" s="10">
        <f>IFERROR(__xludf.DUMMYFUNCTION("""COMPUTED_VALUE"""),0.0)</f>
        <v>0</v>
      </c>
      <c r="M337" s="10">
        <f>IFERROR(__xludf.DUMMYFUNCTION("""COMPUTED_VALUE"""),1.0)</f>
        <v>1</v>
      </c>
      <c r="N337" s="10">
        <f>IFERROR(__xludf.DUMMYFUNCTION("""COMPUTED_VALUE"""),0.0)</f>
        <v>0</v>
      </c>
      <c r="O337" s="10">
        <f>IFERROR(__xludf.DUMMYFUNCTION("""COMPUTED_VALUE"""),0.0)</f>
        <v>0</v>
      </c>
      <c r="P337" s="10">
        <f>IFERROR(__xludf.DUMMYFUNCTION("""COMPUTED_VALUE"""),0.0)</f>
        <v>0</v>
      </c>
      <c r="Q337" s="10" t="str">
        <f>IFERROR(__xludf.DUMMYFUNCTION("""COMPUTED_VALUE"""),"No")</f>
        <v>No</v>
      </c>
      <c r="R337" s="10" t="str">
        <f>IFERROR(__xludf.DUMMYFUNCTION("""COMPUTED_VALUE"""),"No")</f>
        <v>No</v>
      </c>
      <c r="S337" s="10" t="str">
        <f>IFERROR(__xludf.DUMMYFUNCTION("""COMPUTED_VALUE"""),"No")</f>
        <v>No</v>
      </c>
      <c r="T337" s="10">
        <f>IFERROR(__xludf.DUMMYFUNCTION("""COMPUTED_VALUE"""),0.0)</f>
        <v>0</v>
      </c>
      <c r="U337" s="10">
        <f>IFERROR(__xludf.DUMMYFUNCTION("""COMPUTED_VALUE"""),0.0)</f>
        <v>0</v>
      </c>
      <c r="V337" s="10" t="str">
        <f>IFERROR(__xludf.DUMMYFUNCTION("""COMPUTED_VALUE"""),"انسان کے گناہ، اللہ کی گرفت، بندگی کی حقیقت، اور آخرت کا انجام۔
")</f>
        <v>انسان کے گناہ، اللہ کی گرفت، بندگی کی حقیقت، اور آخرت کا انجام۔
</v>
      </c>
      <c r="W337" s="10" t="str">
        <f>IFERROR(__xludf.DUMMYFUNCTION("""COMPUTED_VALUE"""),"امام نے انسان کے گناہوں، اللہ کے سامنے جواب دہی، جہنم کی ہولناکی، اور توبہ کی ضرورت پر زور دیا۔
انہوں نے آخرت کی تیاری اور دنیا کی بے ثباتی پر غور کرنے کی تلقین کی۔
")</f>
        <v>امام نے انسان کے گناہوں، اللہ کے سامنے جواب دہی، جہنم کی ہولناکی، اور توبہ کی ضرورت پر زور دیا۔
انہوں نے آخرت کی تیاری اور دنیا کی بے ثباتی پر غور کرنے کی تلقین کی۔
</v>
      </c>
      <c r="X337" s="10">
        <f>IFERROR(__xludf.DUMMYFUNCTION("""COMPUTED_VALUE"""),9.0)</f>
        <v>9</v>
      </c>
      <c r="Y337" s="10">
        <f>IFERROR(__xludf.DUMMYFUNCTION("""COMPUTED_VALUE"""),1.0)</f>
        <v>1</v>
      </c>
      <c r="Z337" s="10">
        <f>IFERROR(__xludf.DUMMYFUNCTION("""COMPUTED_VALUE"""),1.0)</f>
        <v>1</v>
      </c>
      <c r="AA337" s="10">
        <f>IFERROR(__xludf.DUMMYFUNCTION("""COMPUTED_VALUE"""),10.0)</f>
        <v>10</v>
      </c>
      <c r="AB337" s="10">
        <f>IFERROR(__xludf.DUMMYFUNCTION("""COMPUTED_VALUE"""),1.0)</f>
        <v>1</v>
      </c>
      <c r="AC337" s="10">
        <f>IFERROR(__xludf.DUMMYFUNCTION("""COMPUTED_VALUE"""),0.0)</f>
        <v>0</v>
      </c>
      <c r="AD337" s="10">
        <f>IFERROR(__xludf.DUMMYFUNCTION("""COMPUTED_VALUE"""),0.0)</f>
        <v>0</v>
      </c>
      <c r="AE337" s="10">
        <f>IFERROR(__xludf.DUMMYFUNCTION("""COMPUTED_VALUE"""),0.0)</f>
        <v>0</v>
      </c>
      <c r="AF337" s="10">
        <f>IFERROR(__xludf.DUMMYFUNCTION("""COMPUTED_VALUE"""),9.0)</f>
        <v>9</v>
      </c>
      <c r="AG337" s="10">
        <f>IFERROR(__xludf.DUMMYFUNCTION("""COMPUTED_VALUE"""),4.0)</f>
        <v>4</v>
      </c>
      <c r="AH337" s="10">
        <f>IFERROR(__xludf.DUMMYFUNCTION("""COMPUTED_VALUE"""),0.0)</f>
        <v>0</v>
      </c>
      <c r="AI337" s="10">
        <f>IFERROR(__xludf.DUMMYFUNCTION("""COMPUTED_VALUE"""),8.0)</f>
        <v>8</v>
      </c>
      <c r="AJ337" s="11" t="str">
        <f>IFERROR(__xludf.DUMMYFUNCTION("""COMPUTED_VALUE"""),"https://drive.google.com/open?id=1OQvu7UURV-Vidgh3v6EYK9t_F4k2FJEA")</f>
        <v>https://drive.google.com/open?id=1OQvu7UURV-Vidgh3v6EYK9t_F4k2FJEA</v>
      </c>
      <c r="AK337" s="12" t="str">
        <f>IFERROR(__xludf.DUMMYFUNCTION("""COMPUTED_VALUE"""),"بیان دینی لحاظ سے مضبوط، مگر سماجی اور عملی پہلو (عورت، محلہ، تعلیم، صحت) نہ ہونے کے برابر تھے۔ آئندہ بیانات میں حقوق العباد اور روزمرہ زندگی کے مسائل پر بھی روشنی ڈالنا مفید ہوگا۔
")</f>
        <v>بیان دینی لحاظ سے مضبوط، مگر سماجی اور عملی پہلو (عورت، محلہ، تعلیم، صحت) نہ ہونے کے برابر تھے۔ آئندہ بیانات میں حقوق العباد اور روزمرہ زندگی کے مسائل پر بھی روشنی ڈالنا مفید ہوگا۔
</v>
      </c>
      <c r="AL337" s="12"/>
      <c r="AM337" s="12"/>
      <c r="AN337" s="12" t="str">
        <f>IFERROR(__xludf.DUMMYFUNCTION("""COMPUTED_VALUE"""),"1st week")</f>
        <v>1st week</v>
      </c>
      <c r="AO337" s="13" t="s">
        <v>9</v>
      </c>
      <c r="AX337" s="17"/>
    </row>
    <row r="338">
      <c r="A338" s="8">
        <v>337.0</v>
      </c>
      <c r="B338" s="9">
        <f>IFERROR(__xludf.DUMMYFUNCTION("""COMPUTED_VALUE"""),45833.22248549768)</f>
        <v>45833.22249</v>
      </c>
      <c r="C338" s="10" t="str">
        <f>IFERROR(__xludf.DUMMYFUNCTION("""COMPUTED_VALUE"""),"Sumaia Hayat ")</f>
        <v>Sumaia Hayat </v>
      </c>
      <c r="D338" s="10" t="str">
        <f>IFERROR(__xludf.DUMMYFUNCTION("""COMPUTED_VALUE"""),"03260671819")</f>
        <v>03260671819</v>
      </c>
      <c r="E338" s="10" t="str">
        <f>IFERROR(__xludf.DUMMYFUNCTION("""COMPUTED_VALUE"""),"Jamia Masjid Main Bazar Khushab")</f>
        <v>Jamia Masjid Main Bazar Khushab</v>
      </c>
      <c r="F338" s="10" t="str">
        <f>IFERROR(__xludf.DUMMYFUNCTION("""COMPUTED_VALUE"""),"OSGNP")</f>
        <v>OSGNP</v>
      </c>
      <c r="G338" s="10" t="str">
        <f>IFERROR(__xludf.DUMMYFUNCTION("""COMPUTED_VALUE"""),"No")</f>
        <v>No</v>
      </c>
      <c r="H338" s="10"/>
      <c r="I338" s="10"/>
      <c r="J338" s="10"/>
      <c r="K338" s="10">
        <f>IFERROR(__xludf.DUMMYFUNCTION("""COMPUTED_VALUE"""),1.0)</f>
        <v>1</v>
      </c>
      <c r="L338" s="10">
        <f>IFERROR(__xludf.DUMMYFUNCTION("""COMPUTED_VALUE"""),0.0)</f>
        <v>0</v>
      </c>
      <c r="M338" s="10">
        <f>IFERROR(__xludf.DUMMYFUNCTION("""COMPUTED_VALUE"""),1.0)</f>
        <v>1</v>
      </c>
      <c r="N338" s="10">
        <f>IFERROR(__xludf.DUMMYFUNCTION("""COMPUTED_VALUE"""),0.0)</f>
        <v>0</v>
      </c>
      <c r="O338" s="10">
        <f>IFERROR(__xludf.DUMMYFUNCTION("""COMPUTED_VALUE"""),0.0)</f>
        <v>0</v>
      </c>
      <c r="P338" s="10">
        <f>IFERROR(__xludf.DUMMYFUNCTION("""COMPUTED_VALUE"""),0.0)</f>
        <v>0</v>
      </c>
      <c r="Q338" s="10" t="str">
        <f>IFERROR(__xludf.DUMMYFUNCTION("""COMPUTED_VALUE"""),"No")</f>
        <v>No</v>
      </c>
      <c r="R338" s="10" t="str">
        <f>IFERROR(__xludf.DUMMYFUNCTION("""COMPUTED_VALUE"""),"No")</f>
        <v>No</v>
      </c>
      <c r="S338" s="10" t="str">
        <f>IFERROR(__xludf.DUMMYFUNCTION("""COMPUTED_VALUE"""),"No")</f>
        <v>No</v>
      </c>
      <c r="T338" s="10">
        <f>IFERROR(__xludf.DUMMYFUNCTION("""COMPUTED_VALUE"""),0.0)</f>
        <v>0</v>
      </c>
      <c r="U338" s="10">
        <f>IFERROR(__xludf.DUMMYFUNCTION("""COMPUTED_VALUE"""),0.0)</f>
        <v>0</v>
      </c>
      <c r="V338" s="10" t="str">
        <f>IFERROR(__xludf.DUMMYFUNCTION("""COMPUTED_VALUE"""),"انسان کے گناہ، اللہ کی گرفت، بندگی کی حقیقت، اور آخرت کا انجام۔
")</f>
        <v>انسان کے گناہ، اللہ کی گرفت، بندگی کی حقیقت، اور آخرت کا انجام۔
</v>
      </c>
      <c r="W338" s="10" t="str">
        <f>IFERROR(__xludf.DUMMYFUNCTION("""COMPUTED_VALUE"""),"امام نے انسان کے گناہوں، اللہ کے سامنے جواب دہی، جہنم کی ہولناکی، اور توبہ کی ضرورت پر زور دیا۔
انہوں نے آخرت کی تیاری اور دنیا کی بے ثباتی پر غور کرنے کی تلقین کی۔")</f>
        <v>امام نے انسان کے گناہوں، اللہ کے سامنے جواب دہی، جہنم کی ہولناکی، اور توبہ کی ضرورت پر زور دیا۔
انہوں نے آخرت کی تیاری اور دنیا کی بے ثباتی پر غور کرنے کی تلقین کی۔</v>
      </c>
      <c r="X338" s="10">
        <f>IFERROR(__xludf.DUMMYFUNCTION("""COMPUTED_VALUE"""),9.0)</f>
        <v>9</v>
      </c>
      <c r="Y338" s="10">
        <f>IFERROR(__xludf.DUMMYFUNCTION("""COMPUTED_VALUE"""),1.0)</f>
        <v>1</v>
      </c>
      <c r="Z338" s="10">
        <f>IFERROR(__xludf.DUMMYFUNCTION("""COMPUTED_VALUE"""),1.0)</f>
        <v>1</v>
      </c>
      <c r="AA338" s="10">
        <f>IFERROR(__xludf.DUMMYFUNCTION("""COMPUTED_VALUE"""),10.0)</f>
        <v>10</v>
      </c>
      <c r="AB338" s="10">
        <f>IFERROR(__xludf.DUMMYFUNCTION("""COMPUTED_VALUE"""),1.0)</f>
        <v>1</v>
      </c>
      <c r="AC338" s="10">
        <f>IFERROR(__xludf.DUMMYFUNCTION("""COMPUTED_VALUE"""),0.0)</f>
        <v>0</v>
      </c>
      <c r="AD338" s="10">
        <f>IFERROR(__xludf.DUMMYFUNCTION("""COMPUTED_VALUE"""),0.0)</f>
        <v>0</v>
      </c>
      <c r="AE338" s="10">
        <f>IFERROR(__xludf.DUMMYFUNCTION("""COMPUTED_VALUE"""),0.0)</f>
        <v>0</v>
      </c>
      <c r="AF338" s="10">
        <f>IFERROR(__xludf.DUMMYFUNCTION("""COMPUTED_VALUE"""),9.0)</f>
        <v>9</v>
      </c>
      <c r="AG338" s="10">
        <f>IFERROR(__xludf.DUMMYFUNCTION("""COMPUTED_VALUE"""),4.0)</f>
        <v>4</v>
      </c>
      <c r="AH338" s="10">
        <f>IFERROR(__xludf.DUMMYFUNCTION("""COMPUTED_VALUE"""),0.0)</f>
        <v>0</v>
      </c>
      <c r="AI338" s="10">
        <f>IFERROR(__xludf.DUMMYFUNCTION("""COMPUTED_VALUE"""),8.0)</f>
        <v>8</v>
      </c>
      <c r="AJ338" s="11" t="str">
        <f>IFERROR(__xludf.DUMMYFUNCTION("""COMPUTED_VALUE"""),"https://drive.google.com/open?id=1K_QgJK08s5Srf2au6KBmzSRxW5ESJT4l")</f>
        <v>https://drive.google.com/open?id=1K_QgJK08s5Srf2au6KBmzSRxW5ESJT4l</v>
      </c>
      <c r="AK338" s="12" t="str">
        <f>IFERROR(__xludf.DUMMYFUNCTION("""COMPUTED_VALUE"""),"بیان دینی لحاظ سے مضبوط، مگر سماجی اور عملی پہلو (عورت، محلہ، تعلیم، صحت) نہ ہونے کے برابر تھے۔ آئندہ بیانات میں حقوق العباد اور روزمرہ زندگی کے مسائل پر بھی روشنی ڈالنا مفید ہوگا۔
")</f>
        <v>بیان دینی لحاظ سے مضبوط، مگر سماجی اور عملی پہلو (عورت، محلہ، تعلیم، صحت) نہ ہونے کے برابر تھے۔ آئندہ بیانات میں حقوق العباد اور روزمرہ زندگی کے مسائل پر بھی روشنی ڈالنا مفید ہوگا۔
</v>
      </c>
      <c r="AL338" s="12"/>
      <c r="AM338" s="12"/>
      <c r="AN338" s="12" t="str">
        <f>IFERROR(__xludf.DUMMYFUNCTION("""COMPUTED_VALUE"""),"1st week")</f>
        <v>1st week</v>
      </c>
      <c r="AO338" s="13" t="s">
        <v>9</v>
      </c>
      <c r="AX338" s="17"/>
    </row>
    <row r="339">
      <c r="A339" s="8">
        <v>338.0</v>
      </c>
      <c r="B339" s="9">
        <f>IFERROR(__xludf.DUMMYFUNCTION("""COMPUTED_VALUE"""),45833.30686113426)</f>
        <v>45833.30686</v>
      </c>
      <c r="C339" s="10" t="str">
        <f>IFERROR(__xludf.DUMMYFUNCTION("""COMPUTED_VALUE"""),"shahid Iqbal")</f>
        <v>shahid Iqbal</v>
      </c>
      <c r="D339" s="10" t="str">
        <f>IFERROR(__xludf.DUMMYFUNCTION("""COMPUTED_VALUE"""),"03013665049")</f>
        <v>03013665049</v>
      </c>
      <c r="E339" s="10" t="str">
        <f>IFERROR(__xludf.DUMMYFUNCTION("""COMPUTED_VALUE"""),"Jamia Masjid Company Bhaag Sargodha")</f>
        <v>Jamia Masjid Company Bhaag Sargodha</v>
      </c>
      <c r="F339" s="10" t="str">
        <f>IFERROR(__xludf.DUMMYFUNCTION("""COMPUTED_VALUE"""),"LMDFN")</f>
        <v>LMDFN</v>
      </c>
      <c r="G339" s="10" t="str">
        <f>IFERROR(__xludf.DUMMYFUNCTION("""COMPUTED_VALUE"""),"No")</f>
        <v>No</v>
      </c>
      <c r="H339" s="10"/>
      <c r="I339" s="10"/>
      <c r="J339" s="10"/>
      <c r="K339" s="10">
        <f>IFERROR(__xludf.DUMMYFUNCTION("""COMPUTED_VALUE"""),0.0)</f>
        <v>0</v>
      </c>
      <c r="L339" s="10">
        <f>IFERROR(__xludf.DUMMYFUNCTION("""COMPUTED_VALUE"""),0.0)</f>
        <v>0</v>
      </c>
      <c r="M339" s="10">
        <f>IFERROR(__xludf.DUMMYFUNCTION("""COMPUTED_VALUE"""),0.0)</f>
        <v>0</v>
      </c>
      <c r="N339" s="10">
        <f>IFERROR(__xludf.DUMMYFUNCTION("""COMPUTED_VALUE"""),0.0)</f>
        <v>0</v>
      </c>
      <c r="O339" s="10">
        <f>IFERROR(__xludf.DUMMYFUNCTION("""COMPUTED_VALUE"""),0.0)</f>
        <v>0</v>
      </c>
      <c r="P339" s="10">
        <f>IFERROR(__xludf.DUMMYFUNCTION("""COMPUTED_VALUE"""),0.0)</f>
        <v>0</v>
      </c>
      <c r="Q339" s="10" t="str">
        <f>IFERROR(__xludf.DUMMYFUNCTION("""COMPUTED_VALUE"""),"No")</f>
        <v>No</v>
      </c>
      <c r="R339" s="10" t="str">
        <f>IFERROR(__xludf.DUMMYFUNCTION("""COMPUTED_VALUE"""),"No")</f>
        <v>No</v>
      </c>
      <c r="S339" s="10" t="str">
        <f>IFERROR(__xludf.DUMMYFUNCTION("""COMPUTED_VALUE"""),"No")</f>
        <v>No</v>
      </c>
      <c r="T339" s="10">
        <f>IFERROR(__xludf.DUMMYFUNCTION("""COMPUTED_VALUE"""),0.0)</f>
        <v>0</v>
      </c>
      <c r="U339" s="10">
        <f>IFERROR(__xludf.DUMMYFUNCTION("""COMPUTED_VALUE"""),0.0)</f>
        <v>0</v>
      </c>
      <c r="V339" s="10" t="str">
        <f>IFERROR(__xludf.DUMMYFUNCTION("""COMPUTED_VALUE"""),"seerat un Nabi saw")</f>
        <v>seerat un Nabi saw</v>
      </c>
      <c r="W339" s="10" t="str">
        <f>IFERROR(__xludf.DUMMYFUNCTION("""COMPUTED_VALUE"""),"seerat un nabi saw")</f>
        <v>seerat un nabi saw</v>
      </c>
      <c r="X339" s="10">
        <f>IFERROR(__xludf.DUMMYFUNCTION("""COMPUTED_VALUE"""),5.0)</f>
        <v>5</v>
      </c>
      <c r="Y339" s="10">
        <f>IFERROR(__xludf.DUMMYFUNCTION("""COMPUTED_VALUE"""),6.0)</f>
        <v>6</v>
      </c>
      <c r="Z339" s="10">
        <f>IFERROR(__xludf.DUMMYFUNCTION("""COMPUTED_VALUE"""),5.0)</f>
        <v>5</v>
      </c>
      <c r="AA339" s="10">
        <f>IFERROR(__xludf.DUMMYFUNCTION("""COMPUTED_VALUE"""),7.0)</f>
        <v>7</v>
      </c>
      <c r="AB339" s="10">
        <f>IFERROR(__xludf.DUMMYFUNCTION("""COMPUTED_VALUE"""),7.0)</f>
        <v>7</v>
      </c>
      <c r="AC339" s="10">
        <f>IFERROR(__xludf.DUMMYFUNCTION("""COMPUTED_VALUE"""),6.0)</f>
        <v>6</v>
      </c>
      <c r="AD339" s="10">
        <f>IFERROR(__xludf.DUMMYFUNCTION("""COMPUTED_VALUE"""),7.0)</f>
        <v>7</v>
      </c>
      <c r="AE339" s="10">
        <f>IFERROR(__xludf.DUMMYFUNCTION("""COMPUTED_VALUE"""),7.0)</f>
        <v>7</v>
      </c>
      <c r="AF339" s="10">
        <f>IFERROR(__xludf.DUMMYFUNCTION("""COMPUTED_VALUE"""),5.0)</f>
        <v>5</v>
      </c>
      <c r="AG339" s="10">
        <f>IFERROR(__xludf.DUMMYFUNCTION("""COMPUTED_VALUE"""),7.0)</f>
        <v>7</v>
      </c>
      <c r="AH339" s="10">
        <f>IFERROR(__xludf.DUMMYFUNCTION("""COMPUTED_VALUE"""),0.0)</f>
        <v>0</v>
      </c>
      <c r="AI339" s="10">
        <f>IFERROR(__xludf.DUMMYFUNCTION("""COMPUTED_VALUE"""),6.0)</f>
        <v>6</v>
      </c>
      <c r="AJ339" s="11" t="str">
        <f>IFERROR(__xludf.DUMMYFUNCTION("""COMPUTED_VALUE"""),"https://drive.google.com/open?id=1KubbSS51bMJtdAigoMsTcYndW0TJGfGy")</f>
        <v>https://drive.google.com/open?id=1KubbSS51bMJtdAigoMsTcYndW0TJGfGy</v>
      </c>
      <c r="AK339" s="12"/>
      <c r="AL339" s="12"/>
      <c r="AM339" s="12"/>
      <c r="AN339" s="12" t="str">
        <f>IFERROR(__xludf.DUMMYFUNCTION("""COMPUTED_VALUE"""),"2nd week")</f>
        <v>2nd week</v>
      </c>
      <c r="AO339" s="13">
        <v>1.0</v>
      </c>
      <c r="AX339" s="17"/>
    </row>
    <row r="340">
      <c r="A340" s="8">
        <v>339.0</v>
      </c>
      <c r="B340" s="9">
        <f>IFERROR(__xludf.DUMMYFUNCTION("""COMPUTED_VALUE"""),45833.43674399305)</f>
        <v>45833.43674</v>
      </c>
      <c r="C340" s="10" t="str">
        <f>IFERROR(__xludf.DUMMYFUNCTION("""COMPUTED_VALUE"""),"Sumaia Hayat ")</f>
        <v>Sumaia Hayat </v>
      </c>
      <c r="D340" s="10" t="str">
        <f>IFERROR(__xludf.DUMMYFUNCTION("""COMPUTED_VALUE"""),"03260671819")</f>
        <v>03260671819</v>
      </c>
      <c r="E340" s="10" t="str">
        <f>IFERROR(__xludf.DUMMYFUNCTION("""COMPUTED_VALUE"""),"Jamia Masjid Mian Karaam Bakhs Pani Wala Talaab Lahore")</f>
        <v>Jamia Masjid Mian Karaam Bakhs Pani Wala Talaab Lahore</v>
      </c>
      <c r="F340" s="10" t="str">
        <f>IFERROR(__xludf.DUMMYFUNCTION("""COMPUTED_VALUE"""),"kpwne")</f>
        <v>kpwne</v>
      </c>
      <c r="G340" s="10" t="str">
        <f>IFERROR(__xludf.DUMMYFUNCTION("""COMPUTED_VALUE"""),"Yes")</f>
        <v>Yes</v>
      </c>
      <c r="H340" s="10">
        <f>IFERROR(__xludf.DUMMYFUNCTION("""COMPUTED_VALUE"""),9.0)</f>
        <v>9</v>
      </c>
      <c r="I340" s="10">
        <f>IFERROR(__xludf.DUMMYFUNCTION("""COMPUTED_VALUE"""),2.0)</f>
        <v>2</v>
      </c>
      <c r="J340" s="10">
        <f>IFERROR(__xludf.DUMMYFUNCTION("""COMPUTED_VALUE"""),10.0)</f>
        <v>10</v>
      </c>
      <c r="K340" s="10">
        <f>IFERROR(__xludf.DUMMYFUNCTION("""COMPUTED_VALUE"""),4.0)</f>
        <v>4</v>
      </c>
      <c r="L340" s="10">
        <f>IFERROR(__xludf.DUMMYFUNCTION("""COMPUTED_VALUE"""),2.0)</f>
        <v>2</v>
      </c>
      <c r="M340" s="10">
        <f>IFERROR(__xludf.DUMMYFUNCTION("""COMPUTED_VALUE"""),3.0)</f>
        <v>3</v>
      </c>
      <c r="N340" s="10">
        <f>IFERROR(__xludf.DUMMYFUNCTION("""COMPUTED_VALUE"""),2.0)</f>
        <v>2</v>
      </c>
      <c r="O340" s="10">
        <f>IFERROR(__xludf.DUMMYFUNCTION("""COMPUTED_VALUE"""),2.0)</f>
        <v>2</v>
      </c>
      <c r="P340" s="10">
        <f>IFERROR(__xludf.DUMMYFUNCTION("""COMPUTED_VALUE"""),1.0)</f>
        <v>1</v>
      </c>
      <c r="Q340" s="10" t="str">
        <f>IFERROR(__xludf.DUMMYFUNCTION("""COMPUTED_VALUE"""),"No")</f>
        <v>No</v>
      </c>
      <c r="R340" s="10" t="str">
        <f>IFERROR(__xludf.DUMMYFUNCTION("""COMPUTED_VALUE"""),"No")</f>
        <v>No</v>
      </c>
      <c r="S340" s="10" t="str">
        <f>IFERROR(__xludf.DUMMYFUNCTION("""COMPUTED_VALUE"""),"No")</f>
        <v>No</v>
      </c>
      <c r="T340" s="10">
        <f>IFERROR(__xludf.DUMMYFUNCTION("""COMPUTED_VALUE"""),0.0)</f>
        <v>0</v>
      </c>
      <c r="U340" s="10">
        <f>IFERROR(__xludf.DUMMYFUNCTION("""COMPUTED_VALUE"""),0.0)</f>
        <v>0</v>
      </c>
      <c r="V340" s="10" t="str">
        <f>IFERROR(__xludf.DUMMYFUNCTION("""COMPUTED_VALUE"""),"ذوالحجہ کے فضائل، اہلِ بیت و صحابہ کی عظمت، اور یومِ غدیر کی حقیقت۔")</f>
        <v>ذوالحجہ کے فضائل، اہلِ بیت و صحابہ کی عظمت، اور یومِ غدیر کی حقیقت۔</v>
      </c>
      <c r="W340" s="10" t="str">
        <f>IFERROR(__xludf.DUMMYFUNCTION("""COMPUTED_VALUE"""),"امام نے ذوالحجہ کی مبارک ایام کی فضیلت بیان کی اور حضرت علیؓ کی ولایت کے دن یعنی یومِ غدیر کی اہمیت کو اجاگر کیا۔ ساتھ ہی انہوں نے امت میں صحابہ اور اہل بیت کی متوازن عظمت پر زور دیا اور تفرقے سے بچنے کی تلقین کی۔")</f>
        <v>امام نے ذوالحجہ کی مبارک ایام کی فضیلت بیان کی اور حضرت علیؓ کی ولایت کے دن یعنی یومِ غدیر کی اہمیت کو اجاگر کیا۔ ساتھ ہی انہوں نے امت میں صحابہ اور اہل بیت کی متوازن عظمت پر زور دیا اور تفرقے سے بچنے کی تلقین کی۔</v>
      </c>
      <c r="X340" s="10">
        <f>IFERROR(__xludf.DUMMYFUNCTION("""COMPUTED_VALUE"""),6.0)</f>
        <v>6</v>
      </c>
      <c r="Y340" s="10">
        <f>IFERROR(__xludf.DUMMYFUNCTION("""COMPUTED_VALUE"""),4.0)</f>
        <v>4</v>
      </c>
      <c r="Z340" s="10">
        <f>IFERROR(__xludf.DUMMYFUNCTION("""COMPUTED_VALUE"""),3.0)</f>
        <v>3</v>
      </c>
      <c r="AA340" s="10">
        <f>IFERROR(__xludf.DUMMYFUNCTION("""COMPUTED_VALUE"""),9.0)</f>
        <v>9</v>
      </c>
      <c r="AB340" s="10">
        <f>IFERROR(__xludf.DUMMYFUNCTION("""COMPUTED_VALUE"""),8.0)</f>
        <v>8</v>
      </c>
      <c r="AC340" s="10">
        <f>IFERROR(__xludf.DUMMYFUNCTION("""COMPUTED_VALUE"""),1.0)</f>
        <v>1</v>
      </c>
      <c r="AD340" s="10">
        <f>IFERROR(__xludf.DUMMYFUNCTION("""COMPUTED_VALUE"""),0.0)</f>
        <v>0</v>
      </c>
      <c r="AE340" s="10">
        <f>IFERROR(__xludf.DUMMYFUNCTION("""COMPUTED_VALUE"""),0.0)</f>
        <v>0</v>
      </c>
      <c r="AF340" s="10">
        <f>IFERROR(__xludf.DUMMYFUNCTION("""COMPUTED_VALUE"""),8.0)</f>
        <v>8</v>
      </c>
      <c r="AG340" s="10">
        <f>IFERROR(__xludf.DUMMYFUNCTION("""COMPUTED_VALUE"""),7.0)</f>
        <v>7</v>
      </c>
      <c r="AH340" s="10">
        <f>IFERROR(__xludf.DUMMYFUNCTION("""COMPUTED_VALUE"""),0.0)</f>
        <v>0</v>
      </c>
      <c r="AI340" s="10">
        <f>IFERROR(__xludf.DUMMYFUNCTION("""COMPUTED_VALUE"""),8.0)</f>
        <v>8</v>
      </c>
      <c r="AJ340" s="11" t="str">
        <f>IFERROR(__xludf.DUMMYFUNCTION("""COMPUTED_VALUE"""),"https://drive.google.com/open?id=1G5BZOT-IGJHK--PASd_eGs4ZIR4_Ij6d")</f>
        <v>https://drive.google.com/open?id=1G5BZOT-IGJHK--PASd_eGs4ZIR4_Ij6d</v>
      </c>
      <c r="AK340" s="12" t="str">
        <f>IFERROR(__xludf.DUMMYFUNCTION("""COMPUTED_VALUE"""),"امام کا بیان علمی، متوازن اور امت کو جوڑنے والا تھا۔ اس میں حضرت علیؓ کی محبت کے ساتھ ساتھ خلفائے راشدینؓ کی عزت کو بھی نمایاں کیا گیا، جو فرقہ واریت کے خلاف ایک مثبت پیغام ہے۔")</f>
        <v>امام کا بیان علمی، متوازن اور امت کو جوڑنے والا تھا۔ اس میں حضرت علیؓ کی محبت کے ساتھ ساتھ خلفائے راشدینؓ کی عزت کو بھی نمایاں کیا گیا، جو فرقہ واریت کے خلاف ایک مثبت پیغام ہے۔</v>
      </c>
      <c r="AL340" s="12" t="str">
        <f>IFERROR(__xludf.DUMMYFUNCTION("""COMPUTED_VALUE"""),"Yes")</f>
        <v>Yes</v>
      </c>
      <c r="AM340" s="15">
        <f>IFERROR(__xludf.DUMMYFUNCTION("""COMPUTED_VALUE"""),0.9)</f>
        <v>0.9</v>
      </c>
      <c r="AN340" s="12" t="str">
        <f>IFERROR(__xludf.DUMMYFUNCTION("""COMPUTED_VALUE"""),"1st week")</f>
        <v>1st week</v>
      </c>
      <c r="AO340" s="13">
        <v>1.0</v>
      </c>
      <c r="AX340" s="17"/>
    </row>
    <row r="341">
      <c r="A341" s="8">
        <v>340.0</v>
      </c>
      <c r="B341" s="9">
        <f>IFERROR(__xludf.DUMMYFUNCTION("""COMPUTED_VALUE"""),45833.45978253472)</f>
        <v>45833.45978</v>
      </c>
      <c r="C341" s="10" t="str">
        <f>IFERROR(__xludf.DUMMYFUNCTION("""COMPUTED_VALUE"""),"Sumaia Hayat ")</f>
        <v>Sumaia Hayat </v>
      </c>
      <c r="D341" s="10" t="str">
        <f>IFERROR(__xludf.DUMMYFUNCTION("""COMPUTED_VALUE"""),"03260671819")</f>
        <v>03260671819</v>
      </c>
      <c r="E341" s="10" t="str">
        <f>IFERROR(__xludf.DUMMYFUNCTION("""COMPUTED_VALUE"""),"Jamia Masjid Chila Gah Tabha Fareed Lahore")</f>
        <v>Jamia Masjid Chila Gah Tabha Fareed Lahore</v>
      </c>
      <c r="F341" s="10" t="str">
        <f>IFERROR(__xludf.DUMMYFUNCTION("""COMPUTED_VALUE"""),"eiuou")</f>
        <v>eiuou</v>
      </c>
      <c r="G341" s="10" t="str">
        <f>IFERROR(__xludf.DUMMYFUNCTION("""COMPUTED_VALUE"""),"No")</f>
        <v>No</v>
      </c>
      <c r="H341" s="10"/>
      <c r="I341" s="10"/>
      <c r="J341" s="10"/>
      <c r="K341" s="10">
        <f>IFERROR(__xludf.DUMMYFUNCTION("""COMPUTED_VALUE"""),9.0)</f>
        <v>9</v>
      </c>
      <c r="L341" s="10">
        <f>IFERROR(__xludf.DUMMYFUNCTION("""COMPUTED_VALUE"""),1.0)</f>
        <v>1</v>
      </c>
      <c r="M341" s="10">
        <f>IFERROR(__xludf.DUMMYFUNCTION("""COMPUTED_VALUE"""),8.0)</f>
        <v>8</v>
      </c>
      <c r="N341" s="10">
        <f>IFERROR(__xludf.DUMMYFUNCTION("""COMPUTED_VALUE"""),1.0)</f>
        <v>1</v>
      </c>
      <c r="O341" s="10">
        <f>IFERROR(__xludf.DUMMYFUNCTION("""COMPUTED_VALUE"""),2.0)</f>
        <v>2</v>
      </c>
      <c r="P341" s="10">
        <f>IFERROR(__xludf.DUMMYFUNCTION("""COMPUTED_VALUE"""),0.0)</f>
        <v>0</v>
      </c>
      <c r="Q341" s="10" t="str">
        <f>IFERROR(__xludf.DUMMYFUNCTION("""COMPUTED_VALUE"""),"No")</f>
        <v>No</v>
      </c>
      <c r="R341" s="10" t="str">
        <f>IFERROR(__xludf.DUMMYFUNCTION("""COMPUTED_VALUE"""),"No")</f>
        <v>No</v>
      </c>
      <c r="S341" s="10" t="str">
        <f>IFERROR(__xludf.DUMMYFUNCTION("""COMPUTED_VALUE"""),"No")</f>
        <v>No</v>
      </c>
      <c r="T341" s="10">
        <f>IFERROR(__xludf.DUMMYFUNCTION("""COMPUTED_VALUE"""),0.0)</f>
        <v>0</v>
      </c>
      <c r="U341" s="10">
        <f>IFERROR(__xludf.DUMMYFUNCTION("""COMPUTED_VALUE"""),0.0)</f>
        <v>0</v>
      </c>
      <c r="V341" s="10" t="str">
        <f>IFERROR(__xludf.DUMMYFUNCTION("""COMPUTED_VALUE"""),"حضرت عثمان غنی رضی اللہ عنہ کی سخاوت، ان کے فضائل، جنت کی ضمانت، اور خواتین و وراثت کے حقوق۔
")</f>
        <v>حضرت عثمان غنی رضی اللہ عنہ کی سخاوت، ان کے فضائل، جنت کی ضمانت، اور خواتین و وراثت کے حقوق۔
</v>
      </c>
      <c r="W341" s="10" t="str">
        <f>IFERROR(__xludf.DUMMYFUNCTION("""COMPUTED_VALUE"""),"امام نے حضرت عثمانؓ کی سخاوت، دین کے لیے قربانی، اور نبی اکرم ﷺ کی دعاؤں کا ذکر کیا۔ ساتھ ہی عورتوں کے وراثتی حقوق، مہر، اور زبانی معافی کے شرعی احکام کو وضاحت سے بیان کیا۔
")</f>
        <v>امام نے حضرت عثمانؓ کی سخاوت، دین کے لیے قربانی، اور نبی اکرم ﷺ کی دعاؤں کا ذکر کیا۔ ساتھ ہی عورتوں کے وراثتی حقوق، مہر، اور زبانی معافی کے شرعی احکام کو وضاحت سے بیان کیا۔
</v>
      </c>
      <c r="X341" s="10">
        <f>IFERROR(__xludf.DUMMYFUNCTION("""COMPUTED_VALUE"""),4.0)</f>
        <v>4</v>
      </c>
      <c r="Y341" s="10">
        <f>IFERROR(__xludf.DUMMYFUNCTION("""COMPUTED_VALUE"""),10.0)</f>
        <v>10</v>
      </c>
      <c r="Z341" s="10">
        <f>IFERROR(__xludf.DUMMYFUNCTION("""COMPUTED_VALUE"""),9.0)</f>
        <v>9</v>
      </c>
      <c r="AA341" s="10">
        <f>IFERROR(__xludf.DUMMYFUNCTION("""COMPUTED_VALUE"""),10.0)</f>
        <v>10</v>
      </c>
      <c r="AB341" s="10">
        <f>IFERROR(__xludf.DUMMYFUNCTION("""COMPUTED_VALUE"""),10.0)</f>
        <v>10</v>
      </c>
      <c r="AC341" s="10">
        <f>IFERROR(__xludf.DUMMYFUNCTION("""COMPUTED_VALUE"""),2.0)</f>
        <v>2</v>
      </c>
      <c r="AD341" s="10">
        <f>IFERROR(__xludf.DUMMYFUNCTION("""COMPUTED_VALUE"""),7.0)</f>
        <v>7</v>
      </c>
      <c r="AE341" s="10">
        <f>IFERROR(__xludf.DUMMYFUNCTION("""COMPUTED_VALUE"""),3.0)</f>
        <v>3</v>
      </c>
      <c r="AF341" s="10">
        <f>IFERROR(__xludf.DUMMYFUNCTION("""COMPUTED_VALUE"""),8.0)</f>
        <v>8</v>
      </c>
      <c r="AG341" s="10">
        <f>IFERROR(__xludf.DUMMYFUNCTION("""COMPUTED_VALUE"""),9.0)</f>
        <v>9</v>
      </c>
      <c r="AH341" s="10">
        <f>IFERROR(__xludf.DUMMYFUNCTION("""COMPUTED_VALUE"""),0.0)</f>
        <v>0</v>
      </c>
      <c r="AI341" s="10">
        <f>IFERROR(__xludf.DUMMYFUNCTION("""COMPUTED_VALUE"""),10.0)</f>
        <v>10</v>
      </c>
      <c r="AJ341" s="11" t="str">
        <f>IFERROR(__xludf.DUMMYFUNCTION("""COMPUTED_VALUE"""),"https://drive.google.com/open?id=1iRHoG6RjIXvuDV6eRAd34Hsq0PKBPFTg")</f>
        <v>https://drive.google.com/open?id=1iRHoG6RjIXvuDV6eRAd34Hsq0PKBPFTg</v>
      </c>
      <c r="AK341" s="12" t="str">
        <f>IFERROR(__xludf.DUMMYFUNCTION("""COMPUTED_VALUE"""),"یہ بیان بہترین اسلامی اور اخلاقی اصولوں پر مبنی تھا۔ خواتین کے حقوق اور حضرت عثمان غنیؓ کی سیرت کے خوبصورت امتزاج نے اسے نہایت مؤثر اور سبق آموز بنا دیا۔
")</f>
        <v>یہ بیان بہترین اسلامی اور اخلاقی اصولوں پر مبنی تھا۔ خواتین کے حقوق اور حضرت عثمان غنیؓ کی سیرت کے خوبصورت امتزاج نے اسے نہایت مؤثر اور سبق آموز بنا دیا۔
</v>
      </c>
      <c r="AL341" s="12"/>
      <c r="AM341" s="12"/>
      <c r="AN341" s="12" t="str">
        <f>IFERROR(__xludf.DUMMYFUNCTION("""COMPUTED_VALUE"""),"1st week")</f>
        <v>1st week</v>
      </c>
      <c r="AO341" s="13">
        <v>1.0</v>
      </c>
      <c r="AX341" s="17"/>
    </row>
    <row r="342">
      <c r="A342" s="8">
        <v>341.0</v>
      </c>
      <c r="B342" s="9">
        <f>IFERROR(__xludf.DUMMYFUNCTION("""COMPUTED_VALUE"""),45833.48731109954)</f>
        <v>45833.48731</v>
      </c>
      <c r="C342" s="10" t="str">
        <f>IFERROR(__xludf.DUMMYFUNCTION("""COMPUTED_VALUE"""),"Asma Gul ")</f>
        <v>Asma Gul </v>
      </c>
      <c r="D342" s="10" t="str">
        <f>IFERROR(__xludf.DUMMYFUNCTION("""COMPUTED_VALUE"""),"03459308620")</f>
        <v>03459308620</v>
      </c>
      <c r="E342" s="10" t="str">
        <f>IFERROR(__xludf.DUMMYFUNCTION("""COMPUTED_VALUE"""),"Jamia Masjid Gulzar Madina 43 Shamali Lari Adah  ")</f>
        <v>Jamia Masjid Gulzar Madina 43 Shamali Lari Adah  </v>
      </c>
      <c r="F342" s="10" t="str">
        <f>IFERROR(__xludf.DUMMYFUNCTION("""COMPUTED_VALUE"""),"  QPSTQ")</f>
        <v>  QPSTQ</v>
      </c>
      <c r="G342" s="10" t="str">
        <f>IFERROR(__xludf.DUMMYFUNCTION("""COMPUTED_VALUE"""),"Yes")</f>
        <v>Yes</v>
      </c>
      <c r="H342" s="10">
        <f>IFERROR(__xludf.DUMMYFUNCTION("""COMPUTED_VALUE"""),5.0)</f>
        <v>5</v>
      </c>
      <c r="I342" s="10">
        <f>IFERROR(__xludf.DUMMYFUNCTION("""COMPUTED_VALUE"""),5.0)</f>
        <v>5</v>
      </c>
      <c r="J342" s="10">
        <f>IFERROR(__xludf.DUMMYFUNCTION("""COMPUTED_VALUE"""),5.0)</f>
        <v>5</v>
      </c>
      <c r="K342" s="10">
        <f>IFERROR(__xludf.DUMMYFUNCTION("""COMPUTED_VALUE"""),6.0)</f>
        <v>6</v>
      </c>
      <c r="L342" s="10">
        <f>IFERROR(__xludf.DUMMYFUNCTION("""COMPUTED_VALUE"""),4.0)</f>
        <v>4</v>
      </c>
      <c r="M342" s="10">
        <f>IFERROR(__xludf.DUMMYFUNCTION("""COMPUTED_VALUE"""),4.0)</f>
        <v>4</v>
      </c>
      <c r="N342" s="10">
        <f>IFERROR(__xludf.DUMMYFUNCTION("""COMPUTED_VALUE"""),3.0)</f>
        <v>3</v>
      </c>
      <c r="O342" s="10">
        <f>IFERROR(__xludf.DUMMYFUNCTION("""COMPUTED_VALUE"""),0.0)</f>
        <v>0</v>
      </c>
      <c r="P342" s="10">
        <f>IFERROR(__xludf.DUMMYFUNCTION("""COMPUTED_VALUE"""),0.0)</f>
        <v>0</v>
      </c>
      <c r="Q342" s="10" t="str">
        <f>IFERROR(__xludf.DUMMYFUNCTION("""COMPUTED_VALUE"""),"No")</f>
        <v>No</v>
      </c>
      <c r="R342" s="10" t="str">
        <f>IFERROR(__xludf.DUMMYFUNCTION("""COMPUTED_VALUE"""),"No")</f>
        <v>No</v>
      </c>
      <c r="S342" s="10" t="str">
        <f>IFERROR(__xludf.DUMMYFUNCTION("""COMPUTED_VALUE"""),"No")</f>
        <v>No</v>
      </c>
      <c r="T342" s="10">
        <f>IFERROR(__xludf.DUMMYFUNCTION("""COMPUTED_VALUE"""),4.0)</f>
        <v>4</v>
      </c>
      <c r="U342" s="10">
        <f>IFERROR(__xludf.DUMMYFUNCTION("""COMPUTED_VALUE"""),3.0)</f>
        <v>3</v>
      </c>
      <c r="V342" s="10" t="str">
        <f>IFERROR(__xludf.DUMMYFUNCTION("""COMPUTED_VALUE"""),"دفاع پاکستان ")</f>
        <v>دفاع پاکستان </v>
      </c>
      <c r="W342" s="10" t="str">
        <f>IFERROR(__xludf.DUMMYFUNCTION("""COMPUTED_VALUE"""),"جنگوں کا احوال بیان کیا اور آپریشن بنیان مرصوص میں افواج پاکستان کی کامیابی کو خراج تحسین پیش کیا ")</f>
        <v>جنگوں کا احوال بیان کیا اور آپریشن بنیان مرصوص میں افواج پاکستان کی کامیابی کو خراج تحسین پیش کیا </v>
      </c>
      <c r="X342" s="10">
        <f>IFERROR(__xludf.DUMMYFUNCTION("""COMPUTED_VALUE"""),8.0)</f>
        <v>8</v>
      </c>
      <c r="Y342" s="10">
        <f>IFERROR(__xludf.DUMMYFUNCTION("""COMPUTED_VALUE"""),8.0)</f>
        <v>8</v>
      </c>
      <c r="Z342" s="10">
        <f>IFERROR(__xludf.DUMMYFUNCTION("""COMPUTED_VALUE"""),7.0)</f>
        <v>7</v>
      </c>
      <c r="AA342" s="10">
        <f>IFERROR(__xludf.DUMMYFUNCTION("""COMPUTED_VALUE"""),7.0)</f>
        <v>7</v>
      </c>
      <c r="AB342" s="10">
        <f>IFERROR(__xludf.DUMMYFUNCTION("""COMPUTED_VALUE"""),8.0)</f>
        <v>8</v>
      </c>
      <c r="AC342" s="10">
        <f>IFERROR(__xludf.DUMMYFUNCTION("""COMPUTED_VALUE"""),3.0)</f>
        <v>3</v>
      </c>
      <c r="AD342" s="10">
        <f>IFERROR(__xludf.DUMMYFUNCTION("""COMPUTED_VALUE"""),6.0)</f>
        <v>6</v>
      </c>
      <c r="AE342" s="10">
        <f>IFERROR(__xludf.DUMMYFUNCTION("""COMPUTED_VALUE"""),7.0)</f>
        <v>7</v>
      </c>
      <c r="AF342" s="10">
        <f>IFERROR(__xludf.DUMMYFUNCTION("""COMPUTED_VALUE"""),2.0)</f>
        <v>2</v>
      </c>
      <c r="AG342" s="10">
        <f>IFERROR(__xludf.DUMMYFUNCTION("""COMPUTED_VALUE"""),9.0)</f>
        <v>9</v>
      </c>
      <c r="AH342" s="10">
        <f>IFERROR(__xludf.DUMMYFUNCTION("""COMPUTED_VALUE"""),3.0)</f>
        <v>3</v>
      </c>
      <c r="AI342" s="10">
        <f>IFERROR(__xludf.DUMMYFUNCTION("""COMPUTED_VALUE"""),8.0)</f>
        <v>8</v>
      </c>
      <c r="AJ342" s="11" t="str">
        <f>IFERROR(__xludf.DUMMYFUNCTION("""COMPUTED_VALUE"""),"https://drive.google.com/open?id=1i9qFL2vA6QtBI731WLB-bKskIsdf04Z4")</f>
        <v>https://drive.google.com/open?id=1i9qFL2vA6QtBI731WLB-bKskIsdf04Z4</v>
      </c>
      <c r="AK342" s="12"/>
      <c r="AL342" s="12" t="str">
        <f>IFERROR(__xludf.DUMMYFUNCTION("""COMPUTED_VALUE"""),"Yes")</f>
        <v>Yes</v>
      </c>
      <c r="AM342" s="15">
        <f>IFERROR(__xludf.DUMMYFUNCTION("""COMPUTED_VALUE"""),0.5)</f>
        <v>0.5</v>
      </c>
      <c r="AN342" s="12" t="str">
        <f>IFERROR(__xludf.DUMMYFUNCTION("""COMPUTED_VALUE"""),"3rd week")</f>
        <v>3rd week</v>
      </c>
      <c r="AO342" s="13" t="s">
        <v>8</v>
      </c>
      <c r="AX342" s="17"/>
    </row>
    <row r="343">
      <c r="A343" s="8">
        <v>342.0</v>
      </c>
      <c r="B343" s="9">
        <f>IFERROR(__xludf.DUMMYFUNCTION("""COMPUTED_VALUE"""),45833.4882721412)</f>
        <v>45833.48827</v>
      </c>
      <c r="C343" s="10" t="str">
        <f>IFERROR(__xludf.DUMMYFUNCTION("""COMPUTED_VALUE"""),"Shahid Iqbal")</f>
        <v>Shahid Iqbal</v>
      </c>
      <c r="D343" s="10" t="str">
        <f>IFERROR(__xludf.DUMMYFUNCTION("""COMPUTED_VALUE"""),"03013665049")</f>
        <v>03013665049</v>
      </c>
      <c r="E343" s="10" t="str">
        <f>IFERROR(__xludf.DUMMYFUNCTION("""COMPUTED_VALUE"""),"Jamia Masjid Gulzar Madina Dariya Khan Bhakar")</f>
        <v>Jamia Masjid Gulzar Madina Dariya Khan Bhakar</v>
      </c>
      <c r="F343" s="10" t="str">
        <f>IFERROR(__xludf.DUMMYFUNCTION("""COMPUTED_VALUE"""),"BJNGP")</f>
        <v>BJNGP</v>
      </c>
      <c r="G343" s="10" t="str">
        <f>IFERROR(__xludf.DUMMYFUNCTION("""COMPUTED_VALUE"""),"No")</f>
        <v>No</v>
      </c>
      <c r="H343" s="10"/>
      <c r="I343" s="10"/>
      <c r="J343" s="10"/>
      <c r="K343" s="10">
        <f>IFERROR(__xludf.DUMMYFUNCTION("""COMPUTED_VALUE"""),0.0)</f>
        <v>0</v>
      </c>
      <c r="L343" s="10">
        <f>IFERROR(__xludf.DUMMYFUNCTION("""COMPUTED_VALUE"""),0.0)</f>
        <v>0</v>
      </c>
      <c r="M343" s="10">
        <f>IFERROR(__xludf.DUMMYFUNCTION("""COMPUTED_VALUE"""),0.0)</f>
        <v>0</v>
      </c>
      <c r="N343" s="10">
        <f>IFERROR(__xludf.DUMMYFUNCTION("""COMPUTED_VALUE"""),0.0)</f>
        <v>0</v>
      </c>
      <c r="O343" s="10">
        <f>IFERROR(__xludf.DUMMYFUNCTION("""COMPUTED_VALUE"""),0.0)</f>
        <v>0</v>
      </c>
      <c r="P343" s="10">
        <f>IFERROR(__xludf.DUMMYFUNCTION("""COMPUTED_VALUE"""),0.0)</f>
        <v>0</v>
      </c>
      <c r="Q343" s="10" t="str">
        <f>IFERROR(__xludf.DUMMYFUNCTION("""COMPUTED_VALUE"""),"No")</f>
        <v>No</v>
      </c>
      <c r="R343" s="10" t="str">
        <f>IFERROR(__xludf.DUMMYFUNCTION("""COMPUTED_VALUE"""),"No")</f>
        <v>No</v>
      </c>
      <c r="S343" s="10" t="str">
        <f>IFERROR(__xludf.DUMMYFUNCTION("""COMPUTED_VALUE"""),"No")</f>
        <v>No</v>
      </c>
      <c r="T343" s="10">
        <f>IFERROR(__xludf.DUMMYFUNCTION("""COMPUTED_VALUE"""),0.0)</f>
        <v>0</v>
      </c>
      <c r="U343" s="10">
        <f>IFERROR(__xludf.DUMMYFUNCTION("""COMPUTED_VALUE"""),0.0)</f>
        <v>0</v>
      </c>
      <c r="V343" s="10" t="str">
        <f>IFERROR(__xludf.DUMMYFUNCTION("""COMPUTED_VALUE"""),"Qabar Ka azab aur naiki")</f>
        <v>Qabar Ka azab aur naiki</v>
      </c>
      <c r="W343" s="10" t="str">
        <f>IFERROR(__xludf.DUMMYFUNCTION("""COMPUTED_VALUE"""),"Qabar ka azab ")</f>
        <v>Qabar ka azab </v>
      </c>
      <c r="X343" s="10">
        <f>IFERROR(__xludf.DUMMYFUNCTION("""COMPUTED_VALUE"""),5.0)</f>
        <v>5</v>
      </c>
      <c r="Y343" s="10">
        <f>IFERROR(__xludf.DUMMYFUNCTION("""COMPUTED_VALUE"""),6.0)</f>
        <v>6</v>
      </c>
      <c r="Z343" s="10">
        <f>IFERROR(__xludf.DUMMYFUNCTION("""COMPUTED_VALUE"""),6.0)</f>
        <v>6</v>
      </c>
      <c r="AA343" s="10">
        <f>IFERROR(__xludf.DUMMYFUNCTION("""COMPUTED_VALUE"""),4.0)</f>
        <v>4</v>
      </c>
      <c r="AB343" s="10">
        <f>IFERROR(__xludf.DUMMYFUNCTION("""COMPUTED_VALUE"""),1.0)</f>
        <v>1</v>
      </c>
      <c r="AC343" s="10">
        <f>IFERROR(__xludf.DUMMYFUNCTION("""COMPUTED_VALUE"""),5.0)</f>
        <v>5</v>
      </c>
      <c r="AD343" s="10">
        <f>IFERROR(__xludf.DUMMYFUNCTION("""COMPUTED_VALUE"""),5.0)</f>
        <v>5</v>
      </c>
      <c r="AE343" s="10">
        <f>IFERROR(__xludf.DUMMYFUNCTION("""COMPUTED_VALUE"""),4.0)</f>
        <v>4</v>
      </c>
      <c r="AF343" s="10">
        <f>IFERROR(__xludf.DUMMYFUNCTION("""COMPUTED_VALUE"""),3.0)</f>
        <v>3</v>
      </c>
      <c r="AG343" s="10">
        <f>IFERROR(__xludf.DUMMYFUNCTION("""COMPUTED_VALUE"""),7.0)</f>
        <v>7</v>
      </c>
      <c r="AH343" s="10">
        <f>IFERROR(__xludf.DUMMYFUNCTION("""COMPUTED_VALUE"""),2.0)</f>
        <v>2</v>
      </c>
      <c r="AI343" s="10">
        <f>IFERROR(__xludf.DUMMYFUNCTION("""COMPUTED_VALUE"""),8.0)</f>
        <v>8</v>
      </c>
      <c r="AJ343" s="11" t="str">
        <f>IFERROR(__xludf.DUMMYFUNCTION("""COMPUTED_VALUE"""),"https://drive.google.com/open?id=13C_NdcCSkU4Cq4GWHViT1E0V4hNC_Otq")</f>
        <v>https://drive.google.com/open?id=13C_NdcCSkU4Cq4GWHViT1E0V4hNC_Otq</v>
      </c>
      <c r="AK343" s="12"/>
      <c r="AL343" s="12"/>
      <c r="AM343" s="12"/>
      <c r="AN343" s="12" t="str">
        <f>IFERROR(__xludf.DUMMYFUNCTION("""COMPUTED_VALUE"""),"2nd week")</f>
        <v>2nd week</v>
      </c>
      <c r="AO343" s="13">
        <v>3.0</v>
      </c>
      <c r="AX343" s="17"/>
    </row>
    <row r="344">
      <c r="A344" s="8">
        <v>343.0</v>
      </c>
      <c r="B344" s="9">
        <f>IFERROR(__xludf.DUMMYFUNCTION("""COMPUTED_VALUE"""),45834.12144505787)</f>
        <v>45834.12145</v>
      </c>
      <c r="C344" s="10" t="str">
        <f>IFERROR(__xludf.DUMMYFUNCTION("""COMPUTED_VALUE"""),"Asma Gul ")</f>
        <v>Asma Gul </v>
      </c>
      <c r="D344" s="10" t="str">
        <f>IFERROR(__xludf.DUMMYFUNCTION("""COMPUTED_VALUE"""),"03459308620")</f>
        <v>03459308620</v>
      </c>
      <c r="E344" s="10" t="str">
        <f>IFERROR(__xludf.DUMMYFUNCTION("""COMPUTED_VALUE"""),"Jamia Masjid Shah Hussain Gujrat ")</f>
        <v>Jamia Masjid Shah Hussain Gujrat </v>
      </c>
      <c r="F344" s="10" t="str">
        <f>IFERROR(__xludf.DUMMYFUNCTION("""COMPUTED_VALUE""")," ECKCL ")</f>
        <v> ECKCL </v>
      </c>
      <c r="G344" s="10" t="str">
        <f>IFERROR(__xludf.DUMMYFUNCTION("""COMPUTED_VALUE"""),"Yes")</f>
        <v>Yes</v>
      </c>
      <c r="H344" s="10">
        <f>IFERROR(__xludf.DUMMYFUNCTION("""COMPUTED_VALUE"""),5.0)</f>
        <v>5</v>
      </c>
      <c r="I344" s="10">
        <f>IFERROR(__xludf.DUMMYFUNCTION("""COMPUTED_VALUE"""),5.0)</f>
        <v>5</v>
      </c>
      <c r="J344" s="10">
        <f>IFERROR(__xludf.DUMMYFUNCTION("""COMPUTED_VALUE"""),5.0)</f>
        <v>5</v>
      </c>
      <c r="K344" s="10">
        <f>IFERROR(__xludf.DUMMYFUNCTION("""COMPUTED_VALUE"""),4.0)</f>
        <v>4</v>
      </c>
      <c r="L344" s="10">
        <f>IFERROR(__xludf.DUMMYFUNCTION("""COMPUTED_VALUE"""),5.0)</f>
        <v>5</v>
      </c>
      <c r="M344" s="10">
        <f>IFERROR(__xludf.DUMMYFUNCTION("""COMPUTED_VALUE"""),2.0)</f>
        <v>2</v>
      </c>
      <c r="N344" s="10">
        <f>IFERROR(__xludf.DUMMYFUNCTION("""COMPUTED_VALUE"""),2.0)</f>
        <v>2</v>
      </c>
      <c r="O344" s="10">
        <f>IFERROR(__xludf.DUMMYFUNCTION("""COMPUTED_VALUE"""),4.0)</f>
        <v>4</v>
      </c>
      <c r="P344" s="10">
        <f>IFERROR(__xludf.DUMMYFUNCTION("""COMPUTED_VALUE"""),3.0)</f>
        <v>3</v>
      </c>
      <c r="Q344" s="10" t="str">
        <f>IFERROR(__xludf.DUMMYFUNCTION("""COMPUTED_VALUE"""),"No")</f>
        <v>No</v>
      </c>
      <c r="R344" s="10" t="str">
        <f>IFERROR(__xludf.DUMMYFUNCTION("""COMPUTED_VALUE"""),"No")</f>
        <v>No</v>
      </c>
      <c r="S344" s="10" t="str">
        <f>IFERROR(__xludf.DUMMYFUNCTION("""COMPUTED_VALUE"""),"No")</f>
        <v>No</v>
      </c>
      <c r="T344" s="10">
        <f>IFERROR(__xludf.DUMMYFUNCTION("""COMPUTED_VALUE"""),2.0)</f>
        <v>2</v>
      </c>
      <c r="U344" s="10">
        <f>IFERROR(__xludf.DUMMYFUNCTION("""COMPUTED_VALUE"""),1.0)</f>
        <v>1</v>
      </c>
      <c r="V344" s="10" t="str">
        <f>IFERROR(__xludf.DUMMYFUNCTION("""COMPUTED_VALUE"""),"اللہ کی کبریائی، جہاد، شہادت اور پاکستان کی اسلامی حیثیت")</f>
        <v>اللہ کی کبریائی، جہاد، شہادت اور پاکستان کی اسلامی حیثیت</v>
      </c>
      <c r="W344" s="10" t="str">
        <f>IFERROR(__xludf.DUMMYFUNCTION("""COMPUTED_VALUE""")," تمام بیانات میں اللہ تعالیٰ کی کبریائی، اس کی یکتائی، جہاد اور شہادت کی فضیلت کو اجاگر کیا گیا ہے۔ مسلمانوں کو عاجزی، تقویٰ اور ایمان کے ساتھ زندگی گزارنے کی تلقین کی گئی ہے۔ افواجِ پاکستان اور ارضِ وطن کی عظمت، قربانی اور اسلامی بنیاد پر قیام کو سراہا گ"&amp;"یا ہے۔ عبادات، تکبیرات، اور نیک اعمال کی اہمیت پر زور دیتے ہوئے امت مسلمہ کو اللہ کی رضا کے حصول کی طرف بلایا گیا ہے۔")</f>
        <v> تمام بیانات میں اللہ تعالیٰ کی کبریائی، اس کی یکتائی، جہاد اور شہادت کی فضیلت کو اجاگر کیا گیا ہے۔ مسلمانوں کو عاجزی، تقویٰ اور ایمان کے ساتھ زندگی گزارنے کی تلقین کی گئی ہے۔ افواجِ پاکستان اور ارضِ وطن کی عظمت، قربانی اور اسلامی بنیاد پر قیام کو سراہا گیا ہے۔ عبادات، تکبیرات، اور نیک اعمال کی اہمیت پر زور دیتے ہوئے امت مسلمہ کو اللہ کی رضا کے حصول کی طرف بلایا گیا ہے۔</v>
      </c>
      <c r="X344" s="10">
        <f>IFERROR(__xludf.DUMMYFUNCTION("""COMPUTED_VALUE"""),10.0)</f>
        <v>10</v>
      </c>
      <c r="Y344" s="10">
        <f>IFERROR(__xludf.DUMMYFUNCTION("""COMPUTED_VALUE"""),7.0)</f>
        <v>7</v>
      </c>
      <c r="Z344" s="10">
        <f>IFERROR(__xludf.DUMMYFUNCTION("""COMPUTED_VALUE"""),6.0)</f>
        <v>6</v>
      </c>
      <c r="AA344" s="10">
        <f>IFERROR(__xludf.DUMMYFUNCTION("""COMPUTED_VALUE"""),8.0)</f>
        <v>8</v>
      </c>
      <c r="AB344" s="10">
        <f>IFERROR(__xludf.DUMMYFUNCTION("""COMPUTED_VALUE"""),7.0)</f>
        <v>7</v>
      </c>
      <c r="AC344" s="10">
        <f>IFERROR(__xludf.DUMMYFUNCTION("""COMPUTED_VALUE"""),3.0)</f>
        <v>3</v>
      </c>
      <c r="AD344" s="10">
        <f>IFERROR(__xludf.DUMMYFUNCTION("""COMPUTED_VALUE"""),5.0)</f>
        <v>5</v>
      </c>
      <c r="AE344" s="10">
        <f>IFERROR(__xludf.DUMMYFUNCTION("""COMPUTED_VALUE"""),5.0)</f>
        <v>5</v>
      </c>
      <c r="AF344" s="10">
        <f>IFERROR(__xludf.DUMMYFUNCTION("""COMPUTED_VALUE"""),2.0)</f>
        <v>2</v>
      </c>
      <c r="AG344" s="10">
        <f>IFERROR(__xludf.DUMMYFUNCTION("""COMPUTED_VALUE"""),8.0)</f>
        <v>8</v>
      </c>
      <c r="AH344" s="10">
        <f>IFERROR(__xludf.DUMMYFUNCTION("""COMPUTED_VALUE"""),2.0)</f>
        <v>2</v>
      </c>
      <c r="AI344" s="10">
        <f>IFERROR(__xludf.DUMMYFUNCTION("""COMPUTED_VALUE"""),8.0)</f>
        <v>8</v>
      </c>
      <c r="AJ344" s="11" t="str">
        <f>IFERROR(__xludf.DUMMYFUNCTION("""COMPUTED_VALUE"""),"https://drive.google.com/open?id=1AcWMg7iuRdYvFtLFnLwxIBAvaEsZjTQX")</f>
        <v>https://drive.google.com/open?id=1AcWMg7iuRdYvFtLFnLwxIBAvaEsZjTQX</v>
      </c>
      <c r="AK344" s="12"/>
      <c r="AL344" s="12" t="str">
        <f>IFERROR(__xludf.DUMMYFUNCTION("""COMPUTED_VALUE"""),"Yes")</f>
        <v>Yes</v>
      </c>
      <c r="AM344" s="15">
        <f>IFERROR(__xludf.DUMMYFUNCTION("""COMPUTED_VALUE"""),0.5)</f>
        <v>0.5</v>
      </c>
      <c r="AN344" s="12" t="str">
        <f>IFERROR(__xludf.DUMMYFUNCTION("""COMPUTED_VALUE"""),"5th week")</f>
        <v>5th week</v>
      </c>
      <c r="AO344" s="13" t="s">
        <v>8</v>
      </c>
      <c r="AX344" s="17"/>
    </row>
    <row r="345">
      <c r="A345" s="8">
        <v>344.0</v>
      </c>
      <c r="B345" s="9">
        <f>IFERROR(__xludf.DUMMYFUNCTION("""COMPUTED_VALUE"""),45834.40052456019)</f>
        <v>45834.40052</v>
      </c>
      <c r="C345" s="10" t="str">
        <f>IFERROR(__xludf.DUMMYFUNCTION("""COMPUTED_VALUE"""),"Asma Gul ")</f>
        <v>Asma Gul </v>
      </c>
      <c r="D345" s="10" t="str">
        <f>IFERROR(__xludf.DUMMYFUNCTION("""COMPUTED_VALUE"""),"03459308620")</f>
        <v>03459308620</v>
      </c>
      <c r="E345" s="10" t="str">
        <f>IFERROR(__xludf.DUMMYFUNCTION("""COMPUTED_VALUE"""),"Jamia Masjid afghan Jhelum ")</f>
        <v>Jamia Masjid afghan Jhelum </v>
      </c>
      <c r="F345" s="10" t="str">
        <f>IFERROR(__xludf.DUMMYFUNCTION("""COMPUTED_VALUE""")," UVNAI ")</f>
        <v> UVNAI </v>
      </c>
      <c r="G345" s="10" t="str">
        <f>IFERROR(__xludf.DUMMYFUNCTION("""COMPUTED_VALUE"""),"Yes")</f>
        <v>Yes</v>
      </c>
      <c r="H345" s="10">
        <f>IFERROR(__xludf.DUMMYFUNCTION("""COMPUTED_VALUE"""),5.0)</f>
        <v>5</v>
      </c>
      <c r="I345" s="10">
        <f>IFERROR(__xludf.DUMMYFUNCTION("""COMPUTED_VALUE"""),5.0)</f>
        <v>5</v>
      </c>
      <c r="J345" s="10">
        <f>IFERROR(__xludf.DUMMYFUNCTION("""COMPUTED_VALUE"""),5.0)</f>
        <v>5</v>
      </c>
      <c r="K345" s="10">
        <f>IFERROR(__xludf.DUMMYFUNCTION("""COMPUTED_VALUE"""),4.0)</f>
        <v>4</v>
      </c>
      <c r="L345" s="10">
        <f>IFERROR(__xludf.DUMMYFUNCTION("""COMPUTED_VALUE"""),4.0)</f>
        <v>4</v>
      </c>
      <c r="M345" s="10">
        <f>IFERROR(__xludf.DUMMYFUNCTION("""COMPUTED_VALUE"""),3.0)</f>
        <v>3</v>
      </c>
      <c r="N345" s="10">
        <f>IFERROR(__xludf.DUMMYFUNCTION("""COMPUTED_VALUE"""),3.0)</f>
        <v>3</v>
      </c>
      <c r="O345" s="10">
        <f>IFERROR(__xludf.DUMMYFUNCTION("""COMPUTED_VALUE"""),2.0)</f>
        <v>2</v>
      </c>
      <c r="P345" s="10">
        <f>IFERROR(__xludf.DUMMYFUNCTION("""COMPUTED_VALUE"""),3.0)</f>
        <v>3</v>
      </c>
      <c r="Q345" s="10" t="str">
        <f>IFERROR(__xludf.DUMMYFUNCTION("""COMPUTED_VALUE"""),"No")</f>
        <v>No</v>
      </c>
      <c r="R345" s="10" t="str">
        <f>IFERROR(__xludf.DUMMYFUNCTION("""COMPUTED_VALUE"""),"No")</f>
        <v>No</v>
      </c>
      <c r="S345" s="10" t="str">
        <f>IFERROR(__xludf.DUMMYFUNCTION("""COMPUTED_VALUE"""),"No")</f>
        <v>No</v>
      </c>
      <c r="T345" s="10">
        <f>IFERROR(__xludf.DUMMYFUNCTION("""COMPUTED_VALUE"""),6.0)</f>
        <v>6</v>
      </c>
      <c r="U345" s="10">
        <f>IFERROR(__xludf.DUMMYFUNCTION("""COMPUTED_VALUE"""),5.0)</f>
        <v>5</v>
      </c>
      <c r="V345" s="10" t="str">
        <f>IFERROR(__xludf.DUMMYFUNCTION("""COMPUTED_VALUE"""),"اللہ کی کبریائی، جہاد، شہادت اور پاکستان کی اسلامی حیثیت")</f>
        <v>اللہ کی کبریائی، جہاد، شہادت اور پاکستان کی اسلامی حیثیت</v>
      </c>
      <c r="W345" s="10" t="str">
        <f>IFERROR(__xludf.DUMMYFUNCTION("""COMPUTED_VALUE"""),"تمام بیانات میں اللہ تعالیٰ کی کبریائی، اس کی یکتائی، جہاد اور شہادت کی فضیلت کو اجاگر کیا گیا ہے۔ مسلمانوں کو عاجزی، تقویٰ اور ایمان کے ساتھ زندگی گزارنے کی تلقین کی گئی ہے۔ افواجِ پاکستان اور ارضِ وطن کی عظمت، قربانی اور اسلامی بنیاد پر قیام کو سراہا گی"&amp;"ا ہے۔ عبادات، تکبیرات، اور نیک اعمال کی اہمیت پر زور دیتے ہوئے امت مسلمہ کو اللہ کی رضا کے حصول کی طرف بلایا گیا ہے۔")</f>
        <v>تمام بیانات میں اللہ تعالیٰ کی کبریائی، اس کی یکتائی، جہاد اور شہادت کی فضیلت کو اجاگر کیا گیا ہے۔ مسلمانوں کو عاجزی، تقویٰ اور ایمان کے ساتھ زندگی گزارنے کی تلقین کی گئی ہے۔ افواجِ پاکستان اور ارضِ وطن کی عظمت، قربانی اور اسلامی بنیاد پر قیام کو سراہا گیا ہے۔ عبادات، تکبیرات، اور نیک اعمال کی اہمیت پر زور دیتے ہوئے امت مسلمہ کو اللہ کی رضا کے حصول کی طرف بلایا گیا ہے۔</v>
      </c>
      <c r="X345" s="10">
        <f>IFERROR(__xludf.DUMMYFUNCTION("""COMPUTED_VALUE"""),5.0)</f>
        <v>5</v>
      </c>
      <c r="Y345" s="10">
        <f>IFERROR(__xludf.DUMMYFUNCTION("""COMPUTED_VALUE"""),5.0)</f>
        <v>5</v>
      </c>
      <c r="Z345" s="10">
        <f>IFERROR(__xludf.DUMMYFUNCTION("""COMPUTED_VALUE"""),5.0)</f>
        <v>5</v>
      </c>
      <c r="AA345" s="10">
        <f>IFERROR(__xludf.DUMMYFUNCTION("""COMPUTED_VALUE"""),5.0)</f>
        <v>5</v>
      </c>
      <c r="AB345" s="10">
        <f>IFERROR(__xludf.DUMMYFUNCTION("""COMPUTED_VALUE"""),5.0)</f>
        <v>5</v>
      </c>
      <c r="AC345" s="10">
        <f>IFERROR(__xludf.DUMMYFUNCTION("""COMPUTED_VALUE"""),5.0)</f>
        <v>5</v>
      </c>
      <c r="AD345" s="10">
        <f>IFERROR(__xludf.DUMMYFUNCTION("""COMPUTED_VALUE"""),5.0)</f>
        <v>5</v>
      </c>
      <c r="AE345" s="10">
        <f>IFERROR(__xludf.DUMMYFUNCTION("""COMPUTED_VALUE"""),3.0)</f>
        <v>3</v>
      </c>
      <c r="AF345" s="10">
        <f>IFERROR(__xludf.DUMMYFUNCTION("""COMPUTED_VALUE"""),4.0)</f>
        <v>4</v>
      </c>
      <c r="AG345" s="10">
        <f>IFERROR(__xludf.DUMMYFUNCTION("""COMPUTED_VALUE"""),2.0)</f>
        <v>2</v>
      </c>
      <c r="AH345" s="10">
        <f>IFERROR(__xludf.DUMMYFUNCTION("""COMPUTED_VALUE"""),2.0)</f>
        <v>2</v>
      </c>
      <c r="AI345" s="10">
        <f>IFERROR(__xludf.DUMMYFUNCTION("""COMPUTED_VALUE"""),9.0)</f>
        <v>9</v>
      </c>
      <c r="AJ345" s="11" t="str">
        <f>IFERROR(__xludf.DUMMYFUNCTION("""COMPUTED_VALUE"""),"https://drive.google.com/open?id=1FcKFSyXiLJ90M5FRa2QI7IJSJ_lK-urg")</f>
        <v>https://drive.google.com/open?id=1FcKFSyXiLJ90M5FRa2QI7IJSJ_lK-urg</v>
      </c>
      <c r="AK345" s="12"/>
      <c r="AL345" s="12" t="str">
        <f>IFERROR(__xludf.DUMMYFUNCTION("""COMPUTED_VALUE"""),"Yes")</f>
        <v>Yes</v>
      </c>
      <c r="AM345" s="15">
        <f>IFERROR(__xludf.DUMMYFUNCTION("""COMPUTED_VALUE"""),0.5)</f>
        <v>0.5</v>
      </c>
      <c r="AN345" s="12" t="str">
        <f>IFERROR(__xludf.DUMMYFUNCTION("""COMPUTED_VALUE"""),"4th week")</f>
        <v>4th week</v>
      </c>
      <c r="AO345" s="13" t="s">
        <v>8</v>
      </c>
      <c r="AX345" s="17"/>
    </row>
    <row r="346">
      <c r="A346" s="8">
        <v>345.0</v>
      </c>
      <c r="B346" s="9">
        <f>IFERROR(__xludf.DUMMYFUNCTION("""COMPUTED_VALUE"""),45834.489513356486)</f>
        <v>45834.48951</v>
      </c>
      <c r="C346" s="10" t="str">
        <f>IFERROR(__xludf.DUMMYFUNCTION("""COMPUTED_VALUE"""),"Sumaia Hayat ")</f>
        <v>Sumaia Hayat </v>
      </c>
      <c r="D346" s="10" t="str">
        <f>IFERROR(__xludf.DUMMYFUNCTION("""COMPUTED_VALUE"""),"03260671819")</f>
        <v>03260671819</v>
      </c>
      <c r="E346" s="10" t="str">
        <f>IFERROR(__xludf.DUMMYFUNCTION("""COMPUTED_VALUE"""),"Jamia Masjid Chila Gah Sakhi Sarwar Dhoonikal")</f>
        <v>Jamia Masjid Chila Gah Sakhi Sarwar Dhoonikal</v>
      </c>
      <c r="F346" s="10" t="str">
        <f>IFERROR(__xludf.DUMMYFUNCTION("""COMPUTED_VALUE"""),"CVXRS")</f>
        <v>CVXRS</v>
      </c>
      <c r="G346" s="10" t="str">
        <f>IFERROR(__xludf.DUMMYFUNCTION("""COMPUTED_VALUE"""),"No")</f>
        <v>No</v>
      </c>
      <c r="H346" s="10"/>
      <c r="I346" s="10"/>
      <c r="J346" s="10"/>
      <c r="K346" s="10">
        <f>IFERROR(__xludf.DUMMYFUNCTION("""COMPUTED_VALUE"""),2.0)</f>
        <v>2</v>
      </c>
      <c r="L346" s="10">
        <f>IFERROR(__xludf.DUMMYFUNCTION("""COMPUTED_VALUE"""),0.0)</f>
        <v>0</v>
      </c>
      <c r="M346" s="10">
        <f>IFERROR(__xludf.DUMMYFUNCTION("""COMPUTED_VALUE"""),1.0)</f>
        <v>1</v>
      </c>
      <c r="N346" s="10">
        <f>IFERROR(__xludf.DUMMYFUNCTION("""COMPUTED_VALUE"""),0.0)</f>
        <v>0</v>
      </c>
      <c r="O346" s="10">
        <f>IFERROR(__xludf.DUMMYFUNCTION("""COMPUTED_VALUE"""),0.0)</f>
        <v>0</v>
      </c>
      <c r="P346" s="10">
        <f>IFERROR(__xludf.DUMMYFUNCTION("""COMPUTED_VALUE"""),0.0)</f>
        <v>0</v>
      </c>
      <c r="Q346" s="10" t="str">
        <f>IFERROR(__xludf.DUMMYFUNCTION("""COMPUTED_VALUE"""),"No")</f>
        <v>No</v>
      </c>
      <c r="R346" s="10" t="str">
        <f>IFERROR(__xludf.DUMMYFUNCTION("""COMPUTED_VALUE"""),"No")</f>
        <v>No</v>
      </c>
      <c r="S346" s="10" t="str">
        <f>IFERROR(__xludf.DUMMYFUNCTION("""COMPUTED_VALUE"""),"No")</f>
        <v>No</v>
      </c>
      <c r="T346" s="10">
        <f>IFERROR(__xludf.DUMMYFUNCTION("""COMPUTED_VALUE"""),0.0)</f>
        <v>0</v>
      </c>
      <c r="U346" s="10">
        <f>IFERROR(__xludf.DUMMYFUNCTION("""COMPUTED_VALUE"""),2.0)</f>
        <v>2</v>
      </c>
      <c r="V346" s="10" t="str">
        <f>IFERROR(__xludf.DUMMYFUNCTION("""COMPUTED_VALUE"""),"اللہ کی قدرت، ایمان کی پہچان، قیامت کی نشانیاں، تبلیغ، اور تقدیر پر ایمان۔
")</f>
        <v>اللہ کی قدرت، ایمان کی پہچان، قیامت کی نشانیاں، تبلیغ، اور تقدیر پر ایمان۔
</v>
      </c>
      <c r="W346" s="10" t="str">
        <f>IFERROR(__xludf.DUMMYFUNCTION("""COMPUTED_VALUE"""),"امام نے ایمان کی اصل پہچان، تقدیر پر یقین، اور نبی کریم ﷺ کی طرف سے بیان کردہ قیامت کی نشانیوں پر روشنی ڈالی۔ انہوں نے توبہ، تبلیغِ دین، اور نیکی کی دعوت کی اہمیت کو اُجاگر کیا، جبکہ سوشل میڈیا، فحاشی اور گانوں کے فتنوں پر تنقید کی۔
")</f>
        <v>امام نے ایمان کی اصل پہچان، تقدیر پر یقین، اور نبی کریم ﷺ کی طرف سے بیان کردہ قیامت کی نشانیوں پر روشنی ڈالی۔ انہوں نے توبہ، تبلیغِ دین، اور نیکی کی دعوت کی اہمیت کو اُجاگر کیا، جبکہ سوشل میڈیا، فحاشی اور گانوں کے فتنوں پر تنقید کی۔
</v>
      </c>
      <c r="X346" s="10">
        <f>IFERROR(__xludf.DUMMYFUNCTION("""COMPUTED_VALUE"""),9.0)</f>
        <v>9</v>
      </c>
      <c r="Y346" s="10">
        <f>IFERROR(__xludf.DUMMYFUNCTION("""COMPUTED_VALUE"""),3.0)</f>
        <v>3</v>
      </c>
      <c r="Z346" s="10">
        <f>IFERROR(__xludf.DUMMYFUNCTION("""COMPUTED_VALUE"""),5.0)</f>
        <v>5</v>
      </c>
      <c r="AA346" s="10">
        <f>IFERROR(__xludf.DUMMYFUNCTION("""COMPUTED_VALUE"""),10.0)</f>
        <v>10</v>
      </c>
      <c r="AB346" s="10">
        <f>IFERROR(__xludf.DUMMYFUNCTION("""COMPUTED_VALUE"""),6.0)</f>
        <v>6</v>
      </c>
      <c r="AC346" s="10">
        <f>IFERROR(__xludf.DUMMYFUNCTION("""COMPUTED_VALUE"""),4.0)</f>
        <v>4</v>
      </c>
      <c r="AD346" s="10">
        <f>IFERROR(__xludf.DUMMYFUNCTION("""COMPUTED_VALUE"""),2.0)</f>
        <v>2</v>
      </c>
      <c r="AE346" s="10">
        <f>IFERROR(__xludf.DUMMYFUNCTION("""COMPUTED_VALUE"""),1.0)</f>
        <v>1</v>
      </c>
      <c r="AF346" s="10">
        <f>IFERROR(__xludf.DUMMYFUNCTION("""COMPUTED_VALUE"""),9.0)</f>
        <v>9</v>
      </c>
      <c r="AG346" s="10">
        <f>IFERROR(__xludf.DUMMYFUNCTION("""COMPUTED_VALUE"""),4.0)</f>
        <v>4</v>
      </c>
      <c r="AH346" s="10">
        <f>IFERROR(__xludf.DUMMYFUNCTION("""COMPUTED_VALUE"""),3.0)</f>
        <v>3</v>
      </c>
      <c r="AI346" s="10">
        <f>IFERROR(__xludf.DUMMYFUNCTION("""COMPUTED_VALUE"""),7.0)</f>
        <v>7</v>
      </c>
      <c r="AJ346" s="11" t="str">
        <f>IFERROR(__xludf.DUMMYFUNCTION("""COMPUTED_VALUE"""),"https://drive.google.com/open?id=1rgoOJy7pVRaZ7J8VATxW0s5JKcxYaJ5n")</f>
        <v>https://drive.google.com/open?id=1rgoOJy7pVRaZ7J8VATxW0s5JKcxYaJ5n</v>
      </c>
      <c r="AK346" s="12" t="str">
        <f>IFERROR(__xludf.DUMMYFUNCTION("""COMPUTED_VALUE"""),"بیان مذہبی اعتبار سے مضبوط، نصیحت آموز اور فتنوں کے بارے میں آگاہی پر مبنی تھا، لیکن سماجی پہلو جیسے خواتین کے حقوق، تعلیم، یا ہمسائیوں کی بھلائی پر کوئی خاص زور نہیں تھا۔
")</f>
        <v>بیان مذہبی اعتبار سے مضبوط، نصیحت آموز اور فتنوں کے بارے میں آگاہی پر مبنی تھا، لیکن سماجی پہلو جیسے خواتین کے حقوق، تعلیم، یا ہمسائیوں کی بھلائی پر کوئی خاص زور نہیں تھا۔
</v>
      </c>
      <c r="AL346" s="12"/>
      <c r="AM346" s="12"/>
      <c r="AN346" s="12" t="str">
        <f>IFERROR(__xludf.DUMMYFUNCTION("""COMPUTED_VALUE"""),"1st week")</f>
        <v>1st week</v>
      </c>
      <c r="AO346" s="13">
        <v>1.0</v>
      </c>
      <c r="AX346" s="17"/>
    </row>
    <row r="347">
      <c r="A347" s="8">
        <v>346.0</v>
      </c>
      <c r="B347" s="9">
        <f>IFERROR(__xludf.DUMMYFUNCTION("""COMPUTED_VALUE"""),45834.51988319444)</f>
        <v>45834.51988</v>
      </c>
      <c r="C347" s="10" t="str">
        <f>IFERROR(__xludf.DUMMYFUNCTION("""COMPUTED_VALUE"""),"Asma Gul ")</f>
        <v>Asma Gul </v>
      </c>
      <c r="D347" s="10" t="str">
        <f>IFERROR(__xludf.DUMMYFUNCTION("""COMPUTED_VALUE"""),"03459308620")</f>
        <v>03459308620</v>
      </c>
      <c r="E347" s="10" t="str">
        <f>IFERROR(__xludf.DUMMYFUNCTION("""COMPUTED_VALUE"""),"Jamia Masjid Zia Muzam Abaad Kot Mumin ")</f>
        <v>Jamia Masjid Zia Muzam Abaad Kot Mumin </v>
      </c>
      <c r="F347" s="10" t="str">
        <f>IFERROR(__xludf.DUMMYFUNCTION("""COMPUTED_VALUE""")," UIODJ ")</f>
        <v> UIODJ </v>
      </c>
      <c r="G347" s="10" t="str">
        <f>IFERROR(__xludf.DUMMYFUNCTION("""COMPUTED_VALUE"""),"Yes")</f>
        <v>Yes</v>
      </c>
      <c r="H347" s="10">
        <f>IFERROR(__xludf.DUMMYFUNCTION("""COMPUTED_VALUE"""),5.0)</f>
        <v>5</v>
      </c>
      <c r="I347" s="10">
        <f>IFERROR(__xludf.DUMMYFUNCTION("""COMPUTED_VALUE"""),5.0)</f>
        <v>5</v>
      </c>
      <c r="J347" s="10">
        <f>IFERROR(__xludf.DUMMYFUNCTION("""COMPUTED_VALUE"""),6.0)</f>
        <v>6</v>
      </c>
      <c r="K347" s="10">
        <f>IFERROR(__xludf.DUMMYFUNCTION("""COMPUTED_VALUE"""),6.0)</f>
        <v>6</v>
      </c>
      <c r="L347" s="10">
        <f>IFERROR(__xludf.DUMMYFUNCTION("""COMPUTED_VALUE"""),6.0)</f>
        <v>6</v>
      </c>
      <c r="M347" s="10">
        <f>IFERROR(__xludf.DUMMYFUNCTION("""COMPUTED_VALUE"""),2.0)</f>
        <v>2</v>
      </c>
      <c r="N347" s="10">
        <f>IFERROR(__xludf.DUMMYFUNCTION("""COMPUTED_VALUE"""),5.0)</f>
        <v>5</v>
      </c>
      <c r="O347" s="10">
        <f>IFERROR(__xludf.DUMMYFUNCTION("""COMPUTED_VALUE"""),0.0)</f>
        <v>0</v>
      </c>
      <c r="P347" s="10">
        <f>IFERROR(__xludf.DUMMYFUNCTION("""COMPUTED_VALUE"""),0.0)</f>
        <v>0</v>
      </c>
      <c r="Q347" s="10" t="str">
        <f>IFERROR(__xludf.DUMMYFUNCTION("""COMPUTED_VALUE"""),"No")</f>
        <v>No</v>
      </c>
      <c r="R347" s="10" t="str">
        <f>IFERROR(__xludf.DUMMYFUNCTION("""COMPUTED_VALUE"""),"No")</f>
        <v>No</v>
      </c>
      <c r="S347" s="10" t="str">
        <f>IFERROR(__xludf.DUMMYFUNCTION("""COMPUTED_VALUE"""),"No")</f>
        <v>No</v>
      </c>
      <c r="T347" s="10">
        <f>IFERROR(__xludf.DUMMYFUNCTION("""COMPUTED_VALUE"""),5.0)</f>
        <v>5</v>
      </c>
      <c r="U347" s="10">
        <f>IFERROR(__xludf.DUMMYFUNCTION("""COMPUTED_VALUE"""),5.0)</f>
        <v>5</v>
      </c>
      <c r="V347" s="10" t="str">
        <f>IFERROR(__xludf.DUMMYFUNCTION("""COMPUTED_VALUE"""),"10 مئی کی فتح، پاکستان کی سلامتی اور شکر گزاری کا جذبہ")</f>
        <v>10 مئی کی فتح، پاکستان کی سلامتی اور شکر گزاری کا جذبہ</v>
      </c>
      <c r="W347" s="10" t="str">
        <f>IFERROR(__xludf.DUMMYFUNCTION("""COMPUTED_VALUE"""),"
اس پیغام میں 10 مئی کو پاکستان کی کامیابی اور اللہ کی طرف سے عطا کردہ سلامتی پر شکر ادا کیا گیا ہے۔ قوم نے بھرپور جذبے سے نماز ادا کی، شکر بجا لایا، اور اللہ تعالی سے دعا کی گئی کہ وہ پاکستان کو ہمیشہ سلامت رکھے اور پاک فوج کو اپنی مدد و نصرت عطا فرماتا "&amp;"رہے۔ یہ پیغام وطن سے محبت، دینی وابستگی اور قومی اتحاد کا مظہر ہے۔")</f>
        <v>
اس پیغام میں 10 مئی کو پاکستان کی کامیابی اور اللہ کی طرف سے عطا کردہ سلامتی پر شکر ادا کیا گیا ہے۔ قوم نے بھرپور جذبے سے نماز ادا کی، شکر بجا لایا، اور اللہ تعالی سے دعا کی گئی کہ وہ پاکستان کو ہمیشہ سلامت رکھے اور پاک فوج کو اپنی مدد و نصرت عطا فرماتا رہے۔ یہ پیغام وطن سے محبت، دینی وابستگی اور قومی اتحاد کا مظہر ہے۔</v>
      </c>
      <c r="X347" s="10">
        <f>IFERROR(__xludf.DUMMYFUNCTION("""COMPUTED_VALUE"""),7.0)</f>
        <v>7</v>
      </c>
      <c r="Y347" s="10">
        <f>IFERROR(__xludf.DUMMYFUNCTION("""COMPUTED_VALUE"""),6.0)</f>
        <v>6</v>
      </c>
      <c r="Z347" s="10">
        <f>IFERROR(__xludf.DUMMYFUNCTION("""COMPUTED_VALUE"""),6.0)</f>
        <v>6</v>
      </c>
      <c r="AA347" s="10">
        <f>IFERROR(__xludf.DUMMYFUNCTION("""COMPUTED_VALUE"""),6.0)</f>
        <v>6</v>
      </c>
      <c r="AB347" s="10">
        <f>IFERROR(__xludf.DUMMYFUNCTION("""COMPUTED_VALUE"""),6.0)</f>
        <v>6</v>
      </c>
      <c r="AC347" s="10">
        <f>IFERROR(__xludf.DUMMYFUNCTION("""COMPUTED_VALUE"""),6.0)</f>
        <v>6</v>
      </c>
      <c r="AD347" s="10">
        <f>IFERROR(__xludf.DUMMYFUNCTION("""COMPUTED_VALUE"""),6.0)</f>
        <v>6</v>
      </c>
      <c r="AE347" s="10">
        <f>IFERROR(__xludf.DUMMYFUNCTION("""COMPUTED_VALUE"""),6.0)</f>
        <v>6</v>
      </c>
      <c r="AF347" s="10">
        <f>IFERROR(__xludf.DUMMYFUNCTION("""COMPUTED_VALUE"""),6.0)</f>
        <v>6</v>
      </c>
      <c r="AG347" s="10">
        <f>IFERROR(__xludf.DUMMYFUNCTION("""COMPUTED_VALUE"""),6.0)</f>
        <v>6</v>
      </c>
      <c r="AH347" s="10">
        <f>IFERROR(__xludf.DUMMYFUNCTION("""COMPUTED_VALUE"""),6.0)</f>
        <v>6</v>
      </c>
      <c r="AI347" s="10">
        <f>IFERROR(__xludf.DUMMYFUNCTION("""COMPUTED_VALUE"""),6.0)</f>
        <v>6</v>
      </c>
      <c r="AJ347" s="11" t="str">
        <f>IFERROR(__xludf.DUMMYFUNCTION("""COMPUTED_VALUE"""),"https://drive.google.com/open?id=1KnI_AITGzMB7K7fD5b1D6ihgcKd2HFcY")</f>
        <v>https://drive.google.com/open?id=1KnI_AITGzMB7K7fD5b1D6ihgcKd2HFcY</v>
      </c>
      <c r="AK347" s="12"/>
      <c r="AL347" s="12" t="str">
        <f>IFERROR(__xludf.DUMMYFUNCTION("""COMPUTED_VALUE"""),"Yes")</f>
        <v>Yes</v>
      </c>
      <c r="AM347" s="15">
        <f>IFERROR(__xludf.DUMMYFUNCTION("""COMPUTED_VALUE"""),0.5)</f>
        <v>0.5</v>
      </c>
      <c r="AN347" s="12" t="str">
        <f>IFERROR(__xludf.DUMMYFUNCTION("""COMPUTED_VALUE"""),"3rd week")</f>
        <v>3rd week</v>
      </c>
      <c r="AO347" s="13" t="s">
        <v>8</v>
      </c>
      <c r="AX347" s="17"/>
    </row>
    <row r="348">
      <c r="A348" s="8">
        <v>347.0</v>
      </c>
      <c r="B348" s="9">
        <f>IFERROR(__xludf.DUMMYFUNCTION("""COMPUTED_VALUE"""),45834.53633638889)</f>
        <v>45834.53634</v>
      </c>
      <c r="C348" s="10" t="str">
        <f>IFERROR(__xludf.DUMMYFUNCTION("""COMPUTED_VALUE"""),"Sumaia Hayat ")</f>
        <v>Sumaia Hayat </v>
      </c>
      <c r="D348" s="10" t="str">
        <f>IFERROR(__xludf.DUMMYFUNCTION("""COMPUTED_VALUE"""),"03260671819")</f>
        <v>03260671819</v>
      </c>
      <c r="E348" s="10" t="str">
        <f>IFERROR(__xludf.DUMMYFUNCTION("""COMPUTED_VALUE"""),"Jamia Masjid Mandi Bhaludin")</f>
        <v>Jamia Masjid Mandi Bhaludin</v>
      </c>
      <c r="F348" s="10" t="str">
        <f>IFERROR(__xludf.DUMMYFUNCTION("""COMPUTED_VALUE"""),"IPMEE")</f>
        <v>IPMEE</v>
      </c>
      <c r="G348" s="10" t="str">
        <f>IFERROR(__xludf.DUMMYFUNCTION("""COMPUTED_VALUE"""),"No")</f>
        <v>No</v>
      </c>
      <c r="H348" s="10"/>
      <c r="I348" s="10"/>
      <c r="J348" s="10"/>
      <c r="K348" s="10">
        <f>IFERROR(__xludf.DUMMYFUNCTION("""COMPUTED_VALUE"""),1.0)</f>
        <v>1</v>
      </c>
      <c r="L348" s="10">
        <f>IFERROR(__xludf.DUMMYFUNCTION("""COMPUTED_VALUE"""),1.0)</f>
        <v>1</v>
      </c>
      <c r="M348" s="10">
        <f>IFERROR(__xludf.DUMMYFUNCTION("""COMPUTED_VALUE"""),1.0)</f>
        <v>1</v>
      </c>
      <c r="N348" s="10">
        <f>IFERROR(__xludf.DUMMYFUNCTION("""COMPUTED_VALUE"""),1.0)</f>
        <v>1</v>
      </c>
      <c r="O348" s="10">
        <f>IFERROR(__xludf.DUMMYFUNCTION("""COMPUTED_VALUE"""),0.0)</f>
        <v>0</v>
      </c>
      <c r="P348" s="10">
        <f>IFERROR(__xludf.DUMMYFUNCTION("""COMPUTED_VALUE"""),0.0)</f>
        <v>0</v>
      </c>
      <c r="Q348" s="10" t="str">
        <f>IFERROR(__xludf.DUMMYFUNCTION("""COMPUTED_VALUE"""),"No")</f>
        <v>No</v>
      </c>
      <c r="R348" s="10" t="str">
        <f>IFERROR(__xludf.DUMMYFUNCTION("""COMPUTED_VALUE"""),"No")</f>
        <v>No</v>
      </c>
      <c r="S348" s="10" t="str">
        <f>IFERROR(__xludf.DUMMYFUNCTION("""COMPUTED_VALUE"""),"No")</f>
        <v>No</v>
      </c>
      <c r="T348" s="10">
        <f>IFERROR(__xludf.DUMMYFUNCTION("""COMPUTED_VALUE"""),0.0)</f>
        <v>0</v>
      </c>
      <c r="U348" s="10">
        <f>IFERROR(__xludf.DUMMYFUNCTION("""COMPUTED_VALUE"""),0.0)</f>
        <v>0</v>
      </c>
      <c r="V348" s="10" t="str">
        <f>IFERROR(__xludf.DUMMYFUNCTION("""COMPUTED_VALUE"""),"دو قومی نظریہ، وحدتِ امت، تقویٰ اور اسلامی تاریخ سے سبق
")</f>
        <v>دو قومی نظریہ، وحدتِ امت، تقویٰ اور اسلامی تاریخ سے سبق
</v>
      </c>
      <c r="W348" s="10" t="str">
        <f>IFERROR(__xludf.DUMMYFUNCTION("""COMPUTED_VALUE"""),"امام نے بیان میں دو قومی نظریے کی اہمیت، اسلامی وحدت کی ضرورت اور تقویٰ کے تقاضوں پر زور دیا۔ انہوں نے مدینہ کی اسلامی ریاست، یہودیوں کی سازشوں اور نبی کریم ﷺ کی قیادت سے اخذ کردہ وحدت کے اسباق پر روشنی ڈالی۔")</f>
        <v>امام نے بیان میں دو قومی نظریے کی اہمیت، اسلامی وحدت کی ضرورت اور تقویٰ کے تقاضوں پر زور دیا۔ انہوں نے مدینہ کی اسلامی ریاست، یہودیوں کی سازشوں اور نبی کریم ﷺ کی قیادت سے اخذ کردہ وحدت کے اسباق پر روشنی ڈالی۔</v>
      </c>
      <c r="X348" s="10">
        <f>IFERROR(__xludf.DUMMYFUNCTION("""COMPUTED_VALUE"""),7.0)</f>
        <v>7</v>
      </c>
      <c r="Y348" s="10">
        <f>IFERROR(__xludf.DUMMYFUNCTION("""COMPUTED_VALUE"""),4.0)</f>
        <v>4</v>
      </c>
      <c r="Z348" s="10">
        <f>IFERROR(__xludf.DUMMYFUNCTION("""COMPUTED_VALUE"""),5.0)</f>
        <v>5</v>
      </c>
      <c r="AA348" s="10">
        <f>IFERROR(__xludf.DUMMYFUNCTION("""COMPUTED_VALUE"""),9.0)</f>
        <v>9</v>
      </c>
      <c r="AB348" s="10">
        <f>IFERROR(__xludf.DUMMYFUNCTION("""COMPUTED_VALUE"""),9.0)</f>
        <v>9</v>
      </c>
      <c r="AC348" s="10">
        <f>IFERROR(__xludf.DUMMYFUNCTION("""COMPUTED_VALUE"""),6.0)</f>
        <v>6</v>
      </c>
      <c r="AD348" s="10">
        <f>IFERROR(__xludf.DUMMYFUNCTION("""COMPUTED_VALUE"""),1.0)</f>
        <v>1</v>
      </c>
      <c r="AE348" s="10">
        <f>IFERROR(__xludf.DUMMYFUNCTION("""COMPUTED_VALUE"""),7.0)</f>
        <v>7</v>
      </c>
      <c r="AF348" s="10">
        <f>IFERROR(__xludf.DUMMYFUNCTION("""COMPUTED_VALUE"""),8.0)</f>
        <v>8</v>
      </c>
      <c r="AG348" s="10">
        <f>IFERROR(__xludf.DUMMYFUNCTION("""COMPUTED_VALUE"""),6.0)</f>
        <v>6</v>
      </c>
      <c r="AH348" s="10">
        <f>IFERROR(__xludf.DUMMYFUNCTION("""COMPUTED_VALUE"""),3.0)</f>
        <v>3</v>
      </c>
      <c r="AI348" s="10">
        <f>IFERROR(__xludf.DUMMYFUNCTION("""COMPUTED_VALUE"""),8.0)</f>
        <v>8</v>
      </c>
      <c r="AJ348" s="11" t="str">
        <f>IFERROR(__xludf.DUMMYFUNCTION("""COMPUTED_VALUE"""),"https://drive.google.com/open?id=1FqdcSlzs92PvCGWv9jftYxKXb0mZNSP1")</f>
        <v>https://drive.google.com/open?id=1FqdcSlzs92PvCGWv9jftYxKXb0mZNSP1</v>
      </c>
      <c r="AK348" s="12" t="str">
        <f>IFERROR(__xludf.DUMMYFUNCTION("""COMPUTED_VALUE"""),"امام نے اپنی گفتگو کو قرآنی آیات، سیرت النبی ﷺ، تاریخی واقعات اور موجودہ امت کے مسائل سے مربوط رکھا۔ بعض سماجی پہلو جیسے عورتوں کے حقوق، تعلیم یا صفائی کا ذکر محدود یا ناپید تھا۔ اگر یہ پہلو شامل کیے جاتے تو خطبہ زیادہ جامع اور عصر حاضر کے تقاضوں سے ہم آہ"&amp;"نگ ہو سکتا تھا۔
")</f>
        <v>امام نے اپنی گفتگو کو قرآنی آیات، سیرت النبی ﷺ، تاریخی واقعات اور موجودہ امت کے مسائل سے مربوط رکھا۔ بعض سماجی پہلو جیسے عورتوں کے حقوق، تعلیم یا صفائی کا ذکر محدود یا ناپید تھا۔ اگر یہ پہلو شامل کیے جاتے تو خطبہ زیادہ جامع اور عصر حاضر کے تقاضوں سے ہم آہنگ ہو سکتا تھا۔
</v>
      </c>
      <c r="AL348" s="12"/>
      <c r="AM348" s="12"/>
      <c r="AN348" s="12" t="str">
        <f>IFERROR(__xludf.DUMMYFUNCTION("""COMPUTED_VALUE"""),"1st week")</f>
        <v>1st week</v>
      </c>
      <c r="AO348" s="13">
        <v>1.0</v>
      </c>
      <c r="AX348" s="17"/>
    </row>
    <row r="349">
      <c r="B349" s="9">
        <f>IFERROR(__xludf.DUMMYFUNCTION("""COMPUTED_VALUE"""),45835.34381872685)</f>
        <v>45835.34382</v>
      </c>
      <c r="C349" s="10" t="str">
        <f>IFERROR(__xludf.DUMMYFUNCTION("""COMPUTED_VALUE"""),"Sumaia Hayat ")</f>
        <v>Sumaia Hayat </v>
      </c>
      <c r="D349" s="10" t="str">
        <f>IFERROR(__xludf.DUMMYFUNCTION("""COMPUTED_VALUE"""),"03260671819")</f>
        <v>03260671819</v>
      </c>
      <c r="E349" s="10" t="str">
        <f>IFERROR(__xludf.DUMMYFUNCTION("""COMPUTED_VALUE"""),"Jamia Masjid Chila Gah Sakhi Sarwar Dhoonikal")</f>
        <v>Jamia Masjid Chila Gah Sakhi Sarwar Dhoonikal</v>
      </c>
      <c r="F349" s="10" t="str">
        <f>IFERROR(__xludf.DUMMYFUNCTION("""COMPUTED_VALUE"""),"CVXRS")</f>
        <v>CVXRS</v>
      </c>
      <c r="G349" s="10" t="str">
        <f>IFERROR(__xludf.DUMMYFUNCTION("""COMPUTED_VALUE"""),"No")</f>
        <v>No</v>
      </c>
      <c r="H349" s="10"/>
      <c r="I349" s="10"/>
      <c r="J349" s="10"/>
      <c r="K349" s="10">
        <f>IFERROR(__xludf.DUMMYFUNCTION("""COMPUTED_VALUE"""),3.0)</f>
        <v>3</v>
      </c>
      <c r="L349" s="10">
        <f>IFERROR(__xludf.DUMMYFUNCTION("""COMPUTED_VALUE"""),1.0)</f>
        <v>1</v>
      </c>
      <c r="M349" s="10">
        <f>IFERROR(__xludf.DUMMYFUNCTION("""COMPUTED_VALUE"""),2.0)</f>
        <v>2</v>
      </c>
      <c r="N349" s="10">
        <f>IFERROR(__xludf.DUMMYFUNCTION("""COMPUTED_VALUE"""),1.0)</f>
        <v>1</v>
      </c>
      <c r="O349" s="10">
        <f>IFERROR(__xludf.DUMMYFUNCTION("""COMPUTED_VALUE"""),0.0)</f>
        <v>0</v>
      </c>
      <c r="P349" s="10">
        <f>IFERROR(__xludf.DUMMYFUNCTION("""COMPUTED_VALUE"""),0.0)</f>
        <v>0</v>
      </c>
      <c r="Q349" s="10" t="str">
        <f>IFERROR(__xludf.DUMMYFUNCTION("""COMPUTED_VALUE"""),"No")</f>
        <v>No</v>
      </c>
      <c r="R349" s="10" t="str">
        <f>IFERROR(__xludf.DUMMYFUNCTION("""COMPUTED_VALUE"""),"No")</f>
        <v>No</v>
      </c>
      <c r="S349" s="10" t="str">
        <f>IFERROR(__xludf.DUMMYFUNCTION("""COMPUTED_VALUE"""),"No")</f>
        <v>No</v>
      </c>
      <c r="T349" s="10">
        <f>IFERROR(__xludf.DUMMYFUNCTION("""COMPUTED_VALUE"""),0.0)</f>
        <v>0</v>
      </c>
      <c r="U349" s="10">
        <f>IFERROR(__xludf.DUMMYFUNCTION("""COMPUTED_VALUE"""),0.0)</f>
        <v>0</v>
      </c>
      <c r="V349" s="10" t="str">
        <f>IFERROR(__xludf.DUMMYFUNCTION("""COMPUTED_VALUE"""),"ظل قعدہ کی فضیلت، روزے، عبادات، اور حرمت والے مہینوں کی حقیقت۔
")</f>
        <v>ظل قعدہ کی فضیلت، روزے، عبادات، اور حرمت والے مہینوں کی حقیقت۔
</v>
      </c>
      <c r="W349" s="10" t="str">
        <f>IFERROR(__xludf.DUMMYFUNCTION("""COMPUTED_VALUE"""),"امام نے ظل قعدہ کی روحانی اہمیت، روزے رکھنے کے فضائل، اور اللہ کی نعمتوں کی قدر پر زور دیا۔
ساتھ ہی محرمات مہینوں کے بارے میں غلط فہمیوں کو دور کیا اور عبادات کی ترغیب دی۔
")</f>
        <v>امام نے ظل قعدہ کی روحانی اہمیت، روزے رکھنے کے فضائل، اور اللہ کی نعمتوں کی قدر پر زور دیا۔
ساتھ ہی محرمات مہینوں کے بارے میں غلط فہمیوں کو دور کیا اور عبادات کی ترغیب دی۔
</v>
      </c>
      <c r="X349" s="10">
        <f>IFERROR(__xludf.DUMMYFUNCTION("""COMPUTED_VALUE"""),9.0)</f>
        <v>9</v>
      </c>
      <c r="Y349" s="10">
        <f>IFERROR(__xludf.DUMMYFUNCTION("""COMPUTED_VALUE"""),3.0)</f>
        <v>3</v>
      </c>
      <c r="Z349" s="10">
        <f>IFERROR(__xludf.DUMMYFUNCTION("""COMPUTED_VALUE"""),4.0)</f>
        <v>4</v>
      </c>
      <c r="AA349" s="10">
        <f>IFERROR(__xludf.DUMMYFUNCTION("""COMPUTED_VALUE"""),10.0)</f>
        <v>10</v>
      </c>
      <c r="AB349" s="10">
        <f>IFERROR(__xludf.DUMMYFUNCTION("""COMPUTED_VALUE"""),7.0)</f>
        <v>7</v>
      </c>
      <c r="AC349" s="10">
        <f>IFERROR(__xludf.DUMMYFUNCTION("""COMPUTED_VALUE"""),0.0)</f>
        <v>0</v>
      </c>
      <c r="AD349" s="10">
        <f>IFERROR(__xludf.DUMMYFUNCTION("""COMPUTED_VALUE"""),1.0)</f>
        <v>1</v>
      </c>
      <c r="AE349" s="10">
        <f>IFERROR(__xludf.DUMMYFUNCTION("""COMPUTED_VALUE"""),0.0)</f>
        <v>0</v>
      </c>
      <c r="AF349" s="10">
        <f>IFERROR(__xludf.DUMMYFUNCTION("""COMPUTED_VALUE"""),8.0)</f>
        <v>8</v>
      </c>
      <c r="AG349" s="10">
        <f>IFERROR(__xludf.DUMMYFUNCTION("""COMPUTED_VALUE"""),8.0)</f>
        <v>8</v>
      </c>
      <c r="AH349" s="10">
        <f>IFERROR(__xludf.DUMMYFUNCTION("""COMPUTED_VALUE"""),0.0)</f>
        <v>0</v>
      </c>
      <c r="AI349" s="10">
        <f>IFERROR(__xludf.DUMMYFUNCTION("""COMPUTED_VALUE"""),8.0)</f>
        <v>8</v>
      </c>
      <c r="AJ349" s="11" t="str">
        <f>IFERROR(__xludf.DUMMYFUNCTION("""COMPUTED_VALUE"""),"https://drive.google.com/open?id=1P_hU_6O5eWxS4Hm_pX5uBJo__eyGBVtP")</f>
        <v>https://drive.google.com/open?id=1P_hU_6O5eWxS4Hm_pX5uBJo__eyGBVtP</v>
      </c>
      <c r="AK349" s="12" t="str">
        <f>IFERROR(__xludf.DUMMYFUNCTION("""COMPUTED_VALUE"""),"اگر امام معاشرتی حقوق، عورتوں کی تعلیم، اور عملی اصلاحات پر بھی بات کرتے تو بیان مزید متوازن اور جامع ہو جاتا۔")</f>
        <v>اگر امام معاشرتی حقوق، عورتوں کی تعلیم، اور عملی اصلاحات پر بھی بات کرتے تو بیان مزید متوازن اور جامع ہو جاتا۔</v>
      </c>
      <c r="AL349" s="12"/>
      <c r="AM349" s="12"/>
      <c r="AN349" s="12" t="str">
        <f>IFERROR(__xludf.DUMMYFUNCTION("""COMPUTED_VALUE"""),"2nd week")</f>
        <v>2nd week</v>
      </c>
      <c r="AO349" s="13" t="s">
        <v>9</v>
      </c>
      <c r="AX349" s="17"/>
    </row>
    <row r="350">
      <c r="B350" s="9">
        <f>IFERROR(__xludf.DUMMYFUNCTION("""COMPUTED_VALUE"""),45835.442397210645)</f>
        <v>45835.4424</v>
      </c>
      <c r="C350" s="10" t="str">
        <f>IFERROR(__xludf.DUMMYFUNCTION("""COMPUTED_VALUE"""),"Sumaia Hayat ")</f>
        <v>Sumaia Hayat </v>
      </c>
      <c r="D350" s="10" t="str">
        <f>IFERROR(__xludf.DUMMYFUNCTION("""COMPUTED_VALUE"""),"03260671819")</f>
        <v>03260671819</v>
      </c>
      <c r="E350" s="10" t="str">
        <f>IFERROR(__xludf.DUMMYFUNCTION("""COMPUTED_VALUE"""),"Jamia Masjid Ghosia Masti Gate Lahore")</f>
        <v>Jamia Masjid Ghosia Masti Gate Lahore</v>
      </c>
      <c r="F350" s="10" t="str">
        <f>IFERROR(__xludf.DUMMYFUNCTION("""COMPUTED_VALUE"""),"xuynq")</f>
        <v>xuynq</v>
      </c>
      <c r="G350" s="10" t="str">
        <f>IFERROR(__xludf.DUMMYFUNCTION("""COMPUTED_VALUE"""),"No")</f>
        <v>No</v>
      </c>
      <c r="H350" s="10"/>
      <c r="I350" s="10"/>
      <c r="J350" s="10"/>
      <c r="K350" s="10">
        <f>IFERROR(__xludf.DUMMYFUNCTION("""COMPUTED_VALUE"""),1.0)</f>
        <v>1</v>
      </c>
      <c r="L350" s="10">
        <f>IFERROR(__xludf.DUMMYFUNCTION("""COMPUTED_VALUE"""),0.0)</f>
        <v>0</v>
      </c>
      <c r="M350" s="10">
        <f>IFERROR(__xludf.DUMMYFUNCTION("""COMPUTED_VALUE"""),0.0)</f>
        <v>0</v>
      </c>
      <c r="N350" s="10">
        <f>IFERROR(__xludf.DUMMYFUNCTION("""COMPUTED_VALUE"""),0.0)</f>
        <v>0</v>
      </c>
      <c r="O350" s="10">
        <f>IFERROR(__xludf.DUMMYFUNCTION("""COMPUTED_VALUE"""),0.0)</f>
        <v>0</v>
      </c>
      <c r="P350" s="10">
        <f>IFERROR(__xludf.DUMMYFUNCTION("""COMPUTED_VALUE"""),0.0)</f>
        <v>0</v>
      </c>
      <c r="Q350" s="10" t="str">
        <f>IFERROR(__xludf.DUMMYFUNCTION("""COMPUTED_VALUE"""),"No")</f>
        <v>No</v>
      </c>
      <c r="R350" s="10" t="str">
        <f>IFERROR(__xludf.DUMMYFUNCTION("""COMPUTED_VALUE"""),"No")</f>
        <v>No</v>
      </c>
      <c r="S350" s="10" t="str">
        <f>IFERROR(__xludf.DUMMYFUNCTION("""COMPUTED_VALUE"""),"No")</f>
        <v>No</v>
      </c>
      <c r="T350" s="10">
        <f>IFERROR(__xludf.DUMMYFUNCTION("""COMPUTED_VALUE"""),0.0)</f>
        <v>0</v>
      </c>
      <c r="U350" s="10">
        <f>IFERROR(__xludf.DUMMYFUNCTION("""COMPUTED_VALUE"""),0.0)</f>
        <v>0</v>
      </c>
      <c r="V350" s="10" t="str">
        <f>IFERROR(__xludf.DUMMYFUNCTION("""COMPUTED_VALUE"""),"بیان کا موضوع تھا: یہود و نصاریٰ کی تاریخ سے سبق، امتِ مسلمہ کی غفلت اور بیداری کی ضرورت۔
")</f>
        <v>بیان کا موضوع تھا: یہود و نصاریٰ کی تاریخ سے سبق، امتِ مسلمہ کی غفلت اور بیداری کی ضرورت۔
</v>
      </c>
      <c r="W350" s="10" t="str">
        <f>IFERROR(__xludf.DUMMYFUNCTION("""COMPUTED_VALUE"""),"امام نے یہود و نصاریٰ کی نافرمانیوں کو قرآن کی روشنی میں بیان کیا اور امتِ مسلمہ کو اسی راستے سے بچنے کی تلقین کی۔
انہوں نے ایمان، تقویٰ، جدوجہد، اتحاد اور اللہ کی مدد کو حاصل کرنے کی ترغیب دی۔")</f>
        <v>امام نے یہود و نصاریٰ کی نافرمانیوں کو قرآن کی روشنی میں بیان کیا اور امتِ مسلمہ کو اسی راستے سے بچنے کی تلقین کی۔
انہوں نے ایمان، تقویٰ، جدوجہد، اتحاد اور اللہ کی مدد کو حاصل کرنے کی ترغیب دی۔</v>
      </c>
      <c r="X350" s="10">
        <f>IFERROR(__xludf.DUMMYFUNCTION("""COMPUTED_VALUE"""),7.0)</f>
        <v>7</v>
      </c>
      <c r="Y350" s="10">
        <f>IFERROR(__xludf.DUMMYFUNCTION("""COMPUTED_VALUE"""),3.0)</f>
        <v>3</v>
      </c>
      <c r="Z350" s="10">
        <f>IFERROR(__xludf.DUMMYFUNCTION("""COMPUTED_VALUE"""),4.0)</f>
        <v>4</v>
      </c>
      <c r="AA350" s="10">
        <f>IFERROR(__xludf.DUMMYFUNCTION("""COMPUTED_VALUE"""),9.0)</f>
        <v>9</v>
      </c>
      <c r="AB350" s="10">
        <f>IFERROR(__xludf.DUMMYFUNCTION("""COMPUTED_VALUE"""),8.0)</f>
        <v>8</v>
      </c>
      <c r="AC350" s="10">
        <f>IFERROR(__xludf.DUMMYFUNCTION("""COMPUTED_VALUE"""),6.0)</f>
        <v>6</v>
      </c>
      <c r="AD350" s="10">
        <f>IFERROR(__xludf.DUMMYFUNCTION("""COMPUTED_VALUE"""),1.0)</f>
        <v>1</v>
      </c>
      <c r="AE350" s="10">
        <f>IFERROR(__xludf.DUMMYFUNCTION("""COMPUTED_VALUE"""),1.0)</f>
        <v>1</v>
      </c>
      <c r="AF350" s="10">
        <f>IFERROR(__xludf.DUMMYFUNCTION("""COMPUTED_VALUE"""),8.0)</f>
        <v>8</v>
      </c>
      <c r="AG350" s="10">
        <f>IFERROR(__xludf.DUMMYFUNCTION("""COMPUTED_VALUE"""),3.0)</f>
        <v>3</v>
      </c>
      <c r="AH350" s="10">
        <f>IFERROR(__xludf.DUMMYFUNCTION("""COMPUTED_VALUE"""),2.0)</f>
        <v>2</v>
      </c>
      <c r="AI350" s="10">
        <f>IFERROR(__xludf.DUMMYFUNCTION("""COMPUTED_VALUE"""),8.0)</f>
        <v>8</v>
      </c>
      <c r="AJ350" s="11" t="str">
        <f>IFERROR(__xludf.DUMMYFUNCTION("""COMPUTED_VALUE"""),"https://drive.google.com/open?id=1uGf9frUBOKdRbltgbyxq4taLTrIgCRXz")</f>
        <v>https://drive.google.com/open?id=1uGf9frUBOKdRbltgbyxq4taLTrIgCRXz</v>
      </c>
      <c r="AK350" s="12" t="str">
        <f>IFERROR(__xludf.DUMMYFUNCTION("""COMPUTED_VALUE"""),"بیان مذہبی، فکری اور اصلاحی اعتبار سے مضبوط تھا، مگر اگر اس میں خواتین، پڑوسی، صفائی، اور معاشرتی پہلوؤں پر کچھ متوازن روشنی ڈالی جاتی تو یہ مزید ہمہ جہت، عملی اور معاشرتی سطح پر مؤثر ہو سکتا تھا۔
")</f>
        <v>بیان مذہبی، فکری اور اصلاحی اعتبار سے مضبوط تھا، مگر اگر اس میں خواتین، پڑوسی، صفائی، اور معاشرتی پہلوؤں پر کچھ متوازن روشنی ڈالی جاتی تو یہ مزید ہمہ جہت، عملی اور معاشرتی سطح پر مؤثر ہو سکتا تھا۔
</v>
      </c>
      <c r="AL350" s="12"/>
      <c r="AM350" s="12"/>
      <c r="AN350" s="12" t="str">
        <f>IFERROR(__xludf.DUMMYFUNCTION("""COMPUTED_VALUE"""),"3rd week")</f>
        <v>3rd week</v>
      </c>
      <c r="AO350" s="13" t="s">
        <v>9</v>
      </c>
      <c r="AX350" s="17"/>
    </row>
    <row r="351">
      <c r="B351" s="9">
        <f>IFERROR(__xludf.DUMMYFUNCTION("""COMPUTED_VALUE"""),45835.452161747686)</f>
        <v>45835.45216</v>
      </c>
      <c r="C351" s="10" t="str">
        <f>IFERROR(__xludf.DUMMYFUNCTION("""COMPUTED_VALUE"""),"Sumaia Hayat ")</f>
        <v>Sumaia Hayat </v>
      </c>
      <c r="D351" s="10" t="str">
        <f>IFERROR(__xludf.DUMMYFUNCTION("""COMPUTED_VALUE"""),"03260671819")</f>
        <v>03260671819</v>
      </c>
      <c r="E351" s="10" t="str">
        <f>IFERROR(__xludf.DUMMYFUNCTION("""COMPUTED_VALUE"""),"Jamia Masjid Miya Rehman Hafizabad")</f>
        <v>Jamia Masjid Miya Rehman Hafizabad</v>
      </c>
      <c r="F351" s="10" t="str">
        <f>IFERROR(__xludf.DUMMYFUNCTION("""COMPUTED_VALUE"""),"VIEXI")</f>
        <v>VIEXI</v>
      </c>
      <c r="G351" s="10" t="str">
        <f>IFERROR(__xludf.DUMMYFUNCTION("""COMPUTED_VALUE"""),"No")</f>
        <v>No</v>
      </c>
      <c r="H351" s="10"/>
      <c r="I351" s="10"/>
      <c r="J351" s="10"/>
      <c r="K351" s="10">
        <f>IFERROR(__xludf.DUMMYFUNCTION("""COMPUTED_VALUE"""),0.0)</f>
        <v>0</v>
      </c>
      <c r="L351" s="10">
        <f>IFERROR(__xludf.DUMMYFUNCTION("""COMPUTED_VALUE"""),0.0)</f>
        <v>0</v>
      </c>
      <c r="M351" s="10">
        <f>IFERROR(__xludf.DUMMYFUNCTION("""COMPUTED_VALUE"""),0.0)</f>
        <v>0</v>
      </c>
      <c r="N351" s="10">
        <f>IFERROR(__xludf.DUMMYFUNCTION("""COMPUTED_VALUE"""),0.0)</f>
        <v>0</v>
      </c>
      <c r="O351" s="10">
        <f>IFERROR(__xludf.DUMMYFUNCTION("""COMPUTED_VALUE"""),0.0)</f>
        <v>0</v>
      </c>
      <c r="P351" s="10">
        <f>IFERROR(__xludf.DUMMYFUNCTION("""COMPUTED_VALUE"""),0.0)</f>
        <v>0</v>
      </c>
      <c r="Q351" s="10" t="str">
        <f>IFERROR(__xludf.DUMMYFUNCTION("""COMPUTED_VALUE"""),"No")</f>
        <v>No</v>
      </c>
      <c r="R351" s="10" t="str">
        <f>IFERROR(__xludf.DUMMYFUNCTION("""COMPUTED_VALUE"""),"No")</f>
        <v>No</v>
      </c>
      <c r="S351" s="10" t="str">
        <f>IFERROR(__xludf.DUMMYFUNCTION("""COMPUTED_VALUE"""),"No")</f>
        <v>No</v>
      </c>
      <c r="T351" s="10">
        <f>IFERROR(__xludf.DUMMYFUNCTION("""COMPUTED_VALUE"""),0.0)</f>
        <v>0</v>
      </c>
      <c r="U351" s="10">
        <f>IFERROR(__xludf.DUMMYFUNCTION("""COMPUTED_VALUE"""),0.0)</f>
        <v>0</v>
      </c>
      <c r="V351" s="10" t="str">
        <f>IFERROR(__xludf.DUMMYFUNCTION("""COMPUTED_VALUE"""),"شہداء کی عظمت اور جذبۂ حب الوطنی۔
")</f>
        <v>شہداء کی عظمت اور جذبۂ حب الوطنی۔
</v>
      </c>
      <c r="W351" s="10" t="str">
        <f>IFERROR(__xludf.DUMMYFUNCTION("""COMPUTED_VALUE"""),"امام نے شہداء کی قربانیوں کو خراجِ عقیدت پیش کیا اور جذبۂ حب الوطنی کو ایمان کا تقاضا قرار دیا۔ انہوں نے افواجِ پاکستان اور پوری قوم کے اتحاد کی اہمیت پر زور دیا۔
")</f>
        <v>امام نے شہداء کی قربانیوں کو خراجِ عقیدت پیش کیا اور جذبۂ حب الوطنی کو ایمان کا تقاضا قرار دیا۔ انہوں نے افواجِ پاکستان اور پوری قوم کے اتحاد کی اہمیت پر زور دیا۔
</v>
      </c>
      <c r="X351" s="10">
        <f>IFERROR(__xludf.DUMMYFUNCTION("""COMPUTED_VALUE"""),2.0)</f>
        <v>2</v>
      </c>
      <c r="Y351" s="10">
        <f>IFERROR(__xludf.DUMMYFUNCTION("""COMPUTED_VALUE"""),3.0)</f>
        <v>3</v>
      </c>
      <c r="Z351" s="10">
        <f>IFERROR(__xludf.DUMMYFUNCTION("""COMPUTED_VALUE"""),4.0)</f>
        <v>4</v>
      </c>
      <c r="AA351" s="10">
        <f>IFERROR(__xludf.DUMMYFUNCTION("""COMPUTED_VALUE"""),6.0)</f>
        <v>6</v>
      </c>
      <c r="AB351" s="10">
        <f>IFERROR(__xludf.DUMMYFUNCTION("""COMPUTED_VALUE"""),4.0)</f>
        <v>4</v>
      </c>
      <c r="AC351" s="10">
        <f>IFERROR(__xludf.DUMMYFUNCTION("""COMPUTED_VALUE"""),5.0)</f>
        <v>5</v>
      </c>
      <c r="AD351" s="10">
        <f>IFERROR(__xludf.DUMMYFUNCTION("""COMPUTED_VALUE"""),0.0)</f>
        <v>0</v>
      </c>
      <c r="AE351" s="10">
        <f>IFERROR(__xludf.DUMMYFUNCTION("""COMPUTED_VALUE"""),1.0)</f>
        <v>1</v>
      </c>
      <c r="AF351" s="10">
        <f>IFERROR(__xludf.DUMMYFUNCTION("""COMPUTED_VALUE"""),7.0)</f>
        <v>7</v>
      </c>
      <c r="AG351" s="10">
        <f>IFERROR(__xludf.DUMMYFUNCTION("""COMPUTED_VALUE"""),8.0)</f>
        <v>8</v>
      </c>
      <c r="AH351" s="10">
        <f>IFERROR(__xludf.DUMMYFUNCTION("""COMPUTED_VALUE"""),1.0)</f>
        <v>1</v>
      </c>
      <c r="AI351" s="10">
        <f>IFERROR(__xludf.DUMMYFUNCTION("""COMPUTED_VALUE"""),8.0)</f>
        <v>8</v>
      </c>
      <c r="AJ351" s="11" t="str">
        <f>IFERROR(__xludf.DUMMYFUNCTION("""COMPUTED_VALUE"""),"https://drive.google.com/open?id=1JcDBbMy0vNFI6NrGMhYA5XYsdm2hJmct")</f>
        <v>https://drive.google.com/open?id=1JcDBbMy0vNFI6NrGMhYA5XYsdm2hJmct</v>
      </c>
      <c r="AK351" s="12" t="str">
        <f>IFERROR(__xludf.DUMMYFUNCTION("""COMPUTED_VALUE"""),"بیان کا مجموعی پیغام جذبۂ شہادت، حب الوطنی، اور قومی اتحاد پر مبنی تھا، جو حالاتِ حاضرہ کے تناظر میں مؤثر اور جوش دلانے والا تھا۔ تاہم، معاشرتی اور اخلاقی پہلوؤں پر مزید روشنی ڈالنا اس بیان کو زیادہ جامع بنا سکتا تھا۔")</f>
        <v>بیان کا مجموعی پیغام جذبۂ شہادت، حب الوطنی، اور قومی اتحاد پر مبنی تھا، جو حالاتِ حاضرہ کے تناظر میں مؤثر اور جوش دلانے والا تھا۔ تاہم، معاشرتی اور اخلاقی پہلوؤں پر مزید روشنی ڈالنا اس بیان کو زیادہ جامع بنا سکتا تھا۔</v>
      </c>
      <c r="AL351" s="12"/>
      <c r="AM351" s="12"/>
      <c r="AN351" s="12" t="str">
        <f>IFERROR(__xludf.DUMMYFUNCTION("""COMPUTED_VALUE"""),"3rd week")</f>
        <v>3rd week</v>
      </c>
      <c r="AO351" s="13">
        <v>3.0</v>
      </c>
      <c r="AX351" s="17"/>
    </row>
    <row r="352">
      <c r="B352" s="9">
        <f>IFERROR(__xludf.DUMMYFUNCTION("""COMPUTED_VALUE"""),45835.51886511574)</f>
        <v>45835.51887</v>
      </c>
      <c r="C352" s="10" t="str">
        <f>IFERROR(__xludf.DUMMYFUNCTION("""COMPUTED_VALUE"""),"Arti Kumari ")</f>
        <v>Arti Kumari </v>
      </c>
      <c r="D352" s="10" t="str">
        <f>IFERROR(__xludf.DUMMYFUNCTION("""COMPUTED_VALUE"""),"03346661865")</f>
        <v>03346661865</v>
      </c>
      <c r="E352" s="10" t="str">
        <f>IFERROR(__xludf.DUMMYFUNCTION("""COMPUTED_VALUE"""),"Jamina Masjid Afghan Jehlum ")</f>
        <v>Jamina Masjid Afghan Jehlum </v>
      </c>
      <c r="F352" s="10" t="str">
        <f>IFERROR(__xludf.DUMMYFUNCTION("""COMPUTED_VALUE"""),"UVNAI")</f>
        <v>UVNAI</v>
      </c>
      <c r="G352" s="10" t="str">
        <f>IFERROR(__xludf.DUMMYFUNCTION("""COMPUTED_VALUE"""),"Yes")</f>
        <v>Yes</v>
      </c>
      <c r="H352" s="10">
        <f>IFERROR(__xludf.DUMMYFUNCTION("""COMPUTED_VALUE"""),0.0)</f>
        <v>0</v>
      </c>
      <c r="I352" s="10">
        <f>IFERROR(__xludf.DUMMYFUNCTION("""COMPUTED_VALUE"""),0.0)</f>
        <v>0</v>
      </c>
      <c r="J352" s="10">
        <f>IFERROR(__xludf.DUMMYFUNCTION("""COMPUTED_VALUE"""),0.0)</f>
        <v>0</v>
      </c>
      <c r="K352" s="10">
        <f>IFERROR(__xludf.DUMMYFUNCTION("""COMPUTED_VALUE"""),0.0)</f>
        <v>0</v>
      </c>
      <c r="L352" s="10">
        <f>IFERROR(__xludf.DUMMYFUNCTION("""COMPUTED_VALUE"""),0.0)</f>
        <v>0</v>
      </c>
      <c r="M352" s="10">
        <f>IFERROR(__xludf.DUMMYFUNCTION("""COMPUTED_VALUE"""),0.0)</f>
        <v>0</v>
      </c>
      <c r="N352" s="10">
        <f>IFERROR(__xludf.DUMMYFUNCTION("""COMPUTED_VALUE"""),0.0)</f>
        <v>0</v>
      </c>
      <c r="O352" s="10">
        <f>IFERROR(__xludf.DUMMYFUNCTION("""COMPUTED_VALUE"""),0.0)</f>
        <v>0</v>
      </c>
      <c r="P352" s="10">
        <f>IFERROR(__xludf.DUMMYFUNCTION("""COMPUTED_VALUE"""),0.0)</f>
        <v>0</v>
      </c>
      <c r="Q352" s="10" t="str">
        <f>IFERROR(__xludf.DUMMYFUNCTION("""COMPUTED_VALUE"""),"No")</f>
        <v>No</v>
      </c>
      <c r="R352" s="10" t="str">
        <f>IFERROR(__xludf.DUMMYFUNCTION("""COMPUTED_VALUE"""),"No")</f>
        <v>No</v>
      </c>
      <c r="S352" s="10" t="str">
        <f>IFERROR(__xludf.DUMMYFUNCTION("""COMPUTED_VALUE"""),"No")</f>
        <v>No</v>
      </c>
      <c r="T352" s="10">
        <f>IFERROR(__xludf.DUMMYFUNCTION("""COMPUTED_VALUE"""),0.0)</f>
        <v>0</v>
      </c>
      <c r="U352" s="10">
        <f>IFERROR(__xludf.DUMMYFUNCTION("""COMPUTED_VALUE"""),0.0)</f>
        <v>0</v>
      </c>
      <c r="V352" s="10" t="str">
        <f>IFERROR(__xludf.DUMMYFUNCTION("""COMPUTED_VALUE"""),"جنگ میں پاک آرمی کا کردار")</f>
        <v>جنگ میں پاک آرمی کا کردار</v>
      </c>
      <c r="W352" s="10" t="str">
        <f>IFERROR(__xludf.DUMMYFUNCTION("""COMPUTED_VALUE"""),"امام نے اس خطبہ میں حال میں ہوئی پاکستان اور انڈیا کے درمیان جنگ کے بارے کا ذکر کیا کہ کیسے  انہوں نے رات کی تاریخی میں حملہ کیا اور ہماری فوج نے اس کا منہ توڑ جواب دیا ہماری قوم بہادر اور نا ڈر قوم ہے اور اپنے ملک کا بول بالا کیا")</f>
        <v>امام نے اس خطبہ میں حال میں ہوئی پاکستان اور انڈیا کے درمیان جنگ کے بارے کا ذکر کیا کہ کیسے  انہوں نے رات کی تاریخی میں حملہ کیا اور ہماری فوج نے اس کا منہ توڑ جواب دیا ہماری قوم بہادر اور نا ڈر قوم ہے اور اپنے ملک کا بول بالا کیا</v>
      </c>
      <c r="X352" s="10">
        <f>IFERROR(__xludf.DUMMYFUNCTION("""COMPUTED_VALUE"""),0.0)</f>
        <v>0</v>
      </c>
      <c r="Y352" s="10">
        <f>IFERROR(__xludf.DUMMYFUNCTION("""COMPUTED_VALUE"""),0.0)</f>
        <v>0</v>
      </c>
      <c r="Z352" s="10">
        <f>IFERROR(__xludf.DUMMYFUNCTION("""COMPUTED_VALUE"""),6.0)</f>
        <v>6</v>
      </c>
      <c r="AA352" s="10">
        <f>IFERROR(__xludf.DUMMYFUNCTION("""COMPUTED_VALUE"""),3.0)</f>
        <v>3</v>
      </c>
      <c r="AB352" s="10">
        <f>IFERROR(__xludf.DUMMYFUNCTION("""COMPUTED_VALUE"""),0.0)</f>
        <v>0</v>
      </c>
      <c r="AC352" s="10">
        <f>IFERROR(__xludf.DUMMYFUNCTION("""COMPUTED_VALUE"""),10.0)</f>
        <v>10</v>
      </c>
      <c r="AD352" s="10">
        <f>IFERROR(__xludf.DUMMYFUNCTION("""COMPUTED_VALUE"""),0.0)</f>
        <v>0</v>
      </c>
      <c r="AE352" s="10">
        <f>IFERROR(__xludf.DUMMYFUNCTION("""COMPUTED_VALUE"""),4.0)</f>
        <v>4</v>
      </c>
      <c r="AF352" s="10">
        <f>IFERROR(__xludf.DUMMYFUNCTION("""COMPUTED_VALUE"""),6.0)</f>
        <v>6</v>
      </c>
      <c r="AG352" s="10">
        <f>IFERROR(__xludf.DUMMYFUNCTION("""COMPUTED_VALUE"""),2.0)</f>
        <v>2</v>
      </c>
      <c r="AH352" s="10">
        <f>IFERROR(__xludf.DUMMYFUNCTION("""COMPUTED_VALUE"""),0.0)</f>
        <v>0</v>
      </c>
      <c r="AI352" s="10">
        <f>IFERROR(__xludf.DUMMYFUNCTION("""COMPUTED_VALUE"""),5.0)</f>
        <v>5</v>
      </c>
      <c r="AJ352" s="11" t="str">
        <f>IFERROR(__xludf.DUMMYFUNCTION("""COMPUTED_VALUE"""),"https://drive.google.com/open?id=1hzDKlQblWxzpSIqIBjJBR6BayN3SsWCT")</f>
        <v>https://drive.google.com/open?id=1hzDKlQblWxzpSIqIBjJBR6BayN3SsWCT</v>
      </c>
      <c r="AK352" s="12"/>
      <c r="AL352" s="12" t="str">
        <f>IFERROR(__xludf.DUMMYFUNCTION("""COMPUTED_VALUE"""),"Yes")</f>
        <v>Yes</v>
      </c>
      <c r="AM352" s="15">
        <f>IFERROR(__xludf.DUMMYFUNCTION("""COMPUTED_VALUE"""),0.0)</f>
        <v>0</v>
      </c>
      <c r="AN352" s="12" t="str">
        <f>IFERROR(__xludf.DUMMYFUNCTION("""COMPUTED_VALUE"""),"3rd week")</f>
        <v>3rd week</v>
      </c>
      <c r="AO352" s="13">
        <v>3.0</v>
      </c>
      <c r="AX352" s="17"/>
    </row>
    <row r="353">
      <c r="B353" s="9">
        <f>IFERROR(__xludf.DUMMYFUNCTION("""COMPUTED_VALUE"""),45836.11251571759)</f>
        <v>45836.11252</v>
      </c>
      <c r="C353" s="10" t="str">
        <f>IFERROR(__xludf.DUMMYFUNCTION("""COMPUTED_VALUE"""),"Shahid Iqbal")</f>
        <v>Shahid Iqbal</v>
      </c>
      <c r="D353" s="10" t="str">
        <f>IFERROR(__xludf.DUMMYFUNCTION("""COMPUTED_VALUE"""),"03013665049")</f>
        <v>03013665049</v>
      </c>
      <c r="E353" s="10" t="str">
        <f>IFERROR(__xludf.DUMMYFUNCTION("""COMPUTED_VALUE"""),"Jamia Masjid Qudsia Rizwaiya Civil Line Gujranwala")</f>
        <v>Jamia Masjid Qudsia Rizwaiya Civil Line Gujranwala</v>
      </c>
      <c r="F353" s="10" t="str">
        <f>IFERROR(__xludf.DUMMYFUNCTION("""COMPUTED_VALUE"""),"BWXOO")</f>
        <v>BWXOO</v>
      </c>
      <c r="G353" s="10" t="str">
        <f>IFERROR(__xludf.DUMMYFUNCTION("""COMPUTED_VALUE"""),"Yes")</f>
        <v>Yes</v>
      </c>
      <c r="H353" s="10">
        <f>IFERROR(__xludf.DUMMYFUNCTION("""COMPUTED_VALUE"""),3.0)</f>
        <v>3</v>
      </c>
      <c r="I353" s="10">
        <f>IFERROR(__xludf.DUMMYFUNCTION("""COMPUTED_VALUE"""),8.0)</f>
        <v>8</v>
      </c>
      <c r="J353" s="10">
        <f>IFERROR(__xludf.DUMMYFUNCTION("""COMPUTED_VALUE"""),2.0)</f>
        <v>2</v>
      </c>
      <c r="K353" s="10">
        <f>IFERROR(__xludf.DUMMYFUNCTION("""COMPUTED_VALUE"""),0.0)</f>
        <v>0</v>
      </c>
      <c r="L353" s="10">
        <f>IFERROR(__xludf.DUMMYFUNCTION("""COMPUTED_VALUE"""),0.0)</f>
        <v>0</v>
      </c>
      <c r="M353" s="10">
        <f>IFERROR(__xludf.DUMMYFUNCTION("""COMPUTED_VALUE"""),0.0)</f>
        <v>0</v>
      </c>
      <c r="N353" s="10">
        <f>IFERROR(__xludf.DUMMYFUNCTION("""COMPUTED_VALUE"""),0.0)</f>
        <v>0</v>
      </c>
      <c r="O353" s="10">
        <f>IFERROR(__xludf.DUMMYFUNCTION("""COMPUTED_VALUE"""),0.0)</f>
        <v>0</v>
      </c>
      <c r="P353" s="10">
        <f>IFERROR(__xludf.DUMMYFUNCTION("""COMPUTED_VALUE"""),0.0)</f>
        <v>0</v>
      </c>
      <c r="Q353" s="10" t="str">
        <f>IFERROR(__xludf.DUMMYFUNCTION("""COMPUTED_VALUE"""),"No")</f>
        <v>No</v>
      </c>
      <c r="R353" s="10" t="str">
        <f>IFERROR(__xludf.DUMMYFUNCTION("""COMPUTED_VALUE"""),"No")</f>
        <v>No</v>
      </c>
      <c r="S353" s="10" t="str">
        <f>IFERROR(__xludf.DUMMYFUNCTION("""COMPUTED_VALUE"""),"No")</f>
        <v>No</v>
      </c>
      <c r="T353" s="10">
        <f>IFERROR(__xludf.DUMMYFUNCTION("""COMPUTED_VALUE"""),0.0)</f>
        <v>0</v>
      </c>
      <c r="U353" s="10">
        <f>IFERROR(__xludf.DUMMYFUNCTION("""COMPUTED_VALUE"""),0.0)</f>
        <v>0</v>
      </c>
      <c r="V353" s="10" t="str">
        <f>IFERROR(__xludf.DUMMYFUNCTION("""COMPUTED_VALUE"""),"Jannat ma dakhla")</f>
        <v>Jannat ma dakhla</v>
      </c>
      <c r="W353" s="10" t="str">
        <f>IFERROR(__xludf.DUMMYFUNCTION("""COMPUTED_VALUE"""),"Jannat ma dakhla")</f>
        <v>Jannat ma dakhla</v>
      </c>
      <c r="X353" s="10">
        <f>IFERROR(__xludf.DUMMYFUNCTION("""COMPUTED_VALUE"""),5.0)</f>
        <v>5</v>
      </c>
      <c r="Y353" s="10">
        <f>IFERROR(__xludf.DUMMYFUNCTION("""COMPUTED_VALUE"""),6.0)</f>
        <v>6</v>
      </c>
      <c r="Z353" s="10">
        <f>IFERROR(__xludf.DUMMYFUNCTION("""COMPUTED_VALUE"""),6.0)</f>
        <v>6</v>
      </c>
      <c r="AA353" s="10">
        <f>IFERROR(__xludf.DUMMYFUNCTION("""COMPUTED_VALUE"""),7.0)</f>
        <v>7</v>
      </c>
      <c r="AB353" s="10">
        <f>IFERROR(__xludf.DUMMYFUNCTION("""COMPUTED_VALUE"""),5.0)</f>
        <v>5</v>
      </c>
      <c r="AC353" s="10">
        <f>IFERROR(__xludf.DUMMYFUNCTION("""COMPUTED_VALUE"""),5.0)</f>
        <v>5</v>
      </c>
      <c r="AD353" s="10">
        <f>IFERROR(__xludf.DUMMYFUNCTION("""COMPUTED_VALUE"""),4.0)</f>
        <v>4</v>
      </c>
      <c r="AE353" s="10">
        <f>IFERROR(__xludf.DUMMYFUNCTION("""COMPUTED_VALUE"""),5.0)</f>
        <v>5</v>
      </c>
      <c r="AF353" s="10">
        <f>IFERROR(__xludf.DUMMYFUNCTION("""COMPUTED_VALUE"""),2.0)</f>
        <v>2</v>
      </c>
      <c r="AG353" s="10">
        <f>IFERROR(__xludf.DUMMYFUNCTION("""COMPUTED_VALUE"""),4.0)</f>
        <v>4</v>
      </c>
      <c r="AH353" s="10">
        <f>IFERROR(__xludf.DUMMYFUNCTION("""COMPUTED_VALUE"""),0.0)</f>
        <v>0</v>
      </c>
      <c r="AI353" s="10">
        <f>IFERROR(__xludf.DUMMYFUNCTION("""COMPUTED_VALUE"""),7.0)</f>
        <v>7</v>
      </c>
      <c r="AJ353" s="11" t="str">
        <f>IFERROR(__xludf.DUMMYFUNCTION("""COMPUTED_VALUE"""),"https://drive.google.com/open?id=1KMURoEIE8d22kC1ckgPB3X97DQn2DaSy")</f>
        <v>https://drive.google.com/open?id=1KMURoEIE8d22kC1ckgPB3X97DQn2DaSy</v>
      </c>
      <c r="AK353" s="12"/>
      <c r="AL353" s="12" t="str">
        <f>IFERROR(__xludf.DUMMYFUNCTION("""COMPUTED_VALUE"""),"Yes")</f>
        <v>Yes</v>
      </c>
      <c r="AM353" s="15">
        <f>IFERROR(__xludf.DUMMYFUNCTION("""COMPUTED_VALUE"""),0.1)</f>
        <v>0.1</v>
      </c>
      <c r="AN353" s="12" t="str">
        <f>IFERROR(__xludf.DUMMYFUNCTION("""COMPUTED_VALUE"""),"1st week")</f>
        <v>1st week</v>
      </c>
      <c r="AO353" s="13">
        <v>1.0</v>
      </c>
      <c r="AX353" s="17"/>
    </row>
    <row r="354">
      <c r="B354" s="9">
        <f>IFERROR(__xludf.DUMMYFUNCTION("""COMPUTED_VALUE"""),45836.14525927084)</f>
        <v>45836.14526</v>
      </c>
      <c r="C354" s="10" t="str">
        <f>IFERROR(__xludf.DUMMYFUNCTION("""COMPUTED_VALUE"""),"Shahid Iqbal")</f>
        <v>Shahid Iqbal</v>
      </c>
      <c r="D354" s="10" t="str">
        <f>IFERROR(__xludf.DUMMYFUNCTION("""COMPUTED_VALUE"""),"03013665049")</f>
        <v>03013665049</v>
      </c>
      <c r="E354" s="10" t="str">
        <f>IFERROR(__xludf.DUMMYFUNCTION("""COMPUTED_VALUE"""),"Jamia Masjid Block # 1 Sargodha")</f>
        <v>Jamia Masjid Block # 1 Sargodha</v>
      </c>
      <c r="F354" s="10" t="str">
        <f>IFERROR(__xludf.DUMMYFUNCTION("""COMPUTED_VALUE"""),"PMXOX")</f>
        <v>PMXOX</v>
      </c>
      <c r="G354" s="10" t="str">
        <f>IFERROR(__xludf.DUMMYFUNCTION("""COMPUTED_VALUE"""),"Yes")</f>
        <v>Yes</v>
      </c>
      <c r="H354" s="10">
        <f>IFERROR(__xludf.DUMMYFUNCTION("""COMPUTED_VALUE"""),0.0)</f>
        <v>0</v>
      </c>
      <c r="I354" s="10">
        <f>IFERROR(__xludf.DUMMYFUNCTION("""COMPUTED_VALUE"""),9.0)</f>
        <v>9</v>
      </c>
      <c r="J354" s="10">
        <f>IFERROR(__xludf.DUMMYFUNCTION("""COMPUTED_VALUE"""),0.0)</f>
        <v>0</v>
      </c>
      <c r="K354" s="10">
        <f>IFERROR(__xludf.DUMMYFUNCTION("""COMPUTED_VALUE"""),0.0)</f>
        <v>0</v>
      </c>
      <c r="L354" s="10">
        <f>IFERROR(__xludf.DUMMYFUNCTION("""COMPUTED_VALUE"""),0.0)</f>
        <v>0</v>
      </c>
      <c r="M354" s="10">
        <f>IFERROR(__xludf.DUMMYFUNCTION("""COMPUTED_VALUE"""),0.0)</f>
        <v>0</v>
      </c>
      <c r="N354" s="10">
        <f>IFERROR(__xludf.DUMMYFUNCTION("""COMPUTED_VALUE"""),0.0)</f>
        <v>0</v>
      </c>
      <c r="O354" s="10">
        <f>IFERROR(__xludf.DUMMYFUNCTION("""COMPUTED_VALUE"""),0.0)</f>
        <v>0</v>
      </c>
      <c r="P354" s="10">
        <f>IFERROR(__xludf.DUMMYFUNCTION("""COMPUTED_VALUE"""),0.0)</f>
        <v>0</v>
      </c>
      <c r="Q354" s="10" t="str">
        <f>IFERROR(__xludf.DUMMYFUNCTION("""COMPUTED_VALUE"""),"No")</f>
        <v>No</v>
      </c>
      <c r="R354" s="10" t="str">
        <f>IFERROR(__xludf.DUMMYFUNCTION("""COMPUTED_VALUE"""),"No")</f>
        <v>No</v>
      </c>
      <c r="S354" s="10" t="str">
        <f>IFERROR(__xludf.DUMMYFUNCTION("""COMPUTED_VALUE"""),"No")</f>
        <v>No</v>
      </c>
      <c r="T354" s="10">
        <f>IFERROR(__xludf.DUMMYFUNCTION("""COMPUTED_VALUE"""),0.0)</f>
        <v>0</v>
      </c>
      <c r="U354" s="10">
        <f>IFERROR(__xludf.DUMMYFUNCTION("""COMPUTED_VALUE"""),0.0)</f>
        <v>0</v>
      </c>
      <c r="V354" s="10" t="str">
        <f>IFERROR(__xludf.DUMMYFUNCTION("""COMPUTED_VALUE"""),"Islam Ki tarikh Ki ahmait")</f>
        <v>Islam Ki tarikh Ki ahmait</v>
      </c>
      <c r="W354" s="10" t="str">
        <f>IFERROR(__xludf.DUMMYFUNCTION("""COMPUTED_VALUE"""),"Islam Ki tarikh Ki ahmait")</f>
        <v>Islam Ki tarikh Ki ahmait</v>
      </c>
      <c r="X354" s="10">
        <f>IFERROR(__xludf.DUMMYFUNCTION("""COMPUTED_VALUE"""),5.0)</f>
        <v>5</v>
      </c>
      <c r="Y354" s="10">
        <f>IFERROR(__xludf.DUMMYFUNCTION("""COMPUTED_VALUE"""),5.0)</f>
        <v>5</v>
      </c>
      <c r="Z354" s="10">
        <f>IFERROR(__xludf.DUMMYFUNCTION("""COMPUTED_VALUE"""),5.0)</f>
        <v>5</v>
      </c>
      <c r="AA354" s="10">
        <f>IFERROR(__xludf.DUMMYFUNCTION("""COMPUTED_VALUE"""),5.0)</f>
        <v>5</v>
      </c>
      <c r="AB354" s="10">
        <f>IFERROR(__xludf.DUMMYFUNCTION("""COMPUTED_VALUE"""),5.0)</f>
        <v>5</v>
      </c>
      <c r="AC354" s="10">
        <f>IFERROR(__xludf.DUMMYFUNCTION("""COMPUTED_VALUE"""),3.0)</f>
        <v>3</v>
      </c>
      <c r="AD354" s="10">
        <f>IFERROR(__xludf.DUMMYFUNCTION("""COMPUTED_VALUE"""),6.0)</f>
        <v>6</v>
      </c>
      <c r="AE354" s="10">
        <f>IFERROR(__xludf.DUMMYFUNCTION("""COMPUTED_VALUE"""),0.0)</f>
        <v>0</v>
      </c>
      <c r="AF354" s="10">
        <f>IFERROR(__xludf.DUMMYFUNCTION("""COMPUTED_VALUE"""),4.0)</f>
        <v>4</v>
      </c>
      <c r="AG354" s="10">
        <f>IFERROR(__xludf.DUMMYFUNCTION("""COMPUTED_VALUE"""),6.0)</f>
        <v>6</v>
      </c>
      <c r="AH354" s="10">
        <f>IFERROR(__xludf.DUMMYFUNCTION("""COMPUTED_VALUE"""),0.0)</f>
        <v>0</v>
      </c>
      <c r="AI354" s="10">
        <f>IFERROR(__xludf.DUMMYFUNCTION("""COMPUTED_VALUE"""),6.0)</f>
        <v>6</v>
      </c>
      <c r="AJ354" s="11" t="str">
        <f>IFERROR(__xludf.DUMMYFUNCTION("""COMPUTED_VALUE"""),"https://drive.google.com/open?id=18MemRO9bqhnKyzzXhbmXiSEa052tPFHx")</f>
        <v>https://drive.google.com/open?id=18MemRO9bqhnKyzzXhbmXiSEa052tPFHx</v>
      </c>
      <c r="AK354" s="12"/>
      <c r="AL354" s="12" t="str">
        <f>IFERROR(__xludf.DUMMYFUNCTION("""COMPUTED_VALUE"""),"Yes")</f>
        <v>Yes</v>
      </c>
      <c r="AM354" s="15">
        <f>IFERROR(__xludf.DUMMYFUNCTION("""COMPUTED_VALUE"""),0.0)</f>
        <v>0</v>
      </c>
      <c r="AN354" s="12" t="str">
        <f>IFERROR(__xludf.DUMMYFUNCTION("""COMPUTED_VALUE"""),"2nd week")</f>
        <v>2nd week</v>
      </c>
      <c r="AO354" s="13">
        <v>2.0</v>
      </c>
      <c r="AX354" s="17"/>
    </row>
    <row r="355">
      <c r="B355" s="9">
        <f>IFERROR(__xludf.DUMMYFUNCTION("""COMPUTED_VALUE"""),45836.150024456016)</f>
        <v>45836.15002</v>
      </c>
      <c r="C355" s="10" t="str">
        <f>IFERROR(__xludf.DUMMYFUNCTION("""COMPUTED_VALUE"""),"shahid Iqbal")</f>
        <v>shahid Iqbal</v>
      </c>
      <c r="D355" s="10" t="str">
        <f>IFERROR(__xludf.DUMMYFUNCTION("""COMPUTED_VALUE"""),"03013665049")</f>
        <v>03013665049</v>
      </c>
      <c r="E355" s="10" t="str">
        <f>IFERROR(__xludf.DUMMYFUNCTION("""COMPUTED_VALUE"""),"Jamia Masjid Molvi Muhammd Hussain Urdu Bazar")</f>
        <v>Jamia Masjid Molvi Muhammd Hussain Urdu Bazar</v>
      </c>
      <c r="F355" s="10" t="str">
        <f>IFERROR(__xludf.DUMMYFUNCTION("""COMPUTED_VALUE"""),"CCXYI")</f>
        <v>CCXYI</v>
      </c>
      <c r="G355" s="10" t="str">
        <f>IFERROR(__xludf.DUMMYFUNCTION("""COMPUTED_VALUE"""),"No")</f>
        <v>No</v>
      </c>
      <c r="H355" s="10"/>
      <c r="I355" s="10"/>
      <c r="J355" s="10"/>
      <c r="K355" s="10">
        <f>IFERROR(__xludf.DUMMYFUNCTION("""COMPUTED_VALUE"""),0.0)</f>
        <v>0</v>
      </c>
      <c r="L355" s="10">
        <f>IFERROR(__xludf.DUMMYFUNCTION("""COMPUTED_VALUE"""),0.0)</f>
        <v>0</v>
      </c>
      <c r="M355" s="10">
        <f>IFERROR(__xludf.DUMMYFUNCTION("""COMPUTED_VALUE"""),0.0)</f>
        <v>0</v>
      </c>
      <c r="N355" s="10">
        <f>IFERROR(__xludf.DUMMYFUNCTION("""COMPUTED_VALUE"""),0.0)</f>
        <v>0</v>
      </c>
      <c r="O355" s="10">
        <f>IFERROR(__xludf.DUMMYFUNCTION("""COMPUTED_VALUE"""),0.0)</f>
        <v>0</v>
      </c>
      <c r="P355" s="10">
        <f>IFERROR(__xludf.DUMMYFUNCTION("""COMPUTED_VALUE"""),0.0)</f>
        <v>0</v>
      </c>
      <c r="Q355" s="10" t="str">
        <f>IFERROR(__xludf.DUMMYFUNCTION("""COMPUTED_VALUE"""),"No")</f>
        <v>No</v>
      </c>
      <c r="R355" s="10" t="str">
        <f>IFERROR(__xludf.DUMMYFUNCTION("""COMPUTED_VALUE"""),"No")</f>
        <v>No</v>
      </c>
      <c r="S355" s="10" t="str">
        <f>IFERROR(__xludf.DUMMYFUNCTION("""COMPUTED_VALUE"""),"No")</f>
        <v>No</v>
      </c>
      <c r="T355" s="10">
        <f>IFERROR(__xludf.DUMMYFUNCTION("""COMPUTED_VALUE"""),0.0)</f>
        <v>0</v>
      </c>
      <c r="U355" s="10">
        <f>IFERROR(__xludf.DUMMYFUNCTION("""COMPUTED_VALUE"""),0.0)</f>
        <v>0</v>
      </c>
      <c r="V355" s="10" t="str">
        <f>IFERROR(__xludf.DUMMYFUNCTION("""COMPUTED_VALUE"""),"Allah aur rasool saw per iman")</f>
        <v>Allah aur rasool saw per iman</v>
      </c>
      <c r="W355" s="10" t="str">
        <f>IFERROR(__xludf.DUMMYFUNCTION("""COMPUTED_VALUE"""),"Allah aur rasool saw per iman")</f>
        <v>Allah aur rasool saw per iman</v>
      </c>
      <c r="X355" s="10">
        <f>IFERROR(__xludf.DUMMYFUNCTION("""COMPUTED_VALUE"""),6.0)</f>
        <v>6</v>
      </c>
      <c r="Y355" s="10">
        <f>IFERROR(__xludf.DUMMYFUNCTION("""COMPUTED_VALUE"""),6.0)</f>
        <v>6</v>
      </c>
      <c r="Z355" s="10">
        <f>IFERROR(__xludf.DUMMYFUNCTION("""COMPUTED_VALUE"""),5.0)</f>
        <v>5</v>
      </c>
      <c r="AA355" s="10">
        <f>IFERROR(__xludf.DUMMYFUNCTION("""COMPUTED_VALUE"""),0.0)</f>
        <v>0</v>
      </c>
      <c r="AB355" s="10">
        <f>IFERROR(__xludf.DUMMYFUNCTION("""COMPUTED_VALUE"""),0.0)</f>
        <v>0</v>
      </c>
      <c r="AC355" s="10">
        <f>IFERROR(__xludf.DUMMYFUNCTION("""COMPUTED_VALUE"""),0.0)</f>
        <v>0</v>
      </c>
      <c r="AD355" s="10">
        <f>IFERROR(__xludf.DUMMYFUNCTION("""COMPUTED_VALUE"""),0.0)</f>
        <v>0</v>
      </c>
      <c r="AE355" s="10">
        <f>IFERROR(__xludf.DUMMYFUNCTION("""COMPUTED_VALUE"""),0.0)</f>
        <v>0</v>
      </c>
      <c r="AF355" s="10">
        <f>IFERROR(__xludf.DUMMYFUNCTION("""COMPUTED_VALUE"""),0.0)</f>
        <v>0</v>
      </c>
      <c r="AG355" s="10">
        <f>IFERROR(__xludf.DUMMYFUNCTION("""COMPUTED_VALUE"""),0.0)</f>
        <v>0</v>
      </c>
      <c r="AH355" s="10">
        <f>IFERROR(__xludf.DUMMYFUNCTION("""COMPUTED_VALUE"""),0.0)</f>
        <v>0</v>
      </c>
      <c r="AI355" s="10">
        <f>IFERROR(__xludf.DUMMYFUNCTION("""COMPUTED_VALUE"""),0.0)</f>
        <v>0</v>
      </c>
      <c r="AJ355" s="11" t="str">
        <f>IFERROR(__xludf.DUMMYFUNCTION("""COMPUTED_VALUE"""),"https://drive.google.com/open?id=1VKOzcljp7Z6lrHA2Pm6z_RJ4OsulYAmz")</f>
        <v>https://drive.google.com/open?id=1VKOzcljp7Z6lrHA2Pm6z_RJ4OsulYAmz</v>
      </c>
      <c r="AK355" s="12"/>
      <c r="AL355" s="12"/>
      <c r="AM355" s="12"/>
      <c r="AN355" s="12" t="str">
        <f>IFERROR(__xludf.DUMMYFUNCTION("""COMPUTED_VALUE"""),"3rd week")</f>
        <v>3rd week</v>
      </c>
      <c r="AO355" s="13">
        <v>3.0</v>
      </c>
      <c r="AX355" s="17"/>
    </row>
    <row r="356">
      <c r="B356" s="9">
        <f>IFERROR(__xludf.DUMMYFUNCTION("""COMPUTED_VALUE"""),45836.49324334491)</f>
        <v>45836.49324</v>
      </c>
      <c r="C356" s="10" t="str">
        <f>IFERROR(__xludf.DUMMYFUNCTION("""COMPUTED_VALUE"""),"Muqaddas bibi ")</f>
        <v>Muqaddas bibi </v>
      </c>
      <c r="D356" s="10" t="str">
        <f>IFERROR(__xludf.DUMMYFUNCTION("""COMPUTED_VALUE"""),"03075314147")</f>
        <v>03075314147</v>
      </c>
      <c r="E356" s="10" t="str">
        <f>IFERROR(__xludf.DUMMYFUNCTION("""COMPUTED_VALUE"""),"Jamia masjid dars jhulana mandi bahaudin ")</f>
        <v>Jamia masjid dars jhulana mandi bahaudin </v>
      </c>
      <c r="F356" s="10" t="str">
        <f>IFERROR(__xludf.DUMMYFUNCTION("""COMPUTED_VALUE"""),"HOMVR ")</f>
        <v>HOMVR </v>
      </c>
      <c r="G356" s="10" t="str">
        <f>IFERROR(__xludf.DUMMYFUNCTION("""COMPUTED_VALUE"""),"Yes")</f>
        <v>Yes</v>
      </c>
      <c r="H356" s="10">
        <f>IFERROR(__xludf.DUMMYFUNCTION("""COMPUTED_VALUE"""),8.0)</f>
        <v>8</v>
      </c>
      <c r="I356" s="10">
        <f>IFERROR(__xludf.DUMMYFUNCTION("""COMPUTED_VALUE"""),2.0)</f>
        <v>2</v>
      </c>
      <c r="J356" s="10">
        <f>IFERROR(__xludf.DUMMYFUNCTION("""COMPUTED_VALUE"""),9.0)</f>
        <v>9</v>
      </c>
      <c r="K356" s="10">
        <f>IFERROR(__xludf.DUMMYFUNCTION("""COMPUTED_VALUE"""),0.0)</f>
        <v>0</v>
      </c>
      <c r="L356" s="10">
        <f>IFERROR(__xludf.DUMMYFUNCTION("""COMPUTED_VALUE"""),10.0)</f>
        <v>10</v>
      </c>
      <c r="M356" s="10">
        <f>IFERROR(__xludf.DUMMYFUNCTION("""COMPUTED_VALUE"""),0.0)</f>
        <v>0</v>
      </c>
      <c r="N356" s="10">
        <f>IFERROR(__xludf.DUMMYFUNCTION("""COMPUTED_VALUE"""),10.0)</f>
        <v>10</v>
      </c>
      <c r="O356" s="10">
        <f>IFERROR(__xludf.DUMMYFUNCTION("""COMPUTED_VALUE"""),0.0)</f>
        <v>0</v>
      </c>
      <c r="P356" s="10">
        <f>IFERROR(__xludf.DUMMYFUNCTION("""COMPUTED_VALUE"""),10.0)</f>
        <v>10</v>
      </c>
      <c r="Q356" s="10" t="str">
        <f>IFERROR(__xludf.DUMMYFUNCTION("""COMPUTED_VALUE"""),"No")</f>
        <v>No</v>
      </c>
      <c r="R356" s="10" t="str">
        <f>IFERROR(__xludf.DUMMYFUNCTION("""COMPUTED_VALUE"""),"No")</f>
        <v>No</v>
      </c>
      <c r="S356" s="10" t="str">
        <f>IFERROR(__xludf.DUMMYFUNCTION("""COMPUTED_VALUE"""),"No")</f>
        <v>No</v>
      </c>
      <c r="T356" s="10">
        <f>IFERROR(__xludf.DUMMYFUNCTION("""COMPUTED_VALUE"""),0.0)</f>
        <v>0</v>
      </c>
      <c r="U356" s="10">
        <f>IFERROR(__xludf.DUMMYFUNCTION("""COMPUTED_VALUE"""),0.0)</f>
        <v>0</v>
      </c>
      <c r="V356" s="10" t="str">
        <f>IFERROR(__xludf.DUMMYFUNCTION("""COMPUTED_VALUE"""),"پڑوسیوں کے حقوق اور نفس کی اصلاح")</f>
        <v>پڑوسیوں کے حقوق اور نفس کی اصلاح</v>
      </c>
      <c r="W356" s="10" t="str">
        <f>IFERROR(__xludf.DUMMYFUNCTION("""COMPUTED_VALUE"""),"اس بیان میں نفس کی مخالفت اصلاح کردار اور پڑوسیوں کے حقوق اہمیت بتائی گئی ہے جس میں قران و حدیث کی روشنی میں انسان کو اپنی ذات کا محاسبہ کرنے کا درس دیا گیا ہے حضور پاک نے فرمایا جس کے تین پڑوسی اس سے راضی ہوں وہ جنتی ہے اور حقیقی بندگی اللہ کے بندوں سے م"&amp;"حبت ہے")</f>
        <v>اس بیان میں نفس کی مخالفت اصلاح کردار اور پڑوسیوں کے حقوق اہمیت بتائی گئی ہے جس میں قران و حدیث کی روشنی میں انسان کو اپنی ذات کا محاسبہ کرنے کا درس دیا گیا ہے حضور پاک نے فرمایا جس کے تین پڑوسی اس سے راضی ہوں وہ جنتی ہے اور حقیقی بندگی اللہ کے بندوں سے محبت ہے</v>
      </c>
      <c r="X356" s="10">
        <f>IFERROR(__xludf.DUMMYFUNCTION("""COMPUTED_VALUE"""),4.0)</f>
        <v>4</v>
      </c>
      <c r="Y356" s="10">
        <f>IFERROR(__xludf.DUMMYFUNCTION("""COMPUTED_VALUE"""),10.0)</f>
        <v>10</v>
      </c>
      <c r="Z356" s="10">
        <f>IFERROR(__xludf.DUMMYFUNCTION("""COMPUTED_VALUE"""),5.0)</f>
        <v>5</v>
      </c>
      <c r="AA356" s="10">
        <f>IFERROR(__xludf.DUMMYFUNCTION("""COMPUTED_VALUE"""),5.0)</f>
        <v>5</v>
      </c>
      <c r="AB356" s="10">
        <f>IFERROR(__xludf.DUMMYFUNCTION("""COMPUTED_VALUE"""),0.0)</f>
        <v>0</v>
      </c>
      <c r="AC356" s="10">
        <f>IFERROR(__xludf.DUMMYFUNCTION("""COMPUTED_VALUE"""),0.0)</f>
        <v>0</v>
      </c>
      <c r="AD356" s="10">
        <f>IFERROR(__xludf.DUMMYFUNCTION("""COMPUTED_VALUE"""),0.0)</f>
        <v>0</v>
      </c>
      <c r="AE356" s="10">
        <f>IFERROR(__xludf.DUMMYFUNCTION("""COMPUTED_VALUE"""),0.0)</f>
        <v>0</v>
      </c>
      <c r="AF356" s="10">
        <f>IFERROR(__xludf.DUMMYFUNCTION("""COMPUTED_VALUE"""),6.0)</f>
        <v>6</v>
      </c>
      <c r="AG356" s="10">
        <f>IFERROR(__xludf.DUMMYFUNCTION("""COMPUTED_VALUE"""),10.0)</f>
        <v>10</v>
      </c>
      <c r="AH356" s="10">
        <f>IFERROR(__xludf.DUMMYFUNCTION("""COMPUTED_VALUE"""),0.0)</f>
        <v>0</v>
      </c>
      <c r="AI356" s="10">
        <f>IFERROR(__xludf.DUMMYFUNCTION("""COMPUTED_VALUE"""),10.0)</f>
        <v>10</v>
      </c>
      <c r="AJ356" s="11" t="str">
        <f>IFERROR(__xludf.DUMMYFUNCTION("""COMPUTED_VALUE"""),"https://drive.google.com/open?id=1J7rFlIeZDqhNdNNuO5KONmDyvKCGXPwP")</f>
        <v>https://drive.google.com/open?id=1J7rFlIeZDqhNdNNuO5KONmDyvKCGXPwP</v>
      </c>
      <c r="AK356" s="12" t="str">
        <f>IFERROR(__xludf.DUMMYFUNCTION("""COMPUTED_VALUE"""),"نہیں ")</f>
        <v>نہیں </v>
      </c>
      <c r="AL356" s="12" t="str">
        <f>IFERROR(__xludf.DUMMYFUNCTION("""COMPUTED_VALUE"""),"Yes")</f>
        <v>Yes</v>
      </c>
      <c r="AM356" s="15">
        <f>IFERROR(__xludf.DUMMYFUNCTION("""COMPUTED_VALUE"""),0.8)</f>
        <v>0.8</v>
      </c>
      <c r="AN356" s="12" t="str">
        <f>IFERROR(__xludf.DUMMYFUNCTION("""COMPUTED_VALUE"""),"2nd week")</f>
        <v>2nd week</v>
      </c>
      <c r="AO356" s="13">
        <v>2.0</v>
      </c>
      <c r="AX356" s="17"/>
    </row>
    <row r="357">
      <c r="B357" s="9">
        <f>IFERROR(__xludf.DUMMYFUNCTION("""COMPUTED_VALUE"""),45836.66990116898)</f>
        <v>45836.6699</v>
      </c>
      <c r="C357" s="10" t="str">
        <f>IFERROR(__xludf.DUMMYFUNCTION("""COMPUTED_VALUE"""),"Arti Kumari ")</f>
        <v>Arti Kumari </v>
      </c>
      <c r="D357" s="10" t="str">
        <f>IFERROR(__xludf.DUMMYFUNCTION("""COMPUTED_VALUE"""),"03346661865")</f>
        <v>03346661865</v>
      </c>
      <c r="E357" s="10" t="str">
        <f>IFERROR(__xludf.DUMMYFUNCTION("""COMPUTED_VALUE"""),"Jamia masjid syaden shah shahrazi chakwal")</f>
        <v>Jamia masjid syaden shah shahrazi chakwal</v>
      </c>
      <c r="F357" s="10" t="str">
        <f>IFERROR(__xludf.DUMMYFUNCTION("""COMPUTED_VALUE"""),"PIPXB")</f>
        <v>PIPXB</v>
      </c>
      <c r="G357" s="10" t="str">
        <f>IFERROR(__xludf.DUMMYFUNCTION("""COMPUTED_VALUE"""),"No")</f>
        <v>No</v>
      </c>
      <c r="H357" s="10"/>
      <c r="I357" s="10"/>
      <c r="J357" s="10"/>
      <c r="K357" s="10">
        <f>IFERROR(__xludf.DUMMYFUNCTION("""COMPUTED_VALUE"""),0.0)</f>
        <v>0</v>
      </c>
      <c r="L357" s="10">
        <f>IFERROR(__xludf.DUMMYFUNCTION("""COMPUTED_VALUE"""),0.0)</f>
        <v>0</v>
      </c>
      <c r="M357" s="10">
        <f>IFERROR(__xludf.DUMMYFUNCTION("""COMPUTED_VALUE"""),0.0)</f>
        <v>0</v>
      </c>
      <c r="N357" s="10">
        <f>IFERROR(__xludf.DUMMYFUNCTION("""COMPUTED_VALUE"""),0.0)</f>
        <v>0</v>
      </c>
      <c r="O357" s="10">
        <f>IFERROR(__xludf.DUMMYFUNCTION("""COMPUTED_VALUE"""),0.0)</f>
        <v>0</v>
      </c>
      <c r="P357" s="10">
        <f>IFERROR(__xludf.DUMMYFUNCTION("""COMPUTED_VALUE"""),0.0)</f>
        <v>0</v>
      </c>
      <c r="Q357" s="10" t="str">
        <f>IFERROR(__xludf.DUMMYFUNCTION("""COMPUTED_VALUE"""),"No")</f>
        <v>No</v>
      </c>
      <c r="R357" s="10" t="str">
        <f>IFERROR(__xludf.DUMMYFUNCTION("""COMPUTED_VALUE"""),"No")</f>
        <v>No</v>
      </c>
      <c r="S357" s="10" t="str">
        <f>IFERROR(__xludf.DUMMYFUNCTION("""COMPUTED_VALUE"""),"No")</f>
        <v>No</v>
      </c>
      <c r="T357" s="10">
        <f>IFERROR(__xludf.DUMMYFUNCTION("""COMPUTED_VALUE"""),0.0)</f>
        <v>0</v>
      </c>
      <c r="U357" s="10">
        <f>IFERROR(__xludf.DUMMYFUNCTION("""COMPUTED_VALUE"""),0.0)</f>
        <v>0</v>
      </c>
      <c r="V357" s="10" t="str">
        <f>IFERROR(__xludf.DUMMYFUNCTION("""COMPUTED_VALUE"""),"مسلمانوں کا غیر مسلموں یا کافروں پر غلبہ پانا")</f>
        <v>مسلمانوں کا غیر مسلموں یا کافروں پر غلبہ پانا</v>
      </c>
      <c r="W357" s="10" t="str">
        <f>IFERROR(__xludf.DUMMYFUNCTION("""COMPUTED_VALUE"""),"امام نے بیان کیا کہ تم مسلمان ہو اللّٰہ نے تہہیں طاقت سے نوازا ہے بے شک تم تعداد میں یا طاقت میں کم ہو لیکن اللہ پر یقین رکھو وہ تمہاری غیبی مدد کرے گا، اور ہمارا رعب بہت زیادہ ہے جس سے غیر مسلم کانپتے ہیں")</f>
        <v>امام نے بیان کیا کہ تم مسلمان ہو اللّٰہ نے تہہیں طاقت سے نوازا ہے بے شک تم تعداد میں یا طاقت میں کم ہو لیکن اللہ پر یقین رکھو وہ تمہاری غیبی مدد کرے گا، اور ہمارا رعب بہت زیادہ ہے جس سے غیر مسلم کانپتے ہیں</v>
      </c>
      <c r="X357" s="10">
        <f>IFERROR(__xludf.DUMMYFUNCTION("""COMPUTED_VALUE"""),6.0)</f>
        <v>6</v>
      </c>
      <c r="Y357" s="10">
        <f>IFERROR(__xludf.DUMMYFUNCTION("""COMPUTED_VALUE"""),2.0)</f>
        <v>2</v>
      </c>
      <c r="Z357" s="10">
        <f>IFERROR(__xludf.DUMMYFUNCTION("""COMPUTED_VALUE"""),10.0)</f>
        <v>10</v>
      </c>
      <c r="AA357" s="10">
        <f>IFERROR(__xludf.DUMMYFUNCTION("""COMPUTED_VALUE"""),6.0)</f>
        <v>6</v>
      </c>
      <c r="AB357" s="10">
        <f>IFERROR(__xludf.DUMMYFUNCTION("""COMPUTED_VALUE"""),6.0)</f>
        <v>6</v>
      </c>
      <c r="AC357" s="10">
        <f>IFERROR(__xludf.DUMMYFUNCTION("""COMPUTED_VALUE"""),5.0)</f>
        <v>5</v>
      </c>
      <c r="AD357" s="10">
        <f>IFERROR(__xludf.DUMMYFUNCTION("""COMPUTED_VALUE"""),0.0)</f>
        <v>0</v>
      </c>
      <c r="AE357" s="10">
        <f>IFERROR(__xludf.DUMMYFUNCTION("""COMPUTED_VALUE"""),5.0)</f>
        <v>5</v>
      </c>
      <c r="AF357" s="10">
        <f>IFERROR(__xludf.DUMMYFUNCTION("""COMPUTED_VALUE"""),0.0)</f>
        <v>0</v>
      </c>
      <c r="AG357" s="10">
        <f>IFERROR(__xludf.DUMMYFUNCTION("""COMPUTED_VALUE"""),5.0)</f>
        <v>5</v>
      </c>
      <c r="AH357" s="10">
        <f>IFERROR(__xludf.DUMMYFUNCTION("""COMPUTED_VALUE"""),0.0)</f>
        <v>0</v>
      </c>
      <c r="AI357" s="10">
        <f>IFERROR(__xludf.DUMMYFUNCTION("""COMPUTED_VALUE"""),5.0)</f>
        <v>5</v>
      </c>
      <c r="AJ357" s="11" t="str">
        <f>IFERROR(__xludf.DUMMYFUNCTION("""COMPUTED_VALUE"""),"https://drive.google.com/open?id=1Y7sAqo3eXE2Sa4_0VeCtveWRPy_NPpPn")</f>
        <v>https://drive.google.com/open?id=1Y7sAqo3eXE2Sa4_0VeCtveWRPy_NPpPn</v>
      </c>
      <c r="AK357" s="12"/>
      <c r="AL357" s="12"/>
      <c r="AM357" s="12"/>
      <c r="AN357" s="12" t="str">
        <f>IFERROR(__xludf.DUMMYFUNCTION("""COMPUTED_VALUE"""),"3rd week")</f>
        <v>3rd week</v>
      </c>
      <c r="AO357" s="13">
        <v>3.0</v>
      </c>
      <c r="AX357" s="17"/>
    </row>
    <row r="358">
      <c r="B358" s="9">
        <f>IFERROR(__xludf.DUMMYFUNCTION("""COMPUTED_VALUE"""),45837.1322352662)</f>
        <v>45837.13224</v>
      </c>
      <c r="C358" s="10" t="str">
        <f>IFERROR(__xludf.DUMMYFUNCTION("""COMPUTED_VALUE"""),"Arti Kumari ")</f>
        <v>Arti Kumari </v>
      </c>
      <c r="D358" s="10" t="str">
        <f>IFERROR(__xludf.DUMMYFUNCTION("""COMPUTED_VALUE"""),"03060612796")</f>
        <v>03060612796</v>
      </c>
      <c r="E358" s="10" t="str">
        <f>IFERROR(__xludf.DUMMYFUNCTION("""COMPUTED_VALUE"""),"Jamia Masjid Eid gah Tala gang chakwal")</f>
        <v>Jamia Masjid Eid gah Tala gang chakwal</v>
      </c>
      <c r="F358" s="10" t="str">
        <f>IFERROR(__xludf.DUMMYFUNCTION("""COMPUTED_VALUE"""),"HXSZB")</f>
        <v>HXSZB</v>
      </c>
      <c r="G358" s="10" t="str">
        <f>IFERROR(__xludf.DUMMYFUNCTION("""COMPUTED_VALUE"""),"No")</f>
        <v>No</v>
      </c>
      <c r="H358" s="10"/>
      <c r="I358" s="10"/>
      <c r="J358" s="10"/>
      <c r="K358" s="10">
        <f>IFERROR(__xludf.DUMMYFUNCTION("""COMPUTED_VALUE"""),0.0)</f>
        <v>0</v>
      </c>
      <c r="L358" s="10">
        <f>IFERROR(__xludf.DUMMYFUNCTION("""COMPUTED_VALUE"""),0.0)</f>
        <v>0</v>
      </c>
      <c r="M358" s="10">
        <f>IFERROR(__xludf.DUMMYFUNCTION("""COMPUTED_VALUE"""),0.0)</f>
        <v>0</v>
      </c>
      <c r="N358" s="10">
        <f>IFERROR(__xludf.DUMMYFUNCTION("""COMPUTED_VALUE"""),0.0)</f>
        <v>0</v>
      </c>
      <c r="O358" s="10">
        <f>IFERROR(__xludf.DUMMYFUNCTION("""COMPUTED_VALUE"""),0.0)</f>
        <v>0</v>
      </c>
      <c r="P358" s="10">
        <f>IFERROR(__xludf.DUMMYFUNCTION("""COMPUTED_VALUE"""),0.0)</f>
        <v>0</v>
      </c>
      <c r="Q358" s="10" t="str">
        <f>IFERROR(__xludf.DUMMYFUNCTION("""COMPUTED_VALUE"""),"No")</f>
        <v>No</v>
      </c>
      <c r="R358" s="10" t="str">
        <f>IFERROR(__xludf.DUMMYFUNCTION("""COMPUTED_VALUE"""),"No")</f>
        <v>No</v>
      </c>
      <c r="S358" s="10" t="str">
        <f>IFERROR(__xludf.DUMMYFUNCTION("""COMPUTED_VALUE"""),"No")</f>
        <v>No</v>
      </c>
      <c r="T358" s="10">
        <f>IFERROR(__xludf.DUMMYFUNCTION("""COMPUTED_VALUE"""),0.0)</f>
        <v>0</v>
      </c>
      <c r="U358" s="10">
        <f>IFERROR(__xludf.DUMMYFUNCTION("""COMPUTED_VALUE"""),0.0)</f>
        <v>0</v>
      </c>
      <c r="V358" s="10" t="str">
        <f>IFERROR(__xludf.DUMMYFUNCTION("""COMPUTED_VALUE"""),"عقیدہ توحید کا بولا بالا")</f>
        <v>عقیدہ توحید کا بولا بالا</v>
      </c>
      <c r="W358" s="10" t="str">
        <f>IFERROR(__xludf.DUMMYFUNCTION("""COMPUTED_VALUE"""),"امام نے بیان میں مسلمانوں کا عقیدہ توحید کے بارے میں زور دیا اور مثالوں اور واقعات کے ذریعے بتا یا کہ مومن پر بہت سی مصیبتیں اور پریشانیاں آئیں لیکن انہوں نے اللہ سے مدد مانگی اپنا عقیدہ نہیں چھوڑا نبی پاک کو بھی قتل کرنے کی بہت سی سازشیں کی لیکن آپ اپنے "&amp;"راستے سے  ٹس سے مس نا ہوتے")</f>
        <v>امام نے بیان میں مسلمانوں کا عقیدہ توحید کے بارے میں زور دیا اور مثالوں اور واقعات کے ذریعے بتا یا کہ مومن پر بہت سی مصیبتیں اور پریشانیاں آئیں لیکن انہوں نے اللہ سے مدد مانگی اپنا عقیدہ نہیں چھوڑا نبی پاک کو بھی قتل کرنے کی بہت سی سازشیں کی لیکن آپ اپنے راستے سے  ٹس سے مس نا ہوتے</v>
      </c>
      <c r="X358" s="10">
        <f>IFERROR(__xludf.DUMMYFUNCTION("""COMPUTED_VALUE"""),7.0)</f>
        <v>7</v>
      </c>
      <c r="Y358" s="10">
        <f>IFERROR(__xludf.DUMMYFUNCTION("""COMPUTED_VALUE"""),0.0)</f>
        <v>0</v>
      </c>
      <c r="Z358" s="10">
        <f>IFERROR(__xludf.DUMMYFUNCTION("""COMPUTED_VALUE"""),6.0)</f>
        <v>6</v>
      </c>
      <c r="AA358" s="10">
        <f>IFERROR(__xludf.DUMMYFUNCTION("""COMPUTED_VALUE"""),10.0)</f>
        <v>10</v>
      </c>
      <c r="AB358" s="10">
        <f>IFERROR(__xludf.DUMMYFUNCTION("""COMPUTED_VALUE"""),10.0)</f>
        <v>10</v>
      </c>
      <c r="AC358" s="10">
        <f>IFERROR(__xludf.DUMMYFUNCTION("""COMPUTED_VALUE"""),7.0)</f>
        <v>7</v>
      </c>
      <c r="AD358" s="10">
        <f>IFERROR(__xludf.DUMMYFUNCTION("""COMPUTED_VALUE"""),3.0)</f>
        <v>3</v>
      </c>
      <c r="AE358" s="10">
        <f>IFERROR(__xludf.DUMMYFUNCTION("""COMPUTED_VALUE"""),4.0)</f>
        <v>4</v>
      </c>
      <c r="AF358" s="10">
        <f>IFERROR(__xludf.DUMMYFUNCTION("""COMPUTED_VALUE"""),0.0)</f>
        <v>0</v>
      </c>
      <c r="AG358" s="10">
        <f>IFERROR(__xludf.DUMMYFUNCTION("""COMPUTED_VALUE"""),6.0)</f>
        <v>6</v>
      </c>
      <c r="AH358" s="10">
        <f>IFERROR(__xludf.DUMMYFUNCTION("""COMPUTED_VALUE"""),0.0)</f>
        <v>0</v>
      </c>
      <c r="AI358" s="10">
        <f>IFERROR(__xludf.DUMMYFUNCTION("""COMPUTED_VALUE"""),4.0)</f>
        <v>4</v>
      </c>
      <c r="AJ358" s="11" t="str">
        <f>IFERROR(__xludf.DUMMYFUNCTION("""COMPUTED_VALUE"""),"https://drive.google.com/open?id=1-uVavsFooO1qZFQjFjIPWSkijQgTo0nb")</f>
        <v>https://drive.google.com/open?id=1-uVavsFooO1qZFQjFjIPWSkijQgTo0nb</v>
      </c>
      <c r="AK358" s="12" t="str">
        <f>IFERROR(__xludf.DUMMYFUNCTION("""COMPUTED_VALUE"""),"امام کے الفاظ کلیر نہیں تھے")</f>
        <v>امام کے الفاظ کلیر نہیں تھے</v>
      </c>
      <c r="AL358" s="12"/>
      <c r="AM358" s="12"/>
      <c r="AN358" s="12" t="str">
        <f>IFERROR(__xludf.DUMMYFUNCTION("""COMPUTED_VALUE"""),"3rd week")</f>
        <v>3rd week</v>
      </c>
      <c r="AO358" s="13">
        <v>3.0</v>
      </c>
      <c r="AX358" s="17"/>
    </row>
    <row r="359">
      <c r="B359" s="9">
        <f>IFERROR(__xludf.DUMMYFUNCTION("""COMPUTED_VALUE"""),45837.15350446759)</f>
        <v>45837.1535</v>
      </c>
      <c r="C359" s="10" t="str">
        <f>IFERROR(__xludf.DUMMYFUNCTION("""COMPUTED_VALUE"""),"Arti Kumari ")</f>
        <v>Arti Kumari </v>
      </c>
      <c r="D359" s="10" t="str">
        <f>IFERROR(__xludf.DUMMYFUNCTION("""COMPUTED_VALUE"""),"03346661865")</f>
        <v>03346661865</v>
      </c>
      <c r="E359" s="10" t="str">
        <f>IFERROR(__xludf.DUMMYFUNCTION("""COMPUTED_VALUE"""),"Jamia Masjid Darbar Nagy Shah Gujrat")</f>
        <v>Jamia Masjid Darbar Nagy Shah Gujrat</v>
      </c>
      <c r="F359" s="10" t="str">
        <f>IFERROR(__xludf.DUMMYFUNCTION("""COMPUTED_VALUE"""),"WRTAN")</f>
        <v>WRTAN</v>
      </c>
      <c r="G359" s="10" t="str">
        <f>IFERROR(__xludf.DUMMYFUNCTION("""COMPUTED_VALUE"""),"No")</f>
        <v>No</v>
      </c>
      <c r="H359" s="10"/>
      <c r="I359" s="10"/>
      <c r="J359" s="10"/>
      <c r="K359" s="10">
        <f>IFERROR(__xludf.DUMMYFUNCTION("""COMPUTED_VALUE"""),0.0)</f>
        <v>0</v>
      </c>
      <c r="L359" s="10">
        <f>IFERROR(__xludf.DUMMYFUNCTION("""COMPUTED_VALUE"""),0.0)</f>
        <v>0</v>
      </c>
      <c r="M359" s="10">
        <f>IFERROR(__xludf.DUMMYFUNCTION("""COMPUTED_VALUE"""),0.0)</f>
        <v>0</v>
      </c>
      <c r="N359" s="10">
        <f>IFERROR(__xludf.DUMMYFUNCTION("""COMPUTED_VALUE"""),0.0)</f>
        <v>0</v>
      </c>
      <c r="O359" s="10">
        <f>IFERROR(__xludf.DUMMYFUNCTION("""COMPUTED_VALUE"""),0.0)</f>
        <v>0</v>
      </c>
      <c r="P359" s="10">
        <f>IFERROR(__xludf.DUMMYFUNCTION("""COMPUTED_VALUE"""),0.0)</f>
        <v>0</v>
      </c>
      <c r="Q359" s="10" t="str">
        <f>IFERROR(__xludf.DUMMYFUNCTION("""COMPUTED_VALUE"""),"No")</f>
        <v>No</v>
      </c>
      <c r="R359" s="10" t="str">
        <f>IFERROR(__xludf.DUMMYFUNCTION("""COMPUTED_VALUE"""),"No")</f>
        <v>No</v>
      </c>
      <c r="S359" s="10" t="str">
        <f>IFERROR(__xludf.DUMMYFUNCTION("""COMPUTED_VALUE"""),"No")</f>
        <v>No</v>
      </c>
      <c r="T359" s="10">
        <f>IFERROR(__xludf.DUMMYFUNCTION("""COMPUTED_VALUE"""),0.0)</f>
        <v>0</v>
      </c>
      <c r="U359" s="10">
        <f>IFERROR(__xludf.DUMMYFUNCTION("""COMPUTED_VALUE"""),0.0)</f>
        <v>0</v>
      </c>
      <c r="V359" s="10" t="str">
        <f>IFERROR(__xludf.DUMMYFUNCTION("""COMPUTED_VALUE"""),"حضورﷺ کی شان")</f>
        <v>حضورﷺ کی شان</v>
      </c>
      <c r="W359" s="10" t="str">
        <f>IFERROR(__xludf.DUMMYFUNCTION("""COMPUTED_VALUE"""),"امام نے خطبے میں نبی پاک کی شان میں باتیں کی ہے انہوں نے انسانوں کو غلط راہ سے سیدھے راستے کی طرف ترغیب دی ہے اور اللہ نے نبی کو دینے والا بنایا ہے")</f>
        <v>امام نے خطبے میں نبی پاک کی شان میں باتیں کی ہے انہوں نے انسانوں کو غلط راہ سے سیدھے راستے کی طرف ترغیب دی ہے اور اللہ نے نبی کو دینے والا بنایا ہے</v>
      </c>
      <c r="X359" s="10">
        <f>IFERROR(__xludf.DUMMYFUNCTION("""COMPUTED_VALUE"""),7.0)</f>
        <v>7</v>
      </c>
      <c r="Y359" s="10">
        <f>IFERROR(__xludf.DUMMYFUNCTION("""COMPUTED_VALUE"""),0.0)</f>
        <v>0</v>
      </c>
      <c r="Z359" s="10">
        <f>IFERROR(__xludf.DUMMYFUNCTION("""COMPUTED_VALUE"""),0.0)</f>
        <v>0</v>
      </c>
      <c r="AA359" s="10">
        <f>IFERROR(__xludf.DUMMYFUNCTION("""COMPUTED_VALUE"""),10.0)</f>
        <v>10</v>
      </c>
      <c r="AB359" s="10">
        <f>IFERROR(__xludf.DUMMYFUNCTION("""COMPUTED_VALUE"""),7.0)</f>
        <v>7</v>
      </c>
      <c r="AC359" s="10">
        <f>IFERROR(__xludf.DUMMYFUNCTION("""COMPUTED_VALUE"""),0.0)</f>
        <v>0</v>
      </c>
      <c r="AD359" s="10">
        <f>IFERROR(__xludf.DUMMYFUNCTION("""COMPUTED_VALUE"""),0.0)</f>
        <v>0</v>
      </c>
      <c r="AE359" s="10">
        <f>IFERROR(__xludf.DUMMYFUNCTION("""COMPUTED_VALUE"""),0.0)</f>
        <v>0</v>
      </c>
      <c r="AF359" s="10">
        <f>IFERROR(__xludf.DUMMYFUNCTION("""COMPUTED_VALUE"""),0.0)</f>
        <v>0</v>
      </c>
      <c r="AG359" s="10">
        <f>IFERROR(__xludf.DUMMYFUNCTION("""COMPUTED_VALUE"""),3.0)</f>
        <v>3</v>
      </c>
      <c r="AH359" s="10">
        <f>IFERROR(__xludf.DUMMYFUNCTION("""COMPUTED_VALUE"""),0.0)</f>
        <v>0</v>
      </c>
      <c r="AI359" s="10">
        <f>IFERROR(__xludf.DUMMYFUNCTION("""COMPUTED_VALUE"""),5.0)</f>
        <v>5</v>
      </c>
      <c r="AJ359" s="11" t="str">
        <f>IFERROR(__xludf.DUMMYFUNCTION("""COMPUTED_VALUE"""),"https://drive.google.com/open?id=1sMwz9TYJgDMqXasARD-8gxF7PFEuIAZA")</f>
        <v>https://drive.google.com/open?id=1sMwz9TYJgDMqXasARD-8gxF7PFEuIAZA</v>
      </c>
      <c r="AK359" s="12" t="str">
        <f>IFERROR(__xludf.DUMMYFUNCTION("""COMPUTED_VALUE"""),"امام کا بیان کی آواز صاف نہیں تھی")</f>
        <v>امام کا بیان کی آواز صاف نہیں تھی</v>
      </c>
      <c r="AL359" s="12"/>
      <c r="AM359" s="12"/>
      <c r="AN359" s="12" t="str">
        <f>IFERROR(__xludf.DUMMYFUNCTION("""COMPUTED_VALUE"""),"3rd week")</f>
        <v>3rd week</v>
      </c>
      <c r="AO359" s="13">
        <v>3.0</v>
      </c>
      <c r="AX359" s="17"/>
    </row>
    <row r="360">
      <c r="B360" s="9">
        <f>IFERROR(__xludf.DUMMYFUNCTION("""COMPUTED_VALUE"""),45837.16110805556)</f>
        <v>45837.16111</v>
      </c>
      <c r="C360" s="10" t="str">
        <f>IFERROR(__xludf.DUMMYFUNCTION("""COMPUTED_VALUE"""),"Muqaddas bibi ")</f>
        <v>Muqaddas bibi </v>
      </c>
      <c r="D360" s="10" t="str">
        <f>IFERROR(__xludf.DUMMYFUNCTION("""COMPUTED_VALUE"""),"03075314147")</f>
        <v>03075314147</v>
      </c>
      <c r="E360" s="10" t="str">
        <f>IFERROR(__xludf.DUMMYFUNCTION("""COMPUTED_VALUE"""),"Jamia masjid Walton Lahore week 4")</f>
        <v>Jamia masjid Walton Lahore week 4</v>
      </c>
      <c r="F360" s="10" t="str">
        <f>IFERROR(__xludf.DUMMYFUNCTION("""COMPUTED_VALUE"""),"vmezu")</f>
        <v>vmezu</v>
      </c>
      <c r="G360" s="10" t="str">
        <f>IFERROR(__xludf.DUMMYFUNCTION("""COMPUTED_VALUE"""),"Yes")</f>
        <v>Yes</v>
      </c>
      <c r="H360" s="10">
        <f>IFERROR(__xludf.DUMMYFUNCTION("""COMPUTED_VALUE"""),8.0)</f>
        <v>8</v>
      </c>
      <c r="I360" s="10">
        <f>IFERROR(__xludf.DUMMYFUNCTION("""COMPUTED_VALUE"""),2.0)</f>
        <v>2</v>
      </c>
      <c r="J360" s="10">
        <f>IFERROR(__xludf.DUMMYFUNCTION("""COMPUTED_VALUE"""),10.0)</f>
        <v>10</v>
      </c>
      <c r="K360" s="10">
        <f>IFERROR(__xludf.DUMMYFUNCTION("""COMPUTED_VALUE"""),0.0)</f>
        <v>0</v>
      </c>
      <c r="L360" s="10">
        <f>IFERROR(__xludf.DUMMYFUNCTION("""COMPUTED_VALUE"""),10.0)</f>
        <v>10</v>
      </c>
      <c r="M360" s="10">
        <f>IFERROR(__xludf.DUMMYFUNCTION("""COMPUTED_VALUE"""),0.0)</f>
        <v>0</v>
      </c>
      <c r="N360" s="10">
        <f>IFERROR(__xludf.DUMMYFUNCTION("""COMPUTED_VALUE"""),10.0)</f>
        <v>10</v>
      </c>
      <c r="O360" s="10">
        <f>IFERROR(__xludf.DUMMYFUNCTION("""COMPUTED_VALUE"""),2.0)</f>
        <v>2</v>
      </c>
      <c r="P360" s="10">
        <f>IFERROR(__xludf.DUMMYFUNCTION("""COMPUTED_VALUE"""),10.0)</f>
        <v>10</v>
      </c>
      <c r="Q360" s="10" t="str">
        <f>IFERROR(__xludf.DUMMYFUNCTION("""COMPUTED_VALUE"""),"No")</f>
        <v>No</v>
      </c>
      <c r="R360" s="10" t="str">
        <f>IFERROR(__xludf.DUMMYFUNCTION("""COMPUTED_VALUE"""),"Yes")</f>
        <v>Yes</v>
      </c>
      <c r="S360" s="10" t="str">
        <f>IFERROR(__xludf.DUMMYFUNCTION("""COMPUTED_VALUE"""),"No")</f>
        <v>No</v>
      </c>
      <c r="T360" s="10">
        <f>IFERROR(__xludf.DUMMYFUNCTION("""COMPUTED_VALUE"""),0.0)</f>
        <v>0</v>
      </c>
      <c r="U360" s="10">
        <f>IFERROR(__xludf.DUMMYFUNCTION("""COMPUTED_VALUE"""),0.0)</f>
        <v>0</v>
      </c>
      <c r="V360" s="10" t="str">
        <f>IFERROR(__xludf.DUMMYFUNCTION("""COMPUTED_VALUE"""),"پڑوسیوں کے حقوق اور اسلامی ریاست کی اہمیت")</f>
        <v>پڑوسیوں کے حقوق اور اسلامی ریاست کی اہمیت</v>
      </c>
      <c r="W360" s="10" t="str">
        <f>IFERROR(__xludf.DUMMYFUNCTION("""COMPUTED_VALUE"""),"یہ بیان پڑوسیوں کے حقوق حسن سلوک اسلامی تعلیمات کی روشنی میں معاشرتی ذمہ داریوں کو اجاگر کرتا ہے ساتھ ہی پاکستان کی اسلامی ریاست بزرگان دین کی قربانیوں اور ریاست کے تقدس اور دفاع کی اہمیت پر زور دیا گیا ہے")</f>
        <v>یہ بیان پڑوسیوں کے حقوق حسن سلوک اسلامی تعلیمات کی روشنی میں معاشرتی ذمہ داریوں کو اجاگر کرتا ہے ساتھ ہی پاکستان کی اسلامی ریاست بزرگان دین کی قربانیوں اور ریاست کے تقدس اور دفاع کی اہمیت پر زور دیا گیا ہے</v>
      </c>
      <c r="X360" s="10">
        <f>IFERROR(__xludf.DUMMYFUNCTION("""COMPUTED_VALUE"""),2.0)</f>
        <v>2</v>
      </c>
      <c r="Y360" s="10">
        <f>IFERROR(__xludf.DUMMYFUNCTION("""COMPUTED_VALUE"""),10.0)</f>
        <v>10</v>
      </c>
      <c r="Z360" s="10">
        <f>IFERROR(__xludf.DUMMYFUNCTION("""COMPUTED_VALUE"""),3.0)</f>
        <v>3</v>
      </c>
      <c r="AA360" s="10">
        <f>IFERROR(__xludf.DUMMYFUNCTION("""COMPUTED_VALUE"""),5.0)</f>
        <v>5</v>
      </c>
      <c r="AB360" s="10">
        <f>IFERROR(__xludf.DUMMYFUNCTION("""COMPUTED_VALUE"""),1.0)</f>
        <v>1</v>
      </c>
      <c r="AC360" s="10">
        <f>IFERROR(__xludf.DUMMYFUNCTION("""COMPUTED_VALUE"""),4.0)</f>
        <v>4</v>
      </c>
      <c r="AD360" s="10">
        <f>IFERROR(__xludf.DUMMYFUNCTION("""COMPUTED_VALUE"""),3.0)</f>
        <v>3</v>
      </c>
      <c r="AE360" s="10">
        <f>IFERROR(__xludf.DUMMYFUNCTION("""COMPUTED_VALUE"""),3.0)</f>
        <v>3</v>
      </c>
      <c r="AF360" s="10">
        <f>IFERROR(__xludf.DUMMYFUNCTION("""COMPUTED_VALUE"""),4.0)</f>
        <v>4</v>
      </c>
      <c r="AG360" s="10">
        <f>IFERROR(__xludf.DUMMYFUNCTION("""COMPUTED_VALUE"""),9.0)</f>
        <v>9</v>
      </c>
      <c r="AH360" s="10">
        <f>IFERROR(__xludf.DUMMYFUNCTION("""COMPUTED_VALUE"""),2.0)</f>
        <v>2</v>
      </c>
      <c r="AI360" s="10">
        <f>IFERROR(__xludf.DUMMYFUNCTION("""COMPUTED_VALUE"""),8.0)</f>
        <v>8</v>
      </c>
      <c r="AJ360" s="11" t="str">
        <f>IFERROR(__xludf.DUMMYFUNCTION("""COMPUTED_VALUE"""),"https://drive.google.com/open?id=1wvDsQ5a8ISLw_V0BB2RpqI6x9xAqTJgBCVyu68F40q0")</f>
        <v>https://drive.google.com/open?id=1wvDsQ5a8ISLw_V0BB2RpqI6x9xAqTJgBCVyu68F40q0</v>
      </c>
      <c r="AK360" s="12" t="str">
        <f>IFERROR(__xludf.DUMMYFUNCTION("""COMPUTED_VALUE"""),"نہیں ")</f>
        <v>نہیں </v>
      </c>
      <c r="AL360" s="12" t="str">
        <f>IFERROR(__xludf.DUMMYFUNCTION("""COMPUTED_VALUE"""),"Yes")</f>
        <v>Yes</v>
      </c>
      <c r="AM360" s="15">
        <f>IFERROR(__xludf.DUMMYFUNCTION("""COMPUTED_VALUE"""),0.8)</f>
        <v>0.8</v>
      </c>
      <c r="AN360" s="12" t="str">
        <f>IFERROR(__xludf.DUMMYFUNCTION("""COMPUTED_VALUE"""),"4th week")</f>
        <v>4th week</v>
      </c>
      <c r="AO360" s="13">
        <v>4.0</v>
      </c>
      <c r="AX360" s="17"/>
    </row>
    <row r="361">
      <c r="B361" s="9">
        <f>IFERROR(__xludf.DUMMYFUNCTION("""COMPUTED_VALUE"""),45837.26928961805)</f>
        <v>45837.26929</v>
      </c>
      <c r="C361" s="10" t="str">
        <f>IFERROR(__xludf.DUMMYFUNCTION("""COMPUTED_VALUE"""),"Muqaddas bibi ")</f>
        <v>Muqaddas bibi </v>
      </c>
      <c r="D361" s="10" t="str">
        <f>IFERROR(__xludf.DUMMYFUNCTION("""COMPUTED_VALUE"""),"03075314147")</f>
        <v>03075314147</v>
      </c>
      <c r="E361" s="10" t="str">
        <f>IFERROR(__xludf.DUMMYFUNCTION("""COMPUTED_VALUE"""),"Jamia masjid takiya saim sardaara Lahore week 2")</f>
        <v>Jamia masjid takiya saim sardaara Lahore week 2</v>
      </c>
      <c r="F361" s="10" t="str">
        <f>IFERROR(__xludf.DUMMYFUNCTION("""COMPUTED_VALUE"""),"vtoiy")</f>
        <v>vtoiy</v>
      </c>
      <c r="G361" s="10" t="str">
        <f>IFERROR(__xludf.DUMMYFUNCTION("""COMPUTED_VALUE"""),"Yes")</f>
        <v>Yes</v>
      </c>
      <c r="H361" s="10">
        <f>IFERROR(__xludf.DUMMYFUNCTION("""COMPUTED_VALUE"""),8.0)</f>
        <v>8</v>
      </c>
      <c r="I361" s="10">
        <f>IFERROR(__xludf.DUMMYFUNCTION("""COMPUTED_VALUE"""),3.0)</f>
        <v>3</v>
      </c>
      <c r="J361" s="10">
        <f>IFERROR(__xludf.DUMMYFUNCTION("""COMPUTED_VALUE"""),8.0)</f>
        <v>8</v>
      </c>
      <c r="K361" s="10">
        <f>IFERROR(__xludf.DUMMYFUNCTION("""COMPUTED_VALUE"""),0.0)</f>
        <v>0</v>
      </c>
      <c r="L361" s="10">
        <f>IFERROR(__xludf.DUMMYFUNCTION("""COMPUTED_VALUE"""),6.0)</f>
        <v>6</v>
      </c>
      <c r="M361" s="10">
        <f>IFERROR(__xludf.DUMMYFUNCTION("""COMPUTED_VALUE"""),0.0)</f>
        <v>0</v>
      </c>
      <c r="N361" s="10">
        <f>IFERROR(__xludf.DUMMYFUNCTION("""COMPUTED_VALUE"""),8.0)</f>
        <v>8</v>
      </c>
      <c r="O361" s="10">
        <f>IFERROR(__xludf.DUMMYFUNCTION("""COMPUTED_VALUE"""),0.0)</f>
        <v>0</v>
      </c>
      <c r="P361" s="10">
        <f>IFERROR(__xludf.DUMMYFUNCTION("""COMPUTED_VALUE"""),10.0)</f>
        <v>10</v>
      </c>
      <c r="Q361" s="10" t="str">
        <f>IFERROR(__xludf.DUMMYFUNCTION("""COMPUTED_VALUE"""),"No")</f>
        <v>No</v>
      </c>
      <c r="R361" s="10" t="str">
        <f>IFERROR(__xludf.DUMMYFUNCTION("""COMPUTED_VALUE"""),"Yes")</f>
        <v>Yes</v>
      </c>
      <c r="S361" s="10" t="str">
        <f>IFERROR(__xludf.DUMMYFUNCTION("""COMPUTED_VALUE"""),"No")</f>
        <v>No</v>
      </c>
      <c r="T361" s="10">
        <f>IFERROR(__xludf.DUMMYFUNCTION("""COMPUTED_VALUE"""),0.0)</f>
        <v>0</v>
      </c>
      <c r="U361" s="10">
        <f>IFERROR(__xludf.DUMMYFUNCTION("""COMPUTED_VALUE"""),0.0)</f>
        <v>0</v>
      </c>
      <c r="V361" s="10" t="str">
        <f>IFERROR(__xludf.DUMMYFUNCTION("""COMPUTED_VALUE"""),"پڑوسیوں کے حقوق قران کی اہمیت مسجد کا معاشرتی کردار اور صفائی کی اہمیت")</f>
        <v>پڑوسیوں کے حقوق قران کی اہمیت مسجد کا معاشرتی کردار اور صفائی کی اہمیت</v>
      </c>
      <c r="W361" s="10" t="str">
        <f>IFERROR(__xludf.DUMMYFUNCTION("""COMPUTED_VALUE"""),"خطبے کے حقوق قران سیکھنے اور سکھانے کی فضیلت مسجد کے معاشرتی اتحاد میں کردار اور صفائی کی دینی اور معاشرتی اہمیت  کے بارے میں بتایا گیا ہے قران سے تعلق مضبوط کیا جائے مسجدوں کو اباد رکھا جائے اور ماحول کو صاف ستھرا رکھا جائے")</f>
        <v>خطبے کے حقوق قران سیکھنے اور سکھانے کی فضیلت مسجد کے معاشرتی اتحاد میں کردار اور صفائی کی دینی اور معاشرتی اہمیت  کے بارے میں بتایا گیا ہے قران سے تعلق مضبوط کیا جائے مسجدوں کو اباد رکھا جائے اور ماحول کو صاف ستھرا رکھا جائے</v>
      </c>
      <c r="X361" s="10">
        <f>IFERROR(__xludf.DUMMYFUNCTION("""COMPUTED_VALUE"""),0.0)</f>
        <v>0</v>
      </c>
      <c r="Y361" s="10">
        <f>IFERROR(__xludf.DUMMYFUNCTION("""COMPUTED_VALUE"""),10.0)</f>
        <v>10</v>
      </c>
      <c r="Z361" s="10">
        <f>IFERROR(__xludf.DUMMYFUNCTION("""COMPUTED_VALUE"""),6.0)</f>
        <v>6</v>
      </c>
      <c r="AA361" s="10">
        <f>IFERROR(__xludf.DUMMYFUNCTION("""COMPUTED_VALUE"""),2.0)</f>
        <v>2</v>
      </c>
      <c r="AB361" s="10">
        <f>IFERROR(__xludf.DUMMYFUNCTION("""COMPUTED_VALUE"""),3.0)</f>
        <v>3</v>
      </c>
      <c r="AC361" s="10">
        <f>IFERROR(__xludf.DUMMYFUNCTION("""COMPUTED_VALUE"""),6.0)</f>
        <v>6</v>
      </c>
      <c r="AD361" s="10">
        <f>IFERROR(__xludf.DUMMYFUNCTION("""COMPUTED_VALUE"""),1.0)</f>
        <v>1</v>
      </c>
      <c r="AE361" s="10">
        <f>IFERROR(__xludf.DUMMYFUNCTION("""COMPUTED_VALUE"""),0.0)</f>
        <v>0</v>
      </c>
      <c r="AF361" s="10">
        <f>IFERROR(__xludf.DUMMYFUNCTION("""COMPUTED_VALUE"""),7.0)</f>
        <v>7</v>
      </c>
      <c r="AG361" s="10">
        <f>IFERROR(__xludf.DUMMYFUNCTION("""COMPUTED_VALUE"""),9.0)</f>
        <v>9</v>
      </c>
      <c r="AH361" s="10">
        <f>IFERROR(__xludf.DUMMYFUNCTION("""COMPUTED_VALUE"""),0.0)</f>
        <v>0</v>
      </c>
      <c r="AI361" s="10">
        <f>IFERROR(__xludf.DUMMYFUNCTION("""COMPUTED_VALUE"""),8.0)</f>
        <v>8</v>
      </c>
      <c r="AJ361" s="11" t="str">
        <f>IFERROR(__xludf.DUMMYFUNCTION("""COMPUTED_VALUE"""),"https://drive.google.com/open?id=1f6AwixGaN3W8eov0rluxYbVx0OSWdpOR")</f>
        <v>https://drive.google.com/open?id=1f6AwixGaN3W8eov0rluxYbVx0OSWdpOR</v>
      </c>
      <c r="AK361" s="12" t="str">
        <f>IFERROR(__xludf.DUMMYFUNCTION("""COMPUTED_VALUE"""),"نہیں ")</f>
        <v>نہیں </v>
      </c>
      <c r="AL361" s="12" t="str">
        <f>IFERROR(__xludf.DUMMYFUNCTION("""COMPUTED_VALUE"""),"Yes")</f>
        <v>Yes</v>
      </c>
      <c r="AM361" s="15">
        <f>IFERROR(__xludf.DUMMYFUNCTION("""COMPUTED_VALUE"""),0.9)</f>
        <v>0.9</v>
      </c>
      <c r="AN361" s="12" t="str">
        <f>IFERROR(__xludf.DUMMYFUNCTION("""COMPUTED_VALUE"""),"2nd week")</f>
        <v>2nd week</v>
      </c>
      <c r="AO361" s="13">
        <v>2.0</v>
      </c>
      <c r="AX361" s="17"/>
    </row>
    <row r="362">
      <c r="B362" s="9">
        <f>IFERROR(__xludf.DUMMYFUNCTION("""COMPUTED_VALUE"""),45837.3808124537)</f>
        <v>45837.38081</v>
      </c>
      <c r="C362" s="10" t="str">
        <f>IFERROR(__xludf.DUMMYFUNCTION("""COMPUTED_VALUE"""),"Arti Kumari ")</f>
        <v>Arti Kumari </v>
      </c>
      <c r="D362" s="10" t="str">
        <f>IFERROR(__xludf.DUMMYFUNCTION("""COMPUTED_VALUE"""),"03346661865")</f>
        <v>03346661865</v>
      </c>
      <c r="E362" s="10" t="str">
        <f>IFERROR(__xludf.DUMMYFUNCTION("""COMPUTED_VALUE"""),"SHAHI MASJID CHINOT ")</f>
        <v>SHAHI MASJID CHINOT </v>
      </c>
      <c r="F362" s="10" t="str">
        <f>IFERROR(__xludf.DUMMYFUNCTION("""COMPUTED_VALUE"""),"LTSEN")</f>
        <v>LTSEN</v>
      </c>
      <c r="G362" s="10" t="str">
        <f>IFERROR(__xludf.DUMMYFUNCTION("""COMPUTED_VALUE"""),"Yes")</f>
        <v>Yes</v>
      </c>
      <c r="H362" s="10">
        <f>IFERROR(__xludf.DUMMYFUNCTION("""COMPUTED_VALUE"""),0.0)</f>
        <v>0</v>
      </c>
      <c r="I362" s="10">
        <f>IFERROR(__xludf.DUMMYFUNCTION("""COMPUTED_VALUE"""),0.0)</f>
        <v>0</v>
      </c>
      <c r="J362" s="10">
        <f>IFERROR(__xludf.DUMMYFUNCTION("""COMPUTED_VALUE"""),0.0)</f>
        <v>0</v>
      </c>
      <c r="K362" s="10">
        <f>IFERROR(__xludf.DUMMYFUNCTION("""COMPUTED_VALUE"""),0.0)</f>
        <v>0</v>
      </c>
      <c r="L362" s="10">
        <f>IFERROR(__xludf.DUMMYFUNCTION("""COMPUTED_VALUE"""),0.0)</f>
        <v>0</v>
      </c>
      <c r="M362" s="10">
        <f>IFERROR(__xludf.DUMMYFUNCTION("""COMPUTED_VALUE"""),0.0)</f>
        <v>0</v>
      </c>
      <c r="N362" s="10">
        <f>IFERROR(__xludf.DUMMYFUNCTION("""COMPUTED_VALUE"""),0.0)</f>
        <v>0</v>
      </c>
      <c r="O362" s="10">
        <f>IFERROR(__xludf.DUMMYFUNCTION("""COMPUTED_VALUE"""),0.0)</f>
        <v>0</v>
      </c>
      <c r="P362" s="10">
        <f>IFERROR(__xludf.DUMMYFUNCTION("""COMPUTED_VALUE"""),0.0)</f>
        <v>0</v>
      </c>
      <c r="Q362" s="10" t="str">
        <f>IFERROR(__xludf.DUMMYFUNCTION("""COMPUTED_VALUE"""),"No")</f>
        <v>No</v>
      </c>
      <c r="R362" s="10" t="str">
        <f>IFERROR(__xludf.DUMMYFUNCTION("""COMPUTED_VALUE"""),"No")</f>
        <v>No</v>
      </c>
      <c r="S362" s="10" t="str">
        <f>IFERROR(__xludf.DUMMYFUNCTION("""COMPUTED_VALUE"""),"No")</f>
        <v>No</v>
      </c>
      <c r="T362" s="10">
        <f>IFERROR(__xludf.DUMMYFUNCTION("""COMPUTED_VALUE"""),0.0)</f>
        <v>0</v>
      </c>
      <c r="U362" s="10">
        <f>IFERROR(__xludf.DUMMYFUNCTION("""COMPUTED_VALUE"""),0.0)</f>
        <v>0</v>
      </c>
      <c r="V362" s="10" t="str">
        <f>IFERROR(__xludf.DUMMYFUNCTION("""COMPUTED_VALUE"""),"قیامت کی نشانیاں")</f>
        <v>قیامت کی نشانیاں</v>
      </c>
      <c r="W362" s="10" t="str">
        <f>IFERROR(__xludf.DUMMYFUNCTION("""COMPUTED_VALUE"""),"امام نے قیامت کی نشانیوں کا ذکر کیا ہے ہےاور زمین پر قنہ فساد اور مملک کا ایک دوسرے دے کمپٹیشن ہو گا۔")</f>
        <v>امام نے قیامت کی نشانیوں کا ذکر کیا ہے ہےاور زمین پر قنہ فساد اور مملک کا ایک دوسرے دے کمپٹیشن ہو گا۔</v>
      </c>
      <c r="X362" s="10">
        <f>IFERROR(__xludf.DUMMYFUNCTION("""COMPUTED_VALUE"""),8.0)</f>
        <v>8</v>
      </c>
      <c r="Y362" s="10">
        <f>IFERROR(__xludf.DUMMYFUNCTION("""COMPUTED_VALUE"""),0.0)</f>
        <v>0</v>
      </c>
      <c r="Z362" s="10">
        <f>IFERROR(__xludf.DUMMYFUNCTION("""COMPUTED_VALUE"""),8.0)</f>
        <v>8</v>
      </c>
      <c r="AA362" s="10">
        <f>IFERROR(__xludf.DUMMYFUNCTION("""COMPUTED_VALUE"""),7.0)</f>
        <v>7</v>
      </c>
      <c r="AB362" s="10">
        <f>IFERROR(__xludf.DUMMYFUNCTION("""COMPUTED_VALUE"""),2.0)</f>
        <v>2</v>
      </c>
      <c r="AC362" s="10">
        <f>IFERROR(__xludf.DUMMYFUNCTION("""COMPUTED_VALUE"""),8.0)</f>
        <v>8</v>
      </c>
      <c r="AD362" s="10">
        <f>IFERROR(__xludf.DUMMYFUNCTION("""COMPUTED_VALUE"""),0.0)</f>
        <v>0</v>
      </c>
      <c r="AE362" s="10">
        <f>IFERROR(__xludf.DUMMYFUNCTION("""COMPUTED_VALUE"""),0.0)</f>
        <v>0</v>
      </c>
      <c r="AF362" s="10">
        <f>IFERROR(__xludf.DUMMYFUNCTION("""COMPUTED_VALUE"""),0.0)</f>
        <v>0</v>
      </c>
      <c r="AG362" s="10">
        <f>IFERROR(__xludf.DUMMYFUNCTION("""COMPUTED_VALUE"""),5.0)</f>
        <v>5</v>
      </c>
      <c r="AH362" s="10">
        <f>IFERROR(__xludf.DUMMYFUNCTION("""COMPUTED_VALUE"""),0.0)</f>
        <v>0</v>
      </c>
      <c r="AI362" s="10">
        <f>IFERROR(__xludf.DUMMYFUNCTION("""COMPUTED_VALUE"""),5.0)</f>
        <v>5</v>
      </c>
      <c r="AJ362" s="11" t="str">
        <f>IFERROR(__xludf.DUMMYFUNCTION("""COMPUTED_VALUE"""),"https://drive.google.com/open?id=19w9sqs77KEdyDJNPn9TNbyUOxCZwlpzC")</f>
        <v>https://drive.google.com/open?id=19w9sqs77KEdyDJNPn9TNbyUOxCZwlpzC</v>
      </c>
      <c r="AK362" s="12"/>
      <c r="AL362" s="12" t="str">
        <f>IFERROR(__xludf.DUMMYFUNCTION("""COMPUTED_VALUE"""),"Yes")</f>
        <v>Yes</v>
      </c>
      <c r="AM362" s="15">
        <f>IFERROR(__xludf.DUMMYFUNCTION("""COMPUTED_VALUE"""),0.0)</f>
        <v>0</v>
      </c>
      <c r="AN362" s="12" t="str">
        <f>IFERROR(__xludf.DUMMYFUNCTION("""COMPUTED_VALUE"""),"3rd week")</f>
        <v>3rd week</v>
      </c>
      <c r="AO362" s="13">
        <v>3.0</v>
      </c>
      <c r="AX362" s="17"/>
    </row>
    <row r="363">
      <c r="B363" s="9">
        <f>IFERROR(__xludf.DUMMYFUNCTION("""COMPUTED_VALUE"""),45837.564211550925)</f>
        <v>45837.56421</v>
      </c>
      <c r="C363" s="10" t="str">
        <f>IFERROR(__xludf.DUMMYFUNCTION("""COMPUTED_VALUE"""),"Arti Kumari ")</f>
        <v>Arti Kumari </v>
      </c>
      <c r="D363" s="10" t="str">
        <f>IFERROR(__xludf.DUMMYFUNCTION("""COMPUTED_VALUE"""),"03346661865")</f>
        <v>03346661865</v>
      </c>
      <c r="E363" s="10" t="str">
        <f>IFERROR(__xludf.DUMMYFUNCTION("""COMPUTED_VALUE"""),"Jamia Masjid Darnar Sheikh Ahmad Wali Gujrat")</f>
        <v>Jamia Masjid Darnar Sheikh Ahmad Wali Gujrat</v>
      </c>
      <c r="F363" s="10" t="str">
        <f>IFERROR(__xludf.DUMMYFUNCTION("""COMPUTED_VALUE"""),"PGPQM")</f>
        <v>PGPQM</v>
      </c>
      <c r="G363" s="10" t="str">
        <f>IFERROR(__xludf.DUMMYFUNCTION("""COMPUTED_VALUE"""),"Yes")</f>
        <v>Yes</v>
      </c>
      <c r="H363" s="10">
        <f>IFERROR(__xludf.DUMMYFUNCTION("""COMPUTED_VALUE"""),0.0)</f>
        <v>0</v>
      </c>
      <c r="I363" s="10">
        <f>IFERROR(__xludf.DUMMYFUNCTION("""COMPUTED_VALUE"""),0.0)</f>
        <v>0</v>
      </c>
      <c r="J363" s="10">
        <f>IFERROR(__xludf.DUMMYFUNCTION("""COMPUTED_VALUE"""),0.0)</f>
        <v>0</v>
      </c>
      <c r="K363" s="10">
        <f>IFERROR(__xludf.DUMMYFUNCTION("""COMPUTED_VALUE"""),0.0)</f>
        <v>0</v>
      </c>
      <c r="L363" s="10">
        <f>IFERROR(__xludf.DUMMYFUNCTION("""COMPUTED_VALUE"""),0.0)</f>
        <v>0</v>
      </c>
      <c r="M363" s="10">
        <f>IFERROR(__xludf.DUMMYFUNCTION("""COMPUTED_VALUE"""),0.0)</f>
        <v>0</v>
      </c>
      <c r="N363" s="10">
        <f>IFERROR(__xludf.DUMMYFUNCTION("""COMPUTED_VALUE"""),0.0)</f>
        <v>0</v>
      </c>
      <c r="O363" s="10">
        <f>IFERROR(__xludf.DUMMYFUNCTION("""COMPUTED_VALUE"""),0.0)</f>
        <v>0</v>
      </c>
      <c r="P363" s="10">
        <f>IFERROR(__xludf.DUMMYFUNCTION("""COMPUTED_VALUE"""),0.0)</f>
        <v>0</v>
      </c>
      <c r="Q363" s="10" t="str">
        <f>IFERROR(__xludf.DUMMYFUNCTION("""COMPUTED_VALUE"""),"No")</f>
        <v>No</v>
      </c>
      <c r="R363" s="10" t="str">
        <f>IFERROR(__xludf.DUMMYFUNCTION("""COMPUTED_VALUE"""),"No")</f>
        <v>No</v>
      </c>
      <c r="S363" s="10" t="str">
        <f>IFERROR(__xludf.DUMMYFUNCTION("""COMPUTED_VALUE"""),"No")</f>
        <v>No</v>
      </c>
      <c r="T363" s="10">
        <f>IFERROR(__xludf.DUMMYFUNCTION("""COMPUTED_VALUE"""),0.0)</f>
        <v>0</v>
      </c>
      <c r="U363" s="10">
        <f>IFERROR(__xludf.DUMMYFUNCTION("""COMPUTED_VALUE"""),0.0)</f>
        <v>0</v>
      </c>
      <c r="V363" s="10" t="str">
        <f>IFERROR(__xludf.DUMMYFUNCTION("""COMPUTED_VALUE"""),"غیر مذہبی رسومات")</f>
        <v>غیر مذہبی رسومات</v>
      </c>
      <c r="W363" s="10" t="str">
        <f>IFERROR(__xludf.DUMMYFUNCTION("""COMPUTED_VALUE"""),"امام نے خطبہ میں بتایا کے لوگ آج کل بہت سی غیر مذہبی رسومات شروع کر دی ہیں جن کی اسلام بلکل اخازت نہیں دیتا اور نہ ہی ایسی لمبی چوڑی کوئی رسومات ہمارے مزہب میں شامل ہیں ہم نے صف اپنے نبی کے احکام کی پیروی کرنی کا حکم ہے ہم نے ان کے حالات کو خود ہی اپنی مر"&amp;"ضی سے توڈ مڑوڑ کے اپنی مرضی کی رسومات بنا لی ہیں")</f>
        <v>امام نے خطبہ میں بتایا کے لوگ آج کل بہت سی غیر مذہبی رسومات شروع کر دی ہیں جن کی اسلام بلکل اخازت نہیں دیتا اور نہ ہی ایسی لمبی چوڑی کوئی رسومات ہمارے مزہب میں شامل ہیں ہم نے صف اپنے نبی کے احکام کی پیروی کرنی کا حکم ہے ہم نے ان کے حالات کو خود ہی اپنی مرضی سے توڈ مڑوڑ کے اپنی مرضی کی رسومات بنا لی ہیں</v>
      </c>
      <c r="X363" s="10">
        <f>IFERROR(__xludf.DUMMYFUNCTION("""COMPUTED_VALUE"""),5.0)</f>
        <v>5</v>
      </c>
      <c r="Y363" s="10">
        <f>IFERROR(__xludf.DUMMYFUNCTION("""COMPUTED_VALUE"""),8.0)</f>
        <v>8</v>
      </c>
      <c r="Z363" s="10">
        <f>IFERROR(__xludf.DUMMYFUNCTION("""COMPUTED_VALUE"""),10.0)</f>
        <v>10</v>
      </c>
      <c r="AA363" s="10">
        <f>IFERROR(__xludf.DUMMYFUNCTION("""COMPUTED_VALUE"""),8.0)</f>
        <v>8</v>
      </c>
      <c r="AB363" s="10">
        <f>IFERROR(__xludf.DUMMYFUNCTION("""COMPUTED_VALUE"""),6.0)</f>
        <v>6</v>
      </c>
      <c r="AC363" s="10">
        <f>IFERROR(__xludf.DUMMYFUNCTION("""COMPUTED_VALUE"""),0.0)</f>
        <v>0</v>
      </c>
      <c r="AD363" s="10">
        <f>IFERROR(__xludf.DUMMYFUNCTION("""COMPUTED_VALUE"""),0.0)</f>
        <v>0</v>
      </c>
      <c r="AE363" s="10">
        <f>IFERROR(__xludf.DUMMYFUNCTION("""COMPUTED_VALUE"""),0.0)</f>
        <v>0</v>
      </c>
      <c r="AF363" s="10">
        <f>IFERROR(__xludf.DUMMYFUNCTION("""COMPUTED_VALUE"""),0.0)</f>
        <v>0</v>
      </c>
      <c r="AG363" s="10">
        <f>IFERROR(__xludf.DUMMYFUNCTION("""COMPUTED_VALUE"""),10.0)</f>
        <v>10</v>
      </c>
      <c r="AH363" s="10">
        <f>IFERROR(__xludf.DUMMYFUNCTION("""COMPUTED_VALUE"""),0.0)</f>
        <v>0</v>
      </c>
      <c r="AI363" s="10">
        <f>IFERROR(__xludf.DUMMYFUNCTION("""COMPUTED_VALUE"""),10.0)</f>
        <v>10</v>
      </c>
      <c r="AJ363" s="11" t="str">
        <f>IFERROR(__xludf.DUMMYFUNCTION("""COMPUTED_VALUE"""),"https://drive.google.com/open?id=1Uo0s6uig252T0i1MgOoWT1wYVFavwov9")</f>
        <v>https://drive.google.com/open?id=1Uo0s6uig252T0i1MgOoWT1wYVFavwov9</v>
      </c>
      <c r="AK363" s="12"/>
      <c r="AL363" s="12" t="str">
        <f>IFERROR(__xludf.DUMMYFUNCTION("""COMPUTED_VALUE"""),"Yes")</f>
        <v>Yes</v>
      </c>
      <c r="AM363" s="15">
        <f>IFERROR(__xludf.DUMMYFUNCTION("""COMPUTED_VALUE"""),0.0)</f>
        <v>0</v>
      </c>
      <c r="AN363" s="12" t="str">
        <f>IFERROR(__xludf.DUMMYFUNCTION("""COMPUTED_VALUE"""),"3rd week")</f>
        <v>3rd week</v>
      </c>
      <c r="AO363" s="13">
        <v>3.0</v>
      </c>
      <c r="AX363" s="17"/>
    </row>
    <row r="364">
      <c r="B364" s="9">
        <f>IFERROR(__xludf.DUMMYFUNCTION("""COMPUTED_VALUE"""),45838.227744502314)</f>
        <v>45838.22774</v>
      </c>
      <c r="C364" s="10" t="str">
        <f>IFERROR(__xludf.DUMMYFUNCTION("""COMPUTED_VALUE"""),"Asma Gul ")</f>
        <v>Asma Gul </v>
      </c>
      <c r="D364" s="10" t="str">
        <f>IFERROR(__xludf.DUMMYFUNCTION("""COMPUTED_VALUE"""),"03459308620")</f>
        <v>03459308620</v>
      </c>
      <c r="E364" s="10" t="str">
        <f>IFERROR(__xludf.DUMMYFUNCTION("""COMPUTED_VALUE"""),"Jamia Masjid Darbar Shah Dhola Gujrat")</f>
        <v>Jamia Masjid Darbar Shah Dhola Gujrat</v>
      </c>
      <c r="F364" s="10" t="str">
        <f>IFERROR(__xludf.DUMMYFUNCTION("""COMPUTED_VALUE"""),"QAQID")</f>
        <v>QAQID</v>
      </c>
      <c r="G364" s="10" t="str">
        <f>IFERROR(__xludf.DUMMYFUNCTION("""COMPUTED_VALUE"""),"Yes")</f>
        <v>Yes</v>
      </c>
      <c r="H364" s="10">
        <f>IFERROR(__xludf.DUMMYFUNCTION("""COMPUTED_VALUE"""),6.0)</f>
        <v>6</v>
      </c>
      <c r="I364" s="10">
        <f>IFERROR(__xludf.DUMMYFUNCTION("""COMPUTED_VALUE"""),5.0)</f>
        <v>5</v>
      </c>
      <c r="J364" s="10">
        <f>IFERROR(__xludf.DUMMYFUNCTION("""COMPUTED_VALUE"""),7.0)</f>
        <v>7</v>
      </c>
      <c r="K364" s="10">
        <f>IFERROR(__xludf.DUMMYFUNCTION("""COMPUTED_VALUE"""),7.0)</f>
        <v>7</v>
      </c>
      <c r="L364" s="10">
        <f>IFERROR(__xludf.DUMMYFUNCTION("""COMPUTED_VALUE"""),8.0)</f>
        <v>8</v>
      </c>
      <c r="M364" s="10">
        <f>IFERROR(__xludf.DUMMYFUNCTION("""COMPUTED_VALUE"""),8.0)</f>
        <v>8</v>
      </c>
      <c r="N364" s="10">
        <f>IFERROR(__xludf.DUMMYFUNCTION("""COMPUTED_VALUE"""),8.0)</f>
        <v>8</v>
      </c>
      <c r="O364" s="10">
        <f>IFERROR(__xludf.DUMMYFUNCTION("""COMPUTED_VALUE"""),7.0)</f>
        <v>7</v>
      </c>
      <c r="P364" s="10">
        <f>IFERROR(__xludf.DUMMYFUNCTION("""COMPUTED_VALUE"""),7.0)</f>
        <v>7</v>
      </c>
      <c r="Q364" s="10" t="str">
        <f>IFERROR(__xludf.DUMMYFUNCTION("""COMPUTED_VALUE"""),"Yes")</f>
        <v>Yes</v>
      </c>
      <c r="R364" s="10" t="str">
        <f>IFERROR(__xludf.DUMMYFUNCTION("""COMPUTED_VALUE"""),"No")</f>
        <v>No</v>
      </c>
      <c r="S364" s="10" t="str">
        <f>IFERROR(__xludf.DUMMYFUNCTION("""COMPUTED_VALUE"""),"No")</f>
        <v>No</v>
      </c>
      <c r="T364" s="10">
        <f>IFERROR(__xludf.DUMMYFUNCTION("""COMPUTED_VALUE"""),7.0)</f>
        <v>7</v>
      </c>
      <c r="U364" s="10">
        <f>IFERROR(__xludf.DUMMYFUNCTION("""COMPUTED_VALUE"""),7.0)</f>
        <v>7</v>
      </c>
      <c r="V364" s="10" t="str">
        <f>IFERROR(__xludf.DUMMYFUNCTION("""COMPUTED_VALUE"""),"درود شریف کی فضیلت ")</f>
        <v>درود شریف کی فضیلت </v>
      </c>
      <c r="W364" s="10" t="str">
        <f>IFERROR(__xludf.DUMMYFUNCTION("""COMPUTED_VALUE"""),"درود شریف کی فضیلت بیان کی ہے اور رسول پاک صلی اللہ علیہ وسلم پر اللہ کے فرشتے بھی درود پڑھتے ہیں۔")</f>
        <v>درود شریف کی فضیلت بیان کی ہے اور رسول پاک صلی اللہ علیہ وسلم پر اللہ کے فرشتے بھی درود پڑھتے ہیں۔</v>
      </c>
      <c r="X364" s="10">
        <f>IFERROR(__xludf.DUMMYFUNCTION("""COMPUTED_VALUE"""),8.0)</f>
        <v>8</v>
      </c>
      <c r="Y364" s="10">
        <f>IFERROR(__xludf.DUMMYFUNCTION("""COMPUTED_VALUE"""),7.0)</f>
        <v>7</v>
      </c>
      <c r="Z364" s="10">
        <f>IFERROR(__xludf.DUMMYFUNCTION("""COMPUTED_VALUE"""),7.0)</f>
        <v>7</v>
      </c>
      <c r="AA364" s="10">
        <f>IFERROR(__xludf.DUMMYFUNCTION("""COMPUTED_VALUE"""),6.0)</f>
        <v>6</v>
      </c>
      <c r="AB364" s="10">
        <f>IFERROR(__xludf.DUMMYFUNCTION("""COMPUTED_VALUE"""),5.0)</f>
        <v>5</v>
      </c>
      <c r="AC364" s="10">
        <f>IFERROR(__xludf.DUMMYFUNCTION("""COMPUTED_VALUE"""),7.0)</f>
        <v>7</v>
      </c>
      <c r="AD364" s="10">
        <f>IFERROR(__xludf.DUMMYFUNCTION("""COMPUTED_VALUE"""),6.0)</f>
        <v>6</v>
      </c>
      <c r="AE364" s="10">
        <f>IFERROR(__xludf.DUMMYFUNCTION("""COMPUTED_VALUE"""),4.0)</f>
        <v>4</v>
      </c>
      <c r="AF364" s="10">
        <f>IFERROR(__xludf.DUMMYFUNCTION("""COMPUTED_VALUE"""),3.0)</f>
        <v>3</v>
      </c>
      <c r="AG364" s="10">
        <f>IFERROR(__xludf.DUMMYFUNCTION("""COMPUTED_VALUE"""),5.0)</f>
        <v>5</v>
      </c>
      <c r="AH364" s="10">
        <f>IFERROR(__xludf.DUMMYFUNCTION("""COMPUTED_VALUE"""),2.0)</f>
        <v>2</v>
      </c>
      <c r="AI364" s="10">
        <f>IFERROR(__xludf.DUMMYFUNCTION("""COMPUTED_VALUE"""),10.0)</f>
        <v>10</v>
      </c>
      <c r="AJ364" s="11" t="str">
        <f>IFERROR(__xludf.DUMMYFUNCTION("""COMPUTED_VALUE"""),"https://drive.google.com/open?id=111v1kK0I-CrqLff2TNEZryT6UW3xt-lq")</f>
        <v>https://drive.google.com/open?id=111v1kK0I-CrqLff2TNEZryT6UW3xt-lq</v>
      </c>
      <c r="AK364" s="12"/>
      <c r="AL364" s="12" t="str">
        <f>IFERROR(__xludf.DUMMYFUNCTION("""COMPUTED_VALUE"""),"Yes")</f>
        <v>Yes</v>
      </c>
      <c r="AM364" s="15">
        <f>IFERROR(__xludf.DUMMYFUNCTION("""COMPUTED_VALUE"""),0.8)</f>
        <v>0.8</v>
      </c>
      <c r="AN364" s="12" t="str">
        <f>IFERROR(__xludf.DUMMYFUNCTION("""COMPUTED_VALUE"""),"3rd week")</f>
        <v>3rd week</v>
      </c>
      <c r="AO364" s="13">
        <v>3.0</v>
      </c>
      <c r="AX364" s="17"/>
    </row>
    <row r="365">
      <c r="B365" s="9">
        <f>IFERROR(__xludf.DUMMYFUNCTION("""COMPUTED_VALUE"""),45838.23129915509)</f>
        <v>45838.2313</v>
      </c>
      <c r="C365" s="10" t="str">
        <f>IFERROR(__xludf.DUMMYFUNCTION("""COMPUTED_VALUE"""),"Asma Gul ")</f>
        <v>Asma Gul </v>
      </c>
      <c r="D365" s="10" t="str">
        <f>IFERROR(__xludf.DUMMYFUNCTION("""COMPUTED_VALUE"""),"03459308620")</f>
        <v>03459308620</v>
      </c>
      <c r="E365" s="10" t="str">
        <f>IFERROR(__xludf.DUMMYFUNCTION("""COMPUTED_VALUE"""),"Jamia Masjid Main Bazar Bhahwal ")</f>
        <v>Jamia Masjid Main Bazar Bhahwal </v>
      </c>
      <c r="F365" s="10" t="str">
        <f>IFERROR(__xludf.DUMMYFUNCTION("""COMPUTED_VALUE"""),"OBNTR")</f>
        <v>OBNTR</v>
      </c>
      <c r="G365" s="10" t="str">
        <f>IFERROR(__xludf.DUMMYFUNCTION("""COMPUTED_VALUE"""),"Yes")</f>
        <v>Yes</v>
      </c>
      <c r="H365" s="10">
        <f>IFERROR(__xludf.DUMMYFUNCTION("""COMPUTED_VALUE"""),7.0)</f>
        <v>7</v>
      </c>
      <c r="I365" s="10">
        <f>IFERROR(__xludf.DUMMYFUNCTION("""COMPUTED_VALUE"""),4.0)</f>
        <v>4</v>
      </c>
      <c r="J365" s="10">
        <f>IFERROR(__xludf.DUMMYFUNCTION("""COMPUTED_VALUE"""),7.0)</f>
        <v>7</v>
      </c>
      <c r="K365" s="10">
        <f>IFERROR(__xludf.DUMMYFUNCTION("""COMPUTED_VALUE"""),8.0)</f>
        <v>8</v>
      </c>
      <c r="L365" s="10">
        <f>IFERROR(__xludf.DUMMYFUNCTION("""COMPUTED_VALUE"""),8.0)</f>
        <v>8</v>
      </c>
      <c r="M365" s="10">
        <f>IFERROR(__xludf.DUMMYFUNCTION("""COMPUTED_VALUE"""),7.0)</f>
        <v>7</v>
      </c>
      <c r="N365" s="10">
        <f>IFERROR(__xludf.DUMMYFUNCTION("""COMPUTED_VALUE"""),6.0)</f>
        <v>6</v>
      </c>
      <c r="O365" s="10">
        <f>IFERROR(__xludf.DUMMYFUNCTION("""COMPUTED_VALUE"""),7.0)</f>
        <v>7</v>
      </c>
      <c r="P365" s="10">
        <f>IFERROR(__xludf.DUMMYFUNCTION("""COMPUTED_VALUE"""),7.0)</f>
        <v>7</v>
      </c>
      <c r="Q365" s="10" t="str">
        <f>IFERROR(__xludf.DUMMYFUNCTION("""COMPUTED_VALUE"""),"Yes")</f>
        <v>Yes</v>
      </c>
      <c r="R365" s="10" t="str">
        <f>IFERROR(__xludf.DUMMYFUNCTION("""COMPUTED_VALUE"""),"No")</f>
        <v>No</v>
      </c>
      <c r="S365" s="10" t="str">
        <f>IFERROR(__xludf.DUMMYFUNCTION("""COMPUTED_VALUE"""),"No")</f>
        <v>No</v>
      </c>
      <c r="T365" s="10">
        <f>IFERROR(__xludf.DUMMYFUNCTION("""COMPUTED_VALUE"""),7.0)</f>
        <v>7</v>
      </c>
      <c r="U365" s="10">
        <f>IFERROR(__xludf.DUMMYFUNCTION("""COMPUTED_VALUE"""),8.0)</f>
        <v>8</v>
      </c>
      <c r="V365" s="10" t="str">
        <f>IFERROR(__xludf.DUMMYFUNCTION("""COMPUTED_VALUE"""),"حضرت ابراہیم علیہ السلام کا فلسطین سے بیت اللہ تک کا سفر")</f>
        <v>حضرت ابراہیم علیہ السلام کا فلسطین سے بیت اللہ تک کا سفر</v>
      </c>
      <c r="W365" s="10" t="str">
        <f>IFERROR(__xludf.DUMMYFUNCTION("""COMPUTED_VALUE"""),"حضرت اسماعیل علیہ السلام کی پیدائش اور پھر مکہ کی طرف ہجرت اور پھر اب زمزم کا دریافت ہونا یہ سب بیان کیا ہے")</f>
        <v>حضرت اسماعیل علیہ السلام کی پیدائش اور پھر مکہ کی طرف ہجرت اور پھر اب زمزم کا دریافت ہونا یہ سب بیان کیا ہے</v>
      </c>
      <c r="X365" s="10">
        <f>IFERROR(__xludf.DUMMYFUNCTION("""COMPUTED_VALUE"""),7.0)</f>
        <v>7</v>
      </c>
      <c r="Y365" s="10">
        <f>IFERROR(__xludf.DUMMYFUNCTION("""COMPUTED_VALUE"""),8.0)</f>
        <v>8</v>
      </c>
      <c r="Z365" s="10">
        <f>IFERROR(__xludf.DUMMYFUNCTION("""COMPUTED_VALUE"""),7.0)</f>
        <v>7</v>
      </c>
      <c r="AA365" s="10">
        <f>IFERROR(__xludf.DUMMYFUNCTION("""COMPUTED_VALUE"""),8.0)</f>
        <v>8</v>
      </c>
      <c r="AB365" s="10">
        <f>IFERROR(__xludf.DUMMYFUNCTION("""COMPUTED_VALUE"""),8.0)</f>
        <v>8</v>
      </c>
      <c r="AC365" s="10">
        <f>IFERROR(__xludf.DUMMYFUNCTION("""COMPUTED_VALUE"""),5.0)</f>
        <v>5</v>
      </c>
      <c r="AD365" s="10">
        <f>IFERROR(__xludf.DUMMYFUNCTION("""COMPUTED_VALUE"""),7.0)</f>
        <v>7</v>
      </c>
      <c r="AE365" s="10">
        <f>IFERROR(__xludf.DUMMYFUNCTION("""COMPUTED_VALUE"""),6.0)</f>
        <v>6</v>
      </c>
      <c r="AF365" s="10">
        <f>IFERROR(__xludf.DUMMYFUNCTION("""COMPUTED_VALUE"""),7.0)</f>
        <v>7</v>
      </c>
      <c r="AG365" s="10">
        <f>IFERROR(__xludf.DUMMYFUNCTION("""COMPUTED_VALUE"""),8.0)</f>
        <v>8</v>
      </c>
      <c r="AH365" s="10">
        <f>IFERROR(__xludf.DUMMYFUNCTION("""COMPUTED_VALUE"""),3.0)</f>
        <v>3</v>
      </c>
      <c r="AI365" s="10">
        <f>IFERROR(__xludf.DUMMYFUNCTION("""COMPUTED_VALUE"""),7.0)</f>
        <v>7</v>
      </c>
      <c r="AJ365" s="11" t="str">
        <f>IFERROR(__xludf.DUMMYFUNCTION("""COMPUTED_VALUE"""),"https://drive.google.com/open?id=1-iJXkVn2diVcTqSxuzZ-9HYC1wo2zTOx")</f>
        <v>https://drive.google.com/open?id=1-iJXkVn2diVcTqSxuzZ-9HYC1wo2zTOx</v>
      </c>
      <c r="AK365" s="12"/>
      <c r="AL365" s="12" t="str">
        <f>IFERROR(__xludf.DUMMYFUNCTION("""COMPUTED_VALUE"""),"Yes")</f>
        <v>Yes</v>
      </c>
      <c r="AM365" s="15">
        <f>IFERROR(__xludf.DUMMYFUNCTION("""COMPUTED_VALUE"""),0.8)</f>
        <v>0.8</v>
      </c>
      <c r="AN365" s="12" t="str">
        <f>IFERROR(__xludf.DUMMYFUNCTION("""COMPUTED_VALUE"""),"3rd week")</f>
        <v>3rd week</v>
      </c>
      <c r="AO365" s="13">
        <v>3.0</v>
      </c>
      <c r="AX365" s="17"/>
    </row>
    <row r="366">
      <c r="B366" s="9">
        <f>IFERROR(__xludf.DUMMYFUNCTION("""COMPUTED_VALUE"""),45838.2332578125)</f>
        <v>45838.23326</v>
      </c>
      <c r="C366" s="10" t="str">
        <f>IFERROR(__xludf.DUMMYFUNCTION("""COMPUTED_VALUE"""),"Asma Gul ")</f>
        <v>Asma Gul </v>
      </c>
      <c r="D366" s="10" t="str">
        <f>IFERROR(__xludf.DUMMYFUNCTION("""COMPUTED_VALUE"""),"03459308620")</f>
        <v>03459308620</v>
      </c>
      <c r="E366" s="10" t="str">
        <f>IFERROR(__xludf.DUMMYFUNCTION("""COMPUTED_VALUE"""),"Jamia Masjid Block # 1 Sargodha")</f>
        <v>Jamia Masjid Block # 1 Sargodha</v>
      </c>
      <c r="F366" s="10" t="str">
        <f>IFERROR(__xludf.DUMMYFUNCTION("""COMPUTED_VALUE"""),"PMXOX")</f>
        <v>PMXOX</v>
      </c>
      <c r="G366" s="10" t="str">
        <f>IFERROR(__xludf.DUMMYFUNCTION("""COMPUTED_VALUE"""),"Yes")</f>
        <v>Yes</v>
      </c>
      <c r="H366" s="10">
        <f>IFERROR(__xludf.DUMMYFUNCTION("""COMPUTED_VALUE"""),8.0)</f>
        <v>8</v>
      </c>
      <c r="I366" s="10">
        <f>IFERROR(__xludf.DUMMYFUNCTION("""COMPUTED_VALUE"""),2.0)</f>
        <v>2</v>
      </c>
      <c r="J366" s="10">
        <f>IFERROR(__xludf.DUMMYFUNCTION("""COMPUTED_VALUE"""),9.0)</f>
        <v>9</v>
      </c>
      <c r="K366" s="10">
        <f>IFERROR(__xludf.DUMMYFUNCTION("""COMPUTED_VALUE"""),7.0)</f>
        <v>7</v>
      </c>
      <c r="L366" s="10">
        <f>IFERROR(__xludf.DUMMYFUNCTION("""COMPUTED_VALUE"""),7.0)</f>
        <v>7</v>
      </c>
      <c r="M366" s="10">
        <f>IFERROR(__xludf.DUMMYFUNCTION("""COMPUTED_VALUE"""),7.0)</f>
        <v>7</v>
      </c>
      <c r="N366" s="10">
        <f>IFERROR(__xludf.DUMMYFUNCTION("""COMPUTED_VALUE"""),6.0)</f>
        <v>6</v>
      </c>
      <c r="O366" s="10">
        <f>IFERROR(__xludf.DUMMYFUNCTION("""COMPUTED_VALUE"""),7.0)</f>
        <v>7</v>
      </c>
      <c r="P366" s="10">
        <f>IFERROR(__xludf.DUMMYFUNCTION("""COMPUTED_VALUE"""),7.0)</f>
        <v>7</v>
      </c>
      <c r="Q366" s="10" t="str">
        <f>IFERROR(__xludf.DUMMYFUNCTION("""COMPUTED_VALUE"""),"No")</f>
        <v>No</v>
      </c>
      <c r="R366" s="10" t="str">
        <f>IFERROR(__xludf.DUMMYFUNCTION("""COMPUTED_VALUE"""),"No")</f>
        <v>No</v>
      </c>
      <c r="S366" s="10" t="str">
        <f>IFERROR(__xludf.DUMMYFUNCTION("""COMPUTED_VALUE"""),"No")</f>
        <v>No</v>
      </c>
      <c r="T366" s="10">
        <f>IFERROR(__xludf.DUMMYFUNCTION("""COMPUTED_VALUE"""),0.0)</f>
        <v>0</v>
      </c>
      <c r="U366" s="10">
        <f>IFERROR(__xludf.DUMMYFUNCTION("""COMPUTED_VALUE"""),0.0)</f>
        <v>0</v>
      </c>
      <c r="V366" s="10" t="str">
        <f>IFERROR(__xludf.DUMMYFUNCTION("""COMPUTED_VALUE"""),"تقوی اختیار کرو ")</f>
        <v>تقوی اختیار کرو </v>
      </c>
      <c r="W366" s="10" t="str">
        <f>IFERROR(__xludf.DUMMYFUNCTION("""COMPUTED_VALUE"""),"تقوی اختیار کرو اللہ تعالی سے ڈرو اور سچے لوگوں کے ساتھ ہو جاؤ")</f>
        <v>تقوی اختیار کرو اللہ تعالی سے ڈرو اور سچے لوگوں کے ساتھ ہو جاؤ</v>
      </c>
      <c r="X366" s="10">
        <f>IFERROR(__xludf.DUMMYFUNCTION("""COMPUTED_VALUE"""),6.0)</f>
        <v>6</v>
      </c>
      <c r="Y366" s="10">
        <f>IFERROR(__xludf.DUMMYFUNCTION("""COMPUTED_VALUE"""),7.0)</f>
        <v>7</v>
      </c>
      <c r="Z366" s="10">
        <f>IFERROR(__xludf.DUMMYFUNCTION("""COMPUTED_VALUE"""),6.0)</f>
        <v>6</v>
      </c>
      <c r="AA366" s="10">
        <f>IFERROR(__xludf.DUMMYFUNCTION("""COMPUTED_VALUE"""),6.0)</f>
        <v>6</v>
      </c>
      <c r="AB366" s="10">
        <f>IFERROR(__xludf.DUMMYFUNCTION("""COMPUTED_VALUE"""),8.0)</f>
        <v>8</v>
      </c>
      <c r="AC366" s="10">
        <f>IFERROR(__xludf.DUMMYFUNCTION("""COMPUTED_VALUE"""),8.0)</f>
        <v>8</v>
      </c>
      <c r="AD366" s="10">
        <f>IFERROR(__xludf.DUMMYFUNCTION("""COMPUTED_VALUE"""),7.0)</f>
        <v>7</v>
      </c>
      <c r="AE366" s="10">
        <f>IFERROR(__xludf.DUMMYFUNCTION("""COMPUTED_VALUE"""),6.0)</f>
        <v>6</v>
      </c>
      <c r="AF366" s="10">
        <f>IFERROR(__xludf.DUMMYFUNCTION("""COMPUTED_VALUE"""),3.0)</f>
        <v>3</v>
      </c>
      <c r="AG366" s="10">
        <f>IFERROR(__xludf.DUMMYFUNCTION("""COMPUTED_VALUE"""),8.0)</f>
        <v>8</v>
      </c>
      <c r="AH366" s="10">
        <f>IFERROR(__xludf.DUMMYFUNCTION("""COMPUTED_VALUE"""),2.0)</f>
        <v>2</v>
      </c>
      <c r="AI366" s="10">
        <f>IFERROR(__xludf.DUMMYFUNCTION("""COMPUTED_VALUE"""),8.0)</f>
        <v>8</v>
      </c>
      <c r="AJ366" s="11" t="str">
        <f>IFERROR(__xludf.DUMMYFUNCTION("""COMPUTED_VALUE"""),"https://drive.google.com/open?id=1vvCV2smEMNoJeG3eRdeGnXAucQDBuK-3")</f>
        <v>https://drive.google.com/open?id=1vvCV2smEMNoJeG3eRdeGnXAucQDBuK-3</v>
      </c>
      <c r="AK366" s="12"/>
      <c r="AL366" s="12" t="str">
        <f>IFERROR(__xludf.DUMMYFUNCTION("""COMPUTED_VALUE"""),"Yes")</f>
        <v>Yes</v>
      </c>
      <c r="AM366" s="15">
        <f>IFERROR(__xludf.DUMMYFUNCTION("""COMPUTED_VALUE"""),0.9)</f>
        <v>0.9</v>
      </c>
      <c r="AN366" s="12" t="str">
        <f>IFERROR(__xludf.DUMMYFUNCTION("""COMPUTED_VALUE"""),"3rd week")</f>
        <v>3rd week</v>
      </c>
      <c r="AO366" s="13">
        <v>3.0</v>
      </c>
      <c r="AX366" s="17"/>
    </row>
    <row r="367">
      <c r="B367" s="9">
        <f>IFERROR(__xludf.DUMMYFUNCTION("""COMPUTED_VALUE"""),45838.23666869213)</f>
        <v>45838.23667</v>
      </c>
      <c r="C367" s="10" t="str">
        <f>IFERROR(__xludf.DUMMYFUNCTION("""COMPUTED_VALUE"""),"Asma Gul ")</f>
        <v>Asma Gul </v>
      </c>
      <c r="D367" s="10" t="str">
        <f>IFERROR(__xludf.DUMMYFUNCTION("""COMPUTED_VALUE"""),"03459308620")</f>
        <v>03459308620</v>
      </c>
      <c r="E367" s="10" t="str">
        <f>IFERROR(__xludf.DUMMYFUNCTION("""COMPUTED_VALUE"""),"Jamia Masjid Zia Muzam Abaad Kot Mumin")</f>
        <v>Jamia Masjid Zia Muzam Abaad Kot Mumin</v>
      </c>
      <c r="F367" s="10" t="str">
        <f>IFERROR(__xludf.DUMMYFUNCTION("""COMPUTED_VALUE"""),"UIODJ")</f>
        <v>UIODJ</v>
      </c>
      <c r="G367" s="10" t="str">
        <f>IFERROR(__xludf.DUMMYFUNCTION("""COMPUTED_VALUE"""),"Yes")</f>
        <v>Yes</v>
      </c>
      <c r="H367" s="10">
        <f>IFERROR(__xludf.DUMMYFUNCTION("""COMPUTED_VALUE"""),7.0)</f>
        <v>7</v>
      </c>
      <c r="I367" s="10">
        <f>IFERROR(__xludf.DUMMYFUNCTION("""COMPUTED_VALUE"""),4.0)</f>
        <v>4</v>
      </c>
      <c r="J367" s="10">
        <f>IFERROR(__xludf.DUMMYFUNCTION("""COMPUTED_VALUE"""),6.0)</f>
        <v>6</v>
      </c>
      <c r="K367" s="10">
        <f>IFERROR(__xludf.DUMMYFUNCTION("""COMPUTED_VALUE"""),6.0)</f>
        <v>6</v>
      </c>
      <c r="L367" s="10">
        <f>IFERROR(__xludf.DUMMYFUNCTION("""COMPUTED_VALUE"""),6.0)</f>
        <v>6</v>
      </c>
      <c r="M367" s="10">
        <f>IFERROR(__xludf.DUMMYFUNCTION("""COMPUTED_VALUE"""),6.0)</f>
        <v>6</v>
      </c>
      <c r="N367" s="10">
        <f>IFERROR(__xludf.DUMMYFUNCTION("""COMPUTED_VALUE"""),7.0)</f>
        <v>7</v>
      </c>
      <c r="O367" s="10">
        <f>IFERROR(__xludf.DUMMYFUNCTION("""COMPUTED_VALUE"""),2.0)</f>
        <v>2</v>
      </c>
      <c r="P367" s="10">
        <f>IFERROR(__xludf.DUMMYFUNCTION("""COMPUTED_VALUE"""),7.0)</f>
        <v>7</v>
      </c>
      <c r="Q367" s="10" t="str">
        <f>IFERROR(__xludf.DUMMYFUNCTION("""COMPUTED_VALUE"""),"No")</f>
        <v>No</v>
      </c>
      <c r="R367" s="10" t="str">
        <f>IFERROR(__xludf.DUMMYFUNCTION("""COMPUTED_VALUE"""),"No")</f>
        <v>No</v>
      </c>
      <c r="S367" s="10" t="str">
        <f>IFERROR(__xludf.DUMMYFUNCTION("""COMPUTED_VALUE"""),"No")</f>
        <v>No</v>
      </c>
      <c r="T367" s="10">
        <f>IFERROR(__xludf.DUMMYFUNCTION("""COMPUTED_VALUE"""),2.0)</f>
        <v>2</v>
      </c>
      <c r="U367" s="10">
        <f>IFERROR(__xludf.DUMMYFUNCTION("""COMPUTED_VALUE"""),1.0)</f>
        <v>1</v>
      </c>
      <c r="V367" s="10" t="str">
        <f>IFERROR(__xludf.DUMMYFUNCTION("""COMPUTED_VALUE"""),"شیطان سے حفاظت ")</f>
        <v>شیطان سے حفاظت </v>
      </c>
      <c r="W367" s="10" t="str">
        <f>IFERROR(__xludf.DUMMYFUNCTION("""COMPUTED_VALUE"""),"شیطان کس طرح مسلمانوں کو ورغلاتا ہے اور وہ تقریبا حضرت ادم علیہ السلام سے لے کے اج تک کافی تجربہ حاصل کر چکا ہے")</f>
        <v>شیطان کس طرح مسلمانوں کو ورغلاتا ہے اور وہ تقریبا حضرت ادم علیہ السلام سے لے کے اج تک کافی تجربہ حاصل کر چکا ہے</v>
      </c>
      <c r="X367" s="10">
        <f>IFERROR(__xludf.DUMMYFUNCTION("""COMPUTED_VALUE"""),8.0)</f>
        <v>8</v>
      </c>
      <c r="Y367" s="10">
        <f>IFERROR(__xludf.DUMMYFUNCTION("""COMPUTED_VALUE"""),8.0)</f>
        <v>8</v>
      </c>
      <c r="Z367" s="10">
        <f>IFERROR(__xludf.DUMMYFUNCTION("""COMPUTED_VALUE"""),8.0)</f>
        <v>8</v>
      </c>
      <c r="AA367" s="10">
        <f>IFERROR(__xludf.DUMMYFUNCTION("""COMPUTED_VALUE"""),8.0)</f>
        <v>8</v>
      </c>
      <c r="AB367" s="10">
        <f>IFERROR(__xludf.DUMMYFUNCTION("""COMPUTED_VALUE"""),6.0)</f>
        <v>6</v>
      </c>
      <c r="AC367" s="10">
        <f>IFERROR(__xludf.DUMMYFUNCTION("""COMPUTED_VALUE"""),4.0)</f>
        <v>4</v>
      </c>
      <c r="AD367" s="10">
        <f>IFERROR(__xludf.DUMMYFUNCTION("""COMPUTED_VALUE"""),6.0)</f>
        <v>6</v>
      </c>
      <c r="AE367" s="10">
        <f>IFERROR(__xludf.DUMMYFUNCTION("""COMPUTED_VALUE"""),5.0)</f>
        <v>5</v>
      </c>
      <c r="AF367" s="10">
        <f>IFERROR(__xludf.DUMMYFUNCTION("""COMPUTED_VALUE"""),2.0)</f>
        <v>2</v>
      </c>
      <c r="AG367" s="10">
        <f>IFERROR(__xludf.DUMMYFUNCTION("""COMPUTED_VALUE"""),8.0)</f>
        <v>8</v>
      </c>
      <c r="AH367" s="10">
        <f>IFERROR(__xludf.DUMMYFUNCTION("""COMPUTED_VALUE"""),1.0)</f>
        <v>1</v>
      </c>
      <c r="AI367" s="10">
        <f>IFERROR(__xludf.DUMMYFUNCTION("""COMPUTED_VALUE"""),8.0)</f>
        <v>8</v>
      </c>
      <c r="AJ367" s="11" t="str">
        <f>IFERROR(__xludf.DUMMYFUNCTION("""COMPUTED_VALUE"""),"https://drive.google.com/open?id=181_DY4_b-IpoDQ8jQtHjBdxSyztv0ZZW")</f>
        <v>https://drive.google.com/open?id=181_DY4_b-IpoDQ8jQtHjBdxSyztv0ZZW</v>
      </c>
      <c r="AK367" s="12"/>
      <c r="AL367" s="12" t="str">
        <f>IFERROR(__xludf.DUMMYFUNCTION("""COMPUTED_VALUE"""),"Yes")</f>
        <v>Yes</v>
      </c>
      <c r="AM367" s="15">
        <f>IFERROR(__xludf.DUMMYFUNCTION("""COMPUTED_VALUE"""),0.7)</f>
        <v>0.7</v>
      </c>
      <c r="AN367" s="12" t="str">
        <f>IFERROR(__xludf.DUMMYFUNCTION("""COMPUTED_VALUE"""),"3rd week")</f>
        <v>3rd week</v>
      </c>
      <c r="AO367" s="13">
        <v>3.0</v>
      </c>
      <c r="AX367" s="17"/>
    </row>
    <row r="368">
      <c r="B368" s="9">
        <f>IFERROR(__xludf.DUMMYFUNCTION("""COMPUTED_VALUE"""),45838.239014583334)</f>
        <v>45838.23901</v>
      </c>
      <c r="C368" s="10" t="str">
        <f>IFERROR(__xludf.DUMMYFUNCTION("""COMPUTED_VALUE"""),"Asma Gul ")</f>
        <v>Asma Gul </v>
      </c>
      <c r="D368" s="10" t="str">
        <f>IFERROR(__xludf.DUMMYFUNCTION("""COMPUTED_VALUE"""),"03459308620")</f>
        <v>03459308620</v>
      </c>
      <c r="E368" s="10" t="str">
        <f>IFERROR(__xludf.DUMMYFUNCTION("""COMPUTED_VALUE"""),"Jamia Masjid Gulzar Madina 43 Shamali Lari Adah")</f>
        <v>Jamia Masjid Gulzar Madina 43 Shamali Lari Adah</v>
      </c>
      <c r="F368" s="10" t="str">
        <f>IFERROR(__xludf.DUMMYFUNCTION("""COMPUTED_VALUE"""),"QPSTQ")</f>
        <v>QPSTQ</v>
      </c>
      <c r="G368" s="10" t="str">
        <f>IFERROR(__xludf.DUMMYFUNCTION("""COMPUTED_VALUE"""),"Yes")</f>
        <v>Yes</v>
      </c>
      <c r="H368" s="10">
        <f>IFERROR(__xludf.DUMMYFUNCTION("""COMPUTED_VALUE"""),9.0)</f>
        <v>9</v>
      </c>
      <c r="I368" s="10">
        <f>IFERROR(__xludf.DUMMYFUNCTION("""COMPUTED_VALUE"""),8.0)</f>
        <v>8</v>
      </c>
      <c r="J368" s="10">
        <f>IFERROR(__xludf.DUMMYFUNCTION("""COMPUTED_VALUE"""),8.0)</f>
        <v>8</v>
      </c>
      <c r="K368" s="10">
        <f>IFERROR(__xludf.DUMMYFUNCTION("""COMPUTED_VALUE"""),8.0)</f>
        <v>8</v>
      </c>
      <c r="L368" s="10">
        <f>IFERROR(__xludf.DUMMYFUNCTION("""COMPUTED_VALUE"""),7.0)</f>
        <v>7</v>
      </c>
      <c r="M368" s="10">
        <f>IFERROR(__xludf.DUMMYFUNCTION("""COMPUTED_VALUE"""),7.0)</f>
        <v>7</v>
      </c>
      <c r="N368" s="10">
        <f>IFERROR(__xludf.DUMMYFUNCTION("""COMPUTED_VALUE"""),7.0)</f>
        <v>7</v>
      </c>
      <c r="O368" s="10">
        <f>IFERROR(__xludf.DUMMYFUNCTION("""COMPUTED_VALUE"""),1.0)</f>
        <v>1</v>
      </c>
      <c r="P368" s="10">
        <f>IFERROR(__xludf.DUMMYFUNCTION("""COMPUTED_VALUE"""),6.0)</f>
        <v>6</v>
      </c>
      <c r="Q368" s="10" t="str">
        <f>IFERROR(__xludf.DUMMYFUNCTION("""COMPUTED_VALUE"""),"No")</f>
        <v>No</v>
      </c>
      <c r="R368" s="10" t="str">
        <f>IFERROR(__xludf.DUMMYFUNCTION("""COMPUTED_VALUE"""),"No")</f>
        <v>No</v>
      </c>
      <c r="S368" s="10" t="str">
        <f>IFERROR(__xludf.DUMMYFUNCTION("""COMPUTED_VALUE"""),"No")</f>
        <v>No</v>
      </c>
      <c r="T368" s="10">
        <f>IFERROR(__xludf.DUMMYFUNCTION("""COMPUTED_VALUE"""),0.0)</f>
        <v>0</v>
      </c>
      <c r="U368" s="10">
        <f>IFERROR(__xludf.DUMMYFUNCTION("""COMPUTED_VALUE"""),0.0)</f>
        <v>0</v>
      </c>
      <c r="V368" s="10" t="str">
        <f>IFERROR(__xludf.DUMMYFUNCTION("""COMPUTED_VALUE"""),"جہاد کی تمنا ")</f>
        <v>جہاد کی تمنا </v>
      </c>
      <c r="W368" s="10" t="str">
        <f>IFERROR(__xludf.DUMMYFUNCTION("""COMPUTED_VALUE"""),"مسلمانوں کو اپنے دل میں جہاد کی تمنا اور شہادت کی طلب رکھنی چاہیے")</f>
        <v>مسلمانوں کو اپنے دل میں جہاد کی تمنا اور شہادت کی طلب رکھنی چاہیے</v>
      </c>
      <c r="X368" s="10">
        <f>IFERROR(__xludf.DUMMYFUNCTION("""COMPUTED_VALUE"""),6.0)</f>
        <v>6</v>
      </c>
      <c r="Y368" s="10">
        <f>IFERROR(__xludf.DUMMYFUNCTION("""COMPUTED_VALUE"""),8.0)</f>
        <v>8</v>
      </c>
      <c r="Z368" s="10">
        <f>IFERROR(__xludf.DUMMYFUNCTION("""COMPUTED_VALUE"""),7.0)</f>
        <v>7</v>
      </c>
      <c r="AA368" s="10">
        <f>IFERROR(__xludf.DUMMYFUNCTION("""COMPUTED_VALUE"""),8.0)</f>
        <v>8</v>
      </c>
      <c r="AB368" s="10">
        <f>IFERROR(__xludf.DUMMYFUNCTION("""COMPUTED_VALUE"""),7.0)</f>
        <v>7</v>
      </c>
      <c r="AC368" s="10">
        <f>IFERROR(__xludf.DUMMYFUNCTION("""COMPUTED_VALUE"""),7.0)</f>
        <v>7</v>
      </c>
      <c r="AD368" s="10">
        <f>IFERROR(__xludf.DUMMYFUNCTION("""COMPUTED_VALUE"""),7.0)</f>
        <v>7</v>
      </c>
      <c r="AE368" s="10">
        <f>IFERROR(__xludf.DUMMYFUNCTION("""COMPUTED_VALUE"""),8.0)</f>
        <v>8</v>
      </c>
      <c r="AF368" s="10">
        <f>IFERROR(__xludf.DUMMYFUNCTION("""COMPUTED_VALUE"""),7.0)</f>
        <v>7</v>
      </c>
      <c r="AG368" s="10">
        <f>IFERROR(__xludf.DUMMYFUNCTION("""COMPUTED_VALUE"""),7.0)</f>
        <v>7</v>
      </c>
      <c r="AH368" s="10">
        <f>IFERROR(__xludf.DUMMYFUNCTION("""COMPUTED_VALUE"""),2.0)</f>
        <v>2</v>
      </c>
      <c r="AI368" s="10">
        <f>IFERROR(__xludf.DUMMYFUNCTION("""COMPUTED_VALUE"""),9.0)</f>
        <v>9</v>
      </c>
      <c r="AJ368" s="11" t="str">
        <f>IFERROR(__xludf.DUMMYFUNCTION("""COMPUTED_VALUE"""),"https://drive.google.com/open?id=1N-qVbIduScVRcla4rrIE-GXon_am-rfp")</f>
        <v>https://drive.google.com/open?id=1N-qVbIduScVRcla4rrIE-GXon_am-rfp</v>
      </c>
      <c r="AK368" s="12"/>
      <c r="AL368" s="12" t="str">
        <f>IFERROR(__xludf.DUMMYFUNCTION("""COMPUTED_VALUE"""),"Yes")</f>
        <v>Yes</v>
      </c>
      <c r="AM368" s="15">
        <f>IFERROR(__xludf.DUMMYFUNCTION("""COMPUTED_VALUE"""),0.8)</f>
        <v>0.8</v>
      </c>
      <c r="AN368" s="12" t="str">
        <f>IFERROR(__xludf.DUMMYFUNCTION("""COMPUTED_VALUE"""),"3rd week")</f>
        <v>3rd week</v>
      </c>
      <c r="AO368" s="13">
        <v>3.0</v>
      </c>
      <c r="AX368" s="17"/>
    </row>
    <row r="369">
      <c r="B369" s="9">
        <f>IFERROR(__xludf.DUMMYFUNCTION("""COMPUTED_VALUE"""),45838.241165150466)</f>
        <v>45838.24117</v>
      </c>
      <c r="C369" s="10" t="str">
        <f>IFERROR(__xludf.DUMMYFUNCTION("""COMPUTED_VALUE"""),"Asma Gul ")</f>
        <v>Asma Gul </v>
      </c>
      <c r="D369" s="10" t="str">
        <f>IFERROR(__xludf.DUMMYFUNCTION("""COMPUTED_VALUE"""),"03459308620")</f>
        <v>03459308620</v>
      </c>
      <c r="E369" s="10" t="str">
        <f>IFERROR(__xludf.DUMMYFUNCTION("""COMPUTED_VALUE"""),"Jamia Masjid afghan Jhelum")</f>
        <v>Jamia Masjid afghan Jhelum</v>
      </c>
      <c r="F369" s="10" t="str">
        <f>IFERROR(__xludf.DUMMYFUNCTION("""COMPUTED_VALUE"""),"UVNAI")</f>
        <v>UVNAI</v>
      </c>
      <c r="G369" s="10" t="str">
        <f>IFERROR(__xludf.DUMMYFUNCTION("""COMPUTED_VALUE"""),"Yes")</f>
        <v>Yes</v>
      </c>
      <c r="H369" s="10">
        <f>IFERROR(__xludf.DUMMYFUNCTION("""COMPUTED_VALUE"""),7.0)</f>
        <v>7</v>
      </c>
      <c r="I369" s="10">
        <f>IFERROR(__xludf.DUMMYFUNCTION("""COMPUTED_VALUE"""),5.0)</f>
        <v>5</v>
      </c>
      <c r="J369" s="10">
        <f>IFERROR(__xludf.DUMMYFUNCTION("""COMPUTED_VALUE"""),8.0)</f>
        <v>8</v>
      </c>
      <c r="K369" s="10">
        <f>IFERROR(__xludf.DUMMYFUNCTION("""COMPUTED_VALUE"""),6.0)</f>
        <v>6</v>
      </c>
      <c r="L369" s="10">
        <f>IFERROR(__xludf.DUMMYFUNCTION("""COMPUTED_VALUE"""),7.0)</f>
        <v>7</v>
      </c>
      <c r="M369" s="10">
        <f>IFERROR(__xludf.DUMMYFUNCTION("""COMPUTED_VALUE"""),7.0)</f>
        <v>7</v>
      </c>
      <c r="N369" s="10">
        <f>IFERROR(__xludf.DUMMYFUNCTION("""COMPUTED_VALUE"""),7.0)</f>
        <v>7</v>
      </c>
      <c r="O369" s="10">
        <f>IFERROR(__xludf.DUMMYFUNCTION("""COMPUTED_VALUE"""),4.0)</f>
        <v>4</v>
      </c>
      <c r="P369" s="10">
        <f>IFERROR(__xludf.DUMMYFUNCTION("""COMPUTED_VALUE"""),4.0)</f>
        <v>4</v>
      </c>
      <c r="Q369" s="10" t="str">
        <f>IFERROR(__xludf.DUMMYFUNCTION("""COMPUTED_VALUE"""),"No")</f>
        <v>No</v>
      </c>
      <c r="R369" s="10" t="str">
        <f>IFERROR(__xludf.DUMMYFUNCTION("""COMPUTED_VALUE"""),"No")</f>
        <v>No</v>
      </c>
      <c r="S369" s="10" t="str">
        <f>IFERROR(__xludf.DUMMYFUNCTION("""COMPUTED_VALUE"""),"No")</f>
        <v>No</v>
      </c>
      <c r="T369" s="10">
        <f>IFERROR(__xludf.DUMMYFUNCTION("""COMPUTED_VALUE"""),2.0)</f>
        <v>2</v>
      </c>
      <c r="U369" s="10">
        <f>IFERROR(__xludf.DUMMYFUNCTION("""COMPUTED_VALUE"""),3.0)</f>
        <v>3</v>
      </c>
      <c r="V369" s="10" t="str">
        <f>IFERROR(__xludf.DUMMYFUNCTION("""COMPUTED_VALUE"""),"اللہ کی وحدانیت")</f>
        <v>اللہ کی وحدانیت</v>
      </c>
      <c r="W369" s="10" t="str">
        <f>IFERROR(__xludf.DUMMYFUNCTION("""COMPUTED_VALUE"""),"اللہ تبارک و تعالی ایک ہے اس کا کوئی شریک نہیں ہے نہ اس کی کوئی اولاد ہے اور نہ وہ کسی کی اولاد ہے")</f>
        <v>اللہ تبارک و تعالی ایک ہے اس کا کوئی شریک نہیں ہے نہ اس کی کوئی اولاد ہے اور نہ وہ کسی کی اولاد ہے</v>
      </c>
      <c r="X369" s="10">
        <f>IFERROR(__xludf.DUMMYFUNCTION("""COMPUTED_VALUE"""),6.0)</f>
        <v>6</v>
      </c>
      <c r="Y369" s="10">
        <f>IFERROR(__xludf.DUMMYFUNCTION("""COMPUTED_VALUE"""),7.0)</f>
        <v>7</v>
      </c>
      <c r="Z369" s="10">
        <f>IFERROR(__xludf.DUMMYFUNCTION("""COMPUTED_VALUE"""),8.0)</f>
        <v>8</v>
      </c>
      <c r="AA369" s="10">
        <f>IFERROR(__xludf.DUMMYFUNCTION("""COMPUTED_VALUE"""),8.0)</f>
        <v>8</v>
      </c>
      <c r="AB369" s="10">
        <f>IFERROR(__xludf.DUMMYFUNCTION("""COMPUTED_VALUE"""),7.0)</f>
        <v>7</v>
      </c>
      <c r="AC369" s="10">
        <f>IFERROR(__xludf.DUMMYFUNCTION("""COMPUTED_VALUE"""),7.0)</f>
        <v>7</v>
      </c>
      <c r="AD369" s="10">
        <f>IFERROR(__xludf.DUMMYFUNCTION("""COMPUTED_VALUE"""),8.0)</f>
        <v>8</v>
      </c>
      <c r="AE369" s="10">
        <f>IFERROR(__xludf.DUMMYFUNCTION("""COMPUTED_VALUE"""),6.0)</f>
        <v>6</v>
      </c>
      <c r="AF369" s="10">
        <f>IFERROR(__xludf.DUMMYFUNCTION("""COMPUTED_VALUE"""),3.0)</f>
        <v>3</v>
      </c>
      <c r="AG369" s="10">
        <f>IFERROR(__xludf.DUMMYFUNCTION("""COMPUTED_VALUE"""),8.0)</f>
        <v>8</v>
      </c>
      <c r="AH369" s="10">
        <f>IFERROR(__xludf.DUMMYFUNCTION("""COMPUTED_VALUE"""),3.0)</f>
        <v>3</v>
      </c>
      <c r="AI369" s="10">
        <f>IFERROR(__xludf.DUMMYFUNCTION("""COMPUTED_VALUE"""),8.0)</f>
        <v>8</v>
      </c>
      <c r="AJ369" s="11" t="str">
        <f>IFERROR(__xludf.DUMMYFUNCTION("""COMPUTED_VALUE"""),"https://drive.google.com/open?id=1Ax9woOwW-iBjf1vpo8Y3sGUQi3UA0YvO")</f>
        <v>https://drive.google.com/open?id=1Ax9woOwW-iBjf1vpo8Y3sGUQi3UA0YvO</v>
      </c>
      <c r="AK369" s="12"/>
      <c r="AL369" s="12" t="str">
        <f>IFERROR(__xludf.DUMMYFUNCTION("""COMPUTED_VALUE"""),"Yes")</f>
        <v>Yes</v>
      </c>
      <c r="AM369" s="15">
        <f>IFERROR(__xludf.DUMMYFUNCTION("""COMPUTED_VALUE"""),0.8)</f>
        <v>0.8</v>
      </c>
      <c r="AN369" s="12" t="str">
        <f>IFERROR(__xludf.DUMMYFUNCTION("""COMPUTED_VALUE"""),"4th week")</f>
        <v>4th week</v>
      </c>
      <c r="AO369" s="13">
        <v>4.0</v>
      </c>
      <c r="AX369" s="17"/>
    </row>
    <row r="370">
      <c r="B370" s="9">
        <f>IFERROR(__xludf.DUMMYFUNCTION("""COMPUTED_VALUE"""),45838.467455046295)</f>
        <v>45838.46746</v>
      </c>
      <c r="C370" s="10" t="str">
        <f>IFERROR(__xludf.DUMMYFUNCTION("""COMPUTED_VALUE"""),"Asma Gul ")</f>
        <v>Asma Gul </v>
      </c>
      <c r="D370" s="10" t="str">
        <f>IFERROR(__xludf.DUMMYFUNCTION("""COMPUTED_VALUE"""),"03459308620")</f>
        <v>03459308620</v>
      </c>
      <c r="E370" s="10" t="str">
        <f>IFERROR(__xludf.DUMMYFUNCTION("""COMPUTED_VALUE"""),"Jamia Masjid Hanifya Ghosia Scheme # 2 Lahore ")</f>
        <v>Jamia Masjid Hanifya Ghosia Scheme # 2 Lahore </v>
      </c>
      <c r="F370" s="10" t="str">
        <f>IFERROR(__xludf.DUMMYFUNCTION("""COMPUTED_VALUE""")," cwfim")</f>
        <v> cwfim</v>
      </c>
      <c r="G370" s="10" t="str">
        <f>IFERROR(__xludf.DUMMYFUNCTION("""COMPUTED_VALUE"""),"Yes")</f>
        <v>Yes</v>
      </c>
      <c r="H370" s="10">
        <f>IFERROR(__xludf.DUMMYFUNCTION("""COMPUTED_VALUE"""),7.0)</f>
        <v>7</v>
      </c>
      <c r="I370" s="10">
        <f>IFERROR(__xludf.DUMMYFUNCTION("""COMPUTED_VALUE"""),4.0)</f>
        <v>4</v>
      </c>
      <c r="J370" s="10">
        <f>IFERROR(__xludf.DUMMYFUNCTION("""COMPUTED_VALUE"""),7.0)</f>
        <v>7</v>
      </c>
      <c r="K370" s="10">
        <f>IFERROR(__xludf.DUMMYFUNCTION("""COMPUTED_VALUE"""),4.0)</f>
        <v>4</v>
      </c>
      <c r="L370" s="10">
        <f>IFERROR(__xludf.DUMMYFUNCTION("""COMPUTED_VALUE"""),7.0)</f>
        <v>7</v>
      </c>
      <c r="M370" s="10">
        <f>IFERROR(__xludf.DUMMYFUNCTION("""COMPUTED_VALUE"""),7.0)</f>
        <v>7</v>
      </c>
      <c r="N370" s="10">
        <f>IFERROR(__xludf.DUMMYFUNCTION("""COMPUTED_VALUE"""),8.0)</f>
        <v>8</v>
      </c>
      <c r="O370" s="10">
        <f>IFERROR(__xludf.DUMMYFUNCTION("""COMPUTED_VALUE"""),3.0)</f>
        <v>3</v>
      </c>
      <c r="P370" s="10">
        <f>IFERROR(__xludf.DUMMYFUNCTION("""COMPUTED_VALUE"""),7.0)</f>
        <v>7</v>
      </c>
      <c r="Q370" s="10" t="str">
        <f>IFERROR(__xludf.DUMMYFUNCTION("""COMPUTED_VALUE"""),"Yes")</f>
        <v>Yes</v>
      </c>
      <c r="R370" s="10" t="str">
        <f>IFERROR(__xludf.DUMMYFUNCTION("""COMPUTED_VALUE"""),"No")</f>
        <v>No</v>
      </c>
      <c r="S370" s="10" t="str">
        <f>IFERROR(__xludf.DUMMYFUNCTION("""COMPUTED_VALUE"""),"No")</f>
        <v>No</v>
      </c>
      <c r="T370" s="10">
        <f>IFERROR(__xludf.DUMMYFUNCTION("""COMPUTED_VALUE"""),8.0)</f>
        <v>8</v>
      </c>
      <c r="U370" s="10">
        <f>IFERROR(__xludf.DUMMYFUNCTION("""COMPUTED_VALUE"""),3.0)</f>
        <v>3</v>
      </c>
      <c r="V370" s="10" t="str">
        <f>IFERROR(__xludf.DUMMYFUNCTION("""COMPUTED_VALUE"""),"غزوہ ہند کی اہمیت")</f>
        <v>غزوہ ہند کی اہمیت</v>
      </c>
      <c r="W370" s="10" t="str">
        <f>IFERROR(__xludf.DUMMYFUNCTION("""COMPUTED_VALUE"""),"ملک پاکستان اللہ تعالی کی نعمت ہے اس میں ہم ازادی سے رہتے ہیں اور جب غزوہ ہند ہوگا تو تمام مسلمانوں کو اس میں شرکت کرنا چاہیے جو لڑتے ہوئے مارا گیا وہ شہید ہوگا اور جو غازی ہوا وہ بھی جنتی ہوگا")</f>
        <v>ملک پاکستان اللہ تعالی کی نعمت ہے اس میں ہم ازادی سے رہتے ہیں اور جب غزوہ ہند ہوگا تو تمام مسلمانوں کو اس میں شرکت کرنا چاہیے جو لڑتے ہوئے مارا گیا وہ شہید ہوگا اور جو غازی ہوا وہ بھی جنتی ہوگا</v>
      </c>
      <c r="X370" s="10">
        <f>IFERROR(__xludf.DUMMYFUNCTION("""COMPUTED_VALUE"""),7.0)</f>
        <v>7</v>
      </c>
      <c r="Y370" s="10">
        <f>IFERROR(__xludf.DUMMYFUNCTION("""COMPUTED_VALUE"""),9.0)</f>
        <v>9</v>
      </c>
      <c r="Z370" s="10">
        <f>IFERROR(__xludf.DUMMYFUNCTION("""COMPUTED_VALUE"""),8.0)</f>
        <v>8</v>
      </c>
      <c r="AA370" s="10">
        <f>IFERROR(__xludf.DUMMYFUNCTION("""COMPUTED_VALUE"""),7.0)</f>
        <v>7</v>
      </c>
      <c r="AB370" s="10">
        <f>IFERROR(__xludf.DUMMYFUNCTION("""COMPUTED_VALUE"""),8.0)</f>
        <v>8</v>
      </c>
      <c r="AC370" s="10">
        <f>IFERROR(__xludf.DUMMYFUNCTION("""COMPUTED_VALUE"""),9.0)</f>
        <v>9</v>
      </c>
      <c r="AD370" s="10">
        <f>IFERROR(__xludf.DUMMYFUNCTION("""COMPUTED_VALUE"""),8.0)</f>
        <v>8</v>
      </c>
      <c r="AE370" s="10">
        <f>IFERROR(__xludf.DUMMYFUNCTION("""COMPUTED_VALUE"""),6.0)</f>
        <v>6</v>
      </c>
      <c r="AF370" s="10">
        <f>IFERROR(__xludf.DUMMYFUNCTION("""COMPUTED_VALUE"""),6.0)</f>
        <v>6</v>
      </c>
      <c r="AG370" s="10">
        <f>IFERROR(__xludf.DUMMYFUNCTION("""COMPUTED_VALUE"""),7.0)</f>
        <v>7</v>
      </c>
      <c r="AH370" s="10">
        <f>IFERROR(__xludf.DUMMYFUNCTION("""COMPUTED_VALUE"""),3.0)</f>
        <v>3</v>
      </c>
      <c r="AI370" s="10">
        <f>IFERROR(__xludf.DUMMYFUNCTION("""COMPUTED_VALUE"""),8.0)</f>
        <v>8</v>
      </c>
      <c r="AJ370" s="11" t="str">
        <f>IFERROR(__xludf.DUMMYFUNCTION("""COMPUTED_VALUE"""),"https://drive.google.com/open?id=1tM75_FduDOfZMzEK2Qcszmyb8otSTSRD")</f>
        <v>https://drive.google.com/open?id=1tM75_FduDOfZMzEK2Qcszmyb8otSTSRD</v>
      </c>
      <c r="AK370" s="12"/>
      <c r="AL370" s="12" t="str">
        <f>IFERROR(__xludf.DUMMYFUNCTION("""COMPUTED_VALUE"""),"Yes")</f>
        <v>Yes</v>
      </c>
      <c r="AM370" s="15">
        <f>IFERROR(__xludf.DUMMYFUNCTION("""COMPUTED_VALUE"""),0.8)</f>
        <v>0.8</v>
      </c>
      <c r="AN370" s="12" t="str">
        <f>IFERROR(__xludf.DUMMYFUNCTION("""COMPUTED_VALUE"""),"4th week")</f>
        <v>4th week</v>
      </c>
      <c r="AO370" s="13">
        <v>4.0</v>
      </c>
      <c r="AX370" s="17"/>
    </row>
    <row r="371">
      <c r="B371" s="9">
        <f>IFERROR(__xludf.DUMMYFUNCTION("""COMPUTED_VALUE"""),45839.188206782404)</f>
        <v>45839.18821</v>
      </c>
      <c r="C371" s="10" t="str">
        <f>IFERROR(__xludf.DUMMYFUNCTION("""COMPUTED_VALUE"""),"Asma Gul ")</f>
        <v>Asma Gul </v>
      </c>
      <c r="D371" s="10" t="str">
        <f>IFERROR(__xludf.DUMMYFUNCTION("""COMPUTED_VALUE"""),"03459308620")</f>
        <v>03459308620</v>
      </c>
      <c r="E371" s="10" t="str">
        <f>IFERROR(__xludf.DUMMYFUNCTION("""COMPUTED_VALUE"""),"Jamia Masjid Ale Sunnat Main Bazar Malakwaal")</f>
        <v>Jamia Masjid Ale Sunnat Main Bazar Malakwaal</v>
      </c>
      <c r="F371" s="10" t="str">
        <f>IFERROR(__xludf.DUMMYFUNCTION("""COMPUTED_VALUE""")," ZMBIV")</f>
        <v> ZMBIV</v>
      </c>
      <c r="G371" s="10" t="str">
        <f>IFERROR(__xludf.DUMMYFUNCTION("""COMPUTED_VALUE"""),"Yes")</f>
        <v>Yes</v>
      </c>
      <c r="H371" s="10">
        <f>IFERROR(__xludf.DUMMYFUNCTION("""COMPUTED_VALUE"""),8.0)</f>
        <v>8</v>
      </c>
      <c r="I371" s="10">
        <f>IFERROR(__xludf.DUMMYFUNCTION("""COMPUTED_VALUE"""),4.0)</f>
        <v>4</v>
      </c>
      <c r="J371" s="10">
        <f>IFERROR(__xludf.DUMMYFUNCTION("""COMPUTED_VALUE"""),7.0)</f>
        <v>7</v>
      </c>
      <c r="K371" s="10">
        <f>IFERROR(__xludf.DUMMYFUNCTION("""COMPUTED_VALUE"""),5.0)</f>
        <v>5</v>
      </c>
      <c r="L371" s="10">
        <f>IFERROR(__xludf.DUMMYFUNCTION("""COMPUTED_VALUE"""),6.0)</f>
        <v>6</v>
      </c>
      <c r="M371" s="10">
        <f>IFERROR(__xludf.DUMMYFUNCTION("""COMPUTED_VALUE"""),8.0)</f>
        <v>8</v>
      </c>
      <c r="N371" s="10">
        <f>IFERROR(__xludf.DUMMYFUNCTION("""COMPUTED_VALUE"""),7.0)</f>
        <v>7</v>
      </c>
      <c r="O371" s="10">
        <f>IFERROR(__xludf.DUMMYFUNCTION("""COMPUTED_VALUE"""),1.0)</f>
        <v>1</v>
      </c>
      <c r="P371" s="10">
        <f>IFERROR(__xludf.DUMMYFUNCTION("""COMPUTED_VALUE"""),4.0)</f>
        <v>4</v>
      </c>
      <c r="Q371" s="10" t="str">
        <f>IFERROR(__xludf.DUMMYFUNCTION("""COMPUTED_VALUE"""),"No")</f>
        <v>No</v>
      </c>
      <c r="R371" s="10" t="str">
        <f>IFERROR(__xludf.DUMMYFUNCTION("""COMPUTED_VALUE"""),"No")</f>
        <v>No</v>
      </c>
      <c r="S371" s="10" t="str">
        <f>IFERROR(__xludf.DUMMYFUNCTION("""COMPUTED_VALUE"""),"No")</f>
        <v>No</v>
      </c>
      <c r="T371" s="10">
        <f>IFERROR(__xludf.DUMMYFUNCTION("""COMPUTED_VALUE"""),2.0)</f>
        <v>2</v>
      </c>
      <c r="U371" s="10">
        <f>IFERROR(__xludf.DUMMYFUNCTION("""COMPUTED_VALUE"""),2.0)</f>
        <v>2</v>
      </c>
      <c r="V371" s="10" t="str">
        <f>IFERROR(__xludf.DUMMYFUNCTION("""COMPUTED_VALUE"""),"ناموس رسالت میں حفاظت ")</f>
        <v>ناموس رسالت میں حفاظت </v>
      </c>
      <c r="W371" s="10" t="str">
        <f>IFERROR(__xludf.DUMMYFUNCTION("""COMPUTED_VALUE"""),"ناموس رسالت کی حفاظت کرنا ہر مسلمان بزرگ بوڑھے چھوٹے بڑے سب پر فرض ہے اور قائدیانی دائرہ اسلام سے خارج ہے")</f>
        <v>ناموس رسالت کی حفاظت کرنا ہر مسلمان بزرگ بوڑھے چھوٹے بڑے سب پر فرض ہے اور قائدیانی دائرہ اسلام سے خارج ہے</v>
      </c>
      <c r="X371" s="10">
        <f>IFERROR(__xludf.DUMMYFUNCTION("""COMPUTED_VALUE"""),6.0)</f>
        <v>6</v>
      </c>
      <c r="Y371" s="10">
        <f>IFERROR(__xludf.DUMMYFUNCTION("""COMPUTED_VALUE"""),8.0)</f>
        <v>8</v>
      </c>
      <c r="Z371" s="10">
        <f>IFERROR(__xludf.DUMMYFUNCTION("""COMPUTED_VALUE"""),9.0)</f>
        <v>9</v>
      </c>
      <c r="AA371" s="10">
        <f>IFERROR(__xludf.DUMMYFUNCTION("""COMPUTED_VALUE"""),6.0)</f>
        <v>6</v>
      </c>
      <c r="AB371" s="10">
        <f>IFERROR(__xludf.DUMMYFUNCTION("""COMPUTED_VALUE"""),7.0)</f>
        <v>7</v>
      </c>
      <c r="AC371" s="10">
        <f>IFERROR(__xludf.DUMMYFUNCTION("""COMPUTED_VALUE"""),3.0)</f>
        <v>3</v>
      </c>
      <c r="AD371" s="10">
        <f>IFERROR(__xludf.DUMMYFUNCTION("""COMPUTED_VALUE"""),7.0)</f>
        <v>7</v>
      </c>
      <c r="AE371" s="10">
        <f>IFERROR(__xludf.DUMMYFUNCTION("""COMPUTED_VALUE"""),9.0)</f>
        <v>9</v>
      </c>
      <c r="AF371" s="10">
        <f>IFERROR(__xludf.DUMMYFUNCTION("""COMPUTED_VALUE"""),3.0)</f>
        <v>3</v>
      </c>
      <c r="AG371" s="10">
        <f>IFERROR(__xludf.DUMMYFUNCTION("""COMPUTED_VALUE"""),7.0)</f>
        <v>7</v>
      </c>
      <c r="AH371" s="10">
        <f>IFERROR(__xludf.DUMMYFUNCTION("""COMPUTED_VALUE"""),3.0)</f>
        <v>3</v>
      </c>
      <c r="AI371" s="10">
        <f>IFERROR(__xludf.DUMMYFUNCTION("""COMPUTED_VALUE"""),7.0)</f>
        <v>7</v>
      </c>
      <c r="AJ371" s="11" t="str">
        <f>IFERROR(__xludf.DUMMYFUNCTION("""COMPUTED_VALUE"""),"https://drive.google.com/open?id=1JzPY_Hw_TO5IkBjBMzcGwqZctZ8dT1RL")</f>
        <v>https://drive.google.com/open?id=1JzPY_Hw_TO5IkBjBMzcGwqZctZ8dT1RL</v>
      </c>
      <c r="AK371" s="12"/>
      <c r="AL371" s="12" t="str">
        <f>IFERROR(__xludf.DUMMYFUNCTION("""COMPUTED_VALUE"""),"Yes")</f>
        <v>Yes</v>
      </c>
      <c r="AM371" s="15">
        <f>IFERROR(__xludf.DUMMYFUNCTION("""COMPUTED_VALUE"""),0.8)</f>
        <v>0.8</v>
      </c>
      <c r="AN371" s="12" t="str">
        <f>IFERROR(__xludf.DUMMYFUNCTION("""COMPUTED_VALUE"""),"3rd week")</f>
        <v>3rd week</v>
      </c>
      <c r="AO371" s="13">
        <v>3.0</v>
      </c>
      <c r="AX371" s="17"/>
    </row>
    <row r="372">
      <c r="B372" s="9">
        <f>IFERROR(__xludf.DUMMYFUNCTION("""COMPUTED_VALUE"""),45839.44276958333)</f>
        <v>45839.44277</v>
      </c>
      <c r="C372" s="10" t="str">
        <f>IFERROR(__xludf.DUMMYFUNCTION("""COMPUTED_VALUE"""),"Asma Gul ")</f>
        <v>Asma Gul </v>
      </c>
      <c r="D372" s="10" t="str">
        <f>IFERROR(__xludf.DUMMYFUNCTION("""COMPUTED_VALUE"""),"03459308620")</f>
        <v>03459308620</v>
      </c>
      <c r="E372" s="10" t="str">
        <f>IFERROR(__xludf.DUMMYFUNCTION("""COMPUTED_VALUE"""),"Jamia Masjid Masa Dewaan Shiekhupura ")</f>
        <v>Jamia Masjid Masa Dewaan Shiekhupura </v>
      </c>
      <c r="F372" s="10" t="str">
        <f>IFERROR(__xludf.DUMMYFUNCTION("""COMPUTED_VALUE"""),"ZJBWK")</f>
        <v>ZJBWK</v>
      </c>
      <c r="G372" s="10" t="str">
        <f>IFERROR(__xludf.DUMMYFUNCTION("""COMPUTED_VALUE"""),"Yes")</f>
        <v>Yes</v>
      </c>
      <c r="H372" s="10">
        <f>IFERROR(__xludf.DUMMYFUNCTION("""COMPUTED_VALUE"""),7.0)</f>
        <v>7</v>
      </c>
      <c r="I372" s="10">
        <f>IFERROR(__xludf.DUMMYFUNCTION("""COMPUTED_VALUE"""),3.0)</f>
        <v>3</v>
      </c>
      <c r="J372" s="10">
        <f>IFERROR(__xludf.DUMMYFUNCTION("""COMPUTED_VALUE"""),7.0)</f>
        <v>7</v>
      </c>
      <c r="K372" s="10">
        <f>IFERROR(__xludf.DUMMYFUNCTION("""COMPUTED_VALUE"""),6.0)</f>
        <v>6</v>
      </c>
      <c r="L372" s="10">
        <f>IFERROR(__xludf.DUMMYFUNCTION("""COMPUTED_VALUE"""),7.0)</f>
        <v>7</v>
      </c>
      <c r="M372" s="10">
        <f>IFERROR(__xludf.DUMMYFUNCTION("""COMPUTED_VALUE"""),6.0)</f>
        <v>6</v>
      </c>
      <c r="N372" s="10">
        <f>IFERROR(__xludf.DUMMYFUNCTION("""COMPUTED_VALUE"""),7.0)</f>
        <v>7</v>
      </c>
      <c r="O372" s="10">
        <f>IFERROR(__xludf.DUMMYFUNCTION("""COMPUTED_VALUE"""),7.0)</f>
        <v>7</v>
      </c>
      <c r="P372" s="10">
        <f>IFERROR(__xludf.DUMMYFUNCTION("""COMPUTED_VALUE"""),3.0)</f>
        <v>3</v>
      </c>
      <c r="Q372" s="10" t="str">
        <f>IFERROR(__xludf.DUMMYFUNCTION("""COMPUTED_VALUE"""),"No")</f>
        <v>No</v>
      </c>
      <c r="R372" s="10" t="str">
        <f>IFERROR(__xludf.DUMMYFUNCTION("""COMPUTED_VALUE"""),"No")</f>
        <v>No</v>
      </c>
      <c r="S372" s="10" t="str">
        <f>IFERROR(__xludf.DUMMYFUNCTION("""COMPUTED_VALUE"""),"No")</f>
        <v>No</v>
      </c>
      <c r="T372" s="10">
        <f>IFERROR(__xludf.DUMMYFUNCTION("""COMPUTED_VALUE"""),3.0)</f>
        <v>3</v>
      </c>
      <c r="U372" s="10">
        <f>IFERROR(__xludf.DUMMYFUNCTION("""COMPUTED_VALUE"""),1.0)</f>
        <v>1</v>
      </c>
      <c r="V372" s="10" t="str">
        <f>IFERROR(__xludf.DUMMYFUNCTION("""COMPUTED_VALUE"""),"حضرت عثمان غنی کی حالات زندگی")</f>
        <v>حضرت عثمان غنی کی حالات زندگی</v>
      </c>
      <c r="W372" s="10" t="str">
        <f>IFERROR(__xludf.DUMMYFUNCTION("""COMPUTED_VALUE"""),"حضرت عثمان غنی کی پیدائش ان کی ذاتی زندگی اور اسلام کے لیے کی گئی کوششوں اور قربانیوں کا ذکر کیا گیا ہے")</f>
        <v>حضرت عثمان غنی کی پیدائش ان کی ذاتی زندگی اور اسلام کے لیے کی گئی کوششوں اور قربانیوں کا ذکر کیا گیا ہے</v>
      </c>
      <c r="X372" s="10">
        <f>IFERROR(__xludf.DUMMYFUNCTION("""COMPUTED_VALUE"""),7.0)</f>
        <v>7</v>
      </c>
      <c r="Y372" s="10">
        <f>IFERROR(__xludf.DUMMYFUNCTION("""COMPUTED_VALUE"""),8.0)</f>
        <v>8</v>
      </c>
      <c r="Z372" s="10">
        <f>IFERROR(__xludf.DUMMYFUNCTION("""COMPUTED_VALUE"""),10.0)</f>
        <v>10</v>
      </c>
      <c r="AA372" s="10">
        <f>IFERROR(__xludf.DUMMYFUNCTION("""COMPUTED_VALUE"""),9.0)</f>
        <v>9</v>
      </c>
      <c r="AB372" s="10">
        <f>IFERROR(__xludf.DUMMYFUNCTION("""COMPUTED_VALUE"""),10.0)</f>
        <v>10</v>
      </c>
      <c r="AC372" s="10">
        <f>IFERROR(__xludf.DUMMYFUNCTION("""COMPUTED_VALUE"""),3.0)</f>
        <v>3</v>
      </c>
      <c r="AD372" s="10">
        <f>IFERROR(__xludf.DUMMYFUNCTION("""COMPUTED_VALUE"""),4.0)</f>
        <v>4</v>
      </c>
      <c r="AE372" s="10">
        <f>IFERROR(__xludf.DUMMYFUNCTION("""COMPUTED_VALUE"""),2.0)</f>
        <v>2</v>
      </c>
      <c r="AF372" s="10">
        <f>IFERROR(__xludf.DUMMYFUNCTION("""COMPUTED_VALUE"""),2.0)</f>
        <v>2</v>
      </c>
      <c r="AG372" s="10">
        <f>IFERROR(__xludf.DUMMYFUNCTION("""COMPUTED_VALUE"""),9.0)</f>
        <v>9</v>
      </c>
      <c r="AH372" s="10">
        <f>IFERROR(__xludf.DUMMYFUNCTION("""COMPUTED_VALUE"""),2.0)</f>
        <v>2</v>
      </c>
      <c r="AI372" s="10">
        <f>IFERROR(__xludf.DUMMYFUNCTION("""COMPUTED_VALUE"""),8.0)</f>
        <v>8</v>
      </c>
      <c r="AJ372" s="11" t="str">
        <f>IFERROR(__xludf.DUMMYFUNCTION("""COMPUTED_VALUE"""),"https://drive.google.com/open?id=1byMhNS3VcvPWXkP_Hu02eHahVAtlp4ZZ")</f>
        <v>https://drive.google.com/open?id=1byMhNS3VcvPWXkP_Hu02eHahVAtlp4ZZ</v>
      </c>
      <c r="AK372" s="12"/>
      <c r="AL372" s="12" t="str">
        <f>IFERROR(__xludf.DUMMYFUNCTION("""COMPUTED_VALUE"""),"Yes")</f>
        <v>Yes</v>
      </c>
      <c r="AM372" s="15">
        <f>IFERROR(__xludf.DUMMYFUNCTION("""COMPUTED_VALUE"""),0.8)</f>
        <v>0.8</v>
      </c>
      <c r="AN372" s="12" t="str">
        <f>IFERROR(__xludf.DUMMYFUNCTION("""COMPUTED_VALUE"""),"3rd week")</f>
        <v>3rd week</v>
      </c>
      <c r="AO372" s="13">
        <v>3.0</v>
      </c>
      <c r="AX372" s="17"/>
    </row>
    <row r="373">
      <c r="B373" s="9">
        <f>IFERROR(__xludf.DUMMYFUNCTION("""COMPUTED_VALUE"""),45839.48425123843)</f>
        <v>45839.48425</v>
      </c>
      <c r="C373" s="10" t="str">
        <f>IFERROR(__xludf.DUMMYFUNCTION("""COMPUTED_VALUE"""),"Asma Gul ")</f>
        <v>Asma Gul </v>
      </c>
      <c r="D373" s="10" t="str">
        <f>IFERROR(__xludf.DUMMYFUNCTION("""COMPUTED_VALUE"""),"03459308620")</f>
        <v>03459308620</v>
      </c>
      <c r="E373" s="10" t="str">
        <f>IFERROR(__xludf.DUMMYFUNCTION("""COMPUTED_VALUE"""),"Jamia Masjid Company Bhaag Sargodha")</f>
        <v>Jamia Masjid Company Bhaag Sargodha</v>
      </c>
      <c r="F373" s="10" t="str">
        <f>IFERROR(__xludf.DUMMYFUNCTION("""COMPUTED_VALUE"""),"LMDFN")</f>
        <v>LMDFN</v>
      </c>
      <c r="G373" s="10" t="str">
        <f>IFERROR(__xludf.DUMMYFUNCTION("""COMPUTED_VALUE"""),"Yes")</f>
        <v>Yes</v>
      </c>
      <c r="H373" s="10">
        <f>IFERROR(__xludf.DUMMYFUNCTION("""COMPUTED_VALUE"""),8.0)</f>
        <v>8</v>
      </c>
      <c r="I373" s="10">
        <f>IFERROR(__xludf.DUMMYFUNCTION("""COMPUTED_VALUE"""),2.0)</f>
        <v>2</v>
      </c>
      <c r="J373" s="10">
        <f>IFERROR(__xludf.DUMMYFUNCTION("""COMPUTED_VALUE"""),8.0)</f>
        <v>8</v>
      </c>
      <c r="K373" s="10">
        <f>IFERROR(__xludf.DUMMYFUNCTION("""COMPUTED_VALUE"""),3.0)</f>
        <v>3</v>
      </c>
      <c r="L373" s="10">
        <f>IFERROR(__xludf.DUMMYFUNCTION("""COMPUTED_VALUE"""),3.0)</f>
        <v>3</v>
      </c>
      <c r="M373" s="10">
        <f>IFERROR(__xludf.DUMMYFUNCTION("""COMPUTED_VALUE"""),3.0)</f>
        <v>3</v>
      </c>
      <c r="N373" s="10">
        <f>IFERROR(__xludf.DUMMYFUNCTION("""COMPUTED_VALUE"""),6.0)</f>
        <v>6</v>
      </c>
      <c r="O373" s="10">
        <f>IFERROR(__xludf.DUMMYFUNCTION("""COMPUTED_VALUE"""),6.0)</f>
        <v>6</v>
      </c>
      <c r="P373" s="10">
        <f>IFERROR(__xludf.DUMMYFUNCTION("""COMPUTED_VALUE"""),2.0)</f>
        <v>2</v>
      </c>
      <c r="Q373" s="10" t="str">
        <f>IFERROR(__xludf.DUMMYFUNCTION("""COMPUTED_VALUE"""),"No")</f>
        <v>No</v>
      </c>
      <c r="R373" s="10" t="str">
        <f>IFERROR(__xludf.DUMMYFUNCTION("""COMPUTED_VALUE"""),"No")</f>
        <v>No</v>
      </c>
      <c r="S373" s="10" t="str">
        <f>IFERROR(__xludf.DUMMYFUNCTION("""COMPUTED_VALUE"""),"No")</f>
        <v>No</v>
      </c>
      <c r="T373" s="10">
        <f>IFERROR(__xludf.DUMMYFUNCTION("""COMPUTED_VALUE"""),2.0)</f>
        <v>2</v>
      </c>
      <c r="U373" s="10">
        <f>IFERROR(__xludf.DUMMYFUNCTION("""COMPUTED_VALUE"""),2.0)</f>
        <v>2</v>
      </c>
      <c r="V373" s="10" t="str">
        <f>IFERROR(__xludf.DUMMYFUNCTION("""COMPUTED_VALUE"""),"دین اسلام کی راہ میں صحابہ کرام کی قربانیاں")</f>
        <v>دین اسلام کی راہ میں صحابہ کرام کی قربانیاں</v>
      </c>
      <c r="W373" s="10" t="str">
        <f>IFERROR(__xludf.DUMMYFUNCTION("""COMPUTED_VALUE"""),"حضرت خالد بن ولید کی فتوحات حضرت علی کی فتوحات کا ذکر کیا گیا")</f>
        <v>حضرت خالد بن ولید کی فتوحات حضرت علی کی فتوحات کا ذکر کیا گیا</v>
      </c>
      <c r="X373" s="10">
        <f>IFERROR(__xludf.DUMMYFUNCTION("""COMPUTED_VALUE"""),8.0)</f>
        <v>8</v>
      </c>
      <c r="Y373" s="10">
        <f>IFERROR(__xludf.DUMMYFUNCTION("""COMPUTED_VALUE"""),7.0)</f>
        <v>7</v>
      </c>
      <c r="Z373" s="10">
        <f>IFERROR(__xludf.DUMMYFUNCTION("""COMPUTED_VALUE"""),7.0)</f>
        <v>7</v>
      </c>
      <c r="AA373" s="10">
        <f>IFERROR(__xludf.DUMMYFUNCTION("""COMPUTED_VALUE"""),8.0)</f>
        <v>8</v>
      </c>
      <c r="AB373" s="10">
        <f>IFERROR(__xludf.DUMMYFUNCTION("""COMPUTED_VALUE"""),8.0)</f>
        <v>8</v>
      </c>
      <c r="AC373" s="10">
        <f>IFERROR(__xludf.DUMMYFUNCTION("""COMPUTED_VALUE"""),5.0)</f>
        <v>5</v>
      </c>
      <c r="AD373" s="10">
        <f>IFERROR(__xludf.DUMMYFUNCTION("""COMPUTED_VALUE"""),9.0)</f>
        <v>9</v>
      </c>
      <c r="AE373" s="10">
        <f>IFERROR(__xludf.DUMMYFUNCTION("""COMPUTED_VALUE"""),2.0)</f>
        <v>2</v>
      </c>
      <c r="AF373" s="10">
        <f>IFERROR(__xludf.DUMMYFUNCTION("""COMPUTED_VALUE"""),2.0)</f>
        <v>2</v>
      </c>
      <c r="AG373" s="10">
        <f>IFERROR(__xludf.DUMMYFUNCTION("""COMPUTED_VALUE"""),8.0)</f>
        <v>8</v>
      </c>
      <c r="AH373" s="10">
        <f>IFERROR(__xludf.DUMMYFUNCTION("""COMPUTED_VALUE"""),2.0)</f>
        <v>2</v>
      </c>
      <c r="AI373" s="10">
        <f>IFERROR(__xludf.DUMMYFUNCTION("""COMPUTED_VALUE"""),8.0)</f>
        <v>8</v>
      </c>
      <c r="AJ373" s="11" t="str">
        <f>IFERROR(__xludf.DUMMYFUNCTION("""COMPUTED_VALUE"""),"https://drive.google.com/open?id=1i5TUeOnYx68kBrJ5v322hP2enmtPN9wa")</f>
        <v>https://drive.google.com/open?id=1i5TUeOnYx68kBrJ5v322hP2enmtPN9wa</v>
      </c>
      <c r="AK373" s="12"/>
      <c r="AL373" s="12" t="str">
        <f>IFERROR(__xludf.DUMMYFUNCTION("""COMPUTED_VALUE"""),"Yes")</f>
        <v>Yes</v>
      </c>
      <c r="AM373" s="15">
        <f>IFERROR(__xludf.DUMMYFUNCTION("""COMPUTED_VALUE"""),0.8)</f>
        <v>0.8</v>
      </c>
      <c r="AN373" s="12" t="str">
        <f>IFERROR(__xludf.DUMMYFUNCTION("""COMPUTED_VALUE"""),"3rd week")</f>
        <v>3rd week</v>
      </c>
      <c r="AO373" s="13">
        <v>3.0</v>
      </c>
      <c r="AX373" s="17"/>
    </row>
    <row r="374">
      <c r="B374" s="9">
        <f>IFERROR(__xludf.DUMMYFUNCTION("""COMPUTED_VALUE"""),45840.395039490744)</f>
        <v>45840.39504</v>
      </c>
      <c r="C374" s="10" t="str">
        <f>IFERROR(__xludf.DUMMYFUNCTION("""COMPUTED_VALUE"""),"Asim Munir")</f>
        <v>Asim Munir</v>
      </c>
      <c r="D374" s="10" t="str">
        <f>IFERROR(__xludf.DUMMYFUNCTION("""COMPUTED_VALUE"""),"03005787199")</f>
        <v>03005787199</v>
      </c>
      <c r="E374" s="10" t="str">
        <f>IFERROR(__xludf.DUMMYFUNCTION("""COMPUTED_VALUE"""),"Jamia Masjid Darbar Boty Shah Hafizabad")</f>
        <v>Jamia Masjid Darbar Boty Shah Hafizabad</v>
      </c>
      <c r="F374" s="10" t="str">
        <f>IFERROR(__xludf.DUMMYFUNCTION("""COMPUTED_VALUE"""),"BJLNR")</f>
        <v>BJLNR</v>
      </c>
      <c r="G374" s="10" t="str">
        <f>IFERROR(__xludf.DUMMYFUNCTION("""COMPUTED_VALUE"""),"Yes")</f>
        <v>Yes</v>
      </c>
      <c r="H374" s="10">
        <f>IFERROR(__xludf.DUMMYFUNCTION("""COMPUTED_VALUE"""),9.0)</f>
        <v>9</v>
      </c>
      <c r="I374" s="10">
        <f>IFERROR(__xludf.DUMMYFUNCTION("""COMPUTED_VALUE"""),1.0)</f>
        <v>1</v>
      </c>
      <c r="J374" s="10">
        <f>IFERROR(__xludf.DUMMYFUNCTION("""COMPUTED_VALUE"""),9.0)</f>
        <v>9</v>
      </c>
      <c r="K374" s="10">
        <f>IFERROR(__xludf.DUMMYFUNCTION("""COMPUTED_VALUE"""),9.0)</f>
        <v>9</v>
      </c>
      <c r="L374" s="10">
        <f>IFERROR(__xludf.DUMMYFUNCTION("""COMPUTED_VALUE"""),0.0)</f>
        <v>0</v>
      </c>
      <c r="M374" s="10">
        <f>IFERROR(__xludf.DUMMYFUNCTION("""COMPUTED_VALUE"""),8.0)</f>
        <v>8</v>
      </c>
      <c r="N374" s="10">
        <f>IFERROR(__xludf.DUMMYFUNCTION("""COMPUTED_VALUE"""),0.0)</f>
        <v>0</v>
      </c>
      <c r="O374" s="10">
        <f>IFERROR(__xludf.DUMMYFUNCTION("""COMPUTED_VALUE"""),8.0)</f>
        <v>8</v>
      </c>
      <c r="P374" s="10">
        <f>IFERROR(__xludf.DUMMYFUNCTION("""COMPUTED_VALUE"""),0.0)</f>
        <v>0</v>
      </c>
      <c r="Q374" s="10" t="str">
        <f>IFERROR(__xludf.DUMMYFUNCTION("""COMPUTED_VALUE"""),"Yes")</f>
        <v>Yes</v>
      </c>
      <c r="R374" s="10" t="str">
        <f>IFERROR(__xludf.DUMMYFUNCTION("""COMPUTED_VALUE"""),"No")</f>
        <v>No</v>
      </c>
      <c r="S374" s="10" t="str">
        <f>IFERROR(__xludf.DUMMYFUNCTION("""COMPUTED_VALUE"""),"Yes")</f>
        <v>Yes</v>
      </c>
      <c r="T374" s="10">
        <f>IFERROR(__xludf.DUMMYFUNCTION("""COMPUTED_VALUE"""),0.0)</f>
        <v>0</v>
      </c>
      <c r="U374" s="10">
        <f>IFERROR(__xludf.DUMMYFUNCTION("""COMPUTED_VALUE"""),0.0)</f>
        <v>0</v>
      </c>
      <c r="V374" s="10" t="str">
        <f>IFERROR(__xludf.DUMMYFUNCTION("""COMPUTED_VALUE"""),"Aurtoon k Haqooq")</f>
        <v>Aurtoon k Haqooq</v>
      </c>
      <c r="W374" s="10" t="str">
        <f>IFERROR(__xludf.DUMMYFUNCTION("""COMPUTED_VALUE"""),"Aurtoon K Haqooq")</f>
        <v>Aurtoon K Haqooq</v>
      </c>
      <c r="X374" s="10">
        <f>IFERROR(__xludf.DUMMYFUNCTION("""COMPUTED_VALUE"""),7.0)</f>
        <v>7</v>
      </c>
      <c r="Y374" s="10">
        <f>IFERROR(__xludf.DUMMYFUNCTION("""COMPUTED_VALUE"""),6.0)</f>
        <v>6</v>
      </c>
      <c r="Z374" s="10">
        <f>IFERROR(__xludf.DUMMYFUNCTION("""COMPUTED_VALUE"""),6.0)</f>
        <v>6</v>
      </c>
      <c r="AA374" s="10">
        <f>IFERROR(__xludf.DUMMYFUNCTION("""COMPUTED_VALUE"""),1.0)</f>
        <v>1</v>
      </c>
      <c r="AB374" s="10">
        <f>IFERROR(__xludf.DUMMYFUNCTION("""COMPUTED_VALUE"""),1.0)</f>
        <v>1</v>
      </c>
      <c r="AC374" s="10">
        <f>IFERROR(__xludf.DUMMYFUNCTION("""COMPUTED_VALUE"""),1.0)</f>
        <v>1</v>
      </c>
      <c r="AD374" s="10">
        <f>IFERROR(__xludf.DUMMYFUNCTION("""COMPUTED_VALUE"""),0.0)</f>
        <v>0</v>
      </c>
      <c r="AE374" s="10">
        <f>IFERROR(__xludf.DUMMYFUNCTION("""COMPUTED_VALUE"""),0.0)</f>
        <v>0</v>
      </c>
      <c r="AF374" s="10">
        <f>IFERROR(__xludf.DUMMYFUNCTION("""COMPUTED_VALUE"""),0.0)</f>
        <v>0</v>
      </c>
      <c r="AG374" s="10">
        <f>IFERROR(__xludf.DUMMYFUNCTION("""COMPUTED_VALUE"""),6.0)</f>
        <v>6</v>
      </c>
      <c r="AH374" s="10">
        <f>IFERROR(__xludf.DUMMYFUNCTION("""COMPUTED_VALUE"""),1.0)</f>
        <v>1</v>
      </c>
      <c r="AI374" s="10">
        <f>IFERROR(__xludf.DUMMYFUNCTION("""COMPUTED_VALUE"""),7.0)</f>
        <v>7</v>
      </c>
      <c r="AJ374" s="11" t="str">
        <f>IFERROR(__xludf.DUMMYFUNCTION("""COMPUTED_VALUE"""),"https://drive.google.com/open?id=1GK3T8k4i5QYvR0SHeI00weddRB1m8HId")</f>
        <v>https://drive.google.com/open?id=1GK3T8k4i5QYvR0SHeI00weddRB1m8HId</v>
      </c>
      <c r="AK374" s="12"/>
      <c r="AL374" s="12" t="str">
        <f>IFERROR(__xludf.DUMMYFUNCTION("""COMPUTED_VALUE"""),"Yes")</f>
        <v>Yes</v>
      </c>
      <c r="AM374" s="15">
        <f>IFERROR(__xludf.DUMMYFUNCTION("""COMPUTED_VALUE"""),1.0)</f>
        <v>1</v>
      </c>
      <c r="AN374" s="12" t="str">
        <f>IFERROR(__xludf.DUMMYFUNCTION("""COMPUTED_VALUE"""),"1st week")</f>
        <v>1st week</v>
      </c>
      <c r="AO374" s="13">
        <v>1.0</v>
      </c>
      <c r="AX374" s="17"/>
    </row>
    <row r="375">
      <c r="B375" s="9">
        <f>IFERROR(__xludf.DUMMYFUNCTION("""COMPUTED_VALUE"""),45840.626681354166)</f>
        <v>45840.62668</v>
      </c>
      <c r="C375" s="10" t="str">
        <f>IFERROR(__xludf.DUMMYFUNCTION("""COMPUTED_VALUE"""),"Javeria ")</f>
        <v>Javeria </v>
      </c>
      <c r="D375" s="10" t="str">
        <f>IFERROR(__xludf.DUMMYFUNCTION("""COMPUTED_VALUE"""),"03211539026")</f>
        <v>03211539026</v>
      </c>
      <c r="E375" s="10" t="str">
        <f>IFERROR(__xludf.DUMMYFUNCTION("""COMPUTED_VALUE"""),"jamia masjid main bazar bhahwal")</f>
        <v>jamia masjid main bazar bhahwal</v>
      </c>
      <c r="F375" s="10" t="str">
        <f>IFERROR(__xludf.DUMMYFUNCTION("""COMPUTED_VALUE"""),"OBNTR")</f>
        <v>OBNTR</v>
      </c>
      <c r="G375" s="10" t="str">
        <f>IFERROR(__xludf.DUMMYFUNCTION("""COMPUTED_VALUE"""),"Yes")</f>
        <v>Yes</v>
      </c>
      <c r="H375" s="10">
        <f>IFERROR(__xludf.DUMMYFUNCTION("""COMPUTED_VALUE"""),9.0)</f>
        <v>9</v>
      </c>
      <c r="I375" s="10">
        <f>IFERROR(__xludf.DUMMYFUNCTION("""COMPUTED_VALUE"""),1.0)</f>
        <v>1</v>
      </c>
      <c r="J375" s="10">
        <f>IFERROR(__xludf.DUMMYFUNCTION("""COMPUTED_VALUE"""),8.0)</f>
        <v>8</v>
      </c>
      <c r="K375" s="10">
        <f>IFERROR(__xludf.DUMMYFUNCTION("""COMPUTED_VALUE"""),0.0)</f>
        <v>0</v>
      </c>
      <c r="L375" s="10">
        <f>IFERROR(__xludf.DUMMYFUNCTION("""COMPUTED_VALUE"""),10.0)</f>
        <v>10</v>
      </c>
      <c r="M375" s="10">
        <f>IFERROR(__xludf.DUMMYFUNCTION("""COMPUTED_VALUE"""),0.0)</f>
        <v>0</v>
      </c>
      <c r="N375" s="10">
        <f>IFERROR(__xludf.DUMMYFUNCTION("""COMPUTED_VALUE"""),10.0)</f>
        <v>10</v>
      </c>
      <c r="O375" s="10">
        <f>IFERROR(__xludf.DUMMYFUNCTION("""COMPUTED_VALUE"""),0.0)</f>
        <v>0</v>
      </c>
      <c r="P375" s="10">
        <f>IFERROR(__xludf.DUMMYFUNCTION("""COMPUTED_VALUE"""),8.0)</f>
        <v>8</v>
      </c>
      <c r="Q375" s="10" t="str">
        <f>IFERROR(__xludf.DUMMYFUNCTION("""COMPUTED_VALUE"""),"No")</f>
        <v>No</v>
      </c>
      <c r="R375" s="10" t="str">
        <f>IFERROR(__xludf.DUMMYFUNCTION("""COMPUTED_VALUE"""),"No")</f>
        <v>No</v>
      </c>
      <c r="S375" s="10" t="str">
        <f>IFERROR(__xludf.DUMMYFUNCTION("""COMPUTED_VALUE"""),"No")</f>
        <v>No</v>
      </c>
      <c r="T375" s="10">
        <f>IFERROR(__xludf.DUMMYFUNCTION("""COMPUTED_VALUE"""),0.0)</f>
        <v>0</v>
      </c>
      <c r="U375" s="10">
        <f>IFERROR(__xludf.DUMMYFUNCTION("""COMPUTED_VALUE"""),0.0)</f>
        <v>0</v>
      </c>
      <c r="V375" s="10" t="str">
        <f>IFERROR(__xludf.DUMMYFUNCTION("""COMPUTED_VALUE"""),"parosiyon ky haqooq")</f>
        <v>parosiyon ky haqooq</v>
      </c>
      <c r="W375" s="10" t="str">
        <f>IFERROR(__xludf.DUMMYFUNCTION("""COMPUTED_VALUE"""),"parosiyon ky haqooq or maa baap sy husne salooq pe bt ki")</f>
        <v>parosiyon ky haqooq or maa baap sy husne salooq pe bt ki</v>
      </c>
      <c r="X375" s="10">
        <f>IFERROR(__xludf.DUMMYFUNCTION("""COMPUTED_VALUE"""),0.0)</f>
        <v>0</v>
      </c>
      <c r="Y375" s="10">
        <f>IFERROR(__xludf.DUMMYFUNCTION("""COMPUTED_VALUE"""),9.0)</f>
        <v>9</v>
      </c>
      <c r="Z375" s="10">
        <f>IFERROR(__xludf.DUMMYFUNCTION("""COMPUTED_VALUE"""),8.0)</f>
        <v>8</v>
      </c>
      <c r="AA375" s="10">
        <f>IFERROR(__xludf.DUMMYFUNCTION("""COMPUTED_VALUE"""),7.0)</f>
        <v>7</v>
      </c>
      <c r="AB375" s="10">
        <f>IFERROR(__xludf.DUMMYFUNCTION("""COMPUTED_VALUE"""),4.0)</f>
        <v>4</v>
      </c>
      <c r="AC375" s="10">
        <f>IFERROR(__xludf.DUMMYFUNCTION("""COMPUTED_VALUE"""),0.0)</f>
        <v>0</v>
      </c>
      <c r="AD375" s="10">
        <f>IFERROR(__xludf.DUMMYFUNCTION("""COMPUTED_VALUE"""),6.0)</f>
        <v>6</v>
      </c>
      <c r="AE375" s="10">
        <f>IFERROR(__xludf.DUMMYFUNCTION("""COMPUTED_VALUE"""),4.0)</f>
        <v>4</v>
      </c>
      <c r="AF375" s="10">
        <f>IFERROR(__xludf.DUMMYFUNCTION("""COMPUTED_VALUE"""),9.0)</f>
        <v>9</v>
      </c>
      <c r="AG375" s="10">
        <f>IFERROR(__xludf.DUMMYFUNCTION("""COMPUTED_VALUE"""),8.0)</f>
        <v>8</v>
      </c>
      <c r="AH375" s="10">
        <f>IFERROR(__xludf.DUMMYFUNCTION("""COMPUTED_VALUE"""),0.0)</f>
        <v>0</v>
      </c>
      <c r="AI375" s="10">
        <f>IFERROR(__xludf.DUMMYFUNCTION("""COMPUTED_VALUE"""),9.0)</f>
        <v>9</v>
      </c>
      <c r="AJ375" s="11" t="str">
        <f>IFERROR(__xludf.DUMMYFUNCTION("""COMPUTED_VALUE"""),"https://drive.google.com/open?id=1NgBvmr57d7zvpzt0YE2ozEthbgEI7eYm")</f>
        <v>https://drive.google.com/open?id=1NgBvmr57d7zvpzt0YE2ozEthbgEI7eYm</v>
      </c>
      <c r="AK375" s="12"/>
      <c r="AL375" s="12" t="str">
        <f>IFERROR(__xludf.DUMMYFUNCTION("""COMPUTED_VALUE"""),"Yes")</f>
        <v>Yes</v>
      </c>
      <c r="AM375" s="15">
        <f>IFERROR(__xludf.DUMMYFUNCTION("""COMPUTED_VALUE"""),0.9)</f>
        <v>0.9</v>
      </c>
      <c r="AN375" s="12" t="str">
        <f>IFERROR(__xludf.DUMMYFUNCTION("""COMPUTED_VALUE"""),"2nd week")</f>
        <v>2nd week</v>
      </c>
      <c r="AO375" s="13">
        <v>2.0</v>
      </c>
      <c r="AX375" s="17"/>
    </row>
    <row r="376">
      <c r="B376" s="9">
        <f>IFERROR(__xludf.DUMMYFUNCTION("""COMPUTED_VALUE"""),45840.63352671296)</f>
        <v>45840.63353</v>
      </c>
      <c r="C376" s="10" t="str">
        <f>IFERROR(__xludf.DUMMYFUNCTION("""COMPUTED_VALUE"""),"Javeria")</f>
        <v>Javeria</v>
      </c>
      <c r="D376" s="10" t="str">
        <f>IFERROR(__xludf.DUMMYFUNCTION("""COMPUTED_VALUE"""),"03211539026")</f>
        <v>03211539026</v>
      </c>
      <c r="E376" s="10" t="str">
        <f>IFERROR(__xludf.DUMMYFUNCTION("""COMPUTED_VALUE"""),"Jamia Masjid Gulzar Madina 43 Shamali Lari Adah")</f>
        <v>Jamia Masjid Gulzar Madina 43 Shamali Lari Adah</v>
      </c>
      <c r="F376" s="10" t="str">
        <f>IFERROR(__xludf.DUMMYFUNCTION("""COMPUTED_VALUE"""),"QPSTQ")</f>
        <v>QPSTQ</v>
      </c>
      <c r="G376" s="10" t="str">
        <f>IFERROR(__xludf.DUMMYFUNCTION("""COMPUTED_VALUE"""),"Yes")</f>
        <v>Yes</v>
      </c>
      <c r="H376" s="10">
        <f>IFERROR(__xludf.DUMMYFUNCTION("""COMPUTED_VALUE"""),10.0)</f>
        <v>10</v>
      </c>
      <c r="I376" s="10">
        <f>IFERROR(__xludf.DUMMYFUNCTION("""COMPUTED_VALUE"""),0.0)</f>
        <v>0</v>
      </c>
      <c r="J376" s="10">
        <f>IFERROR(__xludf.DUMMYFUNCTION("""COMPUTED_VALUE"""),10.0)</f>
        <v>10</v>
      </c>
      <c r="K376" s="10">
        <f>IFERROR(__xludf.DUMMYFUNCTION("""COMPUTED_VALUE"""),0.0)</f>
        <v>0</v>
      </c>
      <c r="L376" s="10">
        <f>IFERROR(__xludf.DUMMYFUNCTION("""COMPUTED_VALUE"""),10.0)</f>
        <v>10</v>
      </c>
      <c r="M376" s="10">
        <f>IFERROR(__xludf.DUMMYFUNCTION("""COMPUTED_VALUE"""),0.0)</f>
        <v>0</v>
      </c>
      <c r="N376" s="10">
        <f>IFERROR(__xludf.DUMMYFUNCTION("""COMPUTED_VALUE"""),10.0)</f>
        <v>10</v>
      </c>
      <c r="O376" s="10">
        <f>IFERROR(__xludf.DUMMYFUNCTION("""COMPUTED_VALUE"""),0.0)</f>
        <v>0</v>
      </c>
      <c r="P376" s="10">
        <f>IFERROR(__xludf.DUMMYFUNCTION("""COMPUTED_VALUE"""),0.0)</f>
        <v>0</v>
      </c>
      <c r="Q376" s="10" t="str">
        <f>IFERROR(__xludf.DUMMYFUNCTION("""COMPUTED_VALUE"""),"No")</f>
        <v>No</v>
      </c>
      <c r="R376" s="10" t="str">
        <f>IFERROR(__xludf.DUMMYFUNCTION("""COMPUTED_VALUE"""),"No")</f>
        <v>No</v>
      </c>
      <c r="S376" s="10" t="str">
        <f>IFERROR(__xludf.DUMMYFUNCTION("""COMPUTED_VALUE"""),"No")</f>
        <v>No</v>
      </c>
      <c r="T376" s="10">
        <f>IFERROR(__xludf.DUMMYFUNCTION("""COMPUTED_VALUE"""),0.0)</f>
        <v>0</v>
      </c>
      <c r="U376" s="10">
        <f>IFERROR(__xludf.DUMMYFUNCTION("""COMPUTED_VALUE"""),0.0)</f>
        <v>0</v>
      </c>
      <c r="V376" s="10" t="str">
        <f>IFERROR(__xludf.DUMMYFUNCTION("""COMPUTED_VALUE"""),"parosiyon ky haqoq")</f>
        <v>parosiyon ky haqoq</v>
      </c>
      <c r="W376" s="10" t="str">
        <f>IFERROR(__xludf.DUMMYFUNCTION("""COMPUTED_VALUE"""),"parosiyon ky sth acha salook ")</f>
        <v>parosiyon ky sth acha salook </v>
      </c>
      <c r="X376" s="10">
        <f>IFERROR(__xludf.DUMMYFUNCTION("""COMPUTED_VALUE"""),3.0)</f>
        <v>3</v>
      </c>
      <c r="Y376" s="10">
        <f>IFERROR(__xludf.DUMMYFUNCTION("""COMPUTED_VALUE"""),9.0)</f>
        <v>9</v>
      </c>
      <c r="Z376" s="10">
        <f>IFERROR(__xludf.DUMMYFUNCTION("""COMPUTED_VALUE"""),6.0)</f>
        <v>6</v>
      </c>
      <c r="AA376" s="10">
        <f>IFERROR(__xludf.DUMMYFUNCTION("""COMPUTED_VALUE"""),8.0)</f>
        <v>8</v>
      </c>
      <c r="AB376" s="10">
        <f>IFERROR(__xludf.DUMMYFUNCTION("""COMPUTED_VALUE"""),6.0)</f>
        <v>6</v>
      </c>
      <c r="AC376" s="10">
        <f>IFERROR(__xludf.DUMMYFUNCTION("""COMPUTED_VALUE"""),0.0)</f>
        <v>0</v>
      </c>
      <c r="AD376" s="10">
        <f>IFERROR(__xludf.DUMMYFUNCTION("""COMPUTED_VALUE"""),4.0)</f>
        <v>4</v>
      </c>
      <c r="AE376" s="10">
        <f>IFERROR(__xludf.DUMMYFUNCTION("""COMPUTED_VALUE"""),3.0)</f>
        <v>3</v>
      </c>
      <c r="AF376" s="10">
        <f>IFERROR(__xludf.DUMMYFUNCTION("""COMPUTED_VALUE"""),9.0)</f>
        <v>9</v>
      </c>
      <c r="AG376" s="10">
        <f>IFERROR(__xludf.DUMMYFUNCTION("""COMPUTED_VALUE"""),8.0)</f>
        <v>8</v>
      </c>
      <c r="AH376" s="10">
        <f>IFERROR(__xludf.DUMMYFUNCTION("""COMPUTED_VALUE"""),0.0)</f>
        <v>0</v>
      </c>
      <c r="AI376" s="10">
        <f>IFERROR(__xludf.DUMMYFUNCTION("""COMPUTED_VALUE"""),10.0)</f>
        <v>10</v>
      </c>
      <c r="AJ376" s="11" t="str">
        <f>IFERROR(__xludf.DUMMYFUNCTION("""COMPUTED_VALUE"""),"https://drive.google.com/open?id=1NQOlqcU4LVCSpZJIBNeNIv1zIJVsC2Ma")</f>
        <v>https://drive.google.com/open?id=1NQOlqcU4LVCSpZJIBNeNIv1zIJVsC2Ma</v>
      </c>
      <c r="AK376" s="12"/>
      <c r="AL376" s="12" t="str">
        <f>IFERROR(__xludf.DUMMYFUNCTION("""COMPUTED_VALUE"""),"Yes")</f>
        <v>Yes</v>
      </c>
      <c r="AM376" s="15">
        <f>IFERROR(__xludf.DUMMYFUNCTION("""COMPUTED_VALUE"""),1.0)</f>
        <v>1</v>
      </c>
      <c r="AN376" s="12" t="str">
        <f>IFERROR(__xludf.DUMMYFUNCTION("""COMPUTED_VALUE"""),"2nd week")</f>
        <v>2nd week</v>
      </c>
      <c r="AO376" s="13">
        <v>2.0</v>
      </c>
      <c r="AX376" s="17"/>
    </row>
    <row r="377">
      <c r="B377" s="9">
        <f>IFERROR(__xludf.DUMMYFUNCTION("""COMPUTED_VALUE"""),45841.5905037037)</f>
        <v>45841.5905</v>
      </c>
      <c r="C377" s="10" t="str">
        <f>IFERROR(__xludf.DUMMYFUNCTION("""COMPUTED_VALUE"""),"javeria")</f>
        <v>javeria</v>
      </c>
      <c r="D377" s="10" t="str">
        <f>IFERROR(__xludf.DUMMYFUNCTION("""COMPUTED_VALUE"""),"03211539026")</f>
        <v>03211539026</v>
      </c>
      <c r="E377" s="10" t="str">
        <f>IFERROR(__xludf.DUMMYFUNCTION("""COMPUTED_VALUE"""),"Jamia Masjid Australia Lahore")</f>
        <v>Jamia Masjid Australia Lahore</v>
      </c>
      <c r="F377" s="10" t="str">
        <f>IFERROR(__xludf.DUMMYFUNCTION("""COMPUTED_VALUE"""),"xdhvt")</f>
        <v>xdhvt</v>
      </c>
      <c r="G377" s="10" t="str">
        <f>IFERROR(__xludf.DUMMYFUNCTION("""COMPUTED_VALUE"""),"Yes")</f>
        <v>Yes</v>
      </c>
      <c r="H377" s="10">
        <f>IFERROR(__xludf.DUMMYFUNCTION("""COMPUTED_VALUE"""),8.0)</f>
        <v>8</v>
      </c>
      <c r="I377" s="10">
        <f>IFERROR(__xludf.DUMMYFUNCTION("""COMPUTED_VALUE"""),5.0)</f>
        <v>5</v>
      </c>
      <c r="J377" s="10">
        <f>IFERROR(__xludf.DUMMYFUNCTION("""COMPUTED_VALUE"""),8.0)</f>
        <v>8</v>
      </c>
      <c r="K377" s="10">
        <f>IFERROR(__xludf.DUMMYFUNCTION("""COMPUTED_VALUE"""),0.0)</f>
        <v>0</v>
      </c>
      <c r="L377" s="10">
        <f>IFERROR(__xludf.DUMMYFUNCTION("""COMPUTED_VALUE"""),9.0)</f>
        <v>9</v>
      </c>
      <c r="M377" s="10">
        <f>IFERROR(__xludf.DUMMYFUNCTION("""COMPUTED_VALUE"""),0.0)</f>
        <v>0</v>
      </c>
      <c r="N377" s="10">
        <f>IFERROR(__xludf.DUMMYFUNCTION("""COMPUTED_VALUE"""),10.0)</f>
        <v>10</v>
      </c>
      <c r="O377" s="10">
        <f>IFERROR(__xludf.DUMMYFUNCTION("""COMPUTED_VALUE"""),0.0)</f>
        <v>0</v>
      </c>
      <c r="P377" s="10">
        <f>IFERROR(__xludf.DUMMYFUNCTION("""COMPUTED_VALUE"""),9.0)</f>
        <v>9</v>
      </c>
      <c r="Q377" s="10" t="str">
        <f>IFERROR(__xludf.DUMMYFUNCTION("""COMPUTED_VALUE"""),"No")</f>
        <v>No</v>
      </c>
      <c r="R377" s="10" t="str">
        <f>IFERROR(__xludf.DUMMYFUNCTION("""COMPUTED_VALUE"""),"No")</f>
        <v>No</v>
      </c>
      <c r="S377" s="10" t="str">
        <f>IFERROR(__xludf.DUMMYFUNCTION("""COMPUTED_VALUE"""),"No")</f>
        <v>No</v>
      </c>
      <c r="T377" s="10">
        <f>IFERROR(__xludf.DUMMYFUNCTION("""COMPUTED_VALUE"""),0.0)</f>
        <v>0</v>
      </c>
      <c r="U377" s="10">
        <f>IFERROR(__xludf.DUMMYFUNCTION("""COMPUTED_VALUE"""),0.0)</f>
        <v>0</v>
      </c>
      <c r="V377" s="10" t="str">
        <f>IFERROR(__xludf.DUMMYFUNCTION("""COMPUTED_VALUE"""),"parosiyon ky haqoq")</f>
        <v>parosiyon ky haqoq</v>
      </c>
      <c r="W377" s="10" t="str">
        <f>IFERROR(__xludf.DUMMYFUNCTION("""COMPUTED_VALUE"""),"hamsaiyon ky sth husn saloq ")</f>
        <v>hamsaiyon ky sth husn saloq </v>
      </c>
      <c r="X377" s="10">
        <f>IFERROR(__xludf.DUMMYFUNCTION("""COMPUTED_VALUE"""),8.0)</f>
        <v>8</v>
      </c>
      <c r="Y377" s="10">
        <f>IFERROR(__xludf.DUMMYFUNCTION("""COMPUTED_VALUE"""),6.0)</f>
        <v>6</v>
      </c>
      <c r="Z377" s="10">
        <f>IFERROR(__xludf.DUMMYFUNCTION("""COMPUTED_VALUE"""),7.0)</f>
        <v>7</v>
      </c>
      <c r="AA377" s="10">
        <f>IFERROR(__xludf.DUMMYFUNCTION("""COMPUTED_VALUE"""),8.0)</f>
        <v>8</v>
      </c>
      <c r="AB377" s="10">
        <f>IFERROR(__xludf.DUMMYFUNCTION("""COMPUTED_VALUE"""),4.0)</f>
        <v>4</v>
      </c>
      <c r="AC377" s="10">
        <f>IFERROR(__xludf.DUMMYFUNCTION("""COMPUTED_VALUE"""),0.0)</f>
        <v>0</v>
      </c>
      <c r="AD377" s="10">
        <f>IFERROR(__xludf.DUMMYFUNCTION("""COMPUTED_VALUE"""),5.0)</f>
        <v>5</v>
      </c>
      <c r="AE377" s="10">
        <f>IFERROR(__xludf.DUMMYFUNCTION("""COMPUTED_VALUE"""),1.0)</f>
        <v>1</v>
      </c>
      <c r="AF377" s="10">
        <f>IFERROR(__xludf.DUMMYFUNCTION("""COMPUTED_VALUE"""),9.0)</f>
        <v>9</v>
      </c>
      <c r="AG377" s="10">
        <f>IFERROR(__xludf.DUMMYFUNCTION("""COMPUTED_VALUE"""),10.0)</f>
        <v>10</v>
      </c>
      <c r="AH377" s="10">
        <f>IFERROR(__xludf.DUMMYFUNCTION("""COMPUTED_VALUE"""),4.0)</f>
        <v>4</v>
      </c>
      <c r="AI377" s="10">
        <f>IFERROR(__xludf.DUMMYFUNCTION("""COMPUTED_VALUE"""),9.0)</f>
        <v>9</v>
      </c>
      <c r="AJ377" s="11" t="str">
        <f>IFERROR(__xludf.DUMMYFUNCTION("""COMPUTED_VALUE"""),"https://drive.google.com/open?id=1omvi7fM6kW-XYLVKK8POcmU1f6X1l3Eh")</f>
        <v>https://drive.google.com/open?id=1omvi7fM6kW-XYLVKK8POcmU1f6X1l3Eh</v>
      </c>
      <c r="AK377" s="12"/>
      <c r="AL377" s="12" t="str">
        <f>IFERROR(__xludf.DUMMYFUNCTION("""COMPUTED_VALUE"""),"Yes")</f>
        <v>Yes</v>
      </c>
      <c r="AM377" s="15">
        <f>IFERROR(__xludf.DUMMYFUNCTION("""COMPUTED_VALUE"""),0.8)</f>
        <v>0.8</v>
      </c>
      <c r="AN377" s="12" t="str">
        <f>IFERROR(__xludf.DUMMYFUNCTION("""COMPUTED_VALUE"""),"4th week")</f>
        <v>4th week</v>
      </c>
      <c r="AO377" s="13">
        <v>4.0</v>
      </c>
      <c r="AX377" s="17"/>
    </row>
    <row r="378">
      <c r="B378" s="9">
        <f>IFERROR(__xludf.DUMMYFUNCTION("""COMPUTED_VALUE"""),45841.59714399306)</f>
        <v>45841.59714</v>
      </c>
      <c r="C378" s="10" t="str">
        <f>IFERROR(__xludf.DUMMYFUNCTION("""COMPUTED_VALUE"""),"javeria")</f>
        <v>javeria</v>
      </c>
      <c r="D378" s="10" t="str">
        <f>IFERROR(__xludf.DUMMYFUNCTION("""COMPUTED_VALUE"""),"03211539026")</f>
        <v>03211539026</v>
      </c>
      <c r="E378" s="10" t="str">
        <f>IFERROR(__xludf.DUMMYFUNCTION("""COMPUTED_VALUE"""),"Jamia Masjid Zia Muzam Abaad Kot Mumin")</f>
        <v>Jamia Masjid Zia Muzam Abaad Kot Mumin</v>
      </c>
      <c r="F378" s="10" t="str">
        <f>IFERROR(__xludf.DUMMYFUNCTION("""COMPUTED_VALUE"""),"UIODJ")</f>
        <v>UIODJ</v>
      </c>
      <c r="G378" s="10" t="str">
        <f>IFERROR(__xludf.DUMMYFUNCTION("""COMPUTED_VALUE"""),"Yes")</f>
        <v>Yes</v>
      </c>
      <c r="H378" s="10">
        <f>IFERROR(__xludf.DUMMYFUNCTION("""COMPUTED_VALUE"""),8.0)</f>
        <v>8</v>
      </c>
      <c r="I378" s="10">
        <f>IFERROR(__xludf.DUMMYFUNCTION("""COMPUTED_VALUE"""),2.0)</f>
        <v>2</v>
      </c>
      <c r="J378" s="10">
        <f>IFERROR(__xludf.DUMMYFUNCTION("""COMPUTED_VALUE"""),9.0)</f>
        <v>9</v>
      </c>
      <c r="K378" s="10">
        <f>IFERROR(__xludf.DUMMYFUNCTION("""COMPUTED_VALUE"""),0.0)</f>
        <v>0</v>
      </c>
      <c r="L378" s="10">
        <f>IFERROR(__xludf.DUMMYFUNCTION("""COMPUTED_VALUE"""),10.0)</f>
        <v>10</v>
      </c>
      <c r="M378" s="10">
        <f>IFERROR(__xludf.DUMMYFUNCTION("""COMPUTED_VALUE"""),0.0)</f>
        <v>0</v>
      </c>
      <c r="N378" s="10">
        <f>IFERROR(__xludf.DUMMYFUNCTION("""COMPUTED_VALUE"""),10.0)</f>
        <v>10</v>
      </c>
      <c r="O378" s="10">
        <f>IFERROR(__xludf.DUMMYFUNCTION("""COMPUTED_VALUE"""),0.0)</f>
        <v>0</v>
      </c>
      <c r="P378" s="10">
        <f>IFERROR(__xludf.DUMMYFUNCTION("""COMPUTED_VALUE"""),0.0)</f>
        <v>0</v>
      </c>
      <c r="Q378" s="10" t="str">
        <f>IFERROR(__xludf.DUMMYFUNCTION("""COMPUTED_VALUE"""),"No")</f>
        <v>No</v>
      </c>
      <c r="R378" s="10" t="str">
        <f>IFERROR(__xludf.DUMMYFUNCTION("""COMPUTED_VALUE"""),"No")</f>
        <v>No</v>
      </c>
      <c r="S378" s="10" t="str">
        <f>IFERROR(__xludf.DUMMYFUNCTION("""COMPUTED_VALUE"""),"No")</f>
        <v>No</v>
      </c>
      <c r="T378" s="10">
        <f>IFERROR(__xludf.DUMMYFUNCTION("""COMPUTED_VALUE"""),0.0)</f>
        <v>0</v>
      </c>
      <c r="U378" s="10">
        <f>IFERROR(__xludf.DUMMYFUNCTION("""COMPUTED_VALUE"""),0.0)</f>
        <v>0</v>
      </c>
      <c r="V378" s="10" t="str">
        <f>IFERROR(__xludf.DUMMYFUNCTION("""COMPUTED_VALUE"""),"parosiyon ky haqoq")</f>
        <v>parosiyon ky haqoq</v>
      </c>
      <c r="W378" s="10" t="str">
        <f>IFERROR(__xludf.DUMMYFUNCTION("""COMPUTED_VALUE"""),"parosiyon ky sth achy se rhy ")</f>
        <v>parosiyon ky sth achy se rhy </v>
      </c>
      <c r="X378" s="10">
        <f>IFERROR(__xludf.DUMMYFUNCTION("""COMPUTED_VALUE"""),7.0)</f>
        <v>7</v>
      </c>
      <c r="Y378" s="10">
        <f>IFERROR(__xludf.DUMMYFUNCTION("""COMPUTED_VALUE"""),5.0)</f>
        <v>5</v>
      </c>
      <c r="Z378" s="10">
        <f>IFERROR(__xludf.DUMMYFUNCTION("""COMPUTED_VALUE"""),9.0)</f>
        <v>9</v>
      </c>
      <c r="AA378" s="10">
        <f>IFERROR(__xludf.DUMMYFUNCTION("""COMPUTED_VALUE"""),5.0)</f>
        <v>5</v>
      </c>
      <c r="AB378" s="10">
        <f>IFERROR(__xludf.DUMMYFUNCTION("""COMPUTED_VALUE"""),4.0)</f>
        <v>4</v>
      </c>
      <c r="AC378" s="10">
        <f>IFERROR(__xludf.DUMMYFUNCTION("""COMPUTED_VALUE"""),0.0)</f>
        <v>0</v>
      </c>
      <c r="AD378" s="10">
        <f>IFERROR(__xludf.DUMMYFUNCTION("""COMPUTED_VALUE"""),5.0)</f>
        <v>5</v>
      </c>
      <c r="AE378" s="10">
        <f>IFERROR(__xludf.DUMMYFUNCTION("""COMPUTED_VALUE"""),0.0)</f>
        <v>0</v>
      </c>
      <c r="AF378" s="10">
        <f>IFERROR(__xludf.DUMMYFUNCTION("""COMPUTED_VALUE"""),6.0)</f>
        <v>6</v>
      </c>
      <c r="AG378" s="10">
        <f>IFERROR(__xludf.DUMMYFUNCTION("""COMPUTED_VALUE"""),10.0)</f>
        <v>10</v>
      </c>
      <c r="AH378" s="10">
        <f>IFERROR(__xludf.DUMMYFUNCTION("""COMPUTED_VALUE"""),5.0)</f>
        <v>5</v>
      </c>
      <c r="AI378" s="10">
        <f>IFERROR(__xludf.DUMMYFUNCTION("""COMPUTED_VALUE"""),9.0)</f>
        <v>9</v>
      </c>
      <c r="AJ378" s="11" t="str">
        <f>IFERROR(__xludf.DUMMYFUNCTION("""COMPUTED_VALUE"""),"https://drive.google.com/open?id=1azBWvJrkLxUXjsNyXa2T1-ZzWgRBuTUb")</f>
        <v>https://drive.google.com/open?id=1azBWvJrkLxUXjsNyXa2T1-ZzWgRBuTUb</v>
      </c>
      <c r="AK378" s="12"/>
      <c r="AL378" s="12" t="str">
        <f>IFERROR(__xludf.DUMMYFUNCTION("""COMPUTED_VALUE"""),"Yes")</f>
        <v>Yes</v>
      </c>
      <c r="AM378" s="15">
        <f>IFERROR(__xludf.DUMMYFUNCTION("""COMPUTED_VALUE"""),0.8)</f>
        <v>0.8</v>
      </c>
      <c r="AN378" s="12" t="str">
        <f>IFERROR(__xludf.DUMMYFUNCTION("""COMPUTED_VALUE"""),"2nd week")</f>
        <v>2nd week</v>
      </c>
      <c r="AO378" s="13">
        <v>2.0</v>
      </c>
      <c r="AX378" s="17"/>
    </row>
    <row r="379">
      <c r="B379" s="9">
        <f>IFERROR(__xludf.DUMMYFUNCTION("""COMPUTED_VALUE"""),45841.60308461805)</f>
        <v>45841.60308</v>
      </c>
      <c r="C379" s="10" t="str">
        <f>IFERROR(__xludf.DUMMYFUNCTION("""COMPUTED_VALUE"""),"javeria")</f>
        <v>javeria</v>
      </c>
      <c r="D379" s="10" t="str">
        <f>IFERROR(__xludf.DUMMYFUNCTION("""COMPUTED_VALUE"""),"03211539026")</f>
        <v>03211539026</v>
      </c>
      <c r="E379" s="10" t="str">
        <f>IFERROR(__xludf.DUMMYFUNCTION("""COMPUTED_VALUE"""),"Jamia Masjid Shah Ali Rungareez Lahore")</f>
        <v>Jamia Masjid Shah Ali Rungareez Lahore</v>
      </c>
      <c r="F379" s="10" t="str">
        <f>IFERROR(__xludf.DUMMYFUNCTION("""COMPUTED_VALUE"""),"fjkfw")</f>
        <v>fjkfw</v>
      </c>
      <c r="G379" s="10" t="str">
        <f>IFERROR(__xludf.DUMMYFUNCTION("""COMPUTED_VALUE"""),"Yes")</f>
        <v>Yes</v>
      </c>
      <c r="H379" s="10">
        <f>IFERROR(__xludf.DUMMYFUNCTION("""COMPUTED_VALUE"""),0.0)</f>
        <v>0</v>
      </c>
      <c r="I379" s="10">
        <f>IFERROR(__xludf.DUMMYFUNCTION("""COMPUTED_VALUE"""),2.0)</f>
        <v>2</v>
      </c>
      <c r="J379" s="10">
        <f>IFERROR(__xludf.DUMMYFUNCTION("""COMPUTED_VALUE"""),0.0)</f>
        <v>0</v>
      </c>
      <c r="K379" s="10">
        <f>IFERROR(__xludf.DUMMYFUNCTION("""COMPUTED_VALUE"""),0.0)</f>
        <v>0</v>
      </c>
      <c r="L379" s="10">
        <f>IFERROR(__xludf.DUMMYFUNCTION("""COMPUTED_VALUE"""),9.0)</f>
        <v>9</v>
      </c>
      <c r="M379" s="10">
        <f>IFERROR(__xludf.DUMMYFUNCTION("""COMPUTED_VALUE"""),0.0)</f>
        <v>0</v>
      </c>
      <c r="N379" s="10">
        <f>IFERROR(__xludf.DUMMYFUNCTION("""COMPUTED_VALUE"""),0.0)</f>
        <v>0</v>
      </c>
      <c r="O379" s="10">
        <f>IFERROR(__xludf.DUMMYFUNCTION("""COMPUTED_VALUE"""),0.0)</f>
        <v>0</v>
      </c>
      <c r="P379" s="10">
        <f>IFERROR(__xludf.DUMMYFUNCTION("""COMPUTED_VALUE"""),0.0)</f>
        <v>0</v>
      </c>
      <c r="Q379" s="10" t="str">
        <f>IFERROR(__xludf.DUMMYFUNCTION("""COMPUTED_VALUE"""),"No")</f>
        <v>No</v>
      </c>
      <c r="R379" s="10" t="str">
        <f>IFERROR(__xludf.DUMMYFUNCTION("""COMPUTED_VALUE"""),"No")</f>
        <v>No</v>
      </c>
      <c r="S379" s="10" t="str">
        <f>IFERROR(__xludf.DUMMYFUNCTION("""COMPUTED_VALUE"""),"No")</f>
        <v>No</v>
      </c>
      <c r="T379" s="10">
        <f>IFERROR(__xludf.DUMMYFUNCTION("""COMPUTED_VALUE"""),0.0)</f>
        <v>0</v>
      </c>
      <c r="U379" s="10">
        <f>IFERROR(__xludf.DUMMYFUNCTION("""COMPUTED_VALUE"""),0.0)</f>
        <v>0</v>
      </c>
      <c r="V379" s="10" t="str">
        <f>IFERROR(__xludf.DUMMYFUNCTION("""COMPUTED_VALUE"""),"sab se acha amal kya h")</f>
        <v>sab se acha amal kya h</v>
      </c>
      <c r="W379" s="10" t="str">
        <f>IFERROR(__xludf.DUMMYFUNCTION("""COMPUTED_VALUE"""),"allah ki raza ky liye  kam kro jihad kro ")</f>
        <v>allah ki raza ky liye  kam kro jihad kro </v>
      </c>
      <c r="X379" s="10">
        <f>IFERROR(__xludf.DUMMYFUNCTION("""COMPUTED_VALUE"""),8.0)</f>
        <v>8</v>
      </c>
      <c r="Y379" s="10">
        <f>IFERROR(__xludf.DUMMYFUNCTION("""COMPUTED_VALUE"""),0.0)</f>
        <v>0</v>
      </c>
      <c r="Z379" s="10">
        <f>IFERROR(__xludf.DUMMYFUNCTION("""COMPUTED_VALUE"""),0.0)</f>
        <v>0</v>
      </c>
      <c r="AA379" s="10">
        <f>IFERROR(__xludf.DUMMYFUNCTION("""COMPUTED_VALUE"""),8.0)</f>
        <v>8</v>
      </c>
      <c r="AB379" s="10">
        <f>IFERROR(__xludf.DUMMYFUNCTION("""COMPUTED_VALUE"""),2.0)</f>
        <v>2</v>
      </c>
      <c r="AC379" s="10">
        <f>IFERROR(__xludf.DUMMYFUNCTION("""COMPUTED_VALUE"""),0.0)</f>
        <v>0</v>
      </c>
      <c r="AD379" s="10">
        <f>IFERROR(__xludf.DUMMYFUNCTION("""COMPUTED_VALUE"""),4.0)</f>
        <v>4</v>
      </c>
      <c r="AE379" s="10">
        <f>IFERROR(__xludf.DUMMYFUNCTION("""COMPUTED_VALUE"""),0.0)</f>
        <v>0</v>
      </c>
      <c r="AF379" s="10">
        <f>IFERROR(__xludf.DUMMYFUNCTION("""COMPUTED_VALUE"""),9.0)</f>
        <v>9</v>
      </c>
      <c r="AG379" s="10">
        <f>IFERROR(__xludf.DUMMYFUNCTION("""COMPUTED_VALUE"""),8.0)</f>
        <v>8</v>
      </c>
      <c r="AH379" s="10">
        <f>IFERROR(__xludf.DUMMYFUNCTION("""COMPUTED_VALUE"""),5.0)</f>
        <v>5</v>
      </c>
      <c r="AI379" s="10">
        <f>IFERROR(__xludf.DUMMYFUNCTION("""COMPUTED_VALUE"""),7.0)</f>
        <v>7</v>
      </c>
      <c r="AJ379" s="11" t="str">
        <f>IFERROR(__xludf.DUMMYFUNCTION("""COMPUTED_VALUE"""),"https://drive.google.com/open?id=1gm_Gvqe7dhDcvZP2u4Leg-N7YK4lKiF9")</f>
        <v>https://drive.google.com/open?id=1gm_Gvqe7dhDcvZP2u4Leg-N7YK4lKiF9</v>
      </c>
      <c r="AK379" s="12"/>
      <c r="AL379" s="12" t="str">
        <f>IFERROR(__xludf.DUMMYFUNCTION("""COMPUTED_VALUE"""),"Yes")</f>
        <v>Yes</v>
      </c>
      <c r="AM379" s="15">
        <f>IFERROR(__xludf.DUMMYFUNCTION("""COMPUTED_VALUE"""),0.0)</f>
        <v>0</v>
      </c>
      <c r="AN379" s="12" t="str">
        <f>IFERROR(__xludf.DUMMYFUNCTION("""COMPUTED_VALUE"""),"4th week")</f>
        <v>4th week</v>
      </c>
      <c r="AO379" s="13">
        <v>4.0</v>
      </c>
      <c r="AX379" s="17"/>
    </row>
    <row r="380">
      <c r="B380" s="9">
        <f>IFERROR(__xludf.DUMMYFUNCTION("""COMPUTED_VALUE"""),45842.15102060185)</f>
        <v>45842.15102</v>
      </c>
      <c r="C380" s="10" t="str">
        <f>IFERROR(__xludf.DUMMYFUNCTION("""COMPUTED_VALUE"""),"javeria ")</f>
        <v>javeria </v>
      </c>
      <c r="D380" s="10" t="str">
        <f>IFERROR(__xludf.DUMMYFUNCTION("""COMPUTED_VALUE"""),"03211539026")</f>
        <v>03211539026</v>
      </c>
      <c r="E380" s="10" t="str">
        <f>IFERROR(__xludf.DUMMYFUNCTION("""COMPUTED_VALUE"""),"Jamia Masjid Bedian Road Lahore")</f>
        <v>Jamia Masjid Bedian Road Lahore</v>
      </c>
      <c r="F380" s="10" t="str">
        <f>IFERROR(__xludf.DUMMYFUNCTION("""COMPUTED_VALUE"""),"dxome")</f>
        <v>dxome</v>
      </c>
      <c r="G380" s="10" t="str">
        <f>IFERROR(__xludf.DUMMYFUNCTION("""COMPUTED_VALUE"""),"Yes")</f>
        <v>Yes</v>
      </c>
      <c r="H380" s="10">
        <f>IFERROR(__xludf.DUMMYFUNCTION("""COMPUTED_VALUE"""),6.0)</f>
        <v>6</v>
      </c>
      <c r="I380" s="10">
        <f>IFERROR(__xludf.DUMMYFUNCTION("""COMPUTED_VALUE"""),2.0)</f>
        <v>2</v>
      </c>
      <c r="J380" s="10">
        <f>IFERROR(__xludf.DUMMYFUNCTION("""COMPUTED_VALUE"""),6.0)</f>
        <v>6</v>
      </c>
      <c r="K380" s="10">
        <f>IFERROR(__xludf.DUMMYFUNCTION("""COMPUTED_VALUE"""),0.0)</f>
        <v>0</v>
      </c>
      <c r="L380" s="10">
        <f>IFERROR(__xludf.DUMMYFUNCTION("""COMPUTED_VALUE"""),0.0)</f>
        <v>0</v>
      </c>
      <c r="M380" s="10">
        <f>IFERROR(__xludf.DUMMYFUNCTION("""COMPUTED_VALUE"""),0.0)</f>
        <v>0</v>
      </c>
      <c r="N380" s="10">
        <f>IFERROR(__xludf.DUMMYFUNCTION("""COMPUTED_VALUE"""),0.0)</f>
        <v>0</v>
      </c>
      <c r="O380" s="10">
        <f>IFERROR(__xludf.DUMMYFUNCTION("""COMPUTED_VALUE"""),0.0)</f>
        <v>0</v>
      </c>
      <c r="P380" s="10">
        <f>IFERROR(__xludf.DUMMYFUNCTION("""COMPUTED_VALUE"""),0.0)</f>
        <v>0</v>
      </c>
      <c r="Q380" s="10" t="str">
        <f>IFERROR(__xludf.DUMMYFUNCTION("""COMPUTED_VALUE"""),"No")</f>
        <v>No</v>
      </c>
      <c r="R380" s="10" t="str">
        <f>IFERROR(__xludf.DUMMYFUNCTION("""COMPUTED_VALUE"""),"No")</f>
        <v>No</v>
      </c>
      <c r="S380" s="10" t="str">
        <f>IFERROR(__xludf.DUMMYFUNCTION("""COMPUTED_VALUE"""),"No")</f>
        <v>No</v>
      </c>
      <c r="T380" s="10">
        <f>IFERROR(__xludf.DUMMYFUNCTION("""COMPUTED_VALUE"""),0.0)</f>
        <v>0</v>
      </c>
      <c r="U380" s="10">
        <f>IFERROR(__xludf.DUMMYFUNCTION("""COMPUTED_VALUE"""),0.0)</f>
        <v>0</v>
      </c>
      <c r="V380" s="10" t="str">
        <f>IFERROR(__xludf.DUMMYFUNCTION("""COMPUTED_VALUE"""),"achay amal")</f>
        <v>achay amal</v>
      </c>
      <c r="W380" s="10" t="str">
        <f>IFERROR(__xludf.DUMMYFUNCTION("""COMPUTED_VALUE"""),"momin banda wo h jo achy amal sy allsah ko razi kry")</f>
        <v>momin banda wo h jo achy amal sy allsah ko razi kry</v>
      </c>
      <c r="X380" s="10">
        <f>IFERROR(__xludf.DUMMYFUNCTION("""COMPUTED_VALUE"""),2.0)</f>
        <v>2</v>
      </c>
      <c r="Y380" s="10">
        <f>IFERROR(__xludf.DUMMYFUNCTION("""COMPUTED_VALUE"""),4.0)</f>
        <v>4</v>
      </c>
      <c r="Z380" s="10">
        <f>IFERROR(__xludf.DUMMYFUNCTION("""COMPUTED_VALUE"""),0.0)</f>
        <v>0</v>
      </c>
      <c r="AA380" s="10">
        <f>IFERROR(__xludf.DUMMYFUNCTION("""COMPUTED_VALUE"""),0.0)</f>
        <v>0</v>
      </c>
      <c r="AB380" s="10">
        <f>IFERROR(__xludf.DUMMYFUNCTION("""COMPUTED_VALUE"""),0.0)</f>
        <v>0</v>
      </c>
      <c r="AC380" s="10">
        <f>IFERROR(__xludf.DUMMYFUNCTION("""COMPUTED_VALUE"""),0.0)</f>
        <v>0</v>
      </c>
      <c r="AD380" s="10">
        <f>IFERROR(__xludf.DUMMYFUNCTION("""COMPUTED_VALUE"""),1.0)</f>
        <v>1</v>
      </c>
      <c r="AE380" s="10">
        <f>IFERROR(__xludf.DUMMYFUNCTION("""COMPUTED_VALUE"""),0.0)</f>
        <v>0</v>
      </c>
      <c r="AF380" s="10">
        <f>IFERROR(__xludf.DUMMYFUNCTION("""COMPUTED_VALUE"""),2.0)</f>
        <v>2</v>
      </c>
      <c r="AG380" s="10">
        <f>IFERROR(__xludf.DUMMYFUNCTION("""COMPUTED_VALUE"""),5.0)</f>
        <v>5</v>
      </c>
      <c r="AH380" s="10">
        <f>IFERROR(__xludf.DUMMYFUNCTION("""COMPUTED_VALUE"""),3.0)</f>
        <v>3</v>
      </c>
      <c r="AI380" s="10">
        <f>IFERROR(__xludf.DUMMYFUNCTION("""COMPUTED_VALUE"""),5.0)</f>
        <v>5</v>
      </c>
      <c r="AJ380" s="11" t="str">
        <f>IFERROR(__xludf.DUMMYFUNCTION("""COMPUTED_VALUE"""),"https://drive.google.com/open?id=1g1h1sGwfxElJlyCiv552pMG619gp9nfv")</f>
        <v>https://drive.google.com/open?id=1g1h1sGwfxElJlyCiv552pMG619gp9nfv</v>
      </c>
      <c r="AK380" s="12"/>
      <c r="AL380" s="12" t="str">
        <f>IFERROR(__xludf.DUMMYFUNCTION("""COMPUTED_VALUE"""),"Yes")</f>
        <v>Yes</v>
      </c>
      <c r="AM380" s="15">
        <f>IFERROR(__xludf.DUMMYFUNCTION("""COMPUTED_VALUE"""),0.7)</f>
        <v>0.7</v>
      </c>
      <c r="AN380" s="12" t="str">
        <f>IFERROR(__xludf.DUMMYFUNCTION("""COMPUTED_VALUE"""),"4th week")</f>
        <v>4th week</v>
      </c>
      <c r="AO380" s="13">
        <v>4.0</v>
      </c>
      <c r="AX380" s="17"/>
    </row>
    <row r="381">
      <c r="B381" s="9">
        <f>IFERROR(__xludf.DUMMYFUNCTION("""COMPUTED_VALUE"""),45842.56490599537)</f>
        <v>45842.56491</v>
      </c>
      <c r="C381" s="10" t="str">
        <f>IFERROR(__xludf.DUMMYFUNCTION("""COMPUTED_VALUE"""),"Muqaddas bibi ")</f>
        <v>Muqaddas bibi </v>
      </c>
      <c r="D381" s="10" t="str">
        <f>IFERROR(__xludf.DUMMYFUNCTION("""COMPUTED_VALUE"""),"03075314147")</f>
        <v>03075314147</v>
      </c>
      <c r="E381" s="10" t="str">
        <f>IFERROR(__xludf.DUMMYFUNCTION("""COMPUTED_VALUE"""),"Jamia Masjid sakhi suleman Nuri hazoori week 2 code WWWQH")</f>
        <v>Jamia Masjid sakhi suleman Nuri hazoori week 2 code WWWQH</v>
      </c>
      <c r="F381" s="10" t="str">
        <f>IFERROR(__xludf.DUMMYFUNCTION("""COMPUTED_VALUE"""),"WWWQH")</f>
        <v>WWWQH</v>
      </c>
      <c r="G381" s="10" t="str">
        <f>IFERROR(__xludf.DUMMYFUNCTION("""COMPUTED_VALUE"""),"Yes")</f>
        <v>Yes</v>
      </c>
      <c r="H381" s="10">
        <f>IFERROR(__xludf.DUMMYFUNCTION("""COMPUTED_VALUE"""),7.0)</f>
        <v>7</v>
      </c>
      <c r="I381" s="10">
        <f>IFERROR(__xludf.DUMMYFUNCTION("""COMPUTED_VALUE"""),2.0)</f>
        <v>2</v>
      </c>
      <c r="J381" s="10">
        <f>IFERROR(__xludf.DUMMYFUNCTION("""COMPUTED_VALUE"""),6.0)</f>
        <v>6</v>
      </c>
      <c r="K381" s="10">
        <f>IFERROR(__xludf.DUMMYFUNCTION("""COMPUTED_VALUE"""),0.0)</f>
        <v>0</v>
      </c>
      <c r="L381" s="10">
        <f>IFERROR(__xludf.DUMMYFUNCTION("""COMPUTED_VALUE"""),0.0)</f>
        <v>0</v>
      </c>
      <c r="M381" s="10">
        <f>IFERROR(__xludf.DUMMYFUNCTION("""COMPUTED_VALUE"""),0.0)</f>
        <v>0</v>
      </c>
      <c r="N381" s="10">
        <f>IFERROR(__xludf.DUMMYFUNCTION("""COMPUTED_VALUE"""),0.0)</f>
        <v>0</v>
      </c>
      <c r="O381" s="10">
        <f>IFERROR(__xludf.DUMMYFUNCTION("""COMPUTED_VALUE"""),0.0)</f>
        <v>0</v>
      </c>
      <c r="P381" s="10">
        <f>IFERROR(__xludf.DUMMYFUNCTION("""COMPUTED_VALUE"""),0.0)</f>
        <v>0</v>
      </c>
      <c r="Q381" s="10" t="str">
        <f>IFERROR(__xludf.DUMMYFUNCTION("""COMPUTED_VALUE"""),"No")</f>
        <v>No</v>
      </c>
      <c r="R381" s="10" t="str">
        <f>IFERROR(__xludf.DUMMYFUNCTION("""COMPUTED_VALUE"""),"No")</f>
        <v>No</v>
      </c>
      <c r="S381" s="10" t="str">
        <f>IFERROR(__xludf.DUMMYFUNCTION("""COMPUTED_VALUE"""),"No")</f>
        <v>No</v>
      </c>
      <c r="T381" s="10">
        <f>IFERROR(__xludf.DUMMYFUNCTION("""COMPUTED_VALUE"""),0.0)</f>
        <v>0</v>
      </c>
      <c r="U381" s="10">
        <f>IFERROR(__xludf.DUMMYFUNCTION("""COMPUTED_VALUE"""),0.0)</f>
        <v>0</v>
      </c>
      <c r="V381" s="10" t="str">
        <f>IFERROR(__xludf.DUMMYFUNCTION("""COMPUTED_VALUE"""),"موت کے بعد نئی زندگی اسلامی تعلیمات کی روشنی میں")</f>
        <v>موت کے بعد نئی زندگی اسلامی تعلیمات کی روشنی میں</v>
      </c>
      <c r="W381" s="10" t="str">
        <f>IFERROR(__xludf.DUMMYFUNCTION("""COMPUTED_VALUE"""),"حدیث و قران کی روشنی میں واضح کیا گیا کہ انسان کی موت کے بعد ایک نئی زندگی ہے جو قبر میں شروع ہوتی ہے اور اخرت تک جاری رہتی ہے موت محض ایک مرحلہ ہے اصل بقا اور دوام زندگی کو حاصل ہے نیک و بد کے انجام مختلف ہوں گے")</f>
        <v>حدیث و قران کی روشنی میں واضح کیا گیا کہ انسان کی موت کے بعد ایک نئی زندگی ہے جو قبر میں شروع ہوتی ہے اور اخرت تک جاری رہتی ہے موت محض ایک مرحلہ ہے اصل بقا اور دوام زندگی کو حاصل ہے نیک و بد کے انجام مختلف ہوں گے</v>
      </c>
      <c r="X381" s="10">
        <f>IFERROR(__xludf.DUMMYFUNCTION("""COMPUTED_VALUE"""),6.0)</f>
        <v>6</v>
      </c>
      <c r="Y381" s="10">
        <f>IFERROR(__xludf.DUMMYFUNCTION("""COMPUTED_VALUE"""),8.0)</f>
        <v>8</v>
      </c>
      <c r="Z381" s="10">
        <f>IFERROR(__xludf.DUMMYFUNCTION("""COMPUTED_VALUE"""),5.0)</f>
        <v>5</v>
      </c>
      <c r="AA381" s="10">
        <f>IFERROR(__xludf.DUMMYFUNCTION("""COMPUTED_VALUE"""),5.0)</f>
        <v>5</v>
      </c>
      <c r="AB381" s="10">
        <f>IFERROR(__xludf.DUMMYFUNCTION("""COMPUTED_VALUE"""),4.0)</f>
        <v>4</v>
      </c>
      <c r="AC381" s="10">
        <f>IFERROR(__xludf.DUMMYFUNCTION("""COMPUTED_VALUE"""),2.0)</f>
        <v>2</v>
      </c>
      <c r="AD381" s="10">
        <f>IFERROR(__xludf.DUMMYFUNCTION("""COMPUTED_VALUE"""),3.0)</f>
        <v>3</v>
      </c>
      <c r="AE381" s="10">
        <f>IFERROR(__xludf.DUMMYFUNCTION("""COMPUTED_VALUE"""),1.0)</f>
        <v>1</v>
      </c>
      <c r="AF381" s="10">
        <f>IFERROR(__xludf.DUMMYFUNCTION("""COMPUTED_VALUE"""),4.0)</f>
        <v>4</v>
      </c>
      <c r="AG381" s="10">
        <f>IFERROR(__xludf.DUMMYFUNCTION("""COMPUTED_VALUE"""),7.0)</f>
        <v>7</v>
      </c>
      <c r="AH381" s="10">
        <f>IFERROR(__xludf.DUMMYFUNCTION("""COMPUTED_VALUE"""),0.0)</f>
        <v>0</v>
      </c>
      <c r="AI381" s="10">
        <f>IFERROR(__xludf.DUMMYFUNCTION("""COMPUTED_VALUE"""),7.0)</f>
        <v>7</v>
      </c>
      <c r="AJ381" s="11" t="str">
        <f>IFERROR(__xludf.DUMMYFUNCTION("""COMPUTED_VALUE"""),"https://drive.google.com/open?id=1xcHu2ltKNiOWPE5KKMG11nsyNrWZAItB")</f>
        <v>https://drive.google.com/open?id=1xcHu2ltKNiOWPE5KKMG11nsyNrWZAItB</v>
      </c>
      <c r="AK381" s="12" t="str">
        <f>IFERROR(__xludf.DUMMYFUNCTION("""COMPUTED_VALUE"""),"Ni")</f>
        <v>Ni</v>
      </c>
      <c r="AL381" s="12" t="str">
        <f>IFERROR(__xludf.DUMMYFUNCTION("""COMPUTED_VALUE"""),"Yes")</f>
        <v>Yes</v>
      </c>
      <c r="AM381" s="15">
        <f>IFERROR(__xludf.DUMMYFUNCTION("""COMPUTED_VALUE"""),0.5)</f>
        <v>0.5</v>
      </c>
      <c r="AN381" s="12" t="str">
        <f>IFERROR(__xludf.DUMMYFUNCTION("""COMPUTED_VALUE"""),"2nd week")</f>
        <v>2nd week</v>
      </c>
      <c r="AO381" s="13">
        <v>3.0</v>
      </c>
      <c r="AX381" s="17"/>
    </row>
    <row r="382">
      <c r="B382" s="9">
        <f>IFERROR(__xludf.DUMMYFUNCTION("""COMPUTED_VALUE"""),45843.59746795139)</f>
        <v>45843.59747</v>
      </c>
      <c r="C382" s="10" t="str">
        <f>IFERROR(__xludf.DUMMYFUNCTION("""COMPUTED_VALUE"""),"Muqaddas bibi ")</f>
        <v>Muqaddas bibi </v>
      </c>
      <c r="D382" s="10" t="str">
        <f>IFERROR(__xludf.DUMMYFUNCTION("""COMPUTED_VALUE"""),"03075314147")</f>
        <v>03075314147</v>
      </c>
      <c r="E382" s="10" t="str">
        <f>IFERROR(__xludf.DUMMYFUNCTION("""COMPUTED_VALUE"""),"Jamia masjid mandi bahaudin ")</f>
        <v>Jamia masjid mandi bahaudin </v>
      </c>
      <c r="F382" s="10" t="str">
        <f>IFERROR(__xludf.DUMMYFUNCTION("""COMPUTED_VALUE"""),"IPMEE")</f>
        <v>IPMEE</v>
      </c>
      <c r="G382" s="10" t="str">
        <f>IFERROR(__xludf.DUMMYFUNCTION("""COMPUTED_VALUE"""),"No")</f>
        <v>No</v>
      </c>
      <c r="H382" s="10"/>
      <c r="I382" s="10"/>
      <c r="J382" s="10"/>
      <c r="K382" s="10">
        <f>IFERROR(__xludf.DUMMYFUNCTION("""COMPUTED_VALUE"""),0.0)</f>
        <v>0</v>
      </c>
      <c r="L382" s="10">
        <f>IFERROR(__xludf.DUMMYFUNCTION("""COMPUTED_VALUE"""),0.0)</f>
        <v>0</v>
      </c>
      <c r="M382" s="10">
        <f>IFERROR(__xludf.DUMMYFUNCTION("""COMPUTED_VALUE"""),0.0)</f>
        <v>0</v>
      </c>
      <c r="N382" s="10">
        <f>IFERROR(__xludf.DUMMYFUNCTION("""COMPUTED_VALUE"""),0.0)</f>
        <v>0</v>
      </c>
      <c r="O382" s="10">
        <f>IFERROR(__xludf.DUMMYFUNCTION("""COMPUTED_VALUE"""),0.0)</f>
        <v>0</v>
      </c>
      <c r="P382" s="10">
        <f>IFERROR(__xludf.DUMMYFUNCTION("""COMPUTED_VALUE"""),0.0)</f>
        <v>0</v>
      </c>
      <c r="Q382" s="10" t="str">
        <f>IFERROR(__xludf.DUMMYFUNCTION("""COMPUTED_VALUE"""),"No")</f>
        <v>No</v>
      </c>
      <c r="R382" s="10" t="str">
        <f>IFERROR(__xludf.DUMMYFUNCTION("""COMPUTED_VALUE"""),"No")</f>
        <v>No</v>
      </c>
      <c r="S382" s="10" t="str">
        <f>IFERROR(__xludf.DUMMYFUNCTION("""COMPUTED_VALUE"""),"No")</f>
        <v>No</v>
      </c>
      <c r="T382" s="10">
        <f>IFERROR(__xludf.DUMMYFUNCTION("""COMPUTED_VALUE"""),0.0)</f>
        <v>0</v>
      </c>
      <c r="U382" s="10">
        <f>IFERROR(__xludf.DUMMYFUNCTION("""COMPUTED_VALUE"""),0.0)</f>
        <v>0</v>
      </c>
      <c r="V382" s="10" t="str">
        <f>IFERROR(__xludf.DUMMYFUNCTION("""COMPUTED_VALUE"""),"صحابہ کی مجلس کا مقصد اور اس کی فضیلت ")</f>
        <v>صحابہ کی مجلس کا مقصد اور اس کی فضیلت </v>
      </c>
      <c r="W382" s="10" t="str">
        <f>IFERROR(__xludf.DUMMYFUNCTION("""COMPUTED_VALUE"""),"اس میں صحابہ کی قربانی ایمان اور اللہ کی رضا حاصل کرنے کی کوششوں کا ذکر کیا گیا ہے اس بیان میں بیان صحابہ کرام کی خالص نیت سے اللہ کی رضا کے لیے بیٹھنے کا ذکر ہے")</f>
        <v>اس میں صحابہ کی قربانی ایمان اور اللہ کی رضا حاصل کرنے کی کوششوں کا ذکر کیا گیا ہے اس بیان میں بیان صحابہ کرام کی خالص نیت سے اللہ کی رضا کے لیے بیٹھنے کا ذکر ہے</v>
      </c>
      <c r="X382" s="10">
        <f>IFERROR(__xludf.DUMMYFUNCTION("""COMPUTED_VALUE"""),3.0)</f>
        <v>3</v>
      </c>
      <c r="Y382" s="10">
        <f>IFERROR(__xludf.DUMMYFUNCTION("""COMPUTED_VALUE"""),0.0)</f>
        <v>0</v>
      </c>
      <c r="Z382" s="10">
        <f>IFERROR(__xludf.DUMMYFUNCTION("""COMPUTED_VALUE"""),5.0)</f>
        <v>5</v>
      </c>
      <c r="AA382" s="10">
        <f>IFERROR(__xludf.DUMMYFUNCTION("""COMPUTED_VALUE"""),3.0)</f>
        <v>3</v>
      </c>
      <c r="AB382" s="10">
        <f>IFERROR(__xludf.DUMMYFUNCTION("""COMPUTED_VALUE"""),3.0)</f>
        <v>3</v>
      </c>
      <c r="AC382" s="10">
        <f>IFERROR(__xludf.DUMMYFUNCTION("""COMPUTED_VALUE"""),1.0)</f>
        <v>1</v>
      </c>
      <c r="AD382" s="10">
        <f>IFERROR(__xludf.DUMMYFUNCTION("""COMPUTED_VALUE"""),2.0)</f>
        <v>2</v>
      </c>
      <c r="AE382" s="10">
        <f>IFERROR(__xludf.DUMMYFUNCTION("""COMPUTED_VALUE"""),2.0)</f>
        <v>2</v>
      </c>
      <c r="AF382" s="10">
        <f>IFERROR(__xludf.DUMMYFUNCTION("""COMPUTED_VALUE"""),4.0)</f>
        <v>4</v>
      </c>
      <c r="AG382" s="10">
        <f>IFERROR(__xludf.DUMMYFUNCTION("""COMPUTED_VALUE"""),8.0)</f>
        <v>8</v>
      </c>
      <c r="AH382" s="10">
        <f>IFERROR(__xludf.DUMMYFUNCTION("""COMPUTED_VALUE"""),7.0)</f>
        <v>7</v>
      </c>
      <c r="AI382" s="10">
        <f>IFERROR(__xludf.DUMMYFUNCTION("""COMPUTED_VALUE"""),8.0)</f>
        <v>8</v>
      </c>
      <c r="AJ382" s="11" t="str">
        <f>IFERROR(__xludf.DUMMYFUNCTION("""COMPUTED_VALUE"""),"https://drive.google.com/open?id=12Ge_aya4BlwgN3ydOIRZmf7FvfpFw5Sb")</f>
        <v>https://drive.google.com/open?id=12Ge_aya4BlwgN3ydOIRZmf7FvfpFw5Sb</v>
      </c>
      <c r="AK382" s="12" t="str">
        <f>IFERROR(__xludf.DUMMYFUNCTION("""COMPUTED_VALUE"""),"نہیں ")</f>
        <v>نہیں </v>
      </c>
      <c r="AL382" s="12"/>
      <c r="AM382" s="12"/>
      <c r="AN382" s="12" t="str">
        <f>IFERROR(__xludf.DUMMYFUNCTION("""COMPUTED_VALUE"""),"3rd week")</f>
        <v>3rd week</v>
      </c>
      <c r="AO382" s="13">
        <v>3.0</v>
      </c>
      <c r="AX382" s="17"/>
    </row>
    <row r="383">
      <c r="B383" s="9">
        <f>IFERROR(__xludf.DUMMYFUNCTION("""COMPUTED_VALUE"""),45844.41151152778)</f>
        <v>45844.41151</v>
      </c>
      <c r="C383" s="10" t="str">
        <f>IFERROR(__xludf.DUMMYFUNCTION("""COMPUTED_VALUE"""),"Muqaddas bibi ")</f>
        <v>Muqaddas bibi </v>
      </c>
      <c r="D383" s="10" t="str">
        <f>IFERROR(__xludf.DUMMYFUNCTION("""COMPUTED_VALUE"""),"03075314147")</f>
        <v>03075314147</v>
      </c>
      <c r="E383" s="10" t="str">
        <f>IFERROR(__xludf.DUMMYFUNCTION("""COMPUTED_VALUE"""),"Jamia Masjid ahle sunnat main bazar malaakwal")</f>
        <v>Jamia Masjid ahle sunnat main bazar malaakwal</v>
      </c>
      <c r="F383" s="10" t="str">
        <f>IFERROR(__xludf.DUMMYFUNCTION("""COMPUTED_VALUE"""),"ZMBIV ")</f>
        <v>ZMBIV </v>
      </c>
      <c r="G383" s="10" t="str">
        <f>IFERROR(__xludf.DUMMYFUNCTION("""COMPUTED_VALUE"""),"Yes")</f>
        <v>Yes</v>
      </c>
      <c r="H383" s="10">
        <f>IFERROR(__xludf.DUMMYFUNCTION("""COMPUTED_VALUE"""),8.0)</f>
        <v>8</v>
      </c>
      <c r="I383" s="10">
        <f>IFERROR(__xludf.DUMMYFUNCTION("""COMPUTED_VALUE"""),3.0)</f>
        <v>3</v>
      </c>
      <c r="J383" s="10">
        <f>IFERROR(__xludf.DUMMYFUNCTION("""COMPUTED_VALUE"""),9.0)</f>
        <v>9</v>
      </c>
      <c r="K383" s="10">
        <f>IFERROR(__xludf.DUMMYFUNCTION("""COMPUTED_VALUE"""),0.0)</f>
        <v>0</v>
      </c>
      <c r="L383" s="10">
        <f>IFERROR(__xludf.DUMMYFUNCTION("""COMPUTED_VALUE"""),10.0)</f>
        <v>10</v>
      </c>
      <c r="M383" s="10">
        <f>IFERROR(__xludf.DUMMYFUNCTION("""COMPUTED_VALUE"""),6.0)</f>
        <v>6</v>
      </c>
      <c r="N383" s="10">
        <f>IFERROR(__xludf.DUMMYFUNCTION("""COMPUTED_VALUE"""),10.0)</f>
        <v>10</v>
      </c>
      <c r="O383" s="10">
        <f>IFERROR(__xludf.DUMMYFUNCTION("""COMPUTED_VALUE"""),0.0)</f>
        <v>0</v>
      </c>
      <c r="P383" s="10">
        <f>IFERROR(__xludf.DUMMYFUNCTION("""COMPUTED_VALUE"""),7.0)</f>
        <v>7</v>
      </c>
      <c r="Q383" s="10" t="str">
        <f>IFERROR(__xludf.DUMMYFUNCTION("""COMPUTED_VALUE"""),"No")</f>
        <v>No</v>
      </c>
      <c r="R383" s="10" t="str">
        <f>IFERROR(__xludf.DUMMYFUNCTION("""COMPUTED_VALUE"""),"No")</f>
        <v>No</v>
      </c>
      <c r="S383" s="10" t="str">
        <f>IFERROR(__xludf.DUMMYFUNCTION("""COMPUTED_VALUE"""),"No")</f>
        <v>No</v>
      </c>
      <c r="T383" s="10">
        <f>IFERROR(__xludf.DUMMYFUNCTION("""COMPUTED_VALUE"""),0.0)</f>
        <v>0</v>
      </c>
      <c r="U383" s="10">
        <f>IFERROR(__xludf.DUMMYFUNCTION("""COMPUTED_VALUE"""),0.0)</f>
        <v>0</v>
      </c>
      <c r="V383" s="10" t="str">
        <f>IFERROR(__xludf.DUMMYFUNCTION("""COMPUTED_VALUE"""),"پڑوسیوں کے حقوق اور اسلامی معاشرتی ذمہ داریاں")</f>
        <v>پڑوسیوں کے حقوق اور اسلامی معاشرتی ذمہ داریاں</v>
      </c>
      <c r="W383" s="10" t="str">
        <f>IFERROR(__xludf.DUMMYFUNCTION("""COMPUTED_VALUE"""),"یہ بیان اسلامی تعلیمات کی روشنی میں پڑوسیوں کے حقوق حسن سلوک خوشی غمی میں شرکت ان کی مدد اور محلہ و ماحول کی صفائی جیسے فرائض پر زور دیتا ہے پڑوسیوں کے ساتھ اچھا برتاؤ جنت کا سبب اور برا رویہ جہنم کا ذریعہ بن سکتا ہے")</f>
        <v>یہ بیان اسلامی تعلیمات کی روشنی میں پڑوسیوں کے حقوق حسن سلوک خوشی غمی میں شرکت ان کی مدد اور محلہ و ماحول کی صفائی جیسے فرائض پر زور دیتا ہے پڑوسیوں کے ساتھ اچھا برتاؤ جنت کا سبب اور برا رویہ جہنم کا ذریعہ بن سکتا ہے</v>
      </c>
      <c r="X383" s="10">
        <f>IFERROR(__xludf.DUMMYFUNCTION("""COMPUTED_VALUE"""),2.0)</f>
        <v>2</v>
      </c>
      <c r="Y383" s="10">
        <f>IFERROR(__xludf.DUMMYFUNCTION("""COMPUTED_VALUE"""),6.0)</f>
        <v>6</v>
      </c>
      <c r="Z383" s="10">
        <f>IFERROR(__xludf.DUMMYFUNCTION("""COMPUTED_VALUE"""),3.0)</f>
        <v>3</v>
      </c>
      <c r="AA383" s="10">
        <f>IFERROR(__xludf.DUMMYFUNCTION("""COMPUTED_VALUE"""),3.0)</f>
        <v>3</v>
      </c>
      <c r="AB383" s="10">
        <f>IFERROR(__xludf.DUMMYFUNCTION("""COMPUTED_VALUE"""),1.0)</f>
        <v>1</v>
      </c>
      <c r="AC383" s="10">
        <f>IFERROR(__xludf.DUMMYFUNCTION("""COMPUTED_VALUE"""),1.0)</f>
        <v>1</v>
      </c>
      <c r="AD383" s="10">
        <f>IFERROR(__xludf.DUMMYFUNCTION("""COMPUTED_VALUE"""),3.0)</f>
        <v>3</v>
      </c>
      <c r="AE383" s="10">
        <f>IFERROR(__xludf.DUMMYFUNCTION("""COMPUTED_VALUE"""),2.0)</f>
        <v>2</v>
      </c>
      <c r="AF383" s="10">
        <f>IFERROR(__xludf.DUMMYFUNCTION("""COMPUTED_VALUE"""),6.0)</f>
        <v>6</v>
      </c>
      <c r="AG383" s="10">
        <f>IFERROR(__xludf.DUMMYFUNCTION("""COMPUTED_VALUE"""),7.0)</f>
        <v>7</v>
      </c>
      <c r="AH383" s="10">
        <f>IFERROR(__xludf.DUMMYFUNCTION("""COMPUTED_VALUE"""),0.0)</f>
        <v>0</v>
      </c>
      <c r="AI383" s="10">
        <f>IFERROR(__xludf.DUMMYFUNCTION("""COMPUTED_VALUE"""),8.0)</f>
        <v>8</v>
      </c>
      <c r="AJ383" s="11" t="str">
        <f>IFERROR(__xludf.DUMMYFUNCTION("""COMPUTED_VALUE"""),"https://drive.google.com/open?id=14gSHp0AX_RB5fCKKr00mVV3DgJAIfDPc")</f>
        <v>https://drive.google.com/open?id=14gSHp0AX_RB5fCKKr00mVV3DgJAIfDPc</v>
      </c>
      <c r="AK383" s="12" t="str">
        <f>IFERROR(__xludf.DUMMYFUNCTION("""COMPUTED_VALUE"""),"نہیں ")</f>
        <v>نہیں </v>
      </c>
      <c r="AL383" s="12" t="str">
        <f>IFERROR(__xludf.DUMMYFUNCTION("""COMPUTED_VALUE"""),"Yes")</f>
        <v>Yes</v>
      </c>
      <c r="AM383" s="15">
        <f>IFERROR(__xludf.DUMMYFUNCTION("""COMPUTED_VALUE"""),0.8)</f>
        <v>0.8</v>
      </c>
      <c r="AN383" s="12" t="str">
        <f>IFERROR(__xludf.DUMMYFUNCTION("""COMPUTED_VALUE"""),"1st week")</f>
        <v>1st week</v>
      </c>
      <c r="AO383" s="13">
        <v>1.0</v>
      </c>
      <c r="AX383" s="17"/>
    </row>
    <row r="384">
      <c r="B384" s="9">
        <f>IFERROR(__xludf.DUMMYFUNCTION("""COMPUTED_VALUE"""),45844.43074269676)</f>
        <v>45844.43074</v>
      </c>
      <c r="C384" s="10" t="str">
        <f>IFERROR(__xludf.DUMMYFUNCTION("""COMPUTED_VALUE"""),"Muqaddas bibi ")</f>
        <v>Muqaddas bibi </v>
      </c>
      <c r="D384" s="10" t="str">
        <f>IFERROR(__xludf.DUMMYFUNCTION("""COMPUTED_VALUE"""),"03075314147")</f>
        <v>03075314147</v>
      </c>
      <c r="E384" s="10" t="str">
        <f>IFERROR(__xludf.DUMMYFUNCTION("""COMPUTED_VALUE"""),"Jamia Masjid shah Hussain Gujarat")</f>
        <v>Jamia Masjid shah Hussain Gujarat</v>
      </c>
      <c r="F384" s="10" t="str">
        <f>IFERROR(__xludf.DUMMYFUNCTION("""COMPUTED_VALUE"""),"ECKCL")</f>
        <v>ECKCL</v>
      </c>
      <c r="G384" s="10" t="str">
        <f>IFERROR(__xludf.DUMMYFUNCTION("""COMPUTED_VALUE"""),"Yes")</f>
        <v>Yes</v>
      </c>
      <c r="H384" s="10">
        <f>IFERROR(__xludf.DUMMYFUNCTION("""COMPUTED_VALUE"""),3.0)</f>
        <v>3</v>
      </c>
      <c r="I384" s="10">
        <f>IFERROR(__xludf.DUMMYFUNCTION("""COMPUTED_VALUE"""),8.0)</f>
        <v>8</v>
      </c>
      <c r="J384" s="10">
        <f>IFERROR(__xludf.DUMMYFUNCTION("""COMPUTED_VALUE"""),6.0)</f>
        <v>6</v>
      </c>
      <c r="K384" s="10">
        <f>IFERROR(__xludf.DUMMYFUNCTION("""COMPUTED_VALUE"""),0.0)</f>
        <v>0</v>
      </c>
      <c r="L384" s="10">
        <f>IFERROR(__xludf.DUMMYFUNCTION("""COMPUTED_VALUE"""),0.0)</f>
        <v>0</v>
      </c>
      <c r="M384" s="10">
        <f>IFERROR(__xludf.DUMMYFUNCTION("""COMPUTED_VALUE"""),0.0)</f>
        <v>0</v>
      </c>
      <c r="N384" s="10">
        <f>IFERROR(__xludf.DUMMYFUNCTION("""COMPUTED_VALUE"""),0.0)</f>
        <v>0</v>
      </c>
      <c r="O384" s="10">
        <f>IFERROR(__xludf.DUMMYFUNCTION("""COMPUTED_VALUE"""),0.0)</f>
        <v>0</v>
      </c>
      <c r="P384" s="10">
        <f>IFERROR(__xludf.DUMMYFUNCTION("""COMPUTED_VALUE"""),0.0)</f>
        <v>0</v>
      </c>
      <c r="Q384" s="10" t="str">
        <f>IFERROR(__xludf.DUMMYFUNCTION("""COMPUTED_VALUE"""),"No")</f>
        <v>No</v>
      </c>
      <c r="R384" s="10" t="str">
        <f>IFERROR(__xludf.DUMMYFUNCTION("""COMPUTED_VALUE"""),"No")</f>
        <v>No</v>
      </c>
      <c r="S384" s="10" t="str">
        <f>IFERROR(__xludf.DUMMYFUNCTION("""COMPUTED_VALUE"""),"No")</f>
        <v>No</v>
      </c>
      <c r="T384" s="10">
        <f>IFERROR(__xludf.DUMMYFUNCTION("""COMPUTED_VALUE"""),0.0)</f>
        <v>0</v>
      </c>
      <c r="U384" s="10">
        <f>IFERROR(__xludf.DUMMYFUNCTION("""COMPUTED_VALUE"""),0.0)</f>
        <v>0</v>
      </c>
      <c r="V384" s="10" t="str">
        <f>IFERROR(__xludf.DUMMYFUNCTION("""COMPUTED_VALUE"""),"اسلامی ریاست کی بقا دفاع وطن اور امت مسلمہ کی ذمہ داریاں")</f>
        <v>اسلامی ریاست کی بقا دفاع وطن اور امت مسلمہ کی ذمہ داریاں</v>
      </c>
      <c r="W384" s="10" t="str">
        <f>IFERROR(__xludf.DUMMYFUNCTION("""COMPUTED_VALUE"""),"یہ بیان امت مسلمہ کی عالمی اور قومی ذمہ داریوں فلسطین پاکستان اور ختم نبوت کے تحفظ پر روشنی ڈالتا ہے اس میں دشمنان اسلام کی چالوں مسلمانوں کی غفلت اور اسلامی غیرت و اتحاد کی ضرورت کو اجاگر کیا گیا ہے")</f>
        <v>یہ بیان امت مسلمہ کی عالمی اور قومی ذمہ داریوں فلسطین پاکستان اور ختم نبوت کے تحفظ پر روشنی ڈالتا ہے اس میں دشمنان اسلام کی چالوں مسلمانوں کی غفلت اور اسلامی غیرت و اتحاد کی ضرورت کو اجاگر کیا گیا ہے</v>
      </c>
      <c r="X384" s="10">
        <f>IFERROR(__xludf.DUMMYFUNCTION("""COMPUTED_VALUE"""),0.0)</f>
        <v>0</v>
      </c>
      <c r="Y384" s="10">
        <f>IFERROR(__xludf.DUMMYFUNCTION("""COMPUTED_VALUE"""),0.0)</f>
        <v>0</v>
      </c>
      <c r="Z384" s="10">
        <f>IFERROR(__xludf.DUMMYFUNCTION("""COMPUTED_VALUE"""),3.0)</f>
        <v>3</v>
      </c>
      <c r="AA384" s="10">
        <f>IFERROR(__xludf.DUMMYFUNCTION("""COMPUTED_VALUE"""),3.0)</f>
        <v>3</v>
      </c>
      <c r="AB384" s="10">
        <f>IFERROR(__xludf.DUMMYFUNCTION("""COMPUTED_VALUE"""),3.0)</f>
        <v>3</v>
      </c>
      <c r="AC384" s="10">
        <f>IFERROR(__xludf.DUMMYFUNCTION("""COMPUTED_VALUE"""),3.0)</f>
        <v>3</v>
      </c>
      <c r="AD384" s="10">
        <f>IFERROR(__xludf.DUMMYFUNCTION("""COMPUTED_VALUE"""),2.0)</f>
        <v>2</v>
      </c>
      <c r="AE384" s="10">
        <f>IFERROR(__xludf.DUMMYFUNCTION("""COMPUTED_VALUE"""),3.0)</f>
        <v>3</v>
      </c>
      <c r="AF384" s="10">
        <f>IFERROR(__xludf.DUMMYFUNCTION("""COMPUTED_VALUE"""),7.0)</f>
        <v>7</v>
      </c>
      <c r="AG384" s="10">
        <f>IFERROR(__xludf.DUMMYFUNCTION("""COMPUTED_VALUE"""),8.0)</f>
        <v>8</v>
      </c>
      <c r="AH384" s="10">
        <f>IFERROR(__xludf.DUMMYFUNCTION("""COMPUTED_VALUE"""),0.0)</f>
        <v>0</v>
      </c>
      <c r="AI384" s="10">
        <f>IFERROR(__xludf.DUMMYFUNCTION("""COMPUTED_VALUE"""),7.0)</f>
        <v>7</v>
      </c>
      <c r="AJ384" s="11" t="str">
        <f>IFERROR(__xludf.DUMMYFUNCTION("""COMPUTED_VALUE"""),"https://drive.google.com/open?id=1ElJrbKstpDZ8tbRdEvJRZfGXNuJO3a86")</f>
        <v>https://drive.google.com/open?id=1ElJrbKstpDZ8tbRdEvJRZfGXNuJO3a86</v>
      </c>
      <c r="AK384" s="12" t="str">
        <f>IFERROR(__xludf.DUMMYFUNCTION("""COMPUTED_VALUE"""),"نہیں ")</f>
        <v>نہیں </v>
      </c>
      <c r="AL384" s="12" t="str">
        <f>IFERROR(__xludf.DUMMYFUNCTION("""COMPUTED_VALUE"""),"Yes")</f>
        <v>Yes</v>
      </c>
      <c r="AM384" s="15">
        <f>IFERROR(__xludf.DUMMYFUNCTION("""COMPUTED_VALUE"""),0.2)</f>
        <v>0.2</v>
      </c>
      <c r="AN384" s="12" t="str">
        <f>IFERROR(__xludf.DUMMYFUNCTION("""COMPUTED_VALUE"""),"5th week")</f>
        <v>5th week</v>
      </c>
      <c r="AO384" s="13">
        <v>5.0</v>
      </c>
      <c r="AX384" s="17"/>
    </row>
    <row r="385">
      <c r="B385" s="9">
        <f>IFERROR(__xludf.DUMMYFUNCTION("""COMPUTED_VALUE"""),45844.45010787037)</f>
        <v>45844.45011</v>
      </c>
      <c r="C385" s="10" t="str">
        <f>IFERROR(__xludf.DUMMYFUNCTION("""COMPUTED_VALUE"""),"Muqaddas bibi ")</f>
        <v>Muqaddas bibi </v>
      </c>
      <c r="D385" s="10" t="str">
        <f>IFERROR(__xludf.DUMMYFUNCTION("""COMPUTED_VALUE"""),"03075314147")</f>
        <v>03075314147</v>
      </c>
      <c r="E385" s="10" t="str">
        <f>IFERROR(__xludf.DUMMYFUNCTION("""COMPUTED_VALUE"""),"Jamia masjid shah Ali rungareez Lahore ")</f>
        <v>Jamia masjid shah Ali rungareez Lahore </v>
      </c>
      <c r="F385" s="10" t="str">
        <f>IFERROR(__xludf.DUMMYFUNCTION("""COMPUTED_VALUE"""),"fjkfw")</f>
        <v>fjkfw</v>
      </c>
      <c r="G385" s="10" t="str">
        <f>IFERROR(__xludf.DUMMYFUNCTION("""COMPUTED_VALUE"""),"Yes")</f>
        <v>Yes</v>
      </c>
      <c r="H385" s="10">
        <f>IFERROR(__xludf.DUMMYFUNCTION("""COMPUTED_VALUE"""),2.0)</f>
        <v>2</v>
      </c>
      <c r="I385" s="10">
        <f>IFERROR(__xludf.DUMMYFUNCTION("""COMPUTED_VALUE"""),8.0)</f>
        <v>8</v>
      </c>
      <c r="J385" s="10">
        <f>IFERROR(__xludf.DUMMYFUNCTION("""COMPUTED_VALUE"""),5.0)</f>
        <v>5</v>
      </c>
      <c r="K385" s="10">
        <f>IFERROR(__xludf.DUMMYFUNCTION("""COMPUTED_VALUE"""),0.0)</f>
        <v>0</v>
      </c>
      <c r="L385" s="10">
        <f>IFERROR(__xludf.DUMMYFUNCTION("""COMPUTED_VALUE"""),0.0)</f>
        <v>0</v>
      </c>
      <c r="M385" s="10">
        <f>IFERROR(__xludf.DUMMYFUNCTION("""COMPUTED_VALUE"""),0.0)</f>
        <v>0</v>
      </c>
      <c r="N385" s="10">
        <f>IFERROR(__xludf.DUMMYFUNCTION("""COMPUTED_VALUE"""),4.0)</f>
        <v>4</v>
      </c>
      <c r="O385" s="10">
        <f>IFERROR(__xludf.DUMMYFUNCTION("""COMPUTED_VALUE"""),3.0)</f>
        <v>3</v>
      </c>
      <c r="P385" s="10">
        <f>IFERROR(__xludf.DUMMYFUNCTION("""COMPUTED_VALUE"""),3.0)</f>
        <v>3</v>
      </c>
      <c r="Q385" s="10" t="str">
        <f>IFERROR(__xludf.DUMMYFUNCTION("""COMPUTED_VALUE"""),"No")</f>
        <v>No</v>
      </c>
      <c r="R385" s="10" t="str">
        <f>IFERROR(__xludf.DUMMYFUNCTION("""COMPUTED_VALUE"""),"No")</f>
        <v>No</v>
      </c>
      <c r="S385" s="10" t="str">
        <f>IFERROR(__xludf.DUMMYFUNCTION("""COMPUTED_VALUE"""),"No")</f>
        <v>No</v>
      </c>
      <c r="T385" s="10">
        <f>IFERROR(__xludf.DUMMYFUNCTION("""COMPUTED_VALUE"""),0.0)</f>
        <v>0</v>
      </c>
      <c r="U385" s="10">
        <f>IFERROR(__xludf.DUMMYFUNCTION("""COMPUTED_VALUE"""),0.0)</f>
        <v>0</v>
      </c>
      <c r="V385" s="10" t="str">
        <f>IFERROR(__xludf.DUMMYFUNCTION("""COMPUTED_VALUE"""),"اللہ کا خوف اور توبہ کی برکت ")</f>
        <v>اللہ کا خوف اور توبہ کی برکت </v>
      </c>
      <c r="W385" s="10" t="str">
        <f>IFERROR(__xludf.DUMMYFUNCTION("""COMPUTED_VALUE"""),"اس بیان میں خوف خدا توبہ اور نیک اعمال کی اہمیت کے بارے میں بتایا گیا ہے جو انسان کو جنت کا حقدار بناتے ہیں اصل کامیابی اسی میں ہے کہ انسان اللہ کے حکم اور نبی کی سنت پر عمل کرے")</f>
        <v>اس بیان میں خوف خدا توبہ اور نیک اعمال کی اہمیت کے بارے میں بتایا گیا ہے جو انسان کو جنت کا حقدار بناتے ہیں اصل کامیابی اسی میں ہے کہ انسان اللہ کے حکم اور نبی کی سنت پر عمل کرے</v>
      </c>
      <c r="X385" s="10">
        <f>IFERROR(__xludf.DUMMYFUNCTION("""COMPUTED_VALUE"""),3.0)</f>
        <v>3</v>
      </c>
      <c r="Y385" s="10">
        <f>IFERROR(__xludf.DUMMYFUNCTION("""COMPUTED_VALUE"""),3.0)</f>
        <v>3</v>
      </c>
      <c r="Z385" s="10">
        <f>IFERROR(__xludf.DUMMYFUNCTION("""COMPUTED_VALUE"""),3.0)</f>
        <v>3</v>
      </c>
      <c r="AA385" s="10">
        <f>IFERROR(__xludf.DUMMYFUNCTION("""COMPUTED_VALUE"""),2.0)</f>
        <v>2</v>
      </c>
      <c r="AB385" s="10">
        <f>IFERROR(__xludf.DUMMYFUNCTION("""COMPUTED_VALUE"""),2.0)</f>
        <v>2</v>
      </c>
      <c r="AC385" s="10">
        <f>IFERROR(__xludf.DUMMYFUNCTION("""COMPUTED_VALUE"""),2.0)</f>
        <v>2</v>
      </c>
      <c r="AD385" s="10">
        <f>IFERROR(__xludf.DUMMYFUNCTION("""COMPUTED_VALUE"""),2.0)</f>
        <v>2</v>
      </c>
      <c r="AE385" s="10">
        <f>IFERROR(__xludf.DUMMYFUNCTION("""COMPUTED_VALUE"""),4.0)</f>
        <v>4</v>
      </c>
      <c r="AF385" s="10">
        <f>IFERROR(__xludf.DUMMYFUNCTION("""COMPUTED_VALUE"""),3.0)</f>
        <v>3</v>
      </c>
      <c r="AG385" s="10">
        <f>IFERROR(__xludf.DUMMYFUNCTION("""COMPUTED_VALUE"""),7.0)</f>
        <v>7</v>
      </c>
      <c r="AH385" s="10">
        <f>IFERROR(__xludf.DUMMYFUNCTION("""COMPUTED_VALUE"""),0.0)</f>
        <v>0</v>
      </c>
      <c r="AI385" s="10">
        <f>IFERROR(__xludf.DUMMYFUNCTION("""COMPUTED_VALUE"""),4.0)</f>
        <v>4</v>
      </c>
      <c r="AJ385" s="11" t="str">
        <f>IFERROR(__xludf.DUMMYFUNCTION("""COMPUTED_VALUE"""),"https://drive.google.com/open?id=1SwQZDy53oq7YCA4DzRaFYpgb-qixCZv-")</f>
        <v>https://drive.google.com/open?id=1SwQZDy53oq7YCA4DzRaFYpgb-qixCZv-</v>
      </c>
      <c r="AK385" s="12" t="str">
        <f>IFERROR(__xludf.DUMMYFUNCTION("""COMPUTED_VALUE"""),"نہیں ")</f>
        <v>نہیں </v>
      </c>
      <c r="AL385" s="12" t="str">
        <f>IFERROR(__xludf.DUMMYFUNCTION("""COMPUTED_VALUE"""),"Yes")</f>
        <v>Yes</v>
      </c>
      <c r="AM385" s="15">
        <f>IFERROR(__xludf.DUMMYFUNCTION("""COMPUTED_VALUE"""),0.2)</f>
        <v>0.2</v>
      </c>
      <c r="AN385" s="12" t="str">
        <f>IFERROR(__xludf.DUMMYFUNCTION("""COMPUTED_VALUE"""),"3rd week")</f>
        <v>3rd week</v>
      </c>
      <c r="AO385" s="13">
        <v>3.0</v>
      </c>
      <c r="AX385" s="17"/>
    </row>
    <row r="386">
      <c r="B386" s="9">
        <f>IFERROR(__xludf.DUMMYFUNCTION("""COMPUTED_VALUE"""),45845.05514640047)</f>
        <v>45845.05515</v>
      </c>
      <c r="C386" s="10" t="str">
        <f>IFERROR(__xludf.DUMMYFUNCTION("""COMPUTED_VALUE"""),"Shahid Iqbal")</f>
        <v>Shahid Iqbal</v>
      </c>
      <c r="D386" s="10" t="str">
        <f>IFERROR(__xludf.DUMMYFUNCTION("""COMPUTED_VALUE"""),"03013665049")</f>
        <v>03013665049</v>
      </c>
      <c r="E386" s="10" t="str">
        <f>IFERROR(__xludf.DUMMYFUNCTION("""COMPUTED_VALUE"""),"Jamia Masjid Darbar Badshah Khushab")</f>
        <v>Jamia Masjid Darbar Badshah Khushab</v>
      </c>
      <c r="F386" s="10" t="str">
        <f>IFERROR(__xludf.DUMMYFUNCTION("""COMPUTED_VALUE"""),"GXKKX")</f>
        <v>GXKKX</v>
      </c>
      <c r="G386" s="10" t="str">
        <f>IFERROR(__xludf.DUMMYFUNCTION("""COMPUTED_VALUE"""),"Yes")</f>
        <v>Yes</v>
      </c>
      <c r="H386" s="10">
        <f>IFERROR(__xludf.DUMMYFUNCTION("""COMPUTED_VALUE"""),6.0)</f>
        <v>6</v>
      </c>
      <c r="I386" s="10">
        <f>IFERROR(__xludf.DUMMYFUNCTION("""COMPUTED_VALUE"""),4.0)</f>
        <v>4</v>
      </c>
      <c r="J386" s="10">
        <f>IFERROR(__xludf.DUMMYFUNCTION("""COMPUTED_VALUE"""),6.0)</f>
        <v>6</v>
      </c>
      <c r="K386" s="10">
        <f>IFERROR(__xludf.DUMMYFUNCTION("""COMPUTED_VALUE"""),0.0)</f>
        <v>0</v>
      </c>
      <c r="L386" s="10">
        <f>IFERROR(__xludf.DUMMYFUNCTION("""COMPUTED_VALUE"""),7.0)</f>
        <v>7</v>
      </c>
      <c r="M386" s="10">
        <f>IFERROR(__xludf.DUMMYFUNCTION("""COMPUTED_VALUE"""),0.0)</f>
        <v>0</v>
      </c>
      <c r="N386" s="10">
        <f>IFERROR(__xludf.DUMMYFUNCTION("""COMPUTED_VALUE"""),7.0)</f>
        <v>7</v>
      </c>
      <c r="O386" s="10">
        <f>IFERROR(__xludf.DUMMYFUNCTION("""COMPUTED_VALUE"""),0.0)</f>
        <v>0</v>
      </c>
      <c r="P386" s="10">
        <f>IFERROR(__xludf.DUMMYFUNCTION("""COMPUTED_VALUE"""),6.0)</f>
        <v>6</v>
      </c>
      <c r="Q386" s="10" t="str">
        <f>IFERROR(__xludf.DUMMYFUNCTION("""COMPUTED_VALUE"""),"No")</f>
        <v>No</v>
      </c>
      <c r="R386" s="10" t="str">
        <f>IFERROR(__xludf.DUMMYFUNCTION("""COMPUTED_VALUE"""),"Yes")</f>
        <v>Yes</v>
      </c>
      <c r="S386" s="10" t="str">
        <f>IFERROR(__xludf.DUMMYFUNCTION("""COMPUTED_VALUE"""),"No")</f>
        <v>No</v>
      </c>
      <c r="T386" s="10">
        <f>IFERROR(__xludf.DUMMYFUNCTION("""COMPUTED_VALUE"""),0.0)</f>
        <v>0</v>
      </c>
      <c r="U386" s="10">
        <f>IFERROR(__xludf.DUMMYFUNCTION("""COMPUTED_VALUE"""),0.0)</f>
        <v>0</v>
      </c>
      <c r="V386" s="10" t="str">
        <f>IFERROR(__xludf.DUMMYFUNCTION("""COMPUTED_VALUE"""),"Padosi k haqooq")</f>
        <v>Padosi k haqooq</v>
      </c>
      <c r="W386" s="10" t="str">
        <f>IFERROR(__xludf.DUMMYFUNCTION("""COMPUTED_VALUE"""),"Padosi k haqooq")</f>
        <v>Padosi k haqooq</v>
      </c>
      <c r="X386" s="10">
        <f>IFERROR(__xludf.DUMMYFUNCTION("""COMPUTED_VALUE"""),0.0)</f>
        <v>0</v>
      </c>
      <c r="Y386" s="10">
        <f>IFERROR(__xludf.DUMMYFUNCTION("""COMPUTED_VALUE"""),6.0)</f>
        <v>6</v>
      </c>
      <c r="Z386" s="10">
        <f>IFERROR(__xludf.DUMMYFUNCTION("""COMPUTED_VALUE"""),0.0)</f>
        <v>0</v>
      </c>
      <c r="AA386" s="10">
        <f>IFERROR(__xludf.DUMMYFUNCTION("""COMPUTED_VALUE"""),4.0)</f>
        <v>4</v>
      </c>
      <c r="AB386" s="10">
        <f>IFERROR(__xludf.DUMMYFUNCTION("""COMPUTED_VALUE"""),2.0)</f>
        <v>2</v>
      </c>
      <c r="AC386" s="10">
        <f>IFERROR(__xludf.DUMMYFUNCTION("""COMPUTED_VALUE"""),2.0)</f>
        <v>2</v>
      </c>
      <c r="AD386" s="10">
        <f>IFERROR(__xludf.DUMMYFUNCTION("""COMPUTED_VALUE"""),2.0)</f>
        <v>2</v>
      </c>
      <c r="AE386" s="10">
        <f>IFERROR(__xludf.DUMMYFUNCTION("""COMPUTED_VALUE"""),2.0)</f>
        <v>2</v>
      </c>
      <c r="AF386" s="10">
        <f>IFERROR(__xludf.DUMMYFUNCTION("""COMPUTED_VALUE"""),2.0)</f>
        <v>2</v>
      </c>
      <c r="AG386" s="10">
        <f>IFERROR(__xludf.DUMMYFUNCTION("""COMPUTED_VALUE"""),7.0)</f>
        <v>7</v>
      </c>
      <c r="AH386" s="10">
        <f>IFERROR(__xludf.DUMMYFUNCTION("""COMPUTED_VALUE"""),2.0)</f>
        <v>2</v>
      </c>
      <c r="AI386" s="10">
        <f>IFERROR(__xludf.DUMMYFUNCTION("""COMPUTED_VALUE"""),8.0)</f>
        <v>8</v>
      </c>
      <c r="AJ386" s="11" t="str">
        <f>IFERROR(__xludf.DUMMYFUNCTION("""COMPUTED_VALUE"""),"https://drive.google.com/open?id=1u0ynlwN89Dx4ZqUKWPB_Zqag63HTFeVk")</f>
        <v>https://drive.google.com/open?id=1u0ynlwN89Dx4ZqUKWPB_Zqag63HTFeVk</v>
      </c>
      <c r="AK386" s="12"/>
      <c r="AL386" s="12" t="str">
        <f>IFERROR(__xludf.DUMMYFUNCTION("""COMPUTED_VALUE"""),"Yes")</f>
        <v>Yes</v>
      </c>
      <c r="AM386" s="15">
        <f>IFERROR(__xludf.DUMMYFUNCTION("""COMPUTED_VALUE"""),0.6)</f>
        <v>0.6</v>
      </c>
      <c r="AN386" s="12" t="str">
        <f>IFERROR(__xludf.DUMMYFUNCTION("""COMPUTED_VALUE"""),"2nd week")</f>
        <v>2nd week</v>
      </c>
      <c r="AO386" s="13">
        <v>2.0</v>
      </c>
      <c r="AX386" s="17"/>
    </row>
    <row r="387">
      <c r="B387" s="9">
        <f>IFERROR(__xludf.DUMMYFUNCTION("""COMPUTED_VALUE"""),45845.05768931713)</f>
        <v>45845.05769</v>
      </c>
      <c r="C387" s="10" t="str">
        <f>IFERROR(__xludf.DUMMYFUNCTION("""COMPUTED_VALUE"""),"shahid iqbal")</f>
        <v>shahid iqbal</v>
      </c>
      <c r="D387" s="10" t="str">
        <f>IFERROR(__xludf.DUMMYFUNCTION("""COMPUTED_VALUE"""),"03013665049")</f>
        <v>03013665049</v>
      </c>
      <c r="E387" s="10" t="str">
        <f>IFERROR(__xludf.DUMMYFUNCTION("""COMPUTED_VALUE"""),"Jamia Masjid Darbar Badshah Khushab")</f>
        <v>Jamia Masjid Darbar Badshah Khushab</v>
      </c>
      <c r="F387" s="10" t="str">
        <f>IFERROR(__xludf.DUMMYFUNCTION("""COMPUTED_VALUE"""),"GXKKX")</f>
        <v>GXKKX</v>
      </c>
      <c r="G387" s="10" t="str">
        <f>IFERROR(__xludf.DUMMYFUNCTION("""COMPUTED_VALUE"""),"Yes")</f>
        <v>Yes</v>
      </c>
      <c r="H387" s="10">
        <f>IFERROR(__xludf.DUMMYFUNCTION("""COMPUTED_VALUE"""),8.0)</f>
        <v>8</v>
      </c>
      <c r="I387" s="10">
        <f>IFERROR(__xludf.DUMMYFUNCTION("""COMPUTED_VALUE"""),0.0)</f>
        <v>0</v>
      </c>
      <c r="J387" s="10">
        <f>IFERROR(__xludf.DUMMYFUNCTION("""COMPUTED_VALUE"""),9.0)</f>
        <v>9</v>
      </c>
      <c r="K387" s="10">
        <f>IFERROR(__xludf.DUMMYFUNCTION("""COMPUTED_VALUE"""),0.0)</f>
        <v>0</v>
      </c>
      <c r="L387" s="10">
        <f>IFERROR(__xludf.DUMMYFUNCTION("""COMPUTED_VALUE"""),8.0)</f>
        <v>8</v>
      </c>
      <c r="M387" s="10">
        <f>IFERROR(__xludf.DUMMYFUNCTION("""COMPUTED_VALUE"""),0.0)</f>
        <v>0</v>
      </c>
      <c r="N387" s="10">
        <f>IFERROR(__xludf.DUMMYFUNCTION("""COMPUTED_VALUE"""),7.0)</f>
        <v>7</v>
      </c>
      <c r="O387" s="10">
        <f>IFERROR(__xludf.DUMMYFUNCTION("""COMPUTED_VALUE"""),0.0)</f>
        <v>0</v>
      </c>
      <c r="P387" s="10">
        <f>IFERROR(__xludf.DUMMYFUNCTION("""COMPUTED_VALUE"""),7.0)</f>
        <v>7</v>
      </c>
      <c r="Q387" s="10" t="str">
        <f>IFERROR(__xludf.DUMMYFUNCTION("""COMPUTED_VALUE"""),"No")</f>
        <v>No</v>
      </c>
      <c r="R387" s="10" t="str">
        <f>IFERROR(__xludf.DUMMYFUNCTION("""COMPUTED_VALUE"""),"Yes")</f>
        <v>Yes</v>
      </c>
      <c r="S387" s="10" t="str">
        <f>IFERROR(__xludf.DUMMYFUNCTION("""COMPUTED_VALUE"""),"No")</f>
        <v>No</v>
      </c>
      <c r="T387" s="10">
        <f>IFERROR(__xludf.DUMMYFUNCTION("""COMPUTED_VALUE"""),0.0)</f>
        <v>0</v>
      </c>
      <c r="U387" s="10">
        <f>IFERROR(__xludf.DUMMYFUNCTION("""COMPUTED_VALUE"""),0.0)</f>
        <v>0</v>
      </c>
      <c r="V387" s="10" t="str">
        <f>IFERROR(__xludf.DUMMYFUNCTION("""COMPUTED_VALUE"""),"Hamsayon k Haqooq
")</f>
        <v>Hamsayon k Haqooq
</v>
      </c>
      <c r="W387" s="10" t="str">
        <f>IFERROR(__xludf.DUMMYFUNCTION("""COMPUTED_VALUE"""),"Hamsayon k Haqooq")</f>
        <v>Hamsayon k Haqooq</v>
      </c>
      <c r="X387" s="10">
        <f>IFERROR(__xludf.DUMMYFUNCTION("""COMPUTED_VALUE"""),0.0)</f>
        <v>0</v>
      </c>
      <c r="Y387" s="10">
        <f>IFERROR(__xludf.DUMMYFUNCTION("""COMPUTED_VALUE"""),6.0)</f>
        <v>6</v>
      </c>
      <c r="Z387" s="10">
        <f>IFERROR(__xludf.DUMMYFUNCTION("""COMPUTED_VALUE"""),1.0)</f>
        <v>1</v>
      </c>
      <c r="AA387" s="10">
        <f>IFERROR(__xludf.DUMMYFUNCTION("""COMPUTED_VALUE"""),1.0)</f>
        <v>1</v>
      </c>
      <c r="AB387" s="10">
        <f>IFERROR(__xludf.DUMMYFUNCTION("""COMPUTED_VALUE"""),1.0)</f>
        <v>1</v>
      </c>
      <c r="AC387" s="10">
        <f>IFERROR(__xludf.DUMMYFUNCTION("""COMPUTED_VALUE"""),1.0)</f>
        <v>1</v>
      </c>
      <c r="AD387" s="10">
        <f>IFERROR(__xludf.DUMMYFUNCTION("""COMPUTED_VALUE"""),1.0)</f>
        <v>1</v>
      </c>
      <c r="AE387" s="10">
        <f>IFERROR(__xludf.DUMMYFUNCTION("""COMPUTED_VALUE"""),1.0)</f>
        <v>1</v>
      </c>
      <c r="AF387" s="10">
        <f>IFERROR(__xludf.DUMMYFUNCTION("""COMPUTED_VALUE"""),1.0)</f>
        <v>1</v>
      </c>
      <c r="AG387" s="10">
        <f>IFERROR(__xludf.DUMMYFUNCTION("""COMPUTED_VALUE"""),7.0)</f>
        <v>7</v>
      </c>
      <c r="AH387" s="10">
        <f>IFERROR(__xludf.DUMMYFUNCTION("""COMPUTED_VALUE"""),1.0)</f>
        <v>1</v>
      </c>
      <c r="AI387" s="10">
        <f>IFERROR(__xludf.DUMMYFUNCTION("""COMPUTED_VALUE"""),7.0)</f>
        <v>7</v>
      </c>
      <c r="AJ387" s="11" t="str">
        <f>IFERROR(__xludf.DUMMYFUNCTION("""COMPUTED_VALUE"""),"https://drive.google.com/open?id=1zcbaA0BbWmBzZRylSNYJGdKUatMO5zUG")</f>
        <v>https://drive.google.com/open?id=1zcbaA0BbWmBzZRylSNYJGdKUatMO5zUG</v>
      </c>
      <c r="AK387" s="12"/>
      <c r="AL387" s="12" t="str">
        <f>IFERROR(__xludf.DUMMYFUNCTION("""COMPUTED_VALUE"""),"Yes")</f>
        <v>Yes</v>
      </c>
      <c r="AM387" s="15">
        <f>IFERROR(__xludf.DUMMYFUNCTION("""COMPUTED_VALUE"""),0.8)</f>
        <v>0.8</v>
      </c>
      <c r="AN387" s="12" t="str">
        <f>IFERROR(__xludf.DUMMYFUNCTION("""COMPUTED_VALUE"""),"1st week")</f>
        <v>1st week</v>
      </c>
      <c r="AO387" s="13">
        <v>1.0</v>
      </c>
      <c r="AX387" s="17"/>
    </row>
    <row r="388">
      <c r="B388" s="9">
        <f>IFERROR(__xludf.DUMMYFUNCTION("""COMPUTED_VALUE"""),45848.07842844907)</f>
        <v>45848.07843</v>
      </c>
      <c r="C388" s="10" t="str">
        <f>IFERROR(__xludf.DUMMYFUNCTION("""COMPUTED_VALUE"""),"javeria ")</f>
        <v>javeria </v>
      </c>
      <c r="D388" s="10" t="str">
        <f>IFERROR(__xludf.DUMMYFUNCTION("""COMPUTED_VALUE"""),"03211539026")</f>
        <v>03211539026</v>
      </c>
      <c r="E388" s="10" t="str">
        <f>IFERROR(__xludf.DUMMYFUNCTION("""COMPUTED_VALUE"""),"Jamia Masjid Darbar Madu Laal Hussain Lahore")</f>
        <v>Jamia Masjid Darbar Madu Laal Hussain Lahore</v>
      </c>
      <c r="F388" s="10" t="str">
        <f>IFERROR(__xludf.DUMMYFUNCTION("""COMPUTED_VALUE"""),"klysr")</f>
        <v>klysr</v>
      </c>
      <c r="G388" s="10" t="str">
        <f>IFERROR(__xludf.DUMMYFUNCTION("""COMPUTED_VALUE"""),"Yes")</f>
        <v>Yes</v>
      </c>
      <c r="H388" s="10">
        <f>IFERROR(__xludf.DUMMYFUNCTION("""COMPUTED_VALUE"""),4.0)</f>
        <v>4</v>
      </c>
      <c r="I388" s="10">
        <f>IFERROR(__xludf.DUMMYFUNCTION("""COMPUTED_VALUE"""),9.0)</f>
        <v>9</v>
      </c>
      <c r="J388" s="10">
        <f>IFERROR(__xludf.DUMMYFUNCTION("""COMPUTED_VALUE"""),2.0)</f>
        <v>2</v>
      </c>
      <c r="K388" s="10">
        <f>IFERROR(__xludf.DUMMYFUNCTION("""COMPUTED_VALUE"""),0.0)</f>
        <v>0</v>
      </c>
      <c r="L388" s="10">
        <f>IFERROR(__xludf.DUMMYFUNCTION("""COMPUTED_VALUE"""),0.0)</f>
        <v>0</v>
      </c>
      <c r="M388" s="10">
        <f>IFERROR(__xludf.DUMMYFUNCTION("""COMPUTED_VALUE"""),0.0)</f>
        <v>0</v>
      </c>
      <c r="N388" s="10">
        <f>IFERROR(__xludf.DUMMYFUNCTION("""COMPUTED_VALUE"""),0.0)</f>
        <v>0</v>
      </c>
      <c r="O388" s="10">
        <f>IFERROR(__xludf.DUMMYFUNCTION("""COMPUTED_VALUE"""),0.0)</f>
        <v>0</v>
      </c>
      <c r="P388" s="10">
        <f>IFERROR(__xludf.DUMMYFUNCTION("""COMPUTED_VALUE"""),0.0)</f>
        <v>0</v>
      </c>
      <c r="Q388" s="10" t="str">
        <f>IFERROR(__xludf.DUMMYFUNCTION("""COMPUTED_VALUE"""),"No")</f>
        <v>No</v>
      </c>
      <c r="R388" s="10" t="str">
        <f>IFERROR(__xludf.DUMMYFUNCTION("""COMPUTED_VALUE"""),"No")</f>
        <v>No</v>
      </c>
      <c r="S388" s="10" t="str">
        <f>IFERROR(__xludf.DUMMYFUNCTION("""COMPUTED_VALUE"""),"No")</f>
        <v>No</v>
      </c>
      <c r="T388" s="10">
        <f>IFERROR(__xludf.DUMMYFUNCTION("""COMPUTED_VALUE"""),0.0)</f>
        <v>0</v>
      </c>
      <c r="U388" s="10">
        <f>IFERROR(__xludf.DUMMYFUNCTION("""COMPUTED_VALUE"""),0.0)</f>
        <v>0</v>
      </c>
      <c r="V388" s="10" t="str">
        <f>IFERROR(__xludf.DUMMYFUNCTION("""COMPUTED_VALUE"""),"mix ")</f>
        <v>mix </v>
      </c>
      <c r="W388" s="10" t="str">
        <f>IFERROR(__xludf.DUMMYFUNCTION("""COMPUTED_VALUE"""),"namrood ki kahani")</f>
        <v>namrood ki kahani</v>
      </c>
      <c r="X388" s="10">
        <f>IFERROR(__xludf.DUMMYFUNCTION("""COMPUTED_VALUE"""),4.0)</f>
        <v>4</v>
      </c>
      <c r="Y388" s="10">
        <f>IFERROR(__xludf.DUMMYFUNCTION("""COMPUTED_VALUE"""),3.0)</f>
        <v>3</v>
      </c>
      <c r="Z388" s="10">
        <f>IFERROR(__xludf.DUMMYFUNCTION("""COMPUTED_VALUE"""),0.0)</f>
        <v>0</v>
      </c>
      <c r="AA388" s="10">
        <f>IFERROR(__xludf.DUMMYFUNCTION("""COMPUTED_VALUE"""),0.0)</f>
        <v>0</v>
      </c>
      <c r="AB388" s="10">
        <f>IFERROR(__xludf.DUMMYFUNCTION("""COMPUTED_VALUE"""),0.0)</f>
        <v>0</v>
      </c>
      <c r="AC388" s="10">
        <f>IFERROR(__xludf.DUMMYFUNCTION("""COMPUTED_VALUE"""),0.0)</f>
        <v>0</v>
      </c>
      <c r="AD388" s="10">
        <f>IFERROR(__xludf.DUMMYFUNCTION("""COMPUTED_VALUE"""),1.0)</f>
        <v>1</v>
      </c>
      <c r="AE388" s="10">
        <f>IFERROR(__xludf.DUMMYFUNCTION("""COMPUTED_VALUE"""),1.0)</f>
        <v>1</v>
      </c>
      <c r="AF388" s="10">
        <f>IFERROR(__xludf.DUMMYFUNCTION("""COMPUTED_VALUE"""),5.0)</f>
        <v>5</v>
      </c>
      <c r="AG388" s="10">
        <f>IFERROR(__xludf.DUMMYFUNCTION("""COMPUTED_VALUE"""),5.0)</f>
        <v>5</v>
      </c>
      <c r="AH388" s="10">
        <f>IFERROR(__xludf.DUMMYFUNCTION("""COMPUTED_VALUE"""),5.0)</f>
        <v>5</v>
      </c>
      <c r="AI388" s="10">
        <f>IFERROR(__xludf.DUMMYFUNCTION("""COMPUTED_VALUE"""),5.0)</f>
        <v>5</v>
      </c>
      <c r="AJ388" s="11" t="str">
        <f>IFERROR(__xludf.DUMMYFUNCTION("""COMPUTED_VALUE"""),"https://drive.google.com/open?id=1bP1qQkYb5PEmwUnxQZmkTL5UJ0F0mgUz")</f>
        <v>https://drive.google.com/open?id=1bP1qQkYb5PEmwUnxQZmkTL5UJ0F0mgUz</v>
      </c>
      <c r="AK388" s="12"/>
      <c r="AL388" s="12" t="str">
        <f>IFERROR(__xludf.DUMMYFUNCTION("""COMPUTED_VALUE"""),"Yes")</f>
        <v>Yes</v>
      </c>
      <c r="AM388" s="15">
        <f>IFERROR(__xludf.DUMMYFUNCTION("""COMPUTED_VALUE"""),0.4)</f>
        <v>0.4</v>
      </c>
      <c r="AN388" s="12" t="str">
        <f>IFERROR(__xludf.DUMMYFUNCTION("""COMPUTED_VALUE"""),"4th week")</f>
        <v>4th week</v>
      </c>
      <c r="AO388" s="13">
        <v>4.0</v>
      </c>
      <c r="AX388" s="17"/>
    </row>
    <row r="389">
      <c r="B389" s="9">
        <f>IFERROR(__xludf.DUMMYFUNCTION("""COMPUTED_VALUE"""),45850.12870159722)</f>
        <v>45850.1287</v>
      </c>
      <c r="C389" s="10" t="str">
        <f>IFERROR(__xludf.DUMMYFUNCTION("""COMPUTED_VALUE"""),"Arti Kumari ")</f>
        <v>Arti Kumari </v>
      </c>
      <c r="D389" s="10" t="str">
        <f>IFERROR(__xludf.DUMMYFUNCTION("""COMPUTED_VALUE"""),"03346661865")</f>
        <v>03346661865</v>
      </c>
      <c r="E389" s="10" t="str">
        <f>IFERROR(__xludf.DUMMYFUNCTION("""COMPUTED_VALUE"""),"Jamia Masjid Miya Rehman Hafizabad")</f>
        <v>Jamia Masjid Miya Rehman Hafizabad</v>
      </c>
      <c r="F389" s="10" t="str">
        <f>IFERROR(__xludf.DUMMYFUNCTION("""COMPUTED_VALUE"""),"VIEXI")</f>
        <v>VIEXI</v>
      </c>
      <c r="G389" s="10" t="str">
        <f>IFERROR(__xludf.DUMMYFUNCTION("""COMPUTED_VALUE"""),"Yes")</f>
        <v>Yes</v>
      </c>
      <c r="H389" s="10">
        <f>IFERROR(__xludf.DUMMYFUNCTION("""COMPUTED_VALUE"""),10.0)</f>
        <v>10</v>
      </c>
      <c r="I389" s="10">
        <f>IFERROR(__xludf.DUMMYFUNCTION("""COMPUTED_VALUE"""),7.0)</f>
        <v>7</v>
      </c>
      <c r="J389" s="10">
        <f>IFERROR(__xludf.DUMMYFUNCTION("""COMPUTED_VALUE"""),10.0)</f>
        <v>10</v>
      </c>
      <c r="K389" s="10">
        <f>IFERROR(__xludf.DUMMYFUNCTION("""COMPUTED_VALUE"""),10.0)</f>
        <v>10</v>
      </c>
      <c r="L389" s="10">
        <f>IFERROR(__xludf.DUMMYFUNCTION("""COMPUTED_VALUE"""),10.0)</f>
        <v>10</v>
      </c>
      <c r="M389" s="10">
        <f>IFERROR(__xludf.DUMMYFUNCTION("""COMPUTED_VALUE"""),10.0)</f>
        <v>10</v>
      </c>
      <c r="N389" s="10">
        <f>IFERROR(__xludf.DUMMYFUNCTION("""COMPUTED_VALUE"""),10.0)</f>
        <v>10</v>
      </c>
      <c r="O389" s="10">
        <f>IFERROR(__xludf.DUMMYFUNCTION("""COMPUTED_VALUE"""),10.0)</f>
        <v>10</v>
      </c>
      <c r="P389" s="10">
        <f>IFERROR(__xludf.DUMMYFUNCTION("""COMPUTED_VALUE"""),0.0)</f>
        <v>0</v>
      </c>
      <c r="Q389" s="10" t="str">
        <f>IFERROR(__xludf.DUMMYFUNCTION("""COMPUTED_VALUE"""),"Yes")</f>
        <v>Yes</v>
      </c>
      <c r="R389" s="10" t="str">
        <f>IFERROR(__xludf.DUMMYFUNCTION("""COMPUTED_VALUE"""),"No")</f>
        <v>No</v>
      </c>
      <c r="S389" s="10" t="str">
        <f>IFERROR(__xludf.DUMMYFUNCTION("""COMPUTED_VALUE"""),"Yes")</f>
        <v>Yes</v>
      </c>
      <c r="T389" s="10">
        <f>IFERROR(__xludf.DUMMYFUNCTION("""COMPUTED_VALUE"""),0.0)</f>
        <v>0</v>
      </c>
      <c r="U389" s="10">
        <f>IFERROR(__xludf.DUMMYFUNCTION("""COMPUTED_VALUE"""),0.0)</f>
        <v>0</v>
      </c>
      <c r="V389" s="10" t="str">
        <f>IFERROR(__xludf.DUMMYFUNCTION("""COMPUTED_VALUE"""),"اسلام میں عورت کا مقام اور مرتبہ")</f>
        <v>اسلام میں عورت کا مقام اور مرتبہ</v>
      </c>
      <c r="W389" s="10" t="str">
        <f>IFERROR(__xludf.DUMMYFUNCTION("""COMPUTED_VALUE"""),"امام نے اپنے بیان میں اسلام میں عورتوں کے مقام میں بات کی کہ اسلام میں جو حق مرتبہ عورتوں کو دیا ہے اتنا کسی بھی مزہب میں نہیں دیا گیا عورت کو ہر روپ میں عزت دی ہے چاہے وہ بیٹی ہو ماں ہو بہن ہو کوئی بھی روپ ہو عورت کا رتبہ اونچا ہے")</f>
        <v>امام نے اپنے بیان میں اسلام میں عورتوں کے مقام میں بات کی کہ اسلام میں جو حق مرتبہ عورتوں کو دیا ہے اتنا کسی بھی مزہب میں نہیں دیا گیا عورت کو ہر روپ میں عزت دی ہے چاہے وہ بیٹی ہو ماں ہو بہن ہو کوئی بھی روپ ہو عورت کا رتبہ اونچا ہے</v>
      </c>
      <c r="X389" s="10">
        <f>IFERROR(__xludf.DUMMYFUNCTION("""COMPUTED_VALUE"""),0.0)</f>
        <v>0</v>
      </c>
      <c r="Y389" s="10">
        <f>IFERROR(__xludf.DUMMYFUNCTION("""COMPUTED_VALUE"""),0.0)</f>
        <v>0</v>
      </c>
      <c r="Z389" s="10">
        <f>IFERROR(__xludf.DUMMYFUNCTION("""COMPUTED_VALUE"""),5.0)</f>
        <v>5</v>
      </c>
      <c r="AA389" s="10">
        <f>IFERROR(__xludf.DUMMYFUNCTION("""COMPUTED_VALUE"""),6.0)</f>
        <v>6</v>
      </c>
      <c r="AB389" s="10">
        <f>IFERROR(__xludf.DUMMYFUNCTION("""COMPUTED_VALUE"""),7.0)</f>
        <v>7</v>
      </c>
      <c r="AC389" s="10">
        <f>IFERROR(__xludf.DUMMYFUNCTION("""COMPUTED_VALUE"""),0.0)</f>
        <v>0</v>
      </c>
      <c r="AD389" s="10">
        <f>IFERROR(__xludf.DUMMYFUNCTION("""COMPUTED_VALUE"""),0.0)</f>
        <v>0</v>
      </c>
      <c r="AE389" s="10">
        <f>IFERROR(__xludf.DUMMYFUNCTION("""COMPUTED_VALUE"""),0.0)</f>
        <v>0</v>
      </c>
      <c r="AF389" s="10">
        <f>IFERROR(__xludf.DUMMYFUNCTION("""COMPUTED_VALUE"""),0.0)</f>
        <v>0</v>
      </c>
      <c r="AG389" s="10">
        <f>IFERROR(__xludf.DUMMYFUNCTION("""COMPUTED_VALUE"""),10.0)</f>
        <v>10</v>
      </c>
      <c r="AH389" s="10">
        <f>IFERROR(__xludf.DUMMYFUNCTION("""COMPUTED_VALUE"""),0.0)</f>
        <v>0</v>
      </c>
      <c r="AI389" s="10">
        <f>IFERROR(__xludf.DUMMYFUNCTION("""COMPUTED_VALUE"""),10.0)</f>
        <v>10</v>
      </c>
      <c r="AJ389" s="11" t="str">
        <f>IFERROR(__xludf.DUMMYFUNCTION("""COMPUTED_VALUE"""),"https://drive.google.com/open?id=1rC7dUA8-Nn9U4Ew4oNOzLcSZDqqS3Jvr")</f>
        <v>https://drive.google.com/open?id=1rC7dUA8-Nn9U4Ew4oNOzLcSZDqqS3Jvr</v>
      </c>
      <c r="AK389" s="12"/>
      <c r="AL389" s="12" t="str">
        <f>IFERROR(__xludf.DUMMYFUNCTION("""COMPUTED_VALUE"""),"Yes")</f>
        <v>Yes</v>
      </c>
      <c r="AM389" s="15">
        <f>IFERROR(__xludf.DUMMYFUNCTION("""COMPUTED_VALUE"""),1.0)</f>
        <v>1</v>
      </c>
      <c r="AN389" s="12" t="str">
        <f>IFERROR(__xludf.DUMMYFUNCTION("""COMPUTED_VALUE"""),"1st week")</f>
        <v>1st week</v>
      </c>
      <c r="AO389" s="13">
        <v>1.0</v>
      </c>
      <c r="AX389" s="17"/>
    </row>
    <row r="390">
      <c r="B390" s="9">
        <f>IFERROR(__xludf.DUMMYFUNCTION("""COMPUTED_VALUE"""),45850.27468768519)</f>
        <v>45850.27469</v>
      </c>
      <c r="C390" s="10" t="str">
        <f>IFERROR(__xludf.DUMMYFUNCTION("""COMPUTED_VALUE"""),"Asma Gul")</f>
        <v>Asma Gul</v>
      </c>
      <c r="D390" s="10" t="str">
        <f>IFERROR(__xludf.DUMMYFUNCTION("""COMPUTED_VALUE"""),"03459308620")</f>
        <v>03459308620</v>
      </c>
      <c r="E390" s="10" t="str">
        <f>IFERROR(__xludf.DUMMYFUNCTION("""COMPUTED_VALUE"""),"Jamia Masjid Block # 1 Sargodha ")</f>
        <v>Jamia Masjid Block # 1 Sargodha </v>
      </c>
      <c r="F390" s="10" t="str">
        <f>IFERROR(__xludf.DUMMYFUNCTION("""COMPUTED_VALUE"""),"   PMXOX")</f>
        <v>   PMXOX</v>
      </c>
      <c r="G390" s="10" t="str">
        <f>IFERROR(__xludf.DUMMYFUNCTION("""COMPUTED_VALUE"""),"Yes")</f>
        <v>Yes</v>
      </c>
      <c r="H390" s="10">
        <f>IFERROR(__xludf.DUMMYFUNCTION("""COMPUTED_VALUE"""),7.0)</f>
        <v>7</v>
      </c>
      <c r="I390" s="10">
        <f>IFERROR(__xludf.DUMMYFUNCTION("""COMPUTED_VALUE"""),3.0)</f>
        <v>3</v>
      </c>
      <c r="J390" s="10">
        <f>IFERROR(__xludf.DUMMYFUNCTION("""COMPUTED_VALUE"""),7.0)</f>
        <v>7</v>
      </c>
      <c r="K390" s="10">
        <f>IFERROR(__xludf.DUMMYFUNCTION("""COMPUTED_VALUE"""),6.0)</f>
        <v>6</v>
      </c>
      <c r="L390" s="10">
        <f>IFERROR(__xludf.DUMMYFUNCTION("""COMPUTED_VALUE"""),6.0)</f>
        <v>6</v>
      </c>
      <c r="M390" s="10">
        <f>IFERROR(__xludf.DUMMYFUNCTION("""COMPUTED_VALUE"""),2.0)</f>
        <v>2</v>
      </c>
      <c r="N390" s="10">
        <f>IFERROR(__xludf.DUMMYFUNCTION("""COMPUTED_VALUE"""),1.0)</f>
        <v>1</v>
      </c>
      <c r="O390" s="10">
        <f>IFERROR(__xludf.DUMMYFUNCTION("""COMPUTED_VALUE"""),1.0)</f>
        <v>1</v>
      </c>
      <c r="P390" s="10">
        <f>IFERROR(__xludf.DUMMYFUNCTION("""COMPUTED_VALUE"""),1.0)</f>
        <v>1</v>
      </c>
      <c r="Q390" s="10" t="str">
        <f>IFERROR(__xludf.DUMMYFUNCTION("""COMPUTED_VALUE"""),"No")</f>
        <v>No</v>
      </c>
      <c r="R390" s="10" t="str">
        <f>IFERROR(__xludf.DUMMYFUNCTION("""COMPUTED_VALUE"""),"No")</f>
        <v>No</v>
      </c>
      <c r="S390" s="10" t="str">
        <f>IFERROR(__xludf.DUMMYFUNCTION("""COMPUTED_VALUE"""),"No")</f>
        <v>No</v>
      </c>
      <c r="T390" s="10">
        <f>IFERROR(__xludf.DUMMYFUNCTION("""COMPUTED_VALUE"""),0.0)</f>
        <v>0</v>
      </c>
      <c r="U390" s="10">
        <f>IFERROR(__xludf.DUMMYFUNCTION("""COMPUTED_VALUE"""),0.0)</f>
        <v>0</v>
      </c>
      <c r="V390" s="10" t="str">
        <f>IFERROR(__xludf.DUMMYFUNCTION("""COMPUTED_VALUE"""),"یہودیوں کی مسلمانوں کے لیے  نفرت")</f>
        <v>یہودیوں کی مسلمانوں کے لیے  نفرت</v>
      </c>
      <c r="W390" s="10" t="str">
        <f>IFERROR(__xludf.DUMMYFUNCTION("""COMPUTED_VALUE"""),"یہودی دین اسلام سے نفرت اس وجہ سے کرتے ہیں کہ حضرت محمد صلی اللہ علیہ وسلم بنی اسرائیل سے نہیں ائے اور حضرت عبداللہ بن سلام کا اسلام قبول کرنے کا واقعہ بیان کیا ہے۔")</f>
        <v>یہودی دین اسلام سے نفرت اس وجہ سے کرتے ہیں کہ حضرت محمد صلی اللہ علیہ وسلم بنی اسرائیل سے نہیں ائے اور حضرت عبداللہ بن سلام کا اسلام قبول کرنے کا واقعہ بیان کیا ہے۔</v>
      </c>
      <c r="X390" s="10">
        <f>IFERROR(__xludf.DUMMYFUNCTION("""COMPUTED_VALUE"""),5.0)</f>
        <v>5</v>
      </c>
      <c r="Y390" s="10">
        <f>IFERROR(__xludf.DUMMYFUNCTION("""COMPUTED_VALUE"""),7.0)</f>
        <v>7</v>
      </c>
      <c r="Z390" s="10">
        <f>IFERROR(__xludf.DUMMYFUNCTION("""COMPUTED_VALUE"""),8.0)</f>
        <v>8</v>
      </c>
      <c r="AA390" s="10">
        <f>IFERROR(__xludf.DUMMYFUNCTION("""COMPUTED_VALUE"""),7.0)</f>
        <v>7</v>
      </c>
      <c r="AB390" s="10">
        <f>IFERROR(__xludf.DUMMYFUNCTION("""COMPUTED_VALUE"""),8.0)</f>
        <v>8</v>
      </c>
      <c r="AC390" s="10">
        <f>IFERROR(__xludf.DUMMYFUNCTION("""COMPUTED_VALUE"""),8.0)</f>
        <v>8</v>
      </c>
      <c r="AD390" s="10">
        <f>IFERROR(__xludf.DUMMYFUNCTION("""COMPUTED_VALUE"""),7.0)</f>
        <v>7</v>
      </c>
      <c r="AE390" s="10">
        <f>IFERROR(__xludf.DUMMYFUNCTION("""COMPUTED_VALUE"""),9.0)</f>
        <v>9</v>
      </c>
      <c r="AF390" s="10">
        <f>IFERROR(__xludf.DUMMYFUNCTION("""COMPUTED_VALUE"""),2.0)</f>
        <v>2</v>
      </c>
      <c r="AG390" s="10">
        <f>IFERROR(__xludf.DUMMYFUNCTION("""COMPUTED_VALUE"""),8.0)</f>
        <v>8</v>
      </c>
      <c r="AH390" s="10">
        <f>IFERROR(__xludf.DUMMYFUNCTION("""COMPUTED_VALUE"""),2.0)</f>
        <v>2</v>
      </c>
      <c r="AI390" s="10">
        <f>IFERROR(__xludf.DUMMYFUNCTION("""COMPUTED_VALUE"""),9.0)</f>
        <v>9</v>
      </c>
      <c r="AJ390" s="11" t="str">
        <f>IFERROR(__xludf.DUMMYFUNCTION("""COMPUTED_VALUE"""),"https://drive.google.com/open?id=15YViAJszeR3PyjXyiqjuYYcfife9L3Pd")</f>
        <v>https://drive.google.com/open?id=15YViAJszeR3PyjXyiqjuYYcfife9L3Pd</v>
      </c>
      <c r="AK390" s="12"/>
      <c r="AL390" s="12" t="str">
        <f>IFERROR(__xludf.DUMMYFUNCTION("""COMPUTED_VALUE"""),"Yes")</f>
        <v>Yes</v>
      </c>
      <c r="AM390" s="15">
        <f>IFERROR(__xludf.DUMMYFUNCTION("""COMPUTED_VALUE"""),0.7)</f>
        <v>0.7</v>
      </c>
      <c r="AN390" s="12" t="str">
        <f>IFERROR(__xludf.DUMMYFUNCTION("""COMPUTED_VALUE"""),"1st week")</f>
        <v>1st week</v>
      </c>
      <c r="AO390" s="13">
        <v>1.0</v>
      </c>
      <c r="AX390" s="17"/>
    </row>
    <row r="391">
      <c r="B391" s="9">
        <f>IFERROR(__xludf.DUMMYFUNCTION("""COMPUTED_VALUE"""),45850.650054074074)</f>
        <v>45850.65005</v>
      </c>
      <c r="C391" s="10" t="str">
        <f>IFERROR(__xludf.DUMMYFUNCTION("""COMPUTED_VALUE"""),"Arti Kumari ")</f>
        <v>Arti Kumari </v>
      </c>
      <c r="D391" s="10" t="str">
        <f>IFERROR(__xludf.DUMMYFUNCTION("""COMPUTED_VALUE"""),"03346661865")</f>
        <v>03346661865</v>
      </c>
      <c r="E391" s="10" t="str">
        <f>IFERROR(__xludf.DUMMYFUNCTION("""COMPUTED_VALUE"""),"Jamia Masjid main bazar bhawal")</f>
        <v>Jamia Masjid main bazar bhawal</v>
      </c>
      <c r="F391" s="10" t="str">
        <f>IFERROR(__xludf.DUMMYFUNCTION("""COMPUTED_VALUE"""),"OBNTR")</f>
        <v>OBNTR</v>
      </c>
      <c r="G391" s="10" t="str">
        <f>IFERROR(__xludf.DUMMYFUNCTION("""COMPUTED_VALUE"""),"Yes")</f>
        <v>Yes</v>
      </c>
      <c r="H391" s="10">
        <f>IFERROR(__xludf.DUMMYFUNCTION("""COMPUTED_VALUE"""),10.0)</f>
        <v>10</v>
      </c>
      <c r="I391" s="10">
        <f>IFERROR(__xludf.DUMMYFUNCTION("""COMPUTED_VALUE"""),9.0)</f>
        <v>9</v>
      </c>
      <c r="J391" s="10">
        <f>IFERROR(__xludf.DUMMYFUNCTION("""COMPUTED_VALUE"""),10.0)</f>
        <v>10</v>
      </c>
      <c r="K391" s="10">
        <f>IFERROR(__xludf.DUMMYFUNCTION("""COMPUTED_VALUE"""),10.0)</f>
        <v>10</v>
      </c>
      <c r="L391" s="10">
        <f>IFERROR(__xludf.DUMMYFUNCTION("""COMPUTED_VALUE"""),10.0)</f>
        <v>10</v>
      </c>
      <c r="M391" s="10">
        <f>IFERROR(__xludf.DUMMYFUNCTION("""COMPUTED_VALUE"""),3.0)</f>
        <v>3</v>
      </c>
      <c r="N391" s="10">
        <f>IFERROR(__xludf.DUMMYFUNCTION("""COMPUTED_VALUE"""),10.0)</f>
        <v>10</v>
      </c>
      <c r="O391" s="10">
        <f>IFERROR(__xludf.DUMMYFUNCTION("""COMPUTED_VALUE"""),0.0)</f>
        <v>0</v>
      </c>
      <c r="P391" s="10">
        <f>IFERROR(__xludf.DUMMYFUNCTION("""COMPUTED_VALUE"""),10.0)</f>
        <v>10</v>
      </c>
      <c r="Q391" s="10" t="str">
        <f>IFERROR(__xludf.DUMMYFUNCTION("""COMPUTED_VALUE"""),"Yes")</f>
        <v>Yes</v>
      </c>
      <c r="R391" s="10" t="str">
        <f>IFERROR(__xludf.DUMMYFUNCTION("""COMPUTED_VALUE"""),"Yes")</f>
        <v>Yes</v>
      </c>
      <c r="S391" s="10" t="str">
        <f>IFERROR(__xludf.DUMMYFUNCTION("""COMPUTED_VALUE"""),"Yes")</f>
        <v>Yes</v>
      </c>
      <c r="T391" s="10">
        <f>IFERROR(__xludf.DUMMYFUNCTION("""COMPUTED_VALUE"""),0.0)</f>
        <v>0</v>
      </c>
      <c r="U391" s="10">
        <f>IFERROR(__xludf.DUMMYFUNCTION("""COMPUTED_VALUE"""),0.0)</f>
        <v>0</v>
      </c>
      <c r="V391" s="10" t="str">
        <f>IFERROR(__xludf.DUMMYFUNCTION("""COMPUTED_VALUE"""),"اسلام میں پڑوسیوں کے حقوق")</f>
        <v>اسلام میں پڑوسیوں کے حقوق</v>
      </c>
      <c r="W391" s="10" t="str">
        <f>IFERROR(__xludf.DUMMYFUNCTION("""COMPUTED_VALUE"""),"امام نے بیان میں پڑوسیوں کے حقوق پر بہت زور دیا اور اس کی اہمیت بتائی کہ حقوق اللہ سے بھی زیادہ حقوق العباد کی اہمیت ہے۔")</f>
        <v>امام نے بیان میں پڑوسیوں کے حقوق پر بہت زور دیا اور اس کی اہمیت بتائی کہ حقوق اللہ سے بھی زیادہ حقوق العباد کی اہمیت ہے۔</v>
      </c>
      <c r="X391" s="10">
        <f>IFERROR(__xludf.DUMMYFUNCTION("""COMPUTED_VALUE"""),0.0)</f>
        <v>0</v>
      </c>
      <c r="Y391" s="10">
        <f>IFERROR(__xludf.DUMMYFUNCTION("""COMPUTED_VALUE"""),10.0)</f>
        <v>10</v>
      </c>
      <c r="Z391" s="10">
        <f>IFERROR(__xludf.DUMMYFUNCTION("""COMPUTED_VALUE"""),5.0)</f>
        <v>5</v>
      </c>
      <c r="AA391" s="10">
        <f>IFERROR(__xludf.DUMMYFUNCTION("""COMPUTED_VALUE"""),4.0)</f>
        <v>4</v>
      </c>
      <c r="AB391" s="10">
        <f>IFERROR(__xludf.DUMMYFUNCTION("""COMPUTED_VALUE"""),5.0)</f>
        <v>5</v>
      </c>
      <c r="AC391" s="10">
        <f>IFERROR(__xludf.DUMMYFUNCTION("""COMPUTED_VALUE"""),0.0)</f>
        <v>0</v>
      </c>
      <c r="AD391" s="10">
        <f>IFERROR(__xludf.DUMMYFUNCTION("""COMPUTED_VALUE"""),0.0)</f>
        <v>0</v>
      </c>
      <c r="AE391" s="10">
        <f>IFERROR(__xludf.DUMMYFUNCTION("""COMPUTED_VALUE"""),0.0)</f>
        <v>0</v>
      </c>
      <c r="AF391" s="10">
        <f>IFERROR(__xludf.DUMMYFUNCTION("""COMPUTED_VALUE"""),0.0)</f>
        <v>0</v>
      </c>
      <c r="AG391" s="10">
        <f>IFERROR(__xludf.DUMMYFUNCTION("""COMPUTED_VALUE"""),10.0)</f>
        <v>10</v>
      </c>
      <c r="AH391" s="10">
        <f>IFERROR(__xludf.DUMMYFUNCTION("""COMPUTED_VALUE"""),0.0)</f>
        <v>0</v>
      </c>
      <c r="AI391" s="10">
        <f>IFERROR(__xludf.DUMMYFUNCTION("""COMPUTED_VALUE"""),10.0)</f>
        <v>10</v>
      </c>
      <c r="AJ391" s="11" t="str">
        <f>IFERROR(__xludf.DUMMYFUNCTION("""COMPUTED_VALUE"""),"https://drive.google.com/open?id=15ch7cBuUfChLvc-Z5TcgqVuFkIMH0VXu")</f>
        <v>https://drive.google.com/open?id=15ch7cBuUfChLvc-Z5TcgqVuFkIMH0VXu</v>
      </c>
      <c r="AK391" s="12"/>
      <c r="AL391" s="12" t="str">
        <f>IFERROR(__xludf.DUMMYFUNCTION("""COMPUTED_VALUE"""),"Yes")</f>
        <v>Yes</v>
      </c>
      <c r="AM391" s="15">
        <f>IFERROR(__xludf.DUMMYFUNCTION("""COMPUTED_VALUE"""),1.0)</f>
        <v>1</v>
      </c>
      <c r="AN391" s="12" t="str">
        <f>IFERROR(__xludf.DUMMYFUNCTION("""COMPUTED_VALUE"""),"1st week")</f>
        <v>1st week</v>
      </c>
      <c r="AO391" s="13">
        <v>1.0</v>
      </c>
      <c r="AX391" s="17"/>
    </row>
    <row r="392">
      <c r="B392" s="9">
        <f>IFERROR(__xludf.DUMMYFUNCTION("""COMPUTED_VALUE"""),45850.659092002315)</f>
        <v>45850.65909</v>
      </c>
      <c r="C392" s="10" t="str">
        <f>IFERROR(__xludf.DUMMYFUNCTION("""COMPUTED_VALUE"""),"Arti Kumari ")</f>
        <v>Arti Kumari </v>
      </c>
      <c r="D392" s="10" t="str">
        <f>IFERROR(__xludf.DUMMYFUNCTION("""COMPUTED_VALUE"""),"03346661865")</f>
        <v>03346661865</v>
      </c>
      <c r="E392" s="10" t="str">
        <f>IFERROR(__xludf.DUMMYFUNCTION("""COMPUTED_VALUE"""),"Jamia Masjid Miyan Rehman Hafiz a bad")</f>
        <v>Jamia Masjid Miyan Rehman Hafiz a bad</v>
      </c>
      <c r="F392" s="10" t="str">
        <f>IFERROR(__xludf.DUMMYFUNCTION("""COMPUTED_VALUE"""),"VIEXI")</f>
        <v>VIEXI</v>
      </c>
      <c r="G392" s="10" t="str">
        <f>IFERROR(__xludf.DUMMYFUNCTION("""COMPUTED_VALUE"""),"Yes")</f>
        <v>Yes</v>
      </c>
      <c r="H392" s="10">
        <f>IFERROR(__xludf.DUMMYFUNCTION("""COMPUTED_VALUE"""),10.0)</f>
        <v>10</v>
      </c>
      <c r="I392" s="10">
        <f>IFERROR(__xludf.DUMMYFUNCTION("""COMPUTED_VALUE"""),8.0)</f>
        <v>8</v>
      </c>
      <c r="J392" s="10">
        <f>IFERROR(__xludf.DUMMYFUNCTION("""COMPUTED_VALUE"""),10.0)</f>
        <v>10</v>
      </c>
      <c r="K392" s="10">
        <f>IFERROR(__xludf.DUMMYFUNCTION("""COMPUTED_VALUE"""),10.0)</f>
        <v>10</v>
      </c>
      <c r="L392" s="10">
        <f>IFERROR(__xludf.DUMMYFUNCTION("""COMPUTED_VALUE"""),0.0)</f>
        <v>0</v>
      </c>
      <c r="M392" s="10">
        <f>IFERROR(__xludf.DUMMYFUNCTION("""COMPUTED_VALUE"""),10.0)</f>
        <v>10</v>
      </c>
      <c r="N392" s="10">
        <f>IFERROR(__xludf.DUMMYFUNCTION("""COMPUTED_VALUE"""),0.0)</f>
        <v>0</v>
      </c>
      <c r="O392" s="10">
        <f>IFERROR(__xludf.DUMMYFUNCTION("""COMPUTED_VALUE"""),10.0)</f>
        <v>10</v>
      </c>
      <c r="P392" s="10">
        <f>IFERROR(__xludf.DUMMYFUNCTION("""COMPUTED_VALUE"""),0.0)</f>
        <v>0</v>
      </c>
      <c r="Q392" s="10" t="str">
        <f>IFERROR(__xludf.DUMMYFUNCTION("""COMPUTED_VALUE"""),"Yes")</f>
        <v>Yes</v>
      </c>
      <c r="R392" s="10" t="str">
        <f>IFERROR(__xludf.DUMMYFUNCTION("""COMPUTED_VALUE"""),"No")</f>
        <v>No</v>
      </c>
      <c r="S392" s="10" t="str">
        <f>IFERROR(__xludf.DUMMYFUNCTION("""COMPUTED_VALUE"""),"Yes")</f>
        <v>Yes</v>
      </c>
      <c r="T392" s="10">
        <f>IFERROR(__xludf.DUMMYFUNCTION("""COMPUTED_VALUE"""),0.0)</f>
        <v>0</v>
      </c>
      <c r="U392" s="10">
        <f>IFERROR(__xludf.DUMMYFUNCTION("""COMPUTED_VALUE"""),0.0)</f>
        <v>0</v>
      </c>
      <c r="V392" s="10" t="str">
        <f>IFERROR(__xludf.DUMMYFUNCTION("""COMPUTED_VALUE"""),"اسلام میں عورتوں کا مقام و مرتبہ")</f>
        <v>اسلام میں عورتوں کا مقام و مرتبہ</v>
      </c>
      <c r="W392" s="10" t="str">
        <f>IFERROR(__xludf.DUMMYFUNCTION("""COMPUTED_VALUE"""),"امام نے عورتوں کے حقوق پر بہت زور دیا ہے امام نے اسلام میں عورتوں کی اہمیت کے بارے میں بتایا کہ عورت جس روپ میں بھی ماں بیٹی بہن سب روپ میں عورت کا مرتبہ اہم ہے۔")</f>
        <v>امام نے عورتوں کے حقوق پر بہت زور دیا ہے امام نے اسلام میں عورتوں کی اہمیت کے بارے میں بتایا کہ عورت جس روپ میں بھی ماں بیٹی بہن سب روپ میں عورت کا مرتبہ اہم ہے۔</v>
      </c>
      <c r="X392" s="10">
        <f>IFERROR(__xludf.DUMMYFUNCTION("""COMPUTED_VALUE"""),5.0)</f>
        <v>5</v>
      </c>
      <c r="Y392" s="10">
        <f>IFERROR(__xludf.DUMMYFUNCTION("""COMPUTED_VALUE"""),0.0)</f>
        <v>0</v>
      </c>
      <c r="Z392" s="10">
        <f>IFERROR(__xludf.DUMMYFUNCTION("""COMPUTED_VALUE"""),6.0)</f>
        <v>6</v>
      </c>
      <c r="AA392" s="10">
        <f>IFERROR(__xludf.DUMMYFUNCTION("""COMPUTED_VALUE"""),7.0)</f>
        <v>7</v>
      </c>
      <c r="AB392" s="10">
        <f>IFERROR(__xludf.DUMMYFUNCTION("""COMPUTED_VALUE"""),6.0)</f>
        <v>6</v>
      </c>
      <c r="AC392" s="10">
        <f>IFERROR(__xludf.DUMMYFUNCTION("""COMPUTED_VALUE"""),0.0)</f>
        <v>0</v>
      </c>
      <c r="AD392" s="10">
        <f>IFERROR(__xludf.DUMMYFUNCTION("""COMPUTED_VALUE"""),0.0)</f>
        <v>0</v>
      </c>
      <c r="AE392" s="10">
        <f>IFERROR(__xludf.DUMMYFUNCTION("""COMPUTED_VALUE"""),0.0)</f>
        <v>0</v>
      </c>
      <c r="AF392" s="10">
        <f>IFERROR(__xludf.DUMMYFUNCTION("""COMPUTED_VALUE"""),0.0)</f>
        <v>0</v>
      </c>
      <c r="AG392" s="10">
        <f>IFERROR(__xludf.DUMMYFUNCTION("""COMPUTED_VALUE"""),10.0)</f>
        <v>10</v>
      </c>
      <c r="AH392" s="10">
        <f>IFERROR(__xludf.DUMMYFUNCTION("""COMPUTED_VALUE"""),0.0)</f>
        <v>0</v>
      </c>
      <c r="AI392" s="10">
        <f>IFERROR(__xludf.DUMMYFUNCTION("""COMPUTED_VALUE"""),10.0)</f>
        <v>10</v>
      </c>
      <c r="AJ392" s="11" t="str">
        <f>IFERROR(__xludf.DUMMYFUNCTION("""COMPUTED_VALUE"""),"https://drive.google.com/open?id=1wAVoTD-HdYMjZfK3e1kZNKYy86dg5x46")</f>
        <v>https://drive.google.com/open?id=1wAVoTD-HdYMjZfK3e1kZNKYy86dg5x46</v>
      </c>
      <c r="AK392" s="12"/>
      <c r="AL392" s="12" t="str">
        <f>IFERROR(__xludf.DUMMYFUNCTION("""COMPUTED_VALUE"""),"Yes")</f>
        <v>Yes</v>
      </c>
      <c r="AM392" s="15">
        <f>IFERROR(__xludf.DUMMYFUNCTION("""COMPUTED_VALUE"""),1.0)</f>
        <v>1</v>
      </c>
      <c r="AN392" s="12" t="str">
        <f>IFERROR(__xludf.DUMMYFUNCTION("""COMPUTED_VALUE"""),"1st week")</f>
        <v>1st week</v>
      </c>
      <c r="AO392" s="13">
        <v>1.0</v>
      </c>
      <c r="AX392" s="17"/>
    </row>
    <row r="393">
      <c r="B393" s="9">
        <f>IFERROR(__xludf.DUMMYFUNCTION("""COMPUTED_VALUE"""),45851.48686513889)</f>
        <v>45851.48687</v>
      </c>
      <c r="C393" s="10" t="str">
        <f>IFERROR(__xludf.DUMMYFUNCTION("""COMPUTED_VALUE"""),"Asma gul")</f>
        <v>Asma gul</v>
      </c>
      <c r="D393" s="10" t="str">
        <f>IFERROR(__xludf.DUMMYFUNCTION("""COMPUTED_VALUE"""),"03459308620")</f>
        <v>03459308620</v>
      </c>
      <c r="E393" s="10" t="str">
        <f>IFERROR(__xludf.DUMMYFUNCTION("""COMPUTED_VALUE"""),"Jamia Masjid Zia Muzam Abaad Kot Mumin")</f>
        <v>Jamia Masjid Zia Muzam Abaad Kot Mumin</v>
      </c>
      <c r="F393" s="10" t="str">
        <f>IFERROR(__xludf.DUMMYFUNCTION("""COMPUTED_VALUE"""),"UIODJ")</f>
        <v>UIODJ</v>
      </c>
      <c r="G393" s="10" t="str">
        <f>IFERROR(__xludf.DUMMYFUNCTION("""COMPUTED_VALUE"""),"Yes")</f>
        <v>Yes</v>
      </c>
      <c r="H393" s="10">
        <f>IFERROR(__xludf.DUMMYFUNCTION("""COMPUTED_VALUE"""),8.0)</f>
        <v>8</v>
      </c>
      <c r="I393" s="10">
        <f>IFERROR(__xludf.DUMMYFUNCTION("""COMPUTED_VALUE"""),2.0)</f>
        <v>2</v>
      </c>
      <c r="J393" s="10">
        <f>IFERROR(__xludf.DUMMYFUNCTION("""COMPUTED_VALUE"""),8.0)</f>
        <v>8</v>
      </c>
      <c r="K393" s="10">
        <f>IFERROR(__xludf.DUMMYFUNCTION("""COMPUTED_VALUE"""),2.0)</f>
        <v>2</v>
      </c>
      <c r="L393" s="10">
        <f>IFERROR(__xludf.DUMMYFUNCTION("""COMPUTED_VALUE"""),10.0)</f>
        <v>10</v>
      </c>
      <c r="M393" s="10">
        <f>IFERROR(__xludf.DUMMYFUNCTION("""COMPUTED_VALUE"""),1.0)</f>
        <v>1</v>
      </c>
      <c r="N393" s="10">
        <f>IFERROR(__xludf.DUMMYFUNCTION("""COMPUTED_VALUE"""),9.0)</f>
        <v>9</v>
      </c>
      <c r="O393" s="10">
        <f>IFERROR(__xludf.DUMMYFUNCTION("""COMPUTED_VALUE"""),1.0)</f>
        <v>1</v>
      </c>
      <c r="P393" s="10">
        <f>IFERROR(__xludf.DUMMYFUNCTION("""COMPUTED_VALUE"""),9.0)</f>
        <v>9</v>
      </c>
      <c r="Q393" s="10" t="str">
        <f>IFERROR(__xludf.DUMMYFUNCTION("""COMPUTED_VALUE"""),"Yes")</f>
        <v>Yes</v>
      </c>
      <c r="R393" s="10" t="str">
        <f>IFERROR(__xludf.DUMMYFUNCTION("""COMPUTED_VALUE"""),"Yes")</f>
        <v>Yes</v>
      </c>
      <c r="S393" s="10" t="str">
        <f>IFERROR(__xludf.DUMMYFUNCTION("""COMPUTED_VALUE"""),"Yes")</f>
        <v>Yes</v>
      </c>
      <c r="T393" s="10">
        <f>IFERROR(__xludf.DUMMYFUNCTION("""COMPUTED_VALUE"""),2.0)</f>
        <v>2</v>
      </c>
      <c r="U393" s="10">
        <f>IFERROR(__xludf.DUMMYFUNCTION("""COMPUTED_VALUE"""),1.0)</f>
        <v>1</v>
      </c>
      <c r="V393" s="10" t="str">
        <f>IFERROR(__xludf.DUMMYFUNCTION("""COMPUTED_VALUE"""),"ہمسایوں کے حقوق ")</f>
        <v>ہمسایوں کے حقوق </v>
      </c>
      <c r="W393" s="10" t="str">
        <f>IFERROR(__xludf.DUMMYFUNCTION("""COMPUTED_VALUE"""),"دوسروں کے ساتھ حسن سلوک کرنا چاہیے اور ہمسایوں کے حقوق کا خیال رکھنا چاہیے ")</f>
        <v>دوسروں کے ساتھ حسن سلوک کرنا چاہیے اور ہمسایوں کے حقوق کا خیال رکھنا چاہیے </v>
      </c>
      <c r="X393" s="10">
        <f>IFERROR(__xludf.DUMMYFUNCTION("""COMPUTED_VALUE"""),7.0)</f>
        <v>7</v>
      </c>
      <c r="Y393" s="10">
        <f>IFERROR(__xludf.DUMMYFUNCTION("""COMPUTED_VALUE"""),8.0)</f>
        <v>8</v>
      </c>
      <c r="Z393" s="10">
        <f>IFERROR(__xludf.DUMMYFUNCTION("""COMPUTED_VALUE"""),8.0)</f>
        <v>8</v>
      </c>
      <c r="AA393" s="10">
        <f>IFERROR(__xludf.DUMMYFUNCTION("""COMPUTED_VALUE"""),7.0)</f>
        <v>7</v>
      </c>
      <c r="AB393" s="10">
        <f>IFERROR(__xludf.DUMMYFUNCTION("""COMPUTED_VALUE"""),8.0)</f>
        <v>8</v>
      </c>
      <c r="AC393" s="10">
        <f>IFERROR(__xludf.DUMMYFUNCTION("""COMPUTED_VALUE"""),1.0)</f>
        <v>1</v>
      </c>
      <c r="AD393" s="10">
        <f>IFERROR(__xludf.DUMMYFUNCTION("""COMPUTED_VALUE"""),6.0)</f>
        <v>6</v>
      </c>
      <c r="AE393" s="10">
        <f>IFERROR(__xludf.DUMMYFUNCTION("""COMPUTED_VALUE"""),7.0)</f>
        <v>7</v>
      </c>
      <c r="AF393" s="10">
        <f>IFERROR(__xludf.DUMMYFUNCTION("""COMPUTED_VALUE"""),3.0)</f>
        <v>3</v>
      </c>
      <c r="AG393" s="10">
        <f>IFERROR(__xludf.DUMMYFUNCTION("""COMPUTED_VALUE"""),7.0)</f>
        <v>7</v>
      </c>
      <c r="AH393" s="10">
        <f>IFERROR(__xludf.DUMMYFUNCTION("""COMPUTED_VALUE"""),1.0)</f>
        <v>1</v>
      </c>
      <c r="AI393" s="10">
        <f>IFERROR(__xludf.DUMMYFUNCTION("""COMPUTED_VALUE"""),7.0)</f>
        <v>7</v>
      </c>
      <c r="AJ393" s="11" t="str">
        <f>IFERROR(__xludf.DUMMYFUNCTION("""COMPUTED_VALUE"""),"https://drive.google.com/open?id=1c9diIwVM5mp0luNbOLMc-WEjvSQe-5Ks")</f>
        <v>https://drive.google.com/open?id=1c9diIwVM5mp0luNbOLMc-WEjvSQe-5Ks</v>
      </c>
      <c r="AK393" s="12"/>
      <c r="AL393" s="12" t="str">
        <f>IFERROR(__xludf.DUMMYFUNCTION("""COMPUTED_VALUE"""),"Yes")</f>
        <v>Yes</v>
      </c>
      <c r="AM393" s="15">
        <f>IFERROR(__xludf.DUMMYFUNCTION("""COMPUTED_VALUE"""),0.9)</f>
        <v>0.9</v>
      </c>
      <c r="AN393" s="12" t="str">
        <f>IFERROR(__xludf.DUMMYFUNCTION("""COMPUTED_VALUE"""),"1st week")</f>
        <v>1st week</v>
      </c>
      <c r="AO393" s="13">
        <v>1.0</v>
      </c>
      <c r="AX393" s="17"/>
    </row>
    <row r="394">
      <c r="B394" s="9">
        <f>IFERROR(__xludf.DUMMYFUNCTION("""COMPUTED_VALUE"""),45852.45491627315)</f>
        <v>45852.45492</v>
      </c>
      <c r="C394" s="10" t="str">
        <f>IFERROR(__xludf.DUMMYFUNCTION("""COMPUTED_VALUE"""),"Asma gul")</f>
        <v>Asma gul</v>
      </c>
      <c r="D394" s="10" t="str">
        <f>IFERROR(__xludf.DUMMYFUNCTION("""COMPUTED_VALUE"""),"03459308620")</f>
        <v>03459308620</v>
      </c>
      <c r="E394" s="10" t="str">
        <f>IFERROR(__xludf.DUMMYFUNCTION("""COMPUTED_VALUE"""),"Jamia Masjid Gulzar Madina 43 Shamali Lari Adah ")</f>
        <v>Jamia Masjid Gulzar Madina 43 Shamali Lari Adah </v>
      </c>
      <c r="F394" s="10" t="str">
        <f>IFERROR(__xludf.DUMMYFUNCTION("""COMPUTED_VALUE""")," QPSTQ")</f>
        <v> QPSTQ</v>
      </c>
      <c r="G394" s="10" t="str">
        <f>IFERROR(__xludf.DUMMYFUNCTION("""COMPUTED_VALUE"""),"Yes")</f>
        <v>Yes</v>
      </c>
      <c r="H394" s="10">
        <f>IFERROR(__xludf.DUMMYFUNCTION("""COMPUTED_VALUE"""),9.0)</f>
        <v>9</v>
      </c>
      <c r="I394" s="10">
        <f>IFERROR(__xludf.DUMMYFUNCTION("""COMPUTED_VALUE"""),1.0)</f>
        <v>1</v>
      </c>
      <c r="J394" s="10">
        <f>IFERROR(__xludf.DUMMYFUNCTION("""COMPUTED_VALUE"""),9.0)</f>
        <v>9</v>
      </c>
      <c r="K394" s="10">
        <f>IFERROR(__xludf.DUMMYFUNCTION("""COMPUTED_VALUE"""),1.0)</f>
        <v>1</v>
      </c>
      <c r="L394" s="10">
        <f>IFERROR(__xludf.DUMMYFUNCTION("""COMPUTED_VALUE"""),9.0)</f>
        <v>9</v>
      </c>
      <c r="M394" s="10">
        <f>IFERROR(__xludf.DUMMYFUNCTION("""COMPUTED_VALUE"""),8.0)</f>
        <v>8</v>
      </c>
      <c r="N394" s="10">
        <f>IFERROR(__xludf.DUMMYFUNCTION("""COMPUTED_VALUE"""),8.0)</f>
        <v>8</v>
      </c>
      <c r="O394" s="10">
        <f>IFERROR(__xludf.DUMMYFUNCTION("""COMPUTED_VALUE"""),4.0)</f>
        <v>4</v>
      </c>
      <c r="P394" s="10">
        <f>IFERROR(__xludf.DUMMYFUNCTION("""COMPUTED_VALUE"""),2.0)</f>
        <v>2</v>
      </c>
      <c r="Q394" s="10" t="str">
        <f>IFERROR(__xludf.DUMMYFUNCTION("""COMPUTED_VALUE"""),"No")</f>
        <v>No</v>
      </c>
      <c r="R394" s="10" t="str">
        <f>IFERROR(__xludf.DUMMYFUNCTION("""COMPUTED_VALUE"""),"Yes")</f>
        <v>Yes</v>
      </c>
      <c r="S394" s="10" t="str">
        <f>IFERROR(__xludf.DUMMYFUNCTION("""COMPUTED_VALUE"""),"Yes")</f>
        <v>Yes</v>
      </c>
      <c r="T394" s="10">
        <f>IFERROR(__xludf.DUMMYFUNCTION("""COMPUTED_VALUE"""),2.0)</f>
        <v>2</v>
      </c>
      <c r="U394" s="10">
        <f>IFERROR(__xludf.DUMMYFUNCTION("""COMPUTED_VALUE"""),0.0)</f>
        <v>0</v>
      </c>
      <c r="V394" s="10" t="str">
        <f>IFERROR(__xludf.DUMMYFUNCTION("""COMPUTED_VALUE"""),"اسوہ حسنہ ")</f>
        <v>اسوہ حسنہ </v>
      </c>
      <c r="W394" s="10" t="str">
        <f>IFERROR(__xludf.DUMMYFUNCTION("""COMPUTED_VALUE"""),"حسنہ کی اہمیت بیان کی ہے اور اس کے ساتھ ساتھ ہمیں اپنی زندگی میں اسوہ حسنہ کو فالو کرنا چاہیے اور پڑوسی کے حقوق کا ذکر کیا ہے گلی محلے کو صاف رکھنے کا حکم دیا ہے")</f>
        <v>حسنہ کی اہمیت بیان کی ہے اور اس کے ساتھ ساتھ ہمیں اپنی زندگی میں اسوہ حسنہ کو فالو کرنا چاہیے اور پڑوسی کے حقوق کا ذکر کیا ہے گلی محلے کو صاف رکھنے کا حکم دیا ہے</v>
      </c>
      <c r="X394" s="10">
        <f>IFERROR(__xludf.DUMMYFUNCTION("""COMPUTED_VALUE"""),7.0)</f>
        <v>7</v>
      </c>
      <c r="Y394" s="10">
        <f>IFERROR(__xludf.DUMMYFUNCTION("""COMPUTED_VALUE"""),8.0)</f>
        <v>8</v>
      </c>
      <c r="Z394" s="10">
        <f>IFERROR(__xludf.DUMMYFUNCTION("""COMPUTED_VALUE"""),7.0)</f>
        <v>7</v>
      </c>
      <c r="AA394" s="10">
        <f>IFERROR(__xludf.DUMMYFUNCTION("""COMPUTED_VALUE"""),6.0)</f>
        <v>6</v>
      </c>
      <c r="AB394" s="10">
        <f>IFERROR(__xludf.DUMMYFUNCTION("""COMPUTED_VALUE"""),6.0)</f>
        <v>6</v>
      </c>
      <c r="AC394" s="10">
        <f>IFERROR(__xludf.DUMMYFUNCTION("""COMPUTED_VALUE"""),8.0)</f>
        <v>8</v>
      </c>
      <c r="AD394" s="10">
        <f>IFERROR(__xludf.DUMMYFUNCTION("""COMPUTED_VALUE"""),6.0)</f>
        <v>6</v>
      </c>
      <c r="AE394" s="10">
        <f>IFERROR(__xludf.DUMMYFUNCTION("""COMPUTED_VALUE"""),8.0)</f>
        <v>8</v>
      </c>
      <c r="AF394" s="10">
        <f>IFERROR(__xludf.DUMMYFUNCTION("""COMPUTED_VALUE"""),2.0)</f>
        <v>2</v>
      </c>
      <c r="AG394" s="10">
        <f>IFERROR(__xludf.DUMMYFUNCTION("""COMPUTED_VALUE"""),9.0)</f>
        <v>9</v>
      </c>
      <c r="AH394" s="10">
        <f>IFERROR(__xludf.DUMMYFUNCTION("""COMPUTED_VALUE"""),2.0)</f>
        <v>2</v>
      </c>
      <c r="AI394" s="10">
        <f>IFERROR(__xludf.DUMMYFUNCTION("""COMPUTED_VALUE"""),8.0)</f>
        <v>8</v>
      </c>
      <c r="AJ394" s="11" t="str">
        <f>IFERROR(__xludf.DUMMYFUNCTION("""COMPUTED_VALUE"""),"https://drive.google.com/open?id=1RksftLxQTX8_idNL3g6YZ9ih_W2QUtUr")</f>
        <v>https://drive.google.com/open?id=1RksftLxQTX8_idNL3g6YZ9ih_W2QUtUr</v>
      </c>
      <c r="AK394" s="12"/>
      <c r="AL394" s="12" t="str">
        <f>IFERROR(__xludf.DUMMYFUNCTION("""COMPUTED_VALUE"""),"Yes")</f>
        <v>Yes</v>
      </c>
      <c r="AM394" s="15">
        <f>IFERROR(__xludf.DUMMYFUNCTION("""COMPUTED_VALUE"""),0.9)</f>
        <v>0.9</v>
      </c>
      <c r="AN394" s="12" t="str">
        <f>IFERROR(__xludf.DUMMYFUNCTION("""COMPUTED_VALUE"""),"1st week")</f>
        <v>1st week</v>
      </c>
      <c r="AO394" s="13">
        <v>1.0</v>
      </c>
      <c r="AX394" s="17"/>
    </row>
    <row r="395">
      <c r="B395" s="9">
        <f>IFERROR(__xludf.DUMMYFUNCTION("""COMPUTED_VALUE"""),45853.16148293982)</f>
        <v>45853.16148</v>
      </c>
      <c r="C395" s="10" t="str">
        <f>IFERROR(__xludf.DUMMYFUNCTION("""COMPUTED_VALUE"""),"Shahid Iqbal")</f>
        <v>Shahid Iqbal</v>
      </c>
      <c r="D395" s="10" t="str">
        <f>IFERROR(__xludf.DUMMYFUNCTION("""COMPUTED_VALUE"""),"03013665049")</f>
        <v>03013665049</v>
      </c>
      <c r="E395" s="10" t="str">
        <f>IFERROR(__xludf.DUMMYFUNCTION("""COMPUTED_VALUE"""),"Jamia Masjid Takiya Peer Hassan Shah Wali Lahore")</f>
        <v>Jamia Masjid Takiya Peer Hassan Shah Wali Lahore</v>
      </c>
      <c r="F395" s="10" t="str">
        <f>IFERROR(__xludf.DUMMYFUNCTION("""COMPUTED_VALUE"""),"buvya")</f>
        <v>buvya</v>
      </c>
      <c r="G395" s="10" t="str">
        <f>IFERROR(__xludf.DUMMYFUNCTION("""COMPUTED_VALUE"""),"Yes")</f>
        <v>Yes</v>
      </c>
      <c r="H395" s="10">
        <f>IFERROR(__xludf.DUMMYFUNCTION("""COMPUTED_VALUE"""),6.0)</f>
        <v>6</v>
      </c>
      <c r="I395" s="10">
        <f>IFERROR(__xludf.DUMMYFUNCTION("""COMPUTED_VALUE"""),3.0)</f>
        <v>3</v>
      </c>
      <c r="J395" s="10">
        <f>IFERROR(__xludf.DUMMYFUNCTION("""COMPUTED_VALUE"""),7.0)</f>
        <v>7</v>
      </c>
      <c r="K395" s="10">
        <f>IFERROR(__xludf.DUMMYFUNCTION("""COMPUTED_VALUE"""),0.0)</f>
        <v>0</v>
      </c>
      <c r="L395" s="10">
        <f>IFERROR(__xludf.DUMMYFUNCTION("""COMPUTED_VALUE"""),8.0)</f>
        <v>8</v>
      </c>
      <c r="M395" s="10">
        <f>IFERROR(__xludf.DUMMYFUNCTION("""COMPUTED_VALUE"""),0.0)</f>
        <v>0</v>
      </c>
      <c r="N395" s="10">
        <f>IFERROR(__xludf.DUMMYFUNCTION("""COMPUTED_VALUE"""),7.0)</f>
        <v>7</v>
      </c>
      <c r="O395" s="10">
        <f>IFERROR(__xludf.DUMMYFUNCTION("""COMPUTED_VALUE"""),0.0)</f>
        <v>0</v>
      </c>
      <c r="P395" s="10">
        <f>IFERROR(__xludf.DUMMYFUNCTION("""COMPUTED_VALUE"""),7.0)</f>
        <v>7</v>
      </c>
      <c r="Q395" s="10" t="str">
        <f>IFERROR(__xludf.DUMMYFUNCTION("""COMPUTED_VALUE"""),"No")</f>
        <v>No</v>
      </c>
      <c r="R395" s="10" t="str">
        <f>IFERROR(__xludf.DUMMYFUNCTION("""COMPUTED_VALUE"""),"Yes")</f>
        <v>Yes</v>
      </c>
      <c r="S395" s="10" t="str">
        <f>IFERROR(__xludf.DUMMYFUNCTION("""COMPUTED_VALUE"""),"No")</f>
        <v>No</v>
      </c>
      <c r="T395" s="10">
        <f>IFERROR(__xludf.DUMMYFUNCTION("""COMPUTED_VALUE"""),0.0)</f>
        <v>0</v>
      </c>
      <c r="U395" s="10">
        <f>IFERROR(__xludf.DUMMYFUNCTION("""COMPUTED_VALUE"""),0.0)</f>
        <v>0</v>
      </c>
      <c r="V395" s="10" t="str">
        <f>IFERROR(__xludf.DUMMYFUNCTION("""COMPUTED_VALUE"""),"Padosi k Haqooq")</f>
        <v>Padosi k Haqooq</v>
      </c>
      <c r="W395" s="10" t="str">
        <f>IFERROR(__xludf.DUMMYFUNCTION("""COMPUTED_VALUE"""),"Padosi k Haqooq")</f>
        <v>Padosi k Haqooq</v>
      </c>
      <c r="X395" s="10">
        <f>IFERROR(__xludf.DUMMYFUNCTION("""COMPUTED_VALUE"""),6.0)</f>
        <v>6</v>
      </c>
      <c r="Y395" s="10">
        <f>IFERROR(__xludf.DUMMYFUNCTION("""COMPUTED_VALUE"""),7.0)</f>
        <v>7</v>
      </c>
      <c r="Z395" s="10">
        <f>IFERROR(__xludf.DUMMYFUNCTION("""COMPUTED_VALUE"""),4.0)</f>
        <v>4</v>
      </c>
      <c r="AA395" s="10">
        <f>IFERROR(__xludf.DUMMYFUNCTION("""COMPUTED_VALUE"""),3.0)</f>
        <v>3</v>
      </c>
      <c r="AB395" s="10">
        <f>IFERROR(__xludf.DUMMYFUNCTION("""COMPUTED_VALUE"""),1.0)</f>
        <v>1</v>
      </c>
      <c r="AC395" s="10">
        <f>IFERROR(__xludf.DUMMYFUNCTION("""COMPUTED_VALUE"""),2.0)</f>
        <v>2</v>
      </c>
      <c r="AD395" s="10">
        <f>IFERROR(__xludf.DUMMYFUNCTION("""COMPUTED_VALUE"""),0.0)</f>
        <v>0</v>
      </c>
      <c r="AE395" s="10">
        <f>IFERROR(__xludf.DUMMYFUNCTION("""COMPUTED_VALUE"""),0.0)</f>
        <v>0</v>
      </c>
      <c r="AF395" s="10">
        <f>IFERROR(__xludf.DUMMYFUNCTION("""COMPUTED_VALUE"""),1.0)</f>
        <v>1</v>
      </c>
      <c r="AG395" s="10">
        <f>IFERROR(__xludf.DUMMYFUNCTION("""COMPUTED_VALUE"""),6.0)</f>
        <v>6</v>
      </c>
      <c r="AH395" s="10">
        <f>IFERROR(__xludf.DUMMYFUNCTION("""COMPUTED_VALUE"""),0.0)</f>
        <v>0</v>
      </c>
      <c r="AI395" s="10">
        <f>IFERROR(__xludf.DUMMYFUNCTION("""COMPUTED_VALUE"""),7.0)</f>
        <v>7</v>
      </c>
      <c r="AJ395" s="11" t="str">
        <f>IFERROR(__xludf.DUMMYFUNCTION("""COMPUTED_VALUE"""),"https://drive.google.com/open?id=1nvfBpZgn3XIIu_bhVh81vdmt4Wlw7Dr8")</f>
        <v>https://drive.google.com/open?id=1nvfBpZgn3XIIu_bhVh81vdmt4Wlw7Dr8</v>
      </c>
      <c r="AK395" s="12"/>
      <c r="AL395" s="12" t="str">
        <f>IFERROR(__xludf.DUMMYFUNCTION("""COMPUTED_VALUE"""),"Yes")</f>
        <v>Yes</v>
      </c>
      <c r="AM395" s="15">
        <f>IFERROR(__xludf.DUMMYFUNCTION("""COMPUTED_VALUE"""),0.6)</f>
        <v>0.6</v>
      </c>
      <c r="AN395" s="12" t="str">
        <f>IFERROR(__xludf.DUMMYFUNCTION("""COMPUTED_VALUE"""),"3rd week")</f>
        <v>3rd week</v>
      </c>
      <c r="AO395" s="13">
        <v>3.0</v>
      </c>
      <c r="AX395" s="17"/>
    </row>
    <row r="396">
      <c r="B396" s="9">
        <f>IFERROR(__xludf.DUMMYFUNCTION("""COMPUTED_VALUE"""),45853.16454827547)</f>
        <v>45853.16455</v>
      </c>
      <c r="C396" s="10" t="str">
        <f>IFERROR(__xludf.DUMMYFUNCTION("""COMPUTED_VALUE"""),"Shahid Iqbal")</f>
        <v>Shahid Iqbal</v>
      </c>
      <c r="D396" s="10" t="str">
        <f>IFERROR(__xludf.DUMMYFUNCTION("""COMPUTED_VALUE"""),"03013665049")</f>
        <v>03013665049</v>
      </c>
      <c r="E396" s="10" t="str">
        <f>IFERROR(__xludf.DUMMYFUNCTION("""COMPUTED_VALUE"""),"Jamia Masjid Phalarwaan Sargodha")</f>
        <v>Jamia Masjid Phalarwaan Sargodha</v>
      </c>
      <c r="F396" s="10" t="str">
        <f>IFERROR(__xludf.DUMMYFUNCTION("""COMPUTED_VALUE"""),"JTMUR")</f>
        <v>JTMUR</v>
      </c>
      <c r="G396" s="10" t="str">
        <f>IFERROR(__xludf.DUMMYFUNCTION("""COMPUTED_VALUE"""),"No")</f>
        <v>No</v>
      </c>
      <c r="H396" s="10"/>
      <c r="I396" s="10"/>
      <c r="J396" s="10"/>
      <c r="K396" s="10">
        <f>IFERROR(__xludf.DUMMYFUNCTION("""COMPUTED_VALUE"""),0.0)</f>
        <v>0</v>
      </c>
      <c r="L396" s="10">
        <f>IFERROR(__xludf.DUMMYFUNCTION("""COMPUTED_VALUE"""),0.0)</f>
        <v>0</v>
      </c>
      <c r="M396" s="10">
        <f>IFERROR(__xludf.DUMMYFUNCTION("""COMPUTED_VALUE"""),0.0)</f>
        <v>0</v>
      </c>
      <c r="N396" s="10">
        <f>IFERROR(__xludf.DUMMYFUNCTION("""COMPUTED_VALUE"""),0.0)</f>
        <v>0</v>
      </c>
      <c r="O396" s="10">
        <f>IFERROR(__xludf.DUMMYFUNCTION("""COMPUTED_VALUE"""),0.0)</f>
        <v>0</v>
      </c>
      <c r="P396" s="10">
        <f>IFERROR(__xludf.DUMMYFUNCTION("""COMPUTED_VALUE"""),0.0)</f>
        <v>0</v>
      </c>
      <c r="Q396" s="10" t="str">
        <f>IFERROR(__xludf.DUMMYFUNCTION("""COMPUTED_VALUE"""),"No")</f>
        <v>No</v>
      </c>
      <c r="R396" s="10" t="str">
        <f>IFERROR(__xludf.DUMMYFUNCTION("""COMPUTED_VALUE"""),"No")</f>
        <v>No</v>
      </c>
      <c r="S396" s="10" t="str">
        <f>IFERROR(__xludf.DUMMYFUNCTION("""COMPUTED_VALUE"""),"No")</f>
        <v>No</v>
      </c>
      <c r="T396" s="10">
        <f>IFERROR(__xludf.DUMMYFUNCTION("""COMPUTED_VALUE"""),0.0)</f>
        <v>0</v>
      </c>
      <c r="U396" s="10">
        <f>IFERROR(__xludf.DUMMYFUNCTION("""COMPUTED_VALUE"""),0.0)</f>
        <v>0</v>
      </c>
      <c r="V396" s="10" t="str">
        <f>IFERROR(__xludf.DUMMYFUNCTION("""COMPUTED_VALUE"""),"Jannat ma Dakhla")</f>
        <v>Jannat ma Dakhla</v>
      </c>
      <c r="W396" s="10" t="str">
        <f>IFERROR(__xludf.DUMMYFUNCTION("""COMPUTED_VALUE"""),"Jannat ma Dakhla")</f>
        <v>Jannat ma Dakhla</v>
      </c>
      <c r="X396" s="10">
        <f>IFERROR(__xludf.DUMMYFUNCTION("""COMPUTED_VALUE"""),5.0)</f>
        <v>5</v>
      </c>
      <c r="Y396" s="10">
        <f>IFERROR(__xludf.DUMMYFUNCTION("""COMPUTED_VALUE"""),6.0)</f>
        <v>6</v>
      </c>
      <c r="Z396" s="10">
        <f>IFERROR(__xludf.DUMMYFUNCTION("""COMPUTED_VALUE"""),6.0)</f>
        <v>6</v>
      </c>
      <c r="AA396" s="10">
        <f>IFERROR(__xludf.DUMMYFUNCTION("""COMPUTED_VALUE"""),5.0)</f>
        <v>5</v>
      </c>
      <c r="AB396" s="10">
        <f>IFERROR(__xludf.DUMMYFUNCTION("""COMPUTED_VALUE"""),4.0)</f>
        <v>4</v>
      </c>
      <c r="AC396" s="10">
        <f>IFERROR(__xludf.DUMMYFUNCTION("""COMPUTED_VALUE"""),2.0)</f>
        <v>2</v>
      </c>
      <c r="AD396" s="10">
        <f>IFERROR(__xludf.DUMMYFUNCTION("""COMPUTED_VALUE"""),1.0)</f>
        <v>1</v>
      </c>
      <c r="AE396" s="10">
        <f>IFERROR(__xludf.DUMMYFUNCTION("""COMPUTED_VALUE"""),2.0)</f>
        <v>2</v>
      </c>
      <c r="AF396" s="10">
        <f>IFERROR(__xludf.DUMMYFUNCTION("""COMPUTED_VALUE"""),1.0)</f>
        <v>1</v>
      </c>
      <c r="AG396" s="10">
        <f>IFERROR(__xludf.DUMMYFUNCTION("""COMPUTED_VALUE"""),5.0)</f>
        <v>5</v>
      </c>
      <c r="AH396" s="10">
        <f>IFERROR(__xludf.DUMMYFUNCTION("""COMPUTED_VALUE"""),0.0)</f>
        <v>0</v>
      </c>
      <c r="AI396" s="10">
        <f>IFERROR(__xludf.DUMMYFUNCTION("""COMPUTED_VALUE"""),6.0)</f>
        <v>6</v>
      </c>
      <c r="AJ396" s="11" t="str">
        <f>IFERROR(__xludf.DUMMYFUNCTION("""COMPUTED_VALUE"""),"https://drive.google.com/open?id=1h2UB7_Uawa71Gc4JzBLpI3r1BIR0NxR_")</f>
        <v>https://drive.google.com/open?id=1h2UB7_Uawa71Gc4JzBLpI3r1BIR0NxR_</v>
      </c>
      <c r="AK396" s="12"/>
      <c r="AL396" s="12"/>
      <c r="AM396" s="12"/>
      <c r="AN396" s="12" t="str">
        <f>IFERROR(__xludf.DUMMYFUNCTION("""COMPUTED_VALUE"""),"1st week")</f>
        <v>1st week</v>
      </c>
      <c r="AO396" s="13">
        <v>1.0</v>
      </c>
      <c r="AX396" s="17"/>
    </row>
    <row r="397">
      <c r="B397" s="9">
        <f>IFERROR(__xludf.DUMMYFUNCTION("""COMPUTED_VALUE"""),45853.166456122686)</f>
        <v>45853.16646</v>
      </c>
      <c r="C397" s="10" t="str">
        <f>IFERROR(__xludf.DUMMYFUNCTION("""COMPUTED_VALUE"""),"Shahid Iqbal")</f>
        <v>Shahid Iqbal</v>
      </c>
      <c r="D397" s="10" t="str">
        <f>IFERROR(__xludf.DUMMYFUNCTION("""COMPUTED_VALUE"""),"03013665049")</f>
        <v>03013665049</v>
      </c>
      <c r="E397" s="10" t="str">
        <f>IFERROR(__xludf.DUMMYFUNCTION("""COMPUTED_VALUE"""),"Jamia Masjid Ghosia Masti Gate Lahore")</f>
        <v>Jamia Masjid Ghosia Masti Gate Lahore</v>
      </c>
      <c r="F397" s="10" t="str">
        <f>IFERROR(__xludf.DUMMYFUNCTION("""COMPUTED_VALUE"""),"xuynq")</f>
        <v>xuynq</v>
      </c>
      <c r="G397" s="10" t="str">
        <f>IFERROR(__xludf.DUMMYFUNCTION("""COMPUTED_VALUE"""),"No")</f>
        <v>No</v>
      </c>
      <c r="H397" s="10"/>
      <c r="I397" s="10"/>
      <c r="J397" s="10"/>
      <c r="K397" s="10">
        <f>IFERROR(__xludf.DUMMYFUNCTION("""COMPUTED_VALUE"""),0.0)</f>
        <v>0</v>
      </c>
      <c r="L397" s="10">
        <f>IFERROR(__xludf.DUMMYFUNCTION("""COMPUTED_VALUE"""),0.0)</f>
        <v>0</v>
      </c>
      <c r="M397" s="10">
        <f>IFERROR(__xludf.DUMMYFUNCTION("""COMPUTED_VALUE"""),0.0)</f>
        <v>0</v>
      </c>
      <c r="N397" s="10">
        <f>IFERROR(__xludf.DUMMYFUNCTION("""COMPUTED_VALUE"""),0.0)</f>
        <v>0</v>
      </c>
      <c r="O397" s="10">
        <f>IFERROR(__xludf.DUMMYFUNCTION("""COMPUTED_VALUE"""),0.0)</f>
        <v>0</v>
      </c>
      <c r="P397" s="10">
        <f>IFERROR(__xludf.DUMMYFUNCTION("""COMPUTED_VALUE"""),0.0)</f>
        <v>0</v>
      </c>
      <c r="Q397" s="10" t="str">
        <f>IFERROR(__xludf.DUMMYFUNCTION("""COMPUTED_VALUE"""),"No")</f>
        <v>No</v>
      </c>
      <c r="R397" s="10" t="str">
        <f>IFERROR(__xludf.DUMMYFUNCTION("""COMPUTED_VALUE"""),"No")</f>
        <v>No</v>
      </c>
      <c r="S397" s="10" t="str">
        <f>IFERROR(__xludf.DUMMYFUNCTION("""COMPUTED_VALUE"""),"No")</f>
        <v>No</v>
      </c>
      <c r="T397" s="10">
        <f>IFERROR(__xludf.DUMMYFUNCTION("""COMPUTED_VALUE"""),0.0)</f>
        <v>0</v>
      </c>
      <c r="U397" s="10">
        <f>IFERROR(__xludf.DUMMYFUNCTION("""COMPUTED_VALUE"""),0.0)</f>
        <v>0</v>
      </c>
      <c r="V397" s="10" t="str">
        <f>IFERROR(__xludf.DUMMYFUNCTION("""COMPUTED_VALUE"""),"Anbia e Karam ki zindagi per amal")</f>
        <v>Anbia e Karam ki zindagi per amal</v>
      </c>
      <c r="W397" s="10" t="str">
        <f>IFERROR(__xludf.DUMMYFUNCTION("""COMPUTED_VALUE"""),"Anbia e Karam ki zindagi per amal")</f>
        <v>Anbia e Karam ki zindagi per amal</v>
      </c>
      <c r="X397" s="10">
        <f>IFERROR(__xludf.DUMMYFUNCTION("""COMPUTED_VALUE"""),4.0)</f>
        <v>4</v>
      </c>
      <c r="Y397" s="10">
        <f>IFERROR(__xludf.DUMMYFUNCTION("""COMPUTED_VALUE"""),5.0)</f>
        <v>5</v>
      </c>
      <c r="Z397" s="10">
        <f>IFERROR(__xludf.DUMMYFUNCTION("""COMPUTED_VALUE"""),5.0)</f>
        <v>5</v>
      </c>
      <c r="AA397" s="10">
        <f>IFERROR(__xludf.DUMMYFUNCTION("""COMPUTED_VALUE"""),4.0)</f>
        <v>4</v>
      </c>
      <c r="AB397" s="10">
        <f>IFERROR(__xludf.DUMMYFUNCTION("""COMPUTED_VALUE"""),3.0)</f>
        <v>3</v>
      </c>
      <c r="AC397" s="10">
        <f>IFERROR(__xludf.DUMMYFUNCTION("""COMPUTED_VALUE"""),2.0)</f>
        <v>2</v>
      </c>
      <c r="AD397" s="10">
        <f>IFERROR(__xludf.DUMMYFUNCTION("""COMPUTED_VALUE"""),1.0)</f>
        <v>1</v>
      </c>
      <c r="AE397" s="10">
        <f>IFERROR(__xludf.DUMMYFUNCTION("""COMPUTED_VALUE"""),1.0)</f>
        <v>1</v>
      </c>
      <c r="AF397" s="10">
        <f>IFERROR(__xludf.DUMMYFUNCTION("""COMPUTED_VALUE"""),1.0)</f>
        <v>1</v>
      </c>
      <c r="AG397" s="10">
        <f>IFERROR(__xludf.DUMMYFUNCTION("""COMPUTED_VALUE"""),6.0)</f>
        <v>6</v>
      </c>
      <c r="AH397" s="10">
        <f>IFERROR(__xludf.DUMMYFUNCTION("""COMPUTED_VALUE"""),0.0)</f>
        <v>0</v>
      </c>
      <c r="AI397" s="10">
        <f>IFERROR(__xludf.DUMMYFUNCTION("""COMPUTED_VALUE"""),7.0)</f>
        <v>7</v>
      </c>
      <c r="AJ397" s="11" t="str">
        <f>IFERROR(__xludf.DUMMYFUNCTION("""COMPUTED_VALUE"""),"https://drive.google.com/open?id=153DedlwyZSZk_XNECoggINfCeN718EyU")</f>
        <v>https://drive.google.com/open?id=153DedlwyZSZk_XNECoggINfCeN718EyU</v>
      </c>
      <c r="AK397" s="12"/>
      <c r="AL397" s="12"/>
      <c r="AM397" s="12"/>
      <c r="AN397" s="12" t="str">
        <f>IFERROR(__xludf.DUMMYFUNCTION("""COMPUTED_VALUE"""),"3rd week")</f>
        <v>3rd week</v>
      </c>
      <c r="AO397" s="13">
        <v>3.0</v>
      </c>
      <c r="AX397" s="17"/>
    </row>
    <row r="398">
      <c r="B398" s="9">
        <f>IFERROR(__xludf.DUMMYFUNCTION("""COMPUTED_VALUE"""),45853.16953857639)</f>
        <v>45853.16954</v>
      </c>
      <c r="C398" s="10" t="str">
        <f>IFERROR(__xludf.DUMMYFUNCTION("""COMPUTED_VALUE"""),"Shahid Iqbal")</f>
        <v>Shahid Iqbal</v>
      </c>
      <c r="D398" s="10" t="str">
        <f>IFERROR(__xludf.DUMMYFUNCTION("""COMPUTED_VALUE"""),"03013665049")</f>
        <v>03013665049</v>
      </c>
      <c r="E398" s="10" t="str">
        <f>IFERROR(__xludf.DUMMYFUNCTION("""COMPUTED_VALUE"""),"Jamia Masjid Madina Purani Anarkali Lahore")</f>
        <v>Jamia Masjid Madina Purani Anarkali Lahore</v>
      </c>
      <c r="F398" s="10" t="str">
        <f>IFERROR(__xludf.DUMMYFUNCTION("""COMPUTED_VALUE"""),"bpozt")</f>
        <v>bpozt</v>
      </c>
      <c r="G398" s="10" t="str">
        <f>IFERROR(__xludf.DUMMYFUNCTION("""COMPUTED_VALUE"""),"Yes")</f>
        <v>Yes</v>
      </c>
      <c r="H398" s="10">
        <f>IFERROR(__xludf.DUMMYFUNCTION("""COMPUTED_VALUE"""),0.0)</f>
        <v>0</v>
      </c>
      <c r="I398" s="10">
        <f>IFERROR(__xludf.DUMMYFUNCTION("""COMPUTED_VALUE"""),9.0)</f>
        <v>9</v>
      </c>
      <c r="J398" s="10">
        <f>IFERROR(__xludf.DUMMYFUNCTION("""COMPUTED_VALUE"""),0.0)</f>
        <v>0</v>
      </c>
      <c r="K398" s="10">
        <f>IFERROR(__xludf.DUMMYFUNCTION("""COMPUTED_VALUE"""),0.0)</f>
        <v>0</v>
      </c>
      <c r="L398" s="10">
        <f>IFERROR(__xludf.DUMMYFUNCTION("""COMPUTED_VALUE"""),0.0)</f>
        <v>0</v>
      </c>
      <c r="M398" s="10">
        <f>IFERROR(__xludf.DUMMYFUNCTION("""COMPUTED_VALUE"""),0.0)</f>
        <v>0</v>
      </c>
      <c r="N398" s="10">
        <f>IFERROR(__xludf.DUMMYFUNCTION("""COMPUTED_VALUE"""),0.0)</f>
        <v>0</v>
      </c>
      <c r="O398" s="10">
        <f>IFERROR(__xludf.DUMMYFUNCTION("""COMPUTED_VALUE"""),0.0)</f>
        <v>0</v>
      </c>
      <c r="P398" s="10">
        <f>IFERROR(__xludf.DUMMYFUNCTION("""COMPUTED_VALUE"""),0.0)</f>
        <v>0</v>
      </c>
      <c r="Q398" s="10" t="str">
        <f>IFERROR(__xludf.DUMMYFUNCTION("""COMPUTED_VALUE"""),"No")</f>
        <v>No</v>
      </c>
      <c r="R398" s="10" t="str">
        <f>IFERROR(__xludf.DUMMYFUNCTION("""COMPUTED_VALUE"""),"No")</f>
        <v>No</v>
      </c>
      <c r="S398" s="10" t="str">
        <f>IFERROR(__xludf.DUMMYFUNCTION("""COMPUTED_VALUE"""),"No")</f>
        <v>No</v>
      </c>
      <c r="T398" s="10">
        <f>IFERROR(__xludf.DUMMYFUNCTION("""COMPUTED_VALUE"""),0.0)</f>
        <v>0</v>
      </c>
      <c r="U398" s="10">
        <f>IFERROR(__xludf.DUMMYFUNCTION("""COMPUTED_VALUE"""),0.0)</f>
        <v>0</v>
      </c>
      <c r="V398" s="10" t="str">
        <f>IFERROR(__xludf.DUMMYFUNCTION("""COMPUTED_VALUE"""),"Deen Ki hadyat aur bhai Chara")</f>
        <v>Deen Ki hadyat aur bhai Chara</v>
      </c>
      <c r="W398" s="10" t="str">
        <f>IFERROR(__xludf.DUMMYFUNCTION("""COMPUTED_VALUE"""),"Deen Ki hadyat aur bhai Chara")</f>
        <v>Deen Ki hadyat aur bhai Chara</v>
      </c>
      <c r="X398" s="10">
        <f>IFERROR(__xludf.DUMMYFUNCTION("""COMPUTED_VALUE"""),5.0)</f>
        <v>5</v>
      </c>
      <c r="Y398" s="10">
        <f>IFERROR(__xludf.DUMMYFUNCTION("""COMPUTED_VALUE"""),6.0)</f>
        <v>6</v>
      </c>
      <c r="Z398" s="10">
        <f>IFERROR(__xludf.DUMMYFUNCTION("""COMPUTED_VALUE"""),9.0)</f>
        <v>9</v>
      </c>
      <c r="AA398" s="10">
        <f>IFERROR(__xludf.DUMMYFUNCTION("""COMPUTED_VALUE"""),1.0)</f>
        <v>1</v>
      </c>
      <c r="AB398" s="10">
        <f>IFERROR(__xludf.DUMMYFUNCTION("""COMPUTED_VALUE"""),2.0)</f>
        <v>2</v>
      </c>
      <c r="AC398" s="10">
        <f>IFERROR(__xludf.DUMMYFUNCTION("""COMPUTED_VALUE"""),3.0)</f>
        <v>3</v>
      </c>
      <c r="AD398" s="10">
        <f>IFERROR(__xludf.DUMMYFUNCTION("""COMPUTED_VALUE"""),6.0)</f>
        <v>6</v>
      </c>
      <c r="AE398" s="10">
        <f>IFERROR(__xludf.DUMMYFUNCTION("""COMPUTED_VALUE"""),1.0)</f>
        <v>1</v>
      </c>
      <c r="AF398" s="10">
        <f>IFERROR(__xludf.DUMMYFUNCTION("""COMPUTED_VALUE"""),1.0)</f>
        <v>1</v>
      </c>
      <c r="AG398" s="10">
        <f>IFERROR(__xludf.DUMMYFUNCTION("""COMPUTED_VALUE"""),8.0)</f>
        <v>8</v>
      </c>
      <c r="AH398" s="10">
        <f>IFERROR(__xludf.DUMMYFUNCTION("""COMPUTED_VALUE"""),0.0)</f>
        <v>0</v>
      </c>
      <c r="AI398" s="10">
        <f>IFERROR(__xludf.DUMMYFUNCTION("""COMPUTED_VALUE"""),8.0)</f>
        <v>8</v>
      </c>
      <c r="AJ398" s="11" t="str">
        <f>IFERROR(__xludf.DUMMYFUNCTION("""COMPUTED_VALUE"""),"https://drive.google.com/open?id=1WbAu82LKqLJHcasXKQBNZjOFWdiM-ARP")</f>
        <v>https://drive.google.com/open?id=1WbAu82LKqLJHcasXKQBNZjOFWdiM-ARP</v>
      </c>
      <c r="AK398" s="12"/>
      <c r="AL398" s="12" t="str">
        <f>IFERROR(__xludf.DUMMYFUNCTION("""COMPUTED_VALUE"""),"Yes")</f>
        <v>Yes</v>
      </c>
      <c r="AM398" s="15">
        <f>IFERROR(__xludf.DUMMYFUNCTION("""COMPUTED_VALUE"""),0.0)</f>
        <v>0</v>
      </c>
      <c r="AN398" s="12" t="str">
        <f>IFERROR(__xludf.DUMMYFUNCTION("""COMPUTED_VALUE"""),"5th week")</f>
        <v>5th week</v>
      </c>
      <c r="AO398" s="13">
        <v>5.0</v>
      </c>
      <c r="AX398" s="17"/>
    </row>
    <row r="399">
      <c r="B399" s="9">
        <f>IFERROR(__xludf.DUMMYFUNCTION("""COMPUTED_VALUE"""),45853.17476673611)</f>
        <v>45853.17477</v>
      </c>
      <c r="C399" s="10" t="str">
        <f>IFERROR(__xludf.DUMMYFUNCTION("""COMPUTED_VALUE"""),"Shahid Iqbal")</f>
        <v>Shahid Iqbal</v>
      </c>
      <c r="D399" s="10" t="str">
        <f>IFERROR(__xludf.DUMMYFUNCTION("""COMPUTED_VALUE"""),"03013665049")</f>
        <v>03013665049</v>
      </c>
      <c r="E399" s="10" t="str">
        <f>IFERROR(__xludf.DUMMYFUNCTION("""COMPUTED_VALUE"""),"Jamia Masjid Hanifia Railway Road Gawaal Mandi Lahore")</f>
        <v>Jamia Masjid Hanifia Railway Road Gawaal Mandi Lahore</v>
      </c>
      <c r="F399" s="10" t="str">
        <f>IFERROR(__xludf.DUMMYFUNCTION("""COMPUTED_VALUE"""),"wvmxf")</f>
        <v>wvmxf</v>
      </c>
      <c r="G399" s="10" t="str">
        <f>IFERROR(__xludf.DUMMYFUNCTION("""COMPUTED_VALUE"""),"Yes")</f>
        <v>Yes</v>
      </c>
      <c r="H399" s="10">
        <f>IFERROR(__xludf.DUMMYFUNCTION("""COMPUTED_VALUE"""),0.0)</f>
        <v>0</v>
      </c>
      <c r="I399" s="10">
        <f>IFERROR(__xludf.DUMMYFUNCTION("""COMPUTED_VALUE"""),9.0)</f>
        <v>9</v>
      </c>
      <c r="J399" s="10">
        <f>IFERROR(__xludf.DUMMYFUNCTION("""COMPUTED_VALUE"""),0.0)</f>
        <v>0</v>
      </c>
      <c r="K399" s="10">
        <f>IFERROR(__xludf.DUMMYFUNCTION("""COMPUTED_VALUE"""),0.0)</f>
        <v>0</v>
      </c>
      <c r="L399" s="10">
        <f>IFERROR(__xludf.DUMMYFUNCTION("""COMPUTED_VALUE"""),0.0)</f>
        <v>0</v>
      </c>
      <c r="M399" s="10">
        <f>IFERROR(__xludf.DUMMYFUNCTION("""COMPUTED_VALUE"""),0.0)</f>
        <v>0</v>
      </c>
      <c r="N399" s="10">
        <f>IFERROR(__xludf.DUMMYFUNCTION("""COMPUTED_VALUE"""),0.0)</f>
        <v>0</v>
      </c>
      <c r="O399" s="10">
        <f>IFERROR(__xludf.DUMMYFUNCTION("""COMPUTED_VALUE"""),0.0)</f>
        <v>0</v>
      </c>
      <c r="P399" s="10">
        <f>IFERROR(__xludf.DUMMYFUNCTION("""COMPUTED_VALUE"""),0.0)</f>
        <v>0</v>
      </c>
      <c r="Q399" s="10" t="str">
        <f>IFERROR(__xludf.DUMMYFUNCTION("""COMPUTED_VALUE"""),"No")</f>
        <v>No</v>
      </c>
      <c r="R399" s="10" t="str">
        <f>IFERROR(__xludf.DUMMYFUNCTION("""COMPUTED_VALUE"""),"No")</f>
        <v>No</v>
      </c>
      <c r="S399" s="10" t="str">
        <f>IFERROR(__xludf.DUMMYFUNCTION("""COMPUTED_VALUE"""),"No")</f>
        <v>No</v>
      </c>
      <c r="T399" s="10">
        <f>IFERROR(__xludf.DUMMYFUNCTION("""COMPUTED_VALUE"""),0.0)</f>
        <v>0</v>
      </c>
      <c r="U399" s="10">
        <f>IFERROR(__xludf.DUMMYFUNCTION("""COMPUTED_VALUE"""),0.0)</f>
        <v>0</v>
      </c>
      <c r="V399" s="10" t="str">
        <f>IFERROR(__xludf.DUMMYFUNCTION("""COMPUTED_VALUE"""),"Naiki ka hukam aur Allah ki rah ma khrach")</f>
        <v>Naiki ka hukam aur Allah ki rah ma khrach</v>
      </c>
      <c r="W399" s="10" t="str">
        <f>IFERROR(__xludf.DUMMYFUNCTION("""COMPUTED_VALUE"""),"Naiki ka hukam aur Allah ki rah ma khrach")</f>
        <v>Naiki ka hukam aur Allah ki rah ma khrach</v>
      </c>
      <c r="X399" s="10">
        <f>IFERROR(__xludf.DUMMYFUNCTION("""COMPUTED_VALUE"""),7.0)</f>
        <v>7</v>
      </c>
      <c r="Y399" s="10">
        <f>IFERROR(__xludf.DUMMYFUNCTION("""COMPUTED_VALUE"""),6.0)</f>
        <v>6</v>
      </c>
      <c r="Z399" s="10">
        <f>IFERROR(__xludf.DUMMYFUNCTION("""COMPUTED_VALUE"""),5.0)</f>
        <v>5</v>
      </c>
      <c r="AA399" s="10">
        <f>IFERROR(__xludf.DUMMYFUNCTION("""COMPUTED_VALUE"""),4.0)</f>
        <v>4</v>
      </c>
      <c r="AB399" s="10">
        <f>IFERROR(__xludf.DUMMYFUNCTION("""COMPUTED_VALUE"""),0.0)</f>
        <v>0</v>
      </c>
      <c r="AC399" s="10">
        <f>IFERROR(__xludf.DUMMYFUNCTION("""COMPUTED_VALUE"""),0.0)</f>
        <v>0</v>
      </c>
      <c r="AD399" s="10">
        <f>IFERROR(__xludf.DUMMYFUNCTION("""COMPUTED_VALUE"""),0.0)</f>
        <v>0</v>
      </c>
      <c r="AE399" s="10">
        <f>IFERROR(__xludf.DUMMYFUNCTION("""COMPUTED_VALUE"""),0.0)</f>
        <v>0</v>
      </c>
      <c r="AF399" s="10">
        <f>IFERROR(__xludf.DUMMYFUNCTION("""COMPUTED_VALUE"""),0.0)</f>
        <v>0</v>
      </c>
      <c r="AG399" s="10">
        <f>IFERROR(__xludf.DUMMYFUNCTION("""COMPUTED_VALUE"""),5.0)</f>
        <v>5</v>
      </c>
      <c r="AH399" s="10">
        <f>IFERROR(__xludf.DUMMYFUNCTION("""COMPUTED_VALUE"""),0.0)</f>
        <v>0</v>
      </c>
      <c r="AI399" s="10">
        <f>IFERROR(__xludf.DUMMYFUNCTION("""COMPUTED_VALUE"""),8.0)</f>
        <v>8</v>
      </c>
      <c r="AJ399" s="11" t="str">
        <f>IFERROR(__xludf.DUMMYFUNCTION("""COMPUTED_VALUE"""),"https://drive.google.com/open?id=1elQZA4uP3z1Vuvtu8xVO3anQ1nxvk8eq")</f>
        <v>https://drive.google.com/open?id=1elQZA4uP3z1Vuvtu8xVO3anQ1nxvk8eq</v>
      </c>
      <c r="AK399" s="12"/>
      <c r="AL399" s="12" t="str">
        <f>IFERROR(__xludf.DUMMYFUNCTION("""COMPUTED_VALUE"""),"Yes")</f>
        <v>Yes</v>
      </c>
      <c r="AM399" s="15">
        <f>IFERROR(__xludf.DUMMYFUNCTION("""COMPUTED_VALUE"""),0.0)</f>
        <v>0</v>
      </c>
      <c r="AN399" s="12" t="str">
        <f>IFERROR(__xludf.DUMMYFUNCTION("""COMPUTED_VALUE"""),"3rd week")</f>
        <v>3rd week</v>
      </c>
      <c r="AO399" s="13">
        <v>3.0</v>
      </c>
      <c r="AX399" s="17"/>
    </row>
    <row r="400">
      <c r="B400" s="9">
        <f>IFERROR(__xludf.DUMMYFUNCTION("""COMPUTED_VALUE"""),45853.24323175926)</f>
        <v>45853.24323</v>
      </c>
      <c r="C400" s="10" t="str">
        <f>IFERROR(__xludf.DUMMYFUNCTION("""COMPUTED_VALUE"""),"Artikumari ")</f>
        <v>Artikumari </v>
      </c>
      <c r="D400" s="10" t="str">
        <f>IFERROR(__xludf.DUMMYFUNCTION("""COMPUTED_VALUE"""),"03346661865")</f>
        <v>03346661865</v>
      </c>
      <c r="E400" s="10" t="str">
        <f>IFERROR(__xludf.DUMMYFUNCTION("""COMPUTED_VALUE"""),"شاہی مسجد چنیوٹ")</f>
        <v>شاہی مسجد چنیوٹ</v>
      </c>
      <c r="F400" s="10" t="str">
        <f>IFERROR(__xludf.DUMMYFUNCTION("""COMPUTED_VALUE"""),"LTSEN")</f>
        <v>LTSEN</v>
      </c>
      <c r="G400" s="10" t="str">
        <f>IFERROR(__xludf.DUMMYFUNCTION("""COMPUTED_VALUE"""),"Yes")</f>
        <v>Yes</v>
      </c>
      <c r="H400" s="10">
        <f>IFERROR(__xludf.DUMMYFUNCTION("""COMPUTED_VALUE"""),8.0)</f>
        <v>8</v>
      </c>
      <c r="I400" s="10">
        <f>IFERROR(__xludf.DUMMYFUNCTION("""COMPUTED_VALUE"""),7.0)</f>
        <v>7</v>
      </c>
      <c r="J400" s="10">
        <f>IFERROR(__xludf.DUMMYFUNCTION("""COMPUTED_VALUE"""),8.0)</f>
        <v>8</v>
      </c>
      <c r="K400" s="10">
        <f>IFERROR(__xludf.DUMMYFUNCTION("""COMPUTED_VALUE"""),8.0)</f>
        <v>8</v>
      </c>
      <c r="L400" s="10">
        <f>IFERROR(__xludf.DUMMYFUNCTION("""COMPUTED_VALUE"""),10.0)</f>
        <v>10</v>
      </c>
      <c r="M400" s="10">
        <f>IFERROR(__xludf.DUMMYFUNCTION("""COMPUTED_VALUE"""),6.0)</f>
        <v>6</v>
      </c>
      <c r="N400" s="10">
        <f>IFERROR(__xludf.DUMMYFUNCTION("""COMPUTED_VALUE"""),10.0)</f>
        <v>10</v>
      </c>
      <c r="O400" s="10">
        <f>IFERROR(__xludf.DUMMYFUNCTION("""COMPUTED_VALUE"""),0.0)</f>
        <v>0</v>
      </c>
      <c r="P400" s="10">
        <f>IFERROR(__xludf.DUMMYFUNCTION("""COMPUTED_VALUE"""),0.0)</f>
        <v>0</v>
      </c>
      <c r="Q400" s="10" t="str">
        <f>IFERROR(__xludf.DUMMYFUNCTION("""COMPUTED_VALUE"""),"No")</f>
        <v>No</v>
      </c>
      <c r="R400" s="10" t="str">
        <f>IFERROR(__xludf.DUMMYFUNCTION("""COMPUTED_VALUE"""),"No")</f>
        <v>No</v>
      </c>
      <c r="S400" s="10" t="str">
        <f>IFERROR(__xludf.DUMMYFUNCTION("""COMPUTED_VALUE"""),"No")</f>
        <v>No</v>
      </c>
      <c r="T400" s="10">
        <f>IFERROR(__xludf.DUMMYFUNCTION("""COMPUTED_VALUE"""),0.0)</f>
        <v>0</v>
      </c>
      <c r="U400" s="10">
        <f>IFERROR(__xludf.DUMMYFUNCTION("""COMPUTED_VALUE"""),0.0)</f>
        <v>0</v>
      </c>
      <c r="V400" s="10" t="str">
        <f>IFERROR(__xludf.DUMMYFUNCTION("""COMPUTED_VALUE"""),"پٹروسیوں کے حقوق")</f>
        <v>پٹروسیوں کے حقوق</v>
      </c>
      <c r="W400" s="10" t="str">
        <f>IFERROR(__xludf.DUMMYFUNCTION("""COMPUTED_VALUE"""),"امام نے پڑوسیوں کے حقوق پر زور دیا ہے کہ ان کا ہر حال میں خیال کریں")</f>
        <v>امام نے پڑوسیوں کے حقوق پر زور دیا ہے کہ ان کا ہر حال میں خیال کریں</v>
      </c>
      <c r="X400" s="10">
        <f>IFERROR(__xludf.DUMMYFUNCTION("""COMPUTED_VALUE"""),4.0)</f>
        <v>4</v>
      </c>
      <c r="Y400" s="10">
        <f>IFERROR(__xludf.DUMMYFUNCTION("""COMPUTED_VALUE"""),10.0)</f>
        <v>10</v>
      </c>
      <c r="Z400" s="10">
        <f>IFERROR(__xludf.DUMMYFUNCTION("""COMPUTED_VALUE"""),0.0)</f>
        <v>0</v>
      </c>
      <c r="AA400" s="10">
        <f>IFERROR(__xludf.DUMMYFUNCTION("""COMPUTED_VALUE"""),2.0)</f>
        <v>2</v>
      </c>
      <c r="AB400" s="10">
        <f>IFERROR(__xludf.DUMMYFUNCTION("""COMPUTED_VALUE"""),4.0)</f>
        <v>4</v>
      </c>
      <c r="AC400" s="10">
        <f>IFERROR(__xludf.DUMMYFUNCTION("""COMPUTED_VALUE"""),0.0)</f>
        <v>0</v>
      </c>
      <c r="AD400" s="10">
        <f>IFERROR(__xludf.DUMMYFUNCTION("""COMPUTED_VALUE"""),0.0)</f>
        <v>0</v>
      </c>
      <c r="AE400" s="10">
        <f>IFERROR(__xludf.DUMMYFUNCTION("""COMPUTED_VALUE"""),0.0)</f>
        <v>0</v>
      </c>
      <c r="AF400" s="10">
        <f>IFERROR(__xludf.DUMMYFUNCTION("""COMPUTED_VALUE"""),0.0)</f>
        <v>0</v>
      </c>
      <c r="AG400" s="10">
        <f>IFERROR(__xludf.DUMMYFUNCTION("""COMPUTED_VALUE"""),7.0)</f>
        <v>7</v>
      </c>
      <c r="AH400" s="10">
        <f>IFERROR(__xludf.DUMMYFUNCTION("""COMPUTED_VALUE"""),0.0)</f>
        <v>0</v>
      </c>
      <c r="AI400" s="10">
        <f>IFERROR(__xludf.DUMMYFUNCTION("""COMPUTED_VALUE"""),6.0)</f>
        <v>6</v>
      </c>
      <c r="AJ400" s="11" t="str">
        <f>IFERROR(__xludf.DUMMYFUNCTION("""COMPUTED_VALUE"""),"https://drive.google.com/open?id=1TYjk-rmVjvr14s6LI0MZYvKHjC4etpD9")</f>
        <v>https://drive.google.com/open?id=1TYjk-rmVjvr14s6LI0MZYvKHjC4etpD9</v>
      </c>
      <c r="AK400" s="12" t="str">
        <f>IFERROR(__xludf.DUMMYFUNCTION("""COMPUTED_VALUE"""),"Voice was not clear ")</f>
        <v>Voice was not clear </v>
      </c>
      <c r="AL400" s="12" t="str">
        <f>IFERROR(__xludf.DUMMYFUNCTION("""COMPUTED_VALUE"""),"Yes")</f>
        <v>Yes</v>
      </c>
      <c r="AM400" s="15">
        <f>IFERROR(__xludf.DUMMYFUNCTION("""COMPUTED_VALUE"""),0.8)</f>
        <v>0.8</v>
      </c>
      <c r="AN400" s="12" t="str">
        <f>IFERROR(__xludf.DUMMYFUNCTION("""COMPUTED_VALUE"""),"1st week")</f>
        <v>1st week</v>
      </c>
      <c r="AO400" s="13">
        <v>1.0</v>
      </c>
      <c r="AX400" s="17"/>
    </row>
    <row r="401">
      <c r="B401" s="9">
        <f>IFERROR(__xludf.DUMMYFUNCTION("""COMPUTED_VALUE"""),45853.25253619213)</f>
        <v>45853.25254</v>
      </c>
      <c r="C401" s="10" t="str">
        <f>IFERROR(__xludf.DUMMYFUNCTION("""COMPUTED_VALUE"""),"Artikumari ")</f>
        <v>Artikumari </v>
      </c>
      <c r="D401" s="10" t="str">
        <f>IFERROR(__xludf.DUMMYFUNCTION("""COMPUTED_VALUE"""),"03346661865")</f>
        <v>03346661865</v>
      </c>
      <c r="E401" s="10" t="str">
        <f>IFERROR(__xludf.DUMMYFUNCTION("""COMPUTED_VALUE"""),"Jamia Masjid Phalarwaan Sargodha")</f>
        <v>Jamia Masjid Phalarwaan Sargodha</v>
      </c>
      <c r="F401" s="10" t="str">
        <f>IFERROR(__xludf.DUMMYFUNCTION("""COMPUTED_VALUE"""),"JTMUR")</f>
        <v>JTMUR</v>
      </c>
      <c r="G401" s="10" t="str">
        <f>IFERROR(__xludf.DUMMYFUNCTION("""COMPUTED_VALUE"""),"No")</f>
        <v>No</v>
      </c>
      <c r="H401" s="10"/>
      <c r="I401" s="10"/>
      <c r="J401" s="10"/>
      <c r="K401" s="10">
        <f>IFERROR(__xludf.DUMMYFUNCTION("""COMPUTED_VALUE"""),0.0)</f>
        <v>0</v>
      </c>
      <c r="L401" s="10">
        <f>IFERROR(__xludf.DUMMYFUNCTION("""COMPUTED_VALUE"""),0.0)</f>
        <v>0</v>
      </c>
      <c r="M401" s="10">
        <f>IFERROR(__xludf.DUMMYFUNCTION("""COMPUTED_VALUE"""),0.0)</f>
        <v>0</v>
      </c>
      <c r="N401" s="10">
        <f>IFERROR(__xludf.DUMMYFUNCTION("""COMPUTED_VALUE"""),0.0)</f>
        <v>0</v>
      </c>
      <c r="O401" s="10">
        <f>IFERROR(__xludf.DUMMYFUNCTION("""COMPUTED_VALUE"""),0.0)</f>
        <v>0</v>
      </c>
      <c r="P401" s="10">
        <f>IFERROR(__xludf.DUMMYFUNCTION("""COMPUTED_VALUE"""),0.0)</f>
        <v>0</v>
      </c>
      <c r="Q401" s="10" t="str">
        <f>IFERROR(__xludf.DUMMYFUNCTION("""COMPUTED_VALUE"""),"No")</f>
        <v>No</v>
      </c>
      <c r="R401" s="10" t="str">
        <f>IFERROR(__xludf.DUMMYFUNCTION("""COMPUTED_VALUE"""),"No")</f>
        <v>No</v>
      </c>
      <c r="S401" s="10" t="str">
        <f>IFERROR(__xludf.DUMMYFUNCTION("""COMPUTED_VALUE"""),"No")</f>
        <v>No</v>
      </c>
      <c r="T401" s="10">
        <f>IFERROR(__xludf.DUMMYFUNCTION("""COMPUTED_VALUE"""),0.0)</f>
        <v>0</v>
      </c>
      <c r="U401" s="10">
        <f>IFERROR(__xludf.DUMMYFUNCTION("""COMPUTED_VALUE"""),0.0)</f>
        <v>0</v>
      </c>
      <c r="V401" s="10" t="str">
        <f>IFERROR(__xludf.DUMMYFUNCTION("""COMPUTED_VALUE"""),"اللہ کی دی ہوئی نعمتیں")</f>
        <v>اللہ کی دی ہوئی نعمتیں</v>
      </c>
      <c r="W401" s="10" t="str">
        <f>IFERROR(__xludf.DUMMYFUNCTION("""COMPUTED_VALUE"""),"امام نے اللہ کی دی دی ہوئی نعمتوں کا ذکر کیا ہے اور ان نعمتوں کا ہر میں شکر ادا کرنا چاہیے")</f>
        <v>امام نے اللہ کی دی دی ہوئی نعمتوں کا ذکر کیا ہے اور ان نعمتوں کا ہر میں شکر ادا کرنا چاہیے</v>
      </c>
      <c r="X401" s="10">
        <f>IFERROR(__xludf.DUMMYFUNCTION("""COMPUTED_VALUE"""),2.0)</f>
        <v>2</v>
      </c>
      <c r="Y401" s="10">
        <f>IFERROR(__xludf.DUMMYFUNCTION("""COMPUTED_VALUE"""),0.0)</f>
        <v>0</v>
      </c>
      <c r="Z401" s="10">
        <f>IFERROR(__xludf.DUMMYFUNCTION("""COMPUTED_VALUE"""),0.0)</f>
        <v>0</v>
      </c>
      <c r="AA401" s="10">
        <f>IFERROR(__xludf.DUMMYFUNCTION("""COMPUTED_VALUE"""),7.0)</f>
        <v>7</v>
      </c>
      <c r="AB401" s="10">
        <f>IFERROR(__xludf.DUMMYFUNCTION("""COMPUTED_VALUE"""),4.0)</f>
        <v>4</v>
      </c>
      <c r="AC401" s="10">
        <f>IFERROR(__xludf.DUMMYFUNCTION("""COMPUTED_VALUE"""),0.0)</f>
        <v>0</v>
      </c>
      <c r="AD401" s="10">
        <f>IFERROR(__xludf.DUMMYFUNCTION("""COMPUTED_VALUE"""),0.0)</f>
        <v>0</v>
      </c>
      <c r="AE401" s="10">
        <f>IFERROR(__xludf.DUMMYFUNCTION("""COMPUTED_VALUE"""),0.0)</f>
        <v>0</v>
      </c>
      <c r="AF401" s="10">
        <f>IFERROR(__xludf.DUMMYFUNCTION("""COMPUTED_VALUE"""),0.0)</f>
        <v>0</v>
      </c>
      <c r="AG401" s="10">
        <f>IFERROR(__xludf.DUMMYFUNCTION("""COMPUTED_VALUE"""),6.0)</f>
        <v>6</v>
      </c>
      <c r="AH401" s="10">
        <f>IFERROR(__xludf.DUMMYFUNCTION("""COMPUTED_VALUE"""),0.0)</f>
        <v>0</v>
      </c>
      <c r="AI401" s="10">
        <f>IFERROR(__xludf.DUMMYFUNCTION("""COMPUTED_VALUE"""),6.0)</f>
        <v>6</v>
      </c>
      <c r="AJ401" s="11" t="str">
        <f>IFERROR(__xludf.DUMMYFUNCTION("""COMPUTED_VALUE"""),"https://drive.google.com/open?id=1VDk3QBTq48ok9GjVaEvRyb4xJ9g74BOV")</f>
        <v>https://drive.google.com/open?id=1VDk3QBTq48ok9GjVaEvRyb4xJ9g74BOV</v>
      </c>
      <c r="AK401" s="12" t="str">
        <f>IFERROR(__xludf.DUMMYFUNCTION("""COMPUTED_VALUE"""),"Disturbance in voice and voice was not clear ")</f>
        <v>Disturbance in voice and voice was not clear </v>
      </c>
      <c r="AL401" s="12"/>
      <c r="AM401" s="12"/>
      <c r="AN401" s="12" t="str">
        <f>IFERROR(__xludf.DUMMYFUNCTION("""COMPUTED_VALUE"""),"2nd week")</f>
        <v>2nd week</v>
      </c>
      <c r="AO401" s="13">
        <v>3.0</v>
      </c>
      <c r="AX401" s="17"/>
    </row>
    <row r="402">
      <c r="B402" s="9">
        <f>IFERROR(__xludf.DUMMYFUNCTION("""COMPUTED_VALUE"""),45853.26452181713)</f>
        <v>45853.26452</v>
      </c>
      <c r="C402" s="10" t="str">
        <f>IFERROR(__xludf.DUMMYFUNCTION("""COMPUTED_VALUE"""),"Artikumari ")</f>
        <v>Artikumari </v>
      </c>
      <c r="D402" s="10" t="str">
        <f>IFERROR(__xludf.DUMMYFUNCTION("""COMPUTED_VALUE"""),"03346661865")</f>
        <v>03346661865</v>
      </c>
      <c r="E402" s="10" t="str">
        <f>IFERROR(__xludf.DUMMYFUNCTION("""COMPUTED_VALUE"""),"Jamia Masjid Chila Gah Sakhi Sarwar Dhoonikal")</f>
        <v>Jamia Masjid Chila Gah Sakhi Sarwar Dhoonikal</v>
      </c>
      <c r="F402" s="10" t="str">
        <f>IFERROR(__xludf.DUMMYFUNCTION("""COMPUTED_VALUE"""),"CVXRS")</f>
        <v>CVXRS</v>
      </c>
      <c r="G402" s="10" t="str">
        <f>IFERROR(__xludf.DUMMYFUNCTION("""COMPUTED_VALUE"""),"No")</f>
        <v>No</v>
      </c>
      <c r="H402" s="10"/>
      <c r="I402" s="10"/>
      <c r="J402" s="10"/>
      <c r="K402" s="10">
        <f>IFERROR(__xludf.DUMMYFUNCTION("""COMPUTED_VALUE"""),0.0)</f>
        <v>0</v>
      </c>
      <c r="L402" s="10">
        <f>IFERROR(__xludf.DUMMYFUNCTION("""COMPUTED_VALUE"""),3.0)</f>
        <v>3</v>
      </c>
      <c r="M402" s="10">
        <f>IFERROR(__xludf.DUMMYFUNCTION("""COMPUTED_VALUE"""),0.0)</f>
        <v>0</v>
      </c>
      <c r="N402" s="10">
        <f>IFERROR(__xludf.DUMMYFUNCTION("""COMPUTED_VALUE"""),0.0)</f>
        <v>0</v>
      </c>
      <c r="O402" s="10">
        <f>IFERROR(__xludf.DUMMYFUNCTION("""COMPUTED_VALUE"""),0.0)</f>
        <v>0</v>
      </c>
      <c r="P402" s="10">
        <f>IFERROR(__xludf.DUMMYFUNCTION("""COMPUTED_VALUE"""),0.0)</f>
        <v>0</v>
      </c>
      <c r="Q402" s="10" t="str">
        <f>IFERROR(__xludf.DUMMYFUNCTION("""COMPUTED_VALUE"""),"No")</f>
        <v>No</v>
      </c>
      <c r="R402" s="10" t="str">
        <f>IFERROR(__xludf.DUMMYFUNCTION("""COMPUTED_VALUE"""),"No")</f>
        <v>No</v>
      </c>
      <c r="S402" s="10" t="str">
        <f>IFERROR(__xludf.DUMMYFUNCTION("""COMPUTED_VALUE"""),"No")</f>
        <v>No</v>
      </c>
      <c r="T402" s="10">
        <f>IFERROR(__xludf.DUMMYFUNCTION("""COMPUTED_VALUE"""),0.0)</f>
        <v>0</v>
      </c>
      <c r="U402" s="10">
        <f>IFERROR(__xludf.DUMMYFUNCTION("""COMPUTED_VALUE"""),0.0)</f>
        <v>0</v>
      </c>
      <c r="V402" s="10" t="str">
        <f>IFERROR(__xludf.DUMMYFUNCTION("""COMPUTED_VALUE"""),"اللہ کے حقوق")</f>
        <v>اللہ کے حقوق</v>
      </c>
      <c r="W402" s="10" t="str">
        <f>IFERROR(__xludf.DUMMYFUNCTION("""COMPUTED_VALUE"""),"امام نے اللہ کے حقوق پر زور دیا کہ نماز اور روزے رکھو اللہ کی راہ میں اس نے ہمیں بہت سی نعمتوں سے نوازا ہے")</f>
        <v>امام نے اللہ کے حقوق پر زور دیا کہ نماز اور روزے رکھو اللہ کی راہ میں اس نے ہمیں بہت سی نعمتوں سے نوازا ہے</v>
      </c>
      <c r="X402" s="10">
        <f>IFERROR(__xludf.DUMMYFUNCTION("""COMPUTED_VALUE"""),7.0)</f>
        <v>7</v>
      </c>
      <c r="Y402" s="10">
        <f>IFERROR(__xludf.DUMMYFUNCTION("""COMPUTED_VALUE"""),0.0)</f>
        <v>0</v>
      </c>
      <c r="Z402" s="10">
        <f>IFERROR(__xludf.DUMMYFUNCTION("""COMPUTED_VALUE"""),0.0)</f>
        <v>0</v>
      </c>
      <c r="AA402" s="10">
        <f>IFERROR(__xludf.DUMMYFUNCTION("""COMPUTED_VALUE"""),0.0)</f>
        <v>0</v>
      </c>
      <c r="AB402" s="10">
        <f>IFERROR(__xludf.DUMMYFUNCTION("""COMPUTED_VALUE"""),4.0)</f>
        <v>4</v>
      </c>
      <c r="AC402" s="10">
        <f>IFERROR(__xludf.DUMMYFUNCTION("""COMPUTED_VALUE"""),0.0)</f>
        <v>0</v>
      </c>
      <c r="AD402" s="10">
        <f>IFERROR(__xludf.DUMMYFUNCTION("""COMPUTED_VALUE"""),0.0)</f>
        <v>0</v>
      </c>
      <c r="AE402" s="10">
        <f>IFERROR(__xludf.DUMMYFUNCTION("""COMPUTED_VALUE"""),0.0)</f>
        <v>0</v>
      </c>
      <c r="AF402" s="10">
        <f>IFERROR(__xludf.DUMMYFUNCTION("""COMPUTED_VALUE"""),0.0)</f>
        <v>0</v>
      </c>
      <c r="AG402" s="10">
        <f>IFERROR(__xludf.DUMMYFUNCTION("""COMPUTED_VALUE"""),4.0)</f>
        <v>4</v>
      </c>
      <c r="AH402" s="10">
        <f>IFERROR(__xludf.DUMMYFUNCTION("""COMPUTED_VALUE"""),0.0)</f>
        <v>0</v>
      </c>
      <c r="AI402" s="10">
        <f>IFERROR(__xludf.DUMMYFUNCTION("""COMPUTED_VALUE"""),7.0)</f>
        <v>7</v>
      </c>
      <c r="AJ402" s="11" t="str">
        <f>IFERROR(__xludf.DUMMYFUNCTION("""COMPUTED_VALUE"""),"https://drive.google.com/open?id=16RvifwsyBaREwZ-XljjMDCWFv52SKKDE")</f>
        <v>https://drive.google.com/open?id=16RvifwsyBaREwZ-XljjMDCWFv52SKKDE</v>
      </c>
      <c r="AK402" s="12" t="str">
        <f>IFERROR(__xludf.DUMMYFUNCTION("""COMPUTED_VALUE"""),"Too much disturbance imam words are not much cleared")</f>
        <v>Too much disturbance imam words are not much cleared</v>
      </c>
      <c r="AL402" s="12"/>
      <c r="AM402" s="12"/>
      <c r="AN402" s="12" t="str">
        <f>IFERROR(__xludf.DUMMYFUNCTION("""COMPUTED_VALUE"""),"2nd week")</f>
        <v>2nd week</v>
      </c>
      <c r="AO402" s="13">
        <v>3.0</v>
      </c>
      <c r="AX402" s="17"/>
    </row>
    <row r="403">
      <c r="B403" s="9">
        <f>IFERROR(__xludf.DUMMYFUNCTION("""COMPUTED_VALUE"""),45857.37157590278)</f>
        <v>45857.37158</v>
      </c>
      <c r="C403" s="10" t="str">
        <f>IFERROR(__xludf.DUMMYFUNCTION("""COMPUTED_VALUE"""),"Arti Kumari ")</f>
        <v>Arti Kumari </v>
      </c>
      <c r="D403" s="10" t="str">
        <f>IFERROR(__xludf.DUMMYFUNCTION("""COMPUTED_VALUE"""),"03346661865")</f>
        <v>03346661865</v>
      </c>
      <c r="E403" s="10" t="str">
        <f>IFERROR(__xludf.DUMMYFUNCTION("""COMPUTED_VALUE"""),"Jamia Masjid hanifia railway road gawal Mandi Lahore")</f>
        <v>Jamia Masjid hanifia railway road gawal Mandi Lahore</v>
      </c>
      <c r="F403" s="10" t="str">
        <f>IFERROR(__xludf.DUMMYFUNCTION("""COMPUTED_VALUE"""),"wvmxf")</f>
        <v>wvmxf</v>
      </c>
      <c r="G403" s="10" t="str">
        <f>IFERROR(__xludf.DUMMYFUNCTION("""COMPUTED_VALUE"""),"Yes")</f>
        <v>Yes</v>
      </c>
      <c r="H403" s="10">
        <f>IFERROR(__xludf.DUMMYFUNCTION("""COMPUTED_VALUE"""),0.0)</f>
        <v>0</v>
      </c>
      <c r="I403" s="10">
        <f>IFERROR(__xludf.DUMMYFUNCTION("""COMPUTED_VALUE"""),0.0)</f>
        <v>0</v>
      </c>
      <c r="J403" s="10">
        <f>IFERROR(__xludf.DUMMYFUNCTION("""COMPUTED_VALUE"""),3.0)</f>
        <v>3</v>
      </c>
      <c r="K403" s="10">
        <f>IFERROR(__xludf.DUMMYFUNCTION("""COMPUTED_VALUE"""),0.0)</f>
        <v>0</v>
      </c>
      <c r="L403" s="10">
        <f>IFERROR(__xludf.DUMMYFUNCTION("""COMPUTED_VALUE"""),4.0)</f>
        <v>4</v>
      </c>
      <c r="M403" s="10">
        <f>IFERROR(__xludf.DUMMYFUNCTION("""COMPUTED_VALUE"""),0.0)</f>
        <v>0</v>
      </c>
      <c r="N403" s="10">
        <f>IFERROR(__xludf.DUMMYFUNCTION("""COMPUTED_VALUE"""),4.0)</f>
        <v>4</v>
      </c>
      <c r="O403" s="10">
        <f>IFERROR(__xludf.DUMMYFUNCTION("""COMPUTED_VALUE"""),0.0)</f>
        <v>0</v>
      </c>
      <c r="P403" s="10">
        <f>IFERROR(__xludf.DUMMYFUNCTION("""COMPUTED_VALUE"""),3.0)</f>
        <v>3</v>
      </c>
      <c r="Q403" s="10" t="str">
        <f>IFERROR(__xludf.DUMMYFUNCTION("""COMPUTED_VALUE"""),"No")</f>
        <v>No</v>
      </c>
      <c r="R403" s="10" t="str">
        <f>IFERROR(__xludf.DUMMYFUNCTION("""COMPUTED_VALUE"""),"No")</f>
        <v>No</v>
      </c>
      <c r="S403" s="10" t="str">
        <f>IFERROR(__xludf.DUMMYFUNCTION("""COMPUTED_VALUE"""),"No")</f>
        <v>No</v>
      </c>
      <c r="T403" s="10">
        <f>IFERROR(__xludf.DUMMYFUNCTION("""COMPUTED_VALUE"""),0.0)</f>
        <v>0</v>
      </c>
      <c r="U403" s="10">
        <f>IFERROR(__xludf.DUMMYFUNCTION("""COMPUTED_VALUE"""),0.0)</f>
        <v>0</v>
      </c>
      <c r="V403" s="10" t="str">
        <f>IFERROR(__xludf.DUMMYFUNCTION("""COMPUTED_VALUE"""),"رزق حلال کمانا")</f>
        <v>رزق حلال کمانا</v>
      </c>
      <c r="W403" s="10" t="str">
        <f>IFERROR(__xludf.DUMMYFUNCTION("""COMPUTED_VALUE"""),"امام نے  محنت مشقت پر زور دیا ہے اور حقوق اللا کے ساتھ ساتھ بتایا کے مل جل کر رہنا چاہیے اپنے  ملک میں بھائی چارے کی فضا قائم کریں")</f>
        <v>امام نے  محنت مشقت پر زور دیا ہے اور حقوق اللا کے ساتھ ساتھ بتایا کے مل جل کر رہنا چاہیے اپنے  ملک میں بھائی چارے کی فضا قائم کریں</v>
      </c>
      <c r="X403" s="10">
        <f>IFERROR(__xludf.DUMMYFUNCTION("""COMPUTED_VALUE"""),4.0)</f>
        <v>4</v>
      </c>
      <c r="Y403" s="10">
        <f>IFERROR(__xludf.DUMMYFUNCTION("""COMPUTED_VALUE"""),4.0)</f>
        <v>4</v>
      </c>
      <c r="Z403" s="10">
        <f>IFERROR(__xludf.DUMMYFUNCTION("""COMPUTED_VALUE"""),3.0)</f>
        <v>3</v>
      </c>
      <c r="AA403" s="10">
        <f>IFERROR(__xludf.DUMMYFUNCTION("""COMPUTED_VALUE"""),2.0)</f>
        <v>2</v>
      </c>
      <c r="AB403" s="10">
        <f>IFERROR(__xludf.DUMMYFUNCTION("""COMPUTED_VALUE"""),4.0)</f>
        <v>4</v>
      </c>
      <c r="AC403" s="10">
        <f>IFERROR(__xludf.DUMMYFUNCTION("""COMPUTED_VALUE"""),2.0)</f>
        <v>2</v>
      </c>
      <c r="AD403" s="10">
        <f>IFERROR(__xludf.DUMMYFUNCTION("""COMPUTED_VALUE"""),0.0)</f>
        <v>0</v>
      </c>
      <c r="AE403" s="10">
        <f>IFERROR(__xludf.DUMMYFUNCTION("""COMPUTED_VALUE"""),2.0)</f>
        <v>2</v>
      </c>
      <c r="AF403" s="10">
        <f>IFERROR(__xludf.DUMMYFUNCTION("""COMPUTED_VALUE"""),0.0)</f>
        <v>0</v>
      </c>
      <c r="AG403" s="10">
        <f>IFERROR(__xludf.DUMMYFUNCTION("""COMPUTED_VALUE"""),6.0)</f>
        <v>6</v>
      </c>
      <c r="AH403" s="10">
        <f>IFERROR(__xludf.DUMMYFUNCTION("""COMPUTED_VALUE"""),0.0)</f>
        <v>0</v>
      </c>
      <c r="AI403" s="10">
        <f>IFERROR(__xludf.DUMMYFUNCTION("""COMPUTED_VALUE"""),6.0)</f>
        <v>6</v>
      </c>
      <c r="AJ403" s="11" t="str">
        <f>IFERROR(__xludf.DUMMYFUNCTION("""COMPUTED_VALUE"""),"https://drive.google.com/open?id=1Jt7NvwRUl4sGdEC4X3Mb-sJc2E-cZ1hw")</f>
        <v>https://drive.google.com/open?id=1Jt7NvwRUl4sGdEC4X3Mb-sJc2E-cZ1hw</v>
      </c>
      <c r="AK403" s="12"/>
      <c r="AL403" s="12" t="str">
        <f>IFERROR(__xludf.DUMMYFUNCTION("""COMPUTED_VALUE"""),"Yes")</f>
        <v>Yes</v>
      </c>
      <c r="AM403" s="15">
        <f>IFERROR(__xludf.DUMMYFUNCTION("""COMPUTED_VALUE"""),0.2)</f>
        <v>0.2</v>
      </c>
      <c r="AN403" s="12" t="str">
        <f>IFERROR(__xludf.DUMMYFUNCTION("""COMPUTED_VALUE"""),"4th week")</f>
        <v>4th week</v>
      </c>
      <c r="AO403" s="13">
        <v>4.0</v>
      </c>
      <c r="AX403" s="17"/>
    </row>
    <row r="404">
      <c r="B404" s="9">
        <f>IFERROR(__xludf.DUMMYFUNCTION("""COMPUTED_VALUE"""),45858.223288078705)</f>
        <v>45858.22329</v>
      </c>
      <c r="C404" s="10" t="str">
        <f>IFERROR(__xludf.DUMMYFUNCTION("""COMPUTED_VALUE"""),"shahid iqbal")</f>
        <v>shahid iqbal</v>
      </c>
      <c r="D404" s="10" t="str">
        <f>IFERROR(__xludf.DUMMYFUNCTION("""COMPUTED_VALUE"""),"03013665049")</f>
        <v>03013665049</v>
      </c>
      <c r="E404" s="10" t="str">
        <f>IFERROR(__xludf.DUMMYFUNCTION("""COMPUTED_VALUE"""),"Jamia Masjid Main Bazar Khushab")</f>
        <v>Jamia Masjid Main Bazar Khushab</v>
      </c>
      <c r="F404" s="10" t="str">
        <f>IFERROR(__xludf.DUMMYFUNCTION("""COMPUTED_VALUE"""),"OSGNP")</f>
        <v>OSGNP</v>
      </c>
      <c r="G404" s="10" t="str">
        <f>IFERROR(__xludf.DUMMYFUNCTION("""COMPUTED_VALUE"""),"No")</f>
        <v>No</v>
      </c>
      <c r="H404" s="10"/>
      <c r="I404" s="10"/>
      <c r="J404" s="10"/>
      <c r="K404" s="10">
        <f>IFERROR(__xludf.DUMMYFUNCTION("""COMPUTED_VALUE"""),0.0)</f>
        <v>0</v>
      </c>
      <c r="L404" s="10">
        <f>IFERROR(__xludf.DUMMYFUNCTION("""COMPUTED_VALUE"""),0.0)</f>
        <v>0</v>
      </c>
      <c r="M404" s="10">
        <f>IFERROR(__xludf.DUMMYFUNCTION("""COMPUTED_VALUE"""),0.0)</f>
        <v>0</v>
      </c>
      <c r="N404" s="10">
        <f>IFERROR(__xludf.DUMMYFUNCTION("""COMPUTED_VALUE"""),0.0)</f>
        <v>0</v>
      </c>
      <c r="O404" s="10">
        <f>IFERROR(__xludf.DUMMYFUNCTION("""COMPUTED_VALUE"""),0.0)</f>
        <v>0</v>
      </c>
      <c r="P404" s="10">
        <f>IFERROR(__xludf.DUMMYFUNCTION("""COMPUTED_VALUE"""),0.0)</f>
        <v>0</v>
      </c>
      <c r="Q404" s="10" t="str">
        <f>IFERROR(__xludf.DUMMYFUNCTION("""COMPUTED_VALUE"""),"No")</f>
        <v>No</v>
      </c>
      <c r="R404" s="10" t="str">
        <f>IFERROR(__xludf.DUMMYFUNCTION("""COMPUTED_VALUE"""),"No")</f>
        <v>No</v>
      </c>
      <c r="S404" s="10" t="str">
        <f>IFERROR(__xludf.DUMMYFUNCTION("""COMPUTED_VALUE"""),"No")</f>
        <v>No</v>
      </c>
      <c r="T404" s="10">
        <f>IFERROR(__xludf.DUMMYFUNCTION("""COMPUTED_VALUE"""),0.0)</f>
        <v>0</v>
      </c>
      <c r="U404" s="10">
        <f>IFERROR(__xludf.DUMMYFUNCTION("""COMPUTED_VALUE"""),0.0)</f>
        <v>0</v>
      </c>
      <c r="V404" s="10" t="str">
        <f>IFERROR(__xludf.DUMMYFUNCTION("""COMPUTED_VALUE"""),"Allah Ki rehmat")</f>
        <v>Allah Ki rehmat</v>
      </c>
      <c r="W404" s="10" t="str">
        <f>IFERROR(__xludf.DUMMYFUNCTION("""COMPUTED_VALUE"""),"Allah ki rehmat")</f>
        <v>Allah ki rehmat</v>
      </c>
      <c r="X404" s="10">
        <f>IFERROR(__xludf.DUMMYFUNCTION("""COMPUTED_VALUE"""),5.0)</f>
        <v>5</v>
      </c>
      <c r="Y404" s="10">
        <f>IFERROR(__xludf.DUMMYFUNCTION("""COMPUTED_VALUE"""),5.0)</f>
        <v>5</v>
      </c>
      <c r="Z404" s="10">
        <f>IFERROR(__xludf.DUMMYFUNCTION("""COMPUTED_VALUE"""),4.0)</f>
        <v>4</v>
      </c>
      <c r="AA404" s="10">
        <f>IFERROR(__xludf.DUMMYFUNCTION("""COMPUTED_VALUE"""),4.0)</f>
        <v>4</v>
      </c>
      <c r="AB404" s="10">
        <f>IFERROR(__xludf.DUMMYFUNCTION("""COMPUTED_VALUE"""),4.0)</f>
        <v>4</v>
      </c>
      <c r="AC404" s="10">
        <f>IFERROR(__xludf.DUMMYFUNCTION("""COMPUTED_VALUE"""),3.0)</f>
        <v>3</v>
      </c>
      <c r="AD404" s="10">
        <f>IFERROR(__xludf.DUMMYFUNCTION("""COMPUTED_VALUE"""),1.0)</f>
        <v>1</v>
      </c>
      <c r="AE404" s="10">
        <f>IFERROR(__xludf.DUMMYFUNCTION("""COMPUTED_VALUE"""),0.0)</f>
        <v>0</v>
      </c>
      <c r="AF404" s="10">
        <f>IFERROR(__xludf.DUMMYFUNCTION("""COMPUTED_VALUE"""),0.0)</f>
        <v>0</v>
      </c>
      <c r="AG404" s="10">
        <f>IFERROR(__xludf.DUMMYFUNCTION("""COMPUTED_VALUE"""),0.0)</f>
        <v>0</v>
      </c>
      <c r="AH404" s="10">
        <f>IFERROR(__xludf.DUMMYFUNCTION("""COMPUTED_VALUE"""),2.0)</f>
        <v>2</v>
      </c>
      <c r="AI404" s="10">
        <f>IFERROR(__xludf.DUMMYFUNCTION("""COMPUTED_VALUE"""),7.0)</f>
        <v>7</v>
      </c>
      <c r="AJ404" s="11" t="str">
        <f>IFERROR(__xludf.DUMMYFUNCTION("""COMPUTED_VALUE"""),"https://drive.google.com/open?id=1h6UN6M9XMjIF4MHEQFA2sPuKRg7xg0y6")</f>
        <v>https://drive.google.com/open?id=1h6UN6M9XMjIF4MHEQFA2sPuKRg7xg0y6</v>
      </c>
      <c r="AK404" s="12"/>
      <c r="AL404" s="12"/>
      <c r="AM404" s="12"/>
      <c r="AN404" s="12" t="str">
        <f>IFERROR(__xludf.DUMMYFUNCTION("""COMPUTED_VALUE"""),"1st week")</f>
        <v>1st week</v>
      </c>
      <c r="AO404" s="13">
        <v>1.0</v>
      </c>
      <c r="AX404" s="17"/>
    </row>
    <row r="405">
      <c r="B405" s="9">
        <f>IFERROR(__xludf.DUMMYFUNCTION("""COMPUTED_VALUE"""),45858.22627337963)</f>
        <v>45858.22627</v>
      </c>
      <c r="C405" s="10" t="str">
        <f>IFERROR(__xludf.DUMMYFUNCTION("""COMPUTED_VALUE"""),"Shahid Iqbal")</f>
        <v>Shahid Iqbal</v>
      </c>
      <c r="D405" s="10" t="str">
        <f>IFERROR(__xludf.DUMMYFUNCTION("""COMPUTED_VALUE"""),"03013665049")</f>
        <v>03013665049</v>
      </c>
      <c r="E405" s="10" t="str">
        <f>IFERROR(__xludf.DUMMYFUNCTION("""COMPUTED_VALUE"""),"Shahe Masjid Chiniot")</f>
        <v>Shahe Masjid Chiniot</v>
      </c>
      <c r="F405" s="10" t="str">
        <f>IFERROR(__xludf.DUMMYFUNCTION("""COMPUTED_VALUE"""),"LTSEN")</f>
        <v>LTSEN</v>
      </c>
      <c r="G405" s="10" t="str">
        <f>IFERROR(__xludf.DUMMYFUNCTION("""COMPUTED_VALUE"""),"Yes")</f>
        <v>Yes</v>
      </c>
      <c r="H405" s="10">
        <f>IFERROR(__xludf.DUMMYFUNCTION("""COMPUTED_VALUE"""),1.0)</f>
        <v>1</v>
      </c>
      <c r="I405" s="10">
        <f>IFERROR(__xludf.DUMMYFUNCTION("""COMPUTED_VALUE"""),8.0)</f>
        <v>8</v>
      </c>
      <c r="J405" s="10">
        <f>IFERROR(__xludf.DUMMYFUNCTION("""COMPUTED_VALUE"""),2.0)</f>
        <v>2</v>
      </c>
      <c r="K405" s="10">
        <f>IFERROR(__xludf.DUMMYFUNCTION("""COMPUTED_VALUE"""),0.0)</f>
        <v>0</v>
      </c>
      <c r="L405" s="10">
        <f>IFERROR(__xludf.DUMMYFUNCTION("""COMPUTED_VALUE"""),0.0)</f>
        <v>0</v>
      </c>
      <c r="M405" s="10">
        <f>IFERROR(__xludf.DUMMYFUNCTION("""COMPUTED_VALUE"""),0.0)</f>
        <v>0</v>
      </c>
      <c r="N405" s="10">
        <f>IFERROR(__xludf.DUMMYFUNCTION("""COMPUTED_VALUE"""),0.0)</f>
        <v>0</v>
      </c>
      <c r="O405" s="10">
        <f>IFERROR(__xludf.DUMMYFUNCTION("""COMPUTED_VALUE"""),0.0)</f>
        <v>0</v>
      </c>
      <c r="P405" s="10">
        <f>IFERROR(__xludf.DUMMYFUNCTION("""COMPUTED_VALUE"""),0.0)</f>
        <v>0</v>
      </c>
      <c r="Q405" s="10" t="str">
        <f>IFERROR(__xludf.DUMMYFUNCTION("""COMPUTED_VALUE"""),"No")</f>
        <v>No</v>
      </c>
      <c r="R405" s="10" t="str">
        <f>IFERROR(__xludf.DUMMYFUNCTION("""COMPUTED_VALUE"""),"No")</f>
        <v>No</v>
      </c>
      <c r="S405" s="10" t="str">
        <f>IFERROR(__xludf.DUMMYFUNCTION("""COMPUTED_VALUE"""),"No")</f>
        <v>No</v>
      </c>
      <c r="T405" s="10">
        <f>IFERROR(__xludf.DUMMYFUNCTION("""COMPUTED_VALUE"""),0.0)</f>
        <v>0</v>
      </c>
      <c r="U405" s="10">
        <f>IFERROR(__xludf.DUMMYFUNCTION("""COMPUTED_VALUE"""),0.0)</f>
        <v>0</v>
      </c>
      <c r="V405" s="10" t="str">
        <f>IFERROR(__xludf.DUMMYFUNCTION("""COMPUTED_VALUE"""),"Namaz Ka hukam")</f>
        <v>Namaz Ka hukam</v>
      </c>
      <c r="W405" s="10" t="str">
        <f>IFERROR(__xludf.DUMMYFUNCTION("""COMPUTED_VALUE"""),"Namaz Ka hukam")</f>
        <v>Namaz Ka hukam</v>
      </c>
      <c r="X405" s="10">
        <f>IFERROR(__xludf.DUMMYFUNCTION("""COMPUTED_VALUE"""),7.0)</f>
        <v>7</v>
      </c>
      <c r="Y405" s="10">
        <f>IFERROR(__xludf.DUMMYFUNCTION("""COMPUTED_VALUE"""),6.0)</f>
        <v>6</v>
      </c>
      <c r="Z405" s="10">
        <f>IFERROR(__xludf.DUMMYFUNCTION("""COMPUTED_VALUE"""),5.0)</f>
        <v>5</v>
      </c>
      <c r="AA405" s="10">
        <f>IFERROR(__xludf.DUMMYFUNCTION("""COMPUTED_VALUE"""),3.0)</f>
        <v>3</v>
      </c>
      <c r="AB405" s="10">
        <f>IFERROR(__xludf.DUMMYFUNCTION("""COMPUTED_VALUE"""),2.0)</f>
        <v>2</v>
      </c>
      <c r="AC405" s="10">
        <f>IFERROR(__xludf.DUMMYFUNCTION("""COMPUTED_VALUE"""),2.0)</f>
        <v>2</v>
      </c>
      <c r="AD405" s="10">
        <f>IFERROR(__xludf.DUMMYFUNCTION("""COMPUTED_VALUE"""),1.0)</f>
        <v>1</v>
      </c>
      <c r="AE405" s="10">
        <f>IFERROR(__xludf.DUMMYFUNCTION("""COMPUTED_VALUE"""),0.0)</f>
        <v>0</v>
      </c>
      <c r="AF405" s="10">
        <f>IFERROR(__xludf.DUMMYFUNCTION("""COMPUTED_VALUE"""),1.0)</f>
        <v>1</v>
      </c>
      <c r="AG405" s="10">
        <f>IFERROR(__xludf.DUMMYFUNCTION("""COMPUTED_VALUE"""),6.0)</f>
        <v>6</v>
      </c>
      <c r="AH405" s="10">
        <f>IFERROR(__xludf.DUMMYFUNCTION("""COMPUTED_VALUE"""),2.0)</f>
        <v>2</v>
      </c>
      <c r="AI405" s="10">
        <f>IFERROR(__xludf.DUMMYFUNCTION("""COMPUTED_VALUE"""),7.0)</f>
        <v>7</v>
      </c>
      <c r="AJ405" s="11" t="str">
        <f>IFERROR(__xludf.DUMMYFUNCTION("""COMPUTED_VALUE"""),"https://drive.google.com/open?id=1MWCbsyuZiCEi89YD1cvdtBfClz_UtoSG")</f>
        <v>https://drive.google.com/open?id=1MWCbsyuZiCEi89YD1cvdtBfClz_UtoSG</v>
      </c>
      <c r="AK405" s="12"/>
      <c r="AL405" s="12" t="str">
        <f>IFERROR(__xludf.DUMMYFUNCTION("""COMPUTED_VALUE"""),"Yes")</f>
        <v>Yes</v>
      </c>
      <c r="AM405" s="15">
        <f>IFERROR(__xludf.DUMMYFUNCTION("""COMPUTED_VALUE"""),0.2)</f>
        <v>0.2</v>
      </c>
      <c r="AN405" s="12" t="str">
        <f>IFERROR(__xludf.DUMMYFUNCTION("""COMPUTED_VALUE"""),"2nd week")</f>
        <v>2nd week</v>
      </c>
      <c r="AO405" s="13">
        <v>2.0</v>
      </c>
      <c r="AX405" s="17"/>
    </row>
    <row r="406">
      <c r="B406" s="9">
        <f>IFERROR(__xludf.DUMMYFUNCTION("""COMPUTED_VALUE"""),45858.22872054398)</f>
        <v>45858.22872</v>
      </c>
      <c r="C406" s="10" t="str">
        <f>IFERROR(__xludf.DUMMYFUNCTION("""COMPUTED_VALUE"""),"shahid iqbal")</f>
        <v>shahid iqbal</v>
      </c>
      <c r="D406" s="10" t="str">
        <f>IFERROR(__xludf.DUMMYFUNCTION("""COMPUTED_VALUE"""),"03013665049")</f>
        <v>03013665049</v>
      </c>
      <c r="E406" s="10" t="str">
        <f>IFERROR(__xludf.DUMMYFUNCTION("""COMPUTED_VALUE"""),"Jamia Masjid Gulzar Madina Dariya Khan Bhakar")</f>
        <v>Jamia Masjid Gulzar Madina Dariya Khan Bhakar</v>
      </c>
      <c r="F406" s="10" t="str">
        <f>IFERROR(__xludf.DUMMYFUNCTION("""COMPUTED_VALUE"""),"BJNGP")</f>
        <v>BJNGP</v>
      </c>
      <c r="G406" s="10" t="str">
        <f>IFERROR(__xludf.DUMMYFUNCTION("""COMPUTED_VALUE"""),"No")</f>
        <v>No</v>
      </c>
      <c r="H406" s="10"/>
      <c r="I406" s="10"/>
      <c r="J406" s="10"/>
      <c r="K406" s="10">
        <f>IFERROR(__xludf.DUMMYFUNCTION("""COMPUTED_VALUE"""),0.0)</f>
        <v>0</v>
      </c>
      <c r="L406" s="10">
        <f>IFERROR(__xludf.DUMMYFUNCTION("""COMPUTED_VALUE"""),0.0)</f>
        <v>0</v>
      </c>
      <c r="M406" s="10">
        <f>IFERROR(__xludf.DUMMYFUNCTION("""COMPUTED_VALUE"""),0.0)</f>
        <v>0</v>
      </c>
      <c r="N406" s="10">
        <f>IFERROR(__xludf.DUMMYFUNCTION("""COMPUTED_VALUE"""),0.0)</f>
        <v>0</v>
      </c>
      <c r="O406" s="10">
        <f>IFERROR(__xludf.DUMMYFUNCTION("""COMPUTED_VALUE"""),1.0)</f>
        <v>1</v>
      </c>
      <c r="P406" s="10">
        <f>IFERROR(__xludf.DUMMYFUNCTION("""COMPUTED_VALUE"""),0.0)</f>
        <v>0</v>
      </c>
      <c r="Q406" s="10" t="str">
        <f>IFERROR(__xludf.DUMMYFUNCTION("""COMPUTED_VALUE"""),"No")</f>
        <v>No</v>
      </c>
      <c r="R406" s="10" t="str">
        <f>IFERROR(__xludf.DUMMYFUNCTION("""COMPUTED_VALUE"""),"No")</f>
        <v>No</v>
      </c>
      <c r="S406" s="10" t="str">
        <f>IFERROR(__xludf.DUMMYFUNCTION("""COMPUTED_VALUE"""),"No")</f>
        <v>No</v>
      </c>
      <c r="T406" s="10">
        <f>IFERROR(__xludf.DUMMYFUNCTION("""COMPUTED_VALUE"""),0.0)</f>
        <v>0</v>
      </c>
      <c r="U406" s="10">
        <f>IFERROR(__xludf.DUMMYFUNCTION("""COMPUTED_VALUE"""),0.0)</f>
        <v>0</v>
      </c>
      <c r="V406" s="10" t="str">
        <f>IFERROR(__xludf.DUMMYFUNCTION("""COMPUTED_VALUE"""),"afwaj e pakistan aur jihad")</f>
        <v>afwaj e pakistan aur jihad</v>
      </c>
      <c r="W406" s="10" t="str">
        <f>IFERROR(__xludf.DUMMYFUNCTION("""COMPUTED_VALUE"""),"afwaj e pakistan aur jihad")</f>
        <v>afwaj e pakistan aur jihad</v>
      </c>
      <c r="X406" s="10">
        <f>IFERROR(__xludf.DUMMYFUNCTION("""COMPUTED_VALUE"""),5.0)</f>
        <v>5</v>
      </c>
      <c r="Y406" s="10">
        <f>IFERROR(__xludf.DUMMYFUNCTION("""COMPUTED_VALUE"""),7.0)</f>
        <v>7</v>
      </c>
      <c r="Z406" s="10">
        <f>IFERROR(__xludf.DUMMYFUNCTION("""COMPUTED_VALUE"""),7.0)</f>
        <v>7</v>
      </c>
      <c r="AA406" s="10">
        <f>IFERROR(__xludf.DUMMYFUNCTION("""COMPUTED_VALUE"""),6.0)</f>
        <v>6</v>
      </c>
      <c r="AB406" s="10">
        <f>IFERROR(__xludf.DUMMYFUNCTION("""COMPUTED_VALUE"""),7.0)</f>
        <v>7</v>
      </c>
      <c r="AC406" s="10">
        <f>IFERROR(__xludf.DUMMYFUNCTION("""COMPUTED_VALUE"""),6.0)</f>
        <v>6</v>
      </c>
      <c r="AD406" s="10">
        <f>IFERROR(__xludf.DUMMYFUNCTION("""COMPUTED_VALUE"""),6.0)</f>
        <v>6</v>
      </c>
      <c r="AE406" s="10">
        <f>IFERROR(__xludf.DUMMYFUNCTION("""COMPUTED_VALUE"""),6.0)</f>
        <v>6</v>
      </c>
      <c r="AF406" s="10">
        <f>IFERROR(__xludf.DUMMYFUNCTION("""COMPUTED_VALUE"""),2.0)</f>
        <v>2</v>
      </c>
      <c r="AG406" s="10">
        <f>IFERROR(__xludf.DUMMYFUNCTION("""COMPUTED_VALUE"""),6.0)</f>
        <v>6</v>
      </c>
      <c r="AH406" s="10">
        <f>IFERROR(__xludf.DUMMYFUNCTION("""COMPUTED_VALUE"""),2.0)</f>
        <v>2</v>
      </c>
      <c r="AI406" s="10">
        <f>IFERROR(__xludf.DUMMYFUNCTION("""COMPUTED_VALUE"""),8.0)</f>
        <v>8</v>
      </c>
      <c r="AJ406" s="11" t="str">
        <f>IFERROR(__xludf.DUMMYFUNCTION("""COMPUTED_VALUE"""),"https://drive.google.com/open?id=1fzY7Y6dR2e6G8DDeg5Sx30zU5hzS4orw")</f>
        <v>https://drive.google.com/open?id=1fzY7Y6dR2e6G8DDeg5Sx30zU5hzS4orw</v>
      </c>
      <c r="AK406" s="12"/>
      <c r="AL406" s="12"/>
      <c r="AM406" s="12"/>
      <c r="AN406" s="12" t="str">
        <f>IFERROR(__xludf.DUMMYFUNCTION("""COMPUTED_VALUE"""),"1st week")</f>
        <v>1st week</v>
      </c>
      <c r="AO406" s="13">
        <v>1.0</v>
      </c>
      <c r="AX406" s="17"/>
    </row>
    <row r="407">
      <c r="B407" s="9">
        <f>IFERROR(__xludf.DUMMYFUNCTION("""COMPUTED_VALUE"""),45858.23301619213)</f>
        <v>45858.23302</v>
      </c>
      <c r="C407" s="10" t="str">
        <f>IFERROR(__xludf.DUMMYFUNCTION("""COMPUTED_VALUE"""),"Shahid iqbal")</f>
        <v>Shahid iqbal</v>
      </c>
      <c r="D407" s="10" t="str">
        <f>IFERROR(__xludf.DUMMYFUNCTION("""COMPUTED_VALUE"""),"03013665049")</f>
        <v>03013665049</v>
      </c>
      <c r="E407" s="10" t="str">
        <f>IFERROR(__xludf.DUMMYFUNCTION("""COMPUTED_VALUE"""),"Jamia Masjid Ale Sunnat Main Bazar Malakwaal")</f>
        <v>Jamia Masjid Ale Sunnat Main Bazar Malakwaal</v>
      </c>
      <c r="F407" s="10" t="str">
        <f>IFERROR(__xludf.DUMMYFUNCTION("""COMPUTED_VALUE"""),"ZMBIV")</f>
        <v>ZMBIV</v>
      </c>
      <c r="G407" s="10" t="str">
        <f>IFERROR(__xludf.DUMMYFUNCTION("""COMPUTED_VALUE"""),"Yes")</f>
        <v>Yes</v>
      </c>
      <c r="H407" s="10">
        <f>IFERROR(__xludf.DUMMYFUNCTION("""COMPUTED_VALUE"""),0.0)</f>
        <v>0</v>
      </c>
      <c r="I407" s="10">
        <f>IFERROR(__xludf.DUMMYFUNCTION("""COMPUTED_VALUE"""),10.0)</f>
        <v>10</v>
      </c>
      <c r="J407" s="10">
        <f>IFERROR(__xludf.DUMMYFUNCTION("""COMPUTED_VALUE"""),0.0)</f>
        <v>0</v>
      </c>
      <c r="K407" s="10">
        <f>IFERROR(__xludf.DUMMYFUNCTION("""COMPUTED_VALUE"""),0.0)</f>
        <v>0</v>
      </c>
      <c r="L407" s="10">
        <f>IFERROR(__xludf.DUMMYFUNCTION("""COMPUTED_VALUE"""),0.0)</f>
        <v>0</v>
      </c>
      <c r="M407" s="10">
        <f>IFERROR(__xludf.DUMMYFUNCTION("""COMPUTED_VALUE"""),0.0)</f>
        <v>0</v>
      </c>
      <c r="N407" s="10">
        <f>IFERROR(__xludf.DUMMYFUNCTION("""COMPUTED_VALUE"""),0.0)</f>
        <v>0</v>
      </c>
      <c r="O407" s="10">
        <f>IFERROR(__xludf.DUMMYFUNCTION("""COMPUTED_VALUE"""),0.0)</f>
        <v>0</v>
      </c>
      <c r="P407" s="10">
        <f>IFERROR(__xludf.DUMMYFUNCTION("""COMPUTED_VALUE"""),0.0)</f>
        <v>0</v>
      </c>
      <c r="Q407" s="10" t="str">
        <f>IFERROR(__xludf.DUMMYFUNCTION("""COMPUTED_VALUE"""),"No")</f>
        <v>No</v>
      </c>
      <c r="R407" s="10" t="str">
        <f>IFERROR(__xludf.DUMMYFUNCTION("""COMPUTED_VALUE"""),"No")</f>
        <v>No</v>
      </c>
      <c r="S407" s="10" t="str">
        <f>IFERROR(__xludf.DUMMYFUNCTION("""COMPUTED_VALUE"""),"No")</f>
        <v>No</v>
      </c>
      <c r="T407" s="10">
        <f>IFERROR(__xludf.DUMMYFUNCTION("""COMPUTED_VALUE"""),0.0)</f>
        <v>0</v>
      </c>
      <c r="U407" s="10">
        <f>IFERROR(__xludf.DUMMYFUNCTION("""COMPUTED_VALUE"""),0.0)</f>
        <v>0</v>
      </c>
      <c r="V407" s="10" t="str">
        <f>IFERROR(__xludf.DUMMYFUNCTION("""COMPUTED_VALUE"""),"nabi saw ki zindagi")</f>
        <v>nabi saw ki zindagi</v>
      </c>
      <c r="W407" s="10" t="str">
        <f>IFERROR(__xludf.DUMMYFUNCTION("""COMPUTED_VALUE"""),"nabi saw ki zindagi")</f>
        <v>nabi saw ki zindagi</v>
      </c>
      <c r="X407" s="10">
        <f>IFERROR(__xludf.DUMMYFUNCTION("""COMPUTED_VALUE"""),6.0)</f>
        <v>6</v>
      </c>
      <c r="Y407" s="10">
        <f>IFERROR(__xludf.DUMMYFUNCTION("""COMPUTED_VALUE"""),7.0)</f>
        <v>7</v>
      </c>
      <c r="Z407" s="10">
        <f>IFERROR(__xludf.DUMMYFUNCTION("""COMPUTED_VALUE"""),4.0)</f>
        <v>4</v>
      </c>
      <c r="AA407" s="10">
        <f>IFERROR(__xludf.DUMMYFUNCTION("""COMPUTED_VALUE"""),2.0)</f>
        <v>2</v>
      </c>
      <c r="AB407" s="10">
        <f>IFERROR(__xludf.DUMMYFUNCTION("""COMPUTED_VALUE"""),0.0)</f>
        <v>0</v>
      </c>
      <c r="AC407" s="10">
        <f>IFERROR(__xludf.DUMMYFUNCTION("""COMPUTED_VALUE"""),0.0)</f>
        <v>0</v>
      </c>
      <c r="AD407" s="10">
        <f>IFERROR(__xludf.DUMMYFUNCTION("""COMPUTED_VALUE"""),0.0)</f>
        <v>0</v>
      </c>
      <c r="AE407" s="10">
        <f>IFERROR(__xludf.DUMMYFUNCTION("""COMPUTED_VALUE"""),0.0)</f>
        <v>0</v>
      </c>
      <c r="AF407" s="10">
        <f>IFERROR(__xludf.DUMMYFUNCTION("""COMPUTED_VALUE"""),0.0)</f>
        <v>0</v>
      </c>
      <c r="AG407" s="10">
        <f>IFERROR(__xludf.DUMMYFUNCTION("""COMPUTED_VALUE"""),8.0)</f>
        <v>8</v>
      </c>
      <c r="AH407" s="10">
        <f>IFERROR(__xludf.DUMMYFUNCTION("""COMPUTED_VALUE"""),0.0)</f>
        <v>0</v>
      </c>
      <c r="AI407" s="10">
        <f>IFERROR(__xludf.DUMMYFUNCTION("""COMPUTED_VALUE"""),7.0)</f>
        <v>7</v>
      </c>
      <c r="AJ407" s="11" t="str">
        <f>IFERROR(__xludf.DUMMYFUNCTION("""COMPUTED_VALUE"""),"https://drive.google.com/open?id=1xWDkPuPSe-FmFJvCcyvQC3QauT1Yv4-2")</f>
        <v>https://drive.google.com/open?id=1xWDkPuPSe-FmFJvCcyvQC3QauT1Yv4-2</v>
      </c>
      <c r="AK407" s="12"/>
      <c r="AL407" s="12" t="str">
        <f>IFERROR(__xludf.DUMMYFUNCTION("""COMPUTED_VALUE"""),"Yes")</f>
        <v>Yes</v>
      </c>
      <c r="AM407" s="15">
        <f>IFERROR(__xludf.DUMMYFUNCTION("""COMPUTED_VALUE"""),0.0)</f>
        <v>0</v>
      </c>
      <c r="AN407" s="12" t="str">
        <f>IFERROR(__xludf.DUMMYFUNCTION("""COMPUTED_VALUE"""),"2nd week")</f>
        <v>2nd week</v>
      </c>
      <c r="AO407" s="13">
        <v>2.0</v>
      </c>
      <c r="AX407" s="17"/>
    </row>
    <row r="408">
      <c r="B408" s="9">
        <f>IFERROR(__xludf.DUMMYFUNCTION("""COMPUTED_VALUE"""),45859.10157861111)</f>
        <v>45859.10158</v>
      </c>
      <c r="C408" s="10" t="str">
        <f>IFERROR(__xludf.DUMMYFUNCTION("""COMPUTED_VALUE"""),"shahid Iqbal")</f>
        <v>shahid Iqbal</v>
      </c>
      <c r="D408" s="10" t="str">
        <f>IFERROR(__xludf.DUMMYFUNCTION("""COMPUTED_VALUE"""),"03013665049")</f>
        <v>03013665049</v>
      </c>
      <c r="E408" s="10" t="str">
        <f>IFERROR(__xludf.DUMMYFUNCTION("""COMPUTED_VALUE"""),"Jamia Masjid Sakhi Suleman Noori Hazuri")</f>
        <v>Jamia Masjid Sakhi Suleman Noori Hazuri</v>
      </c>
      <c r="F408" s="10" t="str">
        <f>IFERROR(__xludf.DUMMYFUNCTION("""COMPUTED_VALUE"""),"WWWQH")</f>
        <v>WWWQH</v>
      </c>
      <c r="G408" s="10" t="str">
        <f>IFERROR(__xludf.DUMMYFUNCTION("""COMPUTED_VALUE"""),"No")</f>
        <v>No</v>
      </c>
      <c r="H408" s="10"/>
      <c r="I408" s="10"/>
      <c r="J408" s="10"/>
      <c r="K408" s="10">
        <f>IFERROR(__xludf.DUMMYFUNCTION("""COMPUTED_VALUE"""),0.0)</f>
        <v>0</v>
      </c>
      <c r="L408" s="10">
        <f>IFERROR(__xludf.DUMMYFUNCTION("""COMPUTED_VALUE"""),0.0)</f>
        <v>0</v>
      </c>
      <c r="M408" s="10">
        <f>IFERROR(__xludf.DUMMYFUNCTION("""COMPUTED_VALUE"""),0.0)</f>
        <v>0</v>
      </c>
      <c r="N408" s="10">
        <f>IFERROR(__xludf.DUMMYFUNCTION("""COMPUTED_VALUE"""),0.0)</f>
        <v>0</v>
      </c>
      <c r="O408" s="10">
        <f>IFERROR(__xludf.DUMMYFUNCTION("""COMPUTED_VALUE"""),0.0)</f>
        <v>0</v>
      </c>
      <c r="P408" s="10">
        <f>IFERROR(__xludf.DUMMYFUNCTION("""COMPUTED_VALUE"""),0.0)</f>
        <v>0</v>
      </c>
      <c r="Q408" s="10" t="str">
        <f>IFERROR(__xludf.DUMMYFUNCTION("""COMPUTED_VALUE"""),"No")</f>
        <v>No</v>
      </c>
      <c r="R408" s="10" t="str">
        <f>IFERROR(__xludf.DUMMYFUNCTION("""COMPUTED_VALUE"""),"No")</f>
        <v>No</v>
      </c>
      <c r="S408" s="10" t="str">
        <f>IFERROR(__xludf.DUMMYFUNCTION("""COMPUTED_VALUE"""),"No")</f>
        <v>No</v>
      </c>
      <c r="T408" s="10">
        <f>IFERROR(__xludf.DUMMYFUNCTION("""COMPUTED_VALUE"""),0.0)</f>
        <v>0</v>
      </c>
      <c r="U408" s="10">
        <f>IFERROR(__xludf.DUMMYFUNCTION("""COMPUTED_VALUE"""),0.0)</f>
        <v>0</v>
      </c>
      <c r="V408" s="10" t="str">
        <f>IFERROR(__xludf.DUMMYFUNCTION("""COMPUTED_VALUE"""),"Tauheed aur risaalat")</f>
        <v>Tauheed aur risaalat</v>
      </c>
      <c r="W408" s="10" t="str">
        <f>IFERROR(__xludf.DUMMYFUNCTION("""COMPUTED_VALUE"""),"
Tauheed aur risaalat")</f>
        <v>
Tauheed aur risaalat</v>
      </c>
      <c r="X408" s="10">
        <f>IFERROR(__xludf.DUMMYFUNCTION("""COMPUTED_VALUE"""),6.0)</f>
        <v>6</v>
      </c>
      <c r="Y408" s="10">
        <f>IFERROR(__xludf.DUMMYFUNCTION("""COMPUTED_VALUE"""),6.0)</f>
        <v>6</v>
      </c>
      <c r="Z408" s="10">
        <f>IFERROR(__xludf.DUMMYFUNCTION("""COMPUTED_VALUE"""),6.0)</f>
        <v>6</v>
      </c>
      <c r="AA408" s="10">
        <f>IFERROR(__xludf.DUMMYFUNCTION("""COMPUTED_VALUE"""),5.0)</f>
        <v>5</v>
      </c>
      <c r="AB408" s="10">
        <f>IFERROR(__xludf.DUMMYFUNCTION("""COMPUTED_VALUE"""),3.0)</f>
        <v>3</v>
      </c>
      <c r="AC408" s="10">
        <f>IFERROR(__xludf.DUMMYFUNCTION("""COMPUTED_VALUE"""),1.0)</f>
        <v>1</v>
      </c>
      <c r="AD408" s="10">
        <f>IFERROR(__xludf.DUMMYFUNCTION("""COMPUTED_VALUE"""),3.0)</f>
        <v>3</v>
      </c>
      <c r="AE408" s="10">
        <f>IFERROR(__xludf.DUMMYFUNCTION("""COMPUTED_VALUE"""),0.0)</f>
        <v>0</v>
      </c>
      <c r="AF408" s="10">
        <f>IFERROR(__xludf.DUMMYFUNCTION("""COMPUTED_VALUE"""),0.0)</f>
        <v>0</v>
      </c>
      <c r="AG408" s="10">
        <f>IFERROR(__xludf.DUMMYFUNCTION("""COMPUTED_VALUE"""),7.0)</f>
        <v>7</v>
      </c>
      <c r="AH408" s="10">
        <f>IFERROR(__xludf.DUMMYFUNCTION("""COMPUTED_VALUE"""),0.0)</f>
        <v>0</v>
      </c>
      <c r="AI408" s="10">
        <f>IFERROR(__xludf.DUMMYFUNCTION("""COMPUTED_VALUE"""),6.0)</f>
        <v>6</v>
      </c>
      <c r="AJ408" s="11" t="str">
        <f>IFERROR(__xludf.DUMMYFUNCTION("""COMPUTED_VALUE"""),"https://drive.google.com/open?id=1gTPXuXjjvNSMJGOOWUnIv8ID7FcvG9K6")</f>
        <v>https://drive.google.com/open?id=1gTPXuXjjvNSMJGOOWUnIv8ID7FcvG9K6</v>
      </c>
      <c r="AK408" s="12"/>
      <c r="AL408" s="12"/>
      <c r="AM408" s="12"/>
      <c r="AN408" s="12" t="str">
        <f>IFERROR(__xludf.DUMMYFUNCTION("""COMPUTED_VALUE"""),"1st week")</f>
        <v>1st week</v>
      </c>
      <c r="AO408" s="13">
        <v>1.0</v>
      </c>
      <c r="AX408" s="17"/>
    </row>
    <row r="409">
      <c r="B409" s="9">
        <f>IFERROR(__xludf.DUMMYFUNCTION("""COMPUTED_VALUE"""),45859.15125956018)</f>
        <v>45859.15126</v>
      </c>
      <c r="C409" s="10" t="str">
        <f>IFERROR(__xludf.DUMMYFUNCTION("""COMPUTED_VALUE"""),"Shahid Iqbal")</f>
        <v>Shahid Iqbal</v>
      </c>
      <c r="D409" s="10" t="str">
        <f>IFERROR(__xludf.DUMMYFUNCTION("""COMPUTED_VALUE"""),"03013665049")</f>
        <v>03013665049</v>
      </c>
      <c r="E409" s="10" t="str">
        <f>IFERROR(__xludf.DUMMYFUNCTION("""COMPUTED_VALUE"""),"Jamia Masjid Syed Noor Pur Thal")</f>
        <v>Jamia Masjid Syed Noor Pur Thal</v>
      </c>
      <c r="F409" s="10" t="str">
        <f>IFERROR(__xludf.DUMMYFUNCTION("""COMPUTED_VALUE"""),"JIUKS")</f>
        <v>JIUKS</v>
      </c>
      <c r="G409" s="10" t="str">
        <f>IFERROR(__xludf.DUMMYFUNCTION("""COMPUTED_VALUE"""),"No")</f>
        <v>No</v>
      </c>
      <c r="H409" s="10"/>
      <c r="I409" s="10"/>
      <c r="J409" s="10"/>
      <c r="K409" s="10">
        <f>IFERROR(__xludf.DUMMYFUNCTION("""COMPUTED_VALUE"""),0.0)</f>
        <v>0</v>
      </c>
      <c r="L409" s="10">
        <f>IFERROR(__xludf.DUMMYFUNCTION("""COMPUTED_VALUE"""),0.0)</f>
        <v>0</v>
      </c>
      <c r="M409" s="10">
        <f>IFERROR(__xludf.DUMMYFUNCTION("""COMPUTED_VALUE"""),0.0)</f>
        <v>0</v>
      </c>
      <c r="N409" s="10">
        <f>IFERROR(__xludf.DUMMYFUNCTION("""COMPUTED_VALUE"""),0.0)</f>
        <v>0</v>
      </c>
      <c r="O409" s="10">
        <f>IFERROR(__xludf.DUMMYFUNCTION("""COMPUTED_VALUE"""),0.0)</f>
        <v>0</v>
      </c>
      <c r="P409" s="10">
        <f>IFERROR(__xludf.DUMMYFUNCTION("""COMPUTED_VALUE"""),0.0)</f>
        <v>0</v>
      </c>
      <c r="Q409" s="10" t="str">
        <f>IFERROR(__xludf.DUMMYFUNCTION("""COMPUTED_VALUE"""),"No")</f>
        <v>No</v>
      </c>
      <c r="R409" s="10" t="str">
        <f>IFERROR(__xludf.DUMMYFUNCTION("""COMPUTED_VALUE"""),"No")</f>
        <v>No</v>
      </c>
      <c r="S409" s="10" t="str">
        <f>IFERROR(__xludf.DUMMYFUNCTION("""COMPUTED_VALUE"""),"No")</f>
        <v>No</v>
      </c>
      <c r="T409" s="10">
        <f>IFERROR(__xludf.DUMMYFUNCTION("""COMPUTED_VALUE"""),0.0)</f>
        <v>0</v>
      </c>
      <c r="U409" s="10">
        <f>IFERROR(__xludf.DUMMYFUNCTION("""COMPUTED_VALUE"""),0.0)</f>
        <v>0</v>
      </c>
      <c r="V409" s="10" t="str">
        <f>IFERROR(__xludf.DUMMYFUNCTION("""COMPUTED_VALUE"""),"Rizq e Hilal")</f>
        <v>Rizq e Hilal</v>
      </c>
      <c r="W409" s="10" t="str">
        <f>IFERROR(__xludf.DUMMYFUNCTION("""COMPUTED_VALUE"""),"Rizq e Hilal")</f>
        <v>Rizq e Hilal</v>
      </c>
      <c r="X409" s="10">
        <f>IFERROR(__xludf.DUMMYFUNCTION("""COMPUTED_VALUE"""),7.0)</f>
        <v>7</v>
      </c>
      <c r="Y409" s="10">
        <f>IFERROR(__xludf.DUMMYFUNCTION("""COMPUTED_VALUE"""),6.0)</f>
        <v>6</v>
      </c>
      <c r="Z409" s="10">
        <f>IFERROR(__xludf.DUMMYFUNCTION("""COMPUTED_VALUE"""),6.0)</f>
        <v>6</v>
      </c>
      <c r="AA409" s="10">
        <f>IFERROR(__xludf.DUMMYFUNCTION("""COMPUTED_VALUE"""),6.0)</f>
        <v>6</v>
      </c>
      <c r="AB409" s="10">
        <f>IFERROR(__xludf.DUMMYFUNCTION("""COMPUTED_VALUE"""),5.0)</f>
        <v>5</v>
      </c>
      <c r="AC409" s="10">
        <f>IFERROR(__xludf.DUMMYFUNCTION("""COMPUTED_VALUE"""),5.0)</f>
        <v>5</v>
      </c>
      <c r="AD409" s="10">
        <f>IFERROR(__xludf.DUMMYFUNCTION("""COMPUTED_VALUE"""),4.0)</f>
        <v>4</v>
      </c>
      <c r="AE409" s="10">
        <f>IFERROR(__xludf.DUMMYFUNCTION("""COMPUTED_VALUE"""),4.0)</f>
        <v>4</v>
      </c>
      <c r="AF409" s="10">
        <f>IFERROR(__xludf.DUMMYFUNCTION("""COMPUTED_VALUE"""),2.0)</f>
        <v>2</v>
      </c>
      <c r="AG409" s="10">
        <f>IFERROR(__xludf.DUMMYFUNCTION("""COMPUTED_VALUE"""),10.0)</f>
        <v>10</v>
      </c>
      <c r="AH409" s="10">
        <f>IFERROR(__xludf.DUMMYFUNCTION("""COMPUTED_VALUE"""),0.0)</f>
        <v>0</v>
      </c>
      <c r="AI409" s="10">
        <f>IFERROR(__xludf.DUMMYFUNCTION("""COMPUTED_VALUE"""),9.0)</f>
        <v>9</v>
      </c>
      <c r="AJ409" s="11" t="str">
        <f>IFERROR(__xludf.DUMMYFUNCTION("""COMPUTED_VALUE"""),"https://drive.google.com/open?id=1DP-DOU1atk3VAWJ0ry7rq9xgMlIvf_Th")</f>
        <v>https://drive.google.com/open?id=1DP-DOU1atk3VAWJ0ry7rq9xgMlIvf_Th</v>
      </c>
      <c r="AK409" s="12"/>
      <c r="AL409" s="12"/>
      <c r="AM409" s="12"/>
      <c r="AN409" s="12" t="str">
        <f>IFERROR(__xludf.DUMMYFUNCTION("""COMPUTED_VALUE"""),"1st week")</f>
        <v>1st week</v>
      </c>
      <c r="AO409" s="13">
        <v>1.0</v>
      </c>
      <c r="AX409" s="17"/>
    </row>
    <row r="410">
      <c r="B410" s="9">
        <f>IFERROR(__xludf.DUMMYFUNCTION("""COMPUTED_VALUE"""),45859.17719837963)</f>
        <v>45859.1772</v>
      </c>
      <c r="C410" s="10" t="str">
        <f>IFERROR(__xludf.DUMMYFUNCTION("""COMPUTED_VALUE"""),"maham ")</f>
        <v>maham </v>
      </c>
      <c r="D410" s="10" t="str">
        <f>IFERROR(__xludf.DUMMYFUNCTION("""COMPUTED_VALUE"""),"03218118680")</f>
        <v>03218118680</v>
      </c>
      <c r="E410" s="10" t="str">
        <f>IFERROR(__xludf.DUMMYFUNCTION("""COMPUTED_VALUE"""),"jamia Masjid chakwali darwaza bhera")</f>
        <v>jamia Masjid chakwali darwaza bhera</v>
      </c>
      <c r="F410" s="10" t="str">
        <f>IFERROR(__xludf.DUMMYFUNCTION("""COMPUTED_VALUE"""),"VYRME")</f>
        <v>VYRME</v>
      </c>
      <c r="G410" s="10" t="str">
        <f>IFERROR(__xludf.DUMMYFUNCTION("""COMPUTED_VALUE"""),"Yes")</f>
        <v>Yes</v>
      </c>
      <c r="H410" s="10">
        <f>IFERROR(__xludf.DUMMYFUNCTION("""COMPUTED_VALUE"""),0.0)</f>
        <v>0</v>
      </c>
      <c r="I410" s="10">
        <f>IFERROR(__xludf.DUMMYFUNCTION("""COMPUTED_VALUE"""),10.0)</f>
        <v>10</v>
      </c>
      <c r="J410" s="10">
        <f>IFERROR(__xludf.DUMMYFUNCTION("""COMPUTED_VALUE"""),0.0)</f>
        <v>0</v>
      </c>
      <c r="K410" s="10">
        <f>IFERROR(__xludf.DUMMYFUNCTION("""COMPUTED_VALUE"""),0.0)</f>
        <v>0</v>
      </c>
      <c r="L410" s="10">
        <f>IFERROR(__xludf.DUMMYFUNCTION("""COMPUTED_VALUE"""),0.0)</f>
        <v>0</v>
      </c>
      <c r="M410" s="10">
        <f>IFERROR(__xludf.DUMMYFUNCTION("""COMPUTED_VALUE"""),0.0)</f>
        <v>0</v>
      </c>
      <c r="N410" s="10">
        <f>IFERROR(__xludf.DUMMYFUNCTION("""COMPUTED_VALUE"""),0.0)</f>
        <v>0</v>
      </c>
      <c r="O410" s="10">
        <f>IFERROR(__xludf.DUMMYFUNCTION("""COMPUTED_VALUE"""),0.0)</f>
        <v>0</v>
      </c>
      <c r="P410" s="10">
        <f>IFERROR(__xludf.DUMMYFUNCTION("""COMPUTED_VALUE"""),0.0)</f>
        <v>0</v>
      </c>
      <c r="Q410" s="10" t="str">
        <f>IFERROR(__xludf.DUMMYFUNCTION("""COMPUTED_VALUE"""),"No")</f>
        <v>No</v>
      </c>
      <c r="R410" s="10" t="str">
        <f>IFERROR(__xludf.DUMMYFUNCTION("""COMPUTED_VALUE"""),"No")</f>
        <v>No</v>
      </c>
      <c r="S410" s="10" t="str">
        <f>IFERROR(__xludf.DUMMYFUNCTION("""COMPUTED_VALUE"""),"No")</f>
        <v>No</v>
      </c>
      <c r="T410" s="10">
        <f>IFERROR(__xludf.DUMMYFUNCTION("""COMPUTED_VALUE"""),0.0)</f>
        <v>0</v>
      </c>
      <c r="U410" s="10">
        <f>IFERROR(__xludf.DUMMYFUNCTION("""COMPUTED_VALUE"""),0.0)</f>
        <v>0</v>
      </c>
      <c r="V410" s="10" t="str">
        <f>IFERROR(__xludf.DUMMYFUNCTION("""COMPUTED_VALUE"""),"islami mahino ki ahmiyat aur haj ki ahmiyat aur paigambar Islam ke bare mein")</f>
        <v>islami mahino ki ahmiyat aur haj ki ahmiyat aur paigambar Islam ke bare mein</v>
      </c>
      <c r="W410" s="10" t="str">
        <f>IFERROR(__xludf.DUMMYFUNCTION("""COMPUTED_VALUE"""),"islami mahino sawal ke mahine ki ahmiyat aur haj ki ahmiyat ko bayan Kiya Gaya aur Allah tala ki ibadat ki fazilat ko byan Kiya Gaya aur paigambar Islam ke bare mein bataya Gaya")</f>
        <v>islami mahino sawal ke mahine ki ahmiyat aur haj ki ahmiyat ko bayan Kiya Gaya aur Allah tala ki ibadat ki fazilat ko byan Kiya Gaya aur paigambar Islam ke bare mein bataya Gaya</v>
      </c>
      <c r="X410" s="10">
        <f>IFERROR(__xludf.DUMMYFUNCTION("""COMPUTED_VALUE"""),8.0)</f>
        <v>8</v>
      </c>
      <c r="Y410" s="10">
        <f>IFERROR(__xludf.DUMMYFUNCTION("""COMPUTED_VALUE"""),2.0)</f>
        <v>2</v>
      </c>
      <c r="Z410" s="10">
        <f>IFERROR(__xludf.DUMMYFUNCTION("""COMPUTED_VALUE"""),0.0)</f>
        <v>0</v>
      </c>
      <c r="AA410" s="10">
        <f>IFERROR(__xludf.DUMMYFUNCTION("""COMPUTED_VALUE"""),10.0)</f>
        <v>10</v>
      </c>
      <c r="AB410" s="10">
        <f>IFERROR(__xludf.DUMMYFUNCTION("""COMPUTED_VALUE"""),0.0)</f>
        <v>0</v>
      </c>
      <c r="AC410" s="10">
        <f>IFERROR(__xludf.DUMMYFUNCTION("""COMPUTED_VALUE"""),0.0)</f>
        <v>0</v>
      </c>
      <c r="AD410" s="10">
        <f>IFERROR(__xludf.DUMMYFUNCTION("""COMPUTED_VALUE"""),0.0)</f>
        <v>0</v>
      </c>
      <c r="AE410" s="10">
        <f>IFERROR(__xludf.DUMMYFUNCTION("""COMPUTED_VALUE"""),0.0)</f>
        <v>0</v>
      </c>
      <c r="AF410" s="10">
        <f>IFERROR(__xludf.DUMMYFUNCTION("""COMPUTED_VALUE"""),9.0)</f>
        <v>9</v>
      </c>
      <c r="AG410" s="10">
        <f>IFERROR(__xludf.DUMMYFUNCTION("""COMPUTED_VALUE"""),9.0)</f>
        <v>9</v>
      </c>
      <c r="AH410" s="10">
        <f>IFERROR(__xludf.DUMMYFUNCTION("""COMPUTED_VALUE"""),0.0)</f>
        <v>0</v>
      </c>
      <c r="AI410" s="10">
        <f>IFERROR(__xludf.DUMMYFUNCTION("""COMPUTED_VALUE"""),9.0)</f>
        <v>9</v>
      </c>
      <c r="AJ410" s="11" t="str">
        <f>IFERROR(__xludf.DUMMYFUNCTION("""COMPUTED_VALUE"""),"https://drive.google.com/open?id=1mtNqNVKg_Ke-Tk_dFRfHrOWpqfD4FBZ4")</f>
        <v>https://drive.google.com/open?id=1mtNqNVKg_Ke-Tk_dFRfHrOWpqfD4FBZ4</v>
      </c>
      <c r="AK410" s="12">
        <f>IFERROR(__xludf.DUMMYFUNCTION("""COMPUTED_VALUE"""),0.0)</f>
        <v>0</v>
      </c>
      <c r="AL410" s="12" t="str">
        <f>IFERROR(__xludf.DUMMYFUNCTION("""COMPUTED_VALUE"""),"Yes")</f>
        <v>Yes</v>
      </c>
      <c r="AM410" s="15">
        <f>IFERROR(__xludf.DUMMYFUNCTION("""COMPUTED_VALUE"""),0.0)</f>
        <v>0</v>
      </c>
      <c r="AN410" s="12" t="str">
        <f>IFERROR(__xludf.DUMMYFUNCTION("""COMPUTED_VALUE"""),"1st week")</f>
        <v>1st week</v>
      </c>
      <c r="AO410" s="13">
        <v>1.0</v>
      </c>
      <c r="AX410" s="17"/>
    </row>
    <row r="411">
      <c r="B411" s="9">
        <f>IFERROR(__xludf.DUMMYFUNCTION("""COMPUTED_VALUE"""),45859.37140046296)</f>
        <v>45859.3714</v>
      </c>
      <c r="C411" s="10" t="str">
        <f>IFERROR(__xludf.DUMMYFUNCTION("""COMPUTED_VALUE"""),"maham")</f>
        <v>maham</v>
      </c>
      <c r="D411" s="10" t="str">
        <f>IFERROR(__xludf.DUMMYFUNCTION("""COMPUTED_VALUE"""),"03218118680")</f>
        <v>03218118680</v>
      </c>
      <c r="E411" s="10" t="str">
        <f>IFERROR(__xludf.DUMMYFUNCTION("""COMPUTED_VALUE"""),"jamia Masjid syed noor pur thal")</f>
        <v>jamia Masjid syed noor pur thal</v>
      </c>
      <c r="F411" s="10" t="str">
        <f>IFERROR(__xludf.DUMMYFUNCTION("""COMPUTED_VALUE"""),"JIUKS")</f>
        <v>JIUKS</v>
      </c>
      <c r="G411" s="10" t="str">
        <f>IFERROR(__xludf.DUMMYFUNCTION("""COMPUTED_VALUE"""),"Yes")</f>
        <v>Yes</v>
      </c>
      <c r="H411" s="10">
        <f>IFERROR(__xludf.DUMMYFUNCTION("""COMPUTED_VALUE"""),0.0)</f>
        <v>0</v>
      </c>
      <c r="I411" s="10">
        <f>IFERROR(__xludf.DUMMYFUNCTION("""COMPUTED_VALUE"""),10.0)</f>
        <v>10</v>
      </c>
      <c r="J411" s="10">
        <f>IFERROR(__xludf.DUMMYFUNCTION("""COMPUTED_VALUE"""),0.0)</f>
        <v>0</v>
      </c>
      <c r="K411" s="10">
        <f>IFERROR(__xludf.DUMMYFUNCTION("""COMPUTED_VALUE"""),0.0)</f>
        <v>0</v>
      </c>
      <c r="L411" s="10">
        <f>IFERROR(__xludf.DUMMYFUNCTION("""COMPUTED_VALUE"""),0.0)</f>
        <v>0</v>
      </c>
      <c r="M411" s="10">
        <f>IFERROR(__xludf.DUMMYFUNCTION("""COMPUTED_VALUE"""),0.0)</f>
        <v>0</v>
      </c>
      <c r="N411" s="10">
        <f>IFERROR(__xludf.DUMMYFUNCTION("""COMPUTED_VALUE"""),0.0)</f>
        <v>0</v>
      </c>
      <c r="O411" s="10">
        <f>IFERROR(__xludf.DUMMYFUNCTION("""COMPUTED_VALUE"""),0.0)</f>
        <v>0</v>
      </c>
      <c r="P411" s="10">
        <f>IFERROR(__xludf.DUMMYFUNCTION("""COMPUTED_VALUE"""),0.0)</f>
        <v>0</v>
      </c>
      <c r="Q411" s="10" t="str">
        <f>IFERROR(__xludf.DUMMYFUNCTION("""COMPUTED_VALUE"""),"No")</f>
        <v>No</v>
      </c>
      <c r="R411" s="10" t="str">
        <f>IFERROR(__xludf.DUMMYFUNCTION("""COMPUTED_VALUE"""),"No")</f>
        <v>No</v>
      </c>
      <c r="S411" s="10" t="str">
        <f>IFERROR(__xludf.DUMMYFUNCTION("""COMPUTED_VALUE"""),"No")</f>
        <v>No</v>
      </c>
      <c r="T411" s="10">
        <f>IFERROR(__xludf.DUMMYFUNCTION("""COMPUTED_VALUE"""),0.0)</f>
        <v>0</v>
      </c>
      <c r="U411" s="10">
        <f>IFERROR(__xludf.DUMMYFUNCTION("""COMPUTED_VALUE"""),0.0)</f>
        <v>0</v>
      </c>
      <c r="V411" s="10" t="str">
        <f>IFERROR(__xludf.DUMMYFUNCTION("""COMPUTED_VALUE"""),"Allah tala ki Wadahniyat aur anbiya ka zahoor ")</f>
        <v>Allah tala ki Wadahniyat aur anbiya ka zahoor </v>
      </c>
      <c r="W411" s="10" t="str">
        <f>IFERROR(__xludf.DUMMYFUNCTION("""COMPUTED_VALUE"""),"Allah tala ki wahdaniyat anbiya karam ky kamalat unki parvi  Allah talah ki trf ane ki dawat or khana khaba ki tameer ka zikar kiya gya")</f>
        <v>Allah tala ki wahdaniyat anbiya karam ky kamalat unki parvi  Allah talah ki trf ane ki dawat or khana khaba ki tameer ka zikar kiya gya</v>
      </c>
      <c r="X411" s="10">
        <f>IFERROR(__xludf.DUMMYFUNCTION("""COMPUTED_VALUE"""),2.0)</f>
        <v>2</v>
      </c>
      <c r="Y411" s="10">
        <f>IFERROR(__xludf.DUMMYFUNCTION("""COMPUTED_VALUE"""),0.0)</f>
        <v>0</v>
      </c>
      <c r="Z411" s="10">
        <f>IFERROR(__xludf.DUMMYFUNCTION("""COMPUTED_VALUE"""),0.0)</f>
        <v>0</v>
      </c>
      <c r="AA411" s="10">
        <f>IFERROR(__xludf.DUMMYFUNCTION("""COMPUTED_VALUE"""),10.0)</f>
        <v>10</v>
      </c>
      <c r="AB411" s="10">
        <f>IFERROR(__xludf.DUMMYFUNCTION("""COMPUTED_VALUE"""),0.0)</f>
        <v>0</v>
      </c>
      <c r="AC411" s="10">
        <f>IFERROR(__xludf.DUMMYFUNCTION("""COMPUTED_VALUE"""),0.0)</f>
        <v>0</v>
      </c>
      <c r="AD411" s="10">
        <f>IFERROR(__xludf.DUMMYFUNCTION("""COMPUTED_VALUE"""),0.0)</f>
        <v>0</v>
      </c>
      <c r="AE411" s="10">
        <f>IFERROR(__xludf.DUMMYFUNCTION("""COMPUTED_VALUE"""),0.0)</f>
        <v>0</v>
      </c>
      <c r="AF411" s="10">
        <f>IFERROR(__xludf.DUMMYFUNCTION("""COMPUTED_VALUE"""),9.0)</f>
        <v>9</v>
      </c>
      <c r="AG411" s="10">
        <f>IFERROR(__xludf.DUMMYFUNCTION("""COMPUTED_VALUE"""),9.0)</f>
        <v>9</v>
      </c>
      <c r="AH411" s="10">
        <f>IFERROR(__xludf.DUMMYFUNCTION("""COMPUTED_VALUE"""),0.0)</f>
        <v>0</v>
      </c>
      <c r="AI411" s="10">
        <f>IFERROR(__xludf.DUMMYFUNCTION("""COMPUTED_VALUE"""),9.0)</f>
        <v>9</v>
      </c>
      <c r="AJ411" s="11" t="str">
        <f>IFERROR(__xludf.DUMMYFUNCTION("""COMPUTED_VALUE"""),"https://drive.google.com/open?id=1ZI_gMCg5PeNCbuBaMZOS3R8Nk_wfxOt3")</f>
        <v>https://drive.google.com/open?id=1ZI_gMCg5PeNCbuBaMZOS3R8Nk_wfxOt3</v>
      </c>
      <c r="AK411" s="12">
        <f>IFERROR(__xludf.DUMMYFUNCTION("""COMPUTED_VALUE"""),0.0)</f>
        <v>0</v>
      </c>
      <c r="AL411" s="12" t="str">
        <f>IFERROR(__xludf.DUMMYFUNCTION("""COMPUTED_VALUE"""),"Yes")</f>
        <v>Yes</v>
      </c>
      <c r="AM411" s="15">
        <f>IFERROR(__xludf.DUMMYFUNCTION("""COMPUTED_VALUE"""),0.0)</f>
        <v>0</v>
      </c>
      <c r="AN411" s="12" t="str">
        <f>IFERROR(__xludf.DUMMYFUNCTION("""COMPUTED_VALUE"""),"2nd week")</f>
        <v>2nd week</v>
      </c>
      <c r="AO411" s="13">
        <v>3.0</v>
      </c>
      <c r="AX411" s="17"/>
    </row>
    <row r="412">
      <c r="B412" s="9">
        <f>IFERROR(__xludf.DUMMYFUNCTION("""COMPUTED_VALUE"""),45859.6893825463)</f>
        <v>45859.68938</v>
      </c>
      <c r="C412" s="10" t="str">
        <f>IFERROR(__xludf.DUMMYFUNCTION("""COMPUTED_VALUE"""),"maham ")</f>
        <v>maham </v>
      </c>
      <c r="D412" s="10" t="str">
        <f>IFERROR(__xludf.DUMMYFUNCTION("""COMPUTED_VALUE"""),"03218118680")</f>
        <v>03218118680</v>
      </c>
      <c r="E412" s="10" t="str">
        <f>IFERROR(__xludf.DUMMYFUNCTION("""COMPUTED_VALUE"""),"jamia Masjid chakwali darwaza bhera ")</f>
        <v>jamia Masjid chakwali darwaza bhera </v>
      </c>
      <c r="F412" s="10" t="str">
        <f>IFERROR(__xludf.DUMMYFUNCTION("""COMPUTED_VALUE"""),"VYRME")</f>
        <v>VYRME</v>
      </c>
      <c r="G412" s="10" t="str">
        <f>IFERROR(__xludf.DUMMYFUNCTION("""COMPUTED_VALUE"""),"Yes")</f>
        <v>Yes</v>
      </c>
      <c r="H412" s="10">
        <f>IFERROR(__xludf.DUMMYFUNCTION("""COMPUTED_VALUE"""),0.0)</f>
        <v>0</v>
      </c>
      <c r="I412" s="10">
        <f>IFERROR(__xludf.DUMMYFUNCTION("""COMPUTED_VALUE"""),10.0)</f>
        <v>10</v>
      </c>
      <c r="J412" s="10">
        <f>IFERROR(__xludf.DUMMYFUNCTION("""COMPUTED_VALUE"""),0.0)</f>
        <v>0</v>
      </c>
      <c r="K412" s="10">
        <f>IFERROR(__xludf.DUMMYFUNCTION("""COMPUTED_VALUE"""),0.0)</f>
        <v>0</v>
      </c>
      <c r="L412" s="10">
        <f>IFERROR(__xludf.DUMMYFUNCTION("""COMPUTED_VALUE"""),2.0)</f>
        <v>2</v>
      </c>
      <c r="M412" s="10">
        <f>IFERROR(__xludf.DUMMYFUNCTION("""COMPUTED_VALUE"""),0.0)</f>
        <v>0</v>
      </c>
      <c r="N412" s="10">
        <f>IFERROR(__xludf.DUMMYFUNCTION("""COMPUTED_VALUE"""),2.0)</f>
        <v>2</v>
      </c>
      <c r="O412" s="10">
        <f>IFERROR(__xludf.DUMMYFUNCTION("""COMPUTED_VALUE"""),0.0)</f>
        <v>0</v>
      </c>
      <c r="P412" s="10">
        <f>IFERROR(__xludf.DUMMYFUNCTION("""COMPUTED_VALUE"""),0.0)</f>
        <v>0</v>
      </c>
      <c r="Q412" s="10" t="str">
        <f>IFERROR(__xludf.DUMMYFUNCTION("""COMPUTED_VALUE"""),"No")</f>
        <v>No</v>
      </c>
      <c r="R412" s="10" t="str">
        <f>IFERROR(__xludf.DUMMYFUNCTION("""COMPUTED_VALUE"""),"No")</f>
        <v>No</v>
      </c>
      <c r="S412" s="10" t="str">
        <f>IFERROR(__xludf.DUMMYFUNCTION("""COMPUTED_VALUE"""),"No")</f>
        <v>No</v>
      </c>
      <c r="T412" s="10">
        <f>IFERROR(__xludf.DUMMYFUNCTION("""COMPUTED_VALUE"""),0.0)</f>
        <v>0</v>
      </c>
      <c r="U412" s="10">
        <f>IFERROR(__xludf.DUMMYFUNCTION("""COMPUTED_VALUE"""),0.0)</f>
        <v>0</v>
      </c>
      <c r="V412" s="10" t="str">
        <f>IFERROR(__xludf.DUMMYFUNCTION("""COMPUTED_VALUE"""),"اسلامی مہینوں کی اہمیت")</f>
        <v>اسلامی مہینوں کی اہمیت</v>
      </c>
      <c r="W412" s="10" t="str">
        <f>IFERROR(__xludf.DUMMYFUNCTION("""COMPUTED_VALUE"""),"اسلامی مہینوں کی اہمیت اور اللہ تعالی کی عبادت اور اللہ پاک سے استغفار کرتے رہیں")</f>
        <v>اسلامی مہینوں کی اہمیت اور اللہ تعالی کی عبادت اور اللہ پاک سے استغفار کرتے رہیں</v>
      </c>
      <c r="X412" s="10">
        <f>IFERROR(__xludf.DUMMYFUNCTION("""COMPUTED_VALUE"""),5.0)</f>
        <v>5</v>
      </c>
      <c r="Y412" s="10">
        <f>IFERROR(__xludf.DUMMYFUNCTION("""COMPUTED_VALUE"""),1.0)</f>
        <v>1</v>
      </c>
      <c r="Z412" s="10">
        <f>IFERROR(__xludf.DUMMYFUNCTION("""COMPUTED_VALUE"""),0.0)</f>
        <v>0</v>
      </c>
      <c r="AA412" s="10">
        <f>IFERROR(__xludf.DUMMYFUNCTION("""COMPUTED_VALUE"""),10.0)</f>
        <v>10</v>
      </c>
      <c r="AB412" s="10">
        <f>IFERROR(__xludf.DUMMYFUNCTION("""COMPUTED_VALUE"""),0.0)</f>
        <v>0</v>
      </c>
      <c r="AC412" s="10">
        <f>IFERROR(__xludf.DUMMYFUNCTION("""COMPUTED_VALUE"""),0.0)</f>
        <v>0</v>
      </c>
      <c r="AD412" s="10">
        <f>IFERROR(__xludf.DUMMYFUNCTION("""COMPUTED_VALUE"""),0.0)</f>
        <v>0</v>
      </c>
      <c r="AE412" s="10">
        <f>IFERROR(__xludf.DUMMYFUNCTION("""COMPUTED_VALUE"""),0.0)</f>
        <v>0</v>
      </c>
      <c r="AF412" s="10">
        <f>IFERROR(__xludf.DUMMYFUNCTION("""COMPUTED_VALUE"""),9.0)</f>
        <v>9</v>
      </c>
      <c r="AG412" s="10">
        <f>IFERROR(__xludf.DUMMYFUNCTION("""COMPUTED_VALUE"""),9.0)</f>
        <v>9</v>
      </c>
      <c r="AH412" s="10">
        <f>IFERROR(__xludf.DUMMYFUNCTION("""COMPUTED_VALUE"""),0.0)</f>
        <v>0</v>
      </c>
      <c r="AI412" s="10">
        <f>IFERROR(__xludf.DUMMYFUNCTION("""COMPUTED_VALUE"""),10.0)</f>
        <v>10</v>
      </c>
      <c r="AJ412" s="11" t="str">
        <f>IFERROR(__xludf.DUMMYFUNCTION("""COMPUTED_VALUE"""),"https://drive.google.com/open?id=1r2PZA5-eGCP-_IH6XgkHP7R0vIch8pba")</f>
        <v>https://drive.google.com/open?id=1r2PZA5-eGCP-_IH6XgkHP7R0vIch8pba</v>
      </c>
      <c r="AK412" s="12">
        <f>IFERROR(__xludf.DUMMYFUNCTION("""COMPUTED_VALUE"""),0.0)</f>
        <v>0</v>
      </c>
      <c r="AL412" s="12" t="str">
        <f>IFERROR(__xludf.DUMMYFUNCTION("""COMPUTED_VALUE"""),"Yes")</f>
        <v>Yes</v>
      </c>
      <c r="AM412" s="15">
        <f>IFERROR(__xludf.DUMMYFUNCTION("""COMPUTED_VALUE"""),0.0)</f>
        <v>0</v>
      </c>
      <c r="AN412" s="12" t="str">
        <f>IFERROR(__xludf.DUMMYFUNCTION("""COMPUTED_VALUE"""),"2nd week")</f>
        <v>2nd week</v>
      </c>
      <c r="AO412" s="13">
        <v>3.0</v>
      </c>
      <c r="AX412" s="17"/>
    </row>
    <row r="413">
      <c r="B413" s="9">
        <f>IFERROR(__xludf.DUMMYFUNCTION("""COMPUTED_VALUE"""),45884.421313032406)</f>
        <v>45884.42131</v>
      </c>
      <c r="C413" s="10" t="str">
        <f>IFERROR(__xludf.DUMMYFUNCTION("""COMPUTED_VALUE"""),"Sidra ")</f>
        <v>Sidra </v>
      </c>
      <c r="D413" s="10" t="str">
        <f>IFERROR(__xludf.DUMMYFUNCTION("""COMPUTED_VALUE"""),"03261416280")</f>
        <v>03261416280</v>
      </c>
      <c r="E413" s="10" t="str">
        <f>IFERROR(__xludf.DUMMYFUNCTION("""COMPUTED_VALUE"""),"Jamia Masjid Mula Abdul Gafurur Multan")</f>
        <v>Jamia Masjid Mula Abdul Gafurur Multan</v>
      </c>
      <c r="F413" s="10" t="str">
        <f>IFERROR(__xludf.DUMMYFUNCTION("""COMPUTED_VALUE"""),"rnksi")</f>
        <v>rnksi</v>
      </c>
      <c r="G413" s="10" t="str">
        <f>IFERROR(__xludf.DUMMYFUNCTION("""COMPUTED_VALUE"""),"Yes")</f>
        <v>Yes</v>
      </c>
      <c r="H413" s="10">
        <f>IFERROR(__xludf.DUMMYFUNCTION("""COMPUTED_VALUE"""),0.0)</f>
        <v>0</v>
      </c>
      <c r="I413" s="10">
        <f>IFERROR(__xludf.DUMMYFUNCTION("""COMPUTED_VALUE"""),10.0)</f>
        <v>10</v>
      </c>
      <c r="J413" s="10">
        <f>IFERROR(__xludf.DUMMYFUNCTION("""COMPUTED_VALUE"""),0.0)</f>
        <v>0</v>
      </c>
      <c r="K413" s="10">
        <f>IFERROR(__xludf.DUMMYFUNCTION("""COMPUTED_VALUE"""),0.0)</f>
        <v>0</v>
      </c>
      <c r="L413" s="10">
        <f>IFERROR(__xludf.DUMMYFUNCTION("""COMPUTED_VALUE"""),0.0)</f>
        <v>0</v>
      </c>
      <c r="M413" s="10">
        <f>IFERROR(__xludf.DUMMYFUNCTION("""COMPUTED_VALUE"""),0.0)</f>
        <v>0</v>
      </c>
      <c r="N413" s="10">
        <f>IFERROR(__xludf.DUMMYFUNCTION("""COMPUTED_VALUE"""),0.0)</f>
        <v>0</v>
      </c>
      <c r="O413" s="10">
        <f>IFERROR(__xludf.DUMMYFUNCTION("""COMPUTED_VALUE"""),0.0)</f>
        <v>0</v>
      </c>
      <c r="P413" s="10">
        <f>IFERROR(__xludf.DUMMYFUNCTION("""COMPUTED_VALUE"""),0.0)</f>
        <v>0</v>
      </c>
      <c r="Q413" s="10" t="str">
        <f>IFERROR(__xludf.DUMMYFUNCTION("""COMPUTED_VALUE"""),"No")</f>
        <v>No</v>
      </c>
      <c r="R413" s="10" t="str">
        <f>IFERROR(__xludf.DUMMYFUNCTION("""COMPUTED_VALUE"""),"No")</f>
        <v>No</v>
      </c>
      <c r="S413" s="10" t="str">
        <f>IFERROR(__xludf.DUMMYFUNCTION("""COMPUTED_VALUE"""),"No")</f>
        <v>No</v>
      </c>
      <c r="T413" s="10">
        <f>IFERROR(__xludf.DUMMYFUNCTION("""COMPUTED_VALUE"""),0.0)</f>
        <v>0</v>
      </c>
      <c r="U413" s="10">
        <f>IFERROR(__xludf.DUMMYFUNCTION("""COMPUTED_VALUE"""),0.0)</f>
        <v>0</v>
      </c>
      <c r="V413" s="10" t="str">
        <f>IFERROR(__xludf.DUMMYFUNCTION("""COMPUTED_VALUE"""),"یوم آزادی ")</f>
        <v>یوم آزادی </v>
      </c>
      <c r="W413" s="10" t="str">
        <f>IFERROR(__xludf.DUMMYFUNCTION("""COMPUTED_VALUE"""),"امام نے اپنے بیان میں بتایا کہ ہمارا ملک پاکستان ایک آزاد ملک ہے اور مقصود کشمیر جو کہ پاکستان کا ٹکڑا تھا آج بھی اپنی آزادی کے لیے جنگ لڑ رہا ہے اور اولاد کاروبار گھر یہ سب اللہ تعالی کی دی ہوئی نعمتیں ہیں ")</f>
        <v>امام نے اپنے بیان میں بتایا کہ ہمارا ملک پاکستان ایک آزاد ملک ہے اور مقصود کشمیر جو کہ پاکستان کا ٹکڑا تھا آج بھی اپنی آزادی کے لیے جنگ لڑ رہا ہے اور اولاد کاروبار گھر یہ سب اللہ تعالی کی دی ہوئی نعمتیں ہیں </v>
      </c>
      <c r="X413" s="10">
        <f>IFERROR(__xludf.DUMMYFUNCTION("""COMPUTED_VALUE"""),0.0)</f>
        <v>0</v>
      </c>
      <c r="Y413" s="10">
        <f>IFERROR(__xludf.DUMMYFUNCTION("""COMPUTED_VALUE"""),4.0)</f>
        <v>4</v>
      </c>
      <c r="Z413" s="10">
        <f>IFERROR(__xludf.DUMMYFUNCTION("""COMPUTED_VALUE"""),3.0)</f>
        <v>3</v>
      </c>
      <c r="AA413" s="10">
        <f>IFERROR(__xludf.DUMMYFUNCTION("""COMPUTED_VALUE"""),0.0)</f>
        <v>0</v>
      </c>
      <c r="AB413" s="10">
        <f>IFERROR(__xludf.DUMMYFUNCTION("""COMPUTED_VALUE"""),7.0)</f>
        <v>7</v>
      </c>
      <c r="AC413" s="10">
        <f>IFERROR(__xludf.DUMMYFUNCTION("""COMPUTED_VALUE"""),0.0)</f>
        <v>0</v>
      </c>
      <c r="AD413" s="10">
        <f>IFERROR(__xludf.DUMMYFUNCTION("""COMPUTED_VALUE"""),0.0)</f>
        <v>0</v>
      </c>
      <c r="AE413" s="10">
        <f>IFERROR(__xludf.DUMMYFUNCTION("""COMPUTED_VALUE"""),0.0)</f>
        <v>0</v>
      </c>
      <c r="AF413" s="10">
        <f>IFERROR(__xludf.DUMMYFUNCTION("""COMPUTED_VALUE"""),0.0)</f>
        <v>0</v>
      </c>
      <c r="AG413" s="10">
        <f>IFERROR(__xludf.DUMMYFUNCTION("""COMPUTED_VALUE"""),8.0)</f>
        <v>8</v>
      </c>
      <c r="AH413" s="10">
        <f>IFERROR(__xludf.DUMMYFUNCTION("""COMPUTED_VALUE"""),0.0)</f>
        <v>0</v>
      </c>
      <c r="AI413" s="10">
        <f>IFERROR(__xludf.DUMMYFUNCTION("""COMPUTED_VALUE"""),8.0)</f>
        <v>8</v>
      </c>
      <c r="AJ413" s="11" t="str">
        <f>IFERROR(__xludf.DUMMYFUNCTION("""COMPUTED_VALUE"""),"https://drive.google.com/open?id=1pUh89vHhyjXeEB1RFMxEUZ9Y6APpaW5VrDmBbSFyKAg")</f>
        <v>https://drive.google.com/open?id=1pUh89vHhyjXeEB1RFMxEUZ9Y6APpaW5VrDmBbSFyKAg</v>
      </c>
      <c r="AK413" s="12" t="str">
        <f>IFERROR(__xludf.DUMMYFUNCTION("""COMPUTED_VALUE"""),"No ")</f>
        <v>No </v>
      </c>
      <c r="AL413" s="12" t="str">
        <f>IFERROR(__xludf.DUMMYFUNCTION("""COMPUTED_VALUE"""),"Yes")</f>
        <v>Yes</v>
      </c>
      <c r="AM413" s="15">
        <f>IFERROR(__xludf.DUMMYFUNCTION("""COMPUTED_VALUE"""),0.0)</f>
        <v>0</v>
      </c>
      <c r="AN413" s="12" t="str">
        <f>IFERROR(__xludf.DUMMYFUNCTION("""COMPUTED_VALUE"""),"2nd week")</f>
        <v>2nd week</v>
      </c>
      <c r="AO413" s="13">
        <v>2.0</v>
      </c>
      <c r="AP413" s="8" t="s">
        <v>11</v>
      </c>
      <c r="AX413" s="17"/>
    </row>
    <row r="414">
      <c r="B414" s="9">
        <f>IFERROR(__xludf.DUMMYFUNCTION("""COMPUTED_VALUE"""),45884.57693350695)</f>
        <v>45884.57693</v>
      </c>
      <c r="C414" s="10" t="str">
        <f>IFERROR(__xludf.DUMMYFUNCTION("""COMPUTED_VALUE"""),"Arti Kumari ")</f>
        <v>Arti Kumari </v>
      </c>
      <c r="D414" s="10" t="str">
        <f>IFERROR(__xludf.DUMMYFUNCTION("""COMPUTED_VALUE"""),"03346661865")</f>
        <v>03346661865</v>
      </c>
      <c r="E414" s="10" t="str">
        <f>IFERROR(__xludf.DUMMYFUNCTION("""COMPUTED_VALUE"""),"Jamia Masjid Darbar Sultan Ahmad Qataal Jalaal Pur Peer Wala Multan")</f>
        <v>Jamia Masjid Darbar Sultan Ahmad Qataal Jalaal Pur Peer Wala Multan</v>
      </c>
      <c r="F414" s="10" t="str">
        <f>IFERROR(__xludf.DUMMYFUNCTION("""COMPUTED_VALUE"""),"ndsnq")</f>
        <v>ndsnq</v>
      </c>
      <c r="G414" s="10" t="str">
        <f>IFERROR(__xludf.DUMMYFUNCTION("""COMPUTED_VALUE"""),"Yes")</f>
        <v>Yes</v>
      </c>
      <c r="H414" s="10">
        <f>IFERROR(__xludf.DUMMYFUNCTION("""COMPUTED_VALUE"""),0.0)</f>
        <v>0</v>
      </c>
      <c r="I414" s="10">
        <f>IFERROR(__xludf.DUMMYFUNCTION("""COMPUTED_VALUE"""),0.0)</f>
        <v>0</v>
      </c>
      <c r="J414" s="10">
        <f>IFERROR(__xludf.DUMMYFUNCTION("""COMPUTED_VALUE"""),0.0)</f>
        <v>0</v>
      </c>
      <c r="K414" s="10">
        <f>IFERROR(__xludf.DUMMYFUNCTION("""COMPUTED_VALUE"""),0.0)</f>
        <v>0</v>
      </c>
      <c r="L414" s="10">
        <f>IFERROR(__xludf.DUMMYFUNCTION("""COMPUTED_VALUE"""),0.0)</f>
        <v>0</v>
      </c>
      <c r="M414" s="10">
        <f>IFERROR(__xludf.DUMMYFUNCTION("""COMPUTED_VALUE"""),0.0)</f>
        <v>0</v>
      </c>
      <c r="N414" s="10">
        <f>IFERROR(__xludf.DUMMYFUNCTION("""COMPUTED_VALUE"""),0.0)</f>
        <v>0</v>
      </c>
      <c r="O414" s="10">
        <f>IFERROR(__xludf.DUMMYFUNCTION("""COMPUTED_VALUE"""),0.0)</f>
        <v>0</v>
      </c>
      <c r="P414" s="10">
        <f>IFERROR(__xludf.DUMMYFUNCTION("""COMPUTED_VALUE"""),0.0)</f>
        <v>0</v>
      </c>
      <c r="Q414" s="10" t="str">
        <f>IFERROR(__xludf.DUMMYFUNCTION("""COMPUTED_VALUE"""),"No")</f>
        <v>No</v>
      </c>
      <c r="R414" s="10" t="str">
        <f>IFERROR(__xludf.DUMMYFUNCTION("""COMPUTED_VALUE"""),"No")</f>
        <v>No</v>
      </c>
      <c r="S414" s="10" t="str">
        <f>IFERROR(__xludf.DUMMYFUNCTION("""COMPUTED_VALUE"""),"No")</f>
        <v>No</v>
      </c>
      <c r="T414" s="10">
        <f>IFERROR(__xludf.DUMMYFUNCTION("""COMPUTED_VALUE"""),0.0)</f>
        <v>0</v>
      </c>
      <c r="U414" s="10">
        <f>IFERROR(__xludf.DUMMYFUNCTION("""COMPUTED_VALUE"""),0.0)</f>
        <v>0</v>
      </c>
      <c r="V414" s="10" t="str">
        <f>IFERROR(__xludf.DUMMYFUNCTION("""COMPUTED_VALUE"""),"شعیہ اور مریض")</f>
        <v>شعیہ اور مریض</v>
      </c>
      <c r="W414" s="10" t="str">
        <f>IFERROR(__xludf.DUMMYFUNCTION("""COMPUTED_VALUE"""),"امام نے خطبہ میں شعیوں اور مریضوں کا زکر کیا")</f>
        <v>امام نے خطبہ میں شعیوں اور مریضوں کا زکر کیا</v>
      </c>
      <c r="X414" s="10">
        <f>IFERROR(__xludf.DUMMYFUNCTION("""COMPUTED_VALUE"""),5.0)</f>
        <v>5</v>
      </c>
      <c r="Y414" s="10">
        <f>IFERROR(__xludf.DUMMYFUNCTION("""COMPUTED_VALUE"""),5.0)</f>
        <v>5</v>
      </c>
      <c r="Z414" s="10">
        <f>IFERROR(__xludf.DUMMYFUNCTION("""COMPUTED_VALUE"""),2.0)</f>
        <v>2</v>
      </c>
      <c r="AA414" s="10">
        <f>IFERROR(__xludf.DUMMYFUNCTION("""COMPUTED_VALUE"""),5.0)</f>
        <v>5</v>
      </c>
      <c r="AB414" s="10">
        <f>IFERROR(__xludf.DUMMYFUNCTION("""COMPUTED_VALUE"""),0.0)</f>
        <v>0</v>
      </c>
      <c r="AC414" s="10">
        <f>IFERROR(__xludf.DUMMYFUNCTION("""COMPUTED_VALUE"""),0.0)</f>
        <v>0</v>
      </c>
      <c r="AD414" s="10">
        <f>IFERROR(__xludf.DUMMYFUNCTION("""COMPUTED_VALUE"""),1.0)</f>
        <v>1</v>
      </c>
      <c r="AE414" s="10">
        <f>IFERROR(__xludf.DUMMYFUNCTION("""COMPUTED_VALUE"""),0.0)</f>
        <v>0</v>
      </c>
      <c r="AF414" s="10">
        <f>IFERROR(__xludf.DUMMYFUNCTION("""COMPUTED_VALUE"""),0.0)</f>
        <v>0</v>
      </c>
      <c r="AG414" s="10">
        <f>IFERROR(__xludf.DUMMYFUNCTION("""COMPUTED_VALUE"""),0.0)</f>
        <v>0</v>
      </c>
      <c r="AH414" s="10">
        <f>IFERROR(__xludf.DUMMYFUNCTION("""COMPUTED_VALUE"""),0.0)</f>
        <v>0</v>
      </c>
      <c r="AI414" s="10">
        <f>IFERROR(__xludf.DUMMYFUNCTION("""COMPUTED_VALUE"""),1.0)</f>
        <v>1</v>
      </c>
      <c r="AJ414" s="11" t="str">
        <f>IFERROR(__xludf.DUMMYFUNCTION("""COMPUTED_VALUE"""),"https://drive.google.com/open?id=1PAeF6DBJtOHEIxv6qR8DNCNEvA86OoxV")</f>
        <v>https://drive.google.com/open?id=1PAeF6DBJtOHEIxv6qR8DNCNEvA86OoxV</v>
      </c>
      <c r="AK414" s="12" t="str">
        <f>IFERROR(__xludf.DUMMYFUNCTION("""COMPUTED_VALUE"""),"خطبہ دوسری زبان میں تھا سمجھنے نہیں کافی مشکل ہوئی")</f>
        <v>خطبہ دوسری زبان میں تھا سمجھنے نہیں کافی مشکل ہوئی</v>
      </c>
      <c r="AL414" s="12" t="str">
        <f>IFERROR(__xludf.DUMMYFUNCTION("""COMPUTED_VALUE"""),"Yes")</f>
        <v>Yes</v>
      </c>
      <c r="AM414" s="15">
        <f>IFERROR(__xludf.DUMMYFUNCTION("""COMPUTED_VALUE"""),0.0)</f>
        <v>0</v>
      </c>
      <c r="AN414" s="12" t="str">
        <f>IFERROR(__xludf.DUMMYFUNCTION("""COMPUTED_VALUE"""),"1st week")</f>
        <v>1st week</v>
      </c>
      <c r="AO414" s="13">
        <v>1.0</v>
      </c>
      <c r="AX414" s="17"/>
    </row>
    <row r="415">
      <c r="B415" s="9">
        <f>IFERROR(__xludf.DUMMYFUNCTION("""COMPUTED_VALUE"""),45884.70839940972)</f>
        <v>45884.7084</v>
      </c>
      <c r="C415" s="10" t="str">
        <f>IFERROR(__xludf.DUMMYFUNCTION("""COMPUTED_VALUE"""),"Sidra")</f>
        <v>Sidra</v>
      </c>
      <c r="D415" s="10" t="str">
        <f>IFERROR(__xludf.DUMMYFUNCTION("""COMPUTED_VALUE"""),"03261416280")</f>
        <v>03261416280</v>
      </c>
      <c r="E415" s="10" t="str">
        <f>IFERROR(__xludf.DUMMYFUNCTION("""COMPUTED_VALUE"""),"Jamia Masjid Azeem Ul Din Dolat Gate Multan")</f>
        <v>Jamia Masjid Azeem Ul Din Dolat Gate Multan</v>
      </c>
      <c r="F415" s="10" t="str">
        <f>IFERROR(__xludf.DUMMYFUNCTION("""COMPUTED_VALUE"""),"pxspv")</f>
        <v>pxspv</v>
      </c>
      <c r="G415" s="10" t="str">
        <f>IFERROR(__xludf.DUMMYFUNCTION("""COMPUTED_VALUE"""),"Yes")</f>
        <v>Yes</v>
      </c>
      <c r="H415" s="10">
        <f>IFERROR(__xludf.DUMMYFUNCTION("""COMPUTED_VALUE"""),9.0)</f>
        <v>9</v>
      </c>
      <c r="I415" s="10">
        <f>IFERROR(__xludf.DUMMYFUNCTION("""COMPUTED_VALUE"""),1.0)</f>
        <v>1</v>
      </c>
      <c r="J415" s="10">
        <f>IFERROR(__xludf.DUMMYFUNCTION("""COMPUTED_VALUE"""),9.0)</f>
        <v>9</v>
      </c>
      <c r="K415" s="10">
        <f>IFERROR(__xludf.DUMMYFUNCTION("""COMPUTED_VALUE"""),0.0)</f>
        <v>0</v>
      </c>
      <c r="L415" s="10">
        <f>IFERROR(__xludf.DUMMYFUNCTION("""COMPUTED_VALUE"""),9.0)</f>
        <v>9</v>
      </c>
      <c r="M415" s="10">
        <f>IFERROR(__xludf.DUMMYFUNCTION("""COMPUTED_VALUE"""),0.0)</f>
        <v>0</v>
      </c>
      <c r="N415" s="10">
        <f>IFERROR(__xludf.DUMMYFUNCTION("""COMPUTED_VALUE"""),6.0)</f>
        <v>6</v>
      </c>
      <c r="O415" s="10">
        <f>IFERROR(__xludf.DUMMYFUNCTION("""COMPUTED_VALUE"""),0.0)</f>
        <v>0</v>
      </c>
      <c r="P415" s="10">
        <f>IFERROR(__xludf.DUMMYFUNCTION("""COMPUTED_VALUE"""),3.0)</f>
        <v>3</v>
      </c>
      <c r="Q415" s="10" t="str">
        <f>IFERROR(__xludf.DUMMYFUNCTION("""COMPUTED_VALUE"""),"No")</f>
        <v>No</v>
      </c>
      <c r="R415" s="10" t="str">
        <f>IFERROR(__xludf.DUMMYFUNCTION("""COMPUTED_VALUE"""),"No")</f>
        <v>No</v>
      </c>
      <c r="S415" s="10" t="str">
        <f>IFERROR(__xludf.DUMMYFUNCTION("""COMPUTED_VALUE"""),"No")</f>
        <v>No</v>
      </c>
      <c r="T415" s="10">
        <f>IFERROR(__xludf.DUMMYFUNCTION("""COMPUTED_VALUE"""),0.0)</f>
        <v>0</v>
      </c>
      <c r="U415" s="10">
        <f>IFERROR(__xludf.DUMMYFUNCTION("""COMPUTED_VALUE"""),0.0)</f>
        <v>0</v>
      </c>
      <c r="V415" s="10" t="str">
        <f>IFERROR(__xludf.DUMMYFUNCTION("""COMPUTED_VALUE"""),"پڑوس اور اہل محلہ")</f>
        <v>پڑوس اور اہل محلہ</v>
      </c>
      <c r="W415" s="10" t="str">
        <f>IFERROR(__xludf.DUMMYFUNCTION("""COMPUTED_VALUE"""),"امام نے اپنے بیان میں بتایا ہے کہ ہمیں پڑوسیوں کے ساتھ حسن سلوک سے پیش آنا چاہیے  اگر پڑوسی بیمار ہے تو اس کی عیادت کرنی چاہیے اور اگر فوت ہو جائے تو اس کے جنازے میں شرکت ہونا چاہیے اور اپنے محلے کو صاف ستھرا رکھنا چاہیے اس کے علاوہ امام نے اپنے بیان میں "&amp;"بتایا کہ پاکستان ایک آزاد ملک ہے اور مقصود کشمیر پاکستان کا ٹکڑا ہے جو کہ ابھی بھی اپنی آزادی  کی جنگ لڑ رہا ہے ")</f>
        <v>امام نے اپنے بیان میں بتایا ہے کہ ہمیں پڑوسیوں کے ساتھ حسن سلوک سے پیش آنا چاہیے  اگر پڑوسی بیمار ہے تو اس کی عیادت کرنی چاہیے اور اگر فوت ہو جائے تو اس کے جنازے میں شرکت ہونا چاہیے اور اپنے محلے کو صاف ستھرا رکھنا چاہیے اس کے علاوہ امام نے اپنے بیان میں بتایا کہ پاکستان ایک آزاد ملک ہے اور مقصود کشمیر پاکستان کا ٹکڑا ہے جو کہ ابھی بھی اپنی آزادی  کی جنگ لڑ رہا ہے </v>
      </c>
      <c r="X415" s="10">
        <f>IFERROR(__xludf.DUMMYFUNCTION("""COMPUTED_VALUE"""),3.0)</f>
        <v>3</v>
      </c>
      <c r="Y415" s="10">
        <f>IFERROR(__xludf.DUMMYFUNCTION("""COMPUTED_VALUE"""),2.0)</f>
        <v>2</v>
      </c>
      <c r="Z415" s="10">
        <f>IFERROR(__xludf.DUMMYFUNCTION("""COMPUTED_VALUE"""),6.0)</f>
        <v>6</v>
      </c>
      <c r="AA415" s="10">
        <f>IFERROR(__xludf.DUMMYFUNCTION("""COMPUTED_VALUE"""),4.0)</f>
        <v>4</v>
      </c>
      <c r="AB415" s="10">
        <f>IFERROR(__xludf.DUMMYFUNCTION("""COMPUTED_VALUE"""),0.0)</f>
        <v>0</v>
      </c>
      <c r="AC415" s="10">
        <f>IFERROR(__xludf.DUMMYFUNCTION("""COMPUTED_VALUE"""),0.0)</f>
        <v>0</v>
      </c>
      <c r="AD415" s="10">
        <f>IFERROR(__xludf.DUMMYFUNCTION("""COMPUTED_VALUE"""),0.0)</f>
        <v>0</v>
      </c>
      <c r="AE415" s="10">
        <f>IFERROR(__xludf.DUMMYFUNCTION("""COMPUTED_VALUE"""),0.0)</f>
        <v>0</v>
      </c>
      <c r="AF415" s="10">
        <f>IFERROR(__xludf.DUMMYFUNCTION("""COMPUTED_VALUE"""),0.0)</f>
        <v>0</v>
      </c>
      <c r="AG415" s="10">
        <f>IFERROR(__xludf.DUMMYFUNCTION("""COMPUTED_VALUE"""),8.0)</f>
        <v>8</v>
      </c>
      <c r="AH415" s="10">
        <f>IFERROR(__xludf.DUMMYFUNCTION("""COMPUTED_VALUE"""),0.0)</f>
        <v>0</v>
      </c>
      <c r="AI415" s="10">
        <f>IFERROR(__xludf.DUMMYFUNCTION("""COMPUTED_VALUE"""),8.0)</f>
        <v>8</v>
      </c>
      <c r="AJ415" s="11" t="str">
        <f>IFERROR(__xludf.DUMMYFUNCTION("""COMPUTED_VALUE"""),"https://drive.google.com/open?id=17oK96xAQ7jaJTkST_LK-T9y-Q27zGc2qEbtO62uZqVg")</f>
        <v>https://drive.google.com/open?id=17oK96xAQ7jaJTkST_LK-T9y-Q27zGc2qEbtO62uZqVg</v>
      </c>
      <c r="AK415" s="12" t="str">
        <f>IFERROR(__xludf.DUMMYFUNCTION("""COMPUTED_VALUE"""),"No ")</f>
        <v>No </v>
      </c>
      <c r="AL415" s="12" t="str">
        <f>IFERROR(__xludf.DUMMYFUNCTION("""COMPUTED_VALUE"""),"Yes")</f>
        <v>Yes</v>
      </c>
      <c r="AM415" s="15">
        <f>IFERROR(__xludf.DUMMYFUNCTION("""COMPUTED_VALUE"""),0.9)</f>
        <v>0.9</v>
      </c>
      <c r="AN415" s="12" t="str">
        <f>IFERROR(__xludf.DUMMYFUNCTION("""COMPUTED_VALUE"""),"2nd week")</f>
        <v>2nd week</v>
      </c>
      <c r="AO415" s="13">
        <v>2.0</v>
      </c>
      <c r="AX415" s="17"/>
    </row>
    <row r="416">
      <c r="B416" s="9">
        <f>IFERROR(__xludf.DUMMYFUNCTION("""COMPUTED_VALUE"""),45884.882333981484)</f>
        <v>45884.88233</v>
      </c>
      <c r="C416" s="10" t="str">
        <f>IFERROR(__xludf.DUMMYFUNCTION("""COMPUTED_VALUE"""),"Sidra ")</f>
        <v>Sidra </v>
      </c>
      <c r="D416" s="10" t="str">
        <f>IFERROR(__xludf.DUMMYFUNCTION("""COMPUTED_VALUE"""),"03261416280")</f>
        <v>03261416280</v>
      </c>
      <c r="E416" s="10" t="str">
        <f>IFERROR(__xludf.DUMMYFUNCTION("""COMPUTED_VALUE"""),"Jamia Masjid Sadiq Akbar Machi Hatta Bhawalpur")</f>
        <v>Jamia Masjid Sadiq Akbar Machi Hatta Bhawalpur</v>
      </c>
      <c r="F416" s="10" t="str">
        <f>IFERROR(__xludf.DUMMYFUNCTION("""COMPUTED_VALUE"""),"dfnmy")</f>
        <v>dfnmy</v>
      </c>
      <c r="G416" s="10" t="str">
        <f>IFERROR(__xludf.DUMMYFUNCTION("""COMPUTED_VALUE"""),"Yes")</f>
        <v>Yes</v>
      </c>
      <c r="H416" s="10">
        <f>IFERROR(__xludf.DUMMYFUNCTION("""COMPUTED_VALUE"""),9.0)</f>
        <v>9</v>
      </c>
      <c r="I416" s="10">
        <f>IFERROR(__xludf.DUMMYFUNCTION("""COMPUTED_VALUE"""),1.0)</f>
        <v>1</v>
      </c>
      <c r="J416" s="10">
        <f>IFERROR(__xludf.DUMMYFUNCTION("""COMPUTED_VALUE"""),9.0)</f>
        <v>9</v>
      </c>
      <c r="K416" s="10">
        <f>IFERROR(__xludf.DUMMYFUNCTION("""COMPUTED_VALUE"""),0.0)</f>
        <v>0</v>
      </c>
      <c r="L416" s="10">
        <f>IFERROR(__xludf.DUMMYFUNCTION("""COMPUTED_VALUE"""),9.0)</f>
        <v>9</v>
      </c>
      <c r="M416" s="10">
        <f>IFERROR(__xludf.DUMMYFUNCTION("""COMPUTED_VALUE"""),0.0)</f>
        <v>0</v>
      </c>
      <c r="N416" s="10">
        <f>IFERROR(__xludf.DUMMYFUNCTION("""COMPUTED_VALUE"""),8.0)</f>
        <v>8</v>
      </c>
      <c r="O416" s="10">
        <f>IFERROR(__xludf.DUMMYFUNCTION("""COMPUTED_VALUE"""),0.0)</f>
        <v>0</v>
      </c>
      <c r="P416" s="10">
        <f>IFERROR(__xludf.DUMMYFUNCTION("""COMPUTED_VALUE"""),3.0)</f>
        <v>3</v>
      </c>
      <c r="Q416" s="10" t="str">
        <f>IFERROR(__xludf.DUMMYFUNCTION("""COMPUTED_VALUE"""),"No")</f>
        <v>No</v>
      </c>
      <c r="R416" s="10" t="str">
        <f>IFERROR(__xludf.DUMMYFUNCTION("""COMPUTED_VALUE"""),"Yes")</f>
        <v>Yes</v>
      </c>
      <c r="S416" s="10" t="str">
        <f>IFERROR(__xludf.DUMMYFUNCTION("""COMPUTED_VALUE"""),"No")</f>
        <v>No</v>
      </c>
      <c r="T416" s="10">
        <f>IFERROR(__xludf.DUMMYFUNCTION("""COMPUTED_VALUE"""),0.0)</f>
        <v>0</v>
      </c>
      <c r="U416" s="10">
        <f>IFERROR(__xludf.DUMMYFUNCTION("""COMPUTED_VALUE"""),0.0)</f>
        <v>0</v>
      </c>
      <c r="V416" s="10" t="str">
        <f>IFERROR(__xludf.DUMMYFUNCTION("""COMPUTED_VALUE"""),"پڑوسی اور اہل محلہ ")</f>
        <v>پڑوسی اور اہل محلہ </v>
      </c>
      <c r="W416" s="10" t="str">
        <f>IFERROR(__xludf.DUMMYFUNCTION("""COMPUTED_VALUE"""),"امام نے بیان میں بتایا ہے کہ ہمیں اپنے گھر اور محلے کو صاف ستھرا رکھنا چاہیے اور پڑوسیوں کی مدد کرنی چاہیے مثلا اور وہ قرض مانگے تو اسے قرض دو یا اگر وہ بد حال ہے تو اس کی پردہ پوشی کرو اور اگر خوش ہیں تو اس کی خوشی میں شامل ہو اور اسے مبارکباد دو")</f>
        <v>امام نے بیان میں بتایا ہے کہ ہمیں اپنے گھر اور محلے کو صاف ستھرا رکھنا چاہیے اور پڑوسیوں کی مدد کرنی چاہیے مثلا اور وہ قرض مانگے تو اسے قرض دو یا اگر وہ بد حال ہے تو اس کی پردہ پوشی کرو اور اگر خوش ہیں تو اس کی خوشی میں شامل ہو اور اسے مبارکباد دو</v>
      </c>
      <c r="X416" s="10">
        <f>IFERROR(__xludf.DUMMYFUNCTION("""COMPUTED_VALUE"""),2.0)</f>
        <v>2</v>
      </c>
      <c r="Y416" s="10">
        <f>IFERROR(__xludf.DUMMYFUNCTION("""COMPUTED_VALUE"""),2.0)</f>
        <v>2</v>
      </c>
      <c r="Z416" s="10">
        <f>IFERROR(__xludf.DUMMYFUNCTION("""COMPUTED_VALUE"""),7.0)</f>
        <v>7</v>
      </c>
      <c r="AA416" s="10">
        <f>IFERROR(__xludf.DUMMYFUNCTION("""COMPUTED_VALUE"""),3.0)</f>
        <v>3</v>
      </c>
      <c r="AB416" s="10">
        <f>IFERROR(__xludf.DUMMYFUNCTION("""COMPUTED_VALUE"""),0.0)</f>
        <v>0</v>
      </c>
      <c r="AC416" s="10">
        <f>IFERROR(__xludf.DUMMYFUNCTION("""COMPUTED_VALUE"""),0.0)</f>
        <v>0</v>
      </c>
      <c r="AD416" s="10">
        <f>IFERROR(__xludf.DUMMYFUNCTION("""COMPUTED_VALUE"""),0.0)</f>
        <v>0</v>
      </c>
      <c r="AE416" s="10">
        <f>IFERROR(__xludf.DUMMYFUNCTION("""COMPUTED_VALUE"""),0.0)</f>
        <v>0</v>
      </c>
      <c r="AF416" s="10">
        <f>IFERROR(__xludf.DUMMYFUNCTION("""COMPUTED_VALUE"""),0.0)</f>
        <v>0</v>
      </c>
      <c r="AG416" s="10">
        <f>IFERROR(__xludf.DUMMYFUNCTION("""COMPUTED_VALUE"""),8.0)</f>
        <v>8</v>
      </c>
      <c r="AH416" s="10">
        <f>IFERROR(__xludf.DUMMYFUNCTION("""COMPUTED_VALUE"""),0.0)</f>
        <v>0</v>
      </c>
      <c r="AI416" s="10">
        <f>IFERROR(__xludf.DUMMYFUNCTION("""COMPUTED_VALUE"""),9.0)</f>
        <v>9</v>
      </c>
      <c r="AJ416" s="11" t="str">
        <f>IFERROR(__xludf.DUMMYFUNCTION("""COMPUTED_VALUE"""),"https://drive.google.com/open?id=1XCpE2Vn9ayvYxy9C8oV2LsVdpYRsUOl2LNL4f9aIg1A")</f>
        <v>https://drive.google.com/open?id=1XCpE2Vn9ayvYxy9C8oV2LsVdpYRsUOl2LNL4f9aIg1A</v>
      </c>
      <c r="AK416" s="12" t="str">
        <f>IFERROR(__xludf.DUMMYFUNCTION("""COMPUTED_VALUE"""),"No ")</f>
        <v>No </v>
      </c>
      <c r="AL416" s="12" t="str">
        <f>IFERROR(__xludf.DUMMYFUNCTION("""COMPUTED_VALUE"""),"Yes")</f>
        <v>Yes</v>
      </c>
      <c r="AM416" s="15">
        <f>IFERROR(__xludf.DUMMYFUNCTION("""COMPUTED_VALUE"""),0.9)</f>
        <v>0.9</v>
      </c>
      <c r="AN416" s="12" t="str">
        <f>IFERROR(__xludf.DUMMYFUNCTION("""COMPUTED_VALUE"""),"2nd week")</f>
        <v>2nd week</v>
      </c>
      <c r="AO416" s="13">
        <v>2.0</v>
      </c>
      <c r="AX416" s="17"/>
    </row>
    <row r="417">
      <c r="B417" s="9">
        <f>IFERROR(__xludf.DUMMYFUNCTION("""COMPUTED_VALUE"""),45885.010213263886)</f>
        <v>45885.01021</v>
      </c>
      <c r="C417" s="10" t="str">
        <f>IFERROR(__xludf.DUMMYFUNCTION("""COMPUTED_VALUE"""),"Atiqa")</f>
        <v>Atiqa</v>
      </c>
      <c r="D417" s="10" t="str">
        <f>IFERROR(__xludf.DUMMYFUNCTION("""COMPUTED_VALUE"""),"03157519977")</f>
        <v>03157519977</v>
      </c>
      <c r="E417" s="10" t="str">
        <f>IFERROR(__xludf.DUMMYFUNCTION("""COMPUTED_VALUE"""),"Jamia Masjid Anayat Shah Bukhari Layyah")</f>
        <v>Jamia Masjid Anayat Shah Bukhari Layyah</v>
      </c>
      <c r="F417" s="10" t="str">
        <f>IFERROR(__xludf.DUMMYFUNCTION("""COMPUTED_VALUE"""),"gydmp")</f>
        <v>gydmp</v>
      </c>
      <c r="G417" s="10" t="str">
        <f>IFERROR(__xludf.DUMMYFUNCTION("""COMPUTED_VALUE"""),"Yes")</f>
        <v>Yes</v>
      </c>
      <c r="H417" s="10">
        <f>IFERROR(__xludf.DUMMYFUNCTION("""COMPUTED_VALUE"""),8.0)</f>
        <v>8</v>
      </c>
      <c r="I417" s="10">
        <f>IFERROR(__xludf.DUMMYFUNCTION("""COMPUTED_VALUE"""),0.0)</f>
        <v>0</v>
      </c>
      <c r="J417" s="10">
        <f>IFERROR(__xludf.DUMMYFUNCTION("""COMPUTED_VALUE"""),8.0)</f>
        <v>8</v>
      </c>
      <c r="K417" s="10">
        <f>IFERROR(__xludf.DUMMYFUNCTION("""COMPUTED_VALUE"""),10.0)</f>
        <v>10</v>
      </c>
      <c r="L417" s="10">
        <f>IFERROR(__xludf.DUMMYFUNCTION("""COMPUTED_VALUE"""),0.0)</f>
        <v>0</v>
      </c>
      <c r="M417" s="10">
        <f>IFERROR(__xludf.DUMMYFUNCTION("""COMPUTED_VALUE"""),7.0)</f>
        <v>7</v>
      </c>
      <c r="N417" s="10">
        <f>IFERROR(__xludf.DUMMYFUNCTION("""COMPUTED_VALUE"""),0.0)</f>
        <v>0</v>
      </c>
      <c r="O417" s="10">
        <f>IFERROR(__xludf.DUMMYFUNCTION("""COMPUTED_VALUE"""),6.0)</f>
        <v>6</v>
      </c>
      <c r="P417" s="10">
        <f>IFERROR(__xludf.DUMMYFUNCTION("""COMPUTED_VALUE"""),0.0)</f>
        <v>0</v>
      </c>
      <c r="Q417" s="10" t="str">
        <f>IFERROR(__xludf.DUMMYFUNCTION("""COMPUTED_VALUE"""),"No")</f>
        <v>No</v>
      </c>
      <c r="R417" s="10" t="str">
        <f>IFERROR(__xludf.DUMMYFUNCTION("""COMPUTED_VALUE"""),"No")</f>
        <v>No</v>
      </c>
      <c r="S417" s="10" t="str">
        <f>IFERROR(__xludf.DUMMYFUNCTION("""COMPUTED_VALUE"""),"No")</f>
        <v>No</v>
      </c>
      <c r="T417" s="10">
        <f>IFERROR(__xludf.DUMMYFUNCTION("""COMPUTED_VALUE"""),0.0)</f>
        <v>0</v>
      </c>
      <c r="U417" s="10">
        <f>IFERROR(__xludf.DUMMYFUNCTION("""COMPUTED_VALUE"""),0.0)</f>
        <v>0</v>
      </c>
      <c r="V417" s="10" t="str">
        <f>IFERROR(__xludf.DUMMYFUNCTION("""COMPUTED_VALUE"""),"عورتوں کے حقوق، کردار ")</f>
        <v>عورتوں کے حقوق، کردار </v>
      </c>
      <c r="W417" s="10" t="str">
        <f>IFERROR(__xludf.DUMMYFUNCTION("""COMPUTED_VALUE"""),"قبل اسلام اور اسلام کے غالب انے کے بعد عورت کے ساتھ کیسا سلوک کیا جاتا تھا۔ محمدصلی اللہ علیہ وسلم  کا اپنی وضائی بہن شیمہ بی بی سے ادب احترام سے پیش انا۔  بیٹیوں کی تعلیم و تربیت پر اجر و ثواب اور لونڈیوں کے ساتھ سلوک پر بات کی گئی۔ ")</f>
        <v>قبل اسلام اور اسلام کے غالب انے کے بعد عورت کے ساتھ کیسا سلوک کیا جاتا تھا۔ محمدصلی اللہ علیہ وسلم  کا اپنی وضائی بہن شیمہ بی بی سے ادب احترام سے پیش انا۔  بیٹیوں کی تعلیم و تربیت پر اجر و ثواب اور لونڈیوں کے ساتھ سلوک پر بات کی گئی۔ </v>
      </c>
      <c r="X417" s="10">
        <f>IFERROR(__xludf.DUMMYFUNCTION("""COMPUTED_VALUE"""),0.0)</f>
        <v>0</v>
      </c>
      <c r="Y417" s="10">
        <f>IFERROR(__xludf.DUMMYFUNCTION("""COMPUTED_VALUE"""),3.0)</f>
        <v>3</v>
      </c>
      <c r="Z417" s="10">
        <f>IFERROR(__xludf.DUMMYFUNCTION("""COMPUTED_VALUE"""),6.0)</f>
        <v>6</v>
      </c>
      <c r="AA417" s="10">
        <f>IFERROR(__xludf.DUMMYFUNCTION("""COMPUTED_VALUE"""),8.0)</f>
        <v>8</v>
      </c>
      <c r="AB417" s="10">
        <f>IFERROR(__xludf.DUMMYFUNCTION("""COMPUTED_VALUE"""),4.0)</f>
        <v>4</v>
      </c>
      <c r="AC417" s="10">
        <f>IFERROR(__xludf.DUMMYFUNCTION("""COMPUTED_VALUE"""),0.0)</f>
        <v>0</v>
      </c>
      <c r="AD417" s="10">
        <f>IFERROR(__xludf.DUMMYFUNCTION("""COMPUTED_VALUE"""),0.0)</f>
        <v>0</v>
      </c>
      <c r="AE417" s="10">
        <f>IFERROR(__xludf.DUMMYFUNCTION("""COMPUTED_VALUE"""),0.0)</f>
        <v>0</v>
      </c>
      <c r="AF417" s="10">
        <f>IFERROR(__xludf.DUMMYFUNCTION("""COMPUTED_VALUE"""),0.0)</f>
        <v>0</v>
      </c>
      <c r="AG417" s="10">
        <f>IFERROR(__xludf.DUMMYFUNCTION("""COMPUTED_VALUE"""),8.0)</f>
        <v>8</v>
      </c>
      <c r="AH417" s="10">
        <f>IFERROR(__xludf.DUMMYFUNCTION("""COMPUTED_VALUE"""),0.0)</f>
        <v>0</v>
      </c>
      <c r="AI417" s="10">
        <f>IFERROR(__xludf.DUMMYFUNCTION("""COMPUTED_VALUE"""),9.0)</f>
        <v>9</v>
      </c>
      <c r="AJ417" s="11" t="str">
        <f>IFERROR(__xludf.DUMMYFUNCTION("""COMPUTED_VALUE"""),"https://drive.google.com/open?id=1PY5lqFjopPZVkILIvD9SGBdiwnG54icfMfHx3Yc-alo")</f>
        <v>https://drive.google.com/open?id=1PY5lqFjopPZVkILIvD9SGBdiwnG54icfMfHx3Yc-alo</v>
      </c>
      <c r="AK417" s="12"/>
      <c r="AL417" s="12" t="str">
        <f>IFERROR(__xludf.DUMMYFUNCTION("""COMPUTED_VALUE"""),"Yes")</f>
        <v>Yes</v>
      </c>
      <c r="AM417" s="15">
        <f>IFERROR(__xludf.DUMMYFUNCTION("""COMPUTED_VALUE"""),0.8)</f>
        <v>0.8</v>
      </c>
      <c r="AN417" s="12" t="str">
        <f>IFERROR(__xludf.DUMMYFUNCTION("""COMPUTED_VALUE"""),"1st week")</f>
        <v>1st week</v>
      </c>
      <c r="AO417" s="13">
        <v>1.0</v>
      </c>
      <c r="AX417" s="17"/>
    </row>
    <row r="418">
      <c r="B418" s="9">
        <f>IFERROR(__xludf.DUMMYFUNCTION("""COMPUTED_VALUE"""),45885.06264471065)</f>
        <v>45885.06264</v>
      </c>
      <c r="C418" s="10" t="str">
        <f>IFERROR(__xludf.DUMMYFUNCTION("""COMPUTED_VALUE"""),"Sidra ")</f>
        <v>Sidra </v>
      </c>
      <c r="D418" s="10" t="str">
        <f>IFERROR(__xludf.DUMMYFUNCTION("""COMPUTED_VALUE"""),"03261416280")</f>
        <v>03261416280</v>
      </c>
      <c r="E418" s="10" t="str">
        <f>IFERROR(__xludf.DUMMYFUNCTION("""COMPUTED_VALUE"""),"Jamia Masjid Sadiq Akbar High School Ahumdpur")</f>
        <v>Jamia Masjid Sadiq Akbar High School Ahumdpur</v>
      </c>
      <c r="F418" s="10" t="str">
        <f>IFERROR(__xludf.DUMMYFUNCTION("""COMPUTED_VALUE"""),"vewig")</f>
        <v>vewig</v>
      </c>
      <c r="G418" s="10" t="str">
        <f>IFERROR(__xludf.DUMMYFUNCTION("""COMPUTED_VALUE"""),"Yes")</f>
        <v>Yes</v>
      </c>
      <c r="H418" s="10">
        <f>IFERROR(__xludf.DUMMYFUNCTION("""COMPUTED_VALUE"""),9.0)</f>
        <v>9</v>
      </c>
      <c r="I418" s="10">
        <f>IFERROR(__xludf.DUMMYFUNCTION("""COMPUTED_VALUE"""),1.0)</f>
        <v>1</v>
      </c>
      <c r="J418" s="10">
        <f>IFERROR(__xludf.DUMMYFUNCTION("""COMPUTED_VALUE"""),9.0)</f>
        <v>9</v>
      </c>
      <c r="K418" s="10">
        <f>IFERROR(__xludf.DUMMYFUNCTION("""COMPUTED_VALUE"""),0.0)</f>
        <v>0</v>
      </c>
      <c r="L418" s="10">
        <f>IFERROR(__xludf.DUMMYFUNCTION("""COMPUTED_VALUE"""),7.0)</f>
        <v>7</v>
      </c>
      <c r="M418" s="10">
        <f>IFERROR(__xludf.DUMMYFUNCTION("""COMPUTED_VALUE"""),0.0)</f>
        <v>0</v>
      </c>
      <c r="N418" s="10">
        <f>IFERROR(__xludf.DUMMYFUNCTION("""COMPUTED_VALUE"""),6.0)</f>
        <v>6</v>
      </c>
      <c r="O418" s="10">
        <f>IFERROR(__xludf.DUMMYFUNCTION("""COMPUTED_VALUE"""),0.0)</f>
        <v>0</v>
      </c>
      <c r="P418" s="10">
        <f>IFERROR(__xludf.DUMMYFUNCTION("""COMPUTED_VALUE"""),4.0)</f>
        <v>4</v>
      </c>
      <c r="Q418" s="10" t="str">
        <f>IFERROR(__xludf.DUMMYFUNCTION("""COMPUTED_VALUE"""),"No")</f>
        <v>No</v>
      </c>
      <c r="R418" s="10" t="str">
        <f>IFERROR(__xludf.DUMMYFUNCTION("""COMPUTED_VALUE"""),"No")</f>
        <v>No</v>
      </c>
      <c r="S418" s="10" t="str">
        <f>IFERROR(__xludf.DUMMYFUNCTION("""COMPUTED_VALUE"""),"No")</f>
        <v>No</v>
      </c>
      <c r="T418" s="10">
        <f>IFERROR(__xludf.DUMMYFUNCTION("""COMPUTED_VALUE"""),0.0)</f>
        <v>0</v>
      </c>
      <c r="U418" s="10">
        <f>IFERROR(__xludf.DUMMYFUNCTION("""COMPUTED_VALUE"""),0.0)</f>
        <v>0</v>
      </c>
      <c r="V418" s="10" t="str">
        <f>IFERROR(__xludf.DUMMYFUNCTION("""COMPUTED_VALUE"""),"پڑوس اور اہل محلہ کے حقوق ")</f>
        <v>پڑوس اور اہل محلہ کے حقوق </v>
      </c>
      <c r="W418" s="10" t="str">
        <f>IFERROR(__xludf.DUMMYFUNCTION("""COMPUTED_VALUE"""),"امام نے بیان میں بتایا ہے کہ پڑوسیوں کے ساتھ اچھا سلوک کریں اور اگر وہ آپ کو تکلیف پہنچائیں تو اس پر صبر کریں نہ کہ ان سے لڑنا جگرنا شروع کر دیں اور امام نے بیان میں بتایا ہے کہ اگر جسم کا ایک حصہ درد میں مبتلا ہو تو پورا جسم بے چین رہتا ہے")</f>
        <v>امام نے بیان میں بتایا ہے کہ پڑوسیوں کے ساتھ اچھا سلوک کریں اور اگر وہ آپ کو تکلیف پہنچائیں تو اس پر صبر کریں نہ کہ ان سے لڑنا جگرنا شروع کر دیں اور امام نے بیان میں بتایا ہے کہ اگر جسم کا ایک حصہ درد میں مبتلا ہو تو پورا جسم بے چین رہتا ہے</v>
      </c>
      <c r="X418" s="10">
        <f>IFERROR(__xludf.DUMMYFUNCTION("""COMPUTED_VALUE"""),3.0)</f>
        <v>3</v>
      </c>
      <c r="Y418" s="10">
        <f>IFERROR(__xludf.DUMMYFUNCTION("""COMPUTED_VALUE"""),3.0)</f>
        <v>3</v>
      </c>
      <c r="Z418" s="10">
        <f>IFERROR(__xludf.DUMMYFUNCTION("""COMPUTED_VALUE"""),7.0)</f>
        <v>7</v>
      </c>
      <c r="AA418" s="10">
        <f>IFERROR(__xludf.DUMMYFUNCTION("""COMPUTED_VALUE"""),2.0)</f>
        <v>2</v>
      </c>
      <c r="AB418" s="10">
        <f>IFERROR(__xludf.DUMMYFUNCTION("""COMPUTED_VALUE"""),0.0)</f>
        <v>0</v>
      </c>
      <c r="AC418" s="10">
        <f>IFERROR(__xludf.DUMMYFUNCTION("""COMPUTED_VALUE"""),0.0)</f>
        <v>0</v>
      </c>
      <c r="AD418" s="10">
        <f>IFERROR(__xludf.DUMMYFUNCTION("""COMPUTED_VALUE"""),0.0)</f>
        <v>0</v>
      </c>
      <c r="AE418" s="10">
        <f>IFERROR(__xludf.DUMMYFUNCTION("""COMPUTED_VALUE"""),0.0)</f>
        <v>0</v>
      </c>
      <c r="AF418" s="10">
        <f>IFERROR(__xludf.DUMMYFUNCTION("""COMPUTED_VALUE"""),0.0)</f>
        <v>0</v>
      </c>
      <c r="AG418" s="10">
        <f>IFERROR(__xludf.DUMMYFUNCTION("""COMPUTED_VALUE"""),8.0)</f>
        <v>8</v>
      </c>
      <c r="AH418" s="10">
        <f>IFERROR(__xludf.DUMMYFUNCTION("""COMPUTED_VALUE"""),0.0)</f>
        <v>0</v>
      </c>
      <c r="AI418" s="10">
        <f>IFERROR(__xludf.DUMMYFUNCTION("""COMPUTED_VALUE"""),8.0)</f>
        <v>8</v>
      </c>
      <c r="AJ418" s="11" t="str">
        <f>IFERROR(__xludf.DUMMYFUNCTION("""COMPUTED_VALUE"""),"https://drive.google.com/open?id=1tdsp-zy1T1Y2g2RwAg7nv9gkNUsC45Sy5ezwwuLTTLA")</f>
        <v>https://drive.google.com/open?id=1tdsp-zy1T1Y2g2RwAg7nv9gkNUsC45Sy5ezwwuLTTLA</v>
      </c>
      <c r="AK418" s="12" t="str">
        <f>IFERROR(__xludf.DUMMYFUNCTION("""COMPUTED_VALUE"""),"No ")</f>
        <v>No </v>
      </c>
      <c r="AL418" s="12" t="str">
        <f>IFERROR(__xludf.DUMMYFUNCTION("""COMPUTED_VALUE"""),"Yes")</f>
        <v>Yes</v>
      </c>
      <c r="AM418" s="15">
        <f>IFERROR(__xludf.DUMMYFUNCTION("""COMPUTED_VALUE"""),0.9)</f>
        <v>0.9</v>
      </c>
      <c r="AN418" s="12" t="str">
        <f>IFERROR(__xludf.DUMMYFUNCTION("""COMPUTED_VALUE"""),"2nd week")</f>
        <v>2nd week</v>
      </c>
      <c r="AO418" s="13">
        <v>2.0</v>
      </c>
      <c r="AX418" s="17"/>
    </row>
    <row r="419">
      <c r="B419" s="9">
        <f>IFERROR(__xludf.DUMMYFUNCTION("""COMPUTED_VALUE"""),45885.07455726852)</f>
        <v>45885.07456</v>
      </c>
      <c r="C419" s="10" t="str">
        <f>IFERROR(__xludf.DUMMYFUNCTION("""COMPUTED_VALUE"""),"Asma Gul ")</f>
        <v>Asma Gul </v>
      </c>
      <c r="D419" s="10" t="str">
        <f>IFERROR(__xludf.DUMMYFUNCTION("""COMPUTED_VALUE"""),"03459308620")</f>
        <v>03459308620</v>
      </c>
      <c r="E419" s="10" t="str">
        <f>IFERROR(__xludf.DUMMYFUNCTION("""COMPUTED_VALUE"""),"Jamia Masjid Mastari Kamal Din Khanpur")</f>
        <v>Jamia Masjid Mastari Kamal Din Khanpur</v>
      </c>
      <c r="F419" s="10" t="str">
        <f>IFERROR(__xludf.DUMMYFUNCTION("""COMPUTED_VALUE"""),"xatdf")</f>
        <v>xatdf</v>
      </c>
      <c r="G419" s="10" t="str">
        <f>IFERROR(__xludf.DUMMYFUNCTION("""COMPUTED_VALUE"""),"Yes")</f>
        <v>Yes</v>
      </c>
      <c r="H419" s="10">
        <f>IFERROR(__xludf.DUMMYFUNCTION("""COMPUTED_VALUE"""),8.0)</f>
        <v>8</v>
      </c>
      <c r="I419" s="10">
        <f>IFERROR(__xludf.DUMMYFUNCTION("""COMPUTED_VALUE"""),1.0)</f>
        <v>1</v>
      </c>
      <c r="J419" s="10">
        <f>IFERROR(__xludf.DUMMYFUNCTION("""COMPUTED_VALUE"""),8.0)</f>
        <v>8</v>
      </c>
      <c r="K419" s="10">
        <f>IFERROR(__xludf.DUMMYFUNCTION("""COMPUTED_VALUE"""),8.0)</f>
        <v>8</v>
      </c>
      <c r="L419" s="10">
        <f>IFERROR(__xludf.DUMMYFUNCTION("""COMPUTED_VALUE"""),10.0)</f>
        <v>10</v>
      </c>
      <c r="M419" s="10">
        <f>IFERROR(__xludf.DUMMYFUNCTION("""COMPUTED_VALUE"""),0.0)</f>
        <v>0</v>
      </c>
      <c r="N419" s="10">
        <f>IFERROR(__xludf.DUMMYFUNCTION("""COMPUTED_VALUE"""),10.0)</f>
        <v>10</v>
      </c>
      <c r="O419" s="10">
        <f>IFERROR(__xludf.DUMMYFUNCTION("""COMPUTED_VALUE"""),0.0)</f>
        <v>0</v>
      </c>
      <c r="P419" s="10">
        <f>IFERROR(__xludf.DUMMYFUNCTION("""COMPUTED_VALUE"""),0.0)</f>
        <v>0</v>
      </c>
      <c r="Q419" s="10" t="str">
        <f>IFERROR(__xludf.DUMMYFUNCTION("""COMPUTED_VALUE"""),"No")</f>
        <v>No</v>
      </c>
      <c r="R419" s="10" t="str">
        <f>IFERROR(__xludf.DUMMYFUNCTION("""COMPUTED_VALUE"""),"No")</f>
        <v>No</v>
      </c>
      <c r="S419" s="10" t="str">
        <f>IFERROR(__xludf.DUMMYFUNCTION("""COMPUTED_VALUE"""),"No")</f>
        <v>No</v>
      </c>
      <c r="T419" s="10">
        <f>IFERROR(__xludf.DUMMYFUNCTION("""COMPUTED_VALUE"""),0.0)</f>
        <v>0</v>
      </c>
      <c r="U419" s="10">
        <f>IFERROR(__xludf.DUMMYFUNCTION("""COMPUTED_VALUE"""),0.0)</f>
        <v>0</v>
      </c>
      <c r="V419" s="10" t="str">
        <f>IFERROR(__xludf.DUMMYFUNCTION("""COMPUTED_VALUE"""),"پڑوسیوں کے حقوق")</f>
        <v>پڑوسیوں کے حقوق</v>
      </c>
      <c r="W419" s="10" t="str">
        <f>IFERROR(__xludf.DUMMYFUNCTION("""COMPUTED_VALUE"""),"پڑوسیوں کے ساتھ اچھا سلوک کرنا چاہیے اور اس میں حضرت محمد صلی اللہ علیہ وسلم کا حضرت جبرائیل سے ملاقات کا بھی ذکر کیا گیا ہے اس میں پڑوسی کے حقوق کو بھی واضح کیا گیا ہے")</f>
        <v>پڑوسیوں کے ساتھ اچھا سلوک کرنا چاہیے اور اس میں حضرت محمد صلی اللہ علیہ وسلم کا حضرت جبرائیل سے ملاقات کا بھی ذکر کیا گیا ہے اس میں پڑوسی کے حقوق کو بھی واضح کیا گیا ہے</v>
      </c>
      <c r="X419" s="10">
        <f>IFERROR(__xludf.DUMMYFUNCTION("""COMPUTED_VALUE"""),8.0)</f>
        <v>8</v>
      </c>
      <c r="Y419" s="10">
        <f>IFERROR(__xludf.DUMMYFUNCTION("""COMPUTED_VALUE"""),9.0)</f>
        <v>9</v>
      </c>
      <c r="Z419" s="10">
        <f>IFERROR(__xludf.DUMMYFUNCTION("""COMPUTED_VALUE"""),9.0)</f>
        <v>9</v>
      </c>
      <c r="AA419" s="10">
        <f>IFERROR(__xludf.DUMMYFUNCTION("""COMPUTED_VALUE"""),8.0)</f>
        <v>8</v>
      </c>
      <c r="AB419" s="10">
        <f>IFERROR(__xludf.DUMMYFUNCTION("""COMPUTED_VALUE"""),10.0)</f>
        <v>10</v>
      </c>
      <c r="AC419" s="10">
        <f>IFERROR(__xludf.DUMMYFUNCTION("""COMPUTED_VALUE"""),5.0)</f>
        <v>5</v>
      </c>
      <c r="AD419" s="10">
        <f>IFERROR(__xludf.DUMMYFUNCTION("""COMPUTED_VALUE"""),5.0)</f>
        <v>5</v>
      </c>
      <c r="AE419" s="10">
        <f>IFERROR(__xludf.DUMMYFUNCTION("""COMPUTED_VALUE"""),9.0)</f>
        <v>9</v>
      </c>
      <c r="AF419" s="10">
        <f>IFERROR(__xludf.DUMMYFUNCTION("""COMPUTED_VALUE"""),1.0)</f>
        <v>1</v>
      </c>
      <c r="AG419" s="10">
        <f>IFERROR(__xludf.DUMMYFUNCTION("""COMPUTED_VALUE"""),9.0)</f>
        <v>9</v>
      </c>
      <c r="AH419" s="10">
        <f>IFERROR(__xludf.DUMMYFUNCTION("""COMPUTED_VALUE"""),1.0)</f>
        <v>1</v>
      </c>
      <c r="AI419" s="10">
        <f>IFERROR(__xludf.DUMMYFUNCTION("""COMPUTED_VALUE"""),8.0)</f>
        <v>8</v>
      </c>
      <c r="AJ419" s="11" t="str">
        <f>IFERROR(__xludf.DUMMYFUNCTION("""COMPUTED_VALUE"""),"https://drive.google.com/open?id=1WXTQmOtw_l3EgdNsbJkcNBf9ZWJYU5cwtzat49eoR58")</f>
        <v>https://drive.google.com/open?id=1WXTQmOtw_l3EgdNsbJkcNBf9ZWJYU5cwtzat49eoR58</v>
      </c>
      <c r="AK419" s="12"/>
      <c r="AL419" s="12" t="str">
        <f>IFERROR(__xludf.DUMMYFUNCTION("""COMPUTED_VALUE"""),"Yes")</f>
        <v>Yes</v>
      </c>
      <c r="AM419" s="15">
        <f>IFERROR(__xludf.DUMMYFUNCTION("""COMPUTED_VALUE"""),0.8)</f>
        <v>0.8</v>
      </c>
      <c r="AN419" s="12" t="str">
        <f>IFERROR(__xludf.DUMMYFUNCTION("""COMPUTED_VALUE"""),"1st week")</f>
        <v>1st week</v>
      </c>
      <c r="AO419" s="13">
        <v>1.0</v>
      </c>
      <c r="AX419" s="17"/>
    </row>
    <row r="420">
      <c r="B420" s="9">
        <f>IFERROR(__xludf.DUMMYFUNCTION("""COMPUTED_VALUE"""),45885.07938011574)</f>
        <v>45885.07938</v>
      </c>
      <c r="C420" s="10" t="str">
        <f>IFERROR(__xludf.DUMMYFUNCTION("""COMPUTED_VALUE"""),"Asma Gul ")</f>
        <v>Asma Gul </v>
      </c>
      <c r="D420" s="10" t="str">
        <f>IFERROR(__xludf.DUMMYFUNCTION("""COMPUTED_VALUE"""),"03459308620")</f>
        <v>03459308620</v>
      </c>
      <c r="E420" s="10" t="str">
        <f>IFERROR(__xludf.DUMMYFUNCTION("""COMPUTED_VALUE"""),"Jamia Masjid Mehboob Subhani Oh Shareef")</f>
        <v>Jamia Masjid Mehboob Subhani Oh Shareef</v>
      </c>
      <c r="F420" s="10" t="str">
        <f>IFERROR(__xludf.DUMMYFUNCTION("""COMPUTED_VALUE"""),"joffe")</f>
        <v>joffe</v>
      </c>
      <c r="G420" s="10" t="str">
        <f>IFERROR(__xludf.DUMMYFUNCTION("""COMPUTED_VALUE"""),"Yes")</f>
        <v>Yes</v>
      </c>
      <c r="H420" s="10">
        <f>IFERROR(__xludf.DUMMYFUNCTION("""COMPUTED_VALUE"""),8.0)</f>
        <v>8</v>
      </c>
      <c r="I420" s="10">
        <f>IFERROR(__xludf.DUMMYFUNCTION("""COMPUTED_VALUE"""),2.0)</f>
        <v>2</v>
      </c>
      <c r="J420" s="10">
        <f>IFERROR(__xludf.DUMMYFUNCTION("""COMPUTED_VALUE"""),8.0)</f>
        <v>8</v>
      </c>
      <c r="K420" s="10">
        <f>IFERROR(__xludf.DUMMYFUNCTION("""COMPUTED_VALUE"""),0.0)</f>
        <v>0</v>
      </c>
      <c r="L420" s="10">
        <f>IFERROR(__xludf.DUMMYFUNCTION("""COMPUTED_VALUE"""),8.0)</f>
        <v>8</v>
      </c>
      <c r="M420" s="10">
        <f>IFERROR(__xludf.DUMMYFUNCTION("""COMPUTED_VALUE"""),0.0)</f>
        <v>0</v>
      </c>
      <c r="N420" s="10">
        <f>IFERROR(__xludf.DUMMYFUNCTION("""COMPUTED_VALUE"""),8.0)</f>
        <v>8</v>
      </c>
      <c r="O420" s="10">
        <f>IFERROR(__xludf.DUMMYFUNCTION("""COMPUTED_VALUE"""),0.0)</f>
        <v>0</v>
      </c>
      <c r="P420" s="10">
        <f>IFERROR(__xludf.DUMMYFUNCTION("""COMPUTED_VALUE"""),8.0)</f>
        <v>8</v>
      </c>
      <c r="Q420" s="10" t="str">
        <f>IFERROR(__xludf.DUMMYFUNCTION("""COMPUTED_VALUE"""),"No")</f>
        <v>No</v>
      </c>
      <c r="R420" s="10" t="str">
        <f>IFERROR(__xludf.DUMMYFUNCTION("""COMPUTED_VALUE"""),"No")</f>
        <v>No</v>
      </c>
      <c r="S420" s="10" t="str">
        <f>IFERROR(__xludf.DUMMYFUNCTION("""COMPUTED_VALUE"""),"No")</f>
        <v>No</v>
      </c>
      <c r="T420" s="10">
        <f>IFERROR(__xludf.DUMMYFUNCTION("""COMPUTED_VALUE"""),0.0)</f>
        <v>0</v>
      </c>
      <c r="U420" s="10">
        <f>IFERROR(__xludf.DUMMYFUNCTION("""COMPUTED_VALUE"""),0.0)</f>
        <v>0</v>
      </c>
      <c r="V420" s="10" t="str">
        <f>IFERROR(__xludf.DUMMYFUNCTION("""COMPUTED_VALUE""")," پڑوسیوں کے حقوق")</f>
        <v> پڑوسیوں کے حقوق</v>
      </c>
      <c r="W420" s="10" t="str">
        <f>IFERROR(__xludf.DUMMYFUNCTION("""COMPUTED_VALUE"""),"پڑوسی کے حقوق کا ذکر کیا ہے ان کے ساتھ اچھا اس نے سلوک کرنے کا ذکر کیا حضرت جبرائیل علیہ السلام کا نبی پاک صلی اللہ علیہ وسلم کو تاکید کرنے کا ذکر کیا ہے")</f>
        <v>پڑوسی کے حقوق کا ذکر کیا ہے ان کے ساتھ اچھا اس نے سلوک کرنے کا ذکر کیا حضرت جبرائیل علیہ السلام کا نبی پاک صلی اللہ علیہ وسلم کو تاکید کرنے کا ذکر کیا ہے</v>
      </c>
      <c r="X420" s="10">
        <f>IFERROR(__xludf.DUMMYFUNCTION("""COMPUTED_VALUE"""),3.0)</f>
        <v>3</v>
      </c>
      <c r="Y420" s="10">
        <f>IFERROR(__xludf.DUMMYFUNCTION("""COMPUTED_VALUE"""),8.0)</f>
        <v>8</v>
      </c>
      <c r="Z420" s="10">
        <f>IFERROR(__xludf.DUMMYFUNCTION("""COMPUTED_VALUE"""),8.0)</f>
        <v>8</v>
      </c>
      <c r="AA420" s="10">
        <f>IFERROR(__xludf.DUMMYFUNCTION("""COMPUTED_VALUE"""),8.0)</f>
        <v>8</v>
      </c>
      <c r="AB420" s="10">
        <f>IFERROR(__xludf.DUMMYFUNCTION("""COMPUTED_VALUE"""),8.0)</f>
        <v>8</v>
      </c>
      <c r="AC420" s="10">
        <f>IFERROR(__xludf.DUMMYFUNCTION("""COMPUTED_VALUE"""),5.0)</f>
        <v>5</v>
      </c>
      <c r="AD420" s="10">
        <f>IFERROR(__xludf.DUMMYFUNCTION("""COMPUTED_VALUE"""),0.0)</f>
        <v>0</v>
      </c>
      <c r="AE420" s="10">
        <f>IFERROR(__xludf.DUMMYFUNCTION("""COMPUTED_VALUE"""),8.0)</f>
        <v>8</v>
      </c>
      <c r="AF420" s="10">
        <f>IFERROR(__xludf.DUMMYFUNCTION("""COMPUTED_VALUE"""),1.0)</f>
        <v>1</v>
      </c>
      <c r="AG420" s="10">
        <f>IFERROR(__xludf.DUMMYFUNCTION("""COMPUTED_VALUE"""),8.0)</f>
        <v>8</v>
      </c>
      <c r="AH420" s="10">
        <f>IFERROR(__xludf.DUMMYFUNCTION("""COMPUTED_VALUE"""),0.0)</f>
        <v>0</v>
      </c>
      <c r="AI420" s="10">
        <f>IFERROR(__xludf.DUMMYFUNCTION("""COMPUTED_VALUE"""),8.0)</f>
        <v>8</v>
      </c>
      <c r="AJ420" s="11" t="str">
        <f>IFERROR(__xludf.DUMMYFUNCTION("""COMPUTED_VALUE"""),"https://drive.google.com/open?id=10XyAenIdVkyErV1YnrTBbPF5r5hZ9jRMUtGjLNERhDI")</f>
        <v>https://drive.google.com/open?id=10XyAenIdVkyErV1YnrTBbPF5r5hZ9jRMUtGjLNERhDI</v>
      </c>
      <c r="AK420" s="12"/>
      <c r="AL420" s="12" t="str">
        <f>IFERROR(__xludf.DUMMYFUNCTION("""COMPUTED_VALUE"""),"Yes")</f>
        <v>Yes</v>
      </c>
      <c r="AM420" s="15">
        <f>IFERROR(__xludf.DUMMYFUNCTION("""COMPUTED_VALUE"""),0.8)</f>
        <v>0.8</v>
      </c>
      <c r="AN420" s="12" t="str">
        <f>IFERROR(__xludf.DUMMYFUNCTION("""COMPUTED_VALUE"""),"1st week")</f>
        <v>1st week</v>
      </c>
      <c r="AO420" s="13">
        <v>1.0</v>
      </c>
      <c r="AX420" s="17"/>
    </row>
    <row r="421">
      <c r="B421" s="9">
        <f>IFERROR(__xludf.DUMMYFUNCTION("""COMPUTED_VALUE"""),45885.08338087963)</f>
        <v>45885.08338</v>
      </c>
      <c r="C421" s="10" t="str">
        <f>IFERROR(__xludf.DUMMYFUNCTION("""COMPUTED_VALUE"""),"Asma Gul ")</f>
        <v>Asma Gul </v>
      </c>
      <c r="D421" s="10" t="str">
        <f>IFERROR(__xludf.DUMMYFUNCTION("""COMPUTED_VALUE"""),"03459308620")</f>
        <v>03459308620</v>
      </c>
      <c r="E421" s="10" t="str">
        <f>IFERROR(__xludf.DUMMYFUNCTION("""COMPUTED_VALUE"""),"Jamia Masjid Qazia Nawali Kehror Pakka")</f>
        <v>Jamia Masjid Qazia Nawali Kehror Pakka</v>
      </c>
      <c r="F421" s="10" t="str">
        <f>IFERROR(__xludf.DUMMYFUNCTION("""COMPUTED_VALUE"""),"xiinw")</f>
        <v>xiinw</v>
      </c>
      <c r="G421" s="10" t="str">
        <f>IFERROR(__xludf.DUMMYFUNCTION("""COMPUTED_VALUE"""),"Yes")</f>
        <v>Yes</v>
      </c>
      <c r="H421" s="10">
        <f>IFERROR(__xludf.DUMMYFUNCTION("""COMPUTED_VALUE"""),8.0)</f>
        <v>8</v>
      </c>
      <c r="I421" s="10">
        <f>IFERROR(__xludf.DUMMYFUNCTION("""COMPUTED_VALUE"""),2.0)</f>
        <v>2</v>
      </c>
      <c r="J421" s="10">
        <f>IFERROR(__xludf.DUMMYFUNCTION("""COMPUTED_VALUE"""),8.0)</f>
        <v>8</v>
      </c>
      <c r="K421" s="10">
        <f>IFERROR(__xludf.DUMMYFUNCTION("""COMPUTED_VALUE"""),0.0)</f>
        <v>0</v>
      </c>
      <c r="L421" s="10">
        <f>IFERROR(__xludf.DUMMYFUNCTION("""COMPUTED_VALUE"""),10.0)</f>
        <v>10</v>
      </c>
      <c r="M421" s="10">
        <f>IFERROR(__xludf.DUMMYFUNCTION("""COMPUTED_VALUE"""),0.0)</f>
        <v>0</v>
      </c>
      <c r="N421" s="10">
        <f>IFERROR(__xludf.DUMMYFUNCTION("""COMPUTED_VALUE"""),10.0)</f>
        <v>10</v>
      </c>
      <c r="O421" s="10">
        <f>IFERROR(__xludf.DUMMYFUNCTION("""COMPUTED_VALUE"""),0.0)</f>
        <v>0</v>
      </c>
      <c r="P421" s="10">
        <f>IFERROR(__xludf.DUMMYFUNCTION("""COMPUTED_VALUE"""),10.0)</f>
        <v>10</v>
      </c>
      <c r="Q421" s="10" t="str">
        <f>IFERROR(__xludf.DUMMYFUNCTION("""COMPUTED_VALUE"""),"No")</f>
        <v>No</v>
      </c>
      <c r="R421" s="10" t="str">
        <f>IFERROR(__xludf.DUMMYFUNCTION("""COMPUTED_VALUE"""),"Yes")</f>
        <v>Yes</v>
      </c>
      <c r="S421" s="10" t="str">
        <f>IFERROR(__xludf.DUMMYFUNCTION("""COMPUTED_VALUE"""),"No")</f>
        <v>No</v>
      </c>
      <c r="T421" s="10">
        <f>IFERROR(__xludf.DUMMYFUNCTION("""COMPUTED_VALUE"""),0.0)</f>
        <v>0</v>
      </c>
      <c r="U421" s="10">
        <f>IFERROR(__xludf.DUMMYFUNCTION("""COMPUTED_VALUE"""),0.0)</f>
        <v>0</v>
      </c>
      <c r="V421" s="10" t="str">
        <f>IFERROR(__xludf.DUMMYFUNCTION("""COMPUTED_VALUE"""),"پڑوسیوں کے حقوق")</f>
        <v>پڑوسیوں کے حقوق</v>
      </c>
      <c r="W421" s="10" t="str">
        <f>IFERROR(__xludf.DUMMYFUNCTION("""COMPUTED_VALUE"""),"پڑوسیوں کے ساتھ نیک سلوک کرنا چاہیے اور ابھی پاکستان کا ارشاد ہے کہ اگر کسی کے بارے میں جاننا ہو معلومات لینی ہو تو اس کے پڑوسی سے لیں")</f>
        <v>پڑوسیوں کے ساتھ نیک سلوک کرنا چاہیے اور ابھی پاکستان کا ارشاد ہے کہ اگر کسی کے بارے میں جاننا ہو معلومات لینی ہو تو اس کے پڑوسی سے لیں</v>
      </c>
      <c r="X421" s="10">
        <f>IFERROR(__xludf.DUMMYFUNCTION("""COMPUTED_VALUE"""),5.0)</f>
        <v>5</v>
      </c>
      <c r="Y421" s="10">
        <f>IFERROR(__xludf.DUMMYFUNCTION("""COMPUTED_VALUE"""),8.0)</f>
        <v>8</v>
      </c>
      <c r="Z421" s="10">
        <f>IFERROR(__xludf.DUMMYFUNCTION("""COMPUTED_VALUE"""),8.0)</f>
        <v>8</v>
      </c>
      <c r="AA421" s="10">
        <f>IFERROR(__xludf.DUMMYFUNCTION("""COMPUTED_VALUE"""),9.0)</f>
        <v>9</v>
      </c>
      <c r="AB421" s="10">
        <f>IFERROR(__xludf.DUMMYFUNCTION("""COMPUTED_VALUE"""),10.0)</f>
        <v>10</v>
      </c>
      <c r="AC421" s="10">
        <f>IFERROR(__xludf.DUMMYFUNCTION("""COMPUTED_VALUE"""),5.0)</f>
        <v>5</v>
      </c>
      <c r="AD421" s="10">
        <f>IFERROR(__xludf.DUMMYFUNCTION("""COMPUTED_VALUE"""),9.0)</f>
        <v>9</v>
      </c>
      <c r="AE421" s="10">
        <f>IFERROR(__xludf.DUMMYFUNCTION("""COMPUTED_VALUE"""),7.0)</f>
        <v>7</v>
      </c>
      <c r="AF421" s="10">
        <f>IFERROR(__xludf.DUMMYFUNCTION("""COMPUTED_VALUE"""),0.0)</f>
        <v>0</v>
      </c>
      <c r="AG421" s="10">
        <f>IFERROR(__xludf.DUMMYFUNCTION("""COMPUTED_VALUE"""),8.0)</f>
        <v>8</v>
      </c>
      <c r="AH421" s="10">
        <f>IFERROR(__xludf.DUMMYFUNCTION("""COMPUTED_VALUE"""),0.0)</f>
        <v>0</v>
      </c>
      <c r="AI421" s="10">
        <f>IFERROR(__xludf.DUMMYFUNCTION("""COMPUTED_VALUE"""),8.0)</f>
        <v>8</v>
      </c>
      <c r="AJ421" s="11" t="str">
        <f>IFERROR(__xludf.DUMMYFUNCTION("""COMPUTED_VALUE"""),"https://drive.google.com/open?id=1D5TfIjQXF0K7imUdzf0YIqvth-5mABs0sWBuQGk9zXk")</f>
        <v>https://drive.google.com/open?id=1D5TfIjQXF0K7imUdzf0YIqvth-5mABs0sWBuQGk9zXk</v>
      </c>
      <c r="AK421" s="12"/>
      <c r="AL421" s="12" t="str">
        <f>IFERROR(__xludf.DUMMYFUNCTION("""COMPUTED_VALUE"""),"Yes")</f>
        <v>Yes</v>
      </c>
      <c r="AM421" s="15">
        <f>IFERROR(__xludf.DUMMYFUNCTION("""COMPUTED_VALUE"""),0.8)</f>
        <v>0.8</v>
      </c>
      <c r="AN421" s="12" t="str">
        <f>IFERROR(__xludf.DUMMYFUNCTION("""COMPUTED_VALUE"""),"1st week")</f>
        <v>1st week</v>
      </c>
      <c r="AO421" s="13">
        <v>1.0</v>
      </c>
      <c r="AX421" s="17"/>
    </row>
    <row r="422">
      <c r="B422" s="9">
        <f>IFERROR(__xludf.DUMMYFUNCTION("""COMPUTED_VALUE"""),45885.08738532408)</f>
        <v>45885.08739</v>
      </c>
      <c r="C422" s="10" t="str">
        <f>IFERROR(__xludf.DUMMYFUNCTION("""COMPUTED_VALUE"""),"Asma Gul ")</f>
        <v>Asma Gul </v>
      </c>
      <c r="D422" s="10" t="str">
        <f>IFERROR(__xludf.DUMMYFUNCTION("""COMPUTED_VALUE"""),"03459308620")</f>
        <v>03459308620</v>
      </c>
      <c r="E422" s="10" t="str">
        <f>IFERROR(__xludf.DUMMYFUNCTION("""COMPUTED_VALUE"""),"Jamia Masjid Kale Mandi Multan")</f>
        <v>Jamia Masjid Kale Mandi Multan</v>
      </c>
      <c r="F422" s="10" t="str">
        <f>IFERROR(__xludf.DUMMYFUNCTION("""COMPUTED_VALUE"""),"pffes")</f>
        <v>pffes</v>
      </c>
      <c r="G422" s="10" t="str">
        <f>IFERROR(__xludf.DUMMYFUNCTION("""COMPUTED_VALUE"""),"Yes")</f>
        <v>Yes</v>
      </c>
      <c r="H422" s="10">
        <f>IFERROR(__xludf.DUMMYFUNCTION("""COMPUTED_VALUE"""),9.0)</f>
        <v>9</v>
      </c>
      <c r="I422" s="10">
        <f>IFERROR(__xludf.DUMMYFUNCTION("""COMPUTED_VALUE"""),1.0)</f>
        <v>1</v>
      </c>
      <c r="J422" s="10">
        <f>IFERROR(__xludf.DUMMYFUNCTION("""COMPUTED_VALUE"""),9.0)</f>
        <v>9</v>
      </c>
      <c r="K422" s="10">
        <f>IFERROR(__xludf.DUMMYFUNCTION("""COMPUTED_VALUE"""),0.0)</f>
        <v>0</v>
      </c>
      <c r="L422" s="10">
        <f>IFERROR(__xludf.DUMMYFUNCTION("""COMPUTED_VALUE"""),10.0)</f>
        <v>10</v>
      </c>
      <c r="M422" s="10">
        <f>IFERROR(__xludf.DUMMYFUNCTION("""COMPUTED_VALUE"""),0.0)</f>
        <v>0</v>
      </c>
      <c r="N422" s="10">
        <f>IFERROR(__xludf.DUMMYFUNCTION("""COMPUTED_VALUE"""),10.0)</f>
        <v>10</v>
      </c>
      <c r="O422" s="10">
        <f>IFERROR(__xludf.DUMMYFUNCTION("""COMPUTED_VALUE"""),0.0)</f>
        <v>0</v>
      </c>
      <c r="P422" s="10">
        <f>IFERROR(__xludf.DUMMYFUNCTION("""COMPUTED_VALUE"""),9.0)</f>
        <v>9</v>
      </c>
      <c r="Q422" s="10" t="str">
        <f>IFERROR(__xludf.DUMMYFUNCTION("""COMPUTED_VALUE"""),"No")</f>
        <v>No</v>
      </c>
      <c r="R422" s="10" t="str">
        <f>IFERROR(__xludf.DUMMYFUNCTION("""COMPUTED_VALUE"""),"No")</f>
        <v>No</v>
      </c>
      <c r="S422" s="10" t="str">
        <f>IFERROR(__xludf.DUMMYFUNCTION("""COMPUTED_VALUE"""),"No")</f>
        <v>No</v>
      </c>
      <c r="T422" s="10">
        <f>IFERROR(__xludf.DUMMYFUNCTION("""COMPUTED_VALUE"""),0.0)</f>
        <v>0</v>
      </c>
      <c r="U422" s="10">
        <f>IFERROR(__xludf.DUMMYFUNCTION("""COMPUTED_VALUE"""),0.0)</f>
        <v>0</v>
      </c>
      <c r="V422" s="10" t="str">
        <f>IFERROR(__xludf.DUMMYFUNCTION("""COMPUTED_VALUE"""),"پڑوسیوں کے حقوق")</f>
        <v>پڑوسیوں کے حقوق</v>
      </c>
      <c r="W422" s="10" t="str">
        <f>IFERROR(__xludf.DUMMYFUNCTION("""COMPUTED_VALUE"""),"اس میں امام نے پڑوسی کے حقوق کا ذکر کیا ہے اور اپنے گھر کی دیوار پڑوسیوں کے قرض کی دیوار سے اونچی نہیں رکھنی چاہیے اپنے گھر کا کوڑا ان کے سامنے نہیں پھینکنا چاہیے وغیرہ وغیرہ")</f>
        <v>اس میں امام نے پڑوسی کے حقوق کا ذکر کیا ہے اور اپنے گھر کی دیوار پڑوسیوں کے قرض کی دیوار سے اونچی نہیں رکھنی چاہیے اپنے گھر کا کوڑا ان کے سامنے نہیں پھینکنا چاہیے وغیرہ وغیرہ</v>
      </c>
      <c r="X422" s="10">
        <f>IFERROR(__xludf.DUMMYFUNCTION("""COMPUTED_VALUE"""),5.0)</f>
        <v>5</v>
      </c>
      <c r="Y422" s="10">
        <f>IFERROR(__xludf.DUMMYFUNCTION("""COMPUTED_VALUE"""),9.0)</f>
        <v>9</v>
      </c>
      <c r="Z422" s="10">
        <f>IFERROR(__xludf.DUMMYFUNCTION("""COMPUTED_VALUE"""),6.0)</f>
        <v>6</v>
      </c>
      <c r="AA422" s="10">
        <f>IFERROR(__xludf.DUMMYFUNCTION("""COMPUTED_VALUE"""),9.0)</f>
        <v>9</v>
      </c>
      <c r="AB422" s="10">
        <f>IFERROR(__xludf.DUMMYFUNCTION("""COMPUTED_VALUE"""),9.0)</f>
        <v>9</v>
      </c>
      <c r="AC422" s="10">
        <f>IFERROR(__xludf.DUMMYFUNCTION("""COMPUTED_VALUE"""),2.0)</f>
        <v>2</v>
      </c>
      <c r="AD422" s="10">
        <f>IFERROR(__xludf.DUMMYFUNCTION("""COMPUTED_VALUE"""),4.0)</f>
        <v>4</v>
      </c>
      <c r="AE422" s="10">
        <f>IFERROR(__xludf.DUMMYFUNCTION("""COMPUTED_VALUE"""),6.0)</f>
        <v>6</v>
      </c>
      <c r="AF422" s="10">
        <f>IFERROR(__xludf.DUMMYFUNCTION("""COMPUTED_VALUE"""),1.0)</f>
        <v>1</v>
      </c>
      <c r="AG422" s="10">
        <f>IFERROR(__xludf.DUMMYFUNCTION("""COMPUTED_VALUE"""),8.0)</f>
        <v>8</v>
      </c>
      <c r="AH422" s="10">
        <f>IFERROR(__xludf.DUMMYFUNCTION("""COMPUTED_VALUE"""),0.0)</f>
        <v>0</v>
      </c>
      <c r="AI422" s="10">
        <f>IFERROR(__xludf.DUMMYFUNCTION("""COMPUTED_VALUE"""),9.0)</f>
        <v>9</v>
      </c>
      <c r="AJ422" s="11" t="str">
        <f>IFERROR(__xludf.DUMMYFUNCTION("""COMPUTED_VALUE"""),"https://drive.google.com/open?id=11RM2ZaC9nVSQVF0UjGFlg5PgjPEmPz0DHnBbnRnv0c4")</f>
        <v>https://drive.google.com/open?id=11RM2ZaC9nVSQVF0UjGFlg5PgjPEmPz0DHnBbnRnv0c4</v>
      </c>
      <c r="AK422" s="12"/>
      <c r="AL422" s="12" t="str">
        <f>IFERROR(__xludf.DUMMYFUNCTION("""COMPUTED_VALUE"""),"Yes")</f>
        <v>Yes</v>
      </c>
      <c r="AM422" s="15">
        <f>IFERROR(__xludf.DUMMYFUNCTION("""COMPUTED_VALUE"""),0.9)</f>
        <v>0.9</v>
      </c>
      <c r="AN422" s="12" t="str">
        <f>IFERROR(__xludf.DUMMYFUNCTION("""COMPUTED_VALUE"""),"1st week")</f>
        <v>1st week</v>
      </c>
      <c r="AO422" s="13">
        <v>1.0</v>
      </c>
      <c r="AX422" s="17"/>
    </row>
    <row r="423">
      <c r="B423" s="9">
        <f>IFERROR(__xludf.DUMMYFUNCTION("""COMPUTED_VALUE"""),45885.09363480324)</f>
        <v>45885.09363</v>
      </c>
      <c r="C423" s="10" t="str">
        <f>IFERROR(__xludf.DUMMYFUNCTION("""COMPUTED_VALUE"""),"Asma Gul ")</f>
        <v>Asma Gul </v>
      </c>
      <c r="D423" s="10" t="str">
        <f>IFERROR(__xludf.DUMMYFUNCTION("""COMPUTED_VALUE"""),"03459308620")</f>
        <v>03459308620</v>
      </c>
      <c r="E423" s="10" t="str">
        <f>IFERROR(__xludf.DUMMYFUNCTION("""COMPUTED_VALUE"""),"Jamia Masjid Nawab Ali Muhammad Khan Multan")</f>
        <v>Jamia Masjid Nawab Ali Muhammad Khan Multan</v>
      </c>
      <c r="F423" s="10" t="str">
        <f>IFERROR(__xludf.DUMMYFUNCTION("""COMPUTED_VALUE"""),"DODAV")</f>
        <v>DODAV</v>
      </c>
      <c r="G423" s="10" t="str">
        <f>IFERROR(__xludf.DUMMYFUNCTION("""COMPUTED_VALUE"""),"No")</f>
        <v>No</v>
      </c>
      <c r="H423" s="10"/>
      <c r="I423" s="10"/>
      <c r="J423" s="10"/>
      <c r="K423" s="10">
        <f>IFERROR(__xludf.DUMMYFUNCTION("""COMPUTED_VALUE"""),0.0)</f>
        <v>0</v>
      </c>
      <c r="L423" s="10">
        <f>IFERROR(__xludf.DUMMYFUNCTION("""COMPUTED_VALUE"""),4.0)</f>
        <v>4</v>
      </c>
      <c r="M423" s="10">
        <f>IFERROR(__xludf.DUMMYFUNCTION("""COMPUTED_VALUE"""),0.0)</f>
        <v>0</v>
      </c>
      <c r="N423" s="10">
        <f>IFERROR(__xludf.DUMMYFUNCTION("""COMPUTED_VALUE"""),3.0)</f>
        <v>3</v>
      </c>
      <c r="O423" s="10">
        <f>IFERROR(__xludf.DUMMYFUNCTION("""COMPUTED_VALUE"""),0.0)</f>
        <v>0</v>
      </c>
      <c r="P423" s="10">
        <f>IFERROR(__xludf.DUMMYFUNCTION("""COMPUTED_VALUE"""),0.0)</f>
        <v>0</v>
      </c>
      <c r="Q423" s="10" t="str">
        <f>IFERROR(__xludf.DUMMYFUNCTION("""COMPUTED_VALUE"""),"No")</f>
        <v>No</v>
      </c>
      <c r="R423" s="10" t="str">
        <f>IFERROR(__xludf.DUMMYFUNCTION("""COMPUTED_VALUE"""),"No")</f>
        <v>No</v>
      </c>
      <c r="S423" s="10" t="str">
        <f>IFERROR(__xludf.DUMMYFUNCTION("""COMPUTED_VALUE"""),"No")</f>
        <v>No</v>
      </c>
      <c r="T423" s="10">
        <f>IFERROR(__xludf.DUMMYFUNCTION("""COMPUTED_VALUE"""),0.0)</f>
        <v>0</v>
      </c>
      <c r="U423" s="10">
        <f>IFERROR(__xludf.DUMMYFUNCTION("""COMPUTED_VALUE"""),0.0)</f>
        <v>0</v>
      </c>
      <c r="V423" s="10" t="str">
        <f>IFERROR(__xludf.DUMMYFUNCTION("""COMPUTED_VALUE"""),"ازادی کی اہمیت")</f>
        <v>ازادی کی اہمیت</v>
      </c>
      <c r="W423" s="10" t="str">
        <f>IFERROR(__xludf.DUMMYFUNCTION("""COMPUTED_VALUE"""),"14 اگست 1947 ہماری تاریخ میں بہت اہمیت کا حامل دن ہے اس دن ہم نے اپنے ملک کو انگریزوں سے ازاد کروایا اور ہمیں اپنے ملک میں قران و سنت کا نفاذ کرنا چاہیے ہر ایک کو اپنی ذمہ داریاں برابر ادا کرنی چاہیے۔")</f>
        <v>14 اگست 1947 ہماری تاریخ میں بہت اہمیت کا حامل دن ہے اس دن ہم نے اپنے ملک کو انگریزوں سے ازاد کروایا اور ہمیں اپنے ملک میں قران و سنت کا نفاذ کرنا چاہیے ہر ایک کو اپنی ذمہ داریاں برابر ادا کرنی چاہیے۔</v>
      </c>
      <c r="X423" s="10">
        <f>IFERROR(__xludf.DUMMYFUNCTION("""COMPUTED_VALUE"""),7.0)</f>
        <v>7</v>
      </c>
      <c r="Y423" s="10">
        <f>IFERROR(__xludf.DUMMYFUNCTION("""COMPUTED_VALUE"""),8.0)</f>
        <v>8</v>
      </c>
      <c r="Z423" s="10">
        <f>IFERROR(__xludf.DUMMYFUNCTION("""COMPUTED_VALUE"""),7.0)</f>
        <v>7</v>
      </c>
      <c r="AA423" s="10">
        <f>IFERROR(__xludf.DUMMYFUNCTION("""COMPUTED_VALUE"""),8.0)</f>
        <v>8</v>
      </c>
      <c r="AB423" s="10">
        <f>IFERROR(__xludf.DUMMYFUNCTION("""COMPUTED_VALUE"""),10.0)</f>
        <v>10</v>
      </c>
      <c r="AC423" s="10">
        <f>IFERROR(__xludf.DUMMYFUNCTION("""COMPUTED_VALUE"""),9.0)</f>
        <v>9</v>
      </c>
      <c r="AD423" s="10">
        <f>IFERROR(__xludf.DUMMYFUNCTION("""COMPUTED_VALUE"""),9.0)</f>
        <v>9</v>
      </c>
      <c r="AE423" s="10">
        <f>IFERROR(__xludf.DUMMYFUNCTION("""COMPUTED_VALUE"""),7.0)</f>
        <v>7</v>
      </c>
      <c r="AF423" s="10">
        <f>IFERROR(__xludf.DUMMYFUNCTION("""COMPUTED_VALUE"""),0.0)</f>
        <v>0</v>
      </c>
      <c r="AG423" s="10">
        <f>IFERROR(__xludf.DUMMYFUNCTION("""COMPUTED_VALUE"""),9.0)</f>
        <v>9</v>
      </c>
      <c r="AH423" s="10">
        <f>IFERROR(__xludf.DUMMYFUNCTION("""COMPUTED_VALUE"""),0.0)</f>
        <v>0</v>
      </c>
      <c r="AI423" s="10">
        <f>IFERROR(__xludf.DUMMYFUNCTION("""COMPUTED_VALUE"""),9.0)</f>
        <v>9</v>
      </c>
      <c r="AJ423" s="11" t="str">
        <f>IFERROR(__xludf.DUMMYFUNCTION("""COMPUTED_VALUE"""),"https://drive.google.com/open?id=1MyPVX4e74m2yDpa3Ceum6oBSgPKLqgDVNg7XL_H6Dzs")</f>
        <v>https://drive.google.com/open?id=1MyPVX4e74m2yDpa3Ceum6oBSgPKLqgDVNg7XL_H6Dzs</v>
      </c>
      <c r="AK423" s="12"/>
      <c r="AL423" s="12"/>
      <c r="AM423" s="12"/>
      <c r="AN423" s="12" t="str">
        <f>IFERROR(__xludf.DUMMYFUNCTION("""COMPUTED_VALUE"""),"3rd week")</f>
        <v>3rd week</v>
      </c>
      <c r="AO423" s="13">
        <v>3.0</v>
      </c>
      <c r="AX423" s="17"/>
    </row>
    <row r="424">
      <c r="B424" s="9">
        <f>IFERROR(__xludf.DUMMYFUNCTION("""COMPUTED_VALUE"""),45885.100221863424)</f>
        <v>45885.10022</v>
      </c>
      <c r="C424" s="10" t="str">
        <f>IFERROR(__xludf.DUMMYFUNCTION("""COMPUTED_VALUE"""),"Asma Gul ")</f>
        <v>Asma Gul </v>
      </c>
      <c r="D424" s="10" t="str">
        <f>IFERROR(__xludf.DUMMYFUNCTION("""COMPUTED_VALUE"""),"03459308620")</f>
        <v>03459308620</v>
      </c>
      <c r="E424" s="10" t="str">
        <f>IFERROR(__xludf.DUMMYFUNCTION("""COMPUTED_VALUE"""),"Jamia Masjid Madina Pepal Wali Multan")</f>
        <v>Jamia Masjid Madina Pepal Wali Multan</v>
      </c>
      <c r="F424" s="10" t="str">
        <f>IFERROR(__xludf.DUMMYFUNCTION("""COMPUTED_VALUE"""),"WPQFG")</f>
        <v>WPQFG</v>
      </c>
      <c r="G424" s="10" t="str">
        <f>IFERROR(__xludf.DUMMYFUNCTION("""COMPUTED_VALUE"""),"No")</f>
        <v>No</v>
      </c>
      <c r="H424" s="10"/>
      <c r="I424" s="10"/>
      <c r="J424" s="10"/>
      <c r="K424" s="10">
        <f>IFERROR(__xludf.DUMMYFUNCTION("""COMPUTED_VALUE"""),2.0)</f>
        <v>2</v>
      </c>
      <c r="L424" s="10">
        <f>IFERROR(__xludf.DUMMYFUNCTION("""COMPUTED_VALUE"""),0.0)</f>
        <v>0</v>
      </c>
      <c r="M424" s="10">
        <f>IFERROR(__xludf.DUMMYFUNCTION("""COMPUTED_VALUE"""),0.0)</f>
        <v>0</v>
      </c>
      <c r="N424" s="10">
        <f>IFERROR(__xludf.DUMMYFUNCTION("""COMPUTED_VALUE"""),0.0)</f>
        <v>0</v>
      </c>
      <c r="O424" s="10">
        <f>IFERROR(__xludf.DUMMYFUNCTION("""COMPUTED_VALUE"""),0.0)</f>
        <v>0</v>
      </c>
      <c r="P424" s="10">
        <f>IFERROR(__xludf.DUMMYFUNCTION("""COMPUTED_VALUE"""),0.0)</f>
        <v>0</v>
      </c>
      <c r="Q424" s="10" t="str">
        <f>IFERROR(__xludf.DUMMYFUNCTION("""COMPUTED_VALUE"""),"No")</f>
        <v>No</v>
      </c>
      <c r="R424" s="10" t="str">
        <f>IFERROR(__xludf.DUMMYFUNCTION("""COMPUTED_VALUE"""),"No")</f>
        <v>No</v>
      </c>
      <c r="S424" s="10" t="str">
        <f>IFERROR(__xludf.DUMMYFUNCTION("""COMPUTED_VALUE"""),"No")</f>
        <v>No</v>
      </c>
      <c r="T424" s="10">
        <f>IFERROR(__xludf.DUMMYFUNCTION("""COMPUTED_VALUE"""),0.0)</f>
        <v>0</v>
      </c>
      <c r="U424" s="10">
        <f>IFERROR(__xludf.DUMMYFUNCTION("""COMPUTED_VALUE"""),0.0)</f>
        <v>0</v>
      </c>
      <c r="V424" s="10" t="str">
        <f>IFERROR(__xludf.DUMMYFUNCTION("""COMPUTED_VALUE"""),"اللہ کے ولیوں کی نشانی")</f>
        <v>اللہ کے ولیوں کی نشانی</v>
      </c>
      <c r="W424" s="10" t="str">
        <f>IFERROR(__xludf.DUMMYFUNCTION("""COMPUTED_VALUE"""),"اللہ کے ولیوں کے چہرے روشن ہوتے ہیں وہ اپنی جان مال اللہ کی راہ میں قربان کر چکے ہوتے ہیں وہ اللہ کے بندوں پر رحم کرتے ہیں  انکے کام اتے ہیں")</f>
        <v>اللہ کے ولیوں کے چہرے روشن ہوتے ہیں وہ اپنی جان مال اللہ کی راہ میں قربان کر چکے ہوتے ہیں وہ اللہ کے بندوں پر رحم کرتے ہیں  انکے کام اتے ہیں</v>
      </c>
      <c r="X424" s="10">
        <f>IFERROR(__xludf.DUMMYFUNCTION("""COMPUTED_VALUE"""),9.0)</f>
        <v>9</v>
      </c>
      <c r="Y424" s="10">
        <f>IFERROR(__xludf.DUMMYFUNCTION("""COMPUTED_VALUE"""),5.0)</f>
        <v>5</v>
      </c>
      <c r="Z424" s="10">
        <f>IFERROR(__xludf.DUMMYFUNCTION("""COMPUTED_VALUE"""),7.0)</f>
        <v>7</v>
      </c>
      <c r="AA424" s="10">
        <f>IFERROR(__xludf.DUMMYFUNCTION("""COMPUTED_VALUE"""),10.0)</f>
        <v>10</v>
      </c>
      <c r="AB424" s="10">
        <f>IFERROR(__xludf.DUMMYFUNCTION("""COMPUTED_VALUE"""),10.0)</f>
        <v>10</v>
      </c>
      <c r="AC424" s="10">
        <f>IFERROR(__xludf.DUMMYFUNCTION("""COMPUTED_VALUE"""),5.0)</f>
        <v>5</v>
      </c>
      <c r="AD424" s="10">
        <f>IFERROR(__xludf.DUMMYFUNCTION("""COMPUTED_VALUE"""),4.0)</f>
        <v>4</v>
      </c>
      <c r="AE424" s="10">
        <f>IFERROR(__xludf.DUMMYFUNCTION("""COMPUTED_VALUE"""),7.0)</f>
        <v>7</v>
      </c>
      <c r="AF424" s="10">
        <f>IFERROR(__xludf.DUMMYFUNCTION("""COMPUTED_VALUE"""),0.0)</f>
        <v>0</v>
      </c>
      <c r="AG424" s="10">
        <f>IFERROR(__xludf.DUMMYFUNCTION("""COMPUTED_VALUE"""),8.0)</f>
        <v>8</v>
      </c>
      <c r="AH424" s="10">
        <f>IFERROR(__xludf.DUMMYFUNCTION("""COMPUTED_VALUE"""),0.0)</f>
        <v>0</v>
      </c>
      <c r="AI424" s="10">
        <f>IFERROR(__xludf.DUMMYFUNCTION("""COMPUTED_VALUE"""),8.0)</f>
        <v>8</v>
      </c>
      <c r="AJ424" s="11" t="str">
        <f>IFERROR(__xludf.DUMMYFUNCTION("""COMPUTED_VALUE"""),"https://drive.google.com/open?id=1v5PBGi_hKx7vjtj3ea_tgP3YBLe5357Ky3v0gRBzktE")</f>
        <v>https://drive.google.com/open?id=1v5PBGi_hKx7vjtj3ea_tgP3YBLe5357Ky3v0gRBzktE</v>
      </c>
      <c r="AK424" s="12"/>
      <c r="AL424" s="12"/>
      <c r="AM424" s="12"/>
      <c r="AN424" s="12" t="str">
        <f>IFERROR(__xludf.DUMMYFUNCTION("""COMPUTED_VALUE"""),"3rd week")</f>
        <v>3rd week</v>
      </c>
      <c r="AO424" s="13">
        <v>3.0</v>
      </c>
      <c r="AX424" s="17"/>
    </row>
    <row r="425">
      <c r="B425" s="9">
        <f>IFERROR(__xludf.DUMMYFUNCTION("""COMPUTED_VALUE"""),45885.146031550925)</f>
        <v>45885.14603</v>
      </c>
      <c r="C425" s="10" t="str">
        <f>IFERROR(__xludf.DUMMYFUNCTION("""COMPUTED_VALUE"""),"Atiqa")</f>
        <v>Atiqa</v>
      </c>
      <c r="D425" s="10" t="str">
        <f>IFERROR(__xludf.DUMMYFUNCTION("""COMPUTED_VALUE"""),"03157519977")</f>
        <v>03157519977</v>
      </c>
      <c r="E425" s="10" t="str">
        <f>IFERROR(__xludf.DUMMYFUNCTION("""COMPUTED_VALUE"""),"Jamia Masjid Baha ul Din Zakriya Multan ")</f>
        <v>Jamia Masjid Baha ul Din Zakriya Multan </v>
      </c>
      <c r="F425" s="10" t="str">
        <f>IFERROR(__xludf.DUMMYFUNCTION("""COMPUTED_VALUE"""),"oqjmo")</f>
        <v>oqjmo</v>
      </c>
      <c r="G425" s="10" t="str">
        <f>IFERROR(__xludf.DUMMYFUNCTION("""COMPUTED_VALUE"""),"Yes")</f>
        <v>Yes</v>
      </c>
      <c r="H425" s="10">
        <f>IFERROR(__xludf.DUMMYFUNCTION("""COMPUTED_VALUE"""),6.0)</f>
        <v>6</v>
      </c>
      <c r="I425" s="10">
        <f>IFERROR(__xludf.DUMMYFUNCTION("""COMPUTED_VALUE"""),3.0)</f>
        <v>3</v>
      </c>
      <c r="J425" s="10">
        <f>IFERROR(__xludf.DUMMYFUNCTION("""COMPUTED_VALUE"""),7.0)</f>
        <v>7</v>
      </c>
      <c r="K425" s="10">
        <f>IFERROR(__xludf.DUMMYFUNCTION("""COMPUTED_VALUE"""),9.0)</f>
        <v>9</v>
      </c>
      <c r="L425" s="10">
        <f>IFERROR(__xludf.DUMMYFUNCTION("""COMPUTED_VALUE"""),0.0)</f>
        <v>0</v>
      </c>
      <c r="M425" s="10">
        <f>IFERROR(__xludf.DUMMYFUNCTION("""COMPUTED_VALUE"""),4.0)</f>
        <v>4</v>
      </c>
      <c r="N425" s="10">
        <f>IFERROR(__xludf.DUMMYFUNCTION("""COMPUTED_VALUE"""),0.0)</f>
        <v>0</v>
      </c>
      <c r="O425" s="10">
        <f>IFERROR(__xludf.DUMMYFUNCTION("""COMPUTED_VALUE"""),0.0)</f>
        <v>0</v>
      </c>
      <c r="P425" s="10">
        <f>IFERROR(__xludf.DUMMYFUNCTION("""COMPUTED_VALUE"""),0.0)</f>
        <v>0</v>
      </c>
      <c r="Q425" s="10" t="str">
        <f>IFERROR(__xludf.DUMMYFUNCTION("""COMPUTED_VALUE"""),"No")</f>
        <v>No</v>
      </c>
      <c r="R425" s="10" t="str">
        <f>IFERROR(__xludf.DUMMYFUNCTION("""COMPUTED_VALUE"""),"No")</f>
        <v>No</v>
      </c>
      <c r="S425" s="10" t="str">
        <f>IFERROR(__xludf.DUMMYFUNCTION("""COMPUTED_VALUE"""),"No")</f>
        <v>No</v>
      </c>
      <c r="T425" s="10">
        <f>IFERROR(__xludf.DUMMYFUNCTION("""COMPUTED_VALUE"""),0.0)</f>
        <v>0</v>
      </c>
      <c r="U425" s="10">
        <f>IFERROR(__xludf.DUMMYFUNCTION("""COMPUTED_VALUE"""),0.0)</f>
        <v>0</v>
      </c>
      <c r="V425" s="10" t="str">
        <f>IFERROR(__xludf.DUMMYFUNCTION("""COMPUTED_VALUE"""),"اسلام میں عورتوں کے حقوق ")</f>
        <v>اسلام میں عورتوں کے حقوق </v>
      </c>
      <c r="W425" s="10" t="str">
        <f>IFERROR(__xludf.DUMMYFUNCTION("""COMPUTED_VALUE"""),"قبل اسلام عورتوں کے ساتھ کیسا سلوک کیا جاتا تھا اور اسلام کی امد سے عورتوں کو معاشرے میں جو مقام و مرتبہ ملا اس کے بارے میں بات کی گئی۔ محمد صلی اللہ علیہ وسلم نے کس طرح اپنی بیٹی اور رضائی بہن کا عزت و تکریم سے استقبال کیا۔ اسلام میں ماں بہن بیوی بیٹی کے"&amp;" ساتھ اچھے سلوک پر اجر و ثواب بیان کیا گیا۔ ")</f>
        <v>قبل اسلام عورتوں کے ساتھ کیسا سلوک کیا جاتا تھا اور اسلام کی امد سے عورتوں کو معاشرے میں جو مقام و مرتبہ ملا اس کے بارے میں بات کی گئی۔ محمد صلی اللہ علیہ وسلم نے کس طرح اپنی بیٹی اور رضائی بہن کا عزت و تکریم سے استقبال کیا۔ اسلام میں ماں بہن بیوی بیٹی کے ساتھ اچھے سلوک پر اجر و ثواب بیان کیا گیا۔ </v>
      </c>
      <c r="X425" s="10">
        <f>IFERROR(__xludf.DUMMYFUNCTION("""COMPUTED_VALUE"""),0.0)</f>
        <v>0</v>
      </c>
      <c r="Y425" s="10">
        <f>IFERROR(__xludf.DUMMYFUNCTION("""COMPUTED_VALUE"""),3.0)</f>
        <v>3</v>
      </c>
      <c r="Z425" s="10">
        <f>IFERROR(__xludf.DUMMYFUNCTION("""COMPUTED_VALUE"""),4.0)</f>
        <v>4</v>
      </c>
      <c r="AA425" s="10">
        <f>IFERROR(__xludf.DUMMYFUNCTION("""COMPUTED_VALUE"""),7.0)</f>
        <v>7</v>
      </c>
      <c r="AB425" s="10">
        <f>IFERROR(__xludf.DUMMYFUNCTION("""COMPUTED_VALUE"""),2.0)</f>
        <v>2</v>
      </c>
      <c r="AC425" s="10">
        <f>IFERROR(__xludf.DUMMYFUNCTION("""COMPUTED_VALUE"""),0.0)</f>
        <v>0</v>
      </c>
      <c r="AD425" s="10">
        <f>IFERROR(__xludf.DUMMYFUNCTION("""COMPUTED_VALUE"""),0.0)</f>
        <v>0</v>
      </c>
      <c r="AE425" s="10">
        <f>IFERROR(__xludf.DUMMYFUNCTION("""COMPUTED_VALUE"""),0.0)</f>
        <v>0</v>
      </c>
      <c r="AF425" s="10">
        <f>IFERROR(__xludf.DUMMYFUNCTION("""COMPUTED_VALUE"""),0.0)</f>
        <v>0</v>
      </c>
      <c r="AG425" s="10">
        <f>IFERROR(__xludf.DUMMYFUNCTION("""COMPUTED_VALUE"""),8.0)</f>
        <v>8</v>
      </c>
      <c r="AH425" s="10">
        <f>IFERROR(__xludf.DUMMYFUNCTION("""COMPUTED_VALUE"""),0.0)</f>
        <v>0</v>
      </c>
      <c r="AI425" s="10">
        <f>IFERROR(__xludf.DUMMYFUNCTION("""COMPUTED_VALUE"""),8.0)</f>
        <v>8</v>
      </c>
      <c r="AJ425" s="11" t="str">
        <f>IFERROR(__xludf.DUMMYFUNCTION("""COMPUTED_VALUE"""),"https://drive.google.com/open?id=1Wyrg4rtzvkkiFWoOY9wmeEeJIeRpmsI2qWsiW2hY4n8")</f>
        <v>https://drive.google.com/open?id=1Wyrg4rtzvkkiFWoOY9wmeEeJIeRpmsI2qWsiW2hY4n8</v>
      </c>
      <c r="AK425" s="12"/>
      <c r="AL425" s="12" t="str">
        <f>IFERROR(__xludf.DUMMYFUNCTION("""COMPUTED_VALUE"""),"Yes")</f>
        <v>Yes</v>
      </c>
      <c r="AM425" s="15">
        <f>IFERROR(__xludf.DUMMYFUNCTION("""COMPUTED_VALUE"""),0.6)</f>
        <v>0.6</v>
      </c>
      <c r="AN425" s="12" t="str">
        <f>IFERROR(__xludf.DUMMYFUNCTION("""COMPUTED_VALUE"""),"1st week")</f>
        <v>1st week</v>
      </c>
      <c r="AO425" s="13" t="s">
        <v>9</v>
      </c>
      <c r="AX425" s="17"/>
    </row>
    <row r="426">
      <c r="B426" s="9">
        <f>IFERROR(__xludf.DUMMYFUNCTION("""COMPUTED_VALUE"""),45885.2816665162)</f>
        <v>45885.28167</v>
      </c>
      <c r="C426" s="10" t="str">
        <f>IFERROR(__xludf.DUMMYFUNCTION("""COMPUTED_VALUE"""),"Asma Gul ")</f>
        <v>Asma Gul </v>
      </c>
      <c r="D426" s="10" t="str">
        <f>IFERROR(__xludf.DUMMYFUNCTION("""COMPUTED_VALUE"""),"03459308620")</f>
        <v>03459308620</v>
      </c>
      <c r="E426" s="10" t="str">
        <f>IFERROR(__xludf.DUMMYFUNCTION("""COMPUTED_VALUE"""),"Jamia Masjid Darbar Khawaja Noor Muhammad Maharwi")</f>
        <v>Jamia Masjid Darbar Khawaja Noor Muhammad Maharwi</v>
      </c>
      <c r="F426" s="10" t="str">
        <f>IFERROR(__xludf.DUMMYFUNCTION("""COMPUTED_VALUE"""),"hrsog")</f>
        <v>hrsog</v>
      </c>
      <c r="G426" s="10" t="str">
        <f>IFERROR(__xludf.DUMMYFUNCTION("""COMPUTED_VALUE"""),"No")</f>
        <v>No</v>
      </c>
      <c r="H426" s="10"/>
      <c r="I426" s="10"/>
      <c r="J426" s="10"/>
      <c r="K426" s="10">
        <f>IFERROR(__xludf.DUMMYFUNCTION("""COMPUTED_VALUE"""),0.0)</f>
        <v>0</v>
      </c>
      <c r="L426" s="10">
        <f>IFERROR(__xludf.DUMMYFUNCTION("""COMPUTED_VALUE"""),0.0)</f>
        <v>0</v>
      </c>
      <c r="M426" s="10">
        <f>IFERROR(__xludf.DUMMYFUNCTION("""COMPUTED_VALUE"""),0.0)</f>
        <v>0</v>
      </c>
      <c r="N426" s="10">
        <f>IFERROR(__xludf.DUMMYFUNCTION("""COMPUTED_VALUE"""),0.0)</f>
        <v>0</v>
      </c>
      <c r="O426" s="10">
        <f>IFERROR(__xludf.DUMMYFUNCTION("""COMPUTED_VALUE"""),0.0)</f>
        <v>0</v>
      </c>
      <c r="P426" s="10">
        <f>IFERROR(__xludf.DUMMYFUNCTION("""COMPUTED_VALUE"""),0.0)</f>
        <v>0</v>
      </c>
      <c r="Q426" s="10" t="str">
        <f>IFERROR(__xludf.DUMMYFUNCTION("""COMPUTED_VALUE"""),"No")</f>
        <v>No</v>
      </c>
      <c r="R426" s="10" t="str">
        <f>IFERROR(__xludf.DUMMYFUNCTION("""COMPUTED_VALUE"""),"No")</f>
        <v>No</v>
      </c>
      <c r="S426" s="10" t="str">
        <f>IFERROR(__xludf.DUMMYFUNCTION("""COMPUTED_VALUE"""),"No")</f>
        <v>No</v>
      </c>
      <c r="T426" s="10">
        <f>IFERROR(__xludf.DUMMYFUNCTION("""COMPUTED_VALUE"""),0.0)</f>
        <v>0</v>
      </c>
      <c r="U426" s="10">
        <f>IFERROR(__xludf.DUMMYFUNCTION("""COMPUTED_VALUE"""),0.0)</f>
        <v>0</v>
      </c>
      <c r="V426" s="10" t="str">
        <f>IFERROR(__xludf.DUMMYFUNCTION("""COMPUTED_VALUE"""),"نعمتوں کا شکر ادا کرنا ")</f>
        <v>نعمتوں کا شکر ادا کرنا </v>
      </c>
      <c r="W426" s="10" t="str">
        <f>IFERROR(__xludf.DUMMYFUNCTION("""COMPUTED_VALUE"""),"ہمیں اللہ تعالی کی دی ہوئی نعمتوں کا شکر ادا کرنا چاہیے جو ہمیں ازادی کی نعمت دی ہے جیسے ہم اللہ تعالی کی عبادت اور ریاضت کرنے میں بالکل ازاد ہے صوم و صلوٰۃ کے پابندی ازادی سے کرتے ہیں تو میں ان سب نعمتوں کا اللہ کا شکر ادا کرنا چاہیے ہمیں ان لوگوں سے سبق"&amp;" سیکھنے چاہیے جو کہ اللہ کی نعمتوں یعنی عامکوں کاموں اور ازادی سے محروم ہو ہمیں ان سبق سیکھنا چاہیے")</f>
        <v>ہمیں اللہ تعالی کی دی ہوئی نعمتوں کا شکر ادا کرنا چاہیے جو ہمیں ازادی کی نعمت دی ہے جیسے ہم اللہ تعالی کی عبادت اور ریاضت کرنے میں بالکل ازاد ہے صوم و صلوٰۃ کے پابندی ازادی سے کرتے ہیں تو میں ان سب نعمتوں کا اللہ کا شکر ادا کرنا چاہیے ہمیں ان لوگوں سے سبق سیکھنے چاہیے جو کہ اللہ کی نعمتوں یعنی عامکوں کاموں اور ازادی سے محروم ہو ہمیں ان سبق سیکھنا چاہیے</v>
      </c>
      <c r="X426" s="10">
        <f>IFERROR(__xludf.DUMMYFUNCTION("""COMPUTED_VALUE"""),9.0)</f>
        <v>9</v>
      </c>
      <c r="Y426" s="10">
        <f>IFERROR(__xludf.DUMMYFUNCTION("""COMPUTED_VALUE"""),8.0)</f>
        <v>8</v>
      </c>
      <c r="Z426" s="10">
        <f>IFERROR(__xludf.DUMMYFUNCTION("""COMPUTED_VALUE"""),9.0)</f>
        <v>9</v>
      </c>
      <c r="AA426" s="10">
        <f>IFERROR(__xludf.DUMMYFUNCTION("""COMPUTED_VALUE"""),9.0)</f>
        <v>9</v>
      </c>
      <c r="AB426" s="10">
        <f>IFERROR(__xludf.DUMMYFUNCTION("""COMPUTED_VALUE"""),9.0)</f>
        <v>9</v>
      </c>
      <c r="AC426" s="10">
        <f>IFERROR(__xludf.DUMMYFUNCTION("""COMPUTED_VALUE"""),9.0)</f>
        <v>9</v>
      </c>
      <c r="AD426" s="10">
        <f>IFERROR(__xludf.DUMMYFUNCTION("""COMPUTED_VALUE"""),9.0)</f>
        <v>9</v>
      </c>
      <c r="AE426" s="10">
        <f>IFERROR(__xludf.DUMMYFUNCTION("""COMPUTED_VALUE"""),6.0)</f>
        <v>6</v>
      </c>
      <c r="AF426" s="10">
        <f>IFERROR(__xludf.DUMMYFUNCTION("""COMPUTED_VALUE"""),0.0)</f>
        <v>0</v>
      </c>
      <c r="AG426" s="10">
        <f>IFERROR(__xludf.DUMMYFUNCTION("""COMPUTED_VALUE"""),9.0)</f>
        <v>9</v>
      </c>
      <c r="AH426" s="10">
        <f>IFERROR(__xludf.DUMMYFUNCTION("""COMPUTED_VALUE"""),0.0)</f>
        <v>0</v>
      </c>
      <c r="AI426" s="10">
        <f>IFERROR(__xludf.DUMMYFUNCTION("""COMPUTED_VALUE"""),9.0)</f>
        <v>9</v>
      </c>
      <c r="AJ426" s="11" t="str">
        <f>IFERROR(__xludf.DUMMYFUNCTION("""COMPUTED_VALUE"""),"https://drive.google.com/open?id=1shnJitRIFu7-g6eKrNkSbo5ZxwnTLJPR8GYTliSrlfA")</f>
        <v>https://drive.google.com/open?id=1shnJitRIFu7-g6eKrNkSbo5ZxwnTLJPR8GYTliSrlfA</v>
      </c>
      <c r="AK426" s="12"/>
      <c r="AL426" s="12"/>
      <c r="AM426" s="12"/>
      <c r="AN426" s="12" t="str">
        <f>IFERROR(__xludf.DUMMYFUNCTION("""COMPUTED_VALUE"""),"3rd week")</f>
        <v>3rd week</v>
      </c>
      <c r="AO426" s="13">
        <v>3.0</v>
      </c>
      <c r="AX426" s="17"/>
    </row>
    <row r="427">
      <c r="B427" s="9">
        <f>IFERROR(__xludf.DUMMYFUNCTION("""COMPUTED_VALUE"""),45885.28531803241)</f>
        <v>45885.28532</v>
      </c>
      <c r="C427" s="10" t="str">
        <f>IFERROR(__xludf.DUMMYFUNCTION("""COMPUTED_VALUE"""),"Atiqa")</f>
        <v>Atiqa</v>
      </c>
      <c r="D427" s="10" t="str">
        <f>IFERROR(__xludf.DUMMYFUNCTION("""COMPUTED_VALUE"""),"03157519977")</f>
        <v>03157519977</v>
      </c>
      <c r="E427" s="10" t="str">
        <f>IFERROR(__xludf.DUMMYFUNCTION("""COMPUTED_VALUE"""),"Jamia Masjid Goth Aalu Sadiqabaad")</f>
        <v>Jamia Masjid Goth Aalu Sadiqabaad</v>
      </c>
      <c r="F427" s="10" t="str">
        <f>IFERROR(__xludf.DUMMYFUNCTION("""COMPUTED_VALUE"""),"tebun")</f>
        <v>tebun</v>
      </c>
      <c r="G427" s="10" t="str">
        <f>IFERROR(__xludf.DUMMYFUNCTION("""COMPUTED_VALUE"""),"Yes")</f>
        <v>Yes</v>
      </c>
      <c r="H427" s="10">
        <f>IFERROR(__xludf.DUMMYFUNCTION("""COMPUTED_VALUE"""),10.0)</f>
        <v>10</v>
      </c>
      <c r="I427" s="10">
        <f>IFERROR(__xludf.DUMMYFUNCTION("""COMPUTED_VALUE"""),3.0)</f>
        <v>3</v>
      </c>
      <c r="J427" s="10">
        <f>IFERROR(__xludf.DUMMYFUNCTION("""COMPUTED_VALUE"""),8.0)</f>
        <v>8</v>
      </c>
      <c r="K427" s="10">
        <f>IFERROR(__xludf.DUMMYFUNCTION("""COMPUTED_VALUE"""),10.0)</f>
        <v>10</v>
      </c>
      <c r="L427" s="10">
        <f>IFERROR(__xludf.DUMMYFUNCTION("""COMPUTED_VALUE"""),0.0)</f>
        <v>0</v>
      </c>
      <c r="M427" s="10">
        <f>IFERROR(__xludf.DUMMYFUNCTION("""COMPUTED_VALUE"""),4.0)</f>
        <v>4</v>
      </c>
      <c r="N427" s="10">
        <f>IFERROR(__xludf.DUMMYFUNCTION("""COMPUTED_VALUE"""),0.0)</f>
        <v>0</v>
      </c>
      <c r="O427" s="10">
        <f>IFERROR(__xludf.DUMMYFUNCTION("""COMPUTED_VALUE"""),7.0)</f>
        <v>7</v>
      </c>
      <c r="P427" s="10">
        <f>IFERROR(__xludf.DUMMYFUNCTION("""COMPUTED_VALUE"""),0.0)</f>
        <v>0</v>
      </c>
      <c r="Q427" s="10" t="str">
        <f>IFERROR(__xludf.DUMMYFUNCTION("""COMPUTED_VALUE"""),"Yes")</f>
        <v>Yes</v>
      </c>
      <c r="R427" s="10" t="str">
        <f>IFERROR(__xludf.DUMMYFUNCTION("""COMPUTED_VALUE"""),"No")</f>
        <v>No</v>
      </c>
      <c r="S427" s="10" t="str">
        <f>IFERROR(__xludf.DUMMYFUNCTION("""COMPUTED_VALUE"""),"Yes")</f>
        <v>Yes</v>
      </c>
      <c r="T427" s="10">
        <f>IFERROR(__xludf.DUMMYFUNCTION("""COMPUTED_VALUE"""),0.0)</f>
        <v>0</v>
      </c>
      <c r="U427" s="10">
        <f>IFERROR(__xludf.DUMMYFUNCTION("""COMPUTED_VALUE"""),0.0)</f>
        <v>0</v>
      </c>
      <c r="V427" s="10" t="str">
        <f>IFERROR(__xludf.DUMMYFUNCTION("""COMPUTED_VALUE"""),"السلام نے عورت کے حقوق، کردار ")</f>
        <v>السلام نے عورت کے حقوق، کردار </v>
      </c>
      <c r="W427" s="10" t="str">
        <f>IFERROR(__xludf.DUMMYFUNCTION("""COMPUTED_VALUE"""),"امام نے محمد صلی اللہ علیہ وسلم پر درود پاک پڑھنے کی فضیلت اور ریاکاری پر بات کی۔ قبل اسلام اور بعد عورت کے ساتھ کیسا سلوک کیا جاتا تھا ۔ محمد صلی اللہ علیہ وسلم کا اپنی بہن شیمہ کا احترام کرنا ۔ اور عورتوں کی تعلیم و تربیت پر بات کی گئی ہے ۔")</f>
        <v>امام نے محمد صلی اللہ علیہ وسلم پر درود پاک پڑھنے کی فضیلت اور ریاکاری پر بات کی۔ قبل اسلام اور بعد عورت کے ساتھ کیسا سلوک کیا جاتا تھا ۔ محمد صلی اللہ علیہ وسلم کا اپنی بہن شیمہ کا احترام کرنا ۔ اور عورتوں کی تعلیم و تربیت پر بات کی گئی ہے ۔</v>
      </c>
      <c r="X427" s="10">
        <f>IFERROR(__xludf.DUMMYFUNCTION("""COMPUTED_VALUE"""),0.0)</f>
        <v>0</v>
      </c>
      <c r="Y427" s="10">
        <f>IFERROR(__xludf.DUMMYFUNCTION("""COMPUTED_VALUE"""),4.0)</f>
        <v>4</v>
      </c>
      <c r="Z427" s="10">
        <f>IFERROR(__xludf.DUMMYFUNCTION("""COMPUTED_VALUE"""),4.0)</f>
        <v>4</v>
      </c>
      <c r="AA427" s="10">
        <f>IFERROR(__xludf.DUMMYFUNCTION("""COMPUTED_VALUE"""),8.0)</f>
        <v>8</v>
      </c>
      <c r="AB427" s="10">
        <f>IFERROR(__xludf.DUMMYFUNCTION("""COMPUTED_VALUE"""),4.0)</f>
        <v>4</v>
      </c>
      <c r="AC427" s="10">
        <f>IFERROR(__xludf.DUMMYFUNCTION("""COMPUTED_VALUE"""),0.0)</f>
        <v>0</v>
      </c>
      <c r="AD427" s="10">
        <f>IFERROR(__xludf.DUMMYFUNCTION("""COMPUTED_VALUE"""),0.0)</f>
        <v>0</v>
      </c>
      <c r="AE427" s="10">
        <f>IFERROR(__xludf.DUMMYFUNCTION("""COMPUTED_VALUE"""),0.0)</f>
        <v>0</v>
      </c>
      <c r="AF427" s="10">
        <f>IFERROR(__xludf.DUMMYFUNCTION("""COMPUTED_VALUE"""),0.0)</f>
        <v>0</v>
      </c>
      <c r="AG427" s="10">
        <f>IFERROR(__xludf.DUMMYFUNCTION("""COMPUTED_VALUE"""),9.0)</f>
        <v>9</v>
      </c>
      <c r="AH427" s="10">
        <f>IFERROR(__xludf.DUMMYFUNCTION("""COMPUTED_VALUE"""),0.0)</f>
        <v>0</v>
      </c>
      <c r="AI427" s="10">
        <f>IFERROR(__xludf.DUMMYFUNCTION("""COMPUTED_VALUE"""),9.0)</f>
        <v>9</v>
      </c>
      <c r="AJ427" s="11" t="str">
        <f>IFERROR(__xludf.DUMMYFUNCTION("""COMPUTED_VALUE"""),"https://drive.google.com/open?id=1FJbeaUHuvAz88dpELZps_vgxBhBdx8mc8jgY_gAbrLw")</f>
        <v>https://drive.google.com/open?id=1FJbeaUHuvAz88dpELZps_vgxBhBdx8mc8jgY_gAbrLw</v>
      </c>
      <c r="AK427" s="12"/>
      <c r="AL427" s="12" t="str">
        <f>IFERROR(__xludf.DUMMYFUNCTION("""COMPUTED_VALUE"""),"Yes")</f>
        <v>Yes</v>
      </c>
      <c r="AM427" s="15">
        <f>IFERROR(__xludf.DUMMYFUNCTION("""COMPUTED_VALUE"""),1.0)</f>
        <v>1</v>
      </c>
      <c r="AN427" s="12" t="str">
        <f>IFERROR(__xludf.DUMMYFUNCTION("""COMPUTED_VALUE"""),"1st week")</f>
        <v>1st week</v>
      </c>
      <c r="AO427" s="13">
        <v>1.0</v>
      </c>
      <c r="AX427" s="17"/>
    </row>
    <row r="428">
      <c r="B428" s="9">
        <f>IFERROR(__xludf.DUMMYFUNCTION("""COMPUTED_VALUE"""),45885.3056469213)</f>
        <v>45885.30565</v>
      </c>
      <c r="C428" s="10" t="str">
        <f>IFERROR(__xludf.DUMMYFUNCTION("""COMPUTED_VALUE"""),"Asma Gul ")</f>
        <v>Asma Gul </v>
      </c>
      <c r="D428" s="10" t="str">
        <f>IFERROR(__xludf.DUMMYFUNCTION("""COMPUTED_VALUE"""),"03459308620")</f>
        <v>03459308620</v>
      </c>
      <c r="E428" s="10" t="str">
        <f>IFERROR(__xludf.DUMMYFUNCTION("""COMPUTED_VALUE"""),"Jamia Masjid Gul Hassan Shahnawah Multan")</f>
        <v>Jamia Masjid Gul Hassan Shahnawah Multan</v>
      </c>
      <c r="F428" s="10" t="str">
        <f>IFERROR(__xludf.DUMMYFUNCTION("""COMPUTED_VALUE"""),"fxlbt")</f>
        <v>fxlbt</v>
      </c>
      <c r="G428" s="10" t="str">
        <f>IFERROR(__xludf.DUMMYFUNCTION("""COMPUTED_VALUE"""),"No")</f>
        <v>No</v>
      </c>
      <c r="H428" s="10"/>
      <c r="I428" s="10"/>
      <c r="J428" s="10"/>
      <c r="K428" s="10">
        <f>IFERROR(__xludf.DUMMYFUNCTION("""COMPUTED_VALUE"""),0.0)</f>
        <v>0</v>
      </c>
      <c r="L428" s="10">
        <f>IFERROR(__xludf.DUMMYFUNCTION("""COMPUTED_VALUE"""),0.0)</f>
        <v>0</v>
      </c>
      <c r="M428" s="10">
        <f>IFERROR(__xludf.DUMMYFUNCTION("""COMPUTED_VALUE"""),0.0)</f>
        <v>0</v>
      </c>
      <c r="N428" s="10">
        <f>IFERROR(__xludf.DUMMYFUNCTION("""COMPUTED_VALUE"""),0.0)</f>
        <v>0</v>
      </c>
      <c r="O428" s="10">
        <f>IFERROR(__xludf.DUMMYFUNCTION("""COMPUTED_VALUE"""),0.0)</f>
        <v>0</v>
      </c>
      <c r="P428" s="10">
        <f>IFERROR(__xludf.DUMMYFUNCTION("""COMPUTED_VALUE"""),0.0)</f>
        <v>0</v>
      </c>
      <c r="Q428" s="10" t="str">
        <f>IFERROR(__xludf.DUMMYFUNCTION("""COMPUTED_VALUE"""),"No")</f>
        <v>No</v>
      </c>
      <c r="R428" s="10" t="str">
        <f>IFERROR(__xludf.DUMMYFUNCTION("""COMPUTED_VALUE"""),"No")</f>
        <v>No</v>
      </c>
      <c r="S428" s="10" t="str">
        <f>IFERROR(__xludf.DUMMYFUNCTION("""COMPUTED_VALUE"""),"No")</f>
        <v>No</v>
      </c>
      <c r="T428" s="10">
        <f>IFERROR(__xludf.DUMMYFUNCTION("""COMPUTED_VALUE"""),0.0)</f>
        <v>0</v>
      </c>
      <c r="U428" s="10">
        <f>IFERROR(__xludf.DUMMYFUNCTION("""COMPUTED_VALUE"""),0.0)</f>
        <v>0</v>
      </c>
      <c r="V428" s="10" t="str">
        <f>IFERROR(__xludf.DUMMYFUNCTION("""COMPUTED_VALUE"""),"جنت کی اہمیت و فضیلت ")</f>
        <v>جنت کی اہمیت و فضیلت </v>
      </c>
      <c r="W428" s="10" t="str">
        <f>IFERROR(__xludf.DUMMYFUNCTION("""COMPUTED_VALUE"""),"اس خطبے میں امام نے جنت میں موجود نعمتوں کا ذکر کیا ہے جو لوگ جنت میں جائیں گے ان کو اللہ تعالی کے دیدار نصیب ہوگا اور یہ سب نعمتوں میں سب سے عظیم نعمت ہے")</f>
        <v>اس خطبے میں امام نے جنت میں موجود نعمتوں کا ذکر کیا ہے جو لوگ جنت میں جائیں گے ان کو اللہ تعالی کے دیدار نصیب ہوگا اور یہ سب نعمتوں میں سب سے عظیم نعمت ہے</v>
      </c>
      <c r="X428" s="10">
        <f>IFERROR(__xludf.DUMMYFUNCTION("""COMPUTED_VALUE"""),7.0)</f>
        <v>7</v>
      </c>
      <c r="Y428" s="10">
        <f>IFERROR(__xludf.DUMMYFUNCTION("""COMPUTED_VALUE"""),5.0)</f>
        <v>5</v>
      </c>
      <c r="Z428" s="10">
        <f>IFERROR(__xludf.DUMMYFUNCTION("""COMPUTED_VALUE"""),5.0)</f>
        <v>5</v>
      </c>
      <c r="AA428" s="10">
        <f>IFERROR(__xludf.DUMMYFUNCTION("""COMPUTED_VALUE"""),9.0)</f>
        <v>9</v>
      </c>
      <c r="AB428" s="10">
        <f>IFERROR(__xludf.DUMMYFUNCTION("""COMPUTED_VALUE"""),7.0)</f>
        <v>7</v>
      </c>
      <c r="AC428" s="10">
        <f>IFERROR(__xludf.DUMMYFUNCTION("""COMPUTED_VALUE"""),5.0)</f>
        <v>5</v>
      </c>
      <c r="AD428" s="10">
        <f>IFERROR(__xludf.DUMMYFUNCTION("""COMPUTED_VALUE"""),5.0)</f>
        <v>5</v>
      </c>
      <c r="AE428" s="10">
        <f>IFERROR(__xludf.DUMMYFUNCTION("""COMPUTED_VALUE"""),5.0)</f>
        <v>5</v>
      </c>
      <c r="AF428" s="10">
        <f>IFERROR(__xludf.DUMMYFUNCTION("""COMPUTED_VALUE"""),0.0)</f>
        <v>0</v>
      </c>
      <c r="AG428" s="10">
        <f>IFERROR(__xludf.DUMMYFUNCTION("""COMPUTED_VALUE"""),8.0)</f>
        <v>8</v>
      </c>
      <c r="AH428" s="10">
        <f>IFERROR(__xludf.DUMMYFUNCTION("""COMPUTED_VALUE"""),0.0)</f>
        <v>0</v>
      </c>
      <c r="AI428" s="10">
        <f>IFERROR(__xludf.DUMMYFUNCTION("""COMPUTED_VALUE"""),8.0)</f>
        <v>8</v>
      </c>
      <c r="AJ428" s="11" t="str">
        <f>IFERROR(__xludf.DUMMYFUNCTION("""COMPUTED_VALUE"""),"https://drive.google.com/open?id=18azfO1e-3SqfBf6ZgkE-zwX69ANVx8YqJ11c7yyCcNg")</f>
        <v>https://drive.google.com/open?id=18azfO1e-3SqfBf6ZgkE-zwX69ANVx8YqJ11c7yyCcNg</v>
      </c>
      <c r="AK428" s="12"/>
      <c r="AL428" s="12"/>
      <c r="AM428" s="12"/>
      <c r="AN428" s="12" t="str">
        <f>IFERROR(__xludf.DUMMYFUNCTION("""COMPUTED_VALUE"""),"3rd week")</f>
        <v>3rd week</v>
      </c>
      <c r="AO428" s="13">
        <v>3.0</v>
      </c>
      <c r="AX428" s="17"/>
    </row>
    <row r="429">
      <c r="B429" s="9">
        <f>IFERROR(__xludf.DUMMYFUNCTION("""COMPUTED_VALUE"""),45885.446103738424)</f>
        <v>45885.4461</v>
      </c>
      <c r="C429" s="10" t="str">
        <f>IFERROR(__xludf.DUMMYFUNCTION("""COMPUTED_VALUE"""),"Sidra")</f>
        <v>Sidra</v>
      </c>
      <c r="D429" s="10" t="str">
        <f>IFERROR(__xludf.DUMMYFUNCTION("""COMPUTED_VALUE"""),"03261416280")</f>
        <v>03261416280</v>
      </c>
      <c r="E429" s="10" t="str">
        <f>IFERROR(__xludf.DUMMYFUNCTION("""COMPUTED_VALUE"""),"Jamia Masjid Gul Din Coloney Nawah City Multan")</f>
        <v>Jamia Masjid Gul Din Coloney Nawah City Multan</v>
      </c>
      <c r="F429" s="10" t="str">
        <f>IFERROR(__xludf.DUMMYFUNCTION("""COMPUTED_VALUE"""),"lvyea")</f>
        <v>lvyea</v>
      </c>
      <c r="G429" s="10" t="str">
        <f>IFERROR(__xludf.DUMMYFUNCTION("""COMPUTED_VALUE"""),"Yes")</f>
        <v>Yes</v>
      </c>
      <c r="H429" s="10">
        <f>IFERROR(__xludf.DUMMYFUNCTION("""COMPUTED_VALUE"""),8.0)</f>
        <v>8</v>
      </c>
      <c r="I429" s="10">
        <f>IFERROR(__xludf.DUMMYFUNCTION("""COMPUTED_VALUE"""),2.0)</f>
        <v>2</v>
      </c>
      <c r="J429" s="10">
        <f>IFERROR(__xludf.DUMMYFUNCTION("""COMPUTED_VALUE"""),8.0)</f>
        <v>8</v>
      </c>
      <c r="K429" s="10">
        <f>IFERROR(__xludf.DUMMYFUNCTION("""COMPUTED_VALUE"""),0.0)</f>
        <v>0</v>
      </c>
      <c r="L429" s="10">
        <f>IFERROR(__xludf.DUMMYFUNCTION("""COMPUTED_VALUE"""),8.0)</f>
        <v>8</v>
      </c>
      <c r="M429" s="10">
        <f>IFERROR(__xludf.DUMMYFUNCTION("""COMPUTED_VALUE"""),0.0)</f>
        <v>0</v>
      </c>
      <c r="N429" s="10">
        <f>IFERROR(__xludf.DUMMYFUNCTION("""COMPUTED_VALUE"""),4.0)</f>
        <v>4</v>
      </c>
      <c r="O429" s="10">
        <f>IFERROR(__xludf.DUMMYFUNCTION("""COMPUTED_VALUE"""),0.0)</f>
        <v>0</v>
      </c>
      <c r="P429" s="10">
        <f>IFERROR(__xludf.DUMMYFUNCTION("""COMPUTED_VALUE"""),1.0)</f>
        <v>1</v>
      </c>
      <c r="Q429" s="10" t="str">
        <f>IFERROR(__xludf.DUMMYFUNCTION("""COMPUTED_VALUE"""),"No")</f>
        <v>No</v>
      </c>
      <c r="R429" s="10" t="str">
        <f>IFERROR(__xludf.DUMMYFUNCTION("""COMPUTED_VALUE"""),"No")</f>
        <v>No</v>
      </c>
      <c r="S429" s="10" t="str">
        <f>IFERROR(__xludf.DUMMYFUNCTION("""COMPUTED_VALUE"""),"No")</f>
        <v>No</v>
      </c>
      <c r="T429" s="10">
        <f>IFERROR(__xludf.DUMMYFUNCTION("""COMPUTED_VALUE"""),0.0)</f>
        <v>0</v>
      </c>
      <c r="U429" s="10">
        <f>IFERROR(__xludf.DUMMYFUNCTION("""COMPUTED_VALUE"""),0.0)</f>
        <v>0</v>
      </c>
      <c r="V429" s="10" t="str">
        <f>IFERROR(__xludf.DUMMYFUNCTION("""COMPUTED_VALUE"""),"پڑوسیوں کے حقوق ")</f>
        <v>پڑوسیوں کے حقوق </v>
      </c>
      <c r="W429" s="10" t="str">
        <f>IFERROR(__xludf.DUMMYFUNCTION("""COMPUTED_VALUE"""),"امام نے بیان میں بتایا ہے کہ ہمیں پڑوسیوں سے حسن سلوک سے پیش آنا چاہیے اور اپنے گھر کی چھت ان کے گھر سے بلند نہیں کرنی چاہیے تاکہ اس کی ہوا نہ رک جائے یہ گنا ہوتا ہے لیکن اگر آپ ان سے اجازت لیں اور وہ مان جائیں تو پھر ہی اپنی چھت بلند کریں ")</f>
        <v>امام نے بیان میں بتایا ہے کہ ہمیں پڑوسیوں سے حسن سلوک سے پیش آنا چاہیے اور اپنے گھر کی چھت ان کے گھر سے بلند نہیں کرنی چاہیے تاکہ اس کی ہوا نہ رک جائے یہ گنا ہوتا ہے لیکن اگر آپ ان سے اجازت لیں اور وہ مان جائیں تو پھر ہی اپنی چھت بلند کریں </v>
      </c>
      <c r="X429" s="10">
        <f>IFERROR(__xludf.DUMMYFUNCTION("""COMPUTED_VALUE"""),2.0)</f>
        <v>2</v>
      </c>
      <c r="Y429" s="10">
        <f>IFERROR(__xludf.DUMMYFUNCTION("""COMPUTED_VALUE"""),0.0)</f>
        <v>0</v>
      </c>
      <c r="Z429" s="10">
        <f>IFERROR(__xludf.DUMMYFUNCTION("""COMPUTED_VALUE"""),6.0)</f>
        <v>6</v>
      </c>
      <c r="AA429" s="10">
        <f>IFERROR(__xludf.DUMMYFUNCTION("""COMPUTED_VALUE"""),3.0)</f>
        <v>3</v>
      </c>
      <c r="AB429" s="10">
        <f>IFERROR(__xludf.DUMMYFUNCTION("""COMPUTED_VALUE"""),0.0)</f>
        <v>0</v>
      </c>
      <c r="AC429" s="10">
        <f>IFERROR(__xludf.DUMMYFUNCTION("""COMPUTED_VALUE"""),0.0)</f>
        <v>0</v>
      </c>
      <c r="AD429" s="10">
        <f>IFERROR(__xludf.DUMMYFUNCTION("""COMPUTED_VALUE"""),0.0)</f>
        <v>0</v>
      </c>
      <c r="AE429" s="10">
        <f>IFERROR(__xludf.DUMMYFUNCTION("""COMPUTED_VALUE"""),0.0)</f>
        <v>0</v>
      </c>
      <c r="AF429" s="10">
        <f>IFERROR(__xludf.DUMMYFUNCTION("""COMPUTED_VALUE"""),0.0)</f>
        <v>0</v>
      </c>
      <c r="AG429" s="10">
        <f>IFERROR(__xludf.DUMMYFUNCTION("""COMPUTED_VALUE"""),8.0)</f>
        <v>8</v>
      </c>
      <c r="AH429" s="10">
        <f>IFERROR(__xludf.DUMMYFUNCTION("""COMPUTED_VALUE"""),0.0)</f>
        <v>0</v>
      </c>
      <c r="AI429" s="10">
        <f>IFERROR(__xludf.DUMMYFUNCTION("""COMPUTED_VALUE"""),9.0)</f>
        <v>9</v>
      </c>
      <c r="AJ429" s="11" t="str">
        <f>IFERROR(__xludf.DUMMYFUNCTION("""COMPUTED_VALUE"""),"https://drive.google.com/open?id=1A4z8fzphrv1YOolo5f37Eo56hgMMSMa3iWTPpkz9ZdU")</f>
        <v>https://drive.google.com/open?id=1A4z8fzphrv1YOolo5f37Eo56hgMMSMa3iWTPpkz9ZdU</v>
      </c>
      <c r="AK429" s="12" t="str">
        <f>IFERROR(__xludf.DUMMYFUNCTION("""COMPUTED_VALUE"""),"No ")</f>
        <v>No </v>
      </c>
      <c r="AL429" s="12" t="str">
        <f>IFERROR(__xludf.DUMMYFUNCTION("""COMPUTED_VALUE"""),"Yes")</f>
        <v>Yes</v>
      </c>
      <c r="AM429" s="15">
        <f>IFERROR(__xludf.DUMMYFUNCTION("""COMPUTED_VALUE"""),0.8)</f>
        <v>0.8</v>
      </c>
      <c r="AN429" s="12" t="str">
        <f>IFERROR(__xludf.DUMMYFUNCTION("""COMPUTED_VALUE"""),"2nd week")</f>
        <v>2nd week</v>
      </c>
      <c r="AO429" s="13">
        <v>2.0</v>
      </c>
      <c r="AX429" s="17"/>
    </row>
    <row r="430">
      <c r="B430" s="9">
        <f>IFERROR(__xludf.DUMMYFUNCTION("""COMPUTED_VALUE"""),45885.45243583333)</f>
        <v>45885.45244</v>
      </c>
      <c r="C430" s="10" t="str">
        <f>IFERROR(__xludf.DUMMYFUNCTION("""COMPUTED_VALUE"""),"Asma Gul ")</f>
        <v>Asma Gul </v>
      </c>
      <c r="D430" s="10" t="str">
        <f>IFERROR(__xludf.DUMMYFUNCTION("""COMPUTED_VALUE"""),"03459308620")</f>
        <v>03459308620</v>
      </c>
      <c r="E430" s="10" t="str">
        <f>IFERROR(__xludf.DUMMYFUNCTION("""COMPUTED_VALUE"""),"Jamia Masjid Shah Shams ( Barlevri ) Multan")</f>
        <v>Jamia Masjid Shah Shams ( Barlevri ) Multan</v>
      </c>
      <c r="F430" s="10" t="str">
        <f>IFERROR(__xludf.DUMMYFUNCTION("""COMPUTED_VALUE"""),"nlhtw")</f>
        <v>nlhtw</v>
      </c>
      <c r="G430" s="10" t="str">
        <f>IFERROR(__xludf.DUMMYFUNCTION("""COMPUTED_VALUE"""),"Yes")</f>
        <v>Yes</v>
      </c>
      <c r="H430" s="10">
        <f>IFERROR(__xludf.DUMMYFUNCTION("""COMPUTED_VALUE"""),10.0)</f>
        <v>10</v>
      </c>
      <c r="I430" s="10">
        <f>IFERROR(__xludf.DUMMYFUNCTION("""COMPUTED_VALUE"""),0.0)</f>
        <v>0</v>
      </c>
      <c r="J430" s="10">
        <f>IFERROR(__xludf.DUMMYFUNCTION("""COMPUTED_VALUE"""),10.0)</f>
        <v>10</v>
      </c>
      <c r="K430" s="10">
        <f>IFERROR(__xludf.DUMMYFUNCTION("""COMPUTED_VALUE"""),0.0)</f>
        <v>0</v>
      </c>
      <c r="L430" s="10">
        <f>IFERROR(__xludf.DUMMYFUNCTION("""COMPUTED_VALUE"""),10.0)</f>
        <v>10</v>
      </c>
      <c r="M430" s="10">
        <f>IFERROR(__xludf.DUMMYFUNCTION("""COMPUTED_VALUE"""),0.0)</f>
        <v>0</v>
      </c>
      <c r="N430" s="10">
        <f>IFERROR(__xludf.DUMMYFUNCTION("""COMPUTED_VALUE"""),10.0)</f>
        <v>10</v>
      </c>
      <c r="O430" s="10">
        <f>IFERROR(__xludf.DUMMYFUNCTION("""COMPUTED_VALUE"""),0.0)</f>
        <v>0</v>
      </c>
      <c r="P430" s="10">
        <f>IFERROR(__xludf.DUMMYFUNCTION("""COMPUTED_VALUE"""),10.0)</f>
        <v>10</v>
      </c>
      <c r="Q430" s="10" t="str">
        <f>IFERROR(__xludf.DUMMYFUNCTION("""COMPUTED_VALUE"""),"No")</f>
        <v>No</v>
      </c>
      <c r="R430" s="10" t="str">
        <f>IFERROR(__xludf.DUMMYFUNCTION("""COMPUTED_VALUE"""),"Yes")</f>
        <v>Yes</v>
      </c>
      <c r="S430" s="10" t="str">
        <f>IFERROR(__xludf.DUMMYFUNCTION("""COMPUTED_VALUE"""),"Yes")</f>
        <v>Yes</v>
      </c>
      <c r="T430" s="10">
        <f>IFERROR(__xludf.DUMMYFUNCTION("""COMPUTED_VALUE"""),0.0)</f>
        <v>0</v>
      </c>
      <c r="U430" s="10">
        <f>IFERROR(__xludf.DUMMYFUNCTION("""COMPUTED_VALUE"""),0.0)</f>
        <v>0</v>
      </c>
      <c r="V430" s="10" t="str">
        <f>IFERROR(__xludf.DUMMYFUNCTION("""COMPUTED_VALUE"""),"پڑوسیوں کا ایذا رسانی سے محفوظ رکھنا")</f>
        <v>پڑوسیوں کا ایذا رسانی سے محفوظ رکھنا</v>
      </c>
      <c r="W430" s="10" t="str">
        <f>IFERROR(__xludf.DUMMYFUNCTION("""COMPUTED_VALUE"""),"اپنے پڑوسیوں کا خیال رکھنا چاہیے اور پڑوسیوں کے حقوق ادا کرنا بھی اسلام کا ایک تقاضا ہے جس شخص کا پڑوسی اس سے خوش ہوا اس کو بخشش دی جائے گی جس شخص کا پڑوسی اس سے خوش ہوا اس کو بخشش دی جائے گی")</f>
        <v>اپنے پڑوسیوں کا خیال رکھنا چاہیے اور پڑوسیوں کے حقوق ادا کرنا بھی اسلام کا ایک تقاضا ہے جس شخص کا پڑوسی اس سے خوش ہوا اس کو بخشش دی جائے گی جس شخص کا پڑوسی اس سے خوش ہوا اس کو بخشش دی جائے گی</v>
      </c>
      <c r="X430" s="10">
        <f>IFERROR(__xludf.DUMMYFUNCTION("""COMPUTED_VALUE"""),9.0)</f>
        <v>9</v>
      </c>
      <c r="Y430" s="10">
        <f>IFERROR(__xludf.DUMMYFUNCTION("""COMPUTED_VALUE"""),10.0)</f>
        <v>10</v>
      </c>
      <c r="Z430" s="10">
        <f>IFERROR(__xludf.DUMMYFUNCTION("""COMPUTED_VALUE"""),9.0)</f>
        <v>9</v>
      </c>
      <c r="AA430" s="10">
        <f>IFERROR(__xludf.DUMMYFUNCTION("""COMPUTED_VALUE"""),9.0)</f>
        <v>9</v>
      </c>
      <c r="AB430" s="10">
        <f>IFERROR(__xludf.DUMMYFUNCTION("""COMPUTED_VALUE"""),9.0)</f>
        <v>9</v>
      </c>
      <c r="AC430" s="10">
        <f>IFERROR(__xludf.DUMMYFUNCTION("""COMPUTED_VALUE"""),7.0)</f>
        <v>7</v>
      </c>
      <c r="AD430" s="10">
        <f>IFERROR(__xludf.DUMMYFUNCTION("""COMPUTED_VALUE"""),6.0)</f>
        <v>6</v>
      </c>
      <c r="AE430" s="10">
        <f>IFERROR(__xludf.DUMMYFUNCTION("""COMPUTED_VALUE"""),5.0)</f>
        <v>5</v>
      </c>
      <c r="AF430" s="10">
        <f>IFERROR(__xludf.DUMMYFUNCTION("""COMPUTED_VALUE"""),0.0)</f>
        <v>0</v>
      </c>
      <c r="AG430" s="10">
        <f>IFERROR(__xludf.DUMMYFUNCTION("""COMPUTED_VALUE"""),9.0)</f>
        <v>9</v>
      </c>
      <c r="AH430" s="10">
        <f>IFERROR(__xludf.DUMMYFUNCTION("""COMPUTED_VALUE"""),0.0)</f>
        <v>0</v>
      </c>
      <c r="AI430" s="10">
        <f>IFERROR(__xludf.DUMMYFUNCTION("""COMPUTED_VALUE"""),9.0)</f>
        <v>9</v>
      </c>
      <c r="AJ430" s="11" t="str">
        <f>IFERROR(__xludf.DUMMYFUNCTION("""COMPUTED_VALUE"""),"https://drive.google.com/open?id=1wxComY7Q0kQDc44tyqPBSUK6jlZOs4ZOI4R4ilfTtzQ")</f>
        <v>https://drive.google.com/open?id=1wxComY7Q0kQDc44tyqPBSUK6jlZOs4ZOI4R4ilfTtzQ</v>
      </c>
      <c r="AK430" s="12"/>
      <c r="AL430" s="12" t="str">
        <f>IFERROR(__xludf.DUMMYFUNCTION("""COMPUTED_VALUE"""),"Yes")</f>
        <v>Yes</v>
      </c>
      <c r="AM430" s="15">
        <f>IFERROR(__xludf.DUMMYFUNCTION("""COMPUTED_VALUE"""),1.0)</f>
        <v>1</v>
      </c>
      <c r="AN430" s="12" t="str">
        <f>IFERROR(__xludf.DUMMYFUNCTION("""COMPUTED_VALUE"""),"2nd week")</f>
        <v>2nd week</v>
      </c>
      <c r="AO430" s="13">
        <v>2.0</v>
      </c>
      <c r="AX430" s="17"/>
    </row>
    <row r="431">
      <c r="B431" s="9">
        <f>IFERROR(__xludf.DUMMYFUNCTION("""COMPUTED_VALUE"""),45885.553086423606)</f>
        <v>45885.55309</v>
      </c>
      <c r="C431" s="10" t="str">
        <f>IFERROR(__xludf.DUMMYFUNCTION("""COMPUTED_VALUE"""),"Arti Kumari ")</f>
        <v>Arti Kumari </v>
      </c>
      <c r="D431" s="10" t="str">
        <f>IFERROR(__xludf.DUMMYFUNCTION("""COMPUTED_VALUE"""),"03346661865")</f>
        <v>03346661865</v>
      </c>
      <c r="E431" s="10" t="str">
        <f>IFERROR(__xludf.DUMMYFUNCTION("""COMPUTED_VALUE"""),"Jamia Masjid Markazi Chishtian")</f>
        <v>Jamia Masjid Markazi Chishtian</v>
      </c>
      <c r="F431" s="10" t="str">
        <f>IFERROR(__xludf.DUMMYFUNCTION("""COMPUTED_VALUE"""),"ybtbu")</f>
        <v>ybtbu</v>
      </c>
      <c r="G431" s="10" t="str">
        <f>IFERROR(__xludf.DUMMYFUNCTION("""COMPUTED_VALUE"""),"Yes")</f>
        <v>Yes</v>
      </c>
      <c r="H431" s="10">
        <f>IFERROR(__xludf.DUMMYFUNCTION("""COMPUTED_VALUE"""),4.0)</f>
        <v>4</v>
      </c>
      <c r="I431" s="10">
        <f>IFERROR(__xludf.DUMMYFUNCTION("""COMPUTED_VALUE"""),6.0)</f>
        <v>6</v>
      </c>
      <c r="J431" s="10">
        <f>IFERROR(__xludf.DUMMYFUNCTION("""COMPUTED_VALUE"""),5.0)</f>
        <v>5</v>
      </c>
      <c r="K431" s="10">
        <f>IFERROR(__xludf.DUMMYFUNCTION("""COMPUTED_VALUE"""),0.0)</f>
        <v>0</v>
      </c>
      <c r="L431" s="10">
        <f>IFERROR(__xludf.DUMMYFUNCTION("""COMPUTED_VALUE"""),5.0)</f>
        <v>5</v>
      </c>
      <c r="M431" s="10">
        <f>IFERROR(__xludf.DUMMYFUNCTION("""COMPUTED_VALUE"""),0.0)</f>
        <v>0</v>
      </c>
      <c r="N431" s="10">
        <f>IFERROR(__xludf.DUMMYFUNCTION("""COMPUTED_VALUE"""),4.0)</f>
        <v>4</v>
      </c>
      <c r="O431" s="10">
        <f>IFERROR(__xludf.DUMMYFUNCTION("""COMPUTED_VALUE"""),0.0)</f>
        <v>0</v>
      </c>
      <c r="P431" s="10">
        <f>IFERROR(__xludf.DUMMYFUNCTION("""COMPUTED_VALUE"""),5.0)</f>
        <v>5</v>
      </c>
      <c r="Q431" s="10" t="str">
        <f>IFERROR(__xludf.DUMMYFUNCTION("""COMPUTED_VALUE"""),"No")</f>
        <v>No</v>
      </c>
      <c r="R431" s="10" t="str">
        <f>IFERROR(__xludf.DUMMYFUNCTION("""COMPUTED_VALUE"""),"No")</f>
        <v>No</v>
      </c>
      <c r="S431" s="10" t="str">
        <f>IFERROR(__xludf.DUMMYFUNCTION("""COMPUTED_VALUE"""),"Yes")</f>
        <v>Yes</v>
      </c>
      <c r="T431" s="10">
        <f>IFERROR(__xludf.DUMMYFUNCTION("""COMPUTED_VALUE"""),0.0)</f>
        <v>0</v>
      </c>
      <c r="U431" s="10">
        <f>IFERROR(__xludf.DUMMYFUNCTION("""COMPUTED_VALUE"""),0.0)</f>
        <v>0</v>
      </c>
      <c r="V431" s="10" t="str">
        <f>IFERROR(__xludf.DUMMYFUNCTION("""COMPUTED_VALUE"""),"حقوق اللہ اور حقوق العباد")</f>
        <v>حقوق اللہ اور حقوق العباد</v>
      </c>
      <c r="W431" s="10" t="str">
        <f>IFERROR(__xludf.DUMMYFUNCTION("""COMPUTED_VALUE"""),"امام نے پہلے اللہ کے حقوق پر بات کی اللہ کے حقوق ادا ہو گیں تو وہ ہماری مدد فرمائے گا اور آخری کچھ حصہ پڑوسیوں کے حقوق اور صفائی ستھرائی پر کیا")</f>
        <v>امام نے پہلے اللہ کے حقوق پر بات کی اللہ کے حقوق ادا ہو گیں تو وہ ہماری مدد فرمائے گا اور آخری کچھ حصہ پڑوسیوں کے حقوق اور صفائی ستھرائی پر کیا</v>
      </c>
      <c r="X431" s="10">
        <f>IFERROR(__xludf.DUMMYFUNCTION("""COMPUTED_VALUE"""),5.0)</f>
        <v>5</v>
      </c>
      <c r="Y431" s="10">
        <f>IFERROR(__xludf.DUMMYFUNCTION("""COMPUTED_VALUE"""),3.0)</f>
        <v>3</v>
      </c>
      <c r="Z431" s="10">
        <f>IFERROR(__xludf.DUMMYFUNCTION("""COMPUTED_VALUE"""),3.0)</f>
        <v>3</v>
      </c>
      <c r="AA431" s="10">
        <f>IFERROR(__xludf.DUMMYFUNCTION("""COMPUTED_VALUE"""),5.0)</f>
        <v>5</v>
      </c>
      <c r="AB431" s="10">
        <f>IFERROR(__xludf.DUMMYFUNCTION("""COMPUTED_VALUE"""),2.0)</f>
        <v>2</v>
      </c>
      <c r="AC431" s="10">
        <f>IFERROR(__xludf.DUMMYFUNCTION("""COMPUTED_VALUE"""),0.0)</f>
        <v>0</v>
      </c>
      <c r="AD431" s="10">
        <f>IFERROR(__xludf.DUMMYFUNCTION("""COMPUTED_VALUE"""),0.0)</f>
        <v>0</v>
      </c>
      <c r="AE431" s="10">
        <f>IFERROR(__xludf.DUMMYFUNCTION("""COMPUTED_VALUE"""),0.0)</f>
        <v>0</v>
      </c>
      <c r="AF431" s="10">
        <f>IFERROR(__xludf.DUMMYFUNCTION("""COMPUTED_VALUE"""),0.0)</f>
        <v>0</v>
      </c>
      <c r="AG431" s="10">
        <f>IFERROR(__xludf.DUMMYFUNCTION("""COMPUTED_VALUE"""),9.0)</f>
        <v>9</v>
      </c>
      <c r="AH431" s="10">
        <f>IFERROR(__xludf.DUMMYFUNCTION("""COMPUTED_VALUE"""),0.0)</f>
        <v>0</v>
      </c>
      <c r="AI431" s="10">
        <f>IFERROR(__xludf.DUMMYFUNCTION("""COMPUTED_VALUE"""),9.0)</f>
        <v>9</v>
      </c>
      <c r="AJ431" s="11" t="str">
        <f>IFERROR(__xludf.DUMMYFUNCTION("""COMPUTED_VALUE"""),"https://drive.google.com/open?id=17E3YlCypHMfUgiKuYIJo1-YPJTb7KFY4")</f>
        <v>https://drive.google.com/open?id=17E3YlCypHMfUgiKuYIJo1-YPJTb7KFY4</v>
      </c>
      <c r="AK431" s="12"/>
      <c r="AL431" s="12" t="str">
        <f>IFERROR(__xludf.DUMMYFUNCTION("""COMPUTED_VALUE"""),"Yes")</f>
        <v>Yes</v>
      </c>
      <c r="AM431" s="15">
        <f>IFERROR(__xludf.DUMMYFUNCTION("""COMPUTED_VALUE"""),0.5)</f>
        <v>0.5</v>
      </c>
      <c r="AN431" s="12" t="str">
        <f>IFERROR(__xludf.DUMMYFUNCTION("""COMPUTED_VALUE"""),"1st week")</f>
        <v>1st week</v>
      </c>
      <c r="AO431" s="13">
        <v>1.0</v>
      </c>
      <c r="AX431" s="17"/>
    </row>
    <row r="432">
      <c r="B432" s="9">
        <f>IFERROR(__xludf.DUMMYFUNCTION("""COMPUTED_VALUE"""),45885.57282443287)</f>
        <v>45885.57282</v>
      </c>
      <c r="C432" s="10" t="str">
        <f>IFERROR(__xludf.DUMMYFUNCTION("""COMPUTED_VALUE"""),"Asma Gul ")</f>
        <v>Asma Gul </v>
      </c>
      <c r="D432" s="10" t="str">
        <f>IFERROR(__xludf.DUMMYFUNCTION("""COMPUTED_VALUE"""),"03459308620")</f>
        <v>03459308620</v>
      </c>
      <c r="E432" s="10" t="str">
        <f>IFERROR(__xludf.DUMMYFUNCTION("""COMPUTED_VALUE"""),"Jamia Masjid Gul Hassan Shahnawah Multan")</f>
        <v>Jamia Masjid Gul Hassan Shahnawah Multan</v>
      </c>
      <c r="F432" s="10" t="str">
        <f>IFERROR(__xludf.DUMMYFUNCTION("""COMPUTED_VALUE"""),"fxlbt")</f>
        <v>fxlbt</v>
      </c>
      <c r="G432" s="10" t="str">
        <f>IFERROR(__xludf.DUMMYFUNCTION("""COMPUTED_VALUE"""),"No")</f>
        <v>No</v>
      </c>
      <c r="H432" s="10"/>
      <c r="I432" s="10"/>
      <c r="J432" s="10"/>
      <c r="K432" s="10">
        <f>IFERROR(__xludf.DUMMYFUNCTION("""COMPUTED_VALUE"""),8.0)</f>
        <v>8</v>
      </c>
      <c r="L432" s="10">
        <f>IFERROR(__xludf.DUMMYFUNCTION("""COMPUTED_VALUE"""),10.0)</f>
        <v>10</v>
      </c>
      <c r="M432" s="10">
        <f>IFERROR(__xludf.DUMMYFUNCTION("""COMPUTED_VALUE"""),0.0)</f>
        <v>0</v>
      </c>
      <c r="N432" s="10">
        <f>IFERROR(__xludf.DUMMYFUNCTION("""COMPUTED_VALUE"""),10.0)</f>
        <v>10</v>
      </c>
      <c r="O432" s="10">
        <f>IFERROR(__xludf.DUMMYFUNCTION("""COMPUTED_VALUE"""),0.0)</f>
        <v>0</v>
      </c>
      <c r="P432" s="10">
        <f>IFERROR(__xludf.DUMMYFUNCTION("""COMPUTED_VALUE"""),9.0)</f>
        <v>9</v>
      </c>
      <c r="Q432" s="10" t="str">
        <f>IFERROR(__xludf.DUMMYFUNCTION("""COMPUTED_VALUE"""),"No")</f>
        <v>No</v>
      </c>
      <c r="R432" s="10" t="str">
        <f>IFERROR(__xludf.DUMMYFUNCTION("""COMPUTED_VALUE"""),"No")</f>
        <v>No</v>
      </c>
      <c r="S432" s="10" t="str">
        <f>IFERROR(__xludf.DUMMYFUNCTION("""COMPUTED_VALUE"""),"No")</f>
        <v>No</v>
      </c>
      <c r="T432" s="10">
        <f>IFERROR(__xludf.DUMMYFUNCTION("""COMPUTED_VALUE"""),0.0)</f>
        <v>0</v>
      </c>
      <c r="U432" s="10">
        <f>IFERROR(__xludf.DUMMYFUNCTION("""COMPUTED_VALUE"""),0.0)</f>
        <v>0</v>
      </c>
      <c r="V432" s="10" t="str">
        <f>IFERROR(__xludf.DUMMYFUNCTION("""COMPUTED_VALUE"""),"حقوق العباد اور حقوق اللہ کی اہمیت")</f>
        <v>حقوق العباد اور حقوق اللہ کی اہمیت</v>
      </c>
      <c r="W432" s="10" t="str">
        <f>IFERROR(__xludf.DUMMYFUNCTION("""COMPUTED_VALUE"""),"حقوق العباد میں پڑوسیوں کا خیال رکھنا چاہئیے اور حقوق اللہ اگر اللہ چاہے تو معاف کر سکتے ہیں ان کی بخشش ہو سکتی ہے شرک گناہ عظیم ہے اس کی بخشش نہیں ہو سکتی پڑوسیوں کے حقوق کا خیال رکھنا چاہیے ")</f>
        <v>حقوق العباد میں پڑوسیوں کا خیال رکھنا چاہئیے اور حقوق اللہ اگر اللہ چاہے تو معاف کر سکتے ہیں ان کی بخشش ہو سکتی ہے شرک گناہ عظیم ہے اس کی بخشش نہیں ہو سکتی پڑوسیوں کے حقوق کا خیال رکھنا چاہیے </v>
      </c>
      <c r="X432" s="10">
        <f>IFERROR(__xludf.DUMMYFUNCTION("""COMPUTED_VALUE"""),9.0)</f>
        <v>9</v>
      </c>
      <c r="Y432" s="10">
        <f>IFERROR(__xludf.DUMMYFUNCTION("""COMPUTED_VALUE"""),9.0)</f>
        <v>9</v>
      </c>
      <c r="Z432" s="10">
        <f>IFERROR(__xludf.DUMMYFUNCTION("""COMPUTED_VALUE"""),9.0)</f>
        <v>9</v>
      </c>
      <c r="AA432" s="10">
        <f>IFERROR(__xludf.DUMMYFUNCTION("""COMPUTED_VALUE"""),10.0)</f>
        <v>10</v>
      </c>
      <c r="AB432" s="10">
        <f>IFERROR(__xludf.DUMMYFUNCTION("""COMPUTED_VALUE"""),10.0)</f>
        <v>10</v>
      </c>
      <c r="AC432" s="10">
        <f>IFERROR(__xludf.DUMMYFUNCTION("""COMPUTED_VALUE"""),6.0)</f>
        <v>6</v>
      </c>
      <c r="AD432" s="10">
        <f>IFERROR(__xludf.DUMMYFUNCTION("""COMPUTED_VALUE"""),7.0)</f>
        <v>7</v>
      </c>
      <c r="AE432" s="10">
        <f>IFERROR(__xludf.DUMMYFUNCTION("""COMPUTED_VALUE"""),7.0)</f>
        <v>7</v>
      </c>
      <c r="AF432" s="10">
        <f>IFERROR(__xludf.DUMMYFUNCTION("""COMPUTED_VALUE"""),0.0)</f>
        <v>0</v>
      </c>
      <c r="AG432" s="10">
        <f>IFERROR(__xludf.DUMMYFUNCTION("""COMPUTED_VALUE"""),9.0)</f>
        <v>9</v>
      </c>
      <c r="AH432" s="10">
        <f>IFERROR(__xludf.DUMMYFUNCTION("""COMPUTED_VALUE"""),0.0)</f>
        <v>0</v>
      </c>
      <c r="AI432" s="10">
        <f>IFERROR(__xludf.DUMMYFUNCTION("""COMPUTED_VALUE"""),9.0)</f>
        <v>9</v>
      </c>
      <c r="AJ432" s="11" t="str">
        <f>IFERROR(__xludf.DUMMYFUNCTION("""COMPUTED_VALUE"""),"https://drive.google.com/open?id=1g44OkqjzRHUiGHDvR_xWr-QPwThojay03JExkZAvZ6s")</f>
        <v>https://drive.google.com/open?id=1g44OkqjzRHUiGHDvR_xWr-QPwThojay03JExkZAvZ6s</v>
      </c>
      <c r="AK432" s="12"/>
      <c r="AL432" s="12"/>
      <c r="AM432" s="12"/>
      <c r="AN432" s="12" t="str">
        <f>IFERROR(__xludf.DUMMYFUNCTION("""COMPUTED_VALUE"""),"1st week")</f>
        <v>1st week</v>
      </c>
      <c r="AO432" s="13" t="s">
        <v>8</v>
      </c>
      <c r="AX432" s="17"/>
    </row>
    <row r="433">
      <c r="B433" s="9">
        <f>IFERROR(__xludf.DUMMYFUNCTION("""COMPUTED_VALUE"""),45885.62855945602)</f>
        <v>45885.62856</v>
      </c>
      <c r="C433" s="10" t="str">
        <f>IFERROR(__xludf.DUMMYFUNCTION("""COMPUTED_VALUE"""),"Arti Kumari ")</f>
        <v>Arti Kumari </v>
      </c>
      <c r="D433" s="10" t="str">
        <f>IFERROR(__xludf.DUMMYFUNCTION("""COMPUTED_VALUE"""),"03346661865")</f>
        <v>03346661865</v>
      </c>
      <c r="E433" s="10" t="str">
        <f>IFERROR(__xludf.DUMMYFUNCTION("""COMPUTED_VALUE"""),"Jamia Masjid Neel Garan Multan")</f>
        <v>Jamia Masjid Neel Garan Multan</v>
      </c>
      <c r="F433" s="10" t="str">
        <f>IFERROR(__xludf.DUMMYFUNCTION("""COMPUTED_VALUE"""),"hjrmq")</f>
        <v>hjrmq</v>
      </c>
      <c r="G433" s="10" t="str">
        <f>IFERROR(__xludf.DUMMYFUNCTION("""COMPUTED_VALUE"""),"Yes")</f>
        <v>Yes</v>
      </c>
      <c r="H433" s="10">
        <f>IFERROR(__xludf.DUMMYFUNCTION("""COMPUTED_VALUE"""),5.0)</f>
        <v>5</v>
      </c>
      <c r="I433" s="10">
        <f>IFERROR(__xludf.DUMMYFUNCTION("""COMPUTED_VALUE"""),5.0)</f>
        <v>5</v>
      </c>
      <c r="J433" s="10">
        <f>IFERROR(__xludf.DUMMYFUNCTION("""COMPUTED_VALUE"""),5.0)</f>
        <v>5</v>
      </c>
      <c r="K433" s="10">
        <f>IFERROR(__xludf.DUMMYFUNCTION("""COMPUTED_VALUE"""),2.0)</f>
        <v>2</v>
      </c>
      <c r="L433" s="10">
        <f>IFERROR(__xludf.DUMMYFUNCTION("""COMPUTED_VALUE"""),7.0)</f>
        <v>7</v>
      </c>
      <c r="M433" s="10">
        <f>IFERROR(__xludf.DUMMYFUNCTION("""COMPUTED_VALUE"""),0.0)</f>
        <v>0</v>
      </c>
      <c r="N433" s="10">
        <f>IFERROR(__xludf.DUMMYFUNCTION("""COMPUTED_VALUE"""),10.0)</f>
        <v>10</v>
      </c>
      <c r="O433" s="10">
        <f>IFERROR(__xludf.DUMMYFUNCTION("""COMPUTED_VALUE"""),0.0)</f>
        <v>0</v>
      </c>
      <c r="P433" s="10">
        <f>IFERROR(__xludf.DUMMYFUNCTION("""COMPUTED_VALUE"""),7.0)</f>
        <v>7</v>
      </c>
      <c r="Q433" s="10" t="str">
        <f>IFERROR(__xludf.DUMMYFUNCTION("""COMPUTED_VALUE"""),"No")</f>
        <v>No</v>
      </c>
      <c r="R433" s="10" t="str">
        <f>IFERROR(__xludf.DUMMYFUNCTION("""COMPUTED_VALUE"""),"Yes")</f>
        <v>Yes</v>
      </c>
      <c r="S433" s="10" t="str">
        <f>IFERROR(__xludf.DUMMYFUNCTION("""COMPUTED_VALUE"""),"Yes")</f>
        <v>Yes</v>
      </c>
      <c r="T433" s="10">
        <f>IFERROR(__xludf.DUMMYFUNCTION("""COMPUTED_VALUE"""),0.0)</f>
        <v>0</v>
      </c>
      <c r="U433" s="10">
        <f>IFERROR(__xludf.DUMMYFUNCTION("""COMPUTED_VALUE"""),0.0)</f>
        <v>0</v>
      </c>
      <c r="V433" s="10" t="str">
        <f>IFERROR(__xludf.DUMMYFUNCTION("""COMPUTED_VALUE"""),"پڑوسیوں کے حقوق اور طہارت و پاکیزگی ")</f>
        <v>پڑوسیوں کے حقوق اور طہارت و پاکیزگی </v>
      </c>
      <c r="W433" s="10" t="str">
        <f>IFERROR(__xludf.DUMMYFUNCTION("""COMPUTED_VALUE"""),"امام نے خطبہ میں پڑوسیوں کے حقوق کا زکر کیا اور محلے کو صاف ستھرا رکھنے کے ساتھ اپنے اردگرد کے ماحول کو صاف رکھنے کے لیے وقت نکالنے کو کہا")</f>
        <v>امام نے خطبہ میں پڑوسیوں کے حقوق کا زکر کیا اور محلے کو صاف ستھرا رکھنے کے ساتھ اپنے اردگرد کے ماحول کو صاف رکھنے کے لیے وقت نکالنے کو کہا</v>
      </c>
      <c r="X433" s="10">
        <f>IFERROR(__xludf.DUMMYFUNCTION("""COMPUTED_VALUE"""),1.0)</f>
        <v>1</v>
      </c>
      <c r="Y433" s="10">
        <f>IFERROR(__xludf.DUMMYFUNCTION("""COMPUTED_VALUE"""),4.0)</f>
        <v>4</v>
      </c>
      <c r="Z433" s="10">
        <f>IFERROR(__xludf.DUMMYFUNCTION("""COMPUTED_VALUE"""),3.0)</f>
        <v>3</v>
      </c>
      <c r="AA433" s="10">
        <f>IFERROR(__xludf.DUMMYFUNCTION("""COMPUTED_VALUE"""),1.0)</f>
        <v>1</v>
      </c>
      <c r="AB433" s="10">
        <f>IFERROR(__xludf.DUMMYFUNCTION("""COMPUTED_VALUE"""),3.0)</f>
        <v>3</v>
      </c>
      <c r="AC433" s="10">
        <f>IFERROR(__xludf.DUMMYFUNCTION("""COMPUTED_VALUE"""),0.0)</f>
        <v>0</v>
      </c>
      <c r="AD433" s="10">
        <f>IFERROR(__xludf.DUMMYFUNCTION("""COMPUTED_VALUE"""),0.0)</f>
        <v>0</v>
      </c>
      <c r="AE433" s="10">
        <f>IFERROR(__xludf.DUMMYFUNCTION("""COMPUTED_VALUE"""),0.0)</f>
        <v>0</v>
      </c>
      <c r="AF433" s="10">
        <f>IFERROR(__xludf.DUMMYFUNCTION("""COMPUTED_VALUE"""),0.0)</f>
        <v>0</v>
      </c>
      <c r="AG433" s="10">
        <f>IFERROR(__xludf.DUMMYFUNCTION("""COMPUTED_VALUE"""),10.0)</f>
        <v>10</v>
      </c>
      <c r="AH433" s="10">
        <f>IFERROR(__xludf.DUMMYFUNCTION("""COMPUTED_VALUE"""),0.0)</f>
        <v>0</v>
      </c>
      <c r="AI433" s="10">
        <f>IFERROR(__xludf.DUMMYFUNCTION("""COMPUTED_VALUE"""),10.0)</f>
        <v>10</v>
      </c>
      <c r="AJ433" s="11" t="str">
        <f>IFERROR(__xludf.DUMMYFUNCTION("""COMPUTED_VALUE"""),"https://drive.google.com/open?id=1EoMT9YjvtiA1Ptr9lVFgTVZkwOe8Bnu9")</f>
        <v>https://drive.google.com/open?id=1EoMT9YjvtiA1Ptr9lVFgTVZkwOe8Bnu9</v>
      </c>
      <c r="AK433" s="12"/>
      <c r="AL433" s="12" t="str">
        <f>IFERROR(__xludf.DUMMYFUNCTION("""COMPUTED_VALUE"""),"Yes")</f>
        <v>Yes</v>
      </c>
      <c r="AM433" s="15">
        <f>IFERROR(__xludf.DUMMYFUNCTION("""COMPUTED_VALUE"""),0.5)</f>
        <v>0.5</v>
      </c>
      <c r="AN433" s="12" t="str">
        <f>IFERROR(__xludf.DUMMYFUNCTION("""COMPUTED_VALUE"""),"2nd week")</f>
        <v>2nd week</v>
      </c>
      <c r="AO433" s="13" t="s">
        <v>9</v>
      </c>
      <c r="AX433" s="17"/>
    </row>
    <row r="434">
      <c r="B434" s="9">
        <f>IFERROR(__xludf.DUMMYFUNCTION("""COMPUTED_VALUE"""),45885.6389109375)</f>
        <v>45885.63891</v>
      </c>
      <c r="C434" s="10" t="str">
        <f>IFERROR(__xludf.DUMMYFUNCTION("""COMPUTED_VALUE"""),"Saira Shahzad ")</f>
        <v>Saira Shahzad </v>
      </c>
      <c r="D434" s="10" t="str">
        <f>IFERROR(__xludf.DUMMYFUNCTION("""COMPUTED_VALUE"""),"03114534696")</f>
        <v>03114534696</v>
      </c>
      <c r="E434" s="10" t="str">
        <f>IFERROR(__xludf.DUMMYFUNCTION("""COMPUTED_VALUE"""),"Jamia Masjid Darbar Abdul Wahaab Shah Bukhari Dera Deen Pnah, Kot Addu")</f>
        <v>Jamia Masjid Darbar Abdul Wahaab Shah Bukhari Dera Deen Pnah, Kot Addu</v>
      </c>
      <c r="F434" s="10" t="str">
        <f>IFERROR(__xludf.DUMMYFUNCTION("""COMPUTED_VALUE"""),"uxump")</f>
        <v>uxump</v>
      </c>
      <c r="G434" s="10" t="str">
        <f>IFERROR(__xludf.DUMMYFUNCTION("""COMPUTED_VALUE"""),"Yes")</f>
        <v>Yes</v>
      </c>
      <c r="H434" s="10">
        <f>IFERROR(__xludf.DUMMYFUNCTION("""COMPUTED_VALUE"""),0.0)</f>
        <v>0</v>
      </c>
      <c r="I434" s="10">
        <f>IFERROR(__xludf.DUMMYFUNCTION("""COMPUTED_VALUE"""),10.0)</f>
        <v>10</v>
      </c>
      <c r="J434" s="10">
        <f>IFERROR(__xludf.DUMMYFUNCTION("""COMPUTED_VALUE"""),0.0)</f>
        <v>0</v>
      </c>
      <c r="K434" s="10">
        <f>IFERROR(__xludf.DUMMYFUNCTION("""COMPUTED_VALUE"""),0.0)</f>
        <v>0</v>
      </c>
      <c r="L434" s="10">
        <f>IFERROR(__xludf.DUMMYFUNCTION("""COMPUTED_VALUE"""),0.0)</f>
        <v>0</v>
      </c>
      <c r="M434" s="10">
        <f>IFERROR(__xludf.DUMMYFUNCTION("""COMPUTED_VALUE"""),0.0)</f>
        <v>0</v>
      </c>
      <c r="N434" s="10">
        <f>IFERROR(__xludf.DUMMYFUNCTION("""COMPUTED_VALUE"""),0.0)</f>
        <v>0</v>
      </c>
      <c r="O434" s="10">
        <f>IFERROR(__xludf.DUMMYFUNCTION("""COMPUTED_VALUE"""),0.0)</f>
        <v>0</v>
      </c>
      <c r="P434" s="10">
        <f>IFERROR(__xludf.DUMMYFUNCTION("""COMPUTED_VALUE"""),0.0)</f>
        <v>0</v>
      </c>
      <c r="Q434" s="10" t="str">
        <f>IFERROR(__xludf.DUMMYFUNCTION("""COMPUTED_VALUE"""),"No")</f>
        <v>No</v>
      </c>
      <c r="R434" s="10" t="str">
        <f>IFERROR(__xludf.DUMMYFUNCTION("""COMPUTED_VALUE"""),"No")</f>
        <v>No</v>
      </c>
      <c r="S434" s="10" t="str">
        <f>IFERROR(__xludf.DUMMYFUNCTION("""COMPUTED_VALUE"""),"No")</f>
        <v>No</v>
      </c>
      <c r="T434" s="10">
        <f>IFERROR(__xludf.DUMMYFUNCTION("""COMPUTED_VALUE"""),0.0)</f>
        <v>0</v>
      </c>
      <c r="U434" s="10">
        <f>IFERROR(__xludf.DUMMYFUNCTION("""COMPUTED_VALUE"""),0.0)</f>
        <v>0</v>
      </c>
      <c r="V434" s="10" t="str">
        <f>IFERROR(__xludf.DUMMYFUNCTION("""COMPUTED_VALUE"""),"حب وطن ")</f>
        <v>حب وطن </v>
      </c>
      <c r="W434" s="10" t="str">
        <f>IFERROR(__xludf.DUMMYFUNCTION("""COMPUTED_VALUE"""),"امام نے اپنے بیان میں حب وطنی پر زور دیا ہے اس نے بتایا کہ اپنا ملک ہونا بہت بری نعمت ہے اس کی قدر کی جائے اور نبی پاک صلی اللہ علیہ والہ وسلم کی اپنے وطن سے محبت کو بیان کیا بنی اسرائیل پر حضرت موسی علیہ السلام کے ذریعے جو نعمتیں نازل کی گئیں اور انہوں ن"&amp;"ے اس کی ناقدری کی اس کے بارے میں بتایا گیا ")</f>
        <v>امام نے اپنے بیان میں حب وطنی پر زور دیا ہے اس نے بتایا کہ اپنا ملک ہونا بہت بری نعمت ہے اس کی قدر کی جائے اور نبی پاک صلی اللہ علیہ والہ وسلم کی اپنے وطن سے محبت کو بیان کیا بنی اسرائیل پر حضرت موسی علیہ السلام کے ذریعے جو نعمتیں نازل کی گئیں اور انہوں نے اس کی ناقدری کی اس کے بارے میں بتایا گیا </v>
      </c>
      <c r="X434" s="10">
        <f>IFERROR(__xludf.DUMMYFUNCTION("""COMPUTED_VALUE"""),2.0)</f>
        <v>2</v>
      </c>
      <c r="Y434" s="10">
        <f>IFERROR(__xludf.DUMMYFUNCTION("""COMPUTED_VALUE"""),6.0)</f>
        <v>6</v>
      </c>
      <c r="Z434" s="10">
        <f>IFERROR(__xludf.DUMMYFUNCTION("""COMPUTED_VALUE"""),7.0)</f>
        <v>7</v>
      </c>
      <c r="AA434" s="10">
        <f>IFERROR(__xludf.DUMMYFUNCTION("""COMPUTED_VALUE"""),5.0)</f>
        <v>5</v>
      </c>
      <c r="AB434" s="10">
        <f>IFERROR(__xludf.DUMMYFUNCTION("""COMPUTED_VALUE"""),6.0)</f>
        <v>6</v>
      </c>
      <c r="AC434" s="10">
        <f>IFERROR(__xludf.DUMMYFUNCTION("""COMPUTED_VALUE"""),0.0)</f>
        <v>0</v>
      </c>
      <c r="AD434" s="10">
        <f>IFERROR(__xludf.DUMMYFUNCTION("""COMPUTED_VALUE"""),0.0)</f>
        <v>0</v>
      </c>
      <c r="AE434" s="10">
        <f>IFERROR(__xludf.DUMMYFUNCTION("""COMPUTED_VALUE"""),0.0)</f>
        <v>0</v>
      </c>
      <c r="AF434" s="10">
        <f>IFERROR(__xludf.DUMMYFUNCTION("""COMPUTED_VALUE"""),0.0)</f>
        <v>0</v>
      </c>
      <c r="AG434" s="10">
        <f>IFERROR(__xludf.DUMMYFUNCTION("""COMPUTED_VALUE"""),8.0)</f>
        <v>8</v>
      </c>
      <c r="AH434" s="10">
        <f>IFERROR(__xludf.DUMMYFUNCTION("""COMPUTED_VALUE"""),0.0)</f>
        <v>0</v>
      </c>
      <c r="AI434" s="10">
        <f>IFERROR(__xludf.DUMMYFUNCTION("""COMPUTED_VALUE"""),8.0)</f>
        <v>8</v>
      </c>
      <c r="AJ434" s="11" t="str">
        <f>IFERROR(__xludf.DUMMYFUNCTION("""COMPUTED_VALUE"""),"https://drive.google.com/open?id=1N55w56HFFS0K34dgsOZT4nA78pfI1msPIi5Y_I-KAdQ")</f>
        <v>https://drive.google.com/open?id=1N55w56HFFS0K34dgsOZT4nA78pfI1msPIi5Y_I-KAdQ</v>
      </c>
      <c r="AK434" s="12" t="str">
        <f>IFERROR(__xludf.DUMMYFUNCTION("""COMPUTED_VALUE"""),"No ")</f>
        <v>No </v>
      </c>
      <c r="AL434" s="12" t="str">
        <f>IFERROR(__xludf.DUMMYFUNCTION("""COMPUTED_VALUE"""),"No")</f>
        <v>No</v>
      </c>
      <c r="AM434" s="15">
        <f>IFERROR(__xludf.DUMMYFUNCTION("""COMPUTED_VALUE"""),0.0)</f>
        <v>0</v>
      </c>
      <c r="AN434" s="12" t="str">
        <f>IFERROR(__xludf.DUMMYFUNCTION("""COMPUTED_VALUE"""),"3rd week")</f>
        <v>3rd week</v>
      </c>
      <c r="AO434" s="13">
        <v>3.0</v>
      </c>
      <c r="AX434" s="17"/>
    </row>
    <row r="435">
      <c r="B435" s="9">
        <f>IFERROR(__xludf.DUMMYFUNCTION("""COMPUTED_VALUE"""),45885.85461743055)</f>
        <v>45885.85462</v>
      </c>
      <c r="C435" s="10" t="str">
        <f>IFERROR(__xludf.DUMMYFUNCTION("""COMPUTED_VALUE"""),"Saira Shahzad ")</f>
        <v>Saira Shahzad </v>
      </c>
      <c r="D435" s="10" t="str">
        <f>IFERROR(__xludf.DUMMYFUNCTION("""COMPUTED_VALUE"""),"03114534696")</f>
        <v>03114534696</v>
      </c>
      <c r="E435" s="10" t="str">
        <f>IFERROR(__xludf.DUMMYFUNCTION("""COMPUTED_VALUE"""),"Jamia Masjid Sadiq Akbar Machi Hatta Bhawalpur")</f>
        <v>Jamia Masjid Sadiq Akbar Machi Hatta Bhawalpur</v>
      </c>
      <c r="F435" s="10" t="str">
        <f>IFERROR(__xludf.DUMMYFUNCTION("""COMPUTED_VALUE"""),"dfnmy")</f>
        <v>dfnmy</v>
      </c>
      <c r="G435" s="10" t="str">
        <f>IFERROR(__xludf.DUMMYFUNCTION("""COMPUTED_VALUE"""),"Yes")</f>
        <v>Yes</v>
      </c>
      <c r="H435" s="10">
        <f>IFERROR(__xludf.DUMMYFUNCTION("""COMPUTED_VALUE"""),0.0)</f>
        <v>0</v>
      </c>
      <c r="I435" s="10">
        <f>IFERROR(__xludf.DUMMYFUNCTION("""COMPUTED_VALUE"""),10.0)</f>
        <v>10</v>
      </c>
      <c r="J435" s="10">
        <f>IFERROR(__xludf.DUMMYFUNCTION("""COMPUTED_VALUE"""),0.0)</f>
        <v>0</v>
      </c>
      <c r="K435" s="10">
        <f>IFERROR(__xludf.DUMMYFUNCTION("""COMPUTED_VALUE"""),0.0)</f>
        <v>0</v>
      </c>
      <c r="L435" s="10">
        <f>IFERROR(__xludf.DUMMYFUNCTION("""COMPUTED_VALUE"""),7.0)</f>
        <v>7</v>
      </c>
      <c r="M435" s="10">
        <f>IFERROR(__xludf.DUMMYFUNCTION("""COMPUTED_VALUE"""),0.0)</f>
        <v>0</v>
      </c>
      <c r="N435" s="10">
        <f>IFERROR(__xludf.DUMMYFUNCTION("""COMPUTED_VALUE"""),6.0)</f>
        <v>6</v>
      </c>
      <c r="O435" s="10">
        <f>IFERROR(__xludf.DUMMYFUNCTION("""COMPUTED_VALUE"""),0.0)</f>
        <v>0</v>
      </c>
      <c r="P435" s="10">
        <f>IFERROR(__xludf.DUMMYFUNCTION("""COMPUTED_VALUE"""),8.0)</f>
        <v>8</v>
      </c>
      <c r="Q435" s="10" t="str">
        <f>IFERROR(__xludf.DUMMYFUNCTION("""COMPUTED_VALUE"""),"No")</f>
        <v>No</v>
      </c>
      <c r="R435" s="10" t="str">
        <f>IFERROR(__xludf.DUMMYFUNCTION("""COMPUTED_VALUE"""),"No")</f>
        <v>No</v>
      </c>
      <c r="S435" s="10" t="str">
        <f>IFERROR(__xludf.DUMMYFUNCTION("""COMPUTED_VALUE"""),"No")</f>
        <v>No</v>
      </c>
      <c r="T435" s="10">
        <f>IFERROR(__xludf.DUMMYFUNCTION("""COMPUTED_VALUE"""),0.0)</f>
        <v>0</v>
      </c>
      <c r="U435" s="10">
        <f>IFERROR(__xludf.DUMMYFUNCTION("""COMPUTED_VALUE"""),0.0)</f>
        <v>0</v>
      </c>
      <c r="V435" s="10" t="str">
        <f>IFERROR(__xludf.DUMMYFUNCTION("""COMPUTED_VALUE"""),"پڑوسیوں کے اور اہل محلہ کے حقوق")</f>
        <v>پڑوسیوں کے اور اہل محلہ کے حقوق</v>
      </c>
      <c r="W435" s="10" t="str">
        <f>IFERROR(__xludf.DUMMYFUNCTION("""COMPUTED_VALUE"""),"امام نے بیان میں یہ بتایا ہے کہ پڑوسیوں  کے ساتھ حسن سلوک کے ساتھ پیش آئیں ان کی خوشی غمی میں شریک ہوں ان کا خیال رکھیں اور اپنے محلے کو صاف ستھرا رکھیں اور دعا ہمارا ہتھیار ہے اور جب گھر آئیں یا بیت الخلا جائیں تو دعا پڑھیں  ")</f>
        <v>امام نے بیان میں یہ بتایا ہے کہ پڑوسیوں  کے ساتھ حسن سلوک کے ساتھ پیش آئیں ان کی خوشی غمی میں شریک ہوں ان کا خیال رکھیں اور اپنے محلے کو صاف ستھرا رکھیں اور دعا ہمارا ہتھیار ہے اور جب گھر آئیں یا بیت الخلا جائیں تو دعا پڑھیں  </v>
      </c>
      <c r="X435" s="10">
        <f>IFERROR(__xludf.DUMMYFUNCTION("""COMPUTED_VALUE"""),2.0)</f>
        <v>2</v>
      </c>
      <c r="Y435" s="10">
        <f>IFERROR(__xludf.DUMMYFUNCTION("""COMPUTED_VALUE"""),0.0)</f>
        <v>0</v>
      </c>
      <c r="Z435" s="10">
        <f>IFERROR(__xludf.DUMMYFUNCTION("""COMPUTED_VALUE"""),6.0)</f>
        <v>6</v>
      </c>
      <c r="AA435" s="10">
        <f>IFERROR(__xludf.DUMMYFUNCTION("""COMPUTED_VALUE"""),2.0)</f>
        <v>2</v>
      </c>
      <c r="AB435" s="10">
        <f>IFERROR(__xludf.DUMMYFUNCTION("""COMPUTED_VALUE"""),0.0)</f>
        <v>0</v>
      </c>
      <c r="AC435" s="10">
        <f>IFERROR(__xludf.DUMMYFUNCTION("""COMPUTED_VALUE"""),0.0)</f>
        <v>0</v>
      </c>
      <c r="AD435" s="10">
        <f>IFERROR(__xludf.DUMMYFUNCTION("""COMPUTED_VALUE"""),0.0)</f>
        <v>0</v>
      </c>
      <c r="AE435" s="10">
        <f>IFERROR(__xludf.DUMMYFUNCTION("""COMPUTED_VALUE"""),0.0)</f>
        <v>0</v>
      </c>
      <c r="AF435" s="10">
        <f>IFERROR(__xludf.DUMMYFUNCTION("""COMPUTED_VALUE"""),0.0)</f>
        <v>0</v>
      </c>
      <c r="AG435" s="10">
        <f>IFERROR(__xludf.DUMMYFUNCTION("""COMPUTED_VALUE"""),8.0)</f>
        <v>8</v>
      </c>
      <c r="AH435" s="10">
        <f>IFERROR(__xludf.DUMMYFUNCTION("""COMPUTED_VALUE"""),0.0)</f>
        <v>0</v>
      </c>
      <c r="AI435" s="10">
        <f>IFERROR(__xludf.DUMMYFUNCTION("""COMPUTED_VALUE"""),8.0)</f>
        <v>8</v>
      </c>
      <c r="AJ435" s="11" t="str">
        <f>IFERROR(__xludf.DUMMYFUNCTION("""COMPUTED_VALUE"""),"https://drive.google.com/open?id=1Vaiawl-hr5JiMsqmIMPN_4UZle5Yd_mXnAp6C3EBGGg")</f>
        <v>https://drive.google.com/open?id=1Vaiawl-hr5JiMsqmIMPN_4UZle5Yd_mXnAp6C3EBGGg</v>
      </c>
      <c r="AK435" s="12" t="str">
        <f>IFERROR(__xludf.DUMMYFUNCTION("""COMPUTED_VALUE"""),"No ")</f>
        <v>No </v>
      </c>
      <c r="AL435" s="12" t="str">
        <f>IFERROR(__xludf.DUMMYFUNCTION("""COMPUTED_VALUE"""),"No")</f>
        <v>No</v>
      </c>
      <c r="AM435" s="15">
        <f>IFERROR(__xludf.DUMMYFUNCTION("""COMPUTED_VALUE"""),0.0)</f>
        <v>0</v>
      </c>
      <c r="AN435" s="12" t="str">
        <f>IFERROR(__xludf.DUMMYFUNCTION("""COMPUTED_VALUE"""),"3rd week")</f>
        <v>3rd week</v>
      </c>
      <c r="AO435" s="13">
        <v>3.0</v>
      </c>
      <c r="AX435" s="17"/>
    </row>
    <row r="436">
      <c r="B436" s="9">
        <f>IFERROR(__xludf.DUMMYFUNCTION("""COMPUTED_VALUE"""),45885.95822768519)</f>
        <v>45885.95823</v>
      </c>
      <c r="C436" s="10" t="str">
        <f>IFERROR(__xludf.DUMMYFUNCTION("""COMPUTED_VALUE"""),"Saira Shahzad ")</f>
        <v>Saira Shahzad </v>
      </c>
      <c r="D436" s="10" t="str">
        <f>IFERROR(__xludf.DUMMYFUNCTION("""COMPUTED_VALUE"""),"0 311 4534696")</f>
        <v>0 311 4534696</v>
      </c>
      <c r="E436" s="10" t="str">
        <f>IFERROR(__xludf.DUMMYFUNCTION("""COMPUTED_VALUE"""),"Jamia Masjid Shah Shams ( Barlevri ) Multan")</f>
        <v>Jamia Masjid Shah Shams ( Barlevri ) Multan</v>
      </c>
      <c r="F436" s="10" t="str">
        <f>IFERROR(__xludf.DUMMYFUNCTION("""COMPUTED_VALUE"""),"nlhtw")</f>
        <v>nlhtw</v>
      </c>
      <c r="G436" s="10" t="str">
        <f>IFERROR(__xludf.DUMMYFUNCTION("""COMPUTED_VALUE"""),"Yes")</f>
        <v>Yes</v>
      </c>
      <c r="H436" s="10">
        <f>IFERROR(__xludf.DUMMYFUNCTION("""COMPUTED_VALUE"""),0.0)</f>
        <v>0</v>
      </c>
      <c r="I436" s="10">
        <f>IFERROR(__xludf.DUMMYFUNCTION("""COMPUTED_VALUE"""),10.0)</f>
        <v>10</v>
      </c>
      <c r="J436" s="10">
        <f>IFERROR(__xludf.DUMMYFUNCTION("""COMPUTED_VALUE"""),0.0)</f>
        <v>0</v>
      </c>
      <c r="K436" s="10">
        <f>IFERROR(__xludf.DUMMYFUNCTION("""COMPUTED_VALUE"""),0.0)</f>
        <v>0</v>
      </c>
      <c r="L436" s="10">
        <f>IFERROR(__xludf.DUMMYFUNCTION("""COMPUTED_VALUE"""),0.0)</f>
        <v>0</v>
      </c>
      <c r="M436" s="10">
        <f>IFERROR(__xludf.DUMMYFUNCTION("""COMPUTED_VALUE"""),0.0)</f>
        <v>0</v>
      </c>
      <c r="N436" s="10">
        <f>IFERROR(__xludf.DUMMYFUNCTION("""COMPUTED_VALUE"""),0.0)</f>
        <v>0</v>
      </c>
      <c r="O436" s="10">
        <f>IFERROR(__xludf.DUMMYFUNCTION("""COMPUTED_VALUE"""),0.0)</f>
        <v>0</v>
      </c>
      <c r="P436" s="10">
        <f>IFERROR(__xludf.DUMMYFUNCTION("""COMPUTED_VALUE"""),0.0)</f>
        <v>0</v>
      </c>
      <c r="Q436" s="10" t="str">
        <f>IFERROR(__xludf.DUMMYFUNCTION("""COMPUTED_VALUE"""),"No")</f>
        <v>No</v>
      </c>
      <c r="R436" s="10" t="str">
        <f>IFERROR(__xludf.DUMMYFUNCTION("""COMPUTED_VALUE"""),"No")</f>
        <v>No</v>
      </c>
      <c r="S436" s="10" t="str">
        <f>IFERROR(__xludf.DUMMYFUNCTION("""COMPUTED_VALUE"""),"No")</f>
        <v>No</v>
      </c>
      <c r="T436" s="10">
        <f>IFERROR(__xludf.DUMMYFUNCTION("""COMPUTED_VALUE"""),0.0)</f>
        <v>0</v>
      </c>
      <c r="U436" s="10">
        <f>IFERROR(__xludf.DUMMYFUNCTION("""COMPUTED_VALUE"""),0.0)</f>
        <v>0</v>
      </c>
      <c r="V436" s="10" t="str">
        <f>IFERROR(__xludf.DUMMYFUNCTION("""COMPUTED_VALUE"""),"خدا کی وحدانیت اور والدین کی خدمت")</f>
        <v>خدا کی وحدانیت اور والدین کی خدمت</v>
      </c>
      <c r="W436" s="10" t="str">
        <f>IFERROR(__xludf.DUMMYFUNCTION("""COMPUTED_VALUE"""),"امام نے اس میں خدا کی وحدانیت کو بیان کیا ہے کہ اللہ تعالی ایک ہیں اور بس وہی عبادت کے لائق ہے صرف اسی کی عبادت کی جائے اور والدین کی خدمت پر زور دیا کہ جس نے والدین کی خدمت کی اس نے دنیا اور اخرت دونوں میں کامیابی حاصل کر لی")</f>
        <v>امام نے اس میں خدا کی وحدانیت کو بیان کیا ہے کہ اللہ تعالی ایک ہیں اور بس وہی عبادت کے لائق ہے صرف اسی کی عبادت کی جائے اور والدین کی خدمت پر زور دیا کہ جس نے والدین کی خدمت کی اس نے دنیا اور اخرت دونوں میں کامیابی حاصل کر لی</v>
      </c>
      <c r="X436" s="10">
        <f>IFERROR(__xludf.DUMMYFUNCTION("""COMPUTED_VALUE"""),4.0)</f>
        <v>4</v>
      </c>
      <c r="Y436" s="10">
        <f>IFERROR(__xludf.DUMMYFUNCTION("""COMPUTED_VALUE"""),0.0)</f>
        <v>0</v>
      </c>
      <c r="Z436" s="10">
        <f>IFERROR(__xludf.DUMMYFUNCTION("""COMPUTED_VALUE"""),0.0)</f>
        <v>0</v>
      </c>
      <c r="AA436" s="10">
        <f>IFERROR(__xludf.DUMMYFUNCTION("""COMPUTED_VALUE"""),5.0)</f>
        <v>5</v>
      </c>
      <c r="AB436" s="10">
        <f>IFERROR(__xludf.DUMMYFUNCTION("""COMPUTED_VALUE"""),5.0)</f>
        <v>5</v>
      </c>
      <c r="AC436" s="10">
        <f>IFERROR(__xludf.DUMMYFUNCTION("""COMPUTED_VALUE"""),0.0)</f>
        <v>0</v>
      </c>
      <c r="AD436" s="10">
        <f>IFERROR(__xludf.DUMMYFUNCTION("""COMPUTED_VALUE"""),0.0)</f>
        <v>0</v>
      </c>
      <c r="AE436" s="10">
        <f>IFERROR(__xludf.DUMMYFUNCTION("""COMPUTED_VALUE"""),0.0)</f>
        <v>0</v>
      </c>
      <c r="AF436" s="10">
        <f>IFERROR(__xludf.DUMMYFUNCTION("""COMPUTED_VALUE"""),0.0)</f>
        <v>0</v>
      </c>
      <c r="AG436" s="10">
        <f>IFERROR(__xludf.DUMMYFUNCTION("""COMPUTED_VALUE"""),8.0)</f>
        <v>8</v>
      </c>
      <c r="AH436" s="10">
        <f>IFERROR(__xludf.DUMMYFUNCTION("""COMPUTED_VALUE"""),0.0)</f>
        <v>0</v>
      </c>
      <c r="AI436" s="10">
        <f>IFERROR(__xludf.DUMMYFUNCTION("""COMPUTED_VALUE"""),8.0)</f>
        <v>8</v>
      </c>
      <c r="AJ436" s="11" t="str">
        <f>IFERROR(__xludf.DUMMYFUNCTION("""COMPUTED_VALUE"""),"https://drive.google.com/open?id=1eSFPMdSpYhLkeHbX-PK8b51A3rnvqbDTeji_1wTS6WE")</f>
        <v>https://drive.google.com/open?id=1eSFPMdSpYhLkeHbX-PK8b51A3rnvqbDTeji_1wTS6WE</v>
      </c>
      <c r="AK436" s="12" t="str">
        <f>IFERROR(__xludf.DUMMYFUNCTION("""COMPUTED_VALUE"""),"No")</f>
        <v>No</v>
      </c>
      <c r="AL436" s="12" t="str">
        <f>IFERROR(__xludf.DUMMYFUNCTION("""COMPUTED_VALUE"""),"No")</f>
        <v>No</v>
      </c>
      <c r="AM436" s="15">
        <f>IFERROR(__xludf.DUMMYFUNCTION("""COMPUTED_VALUE"""),0.0)</f>
        <v>0</v>
      </c>
      <c r="AN436" s="12" t="str">
        <f>IFERROR(__xludf.DUMMYFUNCTION("""COMPUTED_VALUE"""),"3rd week")</f>
        <v>3rd week</v>
      </c>
      <c r="AO436" s="13">
        <v>3.0</v>
      </c>
      <c r="AX436" s="17"/>
    </row>
    <row r="437">
      <c r="B437" s="9">
        <f>IFERROR(__xludf.DUMMYFUNCTION("""COMPUTED_VALUE"""),45886.06720881944)</f>
        <v>45886.06721</v>
      </c>
      <c r="C437" s="10" t="str">
        <f>IFERROR(__xludf.DUMMYFUNCTION("""COMPUTED_VALUE"""),"Asma Gul ")</f>
        <v>Asma Gul </v>
      </c>
      <c r="D437" s="10" t="str">
        <f>IFERROR(__xludf.DUMMYFUNCTION("""COMPUTED_VALUE"""),"03459308620")</f>
        <v>03459308620</v>
      </c>
      <c r="E437" s="10" t="str">
        <f>IFERROR(__xludf.DUMMYFUNCTION("""COMPUTED_VALUE"""),"Jamia Masjid Shah Shams ( Barlevri ) Multan")</f>
        <v>Jamia Masjid Shah Shams ( Barlevri ) Multan</v>
      </c>
      <c r="F437" s="10" t="str">
        <f>IFERROR(__xludf.DUMMYFUNCTION("""COMPUTED_VALUE"""),"nlhtw")</f>
        <v>nlhtw</v>
      </c>
      <c r="G437" s="10" t="str">
        <f>IFERROR(__xludf.DUMMYFUNCTION("""COMPUTED_VALUE"""),"Yes")</f>
        <v>Yes</v>
      </c>
      <c r="H437" s="10">
        <f>IFERROR(__xludf.DUMMYFUNCTION("""COMPUTED_VALUE"""),10.0)</f>
        <v>10</v>
      </c>
      <c r="I437" s="10">
        <f>IFERROR(__xludf.DUMMYFUNCTION("""COMPUTED_VALUE"""),0.0)</f>
        <v>0</v>
      </c>
      <c r="J437" s="10">
        <f>IFERROR(__xludf.DUMMYFUNCTION("""COMPUTED_VALUE"""),10.0)</f>
        <v>10</v>
      </c>
      <c r="K437" s="10">
        <f>IFERROR(__xludf.DUMMYFUNCTION("""COMPUTED_VALUE"""),0.0)</f>
        <v>0</v>
      </c>
      <c r="L437" s="10">
        <f>IFERROR(__xludf.DUMMYFUNCTION("""COMPUTED_VALUE"""),10.0)</f>
        <v>10</v>
      </c>
      <c r="M437" s="10">
        <f>IFERROR(__xludf.DUMMYFUNCTION("""COMPUTED_VALUE"""),0.0)</f>
        <v>0</v>
      </c>
      <c r="N437" s="10">
        <f>IFERROR(__xludf.DUMMYFUNCTION("""COMPUTED_VALUE"""),10.0)</f>
        <v>10</v>
      </c>
      <c r="O437" s="10">
        <f>IFERROR(__xludf.DUMMYFUNCTION("""COMPUTED_VALUE"""),0.0)</f>
        <v>0</v>
      </c>
      <c r="P437" s="10">
        <f>IFERROR(__xludf.DUMMYFUNCTION("""COMPUTED_VALUE"""),10.0)</f>
        <v>10</v>
      </c>
      <c r="Q437" s="10" t="str">
        <f>IFERROR(__xludf.DUMMYFUNCTION("""COMPUTED_VALUE"""),"No")</f>
        <v>No</v>
      </c>
      <c r="R437" s="10" t="str">
        <f>IFERROR(__xludf.DUMMYFUNCTION("""COMPUTED_VALUE"""),"Yes")</f>
        <v>Yes</v>
      </c>
      <c r="S437" s="10" t="str">
        <f>IFERROR(__xludf.DUMMYFUNCTION("""COMPUTED_VALUE"""),"Yes")</f>
        <v>Yes</v>
      </c>
      <c r="T437" s="10">
        <f>IFERROR(__xludf.DUMMYFUNCTION("""COMPUTED_VALUE"""),0.0)</f>
        <v>0</v>
      </c>
      <c r="U437" s="10">
        <f>IFERROR(__xludf.DUMMYFUNCTION("""COMPUTED_VALUE"""),0.0)</f>
        <v>0</v>
      </c>
      <c r="V437" s="10" t="str">
        <f>IFERROR(__xludf.DUMMYFUNCTION("""COMPUTED_VALUE"""),"پڑوسیوں کے حقوق و فرائض")</f>
        <v>پڑوسیوں کے حقوق و فرائض</v>
      </c>
      <c r="W437" s="10" t="str">
        <f>IFERROR(__xludf.DUMMYFUNCTION("""COMPUTED_VALUE"""),"پڑوسیوں کے پانچ حقوق بیان کیے ہیں ہ اس کے ساتھ ساتھ ان کے فرائض بھی بیان کیے ہیں اور پڑوسیوں کے حقوق کی اسلام میں اہمیت پر زور دیا ہے گلی محلے کی صفائی پر زور دیا ہے۔")</f>
        <v>پڑوسیوں کے پانچ حقوق بیان کیے ہیں ہ اس کے ساتھ ساتھ ان کے فرائض بھی بیان کیے ہیں اور پڑوسیوں کے حقوق کی اسلام میں اہمیت پر زور دیا ہے گلی محلے کی صفائی پر زور دیا ہے۔</v>
      </c>
      <c r="X437" s="10">
        <f>IFERROR(__xludf.DUMMYFUNCTION("""COMPUTED_VALUE"""),8.0)</f>
        <v>8</v>
      </c>
      <c r="Y437" s="10">
        <f>IFERROR(__xludf.DUMMYFUNCTION("""COMPUTED_VALUE"""),10.0)</f>
        <v>10</v>
      </c>
      <c r="Z437" s="10">
        <f>IFERROR(__xludf.DUMMYFUNCTION("""COMPUTED_VALUE"""),10.0)</f>
        <v>10</v>
      </c>
      <c r="AA437" s="10">
        <f>IFERROR(__xludf.DUMMYFUNCTION("""COMPUTED_VALUE"""),10.0)</f>
        <v>10</v>
      </c>
      <c r="AB437" s="10">
        <f>IFERROR(__xludf.DUMMYFUNCTION("""COMPUTED_VALUE"""),10.0)</f>
        <v>10</v>
      </c>
      <c r="AC437" s="10">
        <f>IFERROR(__xludf.DUMMYFUNCTION("""COMPUTED_VALUE"""),8.0)</f>
        <v>8</v>
      </c>
      <c r="AD437" s="10">
        <f>IFERROR(__xludf.DUMMYFUNCTION("""COMPUTED_VALUE"""),7.0)</f>
        <v>7</v>
      </c>
      <c r="AE437" s="10">
        <f>IFERROR(__xludf.DUMMYFUNCTION("""COMPUTED_VALUE"""),9.0)</f>
        <v>9</v>
      </c>
      <c r="AF437" s="10">
        <f>IFERROR(__xludf.DUMMYFUNCTION("""COMPUTED_VALUE"""),0.0)</f>
        <v>0</v>
      </c>
      <c r="AG437" s="10">
        <f>IFERROR(__xludf.DUMMYFUNCTION("""COMPUTED_VALUE"""),9.0)</f>
        <v>9</v>
      </c>
      <c r="AH437" s="10">
        <f>IFERROR(__xludf.DUMMYFUNCTION("""COMPUTED_VALUE"""),0.0)</f>
        <v>0</v>
      </c>
      <c r="AI437" s="10">
        <f>IFERROR(__xludf.DUMMYFUNCTION("""COMPUTED_VALUE"""),8.0)</f>
        <v>8</v>
      </c>
      <c r="AJ437" s="11" t="str">
        <f>IFERROR(__xludf.DUMMYFUNCTION("""COMPUTED_VALUE"""),"https://drive.google.com/open?id=1r3CEHm3eA6Wv76Ub5HelcAf6QW2HA_e0uMZ9_5pJCdo")</f>
        <v>https://drive.google.com/open?id=1r3CEHm3eA6Wv76Ub5HelcAf6QW2HA_e0uMZ9_5pJCdo</v>
      </c>
      <c r="AK437" s="12"/>
      <c r="AL437" s="12" t="str">
        <f>IFERROR(__xludf.DUMMYFUNCTION("""COMPUTED_VALUE"""),"Yes")</f>
        <v>Yes</v>
      </c>
      <c r="AM437" s="15">
        <f>IFERROR(__xludf.DUMMYFUNCTION("""COMPUTED_VALUE"""),1.0)</f>
        <v>1</v>
      </c>
      <c r="AN437" s="12" t="str">
        <f>IFERROR(__xludf.DUMMYFUNCTION("""COMPUTED_VALUE"""),"1st week")</f>
        <v>1st week</v>
      </c>
      <c r="AO437" s="13">
        <v>1.0</v>
      </c>
      <c r="AX437" s="17"/>
    </row>
    <row r="438">
      <c r="B438" s="9">
        <f>IFERROR(__xludf.DUMMYFUNCTION("""COMPUTED_VALUE"""),45886.216800775466)</f>
        <v>45886.2168</v>
      </c>
      <c r="C438" s="10" t="str">
        <f>IFERROR(__xludf.DUMMYFUNCTION("""COMPUTED_VALUE"""),"Shahid Iqbal")</f>
        <v>Shahid Iqbal</v>
      </c>
      <c r="D438" s="10" t="str">
        <f>IFERROR(__xludf.DUMMYFUNCTION("""COMPUTED_VALUE"""),"03013665049")</f>
        <v>03013665049</v>
      </c>
      <c r="E438" s="10" t="str">
        <f>IFERROR(__xludf.DUMMYFUNCTION("""COMPUTED_VALUE"""),"Jamia Masjid Kareem Khan Ahle Hadees Multan")</f>
        <v>Jamia Masjid Kareem Khan Ahle Hadees Multan</v>
      </c>
      <c r="F438" s="10" t="str">
        <f>IFERROR(__xludf.DUMMYFUNCTION("""COMPUTED_VALUE"""),"lirqw")</f>
        <v>lirqw</v>
      </c>
      <c r="G438" s="10" t="str">
        <f>IFERROR(__xludf.DUMMYFUNCTION("""COMPUTED_VALUE"""),"Yes")</f>
        <v>Yes</v>
      </c>
      <c r="H438" s="10">
        <f>IFERROR(__xludf.DUMMYFUNCTION("""COMPUTED_VALUE"""),0.0)</f>
        <v>0</v>
      </c>
      <c r="I438" s="10">
        <f>IFERROR(__xludf.DUMMYFUNCTION("""COMPUTED_VALUE"""),10.0)</f>
        <v>10</v>
      </c>
      <c r="J438" s="10">
        <f>IFERROR(__xludf.DUMMYFUNCTION("""COMPUTED_VALUE"""),0.0)</f>
        <v>0</v>
      </c>
      <c r="K438" s="10">
        <f>IFERROR(__xludf.DUMMYFUNCTION("""COMPUTED_VALUE"""),0.0)</f>
        <v>0</v>
      </c>
      <c r="L438" s="10">
        <f>IFERROR(__xludf.DUMMYFUNCTION("""COMPUTED_VALUE"""),0.0)</f>
        <v>0</v>
      </c>
      <c r="M438" s="10">
        <f>IFERROR(__xludf.DUMMYFUNCTION("""COMPUTED_VALUE"""),0.0)</f>
        <v>0</v>
      </c>
      <c r="N438" s="10">
        <f>IFERROR(__xludf.DUMMYFUNCTION("""COMPUTED_VALUE"""),0.0)</f>
        <v>0</v>
      </c>
      <c r="O438" s="10">
        <f>IFERROR(__xludf.DUMMYFUNCTION("""COMPUTED_VALUE"""),0.0)</f>
        <v>0</v>
      </c>
      <c r="P438" s="10">
        <f>IFERROR(__xludf.DUMMYFUNCTION("""COMPUTED_VALUE"""),0.0)</f>
        <v>0</v>
      </c>
      <c r="Q438" s="10" t="str">
        <f>IFERROR(__xludf.DUMMYFUNCTION("""COMPUTED_VALUE"""),"No")</f>
        <v>No</v>
      </c>
      <c r="R438" s="10" t="str">
        <f>IFERROR(__xludf.DUMMYFUNCTION("""COMPUTED_VALUE"""),"No")</f>
        <v>No</v>
      </c>
      <c r="S438" s="10" t="str">
        <f>IFERROR(__xludf.DUMMYFUNCTION("""COMPUTED_VALUE"""),"No")</f>
        <v>No</v>
      </c>
      <c r="T438" s="10">
        <f>IFERROR(__xludf.DUMMYFUNCTION("""COMPUTED_VALUE"""),0.0)</f>
        <v>0</v>
      </c>
      <c r="U438" s="10">
        <f>IFERROR(__xludf.DUMMYFUNCTION("""COMPUTED_VALUE"""),0.0)</f>
        <v>0</v>
      </c>
      <c r="V438" s="10" t="str">
        <f>IFERROR(__xludf.DUMMYFUNCTION("""COMPUTED_VALUE"""),"Allah K rasty ma kharach krna")</f>
        <v>Allah K rasty ma kharach krna</v>
      </c>
      <c r="W438" s="10" t="str">
        <f>IFERROR(__xludf.DUMMYFUNCTION("""COMPUTED_VALUE"""),"Allah K rasty ma kharach krna")</f>
        <v>Allah K rasty ma kharach krna</v>
      </c>
      <c r="X438" s="10">
        <f>IFERROR(__xludf.DUMMYFUNCTION("""COMPUTED_VALUE"""),5.0)</f>
        <v>5</v>
      </c>
      <c r="Y438" s="10">
        <f>IFERROR(__xludf.DUMMYFUNCTION("""COMPUTED_VALUE"""),4.0)</f>
        <v>4</v>
      </c>
      <c r="Z438" s="10">
        <f>IFERROR(__xludf.DUMMYFUNCTION("""COMPUTED_VALUE"""),5.0)</f>
        <v>5</v>
      </c>
      <c r="AA438" s="10">
        <f>IFERROR(__xludf.DUMMYFUNCTION("""COMPUTED_VALUE"""),0.0)</f>
        <v>0</v>
      </c>
      <c r="AB438" s="10">
        <f>IFERROR(__xludf.DUMMYFUNCTION("""COMPUTED_VALUE"""),0.0)</f>
        <v>0</v>
      </c>
      <c r="AC438" s="10">
        <f>IFERROR(__xludf.DUMMYFUNCTION("""COMPUTED_VALUE"""),0.0)</f>
        <v>0</v>
      </c>
      <c r="AD438" s="10">
        <f>IFERROR(__xludf.DUMMYFUNCTION("""COMPUTED_VALUE"""),0.0)</f>
        <v>0</v>
      </c>
      <c r="AE438" s="10">
        <f>IFERROR(__xludf.DUMMYFUNCTION("""COMPUTED_VALUE"""),0.0)</f>
        <v>0</v>
      </c>
      <c r="AF438" s="10">
        <f>IFERROR(__xludf.DUMMYFUNCTION("""COMPUTED_VALUE"""),1.0)</f>
        <v>1</v>
      </c>
      <c r="AG438" s="10">
        <f>IFERROR(__xludf.DUMMYFUNCTION("""COMPUTED_VALUE"""),7.0)</f>
        <v>7</v>
      </c>
      <c r="AH438" s="10">
        <f>IFERROR(__xludf.DUMMYFUNCTION("""COMPUTED_VALUE"""),0.0)</f>
        <v>0</v>
      </c>
      <c r="AI438" s="10">
        <f>IFERROR(__xludf.DUMMYFUNCTION("""COMPUTED_VALUE"""),8.0)</f>
        <v>8</v>
      </c>
      <c r="AJ438" s="11" t="str">
        <f>IFERROR(__xludf.DUMMYFUNCTION("""COMPUTED_VALUE"""),"https://drive.google.com/open?id=17vv-I4iOKvIjdaG0dh3teCx_fVkf5MNM")</f>
        <v>https://drive.google.com/open?id=17vv-I4iOKvIjdaG0dh3teCx_fVkf5MNM</v>
      </c>
      <c r="AK438" s="12"/>
      <c r="AL438" s="12" t="str">
        <f>IFERROR(__xludf.DUMMYFUNCTION("""COMPUTED_VALUE"""),"Yes")</f>
        <v>Yes</v>
      </c>
      <c r="AM438" s="15">
        <f>IFERROR(__xludf.DUMMYFUNCTION("""COMPUTED_VALUE"""),0.0)</f>
        <v>0</v>
      </c>
      <c r="AN438" s="12" t="str">
        <f>IFERROR(__xludf.DUMMYFUNCTION("""COMPUTED_VALUE"""),"1st week")</f>
        <v>1st week</v>
      </c>
      <c r="AO438" s="13">
        <v>1.0</v>
      </c>
      <c r="AX438" s="17"/>
    </row>
    <row r="439">
      <c r="B439" s="9">
        <f>IFERROR(__xludf.DUMMYFUNCTION("""COMPUTED_VALUE"""),45886.224999467595)</f>
        <v>45886.225</v>
      </c>
      <c r="C439" s="10" t="str">
        <f>IFERROR(__xludf.DUMMYFUNCTION("""COMPUTED_VALUE"""),"Shahid Iqbal")</f>
        <v>Shahid Iqbal</v>
      </c>
      <c r="D439" s="10" t="str">
        <f>IFERROR(__xludf.DUMMYFUNCTION("""COMPUTED_VALUE"""),"03013665049")</f>
        <v>03013665049</v>
      </c>
      <c r="E439" s="10" t="str">
        <f>IFERROR(__xludf.DUMMYFUNCTION("""COMPUTED_VALUE"""),"Jamia Masjid Gul Wali Haram Gate Multan")</f>
        <v>Jamia Masjid Gul Wali Haram Gate Multan</v>
      </c>
      <c r="F439" s="10" t="str">
        <f>IFERROR(__xludf.DUMMYFUNCTION("""COMPUTED_VALUE"""),"vbdpl")</f>
        <v>vbdpl</v>
      </c>
      <c r="G439" s="10" t="str">
        <f>IFERROR(__xludf.DUMMYFUNCTION("""COMPUTED_VALUE"""),"Yes")</f>
        <v>Yes</v>
      </c>
      <c r="H439" s="10">
        <f>IFERROR(__xludf.DUMMYFUNCTION("""COMPUTED_VALUE"""),1.0)</f>
        <v>1</v>
      </c>
      <c r="I439" s="10">
        <f>IFERROR(__xludf.DUMMYFUNCTION("""COMPUTED_VALUE"""),9.0)</f>
        <v>9</v>
      </c>
      <c r="J439" s="10">
        <f>IFERROR(__xludf.DUMMYFUNCTION("""COMPUTED_VALUE"""),1.0)</f>
        <v>1</v>
      </c>
      <c r="K439" s="10">
        <f>IFERROR(__xludf.DUMMYFUNCTION("""COMPUTED_VALUE"""),3.0)</f>
        <v>3</v>
      </c>
      <c r="L439" s="10">
        <f>IFERROR(__xludf.DUMMYFUNCTION("""COMPUTED_VALUE"""),0.0)</f>
        <v>0</v>
      </c>
      <c r="M439" s="10">
        <f>IFERROR(__xludf.DUMMYFUNCTION("""COMPUTED_VALUE"""),2.0)</f>
        <v>2</v>
      </c>
      <c r="N439" s="10">
        <f>IFERROR(__xludf.DUMMYFUNCTION("""COMPUTED_VALUE"""),0.0)</f>
        <v>0</v>
      </c>
      <c r="O439" s="10">
        <f>IFERROR(__xludf.DUMMYFUNCTION("""COMPUTED_VALUE"""),0.0)</f>
        <v>0</v>
      </c>
      <c r="P439" s="10">
        <f>IFERROR(__xludf.DUMMYFUNCTION("""COMPUTED_VALUE"""),0.0)</f>
        <v>0</v>
      </c>
      <c r="Q439" s="10" t="str">
        <f>IFERROR(__xludf.DUMMYFUNCTION("""COMPUTED_VALUE"""),"No")</f>
        <v>No</v>
      </c>
      <c r="R439" s="10" t="str">
        <f>IFERROR(__xludf.DUMMYFUNCTION("""COMPUTED_VALUE"""),"No")</f>
        <v>No</v>
      </c>
      <c r="S439" s="10" t="str">
        <f>IFERROR(__xludf.DUMMYFUNCTION("""COMPUTED_VALUE"""),"No")</f>
        <v>No</v>
      </c>
      <c r="T439" s="10">
        <f>IFERROR(__xludf.DUMMYFUNCTION("""COMPUTED_VALUE"""),0.0)</f>
        <v>0</v>
      </c>
      <c r="U439" s="10">
        <f>IFERROR(__xludf.DUMMYFUNCTION("""COMPUTED_VALUE"""),0.0)</f>
        <v>0</v>
      </c>
      <c r="V439" s="10" t="str">
        <f>IFERROR(__xludf.DUMMYFUNCTION("""COMPUTED_VALUE"""),"Hazrat imam hussain RA aur aurat ka islam ma muqam")</f>
        <v>Hazrat imam hussain RA aur aurat ka islam ma muqam</v>
      </c>
      <c r="W439" s="10" t="str">
        <f>IFERROR(__xludf.DUMMYFUNCTION("""COMPUTED_VALUE"""),"Hazrat imam hussain RA aur aurat ka islam ma muqam")</f>
        <v>Hazrat imam hussain RA aur aurat ka islam ma muqam</v>
      </c>
      <c r="X439" s="10">
        <f>IFERROR(__xludf.DUMMYFUNCTION("""COMPUTED_VALUE"""),3.0)</f>
        <v>3</v>
      </c>
      <c r="Y439" s="10">
        <f>IFERROR(__xludf.DUMMYFUNCTION("""COMPUTED_VALUE"""),2.0)</f>
        <v>2</v>
      </c>
      <c r="Z439" s="10">
        <f>IFERROR(__xludf.DUMMYFUNCTION("""COMPUTED_VALUE"""),4.0)</f>
        <v>4</v>
      </c>
      <c r="AA439" s="10">
        <f>IFERROR(__xludf.DUMMYFUNCTION("""COMPUTED_VALUE"""),6.0)</f>
        <v>6</v>
      </c>
      <c r="AB439" s="10">
        <f>IFERROR(__xludf.DUMMYFUNCTION("""COMPUTED_VALUE"""),6.0)</f>
        <v>6</v>
      </c>
      <c r="AC439" s="10">
        <f>IFERROR(__xludf.DUMMYFUNCTION("""COMPUTED_VALUE"""),1.0)</f>
        <v>1</v>
      </c>
      <c r="AD439" s="10">
        <f>IFERROR(__xludf.DUMMYFUNCTION("""COMPUTED_VALUE"""),0.0)</f>
        <v>0</v>
      </c>
      <c r="AE439" s="10">
        <f>IFERROR(__xludf.DUMMYFUNCTION("""COMPUTED_VALUE"""),0.0)</f>
        <v>0</v>
      </c>
      <c r="AF439" s="10">
        <f>IFERROR(__xludf.DUMMYFUNCTION("""COMPUTED_VALUE"""),0.0)</f>
        <v>0</v>
      </c>
      <c r="AG439" s="10">
        <f>IFERROR(__xludf.DUMMYFUNCTION("""COMPUTED_VALUE"""),8.0)</f>
        <v>8</v>
      </c>
      <c r="AH439" s="10">
        <f>IFERROR(__xludf.DUMMYFUNCTION("""COMPUTED_VALUE"""),0.0)</f>
        <v>0</v>
      </c>
      <c r="AI439" s="10">
        <f>IFERROR(__xludf.DUMMYFUNCTION("""COMPUTED_VALUE"""),8.0)</f>
        <v>8</v>
      </c>
      <c r="AJ439" s="11" t="str">
        <f>IFERROR(__xludf.DUMMYFUNCTION("""COMPUTED_VALUE"""),"https://drive.google.com/open?id=1eJSo6JBVBBOleaf2DaWn4g8jTAUm_-BJ")</f>
        <v>https://drive.google.com/open?id=1eJSo6JBVBBOleaf2DaWn4g8jTAUm_-BJ</v>
      </c>
      <c r="AK439" s="12"/>
      <c r="AL439" s="12" t="str">
        <f>IFERROR(__xludf.DUMMYFUNCTION("""COMPUTED_VALUE"""),"Yes")</f>
        <v>Yes</v>
      </c>
      <c r="AM439" s="15">
        <f>IFERROR(__xludf.DUMMYFUNCTION("""COMPUTED_VALUE"""),0.2)</f>
        <v>0.2</v>
      </c>
      <c r="AN439" s="12" t="str">
        <f>IFERROR(__xludf.DUMMYFUNCTION("""COMPUTED_VALUE"""),"1st week")</f>
        <v>1st week</v>
      </c>
      <c r="AO439" s="13" t="s">
        <v>9</v>
      </c>
      <c r="AX439" s="17"/>
    </row>
    <row r="440">
      <c r="B440" s="9">
        <f>IFERROR(__xludf.DUMMYFUNCTION("""COMPUTED_VALUE"""),45886.280104826394)</f>
        <v>45886.2801</v>
      </c>
      <c r="C440" s="10" t="str">
        <f>IFERROR(__xludf.DUMMYFUNCTION("""COMPUTED_VALUE"""),"Arti Kumari ")</f>
        <v>Arti Kumari </v>
      </c>
      <c r="D440" s="10" t="str">
        <f>IFERROR(__xludf.DUMMYFUNCTION("""COMPUTED_VALUE"""),"03346661865")</f>
        <v>03346661865</v>
      </c>
      <c r="E440" s="10" t="str">
        <f>IFERROR(__xludf.DUMMYFUNCTION("""COMPUTED_VALUE"""),"Jamia Masjid Darbar Sultan Ahmad Qataal Jalaal Pur Peer Wala Multan")</f>
        <v>Jamia Masjid Darbar Sultan Ahmad Qataal Jalaal Pur Peer Wala Multan</v>
      </c>
      <c r="F440" s="10" t="str">
        <f>IFERROR(__xludf.DUMMYFUNCTION("""COMPUTED_VALUE"""),"ndsnq")</f>
        <v>ndsnq</v>
      </c>
      <c r="G440" s="10" t="str">
        <f>IFERROR(__xludf.DUMMYFUNCTION("""COMPUTED_VALUE"""),"Yes")</f>
        <v>Yes</v>
      </c>
      <c r="H440" s="10">
        <f>IFERROR(__xludf.DUMMYFUNCTION("""COMPUTED_VALUE"""),4.0)</f>
        <v>4</v>
      </c>
      <c r="I440" s="10">
        <f>IFERROR(__xludf.DUMMYFUNCTION("""COMPUTED_VALUE"""),6.0)</f>
        <v>6</v>
      </c>
      <c r="J440" s="10">
        <f>IFERROR(__xludf.DUMMYFUNCTION("""COMPUTED_VALUE"""),4.0)</f>
        <v>4</v>
      </c>
      <c r="K440" s="10">
        <f>IFERROR(__xludf.DUMMYFUNCTION("""COMPUTED_VALUE"""),0.0)</f>
        <v>0</v>
      </c>
      <c r="L440" s="10">
        <f>IFERROR(__xludf.DUMMYFUNCTION("""COMPUTED_VALUE"""),8.0)</f>
        <v>8</v>
      </c>
      <c r="M440" s="10">
        <f>IFERROR(__xludf.DUMMYFUNCTION("""COMPUTED_VALUE"""),0.0)</f>
        <v>0</v>
      </c>
      <c r="N440" s="10">
        <f>IFERROR(__xludf.DUMMYFUNCTION("""COMPUTED_VALUE"""),8.0)</f>
        <v>8</v>
      </c>
      <c r="O440" s="10">
        <f>IFERROR(__xludf.DUMMYFUNCTION("""COMPUTED_VALUE"""),0.0)</f>
        <v>0</v>
      </c>
      <c r="P440" s="10">
        <f>IFERROR(__xludf.DUMMYFUNCTION("""COMPUTED_VALUE"""),0.0)</f>
        <v>0</v>
      </c>
      <c r="Q440" s="10" t="str">
        <f>IFERROR(__xludf.DUMMYFUNCTION("""COMPUTED_VALUE"""),"No")</f>
        <v>No</v>
      </c>
      <c r="R440" s="10" t="str">
        <f>IFERROR(__xludf.DUMMYFUNCTION("""COMPUTED_VALUE"""),"No")</f>
        <v>No</v>
      </c>
      <c r="S440" s="10" t="str">
        <f>IFERROR(__xludf.DUMMYFUNCTION("""COMPUTED_VALUE"""),"No")</f>
        <v>No</v>
      </c>
      <c r="T440" s="10">
        <f>IFERROR(__xludf.DUMMYFUNCTION("""COMPUTED_VALUE"""),0.0)</f>
        <v>0</v>
      </c>
      <c r="U440" s="10">
        <f>IFERROR(__xludf.DUMMYFUNCTION("""COMPUTED_VALUE"""),0.0)</f>
        <v>0</v>
      </c>
      <c r="V440" s="10" t="str">
        <f>IFERROR(__xludf.DUMMYFUNCTION("""COMPUTED_VALUE"""),"پڑوسیوں کے حقوق ")</f>
        <v>پڑوسیوں کے حقوق </v>
      </c>
      <c r="W440" s="10" t="str">
        <f>IFERROR(__xludf.DUMMYFUNCTION("""COMPUTED_VALUE"""),"امام نے پڑوسیوں کے حقوق کا ذکر کیا  کہ تم پر تمہارے پڑوسیوں کو پہلا حق ہے ان کی ہر حال میں مدد کرو اور ان کی خوشی غمی اور پریشانی میں شریک ہو")</f>
        <v>امام نے پڑوسیوں کے حقوق کا ذکر کیا  کہ تم پر تمہارے پڑوسیوں کو پہلا حق ہے ان کی ہر حال میں مدد کرو اور ان کی خوشی غمی اور پریشانی میں شریک ہو</v>
      </c>
      <c r="X440" s="10">
        <f>IFERROR(__xludf.DUMMYFUNCTION("""COMPUTED_VALUE"""),2.0)</f>
        <v>2</v>
      </c>
      <c r="Y440" s="10">
        <f>IFERROR(__xludf.DUMMYFUNCTION("""COMPUTED_VALUE"""),8.0)</f>
        <v>8</v>
      </c>
      <c r="Z440" s="10">
        <f>IFERROR(__xludf.DUMMYFUNCTION("""COMPUTED_VALUE"""),4.0)</f>
        <v>4</v>
      </c>
      <c r="AA440" s="10">
        <f>IFERROR(__xludf.DUMMYFUNCTION("""COMPUTED_VALUE"""),2.0)</f>
        <v>2</v>
      </c>
      <c r="AB440" s="10">
        <f>IFERROR(__xludf.DUMMYFUNCTION("""COMPUTED_VALUE"""),1.0)</f>
        <v>1</v>
      </c>
      <c r="AC440" s="10">
        <f>IFERROR(__xludf.DUMMYFUNCTION("""COMPUTED_VALUE"""),0.0)</f>
        <v>0</v>
      </c>
      <c r="AD440" s="10">
        <f>IFERROR(__xludf.DUMMYFUNCTION("""COMPUTED_VALUE"""),0.0)</f>
        <v>0</v>
      </c>
      <c r="AE440" s="10">
        <f>IFERROR(__xludf.DUMMYFUNCTION("""COMPUTED_VALUE"""),2.0)</f>
        <v>2</v>
      </c>
      <c r="AF440" s="10">
        <f>IFERROR(__xludf.DUMMYFUNCTION("""COMPUTED_VALUE"""),0.0)</f>
        <v>0</v>
      </c>
      <c r="AG440" s="10">
        <f>IFERROR(__xludf.DUMMYFUNCTION("""COMPUTED_VALUE"""),8.0)</f>
        <v>8</v>
      </c>
      <c r="AH440" s="10">
        <f>IFERROR(__xludf.DUMMYFUNCTION("""COMPUTED_VALUE"""),0.0)</f>
        <v>0</v>
      </c>
      <c r="AI440" s="10">
        <f>IFERROR(__xludf.DUMMYFUNCTION("""COMPUTED_VALUE"""),8.0)</f>
        <v>8</v>
      </c>
      <c r="AJ440" s="11" t="str">
        <f>IFERROR(__xludf.DUMMYFUNCTION("""COMPUTED_VALUE"""),"https://drive.google.com/open?id=1kJfX-05TGFCZGdKaert_FKr_y_N0V7nB")</f>
        <v>https://drive.google.com/open?id=1kJfX-05TGFCZGdKaert_FKr_y_N0V7nB</v>
      </c>
      <c r="AK440" s="12" t="str">
        <f>IFERROR(__xludf.DUMMYFUNCTION("""COMPUTED_VALUE"""),"Language barrier ")</f>
        <v>Language barrier </v>
      </c>
      <c r="AL440" s="12" t="str">
        <f>IFERROR(__xludf.DUMMYFUNCTION("""COMPUTED_VALUE"""),"Yes")</f>
        <v>Yes</v>
      </c>
      <c r="AM440" s="15">
        <f>IFERROR(__xludf.DUMMYFUNCTION("""COMPUTED_VALUE"""),0.4)</f>
        <v>0.4</v>
      </c>
      <c r="AN440" s="12" t="str">
        <f>IFERROR(__xludf.DUMMYFUNCTION("""COMPUTED_VALUE"""),"2nd week")</f>
        <v>2nd week</v>
      </c>
      <c r="AO440" s="13">
        <v>2.0</v>
      </c>
      <c r="AX440" s="17"/>
    </row>
    <row r="441">
      <c r="B441" s="9">
        <f>IFERROR(__xludf.DUMMYFUNCTION("""COMPUTED_VALUE"""),45886.299208888886)</f>
        <v>45886.29921</v>
      </c>
      <c r="C441" s="10" t="str">
        <f>IFERROR(__xludf.DUMMYFUNCTION("""COMPUTED_VALUE"""),"Shahid Iqbal")</f>
        <v>Shahid Iqbal</v>
      </c>
      <c r="D441" s="10" t="str">
        <f>IFERROR(__xludf.DUMMYFUNCTION("""COMPUTED_VALUE"""),"03013665049")</f>
        <v>03013665049</v>
      </c>
      <c r="E441" s="10" t="str">
        <f>IFERROR(__xludf.DUMMYFUNCTION("""COMPUTED_VALUE"""),"Jamia Masjid Darbar Hazrat Mian Channu")</f>
        <v>Jamia Masjid Darbar Hazrat Mian Channu</v>
      </c>
      <c r="F441" s="10" t="str">
        <f>IFERROR(__xludf.DUMMYFUNCTION("""COMPUTED_VALUE"""),"xpynm")</f>
        <v>xpynm</v>
      </c>
      <c r="G441" s="10" t="str">
        <f>IFERROR(__xludf.DUMMYFUNCTION("""COMPUTED_VALUE"""),"Yes")</f>
        <v>Yes</v>
      </c>
      <c r="H441" s="10">
        <f>IFERROR(__xludf.DUMMYFUNCTION("""COMPUTED_VALUE"""),3.0)</f>
        <v>3</v>
      </c>
      <c r="I441" s="10">
        <f>IFERROR(__xludf.DUMMYFUNCTION("""COMPUTED_VALUE"""),7.0)</f>
        <v>7</v>
      </c>
      <c r="J441" s="10">
        <f>IFERROR(__xludf.DUMMYFUNCTION("""COMPUTED_VALUE"""),4.0)</f>
        <v>4</v>
      </c>
      <c r="K441" s="10">
        <f>IFERROR(__xludf.DUMMYFUNCTION("""COMPUTED_VALUE"""),0.0)</f>
        <v>0</v>
      </c>
      <c r="L441" s="10">
        <f>IFERROR(__xludf.DUMMYFUNCTION("""COMPUTED_VALUE"""),5.0)</f>
        <v>5</v>
      </c>
      <c r="M441" s="10">
        <f>IFERROR(__xludf.DUMMYFUNCTION("""COMPUTED_VALUE"""),0.0)</f>
        <v>0</v>
      </c>
      <c r="N441" s="10">
        <f>IFERROR(__xludf.DUMMYFUNCTION("""COMPUTED_VALUE"""),5.0)</f>
        <v>5</v>
      </c>
      <c r="O441" s="10">
        <f>IFERROR(__xludf.DUMMYFUNCTION("""COMPUTED_VALUE"""),0.0)</f>
        <v>0</v>
      </c>
      <c r="P441" s="10">
        <f>IFERROR(__xludf.DUMMYFUNCTION("""COMPUTED_VALUE"""),3.0)</f>
        <v>3</v>
      </c>
      <c r="Q441" s="10" t="str">
        <f>IFERROR(__xludf.DUMMYFUNCTION("""COMPUTED_VALUE"""),"No")</f>
        <v>No</v>
      </c>
      <c r="R441" s="10" t="str">
        <f>IFERROR(__xludf.DUMMYFUNCTION("""COMPUTED_VALUE"""),"No")</f>
        <v>No</v>
      </c>
      <c r="S441" s="10" t="str">
        <f>IFERROR(__xludf.DUMMYFUNCTION("""COMPUTED_VALUE"""),"No")</f>
        <v>No</v>
      </c>
      <c r="T441" s="10">
        <f>IFERROR(__xludf.DUMMYFUNCTION("""COMPUTED_VALUE"""),0.0)</f>
        <v>0</v>
      </c>
      <c r="U441" s="10">
        <f>IFERROR(__xludf.DUMMYFUNCTION("""COMPUTED_VALUE"""),0.0)</f>
        <v>0</v>
      </c>
      <c r="V441" s="10" t="str">
        <f>IFERROR(__xludf.DUMMYFUNCTION("""COMPUTED_VALUE"""),"Padosi k haqooq")</f>
        <v>Padosi k haqooq</v>
      </c>
      <c r="W441" s="10" t="str">
        <f>IFERROR(__xludf.DUMMYFUNCTION("""COMPUTED_VALUE"""),"Padosi k haqooq")</f>
        <v>Padosi k haqooq</v>
      </c>
      <c r="X441" s="10">
        <f>IFERROR(__xludf.DUMMYFUNCTION("""COMPUTED_VALUE"""),3.0)</f>
        <v>3</v>
      </c>
      <c r="Y441" s="10">
        <f>IFERROR(__xludf.DUMMYFUNCTION("""COMPUTED_VALUE"""),4.0)</f>
        <v>4</v>
      </c>
      <c r="Z441" s="10">
        <f>IFERROR(__xludf.DUMMYFUNCTION("""COMPUTED_VALUE"""),2.0)</f>
        <v>2</v>
      </c>
      <c r="AA441" s="10">
        <f>IFERROR(__xludf.DUMMYFUNCTION("""COMPUTED_VALUE"""),4.0)</f>
        <v>4</v>
      </c>
      <c r="AB441" s="10">
        <f>IFERROR(__xludf.DUMMYFUNCTION("""COMPUTED_VALUE"""),5.0)</f>
        <v>5</v>
      </c>
      <c r="AC441" s="10">
        <f>IFERROR(__xludf.DUMMYFUNCTION("""COMPUTED_VALUE"""),0.0)</f>
        <v>0</v>
      </c>
      <c r="AD441" s="10">
        <f>IFERROR(__xludf.DUMMYFUNCTION("""COMPUTED_VALUE"""),0.0)</f>
        <v>0</v>
      </c>
      <c r="AE441" s="10">
        <f>IFERROR(__xludf.DUMMYFUNCTION("""COMPUTED_VALUE"""),0.0)</f>
        <v>0</v>
      </c>
      <c r="AF441" s="10">
        <f>IFERROR(__xludf.DUMMYFUNCTION("""COMPUTED_VALUE"""),1.0)</f>
        <v>1</v>
      </c>
      <c r="AG441" s="10">
        <f>IFERROR(__xludf.DUMMYFUNCTION("""COMPUTED_VALUE"""),8.0)</f>
        <v>8</v>
      </c>
      <c r="AH441" s="10">
        <f>IFERROR(__xludf.DUMMYFUNCTION("""COMPUTED_VALUE"""),1.0)</f>
        <v>1</v>
      </c>
      <c r="AI441" s="10">
        <f>IFERROR(__xludf.DUMMYFUNCTION("""COMPUTED_VALUE"""),8.0)</f>
        <v>8</v>
      </c>
      <c r="AJ441" s="11" t="str">
        <f>IFERROR(__xludf.DUMMYFUNCTION("""COMPUTED_VALUE"""),"https://drive.google.com/open?id=1tGl-05dOVGEFjdi8xANEOu7R1ymczi5C")</f>
        <v>https://drive.google.com/open?id=1tGl-05dOVGEFjdi8xANEOu7R1ymczi5C</v>
      </c>
      <c r="AK441" s="12"/>
      <c r="AL441" s="12" t="str">
        <f>IFERROR(__xludf.DUMMYFUNCTION("""COMPUTED_VALUE"""),"Yes")</f>
        <v>Yes</v>
      </c>
      <c r="AM441" s="15">
        <f>IFERROR(__xludf.DUMMYFUNCTION("""COMPUTED_VALUE"""),0.1)</f>
        <v>0.1</v>
      </c>
      <c r="AN441" s="12" t="str">
        <f>IFERROR(__xludf.DUMMYFUNCTION("""COMPUTED_VALUE"""),"1st week")</f>
        <v>1st week</v>
      </c>
      <c r="AO441" s="13" t="s">
        <v>9</v>
      </c>
      <c r="AX441" s="17"/>
    </row>
    <row r="442">
      <c r="B442" s="9">
        <f>IFERROR(__xludf.DUMMYFUNCTION("""COMPUTED_VALUE"""),45886.30677418981)</f>
        <v>45886.30677</v>
      </c>
      <c r="C442" s="10" t="str">
        <f>IFERROR(__xludf.DUMMYFUNCTION("""COMPUTED_VALUE"""),"Muqaddas bibi ")</f>
        <v>Muqaddas bibi </v>
      </c>
      <c r="D442" s="10" t="str">
        <f>IFERROR(__xludf.DUMMYFUNCTION("""COMPUTED_VALUE"""),"03075314147")</f>
        <v>03075314147</v>
      </c>
      <c r="E442" s="10" t="str">
        <f>IFERROR(__xludf.DUMMYFUNCTION("""COMPUTED_VALUE"""),"Jamia masjid Hakeem Muhammad Yar wali ")</f>
        <v>Jamia masjid Hakeem Muhammad Yar wali </v>
      </c>
      <c r="F442" s="10" t="str">
        <f>IFERROR(__xludf.DUMMYFUNCTION("""COMPUTED_VALUE"""),"rakei")</f>
        <v>rakei</v>
      </c>
      <c r="G442" s="10" t="str">
        <f>IFERROR(__xludf.DUMMYFUNCTION("""COMPUTED_VALUE"""),"No")</f>
        <v>No</v>
      </c>
      <c r="H442" s="10"/>
      <c r="I442" s="10"/>
      <c r="J442" s="10"/>
      <c r="K442" s="10">
        <f>IFERROR(__xludf.DUMMYFUNCTION("""COMPUTED_VALUE"""),0.0)</f>
        <v>0</v>
      </c>
      <c r="L442" s="10">
        <f>IFERROR(__xludf.DUMMYFUNCTION("""COMPUTED_VALUE"""),1.0)</f>
        <v>1</v>
      </c>
      <c r="M442" s="10">
        <f>IFERROR(__xludf.DUMMYFUNCTION("""COMPUTED_VALUE"""),0.0)</f>
        <v>0</v>
      </c>
      <c r="N442" s="10">
        <f>IFERROR(__xludf.DUMMYFUNCTION("""COMPUTED_VALUE"""),0.0)</f>
        <v>0</v>
      </c>
      <c r="O442" s="10">
        <f>IFERROR(__xludf.DUMMYFUNCTION("""COMPUTED_VALUE"""),0.0)</f>
        <v>0</v>
      </c>
      <c r="P442" s="10">
        <f>IFERROR(__xludf.DUMMYFUNCTION("""COMPUTED_VALUE"""),0.0)</f>
        <v>0</v>
      </c>
      <c r="Q442" s="10" t="str">
        <f>IFERROR(__xludf.DUMMYFUNCTION("""COMPUTED_VALUE"""),"No")</f>
        <v>No</v>
      </c>
      <c r="R442" s="10" t="str">
        <f>IFERROR(__xludf.DUMMYFUNCTION("""COMPUTED_VALUE"""),"No")</f>
        <v>No</v>
      </c>
      <c r="S442" s="10" t="str">
        <f>IFERROR(__xludf.DUMMYFUNCTION("""COMPUTED_VALUE"""),"No")</f>
        <v>No</v>
      </c>
      <c r="T442" s="10">
        <f>IFERROR(__xludf.DUMMYFUNCTION("""COMPUTED_VALUE"""),0.0)</f>
        <v>0</v>
      </c>
      <c r="U442" s="10">
        <f>IFERROR(__xludf.DUMMYFUNCTION("""COMPUTED_VALUE"""),0.0)</f>
        <v>0</v>
      </c>
      <c r="V442" s="10" t="str">
        <f>IFERROR(__xludf.DUMMYFUNCTION("""COMPUTED_VALUE"""),"شان مصطفی اور ختم نبوت کا اعلان")</f>
        <v>شان مصطفی اور ختم نبوت کا اعلان</v>
      </c>
      <c r="W442" s="10" t="str">
        <f>IFERROR(__xludf.DUMMYFUNCTION("""COMPUTED_VALUE"""),"اور یہ بیان حضور پاک کی شان انبیاء سے لیے گئے عہد اور حضور پاک کی ختم نبوت کے اعلان کے بارے میں ہے اس میں بتایا گیا ہے کہ اللہ تعالی نے دنیا کو بھی اپ کی خاطر پیدا کیا اور اپ کی شفاعت ہی قیامت کے دن سب کے کام ائے گی")</f>
        <v>اور یہ بیان حضور پاک کی شان انبیاء سے لیے گئے عہد اور حضور پاک کی ختم نبوت کے اعلان کے بارے میں ہے اس میں بتایا گیا ہے کہ اللہ تعالی نے دنیا کو بھی اپ کی خاطر پیدا کیا اور اپ کی شفاعت ہی قیامت کے دن سب کے کام ائے گی</v>
      </c>
      <c r="X442" s="10">
        <f>IFERROR(__xludf.DUMMYFUNCTION("""COMPUTED_VALUE"""),0.0)</f>
        <v>0</v>
      </c>
      <c r="Y442" s="10">
        <f>IFERROR(__xludf.DUMMYFUNCTION("""COMPUTED_VALUE"""),0.0)</f>
        <v>0</v>
      </c>
      <c r="Z442" s="10">
        <f>IFERROR(__xludf.DUMMYFUNCTION("""COMPUTED_VALUE"""),2.0)</f>
        <v>2</v>
      </c>
      <c r="AA442" s="10">
        <f>IFERROR(__xludf.DUMMYFUNCTION("""COMPUTED_VALUE"""),2.0)</f>
        <v>2</v>
      </c>
      <c r="AB442" s="10">
        <f>IFERROR(__xludf.DUMMYFUNCTION("""COMPUTED_VALUE"""),0.0)</f>
        <v>0</v>
      </c>
      <c r="AC442" s="10">
        <f>IFERROR(__xludf.DUMMYFUNCTION("""COMPUTED_VALUE"""),0.0)</f>
        <v>0</v>
      </c>
      <c r="AD442" s="10">
        <f>IFERROR(__xludf.DUMMYFUNCTION("""COMPUTED_VALUE"""),0.0)</f>
        <v>0</v>
      </c>
      <c r="AE442" s="10">
        <f>IFERROR(__xludf.DUMMYFUNCTION("""COMPUTED_VALUE"""),0.0)</f>
        <v>0</v>
      </c>
      <c r="AF442" s="10">
        <f>IFERROR(__xludf.DUMMYFUNCTION("""COMPUTED_VALUE"""),0.0)</f>
        <v>0</v>
      </c>
      <c r="AG442" s="10">
        <f>IFERROR(__xludf.DUMMYFUNCTION("""COMPUTED_VALUE"""),8.0)</f>
        <v>8</v>
      </c>
      <c r="AH442" s="10">
        <f>IFERROR(__xludf.DUMMYFUNCTION("""COMPUTED_VALUE"""),0.0)</f>
        <v>0</v>
      </c>
      <c r="AI442" s="10">
        <f>IFERROR(__xludf.DUMMYFUNCTION("""COMPUTED_VALUE"""),7.0)</f>
        <v>7</v>
      </c>
      <c r="AJ442" s="11" t="str">
        <f>IFERROR(__xludf.DUMMYFUNCTION("""COMPUTED_VALUE"""),"https://drive.google.com/open?id=1_BEy6ovgNyAXYheW5IB5wJylymFXBVn7")</f>
        <v>https://drive.google.com/open?id=1_BEy6ovgNyAXYheW5IB5wJylymFXBVn7</v>
      </c>
      <c r="AK442" s="12"/>
      <c r="AL442" s="12"/>
      <c r="AM442" s="12"/>
      <c r="AN442" s="12" t="str">
        <f>IFERROR(__xludf.DUMMYFUNCTION("""COMPUTED_VALUE"""),"3rd week")</f>
        <v>3rd week</v>
      </c>
      <c r="AO442" s="13">
        <v>3.0</v>
      </c>
      <c r="AX442" s="17"/>
    </row>
    <row r="443">
      <c r="B443" s="9">
        <f>IFERROR(__xludf.DUMMYFUNCTION("""COMPUTED_VALUE"""),45886.33278671296)</f>
        <v>45886.33279</v>
      </c>
      <c r="C443" s="10" t="str">
        <f>IFERROR(__xludf.DUMMYFUNCTION("""COMPUTED_VALUE"""),"Muqaddas bibi ")</f>
        <v>Muqaddas bibi </v>
      </c>
      <c r="D443" s="10" t="str">
        <f>IFERROR(__xludf.DUMMYFUNCTION("""COMPUTED_VALUE"""),"03075314147")</f>
        <v>03075314147</v>
      </c>
      <c r="E443" s="10" t="str">
        <f>IFERROR(__xludf.DUMMYFUNCTION("""COMPUTED_VALUE"""),"Jamia masjid sheikh Muhammad Syed wali Fareed gate ")</f>
        <v>Jamia masjid sheikh Muhammad Syed wali Fareed gate </v>
      </c>
      <c r="F443" s="10" t="str">
        <f>IFERROR(__xludf.DUMMYFUNCTION("""COMPUTED_VALUE"""),"PGOLJ")</f>
        <v>PGOLJ</v>
      </c>
      <c r="G443" s="10" t="str">
        <f>IFERROR(__xludf.DUMMYFUNCTION("""COMPUTED_VALUE"""),"Yes")</f>
        <v>Yes</v>
      </c>
      <c r="H443" s="10">
        <f>IFERROR(__xludf.DUMMYFUNCTION("""COMPUTED_VALUE"""),0.0)</f>
        <v>0</v>
      </c>
      <c r="I443" s="10">
        <f>IFERROR(__xludf.DUMMYFUNCTION("""COMPUTED_VALUE"""),10.0)</f>
        <v>10</v>
      </c>
      <c r="J443" s="10">
        <f>IFERROR(__xludf.DUMMYFUNCTION("""COMPUTED_VALUE"""),0.0)</f>
        <v>0</v>
      </c>
      <c r="K443" s="10">
        <f>IFERROR(__xludf.DUMMYFUNCTION("""COMPUTED_VALUE"""),10.0)</f>
        <v>10</v>
      </c>
      <c r="L443" s="10">
        <f>IFERROR(__xludf.DUMMYFUNCTION("""COMPUTED_VALUE"""),0.0)</f>
        <v>0</v>
      </c>
      <c r="M443" s="10">
        <f>IFERROR(__xludf.DUMMYFUNCTION("""COMPUTED_VALUE"""),0.0)</f>
        <v>0</v>
      </c>
      <c r="N443" s="10">
        <f>IFERROR(__xludf.DUMMYFUNCTION("""COMPUTED_VALUE"""),0.0)</f>
        <v>0</v>
      </c>
      <c r="O443" s="10">
        <f>IFERROR(__xludf.DUMMYFUNCTION("""COMPUTED_VALUE"""),7.0)</f>
        <v>7</v>
      </c>
      <c r="P443" s="10">
        <f>IFERROR(__xludf.DUMMYFUNCTION("""COMPUTED_VALUE"""),0.0)</f>
        <v>0</v>
      </c>
      <c r="Q443" s="10" t="str">
        <f>IFERROR(__xludf.DUMMYFUNCTION("""COMPUTED_VALUE"""),"No")</f>
        <v>No</v>
      </c>
      <c r="R443" s="10" t="str">
        <f>IFERROR(__xludf.DUMMYFUNCTION("""COMPUTED_VALUE"""),"No")</f>
        <v>No</v>
      </c>
      <c r="S443" s="10" t="str">
        <f>IFERROR(__xludf.DUMMYFUNCTION("""COMPUTED_VALUE"""),"Yes")</f>
        <v>Yes</v>
      </c>
      <c r="T443" s="10">
        <f>IFERROR(__xludf.DUMMYFUNCTION("""COMPUTED_VALUE"""),0.0)</f>
        <v>0</v>
      </c>
      <c r="U443" s="10">
        <f>IFERROR(__xludf.DUMMYFUNCTION("""COMPUTED_VALUE"""),0.0)</f>
        <v>0</v>
      </c>
      <c r="V443" s="10" t="str">
        <f>IFERROR(__xludf.DUMMYFUNCTION("""COMPUTED_VALUE"""),"اسلام میں عورتوں کے حقوق اور معاشرتی کردار")</f>
        <v>اسلام میں عورتوں کے حقوق اور معاشرتی کردار</v>
      </c>
      <c r="W443" s="10" t="str">
        <f>IFERROR(__xludf.DUMMYFUNCTION("""COMPUTED_VALUE"""),"اس بیان میں بتایا گیا کہ اسلام نے عورتوں کو معاشی سماجی اور سیاسی سرگرمیوں میں حصہ لینے رائے دینے اور تعلیم حاصل کرنے کا حق دیا ہے ساتھ ہی مردوں کو نصیحت کی ہے کہ وہ اپنی بیویوں اور بچیوں کی تعلیم و تربیت کا خاص خیال رکھیں")</f>
        <v>اس بیان میں بتایا گیا کہ اسلام نے عورتوں کو معاشی سماجی اور سیاسی سرگرمیوں میں حصہ لینے رائے دینے اور تعلیم حاصل کرنے کا حق دیا ہے ساتھ ہی مردوں کو نصیحت کی ہے کہ وہ اپنی بیویوں اور بچیوں کی تعلیم و تربیت کا خاص خیال رکھیں</v>
      </c>
      <c r="X443" s="10">
        <f>IFERROR(__xludf.DUMMYFUNCTION("""COMPUTED_VALUE"""),0.0)</f>
        <v>0</v>
      </c>
      <c r="Y443" s="10">
        <f>IFERROR(__xludf.DUMMYFUNCTION("""COMPUTED_VALUE"""),7.0)</f>
        <v>7</v>
      </c>
      <c r="Z443" s="10">
        <f>IFERROR(__xludf.DUMMYFUNCTION("""COMPUTED_VALUE"""),3.0)</f>
        <v>3</v>
      </c>
      <c r="AA443" s="10">
        <f>IFERROR(__xludf.DUMMYFUNCTION("""COMPUTED_VALUE"""),3.0)</f>
        <v>3</v>
      </c>
      <c r="AB443" s="10">
        <f>IFERROR(__xludf.DUMMYFUNCTION("""COMPUTED_VALUE"""),0.0)</f>
        <v>0</v>
      </c>
      <c r="AC443" s="10">
        <f>IFERROR(__xludf.DUMMYFUNCTION("""COMPUTED_VALUE"""),0.0)</f>
        <v>0</v>
      </c>
      <c r="AD443" s="10">
        <f>IFERROR(__xludf.DUMMYFUNCTION("""COMPUTED_VALUE"""),3.0)</f>
        <v>3</v>
      </c>
      <c r="AE443" s="10">
        <f>IFERROR(__xludf.DUMMYFUNCTION("""COMPUTED_VALUE"""),0.0)</f>
        <v>0</v>
      </c>
      <c r="AF443" s="10">
        <f>IFERROR(__xludf.DUMMYFUNCTION("""COMPUTED_VALUE"""),0.0)</f>
        <v>0</v>
      </c>
      <c r="AG443" s="10">
        <f>IFERROR(__xludf.DUMMYFUNCTION("""COMPUTED_VALUE"""),8.0)</f>
        <v>8</v>
      </c>
      <c r="AH443" s="10">
        <f>IFERROR(__xludf.DUMMYFUNCTION("""COMPUTED_VALUE"""),0.0)</f>
        <v>0</v>
      </c>
      <c r="AI443" s="10">
        <f>IFERROR(__xludf.DUMMYFUNCTION("""COMPUTED_VALUE"""),7.0)</f>
        <v>7</v>
      </c>
      <c r="AJ443" s="11" t="str">
        <f>IFERROR(__xludf.DUMMYFUNCTION("""COMPUTED_VALUE"""),"https://drive.google.com/open?id=1dTCkOBDWnS4SKr4nRHJjAAMXnVeO_qyr")</f>
        <v>https://drive.google.com/open?id=1dTCkOBDWnS4SKr4nRHJjAAMXnVeO_qyr</v>
      </c>
      <c r="AK443" s="12" t="str">
        <f>IFERROR(__xludf.DUMMYFUNCTION("""COMPUTED_VALUE"""),"Nill")</f>
        <v>Nill</v>
      </c>
      <c r="AL443" s="12" t="str">
        <f>IFERROR(__xludf.DUMMYFUNCTION("""COMPUTED_VALUE"""),"Yes")</f>
        <v>Yes</v>
      </c>
      <c r="AM443" s="15">
        <f>IFERROR(__xludf.DUMMYFUNCTION("""COMPUTED_VALUE"""),0.0)</f>
        <v>0</v>
      </c>
      <c r="AN443" s="12" t="str">
        <f>IFERROR(__xludf.DUMMYFUNCTION("""COMPUTED_VALUE"""),"2nd week")</f>
        <v>2nd week</v>
      </c>
      <c r="AO443" s="13">
        <v>2.0</v>
      </c>
      <c r="AX443" s="17"/>
    </row>
    <row r="444">
      <c r="B444" s="9">
        <f>IFERROR(__xludf.DUMMYFUNCTION("""COMPUTED_VALUE"""),45886.52889592593)</f>
        <v>45886.5289</v>
      </c>
      <c r="C444" s="10" t="str">
        <f>IFERROR(__xludf.DUMMYFUNCTION("""COMPUTED_VALUE"""),"Asma Gul ")</f>
        <v>Asma Gul </v>
      </c>
      <c r="D444" s="10" t="str">
        <f>IFERROR(__xludf.DUMMYFUNCTION("""COMPUTED_VALUE"""),"03459308620")</f>
        <v>03459308620</v>
      </c>
      <c r="E444" s="10" t="str">
        <f>IFERROR(__xludf.DUMMYFUNCTION("""COMPUTED_VALUE"""),"Jamia Masjid Azeem Ul Din Dolat Gate Multan")</f>
        <v>Jamia Masjid Azeem Ul Din Dolat Gate Multan</v>
      </c>
      <c r="F444" s="10" t="str">
        <f>IFERROR(__xludf.DUMMYFUNCTION("""COMPUTED_VALUE"""),"pxspv")</f>
        <v>pxspv</v>
      </c>
      <c r="G444" s="10" t="str">
        <f>IFERROR(__xludf.DUMMYFUNCTION("""COMPUTED_VALUE"""),"Yes")</f>
        <v>Yes</v>
      </c>
      <c r="H444" s="10">
        <f>IFERROR(__xludf.DUMMYFUNCTION("""COMPUTED_VALUE"""),8.0)</f>
        <v>8</v>
      </c>
      <c r="I444" s="10">
        <f>IFERROR(__xludf.DUMMYFUNCTION("""COMPUTED_VALUE"""),2.0)</f>
        <v>2</v>
      </c>
      <c r="J444" s="10">
        <f>IFERROR(__xludf.DUMMYFUNCTION("""COMPUTED_VALUE"""),8.0)</f>
        <v>8</v>
      </c>
      <c r="K444" s="10">
        <f>IFERROR(__xludf.DUMMYFUNCTION("""COMPUTED_VALUE"""),0.0)</f>
        <v>0</v>
      </c>
      <c r="L444" s="10">
        <f>IFERROR(__xludf.DUMMYFUNCTION("""COMPUTED_VALUE"""),10.0)</f>
        <v>10</v>
      </c>
      <c r="M444" s="10">
        <f>IFERROR(__xludf.DUMMYFUNCTION("""COMPUTED_VALUE"""),0.0)</f>
        <v>0</v>
      </c>
      <c r="N444" s="10">
        <f>IFERROR(__xludf.DUMMYFUNCTION("""COMPUTED_VALUE"""),10.0)</f>
        <v>10</v>
      </c>
      <c r="O444" s="10">
        <f>IFERROR(__xludf.DUMMYFUNCTION("""COMPUTED_VALUE"""),0.0)</f>
        <v>0</v>
      </c>
      <c r="P444" s="10">
        <f>IFERROR(__xludf.DUMMYFUNCTION("""COMPUTED_VALUE"""),9.0)</f>
        <v>9</v>
      </c>
      <c r="Q444" s="10" t="str">
        <f>IFERROR(__xludf.DUMMYFUNCTION("""COMPUTED_VALUE"""),"No")</f>
        <v>No</v>
      </c>
      <c r="R444" s="10" t="str">
        <f>IFERROR(__xludf.DUMMYFUNCTION("""COMPUTED_VALUE"""),"No")</f>
        <v>No</v>
      </c>
      <c r="S444" s="10" t="str">
        <f>IFERROR(__xludf.DUMMYFUNCTION("""COMPUTED_VALUE"""),"No")</f>
        <v>No</v>
      </c>
      <c r="T444" s="10">
        <f>IFERROR(__xludf.DUMMYFUNCTION("""COMPUTED_VALUE"""),0.0)</f>
        <v>0</v>
      </c>
      <c r="U444" s="10">
        <f>IFERROR(__xludf.DUMMYFUNCTION("""COMPUTED_VALUE"""),0.0)</f>
        <v>0</v>
      </c>
      <c r="V444" s="10" t="str">
        <f>IFERROR(__xludf.DUMMYFUNCTION("""COMPUTED_VALUE"""),"پڑوسیوں کے حقوق کی اہمیت")</f>
        <v>پڑوسیوں کے حقوق کی اہمیت</v>
      </c>
      <c r="W444" s="10" t="str">
        <f>IFERROR(__xludf.DUMMYFUNCTION("""COMPUTED_VALUE"""),"پڑوسیوں کے حقوق کا خیال رکھنا چاہیے ان کی خوشیوں میں شریک ہونا چاہیے ان کے غم میں ان کے ساتھ تعزیت کا اظہار کرنا چاہیے اور ہر طرح سے ان کی مالی معاونت کرنی چاہیے")</f>
        <v>پڑوسیوں کے حقوق کا خیال رکھنا چاہیے ان کی خوشیوں میں شریک ہونا چاہیے ان کے غم میں ان کے ساتھ تعزیت کا اظہار کرنا چاہیے اور ہر طرح سے ان کی مالی معاونت کرنی چاہیے</v>
      </c>
      <c r="X444" s="10">
        <f>IFERROR(__xludf.DUMMYFUNCTION("""COMPUTED_VALUE"""),7.0)</f>
        <v>7</v>
      </c>
      <c r="Y444" s="10">
        <f>IFERROR(__xludf.DUMMYFUNCTION("""COMPUTED_VALUE"""),10.0)</f>
        <v>10</v>
      </c>
      <c r="Z444" s="10">
        <f>IFERROR(__xludf.DUMMYFUNCTION("""COMPUTED_VALUE"""),9.0)</f>
        <v>9</v>
      </c>
      <c r="AA444" s="10">
        <f>IFERROR(__xludf.DUMMYFUNCTION("""COMPUTED_VALUE"""),10.0)</f>
        <v>10</v>
      </c>
      <c r="AB444" s="10">
        <f>IFERROR(__xludf.DUMMYFUNCTION("""COMPUTED_VALUE"""),10.0)</f>
        <v>10</v>
      </c>
      <c r="AC444" s="10">
        <f>IFERROR(__xludf.DUMMYFUNCTION("""COMPUTED_VALUE"""),6.0)</f>
        <v>6</v>
      </c>
      <c r="AD444" s="10">
        <f>IFERROR(__xludf.DUMMYFUNCTION("""COMPUTED_VALUE"""),5.0)</f>
        <v>5</v>
      </c>
      <c r="AE444" s="10">
        <f>IFERROR(__xludf.DUMMYFUNCTION("""COMPUTED_VALUE"""),8.0)</f>
        <v>8</v>
      </c>
      <c r="AF444" s="10">
        <f>IFERROR(__xludf.DUMMYFUNCTION("""COMPUTED_VALUE"""),0.0)</f>
        <v>0</v>
      </c>
      <c r="AG444" s="10">
        <f>IFERROR(__xludf.DUMMYFUNCTION("""COMPUTED_VALUE"""),9.0)</f>
        <v>9</v>
      </c>
      <c r="AH444" s="10">
        <f>IFERROR(__xludf.DUMMYFUNCTION("""COMPUTED_VALUE"""),0.0)</f>
        <v>0</v>
      </c>
      <c r="AI444" s="10">
        <f>IFERROR(__xludf.DUMMYFUNCTION("""COMPUTED_VALUE"""),9.0)</f>
        <v>9</v>
      </c>
      <c r="AJ444" s="11" t="str">
        <f>IFERROR(__xludf.DUMMYFUNCTION("""COMPUTED_VALUE"""),"https://drive.google.com/open?id=1sV2ApFVFA5qV8amAudERwWwpk6KMNL7z6p4UXPI0fxg")</f>
        <v>https://drive.google.com/open?id=1sV2ApFVFA5qV8amAudERwWwpk6KMNL7z6p4UXPI0fxg</v>
      </c>
      <c r="AK444" s="12"/>
      <c r="AL444" s="12" t="str">
        <f>IFERROR(__xludf.DUMMYFUNCTION("""COMPUTED_VALUE"""),"Yes")</f>
        <v>Yes</v>
      </c>
      <c r="AM444" s="15">
        <f>IFERROR(__xludf.DUMMYFUNCTION("""COMPUTED_VALUE"""),0.8)</f>
        <v>0.8</v>
      </c>
      <c r="AN444" s="12" t="str">
        <f>IFERROR(__xludf.DUMMYFUNCTION("""COMPUTED_VALUE"""),"1st week")</f>
        <v>1st week</v>
      </c>
      <c r="AO444" s="13">
        <v>1.0</v>
      </c>
      <c r="AX444" s="17"/>
    </row>
    <row r="445">
      <c r="B445" s="9">
        <f>IFERROR(__xludf.DUMMYFUNCTION("""COMPUTED_VALUE"""),45886.62804096065)</f>
        <v>45886.62804</v>
      </c>
      <c r="C445" s="10" t="str">
        <f>IFERROR(__xludf.DUMMYFUNCTION("""COMPUTED_VALUE"""),"Saira Shahzad ")</f>
        <v>Saira Shahzad </v>
      </c>
      <c r="D445" s="10" t="str">
        <f>IFERROR(__xludf.DUMMYFUNCTION("""COMPUTED_VALUE"""),"03114534696")</f>
        <v>03114534696</v>
      </c>
      <c r="E445" s="10" t="str">
        <f>IFERROR(__xludf.DUMMYFUNCTION("""COMPUTED_VALUE"""),"Jamia Masjid Gul Din Coloney Nawah City Multan")</f>
        <v>Jamia Masjid Gul Din Coloney Nawah City Multan</v>
      </c>
      <c r="F445" s="10" t="str">
        <f>IFERROR(__xludf.DUMMYFUNCTION("""COMPUTED_VALUE"""),"lvyea")</f>
        <v>lvyea</v>
      </c>
      <c r="G445" s="10" t="str">
        <f>IFERROR(__xludf.DUMMYFUNCTION("""COMPUTED_VALUE"""),"Yes")</f>
        <v>Yes</v>
      </c>
      <c r="H445" s="10">
        <f>IFERROR(__xludf.DUMMYFUNCTION("""COMPUTED_VALUE"""),0.0)</f>
        <v>0</v>
      </c>
      <c r="I445" s="10">
        <f>IFERROR(__xludf.DUMMYFUNCTION("""COMPUTED_VALUE"""),10.0)</f>
        <v>10</v>
      </c>
      <c r="J445" s="10">
        <f>IFERROR(__xludf.DUMMYFUNCTION("""COMPUTED_VALUE"""),0.0)</f>
        <v>0</v>
      </c>
      <c r="K445" s="10">
        <f>IFERROR(__xludf.DUMMYFUNCTION("""COMPUTED_VALUE"""),0.0)</f>
        <v>0</v>
      </c>
      <c r="L445" s="10">
        <f>IFERROR(__xludf.DUMMYFUNCTION("""COMPUTED_VALUE"""),7.0)</f>
        <v>7</v>
      </c>
      <c r="M445" s="10">
        <f>IFERROR(__xludf.DUMMYFUNCTION("""COMPUTED_VALUE"""),0.0)</f>
        <v>0</v>
      </c>
      <c r="N445" s="10">
        <f>IFERROR(__xludf.DUMMYFUNCTION("""COMPUTED_VALUE"""),7.0)</f>
        <v>7</v>
      </c>
      <c r="O445" s="10">
        <f>IFERROR(__xludf.DUMMYFUNCTION("""COMPUTED_VALUE"""),0.0)</f>
        <v>0</v>
      </c>
      <c r="P445" s="10">
        <f>IFERROR(__xludf.DUMMYFUNCTION("""COMPUTED_VALUE"""),6.0)</f>
        <v>6</v>
      </c>
      <c r="Q445" s="10" t="str">
        <f>IFERROR(__xludf.DUMMYFUNCTION("""COMPUTED_VALUE"""),"No")</f>
        <v>No</v>
      </c>
      <c r="R445" s="10" t="str">
        <f>IFERROR(__xludf.DUMMYFUNCTION("""COMPUTED_VALUE"""),"No")</f>
        <v>No</v>
      </c>
      <c r="S445" s="10" t="str">
        <f>IFERROR(__xludf.DUMMYFUNCTION("""COMPUTED_VALUE"""),"No")</f>
        <v>No</v>
      </c>
      <c r="T445" s="10">
        <f>IFERROR(__xludf.DUMMYFUNCTION("""COMPUTED_VALUE"""),0.0)</f>
        <v>0</v>
      </c>
      <c r="U445" s="10">
        <f>IFERROR(__xludf.DUMMYFUNCTION("""COMPUTED_VALUE"""),0.0)</f>
        <v>0</v>
      </c>
      <c r="V445" s="10" t="str">
        <f>IFERROR(__xludf.DUMMYFUNCTION("""COMPUTED_VALUE"""),"پڑوسیوں کے حقوق")</f>
        <v>پڑوسیوں کے حقوق</v>
      </c>
      <c r="W445" s="10" t="str">
        <f>IFERROR(__xludf.DUMMYFUNCTION("""COMPUTED_VALUE"""),"امام نے بیان میں پڑوسیوں کے حقوق پر زور دیا ہے اور پڑوسیوں کی تین اقسام کے بارے میں ذکر کیا ہے اور یہ بیان کیا ہے کہ جو غیر مسلم ہیں ہم ان کی مثالیں تو دیتے ہیں اچھے اخلاق کی پر خود نبی پاک صلی اللہ علیہ والہ وسلم کے بتائے گئے احکامات پر عمل نہیں کرتے جو "&amp;"کہ کرنے میں ہی ہماری بھلائی ہے")</f>
        <v>امام نے بیان میں پڑوسیوں کے حقوق پر زور دیا ہے اور پڑوسیوں کی تین اقسام کے بارے میں ذکر کیا ہے اور یہ بیان کیا ہے کہ جو غیر مسلم ہیں ہم ان کی مثالیں تو دیتے ہیں اچھے اخلاق کی پر خود نبی پاک صلی اللہ علیہ والہ وسلم کے بتائے گئے احکامات پر عمل نہیں کرتے جو کہ کرنے میں ہی ہماری بھلائی ہے</v>
      </c>
      <c r="X445" s="10">
        <f>IFERROR(__xludf.DUMMYFUNCTION("""COMPUTED_VALUE"""),2.0)</f>
        <v>2</v>
      </c>
      <c r="Y445" s="10">
        <f>IFERROR(__xludf.DUMMYFUNCTION("""COMPUTED_VALUE"""),4.0)</f>
        <v>4</v>
      </c>
      <c r="Z445" s="10">
        <f>IFERROR(__xludf.DUMMYFUNCTION("""COMPUTED_VALUE"""),7.0)</f>
        <v>7</v>
      </c>
      <c r="AA445" s="10">
        <f>IFERROR(__xludf.DUMMYFUNCTION("""COMPUTED_VALUE"""),5.0)</f>
        <v>5</v>
      </c>
      <c r="AB445" s="10">
        <f>IFERROR(__xludf.DUMMYFUNCTION("""COMPUTED_VALUE"""),4.0)</f>
        <v>4</v>
      </c>
      <c r="AC445" s="10">
        <f>IFERROR(__xludf.DUMMYFUNCTION("""COMPUTED_VALUE"""),0.0)</f>
        <v>0</v>
      </c>
      <c r="AD445" s="10">
        <f>IFERROR(__xludf.DUMMYFUNCTION("""COMPUTED_VALUE"""),0.0)</f>
        <v>0</v>
      </c>
      <c r="AE445" s="10">
        <f>IFERROR(__xludf.DUMMYFUNCTION("""COMPUTED_VALUE"""),0.0)</f>
        <v>0</v>
      </c>
      <c r="AF445" s="10">
        <f>IFERROR(__xludf.DUMMYFUNCTION("""COMPUTED_VALUE"""),0.0)</f>
        <v>0</v>
      </c>
      <c r="AG445" s="10">
        <f>IFERROR(__xludf.DUMMYFUNCTION("""COMPUTED_VALUE"""),7.0)</f>
        <v>7</v>
      </c>
      <c r="AH445" s="10">
        <f>IFERROR(__xludf.DUMMYFUNCTION("""COMPUTED_VALUE"""),0.0)</f>
        <v>0</v>
      </c>
      <c r="AI445" s="10">
        <f>IFERROR(__xludf.DUMMYFUNCTION("""COMPUTED_VALUE"""),7.0)</f>
        <v>7</v>
      </c>
      <c r="AJ445" s="11" t="str">
        <f>IFERROR(__xludf.DUMMYFUNCTION("""COMPUTED_VALUE"""),"https://drive.google.com/open?id=1Hqom0hHHYYWgd0YgZgHBCRJFH_QTLFCy1Wkkq2fF5l4")</f>
        <v>https://drive.google.com/open?id=1Hqom0hHHYYWgd0YgZgHBCRJFH_QTLFCy1Wkkq2fF5l4</v>
      </c>
      <c r="AK445" s="12" t="str">
        <f>IFERROR(__xludf.DUMMYFUNCTION("""COMPUTED_VALUE"""),"No")</f>
        <v>No</v>
      </c>
      <c r="AL445" s="12" t="str">
        <f>IFERROR(__xludf.DUMMYFUNCTION("""COMPUTED_VALUE"""),"No")</f>
        <v>No</v>
      </c>
      <c r="AM445" s="15">
        <f>IFERROR(__xludf.DUMMYFUNCTION("""COMPUTED_VALUE"""),0.0)</f>
        <v>0</v>
      </c>
      <c r="AN445" s="12" t="str">
        <f>IFERROR(__xludf.DUMMYFUNCTION("""COMPUTED_VALUE"""),"3rd week")</f>
        <v>3rd week</v>
      </c>
      <c r="AO445" s="13">
        <v>3.0</v>
      </c>
      <c r="AX445" s="17"/>
    </row>
    <row r="446">
      <c r="B446" s="9">
        <f>IFERROR(__xludf.DUMMYFUNCTION("""COMPUTED_VALUE"""),45886.80778668982)</f>
        <v>45886.80779</v>
      </c>
      <c r="C446" s="10" t="str">
        <f>IFERROR(__xludf.DUMMYFUNCTION("""COMPUTED_VALUE"""),"Sidra ")</f>
        <v>Sidra </v>
      </c>
      <c r="D446" s="10" t="str">
        <f>IFERROR(__xludf.DUMMYFUNCTION("""COMPUTED_VALUE"""),"03261416280")</f>
        <v>03261416280</v>
      </c>
      <c r="E446" s="10" t="str">
        <f>IFERROR(__xludf.DUMMYFUNCTION("""COMPUTED_VALUE"""),"Jamia Masjid Darbar Saki Shah Habib Layyah")</f>
        <v>Jamia Masjid Darbar Saki Shah Habib Layyah</v>
      </c>
      <c r="F446" s="10" t="str">
        <f>IFERROR(__xludf.DUMMYFUNCTION("""COMPUTED_VALUE"""),"tjbax")</f>
        <v>tjbax</v>
      </c>
      <c r="G446" s="10" t="str">
        <f>IFERROR(__xludf.DUMMYFUNCTION("""COMPUTED_VALUE"""),"Yes")</f>
        <v>Yes</v>
      </c>
      <c r="H446" s="10">
        <f>IFERROR(__xludf.DUMMYFUNCTION("""COMPUTED_VALUE"""),10.0)</f>
        <v>10</v>
      </c>
      <c r="I446" s="10">
        <f>IFERROR(__xludf.DUMMYFUNCTION("""COMPUTED_VALUE"""),0.0)</f>
        <v>0</v>
      </c>
      <c r="J446" s="10">
        <f>IFERROR(__xludf.DUMMYFUNCTION("""COMPUTED_VALUE"""),10.0)</f>
        <v>10</v>
      </c>
      <c r="K446" s="10">
        <f>IFERROR(__xludf.DUMMYFUNCTION("""COMPUTED_VALUE"""),9.0)</f>
        <v>9</v>
      </c>
      <c r="L446" s="10">
        <f>IFERROR(__xludf.DUMMYFUNCTION("""COMPUTED_VALUE"""),0.0)</f>
        <v>0</v>
      </c>
      <c r="M446" s="10">
        <f>IFERROR(__xludf.DUMMYFUNCTION("""COMPUTED_VALUE"""),8.0)</f>
        <v>8</v>
      </c>
      <c r="N446" s="10">
        <f>IFERROR(__xludf.DUMMYFUNCTION("""COMPUTED_VALUE"""),0.0)</f>
        <v>0</v>
      </c>
      <c r="O446" s="10">
        <f>IFERROR(__xludf.DUMMYFUNCTION("""COMPUTED_VALUE"""),5.0)</f>
        <v>5</v>
      </c>
      <c r="P446" s="10">
        <f>IFERROR(__xludf.DUMMYFUNCTION("""COMPUTED_VALUE"""),0.0)</f>
        <v>0</v>
      </c>
      <c r="Q446" s="10" t="str">
        <f>IFERROR(__xludf.DUMMYFUNCTION("""COMPUTED_VALUE"""),"Yes")</f>
        <v>Yes</v>
      </c>
      <c r="R446" s="10" t="str">
        <f>IFERROR(__xludf.DUMMYFUNCTION("""COMPUTED_VALUE"""),"No")</f>
        <v>No</v>
      </c>
      <c r="S446" s="10" t="str">
        <f>IFERROR(__xludf.DUMMYFUNCTION("""COMPUTED_VALUE"""),"Yes")</f>
        <v>Yes</v>
      </c>
      <c r="T446" s="10">
        <f>IFERROR(__xludf.DUMMYFUNCTION("""COMPUTED_VALUE"""),0.0)</f>
        <v>0</v>
      </c>
      <c r="U446" s="10">
        <f>IFERROR(__xludf.DUMMYFUNCTION("""COMPUTED_VALUE"""),0.0)</f>
        <v>0</v>
      </c>
      <c r="V446" s="10" t="str">
        <f>IFERROR(__xludf.DUMMYFUNCTION("""COMPUTED_VALUE"""),"اسلام میں عورتوں کا مقام کردار اور حق ")</f>
        <v>اسلام میں عورتوں کا مقام کردار اور حق </v>
      </c>
      <c r="W446" s="10" t="str">
        <f>IFERROR(__xludf.DUMMYFUNCTION("""COMPUTED_VALUE"""),"امام نے بیان میں بتایا ہےکہ اسلام آنے سے پہلے عورتوں کے ساتھ اچھا سلوک نہیں کیا جاتا تھا جو معاشرہ اپنی ماؤں کو بازار میں بیچ دیتا تھا اور عورتوں کو زندہ زمین میں دفن کر دیتا تھا آپ صلی اللہ علیہ وسلم کے آنے کے بعد عورتوں کو عزت دی جاتی ان کا احترام کیا ج"&amp;"انے لگا اور ان کو ان کا حق ملنے لگا آپ صلی اللہ علیہ وسلم نے فرمایا اگر عورت ماں ہے تو اس کے پاؤں تلے جنت ہے اور ماں کا درجہ باپ کے درجے سے تین گنا زیادہ ہے ")</f>
        <v>امام نے بیان میں بتایا ہےکہ اسلام آنے سے پہلے عورتوں کے ساتھ اچھا سلوک نہیں کیا جاتا تھا جو معاشرہ اپنی ماؤں کو بازار میں بیچ دیتا تھا اور عورتوں کو زندہ زمین میں دفن کر دیتا تھا آپ صلی اللہ علیہ وسلم کے آنے کے بعد عورتوں کو عزت دی جاتی ان کا احترام کیا جانے لگا اور ان کو ان کا حق ملنے لگا آپ صلی اللہ علیہ وسلم نے فرمایا اگر عورت ماں ہے تو اس کے پاؤں تلے جنت ہے اور ماں کا درجہ باپ کے درجے سے تین گنا زیادہ ہے </v>
      </c>
      <c r="X446" s="10">
        <f>IFERROR(__xludf.DUMMYFUNCTION("""COMPUTED_VALUE"""),0.0)</f>
        <v>0</v>
      </c>
      <c r="Y446" s="10">
        <f>IFERROR(__xludf.DUMMYFUNCTION("""COMPUTED_VALUE"""),2.0)</f>
        <v>2</v>
      </c>
      <c r="Z446" s="10">
        <f>IFERROR(__xludf.DUMMYFUNCTION("""COMPUTED_VALUE"""),6.0)</f>
        <v>6</v>
      </c>
      <c r="AA446" s="10">
        <f>IFERROR(__xludf.DUMMYFUNCTION("""COMPUTED_VALUE"""),4.0)</f>
        <v>4</v>
      </c>
      <c r="AB446" s="10">
        <f>IFERROR(__xludf.DUMMYFUNCTION("""COMPUTED_VALUE"""),0.0)</f>
        <v>0</v>
      </c>
      <c r="AC446" s="10">
        <f>IFERROR(__xludf.DUMMYFUNCTION("""COMPUTED_VALUE"""),0.0)</f>
        <v>0</v>
      </c>
      <c r="AD446" s="10">
        <f>IFERROR(__xludf.DUMMYFUNCTION("""COMPUTED_VALUE"""),0.0)</f>
        <v>0</v>
      </c>
      <c r="AE446" s="10">
        <f>IFERROR(__xludf.DUMMYFUNCTION("""COMPUTED_VALUE"""),0.0)</f>
        <v>0</v>
      </c>
      <c r="AF446" s="10">
        <f>IFERROR(__xludf.DUMMYFUNCTION("""COMPUTED_VALUE"""),0.0)</f>
        <v>0</v>
      </c>
      <c r="AG446" s="10">
        <f>IFERROR(__xludf.DUMMYFUNCTION("""COMPUTED_VALUE"""),9.0)</f>
        <v>9</v>
      </c>
      <c r="AH446" s="10">
        <f>IFERROR(__xludf.DUMMYFUNCTION("""COMPUTED_VALUE"""),0.0)</f>
        <v>0</v>
      </c>
      <c r="AI446" s="10">
        <f>IFERROR(__xludf.DUMMYFUNCTION("""COMPUTED_VALUE"""),9.0)</f>
        <v>9</v>
      </c>
      <c r="AJ446" s="11" t="str">
        <f>IFERROR(__xludf.DUMMYFUNCTION("""COMPUTED_VALUE"""),"https://drive.google.com/open?id=1V0tqoQSXSxcUZOPfTpeU8tEYXhXLNMD42t1tNGQ8EqU")</f>
        <v>https://drive.google.com/open?id=1V0tqoQSXSxcUZOPfTpeU8tEYXhXLNMD42t1tNGQ8EqU</v>
      </c>
      <c r="AK446" s="12" t="str">
        <f>IFERROR(__xludf.DUMMYFUNCTION("""COMPUTED_VALUE"""),"No ")</f>
        <v>No </v>
      </c>
      <c r="AL446" s="12" t="str">
        <f>IFERROR(__xludf.DUMMYFUNCTION("""COMPUTED_VALUE"""),"Yes")</f>
        <v>Yes</v>
      </c>
      <c r="AM446" s="15">
        <f>IFERROR(__xludf.DUMMYFUNCTION("""COMPUTED_VALUE"""),1.0)</f>
        <v>1</v>
      </c>
      <c r="AN446" s="12" t="str">
        <f>IFERROR(__xludf.DUMMYFUNCTION("""COMPUTED_VALUE"""),"1st week")</f>
        <v>1st week</v>
      </c>
      <c r="AO446" s="13">
        <v>1.0</v>
      </c>
      <c r="AX446" s="17"/>
    </row>
    <row r="447">
      <c r="B447" s="9">
        <f>IFERROR(__xludf.DUMMYFUNCTION("""COMPUTED_VALUE"""),45886.8573333449)</f>
        <v>45886.85733</v>
      </c>
      <c r="C447" s="10" t="str">
        <f>IFERROR(__xludf.DUMMYFUNCTION("""COMPUTED_VALUE"""),"Saira Shahzad ")</f>
        <v>Saira Shahzad </v>
      </c>
      <c r="D447" s="10" t="str">
        <f>IFERROR(__xludf.DUMMYFUNCTION("""COMPUTED_VALUE"""),"03114534696")</f>
        <v>03114534696</v>
      </c>
      <c r="E447" s="10" t="str">
        <f>IFERROR(__xludf.DUMMYFUNCTION("""COMPUTED_VALUE"""),"Jamia Masjid Kabotar Mandi Multan")</f>
        <v>Jamia Masjid Kabotar Mandi Multan</v>
      </c>
      <c r="F447" s="10" t="str">
        <f>IFERROR(__xludf.DUMMYFUNCTION("""COMPUTED_VALUE"""),"uleit")</f>
        <v>uleit</v>
      </c>
      <c r="G447" s="10" t="str">
        <f>IFERROR(__xludf.DUMMYFUNCTION("""COMPUTED_VALUE"""),"No")</f>
        <v>No</v>
      </c>
      <c r="H447" s="10"/>
      <c r="I447" s="10"/>
      <c r="J447" s="10"/>
      <c r="K447" s="10">
        <f>IFERROR(__xludf.DUMMYFUNCTION("""COMPUTED_VALUE"""),0.0)</f>
        <v>0</v>
      </c>
      <c r="L447" s="10">
        <f>IFERROR(__xludf.DUMMYFUNCTION("""COMPUTED_VALUE"""),0.0)</f>
        <v>0</v>
      </c>
      <c r="M447" s="10">
        <f>IFERROR(__xludf.DUMMYFUNCTION("""COMPUTED_VALUE"""),0.0)</f>
        <v>0</v>
      </c>
      <c r="N447" s="10">
        <f>IFERROR(__xludf.DUMMYFUNCTION("""COMPUTED_VALUE"""),0.0)</f>
        <v>0</v>
      </c>
      <c r="O447" s="10">
        <f>IFERROR(__xludf.DUMMYFUNCTION("""COMPUTED_VALUE"""),0.0)</f>
        <v>0</v>
      </c>
      <c r="P447" s="10">
        <f>IFERROR(__xludf.DUMMYFUNCTION("""COMPUTED_VALUE"""),0.0)</f>
        <v>0</v>
      </c>
      <c r="Q447" s="10" t="str">
        <f>IFERROR(__xludf.DUMMYFUNCTION("""COMPUTED_VALUE"""),"No")</f>
        <v>No</v>
      </c>
      <c r="R447" s="10" t="str">
        <f>IFERROR(__xludf.DUMMYFUNCTION("""COMPUTED_VALUE"""),"No")</f>
        <v>No</v>
      </c>
      <c r="S447" s="10" t="str">
        <f>IFERROR(__xludf.DUMMYFUNCTION("""COMPUTED_VALUE"""),"No")</f>
        <v>No</v>
      </c>
      <c r="T447" s="10">
        <f>IFERROR(__xludf.DUMMYFUNCTION("""COMPUTED_VALUE"""),0.0)</f>
        <v>0</v>
      </c>
      <c r="U447" s="10">
        <f>IFERROR(__xludf.DUMMYFUNCTION("""COMPUTED_VALUE"""),0.0)</f>
        <v>0</v>
      </c>
      <c r="V447" s="10" t="str">
        <f>IFERROR(__xludf.DUMMYFUNCTION("""COMPUTED_VALUE"""),"نبی پاک صلی اللہ علیہ والہ وسلم سے محبت اور ولی اللہ سے محبت")</f>
        <v>نبی پاک صلی اللہ علیہ والہ وسلم سے محبت اور ولی اللہ سے محبت</v>
      </c>
      <c r="W447" s="10" t="str">
        <f>IFERROR(__xludf.DUMMYFUNCTION("""COMPUTED_VALUE"""),"امام نے بیان میں نبی پاک صلی اللہ علیہ والہ وسلم سے محبت پر زور دیا ہے اور یہ کہاں ہے کہ اگر اللہ کی محبت تو ہے پر اللہ کے نبی پاک صلی اللہ علیہ وسلم کی محبت دل میں نہیں تو وہ انسان مومن نہیں ہو سکتا اور نبیوں کے بعد اللہ کے ولیوں کا نام ہے جو ہمیشہ رہے گ"&amp;"ا")</f>
        <v>امام نے بیان میں نبی پاک صلی اللہ علیہ والہ وسلم سے محبت پر زور دیا ہے اور یہ کہاں ہے کہ اگر اللہ کی محبت تو ہے پر اللہ کے نبی پاک صلی اللہ علیہ وسلم کی محبت دل میں نہیں تو وہ انسان مومن نہیں ہو سکتا اور نبیوں کے بعد اللہ کے ولیوں کا نام ہے جو ہمیشہ رہے گا</v>
      </c>
      <c r="X447" s="10">
        <f>IFERROR(__xludf.DUMMYFUNCTION("""COMPUTED_VALUE"""),2.0)</f>
        <v>2</v>
      </c>
      <c r="Y447" s="10">
        <f>IFERROR(__xludf.DUMMYFUNCTION("""COMPUTED_VALUE"""),1.0)</f>
        <v>1</v>
      </c>
      <c r="Z447" s="10">
        <f>IFERROR(__xludf.DUMMYFUNCTION("""COMPUTED_VALUE"""),0.0)</f>
        <v>0</v>
      </c>
      <c r="AA447" s="10">
        <f>IFERROR(__xludf.DUMMYFUNCTION("""COMPUTED_VALUE"""),5.0)</f>
        <v>5</v>
      </c>
      <c r="AB447" s="10">
        <f>IFERROR(__xludf.DUMMYFUNCTION("""COMPUTED_VALUE"""),6.0)</f>
        <v>6</v>
      </c>
      <c r="AC447" s="10">
        <f>IFERROR(__xludf.DUMMYFUNCTION("""COMPUTED_VALUE"""),0.0)</f>
        <v>0</v>
      </c>
      <c r="AD447" s="10">
        <f>IFERROR(__xludf.DUMMYFUNCTION("""COMPUTED_VALUE"""),0.0)</f>
        <v>0</v>
      </c>
      <c r="AE447" s="10">
        <f>IFERROR(__xludf.DUMMYFUNCTION("""COMPUTED_VALUE"""),0.0)</f>
        <v>0</v>
      </c>
      <c r="AF447" s="10">
        <f>IFERROR(__xludf.DUMMYFUNCTION("""COMPUTED_VALUE"""),0.0)</f>
        <v>0</v>
      </c>
      <c r="AG447" s="10">
        <f>IFERROR(__xludf.DUMMYFUNCTION("""COMPUTED_VALUE"""),7.0)</f>
        <v>7</v>
      </c>
      <c r="AH447" s="10">
        <f>IFERROR(__xludf.DUMMYFUNCTION("""COMPUTED_VALUE"""),0.0)</f>
        <v>0</v>
      </c>
      <c r="AI447" s="10">
        <f>IFERROR(__xludf.DUMMYFUNCTION("""COMPUTED_VALUE"""),7.0)</f>
        <v>7</v>
      </c>
      <c r="AJ447" s="11" t="str">
        <f>IFERROR(__xludf.DUMMYFUNCTION("""COMPUTED_VALUE"""),"https://drive.google.com/open?id=1knOEj1KWTn57BMckuPAYCrsEw7Zz2Z4TwlgLlVRSQAc")</f>
        <v>https://drive.google.com/open?id=1knOEj1KWTn57BMckuPAYCrsEw7Zz2Z4TwlgLlVRSQAc</v>
      </c>
      <c r="AK447" s="12" t="str">
        <f>IFERROR(__xludf.DUMMYFUNCTION("""COMPUTED_VALUE"""),"No")</f>
        <v>No</v>
      </c>
      <c r="AL447" s="12"/>
      <c r="AM447" s="12"/>
      <c r="AN447" s="12" t="str">
        <f>IFERROR(__xludf.DUMMYFUNCTION("""COMPUTED_VALUE"""),"3rd week")</f>
        <v>3rd week</v>
      </c>
      <c r="AO447" s="13">
        <v>3.0</v>
      </c>
      <c r="AX447" s="17"/>
    </row>
    <row r="448">
      <c r="B448" s="9">
        <f>IFERROR(__xludf.DUMMYFUNCTION("""COMPUTED_VALUE"""),45886.9325746875)</f>
        <v>45886.93257</v>
      </c>
      <c r="C448" s="10" t="str">
        <f>IFERROR(__xludf.DUMMYFUNCTION("""COMPUTED_VALUE"""),"Sidra ")</f>
        <v>Sidra </v>
      </c>
      <c r="D448" s="10" t="str">
        <f>IFERROR(__xludf.DUMMYFUNCTION("""COMPUTED_VALUE"""),"03261416280")</f>
        <v>03261416280</v>
      </c>
      <c r="E448" s="10" t="str">
        <f>IFERROR(__xludf.DUMMYFUNCTION("""COMPUTED_VALUE"""),"Jamia Masjid Peer Ashaq Khawani Burj Multan")</f>
        <v>Jamia Masjid Peer Ashaq Khawani Burj Multan</v>
      </c>
      <c r="F448" s="10" t="str">
        <f>IFERROR(__xludf.DUMMYFUNCTION("""COMPUTED_VALUE"""),"zyeln")</f>
        <v>zyeln</v>
      </c>
      <c r="G448" s="10" t="str">
        <f>IFERROR(__xludf.DUMMYFUNCTION("""COMPUTED_VALUE"""),"Yes")</f>
        <v>Yes</v>
      </c>
      <c r="H448" s="10">
        <f>IFERROR(__xludf.DUMMYFUNCTION("""COMPUTED_VALUE"""),0.0)</f>
        <v>0</v>
      </c>
      <c r="I448" s="10">
        <f>IFERROR(__xludf.DUMMYFUNCTION("""COMPUTED_VALUE"""),10.0)</f>
        <v>10</v>
      </c>
      <c r="J448" s="10">
        <f>IFERROR(__xludf.DUMMYFUNCTION("""COMPUTED_VALUE"""),0.0)</f>
        <v>0</v>
      </c>
      <c r="K448" s="10">
        <f>IFERROR(__xludf.DUMMYFUNCTION("""COMPUTED_VALUE"""),9.0)</f>
        <v>9</v>
      </c>
      <c r="L448" s="10">
        <f>IFERROR(__xludf.DUMMYFUNCTION("""COMPUTED_VALUE"""),0.0)</f>
        <v>0</v>
      </c>
      <c r="M448" s="10">
        <f>IFERROR(__xludf.DUMMYFUNCTION("""COMPUTED_VALUE"""),7.0)</f>
        <v>7</v>
      </c>
      <c r="N448" s="10">
        <f>IFERROR(__xludf.DUMMYFUNCTION("""COMPUTED_VALUE"""),0.0)</f>
        <v>0</v>
      </c>
      <c r="O448" s="10">
        <f>IFERROR(__xludf.DUMMYFUNCTION("""COMPUTED_VALUE"""),0.0)</f>
        <v>0</v>
      </c>
      <c r="P448" s="10">
        <f>IFERROR(__xludf.DUMMYFUNCTION("""COMPUTED_VALUE"""),0.0)</f>
        <v>0</v>
      </c>
      <c r="Q448" s="10" t="str">
        <f>IFERROR(__xludf.DUMMYFUNCTION("""COMPUTED_VALUE"""),"No")</f>
        <v>No</v>
      </c>
      <c r="R448" s="10" t="str">
        <f>IFERROR(__xludf.DUMMYFUNCTION("""COMPUTED_VALUE"""),"No")</f>
        <v>No</v>
      </c>
      <c r="S448" s="10" t="str">
        <f>IFERROR(__xludf.DUMMYFUNCTION("""COMPUTED_VALUE"""),"No")</f>
        <v>No</v>
      </c>
      <c r="T448" s="10">
        <f>IFERROR(__xludf.DUMMYFUNCTION("""COMPUTED_VALUE"""),4.0)</f>
        <v>4</v>
      </c>
      <c r="U448" s="10">
        <f>IFERROR(__xludf.DUMMYFUNCTION("""COMPUTED_VALUE"""),0.0)</f>
        <v>0</v>
      </c>
      <c r="V448" s="10" t="str">
        <f>IFERROR(__xludf.DUMMYFUNCTION("""COMPUTED_VALUE"""),"عورتوں کے حقوق ")</f>
        <v>عورتوں کے حقوق </v>
      </c>
      <c r="W448" s="10" t="str">
        <f>IFERROR(__xludf.DUMMYFUNCTION("""COMPUTED_VALUE"""),"امام نے بیان میں بتایا ہے کہ عورتوں کے ساتھ اچھا سلوک کرو ان کا احترام کرو عورت اگر ماں ہے تو اس کے قدموں تلے جنت ہے اور ساتھ ہی امام نے بیان میں بتایا ہے کہ عورتوں کو گھر سے باہر نکل کر کام نہیں کرنا چاہیے بازار کی رونق نہیں بننا چاہیے ")</f>
        <v>امام نے بیان میں بتایا ہے کہ عورتوں کے ساتھ اچھا سلوک کرو ان کا احترام کرو عورت اگر ماں ہے تو اس کے قدموں تلے جنت ہے اور ساتھ ہی امام نے بیان میں بتایا ہے کہ عورتوں کو گھر سے باہر نکل کر کام نہیں کرنا چاہیے بازار کی رونق نہیں بننا چاہیے </v>
      </c>
      <c r="X448" s="10">
        <f>IFERROR(__xludf.DUMMYFUNCTION("""COMPUTED_VALUE"""),1.0)</f>
        <v>1</v>
      </c>
      <c r="Y448" s="10">
        <f>IFERROR(__xludf.DUMMYFUNCTION("""COMPUTED_VALUE"""),0.0)</f>
        <v>0</v>
      </c>
      <c r="Z448" s="10">
        <f>IFERROR(__xludf.DUMMYFUNCTION("""COMPUTED_VALUE"""),7.0)</f>
        <v>7</v>
      </c>
      <c r="AA448" s="10">
        <f>IFERROR(__xludf.DUMMYFUNCTION("""COMPUTED_VALUE"""),0.0)</f>
        <v>0</v>
      </c>
      <c r="AB448" s="10">
        <f>IFERROR(__xludf.DUMMYFUNCTION("""COMPUTED_VALUE"""),4.0)</f>
        <v>4</v>
      </c>
      <c r="AC448" s="10">
        <f>IFERROR(__xludf.DUMMYFUNCTION("""COMPUTED_VALUE"""),0.0)</f>
        <v>0</v>
      </c>
      <c r="AD448" s="10">
        <f>IFERROR(__xludf.DUMMYFUNCTION("""COMPUTED_VALUE"""),0.0)</f>
        <v>0</v>
      </c>
      <c r="AE448" s="10">
        <f>IFERROR(__xludf.DUMMYFUNCTION("""COMPUTED_VALUE"""),0.0)</f>
        <v>0</v>
      </c>
      <c r="AF448" s="10">
        <f>IFERROR(__xludf.DUMMYFUNCTION("""COMPUTED_VALUE"""),0.0)</f>
        <v>0</v>
      </c>
      <c r="AG448" s="10">
        <f>IFERROR(__xludf.DUMMYFUNCTION("""COMPUTED_VALUE"""),8.0)</f>
        <v>8</v>
      </c>
      <c r="AH448" s="10">
        <f>IFERROR(__xludf.DUMMYFUNCTION("""COMPUTED_VALUE"""),0.0)</f>
        <v>0</v>
      </c>
      <c r="AI448" s="10">
        <f>IFERROR(__xludf.DUMMYFUNCTION("""COMPUTED_VALUE"""),8.0)</f>
        <v>8</v>
      </c>
      <c r="AJ448" s="11" t="str">
        <f>IFERROR(__xludf.DUMMYFUNCTION("""COMPUTED_VALUE"""),"https://drive.google.com/open?id=1aMQy2ueDGj0iVU60KPWZfqLP8aPxSPcE_Ql0XReKn58")</f>
        <v>https://drive.google.com/open?id=1aMQy2ueDGj0iVU60KPWZfqLP8aPxSPcE_Ql0XReKn58</v>
      </c>
      <c r="AK448" s="12" t="str">
        <f>IFERROR(__xludf.DUMMYFUNCTION("""COMPUTED_VALUE"""),"No ")</f>
        <v>No </v>
      </c>
      <c r="AL448" s="12" t="str">
        <f>IFERROR(__xludf.DUMMYFUNCTION("""COMPUTED_VALUE"""),"No")</f>
        <v>No</v>
      </c>
      <c r="AM448" s="15">
        <f>IFERROR(__xludf.DUMMYFUNCTION("""COMPUTED_VALUE"""),0.0)</f>
        <v>0</v>
      </c>
      <c r="AN448" s="12" t="str">
        <f>IFERROR(__xludf.DUMMYFUNCTION("""COMPUTED_VALUE"""),"1st week")</f>
        <v>1st week</v>
      </c>
      <c r="AO448" s="13">
        <v>1.0</v>
      </c>
      <c r="AX448" s="17"/>
    </row>
    <row r="449">
      <c r="B449" s="9">
        <f>IFERROR(__xludf.DUMMYFUNCTION("""COMPUTED_VALUE"""),45887.07852387731)</f>
        <v>45887.07852</v>
      </c>
      <c r="C449" s="10" t="str">
        <f>IFERROR(__xludf.DUMMYFUNCTION("""COMPUTED_VALUE"""),"Atiqa")</f>
        <v>Atiqa</v>
      </c>
      <c r="D449" s="10" t="str">
        <f>IFERROR(__xludf.DUMMYFUNCTION("""COMPUTED_VALUE"""),"03157519977")</f>
        <v>03157519977</v>
      </c>
      <c r="E449" s="10" t="str">
        <f>IFERROR(__xludf.DUMMYFUNCTION("""COMPUTED_VALUE"""),"Jamia Masjid Baha Ul Din Zakriya Multan ")</f>
        <v>Jamia Masjid Baha Ul Din Zakriya Multan </v>
      </c>
      <c r="F449" s="10" t="str">
        <f>IFERROR(__xludf.DUMMYFUNCTION("""COMPUTED_VALUE"""),"oqjmo")</f>
        <v>oqjmo</v>
      </c>
      <c r="G449" s="10" t="str">
        <f>IFERROR(__xludf.DUMMYFUNCTION("""COMPUTED_VALUE"""),"Yes")</f>
        <v>Yes</v>
      </c>
      <c r="H449" s="10">
        <f>IFERROR(__xludf.DUMMYFUNCTION("""COMPUTED_VALUE"""),7.0)</f>
        <v>7</v>
      </c>
      <c r="I449" s="10">
        <f>IFERROR(__xludf.DUMMYFUNCTION("""COMPUTED_VALUE"""),3.0)</f>
        <v>3</v>
      </c>
      <c r="J449" s="10">
        <f>IFERROR(__xludf.DUMMYFUNCTION("""COMPUTED_VALUE"""),7.0)</f>
        <v>7</v>
      </c>
      <c r="K449" s="10">
        <f>IFERROR(__xludf.DUMMYFUNCTION("""COMPUTED_VALUE"""),9.0)</f>
        <v>9</v>
      </c>
      <c r="L449" s="10">
        <f>IFERROR(__xludf.DUMMYFUNCTION("""COMPUTED_VALUE"""),0.0)</f>
        <v>0</v>
      </c>
      <c r="M449" s="10">
        <f>IFERROR(__xludf.DUMMYFUNCTION("""COMPUTED_VALUE"""),6.0)</f>
        <v>6</v>
      </c>
      <c r="N449" s="10">
        <f>IFERROR(__xludf.DUMMYFUNCTION("""COMPUTED_VALUE"""),0.0)</f>
        <v>0</v>
      </c>
      <c r="O449" s="10">
        <f>IFERROR(__xludf.DUMMYFUNCTION("""COMPUTED_VALUE"""),0.0)</f>
        <v>0</v>
      </c>
      <c r="P449" s="10">
        <f>IFERROR(__xludf.DUMMYFUNCTION("""COMPUTED_VALUE"""),0.0)</f>
        <v>0</v>
      </c>
      <c r="Q449" s="10" t="str">
        <f>IFERROR(__xludf.DUMMYFUNCTION("""COMPUTED_VALUE"""),"No")</f>
        <v>No</v>
      </c>
      <c r="R449" s="10" t="str">
        <f>IFERROR(__xludf.DUMMYFUNCTION("""COMPUTED_VALUE"""),"No")</f>
        <v>No</v>
      </c>
      <c r="S449" s="10" t="str">
        <f>IFERROR(__xludf.DUMMYFUNCTION("""COMPUTED_VALUE"""),"No")</f>
        <v>No</v>
      </c>
      <c r="T449" s="10">
        <f>IFERROR(__xludf.DUMMYFUNCTION("""COMPUTED_VALUE"""),0.0)</f>
        <v>0</v>
      </c>
      <c r="U449" s="10">
        <f>IFERROR(__xludf.DUMMYFUNCTION("""COMPUTED_VALUE"""),0.0)</f>
        <v>0</v>
      </c>
      <c r="V449" s="10" t="str">
        <f>IFERROR(__xludf.DUMMYFUNCTION("""COMPUTED_VALUE"""),"اسلام میں عورت کا مقام و مرتبہ ")</f>
        <v>اسلام میں عورت کا مقام و مرتبہ </v>
      </c>
      <c r="W449" s="10" t="str">
        <f>IFERROR(__xludf.DUMMYFUNCTION("""COMPUTED_VALUE"""),"قران مجید کی روشنی میں اسلام سے پہلے بیٹی کے ساتھ کیسا سلوک کیا جاتا تھا ۔ اسلام میں ماں ،بہن ،بیٹی اور  بیوی کا مقام اور اس کے حقوق پورے کرنے پر  اجر و ثواب ہے۔  محمد صلی اللہ علیہ وسلم کا اپنی رضائی بہن اور بیٹی کا احترام کرنا۔ معاشرے میں دوسروں کی بہن،"&amp;" بیٹی کو اپنی بہن، بیٹی کی نگاہ سے دیکھنا ۔ ")</f>
        <v>قران مجید کی روشنی میں اسلام سے پہلے بیٹی کے ساتھ کیسا سلوک کیا جاتا تھا ۔ اسلام میں ماں ،بہن ،بیٹی اور  بیوی کا مقام اور اس کے حقوق پورے کرنے پر  اجر و ثواب ہے۔  محمد صلی اللہ علیہ وسلم کا اپنی رضائی بہن اور بیٹی کا احترام کرنا۔ معاشرے میں دوسروں کی بہن، بیٹی کو اپنی بہن، بیٹی کی نگاہ سے دیکھنا ۔ </v>
      </c>
      <c r="X449" s="10">
        <f>IFERROR(__xludf.DUMMYFUNCTION("""COMPUTED_VALUE"""),0.0)</f>
        <v>0</v>
      </c>
      <c r="Y449" s="10">
        <f>IFERROR(__xludf.DUMMYFUNCTION("""COMPUTED_VALUE"""),4.0)</f>
        <v>4</v>
      </c>
      <c r="Z449" s="10">
        <f>IFERROR(__xludf.DUMMYFUNCTION("""COMPUTED_VALUE"""),3.0)</f>
        <v>3</v>
      </c>
      <c r="AA449" s="10">
        <f>IFERROR(__xludf.DUMMYFUNCTION("""COMPUTED_VALUE"""),7.0)</f>
        <v>7</v>
      </c>
      <c r="AB449" s="10">
        <f>IFERROR(__xludf.DUMMYFUNCTION("""COMPUTED_VALUE"""),3.0)</f>
        <v>3</v>
      </c>
      <c r="AC449" s="10">
        <f>IFERROR(__xludf.DUMMYFUNCTION("""COMPUTED_VALUE"""),0.0)</f>
        <v>0</v>
      </c>
      <c r="AD449" s="10">
        <f>IFERROR(__xludf.DUMMYFUNCTION("""COMPUTED_VALUE"""),0.0)</f>
        <v>0</v>
      </c>
      <c r="AE449" s="10">
        <f>IFERROR(__xludf.DUMMYFUNCTION("""COMPUTED_VALUE"""),0.0)</f>
        <v>0</v>
      </c>
      <c r="AF449" s="10">
        <f>IFERROR(__xludf.DUMMYFUNCTION("""COMPUTED_VALUE"""),0.0)</f>
        <v>0</v>
      </c>
      <c r="AG449" s="10">
        <f>IFERROR(__xludf.DUMMYFUNCTION("""COMPUTED_VALUE"""),8.0)</f>
        <v>8</v>
      </c>
      <c r="AH449" s="10">
        <f>IFERROR(__xludf.DUMMYFUNCTION("""COMPUTED_VALUE"""),0.0)</f>
        <v>0</v>
      </c>
      <c r="AI449" s="10">
        <f>IFERROR(__xludf.DUMMYFUNCTION("""COMPUTED_VALUE"""),9.0)</f>
        <v>9</v>
      </c>
      <c r="AJ449" s="11" t="str">
        <f>IFERROR(__xludf.DUMMYFUNCTION("""COMPUTED_VALUE"""),"https://drive.google.com/open?id=1NIdJWBDVTQtu5zaFxAONe0Bju5OeV0O4meFV0AiT1Lg")</f>
        <v>https://drive.google.com/open?id=1NIdJWBDVTQtu5zaFxAONe0Bju5OeV0O4meFV0AiT1Lg</v>
      </c>
      <c r="AK449" s="12" t="str">
        <f>IFERROR(__xludf.DUMMYFUNCTION("""COMPUTED_VALUE"""),"امام نے خواتین کی تعلیم  پر بالکل بات نہیں کی ۔")</f>
        <v>امام نے خواتین کی تعلیم  پر بالکل بات نہیں کی ۔</v>
      </c>
      <c r="AL449" s="12" t="str">
        <f>IFERROR(__xludf.DUMMYFUNCTION("""COMPUTED_VALUE"""),"Yes")</f>
        <v>Yes</v>
      </c>
      <c r="AM449" s="15">
        <f>IFERROR(__xludf.DUMMYFUNCTION("""COMPUTED_VALUE"""),0.7)</f>
        <v>0.7</v>
      </c>
      <c r="AN449" s="12" t="str">
        <f>IFERROR(__xludf.DUMMYFUNCTION("""COMPUTED_VALUE"""),"1st week")</f>
        <v>1st week</v>
      </c>
      <c r="AO449" s="13">
        <v>1.0</v>
      </c>
      <c r="AX449" s="17"/>
    </row>
    <row r="450">
      <c r="B450" s="9">
        <f>IFERROR(__xludf.DUMMYFUNCTION("""COMPUTED_VALUE"""),45887.13270076389)</f>
        <v>45887.1327</v>
      </c>
      <c r="C450" s="10" t="str">
        <f>IFERROR(__xludf.DUMMYFUNCTION("""COMPUTED_VALUE"""),"Saira Shahzad ")</f>
        <v>Saira Shahzad </v>
      </c>
      <c r="D450" s="10" t="str">
        <f>IFERROR(__xludf.DUMMYFUNCTION("""COMPUTED_VALUE"""),"03114534696")</f>
        <v>03114534696</v>
      </c>
      <c r="E450" s="10" t="str">
        <f>IFERROR(__xludf.DUMMYFUNCTION("""COMPUTED_VALUE"""),"Jamia Masjid Kabotar Mandi Multan")</f>
        <v>Jamia Masjid Kabotar Mandi Multan</v>
      </c>
      <c r="F450" s="10" t="str">
        <f>IFERROR(__xludf.DUMMYFUNCTION("""COMPUTED_VALUE"""),"uleit")</f>
        <v>uleit</v>
      </c>
      <c r="G450" s="10" t="str">
        <f>IFERROR(__xludf.DUMMYFUNCTION("""COMPUTED_VALUE"""),"No")</f>
        <v>No</v>
      </c>
      <c r="H450" s="10"/>
      <c r="I450" s="10"/>
      <c r="J450" s="10"/>
      <c r="K450" s="10">
        <f>IFERROR(__xludf.DUMMYFUNCTION("""COMPUTED_VALUE"""),0.0)</f>
        <v>0</v>
      </c>
      <c r="L450" s="10">
        <f>IFERROR(__xludf.DUMMYFUNCTION("""COMPUTED_VALUE"""),0.0)</f>
        <v>0</v>
      </c>
      <c r="M450" s="10">
        <f>IFERROR(__xludf.DUMMYFUNCTION("""COMPUTED_VALUE"""),0.0)</f>
        <v>0</v>
      </c>
      <c r="N450" s="10">
        <f>IFERROR(__xludf.DUMMYFUNCTION("""COMPUTED_VALUE"""),0.0)</f>
        <v>0</v>
      </c>
      <c r="O450" s="10">
        <f>IFERROR(__xludf.DUMMYFUNCTION("""COMPUTED_VALUE"""),0.0)</f>
        <v>0</v>
      </c>
      <c r="P450" s="10">
        <f>IFERROR(__xludf.DUMMYFUNCTION("""COMPUTED_VALUE"""),0.0)</f>
        <v>0</v>
      </c>
      <c r="Q450" s="10" t="str">
        <f>IFERROR(__xludf.DUMMYFUNCTION("""COMPUTED_VALUE"""),"No")</f>
        <v>No</v>
      </c>
      <c r="R450" s="10" t="str">
        <f>IFERROR(__xludf.DUMMYFUNCTION("""COMPUTED_VALUE"""),"No")</f>
        <v>No</v>
      </c>
      <c r="S450" s="10" t="str">
        <f>IFERROR(__xludf.DUMMYFUNCTION("""COMPUTED_VALUE"""),"No")</f>
        <v>No</v>
      </c>
      <c r="T450" s="10">
        <f>IFERROR(__xludf.DUMMYFUNCTION("""COMPUTED_VALUE"""),0.0)</f>
        <v>0</v>
      </c>
      <c r="U450" s="10">
        <f>IFERROR(__xludf.DUMMYFUNCTION("""COMPUTED_VALUE"""),0.0)</f>
        <v>0</v>
      </c>
      <c r="V450" s="10" t="str">
        <f>IFERROR(__xludf.DUMMYFUNCTION("""COMPUTED_VALUE"""),"نبی پاک صلی اللہ علیہ والہ وسلم سے محبت اور اولیاء اللہ سے محبت")</f>
        <v>نبی پاک صلی اللہ علیہ والہ وسلم سے محبت اور اولیاء اللہ سے محبت</v>
      </c>
      <c r="W450" s="10" t="str">
        <f>IFERROR(__xludf.DUMMYFUNCTION("""COMPUTED_VALUE"""),"امام نے اس بیان میں نبی پاک صلی اللہ علیہ والہ وسلم سے محبت پر زور دیا اور یہ کہا کہ اگر اللہ کی محبت دل میں ہے مگر نبی پاک صلی اللہ علیہ والہ وسلم کی محبت نہیں ہے تو آپ مومن نہیں ہو سکتے اور اللہ کے ولیوں سے بھی محبت کرنی چاہیے دنیا یا دنیا کی چیزوں سے د"&amp;"ل نہیں لگانا چاہیے ")</f>
        <v>امام نے اس بیان میں نبی پاک صلی اللہ علیہ والہ وسلم سے محبت پر زور دیا اور یہ کہا کہ اگر اللہ کی محبت دل میں ہے مگر نبی پاک صلی اللہ علیہ والہ وسلم کی محبت نہیں ہے تو آپ مومن نہیں ہو سکتے اور اللہ کے ولیوں سے بھی محبت کرنی چاہیے دنیا یا دنیا کی چیزوں سے دل نہیں لگانا چاہیے </v>
      </c>
      <c r="X450" s="10">
        <f>IFERROR(__xludf.DUMMYFUNCTION("""COMPUTED_VALUE"""),5.0)</f>
        <v>5</v>
      </c>
      <c r="Y450" s="10">
        <f>IFERROR(__xludf.DUMMYFUNCTION("""COMPUTED_VALUE"""),0.0)</f>
        <v>0</v>
      </c>
      <c r="Z450" s="10">
        <f>IFERROR(__xludf.DUMMYFUNCTION("""COMPUTED_VALUE"""),3.0)</f>
        <v>3</v>
      </c>
      <c r="AA450" s="10">
        <f>IFERROR(__xludf.DUMMYFUNCTION("""COMPUTED_VALUE"""),4.0)</f>
        <v>4</v>
      </c>
      <c r="AB450" s="10">
        <f>IFERROR(__xludf.DUMMYFUNCTION("""COMPUTED_VALUE"""),5.0)</f>
        <v>5</v>
      </c>
      <c r="AC450" s="10">
        <f>IFERROR(__xludf.DUMMYFUNCTION("""COMPUTED_VALUE"""),2.0)</f>
        <v>2</v>
      </c>
      <c r="AD450" s="10">
        <f>IFERROR(__xludf.DUMMYFUNCTION("""COMPUTED_VALUE"""),0.0)</f>
        <v>0</v>
      </c>
      <c r="AE450" s="10">
        <f>IFERROR(__xludf.DUMMYFUNCTION("""COMPUTED_VALUE"""),0.0)</f>
        <v>0</v>
      </c>
      <c r="AF450" s="10">
        <f>IFERROR(__xludf.DUMMYFUNCTION("""COMPUTED_VALUE"""),0.0)</f>
        <v>0</v>
      </c>
      <c r="AG450" s="10">
        <f>IFERROR(__xludf.DUMMYFUNCTION("""COMPUTED_VALUE"""),7.0)</f>
        <v>7</v>
      </c>
      <c r="AH450" s="10">
        <f>IFERROR(__xludf.DUMMYFUNCTION("""COMPUTED_VALUE"""),0.0)</f>
        <v>0</v>
      </c>
      <c r="AI450" s="10">
        <f>IFERROR(__xludf.DUMMYFUNCTION("""COMPUTED_VALUE"""),7.0)</f>
        <v>7</v>
      </c>
      <c r="AJ450" s="11" t="str">
        <f>IFERROR(__xludf.DUMMYFUNCTION("""COMPUTED_VALUE"""),"https://drive.google.com/open?id=1FHfpINGLTwE2LPDl2H-ZfQLrb9Tu8lj5")</f>
        <v>https://drive.google.com/open?id=1FHfpINGLTwE2LPDl2H-ZfQLrb9Tu8lj5</v>
      </c>
      <c r="AK450" s="12" t="str">
        <f>IFERROR(__xludf.DUMMYFUNCTION("""COMPUTED_VALUE"""),"No")</f>
        <v>No</v>
      </c>
      <c r="AL450" s="12"/>
      <c r="AM450" s="12"/>
      <c r="AN450" s="12" t="str">
        <f>IFERROR(__xludf.DUMMYFUNCTION("""COMPUTED_VALUE"""),"3rd week")</f>
        <v>3rd week</v>
      </c>
      <c r="AO450" s="13">
        <v>3.0</v>
      </c>
      <c r="AX450" s="17"/>
    </row>
    <row r="451">
      <c r="B451" s="9">
        <f>IFERROR(__xludf.DUMMYFUNCTION("""COMPUTED_VALUE"""),45887.14409166666)</f>
        <v>45887.14409</v>
      </c>
      <c r="C451" s="10" t="str">
        <f>IFERROR(__xludf.DUMMYFUNCTION("""COMPUTED_VALUE"""),"Asma Gul ")</f>
        <v>Asma Gul </v>
      </c>
      <c r="D451" s="10" t="str">
        <f>IFERROR(__xludf.DUMMYFUNCTION("""COMPUTED_VALUE"""),"03459308620")</f>
        <v>03459308620</v>
      </c>
      <c r="E451" s="10" t="str">
        <f>IFERROR(__xludf.DUMMYFUNCTION("""COMPUTED_VALUE"""),"Jamia Masjid Gul Hassan Shahnawah Multan")</f>
        <v>Jamia Masjid Gul Hassan Shahnawah Multan</v>
      </c>
      <c r="F451" s="10" t="str">
        <f>IFERROR(__xludf.DUMMYFUNCTION("""COMPUTED_VALUE"""),"fxlbt")</f>
        <v>fxlbt</v>
      </c>
      <c r="G451" s="10" t="str">
        <f>IFERROR(__xludf.DUMMYFUNCTION("""COMPUTED_VALUE"""),"No")</f>
        <v>No</v>
      </c>
      <c r="H451" s="10"/>
      <c r="I451" s="10"/>
      <c r="J451" s="10"/>
      <c r="K451" s="10">
        <f>IFERROR(__xludf.DUMMYFUNCTION("""COMPUTED_VALUE"""),0.0)</f>
        <v>0</v>
      </c>
      <c r="L451" s="10">
        <f>IFERROR(__xludf.DUMMYFUNCTION("""COMPUTED_VALUE"""),5.0)</f>
        <v>5</v>
      </c>
      <c r="M451" s="10">
        <f>IFERROR(__xludf.DUMMYFUNCTION("""COMPUTED_VALUE"""),0.0)</f>
        <v>0</v>
      </c>
      <c r="N451" s="10">
        <f>IFERROR(__xludf.DUMMYFUNCTION("""COMPUTED_VALUE"""),0.0)</f>
        <v>0</v>
      </c>
      <c r="O451" s="10">
        <f>IFERROR(__xludf.DUMMYFUNCTION("""COMPUTED_VALUE"""),0.0)</f>
        <v>0</v>
      </c>
      <c r="P451" s="10">
        <f>IFERROR(__xludf.DUMMYFUNCTION("""COMPUTED_VALUE"""),0.0)</f>
        <v>0</v>
      </c>
      <c r="Q451" s="10" t="str">
        <f>IFERROR(__xludf.DUMMYFUNCTION("""COMPUTED_VALUE"""),"No")</f>
        <v>No</v>
      </c>
      <c r="R451" s="10" t="str">
        <f>IFERROR(__xludf.DUMMYFUNCTION("""COMPUTED_VALUE"""),"No")</f>
        <v>No</v>
      </c>
      <c r="S451" s="10" t="str">
        <f>IFERROR(__xludf.DUMMYFUNCTION("""COMPUTED_VALUE"""),"No")</f>
        <v>No</v>
      </c>
      <c r="T451" s="10">
        <f>IFERROR(__xludf.DUMMYFUNCTION("""COMPUTED_VALUE"""),0.0)</f>
        <v>0</v>
      </c>
      <c r="U451" s="10">
        <f>IFERROR(__xludf.DUMMYFUNCTION("""COMPUTED_VALUE"""),0.0)</f>
        <v>0</v>
      </c>
      <c r="V451" s="10" t="str">
        <f>IFERROR(__xludf.DUMMYFUNCTION("""COMPUTED_VALUE"""),"حقوق اللہ اور حقوق العباد کی اہمیت")</f>
        <v>حقوق اللہ اور حقوق العباد کی اہمیت</v>
      </c>
      <c r="W451" s="10" t="str">
        <f>IFERROR(__xludf.DUMMYFUNCTION("""COMPUTED_VALUE"""),"اس خطبے میں امام نے حقوق العباد اور حقوق اللہ کا ذکر کیا ہے کہ قیامت والے دن تین کچہریاں لگیں گی اور اس میں حقوق العباد کا حساب لیا جائے گا حقوق اللہ اگر چاہیں تو محفوظ ہو سکتے ہیں لیکن اگر گوگل عبادت تب تک معاف نہیں ہوں گے جب تک بندہ نہیں معاف کرتا اور ق"&amp;"یامت والے دن نفسا نفسی کا اعلی ہوگا۔")</f>
        <v>اس خطبے میں امام نے حقوق العباد اور حقوق اللہ کا ذکر کیا ہے کہ قیامت والے دن تین کچہریاں لگیں گی اور اس میں حقوق العباد کا حساب لیا جائے گا حقوق اللہ اگر چاہیں تو محفوظ ہو سکتے ہیں لیکن اگر گوگل عبادت تب تک معاف نہیں ہوں گے جب تک بندہ نہیں معاف کرتا اور قیامت والے دن نفسا نفسی کا اعلی ہوگا۔</v>
      </c>
      <c r="X451" s="10">
        <f>IFERROR(__xludf.DUMMYFUNCTION("""COMPUTED_VALUE"""),9.0)</f>
        <v>9</v>
      </c>
      <c r="Y451" s="10">
        <f>IFERROR(__xludf.DUMMYFUNCTION("""COMPUTED_VALUE"""),9.0)</f>
        <v>9</v>
      </c>
      <c r="Z451" s="10">
        <f>IFERROR(__xludf.DUMMYFUNCTION("""COMPUTED_VALUE"""),9.0)</f>
        <v>9</v>
      </c>
      <c r="AA451" s="10">
        <f>IFERROR(__xludf.DUMMYFUNCTION("""COMPUTED_VALUE"""),10.0)</f>
        <v>10</v>
      </c>
      <c r="AB451" s="10">
        <f>IFERROR(__xludf.DUMMYFUNCTION("""COMPUTED_VALUE"""),9.0)</f>
        <v>9</v>
      </c>
      <c r="AC451" s="10">
        <f>IFERROR(__xludf.DUMMYFUNCTION("""COMPUTED_VALUE"""),5.0)</f>
        <v>5</v>
      </c>
      <c r="AD451" s="10">
        <f>IFERROR(__xludf.DUMMYFUNCTION("""COMPUTED_VALUE"""),5.0)</f>
        <v>5</v>
      </c>
      <c r="AE451" s="10">
        <f>IFERROR(__xludf.DUMMYFUNCTION("""COMPUTED_VALUE"""),8.0)</f>
        <v>8</v>
      </c>
      <c r="AF451" s="10">
        <f>IFERROR(__xludf.DUMMYFUNCTION("""COMPUTED_VALUE"""),0.0)</f>
        <v>0</v>
      </c>
      <c r="AG451" s="10">
        <f>IFERROR(__xludf.DUMMYFUNCTION("""COMPUTED_VALUE"""),9.0)</f>
        <v>9</v>
      </c>
      <c r="AH451" s="10">
        <f>IFERROR(__xludf.DUMMYFUNCTION("""COMPUTED_VALUE"""),0.0)</f>
        <v>0</v>
      </c>
      <c r="AI451" s="10">
        <f>IFERROR(__xludf.DUMMYFUNCTION("""COMPUTED_VALUE"""),8.0)</f>
        <v>8</v>
      </c>
      <c r="AJ451" s="11" t="str">
        <f>IFERROR(__xludf.DUMMYFUNCTION("""COMPUTED_VALUE"""),"https://drive.google.com/open?id=1bKnqEglLtcaIpXsj1dZzKLHGG-mwmo1Su7CQ8OfrJPM")</f>
        <v>https://drive.google.com/open?id=1bKnqEglLtcaIpXsj1dZzKLHGG-mwmo1Su7CQ8OfrJPM</v>
      </c>
      <c r="AK451" s="12"/>
      <c r="AL451" s="12"/>
      <c r="AM451" s="12"/>
      <c r="AN451" s="12" t="str">
        <f>IFERROR(__xludf.DUMMYFUNCTION("""COMPUTED_VALUE"""),"1st week")</f>
        <v>1st week</v>
      </c>
      <c r="AO451" s="13">
        <v>1.0</v>
      </c>
      <c r="AX451" s="17"/>
    </row>
    <row r="452">
      <c r="B452" s="9">
        <f>IFERROR(__xludf.DUMMYFUNCTION("""COMPUTED_VALUE"""),45887.35899554398)</f>
        <v>45887.359</v>
      </c>
      <c r="C452" s="10" t="str">
        <f>IFERROR(__xludf.DUMMYFUNCTION("""COMPUTED_VALUE"""),"Arti Kumari ")</f>
        <v>Arti Kumari </v>
      </c>
      <c r="D452" s="10" t="str">
        <f>IFERROR(__xludf.DUMMYFUNCTION("""COMPUTED_VALUE"""),"03346661865")</f>
        <v>03346661865</v>
      </c>
      <c r="E452" s="10" t="str">
        <f>IFERROR(__xludf.DUMMYFUNCTION("""COMPUTED_VALUE"""),"Jamia Masjid Shah Rukan Alam Multan")</f>
        <v>Jamia Masjid Shah Rukan Alam Multan</v>
      </c>
      <c r="F452" s="10" t="str">
        <f>IFERROR(__xludf.DUMMYFUNCTION("""COMPUTED_VALUE"""),"yeigp")</f>
        <v>yeigp</v>
      </c>
      <c r="G452" s="10" t="str">
        <f>IFERROR(__xludf.DUMMYFUNCTION("""COMPUTED_VALUE"""),"Yes")</f>
        <v>Yes</v>
      </c>
      <c r="H452" s="10">
        <f>IFERROR(__xludf.DUMMYFUNCTION("""COMPUTED_VALUE"""),3.0)</f>
        <v>3</v>
      </c>
      <c r="I452" s="10">
        <f>IFERROR(__xludf.DUMMYFUNCTION("""COMPUTED_VALUE"""),7.0)</f>
        <v>7</v>
      </c>
      <c r="J452" s="10">
        <f>IFERROR(__xludf.DUMMYFUNCTION("""COMPUTED_VALUE"""),3.0)</f>
        <v>3</v>
      </c>
      <c r="K452" s="10">
        <f>IFERROR(__xludf.DUMMYFUNCTION("""COMPUTED_VALUE"""),0.0)</f>
        <v>0</v>
      </c>
      <c r="L452" s="10">
        <f>IFERROR(__xludf.DUMMYFUNCTION("""COMPUTED_VALUE"""),3.0)</f>
        <v>3</v>
      </c>
      <c r="M452" s="10">
        <f>IFERROR(__xludf.DUMMYFUNCTION("""COMPUTED_VALUE"""),0.0)</f>
        <v>0</v>
      </c>
      <c r="N452" s="10">
        <f>IFERROR(__xludf.DUMMYFUNCTION("""COMPUTED_VALUE"""),3.0)</f>
        <v>3</v>
      </c>
      <c r="O452" s="10">
        <f>IFERROR(__xludf.DUMMYFUNCTION("""COMPUTED_VALUE"""),0.0)</f>
        <v>0</v>
      </c>
      <c r="P452" s="10">
        <f>IFERROR(__xludf.DUMMYFUNCTION("""COMPUTED_VALUE"""),3.0)</f>
        <v>3</v>
      </c>
      <c r="Q452" s="10" t="str">
        <f>IFERROR(__xludf.DUMMYFUNCTION("""COMPUTED_VALUE"""),"No")</f>
        <v>No</v>
      </c>
      <c r="R452" s="10" t="str">
        <f>IFERROR(__xludf.DUMMYFUNCTION("""COMPUTED_VALUE"""),"Yes")</f>
        <v>Yes</v>
      </c>
      <c r="S452" s="10" t="str">
        <f>IFERROR(__xludf.DUMMYFUNCTION("""COMPUTED_VALUE"""),"Yes")</f>
        <v>Yes</v>
      </c>
      <c r="T452" s="10">
        <f>IFERROR(__xludf.DUMMYFUNCTION("""COMPUTED_VALUE"""),0.0)</f>
        <v>0</v>
      </c>
      <c r="U452" s="10">
        <f>IFERROR(__xludf.DUMMYFUNCTION("""COMPUTED_VALUE"""),0.0)</f>
        <v>0</v>
      </c>
      <c r="V452" s="10" t="str">
        <f>IFERROR(__xludf.DUMMYFUNCTION("""COMPUTED_VALUE"""),"اللہ اور پڑوسیوں کے حقوق ")</f>
        <v>اللہ اور پڑوسیوں کے حقوق </v>
      </c>
      <c r="W452" s="10" t="str">
        <f>IFERROR(__xludf.DUMMYFUNCTION("""COMPUTED_VALUE"""),"امام نے خطبہ میں زیادہ تر اللہ اور اس کے نبی کے حقوق کے متعلق بات کی او آخر کے پانچ منٹ میں پڑوسیوں کے حقوق  صفائی ستھرائی اور خطبہ کو اپنی خواتین تک پہنچانے کا حکم دیا")</f>
        <v>امام نے خطبہ میں زیادہ تر اللہ اور اس کے نبی کے حقوق کے متعلق بات کی او آخر کے پانچ منٹ میں پڑوسیوں کے حقوق  صفائی ستھرائی اور خطبہ کو اپنی خواتین تک پہنچانے کا حکم دیا</v>
      </c>
      <c r="X452" s="10">
        <f>IFERROR(__xludf.DUMMYFUNCTION("""COMPUTED_VALUE"""),7.0)</f>
        <v>7</v>
      </c>
      <c r="Y452" s="10">
        <f>IFERROR(__xludf.DUMMYFUNCTION("""COMPUTED_VALUE"""),3.0)</f>
        <v>3</v>
      </c>
      <c r="Z452" s="10">
        <f>IFERROR(__xludf.DUMMYFUNCTION("""COMPUTED_VALUE"""),0.0)</f>
        <v>0</v>
      </c>
      <c r="AA452" s="10">
        <f>IFERROR(__xludf.DUMMYFUNCTION("""COMPUTED_VALUE"""),0.0)</f>
        <v>0</v>
      </c>
      <c r="AB452" s="10">
        <f>IFERROR(__xludf.DUMMYFUNCTION("""COMPUTED_VALUE"""),1.0)</f>
        <v>1</v>
      </c>
      <c r="AC452" s="10">
        <f>IFERROR(__xludf.DUMMYFUNCTION("""COMPUTED_VALUE"""),0.0)</f>
        <v>0</v>
      </c>
      <c r="AD452" s="10">
        <f>IFERROR(__xludf.DUMMYFUNCTION("""COMPUTED_VALUE"""),0.0)</f>
        <v>0</v>
      </c>
      <c r="AE452" s="10">
        <f>IFERROR(__xludf.DUMMYFUNCTION("""COMPUTED_VALUE"""),0.0)</f>
        <v>0</v>
      </c>
      <c r="AF452" s="10">
        <f>IFERROR(__xludf.DUMMYFUNCTION("""COMPUTED_VALUE"""),0.0)</f>
        <v>0</v>
      </c>
      <c r="AG452" s="10">
        <f>IFERROR(__xludf.DUMMYFUNCTION("""COMPUTED_VALUE"""),5.0)</f>
        <v>5</v>
      </c>
      <c r="AH452" s="10">
        <f>IFERROR(__xludf.DUMMYFUNCTION("""COMPUTED_VALUE"""),0.0)</f>
        <v>0</v>
      </c>
      <c r="AI452" s="10">
        <f>IFERROR(__xludf.DUMMYFUNCTION("""COMPUTED_VALUE"""),6.0)</f>
        <v>6</v>
      </c>
      <c r="AJ452" s="11" t="str">
        <f>IFERROR(__xludf.DUMMYFUNCTION("""COMPUTED_VALUE"""),"https://drive.google.com/open?id=1w3wpe8ff8JkRekFBmCZvcOZDmvTNDiFx")</f>
        <v>https://drive.google.com/open?id=1w3wpe8ff8JkRekFBmCZvcOZDmvTNDiFx</v>
      </c>
      <c r="AK452" s="12"/>
      <c r="AL452" s="12" t="str">
        <f>IFERROR(__xludf.DUMMYFUNCTION("""COMPUTED_VALUE"""),"Yes")</f>
        <v>Yes</v>
      </c>
      <c r="AM452" s="15">
        <f>IFERROR(__xludf.DUMMYFUNCTION("""COMPUTED_VALUE"""),0.3)</f>
        <v>0.3</v>
      </c>
      <c r="AN452" s="12" t="str">
        <f>IFERROR(__xludf.DUMMYFUNCTION("""COMPUTED_VALUE"""),"2nd week")</f>
        <v>2nd week</v>
      </c>
      <c r="AO452" s="13">
        <v>2.0</v>
      </c>
      <c r="AX452" s="17"/>
    </row>
    <row r="453">
      <c r="B453" s="9">
        <f>IFERROR(__xludf.DUMMYFUNCTION("""COMPUTED_VALUE"""),45887.39857928241)</f>
        <v>45887.39858</v>
      </c>
      <c r="C453" s="10" t="str">
        <f>IFERROR(__xludf.DUMMYFUNCTION("""COMPUTED_VALUE"""),"Asma Gul ")</f>
        <v>Asma Gul </v>
      </c>
      <c r="D453" s="10" t="str">
        <f>IFERROR(__xludf.DUMMYFUNCTION("""COMPUTED_VALUE"""),"03459308620")</f>
        <v>03459308620</v>
      </c>
      <c r="E453" s="10" t="str">
        <f>IFERROR(__xludf.DUMMYFUNCTION("""COMPUTED_VALUE"""),"Jamia Masjid Madina Pepal Wali Multan")</f>
        <v>Jamia Masjid Madina Pepal Wali Multan</v>
      </c>
      <c r="F453" s="10" t="str">
        <f>IFERROR(__xludf.DUMMYFUNCTION("""COMPUTED_VALUE"""),"wpqfg")</f>
        <v>wpqfg</v>
      </c>
      <c r="G453" s="10" t="str">
        <f>IFERROR(__xludf.DUMMYFUNCTION("""COMPUTED_VALUE"""),"No")</f>
        <v>No</v>
      </c>
      <c r="H453" s="10"/>
      <c r="I453" s="10"/>
      <c r="J453" s="10"/>
      <c r="K453" s="10">
        <f>IFERROR(__xludf.DUMMYFUNCTION("""COMPUTED_VALUE"""),0.0)</f>
        <v>0</v>
      </c>
      <c r="L453" s="10">
        <f>IFERROR(__xludf.DUMMYFUNCTION("""COMPUTED_VALUE"""),0.0)</f>
        <v>0</v>
      </c>
      <c r="M453" s="10">
        <f>IFERROR(__xludf.DUMMYFUNCTION("""COMPUTED_VALUE"""),0.0)</f>
        <v>0</v>
      </c>
      <c r="N453" s="10">
        <f>IFERROR(__xludf.DUMMYFUNCTION("""COMPUTED_VALUE"""),0.0)</f>
        <v>0</v>
      </c>
      <c r="O453" s="10">
        <f>IFERROR(__xludf.DUMMYFUNCTION("""COMPUTED_VALUE"""),0.0)</f>
        <v>0</v>
      </c>
      <c r="P453" s="10">
        <f>IFERROR(__xludf.DUMMYFUNCTION("""COMPUTED_VALUE"""),0.0)</f>
        <v>0</v>
      </c>
      <c r="Q453" s="10" t="str">
        <f>IFERROR(__xludf.DUMMYFUNCTION("""COMPUTED_VALUE"""),"No")</f>
        <v>No</v>
      </c>
      <c r="R453" s="10" t="str">
        <f>IFERROR(__xludf.DUMMYFUNCTION("""COMPUTED_VALUE"""),"No")</f>
        <v>No</v>
      </c>
      <c r="S453" s="10" t="str">
        <f>IFERROR(__xludf.DUMMYFUNCTION("""COMPUTED_VALUE"""),"No")</f>
        <v>No</v>
      </c>
      <c r="T453" s="10">
        <f>IFERROR(__xludf.DUMMYFUNCTION("""COMPUTED_VALUE"""),0.0)</f>
        <v>0</v>
      </c>
      <c r="U453" s="10">
        <f>IFERROR(__xludf.DUMMYFUNCTION("""COMPUTED_VALUE"""),0.0)</f>
        <v>0</v>
      </c>
      <c r="V453" s="10" t="str">
        <f>IFERROR(__xludf.DUMMYFUNCTION("""COMPUTED_VALUE"""),"اولیاۓ کرام کی نشانیاں اور اللہ کا قرب")</f>
        <v>اولیاۓ کرام کی نشانیاں اور اللہ کا قرب</v>
      </c>
      <c r="W453" s="10" t="str">
        <f>IFERROR(__xludf.DUMMYFUNCTION("""COMPUTED_VALUE"""),"اولیائے کرام کی پہچان ان کے نورانی چہرے، پاکیزہ دل، خوفِ خدا سے رونے والی آنکھوں، سخاوت والے ہاتھوں اور شفابخش کلام سے ہوتی ہے۔
یہ لوگ اللہ کے قرب کے باعث بندوں سے محبت کرتے ہیں اور سب کے لیے ہدایت کا ذریعہ بنتے ہیں۔
عبادات، نوافل اور تقویٰ کے ذریعے یہ ال"&amp;"لہ کے محبوب بندے بن جاتے ہیں جن سے زمین و آسمان والے محبت کرتے ہیں۔
")</f>
        <v>اولیائے کرام کی پہچان ان کے نورانی چہرے، پاکیزہ دل، خوفِ خدا سے رونے والی آنکھوں، سخاوت والے ہاتھوں اور شفابخش کلام سے ہوتی ہے۔
یہ لوگ اللہ کے قرب کے باعث بندوں سے محبت کرتے ہیں اور سب کے لیے ہدایت کا ذریعہ بنتے ہیں۔
عبادات، نوافل اور تقویٰ کے ذریعے یہ اللہ کے محبوب بندے بن جاتے ہیں جن سے زمین و آسمان والے محبت کرتے ہیں۔
</v>
      </c>
      <c r="X453" s="10">
        <f>IFERROR(__xludf.DUMMYFUNCTION("""COMPUTED_VALUE"""),7.0)</f>
        <v>7</v>
      </c>
      <c r="Y453" s="10">
        <f>IFERROR(__xludf.DUMMYFUNCTION("""COMPUTED_VALUE"""),5.0)</f>
        <v>5</v>
      </c>
      <c r="Z453" s="10">
        <f>IFERROR(__xludf.DUMMYFUNCTION("""COMPUTED_VALUE"""),0.0)</f>
        <v>0</v>
      </c>
      <c r="AA453" s="10">
        <f>IFERROR(__xludf.DUMMYFUNCTION("""COMPUTED_VALUE"""),10.0)</f>
        <v>10</v>
      </c>
      <c r="AB453" s="10">
        <f>IFERROR(__xludf.DUMMYFUNCTION("""COMPUTED_VALUE"""),5.0)</f>
        <v>5</v>
      </c>
      <c r="AC453" s="10">
        <f>IFERROR(__xludf.DUMMYFUNCTION("""COMPUTED_VALUE"""),0.0)</f>
        <v>0</v>
      </c>
      <c r="AD453" s="10">
        <f>IFERROR(__xludf.DUMMYFUNCTION("""COMPUTED_VALUE"""),0.0)</f>
        <v>0</v>
      </c>
      <c r="AE453" s="10">
        <f>IFERROR(__xludf.DUMMYFUNCTION("""COMPUTED_VALUE"""),0.0)</f>
        <v>0</v>
      </c>
      <c r="AF453" s="10">
        <f>IFERROR(__xludf.DUMMYFUNCTION("""COMPUTED_VALUE"""),0.0)</f>
        <v>0</v>
      </c>
      <c r="AG453" s="10">
        <f>IFERROR(__xludf.DUMMYFUNCTION("""COMPUTED_VALUE"""),8.0)</f>
        <v>8</v>
      </c>
      <c r="AH453" s="10">
        <f>IFERROR(__xludf.DUMMYFUNCTION("""COMPUTED_VALUE"""),0.0)</f>
        <v>0</v>
      </c>
      <c r="AI453" s="10">
        <f>IFERROR(__xludf.DUMMYFUNCTION("""COMPUTED_VALUE"""),8.0)</f>
        <v>8</v>
      </c>
      <c r="AJ453" s="11" t="str">
        <f>IFERROR(__xludf.DUMMYFUNCTION("""COMPUTED_VALUE"""),"https://drive.google.com/open?id=1Xp6SQtNnee-z7pFuLl5ToC6xhFjjpAdnYgmDAali4dc")</f>
        <v>https://drive.google.com/open?id=1Xp6SQtNnee-z7pFuLl5ToC6xhFjjpAdnYgmDAali4dc</v>
      </c>
      <c r="AK453" s="12"/>
      <c r="AL453" s="12"/>
      <c r="AM453" s="12"/>
      <c r="AN453" s="12" t="str">
        <f>IFERROR(__xludf.DUMMYFUNCTION("""COMPUTED_VALUE"""),"3rd week")</f>
        <v>3rd week</v>
      </c>
      <c r="AO453" s="13">
        <v>3.0</v>
      </c>
      <c r="AX453" s="17"/>
    </row>
    <row r="454">
      <c r="B454" s="9">
        <f>IFERROR(__xludf.DUMMYFUNCTION("""COMPUTED_VALUE"""),45887.4456069213)</f>
        <v>45887.44561</v>
      </c>
      <c r="C454" s="10" t="str">
        <f>IFERROR(__xludf.DUMMYFUNCTION("""COMPUTED_VALUE"""),"Muqaddas bibi ")</f>
        <v>Muqaddas bibi </v>
      </c>
      <c r="D454" s="10" t="str">
        <f>IFERROR(__xludf.DUMMYFUNCTION("""COMPUTED_VALUE"""),"03075314147")</f>
        <v>03075314147</v>
      </c>
      <c r="E454" s="10" t="str">
        <f>IFERROR(__xludf.DUMMYFUNCTION("""COMPUTED_VALUE"""),"Jamia masjid Musa pak shaheed Multan ")</f>
        <v>Jamia masjid Musa pak shaheed Multan </v>
      </c>
      <c r="F454" s="10" t="str">
        <f>IFERROR(__xludf.DUMMYFUNCTION("""COMPUTED_VALUE"""),"wgvns")</f>
        <v>wgvns</v>
      </c>
      <c r="G454" s="10" t="str">
        <f>IFERROR(__xludf.DUMMYFUNCTION("""COMPUTED_VALUE"""),"Yes")</f>
        <v>Yes</v>
      </c>
      <c r="H454" s="10">
        <f>IFERROR(__xludf.DUMMYFUNCTION("""COMPUTED_VALUE"""),10.0)</f>
        <v>10</v>
      </c>
      <c r="I454" s="10">
        <f>IFERROR(__xludf.DUMMYFUNCTION("""COMPUTED_VALUE"""),0.0)</f>
        <v>0</v>
      </c>
      <c r="J454" s="10">
        <f>IFERROR(__xludf.DUMMYFUNCTION("""COMPUTED_VALUE"""),10.0)</f>
        <v>10</v>
      </c>
      <c r="K454" s="10">
        <f>IFERROR(__xludf.DUMMYFUNCTION("""COMPUTED_VALUE"""),10.0)</f>
        <v>10</v>
      </c>
      <c r="L454" s="10">
        <f>IFERROR(__xludf.DUMMYFUNCTION("""COMPUTED_VALUE"""),0.0)</f>
        <v>0</v>
      </c>
      <c r="M454" s="10">
        <f>IFERROR(__xludf.DUMMYFUNCTION("""COMPUTED_VALUE"""),10.0)</f>
        <v>10</v>
      </c>
      <c r="N454" s="10">
        <f>IFERROR(__xludf.DUMMYFUNCTION("""COMPUTED_VALUE"""),0.0)</f>
        <v>0</v>
      </c>
      <c r="O454" s="10">
        <f>IFERROR(__xludf.DUMMYFUNCTION("""COMPUTED_VALUE"""),6.0)</f>
        <v>6</v>
      </c>
      <c r="P454" s="10">
        <f>IFERROR(__xludf.DUMMYFUNCTION("""COMPUTED_VALUE"""),0.0)</f>
        <v>0</v>
      </c>
      <c r="Q454" s="10" t="str">
        <f>IFERROR(__xludf.DUMMYFUNCTION("""COMPUTED_VALUE"""),"No")</f>
        <v>No</v>
      </c>
      <c r="R454" s="10" t="str">
        <f>IFERROR(__xludf.DUMMYFUNCTION("""COMPUTED_VALUE"""),"No")</f>
        <v>No</v>
      </c>
      <c r="S454" s="10" t="str">
        <f>IFERROR(__xludf.DUMMYFUNCTION("""COMPUTED_VALUE"""),"Yes")</f>
        <v>Yes</v>
      </c>
      <c r="T454" s="10">
        <f>IFERROR(__xludf.DUMMYFUNCTION("""COMPUTED_VALUE"""),0.0)</f>
        <v>0</v>
      </c>
      <c r="U454" s="10">
        <f>IFERROR(__xludf.DUMMYFUNCTION("""COMPUTED_VALUE"""),0.0)</f>
        <v>0</v>
      </c>
      <c r="V454" s="10" t="str">
        <f>IFERROR(__xludf.DUMMYFUNCTION("""COMPUTED_VALUE"""),"اسلام میں خواتین کے معاشی سماجی اور سیاسی حقوق")</f>
        <v>اسلام میں خواتین کے معاشی سماجی اور سیاسی حقوق</v>
      </c>
      <c r="W454" s="10" t="str">
        <f>IFERROR(__xludf.DUMMYFUNCTION("""COMPUTED_VALUE"""),"اسلام نے عورتوں کو معاشی سماجی اور سیاسی سرگرمیوں میں حصہ لینے اور اپنے فیصلے کرنے کی ازادی دی ہے صحابیات کے واقعات سے ثابت ہوتا ہے کہ عورتیں دینی تعلیمی اور قومی خدمات میں مردوں کے شانہ بشانہ رہیں")</f>
        <v>اسلام نے عورتوں کو معاشی سماجی اور سیاسی سرگرمیوں میں حصہ لینے اور اپنے فیصلے کرنے کی ازادی دی ہے صحابیات کے واقعات سے ثابت ہوتا ہے کہ عورتیں دینی تعلیمی اور قومی خدمات میں مردوں کے شانہ بشانہ رہیں</v>
      </c>
      <c r="X454" s="10">
        <f>IFERROR(__xludf.DUMMYFUNCTION("""COMPUTED_VALUE"""),0.0)</f>
        <v>0</v>
      </c>
      <c r="Y454" s="10">
        <f>IFERROR(__xludf.DUMMYFUNCTION("""COMPUTED_VALUE"""),10.0)</f>
        <v>10</v>
      </c>
      <c r="Z454" s="10">
        <f>IFERROR(__xludf.DUMMYFUNCTION("""COMPUTED_VALUE"""),5.0)</f>
        <v>5</v>
      </c>
      <c r="AA454" s="10">
        <f>IFERROR(__xludf.DUMMYFUNCTION("""COMPUTED_VALUE"""),2.0)</f>
        <v>2</v>
      </c>
      <c r="AB454" s="10">
        <f>IFERROR(__xludf.DUMMYFUNCTION("""COMPUTED_VALUE"""),4.0)</f>
        <v>4</v>
      </c>
      <c r="AC454" s="10">
        <f>IFERROR(__xludf.DUMMYFUNCTION("""COMPUTED_VALUE"""),0.0)</f>
        <v>0</v>
      </c>
      <c r="AD454" s="10">
        <f>IFERROR(__xludf.DUMMYFUNCTION("""COMPUTED_VALUE"""),4.0)</f>
        <v>4</v>
      </c>
      <c r="AE454" s="10">
        <f>IFERROR(__xludf.DUMMYFUNCTION("""COMPUTED_VALUE"""),0.0)</f>
        <v>0</v>
      </c>
      <c r="AF454" s="10">
        <f>IFERROR(__xludf.DUMMYFUNCTION("""COMPUTED_VALUE"""),0.0)</f>
        <v>0</v>
      </c>
      <c r="AG454" s="10">
        <f>IFERROR(__xludf.DUMMYFUNCTION("""COMPUTED_VALUE"""),9.0)</f>
        <v>9</v>
      </c>
      <c r="AH454" s="10">
        <f>IFERROR(__xludf.DUMMYFUNCTION("""COMPUTED_VALUE"""),0.0)</f>
        <v>0</v>
      </c>
      <c r="AI454" s="10">
        <f>IFERROR(__xludf.DUMMYFUNCTION("""COMPUTED_VALUE"""),8.0)</f>
        <v>8</v>
      </c>
      <c r="AJ454" s="11" t="str">
        <f>IFERROR(__xludf.DUMMYFUNCTION("""COMPUTED_VALUE"""),"https://drive.google.com/open?id=1d6McYVKc7qGcdHGpMtZ1zYkG6nrJY05e")</f>
        <v>https://drive.google.com/open?id=1d6McYVKc7qGcdHGpMtZ1zYkG6nrJY05e</v>
      </c>
      <c r="AK454" s="12" t="str">
        <f>IFERROR(__xludf.DUMMYFUNCTION("""COMPUTED_VALUE"""),"Nill")</f>
        <v>Nill</v>
      </c>
      <c r="AL454" s="12" t="str">
        <f>IFERROR(__xludf.DUMMYFUNCTION("""COMPUTED_VALUE"""),"Yes")</f>
        <v>Yes</v>
      </c>
      <c r="AM454" s="15">
        <f>IFERROR(__xludf.DUMMYFUNCTION("""COMPUTED_VALUE"""),1.0)</f>
        <v>1</v>
      </c>
      <c r="AN454" s="12" t="str">
        <f>IFERROR(__xludf.DUMMYFUNCTION("""COMPUTED_VALUE"""),"2nd week")</f>
        <v>2nd week</v>
      </c>
      <c r="AO454" s="13">
        <v>2.0</v>
      </c>
      <c r="AX454" s="17"/>
    </row>
    <row r="455">
      <c r="B455" s="9">
        <f>IFERROR(__xludf.DUMMYFUNCTION("""COMPUTED_VALUE"""),45887.47006582176)</f>
        <v>45887.47007</v>
      </c>
      <c r="C455" s="10" t="str">
        <f>IFERROR(__xludf.DUMMYFUNCTION("""COMPUTED_VALUE"""),"Saira Shahzad ")</f>
        <v>Saira Shahzad </v>
      </c>
      <c r="D455" s="10" t="str">
        <f>IFERROR(__xludf.DUMMYFUNCTION("""COMPUTED_VALUE"""),"03114534696")</f>
        <v>03114534696</v>
      </c>
      <c r="E455" s="10" t="str">
        <f>IFERROR(__xludf.DUMMYFUNCTION("""COMPUTED_VALUE"""),"Jamia Masjid Sadiq Akbar Machi Hatta Bhawalpur")</f>
        <v>Jamia Masjid Sadiq Akbar Machi Hatta Bhawalpur</v>
      </c>
      <c r="F455" s="10" t="str">
        <f>IFERROR(__xludf.DUMMYFUNCTION("""COMPUTED_VALUE"""),"dfnmy")</f>
        <v>dfnmy</v>
      </c>
      <c r="G455" s="10" t="str">
        <f>IFERROR(__xludf.DUMMYFUNCTION("""COMPUTED_VALUE"""),"No")</f>
        <v>No</v>
      </c>
      <c r="H455" s="10"/>
      <c r="I455" s="10"/>
      <c r="J455" s="10"/>
      <c r="K455" s="10">
        <f>IFERROR(__xludf.DUMMYFUNCTION("""COMPUTED_VALUE"""),0.0)</f>
        <v>0</v>
      </c>
      <c r="L455" s="10">
        <f>IFERROR(__xludf.DUMMYFUNCTION("""COMPUTED_VALUE"""),3.0)</f>
        <v>3</v>
      </c>
      <c r="M455" s="10">
        <f>IFERROR(__xludf.DUMMYFUNCTION("""COMPUTED_VALUE"""),0.0)</f>
        <v>0</v>
      </c>
      <c r="N455" s="10">
        <f>IFERROR(__xludf.DUMMYFUNCTION("""COMPUTED_VALUE"""),1.0)</f>
        <v>1</v>
      </c>
      <c r="O455" s="10">
        <f>IFERROR(__xludf.DUMMYFUNCTION("""COMPUTED_VALUE"""),0.0)</f>
        <v>0</v>
      </c>
      <c r="P455" s="10">
        <f>IFERROR(__xludf.DUMMYFUNCTION("""COMPUTED_VALUE"""),1.0)</f>
        <v>1</v>
      </c>
      <c r="Q455" s="10" t="str">
        <f>IFERROR(__xludf.DUMMYFUNCTION("""COMPUTED_VALUE"""),"No")</f>
        <v>No</v>
      </c>
      <c r="R455" s="10" t="str">
        <f>IFERROR(__xludf.DUMMYFUNCTION("""COMPUTED_VALUE"""),"No")</f>
        <v>No</v>
      </c>
      <c r="S455" s="10" t="str">
        <f>IFERROR(__xludf.DUMMYFUNCTION("""COMPUTED_VALUE"""),"No")</f>
        <v>No</v>
      </c>
      <c r="T455" s="10">
        <f>IFERROR(__xludf.DUMMYFUNCTION("""COMPUTED_VALUE"""),0.0)</f>
        <v>0</v>
      </c>
      <c r="U455" s="10">
        <f>IFERROR(__xludf.DUMMYFUNCTION("""COMPUTED_VALUE"""),0.0)</f>
        <v>0</v>
      </c>
      <c r="V455" s="10" t="str">
        <f>IFERROR(__xludf.DUMMYFUNCTION("""COMPUTED_VALUE"""),"ہمسایوں کے حقوق")</f>
        <v>ہمسایوں کے حقوق</v>
      </c>
      <c r="W455" s="10" t="str">
        <f>IFERROR(__xludf.DUMMYFUNCTION("""COMPUTED_VALUE"""),"امام نے بیان میں ہمسایوں کے حقوق اور اپنے ماحول کو صاف رکھنے کی بات کی ہے معاشرے پر بات کی ہے اور اس کے ساتھ ساتھ وضو اور کچھ دعاؤں کی اہمیت بیان کی ہے")</f>
        <v>امام نے بیان میں ہمسایوں کے حقوق اور اپنے ماحول کو صاف رکھنے کی بات کی ہے معاشرے پر بات کی ہے اور اس کے ساتھ ساتھ وضو اور کچھ دعاؤں کی اہمیت بیان کی ہے</v>
      </c>
      <c r="X455" s="10">
        <f>IFERROR(__xludf.DUMMYFUNCTION("""COMPUTED_VALUE"""),1.0)</f>
        <v>1</v>
      </c>
      <c r="Y455" s="10">
        <f>IFERROR(__xludf.DUMMYFUNCTION("""COMPUTED_VALUE"""),2.0)</f>
        <v>2</v>
      </c>
      <c r="Z455" s="10">
        <f>IFERROR(__xludf.DUMMYFUNCTION("""COMPUTED_VALUE"""),1.0)</f>
        <v>1</v>
      </c>
      <c r="AA455" s="10">
        <f>IFERROR(__xludf.DUMMYFUNCTION("""COMPUTED_VALUE"""),1.0)</f>
        <v>1</v>
      </c>
      <c r="AB455" s="10">
        <f>IFERROR(__xludf.DUMMYFUNCTION("""COMPUTED_VALUE"""),2.0)</f>
        <v>2</v>
      </c>
      <c r="AC455" s="10">
        <f>IFERROR(__xludf.DUMMYFUNCTION("""COMPUTED_VALUE"""),0.0)</f>
        <v>0</v>
      </c>
      <c r="AD455" s="10">
        <f>IFERROR(__xludf.DUMMYFUNCTION("""COMPUTED_VALUE"""),0.0)</f>
        <v>0</v>
      </c>
      <c r="AE455" s="10">
        <f>IFERROR(__xludf.DUMMYFUNCTION("""COMPUTED_VALUE"""),0.0)</f>
        <v>0</v>
      </c>
      <c r="AF455" s="10">
        <f>IFERROR(__xludf.DUMMYFUNCTION("""COMPUTED_VALUE"""),0.0)</f>
        <v>0</v>
      </c>
      <c r="AG455" s="10">
        <f>IFERROR(__xludf.DUMMYFUNCTION("""COMPUTED_VALUE"""),5.0)</f>
        <v>5</v>
      </c>
      <c r="AH455" s="10">
        <f>IFERROR(__xludf.DUMMYFUNCTION("""COMPUTED_VALUE"""),0.0)</f>
        <v>0</v>
      </c>
      <c r="AI455" s="10">
        <f>IFERROR(__xludf.DUMMYFUNCTION("""COMPUTED_VALUE"""),5.0)</f>
        <v>5</v>
      </c>
      <c r="AJ455" s="11" t="str">
        <f>IFERROR(__xludf.DUMMYFUNCTION("""COMPUTED_VALUE"""),"https://drive.google.com/open?id=1cbWz6zVPA9LCz3owSOdUAp7jYkfTjhtaiWGu6V8enAE")</f>
        <v>https://drive.google.com/open?id=1cbWz6zVPA9LCz3owSOdUAp7jYkfTjhtaiWGu6V8enAE</v>
      </c>
      <c r="AK455" s="12" t="str">
        <f>IFERROR(__xludf.DUMMYFUNCTION("""COMPUTED_VALUE"""),"No")</f>
        <v>No</v>
      </c>
      <c r="AL455" s="12"/>
      <c r="AM455" s="12"/>
      <c r="AN455" s="12" t="str">
        <f>IFERROR(__xludf.DUMMYFUNCTION("""COMPUTED_VALUE"""),"3rd week")</f>
        <v>3rd week</v>
      </c>
      <c r="AO455" s="13">
        <v>3.0</v>
      </c>
      <c r="AX455" s="17"/>
    </row>
    <row r="456">
      <c r="B456" s="9">
        <f>IFERROR(__xludf.DUMMYFUNCTION("""COMPUTED_VALUE"""),45887.470602685185)</f>
        <v>45887.4706</v>
      </c>
      <c r="C456" s="10" t="str">
        <f>IFERROR(__xludf.DUMMYFUNCTION("""COMPUTED_VALUE"""),"Shahid Iqbal")</f>
        <v>Shahid Iqbal</v>
      </c>
      <c r="D456" s="10" t="str">
        <f>IFERROR(__xludf.DUMMYFUNCTION("""COMPUTED_VALUE"""),"03013665049")</f>
        <v>03013665049</v>
      </c>
      <c r="E456" s="10" t="str">
        <f>IFERROR(__xludf.DUMMYFUNCTION("""COMPUTED_VALUE"""),"Jamia Masjid Gul Wali Haram Gate Multan")</f>
        <v>Jamia Masjid Gul Wali Haram Gate Multan</v>
      </c>
      <c r="F456" s="10" t="str">
        <f>IFERROR(__xludf.DUMMYFUNCTION("""COMPUTED_VALUE"""),"vbdpl")</f>
        <v>vbdpl</v>
      </c>
      <c r="G456" s="10" t="str">
        <f>IFERROR(__xludf.DUMMYFUNCTION("""COMPUTED_VALUE"""),"Yes")</f>
        <v>Yes</v>
      </c>
      <c r="H456" s="10">
        <f>IFERROR(__xludf.DUMMYFUNCTION("""COMPUTED_VALUE"""),0.0)</f>
        <v>0</v>
      </c>
      <c r="I456" s="10">
        <f>IFERROR(__xludf.DUMMYFUNCTION("""COMPUTED_VALUE"""),10.0)</f>
        <v>10</v>
      </c>
      <c r="J456" s="10">
        <f>IFERROR(__xludf.DUMMYFUNCTION("""COMPUTED_VALUE"""),0.0)</f>
        <v>0</v>
      </c>
      <c r="K456" s="10">
        <f>IFERROR(__xludf.DUMMYFUNCTION("""COMPUTED_VALUE"""),2.0)</f>
        <v>2</v>
      </c>
      <c r="L456" s="10">
        <f>IFERROR(__xludf.DUMMYFUNCTION("""COMPUTED_VALUE"""),0.0)</f>
        <v>0</v>
      </c>
      <c r="M456" s="10">
        <f>IFERROR(__xludf.DUMMYFUNCTION("""COMPUTED_VALUE"""),0.0)</f>
        <v>0</v>
      </c>
      <c r="N456" s="10">
        <f>IFERROR(__xludf.DUMMYFUNCTION("""COMPUTED_VALUE"""),0.0)</f>
        <v>0</v>
      </c>
      <c r="O456" s="10">
        <f>IFERROR(__xludf.DUMMYFUNCTION("""COMPUTED_VALUE"""),0.0)</f>
        <v>0</v>
      </c>
      <c r="P456" s="10">
        <f>IFERROR(__xludf.DUMMYFUNCTION("""COMPUTED_VALUE"""),0.0)</f>
        <v>0</v>
      </c>
      <c r="Q456" s="10" t="str">
        <f>IFERROR(__xludf.DUMMYFUNCTION("""COMPUTED_VALUE"""),"No")</f>
        <v>No</v>
      </c>
      <c r="R456" s="10" t="str">
        <f>IFERROR(__xludf.DUMMYFUNCTION("""COMPUTED_VALUE"""),"No")</f>
        <v>No</v>
      </c>
      <c r="S456" s="10" t="str">
        <f>IFERROR(__xludf.DUMMYFUNCTION("""COMPUTED_VALUE"""),"No")</f>
        <v>No</v>
      </c>
      <c r="T456" s="10">
        <f>IFERROR(__xludf.DUMMYFUNCTION("""COMPUTED_VALUE"""),0.0)</f>
        <v>0</v>
      </c>
      <c r="U456" s="10">
        <f>IFERROR(__xludf.DUMMYFUNCTION("""COMPUTED_VALUE"""),0.0)</f>
        <v>0</v>
      </c>
      <c r="V456" s="10" t="str">
        <f>IFERROR(__xludf.DUMMYFUNCTION("""COMPUTED_VALUE"""),"Muharam aur Imam hussain As")</f>
        <v>Muharam aur Imam hussain As</v>
      </c>
      <c r="W456" s="10" t="str">
        <f>IFERROR(__xludf.DUMMYFUNCTION("""COMPUTED_VALUE"""),"Muharam aur Imam hussain As k  bry me baatain")</f>
        <v>Muharam aur Imam hussain As k  bry me baatain</v>
      </c>
      <c r="X456" s="10">
        <f>IFERROR(__xludf.DUMMYFUNCTION("""COMPUTED_VALUE"""),3.0)</f>
        <v>3</v>
      </c>
      <c r="Y456" s="10">
        <f>IFERROR(__xludf.DUMMYFUNCTION("""COMPUTED_VALUE"""),3.0)</f>
        <v>3</v>
      </c>
      <c r="Z456" s="10">
        <f>IFERROR(__xludf.DUMMYFUNCTION("""COMPUTED_VALUE"""),2.0)</f>
        <v>2</v>
      </c>
      <c r="AA456" s="10">
        <f>IFERROR(__xludf.DUMMYFUNCTION("""COMPUTED_VALUE"""),2.0)</f>
        <v>2</v>
      </c>
      <c r="AB456" s="10">
        <f>IFERROR(__xludf.DUMMYFUNCTION("""COMPUTED_VALUE"""),4.0)</f>
        <v>4</v>
      </c>
      <c r="AC456" s="10">
        <f>IFERROR(__xludf.DUMMYFUNCTION("""COMPUTED_VALUE"""),0.0)</f>
        <v>0</v>
      </c>
      <c r="AD456" s="10">
        <f>IFERROR(__xludf.DUMMYFUNCTION("""COMPUTED_VALUE"""),0.0)</f>
        <v>0</v>
      </c>
      <c r="AE456" s="10">
        <f>IFERROR(__xludf.DUMMYFUNCTION("""COMPUTED_VALUE"""),0.0)</f>
        <v>0</v>
      </c>
      <c r="AF456" s="10">
        <f>IFERROR(__xludf.DUMMYFUNCTION("""COMPUTED_VALUE"""),0.0)</f>
        <v>0</v>
      </c>
      <c r="AG456" s="10">
        <f>IFERROR(__xludf.DUMMYFUNCTION("""COMPUTED_VALUE"""),10.0)</f>
        <v>10</v>
      </c>
      <c r="AH456" s="10">
        <f>IFERROR(__xludf.DUMMYFUNCTION("""COMPUTED_VALUE"""),0.0)</f>
        <v>0</v>
      </c>
      <c r="AI456" s="10">
        <f>IFERROR(__xludf.DUMMYFUNCTION("""COMPUTED_VALUE"""),10.0)</f>
        <v>10</v>
      </c>
      <c r="AJ456" s="11" t="str">
        <f>IFERROR(__xludf.DUMMYFUNCTION("""COMPUTED_VALUE"""),"https://drive.google.com/open?id=11kWrwwTagUy5wEXvSuiOxTKt4oSyGkZ8")</f>
        <v>https://drive.google.com/open?id=11kWrwwTagUy5wEXvSuiOxTKt4oSyGkZ8</v>
      </c>
      <c r="AK456" s="12"/>
      <c r="AL456" s="12" t="str">
        <f>IFERROR(__xludf.DUMMYFUNCTION("""COMPUTED_VALUE"""),"Yes")</f>
        <v>Yes</v>
      </c>
      <c r="AM456" s="15">
        <f>IFERROR(__xludf.DUMMYFUNCTION("""COMPUTED_VALUE"""),0.0)</f>
        <v>0</v>
      </c>
      <c r="AN456" s="12" t="str">
        <f>IFERROR(__xludf.DUMMYFUNCTION("""COMPUTED_VALUE"""),"1st week")</f>
        <v>1st week</v>
      </c>
      <c r="AO456" s="13">
        <v>1.0</v>
      </c>
      <c r="AX456" s="17"/>
    </row>
    <row r="457">
      <c r="B457" s="9">
        <f>IFERROR(__xludf.DUMMYFUNCTION("""COMPUTED_VALUE"""),45887.47405347222)</f>
        <v>45887.47405</v>
      </c>
      <c r="C457" s="10" t="str">
        <f>IFERROR(__xludf.DUMMYFUNCTION("""COMPUTED_VALUE"""),"Shahid Iqbal")</f>
        <v>Shahid Iqbal</v>
      </c>
      <c r="D457" s="10" t="str">
        <f>IFERROR(__xludf.DUMMYFUNCTION("""COMPUTED_VALUE"""),"03013665049")</f>
        <v>03013665049</v>
      </c>
      <c r="E457" s="10" t="str">
        <f>IFERROR(__xludf.DUMMYFUNCTION("""COMPUTED_VALUE"""),"Jamia Masjid Darbar Hazrat Mian Channu")</f>
        <v>Jamia Masjid Darbar Hazrat Mian Channu</v>
      </c>
      <c r="F457" s="10" t="str">
        <f>IFERROR(__xludf.DUMMYFUNCTION("""COMPUTED_VALUE"""),"xpynm")</f>
        <v>xpynm</v>
      </c>
      <c r="G457" s="10" t="str">
        <f>IFERROR(__xludf.DUMMYFUNCTION("""COMPUTED_VALUE"""),"Yes")</f>
        <v>Yes</v>
      </c>
      <c r="H457" s="10">
        <f>IFERROR(__xludf.DUMMYFUNCTION("""COMPUTED_VALUE"""),1.0)</f>
        <v>1</v>
      </c>
      <c r="I457" s="10">
        <f>IFERROR(__xludf.DUMMYFUNCTION("""COMPUTED_VALUE"""),9.0)</f>
        <v>9</v>
      </c>
      <c r="J457" s="10">
        <f>IFERROR(__xludf.DUMMYFUNCTION("""COMPUTED_VALUE"""),1.0)</f>
        <v>1</v>
      </c>
      <c r="K457" s="10">
        <f>IFERROR(__xludf.DUMMYFUNCTION("""COMPUTED_VALUE"""),0.0)</f>
        <v>0</v>
      </c>
      <c r="L457" s="10">
        <f>IFERROR(__xludf.DUMMYFUNCTION("""COMPUTED_VALUE"""),3.0)</f>
        <v>3</v>
      </c>
      <c r="M457" s="10">
        <f>IFERROR(__xludf.DUMMYFUNCTION("""COMPUTED_VALUE"""),0.0)</f>
        <v>0</v>
      </c>
      <c r="N457" s="10">
        <f>IFERROR(__xludf.DUMMYFUNCTION("""COMPUTED_VALUE"""),4.0)</f>
        <v>4</v>
      </c>
      <c r="O457" s="10">
        <f>IFERROR(__xludf.DUMMYFUNCTION("""COMPUTED_VALUE"""),0.0)</f>
        <v>0</v>
      </c>
      <c r="P457" s="10">
        <f>IFERROR(__xludf.DUMMYFUNCTION("""COMPUTED_VALUE"""),0.0)</f>
        <v>0</v>
      </c>
      <c r="Q457" s="10" t="str">
        <f>IFERROR(__xludf.DUMMYFUNCTION("""COMPUTED_VALUE"""),"No")</f>
        <v>No</v>
      </c>
      <c r="R457" s="10" t="str">
        <f>IFERROR(__xludf.DUMMYFUNCTION("""COMPUTED_VALUE"""),"No")</f>
        <v>No</v>
      </c>
      <c r="S457" s="10" t="str">
        <f>IFERROR(__xludf.DUMMYFUNCTION("""COMPUTED_VALUE"""),"No")</f>
        <v>No</v>
      </c>
      <c r="T457" s="10">
        <f>IFERROR(__xludf.DUMMYFUNCTION("""COMPUTED_VALUE"""),0.0)</f>
        <v>0</v>
      </c>
      <c r="U457" s="10">
        <f>IFERROR(__xludf.DUMMYFUNCTION("""COMPUTED_VALUE"""),0.0)</f>
        <v>0</v>
      </c>
      <c r="V457" s="10" t="str">
        <f>IFERROR(__xludf.DUMMYFUNCTION("""COMPUTED_VALUE"""),"padosi k haqooq aur peer mureed")</f>
        <v>padosi k haqooq aur peer mureed</v>
      </c>
      <c r="W457" s="10" t="str">
        <f>IFERROR(__xludf.DUMMYFUNCTION("""COMPUTED_VALUE"""),"padosi k haqooq aur peer mureed")</f>
        <v>padosi k haqooq aur peer mureed</v>
      </c>
      <c r="X457" s="10">
        <f>IFERROR(__xludf.DUMMYFUNCTION("""COMPUTED_VALUE"""),3.0)</f>
        <v>3</v>
      </c>
      <c r="Y457" s="10">
        <f>IFERROR(__xludf.DUMMYFUNCTION("""COMPUTED_VALUE"""),3.0)</f>
        <v>3</v>
      </c>
      <c r="Z457" s="10">
        <f>IFERROR(__xludf.DUMMYFUNCTION("""COMPUTED_VALUE"""),2.0)</f>
        <v>2</v>
      </c>
      <c r="AA457" s="10">
        <f>IFERROR(__xludf.DUMMYFUNCTION("""COMPUTED_VALUE"""),3.0)</f>
        <v>3</v>
      </c>
      <c r="AB457" s="10">
        <f>IFERROR(__xludf.DUMMYFUNCTION("""COMPUTED_VALUE"""),4.0)</f>
        <v>4</v>
      </c>
      <c r="AC457" s="10">
        <f>IFERROR(__xludf.DUMMYFUNCTION("""COMPUTED_VALUE"""),0.0)</f>
        <v>0</v>
      </c>
      <c r="AD457" s="10">
        <f>IFERROR(__xludf.DUMMYFUNCTION("""COMPUTED_VALUE"""),0.0)</f>
        <v>0</v>
      </c>
      <c r="AE457" s="10">
        <f>IFERROR(__xludf.DUMMYFUNCTION("""COMPUTED_VALUE"""),0.0)</f>
        <v>0</v>
      </c>
      <c r="AF457" s="10">
        <f>IFERROR(__xludf.DUMMYFUNCTION("""COMPUTED_VALUE"""),0.0)</f>
        <v>0</v>
      </c>
      <c r="AG457" s="10">
        <f>IFERROR(__xludf.DUMMYFUNCTION("""COMPUTED_VALUE"""),9.0)</f>
        <v>9</v>
      </c>
      <c r="AH457" s="10">
        <f>IFERROR(__xludf.DUMMYFUNCTION("""COMPUTED_VALUE"""),0.0)</f>
        <v>0</v>
      </c>
      <c r="AI457" s="10">
        <f>IFERROR(__xludf.DUMMYFUNCTION("""COMPUTED_VALUE"""),8.0)</f>
        <v>8</v>
      </c>
      <c r="AJ457" s="11" t="str">
        <f>IFERROR(__xludf.DUMMYFUNCTION("""COMPUTED_VALUE"""),"https://drive.google.com/open?id=1rYBmh47YWY6Sq_gk06RBlNVvhbJGmwD4")</f>
        <v>https://drive.google.com/open?id=1rYBmh47YWY6Sq_gk06RBlNVvhbJGmwD4</v>
      </c>
      <c r="AK457" s="12"/>
      <c r="AL457" s="12" t="str">
        <f>IFERROR(__xludf.DUMMYFUNCTION("""COMPUTED_VALUE"""),"Yes")</f>
        <v>Yes</v>
      </c>
      <c r="AM457" s="15">
        <f>IFERROR(__xludf.DUMMYFUNCTION("""COMPUTED_VALUE"""),0.1)</f>
        <v>0.1</v>
      </c>
      <c r="AN457" s="12" t="str">
        <f>IFERROR(__xludf.DUMMYFUNCTION("""COMPUTED_VALUE"""),"1st week")</f>
        <v>1st week</v>
      </c>
      <c r="AO457" s="13">
        <v>1.0</v>
      </c>
      <c r="AX457" s="17"/>
    </row>
    <row r="458">
      <c r="B458" s="9">
        <f>IFERROR(__xludf.DUMMYFUNCTION("""COMPUTED_VALUE"""),45887.485679652775)</f>
        <v>45887.48568</v>
      </c>
      <c r="C458" s="10" t="str">
        <f>IFERROR(__xludf.DUMMYFUNCTION("""COMPUTED_VALUE"""),"Shahid Iqbal")</f>
        <v>Shahid Iqbal</v>
      </c>
      <c r="D458" s="10" t="str">
        <f>IFERROR(__xludf.DUMMYFUNCTION("""COMPUTED_VALUE"""),"03013665049")</f>
        <v>03013665049</v>
      </c>
      <c r="E458" s="10" t="str">
        <f>IFERROR(__xludf.DUMMYFUNCTION("""COMPUTED_VALUE"""),"Jamia Masjid Kocha Gul Hassan Shahe Bazar")</f>
        <v>Jamia Masjid Kocha Gul Hassan Shahe Bazar</v>
      </c>
      <c r="F458" s="10" t="str">
        <f>IFERROR(__xludf.DUMMYFUNCTION("""COMPUTED_VALUE"""),"Reimc")</f>
        <v>Reimc</v>
      </c>
      <c r="G458" s="10" t="str">
        <f>IFERROR(__xludf.DUMMYFUNCTION("""COMPUTED_VALUE"""),"Yes")</f>
        <v>Yes</v>
      </c>
      <c r="H458" s="10">
        <f>IFERROR(__xludf.DUMMYFUNCTION("""COMPUTED_VALUE"""),5.0)</f>
        <v>5</v>
      </c>
      <c r="I458" s="10">
        <f>IFERROR(__xludf.DUMMYFUNCTION("""COMPUTED_VALUE"""),5.0)</f>
        <v>5</v>
      </c>
      <c r="J458" s="10">
        <f>IFERROR(__xludf.DUMMYFUNCTION("""COMPUTED_VALUE"""),7.0)</f>
        <v>7</v>
      </c>
      <c r="K458" s="10">
        <f>IFERROR(__xludf.DUMMYFUNCTION("""COMPUTED_VALUE"""),0.0)</f>
        <v>0</v>
      </c>
      <c r="L458" s="10">
        <f>IFERROR(__xludf.DUMMYFUNCTION("""COMPUTED_VALUE"""),7.0)</f>
        <v>7</v>
      </c>
      <c r="M458" s="10">
        <f>IFERROR(__xludf.DUMMYFUNCTION("""COMPUTED_VALUE"""),0.0)</f>
        <v>0</v>
      </c>
      <c r="N458" s="10">
        <f>IFERROR(__xludf.DUMMYFUNCTION("""COMPUTED_VALUE"""),6.0)</f>
        <v>6</v>
      </c>
      <c r="O458" s="10">
        <f>IFERROR(__xludf.DUMMYFUNCTION("""COMPUTED_VALUE"""),0.0)</f>
        <v>0</v>
      </c>
      <c r="P458" s="10">
        <f>IFERROR(__xludf.DUMMYFUNCTION("""COMPUTED_VALUE"""),7.0)</f>
        <v>7</v>
      </c>
      <c r="Q458" s="10" t="str">
        <f>IFERROR(__xludf.DUMMYFUNCTION("""COMPUTED_VALUE"""),"No")</f>
        <v>No</v>
      </c>
      <c r="R458" s="10" t="str">
        <f>IFERROR(__xludf.DUMMYFUNCTION("""COMPUTED_VALUE"""),"Yes")</f>
        <v>Yes</v>
      </c>
      <c r="S458" s="10" t="str">
        <f>IFERROR(__xludf.DUMMYFUNCTION("""COMPUTED_VALUE"""),"No")</f>
        <v>No</v>
      </c>
      <c r="T458" s="10">
        <f>IFERROR(__xludf.DUMMYFUNCTION("""COMPUTED_VALUE"""),0.0)</f>
        <v>0</v>
      </c>
      <c r="U458" s="10">
        <f>IFERROR(__xludf.DUMMYFUNCTION("""COMPUTED_VALUE"""),0.0)</f>
        <v>0</v>
      </c>
      <c r="V458" s="10" t="str">
        <f>IFERROR(__xludf.DUMMYFUNCTION("""COMPUTED_VALUE"""),"Padosi k haqooq")</f>
        <v>Padosi k haqooq</v>
      </c>
      <c r="W458" s="10" t="str">
        <f>IFERROR(__xludf.DUMMYFUNCTION("""COMPUTED_VALUE"""),"Padosi k haqooq")</f>
        <v>Padosi k haqooq</v>
      </c>
      <c r="X458" s="10">
        <f>IFERROR(__xludf.DUMMYFUNCTION("""COMPUTED_VALUE"""),3.0)</f>
        <v>3</v>
      </c>
      <c r="Y458" s="10">
        <f>IFERROR(__xludf.DUMMYFUNCTION("""COMPUTED_VALUE"""),10.0)</f>
        <v>10</v>
      </c>
      <c r="Z458" s="10">
        <f>IFERROR(__xludf.DUMMYFUNCTION("""COMPUTED_VALUE"""),4.0)</f>
        <v>4</v>
      </c>
      <c r="AA458" s="10">
        <f>IFERROR(__xludf.DUMMYFUNCTION("""COMPUTED_VALUE"""),5.0)</f>
        <v>5</v>
      </c>
      <c r="AB458" s="10">
        <f>IFERROR(__xludf.DUMMYFUNCTION("""COMPUTED_VALUE"""),3.0)</f>
        <v>3</v>
      </c>
      <c r="AC458" s="10">
        <f>IFERROR(__xludf.DUMMYFUNCTION("""COMPUTED_VALUE"""),0.0)</f>
        <v>0</v>
      </c>
      <c r="AD458" s="10">
        <f>IFERROR(__xludf.DUMMYFUNCTION("""COMPUTED_VALUE"""),0.0)</f>
        <v>0</v>
      </c>
      <c r="AE458" s="10">
        <f>IFERROR(__xludf.DUMMYFUNCTION("""COMPUTED_VALUE"""),1.0)</f>
        <v>1</v>
      </c>
      <c r="AF458" s="10">
        <f>IFERROR(__xludf.DUMMYFUNCTION("""COMPUTED_VALUE"""),0.0)</f>
        <v>0</v>
      </c>
      <c r="AG458" s="10">
        <f>IFERROR(__xludf.DUMMYFUNCTION("""COMPUTED_VALUE"""),9.0)</f>
        <v>9</v>
      </c>
      <c r="AH458" s="10">
        <f>IFERROR(__xludf.DUMMYFUNCTION("""COMPUTED_VALUE"""),0.0)</f>
        <v>0</v>
      </c>
      <c r="AI458" s="10">
        <f>IFERROR(__xludf.DUMMYFUNCTION("""COMPUTED_VALUE"""),10.0)</f>
        <v>10</v>
      </c>
      <c r="AJ458" s="11" t="str">
        <f>IFERROR(__xludf.DUMMYFUNCTION("""COMPUTED_VALUE"""),"https://drive.google.com/open?id=1C_58W6u3bjJC-SNtzli2xuyH8YuPUAFW")</f>
        <v>https://drive.google.com/open?id=1C_58W6u3bjJC-SNtzli2xuyH8YuPUAFW</v>
      </c>
      <c r="AK458" s="12"/>
      <c r="AL458" s="12" t="str">
        <f>IFERROR(__xludf.DUMMYFUNCTION("""COMPUTED_VALUE"""),"Yes")</f>
        <v>Yes</v>
      </c>
      <c r="AM458" s="15">
        <f>IFERROR(__xludf.DUMMYFUNCTION("""COMPUTED_VALUE"""),0.5)</f>
        <v>0.5</v>
      </c>
      <c r="AN458" s="12" t="str">
        <f>IFERROR(__xludf.DUMMYFUNCTION("""COMPUTED_VALUE"""),"1st week")</f>
        <v>1st week</v>
      </c>
      <c r="AO458" s="13">
        <v>1.0</v>
      </c>
      <c r="AX458" s="17"/>
    </row>
    <row r="459">
      <c r="B459" s="9">
        <f>IFERROR(__xludf.DUMMYFUNCTION("""COMPUTED_VALUE"""),45887.48851011574)</f>
        <v>45887.48851</v>
      </c>
      <c r="C459" s="10" t="str">
        <f>IFERROR(__xludf.DUMMYFUNCTION("""COMPUTED_VALUE"""),"Saira Shahzad ")</f>
        <v>Saira Shahzad </v>
      </c>
      <c r="D459" s="10" t="str">
        <f>IFERROR(__xludf.DUMMYFUNCTION("""COMPUTED_VALUE"""),"03114534696")</f>
        <v>03114534696</v>
      </c>
      <c r="E459" s="10" t="str">
        <f>IFERROR(__xludf.DUMMYFUNCTION("""COMPUTED_VALUE"""),"Jamia Masjid Gul Din Coloney Nawah City Multan")</f>
        <v>Jamia Masjid Gul Din Coloney Nawah City Multan</v>
      </c>
      <c r="F459" s="10" t="str">
        <f>IFERROR(__xludf.DUMMYFUNCTION("""COMPUTED_VALUE"""),"lvyea")</f>
        <v>lvyea</v>
      </c>
      <c r="G459" s="10" t="str">
        <f>IFERROR(__xludf.DUMMYFUNCTION("""COMPUTED_VALUE"""),"No")</f>
        <v>No</v>
      </c>
      <c r="H459" s="10"/>
      <c r="I459" s="10"/>
      <c r="J459" s="10"/>
      <c r="K459" s="10">
        <f>IFERROR(__xludf.DUMMYFUNCTION("""COMPUTED_VALUE"""),0.0)</f>
        <v>0</v>
      </c>
      <c r="L459" s="10">
        <f>IFERROR(__xludf.DUMMYFUNCTION("""COMPUTED_VALUE"""),5.0)</f>
        <v>5</v>
      </c>
      <c r="M459" s="10">
        <f>IFERROR(__xludf.DUMMYFUNCTION("""COMPUTED_VALUE"""),0.0)</f>
        <v>0</v>
      </c>
      <c r="N459" s="10">
        <f>IFERROR(__xludf.DUMMYFUNCTION("""COMPUTED_VALUE"""),4.0)</f>
        <v>4</v>
      </c>
      <c r="O459" s="10">
        <f>IFERROR(__xludf.DUMMYFUNCTION("""COMPUTED_VALUE"""),0.0)</f>
        <v>0</v>
      </c>
      <c r="P459" s="10">
        <f>IFERROR(__xludf.DUMMYFUNCTION("""COMPUTED_VALUE"""),5.0)</f>
        <v>5</v>
      </c>
      <c r="Q459" s="10" t="str">
        <f>IFERROR(__xludf.DUMMYFUNCTION("""COMPUTED_VALUE"""),"No")</f>
        <v>No</v>
      </c>
      <c r="R459" s="10" t="str">
        <f>IFERROR(__xludf.DUMMYFUNCTION("""COMPUTED_VALUE"""),"No")</f>
        <v>No</v>
      </c>
      <c r="S459" s="10" t="str">
        <f>IFERROR(__xludf.DUMMYFUNCTION("""COMPUTED_VALUE"""),"No")</f>
        <v>No</v>
      </c>
      <c r="T459" s="10">
        <f>IFERROR(__xludf.DUMMYFUNCTION("""COMPUTED_VALUE"""),0.0)</f>
        <v>0</v>
      </c>
      <c r="U459" s="10">
        <f>IFERROR(__xludf.DUMMYFUNCTION("""COMPUTED_VALUE"""),0.0)</f>
        <v>0</v>
      </c>
      <c r="V459" s="10" t="str">
        <f>IFERROR(__xludf.DUMMYFUNCTION("""COMPUTED_VALUE"""),"ہمسایوں کے حقوق")</f>
        <v>ہمسایوں کے حقوق</v>
      </c>
      <c r="W459" s="10" t="str">
        <f>IFERROR(__xludf.DUMMYFUNCTION("""COMPUTED_VALUE"""),"امام نے اس بیان میں پڑوسیوں کے حقوق دوسرے مذہب کے لوگوں پر بات کی حسن سلوک اور مذہب اسلام کی اہمیت پر بات کی")</f>
        <v>امام نے اس بیان میں پڑوسیوں کے حقوق دوسرے مذہب کے لوگوں پر بات کی حسن سلوک اور مذہب اسلام کی اہمیت پر بات کی</v>
      </c>
      <c r="X459" s="10">
        <f>IFERROR(__xludf.DUMMYFUNCTION("""COMPUTED_VALUE"""),2.0)</f>
        <v>2</v>
      </c>
      <c r="Y459" s="10">
        <f>IFERROR(__xludf.DUMMYFUNCTION("""COMPUTED_VALUE"""),2.0)</f>
        <v>2</v>
      </c>
      <c r="Z459" s="10">
        <f>IFERROR(__xludf.DUMMYFUNCTION("""COMPUTED_VALUE"""),3.0)</f>
        <v>3</v>
      </c>
      <c r="AA459" s="10">
        <f>IFERROR(__xludf.DUMMYFUNCTION("""COMPUTED_VALUE"""),2.0)</f>
        <v>2</v>
      </c>
      <c r="AB459" s="10">
        <f>IFERROR(__xludf.DUMMYFUNCTION("""COMPUTED_VALUE"""),2.0)</f>
        <v>2</v>
      </c>
      <c r="AC459" s="10">
        <f>IFERROR(__xludf.DUMMYFUNCTION("""COMPUTED_VALUE"""),0.0)</f>
        <v>0</v>
      </c>
      <c r="AD459" s="10">
        <f>IFERROR(__xludf.DUMMYFUNCTION("""COMPUTED_VALUE"""),0.0)</f>
        <v>0</v>
      </c>
      <c r="AE459" s="10">
        <f>IFERROR(__xludf.DUMMYFUNCTION("""COMPUTED_VALUE"""),0.0)</f>
        <v>0</v>
      </c>
      <c r="AF459" s="10">
        <f>IFERROR(__xludf.DUMMYFUNCTION("""COMPUTED_VALUE"""),0.0)</f>
        <v>0</v>
      </c>
      <c r="AG459" s="10">
        <f>IFERROR(__xludf.DUMMYFUNCTION("""COMPUTED_VALUE"""),5.0)</f>
        <v>5</v>
      </c>
      <c r="AH459" s="10">
        <f>IFERROR(__xludf.DUMMYFUNCTION("""COMPUTED_VALUE"""),0.0)</f>
        <v>0</v>
      </c>
      <c r="AI459" s="10">
        <f>IFERROR(__xludf.DUMMYFUNCTION("""COMPUTED_VALUE"""),6.0)</f>
        <v>6</v>
      </c>
      <c r="AJ459" s="11" t="str">
        <f>IFERROR(__xludf.DUMMYFUNCTION("""COMPUTED_VALUE"""),"https://drive.google.com/open?id=1ftXAvDV8NQFkcMQGIg233qNFzvBEeuTcAY3gjZC9Wfg")</f>
        <v>https://drive.google.com/open?id=1ftXAvDV8NQFkcMQGIg233qNFzvBEeuTcAY3gjZC9Wfg</v>
      </c>
      <c r="AK459" s="12" t="str">
        <f>IFERROR(__xludf.DUMMYFUNCTION("""COMPUTED_VALUE"""),"No")</f>
        <v>No</v>
      </c>
      <c r="AL459" s="12"/>
      <c r="AM459" s="12"/>
      <c r="AN459" s="12" t="str">
        <f>IFERROR(__xludf.DUMMYFUNCTION("""COMPUTED_VALUE"""),"3rd week")</f>
        <v>3rd week</v>
      </c>
      <c r="AO459" s="13">
        <v>3.0</v>
      </c>
      <c r="AX459" s="17"/>
    </row>
    <row r="460">
      <c r="B460" s="9">
        <f>IFERROR(__xludf.DUMMYFUNCTION("""COMPUTED_VALUE"""),45887.540322685185)</f>
        <v>45887.54032</v>
      </c>
      <c r="C460" s="10" t="str">
        <f>IFERROR(__xludf.DUMMYFUNCTION("""COMPUTED_VALUE"""),"Atiqa")</f>
        <v>Atiqa</v>
      </c>
      <c r="D460" s="10" t="str">
        <f>IFERROR(__xludf.DUMMYFUNCTION("""COMPUTED_VALUE"""),"03157519977")</f>
        <v>03157519977</v>
      </c>
      <c r="E460" s="10" t="str">
        <f>IFERROR(__xludf.DUMMYFUNCTION("""COMPUTED_VALUE"""),"Jamia Masjid Peer Mubarak  Ali Shah Multan ")</f>
        <v>Jamia Masjid Peer Mubarak  Ali Shah Multan </v>
      </c>
      <c r="F460" s="10" t="str">
        <f>IFERROR(__xludf.DUMMYFUNCTION("""COMPUTED_VALUE"""),"dqmjv")</f>
        <v>dqmjv</v>
      </c>
      <c r="G460" s="10" t="str">
        <f>IFERROR(__xludf.DUMMYFUNCTION("""COMPUTED_VALUE"""),"No")</f>
        <v>No</v>
      </c>
      <c r="H460" s="10"/>
      <c r="I460" s="10"/>
      <c r="J460" s="10"/>
      <c r="K460" s="10">
        <f>IFERROR(__xludf.DUMMYFUNCTION("""COMPUTED_VALUE"""),0.0)</f>
        <v>0</v>
      </c>
      <c r="L460" s="10">
        <f>IFERROR(__xludf.DUMMYFUNCTION("""COMPUTED_VALUE"""),0.0)</f>
        <v>0</v>
      </c>
      <c r="M460" s="10">
        <f>IFERROR(__xludf.DUMMYFUNCTION("""COMPUTED_VALUE"""),0.0)</f>
        <v>0</v>
      </c>
      <c r="N460" s="10">
        <f>IFERROR(__xludf.DUMMYFUNCTION("""COMPUTED_VALUE"""),0.0)</f>
        <v>0</v>
      </c>
      <c r="O460" s="10">
        <f>IFERROR(__xludf.DUMMYFUNCTION("""COMPUTED_VALUE"""),0.0)</f>
        <v>0</v>
      </c>
      <c r="P460" s="10">
        <f>IFERROR(__xludf.DUMMYFUNCTION("""COMPUTED_VALUE"""),0.0)</f>
        <v>0</v>
      </c>
      <c r="Q460" s="10" t="str">
        <f>IFERROR(__xludf.DUMMYFUNCTION("""COMPUTED_VALUE"""),"No")</f>
        <v>No</v>
      </c>
      <c r="R460" s="10" t="str">
        <f>IFERROR(__xludf.DUMMYFUNCTION("""COMPUTED_VALUE"""),"No")</f>
        <v>No</v>
      </c>
      <c r="S460" s="10" t="str">
        <f>IFERROR(__xludf.DUMMYFUNCTION("""COMPUTED_VALUE"""),"No")</f>
        <v>No</v>
      </c>
      <c r="T460" s="10">
        <f>IFERROR(__xludf.DUMMYFUNCTION("""COMPUTED_VALUE"""),0.0)</f>
        <v>0</v>
      </c>
      <c r="U460" s="10">
        <f>IFERROR(__xludf.DUMMYFUNCTION("""COMPUTED_VALUE"""),0.0)</f>
        <v>0</v>
      </c>
      <c r="V460" s="10" t="str">
        <f>IFERROR(__xludf.DUMMYFUNCTION("""COMPUTED_VALUE"""),"۱_ صبر و استقامت اور نماز کی اہمیت ۲_ امام حسین رضی اللہ تعالی عنہ کا میدان کربلا میں صبر اور نماز ادا کرنا ")</f>
        <v>۱_ صبر و استقامت اور نماز کی اہمیت ۲_ امام حسین رضی اللہ تعالی عنہ کا میدان کربلا میں صبر اور نماز ادا کرنا </v>
      </c>
      <c r="W460" s="10" t="str">
        <f>IFERROR(__xludf.DUMMYFUNCTION("""COMPUTED_VALUE"""),"اللہ کی دی ہوئی ازمائش پر پورا اترنا اور اس کی رضا میں راضی ہو کر صبر کرنا ۔ نماز کے ذریعے اللہ تعالی سے تعلق قائم کرنا اور اس سے ملاقات کرنا ۔ حضرت امام حسین رضی اللہ تعالی عنہ کا میدان کربلا میں صبر کا مظاہرہ کرنا اور نیزوں کے درمیان نماز ادا کر کے نماز"&amp;" کی اہمیت کو واضح کرنا ۔")</f>
        <v>اللہ کی دی ہوئی ازمائش پر پورا اترنا اور اس کی رضا میں راضی ہو کر صبر کرنا ۔ نماز کے ذریعے اللہ تعالی سے تعلق قائم کرنا اور اس سے ملاقات کرنا ۔ حضرت امام حسین رضی اللہ تعالی عنہ کا میدان کربلا میں صبر کا مظاہرہ کرنا اور نیزوں کے درمیان نماز ادا کر کے نماز کی اہمیت کو واضح کرنا ۔</v>
      </c>
      <c r="X460" s="10">
        <f>IFERROR(__xludf.DUMMYFUNCTION("""COMPUTED_VALUE"""),7.0)</f>
        <v>7</v>
      </c>
      <c r="Y460" s="10">
        <f>IFERROR(__xludf.DUMMYFUNCTION("""COMPUTED_VALUE"""),3.0)</f>
        <v>3</v>
      </c>
      <c r="Z460" s="10">
        <f>IFERROR(__xludf.DUMMYFUNCTION("""COMPUTED_VALUE"""),3.0)</f>
        <v>3</v>
      </c>
      <c r="AA460" s="10">
        <f>IFERROR(__xludf.DUMMYFUNCTION("""COMPUTED_VALUE"""),8.0)</f>
        <v>8</v>
      </c>
      <c r="AB460" s="10">
        <f>IFERROR(__xludf.DUMMYFUNCTION("""COMPUTED_VALUE"""),6.0)</f>
        <v>6</v>
      </c>
      <c r="AC460" s="10">
        <f>IFERROR(__xludf.DUMMYFUNCTION("""COMPUTED_VALUE"""),0.0)</f>
        <v>0</v>
      </c>
      <c r="AD460" s="10">
        <f>IFERROR(__xludf.DUMMYFUNCTION("""COMPUTED_VALUE"""),0.0)</f>
        <v>0</v>
      </c>
      <c r="AE460" s="10">
        <f>IFERROR(__xludf.DUMMYFUNCTION("""COMPUTED_VALUE"""),0.0)</f>
        <v>0</v>
      </c>
      <c r="AF460" s="10">
        <f>IFERROR(__xludf.DUMMYFUNCTION("""COMPUTED_VALUE"""),0.0)</f>
        <v>0</v>
      </c>
      <c r="AG460" s="10">
        <f>IFERROR(__xludf.DUMMYFUNCTION("""COMPUTED_VALUE"""),9.0)</f>
        <v>9</v>
      </c>
      <c r="AH460" s="10">
        <f>IFERROR(__xludf.DUMMYFUNCTION("""COMPUTED_VALUE"""),0.0)</f>
        <v>0</v>
      </c>
      <c r="AI460" s="10">
        <f>IFERROR(__xludf.DUMMYFUNCTION("""COMPUTED_VALUE"""),9.0)</f>
        <v>9</v>
      </c>
      <c r="AJ460" s="11" t="str">
        <f>IFERROR(__xludf.DUMMYFUNCTION("""COMPUTED_VALUE"""),"https://drive.google.com/open?id=1U4nMUeuxVr8kg1R33Y4We5r4JcaVxh35GywYH8KteTA")</f>
        <v>https://drive.google.com/open?id=1U4nMUeuxVr8kg1R33Y4We5r4JcaVxh35GywYH8KteTA</v>
      </c>
      <c r="AK460" s="12"/>
      <c r="AL460" s="12"/>
      <c r="AM460" s="12"/>
      <c r="AN460" s="12" t="str">
        <f>IFERROR(__xludf.DUMMYFUNCTION("""COMPUTED_VALUE"""),"1st week")</f>
        <v>1st week</v>
      </c>
      <c r="AO460" s="13">
        <v>1.0</v>
      </c>
      <c r="AX460" s="17"/>
    </row>
    <row r="461">
      <c r="B461" s="9">
        <f>IFERROR(__xludf.DUMMYFUNCTION("""COMPUTED_VALUE"""),45887.57375084491)</f>
        <v>45887.57375</v>
      </c>
      <c r="C461" s="10" t="str">
        <f>IFERROR(__xludf.DUMMYFUNCTION("""COMPUTED_VALUE"""),"Arti Kumari ")</f>
        <v>Arti Kumari </v>
      </c>
      <c r="D461" s="10" t="str">
        <f>IFERROR(__xludf.DUMMYFUNCTION("""COMPUTED_VALUE"""),"03346661865")</f>
        <v>03346661865</v>
      </c>
      <c r="E461" s="10" t="str">
        <f>IFERROR(__xludf.DUMMYFUNCTION("""COMPUTED_VALUE"""),"Jamia Masjid Railway Coloney Khanewal")</f>
        <v>Jamia Masjid Railway Coloney Khanewal</v>
      </c>
      <c r="F461" s="10" t="str">
        <f>IFERROR(__xludf.DUMMYFUNCTION("""COMPUTED_VALUE"""),"epjyx")</f>
        <v>epjyx</v>
      </c>
      <c r="G461" s="10" t="str">
        <f>IFERROR(__xludf.DUMMYFUNCTION("""COMPUTED_VALUE"""),"Yes")</f>
        <v>Yes</v>
      </c>
      <c r="H461" s="10">
        <f>IFERROR(__xludf.DUMMYFUNCTION("""COMPUTED_VALUE"""),3.0)</f>
        <v>3</v>
      </c>
      <c r="I461" s="10">
        <f>IFERROR(__xludf.DUMMYFUNCTION("""COMPUTED_VALUE"""),7.0)</f>
        <v>7</v>
      </c>
      <c r="J461" s="10">
        <f>IFERROR(__xludf.DUMMYFUNCTION("""COMPUTED_VALUE"""),3.0)</f>
        <v>3</v>
      </c>
      <c r="K461" s="10">
        <f>IFERROR(__xludf.DUMMYFUNCTION("""COMPUTED_VALUE"""),0.0)</f>
        <v>0</v>
      </c>
      <c r="L461" s="10">
        <f>IFERROR(__xludf.DUMMYFUNCTION("""COMPUTED_VALUE"""),3.0)</f>
        <v>3</v>
      </c>
      <c r="M461" s="10">
        <f>IFERROR(__xludf.DUMMYFUNCTION("""COMPUTED_VALUE"""),0.0)</f>
        <v>0</v>
      </c>
      <c r="N461" s="10">
        <f>IFERROR(__xludf.DUMMYFUNCTION("""COMPUTED_VALUE"""),3.0)</f>
        <v>3</v>
      </c>
      <c r="O461" s="10">
        <f>IFERROR(__xludf.DUMMYFUNCTION("""COMPUTED_VALUE"""),0.0)</f>
        <v>0</v>
      </c>
      <c r="P461" s="10">
        <f>IFERROR(__xludf.DUMMYFUNCTION("""COMPUTED_VALUE"""),0.0)</f>
        <v>0</v>
      </c>
      <c r="Q461" s="10" t="str">
        <f>IFERROR(__xludf.DUMMYFUNCTION("""COMPUTED_VALUE"""),"No")</f>
        <v>No</v>
      </c>
      <c r="R461" s="10" t="str">
        <f>IFERROR(__xludf.DUMMYFUNCTION("""COMPUTED_VALUE"""),"No")</f>
        <v>No</v>
      </c>
      <c r="S461" s="10" t="str">
        <f>IFERROR(__xludf.DUMMYFUNCTION("""COMPUTED_VALUE"""),"No")</f>
        <v>No</v>
      </c>
      <c r="T461" s="10">
        <f>IFERROR(__xludf.DUMMYFUNCTION("""COMPUTED_VALUE"""),0.0)</f>
        <v>0</v>
      </c>
      <c r="U461" s="10">
        <f>IFERROR(__xludf.DUMMYFUNCTION("""COMPUTED_VALUE"""),0.0)</f>
        <v>0</v>
      </c>
      <c r="V461" s="10" t="str">
        <f>IFERROR(__xludf.DUMMYFUNCTION("""COMPUTED_VALUE"""),"پڑوسیوں کے حقوق اور ہجرت ")</f>
        <v>پڑوسیوں کے حقوق اور ہجرت </v>
      </c>
      <c r="W461" s="10" t="str">
        <f>IFERROR(__xludf.DUMMYFUNCTION("""COMPUTED_VALUE"""),"امام نے کچھ پڑوسیوں کے حقوق کا ذکر کیا(اپنے الفاظ میں)  ساتھ صدقہ کی اہمیت کو بھی بتایا اور آخر میں ہجرت پر بات کی")</f>
        <v>امام نے کچھ پڑوسیوں کے حقوق کا ذکر کیا(اپنے الفاظ میں)  ساتھ صدقہ کی اہمیت کو بھی بتایا اور آخر میں ہجرت پر بات کی</v>
      </c>
      <c r="X461" s="10">
        <f>IFERROR(__xludf.DUMMYFUNCTION("""COMPUTED_VALUE"""),0.0)</f>
        <v>0</v>
      </c>
      <c r="Y461" s="10">
        <f>IFERROR(__xludf.DUMMYFUNCTION("""COMPUTED_VALUE"""),4.0)</f>
        <v>4</v>
      </c>
      <c r="Z461" s="10">
        <f>IFERROR(__xludf.DUMMYFUNCTION("""COMPUTED_VALUE"""),4.0)</f>
        <v>4</v>
      </c>
      <c r="AA461" s="10">
        <f>IFERROR(__xludf.DUMMYFUNCTION("""COMPUTED_VALUE"""),0.0)</f>
        <v>0</v>
      </c>
      <c r="AB461" s="10">
        <f>IFERROR(__xludf.DUMMYFUNCTION("""COMPUTED_VALUE"""),1.0)</f>
        <v>1</v>
      </c>
      <c r="AC461" s="10">
        <f>IFERROR(__xludf.DUMMYFUNCTION("""COMPUTED_VALUE"""),0.0)</f>
        <v>0</v>
      </c>
      <c r="AD461" s="10">
        <f>IFERROR(__xludf.DUMMYFUNCTION("""COMPUTED_VALUE"""),0.0)</f>
        <v>0</v>
      </c>
      <c r="AE461" s="10">
        <f>IFERROR(__xludf.DUMMYFUNCTION("""COMPUTED_VALUE"""),0.0)</f>
        <v>0</v>
      </c>
      <c r="AF461" s="10">
        <f>IFERROR(__xludf.DUMMYFUNCTION("""COMPUTED_VALUE"""),0.0)</f>
        <v>0</v>
      </c>
      <c r="AG461" s="10">
        <f>IFERROR(__xludf.DUMMYFUNCTION("""COMPUTED_VALUE"""),8.0)</f>
        <v>8</v>
      </c>
      <c r="AH461" s="10">
        <f>IFERROR(__xludf.DUMMYFUNCTION("""COMPUTED_VALUE"""),0.0)</f>
        <v>0</v>
      </c>
      <c r="AI461" s="10">
        <f>IFERROR(__xludf.DUMMYFUNCTION("""COMPUTED_VALUE"""),8.0)</f>
        <v>8</v>
      </c>
      <c r="AJ461" s="11" t="str">
        <f>IFERROR(__xludf.DUMMYFUNCTION("""COMPUTED_VALUE"""),"https://drive.google.com/open?id=1jqY9xXgI9XzPZRVYlxuL2ssiuCf_hhnp")</f>
        <v>https://drive.google.com/open?id=1jqY9xXgI9XzPZRVYlxuL2ssiuCf_hhnp</v>
      </c>
      <c r="AK461" s="12"/>
      <c r="AL461" s="12" t="str">
        <f>IFERROR(__xludf.DUMMYFUNCTION("""COMPUTED_VALUE"""),"Yes")</f>
        <v>Yes</v>
      </c>
      <c r="AM461" s="15">
        <f>IFERROR(__xludf.DUMMYFUNCTION("""COMPUTED_VALUE"""),0.3)</f>
        <v>0.3</v>
      </c>
      <c r="AN461" s="12" t="str">
        <f>IFERROR(__xludf.DUMMYFUNCTION("""COMPUTED_VALUE"""),"2nd week")</f>
        <v>2nd week</v>
      </c>
      <c r="AO461" s="13">
        <v>2.0</v>
      </c>
      <c r="AX461" s="17"/>
    </row>
    <row r="462">
      <c r="B462" s="9">
        <f>IFERROR(__xludf.DUMMYFUNCTION("""COMPUTED_VALUE"""),45887.61487655093)</f>
        <v>45887.61488</v>
      </c>
      <c r="C462" s="10" t="str">
        <f>IFERROR(__xludf.DUMMYFUNCTION("""COMPUTED_VALUE"""),"Atiqa")</f>
        <v>Atiqa</v>
      </c>
      <c r="D462" s="10" t="str">
        <f>IFERROR(__xludf.DUMMYFUNCTION("""COMPUTED_VALUE"""),"03157519977")</f>
        <v>03157519977</v>
      </c>
      <c r="E462" s="10" t="str">
        <f>IFERROR(__xludf.DUMMYFUNCTION("""COMPUTED_VALUE"""),"Jamia Masjid Kumhaar Mandi Multan ")</f>
        <v>Jamia Masjid Kumhaar Mandi Multan </v>
      </c>
      <c r="F462" s="10" t="str">
        <f>IFERROR(__xludf.DUMMYFUNCTION("""COMPUTED_VALUE"""),"hkceb")</f>
        <v>hkceb</v>
      </c>
      <c r="G462" s="10" t="str">
        <f>IFERROR(__xludf.DUMMYFUNCTION("""COMPUTED_VALUE"""),"Yes")</f>
        <v>Yes</v>
      </c>
      <c r="H462" s="10">
        <f>IFERROR(__xludf.DUMMYFUNCTION("""COMPUTED_VALUE"""),1.0)</f>
        <v>1</v>
      </c>
      <c r="I462" s="10">
        <f>IFERROR(__xludf.DUMMYFUNCTION("""COMPUTED_VALUE"""),9.0)</f>
        <v>9</v>
      </c>
      <c r="J462" s="10">
        <f>IFERROR(__xludf.DUMMYFUNCTION("""COMPUTED_VALUE"""),1.0)</f>
        <v>1</v>
      </c>
      <c r="K462" s="10">
        <f>IFERROR(__xludf.DUMMYFUNCTION("""COMPUTED_VALUE"""),8.0)</f>
        <v>8</v>
      </c>
      <c r="L462" s="10">
        <f>IFERROR(__xludf.DUMMYFUNCTION("""COMPUTED_VALUE"""),0.0)</f>
        <v>0</v>
      </c>
      <c r="M462" s="10">
        <f>IFERROR(__xludf.DUMMYFUNCTION("""COMPUTED_VALUE"""),7.0)</f>
        <v>7</v>
      </c>
      <c r="N462" s="10">
        <f>IFERROR(__xludf.DUMMYFUNCTION("""COMPUTED_VALUE"""),0.0)</f>
        <v>0</v>
      </c>
      <c r="O462" s="10">
        <f>IFERROR(__xludf.DUMMYFUNCTION("""COMPUTED_VALUE"""),0.0)</f>
        <v>0</v>
      </c>
      <c r="P462" s="10">
        <f>IFERROR(__xludf.DUMMYFUNCTION("""COMPUTED_VALUE"""),0.0)</f>
        <v>0</v>
      </c>
      <c r="Q462" s="10" t="str">
        <f>IFERROR(__xludf.DUMMYFUNCTION("""COMPUTED_VALUE"""),"No")</f>
        <v>No</v>
      </c>
      <c r="R462" s="10" t="str">
        <f>IFERROR(__xludf.DUMMYFUNCTION("""COMPUTED_VALUE"""),"No")</f>
        <v>No</v>
      </c>
      <c r="S462" s="10" t="str">
        <f>IFERROR(__xludf.DUMMYFUNCTION("""COMPUTED_VALUE"""),"No")</f>
        <v>No</v>
      </c>
      <c r="T462" s="10">
        <f>IFERROR(__xludf.DUMMYFUNCTION("""COMPUTED_VALUE"""),0.0)</f>
        <v>0</v>
      </c>
      <c r="U462" s="10">
        <f>IFERROR(__xludf.DUMMYFUNCTION("""COMPUTED_VALUE"""),8.0)</f>
        <v>8</v>
      </c>
      <c r="V462" s="10" t="str">
        <f>IFERROR(__xludf.DUMMYFUNCTION("""COMPUTED_VALUE"""),"۱- اعمال پر جوابدہ ہونا ۲-  عورت کے حقوق ")</f>
        <v>۱- اعمال پر جوابدہ ہونا ۲-  عورت کے حقوق </v>
      </c>
      <c r="W462" s="10" t="str">
        <f>IFERROR(__xludf.DUMMYFUNCTION("""COMPUTED_VALUE"""),"دنیاوی زندگی میں کرنے والے اعمال پر اللہ کے ہاں اور ریاست کے سامنے جوابدہ ہونا پڑتا ہے ۔ پچھلے دن اور رونما ہونے والا واقعہ جس میں عورت کو ادمیوں نے قتل کیا ۔ عورت کا ماں، بیٹی ،بیوی کی حیثیت سے مقام بیان کیا گیا ۔ حضور اکرم صلی اللہ علیہ وسلم کی خدیجۃ ال"&amp;"کبری سے محبت اور خدیجۃ الکبری رضی اللہ تعالی عنہا کا مشکل وقت میں نبی کریم صلی اللہ علیہ وسلم کو تسلی اور ساتھ  دینا ۔ اللہ تعالی کا جبرائیل علیہ السلام کے ذریعے خدیجۃ الکبری رضی اللہ تعالی عنہ کو سلام بھیجنا ۔")</f>
        <v>دنیاوی زندگی میں کرنے والے اعمال پر اللہ کے ہاں اور ریاست کے سامنے جوابدہ ہونا پڑتا ہے ۔ پچھلے دن اور رونما ہونے والا واقعہ جس میں عورت کو ادمیوں نے قتل کیا ۔ عورت کا ماں، بیٹی ،بیوی کی حیثیت سے مقام بیان کیا گیا ۔ حضور اکرم صلی اللہ علیہ وسلم کی خدیجۃ الکبری سے محبت اور خدیجۃ الکبری رضی اللہ تعالی عنہا کا مشکل وقت میں نبی کریم صلی اللہ علیہ وسلم کو تسلی اور ساتھ  دینا ۔ اللہ تعالی کا جبرائیل علیہ السلام کے ذریعے خدیجۃ الکبری رضی اللہ تعالی عنہ کو سلام بھیجنا ۔</v>
      </c>
      <c r="X462" s="10">
        <f>IFERROR(__xludf.DUMMYFUNCTION("""COMPUTED_VALUE"""),0.0)</f>
        <v>0</v>
      </c>
      <c r="Y462" s="10">
        <f>IFERROR(__xludf.DUMMYFUNCTION("""COMPUTED_VALUE"""),3.0)</f>
        <v>3</v>
      </c>
      <c r="Z462" s="10">
        <f>IFERROR(__xludf.DUMMYFUNCTION("""COMPUTED_VALUE"""),5.0)</f>
        <v>5</v>
      </c>
      <c r="AA462" s="10">
        <f>IFERROR(__xludf.DUMMYFUNCTION("""COMPUTED_VALUE"""),7.0)</f>
        <v>7</v>
      </c>
      <c r="AB462" s="10">
        <f>IFERROR(__xludf.DUMMYFUNCTION("""COMPUTED_VALUE"""),4.0)</f>
        <v>4</v>
      </c>
      <c r="AC462" s="10">
        <f>IFERROR(__xludf.DUMMYFUNCTION("""COMPUTED_VALUE"""),0.0)</f>
        <v>0</v>
      </c>
      <c r="AD462" s="10">
        <f>IFERROR(__xludf.DUMMYFUNCTION("""COMPUTED_VALUE"""),0.0)</f>
        <v>0</v>
      </c>
      <c r="AE462" s="10">
        <f>IFERROR(__xludf.DUMMYFUNCTION("""COMPUTED_VALUE"""),0.0)</f>
        <v>0</v>
      </c>
      <c r="AF462" s="10">
        <f>IFERROR(__xludf.DUMMYFUNCTION("""COMPUTED_VALUE"""),0.0)</f>
        <v>0</v>
      </c>
      <c r="AG462" s="10">
        <f>IFERROR(__xludf.DUMMYFUNCTION("""COMPUTED_VALUE"""),9.0)</f>
        <v>9</v>
      </c>
      <c r="AH462" s="10">
        <f>IFERROR(__xludf.DUMMYFUNCTION("""COMPUTED_VALUE"""),0.0)</f>
        <v>0</v>
      </c>
      <c r="AI462" s="10">
        <f>IFERROR(__xludf.DUMMYFUNCTION("""COMPUTED_VALUE"""),9.0)</f>
        <v>9</v>
      </c>
      <c r="AJ462" s="11" t="str">
        <f>IFERROR(__xludf.DUMMYFUNCTION("""COMPUTED_VALUE"""),"https://drive.google.com/open?id=1H8XXJTlGxw8f9KjuRnYL1KWDAXSn8a_Thng8-LALE2Q")</f>
        <v>https://drive.google.com/open?id=1H8XXJTlGxw8f9KjuRnYL1KWDAXSn8a_Thng8-LALE2Q</v>
      </c>
      <c r="AK462" s="12"/>
      <c r="AL462" s="12" t="str">
        <f>IFERROR(__xludf.DUMMYFUNCTION("""COMPUTED_VALUE"""),"Yes")</f>
        <v>Yes</v>
      </c>
      <c r="AM462" s="15">
        <f>IFERROR(__xludf.DUMMYFUNCTION("""COMPUTED_VALUE"""),0.0)</f>
        <v>0</v>
      </c>
      <c r="AN462" s="12" t="str">
        <f>IFERROR(__xludf.DUMMYFUNCTION("""COMPUTED_VALUE"""),"1st week")</f>
        <v>1st week</v>
      </c>
      <c r="AO462" s="13">
        <v>1.0</v>
      </c>
      <c r="AX462" s="17"/>
    </row>
    <row r="463">
      <c r="B463" s="9">
        <f>IFERROR(__xludf.DUMMYFUNCTION("""COMPUTED_VALUE"""),45887.65579966435)</f>
        <v>45887.6558</v>
      </c>
      <c r="C463" s="10" t="str">
        <f>IFERROR(__xludf.DUMMYFUNCTION("""COMPUTED_VALUE"""),"Sidra ")</f>
        <v>Sidra </v>
      </c>
      <c r="D463" s="10" t="str">
        <f>IFERROR(__xludf.DUMMYFUNCTION("""COMPUTED_VALUE"""),"03261416280")</f>
        <v>03261416280</v>
      </c>
      <c r="E463" s="10" t="str">
        <f>IFERROR(__xludf.DUMMYFUNCTION("""COMPUTED_VALUE"""),"Jamia Masjid Jalal Gilghast Coloney Multan")</f>
        <v>Jamia Masjid Jalal Gilghast Coloney Multan</v>
      </c>
      <c r="F463" s="10" t="str">
        <f>IFERROR(__xludf.DUMMYFUNCTION("""COMPUTED_VALUE"""),"iprwe")</f>
        <v>iprwe</v>
      </c>
      <c r="G463" s="10" t="str">
        <f>IFERROR(__xludf.DUMMYFUNCTION("""COMPUTED_VALUE"""),"Yes")</f>
        <v>Yes</v>
      </c>
      <c r="H463" s="10">
        <f>IFERROR(__xludf.DUMMYFUNCTION("""COMPUTED_VALUE"""),0.0)</f>
        <v>0</v>
      </c>
      <c r="I463" s="10">
        <f>IFERROR(__xludf.DUMMYFUNCTION("""COMPUTED_VALUE"""),10.0)</f>
        <v>10</v>
      </c>
      <c r="J463" s="10">
        <f>IFERROR(__xludf.DUMMYFUNCTION("""COMPUTED_VALUE"""),0.0)</f>
        <v>0</v>
      </c>
      <c r="K463" s="10">
        <f>IFERROR(__xludf.DUMMYFUNCTION("""COMPUTED_VALUE"""),0.0)</f>
        <v>0</v>
      </c>
      <c r="L463" s="10">
        <f>IFERROR(__xludf.DUMMYFUNCTION("""COMPUTED_VALUE"""),0.0)</f>
        <v>0</v>
      </c>
      <c r="M463" s="10">
        <f>IFERROR(__xludf.DUMMYFUNCTION("""COMPUTED_VALUE"""),0.0)</f>
        <v>0</v>
      </c>
      <c r="N463" s="10">
        <f>IFERROR(__xludf.DUMMYFUNCTION("""COMPUTED_VALUE"""),0.0)</f>
        <v>0</v>
      </c>
      <c r="O463" s="10">
        <f>IFERROR(__xludf.DUMMYFUNCTION("""COMPUTED_VALUE"""),0.0)</f>
        <v>0</v>
      </c>
      <c r="P463" s="10">
        <f>IFERROR(__xludf.DUMMYFUNCTION("""COMPUTED_VALUE"""),0.0)</f>
        <v>0</v>
      </c>
      <c r="Q463" s="10" t="str">
        <f>IFERROR(__xludf.DUMMYFUNCTION("""COMPUTED_VALUE"""),"No")</f>
        <v>No</v>
      </c>
      <c r="R463" s="10" t="str">
        <f>IFERROR(__xludf.DUMMYFUNCTION("""COMPUTED_VALUE"""),"No")</f>
        <v>No</v>
      </c>
      <c r="S463" s="10" t="str">
        <f>IFERROR(__xludf.DUMMYFUNCTION("""COMPUTED_VALUE"""),"No")</f>
        <v>No</v>
      </c>
      <c r="T463" s="10">
        <f>IFERROR(__xludf.DUMMYFUNCTION("""COMPUTED_VALUE"""),0.0)</f>
        <v>0</v>
      </c>
      <c r="U463" s="10">
        <f>IFERROR(__xludf.DUMMYFUNCTION("""COMPUTED_VALUE"""),0.0)</f>
        <v>0</v>
      </c>
      <c r="V463" s="10" t="str">
        <f>IFERROR(__xludf.DUMMYFUNCTION("""COMPUTED_VALUE"""),"شکر ادا کرنا ")</f>
        <v>شکر ادا کرنا </v>
      </c>
      <c r="W463" s="10" t="str">
        <f>IFERROR(__xludf.DUMMYFUNCTION("""COMPUTED_VALUE"""),"امام نے پیغام میں بتایا ہے کہ ہمیں اللہ کا شکر ادا کرنا چاہیے کہ اس نے ہم پر اتنے احسانات کیے ہیں کہ اگر ہم ساری زندگی بھی اللہ کا شکر ادا کریں تو کم ہے اور نبی کریم صلی اللہ علیہ وسلم نے فرمایا حق سچ کی بات کرو جھوٹ نہ بولو تو میں تمہیں جنت میں اعلیٰ طبق"&amp;"ے پر گھر لے کر دوں گا ")</f>
        <v>امام نے پیغام میں بتایا ہے کہ ہمیں اللہ کا شکر ادا کرنا چاہیے کہ اس نے ہم پر اتنے احسانات کیے ہیں کہ اگر ہم ساری زندگی بھی اللہ کا شکر ادا کریں تو کم ہے اور نبی کریم صلی اللہ علیہ وسلم نے فرمایا حق سچ کی بات کرو جھوٹ نہ بولو تو میں تمہیں جنت میں اعلیٰ طبقے پر گھر لے کر دوں گا </v>
      </c>
      <c r="X463" s="10">
        <f>IFERROR(__xludf.DUMMYFUNCTION("""COMPUTED_VALUE"""),6.0)</f>
        <v>6</v>
      </c>
      <c r="Y463" s="10">
        <f>IFERROR(__xludf.DUMMYFUNCTION("""COMPUTED_VALUE"""),4.0)</f>
        <v>4</v>
      </c>
      <c r="Z463" s="10">
        <f>IFERROR(__xludf.DUMMYFUNCTION("""COMPUTED_VALUE"""),6.0)</f>
        <v>6</v>
      </c>
      <c r="AA463" s="10">
        <f>IFERROR(__xludf.DUMMYFUNCTION("""COMPUTED_VALUE"""),5.0)</f>
        <v>5</v>
      </c>
      <c r="AB463" s="10">
        <f>IFERROR(__xludf.DUMMYFUNCTION("""COMPUTED_VALUE"""),0.0)</f>
        <v>0</v>
      </c>
      <c r="AC463" s="10">
        <f>IFERROR(__xludf.DUMMYFUNCTION("""COMPUTED_VALUE"""),0.0)</f>
        <v>0</v>
      </c>
      <c r="AD463" s="10">
        <f>IFERROR(__xludf.DUMMYFUNCTION("""COMPUTED_VALUE"""),2.0)</f>
        <v>2</v>
      </c>
      <c r="AE463" s="10">
        <f>IFERROR(__xludf.DUMMYFUNCTION("""COMPUTED_VALUE"""),0.0)</f>
        <v>0</v>
      </c>
      <c r="AF463" s="10">
        <f>IFERROR(__xludf.DUMMYFUNCTION("""COMPUTED_VALUE"""),0.0)</f>
        <v>0</v>
      </c>
      <c r="AG463" s="10">
        <f>IFERROR(__xludf.DUMMYFUNCTION("""COMPUTED_VALUE"""),8.0)</f>
        <v>8</v>
      </c>
      <c r="AH463" s="10">
        <f>IFERROR(__xludf.DUMMYFUNCTION("""COMPUTED_VALUE"""),0.0)</f>
        <v>0</v>
      </c>
      <c r="AI463" s="10">
        <f>IFERROR(__xludf.DUMMYFUNCTION("""COMPUTED_VALUE"""),8.0)</f>
        <v>8</v>
      </c>
      <c r="AJ463" s="11" t="str">
        <f>IFERROR(__xludf.DUMMYFUNCTION("""COMPUTED_VALUE"""),"https://drive.google.com/open?id=1Fm2ZmyXTBR0QCJZOErIRYZjOSIS2uKiIzlyBt7LM0ww")</f>
        <v>https://drive.google.com/open?id=1Fm2ZmyXTBR0QCJZOErIRYZjOSIS2uKiIzlyBt7LM0ww</v>
      </c>
      <c r="AK463" s="12" t="str">
        <f>IFERROR(__xludf.DUMMYFUNCTION("""COMPUTED_VALUE"""),"No ")</f>
        <v>No </v>
      </c>
      <c r="AL463" s="12" t="str">
        <f>IFERROR(__xludf.DUMMYFUNCTION("""COMPUTED_VALUE"""),"No")</f>
        <v>No</v>
      </c>
      <c r="AM463" s="15">
        <f>IFERROR(__xludf.DUMMYFUNCTION("""COMPUTED_VALUE"""),0.0)</f>
        <v>0</v>
      </c>
      <c r="AN463" s="12" t="str">
        <f>IFERROR(__xludf.DUMMYFUNCTION("""COMPUTED_VALUE"""),"1st week")</f>
        <v>1st week</v>
      </c>
      <c r="AO463" s="13">
        <v>1.0</v>
      </c>
      <c r="AX463" s="17"/>
    </row>
    <row r="464">
      <c r="B464" s="9">
        <f>IFERROR(__xludf.DUMMYFUNCTION("""COMPUTED_VALUE"""),45887.66754758102)</f>
        <v>45887.66755</v>
      </c>
      <c r="C464" s="10" t="str">
        <f>IFERROR(__xludf.DUMMYFUNCTION("""COMPUTED_VALUE"""),"Sidra ")</f>
        <v>Sidra </v>
      </c>
      <c r="D464" s="10" t="str">
        <f>IFERROR(__xludf.DUMMYFUNCTION("""COMPUTED_VALUE"""),"03261416280")</f>
        <v>03261416280</v>
      </c>
      <c r="E464" s="10" t="str">
        <f>IFERROR(__xludf.DUMMYFUNCTION("""COMPUTED_VALUE"""),"Jamia Masjid Sadiq Akbar High School Ahumdpur")</f>
        <v>Jamia Masjid Sadiq Akbar High School Ahumdpur</v>
      </c>
      <c r="F464" s="10" t="str">
        <f>IFERROR(__xludf.DUMMYFUNCTION("""COMPUTED_VALUE"""),"vewig")</f>
        <v>vewig</v>
      </c>
      <c r="G464" s="10" t="str">
        <f>IFERROR(__xludf.DUMMYFUNCTION("""COMPUTED_VALUE"""),"Yes")</f>
        <v>Yes</v>
      </c>
      <c r="H464" s="10">
        <f>IFERROR(__xludf.DUMMYFUNCTION("""COMPUTED_VALUE"""),9.0)</f>
        <v>9</v>
      </c>
      <c r="I464" s="10">
        <f>IFERROR(__xludf.DUMMYFUNCTION("""COMPUTED_VALUE"""),2.0)</f>
        <v>2</v>
      </c>
      <c r="J464" s="10">
        <f>IFERROR(__xludf.DUMMYFUNCTION("""COMPUTED_VALUE"""),9.0)</f>
        <v>9</v>
      </c>
      <c r="K464" s="10">
        <f>IFERROR(__xludf.DUMMYFUNCTION("""COMPUTED_VALUE"""),0.0)</f>
        <v>0</v>
      </c>
      <c r="L464" s="10">
        <f>IFERROR(__xludf.DUMMYFUNCTION("""COMPUTED_VALUE"""),9.0)</f>
        <v>9</v>
      </c>
      <c r="M464" s="10">
        <f>IFERROR(__xludf.DUMMYFUNCTION("""COMPUTED_VALUE"""),0.0)</f>
        <v>0</v>
      </c>
      <c r="N464" s="10">
        <f>IFERROR(__xludf.DUMMYFUNCTION("""COMPUTED_VALUE"""),6.0)</f>
        <v>6</v>
      </c>
      <c r="O464" s="10">
        <f>IFERROR(__xludf.DUMMYFUNCTION("""COMPUTED_VALUE"""),0.0)</f>
        <v>0</v>
      </c>
      <c r="P464" s="10">
        <f>IFERROR(__xludf.DUMMYFUNCTION("""COMPUTED_VALUE"""),4.0)</f>
        <v>4</v>
      </c>
      <c r="Q464" s="10" t="str">
        <f>IFERROR(__xludf.DUMMYFUNCTION("""COMPUTED_VALUE"""),"No")</f>
        <v>No</v>
      </c>
      <c r="R464" s="10" t="str">
        <f>IFERROR(__xludf.DUMMYFUNCTION("""COMPUTED_VALUE"""),"No")</f>
        <v>No</v>
      </c>
      <c r="S464" s="10" t="str">
        <f>IFERROR(__xludf.DUMMYFUNCTION("""COMPUTED_VALUE"""),"No")</f>
        <v>No</v>
      </c>
      <c r="T464" s="10">
        <f>IFERROR(__xludf.DUMMYFUNCTION("""COMPUTED_VALUE"""),0.0)</f>
        <v>0</v>
      </c>
      <c r="U464" s="10">
        <f>IFERROR(__xludf.DUMMYFUNCTION("""COMPUTED_VALUE"""),0.0)</f>
        <v>0</v>
      </c>
      <c r="V464" s="10" t="str">
        <f>IFERROR(__xludf.DUMMYFUNCTION("""COMPUTED_VALUE"""),"پڑوس اور اہل محلہ کے حقوق ")</f>
        <v>پڑوس اور اہل محلہ کے حقوق </v>
      </c>
      <c r="W464" s="10" t="str">
        <f>IFERROR(__xludf.DUMMYFUNCTION("""COMPUTED_VALUE"""),"امام نے بیان میں بتایا ہے کہ ہمیں پڑوسیوں کے ساتھ حسن سلوک سے پیش آنا چاہیے ان کی مدد کرنی چاہیے ان کو تکلیف نہیں دینی چاہیے اور اپنے معاشرے محلے کو بھی اسی طرح صاف رکھیں جس طرح اپنے گھر کو صاف رکھتے ہیں ")</f>
        <v>امام نے بیان میں بتایا ہے کہ ہمیں پڑوسیوں کے ساتھ حسن سلوک سے پیش آنا چاہیے ان کی مدد کرنی چاہیے ان کو تکلیف نہیں دینی چاہیے اور اپنے معاشرے محلے کو بھی اسی طرح صاف رکھیں جس طرح اپنے گھر کو صاف رکھتے ہیں </v>
      </c>
      <c r="X464" s="10">
        <f>IFERROR(__xludf.DUMMYFUNCTION("""COMPUTED_VALUE"""),4.0)</f>
        <v>4</v>
      </c>
      <c r="Y464" s="10">
        <f>IFERROR(__xludf.DUMMYFUNCTION("""COMPUTED_VALUE"""),3.0)</f>
        <v>3</v>
      </c>
      <c r="Z464" s="10">
        <f>IFERROR(__xludf.DUMMYFUNCTION("""COMPUTED_VALUE"""),7.0)</f>
        <v>7</v>
      </c>
      <c r="AA464" s="10">
        <f>IFERROR(__xludf.DUMMYFUNCTION("""COMPUTED_VALUE"""),3.0)</f>
        <v>3</v>
      </c>
      <c r="AB464" s="10">
        <f>IFERROR(__xludf.DUMMYFUNCTION("""COMPUTED_VALUE"""),0.0)</f>
        <v>0</v>
      </c>
      <c r="AC464" s="10">
        <f>IFERROR(__xludf.DUMMYFUNCTION("""COMPUTED_VALUE"""),0.0)</f>
        <v>0</v>
      </c>
      <c r="AD464" s="10">
        <f>IFERROR(__xludf.DUMMYFUNCTION("""COMPUTED_VALUE"""),0.0)</f>
        <v>0</v>
      </c>
      <c r="AE464" s="10">
        <f>IFERROR(__xludf.DUMMYFUNCTION("""COMPUTED_VALUE"""),0.0)</f>
        <v>0</v>
      </c>
      <c r="AF464" s="10">
        <f>IFERROR(__xludf.DUMMYFUNCTION("""COMPUTED_VALUE"""),0.0)</f>
        <v>0</v>
      </c>
      <c r="AG464" s="10">
        <f>IFERROR(__xludf.DUMMYFUNCTION("""COMPUTED_VALUE"""),8.0)</f>
        <v>8</v>
      </c>
      <c r="AH464" s="10">
        <f>IFERROR(__xludf.DUMMYFUNCTION("""COMPUTED_VALUE"""),0.0)</f>
        <v>0</v>
      </c>
      <c r="AI464" s="10">
        <f>IFERROR(__xludf.DUMMYFUNCTION("""COMPUTED_VALUE"""),9.0)</f>
        <v>9</v>
      </c>
      <c r="AJ464" s="11" t="str">
        <f>IFERROR(__xludf.DUMMYFUNCTION("""COMPUTED_VALUE"""),"https://drive.google.com/open?id=1DvIWm3eovYeY6rGQg31HVlR7rY7ICe6iIYW2R87Pibk")</f>
        <v>https://drive.google.com/open?id=1DvIWm3eovYeY6rGQg31HVlR7rY7ICe6iIYW2R87Pibk</v>
      </c>
      <c r="AK464" s="12" t="str">
        <f>IFERROR(__xludf.DUMMYFUNCTION("""COMPUTED_VALUE"""),"No ")</f>
        <v>No </v>
      </c>
      <c r="AL464" s="12" t="str">
        <f>IFERROR(__xludf.DUMMYFUNCTION("""COMPUTED_VALUE"""),"Yes")</f>
        <v>Yes</v>
      </c>
      <c r="AM464" s="15">
        <f>IFERROR(__xludf.DUMMYFUNCTION("""COMPUTED_VALUE"""),0.9)</f>
        <v>0.9</v>
      </c>
      <c r="AN464" s="12" t="str">
        <f>IFERROR(__xludf.DUMMYFUNCTION("""COMPUTED_VALUE"""),"2nd week")</f>
        <v>2nd week</v>
      </c>
      <c r="AO464" s="13">
        <v>2.0</v>
      </c>
      <c r="AX464" s="17"/>
    </row>
    <row r="465">
      <c r="B465" s="9">
        <f>IFERROR(__xludf.DUMMYFUNCTION("""COMPUTED_VALUE"""),45887.68898248843)</f>
        <v>45887.68898</v>
      </c>
      <c r="C465" s="10" t="str">
        <f>IFERROR(__xludf.DUMMYFUNCTION("""COMPUTED_VALUE"""),"Javeria Abbas ")</f>
        <v>Javeria Abbas </v>
      </c>
      <c r="D465" s="10" t="str">
        <f>IFERROR(__xludf.DUMMYFUNCTION("""COMPUTED_VALUE"""),"03211539026")</f>
        <v>03211539026</v>
      </c>
      <c r="E465" s="10" t="str">
        <f>IFERROR(__xludf.DUMMYFUNCTION("""COMPUTED_VALUE"""),"Jamia Masjid Jahnaaz Gha Multan")</f>
        <v>Jamia Masjid Jahnaaz Gha Multan</v>
      </c>
      <c r="F465" s="10" t="str">
        <f>IFERROR(__xludf.DUMMYFUNCTION("""COMPUTED_VALUE"""),"wpxts")</f>
        <v>wpxts</v>
      </c>
      <c r="G465" s="10" t="str">
        <f>IFERROR(__xludf.DUMMYFUNCTION("""COMPUTED_VALUE"""),"Yes")</f>
        <v>Yes</v>
      </c>
      <c r="H465" s="10">
        <f>IFERROR(__xludf.DUMMYFUNCTION("""COMPUTED_VALUE"""),0.0)</f>
        <v>0</v>
      </c>
      <c r="I465" s="10">
        <f>IFERROR(__xludf.DUMMYFUNCTION("""COMPUTED_VALUE"""),10.0)</f>
        <v>10</v>
      </c>
      <c r="J465" s="10">
        <f>IFERROR(__xludf.DUMMYFUNCTION("""COMPUTED_VALUE"""),0.0)</f>
        <v>0</v>
      </c>
      <c r="K465" s="10">
        <f>IFERROR(__xludf.DUMMYFUNCTION("""COMPUTED_VALUE"""),8.0)</f>
        <v>8</v>
      </c>
      <c r="L465" s="10">
        <f>IFERROR(__xludf.DUMMYFUNCTION("""COMPUTED_VALUE"""),0.0)</f>
        <v>0</v>
      </c>
      <c r="M465" s="10">
        <f>IFERROR(__xludf.DUMMYFUNCTION("""COMPUTED_VALUE"""),0.0)</f>
        <v>0</v>
      </c>
      <c r="N465" s="10">
        <f>IFERROR(__xludf.DUMMYFUNCTION("""COMPUTED_VALUE"""),0.0)</f>
        <v>0</v>
      </c>
      <c r="O465" s="10">
        <f>IFERROR(__xludf.DUMMYFUNCTION("""COMPUTED_VALUE"""),0.0)</f>
        <v>0</v>
      </c>
      <c r="P465" s="10">
        <f>IFERROR(__xludf.DUMMYFUNCTION("""COMPUTED_VALUE"""),0.0)</f>
        <v>0</v>
      </c>
      <c r="Q465" s="10" t="str">
        <f>IFERROR(__xludf.DUMMYFUNCTION("""COMPUTED_VALUE"""),"No")</f>
        <v>No</v>
      </c>
      <c r="R465" s="10" t="str">
        <f>IFERROR(__xludf.DUMMYFUNCTION("""COMPUTED_VALUE"""),"No")</f>
        <v>No</v>
      </c>
      <c r="S465" s="10" t="str">
        <f>IFERROR(__xludf.DUMMYFUNCTION("""COMPUTED_VALUE"""),"No")</f>
        <v>No</v>
      </c>
      <c r="T465" s="10">
        <f>IFERROR(__xludf.DUMMYFUNCTION("""COMPUTED_VALUE"""),0.0)</f>
        <v>0</v>
      </c>
      <c r="U465" s="10">
        <f>IFERROR(__xludf.DUMMYFUNCTION("""COMPUTED_VALUE"""),0.0)</f>
        <v>0</v>
      </c>
      <c r="V465" s="10" t="str">
        <f>IFERROR(__xludf.DUMMYFUNCTION("""COMPUTED_VALUE"""),"اسلام سے قبل عورتوں کے حالات ")</f>
        <v>اسلام سے قبل عورتوں کے حالات </v>
      </c>
      <c r="W465" s="10" t="str">
        <f>IFERROR(__xludf.DUMMYFUNCTION("""COMPUTED_VALUE"""),"عورتوں کو اسلام سے قبل زندہ درگور کیا جاتا تھا حضرت شیما کا واقع بیان کیا حضرت ام ہانی کا واقع بیان کیا اور اولیا اللہ پر بات کی اور انکے عرس کے بارے میں بات کی ۔")</f>
        <v>عورتوں کو اسلام سے قبل زندہ درگور کیا جاتا تھا حضرت شیما کا واقع بیان کیا حضرت ام ہانی کا واقع بیان کیا اور اولیا اللہ پر بات کی اور انکے عرس کے بارے میں بات کی ۔</v>
      </c>
      <c r="X465" s="10">
        <f>IFERROR(__xludf.DUMMYFUNCTION("""COMPUTED_VALUE"""),2.0)</f>
        <v>2</v>
      </c>
      <c r="Y465" s="10">
        <f>IFERROR(__xludf.DUMMYFUNCTION("""COMPUTED_VALUE"""),6.0)</f>
        <v>6</v>
      </c>
      <c r="Z465" s="10">
        <f>IFERROR(__xludf.DUMMYFUNCTION("""COMPUTED_VALUE"""),7.0)</f>
        <v>7</v>
      </c>
      <c r="AA465" s="10">
        <f>IFERROR(__xludf.DUMMYFUNCTION("""COMPUTED_VALUE"""),5.0)</f>
        <v>5</v>
      </c>
      <c r="AB465" s="10">
        <f>IFERROR(__xludf.DUMMYFUNCTION("""COMPUTED_VALUE"""),4.0)</f>
        <v>4</v>
      </c>
      <c r="AC465" s="10">
        <f>IFERROR(__xludf.DUMMYFUNCTION("""COMPUTED_VALUE"""),0.0)</f>
        <v>0</v>
      </c>
      <c r="AD465" s="10">
        <f>IFERROR(__xludf.DUMMYFUNCTION("""COMPUTED_VALUE"""),0.0)</f>
        <v>0</v>
      </c>
      <c r="AE465" s="10">
        <f>IFERROR(__xludf.DUMMYFUNCTION("""COMPUTED_VALUE"""),0.0)</f>
        <v>0</v>
      </c>
      <c r="AF465" s="10">
        <f>IFERROR(__xludf.DUMMYFUNCTION("""COMPUTED_VALUE"""),0.0)</f>
        <v>0</v>
      </c>
      <c r="AG465" s="10">
        <f>IFERROR(__xludf.DUMMYFUNCTION("""COMPUTED_VALUE"""),9.0)</f>
        <v>9</v>
      </c>
      <c r="AH465" s="10">
        <f>IFERROR(__xludf.DUMMYFUNCTION("""COMPUTED_VALUE"""),0.0)</f>
        <v>0</v>
      </c>
      <c r="AI465" s="10">
        <f>IFERROR(__xludf.DUMMYFUNCTION("""COMPUTED_VALUE"""),9.0)</f>
        <v>9</v>
      </c>
      <c r="AJ465" s="11" t="str">
        <f>IFERROR(__xludf.DUMMYFUNCTION("""COMPUTED_VALUE"""),"https://drive.google.com/open?id=1IRR9F2nyGz85q1wCpD8kLuOcsCdD0K3_ov3R1ZNSUy0")</f>
        <v>https://drive.google.com/open?id=1IRR9F2nyGz85q1wCpD8kLuOcsCdD0K3_ov3R1ZNSUy0</v>
      </c>
      <c r="AK465" s="12"/>
      <c r="AL465" s="12" t="str">
        <f>IFERROR(__xludf.DUMMYFUNCTION("""COMPUTED_VALUE"""),"Yes")</f>
        <v>Yes</v>
      </c>
      <c r="AM465" s="15">
        <f>IFERROR(__xludf.DUMMYFUNCTION("""COMPUTED_VALUE"""),0.0)</f>
        <v>0</v>
      </c>
      <c r="AN465" s="12" t="str">
        <f>IFERROR(__xludf.DUMMYFUNCTION("""COMPUTED_VALUE"""),"2nd week")</f>
        <v>2nd week</v>
      </c>
      <c r="AO465" s="13">
        <v>2.0</v>
      </c>
      <c r="AX465" s="17"/>
    </row>
    <row r="466">
      <c r="B466" s="9">
        <f>IFERROR(__xludf.DUMMYFUNCTION("""COMPUTED_VALUE"""),45887.697266863426)</f>
        <v>45887.69727</v>
      </c>
      <c r="C466" s="10" t="str">
        <f>IFERROR(__xludf.DUMMYFUNCTION("""COMPUTED_VALUE"""),"Javeria Abbas ")</f>
        <v>Javeria Abbas </v>
      </c>
      <c r="D466" s="10" t="str">
        <f>IFERROR(__xludf.DUMMYFUNCTION("""COMPUTED_VALUE"""),"03211539026")</f>
        <v>03211539026</v>
      </c>
      <c r="E466" s="10" t="str">
        <f>IFERROR(__xludf.DUMMYFUNCTION("""COMPUTED_VALUE"""),"Jamia Masjid Sheikh Muhammad Syed Wali Fareed Gate")</f>
        <v>Jamia Masjid Sheikh Muhammad Syed Wali Fareed Gate</v>
      </c>
      <c r="F466" s="10" t="str">
        <f>IFERROR(__xludf.DUMMYFUNCTION("""COMPUTED_VALUE"""),"PGOLJ")</f>
        <v>PGOLJ</v>
      </c>
      <c r="G466" s="10" t="str">
        <f>IFERROR(__xludf.DUMMYFUNCTION("""COMPUTED_VALUE"""),"Yes")</f>
        <v>Yes</v>
      </c>
      <c r="H466" s="10">
        <f>IFERROR(__xludf.DUMMYFUNCTION("""COMPUTED_VALUE"""),10.0)</f>
        <v>10</v>
      </c>
      <c r="I466" s="10">
        <f>IFERROR(__xludf.DUMMYFUNCTION("""COMPUTED_VALUE"""),0.0)</f>
        <v>0</v>
      </c>
      <c r="J466" s="10">
        <f>IFERROR(__xludf.DUMMYFUNCTION("""COMPUTED_VALUE"""),10.0)</f>
        <v>10</v>
      </c>
      <c r="K466" s="10">
        <f>IFERROR(__xludf.DUMMYFUNCTION("""COMPUTED_VALUE"""),10.0)</f>
        <v>10</v>
      </c>
      <c r="L466" s="10">
        <f>IFERROR(__xludf.DUMMYFUNCTION("""COMPUTED_VALUE"""),0.0)</f>
        <v>0</v>
      </c>
      <c r="M466" s="10">
        <f>IFERROR(__xludf.DUMMYFUNCTION("""COMPUTED_VALUE"""),10.0)</f>
        <v>10</v>
      </c>
      <c r="N466" s="10">
        <f>IFERROR(__xludf.DUMMYFUNCTION("""COMPUTED_VALUE"""),0.0)</f>
        <v>0</v>
      </c>
      <c r="O466" s="10">
        <f>IFERROR(__xludf.DUMMYFUNCTION("""COMPUTED_VALUE"""),7.0)</f>
        <v>7</v>
      </c>
      <c r="P466" s="10">
        <f>IFERROR(__xludf.DUMMYFUNCTION("""COMPUTED_VALUE"""),0.0)</f>
        <v>0</v>
      </c>
      <c r="Q466" s="10" t="str">
        <f>IFERROR(__xludf.DUMMYFUNCTION("""COMPUTED_VALUE"""),"Yes")</f>
        <v>Yes</v>
      </c>
      <c r="R466" s="10" t="str">
        <f>IFERROR(__xludf.DUMMYFUNCTION("""COMPUTED_VALUE"""),"No")</f>
        <v>No</v>
      </c>
      <c r="S466" s="10" t="str">
        <f>IFERROR(__xludf.DUMMYFUNCTION("""COMPUTED_VALUE"""),"Yes")</f>
        <v>Yes</v>
      </c>
      <c r="T466" s="10">
        <f>IFERROR(__xludf.DUMMYFUNCTION("""COMPUTED_VALUE"""),0.0)</f>
        <v>0</v>
      </c>
      <c r="U466" s="10">
        <f>IFERROR(__xludf.DUMMYFUNCTION("""COMPUTED_VALUE"""),0.0)</f>
        <v>0</v>
      </c>
      <c r="V466" s="10" t="str">
        <f>IFERROR(__xludf.DUMMYFUNCTION("""COMPUTED_VALUE"""),"اسلام میں عورت کا مقام کردار اور حق ")</f>
        <v>اسلام میں عورت کا مقام کردار اور حق </v>
      </c>
      <c r="W466" s="10" t="str">
        <f>IFERROR(__xludf.DUMMYFUNCTION("""COMPUTED_VALUE"""),"اسلام نے مردوں پر عورتوں کے ساتھ حسن سلوک سے پیش آنے کو واجب بنایا ہے اور عورت کی تعلیم کو فرض قرار دیا ہے۔")</f>
        <v>اسلام نے مردوں پر عورتوں کے ساتھ حسن سلوک سے پیش آنے کو واجب بنایا ہے اور عورت کی تعلیم کو فرض قرار دیا ہے۔</v>
      </c>
      <c r="X466" s="10">
        <f>IFERROR(__xludf.DUMMYFUNCTION("""COMPUTED_VALUE"""),0.0)</f>
        <v>0</v>
      </c>
      <c r="Y466" s="10">
        <f>IFERROR(__xludf.DUMMYFUNCTION("""COMPUTED_VALUE"""),2.0)</f>
        <v>2</v>
      </c>
      <c r="Z466" s="10">
        <f>IFERROR(__xludf.DUMMYFUNCTION("""COMPUTED_VALUE"""),6.0)</f>
        <v>6</v>
      </c>
      <c r="AA466" s="10">
        <f>IFERROR(__xludf.DUMMYFUNCTION("""COMPUTED_VALUE"""),7.0)</f>
        <v>7</v>
      </c>
      <c r="AB466" s="10">
        <f>IFERROR(__xludf.DUMMYFUNCTION("""COMPUTED_VALUE"""),4.0)</f>
        <v>4</v>
      </c>
      <c r="AC466" s="10">
        <f>IFERROR(__xludf.DUMMYFUNCTION("""COMPUTED_VALUE"""),0.0)</f>
        <v>0</v>
      </c>
      <c r="AD466" s="10">
        <f>IFERROR(__xludf.DUMMYFUNCTION("""COMPUTED_VALUE"""),4.0)</f>
        <v>4</v>
      </c>
      <c r="AE466" s="10">
        <f>IFERROR(__xludf.DUMMYFUNCTION("""COMPUTED_VALUE"""),0.0)</f>
        <v>0</v>
      </c>
      <c r="AF466" s="10">
        <f>IFERROR(__xludf.DUMMYFUNCTION("""COMPUTED_VALUE"""),0.0)</f>
        <v>0</v>
      </c>
      <c r="AG466" s="10">
        <f>IFERROR(__xludf.DUMMYFUNCTION("""COMPUTED_VALUE"""),10.0)</f>
        <v>10</v>
      </c>
      <c r="AH466" s="10">
        <f>IFERROR(__xludf.DUMMYFUNCTION("""COMPUTED_VALUE"""),0.0)</f>
        <v>0</v>
      </c>
      <c r="AI466" s="10">
        <f>IFERROR(__xludf.DUMMYFUNCTION("""COMPUTED_VALUE"""),10.0)</f>
        <v>10</v>
      </c>
      <c r="AJ466" s="11" t="str">
        <f>IFERROR(__xludf.DUMMYFUNCTION("""COMPUTED_VALUE"""),"https://drive.google.com/open?id=1NXxi1j3q2XjlnI6-1qCozh963kjyc9RJI5YIoicJFSw")</f>
        <v>https://drive.google.com/open?id=1NXxi1j3q2XjlnI6-1qCozh963kjyc9RJI5YIoicJFSw</v>
      </c>
      <c r="AK466" s="12"/>
      <c r="AL466" s="12" t="str">
        <f>IFERROR(__xludf.DUMMYFUNCTION("""COMPUTED_VALUE"""),"Yes")</f>
        <v>Yes</v>
      </c>
      <c r="AM466" s="15">
        <f>IFERROR(__xludf.DUMMYFUNCTION("""COMPUTED_VALUE"""),1.0)</f>
        <v>1</v>
      </c>
      <c r="AN466" s="12" t="str">
        <f>IFERROR(__xludf.DUMMYFUNCTION("""COMPUTED_VALUE"""),"1st week")</f>
        <v>1st week</v>
      </c>
      <c r="AO466" s="13">
        <v>1.0</v>
      </c>
      <c r="AX466" s="17"/>
    </row>
    <row r="467">
      <c r="B467" s="9">
        <f>IFERROR(__xludf.DUMMYFUNCTION("""COMPUTED_VALUE"""),45887.70463493056)</f>
        <v>45887.70463</v>
      </c>
      <c r="C467" s="10" t="str">
        <f>IFERROR(__xludf.DUMMYFUNCTION("""COMPUTED_VALUE"""),"Javeria Abbas ")</f>
        <v>Javeria Abbas </v>
      </c>
      <c r="D467" s="10" t="str">
        <f>IFERROR(__xludf.DUMMYFUNCTION("""COMPUTED_VALUE"""),"03211539026")</f>
        <v>03211539026</v>
      </c>
      <c r="E467" s="10" t="str">
        <f>IFERROR(__xludf.DUMMYFUNCTION("""COMPUTED_VALUE"""),"Jamia Masjid Naale Wali Lodhran")</f>
        <v>Jamia Masjid Naale Wali Lodhran</v>
      </c>
      <c r="F467" s="10" t="str">
        <f>IFERROR(__xludf.DUMMYFUNCTION("""COMPUTED_VALUE"""),"xdbpy")</f>
        <v>xdbpy</v>
      </c>
      <c r="G467" s="10" t="str">
        <f>IFERROR(__xludf.DUMMYFUNCTION("""COMPUTED_VALUE"""),"Yes")</f>
        <v>Yes</v>
      </c>
      <c r="H467" s="10">
        <f>IFERROR(__xludf.DUMMYFUNCTION("""COMPUTED_VALUE"""),0.0)</f>
        <v>0</v>
      </c>
      <c r="I467" s="10">
        <f>IFERROR(__xludf.DUMMYFUNCTION("""COMPUTED_VALUE"""),10.0)</f>
        <v>10</v>
      </c>
      <c r="J467" s="10">
        <f>IFERROR(__xludf.DUMMYFUNCTION("""COMPUTED_VALUE"""),0.0)</f>
        <v>0</v>
      </c>
      <c r="K467" s="10">
        <f>IFERROR(__xludf.DUMMYFUNCTION("""COMPUTED_VALUE"""),0.0)</f>
        <v>0</v>
      </c>
      <c r="L467" s="10">
        <f>IFERROR(__xludf.DUMMYFUNCTION("""COMPUTED_VALUE"""),0.0)</f>
        <v>0</v>
      </c>
      <c r="M467" s="10">
        <f>IFERROR(__xludf.DUMMYFUNCTION("""COMPUTED_VALUE"""),0.0)</f>
        <v>0</v>
      </c>
      <c r="N467" s="10">
        <f>IFERROR(__xludf.DUMMYFUNCTION("""COMPUTED_VALUE"""),0.0)</f>
        <v>0</v>
      </c>
      <c r="O467" s="10">
        <f>IFERROR(__xludf.DUMMYFUNCTION("""COMPUTED_VALUE"""),0.0)</f>
        <v>0</v>
      </c>
      <c r="P467" s="10">
        <f>IFERROR(__xludf.DUMMYFUNCTION("""COMPUTED_VALUE"""),0.0)</f>
        <v>0</v>
      </c>
      <c r="Q467" s="10" t="str">
        <f>IFERROR(__xludf.DUMMYFUNCTION("""COMPUTED_VALUE"""),"No")</f>
        <v>No</v>
      </c>
      <c r="R467" s="10" t="str">
        <f>IFERROR(__xludf.DUMMYFUNCTION("""COMPUTED_VALUE"""),"No")</f>
        <v>No</v>
      </c>
      <c r="S467" s="10" t="str">
        <f>IFERROR(__xludf.DUMMYFUNCTION("""COMPUTED_VALUE"""),"No")</f>
        <v>No</v>
      </c>
      <c r="T467" s="10">
        <f>IFERROR(__xludf.DUMMYFUNCTION("""COMPUTED_VALUE"""),0.0)</f>
        <v>0</v>
      </c>
      <c r="U467" s="10">
        <f>IFERROR(__xludf.DUMMYFUNCTION("""COMPUTED_VALUE"""),0.0)</f>
        <v>0</v>
      </c>
      <c r="V467" s="10" t="str">
        <f>IFERROR(__xludf.DUMMYFUNCTION("""COMPUTED_VALUE"""),"نبی کریم اور اہل بیت اطہار اور صحابہ کرام کی فضیلت ")</f>
        <v>نبی کریم اور اہل بیت اطہار اور صحابہ کرام کی فضیلت </v>
      </c>
      <c r="W467" s="10" t="str">
        <f>IFERROR(__xludf.DUMMYFUNCTION("""COMPUTED_VALUE"""),"نبی کریم نے کہا جو مجھ سے محبت کرتا اس پر فرض ہے علی سے محبت کرے اور میرے قرابت داروں سے بھی محبت کرے ، حسن اور حسین جنت کے شہزادے ہیں ۔ ")</f>
        <v>نبی کریم نے کہا جو مجھ سے محبت کرتا اس پر فرض ہے علی سے محبت کرے اور میرے قرابت داروں سے بھی محبت کرے ، حسن اور حسین جنت کے شہزادے ہیں ۔ </v>
      </c>
      <c r="X467" s="10">
        <f>IFERROR(__xludf.DUMMYFUNCTION("""COMPUTED_VALUE"""),4.0)</f>
        <v>4</v>
      </c>
      <c r="Y467" s="10">
        <f>IFERROR(__xludf.DUMMYFUNCTION("""COMPUTED_VALUE"""),0.0)</f>
        <v>0</v>
      </c>
      <c r="Z467" s="10">
        <f>IFERROR(__xludf.DUMMYFUNCTION("""COMPUTED_VALUE"""),4.0)</f>
        <v>4</v>
      </c>
      <c r="AA467" s="10">
        <f>IFERROR(__xludf.DUMMYFUNCTION("""COMPUTED_VALUE"""),7.0)</f>
        <v>7</v>
      </c>
      <c r="AB467" s="10">
        <f>IFERROR(__xludf.DUMMYFUNCTION("""COMPUTED_VALUE"""),5.0)</f>
        <v>5</v>
      </c>
      <c r="AC467" s="10">
        <f>IFERROR(__xludf.DUMMYFUNCTION("""COMPUTED_VALUE"""),0.0)</f>
        <v>0</v>
      </c>
      <c r="AD467" s="10">
        <f>IFERROR(__xludf.DUMMYFUNCTION("""COMPUTED_VALUE"""),0.0)</f>
        <v>0</v>
      </c>
      <c r="AE467" s="10">
        <f>IFERROR(__xludf.DUMMYFUNCTION("""COMPUTED_VALUE"""),0.0)</f>
        <v>0</v>
      </c>
      <c r="AF467" s="10">
        <f>IFERROR(__xludf.DUMMYFUNCTION("""COMPUTED_VALUE"""),0.0)</f>
        <v>0</v>
      </c>
      <c r="AG467" s="10">
        <f>IFERROR(__xludf.DUMMYFUNCTION("""COMPUTED_VALUE"""),8.0)</f>
        <v>8</v>
      </c>
      <c r="AH467" s="10">
        <f>IFERROR(__xludf.DUMMYFUNCTION("""COMPUTED_VALUE"""),0.0)</f>
        <v>0</v>
      </c>
      <c r="AI467" s="10">
        <f>IFERROR(__xludf.DUMMYFUNCTION("""COMPUTED_VALUE"""),8.0)</f>
        <v>8</v>
      </c>
      <c r="AJ467" s="11" t="str">
        <f>IFERROR(__xludf.DUMMYFUNCTION("""COMPUTED_VALUE"""),"https://drive.google.com/open?id=1KZ282OQ3ZJVm_9eVSAFLg-hveU7LTV0Crq_jMi0QwGw")</f>
        <v>https://drive.google.com/open?id=1KZ282OQ3ZJVm_9eVSAFLg-hveU7LTV0Crq_jMi0QwGw</v>
      </c>
      <c r="AK467" s="12"/>
      <c r="AL467" s="12" t="str">
        <f>IFERROR(__xludf.DUMMYFUNCTION("""COMPUTED_VALUE"""),"Yes")</f>
        <v>Yes</v>
      </c>
      <c r="AM467" s="15">
        <f>IFERROR(__xludf.DUMMYFUNCTION("""COMPUTED_VALUE"""),0.0)</f>
        <v>0</v>
      </c>
      <c r="AN467" s="12" t="str">
        <f>IFERROR(__xludf.DUMMYFUNCTION("""COMPUTED_VALUE"""),"1st week")</f>
        <v>1st week</v>
      </c>
      <c r="AO467" s="13">
        <v>1.0</v>
      </c>
      <c r="AX467" s="17"/>
    </row>
    <row r="468">
      <c r="B468" s="9">
        <f>IFERROR(__xludf.DUMMYFUNCTION("""COMPUTED_VALUE"""),45887.71107913194)</f>
        <v>45887.71108</v>
      </c>
      <c r="C468" s="10" t="str">
        <f>IFERROR(__xludf.DUMMYFUNCTION("""COMPUTED_VALUE"""),"Javeria Abbas ")</f>
        <v>Javeria Abbas </v>
      </c>
      <c r="D468" s="10" t="str">
        <f>IFERROR(__xludf.DUMMYFUNCTION("""COMPUTED_VALUE"""),"03211539026")</f>
        <v>03211539026</v>
      </c>
      <c r="E468" s="10" t="str">
        <f>IFERROR(__xludf.DUMMYFUNCTION("""COMPUTED_VALUE"""),"Jamia Masjid Anayat Walayat Multan")</f>
        <v>Jamia Masjid Anayat Walayat Multan</v>
      </c>
      <c r="F468" s="10" t="str">
        <f>IFERROR(__xludf.DUMMYFUNCTION("""COMPUTED_VALUE"""),"meepx")</f>
        <v>meepx</v>
      </c>
      <c r="G468" s="10" t="str">
        <f>IFERROR(__xludf.DUMMYFUNCTION("""COMPUTED_VALUE"""),"Yes")</f>
        <v>Yes</v>
      </c>
      <c r="H468" s="10">
        <f>IFERROR(__xludf.DUMMYFUNCTION("""COMPUTED_VALUE"""),0.0)</f>
        <v>0</v>
      </c>
      <c r="I468" s="10">
        <f>IFERROR(__xludf.DUMMYFUNCTION("""COMPUTED_VALUE"""),10.0)</f>
        <v>10</v>
      </c>
      <c r="J468" s="10">
        <f>IFERROR(__xludf.DUMMYFUNCTION("""COMPUTED_VALUE"""),0.0)</f>
        <v>0</v>
      </c>
      <c r="K468" s="10">
        <f>IFERROR(__xludf.DUMMYFUNCTION("""COMPUTED_VALUE"""),0.0)</f>
        <v>0</v>
      </c>
      <c r="L468" s="10">
        <f>IFERROR(__xludf.DUMMYFUNCTION("""COMPUTED_VALUE"""),0.0)</f>
        <v>0</v>
      </c>
      <c r="M468" s="10">
        <f>IFERROR(__xludf.DUMMYFUNCTION("""COMPUTED_VALUE"""),0.0)</f>
        <v>0</v>
      </c>
      <c r="N468" s="10">
        <f>IFERROR(__xludf.DUMMYFUNCTION("""COMPUTED_VALUE"""),0.0)</f>
        <v>0</v>
      </c>
      <c r="O468" s="10">
        <f>IFERROR(__xludf.DUMMYFUNCTION("""COMPUTED_VALUE"""),0.0)</f>
        <v>0</v>
      </c>
      <c r="P468" s="10">
        <f>IFERROR(__xludf.DUMMYFUNCTION("""COMPUTED_VALUE"""),0.0)</f>
        <v>0</v>
      </c>
      <c r="Q468" s="10" t="str">
        <f>IFERROR(__xludf.DUMMYFUNCTION("""COMPUTED_VALUE"""),"No")</f>
        <v>No</v>
      </c>
      <c r="R468" s="10" t="str">
        <f>IFERROR(__xludf.DUMMYFUNCTION("""COMPUTED_VALUE"""),"No")</f>
        <v>No</v>
      </c>
      <c r="S468" s="10" t="str">
        <f>IFERROR(__xludf.DUMMYFUNCTION("""COMPUTED_VALUE"""),"No")</f>
        <v>No</v>
      </c>
      <c r="T468" s="10">
        <f>IFERROR(__xludf.DUMMYFUNCTION("""COMPUTED_VALUE"""),0.0)</f>
        <v>0</v>
      </c>
      <c r="U468" s="10">
        <f>IFERROR(__xludf.DUMMYFUNCTION("""COMPUTED_VALUE"""),0.0)</f>
        <v>0</v>
      </c>
      <c r="V468" s="10" t="str">
        <f>IFERROR(__xludf.DUMMYFUNCTION("""COMPUTED_VALUE"""),"نا اہل حکمران یا نا اہل آئیڈیل ")</f>
        <v>نا اہل حکمران یا نا اہل آئیڈیل </v>
      </c>
      <c r="W468" s="10" t="str">
        <f>IFERROR(__xludf.DUMMYFUNCTION("""COMPUTED_VALUE"""),"کوئی بھی راہنما سے صرف پیسے کیلئے نہ جڑے کہ وہ آپکو بچائے گا لیکن یہ صرف دنیا تک ہی ہے آخرت میں تو تمہارا ٹھکانہ دوزخ ہے ۔ ")</f>
        <v>کوئی بھی راہنما سے صرف پیسے کیلئے نہ جڑے کہ وہ آپکو بچائے گا لیکن یہ صرف دنیا تک ہی ہے آخرت میں تو تمہارا ٹھکانہ دوزخ ہے ۔ </v>
      </c>
      <c r="X468" s="10">
        <f>IFERROR(__xludf.DUMMYFUNCTION("""COMPUTED_VALUE"""),2.0)</f>
        <v>2</v>
      </c>
      <c r="Y468" s="10">
        <f>IFERROR(__xludf.DUMMYFUNCTION("""COMPUTED_VALUE"""),0.0)</f>
        <v>0</v>
      </c>
      <c r="Z468" s="10">
        <f>IFERROR(__xludf.DUMMYFUNCTION("""COMPUTED_VALUE"""),7.0)</f>
        <v>7</v>
      </c>
      <c r="AA468" s="10">
        <f>IFERROR(__xludf.DUMMYFUNCTION("""COMPUTED_VALUE"""),8.0)</f>
        <v>8</v>
      </c>
      <c r="AB468" s="10">
        <f>IFERROR(__xludf.DUMMYFUNCTION("""COMPUTED_VALUE"""),1.0)</f>
        <v>1</v>
      </c>
      <c r="AC468" s="10">
        <f>IFERROR(__xludf.DUMMYFUNCTION("""COMPUTED_VALUE"""),5.0)</f>
        <v>5</v>
      </c>
      <c r="AD468" s="10">
        <f>IFERROR(__xludf.DUMMYFUNCTION("""COMPUTED_VALUE"""),4.0)</f>
        <v>4</v>
      </c>
      <c r="AE468" s="10">
        <f>IFERROR(__xludf.DUMMYFUNCTION("""COMPUTED_VALUE"""),0.0)</f>
        <v>0</v>
      </c>
      <c r="AF468" s="10">
        <f>IFERROR(__xludf.DUMMYFUNCTION("""COMPUTED_VALUE"""),0.0)</f>
        <v>0</v>
      </c>
      <c r="AG468" s="10">
        <f>IFERROR(__xludf.DUMMYFUNCTION("""COMPUTED_VALUE"""),8.0)</f>
        <v>8</v>
      </c>
      <c r="AH468" s="10">
        <f>IFERROR(__xludf.DUMMYFUNCTION("""COMPUTED_VALUE"""),0.0)</f>
        <v>0</v>
      </c>
      <c r="AI468" s="10">
        <f>IFERROR(__xludf.DUMMYFUNCTION("""COMPUTED_VALUE"""),8.0)</f>
        <v>8</v>
      </c>
      <c r="AJ468" s="11" t="str">
        <f>IFERROR(__xludf.DUMMYFUNCTION("""COMPUTED_VALUE"""),"https://drive.google.com/open?id=10YOJTuqyiZnhf26J9uUTedEINvFM20oCiFF_rKprSbE")</f>
        <v>https://drive.google.com/open?id=10YOJTuqyiZnhf26J9uUTedEINvFM20oCiFF_rKprSbE</v>
      </c>
      <c r="AK468" s="12"/>
      <c r="AL468" s="12" t="str">
        <f>IFERROR(__xludf.DUMMYFUNCTION("""COMPUTED_VALUE"""),"Yes")</f>
        <v>Yes</v>
      </c>
      <c r="AM468" s="15">
        <f>IFERROR(__xludf.DUMMYFUNCTION("""COMPUTED_VALUE"""),0.0)</f>
        <v>0</v>
      </c>
      <c r="AN468" s="12" t="str">
        <f>IFERROR(__xludf.DUMMYFUNCTION("""COMPUTED_VALUE"""),"1st week")</f>
        <v>1st week</v>
      </c>
      <c r="AO468" s="13">
        <v>1.0</v>
      </c>
      <c r="AX468" s="17"/>
    </row>
    <row r="469">
      <c r="B469" s="9">
        <f>IFERROR(__xludf.DUMMYFUNCTION("""COMPUTED_VALUE"""),45887.803014791665)</f>
        <v>45887.80301</v>
      </c>
      <c r="C469" s="10" t="str">
        <f>IFERROR(__xludf.DUMMYFUNCTION("""COMPUTED_VALUE"""),"Saira Shahzad ")</f>
        <v>Saira Shahzad </v>
      </c>
      <c r="D469" s="10" t="str">
        <f>IFERROR(__xludf.DUMMYFUNCTION("""COMPUTED_VALUE"""),"03114534696")</f>
        <v>03114534696</v>
      </c>
      <c r="E469" s="10" t="str">
        <f>IFERROR(__xludf.DUMMYFUNCTION("""COMPUTED_VALUE"""),"Jamia Masjid Multan Cantt Multan")</f>
        <v>Jamia Masjid Multan Cantt Multan</v>
      </c>
      <c r="F469" s="10" t="str">
        <f>IFERROR(__xludf.DUMMYFUNCTION("""COMPUTED_VALUE"""),"sqnot")</f>
        <v>sqnot</v>
      </c>
      <c r="G469" s="10" t="str">
        <f>IFERROR(__xludf.DUMMYFUNCTION("""COMPUTED_VALUE"""),"No")</f>
        <v>No</v>
      </c>
      <c r="H469" s="10"/>
      <c r="I469" s="10"/>
      <c r="J469" s="10"/>
      <c r="K469" s="10">
        <f>IFERROR(__xludf.DUMMYFUNCTION("""COMPUTED_VALUE"""),1.0)</f>
        <v>1</v>
      </c>
      <c r="L469" s="10">
        <f>IFERROR(__xludf.DUMMYFUNCTION("""COMPUTED_VALUE"""),2.0)</f>
        <v>2</v>
      </c>
      <c r="M469" s="10">
        <f>IFERROR(__xludf.DUMMYFUNCTION("""COMPUTED_VALUE"""),1.0)</f>
        <v>1</v>
      </c>
      <c r="N469" s="10">
        <f>IFERROR(__xludf.DUMMYFUNCTION("""COMPUTED_VALUE"""),2.0)</f>
        <v>2</v>
      </c>
      <c r="O469" s="10">
        <f>IFERROR(__xludf.DUMMYFUNCTION("""COMPUTED_VALUE"""),0.0)</f>
        <v>0</v>
      </c>
      <c r="P469" s="10">
        <f>IFERROR(__xludf.DUMMYFUNCTION("""COMPUTED_VALUE"""),0.0)</f>
        <v>0</v>
      </c>
      <c r="Q469" s="10" t="str">
        <f>IFERROR(__xludf.DUMMYFUNCTION("""COMPUTED_VALUE"""),"No")</f>
        <v>No</v>
      </c>
      <c r="R469" s="10" t="str">
        <f>IFERROR(__xludf.DUMMYFUNCTION("""COMPUTED_VALUE"""),"No")</f>
        <v>No</v>
      </c>
      <c r="S469" s="10" t="str">
        <f>IFERROR(__xludf.DUMMYFUNCTION("""COMPUTED_VALUE"""),"No")</f>
        <v>No</v>
      </c>
      <c r="T469" s="10">
        <f>IFERROR(__xludf.DUMMYFUNCTION("""COMPUTED_VALUE"""),0.0)</f>
        <v>0</v>
      </c>
      <c r="U469" s="10">
        <f>IFERROR(__xludf.DUMMYFUNCTION("""COMPUTED_VALUE"""),0.0)</f>
        <v>0</v>
      </c>
      <c r="V469" s="10" t="str">
        <f>IFERROR(__xludf.DUMMYFUNCTION("""COMPUTED_VALUE"""),"دین اسلام اور اس کے ارکان")</f>
        <v>دین اسلام اور اس کے ارکان</v>
      </c>
      <c r="W469" s="10" t="str">
        <f>IFERROR(__xludf.DUMMYFUNCTION("""COMPUTED_VALUE"""),"امام نے اپنے بیان میں دین اسلام پر زور دیا ہے یہ کہاں ہے کہ دین ہی ہے جو دو انسانوں کو آپس میں جڑتا ہے اور  حقوق ہے اللہ اور حقوق العباد میں لاپرواہی نہیں کرنی چاہیے دین اسلام میں کسی کو برتری حاصل نہیں ہے اور اسلامی ارکان پر بات کی گئی")</f>
        <v>امام نے اپنے بیان میں دین اسلام پر زور دیا ہے یہ کہاں ہے کہ دین ہی ہے جو دو انسانوں کو آپس میں جڑتا ہے اور  حقوق ہے اللہ اور حقوق العباد میں لاپرواہی نہیں کرنی چاہیے دین اسلام میں کسی کو برتری حاصل نہیں ہے اور اسلامی ارکان پر بات کی گئی</v>
      </c>
      <c r="X469" s="10">
        <f>IFERROR(__xludf.DUMMYFUNCTION("""COMPUTED_VALUE"""),5.0)</f>
        <v>5</v>
      </c>
      <c r="Y469" s="10">
        <f>IFERROR(__xludf.DUMMYFUNCTION("""COMPUTED_VALUE"""),5.0)</f>
        <v>5</v>
      </c>
      <c r="Z469" s="10">
        <f>IFERROR(__xludf.DUMMYFUNCTION("""COMPUTED_VALUE"""),7.0)</f>
        <v>7</v>
      </c>
      <c r="AA469" s="10">
        <f>IFERROR(__xludf.DUMMYFUNCTION("""COMPUTED_VALUE"""),6.0)</f>
        <v>6</v>
      </c>
      <c r="AB469" s="10">
        <f>IFERROR(__xludf.DUMMYFUNCTION("""COMPUTED_VALUE"""),1.0)</f>
        <v>1</v>
      </c>
      <c r="AC469" s="10">
        <f>IFERROR(__xludf.DUMMYFUNCTION("""COMPUTED_VALUE"""),0.0)</f>
        <v>0</v>
      </c>
      <c r="AD469" s="10">
        <f>IFERROR(__xludf.DUMMYFUNCTION("""COMPUTED_VALUE"""),0.0)</f>
        <v>0</v>
      </c>
      <c r="AE469" s="10">
        <f>IFERROR(__xludf.DUMMYFUNCTION("""COMPUTED_VALUE"""),5.0)</f>
        <v>5</v>
      </c>
      <c r="AF469" s="10">
        <f>IFERROR(__xludf.DUMMYFUNCTION("""COMPUTED_VALUE"""),0.0)</f>
        <v>0</v>
      </c>
      <c r="AG469" s="10">
        <f>IFERROR(__xludf.DUMMYFUNCTION("""COMPUTED_VALUE"""),6.0)</f>
        <v>6</v>
      </c>
      <c r="AH469" s="10">
        <f>IFERROR(__xludf.DUMMYFUNCTION("""COMPUTED_VALUE"""),0.0)</f>
        <v>0</v>
      </c>
      <c r="AI469" s="10">
        <f>IFERROR(__xludf.DUMMYFUNCTION("""COMPUTED_VALUE"""),6.0)</f>
        <v>6</v>
      </c>
      <c r="AJ469" s="11" t="str">
        <f>IFERROR(__xludf.DUMMYFUNCTION("""COMPUTED_VALUE"""),"https://drive.google.com/open?id=19F5oJr2EJoe6h8iXgZm1iaUud2WOXC9Jny0fhZ1gY5A")</f>
        <v>https://drive.google.com/open?id=19F5oJr2EJoe6h8iXgZm1iaUud2WOXC9Jny0fhZ1gY5A</v>
      </c>
      <c r="AK469" s="12" t="str">
        <f>IFERROR(__xludf.DUMMYFUNCTION("""COMPUTED_VALUE"""),"No")</f>
        <v>No</v>
      </c>
      <c r="AL469" s="12"/>
      <c r="AM469" s="12"/>
      <c r="AN469" s="12" t="str">
        <f>IFERROR(__xludf.DUMMYFUNCTION("""COMPUTED_VALUE"""),"1st week")</f>
        <v>1st week</v>
      </c>
      <c r="AO469" s="13">
        <v>1.0</v>
      </c>
      <c r="AX469" s="17"/>
    </row>
    <row r="470">
      <c r="B470" s="9">
        <f>IFERROR(__xludf.DUMMYFUNCTION("""COMPUTED_VALUE"""),45887.84829984954)</f>
        <v>45887.8483</v>
      </c>
      <c r="C470" s="10" t="str">
        <f>IFERROR(__xludf.DUMMYFUNCTION("""COMPUTED_VALUE"""),"Javeria abbas")</f>
        <v>Javeria abbas</v>
      </c>
      <c r="D470" s="10" t="str">
        <f>IFERROR(__xludf.DUMMYFUNCTION("""COMPUTED_VALUE"""),"03211539026")</f>
        <v>03211539026</v>
      </c>
      <c r="E470" s="10" t="str">
        <f>IFERROR(__xludf.DUMMYFUNCTION("""COMPUTED_VALUE"""),"Jamia Masjid Jahnaaz Gha Multan")</f>
        <v>Jamia Masjid Jahnaaz Gha Multan</v>
      </c>
      <c r="F470" s="10" t="str">
        <f>IFERROR(__xludf.DUMMYFUNCTION("""COMPUTED_VALUE"""),"wpxts")</f>
        <v>wpxts</v>
      </c>
      <c r="G470" s="10" t="str">
        <f>IFERROR(__xludf.DUMMYFUNCTION("""COMPUTED_VALUE"""),"Yes")</f>
        <v>Yes</v>
      </c>
      <c r="H470" s="10">
        <f>IFERROR(__xludf.DUMMYFUNCTION("""COMPUTED_VALUE"""),0.0)</f>
        <v>0</v>
      </c>
      <c r="I470" s="10">
        <f>IFERROR(__xludf.DUMMYFUNCTION("""COMPUTED_VALUE"""),8.0)</f>
        <v>8</v>
      </c>
      <c r="J470" s="10">
        <f>IFERROR(__xludf.DUMMYFUNCTION("""COMPUTED_VALUE"""),10.0)</f>
        <v>10</v>
      </c>
      <c r="K470" s="10">
        <f>IFERROR(__xludf.DUMMYFUNCTION("""COMPUTED_VALUE"""),8.0)</f>
        <v>8</v>
      </c>
      <c r="L470" s="10">
        <f>IFERROR(__xludf.DUMMYFUNCTION("""COMPUTED_VALUE"""),0.0)</f>
        <v>0</v>
      </c>
      <c r="M470" s="10">
        <f>IFERROR(__xludf.DUMMYFUNCTION("""COMPUTED_VALUE"""),6.0)</f>
        <v>6</v>
      </c>
      <c r="N470" s="10">
        <f>IFERROR(__xludf.DUMMYFUNCTION("""COMPUTED_VALUE"""),0.0)</f>
        <v>0</v>
      </c>
      <c r="O470" s="10">
        <f>IFERROR(__xludf.DUMMYFUNCTION("""COMPUTED_VALUE"""),0.0)</f>
        <v>0</v>
      </c>
      <c r="P470" s="10">
        <f>IFERROR(__xludf.DUMMYFUNCTION("""COMPUTED_VALUE"""),0.0)</f>
        <v>0</v>
      </c>
      <c r="Q470" s="10" t="str">
        <f>IFERROR(__xludf.DUMMYFUNCTION("""COMPUTED_VALUE"""),"No")</f>
        <v>No</v>
      </c>
      <c r="R470" s="10" t="str">
        <f>IFERROR(__xludf.DUMMYFUNCTION("""COMPUTED_VALUE"""),"No")</f>
        <v>No</v>
      </c>
      <c r="S470" s="10" t="str">
        <f>IFERROR(__xludf.DUMMYFUNCTION("""COMPUTED_VALUE"""),"No")</f>
        <v>No</v>
      </c>
      <c r="T470" s="10">
        <f>IFERROR(__xludf.DUMMYFUNCTION("""COMPUTED_VALUE"""),0.0)</f>
        <v>0</v>
      </c>
      <c r="U470" s="10">
        <f>IFERROR(__xludf.DUMMYFUNCTION("""COMPUTED_VALUE"""),0.0)</f>
        <v>0</v>
      </c>
      <c r="V470" s="10" t="str">
        <f>IFERROR(__xludf.DUMMYFUNCTION("""COMPUTED_VALUE"""),"عورتوں کا مقام قبل از اسلام ")</f>
        <v>عورتوں کا مقام قبل از اسلام </v>
      </c>
      <c r="W470" s="10" t="str">
        <f>IFERROR(__xludf.DUMMYFUNCTION("""COMPUTED_VALUE"""),"اسلام سے پہلے عورتوں کو زندہ درگور کیا جاتا تھا عورت کو رنڈی کا مقام حاصل تھا ")</f>
        <v>اسلام سے پہلے عورتوں کو زندہ درگور کیا جاتا تھا عورت کو رنڈی کا مقام حاصل تھا </v>
      </c>
      <c r="X470" s="10">
        <f>IFERROR(__xludf.DUMMYFUNCTION("""COMPUTED_VALUE"""),0.0)</f>
        <v>0</v>
      </c>
      <c r="Y470" s="10">
        <f>IFERROR(__xludf.DUMMYFUNCTION("""COMPUTED_VALUE"""),5.0)</f>
        <v>5</v>
      </c>
      <c r="Z470" s="10">
        <f>IFERROR(__xludf.DUMMYFUNCTION("""COMPUTED_VALUE"""),4.0)</f>
        <v>4</v>
      </c>
      <c r="AA470" s="10">
        <f>IFERROR(__xludf.DUMMYFUNCTION("""COMPUTED_VALUE"""),6.0)</f>
        <v>6</v>
      </c>
      <c r="AB470" s="10">
        <f>IFERROR(__xludf.DUMMYFUNCTION("""COMPUTED_VALUE"""),7.0)</f>
        <v>7</v>
      </c>
      <c r="AC470" s="10">
        <f>IFERROR(__xludf.DUMMYFUNCTION("""COMPUTED_VALUE"""),0.0)</f>
        <v>0</v>
      </c>
      <c r="AD470" s="10">
        <f>IFERROR(__xludf.DUMMYFUNCTION("""COMPUTED_VALUE"""),0.0)</f>
        <v>0</v>
      </c>
      <c r="AE470" s="10">
        <f>IFERROR(__xludf.DUMMYFUNCTION("""COMPUTED_VALUE"""),0.0)</f>
        <v>0</v>
      </c>
      <c r="AF470" s="10">
        <f>IFERROR(__xludf.DUMMYFUNCTION("""COMPUTED_VALUE"""),0.0)</f>
        <v>0</v>
      </c>
      <c r="AG470" s="10">
        <f>IFERROR(__xludf.DUMMYFUNCTION("""COMPUTED_VALUE"""),8.0)</f>
        <v>8</v>
      </c>
      <c r="AH470" s="10">
        <f>IFERROR(__xludf.DUMMYFUNCTION("""COMPUTED_VALUE"""),0.0)</f>
        <v>0</v>
      </c>
      <c r="AI470" s="10">
        <f>IFERROR(__xludf.DUMMYFUNCTION("""COMPUTED_VALUE"""),9.0)</f>
        <v>9</v>
      </c>
      <c r="AJ470" s="11" t="str">
        <f>IFERROR(__xludf.DUMMYFUNCTION("""COMPUTED_VALUE"""),"https://drive.google.com/open?id=1gKRx__IBbE8zQHTtw_Cifju5JjfKKtGpi1totynkCK4")</f>
        <v>https://drive.google.com/open?id=1gKRx__IBbE8zQHTtw_Cifju5JjfKKtGpi1totynkCK4</v>
      </c>
      <c r="AK470" s="12" t="str">
        <f>IFERROR(__xludf.DUMMYFUNCTION("""COMPUTED_VALUE"""),"Voice clean nhi thi ")</f>
        <v>Voice clean nhi thi </v>
      </c>
      <c r="AL470" s="12" t="str">
        <f>IFERROR(__xludf.DUMMYFUNCTION("""COMPUTED_VALUE"""),"Yes")</f>
        <v>Yes</v>
      </c>
      <c r="AM470" s="15">
        <f>IFERROR(__xludf.DUMMYFUNCTION("""COMPUTED_VALUE"""),0.0)</f>
        <v>0</v>
      </c>
      <c r="AN470" s="12" t="str">
        <f>IFERROR(__xludf.DUMMYFUNCTION("""COMPUTED_VALUE"""),"1st week")</f>
        <v>1st week</v>
      </c>
      <c r="AO470" s="13">
        <v>1.0</v>
      </c>
      <c r="AX470" s="17"/>
    </row>
    <row r="471">
      <c r="B471" s="9">
        <f>IFERROR(__xludf.DUMMYFUNCTION("""COMPUTED_VALUE"""),45887.90436172453)</f>
        <v>45887.90436</v>
      </c>
      <c r="C471" s="10" t="str">
        <f>IFERROR(__xludf.DUMMYFUNCTION("""COMPUTED_VALUE"""),"ہاجرہ سلطان")</f>
        <v>ہاجرہ سلطان</v>
      </c>
      <c r="D471" s="10" t="str">
        <f>IFERROR(__xludf.DUMMYFUNCTION("""COMPUTED_VALUE"""),"03095163638")</f>
        <v>03095163638</v>
      </c>
      <c r="E471" s="10" t="str">
        <f>IFERROR(__xludf.DUMMYFUNCTION("""COMPUTED_VALUE"""),"Jamia Masjid Darbar Shamsher Shah Safri Layyah")</f>
        <v>Jamia Masjid Darbar Shamsher Shah Safri Layyah</v>
      </c>
      <c r="F471" s="10" t="str">
        <f>IFERROR(__xludf.DUMMYFUNCTION("""COMPUTED_VALUE"""),"ityep")</f>
        <v>ityep</v>
      </c>
      <c r="G471" s="10" t="str">
        <f>IFERROR(__xludf.DUMMYFUNCTION("""COMPUTED_VALUE"""),"Yes")</f>
        <v>Yes</v>
      </c>
      <c r="H471" s="10">
        <f>IFERROR(__xludf.DUMMYFUNCTION("""COMPUTED_VALUE"""),10.0)</f>
        <v>10</v>
      </c>
      <c r="I471" s="10">
        <f>IFERROR(__xludf.DUMMYFUNCTION("""COMPUTED_VALUE"""),2.0)</f>
        <v>2</v>
      </c>
      <c r="J471" s="10">
        <f>IFERROR(__xludf.DUMMYFUNCTION("""COMPUTED_VALUE"""),9.0)</f>
        <v>9</v>
      </c>
      <c r="K471" s="10">
        <f>IFERROR(__xludf.DUMMYFUNCTION("""COMPUTED_VALUE"""),8.0)</f>
        <v>8</v>
      </c>
      <c r="L471" s="10">
        <f>IFERROR(__xludf.DUMMYFUNCTION("""COMPUTED_VALUE"""),0.0)</f>
        <v>0</v>
      </c>
      <c r="M471" s="10">
        <f>IFERROR(__xludf.DUMMYFUNCTION("""COMPUTED_VALUE"""),10.0)</f>
        <v>10</v>
      </c>
      <c r="N471" s="10">
        <f>IFERROR(__xludf.DUMMYFUNCTION("""COMPUTED_VALUE"""),0.0)</f>
        <v>0</v>
      </c>
      <c r="O471" s="10">
        <f>IFERROR(__xludf.DUMMYFUNCTION("""COMPUTED_VALUE"""),9.0)</f>
        <v>9</v>
      </c>
      <c r="P471" s="10">
        <f>IFERROR(__xludf.DUMMYFUNCTION("""COMPUTED_VALUE"""),0.0)</f>
        <v>0</v>
      </c>
      <c r="Q471" s="10" t="str">
        <f>IFERROR(__xludf.DUMMYFUNCTION("""COMPUTED_VALUE"""),"Yes")</f>
        <v>Yes</v>
      </c>
      <c r="R471" s="10" t="str">
        <f>IFERROR(__xludf.DUMMYFUNCTION("""COMPUTED_VALUE"""),"No")</f>
        <v>No</v>
      </c>
      <c r="S471" s="10" t="str">
        <f>IFERROR(__xludf.DUMMYFUNCTION("""COMPUTED_VALUE"""),"Yes")</f>
        <v>Yes</v>
      </c>
      <c r="T471" s="10">
        <f>IFERROR(__xludf.DUMMYFUNCTION("""COMPUTED_VALUE"""),0.0)</f>
        <v>0</v>
      </c>
      <c r="U471" s="10">
        <f>IFERROR(__xludf.DUMMYFUNCTION("""COMPUTED_VALUE"""),0.0)</f>
        <v>0</v>
      </c>
      <c r="V471" s="10" t="str">
        <f>IFERROR(__xludf.DUMMYFUNCTION("""COMPUTED_VALUE"""),"عورت کا مقام اور اس کے حقوق")</f>
        <v>عورت کا مقام اور اس کے حقوق</v>
      </c>
      <c r="W471" s="10" t="str">
        <f>IFERROR(__xludf.DUMMYFUNCTION("""COMPUTED_VALUE"""),"عورت کا مقام اور اس کے حقوق")</f>
        <v>عورت کا مقام اور اس کے حقوق</v>
      </c>
      <c r="X471" s="10">
        <f>IFERROR(__xludf.DUMMYFUNCTION("""COMPUTED_VALUE"""),0.0)</f>
        <v>0</v>
      </c>
      <c r="Y471" s="10">
        <f>IFERROR(__xludf.DUMMYFUNCTION("""COMPUTED_VALUE"""),0.0)</f>
        <v>0</v>
      </c>
      <c r="Z471" s="10">
        <f>IFERROR(__xludf.DUMMYFUNCTION("""COMPUTED_VALUE"""),0.0)</f>
        <v>0</v>
      </c>
      <c r="AA471" s="10">
        <f>IFERROR(__xludf.DUMMYFUNCTION("""COMPUTED_VALUE"""),0.0)</f>
        <v>0</v>
      </c>
      <c r="AB471" s="10">
        <f>IFERROR(__xludf.DUMMYFUNCTION("""COMPUTED_VALUE"""),0.0)</f>
        <v>0</v>
      </c>
      <c r="AC471" s="10">
        <f>IFERROR(__xludf.DUMMYFUNCTION("""COMPUTED_VALUE"""),0.0)</f>
        <v>0</v>
      </c>
      <c r="AD471" s="10">
        <f>IFERROR(__xludf.DUMMYFUNCTION("""COMPUTED_VALUE"""),0.0)</f>
        <v>0</v>
      </c>
      <c r="AE471" s="10">
        <f>IFERROR(__xludf.DUMMYFUNCTION("""COMPUTED_VALUE"""),0.0)</f>
        <v>0</v>
      </c>
      <c r="AF471" s="10">
        <f>IFERROR(__xludf.DUMMYFUNCTION("""COMPUTED_VALUE"""),6.0)</f>
        <v>6</v>
      </c>
      <c r="AG471" s="10">
        <f>IFERROR(__xludf.DUMMYFUNCTION("""COMPUTED_VALUE"""),9.0)</f>
        <v>9</v>
      </c>
      <c r="AH471" s="10">
        <f>IFERROR(__xludf.DUMMYFUNCTION("""COMPUTED_VALUE"""),0.0)</f>
        <v>0</v>
      </c>
      <c r="AI471" s="10">
        <f>IFERROR(__xludf.DUMMYFUNCTION("""COMPUTED_VALUE"""),10.0)</f>
        <v>10</v>
      </c>
      <c r="AJ471" s="11" t="str">
        <f>IFERROR(__xludf.DUMMYFUNCTION("""COMPUTED_VALUE"""),"https://drive.google.com/open?id=1CNFgHiuvvHNtIB6MHqsksCsA4aPxjkfp")</f>
        <v>https://drive.google.com/open?id=1CNFgHiuvvHNtIB6MHqsksCsA4aPxjkfp</v>
      </c>
      <c r="AK471" s="12"/>
      <c r="AL471" s="12" t="str">
        <f>IFERROR(__xludf.DUMMYFUNCTION("""COMPUTED_VALUE"""),"Yes")</f>
        <v>Yes</v>
      </c>
      <c r="AM471" s="15">
        <f>IFERROR(__xludf.DUMMYFUNCTION("""COMPUTED_VALUE"""),1.0)</f>
        <v>1</v>
      </c>
      <c r="AN471" s="12" t="str">
        <f>IFERROR(__xludf.DUMMYFUNCTION("""COMPUTED_VALUE"""),"1st week")</f>
        <v>1st week</v>
      </c>
      <c r="AO471" s="13">
        <v>1.0</v>
      </c>
      <c r="AX471" s="17"/>
    </row>
    <row r="472">
      <c r="B472" s="9">
        <f>IFERROR(__xludf.DUMMYFUNCTION("""COMPUTED_VALUE"""),45887.913115821764)</f>
        <v>45887.91312</v>
      </c>
      <c r="C472" s="10" t="str">
        <f>IFERROR(__xludf.DUMMYFUNCTION("""COMPUTED_VALUE"""),"Sidra ")</f>
        <v>Sidra </v>
      </c>
      <c r="D472" s="10" t="str">
        <f>IFERROR(__xludf.DUMMYFUNCTION("""COMPUTED_VALUE"""),"03261416280")</f>
        <v>03261416280</v>
      </c>
      <c r="E472" s="10" t="str">
        <f>IFERROR(__xludf.DUMMYFUNCTION("""COMPUTED_VALUE"""),"Jamia Masjid Zain Ul Abdain Multan")</f>
        <v>Jamia Masjid Zain Ul Abdain Multan</v>
      </c>
      <c r="F472" s="10" t="str">
        <f>IFERROR(__xludf.DUMMYFUNCTION("""COMPUTED_VALUE"""),"Ctopi")</f>
        <v>Ctopi</v>
      </c>
      <c r="G472" s="10" t="str">
        <f>IFERROR(__xludf.DUMMYFUNCTION("""COMPUTED_VALUE"""),"Yes")</f>
        <v>Yes</v>
      </c>
      <c r="H472" s="10">
        <f>IFERROR(__xludf.DUMMYFUNCTION("""COMPUTED_VALUE"""),0.0)</f>
        <v>0</v>
      </c>
      <c r="I472" s="10">
        <f>IFERROR(__xludf.DUMMYFUNCTION("""COMPUTED_VALUE"""),10.0)</f>
        <v>10</v>
      </c>
      <c r="J472" s="10">
        <f>IFERROR(__xludf.DUMMYFUNCTION("""COMPUTED_VALUE"""),0.0)</f>
        <v>0</v>
      </c>
      <c r="K472" s="10">
        <f>IFERROR(__xludf.DUMMYFUNCTION("""COMPUTED_VALUE"""),0.0)</f>
        <v>0</v>
      </c>
      <c r="L472" s="10">
        <f>IFERROR(__xludf.DUMMYFUNCTION("""COMPUTED_VALUE"""),0.0)</f>
        <v>0</v>
      </c>
      <c r="M472" s="10">
        <f>IFERROR(__xludf.DUMMYFUNCTION("""COMPUTED_VALUE"""),0.0)</f>
        <v>0</v>
      </c>
      <c r="N472" s="10">
        <f>IFERROR(__xludf.DUMMYFUNCTION("""COMPUTED_VALUE"""),0.0)</f>
        <v>0</v>
      </c>
      <c r="O472" s="10">
        <f>IFERROR(__xludf.DUMMYFUNCTION("""COMPUTED_VALUE"""),0.0)</f>
        <v>0</v>
      </c>
      <c r="P472" s="10">
        <f>IFERROR(__xludf.DUMMYFUNCTION("""COMPUTED_VALUE"""),0.0)</f>
        <v>0</v>
      </c>
      <c r="Q472" s="10" t="str">
        <f>IFERROR(__xludf.DUMMYFUNCTION("""COMPUTED_VALUE"""),"No")</f>
        <v>No</v>
      </c>
      <c r="R472" s="10" t="str">
        <f>IFERROR(__xludf.DUMMYFUNCTION("""COMPUTED_VALUE"""),"No")</f>
        <v>No</v>
      </c>
      <c r="S472" s="10" t="str">
        <f>IFERROR(__xludf.DUMMYFUNCTION("""COMPUTED_VALUE"""),"No")</f>
        <v>No</v>
      </c>
      <c r="T472" s="10">
        <f>IFERROR(__xludf.DUMMYFUNCTION("""COMPUTED_VALUE"""),0.0)</f>
        <v>0</v>
      </c>
      <c r="U472" s="10">
        <f>IFERROR(__xludf.DUMMYFUNCTION("""COMPUTED_VALUE"""),0.0)</f>
        <v>0</v>
      </c>
      <c r="V472" s="10" t="str">
        <f>IFERROR(__xludf.DUMMYFUNCTION("""COMPUTED_VALUE"""),"اسلامی تعلیمات ")</f>
        <v>اسلامی تعلیمات </v>
      </c>
      <c r="W472" s="10" t="str">
        <f>IFERROR(__xludf.DUMMYFUNCTION("""COMPUTED_VALUE"""),"امام نے بیان میں بتایا ہے کہ نبی کریم صلی اللہ علیہ وسلم جب مسجد میں نماز پڑھاتے تو حضرت حذیفہ اپنی والدین سے اجازت مانگتے کہ مجھے نبی کریم صلی اللہ علیہ وسلم کی بارگاہ میں جانے کی اجازت دے تاکہ میں ان کی زیارت کر لوں اور ان کے پیچھے کھڑے ہو کر نماز ادا ک"&amp;"ر لوں آپ کی والدہ نے اجازت دے دی اور کہا کہ حضور پاک صلی اللہ علیہ وسلم سے اپنی بخشش اور میری بخشش کی دعا بھی کروانا ")</f>
        <v>امام نے بیان میں بتایا ہے کہ نبی کریم صلی اللہ علیہ وسلم جب مسجد میں نماز پڑھاتے تو حضرت حذیفہ اپنی والدین سے اجازت مانگتے کہ مجھے نبی کریم صلی اللہ علیہ وسلم کی بارگاہ میں جانے کی اجازت دے تاکہ میں ان کی زیارت کر لوں اور ان کے پیچھے کھڑے ہو کر نماز ادا کر لوں آپ کی والدہ نے اجازت دے دی اور کہا کہ حضور پاک صلی اللہ علیہ وسلم سے اپنی بخشش اور میری بخشش کی دعا بھی کروانا </v>
      </c>
      <c r="X472" s="10">
        <f>IFERROR(__xludf.DUMMYFUNCTION("""COMPUTED_VALUE"""),6.0)</f>
        <v>6</v>
      </c>
      <c r="Y472" s="10">
        <f>IFERROR(__xludf.DUMMYFUNCTION("""COMPUTED_VALUE"""),4.0)</f>
        <v>4</v>
      </c>
      <c r="Z472" s="10">
        <f>IFERROR(__xludf.DUMMYFUNCTION("""COMPUTED_VALUE"""),7.0)</f>
        <v>7</v>
      </c>
      <c r="AA472" s="10">
        <f>IFERROR(__xludf.DUMMYFUNCTION("""COMPUTED_VALUE"""),6.0)</f>
        <v>6</v>
      </c>
      <c r="AB472" s="10">
        <f>IFERROR(__xludf.DUMMYFUNCTION("""COMPUTED_VALUE"""),5.0)</f>
        <v>5</v>
      </c>
      <c r="AC472" s="10">
        <f>IFERROR(__xludf.DUMMYFUNCTION("""COMPUTED_VALUE"""),0.0)</f>
        <v>0</v>
      </c>
      <c r="AD472" s="10">
        <f>IFERROR(__xludf.DUMMYFUNCTION("""COMPUTED_VALUE"""),0.0)</f>
        <v>0</v>
      </c>
      <c r="AE472" s="10">
        <f>IFERROR(__xludf.DUMMYFUNCTION("""COMPUTED_VALUE"""),0.0)</f>
        <v>0</v>
      </c>
      <c r="AF472" s="10">
        <f>IFERROR(__xludf.DUMMYFUNCTION("""COMPUTED_VALUE"""),0.0)</f>
        <v>0</v>
      </c>
      <c r="AG472" s="10">
        <f>IFERROR(__xludf.DUMMYFUNCTION("""COMPUTED_VALUE"""),8.0)</f>
        <v>8</v>
      </c>
      <c r="AH472" s="10">
        <f>IFERROR(__xludf.DUMMYFUNCTION("""COMPUTED_VALUE"""),0.0)</f>
        <v>0</v>
      </c>
      <c r="AI472" s="10">
        <f>IFERROR(__xludf.DUMMYFUNCTION("""COMPUTED_VALUE"""),8.0)</f>
        <v>8</v>
      </c>
      <c r="AJ472" s="11" t="str">
        <f>IFERROR(__xludf.DUMMYFUNCTION("""COMPUTED_VALUE"""),"https://drive.google.com/open?id=1UDQVwYci6X0tjHZzkQf19vJC8ml_SzofCEA1AZsjZdM")</f>
        <v>https://drive.google.com/open?id=1UDQVwYci6X0tjHZzkQf19vJC8ml_SzofCEA1AZsjZdM</v>
      </c>
      <c r="AK472" s="12" t="str">
        <f>IFERROR(__xludf.DUMMYFUNCTION("""COMPUTED_VALUE"""),"No ")</f>
        <v>No </v>
      </c>
      <c r="AL472" s="12" t="str">
        <f>IFERROR(__xludf.DUMMYFUNCTION("""COMPUTED_VALUE"""),"No")</f>
        <v>No</v>
      </c>
      <c r="AM472" s="15">
        <f>IFERROR(__xludf.DUMMYFUNCTION("""COMPUTED_VALUE"""),0.0)</f>
        <v>0</v>
      </c>
      <c r="AN472" s="12" t="str">
        <f>IFERROR(__xludf.DUMMYFUNCTION("""COMPUTED_VALUE"""),"1st week")</f>
        <v>1st week</v>
      </c>
      <c r="AO472" s="13">
        <v>1.0</v>
      </c>
      <c r="AX472" s="17"/>
    </row>
    <row r="473">
      <c r="B473" s="9">
        <f>IFERROR(__xludf.DUMMYFUNCTION("""COMPUTED_VALUE"""),45887.920195694445)</f>
        <v>45887.9202</v>
      </c>
      <c r="C473" s="10" t="str">
        <f>IFERROR(__xludf.DUMMYFUNCTION("""COMPUTED_VALUE"""),"ہاجرہ سلطان")</f>
        <v>ہاجرہ سلطان</v>
      </c>
      <c r="D473" s="10" t="str">
        <f>IFERROR(__xludf.DUMMYFUNCTION("""COMPUTED_VALUE"""),"03095163638")</f>
        <v>03095163638</v>
      </c>
      <c r="E473" s="10" t="str">
        <f>IFERROR(__xludf.DUMMYFUNCTION("""COMPUTED_VALUE"""),"Majid Name:Jamia Masjid Darbar Muhammad Ali Rajan Shah Layyah")</f>
        <v>Majid Name:Jamia Masjid Darbar Muhammad Ali Rajan Shah Layyah</v>
      </c>
      <c r="F473" s="10" t="str">
        <f>IFERROR(__xludf.DUMMYFUNCTION("""COMPUTED_VALUE"""),"aptdt")</f>
        <v>aptdt</v>
      </c>
      <c r="G473" s="10" t="str">
        <f>IFERROR(__xludf.DUMMYFUNCTION("""COMPUTED_VALUE"""),"Yes")</f>
        <v>Yes</v>
      </c>
      <c r="H473" s="10">
        <f>IFERROR(__xludf.DUMMYFUNCTION("""COMPUTED_VALUE"""),0.0)</f>
        <v>0</v>
      </c>
      <c r="I473" s="10">
        <f>IFERROR(__xludf.DUMMYFUNCTION("""COMPUTED_VALUE"""),10.0)</f>
        <v>10</v>
      </c>
      <c r="J473" s="10">
        <f>IFERROR(__xludf.DUMMYFUNCTION("""COMPUTED_VALUE"""),0.0)</f>
        <v>0</v>
      </c>
      <c r="K473" s="10">
        <f>IFERROR(__xludf.DUMMYFUNCTION("""COMPUTED_VALUE"""),0.0)</f>
        <v>0</v>
      </c>
      <c r="L473" s="10">
        <f>IFERROR(__xludf.DUMMYFUNCTION("""COMPUTED_VALUE"""),0.0)</f>
        <v>0</v>
      </c>
      <c r="M473" s="10">
        <f>IFERROR(__xludf.DUMMYFUNCTION("""COMPUTED_VALUE"""),0.0)</f>
        <v>0</v>
      </c>
      <c r="N473" s="10">
        <f>IFERROR(__xludf.DUMMYFUNCTION("""COMPUTED_VALUE"""),0.0)</f>
        <v>0</v>
      </c>
      <c r="O473" s="10">
        <f>IFERROR(__xludf.DUMMYFUNCTION("""COMPUTED_VALUE"""),0.0)</f>
        <v>0</v>
      </c>
      <c r="P473" s="10">
        <f>IFERROR(__xludf.DUMMYFUNCTION("""COMPUTED_VALUE"""),0.0)</f>
        <v>0</v>
      </c>
      <c r="Q473" s="10" t="str">
        <f>IFERROR(__xludf.DUMMYFUNCTION("""COMPUTED_VALUE"""),"No")</f>
        <v>No</v>
      </c>
      <c r="R473" s="10" t="str">
        <f>IFERROR(__xludf.DUMMYFUNCTION("""COMPUTED_VALUE"""),"No")</f>
        <v>No</v>
      </c>
      <c r="S473" s="10" t="str">
        <f>IFERROR(__xludf.DUMMYFUNCTION("""COMPUTED_VALUE"""),"No")</f>
        <v>No</v>
      </c>
      <c r="T473" s="10">
        <f>IFERROR(__xludf.DUMMYFUNCTION("""COMPUTED_VALUE"""),0.0)</f>
        <v>0</v>
      </c>
      <c r="U473" s="10">
        <f>IFERROR(__xludf.DUMMYFUNCTION("""COMPUTED_VALUE"""),0.0)</f>
        <v>0</v>
      </c>
      <c r="V473" s="10" t="str">
        <f>IFERROR(__xludf.DUMMYFUNCTION("""COMPUTED_VALUE"""),"انبیاء اور قران مجید کی عظمت")</f>
        <v>انبیاء اور قران مجید کی عظمت</v>
      </c>
      <c r="W473" s="10" t="str">
        <f>IFERROR(__xludf.DUMMYFUNCTION("""COMPUTED_VALUE"""),"انبیاء اور قران مجید کی عظمت")</f>
        <v>انبیاء اور قران مجید کی عظمت</v>
      </c>
      <c r="X473" s="10">
        <f>IFERROR(__xludf.DUMMYFUNCTION("""COMPUTED_VALUE"""),9.0)</f>
        <v>9</v>
      </c>
      <c r="Y473" s="10">
        <f>IFERROR(__xludf.DUMMYFUNCTION("""COMPUTED_VALUE"""),2.0)</f>
        <v>2</v>
      </c>
      <c r="Z473" s="10">
        <f>IFERROR(__xludf.DUMMYFUNCTION("""COMPUTED_VALUE"""),0.0)</f>
        <v>0</v>
      </c>
      <c r="AA473" s="10">
        <f>IFERROR(__xludf.DUMMYFUNCTION("""COMPUTED_VALUE"""),7.0)</f>
        <v>7</v>
      </c>
      <c r="AB473" s="10">
        <f>IFERROR(__xludf.DUMMYFUNCTION("""COMPUTED_VALUE"""),9.0)</f>
        <v>9</v>
      </c>
      <c r="AC473" s="10">
        <f>IFERROR(__xludf.DUMMYFUNCTION("""COMPUTED_VALUE"""),0.0)</f>
        <v>0</v>
      </c>
      <c r="AD473" s="10">
        <f>IFERROR(__xludf.DUMMYFUNCTION("""COMPUTED_VALUE"""),0.0)</f>
        <v>0</v>
      </c>
      <c r="AE473" s="10">
        <f>IFERROR(__xludf.DUMMYFUNCTION("""COMPUTED_VALUE"""),10.0)</f>
        <v>10</v>
      </c>
      <c r="AF473" s="10">
        <f>IFERROR(__xludf.DUMMYFUNCTION("""COMPUTED_VALUE"""),8.0)</f>
        <v>8</v>
      </c>
      <c r="AG473" s="10">
        <f>IFERROR(__xludf.DUMMYFUNCTION("""COMPUTED_VALUE"""),9.0)</f>
        <v>9</v>
      </c>
      <c r="AH473" s="10">
        <f>IFERROR(__xludf.DUMMYFUNCTION("""COMPUTED_VALUE"""),0.0)</f>
        <v>0</v>
      </c>
      <c r="AI473" s="10">
        <f>IFERROR(__xludf.DUMMYFUNCTION("""COMPUTED_VALUE"""),10.0)</f>
        <v>10</v>
      </c>
      <c r="AJ473" s="11" t="str">
        <f>IFERROR(__xludf.DUMMYFUNCTION("""COMPUTED_VALUE"""),"https://drive.google.com/open?id=1l2RM_s3S4cjYAlYMWcIsbHyXIOVhBW6P")</f>
        <v>https://drive.google.com/open?id=1l2RM_s3S4cjYAlYMWcIsbHyXIOVhBW6P</v>
      </c>
      <c r="AK473" s="12" t="str">
        <f>IFERROR(__xludf.DUMMYFUNCTION("""COMPUTED_VALUE"""),"no")</f>
        <v>no</v>
      </c>
      <c r="AL473" s="12" t="str">
        <f>IFERROR(__xludf.DUMMYFUNCTION("""COMPUTED_VALUE"""),"Yes")</f>
        <v>Yes</v>
      </c>
      <c r="AM473" s="15">
        <f>IFERROR(__xludf.DUMMYFUNCTION("""COMPUTED_VALUE"""),0.0)</f>
        <v>0</v>
      </c>
      <c r="AN473" s="12" t="str">
        <f>IFERROR(__xludf.DUMMYFUNCTION("""COMPUTED_VALUE"""),"1st week")</f>
        <v>1st week</v>
      </c>
      <c r="AO473" s="13">
        <v>1.0</v>
      </c>
      <c r="AX473" s="17"/>
    </row>
    <row r="474">
      <c r="B474" s="9">
        <f>IFERROR(__xludf.DUMMYFUNCTION("""COMPUTED_VALUE"""),45888.01812111111)</f>
        <v>45888.01812</v>
      </c>
      <c r="C474" s="10" t="str">
        <f>IFERROR(__xludf.DUMMYFUNCTION("""COMPUTED_VALUE"""),"Shahid Iqbal")</f>
        <v>Shahid Iqbal</v>
      </c>
      <c r="D474" s="10" t="str">
        <f>IFERROR(__xludf.DUMMYFUNCTION("""COMPUTED_VALUE"""),"03013665049")</f>
        <v>03013665049</v>
      </c>
      <c r="E474" s="10" t="str">
        <f>IFERROR(__xludf.DUMMYFUNCTION("""COMPUTED_VALUE"""),"Jamia masjid block#3 Dg Khan")</f>
        <v>Jamia masjid block#3 Dg Khan</v>
      </c>
      <c r="F474" s="10" t="str">
        <f>IFERROR(__xludf.DUMMYFUNCTION("""COMPUTED_VALUE"""),"Vyzqv")</f>
        <v>Vyzqv</v>
      </c>
      <c r="G474" s="10" t="str">
        <f>IFERROR(__xludf.DUMMYFUNCTION("""COMPUTED_VALUE"""),"Yes")</f>
        <v>Yes</v>
      </c>
      <c r="H474" s="10">
        <f>IFERROR(__xludf.DUMMYFUNCTION("""COMPUTED_VALUE"""),10.0)</f>
        <v>10</v>
      </c>
      <c r="I474" s="10">
        <f>IFERROR(__xludf.DUMMYFUNCTION("""COMPUTED_VALUE"""),0.0)</f>
        <v>0</v>
      </c>
      <c r="J474" s="10">
        <f>IFERROR(__xludf.DUMMYFUNCTION("""COMPUTED_VALUE"""),10.0)</f>
        <v>10</v>
      </c>
      <c r="K474" s="10">
        <f>IFERROR(__xludf.DUMMYFUNCTION("""COMPUTED_VALUE"""),0.0)</f>
        <v>0</v>
      </c>
      <c r="L474" s="10">
        <f>IFERROR(__xludf.DUMMYFUNCTION("""COMPUTED_VALUE"""),10.0)</f>
        <v>10</v>
      </c>
      <c r="M474" s="10">
        <f>IFERROR(__xludf.DUMMYFUNCTION("""COMPUTED_VALUE"""),0.0)</f>
        <v>0</v>
      </c>
      <c r="N474" s="10">
        <f>IFERROR(__xludf.DUMMYFUNCTION("""COMPUTED_VALUE"""),10.0)</f>
        <v>10</v>
      </c>
      <c r="O474" s="10">
        <f>IFERROR(__xludf.DUMMYFUNCTION("""COMPUTED_VALUE"""),0.0)</f>
        <v>0</v>
      </c>
      <c r="P474" s="10">
        <f>IFERROR(__xludf.DUMMYFUNCTION("""COMPUTED_VALUE"""),10.0)</f>
        <v>10</v>
      </c>
      <c r="Q474" s="10" t="str">
        <f>IFERROR(__xludf.DUMMYFUNCTION("""COMPUTED_VALUE"""),"No")</f>
        <v>No</v>
      </c>
      <c r="R474" s="10" t="str">
        <f>IFERROR(__xludf.DUMMYFUNCTION("""COMPUTED_VALUE"""),"Yes")</f>
        <v>Yes</v>
      </c>
      <c r="S474" s="10" t="str">
        <f>IFERROR(__xludf.DUMMYFUNCTION("""COMPUTED_VALUE"""),"No")</f>
        <v>No</v>
      </c>
      <c r="T474" s="10">
        <f>IFERROR(__xludf.DUMMYFUNCTION("""COMPUTED_VALUE"""),0.0)</f>
        <v>0</v>
      </c>
      <c r="U474" s="10">
        <f>IFERROR(__xludf.DUMMYFUNCTION("""COMPUTED_VALUE"""),0.0)</f>
        <v>0</v>
      </c>
      <c r="V474" s="10" t="str">
        <f>IFERROR(__xludf.DUMMYFUNCTION("""COMPUTED_VALUE"""),"Padosi k haqooq")</f>
        <v>Padosi k haqooq</v>
      </c>
      <c r="W474" s="10" t="str">
        <f>IFERROR(__xludf.DUMMYFUNCTION("""COMPUTED_VALUE"""),"padosi K haqooq")</f>
        <v>padosi K haqooq</v>
      </c>
      <c r="X474" s="10">
        <f>IFERROR(__xludf.DUMMYFUNCTION("""COMPUTED_VALUE"""),2.0)</f>
        <v>2</v>
      </c>
      <c r="Y474" s="10">
        <f>IFERROR(__xludf.DUMMYFUNCTION("""COMPUTED_VALUE"""),5.0)</f>
        <v>5</v>
      </c>
      <c r="Z474" s="10">
        <f>IFERROR(__xludf.DUMMYFUNCTION("""COMPUTED_VALUE"""),4.0)</f>
        <v>4</v>
      </c>
      <c r="AA474" s="10">
        <f>IFERROR(__xludf.DUMMYFUNCTION("""COMPUTED_VALUE"""),8.0)</f>
        <v>8</v>
      </c>
      <c r="AB474" s="10">
        <f>IFERROR(__xludf.DUMMYFUNCTION("""COMPUTED_VALUE"""),3.0)</f>
        <v>3</v>
      </c>
      <c r="AC474" s="10">
        <f>IFERROR(__xludf.DUMMYFUNCTION("""COMPUTED_VALUE"""),0.0)</f>
        <v>0</v>
      </c>
      <c r="AD474" s="10">
        <f>IFERROR(__xludf.DUMMYFUNCTION("""COMPUTED_VALUE"""),0.0)</f>
        <v>0</v>
      </c>
      <c r="AE474" s="10">
        <f>IFERROR(__xludf.DUMMYFUNCTION("""COMPUTED_VALUE"""),0.0)</f>
        <v>0</v>
      </c>
      <c r="AF474" s="10">
        <f>IFERROR(__xludf.DUMMYFUNCTION("""COMPUTED_VALUE"""),0.0)</f>
        <v>0</v>
      </c>
      <c r="AG474" s="10">
        <f>IFERROR(__xludf.DUMMYFUNCTION("""COMPUTED_VALUE"""),8.0)</f>
        <v>8</v>
      </c>
      <c r="AH474" s="10">
        <f>IFERROR(__xludf.DUMMYFUNCTION("""COMPUTED_VALUE"""),0.0)</f>
        <v>0</v>
      </c>
      <c r="AI474" s="10">
        <f>IFERROR(__xludf.DUMMYFUNCTION("""COMPUTED_VALUE"""),9.0)</f>
        <v>9</v>
      </c>
      <c r="AJ474" s="11" t="str">
        <f>IFERROR(__xludf.DUMMYFUNCTION("""COMPUTED_VALUE"""),"https://drive.google.com/open?id=1SBMQpm1JiDJDhEVlD5PGWxpxLlsLHKnh")</f>
        <v>https://drive.google.com/open?id=1SBMQpm1JiDJDhEVlD5PGWxpxLlsLHKnh</v>
      </c>
      <c r="AK474" s="12"/>
      <c r="AL474" s="12" t="str">
        <f>IFERROR(__xludf.DUMMYFUNCTION("""COMPUTED_VALUE"""),"Yes")</f>
        <v>Yes</v>
      </c>
      <c r="AM474" s="15">
        <f>IFERROR(__xludf.DUMMYFUNCTION("""COMPUTED_VALUE"""),1.0)</f>
        <v>1</v>
      </c>
      <c r="AN474" s="12" t="str">
        <f>IFERROR(__xludf.DUMMYFUNCTION("""COMPUTED_VALUE"""),"1st week")</f>
        <v>1st week</v>
      </c>
      <c r="AO474" s="13">
        <v>1.0</v>
      </c>
      <c r="AX474" s="17"/>
    </row>
    <row r="475">
      <c r="B475" s="9">
        <f>IFERROR(__xludf.DUMMYFUNCTION("""COMPUTED_VALUE"""),45888.02267914352)</f>
        <v>45888.02268</v>
      </c>
      <c r="C475" s="10" t="str">
        <f>IFERROR(__xludf.DUMMYFUNCTION("""COMPUTED_VALUE"""),"Shahidb iqbal")</f>
        <v>Shahidb iqbal</v>
      </c>
      <c r="D475" s="10" t="str">
        <f>IFERROR(__xludf.DUMMYFUNCTION("""COMPUTED_VALUE"""),"03013665049")</f>
        <v>03013665049</v>
      </c>
      <c r="E475" s="10" t="str">
        <f>IFERROR(__xludf.DUMMYFUNCTION("""COMPUTED_VALUE"""),"Jamia Masjid Darbar Malah Quaid Shah Dera Ghazi Khan")</f>
        <v>Jamia Masjid Darbar Malah Quaid Shah Dera Ghazi Khan</v>
      </c>
      <c r="F475" s="10" t="str">
        <f>IFERROR(__xludf.DUMMYFUNCTION("""COMPUTED_VALUE"""),"vsrrf")</f>
        <v>vsrrf</v>
      </c>
      <c r="G475" s="10" t="str">
        <f>IFERROR(__xludf.DUMMYFUNCTION("""COMPUTED_VALUE"""),"Yes")</f>
        <v>Yes</v>
      </c>
      <c r="H475" s="10">
        <f>IFERROR(__xludf.DUMMYFUNCTION("""COMPUTED_VALUE"""),9.0)</f>
        <v>9</v>
      </c>
      <c r="I475" s="10">
        <f>IFERROR(__xludf.DUMMYFUNCTION("""COMPUTED_VALUE"""),1.0)</f>
        <v>1</v>
      </c>
      <c r="J475" s="10">
        <f>IFERROR(__xludf.DUMMYFUNCTION("""COMPUTED_VALUE"""),9.0)</f>
        <v>9</v>
      </c>
      <c r="K475" s="10">
        <f>IFERROR(__xludf.DUMMYFUNCTION("""COMPUTED_VALUE"""),0.0)</f>
        <v>0</v>
      </c>
      <c r="L475" s="10">
        <f>IFERROR(__xludf.DUMMYFUNCTION("""COMPUTED_VALUE"""),10.0)</f>
        <v>10</v>
      </c>
      <c r="M475" s="10">
        <f>IFERROR(__xludf.DUMMYFUNCTION("""COMPUTED_VALUE"""),0.0)</f>
        <v>0</v>
      </c>
      <c r="N475" s="10">
        <f>IFERROR(__xludf.DUMMYFUNCTION("""COMPUTED_VALUE"""),10.0)</f>
        <v>10</v>
      </c>
      <c r="O475" s="10">
        <f>IFERROR(__xludf.DUMMYFUNCTION("""COMPUTED_VALUE"""),0.0)</f>
        <v>0</v>
      </c>
      <c r="P475" s="10">
        <f>IFERROR(__xludf.DUMMYFUNCTION("""COMPUTED_VALUE"""),9.0)</f>
        <v>9</v>
      </c>
      <c r="Q475" s="10" t="str">
        <f>IFERROR(__xludf.DUMMYFUNCTION("""COMPUTED_VALUE"""),"No")</f>
        <v>No</v>
      </c>
      <c r="R475" s="10" t="str">
        <f>IFERROR(__xludf.DUMMYFUNCTION("""COMPUTED_VALUE"""),"Yes")</f>
        <v>Yes</v>
      </c>
      <c r="S475" s="10" t="str">
        <f>IFERROR(__xludf.DUMMYFUNCTION("""COMPUTED_VALUE"""),"No")</f>
        <v>No</v>
      </c>
      <c r="T475" s="10">
        <f>IFERROR(__xludf.DUMMYFUNCTION("""COMPUTED_VALUE"""),0.0)</f>
        <v>0</v>
      </c>
      <c r="U475" s="10">
        <f>IFERROR(__xludf.DUMMYFUNCTION("""COMPUTED_VALUE"""),0.0)</f>
        <v>0</v>
      </c>
      <c r="V475" s="10" t="str">
        <f>IFERROR(__xludf.DUMMYFUNCTION("""COMPUTED_VALUE"""),"Padosi k Haqooq")</f>
        <v>Padosi k Haqooq</v>
      </c>
      <c r="W475" s="10" t="str">
        <f>IFERROR(__xludf.DUMMYFUNCTION("""COMPUTED_VALUE"""),"Padosi k haqooq aur esk mazahabi masial")</f>
        <v>Padosi k haqooq aur esk mazahabi masial</v>
      </c>
      <c r="X475" s="10">
        <f>IFERROR(__xludf.DUMMYFUNCTION("""COMPUTED_VALUE"""),3.0)</f>
        <v>3</v>
      </c>
      <c r="Y475" s="10">
        <f>IFERROR(__xludf.DUMMYFUNCTION("""COMPUTED_VALUE"""),6.0)</f>
        <v>6</v>
      </c>
      <c r="Z475" s="10">
        <f>IFERROR(__xludf.DUMMYFUNCTION("""COMPUTED_VALUE"""),2.0)</f>
        <v>2</v>
      </c>
      <c r="AA475" s="10">
        <f>IFERROR(__xludf.DUMMYFUNCTION("""COMPUTED_VALUE"""),3.0)</f>
        <v>3</v>
      </c>
      <c r="AB475" s="10">
        <f>IFERROR(__xludf.DUMMYFUNCTION("""COMPUTED_VALUE"""),8.0)</f>
        <v>8</v>
      </c>
      <c r="AC475" s="10">
        <f>IFERROR(__xludf.DUMMYFUNCTION("""COMPUTED_VALUE"""),0.0)</f>
        <v>0</v>
      </c>
      <c r="AD475" s="10">
        <f>IFERROR(__xludf.DUMMYFUNCTION("""COMPUTED_VALUE"""),0.0)</f>
        <v>0</v>
      </c>
      <c r="AE475" s="10">
        <f>IFERROR(__xludf.DUMMYFUNCTION("""COMPUTED_VALUE"""),0.0)</f>
        <v>0</v>
      </c>
      <c r="AF475" s="10">
        <f>IFERROR(__xludf.DUMMYFUNCTION("""COMPUTED_VALUE"""),1.0)</f>
        <v>1</v>
      </c>
      <c r="AG475" s="10">
        <f>IFERROR(__xludf.DUMMYFUNCTION("""COMPUTED_VALUE"""),9.0)</f>
        <v>9</v>
      </c>
      <c r="AH475" s="10">
        <f>IFERROR(__xludf.DUMMYFUNCTION("""COMPUTED_VALUE"""),0.0)</f>
        <v>0</v>
      </c>
      <c r="AI475" s="10">
        <f>IFERROR(__xludf.DUMMYFUNCTION("""COMPUTED_VALUE"""),10.0)</f>
        <v>10</v>
      </c>
      <c r="AJ475" s="11" t="str">
        <f>IFERROR(__xludf.DUMMYFUNCTION("""COMPUTED_VALUE"""),"https://drive.google.com/open?id=1e9V_Z4OHO6Bcohq1oqPquNiQXIcdcl0v")</f>
        <v>https://drive.google.com/open?id=1e9V_Z4OHO6Bcohq1oqPquNiQXIcdcl0v</v>
      </c>
      <c r="AK475" s="12"/>
      <c r="AL475" s="12" t="str">
        <f>IFERROR(__xludf.DUMMYFUNCTION("""COMPUTED_VALUE"""),"Yes")</f>
        <v>Yes</v>
      </c>
      <c r="AM475" s="15">
        <f>IFERROR(__xludf.DUMMYFUNCTION("""COMPUTED_VALUE"""),0.9)</f>
        <v>0.9</v>
      </c>
      <c r="AN475" s="12" t="str">
        <f>IFERROR(__xludf.DUMMYFUNCTION("""COMPUTED_VALUE"""),"1st week")</f>
        <v>1st week</v>
      </c>
      <c r="AO475" s="13">
        <v>1.0</v>
      </c>
      <c r="AX475" s="17"/>
    </row>
    <row r="476">
      <c r="B476" s="9">
        <f>IFERROR(__xludf.DUMMYFUNCTION("""COMPUTED_VALUE"""),45888.026557997684)</f>
        <v>45888.02656</v>
      </c>
      <c r="C476" s="10" t="str">
        <f>IFERROR(__xludf.DUMMYFUNCTION("""COMPUTED_VALUE"""),"Shahid Iqbal")</f>
        <v>Shahid Iqbal</v>
      </c>
      <c r="D476" s="10" t="str">
        <f>IFERROR(__xludf.DUMMYFUNCTION("""COMPUTED_VALUE"""),"03013665049")</f>
        <v>03013665049</v>
      </c>
      <c r="E476" s="10" t="str">
        <f>IFERROR(__xludf.DUMMYFUNCTION("""COMPUTED_VALUE"""),"Jamia Masjid Shiekh Allah Wasaya Machli Bazar")</f>
        <v>Jamia Masjid Shiekh Allah Wasaya Machli Bazar</v>
      </c>
      <c r="F476" s="10" t="str">
        <f>IFERROR(__xludf.DUMMYFUNCTION("""COMPUTED_VALUE"""),"lrqvn")</f>
        <v>lrqvn</v>
      </c>
      <c r="G476" s="10" t="str">
        <f>IFERROR(__xludf.DUMMYFUNCTION("""COMPUTED_VALUE"""),"Yes")</f>
        <v>Yes</v>
      </c>
      <c r="H476" s="10">
        <f>IFERROR(__xludf.DUMMYFUNCTION("""COMPUTED_VALUE"""),9.0)</f>
        <v>9</v>
      </c>
      <c r="I476" s="10">
        <f>IFERROR(__xludf.DUMMYFUNCTION("""COMPUTED_VALUE"""),1.0)</f>
        <v>1</v>
      </c>
      <c r="J476" s="10">
        <f>IFERROR(__xludf.DUMMYFUNCTION("""COMPUTED_VALUE"""),9.0)</f>
        <v>9</v>
      </c>
      <c r="K476" s="10">
        <f>IFERROR(__xludf.DUMMYFUNCTION("""COMPUTED_VALUE"""),0.0)</f>
        <v>0</v>
      </c>
      <c r="L476" s="10">
        <f>IFERROR(__xludf.DUMMYFUNCTION("""COMPUTED_VALUE"""),10.0)</f>
        <v>10</v>
      </c>
      <c r="M476" s="10">
        <f>IFERROR(__xludf.DUMMYFUNCTION("""COMPUTED_VALUE"""),0.0)</f>
        <v>0</v>
      </c>
      <c r="N476" s="10">
        <f>IFERROR(__xludf.DUMMYFUNCTION("""COMPUTED_VALUE"""),9.0)</f>
        <v>9</v>
      </c>
      <c r="O476" s="10">
        <f>IFERROR(__xludf.DUMMYFUNCTION("""COMPUTED_VALUE"""),0.0)</f>
        <v>0</v>
      </c>
      <c r="P476" s="10">
        <f>IFERROR(__xludf.DUMMYFUNCTION("""COMPUTED_VALUE"""),9.0)</f>
        <v>9</v>
      </c>
      <c r="Q476" s="10" t="str">
        <f>IFERROR(__xludf.DUMMYFUNCTION("""COMPUTED_VALUE"""),"No")</f>
        <v>No</v>
      </c>
      <c r="R476" s="10" t="str">
        <f>IFERROR(__xludf.DUMMYFUNCTION("""COMPUTED_VALUE"""),"Yes")</f>
        <v>Yes</v>
      </c>
      <c r="S476" s="10" t="str">
        <f>IFERROR(__xludf.DUMMYFUNCTION("""COMPUTED_VALUE"""),"No")</f>
        <v>No</v>
      </c>
      <c r="T476" s="10">
        <f>IFERROR(__xludf.DUMMYFUNCTION("""COMPUTED_VALUE"""),0.0)</f>
        <v>0</v>
      </c>
      <c r="U476" s="10">
        <f>IFERROR(__xludf.DUMMYFUNCTION("""COMPUTED_VALUE"""),0.0)</f>
        <v>0</v>
      </c>
      <c r="V476" s="10" t="str">
        <f>IFERROR(__xludf.DUMMYFUNCTION("""COMPUTED_VALUE"""),"padosi k haqooq ")</f>
        <v>padosi k haqooq </v>
      </c>
      <c r="W476" s="10" t="str">
        <f>IFERROR(__xludf.DUMMYFUNCTION("""COMPUTED_VALUE"""),"padosi k haqooq aur safai suthrai")</f>
        <v>padosi k haqooq aur safai suthrai</v>
      </c>
      <c r="X476" s="10">
        <f>IFERROR(__xludf.DUMMYFUNCTION("""COMPUTED_VALUE"""),2.0)</f>
        <v>2</v>
      </c>
      <c r="Y476" s="10">
        <f>IFERROR(__xludf.DUMMYFUNCTION("""COMPUTED_VALUE"""),7.0)</f>
        <v>7</v>
      </c>
      <c r="Z476" s="10">
        <f>IFERROR(__xludf.DUMMYFUNCTION("""COMPUTED_VALUE"""),6.0)</f>
        <v>6</v>
      </c>
      <c r="AA476" s="10">
        <f>IFERROR(__xludf.DUMMYFUNCTION("""COMPUTED_VALUE"""),6.0)</f>
        <v>6</v>
      </c>
      <c r="AB476" s="10">
        <f>IFERROR(__xludf.DUMMYFUNCTION("""COMPUTED_VALUE"""),3.0)</f>
        <v>3</v>
      </c>
      <c r="AC476" s="10">
        <f>IFERROR(__xludf.DUMMYFUNCTION("""COMPUTED_VALUE"""),0.0)</f>
        <v>0</v>
      </c>
      <c r="AD476" s="10">
        <f>IFERROR(__xludf.DUMMYFUNCTION("""COMPUTED_VALUE"""),0.0)</f>
        <v>0</v>
      </c>
      <c r="AE476" s="10">
        <f>IFERROR(__xludf.DUMMYFUNCTION("""COMPUTED_VALUE"""),0.0)</f>
        <v>0</v>
      </c>
      <c r="AF476" s="10">
        <f>IFERROR(__xludf.DUMMYFUNCTION("""COMPUTED_VALUE"""),0.0)</f>
        <v>0</v>
      </c>
      <c r="AG476" s="10">
        <f>IFERROR(__xludf.DUMMYFUNCTION("""COMPUTED_VALUE"""),9.0)</f>
        <v>9</v>
      </c>
      <c r="AH476" s="10">
        <f>IFERROR(__xludf.DUMMYFUNCTION("""COMPUTED_VALUE"""),0.0)</f>
        <v>0</v>
      </c>
      <c r="AI476" s="10">
        <f>IFERROR(__xludf.DUMMYFUNCTION("""COMPUTED_VALUE"""),9.0)</f>
        <v>9</v>
      </c>
      <c r="AJ476" s="11" t="str">
        <f>IFERROR(__xludf.DUMMYFUNCTION("""COMPUTED_VALUE"""),"https://drive.google.com/open?id=15XFYKmngd5Tx6Apo5BQ91-mFjamUpWfR")</f>
        <v>https://drive.google.com/open?id=15XFYKmngd5Tx6Apo5BQ91-mFjamUpWfR</v>
      </c>
      <c r="AK476" s="12"/>
      <c r="AL476" s="12" t="str">
        <f>IFERROR(__xludf.DUMMYFUNCTION("""COMPUTED_VALUE"""),"Yes")</f>
        <v>Yes</v>
      </c>
      <c r="AM476" s="15">
        <f>IFERROR(__xludf.DUMMYFUNCTION("""COMPUTED_VALUE"""),0.9)</f>
        <v>0.9</v>
      </c>
      <c r="AN476" s="12" t="str">
        <f>IFERROR(__xludf.DUMMYFUNCTION("""COMPUTED_VALUE"""),"1st week")</f>
        <v>1st week</v>
      </c>
      <c r="AO476" s="13">
        <v>1.0</v>
      </c>
      <c r="AX476" s="17"/>
    </row>
    <row r="477">
      <c r="B477" s="9">
        <f>IFERROR(__xludf.DUMMYFUNCTION("""COMPUTED_VALUE"""),45888.03198439815)</f>
        <v>45888.03198</v>
      </c>
      <c r="C477" s="10" t="str">
        <f>IFERROR(__xludf.DUMMYFUNCTION("""COMPUTED_VALUE"""),"Shahid iqbal")</f>
        <v>Shahid iqbal</v>
      </c>
      <c r="D477" s="10" t="str">
        <f>IFERROR(__xludf.DUMMYFUNCTION("""COMPUTED_VALUE"""),"03013665049")</f>
        <v>03013665049</v>
      </c>
      <c r="E477" s="10" t="str">
        <f>IFERROR(__xludf.DUMMYFUNCTION("""COMPUTED_VALUE"""),"Jamia Masjid Nazamat / Nazamat market Railway Road Rahim Yar Khan")</f>
        <v>Jamia Masjid Nazamat / Nazamat market Railway Road Rahim Yar Khan</v>
      </c>
      <c r="F477" s="10" t="str">
        <f>IFERROR(__xludf.DUMMYFUNCTION("""COMPUTED_VALUE"""),"xxfos")</f>
        <v>xxfos</v>
      </c>
      <c r="G477" s="10" t="str">
        <f>IFERROR(__xludf.DUMMYFUNCTION("""COMPUTED_VALUE"""),"Yes")</f>
        <v>Yes</v>
      </c>
      <c r="H477" s="10">
        <f>IFERROR(__xludf.DUMMYFUNCTION("""COMPUTED_VALUE"""),8.0)</f>
        <v>8</v>
      </c>
      <c r="I477" s="10">
        <f>IFERROR(__xludf.DUMMYFUNCTION("""COMPUTED_VALUE"""),2.0)</f>
        <v>2</v>
      </c>
      <c r="J477" s="10">
        <f>IFERROR(__xludf.DUMMYFUNCTION("""COMPUTED_VALUE"""),9.0)</f>
        <v>9</v>
      </c>
      <c r="K477" s="10">
        <f>IFERROR(__xludf.DUMMYFUNCTION("""COMPUTED_VALUE"""),0.0)</f>
        <v>0</v>
      </c>
      <c r="L477" s="10">
        <f>IFERROR(__xludf.DUMMYFUNCTION("""COMPUTED_VALUE"""),9.0)</f>
        <v>9</v>
      </c>
      <c r="M477" s="10">
        <f>IFERROR(__xludf.DUMMYFUNCTION("""COMPUTED_VALUE"""),1.0)</f>
        <v>1</v>
      </c>
      <c r="N477" s="10">
        <f>IFERROR(__xludf.DUMMYFUNCTION("""COMPUTED_VALUE"""),8.0)</f>
        <v>8</v>
      </c>
      <c r="O477" s="10">
        <f>IFERROR(__xludf.DUMMYFUNCTION("""COMPUTED_VALUE"""),0.0)</f>
        <v>0</v>
      </c>
      <c r="P477" s="10">
        <f>IFERROR(__xludf.DUMMYFUNCTION("""COMPUTED_VALUE"""),9.0)</f>
        <v>9</v>
      </c>
      <c r="Q477" s="10" t="str">
        <f>IFERROR(__xludf.DUMMYFUNCTION("""COMPUTED_VALUE"""),"No")</f>
        <v>No</v>
      </c>
      <c r="R477" s="10" t="str">
        <f>IFERROR(__xludf.DUMMYFUNCTION("""COMPUTED_VALUE"""),"Yes")</f>
        <v>Yes</v>
      </c>
      <c r="S477" s="10" t="str">
        <f>IFERROR(__xludf.DUMMYFUNCTION("""COMPUTED_VALUE"""),"No")</f>
        <v>No</v>
      </c>
      <c r="T477" s="10">
        <f>IFERROR(__xludf.DUMMYFUNCTION("""COMPUTED_VALUE"""),0.0)</f>
        <v>0</v>
      </c>
      <c r="U477" s="10">
        <f>IFERROR(__xludf.DUMMYFUNCTION("""COMPUTED_VALUE"""),0.0)</f>
        <v>0</v>
      </c>
      <c r="V477" s="10" t="str">
        <f>IFERROR(__xludf.DUMMYFUNCTION("""COMPUTED_VALUE"""),"Padosi k haqooq ")</f>
        <v>Padosi k haqooq </v>
      </c>
      <c r="W477" s="10" t="str">
        <f>IFERROR(__xludf.DUMMYFUNCTION("""COMPUTED_VALUE"""),"Padosi k haqooq, haqooq ul abad aur safai suthrai")</f>
        <v>Padosi k haqooq, haqooq ul abad aur safai suthrai</v>
      </c>
      <c r="X477" s="10">
        <f>IFERROR(__xludf.DUMMYFUNCTION("""COMPUTED_VALUE"""),2.0)</f>
        <v>2</v>
      </c>
      <c r="Y477" s="10">
        <f>IFERROR(__xludf.DUMMYFUNCTION("""COMPUTED_VALUE"""),8.0)</f>
        <v>8</v>
      </c>
      <c r="Z477" s="10">
        <f>IFERROR(__xludf.DUMMYFUNCTION("""COMPUTED_VALUE"""),3.0)</f>
        <v>3</v>
      </c>
      <c r="AA477" s="10">
        <f>IFERROR(__xludf.DUMMYFUNCTION("""COMPUTED_VALUE"""),7.0)</f>
        <v>7</v>
      </c>
      <c r="AB477" s="10">
        <f>IFERROR(__xludf.DUMMYFUNCTION("""COMPUTED_VALUE"""),4.0)</f>
        <v>4</v>
      </c>
      <c r="AC477" s="10">
        <f>IFERROR(__xludf.DUMMYFUNCTION("""COMPUTED_VALUE"""),0.0)</f>
        <v>0</v>
      </c>
      <c r="AD477" s="10">
        <f>IFERROR(__xludf.DUMMYFUNCTION("""COMPUTED_VALUE"""),0.0)</f>
        <v>0</v>
      </c>
      <c r="AE477" s="10">
        <f>IFERROR(__xludf.DUMMYFUNCTION("""COMPUTED_VALUE"""),0.0)</f>
        <v>0</v>
      </c>
      <c r="AF477" s="10">
        <f>IFERROR(__xludf.DUMMYFUNCTION("""COMPUTED_VALUE"""),0.0)</f>
        <v>0</v>
      </c>
      <c r="AG477" s="10">
        <f>IFERROR(__xludf.DUMMYFUNCTION("""COMPUTED_VALUE"""),8.0)</f>
        <v>8</v>
      </c>
      <c r="AH477" s="10">
        <f>IFERROR(__xludf.DUMMYFUNCTION("""COMPUTED_VALUE"""),0.0)</f>
        <v>0</v>
      </c>
      <c r="AI477" s="10">
        <f>IFERROR(__xludf.DUMMYFUNCTION("""COMPUTED_VALUE"""),9.0)</f>
        <v>9</v>
      </c>
      <c r="AJ477" s="11" t="str">
        <f>IFERROR(__xludf.DUMMYFUNCTION("""COMPUTED_VALUE"""),"https://drive.google.com/open?id=1owxxZtCXWabEjEb2J0jP4tPrIYdAhbPJ")</f>
        <v>https://drive.google.com/open?id=1owxxZtCXWabEjEb2J0jP4tPrIYdAhbPJ</v>
      </c>
      <c r="AK477" s="12"/>
      <c r="AL477" s="12" t="str">
        <f>IFERROR(__xludf.DUMMYFUNCTION("""COMPUTED_VALUE"""),"Yes")</f>
        <v>Yes</v>
      </c>
      <c r="AM477" s="15">
        <f>IFERROR(__xludf.DUMMYFUNCTION("""COMPUTED_VALUE"""),0.8)</f>
        <v>0.8</v>
      </c>
      <c r="AN477" s="12" t="str">
        <f>IFERROR(__xludf.DUMMYFUNCTION("""COMPUTED_VALUE"""),"1st week")</f>
        <v>1st week</v>
      </c>
      <c r="AO477" s="13">
        <v>1.0</v>
      </c>
      <c r="AX477" s="17"/>
    </row>
    <row r="478">
      <c r="B478" s="9">
        <f>IFERROR(__xludf.DUMMYFUNCTION("""COMPUTED_VALUE"""),45888.03750585648)</f>
        <v>45888.03751</v>
      </c>
      <c r="C478" s="10" t="str">
        <f>IFERROR(__xludf.DUMMYFUNCTION("""COMPUTED_VALUE"""),"Shahid Iqbal")</f>
        <v>Shahid Iqbal</v>
      </c>
      <c r="D478" s="10" t="str">
        <f>IFERROR(__xludf.DUMMYFUNCTION("""COMPUTED_VALUE"""),"03013665049")</f>
        <v>03013665049</v>
      </c>
      <c r="E478" s="10" t="str">
        <f>IFERROR(__xludf.DUMMYFUNCTION("""COMPUTED_VALUE"""),"Jamia Masjid Kareem Khan Ahle Hadees Multan")</f>
        <v>Jamia Masjid Kareem Khan Ahle Hadees Multan</v>
      </c>
      <c r="F478" s="10" t="str">
        <f>IFERROR(__xludf.DUMMYFUNCTION("""COMPUTED_VALUE"""),"lirqw")</f>
        <v>lirqw</v>
      </c>
      <c r="G478" s="10" t="str">
        <f>IFERROR(__xludf.DUMMYFUNCTION("""COMPUTED_VALUE"""),"Yes")</f>
        <v>Yes</v>
      </c>
      <c r="H478" s="10">
        <f>IFERROR(__xludf.DUMMYFUNCTION("""COMPUTED_VALUE"""),0.0)</f>
        <v>0</v>
      </c>
      <c r="I478" s="10">
        <f>IFERROR(__xludf.DUMMYFUNCTION("""COMPUTED_VALUE"""),10.0)</f>
        <v>10</v>
      </c>
      <c r="J478" s="10">
        <f>IFERROR(__xludf.DUMMYFUNCTION("""COMPUTED_VALUE"""),0.0)</f>
        <v>0</v>
      </c>
      <c r="K478" s="10">
        <f>IFERROR(__xludf.DUMMYFUNCTION("""COMPUTED_VALUE"""),0.0)</f>
        <v>0</v>
      </c>
      <c r="L478" s="10">
        <f>IFERROR(__xludf.DUMMYFUNCTION("""COMPUTED_VALUE"""),0.0)</f>
        <v>0</v>
      </c>
      <c r="M478" s="10">
        <f>IFERROR(__xludf.DUMMYFUNCTION("""COMPUTED_VALUE"""),0.0)</f>
        <v>0</v>
      </c>
      <c r="N478" s="10">
        <f>IFERROR(__xludf.DUMMYFUNCTION("""COMPUTED_VALUE"""),0.0)</f>
        <v>0</v>
      </c>
      <c r="O478" s="10">
        <f>IFERROR(__xludf.DUMMYFUNCTION("""COMPUTED_VALUE"""),0.0)</f>
        <v>0</v>
      </c>
      <c r="P478" s="10">
        <f>IFERROR(__xludf.DUMMYFUNCTION("""COMPUTED_VALUE"""),0.0)</f>
        <v>0</v>
      </c>
      <c r="Q478" s="10" t="str">
        <f>IFERROR(__xludf.DUMMYFUNCTION("""COMPUTED_VALUE"""),"No")</f>
        <v>No</v>
      </c>
      <c r="R478" s="10" t="str">
        <f>IFERROR(__xludf.DUMMYFUNCTION("""COMPUTED_VALUE"""),"No")</f>
        <v>No</v>
      </c>
      <c r="S478" s="10" t="str">
        <f>IFERROR(__xludf.DUMMYFUNCTION("""COMPUTED_VALUE"""),"No")</f>
        <v>No</v>
      </c>
      <c r="T478" s="10">
        <f>IFERROR(__xludf.DUMMYFUNCTION("""COMPUTED_VALUE"""),0.0)</f>
        <v>0</v>
      </c>
      <c r="U478" s="10">
        <f>IFERROR(__xludf.DUMMYFUNCTION("""COMPUTED_VALUE"""),0.0)</f>
        <v>0</v>
      </c>
      <c r="V478" s="10" t="str">
        <f>IFERROR(__xludf.DUMMYFUNCTION("""COMPUTED_VALUE"""),"kashmir day  aur Allah k farman ki pairvi")</f>
        <v>kashmir day  aur Allah k farman ki pairvi</v>
      </c>
      <c r="W478" s="10" t="str">
        <f>IFERROR(__xludf.DUMMYFUNCTION("""COMPUTED_VALUE"""),"kashmir day  aur Allah k farman ki pairvi aur mausharti masial ")</f>
        <v>kashmir day  aur Allah k farman ki pairvi aur mausharti masial </v>
      </c>
      <c r="X478" s="10">
        <f>IFERROR(__xludf.DUMMYFUNCTION("""COMPUTED_VALUE"""),8.0)</f>
        <v>8</v>
      </c>
      <c r="Y478" s="10">
        <f>IFERROR(__xludf.DUMMYFUNCTION("""COMPUTED_VALUE"""),4.0)</f>
        <v>4</v>
      </c>
      <c r="Z478" s="10">
        <f>IFERROR(__xludf.DUMMYFUNCTION("""COMPUTED_VALUE"""),8.0)</f>
        <v>8</v>
      </c>
      <c r="AA478" s="10">
        <f>IFERROR(__xludf.DUMMYFUNCTION("""COMPUTED_VALUE"""),4.0)</f>
        <v>4</v>
      </c>
      <c r="AB478" s="10">
        <f>IFERROR(__xludf.DUMMYFUNCTION("""COMPUTED_VALUE"""),7.0)</f>
        <v>7</v>
      </c>
      <c r="AC478" s="10">
        <f>IFERROR(__xludf.DUMMYFUNCTION("""COMPUTED_VALUE"""),3.0)</f>
        <v>3</v>
      </c>
      <c r="AD478" s="10">
        <f>IFERROR(__xludf.DUMMYFUNCTION("""COMPUTED_VALUE"""),3.0)</f>
        <v>3</v>
      </c>
      <c r="AE478" s="10">
        <f>IFERROR(__xludf.DUMMYFUNCTION("""COMPUTED_VALUE"""),2.0)</f>
        <v>2</v>
      </c>
      <c r="AF478" s="10">
        <f>IFERROR(__xludf.DUMMYFUNCTION("""COMPUTED_VALUE"""),0.0)</f>
        <v>0</v>
      </c>
      <c r="AG478" s="10">
        <f>IFERROR(__xludf.DUMMYFUNCTION("""COMPUTED_VALUE"""),8.0)</f>
        <v>8</v>
      </c>
      <c r="AH478" s="10">
        <f>IFERROR(__xludf.DUMMYFUNCTION("""COMPUTED_VALUE"""),1.0)</f>
        <v>1</v>
      </c>
      <c r="AI478" s="10">
        <f>IFERROR(__xludf.DUMMYFUNCTION("""COMPUTED_VALUE"""),10.0)</f>
        <v>10</v>
      </c>
      <c r="AJ478" s="11" t="str">
        <f>IFERROR(__xludf.DUMMYFUNCTION("""COMPUTED_VALUE"""),"https://drive.google.com/open?id=1VoXqFltymkrNwYRSuj4pnfXHcan7zd3A")</f>
        <v>https://drive.google.com/open?id=1VoXqFltymkrNwYRSuj4pnfXHcan7zd3A</v>
      </c>
      <c r="AK478" s="12"/>
      <c r="AL478" s="12" t="str">
        <f>IFERROR(__xludf.DUMMYFUNCTION("""COMPUTED_VALUE"""),"Yes")</f>
        <v>Yes</v>
      </c>
      <c r="AM478" s="15">
        <f>IFERROR(__xludf.DUMMYFUNCTION("""COMPUTED_VALUE"""),0.0)</f>
        <v>0</v>
      </c>
      <c r="AN478" s="12" t="str">
        <f>IFERROR(__xludf.DUMMYFUNCTION("""COMPUTED_VALUE"""),"2nd week")</f>
        <v>2nd week</v>
      </c>
      <c r="AO478" s="13">
        <v>2.0</v>
      </c>
      <c r="AX478" s="17"/>
    </row>
    <row r="479">
      <c r="B479" s="9">
        <f>IFERROR(__xludf.DUMMYFUNCTION("""COMPUTED_VALUE"""),45888.041879212964)</f>
        <v>45888.04188</v>
      </c>
      <c r="C479" s="10" t="str">
        <f>IFERROR(__xludf.DUMMYFUNCTION("""COMPUTED_VALUE"""),"shahid Iqbal")</f>
        <v>shahid Iqbal</v>
      </c>
      <c r="D479" s="10" t="str">
        <f>IFERROR(__xludf.DUMMYFUNCTION("""COMPUTED_VALUE"""),"03013665049")</f>
        <v>03013665049</v>
      </c>
      <c r="E479" s="10" t="str">
        <f>IFERROR(__xludf.DUMMYFUNCTION("""COMPUTED_VALUE"""),"Jamia Masjid Gul Wali Haram Gate Multan")</f>
        <v>Jamia Masjid Gul Wali Haram Gate Multan</v>
      </c>
      <c r="F479" s="10" t="str">
        <f>IFERROR(__xludf.DUMMYFUNCTION("""COMPUTED_VALUE"""),"vbdpl")</f>
        <v>vbdpl</v>
      </c>
      <c r="G479" s="10" t="str">
        <f>IFERROR(__xludf.DUMMYFUNCTION("""COMPUTED_VALUE"""),"Yes")</f>
        <v>Yes</v>
      </c>
      <c r="H479" s="10">
        <f>IFERROR(__xludf.DUMMYFUNCTION("""COMPUTED_VALUE"""),6.0)</f>
        <v>6</v>
      </c>
      <c r="I479" s="10">
        <f>IFERROR(__xludf.DUMMYFUNCTION("""COMPUTED_VALUE"""),4.0)</f>
        <v>4</v>
      </c>
      <c r="J479" s="10">
        <f>IFERROR(__xludf.DUMMYFUNCTION("""COMPUTED_VALUE"""),6.0)</f>
        <v>6</v>
      </c>
      <c r="K479" s="10">
        <f>IFERROR(__xludf.DUMMYFUNCTION("""COMPUTED_VALUE"""),0.0)</f>
        <v>0</v>
      </c>
      <c r="L479" s="10">
        <f>IFERROR(__xludf.DUMMYFUNCTION("""COMPUTED_VALUE"""),8.0)</f>
        <v>8</v>
      </c>
      <c r="M479" s="10">
        <f>IFERROR(__xludf.DUMMYFUNCTION("""COMPUTED_VALUE"""),0.0)</f>
        <v>0</v>
      </c>
      <c r="N479" s="10">
        <f>IFERROR(__xludf.DUMMYFUNCTION("""COMPUTED_VALUE"""),7.0)</f>
        <v>7</v>
      </c>
      <c r="O479" s="10">
        <f>IFERROR(__xludf.DUMMYFUNCTION("""COMPUTED_VALUE"""),0.0)</f>
        <v>0</v>
      </c>
      <c r="P479" s="10">
        <f>IFERROR(__xludf.DUMMYFUNCTION("""COMPUTED_VALUE"""),8.0)</f>
        <v>8</v>
      </c>
      <c r="Q479" s="10" t="str">
        <f>IFERROR(__xludf.DUMMYFUNCTION("""COMPUTED_VALUE"""),"No")</f>
        <v>No</v>
      </c>
      <c r="R479" s="10" t="str">
        <f>IFERROR(__xludf.DUMMYFUNCTION("""COMPUTED_VALUE"""),"Yes")</f>
        <v>Yes</v>
      </c>
      <c r="S479" s="10" t="str">
        <f>IFERROR(__xludf.DUMMYFUNCTION("""COMPUTED_VALUE"""),"No")</f>
        <v>No</v>
      </c>
      <c r="T479" s="10">
        <f>IFERROR(__xludf.DUMMYFUNCTION("""COMPUTED_VALUE"""),0.0)</f>
        <v>0</v>
      </c>
      <c r="U479" s="10">
        <f>IFERROR(__xludf.DUMMYFUNCTION("""COMPUTED_VALUE"""),0.0)</f>
        <v>0</v>
      </c>
      <c r="V479" s="10" t="str">
        <f>IFERROR(__xludf.DUMMYFUNCTION("""COMPUTED_VALUE"""),"padosi k haqooq aur Allah k Haqooq ")</f>
        <v>padosi k haqooq aur Allah k Haqooq </v>
      </c>
      <c r="W479" s="10" t="str">
        <f>IFERROR(__xludf.DUMMYFUNCTION("""COMPUTED_VALUE"""),"PAdosi k haqooq aur Allah k haqooq")</f>
        <v>PAdosi k haqooq aur Allah k haqooq</v>
      </c>
      <c r="X479" s="10">
        <f>IFERROR(__xludf.DUMMYFUNCTION("""COMPUTED_VALUE"""),7.0)</f>
        <v>7</v>
      </c>
      <c r="Y479" s="10">
        <f>IFERROR(__xludf.DUMMYFUNCTION("""COMPUTED_VALUE"""),5.0)</f>
        <v>5</v>
      </c>
      <c r="Z479" s="10">
        <f>IFERROR(__xludf.DUMMYFUNCTION("""COMPUTED_VALUE"""),5.0)</f>
        <v>5</v>
      </c>
      <c r="AA479" s="10">
        <f>IFERROR(__xludf.DUMMYFUNCTION("""COMPUTED_VALUE"""),8.0)</f>
        <v>8</v>
      </c>
      <c r="AB479" s="10">
        <f>IFERROR(__xludf.DUMMYFUNCTION("""COMPUTED_VALUE"""),1.0)</f>
        <v>1</v>
      </c>
      <c r="AC479" s="10">
        <f>IFERROR(__xludf.DUMMYFUNCTION("""COMPUTED_VALUE"""),0.0)</f>
        <v>0</v>
      </c>
      <c r="AD479" s="10">
        <f>IFERROR(__xludf.DUMMYFUNCTION("""COMPUTED_VALUE"""),0.0)</f>
        <v>0</v>
      </c>
      <c r="AE479" s="10">
        <f>IFERROR(__xludf.DUMMYFUNCTION("""COMPUTED_VALUE"""),1.0)</f>
        <v>1</v>
      </c>
      <c r="AF479" s="10">
        <f>IFERROR(__xludf.DUMMYFUNCTION("""COMPUTED_VALUE"""),1.0)</f>
        <v>1</v>
      </c>
      <c r="AG479" s="10">
        <f>IFERROR(__xludf.DUMMYFUNCTION("""COMPUTED_VALUE"""),9.0)</f>
        <v>9</v>
      </c>
      <c r="AH479" s="10">
        <f>IFERROR(__xludf.DUMMYFUNCTION("""COMPUTED_VALUE"""),1.0)</f>
        <v>1</v>
      </c>
      <c r="AI479" s="10">
        <f>IFERROR(__xludf.DUMMYFUNCTION("""COMPUTED_VALUE"""),10.0)</f>
        <v>10</v>
      </c>
      <c r="AJ479" s="11" t="str">
        <f>IFERROR(__xludf.DUMMYFUNCTION("""COMPUTED_VALUE"""),"https://drive.google.com/open?id=1p6L3DXI1GDDjweMfpesFTC4sdUpTr3P-")</f>
        <v>https://drive.google.com/open?id=1p6L3DXI1GDDjweMfpesFTC4sdUpTr3P-</v>
      </c>
      <c r="AK479" s="12"/>
      <c r="AL479" s="12" t="str">
        <f>IFERROR(__xludf.DUMMYFUNCTION("""COMPUTED_VALUE"""),"Yes")</f>
        <v>Yes</v>
      </c>
      <c r="AM479" s="15">
        <f>IFERROR(__xludf.DUMMYFUNCTION("""COMPUTED_VALUE"""),0.6)</f>
        <v>0.6</v>
      </c>
      <c r="AN479" s="12" t="str">
        <f>IFERROR(__xludf.DUMMYFUNCTION("""COMPUTED_VALUE"""),"2nd week")</f>
        <v>2nd week</v>
      </c>
      <c r="AO479" s="13">
        <v>2.0</v>
      </c>
      <c r="AX479" s="17"/>
    </row>
    <row r="480">
      <c r="B480" s="9">
        <f>IFERROR(__xludf.DUMMYFUNCTION("""COMPUTED_VALUE"""),45888.05380168981)</f>
        <v>45888.0538</v>
      </c>
      <c r="C480" s="10" t="str">
        <f>IFERROR(__xludf.DUMMYFUNCTION("""COMPUTED_VALUE"""),"shahid iqbal")</f>
        <v>shahid iqbal</v>
      </c>
      <c r="D480" s="10" t="str">
        <f>IFERROR(__xludf.DUMMYFUNCTION("""COMPUTED_VALUE"""),"03013665049")</f>
        <v>03013665049</v>
      </c>
      <c r="E480" s="10" t="str">
        <f>IFERROR(__xludf.DUMMYFUNCTION("""COMPUTED_VALUE"""),"Jamia Masjid Bostan Aziz Bahawalpur")</f>
        <v>Jamia Masjid Bostan Aziz Bahawalpur</v>
      </c>
      <c r="F480" s="10" t="str">
        <f>IFERROR(__xludf.DUMMYFUNCTION("""COMPUTED_VALUE"""),"rthfh")</f>
        <v>rthfh</v>
      </c>
      <c r="G480" s="10" t="str">
        <f>IFERROR(__xludf.DUMMYFUNCTION("""COMPUTED_VALUE"""),"Yes")</f>
        <v>Yes</v>
      </c>
      <c r="H480" s="10">
        <f>IFERROR(__xludf.DUMMYFUNCTION("""COMPUTED_VALUE"""),9.0)</f>
        <v>9</v>
      </c>
      <c r="I480" s="10">
        <f>IFERROR(__xludf.DUMMYFUNCTION("""COMPUTED_VALUE"""),1.0)</f>
        <v>1</v>
      </c>
      <c r="J480" s="10">
        <f>IFERROR(__xludf.DUMMYFUNCTION("""COMPUTED_VALUE"""),9.0)</f>
        <v>9</v>
      </c>
      <c r="K480" s="10">
        <f>IFERROR(__xludf.DUMMYFUNCTION("""COMPUTED_VALUE"""),0.0)</f>
        <v>0</v>
      </c>
      <c r="L480" s="10">
        <f>IFERROR(__xludf.DUMMYFUNCTION("""COMPUTED_VALUE"""),9.0)</f>
        <v>9</v>
      </c>
      <c r="M480" s="10">
        <f>IFERROR(__xludf.DUMMYFUNCTION("""COMPUTED_VALUE"""),0.0)</f>
        <v>0</v>
      </c>
      <c r="N480" s="10">
        <f>IFERROR(__xludf.DUMMYFUNCTION("""COMPUTED_VALUE"""),9.0)</f>
        <v>9</v>
      </c>
      <c r="O480" s="10">
        <f>IFERROR(__xludf.DUMMYFUNCTION("""COMPUTED_VALUE"""),0.0)</f>
        <v>0</v>
      </c>
      <c r="P480" s="10">
        <f>IFERROR(__xludf.DUMMYFUNCTION("""COMPUTED_VALUE"""),9.0)</f>
        <v>9</v>
      </c>
      <c r="Q480" s="10" t="str">
        <f>IFERROR(__xludf.DUMMYFUNCTION("""COMPUTED_VALUE"""),"No")</f>
        <v>No</v>
      </c>
      <c r="R480" s="10" t="str">
        <f>IFERROR(__xludf.DUMMYFUNCTION("""COMPUTED_VALUE"""),"Yes")</f>
        <v>Yes</v>
      </c>
      <c r="S480" s="10" t="str">
        <f>IFERROR(__xludf.DUMMYFUNCTION("""COMPUTED_VALUE"""),"No")</f>
        <v>No</v>
      </c>
      <c r="T480" s="10">
        <f>IFERROR(__xludf.DUMMYFUNCTION("""COMPUTED_VALUE"""),0.0)</f>
        <v>0</v>
      </c>
      <c r="U480" s="10">
        <f>IFERROR(__xludf.DUMMYFUNCTION("""COMPUTED_VALUE"""),0.0)</f>
        <v>0</v>
      </c>
      <c r="V480" s="10" t="str">
        <f>IFERROR(__xludf.DUMMYFUNCTION("""COMPUTED_VALUE"""),"پڑوسیوں کے حقوق")</f>
        <v>پڑوسیوں کے حقوق</v>
      </c>
      <c r="W480" s="10" t="str">
        <f>IFERROR(__xludf.DUMMYFUNCTION("""COMPUTED_VALUE"""),"پڑوسیوں کے حقوق کے بارے میں بات چیت کی اور اچھے سے مل جل کر رہنے کا بولا")</f>
        <v>پڑوسیوں کے حقوق کے بارے میں بات چیت کی اور اچھے سے مل جل کر رہنے کا بولا</v>
      </c>
      <c r="X480" s="10">
        <f>IFERROR(__xludf.DUMMYFUNCTION("""COMPUTED_VALUE"""),2.0)</f>
        <v>2</v>
      </c>
      <c r="Y480" s="10">
        <f>IFERROR(__xludf.DUMMYFUNCTION("""COMPUTED_VALUE"""),6.0)</f>
        <v>6</v>
      </c>
      <c r="Z480" s="10">
        <f>IFERROR(__xludf.DUMMYFUNCTION("""COMPUTED_VALUE"""),5.0)</f>
        <v>5</v>
      </c>
      <c r="AA480" s="10">
        <f>IFERROR(__xludf.DUMMYFUNCTION("""COMPUTED_VALUE"""),7.0)</f>
        <v>7</v>
      </c>
      <c r="AB480" s="10">
        <f>IFERROR(__xludf.DUMMYFUNCTION("""COMPUTED_VALUE"""),2.0)</f>
        <v>2</v>
      </c>
      <c r="AC480" s="10">
        <f>IFERROR(__xludf.DUMMYFUNCTION("""COMPUTED_VALUE"""),0.0)</f>
        <v>0</v>
      </c>
      <c r="AD480" s="10">
        <f>IFERROR(__xludf.DUMMYFUNCTION("""COMPUTED_VALUE"""),0.0)</f>
        <v>0</v>
      </c>
      <c r="AE480" s="10">
        <f>IFERROR(__xludf.DUMMYFUNCTION("""COMPUTED_VALUE"""),0.0)</f>
        <v>0</v>
      </c>
      <c r="AF480" s="10">
        <f>IFERROR(__xludf.DUMMYFUNCTION("""COMPUTED_VALUE"""),0.0)</f>
        <v>0</v>
      </c>
      <c r="AG480" s="10">
        <f>IFERROR(__xludf.DUMMYFUNCTION("""COMPUTED_VALUE"""),10.0)</f>
        <v>10</v>
      </c>
      <c r="AH480" s="10">
        <f>IFERROR(__xludf.DUMMYFUNCTION("""COMPUTED_VALUE"""),0.0)</f>
        <v>0</v>
      </c>
      <c r="AI480" s="10">
        <f>IFERROR(__xludf.DUMMYFUNCTION("""COMPUTED_VALUE"""),10.0)</f>
        <v>10</v>
      </c>
      <c r="AJ480" s="11" t="str">
        <f>IFERROR(__xludf.DUMMYFUNCTION("""COMPUTED_VALUE"""),"https://drive.google.com/open?id=1dpkW9EuK4UI5tF8MPAdWhB3-HPZDoSAj")</f>
        <v>https://drive.google.com/open?id=1dpkW9EuK4UI5tF8MPAdWhB3-HPZDoSAj</v>
      </c>
      <c r="AK480" s="12"/>
      <c r="AL480" s="12" t="str">
        <f>IFERROR(__xludf.DUMMYFUNCTION("""COMPUTED_VALUE"""),"Yes")</f>
        <v>Yes</v>
      </c>
      <c r="AM480" s="15">
        <f>IFERROR(__xludf.DUMMYFUNCTION("""COMPUTED_VALUE"""),0.9)</f>
        <v>0.9</v>
      </c>
      <c r="AN480" s="12" t="str">
        <f>IFERROR(__xludf.DUMMYFUNCTION("""COMPUTED_VALUE"""),"1st week")</f>
        <v>1st week</v>
      </c>
      <c r="AO480" s="13">
        <v>1.0</v>
      </c>
      <c r="AX480" s="17"/>
    </row>
    <row r="481">
      <c r="B481" s="9">
        <f>IFERROR(__xludf.DUMMYFUNCTION("""COMPUTED_VALUE"""),45888.05886605324)</f>
        <v>45888.05887</v>
      </c>
      <c r="C481" s="10" t="str">
        <f>IFERROR(__xludf.DUMMYFUNCTION("""COMPUTED_VALUE"""),"Shahid Iqbal")</f>
        <v>Shahid Iqbal</v>
      </c>
      <c r="D481" s="10" t="str">
        <f>IFERROR(__xludf.DUMMYFUNCTION("""COMPUTED_VALUE"""),"03013665049")</f>
        <v>03013665049</v>
      </c>
      <c r="E481" s="10" t="str">
        <f>IFERROR(__xludf.DUMMYFUNCTION("""COMPUTED_VALUE"""),"Jamia Masjid Block # 3 Dera Ghazi Khan")</f>
        <v>Jamia Masjid Block # 3 Dera Ghazi Khan</v>
      </c>
      <c r="F481" s="10" t="str">
        <f>IFERROR(__xludf.DUMMYFUNCTION("""COMPUTED_VALUE"""),"vyzqv")</f>
        <v>vyzqv</v>
      </c>
      <c r="G481" s="10" t="str">
        <f>IFERROR(__xludf.DUMMYFUNCTION("""COMPUTED_VALUE"""),"Yes")</f>
        <v>Yes</v>
      </c>
      <c r="H481" s="10">
        <f>IFERROR(__xludf.DUMMYFUNCTION("""COMPUTED_VALUE"""),10.0)</f>
        <v>10</v>
      </c>
      <c r="I481" s="10">
        <f>IFERROR(__xludf.DUMMYFUNCTION("""COMPUTED_VALUE"""),0.0)</f>
        <v>0</v>
      </c>
      <c r="J481" s="10">
        <f>IFERROR(__xludf.DUMMYFUNCTION("""COMPUTED_VALUE"""),10.0)</f>
        <v>10</v>
      </c>
      <c r="K481" s="10">
        <f>IFERROR(__xludf.DUMMYFUNCTION("""COMPUTED_VALUE"""),0.0)</f>
        <v>0</v>
      </c>
      <c r="L481" s="10">
        <f>IFERROR(__xludf.DUMMYFUNCTION("""COMPUTED_VALUE"""),10.0)</f>
        <v>10</v>
      </c>
      <c r="M481" s="10">
        <f>IFERROR(__xludf.DUMMYFUNCTION("""COMPUTED_VALUE"""),0.0)</f>
        <v>0</v>
      </c>
      <c r="N481" s="10">
        <f>IFERROR(__xludf.DUMMYFUNCTION("""COMPUTED_VALUE"""),9.0)</f>
        <v>9</v>
      </c>
      <c r="O481" s="10">
        <f>IFERROR(__xludf.DUMMYFUNCTION("""COMPUTED_VALUE"""),0.0)</f>
        <v>0</v>
      </c>
      <c r="P481" s="10">
        <f>IFERROR(__xludf.DUMMYFUNCTION("""COMPUTED_VALUE"""),9.0)</f>
        <v>9</v>
      </c>
      <c r="Q481" s="10" t="str">
        <f>IFERROR(__xludf.DUMMYFUNCTION("""COMPUTED_VALUE"""),"No")</f>
        <v>No</v>
      </c>
      <c r="R481" s="10" t="str">
        <f>IFERROR(__xludf.DUMMYFUNCTION("""COMPUTED_VALUE"""),"Yes")</f>
        <v>Yes</v>
      </c>
      <c r="S481" s="10" t="str">
        <f>IFERROR(__xludf.DUMMYFUNCTION("""COMPUTED_VALUE"""),"No")</f>
        <v>No</v>
      </c>
      <c r="T481" s="10">
        <f>IFERROR(__xludf.DUMMYFUNCTION("""COMPUTED_VALUE"""),0.0)</f>
        <v>0</v>
      </c>
      <c r="U481" s="10">
        <f>IFERROR(__xludf.DUMMYFUNCTION("""COMPUTED_VALUE"""),0.0)</f>
        <v>0</v>
      </c>
      <c r="V481" s="10" t="str">
        <f>IFERROR(__xludf.DUMMYFUNCTION("""COMPUTED_VALUE"""),"padosi k haqooq")</f>
        <v>padosi k haqooq</v>
      </c>
      <c r="W481" s="10" t="str">
        <f>IFERROR(__xludf.DUMMYFUNCTION("""COMPUTED_VALUE"""),"hmsaye ko apni izaa rasani se mehfooz rkhna, muhally ko saaf suthra rkhny ki ehmiyat")</f>
        <v>hmsaye ko apni izaa rasani se mehfooz rkhna, muhally ko saaf suthra rkhny ki ehmiyat</v>
      </c>
      <c r="X481" s="10">
        <f>IFERROR(__xludf.DUMMYFUNCTION("""COMPUTED_VALUE"""),1.0)</f>
        <v>1</v>
      </c>
      <c r="Y481" s="10">
        <f>IFERROR(__xludf.DUMMYFUNCTION("""COMPUTED_VALUE"""),9.0)</f>
        <v>9</v>
      </c>
      <c r="Z481" s="10">
        <f>IFERROR(__xludf.DUMMYFUNCTION("""COMPUTED_VALUE"""),5.0)</f>
        <v>5</v>
      </c>
      <c r="AA481" s="10">
        <f>IFERROR(__xludf.DUMMYFUNCTION("""COMPUTED_VALUE"""),6.0)</f>
        <v>6</v>
      </c>
      <c r="AB481" s="10">
        <f>IFERROR(__xludf.DUMMYFUNCTION("""COMPUTED_VALUE"""),0.0)</f>
        <v>0</v>
      </c>
      <c r="AC481" s="10">
        <f>IFERROR(__xludf.DUMMYFUNCTION("""COMPUTED_VALUE"""),0.0)</f>
        <v>0</v>
      </c>
      <c r="AD481" s="10">
        <f>IFERROR(__xludf.DUMMYFUNCTION("""COMPUTED_VALUE"""),0.0)</f>
        <v>0</v>
      </c>
      <c r="AE481" s="10">
        <f>IFERROR(__xludf.DUMMYFUNCTION("""COMPUTED_VALUE"""),0.0)</f>
        <v>0</v>
      </c>
      <c r="AF481" s="10">
        <f>IFERROR(__xludf.DUMMYFUNCTION("""COMPUTED_VALUE"""),0.0)</f>
        <v>0</v>
      </c>
      <c r="AG481" s="10">
        <f>IFERROR(__xludf.DUMMYFUNCTION("""COMPUTED_VALUE"""),8.0)</f>
        <v>8</v>
      </c>
      <c r="AH481" s="10">
        <f>IFERROR(__xludf.DUMMYFUNCTION("""COMPUTED_VALUE"""),0.0)</f>
        <v>0</v>
      </c>
      <c r="AI481" s="10">
        <f>IFERROR(__xludf.DUMMYFUNCTION("""COMPUTED_VALUE"""),9.0)</f>
        <v>9</v>
      </c>
      <c r="AJ481" s="11" t="str">
        <f>IFERROR(__xludf.DUMMYFUNCTION("""COMPUTED_VALUE"""),"https://drive.google.com/open?id=1BtJ2mdUZFfX3V98ccdB1a5tFRNH21Lff")</f>
        <v>https://drive.google.com/open?id=1BtJ2mdUZFfX3V98ccdB1a5tFRNH21Lff</v>
      </c>
      <c r="AK481" s="12"/>
      <c r="AL481" s="12" t="str">
        <f>IFERROR(__xludf.DUMMYFUNCTION("""COMPUTED_VALUE"""),"Yes")</f>
        <v>Yes</v>
      </c>
      <c r="AM481" s="15">
        <f>IFERROR(__xludf.DUMMYFUNCTION("""COMPUTED_VALUE"""),1.0)</f>
        <v>1</v>
      </c>
      <c r="AN481" s="12" t="str">
        <f>IFERROR(__xludf.DUMMYFUNCTION("""COMPUTED_VALUE"""),"2nd week")</f>
        <v>2nd week</v>
      </c>
      <c r="AO481" s="13">
        <v>2.0</v>
      </c>
      <c r="AX481" s="17"/>
    </row>
    <row r="482">
      <c r="B482" s="9">
        <f>IFERROR(__xludf.DUMMYFUNCTION("""COMPUTED_VALUE"""),45888.0637111574)</f>
        <v>45888.06371</v>
      </c>
      <c r="C482" s="10" t="str">
        <f>IFERROR(__xludf.DUMMYFUNCTION("""COMPUTED_VALUE"""),"shahid iqbal")</f>
        <v>shahid iqbal</v>
      </c>
      <c r="D482" s="10" t="str">
        <f>IFERROR(__xludf.DUMMYFUNCTION("""COMPUTED_VALUE"""),"03013665049")</f>
        <v>03013665049</v>
      </c>
      <c r="E482" s="10" t="str">
        <f>IFERROR(__xludf.DUMMYFUNCTION("""COMPUTED_VALUE"""),"Jamia Masjid Kocha Gul Hassan Shahe Bazar")</f>
        <v>Jamia Masjid Kocha Gul Hassan Shahe Bazar</v>
      </c>
      <c r="F482" s="10" t="str">
        <f>IFERROR(__xludf.DUMMYFUNCTION("""COMPUTED_VALUE"""),"reimc")</f>
        <v>reimc</v>
      </c>
      <c r="G482" s="10" t="str">
        <f>IFERROR(__xludf.DUMMYFUNCTION("""COMPUTED_VALUE"""),"Yes")</f>
        <v>Yes</v>
      </c>
      <c r="H482" s="10">
        <f>IFERROR(__xludf.DUMMYFUNCTION("""COMPUTED_VALUE"""),7.0)</f>
        <v>7</v>
      </c>
      <c r="I482" s="10">
        <f>IFERROR(__xludf.DUMMYFUNCTION("""COMPUTED_VALUE"""),3.0)</f>
        <v>3</v>
      </c>
      <c r="J482" s="10">
        <f>IFERROR(__xludf.DUMMYFUNCTION("""COMPUTED_VALUE"""),8.0)</f>
        <v>8</v>
      </c>
      <c r="K482" s="10">
        <f>IFERROR(__xludf.DUMMYFUNCTION("""COMPUTED_VALUE"""),0.0)</f>
        <v>0</v>
      </c>
      <c r="L482" s="10">
        <f>IFERROR(__xludf.DUMMYFUNCTION("""COMPUTED_VALUE"""),9.0)</f>
        <v>9</v>
      </c>
      <c r="M482" s="10">
        <f>IFERROR(__xludf.DUMMYFUNCTION("""COMPUTED_VALUE"""),1.0)</f>
        <v>1</v>
      </c>
      <c r="N482" s="10">
        <f>IFERROR(__xludf.DUMMYFUNCTION("""COMPUTED_VALUE"""),9.0)</f>
        <v>9</v>
      </c>
      <c r="O482" s="10">
        <f>IFERROR(__xludf.DUMMYFUNCTION("""COMPUTED_VALUE"""),0.0)</f>
        <v>0</v>
      </c>
      <c r="P482" s="10">
        <f>IFERROR(__xludf.DUMMYFUNCTION("""COMPUTED_VALUE"""),8.0)</f>
        <v>8</v>
      </c>
      <c r="Q482" s="10" t="str">
        <f>IFERROR(__xludf.DUMMYFUNCTION("""COMPUTED_VALUE"""),"No")</f>
        <v>No</v>
      </c>
      <c r="R482" s="10" t="str">
        <f>IFERROR(__xludf.DUMMYFUNCTION("""COMPUTED_VALUE"""),"Yes")</f>
        <v>Yes</v>
      </c>
      <c r="S482" s="10" t="str">
        <f>IFERROR(__xludf.DUMMYFUNCTION("""COMPUTED_VALUE"""),"No")</f>
        <v>No</v>
      </c>
      <c r="T482" s="10">
        <f>IFERROR(__xludf.DUMMYFUNCTION("""COMPUTED_VALUE"""),0.0)</f>
        <v>0</v>
      </c>
      <c r="U482" s="10">
        <f>IFERROR(__xludf.DUMMYFUNCTION("""COMPUTED_VALUE"""),0.0)</f>
        <v>0</v>
      </c>
      <c r="V482" s="10" t="str">
        <f>IFERROR(__xludf.DUMMYFUNCTION("""COMPUTED_VALUE"""),"Hamsayopn k Haqooq")</f>
        <v>Hamsayopn k Haqooq</v>
      </c>
      <c r="W482" s="10" t="str">
        <f>IFERROR(__xludf.DUMMYFUNCTION("""COMPUTED_VALUE"""),"islam main hamsaye k huqooq, quran ki fazeelat, huqooq Allah aur huqooq al ibaad,  rishty daron ka haq, muslamano ka itehaad aur safai ki ehmiyat")</f>
        <v>islam main hamsaye k huqooq, quran ki fazeelat, huqooq Allah aur huqooq al ibaad,  rishty daron ka haq, muslamano ka itehaad aur safai ki ehmiyat</v>
      </c>
      <c r="X482" s="10">
        <f>IFERROR(__xludf.DUMMYFUNCTION("""COMPUTED_VALUE"""),2.0)</f>
        <v>2</v>
      </c>
      <c r="Y482" s="10">
        <f>IFERROR(__xludf.DUMMYFUNCTION("""COMPUTED_VALUE"""),6.0)</f>
        <v>6</v>
      </c>
      <c r="Z482" s="10">
        <f>IFERROR(__xludf.DUMMYFUNCTION("""COMPUTED_VALUE"""),3.0)</f>
        <v>3</v>
      </c>
      <c r="AA482" s="10">
        <f>IFERROR(__xludf.DUMMYFUNCTION("""COMPUTED_VALUE"""),7.0)</f>
        <v>7</v>
      </c>
      <c r="AB482" s="10">
        <f>IFERROR(__xludf.DUMMYFUNCTION("""COMPUTED_VALUE"""),2.0)</f>
        <v>2</v>
      </c>
      <c r="AC482" s="10">
        <f>IFERROR(__xludf.DUMMYFUNCTION("""COMPUTED_VALUE"""),0.0)</f>
        <v>0</v>
      </c>
      <c r="AD482" s="10">
        <f>IFERROR(__xludf.DUMMYFUNCTION("""COMPUTED_VALUE"""),0.0)</f>
        <v>0</v>
      </c>
      <c r="AE482" s="10">
        <f>IFERROR(__xludf.DUMMYFUNCTION("""COMPUTED_VALUE"""),0.0)</f>
        <v>0</v>
      </c>
      <c r="AF482" s="10">
        <f>IFERROR(__xludf.DUMMYFUNCTION("""COMPUTED_VALUE"""),0.0)</f>
        <v>0</v>
      </c>
      <c r="AG482" s="10">
        <f>IFERROR(__xludf.DUMMYFUNCTION("""COMPUTED_VALUE"""),9.0)</f>
        <v>9</v>
      </c>
      <c r="AH482" s="10">
        <f>IFERROR(__xludf.DUMMYFUNCTION("""COMPUTED_VALUE"""),1.0)</f>
        <v>1</v>
      </c>
      <c r="AI482" s="10">
        <f>IFERROR(__xludf.DUMMYFUNCTION("""COMPUTED_VALUE"""),9.0)</f>
        <v>9</v>
      </c>
      <c r="AJ482" s="11" t="str">
        <f>IFERROR(__xludf.DUMMYFUNCTION("""COMPUTED_VALUE"""),"https://drive.google.com/open?id=15G1_7u_MVvbz4WpnOpkBsWwZjX_N16o9")</f>
        <v>https://drive.google.com/open?id=15G1_7u_MVvbz4WpnOpkBsWwZjX_N16o9</v>
      </c>
      <c r="AK482" s="12"/>
      <c r="AL482" s="12" t="str">
        <f>IFERROR(__xludf.DUMMYFUNCTION("""COMPUTED_VALUE"""),"Yes")</f>
        <v>Yes</v>
      </c>
      <c r="AM482" s="15">
        <f>IFERROR(__xludf.DUMMYFUNCTION("""COMPUTED_VALUE"""),0.7)</f>
        <v>0.7</v>
      </c>
      <c r="AN482" s="12" t="str">
        <f>IFERROR(__xludf.DUMMYFUNCTION("""COMPUTED_VALUE"""),"2nd week")</f>
        <v>2nd week</v>
      </c>
      <c r="AO482" s="13">
        <v>2.0</v>
      </c>
      <c r="AX482" s="17"/>
    </row>
    <row r="483">
      <c r="B483" s="9">
        <f>IFERROR(__xludf.DUMMYFUNCTION("""COMPUTED_VALUE"""),45888.068937199074)</f>
        <v>45888.06894</v>
      </c>
      <c r="C483" s="10" t="str">
        <f>IFERROR(__xludf.DUMMYFUNCTION("""COMPUTED_VALUE"""),"shahid iqbal")</f>
        <v>shahid iqbal</v>
      </c>
      <c r="D483" s="10" t="str">
        <f>IFERROR(__xludf.DUMMYFUNCTION("""COMPUTED_VALUE"""),"03013665049")</f>
        <v>03013665049</v>
      </c>
      <c r="E483" s="10" t="str">
        <f>IFERROR(__xludf.DUMMYFUNCTION("""COMPUTED_VALUE"""),"Jamia Masjid Darbar Hazrat Mian Channu")</f>
        <v>Jamia Masjid Darbar Hazrat Mian Channu</v>
      </c>
      <c r="F483" s="10" t="str">
        <f>IFERROR(__xludf.DUMMYFUNCTION("""COMPUTED_VALUE"""),"xpynm")</f>
        <v>xpynm</v>
      </c>
      <c r="G483" s="10" t="str">
        <f>IFERROR(__xludf.DUMMYFUNCTION("""COMPUTED_VALUE"""),"Yes")</f>
        <v>Yes</v>
      </c>
      <c r="H483" s="10">
        <f>IFERROR(__xludf.DUMMYFUNCTION("""COMPUTED_VALUE"""),3.0)</f>
        <v>3</v>
      </c>
      <c r="I483" s="10">
        <f>IFERROR(__xludf.DUMMYFUNCTION("""COMPUTED_VALUE"""),7.0)</f>
        <v>7</v>
      </c>
      <c r="J483" s="10">
        <f>IFERROR(__xludf.DUMMYFUNCTION("""COMPUTED_VALUE"""),4.0)</f>
        <v>4</v>
      </c>
      <c r="K483" s="10">
        <f>IFERROR(__xludf.DUMMYFUNCTION("""COMPUTED_VALUE"""),0.0)</f>
        <v>0</v>
      </c>
      <c r="L483" s="10">
        <f>IFERROR(__xludf.DUMMYFUNCTION("""COMPUTED_VALUE"""),0.0)</f>
        <v>0</v>
      </c>
      <c r="M483" s="10">
        <f>IFERROR(__xludf.DUMMYFUNCTION("""COMPUTED_VALUE"""),0.0)</f>
        <v>0</v>
      </c>
      <c r="N483" s="10">
        <f>IFERROR(__xludf.DUMMYFUNCTION("""COMPUTED_VALUE"""),5.0)</f>
        <v>5</v>
      </c>
      <c r="O483" s="10">
        <f>IFERROR(__xludf.DUMMYFUNCTION("""COMPUTED_VALUE"""),0.0)</f>
        <v>0</v>
      </c>
      <c r="P483" s="10">
        <f>IFERROR(__xludf.DUMMYFUNCTION("""COMPUTED_VALUE"""),5.0)</f>
        <v>5</v>
      </c>
      <c r="Q483" s="10" t="str">
        <f>IFERROR(__xludf.DUMMYFUNCTION("""COMPUTED_VALUE"""),"No")</f>
        <v>No</v>
      </c>
      <c r="R483" s="10" t="str">
        <f>IFERROR(__xludf.DUMMYFUNCTION("""COMPUTED_VALUE"""),"Yes")</f>
        <v>Yes</v>
      </c>
      <c r="S483" s="10" t="str">
        <f>IFERROR(__xludf.DUMMYFUNCTION("""COMPUTED_VALUE"""),"No")</f>
        <v>No</v>
      </c>
      <c r="T483" s="10">
        <f>IFERROR(__xludf.DUMMYFUNCTION("""COMPUTED_VALUE"""),0.0)</f>
        <v>0</v>
      </c>
      <c r="U483" s="10">
        <f>IFERROR(__xludf.DUMMYFUNCTION("""COMPUTED_VALUE"""),0.0)</f>
        <v>0</v>
      </c>
      <c r="V483" s="10" t="str">
        <f>IFERROR(__xludf.DUMMYFUNCTION("""COMPUTED_VALUE"""),"hamsayion k haqooq aur maarfat e ilahai")</f>
        <v>hamsayion k haqooq aur maarfat e ilahai</v>
      </c>
      <c r="W483" s="10" t="str">
        <f>IFERROR(__xludf.DUMMYFUNCTION("""COMPUTED_VALUE"""),"imam ne marfat aur Allah ki raza hasil krny pe ghutugu ki.  hamsaye k huqooq ki baat ki k parosiyon ka khayal rkhna chahiye aur aj k door main kis trhan parisi ek dosry se bekhabar hain. awliya Allah aur ashaab ki baat ki k unhoon ne kese Allah ki maarfat"&amp;" hasil ki.")</f>
        <v>imam ne marfat aur Allah ki raza hasil krny pe ghutugu ki.  hamsaye k huqooq ki baat ki k parosiyon ka khayal rkhna chahiye aur aj k door main kis trhan parisi ek dosry se bekhabar hain. awliya Allah aur ashaab ki baat ki k unhoon ne kese Allah ki maarfat hasil ki.</v>
      </c>
      <c r="X483" s="10">
        <f>IFERROR(__xludf.DUMMYFUNCTION("""COMPUTED_VALUE"""),5.0)</f>
        <v>5</v>
      </c>
      <c r="Y483" s="10">
        <f>IFERROR(__xludf.DUMMYFUNCTION("""COMPUTED_VALUE"""),5.0)</f>
        <v>5</v>
      </c>
      <c r="Z483" s="10">
        <f>IFERROR(__xludf.DUMMYFUNCTION("""COMPUTED_VALUE"""),4.0)</f>
        <v>4</v>
      </c>
      <c r="AA483" s="10">
        <f>IFERROR(__xludf.DUMMYFUNCTION("""COMPUTED_VALUE"""),8.0)</f>
        <v>8</v>
      </c>
      <c r="AB483" s="10">
        <f>IFERROR(__xludf.DUMMYFUNCTION("""COMPUTED_VALUE"""),4.0)</f>
        <v>4</v>
      </c>
      <c r="AC483" s="10">
        <f>IFERROR(__xludf.DUMMYFUNCTION("""COMPUTED_VALUE"""),0.0)</f>
        <v>0</v>
      </c>
      <c r="AD483" s="10">
        <f>IFERROR(__xludf.DUMMYFUNCTION("""COMPUTED_VALUE"""),0.0)</f>
        <v>0</v>
      </c>
      <c r="AE483" s="10">
        <f>IFERROR(__xludf.DUMMYFUNCTION("""COMPUTED_VALUE"""),0.0)</f>
        <v>0</v>
      </c>
      <c r="AF483" s="10">
        <f>IFERROR(__xludf.DUMMYFUNCTION("""COMPUTED_VALUE"""),0.0)</f>
        <v>0</v>
      </c>
      <c r="AG483" s="10">
        <f>IFERROR(__xludf.DUMMYFUNCTION("""COMPUTED_VALUE"""),7.0)</f>
        <v>7</v>
      </c>
      <c r="AH483" s="10">
        <f>IFERROR(__xludf.DUMMYFUNCTION("""COMPUTED_VALUE"""),2.0)</f>
        <v>2</v>
      </c>
      <c r="AI483" s="10">
        <f>IFERROR(__xludf.DUMMYFUNCTION("""COMPUTED_VALUE"""),8.0)</f>
        <v>8</v>
      </c>
      <c r="AJ483" s="11" t="str">
        <f>IFERROR(__xludf.DUMMYFUNCTION("""COMPUTED_VALUE"""),"https://drive.google.com/open?id=1g3Loq9PDzKoLNDt9yqn1j6iiXGW7I-o9")</f>
        <v>https://drive.google.com/open?id=1g3Loq9PDzKoLNDt9yqn1j6iiXGW7I-o9</v>
      </c>
      <c r="AK483" s="12"/>
      <c r="AL483" s="12" t="str">
        <f>IFERROR(__xludf.DUMMYFUNCTION("""COMPUTED_VALUE"""),"Yes")</f>
        <v>Yes</v>
      </c>
      <c r="AM483" s="15">
        <f>IFERROR(__xludf.DUMMYFUNCTION("""COMPUTED_VALUE"""),0.3)</f>
        <v>0.3</v>
      </c>
      <c r="AN483" s="12" t="str">
        <f>IFERROR(__xludf.DUMMYFUNCTION("""COMPUTED_VALUE"""),"2nd week")</f>
        <v>2nd week</v>
      </c>
      <c r="AO483" s="13">
        <v>2.0</v>
      </c>
      <c r="AX483" s="17"/>
    </row>
    <row r="484">
      <c r="B484" s="9">
        <f>IFERROR(__xludf.DUMMYFUNCTION("""COMPUTED_VALUE"""),45888.10324797453)</f>
        <v>45888.10325</v>
      </c>
      <c r="C484" s="10" t="str">
        <f>IFERROR(__xludf.DUMMYFUNCTION("""COMPUTED_VALUE"""),"Shahid Iqbal")</f>
        <v>Shahid Iqbal</v>
      </c>
      <c r="D484" s="10" t="str">
        <f>IFERROR(__xludf.DUMMYFUNCTION("""COMPUTED_VALUE"""),"03013665049")</f>
        <v>03013665049</v>
      </c>
      <c r="E484" s="10" t="str">
        <f>IFERROR(__xludf.DUMMYFUNCTION("""COMPUTED_VALUE"""),"Jamia Masjid Kocha Gul Hassan Shahe Bazar")</f>
        <v>Jamia Masjid Kocha Gul Hassan Shahe Bazar</v>
      </c>
      <c r="F484" s="10" t="str">
        <f>IFERROR(__xludf.DUMMYFUNCTION("""COMPUTED_VALUE"""),"reimc")</f>
        <v>reimc</v>
      </c>
      <c r="G484" s="10" t="str">
        <f>IFERROR(__xludf.DUMMYFUNCTION("""COMPUTED_VALUE"""),"Yes")</f>
        <v>Yes</v>
      </c>
      <c r="H484" s="10">
        <f>IFERROR(__xludf.DUMMYFUNCTION("""COMPUTED_VALUE"""),8.0)</f>
        <v>8</v>
      </c>
      <c r="I484" s="10">
        <f>IFERROR(__xludf.DUMMYFUNCTION("""COMPUTED_VALUE"""),2.0)</f>
        <v>2</v>
      </c>
      <c r="J484" s="10">
        <f>IFERROR(__xludf.DUMMYFUNCTION("""COMPUTED_VALUE"""),9.0)</f>
        <v>9</v>
      </c>
      <c r="K484" s="10">
        <f>IFERROR(__xludf.DUMMYFUNCTION("""COMPUTED_VALUE"""),0.0)</f>
        <v>0</v>
      </c>
      <c r="L484" s="10">
        <f>IFERROR(__xludf.DUMMYFUNCTION("""COMPUTED_VALUE"""),9.0)</f>
        <v>9</v>
      </c>
      <c r="M484" s="10">
        <f>IFERROR(__xludf.DUMMYFUNCTION("""COMPUTED_VALUE"""),0.0)</f>
        <v>0</v>
      </c>
      <c r="N484" s="10">
        <f>IFERROR(__xludf.DUMMYFUNCTION("""COMPUTED_VALUE"""),8.0)</f>
        <v>8</v>
      </c>
      <c r="O484" s="10">
        <f>IFERROR(__xludf.DUMMYFUNCTION("""COMPUTED_VALUE"""),0.0)</f>
        <v>0</v>
      </c>
      <c r="P484" s="10">
        <f>IFERROR(__xludf.DUMMYFUNCTION("""COMPUTED_VALUE"""),8.0)</f>
        <v>8</v>
      </c>
      <c r="Q484" s="10" t="str">
        <f>IFERROR(__xludf.DUMMYFUNCTION("""COMPUTED_VALUE"""),"No")</f>
        <v>No</v>
      </c>
      <c r="R484" s="10" t="str">
        <f>IFERROR(__xludf.DUMMYFUNCTION("""COMPUTED_VALUE"""),"Yes")</f>
        <v>Yes</v>
      </c>
      <c r="S484" s="10" t="str">
        <f>IFERROR(__xludf.DUMMYFUNCTION("""COMPUTED_VALUE"""),"No")</f>
        <v>No</v>
      </c>
      <c r="T484" s="10">
        <f>IFERROR(__xludf.DUMMYFUNCTION("""COMPUTED_VALUE"""),0.0)</f>
        <v>0</v>
      </c>
      <c r="U484" s="10">
        <f>IFERROR(__xludf.DUMMYFUNCTION("""COMPUTED_VALUE"""),0.0)</f>
        <v>0</v>
      </c>
      <c r="V484" s="10" t="str">
        <f>IFERROR(__xludf.DUMMYFUNCTION("""COMPUTED_VALUE"""),"Islam ma hamsaion k haqooq")</f>
        <v>Islam ma hamsaion k haqooq</v>
      </c>
      <c r="W484" s="10" t="str">
        <f>IFERROR(__xludf.DUMMYFUNCTION("""COMPUTED_VALUE"""),"Islam ma hamsaion k haqooq aur safai suthrai")</f>
        <v>Islam ma hamsaion k haqooq aur safai suthrai</v>
      </c>
      <c r="X484" s="10">
        <f>IFERROR(__xludf.DUMMYFUNCTION("""COMPUTED_VALUE"""),1.0)</f>
        <v>1</v>
      </c>
      <c r="Y484" s="10">
        <f>IFERROR(__xludf.DUMMYFUNCTION("""COMPUTED_VALUE"""),7.0)</f>
        <v>7</v>
      </c>
      <c r="Z484" s="10">
        <f>IFERROR(__xludf.DUMMYFUNCTION("""COMPUTED_VALUE"""),5.0)</f>
        <v>5</v>
      </c>
      <c r="AA484" s="10">
        <f>IFERROR(__xludf.DUMMYFUNCTION("""COMPUTED_VALUE"""),6.0)</f>
        <v>6</v>
      </c>
      <c r="AB484" s="10">
        <f>IFERROR(__xludf.DUMMYFUNCTION("""COMPUTED_VALUE"""),7.0)</f>
        <v>7</v>
      </c>
      <c r="AC484" s="10">
        <f>IFERROR(__xludf.DUMMYFUNCTION("""COMPUTED_VALUE"""),0.0)</f>
        <v>0</v>
      </c>
      <c r="AD484" s="10">
        <f>IFERROR(__xludf.DUMMYFUNCTION("""COMPUTED_VALUE"""),0.0)</f>
        <v>0</v>
      </c>
      <c r="AE484" s="10">
        <f>IFERROR(__xludf.DUMMYFUNCTION("""COMPUTED_VALUE"""),0.0)</f>
        <v>0</v>
      </c>
      <c r="AF484" s="10">
        <f>IFERROR(__xludf.DUMMYFUNCTION("""COMPUTED_VALUE"""),0.0)</f>
        <v>0</v>
      </c>
      <c r="AG484" s="10">
        <f>IFERROR(__xludf.DUMMYFUNCTION("""COMPUTED_VALUE"""),9.0)</f>
        <v>9</v>
      </c>
      <c r="AH484" s="10">
        <f>IFERROR(__xludf.DUMMYFUNCTION("""COMPUTED_VALUE"""),0.0)</f>
        <v>0</v>
      </c>
      <c r="AI484" s="10">
        <f>IFERROR(__xludf.DUMMYFUNCTION("""COMPUTED_VALUE"""),9.0)</f>
        <v>9</v>
      </c>
      <c r="AJ484" s="11" t="str">
        <f>IFERROR(__xludf.DUMMYFUNCTION("""COMPUTED_VALUE"""),"https://drive.google.com/open?id=1GFMbkd2PoWpDeS3l2uhKNqU27jawAKGH")</f>
        <v>https://drive.google.com/open?id=1GFMbkd2PoWpDeS3l2uhKNqU27jawAKGH</v>
      </c>
      <c r="AK484" s="12"/>
      <c r="AL484" s="12" t="str">
        <f>IFERROR(__xludf.DUMMYFUNCTION("""COMPUTED_VALUE"""),"Yes")</f>
        <v>Yes</v>
      </c>
      <c r="AM484" s="15">
        <f>IFERROR(__xludf.DUMMYFUNCTION("""COMPUTED_VALUE"""),0.8)</f>
        <v>0.8</v>
      </c>
      <c r="AN484" s="12" t="str">
        <f>IFERROR(__xludf.DUMMYFUNCTION("""COMPUTED_VALUE"""),"2nd week")</f>
        <v>2nd week</v>
      </c>
      <c r="AO484" s="13">
        <v>2.0</v>
      </c>
      <c r="AX484" s="17"/>
    </row>
    <row r="485">
      <c r="B485" s="9">
        <f>IFERROR(__xludf.DUMMYFUNCTION("""COMPUTED_VALUE"""),45888.107185706016)</f>
        <v>45888.10719</v>
      </c>
      <c r="C485" s="10" t="str">
        <f>IFERROR(__xludf.DUMMYFUNCTION("""COMPUTED_VALUE"""),"Shahid Iqbal")</f>
        <v>Shahid Iqbal</v>
      </c>
      <c r="D485" s="10" t="str">
        <f>IFERROR(__xludf.DUMMYFUNCTION("""COMPUTED_VALUE"""),"03013665049")</f>
        <v>03013665049</v>
      </c>
      <c r="E485" s="10" t="str">
        <f>IFERROR(__xludf.DUMMYFUNCTION("""COMPUTED_VALUE"""),"Jamia Masjid Shiekh Allah Wasaya Machli Bazar")</f>
        <v>Jamia Masjid Shiekh Allah Wasaya Machli Bazar</v>
      </c>
      <c r="F485" s="10" t="str">
        <f>IFERROR(__xludf.DUMMYFUNCTION("""COMPUTED_VALUE"""),"lrqvn")</f>
        <v>lrqvn</v>
      </c>
      <c r="G485" s="10" t="str">
        <f>IFERROR(__xludf.DUMMYFUNCTION("""COMPUTED_VALUE"""),"Yes")</f>
        <v>Yes</v>
      </c>
      <c r="H485" s="10">
        <f>IFERROR(__xludf.DUMMYFUNCTION("""COMPUTED_VALUE"""),8.0)</f>
        <v>8</v>
      </c>
      <c r="I485" s="10">
        <f>IFERROR(__xludf.DUMMYFUNCTION("""COMPUTED_VALUE"""),2.0)</f>
        <v>2</v>
      </c>
      <c r="J485" s="10">
        <f>IFERROR(__xludf.DUMMYFUNCTION("""COMPUTED_VALUE"""),10.0)</f>
        <v>10</v>
      </c>
      <c r="K485" s="10">
        <f>IFERROR(__xludf.DUMMYFUNCTION("""COMPUTED_VALUE"""),0.0)</f>
        <v>0</v>
      </c>
      <c r="L485" s="10">
        <f>IFERROR(__xludf.DUMMYFUNCTION("""COMPUTED_VALUE"""),10.0)</f>
        <v>10</v>
      </c>
      <c r="M485" s="10">
        <f>IFERROR(__xludf.DUMMYFUNCTION("""COMPUTED_VALUE"""),0.0)</f>
        <v>0</v>
      </c>
      <c r="N485" s="10">
        <f>IFERROR(__xludf.DUMMYFUNCTION("""COMPUTED_VALUE"""),10.0)</f>
        <v>10</v>
      </c>
      <c r="O485" s="10">
        <f>IFERROR(__xludf.DUMMYFUNCTION("""COMPUTED_VALUE"""),0.0)</f>
        <v>0</v>
      </c>
      <c r="P485" s="10">
        <f>IFERROR(__xludf.DUMMYFUNCTION("""COMPUTED_VALUE"""),8.0)</f>
        <v>8</v>
      </c>
      <c r="Q485" s="10" t="str">
        <f>IFERROR(__xludf.DUMMYFUNCTION("""COMPUTED_VALUE"""),"No")</f>
        <v>No</v>
      </c>
      <c r="R485" s="10" t="str">
        <f>IFERROR(__xludf.DUMMYFUNCTION("""COMPUTED_VALUE"""),"Yes")</f>
        <v>Yes</v>
      </c>
      <c r="S485" s="10" t="str">
        <f>IFERROR(__xludf.DUMMYFUNCTION("""COMPUTED_VALUE"""),"No")</f>
        <v>No</v>
      </c>
      <c r="T485" s="10">
        <f>IFERROR(__xludf.DUMMYFUNCTION("""COMPUTED_VALUE"""),0.0)</f>
        <v>0</v>
      </c>
      <c r="U485" s="10">
        <f>IFERROR(__xludf.DUMMYFUNCTION("""COMPUTED_VALUE"""),0.0)</f>
        <v>0</v>
      </c>
      <c r="V485" s="10" t="str">
        <f>IFERROR(__xludf.DUMMYFUNCTION("""COMPUTED_VALUE"""),"Islam Ma hamsaion k haqooq")</f>
        <v>Islam Ma hamsaion k haqooq</v>
      </c>
      <c r="W485" s="10" t="str">
        <f>IFERROR(__xludf.DUMMYFUNCTION("""COMPUTED_VALUE"""),"Islam Ma hamsaion k haqooq aur Mohaly ki safai suthrai")</f>
        <v>Islam Ma hamsaion k haqooq aur Mohaly ki safai suthrai</v>
      </c>
      <c r="X485" s="10">
        <f>IFERROR(__xludf.DUMMYFUNCTION("""COMPUTED_VALUE"""),1.0)</f>
        <v>1</v>
      </c>
      <c r="Y485" s="10">
        <f>IFERROR(__xludf.DUMMYFUNCTION("""COMPUTED_VALUE"""),7.0)</f>
        <v>7</v>
      </c>
      <c r="Z485" s="10">
        <f>IFERROR(__xludf.DUMMYFUNCTION("""COMPUTED_VALUE"""),4.0)</f>
        <v>4</v>
      </c>
      <c r="AA485" s="10">
        <f>IFERROR(__xludf.DUMMYFUNCTION("""COMPUTED_VALUE"""),6.0)</f>
        <v>6</v>
      </c>
      <c r="AB485" s="10">
        <f>IFERROR(__xludf.DUMMYFUNCTION("""COMPUTED_VALUE"""),3.0)</f>
        <v>3</v>
      </c>
      <c r="AC485" s="10">
        <f>IFERROR(__xludf.DUMMYFUNCTION("""COMPUTED_VALUE"""),1.0)</f>
        <v>1</v>
      </c>
      <c r="AD485" s="10">
        <f>IFERROR(__xludf.DUMMYFUNCTION("""COMPUTED_VALUE"""),0.0)</f>
        <v>0</v>
      </c>
      <c r="AE485" s="10">
        <f>IFERROR(__xludf.DUMMYFUNCTION("""COMPUTED_VALUE"""),0.0)</f>
        <v>0</v>
      </c>
      <c r="AF485" s="10">
        <f>IFERROR(__xludf.DUMMYFUNCTION("""COMPUTED_VALUE"""),0.0)</f>
        <v>0</v>
      </c>
      <c r="AG485" s="10">
        <f>IFERROR(__xludf.DUMMYFUNCTION("""COMPUTED_VALUE"""),9.0)</f>
        <v>9</v>
      </c>
      <c r="AH485" s="10">
        <f>IFERROR(__xludf.DUMMYFUNCTION("""COMPUTED_VALUE"""),0.0)</f>
        <v>0</v>
      </c>
      <c r="AI485" s="10">
        <f>IFERROR(__xludf.DUMMYFUNCTION("""COMPUTED_VALUE"""),10.0)</f>
        <v>10</v>
      </c>
      <c r="AJ485" s="11" t="str">
        <f>IFERROR(__xludf.DUMMYFUNCTION("""COMPUTED_VALUE"""),"https://drive.google.com/open?id=1e5LPiVB9swGGjWLjgf72wtlIkiD_66Pa")</f>
        <v>https://drive.google.com/open?id=1e5LPiVB9swGGjWLjgf72wtlIkiD_66Pa</v>
      </c>
      <c r="AK485" s="12"/>
      <c r="AL485" s="12" t="str">
        <f>IFERROR(__xludf.DUMMYFUNCTION("""COMPUTED_VALUE"""),"Yes")</f>
        <v>Yes</v>
      </c>
      <c r="AM485" s="15">
        <f>IFERROR(__xludf.DUMMYFUNCTION("""COMPUTED_VALUE"""),0.8)</f>
        <v>0.8</v>
      </c>
      <c r="AN485" s="12" t="str">
        <f>IFERROR(__xludf.DUMMYFUNCTION("""COMPUTED_VALUE"""),"2nd week")</f>
        <v>2nd week</v>
      </c>
      <c r="AO485" s="13">
        <v>2.0</v>
      </c>
      <c r="AX485" s="17"/>
    </row>
    <row r="486">
      <c r="B486" s="9">
        <f>IFERROR(__xludf.DUMMYFUNCTION("""COMPUTED_VALUE"""),45888.111087418976)</f>
        <v>45888.11109</v>
      </c>
      <c r="C486" s="10" t="str">
        <f>IFERROR(__xludf.DUMMYFUNCTION("""COMPUTED_VALUE"""),"Shahid Iqbal")</f>
        <v>Shahid Iqbal</v>
      </c>
      <c r="D486" s="10" t="str">
        <f>IFERROR(__xludf.DUMMYFUNCTION("""COMPUTED_VALUE"""),"03013665049")</f>
        <v>03013665049</v>
      </c>
      <c r="E486" s="10" t="str">
        <f>IFERROR(__xludf.DUMMYFUNCTION("""COMPUTED_VALUE"""),"Jamia Masjid Bostan Aziz Bahawalpur")</f>
        <v>Jamia Masjid Bostan Aziz Bahawalpur</v>
      </c>
      <c r="F486" s="10" t="str">
        <f>IFERROR(__xludf.DUMMYFUNCTION("""COMPUTED_VALUE"""),"rthfh")</f>
        <v>rthfh</v>
      </c>
      <c r="G486" s="10" t="str">
        <f>IFERROR(__xludf.DUMMYFUNCTION("""COMPUTED_VALUE"""),"Yes")</f>
        <v>Yes</v>
      </c>
      <c r="H486" s="10">
        <f>IFERROR(__xludf.DUMMYFUNCTION("""COMPUTED_VALUE"""),10.0)</f>
        <v>10</v>
      </c>
      <c r="I486" s="10">
        <f>IFERROR(__xludf.DUMMYFUNCTION("""COMPUTED_VALUE"""),0.0)</f>
        <v>0</v>
      </c>
      <c r="J486" s="10">
        <f>IFERROR(__xludf.DUMMYFUNCTION("""COMPUTED_VALUE"""),10.0)</f>
        <v>10</v>
      </c>
      <c r="K486" s="10">
        <f>IFERROR(__xludf.DUMMYFUNCTION("""COMPUTED_VALUE"""),0.0)</f>
        <v>0</v>
      </c>
      <c r="L486" s="10">
        <f>IFERROR(__xludf.DUMMYFUNCTION("""COMPUTED_VALUE"""),10.0)</f>
        <v>10</v>
      </c>
      <c r="M486" s="10">
        <f>IFERROR(__xludf.DUMMYFUNCTION("""COMPUTED_VALUE"""),0.0)</f>
        <v>0</v>
      </c>
      <c r="N486" s="10">
        <f>IFERROR(__xludf.DUMMYFUNCTION("""COMPUTED_VALUE"""),10.0)</f>
        <v>10</v>
      </c>
      <c r="O486" s="10">
        <f>IFERROR(__xludf.DUMMYFUNCTION("""COMPUTED_VALUE"""),0.0)</f>
        <v>0</v>
      </c>
      <c r="P486" s="10">
        <f>IFERROR(__xludf.DUMMYFUNCTION("""COMPUTED_VALUE"""),10.0)</f>
        <v>10</v>
      </c>
      <c r="Q486" s="10" t="str">
        <f>IFERROR(__xludf.DUMMYFUNCTION("""COMPUTED_VALUE"""),"No")</f>
        <v>No</v>
      </c>
      <c r="R486" s="10" t="str">
        <f>IFERROR(__xludf.DUMMYFUNCTION("""COMPUTED_VALUE"""),"Yes")</f>
        <v>Yes</v>
      </c>
      <c r="S486" s="10" t="str">
        <f>IFERROR(__xludf.DUMMYFUNCTION("""COMPUTED_VALUE"""),"No")</f>
        <v>No</v>
      </c>
      <c r="T486" s="10">
        <f>IFERROR(__xludf.DUMMYFUNCTION("""COMPUTED_VALUE"""),0.0)</f>
        <v>0</v>
      </c>
      <c r="U486" s="10">
        <f>IFERROR(__xludf.DUMMYFUNCTION("""COMPUTED_VALUE"""),0.0)</f>
        <v>0</v>
      </c>
      <c r="V486" s="10" t="str">
        <f>IFERROR(__xludf.DUMMYFUNCTION("""COMPUTED_VALUE"""),"Islam ma Hamsaion k haqooq")</f>
        <v>Islam ma Hamsaion k haqooq</v>
      </c>
      <c r="W486" s="10" t="str">
        <f>IFERROR(__xludf.DUMMYFUNCTION("""COMPUTED_VALUE"""),"Islam ma Hamsaion k haqooq aur Safai suthrai")</f>
        <v>Islam ma Hamsaion k haqooq aur Safai suthrai</v>
      </c>
      <c r="X486" s="10">
        <f>IFERROR(__xludf.DUMMYFUNCTION("""COMPUTED_VALUE"""),0.0)</f>
        <v>0</v>
      </c>
      <c r="Y486" s="10">
        <f>IFERROR(__xludf.DUMMYFUNCTION("""COMPUTED_VALUE"""),8.0)</f>
        <v>8</v>
      </c>
      <c r="Z486" s="10">
        <f>IFERROR(__xludf.DUMMYFUNCTION("""COMPUTED_VALUE"""),7.0)</f>
        <v>7</v>
      </c>
      <c r="AA486" s="10">
        <f>IFERROR(__xludf.DUMMYFUNCTION("""COMPUTED_VALUE"""),9.0)</f>
        <v>9</v>
      </c>
      <c r="AB486" s="10">
        <f>IFERROR(__xludf.DUMMYFUNCTION("""COMPUTED_VALUE"""),4.0)</f>
        <v>4</v>
      </c>
      <c r="AC486" s="10">
        <f>IFERROR(__xludf.DUMMYFUNCTION("""COMPUTED_VALUE"""),0.0)</f>
        <v>0</v>
      </c>
      <c r="AD486" s="10">
        <f>IFERROR(__xludf.DUMMYFUNCTION("""COMPUTED_VALUE"""),0.0)</f>
        <v>0</v>
      </c>
      <c r="AE486" s="10">
        <f>IFERROR(__xludf.DUMMYFUNCTION("""COMPUTED_VALUE"""),0.0)</f>
        <v>0</v>
      </c>
      <c r="AF486" s="10">
        <f>IFERROR(__xludf.DUMMYFUNCTION("""COMPUTED_VALUE"""),0.0)</f>
        <v>0</v>
      </c>
      <c r="AG486" s="10">
        <f>IFERROR(__xludf.DUMMYFUNCTION("""COMPUTED_VALUE"""),9.0)</f>
        <v>9</v>
      </c>
      <c r="AH486" s="10">
        <f>IFERROR(__xludf.DUMMYFUNCTION("""COMPUTED_VALUE"""),0.0)</f>
        <v>0</v>
      </c>
      <c r="AI486" s="10">
        <f>IFERROR(__xludf.DUMMYFUNCTION("""COMPUTED_VALUE"""),10.0)</f>
        <v>10</v>
      </c>
      <c r="AJ486" s="11" t="str">
        <f>IFERROR(__xludf.DUMMYFUNCTION("""COMPUTED_VALUE"""),"https://drive.google.com/open?id=1xZ1NbdZ9lGP-JPWL4BJdDcAn5gGIfr3r")</f>
        <v>https://drive.google.com/open?id=1xZ1NbdZ9lGP-JPWL4BJdDcAn5gGIfr3r</v>
      </c>
      <c r="AK486" s="12"/>
      <c r="AL486" s="12" t="str">
        <f>IFERROR(__xludf.DUMMYFUNCTION("""COMPUTED_VALUE"""),"Yes")</f>
        <v>Yes</v>
      </c>
      <c r="AM486" s="15">
        <f>IFERROR(__xludf.DUMMYFUNCTION("""COMPUTED_VALUE"""),1.0)</f>
        <v>1</v>
      </c>
      <c r="AN486" s="12" t="str">
        <f>IFERROR(__xludf.DUMMYFUNCTION("""COMPUTED_VALUE"""),"2nd week")</f>
        <v>2nd week</v>
      </c>
      <c r="AO486" s="13">
        <v>2.0</v>
      </c>
      <c r="AX486" s="17"/>
    </row>
    <row r="487">
      <c r="B487" s="9">
        <f>IFERROR(__xludf.DUMMYFUNCTION("""COMPUTED_VALUE"""),45888.12331398149)</f>
        <v>45888.12331</v>
      </c>
      <c r="C487" s="10" t="str">
        <f>IFERROR(__xludf.DUMMYFUNCTION("""COMPUTED_VALUE"""),"Shahid Iqbal")</f>
        <v>Shahid Iqbal</v>
      </c>
      <c r="D487" s="10" t="str">
        <f>IFERROR(__xludf.DUMMYFUNCTION("""COMPUTED_VALUE"""),"03013665049")</f>
        <v>03013665049</v>
      </c>
      <c r="E487" s="10" t="str">
        <f>IFERROR(__xludf.DUMMYFUNCTION("""COMPUTED_VALUE"""),"Jamia Masjid Nazamat / Nazamat market Railway Road Rahim Yar Khan")</f>
        <v>Jamia Masjid Nazamat / Nazamat market Railway Road Rahim Yar Khan</v>
      </c>
      <c r="F487" s="10" t="str">
        <f>IFERROR(__xludf.DUMMYFUNCTION("""COMPUTED_VALUE"""),"xxfos")</f>
        <v>xxfos</v>
      </c>
      <c r="G487" s="10" t="str">
        <f>IFERROR(__xludf.DUMMYFUNCTION("""COMPUTED_VALUE"""),"Yes")</f>
        <v>Yes</v>
      </c>
      <c r="H487" s="10">
        <f>IFERROR(__xludf.DUMMYFUNCTION("""COMPUTED_VALUE"""),4.0)</f>
        <v>4</v>
      </c>
      <c r="I487" s="10">
        <f>IFERROR(__xludf.DUMMYFUNCTION("""COMPUTED_VALUE"""),6.0)</f>
        <v>6</v>
      </c>
      <c r="J487" s="10">
        <f>IFERROR(__xludf.DUMMYFUNCTION("""COMPUTED_VALUE"""),6.0)</f>
        <v>6</v>
      </c>
      <c r="K487" s="10">
        <f>IFERROR(__xludf.DUMMYFUNCTION("""COMPUTED_VALUE"""),1.0)</f>
        <v>1</v>
      </c>
      <c r="L487" s="10">
        <f>IFERROR(__xludf.DUMMYFUNCTION("""COMPUTED_VALUE"""),6.0)</f>
        <v>6</v>
      </c>
      <c r="M487" s="10">
        <f>IFERROR(__xludf.DUMMYFUNCTION("""COMPUTED_VALUE"""),2.0)</f>
        <v>2</v>
      </c>
      <c r="N487" s="10">
        <f>IFERROR(__xludf.DUMMYFUNCTION("""COMPUTED_VALUE"""),7.0)</f>
        <v>7</v>
      </c>
      <c r="O487" s="10">
        <f>IFERROR(__xludf.DUMMYFUNCTION("""COMPUTED_VALUE"""),0.0)</f>
        <v>0</v>
      </c>
      <c r="P487" s="10">
        <f>IFERROR(__xludf.DUMMYFUNCTION("""COMPUTED_VALUE"""),6.0)</f>
        <v>6</v>
      </c>
      <c r="Q487" s="10" t="str">
        <f>IFERROR(__xludf.DUMMYFUNCTION("""COMPUTED_VALUE"""),"No")</f>
        <v>No</v>
      </c>
      <c r="R487" s="10" t="str">
        <f>IFERROR(__xludf.DUMMYFUNCTION("""COMPUTED_VALUE"""),"No")</f>
        <v>No</v>
      </c>
      <c r="S487" s="10" t="str">
        <f>IFERROR(__xludf.DUMMYFUNCTION("""COMPUTED_VALUE"""),"No")</f>
        <v>No</v>
      </c>
      <c r="T487" s="10">
        <f>IFERROR(__xludf.DUMMYFUNCTION("""COMPUTED_VALUE"""),0.0)</f>
        <v>0</v>
      </c>
      <c r="U487" s="10">
        <f>IFERROR(__xludf.DUMMYFUNCTION("""COMPUTED_VALUE"""),0.0)</f>
        <v>0</v>
      </c>
      <c r="V487" s="10" t="str">
        <f>IFERROR(__xludf.DUMMYFUNCTION("""COMPUTED_VALUE"""),"حقوق العباد ہمسایوں کے حقوق اولاد کی تربیت کی طرف عدم توجہ ")</f>
        <v>حقوق العباد ہمسایوں کے حقوق اولاد کی تربیت کی طرف عدم توجہ </v>
      </c>
      <c r="W487" s="10" t="str">
        <f>IFERROR(__xludf.DUMMYFUNCTION("""COMPUTED_VALUE"""),"حقوق العباد ہمسایوں کے حقوق اولاد کی تربیت کی طرف عدم توجہ دولت کا پاس ہونا لیکن نیکی کے کاموں کی طرف بخل سے کام لینا عورتوں کے حقوق")</f>
        <v>حقوق العباد ہمسایوں کے حقوق اولاد کی تربیت کی طرف عدم توجہ دولت کا پاس ہونا لیکن نیکی کے کاموں کی طرف بخل سے کام لینا عورتوں کے حقوق</v>
      </c>
      <c r="X487" s="10">
        <f>IFERROR(__xludf.DUMMYFUNCTION("""COMPUTED_VALUE"""),3.0)</f>
        <v>3</v>
      </c>
      <c r="Y487" s="10">
        <f>IFERROR(__xludf.DUMMYFUNCTION("""COMPUTED_VALUE"""),5.0)</f>
        <v>5</v>
      </c>
      <c r="Z487" s="10">
        <f>IFERROR(__xludf.DUMMYFUNCTION("""COMPUTED_VALUE"""),5.0)</f>
        <v>5</v>
      </c>
      <c r="AA487" s="10">
        <f>IFERROR(__xludf.DUMMYFUNCTION("""COMPUTED_VALUE"""),8.0)</f>
        <v>8</v>
      </c>
      <c r="AB487" s="10">
        <f>IFERROR(__xludf.DUMMYFUNCTION("""COMPUTED_VALUE"""),3.0)</f>
        <v>3</v>
      </c>
      <c r="AC487" s="10">
        <f>IFERROR(__xludf.DUMMYFUNCTION("""COMPUTED_VALUE"""),0.0)</f>
        <v>0</v>
      </c>
      <c r="AD487" s="10">
        <f>IFERROR(__xludf.DUMMYFUNCTION("""COMPUTED_VALUE"""),0.0)</f>
        <v>0</v>
      </c>
      <c r="AE487" s="10">
        <f>IFERROR(__xludf.DUMMYFUNCTION("""COMPUTED_VALUE"""),0.0)</f>
        <v>0</v>
      </c>
      <c r="AF487" s="10">
        <f>IFERROR(__xludf.DUMMYFUNCTION("""COMPUTED_VALUE"""),0.0)</f>
        <v>0</v>
      </c>
      <c r="AG487" s="10">
        <f>IFERROR(__xludf.DUMMYFUNCTION("""COMPUTED_VALUE"""),9.0)</f>
        <v>9</v>
      </c>
      <c r="AH487" s="10">
        <f>IFERROR(__xludf.DUMMYFUNCTION("""COMPUTED_VALUE"""),0.0)</f>
        <v>0</v>
      </c>
      <c r="AI487" s="10">
        <f>IFERROR(__xludf.DUMMYFUNCTION("""COMPUTED_VALUE"""),10.0)</f>
        <v>10</v>
      </c>
      <c r="AJ487" s="11" t="str">
        <f>IFERROR(__xludf.DUMMYFUNCTION("""COMPUTED_VALUE"""),"https://drive.google.com/open?id=18w7id0yIAU5-eNeiSapiM-TtM6ulvgky")</f>
        <v>https://drive.google.com/open?id=18w7id0yIAU5-eNeiSapiM-TtM6ulvgky</v>
      </c>
      <c r="AK487" s="12"/>
      <c r="AL487" s="12" t="str">
        <f>IFERROR(__xludf.DUMMYFUNCTION("""COMPUTED_VALUE"""),"Yes")</f>
        <v>Yes</v>
      </c>
      <c r="AM487" s="15">
        <f>IFERROR(__xludf.DUMMYFUNCTION("""COMPUTED_VALUE"""),0.4)</f>
        <v>0.4</v>
      </c>
      <c r="AN487" s="12" t="str">
        <f>IFERROR(__xludf.DUMMYFUNCTION("""COMPUTED_VALUE"""),"2nd week")</f>
        <v>2nd week</v>
      </c>
      <c r="AO487" s="13">
        <v>2.0</v>
      </c>
      <c r="AX487" s="17"/>
    </row>
    <row r="488">
      <c r="B488" s="9">
        <f>IFERROR(__xludf.DUMMYFUNCTION("""COMPUTED_VALUE"""),45888.12916627315)</f>
        <v>45888.12917</v>
      </c>
      <c r="C488" s="10" t="str">
        <f>IFERROR(__xludf.DUMMYFUNCTION("""COMPUTED_VALUE"""),"Shahid Iqbal")</f>
        <v>Shahid Iqbal</v>
      </c>
      <c r="D488" s="10" t="str">
        <f>IFERROR(__xludf.DUMMYFUNCTION("""COMPUTED_VALUE"""),"03013665049")</f>
        <v>03013665049</v>
      </c>
      <c r="E488" s="10" t="str">
        <f>IFERROR(__xludf.DUMMYFUNCTION("""COMPUTED_VALUE"""),"Jamia Masjid Gul Wali Haram Gate Multan")</f>
        <v>Jamia Masjid Gul Wali Haram Gate Multan</v>
      </c>
      <c r="F488" s="10" t="str">
        <f>IFERROR(__xludf.DUMMYFUNCTION("""COMPUTED_VALUE"""),"vbdpl")</f>
        <v>vbdpl</v>
      </c>
      <c r="G488" s="10" t="str">
        <f>IFERROR(__xludf.DUMMYFUNCTION("""COMPUTED_VALUE"""),"Yes")</f>
        <v>Yes</v>
      </c>
      <c r="H488" s="10">
        <f>IFERROR(__xludf.DUMMYFUNCTION("""COMPUTED_VALUE"""),6.0)</f>
        <v>6</v>
      </c>
      <c r="I488" s="10">
        <f>IFERROR(__xludf.DUMMYFUNCTION("""COMPUTED_VALUE"""),3.0)</f>
        <v>3</v>
      </c>
      <c r="J488" s="10">
        <f>IFERROR(__xludf.DUMMYFUNCTION("""COMPUTED_VALUE"""),8.0)</f>
        <v>8</v>
      </c>
      <c r="K488" s="10">
        <f>IFERROR(__xludf.DUMMYFUNCTION("""COMPUTED_VALUE"""),0.0)</f>
        <v>0</v>
      </c>
      <c r="L488" s="10">
        <f>IFERROR(__xludf.DUMMYFUNCTION("""COMPUTED_VALUE"""),8.0)</f>
        <v>8</v>
      </c>
      <c r="M488" s="10">
        <f>IFERROR(__xludf.DUMMYFUNCTION("""COMPUTED_VALUE"""),0.0)</f>
        <v>0</v>
      </c>
      <c r="N488" s="10">
        <f>IFERROR(__xludf.DUMMYFUNCTION("""COMPUTED_VALUE"""),8.0)</f>
        <v>8</v>
      </c>
      <c r="O488" s="10">
        <f>IFERROR(__xludf.DUMMYFUNCTION("""COMPUTED_VALUE"""),0.0)</f>
        <v>0</v>
      </c>
      <c r="P488" s="10">
        <f>IFERROR(__xludf.DUMMYFUNCTION("""COMPUTED_VALUE"""),7.0)</f>
        <v>7</v>
      </c>
      <c r="Q488" s="10" t="str">
        <f>IFERROR(__xludf.DUMMYFUNCTION("""COMPUTED_VALUE"""),"No")</f>
        <v>No</v>
      </c>
      <c r="R488" s="10" t="str">
        <f>IFERROR(__xludf.DUMMYFUNCTION("""COMPUTED_VALUE"""),"Yes")</f>
        <v>Yes</v>
      </c>
      <c r="S488" s="10" t="str">
        <f>IFERROR(__xludf.DUMMYFUNCTION("""COMPUTED_VALUE"""),"No")</f>
        <v>No</v>
      </c>
      <c r="T488" s="10">
        <f>IFERROR(__xludf.DUMMYFUNCTION("""COMPUTED_VALUE"""),0.0)</f>
        <v>0</v>
      </c>
      <c r="U488" s="10">
        <f>IFERROR(__xludf.DUMMYFUNCTION("""COMPUTED_VALUE"""),0.0)</f>
        <v>0</v>
      </c>
      <c r="V488" s="10" t="str">
        <f>IFERROR(__xludf.DUMMYFUNCTION("""COMPUTED_VALUE"""),"Hamsaion k haqooq")</f>
        <v>Hamsaion k haqooq</v>
      </c>
      <c r="W488" s="10" t="str">
        <f>IFERROR(__xludf.DUMMYFUNCTION("""COMPUTED_VALUE"""),"Islam ma hamsaion k haqooq")</f>
        <v>Islam ma hamsaion k haqooq</v>
      </c>
      <c r="X488" s="10">
        <f>IFERROR(__xludf.DUMMYFUNCTION("""COMPUTED_VALUE"""),2.0)</f>
        <v>2</v>
      </c>
      <c r="Y488" s="10">
        <f>IFERROR(__xludf.DUMMYFUNCTION("""COMPUTED_VALUE"""),6.0)</f>
        <v>6</v>
      </c>
      <c r="Z488" s="10">
        <f>IFERROR(__xludf.DUMMYFUNCTION("""COMPUTED_VALUE"""),7.0)</f>
        <v>7</v>
      </c>
      <c r="AA488" s="10">
        <f>IFERROR(__xludf.DUMMYFUNCTION("""COMPUTED_VALUE"""),8.0)</f>
        <v>8</v>
      </c>
      <c r="AB488" s="10">
        <f>IFERROR(__xludf.DUMMYFUNCTION("""COMPUTED_VALUE"""),2.0)</f>
        <v>2</v>
      </c>
      <c r="AC488" s="10">
        <f>IFERROR(__xludf.DUMMYFUNCTION("""COMPUTED_VALUE"""),0.0)</f>
        <v>0</v>
      </c>
      <c r="AD488" s="10">
        <f>IFERROR(__xludf.DUMMYFUNCTION("""COMPUTED_VALUE"""),0.0)</f>
        <v>0</v>
      </c>
      <c r="AE488" s="10">
        <f>IFERROR(__xludf.DUMMYFUNCTION("""COMPUTED_VALUE"""),0.0)</f>
        <v>0</v>
      </c>
      <c r="AF488" s="10">
        <f>IFERROR(__xludf.DUMMYFUNCTION("""COMPUTED_VALUE"""),0.0)</f>
        <v>0</v>
      </c>
      <c r="AG488" s="10">
        <f>IFERROR(__xludf.DUMMYFUNCTION("""COMPUTED_VALUE"""),8.0)</f>
        <v>8</v>
      </c>
      <c r="AH488" s="10">
        <f>IFERROR(__xludf.DUMMYFUNCTION("""COMPUTED_VALUE"""),0.0)</f>
        <v>0</v>
      </c>
      <c r="AI488" s="10">
        <f>IFERROR(__xludf.DUMMYFUNCTION("""COMPUTED_VALUE"""),9.0)</f>
        <v>9</v>
      </c>
      <c r="AJ488" s="11" t="str">
        <f>IFERROR(__xludf.DUMMYFUNCTION("""COMPUTED_VALUE"""),"https://drive.google.com/open?id=1TKMRl913zqEDSznSkbNVBknLC7BCADg_")</f>
        <v>https://drive.google.com/open?id=1TKMRl913zqEDSznSkbNVBknLC7BCADg_</v>
      </c>
      <c r="AK488" s="12"/>
      <c r="AL488" s="12" t="str">
        <f>IFERROR(__xludf.DUMMYFUNCTION("""COMPUTED_VALUE"""),"Yes")</f>
        <v>Yes</v>
      </c>
      <c r="AM488" s="15">
        <f>IFERROR(__xludf.DUMMYFUNCTION("""COMPUTED_VALUE"""),0.7)</f>
        <v>0.7</v>
      </c>
      <c r="AN488" s="12" t="str">
        <f>IFERROR(__xludf.DUMMYFUNCTION("""COMPUTED_VALUE"""),"3rd week")</f>
        <v>3rd week</v>
      </c>
      <c r="AO488" s="13">
        <v>3.0</v>
      </c>
      <c r="AX488" s="17"/>
    </row>
    <row r="489">
      <c r="B489" s="9">
        <f>IFERROR(__xludf.DUMMYFUNCTION("""COMPUTED_VALUE"""),45888.1538622338)</f>
        <v>45888.15386</v>
      </c>
      <c r="C489" s="10" t="str">
        <f>IFERROR(__xludf.DUMMYFUNCTION("""COMPUTED_VALUE"""),"Saira Shahzad ")</f>
        <v>Saira Shahzad </v>
      </c>
      <c r="D489" s="10" t="str">
        <f>IFERROR(__xludf.DUMMYFUNCTION("""COMPUTED_VALUE"""),"03114534696")</f>
        <v>03114534696</v>
      </c>
      <c r="E489" s="10" t="str">
        <f>IFERROR(__xludf.DUMMYFUNCTION("""COMPUTED_VALUE"""),"Jamia Masjid Sirajaan Wali Hussain Agahi Multan")</f>
        <v>Jamia Masjid Sirajaan Wali Hussain Agahi Multan</v>
      </c>
      <c r="F489" s="10" t="str">
        <f>IFERROR(__xludf.DUMMYFUNCTION("""COMPUTED_VALUE"""),"ynbeh")</f>
        <v>ynbeh</v>
      </c>
      <c r="G489" s="10" t="str">
        <f>IFERROR(__xludf.DUMMYFUNCTION("""COMPUTED_VALUE"""),"No")</f>
        <v>No</v>
      </c>
      <c r="H489" s="10"/>
      <c r="I489" s="10"/>
      <c r="J489" s="10"/>
      <c r="K489" s="10">
        <f>IFERROR(__xludf.DUMMYFUNCTION("""COMPUTED_VALUE"""),0.0)</f>
        <v>0</v>
      </c>
      <c r="L489" s="10">
        <f>IFERROR(__xludf.DUMMYFUNCTION("""COMPUTED_VALUE"""),0.0)</f>
        <v>0</v>
      </c>
      <c r="M489" s="10">
        <f>IFERROR(__xludf.DUMMYFUNCTION("""COMPUTED_VALUE"""),0.0)</f>
        <v>0</v>
      </c>
      <c r="N489" s="10">
        <f>IFERROR(__xludf.DUMMYFUNCTION("""COMPUTED_VALUE"""),0.0)</f>
        <v>0</v>
      </c>
      <c r="O489" s="10">
        <f>IFERROR(__xludf.DUMMYFUNCTION("""COMPUTED_VALUE"""),0.0)</f>
        <v>0</v>
      </c>
      <c r="P489" s="10">
        <f>IFERROR(__xludf.DUMMYFUNCTION("""COMPUTED_VALUE"""),0.0)</f>
        <v>0</v>
      </c>
      <c r="Q489" s="10" t="str">
        <f>IFERROR(__xludf.DUMMYFUNCTION("""COMPUTED_VALUE"""),"No")</f>
        <v>No</v>
      </c>
      <c r="R489" s="10" t="str">
        <f>IFERROR(__xludf.DUMMYFUNCTION("""COMPUTED_VALUE"""),"No")</f>
        <v>No</v>
      </c>
      <c r="S489" s="10" t="str">
        <f>IFERROR(__xludf.DUMMYFUNCTION("""COMPUTED_VALUE"""),"No")</f>
        <v>No</v>
      </c>
      <c r="T489" s="10">
        <f>IFERROR(__xludf.DUMMYFUNCTION("""COMPUTED_VALUE"""),0.0)</f>
        <v>0</v>
      </c>
      <c r="U489" s="10">
        <f>IFERROR(__xludf.DUMMYFUNCTION("""COMPUTED_VALUE"""),0.0)</f>
        <v>0</v>
      </c>
      <c r="V489" s="10" t="str">
        <f>IFERROR(__xludf.DUMMYFUNCTION("""COMPUTED_VALUE"""),"حضور پاک صلی اللہ علیہ والہ وسلم کی اطاعت اور صحابہ کرام کا کردار")</f>
        <v>حضور پاک صلی اللہ علیہ والہ وسلم کی اطاعت اور صحابہ کرام کا کردار</v>
      </c>
      <c r="W489" s="10" t="str">
        <f>IFERROR(__xludf.DUMMYFUNCTION("""COMPUTED_VALUE"""),"امام نے اس بیان میں اہل سنت پر عمل کرتے ہوئے نبی پاک صلی اللہ علیہ وسلم کی اطاعت کا حکم دیا ہے اور صحابہ کرام کی مثالیں بیان کی ہیں کہ وہ کس طرح نبی پاک صلی اللہ علیہ والہ وسلم کے حکم کو پورا کرتے تھے اور اللہ کے نیک ولیوں کا ذکر کیا ہے")</f>
        <v>امام نے اس بیان میں اہل سنت پر عمل کرتے ہوئے نبی پاک صلی اللہ علیہ وسلم کی اطاعت کا حکم دیا ہے اور صحابہ کرام کی مثالیں بیان کی ہیں کہ وہ کس طرح نبی پاک صلی اللہ علیہ والہ وسلم کے حکم کو پورا کرتے تھے اور اللہ کے نیک ولیوں کا ذکر کیا ہے</v>
      </c>
      <c r="X489" s="10">
        <f>IFERROR(__xludf.DUMMYFUNCTION("""COMPUTED_VALUE"""),4.0)</f>
        <v>4</v>
      </c>
      <c r="Y489" s="10">
        <f>IFERROR(__xludf.DUMMYFUNCTION("""COMPUTED_VALUE"""),6.0)</f>
        <v>6</v>
      </c>
      <c r="Z489" s="10">
        <f>IFERROR(__xludf.DUMMYFUNCTION("""COMPUTED_VALUE"""),6.0)</f>
        <v>6</v>
      </c>
      <c r="AA489" s="10">
        <f>IFERROR(__xludf.DUMMYFUNCTION("""COMPUTED_VALUE"""),5.0)</f>
        <v>5</v>
      </c>
      <c r="AB489" s="10">
        <f>IFERROR(__xludf.DUMMYFUNCTION("""COMPUTED_VALUE"""),5.0)</f>
        <v>5</v>
      </c>
      <c r="AC489" s="10">
        <f>IFERROR(__xludf.DUMMYFUNCTION("""COMPUTED_VALUE"""),0.0)</f>
        <v>0</v>
      </c>
      <c r="AD489" s="10">
        <f>IFERROR(__xludf.DUMMYFUNCTION("""COMPUTED_VALUE"""),0.0)</f>
        <v>0</v>
      </c>
      <c r="AE489" s="10">
        <f>IFERROR(__xludf.DUMMYFUNCTION("""COMPUTED_VALUE"""),0.0)</f>
        <v>0</v>
      </c>
      <c r="AF489" s="10">
        <f>IFERROR(__xludf.DUMMYFUNCTION("""COMPUTED_VALUE"""),0.0)</f>
        <v>0</v>
      </c>
      <c r="AG489" s="10">
        <f>IFERROR(__xludf.DUMMYFUNCTION("""COMPUTED_VALUE"""),6.0)</f>
        <v>6</v>
      </c>
      <c r="AH489" s="10">
        <f>IFERROR(__xludf.DUMMYFUNCTION("""COMPUTED_VALUE"""),0.0)</f>
        <v>0</v>
      </c>
      <c r="AI489" s="10">
        <f>IFERROR(__xludf.DUMMYFUNCTION("""COMPUTED_VALUE"""),6.0)</f>
        <v>6</v>
      </c>
      <c r="AJ489" s="11" t="str">
        <f>IFERROR(__xludf.DUMMYFUNCTION("""COMPUTED_VALUE"""),"https://drive.google.com/open?id=1TJjgQ2NfukZxQwIXoLKaZEcOdg7kRNMhfEQrvd2UFws")</f>
        <v>https://drive.google.com/open?id=1TJjgQ2NfukZxQwIXoLKaZEcOdg7kRNMhfEQrvd2UFws</v>
      </c>
      <c r="AK489" s="12" t="str">
        <f>IFERROR(__xludf.DUMMYFUNCTION("""COMPUTED_VALUE"""),"No")</f>
        <v>No</v>
      </c>
      <c r="AL489" s="12"/>
      <c r="AM489" s="12"/>
      <c r="AN489" s="12" t="str">
        <f>IFERROR(__xludf.DUMMYFUNCTION("""COMPUTED_VALUE"""),"1st week")</f>
        <v>1st week</v>
      </c>
      <c r="AO489" s="13">
        <v>1.0</v>
      </c>
      <c r="AX489" s="17"/>
    </row>
    <row r="490">
      <c r="B490" s="9">
        <f>IFERROR(__xludf.DUMMYFUNCTION("""COMPUTED_VALUE"""),45888.36857686343)</f>
        <v>45888.36858</v>
      </c>
      <c r="C490" s="10" t="str">
        <f>IFERROR(__xludf.DUMMYFUNCTION("""COMPUTED_VALUE"""),"Atiqa")</f>
        <v>Atiqa</v>
      </c>
      <c r="D490" s="10" t="str">
        <f>IFERROR(__xludf.DUMMYFUNCTION("""COMPUTED_VALUE"""),"03157519977")</f>
        <v>03157519977</v>
      </c>
      <c r="E490" s="10" t="str">
        <f>IFERROR(__xludf.DUMMYFUNCTION("""COMPUTED_VALUE"""),"Jamia Masjid Madina  Bohar Gate Multan ")</f>
        <v>Jamia Masjid Madina  Bohar Gate Multan </v>
      </c>
      <c r="F490" s="10" t="str">
        <f>IFERROR(__xludf.DUMMYFUNCTION("""COMPUTED_VALUE"""),"ukyke")</f>
        <v>ukyke</v>
      </c>
      <c r="G490" s="10" t="str">
        <f>IFERROR(__xludf.DUMMYFUNCTION("""COMPUTED_VALUE"""),"Yes")</f>
        <v>Yes</v>
      </c>
      <c r="H490" s="10">
        <f>IFERROR(__xludf.DUMMYFUNCTION("""COMPUTED_VALUE"""),0.0)</f>
        <v>0</v>
      </c>
      <c r="I490" s="10">
        <f>IFERROR(__xludf.DUMMYFUNCTION("""COMPUTED_VALUE"""),10.0)</f>
        <v>10</v>
      </c>
      <c r="J490" s="10">
        <f>IFERROR(__xludf.DUMMYFUNCTION("""COMPUTED_VALUE"""),0.0)</f>
        <v>0</v>
      </c>
      <c r="K490" s="10">
        <f>IFERROR(__xludf.DUMMYFUNCTION("""COMPUTED_VALUE"""),0.0)</f>
        <v>0</v>
      </c>
      <c r="L490" s="10">
        <f>IFERROR(__xludf.DUMMYFUNCTION("""COMPUTED_VALUE"""),0.0)</f>
        <v>0</v>
      </c>
      <c r="M490" s="10">
        <f>IFERROR(__xludf.DUMMYFUNCTION("""COMPUTED_VALUE"""),0.0)</f>
        <v>0</v>
      </c>
      <c r="N490" s="10">
        <f>IFERROR(__xludf.DUMMYFUNCTION("""COMPUTED_VALUE"""),0.0)</f>
        <v>0</v>
      </c>
      <c r="O490" s="10">
        <f>IFERROR(__xludf.DUMMYFUNCTION("""COMPUTED_VALUE"""),0.0)</f>
        <v>0</v>
      </c>
      <c r="P490" s="10">
        <f>IFERROR(__xludf.DUMMYFUNCTION("""COMPUTED_VALUE"""),0.0)</f>
        <v>0</v>
      </c>
      <c r="Q490" s="10" t="str">
        <f>IFERROR(__xludf.DUMMYFUNCTION("""COMPUTED_VALUE"""),"No")</f>
        <v>No</v>
      </c>
      <c r="R490" s="10" t="str">
        <f>IFERROR(__xludf.DUMMYFUNCTION("""COMPUTED_VALUE"""),"No")</f>
        <v>No</v>
      </c>
      <c r="S490" s="10" t="str">
        <f>IFERROR(__xludf.DUMMYFUNCTION("""COMPUTED_VALUE"""),"No")</f>
        <v>No</v>
      </c>
      <c r="T490" s="10">
        <f>IFERROR(__xludf.DUMMYFUNCTION("""COMPUTED_VALUE"""),0.0)</f>
        <v>0</v>
      </c>
      <c r="U490" s="10">
        <f>IFERROR(__xludf.DUMMYFUNCTION("""COMPUTED_VALUE"""),0.0)</f>
        <v>0</v>
      </c>
      <c r="V490" s="10" t="str">
        <f>IFERROR(__xludf.DUMMYFUNCTION("""COMPUTED_VALUE"""),"اسلام میں عورت کا مقام ")</f>
        <v>اسلام میں عورت کا مقام </v>
      </c>
      <c r="W490" s="10" t="str">
        <f>IFERROR(__xludf.DUMMYFUNCTION("""COMPUTED_VALUE"""),"مرد و عورت کی تخلیق اور یکسا حقوق مقرر فرمانے پر بات کی گئی ۔ زمانہ جاہلیت میں عورت کے ساتھ سلوک اور نبی کریم صلی اللہ علیہ وسلم کا عملی طور پر عورت کا مقام بتانا ۔ حضرت عمر رضی اللہ تعالی عنہ اور حضرت عثمان رضی اللہ تعالی عنہ کے دارالخلافت میں عورت کا مق"&amp;"ام ۔ حالیہ دنوں ملک میں عورتوں کے ساتھ ہونے والے سلوک پر بات کی گئی ۔")</f>
        <v>مرد و عورت کی تخلیق اور یکسا حقوق مقرر فرمانے پر بات کی گئی ۔ زمانہ جاہلیت میں عورت کے ساتھ سلوک اور نبی کریم صلی اللہ علیہ وسلم کا عملی طور پر عورت کا مقام بتانا ۔ حضرت عمر رضی اللہ تعالی عنہ اور حضرت عثمان رضی اللہ تعالی عنہ کے دارالخلافت میں عورت کا مقام ۔ حالیہ دنوں ملک میں عورتوں کے ساتھ ہونے والے سلوک پر بات کی گئی ۔</v>
      </c>
      <c r="X490" s="10">
        <f>IFERROR(__xludf.DUMMYFUNCTION("""COMPUTED_VALUE"""),0.0)</f>
        <v>0</v>
      </c>
      <c r="Y490" s="10">
        <f>IFERROR(__xludf.DUMMYFUNCTION("""COMPUTED_VALUE"""),3.0)</f>
        <v>3</v>
      </c>
      <c r="Z490" s="10">
        <f>IFERROR(__xludf.DUMMYFUNCTION("""COMPUTED_VALUE"""),7.0)</f>
        <v>7</v>
      </c>
      <c r="AA490" s="10">
        <f>IFERROR(__xludf.DUMMYFUNCTION("""COMPUTED_VALUE"""),8.0)</f>
        <v>8</v>
      </c>
      <c r="AB490" s="10">
        <f>IFERROR(__xludf.DUMMYFUNCTION("""COMPUTED_VALUE"""),6.0)</f>
        <v>6</v>
      </c>
      <c r="AC490" s="10">
        <f>IFERROR(__xludf.DUMMYFUNCTION("""COMPUTED_VALUE"""),0.0)</f>
        <v>0</v>
      </c>
      <c r="AD490" s="10">
        <f>IFERROR(__xludf.DUMMYFUNCTION("""COMPUTED_VALUE"""),0.0)</f>
        <v>0</v>
      </c>
      <c r="AE490" s="10">
        <f>IFERROR(__xludf.DUMMYFUNCTION("""COMPUTED_VALUE"""),0.0)</f>
        <v>0</v>
      </c>
      <c r="AF490" s="10">
        <f>IFERROR(__xludf.DUMMYFUNCTION("""COMPUTED_VALUE"""),0.0)</f>
        <v>0</v>
      </c>
      <c r="AG490" s="10">
        <f>IFERROR(__xludf.DUMMYFUNCTION("""COMPUTED_VALUE"""),8.0)</f>
        <v>8</v>
      </c>
      <c r="AH490" s="10">
        <f>IFERROR(__xludf.DUMMYFUNCTION("""COMPUTED_VALUE"""),0.0)</f>
        <v>0</v>
      </c>
      <c r="AI490" s="10">
        <f>IFERROR(__xludf.DUMMYFUNCTION("""COMPUTED_VALUE"""),9.0)</f>
        <v>9</v>
      </c>
      <c r="AJ490" s="11" t="str">
        <f>IFERROR(__xludf.DUMMYFUNCTION("""COMPUTED_VALUE"""),"https://drive.google.com/open?id=16-EUSgQjTBouWEqokA_iIK15qdj2D0d95exSqCioeRs")</f>
        <v>https://drive.google.com/open?id=16-EUSgQjTBouWEqokA_iIK15qdj2D0d95exSqCioeRs</v>
      </c>
      <c r="AK490" s="12"/>
      <c r="AL490" s="12" t="str">
        <f>IFERROR(__xludf.DUMMYFUNCTION("""COMPUTED_VALUE"""),"Yes")</f>
        <v>Yes</v>
      </c>
      <c r="AM490" s="15">
        <f>IFERROR(__xludf.DUMMYFUNCTION("""COMPUTED_VALUE"""),0.0)</f>
        <v>0</v>
      </c>
      <c r="AN490" s="12" t="str">
        <f>IFERROR(__xludf.DUMMYFUNCTION("""COMPUTED_VALUE"""),"1st week")</f>
        <v>1st week</v>
      </c>
      <c r="AO490" s="13">
        <v>1.0</v>
      </c>
      <c r="AX490" s="17"/>
    </row>
    <row r="491">
      <c r="B491" s="9">
        <f>IFERROR(__xludf.DUMMYFUNCTION("""COMPUTED_VALUE"""),45888.38479447916)</f>
        <v>45888.38479</v>
      </c>
      <c r="C491" s="10" t="str">
        <f>IFERROR(__xludf.DUMMYFUNCTION("""COMPUTED_VALUE"""),"Arti Kumari ")</f>
        <v>Arti Kumari </v>
      </c>
      <c r="D491" s="10" t="str">
        <f>IFERROR(__xludf.DUMMYFUNCTION("""COMPUTED_VALUE"""),"03346661865")</f>
        <v>03346661865</v>
      </c>
      <c r="E491" s="10" t="str">
        <f>IFERROR(__xludf.DUMMYFUNCTION("""COMPUTED_VALUE"""),"Jamia Masjid Ahle Hadess Na Haliyanawali Ahumd Pur Sharqiya")</f>
        <v>Jamia Masjid Ahle Hadess Na Haliyanawali Ahumd Pur Sharqiya</v>
      </c>
      <c r="F491" s="10" t="str">
        <f>IFERROR(__xludf.DUMMYFUNCTION("""COMPUTED_VALUE"""),"coclq")</f>
        <v>coclq</v>
      </c>
      <c r="G491" s="10" t="str">
        <f>IFERROR(__xludf.DUMMYFUNCTION("""COMPUTED_VALUE"""),"Yes")</f>
        <v>Yes</v>
      </c>
      <c r="H491" s="10">
        <f>IFERROR(__xludf.DUMMYFUNCTION("""COMPUTED_VALUE"""),9.0)</f>
        <v>9</v>
      </c>
      <c r="I491" s="10">
        <f>IFERROR(__xludf.DUMMYFUNCTION("""COMPUTED_VALUE"""),1.0)</f>
        <v>1</v>
      </c>
      <c r="J491" s="10">
        <f>IFERROR(__xludf.DUMMYFUNCTION("""COMPUTED_VALUE"""),9.0)</f>
        <v>9</v>
      </c>
      <c r="K491" s="10">
        <f>IFERROR(__xludf.DUMMYFUNCTION("""COMPUTED_VALUE"""),0.0)</f>
        <v>0</v>
      </c>
      <c r="L491" s="10">
        <f>IFERROR(__xludf.DUMMYFUNCTION("""COMPUTED_VALUE"""),10.0)</f>
        <v>10</v>
      </c>
      <c r="M491" s="10">
        <f>IFERROR(__xludf.DUMMYFUNCTION("""COMPUTED_VALUE"""),0.0)</f>
        <v>0</v>
      </c>
      <c r="N491" s="10">
        <f>IFERROR(__xludf.DUMMYFUNCTION("""COMPUTED_VALUE"""),10.0)</f>
        <v>10</v>
      </c>
      <c r="O491" s="10">
        <f>IFERROR(__xludf.DUMMYFUNCTION("""COMPUTED_VALUE"""),0.0)</f>
        <v>0</v>
      </c>
      <c r="P491" s="10">
        <f>IFERROR(__xludf.DUMMYFUNCTION("""COMPUTED_VALUE"""),10.0)</f>
        <v>10</v>
      </c>
      <c r="Q491" s="10" t="str">
        <f>IFERROR(__xludf.DUMMYFUNCTION("""COMPUTED_VALUE"""),"No")</f>
        <v>No</v>
      </c>
      <c r="R491" s="10" t="str">
        <f>IFERROR(__xludf.DUMMYFUNCTION("""COMPUTED_VALUE"""),"No")</f>
        <v>No</v>
      </c>
      <c r="S491" s="10" t="str">
        <f>IFERROR(__xludf.DUMMYFUNCTION("""COMPUTED_VALUE"""),"Yes")</f>
        <v>Yes</v>
      </c>
      <c r="T491" s="10">
        <f>IFERROR(__xludf.DUMMYFUNCTION("""COMPUTED_VALUE"""),0.0)</f>
        <v>0</v>
      </c>
      <c r="U491" s="10">
        <f>IFERROR(__xludf.DUMMYFUNCTION("""COMPUTED_VALUE"""),0.0)</f>
        <v>0</v>
      </c>
      <c r="V491" s="10" t="str">
        <f>IFERROR(__xludf.DUMMYFUNCTION("""COMPUTED_VALUE"""),"پڑوسیوں کے حقوق اور طہارت ")</f>
        <v>پڑوسیوں کے حقوق اور طہارت </v>
      </c>
      <c r="W491" s="10" t="str">
        <f>IFERROR(__xludf.DUMMYFUNCTION("""COMPUTED_VALUE"""),"امام نے بیان میں پڑوسیوں کے حقوق پر بہت زور دیا اور طہارت و پاکیزگی کے حوالے سے بات کی")</f>
        <v>امام نے بیان میں پڑوسیوں کے حقوق پر بہت زور دیا اور طہارت و پاکیزگی کے حوالے سے بات کی</v>
      </c>
      <c r="X491" s="10">
        <f>IFERROR(__xludf.DUMMYFUNCTION("""COMPUTED_VALUE"""),0.0)</f>
        <v>0</v>
      </c>
      <c r="Y491" s="10">
        <f>IFERROR(__xludf.DUMMYFUNCTION("""COMPUTED_VALUE"""),10.0)</f>
        <v>10</v>
      </c>
      <c r="Z491" s="10">
        <f>IFERROR(__xludf.DUMMYFUNCTION("""COMPUTED_VALUE"""),10.0)</f>
        <v>10</v>
      </c>
      <c r="AA491" s="10">
        <f>IFERROR(__xludf.DUMMYFUNCTION("""COMPUTED_VALUE"""),0.0)</f>
        <v>0</v>
      </c>
      <c r="AB491" s="10">
        <f>IFERROR(__xludf.DUMMYFUNCTION("""COMPUTED_VALUE"""),0.0)</f>
        <v>0</v>
      </c>
      <c r="AC491" s="10">
        <f>IFERROR(__xludf.DUMMYFUNCTION("""COMPUTED_VALUE"""),0.0)</f>
        <v>0</v>
      </c>
      <c r="AD491" s="10">
        <f>IFERROR(__xludf.DUMMYFUNCTION("""COMPUTED_VALUE"""),0.0)</f>
        <v>0</v>
      </c>
      <c r="AE491" s="10">
        <f>IFERROR(__xludf.DUMMYFUNCTION("""COMPUTED_VALUE"""),1.0)</f>
        <v>1</v>
      </c>
      <c r="AF491" s="10">
        <f>IFERROR(__xludf.DUMMYFUNCTION("""COMPUTED_VALUE"""),0.0)</f>
        <v>0</v>
      </c>
      <c r="AG491" s="10">
        <f>IFERROR(__xludf.DUMMYFUNCTION("""COMPUTED_VALUE"""),10.0)</f>
        <v>10</v>
      </c>
      <c r="AH491" s="10">
        <f>IFERROR(__xludf.DUMMYFUNCTION("""COMPUTED_VALUE"""),0.0)</f>
        <v>0</v>
      </c>
      <c r="AI491" s="10">
        <f>IFERROR(__xludf.DUMMYFUNCTION("""COMPUTED_VALUE"""),10.0)</f>
        <v>10</v>
      </c>
      <c r="AJ491" s="11" t="str">
        <f>IFERROR(__xludf.DUMMYFUNCTION("""COMPUTED_VALUE"""),"https://drive.google.com/open?id=1gOM-uqK0JH2OufkDi2MfRhNKekNBZy4Z")</f>
        <v>https://drive.google.com/open?id=1gOM-uqK0JH2OufkDi2MfRhNKekNBZy4Z</v>
      </c>
      <c r="AK491" s="12"/>
      <c r="AL491" s="12" t="str">
        <f>IFERROR(__xludf.DUMMYFUNCTION("""COMPUTED_VALUE"""),"Yes")</f>
        <v>Yes</v>
      </c>
      <c r="AM491" s="15">
        <f>IFERROR(__xludf.DUMMYFUNCTION("""COMPUTED_VALUE"""),0.9)</f>
        <v>0.9</v>
      </c>
      <c r="AN491" s="12" t="str">
        <f>IFERROR(__xludf.DUMMYFUNCTION("""COMPUTED_VALUE"""),"2nd week")</f>
        <v>2nd week</v>
      </c>
      <c r="AO491" s="13">
        <v>2.0</v>
      </c>
      <c r="AX491" s="17"/>
    </row>
    <row r="492">
      <c r="B492" s="9">
        <f>IFERROR(__xludf.DUMMYFUNCTION("""COMPUTED_VALUE"""),45888.44859194444)</f>
        <v>45888.44859</v>
      </c>
      <c r="C492" s="10" t="str">
        <f>IFERROR(__xludf.DUMMYFUNCTION("""COMPUTED_VALUE"""),"Atiqa ")</f>
        <v>Atiqa </v>
      </c>
      <c r="D492" s="10" t="str">
        <f>IFERROR(__xludf.DUMMYFUNCTION("""COMPUTED_VALUE"""),"03157519977")</f>
        <v>03157519977</v>
      </c>
      <c r="E492" s="10" t="str">
        <f>IFERROR(__xludf.DUMMYFUNCTION("""COMPUTED_VALUE"""),"Jamia Masjid Bakar Abad Multan ")</f>
        <v>Jamia Masjid Bakar Abad Multan </v>
      </c>
      <c r="F492" s="10" t="str">
        <f>IFERROR(__xludf.DUMMYFUNCTION("""COMPUTED_VALUE"""),"akpfn")</f>
        <v>akpfn</v>
      </c>
      <c r="G492" s="10" t="str">
        <f>IFERROR(__xludf.DUMMYFUNCTION("""COMPUTED_VALUE"""),"Yes")</f>
        <v>Yes</v>
      </c>
      <c r="H492" s="10">
        <f>IFERROR(__xludf.DUMMYFUNCTION("""COMPUTED_VALUE"""),0.0)</f>
        <v>0</v>
      </c>
      <c r="I492" s="10">
        <f>IFERROR(__xludf.DUMMYFUNCTION("""COMPUTED_VALUE"""),10.0)</f>
        <v>10</v>
      </c>
      <c r="J492" s="10">
        <f>IFERROR(__xludf.DUMMYFUNCTION("""COMPUTED_VALUE"""),0.0)</f>
        <v>0</v>
      </c>
      <c r="K492" s="10">
        <f>IFERROR(__xludf.DUMMYFUNCTION("""COMPUTED_VALUE"""),9.0)</f>
        <v>9</v>
      </c>
      <c r="L492" s="10">
        <f>IFERROR(__xludf.DUMMYFUNCTION("""COMPUTED_VALUE"""),0.0)</f>
        <v>0</v>
      </c>
      <c r="M492" s="10">
        <f>IFERROR(__xludf.DUMMYFUNCTION("""COMPUTED_VALUE"""),7.0)</f>
        <v>7</v>
      </c>
      <c r="N492" s="10">
        <f>IFERROR(__xludf.DUMMYFUNCTION("""COMPUTED_VALUE"""),0.0)</f>
        <v>0</v>
      </c>
      <c r="O492" s="10">
        <f>IFERROR(__xludf.DUMMYFUNCTION("""COMPUTED_VALUE"""),0.0)</f>
        <v>0</v>
      </c>
      <c r="P492" s="10">
        <f>IFERROR(__xludf.DUMMYFUNCTION("""COMPUTED_VALUE"""),0.0)</f>
        <v>0</v>
      </c>
      <c r="Q492" s="10" t="str">
        <f>IFERROR(__xludf.DUMMYFUNCTION("""COMPUTED_VALUE"""),"No")</f>
        <v>No</v>
      </c>
      <c r="R492" s="10" t="str">
        <f>IFERROR(__xludf.DUMMYFUNCTION("""COMPUTED_VALUE"""),"No")</f>
        <v>No</v>
      </c>
      <c r="S492" s="10" t="str">
        <f>IFERROR(__xludf.DUMMYFUNCTION("""COMPUTED_VALUE"""),"No")</f>
        <v>No</v>
      </c>
      <c r="T492" s="10">
        <f>IFERROR(__xludf.DUMMYFUNCTION("""COMPUTED_VALUE"""),0.0)</f>
        <v>0</v>
      </c>
      <c r="U492" s="10">
        <f>IFERROR(__xludf.DUMMYFUNCTION("""COMPUTED_VALUE"""),0.0)</f>
        <v>0</v>
      </c>
      <c r="V492" s="10" t="str">
        <f>IFERROR(__xludf.DUMMYFUNCTION("""COMPUTED_VALUE"""),"قبل اسلام اور بعد عورت کے ساتھ سلوک ")</f>
        <v>قبل اسلام اور بعد عورت کے ساتھ سلوک </v>
      </c>
      <c r="W492" s="10" t="str">
        <f>IFERROR(__xludf.DUMMYFUNCTION("""COMPUTED_VALUE"""),"سورۃ نحل کی روشنی میں قبل اسلام بچیوں کے ساتھ کیسا سلوک کیا جاتا تھا ۔ حضور صلی اللہ علیہ وسلم کا ماں، بہن، بیوی اور  بیٹی کا مقام متعین کرنا ۔ بیٹی کی پرورش پر جنت کی خوشخبری دی گئی ۔ شوہر کا ایوب علیہ السلام اور بیوی کا اسیہ علیہ السلام جیسا اجر و ثواب "&amp;"پانا ۔ اور حضور صلی اللہ علیہ وسلم کے ازدواجی زندگی کے واقعات پر بات کی گئی ۔ ")</f>
        <v>سورۃ نحل کی روشنی میں قبل اسلام بچیوں کے ساتھ کیسا سلوک کیا جاتا تھا ۔ حضور صلی اللہ علیہ وسلم کا ماں، بہن، بیوی اور  بیٹی کا مقام متعین کرنا ۔ بیٹی کی پرورش پر جنت کی خوشخبری دی گئی ۔ شوہر کا ایوب علیہ السلام اور بیوی کا اسیہ علیہ السلام جیسا اجر و ثواب پانا ۔ اور حضور صلی اللہ علیہ وسلم کے ازدواجی زندگی کے واقعات پر بات کی گئی ۔ </v>
      </c>
      <c r="X492" s="10">
        <f>IFERROR(__xludf.DUMMYFUNCTION("""COMPUTED_VALUE"""),0.0)</f>
        <v>0</v>
      </c>
      <c r="Y492" s="10">
        <f>IFERROR(__xludf.DUMMYFUNCTION("""COMPUTED_VALUE"""),1.0)</f>
        <v>1</v>
      </c>
      <c r="Z492" s="10">
        <f>IFERROR(__xludf.DUMMYFUNCTION("""COMPUTED_VALUE"""),6.0)</f>
        <v>6</v>
      </c>
      <c r="AA492" s="10">
        <f>IFERROR(__xludf.DUMMYFUNCTION("""COMPUTED_VALUE"""),8.0)</f>
        <v>8</v>
      </c>
      <c r="AB492" s="10">
        <f>IFERROR(__xludf.DUMMYFUNCTION("""COMPUTED_VALUE"""),6.0)</f>
        <v>6</v>
      </c>
      <c r="AC492" s="10">
        <f>IFERROR(__xludf.DUMMYFUNCTION("""COMPUTED_VALUE"""),0.0)</f>
        <v>0</v>
      </c>
      <c r="AD492" s="10">
        <f>IFERROR(__xludf.DUMMYFUNCTION("""COMPUTED_VALUE"""),0.0)</f>
        <v>0</v>
      </c>
      <c r="AE492" s="10">
        <f>IFERROR(__xludf.DUMMYFUNCTION("""COMPUTED_VALUE"""),0.0)</f>
        <v>0</v>
      </c>
      <c r="AF492" s="10">
        <f>IFERROR(__xludf.DUMMYFUNCTION("""COMPUTED_VALUE"""),0.0)</f>
        <v>0</v>
      </c>
      <c r="AG492" s="10">
        <f>IFERROR(__xludf.DUMMYFUNCTION("""COMPUTED_VALUE"""),9.0)</f>
        <v>9</v>
      </c>
      <c r="AH492" s="10">
        <f>IFERROR(__xludf.DUMMYFUNCTION("""COMPUTED_VALUE"""),0.0)</f>
        <v>0</v>
      </c>
      <c r="AI492" s="10">
        <f>IFERROR(__xludf.DUMMYFUNCTION("""COMPUTED_VALUE"""),9.0)</f>
        <v>9</v>
      </c>
      <c r="AJ492" s="11" t="str">
        <f>IFERROR(__xludf.DUMMYFUNCTION("""COMPUTED_VALUE"""),"https://drive.google.com/open?id=10CGEHxL8pgLDagXgw-mPNCsVUF5uZYDh652hUYdke9E")</f>
        <v>https://drive.google.com/open?id=10CGEHxL8pgLDagXgw-mPNCsVUF5uZYDh652hUYdke9E</v>
      </c>
      <c r="AK492" s="12"/>
      <c r="AL492" s="12" t="str">
        <f>IFERROR(__xludf.DUMMYFUNCTION("""COMPUTED_VALUE"""),"Yes")</f>
        <v>Yes</v>
      </c>
      <c r="AM492" s="15">
        <f>IFERROR(__xludf.DUMMYFUNCTION("""COMPUTED_VALUE"""),0.0)</f>
        <v>0</v>
      </c>
      <c r="AN492" s="12" t="str">
        <f>IFERROR(__xludf.DUMMYFUNCTION("""COMPUTED_VALUE"""),"1st week")</f>
        <v>1st week</v>
      </c>
      <c r="AO492" s="13">
        <v>1.0</v>
      </c>
      <c r="AX492" s="17"/>
    </row>
    <row r="493">
      <c r="B493" s="9">
        <f>IFERROR(__xludf.DUMMYFUNCTION("""COMPUTED_VALUE"""),45888.54166652777)</f>
        <v>45888.54167</v>
      </c>
      <c r="C493" s="10" t="str">
        <f>IFERROR(__xludf.DUMMYFUNCTION("""COMPUTED_VALUE"""),"Arti Kumari ")</f>
        <v>Arti Kumari </v>
      </c>
      <c r="D493" s="10" t="str">
        <f>IFERROR(__xludf.DUMMYFUNCTION("""COMPUTED_VALUE"""),"03346661865")</f>
        <v>03346661865</v>
      </c>
      <c r="E493" s="10" t="str">
        <f>IFERROR(__xludf.DUMMYFUNCTION("""COMPUTED_VALUE"""),"Jamia Masjid Minya Nawali Minchanabad ")</f>
        <v>Jamia Masjid Minya Nawali Minchanabad </v>
      </c>
      <c r="F493" s="10" t="str">
        <f>IFERROR(__xludf.DUMMYFUNCTION("""COMPUTED_VALUE"""),"pbfym")</f>
        <v>pbfym</v>
      </c>
      <c r="G493" s="10" t="str">
        <f>IFERROR(__xludf.DUMMYFUNCTION("""COMPUTED_VALUE"""),"Yes")</f>
        <v>Yes</v>
      </c>
      <c r="H493" s="10">
        <f>IFERROR(__xludf.DUMMYFUNCTION("""COMPUTED_VALUE"""),2.0)</f>
        <v>2</v>
      </c>
      <c r="I493" s="10">
        <f>IFERROR(__xludf.DUMMYFUNCTION("""COMPUTED_VALUE"""),8.0)</f>
        <v>8</v>
      </c>
      <c r="J493" s="10">
        <f>IFERROR(__xludf.DUMMYFUNCTION("""COMPUTED_VALUE"""),2.0)</f>
        <v>2</v>
      </c>
      <c r="K493" s="10">
        <f>IFERROR(__xludf.DUMMYFUNCTION("""COMPUTED_VALUE"""),0.0)</f>
        <v>0</v>
      </c>
      <c r="L493" s="10">
        <f>IFERROR(__xludf.DUMMYFUNCTION("""COMPUTED_VALUE"""),2.0)</f>
        <v>2</v>
      </c>
      <c r="M493" s="10">
        <f>IFERROR(__xludf.DUMMYFUNCTION("""COMPUTED_VALUE"""),0.0)</f>
        <v>0</v>
      </c>
      <c r="N493" s="10">
        <f>IFERROR(__xludf.DUMMYFUNCTION("""COMPUTED_VALUE"""),2.0)</f>
        <v>2</v>
      </c>
      <c r="O493" s="10">
        <f>IFERROR(__xludf.DUMMYFUNCTION("""COMPUTED_VALUE"""),0.0)</f>
        <v>0</v>
      </c>
      <c r="P493" s="10">
        <f>IFERROR(__xludf.DUMMYFUNCTION("""COMPUTED_VALUE"""),2.0)</f>
        <v>2</v>
      </c>
      <c r="Q493" s="10" t="str">
        <f>IFERROR(__xludf.DUMMYFUNCTION("""COMPUTED_VALUE"""),"No")</f>
        <v>No</v>
      </c>
      <c r="R493" s="10" t="str">
        <f>IFERROR(__xludf.DUMMYFUNCTION("""COMPUTED_VALUE"""),"No")</f>
        <v>No</v>
      </c>
      <c r="S493" s="10" t="str">
        <f>IFERROR(__xludf.DUMMYFUNCTION("""COMPUTED_VALUE"""),"No")</f>
        <v>No</v>
      </c>
      <c r="T493" s="10">
        <f>IFERROR(__xludf.DUMMYFUNCTION("""COMPUTED_VALUE"""),0.0)</f>
        <v>0</v>
      </c>
      <c r="U493" s="10">
        <f>IFERROR(__xludf.DUMMYFUNCTION("""COMPUTED_VALUE"""),0.0)</f>
        <v>0</v>
      </c>
      <c r="V493" s="10" t="str">
        <f>IFERROR(__xludf.DUMMYFUNCTION("""COMPUTED_VALUE"""),"پڑوسیوں کے سلوک اور نماز کی اہمیت")</f>
        <v>پڑوسیوں کے سلوک اور نماز کی اہمیت</v>
      </c>
      <c r="W493" s="10" t="str">
        <f>IFERROR(__xludf.DUMMYFUNCTION("""COMPUTED_VALUE"""),"امام نے خطبہ میں چند لائنوں میں بیان کیا کی ہمارا سلوک پڑوسیوں کے ساتھ کیسا ہونا چاہیے اور  صفائی کا زکر کیا باقی خطبے میں نماز کی اہمیت اور نبی کی پیروی پر بات کی")</f>
        <v>امام نے خطبہ میں چند لائنوں میں بیان کیا کی ہمارا سلوک پڑوسیوں کے ساتھ کیسا ہونا چاہیے اور  صفائی کا زکر کیا باقی خطبے میں نماز کی اہمیت اور نبی کی پیروی پر بات کی</v>
      </c>
      <c r="X493" s="10">
        <f>IFERROR(__xludf.DUMMYFUNCTION("""COMPUTED_VALUE"""),7.0)</f>
        <v>7</v>
      </c>
      <c r="Y493" s="10">
        <f>IFERROR(__xludf.DUMMYFUNCTION("""COMPUTED_VALUE"""),3.0)</f>
        <v>3</v>
      </c>
      <c r="Z493" s="10">
        <f>IFERROR(__xludf.DUMMYFUNCTION("""COMPUTED_VALUE"""),3.0)</f>
        <v>3</v>
      </c>
      <c r="AA493" s="10">
        <f>IFERROR(__xludf.DUMMYFUNCTION("""COMPUTED_VALUE"""),7.0)</f>
        <v>7</v>
      </c>
      <c r="AB493" s="10">
        <f>IFERROR(__xludf.DUMMYFUNCTION("""COMPUTED_VALUE"""),0.0)</f>
        <v>0</v>
      </c>
      <c r="AC493" s="10">
        <f>IFERROR(__xludf.DUMMYFUNCTION("""COMPUTED_VALUE"""),0.0)</f>
        <v>0</v>
      </c>
      <c r="AD493" s="10">
        <f>IFERROR(__xludf.DUMMYFUNCTION("""COMPUTED_VALUE"""),0.0)</f>
        <v>0</v>
      </c>
      <c r="AE493" s="10">
        <f>IFERROR(__xludf.DUMMYFUNCTION("""COMPUTED_VALUE"""),0.0)</f>
        <v>0</v>
      </c>
      <c r="AF493" s="10">
        <f>IFERROR(__xludf.DUMMYFUNCTION("""COMPUTED_VALUE"""),0.0)</f>
        <v>0</v>
      </c>
      <c r="AG493" s="10">
        <f>IFERROR(__xludf.DUMMYFUNCTION("""COMPUTED_VALUE"""),6.0)</f>
        <v>6</v>
      </c>
      <c r="AH493" s="10">
        <f>IFERROR(__xludf.DUMMYFUNCTION("""COMPUTED_VALUE"""),0.0)</f>
        <v>0</v>
      </c>
      <c r="AI493" s="10">
        <f>IFERROR(__xludf.DUMMYFUNCTION("""COMPUTED_VALUE"""),7.0)</f>
        <v>7</v>
      </c>
      <c r="AJ493" s="11" t="str">
        <f>IFERROR(__xludf.DUMMYFUNCTION("""COMPUTED_VALUE"""),"https://drive.google.com/open?id=1upRxc02KBTr36lbjUHKYfRvQyk84C0zL")</f>
        <v>https://drive.google.com/open?id=1upRxc02KBTr36lbjUHKYfRvQyk84C0zL</v>
      </c>
      <c r="AK493" s="12"/>
      <c r="AL493" s="12" t="str">
        <f>IFERROR(__xludf.DUMMYFUNCTION("""COMPUTED_VALUE"""),"Yes")</f>
        <v>Yes</v>
      </c>
      <c r="AM493" s="15">
        <f>IFERROR(__xludf.DUMMYFUNCTION("""COMPUTED_VALUE"""),0.2)</f>
        <v>0.2</v>
      </c>
      <c r="AN493" s="12" t="str">
        <f>IFERROR(__xludf.DUMMYFUNCTION("""COMPUTED_VALUE"""),"2nd week")</f>
        <v>2nd week</v>
      </c>
      <c r="AO493" s="13">
        <v>2.0</v>
      </c>
      <c r="AX493" s="17"/>
    </row>
    <row r="494">
      <c r="B494" s="9">
        <f>IFERROR(__xludf.DUMMYFUNCTION("""COMPUTED_VALUE"""),45888.549726087964)</f>
        <v>45888.54973</v>
      </c>
      <c r="C494" s="10" t="str">
        <f>IFERROR(__xludf.DUMMYFUNCTION("""COMPUTED_VALUE"""),"Arti Kumari ")</f>
        <v>Arti Kumari </v>
      </c>
      <c r="D494" s="10" t="str">
        <f>IFERROR(__xludf.DUMMYFUNCTION("""COMPUTED_VALUE"""),"03346661865")</f>
        <v>03346661865</v>
      </c>
      <c r="E494" s="10" t="str">
        <f>IFERROR(__xludf.DUMMYFUNCTION("""COMPUTED_VALUE"""),"Jamia Masjid Markazi Chishtan")</f>
        <v>Jamia Masjid Markazi Chishtan</v>
      </c>
      <c r="F494" s="10" t="str">
        <f>IFERROR(__xludf.DUMMYFUNCTION("""COMPUTED_VALUE"""),"ybtbu")</f>
        <v>ybtbu</v>
      </c>
      <c r="G494" s="10" t="str">
        <f>IFERROR(__xludf.DUMMYFUNCTION("""COMPUTED_VALUE"""),"Yes")</f>
        <v>Yes</v>
      </c>
      <c r="H494" s="10">
        <f>IFERROR(__xludf.DUMMYFUNCTION("""COMPUTED_VALUE"""),5.0)</f>
        <v>5</v>
      </c>
      <c r="I494" s="10">
        <f>IFERROR(__xludf.DUMMYFUNCTION("""COMPUTED_VALUE"""),5.0)</f>
        <v>5</v>
      </c>
      <c r="J494" s="10">
        <f>IFERROR(__xludf.DUMMYFUNCTION("""COMPUTED_VALUE"""),5.0)</f>
        <v>5</v>
      </c>
      <c r="K494" s="10">
        <f>IFERROR(__xludf.DUMMYFUNCTION("""COMPUTED_VALUE"""),0.0)</f>
        <v>0</v>
      </c>
      <c r="L494" s="10">
        <f>IFERROR(__xludf.DUMMYFUNCTION("""COMPUTED_VALUE"""),5.0)</f>
        <v>5</v>
      </c>
      <c r="M494" s="10">
        <f>IFERROR(__xludf.DUMMYFUNCTION("""COMPUTED_VALUE"""),0.0)</f>
        <v>0</v>
      </c>
      <c r="N494" s="10">
        <f>IFERROR(__xludf.DUMMYFUNCTION("""COMPUTED_VALUE"""),5.0)</f>
        <v>5</v>
      </c>
      <c r="O494" s="10">
        <f>IFERROR(__xludf.DUMMYFUNCTION("""COMPUTED_VALUE"""),0.0)</f>
        <v>0</v>
      </c>
      <c r="P494" s="10">
        <f>IFERROR(__xludf.DUMMYFUNCTION("""COMPUTED_VALUE"""),7.0)</f>
        <v>7</v>
      </c>
      <c r="Q494" s="10" t="str">
        <f>IFERROR(__xludf.DUMMYFUNCTION("""COMPUTED_VALUE"""),"No")</f>
        <v>No</v>
      </c>
      <c r="R494" s="10" t="str">
        <f>IFERROR(__xludf.DUMMYFUNCTION("""COMPUTED_VALUE"""),"No")</f>
        <v>No</v>
      </c>
      <c r="S494" s="10" t="str">
        <f>IFERROR(__xludf.DUMMYFUNCTION("""COMPUTED_VALUE"""),"No")</f>
        <v>No</v>
      </c>
      <c r="T494" s="10">
        <f>IFERROR(__xludf.DUMMYFUNCTION("""COMPUTED_VALUE"""),0.0)</f>
        <v>0</v>
      </c>
      <c r="U494" s="10">
        <f>IFERROR(__xludf.DUMMYFUNCTION("""COMPUTED_VALUE"""),0.0)</f>
        <v>0</v>
      </c>
      <c r="V494" s="10" t="str">
        <f>IFERROR(__xludf.DUMMYFUNCTION("""COMPUTED_VALUE"""),"پڑوسیوں کے ساتھ حسن سلوک ")</f>
        <v>پڑوسیوں کے ساتھ حسن سلوک </v>
      </c>
      <c r="W494" s="10" t="str">
        <f>IFERROR(__xludf.DUMMYFUNCTION("""COMPUTED_VALUE"""),"امام نے خطبہ میں پڑوسیوں نے ساتھ کیسا سلوک رکھنا چاہیے اس کا ذکر کیا اور ساتھ طہارت پر بات کی کہ اسلام میں ان دونوں کی کتنی اہمیت ہے اور آخر کار کچھ حصہ کشمیر پر مظالم کے حوالے سے کی")</f>
        <v>امام نے خطبہ میں پڑوسیوں نے ساتھ کیسا سلوک رکھنا چاہیے اس کا ذکر کیا اور ساتھ طہارت پر بات کی کہ اسلام میں ان دونوں کی کتنی اہمیت ہے اور آخر کار کچھ حصہ کشمیر پر مظالم کے حوالے سے کی</v>
      </c>
      <c r="X494" s="10">
        <f>IFERROR(__xludf.DUMMYFUNCTION("""COMPUTED_VALUE"""),0.0)</f>
        <v>0</v>
      </c>
      <c r="Y494" s="10">
        <f>IFERROR(__xludf.DUMMYFUNCTION("""COMPUTED_VALUE"""),5.0)</f>
        <v>5</v>
      </c>
      <c r="Z494" s="10">
        <f>IFERROR(__xludf.DUMMYFUNCTION("""COMPUTED_VALUE"""),2.0)</f>
        <v>2</v>
      </c>
      <c r="AA494" s="10">
        <f>IFERROR(__xludf.DUMMYFUNCTION("""COMPUTED_VALUE"""),0.0)</f>
        <v>0</v>
      </c>
      <c r="AB494" s="10">
        <f>IFERROR(__xludf.DUMMYFUNCTION("""COMPUTED_VALUE"""),0.0)</f>
        <v>0</v>
      </c>
      <c r="AC494" s="10">
        <f>IFERROR(__xludf.DUMMYFUNCTION("""COMPUTED_VALUE"""),2.0)</f>
        <v>2</v>
      </c>
      <c r="AD494" s="10">
        <f>IFERROR(__xludf.DUMMYFUNCTION("""COMPUTED_VALUE"""),0.0)</f>
        <v>0</v>
      </c>
      <c r="AE494" s="10">
        <f>IFERROR(__xludf.DUMMYFUNCTION("""COMPUTED_VALUE"""),1.0)</f>
        <v>1</v>
      </c>
      <c r="AF494" s="10">
        <f>IFERROR(__xludf.DUMMYFUNCTION("""COMPUTED_VALUE"""),0.0)</f>
        <v>0</v>
      </c>
      <c r="AG494" s="10">
        <f>IFERROR(__xludf.DUMMYFUNCTION("""COMPUTED_VALUE"""),6.0)</f>
        <v>6</v>
      </c>
      <c r="AH494" s="10">
        <f>IFERROR(__xludf.DUMMYFUNCTION("""COMPUTED_VALUE"""),0.0)</f>
        <v>0</v>
      </c>
      <c r="AI494" s="10">
        <f>IFERROR(__xludf.DUMMYFUNCTION("""COMPUTED_VALUE"""),6.0)</f>
        <v>6</v>
      </c>
      <c r="AJ494" s="11" t="str">
        <f>IFERROR(__xludf.DUMMYFUNCTION("""COMPUTED_VALUE"""),"https://drive.google.com/open?id=1d1zIrg2GlBQ0sErZ1IZjjUCStnHKtVDl")</f>
        <v>https://drive.google.com/open?id=1d1zIrg2GlBQ0sErZ1IZjjUCStnHKtVDl</v>
      </c>
      <c r="AK494" s="12"/>
      <c r="AL494" s="12" t="str">
        <f>IFERROR(__xludf.DUMMYFUNCTION("""COMPUTED_VALUE"""),"Yes")</f>
        <v>Yes</v>
      </c>
      <c r="AM494" s="15">
        <f>IFERROR(__xludf.DUMMYFUNCTION("""COMPUTED_VALUE"""),0.5)</f>
        <v>0.5</v>
      </c>
      <c r="AN494" s="12" t="str">
        <f>IFERROR(__xludf.DUMMYFUNCTION("""COMPUTED_VALUE"""),"2nd week")</f>
        <v>2nd week</v>
      </c>
      <c r="AO494" s="13">
        <v>2.0</v>
      </c>
      <c r="AX494" s="17"/>
    </row>
    <row r="495">
      <c r="B495" s="9">
        <f>IFERROR(__xludf.DUMMYFUNCTION("""COMPUTED_VALUE"""),45888.5776887963)</f>
        <v>45888.57769</v>
      </c>
      <c r="C495" s="10" t="str">
        <f>IFERROR(__xludf.DUMMYFUNCTION("""COMPUTED_VALUE"""),"Atiqa")</f>
        <v>Atiqa</v>
      </c>
      <c r="D495" s="10" t="str">
        <f>IFERROR(__xludf.DUMMYFUNCTION("""COMPUTED_VALUE"""),"03157519977")</f>
        <v>03157519977</v>
      </c>
      <c r="E495" s="10" t="str">
        <f>IFERROR(__xludf.DUMMYFUNCTION("""COMPUTED_VALUE"""),"Jamia Masjid Phonagra Nawali Multan ")</f>
        <v>Jamia Masjid Phonagra Nawali Multan </v>
      </c>
      <c r="F495" s="10" t="str">
        <f>IFERROR(__xludf.DUMMYFUNCTION("""COMPUTED_VALUE"""),"vreau")</f>
        <v>vreau</v>
      </c>
      <c r="G495" s="10" t="str">
        <f>IFERROR(__xludf.DUMMYFUNCTION("""COMPUTED_VALUE"""),"Yes")</f>
        <v>Yes</v>
      </c>
      <c r="H495" s="10">
        <f>IFERROR(__xludf.DUMMYFUNCTION("""COMPUTED_VALUE"""),0.0)</f>
        <v>0</v>
      </c>
      <c r="I495" s="10">
        <f>IFERROR(__xludf.DUMMYFUNCTION("""COMPUTED_VALUE"""),10.0)</f>
        <v>10</v>
      </c>
      <c r="J495" s="10">
        <f>IFERROR(__xludf.DUMMYFUNCTION("""COMPUTED_VALUE"""),0.0)</f>
        <v>0</v>
      </c>
      <c r="K495" s="10">
        <f>IFERROR(__xludf.DUMMYFUNCTION("""COMPUTED_VALUE"""),8.0)</f>
        <v>8</v>
      </c>
      <c r="L495" s="10">
        <f>IFERROR(__xludf.DUMMYFUNCTION("""COMPUTED_VALUE"""),0.0)</f>
        <v>0</v>
      </c>
      <c r="M495" s="10">
        <f>IFERROR(__xludf.DUMMYFUNCTION("""COMPUTED_VALUE"""),7.0)</f>
        <v>7</v>
      </c>
      <c r="N495" s="10">
        <f>IFERROR(__xludf.DUMMYFUNCTION("""COMPUTED_VALUE"""),0.0)</f>
        <v>0</v>
      </c>
      <c r="O495" s="10">
        <f>IFERROR(__xludf.DUMMYFUNCTION("""COMPUTED_VALUE"""),8.0)</f>
        <v>8</v>
      </c>
      <c r="P495" s="10">
        <f>IFERROR(__xludf.DUMMYFUNCTION("""COMPUTED_VALUE"""),0.0)</f>
        <v>0</v>
      </c>
      <c r="Q495" s="10" t="str">
        <f>IFERROR(__xludf.DUMMYFUNCTION("""COMPUTED_VALUE"""),"No")</f>
        <v>No</v>
      </c>
      <c r="R495" s="10" t="str">
        <f>IFERROR(__xludf.DUMMYFUNCTION("""COMPUTED_VALUE"""),"No")</f>
        <v>No</v>
      </c>
      <c r="S495" s="10" t="str">
        <f>IFERROR(__xludf.DUMMYFUNCTION("""COMPUTED_VALUE"""),"No")</f>
        <v>No</v>
      </c>
      <c r="T495" s="10">
        <f>IFERROR(__xludf.DUMMYFUNCTION("""COMPUTED_VALUE"""),0.0)</f>
        <v>0</v>
      </c>
      <c r="U495" s="10">
        <f>IFERROR(__xludf.DUMMYFUNCTION("""COMPUTED_VALUE"""),0.0)</f>
        <v>0</v>
      </c>
      <c r="V495" s="10" t="str">
        <f>IFERROR(__xludf.DUMMYFUNCTION("""COMPUTED_VALUE"""),"اسلام میں عورت کا مقام اور عورت کو تحفظ دینا ")</f>
        <v>اسلام میں عورت کا مقام اور عورت کو تحفظ دینا </v>
      </c>
      <c r="W495" s="10" t="str">
        <f>IFERROR(__xludf.DUMMYFUNCTION("""COMPUTED_VALUE"""),"سورۃ نحل کی روشنی میں قبل از اسلام بچیوں کے ساتھ کیے جانے والے سلوک پر بات کی گئی ۔ عورت کی حق تلفی کرنے ، رسول صلی اللہ علیہ وسلم کا اپنی رضائے بہن کو مقام و مرتبہ دینا  اور کچھ اسلامی واقعات سے عورت کی اہمیت کو واضح کیا گیا ۔ بچیوں کی پیدائش پر اجر و ثو"&amp;"اب اور عائشہ صدیقہ رضی اللہ تعالی عنہا سے صحابہ کرام رضی اللہ تعالی عنہ کا مسائل کے حل کے لیے مشورہ کرنا ۔")</f>
        <v>سورۃ نحل کی روشنی میں قبل از اسلام بچیوں کے ساتھ کیے جانے والے سلوک پر بات کی گئی ۔ عورت کی حق تلفی کرنے ، رسول صلی اللہ علیہ وسلم کا اپنی رضائے بہن کو مقام و مرتبہ دینا  اور کچھ اسلامی واقعات سے عورت کی اہمیت کو واضح کیا گیا ۔ بچیوں کی پیدائش پر اجر و ثواب اور عائشہ صدیقہ رضی اللہ تعالی عنہا سے صحابہ کرام رضی اللہ تعالی عنہ کا مسائل کے حل کے لیے مشورہ کرنا ۔</v>
      </c>
      <c r="X495" s="10">
        <f>IFERROR(__xludf.DUMMYFUNCTION("""COMPUTED_VALUE"""),0.0)</f>
        <v>0</v>
      </c>
      <c r="Y495" s="10">
        <f>IFERROR(__xludf.DUMMYFUNCTION("""COMPUTED_VALUE"""),4.0)</f>
        <v>4</v>
      </c>
      <c r="Z495" s="10">
        <f>IFERROR(__xludf.DUMMYFUNCTION("""COMPUTED_VALUE"""),6.0)</f>
        <v>6</v>
      </c>
      <c r="AA495" s="10">
        <f>IFERROR(__xludf.DUMMYFUNCTION("""COMPUTED_VALUE"""),8.0)</f>
        <v>8</v>
      </c>
      <c r="AB495" s="10">
        <f>IFERROR(__xludf.DUMMYFUNCTION("""COMPUTED_VALUE"""),7.0)</f>
        <v>7</v>
      </c>
      <c r="AC495" s="10">
        <f>IFERROR(__xludf.DUMMYFUNCTION("""COMPUTED_VALUE"""),0.0)</f>
        <v>0</v>
      </c>
      <c r="AD495" s="10">
        <f>IFERROR(__xludf.DUMMYFUNCTION("""COMPUTED_VALUE"""),0.0)</f>
        <v>0</v>
      </c>
      <c r="AE495" s="10">
        <f>IFERROR(__xludf.DUMMYFUNCTION("""COMPUTED_VALUE"""),3.0)</f>
        <v>3</v>
      </c>
      <c r="AF495" s="10">
        <f>IFERROR(__xludf.DUMMYFUNCTION("""COMPUTED_VALUE"""),0.0)</f>
        <v>0</v>
      </c>
      <c r="AG495" s="10">
        <f>IFERROR(__xludf.DUMMYFUNCTION("""COMPUTED_VALUE"""),9.0)</f>
        <v>9</v>
      </c>
      <c r="AH495" s="10">
        <f>IFERROR(__xludf.DUMMYFUNCTION("""COMPUTED_VALUE"""),0.0)</f>
        <v>0</v>
      </c>
      <c r="AI495" s="10">
        <f>IFERROR(__xludf.DUMMYFUNCTION("""COMPUTED_VALUE"""),9.0)</f>
        <v>9</v>
      </c>
      <c r="AJ495" s="11" t="str">
        <f>IFERROR(__xludf.DUMMYFUNCTION("""COMPUTED_VALUE"""),"https://drive.google.com/open?id=1pkMtu0EKDhAuH23b7H8c3SB4HP3nCfwpRQwiTFhllKE")</f>
        <v>https://drive.google.com/open?id=1pkMtu0EKDhAuH23b7H8c3SB4HP3nCfwpRQwiTFhllKE</v>
      </c>
      <c r="AK495" s="12"/>
      <c r="AL495" s="12" t="str">
        <f>IFERROR(__xludf.DUMMYFUNCTION("""COMPUTED_VALUE"""),"Yes")</f>
        <v>Yes</v>
      </c>
      <c r="AM495" s="15">
        <f>IFERROR(__xludf.DUMMYFUNCTION("""COMPUTED_VALUE"""),0.0)</f>
        <v>0</v>
      </c>
      <c r="AN495" s="12" t="str">
        <f>IFERROR(__xludf.DUMMYFUNCTION("""COMPUTED_VALUE"""),"1st week")</f>
        <v>1st week</v>
      </c>
      <c r="AO495" s="13">
        <v>1.0</v>
      </c>
      <c r="AX495" s="17"/>
    </row>
    <row r="496">
      <c r="B496" s="9">
        <f>IFERROR(__xludf.DUMMYFUNCTION("""COMPUTED_VALUE"""),45888.60056685185)</f>
        <v>45888.60057</v>
      </c>
      <c r="C496" s="10" t="str">
        <f>IFERROR(__xludf.DUMMYFUNCTION("""COMPUTED_VALUE"""),"Javeria Abbas ")</f>
        <v>Javeria Abbas </v>
      </c>
      <c r="D496" s="10" t="str">
        <f>IFERROR(__xludf.DUMMYFUNCTION("""COMPUTED_VALUE"""),"03211539026")</f>
        <v>03211539026</v>
      </c>
      <c r="E496" s="10" t="str">
        <f>IFERROR(__xludf.DUMMYFUNCTION("""COMPUTED_VALUE"""),"Jamia Masjid Baba Shahab")</f>
        <v>Jamia Masjid Baba Shahab</v>
      </c>
      <c r="F496" s="10" t="str">
        <f>IFERROR(__xludf.DUMMYFUNCTION("""COMPUTED_VALUE"""),"rjssu")</f>
        <v>rjssu</v>
      </c>
      <c r="G496" s="10" t="str">
        <f>IFERROR(__xludf.DUMMYFUNCTION("""COMPUTED_VALUE"""),"Yes")</f>
        <v>Yes</v>
      </c>
      <c r="H496" s="10">
        <f>IFERROR(__xludf.DUMMYFUNCTION("""COMPUTED_VALUE"""),10.0)</f>
        <v>10</v>
      </c>
      <c r="I496" s="10">
        <f>IFERROR(__xludf.DUMMYFUNCTION("""COMPUTED_VALUE"""),0.0)</f>
        <v>0</v>
      </c>
      <c r="J496" s="10">
        <f>IFERROR(__xludf.DUMMYFUNCTION("""COMPUTED_VALUE"""),10.0)</f>
        <v>10</v>
      </c>
      <c r="K496" s="10">
        <f>IFERROR(__xludf.DUMMYFUNCTION("""COMPUTED_VALUE"""),10.0)</f>
        <v>10</v>
      </c>
      <c r="L496" s="10">
        <f>IFERROR(__xludf.DUMMYFUNCTION("""COMPUTED_VALUE"""),0.0)</f>
        <v>0</v>
      </c>
      <c r="M496" s="10">
        <f>IFERROR(__xludf.DUMMYFUNCTION("""COMPUTED_VALUE"""),6.0)</f>
        <v>6</v>
      </c>
      <c r="N496" s="10">
        <f>IFERROR(__xludf.DUMMYFUNCTION("""COMPUTED_VALUE"""),0.0)</f>
        <v>0</v>
      </c>
      <c r="O496" s="10">
        <f>IFERROR(__xludf.DUMMYFUNCTION("""COMPUTED_VALUE"""),0.0)</f>
        <v>0</v>
      </c>
      <c r="P496" s="10">
        <f>IFERROR(__xludf.DUMMYFUNCTION("""COMPUTED_VALUE"""),0.0)</f>
        <v>0</v>
      </c>
      <c r="Q496" s="10" t="str">
        <f>IFERROR(__xludf.DUMMYFUNCTION("""COMPUTED_VALUE"""),"Yes")</f>
        <v>Yes</v>
      </c>
      <c r="R496" s="10" t="str">
        <f>IFERROR(__xludf.DUMMYFUNCTION("""COMPUTED_VALUE"""),"No")</f>
        <v>No</v>
      </c>
      <c r="S496" s="10" t="str">
        <f>IFERROR(__xludf.DUMMYFUNCTION("""COMPUTED_VALUE"""),"Yes")</f>
        <v>Yes</v>
      </c>
      <c r="T496" s="10">
        <f>IFERROR(__xludf.DUMMYFUNCTION("""COMPUTED_VALUE"""),0.0)</f>
        <v>0</v>
      </c>
      <c r="U496" s="10">
        <f>IFERROR(__xludf.DUMMYFUNCTION("""COMPUTED_VALUE"""),0.0)</f>
        <v>0</v>
      </c>
      <c r="V496" s="10" t="str">
        <f>IFERROR(__xludf.DUMMYFUNCTION("""COMPUTED_VALUE"""),"عورتوں کا مقامُ اور کردار ")</f>
        <v>عورتوں کا مقامُ اور کردار </v>
      </c>
      <c r="W496" s="10" t="str">
        <f>IFERROR(__xludf.DUMMYFUNCTION("""COMPUTED_VALUE"""),"اسلام نے عورتوں کو علوم سیکھنے کی نہ صرف اجازت دی ہے بلکہ ان کی تعلیم و تربیت کو اسی قدر ضروری قرار دیا ہے جس طرح مردوں کی تعلیم و تربیت ضروری ہے ۔")</f>
        <v>اسلام نے عورتوں کو علوم سیکھنے کی نہ صرف اجازت دی ہے بلکہ ان کی تعلیم و تربیت کو اسی قدر ضروری قرار دیا ہے جس طرح مردوں کی تعلیم و تربیت ضروری ہے ۔</v>
      </c>
      <c r="X496" s="10">
        <f>IFERROR(__xludf.DUMMYFUNCTION("""COMPUTED_VALUE"""),0.0)</f>
        <v>0</v>
      </c>
      <c r="Y496" s="10">
        <f>IFERROR(__xludf.DUMMYFUNCTION("""COMPUTED_VALUE"""),4.0)</f>
        <v>4</v>
      </c>
      <c r="Z496" s="10">
        <f>IFERROR(__xludf.DUMMYFUNCTION("""COMPUTED_VALUE"""),4.0)</f>
        <v>4</v>
      </c>
      <c r="AA496" s="10">
        <f>IFERROR(__xludf.DUMMYFUNCTION("""COMPUTED_VALUE"""),8.0)</f>
        <v>8</v>
      </c>
      <c r="AB496" s="10">
        <f>IFERROR(__xludf.DUMMYFUNCTION("""COMPUTED_VALUE"""),5.0)</f>
        <v>5</v>
      </c>
      <c r="AC496" s="10">
        <f>IFERROR(__xludf.DUMMYFUNCTION("""COMPUTED_VALUE"""),0.0)</f>
        <v>0</v>
      </c>
      <c r="AD496" s="10">
        <f>IFERROR(__xludf.DUMMYFUNCTION("""COMPUTED_VALUE"""),0.0)</f>
        <v>0</v>
      </c>
      <c r="AE496" s="10">
        <f>IFERROR(__xludf.DUMMYFUNCTION("""COMPUTED_VALUE"""),0.0)</f>
        <v>0</v>
      </c>
      <c r="AF496" s="10">
        <f>IFERROR(__xludf.DUMMYFUNCTION("""COMPUTED_VALUE"""),0.0)</f>
        <v>0</v>
      </c>
      <c r="AG496" s="10">
        <f>IFERROR(__xludf.DUMMYFUNCTION("""COMPUTED_VALUE"""),10.0)</f>
        <v>10</v>
      </c>
      <c r="AH496" s="10">
        <f>IFERROR(__xludf.DUMMYFUNCTION("""COMPUTED_VALUE"""),0.0)</f>
        <v>0</v>
      </c>
      <c r="AI496" s="10">
        <f>IFERROR(__xludf.DUMMYFUNCTION("""COMPUTED_VALUE"""),10.0)</f>
        <v>10</v>
      </c>
      <c r="AJ496" s="11" t="str">
        <f>IFERROR(__xludf.DUMMYFUNCTION("""COMPUTED_VALUE"""),"https://drive.google.com/open?id=1xITEPIUK2_m03mG_bOfgRha8UpKBQbsRJS_oQPQTZXI")</f>
        <v>https://drive.google.com/open?id=1xITEPIUK2_m03mG_bOfgRha8UpKBQbsRJS_oQPQTZXI</v>
      </c>
      <c r="AK496" s="12"/>
      <c r="AL496" s="12" t="str">
        <f>IFERROR(__xludf.DUMMYFUNCTION("""COMPUTED_VALUE"""),"Yes")</f>
        <v>Yes</v>
      </c>
      <c r="AM496" s="15">
        <f>IFERROR(__xludf.DUMMYFUNCTION("""COMPUTED_VALUE"""),1.0)</f>
        <v>1</v>
      </c>
      <c r="AN496" s="12" t="str">
        <f>IFERROR(__xludf.DUMMYFUNCTION("""COMPUTED_VALUE"""),"1st week")</f>
        <v>1st week</v>
      </c>
      <c r="AO496" s="13">
        <v>1.0</v>
      </c>
      <c r="AX496" s="17"/>
    </row>
    <row r="497">
      <c r="B497" s="9">
        <f>IFERROR(__xludf.DUMMYFUNCTION("""COMPUTED_VALUE"""),45888.76059684028)</f>
        <v>45888.7606</v>
      </c>
      <c r="C497" s="10" t="str">
        <f>IFERROR(__xludf.DUMMYFUNCTION("""COMPUTED_VALUE"""),"Saira Shahzad ")</f>
        <v>Saira Shahzad </v>
      </c>
      <c r="D497" s="10" t="str">
        <f>IFERROR(__xludf.DUMMYFUNCTION("""COMPUTED_VALUE"""),"03114534696")</f>
        <v>03114534696</v>
      </c>
      <c r="E497" s="10" t="str">
        <f>IFERROR(__xludf.DUMMYFUNCTION("""COMPUTED_VALUE"""),"Jamia Masjid Darbar Abdul Wahaab Shah Bukhari Dera Deen Pnah, Kot Addu")</f>
        <v>Jamia Masjid Darbar Abdul Wahaab Shah Bukhari Dera Deen Pnah, Kot Addu</v>
      </c>
      <c r="F497" s="10" t="str">
        <f>IFERROR(__xludf.DUMMYFUNCTION("""COMPUTED_VALUE"""),"uxump")</f>
        <v>uxump</v>
      </c>
      <c r="G497" s="10" t="str">
        <f>IFERROR(__xludf.DUMMYFUNCTION("""COMPUTED_VALUE"""),"No")</f>
        <v>No</v>
      </c>
      <c r="H497" s="10"/>
      <c r="I497" s="10"/>
      <c r="J497" s="10"/>
      <c r="K497" s="10">
        <f>IFERROR(__xludf.DUMMYFUNCTION("""COMPUTED_VALUE"""),0.0)</f>
        <v>0</v>
      </c>
      <c r="L497" s="10">
        <f>IFERROR(__xludf.DUMMYFUNCTION("""COMPUTED_VALUE"""),0.0)</f>
        <v>0</v>
      </c>
      <c r="M497" s="10">
        <f>IFERROR(__xludf.DUMMYFUNCTION("""COMPUTED_VALUE"""),0.0)</f>
        <v>0</v>
      </c>
      <c r="N497" s="10">
        <f>IFERROR(__xludf.DUMMYFUNCTION("""COMPUTED_VALUE"""),0.0)</f>
        <v>0</v>
      </c>
      <c r="O497" s="10">
        <f>IFERROR(__xludf.DUMMYFUNCTION("""COMPUTED_VALUE"""),0.0)</f>
        <v>0</v>
      </c>
      <c r="P497" s="10">
        <f>IFERROR(__xludf.DUMMYFUNCTION("""COMPUTED_VALUE"""),0.0)</f>
        <v>0</v>
      </c>
      <c r="Q497" s="10" t="str">
        <f>IFERROR(__xludf.DUMMYFUNCTION("""COMPUTED_VALUE"""),"No")</f>
        <v>No</v>
      </c>
      <c r="R497" s="10" t="str">
        <f>IFERROR(__xludf.DUMMYFUNCTION("""COMPUTED_VALUE"""),"No")</f>
        <v>No</v>
      </c>
      <c r="S497" s="10" t="str">
        <f>IFERROR(__xludf.DUMMYFUNCTION("""COMPUTED_VALUE"""),"No")</f>
        <v>No</v>
      </c>
      <c r="T497" s="10">
        <f>IFERROR(__xludf.DUMMYFUNCTION("""COMPUTED_VALUE"""),0.0)</f>
        <v>0</v>
      </c>
      <c r="U497" s="10">
        <f>IFERROR(__xludf.DUMMYFUNCTION("""COMPUTED_VALUE"""),0.0)</f>
        <v>0</v>
      </c>
      <c r="V497" s="10" t="str">
        <f>IFERROR(__xludf.DUMMYFUNCTION("""COMPUTED_VALUE"""),"وطن سے محبت")</f>
        <v>وطن سے محبت</v>
      </c>
      <c r="W497" s="10" t="str">
        <f>IFERROR(__xludf.DUMMYFUNCTION("""COMPUTED_VALUE"""),"امام نے اپنے بیان میں وطن سے محبت بیان کی ہے اور یہ بتایا ہے کہ ہر جاندار کو اپنے ٹھکانے سے محبت ہوتی ہے اور نبی پاک صلی اللہ علیہ والہ وسلم کی اپنے وطن سے محبت بھی بیان کی")</f>
        <v>امام نے اپنے بیان میں وطن سے محبت بیان کی ہے اور یہ بتایا ہے کہ ہر جاندار کو اپنے ٹھکانے سے محبت ہوتی ہے اور نبی پاک صلی اللہ علیہ والہ وسلم کی اپنے وطن سے محبت بھی بیان کی</v>
      </c>
      <c r="X497" s="10">
        <f>IFERROR(__xludf.DUMMYFUNCTION("""COMPUTED_VALUE"""),3.0)</f>
        <v>3</v>
      </c>
      <c r="Y497" s="10">
        <f>IFERROR(__xludf.DUMMYFUNCTION("""COMPUTED_VALUE"""),6.0)</f>
        <v>6</v>
      </c>
      <c r="Z497" s="10">
        <f>IFERROR(__xludf.DUMMYFUNCTION("""COMPUTED_VALUE"""),6.0)</f>
        <v>6</v>
      </c>
      <c r="AA497" s="10">
        <f>IFERROR(__xludf.DUMMYFUNCTION("""COMPUTED_VALUE"""),5.0)</f>
        <v>5</v>
      </c>
      <c r="AB497" s="10">
        <f>IFERROR(__xludf.DUMMYFUNCTION("""COMPUTED_VALUE"""),2.0)</f>
        <v>2</v>
      </c>
      <c r="AC497" s="10">
        <f>IFERROR(__xludf.DUMMYFUNCTION("""COMPUTED_VALUE"""),0.0)</f>
        <v>0</v>
      </c>
      <c r="AD497" s="10">
        <f>IFERROR(__xludf.DUMMYFUNCTION("""COMPUTED_VALUE"""),0.0)</f>
        <v>0</v>
      </c>
      <c r="AE497" s="10">
        <f>IFERROR(__xludf.DUMMYFUNCTION("""COMPUTED_VALUE"""),6.0)</f>
        <v>6</v>
      </c>
      <c r="AF497" s="10">
        <f>IFERROR(__xludf.DUMMYFUNCTION("""COMPUTED_VALUE"""),0.0)</f>
        <v>0</v>
      </c>
      <c r="AG497" s="10">
        <f>IFERROR(__xludf.DUMMYFUNCTION("""COMPUTED_VALUE"""),7.0)</f>
        <v>7</v>
      </c>
      <c r="AH497" s="10">
        <f>IFERROR(__xludf.DUMMYFUNCTION("""COMPUTED_VALUE"""),0.0)</f>
        <v>0</v>
      </c>
      <c r="AI497" s="10">
        <f>IFERROR(__xludf.DUMMYFUNCTION("""COMPUTED_VALUE"""),7.0)</f>
        <v>7</v>
      </c>
      <c r="AJ497" s="11" t="str">
        <f>IFERROR(__xludf.DUMMYFUNCTION("""COMPUTED_VALUE"""),"https://drive.google.com/open?id=17equHu9ioTAbFqMx6d2eNJTk_ysLxCuv__muCwwLC-Y")</f>
        <v>https://drive.google.com/open?id=17equHu9ioTAbFqMx6d2eNJTk_ysLxCuv__muCwwLC-Y</v>
      </c>
      <c r="AK497" s="12" t="str">
        <f>IFERROR(__xludf.DUMMYFUNCTION("""COMPUTED_VALUE"""),"No")</f>
        <v>No</v>
      </c>
      <c r="AL497" s="12"/>
      <c r="AM497" s="12"/>
      <c r="AN497" s="12" t="str">
        <f>IFERROR(__xludf.DUMMYFUNCTION("""COMPUTED_VALUE"""),"3rd week")</f>
        <v>3rd week</v>
      </c>
      <c r="AO497" s="13">
        <v>3.0</v>
      </c>
      <c r="AX497" s="17"/>
    </row>
    <row r="498">
      <c r="B498" s="9">
        <f>IFERROR(__xludf.DUMMYFUNCTION("""COMPUTED_VALUE"""),45888.81075902778)</f>
        <v>45888.81076</v>
      </c>
      <c r="C498" s="10" t="str">
        <f>IFERROR(__xludf.DUMMYFUNCTION("""COMPUTED_VALUE"""),"Sidra")</f>
        <v>Sidra</v>
      </c>
      <c r="D498" s="10" t="str">
        <f>IFERROR(__xludf.DUMMYFUNCTION("""COMPUTED_VALUE"""),"03261416280")</f>
        <v>03261416280</v>
      </c>
      <c r="E498" s="10" t="str">
        <f>IFERROR(__xludf.DUMMYFUNCTION("""COMPUTED_VALUE"""),"Jamia Masjid Shah Sadar Ul Din Dera Ghazi Khan")</f>
        <v>Jamia Masjid Shah Sadar Ul Din Dera Ghazi Khan</v>
      </c>
      <c r="F498" s="10" t="str">
        <f>IFERROR(__xludf.DUMMYFUNCTION("""COMPUTED_VALUE"""),"kcaxs")</f>
        <v>kcaxs</v>
      </c>
      <c r="G498" s="10" t="str">
        <f>IFERROR(__xludf.DUMMYFUNCTION("""COMPUTED_VALUE"""),"No")</f>
        <v>No</v>
      </c>
      <c r="H498" s="10"/>
      <c r="I498" s="10"/>
      <c r="J498" s="10"/>
      <c r="K498" s="10">
        <f>IFERROR(__xludf.DUMMYFUNCTION("""COMPUTED_VALUE"""),0.0)</f>
        <v>0</v>
      </c>
      <c r="L498" s="10">
        <f>IFERROR(__xludf.DUMMYFUNCTION("""COMPUTED_VALUE"""),0.0)</f>
        <v>0</v>
      </c>
      <c r="M498" s="10">
        <f>IFERROR(__xludf.DUMMYFUNCTION("""COMPUTED_VALUE"""),0.0)</f>
        <v>0</v>
      </c>
      <c r="N498" s="10">
        <f>IFERROR(__xludf.DUMMYFUNCTION("""COMPUTED_VALUE"""),0.0)</f>
        <v>0</v>
      </c>
      <c r="O498" s="10">
        <f>IFERROR(__xludf.DUMMYFUNCTION("""COMPUTED_VALUE"""),0.0)</f>
        <v>0</v>
      </c>
      <c r="P498" s="10">
        <f>IFERROR(__xludf.DUMMYFUNCTION("""COMPUTED_VALUE"""),0.0)</f>
        <v>0</v>
      </c>
      <c r="Q498" s="10" t="str">
        <f>IFERROR(__xludf.DUMMYFUNCTION("""COMPUTED_VALUE"""),"No")</f>
        <v>No</v>
      </c>
      <c r="R498" s="10" t="str">
        <f>IFERROR(__xludf.DUMMYFUNCTION("""COMPUTED_VALUE"""),"No")</f>
        <v>No</v>
      </c>
      <c r="S498" s="10" t="str">
        <f>IFERROR(__xludf.DUMMYFUNCTION("""COMPUTED_VALUE"""),"No")</f>
        <v>No</v>
      </c>
      <c r="T498" s="10">
        <f>IFERROR(__xludf.DUMMYFUNCTION("""COMPUTED_VALUE"""),0.0)</f>
        <v>0</v>
      </c>
      <c r="U498" s="10">
        <f>IFERROR(__xludf.DUMMYFUNCTION("""COMPUTED_VALUE"""),0.0)</f>
        <v>0</v>
      </c>
      <c r="V498" s="10" t="str">
        <f>IFERROR(__xludf.DUMMYFUNCTION("""COMPUTED_VALUE"""),"محرم الحرام ")</f>
        <v>محرم الحرام </v>
      </c>
      <c r="W498" s="10" t="str">
        <f>IFERROR(__xludf.DUMMYFUNCTION("""COMPUTED_VALUE"""),"امام نے بیان میں بتایا ہے کہ حضرت علی اصغر اور علی اکبر کے بعد امام حسین رضی اللہ تعالی عنہ نے شہادت حاصل کی میدان کربلا میں شہیدوں کے سر تقسیم کیے گئے کچھ سر کسی قبیلے کو دیے گئے تو کچھ کسی کو لیکن امام حسین کا سر اقدس خونی کے ہاتھ آیا تو وہ اسے اپنے سات"&amp;"ھ گھر لے گیا جب کہ اس کو پتہ تھا کہ اس کی بیوی اہل بیت کو ماننے والی ہے ")</f>
        <v>امام نے بیان میں بتایا ہے کہ حضرت علی اصغر اور علی اکبر کے بعد امام حسین رضی اللہ تعالی عنہ نے شہادت حاصل کی میدان کربلا میں شہیدوں کے سر تقسیم کیے گئے کچھ سر کسی قبیلے کو دیے گئے تو کچھ کسی کو لیکن امام حسین کا سر اقدس خونی کے ہاتھ آیا تو وہ اسے اپنے ساتھ گھر لے گیا جب کہ اس کو پتہ تھا کہ اس کی بیوی اہل بیت کو ماننے والی ہے </v>
      </c>
      <c r="X498" s="10">
        <f>IFERROR(__xludf.DUMMYFUNCTION("""COMPUTED_VALUE"""),3.0)</f>
        <v>3</v>
      </c>
      <c r="Y498" s="10">
        <f>IFERROR(__xludf.DUMMYFUNCTION("""COMPUTED_VALUE"""),2.0)</f>
        <v>2</v>
      </c>
      <c r="Z498" s="10">
        <f>IFERROR(__xludf.DUMMYFUNCTION("""COMPUTED_VALUE"""),6.0)</f>
        <v>6</v>
      </c>
      <c r="AA498" s="10">
        <f>IFERROR(__xludf.DUMMYFUNCTION("""COMPUTED_VALUE"""),3.0)</f>
        <v>3</v>
      </c>
      <c r="AB498" s="10">
        <f>IFERROR(__xludf.DUMMYFUNCTION("""COMPUTED_VALUE"""),5.0)</f>
        <v>5</v>
      </c>
      <c r="AC498" s="10">
        <f>IFERROR(__xludf.DUMMYFUNCTION("""COMPUTED_VALUE"""),0.0)</f>
        <v>0</v>
      </c>
      <c r="AD498" s="10">
        <f>IFERROR(__xludf.DUMMYFUNCTION("""COMPUTED_VALUE"""),0.0)</f>
        <v>0</v>
      </c>
      <c r="AE498" s="10">
        <f>IFERROR(__xludf.DUMMYFUNCTION("""COMPUTED_VALUE"""),3.0)</f>
        <v>3</v>
      </c>
      <c r="AF498" s="10">
        <f>IFERROR(__xludf.DUMMYFUNCTION("""COMPUTED_VALUE"""),0.0)</f>
        <v>0</v>
      </c>
      <c r="AG498" s="10">
        <f>IFERROR(__xludf.DUMMYFUNCTION("""COMPUTED_VALUE"""),8.0)</f>
        <v>8</v>
      </c>
      <c r="AH498" s="10">
        <f>IFERROR(__xludf.DUMMYFUNCTION("""COMPUTED_VALUE"""),0.0)</f>
        <v>0</v>
      </c>
      <c r="AI498" s="10">
        <f>IFERROR(__xludf.DUMMYFUNCTION("""COMPUTED_VALUE"""),8.0)</f>
        <v>8</v>
      </c>
      <c r="AJ498" s="11" t="str">
        <f>IFERROR(__xludf.DUMMYFUNCTION("""COMPUTED_VALUE"""),"https://drive.google.com/open?id=1QWFMTRLhS4v-hn_CDpMnRZNQbajV3BI7ccsNvzZ8C4c")</f>
        <v>https://drive.google.com/open?id=1QWFMTRLhS4v-hn_CDpMnRZNQbajV3BI7ccsNvzZ8C4c</v>
      </c>
      <c r="AK498" s="12" t="str">
        <f>IFERROR(__xludf.DUMMYFUNCTION("""COMPUTED_VALUE"""),"No ")</f>
        <v>No </v>
      </c>
      <c r="AL498" s="12"/>
      <c r="AM498" s="12"/>
      <c r="AN498" s="12" t="str">
        <f>IFERROR(__xludf.DUMMYFUNCTION("""COMPUTED_VALUE"""),"1st week")</f>
        <v>1st week</v>
      </c>
      <c r="AO498" s="13">
        <v>1.0</v>
      </c>
      <c r="AX498" s="17"/>
    </row>
    <row r="499">
      <c r="B499" s="9">
        <f>IFERROR(__xludf.DUMMYFUNCTION("""COMPUTED_VALUE"""),45889.18791129629)</f>
        <v>45889.18791</v>
      </c>
      <c r="C499" s="10" t="str">
        <f>IFERROR(__xludf.DUMMYFUNCTION("""COMPUTED_VALUE"""),"Atiqa")</f>
        <v>Atiqa</v>
      </c>
      <c r="D499" s="10" t="str">
        <f>IFERROR(__xludf.DUMMYFUNCTION("""COMPUTED_VALUE"""),"03157519977")</f>
        <v>03157519977</v>
      </c>
      <c r="E499" s="10" t="str">
        <f>IFERROR(__xludf.DUMMYFUNCTION("""COMPUTED_VALUE"""),"Jamia Masjid  Muhkum Ul Din Seerani Khanga Khanga")</f>
        <v>Jamia Masjid  Muhkum Ul Din Seerani Khanga Khanga</v>
      </c>
      <c r="F499" s="10" t="str">
        <f>IFERROR(__xludf.DUMMYFUNCTION("""COMPUTED_VALUE"""),"tktxl")</f>
        <v>tktxl</v>
      </c>
      <c r="G499" s="10" t="str">
        <f>IFERROR(__xludf.DUMMYFUNCTION("""COMPUTED_VALUE"""),"No")</f>
        <v>No</v>
      </c>
      <c r="H499" s="10"/>
      <c r="I499" s="10"/>
      <c r="J499" s="10"/>
      <c r="K499" s="10">
        <f>IFERROR(__xludf.DUMMYFUNCTION("""COMPUTED_VALUE"""),0.0)</f>
        <v>0</v>
      </c>
      <c r="L499" s="10">
        <f>IFERROR(__xludf.DUMMYFUNCTION("""COMPUTED_VALUE"""),0.0)</f>
        <v>0</v>
      </c>
      <c r="M499" s="10">
        <f>IFERROR(__xludf.DUMMYFUNCTION("""COMPUTED_VALUE"""),0.0)</f>
        <v>0</v>
      </c>
      <c r="N499" s="10">
        <f>IFERROR(__xludf.DUMMYFUNCTION("""COMPUTED_VALUE"""),0.0)</f>
        <v>0</v>
      </c>
      <c r="O499" s="10">
        <f>IFERROR(__xludf.DUMMYFUNCTION("""COMPUTED_VALUE"""),0.0)</f>
        <v>0</v>
      </c>
      <c r="P499" s="10">
        <f>IFERROR(__xludf.DUMMYFUNCTION("""COMPUTED_VALUE"""),0.0)</f>
        <v>0</v>
      </c>
      <c r="Q499" s="10" t="str">
        <f>IFERROR(__xludf.DUMMYFUNCTION("""COMPUTED_VALUE"""),"No")</f>
        <v>No</v>
      </c>
      <c r="R499" s="10" t="str">
        <f>IFERROR(__xludf.DUMMYFUNCTION("""COMPUTED_VALUE"""),"No")</f>
        <v>No</v>
      </c>
      <c r="S499" s="10" t="str">
        <f>IFERROR(__xludf.DUMMYFUNCTION("""COMPUTED_VALUE"""),"No")</f>
        <v>No</v>
      </c>
      <c r="T499" s="10">
        <f>IFERROR(__xludf.DUMMYFUNCTION("""COMPUTED_VALUE"""),0.0)</f>
        <v>0</v>
      </c>
      <c r="U499" s="10">
        <f>IFERROR(__xludf.DUMMYFUNCTION("""COMPUTED_VALUE"""),0.0)</f>
        <v>0</v>
      </c>
      <c r="V499" s="10" t="str">
        <f>IFERROR(__xludf.DUMMYFUNCTION("""COMPUTED_VALUE"""),"کربلا کے میدان کا پس منظر ")</f>
        <v>کربلا کے میدان کا پس منظر </v>
      </c>
      <c r="W499" s="10" t="str">
        <f>IFERROR(__xludf.DUMMYFUNCTION("""COMPUTED_VALUE"""),"امیر معاویہ کا یزید کو بادشاہ نامزد کرنا اور کوفے والوں کا حسین رضی اللہ تعالی عنہ کے ہاں قاصد اور خط بھیجنا پھر حسین رضی اللہ تعالی عنہا کا قافلے کے ساتھ جس میں بہن  زینب رضی اللہ تعالی عنہا بھی ساتھ  تھی  مدینہ سے مکہ اور پھر کربلا کی طرف روانہ ہونا ۔ ح"&amp;"سین رضی اللہ تعالی عنہ کی مدینہ منورہ سے روانگی پر مردو عورت کا رونا ۔ کربلا میں چھ سالہ سکینہ کا اپنے چچا سے پانی مانگنا اور چھ ماہ کے شیر خواہ بچے علی اصگر کا دشمن کے ہاتھوں شہید ہونا ۔ اور مردوں میں سے زین العابدین کا کربلا کے میدان میں بچنا بیان کیا گ"&amp;"یا ۔")</f>
        <v>امیر معاویہ کا یزید کو بادشاہ نامزد کرنا اور کوفے والوں کا حسین رضی اللہ تعالی عنہ کے ہاں قاصد اور خط بھیجنا پھر حسین رضی اللہ تعالی عنہا کا قافلے کے ساتھ جس میں بہن  زینب رضی اللہ تعالی عنہا بھی ساتھ  تھی  مدینہ سے مکہ اور پھر کربلا کی طرف روانہ ہونا ۔ حسین رضی اللہ تعالی عنہ کی مدینہ منورہ سے روانگی پر مردو عورت کا رونا ۔ کربلا میں چھ سالہ سکینہ کا اپنے چچا سے پانی مانگنا اور چھ ماہ کے شیر خواہ بچے علی اصگر کا دشمن کے ہاتھوں شہید ہونا ۔ اور مردوں میں سے زین العابدین کا کربلا کے میدان میں بچنا بیان کیا گیا ۔</v>
      </c>
      <c r="X499" s="10">
        <f>IFERROR(__xludf.DUMMYFUNCTION("""COMPUTED_VALUE"""),0.0)</f>
        <v>0</v>
      </c>
      <c r="Y499" s="10">
        <f>IFERROR(__xludf.DUMMYFUNCTION("""COMPUTED_VALUE"""),6.0)</f>
        <v>6</v>
      </c>
      <c r="Z499" s="10">
        <f>IFERROR(__xludf.DUMMYFUNCTION("""COMPUTED_VALUE"""),2.0)</f>
        <v>2</v>
      </c>
      <c r="AA499" s="10">
        <f>IFERROR(__xludf.DUMMYFUNCTION("""COMPUTED_VALUE"""),7.0)</f>
        <v>7</v>
      </c>
      <c r="AB499" s="10">
        <f>IFERROR(__xludf.DUMMYFUNCTION("""COMPUTED_VALUE"""),8.0)</f>
        <v>8</v>
      </c>
      <c r="AC499" s="10">
        <f>IFERROR(__xludf.DUMMYFUNCTION("""COMPUTED_VALUE"""),0.0)</f>
        <v>0</v>
      </c>
      <c r="AD499" s="10">
        <f>IFERROR(__xludf.DUMMYFUNCTION("""COMPUTED_VALUE"""),0.0)</f>
        <v>0</v>
      </c>
      <c r="AE499" s="10">
        <f>IFERROR(__xludf.DUMMYFUNCTION("""COMPUTED_VALUE"""),3.0)</f>
        <v>3</v>
      </c>
      <c r="AF499" s="10">
        <f>IFERROR(__xludf.DUMMYFUNCTION("""COMPUTED_VALUE"""),0.0)</f>
        <v>0</v>
      </c>
      <c r="AG499" s="10">
        <f>IFERROR(__xludf.DUMMYFUNCTION("""COMPUTED_VALUE"""),8.0)</f>
        <v>8</v>
      </c>
      <c r="AH499" s="10">
        <f>IFERROR(__xludf.DUMMYFUNCTION("""COMPUTED_VALUE"""),0.0)</f>
        <v>0</v>
      </c>
      <c r="AI499" s="10">
        <f>IFERROR(__xludf.DUMMYFUNCTION("""COMPUTED_VALUE"""),8.0)</f>
        <v>8</v>
      </c>
      <c r="AJ499" s="11" t="str">
        <f>IFERROR(__xludf.DUMMYFUNCTION("""COMPUTED_VALUE"""),"https://drive.google.com/open?id=1bF6S8iP-x2lFnBVyt1la1NxdmNWKm6AL7gDFt-Evqc4")</f>
        <v>https://drive.google.com/open?id=1bF6S8iP-x2lFnBVyt1la1NxdmNWKm6AL7gDFt-Evqc4</v>
      </c>
      <c r="AK499" s="12"/>
      <c r="AL499" s="12"/>
      <c r="AM499" s="12"/>
      <c r="AN499" s="12" t="str">
        <f>IFERROR(__xludf.DUMMYFUNCTION("""COMPUTED_VALUE"""),"1st week")</f>
        <v>1st week</v>
      </c>
      <c r="AO499" s="13">
        <v>1.0</v>
      </c>
      <c r="AX499" s="17"/>
    </row>
    <row r="500">
      <c r="B500" s="9">
        <f>IFERROR(__xludf.DUMMYFUNCTION("""COMPUTED_VALUE"""),45889.1920296875)</f>
        <v>45889.19203</v>
      </c>
      <c r="C500" s="10" t="str">
        <f>IFERROR(__xludf.DUMMYFUNCTION("""COMPUTED_VALUE"""),"Muqaddas bibi ")</f>
        <v>Muqaddas bibi </v>
      </c>
      <c r="D500" s="10" t="str">
        <f>IFERROR(__xludf.DUMMYFUNCTION("""COMPUTED_VALUE"""),"03075314147")</f>
        <v>03075314147</v>
      </c>
      <c r="E500" s="10" t="str">
        <f>IFERROR(__xludf.DUMMYFUNCTION("""COMPUTED_VALUE"""),"Jamia masjid ahle hadees na haliyanawali ahumd pur sharqiya ")</f>
        <v>Jamia masjid ahle hadees na haliyanawali ahumd pur sharqiya </v>
      </c>
      <c r="F500" s="10" t="str">
        <f>IFERROR(__xludf.DUMMYFUNCTION("""COMPUTED_VALUE"""),"coclq")</f>
        <v>coclq</v>
      </c>
      <c r="G500" s="10" t="str">
        <f>IFERROR(__xludf.DUMMYFUNCTION("""COMPUTED_VALUE"""),"Yes")</f>
        <v>Yes</v>
      </c>
      <c r="H500" s="10">
        <f>IFERROR(__xludf.DUMMYFUNCTION("""COMPUTED_VALUE"""),10.0)</f>
        <v>10</v>
      </c>
      <c r="I500" s="10">
        <f>IFERROR(__xludf.DUMMYFUNCTION("""COMPUTED_VALUE"""),0.0)</f>
        <v>0</v>
      </c>
      <c r="J500" s="10">
        <f>IFERROR(__xludf.DUMMYFUNCTION("""COMPUTED_VALUE"""),10.0)</f>
        <v>10</v>
      </c>
      <c r="K500" s="10">
        <f>IFERROR(__xludf.DUMMYFUNCTION("""COMPUTED_VALUE"""),0.0)</f>
        <v>0</v>
      </c>
      <c r="L500" s="10">
        <f>IFERROR(__xludf.DUMMYFUNCTION("""COMPUTED_VALUE"""),8.0)</f>
        <v>8</v>
      </c>
      <c r="M500" s="10">
        <f>IFERROR(__xludf.DUMMYFUNCTION("""COMPUTED_VALUE"""),0.0)</f>
        <v>0</v>
      </c>
      <c r="N500" s="10">
        <f>IFERROR(__xludf.DUMMYFUNCTION("""COMPUTED_VALUE"""),10.0)</f>
        <v>10</v>
      </c>
      <c r="O500" s="10">
        <f>IFERROR(__xludf.DUMMYFUNCTION("""COMPUTED_VALUE"""),0.0)</f>
        <v>0</v>
      </c>
      <c r="P500" s="10">
        <f>IFERROR(__xludf.DUMMYFUNCTION("""COMPUTED_VALUE"""),10.0)</f>
        <v>10</v>
      </c>
      <c r="Q500" s="10" t="str">
        <f>IFERROR(__xludf.DUMMYFUNCTION("""COMPUTED_VALUE"""),"No")</f>
        <v>No</v>
      </c>
      <c r="R500" s="10" t="str">
        <f>IFERROR(__xludf.DUMMYFUNCTION("""COMPUTED_VALUE"""),"Yes")</f>
        <v>Yes</v>
      </c>
      <c r="S500" s="10" t="str">
        <f>IFERROR(__xludf.DUMMYFUNCTION("""COMPUTED_VALUE"""),"No")</f>
        <v>No</v>
      </c>
      <c r="T500" s="10">
        <f>IFERROR(__xludf.DUMMYFUNCTION("""COMPUTED_VALUE"""),0.0)</f>
        <v>0</v>
      </c>
      <c r="U500" s="10">
        <f>IFERROR(__xludf.DUMMYFUNCTION("""COMPUTED_VALUE"""),0.0)</f>
        <v>0</v>
      </c>
      <c r="V500" s="10" t="str">
        <f>IFERROR(__xludf.DUMMYFUNCTION("""COMPUTED_VALUE"""),"حقوق اللہ اور حقوق العباد")</f>
        <v>حقوق اللہ اور حقوق العباد</v>
      </c>
      <c r="W500" s="10" t="str">
        <f>IFERROR(__xludf.DUMMYFUNCTION("""COMPUTED_VALUE"""),"اللہ تعالی نے قران میں پہلے اپنی عبادت اور توحید کا حکم دیا پھر والدین رشتہ داروں یتیموں مسکینوں اور پڑوسیوں کے ساتھ حسن سلوک کی تاکید فرمائی ہے یہی انسان کی اصل کامیابی یہ ہے کہ وہ حقوق اللہ اور حقوق العباد دونوں کو پورا کر ے")</f>
        <v>اللہ تعالی نے قران میں پہلے اپنی عبادت اور توحید کا حکم دیا پھر والدین رشتہ داروں یتیموں مسکینوں اور پڑوسیوں کے ساتھ حسن سلوک کی تاکید فرمائی ہے یہی انسان کی اصل کامیابی یہ ہے کہ وہ حقوق اللہ اور حقوق العباد دونوں کو پورا کر ے</v>
      </c>
      <c r="X500" s="10">
        <f>IFERROR(__xludf.DUMMYFUNCTION("""COMPUTED_VALUE"""),5.0)</f>
        <v>5</v>
      </c>
      <c r="Y500" s="10">
        <f>IFERROR(__xludf.DUMMYFUNCTION("""COMPUTED_VALUE"""),5.0)</f>
        <v>5</v>
      </c>
      <c r="Z500" s="10">
        <f>IFERROR(__xludf.DUMMYFUNCTION("""COMPUTED_VALUE"""),2.0)</f>
        <v>2</v>
      </c>
      <c r="AA500" s="10">
        <f>IFERROR(__xludf.DUMMYFUNCTION("""COMPUTED_VALUE"""),3.0)</f>
        <v>3</v>
      </c>
      <c r="AB500" s="10">
        <f>IFERROR(__xludf.DUMMYFUNCTION("""COMPUTED_VALUE"""),1.0)</f>
        <v>1</v>
      </c>
      <c r="AC500" s="10">
        <f>IFERROR(__xludf.DUMMYFUNCTION("""COMPUTED_VALUE"""),0.0)</f>
        <v>0</v>
      </c>
      <c r="AD500" s="10">
        <f>IFERROR(__xludf.DUMMYFUNCTION("""COMPUTED_VALUE"""),3.0)</f>
        <v>3</v>
      </c>
      <c r="AE500" s="10">
        <f>IFERROR(__xludf.DUMMYFUNCTION("""COMPUTED_VALUE"""),0.0)</f>
        <v>0</v>
      </c>
      <c r="AF500" s="10">
        <f>IFERROR(__xludf.DUMMYFUNCTION("""COMPUTED_VALUE"""),0.0)</f>
        <v>0</v>
      </c>
      <c r="AG500" s="10">
        <f>IFERROR(__xludf.DUMMYFUNCTION("""COMPUTED_VALUE"""),7.0)</f>
        <v>7</v>
      </c>
      <c r="AH500" s="10">
        <f>IFERROR(__xludf.DUMMYFUNCTION("""COMPUTED_VALUE"""),0.0)</f>
        <v>0</v>
      </c>
      <c r="AI500" s="10">
        <f>IFERROR(__xludf.DUMMYFUNCTION("""COMPUTED_VALUE"""),9.0)</f>
        <v>9</v>
      </c>
      <c r="AJ500" s="11" t="str">
        <f>IFERROR(__xludf.DUMMYFUNCTION("""COMPUTED_VALUE"""),"https://drive.google.com/open?id=1KGqOCukxkyP2yXuqkvW4vnJTRrez4-IJ")</f>
        <v>https://drive.google.com/open?id=1KGqOCukxkyP2yXuqkvW4vnJTRrez4-IJ</v>
      </c>
      <c r="AK500" s="12" t="str">
        <f>IFERROR(__xludf.DUMMYFUNCTION("""COMPUTED_VALUE"""),"Nill")</f>
        <v>Nill</v>
      </c>
      <c r="AL500" s="12" t="str">
        <f>IFERROR(__xludf.DUMMYFUNCTION("""COMPUTED_VALUE"""),"Yes")</f>
        <v>Yes</v>
      </c>
      <c r="AM500" s="15">
        <f>IFERROR(__xludf.DUMMYFUNCTION("""COMPUTED_VALUE"""),1.0)</f>
        <v>1</v>
      </c>
      <c r="AN500" s="12" t="str">
        <f>IFERROR(__xludf.DUMMYFUNCTION("""COMPUTED_VALUE"""),"1st week")</f>
        <v>1st week</v>
      </c>
      <c r="AO500" s="13">
        <v>1.0</v>
      </c>
      <c r="AX500" s="17"/>
    </row>
    <row r="501">
      <c r="B501" s="9">
        <f>IFERROR(__xludf.DUMMYFUNCTION("""COMPUTED_VALUE"""),45889.224958217594)</f>
        <v>45889.22496</v>
      </c>
      <c r="C501" s="10" t="str">
        <f>IFERROR(__xludf.DUMMYFUNCTION("""COMPUTED_VALUE"""),"Saira Shahzad ")</f>
        <v>Saira Shahzad </v>
      </c>
      <c r="D501" s="10" t="str">
        <f>IFERROR(__xludf.DUMMYFUNCTION("""COMPUTED_VALUE"""),"03114534696")</f>
        <v>03114534696</v>
      </c>
      <c r="E501" s="10" t="str">
        <f>IFERROR(__xludf.DUMMYFUNCTION("""COMPUTED_VALUE"""),"Jamia Masjid Darbar Fazal Ul Din Laadala Och Shareef")</f>
        <v>Jamia Masjid Darbar Fazal Ul Din Laadala Och Shareef</v>
      </c>
      <c r="F501" s="10" t="str">
        <f>IFERROR(__xludf.DUMMYFUNCTION("""COMPUTED_VALUE"""),"pztqo")</f>
        <v>pztqo</v>
      </c>
      <c r="G501" s="10" t="str">
        <f>IFERROR(__xludf.DUMMYFUNCTION("""COMPUTED_VALUE"""),"Yes")</f>
        <v>Yes</v>
      </c>
      <c r="H501" s="10">
        <f>IFERROR(__xludf.DUMMYFUNCTION("""COMPUTED_VALUE"""),9.0)</f>
        <v>9</v>
      </c>
      <c r="I501" s="10">
        <f>IFERROR(__xludf.DUMMYFUNCTION("""COMPUTED_VALUE"""),0.0)</f>
        <v>0</v>
      </c>
      <c r="J501" s="10">
        <f>IFERROR(__xludf.DUMMYFUNCTION("""COMPUTED_VALUE"""),9.0)</f>
        <v>9</v>
      </c>
      <c r="K501" s="10">
        <f>IFERROR(__xludf.DUMMYFUNCTION("""COMPUTED_VALUE"""),5.0)</f>
        <v>5</v>
      </c>
      <c r="L501" s="10">
        <f>IFERROR(__xludf.DUMMYFUNCTION("""COMPUTED_VALUE"""),0.0)</f>
        <v>0</v>
      </c>
      <c r="M501" s="10">
        <f>IFERROR(__xludf.DUMMYFUNCTION("""COMPUTED_VALUE"""),7.0)</f>
        <v>7</v>
      </c>
      <c r="N501" s="10">
        <f>IFERROR(__xludf.DUMMYFUNCTION("""COMPUTED_VALUE"""),0.0)</f>
        <v>0</v>
      </c>
      <c r="O501" s="10">
        <f>IFERROR(__xludf.DUMMYFUNCTION("""COMPUTED_VALUE"""),9.0)</f>
        <v>9</v>
      </c>
      <c r="P501" s="10">
        <f>IFERROR(__xludf.DUMMYFUNCTION("""COMPUTED_VALUE"""),0.0)</f>
        <v>0</v>
      </c>
      <c r="Q501" s="10" t="str">
        <f>IFERROR(__xludf.DUMMYFUNCTION("""COMPUTED_VALUE"""),"Yes")</f>
        <v>Yes</v>
      </c>
      <c r="R501" s="10" t="str">
        <f>IFERROR(__xludf.DUMMYFUNCTION("""COMPUTED_VALUE"""),"No")</f>
        <v>No</v>
      </c>
      <c r="S501" s="10" t="str">
        <f>IFERROR(__xludf.DUMMYFUNCTION("""COMPUTED_VALUE"""),"Yes")</f>
        <v>Yes</v>
      </c>
      <c r="T501" s="10">
        <f>IFERROR(__xludf.DUMMYFUNCTION("""COMPUTED_VALUE"""),0.0)</f>
        <v>0</v>
      </c>
      <c r="U501" s="10">
        <f>IFERROR(__xludf.DUMMYFUNCTION("""COMPUTED_VALUE"""),0.0)</f>
        <v>0</v>
      </c>
      <c r="V501" s="10" t="str">
        <f>IFERROR(__xludf.DUMMYFUNCTION("""COMPUTED_VALUE"""),"اسلام میں عورت کا مقام کردار اور حق")</f>
        <v>اسلام میں عورت کا مقام کردار اور حق</v>
      </c>
      <c r="W501" s="10" t="str">
        <f>IFERROR(__xludf.DUMMYFUNCTION("""COMPUTED_VALUE"""),"امام ہم نے اپنے بیان میں عورتوں کے مقام کردار اور حق کی بات کی ہے جو کہ اسلام نے انہیں دیا ہے اسلام میں عورتوں سے حسن سلوک اور تعلیم پر زور دیا ہے اور خواتین کو سماجی اور معاشی سرگرمیاں میں حصہ لینے کا اختیار بھی دیا ہے اس سے یہاں صرف معاشرے میں اہم کردار"&amp;"عطا کریں گی بلکہ اپنے گھریلو نظام کو بھی بہتر طریقے سے سر انجام دیں گی")</f>
        <v>امام ہم نے اپنے بیان میں عورتوں کے مقام کردار اور حق کی بات کی ہے جو کہ اسلام نے انہیں دیا ہے اسلام میں عورتوں سے حسن سلوک اور تعلیم پر زور دیا ہے اور خواتین کو سماجی اور معاشی سرگرمیاں میں حصہ لینے کا اختیار بھی دیا ہے اس سے یہاں صرف معاشرے میں اہم کردارعطا کریں گی بلکہ اپنے گھریلو نظام کو بھی بہتر طریقے سے سر انجام دیں گی</v>
      </c>
      <c r="X501" s="10">
        <f>IFERROR(__xludf.DUMMYFUNCTION("""COMPUTED_VALUE"""),3.0)</f>
        <v>3</v>
      </c>
      <c r="Y501" s="10">
        <f>IFERROR(__xludf.DUMMYFUNCTION("""COMPUTED_VALUE"""),4.0)</f>
        <v>4</v>
      </c>
      <c r="Z501" s="10">
        <f>IFERROR(__xludf.DUMMYFUNCTION("""COMPUTED_VALUE"""),6.0)</f>
        <v>6</v>
      </c>
      <c r="AA501" s="10">
        <f>IFERROR(__xludf.DUMMYFUNCTION("""COMPUTED_VALUE"""),7.0)</f>
        <v>7</v>
      </c>
      <c r="AB501" s="10">
        <f>IFERROR(__xludf.DUMMYFUNCTION("""COMPUTED_VALUE"""),7.0)</f>
        <v>7</v>
      </c>
      <c r="AC501" s="10">
        <f>IFERROR(__xludf.DUMMYFUNCTION("""COMPUTED_VALUE"""),1.0)</f>
        <v>1</v>
      </c>
      <c r="AD501" s="10">
        <f>IFERROR(__xludf.DUMMYFUNCTION("""COMPUTED_VALUE"""),5.0)</f>
        <v>5</v>
      </c>
      <c r="AE501" s="10">
        <f>IFERROR(__xludf.DUMMYFUNCTION("""COMPUTED_VALUE"""),0.0)</f>
        <v>0</v>
      </c>
      <c r="AF501" s="10">
        <f>IFERROR(__xludf.DUMMYFUNCTION("""COMPUTED_VALUE"""),7.0)</f>
        <v>7</v>
      </c>
      <c r="AG501" s="10">
        <f>IFERROR(__xludf.DUMMYFUNCTION("""COMPUTED_VALUE"""),8.0)</f>
        <v>8</v>
      </c>
      <c r="AH501" s="10">
        <f>IFERROR(__xludf.DUMMYFUNCTION("""COMPUTED_VALUE"""),0.0)</f>
        <v>0</v>
      </c>
      <c r="AI501" s="10">
        <f>IFERROR(__xludf.DUMMYFUNCTION("""COMPUTED_VALUE"""),8.0)</f>
        <v>8</v>
      </c>
      <c r="AJ501" s="11" t="str">
        <f>IFERROR(__xludf.DUMMYFUNCTION("""COMPUTED_VALUE"""),"https://drive.google.com/open?id=1dNWYyDjMq05L5AYzTMXxoBQWOPnEbmkaSTD2ws6ZppA")</f>
        <v>https://drive.google.com/open?id=1dNWYyDjMq05L5AYzTMXxoBQWOPnEbmkaSTD2ws6ZppA</v>
      </c>
      <c r="AK501" s="12" t="str">
        <f>IFERROR(__xludf.DUMMYFUNCTION("""COMPUTED_VALUE"""),"No")</f>
        <v>No</v>
      </c>
      <c r="AL501" s="12" t="str">
        <f>IFERROR(__xludf.DUMMYFUNCTION("""COMPUTED_VALUE"""),"Yes")</f>
        <v>Yes</v>
      </c>
      <c r="AM501" s="15">
        <f>IFERROR(__xludf.DUMMYFUNCTION("""COMPUTED_VALUE"""),0.9)</f>
        <v>0.9</v>
      </c>
      <c r="AN501" s="12" t="str">
        <f>IFERROR(__xludf.DUMMYFUNCTION("""COMPUTED_VALUE"""),"2nd week")</f>
        <v>2nd week</v>
      </c>
      <c r="AO501" s="13">
        <v>2.0</v>
      </c>
      <c r="AX501" s="17"/>
    </row>
    <row r="502">
      <c r="B502" s="9">
        <f>IFERROR(__xludf.DUMMYFUNCTION("""COMPUTED_VALUE"""),45889.23373774305)</f>
        <v>45889.23374</v>
      </c>
      <c r="C502" s="10" t="str">
        <f>IFERROR(__xludf.DUMMYFUNCTION("""COMPUTED_VALUE"""),"Muqaddas Bibi ")</f>
        <v>Muqaddas Bibi </v>
      </c>
      <c r="D502" s="10" t="str">
        <f>IFERROR(__xludf.DUMMYFUNCTION("""COMPUTED_VALUE"""),"03075314147")</f>
        <v>03075314147</v>
      </c>
      <c r="E502" s="10" t="str">
        <f>IFERROR(__xludf.DUMMYFUNCTION("""COMPUTED_VALUE"""),"Jamia masjid Minya nawali mincanabad ")</f>
        <v>Jamia masjid Minya nawali mincanabad </v>
      </c>
      <c r="F502" s="10" t="str">
        <f>IFERROR(__xludf.DUMMYFUNCTION("""COMPUTED_VALUE"""),"pbyfm")</f>
        <v>pbyfm</v>
      </c>
      <c r="G502" s="10" t="str">
        <f>IFERROR(__xludf.DUMMYFUNCTION("""COMPUTED_VALUE"""),"Yes")</f>
        <v>Yes</v>
      </c>
      <c r="H502" s="10">
        <f>IFERROR(__xludf.DUMMYFUNCTION("""COMPUTED_VALUE"""),10.0)</f>
        <v>10</v>
      </c>
      <c r="I502" s="10">
        <f>IFERROR(__xludf.DUMMYFUNCTION("""COMPUTED_VALUE"""),0.0)</f>
        <v>0</v>
      </c>
      <c r="J502" s="10">
        <f>IFERROR(__xludf.DUMMYFUNCTION("""COMPUTED_VALUE"""),10.0)</f>
        <v>10</v>
      </c>
      <c r="K502" s="10">
        <f>IFERROR(__xludf.DUMMYFUNCTION("""COMPUTED_VALUE"""),0.0)</f>
        <v>0</v>
      </c>
      <c r="L502" s="10">
        <f>IFERROR(__xludf.DUMMYFUNCTION("""COMPUTED_VALUE"""),10.0)</f>
        <v>10</v>
      </c>
      <c r="M502" s="10">
        <f>IFERROR(__xludf.DUMMYFUNCTION("""COMPUTED_VALUE"""),0.0)</f>
        <v>0</v>
      </c>
      <c r="N502" s="10">
        <f>IFERROR(__xludf.DUMMYFUNCTION("""COMPUTED_VALUE"""),10.0)</f>
        <v>10</v>
      </c>
      <c r="O502" s="10">
        <f>IFERROR(__xludf.DUMMYFUNCTION("""COMPUTED_VALUE"""),0.0)</f>
        <v>0</v>
      </c>
      <c r="P502" s="10">
        <f>IFERROR(__xludf.DUMMYFUNCTION("""COMPUTED_VALUE"""),10.0)</f>
        <v>10</v>
      </c>
      <c r="Q502" s="10" t="str">
        <f>IFERROR(__xludf.DUMMYFUNCTION("""COMPUTED_VALUE"""),"No")</f>
        <v>No</v>
      </c>
      <c r="R502" s="10" t="str">
        <f>IFERROR(__xludf.DUMMYFUNCTION("""COMPUTED_VALUE"""),"No")</f>
        <v>No</v>
      </c>
      <c r="S502" s="10" t="str">
        <f>IFERROR(__xludf.DUMMYFUNCTION("""COMPUTED_VALUE"""),"No")</f>
        <v>No</v>
      </c>
      <c r="T502" s="10">
        <f>IFERROR(__xludf.DUMMYFUNCTION("""COMPUTED_VALUE"""),0.0)</f>
        <v>0</v>
      </c>
      <c r="U502" s="10">
        <f>IFERROR(__xludf.DUMMYFUNCTION("""COMPUTED_VALUE"""),0.0)</f>
        <v>0</v>
      </c>
      <c r="V502" s="10" t="str">
        <f>IFERROR(__xludf.DUMMYFUNCTION("""COMPUTED_VALUE"""),"انسان کے فرائض اور پڑوسیوں کے حقوق")</f>
        <v>انسان کے فرائض اور پڑوسیوں کے حقوق</v>
      </c>
      <c r="W502" s="10" t="str">
        <f>IFERROR(__xludf.DUMMYFUNCTION("""COMPUTED_VALUE"""),"انسان کو اللہ اور اس کے رسول کے احکام پر چلتے ہوئے عبادات کے ساتھ ساتھ اپنے پڑوسیوں کے حقوق ادا کرنے چاہیے دنیا عارضی ہے اصل کامیابی اخرت کی ہے جو نیک اعمال اور اچھے اخلاق سے حاصل ہوتی ہے")</f>
        <v>انسان کو اللہ اور اس کے رسول کے احکام پر چلتے ہوئے عبادات کے ساتھ ساتھ اپنے پڑوسیوں کے حقوق ادا کرنے چاہیے دنیا عارضی ہے اصل کامیابی اخرت کی ہے جو نیک اعمال اور اچھے اخلاق سے حاصل ہوتی ہے</v>
      </c>
      <c r="X502" s="10">
        <f>IFERROR(__xludf.DUMMYFUNCTION("""COMPUTED_VALUE"""),0.0)</f>
        <v>0</v>
      </c>
      <c r="Y502" s="10">
        <f>IFERROR(__xludf.DUMMYFUNCTION("""COMPUTED_VALUE"""),10.0)</f>
        <v>10</v>
      </c>
      <c r="Z502" s="10">
        <f>IFERROR(__xludf.DUMMYFUNCTION("""COMPUTED_VALUE"""),3.0)</f>
        <v>3</v>
      </c>
      <c r="AA502" s="10">
        <f>IFERROR(__xludf.DUMMYFUNCTION("""COMPUTED_VALUE"""),3.0)</f>
        <v>3</v>
      </c>
      <c r="AB502" s="10">
        <f>IFERROR(__xludf.DUMMYFUNCTION("""COMPUTED_VALUE"""),0.0)</f>
        <v>0</v>
      </c>
      <c r="AC502" s="10">
        <f>IFERROR(__xludf.DUMMYFUNCTION("""COMPUTED_VALUE"""),0.0)</f>
        <v>0</v>
      </c>
      <c r="AD502" s="10">
        <f>IFERROR(__xludf.DUMMYFUNCTION("""COMPUTED_VALUE"""),3.0)</f>
        <v>3</v>
      </c>
      <c r="AE502" s="10">
        <f>IFERROR(__xludf.DUMMYFUNCTION("""COMPUTED_VALUE"""),0.0)</f>
        <v>0</v>
      </c>
      <c r="AF502" s="10">
        <f>IFERROR(__xludf.DUMMYFUNCTION("""COMPUTED_VALUE"""),0.0)</f>
        <v>0</v>
      </c>
      <c r="AG502" s="10">
        <f>IFERROR(__xludf.DUMMYFUNCTION("""COMPUTED_VALUE"""),8.0)</f>
        <v>8</v>
      </c>
      <c r="AH502" s="10">
        <f>IFERROR(__xludf.DUMMYFUNCTION("""COMPUTED_VALUE"""),0.0)</f>
        <v>0</v>
      </c>
      <c r="AI502" s="10">
        <f>IFERROR(__xludf.DUMMYFUNCTION("""COMPUTED_VALUE"""),8.0)</f>
        <v>8</v>
      </c>
      <c r="AJ502" s="11" t="str">
        <f>IFERROR(__xludf.DUMMYFUNCTION("""COMPUTED_VALUE"""),"https://drive.google.com/open?id=1CPCrB2ZctkmZVt41pT3WKkYczRsbZlMc")</f>
        <v>https://drive.google.com/open?id=1CPCrB2ZctkmZVt41pT3WKkYczRsbZlMc</v>
      </c>
      <c r="AK502" s="12" t="str">
        <f>IFERROR(__xludf.DUMMYFUNCTION("""COMPUTED_VALUE"""),"Nill ")</f>
        <v>Nill </v>
      </c>
      <c r="AL502" s="12" t="str">
        <f>IFERROR(__xludf.DUMMYFUNCTION("""COMPUTED_VALUE"""),"Yes")</f>
        <v>Yes</v>
      </c>
      <c r="AM502" s="15">
        <f>IFERROR(__xludf.DUMMYFUNCTION("""COMPUTED_VALUE"""),1.0)</f>
        <v>1</v>
      </c>
      <c r="AN502" s="12" t="str">
        <f>IFERROR(__xludf.DUMMYFUNCTION("""COMPUTED_VALUE"""),"1st week")</f>
        <v>1st week</v>
      </c>
      <c r="AO502" s="13">
        <v>1.0</v>
      </c>
      <c r="AX502" s="17"/>
    </row>
    <row r="503">
      <c r="B503" s="9">
        <f>IFERROR(__xludf.DUMMYFUNCTION("""COMPUTED_VALUE"""),45889.261550717594)</f>
        <v>45889.26155</v>
      </c>
      <c r="C503" s="10" t="str">
        <f>IFERROR(__xludf.DUMMYFUNCTION("""COMPUTED_VALUE"""),"Asma Gul ")</f>
        <v>Asma Gul </v>
      </c>
      <c r="D503" s="10" t="str">
        <f>IFERROR(__xludf.DUMMYFUNCTION("""COMPUTED_VALUE"""),"03459308620")</f>
        <v>03459308620</v>
      </c>
      <c r="E503" s="10" t="str">
        <f>IFERROR(__xludf.DUMMYFUNCTION("""COMPUTED_VALUE"""),"Jamia Masjid Mehboob Subhani Oh Shareef")</f>
        <v>Jamia Masjid Mehboob Subhani Oh Shareef</v>
      </c>
      <c r="F503" s="10" t="str">
        <f>IFERROR(__xludf.DUMMYFUNCTION("""COMPUTED_VALUE"""),"joffe")</f>
        <v>joffe</v>
      </c>
      <c r="G503" s="10" t="str">
        <f>IFERROR(__xludf.DUMMYFUNCTION("""COMPUTED_VALUE"""),"Yes")</f>
        <v>Yes</v>
      </c>
      <c r="H503" s="10">
        <f>IFERROR(__xludf.DUMMYFUNCTION("""COMPUTED_VALUE"""),5.0)</f>
        <v>5</v>
      </c>
      <c r="I503" s="10">
        <f>IFERROR(__xludf.DUMMYFUNCTION("""COMPUTED_VALUE"""),5.0)</f>
        <v>5</v>
      </c>
      <c r="J503" s="10">
        <f>IFERROR(__xludf.DUMMYFUNCTION("""COMPUTED_VALUE"""),5.0)</f>
        <v>5</v>
      </c>
      <c r="K503" s="10">
        <f>IFERROR(__xludf.DUMMYFUNCTION("""COMPUTED_VALUE"""),0.0)</f>
        <v>0</v>
      </c>
      <c r="L503" s="10">
        <f>IFERROR(__xludf.DUMMYFUNCTION("""COMPUTED_VALUE"""),8.0)</f>
        <v>8</v>
      </c>
      <c r="M503" s="10">
        <f>IFERROR(__xludf.DUMMYFUNCTION("""COMPUTED_VALUE"""),0.0)</f>
        <v>0</v>
      </c>
      <c r="N503" s="10">
        <f>IFERROR(__xludf.DUMMYFUNCTION("""COMPUTED_VALUE"""),8.0)</f>
        <v>8</v>
      </c>
      <c r="O503" s="10">
        <f>IFERROR(__xludf.DUMMYFUNCTION("""COMPUTED_VALUE"""),0.0)</f>
        <v>0</v>
      </c>
      <c r="P503" s="10">
        <f>IFERROR(__xludf.DUMMYFUNCTION("""COMPUTED_VALUE"""),8.0)</f>
        <v>8</v>
      </c>
      <c r="Q503" s="10" t="str">
        <f>IFERROR(__xludf.DUMMYFUNCTION("""COMPUTED_VALUE"""),"No")</f>
        <v>No</v>
      </c>
      <c r="R503" s="10" t="str">
        <f>IFERROR(__xludf.DUMMYFUNCTION("""COMPUTED_VALUE"""),"Yes")</f>
        <v>Yes</v>
      </c>
      <c r="S503" s="10" t="str">
        <f>IFERROR(__xludf.DUMMYFUNCTION("""COMPUTED_VALUE"""),"No")</f>
        <v>No</v>
      </c>
      <c r="T503" s="10">
        <f>IFERROR(__xludf.DUMMYFUNCTION("""COMPUTED_VALUE"""),0.0)</f>
        <v>0</v>
      </c>
      <c r="U503" s="10">
        <f>IFERROR(__xludf.DUMMYFUNCTION("""COMPUTED_VALUE"""),0.0)</f>
        <v>0</v>
      </c>
      <c r="V503" s="10" t="str">
        <f>IFERROR(__xludf.DUMMYFUNCTION("""COMPUTED_VALUE"""),"سفر کے مہینے کے بارے میں لوگوں کے تاثرات اور پڑوسیوں کے حقوق")</f>
        <v>سفر کے مہینے کے بارے میں لوگوں کے تاثرات اور پڑوسیوں کے حقوق</v>
      </c>
      <c r="W503" s="10" t="str">
        <f>IFERROR(__xludf.DUMMYFUNCTION("""COMPUTED_VALUE"""),"اس خطبے میں امام نے سفر کے مہینے میں لوگوں کی مختلف نظریات کا ذکر کیا ہے اور اس بات پہ زور دیا ہے کہ سفر کے مہینہ بھاری نہیں ہے بلکہ اپ لوگوں کو اپنے اعمال کی فکر کرنے چاہیے جن میں ہمارے پڑوس سی سب سے زیادہ حقدار ہیں")</f>
        <v>اس خطبے میں امام نے سفر کے مہینے میں لوگوں کی مختلف نظریات کا ذکر کیا ہے اور اس بات پہ زور دیا ہے کہ سفر کے مہینہ بھاری نہیں ہے بلکہ اپ لوگوں کو اپنے اعمال کی فکر کرنے چاہیے جن میں ہمارے پڑوس سی سب سے زیادہ حقدار ہیں</v>
      </c>
      <c r="X503" s="10">
        <f>IFERROR(__xludf.DUMMYFUNCTION("""COMPUTED_VALUE"""),8.0)</f>
        <v>8</v>
      </c>
      <c r="Y503" s="10">
        <f>IFERROR(__xludf.DUMMYFUNCTION("""COMPUTED_VALUE"""),8.0)</f>
        <v>8</v>
      </c>
      <c r="Z503" s="10">
        <f>IFERROR(__xludf.DUMMYFUNCTION("""COMPUTED_VALUE"""),8.0)</f>
        <v>8</v>
      </c>
      <c r="AA503" s="10">
        <f>IFERROR(__xludf.DUMMYFUNCTION("""COMPUTED_VALUE"""),10.0)</f>
        <v>10</v>
      </c>
      <c r="AB503" s="10">
        <f>IFERROR(__xludf.DUMMYFUNCTION("""COMPUTED_VALUE"""),8.0)</f>
        <v>8</v>
      </c>
      <c r="AC503" s="10">
        <f>IFERROR(__xludf.DUMMYFUNCTION("""COMPUTED_VALUE"""),5.0)</f>
        <v>5</v>
      </c>
      <c r="AD503" s="10">
        <f>IFERROR(__xludf.DUMMYFUNCTION("""COMPUTED_VALUE"""),6.0)</f>
        <v>6</v>
      </c>
      <c r="AE503" s="10">
        <f>IFERROR(__xludf.DUMMYFUNCTION("""COMPUTED_VALUE"""),0.0)</f>
        <v>0</v>
      </c>
      <c r="AF503" s="10">
        <f>IFERROR(__xludf.DUMMYFUNCTION("""COMPUTED_VALUE"""),0.0)</f>
        <v>0</v>
      </c>
      <c r="AG503" s="10">
        <f>IFERROR(__xludf.DUMMYFUNCTION("""COMPUTED_VALUE"""),7.0)</f>
        <v>7</v>
      </c>
      <c r="AH503" s="10">
        <f>IFERROR(__xludf.DUMMYFUNCTION("""COMPUTED_VALUE"""),0.0)</f>
        <v>0</v>
      </c>
      <c r="AI503" s="10">
        <f>IFERROR(__xludf.DUMMYFUNCTION("""COMPUTED_VALUE"""),6.0)</f>
        <v>6</v>
      </c>
      <c r="AJ503" s="11" t="str">
        <f>IFERROR(__xludf.DUMMYFUNCTION("""COMPUTED_VALUE"""),"https://drive.google.com/open?id=1sQm6tpBBvydR0XPAgzWWT9atUd_OIeZPSptjmMDE7Zo")</f>
        <v>https://drive.google.com/open?id=1sQm6tpBBvydR0XPAgzWWT9atUd_OIeZPSptjmMDE7Zo</v>
      </c>
      <c r="AK503" s="12"/>
      <c r="AL503" s="12" t="str">
        <f>IFERROR(__xludf.DUMMYFUNCTION("""COMPUTED_VALUE"""),"Yes")</f>
        <v>Yes</v>
      </c>
      <c r="AM503" s="15">
        <f>IFERROR(__xludf.DUMMYFUNCTION("""COMPUTED_VALUE"""),0.5)</f>
        <v>0.5</v>
      </c>
      <c r="AN503" s="12" t="str">
        <f>IFERROR(__xludf.DUMMYFUNCTION("""COMPUTED_VALUE"""),"3rd week")</f>
        <v>3rd week</v>
      </c>
      <c r="AO503" s="13">
        <v>3.0</v>
      </c>
      <c r="AX503" s="17"/>
    </row>
    <row r="504">
      <c r="B504" s="9">
        <f>IFERROR(__xludf.DUMMYFUNCTION("""COMPUTED_VALUE"""),45889.41661726852)</f>
        <v>45889.41662</v>
      </c>
      <c r="C504" s="10" t="str">
        <f>IFERROR(__xludf.DUMMYFUNCTION("""COMPUTED_VALUE"""),"Asma Gul ")</f>
        <v>Asma Gul </v>
      </c>
      <c r="D504" s="10" t="str">
        <f>IFERROR(__xludf.DUMMYFUNCTION("""COMPUTED_VALUE"""),"03459308620")</f>
        <v>03459308620</v>
      </c>
      <c r="E504" s="10" t="str">
        <f>IFERROR(__xludf.DUMMYFUNCTION("""COMPUTED_VALUE"""),"Jamia Masjid Kabotar Mandi Multan")</f>
        <v>Jamia Masjid Kabotar Mandi Multan</v>
      </c>
      <c r="F504" s="10" t="str">
        <f>IFERROR(__xludf.DUMMYFUNCTION("""COMPUTED_VALUE"""),"uleit")</f>
        <v>uleit</v>
      </c>
      <c r="G504" s="10" t="str">
        <f>IFERROR(__xludf.DUMMYFUNCTION("""COMPUTED_VALUE"""),"Yes")</f>
        <v>Yes</v>
      </c>
      <c r="H504" s="10">
        <f>IFERROR(__xludf.DUMMYFUNCTION("""COMPUTED_VALUE"""),10.0)</f>
        <v>10</v>
      </c>
      <c r="I504" s="10">
        <f>IFERROR(__xludf.DUMMYFUNCTION("""COMPUTED_VALUE"""),0.0)</f>
        <v>0</v>
      </c>
      <c r="J504" s="10">
        <f>IFERROR(__xludf.DUMMYFUNCTION("""COMPUTED_VALUE"""),10.0)</f>
        <v>10</v>
      </c>
      <c r="K504" s="10">
        <f>IFERROR(__xludf.DUMMYFUNCTION("""COMPUTED_VALUE"""),0.0)</f>
        <v>0</v>
      </c>
      <c r="L504" s="10">
        <f>IFERROR(__xludf.DUMMYFUNCTION("""COMPUTED_VALUE"""),10.0)</f>
        <v>10</v>
      </c>
      <c r="M504" s="10">
        <f>IFERROR(__xludf.DUMMYFUNCTION("""COMPUTED_VALUE"""),0.0)</f>
        <v>0</v>
      </c>
      <c r="N504" s="10">
        <f>IFERROR(__xludf.DUMMYFUNCTION("""COMPUTED_VALUE"""),10.0)</f>
        <v>10</v>
      </c>
      <c r="O504" s="10">
        <f>IFERROR(__xludf.DUMMYFUNCTION("""COMPUTED_VALUE"""),0.0)</f>
        <v>0</v>
      </c>
      <c r="P504" s="10">
        <f>IFERROR(__xludf.DUMMYFUNCTION("""COMPUTED_VALUE"""),10.0)</f>
        <v>10</v>
      </c>
      <c r="Q504" s="10" t="str">
        <f>IFERROR(__xludf.DUMMYFUNCTION("""COMPUTED_VALUE"""),"No")</f>
        <v>No</v>
      </c>
      <c r="R504" s="10" t="str">
        <f>IFERROR(__xludf.DUMMYFUNCTION("""COMPUTED_VALUE"""),"Yes")</f>
        <v>Yes</v>
      </c>
      <c r="S504" s="10" t="str">
        <f>IFERROR(__xludf.DUMMYFUNCTION("""COMPUTED_VALUE"""),"No")</f>
        <v>No</v>
      </c>
      <c r="T504" s="10">
        <f>IFERROR(__xludf.DUMMYFUNCTION("""COMPUTED_VALUE"""),0.0)</f>
        <v>0</v>
      </c>
      <c r="U504" s="10">
        <f>IFERROR(__xludf.DUMMYFUNCTION("""COMPUTED_VALUE"""),0.0)</f>
        <v>0</v>
      </c>
      <c r="V504" s="10" t="str">
        <f>IFERROR(__xludf.DUMMYFUNCTION("""COMPUTED_VALUE"""),"تعلیمات مصطفی کی روشنی میں پڑوسیوں کے حقوق")</f>
        <v>تعلیمات مصطفی کی روشنی میں پڑوسیوں کے حقوق</v>
      </c>
      <c r="W504" s="10" t="str">
        <f>IFERROR(__xludf.DUMMYFUNCTION("""COMPUTED_VALUE"""),"اس خطبے میں امام نے پڑوسیوں کے حقوق کو تفصیلی طور پر بیان کیا ہے نبی پاک صلی اللہ علیہ وسلم کی تعلیمات کا ذکر کیا ہے اور اگر کسی نے خوش نہ ہو کہ اس نے کوئی کام اچھا کیا ہے یا برا کیا ہے تو اس کو چاہیے کہ وہ اپنے پڑوسی سے مشورہ کرے اس کے علاوہ اپنے گلی محل"&amp;"ے مسجد کو صاف رکھنا چاہیے جس سے بہت ساری بیماریوں سے بچا جا سکا ہے۔")</f>
        <v>اس خطبے میں امام نے پڑوسیوں کے حقوق کو تفصیلی طور پر بیان کیا ہے نبی پاک صلی اللہ علیہ وسلم کی تعلیمات کا ذکر کیا ہے اور اگر کسی نے خوش نہ ہو کہ اس نے کوئی کام اچھا کیا ہے یا برا کیا ہے تو اس کو چاہیے کہ وہ اپنے پڑوسی سے مشورہ کرے اس کے علاوہ اپنے گلی محلے مسجد کو صاف رکھنا چاہیے جس سے بہت ساری بیماریوں سے بچا جا سکا ہے۔</v>
      </c>
      <c r="X504" s="10">
        <f>IFERROR(__xludf.DUMMYFUNCTION("""COMPUTED_VALUE"""),10.0)</f>
        <v>10</v>
      </c>
      <c r="Y504" s="10">
        <f>IFERROR(__xludf.DUMMYFUNCTION("""COMPUTED_VALUE"""),10.0)</f>
        <v>10</v>
      </c>
      <c r="Z504" s="10">
        <f>IFERROR(__xludf.DUMMYFUNCTION("""COMPUTED_VALUE"""),10.0)</f>
        <v>10</v>
      </c>
      <c r="AA504" s="10">
        <f>IFERROR(__xludf.DUMMYFUNCTION("""COMPUTED_VALUE"""),10.0)</f>
        <v>10</v>
      </c>
      <c r="AB504" s="10">
        <f>IFERROR(__xludf.DUMMYFUNCTION("""COMPUTED_VALUE"""),10.0)</f>
        <v>10</v>
      </c>
      <c r="AC504" s="10">
        <f>IFERROR(__xludf.DUMMYFUNCTION("""COMPUTED_VALUE"""),5.0)</f>
        <v>5</v>
      </c>
      <c r="AD504" s="10">
        <f>IFERROR(__xludf.DUMMYFUNCTION("""COMPUTED_VALUE"""),6.0)</f>
        <v>6</v>
      </c>
      <c r="AE504" s="10">
        <f>IFERROR(__xludf.DUMMYFUNCTION("""COMPUTED_VALUE"""),8.0)</f>
        <v>8</v>
      </c>
      <c r="AF504" s="10">
        <f>IFERROR(__xludf.DUMMYFUNCTION("""COMPUTED_VALUE"""),0.0)</f>
        <v>0</v>
      </c>
      <c r="AG504" s="10">
        <f>IFERROR(__xludf.DUMMYFUNCTION("""COMPUTED_VALUE"""),9.0)</f>
        <v>9</v>
      </c>
      <c r="AH504" s="10">
        <f>IFERROR(__xludf.DUMMYFUNCTION("""COMPUTED_VALUE"""),0.0)</f>
        <v>0</v>
      </c>
      <c r="AI504" s="10">
        <f>IFERROR(__xludf.DUMMYFUNCTION("""COMPUTED_VALUE"""),9.0)</f>
        <v>9</v>
      </c>
      <c r="AJ504" s="11" t="str">
        <f>IFERROR(__xludf.DUMMYFUNCTION("""COMPUTED_VALUE"""),"https://drive.google.com/open?id=1tjzknM9eT5KBMDV2tnHA7JIPfaDBHkQb3oxSjm5_lO8")</f>
        <v>https://drive.google.com/open?id=1tjzknM9eT5KBMDV2tnHA7JIPfaDBHkQb3oxSjm5_lO8</v>
      </c>
      <c r="AK504" s="12"/>
      <c r="AL504" s="12" t="str">
        <f>IFERROR(__xludf.DUMMYFUNCTION("""COMPUTED_VALUE"""),"Yes")</f>
        <v>Yes</v>
      </c>
      <c r="AM504" s="15">
        <f>IFERROR(__xludf.DUMMYFUNCTION("""COMPUTED_VALUE"""),1.0)</f>
        <v>1</v>
      </c>
      <c r="AN504" s="12" t="str">
        <f>IFERROR(__xludf.DUMMYFUNCTION("""COMPUTED_VALUE"""),"1st week")</f>
        <v>1st week</v>
      </c>
      <c r="AO504" s="13">
        <v>1.0</v>
      </c>
      <c r="AX504" s="17"/>
    </row>
    <row r="505">
      <c r="B505" s="9">
        <f>IFERROR(__xludf.DUMMYFUNCTION("""COMPUTED_VALUE"""),45889.43914229167)</f>
        <v>45889.43914</v>
      </c>
      <c r="C505" s="10" t="str">
        <f>IFERROR(__xludf.DUMMYFUNCTION("""COMPUTED_VALUE"""),"Asma Gul ")</f>
        <v>Asma Gul </v>
      </c>
      <c r="D505" s="10" t="str">
        <f>IFERROR(__xludf.DUMMYFUNCTION("""COMPUTED_VALUE"""),"03459308620")</f>
        <v>03459308620</v>
      </c>
      <c r="E505" s="10" t="str">
        <f>IFERROR(__xludf.DUMMYFUNCTION("""COMPUTED_VALUE"""),"Jamia Masjid Goth Aalu Sadiqabaad")</f>
        <v>Jamia Masjid Goth Aalu Sadiqabaad</v>
      </c>
      <c r="F505" s="10" t="str">
        <f>IFERROR(__xludf.DUMMYFUNCTION("""COMPUTED_VALUE"""),"tebun")</f>
        <v>tebun</v>
      </c>
      <c r="G505" s="10" t="str">
        <f>IFERROR(__xludf.DUMMYFUNCTION("""COMPUTED_VALUE"""),"Yes")</f>
        <v>Yes</v>
      </c>
      <c r="H505" s="10">
        <f>IFERROR(__xludf.DUMMYFUNCTION("""COMPUTED_VALUE"""),9.0)</f>
        <v>9</v>
      </c>
      <c r="I505" s="10">
        <f>IFERROR(__xludf.DUMMYFUNCTION("""COMPUTED_VALUE"""),1.0)</f>
        <v>1</v>
      </c>
      <c r="J505" s="10">
        <f>IFERROR(__xludf.DUMMYFUNCTION("""COMPUTED_VALUE"""),9.0)</f>
        <v>9</v>
      </c>
      <c r="K505" s="10">
        <f>IFERROR(__xludf.DUMMYFUNCTION("""COMPUTED_VALUE"""),10.0)</f>
        <v>10</v>
      </c>
      <c r="L505" s="10">
        <f>IFERROR(__xludf.DUMMYFUNCTION("""COMPUTED_VALUE"""),0.0)</f>
        <v>0</v>
      </c>
      <c r="M505" s="10">
        <f>IFERROR(__xludf.DUMMYFUNCTION("""COMPUTED_VALUE"""),9.0)</f>
        <v>9</v>
      </c>
      <c r="N505" s="10">
        <f>IFERROR(__xludf.DUMMYFUNCTION("""COMPUTED_VALUE"""),0.0)</f>
        <v>0</v>
      </c>
      <c r="O505" s="10">
        <f>IFERROR(__xludf.DUMMYFUNCTION("""COMPUTED_VALUE"""),0.0)</f>
        <v>0</v>
      </c>
      <c r="P505" s="10">
        <f>IFERROR(__xludf.DUMMYFUNCTION("""COMPUTED_VALUE"""),0.0)</f>
        <v>0</v>
      </c>
      <c r="Q505" s="10" t="str">
        <f>IFERROR(__xludf.DUMMYFUNCTION("""COMPUTED_VALUE"""),"No")</f>
        <v>No</v>
      </c>
      <c r="R505" s="10" t="str">
        <f>IFERROR(__xludf.DUMMYFUNCTION("""COMPUTED_VALUE"""),"No")</f>
        <v>No</v>
      </c>
      <c r="S505" s="10" t="str">
        <f>IFERROR(__xludf.DUMMYFUNCTION("""COMPUTED_VALUE"""),"No")</f>
        <v>No</v>
      </c>
      <c r="T505" s="10">
        <f>IFERROR(__xludf.DUMMYFUNCTION("""COMPUTED_VALUE"""),0.0)</f>
        <v>0</v>
      </c>
      <c r="U505" s="10">
        <f>IFERROR(__xludf.DUMMYFUNCTION("""COMPUTED_VALUE"""),0.0)</f>
        <v>0</v>
      </c>
      <c r="V505" s="10" t="str">
        <f>IFERROR(__xludf.DUMMYFUNCTION("""COMPUTED_VALUE"""),"خواتین کا مقام قران و حدیث کی روشنی میں")</f>
        <v>خواتین کا مقام قران و حدیث کی روشنی میں</v>
      </c>
      <c r="W505" s="10" t="str">
        <f>IFERROR(__xludf.DUMMYFUNCTION("""COMPUTED_VALUE"""),"اس خطبے میں امام نے خواتین کی فضیلت اور اہمیت پر زور دیا ہے اور ماضی میں ان پر کیے جانے والے ظلم یعنی ان کو زندہ درگور کر دیے جانے پر بھی تنقید کی ہے اور مختلف ماضی سے مذہبی مثالوں سے خواتین کی اہمیت کو واضح کیا ہے۔")</f>
        <v>اس خطبے میں امام نے خواتین کی فضیلت اور اہمیت پر زور دیا ہے اور ماضی میں ان پر کیے جانے والے ظلم یعنی ان کو زندہ درگور کر دیے جانے پر بھی تنقید کی ہے اور مختلف ماضی سے مذہبی مثالوں سے خواتین کی اہمیت کو واضح کیا ہے۔</v>
      </c>
      <c r="X505" s="10">
        <f>IFERROR(__xludf.DUMMYFUNCTION("""COMPUTED_VALUE"""),0.0)</f>
        <v>0</v>
      </c>
      <c r="Y505" s="10">
        <f>IFERROR(__xludf.DUMMYFUNCTION("""COMPUTED_VALUE"""),4.0)</f>
        <v>4</v>
      </c>
      <c r="Z505" s="10">
        <f>IFERROR(__xludf.DUMMYFUNCTION("""COMPUTED_VALUE"""),9.0)</f>
        <v>9</v>
      </c>
      <c r="AA505" s="10">
        <f>IFERROR(__xludf.DUMMYFUNCTION("""COMPUTED_VALUE"""),10.0)</f>
        <v>10</v>
      </c>
      <c r="AB505" s="10">
        <f>IFERROR(__xludf.DUMMYFUNCTION("""COMPUTED_VALUE"""),10.0)</f>
        <v>10</v>
      </c>
      <c r="AC505" s="10">
        <f>IFERROR(__xludf.DUMMYFUNCTION("""COMPUTED_VALUE"""),5.0)</f>
        <v>5</v>
      </c>
      <c r="AD505" s="10">
        <f>IFERROR(__xludf.DUMMYFUNCTION("""COMPUTED_VALUE"""),7.0)</f>
        <v>7</v>
      </c>
      <c r="AE505" s="10">
        <f>IFERROR(__xludf.DUMMYFUNCTION("""COMPUTED_VALUE"""),0.0)</f>
        <v>0</v>
      </c>
      <c r="AF505" s="10">
        <f>IFERROR(__xludf.DUMMYFUNCTION("""COMPUTED_VALUE"""),0.0)</f>
        <v>0</v>
      </c>
      <c r="AG505" s="10">
        <f>IFERROR(__xludf.DUMMYFUNCTION("""COMPUTED_VALUE"""),9.0)</f>
        <v>9</v>
      </c>
      <c r="AH505" s="10">
        <f>IFERROR(__xludf.DUMMYFUNCTION("""COMPUTED_VALUE"""),0.0)</f>
        <v>0</v>
      </c>
      <c r="AI505" s="10">
        <f>IFERROR(__xludf.DUMMYFUNCTION("""COMPUTED_VALUE"""),9.0)</f>
        <v>9</v>
      </c>
      <c r="AJ505" s="11" t="str">
        <f>IFERROR(__xludf.DUMMYFUNCTION("""COMPUTED_VALUE"""),"https://drive.google.com/open?id=12IHG7LDYqGZC8qXQ8nmJkzj2cw1cHpJ1vuPFWOiL-MQ")</f>
        <v>https://drive.google.com/open?id=12IHG7LDYqGZC8qXQ8nmJkzj2cw1cHpJ1vuPFWOiL-MQ</v>
      </c>
      <c r="AK505" s="12"/>
      <c r="AL505" s="12" t="str">
        <f>IFERROR(__xludf.DUMMYFUNCTION("""COMPUTED_VALUE"""),"Yes")</f>
        <v>Yes</v>
      </c>
      <c r="AM505" s="15">
        <f>IFERROR(__xludf.DUMMYFUNCTION("""COMPUTED_VALUE"""),0.9)</f>
        <v>0.9</v>
      </c>
      <c r="AN505" s="12" t="str">
        <f>IFERROR(__xludf.DUMMYFUNCTION("""COMPUTED_VALUE"""),"3rd week")</f>
        <v>3rd week</v>
      </c>
      <c r="AO505" s="13">
        <v>3.0</v>
      </c>
      <c r="AX505" s="17"/>
    </row>
    <row r="506">
      <c r="B506" s="9">
        <f>IFERROR(__xludf.DUMMYFUNCTION("""COMPUTED_VALUE"""),45889.56999880787)</f>
        <v>45889.57</v>
      </c>
      <c r="C506" s="10" t="str">
        <f>IFERROR(__xludf.DUMMYFUNCTION("""COMPUTED_VALUE"""),"Arti Kumari ")</f>
        <v>Arti Kumari </v>
      </c>
      <c r="D506" s="10" t="str">
        <f>IFERROR(__xludf.DUMMYFUNCTION("""COMPUTED_VALUE"""),"03346661865")</f>
        <v>03346661865</v>
      </c>
      <c r="E506" s="10" t="str">
        <f>IFERROR(__xludf.DUMMYFUNCTION("""COMPUTED_VALUE"""),"Jamia Masjid Neel Garan Multan")</f>
        <v>Jamia Masjid Neel Garan Multan</v>
      </c>
      <c r="F506" s="10" t="str">
        <f>IFERROR(__xludf.DUMMYFUNCTION("""COMPUTED_VALUE"""),"hjrmq")</f>
        <v>hjrmq</v>
      </c>
      <c r="G506" s="10" t="str">
        <f>IFERROR(__xludf.DUMMYFUNCTION("""COMPUTED_VALUE"""),"Yes")</f>
        <v>Yes</v>
      </c>
      <c r="H506" s="10">
        <f>IFERROR(__xludf.DUMMYFUNCTION("""COMPUTED_VALUE"""),1.0)</f>
        <v>1</v>
      </c>
      <c r="I506" s="10">
        <f>IFERROR(__xludf.DUMMYFUNCTION("""COMPUTED_VALUE"""),9.0)</f>
        <v>9</v>
      </c>
      <c r="J506" s="10">
        <f>IFERROR(__xludf.DUMMYFUNCTION("""COMPUTED_VALUE"""),1.0)</f>
        <v>1</v>
      </c>
      <c r="K506" s="10">
        <f>IFERROR(__xludf.DUMMYFUNCTION("""COMPUTED_VALUE"""),0.0)</f>
        <v>0</v>
      </c>
      <c r="L506" s="10">
        <f>IFERROR(__xludf.DUMMYFUNCTION("""COMPUTED_VALUE"""),1.0)</f>
        <v>1</v>
      </c>
      <c r="M506" s="10">
        <f>IFERROR(__xludf.DUMMYFUNCTION("""COMPUTED_VALUE"""),0.0)</f>
        <v>0</v>
      </c>
      <c r="N506" s="10">
        <f>IFERROR(__xludf.DUMMYFUNCTION("""COMPUTED_VALUE"""),1.0)</f>
        <v>1</v>
      </c>
      <c r="O506" s="10">
        <f>IFERROR(__xludf.DUMMYFUNCTION("""COMPUTED_VALUE"""),0.0)</f>
        <v>0</v>
      </c>
      <c r="P506" s="10">
        <f>IFERROR(__xludf.DUMMYFUNCTION("""COMPUTED_VALUE"""),1.0)</f>
        <v>1</v>
      </c>
      <c r="Q506" s="10" t="str">
        <f>IFERROR(__xludf.DUMMYFUNCTION("""COMPUTED_VALUE"""),"No")</f>
        <v>No</v>
      </c>
      <c r="R506" s="10" t="str">
        <f>IFERROR(__xludf.DUMMYFUNCTION("""COMPUTED_VALUE"""),"No")</f>
        <v>No</v>
      </c>
      <c r="S506" s="10" t="str">
        <f>IFERROR(__xludf.DUMMYFUNCTION("""COMPUTED_VALUE"""),"No")</f>
        <v>No</v>
      </c>
      <c r="T506" s="10">
        <f>IFERROR(__xludf.DUMMYFUNCTION("""COMPUTED_VALUE"""),0.0)</f>
        <v>0</v>
      </c>
      <c r="U506" s="10">
        <f>IFERROR(__xludf.DUMMYFUNCTION("""COMPUTED_VALUE"""),0.0)</f>
        <v>0</v>
      </c>
      <c r="V506" s="10" t="str">
        <f>IFERROR(__xludf.DUMMYFUNCTION("""COMPUTED_VALUE"""),"استغفار کی اہمیت اور باطنی اور ظاہری صفائی")</f>
        <v>استغفار کی اہمیت اور باطنی اور ظاہری صفائی</v>
      </c>
      <c r="W506" s="10" t="str">
        <f>IFERROR(__xludf.DUMMYFUNCTION("""COMPUTED_VALUE"""),"امام نے شروع میں استغفار کی اہمیت پر بات کی اور اسی کو باطنی اور ظاہری صفائی سے منسلک کیا کہ نماز روزہ زکوۃ استغفار باطنی صفائی ہے اور یہ تب قبول ہوتے جب ظاہری صفائی ہو جیسے پاک کپڑے جگہ کا پاک ہونا وغیرہ اور آخر میں ایک لائین میں بتایا کہ ہمیں پڑوسیوں کے"&amp;" اچھا سلوک رکھنا چاہیے")</f>
        <v>امام نے شروع میں استغفار کی اہمیت پر بات کی اور اسی کو باطنی اور ظاہری صفائی سے منسلک کیا کہ نماز روزہ زکوۃ استغفار باطنی صفائی ہے اور یہ تب قبول ہوتے جب ظاہری صفائی ہو جیسے پاک کپڑے جگہ کا پاک ہونا وغیرہ اور آخر میں ایک لائین میں بتایا کہ ہمیں پڑوسیوں کے اچھا سلوک رکھنا چاہیے</v>
      </c>
      <c r="X506" s="10">
        <f>IFERROR(__xludf.DUMMYFUNCTION("""COMPUTED_VALUE"""),10.0)</f>
        <v>10</v>
      </c>
      <c r="Y506" s="10">
        <f>IFERROR(__xludf.DUMMYFUNCTION("""COMPUTED_VALUE"""),1.0)</f>
        <v>1</v>
      </c>
      <c r="Z506" s="10">
        <f>IFERROR(__xludf.DUMMYFUNCTION("""COMPUTED_VALUE"""),10.0)</f>
        <v>10</v>
      </c>
      <c r="AA506" s="10">
        <f>IFERROR(__xludf.DUMMYFUNCTION("""COMPUTED_VALUE"""),10.0)</f>
        <v>10</v>
      </c>
      <c r="AB506" s="10">
        <f>IFERROR(__xludf.DUMMYFUNCTION("""COMPUTED_VALUE"""),0.0)</f>
        <v>0</v>
      </c>
      <c r="AC506" s="10">
        <f>IFERROR(__xludf.DUMMYFUNCTION("""COMPUTED_VALUE"""),0.0)</f>
        <v>0</v>
      </c>
      <c r="AD506" s="10">
        <f>IFERROR(__xludf.DUMMYFUNCTION("""COMPUTED_VALUE"""),0.0)</f>
        <v>0</v>
      </c>
      <c r="AE506" s="10">
        <f>IFERROR(__xludf.DUMMYFUNCTION("""COMPUTED_VALUE"""),0.0)</f>
        <v>0</v>
      </c>
      <c r="AF506" s="10">
        <f>IFERROR(__xludf.DUMMYFUNCTION("""COMPUTED_VALUE"""),0.0)</f>
        <v>0</v>
      </c>
      <c r="AG506" s="10">
        <f>IFERROR(__xludf.DUMMYFUNCTION("""COMPUTED_VALUE"""),9.0)</f>
        <v>9</v>
      </c>
      <c r="AH506" s="10">
        <f>IFERROR(__xludf.DUMMYFUNCTION("""COMPUTED_VALUE"""),0.0)</f>
        <v>0</v>
      </c>
      <c r="AI506" s="10">
        <f>IFERROR(__xludf.DUMMYFUNCTION("""COMPUTED_VALUE"""),9.0)</f>
        <v>9</v>
      </c>
      <c r="AJ506" s="11" t="str">
        <f>IFERROR(__xludf.DUMMYFUNCTION("""COMPUTED_VALUE"""),"https://drive.google.com/open?id=1P_zoEpgSaiqnzN8Kun_y0b30gyRZNSnL")</f>
        <v>https://drive.google.com/open?id=1P_zoEpgSaiqnzN8Kun_y0b30gyRZNSnL</v>
      </c>
      <c r="AK506" s="12"/>
      <c r="AL506" s="12" t="str">
        <f>IFERROR(__xludf.DUMMYFUNCTION("""COMPUTED_VALUE"""),"Yes")</f>
        <v>Yes</v>
      </c>
      <c r="AM506" s="15">
        <f>IFERROR(__xludf.DUMMYFUNCTION("""COMPUTED_VALUE"""),0.0)</f>
        <v>0</v>
      </c>
      <c r="AN506" s="12" t="str">
        <f>IFERROR(__xludf.DUMMYFUNCTION("""COMPUTED_VALUE"""),"3rd week")</f>
        <v>3rd week</v>
      </c>
      <c r="AO506" s="13">
        <v>3.0</v>
      </c>
      <c r="AX506" s="17"/>
    </row>
    <row r="507">
      <c r="B507" s="9">
        <f>IFERROR(__xludf.DUMMYFUNCTION("""COMPUTED_VALUE"""),45889.599012245366)</f>
        <v>45889.59901</v>
      </c>
      <c r="C507" s="10" t="str">
        <f>IFERROR(__xludf.DUMMYFUNCTION("""COMPUTED_VALUE"""),"Asma Gul ")</f>
        <v>Asma Gul </v>
      </c>
      <c r="D507" s="10" t="str">
        <f>IFERROR(__xludf.DUMMYFUNCTION("""COMPUTED_VALUE"""),"03459308620")</f>
        <v>03459308620</v>
      </c>
      <c r="E507" s="10" t="str">
        <f>IFERROR(__xludf.DUMMYFUNCTION("""COMPUTED_VALUE"""),"Jamia Masjid Gaalah Mandi Khanewal")</f>
        <v>Jamia Masjid Gaalah Mandi Khanewal</v>
      </c>
      <c r="F507" s="10" t="str">
        <f>IFERROR(__xludf.DUMMYFUNCTION("""COMPUTED_VALUE"""),"rtfez")</f>
        <v>rtfez</v>
      </c>
      <c r="G507" s="10" t="str">
        <f>IFERROR(__xludf.DUMMYFUNCTION("""COMPUTED_VALUE"""),"Yes")</f>
        <v>Yes</v>
      </c>
      <c r="H507" s="10">
        <f>IFERROR(__xludf.DUMMYFUNCTION("""COMPUTED_VALUE"""),5.0)</f>
        <v>5</v>
      </c>
      <c r="I507" s="10">
        <f>IFERROR(__xludf.DUMMYFUNCTION("""COMPUTED_VALUE"""),5.0)</f>
        <v>5</v>
      </c>
      <c r="J507" s="10">
        <f>IFERROR(__xludf.DUMMYFUNCTION("""COMPUTED_VALUE"""),5.0)</f>
        <v>5</v>
      </c>
      <c r="K507" s="10">
        <f>IFERROR(__xludf.DUMMYFUNCTION("""COMPUTED_VALUE"""),5.0)</f>
        <v>5</v>
      </c>
      <c r="L507" s="10">
        <f>IFERROR(__xludf.DUMMYFUNCTION("""COMPUTED_VALUE"""),0.0)</f>
        <v>0</v>
      </c>
      <c r="M507" s="10">
        <f>IFERROR(__xludf.DUMMYFUNCTION("""COMPUTED_VALUE"""),5.0)</f>
        <v>5</v>
      </c>
      <c r="N507" s="10">
        <f>IFERROR(__xludf.DUMMYFUNCTION("""COMPUTED_VALUE"""),0.0)</f>
        <v>0</v>
      </c>
      <c r="O507" s="10">
        <f>IFERROR(__xludf.DUMMYFUNCTION("""COMPUTED_VALUE"""),0.0)</f>
        <v>0</v>
      </c>
      <c r="P507" s="10">
        <f>IFERROR(__xludf.DUMMYFUNCTION("""COMPUTED_VALUE"""),0.0)</f>
        <v>0</v>
      </c>
      <c r="Q507" s="10" t="str">
        <f>IFERROR(__xludf.DUMMYFUNCTION("""COMPUTED_VALUE"""),"No")</f>
        <v>No</v>
      </c>
      <c r="R507" s="10" t="str">
        <f>IFERROR(__xludf.DUMMYFUNCTION("""COMPUTED_VALUE"""),"No")</f>
        <v>No</v>
      </c>
      <c r="S507" s="10" t="str">
        <f>IFERROR(__xludf.DUMMYFUNCTION("""COMPUTED_VALUE"""),"No")</f>
        <v>No</v>
      </c>
      <c r="T507" s="10">
        <f>IFERROR(__xludf.DUMMYFUNCTION("""COMPUTED_VALUE"""),0.0)</f>
        <v>0</v>
      </c>
      <c r="U507" s="10">
        <f>IFERROR(__xludf.DUMMYFUNCTION("""COMPUTED_VALUE"""),0.0)</f>
        <v>0</v>
      </c>
      <c r="V507" s="10" t="str">
        <f>IFERROR(__xludf.DUMMYFUNCTION("""COMPUTED_VALUE"""),"والدین کے حقوق کی اہمیت فضیلت قران و حدیث کی روشنی میں")</f>
        <v>والدین کے حقوق کی اہمیت فضیلت قران و حدیث کی روشنی میں</v>
      </c>
      <c r="W507" s="10" t="str">
        <f>IFERROR(__xludf.DUMMYFUNCTION("""COMPUTED_VALUE"""),"اس خطبے میں امام نے والدین کے حقوق بیان کیے ہیں والدین کے ساتھ حسن سلوک کا حکم اسلام میں قران و حدیث میں اور مثالوں کے ساتھ واضح کیا ہے والدین کے احکامات کو ماننا چاہیے اور اگر وہ گناہ کی طرف راغب کریں تو گناہ سے انکار کرنا ہے لیکن ان کے ساتھ اچھا سلوک ہی"&amp;" کرنا ہے")</f>
        <v>اس خطبے میں امام نے والدین کے حقوق بیان کیے ہیں والدین کے ساتھ حسن سلوک کا حکم اسلام میں قران و حدیث میں اور مثالوں کے ساتھ واضح کیا ہے والدین کے احکامات کو ماننا چاہیے اور اگر وہ گناہ کی طرف راغب کریں تو گناہ سے انکار کرنا ہے لیکن ان کے ساتھ اچھا سلوک ہی کرنا ہے</v>
      </c>
      <c r="X507" s="10">
        <f>IFERROR(__xludf.DUMMYFUNCTION("""COMPUTED_VALUE"""),2.0)</f>
        <v>2</v>
      </c>
      <c r="Y507" s="10">
        <f>IFERROR(__xludf.DUMMYFUNCTION("""COMPUTED_VALUE"""),5.0)</f>
        <v>5</v>
      </c>
      <c r="Z507" s="10">
        <f>IFERROR(__xludf.DUMMYFUNCTION("""COMPUTED_VALUE"""),8.0)</f>
        <v>8</v>
      </c>
      <c r="AA507" s="10">
        <f>IFERROR(__xludf.DUMMYFUNCTION("""COMPUTED_VALUE"""),9.0)</f>
        <v>9</v>
      </c>
      <c r="AB507" s="10">
        <f>IFERROR(__xludf.DUMMYFUNCTION("""COMPUTED_VALUE"""),10.0)</f>
        <v>10</v>
      </c>
      <c r="AC507" s="10">
        <f>IFERROR(__xludf.DUMMYFUNCTION("""COMPUTED_VALUE"""),0.0)</f>
        <v>0</v>
      </c>
      <c r="AD507" s="10">
        <f>IFERROR(__xludf.DUMMYFUNCTION("""COMPUTED_VALUE"""),0.0)</f>
        <v>0</v>
      </c>
      <c r="AE507" s="10">
        <f>IFERROR(__xludf.DUMMYFUNCTION("""COMPUTED_VALUE"""),5.0)</f>
        <v>5</v>
      </c>
      <c r="AF507" s="10">
        <f>IFERROR(__xludf.DUMMYFUNCTION("""COMPUTED_VALUE"""),0.0)</f>
        <v>0</v>
      </c>
      <c r="AG507" s="10">
        <f>IFERROR(__xludf.DUMMYFUNCTION("""COMPUTED_VALUE"""),9.0)</f>
        <v>9</v>
      </c>
      <c r="AH507" s="10">
        <f>IFERROR(__xludf.DUMMYFUNCTION("""COMPUTED_VALUE"""),0.0)</f>
        <v>0</v>
      </c>
      <c r="AI507" s="10">
        <f>IFERROR(__xludf.DUMMYFUNCTION("""COMPUTED_VALUE"""),9.0)</f>
        <v>9</v>
      </c>
      <c r="AJ507" s="11" t="str">
        <f>IFERROR(__xludf.DUMMYFUNCTION("""COMPUTED_VALUE"""),"https://drive.google.com/open?id=1RRExHyhhyVOuYkK8bwb2CnL7eSMyvVOBov5I7IcovpU")</f>
        <v>https://drive.google.com/open?id=1RRExHyhhyVOuYkK8bwb2CnL7eSMyvVOBov5I7IcovpU</v>
      </c>
      <c r="AK507" s="12" t="str">
        <f>IFERROR(__xludf.DUMMYFUNCTION("""COMPUTED_VALUE"""),"میں نے جو ریٹنگ کی ہے اس میں خواتین کے حقوق میں والدین یعنی والدہ کے حقوق  کو بھی ذہن میں رکھا ہے اس حساب سے ریٹنگ کی ہے اگر یہ درست نہیں ہے تو مجھے بتا دیا جائے۔")</f>
        <v>میں نے جو ریٹنگ کی ہے اس میں خواتین کے حقوق میں والدین یعنی والدہ کے حقوق  کو بھی ذہن میں رکھا ہے اس حساب سے ریٹنگ کی ہے اگر یہ درست نہیں ہے تو مجھے بتا دیا جائے۔</v>
      </c>
      <c r="AL507" s="12" t="str">
        <f>IFERROR(__xludf.DUMMYFUNCTION("""COMPUTED_VALUE"""),"Yes")</f>
        <v>Yes</v>
      </c>
      <c r="AM507" s="15">
        <f>IFERROR(__xludf.DUMMYFUNCTION("""COMPUTED_VALUE"""),0.5)</f>
        <v>0.5</v>
      </c>
      <c r="AN507" s="12" t="str">
        <f>IFERROR(__xludf.DUMMYFUNCTION("""COMPUTED_VALUE"""),"3rd week")</f>
        <v>3rd week</v>
      </c>
      <c r="AO507" s="13">
        <v>3.0</v>
      </c>
      <c r="AX507" s="17"/>
    </row>
    <row r="508">
      <c r="B508" s="9">
        <f>IFERROR(__xludf.DUMMYFUNCTION("""COMPUTED_VALUE"""),45889.755396249995)</f>
        <v>45889.7554</v>
      </c>
      <c r="C508" s="10" t="str">
        <f>IFERROR(__xludf.DUMMYFUNCTION("""COMPUTED_VALUE"""),"Saira Shahzad ")</f>
        <v>Saira Shahzad </v>
      </c>
      <c r="D508" s="10" t="str">
        <f>IFERROR(__xludf.DUMMYFUNCTION("""COMPUTED_VALUE"""),"03114534696")</f>
        <v>03114534696</v>
      </c>
      <c r="E508" s="10" t="str">
        <f>IFERROR(__xludf.DUMMYFUNCTION("""COMPUTED_VALUE"""),"Jamia Masjid Jagu Wali Jalaal Pur Peer Wala Multan")</f>
        <v>Jamia Masjid Jagu Wali Jalaal Pur Peer Wala Multan</v>
      </c>
      <c r="F508" s="10" t="str">
        <f>IFERROR(__xludf.DUMMYFUNCTION("""COMPUTED_VALUE"""),"ojkhv")</f>
        <v>ojkhv</v>
      </c>
      <c r="G508" s="10" t="str">
        <f>IFERROR(__xludf.DUMMYFUNCTION("""COMPUTED_VALUE"""),"Yes")</f>
        <v>Yes</v>
      </c>
      <c r="H508" s="10">
        <f>IFERROR(__xludf.DUMMYFUNCTION("""COMPUTED_VALUE"""),0.0)</f>
        <v>0</v>
      </c>
      <c r="I508" s="10">
        <f>IFERROR(__xludf.DUMMYFUNCTION("""COMPUTED_VALUE"""),10.0)</f>
        <v>10</v>
      </c>
      <c r="J508" s="10">
        <f>IFERROR(__xludf.DUMMYFUNCTION("""COMPUTED_VALUE"""),0.0)</f>
        <v>0</v>
      </c>
      <c r="K508" s="10">
        <f>IFERROR(__xludf.DUMMYFUNCTION("""COMPUTED_VALUE"""),0.0)</f>
        <v>0</v>
      </c>
      <c r="L508" s="10">
        <f>IFERROR(__xludf.DUMMYFUNCTION("""COMPUTED_VALUE"""),0.0)</f>
        <v>0</v>
      </c>
      <c r="M508" s="10">
        <f>IFERROR(__xludf.DUMMYFUNCTION("""COMPUTED_VALUE"""),0.0)</f>
        <v>0</v>
      </c>
      <c r="N508" s="10">
        <f>IFERROR(__xludf.DUMMYFUNCTION("""COMPUTED_VALUE"""),0.0)</f>
        <v>0</v>
      </c>
      <c r="O508" s="10">
        <f>IFERROR(__xludf.DUMMYFUNCTION("""COMPUTED_VALUE"""),0.0)</f>
        <v>0</v>
      </c>
      <c r="P508" s="10">
        <f>IFERROR(__xludf.DUMMYFUNCTION("""COMPUTED_VALUE"""),0.0)</f>
        <v>0</v>
      </c>
      <c r="Q508" s="10" t="str">
        <f>IFERROR(__xludf.DUMMYFUNCTION("""COMPUTED_VALUE"""),"No")</f>
        <v>No</v>
      </c>
      <c r="R508" s="10" t="str">
        <f>IFERROR(__xludf.DUMMYFUNCTION("""COMPUTED_VALUE"""),"No")</f>
        <v>No</v>
      </c>
      <c r="S508" s="10" t="str">
        <f>IFERROR(__xludf.DUMMYFUNCTION("""COMPUTED_VALUE"""),"No")</f>
        <v>No</v>
      </c>
      <c r="T508" s="10">
        <f>IFERROR(__xludf.DUMMYFUNCTION("""COMPUTED_VALUE"""),0.0)</f>
        <v>0</v>
      </c>
      <c r="U508" s="10">
        <f>IFERROR(__xludf.DUMMYFUNCTION("""COMPUTED_VALUE"""),0.0)</f>
        <v>0</v>
      </c>
      <c r="V508" s="10" t="str">
        <f>IFERROR(__xludf.DUMMYFUNCTION("""COMPUTED_VALUE"""),"جمعۃ المبارک اور قران پاک کی فضیلت")</f>
        <v>جمعۃ المبارک اور قران پاک کی فضیلت</v>
      </c>
      <c r="W508" s="10" t="str">
        <f>IFERROR(__xludf.DUMMYFUNCTION("""COMPUTED_VALUE"""),"امام نے اپنے بیان میں جمعۃ المبارک کی فضیلت بیان کی ہے اور اس کے ساتھ قران پاک کی فضیلت بیان کی ہے یہ بیان کیا ہے کہ یہ جو قران پاک نبی پاک صلی اللہ علیہ والہ وسلم پر نازل کیا گیا یہ عام کتاب نہیں ہے اور اس کے ساتھ اسلام کے پانچ ارکان پر بات کی گئی مختلف "&amp;"واقعات بیان کیے گئے اور اولیاء اللہ کی اہمیت بیان کی گئی")</f>
        <v>امام نے اپنے بیان میں جمعۃ المبارک کی فضیلت بیان کی ہے اور اس کے ساتھ قران پاک کی فضیلت بیان کی ہے یہ بیان کیا ہے کہ یہ جو قران پاک نبی پاک صلی اللہ علیہ والہ وسلم پر نازل کیا گیا یہ عام کتاب نہیں ہے اور اس کے ساتھ اسلام کے پانچ ارکان پر بات کی گئی مختلف واقعات بیان کیے گئے اور اولیاء اللہ کی اہمیت بیان کی گئی</v>
      </c>
      <c r="X508" s="10">
        <f>IFERROR(__xludf.DUMMYFUNCTION("""COMPUTED_VALUE"""),7.0)</f>
        <v>7</v>
      </c>
      <c r="Y508" s="10">
        <f>IFERROR(__xludf.DUMMYFUNCTION("""COMPUTED_VALUE"""),1.0)</f>
        <v>1</v>
      </c>
      <c r="Z508" s="10">
        <f>IFERROR(__xludf.DUMMYFUNCTION("""COMPUTED_VALUE"""),0.0)</f>
        <v>0</v>
      </c>
      <c r="AA508" s="10">
        <f>IFERROR(__xludf.DUMMYFUNCTION("""COMPUTED_VALUE"""),8.0)</f>
        <v>8</v>
      </c>
      <c r="AB508" s="10">
        <f>IFERROR(__xludf.DUMMYFUNCTION("""COMPUTED_VALUE"""),6.0)</f>
        <v>6</v>
      </c>
      <c r="AC508" s="10">
        <f>IFERROR(__xludf.DUMMYFUNCTION("""COMPUTED_VALUE"""),0.0)</f>
        <v>0</v>
      </c>
      <c r="AD508" s="10">
        <f>IFERROR(__xludf.DUMMYFUNCTION("""COMPUTED_VALUE"""),0.0)</f>
        <v>0</v>
      </c>
      <c r="AE508" s="10">
        <f>IFERROR(__xludf.DUMMYFUNCTION("""COMPUTED_VALUE"""),0.0)</f>
        <v>0</v>
      </c>
      <c r="AF508" s="10">
        <f>IFERROR(__xludf.DUMMYFUNCTION("""COMPUTED_VALUE"""),0.0)</f>
        <v>0</v>
      </c>
      <c r="AG508" s="10">
        <f>IFERROR(__xludf.DUMMYFUNCTION("""COMPUTED_VALUE"""),8.0)</f>
        <v>8</v>
      </c>
      <c r="AH508" s="10">
        <f>IFERROR(__xludf.DUMMYFUNCTION("""COMPUTED_VALUE"""),0.0)</f>
        <v>0</v>
      </c>
      <c r="AI508" s="10">
        <f>IFERROR(__xludf.DUMMYFUNCTION("""COMPUTED_VALUE"""),8.0)</f>
        <v>8</v>
      </c>
      <c r="AJ508" s="11" t="str">
        <f>IFERROR(__xludf.DUMMYFUNCTION("""COMPUTED_VALUE"""),"https://drive.google.com/open?id=1xxGjSOABsTlQAHQ7iX7ZfwD5nEeGI1JW9W8BHALt-0s")</f>
        <v>https://drive.google.com/open?id=1xxGjSOABsTlQAHQ7iX7ZfwD5nEeGI1JW9W8BHALt-0s</v>
      </c>
      <c r="AK508" s="12" t="str">
        <f>IFERROR(__xludf.DUMMYFUNCTION("""COMPUTED_VALUE"""),"No")</f>
        <v>No</v>
      </c>
      <c r="AL508" s="12" t="str">
        <f>IFERROR(__xludf.DUMMYFUNCTION("""COMPUTED_VALUE"""),"No")</f>
        <v>No</v>
      </c>
      <c r="AM508" s="15">
        <f>IFERROR(__xludf.DUMMYFUNCTION("""COMPUTED_VALUE"""),0.0)</f>
        <v>0</v>
      </c>
      <c r="AN508" s="12" t="str">
        <f>IFERROR(__xludf.DUMMYFUNCTION("""COMPUTED_VALUE"""),"1st week")</f>
        <v>1st week</v>
      </c>
      <c r="AO508" s="13">
        <v>1.0</v>
      </c>
      <c r="AX508" s="17"/>
    </row>
    <row r="509">
      <c r="B509" s="9">
        <f>IFERROR(__xludf.DUMMYFUNCTION("""COMPUTED_VALUE"""),45889.87655224537)</f>
        <v>45889.87655</v>
      </c>
      <c r="C509" s="10" t="str">
        <f>IFERROR(__xludf.DUMMYFUNCTION("""COMPUTED_VALUE"""),"Sidra ")</f>
        <v>Sidra </v>
      </c>
      <c r="D509" s="10" t="str">
        <f>IFERROR(__xludf.DUMMYFUNCTION("""COMPUTED_VALUE"""),"03261416280")</f>
        <v>03261416280</v>
      </c>
      <c r="E509" s="10" t="str">
        <f>IFERROR(__xludf.DUMMYFUNCTION("""COMPUTED_VALUE"""),"Jamia Masjid Gaalah Mandi Khanewal")</f>
        <v>Jamia Masjid Gaalah Mandi Khanewal</v>
      </c>
      <c r="F509" s="10" t="str">
        <f>IFERROR(__xludf.DUMMYFUNCTION("""COMPUTED_VALUE"""),"rtfez")</f>
        <v>rtfez</v>
      </c>
      <c r="G509" s="10" t="str">
        <f>IFERROR(__xludf.DUMMYFUNCTION("""COMPUTED_VALUE"""),"Yes")</f>
        <v>Yes</v>
      </c>
      <c r="H509" s="10">
        <f>IFERROR(__xludf.DUMMYFUNCTION("""COMPUTED_VALUE"""),9.0)</f>
        <v>9</v>
      </c>
      <c r="I509" s="10">
        <f>IFERROR(__xludf.DUMMYFUNCTION("""COMPUTED_VALUE"""),1.0)</f>
        <v>1</v>
      </c>
      <c r="J509" s="10">
        <f>IFERROR(__xludf.DUMMYFUNCTION("""COMPUTED_VALUE"""),9.0)</f>
        <v>9</v>
      </c>
      <c r="K509" s="10">
        <f>IFERROR(__xludf.DUMMYFUNCTION("""COMPUTED_VALUE"""),9.0)</f>
        <v>9</v>
      </c>
      <c r="L509" s="10">
        <f>IFERROR(__xludf.DUMMYFUNCTION("""COMPUTED_VALUE"""),1.0)</f>
        <v>1</v>
      </c>
      <c r="M509" s="10">
        <f>IFERROR(__xludf.DUMMYFUNCTION("""COMPUTED_VALUE"""),8.0)</f>
        <v>8</v>
      </c>
      <c r="N509" s="10">
        <f>IFERROR(__xludf.DUMMYFUNCTION("""COMPUTED_VALUE"""),1.0)</f>
        <v>1</v>
      </c>
      <c r="O509" s="10">
        <f>IFERROR(__xludf.DUMMYFUNCTION("""COMPUTED_VALUE"""),4.0)</f>
        <v>4</v>
      </c>
      <c r="P509" s="10">
        <f>IFERROR(__xludf.DUMMYFUNCTION("""COMPUTED_VALUE"""),0.0)</f>
        <v>0</v>
      </c>
      <c r="Q509" s="10" t="str">
        <f>IFERROR(__xludf.DUMMYFUNCTION("""COMPUTED_VALUE"""),"Yes")</f>
        <v>Yes</v>
      </c>
      <c r="R509" s="10" t="str">
        <f>IFERROR(__xludf.DUMMYFUNCTION("""COMPUTED_VALUE"""),"No")</f>
        <v>No</v>
      </c>
      <c r="S509" s="10" t="str">
        <f>IFERROR(__xludf.DUMMYFUNCTION("""COMPUTED_VALUE"""),"Yes")</f>
        <v>Yes</v>
      </c>
      <c r="T509" s="10">
        <f>IFERROR(__xludf.DUMMYFUNCTION("""COMPUTED_VALUE"""),0.0)</f>
        <v>0</v>
      </c>
      <c r="U509" s="10">
        <f>IFERROR(__xludf.DUMMYFUNCTION("""COMPUTED_VALUE"""),0.0)</f>
        <v>0</v>
      </c>
      <c r="V509" s="10" t="str">
        <f>IFERROR(__xludf.DUMMYFUNCTION("""COMPUTED_VALUE"""),"اسلام میں عورتوں کے حقوق مقام اور کردار ")</f>
        <v>اسلام میں عورتوں کے حقوق مقام اور کردار </v>
      </c>
      <c r="W509" s="10" t="str">
        <f>IFERROR(__xludf.DUMMYFUNCTION("""COMPUTED_VALUE"""),"امام نے بیان میں بتایا ہے کہ اسلام سے پہلے عورتوں سے اچھا سلوک نہیں کیا جاتا تھا انہیں ہر پریشانی فساد کی جڑ سمجھا جاتا تھا اور پہلے معاشرے کے لوگ اپنی ماؤں کو بازار میں بیچ دیا کرتے اور عورتوں بیٹیوں کو زمین میں زندہ درگور کر دیا کرتے تھے لیکن اسلام آنے "&amp;"کے بعد عورتوں کا حق ادا کیا جانے لگا ان کا احترام کیا جانے لگا اور امام نے کہا کہ ہمیں پڑوسیوں کے ساتھ اچھا سلوک کرنا چاہیے ")</f>
        <v>امام نے بیان میں بتایا ہے کہ اسلام سے پہلے عورتوں سے اچھا سلوک نہیں کیا جاتا تھا انہیں ہر پریشانی فساد کی جڑ سمجھا جاتا تھا اور پہلے معاشرے کے لوگ اپنی ماؤں کو بازار میں بیچ دیا کرتے اور عورتوں بیٹیوں کو زمین میں زندہ درگور کر دیا کرتے تھے لیکن اسلام آنے کے بعد عورتوں کا حق ادا کیا جانے لگا ان کا احترام کیا جانے لگا اور امام نے کہا کہ ہمیں پڑوسیوں کے ساتھ اچھا سلوک کرنا چاہیے </v>
      </c>
      <c r="X509" s="10">
        <f>IFERROR(__xludf.DUMMYFUNCTION("""COMPUTED_VALUE"""),0.0)</f>
        <v>0</v>
      </c>
      <c r="Y509" s="10">
        <f>IFERROR(__xludf.DUMMYFUNCTION("""COMPUTED_VALUE"""),3.0)</f>
        <v>3</v>
      </c>
      <c r="Z509" s="10">
        <f>IFERROR(__xludf.DUMMYFUNCTION("""COMPUTED_VALUE"""),7.0)</f>
        <v>7</v>
      </c>
      <c r="AA509" s="10">
        <f>IFERROR(__xludf.DUMMYFUNCTION("""COMPUTED_VALUE"""),5.0)</f>
        <v>5</v>
      </c>
      <c r="AB509" s="10">
        <f>IFERROR(__xludf.DUMMYFUNCTION("""COMPUTED_VALUE"""),4.0)</f>
        <v>4</v>
      </c>
      <c r="AC509" s="10">
        <f>IFERROR(__xludf.DUMMYFUNCTION("""COMPUTED_VALUE"""),0.0)</f>
        <v>0</v>
      </c>
      <c r="AD509" s="10">
        <f>IFERROR(__xludf.DUMMYFUNCTION("""COMPUTED_VALUE"""),0.0)</f>
        <v>0</v>
      </c>
      <c r="AE509" s="10">
        <f>IFERROR(__xludf.DUMMYFUNCTION("""COMPUTED_VALUE"""),4.0)</f>
        <v>4</v>
      </c>
      <c r="AF509" s="10">
        <f>IFERROR(__xludf.DUMMYFUNCTION("""COMPUTED_VALUE"""),0.0)</f>
        <v>0</v>
      </c>
      <c r="AG509" s="10">
        <f>IFERROR(__xludf.DUMMYFUNCTION("""COMPUTED_VALUE"""),9.0)</f>
        <v>9</v>
      </c>
      <c r="AH509" s="10">
        <f>IFERROR(__xludf.DUMMYFUNCTION("""COMPUTED_VALUE"""),0.0)</f>
        <v>0</v>
      </c>
      <c r="AI509" s="10">
        <f>IFERROR(__xludf.DUMMYFUNCTION("""COMPUTED_VALUE"""),9.0)</f>
        <v>9</v>
      </c>
      <c r="AJ509" s="11" t="str">
        <f>IFERROR(__xludf.DUMMYFUNCTION("""COMPUTED_VALUE"""),"https://drive.google.com/open?id=1r5Ci4kjtKgc55DKdOQVi-CQXZ_D2lIdSp82z2ZGEJOk")</f>
        <v>https://drive.google.com/open?id=1r5Ci4kjtKgc55DKdOQVi-CQXZ_D2lIdSp82z2ZGEJOk</v>
      </c>
      <c r="AK509" s="12" t="str">
        <f>IFERROR(__xludf.DUMMYFUNCTION("""COMPUTED_VALUE"""),"No ")</f>
        <v>No </v>
      </c>
      <c r="AL509" s="12" t="str">
        <f>IFERROR(__xludf.DUMMYFUNCTION("""COMPUTED_VALUE"""),"Yes")</f>
        <v>Yes</v>
      </c>
      <c r="AM509" s="15">
        <f>IFERROR(__xludf.DUMMYFUNCTION("""COMPUTED_VALUE"""),0.9)</f>
        <v>0.9</v>
      </c>
      <c r="AN509" s="12" t="str">
        <f>IFERROR(__xludf.DUMMYFUNCTION("""COMPUTED_VALUE"""),"1st week")</f>
        <v>1st week</v>
      </c>
      <c r="AO509" s="13">
        <v>1.0</v>
      </c>
      <c r="AX509" s="17"/>
    </row>
    <row r="510">
      <c r="B510" s="9">
        <f>IFERROR(__xludf.DUMMYFUNCTION("""COMPUTED_VALUE"""),45889.943307141206)</f>
        <v>45889.94331</v>
      </c>
      <c r="C510" s="10" t="str">
        <f>IFERROR(__xludf.DUMMYFUNCTION("""COMPUTED_VALUE"""),"Shahid iqbal")</f>
        <v>Shahid iqbal</v>
      </c>
      <c r="D510" s="10" t="str">
        <f>IFERROR(__xludf.DUMMYFUNCTION("""COMPUTED_VALUE"""),"03013665049")</f>
        <v>03013665049</v>
      </c>
      <c r="E510" s="10" t="str">
        <f>IFERROR(__xludf.DUMMYFUNCTION("""COMPUTED_VALUE"""),"Jamia Masjid Darbar Hazrat Mian Channu")</f>
        <v>Jamia Masjid Darbar Hazrat Mian Channu</v>
      </c>
      <c r="F510" s="10" t="str">
        <f>IFERROR(__xludf.DUMMYFUNCTION("""COMPUTED_VALUE"""),"xpynm")</f>
        <v>xpynm</v>
      </c>
      <c r="G510" s="10" t="str">
        <f>IFERROR(__xludf.DUMMYFUNCTION("""COMPUTED_VALUE"""),"Yes")</f>
        <v>Yes</v>
      </c>
      <c r="H510" s="10">
        <f>IFERROR(__xludf.DUMMYFUNCTION("""COMPUTED_VALUE"""),0.0)</f>
        <v>0</v>
      </c>
      <c r="I510" s="10">
        <f>IFERROR(__xludf.DUMMYFUNCTION("""COMPUTED_VALUE"""),10.0)</f>
        <v>10</v>
      </c>
      <c r="J510" s="10">
        <f>IFERROR(__xludf.DUMMYFUNCTION("""COMPUTED_VALUE"""),0.0)</f>
        <v>0</v>
      </c>
      <c r="K510" s="10">
        <f>IFERROR(__xludf.DUMMYFUNCTION("""COMPUTED_VALUE"""),0.0)</f>
        <v>0</v>
      </c>
      <c r="L510" s="10">
        <f>IFERROR(__xludf.DUMMYFUNCTION("""COMPUTED_VALUE"""),0.0)</f>
        <v>0</v>
      </c>
      <c r="M510" s="10">
        <f>IFERROR(__xludf.DUMMYFUNCTION("""COMPUTED_VALUE"""),0.0)</f>
        <v>0</v>
      </c>
      <c r="N510" s="10">
        <f>IFERROR(__xludf.DUMMYFUNCTION("""COMPUTED_VALUE"""),0.0)</f>
        <v>0</v>
      </c>
      <c r="O510" s="10">
        <f>IFERROR(__xludf.DUMMYFUNCTION("""COMPUTED_VALUE"""),0.0)</f>
        <v>0</v>
      </c>
      <c r="P510" s="10">
        <f>IFERROR(__xludf.DUMMYFUNCTION("""COMPUTED_VALUE"""),0.0)</f>
        <v>0</v>
      </c>
      <c r="Q510" s="10" t="str">
        <f>IFERROR(__xludf.DUMMYFUNCTION("""COMPUTED_VALUE"""),"No")</f>
        <v>No</v>
      </c>
      <c r="R510" s="10" t="str">
        <f>IFERROR(__xludf.DUMMYFUNCTION("""COMPUTED_VALUE"""),"No")</f>
        <v>No</v>
      </c>
      <c r="S510" s="10" t="str">
        <f>IFERROR(__xludf.DUMMYFUNCTION("""COMPUTED_VALUE"""),"No")</f>
        <v>No</v>
      </c>
      <c r="T510" s="10">
        <f>IFERROR(__xludf.DUMMYFUNCTION("""COMPUTED_VALUE"""),0.0)</f>
        <v>0</v>
      </c>
      <c r="U510" s="10">
        <f>IFERROR(__xludf.DUMMYFUNCTION("""COMPUTED_VALUE"""),0.0)</f>
        <v>0</v>
      </c>
      <c r="V510" s="10" t="str">
        <f>IFERROR(__xludf.DUMMYFUNCTION("""COMPUTED_VALUE"""),"Reham Dili")</f>
        <v>Reham Dili</v>
      </c>
      <c r="W510" s="10" t="str">
        <f>IFERROR(__xludf.DUMMYFUNCTION("""COMPUTED_VALUE"""),"Logo k sath reham dili ka mauamla kren")</f>
        <v>Logo k sath reham dili ka mauamla kren</v>
      </c>
      <c r="X510" s="10">
        <f>IFERROR(__xludf.DUMMYFUNCTION("""COMPUTED_VALUE"""),3.0)</f>
        <v>3</v>
      </c>
      <c r="Y510" s="10">
        <f>IFERROR(__xludf.DUMMYFUNCTION("""COMPUTED_VALUE"""),4.0)</f>
        <v>4</v>
      </c>
      <c r="Z510" s="10">
        <f>IFERROR(__xludf.DUMMYFUNCTION("""COMPUTED_VALUE"""),5.0)</f>
        <v>5</v>
      </c>
      <c r="AA510" s="10">
        <f>IFERROR(__xludf.DUMMYFUNCTION("""COMPUTED_VALUE"""),4.0)</f>
        <v>4</v>
      </c>
      <c r="AB510" s="10">
        <f>IFERROR(__xludf.DUMMYFUNCTION("""COMPUTED_VALUE"""),0.0)</f>
        <v>0</v>
      </c>
      <c r="AC510" s="10">
        <f>IFERROR(__xludf.DUMMYFUNCTION("""COMPUTED_VALUE"""),0.0)</f>
        <v>0</v>
      </c>
      <c r="AD510" s="10">
        <f>IFERROR(__xludf.DUMMYFUNCTION("""COMPUTED_VALUE"""),0.0)</f>
        <v>0</v>
      </c>
      <c r="AE510" s="10">
        <f>IFERROR(__xludf.DUMMYFUNCTION("""COMPUTED_VALUE"""),0.0)</f>
        <v>0</v>
      </c>
      <c r="AF510" s="10">
        <f>IFERROR(__xludf.DUMMYFUNCTION("""COMPUTED_VALUE"""),0.0)</f>
        <v>0</v>
      </c>
      <c r="AG510" s="10">
        <f>IFERROR(__xludf.DUMMYFUNCTION("""COMPUTED_VALUE"""),8.0)</f>
        <v>8</v>
      </c>
      <c r="AH510" s="10">
        <f>IFERROR(__xludf.DUMMYFUNCTION("""COMPUTED_VALUE"""),0.0)</f>
        <v>0</v>
      </c>
      <c r="AI510" s="10">
        <f>IFERROR(__xludf.DUMMYFUNCTION("""COMPUTED_VALUE"""),9.0)</f>
        <v>9</v>
      </c>
      <c r="AJ510" s="11" t="str">
        <f>IFERROR(__xludf.DUMMYFUNCTION("""COMPUTED_VALUE"""),"https://drive.google.com/open?id=17dNMFQJrtihAaudERcZIEsI_jZe1IUrg")</f>
        <v>https://drive.google.com/open?id=17dNMFQJrtihAaudERcZIEsI_jZe1IUrg</v>
      </c>
      <c r="AK510" s="12"/>
      <c r="AL510" s="12" t="str">
        <f>IFERROR(__xludf.DUMMYFUNCTION("""COMPUTED_VALUE"""),"Yes")</f>
        <v>Yes</v>
      </c>
      <c r="AM510" s="15">
        <f>IFERROR(__xludf.DUMMYFUNCTION("""COMPUTED_VALUE"""),0.0)</f>
        <v>0</v>
      </c>
      <c r="AN510" s="12" t="str">
        <f>IFERROR(__xludf.DUMMYFUNCTION("""COMPUTED_VALUE"""),"3rd week")</f>
        <v>3rd week</v>
      </c>
      <c r="AO510" s="13">
        <v>3.0</v>
      </c>
      <c r="AX510" s="17"/>
    </row>
    <row r="511">
      <c r="B511" s="9">
        <f>IFERROR(__xludf.DUMMYFUNCTION("""COMPUTED_VALUE"""),45889.94741604167)</f>
        <v>45889.94742</v>
      </c>
      <c r="C511" s="10" t="str">
        <f>IFERROR(__xludf.DUMMYFUNCTION("""COMPUTED_VALUE"""),"Shahid iqbal")</f>
        <v>Shahid iqbal</v>
      </c>
      <c r="D511" s="10" t="str">
        <f>IFERROR(__xludf.DUMMYFUNCTION("""COMPUTED_VALUE"""),"03013665049")</f>
        <v>03013665049</v>
      </c>
      <c r="E511" s="10" t="str">
        <f>IFERROR(__xludf.DUMMYFUNCTION("""COMPUTED_VALUE"""),"Jamia Masjid Block # 3 Dera Ghazi Khan")</f>
        <v>Jamia Masjid Block # 3 Dera Ghazi Khan</v>
      </c>
      <c r="F511" s="10" t="str">
        <f>IFERROR(__xludf.DUMMYFUNCTION("""COMPUTED_VALUE"""),"vyzqv")</f>
        <v>vyzqv</v>
      </c>
      <c r="G511" s="10" t="str">
        <f>IFERROR(__xludf.DUMMYFUNCTION("""COMPUTED_VALUE"""),"Yes")</f>
        <v>Yes</v>
      </c>
      <c r="H511" s="10">
        <f>IFERROR(__xludf.DUMMYFUNCTION("""COMPUTED_VALUE"""),0.0)</f>
        <v>0</v>
      </c>
      <c r="I511" s="10">
        <f>IFERROR(__xludf.DUMMYFUNCTION("""COMPUTED_VALUE"""),10.0)</f>
        <v>10</v>
      </c>
      <c r="J511" s="10">
        <f>IFERROR(__xludf.DUMMYFUNCTION("""COMPUTED_VALUE"""),0.0)</f>
        <v>0</v>
      </c>
      <c r="K511" s="10">
        <f>IFERROR(__xludf.DUMMYFUNCTION("""COMPUTED_VALUE"""),0.0)</f>
        <v>0</v>
      </c>
      <c r="L511" s="10">
        <f>IFERROR(__xludf.DUMMYFUNCTION("""COMPUTED_VALUE"""),0.0)</f>
        <v>0</v>
      </c>
      <c r="M511" s="10">
        <f>IFERROR(__xludf.DUMMYFUNCTION("""COMPUTED_VALUE"""),0.0)</f>
        <v>0</v>
      </c>
      <c r="N511" s="10">
        <f>IFERROR(__xludf.DUMMYFUNCTION("""COMPUTED_VALUE"""),0.0)</f>
        <v>0</v>
      </c>
      <c r="O511" s="10">
        <f>IFERROR(__xludf.DUMMYFUNCTION("""COMPUTED_VALUE"""),0.0)</f>
        <v>0</v>
      </c>
      <c r="P511" s="10">
        <f>IFERROR(__xludf.DUMMYFUNCTION("""COMPUTED_VALUE"""),0.0)</f>
        <v>0</v>
      </c>
      <c r="Q511" s="10" t="str">
        <f>IFERROR(__xludf.DUMMYFUNCTION("""COMPUTED_VALUE"""),"No")</f>
        <v>No</v>
      </c>
      <c r="R511" s="10" t="str">
        <f>IFERROR(__xludf.DUMMYFUNCTION("""COMPUTED_VALUE"""),"No")</f>
        <v>No</v>
      </c>
      <c r="S511" s="10" t="str">
        <f>IFERROR(__xludf.DUMMYFUNCTION("""COMPUTED_VALUE"""),"No")</f>
        <v>No</v>
      </c>
      <c r="T511" s="10">
        <f>IFERROR(__xludf.DUMMYFUNCTION("""COMPUTED_VALUE"""),0.0)</f>
        <v>0</v>
      </c>
      <c r="U511" s="10">
        <f>IFERROR(__xludf.DUMMYFUNCTION("""COMPUTED_VALUE"""),0.0)</f>
        <v>0</v>
      </c>
      <c r="V511" s="10" t="str">
        <f>IFERROR(__xludf.DUMMYFUNCTION("""COMPUTED_VALUE"""),"سب نعمتوں میں سے بری نعمت ایمان ہے")</f>
        <v>سب نعمتوں میں سے بری نعمت ایمان ہے</v>
      </c>
      <c r="W511" s="10" t="str">
        <f>IFERROR(__xludf.DUMMYFUNCTION("""COMPUTED_VALUE"""),"امام نے ایمان کو سب سے بڑی نعمت کہا ہے اور بتایا کہ ہر حال میں اللہ پر ایمان رکھو اور اخری کچھ حصہ 14 اگست کے حوالے سے بات کی")</f>
        <v>امام نے ایمان کو سب سے بڑی نعمت کہا ہے اور بتایا کہ ہر حال میں اللہ پر ایمان رکھو اور اخری کچھ حصہ 14 اگست کے حوالے سے بات کی</v>
      </c>
      <c r="X511" s="10">
        <f>IFERROR(__xludf.DUMMYFUNCTION("""COMPUTED_VALUE"""),5.0)</f>
        <v>5</v>
      </c>
      <c r="Y511" s="10">
        <f>IFERROR(__xludf.DUMMYFUNCTION("""COMPUTED_VALUE"""),4.0)</f>
        <v>4</v>
      </c>
      <c r="Z511" s="10">
        <f>IFERROR(__xludf.DUMMYFUNCTION("""COMPUTED_VALUE"""),5.0)</f>
        <v>5</v>
      </c>
      <c r="AA511" s="10">
        <f>IFERROR(__xludf.DUMMYFUNCTION("""COMPUTED_VALUE"""),5.0)</f>
        <v>5</v>
      </c>
      <c r="AB511" s="10">
        <f>IFERROR(__xludf.DUMMYFUNCTION("""COMPUTED_VALUE"""),7.0)</f>
        <v>7</v>
      </c>
      <c r="AC511" s="10">
        <f>IFERROR(__xludf.DUMMYFUNCTION("""COMPUTED_VALUE"""),5.0)</f>
        <v>5</v>
      </c>
      <c r="AD511" s="10">
        <f>IFERROR(__xludf.DUMMYFUNCTION("""COMPUTED_VALUE"""),3.0)</f>
        <v>3</v>
      </c>
      <c r="AE511" s="10">
        <f>IFERROR(__xludf.DUMMYFUNCTION("""COMPUTED_VALUE"""),0.0)</f>
        <v>0</v>
      </c>
      <c r="AF511" s="10">
        <f>IFERROR(__xludf.DUMMYFUNCTION("""COMPUTED_VALUE"""),0.0)</f>
        <v>0</v>
      </c>
      <c r="AG511" s="10">
        <f>IFERROR(__xludf.DUMMYFUNCTION("""COMPUTED_VALUE"""),9.0)</f>
        <v>9</v>
      </c>
      <c r="AH511" s="10">
        <f>IFERROR(__xludf.DUMMYFUNCTION("""COMPUTED_VALUE"""),0.0)</f>
        <v>0</v>
      </c>
      <c r="AI511" s="10">
        <f>IFERROR(__xludf.DUMMYFUNCTION("""COMPUTED_VALUE"""),9.0)</f>
        <v>9</v>
      </c>
      <c r="AJ511" s="11" t="str">
        <f>IFERROR(__xludf.DUMMYFUNCTION("""COMPUTED_VALUE"""),"https://drive.google.com/open?id=1zO5DiJX6faQLD_Gsh7hZBA3uHnQKUePP")</f>
        <v>https://drive.google.com/open?id=1zO5DiJX6faQLD_Gsh7hZBA3uHnQKUePP</v>
      </c>
      <c r="AK511" s="12"/>
      <c r="AL511" s="12" t="str">
        <f>IFERROR(__xludf.DUMMYFUNCTION("""COMPUTED_VALUE"""),"Yes")</f>
        <v>Yes</v>
      </c>
      <c r="AM511" s="15">
        <f>IFERROR(__xludf.DUMMYFUNCTION("""COMPUTED_VALUE"""),0.0)</f>
        <v>0</v>
      </c>
      <c r="AN511" s="12" t="str">
        <f>IFERROR(__xludf.DUMMYFUNCTION("""COMPUTED_VALUE"""),"3rd week")</f>
        <v>3rd week</v>
      </c>
      <c r="AO511" s="13">
        <v>3.0</v>
      </c>
      <c r="AX511" s="17"/>
    </row>
    <row r="512">
      <c r="B512" s="9">
        <f>IFERROR(__xludf.DUMMYFUNCTION("""COMPUTED_VALUE"""),45889.947506655095)</f>
        <v>45889.94751</v>
      </c>
      <c r="C512" s="10" t="str">
        <f>IFERROR(__xludf.DUMMYFUNCTION("""COMPUTED_VALUE"""),"Sidra ")</f>
        <v>Sidra </v>
      </c>
      <c r="D512" s="10" t="str">
        <f>IFERROR(__xludf.DUMMYFUNCTION("""COMPUTED_VALUE"""),"03261416280")</f>
        <v>03261416280</v>
      </c>
      <c r="E512" s="10" t="str">
        <f>IFERROR(__xludf.DUMMYFUNCTION("""COMPUTED_VALUE"""),"Jamia Masjid Qasabaan Wali Multan")</f>
        <v>Jamia Masjid Qasabaan Wali Multan</v>
      </c>
      <c r="F512" s="10" t="str">
        <f>IFERROR(__xludf.DUMMYFUNCTION("""COMPUTED_VALUE"""),"QKGIH")</f>
        <v>QKGIH</v>
      </c>
      <c r="G512" s="10" t="str">
        <f>IFERROR(__xludf.DUMMYFUNCTION("""COMPUTED_VALUE"""),"Yes")</f>
        <v>Yes</v>
      </c>
      <c r="H512" s="10">
        <f>IFERROR(__xludf.DUMMYFUNCTION("""COMPUTED_VALUE"""),10.0)</f>
        <v>10</v>
      </c>
      <c r="I512" s="10">
        <f>IFERROR(__xludf.DUMMYFUNCTION("""COMPUTED_VALUE"""),0.0)</f>
        <v>0</v>
      </c>
      <c r="J512" s="10">
        <f>IFERROR(__xludf.DUMMYFUNCTION("""COMPUTED_VALUE"""),10.0)</f>
        <v>10</v>
      </c>
      <c r="K512" s="10">
        <f>IFERROR(__xludf.DUMMYFUNCTION("""COMPUTED_VALUE"""),10.0)</f>
        <v>10</v>
      </c>
      <c r="L512" s="10">
        <f>IFERROR(__xludf.DUMMYFUNCTION("""COMPUTED_VALUE"""),0.0)</f>
        <v>0</v>
      </c>
      <c r="M512" s="10">
        <f>IFERROR(__xludf.DUMMYFUNCTION("""COMPUTED_VALUE"""),10.0)</f>
        <v>10</v>
      </c>
      <c r="N512" s="10">
        <f>IFERROR(__xludf.DUMMYFUNCTION("""COMPUTED_VALUE"""),0.0)</f>
        <v>0</v>
      </c>
      <c r="O512" s="10">
        <f>IFERROR(__xludf.DUMMYFUNCTION("""COMPUTED_VALUE"""),6.0)</f>
        <v>6</v>
      </c>
      <c r="P512" s="10">
        <f>IFERROR(__xludf.DUMMYFUNCTION("""COMPUTED_VALUE"""),0.0)</f>
        <v>0</v>
      </c>
      <c r="Q512" s="10" t="str">
        <f>IFERROR(__xludf.DUMMYFUNCTION("""COMPUTED_VALUE"""),"Yes")</f>
        <v>Yes</v>
      </c>
      <c r="R512" s="10" t="str">
        <f>IFERROR(__xludf.DUMMYFUNCTION("""COMPUTED_VALUE"""),"No")</f>
        <v>No</v>
      </c>
      <c r="S512" s="10" t="str">
        <f>IFERROR(__xludf.DUMMYFUNCTION("""COMPUTED_VALUE"""),"Yes")</f>
        <v>Yes</v>
      </c>
      <c r="T512" s="10">
        <f>IFERROR(__xludf.DUMMYFUNCTION("""COMPUTED_VALUE"""),0.0)</f>
        <v>0</v>
      </c>
      <c r="U512" s="10">
        <f>IFERROR(__xludf.DUMMYFUNCTION("""COMPUTED_VALUE"""),0.0)</f>
        <v>0</v>
      </c>
      <c r="V512" s="10" t="str">
        <f>IFERROR(__xludf.DUMMYFUNCTION("""COMPUTED_VALUE"""),"اسلام میں عورتوں کا حق مقام اور کردار")</f>
        <v>اسلام میں عورتوں کا حق مقام اور کردار</v>
      </c>
      <c r="W512" s="10" t="str">
        <f>IFERROR(__xludf.DUMMYFUNCTION("""COMPUTED_VALUE"""),"امام نے بیان میں بتایا ہے کہ ہمیں عورتوں کے ساتھ حسن خوب سے پیش آنا چاہیے اور ان کی تعلیم و تربیت کا بھی خیال رکھنا چاہیے جس طرح قیامت کے روز مرد اللہ تعالی کے سامنے جواب دہ ہو گا اسی طرح عورت بھی اپنے رب کے سامنے جواب دہ ہوگی")</f>
        <v>امام نے بیان میں بتایا ہے کہ ہمیں عورتوں کے ساتھ حسن خوب سے پیش آنا چاہیے اور ان کی تعلیم و تربیت کا بھی خیال رکھنا چاہیے جس طرح قیامت کے روز مرد اللہ تعالی کے سامنے جواب دہ ہو گا اسی طرح عورت بھی اپنے رب کے سامنے جواب دہ ہوگی</v>
      </c>
      <c r="X512" s="10">
        <f>IFERROR(__xludf.DUMMYFUNCTION("""COMPUTED_VALUE"""),0.0)</f>
        <v>0</v>
      </c>
      <c r="Y512" s="10">
        <f>IFERROR(__xludf.DUMMYFUNCTION("""COMPUTED_VALUE"""),5.0)</f>
        <v>5</v>
      </c>
      <c r="Z512" s="10">
        <f>IFERROR(__xludf.DUMMYFUNCTION("""COMPUTED_VALUE"""),7.0)</f>
        <v>7</v>
      </c>
      <c r="AA512" s="10">
        <f>IFERROR(__xludf.DUMMYFUNCTION("""COMPUTED_VALUE"""),6.0)</f>
        <v>6</v>
      </c>
      <c r="AB512" s="10">
        <f>IFERROR(__xludf.DUMMYFUNCTION("""COMPUTED_VALUE"""),4.0)</f>
        <v>4</v>
      </c>
      <c r="AC512" s="10">
        <f>IFERROR(__xludf.DUMMYFUNCTION("""COMPUTED_VALUE"""),0.0)</f>
        <v>0</v>
      </c>
      <c r="AD512" s="10">
        <f>IFERROR(__xludf.DUMMYFUNCTION("""COMPUTED_VALUE"""),0.0)</f>
        <v>0</v>
      </c>
      <c r="AE512" s="10">
        <f>IFERROR(__xludf.DUMMYFUNCTION("""COMPUTED_VALUE"""),4.0)</f>
        <v>4</v>
      </c>
      <c r="AF512" s="10">
        <f>IFERROR(__xludf.DUMMYFUNCTION("""COMPUTED_VALUE"""),0.0)</f>
        <v>0</v>
      </c>
      <c r="AG512" s="10">
        <f>IFERROR(__xludf.DUMMYFUNCTION("""COMPUTED_VALUE"""),10.0)</f>
        <v>10</v>
      </c>
      <c r="AH512" s="10">
        <f>IFERROR(__xludf.DUMMYFUNCTION("""COMPUTED_VALUE"""),0.0)</f>
        <v>0</v>
      </c>
      <c r="AI512" s="10">
        <f>IFERROR(__xludf.DUMMYFUNCTION("""COMPUTED_VALUE"""),10.0)</f>
        <v>10</v>
      </c>
      <c r="AJ512" s="11" t="str">
        <f>IFERROR(__xludf.DUMMYFUNCTION("""COMPUTED_VALUE"""),"https://drive.google.com/open?id=1omLFBqzfr1SXs9qCGSoYUEfYEoJ7FCfrqcZbTORh9-k")</f>
        <v>https://drive.google.com/open?id=1omLFBqzfr1SXs9qCGSoYUEfYEoJ7FCfrqcZbTORh9-k</v>
      </c>
      <c r="AK512" s="12" t="str">
        <f>IFERROR(__xludf.DUMMYFUNCTION("""COMPUTED_VALUE"""),"No")</f>
        <v>No</v>
      </c>
      <c r="AL512" s="12" t="str">
        <f>IFERROR(__xludf.DUMMYFUNCTION("""COMPUTED_VALUE"""),"Yes")</f>
        <v>Yes</v>
      </c>
      <c r="AM512" s="15">
        <f>IFERROR(__xludf.DUMMYFUNCTION("""COMPUTED_VALUE"""),1.0)</f>
        <v>1</v>
      </c>
      <c r="AN512" s="12" t="str">
        <f>IFERROR(__xludf.DUMMYFUNCTION("""COMPUTED_VALUE"""),"1st week")</f>
        <v>1st week</v>
      </c>
      <c r="AO512" s="13">
        <v>1.0</v>
      </c>
      <c r="AX512" s="17"/>
    </row>
    <row r="513">
      <c r="B513" s="9">
        <f>IFERROR(__xludf.DUMMYFUNCTION("""COMPUTED_VALUE"""),45889.950402546296)</f>
        <v>45889.9504</v>
      </c>
      <c r="C513" s="10" t="str">
        <f>IFERROR(__xludf.DUMMYFUNCTION("""COMPUTED_VALUE"""),"Shahid iqbal")</f>
        <v>Shahid iqbal</v>
      </c>
      <c r="D513" s="10" t="str">
        <f>IFERROR(__xludf.DUMMYFUNCTION("""COMPUTED_VALUE"""),"03013665049")</f>
        <v>03013665049</v>
      </c>
      <c r="E513" s="10" t="str">
        <f>IFERROR(__xludf.DUMMYFUNCTION("""COMPUTED_VALUE"""),"Jamia Masjid Darbar Malah Quaid Shah Dera Ghazi Khan")</f>
        <v>Jamia Masjid Darbar Malah Quaid Shah Dera Ghazi Khan</v>
      </c>
      <c r="F513" s="10" t="str">
        <f>IFERROR(__xludf.DUMMYFUNCTION("""COMPUTED_VALUE"""),"vsrrf")</f>
        <v>vsrrf</v>
      </c>
      <c r="G513" s="10" t="str">
        <f>IFERROR(__xludf.DUMMYFUNCTION("""COMPUTED_VALUE"""),"Yes")</f>
        <v>Yes</v>
      </c>
      <c r="H513" s="10">
        <f>IFERROR(__xludf.DUMMYFUNCTION("""COMPUTED_VALUE"""),0.0)</f>
        <v>0</v>
      </c>
      <c r="I513" s="10">
        <f>IFERROR(__xludf.DUMMYFUNCTION("""COMPUTED_VALUE"""),10.0)</f>
        <v>10</v>
      </c>
      <c r="J513" s="10">
        <f>IFERROR(__xludf.DUMMYFUNCTION("""COMPUTED_VALUE"""),0.0)</f>
        <v>0</v>
      </c>
      <c r="K513" s="10">
        <f>IFERROR(__xludf.DUMMYFUNCTION("""COMPUTED_VALUE"""),0.0)</f>
        <v>0</v>
      </c>
      <c r="L513" s="10">
        <f>IFERROR(__xludf.DUMMYFUNCTION("""COMPUTED_VALUE"""),0.0)</f>
        <v>0</v>
      </c>
      <c r="M513" s="10">
        <f>IFERROR(__xludf.DUMMYFUNCTION("""COMPUTED_VALUE"""),0.0)</f>
        <v>0</v>
      </c>
      <c r="N513" s="10">
        <f>IFERROR(__xludf.DUMMYFUNCTION("""COMPUTED_VALUE"""),0.0)</f>
        <v>0</v>
      </c>
      <c r="O513" s="10">
        <f>IFERROR(__xludf.DUMMYFUNCTION("""COMPUTED_VALUE"""),0.0)</f>
        <v>0</v>
      </c>
      <c r="P513" s="10">
        <f>IFERROR(__xludf.DUMMYFUNCTION("""COMPUTED_VALUE"""),0.0)</f>
        <v>0</v>
      </c>
      <c r="Q513" s="10" t="str">
        <f>IFERROR(__xludf.DUMMYFUNCTION("""COMPUTED_VALUE"""),"No")</f>
        <v>No</v>
      </c>
      <c r="R513" s="10" t="str">
        <f>IFERROR(__xludf.DUMMYFUNCTION("""COMPUTED_VALUE"""),"No")</f>
        <v>No</v>
      </c>
      <c r="S513" s="10" t="str">
        <f>IFERROR(__xludf.DUMMYFUNCTION("""COMPUTED_VALUE"""),"No")</f>
        <v>No</v>
      </c>
      <c r="T513" s="10">
        <f>IFERROR(__xludf.DUMMYFUNCTION("""COMPUTED_VALUE"""),0.0)</f>
        <v>0</v>
      </c>
      <c r="U513" s="10">
        <f>IFERROR(__xludf.DUMMYFUNCTION("""COMPUTED_VALUE"""),0.0)</f>
        <v>0</v>
      </c>
      <c r="V513" s="10" t="str">
        <f>IFERROR(__xludf.DUMMYFUNCTION("""COMPUTED_VALUE"""),"Allah ka pyary bndy")</f>
        <v>Allah ka pyary bndy</v>
      </c>
      <c r="W513" s="10" t="str">
        <f>IFERROR(__xludf.DUMMYFUNCTION("""COMPUTED_VALUE"""),"Allah k payary bndo ko darrr khuf nh hota aur wo sirf Allah ki ibadat krty hn")</f>
        <v>Allah k payary bndo ko darrr khuf nh hota aur wo sirf Allah ki ibadat krty hn</v>
      </c>
      <c r="X513" s="10">
        <f>IFERROR(__xludf.DUMMYFUNCTION("""COMPUTED_VALUE"""),4.0)</f>
        <v>4</v>
      </c>
      <c r="Y513" s="10">
        <f>IFERROR(__xludf.DUMMYFUNCTION("""COMPUTED_VALUE"""),5.0)</f>
        <v>5</v>
      </c>
      <c r="Z513" s="10">
        <f>IFERROR(__xludf.DUMMYFUNCTION("""COMPUTED_VALUE"""),3.0)</f>
        <v>3</v>
      </c>
      <c r="AA513" s="10">
        <f>IFERROR(__xludf.DUMMYFUNCTION("""COMPUTED_VALUE"""),8.0)</f>
        <v>8</v>
      </c>
      <c r="AB513" s="10">
        <f>IFERROR(__xludf.DUMMYFUNCTION("""COMPUTED_VALUE"""),2.0)</f>
        <v>2</v>
      </c>
      <c r="AC513" s="10">
        <f>IFERROR(__xludf.DUMMYFUNCTION("""COMPUTED_VALUE"""),0.0)</f>
        <v>0</v>
      </c>
      <c r="AD513" s="10">
        <f>IFERROR(__xludf.DUMMYFUNCTION("""COMPUTED_VALUE"""),0.0)</f>
        <v>0</v>
      </c>
      <c r="AE513" s="10">
        <f>IFERROR(__xludf.DUMMYFUNCTION("""COMPUTED_VALUE"""),0.0)</f>
        <v>0</v>
      </c>
      <c r="AF513" s="10">
        <f>IFERROR(__xludf.DUMMYFUNCTION("""COMPUTED_VALUE"""),0.0)</f>
        <v>0</v>
      </c>
      <c r="AG513" s="10">
        <f>IFERROR(__xludf.DUMMYFUNCTION("""COMPUTED_VALUE"""),9.0)</f>
        <v>9</v>
      </c>
      <c r="AH513" s="10">
        <f>IFERROR(__xludf.DUMMYFUNCTION("""COMPUTED_VALUE"""),1.0)</f>
        <v>1</v>
      </c>
      <c r="AI513" s="10">
        <f>IFERROR(__xludf.DUMMYFUNCTION("""COMPUTED_VALUE"""),9.0)</f>
        <v>9</v>
      </c>
      <c r="AJ513" s="11" t="str">
        <f>IFERROR(__xludf.DUMMYFUNCTION("""COMPUTED_VALUE"""),"https://drive.google.com/open?id=16DYJXbsPWCTRiuggfdi2gSAbdcFEKVag")</f>
        <v>https://drive.google.com/open?id=16DYJXbsPWCTRiuggfdi2gSAbdcFEKVag</v>
      </c>
      <c r="AK513" s="12"/>
      <c r="AL513" s="12" t="str">
        <f>IFERROR(__xludf.DUMMYFUNCTION("""COMPUTED_VALUE"""),"Yes")</f>
        <v>Yes</v>
      </c>
      <c r="AM513" s="15">
        <f>IFERROR(__xludf.DUMMYFUNCTION("""COMPUTED_VALUE"""),0.0)</f>
        <v>0</v>
      </c>
      <c r="AN513" s="12" t="str">
        <f>IFERROR(__xludf.DUMMYFUNCTION("""COMPUTED_VALUE"""),"3rd week")</f>
        <v>3rd week</v>
      </c>
      <c r="AO513" s="13">
        <v>3.0</v>
      </c>
      <c r="AX513" s="17"/>
    </row>
    <row r="514">
      <c r="B514" s="9">
        <f>IFERROR(__xludf.DUMMYFUNCTION("""COMPUTED_VALUE"""),45889.953888206015)</f>
        <v>45889.95389</v>
      </c>
      <c r="C514" s="10" t="str">
        <f>IFERROR(__xludf.DUMMYFUNCTION("""COMPUTED_VALUE"""),"Shahid iqbal")</f>
        <v>Shahid iqbal</v>
      </c>
      <c r="D514" s="10" t="str">
        <f>IFERROR(__xludf.DUMMYFUNCTION("""COMPUTED_VALUE"""),"03013665049")</f>
        <v>03013665049</v>
      </c>
      <c r="E514" s="10" t="str">
        <f>IFERROR(__xludf.DUMMYFUNCTION("""COMPUTED_VALUE"""),"Jamia Masjid Kocha Gul Hassan Shahe Bazar")</f>
        <v>Jamia Masjid Kocha Gul Hassan Shahe Bazar</v>
      </c>
      <c r="F514" s="10" t="str">
        <f>IFERROR(__xludf.DUMMYFUNCTION("""COMPUTED_VALUE"""),"reimc")</f>
        <v>reimc</v>
      </c>
      <c r="G514" s="10" t="str">
        <f>IFERROR(__xludf.DUMMYFUNCTION("""COMPUTED_VALUE"""),"Yes")</f>
        <v>Yes</v>
      </c>
      <c r="H514" s="10">
        <f>IFERROR(__xludf.DUMMYFUNCTION("""COMPUTED_VALUE"""),0.0)</f>
        <v>0</v>
      </c>
      <c r="I514" s="10">
        <f>IFERROR(__xludf.DUMMYFUNCTION("""COMPUTED_VALUE"""),10.0)</f>
        <v>10</v>
      </c>
      <c r="J514" s="10">
        <f>IFERROR(__xludf.DUMMYFUNCTION("""COMPUTED_VALUE"""),0.0)</f>
        <v>0</v>
      </c>
      <c r="K514" s="10">
        <f>IFERROR(__xludf.DUMMYFUNCTION("""COMPUTED_VALUE"""),0.0)</f>
        <v>0</v>
      </c>
      <c r="L514" s="10">
        <f>IFERROR(__xludf.DUMMYFUNCTION("""COMPUTED_VALUE"""),0.0)</f>
        <v>0</v>
      </c>
      <c r="M514" s="10">
        <f>IFERROR(__xludf.DUMMYFUNCTION("""COMPUTED_VALUE"""),0.0)</f>
        <v>0</v>
      </c>
      <c r="N514" s="10">
        <f>IFERROR(__xludf.DUMMYFUNCTION("""COMPUTED_VALUE"""),0.0)</f>
        <v>0</v>
      </c>
      <c r="O514" s="10">
        <f>IFERROR(__xludf.DUMMYFUNCTION("""COMPUTED_VALUE"""),0.0)</f>
        <v>0</v>
      </c>
      <c r="P514" s="10">
        <f>IFERROR(__xludf.DUMMYFUNCTION("""COMPUTED_VALUE"""),0.0)</f>
        <v>0</v>
      </c>
      <c r="Q514" s="10" t="str">
        <f>IFERROR(__xludf.DUMMYFUNCTION("""COMPUTED_VALUE"""),"No")</f>
        <v>No</v>
      </c>
      <c r="R514" s="10" t="str">
        <f>IFERROR(__xludf.DUMMYFUNCTION("""COMPUTED_VALUE"""),"No")</f>
        <v>No</v>
      </c>
      <c r="S514" s="10" t="str">
        <f>IFERROR(__xludf.DUMMYFUNCTION("""COMPUTED_VALUE"""),"No")</f>
        <v>No</v>
      </c>
      <c r="T514" s="10">
        <f>IFERROR(__xludf.DUMMYFUNCTION("""COMPUTED_VALUE"""),0.0)</f>
        <v>0</v>
      </c>
      <c r="U514" s="10">
        <f>IFERROR(__xludf.DUMMYFUNCTION("""COMPUTED_VALUE"""),0.0)</f>
        <v>0</v>
      </c>
      <c r="V514" s="10" t="str">
        <f>IFERROR(__xludf.DUMMYFUNCTION("""COMPUTED_VALUE"""),"Taharat aur pakeezagi")</f>
        <v>Taharat aur pakeezagi</v>
      </c>
      <c r="W514" s="10" t="str">
        <f>IFERROR(__xludf.DUMMYFUNCTION("""COMPUTED_VALUE"""),"Taharat aur pakeezagi aur Allah se toba kakaha gya hai")</f>
        <v>Taharat aur pakeezagi aur Allah se toba kakaha gya hai</v>
      </c>
      <c r="X514" s="10">
        <f>IFERROR(__xludf.DUMMYFUNCTION("""COMPUTED_VALUE"""),4.0)</f>
        <v>4</v>
      </c>
      <c r="Y514" s="10">
        <f>IFERROR(__xludf.DUMMYFUNCTION("""COMPUTED_VALUE"""),6.0)</f>
        <v>6</v>
      </c>
      <c r="Z514" s="10">
        <f>IFERROR(__xludf.DUMMYFUNCTION("""COMPUTED_VALUE"""),5.0)</f>
        <v>5</v>
      </c>
      <c r="AA514" s="10">
        <f>IFERROR(__xludf.DUMMYFUNCTION("""COMPUTED_VALUE"""),6.0)</f>
        <v>6</v>
      </c>
      <c r="AB514" s="10">
        <f>IFERROR(__xludf.DUMMYFUNCTION("""COMPUTED_VALUE"""),1.0)</f>
        <v>1</v>
      </c>
      <c r="AC514" s="10">
        <f>IFERROR(__xludf.DUMMYFUNCTION("""COMPUTED_VALUE"""),0.0)</f>
        <v>0</v>
      </c>
      <c r="AD514" s="10">
        <f>IFERROR(__xludf.DUMMYFUNCTION("""COMPUTED_VALUE"""),0.0)</f>
        <v>0</v>
      </c>
      <c r="AE514" s="10">
        <f>IFERROR(__xludf.DUMMYFUNCTION("""COMPUTED_VALUE"""),0.0)</f>
        <v>0</v>
      </c>
      <c r="AF514" s="10">
        <f>IFERROR(__xludf.DUMMYFUNCTION("""COMPUTED_VALUE"""),0.0)</f>
        <v>0</v>
      </c>
      <c r="AG514" s="10">
        <f>IFERROR(__xludf.DUMMYFUNCTION("""COMPUTED_VALUE"""),8.0)</f>
        <v>8</v>
      </c>
      <c r="AH514" s="10">
        <f>IFERROR(__xludf.DUMMYFUNCTION("""COMPUTED_VALUE"""),0.0)</f>
        <v>0</v>
      </c>
      <c r="AI514" s="10">
        <f>IFERROR(__xludf.DUMMYFUNCTION("""COMPUTED_VALUE"""),8.0)</f>
        <v>8</v>
      </c>
      <c r="AJ514" s="11" t="str">
        <f>IFERROR(__xludf.DUMMYFUNCTION("""COMPUTED_VALUE"""),"https://drive.google.com/open?id=1YxGgECqrRdIXRnMBn9DZ6L8d8TqnpSR4")</f>
        <v>https://drive.google.com/open?id=1YxGgECqrRdIXRnMBn9DZ6L8d8TqnpSR4</v>
      </c>
      <c r="AK514" s="12"/>
      <c r="AL514" s="12" t="str">
        <f>IFERROR(__xludf.DUMMYFUNCTION("""COMPUTED_VALUE"""),"Yes")</f>
        <v>Yes</v>
      </c>
      <c r="AM514" s="15">
        <f>IFERROR(__xludf.DUMMYFUNCTION("""COMPUTED_VALUE"""),0.0)</f>
        <v>0</v>
      </c>
      <c r="AN514" s="12" t="str">
        <f>IFERROR(__xludf.DUMMYFUNCTION("""COMPUTED_VALUE"""),"3rd week")</f>
        <v>3rd week</v>
      </c>
      <c r="AO514" s="13">
        <v>3.0</v>
      </c>
      <c r="AX514" s="17"/>
    </row>
    <row r="515">
      <c r="B515" s="9">
        <f>IFERROR(__xludf.DUMMYFUNCTION("""COMPUTED_VALUE"""),45889.959557650465)</f>
        <v>45889.95956</v>
      </c>
      <c r="C515" s="10" t="str">
        <f>IFERROR(__xludf.DUMMYFUNCTION("""COMPUTED_VALUE"""),"Shahid iqbal")</f>
        <v>Shahid iqbal</v>
      </c>
      <c r="D515" s="10" t="str">
        <f>IFERROR(__xludf.DUMMYFUNCTION("""COMPUTED_VALUE"""),"03013665049")</f>
        <v>03013665049</v>
      </c>
      <c r="E515" s="10" t="str">
        <f>IFERROR(__xludf.DUMMYFUNCTION("""COMPUTED_VALUE"""),"Jamia Masjid Shiekh Allah Wasaya Machli Bazar")</f>
        <v>Jamia Masjid Shiekh Allah Wasaya Machli Bazar</v>
      </c>
      <c r="F515" s="10" t="str">
        <f>IFERROR(__xludf.DUMMYFUNCTION("""COMPUTED_VALUE"""),"lrqvn")</f>
        <v>lrqvn</v>
      </c>
      <c r="G515" s="10" t="str">
        <f>IFERROR(__xludf.DUMMYFUNCTION("""COMPUTED_VALUE"""),"Yes")</f>
        <v>Yes</v>
      </c>
      <c r="H515" s="10">
        <f>IFERROR(__xludf.DUMMYFUNCTION("""COMPUTED_VALUE"""),0.0)</f>
        <v>0</v>
      </c>
      <c r="I515" s="10">
        <f>IFERROR(__xludf.DUMMYFUNCTION("""COMPUTED_VALUE"""),10.0)</f>
        <v>10</v>
      </c>
      <c r="J515" s="10">
        <f>IFERROR(__xludf.DUMMYFUNCTION("""COMPUTED_VALUE"""),0.0)</f>
        <v>0</v>
      </c>
      <c r="K515" s="10">
        <f>IFERROR(__xludf.DUMMYFUNCTION("""COMPUTED_VALUE"""),0.0)</f>
        <v>0</v>
      </c>
      <c r="L515" s="10">
        <f>IFERROR(__xludf.DUMMYFUNCTION("""COMPUTED_VALUE"""),0.0)</f>
        <v>0</v>
      </c>
      <c r="M515" s="10">
        <f>IFERROR(__xludf.DUMMYFUNCTION("""COMPUTED_VALUE"""),0.0)</f>
        <v>0</v>
      </c>
      <c r="N515" s="10">
        <f>IFERROR(__xludf.DUMMYFUNCTION("""COMPUTED_VALUE"""),0.0)</f>
        <v>0</v>
      </c>
      <c r="O515" s="10">
        <f>IFERROR(__xludf.DUMMYFUNCTION("""COMPUTED_VALUE"""),0.0)</f>
        <v>0</v>
      </c>
      <c r="P515" s="10">
        <f>IFERROR(__xludf.DUMMYFUNCTION("""COMPUTED_VALUE"""),0.0)</f>
        <v>0</v>
      </c>
      <c r="Q515" s="10" t="str">
        <f>IFERROR(__xludf.DUMMYFUNCTION("""COMPUTED_VALUE"""),"No")</f>
        <v>No</v>
      </c>
      <c r="R515" s="10" t="str">
        <f>IFERROR(__xludf.DUMMYFUNCTION("""COMPUTED_VALUE"""),"No")</f>
        <v>No</v>
      </c>
      <c r="S515" s="10" t="str">
        <f>IFERROR(__xludf.DUMMYFUNCTION("""COMPUTED_VALUE"""),"No")</f>
        <v>No</v>
      </c>
      <c r="T515" s="10">
        <f>IFERROR(__xludf.DUMMYFUNCTION("""COMPUTED_VALUE"""),0.0)</f>
        <v>0</v>
      </c>
      <c r="U515" s="10">
        <f>IFERROR(__xludf.DUMMYFUNCTION("""COMPUTED_VALUE"""),0.0)</f>
        <v>0</v>
      </c>
      <c r="V515" s="10" t="str">
        <f>IFERROR(__xludf.DUMMYFUNCTION("""COMPUTED_VALUE"""),"seerat un nabi saw aur islam ki ashaat")</f>
        <v>seerat un nabi saw aur islam ki ashaat</v>
      </c>
      <c r="W515" s="10" t="str">
        <f>IFERROR(__xludf.DUMMYFUNCTION("""COMPUTED_VALUE"""),"seerat un nabi saw aur islam ki ashaat")</f>
        <v>seerat un nabi saw aur islam ki ashaat</v>
      </c>
      <c r="X515" s="10">
        <f>IFERROR(__xludf.DUMMYFUNCTION("""COMPUTED_VALUE"""),0.0)</f>
        <v>0</v>
      </c>
      <c r="Y515" s="10">
        <f>IFERROR(__xludf.DUMMYFUNCTION("""COMPUTED_VALUE"""),5.0)</f>
        <v>5</v>
      </c>
      <c r="Z515" s="10">
        <f>IFERROR(__xludf.DUMMYFUNCTION("""COMPUTED_VALUE"""),5.0)</f>
        <v>5</v>
      </c>
      <c r="AA515" s="10">
        <f>IFERROR(__xludf.DUMMYFUNCTION("""COMPUTED_VALUE"""),6.0)</f>
        <v>6</v>
      </c>
      <c r="AB515" s="10">
        <f>IFERROR(__xludf.DUMMYFUNCTION("""COMPUTED_VALUE"""),1.0)</f>
        <v>1</v>
      </c>
      <c r="AC515" s="10">
        <f>IFERROR(__xludf.DUMMYFUNCTION("""COMPUTED_VALUE"""),0.0)</f>
        <v>0</v>
      </c>
      <c r="AD515" s="10">
        <f>IFERROR(__xludf.DUMMYFUNCTION("""COMPUTED_VALUE"""),0.0)</f>
        <v>0</v>
      </c>
      <c r="AE515" s="10">
        <f>IFERROR(__xludf.DUMMYFUNCTION("""COMPUTED_VALUE"""),0.0)</f>
        <v>0</v>
      </c>
      <c r="AF515" s="10">
        <f>IFERROR(__xludf.DUMMYFUNCTION("""COMPUTED_VALUE"""),0.0)</f>
        <v>0</v>
      </c>
      <c r="AG515" s="10">
        <f>IFERROR(__xludf.DUMMYFUNCTION("""COMPUTED_VALUE"""),8.0)</f>
        <v>8</v>
      </c>
      <c r="AH515" s="10">
        <f>IFERROR(__xludf.DUMMYFUNCTION("""COMPUTED_VALUE"""),0.0)</f>
        <v>0</v>
      </c>
      <c r="AI515" s="10">
        <f>IFERROR(__xludf.DUMMYFUNCTION("""COMPUTED_VALUE"""),9.0)</f>
        <v>9</v>
      </c>
      <c r="AJ515" s="11" t="str">
        <f>IFERROR(__xludf.DUMMYFUNCTION("""COMPUTED_VALUE"""),"https://drive.google.com/open?id=1VFZonY37tKF5gr4NiH5kC4NYw8ozPrua")</f>
        <v>https://drive.google.com/open?id=1VFZonY37tKF5gr4NiH5kC4NYw8ozPrua</v>
      </c>
      <c r="AK515" s="12"/>
      <c r="AL515" s="12" t="str">
        <f>IFERROR(__xludf.DUMMYFUNCTION("""COMPUTED_VALUE"""),"Yes")</f>
        <v>Yes</v>
      </c>
      <c r="AM515" s="15">
        <f>IFERROR(__xludf.DUMMYFUNCTION("""COMPUTED_VALUE"""),0.0)</f>
        <v>0</v>
      </c>
      <c r="AN515" s="12" t="str">
        <f>IFERROR(__xludf.DUMMYFUNCTION("""COMPUTED_VALUE"""),"3rd week")</f>
        <v>3rd week</v>
      </c>
      <c r="AO515" s="13">
        <v>3.0</v>
      </c>
      <c r="AX515" s="17"/>
    </row>
    <row r="516">
      <c r="B516" s="9">
        <f>IFERROR(__xludf.DUMMYFUNCTION("""COMPUTED_VALUE"""),45889.97962775463)</f>
        <v>45889.97963</v>
      </c>
      <c r="C516" s="10" t="str">
        <f>IFERROR(__xludf.DUMMYFUNCTION("""COMPUTED_VALUE"""),"Shahid iqbal")</f>
        <v>Shahid iqbal</v>
      </c>
      <c r="D516" s="10" t="str">
        <f>IFERROR(__xludf.DUMMYFUNCTION("""COMPUTED_VALUE"""),"03013665049")</f>
        <v>03013665049</v>
      </c>
      <c r="E516" s="10" t="str">
        <f>IFERROR(__xludf.DUMMYFUNCTION("""COMPUTED_VALUE"""),"Jamia Masjid Nazamat / Nazamat market Railway Road Rahim Yar Khan")</f>
        <v>Jamia Masjid Nazamat / Nazamat market Railway Road Rahim Yar Khan</v>
      </c>
      <c r="F516" s="10" t="str">
        <f>IFERROR(__xludf.DUMMYFUNCTION("""COMPUTED_VALUE"""),"xxfos")</f>
        <v>xxfos</v>
      </c>
      <c r="G516" s="10" t="str">
        <f>IFERROR(__xludf.DUMMYFUNCTION("""COMPUTED_VALUE"""),"Yes")</f>
        <v>Yes</v>
      </c>
      <c r="H516" s="10">
        <f>IFERROR(__xludf.DUMMYFUNCTION("""COMPUTED_VALUE"""),1.0)</f>
        <v>1</v>
      </c>
      <c r="I516" s="10">
        <f>IFERROR(__xludf.DUMMYFUNCTION("""COMPUTED_VALUE"""),9.0)</f>
        <v>9</v>
      </c>
      <c r="J516" s="10">
        <f>IFERROR(__xludf.DUMMYFUNCTION("""COMPUTED_VALUE"""),1.0)</f>
        <v>1</v>
      </c>
      <c r="K516" s="10">
        <f>IFERROR(__xludf.DUMMYFUNCTION("""COMPUTED_VALUE"""),0.0)</f>
        <v>0</v>
      </c>
      <c r="L516" s="10">
        <f>IFERROR(__xludf.DUMMYFUNCTION("""COMPUTED_VALUE"""),1.0)</f>
        <v>1</v>
      </c>
      <c r="M516" s="10">
        <f>IFERROR(__xludf.DUMMYFUNCTION("""COMPUTED_VALUE"""),0.0)</f>
        <v>0</v>
      </c>
      <c r="N516" s="10">
        <f>IFERROR(__xludf.DUMMYFUNCTION("""COMPUTED_VALUE"""),1.0)</f>
        <v>1</v>
      </c>
      <c r="O516" s="10">
        <f>IFERROR(__xludf.DUMMYFUNCTION("""COMPUTED_VALUE"""),0.0)</f>
        <v>0</v>
      </c>
      <c r="P516" s="10">
        <f>IFERROR(__xludf.DUMMYFUNCTION("""COMPUTED_VALUE"""),0.0)</f>
        <v>0</v>
      </c>
      <c r="Q516" s="10" t="str">
        <f>IFERROR(__xludf.DUMMYFUNCTION("""COMPUTED_VALUE"""),"No")</f>
        <v>No</v>
      </c>
      <c r="R516" s="10" t="str">
        <f>IFERROR(__xludf.DUMMYFUNCTION("""COMPUTED_VALUE"""),"No")</f>
        <v>No</v>
      </c>
      <c r="S516" s="10" t="str">
        <f>IFERROR(__xludf.DUMMYFUNCTION("""COMPUTED_VALUE"""),"No")</f>
        <v>No</v>
      </c>
      <c r="T516" s="10">
        <f>IFERROR(__xludf.DUMMYFUNCTION("""COMPUTED_VALUE"""),0.0)</f>
        <v>0</v>
      </c>
      <c r="U516" s="10">
        <f>IFERROR(__xludf.DUMMYFUNCTION("""COMPUTED_VALUE"""),0.0)</f>
        <v>0</v>
      </c>
      <c r="V516" s="10" t="str">
        <f>IFERROR(__xludf.DUMMYFUNCTION("""COMPUTED_VALUE"""),"Haqooq ul abad, hijrat aur padosi k haqooq")</f>
        <v>Haqooq ul abad, hijrat aur padosi k haqooq</v>
      </c>
      <c r="W516" s="10" t="str">
        <f>IFERROR(__xludf.DUMMYFUNCTION("""COMPUTED_VALUE"""),"Haqooq ul abad, hijrat aur padosi k haqooq")</f>
        <v>Haqooq ul abad, hijrat aur padosi k haqooq</v>
      </c>
      <c r="X516" s="10">
        <f>IFERROR(__xludf.DUMMYFUNCTION("""COMPUTED_VALUE"""),2.0)</f>
        <v>2</v>
      </c>
      <c r="Y516" s="10">
        <f>IFERROR(__xludf.DUMMYFUNCTION("""COMPUTED_VALUE"""),6.0)</f>
        <v>6</v>
      </c>
      <c r="Z516" s="10">
        <f>IFERROR(__xludf.DUMMYFUNCTION("""COMPUTED_VALUE"""),3.0)</f>
        <v>3</v>
      </c>
      <c r="AA516" s="10">
        <f>IFERROR(__xludf.DUMMYFUNCTION("""COMPUTED_VALUE"""),7.0)</f>
        <v>7</v>
      </c>
      <c r="AB516" s="10">
        <f>IFERROR(__xludf.DUMMYFUNCTION("""COMPUTED_VALUE"""),0.0)</f>
        <v>0</v>
      </c>
      <c r="AC516" s="10">
        <f>IFERROR(__xludf.DUMMYFUNCTION("""COMPUTED_VALUE"""),0.0)</f>
        <v>0</v>
      </c>
      <c r="AD516" s="10">
        <f>IFERROR(__xludf.DUMMYFUNCTION("""COMPUTED_VALUE"""),0.0)</f>
        <v>0</v>
      </c>
      <c r="AE516" s="10">
        <f>IFERROR(__xludf.DUMMYFUNCTION("""COMPUTED_VALUE"""),0.0)</f>
        <v>0</v>
      </c>
      <c r="AF516" s="10">
        <f>IFERROR(__xludf.DUMMYFUNCTION("""COMPUTED_VALUE"""),0.0)</f>
        <v>0</v>
      </c>
      <c r="AG516" s="10">
        <f>IFERROR(__xludf.DUMMYFUNCTION("""COMPUTED_VALUE"""),8.0)</f>
        <v>8</v>
      </c>
      <c r="AH516" s="10">
        <f>IFERROR(__xludf.DUMMYFUNCTION("""COMPUTED_VALUE"""),0.0)</f>
        <v>0</v>
      </c>
      <c r="AI516" s="10">
        <f>IFERROR(__xludf.DUMMYFUNCTION("""COMPUTED_VALUE"""),9.0)</f>
        <v>9</v>
      </c>
      <c r="AJ516" s="11" t="str">
        <f>IFERROR(__xludf.DUMMYFUNCTION("""COMPUTED_VALUE"""),"https://drive.google.com/open?id=1dzUt0zi_ZosYGMZfZeVJ4Rrs5_VE6RHs")</f>
        <v>https://drive.google.com/open?id=1dzUt0zi_ZosYGMZfZeVJ4Rrs5_VE6RHs</v>
      </c>
      <c r="AK516" s="12"/>
      <c r="AL516" s="12" t="str">
        <f>IFERROR(__xludf.DUMMYFUNCTION("""COMPUTED_VALUE"""),"Yes")</f>
        <v>Yes</v>
      </c>
      <c r="AM516" s="15">
        <f>IFERROR(__xludf.DUMMYFUNCTION("""COMPUTED_VALUE"""),0.1)</f>
        <v>0.1</v>
      </c>
      <c r="AN516" s="12" t="str">
        <f>IFERROR(__xludf.DUMMYFUNCTION("""COMPUTED_VALUE"""),"3rd week")</f>
        <v>3rd week</v>
      </c>
      <c r="AO516" s="13">
        <v>3.0</v>
      </c>
      <c r="AX516" s="17"/>
    </row>
    <row r="517">
      <c r="B517" s="9">
        <f>IFERROR(__xludf.DUMMYFUNCTION("""COMPUTED_VALUE"""),45889.98332745371)</f>
        <v>45889.98333</v>
      </c>
      <c r="C517" s="10" t="str">
        <f>IFERROR(__xludf.DUMMYFUNCTION("""COMPUTED_VALUE"""),"Atiqa")</f>
        <v>Atiqa</v>
      </c>
      <c r="D517" s="10" t="str">
        <f>IFERROR(__xludf.DUMMYFUNCTION("""COMPUTED_VALUE"""),"03157519977")</f>
        <v>03157519977</v>
      </c>
      <c r="E517" s="10" t="str">
        <f>IFERROR(__xludf.DUMMYFUNCTION("""COMPUTED_VALUE"""),"Jamia Masjid Shahe Dera Nawab Shahab")</f>
        <v>Jamia Masjid Shahe Dera Nawab Shahab</v>
      </c>
      <c r="F517" s="10" t="str">
        <f>IFERROR(__xludf.DUMMYFUNCTION("""COMPUTED_VALUE"""),"njkni")</f>
        <v>njkni</v>
      </c>
      <c r="G517" s="10" t="str">
        <f>IFERROR(__xludf.DUMMYFUNCTION("""COMPUTED_VALUE"""),"No")</f>
        <v>No</v>
      </c>
      <c r="H517" s="10"/>
      <c r="I517" s="10"/>
      <c r="J517" s="10"/>
      <c r="K517" s="10">
        <f>IFERROR(__xludf.DUMMYFUNCTION("""COMPUTED_VALUE"""),0.0)</f>
        <v>0</v>
      </c>
      <c r="L517" s="10">
        <f>IFERROR(__xludf.DUMMYFUNCTION("""COMPUTED_VALUE"""),0.0)</f>
        <v>0</v>
      </c>
      <c r="M517" s="10">
        <f>IFERROR(__xludf.DUMMYFUNCTION("""COMPUTED_VALUE"""),0.0)</f>
        <v>0</v>
      </c>
      <c r="N517" s="10">
        <f>IFERROR(__xludf.DUMMYFUNCTION("""COMPUTED_VALUE"""),0.0)</f>
        <v>0</v>
      </c>
      <c r="O517" s="10">
        <f>IFERROR(__xludf.DUMMYFUNCTION("""COMPUTED_VALUE"""),0.0)</f>
        <v>0</v>
      </c>
      <c r="P517" s="10">
        <f>IFERROR(__xludf.DUMMYFUNCTION("""COMPUTED_VALUE"""),0.0)</f>
        <v>0</v>
      </c>
      <c r="Q517" s="10" t="str">
        <f>IFERROR(__xludf.DUMMYFUNCTION("""COMPUTED_VALUE"""),"No")</f>
        <v>No</v>
      </c>
      <c r="R517" s="10" t="str">
        <f>IFERROR(__xludf.DUMMYFUNCTION("""COMPUTED_VALUE"""),"No")</f>
        <v>No</v>
      </c>
      <c r="S517" s="10" t="str">
        <f>IFERROR(__xludf.DUMMYFUNCTION("""COMPUTED_VALUE"""),"No")</f>
        <v>No</v>
      </c>
      <c r="T517" s="10">
        <f>IFERROR(__xludf.DUMMYFUNCTION("""COMPUTED_VALUE"""),0.0)</f>
        <v>0</v>
      </c>
      <c r="U517" s="10">
        <f>IFERROR(__xludf.DUMMYFUNCTION("""COMPUTED_VALUE"""),0.0)</f>
        <v>0</v>
      </c>
      <c r="V517" s="10" t="str">
        <f>IFERROR(__xludf.DUMMYFUNCTION("""COMPUTED_VALUE"""),"اہل بیت کی شہادت کا پس منظر اور  کربلا کے میدان کی منظر کشی")</f>
        <v>اہل بیت کی شہادت کا پس منظر اور  کربلا کے میدان کی منظر کشی</v>
      </c>
      <c r="W517" s="10" t="str">
        <f>IFERROR(__xludf.DUMMYFUNCTION("""COMPUTED_VALUE"""),"دین کی سلامتی پر جان کا نظرانہ پیش کرنے پر مرتبہ بلند ہونا ۔ مدینہ میں موجود تین یہودی قبائل کا اپنے معاہدے سے مکرنا ۔ حضرت فاروق رضی اللہ تعالی عنہ حضرت عثمان غنی اور علی رضی اللہ تعالی عنہ کا دور خلافت کا عرصہ اور ان کی شہادت کا پیش انا ۔ کوفے والوں کے "&amp;"خط پ پر حسین رضی اللہ تعالی عالی عنہ کا مسلم بن عقیل کو سفیر بنا کر بھیجنا اور پھر مدینہ سے کربلا کی طرف روانگی کا ہونا ۔حسین رضی اللہ تعالی عنہا کا سجدے کی حالت میں شہادت حاصل کرنا ۔نماز کی ادائیگی کا کہا  ۔  اج کے معاشرے میں اذانوں کی اوازوں کو نظر اندا"&amp;"ز کرنا اور نماز کے لیے وقت نہ نکالنا اور موبائل میں مصروف رہنا ۔")</f>
        <v>دین کی سلامتی پر جان کا نظرانہ پیش کرنے پر مرتبہ بلند ہونا ۔ مدینہ میں موجود تین یہودی قبائل کا اپنے معاہدے سے مکرنا ۔ حضرت فاروق رضی اللہ تعالی عنہ حضرت عثمان غنی اور علی رضی اللہ تعالی عنہ کا دور خلافت کا عرصہ اور ان کی شہادت کا پیش انا ۔ کوفے والوں کے خط پ پر حسین رضی اللہ تعالی عالی عنہ کا مسلم بن عقیل کو سفیر بنا کر بھیجنا اور پھر مدینہ سے کربلا کی طرف روانگی کا ہونا ۔حسین رضی اللہ تعالی عنہا کا سجدے کی حالت میں شہادت حاصل کرنا ۔نماز کی ادائیگی کا کہا  ۔  اج کے معاشرے میں اذانوں کی اوازوں کو نظر انداز کرنا اور نماز کے لیے وقت نہ نکالنا اور موبائل میں مصروف رہنا ۔</v>
      </c>
      <c r="X517" s="10">
        <f>IFERROR(__xludf.DUMMYFUNCTION("""COMPUTED_VALUE"""),5.0)</f>
        <v>5</v>
      </c>
      <c r="Y517" s="10">
        <f>IFERROR(__xludf.DUMMYFUNCTION("""COMPUTED_VALUE"""),7.0)</f>
        <v>7</v>
      </c>
      <c r="Z517" s="10">
        <f>IFERROR(__xludf.DUMMYFUNCTION("""COMPUTED_VALUE"""),4.0)</f>
        <v>4</v>
      </c>
      <c r="AA517" s="10">
        <f>IFERROR(__xludf.DUMMYFUNCTION("""COMPUTED_VALUE"""),7.0)</f>
        <v>7</v>
      </c>
      <c r="AB517" s="10">
        <f>IFERROR(__xludf.DUMMYFUNCTION("""COMPUTED_VALUE"""),8.0)</f>
        <v>8</v>
      </c>
      <c r="AC517" s="10">
        <f>IFERROR(__xludf.DUMMYFUNCTION("""COMPUTED_VALUE"""),0.0)</f>
        <v>0</v>
      </c>
      <c r="AD517" s="10">
        <f>IFERROR(__xludf.DUMMYFUNCTION("""COMPUTED_VALUE"""),0.0)</f>
        <v>0</v>
      </c>
      <c r="AE517" s="10">
        <f>IFERROR(__xludf.DUMMYFUNCTION("""COMPUTED_VALUE"""),6.0)</f>
        <v>6</v>
      </c>
      <c r="AF517" s="10">
        <f>IFERROR(__xludf.DUMMYFUNCTION("""COMPUTED_VALUE"""),0.0)</f>
        <v>0</v>
      </c>
      <c r="AG517" s="10">
        <f>IFERROR(__xludf.DUMMYFUNCTION("""COMPUTED_VALUE"""),9.0)</f>
        <v>9</v>
      </c>
      <c r="AH517" s="10">
        <f>IFERROR(__xludf.DUMMYFUNCTION("""COMPUTED_VALUE"""),0.0)</f>
        <v>0</v>
      </c>
      <c r="AI517" s="10">
        <f>IFERROR(__xludf.DUMMYFUNCTION("""COMPUTED_VALUE"""),9.0)</f>
        <v>9</v>
      </c>
      <c r="AJ517" s="11" t="str">
        <f>IFERROR(__xludf.DUMMYFUNCTION("""COMPUTED_VALUE"""),"https://drive.google.com/open?id=1aJcmpKhrlSr_enDJ-myAjzHhhMW4LoJmuFg-Qu4txq8")</f>
        <v>https://drive.google.com/open?id=1aJcmpKhrlSr_enDJ-myAjzHhhMW4LoJmuFg-Qu4txq8</v>
      </c>
      <c r="AK517" s="12"/>
      <c r="AL517" s="12"/>
      <c r="AM517" s="12"/>
      <c r="AN517" s="12" t="str">
        <f>IFERROR(__xludf.DUMMYFUNCTION("""COMPUTED_VALUE"""),"1st week")</f>
        <v>1st week</v>
      </c>
      <c r="AO517" s="13">
        <v>1.0</v>
      </c>
      <c r="AX517" s="17"/>
    </row>
    <row r="518">
      <c r="B518" s="9">
        <f>IFERROR(__xludf.DUMMYFUNCTION("""COMPUTED_VALUE"""),45890.024074733796)</f>
        <v>45890.02407</v>
      </c>
      <c r="C518" s="10" t="str">
        <f>IFERROR(__xludf.DUMMYFUNCTION("""COMPUTED_VALUE"""),"Shahid Iqbal")</f>
        <v>Shahid Iqbal</v>
      </c>
      <c r="D518" s="10" t="str">
        <f>IFERROR(__xludf.DUMMYFUNCTION("""COMPUTED_VALUE"""),"03013665049")</f>
        <v>03013665049</v>
      </c>
      <c r="E518" s="10" t="str">
        <f>IFERROR(__xludf.DUMMYFUNCTION("""COMPUTED_VALUE"""),"Jamia Masjid Darbar Malah Quaid Shah Dera Ghazi Khan")</f>
        <v>Jamia Masjid Darbar Malah Quaid Shah Dera Ghazi Khan</v>
      </c>
      <c r="F518" s="10" t="str">
        <f>IFERROR(__xludf.DUMMYFUNCTION("""COMPUTED_VALUE"""),"vsrrf")</f>
        <v>vsrrf</v>
      </c>
      <c r="G518" s="10" t="str">
        <f>IFERROR(__xludf.DUMMYFUNCTION("""COMPUTED_VALUE"""),"Yes")</f>
        <v>Yes</v>
      </c>
      <c r="H518" s="10">
        <f>IFERROR(__xludf.DUMMYFUNCTION("""COMPUTED_VALUE"""),9.0)</f>
        <v>9</v>
      </c>
      <c r="I518" s="10">
        <f>IFERROR(__xludf.DUMMYFUNCTION("""COMPUTED_VALUE"""),1.0)</f>
        <v>1</v>
      </c>
      <c r="J518" s="10">
        <f>IFERROR(__xludf.DUMMYFUNCTION("""COMPUTED_VALUE"""),10.0)</f>
        <v>10</v>
      </c>
      <c r="K518" s="10">
        <f>IFERROR(__xludf.DUMMYFUNCTION("""COMPUTED_VALUE"""),0.0)</f>
        <v>0</v>
      </c>
      <c r="L518" s="10">
        <f>IFERROR(__xludf.DUMMYFUNCTION("""COMPUTED_VALUE"""),9.0)</f>
        <v>9</v>
      </c>
      <c r="M518" s="10">
        <f>IFERROR(__xludf.DUMMYFUNCTION("""COMPUTED_VALUE"""),0.0)</f>
        <v>0</v>
      </c>
      <c r="N518" s="10">
        <f>IFERROR(__xludf.DUMMYFUNCTION("""COMPUTED_VALUE"""),9.0)</f>
        <v>9</v>
      </c>
      <c r="O518" s="10">
        <f>IFERROR(__xludf.DUMMYFUNCTION("""COMPUTED_VALUE"""),0.0)</f>
        <v>0</v>
      </c>
      <c r="P518" s="10">
        <f>IFERROR(__xludf.DUMMYFUNCTION("""COMPUTED_VALUE"""),10.0)</f>
        <v>10</v>
      </c>
      <c r="Q518" s="10" t="str">
        <f>IFERROR(__xludf.DUMMYFUNCTION("""COMPUTED_VALUE"""),"No")</f>
        <v>No</v>
      </c>
      <c r="R518" s="10" t="str">
        <f>IFERROR(__xludf.DUMMYFUNCTION("""COMPUTED_VALUE"""),"Yes")</f>
        <v>Yes</v>
      </c>
      <c r="S518" s="10" t="str">
        <f>IFERROR(__xludf.DUMMYFUNCTION("""COMPUTED_VALUE"""),"No")</f>
        <v>No</v>
      </c>
      <c r="T518" s="10">
        <f>IFERROR(__xludf.DUMMYFUNCTION("""COMPUTED_VALUE"""),0.0)</f>
        <v>0</v>
      </c>
      <c r="U518" s="10">
        <f>IFERROR(__xludf.DUMMYFUNCTION("""COMPUTED_VALUE"""),0.0)</f>
        <v>0</v>
      </c>
      <c r="V518" s="10" t="str">
        <f>IFERROR(__xludf.DUMMYFUNCTION("""COMPUTED_VALUE"""),"Padosi k Haqooq")</f>
        <v>Padosi k Haqooq</v>
      </c>
      <c r="W518" s="10" t="str">
        <f>IFERROR(__xludf.DUMMYFUNCTION("""COMPUTED_VALUE"""),"islam ma padosi k haqooq aur safai suthrai ki ahmiat")</f>
        <v>islam ma padosi k haqooq aur safai suthrai ki ahmiat</v>
      </c>
      <c r="X518" s="10">
        <f>IFERROR(__xludf.DUMMYFUNCTION("""COMPUTED_VALUE"""),0.0)</f>
        <v>0</v>
      </c>
      <c r="Y518" s="10">
        <f>IFERROR(__xludf.DUMMYFUNCTION("""COMPUTED_VALUE"""),6.0)</f>
        <v>6</v>
      </c>
      <c r="Z518" s="10">
        <f>IFERROR(__xludf.DUMMYFUNCTION("""COMPUTED_VALUE"""),2.0)</f>
        <v>2</v>
      </c>
      <c r="AA518" s="10">
        <f>IFERROR(__xludf.DUMMYFUNCTION("""COMPUTED_VALUE"""),9.0)</f>
        <v>9</v>
      </c>
      <c r="AB518" s="10">
        <f>IFERROR(__xludf.DUMMYFUNCTION("""COMPUTED_VALUE"""),0.0)</f>
        <v>0</v>
      </c>
      <c r="AC518" s="10">
        <f>IFERROR(__xludf.DUMMYFUNCTION("""COMPUTED_VALUE"""),0.0)</f>
        <v>0</v>
      </c>
      <c r="AD518" s="10">
        <f>IFERROR(__xludf.DUMMYFUNCTION("""COMPUTED_VALUE"""),0.0)</f>
        <v>0</v>
      </c>
      <c r="AE518" s="10">
        <f>IFERROR(__xludf.DUMMYFUNCTION("""COMPUTED_VALUE"""),0.0)</f>
        <v>0</v>
      </c>
      <c r="AF518" s="10">
        <f>IFERROR(__xludf.DUMMYFUNCTION("""COMPUTED_VALUE"""),0.0)</f>
        <v>0</v>
      </c>
      <c r="AG518" s="10">
        <f>IFERROR(__xludf.DUMMYFUNCTION("""COMPUTED_VALUE"""),9.0)</f>
        <v>9</v>
      </c>
      <c r="AH518" s="10">
        <f>IFERROR(__xludf.DUMMYFUNCTION("""COMPUTED_VALUE"""),1.0)</f>
        <v>1</v>
      </c>
      <c r="AI518" s="10">
        <f>IFERROR(__xludf.DUMMYFUNCTION("""COMPUTED_VALUE"""),10.0)</f>
        <v>10</v>
      </c>
      <c r="AJ518" s="11" t="str">
        <f>IFERROR(__xludf.DUMMYFUNCTION("""COMPUTED_VALUE"""),"https://drive.google.com/open?id=1bfV8UucM0Tgqj7W9jQ91m8ICrs9Ed32q")</f>
        <v>https://drive.google.com/open?id=1bfV8UucM0Tgqj7W9jQ91m8ICrs9Ed32q</v>
      </c>
      <c r="AK518" s="12"/>
      <c r="AL518" s="12" t="str">
        <f>IFERROR(__xludf.DUMMYFUNCTION("""COMPUTED_VALUE"""),"Yes")</f>
        <v>Yes</v>
      </c>
      <c r="AM518" s="15">
        <f>IFERROR(__xludf.DUMMYFUNCTION("""COMPUTED_VALUE"""),0.9)</f>
        <v>0.9</v>
      </c>
      <c r="AN518" s="12" t="str">
        <f>IFERROR(__xludf.DUMMYFUNCTION("""COMPUTED_VALUE"""),"2nd week")</f>
        <v>2nd week</v>
      </c>
      <c r="AO518" s="13">
        <v>2.0</v>
      </c>
      <c r="AX518" s="17"/>
    </row>
    <row r="519">
      <c r="B519" s="9">
        <f>IFERROR(__xludf.DUMMYFUNCTION("""COMPUTED_VALUE"""),45890.03026230324)</f>
        <v>45890.03026</v>
      </c>
      <c r="C519" s="10" t="str">
        <f>IFERROR(__xludf.DUMMYFUNCTION("""COMPUTED_VALUE"""),"Shahid Iqbal")</f>
        <v>Shahid Iqbal</v>
      </c>
      <c r="D519" s="10" t="str">
        <f>IFERROR(__xludf.DUMMYFUNCTION("""COMPUTED_VALUE"""),"03013665049")</f>
        <v>03013665049</v>
      </c>
      <c r="E519" s="10" t="str">
        <f>IFERROR(__xludf.DUMMYFUNCTION("""COMPUTED_VALUE"""),"Jamia Masjid Anayat Shah Bhukari Layyah")</f>
        <v>Jamia Masjid Anayat Shah Bhukari Layyah</v>
      </c>
      <c r="F519" s="10" t="str">
        <f>IFERROR(__xludf.DUMMYFUNCTION("""COMPUTED_VALUE"""),"gydmp")</f>
        <v>gydmp</v>
      </c>
      <c r="G519" s="10" t="str">
        <f>IFERROR(__xludf.DUMMYFUNCTION("""COMPUTED_VALUE"""),"Yes")</f>
        <v>Yes</v>
      </c>
      <c r="H519" s="10">
        <f>IFERROR(__xludf.DUMMYFUNCTION("""COMPUTED_VALUE"""),0.0)</f>
        <v>0</v>
      </c>
      <c r="I519" s="10">
        <f>IFERROR(__xludf.DUMMYFUNCTION("""COMPUTED_VALUE"""),10.0)</f>
        <v>10</v>
      </c>
      <c r="J519" s="10">
        <f>IFERROR(__xludf.DUMMYFUNCTION("""COMPUTED_VALUE"""),0.0)</f>
        <v>0</v>
      </c>
      <c r="K519" s="10">
        <f>IFERROR(__xludf.DUMMYFUNCTION("""COMPUTED_VALUE"""),0.0)</f>
        <v>0</v>
      </c>
      <c r="L519" s="10">
        <f>IFERROR(__xludf.DUMMYFUNCTION("""COMPUTED_VALUE"""),0.0)</f>
        <v>0</v>
      </c>
      <c r="M519" s="10">
        <f>IFERROR(__xludf.DUMMYFUNCTION("""COMPUTED_VALUE"""),0.0)</f>
        <v>0</v>
      </c>
      <c r="N519" s="10">
        <f>IFERROR(__xludf.DUMMYFUNCTION("""COMPUTED_VALUE"""),0.0)</f>
        <v>0</v>
      </c>
      <c r="O519" s="10">
        <f>IFERROR(__xludf.DUMMYFUNCTION("""COMPUTED_VALUE"""),0.0)</f>
        <v>0</v>
      </c>
      <c r="P519" s="10">
        <f>IFERROR(__xludf.DUMMYFUNCTION("""COMPUTED_VALUE"""),0.0)</f>
        <v>0</v>
      </c>
      <c r="Q519" s="10" t="str">
        <f>IFERROR(__xludf.DUMMYFUNCTION("""COMPUTED_VALUE"""),"No")</f>
        <v>No</v>
      </c>
      <c r="R519" s="10" t="str">
        <f>IFERROR(__xludf.DUMMYFUNCTION("""COMPUTED_VALUE"""),"No")</f>
        <v>No</v>
      </c>
      <c r="S519" s="10" t="str">
        <f>IFERROR(__xludf.DUMMYFUNCTION("""COMPUTED_VALUE"""),"No")</f>
        <v>No</v>
      </c>
      <c r="T519" s="10">
        <f>IFERROR(__xludf.DUMMYFUNCTION("""COMPUTED_VALUE"""),0.0)</f>
        <v>0</v>
      </c>
      <c r="U519" s="10">
        <f>IFERROR(__xludf.DUMMYFUNCTION("""COMPUTED_VALUE"""),0.0)</f>
        <v>0</v>
      </c>
      <c r="V519" s="10" t="str">
        <f>IFERROR(__xludf.DUMMYFUNCTION("""COMPUTED_VALUE"""),"youm e azadi 14th August")</f>
        <v>youm e azadi 14th August</v>
      </c>
      <c r="W519" s="10" t="str">
        <f>IFERROR(__xludf.DUMMYFUNCTION("""COMPUTED_VALUE"""),"youm e azadi 14th August aur pakistan se hub ul watni")</f>
        <v>youm e azadi 14th August aur pakistan se hub ul watni</v>
      </c>
      <c r="X519" s="10">
        <f>IFERROR(__xludf.DUMMYFUNCTION("""COMPUTED_VALUE"""),0.0)</f>
        <v>0</v>
      </c>
      <c r="Y519" s="10">
        <f>IFERROR(__xludf.DUMMYFUNCTION("""COMPUTED_VALUE"""),5.0)</f>
        <v>5</v>
      </c>
      <c r="Z519" s="10">
        <f>IFERROR(__xludf.DUMMYFUNCTION("""COMPUTED_VALUE"""),5.0)</f>
        <v>5</v>
      </c>
      <c r="AA519" s="10">
        <f>IFERROR(__xludf.DUMMYFUNCTION("""COMPUTED_VALUE"""),2.0)</f>
        <v>2</v>
      </c>
      <c r="AB519" s="10">
        <f>IFERROR(__xludf.DUMMYFUNCTION("""COMPUTED_VALUE"""),6.0)</f>
        <v>6</v>
      </c>
      <c r="AC519" s="10">
        <f>IFERROR(__xludf.DUMMYFUNCTION("""COMPUTED_VALUE"""),5.0)</f>
        <v>5</v>
      </c>
      <c r="AD519" s="10">
        <f>IFERROR(__xludf.DUMMYFUNCTION("""COMPUTED_VALUE"""),2.0)</f>
        <v>2</v>
      </c>
      <c r="AE519" s="10">
        <f>IFERROR(__xludf.DUMMYFUNCTION("""COMPUTED_VALUE"""),0.0)</f>
        <v>0</v>
      </c>
      <c r="AF519" s="10">
        <f>IFERROR(__xludf.DUMMYFUNCTION("""COMPUTED_VALUE"""),0.0)</f>
        <v>0</v>
      </c>
      <c r="AG519" s="10">
        <f>IFERROR(__xludf.DUMMYFUNCTION("""COMPUTED_VALUE"""),9.0)</f>
        <v>9</v>
      </c>
      <c r="AH519" s="10">
        <f>IFERROR(__xludf.DUMMYFUNCTION("""COMPUTED_VALUE"""),0.0)</f>
        <v>0</v>
      </c>
      <c r="AI519" s="10">
        <f>IFERROR(__xludf.DUMMYFUNCTION("""COMPUTED_VALUE"""),10.0)</f>
        <v>10</v>
      </c>
      <c r="AJ519" s="11" t="str">
        <f>IFERROR(__xludf.DUMMYFUNCTION("""COMPUTED_VALUE"""),"https://drive.google.com/open?id=1T-xcoPeYbaGKgZ3IomOv1bbKszjolkj6")</f>
        <v>https://drive.google.com/open?id=1T-xcoPeYbaGKgZ3IomOv1bbKszjolkj6</v>
      </c>
      <c r="AK519" s="12"/>
      <c r="AL519" s="12" t="str">
        <f>IFERROR(__xludf.DUMMYFUNCTION("""COMPUTED_VALUE"""),"Yes")</f>
        <v>Yes</v>
      </c>
      <c r="AM519" s="15">
        <f>IFERROR(__xludf.DUMMYFUNCTION("""COMPUTED_VALUE"""),0.0)</f>
        <v>0</v>
      </c>
      <c r="AN519" s="12" t="str">
        <f>IFERROR(__xludf.DUMMYFUNCTION("""COMPUTED_VALUE"""),"3rd week")</f>
        <v>3rd week</v>
      </c>
      <c r="AO519" s="13">
        <v>3.0</v>
      </c>
      <c r="AX519" s="17"/>
    </row>
    <row r="520">
      <c r="B520" s="9">
        <f>IFERROR(__xludf.DUMMYFUNCTION("""COMPUTED_VALUE"""),45890.033899699076)</f>
        <v>45890.0339</v>
      </c>
      <c r="C520" s="10" t="str">
        <f>IFERROR(__xludf.DUMMYFUNCTION("""COMPUTED_VALUE"""),"Shahid Iqbal")</f>
        <v>Shahid Iqbal</v>
      </c>
      <c r="D520" s="10" t="str">
        <f>IFERROR(__xludf.DUMMYFUNCTION("""COMPUTED_VALUE"""),"03013665049")</f>
        <v>03013665049</v>
      </c>
      <c r="E520" s="10" t="str">
        <f>IFERROR(__xludf.DUMMYFUNCTION("""COMPUTED_VALUE"""),"Jamia Masjid Darbar Shamsher Shah Safri Layyah")</f>
        <v>Jamia Masjid Darbar Shamsher Shah Safri Layyah</v>
      </c>
      <c r="F520" s="10" t="str">
        <f>IFERROR(__xludf.DUMMYFUNCTION("""COMPUTED_VALUE"""),"ityep")</f>
        <v>ityep</v>
      </c>
      <c r="G520" s="10" t="str">
        <f>IFERROR(__xludf.DUMMYFUNCTION("""COMPUTED_VALUE"""),"Yes")</f>
        <v>Yes</v>
      </c>
      <c r="H520" s="10">
        <f>IFERROR(__xludf.DUMMYFUNCTION("""COMPUTED_VALUE"""),10.0)</f>
        <v>10</v>
      </c>
      <c r="I520" s="10">
        <f>IFERROR(__xludf.DUMMYFUNCTION("""COMPUTED_VALUE"""),0.0)</f>
        <v>0</v>
      </c>
      <c r="J520" s="10">
        <f>IFERROR(__xludf.DUMMYFUNCTION("""COMPUTED_VALUE"""),9.0)</f>
        <v>9</v>
      </c>
      <c r="K520" s="10">
        <f>IFERROR(__xludf.DUMMYFUNCTION("""COMPUTED_VALUE"""),10.0)</f>
        <v>10</v>
      </c>
      <c r="L520" s="10">
        <f>IFERROR(__xludf.DUMMYFUNCTION("""COMPUTED_VALUE"""),0.0)</f>
        <v>0</v>
      </c>
      <c r="M520" s="10">
        <f>IFERROR(__xludf.DUMMYFUNCTION("""COMPUTED_VALUE"""),10.0)</f>
        <v>10</v>
      </c>
      <c r="N520" s="10">
        <f>IFERROR(__xludf.DUMMYFUNCTION("""COMPUTED_VALUE"""),0.0)</f>
        <v>0</v>
      </c>
      <c r="O520" s="10">
        <f>IFERROR(__xludf.DUMMYFUNCTION("""COMPUTED_VALUE"""),10.0)</f>
        <v>10</v>
      </c>
      <c r="P520" s="10">
        <f>IFERROR(__xludf.DUMMYFUNCTION("""COMPUTED_VALUE"""),0.0)</f>
        <v>0</v>
      </c>
      <c r="Q520" s="10" t="str">
        <f>IFERROR(__xludf.DUMMYFUNCTION("""COMPUTED_VALUE"""),"Yes")</f>
        <v>Yes</v>
      </c>
      <c r="R520" s="10" t="str">
        <f>IFERROR(__xludf.DUMMYFUNCTION("""COMPUTED_VALUE"""),"No")</f>
        <v>No</v>
      </c>
      <c r="S520" s="10" t="str">
        <f>IFERROR(__xludf.DUMMYFUNCTION("""COMPUTED_VALUE"""),"Yes")</f>
        <v>Yes</v>
      </c>
      <c r="T520" s="10">
        <f>IFERROR(__xludf.DUMMYFUNCTION("""COMPUTED_VALUE"""),0.0)</f>
        <v>0</v>
      </c>
      <c r="U520" s="10">
        <f>IFERROR(__xludf.DUMMYFUNCTION("""COMPUTED_VALUE"""),0.0)</f>
        <v>0</v>
      </c>
      <c r="V520" s="10" t="str">
        <f>IFERROR(__xludf.DUMMYFUNCTION("""COMPUTED_VALUE"""),"women rights in islam")</f>
        <v>women rights in islam</v>
      </c>
      <c r="W520" s="10" t="str">
        <f>IFERROR(__xludf.DUMMYFUNCTION("""COMPUTED_VALUE"""),"women rights in islam")</f>
        <v>women rights in islam</v>
      </c>
      <c r="X520" s="10">
        <f>IFERROR(__xludf.DUMMYFUNCTION("""COMPUTED_VALUE"""),1.0)</f>
        <v>1</v>
      </c>
      <c r="Y520" s="10">
        <f>IFERROR(__xludf.DUMMYFUNCTION("""COMPUTED_VALUE"""),3.0)</f>
        <v>3</v>
      </c>
      <c r="Z520" s="10">
        <f>IFERROR(__xludf.DUMMYFUNCTION("""COMPUTED_VALUE"""),3.0)</f>
        <v>3</v>
      </c>
      <c r="AA520" s="10">
        <f>IFERROR(__xludf.DUMMYFUNCTION("""COMPUTED_VALUE"""),9.0)</f>
        <v>9</v>
      </c>
      <c r="AB520" s="10">
        <f>IFERROR(__xludf.DUMMYFUNCTION("""COMPUTED_VALUE"""),2.0)</f>
        <v>2</v>
      </c>
      <c r="AC520" s="10">
        <f>IFERROR(__xludf.DUMMYFUNCTION("""COMPUTED_VALUE"""),0.0)</f>
        <v>0</v>
      </c>
      <c r="AD520" s="10">
        <f>IFERROR(__xludf.DUMMYFUNCTION("""COMPUTED_VALUE"""),0.0)</f>
        <v>0</v>
      </c>
      <c r="AE520" s="10">
        <f>IFERROR(__xludf.DUMMYFUNCTION("""COMPUTED_VALUE"""),0.0)</f>
        <v>0</v>
      </c>
      <c r="AF520" s="10">
        <f>IFERROR(__xludf.DUMMYFUNCTION("""COMPUTED_VALUE"""),0.0)</f>
        <v>0</v>
      </c>
      <c r="AG520" s="10">
        <f>IFERROR(__xludf.DUMMYFUNCTION("""COMPUTED_VALUE"""),9.0)</f>
        <v>9</v>
      </c>
      <c r="AH520" s="10">
        <f>IFERROR(__xludf.DUMMYFUNCTION("""COMPUTED_VALUE"""),0.0)</f>
        <v>0</v>
      </c>
      <c r="AI520" s="10">
        <f>IFERROR(__xludf.DUMMYFUNCTION("""COMPUTED_VALUE"""),9.0)</f>
        <v>9</v>
      </c>
      <c r="AJ520" s="11" t="str">
        <f>IFERROR(__xludf.DUMMYFUNCTION("""COMPUTED_VALUE"""),"https://drive.google.com/open?id=1ZtlCsADtO-Yy_N12hKu2SKkySH-lEp7x")</f>
        <v>https://drive.google.com/open?id=1ZtlCsADtO-Yy_N12hKu2SKkySH-lEp7x</v>
      </c>
      <c r="AK520" s="12"/>
      <c r="AL520" s="12" t="str">
        <f>IFERROR(__xludf.DUMMYFUNCTION("""COMPUTED_VALUE"""),"Yes")</f>
        <v>Yes</v>
      </c>
      <c r="AM520" s="15">
        <f>IFERROR(__xludf.DUMMYFUNCTION("""COMPUTED_VALUE"""),1.0)</f>
        <v>1</v>
      </c>
      <c r="AN520" s="12" t="str">
        <f>IFERROR(__xludf.DUMMYFUNCTION("""COMPUTED_VALUE"""),"3rd week")</f>
        <v>3rd week</v>
      </c>
      <c r="AO520" s="13">
        <v>3.0</v>
      </c>
      <c r="AX520" s="17"/>
    </row>
    <row r="521">
      <c r="B521" s="9">
        <f>IFERROR(__xludf.DUMMYFUNCTION("""COMPUTED_VALUE"""),45890.09330987268)</f>
        <v>45890.09331</v>
      </c>
      <c r="C521" s="10" t="str">
        <f>IFERROR(__xludf.DUMMYFUNCTION("""COMPUTED_VALUE"""),"Shahid Iqbal")</f>
        <v>Shahid Iqbal</v>
      </c>
      <c r="D521" s="10" t="str">
        <f>IFERROR(__xludf.DUMMYFUNCTION("""COMPUTED_VALUE"""),"03013665049")</f>
        <v>03013665049</v>
      </c>
      <c r="E521" s="10" t="str">
        <f>IFERROR(__xludf.DUMMYFUNCTION("""COMPUTED_VALUE"""),"Jamia Masjid Darbar Saki Shah Habib Layyah")</f>
        <v>Jamia Masjid Darbar Saki Shah Habib Layyah</v>
      </c>
      <c r="F521" s="10" t="str">
        <f>IFERROR(__xludf.DUMMYFUNCTION("""COMPUTED_VALUE"""),"tjbax")</f>
        <v>tjbax</v>
      </c>
      <c r="G521" s="10" t="str">
        <f>IFERROR(__xludf.DUMMYFUNCTION("""COMPUTED_VALUE"""),"Yes")</f>
        <v>Yes</v>
      </c>
      <c r="H521" s="10">
        <f>IFERROR(__xludf.DUMMYFUNCTION("""COMPUTED_VALUE"""),0.0)</f>
        <v>0</v>
      </c>
      <c r="I521" s="10">
        <f>IFERROR(__xludf.DUMMYFUNCTION("""COMPUTED_VALUE"""),10.0)</f>
        <v>10</v>
      </c>
      <c r="J521" s="10">
        <f>IFERROR(__xludf.DUMMYFUNCTION("""COMPUTED_VALUE"""),0.0)</f>
        <v>0</v>
      </c>
      <c r="K521" s="10">
        <f>IFERROR(__xludf.DUMMYFUNCTION("""COMPUTED_VALUE"""),0.0)</f>
        <v>0</v>
      </c>
      <c r="L521" s="10">
        <f>IFERROR(__xludf.DUMMYFUNCTION("""COMPUTED_VALUE"""),0.0)</f>
        <v>0</v>
      </c>
      <c r="M521" s="10">
        <f>IFERROR(__xludf.DUMMYFUNCTION("""COMPUTED_VALUE"""),0.0)</f>
        <v>0</v>
      </c>
      <c r="N521" s="10">
        <f>IFERROR(__xludf.DUMMYFUNCTION("""COMPUTED_VALUE"""),0.0)</f>
        <v>0</v>
      </c>
      <c r="O521" s="10">
        <f>IFERROR(__xludf.DUMMYFUNCTION("""COMPUTED_VALUE"""),0.0)</f>
        <v>0</v>
      </c>
      <c r="P521" s="10">
        <f>IFERROR(__xludf.DUMMYFUNCTION("""COMPUTED_VALUE"""),0.0)</f>
        <v>0</v>
      </c>
      <c r="Q521" s="10" t="str">
        <f>IFERROR(__xludf.DUMMYFUNCTION("""COMPUTED_VALUE"""),"No")</f>
        <v>No</v>
      </c>
      <c r="R521" s="10" t="str">
        <f>IFERROR(__xludf.DUMMYFUNCTION("""COMPUTED_VALUE"""),"No")</f>
        <v>No</v>
      </c>
      <c r="S521" s="10" t="str">
        <f>IFERROR(__xludf.DUMMYFUNCTION("""COMPUTED_VALUE"""),"No")</f>
        <v>No</v>
      </c>
      <c r="T521" s="10">
        <f>IFERROR(__xludf.DUMMYFUNCTION("""COMPUTED_VALUE"""),0.0)</f>
        <v>0</v>
      </c>
      <c r="U521" s="10">
        <f>IFERROR(__xludf.DUMMYFUNCTION("""COMPUTED_VALUE"""),0.0)</f>
        <v>0</v>
      </c>
      <c r="V521" s="10" t="str">
        <f>IFERROR(__xludf.DUMMYFUNCTION("""COMPUTED_VALUE"""),"Allah ki ibadat")</f>
        <v>Allah ki ibadat</v>
      </c>
      <c r="W521" s="10" t="str">
        <f>IFERROR(__xludf.DUMMYFUNCTION("""COMPUTED_VALUE"""),"Allah ki itaat aur ziker krny se insan dunya aur akhirat ma kamyab hojata hai")</f>
        <v>Allah ki itaat aur ziker krny se insan dunya aur akhirat ma kamyab hojata hai</v>
      </c>
      <c r="X521" s="10">
        <f>IFERROR(__xludf.DUMMYFUNCTION("""COMPUTED_VALUE"""),8.0)</f>
        <v>8</v>
      </c>
      <c r="Y521" s="10">
        <f>IFERROR(__xludf.DUMMYFUNCTION("""COMPUTED_VALUE"""),2.0)</f>
        <v>2</v>
      </c>
      <c r="Z521" s="10">
        <f>IFERROR(__xludf.DUMMYFUNCTION("""COMPUTED_VALUE"""),2.0)</f>
        <v>2</v>
      </c>
      <c r="AA521" s="10">
        <f>IFERROR(__xludf.DUMMYFUNCTION("""COMPUTED_VALUE"""),10.0)</f>
        <v>10</v>
      </c>
      <c r="AB521" s="10">
        <f>IFERROR(__xludf.DUMMYFUNCTION("""COMPUTED_VALUE"""),1.0)</f>
        <v>1</v>
      </c>
      <c r="AC521" s="10">
        <f>IFERROR(__xludf.DUMMYFUNCTION("""COMPUTED_VALUE"""),1.0)</f>
        <v>1</v>
      </c>
      <c r="AD521" s="10">
        <f>IFERROR(__xludf.DUMMYFUNCTION("""COMPUTED_VALUE"""),0.0)</f>
        <v>0</v>
      </c>
      <c r="AE521" s="10">
        <f>IFERROR(__xludf.DUMMYFUNCTION("""COMPUTED_VALUE"""),0.0)</f>
        <v>0</v>
      </c>
      <c r="AF521" s="10">
        <f>IFERROR(__xludf.DUMMYFUNCTION("""COMPUTED_VALUE"""),0.0)</f>
        <v>0</v>
      </c>
      <c r="AG521" s="10">
        <f>IFERROR(__xludf.DUMMYFUNCTION("""COMPUTED_VALUE"""),9.0)</f>
        <v>9</v>
      </c>
      <c r="AH521" s="10">
        <f>IFERROR(__xludf.DUMMYFUNCTION("""COMPUTED_VALUE"""),0.0)</f>
        <v>0</v>
      </c>
      <c r="AI521" s="10">
        <f>IFERROR(__xludf.DUMMYFUNCTION("""COMPUTED_VALUE"""),10.0)</f>
        <v>10</v>
      </c>
      <c r="AJ521" s="11" t="str">
        <f>IFERROR(__xludf.DUMMYFUNCTION("""COMPUTED_VALUE"""),"https://drive.google.com/open?id=1FT6oUgtr0Digjfkxhg7ZuYI6kha2ggoR")</f>
        <v>https://drive.google.com/open?id=1FT6oUgtr0Digjfkxhg7ZuYI6kha2ggoR</v>
      </c>
      <c r="AK521" s="12"/>
      <c r="AL521" s="12" t="str">
        <f>IFERROR(__xludf.DUMMYFUNCTION("""COMPUTED_VALUE"""),"Yes")</f>
        <v>Yes</v>
      </c>
      <c r="AM521" s="15">
        <f>IFERROR(__xludf.DUMMYFUNCTION("""COMPUTED_VALUE"""),0.0)</f>
        <v>0</v>
      </c>
      <c r="AN521" s="12" t="str">
        <f>IFERROR(__xludf.DUMMYFUNCTION("""COMPUTED_VALUE"""),"3rd week")</f>
        <v>3rd week</v>
      </c>
      <c r="AO521" s="13">
        <v>3.0</v>
      </c>
      <c r="AX521" s="17"/>
    </row>
    <row r="522">
      <c r="B522" s="9">
        <f>IFERROR(__xludf.DUMMYFUNCTION("""COMPUTED_VALUE"""),45890.09831936343)</f>
        <v>45890.09832</v>
      </c>
      <c r="C522" s="10" t="str">
        <f>IFERROR(__xludf.DUMMYFUNCTION("""COMPUTED_VALUE"""),"Shahid Iqbal")</f>
        <v>Shahid Iqbal</v>
      </c>
      <c r="D522" s="10" t="str">
        <f>IFERROR(__xludf.DUMMYFUNCTION("""COMPUTED_VALUE"""),"03013665049")</f>
        <v>03013665049</v>
      </c>
      <c r="E522" s="10" t="str">
        <f>IFERROR(__xludf.DUMMYFUNCTION("""COMPUTED_VALUE"""),"Jamia Masjid Peer Mubarak Ali Shah Multan")</f>
        <v>Jamia Masjid Peer Mubarak Ali Shah Multan</v>
      </c>
      <c r="F522" s="10" t="str">
        <f>IFERROR(__xludf.DUMMYFUNCTION("""COMPUTED_VALUE"""),"dqmjv")</f>
        <v>dqmjv</v>
      </c>
      <c r="G522" s="10" t="str">
        <f>IFERROR(__xludf.DUMMYFUNCTION("""COMPUTED_VALUE"""),"Yes")</f>
        <v>Yes</v>
      </c>
      <c r="H522" s="10">
        <f>IFERROR(__xludf.DUMMYFUNCTION("""COMPUTED_VALUE"""),0.0)</f>
        <v>0</v>
      </c>
      <c r="I522" s="10">
        <f>IFERROR(__xludf.DUMMYFUNCTION("""COMPUTED_VALUE"""),10.0)</f>
        <v>10</v>
      </c>
      <c r="J522" s="10">
        <f>IFERROR(__xludf.DUMMYFUNCTION("""COMPUTED_VALUE"""),0.0)</f>
        <v>0</v>
      </c>
      <c r="K522" s="10">
        <f>IFERROR(__xludf.DUMMYFUNCTION("""COMPUTED_VALUE"""),0.0)</f>
        <v>0</v>
      </c>
      <c r="L522" s="10">
        <f>IFERROR(__xludf.DUMMYFUNCTION("""COMPUTED_VALUE"""),0.0)</f>
        <v>0</v>
      </c>
      <c r="M522" s="10">
        <f>IFERROR(__xludf.DUMMYFUNCTION("""COMPUTED_VALUE"""),0.0)</f>
        <v>0</v>
      </c>
      <c r="N522" s="10">
        <f>IFERROR(__xludf.DUMMYFUNCTION("""COMPUTED_VALUE"""),0.0)</f>
        <v>0</v>
      </c>
      <c r="O522" s="10">
        <f>IFERROR(__xludf.DUMMYFUNCTION("""COMPUTED_VALUE"""),0.0)</f>
        <v>0</v>
      </c>
      <c r="P522" s="10">
        <f>IFERROR(__xludf.DUMMYFUNCTION("""COMPUTED_VALUE"""),0.0)</f>
        <v>0</v>
      </c>
      <c r="Q522" s="10" t="str">
        <f>IFERROR(__xludf.DUMMYFUNCTION("""COMPUTED_VALUE"""),"No")</f>
        <v>No</v>
      </c>
      <c r="R522" s="10" t="str">
        <f>IFERROR(__xludf.DUMMYFUNCTION("""COMPUTED_VALUE"""),"No")</f>
        <v>No</v>
      </c>
      <c r="S522" s="10" t="str">
        <f>IFERROR(__xludf.DUMMYFUNCTION("""COMPUTED_VALUE"""),"No")</f>
        <v>No</v>
      </c>
      <c r="T522" s="10">
        <f>IFERROR(__xludf.DUMMYFUNCTION("""COMPUTED_VALUE"""),0.0)</f>
        <v>0</v>
      </c>
      <c r="U522" s="10">
        <f>IFERROR(__xludf.DUMMYFUNCTION("""COMPUTED_VALUE"""),0.0)</f>
        <v>0</v>
      </c>
      <c r="V522" s="10" t="str">
        <f>IFERROR(__xludf.DUMMYFUNCTION("""COMPUTED_VALUE"""),"Aulia e ikram ka zikar Kiya he")</f>
        <v>Aulia e ikram ka zikar Kiya he</v>
      </c>
      <c r="W522" s="10" t="str">
        <f>IFERROR(__xludf.DUMMYFUNCTION("""COMPUTED_VALUE"""),"Aulia e ikram kramat e fazilat ko biyan Kiya he")</f>
        <v>Aulia e ikram kramat e fazilat ko biyan Kiya he</v>
      </c>
      <c r="X522" s="10">
        <f>IFERROR(__xludf.DUMMYFUNCTION("""COMPUTED_VALUE"""),5.0)</f>
        <v>5</v>
      </c>
      <c r="Y522" s="10">
        <f>IFERROR(__xludf.DUMMYFUNCTION("""COMPUTED_VALUE"""),6.0)</f>
        <v>6</v>
      </c>
      <c r="Z522" s="10">
        <f>IFERROR(__xludf.DUMMYFUNCTION("""COMPUTED_VALUE"""),5.0)</f>
        <v>5</v>
      </c>
      <c r="AA522" s="10">
        <f>IFERROR(__xludf.DUMMYFUNCTION("""COMPUTED_VALUE"""),8.0)</f>
        <v>8</v>
      </c>
      <c r="AB522" s="10">
        <f>IFERROR(__xludf.DUMMYFUNCTION("""COMPUTED_VALUE"""),5.0)</f>
        <v>5</v>
      </c>
      <c r="AC522" s="10">
        <f>IFERROR(__xludf.DUMMYFUNCTION("""COMPUTED_VALUE"""),2.0)</f>
        <v>2</v>
      </c>
      <c r="AD522" s="10">
        <f>IFERROR(__xludf.DUMMYFUNCTION("""COMPUTED_VALUE"""),0.0)</f>
        <v>0</v>
      </c>
      <c r="AE522" s="10">
        <f>IFERROR(__xludf.DUMMYFUNCTION("""COMPUTED_VALUE"""),0.0)</f>
        <v>0</v>
      </c>
      <c r="AF522" s="10">
        <f>IFERROR(__xludf.DUMMYFUNCTION("""COMPUTED_VALUE"""),1.0)</f>
        <v>1</v>
      </c>
      <c r="AG522" s="10">
        <f>IFERROR(__xludf.DUMMYFUNCTION("""COMPUTED_VALUE"""),9.0)</f>
        <v>9</v>
      </c>
      <c r="AH522" s="10">
        <f>IFERROR(__xludf.DUMMYFUNCTION("""COMPUTED_VALUE"""),0.0)</f>
        <v>0</v>
      </c>
      <c r="AI522" s="10">
        <f>IFERROR(__xludf.DUMMYFUNCTION("""COMPUTED_VALUE"""),10.0)</f>
        <v>10</v>
      </c>
      <c r="AJ522" s="11" t="str">
        <f>IFERROR(__xludf.DUMMYFUNCTION("""COMPUTED_VALUE"""),"https://drive.google.com/open?id=1QwAD7T_b5uvDbv55ZP4lXHpqcxk1wp2Q")</f>
        <v>https://drive.google.com/open?id=1QwAD7T_b5uvDbv55ZP4lXHpqcxk1wp2Q</v>
      </c>
      <c r="AK522" s="12"/>
      <c r="AL522" s="12" t="str">
        <f>IFERROR(__xludf.DUMMYFUNCTION("""COMPUTED_VALUE"""),"Yes")</f>
        <v>Yes</v>
      </c>
      <c r="AM522" s="15">
        <f>IFERROR(__xludf.DUMMYFUNCTION("""COMPUTED_VALUE"""),0.0)</f>
        <v>0</v>
      </c>
      <c r="AN522" s="12" t="str">
        <f>IFERROR(__xludf.DUMMYFUNCTION("""COMPUTED_VALUE"""),"3rd week")</f>
        <v>3rd week</v>
      </c>
      <c r="AO522" s="13">
        <v>3.0</v>
      </c>
      <c r="AX522" s="17"/>
    </row>
    <row r="523">
      <c r="B523" s="9">
        <f>IFERROR(__xludf.DUMMYFUNCTION("""COMPUTED_VALUE"""),45890.100522465276)</f>
        <v>45890.10052</v>
      </c>
      <c r="C523" s="10" t="str">
        <f>IFERROR(__xludf.DUMMYFUNCTION("""COMPUTED_VALUE"""),"Shahid Iqbal")</f>
        <v>Shahid Iqbal</v>
      </c>
      <c r="D523" s="10" t="str">
        <f>IFERROR(__xludf.DUMMYFUNCTION("""COMPUTED_VALUE"""),"03013665049")</f>
        <v>03013665049</v>
      </c>
      <c r="E523" s="10" t="str">
        <f>IFERROR(__xludf.DUMMYFUNCTION("""COMPUTED_VALUE"""),"Jamia Masjid Kumhaar Mandi Multan")</f>
        <v>Jamia Masjid Kumhaar Mandi Multan</v>
      </c>
      <c r="F523" s="10" t="str">
        <f>IFERROR(__xludf.DUMMYFUNCTION("""COMPUTED_VALUE"""),"hkceb")</f>
        <v>hkceb</v>
      </c>
      <c r="G523" s="10" t="str">
        <f>IFERROR(__xludf.DUMMYFUNCTION("""COMPUTED_VALUE"""),"Yes")</f>
        <v>Yes</v>
      </c>
      <c r="H523" s="10">
        <f>IFERROR(__xludf.DUMMYFUNCTION("""COMPUTED_VALUE"""),0.0)</f>
        <v>0</v>
      </c>
      <c r="I523" s="10">
        <f>IFERROR(__xludf.DUMMYFUNCTION("""COMPUTED_VALUE"""),10.0)</f>
        <v>10</v>
      </c>
      <c r="J523" s="10">
        <f>IFERROR(__xludf.DUMMYFUNCTION("""COMPUTED_VALUE"""),0.0)</f>
        <v>0</v>
      </c>
      <c r="K523" s="10">
        <f>IFERROR(__xludf.DUMMYFUNCTION("""COMPUTED_VALUE"""),0.0)</f>
        <v>0</v>
      </c>
      <c r="L523" s="10">
        <f>IFERROR(__xludf.DUMMYFUNCTION("""COMPUTED_VALUE"""),0.0)</f>
        <v>0</v>
      </c>
      <c r="M523" s="10">
        <f>IFERROR(__xludf.DUMMYFUNCTION("""COMPUTED_VALUE"""),0.0)</f>
        <v>0</v>
      </c>
      <c r="N523" s="10">
        <f>IFERROR(__xludf.DUMMYFUNCTION("""COMPUTED_VALUE"""),0.0)</f>
        <v>0</v>
      </c>
      <c r="O523" s="10">
        <f>IFERROR(__xludf.DUMMYFUNCTION("""COMPUTED_VALUE"""),0.0)</f>
        <v>0</v>
      </c>
      <c r="P523" s="10">
        <f>IFERROR(__xludf.DUMMYFUNCTION("""COMPUTED_VALUE"""),0.0)</f>
        <v>0</v>
      </c>
      <c r="Q523" s="10" t="str">
        <f>IFERROR(__xludf.DUMMYFUNCTION("""COMPUTED_VALUE"""),"No")</f>
        <v>No</v>
      </c>
      <c r="R523" s="10" t="str">
        <f>IFERROR(__xludf.DUMMYFUNCTION("""COMPUTED_VALUE"""),"No")</f>
        <v>No</v>
      </c>
      <c r="S523" s="10" t="str">
        <f>IFERROR(__xludf.DUMMYFUNCTION("""COMPUTED_VALUE"""),"No")</f>
        <v>No</v>
      </c>
      <c r="T523" s="10">
        <f>IFERROR(__xludf.DUMMYFUNCTION("""COMPUTED_VALUE"""),0.0)</f>
        <v>0</v>
      </c>
      <c r="U523" s="10">
        <f>IFERROR(__xludf.DUMMYFUNCTION("""COMPUTED_VALUE"""),0.0)</f>
        <v>0</v>
      </c>
      <c r="V523" s="10" t="str">
        <f>IFERROR(__xludf.DUMMYFUNCTION("""COMPUTED_VALUE"""),"safar k maheeny ki fazilat")</f>
        <v>safar k maheeny ki fazilat</v>
      </c>
      <c r="W523" s="10" t="str">
        <f>IFERROR(__xludf.DUMMYFUNCTION("""COMPUTED_VALUE"""),"safar k maheeny ki fazilat aur barkat")</f>
        <v>safar k maheeny ki fazilat aur barkat</v>
      </c>
      <c r="X523" s="10">
        <f>IFERROR(__xludf.DUMMYFUNCTION("""COMPUTED_VALUE"""),5.0)</f>
        <v>5</v>
      </c>
      <c r="Y523" s="10">
        <f>IFERROR(__xludf.DUMMYFUNCTION("""COMPUTED_VALUE"""),5.0)</f>
        <v>5</v>
      </c>
      <c r="Z523" s="10">
        <f>IFERROR(__xludf.DUMMYFUNCTION("""COMPUTED_VALUE"""),5.0)</f>
        <v>5</v>
      </c>
      <c r="AA523" s="10">
        <f>IFERROR(__xludf.DUMMYFUNCTION("""COMPUTED_VALUE"""),8.0)</f>
        <v>8</v>
      </c>
      <c r="AB523" s="10">
        <f>IFERROR(__xludf.DUMMYFUNCTION("""COMPUTED_VALUE"""),5.0)</f>
        <v>5</v>
      </c>
      <c r="AC523" s="10">
        <f>IFERROR(__xludf.DUMMYFUNCTION("""COMPUTED_VALUE"""),1.0)</f>
        <v>1</v>
      </c>
      <c r="AD523" s="10">
        <f>IFERROR(__xludf.DUMMYFUNCTION("""COMPUTED_VALUE"""),0.0)</f>
        <v>0</v>
      </c>
      <c r="AE523" s="10">
        <f>IFERROR(__xludf.DUMMYFUNCTION("""COMPUTED_VALUE"""),0.0)</f>
        <v>0</v>
      </c>
      <c r="AF523" s="10">
        <f>IFERROR(__xludf.DUMMYFUNCTION("""COMPUTED_VALUE"""),0.0)</f>
        <v>0</v>
      </c>
      <c r="AG523" s="10">
        <f>IFERROR(__xludf.DUMMYFUNCTION("""COMPUTED_VALUE"""),10.0)</f>
        <v>10</v>
      </c>
      <c r="AH523" s="10">
        <f>IFERROR(__xludf.DUMMYFUNCTION("""COMPUTED_VALUE"""),0.0)</f>
        <v>0</v>
      </c>
      <c r="AI523" s="10">
        <f>IFERROR(__xludf.DUMMYFUNCTION("""COMPUTED_VALUE"""),10.0)</f>
        <v>10</v>
      </c>
      <c r="AJ523" s="11" t="str">
        <f>IFERROR(__xludf.DUMMYFUNCTION("""COMPUTED_VALUE"""),"https://drive.google.com/open?id=1gb-LXaSSayGh2LDOBXam54wgBIZZSpyF")</f>
        <v>https://drive.google.com/open?id=1gb-LXaSSayGh2LDOBXam54wgBIZZSpyF</v>
      </c>
      <c r="AK523" s="12"/>
      <c r="AL523" s="12" t="str">
        <f>IFERROR(__xludf.DUMMYFUNCTION("""COMPUTED_VALUE"""),"Yes")</f>
        <v>Yes</v>
      </c>
      <c r="AM523" s="15">
        <f>IFERROR(__xludf.DUMMYFUNCTION("""COMPUTED_VALUE"""),0.0)</f>
        <v>0</v>
      </c>
      <c r="AN523" s="12" t="str">
        <f>IFERROR(__xludf.DUMMYFUNCTION("""COMPUTED_VALUE"""),"3rd week")</f>
        <v>3rd week</v>
      </c>
      <c r="AO523" s="13">
        <v>3.0</v>
      </c>
      <c r="AX523" s="17"/>
    </row>
    <row r="524">
      <c r="B524" s="9">
        <f>IFERROR(__xludf.DUMMYFUNCTION("""COMPUTED_VALUE"""),45890.10415513889)</f>
        <v>45890.10416</v>
      </c>
      <c r="C524" s="10" t="str">
        <f>IFERROR(__xludf.DUMMYFUNCTION("""COMPUTED_VALUE"""),"Shahid Iqbal")</f>
        <v>Shahid Iqbal</v>
      </c>
      <c r="D524" s="10" t="str">
        <f>IFERROR(__xludf.DUMMYFUNCTION("""COMPUTED_VALUE"""),"03013665049")</f>
        <v>03013665049</v>
      </c>
      <c r="E524" s="10" t="str">
        <f>IFERROR(__xludf.DUMMYFUNCTION("""COMPUTED_VALUE"""),"Jamia Masjid Baha Ul Din Zikriya Multan")</f>
        <v>Jamia Masjid Baha Ul Din Zikriya Multan</v>
      </c>
      <c r="F524" s="10" t="str">
        <f>IFERROR(__xludf.DUMMYFUNCTION("""COMPUTED_VALUE"""),"oqjmo")</f>
        <v>oqjmo</v>
      </c>
      <c r="G524" s="10" t="str">
        <f>IFERROR(__xludf.DUMMYFUNCTION("""COMPUTED_VALUE"""),"Yes")</f>
        <v>Yes</v>
      </c>
      <c r="H524" s="10">
        <f>IFERROR(__xludf.DUMMYFUNCTION("""COMPUTED_VALUE"""),8.0)</f>
        <v>8</v>
      </c>
      <c r="I524" s="10">
        <f>IFERROR(__xludf.DUMMYFUNCTION("""COMPUTED_VALUE"""),1.0)</f>
        <v>1</v>
      </c>
      <c r="J524" s="10">
        <f>IFERROR(__xludf.DUMMYFUNCTION("""COMPUTED_VALUE"""),10.0)</f>
        <v>10</v>
      </c>
      <c r="K524" s="10">
        <f>IFERROR(__xludf.DUMMYFUNCTION("""COMPUTED_VALUE"""),10.0)</f>
        <v>10</v>
      </c>
      <c r="L524" s="10">
        <f>IFERROR(__xludf.DUMMYFUNCTION("""COMPUTED_VALUE"""),0.0)</f>
        <v>0</v>
      </c>
      <c r="M524" s="10">
        <f>IFERROR(__xludf.DUMMYFUNCTION("""COMPUTED_VALUE"""),10.0)</f>
        <v>10</v>
      </c>
      <c r="N524" s="10">
        <f>IFERROR(__xludf.DUMMYFUNCTION("""COMPUTED_VALUE"""),0.0)</f>
        <v>0</v>
      </c>
      <c r="O524" s="10">
        <f>IFERROR(__xludf.DUMMYFUNCTION("""COMPUTED_VALUE"""),10.0)</f>
        <v>10</v>
      </c>
      <c r="P524" s="10">
        <f>IFERROR(__xludf.DUMMYFUNCTION("""COMPUTED_VALUE"""),0.0)</f>
        <v>0</v>
      </c>
      <c r="Q524" s="10" t="str">
        <f>IFERROR(__xludf.DUMMYFUNCTION("""COMPUTED_VALUE"""),"Yes")</f>
        <v>Yes</v>
      </c>
      <c r="R524" s="10" t="str">
        <f>IFERROR(__xludf.DUMMYFUNCTION("""COMPUTED_VALUE"""),"No")</f>
        <v>No</v>
      </c>
      <c r="S524" s="10" t="str">
        <f>IFERROR(__xludf.DUMMYFUNCTION("""COMPUTED_VALUE"""),"Yes")</f>
        <v>Yes</v>
      </c>
      <c r="T524" s="10">
        <f>IFERROR(__xludf.DUMMYFUNCTION("""COMPUTED_VALUE"""),0.0)</f>
        <v>0</v>
      </c>
      <c r="U524" s="10">
        <f>IFERROR(__xludf.DUMMYFUNCTION("""COMPUTED_VALUE"""),0.0)</f>
        <v>0</v>
      </c>
      <c r="V524" s="10" t="str">
        <f>IFERROR(__xludf.DUMMYFUNCTION("""COMPUTED_VALUE"""),"women's rights in islam")</f>
        <v>women's rights in islam</v>
      </c>
      <c r="W524" s="10" t="str">
        <f>IFERROR(__xludf.DUMMYFUNCTION("""COMPUTED_VALUE"""),"women's rights in islam")</f>
        <v>women's rights in islam</v>
      </c>
      <c r="X524" s="10">
        <f>IFERROR(__xludf.DUMMYFUNCTION("""COMPUTED_VALUE"""),0.0)</f>
        <v>0</v>
      </c>
      <c r="Y524" s="10">
        <f>IFERROR(__xludf.DUMMYFUNCTION("""COMPUTED_VALUE"""),2.0)</f>
        <v>2</v>
      </c>
      <c r="Z524" s="10">
        <f>IFERROR(__xludf.DUMMYFUNCTION("""COMPUTED_VALUE"""),4.0)</f>
        <v>4</v>
      </c>
      <c r="AA524" s="10">
        <f>IFERROR(__xludf.DUMMYFUNCTION("""COMPUTED_VALUE"""),6.0)</f>
        <v>6</v>
      </c>
      <c r="AB524" s="10">
        <f>IFERROR(__xludf.DUMMYFUNCTION("""COMPUTED_VALUE"""),0.0)</f>
        <v>0</v>
      </c>
      <c r="AC524" s="10">
        <f>IFERROR(__xludf.DUMMYFUNCTION("""COMPUTED_VALUE"""),0.0)</f>
        <v>0</v>
      </c>
      <c r="AD524" s="10">
        <f>IFERROR(__xludf.DUMMYFUNCTION("""COMPUTED_VALUE"""),0.0)</f>
        <v>0</v>
      </c>
      <c r="AE524" s="10">
        <f>IFERROR(__xludf.DUMMYFUNCTION("""COMPUTED_VALUE"""),0.0)</f>
        <v>0</v>
      </c>
      <c r="AF524" s="10">
        <f>IFERROR(__xludf.DUMMYFUNCTION("""COMPUTED_VALUE"""),0.0)</f>
        <v>0</v>
      </c>
      <c r="AG524" s="10">
        <f>IFERROR(__xludf.DUMMYFUNCTION("""COMPUTED_VALUE"""),10.0)</f>
        <v>10</v>
      </c>
      <c r="AH524" s="10">
        <f>IFERROR(__xludf.DUMMYFUNCTION("""COMPUTED_VALUE"""),0.0)</f>
        <v>0</v>
      </c>
      <c r="AI524" s="10">
        <f>IFERROR(__xludf.DUMMYFUNCTION("""COMPUTED_VALUE"""),10.0)</f>
        <v>10</v>
      </c>
      <c r="AJ524" s="11" t="str">
        <f>IFERROR(__xludf.DUMMYFUNCTION("""COMPUTED_VALUE"""),"https://drive.google.com/open?id=1IiaVGQXcusY5KfWufLljHWmrynrlIJOz")</f>
        <v>https://drive.google.com/open?id=1IiaVGQXcusY5KfWufLljHWmrynrlIJOz</v>
      </c>
      <c r="AK524" s="12"/>
      <c r="AL524" s="12" t="str">
        <f>IFERROR(__xludf.DUMMYFUNCTION("""COMPUTED_VALUE"""),"Yes")</f>
        <v>Yes</v>
      </c>
      <c r="AM524" s="15">
        <f>IFERROR(__xludf.DUMMYFUNCTION("""COMPUTED_VALUE"""),0.9)</f>
        <v>0.9</v>
      </c>
      <c r="AN524" s="12" t="str">
        <f>IFERROR(__xludf.DUMMYFUNCTION("""COMPUTED_VALUE"""),"3rd week")</f>
        <v>3rd week</v>
      </c>
      <c r="AO524" s="13">
        <v>3.0</v>
      </c>
      <c r="AX524" s="17"/>
    </row>
    <row r="525">
      <c r="B525" s="9">
        <f>IFERROR(__xludf.DUMMYFUNCTION("""COMPUTED_VALUE"""),45890.11486400463)</f>
        <v>45890.11486</v>
      </c>
      <c r="C525" s="10" t="str">
        <f>IFERROR(__xludf.DUMMYFUNCTION("""COMPUTED_VALUE"""),"Shahid Iqbal")</f>
        <v>Shahid Iqbal</v>
      </c>
      <c r="D525" s="10" t="str">
        <f>IFERROR(__xludf.DUMMYFUNCTION("""COMPUTED_VALUE"""),"03013665049")</f>
        <v>03013665049</v>
      </c>
      <c r="E525" s="10" t="str">
        <f>IFERROR(__xludf.DUMMYFUNCTION("""COMPUTED_VALUE"""),"Jamia Masjid Bakar Abad Multan")</f>
        <v>Jamia Masjid Bakar Abad Multan</v>
      </c>
      <c r="F525" s="10" t="str">
        <f>IFERROR(__xludf.DUMMYFUNCTION("""COMPUTED_VALUE"""),"akpfn")</f>
        <v>akpfn</v>
      </c>
      <c r="G525" s="10" t="str">
        <f>IFERROR(__xludf.DUMMYFUNCTION("""COMPUTED_VALUE"""),"Yes")</f>
        <v>Yes</v>
      </c>
      <c r="H525" s="10">
        <f>IFERROR(__xludf.DUMMYFUNCTION("""COMPUTED_VALUE"""),0.0)</f>
        <v>0</v>
      </c>
      <c r="I525" s="10">
        <f>IFERROR(__xludf.DUMMYFUNCTION("""COMPUTED_VALUE"""),10.0)</f>
        <v>10</v>
      </c>
      <c r="J525" s="10">
        <f>IFERROR(__xludf.DUMMYFUNCTION("""COMPUTED_VALUE"""),0.0)</f>
        <v>0</v>
      </c>
      <c r="K525" s="10">
        <f>IFERROR(__xludf.DUMMYFUNCTION("""COMPUTED_VALUE"""),0.0)</f>
        <v>0</v>
      </c>
      <c r="L525" s="10">
        <f>IFERROR(__xludf.DUMMYFUNCTION("""COMPUTED_VALUE"""),0.0)</f>
        <v>0</v>
      </c>
      <c r="M525" s="10">
        <f>IFERROR(__xludf.DUMMYFUNCTION("""COMPUTED_VALUE"""),0.0)</f>
        <v>0</v>
      </c>
      <c r="N525" s="10">
        <f>IFERROR(__xludf.DUMMYFUNCTION("""COMPUTED_VALUE"""),0.0)</f>
        <v>0</v>
      </c>
      <c r="O525" s="10">
        <f>IFERROR(__xludf.DUMMYFUNCTION("""COMPUTED_VALUE"""),0.0)</f>
        <v>0</v>
      </c>
      <c r="P525" s="10">
        <f>IFERROR(__xludf.DUMMYFUNCTION("""COMPUTED_VALUE"""),0.0)</f>
        <v>0</v>
      </c>
      <c r="Q525" s="10" t="str">
        <f>IFERROR(__xludf.DUMMYFUNCTION("""COMPUTED_VALUE"""),"No")</f>
        <v>No</v>
      </c>
      <c r="R525" s="10" t="str">
        <f>IFERROR(__xludf.DUMMYFUNCTION("""COMPUTED_VALUE"""),"No")</f>
        <v>No</v>
      </c>
      <c r="S525" s="10" t="str">
        <f>IFERROR(__xludf.DUMMYFUNCTION("""COMPUTED_VALUE"""),"No")</f>
        <v>No</v>
      </c>
      <c r="T525" s="10">
        <f>IFERROR(__xludf.DUMMYFUNCTION("""COMPUTED_VALUE"""),0.0)</f>
        <v>0</v>
      </c>
      <c r="U525" s="10">
        <f>IFERROR(__xludf.DUMMYFUNCTION("""COMPUTED_VALUE"""),0.0)</f>
        <v>0</v>
      </c>
      <c r="V525" s="10" t="str">
        <f>IFERROR(__xludf.DUMMYFUNCTION("""COMPUTED_VALUE"""),"Allah ki ibadat aur iitaat")</f>
        <v>Allah ki ibadat aur iitaat</v>
      </c>
      <c r="W525" s="10" t="str">
        <f>IFERROR(__xludf.DUMMYFUNCTION("""COMPUTED_VALUE"""),"Allah ki ibadat aur iitaat Haqooq Allah aur khushnoodi")</f>
        <v>Allah ki ibadat aur iitaat Haqooq Allah aur khushnoodi</v>
      </c>
      <c r="X525" s="10">
        <f>IFERROR(__xludf.DUMMYFUNCTION("""COMPUTED_VALUE"""),8.0)</f>
        <v>8</v>
      </c>
      <c r="Y525" s="10">
        <f>IFERROR(__xludf.DUMMYFUNCTION("""COMPUTED_VALUE"""),4.0)</f>
        <v>4</v>
      </c>
      <c r="Z525" s="10">
        <f>IFERROR(__xludf.DUMMYFUNCTION("""COMPUTED_VALUE"""),4.0)</f>
        <v>4</v>
      </c>
      <c r="AA525" s="10">
        <f>IFERROR(__xludf.DUMMYFUNCTION("""COMPUTED_VALUE"""),9.0)</f>
        <v>9</v>
      </c>
      <c r="AB525" s="10">
        <f>IFERROR(__xludf.DUMMYFUNCTION("""COMPUTED_VALUE"""),3.0)</f>
        <v>3</v>
      </c>
      <c r="AC525" s="10">
        <f>IFERROR(__xludf.DUMMYFUNCTION("""COMPUTED_VALUE"""),0.0)</f>
        <v>0</v>
      </c>
      <c r="AD525" s="10">
        <f>IFERROR(__xludf.DUMMYFUNCTION("""COMPUTED_VALUE"""),0.0)</f>
        <v>0</v>
      </c>
      <c r="AE525" s="10">
        <f>IFERROR(__xludf.DUMMYFUNCTION("""COMPUTED_VALUE"""),0.0)</f>
        <v>0</v>
      </c>
      <c r="AF525" s="10">
        <f>IFERROR(__xludf.DUMMYFUNCTION("""COMPUTED_VALUE"""),0.0)</f>
        <v>0</v>
      </c>
      <c r="AG525" s="10">
        <f>IFERROR(__xludf.DUMMYFUNCTION("""COMPUTED_VALUE"""),10.0)</f>
        <v>10</v>
      </c>
      <c r="AH525" s="10">
        <f>IFERROR(__xludf.DUMMYFUNCTION("""COMPUTED_VALUE"""),0.0)</f>
        <v>0</v>
      </c>
      <c r="AI525" s="10">
        <f>IFERROR(__xludf.DUMMYFUNCTION("""COMPUTED_VALUE"""),10.0)</f>
        <v>10</v>
      </c>
      <c r="AJ525" s="11" t="str">
        <f>IFERROR(__xludf.DUMMYFUNCTION("""COMPUTED_VALUE"""),"https://drive.google.com/open?id=1lhsjHREgRIZj9pELR3tRb7RLlhOMNflK")</f>
        <v>https://drive.google.com/open?id=1lhsjHREgRIZj9pELR3tRb7RLlhOMNflK</v>
      </c>
      <c r="AK525" s="12"/>
      <c r="AL525" s="12" t="str">
        <f>IFERROR(__xludf.DUMMYFUNCTION("""COMPUTED_VALUE"""),"Yes")</f>
        <v>Yes</v>
      </c>
      <c r="AM525" s="15">
        <f>IFERROR(__xludf.DUMMYFUNCTION("""COMPUTED_VALUE"""),0.0)</f>
        <v>0</v>
      </c>
      <c r="AN525" s="12" t="str">
        <f>IFERROR(__xludf.DUMMYFUNCTION("""COMPUTED_VALUE"""),"3rd week")</f>
        <v>3rd week</v>
      </c>
      <c r="AO525" s="13">
        <v>3.0</v>
      </c>
      <c r="AX525" s="17"/>
    </row>
    <row r="526">
      <c r="B526" s="9">
        <f>IFERROR(__xludf.DUMMYFUNCTION("""COMPUTED_VALUE"""),45890.12789188657)</f>
        <v>45890.12789</v>
      </c>
      <c r="C526" s="10" t="str">
        <f>IFERROR(__xludf.DUMMYFUNCTION("""COMPUTED_VALUE"""),"Shahid Iqbal")</f>
        <v>Shahid Iqbal</v>
      </c>
      <c r="D526" s="10" t="str">
        <f>IFERROR(__xludf.DUMMYFUNCTION("""COMPUTED_VALUE"""),"Jamia Masjid Azeem Ul Din Dolat Gate Multan")</f>
        <v>Jamia Masjid Azeem Ul Din Dolat Gate Multan</v>
      </c>
      <c r="E526" s="10" t="str">
        <f>IFERROR(__xludf.DUMMYFUNCTION("""COMPUTED_VALUE"""),"Jamia Masjid Azeem Ul Din Dolat Gate Multan")</f>
        <v>Jamia Masjid Azeem Ul Din Dolat Gate Multan</v>
      </c>
      <c r="F526" s="10" t="str">
        <f>IFERROR(__xludf.DUMMYFUNCTION("""COMPUTED_VALUE"""),"pxspv")</f>
        <v>pxspv</v>
      </c>
      <c r="G526" s="10" t="str">
        <f>IFERROR(__xludf.DUMMYFUNCTION("""COMPUTED_VALUE"""),"Yes")</f>
        <v>Yes</v>
      </c>
      <c r="H526" s="10">
        <f>IFERROR(__xludf.DUMMYFUNCTION("""COMPUTED_VALUE"""),0.0)</f>
        <v>0</v>
      </c>
      <c r="I526" s="10">
        <f>IFERROR(__xludf.DUMMYFUNCTION("""COMPUTED_VALUE"""),10.0)</f>
        <v>10</v>
      </c>
      <c r="J526" s="10">
        <f>IFERROR(__xludf.DUMMYFUNCTION("""COMPUTED_VALUE"""),0.0)</f>
        <v>0</v>
      </c>
      <c r="K526" s="10">
        <f>IFERROR(__xludf.DUMMYFUNCTION("""COMPUTED_VALUE"""),0.0)</f>
        <v>0</v>
      </c>
      <c r="L526" s="10">
        <f>IFERROR(__xludf.DUMMYFUNCTION("""COMPUTED_VALUE"""),0.0)</f>
        <v>0</v>
      </c>
      <c r="M526" s="10">
        <f>IFERROR(__xludf.DUMMYFUNCTION("""COMPUTED_VALUE"""),0.0)</f>
        <v>0</v>
      </c>
      <c r="N526" s="10">
        <f>IFERROR(__xludf.DUMMYFUNCTION("""COMPUTED_VALUE"""),0.0)</f>
        <v>0</v>
      </c>
      <c r="O526" s="10">
        <f>IFERROR(__xludf.DUMMYFUNCTION("""COMPUTED_VALUE"""),0.0)</f>
        <v>0</v>
      </c>
      <c r="P526" s="10">
        <f>IFERROR(__xludf.DUMMYFUNCTION("""COMPUTED_VALUE"""),0.0)</f>
        <v>0</v>
      </c>
      <c r="Q526" s="10" t="str">
        <f>IFERROR(__xludf.DUMMYFUNCTION("""COMPUTED_VALUE"""),"No")</f>
        <v>No</v>
      </c>
      <c r="R526" s="10" t="str">
        <f>IFERROR(__xludf.DUMMYFUNCTION("""COMPUTED_VALUE"""),"No")</f>
        <v>No</v>
      </c>
      <c r="S526" s="10" t="str">
        <f>IFERROR(__xludf.DUMMYFUNCTION("""COMPUTED_VALUE"""),"No")</f>
        <v>No</v>
      </c>
      <c r="T526" s="10">
        <f>IFERROR(__xludf.DUMMYFUNCTION("""COMPUTED_VALUE"""),0.0)</f>
        <v>0</v>
      </c>
      <c r="U526" s="10">
        <f>IFERROR(__xludf.DUMMYFUNCTION("""COMPUTED_VALUE"""),0.0)</f>
        <v>0</v>
      </c>
      <c r="V526" s="10" t="str">
        <f>IFERROR(__xludf.DUMMYFUNCTION("""COMPUTED_VALUE"""),"Tuaheed, Taqwa Aur Allahh ki ibadat")</f>
        <v>Tuaheed, Taqwa Aur Allahh ki ibadat</v>
      </c>
      <c r="W526" s="10" t="str">
        <f>IFERROR(__xludf.DUMMYFUNCTION("""COMPUTED_VALUE"""),"Tuaheed, Taqwa Aur Allahh ki ibadat")</f>
        <v>Tuaheed, Taqwa Aur Allahh ki ibadat</v>
      </c>
      <c r="X526" s="10">
        <f>IFERROR(__xludf.DUMMYFUNCTION("""COMPUTED_VALUE"""),8.0)</f>
        <v>8</v>
      </c>
      <c r="Y526" s="10">
        <f>IFERROR(__xludf.DUMMYFUNCTION("""COMPUTED_VALUE"""),5.0)</f>
        <v>5</v>
      </c>
      <c r="Z526" s="10">
        <f>IFERROR(__xludf.DUMMYFUNCTION("""COMPUTED_VALUE"""),3.0)</f>
        <v>3</v>
      </c>
      <c r="AA526" s="10">
        <f>IFERROR(__xludf.DUMMYFUNCTION("""COMPUTED_VALUE"""),9.0)</f>
        <v>9</v>
      </c>
      <c r="AB526" s="10">
        <f>IFERROR(__xludf.DUMMYFUNCTION("""COMPUTED_VALUE"""),2.0)</f>
        <v>2</v>
      </c>
      <c r="AC526" s="10">
        <f>IFERROR(__xludf.DUMMYFUNCTION("""COMPUTED_VALUE"""),1.0)</f>
        <v>1</v>
      </c>
      <c r="AD526" s="10">
        <f>IFERROR(__xludf.DUMMYFUNCTION("""COMPUTED_VALUE"""),0.0)</f>
        <v>0</v>
      </c>
      <c r="AE526" s="10">
        <f>IFERROR(__xludf.DUMMYFUNCTION("""COMPUTED_VALUE"""),0.0)</f>
        <v>0</v>
      </c>
      <c r="AF526" s="10">
        <f>IFERROR(__xludf.DUMMYFUNCTION("""COMPUTED_VALUE"""),0.0)</f>
        <v>0</v>
      </c>
      <c r="AG526" s="10">
        <f>IFERROR(__xludf.DUMMYFUNCTION("""COMPUTED_VALUE"""),8.0)</f>
        <v>8</v>
      </c>
      <c r="AH526" s="10">
        <f>IFERROR(__xludf.DUMMYFUNCTION("""COMPUTED_VALUE"""),1.0)</f>
        <v>1</v>
      </c>
      <c r="AI526" s="10">
        <f>IFERROR(__xludf.DUMMYFUNCTION("""COMPUTED_VALUE"""),10.0)</f>
        <v>10</v>
      </c>
      <c r="AJ526" s="11" t="str">
        <f>IFERROR(__xludf.DUMMYFUNCTION("""COMPUTED_VALUE"""),"https://drive.google.com/open?id=19ROVrXGJG2KbfuA-Zfzqx_zgFmzTxR0k")</f>
        <v>https://drive.google.com/open?id=19ROVrXGJG2KbfuA-Zfzqx_zgFmzTxR0k</v>
      </c>
      <c r="AK526" s="12"/>
      <c r="AL526" s="12" t="str">
        <f>IFERROR(__xludf.DUMMYFUNCTION("""COMPUTED_VALUE"""),"Yes")</f>
        <v>Yes</v>
      </c>
      <c r="AM526" s="15">
        <f>IFERROR(__xludf.DUMMYFUNCTION("""COMPUTED_VALUE"""),0.0)</f>
        <v>0</v>
      </c>
      <c r="AN526" s="12" t="str">
        <f>IFERROR(__xludf.DUMMYFUNCTION("""COMPUTED_VALUE"""),"3rd week")</f>
        <v>3rd week</v>
      </c>
      <c r="AO526" s="13">
        <v>3.0</v>
      </c>
      <c r="AX526" s="17"/>
    </row>
    <row r="527">
      <c r="B527" s="9">
        <f>IFERROR(__xludf.DUMMYFUNCTION("""COMPUTED_VALUE"""),45890.1352272338)</f>
        <v>45890.13523</v>
      </c>
      <c r="C527" s="10" t="str">
        <f>IFERROR(__xludf.DUMMYFUNCTION("""COMPUTED_VALUE"""),"Shahid Iqbal")</f>
        <v>Shahid Iqbal</v>
      </c>
      <c r="D527" s="10" t="str">
        <f>IFERROR(__xludf.DUMMYFUNCTION("""COMPUTED_VALUE"""),"03013665049")</f>
        <v>03013665049</v>
      </c>
      <c r="E527" s="10" t="str">
        <f>IFERROR(__xludf.DUMMYFUNCTION("""COMPUTED_VALUE"""),"Jamia Masjid Phonagra Nawali Multan")</f>
        <v>Jamia Masjid Phonagra Nawali Multan</v>
      </c>
      <c r="F527" s="10" t="str">
        <f>IFERROR(__xludf.DUMMYFUNCTION("""COMPUTED_VALUE"""),"vreau")</f>
        <v>vreau</v>
      </c>
      <c r="G527" s="10" t="str">
        <f>IFERROR(__xludf.DUMMYFUNCTION("""COMPUTED_VALUE"""),"Yes")</f>
        <v>Yes</v>
      </c>
      <c r="H527" s="10">
        <f>IFERROR(__xludf.DUMMYFUNCTION("""COMPUTED_VALUE"""),0.0)</f>
        <v>0</v>
      </c>
      <c r="I527" s="10">
        <f>IFERROR(__xludf.DUMMYFUNCTION("""COMPUTED_VALUE"""),10.0)</f>
        <v>10</v>
      </c>
      <c r="J527" s="10">
        <f>IFERROR(__xludf.DUMMYFUNCTION("""COMPUTED_VALUE"""),0.0)</f>
        <v>0</v>
      </c>
      <c r="K527" s="10">
        <f>IFERROR(__xludf.DUMMYFUNCTION("""COMPUTED_VALUE"""),0.0)</f>
        <v>0</v>
      </c>
      <c r="L527" s="10">
        <f>IFERROR(__xludf.DUMMYFUNCTION("""COMPUTED_VALUE"""),0.0)</f>
        <v>0</v>
      </c>
      <c r="M527" s="10">
        <f>IFERROR(__xludf.DUMMYFUNCTION("""COMPUTED_VALUE"""),0.0)</f>
        <v>0</v>
      </c>
      <c r="N527" s="10">
        <f>IFERROR(__xludf.DUMMYFUNCTION("""COMPUTED_VALUE"""),0.0)</f>
        <v>0</v>
      </c>
      <c r="O527" s="10">
        <f>IFERROR(__xludf.DUMMYFUNCTION("""COMPUTED_VALUE"""),0.0)</f>
        <v>0</v>
      </c>
      <c r="P527" s="10">
        <f>IFERROR(__xludf.DUMMYFUNCTION("""COMPUTED_VALUE"""),0.0)</f>
        <v>0</v>
      </c>
      <c r="Q527" s="10" t="str">
        <f>IFERROR(__xludf.DUMMYFUNCTION("""COMPUTED_VALUE"""),"No")</f>
        <v>No</v>
      </c>
      <c r="R527" s="10" t="str">
        <f>IFERROR(__xludf.DUMMYFUNCTION("""COMPUTED_VALUE"""),"No")</f>
        <v>No</v>
      </c>
      <c r="S527" s="10" t="str">
        <f>IFERROR(__xludf.DUMMYFUNCTION("""COMPUTED_VALUE"""),"No")</f>
        <v>No</v>
      </c>
      <c r="T527" s="10">
        <f>IFERROR(__xludf.DUMMYFUNCTION("""COMPUTED_VALUE"""),0.0)</f>
        <v>0</v>
      </c>
      <c r="U527" s="10">
        <f>IFERROR(__xludf.DUMMYFUNCTION("""COMPUTED_VALUE"""),0.0)</f>
        <v>0</v>
      </c>
      <c r="V527" s="10" t="str">
        <f>IFERROR(__xludf.DUMMYFUNCTION("""COMPUTED_VALUE"""),"Amanat ma khianat")</f>
        <v>Amanat ma khianat</v>
      </c>
      <c r="W527" s="10" t="str">
        <f>IFERROR(__xludf.DUMMYFUNCTION("""COMPUTED_VALUE"""),"Amanat ma khianat aur islam ma iski mamanat aur hukam")</f>
        <v>Amanat ma khianat aur islam ma iski mamanat aur hukam</v>
      </c>
      <c r="X527" s="10">
        <f>IFERROR(__xludf.DUMMYFUNCTION("""COMPUTED_VALUE"""),5.0)</f>
        <v>5</v>
      </c>
      <c r="Y527" s="10">
        <f>IFERROR(__xludf.DUMMYFUNCTION("""COMPUTED_VALUE"""),5.0)</f>
        <v>5</v>
      </c>
      <c r="Z527" s="10">
        <f>IFERROR(__xludf.DUMMYFUNCTION("""COMPUTED_VALUE"""),4.0)</f>
        <v>4</v>
      </c>
      <c r="AA527" s="10">
        <f>IFERROR(__xludf.DUMMYFUNCTION("""COMPUTED_VALUE"""),6.0)</f>
        <v>6</v>
      </c>
      <c r="AB527" s="10">
        <f>IFERROR(__xludf.DUMMYFUNCTION("""COMPUTED_VALUE"""),3.0)</f>
        <v>3</v>
      </c>
      <c r="AC527" s="10">
        <f>IFERROR(__xludf.DUMMYFUNCTION("""COMPUTED_VALUE"""),0.0)</f>
        <v>0</v>
      </c>
      <c r="AD527" s="10">
        <f>IFERROR(__xludf.DUMMYFUNCTION("""COMPUTED_VALUE"""),0.0)</f>
        <v>0</v>
      </c>
      <c r="AE527" s="10">
        <f>IFERROR(__xludf.DUMMYFUNCTION("""COMPUTED_VALUE"""),0.0)</f>
        <v>0</v>
      </c>
      <c r="AF527" s="10">
        <f>IFERROR(__xludf.DUMMYFUNCTION("""COMPUTED_VALUE"""),0.0)</f>
        <v>0</v>
      </c>
      <c r="AG527" s="10">
        <f>IFERROR(__xludf.DUMMYFUNCTION("""COMPUTED_VALUE"""),8.0)</f>
        <v>8</v>
      </c>
      <c r="AH527" s="10">
        <f>IFERROR(__xludf.DUMMYFUNCTION("""COMPUTED_VALUE"""),1.0)</f>
        <v>1</v>
      </c>
      <c r="AI527" s="10">
        <f>IFERROR(__xludf.DUMMYFUNCTION("""COMPUTED_VALUE"""),8.0)</f>
        <v>8</v>
      </c>
      <c r="AJ527" s="11" t="str">
        <f>IFERROR(__xludf.DUMMYFUNCTION("""COMPUTED_VALUE"""),"https://drive.google.com/open?id=1i-N9z9fJJ4boY4x6XLgMoZ4EmJWHjKmr")</f>
        <v>https://drive.google.com/open?id=1i-N9z9fJJ4boY4x6XLgMoZ4EmJWHjKmr</v>
      </c>
      <c r="AK527" s="12"/>
      <c r="AL527" s="12" t="str">
        <f>IFERROR(__xludf.DUMMYFUNCTION("""COMPUTED_VALUE"""),"Yes")</f>
        <v>Yes</v>
      </c>
      <c r="AM527" s="15">
        <f>IFERROR(__xludf.DUMMYFUNCTION("""COMPUTED_VALUE"""),0.0)</f>
        <v>0</v>
      </c>
      <c r="AN527" s="12" t="str">
        <f>IFERROR(__xludf.DUMMYFUNCTION("""COMPUTED_VALUE"""),"3rd week")</f>
        <v>3rd week</v>
      </c>
      <c r="AO527" s="13">
        <v>3.0</v>
      </c>
      <c r="AX527" s="17"/>
    </row>
    <row r="528">
      <c r="B528" s="9">
        <f>IFERROR(__xludf.DUMMYFUNCTION("""COMPUTED_VALUE"""),45890.14407228009)</f>
        <v>45890.14407</v>
      </c>
      <c r="C528" s="10" t="str">
        <f>IFERROR(__xludf.DUMMYFUNCTION("""COMPUTED_VALUE"""),"Shahid Iqbal")</f>
        <v>Shahid Iqbal</v>
      </c>
      <c r="D528" s="10" t="str">
        <f>IFERROR(__xludf.DUMMYFUNCTION("""COMPUTED_VALUE"""),"03013665049")</f>
        <v>03013665049</v>
      </c>
      <c r="E528" s="10" t="str">
        <f>IFERROR(__xludf.DUMMYFUNCTION("""COMPUTED_VALUE"""),"Jamia Masjid Gul Wali Haram Gate Multan")</f>
        <v>Jamia Masjid Gul Wali Haram Gate Multan</v>
      </c>
      <c r="F528" s="10" t="str">
        <f>IFERROR(__xludf.DUMMYFUNCTION("""COMPUTED_VALUE"""),"vbdpl")</f>
        <v>vbdpl</v>
      </c>
      <c r="G528" s="10" t="str">
        <f>IFERROR(__xludf.DUMMYFUNCTION("""COMPUTED_VALUE"""),"Yes")</f>
        <v>Yes</v>
      </c>
      <c r="H528" s="10">
        <f>IFERROR(__xludf.DUMMYFUNCTION("""COMPUTED_VALUE"""),2.0)</f>
        <v>2</v>
      </c>
      <c r="I528" s="10">
        <f>IFERROR(__xludf.DUMMYFUNCTION("""COMPUTED_VALUE"""),8.0)</f>
        <v>8</v>
      </c>
      <c r="J528" s="10">
        <f>IFERROR(__xludf.DUMMYFUNCTION("""COMPUTED_VALUE"""),3.0)</f>
        <v>3</v>
      </c>
      <c r="K528" s="10">
        <f>IFERROR(__xludf.DUMMYFUNCTION("""COMPUTED_VALUE"""),0.0)</f>
        <v>0</v>
      </c>
      <c r="L528" s="10">
        <f>IFERROR(__xludf.DUMMYFUNCTION("""COMPUTED_VALUE"""),2.0)</f>
        <v>2</v>
      </c>
      <c r="M528" s="10">
        <f>IFERROR(__xludf.DUMMYFUNCTION("""COMPUTED_VALUE"""),0.0)</f>
        <v>0</v>
      </c>
      <c r="N528" s="10">
        <f>IFERROR(__xludf.DUMMYFUNCTION("""COMPUTED_VALUE"""),2.0)</f>
        <v>2</v>
      </c>
      <c r="O528" s="10">
        <f>IFERROR(__xludf.DUMMYFUNCTION("""COMPUTED_VALUE"""),0.0)</f>
        <v>0</v>
      </c>
      <c r="P528" s="10">
        <f>IFERROR(__xludf.DUMMYFUNCTION("""COMPUTED_VALUE"""),1.0)</f>
        <v>1</v>
      </c>
      <c r="Q528" s="10" t="str">
        <f>IFERROR(__xludf.DUMMYFUNCTION("""COMPUTED_VALUE"""),"No")</f>
        <v>No</v>
      </c>
      <c r="R528" s="10" t="str">
        <f>IFERROR(__xludf.DUMMYFUNCTION("""COMPUTED_VALUE"""),"No")</f>
        <v>No</v>
      </c>
      <c r="S528" s="10" t="str">
        <f>IFERROR(__xludf.DUMMYFUNCTION("""COMPUTED_VALUE"""),"No")</f>
        <v>No</v>
      </c>
      <c r="T528" s="10">
        <f>IFERROR(__xludf.DUMMYFUNCTION("""COMPUTED_VALUE"""),0.0)</f>
        <v>0</v>
      </c>
      <c r="U528" s="10">
        <f>IFERROR(__xludf.DUMMYFUNCTION("""COMPUTED_VALUE"""),0.0)</f>
        <v>0</v>
      </c>
      <c r="V528" s="10" t="str">
        <f>IFERROR(__xludf.DUMMYFUNCTION("""COMPUTED_VALUE"""),"Padosi k haqooq aur seerat un nabi saw")</f>
        <v>Padosi k haqooq aur seerat un nabi saw</v>
      </c>
      <c r="W528" s="10" t="str">
        <f>IFERROR(__xludf.DUMMYFUNCTION("""COMPUTED_VALUE"""),"Padosi k haqooq aur seerat un nabi saw ki zindagi ka islam ma muqam")</f>
        <v>Padosi k haqooq aur seerat un nabi saw ki zindagi ka islam ma muqam</v>
      </c>
      <c r="X528" s="10">
        <f>IFERROR(__xludf.DUMMYFUNCTION("""COMPUTED_VALUE"""),3.0)</f>
        <v>3</v>
      </c>
      <c r="Y528" s="10">
        <f>IFERROR(__xludf.DUMMYFUNCTION("""COMPUTED_VALUE"""),5.0)</f>
        <v>5</v>
      </c>
      <c r="Z528" s="10">
        <f>IFERROR(__xludf.DUMMYFUNCTION("""COMPUTED_VALUE"""),5.0)</f>
        <v>5</v>
      </c>
      <c r="AA528" s="10">
        <f>IFERROR(__xludf.DUMMYFUNCTION("""COMPUTED_VALUE"""),6.0)</f>
        <v>6</v>
      </c>
      <c r="AB528" s="10">
        <f>IFERROR(__xludf.DUMMYFUNCTION("""COMPUTED_VALUE"""),2.0)</f>
        <v>2</v>
      </c>
      <c r="AC528" s="10">
        <f>IFERROR(__xludf.DUMMYFUNCTION("""COMPUTED_VALUE"""),2.0)</f>
        <v>2</v>
      </c>
      <c r="AD528" s="10">
        <f>IFERROR(__xludf.DUMMYFUNCTION("""COMPUTED_VALUE"""),0.0)</f>
        <v>0</v>
      </c>
      <c r="AE528" s="10">
        <f>IFERROR(__xludf.DUMMYFUNCTION("""COMPUTED_VALUE"""),0.0)</f>
        <v>0</v>
      </c>
      <c r="AF528" s="10">
        <f>IFERROR(__xludf.DUMMYFUNCTION("""COMPUTED_VALUE"""),0.0)</f>
        <v>0</v>
      </c>
      <c r="AG528" s="10">
        <f>IFERROR(__xludf.DUMMYFUNCTION("""COMPUTED_VALUE"""),9.0)</f>
        <v>9</v>
      </c>
      <c r="AH528" s="10">
        <f>IFERROR(__xludf.DUMMYFUNCTION("""COMPUTED_VALUE"""),0.0)</f>
        <v>0</v>
      </c>
      <c r="AI528" s="10">
        <f>IFERROR(__xludf.DUMMYFUNCTION("""COMPUTED_VALUE"""),9.0)</f>
        <v>9</v>
      </c>
      <c r="AJ528" s="11" t="str">
        <f>IFERROR(__xludf.DUMMYFUNCTION("""COMPUTED_VALUE"""),"https://drive.google.com/open?id=1KQmZSqUJ6NjPCKs3OdShPgArsvlMLuwa")</f>
        <v>https://drive.google.com/open?id=1KQmZSqUJ6NjPCKs3OdShPgArsvlMLuwa</v>
      </c>
      <c r="AK528" s="12"/>
      <c r="AL528" s="12" t="str">
        <f>IFERROR(__xludf.DUMMYFUNCTION("""COMPUTED_VALUE"""),"Yes")</f>
        <v>Yes</v>
      </c>
      <c r="AM528" s="15">
        <f>IFERROR(__xludf.DUMMYFUNCTION("""COMPUTED_VALUE"""),0.2)</f>
        <v>0.2</v>
      </c>
      <c r="AN528" s="12" t="str">
        <f>IFERROR(__xludf.DUMMYFUNCTION("""COMPUTED_VALUE"""),"4th week")</f>
        <v>4th week</v>
      </c>
      <c r="AO528" s="13">
        <v>4.0</v>
      </c>
      <c r="AX528" s="17"/>
    </row>
    <row r="529">
      <c r="B529" s="9">
        <f>IFERROR(__xludf.DUMMYFUNCTION("""COMPUTED_VALUE"""),45890.28167196759)</f>
        <v>45890.28167</v>
      </c>
      <c r="C529" s="10" t="str">
        <f>IFERROR(__xludf.DUMMYFUNCTION("""COMPUTED_VALUE"""),"Asma Gul ")</f>
        <v>Asma Gul </v>
      </c>
      <c r="D529" s="10" t="str">
        <f>IFERROR(__xludf.DUMMYFUNCTION("""COMPUTED_VALUE"""),"03459308620")</f>
        <v>03459308620</v>
      </c>
      <c r="E529" s="10" t="str">
        <f>IFERROR(__xludf.DUMMYFUNCTION("""COMPUTED_VALUE"""),"Jamia Masjid Hakeem Muhammad Yar Wali Bhawalpur")</f>
        <v>Jamia Masjid Hakeem Muhammad Yar Wali Bhawalpur</v>
      </c>
      <c r="F529" s="10" t="str">
        <f>IFERROR(__xludf.DUMMYFUNCTION("""COMPUTED_VALUE"""),"rakei")</f>
        <v>rakei</v>
      </c>
      <c r="G529" s="10" t="str">
        <f>IFERROR(__xludf.DUMMYFUNCTION("""COMPUTED_VALUE"""),"No")</f>
        <v>No</v>
      </c>
      <c r="H529" s="10"/>
      <c r="I529" s="10"/>
      <c r="J529" s="10"/>
      <c r="K529" s="10">
        <f>IFERROR(__xludf.DUMMYFUNCTION("""COMPUTED_VALUE"""),7.0)</f>
        <v>7</v>
      </c>
      <c r="L529" s="10">
        <f>IFERROR(__xludf.DUMMYFUNCTION("""COMPUTED_VALUE"""),0.0)</f>
        <v>0</v>
      </c>
      <c r="M529" s="10">
        <f>IFERROR(__xludf.DUMMYFUNCTION("""COMPUTED_VALUE"""),7.0)</f>
        <v>7</v>
      </c>
      <c r="N529" s="10">
        <f>IFERROR(__xludf.DUMMYFUNCTION("""COMPUTED_VALUE"""),0.0)</f>
        <v>0</v>
      </c>
      <c r="O529" s="10">
        <f>IFERROR(__xludf.DUMMYFUNCTION("""COMPUTED_VALUE"""),0.0)</f>
        <v>0</v>
      </c>
      <c r="P529" s="10">
        <f>IFERROR(__xludf.DUMMYFUNCTION("""COMPUTED_VALUE"""),0.0)</f>
        <v>0</v>
      </c>
      <c r="Q529" s="10" t="str">
        <f>IFERROR(__xludf.DUMMYFUNCTION("""COMPUTED_VALUE"""),"No")</f>
        <v>No</v>
      </c>
      <c r="R529" s="10" t="str">
        <f>IFERROR(__xludf.DUMMYFUNCTION("""COMPUTED_VALUE"""),"No")</f>
        <v>No</v>
      </c>
      <c r="S529" s="10" t="str">
        <f>IFERROR(__xludf.DUMMYFUNCTION("""COMPUTED_VALUE"""),"No")</f>
        <v>No</v>
      </c>
      <c r="T529" s="10">
        <f>IFERROR(__xludf.DUMMYFUNCTION("""COMPUTED_VALUE"""),0.0)</f>
        <v>0</v>
      </c>
      <c r="U529" s="10">
        <f>IFERROR(__xludf.DUMMYFUNCTION("""COMPUTED_VALUE"""),0.0)</f>
        <v>0</v>
      </c>
      <c r="V529" s="10" t="str">
        <f>IFERROR(__xludf.DUMMYFUNCTION("""COMPUTED_VALUE"""),"رحم دلی اور دوسروں پر شفقت کی اہمیت")</f>
        <v>رحم دلی اور دوسروں پر شفقت کی اہمیت</v>
      </c>
      <c r="W529" s="10" t="str">
        <f>IFERROR(__xludf.DUMMYFUNCTION("""COMPUTED_VALUE"""),"حضور نبی کریم صلی اللہ علیہ وسلم نے رحم دلی کو ایمان کی علامت قرار دیا۔ حضرت جریر بن عبداللہ رضی اللہ عنہ کی روایت کے مطابق، آپ صلی اللہ علیہ وسلم نے فرمایا کہ جو انسان دوسروں پر رحم نہیں کرتا، وہ اللہ کی رحمت سے محروم رہتا ہے۔ زمانۂ جاہلیت میں بچیوں کو "&amp;"عار سمجھ کر زندہ درگور کر دیا جاتا تھا، لیکن آپ صلی اللہ علیہ وسلم نے اس ظلم کا خاتمہ کیا اور فرمایا کہ بچیوں کی پیدائش اللہ کی رحمت ہے۔ حضرت ابوہریرہ رضی اللہ عنہ سے روایت ہے کہ رحم کا مادہ صرف بدبخت لوگوں کے دل سے نکالا جاتا ہے۔ یہ احادیث ہمیں دوسروں کے"&amp;" ساتھ حسن سلوک، شفقت اور ہمدردی کا سبق دیتی ہیں تاکہ ہم اللہ کی رحمت کے مستحق بن سکیں")</f>
        <v>حضور نبی کریم صلی اللہ علیہ وسلم نے رحم دلی کو ایمان کی علامت قرار دیا۔ حضرت جریر بن عبداللہ رضی اللہ عنہ کی روایت کے مطابق، آپ صلی اللہ علیہ وسلم نے فرمایا کہ جو انسان دوسروں پر رحم نہیں کرتا، وہ اللہ کی رحمت سے محروم رہتا ہے۔ زمانۂ جاہلیت میں بچیوں کو عار سمجھ کر زندہ درگور کر دیا جاتا تھا، لیکن آپ صلی اللہ علیہ وسلم نے اس ظلم کا خاتمہ کیا اور فرمایا کہ بچیوں کی پیدائش اللہ کی رحمت ہے۔ حضرت ابوہریرہ رضی اللہ عنہ سے روایت ہے کہ رحم کا مادہ صرف بدبخت لوگوں کے دل سے نکالا جاتا ہے۔ یہ احادیث ہمیں دوسروں کے ساتھ حسن سلوک، شفقت اور ہمدردی کا سبق دیتی ہیں تاکہ ہم اللہ کی رحمت کے مستحق بن سکیں</v>
      </c>
      <c r="X529" s="10">
        <f>IFERROR(__xludf.DUMMYFUNCTION("""COMPUTED_VALUE"""),2.0)</f>
        <v>2</v>
      </c>
      <c r="Y529" s="10">
        <f>IFERROR(__xludf.DUMMYFUNCTION("""COMPUTED_VALUE"""),10.0)</f>
        <v>10</v>
      </c>
      <c r="Z529" s="10">
        <f>IFERROR(__xludf.DUMMYFUNCTION("""COMPUTED_VALUE"""),10.0)</f>
        <v>10</v>
      </c>
      <c r="AA529" s="10">
        <f>IFERROR(__xludf.DUMMYFUNCTION("""COMPUTED_VALUE"""),10.0)</f>
        <v>10</v>
      </c>
      <c r="AB529" s="10">
        <f>IFERROR(__xludf.DUMMYFUNCTION("""COMPUTED_VALUE"""),10.0)</f>
        <v>10</v>
      </c>
      <c r="AC529" s="10">
        <f>IFERROR(__xludf.DUMMYFUNCTION("""COMPUTED_VALUE"""),0.0)</f>
        <v>0</v>
      </c>
      <c r="AD529" s="10">
        <f>IFERROR(__xludf.DUMMYFUNCTION("""COMPUTED_VALUE"""),0.0)</f>
        <v>0</v>
      </c>
      <c r="AE529" s="10">
        <f>IFERROR(__xludf.DUMMYFUNCTION("""COMPUTED_VALUE"""),0.0)</f>
        <v>0</v>
      </c>
      <c r="AF529" s="10">
        <f>IFERROR(__xludf.DUMMYFUNCTION("""COMPUTED_VALUE"""),0.0)</f>
        <v>0</v>
      </c>
      <c r="AG529" s="10">
        <f>IFERROR(__xludf.DUMMYFUNCTION("""COMPUTED_VALUE"""),7.0)</f>
        <v>7</v>
      </c>
      <c r="AH529" s="10">
        <f>IFERROR(__xludf.DUMMYFUNCTION("""COMPUTED_VALUE"""),0.0)</f>
        <v>0</v>
      </c>
      <c r="AI529" s="10">
        <f>IFERROR(__xludf.DUMMYFUNCTION("""COMPUTED_VALUE"""),9.0)</f>
        <v>9</v>
      </c>
      <c r="AJ529" s="11" t="str">
        <f>IFERROR(__xludf.DUMMYFUNCTION("""COMPUTED_VALUE"""),"https://drive.google.com/open?id=1siPNTHjXvNA2dchaNaTYPK2wGvf--6bNCTaXTx3JwEM")</f>
        <v>https://drive.google.com/open?id=1siPNTHjXvNA2dchaNaTYPK2wGvf--6bNCTaXTx3JwEM</v>
      </c>
      <c r="AK529" s="12"/>
      <c r="AL529" s="12"/>
      <c r="AM529" s="12"/>
      <c r="AN529" s="12" t="str">
        <f>IFERROR(__xludf.DUMMYFUNCTION("""COMPUTED_VALUE"""),"1st week")</f>
        <v>1st week</v>
      </c>
      <c r="AO529" s="13">
        <v>1.0</v>
      </c>
      <c r="AX529" s="17"/>
    </row>
    <row r="530">
      <c r="B530" s="9">
        <f>IFERROR(__xludf.DUMMYFUNCTION("""COMPUTED_VALUE"""),45890.43663306713)</f>
        <v>45890.43663</v>
      </c>
      <c r="C530" s="10" t="str">
        <f>IFERROR(__xludf.DUMMYFUNCTION("""COMPUTED_VALUE"""),"Saira Shahzad ")</f>
        <v>Saira Shahzad </v>
      </c>
      <c r="D530" s="10" t="str">
        <f>IFERROR(__xludf.DUMMYFUNCTION("""COMPUTED_VALUE"""),"03114534696")</f>
        <v>03114534696</v>
      </c>
      <c r="E530" s="10" t="str">
        <f>IFERROR(__xludf.DUMMYFUNCTION("""COMPUTED_VALUE"""),"Jamia Masjid Madina Pepal Wali Multan")</f>
        <v>Jamia Masjid Madina Pepal Wali Multan</v>
      </c>
      <c r="F530" s="10" t="str">
        <f>IFERROR(__xludf.DUMMYFUNCTION("""COMPUTED_VALUE"""),"wpqfg")</f>
        <v>wpqfg</v>
      </c>
      <c r="G530" s="10" t="str">
        <f>IFERROR(__xludf.DUMMYFUNCTION("""COMPUTED_VALUE"""),"Yes")</f>
        <v>Yes</v>
      </c>
      <c r="H530" s="10">
        <f>IFERROR(__xludf.DUMMYFUNCTION("""COMPUTED_VALUE"""),0.0)</f>
        <v>0</v>
      </c>
      <c r="I530" s="10">
        <f>IFERROR(__xludf.DUMMYFUNCTION("""COMPUTED_VALUE"""),10.0)</f>
        <v>10</v>
      </c>
      <c r="J530" s="10">
        <f>IFERROR(__xludf.DUMMYFUNCTION("""COMPUTED_VALUE"""),0.0)</f>
        <v>0</v>
      </c>
      <c r="K530" s="10">
        <f>IFERROR(__xludf.DUMMYFUNCTION("""COMPUTED_VALUE"""),0.0)</f>
        <v>0</v>
      </c>
      <c r="L530" s="10">
        <f>IFERROR(__xludf.DUMMYFUNCTION("""COMPUTED_VALUE"""),0.0)</f>
        <v>0</v>
      </c>
      <c r="M530" s="10">
        <f>IFERROR(__xludf.DUMMYFUNCTION("""COMPUTED_VALUE"""),0.0)</f>
        <v>0</v>
      </c>
      <c r="N530" s="10">
        <f>IFERROR(__xludf.DUMMYFUNCTION("""COMPUTED_VALUE"""),0.0)</f>
        <v>0</v>
      </c>
      <c r="O530" s="10">
        <f>IFERROR(__xludf.DUMMYFUNCTION("""COMPUTED_VALUE"""),0.0)</f>
        <v>0</v>
      </c>
      <c r="P530" s="10">
        <f>IFERROR(__xludf.DUMMYFUNCTION("""COMPUTED_VALUE"""),0.0)</f>
        <v>0</v>
      </c>
      <c r="Q530" s="10" t="str">
        <f>IFERROR(__xludf.DUMMYFUNCTION("""COMPUTED_VALUE"""),"No")</f>
        <v>No</v>
      </c>
      <c r="R530" s="10" t="str">
        <f>IFERROR(__xludf.DUMMYFUNCTION("""COMPUTED_VALUE"""),"No")</f>
        <v>No</v>
      </c>
      <c r="S530" s="10" t="str">
        <f>IFERROR(__xludf.DUMMYFUNCTION("""COMPUTED_VALUE"""),"No")</f>
        <v>No</v>
      </c>
      <c r="T530" s="10">
        <f>IFERROR(__xludf.DUMMYFUNCTION("""COMPUTED_VALUE"""),0.0)</f>
        <v>0</v>
      </c>
      <c r="U530" s="10">
        <f>IFERROR(__xludf.DUMMYFUNCTION("""COMPUTED_VALUE"""),0.0)</f>
        <v>0</v>
      </c>
      <c r="V530" s="10" t="str">
        <f>IFERROR(__xludf.DUMMYFUNCTION("""COMPUTED_VALUE"""),"درود پاک کی فضیلت اور اللہ پر تک وکل اور بھروسہ")</f>
        <v>درود پاک کی فضیلت اور اللہ پر تک وکل اور بھروسہ</v>
      </c>
      <c r="W530" s="10" t="str">
        <f>IFERROR(__xludf.DUMMYFUNCTION("""COMPUTED_VALUE"""),"امام نے اپنے بیان میں جمعہ کے دن درود شریف کی اہمیت بیان کی ہے اور درود شریف کے بے شمار افوائد کا ذکر کیا جب نبی پاک صلی اللہ علیہ والہ وسلم کو پل اسرار کے بارے میں بتایا گیا کہ اپ کی امت کو اس سے گزرنا پڑے گا جو کہ تلوار سے بھی زیادہ تیز ہے تو اپ صلی الل"&amp;"ہ علیہ والہ وسلم افسردہ ہو گئے تو اسی وقت اللہ تعالی نے اپنے حکم سے چار فرشتے جن کے جن کے ذمے مختلف کام ہیں اپ سے وعدہ کیا کہ جو اپ پر درود شریف پڑھے گا انہیں کچھ نہیں ہوگا اور اس کے ساتھ ساتھ اللہ پر توکل اور بھروسے کی مثال بھی بیان کی")</f>
        <v>امام نے اپنے بیان میں جمعہ کے دن درود شریف کی اہمیت بیان کی ہے اور درود شریف کے بے شمار افوائد کا ذکر کیا جب نبی پاک صلی اللہ علیہ والہ وسلم کو پل اسرار کے بارے میں بتایا گیا کہ اپ کی امت کو اس سے گزرنا پڑے گا جو کہ تلوار سے بھی زیادہ تیز ہے تو اپ صلی اللہ علیہ والہ وسلم افسردہ ہو گئے تو اسی وقت اللہ تعالی نے اپنے حکم سے چار فرشتے جن کے جن کے ذمے مختلف کام ہیں اپ سے وعدہ کیا کہ جو اپ پر درود شریف پڑھے گا انہیں کچھ نہیں ہوگا اور اس کے ساتھ ساتھ اللہ پر توکل اور بھروسے کی مثال بھی بیان کی</v>
      </c>
      <c r="X530" s="10">
        <f>IFERROR(__xludf.DUMMYFUNCTION("""COMPUTED_VALUE"""),3.0)</f>
        <v>3</v>
      </c>
      <c r="Y530" s="10">
        <f>IFERROR(__xludf.DUMMYFUNCTION("""COMPUTED_VALUE"""),4.0)</f>
        <v>4</v>
      </c>
      <c r="Z530" s="10">
        <f>IFERROR(__xludf.DUMMYFUNCTION("""COMPUTED_VALUE"""),0.0)</f>
        <v>0</v>
      </c>
      <c r="AA530" s="10">
        <f>IFERROR(__xludf.DUMMYFUNCTION("""COMPUTED_VALUE"""),8.0)</f>
        <v>8</v>
      </c>
      <c r="AB530" s="10">
        <f>IFERROR(__xludf.DUMMYFUNCTION("""COMPUTED_VALUE"""),6.0)</f>
        <v>6</v>
      </c>
      <c r="AC530" s="10">
        <f>IFERROR(__xludf.DUMMYFUNCTION("""COMPUTED_VALUE"""),0.0)</f>
        <v>0</v>
      </c>
      <c r="AD530" s="10">
        <f>IFERROR(__xludf.DUMMYFUNCTION("""COMPUTED_VALUE"""),0.0)</f>
        <v>0</v>
      </c>
      <c r="AE530" s="10">
        <f>IFERROR(__xludf.DUMMYFUNCTION("""COMPUTED_VALUE"""),0.0)</f>
        <v>0</v>
      </c>
      <c r="AF530" s="10">
        <f>IFERROR(__xludf.DUMMYFUNCTION("""COMPUTED_VALUE"""),0.0)</f>
        <v>0</v>
      </c>
      <c r="AG530" s="10">
        <f>IFERROR(__xludf.DUMMYFUNCTION("""COMPUTED_VALUE"""),8.0)</f>
        <v>8</v>
      </c>
      <c r="AH530" s="10">
        <f>IFERROR(__xludf.DUMMYFUNCTION("""COMPUTED_VALUE"""),0.0)</f>
        <v>0</v>
      </c>
      <c r="AI530" s="10">
        <f>IFERROR(__xludf.DUMMYFUNCTION("""COMPUTED_VALUE"""),8.0)</f>
        <v>8</v>
      </c>
      <c r="AJ530" s="11" t="str">
        <f>IFERROR(__xludf.DUMMYFUNCTION("""COMPUTED_VALUE"""),"https://drive.google.com/open?id=1R7kOb5ddRe0iIOKAIyot78rwRNMO4t01bhNbGYg77nY")</f>
        <v>https://drive.google.com/open?id=1R7kOb5ddRe0iIOKAIyot78rwRNMO4t01bhNbGYg77nY</v>
      </c>
      <c r="AK530" s="12" t="str">
        <f>IFERROR(__xludf.DUMMYFUNCTION("""COMPUTED_VALUE"""),"No")</f>
        <v>No</v>
      </c>
      <c r="AL530" s="12" t="str">
        <f>IFERROR(__xludf.DUMMYFUNCTION("""COMPUTED_VALUE"""),"No")</f>
        <v>No</v>
      </c>
      <c r="AM530" s="15">
        <f>IFERROR(__xludf.DUMMYFUNCTION("""COMPUTED_VALUE"""),0.0)</f>
        <v>0</v>
      </c>
      <c r="AN530" s="12" t="str">
        <f>IFERROR(__xludf.DUMMYFUNCTION("""COMPUTED_VALUE"""),"1st week")</f>
        <v>1st week</v>
      </c>
      <c r="AO530" s="13">
        <v>1.0</v>
      </c>
      <c r="AX530" s="17"/>
    </row>
    <row r="531">
      <c r="B531" s="9">
        <f>IFERROR(__xludf.DUMMYFUNCTION("""COMPUTED_VALUE"""),45890.545536944446)</f>
        <v>45890.54554</v>
      </c>
      <c r="C531" s="10" t="str">
        <f>IFERROR(__xludf.DUMMYFUNCTION("""COMPUTED_VALUE"""),"Asma Gul ")</f>
        <v>Asma Gul </v>
      </c>
      <c r="D531" s="10" t="str">
        <f>IFERROR(__xludf.DUMMYFUNCTION("""COMPUTED_VALUE"""),"03459308620")</f>
        <v>03459308620</v>
      </c>
      <c r="E531" s="10" t="str">
        <f>IFERROR(__xludf.DUMMYFUNCTION("""COMPUTED_VALUE"""),"Jamia Masjid Mai Shahab Khanpur")</f>
        <v>Jamia Masjid Mai Shahab Khanpur</v>
      </c>
      <c r="F531" s="10" t="str">
        <f>IFERROR(__xludf.DUMMYFUNCTION("""COMPUTED_VALUE"""),"qqsmi")</f>
        <v>qqsmi</v>
      </c>
      <c r="G531" s="10" t="str">
        <f>IFERROR(__xludf.DUMMYFUNCTION("""COMPUTED_VALUE"""),"Yes")</f>
        <v>Yes</v>
      </c>
      <c r="H531" s="10">
        <f>IFERROR(__xludf.DUMMYFUNCTION("""COMPUTED_VALUE"""),9.0)</f>
        <v>9</v>
      </c>
      <c r="I531" s="10">
        <f>IFERROR(__xludf.DUMMYFUNCTION("""COMPUTED_VALUE"""),1.0)</f>
        <v>1</v>
      </c>
      <c r="J531" s="10">
        <f>IFERROR(__xludf.DUMMYFUNCTION("""COMPUTED_VALUE"""),9.0)</f>
        <v>9</v>
      </c>
      <c r="K531" s="10">
        <f>IFERROR(__xludf.DUMMYFUNCTION("""COMPUTED_VALUE"""),9.0)</f>
        <v>9</v>
      </c>
      <c r="L531" s="10">
        <f>IFERROR(__xludf.DUMMYFUNCTION("""COMPUTED_VALUE"""),0.0)</f>
        <v>0</v>
      </c>
      <c r="M531" s="10">
        <f>IFERROR(__xludf.DUMMYFUNCTION("""COMPUTED_VALUE"""),9.0)</f>
        <v>9</v>
      </c>
      <c r="N531" s="10">
        <f>IFERROR(__xludf.DUMMYFUNCTION("""COMPUTED_VALUE"""),0.0)</f>
        <v>0</v>
      </c>
      <c r="O531" s="10">
        <f>IFERROR(__xludf.DUMMYFUNCTION("""COMPUTED_VALUE"""),10.0)</f>
        <v>10</v>
      </c>
      <c r="P531" s="10">
        <f>IFERROR(__xludf.DUMMYFUNCTION("""COMPUTED_VALUE"""),0.0)</f>
        <v>0</v>
      </c>
      <c r="Q531" s="10" t="str">
        <f>IFERROR(__xludf.DUMMYFUNCTION("""COMPUTED_VALUE"""),"Yes")</f>
        <v>Yes</v>
      </c>
      <c r="R531" s="10" t="str">
        <f>IFERROR(__xludf.DUMMYFUNCTION("""COMPUTED_VALUE"""),"No")</f>
        <v>No</v>
      </c>
      <c r="S531" s="10" t="str">
        <f>IFERROR(__xludf.DUMMYFUNCTION("""COMPUTED_VALUE"""),"No")</f>
        <v>No</v>
      </c>
      <c r="T531" s="10">
        <f>IFERROR(__xludf.DUMMYFUNCTION("""COMPUTED_VALUE"""),0.0)</f>
        <v>0</v>
      </c>
      <c r="U531" s="10">
        <f>IFERROR(__xludf.DUMMYFUNCTION("""COMPUTED_VALUE"""),0.0)</f>
        <v>0</v>
      </c>
      <c r="V531" s="10" t="str">
        <f>IFERROR(__xludf.DUMMYFUNCTION("""COMPUTED_VALUE"""),"خوا تین بشمول بیٹیوں کے حقوق کی اہمیت اور فضیلت")</f>
        <v>خوا تین بشمول بیٹیوں کے حقوق کی اہمیت اور فضیلت</v>
      </c>
      <c r="W531" s="10" t="str">
        <f>IFERROR(__xludf.DUMMYFUNCTION("""COMPUTED_VALUE"""),"اس خطبے میں امام نے خواتین کی اہمیت اور فضیلت بیان کی ہے خاص طور پر بیٹیوں کے حقوق جس طرح ماضی میں بیٹیوں کو زندہ درگور کر دیا جاتا تھا اج کل کے دور میں بیٹیوں کو پڑھانے کا کام رواج ہے ان کو معاشرے کا فائدہ مند شہری بنانے کے لیے ان کو ڈاکٹر جیسے پروفیشن م"&amp;"یں جانے کا حوصلہ دینا چاہیے")</f>
        <v>اس خطبے میں امام نے خواتین کی اہمیت اور فضیلت بیان کی ہے خاص طور پر بیٹیوں کے حقوق جس طرح ماضی میں بیٹیوں کو زندہ درگور کر دیا جاتا تھا اج کل کے دور میں بیٹیوں کو پڑھانے کا کام رواج ہے ان کو معاشرے کا فائدہ مند شہری بنانے کے لیے ان کو ڈاکٹر جیسے پروفیشن میں جانے کا حوصلہ دینا چاہیے</v>
      </c>
      <c r="X531" s="10">
        <f>IFERROR(__xludf.DUMMYFUNCTION("""COMPUTED_VALUE"""),0.0)</f>
        <v>0</v>
      </c>
      <c r="Y531" s="10">
        <f>IFERROR(__xludf.DUMMYFUNCTION("""COMPUTED_VALUE"""),10.0)</f>
        <v>10</v>
      </c>
      <c r="Z531" s="10">
        <f>IFERROR(__xludf.DUMMYFUNCTION("""COMPUTED_VALUE"""),10.0)</f>
        <v>10</v>
      </c>
      <c r="AA531" s="10">
        <f>IFERROR(__xludf.DUMMYFUNCTION("""COMPUTED_VALUE"""),10.0)</f>
        <v>10</v>
      </c>
      <c r="AB531" s="10">
        <f>IFERROR(__xludf.DUMMYFUNCTION("""COMPUTED_VALUE"""),10.0)</f>
        <v>10</v>
      </c>
      <c r="AC531" s="10">
        <f>IFERROR(__xludf.DUMMYFUNCTION("""COMPUTED_VALUE"""),1.0)</f>
        <v>1</v>
      </c>
      <c r="AD531" s="10">
        <f>IFERROR(__xludf.DUMMYFUNCTION("""COMPUTED_VALUE"""),7.0)</f>
        <v>7</v>
      </c>
      <c r="AE531" s="10">
        <f>IFERROR(__xludf.DUMMYFUNCTION("""COMPUTED_VALUE"""),2.0)</f>
        <v>2</v>
      </c>
      <c r="AF531" s="10">
        <f>IFERROR(__xludf.DUMMYFUNCTION("""COMPUTED_VALUE"""),0.0)</f>
        <v>0</v>
      </c>
      <c r="AG531" s="10">
        <f>IFERROR(__xludf.DUMMYFUNCTION("""COMPUTED_VALUE"""),10.0)</f>
        <v>10</v>
      </c>
      <c r="AH531" s="10">
        <f>IFERROR(__xludf.DUMMYFUNCTION("""COMPUTED_VALUE"""),0.0)</f>
        <v>0</v>
      </c>
      <c r="AI531" s="10">
        <f>IFERROR(__xludf.DUMMYFUNCTION("""COMPUTED_VALUE"""),10.0)</f>
        <v>10</v>
      </c>
      <c r="AJ531" s="11" t="str">
        <f>IFERROR(__xludf.DUMMYFUNCTION("""COMPUTED_VALUE"""),"https://drive.google.com/open?id=1EelOyXk_-bGQWrwGcQbS-wzY9aMLd5I6CcSE4Kf5kyM")</f>
        <v>https://drive.google.com/open?id=1EelOyXk_-bGQWrwGcQbS-wzY9aMLd5I6CcSE4Kf5kyM</v>
      </c>
      <c r="AK531" s="12"/>
      <c r="AL531" s="12" t="str">
        <f>IFERROR(__xludf.DUMMYFUNCTION("""COMPUTED_VALUE"""),"Yes")</f>
        <v>Yes</v>
      </c>
      <c r="AM531" s="15">
        <f>IFERROR(__xludf.DUMMYFUNCTION("""COMPUTED_VALUE"""),0.9)</f>
        <v>0.9</v>
      </c>
      <c r="AN531" s="12" t="str">
        <f>IFERROR(__xludf.DUMMYFUNCTION("""COMPUTED_VALUE"""),"2nd week")</f>
        <v>2nd week</v>
      </c>
      <c r="AO531" s="13">
        <v>2.0</v>
      </c>
      <c r="AX531" s="17"/>
    </row>
    <row r="532">
      <c r="B532" s="9">
        <f>IFERROR(__xludf.DUMMYFUNCTION("""COMPUTED_VALUE"""),45890.6735028125)</f>
        <v>45890.6735</v>
      </c>
      <c r="C532" s="10" t="str">
        <f>IFERROR(__xludf.DUMMYFUNCTION("""COMPUTED_VALUE"""),"Atiqa")</f>
        <v>Atiqa</v>
      </c>
      <c r="D532" s="10" t="str">
        <f>IFERROR(__xludf.DUMMYFUNCTION("""COMPUTED_VALUE"""),"03157519977")</f>
        <v>03157519977</v>
      </c>
      <c r="E532" s="10" t="str">
        <f>IFERROR(__xludf.DUMMYFUNCTION("""COMPUTED_VALUE"""),"Jamia Masjid Qasabaan Wali Multan ")</f>
        <v>Jamia Masjid Qasabaan Wali Multan </v>
      </c>
      <c r="F532" s="10" t="str">
        <f>IFERROR(__xludf.DUMMYFUNCTION("""COMPUTED_VALUE"""),"QKGIH")</f>
        <v>QKGIH</v>
      </c>
      <c r="G532" s="10" t="str">
        <f>IFERROR(__xludf.DUMMYFUNCTION("""COMPUTED_VALUE"""),"Yes")</f>
        <v>Yes</v>
      </c>
      <c r="H532" s="10">
        <f>IFERROR(__xludf.DUMMYFUNCTION("""COMPUTED_VALUE"""),0.0)</f>
        <v>0</v>
      </c>
      <c r="I532" s="10">
        <f>IFERROR(__xludf.DUMMYFUNCTION("""COMPUTED_VALUE"""),10.0)</f>
        <v>10</v>
      </c>
      <c r="J532" s="10">
        <f>IFERROR(__xludf.DUMMYFUNCTION("""COMPUTED_VALUE"""),0.0)</f>
        <v>0</v>
      </c>
      <c r="K532" s="10">
        <f>IFERROR(__xludf.DUMMYFUNCTION("""COMPUTED_VALUE"""),0.0)</f>
        <v>0</v>
      </c>
      <c r="L532" s="10">
        <f>IFERROR(__xludf.DUMMYFUNCTION("""COMPUTED_VALUE"""),0.0)</f>
        <v>0</v>
      </c>
      <c r="M532" s="10">
        <f>IFERROR(__xludf.DUMMYFUNCTION("""COMPUTED_VALUE"""),0.0)</f>
        <v>0</v>
      </c>
      <c r="N532" s="10">
        <f>IFERROR(__xludf.DUMMYFUNCTION("""COMPUTED_VALUE"""),0.0)</f>
        <v>0</v>
      </c>
      <c r="O532" s="10">
        <f>IFERROR(__xludf.DUMMYFUNCTION("""COMPUTED_VALUE"""),0.0)</f>
        <v>0</v>
      </c>
      <c r="P532" s="10">
        <f>IFERROR(__xludf.DUMMYFUNCTION("""COMPUTED_VALUE"""),0.0)</f>
        <v>0</v>
      </c>
      <c r="Q532" s="10" t="str">
        <f>IFERROR(__xludf.DUMMYFUNCTION("""COMPUTED_VALUE"""),"No")</f>
        <v>No</v>
      </c>
      <c r="R532" s="10" t="str">
        <f>IFERROR(__xludf.DUMMYFUNCTION("""COMPUTED_VALUE"""),"No")</f>
        <v>No</v>
      </c>
      <c r="S532" s="10" t="str">
        <f>IFERROR(__xludf.DUMMYFUNCTION("""COMPUTED_VALUE"""),"No")</f>
        <v>No</v>
      </c>
      <c r="T532" s="10">
        <f>IFERROR(__xludf.DUMMYFUNCTION("""COMPUTED_VALUE"""),0.0)</f>
        <v>0</v>
      </c>
      <c r="U532" s="10">
        <f>IFERROR(__xludf.DUMMYFUNCTION("""COMPUTED_VALUE"""),0.0)</f>
        <v>0</v>
      </c>
      <c r="V532" s="10" t="str">
        <f>IFERROR(__xludf.DUMMYFUNCTION("""COMPUTED_VALUE"""),"بہاولدین زکریا رحمت اللہ کا تعلق سلسلہ سہروردیا اور شجرہ نسب ")</f>
        <v>بہاولدین زکریا رحمت اللہ کا تعلق سلسلہ سہروردیا اور شجرہ نسب </v>
      </c>
      <c r="W532" s="10" t="str">
        <f>IFERROR(__xludf.DUMMYFUNCTION("""COMPUTED_VALUE"""),"بہاؤ الدین زکریا کے سلسلے کی تحریک قادریہ تحریک نقشبندیہ تحریک سیفیا کابیا اور سلسلہ سہر و دریا کے بانی عبدالقہر ابو نجیب کے متعلق بات کی گئی ۔ حسن بصری اور ام سلمہ کا واقعہ جس میں ام سلمہ حسن بصری کو اٹھا کر چھاتی سے لگاتی ہیں ۔ حضرت بہاؤدین زکریا کی ولا"&amp;"دت کے وقت تاتاریوں کا حملہ اور شیخ شہاب الدین سہروردی کے خلفاء میں شامل نامور شخصیات کے بارے میں بات کی گئی ۔ موجودہ معاشرے میں لوگوں کا مزاروں پر جا کر بدعت اور خلافات کرنا  ۔")</f>
        <v>بہاؤ الدین زکریا کے سلسلے کی تحریک قادریہ تحریک نقشبندیہ تحریک سیفیا کابیا اور سلسلہ سہر و دریا کے بانی عبدالقہر ابو نجیب کے متعلق بات کی گئی ۔ حسن بصری اور ام سلمہ کا واقعہ جس میں ام سلمہ حسن بصری کو اٹھا کر چھاتی سے لگاتی ہیں ۔ حضرت بہاؤدین زکریا کی ولادت کے وقت تاتاریوں کا حملہ اور شیخ شہاب الدین سہروردی کے خلفاء میں شامل نامور شخصیات کے بارے میں بات کی گئی ۔ موجودہ معاشرے میں لوگوں کا مزاروں پر جا کر بدعت اور خلافات کرنا  ۔</v>
      </c>
      <c r="X532" s="10">
        <f>IFERROR(__xludf.DUMMYFUNCTION("""COMPUTED_VALUE"""),1.0)</f>
        <v>1</v>
      </c>
      <c r="Y532" s="10">
        <f>IFERROR(__xludf.DUMMYFUNCTION("""COMPUTED_VALUE"""),6.0)</f>
        <v>6</v>
      </c>
      <c r="Z532" s="10">
        <f>IFERROR(__xludf.DUMMYFUNCTION("""COMPUTED_VALUE"""),4.0)</f>
        <v>4</v>
      </c>
      <c r="AA532" s="10">
        <f>IFERROR(__xludf.DUMMYFUNCTION("""COMPUTED_VALUE"""),7.0)</f>
        <v>7</v>
      </c>
      <c r="AB532" s="10">
        <f>IFERROR(__xludf.DUMMYFUNCTION("""COMPUTED_VALUE"""),9.0)</f>
        <v>9</v>
      </c>
      <c r="AC532" s="10">
        <f>IFERROR(__xludf.DUMMYFUNCTION("""COMPUTED_VALUE"""),0.0)</f>
        <v>0</v>
      </c>
      <c r="AD532" s="10">
        <f>IFERROR(__xludf.DUMMYFUNCTION("""COMPUTED_VALUE"""),0.0)</f>
        <v>0</v>
      </c>
      <c r="AE532" s="10">
        <f>IFERROR(__xludf.DUMMYFUNCTION("""COMPUTED_VALUE"""),3.0)</f>
        <v>3</v>
      </c>
      <c r="AF532" s="10">
        <f>IFERROR(__xludf.DUMMYFUNCTION("""COMPUTED_VALUE"""),0.0)</f>
        <v>0</v>
      </c>
      <c r="AG532" s="10">
        <f>IFERROR(__xludf.DUMMYFUNCTION("""COMPUTED_VALUE"""),7.0)</f>
        <v>7</v>
      </c>
      <c r="AH532" s="10">
        <f>IFERROR(__xludf.DUMMYFUNCTION("""COMPUTED_VALUE"""),0.0)</f>
        <v>0</v>
      </c>
      <c r="AI532" s="10">
        <f>IFERROR(__xludf.DUMMYFUNCTION("""COMPUTED_VALUE"""),7.0)</f>
        <v>7</v>
      </c>
      <c r="AJ532" s="11" t="str">
        <f>IFERROR(__xludf.DUMMYFUNCTION("""COMPUTED_VALUE"""),"https://drive.google.com/open?id=1EF5RYvW2hI7wjbgazCWOc3VBgCj63NS8ACO-4waSYdI")</f>
        <v>https://drive.google.com/open?id=1EF5RYvW2hI7wjbgazCWOc3VBgCj63NS8ACO-4waSYdI</v>
      </c>
      <c r="AK532" s="12"/>
      <c r="AL532" s="12" t="str">
        <f>IFERROR(__xludf.DUMMYFUNCTION("""COMPUTED_VALUE"""),"No")</f>
        <v>No</v>
      </c>
      <c r="AM532" s="15">
        <f>IFERROR(__xludf.DUMMYFUNCTION("""COMPUTED_VALUE"""),0.0)</f>
        <v>0</v>
      </c>
      <c r="AN532" s="12" t="str">
        <f>IFERROR(__xludf.DUMMYFUNCTION("""COMPUTED_VALUE"""),"3rd week")</f>
        <v>3rd week</v>
      </c>
      <c r="AO532" s="13">
        <v>3.0</v>
      </c>
      <c r="AX532" s="17"/>
    </row>
    <row r="533">
      <c r="B533" s="9">
        <f>IFERROR(__xludf.DUMMYFUNCTION("""COMPUTED_VALUE"""),45890.74397164352)</f>
        <v>45890.74397</v>
      </c>
      <c r="C533" s="10" t="str">
        <f>IFERROR(__xludf.DUMMYFUNCTION("""COMPUTED_VALUE"""),"Sidra ")</f>
        <v>Sidra </v>
      </c>
      <c r="D533" s="10" t="str">
        <f>IFERROR(__xludf.DUMMYFUNCTION("""COMPUTED_VALUE"""),"03261416280")</f>
        <v>03261416280</v>
      </c>
      <c r="E533" s="10" t="str">
        <f>IFERROR(__xludf.DUMMYFUNCTION("""COMPUTED_VALUE"""),"Jamia Masjid Markazi Eid Gah Khanewal")</f>
        <v>Jamia Masjid Markazi Eid Gah Khanewal</v>
      </c>
      <c r="F533" s="10" t="str">
        <f>IFERROR(__xludf.DUMMYFUNCTION("""COMPUTED_VALUE"""),"frmfu")</f>
        <v>frmfu</v>
      </c>
      <c r="G533" s="10" t="str">
        <f>IFERROR(__xludf.DUMMYFUNCTION("""COMPUTED_VALUE"""),"Yes")</f>
        <v>Yes</v>
      </c>
      <c r="H533" s="10">
        <f>IFERROR(__xludf.DUMMYFUNCTION("""COMPUTED_VALUE"""),9.0)</f>
        <v>9</v>
      </c>
      <c r="I533" s="10">
        <f>IFERROR(__xludf.DUMMYFUNCTION("""COMPUTED_VALUE"""),1.0)</f>
        <v>1</v>
      </c>
      <c r="J533" s="10">
        <f>IFERROR(__xludf.DUMMYFUNCTION("""COMPUTED_VALUE"""),9.0)</f>
        <v>9</v>
      </c>
      <c r="K533" s="10">
        <f>IFERROR(__xludf.DUMMYFUNCTION("""COMPUTED_VALUE"""),9.0)</f>
        <v>9</v>
      </c>
      <c r="L533" s="10">
        <f>IFERROR(__xludf.DUMMYFUNCTION("""COMPUTED_VALUE"""),0.0)</f>
        <v>0</v>
      </c>
      <c r="M533" s="10">
        <f>IFERROR(__xludf.DUMMYFUNCTION("""COMPUTED_VALUE"""),7.0)</f>
        <v>7</v>
      </c>
      <c r="N533" s="10">
        <f>IFERROR(__xludf.DUMMYFUNCTION("""COMPUTED_VALUE"""),0.0)</f>
        <v>0</v>
      </c>
      <c r="O533" s="10">
        <f>IFERROR(__xludf.DUMMYFUNCTION("""COMPUTED_VALUE"""),5.0)</f>
        <v>5</v>
      </c>
      <c r="P533" s="10">
        <f>IFERROR(__xludf.DUMMYFUNCTION("""COMPUTED_VALUE"""),0.0)</f>
        <v>0</v>
      </c>
      <c r="Q533" s="10" t="str">
        <f>IFERROR(__xludf.DUMMYFUNCTION("""COMPUTED_VALUE"""),"Yes")</f>
        <v>Yes</v>
      </c>
      <c r="R533" s="10" t="str">
        <f>IFERROR(__xludf.DUMMYFUNCTION("""COMPUTED_VALUE"""),"No")</f>
        <v>No</v>
      </c>
      <c r="S533" s="10" t="str">
        <f>IFERROR(__xludf.DUMMYFUNCTION("""COMPUTED_VALUE"""),"Yes")</f>
        <v>Yes</v>
      </c>
      <c r="T533" s="10">
        <f>IFERROR(__xludf.DUMMYFUNCTION("""COMPUTED_VALUE"""),0.0)</f>
        <v>0</v>
      </c>
      <c r="U533" s="10">
        <f>IFERROR(__xludf.DUMMYFUNCTION("""COMPUTED_VALUE"""),0.0)</f>
        <v>0</v>
      </c>
      <c r="V533" s="10" t="str">
        <f>IFERROR(__xludf.DUMMYFUNCTION("""COMPUTED_VALUE"""),"اسلام میں عورتوں کا حق مقام اور کردار")</f>
        <v>اسلام میں عورتوں کا حق مقام اور کردار</v>
      </c>
      <c r="W533" s="10" t="str">
        <f>IFERROR(__xludf.DUMMYFUNCTION("""COMPUTED_VALUE"""),"امام نے بیان میں بتایا ہے کہ عورتوں کو ان کا حق دینا چاہیے ان سے حسن سلوک سے پیش آنا چاہیے ")</f>
        <v>امام نے بیان میں بتایا ہے کہ عورتوں کو ان کا حق دینا چاہیے ان سے حسن سلوک سے پیش آنا چاہیے </v>
      </c>
      <c r="X533" s="10">
        <f>IFERROR(__xludf.DUMMYFUNCTION("""COMPUTED_VALUE"""),0.0)</f>
        <v>0</v>
      </c>
      <c r="Y533" s="10">
        <f>IFERROR(__xludf.DUMMYFUNCTION("""COMPUTED_VALUE"""),6.0)</f>
        <v>6</v>
      </c>
      <c r="Z533" s="10">
        <f>IFERROR(__xludf.DUMMYFUNCTION("""COMPUTED_VALUE"""),7.0)</f>
        <v>7</v>
      </c>
      <c r="AA533" s="10">
        <f>IFERROR(__xludf.DUMMYFUNCTION("""COMPUTED_VALUE"""),5.0)</f>
        <v>5</v>
      </c>
      <c r="AB533" s="10">
        <f>IFERROR(__xludf.DUMMYFUNCTION("""COMPUTED_VALUE"""),4.0)</f>
        <v>4</v>
      </c>
      <c r="AC533" s="10">
        <f>IFERROR(__xludf.DUMMYFUNCTION("""COMPUTED_VALUE"""),0.0)</f>
        <v>0</v>
      </c>
      <c r="AD533" s="10">
        <f>IFERROR(__xludf.DUMMYFUNCTION("""COMPUTED_VALUE"""),0.0)</f>
        <v>0</v>
      </c>
      <c r="AE533" s="10">
        <f>IFERROR(__xludf.DUMMYFUNCTION("""COMPUTED_VALUE"""),3.0)</f>
        <v>3</v>
      </c>
      <c r="AF533" s="10">
        <f>IFERROR(__xludf.DUMMYFUNCTION("""COMPUTED_VALUE"""),0.0)</f>
        <v>0</v>
      </c>
      <c r="AG533" s="10">
        <f>IFERROR(__xludf.DUMMYFUNCTION("""COMPUTED_VALUE"""),9.0)</f>
        <v>9</v>
      </c>
      <c r="AH533" s="10">
        <f>IFERROR(__xludf.DUMMYFUNCTION("""COMPUTED_VALUE"""),0.0)</f>
        <v>0</v>
      </c>
      <c r="AI533" s="10">
        <f>IFERROR(__xludf.DUMMYFUNCTION("""COMPUTED_VALUE"""),9.0)</f>
        <v>9</v>
      </c>
      <c r="AJ533" s="11" t="str">
        <f>IFERROR(__xludf.DUMMYFUNCTION("""COMPUTED_VALUE"""),"https://drive.google.com/open?id=1gOHiPoqGLXKevGPQlhXcLqEqp4_6O6uazx8aoPtE3zM")</f>
        <v>https://drive.google.com/open?id=1gOHiPoqGLXKevGPQlhXcLqEqp4_6O6uazx8aoPtE3zM</v>
      </c>
      <c r="AK533" s="12" t="str">
        <f>IFERROR(__xludf.DUMMYFUNCTION("""COMPUTED_VALUE"""),"No ")</f>
        <v>No </v>
      </c>
      <c r="AL533" s="12" t="str">
        <f>IFERROR(__xludf.DUMMYFUNCTION("""COMPUTED_VALUE"""),"Yes")</f>
        <v>Yes</v>
      </c>
      <c r="AM533" s="15">
        <f>IFERROR(__xludf.DUMMYFUNCTION("""COMPUTED_VALUE"""),0.9)</f>
        <v>0.9</v>
      </c>
      <c r="AN533" s="12" t="str">
        <f>IFERROR(__xludf.DUMMYFUNCTION("""COMPUTED_VALUE"""),"1st week")</f>
        <v>1st week</v>
      </c>
      <c r="AO533" s="13">
        <v>1.0</v>
      </c>
      <c r="AX533" s="17"/>
    </row>
    <row r="534">
      <c r="B534" s="9">
        <f>IFERROR(__xludf.DUMMYFUNCTION("""COMPUTED_VALUE"""),45890.76702452546)</f>
        <v>45890.76702</v>
      </c>
      <c r="C534" s="10" t="str">
        <f>IFERROR(__xludf.DUMMYFUNCTION("""COMPUTED_VALUE"""),"Saira Shahzad ")</f>
        <v>Saira Shahzad </v>
      </c>
      <c r="D534" s="10" t="str">
        <f>IFERROR(__xludf.DUMMYFUNCTION("""COMPUTED_VALUE"""),"O3114534696")</f>
        <v>O3114534696</v>
      </c>
      <c r="E534" s="10" t="str">
        <f>IFERROR(__xludf.DUMMYFUNCTION("""COMPUTED_VALUE"""),"Jamia Masjid Darbar Rasheed Jalaal Ul Din")</f>
        <v>Jamia Masjid Darbar Rasheed Jalaal Ul Din</v>
      </c>
      <c r="F534" s="10" t="str">
        <f>IFERROR(__xludf.DUMMYFUNCTION("""COMPUTED_VALUE"""),"pnyzs")</f>
        <v>pnyzs</v>
      </c>
      <c r="G534" s="10" t="str">
        <f>IFERROR(__xludf.DUMMYFUNCTION("""COMPUTED_VALUE"""),"Yes")</f>
        <v>Yes</v>
      </c>
      <c r="H534" s="10">
        <f>IFERROR(__xludf.DUMMYFUNCTION("""COMPUTED_VALUE"""),0.0)</f>
        <v>0</v>
      </c>
      <c r="I534" s="10">
        <f>IFERROR(__xludf.DUMMYFUNCTION("""COMPUTED_VALUE"""),10.0)</f>
        <v>10</v>
      </c>
      <c r="J534" s="10">
        <f>IFERROR(__xludf.DUMMYFUNCTION("""COMPUTED_VALUE"""),0.0)</f>
        <v>0</v>
      </c>
      <c r="K534" s="10">
        <f>IFERROR(__xludf.DUMMYFUNCTION("""COMPUTED_VALUE"""),1.0)</f>
        <v>1</v>
      </c>
      <c r="L534" s="10">
        <f>IFERROR(__xludf.DUMMYFUNCTION("""COMPUTED_VALUE"""),0.0)</f>
        <v>0</v>
      </c>
      <c r="M534" s="10">
        <f>IFERROR(__xludf.DUMMYFUNCTION("""COMPUTED_VALUE"""),6.0)</f>
        <v>6</v>
      </c>
      <c r="N534" s="10">
        <f>IFERROR(__xludf.DUMMYFUNCTION("""COMPUTED_VALUE"""),0.0)</f>
        <v>0</v>
      </c>
      <c r="O534" s="10">
        <f>IFERROR(__xludf.DUMMYFUNCTION("""COMPUTED_VALUE"""),0.0)</f>
        <v>0</v>
      </c>
      <c r="P534" s="10">
        <f>IFERROR(__xludf.DUMMYFUNCTION("""COMPUTED_VALUE"""),0.0)</f>
        <v>0</v>
      </c>
      <c r="Q534" s="10" t="str">
        <f>IFERROR(__xludf.DUMMYFUNCTION("""COMPUTED_VALUE"""),"No")</f>
        <v>No</v>
      </c>
      <c r="R534" s="10" t="str">
        <f>IFERROR(__xludf.DUMMYFUNCTION("""COMPUTED_VALUE"""),"No")</f>
        <v>No</v>
      </c>
      <c r="S534" s="10" t="str">
        <f>IFERROR(__xludf.DUMMYFUNCTION("""COMPUTED_VALUE"""),"No")</f>
        <v>No</v>
      </c>
      <c r="T534" s="10">
        <f>IFERROR(__xludf.DUMMYFUNCTION("""COMPUTED_VALUE"""),0.0)</f>
        <v>0</v>
      </c>
      <c r="U534" s="10">
        <f>IFERROR(__xludf.DUMMYFUNCTION("""COMPUTED_VALUE"""),0.0)</f>
        <v>0</v>
      </c>
      <c r="V534" s="10" t="str">
        <f>IFERROR(__xludf.DUMMYFUNCTION("""COMPUTED_VALUE"""),"پردے کا حکم")</f>
        <v>پردے کا حکم</v>
      </c>
      <c r="W534" s="10" t="str">
        <f>IFERROR(__xludf.DUMMYFUNCTION("""COMPUTED_VALUE"""),"امام نے اپنے بیان میں پردے کا حکم دیا ہے اور جیسا کہ قرآن پاک میں حکم ہے کہ مومن عورتیں اور مرد اپنی نگاہوں کی اور اپنی شرم گاہوں کی حفاظت کریں اس پر تفصیل سے بات کی ہے اور موجودہ دور میں جو کہ اس کا خیال نہیں رکھا جاتا اس پر بات کی ہے اور جو عورتیں پردے "&amp;"کا خیال نہیں رکھتی ان کو جو عذاب ہوگا وہ بیان کیا گیا ہے")</f>
        <v>امام نے اپنے بیان میں پردے کا حکم دیا ہے اور جیسا کہ قرآن پاک میں حکم ہے کہ مومن عورتیں اور مرد اپنی نگاہوں کی اور اپنی شرم گاہوں کی حفاظت کریں اس پر تفصیل سے بات کی ہے اور موجودہ دور میں جو کہ اس کا خیال نہیں رکھا جاتا اس پر بات کی ہے اور جو عورتیں پردے کا خیال نہیں رکھتی ان کو جو عذاب ہوگا وہ بیان کیا گیا ہے</v>
      </c>
      <c r="X534" s="10">
        <f>IFERROR(__xludf.DUMMYFUNCTION("""COMPUTED_VALUE"""),0.0)</f>
        <v>0</v>
      </c>
      <c r="Y534" s="10">
        <f>IFERROR(__xludf.DUMMYFUNCTION("""COMPUTED_VALUE"""),2.0)</f>
        <v>2</v>
      </c>
      <c r="Z534" s="10">
        <f>IFERROR(__xludf.DUMMYFUNCTION("""COMPUTED_VALUE"""),2.0)</f>
        <v>2</v>
      </c>
      <c r="AA534" s="10">
        <f>IFERROR(__xludf.DUMMYFUNCTION("""COMPUTED_VALUE"""),5.0)</f>
        <v>5</v>
      </c>
      <c r="AB534" s="10">
        <f>IFERROR(__xludf.DUMMYFUNCTION("""COMPUTED_VALUE"""),3.0)</f>
        <v>3</v>
      </c>
      <c r="AC534" s="10">
        <f>IFERROR(__xludf.DUMMYFUNCTION("""COMPUTED_VALUE"""),0.0)</f>
        <v>0</v>
      </c>
      <c r="AD534" s="10">
        <f>IFERROR(__xludf.DUMMYFUNCTION("""COMPUTED_VALUE"""),0.0)</f>
        <v>0</v>
      </c>
      <c r="AE534" s="10">
        <f>IFERROR(__xludf.DUMMYFUNCTION("""COMPUTED_VALUE"""),1.0)</f>
        <v>1</v>
      </c>
      <c r="AF534" s="10">
        <f>IFERROR(__xludf.DUMMYFUNCTION("""COMPUTED_VALUE"""),0.0)</f>
        <v>0</v>
      </c>
      <c r="AG534" s="10">
        <f>IFERROR(__xludf.DUMMYFUNCTION("""COMPUTED_VALUE"""),6.0)</f>
        <v>6</v>
      </c>
      <c r="AH534" s="10">
        <f>IFERROR(__xludf.DUMMYFUNCTION("""COMPUTED_VALUE"""),0.0)</f>
        <v>0</v>
      </c>
      <c r="AI534" s="10">
        <f>IFERROR(__xludf.DUMMYFUNCTION("""COMPUTED_VALUE"""),6.0)</f>
        <v>6</v>
      </c>
      <c r="AJ534" s="11" t="str">
        <f>IFERROR(__xludf.DUMMYFUNCTION("""COMPUTED_VALUE"""),"https://drive.google.com/open?id=1WG9FYC6IrcllGHR511Os3tMkRse7Cy-oNDth1b52jYM")</f>
        <v>https://drive.google.com/open?id=1WG9FYC6IrcllGHR511Os3tMkRse7Cy-oNDth1b52jYM</v>
      </c>
      <c r="AK534" s="12" t="str">
        <f>IFERROR(__xludf.DUMMYFUNCTION("""COMPUTED_VALUE"""),"آواز کلیر نہیں تھی")</f>
        <v>آواز کلیر نہیں تھی</v>
      </c>
      <c r="AL534" s="12" t="str">
        <f>IFERROR(__xludf.DUMMYFUNCTION("""COMPUTED_VALUE"""),"Yes")</f>
        <v>Yes</v>
      </c>
      <c r="AM534" s="15">
        <f>IFERROR(__xludf.DUMMYFUNCTION("""COMPUTED_VALUE"""),0.0)</f>
        <v>0</v>
      </c>
      <c r="AN534" s="12" t="str">
        <f>IFERROR(__xludf.DUMMYFUNCTION("""COMPUTED_VALUE"""),"1st week")</f>
        <v>1st week</v>
      </c>
      <c r="AO534" s="13">
        <v>1.0</v>
      </c>
      <c r="AX534" s="17"/>
    </row>
    <row r="535">
      <c r="B535" s="9">
        <f>IFERROR(__xludf.DUMMYFUNCTION("""COMPUTED_VALUE"""),45890.82248141203)</f>
        <v>45890.82248</v>
      </c>
      <c r="C535" s="10" t="str">
        <f>IFERROR(__xludf.DUMMYFUNCTION("""COMPUTED_VALUE"""),"Saira Shahzad ")</f>
        <v>Saira Shahzad </v>
      </c>
      <c r="D535" s="10" t="str">
        <f>IFERROR(__xludf.DUMMYFUNCTION("""COMPUTED_VALUE"""),"03114534696")</f>
        <v>03114534696</v>
      </c>
      <c r="E535" s="10" t="str">
        <f>IFERROR(__xludf.DUMMYFUNCTION("""COMPUTED_VALUE"""),"Jamia Masjid Hasalpur")</f>
        <v>Jamia Masjid Hasalpur</v>
      </c>
      <c r="F535" s="10" t="str">
        <f>IFERROR(__xludf.DUMMYFUNCTION("""COMPUTED_VALUE"""),"nhxti")</f>
        <v>nhxti</v>
      </c>
      <c r="G535" s="10" t="str">
        <f>IFERROR(__xludf.DUMMYFUNCTION("""COMPUTED_VALUE"""),"Yes")</f>
        <v>Yes</v>
      </c>
      <c r="H535" s="10">
        <f>IFERROR(__xludf.DUMMYFUNCTION("""COMPUTED_VALUE"""),0.0)</f>
        <v>0</v>
      </c>
      <c r="I535" s="10">
        <f>IFERROR(__xludf.DUMMYFUNCTION("""COMPUTED_VALUE"""),10.0)</f>
        <v>10</v>
      </c>
      <c r="J535" s="10">
        <f>IFERROR(__xludf.DUMMYFUNCTION("""COMPUTED_VALUE"""),0.0)</f>
        <v>0</v>
      </c>
      <c r="K535" s="10">
        <f>IFERROR(__xludf.DUMMYFUNCTION("""COMPUTED_VALUE"""),0.0)</f>
        <v>0</v>
      </c>
      <c r="L535" s="10">
        <f>IFERROR(__xludf.DUMMYFUNCTION("""COMPUTED_VALUE"""),0.0)</f>
        <v>0</v>
      </c>
      <c r="M535" s="10">
        <f>IFERROR(__xludf.DUMMYFUNCTION("""COMPUTED_VALUE"""),0.0)</f>
        <v>0</v>
      </c>
      <c r="N535" s="10">
        <f>IFERROR(__xludf.DUMMYFUNCTION("""COMPUTED_VALUE"""),0.0)</f>
        <v>0</v>
      </c>
      <c r="O535" s="10">
        <f>IFERROR(__xludf.DUMMYFUNCTION("""COMPUTED_VALUE"""),0.0)</f>
        <v>0</v>
      </c>
      <c r="P535" s="10">
        <f>IFERROR(__xludf.DUMMYFUNCTION("""COMPUTED_VALUE"""),0.0)</f>
        <v>0</v>
      </c>
      <c r="Q535" s="10" t="str">
        <f>IFERROR(__xludf.DUMMYFUNCTION("""COMPUTED_VALUE"""),"No")</f>
        <v>No</v>
      </c>
      <c r="R535" s="10" t="str">
        <f>IFERROR(__xludf.DUMMYFUNCTION("""COMPUTED_VALUE"""),"No")</f>
        <v>No</v>
      </c>
      <c r="S535" s="10" t="str">
        <f>IFERROR(__xludf.DUMMYFUNCTION("""COMPUTED_VALUE"""),"No")</f>
        <v>No</v>
      </c>
      <c r="T535" s="10">
        <f>IFERROR(__xludf.DUMMYFUNCTION("""COMPUTED_VALUE"""),0.0)</f>
        <v>0</v>
      </c>
      <c r="U535" s="10">
        <f>IFERROR(__xludf.DUMMYFUNCTION("""COMPUTED_VALUE"""),0.0)</f>
        <v>0</v>
      </c>
      <c r="V535" s="10" t="str">
        <f>IFERROR(__xludf.DUMMYFUNCTION("""COMPUTED_VALUE"""),"ماہ صفر کی فضیلت")</f>
        <v>ماہ صفر کی فضیلت</v>
      </c>
      <c r="W535" s="10" t="str">
        <f>IFERROR(__xludf.DUMMYFUNCTION("""COMPUTED_VALUE"""),"امام نے اپنے بیان میں یہ بیان کیا ہے کہ زمانہ جہالت میں ماہ صفر کو منہوس سمجھا جاتا تھا بلکہ ایسا نہیں ہے بلکہ ہمارے اپنے اعمال منہوس ہیں کوئی دن یا مہینہ نہیں اور اس کے ساتھ ساتھ ارکان اسلام کے بارے میں بھی تفصیل بیان کی یعنی نماز روزہ حج زکوۃ کے متعلق")</f>
        <v>امام نے اپنے بیان میں یہ بیان کیا ہے کہ زمانہ جہالت میں ماہ صفر کو منہوس سمجھا جاتا تھا بلکہ ایسا نہیں ہے بلکہ ہمارے اپنے اعمال منہوس ہیں کوئی دن یا مہینہ نہیں اور اس کے ساتھ ساتھ ارکان اسلام کے بارے میں بھی تفصیل بیان کی یعنی نماز روزہ حج زکوۃ کے متعلق</v>
      </c>
      <c r="X535" s="10">
        <f>IFERROR(__xludf.DUMMYFUNCTION("""COMPUTED_VALUE"""),5.0)</f>
        <v>5</v>
      </c>
      <c r="Y535" s="10">
        <f>IFERROR(__xludf.DUMMYFUNCTION("""COMPUTED_VALUE"""),1.0)</f>
        <v>1</v>
      </c>
      <c r="Z535" s="10">
        <f>IFERROR(__xludf.DUMMYFUNCTION("""COMPUTED_VALUE"""),1.0)</f>
        <v>1</v>
      </c>
      <c r="AA535" s="10">
        <f>IFERROR(__xludf.DUMMYFUNCTION("""COMPUTED_VALUE"""),6.0)</f>
        <v>6</v>
      </c>
      <c r="AB535" s="10">
        <f>IFERROR(__xludf.DUMMYFUNCTION("""COMPUTED_VALUE"""),1.0)</f>
        <v>1</v>
      </c>
      <c r="AC535" s="10">
        <f>IFERROR(__xludf.DUMMYFUNCTION("""COMPUTED_VALUE"""),0.0)</f>
        <v>0</v>
      </c>
      <c r="AD535" s="10">
        <f>IFERROR(__xludf.DUMMYFUNCTION("""COMPUTED_VALUE"""),0.0)</f>
        <v>0</v>
      </c>
      <c r="AE535" s="10">
        <f>IFERROR(__xludf.DUMMYFUNCTION("""COMPUTED_VALUE"""),0.0)</f>
        <v>0</v>
      </c>
      <c r="AF535" s="10">
        <f>IFERROR(__xludf.DUMMYFUNCTION("""COMPUTED_VALUE"""),1.0)</f>
        <v>1</v>
      </c>
      <c r="AG535" s="10">
        <f>IFERROR(__xludf.DUMMYFUNCTION("""COMPUTED_VALUE"""),8.0)</f>
        <v>8</v>
      </c>
      <c r="AH535" s="10">
        <f>IFERROR(__xludf.DUMMYFUNCTION("""COMPUTED_VALUE"""),0.0)</f>
        <v>0</v>
      </c>
      <c r="AI535" s="10">
        <f>IFERROR(__xludf.DUMMYFUNCTION("""COMPUTED_VALUE"""),8.0)</f>
        <v>8</v>
      </c>
      <c r="AJ535" s="11" t="str">
        <f>IFERROR(__xludf.DUMMYFUNCTION("""COMPUTED_VALUE"""),"https://drive.google.com/open?id=17V8qpliegmbqUNP_kAROJ_W5cAolHof5Fqh2F9VmoRE")</f>
        <v>https://drive.google.com/open?id=17V8qpliegmbqUNP_kAROJ_W5cAolHof5Fqh2F9VmoRE</v>
      </c>
      <c r="AK535" s="12" t="str">
        <f>IFERROR(__xludf.DUMMYFUNCTION("""COMPUTED_VALUE"""),"No")</f>
        <v>No</v>
      </c>
      <c r="AL535" s="12" t="str">
        <f>IFERROR(__xludf.DUMMYFUNCTION("""COMPUTED_VALUE"""),"No")</f>
        <v>No</v>
      </c>
      <c r="AM535" s="15">
        <f>IFERROR(__xludf.DUMMYFUNCTION("""COMPUTED_VALUE"""),0.0)</f>
        <v>0</v>
      </c>
      <c r="AN535" s="12" t="str">
        <f>IFERROR(__xludf.DUMMYFUNCTION("""COMPUTED_VALUE"""),"2nd week")</f>
        <v>2nd week</v>
      </c>
      <c r="AO535" s="13">
        <v>2.0</v>
      </c>
      <c r="AX535" s="17"/>
    </row>
    <row r="536">
      <c r="B536" s="9">
        <f>IFERROR(__xludf.DUMMYFUNCTION("""COMPUTED_VALUE"""),45890.836337175926)</f>
        <v>45890.83634</v>
      </c>
      <c r="C536" s="10" t="str">
        <f>IFERROR(__xludf.DUMMYFUNCTION("""COMPUTED_VALUE"""),"Javeria Abbas ")</f>
        <v>Javeria Abbas </v>
      </c>
      <c r="D536" s="10" t="str">
        <f>IFERROR(__xludf.DUMMYFUNCTION("""COMPUTED_VALUE"""),"03211539026")</f>
        <v>03211539026</v>
      </c>
      <c r="E536" s="10" t="str">
        <f>IFERROR(__xludf.DUMMYFUNCTION("""COMPUTED_VALUE"""),"Jamia Masjid Gaalah Mandi Bahawal Nagar")</f>
        <v>Jamia Masjid Gaalah Mandi Bahawal Nagar</v>
      </c>
      <c r="F536" s="10" t="str">
        <f>IFERROR(__xludf.DUMMYFUNCTION("""COMPUTED_VALUE"""),"yokqu")</f>
        <v>yokqu</v>
      </c>
      <c r="G536" s="10" t="str">
        <f>IFERROR(__xludf.DUMMYFUNCTION("""COMPUTED_VALUE"""),"Yes")</f>
        <v>Yes</v>
      </c>
      <c r="H536" s="10">
        <f>IFERROR(__xludf.DUMMYFUNCTION("""COMPUTED_VALUE"""),8.0)</f>
        <v>8</v>
      </c>
      <c r="I536" s="10">
        <f>IFERROR(__xludf.DUMMYFUNCTION("""COMPUTED_VALUE"""),2.0)</f>
        <v>2</v>
      </c>
      <c r="J536" s="10">
        <f>IFERROR(__xludf.DUMMYFUNCTION("""COMPUTED_VALUE"""),8.0)</f>
        <v>8</v>
      </c>
      <c r="K536" s="10">
        <f>IFERROR(__xludf.DUMMYFUNCTION("""COMPUTED_VALUE"""),10.0)</f>
        <v>10</v>
      </c>
      <c r="L536" s="10">
        <f>IFERROR(__xludf.DUMMYFUNCTION("""COMPUTED_VALUE"""),0.0)</f>
        <v>0</v>
      </c>
      <c r="M536" s="10">
        <f>IFERROR(__xludf.DUMMYFUNCTION("""COMPUTED_VALUE"""),10.0)</f>
        <v>10</v>
      </c>
      <c r="N536" s="10">
        <f>IFERROR(__xludf.DUMMYFUNCTION("""COMPUTED_VALUE"""),0.0)</f>
        <v>0</v>
      </c>
      <c r="O536" s="10">
        <f>IFERROR(__xludf.DUMMYFUNCTION("""COMPUTED_VALUE"""),10.0)</f>
        <v>10</v>
      </c>
      <c r="P536" s="10">
        <f>IFERROR(__xludf.DUMMYFUNCTION("""COMPUTED_VALUE"""),0.0)</f>
        <v>0</v>
      </c>
      <c r="Q536" s="10" t="str">
        <f>IFERROR(__xludf.DUMMYFUNCTION("""COMPUTED_VALUE"""),"Yes")</f>
        <v>Yes</v>
      </c>
      <c r="R536" s="10" t="str">
        <f>IFERROR(__xludf.DUMMYFUNCTION("""COMPUTED_VALUE"""),"No")</f>
        <v>No</v>
      </c>
      <c r="S536" s="10" t="str">
        <f>IFERROR(__xludf.DUMMYFUNCTION("""COMPUTED_VALUE"""),"Yes")</f>
        <v>Yes</v>
      </c>
      <c r="T536" s="10">
        <f>IFERROR(__xludf.DUMMYFUNCTION("""COMPUTED_VALUE"""),0.0)</f>
        <v>0</v>
      </c>
      <c r="U536" s="10">
        <f>IFERROR(__xludf.DUMMYFUNCTION("""COMPUTED_VALUE"""),0.0)</f>
        <v>0</v>
      </c>
      <c r="V536" s="10" t="str">
        <f>IFERROR(__xludf.DUMMYFUNCTION("""COMPUTED_VALUE"""),"اسلام میں عورتوں کا مقام اور کردار")</f>
        <v>اسلام میں عورتوں کا مقام اور کردار</v>
      </c>
      <c r="W536" s="10" t="str">
        <f>IFERROR(__xludf.DUMMYFUNCTION("""COMPUTED_VALUE"""),"اسلام میں عورتوں کو اپنا فیصلہ خود کرنے کی اجازت دی گئی ہے اور ان کو معاشی سیاسی سرگرمیوں میں بھی اپنی رائے کا اظہار کرنے کی اجازت دی گئی ہے اس خطبے میں تاریخی لحاظ سے حضرت ام ہانی حضرت ام امارہ اور حضرت عائشہ کا واقعات بھی بیان فرمائے کہ کس طرح انہوں نے "&amp;"جنگ احد میں حضور پاک صلی اللہ علیہ وسلم کی مدد کی ان کی ڈھال بن کر ان کی جان بچائی اور کس طرح انہوں نے دشمنوں کے ساتھ مقابلہ کیا اس لیے اگر عورت کو موقف فراہم کیے جائیں تو عورت ہر کام کو بخوبی سرانجام دے سکتی ہے اس لیے عورت کو ا مواقع فراہم کرنے چاہیے تاک"&amp;"ہ وہ اگے جا کر اپنے ملک اور قوم کا نام روشن کر سکے اس کی تعلیم و تربیت اور اس کے کاروباری حصول پر کبھی بھی سوال نہیں کرنا چاہیے بلکہ اس کی مدد کرنی چاہیے کیونکہ اس کو یہ اجازت اسلام نے دی ہے")</f>
        <v>اسلام میں عورتوں کو اپنا فیصلہ خود کرنے کی اجازت دی گئی ہے اور ان کو معاشی سیاسی سرگرمیوں میں بھی اپنی رائے کا اظہار کرنے کی اجازت دی گئی ہے اس خطبے میں تاریخی لحاظ سے حضرت ام ہانی حضرت ام امارہ اور حضرت عائشہ کا واقعات بھی بیان فرمائے کہ کس طرح انہوں نے جنگ احد میں حضور پاک صلی اللہ علیہ وسلم کی مدد کی ان کی ڈھال بن کر ان کی جان بچائی اور کس طرح انہوں نے دشمنوں کے ساتھ مقابلہ کیا اس لیے اگر عورت کو موقف فراہم کیے جائیں تو عورت ہر کام کو بخوبی سرانجام دے سکتی ہے اس لیے عورت کو ا مواقع فراہم کرنے چاہیے تاکہ وہ اگے جا کر اپنے ملک اور قوم کا نام روشن کر سکے اس کی تعلیم و تربیت اور اس کے کاروباری حصول پر کبھی بھی سوال نہیں کرنا چاہیے بلکہ اس کی مدد کرنی چاہیے کیونکہ اس کو یہ اجازت اسلام نے دی ہے</v>
      </c>
      <c r="X536" s="10">
        <f>IFERROR(__xludf.DUMMYFUNCTION("""COMPUTED_VALUE"""),0.0)</f>
        <v>0</v>
      </c>
      <c r="Y536" s="10">
        <f>IFERROR(__xludf.DUMMYFUNCTION("""COMPUTED_VALUE"""),4.0)</f>
        <v>4</v>
      </c>
      <c r="Z536" s="10">
        <f>IFERROR(__xludf.DUMMYFUNCTION("""COMPUTED_VALUE"""),7.0)</f>
        <v>7</v>
      </c>
      <c r="AA536" s="10">
        <f>IFERROR(__xludf.DUMMYFUNCTION("""COMPUTED_VALUE"""),9.0)</f>
        <v>9</v>
      </c>
      <c r="AB536" s="10">
        <f>IFERROR(__xludf.DUMMYFUNCTION("""COMPUTED_VALUE"""),5.0)</f>
        <v>5</v>
      </c>
      <c r="AC536" s="10">
        <f>IFERROR(__xludf.DUMMYFUNCTION("""COMPUTED_VALUE"""),4.0)</f>
        <v>4</v>
      </c>
      <c r="AD536" s="10">
        <f>IFERROR(__xludf.DUMMYFUNCTION("""COMPUTED_VALUE"""),6.0)</f>
        <v>6</v>
      </c>
      <c r="AE536" s="10">
        <f>IFERROR(__xludf.DUMMYFUNCTION("""COMPUTED_VALUE"""),0.0)</f>
        <v>0</v>
      </c>
      <c r="AF536" s="10">
        <f>IFERROR(__xludf.DUMMYFUNCTION("""COMPUTED_VALUE"""),0.0)</f>
        <v>0</v>
      </c>
      <c r="AG536" s="10">
        <f>IFERROR(__xludf.DUMMYFUNCTION("""COMPUTED_VALUE"""),10.0)</f>
        <v>10</v>
      </c>
      <c r="AH536" s="10">
        <f>IFERROR(__xludf.DUMMYFUNCTION("""COMPUTED_VALUE"""),0.0)</f>
        <v>0</v>
      </c>
      <c r="AI536" s="10">
        <f>IFERROR(__xludf.DUMMYFUNCTION("""COMPUTED_VALUE"""),10.0)</f>
        <v>10</v>
      </c>
      <c r="AJ536" s="11" t="str">
        <f>IFERROR(__xludf.DUMMYFUNCTION("""COMPUTED_VALUE"""),"https://drive.google.com/open?id=1zHwN5dxqdmv_q8SebqJg0Kq-oMw_pxrW9SmsB-zPWjk")</f>
        <v>https://drive.google.com/open?id=1zHwN5dxqdmv_q8SebqJg0Kq-oMw_pxrW9SmsB-zPWjk</v>
      </c>
      <c r="AK536" s="12"/>
      <c r="AL536" s="12" t="str">
        <f>IFERROR(__xludf.DUMMYFUNCTION("""COMPUTED_VALUE"""),"Yes")</f>
        <v>Yes</v>
      </c>
      <c r="AM536" s="15">
        <f>IFERROR(__xludf.DUMMYFUNCTION("""COMPUTED_VALUE"""),0.8)</f>
        <v>0.8</v>
      </c>
      <c r="AN536" s="12" t="str">
        <f>IFERROR(__xludf.DUMMYFUNCTION("""COMPUTED_VALUE"""),"2nd week")</f>
        <v>2nd week</v>
      </c>
      <c r="AO536" s="13">
        <v>2.0</v>
      </c>
      <c r="AX536" s="17"/>
    </row>
    <row r="537">
      <c r="B537" s="9">
        <f>IFERROR(__xludf.DUMMYFUNCTION("""COMPUTED_VALUE"""),45890.92238988426)</f>
        <v>45890.92239</v>
      </c>
      <c r="C537" s="10" t="str">
        <f>IFERROR(__xludf.DUMMYFUNCTION("""COMPUTED_VALUE"""),"Sidra ")</f>
        <v>Sidra </v>
      </c>
      <c r="D537" s="10" t="str">
        <f>IFERROR(__xludf.DUMMYFUNCTION("""COMPUTED_VALUE"""),"03261416280")</f>
        <v>03261416280</v>
      </c>
      <c r="E537" s="10" t="str">
        <f>IFERROR(__xludf.DUMMYFUNCTION("""COMPUTED_VALUE"""),"Jamia Masjid Kacha Khawa Khanewal")</f>
        <v>Jamia Masjid Kacha Khawa Khanewal</v>
      </c>
      <c r="F537" s="10" t="str">
        <f>IFERROR(__xludf.DUMMYFUNCTION("""COMPUTED_VALUE"""),"otccu")</f>
        <v>otccu</v>
      </c>
      <c r="G537" s="10" t="str">
        <f>IFERROR(__xludf.DUMMYFUNCTION("""COMPUTED_VALUE"""),"No")</f>
        <v>No</v>
      </c>
      <c r="H537" s="10"/>
      <c r="I537" s="10"/>
      <c r="J537" s="10"/>
      <c r="K537" s="10">
        <f>IFERROR(__xludf.DUMMYFUNCTION("""COMPUTED_VALUE"""),0.0)</f>
        <v>0</v>
      </c>
      <c r="L537" s="10">
        <f>IFERROR(__xludf.DUMMYFUNCTION("""COMPUTED_VALUE"""),0.0)</f>
        <v>0</v>
      </c>
      <c r="M537" s="10">
        <f>IFERROR(__xludf.DUMMYFUNCTION("""COMPUTED_VALUE"""),0.0)</f>
        <v>0</v>
      </c>
      <c r="N537" s="10">
        <f>IFERROR(__xludf.DUMMYFUNCTION("""COMPUTED_VALUE"""),0.0)</f>
        <v>0</v>
      </c>
      <c r="O537" s="10">
        <f>IFERROR(__xludf.DUMMYFUNCTION("""COMPUTED_VALUE"""),0.0)</f>
        <v>0</v>
      </c>
      <c r="P537" s="10">
        <f>IFERROR(__xludf.DUMMYFUNCTION("""COMPUTED_VALUE"""),0.0)</f>
        <v>0</v>
      </c>
      <c r="Q537" s="10" t="str">
        <f>IFERROR(__xludf.DUMMYFUNCTION("""COMPUTED_VALUE"""),"No")</f>
        <v>No</v>
      </c>
      <c r="R537" s="10" t="str">
        <f>IFERROR(__xludf.DUMMYFUNCTION("""COMPUTED_VALUE"""),"No")</f>
        <v>No</v>
      </c>
      <c r="S537" s="10" t="str">
        <f>IFERROR(__xludf.DUMMYFUNCTION("""COMPUTED_VALUE"""),"No")</f>
        <v>No</v>
      </c>
      <c r="T537" s="10">
        <f>IFERROR(__xludf.DUMMYFUNCTION("""COMPUTED_VALUE"""),0.0)</f>
        <v>0</v>
      </c>
      <c r="U537" s="10">
        <f>IFERROR(__xludf.DUMMYFUNCTION("""COMPUTED_VALUE"""),0.0)</f>
        <v>0</v>
      </c>
      <c r="V537" s="10" t="str">
        <f>IFERROR(__xludf.DUMMYFUNCTION("""COMPUTED_VALUE"""),"اسلام کی تبلیغ ")</f>
        <v>اسلام کی تبلیغ </v>
      </c>
      <c r="W537" s="10" t="str">
        <f>IFERROR(__xludf.DUMMYFUNCTION("""COMPUTED_VALUE"""),"امام نے بیان میں بتایا ہے کہ اسلام آنے سے پہلے لوگ بتوں کی پوجا کیا کرتے تھے لیکن جب حضرت محمد صلی اللہ علیہ وسلم تشریف لائے اور اسلام کی تبلیغ کی اللہ کا پیغام لوگوں تک پہنچایا تو وہ اس پر عمل کرنے لگے")</f>
        <v>امام نے بیان میں بتایا ہے کہ اسلام آنے سے پہلے لوگ بتوں کی پوجا کیا کرتے تھے لیکن جب حضرت محمد صلی اللہ علیہ وسلم تشریف لائے اور اسلام کی تبلیغ کی اللہ کا پیغام لوگوں تک پہنچایا تو وہ اس پر عمل کرنے لگے</v>
      </c>
      <c r="X537" s="10">
        <f>IFERROR(__xludf.DUMMYFUNCTION("""COMPUTED_VALUE"""),0.0)</f>
        <v>0</v>
      </c>
      <c r="Y537" s="10">
        <f>IFERROR(__xludf.DUMMYFUNCTION("""COMPUTED_VALUE"""),4.0)</f>
        <v>4</v>
      </c>
      <c r="Z537" s="10">
        <f>IFERROR(__xludf.DUMMYFUNCTION("""COMPUTED_VALUE"""),7.0)</f>
        <v>7</v>
      </c>
      <c r="AA537" s="10">
        <f>IFERROR(__xludf.DUMMYFUNCTION("""COMPUTED_VALUE"""),7.0)</f>
        <v>7</v>
      </c>
      <c r="AB537" s="10">
        <f>IFERROR(__xludf.DUMMYFUNCTION("""COMPUTED_VALUE"""),4.0)</f>
        <v>4</v>
      </c>
      <c r="AC537" s="10">
        <f>IFERROR(__xludf.DUMMYFUNCTION("""COMPUTED_VALUE"""),0.0)</f>
        <v>0</v>
      </c>
      <c r="AD537" s="10">
        <f>IFERROR(__xludf.DUMMYFUNCTION("""COMPUTED_VALUE"""),0.0)</f>
        <v>0</v>
      </c>
      <c r="AE537" s="10">
        <f>IFERROR(__xludf.DUMMYFUNCTION("""COMPUTED_VALUE"""),6.0)</f>
        <v>6</v>
      </c>
      <c r="AF537" s="10">
        <f>IFERROR(__xludf.DUMMYFUNCTION("""COMPUTED_VALUE"""),0.0)</f>
        <v>0</v>
      </c>
      <c r="AG537" s="10">
        <f>IFERROR(__xludf.DUMMYFUNCTION("""COMPUTED_VALUE"""),9.0)</f>
        <v>9</v>
      </c>
      <c r="AH537" s="10">
        <f>IFERROR(__xludf.DUMMYFUNCTION("""COMPUTED_VALUE"""),0.0)</f>
        <v>0</v>
      </c>
      <c r="AI537" s="10">
        <f>IFERROR(__xludf.DUMMYFUNCTION("""COMPUTED_VALUE"""),9.0)</f>
        <v>9</v>
      </c>
      <c r="AJ537" s="11" t="str">
        <f>IFERROR(__xludf.DUMMYFUNCTION("""COMPUTED_VALUE"""),"https://drive.google.com/open?id=1Hlw3pWLoZGAv9LmnjrzPNumWSv2xGWuf0aNZKe0dRjg")</f>
        <v>https://drive.google.com/open?id=1Hlw3pWLoZGAv9LmnjrzPNumWSv2xGWuf0aNZKe0dRjg</v>
      </c>
      <c r="AK537" s="12" t="str">
        <f>IFERROR(__xludf.DUMMYFUNCTION("""COMPUTED_VALUE"""),"No ")</f>
        <v>No </v>
      </c>
      <c r="AL537" s="12"/>
      <c r="AM537" s="12"/>
      <c r="AN537" s="12" t="str">
        <f>IFERROR(__xludf.DUMMYFUNCTION("""COMPUTED_VALUE"""),"1st week")</f>
        <v>1st week</v>
      </c>
      <c r="AO537" s="13">
        <v>1.0</v>
      </c>
      <c r="AX537" s="17"/>
    </row>
    <row r="538">
      <c r="B538" s="9">
        <f>IFERROR(__xludf.DUMMYFUNCTION("""COMPUTED_VALUE"""),45891.21543513889)</f>
        <v>45891.21544</v>
      </c>
      <c r="C538" s="10" t="str">
        <f>IFERROR(__xludf.DUMMYFUNCTION("""COMPUTED_VALUE"""),"Saira Shahzad ")</f>
        <v>Saira Shahzad </v>
      </c>
      <c r="D538" s="10" t="str">
        <f>IFERROR(__xludf.DUMMYFUNCTION("""COMPUTED_VALUE"""),"03114534696")</f>
        <v>03114534696</v>
      </c>
      <c r="E538" s="10" t="str">
        <f>IFERROR(__xludf.DUMMYFUNCTION("""COMPUTED_VALUE"""),"Jamia Masjid Markazi Eid Gah Khanewal")</f>
        <v>Jamia Masjid Markazi Eid Gah Khanewal</v>
      </c>
      <c r="F538" s="10" t="str">
        <f>IFERROR(__xludf.DUMMYFUNCTION("""COMPUTED_VALUE"""),"frmfu")</f>
        <v>frmfu</v>
      </c>
      <c r="G538" s="10" t="str">
        <f>IFERROR(__xludf.DUMMYFUNCTION("""COMPUTED_VALUE"""),"Yes")</f>
        <v>Yes</v>
      </c>
      <c r="H538" s="10">
        <f>IFERROR(__xludf.DUMMYFUNCTION("""COMPUTED_VALUE"""),5.0)</f>
        <v>5</v>
      </c>
      <c r="I538" s="10">
        <f>IFERROR(__xludf.DUMMYFUNCTION("""COMPUTED_VALUE"""),5.0)</f>
        <v>5</v>
      </c>
      <c r="J538" s="10">
        <f>IFERROR(__xludf.DUMMYFUNCTION("""COMPUTED_VALUE"""),5.0)</f>
        <v>5</v>
      </c>
      <c r="K538" s="10">
        <f>IFERROR(__xludf.DUMMYFUNCTION("""COMPUTED_VALUE"""),6.0)</f>
        <v>6</v>
      </c>
      <c r="L538" s="10">
        <f>IFERROR(__xludf.DUMMYFUNCTION("""COMPUTED_VALUE"""),0.0)</f>
        <v>0</v>
      </c>
      <c r="M538" s="10">
        <f>IFERROR(__xludf.DUMMYFUNCTION("""COMPUTED_VALUE"""),5.0)</f>
        <v>5</v>
      </c>
      <c r="N538" s="10">
        <f>IFERROR(__xludf.DUMMYFUNCTION("""COMPUTED_VALUE"""),0.0)</f>
        <v>0</v>
      </c>
      <c r="O538" s="10">
        <f>IFERROR(__xludf.DUMMYFUNCTION("""COMPUTED_VALUE"""),2.0)</f>
        <v>2</v>
      </c>
      <c r="P538" s="10">
        <f>IFERROR(__xludf.DUMMYFUNCTION("""COMPUTED_VALUE"""),0.0)</f>
        <v>0</v>
      </c>
      <c r="Q538" s="10" t="str">
        <f>IFERROR(__xludf.DUMMYFUNCTION("""COMPUTED_VALUE"""),"No")</f>
        <v>No</v>
      </c>
      <c r="R538" s="10" t="str">
        <f>IFERROR(__xludf.DUMMYFUNCTION("""COMPUTED_VALUE"""),"No")</f>
        <v>No</v>
      </c>
      <c r="S538" s="10" t="str">
        <f>IFERROR(__xludf.DUMMYFUNCTION("""COMPUTED_VALUE"""),"No")</f>
        <v>No</v>
      </c>
      <c r="T538" s="10">
        <f>IFERROR(__xludf.DUMMYFUNCTION("""COMPUTED_VALUE"""),0.0)</f>
        <v>0</v>
      </c>
      <c r="U538" s="10">
        <f>IFERROR(__xludf.DUMMYFUNCTION("""COMPUTED_VALUE"""),0.0)</f>
        <v>0</v>
      </c>
      <c r="V538" s="10" t="str">
        <f>IFERROR(__xludf.DUMMYFUNCTION("""COMPUTED_VALUE"""),"اسلام میں عورت کا مقام کردار اور حق")</f>
        <v>اسلام میں عورت کا مقام کردار اور حق</v>
      </c>
      <c r="W538" s="10" t="str">
        <f>IFERROR(__xludf.DUMMYFUNCTION("""COMPUTED_VALUE"""),"امام نے اپنے بیان میں عورتوں کے مقام کردار اور حق کے بارے میں بات کی جو کہ اسلام نے مقرر فرمائے ہیں یہ بیان کیا ہے کہ عورت کو معاشرے میں کمانے اور اپنی رائے دینے کا پورا پورا حق ہے اور فتح مکہ کے موقع پر عورتوں کا جو کردار تھا اس کو بیان کیا ہے اور اسلام "&amp;"میں وراثت میں جو حق ہے عورتوں کا اس کی تفصیل بیان کی گئی")</f>
        <v>امام نے اپنے بیان میں عورتوں کے مقام کردار اور حق کے بارے میں بات کی جو کہ اسلام نے مقرر فرمائے ہیں یہ بیان کیا ہے کہ عورت کو معاشرے میں کمانے اور اپنی رائے دینے کا پورا پورا حق ہے اور فتح مکہ کے موقع پر عورتوں کا جو کردار تھا اس کو بیان کیا ہے اور اسلام میں وراثت میں جو حق ہے عورتوں کا اس کی تفصیل بیان کی گئی</v>
      </c>
      <c r="X538" s="10">
        <f>IFERROR(__xludf.DUMMYFUNCTION("""COMPUTED_VALUE"""),1.0)</f>
        <v>1</v>
      </c>
      <c r="Y538" s="10">
        <f>IFERROR(__xludf.DUMMYFUNCTION("""COMPUTED_VALUE"""),6.0)</f>
        <v>6</v>
      </c>
      <c r="Z538" s="10">
        <f>IFERROR(__xludf.DUMMYFUNCTION("""COMPUTED_VALUE"""),2.0)</f>
        <v>2</v>
      </c>
      <c r="AA538" s="10">
        <f>IFERROR(__xludf.DUMMYFUNCTION("""COMPUTED_VALUE"""),9.0)</f>
        <v>9</v>
      </c>
      <c r="AB538" s="10">
        <f>IFERROR(__xludf.DUMMYFUNCTION("""COMPUTED_VALUE"""),5.0)</f>
        <v>5</v>
      </c>
      <c r="AC538" s="10">
        <f>IFERROR(__xludf.DUMMYFUNCTION("""COMPUTED_VALUE"""),2.0)</f>
        <v>2</v>
      </c>
      <c r="AD538" s="10">
        <f>IFERROR(__xludf.DUMMYFUNCTION("""COMPUTED_VALUE"""),3.0)</f>
        <v>3</v>
      </c>
      <c r="AE538" s="10">
        <f>IFERROR(__xludf.DUMMYFUNCTION("""COMPUTED_VALUE"""),1.0)</f>
        <v>1</v>
      </c>
      <c r="AF538" s="10">
        <f>IFERROR(__xludf.DUMMYFUNCTION("""COMPUTED_VALUE"""),6.0)</f>
        <v>6</v>
      </c>
      <c r="AG538" s="10">
        <f>IFERROR(__xludf.DUMMYFUNCTION("""COMPUTED_VALUE"""),8.0)</f>
        <v>8</v>
      </c>
      <c r="AH538" s="10">
        <f>IFERROR(__xludf.DUMMYFUNCTION("""COMPUTED_VALUE"""),0.0)</f>
        <v>0</v>
      </c>
      <c r="AI538" s="10">
        <f>IFERROR(__xludf.DUMMYFUNCTION("""COMPUTED_VALUE"""),8.0)</f>
        <v>8</v>
      </c>
      <c r="AJ538" s="11" t="str">
        <f>IFERROR(__xludf.DUMMYFUNCTION("""COMPUTED_VALUE"""),"https://drive.google.com/open?id=1nf2EtFaCJCqVCq2DM1j562_kpt7PgxVrAC5vFgrj_IY")</f>
        <v>https://drive.google.com/open?id=1nf2EtFaCJCqVCq2DM1j562_kpt7PgxVrAC5vFgrj_IY</v>
      </c>
      <c r="AK538" s="12" t="str">
        <f>IFERROR(__xludf.DUMMYFUNCTION("""COMPUTED_VALUE"""),"No")</f>
        <v>No</v>
      </c>
      <c r="AL538" s="12" t="str">
        <f>IFERROR(__xludf.DUMMYFUNCTION("""COMPUTED_VALUE"""),"Yes")</f>
        <v>Yes</v>
      </c>
      <c r="AM538" s="15">
        <f>IFERROR(__xludf.DUMMYFUNCTION("""COMPUTED_VALUE"""),0.5)</f>
        <v>0.5</v>
      </c>
      <c r="AN538" s="12" t="str">
        <f>IFERROR(__xludf.DUMMYFUNCTION("""COMPUTED_VALUE"""),"3rd week")</f>
        <v>3rd week</v>
      </c>
      <c r="AO538" s="13">
        <v>3.0</v>
      </c>
      <c r="AX538" s="17"/>
    </row>
    <row r="539">
      <c r="B539" s="9">
        <f>IFERROR(__xludf.DUMMYFUNCTION("""COMPUTED_VALUE"""),45891.22067271991)</f>
        <v>45891.22067</v>
      </c>
      <c r="C539" s="10" t="str">
        <f>IFERROR(__xludf.DUMMYFUNCTION("""COMPUTED_VALUE"""),"Atiqa")</f>
        <v>Atiqa</v>
      </c>
      <c r="D539" s="10" t="str">
        <f>IFERROR(__xludf.DUMMYFUNCTION("""COMPUTED_VALUE"""),"03157519977")</f>
        <v>03157519977</v>
      </c>
      <c r="E539" s="10" t="str">
        <f>IFERROR(__xludf.DUMMYFUNCTION("""COMPUTED_VALUE"""),"Jamia Masjid Anayat Walayat Multan")</f>
        <v>Jamia Masjid Anayat Walayat Multan</v>
      </c>
      <c r="F539" s="10" t="str">
        <f>IFERROR(__xludf.DUMMYFUNCTION("""COMPUTED_VALUE"""),"meepx")</f>
        <v>meepx</v>
      </c>
      <c r="G539" s="10" t="str">
        <f>IFERROR(__xludf.DUMMYFUNCTION("""COMPUTED_VALUE"""),"Yes")</f>
        <v>Yes</v>
      </c>
      <c r="H539" s="10">
        <f>IFERROR(__xludf.DUMMYFUNCTION("""COMPUTED_VALUE"""),8.0)</f>
        <v>8</v>
      </c>
      <c r="I539" s="10">
        <f>IFERROR(__xludf.DUMMYFUNCTION("""COMPUTED_VALUE"""),2.0)</f>
        <v>2</v>
      </c>
      <c r="J539" s="10">
        <f>IFERROR(__xludf.DUMMYFUNCTION("""COMPUTED_VALUE"""),8.0)</f>
        <v>8</v>
      </c>
      <c r="K539" s="10">
        <f>IFERROR(__xludf.DUMMYFUNCTION("""COMPUTED_VALUE"""),8.0)</f>
        <v>8</v>
      </c>
      <c r="L539" s="10">
        <f>IFERROR(__xludf.DUMMYFUNCTION("""COMPUTED_VALUE"""),0.0)</f>
        <v>0</v>
      </c>
      <c r="M539" s="10">
        <f>IFERROR(__xludf.DUMMYFUNCTION("""COMPUTED_VALUE"""),6.0)</f>
        <v>6</v>
      </c>
      <c r="N539" s="10">
        <f>IFERROR(__xludf.DUMMYFUNCTION("""COMPUTED_VALUE"""),0.0)</f>
        <v>0</v>
      </c>
      <c r="O539" s="10">
        <f>IFERROR(__xludf.DUMMYFUNCTION("""COMPUTED_VALUE"""),4.0)</f>
        <v>4</v>
      </c>
      <c r="P539" s="10">
        <f>IFERROR(__xludf.DUMMYFUNCTION("""COMPUTED_VALUE"""),0.0)</f>
        <v>0</v>
      </c>
      <c r="Q539" s="10" t="str">
        <f>IFERROR(__xludf.DUMMYFUNCTION("""COMPUTED_VALUE"""),"Yes")</f>
        <v>Yes</v>
      </c>
      <c r="R539" s="10" t="str">
        <f>IFERROR(__xludf.DUMMYFUNCTION("""COMPUTED_VALUE"""),"No")</f>
        <v>No</v>
      </c>
      <c r="S539" s="10" t="str">
        <f>IFERROR(__xludf.DUMMYFUNCTION("""COMPUTED_VALUE"""),"Yes")</f>
        <v>Yes</v>
      </c>
      <c r="T539" s="10">
        <f>IFERROR(__xludf.DUMMYFUNCTION("""COMPUTED_VALUE"""),0.0)</f>
        <v>0</v>
      </c>
      <c r="U539" s="10">
        <f>IFERROR(__xludf.DUMMYFUNCTION("""COMPUTED_VALUE"""),0.0)</f>
        <v>0</v>
      </c>
      <c r="V539" s="10" t="str">
        <f>IFERROR(__xludf.DUMMYFUNCTION("""COMPUTED_VALUE"""),"۱۔  عورتوں کی معاشی سیاسی سرگرمیوں میں شرکت ۲۔  عورتوں کو فیصلہ کرنے کی ازادی ")</f>
        <v>۱۔  عورتوں کی معاشی سیاسی سرگرمیوں میں شرکت ۲۔  عورتوں کو فیصلہ کرنے کی ازادی </v>
      </c>
      <c r="W539" s="10" t="str">
        <f>IFERROR(__xludf.DUMMYFUNCTION("""COMPUTED_VALUE"""),"صحابیات کا معاشی سرگرمیوں میں رجحان اور خدیجہ رضی اللہ تعالی عنہا کا کاروباری سرگرمیاں جاری رکھنا۔ جابر رضی اللہ تعالی عنہ کی خالہ جس نے عدت کے دوران کام کیا کا واقعہ ۔ حضور صلی اللہ علیہ والہ وسلم کا ام ہانی کے فیصلے کا احترام کرنا ۔ عمر فاروق رضی اللہ ت"&amp;"عالی عنہ کا عام عورت کی رائے کو تسلیم کرنا اور صحابیات کا جنگ کے میدان میں کردار بیان کیا گیا  ۔ ")</f>
        <v>صحابیات کا معاشی سرگرمیوں میں رجحان اور خدیجہ رضی اللہ تعالی عنہا کا کاروباری سرگرمیاں جاری رکھنا۔ جابر رضی اللہ تعالی عنہ کی خالہ جس نے عدت کے دوران کام کیا کا واقعہ ۔ حضور صلی اللہ علیہ والہ وسلم کا ام ہانی کے فیصلے کا احترام کرنا ۔ عمر فاروق رضی اللہ تعالی عنہ کا عام عورت کی رائے کو تسلیم کرنا اور صحابیات کا جنگ کے میدان میں کردار بیان کیا گیا  ۔ </v>
      </c>
      <c r="X539" s="10">
        <f>IFERROR(__xludf.DUMMYFUNCTION("""COMPUTED_VALUE"""),0.0)</f>
        <v>0</v>
      </c>
      <c r="Y539" s="10">
        <f>IFERROR(__xludf.DUMMYFUNCTION("""COMPUTED_VALUE"""),6.0)</f>
        <v>6</v>
      </c>
      <c r="Z539" s="10">
        <f>IFERROR(__xludf.DUMMYFUNCTION("""COMPUTED_VALUE"""),2.0)</f>
        <v>2</v>
      </c>
      <c r="AA539" s="10">
        <f>IFERROR(__xludf.DUMMYFUNCTION("""COMPUTED_VALUE"""),4.0)</f>
        <v>4</v>
      </c>
      <c r="AB539" s="10">
        <f>IFERROR(__xludf.DUMMYFUNCTION("""COMPUTED_VALUE"""),7.0)</f>
        <v>7</v>
      </c>
      <c r="AC539" s="10">
        <f>IFERROR(__xludf.DUMMYFUNCTION("""COMPUTED_VALUE"""),4.0)</f>
        <v>4</v>
      </c>
      <c r="AD539" s="10">
        <f>IFERROR(__xludf.DUMMYFUNCTION("""COMPUTED_VALUE"""),6.0)</f>
        <v>6</v>
      </c>
      <c r="AE539" s="10">
        <f>IFERROR(__xludf.DUMMYFUNCTION("""COMPUTED_VALUE"""),0.0)</f>
        <v>0</v>
      </c>
      <c r="AF539" s="10">
        <f>IFERROR(__xludf.DUMMYFUNCTION("""COMPUTED_VALUE"""),0.0)</f>
        <v>0</v>
      </c>
      <c r="AG539" s="10">
        <f>IFERROR(__xludf.DUMMYFUNCTION("""COMPUTED_VALUE"""),9.0)</f>
        <v>9</v>
      </c>
      <c r="AH539" s="10">
        <f>IFERROR(__xludf.DUMMYFUNCTION("""COMPUTED_VALUE"""),0.0)</f>
        <v>0</v>
      </c>
      <c r="AI539" s="10">
        <f>IFERROR(__xludf.DUMMYFUNCTION("""COMPUTED_VALUE"""),9.0)</f>
        <v>9</v>
      </c>
      <c r="AJ539" s="11" t="str">
        <f>IFERROR(__xludf.DUMMYFUNCTION("""COMPUTED_VALUE"""),"https://drive.google.com/open?id=1R2PS336WxB21Iy4aZENcg0kCY6MSgQIPYw1CntzzviA")</f>
        <v>https://drive.google.com/open?id=1R2PS336WxB21Iy4aZENcg0kCY6MSgQIPYw1CntzzviA</v>
      </c>
      <c r="AK539" s="12"/>
      <c r="AL539" s="12" t="str">
        <f>IFERROR(__xludf.DUMMYFUNCTION("""COMPUTED_VALUE"""),"No")</f>
        <v>No</v>
      </c>
      <c r="AM539" s="15">
        <f>IFERROR(__xludf.DUMMYFUNCTION("""COMPUTED_VALUE"""),0.8)</f>
        <v>0.8</v>
      </c>
      <c r="AN539" s="12" t="str">
        <f>IFERROR(__xludf.DUMMYFUNCTION("""COMPUTED_VALUE"""),"2nd week")</f>
        <v>2nd week</v>
      </c>
      <c r="AO539" s="13">
        <v>2.0</v>
      </c>
      <c r="AX539" s="17"/>
    </row>
    <row r="540">
      <c r="B540" s="9">
        <f>IFERROR(__xludf.DUMMYFUNCTION("""COMPUTED_VALUE"""),45891.240334525464)</f>
        <v>45891.24033</v>
      </c>
      <c r="C540" s="10" t="str">
        <f>IFERROR(__xludf.DUMMYFUNCTION("""COMPUTED_VALUE"""),"Atiqa")</f>
        <v>Atiqa</v>
      </c>
      <c r="D540" s="10" t="str">
        <f>IFERROR(__xludf.DUMMYFUNCTION("""COMPUTED_VALUE"""),"03157519977")</f>
        <v>03157519977</v>
      </c>
      <c r="E540" s="10" t="str">
        <f>IFERROR(__xludf.DUMMYFUNCTION("""COMPUTED_VALUE"""),"Jamia Masjid Sarai Ghulam Rasool Multan ")</f>
        <v>Jamia Masjid Sarai Ghulam Rasool Multan </v>
      </c>
      <c r="F540" s="10" t="str">
        <f>IFERROR(__xludf.DUMMYFUNCTION("""COMPUTED_VALUE"""),"jbeid")</f>
        <v>jbeid</v>
      </c>
      <c r="G540" s="10" t="str">
        <f>IFERROR(__xludf.DUMMYFUNCTION("""COMPUTED_VALUE"""),"Yes")</f>
        <v>Yes</v>
      </c>
      <c r="H540" s="10">
        <f>IFERROR(__xludf.DUMMYFUNCTION("""COMPUTED_VALUE"""),9.0)</f>
        <v>9</v>
      </c>
      <c r="I540" s="10">
        <f>IFERROR(__xludf.DUMMYFUNCTION("""COMPUTED_VALUE"""),0.0)</f>
        <v>0</v>
      </c>
      <c r="J540" s="10">
        <f>IFERROR(__xludf.DUMMYFUNCTION("""COMPUTED_VALUE"""),9.0)</f>
        <v>9</v>
      </c>
      <c r="K540" s="10">
        <f>IFERROR(__xludf.DUMMYFUNCTION("""COMPUTED_VALUE"""),5.0)</f>
        <v>5</v>
      </c>
      <c r="L540" s="10">
        <f>IFERROR(__xludf.DUMMYFUNCTION("""COMPUTED_VALUE"""),0.0)</f>
        <v>0</v>
      </c>
      <c r="M540" s="10">
        <f>IFERROR(__xludf.DUMMYFUNCTION("""COMPUTED_VALUE"""),3.0)</f>
        <v>3</v>
      </c>
      <c r="N540" s="10">
        <f>IFERROR(__xludf.DUMMYFUNCTION("""COMPUTED_VALUE"""),0.0)</f>
        <v>0</v>
      </c>
      <c r="O540" s="10">
        <f>IFERROR(__xludf.DUMMYFUNCTION("""COMPUTED_VALUE"""),0.0)</f>
        <v>0</v>
      </c>
      <c r="P540" s="10">
        <f>IFERROR(__xludf.DUMMYFUNCTION("""COMPUTED_VALUE"""),0.0)</f>
        <v>0</v>
      </c>
      <c r="Q540" s="10" t="str">
        <f>IFERROR(__xludf.DUMMYFUNCTION("""COMPUTED_VALUE"""),"No")</f>
        <v>No</v>
      </c>
      <c r="R540" s="10" t="str">
        <f>IFERROR(__xludf.DUMMYFUNCTION("""COMPUTED_VALUE"""),"No")</f>
        <v>No</v>
      </c>
      <c r="S540" s="10" t="str">
        <f>IFERROR(__xludf.DUMMYFUNCTION("""COMPUTED_VALUE"""),"No")</f>
        <v>No</v>
      </c>
      <c r="T540" s="10">
        <f>IFERROR(__xludf.DUMMYFUNCTION("""COMPUTED_VALUE"""),0.0)</f>
        <v>0</v>
      </c>
      <c r="U540" s="10">
        <f>IFERROR(__xludf.DUMMYFUNCTION("""COMPUTED_VALUE"""),0.0)</f>
        <v>0</v>
      </c>
      <c r="V540" s="10" t="str">
        <f>IFERROR(__xludf.DUMMYFUNCTION("""COMPUTED_VALUE"""),"معاشی، سیاسی  سرگرمیوں میں خواتین کی شرکت ۲۔  اسلام میں فیصلے کرنے کی ازادی ")</f>
        <v>معاشی، سیاسی  سرگرمیوں میں خواتین کی شرکت ۲۔  اسلام میں فیصلے کرنے کی ازادی </v>
      </c>
      <c r="W540" s="10" t="str">
        <f>IFERROR(__xludf.DUMMYFUNCTION("""COMPUTED_VALUE"""),"خواتین صحابیات میں روزگار حصول کی صلاحیت اور خدیجہ رضی اللہ تعالی عنہا کا کاروباری سرگرمیاں سر انجام دینا ۔ جابر رضی اللہ تعالی عنہ کی خالہ کا عدت کے دوران کام کرنے کا واقعہ ، حضور صلی اللہ علیہ وسلم کا ام ہانی کے فیصلے کا احترام کرنا اور عمر فاروق رضی ال"&amp;"لہ تعالی عنہ کا عام عورت کی رائے کو تسلیم کرنا ، فاطمہ بنت یحیی کا اشاعت اسلام میں کردار اور ام سلمہ رضی اللہ تعالی عنہا کا شرعی مسئلے کا حال بتانا اور اپ صلی اللہ علیہ وسلم کا تسلیم کرنا ، غزوہ احد میں ام سلیم اور عائشہ رضی اللہ تعالی عنہ کا کردار اور کف"&amp;"ار کے حملے پر ام عمارہ کا انہیں روکنا بیان کیا گیا ۔ ")</f>
        <v>خواتین صحابیات میں روزگار حصول کی صلاحیت اور خدیجہ رضی اللہ تعالی عنہا کا کاروباری سرگرمیاں سر انجام دینا ۔ جابر رضی اللہ تعالی عنہ کی خالہ کا عدت کے دوران کام کرنے کا واقعہ ، حضور صلی اللہ علیہ وسلم کا ام ہانی کے فیصلے کا احترام کرنا اور عمر فاروق رضی اللہ تعالی عنہ کا عام عورت کی رائے کو تسلیم کرنا ، فاطمہ بنت یحیی کا اشاعت اسلام میں کردار اور ام سلمہ رضی اللہ تعالی عنہا کا شرعی مسئلے کا حال بتانا اور اپ صلی اللہ علیہ وسلم کا تسلیم کرنا ، غزوہ احد میں ام سلیم اور عائشہ رضی اللہ تعالی عنہ کا کردار اور کفار کے حملے پر ام عمارہ کا انہیں روکنا بیان کیا گیا ۔ </v>
      </c>
      <c r="X540" s="10">
        <f>IFERROR(__xludf.DUMMYFUNCTION("""COMPUTED_VALUE"""),0.0)</f>
        <v>0</v>
      </c>
      <c r="Y540" s="10">
        <f>IFERROR(__xludf.DUMMYFUNCTION("""COMPUTED_VALUE"""),4.0)</f>
        <v>4</v>
      </c>
      <c r="Z540" s="10">
        <f>IFERROR(__xludf.DUMMYFUNCTION("""COMPUTED_VALUE"""),0.0)</f>
        <v>0</v>
      </c>
      <c r="AA540" s="10">
        <f>IFERROR(__xludf.DUMMYFUNCTION("""COMPUTED_VALUE"""),5.0)</f>
        <v>5</v>
      </c>
      <c r="AB540" s="10">
        <f>IFERROR(__xludf.DUMMYFUNCTION("""COMPUTED_VALUE"""),8.0)</f>
        <v>8</v>
      </c>
      <c r="AC540" s="10">
        <f>IFERROR(__xludf.DUMMYFUNCTION("""COMPUTED_VALUE"""),0.0)</f>
        <v>0</v>
      </c>
      <c r="AD540" s="10">
        <f>IFERROR(__xludf.DUMMYFUNCTION("""COMPUTED_VALUE"""),4.0)</f>
        <v>4</v>
      </c>
      <c r="AE540" s="10">
        <f>IFERROR(__xludf.DUMMYFUNCTION("""COMPUTED_VALUE"""),2.0)</f>
        <v>2</v>
      </c>
      <c r="AF540" s="10">
        <f>IFERROR(__xludf.DUMMYFUNCTION("""COMPUTED_VALUE"""),0.0)</f>
        <v>0</v>
      </c>
      <c r="AG540" s="10">
        <f>IFERROR(__xludf.DUMMYFUNCTION("""COMPUTED_VALUE"""),9.0)</f>
        <v>9</v>
      </c>
      <c r="AH540" s="10">
        <f>IFERROR(__xludf.DUMMYFUNCTION("""COMPUTED_VALUE"""),0.0)</f>
        <v>0</v>
      </c>
      <c r="AI540" s="10">
        <f>IFERROR(__xludf.DUMMYFUNCTION("""COMPUTED_VALUE"""),10.0)</f>
        <v>10</v>
      </c>
      <c r="AJ540" s="11" t="str">
        <f>IFERROR(__xludf.DUMMYFUNCTION("""COMPUTED_VALUE"""),"https://drive.google.com/open?id=12WgelOeh0m8Ggqz6roNpBbGOZJUmU1JKiiE5p2LA2ys")</f>
        <v>https://drive.google.com/open?id=12WgelOeh0m8Ggqz6roNpBbGOZJUmU1JKiiE5p2LA2ys</v>
      </c>
      <c r="AK540" s="12"/>
      <c r="AL540" s="12" t="str">
        <f>IFERROR(__xludf.DUMMYFUNCTION("""COMPUTED_VALUE"""),"Yes")</f>
        <v>Yes</v>
      </c>
      <c r="AM540" s="15">
        <f>IFERROR(__xludf.DUMMYFUNCTION("""COMPUTED_VALUE"""),0.9)</f>
        <v>0.9</v>
      </c>
      <c r="AN540" s="12" t="str">
        <f>IFERROR(__xludf.DUMMYFUNCTION("""COMPUTED_VALUE"""),"2nd week")</f>
        <v>2nd week</v>
      </c>
      <c r="AO540" s="13">
        <v>2.0</v>
      </c>
      <c r="AX540" s="17"/>
    </row>
    <row r="541">
      <c r="B541" s="9">
        <f>IFERROR(__xludf.DUMMYFUNCTION("""COMPUTED_VALUE"""),45891.26159091435)</f>
        <v>45891.26159</v>
      </c>
      <c r="C541" s="10" t="str">
        <f>IFERROR(__xludf.DUMMYFUNCTION("""COMPUTED_VALUE"""),"Arti Kumari ")</f>
        <v>Arti Kumari </v>
      </c>
      <c r="D541" s="10" t="str">
        <f>IFERROR(__xludf.DUMMYFUNCTION("""COMPUTED_VALUE"""),"03346661865")</f>
        <v>03346661865</v>
      </c>
      <c r="E541" s="10" t="str">
        <f>IFERROR(__xludf.DUMMYFUNCTION("""COMPUTED_VALUE"""),"Jamia Masjid Sirajaan Wali Hussain Agahi Multan")</f>
        <v>Jamia Masjid Sirajaan Wali Hussain Agahi Multan</v>
      </c>
      <c r="F541" s="10" t="str">
        <f>IFERROR(__xludf.DUMMYFUNCTION("""COMPUTED_VALUE"""),"ynbeh")</f>
        <v>ynbeh</v>
      </c>
      <c r="G541" s="10" t="str">
        <f>IFERROR(__xludf.DUMMYFUNCTION("""COMPUTED_VALUE"""),"No")</f>
        <v>No</v>
      </c>
      <c r="H541" s="10"/>
      <c r="I541" s="10"/>
      <c r="J541" s="10"/>
      <c r="K541" s="10">
        <f>IFERROR(__xludf.DUMMYFUNCTION("""COMPUTED_VALUE"""),0.0)</f>
        <v>0</v>
      </c>
      <c r="L541" s="10">
        <f>IFERROR(__xludf.DUMMYFUNCTION("""COMPUTED_VALUE"""),0.0)</f>
        <v>0</v>
      </c>
      <c r="M541" s="10">
        <f>IFERROR(__xludf.DUMMYFUNCTION("""COMPUTED_VALUE"""),0.0)</f>
        <v>0</v>
      </c>
      <c r="N541" s="10">
        <f>IFERROR(__xludf.DUMMYFUNCTION("""COMPUTED_VALUE"""),0.0)</f>
        <v>0</v>
      </c>
      <c r="O541" s="10">
        <f>IFERROR(__xludf.DUMMYFUNCTION("""COMPUTED_VALUE"""),0.0)</f>
        <v>0</v>
      </c>
      <c r="P541" s="10">
        <f>IFERROR(__xludf.DUMMYFUNCTION("""COMPUTED_VALUE"""),0.0)</f>
        <v>0</v>
      </c>
      <c r="Q541" s="10" t="str">
        <f>IFERROR(__xludf.DUMMYFUNCTION("""COMPUTED_VALUE"""),"No")</f>
        <v>No</v>
      </c>
      <c r="R541" s="10" t="str">
        <f>IFERROR(__xludf.DUMMYFUNCTION("""COMPUTED_VALUE"""),"No")</f>
        <v>No</v>
      </c>
      <c r="S541" s="10" t="str">
        <f>IFERROR(__xludf.DUMMYFUNCTION("""COMPUTED_VALUE"""),"No")</f>
        <v>No</v>
      </c>
      <c r="T541" s="10">
        <f>IFERROR(__xludf.DUMMYFUNCTION("""COMPUTED_VALUE"""),0.0)</f>
        <v>0</v>
      </c>
      <c r="U541" s="10">
        <f>IFERROR(__xludf.DUMMYFUNCTION("""COMPUTED_VALUE"""),0.0)</f>
        <v>0</v>
      </c>
      <c r="V541" s="10" t="str">
        <f>IFERROR(__xludf.DUMMYFUNCTION("""COMPUTED_VALUE"""),"طلاق")</f>
        <v>طلاق</v>
      </c>
      <c r="W541" s="10" t="str">
        <f>IFERROR(__xludf.DUMMYFUNCTION("""COMPUTED_VALUE"""),"امام نے خطبہ میں طلاق پر بات کی طلاق کی دو اقسام بتائیں اور بتایا کہ طلاق طرف لفظ طلاق سے  ہوتی بلکہ اور بھی کچھ ایسے الفاظ ہیں جب انسان غصے میں ہو اور دل میں نیت طلاق ہو تو طلاق ہو جاتی ہے جیسے چھوڑ دیا، آزاد کیا، فارغ کیا وغیرہ وغیرہ اور بعد میں غصہ ٹھن"&amp;"ڈا ہونے کے بعد انھیں لگتا ہے کہ طلاق میں ہوئی ہم نے تو لفظ طلاق نہیں کہا پر ہو جاتی ہے اور پھر میاں بیوی میں زنا ہونا ہے ہےیہ ایسے کچھ معمالات ہیں جو ہمیں آگے اپنی جوان نسل کو سکھانا ہے ان کی تعلیمات نہ ہونے کی وجہ سے معاشرے میں بہت بربادی ہو ری ہے")</f>
        <v>امام نے خطبہ میں طلاق پر بات کی طلاق کی دو اقسام بتائیں اور بتایا کہ طلاق طرف لفظ طلاق سے  ہوتی بلکہ اور بھی کچھ ایسے الفاظ ہیں جب انسان غصے میں ہو اور دل میں نیت طلاق ہو تو طلاق ہو جاتی ہے جیسے چھوڑ دیا، آزاد کیا، فارغ کیا وغیرہ وغیرہ اور بعد میں غصہ ٹھنڈا ہونے کے بعد انھیں لگتا ہے کہ طلاق میں ہوئی ہم نے تو لفظ طلاق نہیں کہا پر ہو جاتی ہے اور پھر میاں بیوی میں زنا ہونا ہے ہےیہ ایسے کچھ معمالات ہیں جو ہمیں آگے اپنی جوان نسل کو سکھانا ہے ان کی تعلیمات نہ ہونے کی وجہ سے معاشرے میں بہت بربادی ہو ری ہے</v>
      </c>
      <c r="X541" s="10">
        <f>IFERROR(__xludf.DUMMYFUNCTION("""COMPUTED_VALUE"""),0.0)</f>
        <v>0</v>
      </c>
      <c r="Y541" s="10">
        <f>IFERROR(__xludf.DUMMYFUNCTION("""COMPUTED_VALUE"""),0.0)</f>
        <v>0</v>
      </c>
      <c r="Z541" s="10">
        <f>IFERROR(__xludf.DUMMYFUNCTION("""COMPUTED_VALUE"""),10.0)</f>
        <v>10</v>
      </c>
      <c r="AA541" s="10">
        <f>IFERROR(__xludf.DUMMYFUNCTION("""COMPUTED_VALUE"""),5.0)</f>
        <v>5</v>
      </c>
      <c r="AB541" s="10">
        <f>IFERROR(__xludf.DUMMYFUNCTION("""COMPUTED_VALUE"""),0.0)</f>
        <v>0</v>
      </c>
      <c r="AC541" s="10">
        <f>IFERROR(__xludf.DUMMYFUNCTION("""COMPUTED_VALUE"""),0.0)</f>
        <v>0</v>
      </c>
      <c r="AD541" s="10">
        <f>IFERROR(__xludf.DUMMYFUNCTION("""COMPUTED_VALUE"""),0.0)</f>
        <v>0</v>
      </c>
      <c r="AE541" s="10">
        <f>IFERROR(__xludf.DUMMYFUNCTION("""COMPUTED_VALUE"""),0.0)</f>
        <v>0</v>
      </c>
      <c r="AF541" s="10">
        <f>IFERROR(__xludf.DUMMYFUNCTION("""COMPUTED_VALUE"""),0.0)</f>
        <v>0</v>
      </c>
      <c r="AG541" s="10">
        <f>IFERROR(__xludf.DUMMYFUNCTION("""COMPUTED_VALUE"""),10.0)</f>
        <v>10</v>
      </c>
      <c r="AH541" s="10">
        <f>IFERROR(__xludf.DUMMYFUNCTION("""COMPUTED_VALUE"""),0.0)</f>
        <v>0</v>
      </c>
      <c r="AI541" s="10">
        <f>IFERROR(__xludf.DUMMYFUNCTION("""COMPUTED_VALUE"""),10.0)</f>
        <v>10</v>
      </c>
      <c r="AJ541" s="11" t="str">
        <f>IFERROR(__xludf.DUMMYFUNCTION("""COMPUTED_VALUE"""),"https://drive.google.com/open?id=1xQZEXbgTrcNzrDxno8nnKjImH8dSf2Ac")</f>
        <v>https://drive.google.com/open?id=1xQZEXbgTrcNzrDxno8nnKjImH8dSf2Ac</v>
      </c>
      <c r="AK541" s="12"/>
      <c r="AL541" s="12"/>
      <c r="AM541" s="12"/>
      <c r="AN541" s="12" t="str">
        <f>IFERROR(__xludf.DUMMYFUNCTION("""COMPUTED_VALUE"""),"3rd week")</f>
        <v>3rd week</v>
      </c>
      <c r="AO541" s="13">
        <v>3.0</v>
      </c>
      <c r="AX541" s="17"/>
    </row>
    <row r="542">
      <c r="B542" s="9">
        <f>IFERROR(__xludf.DUMMYFUNCTION("""COMPUTED_VALUE"""),45891.39344945602)</f>
        <v>45891.39345</v>
      </c>
      <c r="C542" s="10" t="str">
        <f>IFERROR(__xludf.DUMMYFUNCTION("""COMPUTED_VALUE"""),"Arti Kumari ")</f>
        <v>Arti Kumari </v>
      </c>
      <c r="D542" s="10" t="str">
        <f>IFERROR(__xludf.DUMMYFUNCTION("""COMPUTED_VALUE"""),"03346661865")</f>
        <v>03346661865</v>
      </c>
      <c r="E542" s="10" t="str">
        <f>IFERROR(__xludf.DUMMYFUNCTION("""COMPUTED_VALUE"""),"Jamia Masjid Shah Rukhan Alam Multan")</f>
        <v>Jamia Masjid Shah Rukhan Alam Multan</v>
      </c>
      <c r="F542" s="10" t="str">
        <f>IFERROR(__xludf.DUMMYFUNCTION("""COMPUTED_VALUE"""),"yeigp")</f>
        <v>yeigp</v>
      </c>
      <c r="G542" s="10" t="str">
        <f>IFERROR(__xludf.DUMMYFUNCTION("""COMPUTED_VALUE"""),"Yes")</f>
        <v>Yes</v>
      </c>
      <c r="H542" s="10">
        <f>IFERROR(__xludf.DUMMYFUNCTION("""COMPUTED_VALUE"""),9.0)</f>
        <v>9</v>
      </c>
      <c r="I542" s="10">
        <f>IFERROR(__xludf.DUMMYFUNCTION("""COMPUTED_VALUE"""),1.0)</f>
        <v>1</v>
      </c>
      <c r="J542" s="10">
        <f>IFERROR(__xludf.DUMMYFUNCTION("""COMPUTED_VALUE"""),9.0)</f>
        <v>9</v>
      </c>
      <c r="K542" s="10">
        <f>IFERROR(__xludf.DUMMYFUNCTION("""COMPUTED_VALUE"""),0.0)</f>
        <v>0</v>
      </c>
      <c r="L542" s="10">
        <f>IFERROR(__xludf.DUMMYFUNCTION("""COMPUTED_VALUE"""),10.0)</f>
        <v>10</v>
      </c>
      <c r="M542" s="10">
        <f>IFERROR(__xludf.DUMMYFUNCTION("""COMPUTED_VALUE"""),0.0)</f>
        <v>0</v>
      </c>
      <c r="N542" s="10">
        <f>IFERROR(__xludf.DUMMYFUNCTION("""COMPUTED_VALUE"""),10.0)</f>
        <v>10</v>
      </c>
      <c r="O542" s="10">
        <f>IFERROR(__xludf.DUMMYFUNCTION("""COMPUTED_VALUE"""),0.0)</f>
        <v>0</v>
      </c>
      <c r="P542" s="10">
        <f>IFERROR(__xludf.DUMMYFUNCTION("""COMPUTED_VALUE"""),10.0)</f>
        <v>10</v>
      </c>
      <c r="Q542" s="10" t="str">
        <f>IFERROR(__xludf.DUMMYFUNCTION("""COMPUTED_VALUE"""),"No")</f>
        <v>No</v>
      </c>
      <c r="R542" s="10" t="str">
        <f>IFERROR(__xludf.DUMMYFUNCTION("""COMPUTED_VALUE"""),"Yes")</f>
        <v>Yes</v>
      </c>
      <c r="S542" s="10" t="str">
        <f>IFERROR(__xludf.DUMMYFUNCTION("""COMPUTED_VALUE"""),"Yes")</f>
        <v>Yes</v>
      </c>
      <c r="T542" s="10">
        <f>IFERROR(__xludf.DUMMYFUNCTION("""COMPUTED_VALUE"""),0.0)</f>
        <v>0</v>
      </c>
      <c r="U542" s="10">
        <f>IFERROR(__xludf.DUMMYFUNCTION("""COMPUTED_VALUE"""),0.0)</f>
        <v>0</v>
      </c>
      <c r="V542" s="10" t="str">
        <f>IFERROR(__xludf.DUMMYFUNCTION("""COMPUTED_VALUE"""),"پہلے حصہ نیک لوگوں کی سنگت اور دوسرا حصہ پڑوسیوں کے حقوق  میں مساجد کا کردار اور صفائی ستھرائی")</f>
        <v>پہلے حصہ نیک لوگوں کی سنگت اور دوسرا حصہ پڑوسیوں کے حقوق  میں مساجد کا کردار اور صفائی ستھرائی</v>
      </c>
      <c r="W542" s="10" t="str">
        <f>IFERROR(__xludf.DUMMYFUNCTION("""COMPUTED_VALUE"""),"امام نے خطبہ کو دو حصوں میں تقسیم کیا پہلے میں بتایا نیک لوگوں کو سنگت میں ہم پر کیسے اثرات آتے ہیں اور دوسرا حصے میں پڑوسیوں  کے حقوق بتائے اور ہمسائیوں کی ہم آہنگی میں مساجد کیا کردار ادا کرتی ہیں اور اسی کے ساتھ ساتھ صفائی ستھرائی کی ترغیب دی اور  بتای"&amp;"ا کہ اپنے محلے اور ارد گرد کے ماحول کو  صاف رکھنے کے لیے وقت نکالیں اور آخر میں گزارش کی کہ جو باتیں سنی ہیں وہ اپنی خواتیں کو بھی بتائیں")</f>
        <v>امام نے خطبہ کو دو حصوں میں تقسیم کیا پہلے میں بتایا نیک لوگوں کو سنگت میں ہم پر کیسے اثرات آتے ہیں اور دوسرا حصے میں پڑوسیوں  کے حقوق بتائے اور ہمسائیوں کی ہم آہنگی میں مساجد کیا کردار ادا کرتی ہیں اور اسی کے ساتھ ساتھ صفائی ستھرائی کی ترغیب دی اور  بتایا کہ اپنے محلے اور ارد گرد کے ماحول کو  صاف رکھنے کے لیے وقت نکالیں اور آخر میں گزارش کی کہ جو باتیں سنی ہیں وہ اپنی خواتیں کو بھی بتائیں</v>
      </c>
      <c r="X542" s="10">
        <f>IFERROR(__xludf.DUMMYFUNCTION("""COMPUTED_VALUE"""),1.0)</f>
        <v>1</v>
      </c>
      <c r="Y542" s="10">
        <f>IFERROR(__xludf.DUMMYFUNCTION("""COMPUTED_VALUE"""),10.0)</f>
        <v>10</v>
      </c>
      <c r="Z542" s="10">
        <f>IFERROR(__xludf.DUMMYFUNCTION("""COMPUTED_VALUE"""),10.0)</f>
        <v>10</v>
      </c>
      <c r="AA542" s="10">
        <f>IFERROR(__xludf.DUMMYFUNCTION("""COMPUTED_VALUE"""),10.0)</f>
        <v>10</v>
      </c>
      <c r="AB542" s="10">
        <f>IFERROR(__xludf.DUMMYFUNCTION("""COMPUTED_VALUE"""),0.0)</f>
        <v>0</v>
      </c>
      <c r="AC542" s="10">
        <f>IFERROR(__xludf.DUMMYFUNCTION("""COMPUTED_VALUE"""),0.0)</f>
        <v>0</v>
      </c>
      <c r="AD542" s="10">
        <f>IFERROR(__xludf.DUMMYFUNCTION("""COMPUTED_VALUE"""),0.0)</f>
        <v>0</v>
      </c>
      <c r="AE542" s="10">
        <f>IFERROR(__xludf.DUMMYFUNCTION("""COMPUTED_VALUE"""),1.0)</f>
        <v>1</v>
      </c>
      <c r="AF542" s="10">
        <f>IFERROR(__xludf.DUMMYFUNCTION("""COMPUTED_VALUE"""),0.0)</f>
        <v>0</v>
      </c>
      <c r="AG542" s="10">
        <f>IFERROR(__xludf.DUMMYFUNCTION("""COMPUTED_VALUE"""),10.0)</f>
        <v>10</v>
      </c>
      <c r="AH542" s="10">
        <f>IFERROR(__xludf.DUMMYFUNCTION("""COMPUTED_VALUE"""),0.0)</f>
        <v>0</v>
      </c>
      <c r="AI542" s="10">
        <f>IFERROR(__xludf.DUMMYFUNCTION("""COMPUTED_VALUE"""),10.0)</f>
        <v>10</v>
      </c>
      <c r="AJ542" s="11" t="str">
        <f>IFERROR(__xludf.DUMMYFUNCTION("""COMPUTED_VALUE"""),"https://drive.google.com/open?id=19NJuuQEVdTY4gU1cGGAr9z5mTg-Gy48j")</f>
        <v>https://drive.google.com/open?id=19NJuuQEVdTY4gU1cGGAr9z5mTg-Gy48j</v>
      </c>
      <c r="AK542" s="12"/>
      <c r="AL542" s="12" t="str">
        <f>IFERROR(__xludf.DUMMYFUNCTION("""COMPUTED_VALUE"""),"Yes")</f>
        <v>Yes</v>
      </c>
      <c r="AM542" s="15">
        <f>IFERROR(__xludf.DUMMYFUNCTION("""COMPUTED_VALUE"""),0.9)</f>
        <v>0.9</v>
      </c>
      <c r="AN542" s="12" t="str">
        <f>IFERROR(__xludf.DUMMYFUNCTION("""COMPUTED_VALUE"""),"3rd week")</f>
        <v>3rd week</v>
      </c>
      <c r="AO542" s="13">
        <v>3.0</v>
      </c>
      <c r="AX542" s="17"/>
    </row>
    <row r="543">
      <c r="B543" s="9">
        <f>IFERROR(__xludf.DUMMYFUNCTION("""COMPUTED_VALUE"""),45891.39963372685)</f>
        <v>45891.39963</v>
      </c>
      <c r="C543" s="10" t="str">
        <f>IFERROR(__xludf.DUMMYFUNCTION("""COMPUTED_VALUE"""),"Javeria abbas")</f>
        <v>Javeria abbas</v>
      </c>
      <c r="D543" s="10" t="str">
        <f>IFERROR(__xludf.DUMMYFUNCTION("""COMPUTED_VALUE"""),"03211539026")</f>
        <v>03211539026</v>
      </c>
      <c r="E543" s="10" t="str">
        <f>IFERROR(__xludf.DUMMYFUNCTION("""COMPUTED_VALUE"""),"Jamia Masjid uthaar Anhaar Coloney Rahim Yar Khan")</f>
        <v>Jamia Masjid uthaar Anhaar Coloney Rahim Yar Khan</v>
      </c>
      <c r="F543" s="10" t="str">
        <f>IFERROR(__xludf.DUMMYFUNCTION("""COMPUTED_VALUE"""),"kfsqd")</f>
        <v>kfsqd</v>
      </c>
      <c r="G543" s="10" t="str">
        <f>IFERROR(__xludf.DUMMYFUNCTION("""COMPUTED_VALUE"""),"Yes")</f>
        <v>Yes</v>
      </c>
      <c r="H543" s="10">
        <f>IFERROR(__xludf.DUMMYFUNCTION("""COMPUTED_VALUE"""),0.0)</f>
        <v>0</v>
      </c>
      <c r="I543" s="10">
        <f>IFERROR(__xludf.DUMMYFUNCTION("""COMPUTED_VALUE"""),10.0)</f>
        <v>10</v>
      </c>
      <c r="J543" s="10">
        <f>IFERROR(__xludf.DUMMYFUNCTION("""COMPUTED_VALUE"""),0.0)</f>
        <v>0</v>
      </c>
      <c r="K543" s="10">
        <f>IFERROR(__xludf.DUMMYFUNCTION("""COMPUTED_VALUE"""),0.0)</f>
        <v>0</v>
      </c>
      <c r="L543" s="10">
        <f>IFERROR(__xludf.DUMMYFUNCTION("""COMPUTED_VALUE"""),0.0)</f>
        <v>0</v>
      </c>
      <c r="M543" s="10">
        <f>IFERROR(__xludf.DUMMYFUNCTION("""COMPUTED_VALUE"""),0.0)</f>
        <v>0</v>
      </c>
      <c r="N543" s="10">
        <f>IFERROR(__xludf.DUMMYFUNCTION("""COMPUTED_VALUE"""),0.0)</f>
        <v>0</v>
      </c>
      <c r="O543" s="10">
        <f>IFERROR(__xludf.DUMMYFUNCTION("""COMPUTED_VALUE"""),0.0)</f>
        <v>0</v>
      </c>
      <c r="P543" s="10">
        <f>IFERROR(__xludf.DUMMYFUNCTION("""COMPUTED_VALUE"""),0.0)</f>
        <v>0</v>
      </c>
      <c r="Q543" s="10" t="str">
        <f>IFERROR(__xludf.DUMMYFUNCTION("""COMPUTED_VALUE"""),"No")</f>
        <v>No</v>
      </c>
      <c r="R543" s="10" t="str">
        <f>IFERROR(__xludf.DUMMYFUNCTION("""COMPUTED_VALUE"""),"No")</f>
        <v>No</v>
      </c>
      <c r="S543" s="10" t="str">
        <f>IFERROR(__xludf.DUMMYFUNCTION("""COMPUTED_VALUE"""),"No")</f>
        <v>No</v>
      </c>
      <c r="T543" s="10">
        <f>IFERROR(__xludf.DUMMYFUNCTION("""COMPUTED_VALUE"""),0.0)</f>
        <v>0</v>
      </c>
      <c r="U543" s="10">
        <f>IFERROR(__xludf.DUMMYFUNCTION("""COMPUTED_VALUE"""),0.0)</f>
        <v>0</v>
      </c>
      <c r="V543" s="10" t="str">
        <f>IFERROR(__xludf.DUMMYFUNCTION("""COMPUTED_VALUE"""),"حضرت موسی علیہ السلام پر بات")</f>
        <v>حضرت موسی علیہ السلام پر بات</v>
      </c>
      <c r="W543" s="10" t="str">
        <f>IFERROR(__xludf.DUMMYFUNCTION("""COMPUTED_VALUE"""),"اس خطبہ میں مولوی نے نمازیوں کو بتایا کہ کس طرح اللہ تعالی نےموسی علیہ السلام کی حفاظت کا ذمہ لیا اور ام موسی کو فرمایا کہ تم پختہ ہو جاؤ گھبرانا نہیں موسی کی حفاظت کی ذمہ داری ہماری ہے اور ہم تمہیں موسی کو لٹا دیں گےاور بتایا کہ کس طرح فرعون نے 36 ہزار ب"&amp;"چوں کو مروا دیا.")</f>
        <v>اس خطبہ میں مولوی نے نمازیوں کو بتایا کہ کس طرح اللہ تعالی نےموسی علیہ السلام کی حفاظت کا ذمہ لیا اور ام موسی کو فرمایا کہ تم پختہ ہو جاؤ گھبرانا نہیں موسی کی حفاظت کی ذمہ داری ہماری ہے اور ہم تمہیں موسی کو لٹا دیں گےاور بتایا کہ کس طرح فرعون نے 36 ہزار بچوں کو مروا دیا.</v>
      </c>
      <c r="X543" s="10">
        <f>IFERROR(__xludf.DUMMYFUNCTION("""COMPUTED_VALUE"""),0.0)</f>
        <v>0</v>
      </c>
      <c r="Y543" s="10">
        <f>IFERROR(__xludf.DUMMYFUNCTION("""COMPUTED_VALUE"""),7.0)</f>
        <v>7</v>
      </c>
      <c r="Z543" s="10">
        <f>IFERROR(__xludf.DUMMYFUNCTION("""COMPUTED_VALUE"""),0.0)</f>
        <v>0</v>
      </c>
      <c r="AA543" s="10">
        <f>IFERROR(__xludf.DUMMYFUNCTION("""COMPUTED_VALUE"""),8.0)</f>
        <v>8</v>
      </c>
      <c r="AB543" s="10">
        <f>IFERROR(__xludf.DUMMYFUNCTION("""COMPUTED_VALUE"""),6.0)</f>
        <v>6</v>
      </c>
      <c r="AC543" s="10">
        <f>IFERROR(__xludf.DUMMYFUNCTION("""COMPUTED_VALUE"""),4.0)</f>
        <v>4</v>
      </c>
      <c r="AD543" s="10">
        <f>IFERROR(__xludf.DUMMYFUNCTION("""COMPUTED_VALUE"""),0.0)</f>
        <v>0</v>
      </c>
      <c r="AE543" s="10">
        <f>IFERROR(__xludf.DUMMYFUNCTION("""COMPUTED_VALUE"""),0.0)</f>
        <v>0</v>
      </c>
      <c r="AF543" s="10">
        <f>IFERROR(__xludf.DUMMYFUNCTION("""COMPUTED_VALUE"""),0.0)</f>
        <v>0</v>
      </c>
      <c r="AG543" s="10">
        <f>IFERROR(__xludf.DUMMYFUNCTION("""COMPUTED_VALUE"""),9.0)</f>
        <v>9</v>
      </c>
      <c r="AH543" s="10">
        <f>IFERROR(__xludf.DUMMYFUNCTION("""COMPUTED_VALUE"""),0.0)</f>
        <v>0</v>
      </c>
      <c r="AI543" s="10">
        <f>IFERROR(__xludf.DUMMYFUNCTION("""COMPUTED_VALUE"""),9.0)</f>
        <v>9</v>
      </c>
      <c r="AJ543" s="11" t="str">
        <f>IFERROR(__xludf.DUMMYFUNCTION("""COMPUTED_VALUE"""),"https://drive.google.com/open?id=18j-PbdxoiMu2QvSuOc19ozWztr4KJJrL8avCtTRujFk")</f>
        <v>https://drive.google.com/open?id=18j-PbdxoiMu2QvSuOc19ozWztr4KJJrL8avCtTRujFk</v>
      </c>
      <c r="AK543" s="12"/>
      <c r="AL543" s="12" t="str">
        <f>IFERROR(__xludf.DUMMYFUNCTION("""COMPUTED_VALUE"""),"No")</f>
        <v>No</v>
      </c>
      <c r="AM543" s="15">
        <f>IFERROR(__xludf.DUMMYFUNCTION("""COMPUTED_VALUE"""),0.0)</f>
        <v>0</v>
      </c>
      <c r="AN543" s="12" t="str">
        <f>IFERROR(__xludf.DUMMYFUNCTION("""COMPUTED_VALUE"""),"1st week")</f>
        <v>1st week</v>
      </c>
      <c r="AO543" s="13">
        <v>1.0</v>
      </c>
      <c r="AX543" s="17"/>
    </row>
    <row r="544">
      <c r="B544" s="9">
        <f>IFERROR(__xludf.DUMMYFUNCTION("""COMPUTED_VALUE"""),45891.42139924769)</f>
        <v>45891.4214</v>
      </c>
      <c r="C544" s="10" t="str">
        <f>IFERROR(__xludf.DUMMYFUNCTION("""COMPUTED_VALUE"""),"Asma Gul ")</f>
        <v>Asma Gul </v>
      </c>
      <c r="D544" s="10" t="str">
        <f>IFERROR(__xludf.DUMMYFUNCTION("""COMPUTED_VALUE"""),"03459308620")</f>
        <v>03459308620</v>
      </c>
      <c r="E544" s="10" t="str">
        <f>IFERROR(__xludf.DUMMYFUNCTION("""COMPUTED_VALUE"""),"Jamia Masjid Darbar Khawaja Noor Muhammad Maharwi")</f>
        <v>Jamia Masjid Darbar Khawaja Noor Muhammad Maharwi</v>
      </c>
      <c r="F544" s="10" t="str">
        <f>IFERROR(__xludf.DUMMYFUNCTION("""COMPUTED_VALUE"""),"hrsog")</f>
        <v>hrsog</v>
      </c>
      <c r="G544" s="10" t="str">
        <f>IFERROR(__xludf.DUMMYFUNCTION("""COMPUTED_VALUE"""),"No")</f>
        <v>No</v>
      </c>
      <c r="H544" s="10"/>
      <c r="I544" s="10"/>
      <c r="J544" s="10"/>
      <c r="K544" s="10">
        <f>IFERROR(__xludf.DUMMYFUNCTION("""COMPUTED_VALUE"""),3.0)</f>
        <v>3</v>
      </c>
      <c r="L544" s="10">
        <f>IFERROR(__xludf.DUMMYFUNCTION("""COMPUTED_VALUE"""),0.0)</f>
        <v>0</v>
      </c>
      <c r="M544" s="10">
        <f>IFERROR(__xludf.DUMMYFUNCTION("""COMPUTED_VALUE"""),0.0)</f>
        <v>0</v>
      </c>
      <c r="N544" s="10">
        <f>IFERROR(__xludf.DUMMYFUNCTION("""COMPUTED_VALUE"""),0.0)</f>
        <v>0</v>
      </c>
      <c r="O544" s="10">
        <f>IFERROR(__xludf.DUMMYFUNCTION("""COMPUTED_VALUE"""),0.0)</f>
        <v>0</v>
      </c>
      <c r="P544" s="10">
        <f>IFERROR(__xludf.DUMMYFUNCTION("""COMPUTED_VALUE"""),0.0)</f>
        <v>0</v>
      </c>
      <c r="Q544" s="10" t="str">
        <f>IFERROR(__xludf.DUMMYFUNCTION("""COMPUTED_VALUE"""),"No")</f>
        <v>No</v>
      </c>
      <c r="R544" s="10" t="str">
        <f>IFERROR(__xludf.DUMMYFUNCTION("""COMPUTED_VALUE"""),"No")</f>
        <v>No</v>
      </c>
      <c r="S544" s="10" t="str">
        <f>IFERROR(__xludf.DUMMYFUNCTION("""COMPUTED_VALUE"""),"No")</f>
        <v>No</v>
      </c>
      <c r="T544" s="10">
        <f>IFERROR(__xludf.DUMMYFUNCTION("""COMPUTED_VALUE"""),0.0)</f>
        <v>0</v>
      </c>
      <c r="U544" s="10">
        <f>IFERROR(__xludf.DUMMYFUNCTION("""COMPUTED_VALUE"""),0.0)</f>
        <v>0</v>
      </c>
      <c r="V544" s="10" t="str">
        <f>IFERROR(__xludf.DUMMYFUNCTION("""COMPUTED_VALUE"""),"امت مسلمہ کی ذمہ داریاں تقوی اور اصلاح معاشرہ")</f>
        <v>امت مسلمہ کی ذمہ داریاں تقوی اور اصلاح معاشرہ</v>
      </c>
      <c r="W544" s="10" t="str">
        <f>IFERROR(__xludf.DUMMYFUNCTION("""COMPUTED_VALUE"""),"یہ بیان تقوی سچائی اور اچھی اخلاق اپنانے برائی سے روکنے اور نیکی کی دعوت دینے کے لیے ذمہ داری پر زور دیتا ہے اسلام کے اصولوں کے مطابق ہر فرد خاندان اور حکمران کو عدل تربیت اور اصلاح معاشرہ کا فریضہ ادا کرنا لازم ہے")</f>
        <v>یہ بیان تقوی سچائی اور اچھی اخلاق اپنانے برائی سے روکنے اور نیکی کی دعوت دینے کے لیے ذمہ داری پر زور دیتا ہے اسلام کے اصولوں کے مطابق ہر فرد خاندان اور حکمران کو عدل تربیت اور اصلاح معاشرہ کا فریضہ ادا کرنا لازم ہے</v>
      </c>
      <c r="X544" s="10">
        <f>IFERROR(__xludf.DUMMYFUNCTION("""COMPUTED_VALUE"""),9.0)</f>
        <v>9</v>
      </c>
      <c r="Y544" s="10">
        <f>IFERROR(__xludf.DUMMYFUNCTION("""COMPUTED_VALUE"""),9.0)</f>
        <v>9</v>
      </c>
      <c r="Z544" s="10">
        <f>IFERROR(__xludf.DUMMYFUNCTION("""COMPUTED_VALUE"""),9.0)</f>
        <v>9</v>
      </c>
      <c r="AA544" s="10">
        <f>IFERROR(__xludf.DUMMYFUNCTION("""COMPUTED_VALUE"""),9.0)</f>
        <v>9</v>
      </c>
      <c r="AB544" s="10">
        <f>IFERROR(__xludf.DUMMYFUNCTION("""COMPUTED_VALUE"""),9.0)</f>
        <v>9</v>
      </c>
      <c r="AC544" s="10">
        <f>IFERROR(__xludf.DUMMYFUNCTION("""COMPUTED_VALUE"""),9.0)</f>
        <v>9</v>
      </c>
      <c r="AD544" s="10">
        <f>IFERROR(__xludf.DUMMYFUNCTION("""COMPUTED_VALUE"""),5.0)</f>
        <v>5</v>
      </c>
      <c r="AE544" s="10">
        <f>IFERROR(__xludf.DUMMYFUNCTION("""COMPUTED_VALUE"""),5.0)</f>
        <v>5</v>
      </c>
      <c r="AF544" s="10">
        <f>IFERROR(__xludf.DUMMYFUNCTION("""COMPUTED_VALUE"""),0.0)</f>
        <v>0</v>
      </c>
      <c r="AG544" s="10">
        <f>IFERROR(__xludf.DUMMYFUNCTION("""COMPUTED_VALUE"""),9.0)</f>
        <v>9</v>
      </c>
      <c r="AH544" s="10">
        <f>IFERROR(__xludf.DUMMYFUNCTION("""COMPUTED_VALUE"""),0.0)</f>
        <v>0</v>
      </c>
      <c r="AI544" s="10">
        <f>IFERROR(__xludf.DUMMYFUNCTION("""COMPUTED_VALUE"""),8.0)</f>
        <v>8</v>
      </c>
      <c r="AJ544" s="11" t="str">
        <f>IFERROR(__xludf.DUMMYFUNCTION("""COMPUTED_VALUE"""),"https://drive.google.com/open?id=1febCY2aSF61QRwRlt9yNGByNnyPcVw6T2NRT3uhtvAU")</f>
        <v>https://drive.google.com/open?id=1febCY2aSF61QRwRlt9yNGByNnyPcVw6T2NRT3uhtvAU</v>
      </c>
      <c r="AK544" s="12"/>
      <c r="AL544" s="12"/>
      <c r="AM544" s="12"/>
      <c r="AN544" s="12" t="str">
        <f>IFERROR(__xludf.DUMMYFUNCTION("""COMPUTED_VALUE"""),"1st week")</f>
        <v>1st week</v>
      </c>
      <c r="AO544" s="13">
        <v>1.0</v>
      </c>
      <c r="AX544" s="17"/>
    </row>
    <row r="545">
      <c r="B545" s="9">
        <f>IFERROR(__xludf.DUMMYFUNCTION("""COMPUTED_VALUE"""),45891.43355372685)</f>
        <v>45891.43355</v>
      </c>
      <c r="C545" s="10" t="str">
        <f>IFERROR(__xludf.DUMMYFUNCTION("""COMPUTED_VALUE"""),"Asma Gul ")</f>
        <v>Asma Gul </v>
      </c>
      <c r="D545" s="10" t="str">
        <f>IFERROR(__xludf.DUMMYFUNCTION("""COMPUTED_VALUE"""),"03459308620")</f>
        <v>03459308620</v>
      </c>
      <c r="E545" s="10" t="str">
        <f>IFERROR(__xludf.DUMMYFUNCTION("""COMPUTED_VALUE"""),"Jamia Masjid Sadiq Akbar Machi Hatta Bhawalpur")</f>
        <v>Jamia Masjid Sadiq Akbar Machi Hatta Bhawalpur</v>
      </c>
      <c r="F545" s="10" t="str">
        <f>IFERROR(__xludf.DUMMYFUNCTION("""COMPUTED_VALUE"""),"dfnmy")</f>
        <v>dfnmy</v>
      </c>
      <c r="G545" s="10" t="str">
        <f>IFERROR(__xludf.DUMMYFUNCTION("""COMPUTED_VALUE"""),"Yes")</f>
        <v>Yes</v>
      </c>
      <c r="H545" s="10">
        <f>IFERROR(__xludf.DUMMYFUNCTION("""COMPUTED_VALUE"""),10.0)</f>
        <v>10</v>
      </c>
      <c r="I545" s="10">
        <f>IFERROR(__xludf.DUMMYFUNCTION("""COMPUTED_VALUE"""),0.0)</f>
        <v>0</v>
      </c>
      <c r="J545" s="10">
        <f>IFERROR(__xludf.DUMMYFUNCTION("""COMPUTED_VALUE"""),10.0)</f>
        <v>10</v>
      </c>
      <c r="K545" s="10">
        <f>IFERROR(__xludf.DUMMYFUNCTION("""COMPUTED_VALUE"""),3.0)</f>
        <v>3</v>
      </c>
      <c r="L545" s="10">
        <f>IFERROR(__xludf.DUMMYFUNCTION("""COMPUTED_VALUE"""),9.0)</f>
        <v>9</v>
      </c>
      <c r="M545" s="10">
        <f>IFERROR(__xludf.DUMMYFUNCTION("""COMPUTED_VALUE"""),1.0)</f>
        <v>1</v>
      </c>
      <c r="N545" s="10">
        <f>IFERROR(__xludf.DUMMYFUNCTION("""COMPUTED_VALUE"""),9.0)</f>
        <v>9</v>
      </c>
      <c r="O545" s="10">
        <f>IFERROR(__xludf.DUMMYFUNCTION("""COMPUTED_VALUE"""),0.0)</f>
        <v>0</v>
      </c>
      <c r="P545" s="10">
        <f>IFERROR(__xludf.DUMMYFUNCTION("""COMPUTED_VALUE"""),9.0)</f>
        <v>9</v>
      </c>
      <c r="Q545" s="10" t="str">
        <f>IFERROR(__xludf.DUMMYFUNCTION("""COMPUTED_VALUE"""),"No")</f>
        <v>No</v>
      </c>
      <c r="R545" s="10" t="str">
        <f>IFERROR(__xludf.DUMMYFUNCTION("""COMPUTED_VALUE"""),"Yes")</f>
        <v>Yes</v>
      </c>
      <c r="S545" s="10" t="str">
        <f>IFERROR(__xludf.DUMMYFUNCTION("""COMPUTED_VALUE"""),"No")</f>
        <v>No</v>
      </c>
      <c r="T545" s="10">
        <f>IFERROR(__xludf.DUMMYFUNCTION("""COMPUTED_VALUE"""),0.0)</f>
        <v>0</v>
      </c>
      <c r="U545" s="10">
        <f>IFERROR(__xludf.DUMMYFUNCTION("""COMPUTED_VALUE"""),0.0)</f>
        <v>0</v>
      </c>
      <c r="V545" s="10" t="str">
        <f>IFERROR(__xludf.DUMMYFUNCTION("""COMPUTED_VALUE"""),"اسلام میں پڑوسیوں کے حقوق اور معاشرتی ذمہ داریاں")</f>
        <v>اسلام میں پڑوسیوں کے حقوق اور معاشرتی ذمہ داریاں</v>
      </c>
      <c r="W545" s="10" t="str">
        <f>IFERROR(__xludf.DUMMYFUNCTION("""COMPUTED_VALUE"""),"اسلام میں پڑوسی حقوق و ایمان اور جنت کے ساتھ جوڑا گیا مسلمانوں پر لازم ہے کہ وہ اپنے پڑوسیوں سے حسن سلوک کریں محلے کو صاف ستھرا رکھیں")</f>
        <v>اسلام میں پڑوسی حقوق و ایمان اور جنت کے ساتھ جوڑا گیا مسلمانوں پر لازم ہے کہ وہ اپنے پڑوسیوں سے حسن سلوک کریں محلے کو صاف ستھرا رکھیں</v>
      </c>
      <c r="X545" s="10">
        <f>IFERROR(__xludf.DUMMYFUNCTION("""COMPUTED_VALUE"""),2.0)</f>
        <v>2</v>
      </c>
      <c r="Y545" s="10">
        <f>IFERROR(__xludf.DUMMYFUNCTION("""COMPUTED_VALUE"""),9.0)</f>
        <v>9</v>
      </c>
      <c r="Z545" s="10">
        <f>IFERROR(__xludf.DUMMYFUNCTION("""COMPUTED_VALUE"""),8.0)</f>
        <v>8</v>
      </c>
      <c r="AA545" s="10">
        <f>IFERROR(__xludf.DUMMYFUNCTION("""COMPUTED_VALUE"""),10.0)</f>
        <v>10</v>
      </c>
      <c r="AB545" s="10">
        <f>IFERROR(__xludf.DUMMYFUNCTION("""COMPUTED_VALUE"""),3.0)</f>
        <v>3</v>
      </c>
      <c r="AC545" s="10">
        <f>IFERROR(__xludf.DUMMYFUNCTION("""COMPUTED_VALUE"""),0.0)</f>
        <v>0</v>
      </c>
      <c r="AD545" s="10">
        <f>IFERROR(__xludf.DUMMYFUNCTION("""COMPUTED_VALUE"""),3.0)</f>
        <v>3</v>
      </c>
      <c r="AE545" s="10">
        <f>IFERROR(__xludf.DUMMYFUNCTION("""COMPUTED_VALUE"""),9.0)</f>
        <v>9</v>
      </c>
      <c r="AF545" s="10">
        <f>IFERROR(__xludf.DUMMYFUNCTION("""COMPUTED_VALUE"""),0.0)</f>
        <v>0</v>
      </c>
      <c r="AG545" s="10">
        <f>IFERROR(__xludf.DUMMYFUNCTION("""COMPUTED_VALUE"""),9.0)</f>
        <v>9</v>
      </c>
      <c r="AH545" s="10">
        <f>IFERROR(__xludf.DUMMYFUNCTION("""COMPUTED_VALUE"""),0.0)</f>
        <v>0</v>
      </c>
      <c r="AI545" s="10">
        <f>IFERROR(__xludf.DUMMYFUNCTION("""COMPUTED_VALUE"""),9.0)</f>
        <v>9</v>
      </c>
      <c r="AJ545" s="11" t="str">
        <f>IFERROR(__xludf.DUMMYFUNCTION("""COMPUTED_VALUE"""),"https://drive.google.com/open?id=1rLe5eNVPg5FiBHxAl3k6kLnEFm5dp4uJ_2jxxvwh29Q")</f>
        <v>https://drive.google.com/open?id=1rLe5eNVPg5FiBHxAl3k6kLnEFm5dp4uJ_2jxxvwh29Q</v>
      </c>
      <c r="AK545" s="12"/>
      <c r="AL545" s="12" t="str">
        <f>IFERROR(__xludf.DUMMYFUNCTION("""COMPUTED_VALUE"""),"Yes")</f>
        <v>Yes</v>
      </c>
      <c r="AM545" s="15">
        <f>IFERROR(__xludf.DUMMYFUNCTION("""COMPUTED_VALUE"""),1.0)</f>
        <v>1</v>
      </c>
      <c r="AN545" s="12" t="str">
        <f>IFERROR(__xludf.DUMMYFUNCTION("""COMPUTED_VALUE"""),"1st week")</f>
        <v>1st week</v>
      </c>
      <c r="AO545" s="13">
        <v>1.0</v>
      </c>
      <c r="AX545" s="17"/>
    </row>
    <row r="546">
      <c r="B546" s="9">
        <f>IFERROR(__xludf.DUMMYFUNCTION("""COMPUTED_VALUE"""),45891.451703541665)</f>
        <v>45891.4517</v>
      </c>
      <c r="C546" s="10" t="str">
        <f>IFERROR(__xludf.DUMMYFUNCTION("""COMPUTED_VALUE"""),"Javeria Abbas ")</f>
        <v>Javeria Abbas </v>
      </c>
      <c r="D546" s="10" t="str">
        <f>IFERROR(__xludf.DUMMYFUNCTION("""COMPUTED_VALUE"""),"03211539026")</f>
        <v>03211539026</v>
      </c>
      <c r="E546" s="10" t="str">
        <f>IFERROR(__xludf.DUMMYFUNCTION("""COMPUTED_VALUE"""),"Jamia Masjid Balochaan Wali Multan")</f>
        <v>Jamia Masjid Balochaan Wali Multan</v>
      </c>
      <c r="F546" s="10" t="str">
        <f>IFERROR(__xludf.DUMMYFUNCTION("""COMPUTED_VALUE"""),"anrol")</f>
        <v>anrol</v>
      </c>
      <c r="G546" s="10" t="str">
        <f>IFERROR(__xludf.DUMMYFUNCTION("""COMPUTED_VALUE"""),"Yes")</f>
        <v>Yes</v>
      </c>
      <c r="H546" s="10">
        <f>IFERROR(__xludf.DUMMYFUNCTION("""COMPUTED_VALUE"""),0.0)</f>
        <v>0</v>
      </c>
      <c r="I546" s="10">
        <f>IFERROR(__xludf.DUMMYFUNCTION("""COMPUTED_VALUE"""),10.0)</f>
        <v>10</v>
      </c>
      <c r="J546" s="10">
        <f>IFERROR(__xludf.DUMMYFUNCTION("""COMPUTED_VALUE"""),5.0)</f>
        <v>5</v>
      </c>
      <c r="K546" s="10">
        <f>IFERROR(__xludf.DUMMYFUNCTION("""COMPUTED_VALUE"""),5.0)</f>
        <v>5</v>
      </c>
      <c r="L546" s="10">
        <f>IFERROR(__xludf.DUMMYFUNCTION("""COMPUTED_VALUE"""),0.0)</f>
        <v>0</v>
      </c>
      <c r="M546" s="10">
        <f>IFERROR(__xludf.DUMMYFUNCTION("""COMPUTED_VALUE"""),8.0)</f>
        <v>8</v>
      </c>
      <c r="N546" s="10">
        <f>IFERROR(__xludf.DUMMYFUNCTION("""COMPUTED_VALUE"""),0.0)</f>
        <v>0</v>
      </c>
      <c r="O546" s="10">
        <f>IFERROR(__xludf.DUMMYFUNCTION("""COMPUTED_VALUE"""),5.0)</f>
        <v>5</v>
      </c>
      <c r="P546" s="10">
        <f>IFERROR(__xludf.DUMMYFUNCTION("""COMPUTED_VALUE"""),0.0)</f>
        <v>0</v>
      </c>
      <c r="Q546" s="10" t="str">
        <f>IFERROR(__xludf.DUMMYFUNCTION("""COMPUTED_VALUE"""),"Yes")</f>
        <v>Yes</v>
      </c>
      <c r="R546" s="10" t="str">
        <f>IFERROR(__xludf.DUMMYFUNCTION("""COMPUTED_VALUE"""),"No")</f>
        <v>No</v>
      </c>
      <c r="S546" s="10" t="str">
        <f>IFERROR(__xludf.DUMMYFUNCTION("""COMPUTED_VALUE"""),"Yes")</f>
        <v>Yes</v>
      </c>
      <c r="T546" s="10">
        <f>IFERROR(__xludf.DUMMYFUNCTION("""COMPUTED_VALUE"""),0.0)</f>
        <v>0</v>
      </c>
      <c r="U546" s="10">
        <f>IFERROR(__xludf.DUMMYFUNCTION("""COMPUTED_VALUE"""),0.0)</f>
        <v>0</v>
      </c>
      <c r="V546" s="10" t="str">
        <f>IFERROR(__xludf.DUMMYFUNCTION("""COMPUTED_VALUE"""),"اسلام میں عورت کا مقام اور کردار اور حق")</f>
        <v>اسلام میں عورت کا مقام اور کردار اور حق</v>
      </c>
      <c r="W546" s="10" t="str">
        <f>IFERROR(__xludf.DUMMYFUNCTION("""COMPUTED_VALUE"""),"امام نے بیان کیا ہے کہ کس طرح عورت جو ہے وہ کسی بھی حالات میں کسی بھی حالت میں اپ کے سامنے ہو سکتی ہے جیسے کہ ماں بیٹی بہن بیوی ہو سکتی ہے اس لیے اپ کو ہر ایک کا ہر ایک کے حقوق کا بڑی ہی باریکی سےاپ کو ان کا خیال رکھنا چاہیے ان کی ہر ضروریات کا خیال رکھنا"&amp;" چاہیے ان کی تعلیم و تربیت کا سوچنا چاہیے ")</f>
        <v>امام نے بیان کیا ہے کہ کس طرح عورت جو ہے وہ کسی بھی حالات میں کسی بھی حالت میں اپ کے سامنے ہو سکتی ہے جیسے کہ ماں بیٹی بہن بیوی ہو سکتی ہے اس لیے اپ کو ہر ایک کا ہر ایک کے حقوق کا بڑی ہی باریکی سےاپ کو ان کا خیال رکھنا چاہیے ان کی ہر ضروریات کا خیال رکھنا چاہیے ان کی تعلیم و تربیت کا سوچنا چاہیے </v>
      </c>
      <c r="X546" s="10">
        <f>IFERROR(__xludf.DUMMYFUNCTION("""COMPUTED_VALUE"""),0.0)</f>
        <v>0</v>
      </c>
      <c r="Y546" s="10">
        <f>IFERROR(__xludf.DUMMYFUNCTION("""COMPUTED_VALUE"""),4.0)</f>
        <v>4</v>
      </c>
      <c r="Z546" s="10">
        <f>IFERROR(__xludf.DUMMYFUNCTION("""COMPUTED_VALUE"""),6.0)</f>
        <v>6</v>
      </c>
      <c r="AA546" s="10">
        <f>IFERROR(__xludf.DUMMYFUNCTION("""COMPUTED_VALUE"""),8.0)</f>
        <v>8</v>
      </c>
      <c r="AB546" s="10">
        <f>IFERROR(__xludf.DUMMYFUNCTION("""COMPUTED_VALUE"""),5.0)</f>
        <v>5</v>
      </c>
      <c r="AC546" s="10">
        <f>IFERROR(__xludf.DUMMYFUNCTION("""COMPUTED_VALUE"""),0.0)</f>
        <v>0</v>
      </c>
      <c r="AD546" s="10">
        <f>IFERROR(__xludf.DUMMYFUNCTION("""COMPUTED_VALUE"""),0.0)</f>
        <v>0</v>
      </c>
      <c r="AE546" s="10">
        <f>IFERROR(__xludf.DUMMYFUNCTION("""COMPUTED_VALUE"""),0.0)</f>
        <v>0</v>
      </c>
      <c r="AF546" s="10">
        <f>IFERROR(__xludf.DUMMYFUNCTION("""COMPUTED_VALUE"""),0.0)</f>
        <v>0</v>
      </c>
      <c r="AG546" s="10">
        <f>IFERROR(__xludf.DUMMYFUNCTION("""COMPUTED_VALUE"""),9.0)</f>
        <v>9</v>
      </c>
      <c r="AH546" s="10">
        <f>IFERROR(__xludf.DUMMYFUNCTION("""COMPUTED_VALUE"""),0.0)</f>
        <v>0</v>
      </c>
      <c r="AI546" s="10">
        <f>IFERROR(__xludf.DUMMYFUNCTION("""COMPUTED_VALUE"""),9.0)</f>
        <v>9</v>
      </c>
      <c r="AJ546" s="11" t="str">
        <f>IFERROR(__xludf.DUMMYFUNCTION("""COMPUTED_VALUE"""),"https://drive.google.com/open?id=1C1hK6jhcOQb6aMCdSlInXBvoQFZLS5WqfJNggIjX8Pk")</f>
        <v>https://drive.google.com/open?id=1C1hK6jhcOQb6aMCdSlInXBvoQFZLS5WqfJNggIjX8Pk</v>
      </c>
      <c r="AK546" s="12"/>
      <c r="AL546" s="12" t="str">
        <f>IFERROR(__xludf.DUMMYFUNCTION("""COMPUTED_VALUE"""),"Yes")</f>
        <v>Yes</v>
      </c>
      <c r="AM546" s="15">
        <f>IFERROR(__xludf.DUMMYFUNCTION("""COMPUTED_VALUE"""),0.0)</f>
        <v>0</v>
      </c>
      <c r="AN546" s="12" t="str">
        <f>IFERROR(__xludf.DUMMYFUNCTION("""COMPUTED_VALUE"""),"1st week")</f>
        <v>1st week</v>
      </c>
      <c r="AO546" s="13">
        <v>1.0</v>
      </c>
      <c r="AX546" s="17"/>
    </row>
    <row r="547">
      <c r="B547" s="9">
        <f>IFERROR(__xludf.DUMMYFUNCTION("""COMPUTED_VALUE"""),45891.45332637732)</f>
        <v>45891.45333</v>
      </c>
      <c r="C547" s="10" t="str">
        <f>IFERROR(__xludf.DUMMYFUNCTION("""COMPUTED_VALUE"""),"Muqaddas bibi ")</f>
        <v>Muqaddas bibi </v>
      </c>
      <c r="D547" s="10" t="str">
        <f>IFERROR(__xludf.DUMMYFUNCTION("""COMPUTED_VALUE"""),"03075314147")</f>
        <v>03075314147</v>
      </c>
      <c r="E547" s="10" t="str">
        <f>IFERROR(__xludf.DUMMYFUNCTION("""COMPUTED_VALUE"""),"Jamia masjid neel garan Multan ")</f>
        <v>Jamia masjid neel garan Multan </v>
      </c>
      <c r="F547" s="10" t="str">
        <f>IFERROR(__xludf.DUMMYFUNCTION("""COMPUTED_VALUE"""),"hjrmq")</f>
        <v>hjrmq</v>
      </c>
      <c r="G547" s="10" t="str">
        <f>IFERROR(__xludf.DUMMYFUNCTION("""COMPUTED_VALUE"""),"Yes")</f>
        <v>Yes</v>
      </c>
      <c r="H547" s="10">
        <f>IFERROR(__xludf.DUMMYFUNCTION("""COMPUTED_VALUE"""),10.0)</f>
        <v>10</v>
      </c>
      <c r="I547" s="10">
        <f>IFERROR(__xludf.DUMMYFUNCTION("""COMPUTED_VALUE"""),0.0)</f>
        <v>0</v>
      </c>
      <c r="J547" s="10">
        <f>IFERROR(__xludf.DUMMYFUNCTION("""COMPUTED_VALUE"""),10.0)</f>
        <v>10</v>
      </c>
      <c r="K547" s="10">
        <f>IFERROR(__xludf.DUMMYFUNCTION("""COMPUTED_VALUE"""),0.0)</f>
        <v>0</v>
      </c>
      <c r="L547" s="10">
        <f>IFERROR(__xludf.DUMMYFUNCTION("""COMPUTED_VALUE"""),10.0)</f>
        <v>10</v>
      </c>
      <c r="M547" s="10">
        <f>IFERROR(__xludf.DUMMYFUNCTION("""COMPUTED_VALUE"""),0.0)</f>
        <v>0</v>
      </c>
      <c r="N547" s="10">
        <f>IFERROR(__xludf.DUMMYFUNCTION("""COMPUTED_VALUE"""),10.0)</f>
        <v>10</v>
      </c>
      <c r="O547" s="10">
        <f>IFERROR(__xludf.DUMMYFUNCTION("""COMPUTED_VALUE"""),0.0)</f>
        <v>0</v>
      </c>
      <c r="P547" s="10">
        <f>IFERROR(__xludf.DUMMYFUNCTION("""COMPUTED_VALUE"""),8.0)</f>
        <v>8</v>
      </c>
      <c r="Q547" s="10" t="str">
        <f>IFERROR(__xludf.DUMMYFUNCTION("""COMPUTED_VALUE"""),"No")</f>
        <v>No</v>
      </c>
      <c r="R547" s="10" t="str">
        <f>IFERROR(__xludf.DUMMYFUNCTION("""COMPUTED_VALUE"""),"No")</f>
        <v>No</v>
      </c>
      <c r="S547" s="10" t="str">
        <f>IFERROR(__xludf.DUMMYFUNCTION("""COMPUTED_VALUE"""),"Yes")</f>
        <v>Yes</v>
      </c>
      <c r="T547" s="10">
        <f>IFERROR(__xludf.DUMMYFUNCTION("""COMPUTED_VALUE"""),0.0)</f>
        <v>0</v>
      </c>
      <c r="U547" s="10">
        <f>IFERROR(__xludf.DUMMYFUNCTION("""COMPUTED_VALUE"""),0.0)</f>
        <v>0</v>
      </c>
      <c r="V547" s="10" t="str">
        <f>IFERROR(__xludf.DUMMYFUNCTION("""COMPUTED_VALUE"""),"اسلام میں پڑوسیوں کے حقوق")</f>
        <v>اسلام میں پڑوسیوں کے حقوق</v>
      </c>
      <c r="W547" s="10" t="str">
        <f>IFERROR(__xludf.DUMMYFUNCTION("""COMPUTED_VALUE"""),"اسلام میں پڑوسی کے حقوق کی زیادہ اہمیت ہے ان کی  مدد کرنا خوشی و غم میں شریک ہونا اور تکلیف سے بچانا ایمان کا حصہ ہے پڑوسی کو کھانا کھلانا قرض دینا اس سلام و تحائف دینا اور ماحول کو صاف رکھنا اسلامی تعلیمات کا اہم تقاضا ہے")</f>
        <v>اسلام میں پڑوسی کے حقوق کی زیادہ اہمیت ہے ان کی  مدد کرنا خوشی و غم میں شریک ہونا اور تکلیف سے بچانا ایمان کا حصہ ہے پڑوسی کو کھانا کھلانا قرض دینا اس سلام و تحائف دینا اور ماحول کو صاف رکھنا اسلامی تعلیمات کا اہم تقاضا ہے</v>
      </c>
      <c r="X547" s="10">
        <f>IFERROR(__xludf.DUMMYFUNCTION("""COMPUTED_VALUE"""),0.0)</f>
        <v>0</v>
      </c>
      <c r="Y547" s="10">
        <f>IFERROR(__xludf.DUMMYFUNCTION("""COMPUTED_VALUE"""),10.0)</f>
        <v>10</v>
      </c>
      <c r="Z547" s="10">
        <f>IFERROR(__xludf.DUMMYFUNCTION("""COMPUTED_VALUE"""),3.0)</f>
        <v>3</v>
      </c>
      <c r="AA547" s="10">
        <f>IFERROR(__xludf.DUMMYFUNCTION("""COMPUTED_VALUE"""),3.0)</f>
        <v>3</v>
      </c>
      <c r="AB547" s="10">
        <f>IFERROR(__xludf.DUMMYFUNCTION("""COMPUTED_VALUE"""),0.0)</f>
        <v>0</v>
      </c>
      <c r="AC547" s="10">
        <f>IFERROR(__xludf.DUMMYFUNCTION("""COMPUTED_VALUE"""),0.0)</f>
        <v>0</v>
      </c>
      <c r="AD547" s="10">
        <f>IFERROR(__xludf.DUMMYFUNCTION("""COMPUTED_VALUE"""),4.0)</f>
        <v>4</v>
      </c>
      <c r="AE547" s="10">
        <f>IFERROR(__xludf.DUMMYFUNCTION("""COMPUTED_VALUE"""),0.0)</f>
        <v>0</v>
      </c>
      <c r="AF547" s="10">
        <f>IFERROR(__xludf.DUMMYFUNCTION("""COMPUTED_VALUE"""),0.0)</f>
        <v>0</v>
      </c>
      <c r="AG547" s="10">
        <f>IFERROR(__xludf.DUMMYFUNCTION("""COMPUTED_VALUE"""),10.0)</f>
        <v>10</v>
      </c>
      <c r="AH547" s="10">
        <f>IFERROR(__xludf.DUMMYFUNCTION("""COMPUTED_VALUE"""),0.0)</f>
        <v>0</v>
      </c>
      <c r="AI547" s="10">
        <f>IFERROR(__xludf.DUMMYFUNCTION("""COMPUTED_VALUE"""),10.0)</f>
        <v>10</v>
      </c>
      <c r="AJ547" s="11" t="str">
        <f>IFERROR(__xludf.DUMMYFUNCTION("""COMPUTED_VALUE"""),"https://drive.google.com/open?id=1isMg_V2vXOMprDAAd8PIbZ3G3POMihc6")</f>
        <v>https://drive.google.com/open?id=1isMg_V2vXOMprDAAd8PIbZ3G3POMihc6</v>
      </c>
      <c r="AK547" s="12" t="str">
        <f>IFERROR(__xludf.DUMMYFUNCTION("""COMPUTED_VALUE"""),"Nill")</f>
        <v>Nill</v>
      </c>
      <c r="AL547" s="12" t="str">
        <f>IFERROR(__xludf.DUMMYFUNCTION("""COMPUTED_VALUE"""),"Yes")</f>
        <v>Yes</v>
      </c>
      <c r="AM547" s="15">
        <f>IFERROR(__xludf.DUMMYFUNCTION("""COMPUTED_VALUE"""),1.0)</f>
        <v>1</v>
      </c>
      <c r="AN547" s="12" t="str">
        <f>IFERROR(__xludf.DUMMYFUNCTION("""COMPUTED_VALUE"""),"1st week")</f>
        <v>1st week</v>
      </c>
      <c r="AO547" s="13">
        <v>1.0</v>
      </c>
      <c r="AX547" s="17"/>
    </row>
    <row r="548">
      <c r="B548" s="9">
        <f>IFERROR(__xludf.DUMMYFUNCTION("""COMPUTED_VALUE"""),45891.48765248843)</f>
        <v>45891.48765</v>
      </c>
      <c r="C548" s="10" t="str">
        <f>IFERROR(__xludf.DUMMYFUNCTION("""COMPUTED_VALUE"""),"Muqaddas bibi ")</f>
        <v>Muqaddas bibi </v>
      </c>
      <c r="D548" s="10" t="str">
        <f>IFERROR(__xludf.DUMMYFUNCTION("""COMPUTED_VALUE"""),"03075314147")</f>
        <v>03075314147</v>
      </c>
      <c r="E548" s="10" t="str">
        <f>IFERROR(__xludf.DUMMYFUNCTION("""COMPUTED_VALUE"""),"Jamia masjid alsadiq bahawalpur ")</f>
        <v>Jamia masjid alsadiq bahawalpur </v>
      </c>
      <c r="F548" s="10" t="str">
        <f>IFERROR(__xludf.DUMMYFUNCTION("""COMPUTED_VALUE"""),"xnhgf ")</f>
        <v>xnhgf </v>
      </c>
      <c r="G548" s="10" t="str">
        <f>IFERROR(__xludf.DUMMYFUNCTION("""COMPUTED_VALUE"""),"No")</f>
        <v>No</v>
      </c>
      <c r="H548" s="10"/>
      <c r="I548" s="10"/>
      <c r="J548" s="10"/>
      <c r="K548" s="10">
        <f>IFERROR(__xludf.DUMMYFUNCTION("""COMPUTED_VALUE"""),0.0)</f>
        <v>0</v>
      </c>
      <c r="L548" s="10">
        <f>IFERROR(__xludf.DUMMYFUNCTION("""COMPUTED_VALUE"""),0.0)</f>
        <v>0</v>
      </c>
      <c r="M548" s="10">
        <f>IFERROR(__xludf.DUMMYFUNCTION("""COMPUTED_VALUE"""),0.0)</f>
        <v>0</v>
      </c>
      <c r="N548" s="10">
        <f>IFERROR(__xludf.DUMMYFUNCTION("""COMPUTED_VALUE"""),0.0)</f>
        <v>0</v>
      </c>
      <c r="O548" s="10">
        <f>IFERROR(__xludf.DUMMYFUNCTION("""COMPUTED_VALUE"""),0.0)</f>
        <v>0</v>
      </c>
      <c r="P548" s="10">
        <f>IFERROR(__xludf.DUMMYFUNCTION("""COMPUTED_VALUE"""),0.0)</f>
        <v>0</v>
      </c>
      <c r="Q548" s="10" t="str">
        <f>IFERROR(__xludf.DUMMYFUNCTION("""COMPUTED_VALUE"""),"No")</f>
        <v>No</v>
      </c>
      <c r="R548" s="10" t="str">
        <f>IFERROR(__xludf.DUMMYFUNCTION("""COMPUTED_VALUE"""),"No")</f>
        <v>No</v>
      </c>
      <c r="S548" s="10" t="str">
        <f>IFERROR(__xludf.DUMMYFUNCTION("""COMPUTED_VALUE"""),"No")</f>
        <v>No</v>
      </c>
      <c r="T548" s="10">
        <f>IFERROR(__xludf.DUMMYFUNCTION("""COMPUTED_VALUE"""),0.0)</f>
        <v>0</v>
      </c>
      <c r="U548" s="10">
        <f>IFERROR(__xludf.DUMMYFUNCTION("""COMPUTED_VALUE"""),0.0)</f>
        <v>0</v>
      </c>
      <c r="V548" s="10" t="str">
        <f>IFERROR(__xludf.DUMMYFUNCTION("""COMPUTED_VALUE"""),"اسلامی ریاست اور قومی ذمہ داریاں")</f>
        <v>اسلامی ریاست اور قومی ذمہ داریاں</v>
      </c>
      <c r="W548" s="10" t="str">
        <f>IFERROR(__xludf.DUMMYFUNCTION("""COMPUTED_VALUE"""),"پاکستان کو صحیح معنوں میں اسلامی اور فلاحی ریاست بنانے کے لیے قران و سنت کے احکام نافذ کرنا لازم ہے اور عدل و مساوات سب کے لیے یکساں ہونا چاہیے ازادی اللہ کی عظیم نعمت ہے جس کی حفاظت اور شکر گزاری سب کی ذمہ داری ہے")</f>
        <v>پاکستان کو صحیح معنوں میں اسلامی اور فلاحی ریاست بنانے کے لیے قران و سنت کے احکام نافذ کرنا لازم ہے اور عدل و مساوات سب کے لیے یکساں ہونا چاہیے ازادی اللہ کی عظیم نعمت ہے جس کی حفاظت اور شکر گزاری سب کی ذمہ داری ہے</v>
      </c>
      <c r="X548" s="10">
        <f>IFERROR(__xludf.DUMMYFUNCTION("""COMPUTED_VALUE"""),0.0)</f>
        <v>0</v>
      </c>
      <c r="Y548" s="10">
        <f>IFERROR(__xludf.DUMMYFUNCTION("""COMPUTED_VALUE"""),8.0)</f>
        <v>8</v>
      </c>
      <c r="Z548" s="10">
        <f>IFERROR(__xludf.DUMMYFUNCTION("""COMPUTED_VALUE"""),2.0)</f>
        <v>2</v>
      </c>
      <c r="AA548" s="10">
        <f>IFERROR(__xludf.DUMMYFUNCTION("""COMPUTED_VALUE"""),0.0)</f>
        <v>0</v>
      </c>
      <c r="AB548" s="10">
        <f>IFERROR(__xludf.DUMMYFUNCTION("""COMPUTED_VALUE"""),3.0)</f>
        <v>3</v>
      </c>
      <c r="AC548" s="10">
        <f>IFERROR(__xludf.DUMMYFUNCTION("""COMPUTED_VALUE"""),3.0)</f>
        <v>3</v>
      </c>
      <c r="AD548" s="10">
        <f>IFERROR(__xludf.DUMMYFUNCTION("""COMPUTED_VALUE"""),0.0)</f>
        <v>0</v>
      </c>
      <c r="AE548" s="10">
        <f>IFERROR(__xludf.DUMMYFUNCTION("""COMPUTED_VALUE"""),0.0)</f>
        <v>0</v>
      </c>
      <c r="AF548" s="10">
        <f>IFERROR(__xludf.DUMMYFUNCTION("""COMPUTED_VALUE"""),0.0)</f>
        <v>0</v>
      </c>
      <c r="AG548" s="10">
        <f>IFERROR(__xludf.DUMMYFUNCTION("""COMPUTED_VALUE"""),8.0)</f>
        <v>8</v>
      </c>
      <c r="AH548" s="10">
        <f>IFERROR(__xludf.DUMMYFUNCTION("""COMPUTED_VALUE"""),0.0)</f>
        <v>0</v>
      </c>
      <c r="AI548" s="10">
        <f>IFERROR(__xludf.DUMMYFUNCTION("""COMPUTED_VALUE"""),7.0)</f>
        <v>7</v>
      </c>
      <c r="AJ548" s="11" t="str">
        <f>IFERROR(__xludf.DUMMYFUNCTION("""COMPUTED_VALUE"""),"https://drive.google.com/open?id=12t66EEmSUHHCK2YQUxardFwu7io9EbW5")</f>
        <v>https://drive.google.com/open?id=12t66EEmSUHHCK2YQUxardFwu7io9EbW5</v>
      </c>
      <c r="AK548" s="12" t="str">
        <f>IFERROR(__xludf.DUMMYFUNCTION("""COMPUTED_VALUE"""),"Voice clear honi chahiy ")</f>
        <v>Voice clear honi chahiy </v>
      </c>
      <c r="AL548" s="12"/>
      <c r="AM548" s="12"/>
      <c r="AN548" s="12" t="str">
        <f>IFERROR(__xludf.DUMMYFUNCTION("""COMPUTED_VALUE"""),"3rd week")</f>
        <v>3rd week</v>
      </c>
      <c r="AO548" s="13">
        <v>3.0</v>
      </c>
      <c r="AX548" s="17"/>
    </row>
    <row r="549">
      <c r="B549" s="9">
        <f>IFERROR(__xludf.DUMMYFUNCTION("""COMPUTED_VALUE"""),45891.56086770834)</f>
        <v>45891.56087</v>
      </c>
      <c r="C549" s="10" t="str">
        <f>IFERROR(__xludf.DUMMYFUNCTION("""COMPUTED_VALUE"""),"Asma Gul ")</f>
        <v>Asma Gul </v>
      </c>
      <c r="D549" s="10" t="str">
        <f>IFERROR(__xludf.DUMMYFUNCTION("""COMPUTED_VALUE"""),"03459308620")</f>
        <v>03459308620</v>
      </c>
      <c r="E549" s="10" t="str">
        <f>IFERROR(__xludf.DUMMYFUNCTION("""COMPUTED_VALUE"""),"Jamia Masjid DarkhanWali Multan")</f>
        <v>Jamia Masjid DarkhanWali Multan</v>
      </c>
      <c r="F549" s="10" t="str">
        <f>IFERROR(__xludf.DUMMYFUNCTION("""COMPUTED_VALUE"""),"vqubm")</f>
        <v>vqubm</v>
      </c>
      <c r="G549" s="10" t="str">
        <f>IFERROR(__xludf.DUMMYFUNCTION("""COMPUTED_VALUE"""),"Yes")</f>
        <v>Yes</v>
      </c>
      <c r="H549" s="10">
        <f>IFERROR(__xludf.DUMMYFUNCTION("""COMPUTED_VALUE"""),2.0)</f>
        <v>2</v>
      </c>
      <c r="I549" s="10">
        <f>IFERROR(__xludf.DUMMYFUNCTION("""COMPUTED_VALUE"""),8.0)</f>
        <v>8</v>
      </c>
      <c r="J549" s="10">
        <f>IFERROR(__xludf.DUMMYFUNCTION("""COMPUTED_VALUE"""),2.0)</f>
        <v>2</v>
      </c>
      <c r="K549" s="10">
        <f>IFERROR(__xludf.DUMMYFUNCTION("""COMPUTED_VALUE"""),2.0)</f>
        <v>2</v>
      </c>
      <c r="L549" s="10">
        <f>IFERROR(__xludf.DUMMYFUNCTION("""COMPUTED_VALUE"""),0.0)</f>
        <v>0</v>
      </c>
      <c r="M549" s="10">
        <f>IFERROR(__xludf.DUMMYFUNCTION("""COMPUTED_VALUE"""),0.0)</f>
        <v>0</v>
      </c>
      <c r="N549" s="10">
        <f>IFERROR(__xludf.DUMMYFUNCTION("""COMPUTED_VALUE"""),0.0)</f>
        <v>0</v>
      </c>
      <c r="O549" s="10">
        <f>IFERROR(__xludf.DUMMYFUNCTION("""COMPUTED_VALUE"""),0.0)</f>
        <v>0</v>
      </c>
      <c r="P549" s="10">
        <f>IFERROR(__xludf.DUMMYFUNCTION("""COMPUTED_VALUE"""),0.0)</f>
        <v>0</v>
      </c>
      <c r="Q549" s="10" t="str">
        <f>IFERROR(__xludf.DUMMYFUNCTION("""COMPUTED_VALUE"""),"No")</f>
        <v>No</v>
      </c>
      <c r="R549" s="10" t="str">
        <f>IFERROR(__xludf.DUMMYFUNCTION("""COMPUTED_VALUE"""),"No")</f>
        <v>No</v>
      </c>
      <c r="S549" s="10" t="str">
        <f>IFERROR(__xludf.DUMMYFUNCTION("""COMPUTED_VALUE"""),"No")</f>
        <v>No</v>
      </c>
      <c r="T549" s="10">
        <f>IFERROR(__xludf.DUMMYFUNCTION("""COMPUTED_VALUE"""),0.0)</f>
        <v>0</v>
      </c>
      <c r="U549" s="10">
        <f>IFERROR(__xludf.DUMMYFUNCTION("""COMPUTED_VALUE"""),0.0)</f>
        <v>0</v>
      </c>
      <c r="V549" s="10" t="str">
        <f>IFERROR(__xludf.DUMMYFUNCTION("""COMPUTED_VALUE""")," اولیاء کرام کی برکات اور ذکر الہی کے فوائد")</f>
        <v> اولیاء کرام کی برکات اور ذکر الہی کے فوائد</v>
      </c>
      <c r="W549" s="10" t="str">
        <f>IFERROR(__xludf.DUMMYFUNCTION("""COMPUTED_VALUE"""),"سفر بابرکت مہینہ ہے اور یہ ولیوں کا مہینہ ہے اس خطبے میں امام نے اللہ کے ولیوں کی نشانی بیان کی ہے اور فرشتوں کا ان کے لیے دعا کرنا بیان کیا ہے اس کے ساتھ ساتھ انہوں نے ماضی میں مذہبی واقعات پر بھی نظر ڈالی ہے")</f>
        <v>سفر بابرکت مہینہ ہے اور یہ ولیوں کا مہینہ ہے اس خطبے میں امام نے اللہ کے ولیوں کی نشانی بیان کی ہے اور فرشتوں کا ان کے لیے دعا کرنا بیان کیا ہے اس کے ساتھ ساتھ انہوں نے ماضی میں مذہبی واقعات پر بھی نظر ڈالی ہے</v>
      </c>
      <c r="X549" s="10">
        <f>IFERROR(__xludf.DUMMYFUNCTION("""COMPUTED_VALUE"""),9.0)</f>
        <v>9</v>
      </c>
      <c r="Y549" s="10">
        <f>IFERROR(__xludf.DUMMYFUNCTION("""COMPUTED_VALUE"""),3.0)</f>
        <v>3</v>
      </c>
      <c r="Z549" s="10">
        <f>IFERROR(__xludf.DUMMYFUNCTION("""COMPUTED_VALUE"""),7.0)</f>
        <v>7</v>
      </c>
      <c r="AA549" s="10">
        <f>IFERROR(__xludf.DUMMYFUNCTION("""COMPUTED_VALUE"""),10.0)</f>
        <v>10</v>
      </c>
      <c r="AB549" s="10">
        <f>IFERROR(__xludf.DUMMYFUNCTION("""COMPUTED_VALUE"""),10.0)</f>
        <v>10</v>
      </c>
      <c r="AC549" s="10">
        <f>IFERROR(__xludf.DUMMYFUNCTION("""COMPUTED_VALUE"""),0.0)</f>
        <v>0</v>
      </c>
      <c r="AD549" s="10">
        <f>IFERROR(__xludf.DUMMYFUNCTION("""COMPUTED_VALUE"""),0.0)</f>
        <v>0</v>
      </c>
      <c r="AE549" s="10">
        <f>IFERROR(__xludf.DUMMYFUNCTION("""COMPUTED_VALUE"""),10.0)</f>
        <v>10</v>
      </c>
      <c r="AF549" s="10">
        <f>IFERROR(__xludf.DUMMYFUNCTION("""COMPUTED_VALUE"""),0.0)</f>
        <v>0</v>
      </c>
      <c r="AG549" s="10">
        <f>IFERROR(__xludf.DUMMYFUNCTION("""COMPUTED_VALUE"""),8.0)</f>
        <v>8</v>
      </c>
      <c r="AH549" s="10">
        <f>IFERROR(__xludf.DUMMYFUNCTION("""COMPUTED_VALUE"""),0.0)</f>
        <v>0</v>
      </c>
      <c r="AI549" s="10">
        <f>IFERROR(__xludf.DUMMYFUNCTION("""COMPUTED_VALUE"""),7.0)</f>
        <v>7</v>
      </c>
      <c r="AJ549" s="11" t="str">
        <f>IFERROR(__xludf.DUMMYFUNCTION("""COMPUTED_VALUE"""),"https://drive.google.com/open?id=1t6KOLdxrxKQzkVKgqX9WpSkD4ywwJ3ZARnuL5A65inw")</f>
        <v>https://drive.google.com/open?id=1t6KOLdxrxKQzkVKgqX9WpSkD4ywwJ3ZARnuL5A65inw</v>
      </c>
      <c r="AK549" s="12"/>
      <c r="AL549" s="12" t="str">
        <f>IFERROR(__xludf.DUMMYFUNCTION("""COMPUTED_VALUE"""),"Yes")</f>
        <v>Yes</v>
      </c>
      <c r="AM549" s="15">
        <f>IFERROR(__xludf.DUMMYFUNCTION("""COMPUTED_VALUE"""),0.2)</f>
        <v>0.2</v>
      </c>
      <c r="AN549" s="12" t="str">
        <f>IFERROR(__xludf.DUMMYFUNCTION("""COMPUTED_VALUE"""),"3rd week")</f>
        <v>3rd week</v>
      </c>
      <c r="AO549" s="13">
        <v>3.0</v>
      </c>
      <c r="AX549" s="17"/>
    </row>
    <row r="550">
      <c r="B550" s="9">
        <f>IFERROR(__xludf.DUMMYFUNCTION("""COMPUTED_VALUE"""),45891.571199259255)</f>
        <v>45891.5712</v>
      </c>
      <c r="C550" s="10" t="str">
        <f>IFERROR(__xludf.DUMMYFUNCTION("""COMPUTED_VALUE"""),"Arti Kumari ")</f>
        <v>Arti Kumari </v>
      </c>
      <c r="D550" s="10" t="str">
        <f>IFERROR(__xludf.DUMMYFUNCTION("""COMPUTED_VALUE"""),"03346661865")</f>
        <v>03346661865</v>
      </c>
      <c r="E550" s="10" t="str">
        <f>IFERROR(__xludf.DUMMYFUNCTION("""COMPUTED_VALUE"""),"Jamia Masjid Habib Allah Shah Baghdadi Khanewal ")</f>
        <v>Jamia Masjid Habib Allah Shah Baghdadi Khanewal </v>
      </c>
      <c r="F550" s="10" t="str">
        <f>IFERROR(__xludf.DUMMYFUNCTION("""COMPUTED_VALUE"""),"dpaxp")</f>
        <v>dpaxp</v>
      </c>
      <c r="G550" s="10" t="str">
        <f>IFERROR(__xludf.DUMMYFUNCTION("""COMPUTED_VALUE"""),"No")</f>
        <v>No</v>
      </c>
      <c r="H550" s="10"/>
      <c r="I550" s="10"/>
      <c r="J550" s="10"/>
      <c r="K550" s="10">
        <f>IFERROR(__xludf.DUMMYFUNCTION("""COMPUTED_VALUE"""),0.0)</f>
        <v>0</v>
      </c>
      <c r="L550" s="10">
        <f>IFERROR(__xludf.DUMMYFUNCTION("""COMPUTED_VALUE"""),0.0)</f>
        <v>0</v>
      </c>
      <c r="M550" s="10">
        <f>IFERROR(__xludf.DUMMYFUNCTION("""COMPUTED_VALUE"""),0.0)</f>
        <v>0</v>
      </c>
      <c r="N550" s="10">
        <f>IFERROR(__xludf.DUMMYFUNCTION("""COMPUTED_VALUE"""),0.0)</f>
        <v>0</v>
      </c>
      <c r="O550" s="10">
        <f>IFERROR(__xludf.DUMMYFUNCTION("""COMPUTED_VALUE"""),0.0)</f>
        <v>0</v>
      </c>
      <c r="P550" s="10">
        <f>IFERROR(__xludf.DUMMYFUNCTION("""COMPUTED_VALUE"""),0.0)</f>
        <v>0</v>
      </c>
      <c r="Q550" s="10" t="str">
        <f>IFERROR(__xludf.DUMMYFUNCTION("""COMPUTED_VALUE"""),"No")</f>
        <v>No</v>
      </c>
      <c r="R550" s="10" t="str">
        <f>IFERROR(__xludf.DUMMYFUNCTION("""COMPUTED_VALUE"""),"No")</f>
        <v>No</v>
      </c>
      <c r="S550" s="10" t="str">
        <f>IFERROR(__xludf.DUMMYFUNCTION("""COMPUTED_VALUE"""),"No")</f>
        <v>No</v>
      </c>
      <c r="T550" s="10">
        <f>IFERROR(__xludf.DUMMYFUNCTION("""COMPUTED_VALUE"""),0.0)</f>
        <v>0</v>
      </c>
      <c r="U550" s="10">
        <f>IFERROR(__xludf.DUMMYFUNCTION("""COMPUTED_VALUE"""),0.0)</f>
        <v>0</v>
      </c>
      <c r="V550" s="10" t="str">
        <f>IFERROR(__xludf.DUMMYFUNCTION("""COMPUTED_VALUE"""),"تقوی ")</f>
        <v>تقوی </v>
      </c>
      <c r="W550" s="10" t="str">
        <f>IFERROR(__xludf.DUMMYFUNCTION("""COMPUTED_VALUE"""),"امام نے خطبہ میں تقوی پر بات کی اگر اللہ پر تقوی رکھو گے تو وہ تمہیں ہر پریشانی اور مسائل سے بچا لے گا، اللہ تقوی والے کو پسند فرماتا ہے صحابہن نے پوچھا ہم تقوی والے کیسے بن سکتے ناز روزہ حج وغیرہ وغیرہ کر کے تو اللہ نے فرمایا نہیں میرے نبی پر یقین کر کے "&amp;"تقوی دار بندے کے لیے اللہ نے دنا میں بھی خوشخبری سنائی ہے اور آخرت میں بھی")</f>
        <v>امام نے خطبہ میں تقوی پر بات کی اگر اللہ پر تقوی رکھو گے تو وہ تمہیں ہر پریشانی اور مسائل سے بچا لے گا، اللہ تقوی والے کو پسند فرماتا ہے صحابہن نے پوچھا ہم تقوی والے کیسے بن سکتے ناز روزہ حج وغیرہ وغیرہ کر کے تو اللہ نے فرمایا نہیں میرے نبی پر یقین کر کے تقوی دار بندے کے لیے اللہ نے دنا میں بھی خوشخبری سنائی ہے اور آخرت میں بھی</v>
      </c>
      <c r="X550" s="10">
        <f>IFERROR(__xludf.DUMMYFUNCTION("""COMPUTED_VALUE"""),3.0)</f>
        <v>3</v>
      </c>
      <c r="Y550" s="10">
        <f>IFERROR(__xludf.DUMMYFUNCTION("""COMPUTED_VALUE"""),0.0)</f>
        <v>0</v>
      </c>
      <c r="Z550" s="10">
        <f>IFERROR(__xludf.DUMMYFUNCTION("""COMPUTED_VALUE"""),0.0)</f>
        <v>0</v>
      </c>
      <c r="AA550" s="10">
        <f>IFERROR(__xludf.DUMMYFUNCTION("""COMPUTED_VALUE"""),10.0)</f>
        <v>10</v>
      </c>
      <c r="AB550" s="10">
        <f>IFERROR(__xludf.DUMMYFUNCTION("""COMPUTED_VALUE"""),0.0)</f>
        <v>0</v>
      </c>
      <c r="AC550" s="10">
        <f>IFERROR(__xludf.DUMMYFUNCTION("""COMPUTED_VALUE"""),0.0)</f>
        <v>0</v>
      </c>
      <c r="AD550" s="10">
        <f>IFERROR(__xludf.DUMMYFUNCTION("""COMPUTED_VALUE"""),0.0)</f>
        <v>0</v>
      </c>
      <c r="AE550" s="10">
        <f>IFERROR(__xludf.DUMMYFUNCTION("""COMPUTED_VALUE"""),0.0)</f>
        <v>0</v>
      </c>
      <c r="AF550" s="10">
        <f>IFERROR(__xludf.DUMMYFUNCTION("""COMPUTED_VALUE"""),0.0)</f>
        <v>0</v>
      </c>
      <c r="AG550" s="10">
        <f>IFERROR(__xludf.DUMMYFUNCTION("""COMPUTED_VALUE"""),5.0)</f>
        <v>5</v>
      </c>
      <c r="AH550" s="10">
        <f>IFERROR(__xludf.DUMMYFUNCTION("""COMPUTED_VALUE"""),0.0)</f>
        <v>0</v>
      </c>
      <c r="AI550" s="10">
        <f>IFERROR(__xludf.DUMMYFUNCTION("""COMPUTED_VALUE"""),5.0)</f>
        <v>5</v>
      </c>
      <c r="AJ550" s="11" t="str">
        <f>IFERROR(__xludf.DUMMYFUNCTION("""COMPUTED_VALUE"""),"https://drive.google.com/open?id=1tvCBRNbDWoBFX2dbAbftb846tmWdv-KF")</f>
        <v>https://drive.google.com/open?id=1tvCBRNbDWoBFX2dbAbftb846tmWdv-KF</v>
      </c>
      <c r="AK550" s="12"/>
      <c r="AL550" s="12"/>
      <c r="AM550" s="12"/>
      <c r="AN550" s="12" t="str">
        <f>IFERROR(__xludf.DUMMYFUNCTION("""COMPUTED_VALUE"""),"3rd week")</f>
        <v>3rd week</v>
      </c>
      <c r="AO550" s="13">
        <v>3.0</v>
      </c>
      <c r="AX550" s="17"/>
    </row>
    <row r="551">
      <c r="B551" s="9">
        <f>IFERROR(__xludf.DUMMYFUNCTION("""COMPUTED_VALUE"""),45891.59744239583)</f>
        <v>45891.59744</v>
      </c>
      <c r="C551" s="10" t="str">
        <f>IFERROR(__xludf.DUMMYFUNCTION("""COMPUTED_VALUE"""),"Asma Gul ")</f>
        <v>Asma Gul </v>
      </c>
      <c r="D551" s="10" t="str">
        <f>IFERROR(__xludf.DUMMYFUNCTION("""COMPUTED_VALUE"""),"03459308620")</f>
        <v>03459308620</v>
      </c>
      <c r="E551" s="10" t="str">
        <f>IFERROR(__xludf.DUMMYFUNCTION("""COMPUTED_VALUE"""),"Jamia Masjid Mai Shahab Khanpur")</f>
        <v>Jamia Masjid Mai Shahab Khanpur</v>
      </c>
      <c r="F551" s="10" t="str">
        <f>IFERROR(__xludf.DUMMYFUNCTION("""COMPUTED_VALUE"""),"qqsmi")</f>
        <v>qqsmi</v>
      </c>
      <c r="G551" s="10" t="str">
        <f>IFERROR(__xludf.DUMMYFUNCTION("""COMPUTED_VALUE"""),"Yes")</f>
        <v>Yes</v>
      </c>
      <c r="H551" s="10">
        <f>IFERROR(__xludf.DUMMYFUNCTION("""COMPUTED_VALUE"""),9.0)</f>
        <v>9</v>
      </c>
      <c r="I551" s="10">
        <f>IFERROR(__xludf.DUMMYFUNCTION("""COMPUTED_VALUE"""),1.0)</f>
        <v>1</v>
      </c>
      <c r="J551" s="10">
        <f>IFERROR(__xludf.DUMMYFUNCTION("""COMPUTED_VALUE"""),9.0)</f>
        <v>9</v>
      </c>
      <c r="K551" s="10">
        <f>IFERROR(__xludf.DUMMYFUNCTION("""COMPUTED_VALUE"""),10.0)</f>
        <v>10</v>
      </c>
      <c r="L551" s="10">
        <f>IFERROR(__xludf.DUMMYFUNCTION("""COMPUTED_VALUE"""),0.0)</f>
        <v>0</v>
      </c>
      <c r="M551" s="10">
        <f>IFERROR(__xludf.DUMMYFUNCTION("""COMPUTED_VALUE"""),10.0)</f>
        <v>10</v>
      </c>
      <c r="N551" s="10">
        <f>IFERROR(__xludf.DUMMYFUNCTION("""COMPUTED_VALUE"""),0.0)</f>
        <v>0</v>
      </c>
      <c r="O551" s="10">
        <f>IFERROR(__xludf.DUMMYFUNCTION("""COMPUTED_VALUE"""),9.0)</f>
        <v>9</v>
      </c>
      <c r="P551" s="10">
        <f>IFERROR(__xludf.DUMMYFUNCTION("""COMPUTED_VALUE"""),0.0)</f>
        <v>0</v>
      </c>
      <c r="Q551" s="10" t="str">
        <f>IFERROR(__xludf.DUMMYFUNCTION("""COMPUTED_VALUE"""),"No")</f>
        <v>No</v>
      </c>
      <c r="R551" s="10" t="str">
        <f>IFERROR(__xludf.DUMMYFUNCTION("""COMPUTED_VALUE"""),"No")</f>
        <v>No</v>
      </c>
      <c r="S551" s="10" t="str">
        <f>IFERROR(__xludf.DUMMYFUNCTION("""COMPUTED_VALUE"""),"No")</f>
        <v>No</v>
      </c>
      <c r="T551" s="10">
        <f>IFERROR(__xludf.DUMMYFUNCTION("""COMPUTED_VALUE"""),0.0)</f>
        <v>0</v>
      </c>
      <c r="U551" s="10">
        <f>IFERROR(__xludf.DUMMYFUNCTION("""COMPUTED_VALUE"""),0.0)</f>
        <v>0</v>
      </c>
      <c r="V551" s="10" t="str">
        <f>IFERROR(__xludf.DUMMYFUNCTION("""COMPUTED_VALUE"""),"اسلام کی روشنی روشنی میں خواتین کے حقوق")</f>
        <v>اسلام کی روشنی روشنی میں خواتین کے حقوق</v>
      </c>
      <c r="W551" s="10" t="str">
        <f>IFERROR(__xludf.DUMMYFUNCTION("""COMPUTED_VALUE"""),"اسلام سے پہلے خواتین کے پاس حقوق نہیں تھے وہ ظلم و بربریت کا نشانہ بنتی تھی اسلام کے انے کے بعد خواتین کو حقوق دیے گئے ہیں اور نبی پاک کی احادیث کو بھی بیان کیا گیا ہے کہ جو شخص اپنی بیٹیوں کی اچھی پرورش کرے گا وہ قیامت والے دن میرے ساتھ ہوگا")</f>
        <v>اسلام سے پہلے خواتین کے پاس حقوق نہیں تھے وہ ظلم و بربریت کا نشانہ بنتی تھی اسلام کے انے کے بعد خواتین کو حقوق دیے گئے ہیں اور نبی پاک کی احادیث کو بھی بیان کیا گیا ہے کہ جو شخص اپنی بیٹیوں کی اچھی پرورش کرے گا وہ قیامت والے دن میرے ساتھ ہوگا</v>
      </c>
      <c r="X551" s="10">
        <f>IFERROR(__xludf.DUMMYFUNCTION("""COMPUTED_VALUE"""),0.0)</f>
        <v>0</v>
      </c>
      <c r="Y551" s="10">
        <f>IFERROR(__xludf.DUMMYFUNCTION("""COMPUTED_VALUE"""),7.0)</f>
        <v>7</v>
      </c>
      <c r="Z551" s="10">
        <f>IFERROR(__xludf.DUMMYFUNCTION("""COMPUTED_VALUE"""),10.0)</f>
        <v>10</v>
      </c>
      <c r="AA551" s="10">
        <f>IFERROR(__xludf.DUMMYFUNCTION("""COMPUTED_VALUE"""),10.0)</f>
        <v>10</v>
      </c>
      <c r="AB551" s="10">
        <f>IFERROR(__xludf.DUMMYFUNCTION("""COMPUTED_VALUE"""),10.0)</f>
        <v>10</v>
      </c>
      <c r="AC551" s="10">
        <f>IFERROR(__xludf.DUMMYFUNCTION("""COMPUTED_VALUE"""),0.0)</f>
        <v>0</v>
      </c>
      <c r="AD551" s="10">
        <f>IFERROR(__xludf.DUMMYFUNCTION("""COMPUTED_VALUE"""),0.0)</f>
        <v>0</v>
      </c>
      <c r="AE551" s="10">
        <f>IFERROR(__xludf.DUMMYFUNCTION("""COMPUTED_VALUE"""),0.0)</f>
        <v>0</v>
      </c>
      <c r="AF551" s="10">
        <f>IFERROR(__xludf.DUMMYFUNCTION("""COMPUTED_VALUE"""),0.0)</f>
        <v>0</v>
      </c>
      <c r="AG551" s="10">
        <f>IFERROR(__xludf.DUMMYFUNCTION("""COMPUTED_VALUE"""),8.0)</f>
        <v>8</v>
      </c>
      <c r="AH551" s="10">
        <f>IFERROR(__xludf.DUMMYFUNCTION("""COMPUTED_VALUE"""),0.0)</f>
        <v>0</v>
      </c>
      <c r="AI551" s="10">
        <f>IFERROR(__xludf.DUMMYFUNCTION("""COMPUTED_VALUE"""),9.0)</f>
        <v>9</v>
      </c>
      <c r="AJ551" s="11" t="str">
        <f>IFERROR(__xludf.DUMMYFUNCTION("""COMPUTED_VALUE"""),"https://drive.google.com/open?id=1XtxVVy1SoN5sKHmWsw2llrKY7cuPHNe3o61m8HPMA7k")</f>
        <v>https://drive.google.com/open?id=1XtxVVy1SoN5sKHmWsw2llrKY7cuPHNe3o61m8HPMA7k</v>
      </c>
      <c r="AK551" s="12"/>
      <c r="AL551" s="12" t="str">
        <f>IFERROR(__xludf.DUMMYFUNCTION("""COMPUTED_VALUE"""),"Yes")</f>
        <v>Yes</v>
      </c>
      <c r="AM551" s="15">
        <f>IFERROR(__xludf.DUMMYFUNCTION("""COMPUTED_VALUE"""),0.9)</f>
        <v>0.9</v>
      </c>
      <c r="AN551" s="12" t="str">
        <f>IFERROR(__xludf.DUMMYFUNCTION("""COMPUTED_VALUE"""),"1st week")</f>
        <v>1st week</v>
      </c>
      <c r="AO551" s="13">
        <v>1.0</v>
      </c>
      <c r="AX551" s="17"/>
    </row>
    <row r="552">
      <c r="B552" s="9">
        <f>IFERROR(__xludf.DUMMYFUNCTION("""COMPUTED_VALUE"""),45892.054145393515)</f>
        <v>45892.05415</v>
      </c>
      <c r="C552" s="10" t="str">
        <f>IFERROR(__xludf.DUMMYFUNCTION("""COMPUTED_VALUE"""),"Kainat")</f>
        <v>Kainat</v>
      </c>
      <c r="D552" s="10" t="str">
        <f>IFERROR(__xludf.DUMMYFUNCTION("""COMPUTED_VALUE"""),"03125121140")</f>
        <v>03125121140</v>
      </c>
      <c r="E552" s="10" t="str">
        <f>IFERROR(__xludf.DUMMYFUNCTION("""COMPUTED_VALUE"""),"Jamia Masjid Mastari Kamal Din Khanpur")</f>
        <v>Jamia Masjid Mastari Kamal Din Khanpur</v>
      </c>
      <c r="F552" s="10" t="str">
        <f>IFERROR(__xludf.DUMMYFUNCTION("""COMPUTED_VALUE"""),"xatdf")</f>
        <v>xatdf</v>
      </c>
      <c r="G552" s="10" t="str">
        <f>IFERROR(__xludf.DUMMYFUNCTION("""COMPUTED_VALUE"""),"Yes")</f>
        <v>Yes</v>
      </c>
      <c r="H552" s="10">
        <f>IFERROR(__xludf.DUMMYFUNCTION("""COMPUTED_VALUE"""),0.0)</f>
        <v>0</v>
      </c>
      <c r="I552" s="10">
        <f>IFERROR(__xludf.DUMMYFUNCTION("""COMPUTED_VALUE"""),0.0)</f>
        <v>0</v>
      </c>
      <c r="J552" s="10">
        <f>IFERROR(__xludf.DUMMYFUNCTION("""COMPUTED_VALUE"""),0.0)</f>
        <v>0</v>
      </c>
      <c r="K552" s="10">
        <f>IFERROR(__xludf.DUMMYFUNCTION("""COMPUTED_VALUE"""),0.0)</f>
        <v>0</v>
      </c>
      <c r="L552" s="10">
        <f>IFERROR(__xludf.DUMMYFUNCTION("""COMPUTED_VALUE"""),0.0)</f>
        <v>0</v>
      </c>
      <c r="M552" s="10">
        <f>IFERROR(__xludf.DUMMYFUNCTION("""COMPUTED_VALUE"""),0.0)</f>
        <v>0</v>
      </c>
      <c r="N552" s="10">
        <f>IFERROR(__xludf.DUMMYFUNCTION("""COMPUTED_VALUE"""),0.0)</f>
        <v>0</v>
      </c>
      <c r="O552" s="10">
        <f>IFERROR(__xludf.DUMMYFUNCTION("""COMPUTED_VALUE"""),0.0)</f>
        <v>0</v>
      </c>
      <c r="P552" s="10">
        <f>IFERROR(__xludf.DUMMYFUNCTION("""COMPUTED_VALUE"""),0.0)</f>
        <v>0</v>
      </c>
      <c r="Q552" s="10" t="str">
        <f>IFERROR(__xludf.DUMMYFUNCTION("""COMPUTED_VALUE"""),"No")</f>
        <v>No</v>
      </c>
      <c r="R552" s="10" t="str">
        <f>IFERROR(__xludf.DUMMYFUNCTION("""COMPUTED_VALUE"""),"No")</f>
        <v>No</v>
      </c>
      <c r="S552" s="10" t="str">
        <f>IFERROR(__xludf.DUMMYFUNCTION("""COMPUTED_VALUE"""),"No")</f>
        <v>No</v>
      </c>
      <c r="T552" s="10">
        <f>IFERROR(__xludf.DUMMYFUNCTION("""COMPUTED_VALUE"""),0.0)</f>
        <v>0</v>
      </c>
      <c r="U552" s="10">
        <f>IFERROR(__xludf.DUMMYFUNCTION("""COMPUTED_VALUE"""),0.0)</f>
        <v>0</v>
      </c>
      <c r="V552" s="10" t="str">
        <f>IFERROR(__xludf.DUMMYFUNCTION("""COMPUTED_VALUE"""),"Hazrat Muhammad (S.A.W) ki zindgi ky baray m ")</f>
        <v>Hazrat Muhammad (S.A.W) ki zindgi ky baray m </v>
      </c>
      <c r="W552" s="10" t="str">
        <f>IFERROR(__xludf.DUMMYFUNCTION("""COMPUTED_VALUE"""),"Nabi pak ki wiladat ky baray m bt ki h ")</f>
        <v>Nabi pak ki wiladat ky baray m bt ki h </v>
      </c>
      <c r="X552" s="10">
        <f>IFERROR(__xludf.DUMMYFUNCTION("""COMPUTED_VALUE"""),4.0)</f>
        <v>4</v>
      </c>
      <c r="Y552" s="10">
        <f>IFERROR(__xludf.DUMMYFUNCTION("""COMPUTED_VALUE"""),2.0)</f>
        <v>2</v>
      </c>
      <c r="Z552" s="10">
        <f>IFERROR(__xludf.DUMMYFUNCTION("""COMPUTED_VALUE"""),2.0)</f>
        <v>2</v>
      </c>
      <c r="AA552" s="10">
        <f>IFERROR(__xludf.DUMMYFUNCTION("""COMPUTED_VALUE"""),6.0)</f>
        <v>6</v>
      </c>
      <c r="AB552" s="10">
        <f>IFERROR(__xludf.DUMMYFUNCTION("""COMPUTED_VALUE"""),4.0)</f>
        <v>4</v>
      </c>
      <c r="AC552" s="10">
        <f>IFERROR(__xludf.DUMMYFUNCTION("""COMPUTED_VALUE"""),0.0)</f>
        <v>0</v>
      </c>
      <c r="AD552" s="10">
        <f>IFERROR(__xludf.DUMMYFUNCTION("""COMPUTED_VALUE"""),1.0)</f>
        <v>1</v>
      </c>
      <c r="AE552" s="10">
        <f>IFERROR(__xludf.DUMMYFUNCTION("""COMPUTED_VALUE"""),0.0)</f>
        <v>0</v>
      </c>
      <c r="AF552" s="10">
        <f>IFERROR(__xludf.DUMMYFUNCTION("""COMPUTED_VALUE"""),0.0)</f>
        <v>0</v>
      </c>
      <c r="AG552" s="10">
        <f>IFERROR(__xludf.DUMMYFUNCTION("""COMPUTED_VALUE"""),0.0)</f>
        <v>0</v>
      </c>
      <c r="AH552" s="10">
        <f>IFERROR(__xludf.DUMMYFUNCTION("""COMPUTED_VALUE"""),0.0)</f>
        <v>0</v>
      </c>
      <c r="AI552" s="10">
        <f>IFERROR(__xludf.DUMMYFUNCTION("""COMPUTED_VALUE"""),3.0)</f>
        <v>3</v>
      </c>
      <c r="AJ552" s="11" t="str">
        <f>IFERROR(__xludf.DUMMYFUNCTION("""COMPUTED_VALUE"""),"https://drive.google.com/open?id=1cSGFnms_XAtkqFU935wvGYcSiSBVKnwrdwHuMfbRbjA")</f>
        <v>https://drive.google.com/open?id=1cSGFnms_XAtkqFU935wvGYcSiSBVKnwrdwHuMfbRbjA</v>
      </c>
      <c r="AK552" s="12"/>
      <c r="AL552" s="12" t="str">
        <f>IFERROR(__xludf.DUMMYFUNCTION("""COMPUTED_VALUE"""),"Yes")</f>
        <v>Yes</v>
      </c>
      <c r="AM552" s="15">
        <f>IFERROR(__xludf.DUMMYFUNCTION("""COMPUTED_VALUE"""),0.0)</f>
        <v>0</v>
      </c>
      <c r="AN552" s="12" t="str">
        <f>IFERROR(__xludf.DUMMYFUNCTION("""COMPUTED_VALUE"""),"3rd week")</f>
        <v>3rd week</v>
      </c>
      <c r="AO552" s="13">
        <v>3.0</v>
      </c>
      <c r="AX552" s="17"/>
    </row>
    <row r="553">
      <c r="B553" s="9">
        <f>IFERROR(__xludf.DUMMYFUNCTION("""COMPUTED_VALUE"""),45892.122759375)</f>
        <v>45892.12276</v>
      </c>
      <c r="C553" s="10" t="str">
        <f>IFERROR(__xludf.DUMMYFUNCTION("""COMPUTED_VALUE"""),"Shahid Iqbal")</f>
        <v>Shahid Iqbal</v>
      </c>
      <c r="D553" s="10" t="str">
        <f>IFERROR(__xludf.DUMMYFUNCTION("""COMPUTED_VALUE"""),"03013665049")</f>
        <v>03013665049</v>
      </c>
      <c r="E553" s="10" t="str">
        <f>IFERROR(__xludf.DUMMYFUNCTION("""COMPUTED_VALUE""")," Jamia Masjid Railway Coloney Khanewal")</f>
        <v> Jamia Masjid Railway Coloney Khanewal</v>
      </c>
      <c r="F553" s="10" t="str">
        <f>IFERROR(__xludf.DUMMYFUNCTION("""COMPUTED_VALUE"""),"epjyx")</f>
        <v>epjyx</v>
      </c>
      <c r="G553" s="10" t="str">
        <f>IFERROR(__xludf.DUMMYFUNCTION("""COMPUTED_VALUE"""),"Yes")</f>
        <v>Yes</v>
      </c>
      <c r="H553" s="10">
        <f>IFERROR(__xludf.DUMMYFUNCTION("""COMPUTED_VALUE"""),0.0)</f>
        <v>0</v>
      </c>
      <c r="I553" s="10">
        <f>IFERROR(__xludf.DUMMYFUNCTION("""COMPUTED_VALUE"""),10.0)</f>
        <v>10</v>
      </c>
      <c r="J553" s="10">
        <f>IFERROR(__xludf.DUMMYFUNCTION("""COMPUTED_VALUE"""),0.0)</f>
        <v>0</v>
      </c>
      <c r="K553" s="10">
        <f>IFERROR(__xludf.DUMMYFUNCTION("""COMPUTED_VALUE"""),0.0)</f>
        <v>0</v>
      </c>
      <c r="L553" s="10">
        <f>IFERROR(__xludf.DUMMYFUNCTION("""COMPUTED_VALUE"""),0.0)</f>
        <v>0</v>
      </c>
      <c r="M553" s="10">
        <f>IFERROR(__xludf.DUMMYFUNCTION("""COMPUTED_VALUE"""),0.0)</f>
        <v>0</v>
      </c>
      <c r="N553" s="10">
        <f>IFERROR(__xludf.DUMMYFUNCTION("""COMPUTED_VALUE"""),0.0)</f>
        <v>0</v>
      </c>
      <c r="O553" s="10">
        <f>IFERROR(__xludf.DUMMYFUNCTION("""COMPUTED_VALUE"""),0.0)</f>
        <v>0</v>
      </c>
      <c r="P553" s="10">
        <f>IFERROR(__xludf.DUMMYFUNCTION("""COMPUTED_VALUE"""),0.0)</f>
        <v>0</v>
      </c>
      <c r="Q553" s="10" t="str">
        <f>IFERROR(__xludf.DUMMYFUNCTION("""COMPUTED_VALUE"""),"No")</f>
        <v>No</v>
      </c>
      <c r="R553" s="10" t="str">
        <f>IFERROR(__xludf.DUMMYFUNCTION("""COMPUTED_VALUE"""),"No")</f>
        <v>No</v>
      </c>
      <c r="S553" s="10" t="str">
        <f>IFERROR(__xludf.DUMMYFUNCTION("""COMPUTED_VALUE"""),"No")</f>
        <v>No</v>
      </c>
      <c r="T553" s="10">
        <f>IFERROR(__xludf.DUMMYFUNCTION("""COMPUTED_VALUE"""),0.0)</f>
        <v>0</v>
      </c>
      <c r="U553" s="10">
        <f>IFERROR(__xludf.DUMMYFUNCTION("""COMPUTED_VALUE"""),0.0)</f>
        <v>0</v>
      </c>
      <c r="V553" s="10" t="str">
        <f>IFERROR(__xludf.DUMMYFUNCTION("""COMPUTED_VALUE"""),"Mah e saffar ki ahmiat")</f>
        <v>Mah e saffar ki ahmiat</v>
      </c>
      <c r="W553" s="10" t="str">
        <f>IFERROR(__xludf.DUMMYFUNCTION("""COMPUTED_VALUE"""),"Mah e saffar ki ahmiat aur fazilat")</f>
        <v>Mah e saffar ki ahmiat aur fazilat</v>
      </c>
      <c r="X553" s="10">
        <f>IFERROR(__xludf.DUMMYFUNCTION("""COMPUTED_VALUE"""),4.0)</f>
        <v>4</v>
      </c>
      <c r="Y553" s="10">
        <f>IFERROR(__xludf.DUMMYFUNCTION("""COMPUTED_VALUE"""),5.0)</f>
        <v>5</v>
      </c>
      <c r="Z553" s="10">
        <f>IFERROR(__xludf.DUMMYFUNCTION("""COMPUTED_VALUE"""),5.0)</f>
        <v>5</v>
      </c>
      <c r="AA553" s="10">
        <f>IFERROR(__xludf.DUMMYFUNCTION("""COMPUTED_VALUE"""),7.0)</f>
        <v>7</v>
      </c>
      <c r="AB553" s="10">
        <f>IFERROR(__xludf.DUMMYFUNCTION("""COMPUTED_VALUE"""),0.0)</f>
        <v>0</v>
      </c>
      <c r="AC553" s="10">
        <f>IFERROR(__xludf.DUMMYFUNCTION("""COMPUTED_VALUE"""),0.0)</f>
        <v>0</v>
      </c>
      <c r="AD553" s="10">
        <f>IFERROR(__xludf.DUMMYFUNCTION("""COMPUTED_VALUE"""),0.0)</f>
        <v>0</v>
      </c>
      <c r="AE553" s="10">
        <f>IFERROR(__xludf.DUMMYFUNCTION("""COMPUTED_VALUE"""),0.0)</f>
        <v>0</v>
      </c>
      <c r="AF553" s="10">
        <f>IFERROR(__xludf.DUMMYFUNCTION("""COMPUTED_VALUE"""),0.0)</f>
        <v>0</v>
      </c>
      <c r="AG553" s="10">
        <f>IFERROR(__xludf.DUMMYFUNCTION("""COMPUTED_VALUE"""),8.0)</f>
        <v>8</v>
      </c>
      <c r="AH553" s="10">
        <f>IFERROR(__xludf.DUMMYFUNCTION("""COMPUTED_VALUE"""),0.0)</f>
        <v>0</v>
      </c>
      <c r="AI553" s="10">
        <f>IFERROR(__xludf.DUMMYFUNCTION("""COMPUTED_VALUE"""),10.0)</f>
        <v>10</v>
      </c>
      <c r="AJ553" s="11" t="str">
        <f>IFERROR(__xludf.DUMMYFUNCTION("""COMPUTED_VALUE"""),"https://drive.google.com/open?id=16WA65amX8J5j_GU3HOsqpb6PHueznf20")</f>
        <v>https://drive.google.com/open?id=16WA65amX8J5j_GU3HOsqpb6PHueznf20</v>
      </c>
      <c r="AK553" s="12"/>
      <c r="AL553" s="12" t="str">
        <f>IFERROR(__xludf.DUMMYFUNCTION("""COMPUTED_VALUE"""),"Yes")</f>
        <v>Yes</v>
      </c>
      <c r="AM553" s="15">
        <f>IFERROR(__xludf.DUMMYFUNCTION("""COMPUTED_VALUE"""),0.0)</f>
        <v>0</v>
      </c>
      <c r="AN553" s="12" t="str">
        <f>IFERROR(__xludf.DUMMYFUNCTION("""COMPUTED_VALUE"""),"4th week")</f>
        <v>4th week</v>
      </c>
      <c r="AO553" s="13">
        <v>4.0</v>
      </c>
      <c r="AX553" s="17"/>
    </row>
    <row r="554">
      <c r="B554" s="9">
        <f>IFERROR(__xludf.DUMMYFUNCTION("""COMPUTED_VALUE"""),45892.126271030094)</f>
        <v>45892.12627</v>
      </c>
      <c r="C554" s="10" t="str">
        <f>IFERROR(__xludf.DUMMYFUNCTION("""COMPUTED_VALUE"""),"Shahid iqbal")</f>
        <v>Shahid iqbal</v>
      </c>
      <c r="D554" s="10" t="str">
        <f>IFERROR(__xludf.DUMMYFUNCTION("""COMPUTED_VALUE"""),"03013665049")</f>
        <v>03013665049</v>
      </c>
      <c r="E554" s="10" t="str">
        <f>IFERROR(__xludf.DUMMYFUNCTION("""COMPUTED_VALUE"""),"Jamia Masjid Shah Rukan Alam Multan")</f>
        <v>Jamia Masjid Shah Rukan Alam Multan</v>
      </c>
      <c r="F554" s="10" t="str">
        <f>IFERROR(__xludf.DUMMYFUNCTION("""COMPUTED_VALUE"""),"yeigp")</f>
        <v>yeigp</v>
      </c>
      <c r="G554" s="10" t="str">
        <f>IFERROR(__xludf.DUMMYFUNCTION("""COMPUTED_VALUE"""),"Yes")</f>
        <v>Yes</v>
      </c>
      <c r="H554" s="10">
        <f>IFERROR(__xludf.DUMMYFUNCTION("""COMPUTED_VALUE"""),0.0)</f>
        <v>0</v>
      </c>
      <c r="I554" s="10">
        <f>IFERROR(__xludf.DUMMYFUNCTION("""COMPUTED_VALUE"""),10.0)</f>
        <v>10</v>
      </c>
      <c r="J554" s="10">
        <f>IFERROR(__xludf.DUMMYFUNCTION("""COMPUTED_VALUE"""),0.0)</f>
        <v>0</v>
      </c>
      <c r="K554" s="10">
        <f>IFERROR(__xludf.DUMMYFUNCTION("""COMPUTED_VALUE"""),0.0)</f>
        <v>0</v>
      </c>
      <c r="L554" s="10">
        <f>IFERROR(__xludf.DUMMYFUNCTION("""COMPUTED_VALUE"""),0.0)</f>
        <v>0</v>
      </c>
      <c r="M554" s="10">
        <f>IFERROR(__xludf.DUMMYFUNCTION("""COMPUTED_VALUE"""),0.0)</f>
        <v>0</v>
      </c>
      <c r="N554" s="10">
        <f>IFERROR(__xludf.DUMMYFUNCTION("""COMPUTED_VALUE"""),0.0)</f>
        <v>0</v>
      </c>
      <c r="O554" s="10">
        <f>IFERROR(__xludf.DUMMYFUNCTION("""COMPUTED_VALUE"""),0.0)</f>
        <v>0</v>
      </c>
      <c r="P554" s="10">
        <f>IFERROR(__xludf.DUMMYFUNCTION("""COMPUTED_VALUE"""),0.0)</f>
        <v>0</v>
      </c>
      <c r="Q554" s="10" t="str">
        <f>IFERROR(__xludf.DUMMYFUNCTION("""COMPUTED_VALUE"""),"No")</f>
        <v>No</v>
      </c>
      <c r="R554" s="10" t="str">
        <f>IFERROR(__xludf.DUMMYFUNCTION("""COMPUTED_VALUE"""),"No")</f>
        <v>No</v>
      </c>
      <c r="S554" s="10" t="str">
        <f>IFERROR(__xludf.DUMMYFUNCTION("""COMPUTED_VALUE"""),"No")</f>
        <v>No</v>
      </c>
      <c r="T554" s="10">
        <f>IFERROR(__xludf.DUMMYFUNCTION("""COMPUTED_VALUE"""),0.0)</f>
        <v>0</v>
      </c>
      <c r="U554" s="10">
        <f>IFERROR(__xludf.DUMMYFUNCTION("""COMPUTED_VALUE"""),0.0)</f>
        <v>0</v>
      </c>
      <c r="V554" s="10" t="str">
        <f>IFERROR(__xludf.DUMMYFUNCTION("""COMPUTED_VALUE"""),"shariat Muhammadi saw")</f>
        <v>shariat Muhammadi saw</v>
      </c>
      <c r="W554" s="10" t="str">
        <f>IFERROR(__xludf.DUMMYFUNCTION("""COMPUTED_VALUE"""),"shariat Muhammadi saw aur ap saw ki zinadagi per amal")</f>
        <v>shariat Muhammadi saw aur ap saw ki zinadagi per amal</v>
      </c>
      <c r="X554" s="10">
        <f>IFERROR(__xludf.DUMMYFUNCTION("""COMPUTED_VALUE"""),3.0)</f>
        <v>3</v>
      </c>
      <c r="Y554" s="10">
        <f>IFERROR(__xludf.DUMMYFUNCTION("""COMPUTED_VALUE"""),5.0)</f>
        <v>5</v>
      </c>
      <c r="Z554" s="10">
        <f>IFERROR(__xludf.DUMMYFUNCTION("""COMPUTED_VALUE"""),3.0)</f>
        <v>3</v>
      </c>
      <c r="AA554" s="10">
        <f>IFERROR(__xludf.DUMMYFUNCTION("""COMPUTED_VALUE"""),7.0)</f>
        <v>7</v>
      </c>
      <c r="AB554" s="10">
        <f>IFERROR(__xludf.DUMMYFUNCTION("""COMPUTED_VALUE"""),2.0)</f>
        <v>2</v>
      </c>
      <c r="AC554" s="10">
        <f>IFERROR(__xludf.DUMMYFUNCTION("""COMPUTED_VALUE"""),0.0)</f>
        <v>0</v>
      </c>
      <c r="AD554" s="10">
        <f>IFERROR(__xludf.DUMMYFUNCTION("""COMPUTED_VALUE"""),0.0)</f>
        <v>0</v>
      </c>
      <c r="AE554" s="10">
        <f>IFERROR(__xludf.DUMMYFUNCTION("""COMPUTED_VALUE"""),0.0)</f>
        <v>0</v>
      </c>
      <c r="AF554" s="10">
        <f>IFERROR(__xludf.DUMMYFUNCTION("""COMPUTED_VALUE"""),0.0)</f>
        <v>0</v>
      </c>
      <c r="AG554" s="10">
        <f>IFERROR(__xludf.DUMMYFUNCTION("""COMPUTED_VALUE"""),9.0)</f>
        <v>9</v>
      </c>
      <c r="AH554" s="10">
        <f>IFERROR(__xludf.DUMMYFUNCTION("""COMPUTED_VALUE"""),0.0)</f>
        <v>0</v>
      </c>
      <c r="AI554" s="10">
        <f>IFERROR(__xludf.DUMMYFUNCTION("""COMPUTED_VALUE"""),10.0)</f>
        <v>10</v>
      </c>
      <c r="AJ554" s="11" t="str">
        <f>IFERROR(__xludf.DUMMYFUNCTION("""COMPUTED_VALUE"""),"https://drive.google.com/open?id=1g6k69ozpmBe8YBrfke5gUOBw_ZkMRBhW")</f>
        <v>https://drive.google.com/open?id=1g6k69ozpmBe8YBrfke5gUOBw_ZkMRBhW</v>
      </c>
      <c r="AK554" s="12"/>
      <c r="AL554" s="12" t="str">
        <f>IFERROR(__xludf.DUMMYFUNCTION("""COMPUTED_VALUE"""),"Yes")</f>
        <v>Yes</v>
      </c>
      <c r="AM554" s="15">
        <f>IFERROR(__xludf.DUMMYFUNCTION("""COMPUTED_VALUE"""),0.0)</f>
        <v>0</v>
      </c>
      <c r="AN554" s="12" t="str">
        <f>IFERROR(__xludf.DUMMYFUNCTION("""COMPUTED_VALUE"""),"4th week")</f>
        <v>4th week</v>
      </c>
      <c r="AO554" s="13">
        <v>4.0</v>
      </c>
      <c r="AX554" s="17"/>
    </row>
    <row r="555">
      <c r="B555" s="9">
        <f>IFERROR(__xludf.DUMMYFUNCTION("""COMPUTED_VALUE"""),45892.129990416666)</f>
        <v>45892.12999</v>
      </c>
      <c r="C555" s="10" t="str">
        <f>IFERROR(__xludf.DUMMYFUNCTION("""COMPUTED_VALUE"""),"SHahid iqbal")</f>
        <v>SHahid iqbal</v>
      </c>
      <c r="D555" s="10" t="str">
        <f>IFERROR(__xludf.DUMMYFUNCTION("""COMPUTED_VALUE"""),"03013665049")</f>
        <v>03013665049</v>
      </c>
      <c r="E555" s="10" t="str">
        <f>IFERROR(__xludf.DUMMYFUNCTION("""COMPUTED_VALUE"""),"Jamia Masjid Anayat Shah Bhukari Layyah")</f>
        <v>Jamia Masjid Anayat Shah Bhukari Layyah</v>
      </c>
      <c r="F555" s="10" t="str">
        <f>IFERROR(__xludf.DUMMYFUNCTION("""COMPUTED_VALUE"""),"gydmp")</f>
        <v>gydmp</v>
      </c>
      <c r="G555" s="10" t="str">
        <f>IFERROR(__xludf.DUMMYFUNCTION("""COMPUTED_VALUE"""),"Yes")</f>
        <v>Yes</v>
      </c>
      <c r="H555" s="10">
        <f>IFERROR(__xludf.DUMMYFUNCTION("""COMPUTED_VALUE"""),10.0)</f>
        <v>10</v>
      </c>
      <c r="I555" s="10">
        <f>IFERROR(__xludf.DUMMYFUNCTION("""COMPUTED_VALUE"""),0.0)</f>
        <v>0</v>
      </c>
      <c r="J555" s="10">
        <f>IFERROR(__xludf.DUMMYFUNCTION("""COMPUTED_VALUE"""),10.0)</f>
        <v>10</v>
      </c>
      <c r="K555" s="10">
        <f>IFERROR(__xludf.DUMMYFUNCTION("""COMPUTED_VALUE"""),9.0)</f>
        <v>9</v>
      </c>
      <c r="L555" s="10">
        <f>IFERROR(__xludf.DUMMYFUNCTION("""COMPUTED_VALUE"""),0.0)</f>
        <v>0</v>
      </c>
      <c r="M555" s="10">
        <f>IFERROR(__xludf.DUMMYFUNCTION("""COMPUTED_VALUE"""),10.0)</f>
        <v>10</v>
      </c>
      <c r="N555" s="10">
        <f>IFERROR(__xludf.DUMMYFUNCTION("""COMPUTED_VALUE"""),0.0)</f>
        <v>0</v>
      </c>
      <c r="O555" s="10">
        <f>IFERROR(__xludf.DUMMYFUNCTION("""COMPUTED_VALUE"""),10.0)</f>
        <v>10</v>
      </c>
      <c r="P555" s="10">
        <f>IFERROR(__xludf.DUMMYFUNCTION("""COMPUTED_VALUE"""),0.0)</f>
        <v>0</v>
      </c>
      <c r="Q555" s="10" t="str">
        <f>IFERROR(__xludf.DUMMYFUNCTION("""COMPUTED_VALUE"""),"Yes")</f>
        <v>Yes</v>
      </c>
      <c r="R555" s="10" t="str">
        <f>IFERROR(__xludf.DUMMYFUNCTION("""COMPUTED_VALUE"""),"No")</f>
        <v>No</v>
      </c>
      <c r="S555" s="10" t="str">
        <f>IFERROR(__xludf.DUMMYFUNCTION("""COMPUTED_VALUE"""),"No")</f>
        <v>No</v>
      </c>
      <c r="T555" s="10">
        <f>IFERROR(__xludf.DUMMYFUNCTION("""COMPUTED_VALUE"""),0.0)</f>
        <v>0</v>
      </c>
      <c r="U555" s="10">
        <f>IFERROR(__xludf.DUMMYFUNCTION("""COMPUTED_VALUE"""),0.0)</f>
        <v>0</v>
      </c>
      <c r="V555" s="10" t="str">
        <f>IFERROR(__xludf.DUMMYFUNCTION("""COMPUTED_VALUE"""),"women rights in islam")</f>
        <v>women rights in islam</v>
      </c>
      <c r="W555" s="10" t="str">
        <f>IFERROR(__xludf.DUMMYFUNCTION("""COMPUTED_VALUE"""),"women rights in islam")</f>
        <v>women rights in islam</v>
      </c>
      <c r="X555" s="10">
        <f>IFERROR(__xludf.DUMMYFUNCTION("""COMPUTED_VALUE"""),0.0)</f>
        <v>0</v>
      </c>
      <c r="Y555" s="10">
        <f>IFERROR(__xludf.DUMMYFUNCTION("""COMPUTED_VALUE"""),2.0)</f>
        <v>2</v>
      </c>
      <c r="Z555" s="10">
        <f>IFERROR(__xludf.DUMMYFUNCTION("""COMPUTED_VALUE"""),4.0)</f>
        <v>4</v>
      </c>
      <c r="AA555" s="10">
        <f>IFERROR(__xludf.DUMMYFUNCTION("""COMPUTED_VALUE"""),7.0)</f>
        <v>7</v>
      </c>
      <c r="AB555" s="10">
        <f>IFERROR(__xludf.DUMMYFUNCTION("""COMPUTED_VALUE"""),0.0)</f>
        <v>0</v>
      </c>
      <c r="AC555" s="10">
        <f>IFERROR(__xludf.DUMMYFUNCTION("""COMPUTED_VALUE"""),0.0)</f>
        <v>0</v>
      </c>
      <c r="AD555" s="10">
        <f>IFERROR(__xludf.DUMMYFUNCTION("""COMPUTED_VALUE"""),0.0)</f>
        <v>0</v>
      </c>
      <c r="AE555" s="10">
        <f>IFERROR(__xludf.DUMMYFUNCTION("""COMPUTED_VALUE"""),0.0)</f>
        <v>0</v>
      </c>
      <c r="AF555" s="10">
        <f>IFERROR(__xludf.DUMMYFUNCTION("""COMPUTED_VALUE"""),0.0)</f>
        <v>0</v>
      </c>
      <c r="AG555" s="10">
        <f>IFERROR(__xludf.DUMMYFUNCTION("""COMPUTED_VALUE"""),9.0)</f>
        <v>9</v>
      </c>
      <c r="AH555" s="10">
        <f>IFERROR(__xludf.DUMMYFUNCTION("""COMPUTED_VALUE"""),1.0)</f>
        <v>1</v>
      </c>
      <c r="AI555" s="10">
        <f>IFERROR(__xludf.DUMMYFUNCTION("""COMPUTED_VALUE"""),8.0)</f>
        <v>8</v>
      </c>
      <c r="AJ555" s="11" t="str">
        <f>IFERROR(__xludf.DUMMYFUNCTION("""COMPUTED_VALUE"""),"https://drive.google.com/open?id=1O-MslU7C-HJ_oFA8Jz_1OPjdAlYMSZjS")</f>
        <v>https://drive.google.com/open?id=1O-MslU7C-HJ_oFA8Jz_1OPjdAlYMSZjS</v>
      </c>
      <c r="AK555" s="12"/>
      <c r="AL555" s="12" t="str">
        <f>IFERROR(__xludf.DUMMYFUNCTION("""COMPUTED_VALUE"""),"Yes")</f>
        <v>Yes</v>
      </c>
      <c r="AM555" s="15">
        <f>IFERROR(__xludf.DUMMYFUNCTION("""COMPUTED_VALUE"""),1.0)</f>
        <v>1</v>
      </c>
      <c r="AN555" s="12" t="str">
        <f>IFERROR(__xludf.DUMMYFUNCTION("""COMPUTED_VALUE"""),"2nd week")</f>
        <v>2nd week</v>
      </c>
      <c r="AO555" s="13">
        <v>2.0</v>
      </c>
      <c r="AX555" s="17"/>
    </row>
    <row r="556">
      <c r="B556" s="9">
        <f>IFERROR(__xludf.DUMMYFUNCTION("""COMPUTED_VALUE"""),45892.147655057866)</f>
        <v>45892.14766</v>
      </c>
      <c r="C556" s="10" t="str">
        <f>IFERROR(__xludf.DUMMYFUNCTION("""COMPUTED_VALUE"""),"shahid iqbal")</f>
        <v>shahid iqbal</v>
      </c>
      <c r="D556" s="10" t="str">
        <f>IFERROR(__xludf.DUMMYFUNCTION("""COMPUTED_VALUE"""),"03013665049")</f>
        <v>03013665049</v>
      </c>
      <c r="E556" s="10" t="str">
        <f>IFERROR(__xludf.DUMMYFUNCTION("""COMPUTED_VALUE"""),"Jamia Masjid Darbar Shamsher Shah Safri Layyah")</f>
        <v>Jamia Masjid Darbar Shamsher Shah Safri Layyah</v>
      </c>
      <c r="F556" s="10" t="str">
        <f>IFERROR(__xludf.DUMMYFUNCTION("""COMPUTED_VALUE"""),"ityep")</f>
        <v>ityep</v>
      </c>
      <c r="G556" s="10" t="str">
        <f>IFERROR(__xludf.DUMMYFUNCTION("""COMPUTED_VALUE"""),"Yes")</f>
        <v>Yes</v>
      </c>
      <c r="H556" s="10">
        <f>IFERROR(__xludf.DUMMYFUNCTION("""COMPUTED_VALUE"""),5.0)</f>
        <v>5</v>
      </c>
      <c r="I556" s="10">
        <f>IFERROR(__xludf.DUMMYFUNCTION("""COMPUTED_VALUE"""),5.0)</f>
        <v>5</v>
      </c>
      <c r="J556" s="10">
        <f>IFERROR(__xludf.DUMMYFUNCTION("""COMPUTED_VALUE"""),6.0)</f>
        <v>6</v>
      </c>
      <c r="K556" s="10">
        <f>IFERROR(__xludf.DUMMYFUNCTION("""COMPUTED_VALUE"""),7.0)</f>
        <v>7</v>
      </c>
      <c r="L556" s="10">
        <f>IFERROR(__xludf.DUMMYFUNCTION("""COMPUTED_VALUE"""),0.0)</f>
        <v>0</v>
      </c>
      <c r="M556" s="10">
        <f>IFERROR(__xludf.DUMMYFUNCTION("""COMPUTED_VALUE"""),8.0)</f>
        <v>8</v>
      </c>
      <c r="N556" s="10">
        <f>IFERROR(__xludf.DUMMYFUNCTION("""COMPUTED_VALUE"""),0.0)</f>
        <v>0</v>
      </c>
      <c r="O556" s="10">
        <f>IFERROR(__xludf.DUMMYFUNCTION("""COMPUTED_VALUE"""),8.0)</f>
        <v>8</v>
      </c>
      <c r="P556" s="10">
        <f>IFERROR(__xludf.DUMMYFUNCTION("""COMPUTED_VALUE"""),0.0)</f>
        <v>0</v>
      </c>
      <c r="Q556" s="10" t="str">
        <f>IFERROR(__xludf.DUMMYFUNCTION("""COMPUTED_VALUE"""),"Yes")</f>
        <v>Yes</v>
      </c>
      <c r="R556" s="10" t="str">
        <f>IFERROR(__xludf.DUMMYFUNCTION("""COMPUTED_VALUE"""),"No")</f>
        <v>No</v>
      </c>
      <c r="S556" s="10" t="str">
        <f>IFERROR(__xludf.DUMMYFUNCTION("""COMPUTED_VALUE"""),"No")</f>
        <v>No</v>
      </c>
      <c r="T556" s="10">
        <f>IFERROR(__xludf.DUMMYFUNCTION("""COMPUTED_VALUE"""),0.0)</f>
        <v>0</v>
      </c>
      <c r="U556" s="10">
        <f>IFERROR(__xludf.DUMMYFUNCTION("""COMPUTED_VALUE"""),0.0)</f>
        <v>0</v>
      </c>
      <c r="V556" s="10" t="str">
        <f>IFERROR(__xludf.DUMMYFUNCTION("""COMPUTED_VALUE"""),"women rights in islam")</f>
        <v>women rights in islam</v>
      </c>
      <c r="W556" s="10" t="str">
        <f>IFERROR(__xludf.DUMMYFUNCTION("""COMPUTED_VALUE"""),"women rights in islam")</f>
        <v>women rights in islam</v>
      </c>
      <c r="X556" s="10">
        <f>IFERROR(__xludf.DUMMYFUNCTION("""COMPUTED_VALUE"""),2.0)</f>
        <v>2</v>
      </c>
      <c r="Y556" s="10">
        <f>IFERROR(__xludf.DUMMYFUNCTION("""COMPUTED_VALUE"""),4.0)</f>
        <v>4</v>
      </c>
      <c r="Z556" s="10">
        <f>IFERROR(__xludf.DUMMYFUNCTION("""COMPUTED_VALUE"""),2.0)</f>
        <v>2</v>
      </c>
      <c r="AA556" s="10">
        <f>IFERROR(__xludf.DUMMYFUNCTION("""COMPUTED_VALUE"""),7.0)</f>
        <v>7</v>
      </c>
      <c r="AB556" s="10">
        <f>IFERROR(__xludf.DUMMYFUNCTION("""COMPUTED_VALUE"""),1.0)</f>
        <v>1</v>
      </c>
      <c r="AC556" s="10">
        <f>IFERROR(__xludf.DUMMYFUNCTION("""COMPUTED_VALUE"""),0.0)</f>
        <v>0</v>
      </c>
      <c r="AD556" s="10">
        <f>IFERROR(__xludf.DUMMYFUNCTION("""COMPUTED_VALUE"""),0.0)</f>
        <v>0</v>
      </c>
      <c r="AE556" s="10">
        <f>IFERROR(__xludf.DUMMYFUNCTION("""COMPUTED_VALUE"""),0.0)</f>
        <v>0</v>
      </c>
      <c r="AF556" s="10">
        <f>IFERROR(__xludf.DUMMYFUNCTION("""COMPUTED_VALUE"""),0.0)</f>
        <v>0</v>
      </c>
      <c r="AG556" s="10">
        <f>IFERROR(__xludf.DUMMYFUNCTION("""COMPUTED_VALUE"""),8.0)</f>
        <v>8</v>
      </c>
      <c r="AH556" s="10">
        <f>IFERROR(__xludf.DUMMYFUNCTION("""COMPUTED_VALUE"""),0.0)</f>
        <v>0</v>
      </c>
      <c r="AI556" s="10">
        <f>IFERROR(__xludf.DUMMYFUNCTION("""COMPUTED_VALUE"""),9.0)</f>
        <v>9</v>
      </c>
      <c r="AJ556" s="11" t="str">
        <f>IFERROR(__xludf.DUMMYFUNCTION("""COMPUTED_VALUE"""),"https://drive.google.com/open?id=1-fIxJbyBfHCoTsSJDOVDous8WDi6k8tI")</f>
        <v>https://drive.google.com/open?id=1-fIxJbyBfHCoTsSJDOVDous8WDi6k8tI</v>
      </c>
      <c r="AK556" s="12"/>
      <c r="AL556" s="12" t="str">
        <f>IFERROR(__xludf.DUMMYFUNCTION("""COMPUTED_VALUE"""),"Yes")</f>
        <v>Yes</v>
      </c>
      <c r="AM556" s="15">
        <f>IFERROR(__xludf.DUMMYFUNCTION("""COMPUTED_VALUE"""),0.5)</f>
        <v>0.5</v>
      </c>
      <c r="AN556" s="12" t="str">
        <f>IFERROR(__xludf.DUMMYFUNCTION("""COMPUTED_VALUE"""),"2nd week")</f>
        <v>2nd week</v>
      </c>
      <c r="AO556" s="13">
        <v>2.0</v>
      </c>
      <c r="AX556" s="17"/>
    </row>
    <row r="557">
      <c r="B557" s="9">
        <f>IFERROR(__xludf.DUMMYFUNCTION("""COMPUTED_VALUE"""),45892.15212909722)</f>
        <v>45892.15213</v>
      </c>
      <c r="C557" s="10" t="str">
        <f>IFERROR(__xludf.DUMMYFUNCTION("""COMPUTED_VALUE"""),"Shahid Iqbal")</f>
        <v>Shahid Iqbal</v>
      </c>
      <c r="D557" s="10" t="str">
        <f>IFERROR(__xludf.DUMMYFUNCTION("""COMPUTED_VALUE"""),"03013665049")</f>
        <v>03013665049</v>
      </c>
      <c r="E557" s="10" t="str">
        <f>IFERROR(__xludf.DUMMYFUNCTION("""COMPUTED_VALUE"""),"Jamia Masjid Darbar Saki Shah Habib Layyah")</f>
        <v>Jamia Masjid Darbar Saki Shah Habib Layyah</v>
      </c>
      <c r="F557" s="10" t="str">
        <f>IFERROR(__xludf.DUMMYFUNCTION("""COMPUTED_VALUE"""),"tjbax")</f>
        <v>tjbax</v>
      </c>
      <c r="G557" s="10" t="str">
        <f>IFERROR(__xludf.DUMMYFUNCTION("""COMPUTED_VALUE"""),"Yes")</f>
        <v>Yes</v>
      </c>
      <c r="H557" s="10">
        <f>IFERROR(__xludf.DUMMYFUNCTION("""COMPUTED_VALUE"""),8.0)</f>
        <v>8</v>
      </c>
      <c r="I557" s="10">
        <f>IFERROR(__xludf.DUMMYFUNCTION("""COMPUTED_VALUE"""),2.0)</f>
        <v>2</v>
      </c>
      <c r="J557" s="10">
        <f>IFERROR(__xludf.DUMMYFUNCTION("""COMPUTED_VALUE"""),9.0)</f>
        <v>9</v>
      </c>
      <c r="K557" s="10">
        <f>IFERROR(__xludf.DUMMYFUNCTION("""COMPUTED_VALUE"""),9.0)</f>
        <v>9</v>
      </c>
      <c r="L557" s="10">
        <f>IFERROR(__xludf.DUMMYFUNCTION("""COMPUTED_VALUE"""),0.0)</f>
        <v>0</v>
      </c>
      <c r="M557" s="10">
        <f>IFERROR(__xludf.DUMMYFUNCTION("""COMPUTED_VALUE"""),10.0)</f>
        <v>10</v>
      </c>
      <c r="N557" s="10">
        <f>IFERROR(__xludf.DUMMYFUNCTION("""COMPUTED_VALUE"""),0.0)</f>
        <v>0</v>
      </c>
      <c r="O557" s="10">
        <f>IFERROR(__xludf.DUMMYFUNCTION("""COMPUTED_VALUE"""),8.0)</f>
        <v>8</v>
      </c>
      <c r="P557" s="10">
        <f>IFERROR(__xludf.DUMMYFUNCTION("""COMPUTED_VALUE"""),0.0)</f>
        <v>0</v>
      </c>
      <c r="Q557" s="10" t="str">
        <f>IFERROR(__xludf.DUMMYFUNCTION("""COMPUTED_VALUE"""),"Yes")</f>
        <v>Yes</v>
      </c>
      <c r="R557" s="10" t="str">
        <f>IFERROR(__xludf.DUMMYFUNCTION("""COMPUTED_VALUE"""),"No")</f>
        <v>No</v>
      </c>
      <c r="S557" s="10" t="str">
        <f>IFERROR(__xludf.DUMMYFUNCTION("""COMPUTED_VALUE"""),"Yes")</f>
        <v>Yes</v>
      </c>
      <c r="T557" s="10">
        <f>IFERROR(__xludf.DUMMYFUNCTION("""COMPUTED_VALUE"""),0.0)</f>
        <v>0</v>
      </c>
      <c r="U557" s="10">
        <f>IFERROR(__xludf.DUMMYFUNCTION("""COMPUTED_VALUE"""),0.0)</f>
        <v>0</v>
      </c>
      <c r="V557" s="10" t="str">
        <f>IFERROR(__xludf.DUMMYFUNCTION("""COMPUTED_VALUE"""),"islam ma aurat ka muqam")</f>
        <v>islam ma aurat ka muqam</v>
      </c>
      <c r="W557" s="10" t="str">
        <f>IFERROR(__xludf.DUMMYFUNCTION("""COMPUTED_VALUE"""),"islam ma aurat ka muqam aur kirdar")</f>
        <v>islam ma aurat ka muqam aur kirdar</v>
      </c>
      <c r="X557" s="10">
        <f>IFERROR(__xludf.DUMMYFUNCTION("""COMPUTED_VALUE"""),0.0)</f>
        <v>0</v>
      </c>
      <c r="Y557" s="10">
        <f>IFERROR(__xludf.DUMMYFUNCTION("""COMPUTED_VALUE"""),4.0)</f>
        <v>4</v>
      </c>
      <c r="Z557" s="10">
        <f>IFERROR(__xludf.DUMMYFUNCTION("""COMPUTED_VALUE"""),3.0)</f>
        <v>3</v>
      </c>
      <c r="AA557" s="10">
        <f>IFERROR(__xludf.DUMMYFUNCTION("""COMPUTED_VALUE"""),9.0)</f>
        <v>9</v>
      </c>
      <c r="AB557" s="10">
        <f>IFERROR(__xludf.DUMMYFUNCTION("""COMPUTED_VALUE"""),0.0)</f>
        <v>0</v>
      </c>
      <c r="AC557" s="10">
        <f>IFERROR(__xludf.DUMMYFUNCTION("""COMPUTED_VALUE"""),0.0)</f>
        <v>0</v>
      </c>
      <c r="AD557" s="10">
        <f>IFERROR(__xludf.DUMMYFUNCTION("""COMPUTED_VALUE"""),1.0)</f>
        <v>1</v>
      </c>
      <c r="AE557" s="10">
        <f>IFERROR(__xludf.DUMMYFUNCTION("""COMPUTED_VALUE"""),0.0)</f>
        <v>0</v>
      </c>
      <c r="AF557" s="10">
        <f>IFERROR(__xludf.DUMMYFUNCTION("""COMPUTED_VALUE"""),0.0)</f>
        <v>0</v>
      </c>
      <c r="AG557" s="10">
        <f>IFERROR(__xludf.DUMMYFUNCTION("""COMPUTED_VALUE"""),9.0)</f>
        <v>9</v>
      </c>
      <c r="AH557" s="10">
        <f>IFERROR(__xludf.DUMMYFUNCTION("""COMPUTED_VALUE"""),1.0)</f>
        <v>1</v>
      </c>
      <c r="AI557" s="10">
        <f>IFERROR(__xludf.DUMMYFUNCTION("""COMPUTED_VALUE"""),10.0)</f>
        <v>10</v>
      </c>
      <c r="AJ557" s="11" t="str">
        <f>IFERROR(__xludf.DUMMYFUNCTION("""COMPUTED_VALUE"""),"https://drive.google.com/open?id=1-8q4KR0654RmunPFTUck74oy0wS-Dd0i")</f>
        <v>https://drive.google.com/open?id=1-8q4KR0654RmunPFTUck74oy0wS-Dd0i</v>
      </c>
      <c r="AK557" s="12"/>
      <c r="AL557" s="12" t="str">
        <f>IFERROR(__xludf.DUMMYFUNCTION("""COMPUTED_VALUE"""),"Yes")</f>
        <v>Yes</v>
      </c>
      <c r="AM557" s="15">
        <f>IFERROR(__xludf.DUMMYFUNCTION("""COMPUTED_VALUE"""),0.8)</f>
        <v>0.8</v>
      </c>
      <c r="AN557" s="12" t="str">
        <f>IFERROR(__xludf.DUMMYFUNCTION("""COMPUTED_VALUE"""),"2nd week")</f>
        <v>2nd week</v>
      </c>
      <c r="AO557" s="13">
        <v>2.0</v>
      </c>
      <c r="AX557" s="17"/>
    </row>
    <row r="558">
      <c r="B558" s="9">
        <f>IFERROR(__xludf.DUMMYFUNCTION("""COMPUTED_VALUE"""),45892.15848362268)</f>
        <v>45892.15848</v>
      </c>
      <c r="C558" s="10" t="str">
        <f>IFERROR(__xludf.DUMMYFUNCTION("""COMPUTED_VALUE"""),"Asma Gul ")</f>
        <v>Asma Gul </v>
      </c>
      <c r="D558" s="10" t="str">
        <f>IFERROR(__xludf.DUMMYFUNCTION("""COMPUTED_VALUE"""),"03459308620")</f>
        <v>03459308620</v>
      </c>
      <c r="E558" s="10" t="str">
        <f>IFERROR(__xludf.DUMMYFUNCTION("""COMPUTED_VALUE"""),"Jamia Masjid Darbar Fazal Ul Din Laadala Och Shareef")</f>
        <v>Jamia Masjid Darbar Fazal Ul Din Laadala Och Shareef</v>
      </c>
      <c r="F558" s="10" t="str">
        <f>IFERROR(__xludf.DUMMYFUNCTION("""COMPUTED_VALUE"""),"pztqo")</f>
        <v>pztqo</v>
      </c>
      <c r="G558" s="10" t="str">
        <f>IFERROR(__xludf.DUMMYFUNCTION("""COMPUTED_VALUE"""),"Yes")</f>
        <v>Yes</v>
      </c>
      <c r="H558" s="10">
        <f>IFERROR(__xludf.DUMMYFUNCTION("""COMPUTED_VALUE"""),10.0)</f>
        <v>10</v>
      </c>
      <c r="I558" s="10">
        <f>IFERROR(__xludf.DUMMYFUNCTION("""COMPUTED_VALUE"""),0.0)</f>
        <v>0</v>
      </c>
      <c r="J558" s="10">
        <f>IFERROR(__xludf.DUMMYFUNCTION("""COMPUTED_VALUE"""),10.0)</f>
        <v>10</v>
      </c>
      <c r="K558" s="10">
        <f>IFERROR(__xludf.DUMMYFUNCTION("""COMPUTED_VALUE"""),10.0)</f>
        <v>10</v>
      </c>
      <c r="L558" s="10">
        <f>IFERROR(__xludf.DUMMYFUNCTION("""COMPUTED_VALUE"""),2.0)</f>
        <v>2</v>
      </c>
      <c r="M558" s="10">
        <f>IFERROR(__xludf.DUMMYFUNCTION("""COMPUTED_VALUE"""),10.0)</f>
        <v>10</v>
      </c>
      <c r="N558" s="10">
        <f>IFERROR(__xludf.DUMMYFUNCTION("""COMPUTED_VALUE"""),0.0)</f>
        <v>0</v>
      </c>
      <c r="O558" s="10">
        <f>IFERROR(__xludf.DUMMYFUNCTION("""COMPUTED_VALUE"""),10.0)</f>
        <v>10</v>
      </c>
      <c r="P558" s="10">
        <f>IFERROR(__xludf.DUMMYFUNCTION("""COMPUTED_VALUE"""),0.0)</f>
        <v>0</v>
      </c>
      <c r="Q558" s="10" t="str">
        <f>IFERROR(__xludf.DUMMYFUNCTION("""COMPUTED_VALUE"""),"Yes")</f>
        <v>Yes</v>
      </c>
      <c r="R558" s="10" t="str">
        <f>IFERROR(__xludf.DUMMYFUNCTION("""COMPUTED_VALUE"""),"No")</f>
        <v>No</v>
      </c>
      <c r="S558" s="10" t="str">
        <f>IFERROR(__xludf.DUMMYFUNCTION("""COMPUTED_VALUE"""),"Yes")</f>
        <v>Yes</v>
      </c>
      <c r="T558" s="10">
        <f>IFERROR(__xludf.DUMMYFUNCTION("""COMPUTED_VALUE"""),0.0)</f>
        <v>0</v>
      </c>
      <c r="U558" s="10">
        <f>IFERROR(__xludf.DUMMYFUNCTION("""COMPUTED_VALUE"""),0.0)</f>
        <v>0</v>
      </c>
      <c r="V558" s="10" t="str">
        <f>IFERROR(__xludf.DUMMYFUNCTION("""COMPUTED_VALUE"""),"عورتوں کے حقوق قران و حدیث کی روشنی میں")</f>
        <v>عورتوں کے حقوق قران و حدیث کی روشنی میں</v>
      </c>
      <c r="W558" s="10" t="str">
        <f>IFERROR(__xludf.DUMMYFUNCTION("""COMPUTED_VALUE"""),"اس خطبے میں امام نے خواتین کے حقوق کو تفصیل سے بیان کیا ہے اور اسلامی واقعات جن میں حضرت محمد صلی اللہ علیہ وسلم کا حضرت شیما کے ساتھ اچھا سلوک کا ذکر کیا ہے اور خواتین کو وراثت میں حق دینے پر غور کیا ہے ان کو تعلیم و تربیت کے میدان میں بھی اگے بڑھنے پر ح"&amp;"وصلہ افزائی کی ہے۔")</f>
        <v>اس خطبے میں امام نے خواتین کے حقوق کو تفصیل سے بیان کیا ہے اور اسلامی واقعات جن میں حضرت محمد صلی اللہ علیہ وسلم کا حضرت شیما کے ساتھ اچھا سلوک کا ذکر کیا ہے اور خواتین کو وراثت میں حق دینے پر غور کیا ہے ان کو تعلیم و تربیت کے میدان میں بھی اگے بڑھنے پر حوصلہ افزائی کی ہے۔</v>
      </c>
      <c r="X558" s="10">
        <f>IFERROR(__xludf.DUMMYFUNCTION("""COMPUTED_VALUE"""),3.0)</f>
        <v>3</v>
      </c>
      <c r="Y558" s="10">
        <f>IFERROR(__xludf.DUMMYFUNCTION("""COMPUTED_VALUE"""),10.0)</f>
        <v>10</v>
      </c>
      <c r="Z558" s="10">
        <f>IFERROR(__xludf.DUMMYFUNCTION("""COMPUTED_VALUE"""),10.0)</f>
        <v>10</v>
      </c>
      <c r="AA558" s="10">
        <f>IFERROR(__xludf.DUMMYFUNCTION("""COMPUTED_VALUE"""),10.0)</f>
        <v>10</v>
      </c>
      <c r="AB558" s="10">
        <f>IFERROR(__xludf.DUMMYFUNCTION("""COMPUTED_VALUE"""),10.0)</f>
        <v>10</v>
      </c>
      <c r="AC558" s="10">
        <f>IFERROR(__xludf.DUMMYFUNCTION("""COMPUTED_VALUE"""),0.0)</f>
        <v>0</v>
      </c>
      <c r="AD558" s="10">
        <f>IFERROR(__xludf.DUMMYFUNCTION("""COMPUTED_VALUE"""),8.0)</f>
        <v>8</v>
      </c>
      <c r="AE558" s="10">
        <f>IFERROR(__xludf.DUMMYFUNCTION("""COMPUTED_VALUE"""),7.0)</f>
        <v>7</v>
      </c>
      <c r="AF558" s="10">
        <f>IFERROR(__xludf.DUMMYFUNCTION("""COMPUTED_VALUE"""),0.0)</f>
        <v>0</v>
      </c>
      <c r="AG558" s="10">
        <f>IFERROR(__xludf.DUMMYFUNCTION("""COMPUTED_VALUE"""),10.0)</f>
        <v>10</v>
      </c>
      <c r="AH558" s="10">
        <f>IFERROR(__xludf.DUMMYFUNCTION("""COMPUTED_VALUE"""),0.0)</f>
        <v>0</v>
      </c>
      <c r="AI558" s="10">
        <f>IFERROR(__xludf.DUMMYFUNCTION("""COMPUTED_VALUE"""),10.0)</f>
        <v>10</v>
      </c>
      <c r="AJ558" s="11" t="str">
        <f>IFERROR(__xludf.DUMMYFUNCTION("""COMPUTED_VALUE"""),"https://drive.google.com/open?id=1q8Hmw2tNaI6ww54BX73n2Yd_JfRnRXxzkrHJ5BJ27l4")</f>
        <v>https://drive.google.com/open?id=1q8Hmw2tNaI6ww54BX73n2Yd_JfRnRXxzkrHJ5BJ27l4</v>
      </c>
      <c r="AK558" s="12"/>
      <c r="AL558" s="12" t="str">
        <f>IFERROR(__xludf.DUMMYFUNCTION("""COMPUTED_VALUE"""),"Yes")</f>
        <v>Yes</v>
      </c>
      <c r="AM558" s="15">
        <f>IFERROR(__xludf.DUMMYFUNCTION("""COMPUTED_VALUE"""),1.0)</f>
        <v>1</v>
      </c>
      <c r="AN558" s="12" t="str">
        <f>IFERROR(__xludf.DUMMYFUNCTION("""COMPUTED_VALUE"""),"1st week")</f>
        <v>1st week</v>
      </c>
      <c r="AO558" s="13">
        <v>1.0</v>
      </c>
      <c r="AX558" s="17"/>
    </row>
    <row r="559">
      <c r="B559" s="9">
        <f>IFERROR(__xludf.DUMMYFUNCTION("""COMPUTED_VALUE"""),45892.17193298611)</f>
        <v>45892.17193</v>
      </c>
      <c r="C559" s="10" t="str">
        <f>IFERROR(__xludf.DUMMYFUNCTION("""COMPUTED_VALUE"""),"Shahid iqbal")</f>
        <v>Shahid iqbal</v>
      </c>
      <c r="D559" s="10" t="str">
        <f>IFERROR(__xludf.DUMMYFUNCTION("""COMPUTED_VALUE"""),"03013665049")</f>
        <v>03013665049</v>
      </c>
      <c r="E559" s="10" t="str">
        <f>IFERROR(__xludf.DUMMYFUNCTION("""COMPUTED_VALUE"""),"Jamia Masjid Darbar Abdul Wahaab Shah Bukhari Dera Deen Pnah, Kot Addu")</f>
        <v>Jamia Masjid Darbar Abdul Wahaab Shah Bukhari Dera Deen Pnah, Kot Addu</v>
      </c>
      <c r="F559" s="10" t="str">
        <f>IFERROR(__xludf.DUMMYFUNCTION("""COMPUTED_VALUE"""),"uxump")</f>
        <v>uxump</v>
      </c>
      <c r="G559" s="10" t="str">
        <f>IFERROR(__xludf.DUMMYFUNCTION("""COMPUTED_VALUE"""),"Yes")</f>
        <v>Yes</v>
      </c>
      <c r="H559" s="10">
        <f>IFERROR(__xludf.DUMMYFUNCTION("""COMPUTED_VALUE"""),8.0)</f>
        <v>8</v>
      </c>
      <c r="I559" s="10">
        <f>IFERROR(__xludf.DUMMYFUNCTION("""COMPUTED_VALUE"""),2.0)</f>
        <v>2</v>
      </c>
      <c r="J559" s="10">
        <f>IFERROR(__xludf.DUMMYFUNCTION("""COMPUTED_VALUE"""),9.0)</f>
        <v>9</v>
      </c>
      <c r="K559" s="10">
        <f>IFERROR(__xludf.DUMMYFUNCTION("""COMPUTED_VALUE"""),0.0)</f>
        <v>0</v>
      </c>
      <c r="L559" s="10">
        <f>IFERROR(__xludf.DUMMYFUNCTION("""COMPUTED_VALUE"""),10.0)</f>
        <v>10</v>
      </c>
      <c r="M559" s="10">
        <f>IFERROR(__xludf.DUMMYFUNCTION("""COMPUTED_VALUE"""),0.0)</f>
        <v>0</v>
      </c>
      <c r="N559" s="10">
        <f>IFERROR(__xludf.DUMMYFUNCTION("""COMPUTED_VALUE"""),10.0)</f>
        <v>10</v>
      </c>
      <c r="O559" s="10">
        <f>IFERROR(__xludf.DUMMYFUNCTION("""COMPUTED_VALUE"""),0.0)</f>
        <v>0</v>
      </c>
      <c r="P559" s="10">
        <f>IFERROR(__xludf.DUMMYFUNCTION("""COMPUTED_VALUE"""),8.0)</f>
        <v>8</v>
      </c>
      <c r="Q559" s="10" t="str">
        <f>IFERROR(__xludf.DUMMYFUNCTION("""COMPUTED_VALUE"""),"No")</f>
        <v>No</v>
      </c>
      <c r="R559" s="10" t="str">
        <f>IFERROR(__xludf.DUMMYFUNCTION("""COMPUTED_VALUE"""),"Yes")</f>
        <v>Yes</v>
      </c>
      <c r="S559" s="10" t="str">
        <f>IFERROR(__xludf.DUMMYFUNCTION("""COMPUTED_VALUE"""),"No")</f>
        <v>No</v>
      </c>
      <c r="T559" s="10">
        <f>IFERROR(__xludf.DUMMYFUNCTION("""COMPUTED_VALUE"""),0.0)</f>
        <v>0</v>
      </c>
      <c r="U559" s="10">
        <f>IFERROR(__xludf.DUMMYFUNCTION("""COMPUTED_VALUE"""),0.0)</f>
        <v>0</v>
      </c>
      <c r="V559" s="10" t="str">
        <f>IFERROR(__xludf.DUMMYFUNCTION("""COMPUTED_VALUE"""),"Hamsaiyon K Haqooq")</f>
        <v>Hamsaiyon K Haqooq</v>
      </c>
      <c r="W559" s="10" t="str">
        <f>IFERROR(__xludf.DUMMYFUNCTION("""COMPUTED_VALUE"""),"Hamsaiyon K Haqooq aur zimadarian ")</f>
        <v>Hamsaiyon K Haqooq aur zimadarian </v>
      </c>
      <c r="X559" s="10">
        <f>IFERROR(__xludf.DUMMYFUNCTION("""COMPUTED_VALUE"""),0.0)</f>
        <v>0</v>
      </c>
      <c r="Y559" s="10">
        <f>IFERROR(__xludf.DUMMYFUNCTION("""COMPUTED_VALUE"""),7.0)</f>
        <v>7</v>
      </c>
      <c r="Z559" s="10">
        <f>IFERROR(__xludf.DUMMYFUNCTION("""COMPUTED_VALUE"""),8.0)</f>
        <v>8</v>
      </c>
      <c r="AA559" s="10">
        <f>IFERROR(__xludf.DUMMYFUNCTION("""COMPUTED_VALUE"""),9.0)</f>
        <v>9</v>
      </c>
      <c r="AB559" s="10">
        <f>IFERROR(__xludf.DUMMYFUNCTION("""COMPUTED_VALUE"""),1.0)</f>
        <v>1</v>
      </c>
      <c r="AC559" s="10">
        <f>IFERROR(__xludf.DUMMYFUNCTION("""COMPUTED_VALUE"""),0.0)</f>
        <v>0</v>
      </c>
      <c r="AD559" s="10">
        <f>IFERROR(__xludf.DUMMYFUNCTION("""COMPUTED_VALUE"""),0.0)</f>
        <v>0</v>
      </c>
      <c r="AE559" s="10">
        <f>IFERROR(__xludf.DUMMYFUNCTION("""COMPUTED_VALUE"""),0.0)</f>
        <v>0</v>
      </c>
      <c r="AF559" s="10">
        <f>IFERROR(__xludf.DUMMYFUNCTION("""COMPUTED_VALUE"""),0.0)</f>
        <v>0</v>
      </c>
      <c r="AG559" s="10">
        <f>IFERROR(__xludf.DUMMYFUNCTION("""COMPUTED_VALUE"""),8.0)</f>
        <v>8</v>
      </c>
      <c r="AH559" s="10">
        <f>IFERROR(__xludf.DUMMYFUNCTION("""COMPUTED_VALUE"""),0.0)</f>
        <v>0</v>
      </c>
      <c r="AI559" s="10">
        <f>IFERROR(__xludf.DUMMYFUNCTION("""COMPUTED_VALUE"""),9.0)</f>
        <v>9</v>
      </c>
      <c r="AJ559" s="11" t="str">
        <f>IFERROR(__xludf.DUMMYFUNCTION("""COMPUTED_VALUE"""),"https://drive.google.com/open?id=1s6QmyaN3J5vP-IcKD42q-pMDzRz-4yjW")</f>
        <v>https://drive.google.com/open?id=1s6QmyaN3J5vP-IcKD42q-pMDzRz-4yjW</v>
      </c>
      <c r="AK559" s="12"/>
      <c r="AL559" s="12" t="str">
        <f>IFERROR(__xludf.DUMMYFUNCTION("""COMPUTED_VALUE"""),"Yes")</f>
        <v>Yes</v>
      </c>
      <c r="AM559" s="15">
        <f>IFERROR(__xludf.DUMMYFUNCTION("""COMPUTED_VALUE"""),0.8)</f>
        <v>0.8</v>
      </c>
      <c r="AN559" s="12" t="str">
        <f>IFERROR(__xludf.DUMMYFUNCTION("""COMPUTED_VALUE"""),"2nd week")</f>
        <v>2nd week</v>
      </c>
      <c r="AO559" s="13">
        <v>2.0</v>
      </c>
      <c r="AX559" s="17"/>
    </row>
    <row r="560">
      <c r="B560" s="9">
        <f>IFERROR(__xludf.DUMMYFUNCTION("""COMPUTED_VALUE"""),45892.17589372685)</f>
        <v>45892.17589</v>
      </c>
      <c r="C560" s="10" t="str">
        <f>IFERROR(__xludf.DUMMYFUNCTION("""COMPUTED_VALUE"""),"ہاجرہ سلطان")</f>
        <v>ہاجرہ سلطان</v>
      </c>
      <c r="D560" s="10" t="str">
        <f>IFERROR(__xludf.DUMMYFUNCTION("""COMPUTED_VALUE"""),"03095163638")</f>
        <v>03095163638</v>
      </c>
      <c r="E560" s="10" t="str">
        <f>IFERROR(__xludf.DUMMYFUNCTION("""COMPUTED_VALUE"""),"Jamia Masjid Baba Taj Ul Din Sarwar Chasti")</f>
        <v>Jamia Masjid Baba Taj Ul Din Sarwar Chasti</v>
      </c>
      <c r="F560" s="10" t="str">
        <f>IFERROR(__xludf.DUMMYFUNCTION("""COMPUTED_VALUE"""),"uvkdx")</f>
        <v>uvkdx</v>
      </c>
      <c r="G560" s="10" t="str">
        <f>IFERROR(__xludf.DUMMYFUNCTION("""COMPUTED_VALUE"""),"Yes")</f>
        <v>Yes</v>
      </c>
      <c r="H560" s="10">
        <f>IFERROR(__xludf.DUMMYFUNCTION("""COMPUTED_VALUE"""),10.0)</f>
        <v>10</v>
      </c>
      <c r="I560" s="10">
        <f>IFERROR(__xludf.DUMMYFUNCTION("""COMPUTED_VALUE"""),2.0)</f>
        <v>2</v>
      </c>
      <c r="J560" s="10">
        <f>IFERROR(__xludf.DUMMYFUNCTION("""COMPUTED_VALUE"""),9.0)</f>
        <v>9</v>
      </c>
      <c r="K560" s="10">
        <f>IFERROR(__xludf.DUMMYFUNCTION("""COMPUTED_VALUE"""),10.0)</f>
        <v>10</v>
      </c>
      <c r="L560" s="10">
        <f>IFERROR(__xludf.DUMMYFUNCTION("""COMPUTED_VALUE"""),5.0)</f>
        <v>5</v>
      </c>
      <c r="M560" s="10">
        <f>IFERROR(__xludf.DUMMYFUNCTION("""COMPUTED_VALUE"""),5.0)</f>
        <v>5</v>
      </c>
      <c r="N560" s="10">
        <f>IFERROR(__xludf.DUMMYFUNCTION("""COMPUTED_VALUE"""),3.0)</f>
        <v>3</v>
      </c>
      <c r="O560" s="10">
        <f>IFERROR(__xludf.DUMMYFUNCTION("""COMPUTED_VALUE"""),8.0)</f>
        <v>8</v>
      </c>
      <c r="P560" s="10">
        <f>IFERROR(__xludf.DUMMYFUNCTION("""COMPUTED_VALUE"""),3.0)</f>
        <v>3</v>
      </c>
      <c r="Q560" s="10" t="str">
        <f>IFERROR(__xludf.DUMMYFUNCTION("""COMPUTED_VALUE"""),"Yes")</f>
        <v>Yes</v>
      </c>
      <c r="R560" s="10" t="str">
        <f>IFERROR(__xludf.DUMMYFUNCTION("""COMPUTED_VALUE"""),"No")</f>
        <v>No</v>
      </c>
      <c r="S560" s="10" t="str">
        <f>IFERROR(__xludf.DUMMYFUNCTION("""COMPUTED_VALUE"""),"Yes")</f>
        <v>Yes</v>
      </c>
      <c r="T560" s="10">
        <f>IFERROR(__xludf.DUMMYFUNCTION("""COMPUTED_VALUE"""),9.0)</f>
        <v>9</v>
      </c>
      <c r="U560" s="10">
        <f>IFERROR(__xludf.DUMMYFUNCTION("""COMPUTED_VALUE"""),0.0)</f>
        <v>0</v>
      </c>
      <c r="V560" s="10" t="str">
        <f>IFERROR(__xludf.DUMMYFUNCTION("""COMPUTED_VALUE"""),"عورتوں کے حقوق")</f>
        <v>عورتوں کے حقوق</v>
      </c>
      <c r="W560" s="10" t="str">
        <f>IFERROR(__xludf.DUMMYFUNCTION("""COMPUTED_VALUE"""),"اس میں عورتوں کے حقوق کے بارے میں بیان کیا گیا ہے اور اللہ تبارک و تعالی نے ارشاد فرمایا ہے کہ عورتوں کے حقوق بہت زیادہ ہیں اور ان کے حقوق کو اچھی طرح ادا کرو اور ان کے ساتھ اچھی طرح پیش اؤ اور اللہ تبارک و تعالی نے عورتوں کو بہت بڑا مقام دیا ہے ان کو عزت"&amp;" اور عظمت عطا کی ہے دین اسلام میں عورت کے حقوق پر بہت زور دیا گیا ہے")</f>
        <v>اس میں عورتوں کے حقوق کے بارے میں بیان کیا گیا ہے اور اللہ تبارک و تعالی نے ارشاد فرمایا ہے کہ عورتوں کے حقوق بہت زیادہ ہیں اور ان کے حقوق کو اچھی طرح ادا کرو اور ان کے ساتھ اچھی طرح پیش اؤ اور اللہ تبارک و تعالی نے عورتوں کو بہت بڑا مقام دیا ہے ان کو عزت اور عظمت عطا کی ہے دین اسلام میں عورت کے حقوق پر بہت زور دیا گیا ہے</v>
      </c>
      <c r="X560" s="10">
        <f>IFERROR(__xludf.DUMMYFUNCTION("""COMPUTED_VALUE"""),5.0)</f>
        <v>5</v>
      </c>
      <c r="Y560" s="10">
        <f>IFERROR(__xludf.DUMMYFUNCTION("""COMPUTED_VALUE"""),7.0)</f>
        <v>7</v>
      </c>
      <c r="Z560" s="10">
        <f>IFERROR(__xludf.DUMMYFUNCTION("""COMPUTED_VALUE"""),4.0)</f>
        <v>4</v>
      </c>
      <c r="AA560" s="10">
        <f>IFERROR(__xludf.DUMMYFUNCTION("""COMPUTED_VALUE"""),10.0)</f>
        <v>10</v>
      </c>
      <c r="AB560" s="10">
        <f>IFERROR(__xludf.DUMMYFUNCTION("""COMPUTED_VALUE"""),6.0)</f>
        <v>6</v>
      </c>
      <c r="AC560" s="10">
        <f>IFERROR(__xludf.DUMMYFUNCTION("""COMPUTED_VALUE"""),1.0)</f>
        <v>1</v>
      </c>
      <c r="AD560" s="10">
        <f>IFERROR(__xludf.DUMMYFUNCTION("""COMPUTED_VALUE"""),1.0)</f>
        <v>1</v>
      </c>
      <c r="AE560" s="10">
        <f>IFERROR(__xludf.DUMMYFUNCTION("""COMPUTED_VALUE"""),0.0)</f>
        <v>0</v>
      </c>
      <c r="AF560" s="10">
        <f>IFERROR(__xludf.DUMMYFUNCTION("""COMPUTED_VALUE"""),10.0)</f>
        <v>10</v>
      </c>
      <c r="AG560" s="10">
        <f>IFERROR(__xludf.DUMMYFUNCTION("""COMPUTED_VALUE"""),10.0)</f>
        <v>10</v>
      </c>
      <c r="AH560" s="10">
        <f>IFERROR(__xludf.DUMMYFUNCTION("""COMPUTED_VALUE"""),0.0)</f>
        <v>0</v>
      </c>
      <c r="AI560" s="10">
        <f>IFERROR(__xludf.DUMMYFUNCTION("""COMPUTED_VALUE"""),10.0)</f>
        <v>10</v>
      </c>
      <c r="AJ560" s="11" t="str">
        <f>IFERROR(__xludf.DUMMYFUNCTION("""COMPUTED_VALUE"""),"https://drive.google.com/open?id=1loB4iqMgTtD_0lLOimq9N499FZLlmqVe")</f>
        <v>https://drive.google.com/open?id=1loB4iqMgTtD_0lLOimq9N499FZLlmqVe</v>
      </c>
      <c r="AK560" s="12"/>
      <c r="AL560" s="12" t="str">
        <f>IFERROR(__xludf.DUMMYFUNCTION("""COMPUTED_VALUE"""),"Yes")</f>
        <v>Yes</v>
      </c>
      <c r="AM560" s="15">
        <f>IFERROR(__xludf.DUMMYFUNCTION("""COMPUTED_VALUE"""),1.0)</f>
        <v>1</v>
      </c>
      <c r="AN560" s="12" t="str">
        <f>IFERROR(__xludf.DUMMYFUNCTION("""COMPUTED_VALUE"""),"2nd week")</f>
        <v>2nd week</v>
      </c>
      <c r="AO560" s="13">
        <v>2.0</v>
      </c>
      <c r="AX560" s="17"/>
    </row>
    <row r="561">
      <c r="B561" s="9">
        <f>IFERROR(__xludf.DUMMYFUNCTION("""COMPUTED_VALUE"""),45892.1793208912)</f>
        <v>45892.17932</v>
      </c>
      <c r="C561" s="10" t="str">
        <f>IFERROR(__xludf.DUMMYFUNCTION("""COMPUTED_VALUE"""),"Shahid iqbal")</f>
        <v>Shahid iqbal</v>
      </c>
      <c r="D561" s="10" t="str">
        <f>IFERROR(__xludf.DUMMYFUNCTION("""COMPUTED_VALUE"""),"03013665049")</f>
        <v>03013665049</v>
      </c>
      <c r="E561" s="10" t="str">
        <f>IFERROR(__xludf.DUMMYFUNCTION("""COMPUTED_VALUE"""),"Jamia Masjid DarkhanWali Multan")</f>
        <v>Jamia Masjid DarkhanWali Multan</v>
      </c>
      <c r="F561" s="10" t="str">
        <f>IFERROR(__xludf.DUMMYFUNCTION("""COMPUTED_VALUE"""),"vqubm")</f>
        <v>vqubm</v>
      </c>
      <c r="G561" s="10" t="str">
        <f>IFERROR(__xludf.DUMMYFUNCTION("""COMPUTED_VALUE"""),"Yes")</f>
        <v>Yes</v>
      </c>
      <c r="H561" s="10">
        <f>IFERROR(__xludf.DUMMYFUNCTION("""COMPUTED_VALUE"""),10.0)</f>
        <v>10</v>
      </c>
      <c r="I561" s="10">
        <f>IFERROR(__xludf.DUMMYFUNCTION("""COMPUTED_VALUE"""),0.0)</f>
        <v>0</v>
      </c>
      <c r="J561" s="10">
        <f>IFERROR(__xludf.DUMMYFUNCTION("""COMPUTED_VALUE"""),10.0)</f>
        <v>10</v>
      </c>
      <c r="K561" s="10">
        <f>IFERROR(__xludf.DUMMYFUNCTION("""COMPUTED_VALUE"""),10.0)</f>
        <v>10</v>
      </c>
      <c r="L561" s="10">
        <f>IFERROR(__xludf.DUMMYFUNCTION("""COMPUTED_VALUE"""),0.0)</f>
        <v>0</v>
      </c>
      <c r="M561" s="10">
        <f>IFERROR(__xludf.DUMMYFUNCTION("""COMPUTED_VALUE"""),10.0)</f>
        <v>10</v>
      </c>
      <c r="N561" s="10">
        <f>IFERROR(__xludf.DUMMYFUNCTION("""COMPUTED_VALUE"""),0.0)</f>
        <v>0</v>
      </c>
      <c r="O561" s="10">
        <f>IFERROR(__xludf.DUMMYFUNCTION("""COMPUTED_VALUE"""),10.0)</f>
        <v>10</v>
      </c>
      <c r="P561" s="10">
        <f>IFERROR(__xludf.DUMMYFUNCTION("""COMPUTED_VALUE"""),0.0)</f>
        <v>0</v>
      </c>
      <c r="Q561" s="10" t="str">
        <f>IFERROR(__xludf.DUMMYFUNCTION("""COMPUTED_VALUE"""),"Yes")</f>
        <v>Yes</v>
      </c>
      <c r="R561" s="10" t="str">
        <f>IFERROR(__xludf.DUMMYFUNCTION("""COMPUTED_VALUE"""),"No")</f>
        <v>No</v>
      </c>
      <c r="S561" s="10" t="str">
        <f>IFERROR(__xludf.DUMMYFUNCTION("""COMPUTED_VALUE"""),"Yes")</f>
        <v>Yes</v>
      </c>
      <c r="T561" s="10">
        <f>IFERROR(__xludf.DUMMYFUNCTION("""COMPUTED_VALUE"""),0.0)</f>
        <v>0</v>
      </c>
      <c r="U561" s="10">
        <f>IFERROR(__xludf.DUMMYFUNCTION("""COMPUTED_VALUE"""),0.0)</f>
        <v>0</v>
      </c>
      <c r="V561" s="10" t="str">
        <f>IFERROR(__xludf.DUMMYFUNCTION("""COMPUTED_VALUE"""),"islam ma aurat ka muqam aur kirdaar")</f>
        <v>islam ma aurat ka muqam aur kirdaar</v>
      </c>
      <c r="W561" s="10" t="str">
        <f>IFERROR(__xludf.DUMMYFUNCTION("""COMPUTED_VALUE"""),"islam ma aurat ka muqam aur kirdaar")</f>
        <v>islam ma aurat ka muqam aur kirdaar</v>
      </c>
      <c r="X561" s="10">
        <f>IFERROR(__xludf.DUMMYFUNCTION("""COMPUTED_VALUE"""),1.0)</f>
        <v>1</v>
      </c>
      <c r="Y561" s="10">
        <f>IFERROR(__xludf.DUMMYFUNCTION("""COMPUTED_VALUE"""),3.0)</f>
        <v>3</v>
      </c>
      <c r="Z561" s="10">
        <f>IFERROR(__xludf.DUMMYFUNCTION("""COMPUTED_VALUE"""),4.0)</f>
        <v>4</v>
      </c>
      <c r="AA561" s="10">
        <f>IFERROR(__xludf.DUMMYFUNCTION("""COMPUTED_VALUE"""),9.0)</f>
        <v>9</v>
      </c>
      <c r="AB561" s="10">
        <f>IFERROR(__xludf.DUMMYFUNCTION("""COMPUTED_VALUE"""),0.0)</f>
        <v>0</v>
      </c>
      <c r="AC561" s="10">
        <f>IFERROR(__xludf.DUMMYFUNCTION("""COMPUTED_VALUE"""),0.0)</f>
        <v>0</v>
      </c>
      <c r="AD561" s="10">
        <f>IFERROR(__xludf.DUMMYFUNCTION("""COMPUTED_VALUE"""),0.0)</f>
        <v>0</v>
      </c>
      <c r="AE561" s="10">
        <f>IFERROR(__xludf.DUMMYFUNCTION("""COMPUTED_VALUE"""),0.0)</f>
        <v>0</v>
      </c>
      <c r="AF561" s="10">
        <f>IFERROR(__xludf.DUMMYFUNCTION("""COMPUTED_VALUE"""),0.0)</f>
        <v>0</v>
      </c>
      <c r="AG561" s="10">
        <f>IFERROR(__xludf.DUMMYFUNCTION("""COMPUTED_VALUE"""),9.0)</f>
        <v>9</v>
      </c>
      <c r="AH561" s="10">
        <f>IFERROR(__xludf.DUMMYFUNCTION("""COMPUTED_VALUE"""),0.0)</f>
        <v>0</v>
      </c>
      <c r="AI561" s="10">
        <f>IFERROR(__xludf.DUMMYFUNCTION("""COMPUTED_VALUE"""),10.0)</f>
        <v>10</v>
      </c>
      <c r="AJ561" s="11" t="str">
        <f>IFERROR(__xludf.DUMMYFUNCTION("""COMPUTED_VALUE"""),"https://drive.google.com/open?id=18kZt1DmIbSqB-LmkL79N9rEAYlOeYfpR")</f>
        <v>https://drive.google.com/open?id=18kZt1DmIbSqB-LmkL79N9rEAYlOeYfpR</v>
      </c>
      <c r="AK561" s="12"/>
      <c r="AL561" s="12" t="str">
        <f>IFERROR(__xludf.DUMMYFUNCTION("""COMPUTED_VALUE"""),"Yes")</f>
        <v>Yes</v>
      </c>
      <c r="AM561" s="15">
        <f>IFERROR(__xludf.DUMMYFUNCTION("""COMPUTED_VALUE"""),1.0)</f>
        <v>1</v>
      </c>
      <c r="AN561" s="12" t="str">
        <f>IFERROR(__xludf.DUMMYFUNCTION("""COMPUTED_VALUE"""),"2nd week")</f>
        <v>2nd week</v>
      </c>
      <c r="AO561" s="13">
        <v>2.0</v>
      </c>
      <c r="AX561" s="17"/>
    </row>
    <row r="562">
      <c r="B562" s="9">
        <f>IFERROR(__xludf.DUMMYFUNCTION("""COMPUTED_VALUE"""),45892.18239483796)</f>
        <v>45892.18239</v>
      </c>
      <c r="C562" s="10" t="str">
        <f>IFERROR(__xludf.DUMMYFUNCTION("""COMPUTED_VALUE"""),"Hajra Sultan")</f>
        <v>Hajra Sultan</v>
      </c>
      <c r="D562" s="10" t="str">
        <f>IFERROR(__xludf.DUMMYFUNCTION("""COMPUTED_VALUE"""),"03095163638")</f>
        <v>03095163638</v>
      </c>
      <c r="E562" s="10" t="str">
        <f>IFERROR(__xludf.DUMMYFUNCTION("""COMPUTED_VALUE"""),"Jamia Masjid Darbar Laal Ehsan (Ahle Sunnat )")</f>
        <v>Jamia Masjid Darbar Laal Ehsan (Ahle Sunnat )</v>
      </c>
      <c r="F562" s="10" t="str">
        <f>IFERROR(__xludf.DUMMYFUNCTION("""COMPUTED_VALUE"""),"lyoix")</f>
        <v>lyoix</v>
      </c>
      <c r="G562" s="10" t="str">
        <f>IFERROR(__xludf.DUMMYFUNCTION("""COMPUTED_VALUE"""),"Yes")</f>
        <v>Yes</v>
      </c>
      <c r="H562" s="10">
        <f>IFERROR(__xludf.DUMMYFUNCTION("""COMPUTED_VALUE"""),0.0)</f>
        <v>0</v>
      </c>
      <c r="I562" s="10">
        <f>IFERROR(__xludf.DUMMYFUNCTION("""COMPUTED_VALUE"""),10.0)</f>
        <v>10</v>
      </c>
      <c r="J562" s="10">
        <f>IFERROR(__xludf.DUMMYFUNCTION("""COMPUTED_VALUE"""),0.0)</f>
        <v>0</v>
      </c>
      <c r="K562" s="10">
        <f>IFERROR(__xludf.DUMMYFUNCTION("""COMPUTED_VALUE"""),0.0)</f>
        <v>0</v>
      </c>
      <c r="L562" s="10">
        <f>IFERROR(__xludf.DUMMYFUNCTION("""COMPUTED_VALUE"""),0.0)</f>
        <v>0</v>
      </c>
      <c r="M562" s="10">
        <f>IFERROR(__xludf.DUMMYFUNCTION("""COMPUTED_VALUE"""),0.0)</f>
        <v>0</v>
      </c>
      <c r="N562" s="10">
        <f>IFERROR(__xludf.DUMMYFUNCTION("""COMPUTED_VALUE"""),0.0)</f>
        <v>0</v>
      </c>
      <c r="O562" s="10">
        <f>IFERROR(__xludf.DUMMYFUNCTION("""COMPUTED_VALUE"""),0.0)</f>
        <v>0</v>
      </c>
      <c r="P562" s="10">
        <f>IFERROR(__xludf.DUMMYFUNCTION("""COMPUTED_VALUE"""),1.0)</f>
        <v>1</v>
      </c>
      <c r="Q562" s="10" t="str">
        <f>IFERROR(__xludf.DUMMYFUNCTION("""COMPUTED_VALUE"""),"No")</f>
        <v>No</v>
      </c>
      <c r="R562" s="10" t="str">
        <f>IFERROR(__xludf.DUMMYFUNCTION("""COMPUTED_VALUE"""),"No")</f>
        <v>No</v>
      </c>
      <c r="S562" s="10" t="str">
        <f>IFERROR(__xludf.DUMMYFUNCTION("""COMPUTED_VALUE"""),"No")</f>
        <v>No</v>
      </c>
      <c r="T562" s="10">
        <f>IFERROR(__xludf.DUMMYFUNCTION("""COMPUTED_VALUE"""),0.0)</f>
        <v>0</v>
      </c>
      <c r="U562" s="10">
        <f>IFERROR(__xludf.DUMMYFUNCTION("""COMPUTED_VALUE"""),1.0)</f>
        <v>1</v>
      </c>
      <c r="V562" s="10" t="str">
        <f>IFERROR(__xludf.DUMMYFUNCTION("""COMPUTED_VALUE"""),"صحابہ کرام کی خلافت اور ان کے کرامات اور اللہ تبارک و تعالی کا ڈر اور قرب")</f>
        <v>صحابہ کرام کی خلافت اور ان کے کرامات اور اللہ تبارک و تعالی کا ڈر اور قرب</v>
      </c>
      <c r="W562" s="10" t="str">
        <f>IFERROR(__xludf.DUMMYFUNCTION("""COMPUTED_VALUE"""),"اس میں اللہ تبارک و تعالی فرما رہے ہیں کہ میں نے صحابہ کرام کو خلافت اور کرامات عطا فرمائے ہیں اور اے ایمان والو تم اپنے دلوں میں اپنے رب کا خوف اور قرب رکھو جو اللہ تعالی کا قرب اپنے دلوں میں پیدا کرتا ہے اور اللہ تبارک و تعالی کی پاک ذات سے ڈرتا ہے اور "&amp;"اس کا خوف اس کے دل میں رہتا ہے تو اللہ تبارک و تعالی اس کو بہت زیادہ اجر عطا فرماتے ہیں اور جب بندہ کوئی خطا کرتا ہے اور خطا کار ہوتا ہے اور خطا کرنے کے بعد اپنے رب کی بارگاہ میں رجوع کرتا ہے اپنی خطا کی معافی مانگتا ہے تو اللہ تبارک و تعالی فرماتے ہیں کہ"&amp;" میں اس کو بہت زیادہ اجر عطا کروں گا جس کو دیکھ کر سید الملائکہ حضرت جبرائیل علیہ السلام فرماتے ہیں کہ کاش میں بھی انسان ہوتا اور مجھ سے خطا ہوتی اور اللہ تبارک و تعالی مجھے بھی اجر عطا فرماتے")</f>
        <v>اس میں اللہ تبارک و تعالی فرما رہے ہیں کہ میں نے صحابہ کرام کو خلافت اور کرامات عطا فرمائے ہیں اور اے ایمان والو تم اپنے دلوں میں اپنے رب کا خوف اور قرب رکھو جو اللہ تعالی کا قرب اپنے دلوں میں پیدا کرتا ہے اور اللہ تبارک و تعالی کی پاک ذات سے ڈرتا ہے اور اس کا خوف اس کے دل میں رہتا ہے تو اللہ تبارک و تعالی اس کو بہت زیادہ اجر عطا فرماتے ہیں اور جب بندہ کوئی خطا کرتا ہے اور خطا کار ہوتا ہے اور خطا کرنے کے بعد اپنے رب کی بارگاہ میں رجوع کرتا ہے اپنی خطا کی معافی مانگتا ہے تو اللہ تبارک و تعالی فرماتے ہیں کہ میں اس کو بہت زیادہ اجر عطا کروں گا جس کو دیکھ کر سید الملائکہ حضرت جبرائیل علیہ السلام فرماتے ہیں کہ کاش میں بھی انسان ہوتا اور مجھ سے خطا ہوتی اور اللہ تبارک و تعالی مجھے بھی اجر عطا فرماتے</v>
      </c>
      <c r="X562" s="10">
        <f>IFERROR(__xludf.DUMMYFUNCTION("""COMPUTED_VALUE"""),5.0)</f>
        <v>5</v>
      </c>
      <c r="Y562" s="10">
        <f>IFERROR(__xludf.DUMMYFUNCTION("""COMPUTED_VALUE"""),1.0)</f>
        <v>1</v>
      </c>
      <c r="Z562" s="10">
        <f>IFERROR(__xludf.DUMMYFUNCTION("""COMPUTED_VALUE"""),1.0)</f>
        <v>1</v>
      </c>
      <c r="AA562" s="10">
        <f>IFERROR(__xludf.DUMMYFUNCTION("""COMPUTED_VALUE"""),5.0)</f>
        <v>5</v>
      </c>
      <c r="AB562" s="10">
        <f>IFERROR(__xludf.DUMMYFUNCTION("""COMPUTED_VALUE"""),5.0)</f>
        <v>5</v>
      </c>
      <c r="AC562" s="10">
        <f>IFERROR(__xludf.DUMMYFUNCTION("""COMPUTED_VALUE"""),0.0)</f>
        <v>0</v>
      </c>
      <c r="AD562" s="10">
        <f>IFERROR(__xludf.DUMMYFUNCTION("""COMPUTED_VALUE"""),0.0)</f>
        <v>0</v>
      </c>
      <c r="AE562" s="10">
        <f>IFERROR(__xludf.DUMMYFUNCTION("""COMPUTED_VALUE"""),0.0)</f>
        <v>0</v>
      </c>
      <c r="AF562" s="10">
        <f>IFERROR(__xludf.DUMMYFUNCTION("""COMPUTED_VALUE"""),10.0)</f>
        <v>10</v>
      </c>
      <c r="AG562" s="10">
        <f>IFERROR(__xludf.DUMMYFUNCTION("""COMPUTED_VALUE"""),10.0)</f>
        <v>10</v>
      </c>
      <c r="AH562" s="10">
        <f>IFERROR(__xludf.DUMMYFUNCTION("""COMPUTED_VALUE"""),0.0)</f>
        <v>0</v>
      </c>
      <c r="AI562" s="10">
        <f>IFERROR(__xludf.DUMMYFUNCTION("""COMPUTED_VALUE"""),10.0)</f>
        <v>10</v>
      </c>
      <c r="AJ562" s="11" t="str">
        <f>IFERROR(__xludf.DUMMYFUNCTION("""COMPUTED_VALUE"""),"https://drive.google.com/open?id=13arCE15PPw-nq2BnEQyqJ6S7O6C6ab1x")</f>
        <v>https://drive.google.com/open?id=13arCE15PPw-nq2BnEQyqJ6S7O6C6ab1x</v>
      </c>
      <c r="AK562" s="12"/>
      <c r="AL562" s="12" t="str">
        <f>IFERROR(__xludf.DUMMYFUNCTION("""COMPUTED_VALUE"""),"Yes")</f>
        <v>Yes</v>
      </c>
      <c r="AM562" s="15">
        <f>IFERROR(__xludf.DUMMYFUNCTION("""COMPUTED_VALUE"""),0.0)</f>
        <v>0</v>
      </c>
      <c r="AN562" s="12" t="str">
        <f>IFERROR(__xludf.DUMMYFUNCTION("""COMPUTED_VALUE"""),"3rd week")</f>
        <v>3rd week</v>
      </c>
      <c r="AO562" s="13">
        <v>3.0</v>
      </c>
      <c r="AX562" s="17"/>
    </row>
    <row r="563">
      <c r="B563" s="9">
        <f>IFERROR(__xludf.DUMMYFUNCTION("""COMPUTED_VALUE"""),45892.18414334491)</f>
        <v>45892.18414</v>
      </c>
      <c r="C563" s="10" t="str">
        <f>IFERROR(__xludf.DUMMYFUNCTION("""COMPUTED_VALUE"""),"Shahid iqbal")</f>
        <v>Shahid iqbal</v>
      </c>
      <c r="D563" s="10" t="str">
        <f>IFERROR(__xludf.DUMMYFUNCTION("""COMPUTED_VALUE"""),"03013665049")</f>
        <v>03013665049</v>
      </c>
      <c r="E563" s="10" t="str">
        <f>IFERROR(__xludf.DUMMYFUNCTION("""COMPUTED_VALUE"""),"Jamia Masjid Khunagran wali Multan")</f>
        <v>Jamia Masjid Khunagran wali Multan</v>
      </c>
      <c r="F563" s="10" t="str">
        <f>IFERROR(__xludf.DUMMYFUNCTION("""COMPUTED_VALUE"""),"pgvos")</f>
        <v>pgvos</v>
      </c>
      <c r="G563" s="10" t="str">
        <f>IFERROR(__xludf.DUMMYFUNCTION("""COMPUTED_VALUE"""),"No")</f>
        <v>No</v>
      </c>
      <c r="H563" s="10"/>
      <c r="I563" s="10"/>
      <c r="J563" s="10"/>
      <c r="K563" s="10">
        <f>IFERROR(__xludf.DUMMYFUNCTION("""COMPUTED_VALUE"""),8.0)</f>
        <v>8</v>
      </c>
      <c r="L563" s="10">
        <f>IFERROR(__xludf.DUMMYFUNCTION("""COMPUTED_VALUE"""),0.0)</f>
        <v>0</v>
      </c>
      <c r="M563" s="10">
        <f>IFERROR(__xludf.DUMMYFUNCTION("""COMPUTED_VALUE"""),8.0)</f>
        <v>8</v>
      </c>
      <c r="N563" s="10">
        <f>IFERROR(__xludf.DUMMYFUNCTION("""COMPUTED_VALUE"""),0.0)</f>
        <v>0</v>
      </c>
      <c r="O563" s="10">
        <f>IFERROR(__xludf.DUMMYFUNCTION("""COMPUTED_VALUE"""),8.0)</f>
        <v>8</v>
      </c>
      <c r="P563" s="10">
        <f>IFERROR(__xludf.DUMMYFUNCTION("""COMPUTED_VALUE"""),0.0)</f>
        <v>0</v>
      </c>
      <c r="Q563" s="10" t="str">
        <f>IFERROR(__xludf.DUMMYFUNCTION("""COMPUTED_VALUE"""),"No")</f>
        <v>No</v>
      </c>
      <c r="R563" s="10" t="str">
        <f>IFERROR(__xludf.DUMMYFUNCTION("""COMPUTED_VALUE"""),"No")</f>
        <v>No</v>
      </c>
      <c r="S563" s="10" t="str">
        <f>IFERROR(__xludf.DUMMYFUNCTION("""COMPUTED_VALUE"""),"No")</f>
        <v>No</v>
      </c>
      <c r="T563" s="10">
        <f>IFERROR(__xludf.DUMMYFUNCTION("""COMPUTED_VALUE"""),0.0)</f>
        <v>0</v>
      </c>
      <c r="U563" s="10">
        <f>IFERROR(__xludf.DUMMYFUNCTION("""COMPUTED_VALUE"""),0.0)</f>
        <v>0</v>
      </c>
      <c r="V563" s="10" t="str">
        <f>IFERROR(__xludf.DUMMYFUNCTION("""COMPUTED_VALUE"""),"khawateeen k haqooq")</f>
        <v>khawateeen k haqooq</v>
      </c>
      <c r="W563" s="10" t="str">
        <f>IFERROR(__xludf.DUMMYFUNCTION("""COMPUTED_VALUE"""),"islam ma khawateeen k haqooq aur zimadarian")</f>
        <v>islam ma khawateeen k haqooq aur zimadarian</v>
      </c>
      <c r="X563" s="10">
        <f>IFERROR(__xludf.DUMMYFUNCTION("""COMPUTED_VALUE"""),1.0)</f>
        <v>1</v>
      </c>
      <c r="Y563" s="10">
        <f>IFERROR(__xludf.DUMMYFUNCTION("""COMPUTED_VALUE"""),6.0)</f>
        <v>6</v>
      </c>
      <c r="Z563" s="10">
        <f>IFERROR(__xludf.DUMMYFUNCTION("""COMPUTED_VALUE"""),6.0)</f>
        <v>6</v>
      </c>
      <c r="AA563" s="10">
        <f>IFERROR(__xludf.DUMMYFUNCTION("""COMPUTED_VALUE"""),8.0)</f>
        <v>8</v>
      </c>
      <c r="AB563" s="10">
        <f>IFERROR(__xludf.DUMMYFUNCTION("""COMPUTED_VALUE"""),4.0)</f>
        <v>4</v>
      </c>
      <c r="AC563" s="10">
        <f>IFERROR(__xludf.DUMMYFUNCTION("""COMPUTED_VALUE"""),1.0)</f>
        <v>1</v>
      </c>
      <c r="AD563" s="10">
        <f>IFERROR(__xludf.DUMMYFUNCTION("""COMPUTED_VALUE"""),1.0)</f>
        <v>1</v>
      </c>
      <c r="AE563" s="10">
        <f>IFERROR(__xludf.DUMMYFUNCTION("""COMPUTED_VALUE"""),0.0)</f>
        <v>0</v>
      </c>
      <c r="AF563" s="10">
        <f>IFERROR(__xludf.DUMMYFUNCTION("""COMPUTED_VALUE"""),0.0)</f>
        <v>0</v>
      </c>
      <c r="AG563" s="10">
        <f>IFERROR(__xludf.DUMMYFUNCTION("""COMPUTED_VALUE"""),9.0)</f>
        <v>9</v>
      </c>
      <c r="AH563" s="10">
        <f>IFERROR(__xludf.DUMMYFUNCTION("""COMPUTED_VALUE"""),0.0)</f>
        <v>0</v>
      </c>
      <c r="AI563" s="10">
        <f>IFERROR(__xludf.DUMMYFUNCTION("""COMPUTED_VALUE"""),9.0)</f>
        <v>9</v>
      </c>
      <c r="AJ563" s="11" t="str">
        <f>IFERROR(__xludf.DUMMYFUNCTION("""COMPUTED_VALUE"""),"https://drive.google.com/open?id=1LtXaBwCrKz1LcuhAVS83QLMU31AqEKhi")</f>
        <v>https://drive.google.com/open?id=1LtXaBwCrKz1LcuhAVS83QLMU31AqEKhi</v>
      </c>
      <c r="AK563" s="12"/>
      <c r="AL563" s="12"/>
      <c r="AM563" s="12"/>
      <c r="AN563" s="12" t="str">
        <f>IFERROR(__xludf.DUMMYFUNCTION("""COMPUTED_VALUE"""),"1st week")</f>
        <v>1st week</v>
      </c>
      <c r="AO563" s="13">
        <v>1.0</v>
      </c>
      <c r="AX563" s="17"/>
    </row>
    <row r="564">
      <c r="B564" s="9">
        <f>IFERROR(__xludf.DUMMYFUNCTION("""COMPUTED_VALUE"""),45892.188147685185)</f>
        <v>45892.18815</v>
      </c>
      <c r="C564" s="10" t="str">
        <f>IFERROR(__xludf.DUMMYFUNCTION("""COMPUTED_VALUE"""),"Hajra Sultan")</f>
        <v>Hajra Sultan</v>
      </c>
      <c r="D564" s="10" t="str">
        <f>IFERROR(__xludf.DUMMYFUNCTION("""COMPUTED_VALUE"""),"03095163638")</f>
        <v>03095163638</v>
      </c>
      <c r="E564" s="10" t="str">
        <f>IFERROR(__xludf.DUMMYFUNCTION("""COMPUTED_VALUE"""),"Jamia Masjid Darbar Muhammad Ali Rajan Shah Layyah")</f>
        <v>Jamia Masjid Darbar Muhammad Ali Rajan Shah Layyah</v>
      </c>
      <c r="F564" s="10" t="str">
        <f>IFERROR(__xludf.DUMMYFUNCTION("""COMPUTED_VALUE"""),"aptdt")</f>
        <v>aptdt</v>
      </c>
      <c r="G564" s="10" t="str">
        <f>IFERROR(__xludf.DUMMYFUNCTION("""COMPUTED_VALUE"""),"Yes")</f>
        <v>Yes</v>
      </c>
      <c r="H564" s="10">
        <f>IFERROR(__xludf.DUMMYFUNCTION("""COMPUTED_VALUE"""),0.0)</f>
        <v>0</v>
      </c>
      <c r="I564" s="10">
        <f>IFERROR(__xludf.DUMMYFUNCTION("""COMPUTED_VALUE"""),10.0)</f>
        <v>10</v>
      </c>
      <c r="J564" s="10">
        <f>IFERROR(__xludf.DUMMYFUNCTION("""COMPUTED_VALUE"""),0.0)</f>
        <v>0</v>
      </c>
      <c r="K564" s="10">
        <f>IFERROR(__xludf.DUMMYFUNCTION("""COMPUTED_VALUE"""),1.0)</f>
        <v>1</v>
      </c>
      <c r="L564" s="10">
        <f>IFERROR(__xludf.DUMMYFUNCTION("""COMPUTED_VALUE"""),1.0)</f>
        <v>1</v>
      </c>
      <c r="M564" s="10">
        <f>IFERROR(__xludf.DUMMYFUNCTION("""COMPUTED_VALUE"""),0.0)</f>
        <v>0</v>
      </c>
      <c r="N564" s="10">
        <f>IFERROR(__xludf.DUMMYFUNCTION("""COMPUTED_VALUE"""),1.0)</f>
        <v>1</v>
      </c>
      <c r="O564" s="10">
        <f>IFERROR(__xludf.DUMMYFUNCTION("""COMPUTED_VALUE"""),0.0)</f>
        <v>0</v>
      </c>
      <c r="P564" s="10">
        <f>IFERROR(__xludf.DUMMYFUNCTION("""COMPUTED_VALUE"""),0.0)</f>
        <v>0</v>
      </c>
      <c r="Q564" s="10" t="str">
        <f>IFERROR(__xludf.DUMMYFUNCTION("""COMPUTED_VALUE"""),"No")</f>
        <v>No</v>
      </c>
      <c r="R564" s="10" t="str">
        <f>IFERROR(__xludf.DUMMYFUNCTION("""COMPUTED_VALUE"""),"No")</f>
        <v>No</v>
      </c>
      <c r="S564" s="10" t="str">
        <f>IFERROR(__xludf.DUMMYFUNCTION("""COMPUTED_VALUE"""),"No")</f>
        <v>No</v>
      </c>
      <c r="T564" s="10">
        <f>IFERROR(__xludf.DUMMYFUNCTION("""COMPUTED_VALUE"""),0.0)</f>
        <v>0</v>
      </c>
      <c r="U564" s="10">
        <f>IFERROR(__xludf.DUMMYFUNCTION("""COMPUTED_VALUE"""),0.0)</f>
        <v>0</v>
      </c>
      <c r="V564" s="10" t="str">
        <f>IFERROR(__xludf.DUMMYFUNCTION("""COMPUTED_VALUE"""),"مظلوم کربلا کی اہمیت اور استقامت")</f>
        <v>مظلوم کربلا کی اہمیت اور استقامت</v>
      </c>
      <c r="W564" s="10" t="str">
        <f>IFERROR(__xludf.DUMMYFUNCTION("""COMPUTED_VALUE"""),"حدیث نبوی صلی اللہ علیہ وسلم ہے کہ اللہ تبارک و تعالی نے ہمیں مظلوم کربلا جیسا مرتبہ عطا کیا اور امیر المومنین جیسا پیشوا عطا کیا اور اپ صلی اللہ علیہ وسلم فرماتے ہیں کہ ہائے علی میں اپ کو کچھ وصیتیں کرتا ہوں کہ بندوں کی کچھ ایسی خصلتیں ہیں جن میں سے ایک "&amp;"یہ ہے کہ جب کوئی بندہ خطا کرتا ہے خطا کرنے کے بعد اللہ تبارک و تعالی کی بارگاہ میں حاضر ہوتا ہے اور اپنی خطا کی معافی مانگتا ہے تو اللہ تبارک و تعالی فرماتے ہیں کہ میں اس کو اتنا اجر عطا کروں گا اتنا اجر عطا کروں گا کہ میرا بندہ میری بارگاہ میں خطا کرنے ک"&amp;"ے بعد رجوع کر رہا ہے تو معصوم فرشتہ بھی عرض کرتا ہے کہ کاش میں بھی انسان ہوتا اور مجھ سے خطا ہوتی اور مجھے بھی اللہ تبارک و تعالی اجر عطا فرماتا.")</f>
        <v>حدیث نبوی صلی اللہ علیہ وسلم ہے کہ اللہ تبارک و تعالی نے ہمیں مظلوم کربلا جیسا مرتبہ عطا کیا اور امیر المومنین جیسا پیشوا عطا کیا اور اپ صلی اللہ علیہ وسلم فرماتے ہیں کہ ہائے علی میں اپ کو کچھ وصیتیں کرتا ہوں کہ بندوں کی کچھ ایسی خصلتیں ہیں جن میں سے ایک یہ ہے کہ جب کوئی بندہ خطا کرتا ہے خطا کرنے کے بعد اللہ تبارک و تعالی کی بارگاہ میں حاضر ہوتا ہے اور اپنی خطا کی معافی مانگتا ہے تو اللہ تبارک و تعالی فرماتے ہیں کہ میں اس کو اتنا اجر عطا کروں گا اتنا اجر عطا کروں گا کہ میرا بندہ میری بارگاہ میں خطا کرنے کے بعد رجوع کر رہا ہے تو معصوم فرشتہ بھی عرض کرتا ہے کہ کاش میں بھی انسان ہوتا اور مجھ سے خطا ہوتی اور مجھے بھی اللہ تبارک و تعالی اجر عطا فرماتا.</v>
      </c>
      <c r="X564" s="10">
        <f>IFERROR(__xludf.DUMMYFUNCTION("""COMPUTED_VALUE"""),5.0)</f>
        <v>5</v>
      </c>
      <c r="Y564" s="10">
        <f>IFERROR(__xludf.DUMMYFUNCTION("""COMPUTED_VALUE"""),3.0)</f>
        <v>3</v>
      </c>
      <c r="Z564" s="10">
        <f>IFERROR(__xludf.DUMMYFUNCTION("""COMPUTED_VALUE"""),0.0)</f>
        <v>0</v>
      </c>
      <c r="AA564" s="10">
        <f>IFERROR(__xludf.DUMMYFUNCTION("""COMPUTED_VALUE"""),9.0)</f>
        <v>9</v>
      </c>
      <c r="AB564" s="10">
        <f>IFERROR(__xludf.DUMMYFUNCTION("""COMPUTED_VALUE"""),6.0)</f>
        <v>6</v>
      </c>
      <c r="AC564" s="10">
        <f>IFERROR(__xludf.DUMMYFUNCTION("""COMPUTED_VALUE"""),0.0)</f>
        <v>0</v>
      </c>
      <c r="AD564" s="10">
        <f>IFERROR(__xludf.DUMMYFUNCTION("""COMPUTED_VALUE"""),0.0)</f>
        <v>0</v>
      </c>
      <c r="AE564" s="10">
        <f>IFERROR(__xludf.DUMMYFUNCTION("""COMPUTED_VALUE"""),0.0)</f>
        <v>0</v>
      </c>
      <c r="AF564" s="10">
        <f>IFERROR(__xludf.DUMMYFUNCTION("""COMPUTED_VALUE"""),10.0)</f>
        <v>10</v>
      </c>
      <c r="AG564" s="10">
        <f>IFERROR(__xludf.DUMMYFUNCTION("""COMPUTED_VALUE"""),10.0)</f>
        <v>10</v>
      </c>
      <c r="AH564" s="10">
        <f>IFERROR(__xludf.DUMMYFUNCTION("""COMPUTED_VALUE"""),0.0)</f>
        <v>0</v>
      </c>
      <c r="AI564" s="10">
        <f>IFERROR(__xludf.DUMMYFUNCTION("""COMPUTED_VALUE"""),10.0)</f>
        <v>10</v>
      </c>
      <c r="AJ564" s="11" t="str">
        <f>IFERROR(__xludf.DUMMYFUNCTION("""COMPUTED_VALUE"""),"https://drive.google.com/open?id=12lYHZuiUR1wiu1qzFfgUXwo5fi1tcSgR")</f>
        <v>https://drive.google.com/open?id=12lYHZuiUR1wiu1qzFfgUXwo5fi1tcSgR</v>
      </c>
      <c r="AK564" s="12"/>
      <c r="AL564" s="12" t="str">
        <f>IFERROR(__xludf.DUMMYFUNCTION("""COMPUTED_VALUE"""),"Yes")</f>
        <v>Yes</v>
      </c>
      <c r="AM564" s="15">
        <f>IFERROR(__xludf.DUMMYFUNCTION("""COMPUTED_VALUE"""),0.0)</f>
        <v>0</v>
      </c>
      <c r="AN564" s="12" t="str">
        <f>IFERROR(__xludf.DUMMYFUNCTION("""COMPUTED_VALUE"""),"3rd week")</f>
        <v>3rd week</v>
      </c>
      <c r="AO564" s="13">
        <v>3.0</v>
      </c>
      <c r="AX564" s="17"/>
    </row>
    <row r="565">
      <c r="B565" s="9">
        <f>IFERROR(__xludf.DUMMYFUNCTION("""COMPUTED_VALUE"""),45892.19290329861)</f>
        <v>45892.1929</v>
      </c>
      <c r="C565" s="10" t="str">
        <f>IFERROR(__xludf.DUMMYFUNCTION("""COMPUTED_VALUE"""),"Hajra Sultan")</f>
        <v>Hajra Sultan</v>
      </c>
      <c r="D565" s="10" t="str">
        <f>IFERROR(__xludf.DUMMYFUNCTION("""COMPUTED_VALUE"""),"03095163638")</f>
        <v>03095163638</v>
      </c>
      <c r="E565" s="10" t="str">
        <f>IFERROR(__xludf.DUMMYFUNCTION("""COMPUTED_VALUE"""),"Jamia Masjid Darbar Mehab Faqeer Ali Muzaffargarh")</f>
        <v>Jamia Masjid Darbar Mehab Faqeer Ali Muzaffargarh</v>
      </c>
      <c r="F565" s="10" t="str">
        <f>IFERROR(__xludf.DUMMYFUNCTION("""COMPUTED_VALUE"""),"xaluj")</f>
        <v>xaluj</v>
      </c>
      <c r="G565" s="10" t="str">
        <f>IFERROR(__xludf.DUMMYFUNCTION("""COMPUTED_VALUE"""),"Yes")</f>
        <v>Yes</v>
      </c>
      <c r="H565" s="10">
        <f>IFERROR(__xludf.DUMMYFUNCTION("""COMPUTED_VALUE"""),3.0)</f>
        <v>3</v>
      </c>
      <c r="I565" s="10">
        <f>IFERROR(__xludf.DUMMYFUNCTION("""COMPUTED_VALUE"""),6.0)</f>
        <v>6</v>
      </c>
      <c r="J565" s="10">
        <f>IFERROR(__xludf.DUMMYFUNCTION("""COMPUTED_VALUE"""),3.0)</f>
        <v>3</v>
      </c>
      <c r="K565" s="10">
        <f>IFERROR(__xludf.DUMMYFUNCTION("""COMPUTED_VALUE"""),4.0)</f>
        <v>4</v>
      </c>
      <c r="L565" s="10">
        <f>IFERROR(__xludf.DUMMYFUNCTION("""COMPUTED_VALUE"""),2.0)</f>
        <v>2</v>
      </c>
      <c r="M565" s="10">
        <f>IFERROR(__xludf.DUMMYFUNCTION("""COMPUTED_VALUE"""),5.0)</f>
        <v>5</v>
      </c>
      <c r="N565" s="10">
        <f>IFERROR(__xludf.DUMMYFUNCTION("""COMPUTED_VALUE"""),2.0)</f>
        <v>2</v>
      </c>
      <c r="O565" s="10">
        <f>IFERROR(__xludf.DUMMYFUNCTION("""COMPUTED_VALUE"""),0.0)</f>
        <v>0</v>
      </c>
      <c r="P565" s="10">
        <f>IFERROR(__xludf.DUMMYFUNCTION("""COMPUTED_VALUE"""),0.0)</f>
        <v>0</v>
      </c>
      <c r="Q565" s="10" t="str">
        <f>IFERROR(__xludf.DUMMYFUNCTION("""COMPUTED_VALUE"""),"No")</f>
        <v>No</v>
      </c>
      <c r="R565" s="10" t="str">
        <f>IFERROR(__xludf.DUMMYFUNCTION("""COMPUTED_VALUE"""),"No")</f>
        <v>No</v>
      </c>
      <c r="S565" s="10" t="str">
        <f>IFERROR(__xludf.DUMMYFUNCTION("""COMPUTED_VALUE"""),"No")</f>
        <v>No</v>
      </c>
      <c r="T565" s="10">
        <f>IFERROR(__xludf.DUMMYFUNCTION("""COMPUTED_VALUE"""),4.0)</f>
        <v>4</v>
      </c>
      <c r="U565" s="10">
        <f>IFERROR(__xludf.DUMMYFUNCTION("""COMPUTED_VALUE"""),2.0)</f>
        <v>2</v>
      </c>
      <c r="V565" s="10" t="str">
        <f>IFERROR(__xludf.DUMMYFUNCTION("""COMPUTED_VALUE"""),"اللہ تعالی کا انعام اور قران پاک کا ذکر")</f>
        <v>اللہ تعالی کا انعام اور قران پاک کا ذکر</v>
      </c>
      <c r="W565" s="10" t="str">
        <f>IFERROR(__xludf.DUMMYFUNCTION("""COMPUTED_VALUE"""),"اس میں اللہ تعالی کا انعام اس بندے کے لیے ہے جو قران پاک کو توجہ سے وہ سنتا ہے اور اس کا ذکر کرتا ہے اور اس پہ اللہ تعالی کی رحمت ہوتی ہے جناب ابو ہاشم فرماتے ہیں کہ قران مجید ایک ایسی کتاب ہے ایسا ذکر ہے کہ جس کو سننے سے سکون ملتا ہے اور پرانے کریم کو جت"&amp;"نی زیادہ خاموشی سے پڑھا جائے اور اس کو سنا جائے اتنی زیادہ اللہ تبارک و تعالی کی رحمتیں نازل ہوتی ہیں اور اللہ تبارک و تعالی خوش ہوتے ہیں اور دل کو سکون ملتا ہے")</f>
        <v>اس میں اللہ تعالی کا انعام اس بندے کے لیے ہے جو قران پاک کو توجہ سے وہ سنتا ہے اور اس کا ذکر کرتا ہے اور اس پہ اللہ تعالی کی رحمت ہوتی ہے جناب ابو ہاشم فرماتے ہیں کہ قران مجید ایک ایسی کتاب ہے ایسا ذکر ہے کہ جس کو سننے سے سکون ملتا ہے اور پرانے کریم کو جتنی زیادہ خاموشی سے پڑھا جائے اور اس کو سنا جائے اتنی زیادہ اللہ تبارک و تعالی کی رحمتیں نازل ہوتی ہیں اور اللہ تبارک و تعالی خوش ہوتے ہیں اور دل کو سکون ملتا ہے</v>
      </c>
      <c r="X565" s="10">
        <f>IFERROR(__xludf.DUMMYFUNCTION("""COMPUTED_VALUE"""),3.0)</f>
        <v>3</v>
      </c>
      <c r="Y565" s="10">
        <f>IFERROR(__xludf.DUMMYFUNCTION("""COMPUTED_VALUE"""),3.0)</f>
        <v>3</v>
      </c>
      <c r="Z565" s="10">
        <f>IFERROR(__xludf.DUMMYFUNCTION("""COMPUTED_VALUE"""),2.0)</f>
        <v>2</v>
      </c>
      <c r="AA565" s="10">
        <f>IFERROR(__xludf.DUMMYFUNCTION("""COMPUTED_VALUE"""),8.0)</f>
        <v>8</v>
      </c>
      <c r="AB565" s="10">
        <f>IFERROR(__xludf.DUMMYFUNCTION("""COMPUTED_VALUE"""),5.0)</f>
        <v>5</v>
      </c>
      <c r="AC565" s="10">
        <f>IFERROR(__xludf.DUMMYFUNCTION("""COMPUTED_VALUE"""),0.0)</f>
        <v>0</v>
      </c>
      <c r="AD565" s="10">
        <f>IFERROR(__xludf.DUMMYFUNCTION("""COMPUTED_VALUE"""),0.0)</f>
        <v>0</v>
      </c>
      <c r="AE565" s="10">
        <f>IFERROR(__xludf.DUMMYFUNCTION("""COMPUTED_VALUE"""),9.0)</f>
        <v>9</v>
      </c>
      <c r="AF565" s="10">
        <f>IFERROR(__xludf.DUMMYFUNCTION("""COMPUTED_VALUE"""),10.0)</f>
        <v>10</v>
      </c>
      <c r="AG565" s="10">
        <f>IFERROR(__xludf.DUMMYFUNCTION("""COMPUTED_VALUE"""),10.0)</f>
        <v>10</v>
      </c>
      <c r="AH565" s="10">
        <f>IFERROR(__xludf.DUMMYFUNCTION("""COMPUTED_VALUE"""),0.0)</f>
        <v>0</v>
      </c>
      <c r="AI565" s="10">
        <f>IFERROR(__xludf.DUMMYFUNCTION("""COMPUTED_VALUE"""),10.0)</f>
        <v>10</v>
      </c>
      <c r="AJ565" s="11" t="str">
        <f>IFERROR(__xludf.DUMMYFUNCTION("""COMPUTED_VALUE"""),"https://drive.google.com/open?id=15rwtr8VLU3EIN_FP2bal6VaqzXtkJPS6")</f>
        <v>https://drive.google.com/open?id=15rwtr8VLU3EIN_FP2bal6VaqzXtkJPS6</v>
      </c>
      <c r="AK565" s="12"/>
      <c r="AL565" s="12" t="str">
        <f>IFERROR(__xludf.DUMMYFUNCTION("""COMPUTED_VALUE"""),"Yes")</f>
        <v>Yes</v>
      </c>
      <c r="AM565" s="15">
        <f>IFERROR(__xludf.DUMMYFUNCTION("""COMPUTED_VALUE"""),0.4)</f>
        <v>0.4</v>
      </c>
      <c r="AN565" s="12" t="str">
        <f>IFERROR(__xludf.DUMMYFUNCTION("""COMPUTED_VALUE"""),"3rd week")</f>
        <v>3rd week</v>
      </c>
      <c r="AO565" s="13">
        <v>3.0</v>
      </c>
      <c r="AX565" s="17"/>
    </row>
    <row r="566">
      <c r="B566" s="9">
        <f>IFERROR(__xludf.DUMMYFUNCTION("""COMPUTED_VALUE"""),45892.20070636574)</f>
        <v>45892.20071</v>
      </c>
      <c r="C566" s="10" t="str">
        <f>IFERROR(__xludf.DUMMYFUNCTION("""COMPUTED_VALUE"""),"Hajra Sultan")</f>
        <v>Hajra Sultan</v>
      </c>
      <c r="D566" s="10" t="str">
        <f>IFERROR(__xludf.DUMMYFUNCTION("""COMPUTED_VALUE"""),"03095163638")</f>
        <v>03095163638</v>
      </c>
      <c r="E566" s="10" t="str">
        <f>IFERROR(__xludf.DUMMYFUNCTION("""COMPUTED_VALUE"""),"Jamia Masjid Zain Ul Abdain Multan")</f>
        <v>Jamia Masjid Zain Ul Abdain Multan</v>
      </c>
      <c r="F566" s="10" t="str">
        <f>IFERROR(__xludf.DUMMYFUNCTION("""COMPUTED_VALUE"""),"ctopi")</f>
        <v>ctopi</v>
      </c>
      <c r="G566" s="10" t="str">
        <f>IFERROR(__xludf.DUMMYFUNCTION("""COMPUTED_VALUE"""),"Yes")</f>
        <v>Yes</v>
      </c>
      <c r="H566" s="10">
        <f>IFERROR(__xludf.DUMMYFUNCTION("""COMPUTED_VALUE"""),0.0)</f>
        <v>0</v>
      </c>
      <c r="I566" s="10">
        <f>IFERROR(__xludf.DUMMYFUNCTION("""COMPUTED_VALUE"""),0.0)</f>
        <v>0</v>
      </c>
      <c r="J566" s="10">
        <f>IFERROR(__xludf.DUMMYFUNCTION("""COMPUTED_VALUE"""),0.0)</f>
        <v>0</v>
      </c>
      <c r="K566" s="10">
        <f>IFERROR(__xludf.DUMMYFUNCTION("""COMPUTED_VALUE"""),0.0)</f>
        <v>0</v>
      </c>
      <c r="L566" s="10">
        <f>IFERROR(__xludf.DUMMYFUNCTION("""COMPUTED_VALUE"""),0.0)</f>
        <v>0</v>
      </c>
      <c r="M566" s="10">
        <f>IFERROR(__xludf.DUMMYFUNCTION("""COMPUTED_VALUE"""),0.0)</f>
        <v>0</v>
      </c>
      <c r="N566" s="10">
        <f>IFERROR(__xludf.DUMMYFUNCTION("""COMPUTED_VALUE"""),0.0)</f>
        <v>0</v>
      </c>
      <c r="O566" s="10">
        <f>IFERROR(__xludf.DUMMYFUNCTION("""COMPUTED_VALUE"""),1.0)</f>
        <v>1</v>
      </c>
      <c r="P566" s="10">
        <f>IFERROR(__xludf.DUMMYFUNCTION("""COMPUTED_VALUE"""),0.0)</f>
        <v>0</v>
      </c>
      <c r="Q566" s="10" t="str">
        <f>IFERROR(__xludf.DUMMYFUNCTION("""COMPUTED_VALUE"""),"No")</f>
        <v>No</v>
      </c>
      <c r="R566" s="10" t="str">
        <f>IFERROR(__xludf.DUMMYFUNCTION("""COMPUTED_VALUE"""),"No")</f>
        <v>No</v>
      </c>
      <c r="S566" s="10" t="str">
        <f>IFERROR(__xludf.DUMMYFUNCTION("""COMPUTED_VALUE"""),"No")</f>
        <v>No</v>
      </c>
      <c r="T566" s="10">
        <f>IFERROR(__xludf.DUMMYFUNCTION("""COMPUTED_VALUE"""),0.0)</f>
        <v>0</v>
      </c>
      <c r="U566" s="10">
        <f>IFERROR(__xludf.DUMMYFUNCTION("""COMPUTED_VALUE"""),0.0)</f>
        <v>0</v>
      </c>
      <c r="V566" s="10" t="str">
        <f>IFERROR(__xludf.DUMMYFUNCTION("""COMPUTED_VALUE"""),"مظلوم کربلا کی اہمیت اور استقامت")</f>
        <v>مظلوم کربلا کی اہمیت اور استقامت</v>
      </c>
      <c r="W566" s="10" t="str">
        <f>IFERROR(__xludf.DUMMYFUNCTION("""COMPUTED_VALUE"""),"حدیث نبوی صلی اللہ علیہ وسلم ہے کہ اللہ تبارک و تعالی نے ہمیں مظلوم کربلا جیسا مرتبہ عطا کیا اور امیر المومنین جیسا پیشوا عطا کیا اور اپ صلی اللہ علیہ وسلم فرماتے ہیں کہ ہائے علی میں اپ کو کچھ وصیتیں کرتا ہوں کہ بندوں کی کچھ ایسی خصلتیں ہیں جن میں سے ایک "&amp;"یہ ہے کہ جب کوئی بندہ خطا کرتا ہے خطا کرنے کے بعد اللہ تبارک و تعالی کی بارگاہ میں حاضر ہوتا ہے اور اپنی خطا کی معافی مانگتا ہے تو اللہ تبارک و تعالی فرماتے ہیں کہ میں اس کو اتنا اجر عطا کروں گا اتنا اجر عطا کروں گا کہ میرا بندہ میری بارگاہ میں خطا کرنے ک"&amp;"ے بعد رجوع کر رہا ہے تو معصوم فرشتہ بھی عرض کرتا ہے کہ کاش میں بھی انسان ہوتا اور مجھ سے خطا ہوتی اور مجھے بھی اللہ تبارک و تعالی اجر عطا فرماتا")</f>
        <v>حدیث نبوی صلی اللہ علیہ وسلم ہے کہ اللہ تبارک و تعالی نے ہمیں مظلوم کربلا جیسا مرتبہ عطا کیا اور امیر المومنین جیسا پیشوا عطا کیا اور اپ صلی اللہ علیہ وسلم فرماتے ہیں کہ ہائے علی میں اپ کو کچھ وصیتیں کرتا ہوں کہ بندوں کی کچھ ایسی خصلتیں ہیں جن میں سے ایک یہ ہے کہ جب کوئی بندہ خطا کرتا ہے خطا کرنے کے بعد اللہ تبارک و تعالی کی بارگاہ میں حاضر ہوتا ہے اور اپنی خطا کی معافی مانگتا ہے تو اللہ تبارک و تعالی فرماتے ہیں کہ میں اس کو اتنا اجر عطا کروں گا اتنا اجر عطا کروں گا کہ میرا بندہ میری بارگاہ میں خطا کرنے کے بعد رجوع کر رہا ہے تو معصوم فرشتہ بھی عرض کرتا ہے کہ کاش میں بھی انسان ہوتا اور مجھ سے خطا ہوتی اور مجھے بھی اللہ تبارک و تعالی اجر عطا فرماتا</v>
      </c>
      <c r="X566" s="10">
        <f>IFERROR(__xludf.DUMMYFUNCTION("""COMPUTED_VALUE"""),5.0)</f>
        <v>5</v>
      </c>
      <c r="Y566" s="10">
        <f>IFERROR(__xludf.DUMMYFUNCTION("""COMPUTED_VALUE"""),8.0)</f>
        <v>8</v>
      </c>
      <c r="Z566" s="10">
        <f>IFERROR(__xludf.DUMMYFUNCTION("""COMPUTED_VALUE"""),1.0)</f>
        <v>1</v>
      </c>
      <c r="AA566" s="10">
        <f>IFERROR(__xludf.DUMMYFUNCTION("""COMPUTED_VALUE"""),9.0)</f>
        <v>9</v>
      </c>
      <c r="AB566" s="10">
        <f>IFERROR(__xludf.DUMMYFUNCTION("""COMPUTED_VALUE"""),8.0)</f>
        <v>8</v>
      </c>
      <c r="AC566" s="10">
        <f>IFERROR(__xludf.DUMMYFUNCTION("""COMPUTED_VALUE"""),1.0)</f>
        <v>1</v>
      </c>
      <c r="AD566" s="10">
        <f>IFERROR(__xludf.DUMMYFUNCTION("""COMPUTED_VALUE"""),0.0)</f>
        <v>0</v>
      </c>
      <c r="AE566" s="10">
        <f>IFERROR(__xludf.DUMMYFUNCTION("""COMPUTED_VALUE"""),0.0)</f>
        <v>0</v>
      </c>
      <c r="AF566" s="10">
        <f>IFERROR(__xludf.DUMMYFUNCTION("""COMPUTED_VALUE"""),10.0)</f>
        <v>10</v>
      </c>
      <c r="AG566" s="10">
        <f>IFERROR(__xludf.DUMMYFUNCTION("""COMPUTED_VALUE"""),10.0)</f>
        <v>10</v>
      </c>
      <c r="AH566" s="10">
        <f>IFERROR(__xludf.DUMMYFUNCTION("""COMPUTED_VALUE"""),0.0)</f>
        <v>0</v>
      </c>
      <c r="AI566" s="10">
        <f>IFERROR(__xludf.DUMMYFUNCTION("""COMPUTED_VALUE"""),10.0)</f>
        <v>10</v>
      </c>
      <c r="AJ566" s="11" t="str">
        <f>IFERROR(__xludf.DUMMYFUNCTION("""COMPUTED_VALUE"""),"https://drive.google.com/open?id=1GF1z3Rljm701VSWb1KTFpww8Dwknz0vX")</f>
        <v>https://drive.google.com/open?id=1GF1z3Rljm701VSWb1KTFpww8Dwknz0vX</v>
      </c>
      <c r="AK566" s="12"/>
      <c r="AL566" s="12" t="str">
        <f>IFERROR(__xludf.DUMMYFUNCTION("""COMPUTED_VALUE"""),"Yes")</f>
        <v>Yes</v>
      </c>
      <c r="AM566" s="15">
        <f>IFERROR(__xludf.DUMMYFUNCTION("""COMPUTED_VALUE"""),0.0)</f>
        <v>0</v>
      </c>
      <c r="AN566" s="12" t="str">
        <f>IFERROR(__xludf.DUMMYFUNCTION("""COMPUTED_VALUE"""),"3rd week")</f>
        <v>3rd week</v>
      </c>
      <c r="AO566" s="13">
        <v>3.0</v>
      </c>
      <c r="AX566" s="17"/>
    </row>
    <row r="567">
      <c r="B567" s="9">
        <f>IFERROR(__xludf.DUMMYFUNCTION("""COMPUTED_VALUE"""),45892.20548422454)</f>
        <v>45892.20548</v>
      </c>
      <c r="C567" s="10" t="str">
        <f>IFERROR(__xludf.DUMMYFUNCTION("""COMPUTED_VALUE"""),"Hajra Sultan")</f>
        <v>Hajra Sultan</v>
      </c>
      <c r="D567" s="10" t="str">
        <f>IFERROR(__xludf.DUMMYFUNCTION("""COMPUTED_VALUE"""),"03095163638")</f>
        <v>03095163638</v>
      </c>
      <c r="E567" s="10" t="str">
        <f>IFERROR(__xludf.DUMMYFUNCTION("""COMPUTED_VALUE"""),"Jamia Masjid Jalal Gilghast Coloney Multan")</f>
        <v>Jamia Masjid Jalal Gilghast Coloney Multan</v>
      </c>
      <c r="F567" s="10" t="str">
        <f>IFERROR(__xludf.DUMMYFUNCTION("""COMPUTED_VALUE"""),"iprwe")</f>
        <v>iprwe</v>
      </c>
      <c r="G567" s="10" t="str">
        <f>IFERROR(__xludf.DUMMYFUNCTION("""COMPUTED_VALUE"""),"Yes")</f>
        <v>Yes</v>
      </c>
      <c r="H567" s="10">
        <f>IFERROR(__xludf.DUMMYFUNCTION("""COMPUTED_VALUE"""),0.0)</f>
        <v>0</v>
      </c>
      <c r="I567" s="10">
        <f>IFERROR(__xludf.DUMMYFUNCTION("""COMPUTED_VALUE"""),10.0)</f>
        <v>10</v>
      </c>
      <c r="J567" s="10">
        <f>IFERROR(__xludf.DUMMYFUNCTION("""COMPUTED_VALUE"""),0.0)</f>
        <v>0</v>
      </c>
      <c r="K567" s="10">
        <f>IFERROR(__xludf.DUMMYFUNCTION("""COMPUTED_VALUE"""),0.0)</f>
        <v>0</v>
      </c>
      <c r="L567" s="10">
        <f>IFERROR(__xludf.DUMMYFUNCTION("""COMPUTED_VALUE"""),1.0)</f>
        <v>1</v>
      </c>
      <c r="M567" s="10">
        <f>IFERROR(__xludf.DUMMYFUNCTION("""COMPUTED_VALUE"""),0.0)</f>
        <v>0</v>
      </c>
      <c r="N567" s="10">
        <f>IFERROR(__xludf.DUMMYFUNCTION("""COMPUTED_VALUE"""),0.0)</f>
        <v>0</v>
      </c>
      <c r="O567" s="10">
        <f>IFERROR(__xludf.DUMMYFUNCTION("""COMPUTED_VALUE"""),0.0)</f>
        <v>0</v>
      </c>
      <c r="P567" s="10">
        <f>IFERROR(__xludf.DUMMYFUNCTION("""COMPUTED_VALUE"""),0.0)</f>
        <v>0</v>
      </c>
      <c r="Q567" s="10" t="str">
        <f>IFERROR(__xludf.DUMMYFUNCTION("""COMPUTED_VALUE"""),"No")</f>
        <v>No</v>
      </c>
      <c r="R567" s="10" t="str">
        <f>IFERROR(__xludf.DUMMYFUNCTION("""COMPUTED_VALUE"""),"No")</f>
        <v>No</v>
      </c>
      <c r="S567" s="10" t="str">
        <f>IFERROR(__xludf.DUMMYFUNCTION("""COMPUTED_VALUE"""),"No")</f>
        <v>No</v>
      </c>
      <c r="T567" s="10">
        <f>IFERROR(__xludf.DUMMYFUNCTION("""COMPUTED_VALUE"""),1.0)</f>
        <v>1</v>
      </c>
      <c r="U567" s="10">
        <f>IFERROR(__xludf.DUMMYFUNCTION("""COMPUTED_VALUE"""),1.0)</f>
        <v>1</v>
      </c>
      <c r="V567" s="10" t="str">
        <f>IFERROR(__xludf.DUMMYFUNCTION("""COMPUTED_VALUE"""),"اکستان کا وجود میں انا اور ازادی کا جشن منانا")</f>
        <v>اکستان کا وجود میں انا اور ازادی کا جشن منانا</v>
      </c>
      <c r="W567" s="10" t="str">
        <f>IFERROR(__xludf.DUMMYFUNCTION("""COMPUTED_VALUE"""),"اس میں پاکستان کے قیام اور اس کے ازادی کے بارے میں بیان کیا گیا ہے کہ پاکستان 14 اگست کو وجود میں ایا اور جس کی ہر سال ازادی منائی جاتی ہے اور اس ازادی کا جشن 14 اگست کو بڑے دھوم دھام سے منایا جاتا ہے اور بڑے جوش و جذبے سے تقریب منعقد کی جاتی ہیں جس کا مق"&amp;"صد یہ ہوتا ہے کہ ہم ایک ازاد ملک میں ہیں اور ہمارا ملک اب ازاد ہو گیا ہے اور ہندو اور حکمرانوں کے ظلم سے اور جبرو ستم سے نجات مل گئی ہے")</f>
        <v>اس میں پاکستان کے قیام اور اس کے ازادی کے بارے میں بیان کیا گیا ہے کہ پاکستان 14 اگست کو وجود میں ایا اور جس کی ہر سال ازادی منائی جاتی ہے اور اس ازادی کا جشن 14 اگست کو بڑے دھوم دھام سے منایا جاتا ہے اور بڑے جوش و جذبے سے تقریب منعقد کی جاتی ہیں جس کا مقصد یہ ہوتا ہے کہ ہم ایک ازاد ملک میں ہیں اور ہمارا ملک اب ازاد ہو گیا ہے اور ہندو اور حکمرانوں کے ظلم سے اور جبرو ستم سے نجات مل گئی ہے</v>
      </c>
      <c r="X567" s="10">
        <f>IFERROR(__xludf.DUMMYFUNCTION("""COMPUTED_VALUE"""),3.0)</f>
        <v>3</v>
      </c>
      <c r="Y567" s="10">
        <f>IFERROR(__xludf.DUMMYFUNCTION("""COMPUTED_VALUE"""),3.0)</f>
        <v>3</v>
      </c>
      <c r="Z567" s="10">
        <f>IFERROR(__xludf.DUMMYFUNCTION("""COMPUTED_VALUE"""),5.0)</f>
        <v>5</v>
      </c>
      <c r="AA567" s="10">
        <f>IFERROR(__xludf.DUMMYFUNCTION("""COMPUTED_VALUE"""),5.0)</f>
        <v>5</v>
      </c>
      <c r="AB567" s="10">
        <f>IFERROR(__xludf.DUMMYFUNCTION("""COMPUTED_VALUE"""),6.0)</f>
        <v>6</v>
      </c>
      <c r="AC567" s="10">
        <f>IFERROR(__xludf.DUMMYFUNCTION("""COMPUTED_VALUE"""),8.0)</f>
        <v>8</v>
      </c>
      <c r="AD567" s="10">
        <f>IFERROR(__xludf.DUMMYFUNCTION("""COMPUTED_VALUE"""),4.0)</f>
        <v>4</v>
      </c>
      <c r="AE567" s="10">
        <f>IFERROR(__xludf.DUMMYFUNCTION("""COMPUTED_VALUE"""),4.0)</f>
        <v>4</v>
      </c>
      <c r="AF567" s="10">
        <f>IFERROR(__xludf.DUMMYFUNCTION("""COMPUTED_VALUE"""),10.0)</f>
        <v>10</v>
      </c>
      <c r="AG567" s="10">
        <f>IFERROR(__xludf.DUMMYFUNCTION("""COMPUTED_VALUE"""),10.0)</f>
        <v>10</v>
      </c>
      <c r="AH567" s="10">
        <f>IFERROR(__xludf.DUMMYFUNCTION("""COMPUTED_VALUE"""),0.0)</f>
        <v>0</v>
      </c>
      <c r="AI567" s="10">
        <f>IFERROR(__xludf.DUMMYFUNCTION("""COMPUTED_VALUE"""),10.0)</f>
        <v>10</v>
      </c>
      <c r="AJ567" s="11" t="str">
        <f>IFERROR(__xludf.DUMMYFUNCTION("""COMPUTED_VALUE"""),"https://drive.google.com/open?id=1HdkmToVJojPd2kAP4s_mUIvo2xFdkcQL")</f>
        <v>https://drive.google.com/open?id=1HdkmToVJojPd2kAP4s_mUIvo2xFdkcQL</v>
      </c>
      <c r="AK567" s="12"/>
      <c r="AL567" s="12" t="str">
        <f>IFERROR(__xludf.DUMMYFUNCTION("""COMPUTED_VALUE"""),"Yes")</f>
        <v>Yes</v>
      </c>
      <c r="AM567" s="15">
        <f>IFERROR(__xludf.DUMMYFUNCTION("""COMPUTED_VALUE"""),0.0)</f>
        <v>0</v>
      </c>
      <c r="AN567" s="12" t="str">
        <f>IFERROR(__xludf.DUMMYFUNCTION("""COMPUTED_VALUE"""),"3rd week")</f>
        <v>3rd week</v>
      </c>
      <c r="AO567" s="13">
        <v>3.0</v>
      </c>
      <c r="AX567" s="17"/>
    </row>
    <row r="568">
      <c r="B568" s="9">
        <f>IFERROR(__xludf.DUMMYFUNCTION("""COMPUTED_VALUE"""),45892.21034828704)</f>
        <v>45892.21035</v>
      </c>
      <c r="C568" s="10" t="str">
        <f>IFERROR(__xludf.DUMMYFUNCTION("""COMPUTED_VALUE"""),"Hajra Sultan")</f>
        <v>Hajra Sultan</v>
      </c>
      <c r="D568" s="10" t="str">
        <f>IFERROR(__xludf.DUMMYFUNCTION("""COMPUTED_VALUE"""),"03095163638")</f>
        <v>03095163638</v>
      </c>
      <c r="E568" s="10" t="str">
        <f>IFERROR(__xludf.DUMMYFUNCTION("""COMPUTED_VALUE"""),"Jamia Masjid Galah Mandi Khanpur")</f>
        <v>Jamia Masjid Galah Mandi Khanpur</v>
      </c>
      <c r="F568" s="10" t="str">
        <f>IFERROR(__xludf.DUMMYFUNCTION("""COMPUTED_VALUE"""),"ekxdh")</f>
        <v>ekxdh</v>
      </c>
      <c r="G568" s="10" t="str">
        <f>IFERROR(__xludf.DUMMYFUNCTION("""COMPUTED_VALUE"""),"Yes")</f>
        <v>Yes</v>
      </c>
      <c r="H568" s="10">
        <f>IFERROR(__xludf.DUMMYFUNCTION("""COMPUTED_VALUE"""),0.0)</f>
        <v>0</v>
      </c>
      <c r="I568" s="10">
        <f>IFERROR(__xludf.DUMMYFUNCTION("""COMPUTED_VALUE"""),0.0)</f>
        <v>0</v>
      </c>
      <c r="J568" s="10">
        <f>IFERROR(__xludf.DUMMYFUNCTION("""COMPUTED_VALUE"""),0.0)</f>
        <v>0</v>
      </c>
      <c r="K568" s="10">
        <f>IFERROR(__xludf.DUMMYFUNCTION("""COMPUTED_VALUE"""),0.0)</f>
        <v>0</v>
      </c>
      <c r="L568" s="10">
        <f>IFERROR(__xludf.DUMMYFUNCTION("""COMPUTED_VALUE"""),0.0)</f>
        <v>0</v>
      </c>
      <c r="M568" s="10">
        <f>IFERROR(__xludf.DUMMYFUNCTION("""COMPUTED_VALUE"""),0.0)</f>
        <v>0</v>
      </c>
      <c r="N568" s="10">
        <f>IFERROR(__xludf.DUMMYFUNCTION("""COMPUTED_VALUE"""),0.0)</f>
        <v>0</v>
      </c>
      <c r="O568" s="10">
        <f>IFERROR(__xludf.DUMMYFUNCTION("""COMPUTED_VALUE"""),0.0)</f>
        <v>0</v>
      </c>
      <c r="P568" s="10">
        <f>IFERROR(__xludf.DUMMYFUNCTION("""COMPUTED_VALUE"""),0.0)</f>
        <v>0</v>
      </c>
      <c r="Q568" s="10" t="str">
        <f>IFERROR(__xludf.DUMMYFUNCTION("""COMPUTED_VALUE"""),"No")</f>
        <v>No</v>
      </c>
      <c r="R568" s="10" t="str">
        <f>IFERROR(__xludf.DUMMYFUNCTION("""COMPUTED_VALUE"""),"No")</f>
        <v>No</v>
      </c>
      <c r="S568" s="10" t="str">
        <f>IFERROR(__xludf.DUMMYFUNCTION("""COMPUTED_VALUE"""),"No")</f>
        <v>No</v>
      </c>
      <c r="T568" s="10">
        <f>IFERROR(__xludf.DUMMYFUNCTION("""COMPUTED_VALUE"""),0.0)</f>
        <v>0</v>
      </c>
      <c r="U568" s="10">
        <f>IFERROR(__xludf.DUMMYFUNCTION("""COMPUTED_VALUE"""),0.0)</f>
        <v>0</v>
      </c>
      <c r="V568" s="10" t="str">
        <f>IFERROR(__xludf.DUMMYFUNCTION("""COMPUTED_VALUE"""),"پ صلی اللہ علیہ والہ وسلم کی تشریف اوری اور ہجرت کرن")</f>
        <v>پ صلی اللہ علیہ والہ وسلم کی تشریف اوری اور ہجرت کرن</v>
      </c>
      <c r="W568" s="10" t="str">
        <f>IFERROR(__xludf.DUMMYFUNCTION("""COMPUTED_VALUE"""),"اس میں یہ بیان کیا گیا ہے کہ اپ صلی اللہ علیہ وسلم نےجب اس دنیا میں تشریف اوری فرمائی اور مکہ مکرمہ میں تھے اور جب اپ صلی اللہ علیہ وسلم نے نبوت کا اعلان کیا اور اسلام کی تبلیغ کی دعوت دیتے رہے اور اسلام کی تبلیغ  کا کام شروع کیا تو اپ صلی اللہ علیہ وسلم "&amp;"کے وہاں مکہ مکرمہ میں جو مشرکین تھے وہ اس کے دشمن بن گئے اور اپ صلی اللہ علیہ والہ وسلم کے ساتھ ظلم و ستم کرنے لگے اور اس کے بارے میں سازشیں کرنے لگے کہ اس کو جلا وطن کر دیا جائے یا پھر اسے شہید کر دیا جائے نعوذ باللہ تاکہ یہ اگے اسلام کی دعوت کو نہ پھیلا"&amp;" سکیں اور نہ اس کو کوئی اللہ کا رسول مان سکے اور ایک مقام پر اپ صلی اللہ علیہ وسلم نے لوگوں سے مخاطب ہو کر فرمایا کہ میرے غلاموں میں اگر اپ کو کہوں کہ اس پہاڑ کے پیچھے ایک لشکر ا رہا ہے جو اپ لوگوں پر حملہ کرنا چاہتا ہے تو کیا اپ اس بات کا یقین کریں گے تو"&amp;" سب نے ایک ہی اواز میں کہا کہ جی یا رسول اللہ اپ تو صادق اور امین ہیں تو پھر ہم کیسے اپ کی بات پہ یقین نہ کریں تو اپ صلی اللہ علیہ وسلم نے فرمایا کہ پھر تم مجھ پر ایمان لے اؤ تو سب اپ صلی اللہ علیہ وسلم کے دشمن بن گئے")</f>
        <v>اس میں یہ بیان کیا گیا ہے کہ اپ صلی اللہ علیہ وسلم نےجب اس دنیا میں تشریف اوری فرمائی اور مکہ مکرمہ میں تھے اور جب اپ صلی اللہ علیہ وسلم نے نبوت کا اعلان کیا اور اسلام کی تبلیغ کی دعوت دیتے رہے اور اسلام کی تبلیغ  کا کام شروع کیا تو اپ صلی اللہ علیہ وسلم کے وہاں مکہ مکرمہ میں جو مشرکین تھے وہ اس کے دشمن بن گئے اور اپ صلی اللہ علیہ والہ وسلم کے ساتھ ظلم و ستم کرنے لگے اور اس کے بارے میں سازشیں کرنے لگے کہ اس کو جلا وطن کر دیا جائے یا پھر اسے شہید کر دیا جائے نعوذ باللہ تاکہ یہ اگے اسلام کی دعوت کو نہ پھیلا سکیں اور نہ اس کو کوئی اللہ کا رسول مان سکے اور ایک مقام پر اپ صلی اللہ علیہ وسلم نے لوگوں سے مخاطب ہو کر فرمایا کہ میرے غلاموں میں اگر اپ کو کہوں کہ اس پہاڑ کے پیچھے ایک لشکر ا رہا ہے جو اپ لوگوں پر حملہ کرنا چاہتا ہے تو کیا اپ اس بات کا یقین کریں گے تو سب نے ایک ہی اواز میں کہا کہ جی یا رسول اللہ اپ تو صادق اور امین ہیں تو پھر ہم کیسے اپ کی بات پہ یقین نہ کریں تو اپ صلی اللہ علیہ وسلم نے فرمایا کہ پھر تم مجھ پر ایمان لے اؤ تو سب اپ صلی اللہ علیہ وسلم کے دشمن بن گئے</v>
      </c>
      <c r="X568" s="10">
        <f>IFERROR(__xludf.DUMMYFUNCTION("""COMPUTED_VALUE"""),5.0)</f>
        <v>5</v>
      </c>
      <c r="Y568" s="10">
        <f>IFERROR(__xludf.DUMMYFUNCTION("""COMPUTED_VALUE"""),3.0)</f>
        <v>3</v>
      </c>
      <c r="Z568" s="10">
        <f>IFERROR(__xludf.DUMMYFUNCTION("""COMPUTED_VALUE"""),2.0)</f>
        <v>2</v>
      </c>
      <c r="AA568" s="10">
        <f>IFERROR(__xludf.DUMMYFUNCTION("""COMPUTED_VALUE"""),7.0)</f>
        <v>7</v>
      </c>
      <c r="AB568" s="10">
        <f>IFERROR(__xludf.DUMMYFUNCTION("""COMPUTED_VALUE"""),8.0)</f>
        <v>8</v>
      </c>
      <c r="AC568" s="10">
        <f>IFERROR(__xludf.DUMMYFUNCTION("""COMPUTED_VALUE"""),0.0)</f>
        <v>0</v>
      </c>
      <c r="AD568" s="10">
        <f>IFERROR(__xludf.DUMMYFUNCTION("""COMPUTED_VALUE"""),0.0)</f>
        <v>0</v>
      </c>
      <c r="AE568" s="10">
        <f>IFERROR(__xludf.DUMMYFUNCTION("""COMPUTED_VALUE"""),9.0)</f>
        <v>9</v>
      </c>
      <c r="AF568" s="10">
        <f>IFERROR(__xludf.DUMMYFUNCTION("""COMPUTED_VALUE"""),10.0)</f>
        <v>10</v>
      </c>
      <c r="AG568" s="10">
        <f>IFERROR(__xludf.DUMMYFUNCTION("""COMPUTED_VALUE"""),10.0)</f>
        <v>10</v>
      </c>
      <c r="AH568" s="10">
        <f>IFERROR(__xludf.DUMMYFUNCTION("""COMPUTED_VALUE"""),0.0)</f>
        <v>0</v>
      </c>
      <c r="AI568" s="10">
        <f>IFERROR(__xludf.DUMMYFUNCTION("""COMPUTED_VALUE"""),10.0)</f>
        <v>10</v>
      </c>
      <c r="AJ568" s="11" t="str">
        <f>IFERROR(__xludf.DUMMYFUNCTION("""COMPUTED_VALUE"""),"https://drive.google.com/open?id=1r1rAIuOF_u6lWhr_6tAYOtMyiaVFf4Qt")</f>
        <v>https://drive.google.com/open?id=1r1rAIuOF_u6lWhr_6tAYOtMyiaVFf4Qt</v>
      </c>
      <c r="AK568" s="12"/>
      <c r="AL568" s="12" t="str">
        <f>IFERROR(__xludf.DUMMYFUNCTION("""COMPUTED_VALUE"""),"Yes")</f>
        <v>Yes</v>
      </c>
      <c r="AM568" s="15">
        <f>IFERROR(__xludf.DUMMYFUNCTION("""COMPUTED_VALUE"""),0.0)</f>
        <v>0</v>
      </c>
      <c r="AN568" s="12" t="str">
        <f>IFERROR(__xludf.DUMMYFUNCTION("""COMPUTED_VALUE"""),"3rd week")</f>
        <v>3rd week</v>
      </c>
      <c r="AO568" s="13">
        <v>3.0</v>
      </c>
      <c r="AX568" s="17"/>
    </row>
    <row r="569">
      <c r="B569" s="9">
        <f>IFERROR(__xludf.DUMMYFUNCTION("""COMPUTED_VALUE"""),45892.231511273145)</f>
        <v>45892.23151</v>
      </c>
      <c r="C569" s="10" t="str">
        <f>IFERROR(__xludf.DUMMYFUNCTION("""COMPUTED_VALUE"""),"Asma Gul ")</f>
        <v>Asma Gul </v>
      </c>
      <c r="D569" s="10" t="str">
        <f>IFERROR(__xludf.DUMMYFUNCTION("""COMPUTED_VALUE"""),"03459308620")</f>
        <v>03459308620</v>
      </c>
      <c r="E569" s="10" t="str">
        <f>IFERROR(__xludf.DUMMYFUNCTION("""COMPUTED_VALUE"""),"Jamia Masjid Gaalah Mandi Bahawal Nagar")</f>
        <v>Jamia Masjid Gaalah Mandi Bahawal Nagar</v>
      </c>
      <c r="F569" s="10" t="str">
        <f>IFERROR(__xludf.DUMMYFUNCTION("""COMPUTED_VALUE"""),"yokqu")</f>
        <v>yokqu</v>
      </c>
      <c r="G569" s="10" t="str">
        <f>IFERROR(__xludf.DUMMYFUNCTION("""COMPUTED_VALUE"""),"Yes")</f>
        <v>Yes</v>
      </c>
      <c r="H569" s="10">
        <f>IFERROR(__xludf.DUMMYFUNCTION("""COMPUTED_VALUE"""),8.0)</f>
        <v>8</v>
      </c>
      <c r="I569" s="10">
        <f>IFERROR(__xludf.DUMMYFUNCTION("""COMPUTED_VALUE"""),2.0)</f>
        <v>2</v>
      </c>
      <c r="J569" s="10">
        <f>IFERROR(__xludf.DUMMYFUNCTION("""COMPUTED_VALUE"""),8.0)</f>
        <v>8</v>
      </c>
      <c r="K569" s="10">
        <f>IFERROR(__xludf.DUMMYFUNCTION("""COMPUTED_VALUE"""),8.0)</f>
        <v>8</v>
      </c>
      <c r="L569" s="10">
        <f>IFERROR(__xludf.DUMMYFUNCTION("""COMPUTED_VALUE"""),6.0)</f>
        <v>6</v>
      </c>
      <c r="M569" s="10">
        <f>IFERROR(__xludf.DUMMYFUNCTION("""COMPUTED_VALUE"""),8.0)</f>
        <v>8</v>
      </c>
      <c r="N569" s="10">
        <f>IFERROR(__xludf.DUMMYFUNCTION("""COMPUTED_VALUE"""),8.0)</f>
        <v>8</v>
      </c>
      <c r="O569" s="10">
        <f>IFERROR(__xludf.DUMMYFUNCTION("""COMPUTED_VALUE"""),2.0)</f>
        <v>2</v>
      </c>
      <c r="P569" s="10">
        <f>IFERROR(__xludf.DUMMYFUNCTION("""COMPUTED_VALUE"""),0.0)</f>
        <v>0</v>
      </c>
      <c r="Q569" s="10" t="str">
        <f>IFERROR(__xludf.DUMMYFUNCTION("""COMPUTED_VALUE"""),"No")</f>
        <v>No</v>
      </c>
      <c r="R569" s="10" t="str">
        <f>IFERROR(__xludf.DUMMYFUNCTION("""COMPUTED_VALUE"""),"No")</f>
        <v>No</v>
      </c>
      <c r="S569" s="10" t="str">
        <f>IFERROR(__xludf.DUMMYFUNCTION("""COMPUTED_VALUE"""),"No")</f>
        <v>No</v>
      </c>
      <c r="T569" s="10">
        <f>IFERROR(__xludf.DUMMYFUNCTION("""COMPUTED_VALUE"""),7.0)</f>
        <v>7</v>
      </c>
      <c r="U569" s="10">
        <f>IFERROR(__xludf.DUMMYFUNCTION("""COMPUTED_VALUE"""),0.0)</f>
        <v>0</v>
      </c>
      <c r="V569" s="10" t="str">
        <f>IFERROR(__xludf.DUMMYFUNCTION("""COMPUTED_VALUE"""),"ازادی کی نعمت پاکستان کی قدر اور عورتوں و پڑوسیوں کے حقوق")</f>
        <v>ازادی کی نعمت پاکستان کی قدر اور عورتوں و پڑوسیوں کے حقوق</v>
      </c>
      <c r="W569" s="10" t="str">
        <f>IFERROR(__xludf.DUMMYFUNCTION("""COMPUTED_VALUE"""),"امام صاحب نے کہا کہ پاکستان اور ازادی اللہ کی بڑی نعمت ہے ہمیں ان کی قدر کرنی چاہیے اور ملک کی مصنوعات کو ترجیح دینی چاہیے اور عورت کی عزت و ذمہ داری اور پڑوسیوں کے حقوق ادا کرنے کی نصیحت کی ")</f>
        <v>امام صاحب نے کہا کہ پاکستان اور ازادی اللہ کی بڑی نعمت ہے ہمیں ان کی قدر کرنی چاہیے اور ملک کی مصنوعات کو ترجیح دینی چاہیے اور عورت کی عزت و ذمہ داری اور پڑوسیوں کے حقوق ادا کرنے کی نصیحت کی </v>
      </c>
      <c r="X569" s="10">
        <f>IFERROR(__xludf.DUMMYFUNCTION("""COMPUTED_VALUE"""),5.0)</f>
        <v>5</v>
      </c>
      <c r="Y569" s="10">
        <f>IFERROR(__xludf.DUMMYFUNCTION("""COMPUTED_VALUE"""),8.0)</f>
        <v>8</v>
      </c>
      <c r="Z569" s="10">
        <f>IFERROR(__xludf.DUMMYFUNCTION("""COMPUTED_VALUE"""),9.0)</f>
        <v>9</v>
      </c>
      <c r="AA569" s="10">
        <f>IFERROR(__xludf.DUMMYFUNCTION("""COMPUTED_VALUE"""),10.0)</f>
        <v>10</v>
      </c>
      <c r="AB569" s="10">
        <f>IFERROR(__xludf.DUMMYFUNCTION("""COMPUTED_VALUE"""),5.0)</f>
        <v>5</v>
      </c>
      <c r="AC569" s="10">
        <f>IFERROR(__xludf.DUMMYFUNCTION("""COMPUTED_VALUE"""),8.0)</f>
        <v>8</v>
      </c>
      <c r="AD569" s="10">
        <f>IFERROR(__xludf.DUMMYFUNCTION("""COMPUTED_VALUE"""),7.0)</f>
        <v>7</v>
      </c>
      <c r="AE569" s="10">
        <f>IFERROR(__xludf.DUMMYFUNCTION("""COMPUTED_VALUE"""),5.0)</f>
        <v>5</v>
      </c>
      <c r="AF569" s="10">
        <f>IFERROR(__xludf.DUMMYFUNCTION("""COMPUTED_VALUE"""),5.0)</f>
        <v>5</v>
      </c>
      <c r="AG569" s="10">
        <f>IFERROR(__xludf.DUMMYFUNCTION("""COMPUTED_VALUE"""),5.0)</f>
        <v>5</v>
      </c>
      <c r="AH569" s="10">
        <f>IFERROR(__xludf.DUMMYFUNCTION("""COMPUTED_VALUE"""),5.0)</f>
        <v>5</v>
      </c>
      <c r="AI569" s="10">
        <f>IFERROR(__xludf.DUMMYFUNCTION("""COMPUTED_VALUE"""),5.0)</f>
        <v>5</v>
      </c>
      <c r="AJ569" s="11" t="str">
        <f>IFERROR(__xludf.DUMMYFUNCTION("""COMPUTED_VALUE"""),"https://drive.google.com/open?id=1UeLs8VSrVD_50CaVt0JUxg5RiGQxlSD0fGydk8olXLw")</f>
        <v>https://drive.google.com/open?id=1UeLs8VSrVD_50CaVt0JUxg5RiGQxlSD0fGydk8olXLw</v>
      </c>
      <c r="AK569" s="12"/>
      <c r="AL569" s="12" t="str">
        <f>IFERROR(__xludf.DUMMYFUNCTION("""COMPUTED_VALUE"""),"Yes")</f>
        <v>Yes</v>
      </c>
      <c r="AM569" s="15">
        <f>IFERROR(__xludf.DUMMYFUNCTION("""COMPUTED_VALUE"""),0.8)</f>
        <v>0.8</v>
      </c>
      <c r="AN569" s="12" t="str">
        <f>IFERROR(__xludf.DUMMYFUNCTION("""COMPUTED_VALUE"""),"3rd week")</f>
        <v>3rd week</v>
      </c>
      <c r="AO569" s="13">
        <v>3.0</v>
      </c>
      <c r="AX569" s="17"/>
    </row>
    <row r="570">
      <c r="B570" s="9">
        <f>IFERROR(__xludf.DUMMYFUNCTION("""COMPUTED_VALUE"""),45892.33367561342)</f>
        <v>45892.33368</v>
      </c>
      <c r="C570" s="10" t="str">
        <f>IFERROR(__xludf.DUMMYFUNCTION("""COMPUTED_VALUE"""),"Arti Kumari ")</f>
        <v>Arti Kumari </v>
      </c>
      <c r="D570" s="10" t="str">
        <f>IFERROR(__xludf.DUMMYFUNCTION("""COMPUTED_VALUE"""),"03346661865")</f>
        <v>03346661865</v>
      </c>
      <c r="E570" s="10" t="str">
        <f>IFERROR(__xludf.DUMMYFUNCTION("""COMPUTED_VALUE"""),"Jamina Masjid Railway Colony Khanewal")</f>
        <v>Jamina Masjid Railway Colony Khanewal</v>
      </c>
      <c r="F570" s="10" t="str">
        <f>IFERROR(__xludf.DUMMYFUNCTION("""COMPUTED_VALUE"""),"epjyx")</f>
        <v>epjyx</v>
      </c>
      <c r="G570" s="10" t="str">
        <f>IFERROR(__xludf.DUMMYFUNCTION("""COMPUTED_VALUE"""),"Yes")</f>
        <v>Yes</v>
      </c>
      <c r="H570" s="10">
        <f>IFERROR(__xludf.DUMMYFUNCTION("""COMPUTED_VALUE"""),7.0)</f>
        <v>7</v>
      </c>
      <c r="I570" s="10">
        <f>IFERROR(__xludf.DUMMYFUNCTION("""COMPUTED_VALUE"""),3.0)</f>
        <v>3</v>
      </c>
      <c r="J570" s="10">
        <f>IFERROR(__xludf.DUMMYFUNCTION("""COMPUTED_VALUE"""),7.0)</f>
        <v>7</v>
      </c>
      <c r="K570" s="10">
        <f>IFERROR(__xludf.DUMMYFUNCTION("""COMPUTED_VALUE"""),0.0)</f>
        <v>0</v>
      </c>
      <c r="L570" s="10">
        <f>IFERROR(__xludf.DUMMYFUNCTION("""COMPUTED_VALUE"""),10.0)</f>
        <v>10</v>
      </c>
      <c r="M570" s="10">
        <f>IFERROR(__xludf.DUMMYFUNCTION("""COMPUTED_VALUE"""),0.0)</f>
        <v>0</v>
      </c>
      <c r="N570" s="10">
        <f>IFERROR(__xludf.DUMMYFUNCTION("""COMPUTED_VALUE"""),10.0)</f>
        <v>10</v>
      </c>
      <c r="O570" s="10">
        <f>IFERROR(__xludf.DUMMYFUNCTION("""COMPUTED_VALUE"""),0.0)</f>
        <v>0</v>
      </c>
      <c r="P570" s="10">
        <f>IFERROR(__xludf.DUMMYFUNCTION("""COMPUTED_VALUE"""),10.0)</f>
        <v>10</v>
      </c>
      <c r="Q570" s="10" t="str">
        <f>IFERROR(__xludf.DUMMYFUNCTION("""COMPUTED_VALUE"""),"No")</f>
        <v>No</v>
      </c>
      <c r="R570" s="10" t="str">
        <f>IFERROR(__xludf.DUMMYFUNCTION("""COMPUTED_VALUE"""),"Yes")</f>
        <v>Yes</v>
      </c>
      <c r="S570" s="10" t="str">
        <f>IFERROR(__xludf.DUMMYFUNCTION("""COMPUTED_VALUE"""),"No")</f>
        <v>No</v>
      </c>
      <c r="T570" s="10">
        <f>IFERROR(__xludf.DUMMYFUNCTION("""COMPUTED_VALUE"""),0.0)</f>
        <v>0</v>
      </c>
      <c r="U570" s="10">
        <f>IFERROR(__xludf.DUMMYFUNCTION("""COMPUTED_VALUE"""),0.0)</f>
        <v>0</v>
      </c>
      <c r="V570" s="10" t="str">
        <f>IFERROR(__xludf.DUMMYFUNCTION("""COMPUTED_VALUE"""),"پڑوسیوں کے حقوق ")</f>
        <v>پڑوسیوں کے حقوق </v>
      </c>
      <c r="W570" s="10" t="str">
        <f>IFERROR(__xludf.DUMMYFUNCTION("""COMPUTED_VALUE"""),"امام نے خطبہ میں بتایا کہ پڑوسیوں کا خیال رکھیں آج کل معاشرہ کو اپنے پڑوسیوں کے نام اور کام کا ہی اندازہ نہیں ہوتا تو ان کے دکھ درد میں کیسے شریک ہو گے، مساجد کے کردار کا ذکر کیا کہ اکٹھا رکھنے میں مساجد اہم کردار ادا کرتی اور بتایا کہ صفائی نصف ایمان ہے "&amp;"اور اپنے اردگرد کے ماحول کو صاف ستھرا رکھنے میں انسلٹ نہ سمجھیں")</f>
        <v>امام نے خطبہ میں بتایا کہ پڑوسیوں کا خیال رکھیں آج کل معاشرہ کو اپنے پڑوسیوں کے نام اور کام کا ہی اندازہ نہیں ہوتا تو ان کے دکھ درد میں کیسے شریک ہو گے، مساجد کے کردار کا ذکر کیا کہ اکٹھا رکھنے میں مساجد اہم کردار ادا کرتی اور بتایا کہ صفائی نصف ایمان ہے اور اپنے اردگرد کے ماحول کو صاف ستھرا رکھنے میں انسلٹ نہ سمجھیں</v>
      </c>
      <c r="X570" s="10">
        <f>IFERROR(__xludf.DUMMYFUNCTION("""COMPUTED_VALUE"""),1.0)</f>
        <v>1</v>
      </c>
      <c r="Y570" s="10">
        <f>IFERROR(__xludf.DUMMYFUNCTION("""COMPUTED_VALUE"""),10.0)</f>
        <v>10</v>
      </c>
      <c r="Z570" s="10">
        <f>IFERROR(__xludf.DUMMYFUNCTION("""COMPUTED_VALUE"""),10.0)</f>
        <v>10</v>
      </c>
      <c r="AA570" s="10">
        <f>IFERROR(__xludf.DUMMYFUNCTION("""COMPUTED_VALUE"""),10.0)</f>
        <v>10</v>
      </c>
      <c r="AB570" s="10">
        <f>IFERROR(__xludf.DUMMYFUNCTION("""COMPUTED_VALUE"""),0.0)</f>
        <v>0</v>
      </c>
      <c r="AC570" s="10">
        <f>IFERROR(__xludf.DUMMYFUNCTION("""COMPUTED_VALUE"""),0.0)</f>
        <v>0</v>
      </c>
      <c r="AD570" s="10">
        <f>IFERROR(__xludf.DUMMYFUNCTION("""COMPUTED_VALUE"""),0.0)</f>
        <v>0</v>
      </c>
      <c r="AE570" s="10">
        <f>IFERROR(__xludf.DUMMYFUNCTION("""COMPUTED_VALUE"""),0.0)</f>
        <v>0</v>
      </c>
      <c r="AF570" s="10">
        <f>IFERROR(__xludf.DUMMYFUNCTION("""COMPUTED_VALUE"""),0.0)</f>
        <v>0</v>
      </c>
      <c r="AG570" s="10">
        <f>IFERROR(__xludf.DUMMYFUNCTION("""COMPUTED_VALUE"""),10.0)</f>
        <v>10</v>
      </c>
      <c r="AH570" s="10">
        <f>IFERROR(__xludf.DUMMYFUNCTION("""COMPUTED_VALUE"""),0.0)</f>
        <v>0</v>
      </c>
      <c r="AI570" s="10">
        <f>IFERROR(__xludf.DUMMYFUNCTION("""COMPUTED_VALUE"""),10.0)</f>
        <v>10</v>
      </c>
      <c r="AJ570" s="11" t="str">
        <f>IFERROR(__xludf.DUMMYFUNCTION("""COMPUTED_VALUE"""),"https://drive.google.com/open?id=1Bfm2yOS9zeuJT9pbaI9tDf_4zYX1WW2W")</f>
        <v>https://drive.google.com/open?id=1Bfm2yOS9zeuJT9pbaI9tDf_4zYX1WW2W</v>
      </c>
      <c r="AK570" s="12"/>
      <c r="AL570" s="12" t="str">
        <f>IFERROR(__xludf.DUMMYFUNCTION("""COMPUTED_VALUE"""),"Yes")</f>
        <v>Yes</v>
      </c>
      <c r="AM570" s="15">
        <f>IFERROR(__xludf.DUMMYFUNCTION("""COMPUTED_VALUE"""),0.7)</f>
        <v>0.7</v>
      </c>
      <c r="AN570" s="12" t="str">
        <f>IFERROR(__xludf.DUMMYFUNCTION("""COMPUTED_VALUE"""),"3rd week")</f>
        <v>3rd week</v>
      </c>
      <c r="AO570" s="13">
        <v>3.0</v>
      </c>
      <c r="AX570" s="17"/>
    </row>
    <row r="571">
      <c r="B571" s="9">
        <f>IFERROR(__xludf.DUMMYFUNCTION("""COMPUTED_VALUE"""),45892.40123528935)</f>
        <v>45892.40124</v>
      </c>
      <c r="C571" s="10" t="str">
        <f>IFERROR(__xludf.DUMMYFUNCTION("""COMPUTED_VALUE"""),"Atiqa")</f>
        <v>Atiqa</v>
      </c>
      <c r="D571" s="10" t="str">
        <f>IFERROR(__xludf.DUMMYFUNCTION("""COMPUTED_VALUE"""),"03157519977")</f>
        <v>03157519977</v>
      </c>
      <c r="E571" s="10" t="str">
        <f>IFERROR(__xludf.DUMMYFUNCTION("""COMPUTED_VALUE"""),"Jamia Masjid Sadiq Akbar High School Ahumdpur")</f>
        <v>Jamia Masjid Sadiq Akbar High School Ahumdpur</v>
      </c>
      <c r="F571" s="10" t="str">
        <f>IFERROR(__xludf.DUMMYFUNCTION("""COMPUTED_VALUE"""),"vewig")</f>
        <v>vewig</v>
      </c>
      <c r="G571" s="10" t="str">
        <f>IFERROR(__xludf.DUMMYFUNCTION("""COMPUTED_VALUE"""),"Yes")</f>
        <v>Yes</v>
      </c>
      <c r="H571" s="10">
        <f>IFERROR(__xludf.DUMMYFUNCTION("""COMPUTED_VALUE"""),5.0)</f>
        <v>5</v>
      </c>
      <c r="I571" s="10">
        <f>IFERROR(__xludf.DUMMYFUNCTION("""COMPUTED_VALUE"""),5.0)</f>
        <v>5</v>
      </c>
      <c r="J571" s="10">
        <f>IFERROR(__xludf.DUMMYFUNCTION("""COMPUTED_VALUE"""),5.0)</f>
        <v>5</v>
      </c>
      <c r="K571" s="10">
        <f>IFERROR(__xludf.DUMMYFUNCTION("""COMPUTED_VALUE"""),1.0)</f>
        <v>1</v>
      </c>
      <c r="L571" s="10">
        <f>IFERROR(__xludf.DUMMYFUNCTION("""COMPUTED_VALUE"""),5.0)</f>
        <v>5</v>
      </c>
      <c r="M571" s="10">
        <f>IFERROR(__xludf.DUMMYFUNCTION("""COMPUTED_VALUE"""),1.0)</f>
        <v>1</v>
      </c>
      <c r="N571" s="10">
        <f>IFERROR(__xludf.DUMMYFUNCTION("""COMPUTED_VALUE"""),6.0)</f>
        <v>6</v>
      </c>
      <c r="O571" s="10">
        <f>IFERROR(__xludf.DUMMYFUNCTION("""COMPUTED_VALUE"""),0.0)</f>
        <v>0</v>
      </c>
      <c r="P571" s="10">
        <f>IFERROR(__xludf.DUMMYFUNCTION("""COMPUTED_VALUE"""),7.0)</f>
        <v>7</v>
      </c>
      <c r="Q571" s="10" t="str">
        <f>IFERROR(__xludf.DUMMYFUNCTION("""COMPUTED_VALUE"""),"No")</f>
        <v>No</v>
      </c>
      <c r="R571" s="10" t="str">
        <f>IFERROR(__xludf.DUMMYFUNCTION("""COMPUTED_VALUE"""),"No")</f>
        <v>No</v>
      </c>
      <c r="S571" s="10" t="str">
        <f>IFERROR(__xludf.DUMMYFUNCTION("""COMPUTED_VALUE"""),"No")</f>
        <v>No</v>
      </c>
      <c r="T571" s="10">
        <f>IFERROR(__xludf.DUMMYFUNCTION("""COMPUTED_VALUE"""),0.0)</f>
        <v>0</v>
      </c>
      <c r="U571" s="10">
        <f>IFERROR(__xludf.DUMMYFUNCTION("""COMPUTED_VALUE"""),0.0)</f>
        <v>0</v>
      </c>
      <c r="V571" s="10" t="str">
        <f>IFERROR(__xludf.DUMMYFUNCTION("""COMPUTED_VALUE"""),"اپ کو کل اباد اور پڑوسیوں کے حقوق ")</f>
        <v>اپ کو کل اباد اور پڑوسیوں کے حقوق </v>
      </c>
      <c r="W571" s="10" t="str">
        <f>IFERROR(__xludf.DUMMYFUNCTION("""COMPUTED_VALUE"""),"اللہ کا سب سے افضل اور اشرف المخلوقات انسان کو بنانا ، انسانوں میں سے ہی پیغمبروں کا چناؤ کرنا اور پیغمبر کی تعلیمات اور اللہ کے پیغامات کے ذریعے تمام ماں بہن بیوی بیٹی اور ہمسائے کے حقوق کو جانا ۔ ان ساری صحابی کی موجودگی میں رسول صلی اللہ علیہ والہ وسلم"&amp;" کی جبرائیل علیہ السلام سے ملاقات جس میں پڑوسی کے حقوق کے متعلق اگاہ کیا گیا ۔ حضور صلی اللہ علیہ وسلم کا گوشت میں پانی ڈال کر شوربہ زیادہ کرنے کا حکم تھا کہ ہمسائے کے گھر بھی سالن پہنچ جایا جا سکے ۔ حضور صلی اللہ علیہ والہ وسلم اپنے مخالف ختم طائی کی بیٹ"&amp;"ی کے ساتھ حسن سلوک اور حضور صلی اللہ علیہ وسلم کی ازواج مطہرات کے ساتھ گفتگو اور حضرت ابوبکر صدیق رضی اللہ تعالی عنہ کا نبینہ عورت کے گھر پانی کھانا اور گھروں میں گھر میں جاڑو لگانا ۔ یمن کے صحابی اور دیہاتی کا واقعہ اور بیمار کی عیادت پر اجر و ثواب بیان "&amp;"کیا گیا ۔ ")</f>
        <v>اللہ کا سب سے افضل اور اشرف المخلوقات انسان کو بنانا ، انسانوں میں سے ہی پیغمبروں کا چناؤ کرنا اور پیغمبر کی تعلیمات اور اللہ کے پیغامات کے ذریعے تمام ماں بہن بیوی بیٹی اور ہمسائے کے حقوق کو جانا ۔ ان ساری صحابی کی موجودگی میں رسول صلی اللہ علیہ والہ وسلم کی جبرائیل علیہ السلام سے ملاقات جس میں پڑوسی کے حقوق کے متعلق اگاہ کیا گیا ۔ حضور صلی اللہ علیہ وسلم کا گوشت میں پانی ڈال کر شوربہ زیادہ کرنے کا حکم تھا کہ ہمسائے کے گھر بھی سالن پہنچ جایا جا سکے ۔ حضور صلی اللہ علیہ والہ وسلم اپنے مخالف ختم طائی کی بیٹی کے ساتھ حسن سلوک اور حضور صلی اللہ علیہ وسلم کی ازواج مطہرات کے ساتھ گفتگو اور حضرت ابوبکر صدیق رضی اللہ تعالی عنہ کا نبینہ عورت کے گھر پانی کھانا اور گھروں میں گھر میں جاڑو لگانا ۔ یمن کے صحابی اور دیہاتی کا واقعہ اور بیمار کی عیادت پر اجر و ثواب بیان کیا گیا ۔ </v>
      </c>
      <c r="X571" s="10">
        <f>IFERROR(__xludf.DUMMYFUNCTION("""COMPUTED_VALUE"""),0.0)</f>
        <v>0</v>
      </c>
      <c r="Y571" s="10">
        <f>IFERROR(__xludf.DUMMYFUNCTION("""COMPUTED_VALUE"""),2.0)</f>
        <v>2</v>
      </c>
      <c r="Z571" s="10">
        <f>IFERROR(__xludf.DUMMYFUNCTION("""COMPUTED_VALUE"""),5.0)</f>
        <v>5</v>
      </c>
      <c r="AA571" s="10">
        <f>IFERROR(__xludf.DUMMYFUNCTION("""COMPUTED_VALUE"""),7.0)</f>
        <v>7</v>
      </c>
      <c r="AB571" s="10">
        <f>IFERROR(__xludf.DUMMYFUNCTION("""COMPUTED_VALUE"""),8.0)</f>
        <v>8</v>
      </c>
      <c r="AC571" s="10">
        <f>IFERROR(__xludf.DUMMYFUNCTION("""COMPUTED_VALUE"""),0.0)</f>
        <v>0</v>
      </c>
      <c r="AD571" s="10">
        <f>IFERROR(__xludf.DUMMYFUNCTION("""COMPUTED_VALUE"""),1.0)</f>
        <v>1</v>
      </c>
      <c r="AE571" s="10">
        <f>IFERROR(__xludf.DUMMYFUNCTION("""COMPUTED_VALUE"""),0.0)</f>
        <v>0</v>
      </c>
      <c r="AF571" s="10">
        <f>IFERROR(__xludf.DUMMYFUNCTION("""COMPUTED_VALUE"""),0.0)</f>
        <v>0</v>
      </c>
      <c r="AG571" s="10">
        <f>IFERROR(__xludf.DUMMYFUNCTION("""COMPUTED_VALUE"""),9.0)</f>
        <v>9</v>
      </c>
      <c r="AH571" s="10">
        <f>IFERROR(__xludf.DUMMYFUNCTION("""COMPUTED_VALUE"""),0.0)</f>
        <v>0</v>
      </c>
      <c r="AI571" s="10">
        <f>IFERROR(__xludf.DUMMYFUNCTION("""COMPUTED_VALUE"""),9.0)</f>
        <v>9</v>
      </c>
      <c r="AJ571" s="11" t="str">
        <f>IFERROR(__xludf.DUMMYFUNCTION("""COMPUTED_VALUE"""),"https://drive.google.com/open?id=1csyGv3jB9Ym9diZUZ9nnUwCiunI7XAkgcjrXHUESqpE")</f>
        <v>https://drive.google.com/open?id=1csyGv3jB9Ym9diZUZ9nnUwCiunI7XAkgcjrXHUESqpE</v>
      </c>
      <c r="AK571" s="12"/>
      <c r="AL571" s="12" t="str">
        <f>IFERROR(__xludf.DUMMYFUNCTION("""COMPUTED_VALUE"""),"Yes")</f>
        <v>Yes</v>
      </c>
      <c r="AM571" s="15">
        <f>IFERROR(__xludf.DUMMYFUNCTION("""COMPUTED_VALUE"""),0.5)</f>
        <v>0.5</v>
      </c>
      <c r="AN571" s="12" t="str">
        <f>IFERROR(__xludf.DUMMYFUNCTION("""COMPUTED_VALUE"""),"1st week")</f>
        <v>1st week</v>
      </c>
      <c r="AO571" s="13">
        <v>1.0</v>
      </c>
      <c r="AX571" s="17"/>
    </row>
    <row r="572">
      <c r="B572" s="9">
        <f>IFERROR(__xludf.DUMMYFUNCTION("""COMPUTED_VALUE"""),45892.40587578704)</f>
        <v>45892.40588</v>
      </c>
      <c r="C572" s="10" t="str">
        <f>IFERROR(__xludf.DUMMYFUNCTION("""COMPUTED_VALUE"""),"Arti Kumari ")</f>
        <v>Arti Kumari </v>
      </c>
      <c r="D572" s="10" t="str">
        <f>IFERROR(__xludf.DUMMYFUNCTION("""COMPUTED_VALUE"""),"03346661865")</f>
        <v>03346661865</v>
      </c>
      <c r="E572" s="10" t="str">
        <f>IFERROR(__xludf.DUMMYFUNCTION("""COMPUTED_VALUE"""),"Jamia Masjid Kumhar Mandy Multan")</f>
        <v>Jamia Masjid Kumhar Mandy Multan</v>
      </c>
      <c r="F572" s="10" t="str">
        <f>IFERROR(__xludf.DUMMYFUNCTION("""COMPUTED_VALUE"""),"hkceb")</f>
        <v>hkceb</v>
      </c>
      <c r="G572" s="10" t="str">
        <f>IFERROR(__xludf.DUMMYFUNCTION("""COMPUTED_VALUE"""),"Yes")</f>
        <v>Yes</v>
      </c>
      <c r="H572" s="10">
        <f>IFERROR(__xludf.DUMMYFUNCTION("""COMPUTED_VALUE"""),5.0)</f>
        <v>5</v>
      </c>
      <c r="I572" s="10">
        <f>IFERROR(__xludf.DUMMYFUNCTION("""COMPUTED_VALUE"""),5.0)</f>
        <v>5</v>
      </c>
      <c r="J572" s="10">
        <f>IFERROR(__xludf.DUMMYFUNCTION("""COMPUTED_VALUE"""),5.0)</f>
        <v>5</v>
      </c>
      <c r="K572" s="10">
        <f>IFERROR(__xludf.DUMMYFUNCTION("""COMPUTED_VALUE"""),10.0)</f>
        <v>10</v>
      </c>
      <c r="L572" s="10">
        <f>IFERROR(__xludf.DUMMYFUNCTION("""COMPUTED_VALUE"""),0.0)</f>
        <v>0</v>
      </c>
      <c r="M572" s="10">
        <f>IFERROR(__xludf.DUMMYFUNCTION("""COMPUTED_VALUE"""),10.0)</f>
        <v>10</v>
      </c>
      <c r="N572" s="10">
        <f>IFERROR(__xludf.DUMMYFUNCTION("""COMPUTED_VALUE"""),0.0)</f>
        <v>0</v>
      </c>
      <c r="O572" s="10">
        <f>IFERROR(__xludf.DUMMYFUNCTION("""COMPUTED_VALUE"""),10.0)</f>
        <v>10</v>
      </c>
      <c r="P572" s="10">
        <f>IFERROR(__xludf.DUMMYFUNCTION("""COMPUTED_VALUE"""),0.0)</f>
        <v>0</v>
      </c>
      <c r="Q572" s="10" t="str">
        <f>IFERROR(__xludf.DUMMYFUNCTION("""COMPUTED_VALUE"""),"No")</f>
        <v>No</v>
      </c>
      <c r="R572" s="10" t="str">
        <f>IFERROR(__xludf.DUMMYFUNCTION("""COMPUTED_VALUE"""),"No")</f>
        <v>No</v>
      </c>
      <c r="S572" s="10" t="str">
        <f>IFERROR(__xludf.DUMMYFUNCTION("""COMPUTED_VALUE"""),"No")</f>
        <v>No</v>
      </c>
      <c r="T572" s="10">
        <f>IFERROR(__xludf.DUMMYFUNCTION("""COMPUTED_VALUE"""),0.0)</f>
        <v>0</v>
      </c>
      <c r="U572" s="10">
        <f>IFERROR(__xludf.DUMMYFUNCTION("""COMPUTED_VALUE"""),0.0)</f>
        <v>0</v>
      </c>
      <c r="V572" s="10" t="str">
        <f>IFERROR(__xludf.DUMMYFUNCTION("""COMPUTED_VALUE"""),"اسلم میں عورتوں کا مرتبہ")</f>
        <v>اسلم میں عورتوں کا مرتبہ</v>
      </c>
      <c r="W572" s="10" t="str">
        <f>IFERROR(__xludf.DUMMYFUNCTION("""COMPUTED_VALUE"""),"امام نے خطبہ میں عورتوں کی اسلام میں۔ حیثت کے حوالے سے بات کی ہے  امام نے بتایا کے عورتوں کو حق ہے کہ وہ تعلیم حاصل کریں  اور انہیں آزادی ہے کہ وہ سیاسی سرگرمیوں میں بھی حصہ لیں لیکن چار دیواری اور پردہ کر کے اور ان کی عزت کریں اور قدر کریں")</f>
        <v>امام نے خطبہ میں عورتوں کی اسلام میں۔ حیثت کے حوالے سے بات کی ہے  امام نے بتایا کے عورتوں کو حق ہے کہ وہ تعلیم حاصل کریں  اور انہیں آزادی ہے کہ وہ سیاسی سرگرمیوں میں بھی حصہ لیں لیکن چار دیواری اور پردہ کر کے اور ان کی عزت کریں اور قدر کریں</v>
      </c>
      <c r="X572" s="10">
        <f>IFERROR(__xludf.DUMMYFUNCTION("""COMPUTED_VALUE"""),0.0)</f>
        <v>0</v>
      </c>
      <c r="Y572" s="10">
        <f>IFERROR(__xludf.DUMMYFUNCTION("""COMPUTED_VALUE"""),0.0)</f>
        <v>0</v>
      </c>
      <c r="Z572" s="10">
        <f>IFERROR(__xludf.DUMMYFUNCTION("""COMPUTED_VALUE"""),0.0)</f>
        <v>0</v>
      </c>
      <c r="AA572" s="10">
        <f>IFERROR(__xludf.DUMMYFUNCTION("""COMPUTED_VALUE"""),10.0)</f>
        <v>10</v>
      </c>
      <c r="AB572" s="10">
        <f>IFERROR(__xludf.DUMMYFUNCTION("""COMPUTED_VALUE"""),5.0)</f>
        <v>5</v>
      </c>
      <c r="AC572" s="10">
        <f>IFERROR(__xludf.DUMMYFUNCTION("""COMPUTED_VALUE"""),2.0)</f>
        <v>2</v>
      </c>
      <c r="AD572" s="10">
        <f>IFERROR(__xludf.DUMMYFUNCTION("""COMPUTED_VALUE"""),0.0)</f>
        <v>0</v>
      </c>
      <c r="AE572" s="10">
        <f>IFERROR(__xludf.DUMMYFUNCTION("""COMPUTED_VALUE"""),0.0)</f>
        <v>0</v>
      </c>
      <c r="AF572" s="10">
        <f>IFERROR(__xludf.DUMMYFUNCTION("""COMPUTED_VALUE"""),0.0)</f>
        <v>0</v>
      </c>
      <c r="AG572" s="10">
        <f>IFERROR(__xludf.DUMMYFUNCTION("""COMPUTED_VALUE"""),9.0)</f>
        <v>9</v>
      </c>
      <c r="AH572" s="10">
        <f>IFERROR(__xludf.DUMMYFUNCTION("""COMPUTED_VALUE"""),0.0)</f>
        <v>0</v>
      </c>
      <c r="AI572" s="10">
        <f>IFERROR(__xludf.DUMMYFUNCTION("""COMPUTED_VALUE"""),9.0)</f>
        <v>9</v>
      </c>
      <c r="AJ572" s="11" t="str">
        <f>IFERROR(__xludf.DUMMYFUNCTION("""COMPUTED_VALUE"""),"https://drive.google.com/open?id=1pDg6b5uA6c6G1PabKHqXVAfEy8nY9_fp")</f>
        <v>https://drive.google.com/open?id=1pDg6b5uA6c6G1PabKHqXVAfEy8nY9_fp</v>
      </c>
      <c r="AK572" s="12"/>
      <c r="AL572" s="12" t="str">
        <f>IFERROR(__xludf.DUMMYFUNCTION("""COMPUTED_VALUE"""),"Yes")</f>
        <v>Yes</v>
      </c>
      <c r="AM572" s="15">
        <f>IFERROR(__xludf.DUMMYFUNCTION("""COMPUTED_VALUE"""),0.5)</f>
        <v>0.5</v>
      </c>
      <c r="AN572" s="12" t="str">
        <f>IFERROR(__xludf.DUMMYFUNCTION("""COMPUTED_VALUE"""),"2nd week")</f>
        <v>2nd week</v>
      </c>
      <c r="AO572" s="13">
        <v>2.0</v>
      </c>
      <c r="AX572" s="17"/>
    </row>
    <row r="573">
      <c r="B573" s="9">
        <f>IFERROR(__xludf.DUMMYFUNCTION("""COMPUTED_VALUE"""),45892.51862775463)</f>
        <v>45892.51863</v>
      </c>
      <c r="C573" s="10" t="str">
        <f>IFERROR(__xludf.DUMMYFUNCTION("""COMPUTED_VALUE"""),"Arti Kumari ")</f>
        <v>Arti Kumari </v>
      </c>
      <c r="D573" s="10" t="str">
        <f>IFERROR(__xludf.DUMMYFUNCTION("""COMPUTED_VALUE"""),"03346661864")</f>
        <v>03346661864</v>
      </c>
      <c r="E573" s="10" t="str">
        <f>IFERROR(__xludf.DUMMYFUNCTION("""COMPUTED_VALUE"""),"Jamia Masjid Phonagra Nawali Multan")</f>
        <v>Jamia Masjid Phonagra Nawali Multan</v>
      </c>
      <c r="F573" s="10" t="str">
        <f>IFERROR(__xludf.DUMMYFUNCTION("""COMPUTED_VALUE"""),"vreau")</f>
        <v>vreau</v>
      </c>
      <c r="G573" s="10" t="str">
        <f>IFERROR(__xludf.DUMMYFUNCTION("""COMPUTED_VALUE"""),"Yes")</f>
        <v>Yes</v>
      </c>
      <c r="H573" s="10">
        <f>IFERROR(__xludf.DUMMYFUNCTION("""COMPUTED_VALUE"""),3.0)</f>
        <v>3</v>
      </c>
      <c r="I573" s="10">
        <f>IFERROR(__xludf.DUMMYFUNCTION("""COMPUTED_VALUE"""),7.0)</f>
        <v>7</v>
      </c>
      <c r="J573" s="10">
        <f>IFERROR(__xludf.DUMMYFUNCTION("""COMPUTED_VALUE"""),3.0)</f>
        <v>3</v>
      </c>
      <c r="K573" s="10">
        <f>IFERROR(__xludf.DUMMYFUNCTION("""COMPUTED_VALUE"""),7.0)</f>
        <v>7</v>
      </c>
      <c r="L573" s="10">
        <f>IFERROR(__xludf.DUMMYFUNCTION("""COMPUTED_VALUE"""),0.0)</f>
        <v>0</v>
      </c>
      <c r="M573" s="10">
        <f>IFERROR(__xludf.DUMMYFUNCTION("""COMPUTED_VALUE"""),7.0)</f>
        <v>7</v>
      </c>
      <c r="N573" s="10">
        <f>IFERROR(__xludf.DUMMYFUNCTION("""COMPUTED_VALUE"""),0.0)</f>
        <v>0</v>
      </c>
      <c r="O573" s="10">
        <f>IFERROR(__xludf.DUMMYFUNCTION("""COMPUTED_VALUE"""),10.0)</f>
        <v>10</v>
      </c>
      <c r="P573" s="10">
        <f>IFERROR(__xludf.DUMMYFUNCTION("""COMPUTED_VALUE"""),0.0)</f>
        <v>0</v>
      </c>
      <c r="Q573" s="10" t="str">
        <f>IFERROR(__xludf.DUMMYFUNCTION("""COMPUTED_VALUE"""),"No")</f>
        <v>No</v>
      </c>
      <c r="R573" s="10" t="str">
        <f>IFERROR(__xludf.DUMMYFUNCTION("""COMPUTED_VALUE"""),"No")</f>
        <v>No</v>
      </c>
      <c r="S573" s="10" t="str">
        <f>IFERROR(__xludf.DUMMYFUNCTION("""COMPUTED_VALUE"""),"No")</f>
        <v>No</v>
      </c>
      <c r="T573" s="10">
        <f>IFERROR(__xludf.DUMMYFUNCTION("""COMPUTED_VALUE"""),0.0)</f>
        <v>0</v>
      </c>
      <c r="U573" s="10">
        <f>IFERROR(__xludf.DUMMYFUNCTION("""COMPUTED_VALUE"""),0.0)</f>
        <v>0</v>
      </c>
      <c r="V573" s="10" t="str">
        <f>IFERROR(__xludf.DUMMYFUNCTION("""COMPUTED_VALUE"""),"خواتین کا معاشرے کے اندر کردار")</f>
        <v>خواتین کا معاشرے کے اندر کردار</v>
      </c>
      <c r="W573" s="10" t="str">
        <f>IFERROR(__xludf.DUMMYFUNCTION("""COMPUTED_VALUE"""),"امام نے خواتین کا معاشرے میں کیا کردار ہے اس حوالے سے بات کی بتایا کی گزشتہ دور میں بھی خواتین کاروبار کرتی تھی ابھی بھی خواتین کو اجازت ہے۔ ان کو اسلام نے عزت دی احترام دیا اور مرتبہ دیا ہے تاریخ میں بھی خواتین کا جنگوں میں اہم کردار ہے اور ضرورت پڑنے پر"&amp;" خواتین باہر بھی نکل سکتی ہیں۔ خواتین کا ہر معاملہ میں ساتھ دیں تعلم ، سیاست وغیرہ انہیں معاملے میں سپورٹ کریں اسلام اس کا حق دیتا ہے")</f>
        <v>امام نے خواتین کا معاشرے میں کیا کردار ہے اس حوالے سے بات کی بتایا کی گزشتہ دور میں بھی خواتین کاروبار کرتی تھی ابھی بھی خواتین کو اجازت ہے۔ ان کو اسلام نے عزت دی احترام دیا اور مرتبہ دیا ہے تاریخ میں بھی خواتین کا جنگوں میں اہم کردار ہے اور ضرورت پڑنے پر خواتین باہر بھی نکل سکتی ہیں۔ خواتین کا ہر معاملہ میں ساتھ دیں تعلم ، سیاست وغیرہ انہیں معاملے میں سپورٹ کریں اسلام اس کا حق دیتا ہے</v>
      </c>
      <c r="X573" s="10">
        <f>IFERROR(__xludf.DUMMYFUNCTION("""COMPUTED_VALUE"""),0.0)</f>
        <v>0</v>
      </c>
      <c r="Y573" s="10">
        <f>IFERROR(__xludf.DUMMYFUNCTION("""COMPUTED_VALUE"""),0.0)</f>
        <v>0</v>
      </c>
      <c r="Z573" s="10">
        <f>IFERROR(__xludf.DUMMYFUNCTION("""COMPUTED_VALUE"""),5.0)</f>
        <v>5</v>
      </c>
      <c r="AA573" s="10">
        <f>IFERROR(__xludf.DUMMYFUNCTION("""COMPUTED_VALUE"""),10.0)</f>
        <v>10</v>
      </c>
      <c r="AB573" s="10">
        <f>IFERROR(__xludf.DUMMYFUNCTION("""COMPUTED_VALUE"""),10.0)</f>
        <v>10</v>
      </c>
      <c r="AC573" s="10">
        <f>IFERROR(__xludf.DUMMYFUNCTION("""COMPUTED_VALUE"""),2.0)</f>
        <v>2</v>
      </c>
      <c r="AD573" s="10">
        <f>IFERROR(__xludf.DUMMYFUNCTION("""COMPUTED_VALUE"""),0.0)</f>
        <v>0</v>
      </c>
      <c r="AE573" s="10">
        <f>IFERROR(__xludf.DUMMYFUNCTION("""COMPUTED_VALUE"""),0.0)</f>
        <v>0</v>
      </c>
      <c r="AF573" s="10">
        <f>IFERROR(__xludf.DUMMYFUNCTION("""COMPUTED_VALUE"""),0.0)</f>
        <v>0</v>
      </c>
      <c r="AG573" s="10">
        <f>IFERROR(__xludf.DUMMYFUNCTION("""COMPUTED_VALUE"""),8.0)</f>
        <v>8</v>
      </c>
      <c r="AH573" s="10">
        <f>IFERROR(__xludf.DUMMYFUNCTION("""COMPUTED_VALUE"""),0.0)</f>
        <v>0</v>
      </c>
      <c r="AI573" s="10">
        <f>IFERROR(__xludf.DUMMYFUNCTION("""COMPUTED_VALUE"""),7.0)</f>
        <v>7</v>
      </c>
      <c r="AJ573" s="11" t="str">
        <f>IFERROR(__xludf.DUMMYFUNCTION("""COMPUTED_VALUE"""),"https://drive.google.com/open?id=1ES1MLuO-C3SgskZteq_zJfpAaV1YgUCS")</f>
        <v>https://drive.google.com/open?id=1ES1MLuO-C3SgskZteq_zJfpAaV1YgUCS</v>
      </c>
      <c r="AK573" s="12" t="str">
        <f>IFERROR(__xludf.DUMMYFUNCTION("""COMPUTED_VALUE"""),"Audio was not much clear")</f>
        <v>Audio was not much clear</v>
      </c>
      <c r="AL573" s="12" t="str">
        <f>IFERROR(__xludf.DUMMYFUNCTION("""COMPUTED_VALUE"""),"Yes")</f>
        <v>Yes</v>
      </c>
      <c r="AM573" s="15">
        <f>IFERROR(__xludf.DUMMYFUNCTION("""COMPUTED_VALUE"""),0.3)</f>
        <v>0.3</v>
      </c>
      <c r="AN573" s="12" t="str">
        <f>IFERROR(__xludf.DUMMYFUNCTION("""COMPUTED_VALUE"""),"2nd week")</f>
        <v>2nd week</v>
      </c>
      <c r="AO573" s="13">
        <v>2.0</v>
      </c>
      <c r="AX573" s="17"/>
    </row>
    <row r="574">
      <c r="B574" s="9">
        <f>IFERROR(__xludf.DUMMYFUNCTION("""COMPUTED_VALUE"""),45892.55037684028)</f>
        <v>45892.55038</v>
      </c>
      <c r="C574" s="10" t="str">
        <f>IFERROR(__xludf.DUMMYFUNCTION("""COMPUTED_VALUE"""),"Atiqa")</f>
        <v>Atiqa</v>
      </c>
      <c r="D574" s="10" t="str">
        <f>IFERROR(__xludf.DUMMYFUNCTION("""COMPUTED_VALUE"""),"03157519977")</f>
        <v>03157519977</v>
      </c>
      <c r="E574" s="10" t="str">
        <f>IFERROR(__xludf.DUMMYFUNCTION("""COMPUTED_VALUE"""),"Jamia Masjid Gaalah Mandi Bahawal Nagar")</f>
        <v>Jamia Masjid Gaalah Mandi Bahawal Nagar</v>
      </c>
      <c r="F574" s="10" t="str">
        <f>IFERROR(__xludf.DUMMYFUNCTION("""COMPUTED_VALUE"""),"yokqu")</f>
        <v>yokqu</v>
      </c>
      <c r="G574" s="10" t="str">
        <f>IFERROR(__xludf.DUMMYFUNCTION("""COMPUTED_VALUE"""),"Yes")</f>
        <v>Yes</v>
      </c>
      <c r="H574" s="10">
        <f>IFERROR(__xludf.DUMMYFUNCTION("""COMPUTED_VALUE"""),6.0)</f>
        <v>6</v>
      </c>
      <c r="I574" s="10">
        <f>IFERROR(__xludf.DUMMYFUNCTION("""COMPUTED_VALUE"""),4.0)</f>
        <v>4</v>
      </c>
      <c r="J574" s="10">
        <f>IFERROR(__xludf.DUMMYFUNCTION("""COMPUTED_VALUE"""),6.0)</f>
        <v>6</v>
      </c>
      <c r="K574" s="10">
        <f>IFERROR(__xludf.DUMMYFUNCTION("""COMPUTED_VALUE"""),9.0)</f>
        <v>9</v>
      </c>
      <c r="L574" s="10">
        <f>IFERROR(__xludf.DUMMYFUNCTION("""COMPUTED_VALUE"""),0.0)</f>
        <v>0</v>
      </c>
      <c r="M574" s="10">
        <f>IFERROR(__xludf.DUMMYFUNCTION("""COMPUTED_VALUE"""),7.0)</f>
        <v>7</v>
      </c>
      <c r="N574" s="10">
        <f>IFERROR(__xludf.DUMMYFUNCTION("""COMPUTED_VALUE"""),0.0)</f>
        <v>0</v>
      </c>
      <c r="O574" s="10">
        <f>IFERROR(__xludf.DUMMYFUNCTION("""COMPUTED_VALUE"""),8.0)</f>
        <v>8</v>
      </c>
      <c r="P574" s="10">
        <f>IFERROR(__xludf.DUMMYFUNCTION("""COMPUTED_VALUE"""),0.0)</f>
        <v>0</v>
      </c>
      <c r="Q574" s="10" t="str">
        <f>IFERROR(__xludf.DUMMYFUNCTION("""COMPUTED_VALUE"""),"Yes")</f>
        <v>Yes</v>
      </c>
      <c r="R574" s="10" t="str">
        <f>IFERROR(__xludf.DUMMYFUNCTION("""COMPUTED_VALUE"""),"No")</f>
        <v>No</v>
      </c>
      <c r="S574" s="10" t="str">
        <f>IFERROR(__xludf.DUMMYFUNCTION("""COMPUTED_VALUE"""),"Yes")</f>
        <v>Yes</v>
      </c>
      <c r="T574" s="10">
        <f>IFERROR(__xludf.DUMMYFUNCTION("""COMPUTED_VALUE"""),0.0)</f>
        <v>0</v>
      </c>
      <c r="U574" s="10">
        <f>IFERROR(__xludf.DUMMYFUNCTION("""COMPUTED_VALUE"""),0.0)</f>
        <v>0</v>
      </c>
      <c r="V574" s="10" t="str">
        <f>IFERROR(__xludf.DUMMYFUNCTION("""COMPUTED_VALUE"""),"عورت کے حقوق ")</f>
        <v>عورت کے حقوق </v>
      </c>
      <c r="W574" s="10" t="str">
        <f>IFERROR(__xludf.DUMMYFUNCTION("""COMPUTED_VALUE"""),"سارے معاملات اور فیصلے قران کے مطابق سر انجام پانا ۔ امد رسول صلی اللہ علیہ والہ وسلم سے پہلے عورت کے ساتھ کیے جانے والا سلوک اور بیٹی کی پیدائش کی خبر پر رویہ ایک صحابی رسول صلی اللہ علیہ وسلم کا بیٹی کو زندہ دفنانا اور پھر گناہ کی معافی کا طلبگار ہونا ۔"&amp;" غزوہ حنین کے موقع پر بی بی بی بی شیمہ رضی اللہ تعالی عنہ جو حضور صلی اللہ علیہ والہ وسلم  کی رضائی بہن کی  امد اور حضور پاک صلی اللہ علیہ والہ وسلم کا ان کا احترام کرنا ۔ اور حضور پاک صلی اللہ علیہ وسلم کا اپنی بیٹی فاطمہ الزہرا کا استقبال کرنا اور ان کا"&amp;" احترام کرنا ۔ اج موجودہ دور  کے معاشرے میں گھر میں بیوی سے کیے جانے والا سلوک اور بیٹی کو تعلیم دلوانے پر زور دیا گیا ۔ ")</f>
        <v>سارے معاملات اور فیصلے قران کے مطابق سر انجام پانا ۔ امد رسول صلی اللہ علیہ والہ وسلم سے پہلے عورت کے ساتھ کیے جانے والا سلوک اور بیٹی کی پیدائش کی خبر پر رویہ ایک صحابی رسول صلی اللہ علیہ وسلم کا بیٹی کو زندہ دفنانا اور پھر گناہ کی معافی کا طلبگار ہونا ۔ غزوہ حنین کے موقع پر بی بی بی بی شیمہ رضی اللہ تعالی عنہ جو حضور صلی اللہ علیہ والہ وسلم  کی رضائی بہن کی  امد اور حضور پاک صلی اللہ علیہ والہ وسلم کا ان کا احترام کرنا ۔ اور حضور پاک صلی اللہ علیہ وسلم کا اپنی بیٹی فاطمہ الزہرا کا استقبال کرنا اور ان کا احترام کرنا ۔ اج موجودہ دور  کے معاشرے میں گھر میں بیوی سے کیے جانے والا سلوک اور بیٹی کو تعلیم دلوانے پر زور دیا گیا ۔ </v>
      </c>
      <c r="X574" s="10">
        <f>IFERROR(__xludf.DUMMYFUNCTION("""COMPUTED_VALUE"""),0.0)</f>
        <v>0</v>
      </c>
      <c r="Y574" s="10">
        <f>IFERROR(__xludf.DUMMYFUNCTION("""COMPUTED_VALUE"""),0.0)</f>
        <v>0</v>
      </c>
      <c r="Z574" s="10">
        <f>IFERROR(__xludf.DUMMYFUNCTION("""COMPUTED_VALUE"""),4.0)</f>
        <v>4</v>
      </c>
      <c r="AA574" s="10">
        <f>IFERROR(__xludf.DUMMYFUNCTION("""COMPUTED_VALUE"""),8.0)</f>
        <v>8</v>
      </c>
      <c r="AB574" s="10">
        <f>IFERROR(__xludf.DUMMYFUNCTION("""COMPUTED_VALUE"""),7.0)</f>
        <v>7</v>
      </c>
      <c r="AC574" s="10">
        <f>IFERROR(__xludf.DUMMYFUNCTION("""COMPUTED_VALUE"""),0.0)</f>
        <v>0</v>
      </c>
      <c r="AD574" s="10">
        <f>IFERROR(__xludf.DUMMYFUNCTION("""COMPUTED_VALUE"""),0.0)</f>
        <v>0</v>
      </c>
      <c r="AE574" s="10">
        <f>IFERROR(__xludf.DUMMYFUNCTION("""COMPUTED_VALUE"""),0.0)</f>
        <v>0</v>
      </c>
      <c r="AF574" s="10">
        <f>IFERROR(__xludf.DUMMYFUNCTION("""COMPUTED_VALUE"""),0.0)</f>
        <v>0</v>
      </c>
      <c r="AG574" s="10">
        <f>IFERROR(__xludf.DUMMYFUNCTION("""COMPUTED_VALUE"""),9.0)</f>
        <v>9</v>
      </c>
      <c r="AH574" s="10">
        <f>IFERROR(__xludf.DUMMYFUNCTION("""COMPUTED_VALUE"""),0.0)</f>
        <v>0</v>
      </c>
      <c r="AI574" s="10">
        <f>IFERROR(__xludf.DUMMYFUNCTION("""COMPUTED_VALUE"""),9.0)</f>
        <v>9</v>
      </c>
      <c r="AJ574" s="11" t="str">
        <f>IFERROR(__xludf.DUMMYFUNCTION("""COMPUTED_VALUE"""),"https://drive.google.com/open?id=1R-j5jUIMjZusWU3tmca9wX0qHWcrPJVgSuRgEBvNJ0U")</f>
        <v>https://drive.google.com/open?id=1R-j5jUIMjZusWU3tmca9wX0qHWcrPJVgSuRgEBvNJ0U</v>
      </c>
      <c r="AK574" s="12"/>
      <c r="AL574" s="12" t="str">
        <f>IFERROR(__xludf.DUMMYFUNCTION("""COMPUTED_VALUE"""),"Yes")</f>
        <v>Yes</v>
      </c>
      <c r="AM574" s="15">
        <f>IFERROR(__xludf.DUMMYFUNCTION("""COMPUTED_VALUE"""),0.6)</f>
        <v>0.6</v>
      </c>
      <c r="AN574" s="12" t="str">
        <f>IFERROR(__xludf.DUMMYFUNCTION("""COMPUTED_VALUE"""),"1st week")</f>
        <v>1st week</v>
      </c>
      <c r="AO574" s="13">
        <v>1.0</v>
      </c>
      <c r="AX574" s="17"/>
    </row>
    <row r="575">
      <c r="B575" s="9">
        <f>IFERROR(__xludf.DUMMYFUNCTION("""COMPUTED_VALUE"""),45892.579682048614)</f>
        <v>45892.57968</v>
      </c>
      <c r="C575" s="10" t="str">
        <f>IFERROR(__xludf.DUMMYFUNCTION("""COMPUTED_VALUE"""),"Muqaddas bibi ")</f>
        <v>Muqaddas bibi </v>
      </c>
      <c r="D575" s="10" t="str">
        <f>IFERROR(__xludf.DUMMYFUNCTION("""COMPUTED_VALUE"""),"03075314147")</f>
        <v>03075314147</v>
      </c>
      <c r="E575" s="10" t="str">
        <f>IFERROR(__xludf.DUMMYFUNCTION("""COMPUTED_VALUE"""),"Jamia masjid shah rukan Alan Multan ")</f>
        <v>Jamia masjid shah rukan Alan Multan </v>
      </c>
      <c r="F575" s="10" t="str">
        <f>IFERROR(__xludf.DUMMYFUNCTION("""COMPUTED_VALUE"""),"yeigp")</f>
        <v>yeigp</v>
      </c>
      <c r="G575" s="10" t="str">
        <f>IFERROR(__xludf.DUMMYFUNCTION("""COMPUTED_VALUE"""),"Yes")</f>
        <v>Yes</v>
      </c>
      <c r="H575" s="10">
        <f>IFERROR(__xludf.DUMMYFUNCTION("""COMPUTED_VALUE"""),0.0)</f>
        <v>0</v>
      </c>
      <c r="I575" s="10">
        <f>IFERROR(__xludf.DUMMYFUNCTION("""COMPUTED_VALUE"""),10.0)</f>
        <v>10</v>
      </c>
      <c r="J575" s="10">
        <f>IFERROR(__xludf.DUMMYFUNCTION("""COMPUTED_VALUE"""),0.0)</f>
        <v>0</v>
      </c>
      <c r="K575" s="10">
        <f>IFERROR(__xludf.DUMMYFUNCTION("""COMPUTED_VALUE"""),0.0)</f>
        <v>0</v>
      </c>
      <c r="L575" s="10">
        <f>IFERROR(__xludf.DUMMYFUNCTION("""COMPUTED_VALUE"""),0.0)</f>
        <v>0</v>
      </c>
      <c r="M575" s="10">
        <f>IFERROR(__xludf.DUMMYFUNCTION("""COMPUTED_VALUE"""),0.0)</f>
        <v>0</v>
      </c>
      <c r="N575" s="10">
        <f>IFERROR(__xludf.DUMMYFUNCTION("""COMPUTED_VALUE"""),0.0)</f>
        <v>0</v>
      </c>
      <c r="O575" s="10">
        <f>IFERROR(__xludf.DUMMYFUNCTION("""COMPUTED_VALUE"""),0.0)</f>
        <v>0</v>
      </c>
      <c r="P575" s="10">
        <f>IFERROR(__xludf.DUMMYFUNCTION("""COMPUTED_VALUE"""),0.0)</f>
        <v>0</v>
      </c>
      <c r="Q575" s="10" t="str">
        <f>IFERROR(__xludf.DUMMYFUNCTION("""COMPUTED_VALUE"""),"No")</f>
        <v>No</v>
      </c>
      <c r="R575" s="10" t="str">
        <f>IFERROR(__xludf.DUMMYFUNCTION("""COMPUTED_VALUE"""),"No")</f>
        <v>No</v>
      </c>
      <c r="S575" s="10" t="str">
        <f>IFERROR(__xludf.DUMMYFUNCTION("""COMPUTED_VALUE"""),"No")</f>
        <v>No</v>
      </c>
      <c r="T575" s="10">
        <f>IFERROR(__xludf.DUMMYFUNCTION("""COMPUTED_VALUE"""),0.0)</f>
        <v>0</v>
      </c>
      <c r="U575" s="10">
        <f>IFERROR(__xludf.DUMMYFUNCTION("""COMPUTED_VALUE"""),0.0)</f>
        <v>0</v>
      </c>
      <c r="V575" s="10" t="str">
        <f>IFERROR(__xludf.DUMMYFUNCTION("""COMPUTED_VALUE"""),"شہادت امام حسین کا مقصد اور پیغام")</f>
        <v>شہادت امام حسین کا مقصد اور پیغام</v>
      </c>
      <c r="W575" s="10" t="str">
        <f>IFERROR(__xludf.DUMMYFUNCTION("""COMPUTED_VALUE"""),"یہ بیان واقع کربلا کے حقیقی مقصد کو اجاگر کرتا ہے کہ امام حسین نے پانی یا دنیاوی ضرورت کے لیے نہیں بلکہ اللہ کی رضا اور دین مصطفی کی بقا کے لیے قربانی دی حسین کا پیغام یہ ہے کہ صرف نعرے لگانے سے حسینی نہیں بنا جا سکتا بلکہ عمل اور قربانی سے دین کو زندہ رک"&amp;"ھنا ہی اصل حسینی ہونا ہے")</f>
        <v>یہ بیان واقع کربلا کے حقیقی مقصد کو اجاگر کرتا ہے کہ امام حسین نے پانی یا دنیاوی ضرورت کے لیے نہیں بلکہ اللہ کی رضا اور دین مصطفی کی بقا کے لیے قربانی دی حسین کا پیغام یہ ہے کہ صرف نعرے لگانے سے حسینی نہیں بنا جا سکتا بلکہ عمل اور قربانی سے دین کو زندہ رکھنا ہی اصل حسینی ہونا ہے</v>
      </c>
      <c r="X575" s="10">
        <f>IFERROR(__xludf.DUMMYFUNCTION("""COMPUTED_VALUE"""),0.0)</f>
        <v>0</v>
      </c>
      <c r="Y575" s="10">
        <f>IFERROR(__xludf.DUMMYFUNCTION("""COMPUTED_VALUE"""),0.0)</f>
        <v>0</v>
      </c>
      <c r="Z575" s="10">
        <f>IFERROR(__xludf.DUMMYFUNCTION("""COMPUTED_VALUE"""),2.0)</f>
        <v>2</v>
      </c>
      <c r="AA575" s="10">
        <f>IFERROR(__xludf.DUMMYFUNCTION("""COMPUTED_VALUE"""),2.0)</f>
        <v>2</v>
      </c>
      <c r="AB575" s="10">
        <f>IFERROR(__xludf.DUMMYFUNCTION("""COMPUTED_VALUE"""),3.0)</f>
        <v>3</v>
      </c>
      <c r="AC575" s="10">
        <f>IFERROR(__xludf.DUMMYFUNCTION("""COMPUTED_VALUE"""),0.0)</f>
        <v>0</v>
      </c>
      <c r="AD575" s="10">
        <f>IFERROR(__xludf.DUMMYFUNCTION("""COMPUTED_VALUE"""),3.0)</f>
        <v>3</v>
      </c>
      <c r="AE575" s="10">
        <f>IFERROR(__xludf.DUMMYFUNCTION("""COMPUTED_VALUE"""),0.0)</f>
        <v>0</v>
      </c>
      <c r="AF575" s="10">
        <f>IFERROR(__xludf.DUMMYFUNCTION("""COMPUTED_VALUE"""),0.0)</f>
        <v>0</v>
      </c>
      <c r="AG575" s="10">
        <f>IFERROR(__xludf.DUMMYFUNCTION("""COMPUTED_VALUE"""),9.0)</f>
        <v>9</v>
      </c>
      <c r="AH575" s="10">
        <f>IFERROR(__xludf.DUMMYFUNCTION("""COMPUTED_VALUE"""),0.0)</f>
        <v>0</v>
      </c>
      <c r="AI575" s="10">
        <f>IFERROR(__xludf.DUMMYFUNCTION("""COMPUTED_VALUE"""),9.0)</f>
        <v>9</v>
      </c>
      <c r="AJ575" s="11" t="str">
        <f>IFERROR(__xludf.DUMMYFUNCTION("""COMPUTED_VALUE"""),"https://drive.google.com/open?id=1kfmXUGCFp3R3Rx0heKIhA7gqE6pPrQdA")</f>
        <v>https://drive.google.com/open?id=1kfmXUGCFp3R3Rx0heKIhA7gqE6pPrQdA</v>
      </c>
      <c r="AK575" s="12" t="str">
        <f>IFERROR(__xludf.DUMMYFUNCTION("""COMPUTED_VALUE"""),"Nill")</f>
        <v>Nill</v>
      </c>
      <c r="AL575" s="12" t="str">
        <f>IFERROR(__xludf.DUMMYFUNCTION("""COMPUTED_VALUE"""),"Yes")</f>
        <v>Yes</v>
      </c>
      <c r="AM575" s="15">
        <f>IFERROR(__xludf.DUMMYFUNCTION("""COMPUTED_VALUE"""),0.0)</f>
        <v>0</v>
      </c>
      <c r="AN575" s="12" t="str">
        <f>IFERROR(__xludf.DUMMYFUNCTION("""COMPUTED_VALUE"""),"1st week")</f>
        <v>1st week</v>
      </c>
      <c r="AO575" s="13">
        <v>1.0</v>
      </c>
      <c r="AX575" s="17"/>
    </row>
    <row r="576">
      <c r="B576" s="9">
        <f>IFERROR(__xludf.DUMMYFUNCTION("""COMPUTED_VALUE"""),45892.59314927083)</f>
        <v>45892.59315</v>
      </c>
      <c r="C576" s="10" t="str">
        <f>IFERROR(__xludf.DUMMYFUNCTION("""COMPUTED_VALUE"""),"Muqaddas Bibi ")</f>
        <v>Muqaddas Bibi </v>
      </c>
      <c r="D576" s="10" t="str">
        <f>IFERROR(__xludf.DUMMYFUNCTION("""COMPUTED_VALUE"""),"03075314147")</f>
        <v>03075314147</v>
      </c>
      <c r="E576" s="10" t="str">
        <f>IFERROR(__xludf.DUMMYFUNCTION("""COMPUTED_VALUE"""),"Jamia masjid alsadiq bahawalpur ")</f>
        <v>Jamia masjid alsadiq bahawalpur </v>
      </c>
      <c r="F576" s="10" t="str">
        <f>IFERROR(__xludf.DUMMYFUNCTION("""COMPUTED_VALUE"""),"xnhgf")</f>
        <v>xnhgf</v>
      </c>
      <c r="G576" s="10" t="str">
        <f>IFERROR(__xludf.DUMMYFUNCTION("""COMPUTED_VALUE"""),"No")</f>
        <v>No</v>
      </c>
      <c r="H576" s="10"/>
      <c r="I576" s="10"/>
      <c r="J576" s="10"/>
      <c r="K576" s="10">
        <f>IFERROR(__xludf.DUMMYFUNCTION("""COMPUTED_VALUE"""),0.0)</f>
        <v>0</v>
      </c>
      <c r="L576" s="10">
        <f>IFERROR(__xludf.DUMMYFUNCTION("""COMPUTED_VALUE"""),0.0)</f>
        <v>0</v>
      </c>
      <c r="M576" s="10">
        <f>IFERROR(__xludf.DUMMYFUNCTION("""COMPUTED_VALUE"""),0.0)</f>
        <v>0</v>
      </c>
      <c r="N576" s="10">
        <f>IFERROR(__xludf.DUMMYFUNCTION("""COMPUTED_VALUE"""),0.0)</f>
        <v>0</v>
      </c>
      <c r="O576" s="10">
        <f>IFERROR(__xludf.DUMMYFUNCTION("""COMPUTED_VALUE"""),0.0)</f>
        <v>0</v>
      </c>
      <c r="P576" s="10">
        <f>IFERROR(__xludf.DUMMYFUNCTION("""COMPUTED_VALUE"""),0.0)</f>
        <v>0</v>
      </c>
      <c r="Q576" s="10" t="str">
        <f>IFERROR(__xludf.DUMMYFUNCTION("""COMPUTED_VALUE"""),"No")</f>
        <v>No</v>
      </c>
      <c r="R576" s="10" t="str">
        <f>IFERROR(__xludf.DUMMYFUNCTION("""COMPUTED_VALUE"""),"No")</f>
        <v>No</v>
      </c>
      <c r="S576" s="10" t="str">
        <f>IFERROR(__xludf.DUMMYFUNCTION("""COMPUTED_VALUE"""),"No")</f>
        <v>No</v>
      </c>
      <c r="T576" s="10">
        <f>IFERROR(__xludf.DUMMYFUNCTION("""COMPUTED_VALUE"""),0.0)</f>
        <v>0</v>
      </c>
      <c r="U576" s="10">
        <f>IFERROR(__xludf.DUMMYFUNCTION("""COMPUTED_VALUE"""),0.0)</f>
        <v>0</v>
      </c>
      <c r="V576" s="10" t="str">
        <f>IFERROR(__xludf.DUMMYFUNCTION("""COMPUTED_VALUE"""),"ذکر الہی کی فضیلت اور ختم نبوت کا تحفظ")</f>
        <v>ذکر الہی کی فضیلت اور ختم نبوت کا تحفظ</v>
      </c>
      <c r="W576" s="10" t="str">
        <f>IFERROR(__xludf.DUMMYFUNCTION("""COMPUTED_VALUE"""),"قران و حدیث میں بار بار ذکر الہی کی اہمیت اور ان کی برکتوں کو بیان کیا گیا ہے کہ یہی دلوں کے سکون اور نجات کا ذریعہ ہے ساتھ ہی ختم نبوت کے قانون کے تحفظ پر زور دیا گیا ہے اور مسلمانوں کو اس کے دفاع پر مبارکباد پیش کی گئی ہے")</f>
        <v>قران و حدیث میں بار بار ذکر الہی کی اہمیت اور ان کی برکتوں کو بیان کیا گیا ہے کہ یہی دلوں کے سکون اور نجات کا ذریعہ ہے ساتھ ہی ختم نبوت کے قانون کے تحفظ پر زور دیا گیا ہے اور مسلمانوں کو اس کے دفاع پر مبارکباد پیش کی گئی ہے</v>
      </c>
      <c r="X576" s="10">
        <f>IFERROR(__xludf.DUMMYFUNCTION("""COMPUTED_VALUE"""),5.0)</f>
        <v>5</v>
      </c>
      <c r="Y576" s="10">
        <f>IFERROR(__xludf.DUMMYFUNCTION("""COMPUTED_VALUE"""),3.0)</f>
        <v>3</v>
      </c>
      <c r="Z576" s="10">
        <f>IFERROR(__xludf.DUMMYFUNCTION("""COMPUTED_VALUE"""),5.0)</f>
        <v>5</v>
      </c>
      <c r="AA576" s="10">
        <f>IFERROR(__xludf.DUMMYFUNCTION("""COMPUTED_VALUE"""),3.0)</f>
        <v>3</v>
      </c>
      <c r="AB576" s="10">
        <f>IFERROR(__xludf.DUMMYFUNCTION("""COMPUTED_VALUE"""),0.0)</f>
        <v>0</v>
      </c>
      <c r="AC576" s="10">
        <f>IFERROR(__xludf.DUMMYFUNCTION("""COMPUTED_VALUE"""),0.0)</f>
        <v>0</v>
      </c>
      <c r="AD576" s="10">
        <f>IFERROR(__xludf.DUMMYFUNCTION("""COMPUTED_VALUE"""),5.0)</f>
        <v>5</v>
      </c>
      <c r="AE576" s="10">
        <f>IFERROR(__xludf.DUMMYFUNCTION("""COMPUTED_VALUE"""),0.0)</f>
        <v>0</v>
      </c>
      <c r="AF576" s="10">
        <f>IFERROR(__xludf.DUMMYFUNCTION("""COMPUTED_VALUE"""),0.0)</f>
        <v>0</v>
      </c>
      <c r="AG576" s="10">
        <f>IFERROR(__xludf.DUMMYFUNCTION("""COMPUTED_VALUE"""),8.0)</f>
        <v>8</v>
      </c>
      <c r="AH576" s="10">
        <f>IFERROR(__xludf.DUMMYFUNCTION("""COMPUTED_VALUE"""),0.0)</f>
        <v>0</v>
      </c>
      <c r="AI576" s="10">
        <f>IFERROR(__xludf.DUMMYFUNCTION("""COMPUTED_VALUE"""),9.0)</f>
        <v>9</v>
      </c>
      <c r="AJ576" s="11" t="str">
        <f>IFERROR(__xludf.DUMMYFUNCTION("""COMPUTED_VALUE"""),"https://drive.google.com/open?id=1SIcbR0KOBfJ4q7EdJ_i6tqCE0einmop5gaKaZL7YFS8")</f>
        <v>https://drive.google.com/open?id=1SIcbR0KOBfJ4q7EdJ_i6tqCE0einmop5gaKaZL7YFS8</v>
      </c>
      <c r="AK576" s="12" t="str">
        <f>IFERROR(__xludf.DUMMYFUNCTION("""COMPUTED_VALUE"""),"Nill")</f>
        <v>Nill</v>
      </c>
      <c r="AL576" s="12"/>
      <c r="AM576" s="12"/>
      <c r="AN576" s="12" t="str">
        <f>IFERROR(__xludf.DUMMYFUNCTION("""COMPUTED_VALUE"""),"1st week")</f>
        <v>1st week</v>
      </c>
      <c r="AO576" s="13">
        <v>1.0</v>
      </c>
      <c r="AX576" s="17"/>
    </row>
    <row r="577">
      <c r="B577" s="9">
        <f>IFERROR(__xludf.DUMMYFUNCTION("""COMPUTED_VALUE"""),45892.615062638884)</f>
        <v>45892.61506</v>
      </c>
      <c r="C577" s="10" t="str">
        <f>IFERROR(__xludf.DUMMYFUNCTION("""COMPUTED_VALUE"""),"Muqaddas bibi ")</f>
        <v>Muqaddas bibi </v>
      </c>
      <c r="D577" s="10" t="str">
        <f>IFERROR(__xludf.DUMMYFUNCTION("""COMPUTED_VALUE"""),"03075314147")</f>
        <v>03075314147</v>
      </c>
      <c r="E577" s="10" t="str">
        <f>IFERROR(__xludf.DUMMYFUNCTION("""COMPUTED_VALUE"""),"Jamia masjid Rasheed huqani muhdum ")</f>
        <v>Jamia masjid Rasheed huqani muhdum </v>
      </c>
      <c r="F577" s="10" t="str">
        <f>IFERROR(__xludf.DUMMYFUNCTION("""COMPUTED_VALUE"""),"cqxog")</f>
        <v>cqxog</v>
      </c>
      <c r="G577" s="10" t="str">
        <f>IFERROR(__xludf.DUMMYFUNCTION("""COMPUTED_VALUE"""),"Yes")</f>
        <v>Yes</v>
      </c>
      <c r="H577" s="10">
        <f>IFERROR(__xludf.DUMMYFUNCTION("""COMPUTED_VALUE"""),0.0)</f>
        <v>0</v>
      </c>
      <c r="I577" s="10">
        <f>IFERROR(__xludf.DUMMYFUNCTION("""COMPUTED_VALUE"""),10.0)</f>
        <v>10</v>
      </c>
      <c r="J577" s="10">
        <f>IFERROR(__xludf.DUMMYFUNCTION("""COMPUTED_VALUE"""),0.0)</f>
        <v>0</v>
      </c>
      <c r="K577" s="10">
        <f>IFERROR(__xludf.DUMMYFUNCTION("""COMPUTED_VALUE"""),0.0)</f>
        <v>0</v>
      </c>
      <c r="L577" s="10">
        <f>IFERROR(__xludf.DUMMYFUNCTION("""COMPUTED_VALUE"""),0.0)</f>
        <v>0</v>
      </c>
      <c r="M577" s="10">
        <f>IFERROR(__xludf.DUMMYFUNCTION("""COMPUTED_VALUE"""),0.0)</f>
        <v>0</v>
      </c>
      <c r="N577" s="10">
        <f>IFERROR(__xludf.DUMMYFUNCTION("""COMPUTED_VALUE"""),0.0)</f>
        <v>0</v>
      </c>
      <c r="O577" s="10">
        <f>IFERROR(__xludf.DUMMYFUNCTION("""COMPUTED_VALUE"""),0.0)</f>
        <v>0</v>
      </c>
      <c r="P577" s="10">
        <f>IFERROR(__xludf.DUMMYFUNCTION("""COMPUTED_VALUE"""),0.0)</f>
        <v>0</v>
      </c>
      <c r="Q577" s="10" t="str">
        <f>IFERROR(__xludf.DUMMYFUNCTION("""COMPUTED_VALUE"""),"No")</f>
        <v>No</v>
      </c>
      <c r="R577" s="10" t="str">
        <f>IFERROR(__xludf.DUMMYFUNCTION("""COMPUTED_VALUE"""),"No")</f>
        <v>No</v>
      </c>
      <c r="S577" s="10" t="str">
        <f>IFERROR(__xludf.DUMMYFUNCTION("""COMPUTED_VALUE"""),"No")</f>
        <v>No</v>
      </c>
      <c r="T577" s="10">
        <f>IFERROR(__xludf.DUMMYFUNCTION("""COMPUTED_VALUE"""),0.0)</f>
        <v>0</v>
      </c>
      <c r="U577" s="10">
        <f>IFERROR(__xludf.DUMMYFUNCTION("""COMPUTED_VALUE"""),0.0)</f>
        <v>0</v>
      </c>
      <c r="V577" s="10" t="str">
        <f>IFERROR(__xludf.DUMMYFUNCTION("""COMPUTED_VALUE"""),"حضرت داتا گنج بخش کی تعلیمات اور مقام")</f>
        <v>حضرت داتا گنج بخش کی تعلیمات اور مقام</v>
      </c>
      <c r="W577" s="10" t="str">
        <f>IFERROR(__xludf.DUMMYFUNCTION("""COMPUTED_VALUE"""),"حضرت داتا گنج بخش نے قران و حدیث کی روشنی میں علم ادب اور سنت نبوی پر عمل کو ولی کامل کی پہچان قرار دیا اپ نے اپنی کتاب کے ذریعے دین کی تبلیغ اخلاقی تربیت اور انسان کو اللہ کا قرب حاصل کرنے کا راستہ واضح کیا")</f>
        <v>حضرت داتا گنج بخش نے قران و حدیث کی روشنی میں علم ادب اور سنت نبوی پر عمل کو ولی کامل کی پہچان قرار دیا اپ نے اپنی کتاب کے ذریعے دین کی تبلیغ اخلاقی تربیت اور انسان کو اللہ کا قرب حاصل کرنے کا راستہ واضح کیا</v>
      </c>
      <c r="X577" s="10">
        <f>IFERROR(__xludf.DUMMYFUNCTION("""COMPUTED_VALUE"""),0.0)</f>
        <v>0</v>
      </c>
      <c r="Y577" s="10">
        <f>IFERROR(__xludf.DUMMYFUNCTION("""COMPUTED_VALUE"""),7.0)</f>
        <v>7</v>
      </c>
      <c r="Z577" s="10">
        <f>IFERROR(__xludf.DUMMYFUNCTION("""COMPUTED_VALUE"""),3.0)</f>
        <v>3</v>
      </c>
      <c r="AA577" s="10">
        <f>IFERROR(__xludf.DUMMYFUNCTION("""COMPUTED_VALUE"""),2.0)</f>
        <v>2</v>
      </c>
      <c r="AB577" s="10">
        <f>IFERROR(__xludf.DUMMYFUNCTION("""COMPUTED_VALUE"""),3.0)</f>
        <v>3</v>
      </c>
      <c r="AC577" s="10">
        <f>IFERROR(__xludf.DUMMYFUNCTION("""COMPUTED_VALUE"""),0.0)</f>
        <v>0</v>
      </c>
      <c r="AD577" s="10">
        <f>IFERROR(__xludf.DUMMYFUNCTION("""COMPUTED_VALUE"""),2.0)</f>
        <v>2</v>
      </c>
      <c r="AE577" s="10">
        <f>IFERROR(__xludf.DUMMYFUNCTION("""COMPUTED_VALUE"""),0.0)</f>
        <v>0</v>
      </c>
      <c r="AF577" s="10">
        <f>IFERROR(__xludf.DUMMYFUNCTION("""COMPUTED_VALUE"""),0.0)</f>
        <v>0</v>
      </c>
      <c r="AG577" s="10">
        <f>IFERROR(__xludf.DUMMYFUNCTION("""COMPUTED_VALUE"""),10.0)</f>
        <v>10</v>
      </c>
      <c r="AH577" s="10">
        <f>IFERROR(__xludf.DUMMYFUNCTION("""COMPUTED_VALUE"""),0.0)</f>
        <v>0</v>
      </c>
      <c r="AI577" s="10">
        <f>IFERROR(__xludf.DUMMYFUNCTION("""COMPUTED_VALUE"""),8.0)</f>
        <v>8</v>
      </c>
      <c r="AJ577" s="11" t="str">
        <f>IFERROR(__xludf.DUMMYFUNCTION("""COMPUTED_VALUE"""),"https://drive.google.com/open?id=1myLjHTYSMhEuJE6UB_joPzQFHWbcbPu-")</f>
        <v>https://drive.google.com/open?id=1myLjHTYSMhEuJE6UB_joPzQFHWbcbPu-</v>
      </c>
      <c r="AK577" s="12" t="str">
        <f>IFERROR(__xludf.DUMMYFUNCTION("""COMPUTED_VALUE"""),"Nill")</f>
        <v>Nill</v>
      </c>
      <c r="AL577" s="12" t="str">
        <f>IFERROR(__xludf.DUMMYFUNCTION("""COMPUTED_VALUE"""),"Yes")</f>
        <v>Yes</v>
      </c>
      <c r="AM577" s="15">
        <f>IFERROR(__xludf.DUMMYFUNCTION("""COMPUTED_VALUE"""),0.0)</f>
        <v>0</v>
      </c>
      <c r="AN577" s="12" t="str">
        <f>IFERROR(__xludf.DUMMYFUNCTION("""COMPUTED_VALUE"""),"2nd week")</f>
        <v>2nd week</v>
      </c>
      <c r="AO577" s="13">
        <v>2.0</v>
      </c>
      <c r="AX577" s="17"/>
    </row>
    <row r="578">
      <c r="B578" s="9">
        <f>IFERROR(__xludf.DUMMYFUNCTION("""COMPUTED_VALUE"""),45892.672231550925)</f>
        <v>45892.67223</v>
      </c>
      <c r="C578" s="10" t="str">
        <f>IFERROR(__xludf.DUMMYFUNCTION("""COMPUTED_VALUE"""),"Javeria Abbas ")</f>
        <v>Javeria Abbas </v>
      </c>
      <c r="D578" s="10" t="str">
        <f>IFERROR(__xludf.DUMMYFUNCTION("""COMPUTED_VALUE"""),"03211539026")</f>
        <v>03211539026</v>
      </c>
      <c r="E578" s="10" t="str">
        <f>IFERROR(__xludf.DUMMYFUNCTION("""COMPUTED_VALUE"""),"Jamia Masjid Balochaan Wali Multan")</f>
        <v>Jamia Masjid Balochaan Wali Multan</v>
      </c>
      <c r="F578" s="10" t="str">
        <f>IFERROR(__xludf.DUMMYFUNCTION("""COMPUTED_VALUE"""),"anrol")</f>
        <v>anrol</v>
      </c>
      <c r="G578" s="10" t="str">
        <f>IFERROR(__xludf.DUMMYFUNCTION("""COMPUTED_VALUE"""),"Yes")</f>
        <v>Yes</v>
      </c>
      <c r="H578" s="10">
        <f>IFERROR(__xludf.DUMMYFUNCTION("""COMPUTED_VALUE"""),0.0)</f>
        <v>0</v>
      </c>
      <c r="I578" s="10">
        <f>IFERROR(__xludf.DUMMYFUNCTION("""COMPUTED_VALUE"""),10.0)</f>
        <v>10</v>
      </c>
      <c r="J578" s="10">
        <f>IFERROR(__xludf.DUMMYFUNCTION("""COMPUTED_VALUE"""),7.0)</f>
        <v>7</v>
      </c>
      <c r="K578" s="10">
        <f>IFERROR(__xludf.DUMMYFUNCTION("""COMPUTED_VALUE"""),10.0)</f>
        <v>10</v>
      </c>
      <c r="L578" s="10">
        <f>IFERROR(__xludf.DUMMYFUNCTION("""COMPUTED_VALUE"""),0.0)</f>
        <v>0</v>
      </c>
      <c r="M578" s="10">
        <f>IFERROR(__xludf.DUMMYFUNCTION("""COMPUTED_VALUE"""),7.0)</f>
        <v>7</v>
      </c>
      <c r="N578" s="10">
        <f>IFERROR(__xludf.DUMMYFUNCTION("""COMPUTED_VALUE"""),0.0)</f>
        <v>0</v>
      </c>
      <c r="O578" s="10">
        <f>IFERROR(__xludf.DUMMYFUNCTION("""COMPUTED_VALUE"""),10.0)</f>
        <v>10</v>
      </c>
      <c r="P578" s="10">
        <f>IFERROR(__xludf.DUMMYFUNCTION("""COMPUTED_VALUE"""),0.0)</f>
        <v>0</v>
      </c>
      <c r="Q578" s="10" t="str">
        <f>IFERROR(__xludf.DUMMYFUNCTION("""COMPUTED_VALUE"""),"No")</f>
        <v>No</v>
      </c>
      <c r="R578" s="10" t="str">
        <f>IFERROR(__xludf.DUMMYFUNCTION("""COMPUTED_VALUE"""),"No")</f>
        <v>No</v>
      </c>
      <c r="S578" s="10" t="str">
        <f>IFERROR(__xludf.DUMMYFUNCTION("""COMPUTED_VALUE"""),"No")</f>
        <v>No</v>
      </c>
      <c r="T578" s="10">
        <f>IFERROR(__xludf.DUMMYFUNCTION("""COMPUTED_VALUE"""),0.0)</f>
        <v>0</v>
      </c>
      <c r="U578" s="10">
        <f>IFERROR(__xludf.DUMMYFUNCTION("""COMPUTED_VALUE"""),0.0)</f>
        <v>0</v>
      </c>
      <c r="V578" s="10" t="str">
        <f>IFERROR(__xludf.DUMMYFUNCTION("""COMPUTED_VALUE"""),"اسلام میں عورتوں کا مقام اور کردار")</f>
        <v>اسلام میں عورتوں کا مقام اور کردار</v>
      </c>
      <c r="W578" s="10" t="str">
        <f>IFERROR(__xludf.DUMMYFUNCTION("""COMPUTED_VALUE"""),"مردوں کو عورتوں کے ساتھ حسن سلوک کے ساتھ پیش انا چاہیے عورتوں کو اقتصادی معاشی سرگرمیوں میں حصہ لینے کی اجازت دینی چاہیے کیونکہ اسلام نے ان کو ایک چیز کی اجازت دی ہےاور اگر عورت کوئی رائے دے بچوں کی تربیت کے لحاظ سے یا کسی بھی لحاظ سے تو اگر وہ مفید ہو تو"&amp;" اسے مان لینا چاہیے")</f>
        <v>مردوں کو عورتوں کے ساتھ حسن سلوک کے ساتھ پیش انا چاہیے عورتوں کو اقتصادی معاشی سرگرمیوں میں حصہ لینے کی اجازت دینی چاہیے کیونکہ اسلام نے ان کو ایک چیز کی اجازت دی ہےاور اگر عورت کوئی رائے دے بچوں کی تربیت کے لحاظ سے یا کسی بھی لحاظ سے تو اگر وہ مفید ہو تو اسے مان لینا چاہیے</v>
      </c>
      <c r="X578" s="10">
        <f>IFERROR(__xludf.DUMMYFUNCTION("""COMPUTED_VALUE"""),0.0)</f>
        <v>0</v>
      </c>
      <c r="Y578" s="10">
        <f>IFERROR(__xludf.DUMMYFUNCTION("""COMPUTED_VALUE"""),0.0)</f>
        <v>0</v>
      </c>
      <c r="Z578" s="10">
        <f>IFERROR(__xludf.DUMMYFUNCTION("""COMPUTED_VALUE"""),7.0)</f>
        <v>7</v>
      </c>
      <c r="AA578" s="10">
        <f>IFERROR(__xludf.DUMMYFUNCTION("""COMPUTED_VALUE"""),8.0)</f>
        <v>8</v>
      </c>
      <c r="AB578" s="10">
        <f>IFERROR(__xludf.DUMMYFUNCTION("""COMPUTED_VALUE"""),5.0)</f>
        <v>5</v>
      </c>
      <c r="AC578" s="10">
        <f>IFERROR(__xludf.DUMMYFUNCTION("""COMPUTED_VALUE"""),4.0)</f>
        <v>4</v>
      </c>
      <c r="AD578" s="10">
        <f>IFERROR(__xludf.DUMMYFUNCTION("""COMPUTED_VALUE"""),6.0)</f>
        <v>6</v>
      </c>
      <c r="AE578" s="10">
        <f>IFERROR(__xludf.DUMMYFUNCTION("""COMPUTED_VALUE"""),0.0)</f>
        <v>0</v>
      </c>
      <c r="AF578" s="10">
        <f>IFERROR(__xludf.DUMMYFUNCTION("""COMPUTED_VALUE"""),0.0)</f>
        <v>0</v>
      </c>
      <c r="AG578" s="10">
        <f>IFERROR(__xludf.DUMMYFUNCTION("""COMPUTED_VALUE"""),10.0)</f>
        <v>10</v>
      </c>
      <c r="AH578" s="10">
        <f>IFERROR(__xludf.DUMMYFUNCTION("""COMPUTED_VALUE"""),0.0)</f>
        <v>0</v>
      </c>
      <c r="AI578" s="10">
        <f>IFERROR(__xludf.DUMMYFUNCTION("""COMPUTED_VALUE"""),10.0)</f>
        <v>10</v>
      </c>
      <c r="AJ578" s="11" t="str">
        <f>IFERROR(__xludf.DUMMYFUNCTION("""COMPUTED_VALUE"""),"https://drive.google.com/open?id=1-iCno8jIDrD8IzJ-JE5P4UN9xlGpSOPaMtGNEbnfRuA")</f>
        <v>https://drive.google.com/open?id=1-iCno8jIDrD8IzJ-JE5P4UN9xlGpSOPaMtGNEbnfRuA</v>
      </c>
      <c r="AK578" s="12" t="str">
        <f>IFERROR(__xludf.DUMMYFUNCTION("""COMPUTED_VALUE"""),"Voice clear nhi thi ")</f>
        <v>Voice clear nhi thi </v>
      </c>
      <c r="AL578" s="12" t="str">
        <f>IFERROR(__xludf.DUMMYFUNCTION("""COMPUTED_VALUE"""),"Yes")</f>
        <v>Yes</v>
      </c>
      <c r="AM578" s="15">
        <f>IFERROR(__xludf.DUMMYFUNCTION("""COMPUTED_VALUE"""),0.0)</f>
        <v>0</v>
      </c>
      <c r="AN578" s="12" t="str">
        <f>IFERROR(__xludf.DUMMYFUNCTION("""COMPUTED_VALUE"""),"2nd week")</f>
        <v>2nd week</v>
      </c>
      <c r="AO578" s="13">
        <v>2.0</v>
      </c>
      <c r="AX578" s="17"/>
    </row>
    <row r="579">
      <c r="B579" s="9">
        <f>IFERROR(__xludf.DUMMYFUNCTION("""COMPUTED_VALUE"""),45892.719896608796)</f>
        <v>45892.7199</v>
      </c>
      <c r="C579" s="10" t="str">
        <f>IFERROR(__xludf.DUMMYFUNCTION("""COMPUTED_VALUE"""),"Javeria abbas")</f>
        <v>Javeria abbas</v>
      </c>
      <c r="D579" s="10" t="str">
        <f>IFERROR(__xludf.DUMMYFUNCTION("""COMPUTED_VALUE"""),"03211539026")</f>
        <v>03211539026</v>
      </c>
      <c r="E579" s="10" t="str">
        <f>IFERROR(__xludf.DUMMYFUNCTION("""COMPUTED_VALUE"""),"Jamia Masjid Jahnaaz Gha Multan")</f>
        <v>Jamia Masjid Jahnaaz Gha Multan</v>
      </c>
      <c r="F579" s="10" t="str">
        <f>IFERROR(__xludf.DUMMYFUNCTION("""COMPUTED_VALUE"""),"wpxts")</f>
        <v>wpxts</v>
      </c>
      <c r="G579" s="10" t="str">
        <f>IFERROR(__xludf.DUMMYFUNCTION("""COMPUTED_VALUE"""),"Yes")</f>
        <v>Yes</v>
      </c>
      <c r="H579" s="10">
        <f>IFERROR(__xludf.DUMMYFUNCTION("""COMPUTED_VALUE"""),0.0)</f>
        <v>0</v>
      </c>
      <c r="I579" s="10">
        <f>IFERROR(__xludf.DUMMYFUNCTION("""COMPUTED_VALUE"""),10.0)</f>
        <v>10</v>
      </c>
      <c r="J579" s="10">
        <f>IFERROR(__xludf.DUMMYFUNCTION("""COMPUTED_VALUE"""),8.0)</f>
        <v>8</v>
      </c>
      <c r="K579" s="10">
        <f>IFERROR(__xludf.DUMMYFUNCTION("""COMPUTED_VALUE"""),10.0)</f>
        <v>10</v>
      </c>
      <c r="L579" s="10">
        <f>IFERROR(__xludf.DUMMYFUNCTION("""COMPUTED_VALUE"""),0.0)</f>
        <v>0</v>
      </c>
      <c r="M579" s="10">
        <f>IFERROR(__xludf.DUMMYFUNCTION("""COMPUTED_VALUE"""),10.0)</f>
        <v>10</v>
      </c>
      <c r="N579" s="10">
        <f>IFERROR(__xludf.DUMMYFUNCTION("""COMPUTED_VALUE"""),0.0)</f>
        <v>0</v>
      </c>
      <c r="O579" s="10">
        <f>IFERROR(__xludf.DUMMYFUNCTION("""COMPUTED_VALUE"""),7.0)</f>
        <v>7</v>
      </c>
      <c r="P579" s="10">
        <f>IFERROR(__xludf.DUMMYFUNCTION("""COMPUTED_VALUE"""),0.0)</f>
        <v>0</v>
      </c>
      <c r="Q579" s="10" t="str">
        <f>IFERROR(__xludf.DUMMYFUNCTION("""COMPUTED_VALUE"""),"No")</f>
        <v>No</v>
      </c>
      <c r="R579" s="10" t="str">
        <f>IFERROR(__xludf.DUMMYFUNCTION("""COMPUTED_VALUE"""),"No")</f>
        <v>No</v>
      </c>
      <c r="S579" s="10" t="str">
        <f>IFERROR(__xludf.DUMMYFUNCTION("""COMPUTED_VALUE"""),"No")</f>
        <v>No</v>
      </c>
      <c r="T579" s="10">
        <f>IFERROR(__xludf.DUMMYFUNCTION("""COMPUTED_VALUE"""),0.0)</f>
        <v>0</v>
      </c>
      <c r="U579" s="10">
        <f>IFERROR(__xludf.DUMMYFUNCTION("""COMPUTED_VALUE"""),0.0)</f>
        <v>0</v>
      </c>
      <c r="V579" s="10" t="str">
        <f>IFERROR(__xludf.DUMMYFUNCTION("""COMPUTED_VALUE"""),"اسلام میں عورت کا مقام")</f>
        <v>اسلام میں عورت کا مقام</v>
      </c>
      <c r="W579" s="10" t="str">
        <f>IFERROR(__xludf.DUMMYFUNCTION("""COMPUTED_VALUE"""),"اسلام میں عورت کو اپنی رائے کا اظہار کرنے میں ازادی دی ہے اس کو اپنی زندگی کے فیصلے کرنے میں ازادی دی ہے اس کو کاروبار معاش کے حصول روزگار کے لیے گھر سے باہر نکلنے کے لیے ازادی دی ہے بشرط یہ کہ وہ اسلامی قوانین کے مطابق پردے کا خیال رکھے تو وہ اپنے گھر سے"&amp;" باہر نکل کر حصول روزگار کے لیے کاروبار کے لیے کام کر سکتی ہےنبی کریم صلی اللہ علیہ وسلم کے دور میں بھی حضرت خدیجۃ الکبری کی ای کاروبار کی واقعہ بیان کیا ہے")</f>
        <v>اسلام میں عورت کو اپنی رائے کا اظہار کرنے میں ازادی دی ہے اس کو اپنی زندگی کے فیصلے کرنے میں ازادی دی ہے اس کو کاروبار معاش کے حصول روزگار کے لیے گھر سے باہر نکلنے کے لیے ازادی دی ہے بشرط یہ کہ وہ اسلامی قوانین کے مطابق پردے کا خیال رکھے تو وہ اپنے گھر سے باہر نکل کر حصول روزگار کے لیے کاروبار کے لیے کام کر سکتی ہےنبی کریم صلی اللہ علیہ وسلم کے دور میں بھی حضرت خدیجۃ الکبری کی ای کاروبار کی واقعہ بیان کیا ہے</v>
      </c>
      <c r="X579" s="10">
        <f>IFERROR(__xludf.DUMMYFUNCTION("""COMPUTED_VALUE"""),3.0)</f>
        <v>3</v>
      </c>
      <c r="Y579" s="10">
        <f>IFERROR(__xludf.DUMMYFUNCTION("""COMPUTED_VALUE"""),0.0)</f>
        <v>0</v>
      </c>
      <c r="Z579" s="10">
        <f>IFERROR(__xludf.DUMMYFUNCTION("""COMPUTED_VALUE"""),7.0)</f>
        <v>7</v>
      </c>
      <c r="AA579" s="10">
        <f>IFERROR(__xludf.DUMMYFUNCTION("""COMPUTED_VALUE"""),8.0)</f>
        <v>8</v>
      </c>
      <c r="AB579" s="10">
        <f>IFERROR(__xludf.DUMMYFUNCTION("""COMPUTED_VALUE"""),4.0)</f>
        <v>4</v>
      </c>
      <c r="AC579" s="10">
        <f>IFERROR(__xludf.DUMMYFUNCTION("""COMPUTED_VALUE"""),4.0)</f>
        <v>4</v>
      </c>
      <c r="AD579" s="10">
        <f>IFERROR(__xludf.DUMMYFUNCTION("""COMPUTED_VALUE"""),7.0)</f>
        <v>7</v>
      </c>
      <c r="AE579" s="10">
        <f>IFERROR(__xludf.DUMMYFUNCTION("""COMPUTED_VALUE"""),0.0)</f>
        <v>0</v>
      </c>
      <c r="AF579" s="10">
        <f>IFERROR(__xludf.DUMMYFUNCTION("""COMPUTED_VALUE"""),0.0)</f>
        <v>0</v>
      </c>
      <c r="AG579" s="10">
        <f>IFERROR(__xludf.DUMMYFUNCTION("""COMPUTED_VALUE"""),10.0)</f>
        <v>10</v>
      </c>
      <c r="AH579" s="10">
        <f>IFERROR(__xludf.DUMMYFUNCTION("""COMPUTED_VALUE"""),0.0)</f>
        <v>0</v>
      </c>
      <c r="AI579" s="10">
        <f>IFERROR(__xludf.DUMMYFUNCTION("""COMPUTED_VALUE"""),10.0)</f>
        <v>10</v>
      </c>
      <c r="AJ579" s="11" t="str">
        <f>IFERROR(__xludf.DUMMYFUNCTION("""COMPUTED_VALUE"""),"https://drive.google.com/open?id=1JMtldgcE2MtQAaHz-6INmEOr4Iy3VlCWunIQ0XPkS6w")</f>
        <v>https://drive.google.com/open?id=1JMtldgcE2MtQAaHz-6INmEOr4Iy3VlCWunIQ0XPkS6w</v>
      </c>
      <c r="AK579" s="12"/>
      <c r="AL579" s="12" t="str">
        <f>IFERROR(__xludf.DUMMYFUNCTION("""COMPUTED_VALUE"""),"Yes")</f>
        <v>Yes</v>
      </c>
      <c r="AM579" s="15">
        <f>IFERROR(__xludf.DUMMYFUNCTION("""COMPUTED_VALUE"""),0.0)</f>
        <v>0</v>
      </c>
      <c r="AN579" s="12" t="str">
        <f>IFERROR(__xludf.DUMMYFUNCTION("""COMPUTED_VALUE"""),"3rd week")</f>
        <v>3rd week</v>
      </c>
      <c r="AO579" s="13">
        <v>3.0</v>
      </c>
      <c r="AX579" s="17"/>
    </row>
    <row r="580">
      <c r="B580" s="9">
        <f>IFERROR(__xludf.DUMMYFUNCTION("""COMPUTED_VALUE"""),45892.73658753472)</f>
        <v>45892.73659</v>
      </c>
      <c r="C580" s="10" t="str">
        <f>IFERROR(__xludf.DUMMYFUNCTION("""COMPUTED_VALUE"""),"Javeria Abbas ")</f>
        <v>Javeria Abbas </v>
      </c>
      <c r="D580" s="10" t="str">
        <f>IFERROR(__xludf.DUMMYFUNCTION("""COMPUTED_VALUE"""),"03311539026")</f>
        <v>03311539026</v>
      </c>
      <c r="E580" s="10" t="str">
        <f>IFERROR(__xludf.DUMMYFUNCTION("""COMPUTED_VALUE"""),"Jamia Masjid Musa Pak Shaheed Multan")</f>
        <v>Jamia Masjid Musa Pak Shaheed Multan</v>
      </c>
      <c r="F580" s="10" t="str">
        <f>IFERROR(__xludf.DUMMYFUNCTION("""COMPUTED_VALUE"""),"wgvns")</f>
        <v>wgvns</v>
      </c>
      <c r="G580" s="10" t="str">
        <f>IFERROR(__xludf.DUMMYFUNCTION("""COMPUTED_VALUE"""),"Yes")</f>
        <v>Yes</v>
      </c>
      <c r="H580" s="10">
        <f>IFERROR(__xludf.DUMMYFUNCTION("""COMPUTED_VALUE"""),10.0)</f>
        <v>10</v>
      </c>
      <c r="I580" s="10">
        <f>IFERROR(__xludf.DUMMYFUNCTION("""COMPUTED_VALUE"""),0.0)</f>
        <v>0</v>
      </c>
      <c r="J580" s="10">
        <f>IFERROR(__xludf.DUMMYFUNCTION("""COMPUTED_VALUE"""),10.0)</f>
        <v>10</v>
      </c>
      <c r="K580" s="10">
        <f>IFERROR(__xludf.DUMMYFUNCTION("""COMPUTED_VALUE"""),10.0)</f>
        <v>10</v>
      </c>
      <c r="L580" s="10">
        <f>IFERROR(__xludf.DUMMYFUNCTION("""COMPUTED_VALUE"""),0.0)</f>
        <v>0</v>
      </c>
      <c r="M580" s="10">
        <f>IFERROR(__xludf.DUMMYFUNCTION("""COMPUTED_VALUE"""),10.0)</f>
        <v>10</v>
      </c>
      <c r="N580" s="10">
        <f>IFERROR(__xludf.DUMMYFUNCTION("""COMPUTED_VALUE"""),0.0)</f>
        <v>0</v>
      </c>
      <c r="O580" s="10">
        <f>IFERROR(__xludf.DUMMYFUNCTION("""COMPUTED_VALUE"""),10.0)</f>
        <v>10</v>
      </c>
      <c r="P580" s="10">
        <f>IFERROR(__xludf.DUMMYFUNCTION("""COMPUTED_VALUE"""),0.0)</f>
        <v>0</v>
      </c>
      <c r="Q580" s="10" t="str">
        <f>IFERROR(__xludf.DUMMYFUNCTION("""COMPUTED_VALUE"""),"Yes")</f>
        <v>Yes</v>
      </c>
      <c r="R580" s="10" t="str">
        <f>IFERROR(__xludf.DUMMYFUNCTION("""COMPUTED_VALUE"""),"No")</f>
        <v>No</v>
      </c>
      <c r="S580" s="10" t="str">
        <f>IFERROR(__xludf.DUMMYFUNCTION("""COMPUTED_VALUE"""),"Yes")</f>
        <v>Yes</v>
      </c>
      <c r="T580" s="10">
        <f>IFERROR(__xludf.DUMMYFUNCTION("""COMPUTED_VALUE"""),0.0)</f>
        <v>0</v>
      </c>
      <c r="U580" s="10">
        <f>IFERROR(__xludf.DUMMYFUNCTION("""COMPUTED_VALUE"""),0.0)</f>
        <v>0</v>
      </c>
      <c r="V580" s="10" t="str">
        <f>IFERROR(__xludf.DUMMYFUNCTION("""COMPUTED_VALUE"""),"اسلام میں عورتوں کا مقام اور کردار")</f>
        <v>اسلام میں عورتوں کا مقام اور کردار</v>
      </c>
      <c r="W580" s="10" t="str">
        <f>IFERROR(__xludf.DUMMYFUNCTION("""COMPUTED_VALUE"""),"اسلام نے عورتوں کو اپنی رائے کا اظہار کرنے کی اجازت دی ہے اسلام نے عورتوں کو اقتصادی سیاسی معاشی معاشرتی معاملوں میں اپنی رائے کا اظہار کرنے کی کاروبار کرنے کی اجازت دی ہے مولانا صاحب نے اس بیان میں حضرت شیما کا واقعہ بیان کیا حضرت خدیجہ کی مثال دی حضرت ا"&amp;"م ہانی کی مثال دی حضرت ام عمارہ کا واقعہ بیان کیا اور ان سب واقعات سے یہ بیان کیا کہ کس طرح اسلام نے عورت کو اتنا فضیلت دی ہے اتنا بلند مرتبہ دیا ہے")</f>
        <v>اسلام نے عورتوں کو اپنی رائے کا اظہار کرنے کی اجازت دی ہے اسلام نے عورتوں کو اقتصادی سیاسی معاشی معاشرتی معاملوں میں اپنی رائے کا اظہار کرنے کی کاروبار کرنے کی اجازت دی ہے مولانا صاحب نے اس بیان میں حضرت شیما کا واقعہ بیان کیا حضرت خدیجہ کی مثال دی حضرت ام ہانی کی مثال دی حضرت ام عمارہ کا واقعہ بیان کیا اور ان سب واقعات سے یہ بیان کیا کہ کس طرح اسلام نے عورت کو اتنا فضیلت دی ہے اتنا بلند مرتبہ دیا ہے</v>
      </c>
      <c r="X580" s="10">
        <f>IFERROR(__xludf.DUMMYFUNCTION("""COMPUTED_VALUE"""),0.0)</f>
        <v>0</v>
      </c>
      <c r="Y580" s="10">
        <f>IFERROR(__xludf.DUMMYFUNCTION("""COMPUTED_VALUE"""),0.0)</f>
        <v>0</v>
      </c>
      <c r="Z580" s="10">
        <f>IFERROR(__xludf.DUMMYFUNCTION("""COMPUTED_VALUE"""),8.0)</f>
        <v>8</v>
      </c>
      <c r="AA580" s="10">
        <f>IFERROR(__xludf.DUMMYFUNCTION("""COMPUTED_VALUE"""),9.0)</f>
        <v>9</v>
      </c>
      <c r="AB580" s="10">
        <f>IFERROR(__xludf.DUMMYFUNCTION("""COMPUTED_VALUE"""),7.0)</f>
        <v>7</v>
      </c>
      <c r="AC580" s="10">
        <f>IFERROR(__xludf.DUMMYFUNCTION("""COMPUTED_VALUE"""),6.0)</f>
        <v>6</v>
      </c>
      <c r="AD580" s="10">
        <f>IFERROR(__xludf.DUMMYFUNCTION("""COMPUTED_VALUE"""),5.0)</f>
        <v>5</v>
      </c>
      <c r="AE580" s="10">
        <f>IFERROR(__xludf.DUMMYFUNCTION("""COMPUTED_VALUE"""),0.0)</f>
        <v>0</v>
      </c>
      <c r="AF580" s="10">
        <f>IFERROR(__xludf.DUMMYFUNCTION("""COMPUTED_VALUE"""),0.0)</f>
        <v>0</v>
      </c>
      <c r="AG580" s="10">
        <f>IFERROR(__xludf.DUMMYFUNCTION("""COMPUTED_VALUE"""),10.0)</f>
        <v>10</v>
      </c>
      <c r="AH580" s="10">
        <f>IFERROR(__xludf.DUMMYFUNCTION("""COMPUTED_VALUE"""),0.0)</f>
        <v>0</v>
      </c>
      <c r="AI580" s="10">
        <f>IFERROR(__xludf.DUMMYFUNCTION("""COMPUTED_VALUE"""),10.0)</f>
        <v>10</v>
      </c>
      <c r="AJ580" s="11" t="str">
        <f>IFERROR(__xludf.DUMMYFUNCTION("""COMPUTED_VALUE"""),"https://drive.google.com/open?id=1gMavQCWe48-FAl-ZA29rwJ1r5tGjZFLwJUzTUXvCTbg")</f>
        <v>https://drive.google.com/open?id=1gMavQCWe48-FAl-ZA29rwJ1r5tGjZFLwJUzTUXvCTbg</v>
      </c>
      <c r="AK580" s="12"/>
      <c r="AL580" s="12" t="str">
        <f>IFERROR(__xludf.DUMMYFUNCTION("""COMPUTED_VALUE"""),"Yes")</f>
        <v>Yes</v>
      </c>
      <c r="AM580" s="15">
        <f>IFERROR(__xludf.DUMMYFUNCTION("""COMPUTED_VALUE"""),1.0)</f>
        <v>1</v>
      </c>
      <c r="AN580" s="12" t="str">
        <f>IFERROR(__xludf.DUMMYFUNCTION("""COMPUTED_VALUE"""),"3rd week")</f>
        <v>3rd week</v>
      </c>
      <c r="AO580" s="13">
        <v>3.0</v>
      </c>
      <c r="AX580" s="17"/>
    </row>
    <row r="581">
      <c r="B581" s="9">
        <f>IFERROR(__xludf.DUMMYFUNCTION("""COMPUTED_VALUE"""),45892.75973478009)</f>
        <v>45892.75973</v>
      </c>
      <c r="C581" s="10" t="str">
        <f>IFERROR(__xludf.DUMMYFUNCTION("""COMPUTED_VALUE"""),"Javeria Abbas ")</f>
        <v>Javeria Abbas </v>
      </c>
      <c r="D581" s="10" t="str">
        <f>IFERROR(__xludf.DUMMYFUNCTION("""COMPUTED_VALUE"""),"03211539026")</f>
        <v>03211539026</v>
      </c>
      <c r="E581" s="10" t="str">
        <f>IFERROR(__xludf.DUMMYFUNCTION("""COMPUTED_VALUE"""),"Jamia Masjid Darbar Sultan Ahmad Qataal Jalaal Pur Peer Wala Multan")</f>
        <v>Jamia Masjid Darbar Sultan Ahmad Qataal Jalaal Pur Peer Wala Multan</v>
      </c>
      <c r="F581" s="10" t="str">
        <f>IFERROR(__xludf.DUMMYFUNCTION("""COMPUTED_VALUE"""),"ndsnq")</f>
        <v>ndsnq</v>
      </c>
      <c r="G581" s="10" t="str">
        <f>IFERROR(__xludf.DUMMYFUNCTION("""COMPUTED_VALUE"""),"Yes")</f>
        <v>Yes</v>
      </c>
      <c r="H581" s="10">
        <f>IFERROR(__xludf.DUMMYFUNCTION("""COMPUTED_VALUE"""),0.0)</f>
        <v>0</v>
      </c>
      <c r="I581" s="10">
        <f>IFERROR(__xludf.DUMMYFUNCTION("""COMPUTED_VALUE"""),10.0)</f>
        <v>10</v>
      </c>
      <c r="J581" s="10">
        <f>IFERROR(__xludf.DUMMYFUNCTION("""COMPUTED_VALUE"""),3.0)</f>
        <v>3</v>
      </c>
      <c r="K581" s="10">
        <f>IFERROR(__xludf.DUMMYFUNCTION("""COMPUTED_VALUE"""),0.0)</f>
        <v>0</v>
      </c>
      <c r="L581" s="10">
        <f>IFERROR(__xludf.DUMMYFUNCTION("""COMPUTED_VALUE"""),6.0)</f>
        <v>6</v>
      </c>
      <c r="M581" s="10">
        <f>IFERROR(__xludf.DUMMYFUNCTION("""COMPUTED_VALUE"""),0.0)</f>
        <v>0</v>
      </c>
      <c r="N581" s="10">
        <f>IFERROR(__xludf.DUMMYFUNCTION("""COMPUTED_VALUE"""),6.0)</f>
        <v>6</v>
      </c>
      <c r="O581" s="10">
        <f>IFERROR(__xludf.DUMMYFUNCTION("""COMPUTED_VALUE"""),0.0)</f>
        <v>0</v>
      </c>
      <c r="P581" s="10">
        <f>IFERROR(__xludf.DUMMYFUNCTION("""COMPUTED_VALUE"""),10.0)</f>
        <v>10</v>
      </c>
      <c r="Q581" s="10" t="str">
        <f>IFERROR(__xludf.DUMMYFUNCTION("""COMPUTED_VALUE"""),"No")</f>
        <v>No</v>
      </c>
      <c r="R581" s="10" t="str">
        <f>IFERROR(__xludf.DUMMYFUNCTION("""COMPUTED_VALUE"""),"Yes")</f>
        <v>Yes</v>
      </c>
      <c r="S581" s="10" t="str">
        <f>IFERROR(__xludf.DUMMYFUNCTION("""COMPUTED_VALUE"""),"No")</f>
        <v>No</v>
      </c>
      <c r="T581" s="10">
        <f>IFERROR(__xludf.DUMMYFUNCTION("""COMPUTED_VALUE"""),0.0)</f>
        <v>0</v>
      </c>
      <c r="U581" s="10">
        <f>IFERROR(__xludf.DUMMYFUNCTION("""COMPUTED_VALUE"""),0.0)</f>
        <v>0</v>
      </c>
      <c r="V581" s="10" t="str">
        <f>IFERROR(__xludf.DUMMYFUNCTION("""COMPUTED_VALUE"""),"پڑوسیوں کے حقوق حقوق اللہ اور حقوق العباد")</f>
        <v>پڑوسیوں کے حقوق حقوق اللہ اور حقوق العباد</v>
      </c>
      <c r="W581" s="10" t="str">
        <f>IFERROR(__xludf.DUMMYFUNCTION("""COMPUTED_VALUE"""),"پڑوسیوں کے حقوق کیا ہیں حقوق اللہ کیا ہیں اور حقوق العباد کیا ہیں ان پر بات کی اور بتایا کہ محلے کو صاف رکھنا چاہیے کیونکہ صفائی نپس ایمان ہے جہاں اپ رہتے ہو اپنی گلی کو صاف رکھو رکھو اپنے گھر کے باہر دروازے کو صاف رکھو اور اپنے گھر کی چھت پروسی کے گھر کی"&amp;" چھت سے اونچی نہ کرو کیونکہ اس کی ہوا کی بند ہو سکتی ہے جس سے اس کو پریشانی ہوگی اس اگر وہ اپ کا پڑوسی بیمار ہے تو اس کی تیمارداری کرو اگر وہ اس نے کوئی قرض لے رکھا ہے وہ پریشان ہے تو اس کا قرض ادا کر دو")</f>
        <v>پڑوسیوں کے حقوق کیا ہیں حقوق اللہ کیا ہیں اور حقوق العباد کیا ہیں ان پر بات کی اور بتایا کہ محلے کو صاف رکھنا چاہیے کیونکہ صفائی نپس ایمان ہے جہاں اپ رہتے ہو اپنی گلی کو صاف رکھو رکھو اپنے گھر کے باہر دروازے کو صاف رکھو اور اپنے گھر کی چھت پروسی کے گھر کی چھت سے اونچی نہ کرو کیونکہ اس کی ہوا کی بند ہو سکتی ہے جس سے اس کو پریشانی ہوگی اس اگر وہ اپ کا پڑوسی بیمار ہے تو اس کی تیمارداری کرو اگر وہ اس نے کوئی قرض لے رکھا ہے وہ پریشان ہے تو اس کا قرض ادا کر دو</v>
      </c>
      <c r="X581" s="10">
        <f>IFERROR(__xludf.DUMMYFUNCTION("""COMPUTED_VALUE"""),7.0)</f>
        <v>7</v>
      </c>
      <c r="Y581" s="10">
        <f>IFERROR(__xludf.DUMMYFUNCTION("""COMPUTED_VALUE"""),0.0)</f>
        <v>0</v>
      </c>
      <c r="Z581" s="10">
        <f>IFERROR(__xludf.DUMMYFUNCTION("""COMPUTED_VALUE"""),8.0)</f>
        <v>8</v>
      </c>
      <c r="AA581" s="10">
        <f>IFERROR(__xludf.DUMMYFUNCTION("""COMPUTED_VALUE"""),6.0)</f>
        <v>6</v>
      </c>
      <c r="AB581" s="10">
        <f>IFERROR(__xludf.DUMMYFUNCTION("""COMPUTED_VALUE"""),0.0)</f>
        <v>0</v>
      </c>
      <c r="AC581" s="10">
        <f>IFERROR(__xludf.DUMMYFUNCTION("""COMPUTED_VALUE"""),0.0)</f>
        <v>0</v>
      </c>
      <c r="AD581" s="10">
        <f>IFERROR(__xludf.DUMMYFUNCTION("""COMPUTED_VALUE"""),0.0)</f>
        <v>0</v>
      </c>
      <c r="AE581" s="10">
        <f>IFERROR(__xludf.DUMMYFUNCTION("""COMPUTED_VALUE"""),0.0)</f>
        <v>0</v>
      </c>
      <c r="AF581" s="10">
        <f>IFERROR(__xludf.DUMMYFUNCTION("""COMPUTED_VALUE"""),0.0)</f>
        <v>0</v>
      </c>
      <c r="AG581" s="10">
        <f>IFERROR(__xludf.DUMMYFUNCTION("""COMPUTED_VALUE"""),10.0)</f>
        <v>10</v>
      </c>
      <c r="AH581" s="10">
        <f>IFERROR(__xludf.DUMMYFUNCTION("""COMPUTED_VALUE"""),0.0)</f>
        <v>0</v>
      </c>
      <c r="AI581" s="10">
        <f>IFERROR(__xludf.DUMMYFUNCTION("""COMPUTED_VALUE"""),10.0)</f>
        <v>10</v>
      </c>
      <c r="AJ581" s="11" t="str">
        <f>IFERROR(__xludf.DUMMYFUNCTION("""COMPUTED_VALUE"""),"https://drive.google.com/open?id=19HN8d9xJGJOkLQGb-e3qlHfXZauOg9tCZarb32-b9Rc")</f>
        <v>https://drive.google.com/open?id=19HN8d9xJGJOkLQGb-e3qlHfXZauOg9tCZarb32-b9Rc</v>
      </c>
      <c r="AK581" s="12"/>
      <c r="AL581" s="12" t="str">
        <f>IFERROR(__xludf.DUMMYFUNCTION("""COMPUTED_VALUE"""),"Yes")</f>
        <v>Yes</v>
      </c>
      <c r="AM581" s="15">
        <f>IFERROR(__xludf.DUMMYFUNCTION("""COMPUTED_VALUE"""),0.0)</f>
        <v>0</v>
      </c>
      <c r="AN581" s="12" t="str">
        <f>IFERROR(__xludf.DUMMYFUNCTION("""COMPUTED_VALUE"""),"5th week")</f>
        <v>5th week</v>
      </c>
      <c r="AO581" s="13">
        <v>5.0</v>
      </c>
      <c r="AX581" s="17"/>
    </row>
    <row r="582">
      <c r="B582" s="9">
        <f>IFERROR(__xludf.DUMMYFUNCTION("""COMPUTED_VALUE"""),45892.782400543976)</f>
        <v>45892.7824</v>
      </c>
      <c r="C582" s="10" t="str">
        <f>IFERROR(__xludf.DUMMYFUNCTION("""COMPUTED_VALUE"""),"Javeria abbas")</f>
        <v>Javeria abbas</v>
      </c>
      <c r="D582" s="10" t="str">
        <f>IFERROR(__xludf.DUMMYFUNCTION("""COMPUTED_VALUE"""),"03211539026")</f>
        <v>03211539026</v>
      </c>
      <c r="E582" s="10" t="str">
        <f>IFERROR(__xludf.DUMMYFUNCTION("""COMPUTED_VALUE"""),"Jamia Masjid Minya Nawali Minchanabad")</f>
        <v>Jamia Masjid Minya Nawali Minchanabad</v>
      </c>
      <c r="F582" s="10" t="str">
        <f>IFERROR(__xludf.DUMMYFUNCTION("""COMPUTED_VALUE"""),"pbyfm")</f>
        <v>pbyfm</v>
      </c>
      <c r="G582" s="10" t="str">
        <f>IFERROR(__xludf.DUMMYFUNCTION("""COMPUTED_VALUE"""),"Yes")</f>
        <v>Yes</v>
      </c>
      <c r="H582" s="10">
        <f>IFERROR(__xludf.DUMMYFUNCTION("""COMPUTED_VALUE"""),0.0)</f>
        <v>0</v>
      </c>
      <c r="I582" s="10">
        <f>IFERROR(__xludf.DUMMYFUNCTION("""COMPUTED_VALUE"""),10.0)</f>
        <v>10</v>
      </c>
      <c r="J582" s="10">
        <f>IFERROR(__xludf.DUMMYFUNCTION("""COMPUTED_VALUE"""),0.0)</f>
        <v>0</v>
      </c>
      <c r="K582" s="10">
        <f>IFERROR(__xludf.DUMMYFUNCTION("""COMPUTED_VALUE"""),0.0)</f>
        <v>0</v>
      </c>
      <c r="L582" s="10">
        <f>IFERROR(__xludf.DUMMYFUNCTION("""COMPUTED_VALUE"""),0.0)</f>
        <v>0</v>
      </c>
      <c r="M582" s="10">
        <f>IFERROR(__xludf.DUMMYFUNCTION("""COMPUTED_VALUE"""),0.0)</f>
        <v>0</v>
      </c>
      <c r="N582" s="10">
        <f>IFERROR(__xludf.DUMMYFUNCTION("""COMPUTED_VALUE"""),0.0)</f>
        <v>0</v>
      </c>
      <c r="O582" s="10">
        <f>IFERROR(__xludf.DUMMYFUNCTION("""COMPUTED_VALUE"""),0.0)</f>
        <v>0</v>
      </c>
      <c r="P582" s="10">
        <f>IFERROR(__xludf.DUMMYFUNCTION("""COMPUTED_VALUE"""),0.0)</f>
        <v>0</v>
      </c>
      <c r="Q582" s="10" t="str">
        <f>IFERROR(__xludf.DUMMYFUNCTION("""COMPUTED_VALUE"""),"No")</f>
        <v>No</v>
      </c>
      <c r="R582" s="10" t="str">
        <f>IFERROR(__xludf.DUMMYFUNCTION("""COMPUTED_VALUE"""),"No")</f>
        <v>No</v>
      </c>
      <c r="S582" s="10" t="str">
        <f>IFERROR(__xludf.DUMMYFUNCTION("""COMPUTED_VALUE"""),"No")</f>
        <v>No</v>
      </c>
      <c r="T582" s="10">
        <f>IFERROR(__xludf.DUMMYFUNCTION("""COMPUTED_VALUE"""),0.0)</f>
        <v>0</v>
      </c>
      <c r="U582" s="10">
        <f>IFERROR(__xludf.DUMMYFUNCTION("""COMPUTED_VALUE"""),0.0)</f>
        <v>0</v>
      </c>
      <c r="V582" s="10" t="str">
        <f>IFERROR(__xludf.DUMMYFUNCTION("""COMPUTED_VALUE"""),"جمعہ کے دن کی اور نماز کی اہمیت ")</f>
        <v>جمعہ کے دن کی اور نماز کی اہمیت </v>
      </c>
      <c r="W582" s="10" t="str">
        <f>IFERROR(__xludf.DUMMYFUNCTION("""COMPUTED_VALUE"""),"جو جمعہ کے دن سب سے پہلے ائے گا اس کو خدا کی راہ میں ایک اونٹ ذبح کرنے کا ثواب ملے گا جو دوسرے نمبر پر ائے گا اس کو ایک گائیں ذبح کرنے کا ثواب ملے گا اور جو تیسرے نمبر پہ ائے گا ائے گا اس کو ایک بکرای ذبح کرنے کا ثواب ملے گا اور جو چوتھے نمبر پر ائے گا اس"&amp;" کو ایک انڈا صدقہ کرنے کا ثواب ملے گاجس نے مسلسل تین جمعے چھوڑ دیے وہ دین اسلام سے خارج ہو گیا")</f>
        <v>جو جمعہ کے دن سب سے پہلے ائے گا اس کو خدا کی راہ میں ایک اونٹ ذبح کرنے کا ثواب ملے گا جو دوسرے نمبر پر ائے گا اس کو ایک گائیں ذبح کرنے کا ثواب ملے گا اور جو تیسرے نمبر پہ ائے گا ائے گا اس کو ایک بکرای ذبح کرنے کا ثواب ملے گا اور جو چوتھے نمبر پر ائے گا اس کو ایک انڈا صدقہ کرنے کا ثواب ملے گاجس نے مسلسل تین جمعے چھوڑ دیے وہ دین اسلام سے خارج ہو گیا</v>
      </c>
      <c r="X582" s="10">
        <f>IFERROR(__xludf.DUMMYFUNCTION("""COMPUTED_VALUE"""),9.0)</f>
        <v>9</v>
      </c>
      <c r="Y582" s="10">
        <f>IFERROR(__xludf.DUMMYFUNCTION("""COMPUTED_VALUE"""),0.0)</f>
        <v>0</v>
      </c>
      <c r="Z582" s="10">
        <f>IFERROR(__xludf.DUMMYFUNCTION("""COMPUTED_VALUE"""),7.0)</f>
        <v>7</v>
      </c>
      <c r="AA582" s="10">
        <f>IFERROR(__xludf.DUMMYFUNCTION("""COMPUTED_VALUE"""),9.0)</f>
        <v>9</v>
      </c>
      <c r="AB582" s="10">
        <f>IFERROR(__xludf.DUMMYFUNCTION("""COMPUTED_VALUE"""),0.0)</f>
        <v>0</v>
      </c>
      <c r="AC582" s="10">
        <f>IFERROR(__xludf.DUMMYFUNCTION("""COMPUTED_VALUE"""),0.0)</f>
        <v>0</v>
      </c>
      <c r="AD582" s="10">
        <f>IFERROR(__xludf.DUMMYFUNCTION("""COMPUTED_VALUE"""),5.0)</f>
        <v>5</v>
      </c>
      <c r="AE582" s="10">
        <f>IFERROR(__xludf.DUMMYFUNCTION("""COMPUTED_VALUE"""),0.0)</f>
        <v>0</v>
      </c>
      <c r="AF582" s="10">
        <f>IFERROR(__xludf.DUMMYFUNCTION("""COMPUTED_VALUE"""),0.0)</f>
        <v>0</v>
      </c>
      <c r="AG582" s="10">
        <f>IFERROR(__xludf.DUMMYFUNCTION("""COMPUTED_VALUE"""),10.0)</f>
        <v>10</v>
      </c>
      <c r="AH582" s="10">
        <f>IFERROR(__xludf.DUMMYFUNCTION("""COMPUTED_VALUE"""),0.0)</f>
        <v>0</v>
      </c>
      <c r="AI582" s="10">
        <f>IFERROR(__xludf.DUMMYFUNCTION("""COMPUTED_VALUE"""),10.0)</f>
        <v>10</v>
      </c>
      <c r="AJ582" s="11" t="str">
        <f>IFERROR(__xludf.DUMMYFUNCTION("""COMPUTED_VALUE"""),"https://drive.google.com/open?id=1JbM8S2XPshFK6ELxGcQLwvt_ER8YjTxohci1Vyh6UBQ")</f>
        <v>https://drive.google.com/open?id=1JbM8S2XPshFK6ELxGcQLwvt_ER8YjTxohci1Vyh6UBQ</v>
      </c>
      <c r="AK582" s="12"/>
      <c r="AL582" s="12" t="str">
        <f>IFERROR(__xludf.DUMMYFUNCTION("""COMPUTED_VALUE"""),"Yes")</f>
        <v>Yes</v>
      </c>
      <c r="AM582" s="15">
        <f>IFERROR(__xludf.DUMMYFUNCTION("""COMPUTED_VALUE"""),0.0)</f>
        <v>0</v>
      </c>
      <c r="AN582" s="12" t="str">
        <f>IFERROR(__xludf.DUMMYFUNCTION("""COMPUTED_VALUE"""),"5th week")</f>
        <v>5th week</v>
      </c>
      <c r="AO582" s="13">
        <v>5.0</v>
      </c>
      <c r="AX582" s="17"/>
    </row>
    <row r="583">
      <c r="B583" s="9">
        <f>IFERROR(__xludf.DUMMYFUNCTION("""COMPUTED_VALUE"""),45892.991768645836)</f>
        <v>45892.99177</v>
      </c>
      <c r="C583" s="10" t="str">
        <f>IFERROR(__xludf.DUMMYFUNCTION("""COMPUTED_VALUE"""),"Atiqa")</f>
        <v>Atiqa</v>
      </c>
      <c r="D583" s="10" t="str">
        <f>IFERROR(__xludf.DUMMYFUNCTION("""COMPUTED_VALUE"""),"03157519977")</f>
        <v>03157519977</v>
      </c>
      <c r="E583" s="10" t="str">
        <f>IFERROR(__xludf.DUMMYFUNCTION("""COMPUTED_VALUE"""),"Jamia Masjid Haronabad Bahawal Nagar")</f>
        <v>Jamia Masjid Haronabad Bahawal Nagar</v>
      </c>
      <c r="F583" s="10" t="str">
        <f>IFERROR(__xludf.DUMMYFUNCTION("""COMPUTED_VALUE"""),"jydri")</f>
        <v>jydri</v>
      </c>
      <c r="G583" s="10" t="str">
        <f>IFERROR(__xludf.DUMMYFUNCTION("""COMPUTED_VALUE"""),"Yes")</f>
        <v>Yes</v>
      </c>
      <c r="H583" s="10">
        <f>IFERROR(__xludf.DUMMYFUNCTION("""COMPUTED_VALUE"""),10.0)</f>
        <v>10</v>
      </c>
      <c r="I583" s="10">
        <f>IFERROR(__xludf.DUMMYFUNCTION("""COMPUTED_VALUE"""),0.0)</f>
        <v>0</v>
      </c>
      <c r="J583" s="10">
        <f>IFERROR(__xludf.DUMMYFUNCTION("""COMPUTED_VALUE"""),7.0)</f>
        <v>7</v>
      </c>
      <c r="K583" s="10">
        <f>IFERROR(__xludf.DUMMYFUNCTION("""COMPUTED_VALUE"""),7.0)</f>
        <v>7</v>
      </c>
      <c r="L583" s="10">
        <f>IFERROR(__xludf.DUMMYFUNCTION("""COMPUTED_VALUE"""),0.0)</f>
        <v>0</v>
      </c>
      <c r="M583" s="10">
        <f>IFERROR(__xludf.DUMMYFUNCTION("""COMPUTED_VALUE"""),4.0)</f>
        <v>4</v>
      </c>
      <c r="N583" s="10">
        <f>IFERROR(__xludf.DUMMYFUNCTION("""COMPUTED_VALUE"""),0.0)</f>
        <v>0</v>
      </c>
      <c r="O583" s="10">
        <f>IFERROR(__xludf.DUMMYFUNCTION("""COMPUTED_VALUE"""),4.0)</f>
        <v>4</v>
      </c>
      <c r="P583" s="10">
        <f>IFERROR(__xludf.DUMMYFUNCTION("""COMPUTED_VALUE"""),0.0)</f>
        <v>0</v>
      </c>
      <c r="Q583" s="10" t="str">
        <f>IFERROR(__xludf.DUMMYFUNCTION("""COMPUTED_VALUE"""),"Yes")</f>
        <v>Yes</v>
      </c>
      <c r="R583" s="10" t="str">
        <f>IFERROR(__xludf.DUMMYFUNCTION("""COMPUTED_VALUE"""),"No")</f>
        <v>No</v>
      </c>
      <c r="S583" s="10" t="str">
        <f>IFERROR(__xludf.DUMMYFUNCTION("""COMPUTED_VALUE"""),"Yes")</f>
        <v>Yes</v>
      </c>
      <c r="T583" s="10">
        <f>IFERROR(__xludf.DUMMYFUNCTION("""COMPUTED_VALUE"""),0.0)</f>
        <v>0</v>
      </c>
      <c r="U583" s="10">
        <f>IFERROR(__xludf.DUMMYFUNCTION("""COMPUTED_VALUE"""),0.0)</f>
        <v>0</v>
      </c>
      <c r="V583" s="10" t="str">
        <f>IFERROR(__xludf.DUMMYFUNCTION("""COMPUTED_VALUE""")," ۱۔ خواتین کی معاشی اور سیاسی سرگرمیوں میں شرکت ۲۔ اسلام میں خواتین کو فیصلے کرنے کی ازادی ۳۔ معاشرے میں خواتین کی سماجی شرکت  کی اہمیت۴۔  دنیا و اخرت میں نمازی کا اجر اور بے نمازی کی سزا ")</f>
        <v> ۱۔ خواتین کی معاشی اور سیاسی سرگرمیوں میں شرکت ۲۔ اسلام میں خواتین کو فیصلے کرنے کی ازادی ۳۔ معاشرے میں خواتین کی سماجی شرکت  کی اہمیت۴۔  دنیا و اخرت میں نمازی کا اجر اور بے نمازی کی سزا </v>
      </c>
      <c r="W583" s="10" t="str">
        <f>IFERROR(__xludf.DUMMYFUNCTION("""COMPUTED_VALUE"""),"صحابیات کا معاشی سرگرمیاں انجام دینا اور جابر رضی اللہ تعالی عنہ کی خلقہ عدت کے دوران کام کرنے کا واقعہ ، حضور صلی اللہ علیہ والہ وسلم کا ام ہانی کی رائے کا احترام کرنا ، عائشہ رضی اللہ تعالی عنہا اور ام سلیم رضی اللہ تعالی عنہ کا غزوہ احد میں کردار اور ا"&amp;"ن میں عمرہ رضی اللہ تعالی عنہ کا کفار سے مقابلہ کرنا۔ خواتین کو تعلیم دلوانے اور ان کی سماجی اور معاشی شرکت کے فائدے ۔ نمازی کا قیامت کے دن اللہ کے عرش کے سائے میں ہونا اور بے نمازی کی دنیا میں قبر میں اور حشر میں سزا بیان کی گئی ۔ ")</f>
        <v>صحابیات کا معاشی سرگرمیاں انجام دینا اور جابر رضی اللہ تعالی عنہ کی خلقہ عدت کے دوران کام کرنے کا واقعہ ، حضور صلی اللہ علیہ والہ وسلم کا ام ہانی کی رائے کا احترام کرنا ، عائشہ رضی اللہ تعالی عنہا اور ام سلیم رضی اللہ تعالی عنہ کا غزوہ احد میں کردار اور ان میں عمرہ رضی اللہ تعالی عنہ کا کفار سے مقابلہ کرنا۔ خواتین کو تعلیم دلوانے اور ان کی سماجی اور معاشی شرکت کے فائدے ۔ نمازی کا قیامت کے دن اللہ کے عرش کے سائے میں ہونا اور بے نمازی کی دنیا میں قبر میں اور حشر میں سزا بیان کی گئی ۔ </v>
      </c>
      <c r="X583" s="10">
        <f>IFERROR(__xludf.DUMMYFUNCTION("""COMPUTED_VALUE"""),8.0)</f>
        <v>8</v>
      </c>
      <c r="Y583" s="10">
        <f>IFERROR(__xludf.DUMMYFUNCTION("""COMPUTED_VALUE"""),5.0)</f>
        <v>5</v>
      </c>
      <c r="Z583" s="10">
        <f>IFERROR(__xludf.DUMMYFUNCTION("""COMPUTED_VALUE"""),6.0)</f>
        <v>6</v>
      </c>
      <c r="AA583" s="10">
        <f>IFERROR(__xludf.DUMMYFUNCTION("""COMPUTED_VALUE"""),9.0)</f>
        <v>9</v>
      </c>
      <c r="AB583" s="10">
        <f>IFERROR(__xludf.DUMMYFUNCTION("""COMPUTED_VALUE"""),6.0)</f>
        <v>6</v>
      </c>
      <c r="AC583" s="10">
        <f>IFERROR(__xludf.DUMMYFUNCTION("""COMPUTED_VALUE"""),2.0)</f>
        <v>2</v>
      </c>
      <c r="AD583" s="10">
        <f>IFERROR(__xludf.DUMMYFUNCTION("""COMPUTED_VALUE"""),4.0)</f>
        <v>4</v>
      </c>
      <c r="AE583" s="10">
        <f>IFERROR(__xludf.DUMMYFUNCTION("""COMPUTED_VALUE"""),3.0)</f>
        <v>3</v>
      </c>
      <c r="AF583" s="10">
        <f>IFERROR(__xludf.DUMMYFUNCTION("""COMPUTED_VALUE"""),0.0)</f>
        <v>0</v>
      </c>
      <c r="AG583" s="10">
        <f>IFERROR(__xludf.DUMMYFUNCTION("""COMPUTED_VALUE"""),9.0)</f>
        <v>9</v>
      </c>
      <c r="AH583" s="10">
        <f>IFERROR(__xludf.DUMMYFUNCTION("""COMPUTED_VALUE"""),0.0)</f>
        <v>0</v>
      </c>
      <c r="AI583" s="10">
        <f>IFERROR(__xludf.DUMMYFUNCTION("""COMPUTED_VALUE"""),10.0)</f>
        <v>10</v>
      </c>
      <c r="AJ583" s="11" t="str">
        <f>IFERROR(__xludf.DUMMYFUNCTION("""COMPUTED_VALUE"""),"https://drive.google.com/open?id=1JfM4qvyedKhy36KyHdVLq2VWCmTUl2Uzf-fmwWS2dzQ")</f>
        <v>https://drive.google.com/open?id=1JfM4qvyedKhy36KyHdVLq2VWCmTUl2Uzf-fmwWS2dzQ</v>
      </c>
      <c r="AK583" s="12"/>
      <c r="AL583" s="12" t="str">
        <f>IFERROR(__xludf.DUMMYFUNCTION("""COMPUTED_VALUE"""),"Yes")</f>
        <v>Yes</v>
      </c>
      <c r="AM583" s="15">
        <f>IFERROR(__xludf.DUMMYFUNCTION("""COMPUTED_VALUE"""),1.0)</f>
        <v>1</v>
      </c>
      <c r="AN583" s="12" t="str">
        <f>IFERROR(__xludf.DUMMYFUNCTION("""COMPUTED_VALUE"""),"2nd week")</f>
        <v>2nd week</v>
      </c>
      <c r="AO583" s="13">
        <v>2.0</v>
      </c>
      <c r="AX583" s="17"/>
    </row>
    <row r="584">
      <c r="B584" s="9">
        <f>IFERROR(__xludf.DUMMYFUNCTION("""COMPUTED_VALUE"""),45893.05294758102)</f>
        <v>45893.05295</v>
      </c>
      <c r="C584" s="10" t="str">
        <f>IFERROR(__xludf.DUMMYFUNCTION("""COMPUTED_VALUE"""),"Shahid Iqbal")</f>
        <v>Shahid Iqbal</v>
      </c>
      <c r="D584" s="10" t="str">
        <f>IFERROR(__xludf.DUMMYFUNCTION("""COMPUTED_VALUE"""),"03013665049")</f>
        <v>03013665049</v>
      </c>
      <c r="E584" s="10" t="str">
        <f>IFERROR(__xludf.DUMMYFUNCTION("""COMPUTED_VALUE"""),"Jamia Masjid Ghawajagaan Multan")</f>
        <v>Jamia Masjid Ghawajagaan Multan</v>
      </c>
      <c r="F584" s="10" t="str">
        <f>IFERROR(__xludf.DUMMYFUNCTION("""COMPUTED_VALUE"""),"cfhon")</f>
        <v>cfhon</v>
      </c>
      <c r="G584" s="10" t="str">
        <f>IFERROR(__xludf.DUMMYFUNCTION("""COMPUTED_VALUE"""),"Yes")</f>
        <v>Yes</v>
      </c>
      <c r="H584" s="10">
        <f>IFERROR(__xludf.DUMMYFUNCTION("""COMPUTED_VALUE"""),7.0)</f>
        <v>7</v>
      </c>
      <c r="I584" s="10">
        <f>IFERROR(__xludf.DUMMYFUNCTION("""COMPUTED_VALUE"""),3.0)</f>
        <v>3</v>
      </c>
      <c r="J584" s="10">
        <f>IFERROR(__xludf.DUMMYFUNCTION("""COMPUTED_VALUE"""),8.0)</f>
        <v>8</v>
      </c>
      <c r="K584" s="10">
        <f>IFERROR(__xludf.DUMMYFUNCTION("""COMPUTED_VALUE"""),9.0)</f>
        <v>9</v>
      </c>
      <c r="L584" s="10">
        <f>IFERROR(__xludf.DUMMYFUNCTION("""COMPUTED_VALUE"""),0.0)</f>
        <v>0</v>
      </c>
      <c r="M584" s="10">
        <f>IFERROR(__xludf.DUMMYFUNCTION("""COMPUTED_VALUE"""),8.0)</f>
        <v>8</v>
      </c>
      <c r="N584" s="10">
        <f>IFERROR(__xludf.DUMMYFUNCTION("""COMPUTED_VALUE"""),0.0)</f>
        <v>0</v>
      </c>
      <c r="O584" s="10">
        <f>IFERROR(__xludf.DUMMYFUNCTION("""COMPUTED_VALUE"""),6.0)</f>
        <v>6</v>
      </c>
      <c r="P584" s="10">
        <f>IFERROR(__xludf.DUMMYFUNCTION("""COMPUTED_VALUE"""),0.0)</f>
        <v>0</v>
      </c>
      <c r="Q584" s="10" t="str">
        <f>IFERROR(__xludf.DUMMYFUNCTION("""COMPUTED_VALUE"""),"Yes")</f>
        <v>Yes</v>
      </c>
      <c r="R584" s="10" t="str">
        <f>IFERROR(__xludf.DUMMYFUNCTION("""COMPUTED_VALUE"""),"No")</f>
        <v>No</v>
      </c>
      <c r="S584" s="10" t="str">
        <f>IFERROR(__xludf.DUMMYFUNCTION("""COMPUTED_VALUE"""),"No")</f>
        <v>No</v>
      </c>
      <c r="T584" s="10">
        <f>IFERROR(__xludf.DUMMYFUNCTION("""COMPUTED_VALUE"""),0.0)</f>
        <v>0</v>
      </c>
      <c r="U584" s="10">
        <f>IFERROR(__xludf.DUMMYFUNCTION("""COMPUTED_VALUE"""),0.0)</f>
        <v>0</v>
      </c>
      <c r="V584" s="10" t="str">
        <f>IFERROR(__xludf.DUMMYFUNCTION("""COMPUTED_VALUE"""),"women's rights in islam")</f>
        <v>women's rights in islam</v>
      </c>
      <c r="W584" s="10" t="str">
        <f>IFERROR(__xludf.DUMMYFUNCTION("""COMPUTED_VALUE"""),"
women's rights in islam
")</f>
        <v>
women's rights in islam
</v>
      </c>
      <c r="X584" s="10">
        <f>IFERROR(__xludf.DUMMYFUNCTION("""COMPUTED_VALUE"""),0.0)</f>
        <v>0</v>
      </c>
      <c r="Y584" s="10">
        <f>IFERROR(__xludf.DUMMYFUNCTION("""COMPUTED_VALUE"""),2.0)</f>
        <v>2</v>
      </c>
      <c r="Z584" s="10">
        <f>IFERROR(__xludf.DUMMYFUNCTION("""COMPUTED_VALUE"""),2.0)</f>
        <v>2</v>
      </c>
      <c r="AA584" s="10">
        <f>IFERROR(__xludf.DUMMYFUNCTION("""COMPUTED_VALUE"""),4.0)</f>
        <v>4</v>
      </c>
      <c r="AB584" s="10">
        <f>IFERROR(__xludf.DUMMYFUNCTION("""COMPUTED_VALUE"""),1.0)</f>
        <v>1</v>
      </c>
      <c r="AC584" s="10">
        <f>IFERROR(__xludf.DUMMYFUNCTION("""COMPUTED_VALUE"""),0.0)</f>
        <v>0</v>
      </c>
      <c r="AD584" s="10">
        <f>IFERROR(__xludf.DUMMYFUNCTION("""COMPUTED_VALUE"""),0.0)</f>
        <v>0</v>
      </c>
      <c r="AE584" s="10">
        <f>IFERROR(__xludf.DUMMYFUNCTION("""COMPUTED_VALUE"""),0.0)</f>
        <v>0</v>
      </c>
      <c r="AF584" s="10">
        <f>IFERROR(__xludf.DUMMYFUNCTION("""COMPUTED_VALUE"""),0.0)</f>
        <v>0</v>
      </c>
      <c r="AG584" s="10">
        <f>IFERROR(__xludf.DUMMYFUNCTION("""COMPUTED_VALUE"""),7.0)</f>
        <v>7</v>
      </c>
      <c r="AH584" s="10">
        <f>IFERROR(__xludf.DUMMYFUNCTION("""COMPUTED_VALUE"""),0.0)</f>
        <v>0</v>
      </c>
      <c r="AI584" s="10">
        <f>IFERROR(__xludf.DUMMYFUNCTION("""COMPUTED_VALUE"""),8.0)</f>
        <v>8</v>
      </c>
      <c r="AJ584" s="11" t="str">
        <f>IFERROR(__xludf.DUMMYFUNCTION("""COMPUTED_VALUE"""),"https://drive.google.com/open?id=1WaFaQg6gTp36c14C72hoKlqzxlwD7zLE")</f>
        <v>https://drive.google.com/open?id=1WaFaQg6gTp36c14C72hoKlqzxlwD7zLE</v>
      </c>
      <c r="AK584" s="12"/>
      <c r="AL584" s="12" t="str">
        <f>IFERROR(__xludf.DUMMYFUNCTION("""COMPUTED_VALUE"""),"Yes")</f>
        <v>Yes</v>
      </c>
      <c r="AM584" s="15">
        <f>IFERROR(__xludf.DUMMYFUNCTION("""COMPUTED_VALUE"""),0.7)</f>
        <v>0.7</v>
      </c>
      <c r="AN584" s="12" t="str">
        <f>IFERROR(__xludf.DUMMYFUNCTION("""COMPUTED_VALUE"""),"1st week")</f>
        <v>1st week</v>
      </c>
      <c r="AO584" s="13">
        <v>1.0</v>
      </c>
      <c r="AX584" s="17"/>
    </row>
    <row r="585">
      <c r="B585" s="9">
        <f>IFERROR(__xludf.DUMMYFUNCTION("""COMPUTED_VALUE"""),45893.05581561342)</f>
        <v>45893.05582</v>
      </c>
      <c r="C585" s="10" t="str">
        <f>IFERROR(__xludf.DUMMYFUNCTION("""COMPUTED_VALUE"""),"Shahid iqbal")</f>
        <v>Shahid iqbal</v>
      </c>
      <c r="D585" s="10" t="str">
        <f>IFERROR(__xludf.DUMMYFUNCTION("""COMPUTED_VALUE"""),"03013665049")</f>
        <v>03013665049</v>
      </c>
      <c r="E585" s="10" t="str">
        <f>IFERROR(__xludf.DUMMYFUNCTION("""COMPUTED_VALUE"""),"Jamia Masjid Nawab Ali Muhammad Khan Multan")</f>
        <v>Jamia Masjid Nawab Ali Muhammad Khan Multan</v>
      </c>
      <c r="F585" s="10" t="str">
        <f>IFERROR(__xludf.DUMMYFUNCTION("""COMPUTED_VALUE"""),"dodav")</f>
        <v>dodav</v>
      </c>
      <c r="G585" s="10" t="str">
        <f>IFERROR(__xludf.DUMMYFUNCTION("""COMPUTED_VALUE"""),"No")</f>
        <v>No</v>
      </c>
      <c r="H585" s="10"/>
      <c r="I585" s="10"/>
      <c r="J585" s="10"/>
      <c r="K585" s="10">
        <f>IFERROR(__xludf.DUMMYFUNCTION("""COMPUTED_VALUE"""),0.0)</f>
        <v>0</v>
      </c>
      <c r="L585" s="10">
        <f>IFERROR(__xludf.DUMMYFUNCTION("""COMPUTED_VALUE"""),0.0)</f>
        <v>0</v>
      </c>
      <c r="M585" s="10">
        <f>IFERROR(__xludf.DUMMYFUNCTION("""COMPUTED_VALUE"""),0.0)</f>
        <v>0</v>
      </c>
      <c r="N585" s="10">
        <f>IFERROR(__xludf.DUMMYFUNCTION("""COMPUTED_VALUE"""),0.0)</f>
        <v>0</v>
      </c>
      <c r="O585" s="10">
        <f>IFERROR(__xludf.DUMMYFUNCTION("""COMPUTED_VALUE"""),0.0)</f>
        <v>0</v>
      </c>
      <c r="P585" s="10">
        <f>IFERROR(__xludf.DUMMYFUNCTION("""COMPUTED_VALUE"""),0.0)</f>
        <v>0</v>
      </c>
      <c r="Q585" s="10" t="str">
        <f>IFERROR(__xludf.DUMMYFUNCTION("""COMPUTED_VALUE"""),"No")</f>
        <v>No</v>
      </c>
      <c r="R585" s="10" t="str">
        <f>IFERROR(__xludf.DUMMYFUNCTION("""COMPUTED_VALUE"""),"No")</f>
        <v>No</v>
      </c>
      <c r="S585" s="10" t="str">
        <f>IFERROR(__xludf.DUMMYFUNCTION("""COMPUTED_VALUE"""),"No")</f>
        <v>No</v>
      </c>
      <c r="T585" s="10">
        <f>IFERROR(__xludf.DUMMYFUNCTION("""COMPUTED_VALUE"""),0.0)</f>
        <v>0</v>
      </c>
      <c r="U585" s="10">
        <f>IFERROR(__xludf.DUMMYFUNCTION("""COMPUTED_VALUE"""),0.0)</f>
        <v>0</v>
      </c>
      <c r="V585" s="10" t="str">
        <f>IFERROR(__xludf.DUMMYFUNCTION("""COMPUTED_VALUE"""),"Tuaheed, taqwa aur Allah se darr")</f>
        <v>Tuaheed, taqwa aur Allah se darr</v>
      </c>
      <c r="W585" s="10" t="str">
        <f>IFERROR(__xludf.DUMMYFUNCTION("""COMPUTED_VALUE"""),"Tuaheed, taqwa aur Allah se darr zur khasiat e ilhai ka hasool")</f>
        <v>Tuaheed, taqwa aur Allah se darr zur khasiat e ilhai ka hasool</v>
      </c>
      <c r="X585" s="10">
        <f>IFERROR(__xludf.DUMMYFUNCTION("""COMPUTED_VALUE"""),8.0)</f>
        <v>8</v>
      </c>
      <c r="Y585" s="10">
        <f>IFERROR(__xludf.DUMMYFUNCTION("""COMPUTED_VALUE"""),2.0)</f>
        <v>2</v>
      </c>
      <c r="Z585" s="10">
        <f>IFERROR(__xludf.DUMMYFUNCTION("""COMPUTED_VALUE"""),2.0)</f>
        <v>2</v>
      </c>
      <c r="AA585" s="10">
        <f>IFERROR(__xludf.DUMMYFUNCTION("""COMPUTED_VALUE"""),9.0)</f>
        <v>9</v>
      </c>
      <c r="AB585" s="10">
        <f>IFERROR(__xludf.DUMMYFUNCTION("""COMPUTED_VALUE"""),2.0)</f>
        <v>2</v>
      </c>
      <c r="AC585" s="10">
        <f>IFERROR(__xludf.DUMMYFUNCTION("""COMPUTED_VALUE"""),0.0)</f>
        <v>0</v>
      </c>
      <c r="AD585" s="10">
        <f>IFERROR(__xludf.DUMMYFUNCTION("""COMPUTED_VALUE"""),0.0)</f>
        <v>0</v>
      </c>
      <c r="AE585" s="10">
        <f>IFERROR(__xludf.DUMMYFUNCTION("""COMPUTED_VALUE"""),0.0)</f>
        <v>0</v>
      </c>
      <c r="AF585" s="10">
        <f>IFERROR(__xludf.DUMMYFUNCTION("""COMPUTED_VALUE"""),0.0)</f>
        <v>0</v>
      </c>
      <c r="AG585" s="10">
        <f>IFERROR(__xludf.DUMMYFUNCTION("""COMPUTED_VALUE"""),8.0)</f>
        <v>8</v>
      </c>
      <c r="AH585" s="10">
        <f>IFERROR(__xludf.DUMMYFUNCTION("""COMPUTED_VALUE"""),0.0)</f>
        <v>0</v>
      </c>
      <c r="AI585" s="10">
        <f>IFERROR(__xludf.DUMMYFUNCTION("""COMPUTED_VALUE"""),9.0)</f>
        <v>9</v>
      </c>
      <c r="AJ585" s="11" t="str">
        <f>IFERROR(__xludf.DUMMYFUNCTION("""COMPUTED_VALUE"""),"https://drive.google.com/open?id=1nj6wmzJyzCQonf6ZdsPDicTvgEJSzwc0")</f>
        <v>https://drive.google.com/open?id=1nj6wmzJyzCQonf6ZdsPDicTvgEJSzwc0</v>
      </c>
      <c r="AK585" s="12"/>
      <c r="AL585" s="12"/>
      <c r="AM585" s="12"/>
      <c r="AN585" s="12" t="str">
        <f>IFERROR(__xludf.DUMMYFUNCTION("""COMPUTED_VALUE"""),"1st week")</f>
        <v>1st week</v>
      </c>
      <c r="AO585" s="13">
        <v>1.0</v>
      </c>
      <c r="AX585" s="17"/>
    </row>
    <row r="586">
      <c r="B586" s="9">
        <f>IFERROR(__xludf.DUMMYFUNCTION("""COMPUTED_VALUE"""),45893.059188865736)</f>
        <v>45893.05919</v>
      </c>
      <c r="C586" s="10" t="str">
        <f>IFERROR(__xludf.DUMMYFUNCTION("""COMPUTED_VALUE"""),"Shahid iqbal")</f>
        <v>Shahid iqbal</v>
      </c>
      <c r="D586" s="10" t="str">
        <f>IFERROR(__xludf.DUMMYFUNCTION("""COMPUTED_VALUE"""),"03013665049")</f>
        <v>03013665049</v>
      </c>
      <c r="E586" s="10" t="str">
        <f>IFERROR(__xludf.DUMMYFUNCTION("""COMPUTED_VALUE"""),"Jamia Masjid Abdulah Shah Bukhari Muzaffargarh")</f>
        <v>Jamia Masjid Abdulah Shah Bukhari Muzaffargarh</v>
      </c>
      <c r="F586" s="10" t="str">
        <f>IFERROR(__xludf.DUMMYFUNCTION("""COMPUTED_VALUE"""),"kezga")</f>
        <v>kezga</v>
      </c>
      <c r="G586" s="10" t="str">
        <f>IFERROR(__xludf.DUMMYFUNCTION("""COMPUTED_VALUE"""),"Yes")</f>
        <v>Yes</v>
      </c>
      <c r="H586" s="10">
        <f>IFERROR(__xludf.DUMMYFUNCTION("""COMPUTED_VALUE"""),7.0)</f>
        <v>7</v>
      </c>
      <c r="I586" s="10">
        <f>IFERROR(__xludf.DUMMYFUNCTION("""COMPUTED_VALUE"""),3.0)</f>
        <v>3</v>
      </c>
      <c r="J586" s="10">
        <f>IFERROR(__xludf.DUMMYFUNCTION("""COMPUTED_VALUE"""),8.0)</f>
        <v>8</v>
      </c>
      <c r="K586" s="10">
        <f>IFERROR(__xludf.DUMMYFUNCTION("""COMPUTED_VALUE"""),8.0)</f>
        <v>8</v>
      </c>
      <c r="L586" s="10">
        <f>IFERROR(__xludf.DUMMYFUNCTION("""COMPUTED_VALUE"""),0.0)</f>
        <v>0</v>
      </c>
      <c r="M586" s="10">
        <f>IFERROR(__xludf.DUMMYFUNCTION("""COMPUTED_VALUE"""),8.0)</f>
        <v>8</v>
      </c>
      <c r="N586" s="10">
        <f>IFERROR(__xludf.DUMMYFUNCTION("""COMPUTED_VALUE"""),0.0)</f>
        <v>0</v>
      </c>
      <c r="O586" s="10">
        <f>IFERROR(__xludf.DUMMYFUNCTION("""COMPUTED_VALUE"""),8.0)</f>
        <v>8</v>
      </c>
      <c r="P586" s="10">
        <f>IFERROR(__xludf.DUMMYFUNCTION("""COMPUTED_VALUE"""),0.0)</f>
        <v>0</v>
      </c>
      <c r="Q586" s="10" t="str">
        <f>IFERROR(__xludf.DUMMYFUNCTION("""COMPUTED_VALUE"""),"Yes")</f>
        <v>Yes</v>
      </c>
      <c r="R586" s="10" t="str">
        <f>IFERROR(__xludf.DUMMYFUNCTION("""COMPUTED_VALUE"""),"No")</f>
        <v>No</v>
      </c>
      <c r="S586" s="10" t="str">
        <f>IFERROR(__xludf.DUMMYFUNCTION("""COMPUTED_VALUE"""),"Yes")</f>
        <v>Yes</v>
      </c>
      <c r="T586" s="10">
        <f>IFERROR(__xludf.DUMMYFUNCTION("""COMPUTED_VALUE"""),0.0)</f>
        <v>0</v>
      </c>
      <c r="U586" s="10">
        <f>IFERROR(__xludf.DUMMYFUNCTION("""COMPUTED_VALUE"""),0.0)</f>
        <v>0</v>
      </c>
      <c r="V586" s="10" t="str">
        <f>IFERROR(__xludf.DUMMYFUNCTION("""COMPUTED_VALUE"""),"islam ma aurat ka muqam o martaba")</f>
        <v>islam ma aurat ka muqam o martaba</v>
      </c>
      <c r="W586" s="10" t="str">
        <f>IFERROR(__xludf.DUMMYFUNCTION("""COMPUTED_VALUE"""),"islam ma aurat ka muqam o martaba")</f>
        <v>islam ma aurat ka muqam o martaba</v>
      </c>
      <c r="X586" s="10">
        <f>IFERROR(__xludf.DUMMYFUNCTION("""COMPUTED_VALUE"""),1.0)</f>
        <v>1</v>
      </c>
      <c r="Y586" s="10">
        <f>IFERROR(__xludf.DUMMYFUNCTION("""COMPUTED_VALUE"""),2.0)</f>
        <v>2</v>
      </c>
      <c r="Z586" s="10">
        <f>IFERROR(__xludf.DUMMYFUNCTION("""COMPUTED_VALUE"""),2.0)</f>
        <v>2</v>
      </c>
      <c r="AA586" s="10">
        <f>IFERROR(__xludf.DUMMYFUNCTION("""COMPUTED_VALUE"""),7.0)</f>
        <v>7</v>
      </c>
      <c r="AB586" s="10">
        <f>IFERROR(__xludf.DUMMYFUNCTION("""COMPUTED_VALUE"""),3.0)</f>
        <v>3</v>
      </c>
      <c r="AC586" s="10">
        <f>IFERROR(__xludf.DUMMYFUNCTION("""COMPUTED_VALUE"""),1.0)</f>
        <v>1</v>
      </c>
      <c r="AD586" s="10">
        <f>IFERROR(__xludf.DUMMYFUNCTION("""COMPUTED_VALUE"""),0.0)</f>
        <v>0</v>
      </c>
      <c r="AE586" s="10">
        <f>IFERROR(__xludf.DUMMYFUNCTION("""COMPUTED_VALUE"""),0.0)</f>
        <v>0</v>
      </c>
      <c r="AF586" s="10">
        <f>IFERROR(__xludf.DUMMYFUNCTION("""COMPUTED_VALUE"""),0.0)</f>
        <v>0</v>
      </c>
      <c r="AG586" s="10">
        <f>IFERROR(__xludf.DUMMYFUNCTION("""COMPUTED_VALUE"""),8.0)</f>
        <v>8</v>
      </c>
      <c r="AH586" s="10">
        <f>IFERROR(__xludf.DUMMYFUNCTION("""COMPUTED_VALUE"""),2.0)</f>
        <v>2</v>
      </c>
      <c r="AI586" s="10">
        <f>IFERROR(__xludf.DUMMYFUNCTION("""COMPUTED_VALUE"""),8.0)</f>
        <v>8</v>
      </c>
      <c r="AJ586" s="11" t="str">
        <f>IFERROR(__xludf.DUMMYFUNCTION("""COMPUTED_VALUE"""),"https://drive.google.com/open?id=1VQvRF2pAodDaoKnhEBFkXsvi5WDcybff")</f>
        <v>https://drive.google.com/open?id=1VQvRF2pAodDaoKnhEBFkXsvi5WDcybff</v>
      </c>
      <c r="AK586" s="12"/>
      <c r="AL586" s="12" t="str">
        <f>IFERROR(__xludf.DUMMYFUNCTION("""COMPUTED_VALUE"""),"Yes")</f>
        <v>Yes</v>
      </c>
      <c r="AM586" s="15">
        <f>IFERROR(__xludf.DUMMYFUNCTION("""COMPUTED_VALUE"""),0.7)</f>
        <v>0.7</v>
      </c>
      <c r="AN586" s="12" t="str">
        <f>IFERROR(__xludf.DUMMYFUNCTION("""COMPUTED_VALUE"""),"1st week")</f>
        <v>1st week</v>
      </c>
      <c r="AO586" s="13">
        <v>1.0</v>
      </c>
      <c r="AX586" s="17"/>
    </row>
    <row r="587">
      <c r="B587" s="9">
        <f>IFERROR(__xludf.DUMMYFUNCTION("""COMPUTED_VALUE"""),45893.06598476852)</f>
        <v>45893.06598</v>
      </c>
      <c r="C587" s="10" t="str">
        <f>IFERROR(__xludf.DUMMYFUNCTION("""COMPUTED_VALUE"""),"Shahid iqbal")</f>
        <v>Shahid iqbal</v>
      </c>
      <c r="D587" s="10" t="str">
        <f>IFERROR(__xludf.DUMMYFUNCTION("""COMPUTED_VALUE"""),"03013665049")</f>
        <v>03013665049</v>
      </c>
      <c r="E587" s="10" t="str">
        <f>IFERROR(__xludf.DUMMYFUNCTION("""COMPUTED_VALUE"""),"Jamia Masjid Allah Daad Trust Jahaniya Khanewal")</f>
        <v>Jamia Masjid Allah Daad Trust Jahaniya Khanewal</v>
      </c>
      <c r="F587" s="10" t="str">
        <f>IFERROR(__xludf.DUMMYFUNCTION("""COMPUTED_VALUE"""),"bgzlc")</f>
        <v>bgzlc</v>
      </c>
      <c r="G587" s="10" t="str">
        <f>IFERROR(__xludf.DUMMYFUNCTION("""COMPUTED_VALUE"""),"No")</f>
        <v>No</v>
      </c>
      <c r="H587" s="10"/>
      <c r="I587" s="10"/>
      <c r="J587" s="10"/>
      <c r="K587" s="10">
        <f>IFERROR(__xludf.DUMMYFUNCTION("""COMPUTED_VALUE"""),0.0)</f>
        <v>0</v>
      </c>
      <c r="L587" s="10">
        <f>IFERROR(__xludf.DUMMYFUNCTION("""COMPUTED_VALUE"""),0.0)</f>
        <v>0</v>
      </c>
      <c r="M587" s="10">
        <f>IFERROR(__xludf.DUMMYFUNCTION("""COMPUTED_VALUE"""),0.0)</f>
        <v>0</v>
      </c>
      <c r="N587" s="10">
        <f>IFERROR(__xludf.DUMMYFUNCTION("""COMPUTED_VALUE"""),0.0)</f>
        <v>0</v>
      </c>
      <c r="O587" s="10">
        <f>IFERROR(__xludf.DUMMYFUNCTION("""COMPUTED_VALUE"""),0.0)</f>
        <v>0</v>
      </c>
      <c r="P587" s="10">
        <f>IFERROR(__xludf.DUMMYFUNCTION("""COMPUTED_VALUE"""),0.0)</f>
        <v>0</v>
      </c>
      <c r="Q587" s="10" t="str">
        <f>IFERROR(__xludf.DUMMYFUNCTION("""COMPUTED_VALUE"""),"No")</f>
        <v>No</v>
      </c>
      <c r="R587" s="10" t="str">
        <f>IFERROR(__xludf.DUMMYFUNCTION("""COMPUTED_VALUE"""),"No")</f>
        <v>No</v>
      </c>
      <c r="S587" s="10" t="str">
        <f>IFERROR(__xludf.DUMMYFUNCTION("""COMPUTED_VALUE"""),"No")</f>
        <v>No</v>
      </c>
      <c r="T587" s="10">
        <f>IFERROR(__xludf.DUMMYFUNCTION("""COMPUTED_VALUE"""),0.0)</f>
        <v>0</v>
      </c>
      <c r="U587" s="10">
        <f>IFERROR(__xludf.DUMMYFUNCTION("""COMPUTED_VALUE"""),0.0)</f>
        <v>0</v>
      </c>
      <c r="V587" s="10" t="str">
        <f>IFERROR(__xludf.DUMMYFUNCTION("""COMPUTED_VALUE"""),"اللہ اور اس کے حضور کی اطاعت کے بارے میں ذکر کیا گیا")</f>
        <v>اللہ اور اس کے حضور کی اطاعت کے بارے میں ذکر کیا گیا</v>
      </c>
      <c r="W587" s="10" t="str">
        <f>IFERROR(__xludf.DUMMYFUNCTION("""COMPUTED_VALUE"""),"اللہ اور اس کے حضور کی اطاعت کے بارے میں ذکر کیا گیا اور نبی کریم صلی اللہ علیہ وسلم کی خوبیاں ان کی سیرت طیبہ کو بیان کیا گیا")</f>
        <v>اللہ اور اس کے حضور کی اطاعت کے بارے میں ذکر کیا گیا اور نبی کریم صلی اللہ علیہ وسلم کی خوبیاں ان کی سیرت طیبہ کو بیان کیا گیا</v>
      </c>
      <c r="X587" s="10">
        <f>IFERROR(__xludf.DUMMYFUNCTION("""COMPUTED_VALUE"""),3.0)</f>
        <v>3</v>
      </c>
      <c r="Y587" s="10">
        <f>IFERROR(__xludf.DUMMYFUNCTION("""COMPUTED_VALUE"""),4.0)</f>
        <v>4</v>
      </c>
      <c r="Z587" s="10">
        <f>IFERROR(__xludf.DUMMYFUNCTION("""COMPUTED_VALUE"""),4.0)</f>
        <v>4</v>
      </c>
      <c r="AA587" s="10">
        <f>IFERROR(__xludf.DUMMYFUNCTION("""COMPUTED_VALUE"""),5.0)</f>
        <v>5</v>
      </c>
      <c r="AB587" s="10">
        <f>IFERROR(__xludf.DUMMYFUNCTION("""COMPUTED_VALUE"""),3.0)</f>
        <v>3</v>
      </c>
      <c r="AC587" s="10">
        <f>IFERROR(__xludf.DUMMYFUNCTION("""COMPUTED_VALUE"""),2.0)</f>
        <v>2</v>
      </c>
      <c r="AD587" s="10">
        <f>IFERROR(__xludf.DUMMYFUNCTION("""COMPUTED_VALUE"""),0.0)</f>
        <v>0</v>
      </c>
      <c r="AE587" s="10">
        <f>IFERROR(__xludf.DUMMYFUNCTION("""COMPUTED_VALUE"""),0.0)</f>
        <v>0</v>
      </c>
      <c r="AF587" s="10">
        <f>IFERROR(__xludf.DUMMYFUNCTION("""COMPUTED_VALUE"""),0.0)</f>
        <v>0</v>
      </c>
      <c r="AG587" s="10">
        <f>IFERROR(__xludf.DUMMYFUNCTION("""COMPUTED_VALUE"""),9.0)</f>
        <v>9</v>
      </c>
      <c r="AH587" s="10">
        <f>IFERROR(__xludf.DUMMYFUNCTION("""COMPUTED_VALUE"""),0.0)</f>
        <v>0</v>
      </c>
      <c r="AI587" s="10">
        <f>IFERROR(__xludf.DUMMYFUNCTION("""COMPUTED_VALUE"""),8.0)</f>
        <v>8</v>
      </c>
      <c r="AJ587" s="11" t="str">
        <f>IFERROR(__xludf.DUMMYFUNCTION("""COMPUTED_VALUE"""),"https://drive.google.com/open?id=1jmusgh5_ilTTGZneIIMYuBb9isE0kFnH")</f>
        <v>https://drive.google.com/open?id=1jmusgh5_ilTTGZneIIMYuBb9isE0kFnH</v>
      </c>
      <c r="AK587" s="12"/>
      <c r="AL587" s="12"/>
      <c r="AM587" s="12"/>
      <c r="AN587" s="12" t="str">
        <f>IFERROR(__xludf.DUMMYFUNCTION("""COMPUTED_VALUE"""),"1st week")</f>
        <v>1st week</v>
      </c>
      <c r="AO587" s="13">
        <v>1.0</v>
      </c>
      <c r="AX587" s="17"/>
    </row>
    <row r="588">
      <c r="B588" s="9">
        <f>IFERROR(__xludf.DUMMYFUNCTION("""COMPUTED_VALUE"""),45893.068642858794)</f>
        <v>45893.06864</v>
      </c>
      <c r="C588" s="10" t="str">
        <f>IFERROR(__xludf.DUMMYFUNCTION("""COMPUTED_VALUE"""),"Shahid iqbal")</f>
        <v>Shahid iqbal</v>
      </c>
      <c r="D588" s="10" t="str">
        <f>IFERROR(__xludf.DUMMYFUNCTION("""COMPUTED_VALUE"""),"03013665049")</f>
        <v>03013665049</v>
      </c>
      <c r="E588" s="10" t="str">
        <f>IFERROR(__xludf.DUMMYFUNCTION("""COMPUTED_VALUE"""),"Jamia Masjid Qasba Mural Multan")</f>
        <v>Jamia Masjid Qasba Mural Multan</v>
      </c>
      <c r="F588" s="10" t="str">
        <f>IFERROR(__xludf.DUMMYFUNCTION("""COMPUTED_VALUE"""),"jspgw")</f>
        <v>jspgw</v>
      </c>
      <c r="G588" s="10" t="str">
        <f>IFERROR(__xludf.DUMMYFUNCTION("""COMPUTED_VALUE"""),"Yes")</f>
        <v>Yes</v>
      </c>
      <c r="H588" s="10">
        <f>IFERROR(__xludf.DUMMYFUNCTION("""COMPUTED_VALUE"""),7.0)</f>
        <v>7</v>
      </c>
      <c r="I588" s="10">
        <f>IFERROR(__xludf.DUMMYFUNCTION("""COMPUTED_VALUE"""),3.0)</f>
        <v>3</v>
      </c>
      <c r="J588" s="10">
        <f>IFERROR(__xludf.DUMMYFUNCTION("""COMPUTED_VALUE"""),9.0)</f>
        <v>9</v>
      </c>
      <c r="K588" s="10">
        <f>IFERROR(__xludf.DUMMYFUNCTION("""COMPUTED_VALUE"""),10.0)</f>
        <v>10</v>
      </c>
      <c r="L588" s="10">
        <f>IFERROR(__xludf.DUMMYFUNCTION("""COMPUTED_VALUE"""),0.0)</f>
        <v>0</v>
      </c>
      <c r="M588" s="10">
        <f>IFERROR(__xludf.DUMMYFUNCTION("""COMPUTED_VALUE"""),9.0)</f>
        <v>9</v>
      </c>
      <c r="N588" s="10">
        <f>IFERROR(__xludf.DUMMYFUNCTION("""COMPUTED_VALUE"""),0.0)</f>
        <v>0</v>
      </c>
      <c r="O588" s="10">
        <f>IFERROR(__xludf.DUMMYFUNCTION("""COMPUTED_VALUE"""),8.0)</f>
        <v>8</v>
      </c>
      <c r="P588" s="10">
        <f>IFERROR(__xludf.DUMMYFUNCTION("""COMPUTED_VALUE"""),0.0)</f>
        <v>0</v>
      </c>
      <c r="Q588" s="10" t="str">
        <f>IFERROR(__xludf.DUMMYFUNCTION("""COMPUTED_VALUE"""),"Yes")</f>
        <v>Yes</v>
      </c>
      <c r="R588" s="10" t="str">
        <f>IFERROR(__xludf.DUMMYFUNCTION("""COMPUTED_VALUE"""),"No")</f>
        <v>No</v>
      </c>
      <c r="S588" s="10" t="str">
        <f>IFERROR(__xludf.DUMMYFUNCTION("""COMPUTED_VALUE"""),"Yes")</f>
        <v>Yes</v>
      </c>
      <c r="T588" s="10">
        <f>IFERROR(__xludf.DUMMYFUNCTION("""COMPUTED_VALUE"""),0.0)</f>
        <v>0</v>
      </c>
      <c r="U588" s="10">
        <f>IFERROR(__xludf.DUMMYFUNCTION("""COMPUTED_VALUE"""),0.0)</f>
        <v>0</v>
      </c>
      <c r="V588" s="10" t="str">
        <f>IFERROR(__xludf.DUMMYFUNCTION("""COMPUTED_VALUE"""),"islam ma aurat ka muqam o martaba")</f>
        <v>islam ma aurat ka muqam o martaba</v>
      </c>
      <c r="W588" s="10" t="str">
        <f>IFERROR(__xludf.DUMMYFUNCTION("""COMPUTED_VALUE"""),"islam ma aurat ka muqam o martaba aur aurton k haqooq")</f>
        <v>islam ma aurat ka muqam o martaba aur aurton k haqooq</v>
      </c>
      <c r="X588" s="10">
        <f>IFERROR(__xludf.DUMMYFUNCTION("""COMPUTED_VALUE"""),0.0)</f>
        <v>0</v>
      </c>
      <c r="Y588" s="10">
        <f>IFERROR(__xludf.DUMMYFUNCTION("""COMPUTED_VALUE"""),3.0)</f>
        <v>3</v>
      </c>
      <c r="Z588" s="10">
        <f>IFERROR(__xludf.DUMMYFUNCTION("""COMPUTED_VALUE"""),3.0)</f>
        <v>3</v>
      </c>
      <c r="AA588" s="10">
        <f>IFERROR(__xludf.DUMMYFUNCTION("""COMPUTED_VALUE"""),5.0)</f>
        <v>5</v>
      </c>
      <c r="AB588" s="10">
        <f>IFERROR(__xludf.DUMMYFUNCTION("""COMPUTED_VALUE"""),1.0)</f>
        <v>1</v>
      </c>
      <c r="AC588" s="10">
        <f>IFERROR(__xludf.DUMMYFUNCTION("""COMPUTED_VALUE"""),1.0)</f>
        <v>1</v>
      </c>
      <c r="AD588" s="10">
        <f>IFERROR(__xludf.DUMMYFUNCTION("""COMPUTED_VALUE"""),0.0)</f>
        <v>0</v>
      </c>
      <c r="AE588" s="10">
        <f>IFERROR(__xludf.DUMMYFUNCTION("""COMPUTED_VALUE"""),0.0)</f>
        <v>0</v>
      </c>
      <c r="AF588" s="10">
        <f>IFERROR(__xludf.DUMMYFUNCTION("""COMPUTED_VALUE"""),0.0)</f>
        <v>0</v>
      </c>
      <c r="AG588" s="10">
        <f>IFERROR(__xludf.DUMMYFUNCTION("""COMPUTED_VALUE"""),8.0)</f>
        <v>8</v>
      </c>
      <c r="AH588" s="10">
        <f>IFERROR(__xludf.DUMMYFUNCTION("""COMPUTED_VALUE"""),1.0)</f>
        <v>1</v>
      </c>
      <c r="AI588" s="10">
        <f>IFERROR(__xludf.DUMMYFUNCTION("""COMPUTED_VALUE"""),9.0)</f>
        <v>9</v>
      </c>
      <c r="AJ588" s="11" t="str">
        <f>IFERROR(__xludf.DUMMYFUNCTION("""COMPUTED_VALUE"""),"https://drive.google.com/open?id=1UHh_VSfU8j_jlgqrKVRgn_MbR5H_WdfY")</f>
        <v>https://drive.google.com/open?id=1UHh_VSfU8j_jlgqrKVRgn_MbR5H_WdfY</v>
      </c>
      <c r="AK588" s="12"/>
      <c r="AL588" s="12" t="str">
        <f>IFERROR(__xludf.DUMMYFUNCTION("""COMPUTED_VALUE"""),"Yes")</f>
        <v>Yes</v>
      </c>
      <c r="AM588" s="15">
        <f>IFERROR(__xludf.DUMMYFUNCTION("""COMPUTED_VALUE"""),0.7)</f>
        <v>0.7</v>
      </c>
      <c r="AN588" s="12" t="str">
        <f>IFERROR(__xludf.DUMMYFUNCTION("""COMPUTED_VALUE"""),"1st week")</f>
        <v>1st week</v>
      </c>
      <c r="AO588" s="13">
        <v>1.0</v>
      </c>
      <c r="AX588" s="17"/>
    </row>
    <row r="589">
      <c r="B589" s="9">
        <f>IFERROR(__xludf.DUMMYFUNCTION("""COMPUTED_VALUE"""),45893.073297152776)</f>
        <v>45893.0733</v>
      </c>
      <c r="C589" s="10" t="str">
        <f>IFERROR(__xludf.DUMMYFUNCTION("""COMPUTED_VALUE"""),"Shahid iqbal")</f>
        <v>Shahid iqbal</v>
      </c>
      <c r="D589" s="10" t="str">
        <f>IFERROR(__xludf.DUMMYFUNCTION("""COMPUTED_VALUE"""),"03013665049")</f>
        <v>03013665049</v>
      </c>
      <c r="E589" s="10" t="str">
        <f>IFERROR(__xludf.DUMMYFUNCTION("""COMPUTED_VALUE"""),"Jamia Masjid Darbar Khawaja Khuda Bhakas Kharpure")</f>
        <v>Jamia Masjid Darbar Khawaja Khuda Bhakas Kharpure</v>
      </c>
      <c r="F589" s="10" t="str">
        <f>IFERROR(__xludf.DUMMYFUNCTION("""COMPUTED_VALUE"""),"xppxx")</f>
        <v>xppxx</v>
      </c>
      <c r="G589" s="10" t="str">
        <f>IFERROR(__xludf.DUMMYFUNCTION("""COMPUTED_VALUE"""),"No")</f>
        <v>No</v>
      </c>
      <c r="H589" s="10"/>
      <c r="I589" s="10"/>
      <c r="J589" s="10"/>
      <c r="K589" s="10">
        <f>IFERROR(__xludf.DUMMYFUNCTION("""COMPUTED_VALUE"""),2.0)</f>
        <v>2</v>
      </c>
      <c r="L589" s="10">
        <f>IFERROR(__xludf.DUMMYFUNCTION("""COMPUTED_VALUE"""),2.0)</f>
        <v>2</v>
      </c>
      <c r="M589" s="10">
        <f>IFERROR(__xludf.DUMMYFUNCTION("""COMPUTED_VALUE"""),2.0)</f>
        <v>2</v>
      </c>
      <c r="N589" s="10">
        <f>IFERROR(__xludf.DUMMYFUNCTION("""COMPUTED_VALUE"""),2.0)</f>
        <v>2</v>
      </c>
      <c r="O589" s="10">
        <f>IFERROR(__xludf.DUMMYFUNCTION("""COMPUTED_VALUE"""),0.0)</f>
        <v>0</v>
      </c>
      <c r="P589" s="10">
        <f>IFERROR(__xludf.DUMMYFUNCTION("""COMPUTED_VALUE"""),0.0)</f>
        <v>0</v>
      </c>
      <c r="Q589" s="10" t="str">
        <f>IFERROR(__xludf.DUMMYFUNCTION("""COMPUTED_VALUE"""),"No")</f>
        <v>No</v>
      </c>
      <c r="R589" s="10" t="str">
        <f>IFERROR(__xludf.DUMMYFUNCTION("""COMPUTED_VALUE"""),"No")</f>
        <v>No</v>
      </c>
      <c r="S589" s="10" t="str">
        <f>IFERROR(__xludf.DUMMYFUNCTION("""COMPUTED_VALUE"""),"No")</f>
        <v>No</v>
      </c>
      <c r="T589" s="10">
        <f>IFERROR(__xludf.DUMMYFUNCTION("""COMPUTED_VALUE"""),0.0)</f>
        <v>0</v>
      </c>
      <c r="U589" s="10">
        <f>IFERROR(__xludf.DUMMYFUNCTION("""COMPUTED_VALUE"""),0.0)</f>
        <v>0</v>
      </c>
      <c r="V589" s="10" t="str">
        <f>IFERROR(__xludf.DUMMYFUNCTION("""COMPUTED_VALUE"""),"Tuaheed haqooq Allah, hamsayion k haqooq aur aurton k haqooq")</f>
        <v>Tuaheed haqooq Allah, hamsayion k haqooq aur aurton k haqooq</v>
      </c>
      <c r="W589" s="10" t="str">
        <f>IFERROR(__xludf.DUMMYFUNCTION("""COMPUTED_VALUE"""),"
Tuaheed haqooq Allah, hamsayion k haqooq aur aurton k haqooq
aur mushary ki zimadaarian")</f>
        <v>
Tuaheed haqooq Allah, hamsayion k haqooq aur aurton k haqooq
aur mushary ki zimadaarian</v>
      </c>
      <c r="X589" s="10">
        <f>IFERROR(__xludf.DUMMYFUNCTION("""COMPUTED_VALUE"""),3.0)</f>
        <v>3</v>
      </c>
      <c r="Y589" s="10">
        <f>IFERROR(__xludf.DUMMYFUNCTION("""COMPUTED_VALUE"""),4.0)</f>
        <v>4</v>
      </c>
      <c r="Z589" s="10">
        <f>IFERROR(__xludf.DUMMYFUNCTION("""COMPUTED_VALUE"""),4.0)</f>
        <v>4</v>
      </c>
      <c r="AA589" s="10">
        <f>IFERROR(__xludf.DUMMYFUNCTION("""COMPUTED_VALUE"""),4.0)</f>
        <v>4</v>
      </c>
      <c r="AB589" s="10">
        <f>IFERROR(__xludf.DUMMYFUNCTION("""COMPUTED_VALUE"""),3.0)</f>
        <v>3</v>
      </c>
      <c r="AC589" s="10">
        <f>IFERROR(__xludf.DUMMYFUNCTION("""COMPUTED_VALUE"""),1.0)</f>
        <v>1</v>
      </c>
      <c r="AD589" s="10">
        <f>IFERROR(__xludf.DUMMYFUNCTION("""COMPUTED_VALUE"""),0.0)</f>
        <v>0</v>
      </c>
      <c r="AE589" s="10">
        <f>IFERROR(__xludf.DUMMYFUNCTION("""COMPUTED_VALUE"""),0.0)</f>
        <v>0</v>
      </c>
      <c r="AF589" s="10">
        <f>IFERROR(__xludf.DUMMYFUNCTION("""COMPUTED_VALUE"""),0.0)</f>
        <v>0</v>
      </c>
      <c r="AG589" s="10">
        <f>IFERROR(__xludf.DUMMYFUNCTION("""COMPUTED_VALUE"""),10.0)</f>
        <v>10</v>
      </c>
      <c r="AH589" s="10">
        <f>IFERROR(__xludf.DUMMYFUNCTION("""COMPUTED_VALUE"""),0.0)</f>
        <v>0</v>
      </c>
      <c r="AI589" s="10">
        <f>IFERROR(__xludf.DUMMYFUNCTION("""COMPUTED_VALUE"""),10.0)</f>
        <v>10</v>
      </c>
      <c r="AJ589" s="11" t="str">
        <f>IFERROR(__xludf.DUMMYFUNCTION("""COMPUTED_VALUE"""),"https://drive.google.com/open?id=1m0_AJ_ka5FhZCfemfj73yIgPqCcaOYka")</f>
        <v>https://drive.google.com/open?id=1m0_AJ_ka5FhZCfemfj73yIgPqCcaOYka</v>
      </c>
      <c r="AK589" s="12"/>
      <c r="AL589" s="12"/>
      <c r="AM589" s="12"/>
      <c r="AN589" s="12" t="str">
        <f>IFERROR(__xludf.DUMMYFUNCTION("""COMPUTED_VALUE"""),"1st week")</f>
        <v>1st week</v>
      </c>
      <c r="AO589" s="13">
        <v>1.0</v>
      </c>
      <c r="AX589" s="17"/>
    </row>
    <row r="590">
      <c r="B590" s="9">
        <f>IFERROR(__xludf.DUMMYFUNCTION("""COMPUTED_VALUE"""),45893.07547023148)</f>
        <v>45893.07547</v>
      </c>
      <c r="C590" s="10" t="str">
        <f>IFERROR(__xludf.DUMMYFUNCTION("""COMPUTED_VALUE"""),"Shahid Iqbal")</f>
        <v>Shahid Iqbal</v>
      </c>
      <c r="D590" s="10" t="str">
        <f>IFERROR(__xludf.DUMMYFUNCTION("""COMPUTED_VALUE"""),"03013665049")</f>
        <v>03013665049</v>
      </c>
      <c r="E590" s="10" t="str">
        <f>IFERROR(__xludf.DUMMYFUNCTION("""COMPUTED_VALUE"""),"Jamia Masjid Aqsa Bhawalpur")</f>
        <v>Jamia Masjid Aqsa Bhawalpur</v>
      </c>
      <c r="F590" s="10" t="str">
        <f>IFERROR(__xludf.DUMMYFUNCTION("""COMPUTED_VALUE"""),"qwlfb")</f>
        <v>qwlfb</v>
      </c>
      <c r="G590" s="10" t="str">
        <f>IFERROR(__xludf.DUMMYFUNCTION("""COMPUTED_VALUE"""),"No")</f>
        <v>No</v>
      </c>
      <c r="H590" s="10"/>
      <c r="I590" s="10"/>
      <c r="J590" s="10"/>
      <c r="K590" s="10">
        <f>IFERROR(__xludf.DUMMYFUNCTION("""COMPUTED_VALUE"""),0.0)</f>
        <v>0</v>
      </c>
      <c r="L590" s="10">
        <f>IFERROR(__xludf.DUMMYFUNCTION("""COMPUTED_VALUE"""),0.0)</f>
        <v>0</v>
      </c>
      <c r="M590" s="10">
        <f>IFERROR(__xludf.DUMMYFUNCTION("""COMPUTED_VALUE"""),0.0)</f>
        <v>0</v>
      </c>
      <c r="N590" s="10">
        <f>IFERROR(__xludf.DUMMYFUNCTION("""COMPUTED_VALUE"""),0.0)</f>
        <v>0</v>
      </c>
      <c r="O590" s="10">
        <f>IFERROR(__xludf.DUMMYFUNCTION("""COMPUTED_VALUE"""),0.0)</f>
        <v>0</v>
      </c>
      <c r="P590" s="10">
        <f>IFERROR(__xludf.DUMMYFUNCTION("""COMPUTED_VALUE"""),0.0)</f>
        <v>0</v>
      </c>
      <c r="Q590" s="10" t="str">
        <f>IFERROR(__xludf.DUMMYFUNCTION("""COMPUTED_VALUE"""),"No")</f>
        <v>No</v>
      </c>
      <c r="R590" s="10" t="str">
        <f>IFERROR(__xludf.DUMMYFUNCTION("""COMPUTED_VALUE"""),"No")</f>
        <v>No</v>
      </c>
      <c r="S590" s="10" t="str">
        <f>IFERROR(__xludf.DUMMYFUNCTION("""COMPUTED_VALUE"""),"No")</f>
        <v>No</v>
      </c>
      <c r="T590" s="10">
        <f>IFERROR(__xludf.DUMMYFUNCTION("""COMPUTED_VALUE"""),0.0)</f>
        <v>0</v>
      </c>
      <c r="U590" s="10">
        <f>IFERROR(__xludf.DUMMYFUNCTION("""COMPUTED_VALUE"""),0.0)</f>
        <v>0</v>
      </c>
      <c r="V590" s="10" t="str">
        <f>IFERROR(__xludf.DUMMYFUNCTION("""COMPUTED_VALUE"""),"Allah se darr aur taqwa")</f>
        <v>Allah se darr aur taqwa</v>
      </c>
      <c r="W590" s="10" t="str">
        <f>IFERROR(__xludf.DUMMYFUNCTION("""COMPUTED_VALUE"""),"Allah se darr aur taqwa, mah e safar aur auliya e ikraam ki azmat")</f>
        <v>Allah se darr aur taqwa, mah e safar aur auliya e ikraam ki azmat</v>
      </c>
      <c r="X590" s="10">
        <f>IFERROR(__xludf.DUMMYFUNCTION("""COMPUTED_VALUE"""),5.0)</f>
        <v>5</v>
      </c>
      <c r="Y590" s="10">
        <f>IFERROR(__xludf.DUMMYFUNCTION("""COMPUTED_VALUE"""),4.0)</f>
        <v>4</v>
      </c>
      <c r="Z590" s="10">
        <f>IFERROR(__xludf.DUMMYFUNCTION("""COMPUTED_VALUE"""),3.0)</f>
        <v>3</v>
      </c>
      <c r="AA590" s="10">
        <f>IFERROR(__xludf.DUMMYFUNCTION("""COMPUTED_VALUE"""),6.0)</f>
        <v>6</v>
      </c>
      <c r="AB590" s="10">
        <f>IFERROR(__xludf.DUMMYFUNCTION("""COMPUTED_VALUE"""),2.0)</f>
        <v>2</v>
      </c>
      <c r="AC590" s="10">
        <f>IFERROR(__xludf.DUMMYFUNCTION("""COMPUTED_VALUE"""),0.0)</f>
        <v>0</v>
      </c>
      <c r="AD590" s="10">
        <f>IFERROR(__xludf.DUMMYFUNCTION("""COMPUTED_VALUE"""),0.0)</f>
        <v>0</v>
      </c>
      <c r="AE590" s="10">
        <f>IFERROR(__xludf.DUMMYFUNCTION("""COMPUTED_VALUE"""),0.0)</f>
        <v>0</v>
      </c>
      <c r="AF590" s="10">
        <f>IFERROR(__xludf.DUMMYFUNCTION("""COMPUTED_VALUE"""),0.0)</f>
        <v>0</v>
      </c>
      <c r="AG590" s="10">
        <f>IFERROR(__xludf.DUMMYFUNCTION("""COMPUTED_VALUE"""),9.0)</f>
        <v>9</v>
      </c>
      <c r="AH590" s="10">
        <f>IFERROR(__xludf.DUMMYFUNCTION("""COMPUTED_VALUE"""),0.0)</f>
        <v>0</v>
      </c>
      <c r="AI590" s="10">
        <f>IFERROR(__xludf.DUMMYFUNCTION("""COMPUTED_VALUE"""),10.0)</f>
        <v>10</v>
      </c>
      <c r="AJ590" s="11" t="str">
        <f>IFERROR(__xludf.DUMMYFUNCTION("""COMPUTED_VALUE"""),"https://drive.google.com/open?id=1RjtofLx2WwR_UHLEv5LX4Jt65lNoI3sx")</f>
        <v>https://drive.google.com/open?id=1RjtofLx2WwR_UHLEv5LX4Jt65lNoI3sx</v>
      </c>
      <c r="AK590" s="12"/>
      <c r="AL590" s="12"/>
      <c r="AM590" s="12"/>
      <c r="AN590" s="12" t="str">
        <f>IFERROR(__xludf.DUMMYFUNCTION("""COMPUTED_VALUE"""),"1st week")</f>
        <v>1st week</v>
      </c>
      <c r="AO590" s="13">
        <v>1.0</v>
      </c>
      <c r="AX590" s="17"/>
    </row>
    <row r="591">
      <c r="B591" s="9">
        <f>IFERROR(__xludf.DUMMYFUNCTION("""COMPUTED_VALUE"""),45893.08921091435)</f>
        <v>45893.08921</v>
      </c>
      <c r="C591" s="10" t="str">
        <f>IFERROR(__xludf.DUMMYFUNCTION("""COMPUTED_VALUE"""),"Shahid Iqbal")</f>
        <v>Shahid Iqbal</v>
      </c>
      <c r="D591" s="10" t="str">
        <f>IFERROR(__xludf.DUMMYFUNCTION("""COMPUTED_VALUE"""),"03013665049")</f>
        <v>03013665049</v>
      </c>
      <c r="E591" s="10" t="str">
        <f>IFERROR(__xludf.DUMMYFUNCTION("""COMPUTED_VALUE"""),"Jamia Masjid Gul Din Coloney Nawah City Multan")</f>
        <v>Jamia Masjid Gul Din Coloney Nawah City Multan</v>
      </c>
      <c r="F591" s="10" t="str">
        <f>IFERROR(__xludf.DUMMYFUNCTION("""COMPUTED_VALUE"""),"lvyea")</f>
        <v>lvyea</v>
      </c>
      <c r="G591" s="10" t="str">
        <f>IFERROR(__xludf.DUMMYFUNCTION("""COMPUTED_VALUE"""),"Yes")</f>
        <v>Yes</v>
      </c>
      <c r="H591" s="10">
        <f>IFERROR(__xludf.DUMMYFUNCTION("""COMPUTED_VALUE"""),4.0)</f>
        <v>4</v>
      </c>
      <c r="I591" s="10">
        <f>IFERROR(__xludf.DUMMYFUNCTION("""COMPUTED_VALUE"""),6.0)</f>
        <v>6</v>
      </c>
      <c r="J591" s="10">
        <f>IFERROR(__xludf.DUMMYFUNCTION("""COMPUTED_VALUE"""),6.0)</f>
        <v>6</v>
      </c>
      <c r="K591" s="10">
        <f>IFERROR(__xludf.DUMMYFUNCTION("""COMPUTED_VALUE"""),0.0)</f>
        <v>0</v>
      </c>
      <c r="L591" s="10">
        <f>IFERROR(__xludf.DUMMYFUNCTION("""COMPUTED_VALUE"""),7.0)</f>
        <v>7</v>
      </c>
      <c r="M591" s="10">
        <f>IFERROR(__xludf.DUMMYFUNCTION("""COMPUTED_VALUE"""),0.0)</f>
        <v>0</v>
      </c>
      <c r="N591" s="10">
        <f>IFERROR(__xludf.DUMMYFUNCTION("""COMPUTED_VALUE"""),7.0)</f>
        <v>7</v>
      </c>
      <c r="O591" s="10">
        <f>IFERROR(__xludf.DUMMYFUNCTION("""COMPUTED_VALUE"""),0.0)</f>
        <v>0</v>
      </c>
      <c r="P591" s="10">
        <f>IFERROR(__xludf.DUMMYFUNCTION("""COMPUTED_VALUE"""),6.0)</f>
        <v>6</v>
      </c>
      <c r="Q591" s="10" t="str">
        <f>IFERROR(__xludf.DUMMYFUNCTION("""COMPUTED_VALUE"""),"No")</f>
        <v>No</v>
      </c>
      <c r="R591" s="10" t="str">
        <f>IFERROR(__xludf.DUMMYFUNCTION("""COMPUTED_VALUE"""),"No")</f>
        <v>No</v>
      </c>
      <c r="S591" s="10" t="str">
        <f>IFERROR(__xludf.DUMMYFUNCTION("""COMPUTED_VALUE"""),"No")</f>
        <v>No</v>
      </c>
      <c r="T591" s="10">
        <f>IFERROR(__xludf.DUMMYFUNCTION("""COMPUTED_VALUE"""),0.0)</f>
        <v>0</v>
      </c>
      <c r="U591" s="10">
        <f>IFERROR(__xludf.DUMMYFUNCTION("""COMPUTED_VALUE"""),0.0)</f>
        <v>0</v>
      </c>
      <c r="V591" s="10" t="str">
        <f>IFERROR(__xludf.DUMMYFUNCTION("""COMPUTED_VALUE"""),"haqooq al ibad, padosi k haqooq aur marfat eb ilahi ka hasool")</f>
        <v>haqooq al ibad, padosi k haqooq aur marfat eb ilahi ka hasool</v>
      </c>
      <c r="W591" s="10" t="str">
        <f>IFERROR(__xludf.DUMMYFUNCTION("""COMPUTED_VALUE"""),"haqooq al ibad, padosi k haqooq aur marfat eb ilahi ka hasool")</f>
        <v>haqooq al ibad, padosi k haqooq aur marfat eb ilahi ka hasool</v>
      </c>
      <c r="X591" s="10">
        <f>IFERROR(__xludf.DUMMYFUNCTION("""COMPUTED_VALUE"""),4.0)</f>
        <v>4</v>
      </c>
      <c r="Y591" s="10">
        <f>IFERROR(__xludf.DUMMYFUNCTION("""COMPUTED_VALUE"""),4.0)</f>
        <v>4</v>
      </c>
      <c r="Z591" s="10">
        <f>IFERROR(__xludf.DUMMYFUNCTION("""COMPUTED_VALUE"""),4.0)</f>
        <v>4</v>
      </c>
      <c r="AA591" s="10">
        <f>IFERROR(__xludf.DUMMYFUNCTION("""COMPUTED_VALUE"""),7.0)</f>
        <v>7</v>
      </c>
      <c r="AB591" s="10">
        <f>IFERROR(__xludf.DUMMYFUNCTION("""COMPUTED_VALUE"""),2.0)</f>
        <v>2</v>
      </c>
      <c r="AC591" s="10">
        <f>IFERROR(__xludf.DUMMYFUNCTION("""COMPUTED_VALUE"""),1.0)</f>
        <v>1</v>
      </c>
      <c r="AD591" s="10">
        <f>IFERROR(__xludf.DUMMYFUNCTION("""COMPUTED_VALUE"""),1.0)</f>
        <v>1</v>
      </c>
      <c r="AE591" s="10">
        <f>IFERROR(__xludf.DUMMYFUNCTION("""COMPUTED_VALUE"""),0.0)</f>
        <v>0</v>
      </c>
      <c r="AF591" s="10">
        <f>IFERROR(__xludf.DUMMYFUNCTION("""COMPUTED_VALUE"""),0.0)</f>
        <v>0</v>
      </c>
      <c r="AG591" s="10">
        <f>IFERROR(__xludf.DUMMYFUNCTION("""COMPUTED_VALUE"""),9.0)</f>
        <v>9</v>
      </c>
      <c r="AH591" s="10">
        <f>IFERROR(__xludf.DUMMYFUNCTION("""COMPUTED_VALUE"""),0.0)</f>
        <v>0</v>
      </c>
      <c r="AI591" s="10">
        <f>IFERROR(__xludf.DUMMYFUNCTION("""COMPUTED_VALUE"""),9.0)</f>
        <v>9</v>
      </c>
      <c r="AJ591" s="11" t="str">
        <f>IFERROR(__xludf.DUMMYFUNCTION("""COMPUTED_VALUE"""),"https://drive.google.com/open?id=1xH2x4u2DlpmUaxjxZXkHCVy6-G5dU07b")</f>
        <v>https://drive.google.com/open?id=1xH2x4u2DlpmUaxjxZXkHCVy6-G5dU07b</v>
      </c>
      <c r="AK591" s="12"/>
      <c r="AL591" s="12" t="str">
        <f>IFERROR(__xludf.DUMMYFUNCTION("""COMPUTED_VALUE"""),"Yes")</f>
        <v>Yes</v>
      </c>
      <c r="AM591" s="15">
        <f>IFERROR(__xludf.DUMMYFUNCTION("""COMPUTED_VALUE"""),0.4)</f>
        <v>0.4</v>
      </c>
      <c r="AN591" s="12" t="str">
        <f>IFERROR(__xludf.DUMMYFUNCTION("""COMPUTED_VALUE"""),"1st week")</f>
        <v>1st week</v>
      </c>
      <c r="AO591" s="13">
        <v>1.0</v>
      </c>
      <c r="AX591" s="17"/>
    </row>
    <row r="592">
      <c r="B592" s="9">
        <f>IFERROR(__xludf.DUMMYFUNCTION("""COMPUTED_VALUE"""),45893.12387819444)</f>
        <v>45893.12388</v>
      </c>
      <c r="C592" s="10" t="str">
        <f>IFERROR(__xludf.DUMMYFUNCTION("""COMPUTED_VALUE"""),"Atiqa")</f>
        <v>Atiqa</v>
      </c>
      <c r="D592" s="10" t="str">
        <f>IFERROR(__xludf.DUMMYFUNCTION("""COMPUTED_VALUE"""),"03157519977")</f>
        <v>03157519977</v>
      </c>
      <c r="E592" s="10" t="str">
        <f>IFERROR(__xludf.DUMMYFUNCTION("""COMPUTED_VALUE"""),"Jamia Masjid Haronabad Bahawal Nagar")</f>
        <v>Jamia Masjid Haronabad Bahawal Nagar</v>
      </c>
      <c r="F592" s="10" t="str">
        <f>IFERROR(__xludf.DUMMYFUNCTION("""COMPUTED_VALUE"""),"jydri")</f>
        <v>jydri</v>
      </c>
      <c r="G592" s="10" t="str">
        <f>IFERROR(__xludf.DUMMYFUNCTION("""COMPUTED_VALUE"""),"Yes")</f>
        <v>Yes</v>
      </c>
      <c r="H592" s="10">
        <f>IFERROR(__xludf.DUMMYFUNCTION("""COMPUTED_VALUE"""),10.0)</f>
        <v>10</v>
      </c>
      <c r="I592" s="10">
        <f>IFERROR(__xludf.DUMMYFUNCTION("""COMPUTED_VALUE"""),0.0)</f>
        <v>0</v>
      </c>
      <c r="J592" s="10">
        <f>IFERROR(__xludf.DUMMYFUNCTION("""COMPUTED_VALUE"""),7.0)</f>
        <v>7</v>
      </c>
      <c r="K592" s="10">
        <f>IFERROR(__xludf.DUMMYFUNCTION("""COMPUTED_VALUE"""),7.0)</f>
        <v>7</v>
      </c>
      <c r="L592" s="10">
        <f>IFERROR(__xludf.DUMMYFUNCTION("""COMPUTED_VALUE"""),0.0)</f>
        <v>0</v>
      </c>
      <c r="M592" s="10">
        <f>IFERROR(__xludf.DUMMYFUNCTION("""COMPUTED_VALUE"""),6.0)</f>
        <v>6</v>
      </c>
      <c r="N592" s="10">
        <f>IFERROR(__xludf.DUMMYFUNCTION("""COMPUTED_VALUE"""),0.0)</f>
        <v>0</v>
      </c>
      <c r="O592" s="10">
        <f>IFERROR(__xludf.DUMMYFUNCTION("""COMPUTED_VALUE"""),7.0)</f>
        <v>7</v>
      </c>
      <c r="P592" s="10">
        <f>IFERROR(__xludf.DUMMYFUNCTION("""COMPUTED_VALUE"""),0.0)</f>
        <v>0</v>
      </c>
      <c r="Q592" s="10" t="str">
        <f>IFERROR(__xludf.DUMMYFUNCTION("""COMPUTED_VALUE"""),"Yes")</f>
        <v>Yes</v>
      </c>
      <c r="R592" s="10" t="str">
        <f>IFERROR(__xludf.DUMMYFUNCTION("""COMPUTED_VALUE"""),"Yes")</f>
        <v>Yes</v>
      </c>
      <c r="S592" s="10" t="str">
        <f>IFERROR(__xludf.DUMMYFUNCTION("""COMPUTED_VALUE"""),"Yes")</f>
        <v>Yes</v>
      </c>
      <c r="T592" s="10">
        <f>IFERROR(__xludf.DUMMYFUNCTION("""COMPUTED_VALUE"""),0.0)</f>
        <v>0</v>
      </c>
      <c r="U592" s="10">
        <f>IFERROR(__xludf.DUMMYFUNCTION("""COMPUTED_VALUE"""),0.0)</f>
        <v>0</v>
      </c>
      <c r="V592" s="10" t="str">
        <f>IFERROR(__xludf.DUMMYFUNCTION("""COMPUTED_VALUE"""),"۱۔ اسلام میں عورت کا مقام کردار اور حق ۲۔  معاشرے کے لیے حضور اکرم صلی اللہ علیہ وسلم کی نصیحتیں ")</f>
        <v>۱۔ اسلام میں عورت کا مقام کردار اور حق ۲۔  معاشرے کے لیے حضور اکرم صلی اللہ علیہ وسلم کی نصیحتیں </v>
      </c>
      <c r="W592" s="10" t="str">
        <f>IFERROR(__xludf.DUMMYFUNCTION("""COMPUTED_VALUE"""),"امد رسول صلی اللہ علیہ وسلم سے پہلے بچیوں کی پیدائش پر ان کے ساتھ سلوک ، غزوہ حنین کے موقع پر قیدیوں کے ساتھ انے والی رضائی بہن کے ساتھ سلوک اور عورت کا مقام بیان کیا گیا کہ ماں ہے تو قدموں کے نیچے جنت بیوی ہے تو فرمایا تم میں سے بہتر وہ جو گھر والوں سے ب"&amp;"ہتر اور بیٹیوں کی پرورش پر جنت کی بشارت سنا دی ، عورتوں کی تعلیم و تربیت کی اہمیت بیان کی اور حضور اکرم صلی اللہ علیہ وسلم نے معاشرے کے متعلق معاذ بن جبل رضی اللہ تعالی عنہ کو دس نصیحتیں کی وہ بیان کی گئی ۔ ")</f>
        <v>امد رسول صلی اللہ علیہ وسلم سے پہلے بچیوں کی پیدائش پر ان کے ساتھ سلوک ، غزوہ حنین کے موقع پر قیدیوں کے ساتھ انے والی رضائی بہن کے ساتھ سلوک اور عورت کا مقام بیان کیا گیا کہ ماں ہے تو قدموں کے نیچے جنت بیوی ہے تو فرمایا تم میں سے بہتر وہ جو گھر والوں سے بہتر اور بیٹیوں کی پرورش پر جنت کی بشارت سنا دی ، عورتوں کی تعلیم و تربیت کی اہمیت بیان کی اور حضور اکرم صلی اللہ علیہ وسلم نے معاشرے کے متعلق معاذ بن جبل رضی اللہ تعالی عنہ کو دس نصیحتیں کی وہ بیان کی گئی ۔ </v>
      </c>
      <c r="X592" s="10">
        <f>IFERROR(__xludf.DUMMYFUNCTION("""COMPUTED_VALUE"""),4.0)</f>
        <v>4</v>
      </c>
      <c r="Y592" s="10">
        <f>IFERROR(__xludf.DUMMYFUNCTION("""COMPUTED_VALUE"""),2.0)</f>
        <v>2</v>
      </c>
      <c r="Z592" s="10">
        <f>IFERROR(__xludf.DUMMYFUNCTION("""COMPUTED_VALUE"""),7.0)</f>
        <v>7</v>
      </c>
      <c r="AA592" s="10">
        <f>IFERROR(__xludf.DUMMYFUNCTION("""COMPUTED_VALUE"""),9.0)</f>
        <v>9</v>
      </c>
      <c r="AB592" s="10">
        <f>IFERROR(__xludf.DUMMYFUNCTION("""COMPUTED_VALUE"""),4.0)</f>
        <v>4</v>
      </c>
      <c r="AC592" s="10">
        <f>IFERROR(__xludf.DUMMYFUNCTION("""COMPUTED_VALUE"""),0.0)</f>
        <v>0</v>
      </c>
      <c r="AD592" s="10">
        <f>IFERROR(__xludf.DUMMYFUNCTION("""COMPUTED_VALUE"""),2.0)</f>
        <v>2</v>
      </c>
      <c r="AE592" s="10">
        <f>IFERROR(__xludf.DUMMYFUNCTION("""COMPUTED_VALUE"""),1.0)</f>
        <v>1</v>
      </c>
      <c r="AF592" s="10">
        <f>IFERROR(__xludf.DUMMYFUNCTION("""COMPUTED_VALUE"""),0.0)</f>
        <v>0</v>
      </c>
      <c r="AG592" s="10">
        <f>IFERROR(__xludf.DUMMYFUNCTION("""COMPUTED_VALUE"""),9.0)</f>
        <v>9</v>
      </c>
      <c r="AH592" s="10">
        <f>IFERROR(__xludf.DUMMYFUNCTION("""COMPUTED_VALUE"""),0.0)</f>
        <v>0</v>
      </c>
      <c r="AI592" s="10">
        <f>IFERROR(__xludf.DUMMYFUNCTION("""COMPUTED_VALUE"""),10.0)</f>
        <v>10</v>
      </c>
      <c r="AJ592" s="11" t="str">
        <f>IFERROR(__xludf.DUMMYFUNCTION("""COMPUTED_VALUE"""),"https://drive.google.com/open?id=1uUem67rra_EdZESRoXxpVtqPYLoIBvD9Y9Zl_V9KVu8")</f>
        <v>https://drive.google.com/open?id=1uUem67rra_EdZESRoXxpVtqPYLoIBvD9Y9Zl_V9KVu8</v>
      </c>
      <c r="AK592" s="12"/>
      <c r="AL592" s="12" t="str">
        <f>IFERROR(__xludf.DUMMYFUNCTION("""COMPUTED_VALUE"""),"Yes")</f>
        <v>Yes</v>
      </c>
      <c r="AM592" s="15">
        <f>IFERROR(__xludf.DUMMYFUNCTION("""COMPUTED_VALUE"""),1.0)</f>
        <v>1</v>
      </c>
      <c r="AN592" s="12" t="str">
        <f>IFERROR(__xludf.DUMMYFUNCTION("""COMPUTED_VALUE"""),"1st week")</f>
        <v>1st week</v>
      </c>
      <c r="AO592" s="13">
        <v>1.0</v>
      </c>
      <c r="AX592" s="17"/>
    </row>
    <row r="593">
      <c r="B593" s="9">
        <f>IFERROR(__xludf.DUMMYFUNCTION("""COMPUTED_VALUE"""),45893.23026628472)</f>
        <v>45893.23027</v>
      </c>
      <c r="C593" s="10" t="str">
        <f>IFERROR(__xludf.DUMMYFUNCTION("""COMPUTED_VALUE"""),"Atiqa ")</f>
        <v>Atiqa </v>
      </c>
      <c r="D593" s="10" t="str">
        <f>IFERROR(__xludf.DUMMYFUNCTION("""COMPUTED_VALUE"""),"03157519977")</f>
        <v>03157519977</v>
      </c>
      <c r="E593" s="10" t="str">
        <f>IFERROR(__xludf.DUMMYFUNCTION("""COMPUTED_VALUE"""),"Jamia Masjid Galah Mandi Khanpur")</f>
        <v>Jamia Masjid Galah Mandi Khanpur</v>
      </c>
      <c r="F593" s="10" t="str">
        <f>IFERROR(__xludf.DUMMYFUNCTION("""COMPUTED_VALUE"""),"ekxdh")</f>
        <v>ekxdh</v>
      </c>
      <c r="G593" s="10" t="str">
        <f>IFERROR(__xludf.DUMMYFUNCTION("""COMPUTED_VALUE"""),"No")</f>
        <v>No</v>
      </c>
      <c r="H593" s="10"/>
      <c r="I593" s="10"/>
      <c r="J593" s="10"/>
      <c r="K593" s="10">
        <f>IFERROR(__xludf.DUMMYFUNCTION("""COMPUTED_VALUE"""),2.0)</f>
        <v>2</v>
      </c>
      <c r="L593" s="10">
        <f>IFERROR(__xludf.DUMMYFUNCTION("""COMPUTED_VALUE"""),4.0)</f>
        <v>4</v>
      </c>
      <c r="M593" s="10">
        <f>IFERROR(__xludf.DUMMYFUNCTION("""COMPUTED_VALUE"""),0.0)</f>
        <v>0</v>
      </c>
      <c r="N593" s="10">
        <f>IFERROR(__xludf.DUMMYFUNCTION("""COMPUTED_VALUE"""),4.0)</f>
        <v>4</v>
      </c>
      <c r="O593" s="10">
        <f>IFERROR(__xludf.DUMMYFUNCTION("""COMPUTED_VALUE"""),0.0)</f>
        <v>0</v>
      </c>
      <c r="P593" s="10">
        <f>IFERROR(__xludf.DUMMYFUNCTION("""COMPUTED_VALUE"""),4.0)</f>
        <v>4</v>
      </c>
      <c r="Q593" s="10" t="str">
        <f>IFERROR(__xludf.DUMMYFUNCTION("""COMPUTED_VALUE"""),"No")</f>
        <v>No</v>
      </c>
      <c r="R593" s="10" t="str">
        <f>IFERROR(__xludf.DUMMYFUNCTION("""COMPUTED_VALUE"""),"No")</f>
        <v>No</v>
      </c>
      <c r="S593" s="10" t="str">
        <f>IFERROR(__xludf.DUMMYFUNCTION("""COMPUTED_VALUE"""),"No")</f>
        <v>No</v>
      </c>
      <c r="T593" s="10">
        <f>IFERROR(__xludf.DUMMYFUNCTION("""COMPUTED_VALUE"""),0.0)</f>
        <v>0</v>
      </c>
      <c r="U593" s="10">
        <f>IFERROR(__xludf.DUMMYFUNCTION("""COMPUTED_VALUE"""),0.0)</f>
        <v>0</v>
      </c>
      <c r="V593" s="10" t="str">
        <f>IFERROR(__xludf.DUMMYFUNCTION("""COMPUTED_VALUE"""),"انسان کے حقوق ")</f>
        <v>انسان کے حقوق </v>
      </c>
      <c r="W593" s="10" t="str">
        <f>IFERROR(__xludf.DUMMYFUNCTION("""COMPUTED_VALUE"""),"اللہ نے قیامت تک انے والی ساری امت کے لیے حقوق کا مقرر کر دیے ہیں اور محمد صلی اللہ علیہ وسلم نے اپنی تعلیمات میں بیان فرما دیے ہیں ۔ اپنے اپ میں غور و فکر کریں گے تمام رشتوں ( ماں بہن بیوی بیٹی شوہر بیٹا بھائی دادا نانا دادی ہمسایہ ) کہ ہم پر کیا حقوق ہی"&amp;"ں ؟ ہر شخص کو علوم حاصل کرنے کا حق دیا گیا ہے ۔ اور جریر بن عبداللہ صحابی کا واقعہ جو غلام کے ہاتھوں گھوڑا خریدتے ہیں اور دیہاتی کو اس کی پوری قیمت ادا کر کے اس کا حق ادا کرتے ہیں ۔ ")</f>
        <v>اللہ نے قیامت تک انے والی ساری امت کے لیے حقوق کا مقرر کر دیے ہیں اور محمد صلی اللہ علیہ وسلم نے اپنی تعلیمات میں بیان فرما دیے ہیں ۔ اپنے اپ میں غور و فکر کریں گے تمام رشتوں ( ماں بہن بیوی بیٹی شوہر بیٹا بھائی دادا نانا دادی ہمسایہ ) کہ ہم پر کیا حقوق ہیں ؟ ہر شخص کو علوم حاصل کرنے کا حق دیا گیا ہے ۔ اور جریر بن عبداللہ صحابی کا واقعہ جو غلام کے ہاتھوں گھوڑا خریدتے ہیں اور دیہاتی کو اس کی پوری قیمت ادا کر کے اس کا حق ادا کرتے ہیں ۔ </v>
      </c>
      <c r="X593" s="10">
        <f>IFERROR(__xludf.DUMMYFUNCTION("""COMPUTED_VALUE"""),0.0)</f>
        <v>0</v>
      </c>
      <c r="Y593" s="10">
        <f>IFERROR(__xludf.DUMMYFUNCTION("""COMPUTED_VALUE"""),6.0)</f>
        <v>6</v>
      </c>
      <c r="Z593" s="10">
        <f>IFERROR(__xludf.DUMMYFUNCTION("""COMPUTED_VALUE"""),7.0)</f>
        <v>7</v>
      </c>
      <c r="AA593" s="10">
        <f>IFERROR(__xludf.DUMMYFUNCTION("""COMPUTED_VALUE"""),8.0)</f>
        <v>8</v>
      </c>
      <c r="AB593" s="10">
        <f>IFERROR(__xludf.DUMMYFUNCTION("""COMPUTED_VALUE"""),4.0)</f>
        <v>4</v>
      </c>
      <c r="AC593" s="10">
        <f>IFERROR(__xludf.DUMMYFUNCTION("""COMPUTED_VALUE"""),0.0)</f>
        <v>0</v>
      </c>
      <c r="AD593" s="10">
        <f>IFERROR(__xludf.DUMMYFUNCTION("""COMPUTED_VALUE"""),4.0)</f>
        <v>4</v>
      </c>
      <c r="AE593" s="10">
        <f>IFERROR(__xludf.DUMMYFUNCTION("""COMPUTED_VALUE"""),0.0)</f>
        <v>0</v>
      </c>
      <c r="AF593" s="10">
        <f>IFERROR(__xludf.DUMMYFUNCTION("""COMPUTED_VALUE"""),0.0)</f>
        <v>0</v>
      </c>
      <c r="AG593" s="10">
        <f>IFERROR(__xludf.DUMMYFUNCTION("""COMPUTED_VALUE"""),9.0)</f>
        <v>9</v>
      </c>
      <c r="AH593" s="10">
        <f>IFERROR(__xludf.DUMMYFUNCTION("""COMPUTED_VALUE"""),0.0)</f>
        <v>0</v>
      </c>
      <c r="AI593" s="10">
        <f>IFERROR(__xludf.DUMMYFUNCTION("""COMPUTED_VALUE"""),9.0)</f>
        <v>9</v>
      </c>
      <c r="AJ593" s="11" t="str">
        <f>IFERROR(__xludf.DUMMYFUNCTION("""COMPUTED_VALUE"""),"https://drive.google.com/open?id=1GkTi7ESDyMsm-4vwTQgErQrupCDyV1Jz7tRVgAs918U")</f>
        <v>https://drive.google.com/open?id=1GkTi7ESDyMsm-4vwTQgErQrupCDyV1Jz7tRVgAs918U</v>
      </c>
      <c r="AK593" s="12"/>
      <c r="AL593" s="12"/>
      <c r="AM593" s="12"/>
      <c r="AN593" s="12" t="str">
        <f>IFERROR(__xludf.DUMMYFUNCTION("""COMPUTED_VALUE"""),"1st week")</f>
        <v>1st week</v>
      </c>
      <c r="AO593" s="13">
        <v>1.0</v>
      </c>
      <c r="AX593" s="17"/>
    </row>
    <row r="594">
      <c r="B594" s="9">
        <f>IFERROR(__xludf.DUMMYFUNCTION("""COMPUTED_VALUE"""),45893.23124097222)</f>
        <v>45893.23124</v>
      </c>
      <c r="C594" s="10" t="str">
        <f>IFERROR(__xludf.DUMMYFUNCTION("""COMPUTED_VALUE"""),"Arti Kumari ")</f>
        <v>Arti Kumari </v>
      </c>
      <c r="D594" s="10" t="str">
        <f>IFERROR(__xludf.DUMMYFUNCTION("""COMPUTED_VALUE"""),"03346661865")</f>
        <v>03346661865</v>
      </c>
      <c r="E594" s="10" t="str">
        <f>IFERROR(__xludf.DUMMYFUNCTION("""COMPUTED_VALUE"""),"Jamia Masjid Phonagra Nawali Multan ")</f>
        <v>Jamia Masjid Phonagra Nawali Multan </v>
      </c>
      <c r="F594" s="10" t="str">
        <f>IFERROR(__xludf.DUMMYFUNCTION("""COMPUTED_VALUE"""),"vreau")</f>
        <v>vreau</v>
      </c>
      <c r="G594" s="10" t="str">
        <f>IFERROR(__xludf.DUMMYFUNCTION("""COMPUTED_VALUE"""),"Yes")</f>
        <v>Yes</v>
      </c>
      <c r="H594" s="10">
        <f>IFERROR(__xludf.DUMMYFUNCTION("""COMPUTED_VALUE"""),6.0)</f>
        <v>6</v>
      </c>
      <c r="I594" s="10">
        <f>IFERROR(__xludf.DUMMYFUNCTION("""COMPUTED_VALUE"""),2.0)</f>
        <v>2</v>
      </c>
      <c r="J594" s="10">
        <f>IFERROR(__xludf.DUMMYFUNCTION("""COMPUTED_VALUE"""),6.0)</f>
        <v>6</v>
      </c>
      <c r="K594" s="10">
        <f>IFERROR(__xludf.DUMMYFUNCTION("""COMPUTED_VALUE"""),10.0)</f>
        <v>10</v>
      </c>
      <c r="L594" s="10">
        <f>IFERROR(__xludf.DUMMYFUNCTION("""COMPUTED_VALUE"""),0.0)</f>
        <v>0</v>
      </c>
      <c r="M594" s="10">
        <f>IFERROR(__xludf.DUMMYFUNCTION("""COMPUTED_VALUE"""),10.0)</f>
        <v>10</v>
      </c>
      <c r="N594" s="10">
        <f>IFERROR(__xludf.DUMMYFUNCTION("""COMPUTED_VALUE"""),0.0)</f>
        <v>0</v>
      </c>
      <c r="O594" s="10">
        <f>IFERROR(__xludf.DUMMYFUNCTION("""COMPUTED_VALUE"""),10.0)</f>
        <v>10</v>
      </c>
      <c r="P594" s="10">
        <f>IFERROR(__xludf.DUMMYFUNCTION("""COMPUTED_VALUE"""),0.0)</f>
        <v>0</v>
      </c>
      <c r="Q594" s="10" t="str">
        <f>IFERROR(__xludf.DUMMYFUNCTION("""COMPUTED_VALUE"""),"No")</f>
        <v>No</v>
      </c>
      <c r="R594" s="10" t="str">
        <f>IFERROR(__xludf.DUMMYFUNCTION("""COMPUTED_VALUE"""),"No")</f>
        <v>No</v>
      </c>
      <c r="S594" s="10" t="str">
        <f>IFERROR(__xludf.DUMMYFUNCTION("""COMPUTED_VALUE"""),"No")</f>
        <v>No</v>
      </c>
      <c r="T594" s="10">
        <f>IFERROR(__xludf.DUMMYFUNCTION("""COMPUTED_VALUE"""),0.0)</f>
        <v>0</v>
      </c>
      <c r="U594" s="10">
        <f>IFERROR(__xludf.DUMMYFUNCTION("""COMPUTED_VALUE"""),0.0)</f>
        <v>0</v>
      </c>
      <c r="V594" s="10" t="str">
        <f>IFERROR(__xludf.DUMMYFUNCTION("""COMPUTED_VALUE"""),"اسلام میں عورتوں کا کردار")</f>
        <v>اسلام میں عورتوں کا کردار</v>
      </c>
      <c r="W594" s="10" t="str">
        <f>IFERROR(__xludf.DUMMYFUNCTION("""COMPUTED_VALUE"""),"امام نے جمعہ کے خطبے میں بیاں کیا کہ عورتوں کو اسلام سے پہلے بلکل اہمیت حاصل نہیں تھی اسلام نے انہیں مقام و مرتبہ دیا گزشتہ دور میں عورتیں کاروبار بھی کرتی تھیں جنگوں میں بھی شامل ہوتی تھی اور اور انہیں اپنی رائے دینے کا حق بھی حاصل تھا۔ تو اسلام عورتوں ک"&amp;"و اختیار دیتا ہے کہ وہ کاروبار کریں اگر بیوہ ہوں اور عدت میں ہو پر ضرورت ہو تو وہ کام نے سلسے میں نکل سکتی ہے اس کے علاوہ انہیں حق ہے کہ وہ اپنا نکاح کا فیصلہ بھی خود لے سکتی ہیں۔ اور ہمارا حق ہے کہ ہم انہیں سپورٹ کریں")</f>
        <v>امام نے جمعہ کے خطبے میں بیاں کیا کہ عورتوں کو اسلام سے پہلے بلکل اہمیت حاصل نہیں تھی اسلام نے انہیں مقام و مرتبہ دیا گزشتہ دور میں عورتیں کاروبار بھی کرتی تھیں جنگوں میں بھی شامل ہوتی تھی اور اور انہیں اپنی رائے دینے کا حق بھی حاصل تھا۔ تو اسلام عورتوں کو اختیار دیتا ہے کہ وہ کاروبار کریں اگر بیوہ ہوں اور عدت میں ہو پر ضرورت ہو تو وہ کام نے سلسے میں نکل سکتی ہے اس کے علاوہ انہیں حق ہے کہ وہ اپنا نکاح کا فیصلہ بھی خود لے سکتی ہیں۔ اور ہمارا حق ہے کہ ہم انہیں سپورٹ کریں</v>
      </c>
      <c r="X594" s="10">
        <f>IFERROR(__xludf.DUMMYFUNCTION("""COMPUTED_VALUE"""),0.0)</f>
        <v>0</v>
      </c>
      <c r="Y594" s="10">
        <f>IFERROR(__xludf.DUMMYFUNCTION("""COMPUTED_VALUE"""),0.0)</f>
        <v>0</v>
      </c>
      <c r="Z594" s="10">
        <f>IFERROR(__xludf.DUMMYFUNCTION("""COMPUTED_VALUE"""),7.0)</f>
        <v>7</v>
      </c>
      <c r="AA594" s="10">
        <f>IFERROR(__xludf.DUMMYFUNCTION("""COMPUTED_VALUE"""),10.0)</f>
        <v>10</v>
      </c>
      <c r="AB594" s="10">
        <f>IFERROR(__xludf.DUMMYFUNCTION("""COMPUTED_VALUE"""),10.0)</f>
        <v>10</v>
      </c>
      <c r="AC594" s="10">
        <f>IFERROR(__xludf.DUMMYFUNCTION("""COMPUTED_VALUE"""),0.0)</f>
        <v>0</v>
      </c>
      <c r="AD594" s="10">
        <f>IFERROR(__xludf.DUMMYFUNCTION("""COMPUTED_VALUE"""),0.0)</f>
        <v>0</v>
      </c>
      <c r="AE594" s="10">
        <f>IFERROR(__xludf.DUMMYFUNCTION("""COMPUTED_VALUE"""),0.0)</f>
        <v>0</v>
      </c>
      <c r="AF594" s="10">
        <f>IFERROR(__xludf.DUMMYFUNCTION("""COMPUTED_VALUE"""),0.0)</f>
        <v>0</v>
      </c>
      <c r="AG594" s="10">
        <f>IFERROR(__xludf.DUMMYFUNCTION("""COMPUTED_VALUE"""),10.0)</f>
        <v>10</v>
      </c>
      <c r="AH594" s="10">
        <f>IFERROR(__xludf.DUMMYFUNCTION("""COMPUTED_VALUE"""),0.0)</f>
        <v>0</v>
      </c>
      <c r="AI594" s="10">
        <f>IFERROR(__xludf.DUMMYFUNCTION("""COMPUTED_VALUE"""),10.0)</f>
        <v>10</v>
      </c>
      <c r="AJ594" s="11" t="str">
        <f>IFERROR(__xludf.DUMMYFUNCTION("""COMPUTED_VALUE"""),"https://drive.google.com/open?id=17OAIuBRQQ0qqmTf5yd55J0YP0istAlgz")</f>
        <v>https://drive.google.com/open?id=17OAIuBRQQ0qqmTf5yd55J0YP0istAlgz</v>
      </c>
      <c r="AK594" s="12"/>
      <c r="AL594" s="12" t="str">
        <f>IFERROR(__xludf.DUMMYFUNCTION("""COMPUTED_VALUE"""),"Yes")</f>
        <v>Yes</v>
      </c>
      <c r="AM594" s="15">
        <f>IFERROR(__xludf.DUMMYFUNCTION("""COMPUTED_VALUE"""),0.6)</f>
        <v>0.6</v>
      </c>
      <c r="AN594" s="12" t="str">
        <f>IFERROR(__xludf.DUMMYFUNCTION("""COMPUTED_VALUE"""),"2nd week")</f>
        <v>2nd week</v>
      </c>
      <c r="AO594" s="13">
        <v>2.0</v>
      </c>
      <c r="AX594" s="17"/>
    </row>
    <row r="595">
      <c r="B595" s="9">
        <f>IFERROR(__xludf.DUMMYFUNCTION("""COMPUTED_VALUE"""),45893.24200619213)</f>
        <v>45893.24201</v>
      </c>
      <c r="C595" s="10" t="str">
        <f>IFERROR(__xludf.DUMMYFUNCTION("""COMPUTED_VALUE"""),"Arti Kumari ")</f>
        <v>Arti Kumari </v>
      </c>
      <c r="D595" s="10" t="str">
        <f>IFERROR(__xludf.DUMMYFUNCTION("""COMPUTED_VALUE"""),"03346661865")</f>
        <v>03346661865</v>
      </c>
      <c r="E595" s="10" t="str">
        <f>IFERROR(__xludf.DUMMYFUNCTION("""COMPUTED_VALUE"""),"Jamia Masjid Qasabaan Wali Multan")</f>
        <v>Jamia Masjid Qasabaan Wali Multan</v>
      </c>
      <c r="F595" s="10" t="str">
        <f>IFERROR(__xludf.DUMMYFUNCTION("""COMPUTED_VALUE"""),"QKGIH")</f>
        <v>QKGIH</v>
      </c>
      <c r="G595" s="10" t="str">
        <f>IFERROR(__xludf.DUMMYFUNCTION("""COMPUTED_VALUE"""),"Yes")</f>
        <v>Yes</v>
      </c>
      <c r="H595" s="10">
        <f>IFERROR(__xludf.DUMMYFUNCTION("""COMPUTED_VALUE"""),10.0)</f>
        <v>10</v>
      </c>
      <c r="I595" s="10">
        <f>IFERROR(__xludf.DUMMYFUNCTION("""COMPUTED_VALUE"""),0.0)</f>
        <v>0</v>
      </c>
      <c r="J595" s="10">
        <f>IFERROR(__xludf.DUMMYFUNCTION("""COMPUTED_VALUE"""),10.0)</f>
        <v>10</v>
      </c>
      <c r="K595" s="10">
        <f>IFERROR(__xludf.DUMMYFUNCTION("""COMPUTED_VALUE"""),10.0)</f>
        <v>10</v>
      </c>
      <c r="L595" s="10">
        <f>IFERROR(__xludf.DUMMYFUNCTION("""COMPUTED_VALUE"""),0.0)</f>
        <v>0</v>
      </c>
      <c r="M595" s="10">
        <f>IFERROR(__xludf.DUMMYFUNCTION("""COMPUTED_VALUE"""),10.0)</f>
        <v>10</v>
      </c>
      <c r="N595" s="10">
        <f>IFERROR(__xludf.DUMMYFUNCTION("""COMPUTED_VALUE"""),0.0)</f>
        <v>0</v>
      </c>
      <c r="O595" s="10">
        <f>IFERROR(__xludf.DUMMYFUNCTION("""COMPUTED_VALUE"""),10.0)</f>
        <v>10</v>
      </c>
      <c r="P595" s="10">
        <f>IFERROR(__xludf.DUMMYFUNCTION("""COMPUTED_VALUE"""),0.0)</f>
        <v>0</v>
      </c>
      <c r="Q595" s="10" t="str">
        <f>IFERROR(__xludf.DUMMYFUNCTION("""COMPUTED_VALUE"""),"Yes")</f>
        <v>Yes</v>
      </c>
      <c r="R595" s="10" t="str">
        <f>IFERROR(__xludf.DUMMYFUNCTION("""COMPUTED_VALUE"""),"No")</f>
        <v>No</v>
      </c>
      <c r="S595" s="10" t="str">
        <f>IFERROR(__xludf.DUMMYFUNCTION("""COMPUTED_VALUE"""),"Yes")</f>
        <v>Yes</v>
      </c>
      <c r="T595" s="10">
        <f>IFERROR(__xludf.DUMMYFUNCTION("""COMPUTED_VALUE"""),0.0)</f>
        <v>0</v>
      </c>
      <c r="U595" s="10">
        <f>IFERROR(__xludf.DUMMYFUNCTION("""COMPUTED_VALUE"""),0.0)</f>
        <v>0</v>
      </c>
      <c r="V595" s="10" t="str">
        <f>IFERROR(__xludf.DUMMYFUNCTION("""COMPUTED_VALUE"""),"اسلام میں عورتوں کا مقام، مرتبہ اور حق")</f>
        <v>اسلام میں عورتوں کا مقام، مرتبہ اور حق</v>
      </c>
      <c r="W595" s="10" t="str">
        <f>IFERROR(__xludf.DUMMYFUNCTION("""COMPUTED_VALUE"""),"امام نے خطبہ میں عورتوں کی تعلم و تربیت پر بہت زور دیا ہے اور ان کا بھی اتنی حق بتایا جتنا کہ مردوں کو نوکریوں اور  پڑھنے لکھنے کا  حق ہے، نہ صرف کاروبار کا بلکہ  انہیں اپنی اظہار رائے دینے کا بھی حق شامل ہے اور بتایا کہ عورتیں چونکہ خطبہ میں شریک نہیں ہو"&amp;"تی تو یہ پیغام آگے بھی پہنچائیں اور تھوڈا وقت نکال کر بچیوں کی تعلم ملازمت پر اپنی   اپنی بیویوں سے اس کی متعلق بات چیت کریں")</f>
        <v>امام نے خطبہ میں عورتوں کی تعلم و تربیت پر بہت زور دیا ہے اور ان کا بھی اتنی حق بتایا جتنا کہ مردوں کو نوکریوں اور  پڑھنے لکھنے کا  حق ہے، نہ صرف کاروبار کا بلکہ  انہیں اپنی اظہار رائے دینے کا بھی حق شامل ہے اور بتایا کہ عورتیں چونکہ خطبہ میں شریک نہیں ہوتی تو یہ پیغام آگے بھی پہنچائیں اور تھوڈا وقت نکال کر بچیوں کی تعلم ملازمت پر اپنی   اپنی بیویوں سے اس کی متعلق بات چیت کریں</v>
      </c>
      <c r="X595" s="10">
        <f>IFERROR(__xludf.DUMMYFUNCTION("""COMPUTED_VALUE"""),0.0)</f>
        <v>0</v>
      </c>
      <c r="Y595" s="10">
        <f>IFERROR(__xludf.DUMMYFUNCTION("""COMPUTED_VALUE"""),0.0)</f>
        <v>0</v>
      </c>
      <c r="Z595" s="10">
        <f>IFERROR(__xludf.DUMMYFUNCTION("""COMPUTED_VALUE"""),10.0)</f>
        <v>10</v>
      </c>
      <c r="AA595" s="10">
        <f>IFERROR(__xludf.DUMMYFUNCTION("""COMPUTED_VALUE"""),6.0)</f>
        <v>6</v>
      </c>
      <c r="AB595" s="10">
        <f>IFERROR(__xludf.DUMMYFUNCTION("""COMPUTED_VALUE"""),6.0)</f>
        <v>6</v>
      </c>
      <c r="AC595" s="10">
        <f>IFERROR(__xludf.DUMMYFUNCTION("""COMPUTED_VALUE"""),0.0)</f>
        <v>0</v>
      </c>
      <c r="AD595" s="10">
        <f>IFERROR(__xludf.DUMMYFUNCTION("""COMPUTED_VALUE"""),0.0)</f>
        <v>0</v>
      </c>
      <c r="AE595" s="10">
        <f>IFERROR(__xludf.DUMMYFUNCTION("""COMPUTED_VALUE"""),0.0)</f>
        <v>0</v>
      </c>
      <c r="AF595" s="10">
        <f>IFERROR(__xludf.DUMMYFUNCTION("""COMPUTED_VALUE"""),0.0)</f>
        <v>0</v>
      </c>
      <c r="AG595" s="10">
        <f>IFERROR(__xludf.DUMMYFUNCTION("""COMPUTED_VALUE"""),10.0)</f>
        <v>10</v>
      </c>
      <c r="AH595" s="10">
        <f>IFERROR(__xludf.DUMMYFUNCTION("""COMPUTED_VALUE"""),0.0)</f>
        <v>0</v>
      </c>
      <c r="AI595" s="10">
        <f>IFERROR(__xludf.DUMMYFUNCTION("""COMPUTED_VALUE"""),10.0)</f>
        <v>10</v>
      </c>
      <c r="AJ595" s="11" t="str">
        <f>IFERROR(__xludf.DUMMYFUNCTION("""COMPUTED_VALUE"""),"https://drive.google.com/open?id=174C_v--FDyN5j6VdexrUobXuXI89mAsz")</f>
        <v>https://drive.google.com/open?id=174C_v--FDyN5j6VdexrUobXuXI89mAsz</v>
      </c>
      <c r="AK595" s="12"/>
      <c r="AL595" s="12" t="str">
        <f>IFERROR(__xludf.DUMMYFUNCTION("""COMPUTED_VALUE"""),"Yes")</f>
        <v>Yes</v>
      </c>
      <c r="AM595" s="15">
        <f>IFERROR(__xludf.DUMMYFUNCTION("""COMPUTED_VALUE"""),1.0)</f>
        <v>1</v>
      </c>
      <c r="AN595" s="12" t="str">
        <f>IFERROR(__xludf.DUMMYFUNCTION("""COMPUTED_VALUE"""),"2nd week")</f>
        <v>2nd week</v>
      </c>
      <c r="AO595" s="13">
        <v>2.0</v>
      </c>
      <c r="AX595" s="17"/>
    </row>
    <row r="596">
      <c r="B596" s="9">
        <f>IFERROR(__xludf.DUMMYFUNCTION("""COMPUTED_VALUE"""),45893.25185988426)</f>
        <v>45893.25186</v>
      </c>
      <c r="C596" s="10" t="str">
        <f>IFERROR(__xludf.DUMMYFUNCTION("""COMPUTED_VALUE"""),"Arti Kumari ")</f>
        <v>Arti Kumari </v>
      </c>
      <c r="D596" s="10" t="str">
        <f>IFERROR(__xludf.DUMMYFUNCTION("""COMPUTED_VALUE"""),"03346661865")</f>
        <v>03346661865</v>
      </c>
      <c r="E596" s="10" t="str">
        <f>IFERROR(__xludf.DUMMYFUNCTION("""COMPUTED_VALUE"""),"Jamia Masjid Gaalah Mandi Khanewal")</f>
        <v>Jamia Masjid Gaalah Mandi Khanewal</v>
      </c>
      <c r="F596" s="10" t="str">
        <f>IFERROR(__xludf.DUMMYFUNCTION("""COMPUTED_VALUE"""),"rtfez")</f>
        <v>rtfez</v>
      </c>
      <c r="G596" s="10" t="str">
        <f>IFERROR(__xludf.DUMMYFUNCTION("""COMPUTED_VALUE"""),"Yes")</f>
        <v>Yes</v>
      </c>
      <c r="H596" s="10">
        <f>IFERROR(__xludf.DUMMYFUNCTION("""COMPUTED_VALUE"""),5.0)</f>
        <v>5</v>
      </c>
      <c r="I596" s="10">
        <f>IFERROR(__xludf.DUMMYFUNCTION("""COMPUTED_VALUE"""),5.0)</f>
        <v>5</v>
      </c>
      <c r="J596" s="10">
        <f>IFERROR(__xludf.DUMMYFUNCTION("""COMPUTED_VALUE"""),5.0)</f>
        <v>5</v>
      </c>
      <c r="K596" s="10">
        <f>IFERROR(__xludf.DUMMYFUNCTION("""COMPUTED_VALUE"""),10.0)</f>
        <v>10</v>
      </c>
      <c r="L596" s="10">
        <f>IFERROR(__xludf.DUMMYFUNCTION("""COMPUTED_VALUE"""),0.0)</f>
        <v>0</v>
      </c>
      <c r="M596" s="10">
        <f>IFERROR(__xludf.DUMMYFUNCTION("""COMPUTED_VALUE"""),10.0)</f>
        <v>10</v>
      </c>
      <c r="N596" s="10">
        <f>IFERROR(__xludf.DUMMYFUNCTION("""COMPUTED_VALUE"""),0.0)</f>
        <v>0</v>
      </c>
      <c r="O596" s="10">
        <f>IFERROR(__xludf.DUMMYFUNCTION("""COMPUTED_VALUE"""),10.0)</f>
        <v>10</v>
      </c>
      <c r="P596" s="10">
        <f>IFERROR(__xludf.DUMMYFUNCTION("""COMPUTED_VALUE"""),0.0)</f>
        <v>0</v>
      </c>
      <c r="Q596" s="10" t="str">
        <f>IFERROR(__xludf.DUMMYFUNCTION("""COMPUTED_VALUE"""),"Yes")</f>
        <v>Yes</v>
      </c>
      <c r="R596" s="10" t="str">
        <f>IFERROR(__xludf.DUMMYFUNCTION("""COMPUTED_VALUE"""),"No")</f>
        <v>No</v>
      </c>
      <c r="S596" s="10" t="str">
        <f>IFERROR(__xludf.DUMMYFUNCTION("""COMPUTED_VALUE"""),"Yes")</f>
        <v>Yes</v>
      </c>
      <c r="T596" s="10">
        <f>IFERROR(__xludf.DUMMYFUNCTION("""COMPUTED_VALUE"""),0.0)</f>
        <v>0</v>
      </c>
      <c r="U596" s="10">
        <f>IFERROR(__xludf.DUMMYFUNCTION("""COMPUTED_VALUE"""),0.0)</f>
        <v>0</v>
      </c>
      <c r="V596" s="10" t="str">
        <f>IFERROR(__xludf.DUMMYFUNCTION("""COMPUTED_VALUE"""),"اسلام میں عورتوں کے حقوق ")</f>
        <v>اسلام میں عورتوں کے حقوق </v>
      </c>
      <c r="W596" s="10" t="str">
        <f>IFERROR(__xludf.DUMMYFUNCTION("""COMPUTED_VALUE"""),"امام نے خطبہ میں عورتوں کے حوالے سے بات کی کہ اسلام نے عورتوں کو پورا پورا حق دیا ہے کہ وہ تعلم حاصل کریں، کاروبار کریں، نوکری کریں، تجارت کریں سیاست میں حصہ لیں  عورتوں کا معاشرے کی تعلم و ترقی میں بڑا ہاتھ رہا ہے اور ہمارا یہ حق بنتا ہے کہ ہم اپنی بیویو"&amp;"ں سے اپنی بچیوں کی تعلم و تربیت اور نوکری کے حوالے سے بات کریں اور جو کچھ بھی سنا ہے وہ اپنی بیویوں کو بھی بتائیں")</f>
        <v>امام نے خطبہ میں عورتوں کے حوالے سے بات کی کہ اسلام نے عورتوں کو پورا پورا حق دیا ہے کہ وہ تعلم حاصل کریں، کاروبار کریں، نوکری کریں، تجارت کریں سیاست میں حصہ لیں  عورتوں کا معاشرے کی تعلم و ترقی میں بڑا ہاتھ رہا ہے اور ہمارا یہ حق بنتا ہے کہ ہم اپنی بیویوں سے اپنی بچیوں کی تعلم و تربیت اور نوکری کے حوالے سے بات کریں اور جو کچھ بھی سنا ہے وہ اپنی بیویوں کو بھی بتائیں</v>
      </c>
      <c r="X596" s="10">
        <f>IFERROR(__xludf.DUMMYFUNCTION("""COMPUTED_VALUE"""),0.0)</f>
        <v>0</v>
      </c>
      <c r="Y596" s="10">
        <f>IFERROR(__xludf.DUMMYFUNCTION("""COMPUTED_VALUE"""),0.0)</f>
        <v>0</v>
      </c>
      <c r="Z596" s="10">
        <f>IFERROR(__xludf.DUMMYFUNCTION("""COMPUTED_VALUE"""),10.0)</f>
        <v>10</v>
      </c>
      <c r="AA596" s="10">
        <f>IFERROR(__xludf.DUMMYFUNCTION("""COMPUTED_VALUE"""),3.0)</f>
        <v>3</v>
      </c>
      <c r="AB596" s="10">
        <f>IFERROR(__xludf.DUMMYFUNCTION("""COMPUTED_VALUE"""),4.0)</f>
        <v>4</v>
      </c>
      <c r="AC596" s="10">
        <f>IFERROR(__xludf.DUMMYFUNCTION("""COMPUTED_VALUE"""),2.0)</f>
        <v>2</v>
      </c>
      <c r="AD596" s="10">
        <f>IFERROR(__xludf.DUMMYFUNCTION("""COMPUTED_VALUE"""),0.0)</f>
        <v>0</v>
      </c>
      <c r="AE596" s="10">
        <f>IFERROR(__xludf.DUMMYFUNCTION("""COMPUTED_VALUE"""),1.0)</f>
        <v>1</v>
      </c>
      <c r="AF596" s="10">
        <f>IFERROR(__xludf.DUMMYFUNCTION("""COMPUTED_VALUE"""),0.0)</f>
        <v>0</v>
      </c>
      <c r="AG596" s="10">
        <f>IFERROR(__xludf.DUMMYFUNCTION("""COMPUTED_VALUE"""),10.0)</f>
        <v>10</v>
      </c>
      <c r="AH596" s="10">
        <f>IFERROR(__xludf.DUMMYFUNCTION("""COMPUTED_VALUE"""),0.0)</f>
        <v>0</v>
      </c>
      <c r="AI596" s="10">
        <f>IFERROR(__xludf.DUMMYFUNCTION("""COMPUTED_VALUE"""),10.0)</f>
        <v>10</v>
      </c>
      <c r="AJ596" s="11" t="str">
        <f>IFERROR(__xludf.DUMMYFUNCTION("""COMPUTED_VALUE"""),"https://drive.google.com/open?id=1jEqb6_z780Eu9JK0XuAPj8DJnsGqxkTh")</f>
        <v>https://drive.google.com/open?id=1jEqb6_z780Eu9JK0XuAPj8DJnsGqxkTh</v>
      </c>
      <c r="AK596" s="12"/>
      <c r="AL596" s="12" t="str">
        <f>IFERROR(__xludf.DUMMYFUNCTION("""COMPUTED_VALUE"""),"Yes")</f>
        <v>Yes</v>
      </c>
      <c r="AM596" s="15">
        <f>IFERROR(__xludf.DUMMYFUNCTION("""COMPUTED_VALUE"""),0.5)</f>
        <v>0.5</v>
      </c>
      <c r="AN596" s="12" t="str">
        <f>IFERROR(__xludf.DUMMYFUNCTION("""COMPUTED_VALUE"""),"2nd week")</f>
        <v>2nd week</v>
      </c>
      <c r="AO596" s="13">
        <v>2.0</v>
      </c>
      <c r="AX596" s="17"/>
    </row>
    <row r="597">
      <c r="B597" s="9">
        <f>IFERROR(__xludf.DUMMYFUNCTION("""COMPUTED_VALUE"""),45893.26618032408)</f>
        <v>45893.26618</v>
      </c>
      <c r="C597" s="10" t="str">
        <f>IFERROR(__xludf.DUMMYFUNCTION("""COMPUTED_VALUE"""),"Arti Kumari ")</f>
        <v>Arti Kumari </v>
      </c>
      <c r="D597" s="10" t="str">
        <f>IFERROR(__xludf.DUMMYFUNCTION("""COMPUTED_VALUE"""),"03346661865")</f>
        <v>03346661865</v>
      </c>
      <c r="E597" s="10" t="str">
        <f>IFERROR(__xludf.DUMMYFUNCTION("""COMPUTED_VALUE"""),"Jamia Masjid Darbar Shamsher Shah Safari Layyah")</f>
        <v>Jamia Masjid Darbar Shamsher Shah Safari Layyah</v>
      </c>
      <c r="F597" s="10" t="str">
        <f>IFERROR(__xludf.DUMMYFUNCTION("""COMPUTED_VALUE"""),"ityep")</f>
        <v>ityep</v>
      </c>
      <c r="G597" s="10" t="str">
        <f>IFERROR(__xludf.DUMMYFUNCTION("""COMPUTED_VALUE"""),"Yes")</f>
        <v>Yes</v>
      </c>
      <c r="H597" s="10">
        <f>IFERROR(__xludf.DUMMYFUNCTION("""COMPUTED_VALUE"""),0.0)</f>
        <v>0</v>
      </c>
      <c r="I597" s="10">
        <f>IFERROR(__xludf.DUMMYFUNCTION("""COMPUTED_VALUE"""),10.0)</f>
        <v>10</v>
      </c>
      <c r="J597" s="10">
        <f>IFERROR(__xludf.DUMMYFUNCTION("""COMPUTED_VALUE"""),0.0)</f>
        <v>0</v>
      </c>
      <c r="K597" s="10">
        <f>IFERROR(__xludf.DUMMYFUNCTION("""COMPUTED_VALUE"""),0.0)</f>
        <v>0</v>
      </c>
      <c r="L597" s="10">
        <f>IFERROR(__xludf.DUMMYFUNCTION("""COMPUTED_VALUE"""),0.0)</f>
        <v>0</v>
      </c>
      <c r="M597" s="10">
        <f>IFERROR(__xludf.DUMMYFUNCTION("""COMPUTED_VALUE"""),0.0)</f>
        <v>0</v>
      </c>
      <c r="N597" s="10">
        <f>IFERROR(__xludf.DUMMYFUNCTION("""COMPUTED_VALUE"""),0.0)</f>
        <v>0</v>
      </c>
      <c r="O597" s="10">
        <f>IFERROR(__xludf.DUMMYFUNCTION("""COMPUTED_VALUE"""),0.0)</f>
        <v>0</v>
      </c>
      <c r="P597" s="10">
        <f>IFERROR(__xludf.DUMMYFUNCTION("""COMPUTED_VALUE"""),0.0)</f>
        <v>0</v>
      </c>
      <c r="Q597" s="10" t="str">
        <f>IFERROR(__xludf.DUMMYFUNCTION("""COMPUTED_VALUE"""),"No")</f>
        <v>No</v>
      </c>
      <c r="R597" s="10" t="str">
        <f>IFERROR(__xludf.DUMMYFUNCTION("""COMPUTED_VALUE"""),"No")</f>
        <v>No</v>
      </c>
      <c r="S597" s="10" t="str">
        <f>IFERROR(__xludf.DUMMYFUNCTION("""COMPUTED_VALUE"""),"No")</f>
        <v>No</v>
      </c>
      <c r="T597" s="10">
        <f>IFERROR(__xludf.DUMMYFUNCTION("""COMPUTED_VALUE"""),0.0)</f>
        <v>0</v>
      </c>
      <c r="U597" s="10">
        <f>IFERROR(__xludf.DUMMYFUNCTION("""COMPUTED_VALUE"""),0.0)</f>
        <v>0</v>
      </c>
      <c r="V597" s="10" t="str">
        <f>IFERROR(__xludf.DUMMYFUNCTION("""COMPUTED_VALUE"""),"وطن کے لیے دعا کی اہمیت")</f>
        <v>وطن کے لیے دعا کی اہمیت</v>
      </c>
      <c r="W597" s="10" t="str">
        <f>IFERROR(__xludf.DUMMYFUNCTION("""COMPUTED_VALUE"""),"امام نے خطبہ میں وطن کے لیے دعا کی اہمیت کے بارے میں بیان کیا ہے انبیا نے دعا مانگی اب مکہ میں جتنا سکون ہے اتنا کہیں بھی نہیں، وہ ہر دولت سے مالا مال ہے لوگ وہاں جانے کے لیے دعا مانگتے ہیں")</f>
        <v>امام نے خطبہ میں وطن کے لیے دعا کی اہمیت کے بارے میں بیان کیا ہے انبیا نے دعا مانگی اب مکہ میں جتنا سکون ہے اتنا کہیں بھی نہیں، وہ ہر دولت سے مالا مال ہے لوگ وہاں جانے کے لیے دعا مانگتے ہیں</v>
      </c>
      <c r="X597" s="10">
        <f>IFERROR(__xludf.DUMMYFUNCTION("""COMPUTED_VALUE"""),0.0)</f>
        <v>0</v>
      </c>
      <c r="Y597" s="10">
        <f>IFERROR(__xludf.DUMMYFUNCTION("""COMPUTED_VALUE"""),0.0)</f>
        <v>0</v>
      </c>
      <c r="Z597" s="10">
        <f>IFERROR(__xludf.DUMMYFUNCTION("""COMPUTED_VALUE"""),0.0)</f>
        <v>0</v>
      </c>
      <c r="AA597" s="10">
        <f>IFERROR(__xludf.DUMMYFUNCTION("""COMPUTED_VALUE"""),4.0)</f>
        <v>4</v>
      </c>
      <c r="AB597" s="10">
        <f>IFERROR(__xludf.DUMMYFUNCTION("""COMPUTED_VALUE"""),3.0)</f>
        <v>3</v>
      </c>
      <c r="AC597" s="10">
        <f>IFERROR(__xludf.DUMMYFUNCTION("""COMPUTED_VALUE"""),0.0)</f>
        <v>0</v>
      </c>
      <c r="AD597" s="10">
        <f>IFERROR(__xludf.DUMMYFUNCTION("""COMPUTED_VALUE"""),0.0)</f>
        <v>0</v>
      </c>
      <c r="AE597" s="10">
        <f>IFERROR(__xludf.DUMMYFUNCTION("""COMPUTED_VALUE"""),0.0)</f>
        <v>0</v>
      </c>
      <c r="AF597" s="10">
        <f>IFERROR(__xludf.DUMMYFUNCTION("""COMPUTED_VALUE"""),0.0)</f>
        <v>0</v>
      </c>
      <c r="AG597" s="10">
        <f>IFERROR(__xludf.DUMMYFUNCTION("""COMPUTED_VALUE"""),3.0)</f>
        <v>3</v>
      </c>
      <c r="AH597" s="10">
        <f>IFERROR(__xludf.DUMMYFUNCTION("""COMPUTED_VALUE"""),0.0)</f>
        <v>0</v>
      </c>
      <c r="AI597" s="10">
        <f>IFERROR(__xludf.DUMMYFUNCTION("""COMPUTED_VALUE"""),3.0)</f>
        <v>3</v>
      </c>
      <c r="AJ597" s="11" t="str">
        <f>IFERROR(__xludf.DUMMYFUNCTION("""COMPUTED_VALUE"""),"https://drive.google.com/open?id=14PbIXPs6MZMmpQeN3PAKvrmj8dZF4uua")</f>
        <v>https://drive.google.com/open?id=14PbIXPs6MZMmpQeN3PAKvrmj8dZF4uua</v>
      </c>
      <c r="AK597" s="12"/>
      <c r="AL597" s="12" t="str">
        <f>IFERROR(__xludf.DUMMYFUNCTION("""COMPUTED_VALUE"""),"Yes")</f>
        <v>Yes</v>
      </c>
      <c r="AM597" s="15">
        <f>IFERROR(__xludf.DUMMYFUNCTION("""COMPUTED_VALUE"""),0.0)</f>
        <v>0</v>
      </c>
      <c r="AN597" s="12" t="str">
        <f>IFERROR(__xludf.DUMMYFUNCTION("""COMPUTED_VALUE"""),"4th week")</f>
        <v>4th week</v>
      </c>
      <c r="AO597" s="13">
        <v>4.0</v>
      </c>
      <c r="AX597" s="17"/>
    </row>
    <row r="598">
      <c r="B598" s="9">
        <f>IFERROR(__xludf.DUMMYFUNCTION("""COMPUTED_VALUE"""),45893.29408978009)</f>
        <v>45893.29409</v>
      </c>
      <c r="C598" s="10" t="str">
        <f>IFERROR(__xludf.DUMMYFUNCTION("""COMPUTED_VALUE"""),"Arti Kumari ")</f>
        <v>Arti Kumari </v>
      </c>
      <c r="D598" s="10" t="str">
        <f>IFERROR(__xludf.DUMMYFUNCTION("""COMPUTED_VALUE"""),"03346661865")</f>
        <v>03346661865</v>
      </c>
      <c r="E598" s="10" t="str">
        <f>IFERROR(__xludf.DUMMYFUNCTION("""COMPUTED_VALUE"""),"Jamia Masjid Markazi Chishtan ")</f>
        <v>Jamia Masjid Markazi Chishtan </v>
      </c>
      <c r="F598" s="10" t="str">
        <f>IFERROR(__xludf.DUMMYFUNCTION("""COMPUTED_VALUE"""),"ybtbu")</f>
        <v>ybtbu</v>
      </c>
      <c r="G598" s="10" t="str">
        <f>IFERROR(__xludf.DUMMYFUNCTION("""COMPUTED_VALUE"""),"Yes")</f>
        <v>Yes</v>
      </c>
      <c r="H598" s="10">
        <f>IFERROR(__xludf.DUMMYFUNCTION("""COMPUTED_VALUE"""),3.0)</f>
        <v>3</v>
      </c>
      <c r="I598" s="10">
        <f>IFERROR(__xludf.DUMMYFUNCTION("""COMPUTED_VALUE"""),10.0)</f>
        <v>10</v>
      </c>
      <c r="J598" s="10">
        <f>IFERROR(__xludf.DUMMYFUNCTION("""COMPUTED_VALUE"""),5.0)</f>
        <v>5</v>
      </c>
      <c r="K598" s="10">
        <f>IFERROR(__xludf.DUMMYFUNCTION("""COMPUTED_VALUE"""),0.0)</f>
        <v>0</v>
      </c>
      <c r="L598" s="10">
        <f>IFERROR(__xludf.DUMMYFUNCTION("""COMPUTED_VALUE"""),5.0)</f>
        <v>5</v>
      </c>
      <c r="M598" s="10">
        <f>IFERROR(__xludf.DUMMYFUNCTION("""COMPUTED_VALUE"""),0.0)</f>
        <v>0</v>
      </c>
      <c r="N598" s="10">
        <f>IFERROR(__xludf.DUMMYFUNCTION("""COMPUTED_VALUE"""),5.0)</f>
        <v>5</v>
      </c>
      <c r="O598" s="10">
        <f>IFERROR(__xludf.DUMMYFUNCTION("""COMPUTED_VALUE"""),0.0)</f>
        <v>0</v>
      </c>
      <c r="P598" s="10">
        <f>IFERROR(__xludf.DUMMYFUNCTION("""COMPUTED_VALUE"""),5.0)</f>
        <v>5</v>
      </c>
      <c r="Q598" s="10" t="str">
        <f>IFERROR(__xludf.DUMMYFUNCTION("""COMPUTED_VALUE"""),"No")</f>
        <v>No</v>
      </c>
      <c r="R598" s="10" t="str">
        <f>IFERROR(__xludf.DUMMYFUNCTION("""COMPUTED_VALUE"""),"No")</f>
        <v>No</v>
      </c>
      <c r="S598" s="10" t="str">
        <f>IFERROR(__xludf.DUMMYFUNCTION("""COMPUTED_VALUE"""),"No")</f>
        <v>No</v>
      </c>
      <c r="T598" s="10">
        <f>IFERROR(__xludf.DUMMYFUNCTION("""COMPUTED_VALUE"""),0.0)</f>
        <v>0</v>
      </c>
      <c r="U598" s="10">
        <f>IFERROR(__xludf.DUMMYFUNCTION("""COMPUTED_VALUE"""),0.0)</f>
        <v>0</v>
      </c>
      <c r="V598" s="10" t="str">
        <f>IFERROR(__xludf.DUMMYFUNCTION("""COMPUTED_VALUE"""),"پڑوسیوں کے ساتھ حسن سلوک")</f>
        <v>پڑوسیوں کے ساتھ حسن سلوک</v>
      </c>
      <c r="W598" s="10" t="str">
        <f>IFERROR(__xludf.DUMMYFUNCTION("""COMPUTED_VALUE"""),"امام نے پڑوسیوں کے حولے سے بات کی کہ ان کی مدد کو ان کی عیادت کرو، ان کی پردہ پوشی کرو، آج کل حقوق العباد پر بلکل توجہ نہیں دی جاتی جب کہ حقوق اللہ اسی وقت کامل ہو گے جب آپ کا پڑوسی آپ سے مطمئن ہوگا اور پڑوسیوں میں صرف مومن پڑوسی نہیں بلکہ غیر مسلم بھی ہی"&amp;"ں۔ آخر میں  کشمیروں کے اوپر مظالم کے سلسے میں بات کی اللہ ان کی حفاظت فرمائے")</f>
        <v>امام نے پڑوسیوں کے حولے سے بات کی کہ ان کی مدد کو ان کی عیادت کرو، ان کی پردہ پوشی کرو، آج کل حقوق العباد پر بلکل توجہ نہیں دی جاتی جب کہ حقوق اللہ اسی وقت کامل ہو گے جب آپ کا پڑوسی آپ سے مطمئن ہوگا اور پڑوسیوں میں صرف مومن پڑوسی نہیں بلکہ غیر مسلم بھی ہیں۔ آخر میں  کشمیروں کے اوپر مظالم کے سلسے میں بات کی اللہ ان کی حفاظت فرمائے</v>
      </c>
      <c r="X598" s="10">
        <f>IFERROR(__xludf.DUMMYFUNCTION("""COMPUTED_VALUE"""),3.0)</f>
        <v>3</v>
      </c>
      <c r="Y598" s="10">
        <f>IFERROR(__xludf.DUMMYFUNCTION("""COMPUTED_VALUE"""),7.0)</f>
        <v>7</v>
      </c>
      <c r="Z598" s="10">
        <f>IFERROR(__xludf.DUMMYFUNCTION("""COMPUTED_VALUE"""),2.0)</f>
        <v>2</v>
      </c>
      <c r="AA598" s="10">
        <f>IFERROR(__xludf.DUMMYFUNCTION("""COMPUTED_VALUE"""),6.0)</f>
        <v>6</v>
      </c>
      <c r="AB598" s="10">
        <f>IFERROR(__xludf.DUMMYFUNCTION("""COMPUTED_VALUE"""),3.0)</f>
        <v>3</v>
      </c>
      <c r="AC598" s="10">
        <f>IFERROR(__xludf.DUMMYFUNCTION("""COMPUTED_VALUE"""),2.0)</f>
        <v>2</v>
      </c>
      <c r="AD598" s="10">
        <f>IFERROR(__xludf.DUMMYFUNCTION("""COMPUTED_VALUE"""),0.0)</f>
        <v>0</v>
      </c>
      <c r="AE598" s="10">
        <f>IFERROR(__xludf.DUMMYFUNCTION("""COMPUTED_VALUE"""),1.0)</f>
        <v>1</v>
      </c>
      <c r="AF598" s="10">
        <f>IFERROR(__xludf.DUMMYFUNCTION("""COMPUTED_VALUE"""),0.0)</f>
        <v>0</v>
      </c>
      <c r="AG598" s="10">
        <f>IFERROR(__xludf.DUMMYFUNCTION("""COMPUTED_VALUE"""),7.0)</f>
        <v>7</v>
      </c>
      <c r="AH598" s="10">
        <f>IFERROR(__xludf.DUMMYFUNCTION("""COMPUTED_VALUE"""),0.0)</f>
        <v>0</v>
      </c>
      <c r="AI598" s="10">
        <f>IFERROR(__xludf.DUMMYFUNCTION("""COMPUTED_VALUE"""),6.0)</f>
        <v>6</v>
      </c>
      <c r="AJ598" s="11" t="str">
        <f>IFERROR(__xludf.DUMMYFUNCTION("""COMPUTED_VALUE"""),"https://drive.google.com/open?id=1TLLRvBNiqm2Z5rLWyT2Km2Ms_iT8DQ7j")</f>
        <v>https://drive.google.com/open?id=1TLLRvBNiqm2Z5rLWyT2Km2Ms_iT8DQ7j</v>
      </c>
      <c r="AK598" s="12"/>
      <c r="AL598" s="12" t="str">
        <f>IFERROR(__xludf.DUMMYFUNCTION("""COMPUTED_VALUE"""),"Yes")</f>
        <v>Yes</v>
      </c>
      <c r="AM598" s="15">
        <f>IFERROR(__xludf.DUMMYFUNCTION("""COMPUTED_VALUE"""),0.3)</f>
        <v>0.3</v>
      </c>
      <c r="AN598" s="12" t="str">
        <f>IFERROR(__xludf.DUMMYFUNCTION("""COMPUTED_VALUE"""),"3rd week")</f>
        <v>3rd week</v>
      </c>
      <c r="AO598" s="13">
        <v>3.0</v>
      </c>
      <c r="AX598" s="17"/>
    </row>
    <row r="599">
      <c r="B599" s="9">
        <f>IFERROR(__xludf.DUMMYFUNCTION("""COMPUTED_VALUE"""),45893.33028230324)</f>
        <v>45893.33028</v>
      </c>
      <c r="C599" s="10" t="str">
        <f>IFERROR(__xludf.DUMMYFUNCTION("""COMPUTED_VALUE"""),"Arti Kumari ")</f>
        <v>Arti Kumari </v>
      </c>
      <c r="D599" s="10" t="str">
        <f>IFERROR(__xludf.DUMMYFUNCTION("""COMPUTED_VALUE"""),"03346661865")</f>
        <v>03346661865</v>
      </c>
      <c r="E599" s="10" t="str">
        <f>IFERROR(__xludf.DUMMYFUNCTION("""COMPUTED_VALUE"""),"Jamia Masjid Sakhi Sultan Ahmad Shah Chal 1BC")</f>
        <v>Jamia Masjid Sakhi Sultan Ahmad Shah Chal 1BC</v>
      </c>
      <c r="F599" s="10" t="str">
        <f>IFERROR(__xludf.DUMMYFUNCTION("""COMPUTED_VALUE"""),"mxmsk")</f>
        <v>mxmsk</v>
      </c>
      <c r="G599" s="10" t="str">
        <f>IFERROR(__xludf.DUMMYFUNCTION("""COMPUTED_VALUE"""),"No")</f>
        <v>No</v>
      </c>
      <c r="H599" s="10"/>
      <c r="I599" s="10"/>
      <c r="J599" s="10"/>
      <c r="K599" s="10">
        <f>IFERROR(__xludf.DUMMYFUNCTION("""COMPUTED_VALUE"""),0.0)</f>
        <v>0</v>
      </c>
      <c r="L599" s="10">
        <f>IFERROR(__xludf.DUMMYFUNCTION("""COMPUTED_VALUE"""),0.0)</f>
        <v>0</v>
      </c>
      <c r="M599" s="10">
        <f>IFERROR(__xludf.DUMMYFUNCTION("""COMPUTED_VALUE"""),0.0)</f>
        <v>0</v>
      </c>
      <c r="N599" s="10">
        <f>IFERROR(__xludf.DUMMYFUNCTION("""COMPUTED_VALUE"""),0.0)</f>
        <v>0</v>
      </c>
      <c r="O599" s="10">
        <f>IFERROR(__xludf.DUMMYFUNCTION("""COMPUTED_VALUE"""),0.0)</f>
        <v>0</v>
      </c>
      <c r="P599" s="10">
        <f>IFERROR(__xludf.DUMMYFUNCTION("""COMPUTED_VALUE"""),0.0)</f>
        <v>0</v>
      </c>
      <c r="Q599" s="10" t="str">
        <f>IFERROR(__xludf.DUMMYFUNCTION("""COMPUTED_VALUE"""),"No")</f>
        <v>No</v>
      </c>
      <c r="R599" s="10" t="str">
        <f>IFERROR(__xludf.DUMMYFUNCTION("""COMPUTED_VALUE"""),"No")</f>
        <v>No</v>
      </c>
      <c r="S599" s="10" t="str">
        <f>IFERROR(__xludf.DUMMYFUNCTION("""COMPUTED_VALUE"""),"No")</f>
        <v>No</v>
      </c>
      <c r="T599" s="10">
        <f>IFERROR(__xludf.DUMMYFUNCTION("""COMPUTED_VALUE"""),0.0)</f>
        <v>0</v>
      </c>
      <c r="U599" s="10">
        <f>IFERROR(__xludf.DUMMYFUNCTION("""COMPUTED_VALUE"""),0.0)</f>
        <v>0</v>
      </c>
      <c r="V599" s="10" t="str">
        <f>IFERROR(__xludf.DUMMYFUNCTION("""COMPUTED_VALUE"""),"صفر کا مہینہ ")</f>
        <v>صفر کا مہینہ </v>
      </c>
      <c r="W599" s="10" t="str">
        <f>IFERROR(__xludf.DUMMYFUNCTION("""COMPUTED_VALUE"""),"امام نے صفر کے مہینے کے بارے میں بات کی کہ یہ وہ با برکت مہنیہ ہے  یہ اولیا کی شان کا مہینہ ہے ان کو کسی قسم کا غم میں تکلیف نہیں ہے  رب اور موسی کی پاک ذات ہے ")</f>
        <v>امام نے صفر کے مہینے کے بارے میں بات کی کہ یہ وہ با برکت مہنیہ ہے  یہ اولیا کی شان کا مہینہ ہے ان کو کسی قسم کا غم میں تکلیف نہیں ہے  رب اور موسی کی پاک ذات ہے </v>
      </c>
      <c r="X599" s="10">
        <f>IFERROR(__xludf.DUMMYFUNCTION("""COMPUTED_VALUE"""),1.0)</f>
        <v>1</v>
      </c>
      <c r="Y599" s="10">
        <f>IFERROR(__xludf.DUMMYFUNCTION("""COMPUTED_VALUE"""),0.0)</f>
        <v>0</v>
      </c>
      <c r="Z599" s="10">
        <f>IFERROR(__xludf.DUMMYFUNCTION("""COMPUTED_VALUE"""),0.0)</f>
        <v>0</v>
      </c>
      <c r="AA599" s="10">
        <f>IFERROR(__xludf.DUMMYFUNCTION("""COMPUTED_VALUE"""),4.0)</f>
        <v>4</v>
      </c>
      <c r="AB599" s="10">
        <f>IFERROR(__xludf.DUMMYFUNCTION("""COMPUTED_VALUE"""),5.0)</f>
        <v>5</v>
      </c>
      <c r="AC599" s="10">
        <f>IFERROR(__xludf.DUMMYFUNCTION("""COMPUTED_VALUE"""),0.0)</f>
        <v>0</v>
      </c>
      <c r="AD599" s="10">
        <f>IFERROR(__xludf.DUMMYFUNCTION("""COMPUTED_VALUE"""),0.0)</f>
        <v>0</v>
      </c>
      <c r="AE599" s="10">
        <f>IFERROR(__xludf.DUMMYFUNCTION("""COMPUTED_VALUE"""),0.0)</f>
        <v>0</v>
      </c>
      <c r="AF599" s="10">
        <f>IFERROR(__xludf.DUMMYFUNCTION("""COMPUTED_VALUE"""),0.0)</f>
        <v>0</v>
      </c>
      <c r="AG599" s="10">
        <f>IFERROR(__xludf.DUMMYFUNCTION("""COMPUTED_VALUE"""),0.0)</f>
        <v>0</v>
      </c>
      <c r="AH599" s="10">
        <f>IFERROR(__xludf.DUMMYFUNCTION("""COMPUTED_VALUE"""),0.0)</f>
        <v>0</v>
      </c>
      <c r="AI599" s="10">
        <f>IFERROR(__xludf.DUMMYFUNCTION("""COMPUTED_VALUE"""),0.0)</f>
        <v>0</v>
      </c>
      <c r="AJ599" s="11" t="str">
        <f>IFERROR(__xludf.DUMMYFUNCTION("""COMPUTED_VALUE"""),"https://drive.google.com/open?id=1LdyZmre-fwXbW6Xe9M_oX_OsTnfjFUCG")</f>
        <v>https://drive.google.com/open?id=1LdyZmre-fwXbW6Xe9M_oX_OsTnfjFUCG</v>
      </c>
      <c r="AK599" s="12" t="str">
        <f>IFERROR(__xludf.DUMMYFUNCTION("""COMPUTED_VALUE"""),"Audio was in pure Punjabi some words were understandable ")</f>
        <v>Audio was in pure Punjabi some words were understandable </v>
      </c>
      <c r="AL599" s="12"/>
      <c r="AM599" s="12"/>
      <c r="AN599" s="12" t="str">
        <f>IFERROR(__xludf.DUMMYFUNCTION("""COMPUTED_VALUE"""),"3rd week")</f>
        <v>3rd week</v>
      </c>
      <c r="AO599" s="13">
        <v>3.0</v>
      </c>
      <c r="AX599" s="17"/>
    </row>
    <row r="600">
      <c r="B600" s="9">
        <f>IFERROR(__xludf.DUMMYFUNCTION("""COMPUTED_VALUE"""),45893.38302980324)</f>
        <v>45893.38303</v>
      </c>
      <c r="C600" s="10" t="str">
        <f>IFERROR(__xludf.DUMMYFUNCTION("""COMPUTED_VALUE"""),"Atiqa")</f>
        <v>Atiqa</v>
      </c>
      <c r="D600" s="10" t="str">
        <f>IFERROR(__xludf.DUMMYFUNCTION("""COMPUTED_VALUE"""),"03157519977")</f>
        <v>03157519977</v>
      </c>
      <c r="E600" s="10" t="str">
        <f>IFERROR(__xludf.DUMMYFUNCTION("""COMPUTED_VALUE"""),"Jamia Masjid Sakhi Ahmad Shah Chack 1-BC")</f>
        <v>Jamia Masjid Sakhi Ahmad Shah Chack 1-BC</v>
      </c>
      <c r="F600" s="10" t="str">
        <f>IFERROR(__xludf.DUMMYFUNCTION("""COMPUTED_VALUE"""),"mxmsk")</f>
        <v>mxmsk</v>
      </c>
      <c r="G600" s="10" t="str">
        <f>IFERROR(__xludf.DUMMYFUNCTION("""COMPUTED_VALUE"""),"No")</f>
        <v>No</v>
      </c>
      <c r="H600" s="10"/>
      <c r="I600" s="10"/>
      <c r="J600" s="10"/>
      <c r="K600" s="10">
        <f>IFERROR(__xludf.DUMMYFUNCTION("""COMPUTED_VALUE"""),0.0)</f>
        <v>0</v>
      </c>
      <c r="L600" s="10">
        <f>IFERROR(__xludf.DUMMYFUNCTION("""COMPUTED_VALUE"""),0.0)</f>
        <v>0</v>
      </c>
      <c r="M600" s="10">
        <f>IFERROR(__xludf.DUMMYFUNCTION("""COMPUTED_VALUE"""),0.0)</f>
        <v>0</v>
      </c>
      <c r="N600" s="10">
        <f>IFERROR(__xludf.DUMMYFUNCTION("""COMPUTED_VALUE"""),0.0)</f>
        <v>0</v>
      </c>
      <c r="O600" s="10">
        <f>IFERROR(__xludf.DUMMYFUNCTION("""COMPUTED_VALUE"""),0.0)</f>
        <v>0</v>
      </c>
      <c r="P600" s="10">
        <f>IFERROR(__xludf.DUMMYFUNCTION("""COMPUTED_VALUE"""),0.0)</f>
        <v>0</v>
      </c>
      <c r="Q600" s="10" t="str">
        <f>IFERROR(__xludf.DUMMYFUNCTION("""COMPUTED_VALUE"""),"No")</f>
        <v>No</v>
      </c>
      <c r="R600" s="10" t="str">
        <f>IFERROR(__xludf.DUMMYFUNCTION("""COMPUTED_VALUE"""),"No")</f>
        <v>No</v>
      </c>
      <c r="S600" s="10" t="str">
        <f>IFERROR(__xludf.DUMMYFUNCTION("""COMPUTED_VALUE"""),"No")</f>
        <v>No</v>
      </c>
      <c r="T600" s="10">
        <f>IFERROR(__xludf.DUMMYFUNCTION("""COMPUTED_VALUE"""),0.0)</f>
        <v>0</v>
      </c>
      <c r="U600" s="10">
        <f>IFERROR(__xludf.DUMMYFUNCTION("""COMPUTED_VALUE"""),0.0)</f>
        <v>0</v>
      </c>
      <c r="V600" s="10" t="str">
        <f>IFERROR(__xludf.DUMMYFUNCTION("""COMPUTED_VALUE"""),"قوم نو ع علیہ السلام کی نافرمانی اور کشتی کا واقعہ ")</f>
        <v>قوم نو ع علیہ السلام کی نافرمانی اور کشتی کا واقعہ </v>
      </c>
      <c r="W600" s="10" t="str">
        <f>IFERROR(__xludf.DUMMYFUNCTION("""COMPUTED_VALUE"""),"ماہ محرم کے مہینے میں اللہ رب العزت نے حسین رضی اللہ تعالی عنہ کو شہادت عطا کی ، نوع علیہ السلام کا ساڑھے نو سو سال اپنی قوم کو دعوت تبلیغ دینا اور ان کی سرکشی پر اللہ کا نوح علیہ السلام کو کشتی بنانے اور قوم کو طوفان کے ذریعے غرق کرنا ")</f>
        <v>ماہ محرم کے مہینے میں اللہ رب العزت نے حسین رضی اللہ تعالی عنہ کو شہادت عطا کی ، نوع علیہ السلام کا ساڑھے نو سو سال اپنی قوم کو دعوت تبلیغ دینا اور ان کی سرکشی پر اللہ کا نوح علیہ السلام کو کشتی بنانے اور قوم کو طوفان کے ذریعے غرق کرنا </v>
      </c>
      <c r="X600" s="10">
        <f>IFERROR(__xludf.DUMMYFUNCTION("""COMPUTED_VALUE"""),0.0)</f>
        <v>0</v>
      </c>
      <c r="Y600" s="10">
        <f>IFERROR(__xludf.DUMMYFUNCTION("""COMPUTED_VALUE"""),7.0)</f>
        <v>7</v>
      </c>
      <c r="Z600" s="10">
        <f>IFERROR(__xludf.DUMMYFUNCTION("""COMPUTED_VALUE"""),0.0)</f>
        <v>0</v>
      </c>
      <c r="AA600" s="10">
        <f>IFERROR(__xludf.DUMMYFUNCTION("""COMPUTED_VALUE"""),6.0)</f>
        <v>6</v>
      </c>
      <c r="AB600" s="10">
        <f>IFERROR(__xludf.DUMMYFUNCTION("""COMPUTED_VALUE"""),9.0)</f>
        <v>9</v>
      </c>
      <c r="AC600" s="10">
        <f>IFERROR(__xludf.DUMMYFUNCTION("""COMPUTED_VALUE"""),0.0)</f>
        <v>0</v>
      </c>
      <c r="AD600" s="10">
        <f>IFERROR(__xludf.DUMMYFUNCTION("""COMPUTED_VALUE"""),0.0)</f>
        <v>0</v>
      </c>
      <c r="AE600" s="10">
        <f>IFERROR(__xludf.DUMMYFUNCTION("""COMPUTED_VALUE"""),4.0)</f>
        <v>4</v>
      </c>
      <c r="AF600" s="10">
        <f>IFERROR(__xludf.DUMMYFUNCTION("""COMPUTED_VALUE"""),0.0)</f>
        <v>0</v>
      </c>
      <c r="AG600" s="10">
        <f>IFERROR(__xludf.DUMMYFUNCTION("""COMPUTED_VALUE"""),9.0)</f>
        <v>9</v>
      </c>
      <c r="AH600" s="10">
        <f>IFERROR(__xludf.DUMMYFUNCTION("""COMPUTED_VALUE"""),0.0)</f>
        <v>0</v>
      </c>
      <c r="AI600" s="10">
        <f>IFERROR(__xludf.DUMMYFUNCTION("""COMPUTED_VALUE"""),9.0)</f>
        <v>9</v>
      </c>
      <c r="AJ600" s="11" t="str">
        <f>IFERROR(__xludf.DUMMYFUNCTION("""COMPUTED_VALUE"""),"https://drive.google.com/open?id=1sTGXOiyMN-W5zxpXsxmQtxZH8_L--MjXEzdA8i_DF8Y")</f>
        <v>https://drive.google.com/open?id=1sTGXOiyMN-W5zxpXsxmQtxZH8_L--MjXEzdA8i_DF8Y</v>
      </c>
      <c r="AK600" s="12"/>
      <c r="AL600" s="12"/>
      <c r="AM600" s="12"/>
      <c r="AN600" s="12" t="str">
        <f>IFERROR(__xludf.DUMMYFUNCTION("""COMPUTED_VALUE"""),"1st week")</f>
        <v>1st week</v>
      </c>
      <c r="AO600" s="13">
        <v>1.0</v>
      </c>
      <c r="AX600" s="17"/>
    </row>
    <row r="601">
      <c r="B601" s="9">
        <f>IFERROR(__xludf.DUMMYFUNCTION("""COMPUTED_VALUE"""),45893.57114048611)</f>
        <v>45893.57114</v>
      </c>
      <c r="C601" s="10" t="str">
        <f>IFERROR(__xludf.DUMMYFUNCTION("""COMPUTED_VALUE"""),"Arti Kumari ")</f>
        <v>Arti Kumari </v>
      </c>
      <c r="D601" s="10" t="str">
        <f>IFERROR(__xludf.DUMMYFUNCTION("""COMPUTED_VALUE"""),"03346661865")</f>
        <v>03346661865</v>
      </c>
      <c r="E601" s="10" t="str">
        <f>IFERROR(__xludf.DUMMYFUNCTION("""COMPUTED_VALUE"""),"Jamia Masjid Ahle Hadess na Haliyanawali Ahumd  Pur Sharqiya")</f>
        <v>Jamia Masjid Ahle Hadess na Haliyanawali Ahumd  Pur Sharqiya</v>
      </c>
      <c r="F601" s="10" t="str">
        <f>IFERROR(__xludf.DUMMYFUNCTION("""COMPUTED_VALUE"""),"coclq")</f>
        <v>coclq</v>
      </c>
      <c r="G601" s="10" t="str">
        <f>IFERROR(__xludf.DUMMYFUNCTION("""COMPUTED_VALUE"""),"Yes")</f>
        <v>Yes</v>
      </c>
      <c r="H601" s="10">
        <f>IFERROR(__xludf.DUMMYFUNCTION("""COMPUTED_VALUE"""),0.0)</f>
        <v>0</v>
      </c>
      <c r="I601" s="10">
        <f>IFERROR(__xludf.DUMMYFUNCTION("""COMPUTED_VALUE"""),0.0)</f>
        <v>0</v>
      </c>
      <c r="J601" s="10">
        <f>IFERROR(__xludf.DUMMYFUNCTION("""COMPUTED_VALUE"""),0.0)</f>
        <v>0</v>
      </c>
      <c r="K601" s="10">
        <f>IFERROR(__xludf.DUMMYFUNCTION("""COMPUTED_VALUE"""),0.0)</f>
        <v>0</v>
      </c>
      <c r="L601" s="10">
        <f>IFERROR(__xludf.DUMMYFUNCTION("""COMPUTED_VALUE"""),0.0)</f>
        <v>0</v>
      </c>
      <c r="M601" s="10">
        <f>IFERROR(__xludf.DUMMYFUNCTION("""COMPUTED_VALUE"""),0.0)</f>
        <v>0</v>
      </c>
      <c r="N601" s="10">
        <f>IFERROR(__xludf.DUMMYFUNCTION("""COMPUTED_VALUE"""),0.0)</f>
        <v>0</v>
      </c>
      <c r="O601" s="10">
        <f>IFERROR(__xludf.DUMMYFUNCTION("""COMPUTED_VALUE"""),0.0)</f>
        <v>0</v>
      </c>
      <c r="P601" s="10">
        <f>IFERROR(__xludf.DUMMYFUNCTION("""COMPUTED_VALUE"""),0.0)</f>
        <v>0</v>
      </c>
      <c r="Q601" s="10" t="str">
        <f>IFERROR(__xludf.DUMMYFUNCTION("""COMPUTED_VALUE"""),"No")</f>
        <v>No</v>
      </c>
      <c r="R601" s="10" t="str">
        <f>IFERROR(__xludf.DUMMYFUNCTION("""COMPUTED_VALUE"""),"No")</f>
        <v>No</v>
      </c>
      <c r="S601" s="10" t="str">
        <f>IFERROR(__xludf.DUMMYFUNCTION("""COMPUTED_VALUE"""),"No")</f>
        <v>No</v>
      </c>
      <c r="T601" s="10">
        <f>IFERROR(__xludf.DUMMYFUNCTION("""COMPUTED_VALUE"""),0.0)</f>
        <v>0</v>
      </c>
      <c r="U601" s="10">
        <f>IFERROR(__xludf.DUMMYFUNCTION("""COMPUTED_VALUE"""),0.0)</f>
        <v>0</v>
      </c>
      <c r="V601" s="10" t="str">
        <f>IFERROR(__xludf.DUMMYFUNCTION("""COMPUTED_VALUE"""),"اللہ واحد لاشریک ")</f>
        <v>اللہ واحد لاشریک </v>
      </c>
      <c r="W601" s="10" t="str">
        <f>IFERROR(__xludf.DUMMYFUNCTION("""COMPUTED_VALUE"""),"امام نے خطبہ میں بتایا کی کہ اللہ واحد لاشریک ہے وہ ہی ہر چیز پر قادر ہے اسے غیب کی سب خبر ہوتی ہے بلکہ نبی نے بھی اس بات کا زکر کیا ہے اور بتایا کہ میں بھی تہماری طرح انسان ہوں مجھے بھی غیب کی خبر نہیں مجھ پر صرف وحی نازل ہوتی ہے۔ اور بتایا کہ اللہ نے فع"&amp;"ال کرنے والے کو سخت نا پسند کیا ہے اگر جائز ہے تو صرف اس صورت میں کہ وہ اچھی فعال ہو، بری فعال پر یقین رکھنے کا مطلب ہے کہ فہمی۔ اللہ پر عقیدہ نہیں")</f>
        <v>امام نے خطبہ میں بتایا کی کہ اللہ واحد لاشریک ہے وہ ہی ہر چیز پر قادر ہے اسے غیب کی سب خبر ہوتی ہے بلکہ نبی نے بھی اس بات کا زکر کیا ہے اور بتایا کہ میں بھی تہماری طرح انسان ہوں مجھے بھی غیب کی خبر نہیں مجھ پر صرف وحی نازل ہوتی ہے۔ اور بتایا کہ اللہ نے فعال کرنے والے کو سخت نا پسند کیا ہے اگر جائز ہے تو صرف اس صورت میں کہ وہ اچھی فعال ہو، بری فعال پر یقین رکھنے کا مطلب ہے کہ فہمی۔ اللہ پر عقیدہ نہیں</v>
      </c>
      <c r="X601" s="10">
        <f>IFERROR(__xludf.DUMMYFUNCTION("""COMPUTED_VALUE"""),0.0)</f>
        <v>0</v>
      </c>
      <c r="Y601" s="10">
        <f>IFERROR(__xludf.DUMMYFUNCTION("""COMPUTED_VALUE"""),0.0)</f>
        <v>0</v>
      </c>
      <c r="Z601" s="10">
        <f>IFERROR(__xludf.DUMMYFUNCTION("""COMPUTED_VALUE"""),10.0)</f>
        <v>10</v>
      </c>
      <c r="AA601" s="10">
        <f>IFERROR(__xludf.DUMMYFUNCTION("""COMPUTED_VALUE"""),5.0)</f>
        <v>5</v>
      </c>
      <c r="AB601" s="10">
        <f>IFERROR(__xludf.DUMMYFUNCTION("""COMPUTED_VALUE"""),5.0)</f>
        <v>5</v>
      </c>
      <c r="AC601" s="10">
        <f>IFERROR(__xludf.DUMMYFUNCTION("""COMPUTED_VALUE"""),0.0)</f>
        <v>0</v>
      </c>
      <c r="AD601" s="10">
        <f>IFERROR(__xludf.DUMMYFUNCTION("""COMPUTED_VALUE"""),0.0)</f>
        <v>0</v>
      </c>
      <c r="AE601" s="10">
        <f>IFERROR(__xludf.DUMMYFUNCTION("""COMPUTED_VALUE"""),0.0)</f>
        <v>0</v>
      </c>
      <c r="AF601" s="10">
        <f>IFERROR(__xludf.DUMMYFUNCTION("""COMPUTED_VALUE"""),0.0)</f>
        <v>0</v>
      </c>
      <c r="AG601" s="10">
        <f>IFERROR(__xludf.DUMMYFUNCTION("""COMPUTED_VALUE"""),8.0)</f>
        <v>8</v>
      </c>
      <c r="AH601" s="10">
        <f>IFERROR(__xludf.DUMMYFUNCTION("""COMPUTED_VALUE"""),0.0)</f>
        <v>0</v>
      </c>
      <c r="AI601" s="10">
        <f>IFERROR(__xludf.DUMMYFUNCTION("""COMPUTED_VALUE"""),10.0)</f>
        <v>10</v>
      </c>
      <c r="AJ601" s="11" t="str">
        <f>IFERROR(__xludf.DUMMYFUNCTION("""COMPUTED_VALUE"""),"https://drive.google.com/open?id=1_jopZvnO2IthfC0PRpkEypHPlIL_pngh")</f>
        <v>https://drive.google.com/open?id=1_jopZvnO2IthfC0PRpkEypHPlIL_pngh</v>
      </c>
      <c r="AK601" s="12"/>
      <c r="AL601" s="12" t="str">
        <f>IFERROR(__xludf.DUMMYFUNCTION("""COMPUTED_VALUE"""),"Yes")</f>
        <v>Yes</v>
      </c>
      <c r="AM601" s="15">
        <f>IFERROR(__xludf.DUMMYFUNCTION("""COMPUTED_VALUE"""),0.0)</f>
        <v>0</v>
      </c>
      <c r="AN601" s="12" t="str">
        <f>IFERROR(__xludf.DUMMYFUNCTION("""COMPUTED_VALUE"""),"3rd week")</f>
        <v>3rd week</v>
      </c>
      <c r="AO601" s="13">
        <v>3.0</v>
      </c>
      <c r="AX601" s="17"/>
    </row>
    <row r="602">
      <c r="B602" s="9">
        <f>IFERROR(__xludf.DUMMYFUNCTION("""COMPUTED_VALUE"""),45893.789835868054)</f>
        <v>45893.78984</v>
      </c>
      <c r="C602" s="10" t="str">
        <f>IFERROR(__xludf.DUMMYFUNCTION("""COMPUTED_VALUE"""),"Saira Shahzad ")</f>
        <v>Saira Shahzad </v>
      </c>
      <c r="D602" s="10" t="str">
        <f>IFERROR(__xludf.DUMMYFUNCTION("""COMPUTED_VALUE"""),"03114534696")</f>
        <v>03114534696</v>
      </c>
      <c r="E602" s="10" t="str">
        <f>IFERROR(__xludf.DUMMYFUNCTION("""COMPUTED_VALUE"""),"Jamia Masjid Hasalpur")</f>
        <v>Jamia Masjid Hasalpur</v>
      </c>
      <c r="F602" s="10" t="str">
        <f>IFERROR(__xludf.DUMMYFUNCTION("""COMPUTED_VALUE"""),"nhxti")</f>
        <v>nhxti</v>
      </c>
      <c r="G602" s="10" t="str">
        <f>IFERROR(__xludf.DUMMYFUNCTION("""COMPUTED_VALUE"""),"Yes")</f>
        <v>Yes</v>
      </c>
      <c r="H602" s="10">
        <f>IFERROR(__xludf.DUMMYFUNCTION("""COMPUTED_VALUE"""),0.0)</f>
        <v>0</v>
      </c>
      <c r="I602" s="10">
        <f>IFERROR(__xludf.DUMMYFUNCTION("""COMPUTED_VALUE"""),10.0)</f>
        <v>10</v>
      </c>
      <c r="J602" s="10">
        <f>IFERROR(__xludf.DUMMYFUNCTION("""COMPUTED_VALUE"""),0.0)</f>
        <v>0</v>
      </c>
      <c r="K602" s="10">
        <f>IFERROR(__xludf.DUMMYFUNCTION("""COMPUTED_VALUE"""),0.0)</f>
        <v>0</v>
      </c>
      <c r="L602" s="10">
        <f>IFERROR(__xludf.DUMMYFUNCTION("""COMPUTED_VALUE"""),0.0)</f>
        <v>0</v>
      </c>
      <c r="M602" s="10">
        <f>IFERROR(__xludf.DUMMYFUNCTION("""COMPUTED_VALUE"""),0.0)</f>
        <v>0</v>
      </c>
      <c r="N602" s="10">
        <f>IFERROR(__xludf.DUMMYFUNCTION("""COMPUTED_VALUE"""),0.0)</f>
        <v>0</v>
      </c>
      <c r="O602" s="10">
        <f>IFERROR(__xludf.DUMMYFUNCTION("""COMPUTED_VALUE"""),0.0)</f>
        <v>0</v>
      </c>
      <c r="P602" s="10">
        <f>IFERROR(__xludf.DUMMYFUNCTION("""COMPUTED_VALUE"""),0.0)</f>
        <v>0</v>
      </c>
      <c r="Q602" s="10" t="str">
        <f>IFERROR(__xludf.DUMMYFUNCTION("""COMPUTED_VALUE"""),"No")</f>
        <v>No</v>
      </c>
      <c r="R602" s="10" t="str">
        <f>IFERROR(__xludf.DUMMYFUNCTION("""COMPUTED_VALUE"""),"No")</f>
        <v>No</v>
      </c>
      <c r="S602" s="10" t="str">
        <f>IFERROR(__xludf.DUMMYFUNCTION("""COMPUTED_VALUE"""),"No")</f>
        <v>No</v>
      </c>
      <c r="T602" s="10">
        <f>IFERROR(__xludf.DUMMYFUNCTION("""COMPUTED_VALUE"""),0.0)</f>
        <v>0</v>
      </c>
      <c r="U602" s="10">
        <f>IFERROR(__xludf.DUMMYFUNCTION("""COMPUTED_VALUE"""),0.0)</f>
        <v>0</v>
      </c>
      <c r="V602" s="10" t="str">
        <f>IFERROR(__xludf.DUMMYFUNCTION("""COMPUTED_VALUE"""),"اللہ پاک کی ذات کی صفات")</f>
        <v>اللہ پاک کی ذات کی صفات</v>
      </c>
      <c r="W602" s="10" t="str">
        <f>IFERROR(__xludf.DUMMYFUNCTION("""COMPUTED_VALUE"""),"امام نے اپنے بیان میں یہ بیان کیا ہے کہ اللہ تعالی ہر چیز پہ قادر ہے وہ جس کو چاہے نقصان پہنچا ہے جس کو چاہے فائدہ پہنچائے اور انسان جو مرضی چاہے وہ اس وقت تک نہیں ہو سکتا جب تک اللہ نہ چاہے اس لیے ہمیں اللہ کی مرضی میں راضی ہونا چاہیے اور اس کے ساتھ ساتھ"&amp;" اپنے بیان میں قرآنی واقعات بیان کیے ہیں")</f>
        <v>امام نے اپنے بیان میں یہ بیان کیا ہے کہ اللہ تعالی ہر چیز پہ قادر ہے وہ جس کو چاہے نقصان پہنچا ہے جس کو چاہے فائدہ پہنچائے اور انسان جو مرضی چاہے وہ اس وقت تک نہیں ہو سکتا جب تک اللہ نہ چاہے اس لیے ہمیں اللہ کی مرضی میں راضی ہونا چاہیے اور اس کے ساتھ ساتھ اپنے بیان میں قرآنی واقعات بیان کیے ہیں</v>
      </c>
      <c r="X602" s="10">
        <f>IFERROR(__xludf.DUMMYFUNCTION("""COMPUTED_VALUE"""),2.0)</f>
        <v>2</v>
      </c>
      <c r="Y602" s="10">
        <f>IFERROR(__xludf.DUMMYFUNCTION("""COMPUTED_VALUE"""),5.0)</f>
        <v>5</v>
      </c>
      <c r="Z602" s="10">
        <f>IFERROR(__xludf.DUMMYFUNCTION("""COMPUTED_VALUE"""),1.0)</f>
        <v>1</v>
      </c>
      <c r="AA602" s="10">
        <f>IFERROR(__xludf.DUMMYFUNCTION("""COMPUTED_VALUE"""),8.0)</f>
        <v>8</v>
      </c>
      <c r="AB602" s="10">
        <f>IFERROR(__xludf.DUMMYFUNCTION("""COMPUTED_VALUE"""),8.0)</f>
        <v>8</v>
      </c>
      <c r="AC602" s="10">
        <f>IFERROR(__xludf.DUMMYFUNCTION("""COMPUTED_VALUE"""),0.0)</f>
        <v>0</v>
      </c>
      <c r="AD602" s="10">
        <f>IFERROR(__xludf.DUMMYFUNCTION("""COMPUTED_VALUE"""),0.0)</f>
        <v>0</v>
      </c>
      <c r="AE602" s="10">
        <f>IFERROR(__xludf.DUMMYFUNCTION("""COMPUTED_VALUE"""),4.0)</f>
        <v>4</v>
      </c>
      <c r="AF602" s="10">
        <f>IFERROR(__xludf.DUMMYFUNCTION("""COMPUTED_VALUE"""),7.0)</f>
        <v>7</v>
      </c>
      <c r="AG602" s="10">
        <f>IFERROR(__xludf.DUMMYFUNCTION("""COMPUTED_VALUE"""),8.0)</f>
        <v>8</v>
      </c>
      <c r="AH602" s="10">
        <f>IFERROR(__xludf.DUMMYFUNCTION("""COMPUTED_VALUE"""),0.0)</f>
        <v>0</v>
      </c>
      <c r="AI602" s="10">
        <f>IFERROR(__xludf.DUMMYFUNCTION("""COMPUTED_VALUE"""),8.0)</f>
        <v>8</v>
      </c>
      <c r="AJ602" s="11" t="str">
        <f>IFERROR(__xludf.DUMMYFUNCTION("""COMPUTED_VALUE"""),"https://drive.google.com/open?id=18duYEGp7daS6PeL4NI_6FAfe9kWbPXCtTtGNXLeKQa8")</f>
        <v>https://drive.google.com/open?id=18duYEGp7daS6PeL4NI_6FAfe9kWbPXCtTtGNXLeKQa8</v>
      </c>
      <c r="AK602" s="12" t="str">
        <f>IFERROR(__xludf.DUMMYFUNCTION("""COMPUTED_VALUE"""),"No")</f>
        <v>No</v>
      </c>
      <c r="AL602" s="12" t="str">
        <f>IFERROR(__xludf.DUMMYFUNCTION("""COMPUTED_VALUE"""),"No")</f>
        <v>No</v>
      </c>
      <c r="AM602" s="15">
        <f>IFERROR(__xludf.DUMMYFUNCTION("""COMPUTED_VALUE"""),0.0)</f>
        <v>0</v>
      </c>
      <c r="AN602" s="12" t="str">
        <f>IFERROR(__xludf.DUMMYFUNCTION("""COMPUTED_VALUE"""),"3rd week")</f>
        <v>3rd week</v>
      </c>
      <c r="AO602" s="13">
        <v>3.0</v>
      </c>
      <c r="AX602" s="17"/>
    </row>
    <row r="603">
      <c r="B603" s="9">
        <f>IFERROR(__xludf.DUMMYFUNCTION("""COMPUTED_VALUE"""),45893.845127002314)</f>
        <v>45893.84513</v>
      </c>
      <c r="C603" s="10" t="str">
        <f>IFERROR(__xludf.DUMMYFUNCTION("""COMPUTED_VALUE"""),"Sidra ")</f>
        <v>Sidra </v>
      </c>
      <c r="D603" s="10" t="str">
        <f>IFERROR(__xludf.DUMMYFUNCTION("""COMPUTED_VALUE"""),"03261416280")</f>
        <v>03261416280</v>
      </c>
      <c r="E603" s="10" t="str">
        <f>IFERROR(__xludf.DUMMYFUNCTION("""COMPUTED_VALUE"""),"Jamia Masjid Mehdum Rasheed Haqani Multan")</f>
        <v>Jamia Masjid Mehdum Rasheed Haqani Multan</v>
      </c>
      <c r="F603" s="10" t="str">
        <f>IFERROR(__xludf.DUMMYFUNCTION("""COMPUTED_VALUE"""),"cqxog")</f>
        <v>cqxog</v>
      </c>
      <c r="G603" s="10" t="str">
        <f>IFERROR(__xludf.DUMMYFUNCTION("""COMPUTED_VALUE"""),"Yes")</f>
        <v>Yes</v>
      </c>
      <c r="H603" s="10">
        <f>IFERROR(__xludf.DUMMYFUNCTION("""COMPUTED_VALUE"""),0.0)</f>
        <v>0</v>
      </c>
      <c r="I603" s="10">
        <f>IFERROR(__xludf.DUMMYFUNCTION("""COMPUTED_VALUE"""),10.0)</f>
        <v>10</v>
      </c>
      <c r="J603" s="10">
        <f>IFERROR(__xludf.DUMMYFUNCTION("""COMPUTED_VALUE"""),0.0)</f>
        <v>0</v>
      </c>
      <c r="K603" s="10">
        <f>IFERROR(__xludf.DUMMYFUNCTION("""COMPUTED_VALUE"""),0.0)</f>
        <v>0</v>
      </c>
      <c r="L603" s="10">
        <f>IFERROR(__xludf.DUMMYFUNCTION("""COMPUTED_VALUE"""),0.0)</f>
        <v>0</v>
      </c>
      <c r="M603" s="10">
        <f>IFERROR(__xludf.DUMMYFUNCTION("""COMPUTED_VALUE"""),0.0)</f>
        <v>0</v>
      </c>
      <c r="N603" s="10">
        <f>IFERROR(__xludf.DUMMYFUNCTION("""COMPUTED_VALUE"""),0.0)</f>
        <v>0</v>
      </c>
      <c r="O603" s="10">
        <f>IFERROR(__xludf.DUMMYFUNCTION("""COMPUTED_VALUE"""),0.0)</f>
        <v>0</v>
      </c>
      <c r="P603" s="10">
        <f>IFERROR(__xludf.DUMMYFUNCTION("""COMPUTED_VALUE"""),0.0)</f>
        <v>0</v>
      </c>
      <c r="Q603" s="10" t="str">
        <f>IFERROR(__xludf.DUMMYFUNCTION("""COMPUTED_VALUE"""),"No")</f>
        <v>No</v>
      </c>
      <c r="R603" s="10" t="str">
        <f>IFERROR(__xludf.DUMMYFUNCTION("""COMPUTED_VALUE"""),"No")</f>
        <v>No</v>
      </c>
      <c r="S603" s="10" t="str">
        <f>IFERROR(__xludf.DUMMYFUNCTION("""COMPUTED_VALUE"""),"No")</f>
        <v>No</v>
      </c>
      <c r="T603" s="10">
        <f>IFERROR(__xludf.DUMMYFUNCTION("""COMPUTED_VALUE"""),0.0)</f>
        <v>0</v>
      </c>
      <c r="U603" s="10">
        <f>IFERROR(__xludf.DUMMYFUNCTION("""COMPUTED_VALUE"""),0.0)</f>
        <v>0</v>
      </c>
      <c r="V603" s="10" t="str">
        <f>IFERROR(__xludf.DUMMYFUNCTION("""COMPUTED_VALUE"""),"اسلامی تعلیمات ")</f>
        <v>اسلامی تعلیمات </v>
      </c>
      <c r="W603" s="10" t="str">
        <f>IFERROR(__xludf.DUMMYFUNCTION("""COMPUTED_VALUE"""),"امام نے بیان میں بتایا ہے کہ حضرت داتا گنج بخش رحمت اللہ علیہ السلام کی ایک کتاب کشف المحجوب کے اندر بتایا گیا ہے کہ جو اس پر صحیح معنی سے عمل کرے گا اس کو دنیا کے کسی دوسرے پیر سے بیت لینے کی ضرورت نہیں آپ رحمت اللہ نے فرمایا پہلی چیز یہ کہ ادب کیا جائے "&amp;"اور دوسری چیز علم حاصل کرنا ہے اور اس کے علاوہ امام نے بتایا کہ اپ صلی اللہ علیہ وسلم نے ایک مسجد تعمیر کروائی تو لوگوں نے کہا کہ اس کا رخ خانہ کعبہ کی طرف نہیں ہے تو آپ نے اعلان کروایا کہ صبح فجر کی نماز میرے پیچھے کھڑے ہو کر ادا کی جائے جب سب لوگ صبح آپ"&amp;" کے پیچھے کھڑے ہوئے تو آپ نے کہا کہ اپنی آنکھیں بند کر لو جب سب لوگوں نے اپنی آنکھوں بند کی تو ان کی آنکھوں کے سامنے کعبہ شریف آگیا۔ ")</f>
        <v>امام نے بیان میں بتایا ہے کہ حضرت داتا گنج بخش رحمت اللہ علیہ السلام کی ایک کتاب کشف المحجوب کے اندر بتایا گیا ہے کہ جو اس پر صحیح معنی سے عمل کرے گا اس کو دنیا کے کسی دوسرے پیر سے بیت لینے کی ضرورت نہیں آپ رحمت اللہ نے فرمایا پہلی چیز یہ کہ ادب کیا جائے اور دوسری چیز علم حاصل کرنا ہے اور اس کے علاوہ امام نے بتایا کہ اپ صلی اللہ علیہ وسلم نے ایک مسجد تعمیر کروائی تو لوگوں نے کہا کہ اس کا رخ خانہ کعبہ کی طرف نہیں ہے تو آپ نے اعلان کروایا کہ صبح فجر کی نماز میرے پیچھے کھڑے ہو کر ادا کی جائے جب سب لوگ صبح آپ کے پیچھے کھڑے ہوئے تو آپ نے کہا کہ اپنی آنکھیں بند کر لو جب سب لوگوں نے اپنی آنکھوں بند کی تو ان کی آنکھوں کے سامنے کعبہ شریف آگیا۔ </v>
      </c>
      <c r="X603" s="10">
        <f>IFERROR(__xludf.DUMMYFUNCTION("""COMPUTED_VALUE"""),4.0)</f>
        <v>4</v>
      </c>
      <c r="Y603" s="10">
        <f>IFERROR(__xludf.DUMMYFUNCTION("""COMPUTED_VALUE"""),6.0)</f>
        <v>6</v>
      </c>
      <c r="Z603" s="10">
        <f>IFERROR(__xludf.DUMMYFUNCTION("""COMPUTED_VALUE"""),7.0)</f>
        <v>7</v>
      </c>
      <c r="AA603" s="10">
        <f>IFERROR(__xludf.DUMMYFUNCTION("""COMPUTED_VALUE"""),6.0)</f>
        <v>6</v>
      </c>
      <c r="AB603" s="10">
        <f>IFERROR(__xludf.DUMMYFUNCTION("""COMPUTED_VALUE"""),6.0)</f>
        <v>6</v>
      </c>
      <c r="AC603" s="10">
        <f>IFERROR(__xludf.DUMMYFUNCTION("""COMPUTED_VALUE"""),0.0)</f>
        <v>0</v>
      </c>
      <c r="AD603" s="10">
        <f>IFERROR(__xludf.DUMMYFUNCTION("""COMPUTED_VALUE"""),0.0)</f>
        <v>0</v>
      </c>
      <c r="AE603" s="10">
        <f>IFERROR(__xludf.DUMMYFUNCTION("""COMPUTED_VALUE"""),5.0)</f>
        <v>5</v>
      </c>
      <c r="AF603" s="10">
        <f>IFERROR(__xludf.DUMMYFUNCTION("""COMPUTED_VALUE"""),0.0)</f>
        <v>0</v>
      </c>
      <c r="AG603" s="10">
        <f>IFERROR(__xludf.DUMMYFUNCTION("""COMPUTED_VALUE"""),9.0)</f>
        <v>9</v>
      </c>
      <c r="AH603" s="10">
        <f>IFERROR(__xludf.DUMMYFUNCTION("""COMPUTED_VALUE"""),0.0)</f>
        <v>0</v>
      </c>
      <c r="AI603" s="10">
        <f>IFERROR(__xludf.DUMMYFUNCTION("""COMPUTED_VALUE"""),9.0)</f>
        <v>9</v>
      </c>
      <c r="AJ603" s="11" t="str">
        <f>IFERROR(__xludf.DUMMYFUNCTION("""COMPUTED_VALUE"""),"https://drive.google.com/open?id=1BPt3COWepMvAv46K_5TbfAv-Xu30MrQlg5_r7LAnMqc")</f>
        <v>https://drive.google.com/open?id=1BPt3COWepMvAv46K_5TbfAv-Xu30MrQlg5_r7LAnMqc</v>
      </c>
      <c r="AK603" s="12" t="str">
        <f>IFERROR(__xludf.DUMMYFUNCTION("""COMPUTED_VALUE"""),"No ")</f>
        <v>No </v>
      </c>
      <c r="AL603" s="12" t="str">
        <f>IFERROR(__xludf.DUMMYFUNCTION("""COMPUTED_VALUE"""),"Yes")</f>
        <v>Yes</v>
      </c>
      <c r="AM603" s="15">
        <f>IFERROR(__xludf.DUMMYFUNCTION("""COMPUTED_VALUE"""),0.0)</f>
        <v>0</v>
      </c>
      <c r="AN603" s="12" t="str">
        <f>IFERROR(__xludf.DUMMYFUNCTION("""COMPUTED_VALUE"""),"3rd week")</f>
        <v>3rd week</v>
      </c>
      <c r="AO603" s="13">
        <v>3.0</v>
      </c>
      <c r="AX603" s="17"/>
    </row>
    <row r="604">
      <c r="B604" s="9">
        <f>IFERROR(__xludf.DUMMYFUNCTION("""COMPUTED_VALUE"""),45893.86414471065)</f>
        <v>45893.86414</v>
      </c>
      <c r="C604" s="10" t="str">
        <f>IFERROR(__xludf.DUMMYFUNCTION("""COMPUTED_VALUE"""),"Saira Shahzad ")</f>
        <v>Saira Shahzad </v>
      </c>
      <c r="D604" s="10" t="str">
        <f>IFERROR(__xludf.DUMMYFUNCTION("""COMPUTED_VALUE"""),"03114534696")</f>
        <v>03114534696</v>
      </c>
      <c r="E604" s="10" t="str">
        <f>IFERROR(__xludf.DUMMYFUNCTION("""COMPUTED_VALUE"""),"Jamia Masjid Multan Cantt Multan")</f>
        <v>Jamia Masjid Multan Cantt Multan</v>
      </c>
      <c r="F604" s="10" t="str">
        <f>IFERROR(__xludf.DUMMYFUNCTION("""COMPUTED_VALUE"""),"sqnot")</f>
        <v>sqnot</v>
      </c>
      <c r="G604" s="10" t="str">
        <f>IFERROR(__xludf.DUMMYFUNCTION("""COMPUTED_VALUE"""),"Yes")</f>
        <v>Yes</v>
      </c>
      <c r="H604" s="10">
        <f>IFERROR(__xludf.DUMMYFUNCTION("""COMPUTED_VALUE"""),0.0)</f>
        <v>0</v>
      </c>
      <c r="I604" s="10">
        <f>IFERROR(__xludf.DUMMYFUNCTION("""COMPUTED_VALUE"""),10.0)</f>
        <v>10</v>
      </c>
      <c r="J604" s="10">
        <f>IFERROR(__xludf.DUMMYFUNCTION("""COMPUTED_VALUE"""),0.0)</f>
        <v>0</v>
      </c>
      <c r="K604" s="10">
        <f>IFERROR(__xludf.DUMMYFUNCTION("""COMPUTED_VALUE"""),4.0)</f>
        <v>4</v>
      </c>
      <c r="L604" s="10">
        <f>IFERROR(__xludf.DUMMYFUNCTION("""COMPUTED_VALUE"""),0.0)</f>
        <v>0</v>
      </c>
      <c r="M604" s="10">
        <f>IFERROR(__xludf.DUMMYFUNCTION("""COMPUTED_VALUE"""),2.0)</f>
        <v>2</v>
      </c>
      <c r="N604" s="10">
        <f>IFERROR(__xludf.DUMMYFUNCTION("""COMPUTED_VALUE"""),0.0)</f>
        <v>0</v>
      </c>
      <c r="O604" s="10">
        <f>IFERROR(__xludf.DUMMYFUNCTION("""COMPUTED_VALUE"""),3.0)</f>
        <v>3</v>
      </c>
      <c r="P604" s="10">
        <f>IFERROR(__xludf.DUMMYFUNCTION("""COMPUTED_VALUE"""),0.0)</f>
        <v>0</v>
      </c>
      <c r="Q604" s="10" t="str">
        <f>IFERROR(__xludf.DUMMYFUNCTION("""COMPUTED_VALUE"""),"No")</f>
        <v>No</v>
      </c>
      <c r="R604" s="10" t="str">
        <f>IFERROR(__xludf.DUMMYFUNCTION("""COMPUTED_VALUE"""),"No")</f>
        <v>No</v>
      </c>
      <c r="S604" s="10" t="str">
        <f>IFERROR(__xludf.DUMMYFUNCTION("""COMPUTED_VALUE"""),"No")</f>
        <v>No</v>
      </c>
      <c r="T604" s="10">
        <f>IFERROR(__xludf.DUMMYFUNCTION("""COMPUTED_VALUE"""),0.0)</f>
        <v>0</v>
      </c>
      <c r="U604" s="10">
        <f>IFERROR(__xludf.DUMMYFUNCTION("""COMPUTED_VALUE"""),0.0)</f>
        <v>0</v>
      </c>
      <c r="V604" s="10" t="str">
        <f>IFERROR(__xludf.DUMMYFUNCTION("""COMPUTED_VALUE"""),"حضور پاک صلی اللہ علیہ والہ وسلم کی شان")</f>
        <v>حضور پاک صلی اللہ علیہ والہ وسلم کی شان</v>
      </c>
      <c r="W604" s="10" t="str">
        <f>IFERROR(__xludf.DUMMYFUNCTION("""COMPUTED_VALUE"""),"امام نے اپنے بیان میں یہ بیان کیا ہے کہ نبی پاک صلی اللہ علیہ والہ وسلم کی ذات پاک سورج کی مانند ہے اور اصحاب اکرم سورج کے ارد گرد ستاروں کی مانند ہے اور نبی پاک صلی اللہ علیہ والہ وسلم نے اپنی تین پسندیدہ چیزوں کا ذکر کیا پہلی خوشبو دوسری عورتوں کی تربیت"&amp;" تیسری نماز کا حکم")</f>
        <v>امام نے اپنے بیان میں یہ بیان کیا ہے کہ نبی پاک صلی اللہ علیہ والہ وسلم کی ذات پاک سورج کی مانند ہے اور اصحاب اکرم سورج کے ارد گرد ستاروں کی مانند ہے اور نبی پاک صلی اللہ علیہ والہ وسلم نے اپنی تین پسندیدہ چیزوں کا ذکر کیا پہلی خوشبو دوسری عورتوں کی تربیت تیسری نماز کا حکم</v>
      </c>
      <c r="X604" s="10">
        <f>IFERROR(__xludf.DUMMYFUNCTION("""COMPUTED_VALUE"""),3.0)</f>
        <v>3</v>
      </c>
      <c r="Y604" s="10">
        <f>IFERROR(__xludf.DUMMYFUNCTION("""COMPUTED_VALUE"""),1.0)</f>
        <v>1</v>
      </c>
      <c r="Z604" s="10">
        <f>IFERROR(__xludf.DUMMYFUNCTION("""COMPUTED_VALUE"""),1.0)</f>
        <v>1</v>
      </c>
      <c r="AA604" s="10">
        <f>IFERROR(__xludf.DUMMYFUNCTION("""COMPUTED_VALUE"""),7.0)</f>
        <v>7</v>
      </c>
      <c r="AB604" s="10">
        <f>IFERROR(__xludf.DUMMYFUNCTION("""COMPUTED_VALUE"""),5.0)</f>
        <v>5</v>
      </c>
      <c r="AC604" s="10">
        <f>IFERROR(__xludf.DUMMYFUNCTION("""COMPUTED_VALUE"""),0.0)</f>
        <v>0</v>
      </c>
      <c r="AD604" s="10">
        <f>IFERROR(__xludf.DUMMYFUNCTION("""COMPUTED_VALUE"""),0.0)</f>
        <v>0</v>
      </c>
      <c r="AE604" s="10">
        <f>IFERROR(__xludf.DUMMYFUNCTION("""COMPUTED_VALUE"""),0.0)</f>
        <v>0</v>
      </c>
      <c r="AF604" s="10">
        <f>IFERROR(__xludf.DUMMYFUNCTION("""COMPUTED_VALUE"""),5.0)</f>
        <v>5</v>
      </c>
      <c r="AG604" s="10">
        <f>IFERROR(__xludf.DUMMYFUNCTION("""COMPUTED_VALUE"""),7.0)</f>
        <v>7</v>
      </c>
      <c r="AH604" s="10">
        <f>IFERROR(__xludf.DUMMYFUNCTION("""COMPUTED_VALUE"""),0.0)</f>
        <v>0</v>
      </c>
      <c r="AI604" s="10">
        <f>IFERROR(__xludf.DUMMYFUNCTION("""COMPUTED_VALUE"""),7.0)</f>
        <v>7</v>
      </c>
      <c r="AJ604" s="11" t="str">
        <f>IFERROR(__xludf.DUMMYFUNCTION("""COMPUTED_VALUE"""),"https://drive.google.com/open?id=1sddCS4y-dQJ1DzXWJm_wCYvplUpHueU42erUBBvUxK4")</f>
        <v>https://drive.google.com/open?id=1sddCS4y-dQJ1DzXWJm_wCYvplUpHueU42erUBBvUxK4</v>
      </c>
      <c r="AK604" s="12" t="str">
        <f>IFERROR(__xludf.DUMMYFUNCTION("""COMPUTED_VALUE"""),"No")</f>
        <v>No</v>
      </c>
      <c r="AL604" s="12" t="str">
        <f>IFERROR(__xludf.DUMMYFUNCTION("""COMPUTED_VALUE"""),"No")</f>
        <v>No</v>
      </c>
      <c r="AM604" s="15">
        <f>IFERROR(__xludf.DUMMYFUNCTION("""COMPUTED_VALUE"""),0.0)</f>
        <v>0</v>
      </c>
      <c r="AN604" s="12" t="str">
        <f>IFERROR(__xludf.DUMMYFUNCTION("""COMPUTED_VALUE"""),"3rd week")</f>
        <v>3rd week</v>
      </c>
      <c r="AO604" s="13">
        <v>3.0</v>
      </c>
      <c r="AX604" s="17"/>
    </row>
    <row r="605">
      <c r="B605" s="9">
        <f>IFERROR(__xludf.DUMMYFUNCTION("""COMPUTED_VALUE"""),45894.06898087963)</f>
        <v>45894.06898</v>
      </c>
      <c r="C605" s="10" t="str">
        <f>IFERROR(__xludf.DUMMYFUNCTION("""COMPUTED_VALUE"""),"Shahid Iqbal")</f>
        <v>Shahid Iqbal</v>
      </c>
      <c r="D605" s="10" t="str">
        <f>IFERROR(__xludf.DUMMYFUNCTION("""COMPUTED_VALUE"""),"03013665049")</f>
        <v>03013665049</v>
      </c>
      <c r="E605" s="10" t="str">
        <f>IFERROR(__xludf.DUMMYFUNCTION("""COMPUTED_VALUE"""),"Jamia Masjid Abdulah Shah Bukhari Muzaffargarh")</f>
        <v>Jamia Masjid Abdulah Shah Bukhari Muzaffargarh</v>
      </c>
      <c r="F605" s="10" t="str">
        <f>IFERROR(__xludf.DUMMYFUNCTION("""COMPUTED_VALUE"""),"kezga")</f>
        <v>kezga</v>
      </c>
      <c r="G605" s="10" t="str">
        <f>IFERROR(__xludf.DUMMYFUNCTION("""COMPUTED_VALUE"""),"Yes")</f>
        <v>Yes</v>
      </c>
      <c r="H605" s="10">
        <f>IFERROR(__xludf.DUMMYFUNCTION("""COMPUTED_VALUE"""),1.0)</f>
        <v>1</v>
      </c>
      <c r="I605" s="10">
        <f>IFERROR(__xludf.DUMMYFUNCTION("""COMPUTED_VALUE"""),9.0)</f>
        <v>9</v>
      </c>
      <c r="J605" s="10">
        <f>IFERROR(__xludf.DUMMYFUNCTION("""COMPUTED_VALUE"""),2.0)</f>
        <v>2</v>
      </c>
      <c r="K605" s="10">
        <f>IFERROR(__xludf.DUMMYFUNCTION("""COMPUTED_VALUE"""),4.0)</f>
        <v>4</v>
      </c>
      <c r="L605" s="10">
        <f>IFERROR(__xludf.DUMMYFUNCTION("""COMPUTED_VALUE"""),0.0)</f>
        <v>0</v>
      </c>
      <c r="M605" s="10">
        <f>IFERROR(__xludf.DUMMYFUNCTION("""COMPUTED_VALUE"""),4.0)</f>
        <v>4</v>
      </c>
      <c r="N605" s="10">
        <f>IFERROR(__xludf.DUMMYFUNCTION("""COMPUTED_VALUE"""),0.0)</f>
        <v>0</v>
      </c>
      <c r="O605" s="10">
        <f>IFERROR(__xludf.DUMMYFUNCTION("""COMPUTED_VALUE"""),1.0)</f>
        <v>1</v>
      </c>
      <c r="P605" s="10">
        <f>IFERROR(__xludf.DUMMYFUNCTION("""COMPUTED_VALUE"""),0.0)</f>
        <v>0</v>
      </c>
      <c r="Q605" s="10" t="str">
        <f>IFERROR(__xludf.DUMMYFUNCTION("""COMPUTED_VALUE"""),"Yes")</f>
        <v>Yes</v>
      </c>
      <c r="R605" s="10" t="str">
        <f>IFERROR(__xludf.DUMMYFUNCTION("""COMPUTED_VALUE"""),"No")</f>
        <v>No</v>
      </c>
      <c r="S605" s="10" t="str">
        <f>IFERROR(__xludf.DUMMYFUNCTION("""COMPUTED_VALUE"""),"No")</f>
        <v>No</v>
      </c>
      <c r="T605" s="10">
        <f>IFERROR(__xludf.DUMMYFUNCTION("""COMPUTED_VALUE"""),0.0)</f>
        <v>0</v>
      </c>
      <c r="U605" s="10">
        <f>IFERROR(__xludf.DUMMYFUNCTION("""COMPUTED_VALUE"""),0.0)</f>
        <v>0</v>
      </c>
      <c r="V605" s="10" t="str">
        <f>IFERROR(__xludf.DUMMYFUNCTION("""COMPUTED_VALUE"""),"womens rights on islam, kashmir and pakistan")</f>
        <v>womens rights on islam, kashmir and pakistan</v>
      </c>
      <c r="W605" s="10" t="str">
        <f>IFERROR(__xludf.DUMMYFUNCTION("""COMPUTED_VALUE"""),"womens rights on islam, discussed kashmir issue and pakistan day")</f>
        <v>womens rights on islam, discussed kashmir issue and pakistan day</v>
      </c>
      <c r="X605" s="10">
        <f>IFERROR(__xludf.DUMMYFUNCTION("""COMPUTED_VALUE"""),2.0)</f>
        <v>2</v>
      </c>
      <c r="Y605" s="10">
        <f>IFERROR(__xludf.DUMMYFUNCTION("""COMPUTED_VALUE"""),4.0)</f>
        <v>4</v>
      </c>
      <c r="Z605" s="10">
        <f>IFERROR(__xludf.DUMMYFUNCTION("""COMPUTED_VALUE"""),4.0)</f>
        <v>4</v>
      </c>
      <c r="AA605" s="10">
        <f>IFERROR(__xludf.DUMMYFUNCTION("""COMPUTED_VALUE"""),5.0)</f>
        <v>5</v>
      </c>
      <c r="AB605" s="10">
        <f>IFERROR(__xludf.DUMMYFUNCTION("""COMPUTED_VALUE"""),5.0)</f>
        <v>5</v>
      </c>
      <c r="AC605" s="10">
        <f>IFERROR(__xludf.DUMMYFUNCTION("""COMPUTED_VALUE"""),5.0)</f>
        <v>5</v>
      </c>
      <c r="AD605" s="10">
        <f>IFERROR(__xludf.DUMMYFUNCTION("""COMPUTED_VALUE"""),1.0)</f>
        <v>1</v>
      </c>
      <c r="AE605" s="10">
        <f>IFERROR(__xludf.DUMMYFUNCTION("""COMPUTED_VALUE"""),0.0)</f>
        <v>0</v>
      </c>
      <c r="AF605" s="10">
        <f>IFERROR(__xludf.DUMMYFUNCTION("""COMPUTED_VALUE"""),0.0)</f>
        <v>0</v>
      </c>
      <c r="AG605" s="10">
        <f>IFERROR(__xludf.DUMMYFUNCTION("""COMPUTED_VALUE"""),8.0)</f>
        <v>8</v>
      </c>
      <c r="AH605" s="10">
        <f>IFERROR(__xludf.DUMMYFUNCTION("""COMPUTED_VALUE"""),1.0)</f>
        <v>1</v>
      </c>
      <c r="AI605" s="10">
        <f>IFERROR(__xludf.DUMMYFUNCTION("""COMPUTED_VALUE"""),9.0)</f>
        <v>9</v>
      </c>
      <c r="AJ605" s="11" t="str">
        <f>IFERROR(__xludf.DUMMYFUNCTION("""COMPUTED_VALUE"""),"https://drive.google.com/open?id=1ptCjnS4nZETvwonRVtVh7jqXfXc1x0F6")</f>
        <v>https://drive.google.com/open?id=1ptCjnS4nZETvwonRVtVh7jqXfXc1x0F6</v>
      </c>
      <c r="AK605" s="12"/>
      <c r="AL605" s="12" t="str">
        <f>IFERROR(__xludf.DUMMYFUNCTION("""COMPUTED_VALUE"""),"Yes")</f>
        <v>Yes</v>
      </c>
      <c r="AM605" s="15">
        <f>IFERROR(__xludf.DUMMYFUNCTION("""COMPUTED_VALUE"""),0.1)</f>
        <v>0.1</v>
      </c>
      <c r="AN605" s="12" t="str">
        <f>IFERROR(__xludf.DUMMYFUNCTION("""COMPUTED_VALUE"""),"2nd week")</f>
        <v>2nd week</v>
      </c>
      <c r="AO605" s="13">
        <v>2.0</v>
      </c>
      <c r="AX605" s="17"/>
    </row>
    <row r="606">
      <c r="B606" s="9">
        <f>IFERROR(__xludf.DUMMYFUNCTION("""COMPUTED_VALUE"""),45894.07370197917)</f>
        <v>45894.0737</v>
      </c>
      <c r="C606" s="10" t="str">
        <f>IFERROR(__xludf.DUMMYFUNCTION("""COMPUTED_VALUE"""),"Shahid Iqbal")</f>
        <v>Shahid Iqbal</v>
      </c>
      <c r="D606" s="10" t="str">
        <f>IFERROR(__xludf.DUMMYFUNCTION("""COMPUTED_VALUE"""),"03013665049")</f>
        <v>03013665049</v>
      </c>
      <c r="E606" s="10" t="str">
        <f>IFERROR(__xludf.DUMMYFUNCTION("""COMPUTED_VALUE"""),"Jamia Masjid Bostan Aziz Bahawalpur")</f>
        <v>Jamia Masjid Bostan Aziz Bahawalpur</v>
      </c>
      <c r="F606" s="10" t="str">
        <f>IFERROR(__xludf.DUMMYFUNCTION("""COMPUTED_VALUE"""),"rthfh")</f>
        <v>rthfh</v>
      </c>
      <c r="G606" s="10" t="str">
        <f>IFERROR(__xludf.DUMMYFUNCTION("""COMPUTED_VALUE"""),"Yes")</f>
        <v>Yes</v>
      </c>
      <c r="H606" s="10">
        <f>IFERROR(__xludf.DUMMYFUNCTION("""COMPUTED_VALUE"""),0.0)</f>
        <v>0</v>
      </c>
      <c r="I606" s="10">
        <f>IFERROR(__xludf.DUMMYFUNCTION("""COMPUTED_VALUE"""),10.0)</f>
        <v>10</v>
      </c>
      <c r="J606" s="10">
        <f>IFERROR(__xludf.DUMMYFUNCTION("""COMPUTED_VALUE"""),0.0)</f>
        <v>0</v>
      </c>
      <c r="K606" s="10">
        <f>IFERROR(__xludf.DUMMYFUNCTION("""COMPUTED_VALUE"""),4.0)</f>
        <v>4</v>
      </c>
      <c r="L606" s="10">
        <f>IFERROR(__xludf.DUMMYFUNCTION("""COMPUTED_VALUE"""),0.0)</f>
        <v>0</v>
      </c>
      <c r="M606" s="10">
        <f>IFERROR(__xludf.DUMMYFUNCTION("""COMPUTED_VALUE"""),7.0)</f>
        <v>7</v>
      </c>
      <c r="N606" s="10">
        <f>IFERROR(__xludf.DUMMYFUNCTION("""COMPUTED_VALUE"""),0.0)</f>
        <v>0</v>
      </c>
      <c r="O606" s="10">
        <f>IFERROR(__xludf.DUMMYFUNCTION("""COMPUTED_VALUE"""),0.0)</f>
        <v>0</v>
      </c>
      <c r="P606" s="10">
        <f>IFERROR(__xludf.DUMMYFUNCTION("""COMPUTED_VALUE"""),0.0)</f>
        <v>0</v>
      </c>
      <c r="Q606" s="10" t="str">
        <f>IFERROR(__xludf.DUMMYFUNCTION("""COMPUTED_VALUE"""),"No")</f>
        <v>No</v>
      </c>
      <c r="R606" s="10" t="str">
        <f>IFERROR(__xludf.DUMMYFUNCTION("""COMPUTED_VALUE"""),"No")</f>
        <v>No</v>
      </c>
      <c r="S606" s="10" t="str">
        <f>IFERROR(__xludf.DUMMYFUNCTION("""COMPUTED_VALUE"""),"No")</f>
        <v>No</v>
      </c>
      <c r="T606" s="10">
        <f>IFERROR(__xludf.DUMMYFUNCTION("""COMPUTED_VALUE"""),0.0)</f>
        <v>0</v>
      </c>
      <c r="U606" s="10">
        <f>IFERROR(__xludf.DUMMYFUNCTION("""COMPUTED_VALUE"""),0.0)</f>
        <v>0</v>
      </c>
      <c r="V606" s="10" t="str">
        <f>IFERROR(__xludf.DUMMYFUNCTION("""COMPUTED_VALUE"""),"islam ma khawateen k haqooq")</f>
        <v>islam ma khawateen k haqooq</v>
      </c>
      <c r="W606" s="10" t="str">
        <f>IFERROR(__xludf.DUMMYFUNCTION("""COMPUTED_VALUE"""),"islam ma khawateen k haqooq")</f>
        <v>islam ma khawateen k haqooq</v>
      </c>
      <c r="X606" s="10">
        <f>IFERROR(__xludf.DUMMYFUNCTION("""COMPUTED_VALUE"""),2.0)</f>
        <v>2</v>
      </c>
      <c r="Y606" s="10">
        <f>IFERROR(__xludf.DUMMYFUNCTION("""COMPUTED_VALUE"""),4.0)</f>
        <v>4</v>
      </c>
      <c r="Z606" s="10">
        <f>IFERROR(__xludf.DUMMYFUNCTION("""COMPUTED_VALUE"""),4.0)</f>
        <v>4</v>
      </c>
      <c r="AA606" s="10">
        <f>IFERROR(__xludf.DUMMYFUNCTION("""COMPUTED_VALUE"""),6.0)</f>
        <v>6</v>
      </c>
      <c r="AB606" s="10">
        <f>IFERROR(__xludf.DUMMYFUNCTION("""COMPUTED_VALUE"""),3.0)</f>
        <v>3</v>
      </c>
      <c r="AC606" s="10">
        <f>IFERROR(__xludf.DUMMYFUNCTION("""COMPUTED_VALUE"""),0.0)</f>
        <v>0</v>
      </c>
      <c r="AD606" s="10">
        <f>IFERROR(__xludf.DUMMYFUNCTION("""COMPUTED_VALUE"""),0.0)</f>
        <v>0</v>
      </c>
      <c r="AE606" s="10">
        <f>IFERROR(__xludf.DUMMYFUNCTION("""COMPUTED_VALUE"""),0.0)</f>
        <v>0</v>
      </c>
      <c r="AF606" s="10">
        <f>IFERROR(__xludf.DUMMYFUNCTION("""COMPUTED_VALUE"""),0.0)</f>
        <v>0</v>
      </c>
      <c r="AG606" s="10">
        <f>IFERROR(__xludf.DUMMYFUNCTION("""COMPUTED_VALUE"""),9.0)</f>
        <v>9</v>
      </c>
      <c r="AH606" s="10">
        <f>IFERROR(__xludf.DUMMYFUNCTION("""COMPUTED_VALUE"""),0.0)</f>
        <v>0</v>
      </c>
      <c r="AI606" s="10">
        <f>IFERROR(__xludf.DUMMYFUNCTION("""COMPUTED_VALUE"""),7.0)</f>
        <v>7</v>
      </c>
      <c r="AJ606" s="11" t="str">
        <f>IFERROR(__xludf.DUMMYFUNCTION("""COMPUTED_VALUE"""),"https://drive.google.com/open?id=1C73fO57KLPlGfFETqRBw5HnYlL4sKDxD")</f>
        <v>https://drive.google.com/open?id=1C73fO57KLPlGfFETqRBw5HnYlL4sKDxD</v>
      </c>
      <c r="AK606" s="12"/>
      <c r="AL606" s="12" t="str">
        <f>IFERROR(__xludf.DUMMYFUNCTION("""COMPUTED_VALUE"""),"Yes")</f>
        <v>Yes</v>
      </c>
      <c r="AM606" s="15">
        <f>IFERROR(__xludf.DUMMYFUNCTION("""COMPUTED_VALUE"""),0.0)</f>
        <v>0</v>
      </c>
      <c r="AN606" s="12" t="str">
        <f>IFERROR(__xludf.DUMMYFUNCTION("""COMPUTED_VALUE"""),"3rd week")</f>
        <v>3rd week</v>
      </c>
      <c r="AO606" s="13">
        <v>3.0</v>
      </c>
      <c r="AX606" s="17"/>
    </row>
    <row r="607">
      <c r="B607" s="9">
        <f>IFERROR(__xludf.DUMMYFUNCTION("""COMPUTED_VALUE"""),45894.08131046296)</f>
        <v>45894.08131</v>
      </c>
      <c r="C607" s="10" t="str">
        <f>IFERROR(__xludf.DUMMYFUNCTION("""COMPUTED_VALUE"""),"Shahid iqbal")</f>
        <v>Shahid iqbal</v>
      </c>
      <c r="D607" s="10" t="str">
        <f>IFERROR(__xludf.DUMMYFUNCTION("""COMPUTED_VALUE"""),"03013655049")</f>
        <v>03013655049</v>
      </c>
      <c r="E607" s="10" t="str">
        <f>IFERROR(__xludf.DUMMYFUNCTION("""COMPUTED_VALUE"""),"Jamia Masjid Ghawajagaan Multan")</f>
        <v>Jamia Masjid Ghawajagaan Multan</v>
      </c>
      <c r="F607" s="10" t="str">
        <f>IFERROR(__xludf.DUMMYFUNCTION("""COMPUTED_VALUE"""),"cfhon")</f>
        <v>cfhon</v>
      </c>
      <c r="G607" s="10" t="str">
        <f>IFERROR(__xludf.DUMMYFUNCTION("""COMPUTED_VALUE"""),"Yes")</f>
        <v>Yes</v>
      </c>
      <c r="H607" s="10">
        <f>IFERROR(__xludf.DUMMYFUNCTION("""COMPUTED_VALUE"""),0.0)</f>
        <v>0</v>
      </c>
      <c r="I607" s="10">
        <f>IFERROR(__xludf.DUMMYFUNCTION("""COMPUTED_VALUE"""),10.0)</f>
        <v>10</v>
      </c>
      <c r="J607" s="10">
        <f>IFERROR(__xludf.DUMMYFUNCTION("""COMPUTED_VALUE"""),0.0)</f>
        <v>0</v>
      </c>
      <c r="K607" s="10">
        <f>IFERROR(__xludf.DUMMYFUNCTION("""COMPUTED_VALUE"""),0.0)</f>
        <v>0</v>
      </c>
      <c r="L607" s="10">
        <f>IFERROR(__xludf.DUMMYFUNCTION("""COMPUTED_VALUE"""),0.0)</f>
        <v>0</v>
      </c>
      <c r="M607" s="10">
        <f>IFERROR(__xludf.DUMMYFUNCTION("""COMPUTED_VALUE"""),0.0)</f>
        <v>0</v>
      </c>
      <c r="N607" s="10">
        <f>IFERROR(__xludf.DUMMYFUNCTION("""COMPUTED_VALUE"""),0.0)</f>
        <v>0</v>
      </c>
      <c r="O607" s="10">
        <f>IFERROR(__xludf.DUMMYFUNCTION("""COMPUTED_VALUE"""),0.0)</f>
        <v>0</v>
      </c>
      <c r="P607" s="10">
        <f>IFERROR(__xludf.DUMMYFUNCTION("""COMPUTED_VALUE"""),0.0)</f>
        <v>0</v>
      </c>
      <c r="Q607" s="10" t="str">
        <f>IFERROR(__xludf.DUMMYFUNCTION("""COMPUTED_VALUE"""),"No")</f>
        <v>No</v>
      </c>
      <c r="R607" s="10" t="str">
        <f>IFERROR(__xludf.DUMMYFUNCTION("""COMPUTED_VALUE"""),"No")</f>
        <v>No</v>
      </c>
      <c r="S607" s="10" t="str">
        <f>IFERROR(__xludf.DUMMYFUNCTION("""COMPUTED_VALUE"""),"No")</f>
        <v>No</v>
      </c>
      <c r="T607" s="10">
        <f>IFERROR(__xludf.DUMMYFUNCTION("""COMPUTED_VALUE"""),0.0)</f>
        <v>0</v>
      </c>
      <c r="U607" s="10">
        <f>IFERROR(__xludf.DUMMYFUNCTION("""COMPUTED_VALUE"""),0.0)</f>
        <v>0</v>
      </c>
      <c r="V607" s="10" t="str">
        <f>IFERROR(__xludf.DUMMYFUNCTION("""COMPUTED_VALUE"""),"waldain ki islam ma azmat")</f>
        <v>waldain ki islam ma azmat</v>
      </c>
      <c r="W607" s="10" t="str">
        <f>IFERROR(__xludf.DUMMYFUNCTION("""COMPUTED_VALUE"""),"waldain k aulad per haqooq ur momneen k fraiz o zimadarian
")</f>
        <v>waldain k aulad per haqooq ur momneen k fraiz o zimadarian
</v>
      </c>
      <c r="X607" s="10">
        <f>IFERROR(__xludf.DUMMYFUNCTION("""COMPUTED_VALUE"""),4.0)</f>
        <v>4</v>
      </c>
      <c r="Y607" s="10">
        <f>IFERROR(__xludf.DUMMYFUNCTION("""COMPUTED_VALUE"""),5.0)</f>
        <v>5</v>
      </c>
      <c r="Z607" s="10">
        <f>IFERROR(__xludf.DUMMYFUNCTION("""COMPUTED_VALUE"""),5.0)</f>
        <v>5</v>
      </c>
      <c r="AA607" s="10">
        <f>IFERROR(__xludf.DUMMYFUNCTION("""COMPUTED_VALUE"""),6.0)</f>
        <v>6</v>
      </c>
      <c r="AB607" s="10">
        <f>IFERROR(__xludf.DUMMYFUNCTION("""COMPUTED_VALUE"""),3.0)</f>
        <v>3</v>
      </c>
      <c r="AC607" s="10">
        <f>IFERROR(__xludf.DUMMYFUNCTION("""COMPUTED_VALUE"""),0.0)</f>
        <v>0</v>
      </c>
      <c r="AD607" s="10">
        <f>IFERROR(__xludf.DUMMYFUNCTION("""COMPUTED_VALUE"""),0.0)</f>
        <v>0</v>
      </c>
      <c r="AE607" s="10">
        <f>IFERROR(__xludf.DUMMYFUNCTION("""COMPUTED_VALUE"""),0.0)</f>
        <v>0</v>
      </c>
      <c r="AF607" s="10">
        <f>IFERROR(__xludf.DUMMYFUNCTION("""COMPUTED_VALUE"""),0.0)</f>
        <v>0</v>
      </c>
      <c r="AG607" s="10">
        <f>IFERROR(__xludf.DUMMYFUNCTION("""COMPUTED_VALUE"""),10.0)</f>
        <v>10</v>
      </c>
      <c r="AH607" s="10">
        <f>IFERROR(__xludf.DUMMYFUNCTION("""COMPUTED_VALUE"""),0.0)</f>
        <v>0</v>
      </c>
      <c r="AI607" s="10">
        <f>IFERROR(__xludf.DUMMYFUNCTION("""COMPUTED_VALUE"""),10.0)</f>
        <v>10</v>
      </c>
      <c r="AJ607" s="11" t="str">
        <f>IFERROR(__xludf.DUMMYFUNCTION("""COMPUTED_VALUE"""),"https://drive.google.com/open?id=1MPOl0DYx7CukwzSpnlR49xCvZqGra1U0")</f>
        <v>https://drive.google.com/open?id=1MPOl0DYx7CukwzSpnlR49xCvZqGra1U0</v>
      </c>
      <c r="AK607" s="12"/>
      <c r="AL607" s="12" t="str">
        <f>IFERROR(__xludf.DUMMYFUNCTION("""COMPUTED_VALUE"""),"Yes")</f>
        <v>Yes</v>
      </c>
      <c r="AM607" s="15">
        <f>IFERROR(__xludf.DUMMYFUNCTION("""COMPUTED_VALUE"""),0.0)</f>
        <v>0</v>
      </c>
      <c r="AN607" s="12" t="str">
        <f>IFERROR(__xludf.DUMMYFUNCTION("""COMPUTED_VALUE"""),"3rd week")</f>
        <v>3rd week</v>
      </c>
      <c r="AO607" s="13">
        <v>3.0</v>
      </c>
      <c r="AX607" s="17"/>
    </row>
    <row r="608">
      <c r="B608" s="9">
        <f>IFERROR(__xludf.DUMMYFUNCTION("""COMPUTED_VALUE"""),45894.085859548606)</f>
        <v>45894.08586</v>
      </c>
      <c r="C608" s="10" t="str">
        <f>IFERROR(__xludf.DUMMYFUNCTION("""COMPUTED_VALUE"""),"Shahid iqbal")</f>
        <v>Shahid iqbal</v>
      </c>
      <c r="D608" s="10" t="str">
        <f>IFERROR(__xludf.DUMMYFUNCTION("""COMPUTED_VALUE"""),"03013665049")</f>
        <v>03013665049</v>
      </c>
      <c r="E608" s="10" t="str">
        <f>IFERROR(__xludf.DUMMYFUNCTION("""COMPUTED_VALUE"""),"Jamia Masjid Madina Bohar Gate Multan")</f>
        <v>Jamia Masjid Madina Bohar Gate Multan</v>
      </c>
      <c r="F608" s="10" t="str">
        <f>IFERROR(__xludf.DUMMYFUNCTION("""COMPUTED_VALUE"""),"ukyke")</f>
        <v>ukyke</v>
      </c>
      <c r="G608" s="10" t="str">
        <f>IFERROR(__xludf.DUMMYFUNCTION("""COMPUTED_VALUE"""),"Yes")</f>
        <v>Yes</v>
      </c>
      <c r="H608" s="10">
        <f>IFERROR(__xludf.DUMMYFUNCTION("""COMPUTED_VALUE"""),0.0)</f>
        <v>0</v>
      </c>
      <c r="I608" s="10">
        <f>IFERROR(__xludf.DUMMYFUNCTION("""COMPUTED_VALUE"""),10.0)</f>
        <v>10</v>
      </c>
      <c r="J608" s="10">
        <f>IFERROR(__xludf.DUMMYFUNCTION("""COMPUTED_VALUE"""),0.0)</f>
        <v>0</v>
      </c>
      <c r="K608" s="10">
        <f>IFERROR(__xludf.DUMMYFUNCTION("""COMPUTED_VALUE"""),0.0)</f>
        <v>0</v>
      </c>
      <c r="L608" s="10">
        <f>IFERROR(__xludf.DUMMYFUNCTION("""COMPUTED_VALUE"""),0.0)</f>
        <v>0</v>
      </c>
      <c r="M608" s="10">
        <f>IFERROR(__xludf.DUMMYFUNCTION("""COMPUTED_VALUE"""),0.0)</f>
        <v>0</v>
      </c>
      <c r="N608" s="10">
        <f>IFERROR(__xludf.DUMMYFUNCTION("""COMPUTED_VALUE"""),0.0)</f>
        <v>0</v>
      </c>
      <c r="O608" s="10">
        <f>IFERROR(__xludf.DUMMYFUNCTION("""COMPUTED_VALUE"""),0.0)</f>
        <v>0</v>
      </c>
      <c r="P608" s="10">
        <f>IFERROR(__xludf.DUMMYFUNCTION("""COMPUTED_VALUE"""),0.0)</f>
        <v>0</v>
      </c>
      <c r="Q608" s="10" t="str">
        <f>IFERROR(__xludf.DUMMYFUNCTION("""COMPUTED_VALUE"""),"No")</f>
        <v>No</v>
      </c>
      <c r="R608" s="10" t="str">
        <f>IFERROR(__xludf.DUMMYFUNCTION("""COMPUTED_VALUE"""),"No")</f>
        <v>No</v>
      </c>
      <c r="S608" s="10" t="str">
        <f>IFERROR(__xludf.DUMMYFUNCTION("""COMPUTED_VALUE"""),"No")</f>
        <v>No</v>
      </c>
      <c r="T608" s="10">
        <f>IFERROR(__xludf.DUMMYFUNCTION("""COMPUTED_VALUE"""),0.0)</f>
        <v>0</v>
      </c>
      <c r="U608" s="10">
        <f>IFERROR(__xludf.DUMMYFUNCTION("""COMPUTED_VALUE"""),0.0)</f>
        <v>0</v>
      </c>
      <c r="V608" s="10" t="str">
        <f>IFERROR(__xludf.DUMMYFUNCTION("""COMPUTED_VALUE"""),"Youm e pakistan 14th august")</f>
        <v>Youm e pakistan 14th august</v>
      </c>
      <c r="W608" s="10" t="str">
        <f>IFERROR(__xludf.DUMMYFUNCTION("""COMPUTED_VALUE"""),"Youm e pakistan 14th august aur muslamon ki qurbanian")</f>
        <v>Youm e pakistan 14th august aur muslamon ki qurbanian</v>
      </c>
      <c r="X608" s="10">
        <f>IFERROR(__xludf.DUMMYFUNCTION("""COMPUTED_VALUE"""),3.0)</f>
        <v>3</v>
      </c>
      <c r="Y608" s="10">
        <f>IFERROR(__xludf.DUMMYFUNCTION("""COMPUTED_VALUE"""),7.0)</f>
        <v>7</v>
      </c>
      <c r="Z608" s="10">
        <f>IFERROR(__xludf.DUMMYFUNCTION("""COMPUTED_VALUE"""),7.0)</f>
        <v>7</v>
      </c>
      <c r="AA608" s="10">
        <f>IFERROR(__xludf.DUMMYFUNCTION("""COMPUTED_VALUE"""),3.0)</f>
        <v>3</v>
      </c>
      <c r="AB608" s="10">
        <f>IFERROR(__xludf.DUMMYFUNCTION("""COMPUTED_VALUE"""),7.0)</f>
        <v>7</v>
      </c>
      <c r="AC608" s="10">
        <f>IFERROR(__xludf.DUMMYFUNCTION("""COMPUTED_VALUE"""),6.0)</f>
        <v>6</v>
      </c>
      <c r="AD608" s="10">
        <f>IFERROR(__xludf.DUMMYFUNCTION("""COMPUTED_VALUE"""),2.0)</f>
        <v>2</v>
      </c>
      <c r="AE608" s="10">
        <f>IFERROR(__xludf.DUMMYFUNCTION("""COMPUTED_VALUE"""),0.0)</f>
        <v>0</v>
      </c>
      <c r="AF608" s="10">
        <f>IFERROR(__xludf.DUMMYFUNCTION("""COMPUTED_VALUE"""),0.0)</f>
        <v>0</v>
      </c>
      <c r="AG608" s="10">
        <f>IFERROR(__xludf.DUMMYFUNCTION("""COMPUTED_VALUE"""),10.0)</f>
        <v>10</v>
      </c>
      <c r="AH608" s="10">
        <f>IFERROR(__xludf.DUMMYFUNCTION("""COMPUTED_VALUE"""),0.0)</f>
        <v>0</v>
      </c>
      <c r="AI608" s="10">
        <f>IFERROR(__xludf.DUMMYFUNCTION("""COMPUTED_VALUE"""),10.0)</f>
        <v>10</v>
      </c>
      <c r="AJ608" s="11" t="str">
        <f>IFERROR(__xludf.DUMMYFUNCTION("""COMPUTED_VALUE"""),"https://drive.google.com/open?id=1AfS10l0CzZRU1TcHy6QqgidaOAdwSJEr")</f>
        <v>https://drive.google.com/open?id=1AfS10l0CzZRU1TcHy6QqgidaOAdwSJEr</v>
      </c>
      <c r="AK608" s="12"/>
      <c r="AL608" s="12" t="str">
        <f>IFERROR(__xludf.DUMMYFUNCTION("""COMPUTED_VALUE"""),"Yes")</f>
        <v>Yes</v>
      </c>
      <c r="AM608" s="15">
        <f>IFERROR(__xludf.DUMMYFUNCTION("""COMPUTED_VALUE"""),0.0)</f>
        <v>0</v>
      </c>
      <c r="AN608" s="12" t="str">
        <f>IFERROR(__xludf.DUMMYFUNCTION("""COMPUTED_VALUE"""),"3rd week")</f>
        <v>3rd week</v>
      </c>
      <c r="AO608" s="13">
        <v>3.0</v>
      </c>
      <c r="AX608" s="17"/>
    </row>
    <row r="609">
      <c r="B609" s="9">
        <f>IFERROR(__xludf.DUMMYFUNCTION("""COMPUTED_VALUE"""),45894.0991440162)</f>
        <v>45894.09914</v>
      </c>
      <c r="C609" s="10" t="str">
        <f>IFERROR(__xludf.DUMMYFUNCTION("""COMPUTED_VALUE"""),"Atiqa")</f>
        <v>Atiqa</v>
      </c>
      <c r="D609" s="10" t="str">
        <f>IFERROR(__xludf.DUMMYFUNCTION("""COMPUTED_VALUE"""),"03157519977")</f>
        <v>03157519977</v>
      </c>
      <c r="E609" s="10" t="str">
        <f>IFERROR(__xludf.DUMMYFUNCTION("""COMPUTED_VALUE"""),"Jamia Masjid Peer Ismail Multan ")</f>
        <v>Jamia Masjid Peer Ismail Multan </v>
      </c>
      <c r="F609" s="10" t="str">
        <f>IFERROR(__xludf.DUMMYFUNCTION("""COMPUTED_VALUE"""),"dyrjs")</f>
        <v>dyrjs</v>
      </c>
      <c r="G609" s="10" t="str">
        <f>IFERROR(__xludf.DUMMYFUNCTION("""COMPUTED_VALUE"""),"Yes")</f>
        <v>Yes</v>
      </c>
      <c r="H609" s="10">
        <f>IFERROR(__xludf.DUMMYFUNCTION("""COMPUTED_VALUE"""),0.0)</f>
        <v>0</v>
      </c>
      <c r="I609" s="10">
        <f>IFERROR(__xludf.DUMMYFUNCTION("""COMPUTED_VALUE"""),10.0)</f>
        <v>10</v>
      </c>
      <c r="J609" s="10">
        <f>IFERROR(__xludf.DUMMYFUNCTION("""COMPUTED_VALUE"""),0.0)</f>
        <v>0</v>
      </c>
      <c r="K609" s="10">
        <f>IFERROR(__xludf.DUMMYFUNCTION("""COMPUTED_VALUE"""),0.0)</f>
        <v>0</v>
      </c>
      <c r="L609" s="10">
        <f>IFERROR(__xludf.DUMMYFUNCTION("""COMPUTED_VALUE"""),0.0)</f>
        <v>0</v>
      </c>
      <c r="M609" s="10">
        <f>IFERROR(__xludf.DUMMYFUNCTION("""COMPUTED_VALUE"""),0.0)</f>
        <v>0</v>
      </c>
      <c r="N609" s="10">
        <f>IFERROR(__xludf.DUMMYFUNCTION("""COMPUTED_VALUE"""),0.0)</f>
        <v>0</v>
      </c>
      <c r="O609" s="10">
        <f>IFERROR(__xludf.DUMMYFUNCTION("""COMPUTED_VALUE"""),0.0)</f>
        <v>0</v>
      </c>
      <c r="P609" s="10">
        <f>IFERROR(__xludf.DUMMYFUNCTION("""COMPUTED_VALUE"""),0.0)</f>
        <v>0</v>
      </c>
      <c r="Q609" s="10" t="str">
        <f>IFERROR(__xludf.DUMMYFUNCTION("""COMPUTED_VALUE"""),"No")</f>
        <v>No</v>
      </c>
      <c r="R609" s="10" t="str">
        <f>IFERROR(__xludf.DUMMYFUNCTION("""COMPUTED_VALUE"""),"No")</f>
        <v>No</v>
      </c>
      <c r="S609" s="10" t="str">
        <f>IFERROR(__xludf.DUMMYFUNCTION("""COMPUTED_VALUE"""),"No")</f>
        <v>No</v>
      </c>
      <c r="T609" s="10">
        <f>IFERROR(__xludf.DUMMYFUNCTION("""COMPUTED_VALUE"""),0.0)</f>
        <v>0</v>
      </c>
      <c r="U609" s="10">
        <f>IFERROR(__xludf.DUMMYFUNCTION("""COMPUTED_VALUE"""),0.0)</f>
        <v>0</v>
      </c>
      <c r="V609" s="10" t="str">
        <f>IFERROR(__xludf.DUMMYFUNCTION("""COMPUTED_VALUE""")," اللہ کی محبت حاصل کرنا اور اتباع رسول صلی اللہ علیہ وسلم ")</f>
        <v> اللہ کی محبت حاصل کرنا اور اتباع رسول صلی اللہ علیہ وسلم </v>
      </c>
      <c r="W609" s="10" t="str">
        <f>IFERROR(__xludf.DUMMYFUNCTION("""COMPUTED_VALUE"""),"اللہ کی محبت حاصل کرنے کے لیے محمد صلی اللہ علیہ وسلم کی اتباع کرنا  اور صحابہ کرام رضی اللہ تعالی عنہ کا محمد صلی اللہ علیہ وسلم سے محبت میں سب کچھ نچھاور اور قربان کرنا ، علی المرتضی رضی اللہ تعالی عنہ کا خیبر فتح کرنا اور حضور صلی اللہ علیہ وسلم کا عثم"&amp;"ان غنی رضی اللہ تعالی عنہ سے حیا کرنا ، ابو حنیفہ رضی اللہ تعالی عنہ کا اپ کے اتباع میں قربان ہونا اور بخاری رحمت اللہ کی کتاب کو قران کے بعد درجہ ملنا ، حضور اکرم صلی اللہ علیہ وسلم کا عمر رضی اللہ تعالی عنہ کو یمن کے اویس قرنی رضی اللہ تعالی عنہ سے دعا "&amp;"کروانے کا کہنا ، مسجد میں جمعہ کے دن پہلے دوسرے اور تیسرے نمبر پر انے والے کو اجر ، مسجد اللہ کا گھر اور انہیں اباد کرنا بیان کیا گیا ۔ ")</f>
        <v>اللہ کی محبت حاصل کرنے کے لیے محمد صلی اللہ علیہ وسلم کی اتباع کرنا  اور صحابہ کرام رضی اللہ تعالی عنہ کا محمد صلی اللہ علیہ وسلم سے محبت میں سب کچھ نچھاور اور قربان کرنا ، علی المرتضی رضی اللہ تعالی عنہ کا خیبر فتح کرنا اور حضور صلی اللہ علیہ وسلم کا عثمان غنی رضی اللہ تعالی عنہ سے حیا کرنا ، ابو حنیفہ رضی اللہ تعالی عنہ کا اپ کے اتباع میں قربان ہونا اور بخاری رحمت اللہ کی کتاب کو قران کے بعد درجہ ملنا ، حضور اکرم صلی اللہ علیہ وسلم کا عمر رضی اللہ تعالی عنہ کو یمن کے اویس قرنی رضی اللہ تعالی عنہ سے دعا کروانے کا کہنا ، مسجد میں جمعہ کے دن پہلے دوسرے اور تیسرے نمبر پر انے والے کو اجر ، مسجد اللہ کا گھر اور انہیں اباد کرنا بیان کیا گیا ۔ </v>
      </c>
      <c r="X609" s="10">
        <f>IFERROR(__xludf.DUMMYFUNCTION("""COMPUTED_VALUE"""),3.0)</f>
        <v>3</v>
      </c>
      <c r="Y609" s="10">
        <f>IFERROR(__xludf.DUMMYFUNCTION("""COMPUTED_VALUE"""),4.0)</f>
        <v>4</v>
      </c>
      <c r="Z609" s="10">
        <f>IFERROR(__xludf.DUMMYFUNCTION("""COMPUTED_VALUE"""),1.0)</f>
        <v>1</v>
      </c>
      <c r="AA609" s="10">
        <f>IFERROR(__xludf.DUMMYFUNCTION("""COMPUTED_VALUE"""),9.0)</f>
        <v>9</v>
      </c>
      <c r="AB609" s="10">
        <f>IFERROR(__xludf.DUMMYFUNCTION("""COMPUTED_VALUE"""),8.0)</f>
        <v>8</v>
      </c>
      <c r="AC609" s="10">
        <f>IFERROR(__xludf.DUMMYFUNCTION("""COMPUTED_VALUE"""),0.0)</f>
        <v>0</v>
      </c>
      <c r="AD609" s="10">
        <f>IFERROR(__xludf.DUMMYFUNCTION("""COMPUTED_VALUE"""),0.0)</f>
        <v>0</v>
      </c>
      <c r="AE609" s="10">
        <f>IFERROR(__xludf.DUMMYFUNCTION("""COMPUTED_VALUE"""),0.0)</f>
        <v>0</v>
      </c>
      <c r="AF609" s="10">
        <f>IFERROR(__xludf.DUMMYFUNCTION("""COMPUTED_VALUE"""),0.0)</f>
        <v>0</v>
      </c>
      <c r="AG609" s="10">
        <f>IFERROR(__xludf.DUMMYFUNCTION("""COMPUTED_VALUE"""),9.0)</f>
        <v>9</v>
      </c>
      <c r="AH609" s="10">
        <f>IFERROR(__xludf.DUMMYFUNCTION("""COMPUTED_VALUE"""),0.0)</f>
        <v>0</v>
      </c>
      <c r="AI609" s="10">
        <f>IFERROR(__xludf.DUMMYFUNCTION("""COMPUTED_VALUE"""),9.0)</f>
        <v>9</v>
      </c>
      <c r="AJ609" s="11" t="str">
        <f>IFERROR(__xludf.DUMMYFUNCTION("""COMPUTED_VALUE"""),"https://drive.google.com/open?id=1KhVbasfFKDEsxZhvHcUOPj8U-Wsd365aay_fi922XHQ")</f>
        <v>https://drive.google.com/open?id=1KhVbasfFKDEsxZhvHcUOPj8U-Wsd365aay_fi922XHQ</v>
      </c>
      <c r="AK609" s="12"/>
      <c r="AL609" s="12" t="str">
        <f>IFERROR(__xludf.DUMMYFUNCTION("""COMPUTED_VALUE"""),"Yes")</f>
        <v>Yes</v>
      </c>
      <c r="AM609" s="15">
        <f>IFERROR(__xludf.DUMMYFUNCTION("""COMPUTED_VALUE"""),0.0)</f>
        <v>0</v>
      </c>
      <c r="AN609" s="12" t="str">
        <f>IFERROR(__xludf.DUMMYFUNCTION("""COMPUTED_VALUE"""),"1st week")</f>
        <v>1st week</v>
      </c>
      <c r="AO609" s="13">
        <v>1.0</v>
      </c>
      <c r="AX609" s="17"/>
    </row>
    <row r="610">
      <c r="B610" s="9">
        <f>IFERROR(__xludf.DUMMYFUNCTION("""COMPUTED_VALUE"""),45894.105018946764)</f>
        <v>45894.10502</v>
      </c>
      <c r="C610" s="10" t="str">
        <f>IFERROR(__xludf.DUMMYFUNCTION("""COMPUTED_VALUE"""),"Atiqa")</f>
        <v>Atiqa</v>
      </c>
      <c r="D610" s="10" t="str">
        <f>IFERROR(__xludf.DUMMYFUNCTION("""COMPUTED_VALUE"""),"03157519977")</f>
        <v>03157519977</v>
      </c>
      <c r="E610" s="10" t="str">
        <f>IFERROR(__xludf.DUMMYFUNCTION("""COMPUTED_VALUE"""),"Jamia Masjid Mahdum Rasheed Haqani Multan")</f>
        <v>Jamia Masjid Mahdum Rasheed Haqani Multan</v>
      </c>
      <c r="F610" s="10" t="str">
        <f>IFERROR(__xludf.DUMMYFUNCTION("""COMPUTED_VALUE"""),"dqmjv")</f>
        <v>dqmjv</v>
      </c>
      <c r="G610" s="10" t="str">
        <f>IFERROR(__xludf.DUMMYFUNCTION("""COMPUTED_VALUE"""),"Yes")</f>
        <v>Yes</v>
      </c>
      <c r="H610" s="10">
        <f>IFERROR(__xludf.DUMMYFUNCTION("""COMPUTED_VALUE"""),0.0)</f>
        <v>0</v>
      </c>
      <c r="I610" s="10">
        <f>IFERROR(__xludf.DUMMYFUNCTION("""COMPUTED_VALUE"""),10.0)</f>
        <v>10</v>
      </c>
      <c r="J610" s="10">
        <f>IFERROR(__xludf.DUMMYFUNCTION("""COMPUTED_VALUE"""),0.0)</f>
        <v>0</v>
      </c>
      <c r="K610" s="10">
        <f>IFERROR(__xludf.DUMMYFUNCTION("""COMPUTED_VALUE"""),0.0)</f>
        <v>0</v>
      </c>
      <c r="L610" s="10">
        <f>IFERROR(__xludf.DUMMYFUNCTION("""COMPUTED_VALUE"""),2.0)</f>
        <v>2</v>
      </c>
      <c r="M610" s="10">
        <f>IFERROR(__xludf.DUMMYFUNCTION("""COMPUTED_VALUE"""),0.0)</f>
        <v>0</v>
      </c>
      <c r="N610" s="10">
        <f>IFERROR(__xludf.DUMMYFUNCTION("""COMPUTED_VALUE"""),2.0)</f>
        <v>2</v>
      </c>
      <c r="O610" s="10">
        <f>IFERROR(__xludf.DUMMYFUNCTION("""COMPUTED_VALUE"""),0.0)</f>
        <v>0</v>
      </c>
      <c r="P610" s="10">
        <f>IFERROR(__xludf.DUMMYFUNCTION("""COMPUTED_VALUE"""),0.0)</f>
        <v>0</v>
      </c>
      <c r="Q610" s="10" t="str">
        <f>IFERROR(__xludf.DUMMYFUNCTION("""COMPUTED_VALUE"""),"No")</f>
        <v>No</v>
      </c>
      <c r="R610" s="10" t="str">
        <f>IFERROR(__xludf.DUMMYFUNCTION("""COMPUTED_VALUE"""),"No")</f>
        <v>No</v>
      </c>
      <c r="S610" s="10" t="str">
        <f>IFERROR(__xludf.DUMMYFUNCTION("""COMPUTED_VALUE"""),"No")</f>
        <v>No</v>
      </c>
      <c r="T610" s="10">
        <f>IFERROR(__xludf.DUMMYFUNCTION("""COMPUTED_VALUE"""),0.0)</f>
        <v>0</v>
      </c>
      <c r="U610" s="10">
        <f>IFERROR(__xludf.DUMMYFUNCTION("""COMPUTED_VALUE"""),0.0)</f>
        <v>0</v>
      </c>
      <c r="V610" s="10" t="str">
        <f>IFERROR(__xludf.DUMMYFUNCTION("""COMPUTED_VALUE"""),"ایمان والوں کی جزا اور خوش نصیب صحابی بلال رضی اللہ تعالی عنہ ")</f>
        <v>ایمان والوں کی جزا اور خوش نصیب صحابی بلال رضی اللہ تعالی عنہ </v>
      </c>
      <c r="W610" s="10" t="str">
        <f>IFERROR(__xludf.DUMMYFUNCTION("""COMPUTED_VALUE"""),"صحابی خوش نصیب ہیں جنہوں نے حضور صلی اللہ علیہ وسلم کی زیارت کی ، بلال رضی اللہ تعالی عنہ کا جنت کی بشارت دیے جانے والے صحابہ میں شامل ہونا اور محمد صلی اللہ علیہ وسلم کا غلام بلا رضی اللہ تعالی عنہ کی لا غر بکری کہ تھنوں سے دودھ نکالنا ، بلال رضی اللہ تع"&amp;"الی عنہ کا ایمان لانا اور کفار کا ظلم و ستم  ، ابوبکر صدیق رضی اللہ تعالی عنہ کا بلا رضی اللہ تعالی عنہ کو ازاد کروا کر محمد صلی اللہ علیہ وسلم کی خدمت میں پیش کرنا ، ہمسائے کے ساتھ اچھے رویے پر محمد صلی اللہ علیہ وسلم کا ایک عورت کو جنت کی خوشخبری دینا ا"&amp;"ور بلال رضی اللہ تعالی عنہ کو مسجد نبوی کے اول موذن کا شرف بخشنا بیان کیا گیا ۔")</f>
        <v>صحابی خوش نصیب ہیں جنہوں نے حضور صلی اللہ علیہ وسلم کی زیارت کی ، بلال رضی اللہ تعالی عنہ کا جنت کی بشارت دیے جانے والے صحابہ میں شامل ہونا اور محمد صلی اللہ علیہ وسلم کا غلام بلا رضی اللہ تعالی عنہ کی لا غر بکری کہ تھنوں سے دودھ نکالنا ، بلال رضی اللہ تعالی عنہ کا ایمان لانا اور کفار کا ظلم و ستم  ، ابوبکر صدیق رضی اللہ تعالی عنہ کا بلا رضی اللہ تعالی عنہ کو ازاد کروا کر محمد صلی اللہ علیہ وسلم کی خدمت میں پیش کرنا ، ہمسائے کے ساتھ اچھے رویے پر محمد صلی اللہ علیہ وسلم کا ایک عورت کو جنت کی خوشخبری دینا اور بلال رضی اللہ تعالی عنہ کو مسجد نبوی کے اول موذن کا شرف بخشنا بیان کیا گیا ۔</v>
      </c>
      <c r="X610" s="10">
        <f>IFERROR(__xludf.DUMMYFUNCTION("""COMPUTED_VALUE"""),0.0)</f>
        <v>0</v>
      </c>
      <c r="Y610" s="10">
        <f>IFERROR(__xludf.DUMMYFUNCTION("""COMPUTED_VALUE"""),0.0)</f>
        <v>0</v>
      </c>
      <c r="Z610" s="10">
        <f>IFERROR(__xludf.DUMMYFUNCTION("""COMPUTED_VALUE"""),1.0)</f>
        <v>1</v>
      </c>
      <c r="AA610" s="10">
        <f>IFERROR(__xludf.DUMMYFUNCTION("""COMPUTED_VALUE"""),9.0)</f>
        <v>9</v>
      </c>
      <c r="AB610" s="10">
        <f>IFERROR(__xludf.DUMMYFUNCTION("""COMPUTED_VALUE"""),8.0)</f>
        <v>8</v>
      </c>
      <c r="AC610" s="10">
        <f>IFERROR(__xludf.DUMMYFUNCTION("""COMPUTED_VALUE"""),0.0)</f>
        <v>0</v>
      </c>
      <c r="AD610" s="10">
        <f>IFERROR(__xludf.DUMMYFUNCTION("""COMPUTED_VALUE"""),0.0)</f>
        <v>0</v>
      </c>
      <c r="AE610" s="10">
        <f>IFERROR(__xludf.DUMMYFUNCTION("""COMPUTED_VALUE"""),2.0)</f>
        <v>2</v>
      </c>
      <c r="AF610" s="10">
        <f>IFERROR(__xludf.DUMMYFUNCTION("""COMPUTED_VALUE"""),0.0)</f>
        <v>0</v>
      </c>
      <c r="AG610" s="10">
        <f>IFERROR(__xludf.DUMMYFUNCTION("""COMPUTED_VALUE"""),9.0)</f>
        <v>9</v>
      </c>
      <c r="AH610" s="10">
        <f>IFERROR(__xludf.DUMMYFUNCTION("""COMPUTED_VALUE"""),0.0)</f>
        <v>0</v>
      </c>
      <c r="AI610" s="10">
        <f>IFERROR(__xludf.DUMMYFUNCTION("""COMPUTED_VALUE"""),9.0)</f>
        <v>9</v>
      </c>
      <c r="AJ610" s="11" t="str">
        <f>IFERROR(__xludf.DUMMYFUNCTION("""COMPUTED_VALUE"""),"https://drive.google.com/open?id=1UhMe5los35A7iluCY3xP0FB3rqZsI6oLRkwx_mqfY-A")</f>
        <v>https://drive.google.com/open?id=1UhMe5los35A7iluCY3xP0FB3rqZsI6oLRkwx_mqfY-A</v>
      </c>
      <c r="AK610" s="12"/>
      <c r="AL610" s="12" t="str">
        <f>IFERROR(__xludf.DUMMYFUNCTION("""COMPUTED_VALUE"""),"Yes")</f>
        <v>Yes</v>
      </c>
      <c r="AM610" s="15">
        <f>IFERROR(__xludf.DUMMYFUNCTION("""COMPUTED_VALUE"""),0.0)</f>
        <v>0</v>
      </c>
      <c r="AN610" s="12" t="str">
        <f>IFERROR(__xludf.DUMMYFUNCTION("""COMPUTED_VALUE"""),"1st week")</f>
        <v>1st week</v>
      </c>
      <c r="AO610" s="13" t="s">
        <v>9</v>
      </c>
      <c r="AX610" s="17"/>
    </row>
    <row r="611">
      <c r="B611" s="9">
        <f>IFERROR(__xludf.DUMMYFUNCTION("""COMPUTED_VALUE"""),45894.138452071755)</f>
        <v>45894.13845</v>
      </c>
      <c r="C611" s="10" t="str">
        <f>IFERROR(__xludf.DUMMYFUNCTION("""COMPUTED_VALUE"""),"Shahid iqbal")</f>
        <v>Shahid iqbal</v>
      </c>
      <c r="D611" s="10" t="str">
        <f>IFERROR(__xludf.DUMMYFUNCTION("""COMPUTED_VALUE"""),"03013665049")</f>
        <v>03013665049</v>
      </c>
      <c r="E611" s="10" t="str">
        <f>IFERROR(__xludf.DUMMYFUNCTION("""COMPUTED_VALUE"""),"Jamia Masjid Khunagran wali Multan")</f>
        <v>Jamia Masjid Khunagran wali Multan</v>
      </c>
      <c r="F611" s="10" t="str">
        <f>IFERROR(__xludf.DUMMYFUNCTION("""COMPUTED_VALUE"""),"pgvos")</f>
        <v>pgvos</v>
      </c>
      <c r="G611" s="10" t="str">
        <f>IFERROR(__xludf.DUMMYFUNCTION("""COMPUTED_VALUE"""),"No")</f>
        <v>No</v>
      </c>
      <c r="H611" s="10"/>
      <c r="I611" s="10"/>
      <c r="J611" s="10"/>
      <c r="K611" s="10">
        <f>IFERROR(__xludf.DUMMYFUNCTION("""COMPUTED_VALUE"""),0.0)</f>
        <v>0</v>
      </c>
      <c r="L611" s="10">
        <f>IFERROR(__xludf.DUMMYFUNCTION("""COMPUTED_VALUE"""),0.0)</f>
        <v>0</v>
      </c>
      <c r="M611" s="10">
        <f>IFERROR(__xludf.DUMMYFUNCTION("""COMPUTED_VALUE"""),0.0)</f>
        <v>0</v>
      </c>
      <c r="N611" s="10">
        <f>IFERROR(__xludf.DUMMYFUNCTION("""COMPUTED_VALUE"""),0.0)</f>
        <v>0</v>
      </c>
      <c r="O611" s="10">
        <f>IFERROR(__xludf.DUMMYFUNCTION("""COMPUTED_VALUE"""),0.0)</f>
        <v>0</v>
      </c>
      <c r="P611" s="10">
        <f>IFERROR(__xludf.DUMMYFUNCTION("""COMPUTED_VALUE"""),0.0)</f>
        <v>0</v>
      </c>
      <c r="Q611" s="10" t="str">
        <f>IFERROR(__xludf.DUMMYFUNCTION("""COMPUTED_VALUE"""),"No")</f>
        <v>No</v>
      </c>
      <c r="R611" s="10" t="str">
        <f>IFERROR(__xludf.DUMMYFUNCTION("""COMPUTED_VALUE"""),"No")</f>
        <v>No</v>
      </c>
      <c r="S611" s="10" t="str">
        <f>IFERROR(__xludf.DUMMYFUNCTION("""COMPUTED_VALUE"""),"No")</f>
        <v>No</v>
      </c>
      <c r="T611" s="10">
        <f>IFERROR(__xludf.DUMMYFUNCTION("""COMPUTED_VALUE"""),0.0)</f>
        <v>0</v>
      </c>
      <c r="U611" s="10">
        <f>IFERROR(__xludf.DUMMYFUNCTION("""COMPUTED_VALUE"""),0.0)</f>
        <v>0</v>
      </c>
      <c r="V611" s="10" t="str">
        <f>IFERROR(__xludf.DUMMYFUNCTION("""COMPUTED_VALUE"""),"Auliya e Allah ki islam ma ahmiat")</f>
        <v>Auliya e Allah ki islam ma ahmiat</v>
      </c>
      <c r="W611" s="10" t="str">
        <f>IFERROR(__xludf.DUMMYFUNCTION("""COMPUTED_VALUE"""),"Auliya e Allah ki islam ma ahmiat aur H")</f>
        <v>Auliya e Allah ki islam ma ahmiat aur H</v>
      </c>
      <c r="X611" s="10">
        <f>IFERROR(__xludf.DUMMYFUNCTION("""COMPUTED_VALUE"""),2.0)</f>
        <v>2</v>
      </c>
      <c r="Y611" s="10">
        <f>IFERROR(__xludf.DUMMYFUNCTION("""COMPUTED_VALUE"""),5.0)</f>
        <v>5</v>
      </c>
      <c r="Z611" s="10">
        <f>IFERROR(__xludf.DUMMYFUNCTION("""COMPUTED_VALUE"""),4.0)</f>
        <v>4</v>
      </c>
      <c r="AA611" s="10">
        <f>IFERROR(__xludf.DUMMYFUNCTION("""COMPUTED_VALUE"""),3.0)</f>
        <v>3</v>
      </c>
      <c r="AB611" s="10">
        <f>IFERROR(__xludf.DUMMYFUNCTION("""COMPUTED_VALUE"""),4.0)</f>
        <v>4</v>
      </c>
      <c r="AC611" s="10">
        <f>IFERROR(__xludf.DUMMYFUNCTION("""COMPUTED_VALUE"""),3.0)</f>
        <v>3</v>
      </c>
      <c r="AD611" s="10">
        <f>IFERROR(__xludf.DUMMYFUNCTION("""COMPUTED_VALUE"""),0.0)</f>
        <v>0</v>
      </c>
      <c r="AE611" s="10">
        <f>IFERROR(__xludf.DUMMYFUNCTION("""COMPUTED_VALUE"""),0.0)</f>
        <v>0</v>
      </c>
      <c r="AF611" s="10">
        <f>IFERROR(__xludf.DUMMYFUNCTION("""COMPUTED_VALUE"""),0.0)</f>
        <v>0</v>
      </c>
      <c r="AG611" s="10">
        <f>IFERROR(__xludf.DUMMYFUNCTION("""COMPUTED_VALUE"""),9.0)</f>
        <v>9</v>
      </c>
      <c r="AH611" s="10">
        <f>IFERROR(__xludf.DUMMYFUNCTION("""COMPUTED_VALUE"""),0.0)</f>
        <v>0</v>
      </c>
      <c r="AI611" s="10">
        <f>IFERROR(__xludf.DUMMYFUNCTION("""COMPUTED_VALUE"""),9.0)</f>
        <v>9</v>
      </c>
      <c r="AJ611" s="11" t="str">
        <f>IFERROR(__xludf.DUMMYFUNCTION("""COMPUTED_VALUE"""),"https://drive.google.com/open?id=1ogdUlLnufcDs1xmNg35PDgwASKlvOYHg")</f>
        <v>https://drive.google.com/open?id=1ogdUlLnufcDs1xmNg35PDgwASKlvOYHg</v>
      </c>
      <c r="AK611" s="12"/>
      <c r="AL611" s="12"/>
      <c r="AM611" s="12"/>
      <c r="AN611" s="12" t="str">
        <f>IFERROR(__xludf.DUMMYFUNCTION("""COMPUTED_VALUE"""),"3rd week")</f>
        <v>3rd week</v>
      </c>
      <c r="AO611" s="13">
        <v>3.0</v>
      </c>
      <c r="AP611" s="12" t="s">
        <v>12</v>
      </c>
      <c r="AX611" s="17"/>
    </row>
    <row r="612">
      <c r="B612" s="9">
        <f>IFERROR(__xludf.DUMMYFUNCTION("""COMPUTED_VALUE"""),45894.14658381944)</f>
        <v>45894.14658</v>
      </c>
      <c r="C612" s="10" t="str">
        <f>IFERROR(__xludf.DUMMYFUNCTION("""COMPUTED_VALUE"""),"Shahid iqbal")</f>
        <v>Shahid iqbal</v>
      </c>
      <c r="D612" s="10" t="str">
        <f>IFERROR(__xludf.DUMMYFUNCTION("""COMPUTED_VALUE"""),"03013665049")</f>
        <v>03013665049</v>
      </c>
      <c r="E612" s="10" t="str">
        <f>IFERROR(__xludf.DUMMYFUNCTION("""COMPUTED_VALUE"""),"Jamia Masjid Jhok Veenus Multan")</f>
        <v>Jamia Masjid Jhok Veenus Multan</v>
      </c>
      <c r="F612" s="10" t="str">
        <f>IFERROR(__xludf.DUMMYFUNCTION("""COMPUTED_VALUE"""),"zrpyu")</f>
        <v>zrpyu</v>
      </c>
      <c r="G612" s="10" t="str">
        <f>IFERROR(__xludf.DUMMYFUNCTION("""COMPUTED_VALUE"""),"Yes")</f>
        <v>Yes</v>
      </c>
      <c r="H612" s="10">
        <f>IFERROR(__xludf.DUMMYFUNCTION("""COMPUTED_VALUE"""),0.0)</f>
        <v>0</v>
      </c>
      <c r="I612" s="10">
        <f>IFERROR(__xludf.DUMMYFUNCTION("""COMPUTED_VALUE"""),10.0)</f>
        <v>10</v>
      </c>
      <c r="J612" s="10">
        <f>IFERROR(__xludf.DUMMYFUNCTION("""COMPUTED_VALUE"""),0.0)</f>
        <v>0</v>
      </c>
      <c r="K612" s="10">
        <f>IFERROR(__xludf.DUMMYFUNCTION("""COMPUTED_VALUE"""),0.0)</f>
        <v>0</v>
      </c>
      <c r="L612" s="10">
        <f>IFERROR(__xludf.DUMMYFUNCTION("""COMPUTED_VALUE"""),0.0)</f>
        <v>0</v>
      </c>
      <c r="M612" s="10">
        <f>IFERROR(__xludf.DUMMYFUNCTION("""COMPUTED_VALUE"""),0.0)</f>
        <v>0</v>
      </c>
      <c r="N612" s="10">
        <f>IFERROR(__xludf.DUMMYFUNCTION("""COMPUTED_VALUE"""),0.0)</f>
        <v>0</v>
      </c>
      <c r="O612" s="10">
        <f>IFERROR(__xludf.DUMMYFUNCTION("""COMPUTED_VALUE"""),0.0)</f>
        <v>0</v>
      </c>
      <c r="P612" s="10">
        <f>IFERROR(__xludf.DUMMYFUNCTION("""COMPUTED_VALUE"""),0.0)</f>
        <v>0</v>
      </c>
      <c r="Q612" s="10" t="str">
        <f>IFERROR(__xludf.DUMMYFUNCTION("""COMPUTED_VALUE"""),"No")</f>
        <v>No</v>
      </c>
      <c r="R612" s="10" t="str">
        <f>IFERROR(__xludf.DUMMYFUNCTION("""COMPUTED_VALUE"""),"No")</f>
        <v>No</v>
      </c>
      <c r="S612" s="10" t="str">
        <f>IFERROR(__xludf.DUMMYFUNCTION("""COMPUTED_VALUE"""),"No")</f>
        <v>No</v>
      </c>
      <c r="T612" s="10">
        <f>IFERROR(__xludf.DUMMYFUNCTION("""COMPUTED_VALUE"""),0.0)</f>
        <v>0</v>
      </c>
      <c r="U612" s="10">
        <f>IFERROR(__xludf.DUMMYFUNCTION("""COMPUTED_VALUE"""),0.0)</f>
        <v>0</v>
      </c>
      <c r="V612" s="10" t="str">
        <f>IFERROR(__xludf.DUMMYFUNCTION("""COMPUTED_VALUE"""),"Sahaba ikram ka islam ma martaba, muqam")</f>
        <v>Sahaba ikram ka islam ma martaba, muqam</v>
      </c>
      <c r="W612" s="10" t="str">
        <f>IFERROR(__xludf.DUMMYFUNCTION("""COMPUTED_VALUE"""),"Sahaba ikram ka islam ma martaba, muqam aur seerat un nabi saw")</f>
        <v>Sahaba ikram ka islam ma martaba, muqam aur seerat un nabi saw</v>
      </c>
      <c r="X612" s="10">
        <f>IFERROR(__xludf.DUMMYFUNCTION("""COMPUTED_VALUE"""),3.0)</f>
        <v>3</v>
      </c>
      <c r="Y612" s="10">
        <f>IFERROR(__xludf.DUMMYFUNCTION("""COMPUTED_VALUE"""),5.0)</f>
        <v>5</v>
      </c>
      <c r="Z612" s="10">
        <f>IFERROR(__xludf.DUMMYFUNCTION("""COMPUTED_VALUE"""),5.0)</f>
        <v>5</v>
      </c>
      <c r="AA612" s="10">
        <f>IFERROR(__xludf.DUMMYFUNCTION("""COMPUTED_VALUE"""),7.0)</f>
        <v>7</v>
      </c>
      <c r="AB612" s="10">
        <f>IFERROR(__xludf.DUMMYFUNCTION("""COMPUTED_VALUE"""),7.0)</f>
        <v>7</v>
      </c>
      <c r="AC612" s="10">
        <f>IFERROR(__xludf.DUMMYFUNCTION("""COMPUTED_VALUE"""),0.0)</f>
        <v>0</v>
      </c>
      <c r="AD612" s="10">
        <f>IFERROR(__xludf.DUMMYFUNCTION("""COMPUTED_VALUE"""),0.0)</f>
        <v>0</v>
      </c>
      <c r="AE612" s="10">
        <f>IFERROR(__xludf.DUMMYFUNCTION("""COMPUTED_VALUE"""),0.0)</f>
        <v>0</v>
      </c>
      <c r="AF612" s="10">
        <f>IFERROR(__xludf.DUMMYFUNCTION("""COMPUTED_VALUE"""),0.0)</f>
        <v>0</v>
      </c>
      <c r="AG612" s="10">
        <f>IFERROR(__xludf.DUMMYFUNCTION("""COMPUTED_VALUE"""),10.0)</f>
        <v>10</v>
      </c>
      <c r="AH612" s="10">
        <f>IFERROR(__xludf.DUMMYFUNCTION("""COMPUTED_VALUE"""),0.0)</f>
        <v>0</v>
      </c>
      <c r="AI612" s="10">
        <f>IFERROR(__xludf.DUMMYFUNCTION("""COMPUTED_VALUE"""),10.0)</f>
        <v>10</v>
      </c>
      <c r="AJ612" s="11" t="str">
        <f>IFERROR(__xludf.DUMMYFUNCTION("""COMPUTED_VALUE"""),"https://drive.google.com/open?id=1e89_uOOuK_6akD15UZVLC_m8JGTYjpZT")</f>
        <v>https://drive.google.com/open?id=1e89_uOOuK_6akD15UZVLC_m8JGTYjpZT</v>
      </c>
      <c r="AK612" s="12"/>
      <c r="AL612" s="12" t="str">
        <f>IFERROR(__xludf.DUMMYFUNCTION("""COMPUTED_VALUE"""),"Yes")</f>
        <v>Yes</v>
      </c>
      <c r="AM612" s="15">
        <f>IFERROR(__xludf.DUMMYFUNCTION("""COMPUTED_VALUE"""),0.0)</f>
        <v>0</v>
      </c>
      <c r="AN612" s="12" t="str">
        <f>IFERROR(__xludf.DUMMYFUNCTION("""COMPUTED_VALUE"""),"3rd week")</f>
        <v>3rd week</v>
      </c>
      <c r="AO612" s="13">
        <v>3.0</v>
      </c>
      <c r="AX612" s="17"/>
    </row>
    <row r="613">
      <c r="B613" s="9">
        <f>IFERROR(__xludf.DUMMYFUNCTION("""COMPUTED_VALUE"""),45894.14986668981)</f>
        <v>45894.14987</v>
      </c>
      <c r="C613" s="10" t="str">
        <f>IFERROR(__xludf.DUMMYFUNCTION("""COMPUTED_VALUE"""),"Shahid iqbal")</f>
        <v>Shahid iqbal</v>
      </c>
      <c r="D613" s="10" t="str">
        <f>IFERROR(__xludf.DUMMYFUNCTION("""COMPUTED_VALUE"""),"03013665049")</f>
        <v>03013665049</v>
      </c>
      <c r="E613" s="10" t="str">
        <f>IFERROR(__xludf.DUMMYFUNCTION("""COMPUTED_VALUE"""),"Jamia Masjid Kabotar Mandi Multan")</f>
        <v>Jamia Masjid Kabotar Mandi Multan</v>
      </c>
      <c r="F613" s="10" t="str">
        <f>IFERROR(__xludf.DUMMYFUNCTION("""COMPUTED_VALUE"""),"uleit")</f>
        <v>uleit</v>
      </c>
      <c r="G613" s="10" t="str">
        <f>IFERROR(__xludf.DUMMYFUNCTION("""COMPUTED_VALUE"""),"Yes")</f>
        <v>Yes</v>
      </c>
      <c r="H613" s="10">
        <f>IFERROR(__xludf.DUMMYFUNCTION("""COMPUTED_VALUE"""),7.0)</f>
        <v>7</v>
      </c>
      <c r="I613" s="10">
        <f>IFERROR(__xludf.DUMMYFUNCTION("""COMPUTED_VALUE"""),3.0)</f>
        <v>3</v>
      </c>
      <c r="J613" s="10">
        <f>IFERROR(__xludf.DUMMYFUNCTION("""COMPUTED_VALUE"""),9.0)</f>
        <v>9</v>
      </c>
      <c r="K613" s="10">
        <f>IFERROR(__xludf.DUMMYFUNCTION("""COMPUTED_VALUE"""),0.0)</f>
        <v>0</v>
      </c>
      <c r="L613" s="10">
        <f>IFERROR(__xludf.DUMMYFUNCTION("""COMPUTED_VALUE"""),10.0)</f>
        <v>10</v>
      </c>
      <c r="M613" s="10">
        <f>IFERROR(__xludf.DUMMYFUNCTION("""COMPUTED_VALUE"""),0.0)</f>
        <v>0</v>
      </c>
      <c r="N613" s="10">
        <f>IFERROR(__xludf.DUMMYFUNCTION("""COMPUTED_VALUE"""),10.0)</f>
        <v>10</v>
      </c>
      <c r="O613" s="10">
        <f>IFERROR(__xludf.DUMMYFUNCTION("""COMPUTED_VALUE"""),0.0)</f>
        <v>0</v>
      </c>
      <c r="P613" s="10">
        <f>IFERROR(__xludf.DUMMYFUNCTION("""COMPUTED_VALUE"""),10.0)</f>
        <v>10</v>
      </c>
      <c r="Q613" s="10" t="str">
        <f>IFERROR(__xludf.DUMMYFUNCTION("""COMPUTED_VALUE"""),"No")</f>
        <v>No</v>
      </c>
      <c r="R613" s="10" t="str">
        <f>IFERROR(__xludf.DUMMYFUNCTION("""COMPUTED_VALUE"""),"Yes")</f>
        <v>Yes</v>
      </c>
      <c r="S613" s="10" t="str">
        <f>IFERROR(__xludf.DUMMYFUNCTION("""COMPUTED_VALUE"""),"No")</f>
        <v>No</v>
      </c>
      <c r="T613" s="10">
        <f>IFERROR(__xludf.DUMMYFUNCTION("""COMPUTED_VALUE"""),0.0)</f>
        <v>0</v>
      </c>
      <c r="U613" s="10">
        <f>IFERROR(__xludf.DUMMYFUNCTION("""COMPUTED_VALUE"""),0.0)</f>
        <v>0</v>
      </c>
      <c r="V613" s="10" t="str">
        <f>IFERROR(__xludf.DUMMYFUNCTION("""COMPUTED_VALUE"""),"Hamsaion k haqooq")</f>
        <v>Hamsaion k haqooq</v>
      </c>
      <c r="W613" s="10" t="str">
        <f>IFERROR(__xludf.DUMMYFUNCTION("""COMPUTED_VALUE"""),"islam ma Hamsaion k haqooq aur zimadaarian aur safai suthrai")</f>
        <v>islam ma Hamsaion k haqooq aur zimadaarian aur safai suthrai</v>
      </c>
      <c r="X613" s="10">
        <f>IFERROR(__xludf.DUMMYFUNCTION("""COMPUTED_VALUE"""),2.0)</f>
        <v>2</v>
      </c>
      <c r="Y613" s="10">
        <f>IFERROR(__xludf.DUMMYFUNCTION("""COMPUTED_VALUE"""),9.0)</f>
        <v>9</v>
      </c>
      <c r="Z613" s="10">
        <f>IFERROR(__xludf.DUMMYFUNCTION("""COMPUTED_VALUE"""),7.0)</f>
        <v>7</v>
      </c>
      <c r="AA613" s="10">
        <f>IFERROR(__xludf.DUMMYFUNCTION("""COMPUTED_VALUE"""),8.0)</f>
        <v>8</v>
      </c>
      <c r="AB613" s="10">
        <f>IFERROR(__xludf.DUMMYFUNCTION("""COMPUTED_VALUE"""),0.0)</f>
        <v>0</v>
      </c>
      <c r="AC613" s="10">
        <f>IFERROR(__xludf.DUMMYFUNCTION("""COMPUTED_VALUE"""),0.0)</f>
        <v>0</v>
      </c>
      <c r="AD613" s="10">
        <f>IFERROR(__xludf.DUMMYFUNCTION("""COMPUTED_VALUE"""),0.0)</f>
        <v>0</v>
      </c>
      <c r="AE613" s="10">
        <f>IFERROR(__xludf.DUMMYFUNCTION("""COMPUTED_VALUE"""),0.0)</f>
        <v>0</v>
      </c>
      <c r="AF613" s="10">
        <f>IFERROR(__xludf.DUMMYFUNCTION("""COMPUTED_VALUE"""),0.0)</f>
        <v>0</v>
      </c>
      <c r="AG613" s="10">
        <f>IFERROR(__xludf.DUMMYFUNCTION("""COMPUTED_VALUE"""),9.0)</f>
        <v>9</v>
      </c>
      <c r="AH613" s="10">
        <f>IFERROR(__xludf.DUMMYFUNCTION("""COMPUTED_VALUE"""),0.0)</f>
        <v>0</v>
      </c>
      <c r="AI613" s="10">
        <f>IFERROR(__xludf.DUMMYFUNCTION("""COMPUTED_VALUE"""),10.0)</f>
        <v>10</v>
      </c>
      <c r="AJ613" s="11" t="str">
        <f>IFERROR(__xludf.DUMMYFUNCTION("""COMPUTED_VALUE"""),"https://drive.google.com/open?id=1uZTCEszEHT2umDxL8qZLOUmz2IIPtIZn")</f>
        <v>https://drive.google.com/open?id=1uZTCEszEHT2umDxL8qZLOUmz2IIPtIZn</v>
      </c>
      <c r="AK613" s="12"/>
      <c r="AL613" s="12" t="str">
        <f>IFERROR(__xludf.DUMMYFUNCTION("""COMPUTED_VALUE"""),"Yes")</f>
        <v>Yes</v>
      </c>
      <c r="AM613" s="15">
        <f>IFERROR(__xludf.DUMMYFUNCTION("""COMPUTED_VALUE"""),0.7)</f>
        <v>0.7</v>
      </c>
      <c r="AN613" s="12" t="str">
        <f>IFERROR(__xludf.DUMMYFUNCTION("""COMPUTED_VALUE"""),"2nd week")</f>
        <v>2nd week</v>
      </c>
      <c r="AO613" s="13">
        <v>2.0</v>
      </c>
      <c r="AX613" s="17"/>
    </row>
    <row r="614">
      <c r="B614" s="9">
        <f>IFERROR(__xludf.DUMMYFUNCTION("""COMPUTED_VALUE"""),45894.19395609954)</f>
        <v>45894.19396</v>
      </c>
      <c r="C614" s="10" t="str">
        <f>IFERROR(__xludf.DUMMYFUNCTION("""COMPUTED_VALUE"""),"Shahid iqbal")</f>
        <v>Shahid iqbal</v>
      </c>
      <c r="D614" s="10" t="str">
        <f>IFERROR(__xludf.DUMMYFUNCTION("""COMPUTED_VALUE"""),"03013665049")</f>
        <v>03013665049</v>
      </c>
      <c r="E614" s="10" t="str">
        <f>IFERROR(__xludf.DUMMYFUNCTION("""COMPUTED_VALUE"""),"Jamia Masjid Haronabad Bahawal Nagar")</f>
        <v>Jamia Masjid Haronabad Bahawal Nagar</v>
      </c>
      <c r="F614" s="10" t="str">
        <f>IFERROR(__xludf.DUMMYFUNCTION("""COMPUTED_VALUE"""),"jydri")</f>
        <v>jydri</v>
      </c>
      <c r="G614" s="10" t="str">
        <f>IFERROR(__xludf.DUMMYFUNCTION("""COMPUTED_VALUE"""),"Yes")</f>
        <v>Yes</v>
      </c>
      <c r="H614" s="10">
        <f>IFERROR(__xludf.DUMMYFUNCTION("""COMPUTED_VALUE"""),1.0)</f>
        <v>1</v>
      </c>
      <c r="I614" s="10">
        <f>IFERROR(__xludf.DUMMYFUNCTION("""COMPUTED_VALUE"""),9.0)</f>
        <v>9</v>
      </c>
      <c r="J614" s="10">
        <f>IFERROR(__xludf.DUMMYFUNCTION("""COMPUTED_VALUE"""),4.0)</f>
        <v>4</v>
      </c>
      <c r="K614" s="10">
        <f>IFERROR(__xludf.DUMMYFUNCTION("""COMPUTED_VALUE"""),4.0)</f>
        <v>4</v>
      </c>
      <c r="L614" s="10">
        <f>IFERROR(__xludf.DUMMYFUNCTION("""COMPUTED_VALUE"""),0.0)</f>
        <v>0</v>
      </c>
      <c r="M614" s="10">
        <f>IFERROR(__xludf.DUMMYFUNCTION("""COMPUTED_VALUE"""),3.0)</f>
        <v>3</v>
      </c>
      <c r="N614" s="10">
        <f>IFERROR(__xludf.DUMMYFUNCTION("""COMPUTED_VALUE"""),0.0)</f>
        <v>0</v>
      </c>
      <c r="O614" s="10">
        <f>IFERROR(__xludf.DUMMYFUNCTION("""COMPUTED_VALUE"""),3.0)</f>
        <v>3</v>
      </c>
      <c r="P614" s="10">
        <f>IFERROR(__xludf.DUMMYFUNCTION("""COMPUTED_VALUE"""),0.0)</f>
        <v>0</v>
      </c>
      <c r="Q614" s="10" t="str">
        <f>IFERROR(__xludf.DUMMYFUNCTION("""COMPUTED_VALUE"""),"Yes")</f>
        <v>Yes</v>
      </c>
      <c r="R614" s="10" t="str">
        <f>IFERROR(__xludf.DUMMYFUNCTION("""COMPUTED_VALUE"""),"No")</f>
        <v>No</v>
      </c>
      <c r="S614" s="10" t="str">
        <f>IFERROR(__xludf.DUMMYFUNCTION("""COMPUTED_VALUE"""),"No")</f>
        <v>No</v>
      </c>
      <c r="T614" s="10">
        <f>IFERROR(__xludf.DUMMYFUNCTION("""COMPUTED_VALUE"""),0.0)</f>
        <v>0</v>
      </c>
      <c r="U614" s="10">
        <f>IFERROR(__xludf.DUMMYFUNCTION("""COMPUTED_VALUE"""),0.0)</f>
        <v>0</v>
      </c>
      <c r="V614" s="10" t="str">
        <f>IFERROR(__xludf.DUMMYFUNCTION("""COMPUTED_VALUE"""),"Auliya e Allah AUr Khawateen k haqooq byan kiye hn")</f>
        <v>Auliya e Allah AUr Khawateen k haqooq byan kiye hn</v>
      </c>
      <c r="W614" s="10" t="str">
        <f>IFERROR(__xludf.DUMMYFUNCTION("""COMPUTED_VALUE"""),"Auliya e Allah, sahaba ikram AUr Khawateen k haqooq byan kiye hn")</f>
        <v>Auliya e Allah, sahaba ikram AUr Khawateen k haqooq byan kiye hn</v>
      </c>
      <c r="X614" s="10">
        <f>IFERROR(__xludf.DUMMYFUNCTION("""COMPUTED_VALUE"""),4.0)</f>
        <v>4</v>
      </c>
      <c r="Y614" s="10">
        <f>IFERROR(__xludf.DUMMYFUNCTION("""COMPUTED_VALUE"""),5.0)</f>
        <v>5</v>
      </c>
      <c r="Z614" s="10">
        <f>IFERROR(__xludf.DUMMYFUNCTION("""COMPUTED_VALUE"""),5.0)</f>
        <v>5</v>
      </c>
      <c r="AA614" s="10">
        <f>IFERROR(__xludf.DUMMYFUNCTION("""COMPUTED_VALUE"""),5.0)</f>
        <v>5</v>
      </c>
      <c r="AB614" s="10">
        <f>IFERROR(__xludf.DUMMYFUNCTION("""COMPUTED_VALUE"""),2.0)</f>
        <v>2</v>
      </c>
      <c r="AC614" s="10">
        <f>IFERROR(__xludf.DUMMYFUNCTION("""COMPUTED_VALUE"""),0.0)</f>
        <v>0</v>
      </c>
      <c r="AD614" s="10">
        <f>IFERROR(__xludf.DUMMYFUNCTION("""COMPUTED_VALUE"""),0.0)</f>
        <v>0</v>
      </c>
      <c r="AE614" s="10">
        <f>IFERROR(__xludf.DUMMYFUNCTION("""COMPUTED_VALUE"""),0.0)</f>
        <v>0</v>
      </c>
      <c r="AF614" s="10">
        <f>IFERROR(__xludf.DUMMYFUNCTION("""COMPUTED_VALUE"""),0.0)</f>
        <v>0</v>
      </c>
      <c r="AG614" s="10">
        <f>IFERROR(__xludf.DUMMYFUNCTION("""COMPUTED_VALUE"""),9.0)</f>
        <v>9</v>
      </c>
      <c r="AH614" s="10">
        <f>IFERROR(__xludf.DUMMYFUNCTION("""COMPUTED_VALUE"""),0.0)</f>
        <v>0</v>
      </c>
      <c r="AI614" s="10">
        <f>IFERROR(__xludf.DUMMYFUNCTION("""COMPUTED_VALUE"""),10.0)</f>
        <v>10</v>
      </c>
      <c r="AJ614" s="11" t="str">
        <f>IFERROR(__xludf.DUMMYFUNCTION("""COMPUTED_VALUE"""),"https://drive.google.com/open?id=1IB0hy52FMLKmM51vquZPzWF0klZIH0jX")</f>
        <v>https://drive.google.com/open?id=1IB0hy52FMLKmM51vquZPzWF0klZIH0jX</v>
      </c>
      <c r="AK614" s="12"/>
      <c r="AL614" s="12" t="str">
        <f>IFERROR(__xludf.DUMMYFUNCTION("""COMPUTED_VALUE"""),"Yes")</f>
        <v>Yes</v>
      </c>
      <c r="AM614" s="15">
        <f>IFERROR(__xludf.DUMMYFUNCTION("""COMPUTED_VALUE"""),0.1)</f>
        <v>0.1</v>
      </c>
      <c r="AN614" s="12" t="str">
        <f>IFERROR(__xludf.DUMMYFUNCTION("""COMPUTED_VALUE"""),"3rd week")</f>
        <v>3rd week</v>
      </c>
      <c r="AO614" s="13">
        <v>3.0</v>
      </c>
      <c r="AX614" s="17"/>
    </row>
    <row r="615">
      <c r="B615" s="9">
        <f>IFERROR(__xludf.DUMMYFUNCTION("""COMPUTED_VALUE"""),45894.20754167824)</f>
        <v>45894.20754</v>
      </c>
      <c r="C615" s="10" t="str">
        <f>IFERROR(__xludf.DUMMYFUNCTION("""COMPUTED_VALUE"""),"Atiqa")</f>
        <v>Atiqa</v>
      </c>
      <c r="D615" s="10" t="str">
        <f>IFERROR(__xludf.DUMMYFUNCTION("""COMPUTED_VALUE"""),"03157519977")</f>
        <v>03157519977</v>
      </c>
      <c r="E615" s="10" t="str">
        <f>IFERROR(__xludf.DUMMYFUNCTION("""COMPUTED_VALUE"""),"Jamia Masjid Gosha Nasheen Multan ")</f>
        <v>Jamia Masjid Gosha Nasheen Multan </v>
      </c>
      <c r="F615" s="10" t="str">
        <f>IFERROR(__xludf.DUMMYFUNCTION("""COMPUTED_VALUE"""),"lhgfs")</f>
        <v>lhgfs</v>
      </c>
      <c r="G615" s="10" t="str">
        <f>IFERROR(__xludf.DUMMYFUNCTION("""COMPUTED_VALUE"""),"Yes")</f>
        <v>Yes</v>
      </c>
      <c r="H615" s="10">
        <f>IFERROR(__xludf.DUMMYFUNCTION("""COMPUTED_VALUE"""),0.0)</f>
        <v>0</v>
      </c>
      <c r="I615" s="10">
        <f>IFERROR(__xludf.DUMMYFUNCTION("""COMPUTED_VALUE"""),10.0)</f>
        <v>10</v>
      </c>
      <c r="J615" s="10">
        <f>IFERROR(__xludf.DUMMYFUNCTION("""COMPUTED_VALUE"""),0.0)</f>
        <v>0</v>
      </c>
      <c r="K615" s="10">
        <f>IFERROR(__xludf.DUMMYFUNCTION("""COMPUTED_VALUE"""),0.0)</f>
        <v>0</v>
      </c>
      <c r="L615" s="10">
        <f>IFERROR(__xludf.DUMMYFUNCTION("""COMPUTED_VALUE"""),0.0)</f>
        <v>0</v>
      </c>
      <c r="M615" s="10">
        <f>IFERROR(__xludf.DUMMYFUNCTION("""COMPUTED_VALUE"""),0.0)</f>
        <v>0</v>
      </c>
      <c r="N615" s="10">
        <f>IFERROR(__xludf.DUMMYFUNCTION("""COMPUTED_VALUE"""),0.0)</f>
        <v>0</v>
      </c>
      <c r="O615" s="10">
        <f>IFERROR(__xludf.DUMMYFUNCTION("""COMPUTED_VALUE"""),0.0)</f>
        <v>0</v>
      </c>
      <c r="P615" s="10">
        <f>IFERROR(__xludf.DUMMYFUNCTION("""COMPUTED_VALUE"""),0.0)</f>
        <v>0</v>
      </c>
      <c r="Q615" s="10" t="str">
        <f>IFERROR(__xludf.DUMMYFUNCTION("""COMPUTED_VALUE"""),"No")</f>
        <v>No</v>
      </c>
      <c r="R615" s="10" t="str">
        <f>IFERROR(__xludf.DUMMYFUNCTION("""COMPUTED_VALUE"""),"No")</f>
        <v>No</v>
      </c>
      <c r="S615" s="10" t="str">
        <f>IFERROR(__xludf.DUMMYFUNCTION("""COMPUTED_VALUE"""),"No")</f>
        <v>No</v>
      </c>
      <c r="T615" s="10">
        <f>IFERROR(__xludf.DUMMYFUNCTION("""COMPUTED_VALUE"""),0.0)</f>
        <v>0</v>
      </c>
      <c r="U615" s="10">
        <f>IFERROR(__xludf.DUMMYFUNCTION("""COMPUTED_VALUE"""),0.0)</f>
        <v>0</v>
      </c>
      <c r="V615" s="10" t="str">
        <f>IFERROR(__xludf.DUMMYFUNCTION("""COMPUTED_VALUE"""),"ماہ صفر اور اولیاء کرام ")</f>
        <v>ماہ صفر اور اولیاء کرام </v>
      </c>
      <c r="W615" s="10" t="str">
        <f>IFERROR(__xludf.DUMMYFUNCTION("""COMPUTED_VALUE"""),"سفر کے مزینے میز نامور اولیاء کرام کا عرس مبارک مبارک اور نوافل ادا ادا ک اللہ کا قرب پانا اور ان کی بدولت دوسرے بندوں پر فضل ہونا ۔ مجدد الف ثانی رحمۃ اللہ علیہ کا قید میں جا کر بکنا اور مالک کے گھر اپ رحمت اللہ کے جانے سے اس کے اپاہج بیٹے کو شفا ملنا ، "&amp;"داتا علی ہجویری رحمت اللہ کے ارام میں خلل ڈالنے والی چڑیوں کے لیے منہ سے نکلنے والے الفاظ کا پورا ہونا ، اللہ کی دو بندوں سے جنگ اور  فحاشی پھیلانے والوں کے لیے دردناک عذاب بیان کیا گیا ۔")</f>
        <v>سفر کے مزینے میز نامور اولیاء کرام کا عرس مبارک مبارک اور نوافل ادا ادا ک اللہ کا قرب پانا اور ان کی بدولت دوسرے بندوں پر فضل ہونا ۔ مجدد الف ثانی رحمۃ اللہ علیہ کا قید میں جا کر بکنا اور مالک کے گھر اپ رحمت اللہ کے جانے سے اس کے اپاہج بیٹے کو شفا ملنا ، داتا علی ہجویری رحمت اللہ کے ارام میں خلل ڈالنے والی چڑیوں کے لیے منہ سے نکلنے والے الفاظ کا پورا ہونا ، اللہ کی دو بندوں سے جنگ اور  فحاشی پھیلانے والوں کے لیے دردناک عذاب بیان کیا گیا ۔</v>
      </c>
      <c r="X615" s="10">
        <f>IFERROR(__xludf.DUMMYFUNCTION("""COMPUTED_VALUE"""),1.0)</f>
        <v>1</v>
      </c>
      <c r="Y615" s="10">
        <f>IFERROR(__xludf.DUMMYFUNCTION("""COMPUTED_VALUE"""),3.0)</f>
        <v>3</v>
      </c>
      <c r="Z615" s="10">
        <f>IFERROR(__xludf.DUMMYFUNCTION("""COMPUTED_VALUE"""),4.0)</f>
        <v>4</v>
      </c>
      <c r="AA615" s="10">
        <f>IFERROR(__xludf.DUMMYFUNCTION("""COMPUTED_VALUE"""),6.0)</f>
        <v>6</v>
      </c>
      <c r="AB615" s="10">
        <f>IFERROR(__xludf.DUMMYFUNCTION("""COMPUTED_VALUE"""),8.0)</f>
        <v>8</v>
      </c>
      <c r="AC615" s="10">
        <f>IFERROR(__xludf.DUMMYFUNCTION("""COMPUTED_VALUE"""),0.0)</f>
        <v>0</v>
      </c>
      <c r="AD615" s="10">
        <f>IFERROR(__xludf.DUMMYFUNCTION("""COMPUTED_VALUE"""),0.0)</f>
        <v>0</v>
      </c>
      <c r="AE615" s="10">
        <f>IFERROR(__xludf.DUMMYFUNCTION("""COMPUTED_VALUE"""),0.0)</f>
        <v>0</v>
      </c>
      <c r="AF615" s="10">
        <f>IFERROR(__xludf.DUMMYFUNCTION("""COMPUTED_VALUE"""),0.0)</f>
        <v>0</v>
      </c>
      <c r="AG615" s="10">
        <f>IFERROR(__xludf.DUMMYFUNCTION("""COMPUTED_VALUE"""),8.0)</f>
        <v>8</v>
      </c>
      <c r="AH615" s="10">
        <f>IFERROR(__xludf.DUMMYFUNCTION("""COMPUTED_VALUE"""),0.0)</f>
        <v>0</v>
      </c>
      <c r="AI615" s="10">
        <f>IFERROR(__xludf.DUMMYFUNCTION("""COMPUTED_VALUE"""),8.0)</f>
        <v>8</v>
      </c>
      <c r="AJ615" s="11" t="str">
        <f>IFERROR(__xludf.DUMMYFUNCTION("""COMPUTED_VALUE"""),"https://drive.google.com/open?id=1EN0MnikfgUjLn27j5bykHFSkDRBCNWafLpzmUp2Uu5o")</f>
        <v>https://drive.google.com/open?id=1EN0MnikfgUjLn27j5bykHFSkDRBCNWafLpzmUp2Uu5o</v>
      </c>
      <c r="AK615" s="12"/>
      <c r="AL615" s="12" t="str">
        <f>IFERROR(__xludf.DUMMYFUNCTION("""COMPUTED_VALUE"""),"Yes")</f>
        <v>Yes</v>
      </c>
      <c r="AM615" s="15">
        <f>IFERROR(__xludf.DUMMYFUNCTION("""COMPUTED_VALUE"""),0.0)</f>
        <v>0</v>
      </c>
      <c r="AN615" s="12" t="str">
        <f>IFERROR(__xludf.DUMMYFUNCTION("""COMPUTED_VALUE"""),"1st week")</f>
        <v>1st week</v>
      </c>
      <c r="AO615" s="13">
        <v>1.0</v>
      </c>
      <c r="AX615" s="17"/>
    </row>
    <row r="616">
      <c r="B616" s="9">
        <f>IFERROR(__xludf.DUMMYFUNCTION("""COMPUTED_VALUE"""),45894.22418424769)</f>
        <v>45894.22418</v>
      </c>
      <c r="C616" s="10" t="str">
        <f>IFERROR(__xludf.DUMMYFUNCTION("""COMPUTED_VALUE"""),"Shahid Iqbal")</f>
        <v>Shahid Iqbal</v>
      </c>
      <c r="D616" s="10" t="str">
        <f>IFERROR(__xludf.DUMMYFUNCTION("""COMPUTED_VALUE"""),"03013665049")</f>
        <v>03013665049</v>
      </c>
      <c r="E616" s="10" t="str">
        <f>IFERROR(__xludf.DUMMYFUNCTION("""COMPUTED_VALUE"""),"Jamia Masjid Baba Taj Ul Din Sarwar Chasti")</f>
        <v>Jamia Masjid Baba Taj Ul Din Sarwar Chasti</v>
      </c>
      <c r="F616" s="10" t="str">
        <f>IFERROR(__xludf.DUMMYFUNCTION("""COMPUTED_VALUE"""),"uvkdx")</f>
        <v>uvkdx</v>
      </c>
      <c r="G616" s="10" t="str">
        <f>IFERROR(__xludf.DUMMYFUNCTION("""COMPUTED_VALUE"""),"Yes")</f>
        <v>Yes</v>
      </c>
      <c r="H616" s="10">
        <f>IFERROR(__xludf.DUMMYFUNCTION("""COMPUTED_VALUE"""),3.0)</f>
        <v>3</v>
      </c>
      <c r="I616" s="10">
        <f>IFERROR(__xludf.DUMMYFUNCTION("""COMPUTED_VALUE"""),7.0)</f>
        <v>7</v>
      </c>
      <c r="J616" s="10">
        <f>IFERROR(__xludf.DUMMYFUNCTION("""COMPUTED_VALUE"""),6.0)</f>
        <v>6</v>
      </c>
      <c r="K616" s="10">
        <f>IFERROR(__xludf.DUMMYFUNCTION("""COMPUTED_VALUE"""),6.0)</f>
        <v>6</v>
      </c>
      <c r="L616" s="10">
        <f>IFERROR(__xludf.DUMMYFUNCTION("""COMPUTED_VALUE"""),0.0)</f>
        <v>0</v>
      </c>
      <c r="M616" s="10">
        <f>IFERROR(__xludf.DUMMYFUNCTION("""COMPUTED_VALUE"""),7.0)</f>
        <v>7</v>
      </c>
      <c r="N616" s="10">
        <f>IFERROR(__xludf.DUMMYFUNCTION("""COMPUTED_VALUE"""),0.0)</f>
        <v>0</v>
      </c>
      <c r="O616" s="10">
        <f>IFERROR(__xludf.DUMMYFUNCTION("""COMPUTED_VALUE"""),7.0)</f>
        <v>7</v>
      </c>
      <c r="P616" s="10">
        <f>IFERROR(__xludf.DUMMYFUNCTION("""COMPUTED_VALUE"""),0.0)</f>
        <v>0</v>
      </c>
      <c r="Q616" s="10" t="str">
        <f>IFERROR(__xludf.DUMMYFUNCTION("""COMPUTED_VALUE"""),"Yes")</f>
        <v>Yes</v>
      </c>
      <c r="R616" s="10" t="str">
        <f>IFERROR(__xludf.DUMMYFUNCTION("""COMPUTED_VALUE"""),"No")</f>
        <v>No</v>
      </c>
      <c r="S616" s="10" t="str">
        <f>IFERROR(__xludf.DUMMYFUNCTION("""COMPUTED_VALUE"""),"No")</f>
        <v>No</v>
      </c>
      <c r="T616" s="10">
        <f>IFERROR(__xludf.DUMMYFUNCTION("""COMPUTED_VALUE"""),0.0)</f>
        <v>0</v>
      </c>
      <c r="U616" s="10">
        <f>IFERROR(__xludf.DUMMYFUNCTION("""COMPUTED_VALUE"""),0.0)</f>
        <v>0</v>
      </c>
      <c r="V616" s="10" t="str">
        <f>IFERROR(__xludf.DUMMYFUNCTION("""COMPUTED_VALUE"""),"islam ma aurat ka muqam o martaba")</f>
        <v>islam ma aurat ka muqam o martaba</v>
      </c>
      <c r="W616" s="10" t="str">
        <f>IFERROR(__xludf.DUMMYFUNCTION("""COMPUTED_VALUE"""),"islam ma aurat ka muqam o martaba ")</f>
        <v>islam ma aurat ka muqam o martaba </v>
      </c>
      <c r="X616" s="10">
        <f>IFERROR(__xludf.DUMMYFUNCTION("""COMPUTED_VALUE"""),2.0)</f>
        <v>2</v>
      </c>
      <c r="Y616" s="10">
        <f>IFERROR(__xludf.DUMMYFUNCTION("""COMPUTED_VALUE"""),4.0)</f>
        <v>4</v>
      </c>
      <c r="Z616" s="10">
        <f>IFERROR(__xludf.DUMMYFUNCTION("""COMPUTED_VALUE"""),5.0)</f>
        <v>5</v>
      </c>
      <c r="AA616" s="10">
        <f>IFERROR(__xludf.DUMMYFUNCTION("""COMPUTED_VALUE"""),5.0)</f>
        <v>5</v>
      </c>
      <c r="AB616" s="10">
        <f>IFERROR(__xludf.DUMMYFUNCTION("""COMPUTED_VALUE"""),0.0)</f>
        <v>0</v>
      </c>
      <c r="AC616" s="10">
        <f>IFERROR(__xludf.DUMMYFUNCTION("""COMPUTED_VALUE"""),0.0)</f>
        <v>0</v>
      </c>
      <c r="AD616" s="10">
        <f>IFERROR(__xludf.DUMMYFUNCTION("""COMPUTED_VALUE"""),0.0)</f>
        <v>0</v>
      </c>
      <c r="AE616" s="10">
        <f>IFERROR(__xludf.DUMMYFUNCTION("""COMPUTED_VALUE"""),0.0)</f>
        <v>0</v>
      </c>
      <c r="AF616" s="10">
        <f>IFERROR(__xludf.DUMMYFUNCTION("""COMPUTED_VALUE"""),0.0)</f>
        <v>0</v>
      </c>
      <c r="AG616" s="10">
        <f>IFERROR(__xludf.DUMMYFUNCTION("""COMPUTED_VALUE"""),8.0)</f>
        <v>8</v>
      </c>
      <c r="AH616" s="10">
        <f>IFERROR(__xludf.DUMMYFUNCTION("""COMPUTED_VALUE"""),0.0)</f>
        <v>0</v>
      </c>
      <c r="AI616" s="10">
        <f>IFERROR(__xludf.DUMMYFUNCTION("""COMPUTED_VALUE"""),9.0)</f>
        <v>9</v>
      </c>
      <c r="AJ616" s="11" t="str">
        <f>IFERROR(__xludf.DUMMYFUNCTION("""COMPUTED_VALUE"""),"https://drive.google.com/open?id=1qYnAwBIylfVw0xTqZ-8yK6cJeULtCaft")</f>
        <v>https://drive.google.com/open?id=1qYnAwBIylfVw0xTqZ-8yK6cJeULtCaft</v>
      </c>
      <c r="AK616" s="12"/>
      <c r="AL616" s="12" t="str">
        <f>IFERROR(__xludf.DUMMYFUNCTION("""COMPUTED_VALUE"""),"Yes")</f>
        <v>Yes</v>
      </c>
      <c r="AM616" s="15">
        <f>IFERROR(__xludf.DUMMYFUNCTION("""COMPUTED_VALUE"""),0.3)</f>
        <v>0.3</v>
      </c>
      <c r="AN616" s="12" t="str">
        <f>IFERROR(__xludf.DUMMYFUNCTION("""COMPUTED_VALUE"""),"3rd week")</f>
        <v>3rd week</v>
      </c>
      <c r="AO616" s="13">
        <v>3.0</v>
      </c>
      <c r="AX616" s="17"/>
    </row>
    <row r="617">
      <c r="B617" s="9">
        <f>IFERROR(__xludf.DUMMYFUNCTION("""COMPUTED_VALUE"""),45894.22848466435)</f>
        <v>45894.22848</v>
      </c>
      <c r="C617" s="10" t="str">
        <f>IFERROR(__xludf.DUMMYFUNCTION("""COMPUTED_VALUE"""),"Shahid Iqbal")</f>
        <v>Shahid Iqbal</v>
      </c>
      <c r="D617" s="10" t="str">
        <f>IFERROR(__xludf.DUMMYFUNCTION("""COMPUTED_VALUE"""),"03013665049")</f>
        <v>03013665049</v>
      </c>
      <c r="E617" s="10" t="str">
        <f>IFERROR(__xludf.DUMMYFUNCTION("""COMPUTED_VALUE"""),"Jamia Masjid Ghawajagaan Multan")</f>
        <v>Jamia Masjid Ghawajagaan Multan</v>
      </c>
      <c r="F617" s="10" t="str">
        <f>IFERROR(__xludf.DUMMYFUNCTION("""COMPUTED_VALUE"""),"cfhon")</f>
        <v>cfhon</v>
      </c>
      <c r="G617" s="10" t="str">
        <f>IFERROR(__xludf.DUMMYFUNCTION("""COMPUTED_VALUE"""),"Yes")</f>
        <v>Yes</v>
      </c>
      <c r="H617" s="10">
        <f>IFERROR(__xludf.DUMMYFUNCTION("""COMPUTED_VALUE"""),6.0)</f>
        <v>6</v>
      </c>
      <c r="I617" s="10">
        <f>IFERROR(__xludf.DUMMYFUNCTION("""COMPUTED_VALUE"""),4.0)</f>
        <v>4</v>
      </c>
      <c r="J617" s="10">
        <f>IFERROR(__xludf.DUMMYFUNCTION("""COMPUTED_VALUE"""),7.0)</f>
        <v>7</v>
      </c>
      <c r="K617" s="10">
        <f>IFERROR(__xludf.DUMMYFUNCTION("""COMPUTED_VALUE"""),8.0)</f>
        <v>8</v>
      </c>
      <c r="L617" s="10">
        <f>IFERROR(__xludf.DUMMYFUNCTION("""COMPUTED_VALUE"""),0.0)</f>
        <v>0</v>
      </c>
      <c r="M617" s="10">
        <f>IFERROR(__xludf.DUMMYFUNCTION("""COMPUTED_VALUE"""),8.0)</f>
        <v>8</v>
      </c>
      <c r="N617" s="10">
        <f>IFERROR(__xludf.DUMMYFUNCTION("""COMPUTED_VALUE"""),0.0)</f>
        <v>0</v>
      </c>
      <c r="O617" s="10">
        <f>IFERROR(__xludf.DUMMYFUNCTION("""COMPUTED_VALUE"""),8.0)</f>
        <v>8</v>
      </c>
      <c r="P617" s="10">
        <f>IFERROR(__xludf.DUMMYFUNCTION("""COMPUTED_VALUE"""),0.0)</f>
        <v>0</v>
      </c>
      <c r="Q617" s="10" t="str">
        <f>IFERROR(__xludf.DUMMYFUNCTION("""COMPUTED_VALUE"""),"Yes")</f>
        <v>Yes</v>
      </c>
      <c r="R617" s="10" t="str">
        <f>IFERROR(__xludf.DUMMYFUNCTION("""COMPUTED_VALUE"""),"No")</f>
        <v>No</v>
      </c>
      <c r="S617" s="10" t="str">
        <f>IFERROR(__xludf.DUMMYFUNCTION("""COMPUTED_VALUE"""),"No")</f>
        <v>No</v>
      </c>
      <c r="T617" s="10">
        <f>IFERROR(__xludf.DUMMYFUNCTION("""COMPUTED_VALUE"""),0.0)</f>
        <v>0</v>
      </c>
      <c r="U617" s="10">
        <f>IFERROR(__xludf.DUMMYFUNCTION("""COMPUTED_VALUE"""),0.0)</f>
        <v>0</v>
      </c>
      <c r="V617" s="10" t="str">
        <f>IFERROR(__xludf.DUMMYFUNCTION("""COMPUTED_VALUE"""),"Islam ma Aurton k haqooq")</f>
        <v>Islam ma Aurton k haqooq</v>
      </c>
      <c r="W617" s="10" t="str">
        <f>IFERROR(__xludf.DUMMYFUNCTION("""COMPUTED_VALUE"""),"Islam ma Aurton k haqooq aur zimadaarian")</f>
        <v>Islam ma Aurton k haqooq aur zimadaarian</v>
      </c>
      <c r="X617" s="10">
        <f>IFERROR(__xludf.DUMMYFUNCTION("""COMPUTED_VALUE"""),2.0)</f>
        <v>2</v>
      </c>
      <c r="Y617" s="10">
        <f>IFERROR(__xludf.DUMMYFUNCTION("""COMPUTED_VALUE"""),3.0)</f>
        <v>3</v>
      </c>
      <c r="Z617" s="10">
        <f>IFERROR(__xludf.DUMMYFUNCTION("""COMPUTED_VALUE"""),5.0)</f>
        <v>5</v>
      </c>
      <c r="AA617" s="10">
        <f>IFERROR(__xludf.DUMMYFUNCTION("""COMPUTED_VALUE"""),7.0)</f>
        <v>7</v>
      </c>
      <c r="AB617" s="10">
        <f>IFERROR(__xludf.DUMMYFUNCTION("""COMPUTED_VALUE"""),3.0)</f>
        <v>3</v>
      </c>
      <c r="AC617" s="10">
        <f>IFERROR(__xludf.DUMMYFUNCTION("""COMPUTED_VALUE"""),3.0)</f>
        <v>3</v>
      </c>
      <c r="AD617" s="10">
        <f>IFERROR(__xludf.DUMMYFUNCTION("""COMPUTED_VALUE"""),0.0)</f>
        <v>0</v>
      </c>
      <c r="AE617" s="10">
        <f>IFERROR(__xludf.DUMMYFUNCTION("""COMPUTED_VALUE"""),0.0)</f>
        <v>0</v>
      </c>
      <c r="AF617" s="10">
        <f>IFERROR(__xludf.DUMMYFUNCTION("""COMPUTED_VALUE"""),0.0)</f>
        <v>0</v>
      </c>
      <c r="AG617" s="10">
        <f>IFERROR(__xludf.DUMMYFUNCTION("""COMPUTED_VALUE"""),8.0)</f>
        <v>8</v>
      </c>
      <c r="AH617" s="10">
        <f>IFERROR(__xludf.DUMMYFUNCTION("""COMPUTED_VALUE"""),0.0)</f>
        <v>0</v>
      </c>
      <c r="AI617" s="10">
        <f>IFERROR(__xludf.DUMMYFUNCTION("""COMPUTED_VALUE"""),7.0)</f>
        <v>7</v>
      </c>
      <c r="AJ617" s="11" t="str">
        <f>IFERROR(__xludf.DUMMYFUNCTION("""COMPUTED_VALUE"""),"https://drive.google.com/open?id=1uEtXN0R8TUX_xm-3qQL1l6hM7sK4IOiD")</f>
        <v>https://drive.google.com/open?id=1uEtXN0R8TUX_xm-3qQL1l6hM7sK4IOiD</v>
      </c>
      <c r="AK617" s="12"/>
      <c r="AL617" s="12" t="str">
        <f>IFERROR(__xludf.DUMMYFUNCTION("""COMPUTED_VALUE"""),"Yes")</f>
        <v>Yes</v>
      </c>
      <c r="AM617" s="15">
        <f>IFERROR(__xludf.DUMMYFUNCTION("""COMPUTED_VALUE"""),0.6)</f>
        <v>0.6</v>
      </c>
      <c r="AN617" s="12" t="str">
        <f>IFERROR(__xludf.DUMMYFUNCTION("""COMPUTED_VALUE"""),"2nd week")</f>
        <v>2nd week</v>
      </c>
      <c r="AO617" s="13">
        <v>2.0</v>
      </c>
      <c r="AX617" s="17"/>
    </row>
    <row r="618">
      <c r="B618" s="9">
        <f>IFERROR(__xludf.DUMMYFUNCTION("""COMPUTED_VALUE"""),45894.23199363426)</f>
        <v>45894.23199</v>
      </c>
      <c r="C618" s="10" t="str">
        <f>IFERROR(__xludf.DUMMYFUNCTION("""COMPUTED_VALUE"""),"Muqaddas bibi ")</f>
        <v>Muqaddas bibi </v>
      </c>
      <c r="D618" s="10" t="str">
        <f>IFERROR(__xludf.DUMMYFUNCTION("""COMPUTED_VALUE"""),"03075314147")</f>
        <v>03075314147</v>
      </c>
      <c r="E618" s="10" t="str">
        <f>IFERROR(__xludf.DUMMYFUNCTION("""COMPUTED_VALUE"""),"Jamia masjid muhdum jahaniya oh Shareef ")</f>
        <v>Jamia masjid muhdum jahaniya oh Shareef </v>
      </c>
      <c r="F618" s="10" t="str">
        <f>IFERROR(__xludf.DUMMYFUNCTION("""COMPUTED_VALUE"""),"vnnpw")</f>
        <v>vnnpw</v>
      </c>
      <c r="G618" s="10" t="str">
        <f>IFERROR(__xludf.DUMMYFUNCTION("""COMPUTED_VALUE"""),"Yes")</f>
        <v>Yes</v>
      </c>
      <c r="H618" s="10">
        <f>IFERROR(__xludf.DUMMYFUNCTION("""COMPUTED_VALUE"""),8.0)</f>
        <v>8</v>
      </c>
      <c r="I618" s="10">
        <f>IFERROR(__xludf.DUMMYFUNCTION("""COMPUTED_VALUE"""),0.0)</f>
        <v>0</v>
      </c>
      <c r="J618" s="10">
        <f>IFERROR(__xludf.DUMMYFUNCTION("""COMPUTED_VALUE"""),8.0)</f>
        <v>8</v>
      </c>
      <c r="K618" s="10">
        <f>IFERROR(__xludf.DUMMYFUNCTION("""COMPUTED_VALUE"""),0.0)</f>
        <v>0</v>
      </c>
      <c r="L618" s="10">
        <f>IFERROR(__xludf.DUMMYFUNCTION("""COMPUTED_VALUE"""),7.0)</f>
        <v>7</v>
      </c>
      <c r="M618" s="10">
        <f>IFERROR(__xludf.DUMMYFUNCTION("""COMPUTED_VALUE"""),2.0)</f>
        <v>2</v>
      </c>
      <c r="N618" s="10">
        <f>IFERROR(__xludf.DUMMYFUNCTION("""COMPUTED_VALUE"""),8.0)</f>
        <v>8</v>
      </c>
      <c r="O618" s="10">
        <f>IFERROR(__xludf.DUMMYFUNCTION("""COMPUTED_VALUE"""),0.0)</f>
        <v>0</v>
      </c>
      <c r="P618" s="10">
        <f>IFERROR(__xludf.DUMMYFUNCTION("""COMPUTED_VALUE"""),6.0)</f>
        <v>6</v>
      </c>
      <c r="Q618" s="10" t="str">
        <f>IFERROR(__xludf.DUMMYFUNCTION("""COMPUTED_VALUE"""),"No")</f>
        <v>No</v>
      </c>
      <c r="R618" s="10" t="str">
        <f>IFERROR(__xludf.DUMMYFUNCTION("""COMPUTED_VALUE"""),"No")</f>
        <v>No</v>
      </c>
      <c r="S618" s="10" t="str">
        <f>IFERROR(__xludf.DUMMYFUNCTION("""COMPUTED_VALUE"""),"No")</f>
        <v>No</v>
      </c>
      <c r="T618" s="10">
        <f>IFERROR(__xludf.DUMMYFUNCTION("""COMPUTED_VALUE"""),0.0)</f>
        <v>0</v>
      </c>
      <c r="U618" s="10">
        <f>IFERROR(__xludf.DUMMYFUNCTION("""COMPUTED_VALUE"""),0.0)</f>
        <v>0</v>
      </c>
      <c r="V618" s="10" t="str">
        <f>IFERROR(__xludf.DUMMYFUNCTION("""COMPUTED_VALUE"""),"اسلام میں پڑوسیوں کے حقوق")</f>
        <v>اسلام میں پڑوسیوں کے حقوق</v>
      </c>
      <c r="W618" s="10" t="str">
        <f>IFERROR(__xludf.DUMMYFUNCTION("""COMPUTED_VALUE"""),"یہ بیان مسلمانوں کے باہمی حقوق بھائی چارے اور پڑوسیوں کے ساتھ حسن سلوک کی اہمیت پر زور دیتا ہے اسلام نے ایک دوسرے کے دکھ سکھ میں شریک ہونا اور اچھے تعلقات قائم رکھنا مضبوط معاشرے کی بنیاد ہے")</f>
        <v>یہ بیان مسلمانوں کے باہمی حقوق بھائی چارے اور پڑوسیوں کے ساتھ حسن سلوک کی اہمیت پر زور دیتا ہے اسلام نے ایک دوسرے کے دکھ سکھ میں شریک ہونا اور اچھے تعلقات قائم رکھنا مضبوط معاشرے کی بنیاد ہے</v>
      </c>
      <c r="X618" s="10">
        <f>IFERROR(__xludf.DUMMYFUNCTION("""COMPUTED_VALUE"""),0.0)</f>
        <v>0</v>
      </c>
      <c r="Y618" s="10">
        <f>IFERROR(__xludf.DUMMYFUNCTION("""COMPUTED_VALUE"""),10.0)</f>
        <v>10</v>
      </c>
      <c r="Z618" s="10">
        <f>IFERROR(__xludf.DUMMYFUNCTION("""COMPUTED_VALUE"""),4.0)</f>
        <v>4</v>
      </c>
      <c r="AA618" s="10">
        <f>IFERROR(__xludf.DUMMYFUNCTION("""COMPUTED_VALUE"""),3.0)</f>
        <v>3</v>
      </c>
      <c r="AB618" s="10">
        <f>IFERROR(__xludf.DUMMYFUNCTION("""COMPUTED_VALUE"""),0.0)</f>
        <v>0</v>
      </c>
      <c r="AC618" s="10">
        <f>IFERROR(__xludf.DUMMYFUNCTION("""COMPUTED_VALUE"""),0.0)</f>
        <v>0</v>
      </c>
      <c r="AD618" s="10">
        <f>IFERROR(__xludf.DUMMYFUNCTION("""COMPUTED_VALUE"""),2.0)</f>
        <v>2</v>
      </c>
      <c r="AE618" s="10">
        <f>IFERROR(__xludf.DUMMYFUNCTION("""COMPUTED_VALUE"""),0.0)</f>
        <v>0</v>
      </c>
      <c r="AF618" s="10">
        <f>IFERROR(__xludf.DUMMYFUNCTION("""COMPUTED_VALUE"""),0.0)</f>
        <v>0</v>
      </c>
      <c r="AG618" s="10">
        <f>IFERROR(__xludf.DUMMYFUNCTION("""COMPUTED_VALUE"""),8.0)</f>
        <v>8</v>
      </c>
      <c r="AH618" s="10">
        <f>IFERROR(__xludf.DUMMYFUNCTION("""COMPUTED_VALUE"""),0.0)</f>
        <v>0</v>
      </c>
      <c r="AI618" s="10">
        <f>IFERROR(__xludf.DUMMYFUNCTION("""COMPUTED_VALUE"""),8.0)</f>
        <v>8</v>
      </c>
      <c r="AJ618" s="11" t="str">
        <f>IFERROR(__xludf.DUMMYFUNCTION("""COMPUTED_VALUE"""),"https://drive.google.com/open?id=1h9mXCeiQyXNlG6F5h3q7NTypeO79grpl")</f>
        <v>https://drive.google.com/open?id=1h9mXCeiQyXNlG6F5h3q7NTypeO79grpl</v>
      </c>
      <c r="AK618" s="12" t="str">
        <f>IFERROR(__xludf.DUMMYFUNCTION("""COMPUTED_VALUE"""),"Nill")</f>
        <v>Nill</v>
      </c>
      <c r="AL618" s="12" t="str">
        <f>IFERROR(__xludf.DUMMYFUNCTION("""COMPUTED_VALUE"""),"Yes")</f>
        <v>Yes</v>
      </c>
      <c r="AM618" s="15">
        <f>IFERROR(__xludf.DUMMYFUNCTION("""COMPUTED_VALUE"""),0.8)</f>
        <v>0.8</v>
      </c>
      <c r="AN618" s="12" t="str">
        <f>IFERROR(__xludf.DUMMYFUNCTION("""COMPUTED_VALUE"""),"2nd week")</f>
        <v>2nd week</v>
      </c>
      <c r="AO618" s="13">
        <v>2.0</v>
      </c>
      <c r="AX618" s="17"/>
    </row>
    <row r="619">
      <c r="B619" s="9">
        <f>IFERROR(__xludf.DUMMYFUNCTION("""COMPUTED_VALUE"""),45894.31294938657)</f>
        <v>45894.31295</v>
      </c>
      <c r="C619" s="10" t="str">
        <f>IFERROR(__xludf.DUMMYFUNCTION("""COMPUTED_VALUE"""),"Atiqa")</f>
        <v>Atiqa</v>
      </c>
      <c r="D619" s="10" t="str">
        <f>IFERROR(__xludf.DUMMYFUNCTION("""COMPUTED_VALUE"""),"03157519977")</f>
        <v>03157519977</v>
      </c>
      <c r="E619" s="10" t="str">
        <f>IFERROR(__xludf.DUMMYFUNCTION("""COMPUTED_VALUE"""),"Jamia Masjid Peer Ismail Multan")</f>
        <v>Jamia Masjid Peer Ismail Multan</v>
      </c>
      <c r="F619" s="10" t="str">
        <f>IFERROR(__xludf.DUMMYFUNCTION("""COMPUTED_VALUE"""),"dyrjs")</f>
        <v>dyrjs</v>
      </c>
      <c r="G619" s="10" t="str">
        <f>IFERROR(__xludf.DUMMYFUNCTION("""COMPUTED_VALUE"""),"Yes")</f>
        <v>Yes</v>
      </c>
      <c r="H619" s="10">
        <f>IFERROR(__xludf.DUMMYFUNCTION("""COMPUTED_VALUE"""),0.0)</f>
        <v>0</v>
      </c>
      <c r="I619" s="10">
        <f>IFERROR(__xludf.DUMMYFUNCTION("""COMPUTED_VALUE"""),10.0)</f>
        <v>10</v>
      </c>
      <c r="J619" s="10">
        <f>IFERROR(__xludf.DUMMYFUNCTION("""COMPUTED_VALUE"""),0.0)</f>
        <v>0</v>
      </c>
      <c r="K619" s="10">
        <f>IFERROR(__xludf.DUMMYFUNCTION("""COMPUTED_VALUE"""),0.0)</f>
        <v>0</v>
      </c>
      <c r="L619" s="10">
        <f>IFERROR(__xludf.DUMMYFUNCTION("""COMPUTED_VALUE"""),0.0)</f>
        <v>0</v>
      </c>
      <c r="M619" s="10">
        <f>IFERROR(__xludf.DUMMYFUNCTION("""COMPUTED_VALUE"""),0.0)</f>
        <v>0</v>
      </c>
      <c r="N619" s="10">
        <f>IFERROR(__xludf.DUMMYFUNCTION("""COMPUTED_VALUE"""),0.0)</f>
        <v>0</v>
      </c>
      <c r="O619" s="10">
        <f>IFERROR(__xludf.DUMMYFUNCTION("""COMPUTED_VALUE"""),0.0)</f>
        <v>0</v>
      </c>
      <c r="P619" s="10">
        <f>IFERROR(__xludf.DUMMYFUNCTION("""COMPUTED_VALUE"""),0.0)</f>
        <v>0</v>
      </c>
      <c r="Q619" s="10" t="str">
        <f>IFERROR(__xludf.DUMMYFUNCTION("""COMPUTED_VALUE"""),"No")</f>
        <v>No</v>
      </c>
      <c r="R619" s="10" t="str">
        <f>IFERROR(__xludf.DUMMYFUNCTION("""COMPUTED_VALUE"""),"No")</f>
        <v>No</v>
      </c>
      <c r="S619" s="10" t="str">
        <f>IFERROR(__xludf.DUMMYFUNCTION("""COMPUTED_VALUE"""),"No")</f>
        <v>No</v>
      </c>
      <c r="T619" s="10">
        <f>IFERROR(__xludf.DUMMYFUNCTION("""COMPUTED_VALUE"""),0.0)</f>
        <v>0</v>
      </c>
      <c r="U619" s="10">
        <f>IFERROR(__xludf.DUMMYFUNCTION("""COMPUTED_VALUE"""),0.0)</f>
        <v>0</v>
      </c>
      <c r="V619" s="10" t="str">
        <f>IFERROR(__xludf.DUMMYFUNCTION("""COMPUTED_VALUE"""),"جمعے کے نماز کی فضیلت ")</f>
        <v>جمعے کے نماز کی فضیلت </v>
      </c>
      <c r="W619" s="10" t="str">
        <f>IFERROR(__xludf.DUMMYFUNCTION("""COMPUTED_VALUE"""),"جمعہ کی فضیلت بیان کرتے ہوئے کہا کہ جب جمعہ کا وقت ہو سب کام کاج چھوڑ کر اپنا کاروبار تجارت چھوڑ کر جمعہ کی نماز کی طرف ا جاؤ ، باقی قوموں پر اللہ تعالی نے عبادت کے لیے دن مقرر فرمائے لیکن امت رسول صلی اللہ علیہ وسلم پر اپ صلی اللہ علیہ وسلم کی برکت سے کو"&amp;"ئی دن مقرر نہیں فرمایا صرف جمعہ کے لیے کچھ وقت نکالنے کے لیے کہا ، اور جمعہ کے دن اہتمام کر کے مسجد وقت پر انے کی فضیلت بیان کی گئی اور عورتوں کو گھر میں نماز کا اہتمام کرنے کے لیے کہا گیا ۔ ")</f>
        <v>جمعہ کی فضیلت بیان کرتے ہوئے کہا کہ جب جمعہ کا وقت ہو سب کام کاج چھوڑ کر اپنا کاروبار تجارت چھوڑ کر جمعہ کی نماز کی طرف ا جاؤ ، باقی قوموں پر اللہ تعالی نے عبادت کے لیے دن مقرر فرمائے لیکن امت رسول صلی اللہ علیہ وسلم پر اپ صلی اللہ علیہ وسلم کی برکت سے کوئی دن مقرر نہیں فرمایا صرف جمعہ کے لیے کچھ وقت نکالنے کے لیے کہا ، اور جمعہ کے دن اہتمام کر کے مسجد وقت پر انے کی فضیلت بیان کی گئی اور عورتوں کو گھر میں نماز کا اہتمام کرنے کے لیے کہا گیا ۔ </v>
      </c>
      <c r="X619" s="10">
        <f>IFERROR(__xludf.DUMMYFUNCTION("""COMPUTED_VALUE"""),9.0)</f>
        <v>9</v>
      </c>
      <c r="Y619" s="10">
        <f>IFERROR(__xludf.DUMMYFUNCTION("""COMPUTED_VALUE"""),6.0)</f>
        <v>6</v>
      </c>
      <c r="Z619" s="10">
        <f>IFERROR(__xludf.DUMMYFUNCTION("""COMPUTED_VALUE"""),2.0)</f>
        <v>2</v>
      </c>
      <c r="AA619" s="10">
        <f>IFERROR(__xludf.DUMMYFUNCTION("""COMPUTED_VALUE"""),9.0)</f>
        <v>9</v>
      </c>
      <c r="AB619" s="10">
        <f>IFERROR(__xludf.DUMMYFUNCTION("""COMPUTED_VALUE"""),3.0)</f>
        <v>3</v>
      </c>
      <c r="AC619" s="10">
        <f>IFERROR(__xludf.DUMMYFUNCTION("""COMPUTED_VALUE"""),0.0)</f>
        <v>0</v>
      </c>
      <c r="AD619" s="10">
        <f>IFERROR(__xludf.DUMMYFUNCTION("""COMPUTED_VALUE"""),0.0)</f>
        <v>0</v>
      </c>
      <c r="AE619" s="10">
        <f>IFERROR(__xludf.DUMMYFUNCTION("""COMPUTED_VALUE"""),0.0)</f>
        <v>0</v>
      </c>
      <c r="AF619" s="10">
        <f>IFERROR(__xludf.DUMMYFUNCTION("""COMPUTED_VALUE"""),0.0)</f>
        <v>0</v>
      </c>
      <c r="AG619" s="10">
        <f>IFERROR(__xludf.DUMMYFUNCTION("""COMPUTED_VALUE"""),9.0)</f>
        <v>9</v>
      </c>
      <c r="AH619" s="10">
        <f>IFERROR(__xludf.DUMMYFUNCTION("""COMPUTED_VALUE"""),0.0)</f>
        <v>0</v>
      </c>
      <c r="AI619" s="10">
        <f>IFERROR(__xludf.DUMMYFUNCTION("""COMPUTED_VALUE"""),9.0)</f>
        <v>9</v>
      </c>
      <c r="AJ619" s="11" t="str">
        <f>IFERROR(__xludf.DUMMYFUNCTION("""COMPUTED_VALUE"""),"https://drive.google.com/open?id=1mBYsYGyV1aT6ucvbYlHoRKKs5K_uvHtupiAeYIJFwJ0")</f>
        <v>https://drive.google.com/open?id=1mBYsYGyV1aT6ucvbYlHoRKKs5K_uvHtupiAeYIJFwJ0</v>
      </c>
      <c r="AK619" s="12"/>
      <c r="AL619" s="12" t="str">
        <f>IFERROR(__xludf.DUMMYFUNCTION("""COMPUTED_VALUE"""),"Yes")</f>
        <v>Yes</v>
      </c>
      <c r="AM619" s="15">
        <f>IFERROR(__xludf.DUMMYFUNCTION("""COMPUTED_VALUE"""),0.0)</f>
        <v>0</v>
      </c>
      <c r="AN619" s="12" t="str">
        <f>IFERROR(__xludf.DUMMYFUNCTION("""COMPUTED_VALUE"""),"2nd week")</f>
        <v>2nd week</v>
      </c>
      <c r="AO619" s="13">
        <v>2.0</v>
      </c>
      <c r="AX619" s="17"/>
    </row>
    <row r="620">
      <c r="B620" s="9">
        <f>IFERROR(__xludf.DUMMYFUNCTION("""COMPUTED_VALUE"""),45894.40156979166)</f>
        <v>45894.40157</v>
      </c>
      <c r="C620" s="10" t="str">
        <f>IFERROR(__xludf.DUMMYFUNCTION("""COMPUTED_VALUE"""),"Atiqa")</f>
        <v>Atiqa</v>
      </c>
      <c r="D620" s="10" t="str">
        <f>IFERROR(__xludf.DUMMYFUNCTION("""COMPUTED_VALUE"""),"03157519977")</f>
        <v>03157519977</v>
      </c>
      <c r="E620" s="10" t="str">
        <f>IFERROR(__xludf.DUMMYFUNCTION("""COMPUTED_VALUE"""),"Jamia Masjid Mahdum Rasheed Haqani Multan")</f>
        <v>Jamia Masjid Mahdum Rasheed Haqani Multan</v>
      </c>
      <c r="F620" s="10" t="str">
        <f>IFERROR(__xludf.DUMMYFUNCTION("""COMPUTED_VALUE"""),"cqxog")</f>
        <v>cqxog</v>
      </c>
      <c r="G620" s="10" t="str">
        <f>IFERROR(__xludf.DUMMYFUNCTION("""COMPUTED_VALUE"""),"Yes")</f>
        <v>Yes</v>
      </c>
      <c r="H620" s="10">
        <f>IFERROR(__xludf.DUMMYFUNCTION("""COMPUTED_VALUE"""),0.0)</f>
        <v>0</v>
      </c>
      <c r="I620" s="10">
        <f>IFERROR(__xludf.DUMMYFUNCTION("""COMPUTED_VALUE"""),10.0)</f>
        <v>10</v>
      </c>
      <c r="J620" s="10">
        <f>IFERROR(__xludf.DUMMYFUNCTION("""COMPUTED_VALUE"""),0.0)</f>
        <v>0</v>
      </c>
      <c r="K620" s="10">
        <f>IFERROR(__xludf.DUMMYFUNCTION("""COMPUTED_VALUE"""),0.0)</f>
        <v>0</v>
      </c>
      <c r="L620" s="10">
        <f>IFERROR(__xludf.DUMMYFUNCTION("""COMPUTED_VALUE"""),4.0)</f>
        <v>4</v>
      </c>
      <c r="M620" s="10">
        <f>IFERROR(__xludf.DUMMYFUNCTION("""COMPUTED_VALUE"""),0.0)</f>
        <v>0</v>
      </c>
      <c r="N620" s="10">
        <f>IFERROR(__xludf.DUMMYFUNCTION("""COMPUTED_VALUE"""),3.0)</f>
        <v>3</v>
      </c>
      <c r="O620" s="10">
        <f>IFERROR(__xludf.DUMMYFUNCTION("""COMPUTED_VALUE"""),0.0)</f>
        <v>0</v>
      </c>
      <c r="P620" s="10">
        <f>IFERROR(__xludf.DUMMYFUNCTION("""COMPUTED_VALUE"""),2.0)</f>
        <v>2</v>
      </c>
      <c r="Q620" s="10" t="str">
        <f>IFERROR(__xludf.DUMMYFUNCTION("""COMPUTED_VALUE"""),"No")</f>
        <v>No</v>
      </c>
      <c r="R620" s="10" t="str">
        <f>IFERROR(__xludf.DUMMYFUNCTION("""COMPUTED_VALUE"""),"No")</f>
        <v>No</v>
      </c>
      <c r="S620" s="10" t="str">
        <f>IFERROR(__xludf.DUMMYFUNCTION("""COMPUTED_VALUE"""),"No")</f>
        <v>No</v>
      </c>
      <c r="T620" s="10">
        <f>IFERROR(__xludf.DUMMYFUNCTION("""COMPUTED_VALUE"""),0.0)</f>
        <v>0</v>
      </c>
      <c r="U620" s="10">
        <f>IFERROR(__xludf.DUMMYFUNCTION("""COMPUTED_VALUE"""),0.0)</f>
        <v>0</v>
      </c>
      <c r="V620" s="10" t="str">
        <f>IFERROR(__xludf.DUMMYFUNCTION("""COMPUTED_VALUE"""),"ایمان والوں کی جزا اور صحابی بلال رضی اللہ تعالی عنہ کی خوش قسمتی ")</f>
        <v>ایمان والوں کی جزا اور صحابی بلال رضی اللہ تعالی عنہ کی خوش قسمتی </v>
      </c>
      <c r="W620" s="10" t="str">
        <f>IFERROR(__xludf.DUMMYFUNCTION("""COMPUTED_VALUE"""),"خوش نصیب صحابی جنہوں نے حضور صلی اللہ علیہ والہ وسلم کی زیارت کی ، بلال رضی اللہ تعالی عنہ کا جنت کی بشارت دیے جانے والے صحابہ میں شامل ہونا اور غار ثور کے دوران بلال رضی اللہ تعالی عنہ کی لا غر بکری کہ تھنوں سے محمد صلی اللہ علیہ وسلم کی ہاتھوں کی برکت س"&amp;"ے دودھ انا ، بلال رضی اللہ تعالی عنہ کا ایمان لانا اور ان کے اقا کا ظلم و ستم اور ابوبکر صدیق رضی اللہ تعالی عنہ کا ازاد کروا کر محمد صلی اللہ علیہ والہ وسلم کی خدمت میں پیش کرنا ، جبرائیل علیہ السلام کی محمد صلی اللہ علیہ وسلم کی ہمسائیوں پر گفتگو اور مح"&amp;"مد صلی اللہ علیہ وسلم کا خدشہ ان کے وراثت میں حقدار ٹھہرنے کا ، اور ایک عورت کو ہسائیوں کے ساتھ اچھے رویے پر جنت کی بشارت دی گئی ، بلال رضی اللہ تعالی عنہ کو مسجد نبوی کے اول موذن کا شرف عطا ہونا ")</f>
        <v>خوش نصیب صحابی جنہوں نے حضور صلی اللہ علیہ والہ وسلم کی زیارت کی ، بلال رضی اللہ تعالی عنہ کا جنت کی بشارت دیے جانے والے صحابہ میں شامل ہونا اور غار ثور کے دوران بلال رضی اللہ تعالی عنہ کی لا غر بکری کہ تھنوں سے محمد صلی اللہ علیہ وسلم کی ہاتھوں کی برکت سے دودھ انا ، بلال رضی اللہ تعالی عنہ کا ایمان لانا اور ان کے اقا کا ظلم و ستم اور ابوبکر صدیق رضی اللہ تعالی عنہ کا ازاد کروا کر محمد صلی اللہ علیہ والہ وسلم کی خدمت میں پیش کرنا ، جبرائیل علیہ السلام کی محمد صلی اللہ علیہ وسلم کی ہمسائیوں پر گفتگو اور محمد صلی اللہ علیہ وسلم کا خدشہ ان کے وراثت میں حقدار ٹھہرنے کا ، اور ایک عورت کو ہسائیوں کے ساتھ اچھے رویے پر جنت کی بشارت دی گئی ، بلال رضی اللہ تعالی عنہ کو مسجد نبوی کے اول موذن کا شرف عطا ہونا </v>
      </c>
      <c r="X620" s="10">
        <f>IFERROR(__xludf.DUMMYFUNCTION("""COMPUTED_VALUE"""),1.0)</f>
        <v>1</v>
      </c>
      <c r="Y620" s="10">
        <f>IFERROR(__xludf.DUMMYFUNCTION("""COMPUTED_VALUE"""),4.0)</f>
        <v>4</v>
      </c>
      <c r="Z620" s="10">
        <f>IFERROR(__xludf.DUMMYFUNCTION("""COMPUTED_VALUE"""),2.0)</f>
        <v>2</v>
      </c>
      <c r="AA620" s="10">
        <f>IFERROR(__xludf.DUMMYFUNCTION("""COMPUTED_VALUE"""),9.0)</f>
        <v>9</v>
      </c>
      <c r="AB620" s="10">
        <f>IFERROR(__xludf.DUMMYFUNCTION("""COMPUTED_VALUE"""),8.0)</f>
        <v>8</v>
      </c>
      <c r="AC620" s="10">
        <f>IFERROR(__xludf.DUMMYFUNCTION("""COMPUTED_VALUE"""),0.0)</f>
        <v>0</v>
      </c>
      <c r="AD620" s="10">
        <f>IFERROR(__xludf.DUMMYFUNCTION("""COMPUTED_VALUE"""),0.0)</f>
        <v>0</v>
      </c>
      <c r="AE620" s="10">
        <f>IFERROR(__xludf.DUMMYFUNCTION("""COMPUTED_VALUE"""),1.0)</f>
        <v>1</v>
      </c>
      <c r="AF620" s="10">
        <f>IFERROR(__xludf.DUMMYFUNCTION("""COMPUTED_VALUE"""),0.0)</f>
        <v>0</v>
      </c>
      <c r="AG620" s="10">
        <f>IFERROR(__xludf.DUMMYFUNCTION("""COMPUTED_VALUE"""),9.0)</f>
        <v>9</v>
      </c>
      <c r="AH620" s="10">
        <f>IFERROR(__xludf.DUMMYFUNCTION("""COMPUTED_VALUE"""),0.0)</f>
        <v>0</v>
      </c>
      <c r="AI620" s="10">
        <f>IFERROR(__xludf.DUMMYFUNCTION("""COMPUTED_VALUE"""),9.0)</f>
        <v>9</v>
      </c>
      <c r="AJ620" s="11" t="str">
        <f>IFERROR(__xludf.DUMMYFUNCTION("""COMPUTED_VALUE"""),"https://drive.google.com/open?id=1WGojeLNOgY73-14WNIX97JG8T7sh6sI5dD4fj8nBybA")</f>
        <v>https://drive.google.com/open?id=1WGojeLNOgY73-14WNIX97JG8T7sh6sI5dD4fj8nBybA</v>
      </c>
      <c r="AK620" s="12"/>
      <c r="AL620" s="12" t="str">
        <f>IFERROR(__xludf.DUMMYFUNCTION("""COMPUTED_VALUE"""),"Yes")</f>
        <v>Yes</v>
      </c>
      <c r="AM620" s="15">
        <f>IFERROR(__xludf.DUMMYFUNCTION("""COMPUTED_VALUE"""),0.0)</f>
        <v>0</v>
      </c>
      <c r="AN620" s="12" t="str">
        <f>IFERROR(__xludf.DUMMYFUNCTION("""COMPUTED_VALUE"""),"1st week")</f>
        <v>1st week</v>
      </c>
      <c r="AO620" s="13">
        <v>1.0</v>
      </c>
      <c r="AX620" s="17"/>
    </row>
    <row r="621">
      <c r="B621" s="9">
        <f>IFERROR(__xludf.DUMMYFUNCTION("""COMPUTED_VALUE"""),45894.56009853009)</f>
        <v>45894.5601</v>
      </c>
      <c r="C621" s="10" t="str">
        <f>IFERROR(__xludf.DUMMYFUNCTION("""COMPUTED_VALUE"""),"Arti Kumari ")</f>
        <v>Arti Kumari </v>
      </c>
      <c r="D621" s="10" t="str">
        <f>IFERROR(__xludf.DUMMYFUNCTION("""COMPUTED_VALUE"""),"03346661865")</f>
        <v>03346661865</v>
      </c>
      <c r="E621" s="10" t="str">
        <f>IFERROR(__xludf.DUMMYFUNCTION("""COMPUTED_VALUE"""),"Jamia Masjid JAHNAAZ Multan ")</f>
        <v>Jamia Masjid JAHNAAZ Multan </v>
      </c>
      <c r="F621" s="10" t="str">
        <f>IFERROR(__xludf.DUMMYFUNCTION("""COMPUTED_VALUE"""),"wpxtm")</f>
        <v>wpxtm</v>
      </c>
      <c r="G621" s="10" t="str">
        <f>IFERROR(__xludf.DUMMYFUNCTION("""COMPUTED_VALUE"""),"Yes")</f>
        <v>Yes</v>
      </c>
      <c r="H621" s="10">
        <f>IFERROR(__xludf.DUMMYFUNCTION("""COMPUTED_VALUE"""),0.0)</f>
        <v>0</v>
      </c>
      <c r="I621" s="10">
        <f>IFERROR(__xludf.DUMMYFUNCTION("""COMPUTED_VALUE"""),0.0)</f>
        <v>0</v>
      </c>
      <c r="J621" s="10">
        <f>IFERROR(__xludf.DUMMYFUNCTION("""COMPUTED_VALUE"""),0.0)</f>
        <v>0</v>
      </c>
      <c r="K621" s="10">
        <f>IFERROR(__xludf.DUMMYFUNCTION("""COMPUTED_VALUE"""),0.0)</f>
        <v>0</v>
      </c>
      <c r="L621" s="10">
        <f>IFERROR(__xludf.DUMMYFUNCTION("""COMPUTED_VALUE"""),0.0)</f>
        <v>0</v>
      </c>
      <c r="M621" s="10">
        <f>IFERROR(__xludf.DUMMYFUNCTION("""COMPUTED_VALUE"""),0.0)</f>
        <v>0</v>
      </c>
      <c r="N621" s="10">
        <f>IFERROR(__xludf.DUMMYFUNCTION("""COMPUTED_VALUE"""),0.0)</f>
        <v>0</v>
      </c>
      <c r="O621" s="10">
        <f>IFERROR(__xludf.DUMMYFUNCTION("""COMPUTED_VALUE"""),0.0)</f>
        <v>0</v>
      </c>
      <c r="P621" s="10">
        <f>IFERROR(__xludf.DUMMYFUNCTION("""COMPUTED_VALUE"""),0.0)</f>
        <v>0</v>
      </c>
      <c r="Q621" s="10" t="str">
        <f>IFERROR(__xludf.DUMMYFUNCTION("""COMPUTED_VALUE"""),"No")</f>
        <v>No</v>
      </c>
      <c r="R621" s="10" t="str">
        <f>IFERROR(__xludf.DUMMYFUNCTION("""COMPUTED_VALUE"""),"No")</f>
        <v>No</v>
      </c>
      <c r="S621" s="10" t="str">
        <f>IFERROR(__xludf.DUMMYFUNCTION("""COMPUTED_VALUE"""),"No")</f>
        <v>No</v>
      </c>
      <c r="T621" s="10">
        <f>IFERROR(__xludf.DUMMYFUNCTION("""COMPUTED_VALUE"""),0.0)</f>
        <v>0</v>
      </c>
      <c r="U621" s="10">
        <f>IFERROR(__xludf.DUMMYFUNCTION("""COMPUTED_VALUE"""),0.0)</f>
        <v>0</v>
      </c>
      <c r="V621" s="10" t="str">
        <f>IFERROR(__xludf.DUMMYFUNCTION("""COMPUTED_VALUE"""),"نبی صلی اللہ و علیہ وسلم کی مقدس ہستی")</f>
        <v>نبی صلی اللہ و علیہ وسلم کی مقدس ہستی</v>
      </c>
      <c r="W621" s="10" t="str">
        <f>IFERROR(__xludf.DUMMYFUNCTION("""COMPUTED_VALUE"""),"امام نے خطبہ میں حضرت محمد صلی اللہ و علیہ وسلم کی مقدس ہستی کے برے میں بت کی ہے اور بتایا کہ نبی فرماتے ہیں میں نے تمہارے لیے تمہارے دین کو مکمل کر دیا ہے اگر تم دین کو گہرائی سے پڑھوں تو اس میں وہ سب باتیں ہے جن کے لیے آج اصول بن رہے ہیں")</f>
        <v>امام نے خطبہ میں حضرت محمد صلی اللہ و علیہ وسلم کی مقدس ہستی کے برے میں بت کی ہے اور بتایا کہ نبی فرماتے ہیں میں نے تمہارے لیے تمہارے دین کو مکمل کر دیا ہے اگر تم دین کو گہرائی سے پڑھوں تو اس میں وہ سب باتیں ہے جن کے لیے آج اصول بن رہے ہیں</v>
      </c>
      <c r="X621" s="10">
        <f>IFERROR(__xludf.DUMMYFUNCTION("""COMPUTED_VALUE"""),0.0)</f>
        <v>0</v>
      </c>
      <c r="Y621" s="10">
        <f>IFERROR(__xludf.DUMMYFUNCTION("""COMPUTED_VALUE"""),4.0)</f>
        <v>4</v>
      </c>
      <c r="Z621" s="10">
        <f>IFERROR(__xludf.DUMMYFUNCTION("""COMPUTED_VALUE"""),4.0)</f>
        <v>4</v>
      </c>
      <c r="AA621" s="10">
        <f>IFERROR(__xludf.DUMMYFUNCTION("""COMPUTED_VALUE"""),4.0)</f>
        <v>4</v>
      </c>
      <c r="AB621" s="10">
        <f>IFERROR(__xludf.DUMMYFUNCTION("""COMPUTED_VALUE"""),0.0)</f>
        <v>0</v>
      </c>
      <c r="AC621" s="10">
        <f>IFERROR(__xludf.DUMMYFUNCTION("""COMPUTED_VALUE"""),0.0)</f>
        <v>0</v>
      </c>
      <c r="AD621" s="10">
        <f>IFERROR(__xludf.DUMMYFUNCTION("""COMPUTED_VALUE"""),0.0)</f>
        <v>0</v>
      </c>
      <c r="AE621" s="10">
        <f>IFERROR(__xludf.DUMMYFUNCTION("""COMPUTED_VALUE"""),0.0)</f>
        <v>0</v>
      </c>
      <c r="AF621" s="10">
        <f>IFERROR(__xludf.DUMMYFUNCTION("""COMPUTED_VALUE"""),0.0)</f>
        <v>0</v>
      </c>
      <c r="AG621" s="10">
        <f>IFERROR(__xludf.DUMMYFUNCTION("""COMPUTED_VALUE"""),5.0)</f>
        <v>5</v>
      </c>
      <c r="AH621" s="10">
        <f>IFERROR(__xludf.DUMMYFUNCTION("""COMPUTED_VALUE"""),0.0)</f>
        <v>0</v>
      </c>
      <c r="AI621" s="10">
        <f>IFERROR(__xludf.DUMMYFUNCTION("""COMPUTED_VALUE"""),5.0)</f>
        <v>5</v>
      </c>
      <c r="AJ621" s="11" t="str">
        <f>IFERROR(__xludf.DUMMYFUNCTION("""COMPUTED_VALUE"""),"https://drive.google.com/open?id=1WkB1JQTZ5-q_Z2QqrFQ3PAZHWVt4Ou5m")</f>
        <v>https://drive.google.com/open?id=1WkB1JQTZ5-q_Z2QqrFQ3PAZHWVt4Ou5m</v>
      </c>
      <c r="AK621" s="12"/>
      <c r="AL621" s="12" t="str">
        <f>IFERROR(__xludf.DUMMYFUNCTION("""COMPUTED_VALUE"""),"Yes")</f>
        <v>Yes</v>
      </c>
      <c r="AM621" s="15">
        <f>IFERROR(__xludf.DUMMYFUNCTION("""COMPUTED_VALUE"""),0.0)</f>
        <v>0</v>
      </c>
      <c r="AN621" s="12" t="str">
        <f>IFERROR(__xludf.DUMMYFUNCTION("""COMPUTED_VALUE"""),"4th week")</f>
        <v>4th week</v>
      </c>
      <c r="AO621" s="13">
        <v>4.0</v>
      </c>
      <c r="AX621" s="17"/>
    </row>
    <row r="622">
      <c r="B622" s="9">
        <f>IFERROR(__xludf.DUMMYFUNCTION("""COMPUTED_VALUE"""),45894.65283649306)</f>
        <v>45894.65284</v>
      </c>
      <c r="C622" s="10" t="str">
        <f>IFERROR(__xludf.DUMMYFUNCTION("""COMPUTED_VALUE"""),"Saira Shahzad ")</f>
        <v>Saira Shahzad </v>
      </c>
      <c r="D622" s="10" t="str">
        <f>IFERROR(__xludf.DUMMYFUNCTION("""COMPUTED_VALUE"""),"03114534696")</f>
        <v>03114534696</v>
      </c>
      <c r="E622" s="10" t="str">
        <f>IFERROR(__xludf.DUMMYFUNCTION("""COMPUTED_VALUE"""),"Jamia Masjid Shah Rangila Hasalpur")</f>
        <v>Jamia Masjid Shah Rangila Hasalpur</v>
      </c>
      <c r="F622" s="10" t="str">
        <f>IFERROR(__xludf.DUMMYFUNCTION("""COMPUTED_VALUE"""),"sjqhk")</f>
        <v>sjqhk</v>
      </c>
      <c r="G622" s="10" t="str">
        <f>IFERROR(__xludf.DUMMYFUNCTION("""COMPUTED_VALUE"""),"Yes")</f>
        <v>Yes</v>
      </c>
      <c r="H622" s="10">
        <f>IFERROR(__xludf.DUMMYFUNCTION("""COMPUTED_VALUE"""),0.0)</f>
        <v>0</v>
      </c>
      <c r="I622" s="10">
        <f>IFERROR(__xludf.DUMMYFUNCTION("""COMPUTED_VALUE"""),10.0)</f>
        <v>10</v>
      </c>
      <c r="J622" s="10">
        <f>IFERROR(__xludf.DUMMYFUNCTION("""COMPUTED_VALUE"""),0.0)</f>
        <v>0</v>
      </c>
      <c r="K622" s="10">
        <f>IFERROR(__xludf.DUMMYFUNCTION("""COMPUTED_VALUE"""),0.0)</f>
        <v>0</v>
      </c>
      <c r="L622" s="10">
        <f>IFERROR(__xludf.DUMMYFUNCTION("""COMPUTED_VALUE"""),0.0)</f>
        <v>0</v>
      </c>
      <c r="M622" s="10">
        <f>IFERROR(__xludf.DUMMYFUNCTION("""COMPUTED_VALUE"""),0.0)</f>
        <v>0</v>
      </c>
      <c r="N622" s="10">
        <f>IFERROR(__xludf.DUMMYFUNCTION("""COMPUTED_VALUE"""),0.0)</f>
        <v>0</v>
      </c>
      <c r="O622" s="10">
        <f>IFERROR(__xludf.DUMMYFUNCTION("""COMPUTED_VALUE"""),0.0)</f>
        <v>0</v>
      </c>
      <c r="P622" s="10">
        <f>IFERROR(__xludf.DUMMYFUNCTION("""COMPUTED_VALUE"""),0.0)</f>
        <v>0</v>
      </c>
      <c r="Q622" s="10" t="str">
        <f>IFERROR(__xludf.DUMMYFUNCTION("""COMPUTED_VALUE"""),"No")</f>
        <v>No</v>
      </c>
      <c r="R622" s="10" t="str">
        <f>IFERROR(__xludf.DUMMYFUNCTION("""COMPUTED_VALUE"""),"No")</f>
        <v>No</v>
      </c>
      <c r="S622" s="10" t="str">
        <f>IFERROR(__xludf.DUMMYFUNCTION("""COMPUTED_VALUE"""),"No")</f>
        <v>No</v>
      </c>
      <c r="T622" s="10">
        <f>IFERROR(__xludf.DUMMYFUNCTION("""COMPUTED_VALUE"""),0.0)</f>
        <v>0</v>
      </c>
      <c r="U622" s="10">
        <f>IFERROR(__xludf.DUMMYFUNCTION("""COMPUTED_VALUE"""),0.0)</f>
        <v>0</v>
      </c>
      <c r="V622" s="10" t="str">
        <f>IFERROR(__xludf.DUMMYFUNCTION("""COMPUTED_VALUE"""),"صبر و شکر")</f>
        <v>صبر و شکر</v>
      </c>
      <c r="W622" s="10" t="str">
        <f>IFERROR(__xludf.DUMMYFUNCTION("""COMPUTED_VALUE"""),"امام نے اپنے بیان میں انسان کی دو صفات کا ذکر کیا ہے پہلی صبر اور دوسری شکر یعنی کہ ہمیں ہر حال میں اللہ تعالی کا شکر ادا کرنا چاہیے اور ہر مشکل اور پریشانی میں صبر کرنا چاہیے کیونکہ جو بھی پریشانیاں اور مشکلات آتی ہیں وہ اللہ ہی کی طرف سے آتی ہیں اور یہ "&amp;"بیان کیا کہ ناشکری کرنے پر اللہ تعالی نعمتوں سے محروم کر دیتا ہے")</f>
        <v>امام نے اپنے بیان میں انسان کی دو صفات کا ذکر کیا ہے پہلی صبر اور دوسری شکر یعنی کہ ہمیں ہر حال میں اللہ تعالی کا شکر ادا کرنا چاہیے اور ہر مشکل اور پریشانی میں صبر کرنا چاہیے کیونکہ جو بھی پریشانیاں اور مشکلات آتی ہیں وہ اللہ ہی کی طرف سے آتی ہیں اور یہ بیان کیا کہ ناشکری کرنے پر اللہ تعالی نعمتوں سے محروم کر دیتا ہے</v>
      </c>
      <c r="X622" s="10">
        <f>IFERROR(__xludf.DUMMYFUNCTION("""COMPUTED_VALUE"""),3.0)</f>
        <v>3</v>
      </c>
      <c r="Y622" s="10">
        <f>IFERROR(__xludf.DUMMYFUNCTION("""COMPUTED_VALUE"""),1.0)</f>
        <v>1</v>
      </c>
      <c r="Z622" s="10">
        <f>IFERROR(__xludf.DUMMYFUNCTION("""COMPUTED_VALUE"""),1.0)</f>
        <v>1</v>
      </c>
      <c r="AA622" s="10">
        <f>IFERROR(__xludf.DUMMYFUNCTION("""COMPUTED_VALUE"""),6.0)</f>
        <v>6</v>
      </c>
      <c r="AB622" s="10">
        <f>IFERROR(__xludf.DUMMYFUNCTION("""COMPUTED_VALUE"""),0.0)</f>
        <v>0</v>
      </c>
      <c r="AC622" s="10">
        <f>IFERROR(__xludf.DUMMYFUNCTION("""COMPUTED_VALUE"""),0.0)</f>
        <v>0</v>
      </c>
      <c r="AD622" s="10">
        <f>IFERROR(__xludf.DUMMYFUNCTION("""COMPUTED_VALUE"""),0.0)</f>
        <v>0</v>
      </c>
      <c r="AE622" s="10">
        <f>IFERROR(__xludf.DUMMYFUNCTION("""COMPUTED_VALUE"""),3.0)</f>
        <v>3</v>
      </c>
      <c r="AF622" s="10">
        <f>IFERROR(__xludf.DUMMYFUNCTION("""COMPUTED_VALUE"""),5.0)</f>
        <v>5</v>
      </c>
      <c r="AG622" s="10">
        <f>IFERROR(__xludf.DUMMYFUNCTION("""COMPUTED_VALUE"""),5.0)</f>
        <v>5</v>
      </c>
      <c r="AH622" s="10">
        <f>IFERROR(__xludf.DUMMYFUNCTION("""COMPUTED_VALUE"""),0.0)</f>
        <v>0</v>
      </c>
      <c r="AI622" s="10">
        <f>IFERROR(__xludf.DUMMYFUNCTION("""COMPUTED_VALUE"""),5.0)</f>
        <v>5</v>
      </c>
      <c r="AJ622" s="11" t="str">
        <f>IFERROR(__xludf.DUMMYFUNCTION("""COMPUTED_VALUE"""),"https://drive.google.com/open?id=1xCIqwpOPdQjqRKMDJszc5xJMAA6R9YoQtGb6cgh0diM")</f>
        <v>https://drive.google.com/open?id=1xCIqwpOPdQjqRKMDJszc5xJMAA6R9YoQtGb6cgh0diM</v>
      </c>
      <c r="AK622" s="12" t="str">
        <f>IFERROR(__xludf.DUMMYFUNCTION("""COMPUTED_VALUE"""),"No")</f>
        <v>No</v>
      </c>
      <c r="AL622" s="12" t="str">
        <f>IFERROR(__xludf.DUMMYFUNCTION("""COMPUTED_VALUE"""),"No")</f>
        <v>No</v>
      </c>
      <c r="AM622" s="15">
        <f>IFERROR(__xludf.DUMMYFUNCTION("""COMPUTED_VALUE"""),0.0)</f>
        <v>0</v>
      </c>
      <c r="AN622" s="12" t="str">
        <f>IFERROR(__xludf.DUMMYFUNCTION("""COMPUTED_VALUE"""),"2nd week")</f>
        <v>2nd week</v>
      </c>
      <c r="AO622" s="13" t="s">
        <v>8</v>
      </c>
      <c r="AX622" s="17"/>
    </row>
    <row r="623">
      <c r="B623" s="9">
        <f>IFERROR(__xludf.DUMMYFUNCTION("""COMPUTED_VALUE"""),45894.828234375)</f>
        <v>45894.82823</v>
      </c>
      <c r="C623" s="10" t="str">
        <f>IFERROR(__xludf.DUMMYFUNCTION("""COMPUTED_VALUE"""),"Saira Shahzad ")</f>
        <v>Saira Shahzad </v>
      </c>
      <c r="D623" s="10" t="str">
        <f>IFERROR(__xludf.DUMMYFUNCTION("""COMPUTED_VALUE"""),"03114534696")</f>
        <v>03114534696</v>
      </c>
      <c r="E623" s="10" t="str">
        <f>IFERROR(__xludf.DUMMYFUNCTION("""COMPUTED_VALUE"""),"Jamia Masjid Shah Rangila Hasalpur")</f>
        <v>Jamia Masjid Shah Rangila Hasalpur</v>
      </c>
      <c r="F623" s="10" t="str">
        <f>IFERROR(__xludf.DUMMYFUNCTION("""COMPUTED_VALUE"""),"sjqhk")</f>
        <v>sjqhk</v>
      </c>
      <c r="G623" s="10" t="str">
        <f>IFERROR(__xludf.DUMMYFUNCTION("""COMPUTED_VALUE"""),"No")</f>
        <v>No</v>
      </c>
      <c r="H623" s="10"/>
      <c r="I623" s="10"/>
      <c r="J623" s="10"/>
      <c r="K623" s="10">
        <f>IFERROR(__xludf.DUMMYFUNCTION("""COMPUTED_VALUE"""),0.0)</f>
        <v>0</v>
      </c>
      <c r="L623" s="10">
        <f>IFERROR(__xludf.DUMMYFUNCTION("""COMPUTED_VALUE"""),0.0)</f>
        <v>0</v>
      </c>
      <c r="M623" s="10">
        <f>IFERROR(__xludf.DUMMYFUNCTION("""COMPUTED_VALUE"""),0.0)</f>
        <v>0</v>
      </c>
      <c r="N623" s="10">
        <f>IFERROR(__xludf.DUMMYFUNCTION("""COMPUTED_VALUE"""),0.0)</f>
        <v>0</v>
      </c>
      <c r="O623" s="10">
        <f>IFERROR(__xludf.DUMMYFUNCTION("""COMPUTED_VALUE"""),0.0)</f>
        <v>0</v>
      </c>
      <c r="P623" s="10">
        <f>IFERROR(__xludf.DUMMYFUNCTION("""COMPUTED_VALUE"""),0.0)</f>
        <v>0</v>
      </c>
      <c r="Q623" s="10" t="str">
        <f>IFERROR(__xludf.DUMMYFUNCTION("""COMPUTED_VALUE"""),"No")</f>
        <v>No</v>
      </c>
      <c r="R623" s="10" t="str">
        <f>IFERROR(__xludf.DUMMYFUNCTION("""COMPUTED_VALUE"""),"No")</f>
        <v>No</v>
      </c>
      <c r="S623" s="10" t="str">
        <f>IFERROR(__xludf.DUMMYFUNCTION("""COMPUTED_VALUE"""),"No")</f>
        <v>No</v>
      </c>
      <c r="T623" s="10">
        <f>IFERROR(__xludf.DUMMYFUNCTION("""COMPUTED_VALUE"""),0.0)</f>
        <v>0</v>
      </c>
      <c r="U623" s="10">
        <f>IFERROR(__xludf.DUMMYFUNCTION("""COMPUTED_VALUE"""),0.0)</f>
        <v>0</v>
      </c>
      <c r="V623" s="10" t="str">
        <f>IFERROR(__xludf.DUMMYFUNCTION("""COMPUTED_VALUE"""),"صبر و شکر")</f>
        <v>صبر و شکر</v>
      </c>
      <c r="W623" s="10" t="str">
        <f>IFERROR(__xludf.DUMMYFUNCTION("""COMPUTED_VALUE"""),"امام نے اپنے بیان میں انسان کے دو صفات کو بیان کیا ہے پہلی صبر اور دوسری شکر یعنی کہ ہمیں ہر حال میں اللہ کا شکر ادا کرنا چاہیے اور ہر مشکل پریشانی کے آنے پر صبر کرنا چاہیے کیونکہ جو بھی مشکلات آتی ہیں وہ اللہ کی طرف سے ہی آتی ہیں اور یہ فرمایا کہ ناشکری "&amp;"کرنے پر اللہ تعالی اپنی نعمتوں سے محروم کر دیتا ہے")</f>
        <v>امام نے اپنے بیان میں انسان کے دو صفات کو بیان کیا ہے پہلی صبر اور دوسری شکر یعنی کہ ہمیں ہر حال میں اللہ کا شکر ادا کرنا چاہیے اور ہر مشکل پریشانی کے آنے پر صبر کرنا چاہیے کیونکہ جو بھی مشکلات آتی ہیں وہ اللہ کی طرف سے ہی آتی ہیں اور یہ فرمایا کہ ناشکری کرنے پر اللہ تعالی اپنی نعمتوں سے محروم کر دیتا ہے</v>
      </c>
      <c r="X623" s="10">
        <f>IFERROR(__xludf.DUMMYFUNCTION("""COMPUTED_VALUE"""),2.0)</f>
        <v>2</v>
      </c>
      <c r="Y623" s="10">
        <f>IFERROR(__xludf.DUMMYFUNCTION("""COMPUTED_VALUE"""),3.0)</f>
        <v>3</v>
      </c>
      <c r="Z623" s="10">
        <f>IFERROR(__xludf.DUMMYFUNCTION("""COMPUTED_VALUE"""),1.0)</f>
        <v>1</v>
      </c>
      <c r="AA623" s="10">
        <f>IFERROR(__xludf.DUMMYFUNCTION("""COMPUTED_VALUE"""),6.0)</f>
        <v>6</v>
      </c>
      <c r="AB623" s="10">
        <f>IFERROR(__xludf.DUMMYFUNCTION("""COMPUTED_VALUE"""),5.0)</f>
        <v>5</v>
      </c>
      <c r="AC623" s="10">
        <f>IFERROR(__xludf.DUMMYFUNCTION("""COMPUTED_VALUE"""),0.0)</f>
        <v>0</v>
      </c>
      <c r="AD623" s="10">
        <f>IFERROR(__xludf.DUMMYFUNCTION("""COMPUTED_VALUE"""),0.0)</f>
        <v>0</v>
      </c>
      <c r="AE623" s="10">
        <f>IFERROR(__xludf.DUMMYFUNCTION("""COMPUTED_VALUE"""),2.0)</f>
        <v>2</v>
      </c>
      <c r="AF623" s="10">
        <f>IFERROR(__xludf.DUMMYFUNCTION("""COMPUTED_VALUE"""),5.0)</f>
        <v>5</v>
      </c>
      <c r="AG623" s="10">
        <f>IFERROR(__xludf.DUMMYFUNCTION("""COMPUTED_VALUE"""),5.0)</f>
        <v>5</v>
      </c>
      <c r="AH623" s="10">
        <f>IFERROR(__xludf.DUMMYFUNCTION("""COMPUTED_VALUE"""),0.0)</f>
        <v>0</v>
      </c>
      <c r="AI623" s="10">
        <f>IFERROR(__xludf.DUMMYFUNCTION("""COMPUTED_VALUE"""),6.0)</f>
        <v>6</v>
      </c>
      <c r="AJ623" s="11" t="str">
        <f>IFERROR(__xludf.DUMMYFUNCTION("""COMPUTED_VALUE"""),"https://drive.google.com/open?id=1pkN_-aN2DrtSMeyoj2b4Q4gj45zzrzTu49xzxqGj5yU")</f>
        <v>https://drive.google.com/open?id=1pkN_-aN2DrtSMeyoj2b4Q4gj45zzrzTu49xzxqGj5yU</v>
      </c>
      <c r="AK623" s="12" t="str">
        <f>IFERROR(__xludf.DUMMYFUNCTION("""COMPUTED_VALUE"""),"No")</f>
        <v>No</v>
      </c>
      <c r="AL623" s="12"/>
      <c r="AM623" s="12"/>
      <c r="AN623" s="12" t="str">
        <f>IFERROR(__xludf.DUMMYFUNCTION("""COMPUTED_VALUE"""),"2nd week")</f>
        <v>2nd week</v>
      </c>
      <c r="AO623" s="13" t="s">
        <v>8</v>
      </c>
      <c r="AX623" s="17"/>
    </row>
    <row r="624">
      <c r="B624" s="9">
        <f>IFERROR(__xludf.DUMMYFUNCTION("""COMPUTED_VALUE"""),45895.05805075231)</f>
        <v>45895.05805</v>
      </c>
      <c r="C624" s="10" t="str">
        <f>IFERROR(__xludf.DUMMYFUNCTION("""COMPUTED_VALUE"""),"Shahid iqbal")</f>
        <v>Shahid iqbal</v>
      </c>
      <c r="D624" s="10" t="str">
        <f>IFERROR(__xludf.DUMMYFUNCTION("""COMPUTED_VALUE"""),"03013665049")</f>
        <v>03013665049</v>
      </c>
      <c r="E624" s="10" t="str">
        <f>IFERROR(__xludf.DUMMYFUNCTION("""COMPUTED_VALUE"""),"Jamia Masjid Sarai Ghulam Rasool Multan")</f>
        <v>Jamia Masjid Sarai Ghulam Rasool Multan</v>
      </c>
      <c r="F624" s="10" t="str">
        <f>IFERROR(__xludf.DUMMYFUNCTION("""COMPUTED_VALUE"""),"jbeid")</f>
        <v>jbeid</v>
      </c>
      <c r="G624" s="10" t="str">
        <f>IFERROR(__xludf.DUMMYFUNCTION("""COMPUTED_VALUE"""),"Yes")</f>
        <v>Yes</v>
      </c>
      <c r="H624" s="10">
        <f>IFERROR(__xludf.DUMMYFUNCTION("""COMPUTED_VALUE"""),10.0)</f>
        <v>10</v>
      </c>
      <c r="I624" s="10">
        <f>IFERROR(__xludf.DUMMYFUNCTION("""COMPUTED_VALUE"""),0.0)</f>
        <v>0</v>
      </c>
      <c r="J624" s="10">
        <f>IFERROR(__xludf.DUMMYFUNCTION("""COMPUTED_VALUE"""),10.0)</f>
        <v>10</v>
      </c>
      <c r="K624" s="10">
        <f>IFERROR(__xludf.DUMMYFUNCTION("""COMPUTED_VALUE"""),10.0)</f>
        <v>10</v>
      </c>
      <c r="L624" s="10">
        <f>IFERROR(__xludf.DUMMYFUNCTION("""COMPUTED_VALUE"""),0.0)</f>
        <v>0</v>
      </c>
      <c r="M624" s="10">
        <f>IFERROR(__xludf.DUMMYFUNCTION("""COMPUTED_VALUE"""),10.0)</f>
        <v>10</v>
      </c>
      <c r="N624" s="10">
        <f>IFERROR(__xludf.DUMMYFUNCTION("""COMPUTED_VALUE"""),0.0)</f>
        <v>0</v>
      </c>
      <c r="O624" s="10">
        <f>IFERROR(__xludf.DUMMYFUNCTION("""COMPUTED_VALUE"""),10.0)</f>
        <v>10</v>
      </c>
      <c r="P624" s="10">
        <f>IFERROR(__xludf.DUMMYFUNCTION("""COMPUTED_VALUE"""),0.0)</f>
        <v>0</v>
      </c>
      <c r="Q624" s="10" t="str">
        <f>IFERROR(__xludf.DUMMYFUNCTION("""COMPUTED_VALUE"""),"Yes")</f>
        <v>Yes</v>
      </c>
      <c r="R624" s="10" t="str">
        <f>IFERROR(__xludf.DUMMYFUNCTION("""COMPUTED_VALUE"""),"No")</f>
        <v>No</v>
      </c>
      <c r="S624" s="10" t="str">
        <f>IFERROR(__xludf.DUMMYFUNCTION("""COMPUTED_VALUE"""),"Yes")</f>
        <v>Yes</v>
      </c>
      <c r="T624" s="10">
        <f>IFERROR(__xludf.DUMMYFUNCTION("""COMPUTED_VALUE"""),0.0)</f>
        <v>0</v>
      </c>
      <c r="U624" s="10">
        <f>IFERROR(__xludf.DUMMYFUNCTION("""COMPUTED_VALUE"""),0.0)</f>
        <v>0</v>
      </c>
      <c r="V624" s="10" t="str">
        <f>IFERROR(__xludf.DUMMYFUNCTION("""COMPUTED_VALUE"""),"Islam ma aurton k haqooq aur muqam")</f>
        <v>Islam ma aurton k haqooq aur muqam</v>
      </c>
      <c r="W624" s="10" t="str">
        <f>IFERROR(__xludf.DUMMYFUNCTION("""COMPUTED_VALUE"""),"Islam ma aurton k haqooq aur muqam aur aurton ki taleem nokri ki bt ki")</f>
        <v>Islam ma aurton k haqooq aur muqam aur aurton ki taleem nokri ki bt ki</v>
      </c>
      <c r="X624" s="10">
        <f>IFERROR(__xludf.DUMMYFUNCTION("""COMPUTED_VALUE"""),0.0)</f>
        <v>0</v>
      </c>
      <c r="Y624" s="10">
        <f>IFERROR(__xludf.DUMMYFUNCTION("""COMPUTED_VALUE"""),2.0)</f>
        <v>2</v>
      </c>
      <c r="Z624" s="10">
        <f>IFERROR(__xludf.DUMMYFUNCTION("""COMPUTED_VALUE"""),2.0)</f>
        <v>2</v>
      </c>
      <c r="AA624" s="10">
        <f>IFERROR(__xludf.DUMMYFUNCTION("""COMPUTED_VALUE"""),9.0)</f>
        <v>9</v>
      </c>
      <c r="AB624" s="10">
        <f>IFERROR(__xludf.DUMMYFUNCTION("""COMPUTED_VALUE"""),1.0)</f>
        <v>1</v>
      </c>
      <c r="AC624" s="10">
        <f>IFERROR(__xludf.DUMMYFUNCTION("""COMPUTED_VALUE"""),0.0)</f>
        <v>0</v>
      </c>
      <c r="AD624" s="10">
        <f>IFERROR(__xludf.DUMMYFUNCTION("""COMPUTED_VALUE"""),0.0)</f>
        <v>0</v>
      </c>
      <c r="AE624" s="10">
        <f>IFERROR(__xludf.DUMMYFUNCTION("""COMPUTED_VALUE"""),0.0)</f>
        <v>0</v>
      </c>
      <c r="AF624" s="10">
        <f>IFERROR(__xludf.DUMMYFUNCTION("""COMPUTED_VALUE"""),0.0)</f>
        <v>0</v>
      </c>
      <c r="AG624" s="10">
        <f>IFERROR(__xludf.DUMMYFUNCTION("""COMPUTED_VALUE"""),10.0)</f>
        <v>10</v>
      </c>
      <c r="AH624" s="10">
        <f>IFERROR(__xludf.DUMMYFUNCTION("""COMPUTED_VALUE"""),0.0)</f>
        <v>0</v>
      </c>
      <c r="AI624" s="10">
        <f>IFERROR(__xludf.DUMMYFUNCTION("""COMPUTED_VALUE"""),10.0)</f>
        <v>10</v>
      </c>
      <c r="AJ624" s="11" t="str">
        <f>IFERROR(__xludf.DUMMYFUNCTION("""COMPUTED_VALUE"""),"https://drive.google.com/open?id=1PWJ8F741v91AqrIOpZQn2yUVhLposmRM")</f>
        <v>https://drive.google.com/open?id=1PWJ8F741v91AqrIOpZQn2yUVhLposmRM</v>
      </c>
      <c r="AK624" s="12"/>
      <c r="AL624" s="12" t="str">
        <f>IFERROR(__xludf.DUMMYFUNCTION("""COMPUTED_VALUE"""),"Yes")</f>
        <v>Yes</v>
      </c>
      <c r="AM624" s="15">
        <f>IFERROR(__xludf.DUMMYFUNCTION("""COMPUTED_VALUE"""),0.9)</f>
        <v>0.9</v>
      </c>
      <c r="AN624" s="12" t="str">
        <f>IFERROR(__xludf.DUMMYFUNCTION("""COMPUTED_VALUE"""),"1st week")</f>
        <v>1st week</v>
      </c>
      <c r="AO624" s="13">
        <v>1.0</v>
      </c>
      <c r="AX624" s="17"/>
    </row>
    <row r="625">
      <c r="B625" s="9">
        <f>IFERROR(__xludf.DUMMYFUNCTION("""COMPUTED_VALUE"""),45895.06120203703)</f>
        <v>45895.0612</v>
      </c>
      <c r="C625" s="10" t="str">
        <f>IFERROR(__xludf.DUMMYFUNCTION("""COMPUTED_VALUE"""),"Shahid iqbal")</f>
        <v>Shahid iqbal</v>
      </c>
      <c r="D625" s="10" t="str">
        <f>IFERROR(__xludf.DUMMYFUNCTION("""COMPUTED_VALUE"""),"03013665049")</f>
        <v>03013665049</v>
      </c>
      <c r="E625" s="10" t="str">
        <f>IFERROR(__xludf.DUMMYFUNCTION("""COMPUTED_VALUE"""),"Jamia Masjid Chanan Peer Sarkar Cholistan")</f>
        <v>Jamia Masjid Chanan Peer Sarkar Cholistan</v>
      </c>
      <c r="F625" s="10" t="str">
        <f>IFERROR(__xludf.DUMMYFUNCTION("""COMPUTED_VALUE"""),"dqkgk")</f>
        <v>dqkgk</v>
      </c>
      <c r="G625" s="10" t="str">
        <f>IFERROR(__xludf.DUMMYFUNCTION("""COMPUTED_VALUE"""),"No")</f>
        <v>No</v>
      </c>
      <c r="H625" s="10"/>
      <c r="I625" s="10"/>
      <c r="J625" s="10"/>
      <c r="K625" s="10">
        <f>IFERROR(__xludf.DUMMYFUNCTION("""COMPUTED_VALUE"""),0.0)</f>
        <v>0</v>
      </c>
      <c r="L625" s="10">
        <f>IFERROR(__xludf.DUMMYFUNCTION("""COMPUTED_VALUE"""),0.0)</f>
        <v>0</v>
      </c>
      <c r="M625" s="10">
        <f>IFERROR(__xludf.DUMMYFUNCTION("""COMPUTED_VALUE"""),0.0)</f>
        <v>0</v>
      </c>
      <c r="N625" s="10">
        <f>IFERROR(__xludf.DUMMYFUNCTION("""COMPUTED_VALUE"""),0.0)</f>
        <v>0</v>
      </c>
      <c r="O625" s="10">
        <f>IFERROR(__xludf.DUMMYFUNCTION("""COMPUTED_VALUE"""),0.0)</f>
        <v>0</v>
      </c>
      <c r="P625" s="10">
        <f>IFERROR(__xludf.DUMMYFUNCTION("""COMPUTED_VALUE"""),0.0)</f>
        <v>0</v>
      </c>
      <c r="Q625" s="10" t="str">
        <f>IFERROR(__xludf.DUMMYFUNCTION("""COMPUTED_VALUE"""),"No")</f>
        <v>No</v>
      </c>
      <c r="R625" s="10" t="str">
        <f>IFERROR(__xludf.DUMMYFUNCTION("""COMPUTED_VALUE"""),"No")</f>
        <v>No</v>
      </c>
      <c r="S625" s="10" t="str">
        <f>IFERROR(__xludf.DUMMYFUNCTION("""COMPUTED_VALUE"""),"No")</f>
        <v>No</v>
      </c>
      <c r="T625" s="10">
        <f>IFERROR(__xludf.DUMMYFUNCTION("""COMPUTED_VALUE"""),0.0)</f>
        <v>0</v>
      </c>
      <c r="U625" s="10">
        <f>IFERROR(__xludf.DUMMYFUNCTION("""COMPUTED_VALUE"""),0.0)</f>
        <v>0</v>
      </c>
      <c r="V625" s="10" t="str">
        <f>IFERROR(__xludf.DUMMYFUNCTION("""COMPUTED_VALUE"""),"Auliya e ikram ki azmat ")</f>
        <v>Auliya e ikram ki azmat </v>
      </c>
      <c r="W625" s="10" t="str">
        <f>IFERROR(__xludf.DUMMYFUNCTION("""COMPUTED_VALUE"""),"Auliya e ikram ki azmat aur islami tarikh ma unki qurbanian")</f>
        <v>Auliya e ikram ki azmat aur islami tarikh ma unki qurbanian</v>
      </c>
      <c r="X625" s="10">
        <f>IFERROR(__xludf.DUMMYFUNCTION("""COMPUTED_VALUE"""),3.0)</f>
        <v>3</v>
      </c>
      <c r="Y625" s="10">
        <f>IFERROR(__xludf.DUMMYFUNCTION("""COMPUTED_VALUE"""),5.0)</f>
        <v>5</v>
      </c>
      <c r="Z625" s="10">
        <f>IFERROR(__xludf.DUMMYFUNCTION("""COMPUTED_VALUE"""),5.0)</f>
        <v>5</v>
      </c>
      <c r="AA625" s="10">
        <f>IFERROR(__xludf.DUMMYFUNCTION("""COMPUTED_VALUE"""),7.0)</f>
        <v>7</v>
      </c>
      <c r="AB625" s="10">
        <f>IFERROR(__xludf.DUMMYFUNCTION("""COMPUTED_VALUE"""),5.0)</f>
        <v>5</v>
      </c>
      <c r="AC625" s="10">
        <f>IFERROR(__xludf.DUMMYFUNCTION("""COMPUTED_VALUE"""),1.0)</f>
        <v>1</v>
      </c>
      <c r="AD625" s="10">
        <f>IFERROR(__xludf.DUMMYFUNCTION("""COMPUTED_VALUE"""),0.0)</f>
        <v>0</v>
      </c>
      <c r="AE625" s="10">
        <f>IFERROR(__xludf.DUMMYFUNCTION("""COMPUTED_VALUE"""),0.0)</f>
        <v>0</v>
      </c>
      <c r="AF625" s="10">
        <f>IFERROR(__xludf.DUMMYFUNCTION("""COMPUTED_VALUE"""),0.0)</f>
        <v>0</v>
      </c>
      <c r="AG625" s="10">
        <f>IFERROR(__xludf.DUMMYFUNCTION("""COMPUTED_VALUE"""),8.0)</f>
        <v>8</v>
      </c>
      <c r="AH625" s="10">
        <f>IFERROR(__xludf.DUMMYFUNCTION("""COMPUTED_VALUE"""),2.0)</f>
        <v>2</v>
      </c>
      <c r="AI625" s="10">
        <f>IFERROR(__xludf.DUMMYFUNCTION("""COMPUTED_VALUE"""),8.0)</f>
        <v>8</v>
      </c>
      <c r="AJ625" s="11" t="str">
        <f>IFERROR(__xludf.DUMMYFUNCTION("""COMPUTED_VALUE"""),"https://drive.google.com/open?id=1BJjjvQqoGJATHR5SYYmMl09OJ8kJ5ruo")</f>
        <v>https://drive.google.com/open?id=1BJjjvQqoGJATHR5SYYmMl09OJ8kJ5ruo</v>
      </c>
      <c r="AK625" s="12"/>
      <c r="AL625" s="12"/>
      <c r="AM625" s="12"/>
      <c r="AN625" s="12" t="str">
        <f>IFERROR(__xludf.DUMMYFUNCTION("""COMPUTED_VALUE"""),"1st week")</f>
        <v>1st week</v>
      </c>
      <c r="AO625" s="13">
        <v>1.0</v>
      </c>
      <c r="AX625" s="17"/>
    </row>
    <row r="626">
      <c r="B626" s="9">
        <f>IFERROR(__xludf.DUMMYFUNCTION("""COMPUTED_VALUE"""),45895.06485462963)</f>
        <v>45895.06485</v>
      </c>
      <c r="C626" s="10" t="str">
        <f>IFERROR(__xludf.DUMMYFUNCTION("""COMPUTED_VALUE"""),"Shahid iqbal")</f>
        <v>Shahid iqbal</v>
      </c>
      <c r="D626" s="10" t="str">
        <f>IFERROR(__xludf.DUMMYFUNCTION("""COMPUTED_VALUE"""),"03013665049")</f>
        <v>03013665049</v>
      </c>
      <c r="E626" s="10" t="str">
        <f>IFERROR(__xludf.DUMMYFUNCTION("""COMPUTED_VALUE"""),"Jamia Masjid Kale Mandi Multan")</f>
        <v>Jamia Masjid Kale Mandi Multan</v>
      </c>
      <c r="F626" s="10" t="str">
        <f>IFERROR(__xludf.DUMMYFUNCTION("""COMPUTED_VALUE"""),"pffes")</f>
        <v>pffes</v>
      </c>
      <c r="G626" s="10" t="str">
        <f>IFERROR(__xludf.DUMMYFUNCTION("""COMPUTED_VALUE"""),"Yes")</f>
        <v>Yes</v>
      </c>
      <c r="H626" s="10">
        <f>IFERROR(__xludf.DUMMYFUNCTION("""COMPUTED_VALUE"""),8.0)</f>
        <v>8</v>
      </c>
      <c r="I626" s="10">
        <f>IFERROR(__xludf.DUMMYFUNCTION("""COMPUTED_VALUE"""),2.0)</f>
        <v>2</v>
      </c>
      <c r="J626" s="10">
        <f>IFERROR(__xludf.DUMMYFUNCTION("""COMPUTED_VALUE"""),10.0)</f>
        <v>10</v>
      </c>
      <c r="K626" s="10">
        <f>IFERROR(__xludf.DUMMYFUNCTION("""COMPUTED_VALUE"""),0.0)</f>
        <v>0</v>
      </c>
      <c r="L626" s="10">
        <f>IFERROR(__xludf.DUMMYFUNCTION("""COMPUTED_VALUE"""),10.0)</f>
        <v>10</v>
      </c>
      <c r="M626" s="10">
        <f>IFERROR(__xludf.DUMMYFUNCTION("""COMPUTED_VALUE"""),0.0)</f>
        <v>0</v>
      </c>
      <c r="N626" s="10">
        <f>IFERROR(__xludf.DUMMYFUNCTION("""COMPUTED_VALUE"""),10.0)</f>
        <v>10</v>
      </c>
      <c r="O626" s="10">
        <f>IFERROR(__xludf.DUMMYFUNCTION("""COMPUTED_VALUE"""),0.0)</f>
        <v>0</v>
      </c>
      <c r="P626" s="10">
        <f>IFERROR(__xludf.DUMMYFUNCTION("""COMPUTED_VALUE"""),10.0)</f>
        <v>10</v>
      </c>
      <c r="Q626" s="10" t="str">
        <f>IFERROR(__xludf.DUMMYFUNCTION("""COMPUTED_VALUE"""),"No")</f>
        <v>No</v>
      </c>
      <c r="R626" s="10" t="str">
        <f>IFERROR(__xludf.DUMMYFUNCTION("""COMPUTED_VALUE"""),"Yes")</f>
        <v>Yes</v>
      </c>
      <c r="S626" s="10" t="str">
        <f>IFERROR(__xludf.DUMMYFUNCTION("""COMPUTED_VALUE"""),"No")</f>
        <v>No</v>
      </c>
      <c r="T626" s="10">
        <f>IFERROR(__xludf.DUMMYFUNCTION("""COMPUTED_VALUE"""),0.0)</f>
        <v>0</v>
      </c>
      <c r="U626" s="10">
        <f>IFERROR(__xludf.DUMMYFUNCTION("""COMPUTED_VALUE"""),0.0)</f>
        <v>0</v>
      </c>
      <c r="V626" s="10" t="str">
        <f>IFERROR(__xludf.DUMMYFUNCTION("""COMPUTED_VALUE"""),"Hamsion k haqooq aur zimadaarian")</f>
        <v>Hamsion k haqooq aur zimadaarian</v>
      </c>
      <c r="W626" s="10" t="str">
        <f>IFERROR(__xludf.DUMMYFUNCTION("""COMPUTED_VALUE"""),"Hamsion k haqooq aur zimadaarian. aur apny muhally aur gird o nawa ko saaf suthra rkha jaye aur akhir main masla e kashmir pe baat ki.")</f>
        <v>Hamsion k haqooq aur zimadaarian. aur apny muhally aur gird o nawa ko saaf suthra rkha jaye aur akhir main masla e kashmir pe baat ki.</v>
      </c>
      <c r="X626" s="10">
        <f>IFERROR(__xludf.DUMMYFUNCTION("""COMPUTED_VALUE"""),0.0)</f>
        <v>0</v>
      </c>
      <c r="Y626" s="10">
        <f>IFERROR(__xludf.DUMMYFUNCTION("""COMPUTED_VALUE"""),4.0)</f>
        <v>4</v>
      </c>
      <c r="Z626" s="10">
        <f>IFERROR(__xludf.DUMMYFUNCTION("""COMPUTED_VALUE"""),4.0)</f>
        <v>4</v>
      </c>
      <c r="AA626" s="10">
        <f>IFERROR(__xludf.DUMMYFUNCTION("""COMPUTED_VALUE"""),8.0)</f>
        <v>8</v>
      </c>
      <c r="AB626" s="10">
        <f>IFERROR(__xludf.DUMMYFUNCTION("""COMPUTED_VALUE"""),2.0)</f>
        <v>2</v>
      </c>
      <c r="AC626" s="10">
        <f>IFERROR(__xludf.DUMMYFUNCTION("""COMPUTED_VALUE"""),0.0)</f>
        <v>0</v>
      </c>
      <c r="AD626" s="10">
        <f>IFERROR(__xludf.DUMMYFUNCTION("""COMPUTED_VALUE"""),0.0)</f>
        <v>0</v>
      </c>
      <c r="AE626" s="10">
        <f>IFERROR(__xludf.DUMMYFUNCTION("""COMPUTED_VALUE"""),0.0)</f>
        <v>0</v>
      </c>
      <c r="AF626" s="10">
        <f>IFERROR(__xludf.DUMMYFUNCTION("""COMPUTED_VALUE"""),0.0)</f>
        <v>0</v>
      </c>
      <c r="AG626" s="10">
        <f>IFERROR(__xludf.DUMMYFUNCTION("""COMPUTED_VALUE"""),10.0)</f>
        <v>10</v>
      </c>
      <c r="AH626" s="10">
        <f>IFERROR(__xludf.DUMMYFUNCTION("""COMPUTED_VALUE"""),0.0)</f>
        <v>0</v>
      </c>
      <c r="AI626" s="10">
        <f>IFERROR(__xludf.DUMMYFUNCTION("""COMPUTED_VALUE"""),10.0)</f>
        <v>10</v>
      </c>
      <c r="AJ626" s="11" t="str">
        <f>IFERROR(__xludf.DUMMYFUNCTION("""COMPUTED_VALUE"""),"https://drive.google.com/open?id=1whf4uP1elvrbnorhWLg0sjuDBdY0kSDS")</f>
        <v>https://drive.google.com/open?id=1whf4uP1elvrbnorhWLg0sjuDBdY0kSDS</v>
      </c>
      <c r="AK626" s="12"/>
      <c r="AL626" s="12" t="str">
        <f>IFERROR(__xludf.DUMMYFUNCTION("""COMPUTED_VALUE"""),"Yes")</f>
        <v>Yes</v>
      </c>
      <c r="AM626" s="15">
        <f>IFERROR(__xludf.DUMMYFUNCTION("""COMPUTED_VALUE"""),0.8)</f>
        <v>0.8</v>
      </c>
      <c r="AN626" s="12" t="str">
        <f>IFERROR(__xludf.DUMMYFUNCTION("""COMPUTED_VALUE"""),"2nd week")</f>
        <v>2nd week</v>
      </c>
      <c r="AO626" s="13">
        <v>2.0</v>
      </c>
      <c r="AX626" s="17"/>
    </row>
    <row r="627">
      <c r="B627" s="9">
        <f>IFERROR(__xludf.DUMMYFUNCTION("""COMPUTED_VALUE"""),45895.10646060185)</f>
        <v>45895.10646</v>
      </c>
      <c r="C627" s="10" t="str">
        <f>IFERROR(__xludf.DUMMYFUNCTION("""COMPUTED_VALUE"""),"Saira Shahzad ")</f>
        <v>Saira Shahzad </v>
      </c>
      <c r="D627" s="10" t="str">
        <f>IFERROR(__xludf.DUMMYFUNCTION("""COMPUTED_VALUE"""),"03114534696")</f>
        <v>03114534696</v>
      </c>
      <c r="E627" s="10" t="str">
        <f>IFERROR(__xludf.DUMMYFUNCTION("""COMPUTED_VALUE"""),"Jamia Masjid Shah Rangila Hasalpur")</f>
        <v>Jamia Masjid Shah Rangila Hasalpur</v>
      </c>
      <c r="F627" s="10" t="str">
        <f>IFERROR(__xludf.DUMMYFUNCTION("""COMPUTED_VALUE"""),"sjqhk")</f>
        <v>sjqhk</v>
      </c>
      <c r="G627" s="10" t="str">
        <f>IFERROR(__xludf.DUMMYFUNCTION("""COMPUTED_VALUE"""),"Yes")</f>
        <v>Yes</v>
      </c>
      <c r="H627" s="10">
        <f>IFERROR(__xludf.DUMMYFUNCTION("""COMPUTED_VALUE"""),0.0)</f>
        <v>0</v>
      </c>
      <c r="I627" s="10">
        <f>IFERROR(__xludf.DUMMYFUNCTION("""COMPUTED_VALUE"""),10.0)</f>
        <v>10</v>
      </c>
      <c r="J627" s="10">
        <f>IFERROR(__xludf.DUMMYFUNCTION("""COMPUTED_VALUE"""),0.0)</f>
        <v>0</v>
      </c>
      <c r="K627" s="10">
        <f>IFERROR(__xludf.DUMMYFUNCTION("""COMPUTED_VALUE"""),0.0)</f>
        <v>0</v>
      </c>
      <c r="L627" s="10">
        <f>IFERROR(__xludf.DUMMYFUNCTION("""COMPUTED_VALUE"""),0.0)</f>
        <v>0</v>
      </c>
      <c r="M627" s="10">
        <f>IFERROR(__xludf.DUMMYFUNCTION("""COMPUTED_VALUE"""),0.0)</f>
        <v>0</v>
      </c>
      <c r="N627" s="10">
        <f>IFERROR(__xludf.DUMMYFUNCTION("""COMPUTED_VALUE"""),0.0)</f>
        <v>0</v>
      </c>
      <c r="O627" s="10">
        <f>IFERROR(__xludf.DUMMYFUNCTION("""COMPUTED_VALUE"""),0.0)</f>
        <v>0</v>
      </c>
      <c r="P627" s="10">
        <f>IFERROR(__xludf.DUMMYFUNCTION("""COMPUTED_VALUE"""),0.0)</f>
        <v>0</v>
      </c>
      <c r="Q627" s="10" t="str">
        <f>IFERROR(__xludf.DUMMYFUNCTION("""COMPUTED_VALUE"""),"No")</f>
        <v>No</v>
      </c>
      <c r="R627" s="10" t="str">
        <f>IFERROR(__xludf.DUMMYFUNCTION("""COMPUTED_VALUE"""),"No")</f>
        <v>No</v>
      </c>
      <c r="S627" s="10" t="str">
        <f>IFERROR(__xludf.DUMMYFUNCTION("""COMPUTED_VALUE"""),"No")</f>
        <v>No</v>
      </c>
      <c r="T627" s="10">
        <f>IFERROR(__xludf.DUMMYFUNCTION("""COMPUTED_VALUE"""),0.0)</f>
        <v>0</v>
      </c>
      <c r="U627" s="10">
        <f>IFERROR(__xludf.DUMMYFUNCTION("""COMPUTED_VALUE"""),0.0)</f>
        <v>0</v>
      </c>
      <c r="V627" s="10" t="str">
        <f>IFERROR(__xludf.DUMMYFUNCTION("""COMPUTED_VALUE"""),"اسلام کے مطابق اللہ تعالی کے احکامات")</f>
        <v>اسلام کے مطابق اللہ تعالی کے احکامات</v>
      </c>
      <c r="W627" s="10" t="str">
        <f>IFERROR(__xludf.DUMMYFUNCTION("""COMPUTED_VALUE"""),"امام نے اپنے بیان میں اللہ تعالی کے احکامات پر عمل کرنے کی تنقید کی ہے اور کہاں ہے کہ یہ دنیا فانی ہے ایک دن ختم ہو جائے گی اور نماز پڑھنے پر زور دیا کہ نماز پڑھو نماز بے حیائی اور برے کاموں سے روکتی ہے اور قبر میں تین طرح کے جو سوال کیے جائیں گے اس پر رو"&amp;"شنی ڈالی")</f>
        <v>امام نے اپنے بیان میں اللہ تعالی کے احکامات پر عمل کرنے کی تنقید کی ہے اور کہاں ہے کہ یہ دنیا فانی ہے ایک دن ختم ہو جائے گی اور نماز پڑھنے پر زور دیا کہ نماز پڑھو نماز بے حیائی اور برے کاموں سے روکتی ہے اور قبر میں تین طرح کے جو سوال کیے جائیں گے اس پر روشنی ڈالی</v>
      </c>
      <c r="X627" s="10">
        <f>IFERROR(__xludf.DUMMYFUNCTION("""COMPUTED_VALUE"""),5.0)</f>
        <v>5</v>
      </c>
      <c r="Y627" s="10">
        <f>IFERROR(__xludf.DUMMYFUNCTION("""COMPUTED_VALUE"""),3.0)</f>
        <v>3</v>
      </c>
      <c r="Z627" s="10">
        <f>IFERROR(__xludf.DUMMYFUNCTION("""COMPUTED_VALUE"""),2.0)</f>
        <v>2</v>
      </c>
      <c r="AA627" s="10">
        <f>IFERROR(__xludf.DUMMYFUNCTION("""COMPUTED_VALUE"""),6.0)</f>
        <v>6</v>
      </c>
      <c r="AB627" s="10">
        <f>IFERROR(__xludf.DUMMYFUNCTION("""COMPUTED_VALUE"""),5.0)</f>
        <v>5</v>
      </c>
      <c r="AC627" s="10">
        <f>IFERROR(__xludf.DUMMYFUNCTION("""COMPUTED_VALUE"""),0.0)</f>
        <v>0</v>
      </c>
      <c r="AD627" s="10">
        <f>IFERROR(__xludf.DUMMYFUNCTION("""COMPUTED_VALUE"""),1.0)</f>
        <v>1</v>
      </c>
      <c r="AE627" s="10">
        <f>IFERROR(__xludf.DUMMYFUNCTION("""COMPUTED_VALUE"""),4.0)</f>
        <v>4</v>
      </c>
      <c r="AF627" s="10">
        <f>IFERROR(__xludf.DUMMYFUNCTION("""COMPUTED_VALUE"""),0.0)</f>
        <v>0</v>
      </c>
      <c r="AG627" s="10">
        <f>IFERROR(__xludf.DUMMYFUNCTION("""COMPUTED_VALUE"""),7.0)</f>
        <v>7</v>
      </c>
      <c r="AH627" s="10">
        <f>IFERROR(__xludf.DUMMYFUNCTION("""COMPUTED_VALUE"""),0.0)</f>
        <v>0</v>
      </c>
      <c r="AI627" s="10">
        <f>IFERROR(__xludf.DUMMYFUNCTION("""COMPUTED_VALUE"""),7.0)</f>
        <v>7</v>
      </c>
      <c r="AJ627" s="11" t="str">
        <f>IFERROR(__xludf.DUMMYFUNCTION("""COMPUTED_VALUE"""),"https://drive.google.com/open?id=1U4P7szq7rk-yTPd7xpG3mSOrMhXi11PSubj4xc0zRso")</f>
        <v>https://drive.google.com/open?id=1U4P7szq7rk-yTPd7xpG3mSOrMhXi11PSubj4xc0zRso</v>
      </c>
      <c r="AK627" s="12" t="str">
        <f>IFERROR(__xludf.DUMMYFUNCTION("""COMPUTED_VALUE"""),"اواز کلیر نہیں تھی")</f>
        <v>اواز کلیر نہیں تھی</v>
      </c>
      <c r="AL627" s="12" t="str">
        <f>IFERROR(__xludf.DUMMYFUNCTION("""COMPUTED_VALUE"""),"No")</f>
        <v>No</v>
      </c>
      <c r="AM627" s="15">
        <f>IFERROR(__xludf.DUMMYFUNCTION("""COMPUTED_VALUE"""),0.0)</f>
        <v>0</v>
      </c>
      <c r="AN627" s="12" t="str">
        <f>IFERROR(__xludf.DUMMYFUNCTION("""COMPUTED_VALUE"""),"2nd week")</f>
        <v>2nd week</v>
      </c>
      <c r="AO627" s="13" t="s">
        <v>8</v>
      </c>
      <c r="AX627" s="17"/>
    </row>
    <row r="628">
      <c r="B628" s="9">
        <f>IFERROR(__xludf.DUMMYFUNCTION("""COMPUTED_VALUE"""),45895.30169177083)</f>
        <v>45895.30169</v>
      </c>
      <c r="C628" s="10" t="str">
        <f>IFERROR(__xludf.DUMMYFUNCTION("""COMPUTED_VALUE"""),"Arti Kumari ")</f>
        <v>Arti Kumari </v>
      </c>
      <c r="D628" s="10" t="str">
        <f>IFERROR(__xludf.DUMMYFUNCTION("""COMPUTED_VALUE"""),"03346661865")</f>
        <v>03346661865</v>
      </c>
      <c r="E628" s="10" t="str">
        <f>IFERROR(__xludf.DUMMYFUNCTION("""COMPUTED_VALUE"""),"Jamia Masjid Markazi Eid Gah Khanewal")</f>
        <v>Jamia Masjid Markazi Eid Gah Khanewal</v>
      </c>
      <c r="F628" s="10" t="str">
        <f>IFERROR(__xludf.DUMMYFUNCTION("""COMPUTED_VALUE"""),"frmfu")</f>
        <v>frmfu</v>
      </c>
      <c r="G628" s="10" t="str">
        <f>IFERROR(__xludf.DUMMYFUNCTION("""COMPUTED_VALUE"""),"Yes")</f>
        <v>Yes</v>
      </c>
      <c r="H628" s="10">
        <f>IFERROR(__xludf.DUMMYFUNCTION("""COMPUTED_VALUE"""),6.0)</f>
        <v>6</v>
      </c>
      <c r="I628" s="10">
        <f>IFERROR(__xludf.DUMMYFUNCTION("""COMPUTED_VALUE"""),2.0)</f>
        <v>2</v>
      </c>
      <c r="J628" s="10">
        <f>IFERROR(__xludf.DUMMYFUNCTION("""COMPUTED_VALUE"""),6.0)</f>
        <v>6</v>
      </c>
      <c r="K628" s="10">
        <f>IFERROR(__xludf.DUMMYFUNCTION("""COMPUTED_VALUE"""),6.0)</f>
        <v>6</v>
      </c>
      <c r="L628" s="10">
        <f>IFERROR(__xludf.DUMMYFUNCTION("""COMPUTED_VALUE"""),0.0)</f>
        <v>0</v>
      </c>
      <c r="M628" s="10">
        <f>IFERROR(__xludf.DUMMYFUNCTION("""COMPUTED_VALUE"""),6.0)</f>
        <v>6</v>
      </c>
      <c r="N628" s="10">
        <f>IFERROR(__xludf.DUMMYFUNCTION("""COMPUTED_VALUE"""),0.0)</f>
        <v>0</v>
      </c>
      <c r="O628" s="10">
        <f>IFERROR(__xludf.DUMMYFUNCTION("""COMPUTED_VALUE"""),10.0)</f>
        <v>10</v>
      </c>
      <c r="P628" s="10">
        <f>IFERROR(__xludf.DUMMYFUNCTION("""COMPUTED_VALUE"""),0.0)</f>
        <v>0</v>
      </c>
      <c r="Q628" s="10" t="str">
        <f>IFERROR(__xludf.DUMMYFUNCTION("""COMPUTED_VALUE"""),"No")</f>
        <v>No</v>
      </c>
      <c r="R628" s="10" t="str">
        <f>IFERROR(__xludf.DUMMYFUNCTION("""COMPUTED_VALUE"""),"No")</f>
        <v>No</v>
      </c>
      <c r="S628" s="10" t="str">
        <f>IFERROR(__xludf.DUMMYFUNCTION("""COMPUTED_VALUE"""),"No")</f>
        <v>No</v>
      </c>
      <c r="T628" s="10">
        <f>IFERROR(__xludf.DUMMYFUNCTION("""COMPUTED_VALUE"""),0.0)</f>
        <v>0</v>
      </c>
      <c r="U628" s="10">
        <f>IFERROR(__xludf.DUMMYFUNCTION("""COMPUTED_VALUE"""),0.0)</f>
        <v>0</v>
      </c>
      <c r="V628" s="10" t="str">
        <f>IFERROR(__xludf.DUMMYFUNCTION("""COMPUTED_VALUE"""),"معاشی سرگرمیوں اور فیصلہ کرنے میں خواتین کا کراد")</f>
        <v>معاشی سرگرمیوں اور فیصلہ کرنے میں خواتین کا کراد</v>
      </c>
      <c r="W628" s="10" t="str">
        <f>IFERROR(__xludf.DUMMYFUNCTION("""COMPUTED_VALUE"""),"امام نے خطبہ کے شروع میں اللہ کی قدرت پر بات کی کہ وہ ہر چیز پر قادر کے اس کے حکم کے بغیر کچھ نہیں ہو سکتا وہ جس کو چاہے بیٹا دے بیٹی دے یا بانچ کر دے اس میں مرد عورت کا ہاتھ نہیں  ہاں اللہ نے فزیکلی مردوں کو عورتوں کی نسبت زیادہ طاقت بخشی ہے پر وہ ہم سے "&amp;"کسی بھی حقوق میں پیچھے نہیں ہاں نبی ہونا مرد کے لیے مقرر کیا پر اس نبی کو بھی عورت نے پیدا کیا۔ اور بعد میں عورتوں کا کردار معاشی میں اور فیصلے کرنے میں خواتین کا حق ان دونوں میں خواتین کا بھی اتنا ہی حق ہے جتنا مردوں کو ہے معاشرے ۔یں زمہ داری سے کام کرنے"&amp;" کے لیے ہم نے انہیں ایسا معاشرہ دینا ہے اور شادی کے سلسلے میں بھی عورت کو حق حاصل ہے کہ وہ اپنی پسند بیان کرے اور دوست دو حقوق کو اگلے جمہ میں بیان کرنے کا کہا")</f>
        <v>امام نے خطبہ کے شروع میں اللہ کی قدرت پر بات کی کہ وہ ہر چیز پر قادر کے اس کے حکم کے بغیر کچھ نہیں ہو سکتا وہ جس کو چاہے بیٹا دے بیٹی دے یا بانچ کر دے اس میں مرد عورت کا ہاتھ نہیں  ہاں اللہ نے فزیکلی مردوں کو عورتوں کی نسبت زیادہ طاقت بخشی ہے پر وہ ہم سے کسی بھی حقوق میں پیچھے نہیں ہاں نبی ہونا مرد کے لیے مقرر کیا پر اس نبی کو بھی عورت نے پیدا کیا۔ اور بعد میں عورتوں کا کردار معاشی میں اور فیصلے کرنے میں خواتین کا حق ان دونوں میں خواتین کا بھی اتنا ہی حق ہے جتنا مردوں کو ہے معاشرے ۔یں زمہ داری سے کام کرنے کے لیے ہم نے انہیں ایسا معاشرہ دینا ہے اور شادی کے سلسلے میں بھی عورت کو حق حاصل ہے کہ وہ اپنی پسند بیان کرے اور دوست دو حقوق کو اگلے جمہ میں بیان کرنے کا کہا</v>
      </c>
      <c r="X628" s="10">
        <f>IFERROR(__xludf.DUMMYFUNCTION("""COMPUTED_VALUE"""),0.0)</f>
        <v>0</v>
      </c>
      <c r="Y628" s="10">
        <f>IFERROR(__xludf.DUMMYFUNCTION("""COMPUTED_VALUE"""),2.0)</f>
        <v>2</v>
      </c>
      <c r="Z628" s="10">
        <f>IFERROR(__xludf.DUMMYFUNCTION("""COMPUTED_VALUE"""),10.0)</f>
        <v>10</v>
      </c>
      <c r="AA628" s="10">
        <f>IFERROR(__xludf.DUMMYFUNCTION("""COMPUTED_VALUE"""),3.0)</f>
        <v>3</v>
      </c>
      <c r="AB628" s="10">
        <f>IFERROR(__xludf.DUMMYFUNCTION("""COMPUTED_VALUE"""),2.0)</f>
        <v>2</v>
      </c>
      <c r="AC628" s="10">
        <f>IFERROR(__xludf.DUMMYFUNCTION("""COMPUTED_VALUE"""),0.0)</f>
        <v>0</v>
      </c>
      <c r="AD628" s="10">
        <f>IFERROR(__xludf.DUMMYFUNCTION("""COMPUTED_VALUE"""),0.0)</f>
        <v>0</v>
      </c>
      <c r="AE628" s="10">
        <f>IFERROR(__xludf.DUMMYFUNCTION("""COMPUTED_VALUE"""),0.0)</f>
        <v>0</v>
      </c>
      <c r="AF628" s="10">
        <f>IFERROR(__xludf.DUMMYFUNCTION("""COMPUTED_VALUE"""),0.0)</f>
        <v>0</v>
      </c>
      <c r="AG628" s="10">
        <f>IFERROR(__xludf.DUMMYFUNCTION("""COMPUTED_VALUE"""),10.0)</f>
        <v>10</v>
      </c>
      <c r="AH628" s="10">
        <f>IFERROR(__xludf.DUMMYFUNCTION("""COMPUTED_VALUE"""),0.0)</f>
        <v>0</v>
      </c>
      <c r="AI628" s="10">
        <f>IFERROR(__xludf.DUMMYFUNCTION("""COMPUTED_VALUE"""),10.0)</f>
        <v>10</v>
      </c>
      <c r="AJ628" s="11" t="str">
        <f>IFERROR(__xludf.DUMMYFUNCTION("""COMPUTED_VALUE"""),"https://drive.google.com/open?id=1gJTOe5zuqJJ7dMgxQvJimGFe1xDv1p5l")</f>
        <v>https://drive.google.com/open?id=1gJTOe5zuqJJ7dMgxQvJimGFe1xDv1p5l</v>
      </c>
      <c r="AK628" s="12"/>
      <c r="AL628" s="12" t="str">
        <f>IFERROR(__xludf.DUMMYFUNCTION("""COMPUTED_VALUE"""),"Yes")</f>
        <v>Yes</v>
      </c>
      <c r="AM628" s="15">
        <f>IFERROR(__xludf.DUMMYFUNCTION("""COMPUTED_VALUE"""),0.6)</f>
        <v>0.6</v>
      </c>
      <c r="AN628" s="12" t="str">
        <f>IFERROR(__xludf.DUMMYFUNCTION("""COMPUTED_VALUE"""),"2nd week")</f>
        <v>2nd week</v>
      </c>
      <c r="AO628" s="13">
        <v>2.0</v>
      </c>
      <c r="AX628" s="17"/>
    </row>
    <row r="629">
      <c r="B629" s="9">
        <f>IFERROR(__xludf.DUMMYFUNCTION("""COMPUTED_VALUE"""),45895.48165611111)</f>
        <v>45895.48166</v>
      </c>
      <c r="C629" s="10" t="str">
        <f>IFERROR(__xludf.DUMMYFUNCTION("""COMPUTED_VALUE"""),"Arti Kumari ")</f>
        <v>Arti Kumari </v>
      </c>
      <c r="D629" s="10" t="str">
        <f>IFERROR(__xludf.DUMMYFUNCTION("""COMPUTED_VALUE"""),"03346661865")</f>
        <v>03346661865</v>
      </c>
      <c r="E629" s="10" t="str">
        <f>IFERROR(__xludf.DUMMYFUNCTION("""COMPUTED_VALUE"""),"Jamia Masjid Darbar Dawood Jahanain")</f>
        <v>Jamia Masjid Darbar Dawood Jahanain</v>
      </c>
      <c r="F629" s="10" t="str">
        <f>IFERROR(__xludf.DUMMYFUNCTION("""COMPUTED_VALUE"""),"usepk")</f>
        <v>usepk</v>
      </c>
      <c r="G629" s="10" t="str">
        <f>IFERROR(__xludf.DUMMYFUNCTION("""COMPUTED_VALUE"""),"Yes")</f>
        <v>Yes</v>
      </c>
      <c r="H629" s="10">
        <f>IFERROR(__xludf.DUMMYFUNCTION("""COMPUTED_VALUE"""),0.0)</f>
        <v>0</v>
      </c>
      <c r="I629" s="10">
        <f>IFERROR(__xludf.DUMMYFUNCTION("""COMPUTED_VALUE"""),0.0)</f>
        <v>0</v>
      </c>
      <c r="J629" s="10">
        <f>IFERROR(__xludf.DUMMYFUNCTION("""COMPUTED_VALUE"""),0.0)</f>
        <v>0</v>
      </c>
      <c r="K629" s="10">
        <f>IFERROR(__xludf.DUMMYFUNCTION("""COMPUTED_VALUE"""),0.0)</f>
        <v>0</v>
      </c>
      <c r="L629" s="10">
        <f>IFERROR(__xludf.DUMMYFUNCTION("""COMPUTED_VALUE"""),0.0)</f>
        <v>0</v>
      </c>
      <c r="M629" s="10">
        <f>IFERROR(__xludf.DUMMYFUNCTION("""COMPUTED_VALUE"""),0.0)</f>
        <v>0</v>
      </c>
      <c r="N629" s="10">
        <f>IFERROR(__xludf.DUMMYFUNCTION("""COMPUTED_VALUE"""),0.0)</f>
        <v>0</v>
      </c>
      <c r="O629" s="10">
        <f>IFERROR(__xludf.DUMMYFUNCTION("""COMPUTED_VALUE"""),0.0)</f>
        <v>0</v>
      </c>
      <c r="P629" s="10">
        <f>IFERROR(__xludf.DUMMYFUNCTION("""COMPUTED_VALUE"""),0.0)</f>
        <v>0</v>
      </c>
      <c r="Q629" s="10" t="str">
        <f>IFERROR(__xludf.DUMMYFUNCTION("""COMPUTED_VALUE"""),"No")</f>
        <v>No</v>
      </c>
      <c r="R629" s="10" t="str">
        <f>IFERROR(__xludf.DUMMYFUNCTION("""COMPUTED_VALUE"""),"No")</f>
        <v>No</v>
      </c>
      <c r="S629" s="10" t="str">
        <f>IFERROR(__xludf.DUMMYFUNCTION("""COMPUTED_VALUE"""),"No")</f>
        <v>No</v>
      </c>
      <c r="T629" s="10">
        <f>IFERROR(__xludf.DUMMYFUNCTION("""COMPUTED_VALUE"""),0.0)</f>
        <v>0</v>
      </c>
      <c r="U629" s="10">
        <f>IFERROR(__xludf.DUMMYFUNCTION("""COMPUTED_VALUE"""),0.0)</f>
        <v>0</v>
      </c>
      <c r="V629" s="10" t="str">
        <f>IFERROR(__xludf.DUMMYFUNCTION("""COMPUTED_VALUE"""),"مسلمانوں کا آپس میں تعلق ")</f>
        <v>مسلمانوں کا آپس میں تعلق </v>
      </c>
      <c r="W629" s="10" t="str">
        <f>IFERROR(__xludf.DUMMYFUNCTION("""COMPUTED_VALUE"""),"امام نے خطبہ میں بتایا کہ مسلمان کا اک دوسرے مسلمان سے بہت گہرا تعلق ہے ان کا تعلق آپس میں ایسا ہے کے کینسر  ایسا ہے جیسے جوڈ کہ اگر ایک جوڈ میں درد ہو تو دوست جسم کے دوسرے حصہ میں درد ہو تو ہمیں ایک مسلمان بھائی کی دوسرے مسلمان بھائی کی مدد کرنی چاہیے چا"&amp;"ہے وہ جس علاقے یا خطے میں ہو")</f>
        <v>امام نے خطبہ میں بتایا کہ مسلمان کا اک دوسرے مسلمان سے بہت گہرا تعلق ہے ان کا تعلق آپس میں ایسا ہے کے کینسر  ایسا ہے جیسے جوڈ کہ اگر ایک جوڈ میں درد ہو تو دوست جسم کے دوسرے حصہ میں درد ہو تو ہمیں ایک مسلمان بھائی کی دوسرے مسلمان بھائی کی مدد کرنی چاہیے چاہے وہ جس علاقے یا خطے میں ہو</v>
      </c>
      <c r="X629" s="10">
        <f>IFERROR(__xludf.DUMMYFUNCTION("""COMPUTED_VALUE"""),0.0)</f>
        <v>0</v>
      </c>
      <c r="Y629" s="10">
        <f>IFERROR(__xludf.DUMMYFUNCTION("""COMPUTED_VALUE"""),6.0)</f>
        <v>6</v>
      </c>
      <c r="Z629" s="10">
        <f>IFERROR(__xludf.DUMMYFUNCTION("""COMPUTED_VALUE"""),5.0)</f>
        <v>5</v>
      </c>
      <c r="AA629" s="10">
        <f>IFERROR(__xludf.DUMMYFUNCTION("""COMPUTED_VALUE"""),0.0)</f>
        <v>0</v>
      </c>
      <c r="AB629" s="10">
        <f>IFERROR(__xludf.DUMMYFUNCTION("""COMPUTED_VALUE"""),0.0)</f>
        <v>0</v>
      </c>
      <c r="AC629" s="10">
        <f>IFERROR(__xludf.DUMMYFUNCTION("""COMPUTED_VALUE"""),2.0)</f>
        <v>2</v>
      </c>
      <c r="AD629" s="10">
        <f>IFERROR(__xludf.DUMMYFUNCTION("""COMPUTED_VALUE"""),0.0)</f>
        <v>0</v>
      </c>
      <c r="AE629" s="10">
        <f>IFERROR(__xludf.DUMMYFUNCTION("""COMPUTED_VALUE"""),0.0)</f>
        <v>0</v>
      </c>
      <c r="AF629" s="10">
        <f>IFERROR(__xludf.DUMMYFUNCTION("""COMPUTED_VALUE"""),0.0)</f>
        <v>0</v>
      </c>
      <c r="AG629" s="10">
        <f>IFERROR(__xludf.DUMMYFUNCTION("""COMPUTED_VALUE"""),4.0)</f>
        <v>4</v>
      </c>
      <c r="AH629" s="10">
        <f>IFERROR(__xludf.DUMMYFUNCTION("""COMPUTED_VALUE"""),0.0)</f>
        <v>0</v>
      </c>
      <c r="AI629" s="10">
        <f>IFERROR(__xludf.DUMMYFUNCTION("""COMPUTED_VALUE"""),4.0)</f>
        <v>4</v>
      </c>
      <c r="AJ629" s="11" t="str">
        <f>IFERROR(__xludf.DUMMYFUNCTION("""COMPUTED_VALUE"""),"https://drive.google.com/open?id=1k1-ZKDJ5JqZvmEHIxu67FPWT28WM7md8")</f>
        <v>https://drive.google.com/open?id=1k1-ZKDJ5JqZvmEHIxu67FPWT28WM7md8</v>
      </c>
      <c r="AK629" s="12" t="str">
        <f>IFERROR(__xludf.DUMMYFUNCTION("""COMPUTED_VALUE"""),"آوز میں بہت شور تھا کچھ جگہ بہت وقفہ تھا")</f>
        <v>آوز میں بہت شور تھا کچھ جگہ بہت وقفہ تھا</v>
      </c>
      <c r="AL629" s="12" t="str">
        <f>IFERROR(__xludf.DUMMYFUNCTION("""COMPUTED_VALUE"""),"Yes")</f>
        <v>Yes</v>
      </c>
      <c r="AM629" s="15">
        <f>IFERROR(__xludf.DUMMYFUNCTION("""COMPUTED_VALUE"""),0.0)</f>
        <v>0</v>
      </c>
      <c r="AN629" s="12" t="str">
        <f>IFERROR(__xludf.DUMMYFUNCTION("""COMPUTED_VALUE"""),"2nd week")</f>
        <v>2nd week</v>
      </c>
      <c r="AO629" s="13">
        <v>2.0</v>
      </c>
      <c r="AX629" s="17"/>
    </row>
    <row r="630">
      <c r="B630" s="9">
        <f>IFERROR(__xludf.DUMMYFUNCTION("""COMPUTED_VALUE"""),45895.49092652778)</f>
        <v>45895.49093</v>
      </c>
      <c r="C630" s="10" t="str">
        <f>IFERROR(__xludf.DUMMYFUNCTION("""COMPUTED_VALUE"""),"Arti Kumari ")</f>
        <v>Arti Kumari </v>
      </c>
      <c r="D630" s="10" t="str">
        <f>IFERROR(__xludf.DUMMYFUNCTION("""COMPUTED_VALUE"""),"03346661865")</f>
        <v>03346661865</v>
      </c>
      <c r="E630" s="10" t="str">
        <f>IFERROR(__xludf.DUMMYFUNCTION("""COMPUTED_VALUE"""),"Jamia Masjid Anayat Walayat Multan ")</f>
        <v>Jamia Masjid Anayat Walayat Multan </v>
      </c>
      <c r="F630" s="10" t="str">
        <f>IFERROR(__xludf.DUMMYFUNCTION("""COMPUTED_VALUE"""),"meepx")</f>
        <v>meepx</v>
      </c>
      <c r="G630" s="10" t="str">
        <f>IFERROR(__xludf.DUMMYFUNCTION("""COMPUTED_VALUE"""),"Yes")</f>
        <v>Yes</v>
      </c>
      <c r="H630" s="10">
        <f>IFERROR(__xludf.DUMMYFUNCTION("""COMPUTED_VALUE"""),0.0)</f>
        <v>0</v>
      </c>
      <c r="I630" s="10">
        <f>IFERROR(__xludf.DUMMYFUNCTION("""COMPUTED_VALUE"""),0.0)</f>
        <v>0</v>
      </c>
      <c r="J630" s="10">
        <f>IFERROR(__xludf.DUMMYFUNCTION("""COMPUTED_VALUE"""),0.0)</f>
        <v>0</v>
      </c>
      <c r="K630" s="10">
        <f>IFERROR(__xludf.DUMMYFUNCTION("""COMPUTED_VALUE"""),0.0)</f>
        <v>0</v>
      </c>
      <c r="L630" s="10">
        <f>IFERROR(__xludf.DUMMYFUNCTION("""COMPUTED_VALUE"""),0.0)</f>
        <v>0</v>
      </c>
      <c r="M630" s="10">
        <f>IFERROR(__xludf.DUMMYFUNCTION("""COMPUTED_VALUE"""),0.0)</f>
        <v>0</v>
      </c>
      <c r="N630" s="10">
        <f>IFERROR(__xludf.DUMMYFUNCTION("""COMPUTED_VALUE"""),0.0)</f>
        <v>0</v>
      </c>
      <c r="O630" s="10">
        <f>IFERROR(__xludf.DUMMYFUNCTION("""COMPUTED_VALUE"""),0.0)</f>
        <v>0</v>
      </c>
      <c r="P630" s="10">
        <f>IFERROR(__xludf.DUMMYFUNCTION("""COMPUTED_VALUE"""),0.0)</f>
        <v>0</v>
      </c>
      <c r="Q630" s="10" t="str">
        <f>IFERROR(__xludf.DUMMYFUNCTION("""COMPUTED_VALUE"""),"No")</f>
        <v>No</v>
      </c>
      <c r="R630" s="10" t="str">
        <f>IFERROR(__xludf.DUMMYFUNCTION("""COMPUTED_VALUE"""),"No")</f>
        <v>No</v>
      </c>
      <c r="S630" s="10" t="str">
        <f>IFERROR(__xludf.DUMMYFUNCTION("""COMPUTED_VALUE"""),"No")</f>
        <v>No</v>
      </c>
      <c r="T630" s="10">
        <f>IFERROR(__xludf.DUMMYFUNCTION("""COMPUTED_VALUE"""),0.0)</f>
        <v>0</v>
      </c>
      <c r="U630" s="10">
        <f>IFERROR(__xludf.DUMMYFUNCTION("""COMPUTED_VALUE"""),0.0)</f>
        <v>0</v>
      </c>
      <c r="V630" s="10" t="str">
        <f>IFERROR(__xludf.DUMMYFUNCTION("""COMPUTED_VALUE"""),"ولیوں کی اہمیت")</f>
        <v>ولیوں کی اہمیت</v>
      </c>
      <c r="W630" s="10" t="str">
        <f>IFERROR(__xludf.DUMMYFUNCTION("""COMPUTED_VALUE"""),"امام نے خطبہ میں ولیوں کی اہمیت بیان کی ہے کہ وہ اللہ کے بہت قریب ہوتے ہیں امام نے ولیوں کو اللہ کا دوست سے مخاطب کیا ہے  یہ وہ لوگ ہیں جو سیدھے راستے پر چلتے ہیں اور اللہ کے احکامات کی پیروی کرتے ہیں")</f>
        <v>امام نے خطبہ میں ولیوں کی اہمیت بیان کی ہے کہ وہ اللہ کے بہت قریب ہوتے ہیں امام نے ولیوں کو اللہ کا دوست سے مخاطب کیا ہے  یہ وہ لوگ ہیں جو سیدھے راستے پر چلتے ہیں اور اللہ کے احکامات کی پیروی کرتے ہیں</v>
      </c>
      <c r="X630" s="10">
        <f>IFERROR(__xludf.DUMMYFUNCTION("""COMPUTED_VALUE"""),2.0)</f>
        <v>2</v>
      </c>
      <c r="Y630" s="10">
        <f>IFERROR(__xludf.DUMMYFUNCTION("""COMPUTED_VALUE"""),0.0)</f>
        <v>0</v>
      </c>
      <c r="Z630" s="10">
        <f>IFERROR(__xludf.DUMMYFUNCTION("""COMPUTED_VALUE"""),0.0)</f>
        <v>0</v>
      </c>
      <c r="AA630" s="10">
        <f>IFERROR(__xludf.DUMMYFUNCTION("""COMPUTED_VALUE"""),3.0)</f>
        <v>3</v>
      </c>
      <c r="AB630" s="10">
        <f>IFERROR(__xludf.DUMMYFUNCTION("""COMPUTED_VALUE"""),2.0)</f>
        <v>2</v>
      </c>
      <c r="AC630" s="10">
        <f>IFERROR(__xludf.DUMMYFUNCTION("""COMPUTED_VALUE"""),0.0)</f>
        <v>0</v>
      </c>
      <c r="AD630" s="10">
        <f>IFERROR(__xludf.DUMMYFUNCTION("""COMPUTED_VALUE"""),0.0)</f>
        <v>0</v>
      </c>
      <c r="AE630" s="10">
        <f>IFERROR(__xludf.DUMMYFUNCTION("""COMPUTED_VALUE"""),0.0)</f>
        <v>0</v>
      </c>
      <c r="AF630" s="10">
        <f>IFERROR(__xludf.DUMMYFUNCTION("""COMPUTED_VALUE"""),0.0)</f>
        <v>0</v>
      </c>
      <c r="AG630" s="10">
        <f>IFERROR(__xludf.DUMMYFUNCTION("""COMPUTED_VALUE"""),1.0)</f>
        <v>1</v>
      </c>
      <c r="AH630" s="10">
        <f>IFERROR(__xludf.DUMMYFUNCTION("""COMPUTED_VALUE"""),0.0)</f>
        <v>0</v>
      </c>
      <c r="AI630" s="10">
        <f>IFERROR(__xludf.DUMMYFUNCTION("""COMPUTED_VALUE"""),2.0)</f>
        <v>2</v>
      </c>
      <c r="AJ630" s="11" t="str">
        <f>IFERROR(__xludf.DUMMYFUNCTION("""COMPUTED_VALUE"""),"https://drive.google.com/open?id=1KLoRUUIonaCuIY9U2BmGVet-H7tP_mXv")</f>
        <v>https://drive.google.com/open?id=1KLoRUUIonaCuIY9U2BmGVet-H7tP_mXv</v>
      </c>
      <c r="AK630" s="12" t="str">
        <f>IFERROR(__xludf.DUMMYFUNCTION("""COMPUTED_VALUE"""),"آوز کا معیار خراب تھا")</f>
        <v>آوز کا معیار خراب تھا</v>
      </c>
      <c r="AL630" s="12" t="str">
        <f>IFERROR(__xludf.DUMMYFUNCTION("""COMPUTED_VALUE"""),"Yes")</f>
        <v>Yes</v>
      </c>
      <c r="AM630" s="15">
        <f>IFERROR(__xludf.DUMMYFUNCTION("""COMPUTED_VALUE"""),0.0)</f>
        <v>0</v>
      </c>
      <c r="AN630" s="12" t="str">
        <f>IFERROR(__xludf.DUMMYFUNCTION("""COMPUTED_VALUE"""),"4th week")</f>
        <v>4th week</v>
      </c>
      <c r="AO630" s="13">
        <v>4.0</v>
      </c>
      <c r="AX630" s="17"/>
    </row>
    <row r="631">
      <c r="B631" s="9">
        <f>IFERROR(__xludf.DUMMYFUNCTION("""COMPUTED_VALUE"""),45895.52394248843)</f>
        <v>45895.52394</v>
      </c>
      <c r="C631" s="10" t="str">
        <f>IFERROR(__xludf.DUMMYFUNCTION("""COMPUTED_VALUE"""),"Arti Kumari ")</f>
        <v>Arti Kumari </v>
      </c>
      <c r="D631" s="10" t="str">
        <f>IFERROR(__xludf.DUMMYFUNCTION("""COMPUTED_VALUE"""),"03346661865")</f>
        <v>03346661865</v>
      </c>
      <c r="E631" s="10" t="str">
        <f>IFERROR(__xludf.DUMMYFUNCTION("""COMPUTED_VALUE"""),"Jamia Masjid Miyan Nawali Minchanabad ")</f>
        <v>Jamia Masjid Miyan Nawali Minchanabad </v>
      </c>
      <c r="F631" s="10" t="str">
        <f>IFERROR(__xludf.DUMMYFUNCTION("""COMPUTED_VALUE"""),"pbyfm")</f>
        <v>pbyfm</v>
      </c>
      <c r="G631" s="10" t="str">
        <f>IFERROR(__xludf.DUMMYFUNCTION("""COMPUTED_VALUE"""),"Yes")</f>
        <v>Yes</v>
      </c>
      <c r="H631" s="10">
        <f>IFERROR(__xludf.DUMMYFUNCTION("""COMPUTED_VALUE"""),2.0)</f>
        <v>2</v>
      </c>
      <c r="I631" s="10">
        <f>IFERROR(__xludf.DUMMYFUNCTION("""COMPUTED_VALUE"""),8.0)</f>
        <v>8</v>
      </c>
      <c r="J631" s="10">
        <f>IFERROR(__xludf.DUMMYFUNCTION("""COMPUTED_VALUE"""),2.0)</f>
        <v>2</v>
      </c>
      <c r="K631" s="10">
        <f>IFERROR(__xludf.DUMMYFUNCTION("""COMPUTED_VALUE"""),0.0)</f>
        <v>0</v>
      </c>
      <c r="L631" s="10">
        <f>IFERROR(__xludf.DUMMYFUNCTION("""COMPUTED_VALUE"""),2.0)</f>
        <v>2</v>
      </c>
      <c r="M631" s="10">
        <f>IFERROR(__xludf.DUMMYFUNCTION("""COMPUTED_VALUE"""),1.0)</f>
        <v>1</v>
      </c>
      <c r="N631" s="10">
        <f>IFERROR(__xludf.DUMMYFUNCTION("""COMPUTED_VALUE"""),2.0)</f>
        <v>2</v>
      </c>
      <c r="O631" s="10">
        <f>IFERROR(__xludf.DUMMYFUNCTION("""COMPUTED_VALUE"""),0.0)</f>
        <v>0</v>
      </c>
      <c r="P631" s="10">
        <f>IFERROR(__xludf.DUMMYFUNCTION("""COMPUTED_VALUE"""),0.0)</f>
        <v>0</v>
      </c>
      <c r="Q631" s="10" t="str">
        <f>IFERROR(__xludf.DUMMYFUNCTION("""COMPUTED_VALUE"""),"No")</f>
        <v>No</v>
      </c>
      <c r="R631" s="10" t="str">
        <f>IFERROR(__xludf.DUMMYFUNCTION("""COMPUTED_VALUE"""),"No")</f>
        <v>No</v>
      </c>
      <c r="S631" s="10" t="str">
        <f>IFERROR(__xludf.DUMMYFUNCTION("""COMPUTED_VALUE"""),"Yes")</f>
        <v>Yes</v>
      </c>
      <c r="T631" s="10">
        <f>IFERROR(__xludf.DUMMYFUNCTION("""COMPUTED_VALUE"""),0.0)</f>
        <v>0</v>
      </c>
      <c r="U631" s="10">
        <f>IFERROR(__xludf.DUMMYFUNCTION("""COMPUTED_VALUE"""),0.0)</f>
        <v>0</v>
      </c>
      <c r="V631" s="10" t="str">
        <f>IFERROR(__xludf.DUMMYFUNCTION("""COMPUTED_VALUE"""),"توبہ کی اہمیت")</f>
        <v>توبہ کی اہمیت</v>
      </c>
      <c r="W631" s="10" t="str">
        <f>IFERROR(__xludf.DUMMYFUNCTION("""COMPUTED_VALUE"""),"امام نے خطبہ میں توبہ کی اہمیت پر زور دیا ہے بندے کو ہر حال میں توبہ کرنی چاہیے  اور جو سچے دل سے توبہ کرتا ہے اللہ اس کے تمام گناہ معاف کر دیتا ہے۔ اللہ نے کائنات کی ہر مخلوق کو اپنی عبادت کے لیے پیدا کیا ہے اور بتایا کی آپ خطبہ میں جو بھی سنتے ہیں اپنی "&amp;"خواتین کو بتائیں اسلام نے سب کے حقوق مرتب کر دیے ہیں اور پڑوسیوں کے حقوق کو بہت اہمیت حاصل ہے ")</f>
        <v>امام نے خطبہ میں توبہ کی اہمیت پر زور دیا ہے بندے کو ہر حال میں توبہ کرنی چاہیے  اور جو سچے دل سے توبہ کرتا ہے اللہ اس کے تمام گناہ معاف کر دیتا ہے۔ اللہ نے کائنات کی ہر مخلوق کو اپنی عبادت کے لیے پیدا کیا ہے اور بتایا کی آپ خطبہ میں جو بھی سنتے ہیں اپنی خواتین کو بتائیں اسلام نے سب کے حقوق مرتب کر دیے ہیں اور پڑوسیوں کے حقوق کو بہت اہمیت حاصل ہے </v>
      </c>
      <c r="X631" s="10">
        <f>IFERROR(__xludf.DUMMYFUNCTION("""COMPUTED_VALUE"""),4.0)</f>
        <v>4</v>
      </c>
      <c r="Y631" s="10">
        <f>IFERROR(__xludf.DUMMYFUNCTION("""COMPUTED_VALUE"""),2.0)</f>
        <v>2</v>
      </c>
      <c r="Z631" s="10">
        <f>IFERROR(__xludf.DUMMYFUNCTION("""COMPUTED_VALUE"""),2.0)</f>
        <v>2</v>
      </c>
      <c r="AA631" s="10">
        <f>IFERROR(__xludf.DUMMYFUNCTION("""COMPUTED_VALUE"""),5.0)</f>
        <v>5</v>
      </c>
      <c r="AB631" s="10">
        <f>IFERROR(__xludf.DUMMYFUNCTION("""COMPUTED_VALUE"""),0.0)</f>
        <v>0</v>
      </c>
      <c r="AC631" s="10">
        <f>IFERROR(__xludf.DUMMYFUNCTION("""COMPUTED_VALUE"""),0.0)</f>
        <v>0</v>
      </c>
      <c r="AD631" s="10">
        <f>IFERROR(__xludf.DUMMYFUNCTION("""COMPUTED_VALUE"""),0.0)</f>
        <v>0</v>
      </c>
      <c r="AE631" s="10">
        <f>IFERROR(__xludf.DUMMYFUNCTION("""COMPUTED_VALUE"""),0.0)</f>
        <v>0</v>
      </c>
      <c r="AF631" s="10">
        <f>IFERROR(__xludf.DUMMYFUNCTION("""COMPUTED_VALUE"""),0.0)</f>
        <v>0</v>
      </c>
      <c r="AG631" s="10">
        <f>IFERROR(__xludf.DUMMYFUNCTION("""COMPUTED_VALUE"""),8.0)</f>
        <v>8</v>
      </c>
      <c r="AH631" s="10">
        <f>IFERROR(__xludf.DUMMYFUNCTION("""COMPUTED_VALUE"""),0.0)</f>
        <v>0</v>
      </c>
      <c r="AI631" s="10">
        <f>IFERROR(__xludf.DUMMYFUNCTION("""COMPUTED_VALUE"""),8.0)</f>
        <v>8</v>
      </c>
      <c r="AJ631" s="11" t="str">
        <f>IFERROR(__xludf.DUMMYFUNCTION("""COMPUTED_VALUE"""),"https://drive.google.com/open?id=1ujQP-T0WqfAIMLwo1nKHNtbfGoDrOMWF")</f>
        <v>https://drive.google.com/open?id=1ujQP-T0WqfAIMLwo1nKHNtbfGoDrOMWF</v>
      </c>
      <c r="AK631" s="12"/>
      <c r="AL631" s="12" t="str">
        <f>IFERROR(__xludf.DUMMYFUNCTION("""COMPUTED_VALUE"""),"Yes")</f>
        <v>Yes</v>
      </c>
      <c r="AM631" s="15">
        <f>IFERROR(__xludf.DUMMYFUNCTION("""COMPUTED_VALUE"""),0.2)</f>
        <v>0.2</v>
      </c>
      <c r="AN631" s="12" t="str">
        <f>IFERROR(__xludf.DUMMYFUNCTION("""COMPUTED_VALUE"""),"3rd week")</f>
        <v>3rd week</v>
      </c>
      <c r="AO631" s="13">
        <v>3.0</v>
      </c>
      <c r="AX631" s="17"/>
    </row>
    <row r="632">
      <c r="B632" s="9">
        <f>IFERROR(__xludf.DUMMYFUNCTION("""COMPUTED_VALUE"""),45895.53938469908)</f>
        <v>45895.53938</v>
      </c>
      <c r="C632" s="10" t="str">
        <f>IFERROR(__xludf.DUMMYFUNCTION("""COMPUTED_VALUE"""),"Arti Kumari ")</f>
        <v>Arti Kumari </v>
      </c>
      <c r="D632" s="10" t="str">
        <f>IFERROR(__xludf.DUMMYFUNCTION("""COMPUTED_VALUE"""),"03346661865")</f>
        <v>03346661865</v>
      </c>
      <c r="E632" s="10" t="str">
        <f>IFERROR(__xludf.DUMMYFUNCTION("""COMPUTED_VALUE"""),"Jamia Masjid Allah Daad Trust Jahaniya Khanewal ")</f>
        <v>Jamia Masjid Allah Daad Trust Jahaniya Khanewal </v>
      </c>
      <c r="F632" s="10" t="str">
        <f>IFERROR(__xludf.DUMMYFUNCTION("""COMPUTED_VALUE"""),"bgzlc")</f>
        <v>bgzlc</v>
      </c>
      <c r="G632" s="10" t="str">
        <f>IFERROR(__xludf.DUMMYFUNCTION("""COMPUTED_VALUE"""),"No")</f>
        <v>No</v>
      </c>
      <c r="H632" s="10"/>
      <c r="I632" s="10"/>
      <c r="J632" s="10"/>
      <c r="K632" s="10">
        <f>IFERROR(__xludf.DUMMYFUNCTION("""COMPUTED_VALUE"""),0.0)</f>
        <v>0</v>
      </c>
      <c r="L632" s="10">
        <f>IFERROR(__xludf.DUMMYFUNCTION("""COMPUTED_VALUE"""),0.0)</f>
        <v>0</v>
      </c>
      <c r="M632" s="10">
        <f>IFERROR(__xludf.DUMMYFUNCTION("""COMPUTED_VALUE"""),0.0)</f>
        <v>0</v>
      </c>
      <c r="N632" s="10">
        <f>IFERROR(__xludf.DUMMYFUNCTION("""COMPUTED_VALUE"""),0.0)</f>
        <v>0</v>
      </c>
      <c r="O632" s="10">
        <f>IFERROR(__xludf.DUMMYFUNCTION("""COMPUTED_VALUE"""),0.0)</f>
        <v>0</v>
      </c>
      <c r="P632" s="10">
        <f>IFERROR(__xludf.DUMMYFUNCTION("""COMPUTED_VALUE"""),0.0)</f>
        <v>0</v>
      </c>
      <c r="Q632" s="10" t="str">
        <f>IFERROR(__xludf.DUMMYFUNCTION("""COMPUTED_VALUE"""),"No")</f>
        <v>No</v>
      </c>
      <c r="R632" s="10" t="str">
        <f>IFERROR(__xludf.DUMMYFUNCTION("""COMPUTED_VALUE"""),"No")</f>
        <v>No</v>
      </c>
      <c r="S632" s="10" t="str">
        <f>IFERROR(__xludf.DUMMYFUNCTION("""COMPUTED_VALUE"""),"No")</f>
        <v>No</v>
      </c>
      <c r="T632" s="10">
        <f>IFERROR(__xludf.DUMMYFUNCTION("""COMPUTED_VALUE"""),0.0)</f>
        <v>0</v>
      </c>
      <c r="U632" s="10">
        <f>IFERROR(__xludf.DUMMYFUNCTION("""COMPUTED_VALUE"""),0.0)</f>
        <v>0</v>
      </c>
      <c r="V632" s="10" t="str">
        <f>IFERROR(__xludf.DUMMYFUNCTION("""COMPUTED_VALUE"""),"وطن کی اہمیت")</f>
        <v>وطن کی اہمیت</v>
      </c>
      <c r="W632" s="10" t="str">
        <f>IFERROR(__xludf.DUMMYFUNCTION("""COMPUTED_VALUE"""),"امام نے خطبے میں وطن کی اہمیت کے حوالے سے بات کی ہے امام بتاتے ہیں کے نبی کے خلاف بھی بہت لوگ تھے لیکن آپ نے دین کو نہیں چھودا اس ملک کو پانے کے لیے لوگوں نے بہت قربانیاں دی ہیں اسی وجہ سے آج ہمیں آزاد وطن حاصل ہوا جہاں ہم اپنی مرضی اور عقیدے کے مطابق زند"&amp;"گی بسر کر سکتے ہیں")</f>
        <v>امام نے خطبے میں وطن کی اہمیت کے حوالے سے بات کی ہے امام بتاتے ہیں کے نبی کے خلاف بھی بہت لوگ تھے لیکن آپ نے دین کو نہیں چھودا اس ملک کو پانے کے لیے لوگوں نے بہت قربانیاں دی ہیں اسی وجہ سے آج ہمیں آزاد وطن حاصل ہوا جہاں ہم اپنی مرضی اور عقیدے کے مطابق زندگی بسر کر سکتے ہیں</v>
      </c>
      <c r="X632" s="10">
        <f>IFERROR(__xludf.DUMMYFUNCTION("""COMPUTED_VALUE"""),2.0)</f>
        <v>2</v>
      </c>
      <c r="Y632" s="10">
        <f>IFERROR(__xludf.DUMMYFUNCTION("""COMPUTED_VALUE"""),7.0)</f>
        <v>7</v>
      </c>
      <c r="Z632" s="10">
        <f>IFERROR(__xludf.DUMMYFUNCTION("""COMPUTED_VALUE"""),4.0)</f>
        <v>4</v>
      </c>
      <c r="AA632" s="10">
        <f>IFERROR(__xludf.DUMMYFUNCTION("""COMPUTED_VALUE"""),2.0)</f>
        <v>2</v>
      </c>
      <c r="AB632" s="10">
        <f>IFERROR(__xludf.DUMMYFUNCTION("""COMPUTED_VALUE"""),4.0)</f>
        <v>4</v>
      </c>
      <c r="AC632" s="10">
        <f>IFERROR(__xludf.DUMMYFUNCTION("""COMPUTED_VALUE"""),3.0)</f>
        <v>3</v>
      </c>
      <c r="AD632" s="10">
        <f>IFERROR(__xludf.DUMMYFUNCTION("""COMPUTED_VALUE"""),0.0)</f>
        <v>0</v>
      </c>
      <c r="AE632" s="10">
        <f>IFERROR(__xludf.DUMMYFUNCTION("""COMPUTED_VALUE"""),0.0)</f>
        <v>0</v>
      </c>
      <c r="AF632" s="10">
        <f>IFERROR(__xludf.DUMMYFUNCTION("""COMPUTED_VALUE"""),0.0)</f>
        <v>0</v>
      </c>
      <c r="AG632" s="10">
        <f>IFERROR(__xludf.DUMMYFUNCTION("""COMPUTED_VALUE"""),5.0)</f>
        <v>5</v>
      </c>
      <c r="AH632" s="10">
        <f>IFERROR(__xludf.DUMMYFUNCTION("""COMPUTED_VALUE"""),0.0)</f>
        <v>0</v>
      </c>
      <c r="AI632" s="10">
        <f>IFERROR(__xludf.DUMMYFUNCTION("""COMPUTED_VALUE"""),5.0)</f>
        <v>5</v>
      </c>
      <c r="AJ632" s="11" t="str">
        <f>IFERROR(__xludf.DUMMYFUNCTION("""COMPUTED_VALUE"""),"https://drive.google.com/open?id=1r1z7TpjHz5PhvkRqTXEQd5_b3EQaNLuS")</f>
        <v>https://drive.google.com/open?id=1r1z7TpjHz5PhvkRqTXEQd5_b3EQaNLuS</v>
      </c>
      <c r="AK632" s="12"/>
      <c r="AL632" s="12"/>
      <c r="AM632" s="12"/>
      <c r="AN632" s="12" t="str">
        <f>IFERROR(__xludf.DUMMYFUNCTION("""COMPUTED_VALUE"""),"3rd week")</f>
        <v>3rd week</v>
      </c>
      <c r="AO632" s="13">
        <v>3.0</v>
      </c>
      <c r="AX632" s="17"/>
    </row>
    <row r="633">
      <c r="B633" s="9">
        <f>IFERROR(__xludf.DUMMYFUNCTION("""COMPUTED_VALUE"""),45895.695819201384)</f>
        <v>45895.69582</v>
      </c>
      <c r="C633" s="10" t="str">
        <f>IFERROR(__xludf.DUMMYFUNCTION("""COMPUTED_VALUE"""),"Sidra ")</f>
        <v>Sidra </v>
      </c>
      <c r="D633" s="10" t="str">
        <f>IFERROR(__xludf.DUMMYFUNCTION("""COMPUTED_VALUE"""),"03261416280")</f>
        <v>03261416280</v>
      </c>
      <c r="E633" s="10" t="str">
        <f>IFERROR(__xludf.DUMMYFUNCTION("""COMPUTED_VALUE"""),"Jamia Masjid Habib Allah Shah Baghdadi Khanewal")</f>
        <v>Jamia Masjid Habib Allah Shah Baghdadi Khanewal</v>
      </c>
      <c r="F633" s="10" t="str">
        <f>IFERROR(__xludf.DUMMYFUNCTION("""COMPUTED_VALUE"""),"dpaxp")</f>
        <v>dpaxp</v>
      </c>
      <c r="G633" s="10" t="str">
        <f>IFERROR(__xludf.DUMMYFUNCTION("""COMPUTED_VALUE"""),"No")</f>
        <v>No</v>
      </c>
      <c r="H633" s="10"/>
      <c r="I633" s="10"/>
      <c r="J633" s="10"/>
      <c r="K633" s="10">
        <f>IFERROR(__xludf.DUMMYFUNCTION("""COMPUTED_VALUE"""),0.0)</f>
        <v>0</v>
      </c>
      <c r="L633" s="10">
        <f>IFERROR(__xludf.DUMMYFUNCTION("""COMPUTED_VALUE"""),0.0)</f>
        <v>0</v>
      </c>
      <c r="M633" s="10">
        <f>IFERROR(__xludf.DUMMYFUNCTION("""COMPUTED_VALUE"""),0.0)</f>
        <v>0</v>
      </c>
      <c r="N633" s="10">
        <f>IFERROR(__xludf.DUMMYFUNCTION("""COMPUTED_VALUE"""),0.0)</f>
        <v>0</v>
      </c>
      <c r="O633" s="10">
        <f>IFERROR(__xludf.DUMMYFUNCTION("""COMPUTED_VALUE"""),0.0)</f>
        <v>0</v>
      </c>
      <c r="P633" s="10">
        <f>IFERROR(__xludf.DUMMYFUNCTION("""COMPUTED_VALUE"""),0.0)</f>
        <v>0</v>
      </c>
      <c r="Q633" s="10" t="str">
        <f>IFERROR(__xludf.DUMMYFUNCTION("""COMPUTED_VALUE"""),"No")</f>
        <v>No</v>
      </c>
      <c r="R633" s="10" t="str">
        <f>IFERROR(__xludf.DUMMYFUNCTION("""COMPUTED_VALUE"""),"No")</f>
        <v>No</v>
      </c>
      <c r="S633" s="10" t="str">
        <f>IFERROR(__xludf.DUMMYFUNCTION("""COMPUTED_VALUE"""),"No")</f>
        <v>No</v>
      </c>
      <c r="T633" s="10">
        <f>IFERROR(__xludf.DUMMYFUNCTION("""COMPUTED_VALUE"""),0.0)</f>
        <v>0</v>
      </c>
      <c r="U633" s="10">
        <f>IFERROR(__xludf.DUMMYFUNCTION("""COMPUTED_VALUE"""),0.0)</f>
        <v>0</v>
      </c>
      <c r="V633" s="10" t="str">
        <f>IFERROR(__xludf.DUMMYFUNCTION("""COMPUTED_VALUE"""),"قرآن مجید اور اہل بیت سے محبت ")</f>
        <v>قرآن مجید اور اہل بیت سے محبت </v>
      </c>
      <c r="W633" s="10" t="str">
        <f>IFERROR(__xludf.DUMMYFUNCTION("""COMPUTED_VALUE"""),"امام نے بیان میں بتایا ہے کہ اللہ تعالی کی رسی کو مضبوطی سے تھام لو اللہ تعالی کی رسی قرآن اور اہل بیت ہیں جو شخص قرآن سے محبت کرے لیکن اہل بیت سے محبت نہیں کرے گا وہ کامیاب نہیں ہوگا اور جو شخص اہل بیت سے محبت کرے اور قرآن سے محبت نہ کرے وہ بھی کامیاب نہ"&amp;"یں ہوگا ")</f>
        <v>امام نے بیان میں بتایا ہے کہ اللہ تعالی کی رسی کو مضبوطی سے تھام لو اللہ تعالی کی رسی قرآن اور اہل بیت ہیں جو شخص قرآن سے محبت کرے لیکن اہل بیت سے محبت نہیں کرے گا وہ کامیاب نہیں ہوگا اور جو شخص اہل بیت سے محبت کرے اور قرآن سے محبت نہ کرے وہ بھی کامیاب نہیں ہوگا </v>
      </c>
      <c r="X633" s="10">
        <f>IFERROR(__xludf.DUMMYFUNCTION("""COMPUTED_VALUE"""),0.0)</f>
        <v>0</v>
      </c>
      <c r="Y633" s="10">
        <f>IFERROR(__xludf.DUMMYFUNCTION("""COMPUTED_VALUE"""),5.0)</f>
        <v>5</v>
      </c>
      <c r="Z633" s="10">
        <f>IFERROR(__xludf.DUMMYFUNCTION("""COMPUTED_VALUE"""),7.0)</f>
        <v>7</v>
      </c>
      <c r="AA633" s="10">
        <f>IFERROR(__xludf.DUMMYFUNCTION("""COMPUTED_VALUE"""),6.0)</f>
        <v>6</v>
      </c>
      <c r="AB633" s="10">
        <f>IFERROR(__xludf.DUMMYFUNCTION("""COMPUTED_VALUE"""),5.0)</f>
        <v>5</v>
      </c>
      <c r="AC633" s="10">
        <f>IFERROR(__xludf.DUMMYFUNCTION("""COMPUTED_VALUE"""),0.0)</f>
        <v>0</v>
      </c>
      <c r="AD633" s="10">
        <f>IFERROR(__xludf.DUMMYFUNCTION("""COMPUTED_VALUE"""),0.0)</f>
        <v>0</v>
      </c>
      <c r="AE633" s="10">
        <f>IFERROR(__xludf.DUMMYFUNCTION("""COMPUTED_VALUE"""),5.0)</f>
        <v>5</v>
      </c>
      <c r="AF633" s="10">
        <f>IFERROR(__xludf.DUMMYFUNCTION("""COMPUTED_VALUE"""),0.0)</f>
        <v>0</v>
      </c>
      <c r="AG633" s="10">
        <f>IFERROR(__xludf.DUMMYFUNCTION("""COMPUTED_VALUE"""),9.0)</f>
        <v>9</v>
      </c>
      <c r="AH633" s="10">
        <f>IFERROR(__xludf.DUMMYFUNCTION("""COMPUTED_VALUE"""),0.0)</f>
        <v>0</v>
      </c>
      <c r="AI633" s="10">
        <f>IFERROR(__xludf.DUMMYFUNCTION("""COMPUTED_VALUE"""),9.0)</f>
        <v>9</v>
      </c>
      <c r="AJ633" s="11" t="str">
        <f>IFERROR(__xludf.DUMMYFUNCTION("""COMPUTED_VALUE"""),"https://drive.google.com/open?id=1p8a4aNgrQX2hS40z1CXmwgOXGL_LMj0Lfo05NUGtq54")</f>
        <v>https://drive.google.com/open?id=1p8a4aNgrQX2hS40z1CXmwgOXGL_LMj0Lfo05NUGtq54</v>
      </c>
      <c r="AK633" s="12" t="str">
        <f>IFERROR(__xludf.DUMMYFUNCTION("""COMPUTED_VALUE"""),"Audio ke start ma awaz samaj nhi aa rahi thi lekin baki audio ke awaz clear thi ")</f>
        <v>Audio ke start ma awaz samaj nhi aa rahi thi lekin baki audio ke awaz clear thi </v>
      </c>
      <c r="AL633" s="12"/>
      <c r="AM633" s="12"/>
      <c r="AN633" s="12" t="str">
        <f>IFERROR(__xludf.DUMMYFUNCTION("""COMPUTED_VALUE"""),"1st week")</f>
        <v>1st week</v>
      </c>
      <c r="AO633" s="13">
        <v>1.0</v>
      </c>
      <c r="AX633" s="17"/>
    </row>
    <row r="634">
      <c r="B634" s="9">
        <f>IFERROR(__xludf.DUMMYFUNCTION("""COMPUTED_VALUE"""),45895.90542224537)</f>
        <v>45895.90542</v>
      </c>
      <c r="C634" s="10" t="str">
        <f>IFERROR(__xludf.DUMMYFUNCTION("""COMPUTED_VALUE"""),"Sidra ")</f>
        <v>Sidra </v>
      </c>
      <c r="D634" s="10" t="str">
        <f>IFERROR(__xludf.DUMMYFUNCTION("""COMPUTED_VALUE"""),"03261416280")</f>
        <v>03261416280</v>
      </c>
      <c r="E634" s="10" t="str">
        <f>IFERROR(__xludf.DUMMYFUNCTION("""COMPUTED_VALUE"""),"Jamia Masjid Darbar Abdul Wahaab Shah Bukhari Dera Deen Pnah, Kot Addu")</f>
        <v>Jamia Masjid Darbar Abdul Wahaab Shah Bukhari Dera Deen Pnah, Kot Addu</v>
      </c>
      <c r="F634" s="10" t="str">
        <f>IFERROR(__xludf.DUMMYFUNCTION("""COMPUTED_VALUE"""),"uxump")</f>
        <v>uxump</v>
      </c>
      <c r="G634" s="10" t="str">
        <f>IFERROR(__xludf.DUMMYFUNCTION("""COMPUTED_VALUE"""),"Yes")</f>
        <v>Yes</v>
      </c>
      <c r="H634" s="10">
        <f>IFERROR(__xludf.DUMMYFUNCTION("""COMPUTED_VALUE"""),7.0)</f>
        <v>7</v>
      </c>
      <c r="I634" s="10">
        <f>IFERROR(__xludf.DUMMYFUNCTION("""COMPUTED_VALUE"""),3.0)</f>
        <v>3</v>
      </c>
      <c r="J634" s="10">
        <f>IFERROR(__xludf.DUMMYFUNCTION("""COMPUTED_VALUE"""),7.0)</f>
        <v>7</v>
      </c>
      <c r="K634" s="10">
        <f>IFERROR(__xludf.DUMMYFUNCTION("""COMPUTED_VALUE"""),0.0)</f>
        <v>0</v>
      </c>
      <c r="L634" s="10">
        <f>IFERROR(__xludf.DUMMYFUNCTION("""COMPUTED_VALUE"""),7.0)</f>
        <v>7</v>
      </c>
      <c r="M634" s="10">
        <f>IFERROR(__xludf.DUMMYFUNCTION("""COMPUTED_VALUE"""),0.0)</f>
        <v>0</v>
      </c>
      <c r="N634" s="10">
        <f>IFERROR(__xludf.DUMMYFUNCTION("""COMPUTED_VALUE"""),6.0)</f>
        <v>6</v>
      </c>
      <c r="O634" s="10">
        <f>IFERROR(__xludf.DUMMYFUNCTION("""COMPUTED_VALUE"""),0.0)</f>
        <v>0</v>
      </c>
      <c r="P634" s="10">
        <f>IFERROR(__xludf.DUMMYFUNCTION("""COMPUTED_VALUE"""),6.0)</f>
        <v>6</v>
      </c>
      <c r="Q634" s="10" t="str">
        <f>IFERROR(__xludf.DUMMYFUNCTION("""COMPUTED_VALUE"""),"No")</f>
        <v>No</v>
      </c>
      <c r="R634" s="10" t="str">
        <f>IFERROR(__xludf.DUMMYFUNCTION("""COMPUTED_VALUE"""),"No")</f>
        <v>No</v>
      </c>
      <c r="S634" s="10" t="str">
        <f>IFERROR(__xludf.DUMMYFUNCTION("""COMPUTED_VALUE"""),"No")</f>
        <v>No</v>
      </c>
      <c r="T634" s="10">
        <f>IFERROR(__xludf.DUMMYFUNCTION("""COMPUTED_VALUE"""),0.0)</f>
        <v>0</v>
      </c>
      <c r="U634" s="10">
        <f>IFERROR(__xludf.DUMMYFUNCTION("""COMPUTED_VALUE"""),0.0)</f>
        <v>0</v>
      </c>
      <c r="V634" s="10" t="str">
        <f>IFERROR(__xludf.DUMMYFUNCTION("""COMPUTED_VALUE"""),"اسلام میں پڑوسیوں کے حقوق ")</f>
        <v>اسلام میں پڑوسیوں کے حقوق </v>
      </c>
      <c r="W634" s="10" t="str">
        <f>IFERROR(__xludf.DUMMYFUNCTION("""COMPUTED_VALUE"""),"امام نے بیان میں بتایا ہے کہ اللہ تعالی نے ہمیں انسان بنایا مسلمان بنایا مسلمان ہونے کے ناطے ہمارا فرض ہے کہ ہم اللہ تعالی کی عبادت کریں اور رسول صلی اللہ علیہ وسلم کی اطاعت کریں اس کے علاوہ امام نے بیان میں بتایا ہے کہ ہمیں پڑوسیوں کے ساتھ حسن سلوک سے پی"&amp;"ش آنا چاہیے ان کو تکلیف نہیں دینی چاہیے اگر وہ انتقال کر گیا ہے تو اس کے جنازے میں شریک ہو اگر وہ قرض مانگے تو اسے قرض دو۔ ")</f>
        <v>امام نے بیان میں بتایا ہے کہ اللہ تعالی نے ہمیں انسان بنایا مسلمان بنایا مسلمان ہونے کے ناطے ہمارا فرض ہے کہ ہم اللہ تعالی کی عبادت کریں اور رسول صلی اللہ علیہ وسلم کی اطاعت کریں اس کے علاوہ امام نے بیان میں بتایا ہے کہ ہمیں پڑوسیوں کے ساتھ حسن سلوک سے پیش آنا چاہیے ان کو تکلیف نہیں دینی چاہیے اگر وہ انتقال کر گیا ہے تو اس کے جنازے میں شریک ہو اگر وہ قرض مانگے تو اسے قرض دو۔ </v>
      </c>
      <c r="X634" s="10">
        <f>IFERROR(__xludf.DUMMYFUNCTION("""COMPUTED_VALUE"""),4.0)</f>
        <v>4</v>
      </c>
      <c r="Y634" s="10">
        <f>IFERROR(__xludf.DUMMYFUNCTION("""COMPUTED_VALUE"""),7.0)</f>
        <v>7</v>
      </c>
      <c r="Z634" s="10">
        <f>IFERROR(__xludf.DUMMYFUNCTION("""COMPUTED_VALUE"""),6.0)</f>
        <v>6</v>
      </c>
      <c r="AA634" s="10">
        <f>IFERROR(__xludf.DUMMYFUNCTION("""COMPUTED_VALUE"""),5.0)</f>
        <v>5</v>
      </c>
      <c r="AB634" s="10">
        <f>IFERROR(__xludf.DUMMYFUNCTION("""COMPUTED_VALUE"""),4.0)</f>
        <v>4</v>
      </c>
      <c r="AC634" s="10">
        <f>IFERROR(__xludf.DUMMYFUNCTION("""COMPUTED_VALUE"""),0.0)</f>
        <v>0</v>
      </c>
      <c r="AD634" s="10">
        <f>IFERROR(__xludf.DUMMYFUNCTION("""COMPUTED_VALUE"""),0.0)</f>
        <v>0</v>
      </c>
      <c r="AE634" s="10">
        <f>IFERROR(__xludf.DUMMYFUNCTION("""COMPUTED_VALUE"""),4.0)</f>
        <v>4</v>
      </c>
      <c r="AF634" s="10">
        <f>IFERROR(__xludf.DUMMYFUNCTION("""COMPUTED_VALUE"""),0.0)</f>
        <v>0</v>
      </c>
      <c r="AG634" s="10">
        <f>IFERROR(__xludf.DUMMYFUNCTION("""COMPUTED_VALUE"""),8.0)</f>
        <v>8</v>
      </c>
      <c r="AH634" s="10">
        <f>IFERROR(__xludf.DUMMYFUNCTION("""COMPUTED_VALUE"""),0.0)</f>
        <v>0</v>
      </c>
      <c r="AI634" s="10">
        <f>IFERROR(__xludf.DUMMYFUNCTION("""COMPUTED_VALUE"""),8.0)</f>
        <v>8</v>
      </c>
      <c r="AJ634" s="11" t="str">
        <f>IFERROR(__xludf.DUMMYFUNCTION("""COMPUTED_VALUE"""),"https://drive.google.com/open?id=1d3wNoqPNss044gWldU9BpBgxE3B4d0DMqncOBf2uZkU")</f>
        <v>https://drive.google.com/open?id=1d3wNoqPNss044gWldU9BpBgxE3B4d0DMqncOBf2uZkU</v>
      </c>
      <c r="AK634" s="12" t="str">
        <f>IFERROR(__xludf.DUMMYFUNCTION("""COMPUTED_VALUE"""),"Audio quality tehk nhi thi ")</f>
        <v>Audio quality tehk nhi thi </v>
      </c>
      <c r="AL634" s="12" t="str">
        <f>IFERROR(__xludf.DUMMYFUNCTION("""COMPUTED_VALUE"""),"Yes")</f>
        <v>Yes</v>
      </c>
      <c r="AM634" s="15">
        <f>IFERROR(__xludf.DUMMYFUNCTION("""COMPUTED_VALUE"""),0.7)</f>
        <v>0.7</v>
      </c>
      <c r="AN634" s="12" t="str">
        <f>IFERROR(__xludf.DUMMYFUNCTION("""COMPUTED_VALUE"""),"1st week")</f>
        <v>1st week</v>
      </c>
      <c r="AO634" s="13">
        <v>1.0</v>
      </c>
      <c r="AX634" s="17"/>
    </row>
    <row r="635">
      <c r="B635" s="9">
        <f>IFERROR(__xludf.DUMMYFUNCTION("""COMPUTED_VALUE"""),45895.92695170139)</f>
        <v>45895.92695</v>
      </c>
      <c r="C635" s="10" t="str">
        <f>IFERROR(__xludf.DUMMYFUNCTION("""COMPUTED_VALUE"""),"Javeria Abbas ")</f>
        <v>Javeria Abbas </v>
      </c>
      <c r="D635" s="10" t="str">
        <f>IFERROR(__xludf.DUMMYFUNCTION("""COMPUTED_VALUE"""),"03211539026")</f>
        <v>03211539026</v>
      </c>
      <c r="E635" s="10" t="str">
        <f>IFERROR(__xludf.DUMMYFUNCTION("""COMPUTED_VALUE"""),"Jamia Masjid Nazamat / Nazamat market Railway Road Rahim Yar Khan")</f>
        <v>Jamia Masjid Nazamat / Nazamat market Railway Road Rahim Yar Khan</v>
      </c>
      <c r="F635" s="10" t="str">
        <f>IFERROR(__xludf.DUMMYFUNCTION("""COMPUTED_VALUE"""),"xxfos")</f>
        <v>xxfos</v>
      </c>
      <c r="G635" s="10" t="str">
        <f>IFERROR(__xludf.DUMMYFUNCTION("""COMPUTED_VALUE"""),"Yes")</f>
        <v>Yes</v>
      </c>
      <c r="H635" s="10">
        <f>IFERROR(__xludf.DUMMYFUNCTION("""COMPUTED_VALUE"""),0.0)</f>
        <v>0</v>
      </c>
      <c r="I635" s="10">
        <f>IFERROR(__xludf.DUMMYFUNCTION("""COMPUTED_VALUE"""),0.0)</f>
        <v>0</v>
      </c>
      <c r="J635" s="10">
        <f>IFERROR(__xludf.DUMMYFUNCTION("""COMPUTED_VALUE"""),0.0)</f>
        <v>0</v>
      </c>
      <c r="K635" s="10">
        <f>IFERROR(__xludf.DUMMYFUNCTION("""COMPUTED_VALUE"""),0.0)</f>
        <v>0</v>
      </c>
      <c r="L635" s="10">
        <f>IFERROR(__xludf.DUMMYFUNCTION("""COMPUTED_VALUE"""),4.0)</f>
        <v>4</v>
      </c>
      <c r="M635" s="10">
        <f>IFERROR(__xludf.DUMMYFUNCTION("""COMPUTED_VALUE"""),0.0)</f>
        <v>0</v>
      </c>
      <c r="N635" s="10">
        <f>IFERROR(__xludf.DUMMYFUNCTION("""COMPUTED_VALUE"""),4.0)</f>
        <v>4</v>
      </c>
      <c r="O635" s="10">
        <f>IFERROR(__xludf.DUMMYFUNCTION("""COMPUTED_VALUE"""),0.0)</f>
        <v>0</v>
      </c>
      <c r="P635" s="10">
        <f>IFERROR(__xludf.DUMMYFUNCTION("""COMPUTED_VALUE"""),0.0)</f>
        <v>0</v>
      </c>
      <c r="Q635" s="10" t="str">
        <f>IFERROR(__xludf.DUMMYFUNCTION("""COMPUTED_VALUE"""),"No")</f>
        <v>No</v>
      </c>
      <c r="R635" s="10" t="str">
        <f>IFERROR(__xludf.DUMMYFUNCTION("""COMPUTED_VALUE"""),"No")</f>
        <v>No</v>
      </c>
      <c r="S635" s="10" t="str">
        <f>IFERROR(__xludf.DUMMYFUNCTION("""COMPUTED_VALUE"""),"No")</f>
        <v>No</v>
      </c>
      <c r="T635" s="10">
        <f>IFERROR(__xludf.DUMMYFUNCTION("""COMPUTED_VALUE"""),0.0)</f>
        <v>0</v>
      </c>
      <c r="U635" s="10">
        <f>IFERROR(__xludf.DUMMYFUNCTION("""COMPUTED_VALUE"""),0.0)</f>
        <v>0</v>
      </c>
      <c r="V635" s="10" t="str">
        <f>IFERROR(__xludf.DUMMYFUNCTION("""COMPUTED_VALUE"""),"Hazoor ki taleemat ( youm e azadi Aur mulk )")</f>
        <v>Hazoor ki taleemat ( youm e azadi Aur mulk )</v>
      </c>
      <c r="W635" s="10" t="str">
        <f>IFERROR(__xludf.DUMMYFUNCTION("""COMPUTED_VALUE"""),"اس خطبہ میں امام نے حضور صلی اللہ علیہ وسلم کی حیات و مبارکہ کے بارے میں بتایا کہ حضور پاک صلی اللہ علیہ وسلم نے نبوت کا جب اعلان کیا تو انہوں نے ان کو کتنی مصیبتوں کا سامنا کرنا پڑا اور کفار نے ان پر کیا کیا ظلم ڈھائے اور کس طرح فرشتے بھی اللہ سے یہ کہتے"&amp;" تھے کہ اپ ایک بار ہمیں حکم دیں ہم ان کفار کو نشت و نبوت کر دے اور کس طرح سے نبی پاک صلی اللہ علیہ وسلم نے مکہ سے مدینہ ہجرت کی اور کس طرح صحابہ کرام اور اپ کے دوست اکرام اپ کے ساتھ موجود تھے اور 14 اگست چونکہ چل رہا ہے تو 14 اگست کا مطلب یہ نہیں ہے کہ با"&amp;"جب بجانا پاؤں پا کرنا یہ بچے اج کل نہیں جانتے کہ کس طرح یہ ملک ہم نے حاصل کیا ہے")</f>
        <v>اس خطبہ میں امام نے حضور صلی اللہ علیہ وسلم کی حیات و مبارکہ کے بارے میں بتایا کہ حضور پاک صلی اللہ علیہ وسلم نے نبوت کا جب اعلان کیا تو انہوں نے ان کو کتنی مصیبتوں کا سامنا کرنا پڑا اور کفار نے ان پر کیا کیا ظلم ڈھائے اور کس طرح فرشتے بھی اللہ سے یہ کہتے تھے کہ اپ ایک بار ہمیں حکم دیں ہم ان کفار کو نشت و نبوت کر دے اور کس طرح سے نبی پاک صلی اللہ علیہ وسلم نے مکہ سے مدینہ ہجرت کی اور کس طرح صحابہ کرام اور اپ کے دوست اکرام اپ کے ساتھ موجود تھے اور 14 اگست چونکہ چل رہا ہے تو 14 اگست کا مطلب یہ نہیں ہے کہ باجب بجانا پاؤں پا کرنا یہ بچے اج کل نہیں جانتے کہ کس طرح یہ ملک ہم نے حاصل کیا ہے</v>
      </c>
      <c r="X635" s="10">
        <f>IFERROR(__xludf.DUMMYFUNCTION("""COMPUTED_VALUE"""),5.0)</f>
        <v>5</v>
      </c>
      <c r="Y635" s="10">
        <f>IFERROR(__xludf.DUMMYFUNCTION("""COMPUTED_VALUE"""),6.0)</f>
        <v>6</v>
      </c>
      <c r="Z635" s="10">
        <f>IFERROR(__xludf.DUMMYFUNCTION("""COMPUTED_VALUE"""),7.0)</f>
        <v>7</v>
      </c>
      <c r="AA635" s="10">
        <f>IFERROR(__xludf.DUMMYFUNCTION("""COMPUTED_VALUE"""),9.0)</f>
        <v>9</v>
      </c>
      <c r="AB635" s="10">
        <f>IFERROR(__xludf.DUMMYFUNCTION("""COMPUTED_VALUE"""),5.0)</f>
        <v>5</v>
      </c>
      <c r="AC635" s="10">
        <f>IFERROR(__xludf.DUMMYFUNCTION("""COMPUTED_VALUE"""),0.0)</f>
        <v>0</v>
      </c>
      <c r="AD635" s="10">
        <f>IFERROR(__xludf.DUMMYFUNCTION("""COMPUTED_VALUE"""),0.0)</f>
        <v>0</v>
      </c>
      <c r="AE635" s="10">
        <f>IFERROR(__xludf.DUMMYFUNCTION("""COMPUTED_VALUE"""),0.0)</f>
        <v>0</v>
      </c>
      <c r="AF635" s="10">
        <f>IFERROR(__xludf.DUMMYFUNCTION("""COMPUTED_VALUE"""),0.0)</f>
        <v>0</v>
      </c>
      <c r="AG635" s="10">
        <f>IFERROR(__xludf.DUMMYFUNCTION("""COMPUTED_VALUE"""),9.0)</f>
        <v>9</v>
      </c>
      <c r="AH635" s="10">
        <f>IFERROR(__xludf.DUMMYFUNCTION("""COMPUTED_VALUE"""),0.0)</f>
        <v>0</v>
      </c>
      <c r="AI635" s="10">
        <f>IFERROR(__xludf.DUMMYFUNCTION("""COMPUTED_VALUE"""),9.0)</f>
        <v>9</v>
      </c>
      <c r="AJ635" s="11" t="str">
        <f>IFERROR(__xludf.DUMMYFUNCTION("""COMPUTED_VALUE"""),"https://drive.google.com/open?id=16Bap-GSdm48zzGCmd7bx5pymgfeaEsYXwKgqYP_qLpQ")</f>
        <v>https://drive.google.com/open?id=16Bap-GSdm48zzGCmd7bx5pymgfeaEsYXwKgqYP_qLpQ</v>
      </c>
      <c r="AK635" s="12" t="str">
        <f>IFERROR(__xludf.DUMMYFUNCTION("""COMPUTED_VALUE"""),"Voice ka bht issue tha darmayan darmyan se ")</f>
        <v>Voice ka bht issue tha darmayan darmyan se </v>
      </c>
      <c r="AL635" s="12" t="str">
        <f>IFERROR(__xludf.DUMMYFUNCTION("""COMPUTED_VALUE"""),"Yes")</f>
        <v>Yes</v>
      </c>
      <c r="AM635" s="15">
        <f>IFERROR(__xludf.DUMMYFUNCTION("""COMPUTED_VALUE"""),0.0)</f>
        <v>0</v>
      </c>
      <c r="AN635" s="12" t="str">
        <f>IFERROR(__xludf.DUMMYFUNCTION("""COMPUTED_VALUE"""),"5th week")</f>
        <v>5th week</v>
      </c>
      <c r="AO635" s="13">
        <v>5.0</v>
      </c>
      <c r="AX635" s="17"/>
    </row>
    <row r="636">
      <c r="B636" s="9">
        <f>IFERROR(__xludf.DUMMYFUNCTION("""COMPUTED_VALUE"""),45896.387578842594)</f>
        <v>45896.38758</v>
      </c>
      <c r="C636" s="10" t="str">
        <f>IFERROR(__xludf.DUMMYFUNCTION("""COMPUTED_VALUE"""),"Saira Shahzad ")</f>
        <v>Saira Shahzad </v>
      </c>
      <c r="D636" s="10" t="str">
        <f>IFERROR(__xludf.DUMMYFUNCTION("""COMPUTED_VALUE"""),"03114534696")</f>
        <v>03114534696</v>
      </c>
      <c r="E636" s="10" t="str">
        <f>IFERROR(__xludf.DUMMYFUNCTION("""COMPUTED_VALUE"""),"Jamia Masjid uthaar Anhaar Coloney Rahim Yar Khan")</f>
        <v>Jamia Masjid uthaar Anhaar Coloney Rahim Yar Khan</v>
      </c>
      <c r="F636" s="10" t="str">
        <f>IFERROR(__xludf.DUMMYFUNCTION("""COMPUTED_VALUE"""),"kfsqd")</f>
        <v>kfsqd</v>
      </c>
      <c r="G636" s="10" t="str">
        <f>IFERROR(__xludf.DUMMYFUNCTION("""COMPUTED_VALUE"""),"Yes")</f>
        <v>Yes</v>
      </c>
      <c r="H636" s="10">
        <f>IFERROR(__xludf.DUMMYFUNCTION("""COMPUTED_VALUE"""),0.0)</f>
        <v>0</v>
      </c>
      <c r="I636" s="10">
        <f>IFERROR(__xludf.DUMMYFUNCTION("""COMPUTED_VALUE"""),10.0)</f>
        <v>10</v>
      </c>
      <c r="J636" s="10">
        <f>IFERROR(__xludf.DUMMYFUNCTION("""COMPUTED_VALUE"""),10.0)</f>
        <v>10</v>
      </c>
      <c r="K636" s="10">
        <f>IFERROR(__xludf.DUMMYFUNCTION("""COMPUTED_VALUE"""),0.0)</f>
        <v>0</v>
      </c>
      <c r="L636" s="10">
        <f>IFERROR(__xludf.DUMMYFUNCTION("""COMPUTED_VALUE"""),0.0)</f>
        <v>0</v>
      </c>
      <c r="M636" s="10">
        <f>IFERROR(__xludf.DUMMYFUNCTION("""COMPUTED_VALUE"""),0.0)</f>
        <v>0</v>
      </c>
      <c r="N636" s="10">
        <f>IFERROR(__xludf.DUMMYFUNCTION("""COMPUTED_VALUE"""),0.0)</f>
        <v>0</v>
      </c>
      <c r="O636" s="10">
        <f>IFERROR(__xludf.DUMMYFUNCTION("""COMPUTED_VALUE"""),0.0)</f>
        <v>0</v>
      </c>
      <c r="P636" s="10">
        <f>IFERROR(__xludf.DUMMYFUNCTION("""COMPUTED_VALUE"""),0.0)</f>
        <v>0</v>
      </c>
      <c r="Q636" s="10" t="str">
        <f>IFERROR(__xludf.DUMMYFUNCTION("""COMPUTED_VALUE"""),"No")</f>
        <v>No</v>
      </c>
      <c r="R636" s="10" t="str">
        <f>IFERROR(__xludf.DUMMYFUNCTION("""COMPUTED_VALUE"""),"No")</f>
        <v>No</v>
      </c>
      <c r="S636" s="10" t="str">
        <f>IFERROR(__xludf.DUMMYFUNCTION("""COMPUTED_VALUE"""),"No")</f>
        <v>No</v>
      </c>
      <c r="T636" s="10">
        <f>IFERROR(__xludf.DUMMYFUNCTION("""COMPUTED_VALUE"""),0.0)</f>
        <v>0</v>
      </c>
      <c r="U636" s="10">
        <f>IFERROR(__xludf.DUMMYFUNCTION("""COMPUTED_VALUE"""),0.0)</f>
        <v>0</v>
      </c>
      <c r="V636" s="10" t="str">
        <f>IFERROR(__xludf.DUMMYFUNCTION("""COMPUTED_VALUE"""),"حضور پاک صلی اللہ علیہ والہ وسلم کا مکہ سے مدینہ ہجرت کا واقعہ")</f>
        <v>حضور پاک صلی اللہ علیہ والہ وسلم کا مکہ سے مدینہ ہجرت کا واقعہ</v>
      </c>
      <c r="W636" s="10" t="str">
        <f>IFERROR(__xludf.DUMMYFUNCTION("""COMPUTED_VALUE"""),"امام نے اپنے بیان میں اللہ تعالی کی وحدانیت بیان کی ہے اور یہ بیان کیا ہے کہ ہمیں اللہ پر اس کے رسولوں پر اور اس کی کتابوں پر ایمان لانا چاہیے ہماری زندگی کا مقصد صرف کھانا پینا ہی نہیں اور ہجرت مکہ سے مدینہ کا واقعہ تفصیل سے بیان کیا ہے کہ کس طرح حضرت اب"&amp;"وبکر صدیق رضی اللہ تعالی عنہا نبی پاک صلی اللہ علیہ والہ وسلم کے ہر قدم پر آپ کے ساتھ رہے اور آپ صلی اللہ علیہ والہ وسلم کی حفاظت فرمائی غار ثور کا پورا واقعہ بیان کیا ہے اور مدینہ پہنچ کر کس طرح لوگ آپ پر ایمان لے ائے یہ سب بیان کیا ہے اپنے بیان میں")</f>
        <v>امام نے اپنے بیان میں اللہ تعالی کی وحدانیت بیان کی ہے اور یہ بیان کیا ہے کہ ہمیں اللہ پر اس کے رسولوں پر اور اس کی کتابوں پر ایمان لانا چاہیے ہماری زندگی کا مقصد صرف کھانا پینا ہی نہیں اور ہجرت مکہ سے مدینہ کا واقعہ تفصیل سے بیان کیا ہے کہ کس طرح حضرت ابوبکر صدیق رضی اللہ تعالی عنہا نبی پاک صلی اللہ علیہ والہ وسلم کے ہر قدم پر آپ کے ساتھ رہے اور آپ صلی اللہ علیہ والہ وسلم کی حفاظت فرمائی غار ثور کا پورا واقعہ بیان کیا ہے اور مدینہ پہنچ کر کس طرح لوگ آپ پر ایمان لے ائے یہ سب بیان کیا ہے اپنے بیان میں</v>
      </c>
      <c r="X636" s="10">
        <f>IFERROR(__xludf.DUMMYFUNCTION("""COMPUTED_VALUE"""),2.0)</f>
        <v>2</v>
      </c>
      <c r="Y636" s="10">
        <f>IFERROR(__xludf.DUMMYFUNCTION("""COMPUTED_VALUE"""),1.0)</f>
        <v>1</v>
      </c>
      <c r="Z636" s="10">
        <f>IFERROR(__xludf.DUMMYFUNCTION("""COMPUTED_VALUE"""),0.0)</f>
        <v>0</v>
      </c>
      <c r="AA636" s="10">
        <f>IFERROR(__xludf.DUMMYFUNCTION("""COMPUTED_VALUE"""),9.0)</f>
        <v>9</v>
      </c>
      <c r="AB636" s="10">
        <f>IFERROR(__xludf.DUMMYFUNCTION("""COMPUTED_VALUE"""),4.0)</f>
        <v>4</v>
      </c>
      <c r="AC636" s="10">
        <f>IFERROR(__xludf.DUMMYFUNCTION("""COMPUTED_VALUE"""),0.0)</f>
        <v>0</v>
      </c>
      <c r="AD636" s="10">
        <f>IFERROR(__xludf.DUMMYFUNCTION("""COMPUTED_VALUE"""),0.0)</f>
        <v>0</v>
      </c>
      <c r="AE636" s="10">
        <f>IFERROR(__xludf.DUMMYFUNCTION("""COMPUTED_VALUE"""),2.0)</f>
        <v>2</v>
      </c>
      <c r="AF636" s="10">
        <f>IFERROR(__xludf.DUMMYFUNCTION("""COMPUTED_VALUE"""),7.0)</f>
        <v>7</v>
      </c>
      <c r="AG636" s="10">
        <f>IFERROR(__xludf.DUMMYFUNCTION("""COMPUTED_VALUE"""),8.0)</f>
        <v>8</v>
      </c>
      <c r="AH636" s="10">
        <f>IFERROR(__xludf.DUMMYFUNCTION("""COMPUTED_VALUE"""),0.0)</f>
        <v>0</v>
      </c>
      <c r="AI636" s="10">
        <f>IFERROR(__xludf.DUMMYFUNCTION("""COMPUTED_VALUE"""),9.0)</f>
        <v>9</v>
      </c>
      <c r="AJ636" s="11" t="str">
        <f>IFERROR(__xludf.DUMMYFUNCTION("""COMPUTED_VALUE"""),"https://drive.google.com/open?id=1KZNDLKnvjNmmlwpZjR6LXkap9uMyMAZRZEblfxcFpSc")</f>
        <v>https://drive.google.com/open?id=1KZNDLKnvjNmmlwpZjR6LXkap9uMyMAZRZEblfxcFpSc</v>
      </c>
      <c r="AK636" s="12" t="str">
        <f>IFERROR(__xludf.DUMMYFUNCTION("""COMPUTED_VALUE"""),"No")</f>
        <v>No</v>
      </c>
      <c r="AL636" s="12" t="str">
        <f>IFERROR(__xludf.DUMMYFUNCTION("""COMPUTED_VALUE"""),"No")</f>
        <v>No</v>
      </c>
      <c r="AM636" s="15">
        <f>IFERROR(__xludf.DUMMYFUNCTION("""COMPUTED_VALUE"""),0.0)</f>
        <v>0</v>
      </c>
      <c r="AN636" s="12" t="str">
        <f>IFERROR(__xludf.DUMMYFUNCTION("""COMPUTED_VALUE"""),"3rd week")</f>
        <v>3rd week</v>
      </c>
      <c r="AO636" s="13">
        <v>3.0</v>
      </c>
      <c r="AX636" s="17"/>
    </row>
    <row r="637">
      <c r="B637" s="9">
        <f>IFERROR(__xludf.DUMMYFUNCTION("""COMPUTED_VALUE"""),45896.414875208335)</f>
        <v>45896.41488</v>
      </c>
      <c r="C637" s="10" t="str">
        <f>IFERROR(__xludf.DUMMYFUNCTION("""COMPUTED_VALUE"""),"Saira Shahzad ")</f>
        <v>Saira Shahzad </v>
      </c>
      <c r="D637" s="10" t="str">
        <f>IFERROR(__xludf.DUMMYFUNCTION("""COMPUTED_VALUE"""),"03114534696")</f>
        <v>03114534696</v>
      </c>
      <c r="E637" s="10" t="str">
        <f>IFERROR(__xludf.DUMMYFUNCTION("""COMPUTED_VALUE"""),"Jamia Masjid Sadiq Akbar High School Ahumdpur")</f>
        <v>Jamia Masjid Sadiq Akbar High School Ahumdpur</v>
      </c>
      <c r="F637" s="10" t="str">
        <f>IFERROR(__xludf.DUMMYFUNCTION("""COMPUTED_VALUE"""),"vewig")</f>
        <v>vewig</v>
      </c>
      <c r="G637" s="10" t="str">
        <f>IFERROR(__xludf.DUMMYFUNCTION("""COMPUTED_VALUE"""),"Yes")</f>
        <v>Yes</v>
      </c>
      <c r="H637" s="10">
        <f>IFERROR(__xludf.DUMMYFUNCTION("""COMPUTED_VALUE"""),0.0)</f>
        <v>0</v>
      </c>
      <c r="I637" s="10">
        <f>IFERROR(__xludf.DUMMYFUNCTION("""COMPUTED_VALUE"""),10.0)</f>
        <v>10</v>
      </c>
      <c r="J637" s="10">
        <f>IFERROR(__xludf.DUMMYFUNCTION("""COMPUTED_VALUE"""),0.0)</f>
        <v>0</v>
      </c>
      <c r="K637" s="10">
        <f>IFERROR(__xludf.DUMMYFUNCTION("""COMPUTED_VALUE"""),4.0)</f>
        <v>4</v>
      </c>
      <c r="L637" s="10">
        <f>IFERROR(__xludf.DUMMYFUNCTION("""COMPUTED_VALUE"""),0.0)</f>
        <v>0</v>
      </c>
      <c r="M637" s="10">
        <f>IFERROR(__xludf.DUMMYFUNCTION("""COMPUTED_VALUE"""),0.0)</f>
        <v>0</v>
      </c>
      <c r="N637" s="10">
        <f>IFERROR(__xludf.DUMMYFUNCTION("""COMPUTED_VALUE"""),0.0)</f>
        <v>0</v>
      </c>
      <c r="O637" s="10">
        <f>IFERROR(__xludf.DUMMYFUNCTION("""COMPUTED_VALUE"""),0.0)</f>
        <v>0</v>
      </c>
      <c r="P637" s="10">
        <f>IFERROR(__xludf.DUMMYFUNCTION("""COMPUTED_VALUE"""),0.0)</f>
        <v>0</v>
      </c>
      <c r="Q637" s="10" t="str">
        <f>IFERROR(__xludf.DUMMYFUNCTION("""COMPUTED_VALUE"""),"No")</f>
        <v>No</v>
      </c>
      <c r="R637" s="10" t="str">
        <f>IFERROR(__xludf.DUMMYFUNCTION("""COMPUTED_VALUE"""),"No")</f>
        <v>No</v>
      </c>
      <c r="S637" s="10" t="str">
        <f>IFERROR(__xludf.DUMMYFUNCTION("""COMPUTED_VALUE"""),"No")</f>
        <v>No</v>
      </c>
      <c r="T637" s="10">
        <f>IFERROR(__xludf.DUMMYFUNCTION("""COMPUTED_VALUE"""),0.0)</f>
        <v>0</v>
      </c>
      <c r="U637" s="10">
        <f>IFERROR(__xludf.DUMMYFUNCTION("""COMPUTED_VALUE"""),0.0)</f>
        <v>0</v>
      </c>
      <c r="V637" s="10" t="str">
        <f>IFERROR(__xludf.DUMMYFUNCTION("""COMPUTED_VALUE"""),"ہجرت کا واقعہ")</f>
        <v>ہجرت کا واقعہ</v>
      </c>
      <c r="W637" s="10" t="str">
        <f>IFERROR(__xludf.DUMMYFUNCTION("""COMPUTED_VALUE"""),"امام نے اپنے بیان میں نبی پاک صلی اللہ علیہ والہ وسلم کا مکہ مکرمہ سے ہجرت کا واقعہ بیان کیا ہے اس واقعے کو تفصیل سے بیان کیا ہے کہ نبی پاک صلی اللہ علیہ والہ وسلم نے اللہ کے حکم پر مکہ کو چھوڑ دیا کیونکہ اللہ کے نیک بندے وہی کرتے ہیں جو ان کو حکم دیا جات"&amp;"ا ہے اس کے علاوہ اللہ کے گھر کی دو نشانیوں کا ذکر ہے ایک حجوہ اسود اور دوسرا مقام ابراہیم اور حضرت ابراہیم علیہ السلام کا واقعہ ہے جب انہیں آگ میں ڈال گیا تو ان کا کتنا پختہ یقین تھا اللہ تعالی کی ذات پر")</f>
        <v>امام نے اپنے بیان میں نبی پاک صلی اللہ علیہ والہ وسلم کا مکہ مکرمہ سے ہجرت کا واقعہ بیان کیا ہے اس واقعے کو تفصیل سے بیان کیا ہے کہ نبی پاک صلی اللہ علیہ والہ وسلم نے اللہ کے حکم پر مکہ کو چھوڑ دیا کیونکہ اللہ کے نیک بندے وہی کرتے ہیں جو ان کو حکم دیا جاتا ہے اس کے علاوہ اللہ کے گھر کی دو نشانیوں کا ذکر ہے ایک حجوہ اسود اور دوسرا مقام ابراہیم اور حضرت ابراہیم علیہ السلام کا واقعہ ہے جب انہیں آگ میں ڈال گیا تو ان کا کتنا پختہ یقین تھا اللہ تعالی کی ذات پر</v>
      </c>
      <c r="X637" s="10">
        <f>IFERROR(__xludf.DUMMYFUNCTION("""COMPUTED_VALUE"""),3.0)</f>
        <v>3</v>
      </c>
      <c r="Y637" s="10">
        <f>IFERROR(__xludf.DUMMYFUNCTION("""COMPUTED_VALUE"""),4.0)</f>
        <v>4</v>
      </c>
      <c r="Z637" s="10">
        <f>IFERROR(__xludf.DUMMYFUNCTION("""COMPUTED_VALUE"""),1.0)</f>
        <v>1</v>
      </c>
      <c r="AA637" s="10">
        <f>IFERROR(__xludf.DUMMYFUNCTION("""COMPUTED_VALUE"""),8.0)</f>
        <v>8</v>
      </c>
      <c r="AB637" s="10">
        <f>IFERROR(__xludf.DUMMYFUNCTION("""COMPUTED_VALUE"""),6.0)</f>
        <v>6</v>
      </c>
      <c r="AC637" s="10">
        <f>IFERROR(__xludf.DUMMYFUNCTION("""COMPUTED_VALUE"""),0.0)</f>
        <v>0</v>
      </c>
      <c r="AD637" s="10">
        <f>IFERROR(__xludf.DUMMYFUNCTION("""COMPUTED_VALUE"""),0.0)</f>
        <v>0</v>
      </c>
      <c r="AE637" s="10">
        <f>IFERROR(__xludf.DUMMYFUNCTION("""COMPUTED_VALUE"""),3.0)</f>
        <v>3</v>
      </c>
      <c r="AF637" s="10">
        <f>IFERROR(__xludf.DUMMYFUNCTION("""COMPUTED_VALUE"""),7.0)</f>
        <v>7</v>
      </c>
      <c r="AG637" s="10">
        <f>IFERROR(__xludf.DUMMYFUNCTION("""COMPUTED_VALUE"""),7.0)</f>
        <v>7</v>
      </c>
      <c r="AH637" s="10">
        <f>IFERROR(__xludf.DUMMYFUNCTION("""COMPUTED_VALUE"""),0.0)</f>
        <v>0</v>
      </c>
      <c r="AI637" s="10">
        <f>IFERROR(__xludf.DUMMYFUNCTION("""COMPUTED_VALUE"""),8.0)</f>
        <v>8</v>
      </c>
      <c r="AJ637" s="11" t="str">
        <f>IFERROR(__xludf.DUMMYFUNCTION("""COMPUTED_VALUE"""),"https://drive.google.com/open?id=12eYNWBwT8dnN-z6dm230LPA9TRMLC9evCS_kXa5cgag")</f>
        <v>https://drive.google.com/open?id=12eYNWBwT8dnN-z6dm230LPA9TRMLC9evCS_kXa5cgag</v>
      </c>
      <c r="AK637" s="12" t="str">
        <f>IFERROR(__xludf.DUMMYFUNCTION("""COMPUTED_VALUE"""),"No ")</f>
        <v>No </v>
      </c>
      <c r="AL637" s="12" t="str">
        <f>IFERROR(__xludf.DUMMYFUNCTION("""COMPUTED_VALUE"""),"Yes")</f>
        <v>Yes</v>
      </c>
      <c r="AM637" s="15">
        <f>IFERROR(__xludf.DUMMYFUNCTION("""COMPUTED_VALUE"""),0.0)</f>
        <v>0</v>
      </c>
      <c r="AN637" s="12" t="str">
        <f>IFERROR(__xludf.DUMMYFUNCTION("""COMPUTED_VALUE"""),"3rd week")</f>
        <v>3rd week</v>
      </c>
      <c r="AO637" s="13">
        <v>3.0</v>
      </c>
      <c r="AX637" s="17"/>
    </row>
    <row r="638">
      <c r="B638" s="9">
        <f>IFERROR(__xludf.DUMMYFUNCTION("""COMPUTED_VALUE"""),45896.42639603009)</f>
        <v>45896.4264</v>
      </c>
      <c r="C638" s="10" t="str">
        <f>IFERROR(__xludf.DUMMYFUNCTION("""COMPUTED_VALUE"""),"Saira Shahzad ")</f>
        <v>Saira Shahzad </v>
      </c>
      <c r="D638" s="10" t="str">
        <f>IFERROR(__xludf.DUMMYFUNCTION("""COMPUTED_VALUE"""),"03114534696")</f>
        <v>03114534696</v>
      </c>
      <c r="E638" s="10" t="str">
        <f>IFERROR(__xludf.DUMMYFUNCTION("""COMPUTED_VALUE"""),"Jamia Masjid Shah Rangila Hasalpur")</f>
        <v>Jamia Masjid Shah Rangila Hasalpur</v>
      </c>
      <c r="F638" s="10" t="str">
        <f>IFERROR(__xludf.DUMMYFUNCTION("""COMPUTED_VALUE"""),"sjqhk")</f>
        <v>sjqhk</v>
      </c>
      <c r="G638" s="10" t="str">
        <f>IFERROR(__xludf.DUMMYFUNCTION("""COMPUTED_VALUE"""),"Yes")</f>
        <v>Yes</v>
      </c>
      <c r="H638" s="10">
        <f>IFERROR(__xludf.DUMMYFUNCTION("""COMPUTED_VALUE"""),0.0)</f>
        <v>0</v>
      </c>
      <c r="I638" s="10">
        <f>IFERROR(__xludf.DUMMYFUNCTION("""COMPUTED_VALUE"""),10.0)</f>
        <v>10</v>
      </c>
      <c r="J638" s="10">
        <f>IFERROR(__xludf.DUMMYFUNCTION("""COMPUTED_VALUE"""),0.0)</f>
        <v>0</v>
      </c>
      <c r="K638" s="10">
        <f>IFERROR(__xludf.DUMMYFUNCTION("""COMPUTED_VALUE"""),0.0)</f>
        <v>0</v>
      </c>
      <c r="L638" s="10">
        <f>IFERROR(__xludf.DUMMYFUNCTION("""COMPUTED_VALUE"""),0.0)</f>
        <v>0</v>
      </c>
      <c r="M638" s="10">
        <f>IFERROR(__xludf.DUMMYFUNCTION("""COMPUTED_VALUE"""),0.0)</f>
        <v>0</v>
      </c>
      <c r="N638" s="10">
        <f>IFERROR(__xludf.DUMMYFUNCTION("""COMPUTED_VALUE"""),0.0)</f>
        <v>0</v>
      </c>
      <c r="O638" s="10">
        <f>IFERROR(__xludf.DUMMYFUNCTION("""COMPUTED_VALUE"""),0.0)</f>
        <v>0</v>
      </c>
      <c r="P638" s="10">
        <f>IFERROR(__xludf.DUMMYFUNCTION("""COMPUTED_VALUE"""),0.0)</f>
        <v>0</v>
      </c>
      <c r="Q638" s="10" t="str">
        <f>IFERROR(__xludf.DUMMYFUNCTION("""COMPUTED_VALUE"""),"No")</f>
        <v>No</v>
      </c>
      <c r="R638" s="10" t="str">
        <f>IFERROR(__xludf.DUMMYFUNCTION("""COMPUTED_VALUE"""),"No")</f>
        <v>No</v>
      </c>
      <c r="S638" s="10" t="str">
        <f>IFERROR(__xludf.DUMMYFUNCTION("""COMPUTED_VALUE"""),"No")</f>
        <v>No</v>
      </c>
      <c r="T638" s="10">
        <f>IFERROR(__xludf.DUMMYFUNCTION("""COMPUTED_VALUE"""),0.0)</f>
        <v>0</v>
      </c>
      <c r="U638" s="10">
        <f>IFERROR(__xludf.DUMMYFUNCTION("""COMPUTED_VALUE"""),0.0)</f>
        <v>0</v>
      </c>
      <c r="V638" s="10" t="str">
        <f>IFERROR(__xludf.DUMMYFUNCTION("""COMPUTED_VALUE"""),"شکر اور صبر کے فائدے")</f>
        <v>شکر اور صبر کے فائدے</v>
      </c>
      <c r="W638" s="10" t="str">
        <f>IFERROR(__xludf.DUMMYFUNCTION("""COMPUTED_VALUE"""),"امام نے اپنے بیان میں انسان کی دو صفتوں کا ذکر کیا ہے پہلی شکر دوسری صبر اگر یہ کسی انسان میں آجائیں تو اس کی دنیا اور آخرت دونوں کامیاب ہو جاتی ہیں یعنی ہمیں اللہ تعالی کی نعمتوں پر شکر ادا کرتے رہنا چاہیے کیونکہ شکر ادا نہیں کریں گے تو نعمتوں سے محروم ہ"&amp;"و جائیں گے اور مشکلات انے پر صبر کرنا چاہیے")</f>
        <v>امام نے اپنے بیان میں انسان کی دو صفتوں کا ذکر کیا ہے پہلی شکر دوسری صبر اگر یہ کسی انسان میں آجائیں تو اس کی دنیا اور آخرت دونوں کامیاب ہو جاتی ہیں یعنی ہمیں اللہ تعالی کی نعمتوں پر شکر ادا کرتے رہنا چاہیے کیونکہ شکر ادا نہیں کریں گے تو نعمتوں سے محروم ہو جائیں گے اور مشکلات انے پر صبر کرنا چاہیے</v>
      </c>
      <c r="X638" s="10">
        <f>IFERROR(__xludf.DUMMYFUNCTION("""COMPUTED_VALUE"""),4.0)</f>
        <v>4</v>
      </c>
      <c r="Y638" s="10">
        <f>IFERROR(__xludf.DUMMYFUNCTION("""COMPUTED_VALUE"""),0.0)</f>
        <v>0</v>
      </c>
      <c r="Z638" s="10">
        <f>IFERROR(__xludf.DUMMYFUNCTION("""COMPUTED_VALUE"""),0.0)</f>
        <v>0</v>
      </c>
      <c r="AA638" s="10">
        <f>IFERROR(__xludf.DUMMYFUNCTION("""COMPUTED_VALUE"""),6.0)</f>
        <v>6</v>
      </c>
      <c r="AB638" s="10">
        <f>IFERROR(__xludf.DUMMYFUNCTION("""COMPUTED_VALUE"""),1.0)</f>
        <v>1</v>
      </c>
      <c r="AC638" s="10">
        <f>IFERROR(__xludf.DUMMYFUNCTION("""COMPUTED_VALUE"""),0.0)</f>
        <v>0</v>
      </c>
      <c r="AD638" s="10">
        <f>IFERROR(__xludf.DUMMYFUNCTION("""COMPUTED_VALUE"""),0.0)</f>
        <v>0</v>
      </c>
      <c r="AE638" s="10">
        <f>IFERROR(__xludf.DUMMYFUNCTION("""COMPUTED_VALUE"""),1.0)</f>
        <v>1</v>
      </c>
      <c r="AF638" s="10">
        <f>IFERROR(__xludf.DUMMYFUNCTION("""COMPUTED_VALUE"""),5.0)</f>
        <v>5</v>
      </c>
      <c r="AG638" s="10">
        <f>IFERROR(__xludf.DUMMYFUNCTION("""COMPUTED_VALUE"""),7.0)</f>
        <v>7</v>
      </c>
      <c r="AH638" s="10">
        <f>IFERROR(__xludf.DUMMYFUNCTION("""COMPUTED_VALUE"""),0.0)</f>
        <v>0</v>
      </c>
      <c r="AI638" s="10">
        <f>IFERROR(__xludf.DUMMYFUNCTION("""COMPUTED_VALUE"""),6.0)</f>
        <v>6</v>
      </c>
      <c r="AJ638" s="11" t="str">
        <f>IFERROR(__xludf.DUMMYFUNCTION("""COMPUTED_VALUE"""),"https://drive.google.com/open?id=17W37b1zEu5H0Akrg1vBCQfB1QgsQPWaBrXx6n999gyM")</f>
        <v>https://drive.google.com/open?id=17W37b1zEu5H0Akrg1vBCQfB1QgsQPWaBrXx6n999gyM</v>
      </c>
      <c r="AK638" s="12" t="str">
        <f>IFERROR(__xludf.DUMMYFUNCTION("""COMPUTED_VALUE"""),"No")</f>
        <v>No</v>
      </c>
      <c r="AL638" s="12" t="str">
        <f>IFERROR(__xludf.DUMMYFUNCTION("""COMPUTED_VALUE"""),"No")</f>
        <v>No</v>
      </c>
      <c r="AM638" s="15">
        <f>IFERROR(__xludf.DUMMYFUNCTION("""COMPUTED_VALUE"""),0.0)</f>
        <v>0</v>
      </c>
      <c r="AN638" s="12" t="str">
        <f>IFERROR(__xludf.DUMMYFUNCTION("""COMPUTED_VALUE"""),"3rd week")</f>
        <v>3rd week</v>
      </c>
      <c r="AO638" s="13">
        <v>3.0</v>
      </c>
      <c r="AX638" s="17"/>
    </row>
    <row r="639">
      <c r="B639" s="9">
        <f>IFERROR(__xludf.DUMMYFUNCTION("""COMPUTED_VALUE"""),45896.49528829861)</f>
        <v>45896.49529</v>
      </c>
      <c r="C639" s="10" t="str">
        <f>IFERROR(__xludf.DUMMYFUNCTION("""COMPUTED_VALUE"""),"Arti Kumari ")</f>
        <v>Arti Kumari </v>
      </c>
      <c r="D639" s="10" t="str">
        <f>IFERROR(__xludf.DUMMYFUNCTION("""COMPUTED_VALUE"""),"03346661865")</f>
        <v>03346661865</v>
      </c>
      <c r="E639" s="10" t="str">
        <f>IFERROR(__xludf.DUMMYFUNCTION("""COMPUTED_VALUE"""),"Jamia Masjid Neel Garan Multan")</f>
        <v>Jamia Masjid Neel Garan Multan</v>
      </c>
      <c r="F639" s="10" t="str">
        <f>IFERROR(__xludf.DUMMYFUNCTION("""COMPUTED_VALUE"""),"hjrmq")</f>
        <v>hjrmq</v>
      </c>
      <c r="G639" s="10" t="str">
        <f>IFERROR(__xludf.DUMMYFUNCTION("""COMPUTED_VALUE"""),"Yes")</f>
        <v>Yes</v>
      </c>
      <c r="H639" s="10">
        <f>IFERROR(__xludf.DUMMYFUNCTION("""COMPUTED_VALUE"""),10.0)</f>
        <v>10</v>
      </c>
      <c r="I639" s="10">
        <f>IFERROR(__xludf.DUMMYFUNCTION("""COMPUTED_VALUE"""),1.0)</f>
        <v>1</v>
      </c>
      <c r="J639" s="10">
        <f>IFERROR(__xludf.DUMMYFUNCTION("""COMPUTED_VALUE"""),9.0)</f>
        <v>9</v>
      </c>
      <c r="K639" s="10">
        <f>IFERROR(__xludf.DUMMYFUNCTION("""COMPUTED_VALUE"""),0.0)</f>
        <v>0</v>
      </c>
      <c r="L639" s="10">
        <f>IFERROR(__xludf.DUMMYFUNCTION("""COMPUTED_VALUE"""),10.0)</f>
        <v>10</v>
      </c>
      <c r="M639" s="10">
        <f>IFERROR(__xludf.DUMMYFUNCTION("""COMPUTED_VALUE"""),0.0)</f>
        <v>0</v>
      </c>
      <c r="N639" s="10">
        <f>IFERROR(__xludf.DUMMYFUNCTION("""COMPUTED_VALUE"""),10.0)</f>
        <v>10</v>
      </c>
      <c r="O639" s="10">
        <f>IFERROR(__xludf.DUMMYFUNCTION("""COMPUTED_VALUE"""),0.0)</f>
        <v>0</v>
      </c>
      <c r="P639" s="10">
        <f>IFERROR(__xludf.DUMMYFUNCTION("""COMPUTED_VALUE"""),10.0)</f>
        <v>10</v>
      </c>
      <c r="Q639" s="10" t="str">
        <f>IFERROR(__xludf.DUMMYFUNCTION("""COMPUTED_VALUE"""),"No")</f>
        <v>No</v>
      </c>
      <c r="R639" s="10" t="str">
        <f>IFERROR(__xludf.DUMMYFUNCTION("""COMPUTED_VALUE"""),"Yes")</f>
        <v>Yes</v>
      </c>
      <c r="S639" s="10" t="str">
        <f>IFERROR(__xludf.DUMMYFUNCTION("""COMPUTED_VALUE"""),"Yes")</f>
        <v>Yes</v>
      </c>
      <c r="T639" s="10">
        <f>IFERROR(__xludf.DUMMYFUNCTION("""COMPUTED_VALUE"""),0.0)</f>
        <v>0</v>
      </c>
      <c r="U639" s="10">
        <f>IFERROR(__xludf.DUMMYFUNCTION("""COMPUTED_VALUE"""),0.0)</f>
        <v>0</v>
      </c>
      <c r="V639" s="10" t="str">
        <f>IFERROR(__xludf.DUMMYFUNCTION("""COMPUTED_VALUE"""),"پڑوس اور اہل محلہ کے حقوق ")</f>
        <v>پڑوس اور اہل محلہ کے حقوق </v>
      </c>
      <c r="W639" s="10" t="str">
        <f>IFERROR(__xludf.DUMMYFUNCTION("""COMPUTED_VALUE"""),"امام نے خطبہ میں پڑوسیوں کے حقوق کے بارے میں بات کی ہے کہ مساجد پڑوسیوں کو اکٹھا کرنے میں اہم کردار ادا کرتے ہیں مسجد صرف نماز پڑھنے کی جگہ نہیں ہے  اور ہمیں پڑوسیوں کے دکھ درد میں شریک ہونا چاہیے اور نہ ہی انہیں کوئی تکلیف دیں اپنے گھر ماحول اور ارد گرد "&amp;"کو صاف رکھیں اور جو کچھ خطبہ میں سنا وہ اپنی بیویوں کو بھی بتائیں")</f>
        <v>امام نے خطبہ میں پڑوسیوں کے حقوق کے بارے میں بات کی ہے کہ مساجد پڑوسیوں کو اکٹھا کرنے میں اہم کردار ادا کرتے ہیں مسجد صرف نماز پڑھنے کی جگہ نہیں ہے  اور ہمیں پڑوسیوں کے دکھ درد میں شریک ہونا چاہیے اور نہ ہی انہیں کوئی تکلیف دیں اپنے گھر ماحول اور ارد گرد کو صاف رکھیں اور جو کچھ خطبہ میں سنا وہ اپنی بیویوں کو بھی بتائیں</v>
      </c>
      <c r="X639" s="10">
        <f>IFERROR(__xludf.DUMMYFUNCTION("""COMPUTED_VALUE"""),1.0)</f>
        <v>1</v>
      </c>
      <c r="Y639" s="10">
        <f>IFERROR(__xludf.DUMMYFUNCTION("""COMPUTED_VALUE"""),10.0)</f>
        <v>10</v>
      </c>
      <c r="Z639" s="10">
        <f>IFERROR(__xludf.DUMMYFUNCTION("""COMPUTED_VALUE"""),6.0)</f>
        <v>6</v>
      </c>
      <c r="AA639" s="10">
        <f>IFERROR(__xludf.DUMMYFUNCTION("""COMPUTED_VALUE"""),5.0)</f>
        <v>5</v>
      </c>
      <c r="AB639" s="10">
        <f>IFERROR(__xludf.DUMMYFUNCTION("""COMPUTED_VALUE"""),0.0)</f>
        <v>0</v>
      </c>
      <c r="AC639" s="10">
        <f>IFERROR(__xludf.DUMMYFUNCTION("""COMPUTED_VALUE"""),0.0)</f>
        <v>0</v>
      </c>
      <c r="AD639" s="10">
        <f>IFERROR(__xludf.DUMMYFUNCTION("""COMPUTED_VALUE"""),0.0)</f>
        <v>0</v>
      </c>
      <c r="AE639" s="10">
        <f>IFERROR(__xludf.DUMMYFUNCTION("""COMPUTED_VALUE"""),0.0)</f>
        <v>0</v>
      </c>
      <c r="AF639" s="10">
        <f>IFERROR(__xludf.DUMMYFUNCTION("""COMPUTED_VALUE"""),0.0)</f>
        <v>0</v>
      </c>
      <c r="AG639" s="10">
        <f>IFERROR(__xludf.DUMMYFUNCTION("""COMPUTED_VALUE"""),10.0)</f>
        <v>10</v>
      </c>
      <c r="AH639" s="10">
        <f>IFERROR(__xludf.DUMMYFUNCTION("""COMPUTED_VALUE"""),0.0)</f>
        <v>0</v>
      </c>
      <c r="AI639" s="10">
        <f>IFERROR(__xludf.DUMMYFUNCTION("""COMPUTED_VALUE"""),10.0)</f>
        <v>10</v>
      </c>
      <c r="AJ639" s="11" t="str">
        <f>IFERROR(__xludf.DUMMYFUNCTION("""COMPUTED_VALUE"""),"https://drive.google.com/open?id=17pKKXSGFHruMq87tq7RpefXP72ZZGtLn")</f>
        <v>https://drive.google.com/open?id=17pKKXSGFHruMq87tq7RpefXP72ZZGtLn</v>
      </c>
      <c r="AK639" s="12"/>
      <c r="AL639" s="12" t="str">
        <f>IFERROR(__xludf.DUMMYFUNCTION("""COMPUTED_VALUE"""),"Yes")</f>
        <v>Yes</v>
      </c>
      <c r="AM639" s="15">
        <f>IFERROR(__xludf.DUMMYFUNCTION("""COMPUTED_VALUE"""),0.9)</f>
        <v>0.9</v>
      </c>
      <c r="AN639" s="12" t="str">
        <f>IFERROR(__xludf.DUMMYFUNCTION("""COMPUTED_VALUE"""),"2nd week")</f>
        <v>2nd week</v>
      </c>
      <c r="AO639" s="13">
        <v>2.0</v>
      </c>
      <c r="AX639" s="17"/>
    </row>
    <row r="640">
      <c r="B640" s="9">
        <f>IFERROR(__xludf.DUMMYFUNCTION("""COMPUTED_VALUE"""),45896.51056928241)</f>
        <v>45896.51057</v>
      </c>
      <c r="C640" s="10" t="str">
        <f>IFERROR(__xludf.DUMMYFUNCTION("""COMPUTED_VALUE"""),"Arti Kumari ")</f>
        <v>Arti Kumari </v>
      </c>
      <c r="D640" s="10" t="str">
        <f>IFERROR(__xludf.DUMMYFUNCTION("""COMPUTED_VALUE"""),"03346661865")</f>
        <v>03346661865</v>
      </c>
      <c r="E640" s="10" t="str">
        <f>IFERROR(__xludf.DUMMYFUNCTION("""COMPUTED_VALUE"""),"Jamia Masjid Miyan Nawali Minchanabad ")</f>
        <v>Jamia Masjid Miyan Nawali Minchanabad </v>
      </c>
      <c r="F640" s="10" t="str">
        <f>IFERROR(__xludf.DUMMYFUNCTION("""COMPUTED_VALUE"""),"pbyfm ")</f>
        <v>pbyfm </v>
      </c>
      <c r="G640" s="10" t="str">
        <f>IFERROR(__xludf.DUMMYFUNCTION("""COMPUTED_VALUE"""),"Yes")</f>
        <v>Yes</v>
      </c>
      <c r="H640" s="10">
        <f>IFERROR(__xludf.DUMMYFUNCTION("""COMPUTED_VALUE"""),5.0)</f>
        <v>5</v>
      </c>
      <c r="I640" s="10">
        <f>IFERROR(__xludf.DUMMYFUNCTION("""COMPUTED_VALUE"""),5.0)</f>
        <v>5</v>
      </c>
      <c r="J640" s="10">
        <f>IFERROR(__xludf.DUMMYFUNCTION("""COMPUTED_VALUE"""),5.0)</f>
        <v>5</v>
      </c>
      <c r="K640" s="10">
        <f>IFERROR(__xludf.DUMMYFUNCTION("""COMPUTED_VALUE"""),0.0)</f>
        <v>0</v>
      </c>
      <c r="L640" s="10">
        <f>IFERROR(__xludf.DUMMYFUNCTION("""COMPUTED_VALUE"""),7.0)</f>
        <v>7</v>
      </c>
      <c r="M640" s="10">
        <f>IFERROR(__xludf.DUMMYFUNCTION("""COMPUTED_VALUE"""),0.0)</f>
        <v>0</v>
      </c>
      <c r="N640" s="10">
        <f>IFERROR(__xludf.DUMMYFUNCTION("""COMPUTED_VALUE"""),8.0)</f>
        <v>8</v>
      </c>
      <c r="O640" s="10">
        <f>IFERROR(__xludf.DUMMYFUNCTION("""COMPUTED_VALUE"""),0.0)</f>
        <v>0</v>
      </c>
      <c r="P640" s="10">
        <f>IFERROR(__xludf.DUMMYFUNCTION("""COMPUTED_VALUE"""),7.0)</f>
        <v>7</v>
      </c>
      <c r="Q640" s="10" t="str">
        <f>IFERROR(__xludf.DUMMYFUNCTION("""COMPUTED_VALUE"""),"No")</f>
        <v>No</v>
      </c>
      <c r="R640" s="10" t="str">
        <f>IFERROR(__xludf.DUMMYFUNCTION("""COMPUTED_VALUE"""),"No")</f>
        <v>No</v>
      </c>
      <c r="S640" s="10" t="str">
        <f>IFERROR(__xludf.DUMMYFUNCTION("""COMPUTED_VALUE"""),"No")</f>
        <v>No</v>
      </c>
      <c r="T640" s="10">
        <f>IFERROR(__xludf.DUMMYFUNCTION("""COMPUTED_VALUE"""),0.0)</f>
        <v>0</v>
      </c>
      <c r="U640" s="10">
        <f>IFERROR(__xludf.DUMMYFUNCTION("""COMPUTED_VALUE"""),0.0)</f>
        <v>0</v>
      </c>
      <c r="V640" s="10" t="str">
        <f>IFERROR(__xludf.DUMMYFUNCTION("""COMPUTED_VALUE"""),"پڑوسیوں کا خیال اور صفائی")</f>
        <v>پڑوسیوں کا خیال اور صفائی</v>
      </c>
      <c r="W640" s="10" t="str">
        <f>IFERROR(__xludf.DUMMYFUNCTION("""COMPUTED_VALUE"""),"امام نے بتا یا کے اپنے پڑوسیوں کا خیال رکھیں اور ان کے دکھ درد اور خوشی میں شریک ہو، ارد گرد کے ماحول کو صاف رکھیں اور کوشش کریں کہ جب نماز پڑھنے آئیں تو زیادہ سے زیادہ لوگوں کو اپنے ساتھ لائیں تاکہ مسجدیں آزاد رہیں")</f>
        <v>امام نے بتا یا کے اپنے پڑوسیوں کا خیال رکھیں اور ان کے دکھ درد اور خوشی میں شریک ہو، ارد گرد کے ماحول کو صاف رکھیں اور کوشش کریں کہ جب نماز پڑھنے آئیں تو زیادہ سے زیادہ لوگوں کو اپنے ساتھ لائیں تاکہ مسجدیں آزاد رہیں</v>
      </c>
      <c r="X640" s="10">
        <f>IFERROR(__xludf.DUMMYFUNCTION("""COMPUTED_VALUE"""),4.0)</f>
        <v>4</v>
      </c>
      <c r="Y640" s="10">
        <f>IFERROR(__xludf.DUMMYFUNCTION("""COMPUTED_VALUE"""),7.0)</f>
        <v>7</v>
      </c>
      <c r="Z640" s="10">
        <f>IFERROR(__xludf.DUMMYFUNCTION("""COMPUTED_VALUE"""),7.0)</f>
        <v>7</v>
      </c>
      <c r="AA640" s="10">
        <f>IFERROR(__xludf.DUMMYFUNCTION("""COMPUTED_VALUE"""),5.0)</f>
        <v>5</v>
      </c>
      <c r="AB640" s="10">
        <f>IFERROR(__xludf.DUMMYFUNCTION("""COMPUTED_VALUE"""),0.0)</f>
        <v>0</v>
      </c>
      <c r="AC640" s="10">
        <f>IFERROR(__xludf.DUMMYFUNCTION("""COMPUTED_VALUE"""),0.0)</f>
        <v>0</v>
      </c>
      <c r="AD640" s="10">
        <f>IFERROR(__xludf.DUMMYFUNCTION("""COMPUTED_VALUE"""),0.0)</f>
        <v>0</v>
      </c>
      <c r="AE640" s="10">
        <f>IFERROR(__xludf.DUMMYFUNCTION("""COMPUTED_VALUE"""),0.0)</f>
        <v>0</v>
      </c>
      <c r="AF640" s="10">
        <f>IFERROR(__xludf.DUMMYFUNCTION("""COMPUTED_VALUE"""),0.0)</f>
        <v>0</v>
      </c>
      <c r="AG640" s="10">
        <f>IFERROR(__xludf.DUMMYFUNCTION("""COMPUTED_VALUE"""),10.0)</f>
        <v>10</v>
      </c>
      <c r="AH640" s="10">
        <f>IFERROR(__xludf.DUMMYFUNCTION("""COMPUTED_VALUE"""),0.0)</f>
        <v>0</v>
      </c>
      <c r="AI640" s="10">
        <f>IFERROR(__xludf.DUMMYFUNCTION("""COMPUTED_VALUE"""),10.0)</f>
        <v>10</v>
      </c>
      <c r="AJ640" s="11" t="str">
        <f>IFERROR(__xludf.DUMMYFUNCTION("""COMPUTED_VALUE"""),"https://drive.google.com/open?id=1cmlBbcqiS9SavXXuw4Tv7bdFeAGW8isf")</f>
        <v>https://drive.google.com/open?id=1cmlBbcqiS9SavXXuw4Tv7bdFeAGW8isf</v>
      </c>
      <c r="AK640" s="12"/>
      <c r="AL640" s="12" t="str">
        <f>IFERROR(__xludf.DUMMYFUNCTION("""COMPUTED_VALUE"""),"Yes")</f>
        <v>Yes</v>
      </c>
      <c r="AM640" s="15">
        <f>IFERROR(__xludf.DUMMYFUNCTION("""COMPUTED_VALUE"""),0.5)</f>
        <v>0.5</v>
      </c>
      <c r="AN640" s="12" t="str">
        <f>IFERROR(__xludf.DUMMYFUNCTION("""COMPUTED_VALUE"""),"2nd week")</f>
        <v>2nd week</v>
      </c>
      <c r="AO640" s="13">
        <v>2.0</v>
      </c>
      <c r="AX640" s="17"/>
    </row>
    <row r="641">
      <c r="B641" s="9">
        <f>IFERROR(__xludf.DUMMYFUNCTION("""COMPUTED_VALUE"""),45896.531583993055)</f>
        <v>45896.53158</v>
      </c>
      <c r="C641" s="10" t="str">
        <f>IFERROR(__xludf.DUMMYFUNCTION("""COMPUTED_VALUE"""),"Hajra Sultan")</f>
        <v>Hajra Sultan</v>
      </c>
      <c r="D641" s="10" t="str">
        <f>IFERROR(__xludf.DUMMYFUNCTION("""COMPUTED_VALUE"""),"03095163638")</f>
        <v>03095163638</v>
      </c>
      <c r="E641" s="10" t="str">
        <f>IFERROR(__xludf.DUMMYFUNCTION("""COMPUTED_VALUE"""),"Jamia Masjid Darbar Laal Ehsan (Ahle Sunnat )")</f>
        <v>Jamia Masjid Darbar Laal Ehsan (Ahle Sunnat )</v>
      </c>
      <c r="F641" s="10" t="str">
        <f>IFERROR(__xludf.DUMMYFUNCTION("""COMPUTED_VALUE"""),"lyoix")</f>
        <v>lyoix</v>
      </c>
      <c r="G641" s="10" t="str">
        <f>IFERROR(__xludf.DUMMYFUNCTION("""COMPUTED_VALUE"""),"Yes")</f>
        <v>Yes</v>
      </c>
      <c r="H641" s="10">
        <f>IFERROR(__xludf.DUMMYFUNCTION("""COMPUTED_VALUE"""),0.0)</f>
        <v>0</v>
      </c>
      <c r="I641" s="10">
        <f>IFERROR(__xludf.DUMMYFUNCTION("""COMPUTED_VALUE"""),10.0)</f>
        <v>10</v>
      </c>
      <c r="J641" s="10">
        <f>IFERROR(__xludf.DUMMYFUNCTION("""COMPUTED_VALUE"""),0.0)</f>
        <v>0</v>
      </c>
      <c r="K641" s="10">
        <f>IFERROR(__xludf.DUMMYFUNCTION("""COMPUTED_VALUE"""),0.0)</f>
        <v>0</v>
      </c>
      <c r="L641" s="10">
        <f>IFERROR(__xludf.DUMMYFUNCTION("""COMPUTED_VALUE"""),0.0)</f>
        <v>0</v>
      </c>
      <c r="M641" s="10">
        <f>IFERROR(__xludf.DUMMYFUNCTION("""COMPUTED_VALUE"""),0.0)</f>
        <v>0</v>
      </c>
      <c r="N641" s="10">
        <f>IFERROR(__xludf.DUMMYFUNCTION("""COMPUTED_VALUE"""),0.0)</f>
        <v>0</v>
      </c>
      <c r="O641" s="10">
        <f>IFERROR(__xludf.DUMMYFUNCTION("""COMPUTED_VALUE"""),0.0)</f>
        <v>0</v>
      </c>
      <c r="P641" s="10">
        <f>IFERROR(__xludf.DUMMYFUNCTION("""COMPUTED_VALUE"""),0.0)</f>
        <v>0</v>
      </c>
      <c r="Q641" s="10" t="str">
        <f>IFERROR(__xludf.DUMMYFUNCTION("""COMPUTED_VALUE"""),"No")</f>
        <v>No</v>
      </c>
      <c r="R641" s="10" t="str">
        <f>IFERROR(__xludf.DUMMYFUNCTION("""COMPUTED_VALUE"""),"No")</f>
        <v>No</v>
      </c>
      <c r="S641" s="10" t="str">
        <f>IFERROR(__xludf.DUMMYFUNCTION("""COMPUTED_VALUE"""),"No")</f>
        <v>No</v>
      </c>
      <c r="T641" s="10">
        <f>IFERROR(__xludf.DUMMYFUNCTION("""COMPUTED_VALUE"""),0.0)</f>
        <v>0</v>
      </c>
      <c r="U641" s="10">
        <f>IFERROR(__xludf.DUMMYFUNCTION("""COMPUTED_VALUE"""),0.0)</f>
        <v>0</v>
      </c>
      <c r="V641" s="10" t="str">
        <f>IFERROR(__xludf.DUMMYFUNCTION("""COMPUTED_VALUE"""),"محرم الحرام اور اور حضرت امام حسین کا صبر و استقلال")</f>
        <v>محرم الحرام اور اور حضرت امام حسین کا صبر و استقلال</v>
      </c>
      <c r="W641" s="10" t="str">
        <f>IFERROR(__xludf.DUMMYFUNCTION("""COMPUTED_VALUE"""),"ہم کیا ہو گیا ہے کہ محرم حرام مقدس اور انتہائی حرمت والا مہینہ ہے ہے محمد مصطفی صلی اللہ علیہ وسلم کے نواسے حضرت امام عالی مقام امام حسین رضی اللہ تعالی عنہ کی شہادت ہوئی اور جس میں اقا علیہ الصلوۃ والسلام حضرت محمد مصطفی صلی اللہ علیہ وسلم نے ارشاد فرمای"&amp;"ا کہ حسین میرے سے ہیں اور میں حسین سے ہوں اور اس میں حضرت امام عالی مقام حضرت امام حسین کے جرات و شجاعت اور صبر کی ایک اعلی مثال ان کی گئی ہے")</f>
        <v>ہم کیا ہو گیا ہے کہ محرم حرام مقدس اور انتہائی حرمت والا مہینہ ہے ہے محمد مصطفی صلی اللہ علیہ وسلم کے نواسے حضرت امام عالی مقام امام حسین رضی اللہ تعالی عنہ کی شہادت ہوئی اور جس میں اقا علیہ الصلوۃ والسلام حضرت محمد مصطفی صلی اللہ علیہ وسلم نے ارشاد فرمایا کہ حسین میرے سے ہیں اور میں حسین سے ہوں اور اس میں حضرت امام عالی مقام حضرت امام حسین کے جرات و شجاعت اور صبر کی ایک اعلی مثال ان کی گئی ہے</v>
      </c>
      <c r="X641" s="10">
        <f>IFERROR(__xludf.DUMMYFUNCTION("""COMPUTED_VALUE"""),6.0)</f>
        <v>6</v>
      </c>
      <c r="Y641" s="10">
        <f>IFERROR(__xludf.DUMMYFUNCTION("""COMPUTED_VALUE"""),3.0)</f>
        <v>3</v>
      </c>
      <c r="Z641" s="10">
        <f>IFERROR(__xludf.DUMMYFUNCTION("""COMPUTED_VALUE"""),1.0)</f>
        <v>1</v>
      </c>
      <c r="AA641" s="10">
        <f>IFERROR(__xludf.DUMMYFUNCTION("""COMPUTED_VALUE"""),10.0)</f>
        <v>10</v>
      </c>
      <c r="AB641" s="10">
        <f>IFERROR(__xludf.DUMMYFUNCTION("""COMPUTED_VALUE"""),9.0)</f>
        <v>9</v>
      </c>
      <c r="AC641" s="10">
        <f>IFERROR(__xludf.DUMMYFUNCTION("""COMPUTED_VALUE"""),0.0)</f>
        <v>0</v>
      </c>
      <c r="AD641" s="10">
        <f>IFERROR(__xludf.DUMMYFUNCTION("""COMPUTED_VALUE"""),0.0)</f>
        <v>0</v>
      </c>
      <c r="AE641" s="10">
        <f>IFERROR(__xludf.DUMMYFUNCTION("""COMPUTED_VALUE"""),10.0)</f>
        <v>10</v>
      </c>
      <c r="AF641" s="10">
        <f>IFERROR(__xludf.DUMMYFUNCTION("""COMPUTED_VALUE"""),10.0)</f>
        <v>10</v>
      </c>
      <c r="AG641" s="10">
        <f>IFERROR(__xludf.DUMMYFUNCTION("""COMPUTED_VALUE"""),10.0)</f>
        <v>10</v>
      </c>
      <c r="AH641" s="10">
        <f>IFERROR(__xludf.DUMMYFUNCTION("""COMPUTED_VALUE"""),0.0)</f>
        <v>0</v>
      </c>
      <c r="AI641" s="10">
        <f>IFERROR(__xludf.DUMMYFUNCTION("""COMPUTED_VALUE"""),10.0)</f>
        <v>10</v>
      </c>
      <c r="AJ641" s="11" t="str">
        <f>IFERROR(__xludf.DUMMYFUNCTION("""COMPUTED_VALUE"""),"https://drive.google.com/open?id=1yVArfpB9tr3tu2eWT86fTpYc6IJsBGZu")</f>
        <v>https://drive.google.com/open?id=1yVArfpB9tr3tu2eWT86fTpYc6IJsBGZu</v>
      </c>
      <c r="AK641" s="12"/>
      <c r="AL641" s="12" t="str">
        <f>IFERROR(__xludf.DUMMYFUNCTION("""COMPUTED_VALUE"""),"Yes")</f>
        <v>Yes</v>
      </c>
      <c r="AM641" s="15">
        <f>IFERROR(__xludf.DUMMYFUNCTION("""COMPUTED_VALUE"""),0.0)</f>
        <v>0</v>
      </c>
      <c r="AN641" s="12" t="str">
        <f>IFERROR(__xludf.DUMMYFUNCTION("""COMPUTED_VALUE"""),"1st week")</f>
        <v>1st week</v>
      </c>
      <c r="AO641" s="13">
        <v>1.0</v>
      </c>
      <c r="AX641" s="17"/>
    </row>
    <row r="642">
      <c r="B642" s="9">
        <f>IFERROR(__xludf.DUMMYFUNCTION("""COMPUTED_VALUE"""),45896.531969895834)</f>
        <v>45896.53197</v>
      </c>
      <c r="C642" s="10" t="str">
        <f>IFERROR(__xludf.DUMMYFUNCTION("""COMPUTED_VALUE"""),"Arti Kumari ")</f>
        <v>Arti Kumari </v>
      </c>
      <c r="D642" s="10" t="str">
        <f>IFERROR(__xludf.DUMMYFUNCTION("""COMPUTED_VALUE"""),"03346661865")</f>
        <v>03346661865</v>
      </c>
      <c r="E642" s="10" t="str">
        <f>IFERROR(__xludf.DUMMYFUNCTION("""COMPUTED_VALUE"""),"Jamia Masjid JAHNAAZ GHA MULTAN ")</f>
        <v>Jamia Masjid JAHNAAZ GHA MULTAN </v>
      </c>
      <c r="F642" s="10" t="str">
        <f>IFERROR(__xludf.DUMMYFUNCTION("""COMPUTED_VALUE"""),"wpxts")</f>
        <v>wpxts</v>
      </c>
      <c r="G642" s="10" t="str">
        <f>IFERROR(__xludf.DUMMYFUNCTION("""COMPUTED_VALUE"""),"Yes")</f>
        <v>Yes</v>
      </c>
      <c r="H642" s="10">
        <f>IFERROR(__xludf.DUMMYFUNCTION("""COMPUTED_VALUE"""),0.0)</f>
        <v>0</v>
      </c>
      <c r="I642" s="10">
        <f>IFERROR(__xludf.DUMMYFUNCTION("""COMPUTED_VALUE"""),0.0)</f>
        <v>0</v>
      </c>
      <c r="J642" s="10">
        <f>IFERROR(__xludf.DUMMYFUNCTION("""COMPUTED_VALUE"""),0.0)</f>
        <v>0</v>
      </c>
      <c r="K642" s="10">
        <f>IFERROR(__xludf.DUMMYFUNCTION("""COMPUTED_VALUE"""),0.0)</f>
        <v>0</v>
      </c>
      <c r="L642" s="10">
        <f>IFERROR(__xludf.DUMMYFUNCTION("""COMPUTED_VALUE"""),0.0)</f>
        <v>0</v>
      </c>
      <c r="M642" s="10">
        <f>IFERROR(__xludf.DUMMYFUNCTION("""COMPUTED_VALUE"""),0.0)</f>
        <v>0</v>
      </c>
      <c r="N642" s="10">
        <f>IFERROR(__xludf.DUMMYFUNCTION("""COMPUTED_VALUE"""),0.0)</f>
        <v>0</v>
      </c>
      <c r="O642" s="10">
        <f>IFERROR(__xludf.DUMMYFUNCTION("""COMPUTED_VALUE"""),0.0)</f>
        <v>0</v>
      </c>
      <c r="P642" s="10">
        <f>IFERROR(__xludf.DUMMYFUNCTION("""COMPUTED_VALUE"""),0.0)</f>
        <v>0</v>
      </c>
      <c r="Q642" s="10" t="str">
        <f>IFERROR(__xludf.DUMMYFUNCTION("""COMPUTED_VALUE"""),"No")</f>
        <v>No</v>
      </c>
      <c r="R642" s="10" t="str">
        <f>IFERROR(__xludf.DUMMYFUNCTION("""COMPUTED_VALUE"""),"No")</f>
        <v>No</v>
      </c>
      <c r="S642" s="10" t="str">
        <f>IFERROR(__xludf.DUMMYFUNCTION("""COMPUTED_VALUE"""),"No")</f>
        <v>No</v>
      </c>
      <c r="T642" s="10">
        <f>IFERROR(__xludf.DUMMYFUNCTION("""COMPUTED_VALUE"""),0.0)</f>
        <v>0</v>
      </c>
      <c r="U642" s="10">
        <f>IFERROR(__xludf.DUMMYFUNCTION("""COMPUTED_VALUE"""),0.0)</f>
        <v>0</v>
      </c>
      <c r="V642" s="10" t="str">
        <f>IFERROR(__xludf.DUMMYFUNCTION("""COMPUTED_VALUE"""),"دین کی تکلمیل")</f>
        <v>دین کی تکلمیل</v>
      </c>
      <c r="W642" s="10" t="str">
        <f>IFERROR(__xludf.DUMMYFUNCTION("""COMPUTED_VALUE"""),"امام نے بتایا کہ تمہارے لیے دین کو مکمل کر دیا ہے اس میں تمہارے لیے ہر مسلے کا حل ہے ہر چیز کے حقوق بیان کر دیے گئے ہیں جسے تم اب بنا دے ہو مختلف محکمات بنا رہے ہو حتہ کہ س ہیں جاندار سے لے کر حیوانوں کے حقوق بیان کر دیے ہیں تم قرآن کو غور سے پڑھو")</f>
        <v>امام نے بتایا کہ تمہارے لیے دین کو مکمل کر دیا ہے اس میں تمہارے لیے ہر مسلے کا حل ہے ہر چیز کے حقوق بیان کر دیے گئے ہیں جسے تم اب بنا دے ہو مختلف محکمات بنا رہے ہو حتہ کہ س ہیں جاندار سے لے کر حیوانوں کے حقوق بیان کر دیے ہیں تم قرآن کو غور سے پڑھو</v>
      </c>
      <c r="X642" s="10">
        <f>IFERROR(__xludf.DUMMYFUNCTION("""COMPUTED_VALUE"""),4.0)</f>
        <v>4</v>
      </c>
      <c r="Y642" s="10">
        <f>IFERROR(__xludf.DUMMYFUNCTION("""COMPUTED_VALUE"""),0.0)</f>
        <v>0</v>
      </c>
      <c r="Z642" s="10">
        <f>IFERROR(__xludf.DUMMYFUNCTION("""COMPUTED_VALUE"""),5.0)</f>
        <v>5</v>
      </c>
      <c r="AA642" s="10">
        <f>IFERROR(__xludf.DUMMYFUNCTION("""COMPUTED_VALUE"""),4.0)</f>
        <v>4</v>
      </c>
      <c r="AB642" s="10">
        <f>IFERROR(__xludf.DUMMYFUNCTION("""COMPUTED_VALUE"""),4.0)</f>
        <v>4</v>
      </c>
      <c r="AC642" s="10">
        <f>IFERROR(__xludf.DUMMYFUNCTION("""COMPUTED_VALUE"""),0.0)</f>
        <v>0</v>
      </c>
      <c r="AD642" s="10">
        <f>IFERROR(__xludf.DUMMYFUNCTION("""COMPUTED_VALUE"""),0.0)</f>
        <v>0</v>
      </c>
      <c r="AE642" s="10">
        <f>IFERROR(__xludf.DUMMYFUNCTION("""COMPUTED_VALUE"""),0.0)</f>
        <v>0</v>
      </c>
      <c r="AF642" s="10">
        <f>IFERROR(__xludf.DUMMYFUNCTION("""COMPUTED_VALUE"""),0.0)</f>
        <v>0</v>
      </c>
      <c r="AG642" s="10">
        <f>IFERROR(__xludf.DUMMYFUNCTION("""COMPUTED_VALUE"""),5.0)</f>
        <v>5</v>
      </c>
      <c r="AH642" s="10">
        <f>IFERROR(__xludf.DUMMYFUNCTION("""COMPUTED_VALUE"""),0.0)</f>
        <v>0</v>
      </c>
      <c r="AI642" s="10">
        <f>IFERROR(__xludf.DUMMYFUNCTION("""COMPUTED_VALUE"""),5.0)</f>
        <v>5</v>
      </c>
      <c r="AJ642" s="11" t="str">
        <f>IFERROR(__xludf.DUMMYFUNCTION("""COMPUTED_VALUE"""),"https://drive.google.com/open?id=1KoUwMlwZ3vJ88WRnZsGsl5bpLXTWRdmg")</f>
        <v>https://drive.google.com/open?id=1KoUwMlwZ3vJ88WRnZsGsl5bpLXTWRdmg</v>
      </c>
      <c r="AK642" s="12" t="str">
        <f>IFERROR(__xludf.DUMMYFUNCTION("""COMPUTED_VALUE"""),"آواز صاف نہیں تھی")</f>
        <v>آواز صاف نہیں تھی</v>
      </c>
      <c r="AL642" s="12" t="str">
        <f>IFERROR(__xludf.DUMMYFUNCTION("""COMPUTED_VALUE"""),"Yes")</f>
        <v>Yes</v>
      </c>
      <c r="AM642" s="15">
        <f>IFERROR(__xludf.DUMMYFUNCTION("""COMPUTED_VALUE"""),0.0)</f>
        <v>0</v>
      </c>
      <c r="AN642" s="12" t="str">
        <f>IFERROR(__xludf.DUMMYFUNCTION("""COMPUTED_VALUE"""),"4th week")</f>
        <v>4th week</v>
      </c>
      <c r="AO642" s="13">
        <v>4.0</v>
      </c>
      <c r="AX642" s="17"/>
    </row>
    <row r="643">
      <c r="B643" s="9">
        <f>IFERROR(__xludf.DUMMYFUNCTION("""COMPUTED_VALUE"""),45896.535135972226)</f>
        <v>45896.53514</v>
      </c>
      <c r="C643" s="10" t="str">
        <f>IFERROR(__xludf.DUMMYFUNCTION("""COMPUTED_VALUE"""),"Javeria Abbas ")</f>
        <v>Javeria Abbas </v>
      </c>
      <c r="D643" s="10" t="str">
        <f>IFERROR(__xludf.DUMMYFUNCTION("""COMPUTED_VALUE"""),"03211539026")</f>
        <v>03211539026</v>
      </c>
      <c r="E643" s="10" t="str">
        <f>IFERROR(__xludf.DUMMYFUNCTION("""COMPUTED_VALUE"""),"Jamia Masjid Goth Aalu Sadiqabaad")</f>
        <v>Jamia Masjid Goth Aalu Sadiqabaad</v>
      </c>
      <c r="F643" s="10" t="str">
        <f>IFERROR(__xludf.DUMMYFUNCTION("""COMPUTED_VALUE"""),"tebun")</f>
        <v>tebun</v>
      </c>
      <c r="G643" s="10" t="str">
        <f>IFERROR(__xludf.DUMMYFUNCTION("""COMPUTED_VALUE"""),"Yes")</f>
        <v>Yes</v>
      </c>
      <c r="H643" s="10">
        <f>IFERROR(__xludf.DUMMYFUNCTION("""COMPUTED_VALUE"""),10.0)</f>
        <v>10</v>
      </c>
      <c r="I643" s="10">
        <f>IFERROR(__xludf.DUMMYFUNCTION("""COMPUTED_VALUE"""),0.0)</f>
        <v>0</v>
      </c>
      <c r="J643" s="10">
        <f>IFERROR(__xludf.DUMMYFUNCTION("""COMPUTED_VALUE"""),10.0)</f>
        <v>10</v>
      </c>
      <c r="K643" s="10">
        <f>IFERROR(__xludf.DUMMYFUNCTION("""COMPUTED_VALUE"""),10.0)</f>
        <v>10</v>
      </c>
      <c r="L643" s="10">
        <f>IFERROR(__xludf.DUMMYFUNCTION("""COMPUTED_VALUE"""),0.0)</f>
        <v>0</v>
      </c>
      <c r="M643" s="10">
        <f>IFERROR(__xludf.DUMMYFUNCTION("""COMPUTED_VALUE"""),9.0)</f>
        <v>9</v>
      </c>
      <c r="N643" s="10">
        <f>IFERROR(__xludf.DUMMYFUNCTION("""COMPUTED_VALUE"""),0.0)</f>
        <v>0</v>
      </c>
      <c r="O643" s="10">
        <f>IFERROR(__xludf.DUMMYFUNCTION("""COMPUTED_VALUE"""),8.0)</f>
        <v>8</v>
      </c>
      <c r="P643" s="10">
        <f>IFERROR(__xludf.DUMMYFUNCTION("""COMPUTED_VALUE"""),0.0)</f>
        <v>0</v>
      </c>
      <c r="Q643" s="10" t="str">
        <f>IFERROR(__xludf.DUMMYFUNCTION("""COMPUTED_VALUE"""),"No")</f>
        <v>No</v>
      </c>
      <c r="R643" s="10" t="str">
        <f>IFERROR(__xludf.DUMMYFUNCTION("""COMPUTED_VALUE"""),"No")</f>
        <v>No</v>
      </c>
      <c r="S643" s="10" t="str">
        <f>IFERROR(__xludf.DUMMYFUNCTION("""COMPUTED_VALUE"""),"No")</f>
        <v>No</v>
      </c>
      <c r="T643" s="10">
        <f>IFERROR(__xludf.DUMMYFUNCTION("""COMPUTED_VALUE"""),0.0)</f>
        <v>0</v>
      </c>
      <c r="U643" s="10">
        <f>IFERROR(__xludf.DUMMYFUNCTION("""COMPUTED_VALUE"""),0.0)</f>
        <v>0</v>
      </c>
      <c r="V643" s="10" t="str">
        <f>IFERROR(__xludf.DUMMYFUNCTION("""COMPUTED_VALUE"""),"اسلام میں عورت کا کردار مقام اور حق")</f>
        <v>اسلام میں عورت کا کردار مقام اور حق</v>
      </c>
      <c r="W643" s="10" t="str">
        <f>IFERROR(__xludf.DUMMYFUNCTION("""COMPUTED_VALUE"""),"اسلام نے عورتوں کو اپنے فیصلے خود کرنے کی اجازت دی ہے اسلام میں عورتوں کے کاروبار کرنے پر کوئی پابندی نہیں ہے خواہ وہ پردے کی پابندی کریں اور امام نے عورتوں کی تاریخ کے بارے میں بتایا یعنی حضرت عائشہ کے بارے میں حضرت ام امارہ کے بارے میں حضرت ام ہانی کے ب"&amp;"ارے میں ان کے واقعات بیان کیے کہ کس طرح یہ صحابیات جنگوں کے موقع میں حضور پاک صلی اللہ علیہ ہ وسلم کے شانہ بشانہ کھڑی رہی ان کی مدد کرتی رہی ان کی جان کی حفاظت کرتی رہی ۔")</f>
        <v>اسلام نے عورتوں کو اپنے فیصلے خود کرنے کی اجازت دی ہے اسلام میں عورتوں کے کاروبار کرنے پر کوئی پابندی نہیں ہے خواہ وہ پردے کی پابندی کریں اور امام نے عورتوں کی تاریخ کے بارے میں بتایا یعنی حضرت عائشہ کے بارے میں حضرت ام امارہ کے بارے میں حضرت ام ہانی کے بارے میں ان کے واقعات بیان کیے کہ کس طرح یہ صحابیات جنگوں کے موقع میں حضور پاک صلی اللہ علیہ ہ وسلم کے شانہ بشانہ کھڑی رہی ان کی مدد کرتی رہی ان کی جان کی حفاظت کرتی رہی ۔</v>
      </c>
      <c r="X643" s="10">
        <f>IFERROR(__xludf.DUMMYFUNCTION("""COMPUTED_VALUE"""),0.0)</f>
        <v>0</v>
      </c>
      <c r="Y643" s="10">
        <f>IFERROR(__xludf.DUMMYFUNCTION("""COMPUTED_VALUE"""),4.0)</f>
        <v>4</v>
      </c>
      <c r="Z643" s="10">
        <f>IFERROR(__xludf.DUMMYFUNCTION("""COMPUTED_VALUE"""),7.0)</f>
        <v>7</v>
      </c>
      <c r="AA643" s="10">
        <f>IFERROR(__xludf.DUMMYFUNCTION("""COMPUTED_VALUE"""),8.0)</f>
        <v>8</v>
      </c>
      <c r="AB643" s="10">
        <f>IFERROR(__xludf.DUMMYFUNCTION("""COMPUTED_VALUE"""),5.0)</f>
        <v>5</v>
      </c>
      <c r="AC643" s="10">
        <f>IFERROR(__xludf.DUMMYFUNCTION("""COMPUTED_VALUE"""),0.0)</f>
        <v>0</v>
      </c>
      <c r="AD643" s="10">
        <f>IFERROR(__xludf.DUMMYFUNCTION("""COMPUTED_VALUE"""),6.0)</f>
        <v>6</v>
      </c>
      <c r="AE643" s="10">
        <f>IFERROR(__xludf.DUMMYFUNCTION("""COMPUTED_VALUE"""),0.0)</f>
        <v>0</v>
      </c>
      <c r="AF643" s="10">
        <f>IFERROR(__xludf.DUMMYFUNCTION("""COMPUTED_VALUE"""),0.0)</f>
        <v>0</v>
      </c>
      <c r="AG643" s="10">
        <f>IFERROR(__xludf.DUMMYFUNCTION("""COMPUTED_VALUE"""),10.0)</f>
        <v>10</v>
      </c>
      <c r="AH643" s="10">
        <f>IFERROR(__xludf.DUMMYFUNCTION("""COMPUTED_VALUE"""),0.0)</f>
        <v>0</v>
      </c>
      <c r="AI643" s="10">
        <f>IFERROR(__xludf.DUMMYFUNCTION("""COMPUTED_VALUE"""),10.0)</f>
        <v>10</v>
      </c>
      <c r="AJ643" s="11" t="str">
        <f>IFERROR(__xludf.DUMMYFUNCTION("""COMPUTED_VALUE"""),"https://drive.google.com/open?id=13INO2t2LhRhM7iDavO9VX9n0JUednpcMrZYAKbqWMbU")</f>
        <v>https://drive.google.com/open?id=13INO2t2LhRhM7iDavO9VX9n0JUednpcMrZYAKbqWMbU</v>
      </c>
      <c r="AK643" s="12" t="str">
        <f>IFERROR(__xludf.DUMMYFUNCTION("""COMPUTED_VALUE"""),"امام نے سکرپٹ کا آخری حصہ نھی بولا لیکن جتنا بولا ہے وو بالکل سکرپٹ ہی سے ")</f>
        <v>امام نے سکرپٹ کا آخری حصہ نھی بولا لیکن جتنا بولا ہے وو بالکل سکرپٹ ہی سے </v>
      </c>
      <c r="AL643" s="12" t="str">
        <f>IFERROR(__xludf.DUMMYFUNCTION("""COMPUTED_VALUE"""),"Yes")</f>
        <v>Yes</v>
      </c>
      <c r="AM643" s="15">
        <f>IFERROR(__xludf.DUMMYFUNCTION("""COMPUTED_VALUE"""),1.0)</f>
        <v>1</v>
      </c>
      <c r="AN643" s="12" t="str">
        <f>IFERROR(__xludf.DUMMYFUNCTION("""COMPUTED_VALUE"""),"2nd week")</f>
        <v>2nd week</v>
      </c>
      <c r="AO643" s="13">
        <v>2.0</v>
      </c>
      <c r="AX643" s="17"/>
    </row>
    <row r="644">
      <c r="B644" s="9">
        <f>IFERROR(__xludf.DUMMYFUNCTION("""COMPUTED_VALUE"""),45896.629090891205)</f>
        <v>45896.62909</v>
      </c>
      <c r="C644" s="10" t="str">
        <f>IFERROR(__xludf.DUMMYFUNCTION("""COMPUTED_VALUE"""),"Javeria Abbas ")</f>
        <v>Javeria Abbas </v>
      </c>
      <c r="D644" s="10" t="str">
        <f>IFERROR(__xludf.DUMMYFUNCTION("""COMPUTED_VALUE"""),"03211539026")</f>
        <v>03211539026</v>
      </c>
      <c r="E644" s="10" t="str">
        <f>IFERROR(__xludf.DUMMYFUNCTION("""COMPUTED_VALUE"""),"Jamia Masjid Mehboob Subhani Oh Shareef")</f>
        <v>Jamia Masjid Mehboob Subhani Oh Shareef</v>
      </c>
      <c r="F644" s="10" t="str">
        <f>IFERROR(__xludf.DUMMYFUNCTION("""COMPUTED_VALUE"""),"joffe")</f>
        <v>joffe</v>
      </c>
      <c r="G644" s="10" t="str">
        <f>IFERROR(__xludf.DUMMYFUNCTION("""COMPUTED_VALUE"""),"Yes")</f>
        <v>Yes</v>
      </c>
      <c r="H644" s="10">
        <f>IFERROR(__xludf.DUMMYFUNCTION("""COMPUTED_VALUE"""),0.0)</f>
        <v>0</v>
      </c>
      <c r="I644" s="10">
        <f>IFERROR(__xludf.DUMMYFUNCTION("""COMPUTED_VALUE"""),10.0)</f>
        <v>10</v>
      </c>
      <c r="J644" s="10">
        <f>IFERROR(__xludf.DUMMYFUNCTION("""COMPUTED_VALUE"""),7.0)</f>
        <v>7</v>
      </c>
      <c r="K644" s="10">
        <f>IFERROR(__xludf.DUMMYFUNCTION("""COMPUTED_VALUE"""),0.0)</f>
        <v>0</v>
      </c>
      <c r="L644" s="10">
        <f>IFERROR(__xludf.DUMMYFUNCTION("""COMPUTED_VALUE"""),10.0)</f>
        <v>10</v>
      </c>
      <c r="M644" s="10">
        <f>IFERROR(__xludf.DUMMYFUNCTION("""COMPUTED_VALUE"""),0.0)</f>
        <v>0</v>
      </c>
      <c r="N644" s="10">
        <f>IFERROR(__xludf.DUMMYFUNCTION("""COMPUTED_VALUE"""),10.0)</f>
        <v>10</v>
      </c>
      <c r="O644" s="10">
        <f>IFERROR(__xludf.DUMMYFUNCTION("""COMPUTED_VALUE"""),0.0)</f>
        <v>0</v>
      </c>
      <c r="P644" s="10">
        <f>IFERROR(__xludf.DUMMYFUNCTION("""COMPUTED_VALUE"""),10.0)</f>
        <v>10</v>
      </c>
      <c r="Q644" s="10" t="str">
        <f>IFERROR(__xludf.DUMMYFUNCTION("""COMPUTED_VALUE"""),"No")</f>
        <v>No</v>
      </c>
      <c r="R644" s="10" t="str">
        <f>IFERROR(__xludf.DUMMYFUNCTION("""COMPUTED_VALUE"""),"Yes")</f>
        <v>Yes</v>
      </c>
      <c r="S644" s="10" t="str">
        <f>IFERROR(__xludf.DUMMYFUNCTION("""COMPUTED_VALUE"""),"No")</f>
        <v>No</v>
      </c>
      <c r="T644" s="10">
        <f>IFERROR(__xludf.DUMMYFUNCTION("""COMPUTED_VALUE"""),0.0)</f>
        <v>0</v>
      </c>
      <c r="U644" s="10">
        <f>IFERROR(__xludf.DUMMYFUNCTION("""COMPUTED_VALUE"""),0.0)</f>
        <v>0</v>
      </c>
      <c r="V644" s="10" t="str">
        <f>IFERROR(__xludf.DUMMYFUNCTION("""COMPUTED_VALUE"""),"پڑوسیوں کے حقوق")</f>
        <v>پڑوسیوں کے حقوق</v>
      </c>
      <c r="W644" s="10" t="str">
        <f>IFERROR(__xludf.DUMMYFUNCTION("""COMPUTED_VALUE"""),"پڑوسہ کے حقوق پر اسلام نے بہت تاکید کی ہے کہ پڑوسیوں کو ایزا نہ پہنچائیں اور ان کی چھت سے اپنی چھت کو اونچا نہ کریں یہ نہ ہو کہ ان کی ہوا کی نکاسی بند ہو جائے پروسیوں کا حق یہ ہے کہ اگر وہ بیمار پر جائیں تو ان کی قیادت کریں اگر ان کو خرچ کی ضرورت ان کو کر"&amp;" دیں اگر ان کے گھر میں کھانے کو کچھ نہیں ہے تو اپ اس کا خیال کریں اور اگر کوئی پڑوسی فوت ہو جائے تو اس کے جنازے میں شرکت کریں اور اگر کسی پڑوسی کی وجہ سے اپ کو ایز ا پہنچی ہے تو اس اعزاء پر صبر کا مظاہرہ کریں")</f>
        <v>پڑوسہ کے حقوق پر اسلام نے بہت تاکید کی ہے کہ پڑوسیوں کو ایزا نہ پہنچائیں اور ان کی چھت سے اپنی چھت کو اونچا نہ کریں یہ نہ ہو کہ ان کی ہوا کی نکاسی بند ہو جائے پروسیوں کا حق یہ ہے کہ اگر وہ بیمار پر جائیں تو ان کی قیادت کریں اگر ان کو خرچ کی ضرورت ان کو کر دیں اگر ان کے گھر میں کھانے کو کچھ نہیں ہے تو اپ اس کا خیال کریں اور اگر کوئی پڑوسی فوت ہو جائے تو اس کے جنازے میں شرکت کریں اور اگر کسی پڑوسی کی وجہ سے اپ کو ایز ا پہنچی ہے تو اس اعزاء پر صبر کا مظاہرہ کریں</v>
      </c>
      <c r="X644" s="10">
        <f>IFERROR(__xludf.DUMMYFUNCTION("""COMPUTED_VALUE"""),0.0)</f>
        <v>0</v>
      </c>
      <c r="Y644" s="10">
        <f>IFERROR(__xludf.DUMMYFUNCTION("""COMPUTED_VALUE"""),3.0)</f>
        <v>3</v>
      </c>
      <c r="Z644" s="10">
        <f>IFERROR(__xludf.DUMMYFUNCTION("""COMPUTED_VALUE"""),9.0)</f>
        <v>9</v>
      </c>
      <c r="AA644" s="10">
        <f>IFERROR(__xludf.DUMMYFUNCTION("""COMPUTED_VALUE"""),10.0)</f>
        <v>10</v>
      </c>
      <c r="AB644" s="10">
        <f>IFERROR(__xludf.DUMMYFUNCTION("""COMPUTED_VALUE"""),0.0)</f>
        <v>0</v>
      </c>
      <c r="AC644" s="10">
        <f>IFERROR(__xludf.DUMMYFUNCTION("""COMPUTED_VALUE"""),0.0)</f>
        <v>0</v>
      </c>
      <c r="AD644" s="10">
        <f>IFERROR(__xludf.DUMMYFUNCTION("""COMPUTED_VALUE"""),0.0)</f>
        <v>0</v>
      </c>
      <c r="AE644" s="10">
        <f>IFERROR(__xludf.DUMMYFUNCTION("""COMPUTED_VALUE"""),0.0)</f>
        <v>0</v>
      </c>
      <c r="AF644" s="10">
        <f>IFERROR(__xludf.DUMMYFUNCTION("""COMPUTED_VALUE"""),0.0)</f>
        <v>0</v>
      </c>
      <c r="AG644" s="10">
        <f>IFERROR(__xludf.DUMMYFUNCTION("""COMPUTED_VALUE"""),10.0)</f>
        <v>10</v>
      </c>
      <c r="AH644" s="10">
        <f>IFERROR(__xludf.DUMMYFUNCTION("""COMPUTED_VALUE"""),0.0)</f>
        <v>0</v>
      </c>
      <c r="AI644" s="10">
        <f>IFERROR(__xludf.DUMMYFUNCTION("""COMPUTED_VALUE"""),10.0)</f>
        <v>10</v>
      </c>
      <c r="AJ644" s="11" t="str">
        <f>IFERROR(__xludf.DUMMYFUNCTION("""COMPUTED_VALUE"""),"https://drive.google.com/open?id=1UwCxPR5yVLFt7EMl8AciKTkNdarWqOaKefqdP20cUGM")</f>
        <v>https://drive.google.com/open?id=1UwCxPR5yVLFt7EMl8AciKTkNdarWqOaKefqdP20cUGM</v>
      </c>
      <c r="AK644" s="12" t="str">
        <f>IFERROR(__xludf.DUMMYFUNCTION("""COMPUTED_VALUE"""),"Voice clear nhi thi bht hi shor tha ")</f>
        <v>Voice clear nhi thi bht hi shor tha </v>
      </c>
      <c r="AL644" s="12" t="str">
        <f>IFERROR(__xludf.DUMMYFUNCTION("""COMPUTED_VALUE"""),"Yes")</f>
        <v>Yes</v>
      </c>
      <c r="AM644" s="15">
        <f>IFERROR(__xludf.DUMMYFUNCTION("""COMPUTED_VALUE"""),0.0)</f>
        <v>0</v>
      </c>
      <c r="AN644" s="12" t="str">
        <f>IFERROR(__xludf.DUMMYFUNCTION("""COMPUTED_VALUE"""),"2nd week")</f>
        <v>2nd week</v>
      </c>
      <c r="AO644" s="13">
        <v>2.0</v>
      </c>
      <c r="AX644" s="17"/>
    </row>
    <row r="645">
      <c r="B645" s="9">
        <f>IFERROR(__xludf.DUMMYFUNCTION("""COMPUTED_VALUE"""),45896.63146121528)</f>
        <v>45896.63146</v>
      </c>
      <c r="C645" s="10" t="str">
        <f>IFERROR(__xludf.DUMMYFUNCTION("""COMPUTED_VALUE"""),"Sidra ")</f>
        <v>Sidra </v>
      </c>
      <c r="D645" s="10" t="str">
        <f>IFERROR(__xludf.DUMMYFUNCTION("""COMPUTED_VALUE"""),"03261416280")</f>
        <v>03261416280</v>
      </c>
      <c r="E645" s="10" t="str">
        <f>IFERROR(__xludf.DUMMYFUNCTION("""COMPUTED_VALUE"""),"Jamia Masjid Jhok Veenus Multan")</f>
        <v>Jamia Masjid Jhok Veenus Multan</v>
      </c>
      <c r="F645" s="10" t="str">
        <f>IFERROR(__xludf.DUMMYFUNCTION("""COMPUTED_VALUE"""),"zrpyu")</f>
        <v>zrpyu</v>
      </c>
      <c r="G645" s="10" t="str">
        <f>IFERROR(__xludf.DUMMYFUNCTION("""COMPUTED_VALUE"""),"Yes")</f>
        <v>Yes</v>
      </c>
      <c r="H645" s="10">
        <f>IFERROR(__xludf.DUMMYFUNCTION("""COMPUTED_VALUE"""),10.0)</f>
        <v>10</v>
      </c>
      <c r="I645" s="10">
        <f>IFERROR(__xludf.DUMMYFUNCTION("""COMPUTED_VALUE"""),0.0)</f>
        <v>0</v>
      </c>
      <c r="J645" s="10">
        <f>IFERROR(__xludf.DUMMYFUNCTION("""COMPUTED_VALUE"""),10.0)</f>
        <v>10</v>
      </c>
      <c r="K645" s="10">
        <f>IFERROR(__xludf.DUMMYFUNCTION("""COMPUTED_VALUE"""),0.0)</f>
        <v>0</v>
      </c>
      <c r="L645" s="10">
        <f>IFERROR(__xludf.DUMMYFUNCTION("""COMPUTED_VALUE"""),10.0)</f>
        <v>10</v>
      </c>
      <c r="M645" s="10">
        <f>IFERROR(__xludf.DUMMYFUNCTION("""COMPUTED_VALUE"""),0.0)</f>
        <v>0</v>
      </c>
      <c r="N645" s="10">
        <f>IFERROR(__xludf.DUMMYFUNCTION("""COMPUTED_VALUE"""),7.0)</f>
        <v>7</v>
      </c>
      <c r="O645" s="10">
        <f>IFERROR(__xludf.DUMMYFUNCTION("""COMPUTED_VALUE"""),0.0)</f>
        <v>0</v>
      </c>
      <c r="P645" s="10">
        <f>IFERROR(__xludf.DUMMYFUNCTION("""COMPUTED_VALUE"""),7.0)</f>
        <v>7</v>
      </c>
      <c r="Q645" s="10" t="str">
        <f>IFERROR(__xludf.DUMMYFUNCTION("""COMPUTED_VALUE"""),"No")</f>
        <v>No</v>
      </c>
      <c r="R645" s="10" t="str">
        <f>IFERROR(__xludf.DUMMYFUNCTION("""COMPUTED_VALUE"""),"No")</f>
        <v>No</v>
      </c>
      <c r="S645" s="10" t="str">
        <f>IFERROR(__xludf.DUMMYFUNCTION("""COMPUTED_VALUE"""),"Yes")</f>
        <v>Yes</v>
      </c>
      <c r="T645" s="10">
        <f>IFERROR(__xludf.DUMMYFUNCTION("""COMPUTED_VALUE"""),0.0)</f>
        <v>0</v>
      </c>
      <c r="U645" s="10">
        <f>IFERROR(__xludf.DUMMYFUNCTION("""COMPUTED_VALUE"""),0.0)</f>
        <v>0</v>
      </c>
      <c r="V645" s="10" t="str">
        <f>IFERROR(__xludf.DUMMYFUNCTION("""COMPUTED_VALUE"""),"پڑوس اور اہل محلہ کے حقوق ")</f>
        <v>پڑوس اور اہل محلہ کے حقوق </v>
      </c>
      <c r="W645" s="10" t="str">
        <f>IFERROR(__xludf.DUMMYFUNCTION("""COMPUTED_VALUE"""),"امام نے بیان میں بتایا ہے کہ ہمیں پڑوسیوں کے ساتھ حسن سے پیش آنا چاہیے ان کے غم اور خوشی میں شریک ہونا چاہیے اور اس کے علاوہ امام نے بیان میں بتایا کہ ہمیں اپنے معاشرے کو اپنے محلے کو صاف ستھرا رکھنا چاہیے اگر محلہ صاف ستھرا ہو گا تو کوئی بیماری نہیں پھیل"&amp;"ے گی اور اگر محلے میں کوڑا کرکٹ پھینکیں گے تو اس سے مختلف بیماریاں پیدا ہوں گی جیسے ڈینگی ملیریا وغیرہ وغیرہ ")</f>
        <v>امام نے بیان میں بتایا ہے کہ ہمیں پڑوسیوں کے ساتھ حسن سے پیش آنا چاہیے ان کے غم اور خوشی میں شریک ہونا چاہیے اور اس کے علاوہ امام نے بیان میں بتایا کہ ہمیں اپنے معاشرے کو اپنے محلے کو صاف ستھرا رکھنا چاہیے اگر محلہ صاف ستھرا ہو گا تو کوئی بیماری نہیں پھیلے گی اور اگر محلے میں کوڑا کرکٹ پھینکیں گے تو اس سے مختلف بیماریاں پیدا ہوں گی جیسے ڈینگی ملیریا وغیرہ وغیرہ </v>
      </c>
      <c r="X645" s="10">
        <f>IFERROR(__xludf.DUMMYFUNCTION("""COMPUTED_VALUE"""),3.0)</f>
        <v>3</v>
      </c>
      <c r="Y645" s="10">
        <f>IFERROR(__xludf.DUMMYFUNCTION("""COMPUTED_VALUE"""),8.0)</f>
        <v>8</v>
      </c>
      <c r="Z645" s="10">
        <f>IFERROR(__xludf.DUMMYFUNCTION("""COMPUTED_VALUE"""),7.0)</f>
        <v>7</v>
      </c>
      <c r="AA645" s="10">
        <f>IFERROR(__xludf.DUMMYFUNCTION("""COMPUTED_VALUE"""),4.0)</f>
        <v>4</v>
      </c>
      <c r="AB645" s="10">
        <f>IFERROR(__xludf.DUMMYFUNCTION("""COMPUTED_VALUE"""),0.0)</f>
        <v>0</v>
      </c>
      <c r="AC645" s="10">
        <f>IFERROR(__xludf.DUMMYFUNCTION("""COMPUTED_VALUE"""),0.0)</f>
        <v>0</v>
      </c>
      <c r="AD645" s="10">
        <f>IFERROR(__xludf.DUMMYFUNCTION("""COMPUTED_VALUE"""),0.0)</f>
        <v>0</v>
      </c>
      <c r="AE645" s="10">
        <f>IFERROR(__xludf.DUMMYFUNCTION("""COMPUTED_VALUE"""),3.0)</f>
        <v>3</v>
      </c>
      <c r="AF645" s="10">
        <f>IFERROR(__xludf.DUMMYFUNCTION("""COMPUTED_VALUE"""),0.0)</f>
        <v>0</v>
      </c>
      <c r="AG645" s="10">
        <f>IFERROR(__xludf.DUMMYFUNCTION("""COMPUTED_VALUE"""),9.0)</f>
        <v>9</v>
      </c>
      <c r="AH645" s="10">
        <f>IFERROR(__xludf.DUMMYFUNCTION("""COMPUTED_VALUE"""),0.0)</f>
        <v>0</v>
      </c>
      <c r="AI645" s="10">
        <f>IFERROR(__xludf.DUMMYFUNCTION("""COMPUTED_VALUE"""),9.0)</f>
        <v>9</v>
      </c>
      <c r="AJ645" s="11" t="str">
        <f>IFERROR(__xludf.DUMMYFUNCTION("""COMPUTED_VALUE"""),"https://drive.google.com/open?id=1fe3lhsS4mS9JXgHfOJoK2LetWx-dru7qLSB482IfruU")</f>
        <v>https://drive.google.com/open?id=1fe3lhsS4mS9JXgHfOJoK2LetWx-dru7qLSB482IfruU</v>
      </c>
      <c r="AK645" s="12" t="str">
        <f>IFERROR(__xludf.DUMMYFUNCTION("""COMPUTED_VALUE"""),"No ")</f>
        <v>No </v>
      </c>
      <c r="AL645" s="12" t="str">
        <f>IFERROR(__xludf.DUMMYFUNCTION("""COMPUTED_VALUE"""),"Yes")</f>
        <v>Yes</v>
      </c>
      <c r="AM645" s="15">
        <f>IFERROR(__xludf.DUMMYFUNCTION("""COMPUTED_VALUE"""),1.0)</f>
        <v>1</v>
      </c>
      <c r="AN645" s="12" t="str">
        <f>IFERROR(__xludf.DUMMYFUNCTION("""COMPUTED_VALUE"""),"1st week")</f>
        <v>1st week</v>
      </c>
      <c r="AO645" s="13">
        <v>1.0</v>
      </c>
      <c r="AX645" s="17"/>
    </row>
    <row r="646">
      <c r="B646" s="9">
        <f>IFERROR(__xludf.DUMMYFUNCTION("""COMPUTED_VALUE"""),45896.7464190625)</f>
        <v>45896.74642</v>
      </c>
      <c r="C646" s="10" t="str">
        <f>IFERROR(__xludf.DUMMYFUNCTION("""COMPUTED_VALUE"""),"Sidra ")</f>
        <v>Sidra </v>
      </c>
      <c r="D646" s="10" t="str">
        <f>IFERROR(__xludf.DUMMYFUNCTION("""COMPUTED_VALUE"""),"03261416280")</f>
        <v>03261416280</v>
      </c>
      <c r="E646" s="10" t="str">
        <f>IFERROR(__xludf.DUMMYFUNCTION("""COMPUTED_VALUE"""),"Jamia Masjid Mai Shahab Khanpur")</f>
        <v>Jamia Masjid Mai Shahab Khanpur</v>
      </c>
      <c r="F646" s="10" t="str">
        <f>IFERROR(__xludf.DUMMYFUNCTION("""COMPUTED_VALUE"""),"qqsmi")</f>
        <v>qqsmi</v>
      </c>
      <c r="G646" s="10" t="str">
        <f>IFERROR(__xludf.DUMMYFUNCTION("""COMPUTED_VALUE"""),"Yes")</f>
        <v>Yes</v>
      </c>
      <c r="H646" s="10">
        <f>IFERROR(__xludf.DUMMYFUNCTION("""COMPUTED_VALUE"""),0.0)</f>
        <v>0</v>
      </c>
      <c r="I646" s="10">
        <f>IFERROR(__xludf.DUMMYFUNCTION("""COMPUTED_VALUE"""),10.0)</f>
        <v>10</v>
      </c>
      <c r="J646" s="10">
        <f>IFERROR(__xludf.DUMMYFUNCTION("""COMPUTED_VALUE"""),0.0)</f>
        <v>0</v>
      </c>
      <c r="K646" s="10">
        <f>IFERROR(__xludf.DUMMYFUNCTION("""COMPUTED_VALUE"""),0.0)</f>
        <v>0</v>
      </c>
      <c r="L646" s="10">
        <f>IFERROR(__xludf.DUMMYFUNCTION("""COMPUTED_VALUE"""),0.0)</f>
        <v>0</v>
      </c>
      <c r="M646" s="10">
        <f>IFERROR(__xludf.DUMMYFUNCTION("""COMPUTED_VALUE"""),0.0)</f>
        <v>0</v>
      </c>
      <c r="N646" s="10">
        <f>IFERROR(__xludf.DUMMYFUNCTION("""COMPUTED_VALUE"""),0.0)</f>
        <v>0</v>
      </c>
      <c r="O646" s="10">
        <f>IFERROR(__xludf.DUMMYFUNCTION("""COMPUTED_VALUE"""),0.0)</f>
        <v>0</v>
      </c>
      <c r="P646" s="10">
        <f>IFERROR(__xludf.DUMMYFUNCTION("""COMPUTED_VALUE"""),0.0)</f>
        <v>0</v>
      </c>
      <c r="Q646" s="10" t="str">
        <f>IFERROR(__xludf.DUMMYFUNCTION("""COMPUTED_VALUE"""),"No")</f>
        <v>No</v>
      </c>
      <c r="R646" s="10" t="str">
        <f>IFERROR(__xludf.DUMMYFUNCTION("""COMPUTED_VALUE"""),"No")</f>
        <v>No</v>
      </c>
      <c r="S646" s="10" t="str">
        <f>IFERROR(__xludf.DUMMYFUNCTION("""COMPUTED_VALUE"""),"No")</f>
        <v>No</v>
      </c>
      <c r="T646" s="10">
        <f>IFERROR(__xludf.DUMMYFUNCTION("""COMPUTED_VALUE"""),0.0)</f>
        <v>0</v>
      </c>
      <c r="U646" s="10">
        <f>IFERROR(__xludf.DUMMYFUNCTION("""COMPUTED_VALUE"""),0.0)</f>
        <v>0</v>
      </c>
      <c r="V646" s="10" t="str">
        <f>IFERROR(__xludf.DUMMYFUNCTION("""COMPUTED_VALUE"""),"اسلام اور اہل بیت ")</f>
        <v>اسلام اور اہل بیت </v>
      </c>
      <c r="W646" s="10" t="str">
        <f>IFERROR(__xludf.DUMMYFUNCTION("""COMPUTED_VALUE"""),"امام نے اپنے بیان میں بتایا ہے کہ ولی اللہ وہ ہیں جن کو کوئی خوف کوئی غم نہیں ان کے لیے دنیا میں بھی اور آخرت میں بھی خوشخبری ہے حضور پاک صلی اللہ علیہ وسلم نے فرمایا کہ اہل بیت سے محبت کرنے والا کامل مومن ہیں")</f>
        <v>امام نے اپنے بیان میں بتایا ہے کہ ولی اللہ وہ ہیں جن کو کوئی خوف کوئی غم نہیں ان کے لیے دنیا میں بھی اور آخرت میں بھی خوشخبری ہے حضور پاک صلی اللہ علیہ وسلم نے فرمایا کہ اہل بیت سے محبت کرنے والا کامل مومن ہیں</v>
      </c>
      <c r="X646" s="10">
        <f>IFERROR(__xludf.DUMMYFUNCTION("""COMPUTED_VALUE"""),0.0)</f>
        <v>0</v>
      </c>
      <c r="Y646" s="10">
        <f>IFERROR(__xludf.DUMMYFUNCTION("""COMPUTED_VALUE"""),4.0)</f>
        <v>4</v>
      </c>
      <c r="Z646" s="10">
        <f>IFERROR(__xludf.DUMMYFUNCTION("""COMPUTED_VALUE"""),6.0)</f>
        <v>6</v>
      </c>
      <c r="AA646" s="10">
        <f>IFERROR(__xludf.DUMMYFUNCTION("""COMPUTED_VALUE"""),5.0)</f>
        <v>5</v>
      </c>
      <c r="AB646" s="10">
        <f>IFERROR(__xludf.DUMMYFUNCTION("""COMPUTED_VALUE"""),6.0)</f>
        <v>6</v>
      </c>
      <c r="AC646" s="10">
        <f>IFERROR(__xludf.DUMMYFUNCTION("""COMPUTED_VALUE"""),0.0)</f>
        <v>0</v>
      </c>
      <c r="AD646" s="10">
        <f>IFERROR(__xludf.DUMMYFUNCTION("""COMPUTED_VALUE"""),0.0)</f>
        <v>0</v>
      </c>
      <c r="AE646" s="10">
        <f>IFERROR(__xludf.DUMMYFUNCTION("""COMPUTED_VALUE"""),4.0)</f>
        <v>4</v>
      </c>
      <c r="AF646" s="10">
        <f>IFERROR(__xludf.DUMMYFUNCTION("""COMPUTED_VALUE"""),0.0)</f>
        <v>0</v>
      </c>
      <c r="AG646" s="10">
        <f>IFERROR(__xludf.DUMMYFUNCTION("""COMPUTED_VALUE"""),9.0)</f>
        <v>9</v>
      </c>
      <c r="AH646" s="10">
        <f>IFERROR(__xludf.DUMMYFUNCTION("""COMPUTED_VALUE"""),0.0)</f>
        <v>0</v>
      </c>
      <c r="AI646" s="10">
        <f>IFERROR(__xludf.DUMMYFUNCTION("""COMPUTED_VALUE"""),9.0)</f>
        <v>9</v>
      </c>
      <c r="AJ646" s="11" t="str">
        <f>IFERROR(__xludf.DUMMYFUNCTION("""COMPUTED_VALUE"""),"https://drive.google.com/open?id=1Ybxm8csoNsZrUfpEYgOPUGBX0DJFOAmQe8LbzvoCN3k")</f>
        <v>https://drive.google.com/open?id=1Ybxm8csoNsZrUfpEYgOPUGBX0DJFOAmQe8LbzvoCN3k</v>
      </c>
      <c r="AK646" s="12" t="str">
        <f>IFERROR(__xludf.DUMMYFUNCTION("""COMPUTED_VALUE"""),"No ")</f>
        <v>No </v>
      </c>
      <c r="AL646" s="12" t="str">
        <f>IFERROR(__xludf.DUMMYFUNCTION("""COMPUTED_VALUE"""),"Yes")</f>
        <v>Yes</v>
      </c>
      <c r="AM646" s="15">
        <f>IFERROR(__xludf.DUMMYFUNCTION("""COMPUTED_VALUE"""),0.0)</f>
        <v>0</v>
      </c>
      <c r="AN646" s="12" t="str">
        <f>IFERROR(__xludf.DUMMYFUNCTION("""COMPUTED_VALUE"""),"3rd week")</f>
        <v>3rd week</v>
      </c>
      <c r="AO646" s="13">
        <v>3.0</v>
      </c>
      <c r="AX646" s="17"/>
    </row>
    <row r="647">
      <c r="B647" s="9">
        <f>IFERROR(__xludf.DUMMYFUNCTION("""COMPUTED_VALUE"""),45896.85285642361)</f>
        <v>45896.85286</v>
      </c>
      <c r="C647" s="10" t="str">
        <f>IFERROR(__xludf.DUMMYFUNCTION("""COMPUTED_VALUE"""),"Javeria Abbas ")</f>
        <v>Javeria Abbas </v>
      </c>
      <c r="D647" s="10" t="str">
        <f>IFERROR(__xludf.DUMMYFUNCTION("""COMPUTED_VALUE"""),"03211539026")</f>
        <v>03211539026</v>
      </c>
      <c r="E647" s="10" t="str">
        <f>IFERROR(__xludf.DUMMYFUNCTION("""COMPUTED_VALUE"""),"Jamia Masjid Jhok Veenus Multan")</f>
        <v>Jamia Masjid Jhok Veenus Multan</v>
      </c>
      <c r="F647" s="10" t="str">
        <f>IFERROR(__xludf.DUMMYFUNCTION("""COMPUTED_VALUE"""),"zrpyu")</f>
        <v>zrpyu</v>
      </c>
      <c r="G647" s="10" t="str">
        <f>IFERROR(__xludf.DUMMYFUNCTION("""COMPUTED_VALUE"""),"Yes")</f>
        <v>Yes</v>
      </c>
      <c r="H647" s="10">
        <f>IFERROR(__xludf.DUMMYFUNCTION("""COMPUTED_VALUE"""),0.0)</f>
        <v>0</v>
      </c>
      <c r="I647" s="10">
        <f>IFERROR(__xludf.DUMMYFUNCTION("""COMPUTED_VALUE"""),10.0)</f>
        <v>10</v>
      </c>
      <c r="J647" s="10">
        <f>IFERROR(__xludf.DUMMYFUNCTION("""COMPUTED_VALUE"""),7.0)</f>
        <v>7</v>
      </c>
      <c r="K647" s="10">
        <f>IFERROR(__xludf.DUMMYFUNCTION("""COMPUTED_VALUE"""),0.0)</f>
        <v>0</v>
      </c>
      <c r="L647" s="10">
        <f>IFERROR(__xludf.DUMMYFUNCTION("""COMPUTED_VALUE"""),9.0)</f>
        <v>9</v>
      </c>
      <c r="M647" s="10">
        <f>IFERROR(__xludf.DUMMYFUNCTION("""COMPUTED_VALUE"""),0.0)</f>
        <v>0</v>
      </c>
      <c r="N647" s="10">
        <f>IFERROR(__xludf.DUMMYFUNCTION("""COMPUTED_VALUE"""),9.0)</f>
        <v>9</v>
      </c>
      <c r="O647" s="10">
        <f>IFERROR(__xludf.DUMMYFUNCTION("""COMPUTED_VALUE"""),0.0)</f>
        <v>0</v>
      </c>
      <c r="P647" s="10">
        <f>IFERROR(__xludf.DUMMYFUNCTION("""COMPUTED_VALUE"""),9.0)</f>
        <v>9</v>
      </c>
      <c r="Q647" s="10" t="str">
        <f>IFERROR(__xludf.DUMMYFUNCTION("""COMPUTED_VALUE"""),"No")</f>
        <v>No</v>
      </c>
      <c r="R647" s="10" t="str">
        <f>IFERROR(__xludf.DUMMYFUNCTION("""COMPUTED_VALUE"""),"Yes")</f>
        <v>Yes</v>
      </c>
      <c r="S647" s="10" t="str">
        <f>IFERROR(__xludf.DUMMYFUNCTION("""COMPUTED_VALUE"""),"Yes")</f>
        <v>Yes</v>
      </c>
      <c r="T647" s="10">
        <f>IFERROR(__xludf.DUMMYFUNCTION("""COMPUTED_VALUE"""),0.0)</f>
        <v>0</v>
      </c>
      <c r="U647" s="10">
        <f>IFERROR(__xludf.DUMMYFUNCTION("""COMPUTED_VALUE"""),0.0)</f>
        <v>0</v>
      </c>
      <c r="V647" s="10" t="str">
        <f>IFERROR(__xludf.DUMMYFUNCTION("""COMPUTED_VALUE"""),"پڑوسیوں کے حقوق")</f>
        <v>پڑوسیوں کے حقوق</v>
      </c>
      <c r="W647" s="10" t="str">
        <f>IFERROR(__xludf.DUMMYFUNCTION("""COMPUTED_VALUE"""),"پڑوسیوں کے ہم پر بہت سارے حقوق ہیں کہ اگر کوئی پڑوسی بیمار ہو جائے تو اس کی عیادت کے لیے جاؤ اگر کہیں سی فوت ہو جائے تو اس کے جنازے میں شرکت کرو اگر کوئی پڑوسی کو کر چاہیے تو اس کو قرض دو اور اگر کوئی پڑوسی اپ کو اظہار ثانی پہنچائے تو اس پر صبر کرو اللہ ت"&amp;"عالی کو صبر کرنے والے بہت پسند ہیں اور امام نے اخر میں 5اگست کے بارے میں بتایا اور پانچ اگست کے بارے میں بتایا کہ جموں کشمیر پر کس طرح انڈیا نے قبضہ کر لیا")</f>
        <v>پڑوسیوں کے ہم پر بہت سارے حقوق ہیں کہ اگر کوئی پڑوسی بیمار ہو جائے تو اس کی عیادت کے لیے جاؤ اگر کہیں سی فوت ہو جائے تو اس کے جنازے میں شرکت کرو اگر کوئی پڑوسی کو کر چاہیے تو اس کو قرض دو اور اگر کوئی پڑوسی اپ کو اظہار ثانی پہنچائے تو اس پر صبر کرو اللہ تعالی کو صبر کرنے والے بہت پسند ہیں اور امام نے اخر میں 5اگست کے بارے میں بتایا اور پانچ اگست کے بارے میں بتایا کہ جموں کشمیر پر کس طرح انڈیا نے قبضہ کر لیا</v>
      </c>
      <c r="X647" s="10">
        <f>IFERROR(__xludf.DUMMYFUNCTION("""COMPUTED_VALUE"""),5.0)</f>
        <v>5</v>
      </c>
      <c r="Y647" s="10">
        <f>IFERROR(__xludf.DUMMYFUNCTION("""COMPUTED_VALUE"""),2.0)</f>
        <v>2</v>
      </c>
      <c r="Z647" s="10">
        <f>IFERROR(__xludf.DUMMYFUNCTION("""COMPUTED_VALUE"""),9.0)</f>
        <v>9</v>
      </c>
      <c r="AA647" s="10">
        <f>IFERROR(__xludf.DUMMYFUNCTION("""COMPUTED_VALUE"""),9.0)</f>
        <v>9</v>
      </c>
      <c r="AB647" s="10">
        <f>IFERROR(__xludf.DUMMYFUNCTION("""COMPUTED_VALUE"""),2.0)</f>
        <v>2</v>
      </c>
      <c r="AC647" s="10">
        <f>IFERROR(__xludf.DUMMYFUNCTION("""COMPUTED_VALUE"""),0.0)</f>
        <v>0</v>
      </c>
      <c r="AD647" s="10">
        <f>IFERROR(__xludf.DUMMYFUNCTION("""COMPUTED_VALUE"""),0.0)</f>
        <v>0</v>
      </c>
      <c r="AE647" s="10">
        <f>IFERROR(__xludf.DUMMYFUNCTION("""COMPUTED_VALUE"""),0.0)</f>
        <v>0</v>
      </c>
      <c r="AF647" s="10">
        <f>IFERROR(__xludf.DUMMYFUNCTION("""COMPUTED_VALUE"""),0.0)</f>
        <v>0</v>
      </c>
      <c r="AG647" s="10">
        <f>IFERROR(__xludf.DUMMYFUNCTION("""COMPUTED_VALUE"""),9.0)</f>
        <v>9</v>
      </c>
      <c r="AH647" s="10">
        <f>IFERROR(__xludf.DUMMYFUNCTION("""COMPUTED_VALUE"""),0.0)</f>
        <v>0</v>
      </c>
      <c r="AI647" s="10">
        <f>IFERROR(__xludf.DUMMYFUNCTION("""COMPUTED_VALUE"""),9.0)</f>
        <v>9</v>
      </c>
      <c r="AJ647" s="11" t="str">
        <f>IFERROR(__xludf.DUMMYFUNCTION("""COMPUTED_VALUE"""),"https://drive.google.com/open?id=1_AnbHGQuL5q1l7kwr9HwHmR26jy9XLz1COFMW0uR5Ts")</f>
        <v>https://drive.google.com/open?id=1_AnbHGQuL5q1l7kwr9HwHmR26jy9XLz1COFMW0uR5Ts</v>
      </c>
      <c r="AK647" s="12" t="str">
        <f>IFERROR(__xludf.DUMMYFUNCTION("""COMPUTED_VALUE"""),"Voice clear nhi thi ")</f>
        <v>Voice clear nhi thi </v>
      </c>
      <c r="AL647" s="12" t="str">
        <f>IFERROR(__xludf.DUMMYFUNCTION("""COMPUTED_VALUE"""),"Yes")</f>
        <v>Yes</v>
      </c>
      <c r="AM647" s="15">
        <f>IFERROR(__xludf.DUMMYFUNCTION("""COMPUTED_VALUE"""),0.0)</f>
        <v>0</v>
      </c>
      <c r="AN647" s="12" t="str">
        <f>IFERROR(__xludf.DUMMYFUNCTION("""COMPUTED_VALUE"""),"2nd week")</f>
        <v>2nd week</v>
      </c>
      <c r="AO647" s="13">
        <v>2.0</v>
      </c>
      <c r="AX647" s="17"/>
    </row>
    <row r="648">
      <c r="B648" s="9">
        <f>IFERROR(__xludf.DUMMYFUNCTION("""COMPUTED_VALUE"""),45896.89242909722)</f>
        <v>45896.89243</v>
      </c>
      <c r="C648" s="10" t="str">
        <f>IFERROR(__xludf.DUMMYFUNCTION("""COMPUTED_VALUE"""),"Javeria Abbas ")</f>
        <v>Javeria Abbas </v>
      </c>
      <c r="D648" s="10" t="str">
        <f>IFERROR(__xludf.DUMMYFUNCTION("""COMPUTED_VALUE"""),"03211539027")</f>
        <v>03211539027</v>
      </c>
      <c r="E648" s="10" t="str">
        <f>IFERROR(__xludf.DUMMYFUNCTION("""COMPUTED_VALUE"""),"Jamia Masjid Baba Taj Ul Din Sarwar Chasti")</f>
        <v>Jamia Masjid Baba Taj Ul Din Sarwar Chasti</v>
      </c>
      <c r="F648" s="10" t="str">
        <f>IFERROR(__xludf.DUMMYFUNCTION("""COMPUTED_VALUE"""),"uvkdx")</f>
        <v>uvkdx</v>
      </c>
      <c r="G648" s="10" t="str">
        <f>IFERROR(__xludf.DUMMYFUNCTION("""COMPUTED_VALUE"""),"Yes")</f>
        <v>Yes</v>
      </c>
      <c r="H648" s="10">
        <f>IFERROR(__xludf.DUMMYFUNCTION("""COMPUTED_VALUE"""),0.0)</f>
        <v>0</v>
      </c>
      <c r="I648" s="10">
        <f>IFERROR(__xludf.DUMMYFUNCTION("""COMPUTED_VALUE"""),10.0)</f>
        <v>10</v>
      </c>
      <c r="J648" s="10">
        <f>IFERROR(__xludf.DUMMYFUNCTION("""COMPUTED_VALUE"""),8.0)</f>
        <v>8</v>
      </c>
      <c r="K648" s="10">
        <f>IFERROR(__xludf.DUMMYFUNCTION("""COMPUTED_VALUE"""),0.0)</f>
        <v>0</v>
      </c>
      <c r="L648" s="10">
        <f>IFERROR(__xludf.DUMMYFUNCTION("""COMPUTED_VALUE"""),10.0)</f>
        <v>10</v>
      </c>
      <c r="M648" s="10">
        <f>IFERROR(__xludf.DUMMYFUNCTION("""COMPUTED_VALUE"""),0.0)</f>
        <v>0</v>
      </c>
      <c r="N648" s="10">
        <f>IFERROR(__xludf.DUMMYFUNCTION("""COMPUTED_VALUE"""),10.0)</f>
        <v>10</v>
      </c>
      <c r="O648" s="10">
        <f>IFERROR(__xludf.DUMMYFUNCTION("""COMPUTED_VALUE"""),0.0)</f>
        <v>0</v>
      </c>
      <c r="P648" s="10">
        <f>IFERROR(__xludf.DUMMYFUNCTION("""COMPUTED_VALUE"""),10.0)</f>
        <v>10</v>
      </c>
      <c r="Q648" s="10" t="str">
        <f>IFERROR(__xludf.DUMMYFUNCTION("""COMPUTED_VALUE"""),"No")</f>
        <v>No</v>
      </c>
      <c r="R648" s="10" t="str">
        <f>IFERROR(__xludf.DUMMYFUNCTION("""COMPUTED_VALUE"""),"Yes")</f>
        <v>Yes</v>
      </c>
      <c r="S648" s="10" t="str">
        <f>IFERROR(__xludf.DUMMYFUNCTION("""COMPUTED_VALUE"""),"Yes")</f>
        <v>Yes</v>
      </c>
      <c r="T648" s="10">
        <f>IFERROR(__xludf.DUMMYFUNCTION("""COMPUTED_VALUE"""),0.0)</f>
        <v>0</v>
      </c>
      <c r="U648" s="10">
        <f>IFERROR(__xludf.DUMMYFUNCTION("""COMPUTED_VALUE"""),0.0)</f>
        <v>0</v>
      </c>
      <c r="V648" s="10" t="str">
        <f>IFERROR(__xludf.DUMMYFUNCTION("""COMPUTED_VALUE"""),"پڑوسیوں کے اور اہل محلہ کے حقوق")</f>
        <v>پڑوسیوں کے اور اہل محلہ کے حقوق</v>
      </c>
      <c r="W648" s="10" t="str">
        <f>IFERROR(__xludf.DUMMYFUNCTION("""COMPUTED_VALUE"""),"پڑوسیوں کا ہم پر سب سے زیادہ حقوق ہے پڑوسیوں کے حقوق میں ان کی تیمارداری اگر کوئی فوت ہو جائے تو اس کا پتہ لینے جائیں اس کے ساتھ غم میں شریک ہوں اگر خوش ہے تو خوشی بانٹیں اگر غم ہے تو غمی بانٹیں اگر قرضہ چاہیے تو قرضہ دیں محلے کو صاف رکھیں ا کچرا نہ پھیلا"&amp;"ئیں ایک دوسرے کے ساتھ اچھے تعلقات رکھیں حسن سلوک کے ساتھ پیش ائیں")</f>
        <v>پڑوسیوں کا ہم پر سب سے زیادہ حقوق ہے پڑوسیوں کے حقوق میں ان کی تیمارداری اگر کوئی فوت ہو جائے تو اس کا پتہ لینے جائیں اس کے ساتھ غم میں شریک ہوں اگر خوش ہے تو خوشی بانٹیں اگر غم ہے تو غمی بانٹیں اگر قرضہ چاہیے تو قرضہ دیں محلے کو صاف رکھیں ا کچرا نہ پھیلائیں ایک دوسرے کے ساتھ اچھے تعلقات رکھیں حسن سلوک کے ساتھ پیش ائیں</v>
      </c>
      <c r="X648" s="10">
        <f>IFERROR(__xludf.DUMMYFUNCTION("""COMPUTED_VALUE"""),2.0)</f>
        <v>2</v>
      </c>
      <c r="Y648" s="10">
        <f>IFERROR(__xludf.DUMMYFUNCTION("""COMPUTED_VALUE"""),0.0)</f>
        <v>0</v>
      </c>
      <c r="Z648" s="10">
        <f>IFERROR(__xludf.DUMMYFUNCTION("""COMPUTED_VALUE"""),8.0)</f>
        <v>8</v>
      </c>
      <c r="AA648" s="10">
        <f>IFERROR(__xludf.DUMMYFUNCTION("""COMPUTED_VALUE"""),9.0)</f>
        <v>9</v>
      </c>
      <c r="AB648" s="10">
        <f>IFERROR(__xludf.DUMMYFUNCTION("""COMPUTED_VALUE"""),5.0)</f>
        <v>5</v>
      </c>
      <c r="AC648" s="10">
        <f>IFERROR(__xludf.DUMMYFUNCTION("""COMPUTED_VALUE"""),0.0)</f>
        <v>0</v>
      </c>
      <c r="AD648" s="10">
        <f>IFERROR(__xludf.DUMMYFUNCTION("""COMPUTED_VALUE"""),0.0)</f>
        <v>0</v>
      </c>
      <c r="AE648" s="10">
        <f>IFERROR(__xludf.DUMMYFUNCTION("""COMPUTED_VALUE"""),0.0)</f>
        <v>0</v>
      </c>
      <c r="AF648" s="10">
        <f>IFERROR(__xludf.DUMMYFUNCTION("""COMPUTED_VALUE"""),0.0)</f>
        <v>0</v>
      </c>
      <c r="AG648" s="10">
        <f>IFERROR(__xludf.DUMMYFUNCTION("""COMPUTED_VALUE"""),10.0)</f>
        <v>10</v>
      </c>
      <c r="AH648" s="10">
        <f>IFERROR(__xludf.DUMMYFUNCTION("""COMPUTED_VALUE"""),0.0)</f>
        <v>0</v>
      </c>
      <c r="AI648" s="10">
        <f>IFERROR(__xludf.DUMMYFUNCTION("""COMPUTED_VALUE"""),10.0)</f>
        <v>10</v>
      </c>
      <c r="AJ648" s="11" t="str">
        <f>IFERROR(__xludf.DUMMYFUNCTION("""COMPUTED_VALUE"""),"https://drive.google.com/open?id=1sRQR_0M05dUMTtSsj3weZkjs1UPfhyik3oynMq3Ux4k")</f>
        <v>https://drive.google.com/open?id=1sRQR_0M05dUMTtSsj3weZkjs1UPfhyik3oynMq3Ux4k</v>
      </c>
      <c r="AK648" s="12"/>
      <c r="AL648" s="12" t="str">
        <f>IFERROR(__xludf.DUMMYFUNCTION("""COMPUTED_VALUE"""),"Yes")</f>
        <v>Yes</v>
      </c>
      <c r="AM648" s="15">
        <f>IFERROR(__xludf.DUMMYFUNCTION("""COMPUTED_VALUE"""),0.0)</f>
        <v>0</v>
      </c>
      <c r="AN648" s="12" t="str">
        <f>IFERROR(__xludf.DUMMYFUNCTION("""COMPUTED_VALUE"""),"1st week")</f>
        <v>1st week</v>
      </c>
      <c r="AO648" s="13">
        <v>1.0</v>
      </c>
      <c r="AX648" s="17"/>
    </row>
    <row r="649">
      <c r="B649" s="9">
        <f>IFERROR(__xludf.DUMMYFUNCTION("""COMPUTED_VALUE"""),45897.021122465274)</f>
        <v>45897.02112</v>
      </c>
      <c r="C649" s="10" t="str">
        <f>IFERROR(__xludf.DUMMYFUNCTION("""COMPUTED_VALUE"""),"Atiqa")</f>
        <v>Atiqa</v>
      </c>
      <c r="D649" s="10" t="str">
        <f>IFERROR(__xludf.DUMMYFUNCTION("""COMPUTED_VALUE"""),"03157519977")</f>
        <v>03157519977</v>
      </c>
      <c r="E649" s="10" t="str">
        <f>IFERROR(__xludf.DUMMYFUNCTION("""COMPUTED_VALUE"""),"Jamia Masjid Anayat Walayat Multan ")</f>
        <v>Jamia Masjid Anayat Walayat Multan </v>
      </c>
      <c r="F649" s="10" t="str">
        <f>IFERROR(__xludf.DUMMYFUNCTION("""COMPUTED_VALUE"""),"meepx")</f>
        <v>meepx</v>
      </c>
      <c r="G649" s="10" t="str">
        <f>IFERROR(__xludf.DUMMYFUNCTION("""COMPUTED_VALUE"""),"Yes")</f>
        <v>Yes</v>
      </c>
      <c r="H649" s="10">
        <f>IFERROR(__xludf.DUMMYFUNCTION("""COMPUTED_VALUE"""),8.0)</f>
        <v>8</v>
      </c>
      <c r="I649" s="10">
        <f>IFERROR(__xludf.DUMMYFUNCTION("""COMPUTED_VALUE"""),2.0)</f>
        <v>2</v>
      </c>
      <c r="J649" s="10">
        <f>IFERROR(__xludf.DUMMYFUNCTION("""COMPUTED_VALUE"""),9.0)</f>
        <v>9</v>
      </c>
      <c r="K649" s="10">
        <f>IFERROR(__xludf.DUMMYFUNCTION("""COMPUTED_VALUE"""),8.0)</f>
        <v>8</v>
      </c>
      <c r="L649" s="10">
        <f>IFERROR(__xludf.DUMMYFUNCTION("""COMPUTED_VALUE"""),0.0)</f>
        <v>0</v>
      </c>
      <c r="M649" s="10">
        <f>IFERROR(__xludf.DUMMYFUNCTION("""COMPUTED_VALUE"""),6.0)</f>
        <v>6</v>
      </c>
      <c r="N649" s="10">
        <f>IFERROR(__xludf.DUMMYFUNCTION("""COMPUTED_VALUE"""),0.0)</f>
        <v>0</v>
      </c>
      <c r="O649" s="10">
        <f>IFERROR(__xludf.DUMMYFUNCTION("""COMPUTED_VALUE"""),7.0)</f>
        <v>7</v>
      </c>
      <c r="P649" s="10">
        <f>IFERROR(__xludf.DUMMYFUNCTION("""COMPUTED_VALUE"""),0.0)</f>
        <v>0</v>
      </c>
      <c r="Q649" s="10" t="str">
        <f>IFERROR(__xludf.DUMMYFUNCTION("""COMPUTED_VALUE"""),"Yes")</f>
        <v>Yes</v>
      </c>
      <c r="R649" s="10" t="str">
        <f>IFERROR(__xludf.DUMMYFUNCTION("""COMPUTED_VALUE"""),"No")</f>
        <v>No</v>
      </c>
      <c r="S649" s="10" t="str">
        <f>IFERROR(__xludf.DUMMYFUNCTION("""COMPUTED_VALUE"""),"Yes")</f>
        <v>Yes</v>
      </c>
      <c r="T649" s="10">
        <f>IFERROR(__xludf.DUMMYFUNCTION("""COMPUTED_VALUE"""),0.0)</f>
        <v>0</v>
      </c>
      <c r="U649" s="10">
        <f>IFERROR(__xludf.DUMMYFUNCTION("""COMPUTED_VALUE"""),0.0)</f>
        <v>0</v>
      </c>
      <c r="V649" s="10" t="str">
        <f>IFERROR(__xludf.DUMMYFUNCTION("""COMPUTED_VALUE"""),"عورتوں کے حقوق اور معاشرے میں ان کا کردار ")</f>
        <v>عورتوں کے حقوق اور معاشرے میں ان کا کردار </v>
      </c>
      <c r="W649" s="10" t="str">
        <f>IFERROR(__xludf.DUMMYFUNCTION("""COMPUTED_VALUE"""),"قبل از اسلام عورتوں کے ساتھ برا سلوک اور بیٹی کی پیدائش پر زندہ درگور کرنے کا رسم و رواج ، اپ ﷺ کا اپنے بیٹی اور رضائی بہن جو جنگ حنین کے موقع پر قیدیوں کے ساتھ ائی تھی کہ احترام میں چادر بچھانا ، ماں کا درجہ اور بیٹی کی پرورش پر جنت کی ضمانت ، مردوں کی ط"&amp;"رح عورتوں کی تعلیم کو لازم قرار دینا اور مسجد میں موجود حضرات سے اپنے گھر والوں کو بتانے کی تاکید کی گئی ۔")</f>
        <v>قبل از اسلام عورتوں کے ساتھ برا سلوک اور بیٹی کی پیدائش پر زندہ درگور کرنے کا رسم و رواج ، اپ ﷺ کا اپنے بیٹی اور رضائی بہن جو جنگ حنین کے موقع پر قیدیوں کے ساتھ ائی تھی کہ احترام میں چادر بچھانا ، ماں کا درجہ اور بیٹی کی پرورش پر جنت کی ضمانت ، مردوں کی طرح عورتوں کی تعلیم کو لازم قرار دینا اور مسجد میں موجود حضرات سے اپنے گھر والوں کو بتانے کی تاکید کی گئی ۔</v>
      </c>
      <c r="X649" s="10">
        <f>IFERROR(__xludf.DUMMYFUNCTION("""COMPUTED_VALUE"""),0.0)</f>
        <v>0</v>
      </c>
      <c r="Y649" s="10">
        <f>IFERROR(__xludf.DUMMYFUNCTION("""COMPUTED_VALUE"""),3.0)</f>
        <v>3</v>
      </c>
      <c r="Z649" s="10">
        <f>IFERROR(__xludf.DUMMYFUNCTION("""COMPUTED_VALUE"""),4.0)</f>
        <v>4</v>
      </c>
      <c r="AA649" s="10">
        <f>IFERROR(__xludf.DUMMYFUNCTION("""COMPUTED_VALUE"""),9.0)</f>
        <v>9</v>
      </c>
      <c r="AB649" s="10">
        <f>IFERROR(__xludf.DUMMYFUNCTION("""COMPUTED_VALUE"""),6.0)</f>
        <v>6</v>
      </c>
      <c r="AC649" s="10">
        <f>IFERROR(__xludf.DUMMYFUNCTION("""COMPUTED_VALUE"""),0.0)</f>
        <v>0</v>
      </c>
      <c r="AD649" s="10">
        <f>IFERROR(__xludf.DUMMYFUNCTION("""COMPUTED_VALUE"""),0.0)</f>
        <v>0</v>
      </c>
      <c r="AE649" s="10">
        <f>IFERROR(__xludf.DUMMYFUNCTION("""COMPUTED_VALUE"""),0.0)</f>
        <v>0</v>
      </c>
      <c r="AF649" s="10">
        <f>IFERROR(__xludf.DUMMYFUNCTION("""COMPUTED_VALUE"""),0.0)</f>
        <v>0</v>
      </c>
      <c r="AG649" s="10">
        <f>IFERROR(__xludf.DUMMYFUNCTION("""COMPUTED_VALUE"""),9.0)</f>
        <v>9</v>
      </c>
      <c r="AH649" s="10">
        <f>IFERROR(__xludf.DUMMYFUNCTION("""COMPUTED_VALUE"""),0.0)</f>
        <v>0</v>
      </c>
      <c r="AI649" s="10">
        <f>IFERROR(__xludf.DUMMYFUNCTION("""COMPUTED_VALUE"""),10.0)</f>
        <v>10</v>
      </c>
      <c r="AJ649" s="11" t="str">
        <f>IFERROR(__xludf.DUMMYFUNCTION("""COMPUTED_VALUE"""),"https://drive.google.com/open?id=1paWa37wpdIiS_Q4kPN1yo4Xoiz1FKhP8X4EJELWwn5Q")</f>
        <v>https://drive.google.com/open?id=1paWa37wpdIiS_Q4kPN1yo4Xoiz1FKhP8X4EJELWwn5Q</v>
      </c>
      <c r="AK649" s="12"/>
      <c r="AL649" s="12" t="str">
        <f>IFERROR(__xludf.DUMMYFUNCTION("""COMPUTED_VALUE"""),"Yes")</f>
        <v>Yes</v>
      </c>
      <c r="AM649" s="15">
        <f>IFERROR(__xludf.DUMMYFUNCTION("""COMPUTED_VALUE"""),0.9)</f>
        <v>0.9</v>
      </c>
      <c r="AN649" s="12" t="str">
        <f>IFERROR(__xludf.DUMMYFUNCTION("""COMPUTED_VALUE"""),"3rd week")</f>
        <v>3rd week</v>
      </c>
      <c r="AO649" s="13">
        <v>3.0</v>
      </c>
      <c r="AX649" s="17"/>
    </row>
    <row r="650">
      <c r="B650" s="9">
        <f>IFERROR(__xludf.DUMMYFUNCTION("""COMPUTED_VALUE"""),45897.03769840278)</f>
        <v>45897.0377</v>
      </c>
      <c r="C650" s="10" t="str">
        <f>IFERROR(__xludf.DUMMYFUNCTION("""COMPUTED_VALUE"""),"Atiqa")</f>
        <v>Atiqa</v>
      </c>
      <c r="D650" s="10" t="str">
        <f>IFERROR(__xludf.DUMMYFUNCTION("""COMPUTED_VALUE"""),"03157519977")</f>
        <v>03157519977</v>
      </c>
      <c r="E650" s="10" t="str">
        <f>IFERROR(__xludf.DUMMYFUNCTION("""COMPUTED_VALUE"""),"Jamia Masjid Sarai Ghulam Rasool Multan")</f>
        <v>Jamia Masjid Sarai Ghulam Rasool Multan</v>
      </c>
      <c r="F650" s="10" t="str">
        <f>IFERROR(__xludf.DUMMYFUNCTION("""COMPUTED_VALUE"""),"jbeid")</f>
        <v>jbeid</v>
      </c>
      <c r="G650" s="10" t="str">
        <f>IFERROR(__xludf.DUMMYFUNCTION("""COMPUTED_VALUE"""),"Yes")</f>
        <v>Yes</v>
      </c>
      <c r="H650" s="10">
        <f>IFERROR(__xludf.DUMMYFUNCTION("""COMPUTED_VALUE"""),4.0)</f>
        <v>4</v>
      </c>
      <c r="I650" s="10">
        <f>IFERROR(__xludf.DUMMYFUNCTION("""COMPUTED_VALUE"""),6.0)</f>
        <v>6</v>
      </c>
      <c r="J650" s="10">
        <f>IFERROR(__xludf.DUMMYFUNCTION("""COMPUTED_VALUE"""),6.0)</f>
        <v>6</v>
      </c>
      <c r="K650" s="10">
        <f>IFERROR(__xludf.DUMMYFUNCTION("""COMPUTED_VALUE"""),8.0)</f>
        <v>8</v>
      </c>
      <c r="L650" s="10">
        <f>IFERROR(__xludf.DUMMYFUNCTION("""COMPUTED_VALUE"""),0.0)</f>
        <v>0</v>
      </c>
      <c r="M650" s="10">
        <f>IFERROR(__xludf.DUMMYFUNCTION("""COMPUTED_VALUE"""),4.0)</f>
        <v>4</v>
      </c>
      <c r="N650" s="10">
        <f>IFERROR(__xludf.DUMMYFUNCTION("""COMPUTED_VALUE"""),0.0)</f>
        <v>0</v>
      </c>
      <c r="O650" s="10">
        <f>IFERROR(__xludf.DUMMYFUNCTION("""COMPUTED_VALUE"""),0.0)</f>
        <v>0</v>
      </c>
      <c r="P650" s="10">
        <f>IFERROR(__xludf.DUMMYFUNCTION("""COMPUTED_VALUE"""),0.0)</f>
        <v>0</v>
      </c>
      <c r="Q650" s="10" t="str">
        <f>IFERROR(__xludf.DUMMYFUNCTION("""COMPUTED_VALUE"""),"No")</f>
        <v>No</v>
      </c>
      <c r="R650" s="10" t="str">
        <f>IFERROR(__xludf.DUMMYFUNCTION("""COMPUTED_VALUE"""),"No")</f>
        <v>No</v>
      </c>
      <c r="S650" s="10" t="str">
        <f>IFERROR(__xludf.DUMMYFUNCTION("""COMPUTED_VALUE"""),"No")</f>
        <v>No</v>
      </c>
      <c r="T650" s="10">
        <f>IFERROR(__xludf.DUMMYFUNCTION("""COMPUTED_VALUE"""),0.0)</f>
        <v>0</v>
      </c>
      <c r="U650" s="10">
        <f>IFERROR(__xludf.DUMMYFUNCTION("""COMPUTED_VALUE"""),0.0)</f>
        <v>0</v>
      </c>
      <c r="V650" s="10" t="str">
        <f>IFERROR(__xludf.DUMMYFUNCTION("""COMPUTED_VALUE"""),"عورتوں کے حقوق اور موجودہ معاشرہ ")</f>
        <v>عورتوں کے حقوق اور موجودہ معاشرہ </v>
      </c>
      <c r="W650" s="10" t="str">
        <f>IFERROR(__xludf.DUMMYFUNCTION("""COMPUTED_VALUE"""),"قبل اسلام کی تہذیبوں میں عورت کے ساتھ سلوک اور غالب اسلام سے عورتوں کی حیثیت ماں بہن بیوی بیٹی کو اس کا مقام و مرتبہ ملنا ، جنگ حنین کے موقع پر اسیر ہونے والی اپنی رضائی بہن کے ساتھ اپ ﷺ کا سلوک ، معاشرہ جو خود کو ترقی یافتہ اور چاند پر کمند ڈال رہا ہے اگ"&amp;"ر عورت کو مقام و مرتبہ نہ دے تو اس کا کوئی فائدہ نہیں ، معاشرے میں رونما ہونے والا واقعہ جس جہاں عورت کو پسند کی شادی پر گولیوں سے قتل کیا گیا اور امام کا انکھوں دیکھا ایکسیڈنٹ کا واقعہ جہاں عوام مدد کی بجائے ویڈیو بنانے میں مشغول رہی ۔")</f>
        <v>قبل اسلام کی تہذیبوں میں عورت کے ساتھ سلوک اور غالب اسلام سے عورتوں کی حیثیت ماں بہن بیوی بیٹی کو اس کا مقام و مرتبہ ملنا ، جنگ حنین کے موقع پر اسیر ہونے والی اپنی رضائی بہن کے ساتھ اپ ﷺ کا سلوک ، معاشرہ جو خود کو ترقی یافتہ اور چاند پر کمند ڈال رہا ہے اگر عورت کو مقام و مرتبہ نہ دے تو اس کا کوئی فائدہ نہیں ، معاشرے میں رونما ہونے والا واقعہ جس جہاں عورت کو پسند کی شادی پر گولیوں سے قتل کیا گیا اور امام کا انکھوں دیکھا ایکسیڈنٹ کا واقعہ جہاں عوام مدد کی بجائے ویڈیو بنانے میں مشغول رہی ۔</v>
      </c>
      <c r="X650" s="10">
        <f>IFERROR(__xludf.DUMMYFUNCTION("""COMPUTED_VALUE"""),0.0)</f>
        <v>0</v>
      </c>
      <c r="Y650" s="10">
        <f>IFERROR(__xludf.DUMMYFUNCTION("""COMPUTED_VALUE"""),3.0)</f>
        <v>3</v>
      </c>
      <c r="Z650" s="10">
        <f>IFERROR(__xludf.DUMMYFUNCTION("""COMPUTED_VALUE"""),6.0)</f>
        <v>6</v>
      </c>
      <c r="AA650" s="10">
        <f>IFERROR(__xludf.DUMMYFUNCTION("""COMPUTED_VALUE"""),3.0)</f>
        <v>3</v>
      </c>
      <c r="AB650" s="10">
        <f>IFERROR(__xludf.DUMMYFUNCTION("""COMPUTED_VALUE"""),4.0)</f>
        <v>4</v>
      </c>
      <c r="AC650" s="10">
        <f>IFERROR(__xludf.DUMMYFUNCTION("""COMPUTED_VALUE"""),0.0)</f>
        <v>0</v>
      </c>
      <c r="AD650" s="10">
        <f>IFERROR(__xludf.DUMMYFUNCTION("""COMPUTED_VALUE"""),0.0)</f>
        <v>0</v>
      </c>
      <c r="AE650" s="10">
        <f>IFERROR(__xludf.DUMMYFUNCTION("""COMPUTED_VALUE"""),0.0)</f>
        <v>0</v>
      </c>
      <c r="AF650" s="10">
        <f>IFERROR(__xludf.DUMMYFUNCTION("""COMPUTED_VALUE"""),0.0)</f>
        <v>0</v>
      </c>
      <c r="AG650" s="10">
        <f>IFERROR(__xludf.DUMMYFUNCTION("""COMPUTED_VALUE"""),9.0)</f>
        <v>9</v>
      </c>
      <c r="AH650" s="10">
        <f>IFERROR(__xludf.DUMMYFUNCTION("""COMPUTED_VALUE"""),0.0)</f>
        <v>0</v>
      </c>
      <c r="AI650" s="10">
        <f>IFERROR(__xludf.DUMMYFUNCTION("""COMPUTED_VALUE"""),9.0)</f>
        <v>9</v>
      </c>
      <c r="AJ650" s="11" t="str">
        <f>IFERROR(__xludf.DUMMYFUNCTION("""COMPUTED_VALUE"""),"https://drive.google.com/open?id=1YhR7Yns54ixyuj9w8bOMXyXiYhgbHChqw8pC5Wr2aBM")</f>
        <v>https://drive.google.com/open?id=1YhR7Yns54ixyuj9w8bOMXyXiYhgbHChqw8pC5Wr2aBM</v>
      </c>
      <c r="AK650" s="12"/>
      <c r="AL650" s="12" t="str">
        <f>IFERROR(__xludf.DUMMYFUNCTION("""COMPUTED_VALUE"""),"Yes")</f>
        <v>Yes</v>
      </c>
      <c r="AM650" s="15">
        <f>IFERROR(__xludf.DUMMYFUNCTION("""COMPUTED_VALUE"""),0.4)</f>
        <v>0.4</v>
      </c>
      <c r="AN650" s="12" t="str">
        <f>IFERROR(__xludf.DUMMYFUNCTION("""COMPUTED_VALUE"""),"3rd week")</f>
        <v>3rd week</v>
      </c>
      <c r="AO650" s="13">
        <v>3.0</v>
      </c>
      <c r="AX650" s="17"/>
    </row>
    <row r="651">
      <c r="B651" s="9">
        <f>IFERROR(__xludf.DUMMYFUNCTION("""COMPUTED_VALUE"""),45897.16045846065)</f>
        <v>45897.16046</v>
      </c>
      <c r="C651" s="10" t="str">
        <f>IFERROR(__xludf.DUMMYFUNCTION("""COMPUTED_VALUE"""),"Atiqa")</f>
        <v>Atiqa</v>
      </c>
      <c r="D651" s="10" t="str">
        <f>IFERROR(__xludf.DUMMYFUNCTION("""COMPUTED_VALUE"""),"03157519977")</f>
        <v>03157519977</v>
      </c>
      <c r="E651" s="10" t="str">
        <f>IFERROR(__xludf.DUMMYFUNCTION("""COMPUTED_VALUE"""),"Jamia Masjid Qasba Mural Multan ")</f>
        <v>Jamia Masjid Qasba Mural Multan </v>
      </c>
      <c r="F651" s="10" t="str">
        <f>IFERROR(__xludf.DUMMYFUNCTION("""COMPUTED_VALUE"""),"jspgw")</f>
        <v>jspgw</v>
      </c>
      <c r="G651" s="10" t="str">
        <f>IFERROR(__xludf.DUMMYFUNCTION("""COMPUTED_VALUE"""),"Yes")</f>
        <v>Yes</v>
      </c>
      <c r="H651" s="10">
        <f>IFERROR(__xludf.DUMMYFUNCTION("""COMPUTED_VALUE"""),0.0)</f>
        <v>0</v>
      </c>
      <c r="I651" s="10">
        <f>IFERROR(__xludf.DUMMYFUNCTION("""COMPUTED_VALUE"""),10.0)</f>
        <v>10</v>
      </c>
      <c r="J651" s="10">
        <f>IFERROR(__xludf.DUMMYFUNCTION("""COMPUTED_VALUE"""),0.0)</f>
        <v>0</v>
      </c>
      <c r="K651" s="10">
        <f>IFERROR(__xludf.DUMMYFUNCTION("""COMPUTED_VALUE"""),0.0)</f>
        <v>0</v>
      </c>
      <c r="L651" s="10">
        <f>IFERROR(__xludf.DUMMYFUNCTION("""COMPUTED_VALUE"""),0.0)</f>
        <v>0</v>
      </c>
      <c r="M651" s="10">
        <f>IFERROR(__xludf.DUMMYFUNCTION("""COMPUTED_VALUE"""),0.0)</f>
        <v>0</v>
      </c>
      <c r="N651" s="10">
        <f>IFERROR(__xludf.DUMMYFUNCTION("""COMPUTED_VALUE"""),0.0)</f>
        <v>0</v>
      </c>
      <c r="O651" s="10">
        <f>IFERROR(__xludf.DUMMYFUNCTION("""COMPUTED_VALUE"""),0.0)</f>
        <v>0</v>
      </c>
      <c r="P651" s="10">
        <f>IFERROR(__xludf.DUMMYFUNCTION("""COMPUTED_VALUE"""),0.0)</f>
        <v>0</v>
      </c>
      <c r="Q651" s="10" t="str">
        <f>IFERROR(__xludf.DUMMYFUNCTION("""COMPUTED_VALUE"""),"No")</f>
        <v>No</v>
      </c>
      <c r="R651" s="10" t="str">
        <f>IFERROR(__xludf.DUMMYFUNCTION("""COMPUTED_VALUE"""),"No")</f>
        <v>No</v>
      </c>
      <c r="S651" s="10" t="str">
        <f>IFERROR(__xludf.DUMMYFUNCTION("""COMPUTED_VALUE"""),"No")</f>
        <v>No</v>
      </c>
      <c r="T651" s="10">
        <f>IFERROR(__xludf.DUMMYFUNCTION("""COMPUTED_VALUE"""),0.0)</f>
        <v>0</v>
      </c>
      <c r="U651" s="10">
        <f>IFERROR(__xludf.DUMMYFUNCTION("""COMPUTED_VALUE"""),0.0)</f>
        <v>0</v>
      </c>
      <c r="V651" s="10" t="str">
        <f>IFERROR(__xludf.DUMMYFUNCTION("""COMPUTED_VALUE"""),"کوفے والوں کے خطوط پر حسین رضی اللہ تعالی عنہ کی ہجرت اور شہادت ")</f>
        <v>کوفے والوں کے خطوط پر حسین رضی اللہ تعالی عنہ کی ہجرت اور شہادت </v>
      </c>
      <c r="W651" s="10" t="str">
        <f>IFERROR(__xludf.DUMMYFUNCTION("""COMPUTED_VALUE"""),"یزید کا قاصد کے ہاتھ بیت کے لیے مدینہ پیغام بھیجنا اور کوفے والوں کا یزید کی مخالفت کرتے ہوئے خطوط بھیجنا ، مسلم بن عقیل کا حالات کا جائزہ لینے کے لیے جانا اور ان کا شہادت پانا ، حسین رضی اللہ تعالی عنہ کا اپنے قبیلے اور خاندان والوں کے ساتھ ہجرت اور یزید"&amp;" کے لشکر کا راستے میں روکنا اور پھر پانچ ہزار کے لشکر کے ساتھ ٹکڑاؤ کے مقابلے میں شہادت پانا ، اور ہم مسلمانوں کو صبر کرتے ہوئے اللہ سے رجوع کرتے رہنا چاہیے ۔ ")</f>
        <v>یزید کا قاصد کے ہاتھ بیت کے لیے مدینہ پیغام بھیجنا اور کوفے والوں کا یزید کی مخالفت کرتے ہوئے خطوط بھیجنا ، مسلم بن عقیل کا حالات کا جائزہ لینے کے لیے جانا اور ان کا شہادت پانا ، حسین رضی اللہ تعالی عنہ کا اپنے قبیلے اور خاندان والوں کے ساتھ ہجرت اور یزید کے لشکر کا راستے میں روکنا اور پھر پانچ ہزار کے لشکر کے ساتھ ٹکڑاؤ کے مقابلے میں شہادت پانا ، اور ہم مسلمانوں کو صبر کرتے ہوئے اللہ سے رجوع کرتے رہنا چاہیے ۔ </v>
      </c>
      <c r="X651" s="10">
        <f>IFERROR(__xludf.DUMMYFUNCTION("""COMPUTED_VALUE"""),0.0)</f>
        <v>0</v>
      </c>
      <c r="Y651" s="10">
        <f>IFERROR(__xludf.DUMMYFUNCTION("""COMPUTED_VALUE"""),5.0)</f>
        <v>5</v>
      </c>
      <c r="Z651" s="10">
        <f>IFERROR(__xludf.DUMMYFUNCTION("""COMPUTED_VALUE"""),1.0)</f>
        <v>1</v>
      </c>
      <c r="AA651" s="10">
        <f>IFERROR(__xludf.DUMMYFUNCTION("""COMPUTED_VALUE"""),6.0)</f>
        <v>6</v>
      </c>
      <c r="AB651" s="10">
        <f>IFERROR(__xludf.DUMMYFUNCTION("""COMPUTED_VALUE"""),9.0)</f>
        <v>9</v>
      </c>
      <c r="AC651" s="10">
        <f>IFERROR(__xludf.DUMMYFUNCTION("""COMPUTED_VALUE"""),0.0)</f>
        <v>0</v>
      </c>
      <c r="AD651" s="10">
        <f>IFERROR(__xludf.DUMMYFUNCTION("""COMPUTED_VALUE"""),0.0)</f>
        <v>0</v>
      </c>
      <c r="AE651" s="10">
        <f>IFERROR(__xludf.DUMMYFUNCTION("""COMPUTED_VALUE"""),4.0)</f>
        <v>4</v>
      </c>
      <c r="AF651" s="10">
        <f>IFERROR(__xludf.DUMMYFUNCTION("""COMPUTED_VALUE"""),0.0)</f>
        <v>0</v>
      </c>
      <c r="AG651" s="10">
        <f>IFERROR(__xludf.DUMMYFUNCTION("""COMPUTED_VALUE"""),9.0)</f>
        <v>9</v>
      </c>
      <c r="AH651" s="10">
        <f>IFERROR(__xludf.DUMMYFUNCTION("""COMPUTED_VALUE"""),0.0)</f>
        <v>0</v>
      </c>
      <c r="AI651" s="10">
        <f>IFERROR(__xludf.DUMMYFUNCTION("""COMPUTED_VALUE"""),9.0)</f>
        <v>9</v>
      </c>
      <c r="AJ651" s="11" t="str">
        <f>IFERROR(__xludf.DUMMYFUNCTION("""COMPUTED_VALUE"""),"https://drive.google.com/open?id=1_4WPpUDE0Yr4FdbGQ2rzqQSPfyWJO6qAmDOoQoamyCs")</f>
        <v>https://drive.google.com/open?id=1_4WPpUDE0Yr4FdbGQ2rzqQSPfyWJO6qAmDOoQoamyCs</v>
      </c>
      <c r="AK651" s="12"/>
      <c r="AL651" s="12" t="str">
        <f>IFERROR(__xludf.DUMMYFUNCTION("""COMPUTED_VALUE"""),"Yes")</f>
        <v>Yes</v>
      </c>
      <c r="AM651" s="15">
        <f>IFERROR(__xludf.DUMMYFUNCTION("""COMPUTED_VALUE"""),0.0)</f>
        <v>0</v>
      </c>
      <c r="AN651" s="12" t="str">
        <f>IFERROR(__xludf.DUMMYFUNCTION("""COMPUTED_VALUE"""),"3rd week")</f>
        <v>3rd week</v>
      </c>
      <c r="AO651" s="13">
        <v>3.0</v>
      </c>
      <c r="AX651" s="17"/>
    </row>
    <row r="652">
      <c r="B652" s="9">
        <f>IFERROR(__xludf.DUMMYFUNCTION("""COMPUTED_VALUE"""),45897.24118091435)</f>
        <v>45897.24118</v>
      </c>
      <c r="C652" s="10" t="str">
        <f>IFERROR(__xludf.DUMMYFUNCTION("""COMPUTED_VALUE"""),"Atiqa")</f>
        <v>Atiqa</v>
      </c>
      <c r="D652" s="10" t="str">
        <f>IFERROR(__xludf.DUMMYFUNCTION("""COMPUTED_VALUE"""),"03157519977")</f>
        <v>03157519977</v>
      </c>
      <c r="E652" s="10" t="str">
        <f>IFERROR(__xludf.DUMMYFUNCTION("""COMPUTED_VALUE"""),"Jamia Masjid Balochaan Wali Multan")</f>
        <v>Jamia Masjid Balochaan Wali Multan</v>
      </c>
      <c r="F652" s="10" t="str">
        <f>IFERROR(__xludf.DUMMYFUNCTION("""COMPUTED_VALUE"""),"anrol")</f>
        <v>anrol</v>
      </c>
      <c r="G652" s="10" t="str">
        <f>IFERROR(__xludf.DUMMYFUNCTION("""COMPUTED_VALUE"""),"Yes")</f>
        <v>Yes</v>
      </c>
      <c r="H652" s="10">
        <f>IFERROR(__xludf.DUMMYFUNCTION("""COMPUTED_VALUE"""),0.0)</f>
        <v>0</v>
      </c>
      <c r="I652" s="10">
        <f>IFERROR(__xludf.DUMMYFUNCTION("""COMPUTED_VALUE"""),10.0)</f>
        <v>10</v>
      </c>
      <c r="J652" s="10">
        <f>IFERROR(__xludf.DUMMYFUNCTION("""COMPUTED_VALUE"""),0.0)</f>
        <v>0</v>
      </c>
      <c r="K652" s="10">
        <f>IFERROR(__xludf.DUMMYFUNCTION("""COMPUTED_VALUE"""),0.0)</f>
        <v>0</v>
      </c>
      <c r="L652" s="10">
        <f>IFERROR(__xludf.DUMMYFUNCTION("""COMPUTED_VALUE"""),0.0)</f>
        <v>0</v>
      </c>
      <c r="M652" s="10">
        <f>IFERROR(__xludf.DUMMYFUNCTION("""COMPUTED_VALUE"""),0.0)</f>
        <v>0</v>
      </c>
      <c r="N652" s="10">
        <f>IFERROR(__xludf.DUMMYFUNCTION("""COMPUTED_VALUE"""),0.0)</f>
        <v>0</v>
      </c>
      <c r="O652" s="10">
        <f>IFERROR(__xludf.DUMMYFUNCTION("""COMPUTED_VALUE"""),0.0)</f>
        <v>0</v>
      </c>
      <c r="P652" s="10">
        <f>IFERROR(__xludf.DUMMYFUNCTION("""COMPUTED_VALUE"""),0.0)</f>
        <v>0</v>
      </c>
      <c r="Q652" s="10" t="str">
        <f>IFERROR(__xludf.DUMMYFUNCTION("""COMPUTED_VALUE"""),"No")</f>
        <v>No</v>
      </c>
      <c r="R652" s="10" t="str">
        <f>IFERROR(__xludf.DUMMYFUNCTION("""COMPUTED_VALUE"""),"No")</f>
        <v>No</v>
      </c>
      <c r="S652" s="10" t="str">
        <f>IFERROR(__xludf.DUMMYFUNCTION("""COMPUTED_VALUE"""),"No")</f>
        <v>No</v>
      </c>
      <c r="T652" s="10">
        <f>IFERROR(__xludf.DUMMYFUNCTION("""COMPUTED_VALUE"""),0.0)</f>
        <v>0</v>
      </c>
      <c r="U652" s="10">
        <f>IFERROR(__xludf.DUMMYFUNCTION("""COMPUTED_VALUE"""),0.0)</f>
        <v>0</v>
      </c>
      <c r="V652" s="10" t="str">
        <f>IFERROR(__xludf.DUMMYFUNCTION("""COMPUTED_VALUE"""),"۱۔ ماہ صفر اور اولیاء کرام ۲۔  قرب الہی حاصل کرنا  ")</f>
        <v>۱۔ ماہ صفر اور اولیاء کرام ۲۔  قرب الہی حاصل کرنا  </v>
      </c>
      <c r="W652" s="10" t="str">
        <f>IFERROR(__xludf.DUMMYFUNCTION("""COMPUTED_VALUE"""),"صفر کے ماہ میں کئی  اولیاء کرام شیخ بہاؤدین زکریا رحمت اللہ علیہ علامہ پیر حامد علی اور داتا علی ہجویری کا عرس مبارک ہے زندگی کا جسم اور روح کا مرکب ہونا اور جسم کے ساتھ روح کا بھی اہتمام کرنا ، داتا علی ہجویری رحمۃ اللہ علیہ کی مسجد کی تعمیر میں قبلے کی "&amp;"رخ کا معاملہ اور اپ رحمت اللہ علیہ کا کعبہ دکھانا ، اتباع رسول صلی اللہ علیہ والہ وسلم اور اخلاق حسنہ سے قرب الہی حاصل کرنا ، فاروق اعظم رضیہ کا مسجد نبوی سے ملو دور لشکر کو ہدایت دے کر فتح دلوانا ، کثرت سے ذکر الہی کرنا لیکن مخلوق خدا کو تنگ کرنے پر جہنم"&amp;" واجب اور فرائض کی ادائیگی کے ساتھ مخلوق خدا کے ساتھ حسن سلوک پر جنت واجب کی بشارت بیان کی گئی ۔ ")</f>
        <v>صفر کے ماہ میں کئی  اولیاء کرام شیخ بہاؤدین زکریا رحمت اللہ علیہ علامہ پیر حامد علی اور داتا علی ہجویری کا عرس مبارک ہے زندگی کا جسم اور روح کا مرکب ہونا اور جسم کے ساتھ روح کا بھی اہتمام کرنا ، داتا علی ہجویری رحمۃ اللہ علیہ کی مسجد کی تعمیر میں قبلے کی رخ کا معاملہ اور اپ رحمت اللہ علیہ کا کعبہ دکھانا ، اتباع رسول صلی اللہ علیہ والہ وسلم اور اخلاق حسنہ سے قرب الہی حاصل کرنا ، فاروق اعظم رضیہ کا مسجد نبوی سے ملو دور لشکر کو ہدایت دے کر فتح دلوانا ، کثرت سے ذکر الہی کرنا لیکن مخلوق خدا کو تنگ کرنے پر جہنم واجب اور فرائض کی ادائیگی کے ساتھ مخلوق خدا کے ساتھ حسن سلوک پر جنت واجب کی بشارت بیان کی گئی ۔ </v>
      </c>
      <c r="X652" s="10">
        <f>IFERROR(__xludf.DUMMYFUNCTION("""COMPUTED_VALUE"""),1.0)</f>
        <v>1</v>
      </c>
      <c r="Y652" s="10">
        <f>IFERROR(__xludf.DUMMYFUNCTION("""COMPUTED_VALUE"""),2.0)</f>
        <v>2</v>
      </c>
      <c r="Z652" s="10">
        <f>IFERROR(__xludf.DUMMYFUNCTION("""COMPUTED_VALUE"""),4.0)</f>
        <v>4</v>
      </c>
      <c r="AA652" s="10">
        <f>IFERROR(__xludf.DUMMYFUNCTION("""COMPUTED_VALUE"""),6.0)</f>
        <v>6</v>
      </c>
      <c r="AB652" s="10">
        <f>IFERROR(__xludf.DUMMYFUNCTION("""COMPUTED_VALUE"""),7.0)</f>
        <v>7</v>
      </c>
      <c r="AC652" s="10">
        <f>IFERROR(__xludf.DUMMYFUNCTION("""COMPUTED_VALUE"""),0.0)</f>
        <v>0</v>
      </c>
      <c r="AD652" s="10">
        <f>IFERROR(__xludf.DUMMYFUNCTION("""COMPUTED_VALUE"""),0.0)</f>
        <v>0</v>
      </c>
      <c r="AE652" s="10">
        <f>IFERROR(__xludf.DUMMYFUNCTION("""COMPUTED_VALUE"""),0.0)</f>
        <v>0</v>
      </c>
      <c r="AF652" s="10">
        <f>IFERROR(__xludf.DUMMYFUNCTION("""COMPUTED_VALUE"""),0.0)</f>
        <v>0</v>
      </c>
      <c r="AG652" s="10">
        <f>IFERROR(__xludf.DUMMYFUNCTION("""COMPUTED_VALUE"""),9.0)</f>
        <v>9</v>
      </c>
      <c r="AH652" s="10">
        <f>IFERROR(__xludf.DUMMYFUNCTION("""COMPUTED_VALUE"""),0.0)</f>
        <v>0</v>
      </c>
      <c r="AI652" s="10">
        <f>IFERROR(__xludf.DUMMYFUNCTION("""COMPUTED_VALUE"""),9.0)</f>
        <v>9</v>
      </c>
      <c r="AJ652" s="11" t="str">
        <f>IFERROR(__xludf.DUMMYFUNCTION("""COMPUTED_VALUE"""),"https://drive.google.com/open?id=1d9I0s3LWZuYYR9rtJTPnTBPCj0S4iRYR0l4rbcGW4hY")</f>
        <v>https://drive.google.com/open?id=1d9I0s3LWZuYYR9rtJTPnTBPCj0S4iRYR0l4rbcGW4hY</v>
      </c>
      <c r="AK652" s="12"/>
      <c r="AL652" s="12" t="str">
        <f>IFERROR(__xludf.DUMMYFUNCTION("""COMPUTED_VALUE"""),"Yes")</f>
        <v>Yes</v>
      </c>
      <c r="AM652" s="15">
        <f>IFERROR(__xludf.DUMMYFUNCTION("""COMPUTED_VALUE"""),0.0)</f>
        <v>0</v>
      </c>
      <c r="AN652" s="12" t="str">
        <f>IFERROR(__xludf.DUMMYFUNCTION("""COMPUTED_VALUE"""),"3rd week")</f>
        <v>3rd week</v>
      </c>
      <c r="AO652" s="13">
        <v>3.0</v>
      </c>
      <c r="AX652" s="17"/>
    </row>
    <row r="653">
      <c r="B653" s="9">
        <f>IFERROR(__xludf.DUMMYFUNCTION("""COMPUTED_VALUE"""),45897.30412734953)</f>
        <v>45897.30413</v>
      </c>
      <c r="C653" s="10" t="str">
        <f>IFERROR(__xludf.DUMMYFUNCTION("""COMPUTED_VALUE"""),"Arti Kumari ")</f>
        <v>Arti Kumari </v>
      </c>
      <c r="D653" s="10" t="str">
        <f>IFERROR(__xludf.DUMMYFUNCTION("""COMPUTED_VALUE"""),"03346661865")</f>
        <v>03346661865</v>
      </c>
      <c r="E653" s="10" t="str">
        <f>IFERROR(__xludf.DUMMYFUNCTION("""COMPUTED_VALUE"""),"Jamia Masjid Shah Sadar ul Din Dera Ghazi Khan ")</f>
        <v>Jamia Masjid Shah Sadar ul Din Dera Ghazi Khan </v>
      </c>
      <c r="F653" s="10" t="str">
        <f>IFERROR(__xludf.DUMMYFUNCTION("""COMPUTED_VALUE"""),"kcaxs")</f>
        <v>kcaxs</v>
      </c>
      <c r="G653" s="10" t="str">
        <f>IFERROR(__xludf.DUMMYFUNCTION("""COMPUTED_VALUE"""),"No")</f>
        <v>No</v>
      </c>
      <c r="H653" s="10"/>
      <c r="I653" s="10"/>
      <c r="J653" s="10"/>
      <c r="K653" s="10">
        <f>IFERROR(__xludf.DUMMYFUNCTION("""COMPUTED_VALUE"""),0.0)</f>
        <v>0</v>
      </c>
      <c r="L653" s="10">
        <f>IFERROR(__xludf.DUMMYFUNCTION("""COMPUTED_VALUE"""),0.0)</f>
        <v>0</v>
      </c>
      <c r="M653" s="10">
        <f>IFERROR(__xludf.DUMMYFUNCTION("""COMPUTED_VALUE"""),0.0)</f>
        <v>0</v>
      </c>
      <c r="N653" s="10">
        <f>IFERROR(__xludf.DUMMYFUNCTION("""COMPUTED_VALUE"""),0.0)</f>
        <v>0</v>
      </c>
      <c r="O653" s="10">
        <f>IFERROR(__xludf.DUMMYFUNCTION("""COMPUTED_VALUE"""),0.0)</f>
        <v>0</v>
      </c>
      <c r="P653" s="10">
        <f>IFERROR(__xludf.DUMMYFUNCTION("""COMPUTED_VALUE"""),0.0)</f>
        <v>0</v>
      </c>
      <c r="Q653" s="10" t="str">
        <f>IFERROR(__xludf.DUMMYFUNCTION("""COMPUTED_VALUE"""),"No")</f>
        <v>No</v>
      </c>
      <c r="R653" s="10" t="str">
        <f>IFERROR(__xludf.DUMMYFUNCTION("""COMPUTED_VALUE"""),"No")</f>
        <v>No</v>
      </c>
      <c r="S653" s="10" t="str">
        <f>IFERROR(__xludf.DUMMYFUNCTION("""COMPUTED_VALUE"""),"No")</f>
        <v>No</v>
      </c>
      <c r="T653" s="10">
        <f>IFERROR(__xludf.DUMMYFUNCTION("""COMPUTED_VALUE"""),0.0)</f>
        <v>0</v>
      </c>
      <c r="U653" s="10">
        <f>IFERROR(__xludf.DUMMYFUNCTION("""COMPUTED_VALUE"""),0.0)</f>
        <v>0</v>
      </c>
      <c r="V653" s="10" t="str">
        <f>IFERROR(__xludf.DUMMYFUNCTION("""COMPUTED_VALUE"""),"ولادین، امانت، جنازہ اور شادی ")</f>
        <v>ولادین، امانت، جنازہ اور شادی </v>
      </c>
      <c r="W653" s="10" t="str">
        <f>IFERROR(__xludf.DUMMYFUNCTION("""COMPUTED_VALUE"""),"امام نے والدین کی خدمت پر بات کی ان کی ہر حال میں خدمت کرو چاہے وہ مسلمان ہو یا کافر اور امانت میں بھی خیانت نا کرو چاہے وہ مسلمان کی ہو یا کافر کی، اسی کے ساتھ جنازے کر بارے میں بتایا کہ اس میں تاخیر نہ کرو اس کا بہت بڑا گناہ ہے اور  اس کے ساتھ ساتھ بتای"&amp;"ا کہ اگر کوئی معبود رشتہ مل جائے تو نکاح میں تاخیر نہ کرو")</f>
        <v>امام نے والدین کی خدمت پر بات کی ان کی ہر حال میں خدمت کرو چاہے وہ مسلمان ہو یا کافر اور امانت میں بھی خیانت نا کرو چاہے وہ مسلمان کی ہو یا کافر کی، اسی کے ساتھ جنازے کر بارے میں بتایا کہ اس میں تاخیر نہ کرو اس کا بہت بڑا گناہ ہے اور  اس کے ساتھ ساتھ بتایا کہ اگر کوئی معبود رشتہ مل جائے تو نکاح میں تاخیر نہ کرو</v>
      </c>
      <c r="X653" s="10">
        <f>IFERROR(__xludf.DUMMYFUNCTION("""COMPUTED_VALUE"""),2.0)</f>
        <v>2</v>
      </c>
      <c r="Y653" s="10">
        <f>IFERROR(__xludf.DUMMYFUNCTION("""COMPUTED_VALUE"""),10.0)</f>
        <v>10</v>
      </c>
      <c r="Z653" s="10">
        <f>IFERROR(__xludf.DUMMYFUNCTION("""COMPUTED_VALUE"""),10.0)</f>
        <v>10</v>
      </c>
      <c r="AA653" s="10">
        <f>IFERROR(__xludf.DUMMYFUNCTION("""COMPUTED_VALUE"""),3.0)</f>
        <v>3</v>
      </c>
      <c r="AB653" s="10">
        <f>IFERROR(__xludf.DUMMYFUNCTION("""COMPUTED_VALUE"""),2.0)</f>
        <v>2</v>
      </c>
      <c r="AC653" s="10">
        <f>IFERROR(__xludf.DUMMYFUNCTION("""COMPUTED_VALUE"""),0.0)</f>
        <v>0</v>
      </c>
      <c r="AD653" s="10">
        <f>IFERROR(__xludf.DUMMYFUNCTION("""COMPUTED_VALUE"""),0.0)</f>
        <v>0</v>
      </c>
      <c r="AE653" s="10">
        <f>IFERROR(__xludf.DUMMYFUNCTION("""COMPUTED_VALUE"""),2.0)</f>
        <v>2</v>
      </c>
      <c r="AF653" s="10">
        <f>IFERROR(__xludf.DUMMYFUNCTION("""COMPUTED_VALUE"""),0.0)</f>
        <v>0</v>
      </c>
      <c r="AG653" s="10">
        <f>IFERROR(__xludf.DUMMYFUNCTION("""COMPUTED_VALUE"""),10.0)</f>
        <v>10</v>
      </c>
      <c r="AH653" s="10">
        <f>IFERROR(__xludf.DUMMYFUNCTION("""COMPUTED_VALUE"""),0.0)</f>
        <v>0</v>
      </c>
      <c r="AI653" s="10">
        <f>IFERROR(__xludf.DUMMYFUNCTION("""COMPUTED_VALUE"""),10.0)</f>
        <v>10</v>
      </c>
      <c r="AJ653" s="11" t="str">
        <f>IFERROR(__xludf.DUMMYFUNCTION("""COMPUTED_VALUE"""),"https://drive.google.com/open?id=1RAdGsGbk5qgk6h5wfDs_cyzfPPeMmE90")</f>
        <v>https://drive.google.com/open?id=1RAdGsGbk5qgk6h5wfDs_cyzfPPeMmE90</v>
      </c>
      <c r="AK653" s="12"/>
      <c r="AL653" s="12"/>
      <c r="AM653" s="12"/>
      <c r="AN653" s="12" t="str">
        <f>IFERROR(__xludf.DUMMYFUNCTION("""COMPUTED_VALUE"""),"3rd week")</f>
        <v>3rd week</v>
      </c>
      <c r="AO653" s="13">
        <v>3.0</v>
      </c>
      <c r="AX653" s="17"/>
    </row>
    <row r="654">
      <c r="B654" s="9">
        <f>IFERROR(__xludf.DUMMYFUNCTION("""COMPUTED_VALUE"""),45897.43146341435)</f>
        <v>45897.43146</v>
      </c>
      <c r="C654" s="10" t="str">
        <f>IFERROR(__xludf.DUMMYFUNCTION("""COMPUTED_VALUE"""),"Atiqa ")</f>
        <v>Atiqa </v>
      </c>
      <c r="D654" s="10" t="str">
        <f>IFERROR(__xludf.DUMMYFUNCTION("""COMPUTED_VALUE"""),"03157519977")</f>
        <v>03157519977</v>
      </c>
      <c r="E654" s="10" t="str">
        <f>IFERROR(__xludf.DUMMYFUNCTION("""COMPUTED_VALUE"""),"Jamia Masjid Qazia Nawali Kehror Pakka")</f>
        <v>Jamia Masjid Qazia Nawali Kehror Pakka</v>
      </c>
      <c r="F654" s="10" t="str">
        <f>IFERROR(__xludf.DUMMYFUNCTION("""COMPUTED_VALUE"""),"xiinw")</f>
        <v>xiinw</v>
      </c>
      <c r="G654" s="10" t="str">
        <f>IFERROR(__xludf.DUMMYFUNCTION("""COMPUTED_VALUE"""),"Yes")</f>
        <v>Yes</v>
      </c>
      <c r="H654" s="10">
        <f>IFERROR(__xludf.DUMMYFUNCTION("""COMPUTED_VALUE"""),0.0)</f>
        <v>0</v>
      </c>
      <c r="I654" s="10">
        <f>IFERROR(__xludf.DUMMYFUNCTION("""COMPUTED_VALUE"""),10.0)</f>
        <v>10</v>
      </c>
      <c r="J654" s="10">
        <f>IFERROR(__xludf.DUMMYFUNCTION("""COMPUTED_VALUE"""),0.0)</f>
        <v>0</v>
      </c>
      <c r="K654" s="10">
        <f>IFERROR(__xludf.DUMMYFUNCTION("""COMPUTED_VALUE"""),0.0)</f>
        <v>0</v>
      </c>
      <c r="L654" s="10">
        <f>IFERROR(__xludf.DUMMYFUNCTION("""COMPUTED_VALUE"""),0.0)</f>
        <v>0</v>
      </c>
      <c r="M654" s="10">
        <f>IFERROR(__xludf.DUMMYFUNCTION("""COMPUTED_VALUE"""),0.0)</f>
        <v>0</v>
      </c>
      <c r="N654" s="10">
        <f>IFERROR(__xludf.DUMMYFUNCTION("""COMPUTED_VALUE"""),0.0)</f>
        <v>0</v>
      </c>
      <c r="O654" s="10">
        <f>IFERROR(__xludf.DUMMYFUNCTION("""COMPUTED_VALUE"""),0.0)</f>
        <v>0</v>
      </c>
      <c r="P654" s="10">
        <f>IFERROR(__xludf.DUMMYFUNCTION("""COMPUTED_VALUE"""),0.0)</f>
        <v>0</v>
      </c>
      <c r="Q654" s="10" t="str">
        <f>IFERROR(__xludf.DUMMYFUNCTION("""COMPUTED_VALUE"""),"No")</f>
        <v>No</v>
      </c>
      <c r="R654" s="10" t="str">
        <f>IFERROR(__xludf.DUMMYFUNCTION("""COMPUTED_VALUE"""),"No")</f>
        <v>No</v>
      </c>
      <c r="S654" s="10" t="str">
        <f>IFERROR(__xludf.DUMMYFUNCTION("""COMPUTED_VALUE"""),"No")</f>
        <v>No</v>
      </c>
      <c r="T654" s="10">
        <f>IFERROR(__xludf.DUMMYFUNCTION("""COMPUTED_VALUE"""),0.0)</f>
        <v>0</v>
      </c>
      <c r="U654" s="10">
        <f>IFERROR(__xludf.DUMMYFUNCTION("""COMPUTED_VALUE"""),0.0)</f>
        <v>0</v>
      </c>
      <c r="V654" s="10" t="str">
        <f>IFERROR(__xludf.DUMMYFUNCTION("""COMPUTED_VALUE"""),"۱۔ نماز جمعہ کی ادائیگی۲۔  غلاموں کے ساتھ سلوک ")</f>
        <v>۱۔ نماز جمعہ کی ادائیگی۲۔  غلاموں کے ساتھ سلوک </v>
      </c>
      <c r="W654" s="10" t="str">
        <f>IFERROR(__xludf.DUMMYFUNCTION("""COMPUTED_VALUE"""),"جمعہ کی نماز کی وقت پر اور خشوع و خضوع سے  ادائیگی پر ثواب ، غلاموں کی غلطی پر معاف کرنے کا اجر ، ایک صحابی کا واقعہ جو غلام کو مارتے ہیں اور اپ صلی اللہ علیہ وسلم کے کہنے پر ازاد کر دیتے ہیں اور اپ صلی اللہ علیہ وسلم کا فرمان کہ اگر ایسا نہ کرتا تو جہنم "&amp;"کی اگ سے لپیٹ لیتی ، بوڑھے شخص کا ادب و احترام کرنا معاشرے میں ہونے والا ہے استاد ماں باپ  بوڑھوں کے ساتھ سلوک اور سوالی کو کھانا پینا دینا اللہ کو دینے کے برابر اور بیمار کی تیمارداری پر 70 ہزار فرشتوں کا دعائے مغفرت کرنا ۔ ")</f>
        <v>جمعہ کی نماز کی وقت پر اور خشوع و خضوع سے  ادائیگی پر ثواب ، غلاموں کی غلطی پر معاف کرنے کا اجر ، ایک صحابی کا واقعہ جو غلام کو مارتے ہیں اور اپ صلی اللہ علیہ وسلم کے کہنے پر ازاد کر دیتے ہیں اور اپ صلی اللہ علیہ وسلم کا فرمان کہ اگر ایسا نہ کرتا تو جہنم کی اگ سے لپیٹ لیتی ، بوڑھے شخص کا ادب و احترام کرنا معاشرے میں ہونے والا ہے استاد ماں باپ  بوڑھوں کے ساتھ سلوک اور سوالی کو کھانا پینا دینا اللہ کو دینے کے برابر اور بیمار کی تیمارداری پر 70 ہزار فرشتوں کا دعائے مغفرت کرنا ۔ </v>
      </c>
      <c r="X654" s="10">
        <f>IFERROR(__xludf.DUMMYFUNCTION("""COMPUTED_VALUE"""),5.0)</f>
        <v>5</v>
      </c>
      <c r="Y654" s="10">
        <f>IFERROR(__xludf.DUMMYFUNCTION("""COMPUTED_VALUE"""),0.0)</f>
        <v>0</v>
      </c>
      <c r="Z654" s="10">
        <f>IFERROR(__xludf.DUMMYFUNCTION("""COMPUTED_VALUE"""),4.0)</f>
        <v>4</v>
      </c>
      <c r="AA654" s="10">
        <f>IFERROR(__xludf.DUMMYFUNCTION("""COMPUTED_VALUE"""),8.0)</f>
        <v>8</v>
      </c>
      <c r="AB654" s="10">
        <f>IFERROR(__xludf.DUMMYFUNCTION("""COMPUTED_VALUE"""),4.0)</f>
        <v>4</v>
      </c>
      <c r="AC654" s="10">
        <f>IFERROR(__xludf.DUMMYFUNCTION("""COMPUTED_VALUE"""),0.0)</f>
        <v>0</v>
      </c>
      <c r="AD654" s="10">
        <f>IFERROR(__xludf.DUMMYFUNCTION("""COMPUTED_VALUE"""),0.0)</f>
        <v>0</v>
      </c>
      <c r="AE654" s="10">
        <f>IFERROR(__xludf.DUMMYFUNCTION("""COMPUTED_VALUE"""),0.0)</f>
        <v>0</v>
      </c>
      <c r="AF654" s="10">
        <f>IFERROR(__xludf.DUMMYFUNCTION("""COMPUTED_VALUE"""),0.0)</f>
        <v>0</v>
      </c>
      <c r="AG654" s="10">
        <f>IFERROR(__xludf.DUMMYFUNCTION("""COMPUTED_VALUE"""),9.0)</f>
        <v>9</v>
      </c>
      <c r="AH654" s="10">
        <f>IFERROR(__xludf.DUMMYFUNCTION("""COMPUTED_VALUE"""),0.0)</f>
        <v>0</v>
      </c>
      <c r="AI654" s="10">
        <f>IFERROR(__xludf.DUMMYFUNCTION("""COMPUTED_VALUE"""),9.0)</f>
        <v>9</v>
      </c>
      <c r="AJ654" s="11" t="str">
        <f>IFERROR(__xludf.DUMMYFUNCTION("""COMPUTED_VALUE"""),"https://drive.google.com/open?id=1UzzXh9-Pd6cHoxtvArDnBXITL4iO20S2qC8Y5ObFsiU")</f>
        <v>https://drive.google.com/open?id=1UzzXh9-Pd6cHoxtvArDnBXITL4iO20S2qC8Y5ObFsiU</v>
      </c>
      <c r="AK654" s="12"/>
      <c r="AL654" s="12" t="str">
        <f>IFERROR(__xludf.DUMMYFUNCTION("""COMPUTED_VALUE"""),"Yes")</f>
        <v>Yes</v>
      </c>
      <c r="AM654" s="15">
        <f>IFERROR(__xludf.DUMMYFUNCTION("""COMPUTED_VALUE"""),0.0)</f>
        <v>0</v>
      </c>
      <c r="AN654" s="12" t="str">
        <f>IFERROR(__xludf.DUMMYFUNCTION("""COMPUTED_VALUE"""),"3rd week")</f>
        <v>3rd week</v>
      </c>
      <c r="AO654" s="13">
        <v>3.0</v>
      </c>
      <c r="AX654" s="17"/>
    </row>
    <row r="655">
      <c r="B655" s="9">
        <f>IFERROR(__xludf.DUMMYFUNCTION("""COMPUTED_VALUE"""),45897.4410770949)</f>
        <v>45897.44108</v>
      </c>
      <c r="C655" s="10" t="str">
        <f>IFERROR(__xludf.DUMMYFUNCTION("""COMPUTED_VALUE"""),"Muqaddas bibi ")</f>
        <v>Muqaddas bibi </v>
      </c>
      <c r="D655" s="10" t="str">
        <f>IFERROR(__xludf.DUMMYFUNCTION("""COMPUTED_VALUE"""),"03075314147")</f>
        <v>03075314147</v>
      </c>
      <c r="E655" s="10" t="str">
        <f>IFERROR(__xludf.DUMMYFUNCTION("""COMPUTED_VALUE"""),"Jamia masjid mastari Kamal din ")</f>
        <v>Jamia masjid mastari Kamal din </v>
      </c>
      <c r="F655" s="10" t="str">
        <f>IFERROR(__xludf.DUMMYFUNCTION("""COMPUTED_VALUE"""),"xatdf ")</f>
        <v>xatdf </v>
      </c>
      <c r="G655" s="10" t="str">
        <f>IFERROR(__xludf.DUMMYFUNCTION("""COMPUTED_VALUE"""),"Yes")</f>
        <v>Yes</v>
      </c>
      <c r="H655" s="10">
        <f>IFERROR(__xludf.DUMMYFUNCTION("""COMPUTED_VALUE"""),0.0)</f>
        <v>0</v>
      </c>
      <c r="I655" s="10">
        <f>IFERROR(__xludf.DUMMYFUNCTION("""COMPUTED_VALUE"""),10.0)</f>
        <v>10</v>
      </c>
      <c r="J655" s="10">
        <f>IFERROR(__xludf.DUMMYFUNCTION("""COMPUTED_VALUE"""),0.0)</f>
        <v>0</v>
      </c>
      <c r="K655" s="10">
        <f>IFERROR(__xludf.DUMMYFUNCTION("""COMPUTED_VALUE"""),0.0)</f>
        <v>0</v>
      </c>
      <c r="L655" s="10">
        <f>IFERROR(__xludf.DUMMYFUNCTION("""COMPUTED_VALUE"""),0.0)</f>
        <v>0</v>
      </c>
      <c r="M655" s="10">
        <f>IFERROR(__xludf.DUMMYFUNCTION("""COMPUTED_VALUE"""),0.0)</f>
        <v>0</v>
      </c>
      <c r="N655" s="10">
        <f>IFERROR(__xludf.DUMMYFUNCTION("""COMPUTED_VALUE"""),0.0)</f>
        <v>0</v>
      </c>
      <c r="O655" s="10">
        <f>IFERROR(__xludf.DUMMYFUNCTION("""COMPUTED_VALUE"""),0.0)</f>
        <v>0</v>
      </c>
      <c r="P655" s="10">
        <f>IFERROR(__xludf.DUMMYFUNCTION("""COMPUTED_VALUE"""),0.0)</f>
        <v>0</v>
      </c>
      <c r="Q655" s="10" t="str">
        <f>IFERROR(__xludf.DUMMYFUNCTION("""COMPUTED_VALUE"""),"No")</f>
        <v>No</v>
      </c>
      <c r="R655" s="10" t="str">
        <f>IFERROR(__xludf.DUMMYFUNCTION("""COMPUTED_VALUE"""),"No")</f>
        <v>No</v>
      </c>
      <c r="S655" s="10" t="str">
        <f>IFERROR(__xludf.DUMMYFUNCTION("""COMPUTED_VALUE"""),"No")</f>
        <v>No</v>
      </c>
      <c r="T655" s="10">
        <f>IFERROR(__xludf.DUMMYFUNCTION("""COMPUTED_VALUE"""),0.0)</f>
        <v>0</v>
      </c>
      <c r="U655" s="10">
        <f>IFERROR(__xludf.DUMMYFUNCTION("""COMPUTED_VALUE"""),0.0)</f>
        <v>0</v>
      </c>
      <c r="V655" s="10" t="str">
        <f>IFERROR(__xludf.DUMMYFUNCTION("""COMPUTED_VALUE"""),"اللہ اور مخلوق کے حقوق کی ادائیگی")</f>
        <v>اللہ اور مخلوق کے حقوق کی ادائیگی</v>
      </c>
      <c r="W655" s="10" t="str">
        <f>IFERROR(__xludf.DUMMYFUNCTION("""COMPUTED_VALUE"""),"اللہ اور مخلوق دونوں کے ساتھ حسن عمل ضروری ہے کیونکہ صرف عبادت کافی نہیں جب تک بندوں کے حقوق ادا نہ ہوں نیکی ایثار معافی اور تعلق جوڑنے والا بندہ ہی محسنین میں شامل ہو کر جنت کا حقدار بنتا ہے")</f>
        <v>اللہ اور مخلوق دونوں کے ساتھ حسن عمل ضروری ہے کیونکہ صرف عبادت کافی نہیں جب تک بندوں کے حقوق ادا نہ ہوں نیکی ایثار معافی اور تعلق جوڑنے والا بندہ ہی محسنین میں شامل ہو کر جنت کا حقدار بنتا ہے</v>
      </c>
      <c r="X655" s="10">
        <f>IFERROR(__xludf.DUMMYFUNCTION("""COMPUTED_VALUE"""),0.0)</f>
        <v>0</v>
      </c>
      <c r="Y655" s="10">
        <f>IFERROR(__xludf.DUMMYFUNCTION("""COMPUTED_VALUE"""),10.0)</f>
        <v>10</v>
      </c>
      <c r="Z655" s="10">
        <f>IFERROR(__xludf.DUMMYFUNCTION("""COMPUTED_VALUE"""),2.0)</f>
        <v>2</v>
      </c>
      <c r="AA655" s="10">
        <f>IFERROR(__xludf.DUMMYFUNCTION("""COMPUTED_VALUE"""),3.0)</f>
        <v>3</v>
      </c>
      <c r="AB655" s="10">
        <f>IFERROR(__xludf.DUMMYFUNCTION("""COMPUTED_VALUE"""),0.0)</f>
        <v>0</v>
      </c>
      <c r="AC655" s="10">
        <f>IFERROR(__xludf.DUMMYFUNCTION("""COMPUTED_VALUE"""),0.0)</f>
        <v>0</v>
      </c>
      <c r="AD655" s="10">
        <f>IFERROR(__xludf.DUMMYFUNCTION("""COMPUTED_VALUE"""),2.0)</f>
        <v>2</v>
      </c>
      <c r="AE655" s="10">
        <f>IFERROR(__xludf.DUMMYFUNCTION("""COMPUTED_VALUE"""),0.0)</f>
        <v>0</v>
      </c>
      <c r="AF655" s="10">
        <f>IFERROR(__xludf.DUMMYFUNCTION("""COMPUTED_VALUE"""),0.0)</f>
        <v>0</v>
      </c>
      <c r="AG655" s="10">
        <f>IFERROR(__xludf.DUMMYFUNCTION("""COMPUTED_VALUE"""),6.0)</f>
        <v>6</v>
      </c>
      <c r="AH655" s="10">
        <f>IFERROR(__xludf.DUMMYFUNCTION("""COMPUTED_VALUE"""),0.0)</f>
        <v>0</v>
      </c>
      <c r="AI655" s="10">
        <f>IFERROR(__xludf.DUMMYFUNCTION("""COMPUTED_VALUE"""),6.0)</f>
        <v>6</v>
      </c>
      <c r="AJ655" s="11" t="str">
        <f>IFERROR(__xludf.DUMMYFUNCTION("""COMPUTED_VALUE"""),"https://drive.google.com/open?id=1LVy4m4trQjSHo53o1q1C6RNdbBUcwOZw")</f>
        <v>https://drive.google.com/open?id=1LVy4m4trQjSHo53o1q1C6RNdbBUcwOZw</v>
      </c>
      <c r="AK655" s="12" t="str">
        <f>IFERROR(__xludf.DUMMYFUNCTION("""COMPUTED_VALUE"""),"Nill")</f>
        <v>Nill</v>
      </c>
      <c r="AL655" s="12" t="str">
        <f>IFERROR(__xludf.DUMMYFUNCTION("""COMPUTED_VALUE"""),"Yes")</f>
        <v>Yes</v>
      </c>
      <c r="AM655" s="15">
        <f>IFERROR(__xludf.DUMMYFUNCTION("""COMPUTED_VALUE"""),0.0)</f>
        <v>0</v>
      </c>
      <c r="AN655" s="12" t="str">
        <f>IFERROR(__xludf.DUMMYFUNCTION("""COMPUTED_VALUE"""),"2nd week")</f>
        <v>2nd week</v>
      </c>
      <c r="AO655" s="13">
        <v>2.0</v>
      </c>
      <c r="AX655" s="17"/>
    </row>
    <row r="656">
      <c r="B656" s="9">
        <f>IFERROR(__xludf.DUMMYFUNCTION("""COMPUTED_VALUE"""),45897.50276208333)</f>
        <v>45897.50276</v>
      </c>
      <c r="C656" s="10" t="str">
        <f>IFERROR(__xludf.DUMMYFUNCTION("""COMPUTED_VALUE"""),"Sidra ")</f>
        <v>Sidra </v>
      </c>
      <c r="D656" s="10" t="str">
        <f>IFERROR(__xludf.DUMMYFUNCTION("""COMPUTED_VALUE"""),"03261416280")</f>
        <v>03261416280</v>
      </c>
      <c r="E656" s="10" t="str">
        <f>IFERROR(__xludf.DUMMYFUNCTION("""COMPUTED_VALUE"""),"Jamia Masjid Darbar Hazrat Saki Sarwar Dera Ghazi Khan")</f>
        <v>Jamia Masjid Darbar Hazrat Saki Sarwar Dera Ghazi Khan</v>
      </c>
      <c r="F656" s="10" t="str">
        <f>IFERROR(__xludf.DUMMYFUNCTION("""COMPUTED_VALUE"""),"jhzjg")</f>
        <v>jhzjg</v>
      </c>
      <c r="G656" s="10" t="str">
        <f>IFERROR(__xludf.DUMMYFUNCTION("""COMPUTED_VALUE"""),"No")</f>
        <v>No</v>
      </c>
      <c r="H656" s="10"/>
      <c r="I656" s="10"/>
      <c r="J656" s="10"/>
      <c r="K656" s="10">
        <f>IFERROR(__xludf.DUMMYFUNCTION("""COMPUTED_VALUE"""),0.0)</f>
        <v>0</v>
      </c>
      <c r="L656" s="10">
        <f>IFERROR(__xludf.DUMMYFUNCTION("""COMPUTED_VALUE"""),0.0)</f>
        <v>0</v>
      </c>
      <c r="M656" s="10">
        <f>IFERROR(__xludf.DUMMYFUNCTION("""COMPUTED_VALUE"""),0.0)</f>
        <v>0</v>
      </c>
      <c r="N656" s="10">
        <f>IFERROR(__xludf.DUMMYFUNCTION("""COMPUTED_VALUE"""),0.0)</f>
        <v>0</v>
      </c>
      <c r="O656" s="10">
        <f>IFERROR(__xludf.DUMMYFUNCTION("""COMPUTED_VALUE"""),0.0)</f>
        <v>0</v>
      </c>
      <c r="P656" s="10">
        <f>IFERROR(__xludf.DUMMYFUNCTION("""COMPUTED_VALUE"""),0.0)</f>
        <v>0</v>
      </c>
      <c r="Q656" s="10" t="str">
        <f>IFERROR(__xludf.DUMMYFUNCTION("""COMPUTED_VALUE"""),"No")</f>
        <v>No</v>
      </c>
      <c r="R656" s="10" t="str">
        <f>IFERROR(__xludf.DUMMYFUNCTION("""COMPUTED_VALUE"""),"No")</f>
        <v>No</v>
      </c>
      <c r="S656" s="10" t="str">
        <f>IFERROR(__xludf.DUMMYFUNCTION("""COMPUTED_VALUE"""),"No")</f>
        <v>No</v>
      </c>
      <c r="T656" s="10">
        <f>IFERROR(__xludf.DUMMYFUNCTION("""COMPUTED_VALUE"""),0.0)</f>
        <v>0</v>
      </c>
      <c r="U656" s="10">
        <f>IFERROR(__xludf.DUMMYFUNCTION("""COMPUTED_VALUE"""),0.0)</f>
        <v>0</v>
      </c>
      <c r="V656" s="10" t="str">
        <f>IFERROR(__xludf.DUMMYFUNCTION("""COMPUTED_VALUE"""),"علم اور عمل")</f>
        <v>علم اور عمل</v>
      </c>
      <c r="W656" s="10" t="str">
        <f>IFERROR(__xludf.DUMMYFUNCTION("""COMPUTED_VALUE"""),"امام نے بیان میں بتایا ہے کہ علم کے ساتھ عمل ضروری ہے اگر علم ہے اور اس پر عمل نہیں کیا گیا تو نہ دنیا میں کامیابی ملے گی نہ آخرت میں مثلا اگر آم کا درخت لگایا جائے پر وہ درخت پھل نہ دے تو وہ درخت کیسا اسی طرح امام نے اپنے بیان میں بتایا ہے کہ ہم نماز کے "&amp;"ذریعے اپنے رب سے ہم کلام ہوتے ہیں ہمیں نماز کی پابندی کرنی چاہیے ہمارا رب ہمیں اپنے پاس دن میں پانچ مرتبہ بلاتا ہے ")</f>
        <v>امام نے بیان میں بتایا ہے کہ علم کے ساتھ عمل ضروری ہے اگر علم ہے اور اس پر عمل نہیں کیا گیا تو نہ دنیا میں کامیابی ملے گی نہ آخرت میں مثلا اگر آم کا درخت لگایا جائے پر وہ درخت پھل نہ دے تو وہ درخت کیسا اسی طرح امام نے اپنے بیان میں بتایا ہے کہ ہم نماز کے ذریعے اپنے رب سے ہم کلام ہوتے ہیں ہمیں نماز کی پابندی کرنی چاہیے ہمارا رب ہمیں اپنے پاس دن میں پانچ مرتبہ بلاتا ہے </v>
      </c>
      <c r="X656" s="10">
        <f>IFERROR(__xludf.DUMMYFUNCTION("""COMPUTED_VALUE"""),5.0)</f>
        <v>5</v>
      </c>
      <c r="Y656" s="10">
        <f>IFERROR(__xludf.DUMMYFUNCTION("""COMPUTED_VALUE"""),6.0)</f>
        <v>6</v>
      </c>
      <c r="Z656" s="10">
        <f>IFERROR(__xludf.DUMMYFUNCTION("""COMPUTED_VALUE"""),6.0)</f>
        <v>6</v>
      </c>
      <c r="AA656" s="10">
        <f>IFERROR(__xludf.DUMMYFUNCTION("""COMPUTED_VALUE"""),5.0)</f>
        <v>5</v>
      </c>
      <c r="AB656" s="10">
        <f>IFERROR(__xludf.DUMMYFUNCTION("""COMPUTED_VALUE"""),4.0)</f>
        <v>4</v>
      </c>
      <c r="AC656" s="10">
        <f>IFERROR(__xludf.DUMMYFUNCTION("""COMPUTED_VALUE"""),0.0)</f>
        <v>0</v>
      </c>
      <c r="AD656" s="10">
        <f>IFERROR(__xludf.DUMMYFUNCTION("""COMPUTED_VALUE"""),0.0)</f>
        <v>0</v>
      </c>
      <c r="AE656" s="10">
        <f>IFERROR(__xludf.DUMMYFUNCTION("""COMPUTED_VALUE"""),4.0)</f>
        <v>4</v>
      </c>
      <c r="AF656" s="10">
        <f>IFERROR(__xludf.DUMMYFUNCTION("""COMPUTED_VALUE"""),0.0)</f>
        <v>0</v>
      </c>
      <c r="AG656" s="10">
        <f>IFERROR(__xludf.DUMMYFUNCTION("""COMPUTED_VALUE"""),9.0)</f>
        <v>9</v>
      </c>
      <c r="AH656" s="10">
        <f>IFERROR(__xludf.DUMMYFUNCTION("""COMPUTED_VALUE"""),0.0)</f>
        <v>0</v>
      </c>
      <c r="AI656" s="10">
        <f>IFERROR(__xludf.DUMMYFUNCTION("""COMPUTED_VALUE"""),9.0)</f>
        <v>9</v>
      </c>
      <c r="AJ656" s="11" t="str">
        <f>IFERROR(__xludf.DUMMYFUNCTION("""COMPUTED_VALUE"""),"https://drive.google.com/open?id=10zxLNyYeES2cRZYhjF7JSOBbO5GjTJWZZuGf_Wxa0CE")</f>
        <v>https://drive.google.com/open?id=10zxLNyYeES2cRZYhjF7JSOBbO5GjTJWZZuGf_Wxa0CE</v>
      </c>
      <c r="AK656" s="12" t="str">
        <f>IFERROR(__xludf.DUMMYFUNCTION("""COMPUTED_VALUE"""),"Audio quality not good ")</f>
        <v>Audio quality not good </v>
      </c>
      <c r="AL656" s="12"/>
      <c r="AM656" s="12"/>
      <c r="AN656" s="12" t="str">
        <f>IFERROR(__xludf.DUMMYFUNCTION("""COMPUTED_VALUE"""),"1st week")</f>
        <v>1st week</v>
      </c>
      <c r="AO656" s="13">
        <v>1.0</v>
      </c>
      <c r="AX656" s="17"/>
    </row>
    <row r="657">
      <c r="B657" s="9">
        <f>IFERROR(__xludf.DUMMYFUNCTION("""COMPUTED_VALUE"""),45897.506263483796)</f>
        <v>45897.50626</v>
      </c>
      <c r="C657" s="10" t="str">
        <f>IFERROR(__xludf.DUMMYFUNCTION("""COMPUTED_VALUE"""),"Atiqa")</f>
        <v>Atiqa</v>
      </c>
      <c r="D657" s="10" t="str">
        <f>IFERROR(__xludf.DUMMYFUNCTION("""COMPUTED_VALUE"""),"03157519977")</f>
        <v>03157519977</v>
      </c>
      <c r="E657" s="10" t="str">
        <f>IFERROR(__xludf.DUMMYFUNCTION("""COMPUTED_VALUE"""),"Jamia Masjid Darbar Fazal UL Din Laadla Och Shareef")</f>
        <v>Jamia Masjid Darbar Fazal UL Din Laadla Och Shareef</v>
      </c>
      <c r="F657" s="10" t="str">
        <f>IFERROR(__xludf.DUMMYFUNCTION("""COMPUTED_VALUE"""),"pztqo")</f>
        <v>pztqo</v>
      </c>
      <c r="G657" s="10" t="str">
        <f>IFERROR(__xludf.DUMMYFUNCTION("""COMPUTED_VALUE"""),"Yes")</f>
        <v>Yes</v>
      </c>
      <c r="H657" s="10">
        <f>IFERROR(__xludf.DUMMYFUNCTION("""COMPUTED_VALUE"""),0.0)</f>
        <v>0</v>
      </c>
      <c r="I657" s="10">
        <f>IFERROR(__xludf.DUMMYFUNCTION("""COMPUTED_VALUE"""),10.0)</f>
        <v>10</v>
      </c>
      <c r="J657" s="10">
        <f>IFERROR(__xludf.DUMMYFUNCTION("""COMPUTED_VALUE"""),0.0)</f>
        <v>0</v>
      </c>
      <c r="K657" s="10">
        <f>IFERROR(__xludf.DUMMYFUNCTION("""COMPUTED_VALUE"""),0.0)</f>
        <v>0</v>
      </c>
      <c r="L657" s="10">
        <f>IFERROR(__xludf.DUMMYFUNCTION("""COMPUTED_VALUE"""),0.0)</f>
        <v>0</v>
      </c>
      <c r="M657" s="10">
        <f>IFERROR(__xludf.DUMMYFUNCTION("""COMPUTED_VALUE"""),0.0)</f>
        <v>0</v>
      </c>
      <c r="N657" s="10">
        <f>IFERROR(__xludf.DUMMYFUNCTION("""COMPUTED_VALUE"""),0.0)</f>
        <v>0</v>
      </c>
      <c r="O657" s="10">
        <f>IFERROR(__xludf.DUMMYFUNCTION("""COMPUTED_VALUE"""),0.0)</f>
        <v>0</v>
      </c>
      <c r="P657" s="10">
        <f>IFERROR(__xludf.DUMMYFUNCTION("""COMPUTED_VALUE"""),0.0)</f>
        <v>0</v>
      </c>
      <c r="Q657" s="10" t="str">
        <f>IFERROR(__xludf.DUMMYFUNCTION("""COMPUTED_VALUE"""),"No")</f>
        <v>No</v>
      </c>
      <c r="R657" s="10" t="str">
        <f>IFERROR(__xludf.DUMMYFUNCTION("""COMPUTED_VALUE"""),"No")</f>
        <v>No</v>
      </c>
      <c r="S657" s="10" t="str">
        <f>IFERROR(__xludf.DUMMYFUNCTION("""COMPUTED_VALUE"""),"No")</f>
        <v>No</v>
      </c>
      <c r="T657" s="10">
        <f>IFERROR(__xludf.DUMMYFUNCTION("""COMPUTED_VALUE"""),0.0)</f>
        <v>0</v>
      </c>
      <c r="U657" s="10">
        <f>IFERROR(__xludf.DUMMYFUNCTION("""COMPUTED_VALUE"""),0.0)</f>
        <v>0</v>
      </c>
      <c r="V657" s="10" t="str">
        <f>IFERROR(__xludf.DUMMYFUNCTION("""COMPUTED_VALUE"""),"اولیاء کرام کی عظمت ")</f>
        <v>اولیاء کرام کی عظمت </v>
      </c>
      <c r="W657" s="10" t="str">
        <f>IFERROR(__xludf.DUMMYFUNCTION("""COMPUTED_VALUE"""),"ولی کی نسبت سے فائدہ ، صالحین کی صحبت اور بری صحبت کا انجام  ، شیخ صدی رحمت اللہ علیہ کا واقعہ ان کا گلاب کی جڑ سے مٹی لینا اور اس میں سے گلاب کی خوشبو انا ، مولانا علی کرم الوجیہ کا شیر کو کان سے پکڑ کر سڑک سے اتارنا ، داتا علی ہجویری رحمۃ اللہ علیہ کا ع"&amp;"رس مبارک ، حضور اکرم صلی اللہ علیہ والہ وسلم کا سنتیں ادا کرنے والوں کی سفارش کرنا ، اللہ کا دو شخص کے ساتھ اعلان جنگ کرنا ۱۔  جو اولیاء کا ادب نہ کرے ۲۔  سود کھائے ، بیان کیا گیا ۔")</f>
        <v>ولی کی نسبت سے فائدہ ، صالحین کی صحبت اور بری صحبت کا انجام  ، شیخ صدی رحمت اللہ علیہ کا واقعہ ان کا گلاب کی جڑ سے مٹی لینا اور اس میں سے گلاب کی خوشبو انا ، مولانا علی کرم الوجیہ کا شیر کو کان سے پکڑ کر سڑک سے اتارنا ، داتا علی ہجویری رحمۃ اللہ علیہ کا عرس مبارک ، حضور اکرم صلی اللہ علیہ والہ وسلم کا سنتیں ادا کرنے والوں کی سفارش کرنا ، اللہ کا دو شخص کے ساتھ اعلان جنگ کرنا ۱۔  جو اولیاء کا ادب نہ کرے ۲۔  سود کھائے ، بیان کیا گیا ۔</v>
      </c>
      <c r="X657" s="10">
        <f>IFERROR(__xludf.DUMMYFUNCTION("""COMPUTED_VALUE"""),2.0)</f>
        <v>2</v>
      </c>
      <c r="Y657" s="10">
        <f>IFERROR(__xludf.DUMMYFUNCTION("""COMPUTED_VALUE"""),2.0)</f>
        <v>2</v>
      </c>
      <c r="Z657" s="10">
        <f>IFERROR(__xludf.DUMMYFUNCTION("""COMPUTED_VALUE"""),5.0)</f>
        <v>5</v>
      </c>
      <c r="AA657" s="10">
        <f>IFERROR(__xludf.DUMMYFUNCTION("""COMPUTED_VALUE"""),6.0)</f>
        <v>6</v>
      </c>
      <c r="AB657" s="10">
        <f>IFERROR(__xludf.DUMMYFUNCTION("""COMPUTED_VALUE"""),7.0)</f>
        <v>7</v>
      </c>
      <c r="AC657" s="10">
        <f>IFERROR(__xludf.DUMMYFUNCTION("""COMPUTED_VALUE"""),0.0)</f>
        <v>0</v>
      </c>
      <c r="AD657" s="10">
        <f>IFERROR(__xludf.DUMMYFUNCTION("""COMPUTED_VALUE"""),0.0)</f>
        <v>0</v>
      </c>
      <c r="AE657" s="10">
        <f>IFERROR(__xludf.DUMMYFUNCTION("""COMPUTED_VALUE"""),0.0)</f>
        <v>0</v>
      </c>
      <c r="AF657" s="10">
        <f>IFERROR(__xludf.DUMMYFUNCTION("""COMPUTED_VALUE"""),0.0)</f>
        <v>0</v>
      </c>
      <c r="AG657" s="10">
        <f>IFERROR(__xludf.DUMMYFUNCTION("""COMPUTED_VALUE"""),9.0)</f>
        <v>9</v>
      </c>
      <c r="AH657" s="10">
        <f>IFERROR(__xludf.DUMMYFUNCTION("""COMPUTED_VALUE"""),0.0)</f>
        <v>0</v>
      </c>
      <c r="AI657" s="10">
        <f>IFERROR(__xludf.DUMMYFUNCTION("""COMPUTED_VALUE"""),9.0)</f>
        <v>9</v>
      </c>
      <c r="AJ657" s="11" t="str">
        <f>IFERROR(__xludf.DUMMYFUNCTION("""COMPUTED_VALUE"""),"https://drive.google.com/open?id=1_hmXiGjjfkprZTEbShML-HZde2J9M4ThhRhcNhrBAhQ")</f>
        <v>https://drive.google.com/open?id=1_hmXiGjjfkprZTEbShML-HZde2J9M4ThhRhcNhrBAhQ</v>
      </c>
      <c r="AK657" s="12"/>
      <c r="AL657" s="12" t="str">
        <f>IFERROR(__xludf.DUMMYFUNCTION("""COMPUTED_VALUE"""),"Yes")</f>
        <v>Yes</v>
      </c>
      <c r="AM657" s="15">
        <f>IFERROR(__xludf.DUMMYFUNCTION("""COMPUTED_VALUE"""),0.0)</f>
        <v>0</v>
      </c>
      <c r="AN657" s="12" t="str">
        <f>IFERROR(__xludf.DUMMYFUNCTION("""COMPUTED_VALUE"""),"3rd week")</f>
        <v>3rd week</v>
      </c>
      <c r="AO657" s="13">
        <v>3.0</v>
      </c>
      <c r="AX657" s="17"/>
    </row>
    <row r="658">
      <c r="B658" s="9">
        <f>IFERROR(__xludf.DUMMYFUNCTION("""COMPUTED_VALUE"""),45897.64395145833)</f>
        <v>45897.64395</v>
      </c>
      <c r="C658" s="10" t="str">
        <f>IFERROR(__xludf.DUMMYFUNCTION("""COMPUTED_VALUE"""),"Atiqa")</f>
        <v>Atiqa</v>
      </c>
      <c r="D658" s="10" t="str">
        <f>IFERROR(__xludf.DUMMYFUNCTION("""COMPUTED_VALUE"""),"03157519977")</f>
        <v>03157519977</v>
      </c>
      <c r="E658" s="10" t="str">
        <f>IFERROR(__xludf.DUMMYFUNCTION("""COMPUTED_VALUE"""),"Jamia Masjid Baba Shahab")</f>
        <v>Jamia Masjid Baba Shahab</v>
      </c>
      <c r="F658" s="10" t="str">
        <f>IFERROR(__xludf.DUMMYFUNCTION("""COMPUTED_VALUE"""),"rjssu")</f>
        <v>rjssu</v>
      </c>
      <c r="G658" s="10" t="str">
        <f>IFERROR(__xludf.DUMMYFUNCTION("""COMPUTED_VALUE"""),"Yes")</f>
        <v>Yes</v>
      </c>
      <c r="H658" s="10">
        <f>IFERROR(__xludf.DUMMYFUNCTION("""COMPUTED_VALUE"""),10.0)</f>
        <v>10</v>
      </c>
      <c r="I658" s="10">
        <f>IFERROR(__xludf.DUMMYFUNCTION("""COMPUTED_VALUE"""),0.0)</f>
        <v>0</v>
      </c>
      <c r="J658" s="10">
        <f>IFERROR(__xludf.DUMMYFUNCTION("""COMPUTED_VALUE"""),5.0)</f>
        <v>5</v>
      </c>
      <c r="K658" s="10">
        <f>IFERROR(__xludf.DUMMYFUNCTION("""COMPUTED_VALUE"""),10.0)</f>
        <v>10</v>
      </c>
      <c r="L658" s="10">
        <f>IFERROR(__xludf.DUMMYFUNCTION("""COMPUTED_VALUE"""),0.0)</f>
        <v>0</v>
      </c>
      <c r="M658" s="10">
        <f>IFERROR(__xludf.DUMMYFUNCTION("""COMPUTED_VALUE"""),0.0)</f>
        <v>0</v>
      </c>
      <c r="N658" s="10">
        <f>IFERROR(__xludf.DUMMYFUNCTION("""COMPUTED_VALUE"""),0.0)</f>
        <v>0</v>
      </c>
      <c r="O658" s="10">
        <f>IFERROR(__xludf.DUMMYFUNCTION("""COMPUTED_VALUE"""),7.0)</f>
        <v>7</v>
      </c>
      <c r="P658" s="10">
        <f>IFERROR(__xludf.DUMMYFUNCTION("""COMPUTED_VALUE"""),0.0)</f>
        <v>0</v>
      </c>
      <c r="Q658" s="10" t="str">
        <f>IFERROR(__xludf.DUMMYFUNCTION("""COMPUTED_VALUE"""),"Yes")</f>
        <v>Yes</v>
      </c>
      <c r="R658" s="10" t="str">
        <f>IFERROR(__xludf.DUMMYFUNCTION("""COMPUTED_VALUE"""),"No")</f>
        <v>No</v>
      </c>
      <c r="S658" s="10" t="str">
        <f>IFERROR(__xludf.DUMMYFUNCTION("""COMPUTED_VALUE"""),"Yes")</f>
        <v>Yes</v>
      </c>
      <c r="T658" s="10">
        <f>IFERROR(__xludf.DUMMYFUNCTION("""COMPUTED_VALUE"""),0.0)</f>
        <v>0</v>
      </c>
      <c r="U658" s="10">
        <f>IFERROR(__xludf.DUMMYFUNCTION("""COMPUTED_VALUE"""),0.0)</f>
        <v>0</v>
      </c>
      <c r="V658" s="10" t="str">
        <f>IFERROR(__xludf.DUMMYFUNCTION("""COMPUTED_VALUE"""),"۱۔ محمد ﷺ کے بچپن کے حالات زندگی ۲۔ اسلام میں عورت کا مقام کردار اور حق ")</f>
        <v>۱۔ محمد ﷺ کے بچپن کے حالات زندگی ۲۔ اسلام میں عورت کا مقام کردار اور حق </v>
      </c>
      <c r="W658" s="10" t="str">
        <f>IFERROR(__xludf.DUMMYFUNCTION("""COMPUTED_VALUE"""),"مرد و عورت کی برابری اور عورت کو مرد کے تابع بنانا ، محمد صلی اللہ علیہ وسلم کی والدہ کی وفات کا واقعہ اور اپ صلی اللہ علیہ وسلم کہ دادا کی وفات اور چچا کی پرورش میں جانا  ، حلیمہ سعدیہ رضی اللہ تعالی عنہ سے ملاقات اور ان کے خدمت اور احترام، معاشرے میں رو"&amp;"نما ہونے والے عورتوں کے قتل کے معاملات ، قبل اسلام بیٹی کے ساتھ روا رکھے جانے والا سلو ک ، اسلام نے عورت کو ماں بہن بیٹی بیوی ہر لحاظ سے وہ کام دیا  ، بچوں کی پیدائش پر جنت کی خوشخبری اور جہنم سے ڈھال اور تعلیم و تربیت کو لازمی قرار دیا ")</f>
        <v>مرد و عورت کی برابری اور عورت کو مرد کے تابع بنانا ، محمد صلی اللہ علیہ وسلم کی والدہ کی وفات کا واقعہ اور اپ صلی اللہ علیہ وسلم کہ دادا کی وفات اور چچا کی پرورش میں جانا  ، حلیمہ سعدیہ رضی اللہ تعالی عنہ سے ملاقات اور ان کے خدمت اور احترام، معاشرے میں رونما ہونے والے عورتوں کے قتل کے معاملات ، قبل اسلام بیٹی کے ساتھ روا رکھے جانے والا سلو ک ، اسلام نے عورت کو ماں بہن بیٹی بیوی ہر لحاظ سے وہ کام دیا  ، بچوں کی پیدائش پر جنت کی خوشخبری اور جہنم سے ڈھال اور تعلیم و تربیت کو لازمی قرار دیا </v>
      </c>
      <c r="X658" s="10">
        <f>IFERROR(__xludf.DUMMYFUNCTION("""COMPUTED_VALUE"""),0.0)</f>
        <v>0</v>
      </c>
      <c r="Y658" s="10">
        <f>IFERROR(__xludf.DUMMYFUNCTION("""COMPUTED_VALUE"""),4.0)</f>
        <v>4</v>
      </c>
      <c r="Z658" s="10">
        <f>IFERROR(__xludf.DUMMYFUNCTION("""COMPUTED_VALUE"""),6.0)</f>
        <v>6</v>
      </c>
      <c r="AA658" s="10">
        <f>IFERROR(__xludf.DUMMYFUNCTION("""COMPUTED_VALUE"""),9.0)</f>
        <v>9</v>
      </c>
      <c r="AB658" s="10">
        <f>IFERROR(__xludf.DUMMYFUNCTION("""COMPUTED_VALUE"""),3.0)</f>
        <v>3</v>
      </c>
      <c r="AC658" s="10">
        <f>IFERROR(__xludf.DUMMYFUNCTION("""COMPUTED_VALUE"""),0.0)</f>
        <v>0</v>
      </c>
      <c r="AD658" s="10">
        <f>IFERROR(__xludf.DUMMYFUNCTION("""COMPUTED_VALUE"""),0.0)</f>
        <v>0</v>
      </c>
      <c r="AE658" s="10">
        <f>IFERROR(__xludf.DUMMYFUNCTION("""COMPUTED_VALUE"""),0.0)</f>
        <v>0</v>
      </c>
      <c r="AF658" s="10">
        <f>IFERROR(__xludf.DUMMYFUNCTION("""COMPUTED_VALUE"""),0.0)</f>
        <v>0</v>
      </c>
      <c r="AG658" s="10">
        <f>IFERROR(__xludf.DUMMYFUNCTION("""COMPUTED_VALUE"""),9.0)</f>
        <v>9</v>
      </c>
      <c r="AH658" s="10">
        <f>IFERROR(__xludf.DUMMYFUNCTION("""COMPUTED_VALUE"""),0.0)</f>
        <v>0</v>
      </c>
      <c r="AI658" s="10">
        <f>IFERROR(__xludf.DUMMYFUNCTION("""COMPUTED_VALUE"""),10.0)</f>
        <v>10</v>
      </c>
      <c r="AJ658" s="11" t="str">
        <f>IFERROR(__xludf.DUMMYFUNCTION("""COMPUTED_VALUE"""),"https://drive.google.com/open?id=1IfOlf-SoJ7NhHNUPAD95g0NLlBXdYenZ_euo4SgTsl0")</f>
        <v>https://drive.google.com/open?id=1IfOlf-SoJ7NhHNUPAD95g0NLlBXdYenZ_euo4SgTsl0</v>
      </c>
      <c r="AK658" s="12"/>
      <c r="AL658" s="12" t="str">
        <f>IFERROR(__xludf.DUMMYFUNCTION("""COMPUTED_VALUE"""),"Yes")</f>
        <v>Yes</v>
      </c>
      <c r="AM658" s="15">
        <f>IFERROR(__xludf.DUMMYFUNCTION("""COMPUTED_VALUE"""),1.0)</f>
        <v>1</v>
      </c>
      <c r="AN658" s="12" t="str">
        <f>IFERROR(__xludf.DUMMYFUNCTION("""COMPUTED_VALUE"""),"3rd week")</f>
        <v>3rd week</v>
      </c>
      <c r="AO658" s="13">
        <v>3.0</v>
      </c>
      <c r="AX658" s="17"/>
    </row>
    <row r="659">
      <c r="B659" s="9">
        <f>IFERROR(__xludf.DUMMYFUNCTION("""COMPUTED_VALUE"""),45898.36755248843)</f>
        <v>45898.36755</v>
      </c>
      <c r="C659" s="10" t="str">
        <f>IFERROR(__xludf.DUMMYFUNCTION("""COMPUTED_VALUE"""),"Shahid Iqbal")</f>
        <v>Shahid Iqbal</v>
      </c>
      <c r="D659" s="10" t="str">
        <f>IFERROR(__xludf.DUMMYFUNCTION("""COMPUTED_VALUE"""),"03013665049")</f>
        <v>03013665049</v>
      </c>
      <c r="E659" s="10" t="str">
        <f>IFERROR(__xludf.DUMMYFUNCTION("""COMPUTED_VALUE"""),"Jamia Masjid Baha Ul Din Zikriya Multan")</f>
        <v>Jamia Masjid Baha Ul Din Zikriya Multan</v>
      </c>
      <c r="F659" s="10" t="str">
        <f>IFERROR(__xludf.DUMMYFUNCTION("""COMPUTED_VALUE"""),"oqjmo")</f>
        <v>oqjmo</v>
      </c>
      <c r="G659" s="10" t="str">
        <f>IFERROR(__xludf.DUMMYFUNCTION("""COMPUTED_VALUE"""),"Yes")</f>
        <v>Yes</v>
      </c>
      <c r="H659" s="10">
        <f>IFERROR(__xludf.DUMMYFUNCTION("""COMPUTED_VALUE"""),0.0)</f>
        <v>0</v>
      </c>
      <c r="I659" s="10">
        <f>IFERROR(__xludf.DUMMYFUNCTION("""COMPUTED_VALUE"""),10.0)</f>
        <v>10</v>
      </c>
      <c r="J659" s="10">
        <f>IFERROR(__xludf.DUMMYFUNCTION("""COMPUTED_VALUE"""),0.0)</f>
        <v>0</v>
      </c>
      <c r="K659" s="10">
        <f>IFERROR(__xludf.DUMMYFUNCTION("""COMPUTED_VALUE"""),0.0)</f>
        <v>0</v>
      </c>
      <c r="L659" s="10">
        <f>IFERROR(__xludf.DUMMYFUNCTION("""COMPUTED_VALUE"""),0.0)</f>
        <v>0</v>
      </c>
      <c r="M659" s="10">
        <f>IFERROR(__xludf.DUMMYFUNCTION("""COMPUTED_VALUE"""),0.0)</f>
        <v>0</v>
      </c>
      <c r="N659" s="10">
        <f>IFERROR(__xludf.DUMMYFUNCTION("""COMPUTED_VALUE"""),0.0)</f>
        <v>0</v>
      </c>
      <c r="O659" s="10">
        <f>IFERROR(__xludf.DUMMYFUNCTION("""COMPUTED_VALUE"""),0.0)</f>
        <v>0</v>
      </c>
      <c r="P659" s="10">
        <f>IFERROR(__xludf.DUMMYFUNCTION("""COMPUTED_VALUE"""),0.0)</f>
        <v>0</v>
      </c>
      <c r="Q659" s="10" t="str">
        <f>IFERROR(__xludf.DUMMYFUNCTION("""COMPUTED_VALUE"""),"No")</f>
        <v>No</v>
      </c>
      <c r="R659" s="10" t="str">
        <f>IFERROR(__xludf.DUMMYFUNCTION("""COMPUTED_VALUE"""),"No")</f>
        <v>No</v>
      </c>
      <c r="S659" s="10" t="str">
        <f>IFERROR(__xludf.DUMMYFUNCTION("""COMPUTED_VALUE"""),"No")</f>
        <v>No</v>
      </c>
      <c r="T659" s="10">
        <f>IFERROR(__xludf.DUMMYFUNCTION("""COMPUTED_VALUE"""),0.0)</f>
        <v>0</v>
      </c>
      <c r="U659" s="10">
        <f>IFERROR(__xludf.DUMMYFUNCTION("""COMPUTED_VALUE"""),0.0)</f>
        <v>0</v>
      </c>
      <c r="V659" s="10" t="str">
        <f>IFERROR(__xludf.DUMMYFUNCTION("""COMPUTED_VALUE"""),"Auliya e ikram ki islam ma khidmat")</f>
        <v>Auliya e ikram ki islam ma khidmat</v>
      </c>
      <c r="W659" s="10" t="str">
        <f>IFERROR(__xludf.DUMMYFUNCTION("""COMPUTED_VALUE"""),"Auliya e ikram ki islam ma khidmat aur amal")</f>
        <v>Auliya e ikram ki islam ma khidmat aur amal</v>
      </c>
      <c r="X659" s="10">
        <f>IFERROR(__xludf.DUMMYFUNCTION("""COMPUTED_VALUE"""),5.0)</f>
        <v>5</v>
      </c>
      <c r="Y659" s="10">
        <f>IFERROR(__xludf.DUMMYFUNCTION("""COMPUTED_VALUE"""),4.0)</f>
        <v>4</v>
      </c>
      <c r="Z659" s="10">
        <f>IFERROR(__xludf.DUMMYFUNCTION("""COMPUTED_VALUE"""),5.0)</f>
        <v>5</v>
      </c>
      <c r="AA659" s="10">
        <f>IFERROR(__xludf.DUMMYFUNCTION("""COMPUTED_VALUE"""),5.0)</f>
        <v>5</v>
      </c>
      <c r="AB659" s="10">
        <f>IFERROR(__xludf.DUMMYFUNCTION("""COMPUTED_VALUE"""),4.0)</f>
        <v>4</v>
      </c>
      <c r="AC659" s="10">
        <f>IFERROR(__xludf.DUMMYFUNCTION("""COMPUTED_VALUE"""),0.0)</f>
        <v>0</v>
      </c>
      <c r="AD659" s="10">
        <f>IFERROR(__xludf.DUMMYFUNCTION("""COMPUTED_VALUE"""),0.0)</f>
        <v>0</v>
      </c>
      <c r="AE659" s="10">
        <f>IFERROR(__xludf.DUMMYFUNCTION("""COMPUTED_VALUE"""),0.0)</f>
        <v>0</v>
      </c>
      <c r="AF659" s="10">
        <f>IFERROR(__xludf.DUMMYFUNCTION("""COMPUTED_VALUE"""),0.0)</f>
        <v>0</v>
      </c>
      <c r="AG659" s="10">
        <f>IFERROR(__xludf.DUMMYFUNCTION("""COMPUTED_VALUE"""),9.0)</f>
        <v>9</v>
      </c>
      <c r="AH659" s="10">
        <f>IFERROR(__xludf.DUMMYFUNCTION("""COMPUTED_VALUE"""),0.0)</f>
        <v>0</v>
      </c>
      <c r="AI659" s="10">
        <f>IFERROR(__xludf.DUMMYFUNCTION("""COMPUTED_VALUE"""),8.0)</f>
        <v>8</v>
      </c>
      <c r="AJ659" s="11" t="str">
        <f>IFERROR(__xludf.DUMMYFUNCTION("""COMPUTED_VALUE"""),"https://drive.google.com/open?id=15zo2pj9jJnRGJf-URKeb64sSTc3Jgpwv")</f>
        <v>https://drive.google.com/open?id=15zo2pj9jJnRGJf-URKeb64sSTc3Jgpwv</v>
      </c>
      <c r="AK659" s="12"/>
      <c r="AL659" s="12" t="str">
        <f>IFERROR(__xludf.DUMMYFUNCTION("""COMPUTED_VALUE"""),"Yes")</f>
        <v>Yes</v>
      </c>
      <c r="AM659" s="15">
        <f>IFERROR(__xludf.DUMMYFUNCTION("""COMPUTED_VALUE"""),0.0)</f>
        <v>0</v>
      </c>
      <c r="AN659" s="12" t="str">
        <f>IFERROR(__xludf.DUMMYFUNCTION("""COMPUTED_VALUE"""),"4th week")</f>
        <v>4th week</v>
      </c>
      <c r="AO659" s="13">
        <v>4.0</v>
      </c>
      <c r="AX659" s="17"/>
    </row>
    <row r="660">
      <c r="B660" s="9">
        <f>IFERROR(__xludf.DUMMYFUNCTION("""COMPUTED_VALUE"""),45899.04756733796)</f>
        <v>45899.04757</v>
      </c>
      <c r="C660" s="10" t="str">
        <f>IFERROR(__xludf.DUMMYFUNCTION("""COMPUTED_VALUE"""),"Shahid Iqbal")</f>
        <v>Shahid Iqbal</v>
      </c>
      <c r="D660" s="10" t="str">
        <f>IFERROR(__xludf.DUMMYFUNCTION("""COMPUTED_VALUE"""),"03013665049")</f>
        <v>03013665049</v>
      </c>
      <c r="E660" s="10" t="str">
        <f>IFERROR(__xludf.DUMMYFUNCTION("""COMPUTED_VALUE"""),"Jamia Masjid Darbar Khawaja Khuda Bhakas Kharpure")</f>
        <v>Jamia Masjid Darbar Khawaja Khuda Bhakas Kharpure</v>
      </c>
      <c r="F660" s="10" t="str">
        <f>IFERROR(__xludf.DUMMYFUNCTION("""COMPUTED_VALUE"""),"xppxx")</f>
        <v>xppxx</v>
      </c>
      <c r="G660" s="10" t="str">
        <f>IFERROR(__xludf.DUMMYFUNCTION("""COMPUTED_VALUE"""),"No")</f>
        <v>No</v>
      </c>
      <c r="H660" s="10"/>
      <c r="I660" s="10"/>
      <c r="J660" s="10"/>
      <c r="K660" s="10">
        <f>IFERROR(__xludf.DUMMYFUNCTION("""COMPUTED_VALUE"""),0.0)</f>
        <v>0</v>
      </c>
      <c r="L660" s="10">
        <f>IFERROR(__xludf.DUMMYFUNCTION("""COMPUTED_VALUE"""),3.0)</f>
        <v>3</v>
      </c>
      <c r="M660" s="10">
        <f>IFERROR(__xludf.DUMMYFUNCTION("""COMPUTED_VALUE"""),0.0)</f>
        <v>0</v>
      </c>
      <c r="N660" s="10">
        <f>IFERROR(__xludf.DUMMYFUNCTION("""COMPUTED_VALUE"""),2.0)</f>
        <v>2</v>
      </c>
      <c r="O660" s="10">
        <f>IFERROR(__xludf.DUMMYFUNCTION("""COMPUTED_VALUE"""),0.0)</f>
        <v>0</v>
      </c>
      <c r="P660" s="10">
        <f>IFERROR(__xludf.DUMMYFUNCTION("""COMPUTED_VALUE"""),0.0)</f>
        <v>0</v>
      </c>
      <c r="Q660" s="10" t="str">
        <f>IFERROR(__xludf.DUMMYFUNCTION("""COMPUTED_VALUE"""),"No")</f>
        <v>No</v>
      </c>
      <c r="R660" s="10" t="str">
        <f>IFERROR(__xludf.DUMMYFUNCTION("""COMPUTED_VALUE"""),"No")</f>
        <v>No</v>
      </c>
      <c r="S660" s="10" t="str">
        <f>IFERROR(__xludf.DUMMYFUNCTION("""COMPUTED_VALUE"""),"No")</f>
        <v>No</v>
      </c>
      <c r="T660" s="10">
        <f>IFERROR(__xludf.DUMMYFUNCTION("""COMPUTED_VALUE"""),0.0)</f>
        <v>0</v>
      </c>
      <c r="U660" s="10">
        <f>IFERROR(__xludf.DUMMYFUNCTION("""COMPUTED_VALUE"""),0.0)</f>
        <v>0</v>
      </c>
      <c r="V660" s="10" t="str">
        <f>IFERROR(__xludf.DUMMYFUNCTION("""COMPUTED_VALUE"""),"Auliya e ikram ki azmat aur hamsaye k haq,")</f>
        <v>Auliya e ikram ki azmat aur hamsaye k haq,</v>
      </c>
      <c r="W660" s="10" t="str">
        <f>IFERROR(__xludf.DUMMYFUNCTION("""COMPUTED_VALUE"""),"Auliya e ikram ki azmat aur hamsaye k haq,aur haqooq al ibad per guftgu")</f>
        <v>Auliya e ikram ki azmat aur hamsaye k haq,aur haqooq al ibad per guftgu</v>
      </c>
      <c r="X660" s="10">
        <f>IFERROR(__xludf.DUMMYFUNCTION("""COMPUTED_VALUE"""),4.0)</f>
        <v>4</v>
      </c>
      <c r="Y660" s="10">
        <f>IFERROR(__xludf.DUMMYFUNCTION("""COMPUTED_VALUE"""),6.0)</f>
        <v>6</v>
      </c>
      <c r="Z660" s="10">
        <f>IFERROR(__xludf.DUMMYFUNCTION("""COMPUTED_VALUE"""),4.0)</f>
        <v>4</v>
      </c>
      <c r="AA660" s="10">
        <f>IFERROR(__xludf.DUMMYFUNCTION("""COMPUTED_VALUE"""),6.0)</f>
        <v>6</v>
      </c>
      <c r="AB660" s="10">
        <f>IFERROR(__xludf.DUMMYFUNCTION("""COMPUTED_VALUE"""),2.0)</f>
        <v>2</v>
      </c>
      <c r="AC660" s="10">
        <f>IFERROR(__xludf.DUMMYFUNCTION("""COMPUTED_VALUE"""),0.0)</f>
        <v>0</v>
      </c>
      <c r="AD660" s="10">
        <f>IFERROR(__xludf.DUMMYFUNCTION("""COMPUTED_VALUE"""),0.0)</f>
        <v>0</v>
      </c>
      <c r="AE660" s="10">
        <f>IFERROR(__xludf.DUMMYFUNCTION("""COMPUTED_VALUE"""),0.0)</f>
        <v>0</v>
      </c>
      <c r="AF660" s="10">
        <f>IFERROR(__xludf.DUMMYFUNCTION("""COMPUTED_VALUE"""),0.0)</f>
        <v>0</v>
      </c>
      <c r="AG660" s="10">
        <f>IFERROR(__xludf.DUMMYFUNCTION("""COMPUTED_VALUE"""),10.0)</f>
        <v>10</v>
      </c>
      <c r="AH660" s="10">
        <f>IFERROR(__xludf.DUMMYFUNCTION("""COMPUTED_VALUE"""),0.0)</f>
        <v>0</v>
      </c>
      <c r="AI660" s="10">
        <f>IFERROR(__xludf.DUMMYFUNCTION("""COMPUTED_VALUE"""),10.0)</f>
        <v>10</v>
      </c>
      <c r="AJ660" s="11" t="str">
        <f>IFERROR(__xludf.DUMMYFUNCTION("""COMPUTED_VALUE"""),"https://drive.google.com/open?id=1SNRs_fz0l5eL_7fBNqU3Qj7biT7dwzgW")</f>
        <v>https://drive.google.com/open?id=1SNRs_fz0l5eL_7fBNqU3Qj7biT7dwzgW</v>
      </c>
      <c r="AK660" s="12"/>
      <c r="AL660" s="12"/>
      <c r="AM660" s="12"/>
      <c r="AN660" s="12" t="str">
        <f>IFERROR(__xludf.DUMMYFUNCTION("""COMPUTED_VALUE"""),"3rd week")</f>
        <v>3rd week</v>
      </c>
      <c r="AO660" s="13">
        <v>3.0</v>
      </c>
      <c r="AX660" s="17"/>
    </row>
    <row r="661">
      <c r="B661" s="9">
        <f>IFERROR(__xludf.DUMMYFUNCTION("""COMPUTED_VALUE"""),45899.05104847222)</f>
        <v>45899.05105</v>
      </c>
      <c r="C661" s="10" t="str">
        <f>IFERROR(__xludf.DUMMYFUNCTION("""COMPUTED_VALUE"""),"Shahid iqbal")</f>
        <v>Shahid iqbal</v>
      </c>
      <c r="D661" s="10" t="str">
        <f>IFERROR(__xludf.DUMMYFUNCTION("""COMPUTED_VALUE"""),"03013665049")</f>
        <v>03013665049</v>
      </c>
      <c r="E661" s="10" t="str">
        <f>IFERROR(__xludf.DUMMYFUNCTION("""COMPUTED_VALUE"""),"Jamia Masjid Qazia Nawali Kehror Pakka")</f>
        <v>Jamia Masjid Qazia Nawali Kehror Pakka</v>
      </c>
      <c r="F661" s="10" t="str">
        <f>IFERROR(__xludf.DUMMYFUNCTION("""COMPUTED_VALUE"""),"xiinw")</f>
        <v>xiinw</v>
      </c>
      <c r="G661" s="10" t="str">
        <f>IFERROR(__xludf.DUMMYFUNCTION("""COMPUTED_VALUE"""),"Yes")</f>
        <v>Yes</v>
      </c>
      <c r="H661" s="10">
        <f>IFERROR(__xludf.DUMMYFUNCTION("""COMPUTED_VALUE"""),9.0)</f>
        <v>9</v>
      </c>
      <c r="I661" s="10">
        <f>IFERROR(__xludf.DUMMYFUNCTION("""COMPUTED_VALUE"""),1.0)</f>
        <v>1</v>
      </c>
      <c r="J661" s="10">
        <f>IFERROR(__xludf.DUMMYFUNCTION("""COMPUTED_VALUE"""),10.0)</f>
        <v>10</v>
      </c>
      <c r="K661" s="10">
        <f>IFERROR(__xludf.DUMMYFUNCTION("""COMPUTED_VALUE"""),0.0)</f>
        <v>0</v>
      </c>
      <c r="L661" s="10">
        <f>IFERROR(__xludf.DUMMYFUNCTION("""COMPUTED_VALUE"""),10.0)</f>
        <v>10</v>
      </c>
      <c r="M661" s="10">
        <f>IFERROR(__xludf.DUMMYFUNCTION("""COMPUTED_VALUE"""),0.0)</f>
        <v>0</v>
      </c>
      <c r="N661" s="10">
        <f>IFERROR(__xludf.DUMMYFUNCTION("""COMPUTED_VALUE"""),10.0)</f>
        <v>10</v>
      </c>
      <c r="O661" s="10">
        <f>IFERROR(__xludf.DUMMYFUNCTION("""COMPUTED_VALUE"""),0.0)</f>
        <v>0</v>
      </c>
      <c r="P661" s="10">
        <f>IFERROR(__xludf.DUMMYFUNCTION("""COMPUTED_VALUE"""),10.0)</f>
        <v>10</v>
      </c>
      <c r="Q661" s="10" t="str">
        <f>IFERROR(__xludf.DUMMYFUNCTION("""COMPUTED_VALUE"""),"No")</f>
        <v>No</v>
      </c>
      <c r="R661" s="10" t="str">
        <f>IFERROR(__xludf.DUMMYFUNCTION("""COMPUTED_VALUE"""),"Yes")</f>
        <v>Yes</v>
      </c>
      <c r="S661" s="10" t="str">
        <f>IFERROR(__xludf.DUMMYFUNCTION("""COMPUTED_VALUE"""),"Yes")</f>
        <v>Yes</v>
      </c>
      <c r="T661" s="10">
        <f>IFERROR(__xludf.DUMMYFUNCTION("""COMPUTED_VALUE"""),0.0)</f>
        <v>0</v>
      </c>
      <c r="U661" s="10">
        <f>IFERROR(__xludf.DUMMYFUNCTION("""COMPUTED_VALUE"""),0.0)</f>
        <v>0</v>
      </c>
      <c r="V661" s="10" t="str">
        <f>IFERROR(__xludf.DUMMYFUNCTION("""COMPUTED_VALUE"""),"Hamsayon ky haqoq ")</f>
        <v>Hamsayon ky haqoq </v>
      </c>
      <c r="W661" s="10" t="str">
        <f>IFERROR(__xludf.DUMMYFUNCTION("""COMPUTED_VALUE"""),"Parosiyon ky sth husn saloq ,aur safai suthrai")</f>
        <v>Parosiyon ky sth husn saloq ,aur safai suthrai</v>
      </c>
      <c r="X661" s="10">
        <f>IFERROR(__xludf.DUMMYFUNCTION("""COMPUTED_VALUE"""),1.0)</f>
        <v>1</v>
      </c>
      <c r="Y661" s="10">
        <f>IFERROR(__xludf.DUMMYFUNCTION("""COMPUTED_VALUE"""),9.0)</f>
        <v>9</v>
      </c>
      <c r="Z661" s="10">
        <f>IFERROR(__xludf.DUMMYFUNCTION("""COMPUTED_VALUE"""),5.0)</f>
        <v>5</v>
      </c>
      <c r="AA661" s="10">
        <f>IFERROR(__xludf.DUMMYFUNCTION("""COMPUTED_VALUE"""),8.0)</f>
        <v>8</v>
      </c>
      <c r="AB661" s="10">
        <f>IFERROR(__xludf.DUMMYFUNCTION("""COMPUTED_VALUE"""),0.0)</f>
        <v>0</v>
      </c>
      <c r="AC661" s="10">
        <f>IFERROR(__xludf.DUMMYFUNCTION("""COMPUTED_VALUE"""),0.0)</f>
        <v>0</v>
      </c>
      <c r="AD661" s="10">
        <f>IFERROR(__xludf.DUMMYFUNCTION("""COMPUTED_VALUE"""),0.0)</f>
        <v>0</v>
      </c>
      <c r="AE661" s="10">
        <f>IFERROR(__xludf.DUMMYFUNCTION("""COMPUTED_VALUE"""),0.0)</f>
        <v>0</v>
      </c>
      <c r="AF661" s="10">
        <f>IFERROR(__xludf.DUMMYFUNCTION("""COMPUTED_VALUE"""),0.0)</f>
        <v>0</v>
      </c>
      <c r="AG661" s="10">
        <f>IFERROR(__xludf.DUMMYFUNCTION("""COMPUTED_VALUE"""),10.0)</f>
        <v>10</v>
      </c>
      <c r="AH661" s="10">
        <f>IFERROR(__xludf.DUMMYFUNCTION("""COMPUTED_VALUE"""),0.0)</f>
        <v>0</v>
      </c>
      <c r="AI661" s="10">
        <f>IFERROR(__xludf.DUMMYFUNCTION("""COMPUTED_VALUE"""),10.0)</f>
        <v>10</v>
      </c>
      <c r="AJ661" s="11" t="str">
        <f>IFERROR(__xludf.DUMMYFUNCTION("""COMPUTED_VALUE"""),"https://drive.google.com/open?id=1lPh0fJ8EaXloKgG1YO1CLm_lOxwhwxBQ")</f>
        <v>https://drive.google.com/open?id=1lPh0fJ8EaXloKgG1YO1CLm_lOxwhwxBQ</v>
      </c>
      <c r="AK661" s="12"/>
      <c r="AL661" s="12" t="str">
        <f>IFERROR(__xludf.DUMMYFUNCTION("""COMPUTED_VALUE"""),"Yes")</f>
        <v>Yes</v>
      </c>
      <c r="AM661" s="15">
        <f>IFERROR(__xludf.DUMMYFUNCTION("""COMPUTED_VALUE"""),0.9)</f>
        <v>0.9</v>
      </c>
      <c r="AN661" s="12" t="str">
        <f>IFERROR(__xludf.DUMMYFUNCTION("""COMPUTED_VALUE"""),"2nd week")</f>
        <v>2nd week</v>
      </c>
      <c r="AO661" s="13">
        <v>2.0</v>
      </c>
      <c r="AX661" s="17"/>
    </row>
    <row r="662">
      <c r="B662" s="9">
        <f>IFERROR(__xludf.DUMMYFUNCTION("""COMPUTED_VALUE"""),45899.053783587966)</f>
        <v>45899.05378</v>
      </c>
      <c r="C662" s="10" t="str">
        <f>IFERROR(__xludf.DUMMYFUNCTION("""COMPUTED_VALUE"""),"Shahid iqbal")</f>
        <v>Shahid iqbal</v>
      </c>
      <c r="D662" s="10" t="str">
        <f>IFERROR(__xludf.DUMMYFUNCTION("""COMPUTED_VALUE"""),"03013665049")</f>
        <v>03013665049</v>
      </c>
      <c r="E662" s="10" t="str">
        <f>IFERROR(__xludf.DUMMYFUNCTION("""COMPUTED_VALUE"""),"Jamia Masjid Muhkum Ul Din Seerani Khangha Khangha")</f>
        <v>Jamia Masjid Muhkum Ul Din Seerani Khangha Khangha</v>
      </c>
      <c r="F662" s="10" t="str">
        <f>IFERROR(__xludf.DUMMYFUNCTION("""COMPUTED_VALUE"""),"tktxl")</f>
        <v>tktxl</v>
      </c>
      <c r="G662" s="10" t="str">
        <f>IFERROR(__xludf.DUMMYFUNCTION("""COMPUTED_VALUE"""),"No")</f>
        <v>No</v>
      </c>
      <c r="H662" s="10"/>
      <c r="I662" s="10"/>
      <c r="J662" s="10"/>
      <c r="K662" s="10">
        <f>IFERROR(__xludf.DUMMYFUNCTION("""COMPUTED_VALUE"""),0.0)</f>
        <v>0</v>
      </c>
      <c r="L662" s="10">
        <f>IFERROR(__xludf.DUMMYFUNCTION("""COMPUTED_VALUE"""),0.0)</f>
        <v>0</v>
      </c>
      <c r="M662" s="10">
        <f>IFERROR(__xludf.DUMMYFUNCTION("""COMPUTED_VALUE"""),0.0)</f>
        <v>0</v>
      </c>
      <c r="N662" s="10">
        <f>IFERROR(__xludf.DUMMYFUNCTION("""COMPUTED_VALUE"""),0.0)</f>
        <v>0</v>
      </c>
      <c r="O662" s="10">
        <f>IFERROR(__xludf.DUMMYFUNCTION("""COMPUTED_VALUE"""),0.0)</f>
        <v>0</v>
      </c>
      <c r="P662" s="10">
        <f>IFERROR(__xludf.DUMMYFUNCTION("""COMPUTED_VALUE"""),0.0)</f>
        <v>0</v>
      </c>
      <c r="Q662" s="10" t="str">
        <f>IFERROR(__xludf.DUMMYFUNCTION("""COMPUTED_VALUE"""),"No")</f>
        <v>No</v>
      </c>
      <c r="R662" s="10" t="str">
        <f>IFERROR(__xludf.DUMMYFUNCTION("""COMPUTED_VALUE"""),"No")</f>
        <v>No</v>
      </c>
      <c r="S662" s="10" t="str">
        <f>IFERROR(__xludf.DUMMYFUNCTION("""COMPUTED_VALUE"""),"No")</f>
        <v>No</v>
      </c>
      <c r="T662" s="10">
        <f>IFERROR(__xludf.DUMMYFUNCTION("""COMPUTED_VALUE"""),0.0)</f>
        <v>0</v>
      </c>
      <c r="U662" s="10">
        <f>IFERROR(__xludf.DUMMYFUNCTION("""COMPUTED_VALUE"""),0.0)</f>
        <v>0</v>
      </c>
      <c r="V662" s="10" t="str">
        <f>IFERROR(__xludf.DUMMYFUNCTION("""COMPUTED_VALUE"""),"Hazrat ALi RA k oper bt ki Aur Hazrat imam Hussain RA ")</f>
        <v>Hazrat ALi RA k oper bt ki Aur Hazrat imam Hussain RA </v>
      </c>
      <c r="W662" s="10" t="str">
        <f>IFERROR(__xludf.DUMMYFUNCTION("""COMPUTED_VALUE"""),"Hazrat Imam Hussain ki Islam kay liye qurbani kay baray main bayan kia.")</f>
        <v>Hazrat Imam Hussain ki Islam kay liye qurbani kay baray main bayan kia.</v>
      </c>
      <c r="X662" s="10">
        <f>IFERROR(__xludf.DUMMYFUNCTION("""COMPUTED_VALUE"""),2.0)</f>
        <v>2</v>
      </c>
      <c r="Y662" s="10">
        <f>IFERROR(__xludf.DUMMYFUNCTION("""COMPUTED_VALUE"""),5.0)</f>
        <v>5</v>
      </c>
      <c r="Z662" s="10">
        <f>IFERROR(__xludf.DUMMYFUNCTION("""COMPUTED_VALUE"""),5.0)</f>
        <v>5</v>
      </c>
      <c r="AA662" s="10">
        <f>IFERROR(__xludf.DUMMYFUNCTION("""COMPUTED_VALUE"""),6.0)</f>
        <v>6</v>
      </c>
      <c r="AB662" s="10">
        <f>IFERROR(__xludf.DUMMYFUNCTION("""COMPUTED_VALUE"""),6.0)</f>
        <v>6</v>
      </c>
      <c r="AC662" s="10">
        <f>IFERROR(__xludf.DUMMYFUNCTION("""COMPUTED_VALUE"""),0.0)</f>
        <v>0</v>
      </c>
      <c r="AD662" s="10">
        <f>IFERROR(__xludf.DUMMYFUNCTION("""COMPUTED_VALUE"""),0.0)</f>
        <v>0</v>
      </c>
      <c r="AE662" s="10">
        <f>IFERROR(__xludf.DUMMYFUNCTION("""COMPUTED_VALUE"""),0.0)</f>
        <v>0</v>
      </c>
      <c r="AF662" s="10">
        <f>IFERROR(__xludf.DUMMYFUNCTION("""COMPUTED_VALUE"""),0.0)</f>
        <v>0</v>
      </c>
      <c r="AG662" s="10">
        <f>IFERROR(__xludf.DUMMYFUNCTION("""COMPUTED_VALUE"""),9.0)</f>
        <v>9</v>
      </c>
      <c r="AH662" s="10">
        <f>IFERROR(__xludf.DUMMYFUNCTION("""COMPUTED_VALUE"""),0.0)</f>
        <v>0</v>
      </c>
      <c r="AI662" s="10">
        <f>IFERROR(__xludf.DUMMYFUNCTION("""COMPUTED_VALUE"""),10.0)</f>
        <v>10</v>
      </c>
      <c r="AJ662" s="11" t="str">
        <f>IFERROR(__xludf.DUMMYFUNCTION("""COMPUTED_VALUE"""),"https://drive.google.com/open?id=1Mg6N-8wpwDHw2amxS2qV3QkLaBtDmoeU")</f>
        <v>https://drive.google.com/open?id=1Mg6N-8wpwDHw2amxS2qV3QkLaBtDmoeU</v>
      </c>
      <c r="AK662" s="12"/>
      <c r="AL662" s="12"/>
      <c r="AM662" s="12"/>
      <c r="AN662" s="12" t="str">
        <f>IFERROR(__xludf.DUMMYFUNCTION("""COMPUTED_VALUE"""),"3rd week")</f>
        <v>3rd week</v>
      </c>
      <c r="AO662" s="13">
        <v>3.0</v>
      </c>
      <c r="AX662" s="17"/>
    </row>
    <row r="663">
      <c r="B663" s="9">
        <f>IFERROR(__xludf.DUMMYFUNCTION("""COMPUTED_VALUE"""),45899.114741666664)</f>
        <v>45899.11474</v>
      </c>
      <c r="C663" s="10" t="str">
        <f>IFERROR(__xludf.DUMMYFUNCTION("""COMPUTED_VALUE"""),"Hajra sultan")</f>
        <v>Hajra sultan</v>
      </c>
      <c r="D663" s="10" t="str">
        <f>IFERROR(__xludf.DUMMYFUNCTION("""COMPUTED_VALUE"""),"03095163638")</f>
        <v>03095163638</v>
      </c>
      <c r="E663" s="10" t="str">
        <f>IFERROR(__xludf.DUMMYFUNCTION("""COMPUTED_VALUE"""),"Jamia Masjid Abdulah Shah Bukhari Muzaffargarh")</f>
        <v>Jamia Masjid Abdulah Shah Bukhari Muzaffargarh</v>
      </c>
      <c r="F663" s="10" t="str">
        <f>IFERROR(__xludf.DUMMYFUNCTION("""COMPUTED_VALUE"""),"kezga")</f>
        <v>kezga</v>
      </c>
      <c r="G663" s="10" t="str">
        <f>IFERROR(__xludf.DUMMYFUNCTION("""COMPUTED_VALUE"""),"Yes")</f>
        <v>Yes</v>
      </c>
      <c r="H663" s="10">
        <f>IFERROR(__xludf.DUMMYFUNCTION("""COMPUTED_VALUE"""),2.0)</f>
        <v>2</v>
      </c>
      <c r="I663" s="10">
        <f>IFERROR(__xludf.DUMMYFUNCTION("""COMPUTED_VALUE"""),8.0)</f>
        <v>8</v>
      </c>
      <c r="J663" s="10">
        <f>IFERROR(__xludf.DUMMYFUNCTION("""COMPUTED_VALUE"""),2.0)</f>
        <v>2</v>
      </c>
      <c r="K663" s="10">
        <f>IFERROR(__xludf.DUMMYFUNCTION("""COMPUTED_VALUE"""),1.0)</f>
        <v>1</v>
      </c>
      <c r="L663" s="10">
        <f>IFERROR(__xludf.DUMMYFUNCTION("""COMPUTED_VALUE"""),2.0)</f>
        <v>2</v>
      </c>
      <c r="M663" s="10">
        <f>IFERROR(__xludf.DUMMYFUNCTION("""COMPUTED_VALUE"""),1.0)</f>
        <v>1</v>
      </c>
      <c r="N663" s="10">
        <f>IFERROR(__xludf.DUMMYFUNCTION("""COMPUTED_VALUE"""),1.0)</f>
        <v>1</v>
      </c>
      <c r="O663" s="10">
        <f>IFERROR(__xludf.DUMMYFUNCTION("""COMPUTED_VALUE"""),0.0)</f>
        <v>0</v>
      </c>
      <c r="P663" s="10">
        <f>IFERROR(__xludf.DUMMYFUNCTION("""COMPUTED_VALUE"""),0.0)</f>
        <v>0</v>
      </c>
      <c r="Q663" s="10" t="str">
        <f>IFERROR(__xludf.DUMMYFUNCTION("""COMPUTED_VALUE"""),"No")</f>
        <v>No</v>
      </c>
      <c r="R663" s="10" t="str">
        <f>IFERROR(__xludf.DUMMYFUNCTION("""COMPUTED_VALUE"""),"No")</f>
        <v>No</v>
      </c>
      <c r="S663" s="10" t="str">
        <f>IFERROR(__xludf.DUMMYFUNCTION("""COMPUTED_VALUE"""),"No")</f>
        <v>No</v>
      </c>
      <c r="T663" s="10">
        <f>IFERROR(__xludf.DUMMYFUNCTION("""COMPUTED_VALUE"""),1.0)</f>
        <v>1</v>
      </c>
      <c r="U663" s="10">
        <f>IFERROR(__xludf.DUMMYFUNCTION("""COMPUTED_VALUE"""),0.0)</f>
        <v>0</v>
      </c>
      <c r="V663" s="10" t="str">
        <f>IFERROR(__xludf.DUMMYFUNCTION("""COMPUTED_VALUE"""),"صفر المصفر")</f>
        <v>صفر المصفر</v>
      </c>
      <c r="W663" s="10" t="str">
        <f>IFERROR(__xludf.DUMMYFUNCTION("""COMPUTED_VALUE"""),"اس میں اپ صلی اللہ علیہ وسلم کی صفت مبارک کو اکثریت  سےبیان کیا گیا ہے یعنی کہ زیادہ تر اس میں اپ صلی اللہ علیہ وسلم کی صفات کا ذکر فرمایا گیا ہے اور اپ صلی اللہ علیہ وسلم کے نواسے حضرت امام حسین رضی اللہ تعالی عنہ کی ہمت بہادری اور شجاعت اور صبر کوسراہا "&amp;"گیا ہے اور اس کے بارے میں بیان کیا گیا ہے کہ کیسے حضرت امام حسین نے کربلا میں ہمت اور بہادری سے سامنا کیا")</f>
        <v>اس میں اپ صلی اللہ علیہ وسلم کی صفت مبارک کو اکثریت  سےبیان کیا گیا ہے یعنی کہ زیادہ تر اس میں اپ صلی اللہ علیہ وسلم کی صفات کا ذکر فرمایا گیا ہے اور اپ صلی اللہ علیہ وسلم کے نواسے حضرت امام حسین رضی اللہ تعالی عنہ کی ہمت بہادری اور شجاعت اور صبر کوسراہا گیا ہے اور اس کے بارے میں بیان کیا گیا ہے کہ کیسے حضرت امام حسین نے کربلا میں ہمت اور بہادری سے سامنا کیا</v>
      </c>
      <c r="X663" s="10">
        <f>IFERROR(__xludf.DUMMYFUNCTION("""COMPUTED_VALUE"""),8.0)</f>
        <v>8</v>
      </c>
      <c r="Y663" s="10">
        <f>IFERROR(__xludf.DUMMYFUNCTION("""COMPUTED_VALUE"""),1.0)</f>
        <v>1</v>
      </c>
      <c r="Z663" s="10">
        <f>IFERROR(__xludf.DUMMYFUNCTION("""COMPUTED_VALUE"""),1.0)</f>
        <v>1</v>
      </c>
      <c r="AA663" s="10">
        <f>IFERROR(__xludf.DUMMYFUNCTION("""COMPUTED_VALUE"""),6.0)</f>
        <v>6</v>
      </c>
      <c r="AB663" s="10">
        <f>IFERROR(__xludf.DUMMYFUNCTION("""COMPUTED_VALUE"""),8.0)</f>
        <v>8</v>
      </c>
      <c r="AC663" s="10">
        <f>IFERROR(__xludf.DUMMYFUNCTION("""COMPUTED_VALUE"""),0.0)</f>
        <v>0</v>
      </c>
      <c r="AD663" s="10">
        <f>IFERROR(__xludf.DUMMYFUNCTION("""COMPUTED_VALUE"""),0.0)</f>
        <v>0</v>
      </c>
      <c r="AE663" s="10">
        <f>IFERROR(__xludf.DUMMYFUNCTION("""COMPUTED_VALUE"""),0.0)</f>
        <v>0</v>
      </c>
      <c r="AF663" s="10">
        <f>IFERROR(__xludf.DUMMYFUNCTION("""COMPUTED_VALUE"""),10.0)</f>
        <v>10</v>
      </c>
      <c r="AG663" s="10">
        <f>IFERROR(__xludf.DUMMYFUNCTION("""COMPUTED_VALUE"""),10.0)</f>
        <v>10</v>
      </c>
      <c r="AH663" s="10">
        <f>IFERROR(__xludf.DUMMYFUNCTION("""COMPUTED_VALUE"""),0.0)</f>
        <v>0</v>
      </c>
      <c r="AI663" s="10">
        <f>IFERROR(__xludf.DUMMYFUNCTION("""COMPUTED_VALUE"""),0.0)</f>
        <v>0</v>
      </c>
      <c r="AJ663" s="11" t="str">
        <f>IFERROR(__xludf.DUMMYFUNCTION("""COMPUTED_VALUE"""),"https://drive.google.com/open?id=1exRhf6ZZ5uhI_FdFmPe_9LNCL-FEeb0S")</f>
        <v>https://drive.google.com/open?id=1exRhf6ZZ5uhI_FdFmPe_9LNCL-FEeb0S</v>
      </c>
      <c r="AK663" s="12"/>
      <c r="AL663" s="12" t="str">
        <f>IFERROR(__xludf.DUMMYFUNCTION("""COMPUTED_VALUE"""),"Yes")</f>
        <v>Yes</v>
      </c>
      <c r="AM663" s="15">
        <f>IFERROR(__xludf.DUMMYFUNCTION("""COMPUTED_VALUE"""),0.1)</f>
        <v>0.1</v>
      </c>
      <c r="AN663" s="12" t="str">
        <f>IFERROR(__xludf.DUMMYFUNCTION("""COMPUTED_VALUE"""),"3rd week")</f>
        <v>3rd week</v>
      </c>
      <c r="AO663" s="13">
        <v>3.0</v>
      </c>
      <c r="AX663" s="17"/>
    </row>
    <row r="664">
      <c r="B664" s="9">
        <f>IFERROR(__xludf.DUMMYFUNCTION("""COMPUTED_VALUE"""),45899.12705431713)</f>
        <v>45899.12705</v>
      </c>
      <c r="C664" s="10" t="str">
        <f>IFERROR(__xludf.DUMMYFUNCTION("""COMPUTED_VALUE"""),"Hajra Sultan")</f>
        <v>Hajra Sultan</v>
      </c>
      <c r="D664" s="10" t="str">
        <f>IFERROR(__xludf.DUMMYFUNCTION("""COMPUTED_VALUE"""),"03095163838")</f>
        <v>03095163838</v>
      </c>
      <c r="E664" s="10" t="str">
        <f>IFERROR(__xludf.DUMMYFUNCTION("""COMPUTED_VALUE"""),"Jamia Masjid Jagu Wali Jalaal Pur Peer Wala Multan")</f>
        <v>Jamia Masjid Jagu Wali Jalaal Pur Peer Wala Multan</v>
      </c>
      <c r="F664" s="10" t="str">
        <f>IFERROR(__xludf.DUMMYFUNCTION("""COMPUTED_VALUE"""),"ojkhv")</f>
        <v>ojkhv</v>
      </c>
      <c r="G664" s="10" t="str">
        <f>IFERROR(__xludf.DUMMYFUNCTION("""COMPUTED_VALUE"""),"Yes")</f>
        <v>Yes</v>
      </c>
      <c r="H664" s="10">
        <f>IFERROR(__xludf.DUMMYFUNCTION("""COMPUTED_VALUE"""),0.0)</f>
        <v>0</v>
      </c>
      <c r="I664" s="10">
        <f>IFERROR(__xludf.DUMMYFUNCTION("""COMPUTED_VALUE"""),10.0)</f>
        <v>10</v>
      </c>
      <c r="J664" s="10">
        <f>IFERROR(__xludf.DUMMYFUNCTION("""COMPUTED_VALUE"""),0.0)</f>
        <v>0</v>
      </c>
      <c r="K664" s="10">
        <f>IFERROR(__xludf.DUMMYFUNCTION("""COMPUTED_VALUE"""),1.0)</f>
        <v>1</v>
      </c>
      <c r="L664" s="10">
        <f>IFERROR(__xludf.DUMMYFUNCTION("""COMPUTED_VALUE"""),1.0)</f>
        <v>1</v>
      </c>
      <c r="M664" s="10">
        <f>IFERROR(__xludf.DUMMYFUNCTION("""COMPUTED_VALUE"""),0.0)</f>
        <v>0</v>
      </c>
      <c r="N664" s="10">
        <f>IFERROR(__xludf.DUMMYFUNCTION("""COMPUTED_VALUE"""),0.0)</f>
        <v>0</v>
      </c>
      <c r="O664" s="10">
        <f>IFERROR(__xludf.DUMMYFUNCTION("""COMPUTED_VALUE"""),0.0)</f>
        <v>0</v>
      </c>
      <c r="P664" s="10">
        <f>IFERROR(__xludf.DUMMYFUNCTION("""COMPUTED_VALUE"""),0.0)</f>
        <v>0</v>
      </c>
      <c r="Q664" s="10" t="str">
        <f>IFERROR(__xludf.DUMMYFUNCTION("""COMPUTED_VALUE"""),"No")</f>
        <v>No</v>
      </c>
      <c r="R664" s="10" t="str">
        <f>IFERROR(__xludf.DUMMYFUNCTION("""COMPUTED_VALUE"""),"Yes")</f>
        <v>Yes</v>
      </c>
      <c r="S664" s="10" t="str">
        <f>IFERROR(__xludf.DUMMYFUNCTION("""COMPUTED_VALUE"""),"Yes")</f>
        <v>Yes</v>
      </c>
      <c r="T664" s="10">
        <f>IFERROR(__xludf.DUMMYFUNCTION("""COMPUTED_VALUE"""),1.0)</f>
        <v>1</v>
      </c>
      <c r="U664" s="10">
        <f>IFERROR(__xludf.DUMMYFUNCTION("""COMPUTED_VALUE"""),1.0)</f>
        <v>1</v>
      </c>
      <c r="V664" s="10" t="str">
        <f>IFERROR(__xludf.DUMMYFUNCTION("""COMPUTED_VALUE"""),"حضرت مریم علیہ السلام کی پاک دامنی")</f>
        <v>حضرت مریم علیہ السلام کی پاک دامنی</v>
      </c>
      <c r="W664" s="10" t="str">
        <f>IFERROR(__xludf.DUMMYFUNCTION("""COMPUTED_VALUE"""),"اس میں یہ بیان کیا گیا ہے کہ اللہ تبارک و تعالی نے قران مجید فرقان حمید میں ارشاد فرمایا ہے اور قران مجید کی سورہ مریم میں سیدہ طیبہ طاہرہ حضرت مریم علیہ السلام کا ذکر فرمایا ہے کہ اللہ تبارک و تعالی نے ایک فرشتے کو بندے کی شکل میں حضرت مریم علیہ السلام ک"&amp;"ے والدین کے پاس بھیجا اور کہا کہ انہیں خوشخبری سناؤ ایک مسیح کی تو جب حضرت مریم علیہ السلام کے والدین کے پاس فرشتہ انسان کی شکل میں پہنچا تو اس نے انہیں خوشخبری سنائی تو انہوں نے کہا کہ ہمارے ہاں بچہ کیسے ہوگا تو حضرت مریم علیہ السلام کے والدین پریشان ہو "&amp;"گئے اور پھر سوچا کہ جو بھی ہوگا بیٹا یا بیٹی تو ہم  اے اللہ تیری عبادت کے لیے وقف کر دیں گے اور تیری راہ میں دے دیں گے تو جب نو ماہ پورے ہو گئے اور حضرت مریم علیہ السلام پیدا ہوئی تو انہوں نے کہا کہ اس کو بیت المقدس میں چھوڑ دیا جائے تاکہ یہ وہیں پر رہے ع"&amp;"بادت کرے اور اللہ کے ذکر میں رہے")</f>
        <v>اس میں یہ بیان کیا گیا ہے کہ اللہ تبارک و تعالی نے قران مجید فرقان حمید میں ارشاد فرمایا ہے اور قران مجید کی سورہ مریم میں سیدہ طیبہ طاہرہ حضرت مریم علیہ السلام کا ذکر فرمایا ہے کہ اللہ تبارک و تعالی نے ایک فرشتے کو بندے کی شکل میں حضرت مریم علیہ السلام کے والدین کے پاس بھیجا اور کہا کہ انہیں خوشخبری سناؤ ایک مسیح کی تو جب حضرت مریم علیہ السلام کے والدین کے پاس فرشتہ انسان کی شکل میں پہنچا تو اس نے انہیں خوشخبری سنائی تو انہوں نے کہا کہ ہمارے ہاں بچہ کیسے ہوگا تو حضرت مریم علیہ السلام کے والدین پریشان ہو گئے اور پھر سوچا کہ جو بھی ہوگا بیٹا یا بیٹی تو ہم  اے اللہ تیری عبادت کے لیے وقف کر دیں گے اور تیری راہ میں دے دیں گے تو جب نو ماہ پورے ہو گئے اور حضرت مریم علیہ السلام پیدا ہوئی تو انہوں نے کہا کہ اس کو بیت المقدس میں چھوڑ دیا جائے تاکہ یہ وہیں پر رہے عبادت کرے اور اللہ کے ذکر میں رہے</v>
      </c>
      <c r="X664" s="10">
        <f>IFERROR(__xludf.DUMMYFUNCTION("""COMPUTED_VALUE"""),6.0)</f>
        <v>6</v>
      </c>
      <c r="Y664" s="10">
        <f>IFERROR(__xludf.DUMMYFUNCTION("""COMPUTED_VALUE"""),5.0)</f>
        <v>5</v>
      </c>
      <c r="Z664" s="10">
        <f>IFERROR(__xludf.DUMMYFUNCTION("""COMPUTED_VALUE"""),5.0)</f>
        <v>5</v>
      </c>
      <c r="AA664" s="10">
        <f>IFERROR(__xludf.DUMMYFUNCTION("""COMPUTED_VALUE"""),7.0)</f>
        <v>7</v>
      </c>
      <c r="AB664" s="10">
        <f>IFERROR(__xludf.DUMMYFUNCTION("""COMPUTED_VALUE"""),3.0)</f>
        <v>3</v>
      </c>
      <c r="AC664" s="10">
        <f>IFERROR(__xludf.DUMMYFUNCTION("""COMPUTED_VALUE"""),0.0)</f>
        <v>0</v>
      </c>
      <c r="AD664" s="10">
        <f>IFERROR(__xludf.DUMMYFUNCTION("""COMPUTED_VALUE"""),0.0)</f>
        <v>0</v>
      </c>
      <c r="AE664" s="10">
        <f>IFERROR(__xludf.DUMMYFUNCTION("""COMPUTED_VALUE"""),2.0)</f>
        <v>2</v>
      </c>
      <c r="AF664" s="10">
        <f>IFERROR(__xludf.DUMMYFUNCTION("""COMPUTED_VALUE"""),10.0)</f>
        <v>10</v>
      </c>
      <c r="AG664" s="10">
        <f>IFERROR(__xludf.DUMMYFUNCTION("""COMPUTED_VALUE"""),10.0)</f>
        <v>10</v>
      </c>
      <c r="AH664" s="10">
        <f>IFERROR(__xludf.DUMMYFUNCTION("""COMPUTED_VALUE"""),0.0)</f>
        <v>0</v>
      </c>
      <c r="AI664" s="10">
        <f>IFERROR(__xludf.DUMMYFUNCTION("""COMPUTED_VALUE"""),10.0)</f>
        <v>10</v>
      </c>
      <c r="AJ664" s="11" t="str">
        <f>IFERROR(__xludf.DUMMYFUNCTION("""COMPUTED_VALUE"""),"https://drive.google.com/open?id=1bH3Xs1sa8pI_HPO7_Mu_dTvAYH2WJn2-")</f>
        <v>https://drive.google.com/open?id=1bH3Xs1sa8pI_HPO7_Mu_dTvAYH2WJn2-</v>
      </c>
      <c r="AK664" s="12"/>
      <c r="AL664" s="12" t="str">
        <f>IFERROR(__xludf.DUMMYFUNCTION("""COMPUTED_VALUE"""),"Yes")</f>
        <v>Yes</v>
      </c>
      <c r="AM664" s="15">
        <f>IFERROR(__xludf.DUMMYFUNCTION("""COMPUTED_VALUE"""),0.0)</f>
        <v>0</v>
      </c>
      <c r="AN664" s="12" t="str">
        <f>IFERROR(__xludf.DUMMYFUNCTION("""COMPUTED_VALUE"""),"3rd week")</f>
        <v>3rd week</v>
      </c>
      <c r="AO664" s="13">
        <v>3.0</v>
      </c>
      <c r="AX664" s="17"/>
    </row>
    <row r="665">
      <c r="B665" s="9">
        <f>IFERROR(__xludf.DUMMYFUNCTION("""COMPUTED_VALUE"""),45899.13848306713)</f>
        <v>45899.13848</v>
      </c>
      <c r="C665" s="10" t="str">
        <f>IFERROR(__xludf.DUMMYFUNCTION("""COMPUTED_VALUE"""),"Hajra Sultan")</f>
        <v>Hajra Sultan</v>
      </c>
      <c r="D665" s="10" t="str">
        <f>IFERROR(__xludf.DUMMYFUNCTION("""COMPUTED_VALUE"""),"03095163838")</f>
        <v>03095163838</v>
      </c>
      <c r="E665" s="10" t="str">
        <f>IFERROR(__xludf.DUMMYFUNCTION("""COMPUTED_VALUE"""),"Jamia Masjid Sheikh Muhammad Syed Wali Fareed Gate")</f>
        <v>Jamia Masjid Sheikh Muhammad Syed Wali Fareed Gate</v>
      </c>
      <c r="F665" s="10" t="str">
        <f>IFERROR(__xludf.DUMMYFUNCTION("""COMPUTED_VALUE"""),"PGOLJ")</f>
        <v>PGOLJ</v>
      </c>
      <c r="G665" s="10" t="str">
        <f>IFERROR(__xludf.DUMMYFUNCTION("""COMPUTED_VALUE"""),"Yes")</f>
        <v>Yes</v>
      </c>
      <c r="H665" s="10">
        <f>IFERROR(__xludf.DUMMYFUNCTION("""COMPUTED_VALUE"""),5.0)</f>
        <v>5</v>
      </c>
      <c r="I665" s="10">
        <f>IFERROR(__xludf.DUMMYFUNCTION("""COMPUTED_VALUE"""),4.0)</f>
        <v>4</v>
      </c>
      <c r="J665" s="10">
        <f>IFERROR(__xludf.DUMMYFUNCTION("""COMPUTED_VALUE"""),4.0)</f>
        <v>4</v>
      </c>
      <c r="K665" s="10">
        <f>IFERROR(__xludf.DUMMYFUNCTION("""COMPUTED_VALUE"""),5.0)</f>
        <v>5</v>
      </c>
      <c r="L665" s="10">
        <f>IFERROR(__xludf.DUMMYFUNCTION("""COMPUTED_VALUE"""),4.0)</f>
        <v>4</v>
      </c>
      <c r="M665" s="10">
        <f>IFERROR(__xludf.DUMMYFUNCTION("""COMPUTED_VALUE"""),4.0)</f>
        <v>4</v>
      </c>
      <c r="N665" s="10">
        <f>IFERROR(__xludf.DUMMYFUNCTION("""COMPUTED_VALUE"""),5.0)</f>
        <v>5</v>
      </c>
      <c r="O665" s="10">
        <f>IFERROR(__xludf.DUMMYFUNCTION("""COMPUTED_VALUE"""),2.0)</f>
        <v>2</v>
      </c>
      <c r="P665" s="10">
        <f>IFERROR(__xludf.DUMMYFUNCTION("""COMPUTED_VALUE"""),3.0)</f>
        <v>3</v>
      </c>
      <c r="Q665" s="10" t="str">
        <f>IFERROR(__xludf.DUMMYFUNCTION("""COMPUTED_VALUE"""),"Yes")</f>
        <v>Yes</v>
      </c>
      <c r="R665" s="10" t="str">
        <f>IFERROR(__xludf.DUMMYFUNCTION("""COMPUTED_VALUE"""),"Yes")</f>
        <v>Yes</v>
      </c>
      <c r="S665" s="10" t="str">
        <f>IFERROR(__xludf.DUMMYFUNCTION("""COMPUTED_VALUE"""),"Yes")</f>
        <v>Yes</v>
      </c>
      <c r="T665" s="10">
        <f>IFERROR(__xludf.DUMMYFUNCTION("""COMPUTED_VALUE"""),5.0)</f>
        <v>5</v>
      </c>
      <c r="U665" s="10">
        <f>IFERROR(__xludf.DUMMYFUNCTION("""COMPUTED_VALUE"""),3.0)</f>
        <v>3</v>
      </c>
      <c r="V665" s="10" t="str">
        <f>IFERROR(__xludf.DUMMYFUNCTION("""COMPUTED_VALUE"""),"زبان کی حفاظت کرنا")</f>
        <v>زبان کی حفاظت کرنا</v>
      </c>
      <c r="W665" s="10" t="str">
        <f>IFERROR(__xludf.DUMMYFUNCTION("""COMPUTED_VALUE"""),"اس میں اللہ تبارک و تعالی کی شان مبارک  بیان کی گئی ہے کہ اللہ تبارک و تعالی اتنی بڑی شان والے ہیں اتنے عظیم رب ہیں کہ ہمیں جمعۃ المبارک جیسا دن نصیب فرمایا ہے ایام جمعہ یعنی کہ یہ تمام دنوں کا سردار ہے اور اللہ تبارک و تعالی نے ہمیں زبان کی حفاظت کرنے کا"&amp;" حکم دیا ہے اللہ تبارک و تعالی فرماتے ہیں کہ اپنی زبانوں کی حفاظت کرو اگر ہماری زبان سے کوئی بھی ایسے الفاظ جو ہمیں گناہوں کی طرف لے جانے کا سبب بنتے ہیں اس سے ہمیں ہمیشہ بچنا چاہیے اور ایسے زبان سے الفاظ نہیں نکالنے چاہیے اور ہمیشہ اپنی زبان کی حفاظت کرن"&amp;"ی چاہیے اور جب صبح کو بندہ اٹھتا ہے تو جسم کے تمام اعضاء تیار ہوتے ہیں اور زبان سے کہتے ہیں کہ کوئی بھی ایسا اج الفاظ نہ نکالنا جس کی وجہ سے ہمیں بھی تکلیف اٹھانی پڑے اور ہم بھی گناہوں کے مرتکب ہو جائیں تو اس لیے جب بھی انسان اٹھتا ہے تو جسم کا ہر حصہ یہی"&amp;" کہتا ہے اور سوچتا ہے کہ اج زبان سے کیاالفاظ  نکلیں گے اور ہمیں اپنی زبانوں کو ہمیشہ پاک صاف ہی رکھنا چاہیے اور ہمیشہ اچھے الفاظ بولنے چاہیے تاکہ ہم سے کوئی گناہ نہ ہو سکے")</f>
        <v>اس میں اللہ تبارک و تعالی کی شان مبارک  بیان کی گئی ہے کہ اللہ تبارک و تعالی اتنی بڑی شان والے ہیں اتنے عظیم رب ہیں کہ ہمیں جمعۃ المبارک جیسا دن نصیب فرمایا ہے ایام جمعہ یعنی کہ یہ تمام دنوں کا سردار ہے اور اللہ تبارک و تعالی نے ہمیں زبان کی حفاظت کرنے کا حکم دیا ہے اللہ تبارک و تعالی فرماتے ہیں کہ اپنی زبانوں کی حفاظت کرو اگر ہماری زبان سے کوئی بھی ایسے الفاظ جو ہمیں گناہوں کی طرف لے جانے کا سبب بنتے ہیں اس سے ہمیں ہمیشہ بچنا چاہیے اور ایسے زبان سے الفاظ نہیں نکالنے چاہیے اور ہمیشہ اپنی زبان کی حفاظت کرنی چاہیے اور جب صبح کو بندہ اٹھتا ہے تو جسم کے تمام اعضاء تیار ہوتے ہیں اور زبان سے کہتے ہیں کہ کوئی بھی ایسا اج الفاظ نہ نکالنا جس کی وجہ سے ہمیں بھی تکلیف اٹھانی پڑے اور ہم بھی گناہوں کے مرتکب ہو جائیں تو اس لیے جب بھی انسان اٹھتا ہے تو جسم کا ہر حصہ یہی کہتا ہے اور سوچتا ہے کہ اج زبان سے کیاالفاظ  نکلیں گے اور ہمیں اپنی زبانوں کو ہمیشہ پاک صاف ہی رکھنا چاہیے اور ہمیشہ اچھے الفاظ بولنے چاہیے تاکہ ہم سے کوئی گناہ نہ ہو سکے</v>
      </c>
      <c r="X665" s="10">
        <f>IFERROR(__xludf.DUMMYFUNCTION("""COMPUTED_VALUE"""),5.0)</f>
        <v>5</v>
      </c>
      <c r="Y665" s="10">
        <f>IFERROR(__xludf.DUMMYFUNCTION("""COMPUTED_VALUE"""),7.0)</f>
        <v>7</v>
      </c>
      <c r="Z665" s="10">
        <f>IFERROR(__xludf.DUMMYFUNCTION("""COMPUTED_VALUE"""),2.0)</f>
        <v>2</v>
      </c>
      <c r="AA665" s="10">
        <f>IFERROR(__xludf.DUMMYFUNCTION("""COMPUTED_VALUE"""),5.0)</f>
        <v>5</v>
      </c>
      <c r="AB665" s="10">
        <f>IFERROR(__xludf.DUMMYFUNCTION("""COMPUTED_VALUE"""),1.0)</f>
        <v>1</v>
      </c>
      <c r="AC665" s="10">
        <f>IFERROR(__xludf.DUMMYFUNCTION("""COMPUTED_VALUE"""),0.0)</f>
        <v>0</v>
      </c>
      <c r="AD665" s="10">
        <f>IFERROR(__xludf.DUMMYFUNCTION("""COMPUTED_VALUE"""),0.0)</f>
        <v>0</v>
      </c>
      <c r="AE665" s="10">
        <f>IFERROR(__xludf.DUMMYFUNCTION("""COMPUTED_VALUE"""),5.0)</f>
        <v>5</v>
      </c>
      <c r="AF665" s="10">
        <f>IFERROR(__xludf.DUMMYFUNCTION("""COMPUTED_VALUE"""),10.0)</f>
        <v>10</v>
      </c>
      <c r="AG665" s="10">
        <f>IFERROR(__xludf.DUMMYFUNCTION("""COMPUTED_VALUE"""),10.0)</f>
        <v>10</v>
      </c>
      <c r="AH665" s="10">
        <f>IFERROR(__xludf.DUMMYFUNCTION("""COMPUTED_VALUE"""),0.0)</f>
        <v>0</v>
      </c>
      <c r="AI665" s="10">
        <f>IFERROR(__xludf.DUMMYFUNCTION("""COMPUTED_VALUE"""),10.0)</f>
        <v>10</v>
      </c>
      <c r="AJ665" s="11" t="str">
        <f>IFERROR(__xludf.DUMMYFUNCTION("""COMPUTED_VALUE"""),"https://drive.google.com/open?id=1z_VhX-MOWFYrusFurVaNiSLGI6M4Q-Rr")</f>
        <v>https://drive.google.com/open?id=1z_VhX-MOWFYrusFurVaNiSLGI6M4Q-Rr</v>
      </c>
      <c r="AK665" s="12"/>
      <c r="AL665" s="12" t="str">
        <f>IFERROR(__xludf.DUMMYFUNCTION("""COMPUTED_VALUE"""),"Yes")</f>
        <v>Yes</v>
      </c>
      <c r="AM665" s="15">
        <f>IFERROR(__xludf.DUMMYFUNCTION("""COMPUTED_VALUE"""),0.5)</f>
        <v>0.5</v>
      </c>
      <c r="AN665" s="12" t="str">
        <f>IFERROR(__xludf.DUMMYFUNCTION("""COMPUTED_VALUE"""),"3rd week")</f>
        <v>3rd week</v>
      </c>
      <c r="AO665" s="13">
        <v>3.0</v>
      </c>
      <c r="AX665" s="17"/>
    </row>
    <row r="666">
      <c r="B666" s="9">
        <f>IFERROR(__xludf.DUMMYFUNCTION("""COMPUTED_VALUE"""),45899.14376548611)</f>
        <v>45899.14377</v>
      </c>
      <c r="C666" s="10" t="str">
        <f>IFERROR(__xludf.DUMMYFUNCTION("""COMPUTED_VALUE"""),"Hajra Sultan")</f>
        <v>Hajra Sultan</v>
      </c>
      <c r="D666" s="10" t="str">
        <f>IFERROR(__xludf.DUMMYFUNCTION("""COMPUTED_VALUE"""),"03095163838")</f>
        <v>03095163838</v>
      </c>
      <c r="E666" s="10" t="str">
        <f>IFERROR(__xludf.DUMMYFUNCTION("""COMPUTED_VALUE"""),"Jamia Masjid Shahe Dera Nawab Shahab")</f>
        <v>Jamia Masjid Shahe Dera Nawab Shahab</v>
      </c>
      <c r="F666" s="10" t="str">
        <f>IFERROR(__xludf.DUMMYFUNCTION("""COMPUTED_VALUE"""),"njkni")</f>
        <v>njkni</v>
      </c>
      <c r="G666" s="10" t="str">
        <f>IFERROR(__xludf.DUMMYFUNCTION("""COMPUTED_VALUE"""),"Yes")</f>
        <v>Yes</v>
      </c>
      <c r="H666" s="10">
        <f>IFERROR(__xludf.DUMMYFUNCTION("""COMPUTED_VALUE"""),0.0)</f>
        <v>0</v>
      </c>
      <c r="I666" s="10">
        <f>IFERROR(__xludf.DUMMYFUNCTION("""COMPUTED_VALUE"""),10.0)</f>
        <v>10</v>
      </c>
      <c r="J666" s="10">
        <f>IFERROR(__xludf.DUMMYFUNCTION("""COMPUTED_VALUE"""),0.0)</f>
        <v>0</v>
      </c>
      <c r="K666" s="10">
        <f>IFERROR(__xludf.DUMMYFUNCTION("""COMPUTED_VALUE"""),0.0)</f>
        <v>0</v>
      </c>
      <c r="L666" s="10">
        <f>IFERROR(__xludf.DUMMYFUNCTION("""COMPUTED_VALUE"""),0.0)</f>
        <v>0</v>
      </c>
      <c r="M666" s="10">
        <f>IFERROR(__xludf.DUMMYFUNCTION("""COMPUTED_VALUE"""),0.0)</f>
        <v>0</v>
      </c>
      <c r="N666" s="10">
        <f>IFERROR(__xludf.DUMMYFUNCTION("""COMPUTED_VALUE"""),0.0)</f>
        <v>0</v>
      </c>
      <c r="O666" s="10">
        <f>IFERROR(__xludf.DUMMYFUNCTION("""COMPUTED_VALUE"""),0.0)</f>
        <v>0</v>
      </c>
      <c r="P666" s="10">
        <f>IFERROR(__xludf.DUMMYFUNCTION("""COMPUTED_VALUE"""),0.0)</f>
        <v>0</v>
      </c>
      <c r="Q666" s="10" t="str">
        <f>IFERROR(__xludf.DUMMYFUNCTION("""COMPUTED_VALUE"""),"No")</f>
        <v>No</v>
      </c>
      <c r="R666" s="10" t="str">
        <f>IFERROR(__xludf.DUMMYFUNCTION("""COMPUTED_VALUE"""),"No")</f>
        <v>No</v>
      </c>
      <c r="S666" s="10" t="str">
        <f>IFERROR(__xludf.DUMMYFUNCTION("""COMPUTED_VALUE"""),"No")</f>
        <v>No</v>
      </c>
      <c r="T666" s="10">
        <f>IFERROR(__xludf.DUMMYFUNCTION("""COMPUTED_VALUE"""),0.0)</f>
        <v>0</v>
      </c>
      <c r="U666" s="10">
        <f>IFERROR(__xludf.DUMMYFUNCTION("""COMPUTED_VALUE"""),0.0)</f>
        <v>0</v>
      </c>
      <c r="V666" s="10" t="str">
        <f>IFERROR(__xludf.DUMMYFUNCTION("""COMPUTED_VALUE"""),"اپ صلی اللہ علیہ وسلم کا مکہ سے مدینہ ہجرت کرنا")</f>
        <v>اپ صلی اللہ علیہ وسلم کا مکہ سے مدینہ ہجرت کرنا</v>
      </c>
      <c r="W666" s="10" t="str">
        <f>IFERROR(__xludf.DUMMYFUNCTION("""COMPUTED_VALUE"""),"اس میں یہ بیان کیا گیا ہے کہ اللہ کے پیارے محبوب حضرت محمد مصطفی صلی اللہ علیہ وسلم جب مکہ میں اسلام کی تبلیغ فرما رہے تھے تو وہاں پر اپ صلی اللہ علیہ وسلم کے لیے  رہنا مشکل ہو گیا تھا کیونکہ وہاں کے جو کفار اور مشرکین لوگ تھے وہ اپ صلی اللہ علیہ وسلم کے "&amp;"خلاف چالیں چلنے لگے اور اپ صلی اللہ علیہ وسلم کو نعوذ باللہ شہید کرنے کے منصوبے بنانے لگے تو اللہ تبارک و تعالی نے اپ صلی اللہ علیہ وسلم کو فرمایا کہ اے محبوب اب اپ مکہ سے مدینہ شریف کی طرف ہجرت کر جائیں کیونکہ یہاں پر  یہ لوگ اپ کے دشمن بنے ہوئے ہیں اور "&amp;"اپ کے خلاف چالیں چل رہے ہیں تو اپ صلی اللہ علیہ وسلم رات ہی کو مکہ سے مدینہ منورہ ہجرت کر گئے")</f>
        <v>اس میں یہ بیان کیا گیا ہے کہ اللہ کے پیارے محبوب حضرت محمد مصطفی صلی اللہ علیہ وسلم جب مکہ میں اسلام کی تبلیغ فرما رہے تھے تو وہاں پر اپ صلی اللہ علیہ وسلم کے لیے  رہنا مشکل ہو گیا تھا کیونکہ وہاں کے جو کفار اور مشرکین لوگ تھے وہ اپ صلی اللہ علیہ وسلم کے خلاف چالیں چلنے لگے اور اپ صلی اللہ علیہ وسلم کو نعوذ باللہ شہید کرنے کے منصوبے بنانے لگے تو اللہ تبارک و تعالی نے اپ صلی اللہ علیہ وسلم کو فرمایا کہ اے محبوب اب اپ مکہ سے مدینہ شریف کی طرف ہجرت کر جائیں کیونکہ یہاں پر  یہ لوگ اپ کے دشمن بنے ہوئے ہیں اور اپ کے خلاف چالیں چل رہے ہیں تو اپ صلی اللہ علیہ وسلم رات ہی کو مکہ سے مدینہ منورہ ہجرت کر گئے</v>
      </c>
      <c r="X666" s="10">
        <f>IFERROR(__xludf.DUMMYFUNCTION("""COMPUTED_VALUE"""),6.0)</f>
        <v>6</v>
      </c>
      <c r="Y666" s="10">
        <f>IFERROR(__xludf.DUMMYFUNCTION("""COMPUTED_VALUE"""),5.0)</f>
        <v>5</v>
      </c>
      <c r="Z666" s="10">
        <f>IFERROR(__xludf.DUMMYFUNCTION("""COMPUTED_VALUE"""),0.0)</f>
        <v>0</v>
      </c>
      <c r="AA666" s="10">
        <f>IFERROR(__xludf.DUMMYFUNCTION("""COMPUTED_VALUE"""),6.0)</f>
        <v>6</v>
      </c>
      <c r="AB666" s="10">
        <f>IFERROR(__xludf.DUMMYFUNCTION("""COMPUTED_VALUE"""),5.0)</f>
        <v>5</v>
      </c>
      <c r="AC666" s="10">
        <f>IFERROR(__xludf.DUMMYFUNCTION("""COMPUTED_VALUE"""),0.0)</f>
        <v>0</v>
      </c>
      <c r="AD666" s="10">
        <f>IFERROR(__xludf.DUMMYFUNCTION("""COMPUTED_VALUE"""),0.0)</f>
        <v>0</v>
      </c>
      <c r="AE666" s="10">
        <f>IFERROR(__xludf.DUMMYFUNCTION("""COMPUTED_VALUE"""),5.0)</f>
        <v>5</v>
      </c>
      <c r="AF666" s="10">
        <f>IFERROR(__xludf.DUMMYFUNCTION("""COMPUTED_VALUE"""),10.0)</f>
        <v>10</v>
      </c>
      <c r="AG666" s="10">
        <f>IFERROR(__xludf.DUMMYFUNCTION("""COMPUTED_VALUE"""),10.0)</f>
        <v>10</v>
      </c>
      <c r="AH666" s="10">
        <f>IFERROR(__xludf.DUMMYFUNCTION("""COMPUTED_VALUE"""),0.0)</f>
        <v>0</v>
      </c>
      <c r="AI666" s="10">
        <f>IFERROR(__xludf.DUMMYFUNCTION("""COMPUTED_VALUE"""),10.0)</f>
        <v>10</v>
      </c>
      <c r="AJ666" s="11" t="str">
        <f>IFERROR(__xludf.DUMMYFUNCTION("""COMPUTED_VALUE"""),"https://drive.google.com/open?id=1IaNq_2RzGe5DMoahWao8PoDbOmG-51MJ")</f>
        <v>https://drive.google.com/open?id=1IaNq_2RzGe5DMoahWao8PoDbOmG-51MJ</v>
      </c>
      <c r="AK666" s="12"/>
      <c r="AL666" s="12" t="str">
        <f>IFERROR(__xludf.DUMMYFUNCTION("""COMPUTED_VALUE"""),"Yes")</f>
        <v>Yes</v>
      </c>
      <c r="AM666" s="15">
        <f>IFERROR(__xludf.DUMMYFUNCTION("""COMPUTED_VALUE"""),0.0)</f>
        <v>0</v>
      </c>
      <c r="AN666" s="12" t="str">
        <f>IFERROR(__xludf.DUMMYFUNCTION("""COMPUTED_VALUE"""),"3rd week")</f>
        <v>3rd week</v>
      </c>
      <c r="AO666" s="13">
        <v>3.0</v>
      </c>
      <c r="AX666" s="17"/>
    </row>
    <row r="667">
      <c r="B667" s="9">
        <f>IFERROR(__xludf.DUMMYFUNCTION("""COMPUTED_VALUE"""),45899.14945885417)</f>
        <v>45899.14946</v>
      </c>
      <c r="C667" s="10" t="str">
        <f>IFERROR(__xludf.DUMMYFUNCTION("""COMPUTED_VALUE"""),"Hajra Sultan")</f>
        <v>Hajra Sultan</v>
      </c>
      <c r="D667" s="10" t="str">
        <f>IFERROR(__xludf.DUMMYFUNCTION("""COMPUTED_VALUE"""),"03095163838")</f>
        <v>03095163838</v>
      </c>
      <c r="E667" s="10" t="str">
        <f>IFERROR(__xludf.DUMMYFUNCTION("""COMPUTED_VALUE"""),"Jamia Masjid Chanan Peer Sarkar Cholistan")</f>
        <v>Jamia Masjid Chanan Peer Sarkar Cholistan</v>
      </c>
      <c r="F667" s="10" t="str">
        <f>IFERROR(__xludf.DUMMYFUNCTION("""COMPUTED_VALUE"""),"dqkgk")</f>
        <v>dqkgk</v>
      </c>
      <c r="G667" s="10" t="str">
        <f>IFERROR(__xludf.DUMMYFUNCTION("""COMPUTED_VALUE"""),"Yes")</f>
        <v>Yes</v>
      </c>
      <c r="H667" s="10">
        <f>IFERROR(__xludf.DUMMYFUNCTION("""COMPUTED_VALUE"""),0.0)</f>
        <v>0</v>
      </c>
      <c r="I667" s="10">
        <f>IFERROR(__xludf.DUMMYFUNCTION("""COMPUTED_VALUE"""),10.0)</f>
        <v>10</v>
      </c>
      <c r="J667" s="10">
        <f>IFERROR(__xludf.DUMMYFUNCTION("""COMPUTED_VALUE"""),0.0)</f>
        <v>0</v>
      </c>
      <c r="K667" s="10">
        <f>IFERROR(__xludf.DUMMYFUNCTION("""COMPUTED_VALUE"""),0.0)</f>
        <v>0</v>
      </c>
      <c r="L667" s="10">
        <f>IFERROR(__xludf.DUMMYFUNCTION("""COMPUTED_VALUE"""),0.0)</f>
        <v>0</v>
      </c>
      <c r="M667" s="10">
        <f>IFERROR(__xludf.DUMMYFUNCTION("""COMPUTED_VALUE"""),1.0)</f>
        <v>1</v>
      </c>
      <c r="N667" s="10">
        <f>IFERROR(__xludf.DUMMYFUNCTION("""COMPUTED_VALUE"""),1.0)</f>
        <v>1</v>
      </c>
      <c r="O667" s="10">
        <f>IFERROR(__xludf.DUMMYFUNCTION("""COMPUTED_VALUE"""),0.0)</f>
        <v>0</v>
      </c>
      <c r="P667" s="10">
        <f>IFERROR(__xludf.DUMMYFUNCTION("""COMPUTED_VALUE"""),1.0)</f>
        <v>1</v>
      </c>
      <c r="Q667" s="10" t="str">
        <f>IFERROR(__xludf.DUMMYFUNCTION("""COMPUTED_VALUE"""),"No")</f>
        <v>No</v>
      </c>
      <c r="R667" s="10" t="str">
        <f>IFERROR(__xludf.DUMMYFUNCTION("""COMPUTED_VALUE"""),"No")</f>
        <v>No</v>
      </c>
      <c r="S667" s="10" t="str">
        <f>IFERROR(__xludf.DUMMYFUNCTION("""COMPUTED_VALUE"""),"No")</f>
        <v>No</v>
      </c>
      <c r="T667" s="10">
        <f>IFERROR(__xludf.DUMMYFUNCTION("""COMPUTED_VALUE"""),0.0)</f>
        <v>0</v>
      </c>
      <c r="U667" s="10">
        <f>IFERROR(__xludf.DUMMYFUNCTION("""COMPUTED_VALUE"""),0.0)</f>
        <v>0</v>
      </c>
      <c r="V667" s="10" t="str">
        <f>IFERROR(__xludf.DUMMYFUNCTION("""COMPUTED_VALUE"""),"دین اسلام کی دعوت دینا اور دین اسلام کی تبلیغ کرنا")</f>
        <v>دین اسلام کی دعوت دینا اور دین اسلام کی تبلیغ کرنا</v>
      </c>
      <c r="W667" s="10" t="str">
        <f>IFERROR(__xludf.DUMMYFUNCTION("""COMPUTED_VALUE"""),"اس میں یہ بیان کیا گیا ہے کہ اللہ تبارک و تعالی کے پیارے محبوب حضرت محمد مصطفی صلی اللہ علیہ وسلم جب دین اسلام کی تبلیغ فرما رہے تھے تو مکہ میں مقیم تھے اور وہیں پر لوگوں کو اسلام کی دعوت دیتے تھے تو اس دوران مکہ کے کچھ مشرکین اور  کافر جو تھے وہ اپ صلی ا"&amp;"للہ علیہ وسلم سے حسد کرتے تھے اور اپ صلی اللہ علیہ وسلم کے خلاف باتیں کرتے تھے کیونکہ اپ صلی اللہ علیہ وسلم کے پاس جو بھی شخص  آتا تھا تو وہ اپ صلی اللہ علیہ وسلم کے اسوہ حسنہ اور نہایت ہی اعلی گفتگو کی وجہ سے وہ اپ صلی اللہ علیہ وسلم کے اخلاق سے متاثر ہو"&amp;" کر اس پر ایمان لے اتے اور اسلام کی دعوت کو قبول کرتے جس کی وجہ سے کفار اور مشرکین یہ بات برداشت نہ کرتے اور پھر انہوں نے اپنے تمام قبیلے کے سرداروں کو بلایا اور ایک منصوبہ بنایا کہ اپ صلی اللہ علیہ وسلم کو مکہ سے نکال دیا جائے یا اسے نعوذ باللہ قتل یا شہ"&amp;"ید کر دیا جائے")</f>
        <v>اس میں یہ بیان کیا گیا ہے کہ اللہ تبارک و تعالی کے پیارے محبوب حضرت محمد مصطفی صلی اللہ علیہ وسلم جب دین اسلام کی تبلیغ فرما رہے تھے تو مکہ میں مقیم تھے اور وہیں پر لوگوں کو اسلام کی دعوت دیتے تھے تو اس دوران مکہ کے کچھ مشرکین اور  کافر جو تھے وہ اپ صلی اللہ علیہ وسلم سے حسد کرتے تھے اور اپ صلی اللہ علیہ وسلم کے خلاف باتیں کرتے تھے کیونکہ اپ صلی اللہ علیہ وسلم کے پاس جو بھی شخص  آتا تھا تو وہ اپ صلی اللہ علیہ وسلم کے اسوہ حسنہ اور نہایت ہی اعلی گفتگو کی وجہ سے وہ اپ صلی اللہ علیہ وسلم کے اخلاق سے متاثر ہو کر اس پر ایمان لے اتے اور اسلام کی دعوت کو قبول کرتے جس کی وجہ سے کفار اور مشرکین یہ بات برداشت نہ کرتے اور پھر انہوں نے اپنے تمام قبیلے کے سرداروں کو بلایا اور ایک منصوبہ بنایا کہ اپ صلی اللہ علیہ وسلم کو مکہ سے نکال دیا جائے یا اسے نعوذ باللہ قتل یا شہید کر دیا جائے</v>
      </c>
      <c r="X667" s="10">
        <f>IFERROR(__xludf.DUMMYFUNCTION("""COMPUTED_VALUE"""),9.0)</f>
        <v>9</v>
      </c>
      <c r="Y667" s="10">
        <f>IFERROR(__xludf.DUMMYFUNCTION("""COMPUTED_VALUE"""),5.0)</f>
        <v>5</v>
      </c>
      <c r="Z667" s="10">
        <f>IFERROR(__xludf.DUMMYFUNCTION("""COMPUTED_VALUE"""),1.0)</f>
        <v>1</v>
      </c>
      <c r="AA667" s="10">
        <f>IFERROR(__xludf.DUMMYFUNCTION("""COMPUTED_VALUE"""),7.0)</f>
        <v>7</v>
      </c>
      <c r="AB667" s="10">
        <f>IFERROR(__xludf.DUMMYFUNCTION("""COMPUTED_VALUE"""),1.0)</f>
        <v>1</v>
      </c>
      <c r="AC667" s="10">
        <f>IFERROR(__xludf.DUMMYFUNCTION("""COMPUTED_VALUE"""),1.0)</f>
        <v>1</v>
      </c>
      <c r="AD667" s="10">
        <f>IFERROR(__xludf.DUMMYFUNCTION("""COMPUTED_VALUE"""),1.0)</f>
        <v>1</v>
      </c>
      <c r="AE667" s="10">
        <f>IFERROR(__xludf.DUMMYFUNCTION("""COMPUTED_VALUE"""),8.0)</f>
        <v>8</v>
      </c>
      <c r="AF667" s="10">
        <f>IFERROR(__xludf.DUMMYFUNCTION("""COMPUTED_VALUE"""),10.0)</f>
        <v>10</v>
      </c>
      <c r="AG667" s="10">
        <f>IFERROR(__xludf.DUMMYFUNCTION("""COMPUTED_VALUE"""),10.0)</f>
        <v>10</v>
      </c>
      <c r="AH667" s="10">
        <f>IFERROR(__xludf.DUMMYFUNCTION("""COMPUTED_VALUE"""),0.0)</f>
        <v>0</v>
      </c>
      <c r="AI667" s="10">
        <f>IFERROR(__xludf.DUMMYFUNCTION("""COMPUTED_VALUE"""),10.0)</f>
        <v>10</v>
      </c>
      <c r="AJ667" s="11" t="str">
        <f>IFERROR(__xludf.DUMMYFUNCTION("""COMPUTED_VALUE"""),"https://drive.google.com/open?id=1GcikKd13cqvqDSuZHBoKC39ftBsq7rT0")</f>
        <v>https://drive.google.com/open?id=1GcikKd13cqvqDSuZHBoKC39ftBsq7rT0</v>
      </c>
      <c r="AK667" s="12"/>
      <c r="AL667" s="12" t="str">
        <f>IFERROR(__xludf.DUMMYFUNCTION("""COMPUTED_VALUE"""),"Yes")</f>
        <v>Yes</v>
      </c>
      <c r="AM667" s="15">
        <f>IFERROR(__xludf.DUMMYFUNCTION("""COMPUTED_VALUE"""),0.0)</f>
        <v>0</v>
      </c>
      <c r="AN667" s="12" t="str">
        <f>IFERROR(__xludf.DUMMYFUNCTION("""COMPUTED_VALUE"""),"3rd week")</f>
        <v>3rd week</v>
      </c>
      <c r="AO667" s="13">
        <v>3.0</v>
      </c>
      <c r="AX667" s="17"/>
    </row>
    <row r="668">
      <c r="B668" s="9">
        <f>IFERROR(__xludf.DUMMYFUNCTION("""COMPUTED_VALUE"""),45899.46546056713)</f>
        <v>45899.46546</v>
      </c>
      <c r="C668" s="10" t="str">
        <f>IFERROR(__xludf.DUMMYFUNCTION("""COMPUTED_VALUE"""),"Javeria abbas")</f>
        <v>Javeria abbas</v>
      </c>
      <c r="D668" s="10" t="str">
        <f>IFERROR(__xludf.DUMMYFUNCTION("""COMPUTED_VALUE"""),"03211539026")</f>
        <v>03211539026</v>
      </c>
      <c r="E668" s="10" t="str">
        <f>IFERROR(__xludf.DUMMYFUNCTION("""COMPUTED_VALUE"""),"Jamia Masjid Gosha Nasheen Multan")</f>
        <v>Jamia Masjid Gosha Nasheen Multan</v>
      </c>
      <c r="F668" s="10" t="str">
        <f>IFERROR(__xludf.DUMMYFUNCTION("""COMPUTED_VALUE"""),"lhgfs")</f>
        <v>lhgfs</v>
      </c>
      <c r="G668" s="10" t="str">
        <f>IFERROR(__xludf.DUMMYFUNCTION("""COMPUTED_VALUE"""),"Yes")</f>
        <v>Yes</v>
      </c>
      <c r="H668" s="10">
        <f>IFERROR(__xludf.DUMMYFUNCTION("""COMPUTED_VALUE"""),0.0)</f>
        <v>0</v>
      </c>
      <c r="I668" s="10">
        <f>IFERROR(__xludf.DUMMYFUNCTION("""COMPUTED_VALUE"""),10.0)</f>
        <v>10</v>
      </c>
      <c r="J668" s="10">
        <f>IFERROR(__xludf.DUMMYFUNCTION("""COMPUTED_VALUE"""),0.0)</f>
        <v>0</v>
      </c>
      <c r="K668" s="10">
        <f>IFERROR(__xludf.DUMMYFUNCTION("""COMPUTED_VALUE"""),0.0)</f>
        <v>0</v>
      </c>
      <c r="L668" s="10">
        <f>IFERROR(__xludf.DUMMYFUNCTION("""COMPUTED_VALUE"""),0.0)</f>
        <v>0</v>
      </c>
      <c r="M668" s="10">
        <f>IFERROR(__xludf.DUMMYFUNCTION("""COMPUTED_VALUE"""),0.0)</f>
        <v>0</v>
      </c>
      <c r="N668" s="10">
        <f>IFERROR(__xludf.DUMMYFUNCTION("""COMPUTED_VALUE"""),0.0)</f>
        <v>0</v>
      </c>
      <c r="O668" s="10">
        <f>IFERROR(__xludf.DUMMYFUNCTION("""COMPUTED_VALUE"""),0.0)</f>
        <v>0</v>
      </c>
      <c r="P668" s="10">
        <f>IFERROR(__xludf.DUMMYFUNCTION("""COMPUTED_VALUE"""),0.0)</f>
        <v>0</v>
      </c>
      <c r="Q668" s="10" t="str">
        <f>IFERROR(__xludf.DUMMYFUNCTION("""COMPUTED_VALUE"""),"No")</f>
        <v>No</v>
      </c>
      <c r="R668" s="10" t="str">
        <f>IFERROR(__xludf.DUMMYFUNCTION("""COMPUTED_VALUE"""),"No")</f>
        <v>No</v>
      </c>
      <c r="S668" s="10" t="str">
        <f>IFERROR(__xludf.DUMMYFUNCTION("""COMPUTED_VALUE"""),"No")</f>
        <v>No</v>
      </c>
      <c r="T668" s="10">
        <f>IFERROR(__xludf.DUMMYFUNCTION("""COMPUTED_VALUE"""),0.0)</f>
        <v>0</v>
      </c>
      <c r="U668" s="10">
        <f>IFERROR(__xludf.DUMMYFUNCTION("""COMPUTED_VALUE"""),0.0)</f>
        <v>0</v>
      </c>
      <c r="V668" s="10" t="str">
        <f>IFERROR(__xludf.DUMMYFUNCTION("""COMPUTED_VALUE""")," اولیا کرام کے بارے میں")</f>
        <v> اولیا کرام کے بارے میں</v>
      </c>
      <c r="W668" s="10" t="str">
        <f>IFERROR(__xludf.DUMMYFUNCTION("""COMPUTED_VALUE"""),"امام نے اپنے بیان میں بتایا ہے کہ جو سچے ولی اللہ ہوتے ہیں وہ کبھی خود کو دنیا کے سامنے ظاہر نہیں کرتے اور وہ اپنی امت کو صحیح راستہ دکھاتے ہیں ")</f>
        <v>امام نے اپنے بیان میں بتایا ہے کہ جو سچے ولی اللہ ہوتے ہیں وہ کبھی خود کو دنیا کے سامنے ظاہر نہیں کرتے اور وہ اپنی امت کو صحیح راستہ دکھاتے ہیں </v>
      </c>
      <c r="X668" s="10">
        <f>IFERROR(__xludf.DUMMYFUNCTION("""COMPUTED_VALUE"""),0.0)</f>
        <v>0</v>
      </c>
      <c r="Y668" s="10">
        <f>IFERROR(__xludf.DUMMYFUNCTION("""COMPUTED_VALUE"""),6.0)</f>
        <v>6</v>
      </c>
      <c r="Z668" s="10">
        <f>IFERROR(__xludf.DUMMYFUNCTION("""COMPUTED_VALUE"""),7.0)</f>
        <v>7</v>
      </c>
      <c r="AA668" s="10">
        <f>IFERROR(__xludf.DUMMYFUNCTION("""COMPUTED_VALUE"""),6.0)</f>
        <v>6</v>
      </c>
      <c r="AB668" s="10">
        <f>IFERROR(__xludf.DUMMYFUNCTION("""COMPUTED_VALUE"""),5.0)</f>
        <v>5</v>
      </c>
      <c r="AC668" s="10">
        <f>IFERROR(__xludf.DUMMYFUNCTION("""COMPUTED_VALUE"""),0.0)</f>
        <v>0</v>
      </c>
      <c r="AD668" s="10">
        <f>IFERROR(__xludf.DUMMYFUNCTION("""COMPUTED_VALUE"""),0.0)</f>
        <v>0</v>
      </c>
      <c r="AE668" s="10">
        <f>IFERROR(__xludf.DUMMYFUNCTION("""COMPUTED_VALUE"""),4.0)</f>
        <v>4</v>
      </c>
      <c r="AF668" s="10">
        <f>IFERROR(__xludf.DUMMYFUNCTION("""COMPUTED_VALUE"""),0.0)</f>
        <v>0</v>
      </c>
      <c r="AG668" s="10">
        <f>IFERROR(__xludf.DUMMYFUNCTION("""COMPUTED_VALUE"""),9.0)</f>
        <v>9</v>
      </c>
      <c r="AH668" s="10">
        <f>IFERROR(__xludf.DUMMYFUNCTION("""COMPUTED_VALUE"""),0.0)</f>
        <v>0</v>
      </c>
      <c r="AI668" s="10">
        <f>IFERROR(__xludf.DUMMYFUNCTION("""COMPUTED_VALUE"""),9.0)</f>
        <v>9</v>
      </c>
      <c r="AJ668" s="11" t="str">
        <f>IFERROR(__xludf.DUMMYFUNCTION("""COMPUTED_VALUE"""),"https://drive.google.com/open?id=1LACt-jtgHPgAMVQ4f_I2-QT97h-DaoSPMTGJTG-h0dM")</f>
        <v>https://drive.google.com/open?id=1LACt-jtgHPgAMVQ4f_I2-QT97h-DaoSPMTGJTG-h0dM</v>
      </c>
      <c r="AK668" s="12"/>
      <c r="AL668" s="12" t="str">
        <f>IFERROR(__xludf.DUMMYFUNCTION("""COMPUTED_VALUE"""),"Yes")</f>
        <v>Yes</v>
      </c>
      <c r="AM668" s="15">
        <f>IFERROR(__xludf.DUMMYFUNCTION("""COMPUTED_VALUE"""),0.0)</f>
        <v>0</v>
      </c>
      <c r="AN668" s="12" t="str">
        <f>IFERROR(__xludf.DUMMYFUNCTION("""COMPUTED_VALUE"""),"2nd week")</f>
        <v>2nd week</v>
      </c>
      <c r="AO668" s="13">
        <v>2.0</v>
      </c>
      <c r="AX668" s="17"/>
    </row>
    <row r="669">
      <c r="B669" s="9">
        <f>IFERROR(__xludf.DUMMYFUNCTION("""COMPUTED_VALUE"""),45899.73519358796)</f>
        <v>45899.73519</v>
      </c>
      <c r="C669" s="10" t="str">
        <f>IFERROR(__xludf.DUMMYFUNCTION("""COMPUTED_VALUE"""),"Javeria Abbas ")</f>
        <v>Javeria Abbas </v>
      </c>
      <c r="D669" s="10" t="str">
        <f>IFERROR(__xludf.DUMMYFUNCTION("""COMPUTED_VALUE"""),"03211539026")</f>
        <v>03211539026</v>
      </c>
      <c r="E669" s="10" t="str">
        <f>IFERROR(__xludf.DUMMYFUNCTION("""COMPUTED_VALUE"""),"Jamia Masjid Mehdum Rasheed Haqani Multan")</f>
        <v>Jamia Masjid Mehdum Rasheed Haqani Multan</v>
      </c>
      <c r="F669" s="10" t="str">
        <f>IFERROR(__xludf.DUMMYFUNCTION("""COMPUTED_VALUE"""),"cqxog")</f>
        <v>cqxog</v>
      </c>
      <c r="G669" s="10" t="str">
        <f>IFERROR(__xludf.DUMMYFUNCTION("""COMPUTED_VALUE"""),"Yes")</f>
        <v>Yes</v>
      </c>
      <c r="H669" s="10">
        <f>IFERROR(__xludf.DUMMYFUNCTION("""COMPUTED_VALUE"""),0.0)</f>
        <v>0</v>
      </c>
      <c r="I669" s="10">
        <f>IFERROR(__xludf.DUMMYFUNCTION("""COMPUTED_VALUE"""),10.0)</f>
        <v>10</v>
      </c>
      <c r="J669" s="10">
        <f>IFERROR(__xludf.DUMMYFUNCTION("""COMPUTED_VALUE"""),0.0)</f>
        <v>0</v>
      </c>
      <c r="K669" s="10">
        <f>IFERROR(__xludf.DUMMYFUNCTION("""COMPUTED_VALUE"""),0.0)</f>
        <v>0</v>
      </c>
      <c r="L669" s="10">
        <f>IFERROR(__xludf.DUMMYFUNCTION("""COMPUTED_VALUE"""),10.0)</f>
        <v>10</v>
      </c>
      <c r="M669" s="10">
        <f>IFERROR(__xludf.DUMMYFUNCTION("""COMPUTED_VALUE"""),0.0)</f>
        <v>0</v>
      </c>
      <c r="N669" s="10">
        <f>IFERROR(__xludf.DUMMYFUNCTION("""COMPUTED_VALUE"""),10.0)</f>
        <v>10</v>
      </c>
      <c r="O669" s="10">
        <f>IFERROR(__xludf.DUMMYFUNCTION("""COMPUTED_VALUE"""),0.0)</f>
        <v>0</v>
      </c>
      <c r="P669" s="10">
        <f>IFERROR(__xludf.DUMMYFUNCTION("""COMPUTED_VALUE"""),10.0)</f>
        <v>10</v>
      </c>
      <c r="Q669" s="10" t="str">
        <f>IFERROR(__xludf.DUMMYFUNCTION("""COMPUTED_VALUE"""),"No")</f>
        <v>No</v>
      </c>
      <c r="R669" s="10" t="str">
        <f>IFERROR(__xludf.DUMMYFUNCTION("""COMPUTED_VALUE"""),"No")</f>
        <v>No</v>
      </c>
      <c r="S669" s="10" t="str">
        <f>IFERROR(__xludf.DUMMYFUNCTION("""COMPUTED_VALUE"""),"No")</f>
        <v>No</v>
      </c>
      <c r="T669" s="10">
        <f>IFERROR(__xludf.DUMMYFUNCTION("""COMPUTED_VALUE"""),0.0)</f>
        <v>0</v>
      </c>
      <c r="U669" s="10">
        <f>IFERROR(__xludf.DUMMYFUNCTION("""COMPUTED_VALUE"""),0.0)</f>
        <v>0</v>
      </c>
      <c r="V669" s="10" t="str">
        <f>IFERROR(__xludf.DUMMYFUNCTION("""COMPUTED_VALUE"""),"Parisiyon ky haqqooq")</f>
        <v>Parisiyon ky haqqooq</v>
      </c>
      <c r="W669" s="10" t="str">
        <f>IFERROR(__xludf.DUMMYFUNCTION("""COMPUTED_VALUE"""),"Parosiyon se husn e salook sy Pesh ayein , hazoor pak ka Farman h ky Wo Shaks Jannat ma nhi ja sakta jis ka parosi us ky shar sy mehfoz na ho.")</f>
        <v>Parosiyon se husn e salook sy Pesh ayein , hazoor pak ka Farman h ky Wo Shaks Jannat ma nhi ja sakta jis ka parosi us ky shar sy mehfoz na ho.</v>
      </c>
      <c r="X669" s="10">
        <f>IFERROR(__xludf.DUMMYFUNCTION("""COMPUTED_VALUE"""),4.0)</f>
        <v>4</v>
      </c>
      <c r="Y669" s="10">
        <f>IFERROR(__xludf.DUMMYFUNCTION("""COMPUTED_VALUE"""),0.0)</f>
        <v>0</v>
      </c>
      <c r="Z669" s="10">
        <f>IFERROR(__xludf.DUMMYFUNCTION("""COMPUTED_VALUE"""),7.0)</f>
        <v>7</v>
      </c>
      <c r="AA669" s="10">
        <f>IFERROR(__xludf.DUMMYFUNCTION("""COMPUTED_VALUE"""),9.0)</f>
        <v>9</v>
      </c>
      <c r="AB669" s="10">
        <f>IFERROR(__xludf.DUMMYFUNCTION("""COMPUTED_VALUE"""),2.0)</f>
        <v>2</v>
      </c>
      <c r="AC669" s="10">
        <f>IFERROR(__xludf.DUMMYFUNCTION("""COMPUTED_VALUE"""),0.0)</f>
        <v>0</v>
      </c>
      <c r="AD669" s="10">
        <f>IFERROR(__xludf.DUMMYFUNCTION("""COMPUTED_VALUE"""),0.0)</f>
        <v>0</v>
      </c>
      <c r="AE669" s="10">
        <f>IFERROR(__xludf.DUMMYFUNCTION("""COMPUTED_VALUE"""),0.0)</f>
        <v>0</v>
      </c>
      <c r="AF669" s="10">
        <f>IFERROR(__xludf.DUMMYFUNCTION("""COMPUTED_VALUE"""),0.0)</f>
        <v>0</v>
      </c>
      <c r="AG669" s="10">
        <f>IFERROR(__xludf.DUMMYFUNCTION("""COMPUTED_VALUE"""),9.0)</f>
        <v>9</v>
      </c>
      <c r="AH669" s="10">
        <f>IFERROR(__xludf.DUMMYFUNCTION("""COMPUTED_VALUE"""),0.0)</f>
        <v>0</v>
      </c>
      <c r="AI669" s="10">
        <f>IFERROR(__xludf.DUMMYFUNCTION("""COMPUTED_VALUE"""),9.0)</f>
        <v>9</v>
      </c>
      <c r="AJ669" s="11" t="str">
        <f>IFERROR(__xludf.DUMMYFUNCTION("""COMPUTED_VALUE"""),"https://drive.google.com/open?id=1j4p4_tLClfS8CnyUYm49YaSRE889o4Bbo3eHfaKRjmA")</f>
        <v>https://drive.google.com/open?id=1j4p4_tLClfS8CnyUYm49YaSRE889o4Bbo3eHfaKRjmA</v>
      </c>
      <c r="AK669" s="12"/>
      <c r="AL669" s="12" t="str">
        <f>IFERROR(__xludf.DUMMYFUNCTION("""COMPUTED_VALUE"""),"Yes")</f>
        <v>Yes</v>
      </c>
      <c r="AM669" s="15">
        <f>IFERROR(__xludf.DUMMYFUNCTION("""COMPUTED_VALUE"""),0.0)</f>
        <v>0</v>
      </c>
      <c r="AN669" s="12" t="str">
        <f>IFERROR(__xludf.DUMMYFUNCTION("""COMPUTED_VALUE"""),"5th week")</f>
        <v>5th week</v>
      </c>
      <c r="AO669" s="13">
        <v>5.0</v>
      </c>
      <c r="AX669" s="17"/>
    </row>
    <row r="670">
      <c r="B670" s="9">
        <f>IFERROR(__xludf.DUMMYFUNCTION("""COMPUTED_VALUE"""),45900.17915872685)</f>
        <v>45900.17916</v>
      </c>
      <c r="C670" s="10" t="str">
        <f>IFERROR(__xludf.DUMMYFUNCTION("""COMPUTED_VALUE"""),"Shahid iqbal")</f>
        <v>Shahid iqbal</v>
      </c>
      <c r="D670" s="10" t="str">
        <f>IFERROR(__xludf.DUMMYFUNCTION("""COMPUTED_VALUE"""),"03013665049")</f>
        <v>03013665049</v>
      </c>
      <c r="E670" s="10" t="str">
        <f>IFERROR(__xludf.DUMMYFUNCTION("""COMPUTED_VALUE"""),"Jamia Masjid Qasba Mural Multan")</f>
        <v>Jamia Masjid Qasba Mural Multan</v>
      </c>
      <c r="F670" s="10" t="str">
        <f>IFERROR(__xludf.DUMMYFUNCTION("""COMPUTED_VALUE"""),"jspgw")</f>
        <v>jspgw</v>
      </c>
      <c r="G670" s="10" t="str">
        <f>IFERROR(__xludf.DUMMYFUNCTION("""COMPUTED_VALUE"""),"Yes")</f>
        <v>Yes</v>
      </c>
      <c r="H670" s="10">
        <f>IFERROR(__xludf.DUMMYFUNCTION("""COMPUTED_VALUE"""),10.0)</f>
        <v>10</v>
      </c>
      <c r="I670" s="10">
        <f>IFERROR(__xludf.DUMMYFUNCTION("""COMPUTED_VALUE"""),0.0)</f>
        <v>0</v>
      </c>
      <c r="J670" s="10">
        <f>IFERROR(__xludf.DUMMYFUNCTION("""COMPUTED_VALUE"""),10.0)</f>
        <v>10</v>
      </c>
      <c r="K670" s="10">
        <f>IFERROR(__xludf.DUMMYFUNCTION("""COMPUTED_VALUE"""),10.0)</f>
        <v>10</v>
      </c>
      <c r="L670" s="10">
        <f>IFERROR(__xludf.DUMMYFUNCTION("""COMPUTED_VALUE"""),0.0)</f>
        <v>0</v>
      </c>
      <c r="M670" s="10">
        <f>IFERROR(__xludf.DUMMYFUNCTION("""COMPUTED_VALUE"""),10.0)</f>
        <v>10</v>
      </c>
      <c r="N670" s="10">
        <f>IFERROR(__xludf.DUMMYFUNCTION("""COMPUTED_VALUE"""),0.0)</f>
        <v>0</v>
      </c>
      <c r="O670" s="10">
        <f>IFERROR(__xludf.DUMMYFUNCTION("""COMPUTED_VALUE"""),10.0)</f>
        <v>10</v>
      </c>
      <c r="P670" s="10">
        <f>IFERROR(__xludf.DUMMYFUNCTION("""COMPUTED_VALUE"""),0.0)</f>
        <v>0</v>
      </c>
      <c r="Q670" s="10" t="str">
        <f>IFERROR(__xludf.DUMMYFUNCTION("""COMPUTED_VALUE"""),"Yes")</f>
        <v>Yes</v>
      </c>
      <c r="R670" s="10" t="str">
        <f>IFERROR(__xludf.DUMMYFUNCTION("""COMPUTED_VALUE"""),"No")</f>
        <v>No</v>
      </c>
      <c r="S670" s="10" t="str">
        <f>IFERROR(__xludf.DUMMYFUNCTION("""COMPUTED_VALUE"""),"Yes")</f>
        <v>Yes</v>
      </c>
      <c r="T670" s="10">
        <f>IFERROR(__xludf.DUMMYFUNCTION("""COMPUTED_VALUE"""),0.0)</f>
        <v>0</v>
      </c>
      <c r="U670" s="10">
        <f>IFERROR(__xludf.DUMMYFUNCTION("""COMPUTED_VALUE"""),0.0)</f>
        <v>0</v>
      </c>
      <c r="V670" s="10" t="str">
        <f>IFERROR(__xludf.DUMMYFUNCTION("""COMPUTED_VALUE"""),"Islam ma aurat ka kirdar o mratba")</f>
        <v>Islam ma aurat ka kirdar o mratba</v>
      </c>
      <c r="W670" s="10" t="str">
        <f>IFERROR(__xludf.DUMMYFUNCTION("""COMPUTED_VALUE"""),"Islam ma aurat ka kirdar o mratba aur unki syasi aur muashi shirkat")</f>
        <v>Islam ma aurat ka kirdar o mratba aur unki syasi aur muashi shirkat</v>
      </c>
      <c r="X670" s="10">
        <f>IFERROR(__xludf.DUMMYFUNCTION("""COMPUTED_VALUE"""),1.0)</f>
        <v>1</v>
      </c>
      <c r="Y670" s="10">
        <f>IFERROR(__xludf.DUMMYFUNCTION("""COMPUTED_VALUE"""),4.0)</f>
        <v>4</v>
      </c>
      <c r="Z670" s="10">
        <f>IFERROR(__xludf.DUMMYFUNCTION("""COMPUTED_VALUE"""),5.0)</f>
        <v>5</v>
      </c>
      <c r="AA670" s="10">
        <f>IFERROR(__xludf.DUMMYFUNCTION("""COMPUTED_VALUE"""),8.0)</f>
        <v>8</v>
      </c>
      <c r="AB670" s="10">
        <f>IFERROR(__xludf.DUMMYFUNCTION("""COMPUTED_VALUE"""),1.0)</f>
        <v>1</v>
      </c>
      <c r="AC670" s="10">
        <f>IFERROR(__xludf.DUMMYFUNCTION("""COMPUTED_VALUE"""),0.0)</f>
        <v>0</v>
      </c>
      <c r="AD670" s="10">
        <f>IFERROR(__xludf.DUMMYFUNCTION("""COMPUTED_VALUE"""),0.0)</f>
        <v>0</v>
      </c>
      <c r="AE670" s="10">
        <f>IFERROR(__xludf.DUMMYFUNCTION("""COMPUTED_VALUE"""),0.0)</f>
        <v>0</v>
      </c>
      <c r="AF670" s="10">
        <f>IFERROR(__xludf.DUMMYFUNCTION("""COMPUTED_VALUE"""),0.0)</f>
        <v>0</v>
      </c>
      <c r="AG670" s="10">
        <f>IFERROR(__xludf.DUMMYFUNCTION("""COMPUTED_VALUE"""),10.0)</f>
        <v>10</v>
      </c>
      <c r="AH670" s="10">
        <f>IFERROR(__xludf.DUMMYFUNCTION("""COMPUTED_VALUE"""),0.0)</f>
        <v>0</v>
      </c>
      <c r="AI670" s="10">
        <f>IFERROR(__xludf.DUMMYFUNCTION("""COMPUTED_VALUE"""),10.0)</f>
        <v>10</v>
      </c>
      <c r="AJ670" s="11" t="str">
        <f>IFERROR(__xludf.DUMMYFUNCTION("""COMPUTED_VALUE"""),"https://docs.google.com/document/d/1bOba5OQSS7qi929iE3ZGrkftojG45ijh/edit?usp=drive_link&amp;ouid=117122465010506134151&amp;rtpof=true&amp;sd=true")</f>
        <v>https://docs.google.com/document/d/1bOba5OQSS7qi929iE3ZGrkftojG45ijh/edit?usp=drive_link&amp;ouid=117122465010506134151&amp;rtpof=true&amp;sd=true</v>
      </c>
      <c r="AK670" s="12"/>
      <c r="AL670" s="12" t="str">
        <f>IFERROR(__xludf.DUMMYFUNCTION("""COMPUTED_VALUE"""),"Yes")</f>
        <v>Yes</v>
      </c>
      <c r="AM670" s="15">
        <f>IFERROR(__xludf.DUMMYFUNCTION("""COMPUTED_VALUE"""),1.0)</f>
        <v>1</v>
      </c>
      <c r="AN670" s="12" t="str">
        <f>IFERROR(__xludf.DUMMYFUNCTION("""COMPUTED_VALUE"""),"2nd week")</f>
        <v>2nd week</v>
      </c>
      <c r="AO670" s="13">
        <v>2.0</v>
      </c>
      <c r="AX670" s="17"/>
    </row>
    <row r="671">
      <c r="B671" s="9">
        <f>IFERROR(__xludf.DUMMYFUNCTION("""COMPUTED_VALUE"""),45900.19029190972)</f>
        <v>45900.19029</v>
      </c>
      <c r="C671" s="10" t="str">
        <f>IFERROR(__xludf.DUMMYFUNCTION("""COMPUTED_VALUE"""),"Shahid Iqbal")</f>
        <v>Shahid Iqbal</v>
      </c>
      <c r="D671" s="10" t="str">
        <f>IFERROR(__xludf.DUMMYFUNCTION("""COMPUTED_VALUE"""),"03013665049")</f>
        <v>03013665049</v>
      </c>
      <c r="E671" s="10" t="str">
        <f>IFERROR(__xludf.DUMMYFUNCTION("""COMPUTED_VALUE"""),"Jamia Masjid Kale Mandi Multan")</f>
        <v>Jamia Masjid Kale Mandi Multan</v>
      </c>
      <c r="F671" s="10" t="str">
        <f>IFERROR(__xludf.DUMMYFUNCTION("""COMPUTED_VALUE"""),"pffes")</f>
        <v>pffes</v>
      </c>
      <c r="G671" s="10" t="str">
        <f>IFERROR(__xludf.DUMMYFUNCTION("""COMPUTED_VALUE"""),"Yes")</f>
        <v>Yes</v>
      </c>
      <c r="H671" s="10">
        <f>IFERROR(__xludf.DUMMYFUNCTION("""COMPUTED_VALUE"""),0.0)</f>
        <v>0</v>
      </c>
      <c r="I671" s="10">
        <f>IFERROR(__xludf.DUMMYFUNCTION("""COMPUTED_VALUE"""),10.0)</f>
        <v>10</v>
      </c>
      <c r="J671" s="10">
        <f>IFERROR(__xludf.DUMMYFUNCTION("""COMPUTED_VALUE"""),0.0)</f>
        <v>0</v>
      </c>
      <c r="K671" s="10">
        <f>IFERROR(__xludf.DUMMYFUNCTION("""COMPUTED_VALUE"""),0.0)</f>
        <v>0</v>
      </c>
      <c r="L671" s="10">
        <f>IFERROR(__xludf.DUMMYFUNCTION("""COMPUTED_VALUE"""),0.0)</f>
        <v>0</v>
      </c>
      <c r="M671" s="10">
        <f>IFERROR(__xludf.DUMMYFUNCTION("""COMPUTED_VALUE"""),0.0)</f>
        <v>0</v>
      </c>
      <c r="N671" s="10">
        <f>IFERROR(__xludf.DUMMYFUNCTION("""COMPUTED_VALUE"""),0.0)</f>
        <v>0</v>
      </c>
      <c r="O671" s="10">
        <f>IFERROR(__xludf.DUMMYFUNCTION("""COMPUTED_VALUE"""),0.0)</f>
        <v>0</v>
      </c>
      <c r="P671" s="10">
        <f>IFERROR(__xludf.DUMMYFUNCTION("""COMPUTED_VALUE"""),0.0)</f>
        <v>0</v>
      </c>
      <c r="Q671" s="10" t="str">
        <f>IFERROR(__xludf.DUMMYFUNCTION("""COMPUTED_VALUE"""),"No")</f>
        <v>No</v>
      </c>
      <c r="R671" s="10" t="str">
        <f>IFERROR(__xludf.DUMMYFUNCTION("""COMPUTED_VALUE"""),"No")</f>
        <v>No</v>
      </c>
      <c r="S671" s="10" t="str">
        <f>IFERROR(__xludf.DUMMYFUNCTION("""COMPUTED_VALUE"""),"No")</f>
        <v>No</v>
      </c>
      <c r="T671" s="10">
        <f>IFERROR(__xludf.DUMMYFUNCTION("""COMPUTED_VALUE"""),0.0)</f>
        <v>0</v>
      </c>
      <c r="U671" s="10">
        <f>IFERROR(__xludf.DUMMYFUNCTION("""COMPUTED_VALUE"""),0.0)</f>
        <v>0</v>
      </c>
      <c r="V671" s="10" t="str">
        <f>IFERROR(__xludf.DUMMYFUNCTION("""COMPUTED_VALUE"""),"Youm e Azadi aur islami hakoomat")</f>
        <v>Youm e Azadi aur islami hakoomat</v>
      </c>
      <c r="W671" s="10" t="str">
        <f>IFERROR(__xludf.DUMMYFUNCTION("""COMPUTED_VALUE"""),"Youm e Azadi aur islami hakoomat aur muslamanon ki qqurbanian")</f>
        <v>Youm e Azadi aur islami hakoomat aur muslamanon ki qqurbanian</v>
      </c>
      <c r="X671" s="10">
        <f>IFERROR(__xludf.DUMMYFUNCTION("""COMPUTED_VALUE"""),3.0)</f>
        <v>3</v>
      </c>
      <c r="Y671" s="10">
        <f>IFERROR(__xludf.DUMMYFUNCTION("""COMPUTED_VALUE"""),6.0)</f>
        <v>6</v>
      </c>
      <c r="Z671" s="10">
        <f>IFERROR(__xludf.DUMMYFUNCTION("""COMPUTED_VALUE"""),5.0)</f>
        <v>5</v>
      </c>
      <c r="AA671" s="10">
        <f>IFERROR(__xludf.DUMMYFUNCTION("""COMPUTED_VALUE"""),4.0)</f>
        <v>4</v>
      </c>
      <c r="AB671" s="10">
        <f>IFERROR(__xludf.DUMMYFUNCTION("""COMPUTED_VALUE"""),6.0)</f>
        <v>6</v>
      </c>
      <c r="AC671" s="10">
        <f>IFERROR(__xludf.DUMMYFUNCTION("""COMPUTED_VALUE"""),5.0)</f>
        <v>5</v>
      </c>
      <c r="AD671" s="10">
        <f>IFERROR(__xludf.DUMMYFUNCTION("""COMPUTED_VALUE"""),0.0)</f>
        <v>0</v>
      </c>
      <c r="AE671" s="10">
        <f>IFERROR(__xludf.DUMMYFUNCTION("""COMPUTED_VALUE"""),0.0)</f>
        <v>0</v>
      </c>
      <c r="AF671" s="10">
        <f>IFERROR(__xludf.DUMMYFUNCTION("""COMPUTED_VALUE"""),0.0)</f>
        <v>0</v>
      </c>
      <c r="AG671" s="10">
        <f>IFERROR(__xludf.DUMMYFUNCTION("""COMPUTED_VALUE"""),10.0)</f>
        <v>10</v>
      </c>
      <c r="AH671" s="10">
        <f>IFERROR(__xludf.DUMMYFUNCTION("""COMPUTED_VALUE"""),0.0)</f>
        <v>0</v>
      </c>
      <c r="AI671" s="10">
        <f>IFERROR(__xludf.DUMMYFUNCTION("""COMPUTED_VALUE"""),10.0)</f>
        <v>10</v>
      </c>
      <c r="AJ671" s="11" t="str">
        <f>IFERROR(__xludf.DUMMYFUNCTION("""COMPUTED_VALUE"""),"https://drive.google.com/open?id=1o9qiWh7YARacB9iTzyev5OCEQLrVtbSX")</f>
        <v>https://drive.google.com/open?id=1o9qiWh7YARacB9iTzyev5OCEQLrVtbSX</v>
      </c>
      <c r="AK671" s="12" t="str">
        <f>IFERROR(__xludf.DUMMYFUNCTION("""COMPUTED_VALUE"""),"too much distorted audio")</f>
        <v>too much distorted audio</v>
      </c>
      <c r="AL671" s="12" t="str">
        <f>IFERROR(__xludf.DUMMYFUNCTION("""COMPUTED_VALUE"""),"Yes")</f>
        <v>Yes</v>
      </c>
      <c r="AM671" s="15">
        <f>IFERROR(__xludf.DUMMYFUNCTION("""COMPUTED_VALUE"""),0.0)</f>
        <v>0</v>
      </c>
      <c r="AN671" s="12" t="str">
        <f>IFERROR(__xludf.DUMMYFUNCTION("""COMPUTED_VALUE"""),"3rd week")</f>
        <v>3rd week</v>
      </c>
      <c r="AO671" s="13">
        <v>3.0</v>
      </c>
      <c r="AX671" s="17"/>
    </row>
    <row r="672">
      <c r="B672" s="9">
        <f>IFERROR(__xludf.DUMMYFUNCTION("""COMPUTED_VALUE"""),45900.21004049768)</f>
        <v>45900.21004</v>
      </c>
      <c r="C672" s="10" t="str">
        <f>IFERROR(__xludf.DUMMYFUNCTION("""COMPUTED_VALUE"""),"Shahid Iqbal")</f>
        <v>Shahid Iqbal</v>
      </c>
      <c r="D672" s="10" t="str">
        <f>IFERROR(__xludf.DUMMYFUNCTION("""COMPUTED_VALUE"""),"03013665049")</f>
        <v>03013665049</v>
      </c>
      <c r="E672" s="10" t="str">
        <f>IFERROR(__xludf.DUMMYFUNCTION("""COMPUTED_VALUE"""),"Jamia Masjid Darbar Hazrat Saki Sarwar Dera Ghazi Khan")</f>
        <v>Jamia Masjid Darbar Hazrat Saki Sarwar Dera Ghazi Khan</v>
      </c>
      <c r="F672" s="10" t="str">
        <f>IFERROR(__xludf.DUMMYFUNCTION("""COMPUTED_VALUE"""),"jhzjg")</f>
        <v>jhzjg</v>
      </c>
      <c r="G672" s="10" t="str">
        <f>IFERROR(__xludf.DUMMYFUNCTION("""COMPUTED_VALUE"""),"No")</f>
        <v>No</v>
      </c>
      <c r="H672" s="10"/>
      <c r="I672" s="10"/>
      <c r="J672" s="10"/>
      <c r="K672" s="10">
        <f>IFERROR(__xludf.DUMMYFUNCTION("""COMPUTED_VALUE"""),0.0)</f>
        <v>0</v>
      </c>
      <c r="L672" s="10">
        <f>IFERROR(__xludf.DUMMYFUNCTION("""COMPUTED_VALUE"""),0.0)</f>
        <v>0</v>
      </c>
      <c r="M672" s="10">
        <f>IFERROR(__xludf.DUMMYFUNCTION("""COMPUTED_VALUE"""),0.0)</f>
        <v>0</v>
      </c>
      <c r="N672" s="10">
        <f>IFERROR(__xludf.DUMMYFUNCTION("""COMPUTED_VALUE"""),0.0)</f>
        <v>0</v>
      </c>
      <c r="O672" s="10">
        <f>IFERROR(__xludf.DUMMYFUNCTION("""COMPUTED_VALUE"""),0.0)</f>
        <v>0</v>
      </c>
      <c r="P672" s="10">
        <f>IFERROR(__xludf.DUMMYFUNCTION("""COMPUTED_VALUE"""),0.0)</f>
        <v>0</v>
      </c>
      <c r="Q672" s="10" t="str">
        <f>IFERROR(__xludf.DUMMYFUNCTION("""COMPUTED_VALUE"""),"No")</f>
        <v>No</v>
      </c>
      <c r="R672" s="10" t="str">
        <f>IFERROR(__xludf.DUMMYFUNCTION("""COMPUTED_VALUE"""),"No")</f>
        <v>No</v>
      </c>
      <c r="S672" s="10" t="str">
        <f>IFERROR(__xludf.DUMMYFUNCTION("""COMPUTED_VALUE"""),"No")</f>
        <v>No</v>
      </c>
      <c r="T672" s="10">
        <f>IFERROR(__xludf.DUMMYFUNCTION("""COMPUTED_VALUE"""),0.0)</f>
        <v>0</v>
      </c>
      <c r="U672" s="10">
        <f>IFERROR(__xludf.DUMMYFUNCTION("""COMPUTED_VALUE"""),0.0)</f>
        <v>0</v>
      </c>
      <c r="V672" s="10" t="str">
        <f>IFERROR(__xludf.DUMMYFUNCTION("""COMPUTED_VALUE"""),"Hazrat Data Ali hajveri ka urs mubarak aur unki islam k liye khidmat")</f>
        <v>Hazrat Data Ali hajveri ka urs mubarak aur unki islam k liye khidmat</v>
      </c>
      <c r="W672" s="10" t="str">
        <f>IFERROR(__xludf.DUMMYFUNCTION("""COMPUTED_VALUE"""),"Hazrat Data Ali hajveri ka urs mubarak aur unki islam k liye khidmat, aur qurbanian")</f>
        <v>Hazrat Data Ali hajveri ka urs mubarak aur unki islam k liye khidmat, aur qurbanian</v>
      </c>
      <c r="X672" s="10">
        <f>IFERROR(__xludf.DUMMYFUNCTION("""COMPUTED_VALUE"""),3.0)</f>
        <v>3</v>
      </c>
      <c r="Y672" s="10">
        <f>IFERROR(__xludf.DUMMYFUNCTION("""COMPUTED_VALUE"""),6.0)</f>
        <v>6</v>
      </c>
      <c r="Z672" s="10">
        <f>IFERROR(__xludf.DUMMYFUNCTION("""COMPUTED_VALUE"""),6.0)</f>
        <v>6</v>
      </c>
      <c r="AA672" s="10">
        <f>IFERROR(__xludf.DUMMYFUNCTION("""COMPUTED_VALUE"""),5.0)</f>
        <v>5</v>
      </c>
      <c r="AB672" s="10">
        <f>IFERROR(__xludf.DUMMYFUNCTION("""COMPUTED_VALUE"""),5.0)</f>
        <v>5</v>
      </c>
      <c r="AC672" s="10">
        <f>IFERROR(__xludf.DUMMYFUNCTION("""COMPUTED_VALUE"""),2.0)</f>
        <v>2</v>
      </c>
      <c r="AD672" s="10">
        <f>IFERROR(__xludf.DUMMYFUNCTION("""COMPUTED_VALUE"""),0.0)</f>
        <v>0</v>
      </c>
      <c r="AE672" s="10">
        <f>IFERROR(__xludf.DUMMYFUNCTION("""COMPUTED_VALUE"""),0.0)</f>
        <v>0</v>
      </c>
      <c r="AF672" s="10">
        <f>IFERROR(__xludf.DUMMYFUNCTION("""COMPUTED_VALUE"""),0.0)</f>
        <v>0</v>
      </c>
      <c r="AG672" s="10">
        <f>IFERROR(__xludf.DUMMYFUNCTION("""COMPUTED_VALUE"""),9.0)</f>
        <v>9</v>
      </c>
      <c r="AH672" s="10">
        <f>IFERROR(__xludf.DUMMYFUNCTION("""COMPUTED_VALUE"""),0.0)</f>
        <v>0</v>
      </c>
      <c r="AI672" s="10">
        <f>IFERROR(__xludf.DUMMYFUNCTION("""COMPUTED_VALUE"""),9.0)</f>
        <v>9</v>
      </c>
      <c r="AJ672" s="11" t="str">
        <f>IFERROR(__xludf.DUMMYFUNCTION("""COMPUTED_VALUE"""),"https://drive.google.com/open?id=1VO2d6f1hTWR0fxtiHzDymXdiNwDDPbke")</f>
        <v>https://drive.google.com/open?id=1VO2d6f1hTWR0fxtiHzDymXdiNwDDPbke</v>
      </c>
      <c r="AK672" s="12"/>
      <c r="AL672" s="12"/>
      <c r="AM672" s="12"/>
      <c r="AN672" s="12" t="str">
        <f>IFERROR(__xludf.DUMMYFUNCTION("""COMPUTED_VALUE"""),"3rd week")</f>
        <v>3rd week</v>
      </c>
      <c r="AO672" s="13">
        <v>3.0</v>
      </c>
      <c r="AX672" s="17"/>
    </row>
    <row r="673">
      <c r="B673" s="9">
        <f>IFERROR(__xludf.DUMMYFUNCTION("""COMPUTED_VALUE"""),45900.448424965274)</f>
        <v>45900.44842</v>
      </c>
      <c r="C673" s="10" t="str">
        <f>IFERROR(__xludf.DUMMYFUNCTION("""COMPUTED_VALUE"""),"Shahid Iqbal")</f>
        <v>Shahid Iqbal</v>
      </c>
      <c r="D673" s="10" t="str">
        <f>IFERROR(__xludf.DUMMYFUNCTION("""COMPUTED_VALUE"""),"03013665049")</f>
        <v>03013665049</v>
      </c>
      <c r="E673" s="10" t="str">
        <f>IFERROR(__xludf.DUMMYFUNCTION("""COMPUTED_VALUE"""),"Jamia Masjid Madina Bohar Gate Multan")</f>
        <v>Jamia Masjid Madina Bohar Gate Multan</v>
      </c>
      <c r="F673" s="10" t="str">
        <f>IFERROR(__xludf.DUMMYFUNCTION("""COMPUTED_VALUE"""),"ukyke")</f>
        <v>ukyke</v>
      </c>
      <c r="G673" s="10" t="str">
        <f>IFERROR(__xludf.DUMMYFUNCTION("""COMPUTED_VALUE"""),"Yes")</f>
        <v>Yes</v>
      </c>
      <c r="H673" s="10">
        <f>IFERROR(__xludf.DUMMYFUNCTION("""COMPUTED_VALUE"""),6.0)</f>
        <v>6</v>
      </c>
      <c r="I673" s="10">
        <f>IFERROR(__xludf.DUMMYFUNCTION("""COMPUTED_VALUE"""),4.0)</f>
        <v>4</v>
      </c>
      <c r="J673" s="10">
        <f>IFERROR(__xludf.DUMMYFUNCTION("""COMPUTED_VALUE"""),7.0)</f>
        <v>7</v>
      </c>
      <c r="K673" s="10">
        <f>IFERROR(__xludf.DUMMYFUNCTION("""COMPUTED_VALUE"""),8.0)</f>
        <v>8</v>
      </c>
      <c r="L673" s="10">
        <f>IFERROR(__xludf.DUMMYFUNCTION("""COMPUTED_VALUE"""),0.0)</f>
        <v>0</v>
      </c>
      <c r="M673" s="10">
        <f>IFERROR(__xludf.DUMMYFUNCTION("""COMPUTED_VALUE"""),8.0)</f>
        <v>8</v>
      </c>
      <c r="N673" s="10">
        <f>IFERROR(__xludf.DUMMYFUNCTION("""COMPUTED_VALUE"""),0.0)</f>
        <v>0</v>
      </c>
      <c r="O673" s="10">
        <f>IFERROR(__xludf.DUMMYFUNCTION("""COMPUTED_VALUE"""),6.0)</f>
        <v>6</v>
      </c>
      <c r="P673" s="10">
        <f>IFERROR(__xludf.DUMMYFUNCTION("""COMPUTED_VALUE"""),0.0)</f>
        <v>0</v>
      </c>
      <c r="Q673" s="10" t="str">
        <f>IFERROR(__xludf.DUMMYFUNCTION("""COMPUTED_VALUE"""),"Yes")</f>
        <v>Yes</v>
      </c>
      <c r="R673" s="10" t="str">
        <f>IFERROR(__xludf.DUMMYFUNCTION("""COMPUTED_VALUE"""),"No")</f>
        <v>No</v>
      </c>
      <c r="S673" s="10" t="str">
        <f>IFERROR(__xludf.DUMMYFUNCTION("""COMPUTED_VALUE"""),"No")</f>
        <v>No</v>
      </c>
      <c r="T673" s="10">
        <f>IFERROR(__xludf.DUMMYFUNCTION("""COMPUTED_VALUE"""),0.0)</f>
        <v>0</v>
      </c>
      <c r="U673" s="10">
        <f>IFERROR(__xludf.DUMMYFUNCTION("""COMPUTED_VALUE"""),0.0)</f>
        <v>0</v>
      </c>
      <c r="V673" s="10" t="str">
        <f>IFERROR(__xludf.DUMMYFUNCTION("""COMPUTED_VALUE"""),"Aurton k haqooq aur safar ka mahina")</f>
        <v>Aurton k haqooq aur safar ka mahina</v>
      </c>
      <c r="W673" s="10" t="str">
        <f>IFERROR(__xludf.DUMMYFUNCTION("""COMPUTED_VALUE"""),"Aurton k haqooq aur safar ka mahiny ki azmat aur fazail")</f>
        <v>Aurton k haqooq aur safar ka mahiny ki azmat aur fazail</v>
      </c>
      <c r="X673" s="10">
        <f>IFERROR(__xludf.DUMMYFUNCTION("""COMPUTED_VALUE"""),3.0)</f>
        <v>3</v>
      </c>
      <c r="Y673" s="10">
        <f>IFERROR(__xludf.DUMMYFUNCTION("""COMPUTED_VALUE"""),4.0)</f>
        <v>4</v>
      </c>
      <c r="Z673" s="10">
        <f>IFERROR(__xludf.DUMMYFUNCTION("""COMPUTED_VALUE"""),5.0)</f>
        <v>5</v>
      </c>
      <c r="AA673" s="10">
        <f>IFERROR(__xludf.DUMMYFUNCTION("""COMPUTED_VALUE"""),7.0)</f>
        <v>7</v>
      </c>
      <c r="AB673" s="10">
        <f>IFERROR(__xludf.DUMMYFUNCTION("""COMPUTED_VALUE"""),0.0)</f>
        <v>0</v>
      </c>
      <c r="AC673" s="10">
        <f>IFERROR(__xludf.DUMMYFUNCTION("""COMPUTED_VALUE"""),0.0)</f>
        <v>0</v>
      </c>
      <c r="AD673" s="10">
        <f>IFERROR(__xludf.DUMMYFUNCTION("""COMPUTED_VALUE"""),0.0)</f>
        <v>0</v>
      </c>
      <c r="AE673" s="10">
        <f>IFERROR(__xludf.DUMMYFUNCTION("""COMPUTED_VALUE"""),0.0)</f>
        <v>0</v>
      </c>
      <c r="AF673" s="10">
        <f>IFERROR(__xludf.DUMMYFUNCTION("""COMPUTED_VALUE"""),0.0)</f>
        <v>0</v>
      </c>
      <c r="AG673" s="10">
        <f>IFERROR(__xludf.DUMMYFUNCTION("""COMPUTED_VALUE"""),9.0)</f>
        <v>9</v>
      </c>
      <c r="AH673" s="10">
        <f>IFERROR(__xludf.DUMMYFUNCTION("""COMPUTED_VALUE"""),0.0)</f>
        <v>0</v>
      </c>
      <c r="AI673" s="10">
        <f>IFERROR(__xludf.DUMMYFUNCTION("""COMPUTED_VALUE"""),8.0)</f>
        <v>8</v>
      </c>
      <c r="AJ673" s="11" t="str">
        <f>IFERROR(__xludf.DUMMYFUNCTION("""COMPUTED_VALUE"""),"https://drive.google.com/open?id=1Jk-FrgRTu914TcrYoY-C4LoSXVj-sb05")</f>
        <v>https://drive.google.com/open?id=1Jk-FrgRTu914TcrYoY-C4LoSXVj-sb05</v>
      </c>
      <c r="AK673" s="12"/>
      <c r="AL673" s="12" t="str">
        <f>IFERROR(__xludf.DUMMYFUNCTION("""COMPUTED_VALUE"""),"Yes")</f>
        <v>Yes</v>
      </c>
      <c r="AM673" s="15">
        <f>IFERROR(__xludf.DUMMYFUNCTION("""COMPUTED_VALUE"""),0.6)</f>
        <v>0.6</v>
      </c>
      <c r="AN673" s="12" t="str">
        <f>IFERROR(__xludf.DUMMYFUNCTION("""COMPUTED_VALUE"""),"2nd week")</f>
        <v>2nd week</v>
      </c>
      <c r="AO673" s="13">
        <v>2.0</v>
      </c>
      <c r="AX673" s="17"/>
    </row>
    <row r="674">
      <c r="B674" s="9">
        <f>IFERROR(__xludf.DUMMYFUNCTION("""COMPUTED_VALUE"""),45901.05301033564)</f>
        <v>45901.05301</v>
      </c>
      <c r="C674" s="10" t="str">
        <f>IFERROR(__xludf.DUMMYFUNCTION("""COMPUTED_VALUE"""),"Shahid iqbal")</f>
        <v>Shahid iqbal</v>
      </c>
      <c r="D674" s="10" t="str">
        <f>IFERROR(__xludf.DUMMYFUNCTION("""COMPUTED_VALUE"""),"03013665049")</f>
        <v>03013665049</v>
      </c>
      <c r="E674" s="10" t="str">
        <f>IFERROR(__xludf.DUMMYFUNCTION("""COMPUTED_VALUE"""),"Jamia Masjid Markazi Chishtian")</f>
        <v>Jamia Masjid Markazi Chishtian</v>
      </c>
      <c r="F674" s="10" t="str">
        <f>IFERROR(__xludf.DUMMYFUNCTION("""COMPUTED_VALUE"""),"ybtbu")</f>
        <v>ybtbu</v>
      </c>
      <c r="G674" s="10" t="str">
        <f>IFERROR(__xludf.DUMMYFUNCTION("""COMPUTED_VALUE"""),"Yes")</f>
        <v>Yes</v>
      </c>
      <c r="H674" s="10">
        <f>IFERROR(__xludf.DUMMYFUNCTION("""COMPUTED_VALUE"""),0.0)</f>
        <v>0</v>
      </c>
      <c r="I674" s="10">
        <f>IFERROR(__xludf.DUMMYFUNCTION("""COMPUTED_VALUE"""),10.0)</f>
        <v>10</v>
      </c>
      <c r="J674" s="10">
        <f>IFERROR(__xludf.DUMMYFUNCTION("""COMPUTED_VALUE"""),0.0)</f>
        <v>0</v>
      </c>
      <c r="K674" s="10">
        <f>IFERROR(__xludf.DUMMYFUNCTION("""COMPUTED_VALUE"""),0.0)</f>
        <v>0</v>
      </c>
      <c r="L674" s="10">
        <f>IFERROR(__xludf.DUMMYFUNCTION("""COMPUTED_VALUE"""),0.0)</f>
        <v>0</v>
      </c>
      <c r="M674" s="10">
        <f>IFERROR(__xludf.DUMMYFUNCTION("""COMPUTED_VALUE"""),0.0)</f>
        <v>0</v>
      </c>
      <c r="N674" s="10">
        <f>IFERROR(__xludf.DUMMYFUNCTION("""COMPUTED_VALUE"""),0.0)</f>
        <v>0</v>
      </c>
      <c r="O674" s="10">
        <f>IFERROR(__xludf.DUMMYFUNCTION("""COMPUTED_VALUE"""),0.0)</f>
        <v>0</v>
      </c>
      <c r="P674" s="10">
        <f>IFERROR(__xludf.DUMMYFUNCTION("""COMPUTED_VALUE"""),0.0)</f>
        <v>0</v>
      </c>
      <c r="Q674" s="10" t="str">
        <f>IFERROR(__xludf.DUMMYFUNCTION("""COMPUTED_VALUE"""),"No")</f>
        <v>No</v>
      </c>
      <c r="R674" s="10" t="str">
        <f>IFERROR(__xludf.DUMMYFUNCTION("""COMPUTED_VALUE"""),"No")</f>
        <v>No</v>
      </c>
      <c r="S674" s="10" t="str">
        <f>IFERROR(__xludf.DUMMYFUNCTION("""COMPUTED_VALUE"""),"No")</f>
        <v>No</v>
      </c>
      <c r="T674" s="10">
        <f>IFERROR(__xludf.DUMMYFUNCTION("""COMPUTED_VALUE"""),0.0)</f>
        <v>0</v>
      </c>
      <c r="U674" s="10">
        <f>IFERROR(__xludf.DUMMYFUNCTION("""COMPUTED_VALUE"""),0.0)</f>
        <v>0</v>
      </c>
      <c r="V674" s="10" t="str">
        <f>IFERROR(__xludf.DUMMYFUNCTION("""COMPUTED_VALUE"""),"Gazwa e Badar aur islam ma jangon ki ahmiat")</f>
        <v>Gazwa e Badar aur islam ma jangon ki ahmiat</v>
      </c>
      <c r="W674" s="10" t="str">
        <f>IFERROR(__xludf.DUMMYFUNCTION("""COMPUTED_VALUE"""),"Gazwa e Badar aur islam ma jangon ki ahmiat")</f>
        <v>Gazwa e Badar aur islam ma jangon ki ahmiat</v>
      </c>
      <c r="X674" s="10">
        <f>IFERROR(__xludf.DUMMYFUNCTION("""COMPUTED_VALUE"""),5.0)</f>
        <v>5</v>
      </c>
      <c r="Y674" s="10">
        <f>IFERROR(__xludf.DUMMYFUNCTION("""COMPUTED_VALUE"""),5.0)</f>
        <v>5</v>
      </c>
      <c r="Z674" s="10">
        <f>IFERROR(__xludf.DUMMYFUNCTION("""COMPUTED_VALUE"""),3.0)</f>
        <v>3</v>
      </c>
      <c r="AA674" s="10">
        <f>IFERROR(__xludf.DUMMYFUNCTION("""COMPUTED_VALUE"""),6.0)</f>
        <v>6</v>
      </c>
      <c r="AB674" s="10">
        <f>IFERROR(__xludf.DUMMYFUNCTION("""COMPUTED_VALUE"""),6.0)</f>
        <v>6</v>
      </c>
      <c r="AC674" s="10">
        <f>IFERROR(__xludf.DUMMYFUNCTION("""COMPUTED_VALUE"""),2.0)</f>
        <v>2</v>
      </c>
      <c r="AD674" s="10">
        <f>IFERROR(__xludf.DUMMYFUNCTION("""COMPUTED_VALUE"""),0.0)</f>
        <v>0</v>
      </c>
      <c r="AE674" s="10">
        <f>IFERROR(__xludf.DUMMYFUNCTION("""COMPUTED_VALUE"""),0.0)</f>
        <v>0</v>
      </c>
      <c r="AF674" s="10">
        <f>IFERROR(__xludf.DUMMYFUNCTION("""COMPUTED_VALUE"""),0.0)</f>
        <v>0</v>
      </c>
      <c r="AG674" s="10">
        <f>IFERROR(__xludf.DUMMYFUNCTION("""COMPUTED_VALUE"""),9.0)</f>
        <v>9</v>
      </c>
      <c r="AH674" s="10">
        <f>IFERROR(__xludf.DUMMYFUNCTION("""COMPUTED_VALUE"""),0.0)</f>
        <v>0</v>
      </c>
      <c r="AI674" s="10">
        <f>IFERROR(__xludf.DUMMYFUNCTION("""COMPUTED_VALUE"""),8.0)</f>
        <v>8</v>
      </c>
      <c r="AJ674" s="11" t="str">
        <f>IFERROR(__xludf.DUMMYFUNCTION("""COMPUTED_VALUE"""),"https://drive.google.com/open?id=1nN4zdfgMmPJ-E_QkHdOtiqLgWrOEL9RO")</f>
        <v>https://drive.google.com/open?id=1nN4zdfgMmPJ-E_QkHdOtiqLgWrOEL9RO</v>
      </c>
      <c r="AK674" s="12"/>
      <c r="AL674" s="12" t="str">
        <f>IFERROR(__xludf.DUMMYFUNCTION("""COMPUTED_VALUE"""),"Yes")</f>
        <v>Yes</v>
      </c>
      <c r="AM674" s="15">
        <f>IFERROR(__xludf.DUMMYFUNCTION("""COMPUTED_VALUE"""),0.0)</f>
        <v>0</v>
      </c>
      <c r="AN674" s="12" t="str">
        <f>IFERROR(__xludf.DUMMYFUNCTION("""COMPUTED_VALUE"""),"5th week")</f>
        <v>5th week</v>
      </c>
      <c r="AO674" s="13">
        <v>5.0</v>
      </c>
      <c r="AX674" s="17"/>
    </row>
    <row r="675">
      <c r="B675" s="9">
        <f>IFERROR(__xludf.DUMMYFUNCTION("""COMPUTED_VALUE"""),45901.05860282407)</f>
        <v>45901.0586</v>
      </c>
      <c r="C675" s="10" t="str">
        <f>IFERROR(__xludf.DUMMYFUNCTION("""COMPUTED_VALUE"""),"Shahid iqbal")</f>
        <v>Shahid iqbal</v>
      </c>
      <c r="D675" s="10" t="str">
        <f>IFERROR(__xludf.DUMMYFUNCTION("""COMPUTED_VALUE"""),"03013665049")</f>
        <v>03013665049</v>
      </c>
      <c r="E675" s="10" t="str">
        <f>IFERROR(__xludf.DUMMYFUNCTION("""COMPUTED_VALUE"""),"Jamia Masjid Baba Taj Ul Din Sarwar Chasti")</f>
        <v>Jamia Masjid Baba Taj Ul Din Sarwar Chasti</v>
      </c>
      <c r="F675" s="10" t="str">
        <f>IFERROR(__xludf.DUMMYFUNCTION("""COMPUTED_VALUE"""),"uvkdx")</f>
        <v>uvkdx</v>
      </c>
      <c r="G675" s="10" t="str">
        <f>IFERROR(__xludf.DUMMYFUNCTION("""COMPUTED_VALUE"""),"Yes")</f>
        <v>Yes</v>
      </c>
      <c r="H675" s="10">
        <f>IFERROR(__xludf.DUMMYFUNCTION("""COMPUTED_VALUE"""),1.0)</f>
        <v>1</v>
      </c>
      <c r="I675" s="10">
        <f>IFERROR(__xludf.DUMMYFUNCTION("""COMPUTED_VALUE"""),9.0)</f>
        <v>9</v>
      </c>
      <c r="J675" s="10">
        <f>IFERROR(__xludf.DUMMYFUNCTION("""COMPUTED_VALUE"""),1.0)</f>
        <v>1</v>
      </c>
      <c r="K675" s="10">
        <f>IFERROR(__xludf.DUMMYFUNCTION("""COMPUTED_VALUE"""),1.0)</f>
        <v>1</v>
      </c>
      <c r="L675" s="10">
        <f>IFERROR(__xludf.DUMMYFUNCTION("""COMPUTED_VALUE"""),0.0)</f>
        <v>0</v>
      </c>
      <c r="M675" s="10">
        <f>IFERROR(__xludf.DUMMYFUNCTION("""COMPUTED_VALUE"""),1.0)</f>
        <v>1</v>
      </c>
      <c r="N675" s="10">
        <f>IFERROR(__xludf.DUMMYFUNCTION("""COMPUTED_VALUE"""),0.0)</f>
        <v>0</v>
      </c>
      <c r="O675" s="10">
        <f>IFERROR(__xludf.DUMMYFUNCTION("""COMPUTED_VALUE"""),0.0)</f>
        <v>0</v>
      </c>
      <c r="P675" s="10">
        <f>IFERROR(__xludf.DUMMYFUNCTION("""COMPUTED_VALUE"""),0.0)</f>
        <v>0</v>
      </c>
      <c r="Q675" s="10" t="str">
        <f>IFERROR(__xludf.DUMMYFUNCTION("""COMPUTED_VALUE"""),"No")</f>
        <v>No</v>
      </c>
      <c r="R675" s="10" t="str">
        <f>IFERROR(__xludf.DUMMYFUNCTION("""COMPUTED_VALUE"""),"No")</f>
        <v>No</v>
      </c>
      <c r="S675" s="10" t="str">
        <f>IFERROR(__xludf.DUMMYFUNCTION("""COMPUTED_VALUE"""),"No")</f>
        <v>No</v>
      </c>
      <c r="T675" s="10">
        <f>IFERROR(__xludf.DUMMYFUNCTION("""COMPUTED_VALUE"""),0.0)</f>
        <v>0</v>
      </c>
      <c r="U675" s="10">
        <f>IFERROR(__xludf.DUMMYFUNCTION("""COMPUTED_VALUE"""),0.0)</f>
        <v>0</v>
      </c>
      <c r="V675" s="10" t="str">
        <f>IFERROR(__xludf.DUMMYFUNCTION("""COMPUTED_VALUE"""),"Tuaheed, risalat aur youm e pakistan p bt ki")</f>
        <v>Tuaheed, risalat aur youm e pakistan p bt ki</v>
      </c>
      <c r="W675" s="10" t="str">
        <f>IFERROR(__xludf.DUMMYFUNCTION("""COMPUTED_VALUE"""),"Tuaheed, risalat aur youm e pakistan p bt ki aur aurton ki izat krny ko kaha")</f>
        <v>Tuaheed, risalat aur youm e pakistan p bt ki aur aurton ki izat krny ko kaha</v>
      </c>
      <c r="X675" s="10">
        <f>IFERROR(__xludf.DUMMYFUNCTION("""COMPUTED_VALUE"""),3.0)</f>
        <v>3</v>
      </c>
      <c r="Y675" s="10">
        <f>IFERROR(__xludf.DUMMYFUNCTION("""COMPUTED_VALUE"""),7.0)</f>
        <v>7</v>
      </c>
      <c r="Z675" s="10">
        <f>IFERROR(__xludf.DUMMYFUNCTION("""COMPUTED_VALUE"""),6.0)</f>
        <v>6</v>
      </c>
      <c r="AA675" s="10">
        <f>IFERROR(__xludf.DUMMYFUNCTION("""COMPUTED_VALUE"""),6.0)</f>
        <v>6</v>
      </c>
      <c r="AB675" s="10">
        <f>IFERROR(__xludf.DUMMYFUNCTION("""COMPUTED_VALUE"""),5.0)</f>
        <v>5</v>
      </c>
      <c r="AC675" s="10">
        <f>IFERROR(__xludf.DUMMYFUNCTION("""COMPUTED_VALUE"""),2.0)</f>
        <v>2</v>
      </c>
      <c r="AD675" s="10">
        <f>IFERROR(__xludf.DUMMYFUNCTION("""COMPUTED_VALUE"""),0.0)</f>
        <v>0</v>
      </c>
      <c r="AE675" s="10">
        <f>IFERROR(__xludf.DUMMYFUNCTION("""COMPUTED_VALUE"""),0.0)</f>
        <v>0</v>
      </c>
      <c r="AF675" s="10">
        <f>IFERROR(__xludf.DUMMYFUNCTION("""COMPUTED_VALUE"""),0.0)</f>
        <v>0</v>
      </c>
      <c r="AG675" s="10">
        <f>IFERROR(__xludf.DUMMYFUNCTION("""COMPUTED_VALUE"""),9.0)</f>
        <v>9</v>
      </c>
      <c r="AH675" s="10">
        <f>IFERROR(__xludf.DUMMYFUNCTION("""COMPUTED_VALUE"""),0.0)</f>
        <v>0</v>
      </c>
      <c r="AI675" s="10">
        <f>IFERROR(__xludf.DUMMYFUNCTION("""COMPUTED_VALUE"""),9.0)</f>
        <v>9</v>
      </c>
      <c r="AJ675" s="11" t="str">
        <f>IFERROR(__xludf.DUMMYFUNCTION("""COMPUTED_VALUE"""),"https://drive.google.com/open?id=1KdcJibQGKmHoENwLMTvZckGar44N5Y4P")</f>
        <v>https://drive.google.com/open?id=1KdcJibQGKmHoENwLMTvZckGar44N5Y4P</v>
      </c>
      <c r="AK675" s="12"/>
      <c r="AL675" s="12" t="str">
        <f>IFERROR(__xludf.DUMMYFUNCTION("""COMPUTED_VALUE"""),"Yes")</f>
        <v>Yes</v>
      </c>
      <c r="AM675" s="15">
        <f>IFERROR(__xludf.DUMMYFUNCTION("""COMPUTED_VALUE"""),0.1)</f>
        <v>0.1</v>
      </c>
      <c r="AN675" s="12" t="str">
        <f>IFERROR(__xludf.DUMMYFUNCTION("""COMPUTED_VALUE"""),"4th week")</f>
        <v>4th week</v>
      </c>
      <c r="AO675" s="13">
        <v>4.0</v>
      </c>
      <c r="AX675" s="17"/>
    </row>
    <row r="676">
      <c r="B676" s="9">
        <f>IFERROR(__xludf.DUMMYFUNCTION("""COMPUTED_VALUE"""),45901.06375774306)</f>
        <v>45901.06376</v>
      </c>
      <c r="C676" s="10" t="str">
        <f>IFERROR(__xludf.DUMMYFUNCTION("""COMPUTED_VALUE"""),"Shahid iqbal")</f>
        <v>Shahid iqbal</v>
      </c>
      <c r="D676" s="10" t="str">
        <f>IFERROR(__xludf.DUMMYFUNCTION("""COMPUTED_VALUE"""),"03013665049")</f>
        <v>03013665049</v>
      </c>
      <c r="E676" s="10" t="str">
        <f>IFERROR(__xludf.DUMMYFUNCTION("""COMPUTED_VALUE"""),"Jamia Masjid Aqsa Bhawalpur")</f>
        <v>Jamia Masjid Aqsa Bhawalpur</v>
      </c>
      <c r="F676" s="10" t="str">
        <f>IFERROR(__xludf.DUMMYFUNCTION("""COMPUTED_VALUE"""),"qwlfb")</f>
        <v>qwlfb</v>
      </c>
      <c r="G676" s="10" t="str">
        <f>IFERROR(__xludf.DUMMYFUNCTION("""COMPUTED_VALUE"""),"No")</f>
        <v>No</v>
      </c>
      <c r="H676" s="10"/>
      <c r="I676" s="10"/>
      <c r="J676" s="10"/>
      <c r="K676" s="10">
        <f>IFERROR(__xludf.DUMMYFUNCTION("""COMPUTED_VALUE"""),0.0)</f>
        <v>0</v>
      </c>
      <c r="L676" s="10">
        <f>IFERROR(__xludf.DUMMYFUNCTION("""COMPUTED_VALUE"""),0.0)</f>
        <v>0</v>
      </c>
      <c r="M676" s="10">
        <f>IFERROR(__xludf.DUMMYFUNCTION("""COMPUTED_VALUE"""),0.0)</f>
        <v>0</v>
      </c>
      <c r="N676" s="10">
        <f>IFERROR(__xludf.DUMMYFUNCTION("""COMPUTED_VALUE"""),0.0)</f>
        <v>0</v>
      </c>
      <c r="O676" s="10">
        <f>IFERROR(__xludf.DUMMYFUNCTION("""COMPUTED_VALUE"""),0.0)</f>
        <v>0</v>
      </c>
      <c r="P676" s="10">
        <f>IFERROR(__xludf.DUMMYFUNCTION("""COMPUTED_VALUE"""),0.0)</f>
        <v>0</v>
      </c>
      <c r="Q676" s="10" t="str">
        <f>IFERROR(__xludf.DUMMYFUNCTION("""COMPUTED_VALUE"""),"No")</f>
        <v>No</v>
      </c>
      <c r="R676" s="10" t="str">
        <f>IFERROR(__xludf.DUMMYFUNCTION("""COMPUTED_VALUE"""),"No")</f>
        <v>No</v>
      </c>
      <c r="S676" s="10" t="str">
        <f>IFERROR(__xludf.DUMMYFUNCTION("""COMPUTED_VALUE"""),"No")</f>
        <v>No</v>
      </c>
      <c r="T676" s="10">
        <f>IFERROR(__xludf.DUMMYFUNCTION("""COMPUTED_VALUE"""),0.0)</f>
        <v>0</v>
      </c>
      <c r="U676" s="10">
        <f>IFERROR(__xludf.DUMMYFUNCTION("""COMPUTED_VALUE"""),0.0)</f>
        <v>0</v>
      </c>
      <c r="V676" s="10" t="str">
        <f>IFERROR(__xludf.DUMMYFUNCTION("""COMPUTED_VALUE"""),"Youm e pakistan aur muslmanon ki jado jihad")</f>
        <v>Youm e pakistan aur muslmanon ki jado jihad</v>
      </c>
      <c r="W676" s="10" t="str">
        <f>IFERROR(__xludf.DUMMYFUNCTION("""COMPUTED_VALUE"""),"Youm e pakistan aur muslmanon ki jado jihad aur fazool bajy bjanny se roka")</f>
        <v>Youm e pakistan aur muslmanon ki jado jihad aur fazool bajy bjanny se roka</v>
      </c>
      <c r="X676" s="10">
        <f>IFERROR(__xludf.DUMMYFUNCTION("""COMPUTED_VALUE"""),1.0)</f>
        <v>1</v>
      </c>
      <c r="Y676" s="10">
        <f>IFERROR(__xludf.DUMMYFUNCTION("""COMPUTED_VALUE"""),4.0)</f>
        <v>4</v>
      </c>
      <c r="Z676" s="10">
        <f>IFERROR(__xludf.DUMMYFUNCTION("""COMPUTED_VALUE"""),5.0)</f>
        <v>5</v>
      </c>
      <c r="AA676" s="10">
        <f>IFERROR(__xludf.DUMMYFUNCTION("""COMPUTED_VALUE"""),5.0)</f>
        <v>5</v>
      </c>
      <c r="AB676" s="10">
        <f>IFERROR(__xludf.DUMMYFUNCTION("""COMPUTED_VALUE"""),5.0)</f>
        <v>5</v>
      </c>
      <c r="AC676" s="10">
        <f>IFERROR(__xludf.DUMMYFUNCTION("""COMPUTED_VALUE"""),1.0)</f>
        <v>1</v>
      </c>
      <c r="AD676" s="10">
        <f>IFERROR(__xludf.DUMMYFUNCTION("""COMPUTED_VALUE"""),0.0)</f>
        <v>0</v>
      </c>
      <c r="AE676" s="10">
        <f>IFERROR(__xludf.DUMMYFUNCTION("""COMPUTED_VALUE"""),0.0)</f>
        <v>0</v>
      </c>
      <c r="AF676" s="10">
        <f>IFERROR(__xludf.DUMMYFUNCTION("""COMPUTED_VALUE"""),0.0)</f>
        <v>0</v>
      </c>
      <c r="AG676" s="10">
        <f>IFERROR(__xludf.DUMMYFUNCTION("""COMPUTED_VALUE"""),9.0)</f>
        <v>9</v>
      </c>
      <c r="AH676" s="10">
        <f>IFERROR(__xludf.DUMMYFUNCTION("""COMPUTED_VALUE"""),0.0)</f>
        <v>0</v>
      </c>
      <c r="AI676" s="10">
        <f>IFERROR(__xludf.DUMMYFUNCTION("""COMPUTED_VALUE"""),9.0)</f>
        <v>9</v>
      </c>
      <c r="AJ676" s="11" t="str">
        <f>IFERROR(__xludf.DUMMYFUNCTION("""COMPUTED_VALUE"""),"https://drive.google.com/open?id=11RRBTgs48WdRi_zYxtuwCHY5zPSD4iZT")</f>
        <v>https://drive.google.com/open?id=11RRBTgs48WdRi_zYxtuwCHY5zPSD4iZT</v>
      </c>
      <c r="AK676" s="12"/>
      <c r="AL676" s="12"/>
      <c r="AM676" s="12"/>
      <c r="AN676" s="12" t="str">
        <f>IFERROR(__xludf.DUMMYFUNCTION("""COMPUTED_VALUE"""),"3rd week")</f>
        <v>3rd week</v>
      </c>
      <c r="AO676" s="13">
        <v>3.0</v>
      </c>
      <c r="AX676" s="17"/>
    </row>
    <row r="677">
      <c r="B677" s="9">
        <f>IFERROR(__xludf.DUMMYFUNCTION("""COMPUTED_VALUE"""),45901.068637222226)</f>
        <v>45901.06864</v>
      </c>
      <c r="C677" s="10" t="str">
        <f>IFERROR(__xludf.DUMMYFUNCTION("""COMPUTED_VALUE"""),"Shahid iqbal")</f>
        <v>Shahid iqbal</v>
      </c>
      <c r="D677" s="10" t="str">
        <f>IFERROR(__xludf.DUMMYFUNCTION("""COMPUTED_VALUE"""),"03013665049")</f>
        <v>03013665049</v>
      </c>
      <c r="E677" s="10" t="str">
        <f>IFERROR(__xludf.DUMMYFUNCTION("""COMPUTED_VALUE"""),"Jamia Masjid Baba Shahab")</f>
        <v>Jamia Masjid Baba Shahab</v>
      </c>
      <c r="F677" s="10" t="str">
        <f>IFERROR(__xludf.DUMMYFUNCTION("""COMPUTED_VALUE"""),"rjssu")</f>
        <v>rjssu</v>
      </c>
      <c r="G677" s="10" t="str">
        <f>IFERROR(__xludf.DUMMYFUNCTION("""COMPUTED_VALUE"""),"Yes")</f>
        <v>Yes</v>
      </c>
      <c r="H677" s="10">
        <f>IFERROR(__xludf.DUMMYFUNCTION("""COMPUTED_VALUE"""),10.0)</f>
        <v>10</v>
      </c>
      <c r="I677" s="10">
        <f>IFERROR(__xludf.DUMMYFUNCTION("""COMPUTED_VALUE"""),0.0)</f>
        <v>0</v>
      </c>
      <c r="J677" s="10">
        <f>IFERROR(__xludf.DUMMYFUNCTION("""COMPUTED_VALUE"""),10.0)</f>
        <v>10</v>
      </c>
      <c r="K677" s="10">
        <f>IFERROR(__xludf.DUMMYFUNCTION("""COMPUTED_VALUE"""),10.0)</f>
        <v>10</v>
      </c>
      <c r="L677" s="10">
        <f>IFERROR(__xludf.DUMMYFUNCTION("""COMPUTED_VALUE"""),0.0)</f>
        <v>0</v>
      </c>
      <c r="M677" s="10">
        <f>IFERROR(__xludf.DUMMYFUNCTION("""COMPUTED_VALUE"""),10.0)</f>
        <v>10</v>
      </c>
      <c r="N677" s="10">
        <f>IFERROR(__xludf.DUMMYFUNCTION("""COMPUTED_VALUE"""),0.0)</f>
        <v>0</v>
      </c>
      <c r="O677" s="10">
        <f>IFERROR(__xludf.DUMMYFUNCTION("""COMPUTED_VALUE"""),10.0)</f>
        <v>10</v>
      </c>
      <c r="P677" s="10">
        <f>IFERROR(__xludf.DUMMYFUNCTION("""COMPUTED_VALUE"""),0.0)</f>
        <v>0</v>
      </c>
      <c r="Q677" s="10" t="str">
        <f>IFERROR(__xludf.DUMMYFUNCTION("""COMPUTED_VALUE"""),"Yes")</f>
        <v>Yes</v>
      </c>
      <c r="R677" s="10" t="str">
        <f>IFERROR(__xludf.DUMMYFUNCTION("""COMPUTED_VALUE"""),"No")</f>
        <v>No</v>
      </c>
      <c r="S677" s="10" t="str">
        <f>IFERROR(__xludf.DUMMYFUNCTION("""COMPUTED_VALUE"""),"Yes")</f>
        <v>Yes</v>
      </c>
      <c r="T677" s="10">
        <f>IFERROR(__xludf.DUMMYFUNCTION("""COMPUTED_VALUE"""),0.0)</f>
        <v>0</v>
      </c>
      <c r="U677" s="10">
        <f>IFERROR(__xludf.DUMMYFUNCTION("""COMPUTED_VALUE"""),0.0)</f>
        <v>0</v>
      </c>
      <c r="V677" s="10" t="str">
        <f>IFERROR(__xludf.DUMMYFUNCTION("""COMPUTED_VALUE"""),"خواتین کا معاشی سیاسی سرگرمیوں میں کردار اور فیصلے کی ازادی ")</f>
        <v>خواتین کا معاشی سیاسی سرگرمیوں میں کردار اور فیصلے کی ازادی </v>
      </c>
      <c r="W677" s="10" t="str">
        <f>IFERROR(__xludf.DUMMYFUNCTION("""COMPUTED_VALUE"""),"خواتین کا معاشی سیاسی سرگرمیوں میں کردار اور فیصلے کی ازادی عورتوں کے ساتھ حسن سلوک کرو ، عورتوں کو آگے بڑھنے کے مواقع فراہم کرو ۔")</f>
        <v>خواتین کا معاشی سیاسی سرگرمیوں میں کردار اور فیصلے کی ازادی عورتوں کے ساتھ حسن سلوک کرو ، عورتوں کو آگے بڑھنے کے مواقع فراہم کرو ۔</v>
      </c>
      <c r="X677" s="10">
        <f>IFERROR(__xludf.DUMMYFUNCTION("""COMPUTED_VALUE"""),1.0)</f>
        <v>1</v>
      </c>
      <c r="Y677" s="10">
        <f>IFERROR(__xludf.DUMMYFUNCTION("""COMPUTED_VALUE"""),3.0)</f>
        <v>3</v>
      </c>
      <c r="Z677" s="10">
        <f>IFERROR(__xludf.DUMMYFUNCTION("""COMPUTED_VALUE"""),3.0)</f>
        <v>3</v>
      </c>
      <c r="AA677" s="10">
        <f>IFERROR(__xludf.DUMMYFUNCTION("""COMPUTED_VALUE"""),8.0)</f>
        <v>8</v>
      </c>
      <c r="AB677" s="10">
        <f>IFERROR(__xludf.DUMMYFUNCTION("""COMPUTED_VALUE"""),1.0)</f>
        <v>1</v>
      </c>
      <c r="AC677" s="10">
        <f>IFERROR(__xludf.DUMMYFUNCTION("""COMPUTED_VALUE"""),0.0)</f>
        <v>0</v>
      </c>
      <c r="AD677" s="10">
        <f>IFERROR(__xludf.DUMMYFUNCTION("""COMPUTED_VALUE"""),0.0)</f>
        <v>0</v>
      </c>
      <c r="AE677" s="10">
        <f>IFERROR(__xludf.DUMMYFUNCTION("""COMPUTED_VALUE"""),0.0)</f>
        <v>0</v>
      </c>
      <c r="AF677" s="10">
        <f>IFERROR(__xludf.DUMMYFUNCTION("""COMPUTED_VALUE"""),0.0)</f>
        <v>0</v>
      </c>
      <c r="AG677" s="10">
        <f>IFERROR(__xludf.DUMMYFUNCTION("""COMPUTED_VALUE"""),9.0)</f>
        <v>9</v>
      </c>
      <c r="AH677" s="10">
        <f>IFERROR(__xludf.DUMMYFUNCTION("""COMPUTED_VALUE"""),0.0)</f>
        <v>0</v>
      </c>
      <c r="AI677" s="10">
        <f>IFERROR(__xludf.DUMMYFUNCTION("""COMPUTED_VALUE"""),9.0)</f>
        <v>9</v>
      </c>
      <c r="AJ677" s="11" t="str">
        <f>IFERROR(__xludf.DUMMYFUNCTION("""COMPUTED_VALUE"""),"https://drive.google.com/open?id=1N5rLeF--aDz7VFz7jYPtPDOmeAPEycBR")</f>
        <v>https://drive.google.com/open?id=1N5rLeF--aDz7VFz7jYPtPDOmeAPEycBR</v>
      </c>
      <c r="AK677" s="12"/>
      <c r="AL677" s="12" t="str">
        <f>IFERROR(__xludf.DUMMYFUNCTION("""COMPUTED_VALUE"""),"Yes")</f>
        <v>Yes</v>
      </c>
      <c r="AM677" s="15">
        <f>IFERROR(__xludf.DUMMYFUNCTION("""COMPUTED_VALUE"""),1.0)</f>
        <v>1</v>
      </c>
      <c r="AN677" s="12" t="str">
        <f>IFERROR(__xludf.DUMMYFUNCTION("""COMPUTED_VALUE"""),"2nd week")</f>
        <v>2nd week</v>
      </c>
      <c r="AO677" s="13">
        <v>2.0</v>
      </c>
      <c r="AX677" s="17"/>
    </row>
    <row r="678">
      <c r="B678" s="9">
        <f>IFERROR(__xludf.DUMMYFUNCTION("""COMPUTED_VALUE"""),45901.07224217593)</f>
        <v>45901.07224</v>
      </c>
      <c r="C678" s="10" t="str">
        <f>IFERROR(__xludf.DUMMYFUNCTION("""COMPUTED_VALUE"""),"Shahid iqbal")</f>
        <v>Shahid iqbal</v>
      </c>
      <c r="D678" s="10" t="str">
        <f>IFERROR(__xludf.DUMMYFUNCTION("""COMPUTED_VALUE"""),"03013665049")</f>
        <v>03013665049</v>
      </c>
      <c r="E678" s="10" t="str">
        <f>IFERROR(__xludf.DUMMYFUNCTION("""COMPUTED_VALUE"""),"Jamia Masjid Kacha Khawa Khanewal")</f>
        <v>Jamia Masjid Kacha Khawa Khanewal</v>
      </c>
      <c r="F678" s="10" t="str">
        <f>IFERROR(__xludf.DUMMYFUNCTION("""COMPUTED_VALUE"""),"otccu")</f>
        <v>otccu</v>
      </c>
      <c r="G678" s="10" t="str">
        <f>IFERROR(__xludf.DUMMYFUNCTION("""COMPUTED_VALUE"""),"No")</f>
        <v>No</v>
      </c>
      <c r="H678" s="10"/>
      <c r="I678" s="10"/>
      <c r="J678" s="10"/>
      <c r="K678" s="10">
        <f>IFERROR(__xludf.DUMMYFUNCTION("""COMPUTED_VALUE"""),0.0)</f>
        <v>0</v>
      </c>
      <c r="L678" s="10">
        <f>IFERROR(__xludf.DUMMYFUNCTION("""COMPUTED_VALUE"""),0.0)</f>
        <v>0</v>
      </c>
      <c r="M678" s="10">
        <f>IFERROR(__xludf.DUMMYFUNCTION("""COMPUTED_VALUE"""),0.0)</f>
        <v>0</v>
      </c>
      <c r="N678" s="10">
        <f>IFERROR(__xludf.DUMMYFUNCTION("""COMPUTED_VALUE"""),0.0)</f>
        <v>0</v>
      </c>
      <c r="O678" s="10">
        <f>IFERROR(__xludf.DUMMYFUNCTION("""COMPUTED_VALUE"""),0.0)</f>
        <v>0</v>
      </c>
      <c r="P678" s="10">
        <f>IFERROR(__xludf.DUMMYFUNCTION("""COMPUTED_VALUE"""),0.0)</f>
        <v>0</v>
      </c>
      <c r="Q678" s="10" t="str">
        <f>IFERROR(__xludf.DUMMYFUNCTION("""COMPUTED_VALUE"""),"No")</f>
        <v>No</v>
      </c>
      <c r="R678" s="10" t="str">
        <f>IFERROR(__xludf.DUMMYFUNCTION("""COMPUTED_VALUE"""),"No")</f>
        <v>No</v>
      </c>
      <c r="S678" s="10" t="str">
        <f>IFERROR(__xludf.DUMMYFUNCTION("""COMPUTED_VALUE"""),"No")</f>
        <v>No</v>
      </c>
      <c r="T678" s="10">
        <f>IFERROR(__xludf.DUMMYFUNCTION("""COMPUTED_VALUE"""),0.0)</f>
        <v>0</v>
      </c>
      <c r="U678" s="10">
        <f>IFERROR(__xludf.DUMMYFUNCTION("""COMPUTED_VALUE"""),0.0)</f>
        <v>0</v>
      </c>
      <c r="V678" s="10" t="str">
        <f>IFERROR(__xludf.DUMMYFUNCTION("""COMPUTED_VALUE"""),"Youm e pakstan, syasat and history of pak o hind")</f>
        <v>Youm e pakstan, syasat and history of pak o hind</v>
      </c>
      <c r="W678" s="10" t="str">
        <f>IFERROR(__xludf.DUMMYFUNCTION("""COMPUTED_VALUE"""),"Pakistan ki azadi, syasat aur history of pak o hind per bt ki ")</f>
        <v>Pakistan ki azadi, syasat aur history of pak o hind per bt ki </v>
      </c>
      <c r="X678" s="10">
        <f>IFERROR(__xludf.DUMMYFUNCTION("""COMPUTED_VALUE"""),2.0)</f>
        <v>2</v>
      </c>
      <c r="Y678" s="10">
        <f>IFERROR(__xludf.DUMMYFUNCTION("""COMPUTED_VALUE"""),5.0)</f>
        <v>5</v>
      </c>
      <c r="Z678" s="10">
        <f>IFERROR(__xludf.DUMMYFUNCTION("""COMPUTED_VALUE"""),3.0)</f>
        <v>3</v>
      </c>
      <c r="AA678" s="10">
        <f>IFERROR(__xludf.DUMMYFUNCTION("""COMPUTED_VALUE"""),4.0)</f>
        <v>4</v>
      </c>
      <c r="AB678" s="10">
        <f>IFERROR(__xludf.DUMMYFUNCTION("""COMPUTED_VALUE"""),5.0)</f>
        <v>5</v>
      </c>
      <c r="AC678" s="10">
        <f>IFERROR(__xludf.DUMMYFUNCTION("""COMPUTED_VALUE"""),5.0)</f>
        <v>5</v>
      </c>
      <c r="AD678" s="10">
        <f>IFERROR(__xludf.DUMMYFUNCTION("""COMPUTED_VALUE"""),0.0)</f>
        <v>0</v>
      </c>
      <c r="AE678" s="10">
        <f>IFERROR(__xludf.DUMMYFUNCTION("""COMPUTED_VALUE"""),0.0)</f>
        <v>0</v>
      </c>
      <c r="AF678" s="10">
        <f>IFERROR(__xludf.DUMMYFUNCTION("""COMPUTED_VALUE"""),0.0)</f>
        <v>0</v>
      </c>
      <c r="AG678" s="10">
        <f>IFERROR(__xludf.DUMMYFUNCTION("""COMPUTED_VALUE"""),10.0)</f>
        <v>10</v>
      </c>
      <c r="AH678" s="10">
        <f>IFERROR(__xludf.DUMMYFUNCTION("""COMPUTED_VALUE"""),0.0)</f>
        <v>0</v>
      </c>
      <c r="AI678" s="10">
        <f>IFERROR(__xludf.DUMMYFUNCTION("""COMPUTED_VALUE"""),10.0)</f>
        <v>10</v>
      </c>
      <c r="AJ678" s="11" t="str">
        <f>IFERROR(__xludf.DUMMYFUNCTION("""COMPUTED_VALUE"""),"https://drive.google.com/open?id=1fq-ngRPNvfZUKHRNaSr7BGtEw41dcQ4Q")</f>
        <v>https://drive.google.com/open?id=1fq-ngRPNvfZUKHRNaSr7BGtEw41dcQ4Q</v>
      </c>
      <c r="AK678" s="12"/>
      <c r="AL678" s="12"/>
      <c r="AM678" s="12"/>
      <c r="AN678" s="12" t="str">
        <f>IFERROR(__xludf.DUMMYFUNCTION("""COMPUTED_VALUE"""),"3rd week")</f>
        <v>3rd week</v>
      </c>
      <c r="AO678" s="13">
        <v>3.0</v>
      </c>
      <c r="AX678" s="17"/>
    </row>
    <row r="679">
      <c r="B679" s="9">
        <f>IFERROR(__xludf.DUMMYFUNCTION("""COMPUTED_VALUE"""),45901.07804320602)</f>
        <v>45901.07804</v>
      </c>
      <c r="C679" s="10" t="str">
        <f>IFERROR(__xludf.DUMMYFUNCTION("""COMPUTED_VALUE"""),"Shahid iqbal")</f>
        <v>Shahid iqbal</v>
      </c>
      <c r="D679" s="10" t="str">
        <f>IFERROR(__xludf.DUMMYFUNCTION("""COMPUTED_VALUE"""),"03013665049")</f>
        <v>03013665049</v>
      </c>
      <c r="E679" s="10" t="str">
        <f>IFERROR(__xludf.DUMMYFUNCTION("""COMPUTED_VALUE"""),"Jamia Masjid Bakar Abad Multan")</f>
        <v>Jamia Masjid Bakar Abad Multan</v>
      </c>
      <c r="F679" s="10" t="str">
        <f>IFERROR(__xludf.DUMMYFUNCTION("""COMPUTED_VALUE"""),"akpfn")</f>
        <v>akpfn</v>
      </c>
      <c r="G679" s="10" t="str">
        <f>IFERROR(__xludf.DUMMYFUNCTION("""COMPUTED_VALUE"""),"Yes")</f>
        <v>Yes</v>
      </c>
      <c r="H679" s="10">
        <f>IFERROR(__xludf.DUMMYFUNCTION("""COMPUTED_VALUE"""),6.0)</f>
        <v>6</v>
      </c>
      <c r="I679" s="10">
        <f>IFERROR(__xludf.DUMMYFUNCTION("""COMPUTED_VALUE"""),4.0)</f>
        <v>4</v>
      </c>
      <c r="J679" s="10">
        <f>IFERROR(__xludf.DUMMYFUNCTION("""COMPUTED_VALUE"""),8.0)</f>
        <v>8</v>
      </c>
      <c r="K679" s="10">
        <f>IFERROR(__xludf.DUMMYFUNCTION("""COMPUTED_VALUE"""),10.0)</f>
        <v>10</v>
      </c>
      <c r="L679" s="10">
        <f>IFERROR(__xludf.DUMMYFUNCTION("""COMPUTED_VALUE"""),0.0)</f>
        <v>0</v>
      </c>
      <c r="M679" s="10">
        <f>IFERROR(__xludf.DUMMYFUNCTION("""COMPUTED_VALUE"""),10.0)</f>
        <v>10</v>
      </c>
      <c r="N679" s="10">
        <f>IFERROR(__xludf.DUMMYFUNCTION("""COMPUTED_VALUE"""),0.0)</f>
        <v>0</v>
      </c>
      <c r="O679" s="10">
        <f>IFERROR(__xludf.DUMMYFUNCTION("""COMPUTED_VALUE"""),10.0)</f>
        <v>10</v>
      </c>
      <c r="P679" s="10">
        <f>IFERROR(__xludf.DUMMYFUNCTION("""COMPUTED_VALUE"""),0.0)</f>
        <v>0</v>
      </c>
      <c r="Q679" s="10" t="str">
        <f>IFERROR(__xludf.DUMMYFUNCTION("""COMPUTED_VALUE"""),"Yes")</f>
        <v>Yes</v>
      </c>
      <c r="R679" s="10" t="str">
        <f>IFERROR(__xludf.DUMMYFUNCTION("""COMPUTED_VALUE"""),"No")</f>
        <v>No</v>
      </c>
      <c r="S679" s="10" t="str">
        <f>IFERROR(__xludf.DUMMYFUNCTION("""COMPUTED_VALUE"""),"No")</f>
        <v>No</v>
      </c>
      <c r="T679" s="10">
        <f>IFERROR(__xludf.DUMMYFUNCTION("""COMPUTED_VALUE"""),0.0)</f>
        <v>0</v>
      </c>
      <c r="U679" s="10">
        <f>IFERROR(__xludf.DUMMYFUNCTION("""COMPUTED_VALUE"""),0.0)</f>
        <v>0</v>
      </c>
      <c r="V679" s="10" t="str">
        <f>IFERROR(__xludf.DUMMYFUNCTION("""COMPUTED_VALUE"""),"اسلام میں عورت کے معاشی سیاسی اور تعلیمی حقوق")</f>
        <v>اسلام میں عورت کے معاشی سیاسی اور تعلیمی حقوق</v>
      </c>
      <c r="W679" s="10" t="str">
        <f>IFERROR(__xludf.DUMMYFUNCTION("""COMPUTED_VALUE"""),"اسلام نے عورت کو معاشی سیاسی اور تعلیمی سرگرمیوں میں بھرپور شرکت کی اجازت دی ہے اور اس کے فیصلوں رائے اور خدمات کو قدر کی نگاہ سے دیکھا ہے نبی کریم اور خلفائے راشدین کے دور میں یہ بات ثابت ہے کہ عورتوں کو عزت مشاورت اور دین کے پیغام کو دوسروں تک پہنچانے ک"&amp;"ا حق حاصل ہے")</f>
        <v>اسلام نے عورت کو معاشی سیاسی اور تعلیمی سرگرمیوں میں بھرپور شرکت کی اجازت دی ہے اور اس کے فیصلوں رائے اور خدمات کو قدر کی نگاہ سے دیکھا ہے نبی کریم اور خلفائے راشدین کے دور میں یہ بات ثابت ہے کہ عورتوں کو عزت مشاورت اور دین کے پیغام کو دوسروں تک پہنچانے کا حق حاصل ہے</v>
      </c>
      <c r="X679" s="10">
        <f>IFERROR(__xludf.DUMMYFUNCTION("""COMPUTED_VALUE"""),1.0)</f>
        <v>1</v>
      </c>
      <c r="Y679" s="10">
        <f>IFERROR(__xludf.DUMMYFUNCTION("""COMPUTED_VALUE"""),3.0)</f>
        <v>3</v>
      </c>
      <c r="Z679" s="10">
        <f>IFERROR(__xludf.DUMMYFUNCTION("""COMPUTED_VALUE"""),5.0)</f>
        <v>5</v>
      </c>
      <c r="AA679" s="10">
        <f>IFERROR(__xludf.DUMMYFUNCTION("""COMPUTED_VALUE"""),9.0)</f>
        <v>9</v>
      </c>
      <c r="AB679" s="10">
        <f>IFERROR(__xludf.DUMMYFUNCTION("""COMPUTED_VALUE"""),1.0)</f>
        <v>1</v>
      </c>
      <c r="AC679" s="10">
        <f>IFERROR(__xludf.DUMMYFUNCTION("""COMPUTED_VALUE"""),0.0)</f>
        <v>0</v>
      </c>
      <c r="AD679" s="10">
        <f>IFERROR(__xludf.DUMMYFUNCTION("""COMPUTED_VALUE"""),0.0)</f>
        <v>0</v>
      </c>
      <c r="AE679" s="10">
        <f>IFERROR(__xludf.DUMMYFUNCTION("""COMPUTED_VALUE"""),0.0)</f>
        <v>0</v>
      </c>
      <c r="AF679" s="10">
        <f>IFERROR(__xludf.DUMMYFUNCTION("""COMPUTED_VALUE"""),0.0)</f>
        <v>0</v>
      </c>
      <c r="AG679" s="10">
        <f>IFERROR(__xludf.DUMMYFUNCTION("""COMPUTED_VALUE"""),10.0)</f>
        <v>10</v>
      </c>
      <c r="AH679" s="10">
        <f>IFERROR(__xludf.DUMMYFUNCTION("""COMPUTED_VALUE"""),0.0)</f>
        <v>0</v>
      </c>
      <c r="AI679" s="10">
        <f>IFERROR(__xludf.DUMMYFUNCTION("""COMPUTED_VALUE"""),10.0)</f>
        <v>10</v>
      </c>
      <c r="AJ679" s="11" t="str">
        <f>IFERROR(__xludf.DUMMYFUNCTION("""COMPUTED_VALUE"""),"https://drive.google.com/open?id=1OCMqTnzumJXH-xUof9RJM5vZU924k5gc")</f>
        <v>https://drive.google.com/open?id=1OCMqTnzumJXH-xUof9RJM5vZU924k5gc</v>
      </c>
      <c r="AK679" s="12"/>
      <c r="AL679" s="12" t="str">
        <f>IFERROR(__xludf.DUMMYFUNCTION("""COMPUTED_VALUE"""),"Yes")</f>
        <v>Yes</v>
      </c>
      <c r="AM679" s="15">
        <f>IFERROR(__xludf.DUMMYFUNCTION("""COMPUTED_VALUE"""),0.6)</f>
        <v>0.6</v>
      </c>
      <c r="AN679" s="12" t="str">
        <f>IFERROR(__xludf.DUMMYFUNCTION("""COMPUTED_VALUE"""),"2nd week")</f>
        <v>2nd week</v>
      </c>
      <c r="AO679" s="13">
        <v>2.0</v>
      </c>
      <c r="AP679" s="8"/>
      <c r="AX679" s="17"/>
    </row>
    <row r="680">
      <c r="B680" s="9">
        <f>IFERROR(__xludf.DUMMYFUNCTION("""COMPUTED_VALUE"""),45901.32053815972)</f>
        <v>45901.32054</v>
      </c>
      <c r="C680" s="10" t="str">
        <f>IFERROR(__xludf.DUMMYFUNCTION("""COMPUTED_VALUE"""),"Saira Shahzad ")</f>
        <v>Saira Shahzad </v>
      </c>
      <c r="D680" s="10" t="str">
        <f>IFERROR(__xludf.DUMMYFUNCTION("""COMPUTED_VALUE"""),"03114534696")</f>
        <v>03114534696</v>
      </c>
      <c r="E680" s="10" t="str">
        <f>IFERROR(__xludf.DUMMYFUNCTION("""COMPUTED_VALUE"""),"Jamia Masjid Shah Rangila Hasalpur")</f>
        <v>Jamia Masjid Shah Rangila Hasalpur</v>
      </c>
      <c r="F680" s="10" t="str">
        <f>IFERROR(__xludf.DUMMYFUNCTION("""COMPUTED_VALUE"""),"sjqhk")</f>
        <v>sjqhk</v>
      </c>
      <c r="G680" s="10" t="str">
        <f>IFERROR(__xludf.DUMMYFUNCTION("""COMPUTED_VALUE"""),"Yes")</f>
        <v>Yes</v>
      </c>
      <c r="H680" s="10">
        <f>IFERROR(__xludf.DUMMYFUNCTION("""COMPUTED_VALUE"""),0.0)</f>
        <v>0</v>
      </c>
      <c r="I680" s="10">
        <f>IFERROR(__xludf.DUMMYFUNCTION("""COMPUTED_VALUE"""),10.0)</f>
        <v>10</v>
      </c>
      <c r="J680" s="10">
        <f>IFERROR(__xludf.DUMMYFUNCTION("""COMPUTED_VALUE"""),0.0)</f>
        <v>0</v>
      </c>
      <c r="K680" s="10">
        <f>IFERROR(__xludf.DUMMYFUNCTION("""COMPUTED_VALUE"""),0.0)</f>
        <v>0</v>
      </c>
      <c r="L680" s="10">
        <f>IFERROR(__xludf.DUMMYFUNCTION("""COMPUTED_VALUE"""),0.0)</f>
        <v>0</v>
      </c>
      <c r="M680" s="10">
        <f>IFERROR(__xludf.DUMMYFUNCTION("""COMPUTED_VALUE"""),0.0)</f>
        <v>0</v>
      </c>
      <c r="N680" s="10">
        <f>IFERROR(__xludf.DUMMYFUNCTION("""COMPUTED_VALUE"""),0.0)</f>
        <v>0</v>
      </c>
      <c r="O680" s="10">
        <f>IFERROR(__xludf.DUMMYFUNCTION("""COMPUTED_VALUE"""),0.0)</f>
        <v>0</v>
      </c>
      <c r="P680" s="10">
        <f>IFERROR(__xludf.DUMMYFUNCTION("""COMPUTED_VALUE"""),0.0)</f>
        <v>0</v>
      </c>
      <c r="Q680" s="10" t="str">
        <f>IFERROR(__xludf.DUMMYFUNCTION("""COMPUTED_VALUE"""),"No")</f>
        <v>No</v>
      </c>
      <c r="R680" s="10" t="str">
        <f>IFERROR(__xludf.DUMMYFUNCTION("""COMPUTED_VALUE"""),"No")</f>
        <v>No</v>
      </c>
      <c r="S680" s="10" t="str">
        <f>IFERROR(__xludf.DUMMYFUNCTION("""COMPUTED_VALUE"""),"No")</f>
        <v>No</v>
      </c>
      <c r="T680" s="10">
        <f>IFERROR(__xludf.DUMMYFUNCTION("""COMPUTED_VALUE"""),0.0)</f>
        <v>0</v>
      </c>
      <c r="U680" s="10">
        <f>IFERROR(__xludf.DUMMYFUNCTION("""COMPUTED_VALUE"""),0.0)</f>
        <v>0</v>
      </c>
      <c r="V680" s="10" t="str">
        <f>IFERROR(__xludf.DUMMYFUNCTION("""COMPUTED_VALUE"""),"اللہ تعالی کے احکامات")</f>
        <v>اللہ تعالی کے احکامات</v>
      </c>
      <c r="W680" s="10" t="str">
        <f>IFERROR(__xludf.DUMMYFUNCTION("""COMPUTED_VALUE"""),"امام نے اپنے بیان میں اللہ تعالیٰ کے احکامات بیان کیے ہیں یہ بیان کیا ہے کہ اللہ تعالی نے انسان کو پیدا کیا ہے یہ دنیا عارضی ہے یہ ختم ہو جائے گی انسان کو بھی ایک یہ دنیا چھوڑ کر جانا ہے اس لیے ضروری ہے کہ اللہ تعالی کے احکامات پر عمل کیا جائے اور قیامت ک"&amp;"ے دن کی تفصیل بیان کی ہے اس کے علاوہ یہ بیان کیا ہے کہ قبر میں انسان سے تین طرح کے سوال کیے جائیں گے اور وہی انسان کامیاب ہوگا جو اللہ تعالی کے حکم کے مطابق زندگی گزارے گا")</f>
        <v>امام نے اپنے بیان میں اللہ تعالیٰ کے احکامات بیان کیے ہیں یہ بیان کیا ہے کہ اللہ تعالی نے انسان کو پیدا کیا ہے یہ دنیا عارضی ہے یہ ختم ہو جائے گی انسان کو بھی ایک یہ دنیا چھوڑ کر جانا ہے اس لیے ضروری ہے کہ اللہ تعالی کے احکامات پر عمل کیا جائے اور قیامت کے دن کی تفصیل بیان کی ہے اس کے علاوہ یہ بیان کیا ہے کہ قبر میں انسان سے تین طرح کے سوال کیے جائیں گے اور وہی انسان کامیاب ہوگا جو اللہ تعالی کے حکم کے مطابق زندگی گزارے گا</v>
      </c>
      <c r="X680" s="10">
        <f>IFERROR(__xludf.DUMMYFUNCTION("""COMPUTED_VALUE"""),4.0)</f>
        <v>4</v>
      </c>
      <c r="Y680" s="10">
        <f>IFERROR(__xludf.DUMMYFUNCTION("""COMPUTED_VALUE"""),2.0)</f>
        <v>2</v>
      </c>
      <c r="Z680" s="10">
        <f>IFERROR(__xludf.DUMMYFUNCTION("""COMPUTED_VALUE"""),4.0)</f>
        <v>4</v>
      </c>
      <c r="AA680" s="10">
        <f>IFERROR(__xludf.DUMMYFUNCTION("""COMPUTED_VALUE"""),6.0)</f>
        <v>6</v>
      </c>
      <c r="AB680" s="10">
        <f>IFERROR(__xludf.DUMMYFUNCTION("""COMPUTED_VALUE"""),4.0)</f>
        <v>4</v>
      </c>
      <c r="AC680" s="10">
        <f>IFERROR(__xludf.DUMMYFUNCTION("""COMPUTED_VALUE"""),0.0)</f>
        <v>0</v>
      </c>
      <c r="AD680" s="10">
        <f>IFERROR(__xludf.DUMMYFUNCTION("""COMPUTED_VALUE"""),0.0)</f>
        <v>0</v>
      </c>
      <c r="AE680" s="10">
        <f>IFERROR(__xludf.DUMMYFUNCTION("""COMPUTED_VALUE"""),2.0)</f>
        <v>2</v>
      </c>
      <c r="AF680" s="10">
        <f>IFERROR(__xludf.DUMMYFUNCTION("""COMPUTED_VALUE"""),4.0)</f>
        <v>4</v>
      </c>
      <c r="AG680" s="10">
        <f>IFERROR(__xludf.DUMMYFUNCTION("""COMPUTED_VALUE"""),6.0)</f>
        <v>6</v>
      </c>
      <c r="AH680" s="10">
        <f>IFERROR(__xludf.DUMMYFUNCTION("""COMPUTED_VALUE"""),0.0)</f>
        <v>0</v>
      </c>
      <c r="AI680" s="10">
        <f>IFERROR(__xludf.DUMMYFUNCTION("""COMPUTED_VALUE"""),7.0)</f>
        <v>7</v>
      </c>
      <c r="AJ680" s="11" t="str">
        <f>IFERROR(__xludf.DUMMYFUNCTION("""COMPUTED_VALUE"""),"https://drive.google.com/open?id=1-lpdttx0CTYopEq-eYFdm1ko-iKHxQ7nzDNKpLZnn5A")</f>
        <v>https://drive.google.com/open?id=1-lpdttx0CTYopEq-eYFdm1ko-iKHxQ7nzDNKpLZnn5A</v>
      </c>
      <c r="AK680" s="12" t="str">
        <f>IFERROR(__xludf.DUMMYFUNCTION("""COMPUTED_VALUE"""),"No")</f>
        <v>No</v>
      </c>
      <c r="AL680" s="12" t="str">
        <f>IFERROR(__xludf.DUMMYFUNCTION("""COMPUTED_VALUE"""),"No")</f>
        <v>No</v>
      </c>
      <c r="AM680" s="15">
        <f>IFERROR(__xludf.DUMMYFUNCTION("""COMPUTED_VALUE"""),0.0)</f>
        <v>0</v>
      </c>
      <c r="AN680" s="12" t="str">
        <f>IFERROR(__xludf.DUMMYFUNCTION("""COMPUTED_VALUE"""),"2nd week")</f>
        <v>2nd week</v>
      </c>
      <c r="AO680" s="13">
        <v>2.0</v>
      </c>
      <c r="AX680" s="17"/>
    </row>
    <row r="681">
      <c r="B681" s="9">
        <f>IFERROR(__xludf.DUMMYFUNCTION("""COMPUTED_VALUE"""),45901.51646756944)</f>
        <v>45901.51647</v>
      </c>
      <c r="C681" s="10" t="str">
        <f>IFERROR(__xludf.DUMMYFUNCTION("""COMPUTED_VALUE"""),"Shahid Iqbal")</f>
        <v>Shahid Iqbal</v>
      </c>
      <c r="D681" s="10" t="str">
        <f>IFERROR(__xludf.DUMMYFUNCTION("""COMPUTED_VALUE"""),"03013665049")</f>
        <v>03013665049</v>
      </c>
      <c r="E681" s="10" t="str">
        <f>IFERROR(__xludf.DUMMYFUNCTION("""COMPUTED_VALUE"""),"Jamia Masjid Darbar Sultan Ahmad Qataal Jalaal Pur Peer Wala Multan")</f>
        <v>Jamia Masjid Darbar Sultan Ahmad Qataal Jalaal Pur Peer Wala Multan</v>
      </c>
      <c r="F681" s="10" t="str">
        <f>IFERROR(__xludf.DUMMYFUNCTION("""COMPUTED_VALUE"""),"ndsnq")</f>
        <v>ndsnq</v>
      </c>
      <c r="G681" s="10" t="str">
        <f>IFERROR(__xludf.DUMMYFUNCTION("""COMPUTED_VALUE"""),"Yes")</f>
        <v>Yes</v>
      </c>
      <c r="H681" s="10">
        <f>IFERROR(__xludf.DUMMYFUNCTION("""COMPUTED_VALUE"""),0.0)</f>
        <v>0</v>
      </c>
      <c r="I681" s="10">
        <f>IFERROR(__xludf.DUMMYFUNCTION("""COMPUTED_VALUE"""),10.0)</f>
        <v>10</v>
      </c>
      <c r="J681" s="10">
        <f>IFERROR(__xludf.DUMMYFUNCTION("""COMPUTED_VALUE"""),0.0)</f>
        <v>0</v>
      </c>
      <c r="K681" s="10">
        <f>IFERROR(__xludf.DUMMYFUNCTION("""COMPUTED_VALUE"""),0.0)</f>
        <v>0</v>
      </c>
      <c r="L681" s="10">
        <f>IFERROR(__xludf.DUMMYFUNCTION("""COMPUTED_VALUE"""),0.0)</f>
        <v>0</v>
      </c>
      <c r="M681" s="10">
        <f>IFERROR(__xludf.DUMMYFUNCTION("""COMPUTED_VALUE"""),0.0)</f>
        <v>0</v>
      </c>
      <c r="N681" s="10">
        <f>IFERROR(__xludf.DUMMYFUNCTION("""COMPUTED_VALUE"""),0.0)</f>
        <v>0</v>
      </c>
      <c r="O681" s="10">
        <f>IFERROR(__xludf.DUMMYFUNCTION("""COMPUTED_VALUE"""),0.0)</f>
        <v>0</v>
      </c>
      <c r="P681" s="10">
        <f>IFERROR(__xludf.DUMMYFUNCTION("""COMPUTED_VALUE"""),0.0)</f>
        <v>0</v>
      </c>
      <c r="Q681" s="10" t="str">
        <f>IFERROR(__xludf.DUMMYFUNCTION("""COMPUTED_VALUE"""),"No")</f>
        <v>No</v>
      </c>
      <c r="R681" s="10" t="str">
        <f>IFERROR(__xludf.DUMMYFUNCTION("""COMPUTED_VALUE"""),"No")</f>
        <v>No</v>
      </c>
      <c r="S681" s="10" t="str">
        <f>IFERROR(__xludf.DUMMYFUNCTION("""COMPUTED_VALUE"""),"No")</f>
        <v>No</v>
      </c>
      <c r="T681" s="10">
        <f>IFERROR(__xludf.DUMMYFUNCTION("""COMPUTED_VALUE"""),0.0)</f>
        <v>0</v>
      </c>
      <c r="U681" s="10">
        <f>IFERROR(__xludf.DUMMYFUNCTION("""COMPUTED_VALUE"""),0.0)</f>
        <v>0</v>
      </c>
      <c r="V681" s="10" t="str">
        <f>IFERROR(__xludf.DUMMYFUNCTION("""COMPUTED_VALUE"""),"Nabi akram saw aur Un k Ashaab RA")</f>
        <v>Nabi akram saw aur Un k Ashaab RA</v>
      </c>
      <c r="W681" s="10" t="str">
        <f>IFERROR(__xludf.DUMMYFUNCTION("""COMPUTED_VALUE"""),"shaba ikram ki azmat aur nabi saw ki seerat byan ki")</f>
        <v>shaba ikram ki azmat aur nabi saw ki seerat byan ki</v>
      </c>
      <c r="X681" s="10">
        <f>IFERROR(__xludf.DUMMYFUNCTION("""COMPUTED_VALUE"""),3.0)</f>
        <v>3</v>
      </c>
      <c r="Y681" s="10">
        <f>IFERROR(__xludf.DUMMYFUNCTION("""COMPUTED_VALUE"""),5.0)</f>
        <v>5</v>
      </c>
      <c r="Z681" s="10">
        <f>IFERROR(__xludf.DUMMYFUNCTION("""COMPUTED_VALUE"""),5.0)</f>
        <v>5</v>
      </c>
      <c r="AA681" s="10">
        <f>IFERROR(__xludf.DUMMYFUNCTION("""COMPUTED_VALUE"""),8.0)</f>
        <v>8</v>
      </c>
      <c r="AB681" s="10">
        <f>IFERROR(__xludf.DUMMYFUNCTION("""COMPUTED_VALUE"""),5.0)</f>
        <v>5</v>
      </c>
      <c r="AC681" s="10">
        <f>IFERROR(__xludf.DUMMYFUNCTION("""COMPUTED_VALUE"""),1.0)</f>
        <v>1</v>
      </c>
      <c r="AD681" s="10">
        <f>IFERROR(__xludf.DUMMYFUNCTION("""COMPUTED_VALUE"""),0.0)</f>
        <v>0</v>
      </c>
      <c r="AE681" s="10">
        <f>IFERROR(__xludf.DUMMYFUNCTION("""COMPUTED_VALUE"""),0.0)</f>
        <v>0</v>
      </c>
      <c r="AF681" s="10">
        <f>IFERROR(__xludf.DUMMYFUNCTION("""COMPUTED_VALUE"""),0.0)</f>
        <v>0</v>
      </c>
      <c r="AG681" s="10">
        <f>IFERROR(__xludf.DUMMYFUNCTION("""COMPUTED_VALUE"""),10.0)</f>
        <v>10</v>
      </c>
      <c r="AH681" s="10">
        <f>IFERROR(__xludf.DUMMYFUNCTION("""COMPUTED_VALUE"""),0.0)</f>
        <v>0</v>
      </c>
      <c r="AI681" s="10">
        <f>IFERROR(__xludf.DUMMYFUNCTION("""COMPUTED_VALUE"""),10.0)</f>
        <v>10</v>
      </c>
      <c r="AJ681" s="11" t="str">
        <f>IFERROR(__xludf.DUMMYFUNCTION("""COMPUTED_VALUE"""),"https://drive.google.com/open?id=1bkPLH10SW3e5fFijlwKgcHEbCZ0cXgX8")</f>
        <v>https://drive.google.com/open?id=1bkPLH10SW3e5fFijlwKgcHEbCZ0cXgX8</v>
      </c>
      <c r="AK681" s="12"/>
      <c r="AL681" s="12" t="str">
        <f>IFERROR(__xludf.DUMMYFUNCTION("""COMPUTED_VALUE"""),"Yes")</f>
        <v>Yes</v>
      </c>
      <c r="AM681" s="15">
        <f>IFERROR(__xludf.DUMMYFUNCTION("""COMPUTED_VALUE"""),0.0)</f>
        <v>0</v>
      </c>
      <c r="AN681" s="12" t="str">
        <f>IFERROR(__xludf.DUMMYFUNCTION("""COMPUTED_VALUE"""),"5th week")</f>
        <v>5th week</v>
      </c>
      <c r="AO681" s="13">
        <v>6.0</v>
      </c>
      <c r="AX681" s="17"/>
    </row>
    <row r="682">
      <c r="B682" s="9">
        <f>IFERROR(__xludf.DUMMYFUNCTION("""COMPUTED_VALUE"""),45901.967588263884)</f>
        <v>45901.96759</v>
      </c>
      <c r="C682" s="10" t="str">
        <f>IFERROR(__xludf.DUMMYFUNCTION("""COMPUTED_VALUE"""),"Shahid iqbal")</f>
        <v>Shahid iqbal</v>
      </c>
      <c r="D682" s="10" t="str">
        <f>IFERROR(__xludf.DUMMYFUNCTION("""COMPUTED_VALUE"""),"03013665049")</f>
        <v>03013665049</v>
      </c>
      <c r="E682" s="10" t="str">
        <f>IFERROR(__xludf.DUMMYFUNCTION("""COMPUTED_VALUE"""),"Jamia Masjid Mehdum Rasheed Haqani Multan")</f>
        <v>Jamia Masjid Mehdum Rasheed Haqani Multan</v>
      </c>
      <c r="F682" s="10" t="str">
        <f>IFERROR(__xludf.DUMMYFUNCTION("""COMPUTED_VALUE"""),"cqxog")</f>
        <v>cqxog</v>
      </c>
      <c r="G682" s="10" t="str">
        <f>IFERROR(__xludf.DUMMYFUNCTION("""COMPUTED_VALUE"""),"Yes")</f>
        <v>Yes</v>
      </c>
      <c r="H682" s="10">
        <f>IFERROR(__xludf.DUMMYFUNCTION("""COMPUTED_VALUE"""),0.0)</f>
        <v>0</v>
      </c>
      <c r="I682" s="10">
        <f>IFERROR(__xludf.DUMMYFUNCTION("""COMPUTED_VALUE"""),10.0)</f>
        <v>10</v>
      </c>
      <c r="J682" s="10">
        <f>IFERROR(__xludf.DUMMYFUNCTION("""COMPUTED_VALUE"""),0.0)</f>
        <v>0</v>
      </c>
      <c r="K682" s="10">
        <f>IFERROR(__xludf.DUMMYFUNCTION("""COMPUTED_VALUE"""),0.0)</f>
        <v>0</v>
      </c>
      <c r="L682" s="10">
        <f>IFERROR(__xludf.DUMMYFUNCTION("""COMPUTED_VALUE"""),0.0)</f>
        <v>0</v>
      </c>
      <c r="M682" s="10">
        <f>IFERROR(__xludf.DUMMYFUNCTION("""COMPUTED_VALUE"""),0.0)</f>
        <v>0</v>
      </c>
      <c r="N682" s="10">
        <f>IFERROR(__xludf.DUMMYFUNCTION("""COMPUTED_VALUE"""),0.0)</f>
        <v>0</v>
      </c>
      <c r="O682" s="10">
        <f>IFERROR(__xludf.DUMMYFUNCTION("""COMPUTED_VALUE"""),0.0)</f>
        <v>0</v>
      </c>
      <c r="P682" s="10">
        <f>IFERROR(__xludf.DUMMYFUNCTION("""COMPUTED_VALUE"""),0.0)</f>
        <v>0</v>
      </c>
      <c r="Q682" s="10" t="str">
        <f>IFERROR(__xludf.DUMMYFUNCTION("""COMPUTED_VALUE"""),"No")</f>
        <v>No</v>
      </c>
      <c r="R682" s="10" t="str">
        <f>IFERROR(__xludf.DUMMYFUNCTION("""COMPUTED_VALUE"""),"No")</f>
        <v>No</v>
      </c>
      <c r="S682" s="10" t="str">
        <f>IFERROR(__xludf.DUMMYFUNCTION("""COMPUTED_VALUE"""),"No")</f>
        <v>No</v>
      </c>
      <c r="T682" s="10">
        <f>IFERROR(__xludf.DUMMYFUNCTION("""COMPUTED_VALUE"""),0.0)</f>
        <v>0</v>
      </c>
      <c r="U682" s="10">
        <f>IFERROR(__xludf.DUMMYFUNCTION("""COMPUTED_VALUE"""),0.0)</f>
        <v>0</v>
      </c>
      <c r="V682" s="10" t="str">
        <f>IFERROR(__xludf.DUMMYFUNCTION("""COMPUTED_VALUE"""),"Mah e Rabi Ul awal ka ehtram aur nabi saw ki wiladat mubraka")</f>
        <v>Mah e Rabi Ul awal ka ehtram aur nabi saw ki wiladat mubraka</v>
      </c>
      <c r="W682" s="10" t="str">
        <f>IFERROR(__xludf.DUMMYFUNCTION("""COMPUTED_VALUE"""),"Mah e Rabi Ul awal ka ehtram aur nabi saw ki wiladat mubraka aur Hazoor saw ki sunnat per amal")</f>
        <v>Mah e Rabi Ul awal ka ehtram aur nabi saw ki wiladat mubraka aur Hazoor saw ki sunnat per amal</v>
      </c>
      <c r="X682" s="10">
        <f>IFERROR(__xludf.DUMMYFUNCTION("""COMPUTED_VALUE"""),2.0)</f>
        <v>2</v>
      </c>
      <c r="Y682" s="10">
        <f>IFERROR(__xludf.DUMMYFUNCTION("""COMPUTED_VALUE"""),5.0)</f>
        <v>5</v>
      </c>
      <c r="Z682" s="10">
        <f>IFERROR(__xludf.DUMMYFUNCTION("""COMPUTED_VALUE"""),5.0)</f>
        <v>5</v>
      </c>
      <c r="AA682" s="10">
        <f>IFERROR(__xludf.DUMMYFUNCTION("""COMPUTED_VALUE"""),7.0)</f>
        <v>7</v>
      </c>
      <c r="AB682" s="10">
        <f>IFERROR(__xludf.DUMMYFUNCTION("""COMPUTED_VALUE"""),3.0)</f>
        <v>3</v>
      </c>
      <c r="AC682" s="10">
        <f>IFERROR(__xludf.DUMMYFUNCTION("""COMPUTED_VALUE"""),0.0)</f>
        <v>0</v>
      </c>
      <c r="AD682" s="10">
        <f>IFERROR(__xludf.DUMMYFUNCTION("""COMPUTED_VALUE"""),0.0)</f>
        <v>0</v>
      </c>
      <c r="AE682" s="10">
        <f>IFERROR(__xludf.DUMMYFUNCTION("""COMPUTED_VALUE"""),0.0)</f>
        <v>0</v>
      </c>
      <c r="AF682" s="10">
        <f>IFERROR(__xludf.DUMMYFUNCTION("""COMPUTED_VALUE"""),0.0)</f>
        <v>0</v>
      </c>
      <c r="AG682" s="10">
        <f>IFERROR(__xludf.DUMMYFUNCTION("""COMPUTED_VALUE"""),10.0)</f>
        <v>10</v>
      </c>
      <c r="AH682" s="10">
        <f>IFERROR(__xludf.DUMMYFUNCTION("""COMPUTED_VALUE"""),0.0)</f>
        <v>0</v>
      </c>
      <c r="AI682" s="10">
        <f>IFERROR(__xludf.DUMMYFUNCTION("""COMPUTED_VALUE"""),10.0)</f>
        <v>10</v>
      </c>
      <c r="AJ682" s="11" t="str">
        <f>IFERROR(__xludf.DUMMYFUNCTION("""COMPUTED_VALUE"""),"https://drive.google.com/open?id=11MH40H31hhLMc4mksoJMCB4OMM_gZbCD")</f>
        <v>https://drive.google.com/open?id=11MH40H31hhLMc4mksoJMCB4OMM_gZbCD</v>
      </c>
      <c r="AK682" s="12"/>
      <c r="AL682" s="12" t="str">
        <f>IFERROR(__xludf.DUMMYFUNCTION("""COMPUTED_VALUE"""),"Yes")</f>
        <v>Yes</v>
      </c>
      <c r="AM682" s="15">
        <f>IFERROR(__xludf.DUMMYFUNCTION("""COMPUTED_VALUE"""),0.0)</f>
        <v>0</v>
      </c>
      <c r="AN682" s="12" t="str">
        <f>IFERROR(__xludf.DUMMYFUNCTION("""COMPUTED_VALUE"""),"5th week")</f>
        <v>5th week</v>
      </c>
      <c r="AO682" s="13">
        <v>6.0</v>
      </c>
      <c r="AX682" s="17"/>
    </row>
    <row r="683">
      <c r="B683" s="9">
        <f>IFERROR(__xludf.DUMMYFUNCTION("""COMPUTED_VALUE"""),45902.27765447917)</f>
        <v>45902.27765</v>
      </c>
      <c r="C683" s="10" t="str">
        <f>IFERROR(__xludf.DUMMYFUNCTION("""COMPUTED_VALUE"""),"Shahid Iqbal")</f>
        <v>Shahid Iqbal</v>
      </c>
      <c r="D683" s="10" t="str">
        <f>IFERROR(__xludf.DUMMYFUNCTION("""COMPUTED_VALUE"""),"03013665049")</f>
        <v>03013665049</v>
      </c>
      <c r="E683" s="10" t="str">
        <f>IFERROR(__xludf.DUMMYFUNCTION("""COMPUTED_VALUE"""),"Jamia Masjid Darbar Rasheed Jalaal Ul Din")</f>
        <v>Jamia Masjid Darbar Rasheed Jalaal Ul Din</v>
      </c>
      <c r="F683" s="10" t="str">
        <f>IFERROR(__xludf.DUMMYFUNCTION("""COMPUTED_VALUE"""),"pnyzs")</f>
        <v>pnyzs</v>
      </c>
      <c r="G683" s="10" t="str">
        <f>IFERROR(__xludf.DUMMYFUNCTION("""COMPUTED_VALUE"""),"Yes")</f>
        <v>Yes</v>
      </c>
      <c r="H683" s="10">
        <f>IFERROR(__xludf.DUMMYFUNCTION("""COMPUTED_VALUE"""),9.0)</f>
        <v>9</v>
      </c>
      <c r="I683" s="10">
        <f>IFERROR(__xludf.DUMMYFUNCTION("""COMPUTED_VALUE"""),1.0)</f>
        <v>1</v>
      </c>
      <c r="J683" s="10">
        <f>IFERROR(__xludf.DUMMYFUNCTION("""COMPUTED_VALUE"""),10.0)</f>
        <v>10</v>
      </c>
      <c r="K683" s="10">
        <f>IFERROR(__xludf.DUMMYFUNCTION("""COMPUTED_VALUE"""),10.0)</f>
        <v>10</v>
      </c>
      <c r="L683" s="10">
        <f>IFERROR(__xludf.DUMMYFUNCTION("""COMPUTED_VALUE"""),0.0)</f>
        <v>0</v>
      </c>
      <c r="M683" s="10">
        <f>IFERROR(__xludf.DUMMYFUNCTION("""COMPUTED_VALUE"""),10.0)</f>
        <v>10</v>
      </c>
      <c r="N683" s="10">
        <f>IFERROR(__xludf.DUMMYFUNCTION("""COMPUTED_VALUE"""),0.0)</f>
        <v>0</v>
      </c>
      <c r="O683" s="10">
        <f>IFERROR(__xludf.DUMMYFUNCTION("""COMPUTED_VALUE"""),10.0)</f>
        <v>10</v>
      </c>
      <c r="P683" s="10">
        <f>IFERROR(__xludf.DUMMYFUNCTION("""COMPUTED_VALUE"""),0.0)</f>
        <v>0</v>
      </c>
      <c r="Q683" s="10" t="str">
        <f>IFERROR(__xludf.DUMMYFUNCTION("""COMPUTED_VALUE"""),"Yes")</f>
        <v>Yes</v>
      </c>
      <c r="R683" s="10" t="str">
        <f>IFERROR(__xludf.DUMMYFUNCTION("""COMPUTED_VALUE"""),"No")</f>
        <v>No</v>
      </c>
      <c r="S683" s="10" t="str">
        <f>IFERROR(__xludf.DUMMYFUNCTION("""COMPUTED_VALUE"""),"Yes")</f>
        <v>Yes</v>
      </c>
      <c r="T683" s="10">
        <f>IFERROR(__xludf.DUMMYFUNCTION("""COMPUTED_VALUE"""),0.0)</f>
        <v>0</v>
      </c>
      <c r="U683" s="10">
        <f>IFERROR(__xludf.DUMMYFUNCTION("""COMPUTED_VALUE"""),0.0)</f>
        <v>0</v>
      </c>
      <c r="V683" s="10" t="str">
        <f>IFERROR(__xludf.DUMMYFUNCTION("""COMPUTED_VALUE"""),"عورتوں کے حقوق")</f>
        <v>عورتوں کے حقوق</v>
      </c>
      <c r="W683" s="10" t="str">
        <f>IFERROR(__xludf.DUMMYFUNCTION("""COMPUTED_VALUE"""),"عورتوں کے معاملے میں اللہ سے ڈرو ان کا حق کبھی مت کھاؤ بعض خواتین صحابیات میں معاشی سرگرمیوں کا بہت رجحان اور حصول روزگار کی صلاحیت موجود تھی رسول اللہ صلی اللہ علیہ وسلم نے انہیں اس عمل سے کبھی نہ روکا بلکہ بعض حالات میں ان کی صلاحیت سے فائدہ اٹھایا جاتا"&amp;" تھا حضرت خدیجہ رضی اللہ تعالی عنہا کا قبل از اسلام منظم کاروبار تھا اسلام لانے کے بعد بھی ان کی کاروباری سرگرم میں جاری رہی تھی اور حضور نے کبھی منع نہیں فرمایا تھا ایک موقع پر اپ نے ان کی تحسین کرتے ہوئے فرمایا انہوں نے میری بہت مالی معاونت کی")</f>
        <v>عورتوں کے معاملے میں اللہ سے ڈرو ان کا حق کبھی مت کھاؤ بعض خواتین صحابیات میں معاشی سرگرمیوں کا بہت رجحان اور حصول روزگار کی صلاحیت موجود تھی رسول اللہ صلی اللہ علیہ وسلم نے انہیں اس عمل سے کبھی نہ روکا بلکہ بعض حالات میں ان کی صلاحیت سے فائدہ اٹھایا جاتا تھا حضرت خدیجہ رضی اللہ تعالی عنہا کا قبل از اسلام منظم کاروبار تھا اسلام لانے کے بعد بھی ان کی کاروباری سرگرم میں جاری رہی تھی اور حضور نے کبھی منع نہیں فرمایا تھا ایک موقع پر اپ نے ان کی تحسین کرتے ہوئے فرمایا انہوں نے میری بہت مالی معاونت کی</v>
      </c>
      <c r="X683" s="10">
        <f>IFERROR(__xludf.DUMMYFUNCTION("""COMPUTED_VALUE"""),2.0)</f>
        <v>2</v>
      </c>
      <c r="Y683" s="10">
        <f>IFERROR(__xludf.DUMMYFUNCTION("""COMPUTED_VALUE"""),3.0)</f>
        <v>3</v>
      </c>
      <c r="Z683" s="10">
        <f>IFERROR(__xludf.DUMMYFUNCTION("""COMPUTED_VALUE"""),4.0)</f>
        <v>4</v>
      </c>
      <c r="AA683" s="10">
        <f>IFERROR(__xludf.DUMMYFUNCTION("""COMPUTED_VALUE"""),9.0)</f>
        <v>9</v>
      </c>
      <c r="AB683" s="10">
        <f>IFERROR(__xludf.DUMMYFUNCTION("""COMPUTED_VALUE"""),2.0)</f>
        <v>2</v>
      </c>
      <c r="AC683" s="10">
        <f>IFERROR(__xludf.DUMMYFUNCTION("""COMPUTED_VALUE"""),0.0)</f>
        <v>0</v>
      </c>
      <c r="AD683" s="10">
        <f>IFERROR(__xludf.DUMMYFUNCTION("""COMPUTED_VALUE"""),0.0)</f>
        <v>0</v>
      </c>
      <c r="AE683" s="10">
        <f>IFERROR(__xludf.DUMMYFUNCTION("""COMPUTED_VALUE"""),0.0)</f>
        <v>0</v>
      </c>
      <c r="AF683" s="10">
        <f>IFERROR(__xludf.DUMMYFUNCTION("""COMPUTED_VALUE"""),0.0)</f>
        <v>0</v>
      </c>
      <c r="AG683" s="10">
        <f>IFERROR(__xludf.DUMMYFUNCTION("""COMPUTED_VALUE"""),9.0)</f>
        <v>9</v>
      </c>
      <c r="AH683" s="10">
        <f>IFERROR(__xludf.DUMMYFUNCTION("""COMPUTED_VALUE"""),1.0)</f>
        <v>1</v>
      </c>
      <c r="AI683" s="10">
        <f>IFERROR(__xludf.DUMMYFUNCTION("""COMPUTED_VALUE"""),9.0)</f>
        <v>9</v>
      </c>
      <c r="AJ683" s="11" t="str">
        <f>IFERROR(__xludf.DUMMYFUNCTION("""COMPUTED_VALUE"""),"https://drive.google.com/open?id=13QF1xJGtjJ6Jmnpkg-jlYmPxe44GGhGY")</f>
        <v>https://drive.google.com/open?id=13QF1xJGtjJ6Jmnpkg-jlYmPxe44GGhGY</v>
      </c>
      <c r="AK683" s="12"/>
      <c r="AL683" s="12" t="str">
        <f>IFERROR(__xludf.DUMMYFUNCTION("""COMPUTED_VALUE"""),"Yes")</f>
        <v>Yes</v>
      </c>
      <c r="AM683" s="15">
        <f>IFERROR(__xludf.DUMMYFUNCTION("""COMPUTED_VALUE"""),0.9)</f>
        <v>0.9</v>
      </c>
      <c r="AN683" s="12" t="str">
        <f>IFERROR(__xludf.DUMMYFUNCTION("""COMPUTED_VALUE"""),"5th week")</f>
        <v>5th week</v>
      </c>
      <c r="AO683" s="13">
        <v>5.0</v>
      </c>
      <c r="AX683" s="17"/>
    </row>
    <row r="684">
      <c r="B684" s="9">
        <f>IFERROR(__xludf.DUMMYFUNCTION("""COMPUTED_VALUE"""),45903.500992037036)</f>
        <v>45903.50099</v>
      </c>
      <c r="C684" s="10" t="str">
        <f>IFERROR(__xludf.DUMMYFUNCTION("""COMPUTED_VALUE"""),"Shahid iqbal")</f>
        <v>Shahid iqbal</v>
      </c>
      <c r="D684" s="10" t="str">
        <f>IFERROR(__xludf.DUMMYFUNCTION("""COMPUTED_VALUE"""),"03013665049")</f>
        <v>03013665049</v>
      </c>
      <c r="E684" s="10" t="str">
        <f>IFERROR(__xludf.DUMMYFUNCTION("""COMPUTED_VALUE"""),"Jamia Masjid Darbar Mehab Faqeer Ali Muzaffargarh")</f>
        <v>Jamia Masjid Darbar Mehab Faqeer Ali Muzaffargarh</v>
      </c>
      <c r="F684" s="10" t="str">
        <f>IFERROR(__xludf.DUMMYFUNCTION("""COMPUTED_VALUE"""),"xaluj")</f>
        <v>xaluj</v>
      </c>
      <c r="G684" s="10" t="str">
        <f>IFERROR(__xludf.DUMMYFUNCTION("""COMPUTED_VALUE"""),"No")</f>
        <v>No</v>
      </c>
      <c r="H684" s="10"/>
      <c r="I684" s="10"/>
      <c r="J684" s="10"/>
      <c r="K684" s="10">
        <f>IFERROR(__xludf.DUMMYFUNCTION("""COMPUTED_VALUE"""),0.0)</f>
        <v>0</v>
      </c>
      <c r="L684" s="10">
        <f>IFERROR(__xludf.DUMMYFUNCTION("""COMPUTED_VALUE"""),0.0)</f>
        <v>0</v>
      </c>
      <c r="M684" s="10">
        <f>IFERROR(__xludf.DUMMYFUNCTION("""COMPUTED_VALUE"""),0.0)</f>
        <v>0</v>
      </c>
      <c r="N684" s="10">
        <f>IFERROR(__xludf.DUMMYFUNCTION("""COMPUTED_VALUE"""),0.0)</f>
        <v>0</v>
      </c>
      <c r="O684" s="10">
        <f>IFERROR(__xludf.DUMMYFUNCTION("""COMPUTED_VALUE"""),0.0)</f>
        <v>0</v>
      </c>
      <c r="P684" s="10">
        <f>IFERROR(__xludf.DUMMYFUNCTION("""COMPUTED_VALUE"""),0.0)</f>
        <v>0</v>
      </c>
      <c r="Q684" s="10" t="str">
        <f>IFERROR(__xludf.DUMMYFUNCTION("""COMPUTED_VALUE"""),"No")</f>
        <v>No</v>
      </c>
      <c r="R684" s="10" t="str">
        <f>IFERROR(__xludf.DUMMYFUNCTION("""COMPUTED_VALUE"""),"No")</f>
        <v>No</v>
      </c>
      <c r="S684" s="10" t="str">
        <f>IFERROR(__xludf.DUMMYFUNCTION("""COMPUTED_VALUE"""),"No")</f>
        <v>No</v>
      </c>
      <c r="T684" s="10">
        <f>IFERROR(__xludf.DUMMYFUNCTION("""COMPUTED_VALUE"""),0.0)</f>
        <v>0</v>
      </c>
      <c r="U684" s="10">
        <f>IFERROR(__xludf.DUMMYFUNCTION("""COMPUTED_VALUE"""),0.0)</f>
        <v>0</v>
      </c>
      <c r="V684" s="10" t="str">
        <f>IFERROR(__xludf.DUMMYFUNCTION("""COMPUTED_VALUE"""),"Mah e Rabi ul awal")</f>
        <v>Mah e Rabi ul awal</v>
      </c>
      <c r="W684" s="10" t="str">
        <f>IFERROR(__xludf.DUMMYFUNCTION("""COMPUTED_VALUE"""),"Mah e Rabi ul awal ki fazzilat aur ehtram")</f>
        <v>Mah e Rabi ul awal ki fazzilat aur ehtram</v>
      </c>
      <c r="X684" s="10">
        <f>IFERROR(__xludf.DUMMYFUNCTION("""COMPUTED_VALUE"""),3.0)</f>
        <v>3</v>
      </c>
      <c r="Y684" s="10">
        <f>IFERROR(__xludf.DUMMYFUNCTION("""COMPUTED_VALUE"""),4.0)</f>
        <v>4</v>
      </c>
      <c r="Z684" s="10">
        <f>IFERROR(__xludf.DUMMYFUNCTION("""COMPUTED_VALUE"""),4.0)</f>
        <v>4</v>
      </c>
      <c r="AA684" s="10">
        <f>IFERROR(__xludf.DUMMYFUNCTION("""COMPUTED_VALUE"""),7.0)</f>
        <v>7</v>
      </c>
      <c r="AB684" s="10">
        <f>IFERROR(__xludf.DUMMYFUNCTION("""COMPUTED_VALUE"""),3.0)</f>
        <v>3</v>
      </c>
      <c r="AC684" s="10">
        <f>IFERROR(__xludf.DUMMYFUNCTION("""COMPUTED_VALUE"""),0.0)</f>
        <v>0</v>
      </c>
      <c r="AD684" s="10">
        <f>IFERROR(__xludf.DUMMYFUNCTION("""COMPUTED_VALUE"""),0.0)</f>
        <v>0</v>
      </c>
      <c r="AE684" s="10">
        <f>IFERROR(__xludf.DUMMYFUNCTION("""COMPUTED_VALUE"""),0.0)</f>
        <v>0</v>
      </c>
      <c r="AF684" s="10">
        <f>IFERROR(__xludf.DUMMYFUNCTION("""COMPUTED_VALUE"""),0.0)</f>
        <v>0</v>
      </c>
      <c r="AG684" s="10">
        <f>IFERROR(__xludf.DUMMYFUNCTION("""COMPUTED_VALUE"""),10.0)</f>
        <v>10</v>
      </c>
      <c r="AH684" s="10">
        <f>IFERROR(__xludf.DUMMYFUNCTION("""COMPUTED_VALUE"""),0.0)</f>
        <v>0</v>
      </c>
      <c r="AI684" s="10">
        <f>IFERROR(__xludf.DUMMYFUNCTION("""COMPUTED_VALUE"""),10.0)</f>
        <v>10</v>
      </c>
      <c r="AJ684" s="11" t="str">
        <f>IFERROR(__xludf.DUMMYFUNCTION("""COMPUTED_VALUE"""),"https://drive.google.com/open?id=1acfPfs_uZs9077l025B91Gkpgx1SpyBw")</f>
        <v>https://drive.google.com/open?id=1acfPfs_uZs9077l025B91Gkpgx1SpyBw</v>
      </c>
      <c r="AK684" s="12"/>
      <c r="AL684" s="12"/>
      <c r="AM684" s="12"/>
      <c r="AN684" s="12" t="str">
        <f>IFERROR(__xludf.DUMMYFUNCTION("""COMPUTED_VALUE"""),"1st week")</f>
        <v>1st week</v>
      </c>
      <c r="AO684" s="13">
        <v>1.0</v>
      </c>
      <c r="AX684" s="17"/>
    </row>
    <row r="685">
      <c r="B685" s="9">
        <f>IFERROR(__xludf.DUMMYFUNCTION("""COMPUTED_VALUE"""),45903.51867855324)</f>
        <v>45903.51868</v>
      </c>
      <c r="C685" s="10" t="str">
        <f>IFERROR(__xludf.DUMMYFUNCTION("""COMPUTED_VALUE"""),"Shahid iqbal")</f>
        <v>Shahid iqbal</v>
      </c>
      <c r="D685" s="10" t="str">
        <f>IFERROR(__xludf.DUMMYFUNCTION("""COMPUTED_VALUE"""),"03013665049")</f>
        <v>03013665049</v>
      </c>
      <c r="E685" s="10" t="str">
        <f>IFERROR(__xludf.DUMMYFUNCTION("""COMPUTED_VALUE"""),"Jamia Masjid Darbar Rasheed Jalaal Ul Din")</f>
        <v>Jamia Masjid Darbar Rasheed Jalaal Ul Din</v>
      </c>
      <c r="F685" s="10" t="str">
        <f>IFERROR(__xludf.DUMMYFUNCTION("""COMPUTED_VALUE"""),"pnyzs")</f>
        <v>pnyzs</v>
      </c>
      <c r="G685" s="10" t="str">
        <f>IFERROR(__xludf.DUMMYFUNCTION("""COMPUTED_VALUE"""),"Yes")</f>
        <v>Yes</v>
      </c>
      <c r="H685" s="10">
        <f>IFERROR(__xludf.DUMMYFUNCTION("""COMPUTED_VALUE"""),0.0)</f>
        <v>0</v>
      </c>
      <c r="I685" s="10">
        <f>IFERROR(__xludf.DUMMYFUNCTION("""COMPUTED_VALUE"""),10.0)</f>
        <v>10</v>
      </c>
      <c r="J685" s="10">
        <f>IFERROR(__xludf.DUMMYFUNCTION("""COMPUTED_VALUE"""),0.0)</f>
        <v>0</v>
      </c>
      <c r="K685" s="10">
        <f>IFERROR(__xludf.DUMMYFUNCTION("""COMPUTED_VALUE"""),0.0)</f>
        <v>0</v>
      </c>
      <c r="L685" s="10">
        <f>IFERROR(__xludf.DUMMYFUNCTION("""COMPUTED_VALUE"""),0.0)</f>
        <v>0</v>
      </c>
      <c r="M685" s="10">
        <f>IFERROR(__xludf.DUMMYFUNCTION("""COMPUTED_VALUE"""),0.0)</f>
        <v>0</v>
      </c>
      <c r="N685" s="10">
        <f>IFERROR(__xludf.DUMMYFUNCTION("""COMPUTED_VALUE"""),0.0)</f>
        <v>0</v>
      </c>
      <c r="O685" s="10">
        <f>IFERROR(__xludf.DUMMYFUNCTION("""COMPUTED_VALUE"""),0.0)</f>
        <v>0</v>
      </c>
      <c r="P685" s="10">
        <f>IFERROR(__xludf.DUMMYFUNCTION("""COMPUTED_VALUE"""),0.0)</f>
        <v>0</v>
      </c>
      <c r="Q685" s="10" t="str">
        <f>IFERROR(__xludf.DUMMYFUNCTION("""COMPUTED_VALUE"""),"No")</f>
        <v>No</v>
      </c>
      <c r="R685" s="10" t="str">
        <f>IFERROR(__xludf.DUMMYFUNCTION("""COMPUTED_VALUE"""),"No")</f>
        <v>No</v>
      </c>
      <c r="S685" s="10" t="str">
        <f>IFERROR(__xludf.DUMMYFUNCTION("""COMPUTED_VALUE"""),"No")</f>
        <v>No</v>
      </c>
      <c r="T685" s="10">
        <f>IFERROR(__xludf.DUMMYFUNCTION("""COMPUTED_VALUE"""),0.0)</f>
        <v>0</v>
      </c>
      <c r="U685" s="10">
        <f>IFERROR(__xludf.DUMMYFUNCTION("""COMPUTED_VALUE"""),0.0)</f>
        <v>0</v>
      </c>
      <c r="V685" s="10" t="str">
        <f>IFERROR(__xludf.DUMMYFUNCTION("""COMPUTED_VALUE"""),"Seerat un nabi saw")</f>
        <v>Seerat un nabi saw</v>
      </c>
      <c r="W685" s="10" t="str">
        <f>IFERROR(__xludf.DUMMYFUNCTION("""COMPUTED_VALUE"""),"Seerat un nabi saw")</f>
        <v>Seerat un nabi saw</v>
      </c>
      <c r="X685" s="10">
        <f>IFERROR(__xludf.DUMMYFUNCTION("""COMPUTED_VALUE"""),4.0)</f>
        <v>4</v>
      </c>
      <c r="Y685" s="10">
        <f>IFERROR(__xludf.DUMMYFUNCTION("""COMPUTED_VALUE"""),5.0)</f>
        <v>5</v>
      </c>
      <c r="Z685" s="10">
        <f>IFERROR(__xludf.DUMMYFUNCTION("""COMPUTED_VALUE"""),5.0)</f>
        <v>5</v>
      </c>
      <c r="AA685" s="10">
        <f>IFERROR(__xludf.DUMMYFUNCTION("""COMPUTED_VALUE"""),9.0)</f>
        <v>9</v>
      </c>
      <c r="AB685" s="10">
        <f>IFERROR(__xludf.DUMMYFUNCTION("""COMPUTED_VALUE"""),6.0)</f>
        <v>6</v>
      </c>
      <c r="AC685" s="10">
        <f>IFERROR(__xludf.DUMMYFUNCTION("""COMPUTED_VALUE"""),0.0)</f>
        <v>0</v>
      </c>
      <c r="AD685" s="10">
        <f>IFERROR(__xludf.DUMMYFUNCTION("""COMPUTED_VALUE"""),0.0)</f>
        <v>0</v>
      </c>
      <c r="AE685" s="10">
        <f>IFERROR(__xludf.DUMMYFUNCTION("""COMPUTED_VALUE"""),0.0)</f>
        <v>0</v>
      </c>
      <c r="AF685" s="10">
        <f>IFERROR(__xludf.DUMMYFUNCTION("""COMPUTED_VALUE"""),0.0)</f>
        <v>0</v>
      </c>
      <c r="AG685" s="10">
        <f>IFERROR(__xludf.DUMMYFUNCTION("""COMPUTED_VALUE"""),10.0)</f>
        <v>10</v>
      </c>
      <c r="AH685" s="10">
        <f>IFERROR(__xludf.DUMMYFUNCTION("""COMPUTED_VALUE"""),0.0)</f>
        <v>0</v>
      </c>
      <c r="AI685" s="10">
        <f>IFERROR(__xludf.DUMMYFUNCTION("""COMPUTED_VALUE"""),9.0)</f>
        <v>9</v>
      </c>
      <c r="AJ685" s="11" t="str">
        <f>IFERROR(__xludf.DUMMYFUNCTION("""COMPUTED_VALUE"""),"https://drive.google.com/open?id=13Bgz76oBT2Bn-w0TrB7n_iMk6R-IO-_o")</f>
        <v>https://drive.google.com/open?id=13Bgz76oBT2Bn-w0TrB7n_iMk6R-IO-_o</v>
      </c>
      <c r="AK685" s="12"/>
      <c r="AL685" s="12" t="str">
        <f>IFERROR(__xludf.DUMMYFUNCTION("""COMPUTED_VALUE"""),"Yes")</f>
        <v>Yes</v>
      </c>
      <c r="AM685" s="15">
        <f>IFERROR(__xludf.DUMMYFUNCTION("""COMPUTED_VALUE"""),0.0)</f>
        <v>0</v>
      </c>
      <c r="AN685" s="12" t="str">
        <f>IFERROR(__xludf.DUMMYFUNCTION("""COMPUTED_VALUE"""),"5th week")</f>
        <v>5th week</v>
      </c>
      <c r="AO685" s="13">
        <v>6.0</v>
      </c>
      <c r="AX685" s="17"/>
    </row>
    <row r="686">
      <c r="B686" s="9">
        <f>IFERROR(__xludf.DUMMYFUNCTION("""COMPUTED_VALUE"""),45923.654158310186)</f>
        <v>45923.65416</v>
      </c>
      <c r="C686" s="10" t="str">
        <f>IFERROR(__xludf.DUMMYFUNCTION("""COMPUTED_VALUE"""),"Sidra ")</f>
        <v>Sidra </v>
      </c>
      <c r="D686" s="10" t="str">
        <f>IFERROR(__xludf.DUMMYFUNCTION("""COMPUTED_VALUE"""),"03261416280")</f>
        <v>03261416280</v>
      </c>
      <c r="E686" s="10" t="str">
        <f>IFERROR(__xludf.DUMMYFUNCTION("""COMPUTED_VALUE"""),"Jamia Masjid Sarwarya Muhammad Shah Melsi")</f>
        <v>Jamia Masjid Sarwarya Muhammad Shah Melsi</v>
      </c>
      <c r="F686" s="10" t="str">
        <f>IFERROR(__xludf.DUMMYFUNCTION("""COMPUTED_VALUE"""),"IOTAE")</f>
        <v>IOTAE</v>
      </c>
      <c r="G686" s="10" t="str">
        <f>IFERROR(__xludf.DUMMYFUNCTION("""COMPUTED_VALUE"""),"Yes")</f>
        <v>Yes</v>
      </c>
      <c r="H686" s="10">
        <f>IFERROR(__xludf.DUMMYFUNCTION("""COMPUTED_VALUE"""),9.0)</f>
        <v>9</v>
      </c>
      <c r="I686" s="10">
        <f>IFERROR(__xludf.DUMMYFUNCTION("""COMPUTED_VALUE"""),1.0)</f>
        <v>1</v>
      </c>
      <c r="J686" s="10">
        <f>IFERROR(__xludf.DUMMYFUNCTION("""COMPUTED_VALUE"""),10.0)</f>
        <v>10</v>
      </c>
      <c r="K686" s="10">
        <f>IFERROR(__xludf.DUMMYFUNCTION("""COMPUTED_VALUE"""),9.0)</f>
        <v>9</v>
      </c>
      <c r="L686" s="10">
        <f>IFERROR(__xludf.DUMMYFUNCTION("""COMPUTED_VALUE"""),0.0)</f>
        <v>0</v>
      </c>
      <c r="M686" s="10">
        <f>IFERROR(__xludf.DUMMYFUNCTION("""COMPUTED_VALUE"""),3.0)</f>
        <v>3</v>
      </c>
      <c r="N686" s="10">
        <f>IFERROR(__xludf.DUMMYFUNCTION("""COMPUTED_VALUE"""),0.0)</f>
        <v>0</v>
      </c>
      <c r="O686" s="10">
        <f>IFERROR(__xludf.DUMMYFUNCTION("""COMPUTED_VALUE"""),6.0)</f>
        <v>6</v>
      </c>
      <c r="P686" s="10">
        <f>IFERROR(__xludf.DUMMYFUNCTION("""COMPUTED_VALUE"""),0.0)</f>
        <v>0</v>
      </c>
      <c r="Q686" s="10" t="str">
        <f>IFERROR(__xludf.DUMMYFUNCTION("""COMPUTED_VALUE"""),"No")</f>
        <v>No</v>
      </c>
      <c r="R686" s="10" t="str">
        <f>IFERROR(__xludf.DUMMYFUNCTION("""COMPUTED_VALUE"""),"No")</f>
        <v>No</v>
      </c>
      <c r="S686" s="10" t="str">
        <f>IFERROR(__xludf.DUMMYFUNCTION("""COMPUTED_VALUE"""),"No")</f>
        <v>No</v>
      </c>
      <c r="T686" s="10">
        <f>IFERROR(__xludf.DUMMYFUNCTION("""COMPUTED_VALUE"""),0.0)</f>
        <v>0</v>
      </c>
      <c r="U686" s="10">
        <f>IFERROR(__xludf.DUMMYFUNCTION("""COMPUTED_VALUE"""),0.0)</f>
        <v>0</v>
      </c>
      <c r="V686" s="10" t="str">
        <f>IFERROR(__xludf.DUMMYFUNCTION("""COMPUTED_VALUE"""),"عورتوں کے حقوق ")</f>
        <v>عورتوں کے حقوق </v>
      </c>
      <c r="W686" s="10" t="str">
        <f>IFERROR(__xludf.DUMMYFUNCTION("""COMPUTED_VALUE"""),"امام نے بیان میں بتایا ہے کہ عورتوں کے ساتھ حسن سلوک سے پیش آنا چاہیے اور ماں کا درجہ باپ کے درجے سے تین گنا زیادہ ہے اور ہمیں اپنی بیٹیوں کی تعلیم و تربیت کا خیال رکھنا چاہیے علم حاصل کرنا ہر مرد اور عورت مسلمان پر فرض ہے اگر عورت پڑھی لکھی ہوگی تو اچھے "&amp;"برے کا صحیح فیصلہ کر سکے گی اگر ماں پڑھی لکھی ہوگی تو اولاد بھی پڑھی لکھی ہوگی۔ ")</f>
        <v>امام نے بیان میں بتایا ہے کہ عورتوں کے ساتھ حسن سلوک سے پیش آنا چاہیے اور ماں کا درجہ باپ کے درجے سے تین گنا زیادہ ہے اور ہمیں اپنی بیٹیوں کی تعلیم و تربیت کا خیال رکھنا چاہیے علم حاصل کرنا ہر مرد اور عورت مسلمان پر فرض ہے اگر عورت پڑھی لکھی ہوگی تو اچھے برے کا صحیح فیصلہ کر سکے گی اگر ماں پڑھی لکھی ہوگی تو اولاد بھی پڑھی لکھی ہوگی۔ </v>
      </c>
      <c r="X686" s="10">
        <f>IFERROR(__xludf.DUMMYFUNCTION("""COMPUTED_VALUE"""),0.0)</f>
        <v>0</v>
      </c>
      <c r="Y686" s="10">
        <f>IFERROR(__xludf.DUMMYFUNCTION("""COMPUTED_VALUE"""),10.0)</f>
        <v>10</v>
      </c>
      <c r="Z686" s="10">
        <f>IFERROR(__xludf.DUMMYFUNCTION("""COMPUTED_VALUE"""),6.0)</f>
        <v>6</v>
      </c>
      <c r="AA686" s="10">
        <f>IFERROR(__xludf.DUMMYFUNCTION("""COMPUTED_VALUE"""),6.0)</f>
        <v>6</v>
      </c>
      <c r="AB686" s="10">
        <f>IFERROR(__xludf.DUMMYFUNCTION("""COMPUTED_VALUE"""),2.0)</f>
        <v>2</v>
      </c>
      <c r="AC686" s="10">
        <f>IFERROR(__xludf.DUMMYFUNCTION("""COMPUTED_VALUE"""),0.0)</f>
        <v>0</v>
      </c>
      <c r="AD686" s="10">
        <f>IFERROR(__xludf.DUMMYFUNCTION("""COMPUTED_VALUE"""),0.0)</f>
        <v>0</v>
      </c>
      <c r="AE686" s="10">
        <f>IFERROR(__xludf.DUMMYFUNCTION("""COMPUTED_VALUE"""),0.0)</f>
        <v>0</v>
      </c>
      <c r="AF686" s="10">
        <f>IFERROR(__xludf.DUMMYFUNCTION("""COMPUTED_VALUE"""),0.0)</f>
        <v>0</v>
      </c>
      <c r="AG686" s="10">
        <f>IFERROR(__xludf.DUMMYFUNCTION("""COMPUTED_VALUE"""),9.0)</f>
        <v>9</v>
      </c>
      <c r="AH686" s="10">
        <f>IFERROR(__xludf.DUMMYFUNCTION("""COMPUTED_VALUE"""),0.0)</f>
        <v>0</v>
      </c>
      <c r="AI686" s="10">
        <f>IFERROR(__xludf.DUMMYFUNCTION("""COMPUTED_VALUE"""),9.0)</f>
        <v>9</v>
      </c>
      <c r="AJ686" s="11" t="str">
        <f>IFERROR(__xludf.DUMMYFUNCTION("""COMPUTED_VALUE"""),"https://drive.google.com/open?id=18u5Ho5nW49TRSlUScMWlxpXFkqtUmUOoeWwZGRQ0Vas")</f>
        <v>https://drive.google.com/open?id=18u5Ho5nW49TRSlUScMWlxpXFkqtUmUOoeWwZGRQ0Vas</v>
      </c>
      <c r="AK686" s="12" t="str">
        <f>IFERROR(__xludf.DUMMYFUNCTION("""COMPUTED_VALUE"""),"No")</f>
        <v>No</v>
      </c>
      <c r="AL686" s="12" t="str">
        <f>IFERROR(__xludf.DUMMYFUNCTION("""COMPUTED_VALUE"""),"Yes")</f>
        <v>Yes</v>
      </c>
      <c r="AM686" s="15">
        <f>IFERROR(__xludf.DUMMYFUNCTION("""COMPUTED_VALUE"""),1.0)</f>
        <v>1</v>
      </c>
      <c r="AN686" s="12" t="str">
        <f>IFERROR(__xludf.DUMMYFUNCTION("""COMPUTED_VALUE"""),"1st week")</f>
        <v>1st week</v>
      </c>
      <c r="AO686" s="13">
        <v>1.0</v>
      </c>
      <c r="AX686" s="17"/>
    </row>
    <row r="687">
      <c r="B687" s="9">
        <f>IFERROR(__xludf.DUMMYFUNCTION("""COMPUTED_VALUE"""),45923.81298819445)</f>
        <v>45923.81299</v>
      </c>
      <c r="C687" s="10" t="str">
        <f>IFERROR(__xludf.DUMMYFUNCTION("""COMPUTED_VALUE"""),"Sidra ")</f>
        <v>Sidra </v>
      </c>
      <c r="D687" s="10" t="str">
        <f>IFERROR(__xludf.DUMMYFUNCTION("""COMPUTED_VALUE"""),"03261416280")</f>
        <v>03261416280</v>
      </c>
      <c r="E687" s="10" t="str">
        <f>IFERROR(__xludf.DUMMYFUNCTION("""COMPUTED_VALUE"""),"Jamia Masjid Gaalah Mandi Vehari")</f>
        <v>Jamia Masjid Gaalah Mandi Vehari</v>
      </c>
      <c r="F687" s="10" t="str">
        <f>IFERROR(__xludf.DUMMYFUNCTION("""COMPUTED_VALUE"""),"UOMYF")</f>
        <v>UOMYF</v>
      </c>
      <c r="G687" s="10" t="str">
        <f>IFERROR(__xludf.DUMMYFUNCTION("""COMPUTED_VALUE"""),"Yes")</f>
        <v>Yes</v>
      </c>
      <c r="H687" s="10">
        <f>IFERROR(__xludf.DUMMYFUNCTION("""COMPUTED_VALUE"""),0.0)</f>
        <v>0</v>
      </c>
      <c r="I687" s="10">
        <f>IFERROR(__xludf.DUMMYFUNCTION("""COMPUTED_VALUE"""),10.0)</f>
        <v>10</v>
      </c>
      <c r="J687" s="10">
        <f>IFERROR(__xludf.DUMMYFUNCTION("""COMPUTED_VALUE"""),0.0)</f>
        <v>0</v>
      </c>
      <c r="K687" s="10">
        <f>IFERROR(__xludf.DUMMYFUNCTION("""COMPUTED_VALUE"""),0.0)</f>
        <v>0</v>
      </c>
      <c r="L687" s="10">
        <f>IFERROR(__xludf.DUMMYFUNCTION("""COMPUTED_VALUE"""),0.0)</f>
        <v>0</v>
      </c>
      <c r="M687" s="10">
        <f>IFERROR(__xludf.DUMMYFUNCTION("""COMPUTED_VALUE"""),0.0)</f>
        <v>0</v>
      </c>
      <c r="N687" s="10">
        <f>IFERROR(__xludf.DUMMYFUNCTION("""COMPUTED_VALUE"""),0.0)</f>
        <v>0</v>
      </c>
      <c r="O687" s="10">
        <f>IFERROR(__xludf.DUMMYFUNCTION("""COMPUTED_VALUE"""),0.0)</f>
        <v>0</v>
      </c>
      <c r="P687" s="10">
        <f>IFERROR(__xludf.DUMMYFUNCTION("""COMPUTED_VALUE"""),0.0)</f>
        <v>0</v>
      </c>
      <c r="Q687" s="10" t="str">
        <f>IFERROR(__xludf.DUMMYFUNCTION("""COMPUTED_VALUE"""),"No")</f>
        <v>No</v>
      </c>
      <c r="R687" s="10" t="str">
        <f>IFERROR(__xludf.DUMMYFUNCTION("""COMPUTED_VALUE"""),"No")</f>
        <v>No</v>
      </c>
      <c r="S687" s="10" t="str">
        <f>IFERROR(__xludf.DUMMYFUNCTION("""COMPUTED_VALUE"""),"No")</f>
        <v>No</v>
      </c>
      <c r="T687" s="10">
        <f>IFERROR(__xludf.DUMMYFUNCTION("""COMPUTED_VALUE"""),0.0)</f>
        <v>0</v>
      </c>
      <c r="U687" s="10">
        <f>IFERROR(__xludf.DUMMYFUNCTION("""COMPUTED_VALUE"""),0.0)</f>
        <v>0</v>
      </c>
      <c r="V687" s="10" t="str">
        <f>IFERROR(__xludf.DUMMYFUNCTION("""COMPUTED_VALUE"""),"اسلامی تعلیمات ")</f>
        <v>اسلامی تعلیمات </v>
      </c>
      <c r="W687" s="10" t="str">
        <f>IFERROR(__xludf.DUMMYFUNCTION("""COMPUTED_VALUE"""),"امام نے بیان میں بتایا ہے کہ اگر تم اللہ تعالی سے محبت چاہتے ہو تو اس کے محبوب کی تابعداری کرو اطاعت کرو اللہ تم سے محبت کرے گا اور نماز ہر مسلمان مرد اور عورت پر فرض ہے نماز کی پابندی کرو یہ کائنات اللہ تعالی نے اپنے محبوب کے صدقے ہی بنائی ہے۔ ")</f>
        <v>امام نے بیان میں بتایا ہے کہ اگر تم اللہ تعالی سے محبت چاہتے ہو تو اس کے محبوب کی تابعداری کرو اطاعت کرو اللہ تم سے محبت کرے گا اور نماز ہر مسلمان مرد اور عورت پر فرض ہے نماز کی پابندی کرو یہ کائنات اللہ تعالی نے اپنے محبوب کے صدقے ہی بنائی ہے۔ </v>
      </c>
      <c r="X687" s="10">
        <f>IFERROR(__xludf.DUMMYFUNCTION("""COMPUTED_VALUE"""),7.0)</f>
        <v>7</v>
      </c>
      <c r="Y687" s="10">
        <f>IFERROR(__xludf.DUMMYFUNCTION("""COMPUTED_VALUE"""),6.0)</f>
        <v>6</v>
      </c>
      <c r="Z687" s="10">
        <f>IFERROR(__xludf.DUMMYFUNCTION("""COMPUTED_VALUE"""),6.0)</f>
        <v>6</v>
      </c>
      <c r="AA687" s="10">
        <f>IFERROR(__xludf.DUMMYFUNCTION("""COMPUTED_VALUE"""),7.0)</f>
        <v>7</v>
      </c>
      <c r="AB687" s="10">
        <f>IFERROR(__xludf.DUMMYFUNCTION("""COMPUTED_VALUE"""),2.0)</f>
        <v>2</v>
      </c>
      <c r="AC687" s="10">
        <f>IFERROR(__xludf.DUMMYFUNCTION("""COMPUTED_VALUE"""),0.0)</f>
        <v>0</v>
      </c>
      <c r="AD687" s="10">
        <f>IFERROR(__xludf.DUMMYFUNCTION("""COMPUTED_VALUE"""),0.0)</f>
        <v>0</v>
      </c>
      <c r="AE687" s="10">
        <f>IFERROR(__xludf.DUMMYFUNCTION("""COMPUTED_VALUE"""),0.0)</f>
        <v>0</v>
      </c>
      <c r="AF687" s="10">
        <f>IFERROR(__xludf.DUMMYFUNCTION("""COMPUTED_VALUE"""),0.0)</f>
        <v>0</v>
      </c>
      <c r="AG687" s="10">
        <f>IFERROR(__xludf.DUMMYFUNCTION("""COMPUTED_VALUE"""),9.0)</f>
        <v>9</v>
      </c>
      <c r="AH687" s="10">
        <f>IFERROR(__xludf.DUMMYFUNCTION("""COMPUTED_VALUE"""),0.0)</f>
        <v>0</v>
      </c>
      <c r="AI687" s="10">
        <f>IFERROR(__xludf.DUMMYFUNCTION("""COMPUTED_VALUE"""),9.0)</f>
        <v>9</v>
      </c>
      <c r="AJ687" s="11" t="str">
        <f>IFERROR(__xludf.DUMMYFUNCTION("""COMPUTED_VALUE"""),"https://drive.google.com/open?id=1NCzzrSfWCnU_4bnU7lEMmaUXC3TxERDDrxN-P5r37vs")</f>
        <v>https://drive.google.com/open?id=1NCzzrSfWCnU_4bnU7lEMmaUXC3TxERDDrxN-P5r37vs</v>
      </c>
      <c r="AK687" s="12" t="str">
        <f>IFERROR(__xludf.DUMMYFUNCTION("""COMPUTED_VALUE"""),"First 11 minutes imam ne naat parhe ha ")</f>
        <v>First 11 minutes imam ne naat parhe ha </v>
      </c>
      <c r="AL687" s="12" t="str">
        <f>IFERROR(__xludf.DUMMYFUNCTION("""COMPUTED_VALUE"""),"Yes")</f>
        <v>Yes</v>
      </c>
      <c r="AM687" s="15">
        <f>IFERROR(__xludf.DUMMYFUNCTION("""COMPUTED_VALUE"""),0.0)</f>
        <v>0</v>
      </c>
      <c r="AN687" s="12" t="str">
        <f>IFERROR(__xludf.DUMMYFUNCTION("""COMPUTED_VALUE"""),"1st week")</f>
        <v>1st week</v>
      </c>
      <c r="AO687" s="13">
        <v>1.0</v>
      </c>
      <c r="AX687" s="17"/>
    </row>
    <row r="688">
      <c r="B688" s="9">
        <f>IFERROR(__xludf.DUMMYFUNCTION("""COMPUTED_VALUE"""),45923.85220121528)</f>
        <v>45923.8522</v>
      </c>
      <c r="C688" s="10" t="str">
        <f>IFERROR(__xludf.DUMMYFUNCTION("""COMPUTED_VALUE"""),"Asma Gul ")</f>
        <v>Asma Gul </v>
      </c>
      <c r="D688" s="10" t="str">
        <f>IFERROR(__xludf.DUMMYFUNCTION("""COMPUTED_VALUE"""),"03459308620")</f>
        <v>03459308620</v>
      </c>
      <c r="E688" s="10" t="str">
        <f>IFERROR(__xludf.DUMMYFUNCTION("""COMPUTED_VALUE"""),"Jamia Masjid C Block Arifwala")</f>
        <v>Jamia Masjid C Block Arifwala</v>
      </c>
      <c r="F688" s="10" t="str">
        <f>IFERROR(__xludf.DUMMYFUNCTION("""COMPUTED_VALUE"""),"FSJBU")</f>
        <v>FSJBU</v>
      </c>
      <c r="G688" s="10" t="str">
        <f>IFERROR(__xludf.DUMMYFUNCTION("""COMPUTED_VALUE"""),"Yes")</f>
        <v>Yes</v>
      </c>
      <c r="H688" s="10">
        <f>IFERROR(__xludf.DUMMYFUNCTION("""COMPUTED_VALUE"""),10.0)</f>
        <v>10</v>
      </c>
      <c r="I688" s="10">
        <f>IFERROR(__xludf.DUMMYFUNCTION("""COMPUTED_VALUE"""),0.0)</f>
        <v>0</v>
      </c>
      <c r="J688" s="10">
        <f>IFERROR(__xludf.DUMMYFUNCTION("""COMPUTED_VALUE"""),10.0)</f>
        <v>10</v>
      </c>
      <c r="K688" s="10">
        <f>IFERROR(__xludf.DUMMYFUNCTION("""COMPUTED_VALUE"""),0.0)</f>
        <v>0</v>
      </c>
      <c r="L688" s="10">
        <f>IFERROR(__xludf.DUMMYFUNCTION("""COMPUTED_VALUE"""),10.0)</f>
        <v>10</v>
      </c>
      <c r="M688" s="10">
        <f>IFERROR(__xludf.DUMMYFUNCTION("""COMPUTED_VALUE"""),0.0)</f>
        <v>0</v>
      </c>
      <c r="N688" s="10">
        <f>IFERROR(__xludf.DUMMYFUNCTION("""COMPUTED_VALUE"""),10.0)</f>
        <v>10</v>
      </c>
      <c r="O688" s="10">
        <f>IFERROR(__xludf.DUMMYFUNCTION("""COMPUTED_VALUE"""),0.0)</f>
        <v>0</v>
      </c>
      <c r="P688" s="10">
        <f>IFERROR(__xludf.DUMMYFUNCTION("""COMPUTED_VALUE"""),10.0)</f>
        <v>10</v>
      </c>
      <c r="Q688" s="10" t="str">
        <f>IFERROR(__xludf.DUMMYFUNCTION("""COMPUTED_VALUE"""),"No")</f>
        <v>No</v>
      </c>
      <c r="R688" s="10" t="str">
        <f>IFERROR(__xludf.DUMMYFUNCTION("""COMPUTED_VALUE"""),"Yes")</f>
        <v>Yes</v>
      </c>
      <c r="S688" s="10" t="str">
        <f>IFERROR(__xludf.DUMMYFUNCTION("""COMPUTED_VALUE"""),"No")</f>
        <v>No</v>
      </c>
      <c r="T688" s="10">
        <f>IFERROR(__xludf.DUMMYFUNCTION("""COMPUTED_VALUE"""),0.0)</f>
        <v>0</v>
      </c>
      <c r="U688" s="10">
        <f>IFERROR(__xludf.DUMMYFUNCTION("""COMPUTED_VALUE"""),0.0)</f>
        <v>0</v>
      </c>
      <c r="V688" s="10" t="str">
        <f>IFERROR(__xludf.DUMMYFUNCTION("""COMPUTED_VALUE"""),"پڑوسیوں کے ساتھ حسن سلوک اور محلے کی صفائی")</f>
        <v>پڑوسیوں کے ساتھ حسن سلوک اور محلے کی صفائی</v>
      </c>
      <c r="W688" s="10" t="str">
        <f>IFERROR(__xludf.DUMMYFUNCTION("""COMPUTED_VALUE"""),"امام نے بیان کیا کہ پڑوسیوں کے حقوق کا خیال رکھنا ایمان کا حصہ ہے اور جبرائیل علیہ السلام نے بھی ان کی تاکید فرمائی۔
پڑوسی کے دکھ سکھ میں شریک ہونا، بھوک پیاس اور بیماری میں مدد کرنا اور خوشی کے موقع پر مبارکباد دینا ضروری ہے۔
محلے اور ماحول کی صفائی، بیم"&amp;"اریوں سے بچاؤ اور درخت لگانے کی اہمیت بھی بیان کی گئی۔صفائی، حسنِ اخلاق اور پڑوسیوں کے ساتھ اچھا سلوک کرنے سے معاشرہ پرامن اور خوشگوار بنتا ہے۔
")</f>
        <v>امام نے بیان کیا کہ پڑوسیوں کے حقوق کا خیال رکھنا ایمان کا حصہ ہے اور جبرائیل علیہ السلام نے بھی ان کی تاکید فرمائی۔
پڑوسی کے دکھ سکھ میں شریک ہونا، بھوک پیاس اور بیماری میں مدد کرنا اور خوشی کے موقع پر مبارکباد دینا ضروری ہے۔
محلے اور ماحول کی صفائی، بیماریوں سے بچاؤ اور درخت لگانے کی اہمیت بھی بیان کی گئی۔صفائی، حسنِ اخلاق اور پڑوسیوں کے ساتھ اچھا سلوک کرنے سے معاشرہ پرامن اور خوشگوار بنتا ہے۔
</v>
      </c>
      <c r="X688" s="10">
        <f>IFERROR(__xludf.DUMMYFUNCTION("""COMPUTED_VALUE"""),3.0)</f>
        <v>3</v>
      </c>
      <c r="Y688" s="10">
        <f>IFERROR(__xludf.DUMMYFUNCTION("""COMPUTED_VALUE"""),9.0)</f>
        <v>9</v>
      </c>
      <c r="Z688" s="10">
        <f>IFERROR(__xludf.DUMMYFUNCTION("""COMPUTED_VALUE"""),9.0)</f>
        <v>9</v>
      </c>
      <c r="AA688" s="10">
        <f>IFERROR(__xludf.DUMMYFUNCTION("""COMPUTED_VALUE"""),9.0)</f>
        <v>9</v>
      </c>
      <c r="AB688" s="10">
        <f>IFERROR(__xludf.DUMMYFUNCTION("""COMPUTED_VALUE"""),4.0)</f>
        <v>4</v>
      </c>
      <c r="AC688" s="10">
        <f>IFERROR(__xludf.DUMMYFUNCTION("""COMPUTED_VALUE"""),0.0)</f>
        <v>0</v>
      </c>
      <c r="AD688" s="10">
        <f>IFERROR(__xludf.DUMMYFUNCTION("""COMPUTED_VALUE"""),1.0)</f>
        <v>1</v>
      </c>
      <c r="AE688" s="10">
        <f>IFERROR(__xludf.DUMMYFUNCTION("""COMPUTED_VALUE"""),1.0)</f>
        <v>1</v>
      </c>
      <c r="AF688" s="10">
        <f>IFERROR(__xludf.DUMMYFUNCTION("""COMPUTED_VALUE"""),0.0)</f>
        <v>0</v>
      </c>
      <c r="AG688" s="10">
        <f>IFERROR(__xludf.DUMMYFUNCTION("""COMPUTED_VALUE"""),8.0)</f>
        <v>8</v>
      </c>
      <c r="AH688" s="10">
        <f>IFERROR(__xludf.DUMMYFUNCTION("""COMPUTED_VALUE"""),0.0)</f>
        <v>0</v>
      </c>
      <c r="AI688" s="10">
        <f>IFERROR(__xludf.DUMMYFUNCTION("""COMPUTED_VALUE"""),8.0)</f>
        <v>8</v>
      </c>
      <c r="AJ688" s="11" t="str">
        <f>IFERROR(__xludf.DUMMYFUNCTION("""COMPUTED_VALUE"""),"https://drive.google.com/open?id=1evGqhkFzmyCx1QK3cZi4IGsF_FD7aeShstGxIhjSUa8")</f>
        <v>https://drive.google.com/open?id=1evGqhkFzmyCx1QK3cZi4IGsF_FD7aeShstGxIhjSUa8</v>
      </c>
      <c r="AK688" s="12"/>
      <c r="AL688" s="12" t="str">
        <f>IFERROR(__xludf.DUMMYFUNCTION("""COMPUTED_VALUE"""),"Yes")</f>
        <v>Yes</v>
      </c>
      <c r="AM688" s="15">
        <f>IFERROR(__xludf.DUMMYFUNCTION("""COMPUTED_VALUE"""),1.0)</f>
        <v>1</v>
      </c>
      <c r="AN688" s="12" t="str">
        <f>IFERROR(__xludf.DUMMYFUNCTION("""COMPUTED_VALUE"""),"1st week")</f>
        <v>1st week</v>
      </c>
      <c r="AO688" s="13">
        <v>1.0</v>
      </c>
      <c r="AX688" s="17"/>
    </row>
    <row r="689">
      <c r="B689" s="9">
        <f>IFERROR(__xludf.DUMMYFUNCTION("""COMPUTED_VALUE"""),45923.88400493056)</f>
        <v>45923.884</v>
      </c>
      <c r="C689" s="10" t="str">
        <f>IFERROR(__xludf.DUMMYFUNCTION("""COMPUTED_VALUE"""),"Sidra")</f>
        <v>Sidra</v>
      </c>
      <c r="D689" s="10" t="str">
        <f>IFERROR(__xludf.DUMMYFUNCTION("""COMPUTED_VALUE"""),"03261416280")</f>
        <v>03261416280</v>
      </c>
      <c r="E689" s="10" t="str">
        <f>IFERROR(__xludf.DUMMYFUNCTION("""COMPUTED_VALUE"""),"Jamia Masjid Fatah Shah Bukhari Burewala")</f>
        <v>Jamia Masjid Fatah Shah Bukhari Burewala</v>
      </c>
      <c r="F689" s="10" t="str">
        <f>IFERROR(__xludf.DUMMYFUNCTION("""COMPUTED_VALUE"""),"XKTYP")</f>
        <v>XKTYP</v>
      </c>
      <c r="G689" s="10" t="str">
        <f>IFERROR(__xludf.DUMMYFUNCTION("""COMPUTED_VALUE"""),"Yes")</f>
        <v>Yes</v>
      </c>
      <c r="H689" s="10">
        <f>IFERROR(__xludf.DUMMYFUNCTION("""COMPUTED_VALUE"""),9.0)</f>
        <v>9</v>
      </c>
      <c r="I689" s="10">
        <f>IFERROR(__xludf.DUMMYFUNCTION("""COMPUTED_VALUE"""),1.0)</f>
        <v>1</v>
      </c>
      <c r="J689" s="10">
        <f>IFERROR(__xludf.DUMMYFUNCTION("""COMPUTED_VALUE"""),10.0)</f>
        <v>10</v>
      </c>
      <c r="K689" s="10">
        <f>IFERROR(__xludf.DUMMYFUNCTION("""COMPUTED_VALUE"""),9.0)</f>
        <v>9</v>
      </c>
      <c r="L689" s="10">
        <f>IFERROR(__xludf.DUMMYFUNCTION("""COMPUTED_VALUE"""),0.0)</f>
        <v>0</v>
      </c>
      <c r="M689" s="10">
        <f>IFERROR(__xludf.DUMMYFUNCTION("""COMPUTED_VALUE"""),4.0)</f>
        <v>4</v>
      </c>
      <c r="N689" s="10">
        <f>IFERROR(__xludf.DUMMYFUNCTION("""COMPUTED_VALUE"""),0.0)</f>
        <v>0</v>
      </c>
      <c r="O689" s="10">
        <f>IFERROR(__xludf.DUMMYFUNCTION("""COMPUTED_VALUE"""),3.0)</f>
        <v>3</v>
      </c>
      <c r="P689" s="10">
        <f>IFERROR(__xludf.DUMMYFUNCTION("""COMPUTED_VALUE"""),0.0)</f>
        <v>0</v>
      </c>
      <c r="Q689" s="10" t="str">
        <f>IFERROR(__xludf.DUMMYFUNCTION("""COMPUTED_VALUE"""),"Yes")</f>
        <v>Yes</v>
      </c>
      <c r="R689" s="10" t="str">
        <f>IFERROR(__xludf.DUMMYFUNCTION("""COMPUTED_VALUE"""),"No")</f>
        <v>No</v>
      </c>
      <c r="S689" s="10" t="str">
        <f>IFERROR(__xludf.DUMMYFUNCTION("""COMPUTED_VALUE"""),"Yes")</f>
        <v>Yes</v>
      </c>
      <c r="T689" s="10">
        <f>IFERROR(__xludf.DUMMYFUNCTION("""COMPUTED_VALUE"""),0.0)</f>
        <v>0</v>
      </c>
      <c r="U689" s="10">
        <f>IFERROR(__xludf.DUMMYFUNCTION("""COMPUTED_VALUE"""),0.0)</f>
        <v>0</v>
      </c>
      <c r="V689" s="10" t="str">
        <f>IFERROR(__xludf.DUMMYFUNCTION("""COMPUTED_VALUE"""),"اسلام میں عورتوں کے حقوق ")</f>
        <v>اسلام میں عورتوں کے حقوق </v>
      </c>
      <c r="W689" s="10" t="str">
        <f>IFERROR(__xludf.DUMMYFUNCTION("""COMPUTED_VALUE"""),"امام نے بیان میں بتایا ہے کہ ہمیں عورتوں کے ساتھ حسن سلوک سے پیش آنا چاہیے علم حاصل کرنا ہر مرد اور عورت پر فرض ہے ماں کا درجہ باپ کے درجے سے تین گنا زیادہ ہے۔ ")</f>
        <v>امام نے بیان میں بتایا ہے کہ ہمیں عورتوں کے ساتھ حسن سلوک سے پیش آنا چاہیے علم حاصل کرنا ہر مرد اور عورت پر فرض ہے ماں کا درجہ باپ کے درجے سے تین گنا زیادہ ہے۔ </v>
      </c>
      <c r="X689" s="10">
        <f>IFERROR(__xludf.DUMMYFUNCTION("""COMPUTED_VALUE"""),0.0)</f>
        <v>0</v>
      </c>
      <c r="Y689" s="10">
        <f>IFERROR(__xludf.DUMMYFUNCTION("""COMPUTED_VALUE"""),8.0)</f>
        <v>8</v>
      </c>
      <c r="Z689" s="10">
        <f>IFERROR(__xludf.DUMMYFUNCTION("""COMPUTED_VALUE"""),8.0)</f>
        <v>8</v>
      </c>
      <c r="AA689" s="10">
        <f>IFERROR(__xludf.DUMMYFUNCTION("""COMPUTED_VALUE"""),6.0)</f>
        <v>6</v>
      </c>
      <c r="AB689" s="10">
        <f>IFERROR(__xludf.DUMMYFUNCTION("""COMPUTED_VALUE"""),3.0)</f>
        <v>3</v>
      </c>
      <c r="AC689" s="10">
        <f>IFERROR(__xludf.DUMMYFUNCTION("""COMPUTED_VALUE"""),0.0)</f>
        <v>0</v>
      </c>
      <c r="AD689" s="10">
        <f>IFERROR(__xludf.DUMMYFUNCTION("""COMPUTED_VALUE"""),0.0)</f>
        <v>0</v>
      </c>
      <c r="AE689" s="10">
        <f>IFERROR(__xludf.DUMMYFUNCTION("""COMPUTED_VALUE"""),0.0)</f>
        <v>0</v>
      </c>
      <c r="AF689" s="10">
        <f>IFERROR(__xludf.DUMMYFUNCTION("""COMPUTED_VALUE"""),0.0)</f>
        <v>0</v>
      </c>
      <c r="AG689" s="10">
        <f>IFERROR(__xludf.DUMMYFUNCTION("""COMPUTED_VALUE"""),10.0)</f>
        <v>10</v>
      </c>
      <c r="AH689" s="10">
        <f>IFERROR(__xludf.DUMMYFUNCTION("""COMPUTED_VALUE"""),0.0)</f>
        <v>0</v>
      </c>
      <c r="AI689" s="10">
        <f>IFERROR(__xludf.DUMMYFUNCTION("""COMPUTED_VALUE"""),10.0)</f>
        <v>10</v>
      </c>
      <c r="AJ689" s="11" t="str">
        <f>IFERROR(__xludf.DUMMYFUNCTION("""COMPUTED_VALUE"""),"https://drive.google.com/open?id=1Al9IWmLyzWgiDttka27HtyPlcMz_zbsXncuGoc3tbd8")</f>
        <v>https://drive.google.com/open?id=1Al9IWmLyzWgiDttka27HtyPlcMz_zbsXncuGoc3tbd8</v>
      </c>
      <c r="AK689" s="12" t="str">
        <f>IFERROR(__xludf.DUMMYFUNCTION("""COMPUTED_VALUE"""),"No ")</f>
        <v>No </v>
      </c>
      <c r="AL689" s="12" t="str">
        <f>IFERROR(__xludf.DUMMYFUNCTION("""COMPUTED_VALUE"""),"Yes")</f>
        <v>Yes</v>
      </c>
      <c r="AM689" s="15">
        <f>IFERROR(__xludf.DUMMYFUNCTION("""COMPUTED_VALUE"""),1.0)</f>
        <v>1</v>
      </c>
      <c r="AN689" s="12" t="str">
        <f>IFERROR(__xludf.DUMMYFUNCTION("""COMPUTED_VALUE"""),"1st week")</f>
        <v>1st week</v>
      </c>
      <c r="AO689" s="13">
        <v>1.0</v>
      </c>
      <c r="AX689" s="17"/>
    </row>
    <row r="690">
      <c r="B690" s="9">
        <f>IFERROR(__xludf.DUMMYFUNCTION("""COMPUTED_VALUE"""),45924.006633321755)</f>
        <v>45924.00663</v>
      </c>
      <c r="C690" s="10" t="str">
        <f>IFERROR(__xludf.DUMMYFUNCTION("""COMPUTED_VALUE"""),"Saira Shahzad ")</f>
        <v>Saira Shahzad </v>
      </c>
      <c r="D690" s="10" t="str">
        <f>IFERROR(__xludf.DUMMYFUNCTION("""COMPUTED_VALUE"""),"03114534696")</f>
        <v>03114534696</v>
      </c>
      <c r="E690" s="10" t="str">
        <f>IFERROR(__xludf.DUMMYFUNCTION("""COMPUTED_VALUE"""),"Jamia Masjid Panha Kambeer Shahiwal")</f>
        <v>Jamia Masjid Panha Kambeer Shahiwal</v>
      </c>
      <c r="F690" s="10" t="str">
        <f>IFERROR(__xludf.DUMMYFUNCTION("""COMPUTED_VALUE"""),"HHWJL")</f>
        <v>HHWJL</v>
      </c>
      <c r="G690" s="10" t="str">
        <f>IFERROR(__xludf.DUMMYFUNCTION("""COMPUTED_VALUE"""),"Yes")</f>
        <v>Yes</v>
      </c>
      <c r="H690" s="10">
        <f>IFERROR(__xludf.DUMMYFUNCTION("""COMPUTED_VALUE"""),7.0)</f>
        <v>7</v>
      </c>
      <c r="I690" s="10">
        <f>IFERROR(__xludf.DUMMYFUNCTION("""COMPUTED_VALUE"""),3.0)</f>
        <v>3</v>
      </c>
      <c r="J690" s="10">
        <f>IFERROR(__xludf.DUMMYFUNCTION("""COMPUTED_VALUE"""),7.0)</f>
        <v>7</v>
      </c>
      <c r="K690" s="10">
        <f>IFERROR(__xludf.DUMMYFUNCTION("""COMPUTED_VALUE"""),0.0)</f>
        <v>0</v>
      </c>
      <c r="L690" s="10">
        <f>IFERROR(__xludf.DUMMYFUNCTION("""COMPUTED_VALUE"""),9.0)</f>
        <v>9</v>
      </c>
      <c r="M690" s="10">
        <f>IFERROR(__xludf.DUMMYFUNCTION("""COMPUTED_VALUE"""),2.0)</f>
        <v>2</v>
      </c>
      <c r="N690" s="10">
        <f>IFERROR(__xludf.DUMMYFUNCTION("""COMPUTED_VALUE"""),8.0)</f>
        <v>8</v>
      </c>
      <c r="O690" s="10">
        <f>IFERROR(__xludf.DUMMYFUNCTION("""COMPUTED_VALUE"""),1.0)</f>
        <v>1</v>
      </c>
      <c r="P690" s="10">
        <f>IFERROR(__xludf.DUMMYFUNCTION("""COMPUTED_VALUE"""),8.0)</f>
        <v>8</v>
      </c>
      <c r="Q690" s="10" t="str">
        <f>IFERROR(__xludf.DUMMYFUNCTION("""COMPUTED_VALUE"""),"Yes")</f>
        <v>Yes</v>
      </c>
      <c r="R690" s="10" t="str">
        <f>IFERROR(__xludf.DUMMYFUNCTION("""COMPUTED_VALUE"""),"Yes")</f>
        <v>Yes</v>
      </c>
      <c r="S690" s="10" t="str">
        <f>IFERROR(__xludf.DUMMYFUNCTION("""COMPUTED_VALUE"""),"Yes")</f>
        <v>Yes</v>
      </c>
      <c r="T690" s="10">
        <f>IFERROR(__xludf.DUMMYFUNCTION("""COMPUTED_VALUE"""),0.0)</f>
        <v>0</v>
      </c>
      <c r="U690" s="10">
        <f>IFERROR(__xludf.DUMMYFUNCTION("""COMPUTED_VALUE"""),0.0)</f>
        <v>0</v>
      </c>
      <c r="V690" s="10" t="str">
        <f>IFERROR(__xludf.DUMMYFUNCTION("""COMPUTED_VALUE"""),"اسلام میں پڑوسیوں کے حقوق")</f>
        <v>اسلام میں پڑوسیوں کے حقوق</v>
      </c>
      <c r="W690" s="10" t="str">
        <f>IFERROR(__xludf.DUMMYFUNCTION("""COMPUTED_VALUE"""),"امام نے اپنے بیان میں پڑوسیوں کے حقوق جو اسلام میں بیان کیے گئے ہیں اس پر تفصیل سے بات کی ہے بتایا کہ حقوق دو طرح کے ہیں ایک حقوق اللہ اور ایک حقوق العباد اور حقوق العباد میں ہمسایوں کے حقوق بھی شامل ہیں جن پر ہم توجہ نہیں دیتے اور یہ گناہ کبیرہ ہے اور بت"&amp;"ایا ہے کہ ہم لوگ کیا کرتے ہیں کہ اپنے گھر صاف کر کے سارا کچرہ گلیاں محلوں میں پھینک دیتے ہیں اپنے ہمسایوں کا خیال نہیں کرتے کہ ان میں اگر کوئی بیمار ہو ہمیں خبر تک نہیں ہوتی کوئی فوتگی ہو جائے ہم أس میں شرکت نہیں کرتے اور گلی میں اپنی گاڑیاں وغیرہ ایسے کھ"&amp;"ڑی کرتے ہیں جیسے کہ پوری گلی ہماری ہو یہ سراسر غلط ہے ہمیں اپنے پڑوسیوں کا خیال رکھنا چاہیے جیسا کہ دین اسلام میں ہمیں سکھایا ہے اور بتایا کہ نبی پاک صلی اللہ علیہ والہ وسلم نے قسم کھا کر بتایا ہے کہ وہ شخص کامل مومن نہیں جس کا ہمسایہ اس کے شر سے محفوظ نہ"&amp;" ہو اور وہ جنت میں داخل نہیں ہوگا اس لیے ضروری ہے کہ ہم اسلام کے بتائے ہوئے احکامات کے مطابق اپنے پڑوسیوں کے حقوق کا خیال رکھیں تاکہ ہماری دنیا اور آخرت دونوں ہی سنور جائیں")</f>
        <v>امام نے اپنے بیان میں پڑوسیوں کے حقوق جو اسلام میں بیان کیے گئے ہیں اس پر تفصیل سے بات کی ہے بتایا کہ حقوق دو طرح کے ہیں ایک حقوق اللہ اور ایک حقوق العباد اور حقوق العباد میں ہمسایوں کے حقوق بھی شامل ہیں جن پر ہم توجہ نہیں دیتے اور یہ گناہ کبیرہ ہے اور بتایا ہے کہ ہم لوگ کیا کرتے ہیں کہ اپنے گھر صاف کر کے سارا کچرہ گلیاں محلوں میں پھینک دیتے ہیں اپنے ہمسایوں کا خیال نہیں کرتے کہ ان میں اگر کوئی بیمار ہو ہمیں خبر تک نہیں ہوتی کوئی فوتگی ہو جائے ہم أس میں شرکت نہیں کرتے اور گلی میں اپنی گاڑیاں وغیرہ ایسے کھڑی کرتے ہیں جیسے کہ پوری گلی ہماری ہو یہ سراسر غلط ہے ہمیں اپنے پڑوسیوں کا خیال رکھنا چاہیے جیسا کہ دین اسلام میں ہمیں سکھایا ہے اور بتایا کہ نبی پاک صلی اللہ علیہ والہ وسلم نے قسم کھا کر بتایا ہے کہ وہ شخص کامل مومن نہیں جس کا ہمسایہ اس کے شر سے محفوظ نہ ہو اور وہ جنت میں داخل نہیں ہوگا اس لیے ضروری ہے کہ ہم اسلام کے بتائے ہوئے احکامات کے مطابق اپنے پڑوسیوں کے حقوق کا خیال رکھیں تاکہ ہماری دنیا اور آخرت دونوں ہی سنور جائیں</v>
      </c>
      <c r="X690" s="10">
        <f>IFERROR(__xludf.DUMMYFUNCTION("""COMPUTED_VALUE"""),1.0)</f>
        <v>1</v>
      </c>
      <c r="Y690" s="10">
        <f>IFERROR(__xludf.DUMMYFUNCTION("""COMPUTED_VALUE"""),7.0)</f>
        <v>7</v>
      </c>
      <c r="Z690" s="10">
        <f>IFERROR(__xludf.DUMMYFUNCTION("""COMPUTED_VALUE"""),7.0)</f>
        <v>7</v>
      </c>
      <c r="AA690" s="10">
        <f>IFERROR(__xludf.DUMMYFUNCTION("""COMPUTED_VALUE"""),6.0)</f>
        <v>6</v>
      </c>
      <c r="AB690" s="10">
        <f>IFERROR(__xludf.DUMMYFUNCTION("""COMPUTED_VALUE"""),5.0)</f>
        <v>5</v>
      </c>
      <c r="AC690" s="10">
        <f>IFERROR(__xludf.DUMMYFUNCTION("""COMPUTED_VALUE"""),0.0)</f>
        <v>0</v>
      </c>
      <c r="AD690" s="10">
        <f>IFERROR(__xludf.DUMMYFUNCTION("""COMPUTED_VALUE"""),1.0)</f>
        <v>1</v>
      </c>
      <c r="AE690" s="10">
        <f>IFERROR(__xludf.DUMMYFUNCTION("""COMPUTED_VALUE"""),3.0)</f>
        <v>3</v>
      </c>
      <c r="AF690" s="10">
        <f>IFERROR(__xludf.DUMMYFUNCTION("""COMPUTED_VALUE"""),0.0)</f>
        <v>0</v>
      </c>
      <c r="AG690" s="10">
        <f>IFERROR(__xludf.DUMMYFUNCTION("""COMPUTED_VALUE"""),7.0)</f>
        <v>7</v>
      </c>
      <c r="AH690" s="10">
        <f>IFERROR(__xludf.DUMMYFUNCTION("""COMPUTED_VALUE"""),0.0)</f>
        <v>0</v>
      </c>
      <c r="AI690" s="10">
        <f>IFERROR(__xludf.DUMMYFUNCTION("""COMPUTED_VALUE"""),7.0)</f>
        <v>7</v>
      </c>
      <c r="AJ690" s="11" t="str">
        <f>IFERROR(__xludf.DUMMYFUNCTION("""COMPUTED_VALUE"""),"https://drive.google.com/open?id=1LMdy2_eXVPDg94OCdlkjErQ13BW0bDE3g_lV53K9UzM")</f>
        <v>https://drive.google.com/open?id=1LMdy2_eXVPDg94OCdlkjErQ13BW0bDE3g_lV53K9UzM</v>
      </c>
      <c r="AK690" s="12" t="str">
        <f>IFERROR(__xludf.DUMMYFUNCTION("""COMPUTED_VALUE"""),"No")</f>
        <v>No</v>
      </c>
      <c r="AL690" s="12" t="str">
        <f>IFERROR(__xludf.DUMMYFUNCTION("""COMPUTED_VALUE"""),"Yes")</f>
        <v>Yes</v>
      </c>
      <c r="AM690" s="15">
        <f>IFERROR(__xludf.DUMMYFUNCTION("""COMPUTED_VALUE"""),0.7)</f>
        <v>0.7</v>
      </c>
      <c r="AN690" s="12" t="str">
        <f>IFERROR(__xludf.DUMMYFUNCTION("""COMPUTED_VALUE"""),"1st week")</f>
        <v>1st week</v>
      </c>
      <c r="AO690" s="13">
        <v>1.0</v>
      </c>
      <c r="AX690" s="17"/>
    </row>
    <row r="691">
      <c r="B691" s="9">
        <f>IFERROR(__xludf.DUMMYFUNCTION("""COMPUTED_VALUE"""),45924.049147604164)</f>
        <v>45924.04915</v>
      </c>
      <c r="C691" s="10" t="str">
        <f>IFERROR(__xludf.DUMMYFUNCTION("""COMPUTED_VALUE"""),"Maham")</f>
        <v>Maham</v>
      </c>
      <c r="D691" s="10" t="str">
        <f>IFERROR(__xludf.DUMMYFUNCTION("""COMPUTED_VALUE"""),"03218118680")</f>
        <v>03218118680</v>
      </c>
      <c r="E691" s="10" t="str">
        <f>IFERROR(__xludf.DUMMYFUNCTION("""COMPUTED_VALUE"""),"Jamia Masjid Aziz Makki Pakpattan")</f>
        <v>Jamia Masjid Aziz Makki Pakpattan</v>
      </c>
      <c r="F691" s="10" t="str">
        <f>IFERROR(__xludf.DUMMYFUNCTION("""COMPUTED_VALUE"""),"EWWLQ")</f>
        <v>EWWLQ</v>
      </c>
      <c r="G691" s="10" t="str">
        <f>IFERROR(__xludf.DUMMYFUNCTION("""COMPUTED_VALUE"""),"Yes")</f>
        <v>Yes</v>
      </c>
      <c r="H691" s="10">
        <f>IFERROR(__xludf.DUMMYFUNCTION("""COMPUTED_VALUE"""),2.0)</f>
        <v>2</v>
      </c>
      <c r="I691" s="10">
        <f>IFERROR(__xludf.DUMMYFUNCTION("""COMPUTED_VALUE"""),8.0)</f>
        <v>8</v>
      </c>
      <c r="J691" s="10">
        <f>IFERROR(__xludf.DUMMYFUNCTION("""COMPUTED_VALUE"""),4.0)</f>
        <v>4</v>
      </c>
      <c r="K691" s="10">
        <f>IFERROR(__xludf.DUMMYFUNCTION("""COMPUTED_VALUE"""),4.0)</f>
        <v>4</v>
      </c>
      <c r="L691" s="10">
        <f>IFERROR(__xludf.DUMMYFUNCTION("""COMPUTED_VALUE"""),0.0)</f>
        <v>0</v>
      </c>
      <c r="M691" s="10">
        <f>IFERROR(__xludf.DUMMYFUNCTION("""COMPUTED_VALUE"""),2.0)</f>
        <v>2</v>
      </c>
      <c r="N691" s="10">
        <f>IFERROR(__xludf.DUMMYFUNCTION("""COMPUTED_VALUE"""),0.0)</f>
        <v>0</v>
      </c>
      <c r="O691" s="10">
        <f>IFERROR(__xludf.DUMMYFUNCTION("""COMPUTED_VALUE"""),0.0)</f>
        <v>0</v>
      </c>
      <c r="P691" s="10">
        <f>IFERROR(__xludf.DUMMYFUNCTION("""COMPUTED_VALUE"""),0.0)</f>
        <v>0</v>
      </c>
      <c r="Q691" s="10" t="str">
        <f>IFERROR(__xludf.DUMMYFUNCTION("""COMPUTED_VALUE"""),"No")</f>
        <v>No</v>
      </c>
      <c r="R691" s="10" t="str">
        <f>IFERROR(__xludf.DUMMYFUNCTION("""COMPUTED_VALUE"""),"No")</f>
        <v>No</v>
      </c>
      <c r="S691" s="10" t="str">
        <f>IFERROR(__xludf.DUMMYFUNCTION("""COMPUTED_VALUE"""),"No")</f>
        <v>No</v>
      </c>
      <c r="T691" s="10">
        <f>IFERROR(__xludf.DUMMYFUNCTION("""COMPUTED_VALUE"""),0.0)</f>
        <v>0</v>
      </c>
      <c r="U691" s="10">
        <f>IFERROR(__xludf.DUMMYFUNCTION("""COMPUTED_VALUE"""),0.0)</f>
        <v>0</v>
      </c>
      <c r="V691" s="10" t="str">
        <f>IFERROR(__xludf.DUMMYFUNCTION("""COMPUTED_VALUE"""),"سیدنا حضرت امنہ اور حضرت عبداللہ کی شان عورت کے حقوق")</f>
        <v>سیدنا حضرت امنہ اور حضرت عبداللہ کی شان عورت کے حقوق</v>
      </c>
      <c r="W691" s="10" t="str">
        <f>IFERROR(__xludf.DUMMYFUNCTION("""COMPUTED_VALUE"""),"سیدنا ز تامنہ اور حضرت عبداللہ کی شان کو بیان کیا گیا حضرت ابن عباس کا ذکر کیا گیا جو مفسر قران ہیں اور عورتوں کے حقوق پر بات کی گئی عورت چاہے ماں بیٹی بہن بیوی کے روپ میں ہے اس کی اسلام نے کس طرح سے عزت افزائی کی ہے")</f>
        <v>سیدنا ز تامنہ اور حضرت عبداللہ کی شان کو بیان کیا گیا حضرت ابن عباس کا ذکر کیا گیا جو مفسر قران ہیں اور عورتوں کے حقوق پر بات کی گئی عورت چاہے ماں بیٹی بہن بیوی کے روپ میں ہے اس کی اسلام نے کس طرح سے عزت افزائی کی ہے</v>
      </c>
      <c r="X691" s="10">
        <f>IFERROR(__xludf.DUMMYFUNCTION("""COMPUTED_VALUE"""),1.0)</f>
        <v>1</v>
      </c>
      <c r="Y691" s="10">
        <f>IFERROR(__xludf.DUMMYFUNCTION("""COMPUTED_VALUE"""),5.0)</f>
        <v>5</v>
      </c>
      <c r="Z691" s="10">
        <f>IFERROR(__xludf.DUMMYFUNCTION("""COMPUTED_VALUE"""),1.0)</f>
        <v>1</v>
      </c>
      <c r="AA691" s="10">
        <f>IFERROR(__xludf.DUMMYFUNCTION("""COMPUTED_VALUE"""),8.0)</f>
        <v>8</v>
      </c>
      <c r="AB691" s="10">
        <f>IFERROR(__xludf.DUMMYFUNCTION("""COMPUTED_VALUE"""),1.0)</f>
        <v>1</v>
      </c>
      <c r="AC691" s="10">
        <f>IFERROR(__xludf.DUMMYFUNCTION("""COMPUTED_VALUE"""),0.0)</f>
        <v>0</v>
      </c>
      <c r="AD691" s="10">
        <f>IFERROR(__xludf.DUMMYFUNCTION("""COMPUTED_VALUE"""),0.0)</f>
        <v>0</v>
      </c>
      <c r="AE691" s="10">
        <f>IFERROR(__xludf.DUMMYFUNCTION("""COMPUTED_VALUE"""),0.0)</f>
        <v>0</v>
      </c>
      <c r="AF691" s="10">
        <f>IFERROR(__xludf.DUMMYFUNCTION("""COMPUTED_VALUE"""),0.0)</f>
        <v>0</v>
      </c>
      <c r="AG691" s="10">
        <f>IFERROR(__xludf.DUMMYFUNCTION("""COMPUTED_VALUE"""),8.0)</f>
        <v>8</v>
      </c>
      <c r="AH691" s="10">
        <f>IFERROR(__xludf.DUMMYFUNCTION("""COMPUTED_VALUE"""),0.0)</f>
        <v>0</v>
      </c>
      <c r="AI691" s="10">
        <f>IFERROR(__xludf.DUMMYFUNCTION("""COMPUTED_VALUE"""),8.0)</f>
        <v>8</v>
      </c>
      <c r="AJ691" s="11" t="str">
        <f>IFERROR(__xludf.DUMMYFUNCTION("""COMPUTED_VALUE"""),"https://drive.google.com/open?id=1m1O-9JAEB8U5MduJW6N_X06r0jQBh1IE")</f>
        <v>https://drive.google.com/open?id=1m1O-9JAEB8U5MduJW6N_X06r0jQBh1IE</v>
      </c>
      <c r="AK691" s="12"/>
      <c r="AL691" s="12" t="str">
        <f>IFERROR(__xludf.DUMMYFUNCTION("""COMPUTED_VALUE"""),"Yes")</f>
        <v>Yes</v>
      </c>
      <c r="AM691" s="15">
        <f>IFERROR(__xludf.DUMMYFUNCTION("""COMPUTED_VALUE"""),0.3)</f>
        <v>0.3</v>
      </c>
      <c r="AN691" s="12" t="str">
        <f>IFERROR(__xludf.DUMMYFUNCTION("""COMPUTED_VALUE"""),"1st week")</f>
        <v>1st week</v>
      </c>
      <c r="AO691" s="13">
        <v>1.0</v>
      </c>
      <c r="AX691" s="17"/>
    </row>
    <row r="692">
      <c r="B692" s="9">
        <f>IFERROR(__xludf.DUMMYFUNCTION("""COMPUTED_VALUE"""),45924.23543760416)</f>
        <v>45924.23544</v>
      </c>
      <c r="C692" s="10" t="str">
        <f>IFERROR(__xludf.DUMMYFUNCTION("""COMPUTED_VALUE"""),"Asma Gul")</f>
        <v>Asma Gul</v>
      </c>
      <c r="D692" s="10" t="str">
        <f>IFERROR(__xludf.DUMMYFUNCTION("""COMPUTED_VALUE"""),"03459308620")</f>
        <v>03459308620</v>
      </c>
      <c r="E692" s="10" t="str">
        <f>IFERROR(__xludf.DUMMYFUNCTION("""COMPUTED_VALUE"""),"Jamia Masjid Chila Gha Sheer Shah Wali")</f>
        <v>Jamia Masjid Chila Gha Sheer Shah Wali</v>
      </c>
      <c r="F692" s="10" t="str">
        <f>IFERROR(__xludf.DUMMYFUNCTION("""COMPUTED_VALUE"""),"IBTRF")</f>
        <v>IBTRF</v>
      </c>
      <c r="G692" s="10" t="str">
        <f>IFERROR(__xludf.DUMMYFUNCTION("""COMPUTED_VALUE"""),"Yes")</f>
        <v>Yes</v>
      </c>
      <c r="H692" s="10">
        <f>IFERROR(__xludf.DUMMYFUNCTION("""COMPUTED_VALUE"""),10.0)</f>
        <v>10</v>
      </c>
      <c r="I692" s="10">
        <f>IFERROR(__xludf.DUMMYFUNCTION("""COMPUTED_VALUE"""),0.0)</f>
        <v>0</v>
      </c>
      <c r="J692" s="10">
        <f>IFERROR(__xludf.DUMMYFUNCTION("""COMPUTED_VALUE"""),10.0)</f>
        <v>10</v>
      </c>
      <c r="K692" s="10">
        <f>IFERROR(__xludf.DUMMYFUNCTION("""COMPUTED_VALUE"""),10.0)</f>
        <v>10</v>
      </c>
      <c r="L692" s="10">
        <f>IFERROR(__xludf.DUMMYFUNCTION("""COMPUTED_VALUE"""),0.0)</f>
        <v>0</v>
      </c>
      <c r="M692" s="10">
        <f>IFERROR(__xludf.DUMMYFUNCTION("""COMPUTED_VALUE"""),5.0)</f>
        <v>5</v>
      </c>
      <c r="N692" s="10">
        <f>IFERROR(__xludf.DUMMYFUNCTION("""COMPUTED_VALUE"""),0.0)</f>
        <v>0</v>
      </c>
      <c r="O692" s="10">
        <f>IFERROR(__xludf.DUMMYFUNCTION("""COMPUTED_VALUE"""),9.0)</f>
        <v>9</v>
      </c>
      <c r="P692" s="10">
        <f>IFERROR(__xludf.DUMMYFUNCTION("""COMPUTED_VALUE"""),0.0)</f>
        <v>0</v>
      </c>
      <c r="Q692" s="10" t="str">
        <f>IFERROR(__xludf.DUMMYFUNCTION("""COMPUTED_VALUE"""),"Yes")</f>
        <v>Yes</v>
      </c>
      <c r="R692" s="10" t="str">
        <f>IFERROR(__xludf.DUMMYFUNCTION("""COMPUTED_VALUE"""),"No")</f>
        <v>No</v>
      </c>
      <c r="S692" s="10" t="str">
        <f>IFERROR(__xludf.DUMMYFUNCTION("""COMPUTED_VALUE"""),"Yes")</f>
        <v>Yes</v>
      </c>
      <c r="T692" s="10">
        <f>IFERROR(__xludf.DUMMYFUNCTION("""COMPUTED_VALUE"""),0.0)</f>
        <v>0</v>
      </c>
      <c r="U692" s="10">
        <f>IFERROR(__xludf.DUMMYFUNCTION("""COMPUTED_VALUE"""),0.0)</f>
        <v>0</v>
      </c>
      <c r="V692" s="10" t="str">
        <f>IFERROR(__xludf.DUMMYFUNCTION("""COMPUTED_VALUE"""),"عورتوں کے حقوق اور اہمیت")</f>
        <v>عورتوں کے حقوق اور اہمیت</v>
      </c>
      <c r="W692" s="10" t="str">
        <f>IFERROR(__xludf.DUMMYFUNCTION("""COMPUTED_VALUE"""),"اسلام سے پہلے عورت ذلت میں تھی، اسلام نے اسے عزت دی۔بیٹی کو رحمت قرار دیا اور اس کی پرورش پر جنت کی خوشخبری دی۔ماں کے قدموں تلے جنت رکھی گئی اور اس کی خدمت کو افضل بنایا گیا۔بیوی کے ساتھ اچھا سلوک بہترین مسلمان کی پہچان ہے۔بہن کو وراثت میں حق دینا اللہ کا"&amp;" حکم ہے۔علم مرد اور عورت دونوں پر فرض ہے، تاکہ پورا معاشرہ سنور سکے۔
")</f>
        <v>اسلام سے پہلے عورت ذلت میں تھی، اسلام نے اسے عزت دی۔بیٹی کو رحمت قرار دیا اور اس کی پرورش پر جنت کی خوشخبری دی۔ماں کے قدموں تلے جنت رکھی گئی اور اس کی خدمت کو افضل بنایا گیا۔بیوی کے ساتھ اچھا سلوک بہترین مسلمان کی پہچان ہے۔بہن کو وراثت میں حق دینا اللہ کا حکم ہے۔علم مرد اور عورت دونوں پر فرض ہے، تاکہ پورا معاشرہ سنور سکے۔
</v>
      </c>
      <c r="X692" s="10">
        <f>IFERROR(__xludf.DUMMYFUNCTION("""COMPUTED_VALUE"""),3.0)</f>
        <v>3</v>
      </c>
      <c r="Y692" s="10">
        <f>IFERROR(__xludf.DUMMYFUNCTION("""COMPUTED_VALUE"""),9.0)</f>
        <v>9</v>
      </c>
      <c r="Z692" s="10">
        <f>IFERROR(__xludf.DUMMYFUNCTION("""COMPUTED_VALUE"""),9.0)</f>
        <v>9</v>
      </c>
      <c r="AA692" s="10">
        <f>IFERROR(__xludf.DUMMYFUNCTION("""COMPUTED_VALUE"""),9.0)</f>
        <v>9</v>
      </c>
      <c r="AB692" s="10">
        <f>IFERROR(__xludf.DUMMYFUNCTION("""COMPUTED_VALUE"""),8.0)</f>
        <v>8</v>
      </c>
      <c r="AC692" s="10">
        <f>IFERROR(__xludf.DUMMYFUNCTION("""COMPUTED_VALUE"""),0.0)</f>
        <v>0</v>
      </c>
      <c r="AD692" s="10">
        <f>IFERROR(__xludf.DUMMYFUNCTION("""COMPUTED_VALUE"""),3.0)</f>
        <v>3</v>
      </c>
      <c r="AE692" s="10">
        <f>IFERROR(__xludf.DUMMYFUNCTION("""COMPUTED_VALUE"""),0.0)</f>
        <v>0</v>
      </c>
      <c r="AF692" s="10">
        <f>IFERROR(__xludf.DUMMYFUNCTION("""COMPUTED_VALUE"""),0.0)</f>
        <v>0</v>
      </c>
      <c r="AG692" s="10">
        <f>IFERROR(__xludf.DUMMYFUNCTION("""COMPUTED_VALUE"""),9.0)</f>
        <v>9</v>
      </c>
      <c r="AH692" s="10">
        <f>IFERROR(__xludf.DUMMYFUNCTION("""COMPUTED_VALUE"""),0.0)</f>
        <v>0</v>
      </c>
      <c r="AI692" s="10">
        <f>IFERROR(__xludf.DUMMYFUNCTION("""COMPUTED_VALUE"""),9.0)</f>
        <v>9</v>
      </c>
      <c r="AJ692" s="11" t="str">
        <f>IFERROR(__xludf.DUMMYFUNCTION("""COMPUTED_VALUE"""),"https://drive.google.com/open?id=18TO5x23qkGyzi3HCOHHtyvdVJYhKGgmNP0kcf78AU-8")</f>
        <v>https://drive.google.com/open?id=18TO5x23qkGyzi3HCOHHtyvdVJYhKGgmNP0kcf78AU-8</v>
      </c>
      <c r="AK692" s="12"/>
      <c r="AL692" s="12" t="str">
        <f>IFERROR(__xludf.DUMMYFUNCTION("""COMPUTED_VALUE"""),"Yes")</f>
        <v>Yes</v>
      </c>
      <c r="AM692" s="15">
        <f>IFERROR(__xludf.DUMMYFUNCTION("""COMPUTED_VALUE"""),1.0)</f>
        <v>1</v>
      </c>
      <c r="AN692" s="12" t="str">
        <f>IFERROR(__xludf.DUMMYFUNCTION("""COMPUTED_VALUE"""),"1st week")</f>
        <v>1st week</v>
      </c>
      <c r="AO692" s="13">
        <v>1.0</v>
      </c>
      <c r="AX692" s="17"/>
    </row>
    <row r="693">
      <c r="B693" s="9">
        <f>IFERROR(__xludf.DUMMYFUNCTION("""COMPUTED_VALUE"""),45924.28441959491)</f>
        <v>45924.28442</v>
      </c>
      <c r="C693" s="10" t="str">
        <f>IFERROR(__xludf.DUMMYFUNCTION("""COMPUTED_VALUE"""),"Maham")</f>
        <v>Maham</v>
      </c>
      <c r="D693" s="10" t="str">
        <f>IFERROR(__xludf.DUMMYFUNCTION("""COMPUTED_VALUE"""),"03218118680")</f>
        <v>03218118680</v>
      </c>
      <c r="E693" s="10" t="str">
        <f>IFERROR(__xludf.DUMMYFUNCTION("""COMPUTED_VALUE"""),"Jamia Masjid Badar Ul Din Eshaq Pakpattan")</f>
        <v>Jamia Masjid Badar Ul Din Eshaq Pakpattan</v>
      </c>
      <c r="F693" s="10" t="str">
        <f>IFERROR(__xludf.DUMMYFUNCTION("""COMPUTED_VALUE"""),"PTTHF")</f>
        <v>PTTHF</v>
      </c>
      <c r="G693" s="10" t="str">
        <f>IFERROR(__xludf.DUMMYFUNCTION("""COMPUTED_VALUE"""),"Yes")</f>
        <v>Yes</v>
      </c>
      <c r="H693" s="10">
        <f>IFERROR(__xludf.DUMMYFUNCTION("""COMPUTED_VALUE"""),4.0)</f>
        <v>4</v>
      </c>
      <c r="I693" s="10">
        <f>IFERROR(__xludf.DUMMYFUNCTION("""COMPUTED_VALUE"""),6.0)</f>
        <v>6</v>
      </c>
      <c r="J693" s="10">
        <f>IFERROR(__xludf.DUMMYFUNCTION("""COMPUTED_VALUE"""),10.0)</f>
        <v>10</v>
      </c>
      <c r="K693" s="10">
        <f>IFERROR(__xludf.DUMMYFUNCTION("""COMPUTED_VALUE"""),0.0)</f>
        <v>0</v>
      </c>
      <c r="L693" s="10">
        <f>IFERROR(__xludf.DUMMYFUNCTION("""COMPUTED_VALUE"""),8.0)</f>
        <v>8</v>
      </c>
      <c r="M693" s="10">
        <f>IFERROR(__xludf.DUMMYFUNCTION("""COMPUTED_VALUE"""),0.0)</f>
        <v>0</v>
      </c>
      <c r="N693" s="10">
        <f>IFERROR(__xludf.DUMMYFUNCTION("""COMPUTED_VALUE"""),6.0)</f>
        <v>6</v>
      </c>
      <c r="O693" s="10">
        <f>IFERROR(__xludf.DUMMYFUNCTION("""COMPUTED_VALUE"""),0.0)</f>
        <v>0</v>
      </c>
      <c r="P693" s="10">
        <f>IFERROR(__xludf.DUMMYFUNCTION("""COMPUTED_VALUE"""),3.0)</f>
        <v>3</v>
      </c>
      <c r="Q693" s="10" t="str">
        <f>IFERROR(__xludf.DUMMYFUNCTION("""COMPUTED_VALUE"""),"No")</f>
        <v>No</v>
      </c>
      <c r="R693" s="10" t="str">
        <f>IFERROR(__xludf.DUMMYFUNCTION("""COMPUTED_VALUE"""),"No")</f>
        <v>No</v>
      </c>
      <c r="S693" s="10" t="str">
        <f>IFERROR(__xludf.DUMMYFUNCTION("""COMPUTED_VALUE"""),"No")</f>
        <v>No</v>
      </c>
      <c r="T693" s="10">
        <f>IFERROR(__xludf.DUMMYFUNCTION("""COMPUTED_VALUE"""),0.0)</f>
        <v>0</v>
      </c>
      <c r="U693" s="10">
        <f>IFERROR(__xludf.DUMMYFUNCTION("""COMPUTED_VALUE"""),0.0)</f>
        <v>0</v>
      </c>
      <c r="V693" s="10" t="str">
        <f>IFERROR(__xludf.DUMMYFUNCTION("""COMPUTED_VALUE"""),"ہمسائے کے حقوق")</f>
        <v>ہمسائے کے حقوق</v>
      </c>
      <c r="W693" s="10" t="str">
        <f>IFERROR(__xludf.DUMMYFUNCTION("""COMPUTED_VALUE"""),"ہم سائے کے حقوق کے بارے میں تاکید کی گئی اور اس کے ساتھ نیکی کرنے پر اجر و ثواب کا ذکر کیا گیا")</f>
        <v>ہم سائے کے حقوق کے بارے میں تاکید کی گئی اور اس کے ساتھ نیکی کرنے پر اجر و ثواب کا ذکر کیا گیا</v>
      </c>
      <c r="X693" s="10">
        <f>IFERROR(__xludf.DUMMYFUNCTION("""COMPUTED_VALUE"""),2.0)</f>
        <v>2</v>
      </c>
      <c r="Y693" s="10">
        <f>IFERROR(__xludf.DUMMYFUNCTION("""COMPUTED_VALUE"""),8.0)</f>
        <v>8</v>
      </c>
      <c r="Z693" s="10">
        <f>IFERROR(__xludf.DUMMYFUNCTION("""COMPUTED_VALUE"""),2.0)</f>
        <v>2</v>
      </c>
      <c r="AA693" s="10">
        <f>IFERROR(__xludf.DUMMYFUNCTION("""COMPUTED_VALUE"""),8.0)</f>
        <v>8</v>
      </c>
      <c r="AB693" s="10">
        <f>IFERROR(__xludf.DUMMYFUNCTION("""COMPUTED_VALUE"""),1.0)</f>
        <v>1</v>
      </c>
      <c r="AC693" s="10">
        <f>IFERROR(__xludf.DUMMYFUNCTION("""COMPUTED_VALUE"""),0.0)</f>
        <v>0</v>
      </c>
      <c r="AD693" s="10">
        <f>IFERROR(__xludf.DUMMYFUNCTION("""COMPUTED_VALUE"""),0.0)</f>
        <v>0</v>
      </c>
      <c r="AE693" s="10">
        <f>IFERROR(__xludf.DUMMYFUNCTION("""COMPUTED_VALUE"""),2.0)</f>
        <v>2</v>
      </c>
      <c r="AF693" s="10">
        <f>IFERROR(__xludf.DUMMYFUNCTION("""COMPUTED_VALUE"""),0.0)</f>
        <v>0</v>
      </c>
      <c r="AG693" s="10">
        <f>IFERROR(__xludf.DUMMYFUNCTION("""COMPUTED_VALUE"""),8.0)</f>
        <v>8</v>
      </c>
      <c r="AH693" s="10">
        <f>IFERROR(__xludf.DUMMYFUNCTION("""COMPUTED_VALUE"""),0.0)</f>
        <v>0</v>
      </c>
      <c r="AI693" s="10">
        <f>IFERROR(__xludf.DUMMYFUNCTION("""COMPUTED_VALUE"""),8.0)</f>
        <v>8</v>
      </c>
      <c r="AJ693" s="11" t="str">
        <f>IFERROR(__xludf.DUMMYFUNCTION("""COMPUTED_VALUE"""),"https://drive.google.com/open?id=1wPebn130vIjgyClo04O0wbkAIJa1AWRK")</f>
        <v>https://drive.google.com/open?id=1wPebn130vIjgyClo04O0wbkAIJa1AWRK</v>
      </c>
      <c r="AK693" s="12"/>
      <c r="AL693" s="12" t="str">
        <f>IFERROR(__xludf.DUMMYFUNCTION("""COMPUTED_VALUE"""),"Yes")</f>
        <v>Yes</v>
      </c>
      <c r="AM693" s="15">
        <f>IFERROR(__xludf.DUMMYFUNCTION("""COMPUTED_VALUE"""),1.0)</f>
        <v>1</v>
      </c>
      <c r="AN693" s="12" t="str">
        <f>IFERROR(__xludf.DUMMYFUNCTION("""COMPUTED_VALUE"""),"1st week")</f>
        <v>1st week</v>
      </c>
      <c r="AO693" s="13">
        <v>1.0</v>
      </c>
      <c r="AX693" s="17"/>
    </row>
    <row r="694">
      <c r="B694" s="9">
        <f>IFERROR(__xludf.DUMMYFUNCTION("""COMPUTED_VALUE"""),45924.28895269676)</f>
        <v>45924.28895</v>
      </c>
      <c r="C694" s="10" t="str">
        <f>IFERROR(__xludf.DUMMYFUNCTION("""COMPUTED_VALUE"""),"Maham")</f>
        <v>Maham</v>
      </c>
      <c r="D694" s="10" t="str">
        <f>IFERROR(__xludf.DUMMYFUNCTION("""COMPUTED_VALUE"""),"03218118680")</f>
        <v>03218118680</v>
      </c>
      <c r="E694" s="10" t="str">
        <f>IFERROR(__xludf.DUMMYFUNCTION("""COMPUTED_VALUE"""),"Jamia Masjid Darbar Baba Fareed Ul Din Pakpattan")</f>
        <v>Jamia Masjid Darbar Baba Fareed Ul Din Pakpattan</v>
      </c>
      <c r="F694" s="10" t="str">
        <f>IFERROR(__xludf.DUMMYFUNCTION("""COMPUTED_VALUE"""),"PAQQF")</f>
        <v>PAQQF</v>
      </c>
      <c r="G694" s="10" t="str">
        <f>IFERROR(__xludf.DUMMYFUNCTION("""COMPUTED_VALUE"""),"Yes")</f>
        <v>Yes</v>
      </c>
      <c r="H694" s="10">
        <f>IFERROR(__xludf.DUMMYFUNCTION("""COMPUTED_VALUE"""),2.0)</f>
        <v>2</v>
      </c>
      <c r="I694" s="10">
        <f>IFERROR(__xludf.DUMMYFUNCTION("""COMPUTED_VALUE"""),8.0)</f>
        <v>8</v>
      </c>
      <c r="J694" s="10">
        <f>IFERROR(__xludf.DUMMYFUNCTION("""COMPUTED_VALUE"""),3.0)</f>
        <v>3</v>
      </c>
      <c r="K694" s="10">
        <f>IFERROR(__xludf.DUMMYFUNCTION("""COMPUTED_VALUE"""),4.0)</f>
        <v>4</v>
      </c>
      <c r="L694" s="10">
        <f>IFERROR(__xludf.DUMMYFUNCTION("""COMPUTED_VALUE"""),0.0)</f>
        <v>0</v>
      </c>
      <c r="M694" s="10">
        <f>IFERROR(__xludf.DUMMYFUNCTION("""COMPUTED_VALUE"""),2.0)</f>
        <v>2</v>
      </c>
      <c r="N694" s="10">
        <f>IFERROR(__xludf.DUMMYFUNCTION("""COMPUTED_VALUE"""),0.0)</f>
        <v>0</v>
      </c>
      <c r="O694" s="10">
        <f>IFERROR(__xludf.DUMMYFUNCTION("""COMPUTED_VALUE"""),0.0)</f>
        <v>0</v>
      </c>
      <c r="P694" s="10">
        <f>IFERROR(__xludf.DUMMYFUNCTION("""COMPUTED_VALUE"""),0.0)</f>
        <v>0</v>
      </c>
      <c r="Q694" s="10" t="str">
        <f>IFERROR(__xludf.DUMMYFUNCTION("""COMPUTED_VALUE"""),"No")</f>
        <v>No</v>
      </c>
      <c r="R694" s="10" t="str">
        <f>IFERROR(__xludf.DUMMYFUNCTION("""COMPUTED_VALUE"""),"No")</f>
        <v>No</v>
      </c>
      <c r="S694" s="10" t="str">
        <f>IFERROR(__xludf.DUMMYFUNCTION("""COMPUTED_VALUE"""),"No")</f>
        <v>No</v>
      </c>
      <c r="T694" s="10">
        <f>IFERROR(__xludf.DUMMYFUNCTION("""COMPUTED_VALUE"""),0.0)</f>
        <v>0</v>
      </c>
      <c r="U694" s="10">
        <f>IFERROR(__xludf.DUMMYFUNCTION("""COMPUTED_VALUE"""),0.0)</f>
        <v>0</v>
      </c>
      <c r="V694" s="10" t="str">
        <f>IFERROR(__xludf.DUMMYFUNCTION("""COMPUTED_VALUE"""),"حضور صلی اللہ علیہ وسلم کی اطاعت محبت عورتوں کے حقو")</f>
        <v>حضور صلی اللہ علیہ وسلم کی اطاعت محبت عورتوں کے حقو</v>
      </c>
      <c r="W694" s="10" t="str">
        <f>IFERROR(__xludf.DUMMYFUNCTION("""COMPUTED_VALUE"""),"اگر تم چاہتے ہو کہ اللہ تعالی تم سے محبت کرے تو حضور صلی اللہ علیہ وسلم سے محبت کرو حضور صلی اللہ علیہ وسلم کی اتباع کرو عورتوں کے حقوق کے بارے میں بات کی")</f>
        <v>اگر تم چاہتے ہو کہ اللہ تعالی تم سے محبت کرے تو حضور صلی اللہ علیہ وسلم سے محبت کرو حضور صلی اللہ علیہ وسلم کی اتباع کرو عورتوں کے حقوق کے بارے میں بات کی</v>
      </c>
      <c r="X694" s="10">
        <f>IFERROR(__xludf.DUMMYFUNCTION("""COMPUTED_VALUE"""),7.0)</f>
        <v>7</v>
      </c>
      <c r="Y694" s="10">
        <f>IFERROR(__xludf.DUMMYFUNCTION("""COMPUTED_VALUE"""),3.0)</f>
        <v>3</v>
      </c>
      <c r="Z694" s="10">
        <f>IFERROR(__xludf.DUMMYFUNCTION("""COMPUTED_VALUE"""),2.0)</f>
        <v>2</v>
      </c>
      <c r="AA694" s="10">
        <f>IFERROR(__xludf.DUMMYFUNCTION("""COMPUTED_VALUE"""),9.0)</f>
        <v>9</v>
      </c>
      <c r="AB694" s="10">
        <f>IFERROR(__xludf.DUMMYFUNCTION("""COMPUTED_VALUE"""),2.0)</f>
        <v>2</v>
      </c>
      <c r="AC694" s="10">
        <f>IFERROR(__xludf.DUMMYFUNCTION("""COMPUTED_VALUE"""),0.0)</f>
        <v>0</v>
      </c>
      <c r="AD694" s="10">
        <f>IFERROR(__xludf.DUMMYFUNCTION("""COMPUTED_VALUE"""),0.0)</f>
        <v>0</v>
      </c>
      <c r="AE694" s="10">
        <f>IFERROR(__xludf.DUMMYFUNCTION("""COMPUTED_VALUE"""),0.0)</f>
        <v>0</v>
      </c>
      <c r="AF694" s="10">
        <f>IFERROR(__xludf.DUMMYFUNCTION("""COMPUTED_VALUE"""),0.0)</f>
        <v>0</v>
      </c>
      <c r="AG694" s="10">
        <f>IFERROR(__xludf.DUMMYFUNCTION("""COMPUTED_VALUE"""),8.0)</f>
        <v>8</v>
      </c>
      <c r="AH694" s="10">
        <f>IFERROR(__xludf.DUMMYFUNCTION("""COMPUTED_VALUE"""),0.0)</f>
        <v>0</v>
      </c>
      <c r="AI694" s="10">
        <f>IFERROR(__xludf.DUMMYFUNCTION("""COMPUTED_VALUE"""),7.0)</f>
        <v>7</v>
      </c>
      <c r="AJ694" s="11" t="str">
        <f>IFERROR(__xludf.DUMMYFUNCTION("""COMPUTED_VALUE"""),"https://drive.google.com/open?id=1lornE2yswJhuLP2B4wK8Vq1ZAgmJghSv")</f>
        <v>https://drive.google.com/open?id=1lornE2yswJhuLP2B4wK8Vq1ZAgmJghSv</v>
      </c>
      <c r="AK694" s="12"/>
      <c r="AL694" s="12" t="str">
        <f>IFERROR(__xludf.DUMMYFUNCTION("""COMPUTED_VALUE"""),"Yes")</f>
        <v>Yes</v>
      </c>
      <c r="AM694" s="15">
        <f>IFERROR(__xludf.DUMMYFUNCTION("""COMPUTED_VALUE"""),0.3)</f>
        <v>0.3</v>
      </c>
      <c r="AN694" s="12" t="str">
        <f>IFERROR(__xludf.DUMMYFUNCTION("""COMPUTED_VALUE"""),"1st week")</f>
        <v>1st week</v>
      </c>
      <c r="AO694" s="13">
        <v>1.0</v>
      </c>
      <c r="AX694" s="17"/>
    </row>
    <row r="695">
      <c r="B695" s="9">
        <f>IFERROR(__xludf.DUMMYFUNCTION("""COMPUTED_VALUE"""),45924.33360077546)</f>
        <v>45924.3336</v>
      </c>
      <c r="C695" s="10" t="str">
        <f>IFERROR(__xludf.DUMMYFUNCTION("""COMPUTED_VALUE"""),"Maham")</f>
        <v>Maham</v>
      </c>
      <c r="D695" s="10" t="str">
        <f>IFERROR(__xludf.DUMMYFUNCTION("""COMPUTED_VALUE"""),"03218118680")</f>
        <v>03218118680</v>
      </c>
      <c r="E695" s="10" t="str">
        <f>IFERROR(__xludf.DUMMYFUNCTION("""COMPUTED_VALUE"""),"Jamia Masjid Mulhalka Kuko Mandi Burewala")</f>
        <v>Jamia Masjid Mulhalka Kuko Mandi Burewala</v>
      </c>
      <c r="F695" s="10" t="str">
        <f>IFERROR(__xludf.DUMMYFUNCTION("""COMPUTED_VALUE"""),"QBVYB")</f>
        <v>QBVYB</v>
      </c>
      <c r="G695" s="10" t="str">
        <f>IFERROR(__xludf.DUMMYFUNCTION("""COMPUTED_VALUE"""),"No")</f>
        <v>No</v>
      </c>
      <c r="H695" s="10"/>
      <c r="I695" s="10"/>
      <c r="J695" s="10"/>
      <c r="K695" s="10">
        <f>IFERROR(__xludf.DUMMYFUNCTION("""COMPUTED_VALUE"""),0.0)</f>
        <v>0</v>
      </c>
      <c r="L695" s="10">
        <f>IFERROR(__xludf.DUMMYFUNCTION("""COMPUTED_VALUE"""),0.0)</f>
        <v>0</v>
      </c>
      <c r="M695" s="10">
        <f>IFERROR(__xludf.DUMMYFUNCTION("""COMPUTED_VALUE"""),0.0)</f>
        <v>0</v>
      </c>
      <c r="N695" s="10">
        <f>IFERROR(__xludf.DUMMYFUNCTION("""COMPUTED_VALUE"""),0.0)</f>
        <v>0</v>
      </c>
      <c r="O695" s="10">
        <f>IFERROR(__xludf.DUMMYFUNCTION("""COMPUTED_VALUE"""),0.0)</f>
        <v>0</v>
      </c>
      <c r="P695" s="10">
        <f>IFERROR(__xludf.DUMMYFUNCTION("""COMPUTED_VALUE"""),0.0)</f>
        <v>0</v>
      </c>
      <c r="Q695" s="10" t="str">
        <f>IFERROR(__xludf.DUMMYFUNCTION("""COMPUTED_VALUE"""),"No")</f>
        <v>No</v>
      </c>
      <c r="R695" s="10" t="str">
        <f>IFERROR(__xludf.DUMMYFUNCTION("""COMPUTED_VALUE"""),"No")</f>
        <v>No</v>
      </c>
      <c r="S695" s="10" t="str">
        <f>IFERROR(__xludf.DUMMYFUNCTION("""COMPUTED_VALUE"""),"No")</f>
        <v>No</v>
      </c>
      <c r="T695" s="10">
        <f>IFERROR(__xludf.DUMMYFUNCTION("""COMPUTED_VALUE"""),0.0)</f>
        <v>0</v>
      </c>
      <c r="U695" s="10">
        <f>IFERROR(__xludf.DUMMYFUNCTION("""COMPUTED_VALUE"""),0.0)</f>
        <v>0</v>
      </c>
      <c r="V695" s="10" t="str">
        <f>IFERROR(__xludf.DUMMYFUNCTION("""COMPUTED_VALUE"""),"حضور صلی اللہ علیہ والہ وسلم کی ذات و صفات کا تذکرہ")</f>
        <v>حضور صلی اللہ علیہ والہ وسلم کی ذات و صفات کا تذکرہ</v>
      </c>
      <c r="W695" s="10" t="str">
        <f>IFERROR(__xludf.DUMMYFUNCTION("""COMPUTED_VALUE"""),"حضور صلی اللہ علیہ والہ وسلم کی شان پر گفتگو کی گئی تھی اپ صلی اللہ علیہ وسلم کی ذات اور صفات کا تذکرہ کیا گیا")</f>
        <v>حضور صلی اللہ علیہ والہ وسلم کی شان پر گفتگو کی گئی تھی اپ صلی اللہ علیہ وسلم کی ذات اور صفات کا تذکرہ کیا گیا</v>
      </c>
      <c r="X695" s="10">
        <f>IFERROR(__xludf.DUMMYFUNCTION("""COMPUTED_VALUE"""),8.0)</f>
        <v>8</v>
      </c>
      <c r="Y695" s="10">
        <f>IFERROR(__xludf.DUMMYFUNCTION("""COMPUTED_VALUE"""),1.0)</f>
        <v>1</v>
      </c>
      <c r="Z695" s="10">
        <f>IFERROR(__xludf.DUMMYFUNCTION("""COMPUTED_VALUE"""),0.0)</f>
        <v>0</v>
      </c>
      <c r="AA695" s="10">
        <f>IFERROR(__xludf.DUMMYFUNCTION("""COMPUTED_VALUE"""),10.0)</f>
        <v>10</v>
      </c>
      <c r="AB695" s="10">
        <f>IFERROR(__xludf.DUMMYFUNCTION("""COMPUTED_VALUE"""),0.0)</f>
        <v>0</v>
      </c>
      <c r="AC695" s="10">
        <f>IFERROR(__xludf.DUMMYFUNCTION("""COMPUTED_VALUE"""),0.0)</f>
        <v>0</v>
      </c>
      <c r="AD695" s="10">
        <f>IFERROR(__xludf.DUMMYFUNCTION("""COMPUTED_VALUE"""),0.0)</f>
        <v>0</v>
      </c>
      <c r="AE695" s="10">
        <f>IFERROR(__xludf.DUMMYFUNCTION("""COMPUTED_VALUE"""),0.0)</f>
        <v>0</v>
      </c>
      <c r="AF695" s="10">
        <f>IFERROR(__xludf.DUMMYFUNCTION("""COMPUTED_VALUE"""),0.0)</f>
        <v>0</v>
      </c>
      <c r="AG695" s="10">
        <f>IFERROR(__xludf.DUMMYFUNCTION("""COMPUTED_VALUE"""),8.0)</f>
        <v>8</v>
      </c>
      <c r="AH695" s="10">
        <f>IFERROR(__xludf.DUMMYFUNCTION("""COMPUTED_VALUE"""),0.0)</f>
        <v>0</v>
      </c>
      <c r="AI695" s="10">
        <f>IFERROR(__xludf.DUMMYFUNCTION("""COMPUTED_VALUE"""),8.0)</f>
        <v>8</v>
      </c>
      <c r="AJ695" s="11" t="str">
        <f>IFERROR(__xludf.DUMMYFUNCTION("""COMPUTED_VALUE"""),"https://drive.google.com/open?id=1qzYq2IUzDYDGZYbB2ALjKK39ViyqkOua")</f>
        <v>https://drive.google.com/open?id=1qzYq2IUzDYDGZYbB2ALjKK39ViyqkOua</v>
      </c>
      <c r="AK695" s="12"/>
      <c r="AL695" s="12"/>
      <c r="AM695" s="12"/>
      <c r="AN695" s="12" t="str">
        <f>IFERROR(__xludf.DUMMYFUNCTION("""COMPUTED_VALUE"""),"1st week")</f>
        <v>1st week</v>
      </c>
      <c r="AO695" s="13">
        <v>1.0</v>
      </c>
      <c r="AX695" s="17"/>
    </row>
    <row r="696">
      <c r="B696" s="9">
        <f>IFERROR(__xludf.DUMMYFUNCTION("""COMPUTED_VALUE"""),45924.35501414352)</f>
        <v>45924.35501</v>
      </c>
      <c r="C696" s="10" t="str">
        <f>IFERROR(__xludf.DUMMYFUNCTION("""COMPUTED_VALUE"""),"Saira Shahzad ")</f>
        <v>Saira Shahzad </v>
      </c>
      <c r="D696" s="10" t="str">
        <f>IFERROR(__xludf.DUMMYFUNCTION("""COMPUTED_VALUE"""),"03114534696")</f>
        <v>03114534696</v>
      </c>
      <c r="E696" s="10" t="str">
        <f>IFERROR(__xludf.DUMMYFUNCTION("""COMPUTED_VALUE"""),"Jamia Masjid Sunhari Gol Chowk Sahiwal")</f>
        <v>Jamia Masjid Sunhari Gol Chowk Sahiwal</v>
      </c>
      <c r="F696" s="10" t="str">
        <f>IFERROR(__xludf.DUMMYFUNCTION("""COMPUTED_VALUE"""),"GTJBD")</f>
        <v>GTJBD</v>
      </c>
      <c r="G696" s="10" t="str">
        <f>IFERROR(__xludf.DUMMYFUNCTION("""COMPUTED_VALUE"""),"Yes")</f>
        <v>Yes</v>
      </c>
      <c r="H696" s="10">
        <f>IFERROR(__xludf.DUMMYFUNCTION("""COMPUTED_VALUE"""),9.0)</f>
        <v>9</v>
      </c>
      <c r="I696" s="10">
        <f>IFERROR(__xludf.DUMMYFUNCTION("""COMPUTED_VALUE"""),1.0)</f>
        <v>1</v>
      </c>
      <c r="J696" s="10">
        <f>IFERROR(__xludf.DUMMYFUNCTION("""COMPUTED_VALUE"""),9.0)</f>
        <v>9</v>
      </c>
      <c r="K696" s="10">
        <f>IFERROR(__xludf.DUMMYFUNCTION("""COMPUTED_VALUE"""),9.0)</f>
        <v>9</v>
      </c>
      <c r="L696" s="10">
        <f>IFERROR(__xludf.DUMMYFUNCTION("""COMPUTED_VALUE"""),0.0)</f>
        <v>0</v>
      </c>
      <c r="M696" s="10">
        <f>IFERROR(__xludf.DUMMYFUNCTION("""COMPUTED_VALUE"""),4.0)</f>
        <v>4</v>
      </c>
      <c r="N696" s="10">
        <f>IFERROR(__xludf.DUMMYFUNCTION("""COMPUTED_VALUE"""),0.0)</f>
        <v>0</v>
      </c>
      <c r="O696" s="10">
        <f>IFERROR(__xludf.DUMMYFUNCTION("""COMPUTED_VALUE"""),5.0)</f>
        <v>5</v>
      </c>
      <c r="P696" s="10">
        <f>IFERROR(__xludf.DUMMYFUNCTION("""COMPUTED_VALUE"""),0.0)</f>
        <v>0</v>
      </c>
      <c r="Q696" s="10" t="str">
        <f>IFERROR(__xludf.DUMMYFUNCTION("""COMPUTED_VALUE"""),"Yes")</f>
        <v>Yes</v>
      </c>
      <c r="R696" s="10" t="str">
        <f>IFERROR(__xludf.DUMMYFUNCTION("""COMPUTED_VALUE"""),"No")</f>
        <v>No</v>
      </c>
      <c r="S696" s="10" t="str">
        <f>IFERROR(__xludf.DUMMYFUNCTION("""COMPUTED_VALUE"""),"No")</f>
        <v>No</v>
      </c>
      <c r="T696" s="10">
        <f>IFERROR(__xludf.DUMMYFUNCTION("""COMPUTED_VALUE"""),0.0)</f>
        <v>0</v>
      </c>
      <c r="U696" s="10">
        <f>IFERROR(__xludf.DUMMYFUNCTION("""COMPUTED_VALUE"""),0.0)</f>
        <v>0</v>
      </c>
      <c r="V696" s="10" t="str">
        <f>IFERROR(__xludf.DUMMYFUNCTION("""COMPUTED_VALUE"""),"اسلام میں عورت کا مقام کردار اور حق")</f>
        <v>اسلام میں عورت کا مقام کردار اور حق</v>
      </c>
      <c r="W696" s="10" t="str">
        <f>IFERROR(__xludf.DUMMYFUNCTION("""COMPUTED_VALUE"""),"امام نے اپنے بیان میں عورت کے مقام کردار اور حق کے بارے میں بات کی ہے جو کہ اسلام نے عورت کو دیا ہے سلام سے پہلے عورتوں کی کوئی اہمیت نہیں تھی بیٹیوں کو پیدا ہوتے ہی زندہ درگور کر دیا جاتا تھا اور بیٹی پیدا ہوتے ہی زمانہ جہالت میں لوگوں کے رنگ سیاہ پر جات"&amp;"ے تھے اسلام میں عورت کو ہر قسم کا مقام دیا حضور پاک صلی اللہ علیہ والہ وسلم کی رضائی بہن شمیاء کا ذکر کیا گیا ہے کہ کیسے آپ صلی اللہ علیہ والہ وسلم نے اپنی رضائی بہن کا بھی پورا حق عطا کیا بے شک وہ اپ کی سگی بہن نہیں تھی اور عورتوں کی تعلیم و تربیت پر زور"&amp;" دیا خطبے میں بیان کیا کہ اپنی بیٹیوں کو پڑھا لکھا کر ڈاکٹر انجینیئر بنواؤ اسلام کے دائرے میں رہتے ہوئے ان کی تربیت اچھی کرو کیونکہ قیامت کے روز نبی پاک صلی اللہ علیہ والہ وسلم نے فرمایا ہے دو بیٹیوں کی کفالت کرنے والا دو انگلیوں کے اشارے سے فرمایا کہ وہ "&amp;"اس طرح میرے ساتھ ہوگا اور اس پر دوزخ کی اگ حرام ہوگی جو اپنی بیٹیوں کو اچھی تربیت کریں انہیں پڑھائے لکھائے اور ان کی شادیاں کرے اور اپنی بیویوں کے ساتھ اچھے سلوک پر بھی زور دیا گیا")</f>
        <v>امام نے اپنے بیان میں عورت کے مقام کردار اور حق کے بارے میں بات کی ہے جو کہ اسلام نے عورت کو دیا ہے سلام سے پہلے عورتوں کی کوئی اہمیت نہیں تھی بیٹیوں کو پیدا ہوتے ہی زندہ درگور کر دیا جاتا تھا اور بیٹی پیدا ہوتے ہی زمانہ جہالت میں لوگوں کے رنگ سیاہ پر جاتے تھے اسلام میں عورت کو ہر قسم کا مقام دیا حضور پاک صلی اللہ علیہ والہ وسلم کی رضائی بہن شمیاء کا ذکر کیا گیا ہے کہ کیسے آپ صلی اللہ علیہ والہ وسلم نے اپنی رضائی بہن کا بھی پورا حق عطا کیا بے شک وہ اپ کی سگی بہن نہیں تھی اور عورتوں کی تعلیم و تربیت پر زور دیا خطبے میں بیان کیا کہ اپنی بیٹیوں کو پڑھا لکھا کر ڈاکٹر انجینیئر بنواؤ اسلام کے دائرے میں رہتے ہوئے ان کی تربیت اچھی کرو کیونکہ قیامت کے روز نبی پاک صلی اللہ علیہ والہ وسلم نے فرمایا ہے دو بیٹیوں کی کفالت کرنے والا دو انگلیوں کے اشارے سے فرمایا کہ وہ اس طرح میرے ساتھ ہوگا اور اس پر دوزخ کی اگ حرام ہوگی جو اپنی بیٹیوں کو اچھی تربیت کریں انہیں پڑھائے لکھائے اور ان کی شادیاں کرے اور اپنی بیویوں کے ساتھ اچھے سلوک پر بھی زور دیا گیا</v>
      </c>
      <c r="X696" s="10">
        <f>IFERROR(__xludf.DUMMYFUNCTION("""COMPUTED_VALUE"""),3.0)</f>
        <v>3</v>
      </c>
      <c r="Y696" s="10">
        <f>IFERROR(__xludf.DUMMYFUNCTION("""COMPUTED_VALUE"""),1.0)</f>
        <v>1</v>
      </c>
      <c r="Z696" s="10">
        <f>IFERROR(__xludf.DUMMYFUNCTION("""COMPUTED_VALUE"""),4.0)</f>
        <v>4</v>
      </c>
      <c r="AA696" s="10">
        <f>IFERROR(__xludf.DUMMYFUNCTION("""COMPUTED_VALUE"""),7.0)</f>
        <v>7</v>
      </c>
      <c r="AB696" s="10">
        <f>IFERROR(__xludf.DUMMYFUNCTION("""COMPUTED_VALUE"""),7.0)</f>
        <v>7</v>
      </c>
      <c r="AC696" s="10">
        <f>IFERROR(__xludf.DUMMYFUNCTION("""COMPUTED_VALUE"""),0.0)</f>
        <v>0</v>
      </c>
      <c r="AD696" s="10">
        <f>IFERROR(__xludf.DUMMYFUNCTION("""COMPUTED_VALUE"""),0.0)</f>
        <v>0</v>
      </c>
      <c r="AE696" s="10">
        <f>IFERROR(__xludf.DUMMYFUNCTION("""COMPUTED_VALUE"""),4.0)</f>
        <v>4</v>
      </c>
      <c r="AF696" s="10">
        <f>IFERROR(__xludf.DUMMYFUNCTION("""COMPUTED_VALUE"""),0.0)</f>
        <v>0</v>
      </c>
      <c r="AG696" s="10">
        <f>IFERROR(__xludf.DUMMYFUNCTION("""COMPUTED_VALUE"""),8.0)</f>
        <v>8</v>
      </c>
      <c r="AH696" s="10">
        <f>IFERROR(__xludf.DUMMYFUNCTION("""COMPUTED_VALUE"""),0.0)</f>
        <v>0</v>
      </c>
      <c r="AI696" s="10">
        <f>IFERROR(__xludf.DUMMYFUNCTION("""COMPUTED_VALUE"""),8.0)</f>
        <v>8</v>
      </c>
      <c r="AJ696" s="11" t="str">
        <f>IFERROR(__xludf.DUMMYFUNCTION("""COMPUTED_VALUE"""),"https://drive.google.com/open?id=1ZHIjqScwqHl3Ttn0g_yj-ZbY8P9YmGLQxfzX8C3qCpo")</f>
        <v>https://drive.google.com/open?id=1ZHIjqScwqHl3Ttn0g_yj-ZbY8P9YmGLQxfzX8C3qCpo</v>
      </c>
      <c r="AK696" s="12" t="str">
        <f>IFERROR(__xludf.DUMMYFUNCTION("""COMPUTED_VALUE"""),"No")</f>
        <v>No</v>
      </c>
      <c r="AL696" s="12" t="str">
        <f>IFERROR(__xludf.DUMMYFUNCTION("""COMPUTED_VALUE"""),"Yes")</f>
        <v>Yes</v>
      </c>
      <c r="AM696" s="15">
        <f>IFERROR(__xludf.DUMMYFUNCTION("""COMPUTED_VALUE"""),0.9)</f>
        <v>0.9</v>
      </c>
      <c r="AN696" s="12" t="str">
        <f>IFERROR(__xludf.DUMMYFUNCTION("""COMPUTED_VALUE"""),"1st week")</f>
        <v>1st week</v>
      </c>
      <c r="AO696" s="13">
        <v>1.0</v>
      </c>
      <c r="AX696" s="17"/>
    </row>
    <row r="697">
      <c r="B697" s="9">
        <f>IFERROR(__xludf.DUMMYFUNCTION("""COMPUTED_VALUE"""),45924.39465686343)</f>
        <v>45924.39466</v>
      </c>
      <c r="C697" s="10" t="str">
        <f>IFERROR(__xludf.DUMMYFUNCTION("""COMPUTED_VALUE"""),"Sidra ")</f>
        <v>Sidra </v>
      </c>
      <c r="D697" s="10" t="str">
        <f>IFERROR(__xludf.DUMMYFUNCTION("""COMPUTED_VALUE"""),"03261416280")</f>
        <v>03261416280</v>
      </c>
      <c r="E697" s="10" t="str">
        <f>IFERROR(__xludf.DUMMYFUNCTION("""COMPUTED_VALUE"""),"Jamia Masjid Awis Darbar Dawaan Chawali Mushad Burewala")</f>
        <v>Jamia Masjid Awis Darbar Dawaan Chawali Mushad Burewala</v>
      </c>
      <c r="F697" s="10" t="str">
        <f>IFERROR(__xludf.DUMMYFUNCTION("""COMPUTED_VALUE"""),"NDPFG")</f>
        <v>NDPFG</v>
      </c>
      <c r="G697" s="10" t="str">
        <f>IFERROR(__xludf.DUMMYFUNCTION("""COMPUTED_VALUE"""),"No")</f>
        <v>No</v>
      </c>
      <c r="H697" s="10"/>
      <c r="I697" s="10"/>
      <c r="J697" s="10"/>
      <c r="K697" s="10">
        <f>IFERROR(__xludf.DUMMYFUNCTION("""COMPUTED_VALUE"""),0.0)</f>
        <v>0</v>
      </c>
      <c r="L697" s="10">
        <f>IFERROR(__xludf.DUMMYFUNCTION("""COMPUTED_VALUE"""),0.0)</f>
        <v>0</v>
      </c>
      <c r="M697" s="10">
        <f>IFERROR(__xludf.DUMMYFUNCTION("""COMPUTED_VALUE"""),0.0)</f>
        <v>0</v>
      </c>
      <c r="N697" s="10">
        <f>IFERROR(__xludf.DUMMYFUNCTION("""COMPUTED_VALUE"""),0.0)</f>
        <v>0</v>
      </c>
      <c r="O697" s="10">
        <f>IFERROR(__xludf.DUMMYFUNCTION("""COMPUTED_VALUE"""),0.0)</f>
        <v>0</v>
      </c>
      <c r="P697" s="10">
        <f>IFERROR(__xludf.DUMMYFUNCTION("""COMPUTED_VALUE"""),0.0)</f>
        <v>0</v>
      </c>
      <c r="Q697" s="10" t="str">
        <f>IFERROR(__xludf.DUMMYFUNCTION("""COMPUTED_VALUE"""),"No")</f>
        <v>No</v>
      </c>
      <c r="R697" s="10" t="str">
        <f>IFERROR(__xludf.DUMMYFUNCTION("""COMPUTED_VALUE"""),"No")</f>
        <v>No</v>
      </c>
      <c r="S697" s="10" t="str">
        <f>IFERROR(__xludf.DUMMYFUNCTION("""COMPUTED_VALUE"""),"No")</f>
        <v>No</v>
      </c>
      <c r="T697" s="10">
        <f>IFERROR(__xludf.DUMMYFUNCTION("""COMPUTED_VALUE"""),0.0)</f>
        <v>0</v>
      </c>
      <c r="U697" s="10">
        <f>IFERROR(__xludf.DUMMYFUNCTION("""COMPUTED_VALUE"""),0.0)</f>
        <v>0</v>
      </c>
      <c r="V697" s="10" t="str">
        <f>IFERROR(__xludf.DUMMYFUNCTION("""COMPUTED_VALUE"""),"اسلامی تعلیمات ")</f>
        <v>اسلامی تعلیمات </v>
      </c>
      <c r="W697" s="10" t="str">
        <f>IFERROR(__xludf.DUMMYFUNCTION("""COMPUTED_VALUE"""),"امام نے بیان میں بتایا ہے اللہ تعالی نے حضرت جبرائیل علیہ السلام سے فرمایا کہ زمین سے مٹی اٹھا لاؤں میں نے انسان بنانے ہیں تو جب اچھا جبرائیل علیہ السلام زمین سے ویڈیو اٹھائی زمین بولی کہ اللہ نے اس سے انسان بنانے ہیں اور انسان گناہ کرے گا ایک دوسرے سے لڑ"&amp;"یں گے اور پھر امام نے بتایا کہ جب نبی کریم صلی اللہ علیہ وسلم کی پیدائش ہوئی تو حضرت عباس اپنے گھر تشریف لائے تو ان کی کبوتری عربی میں بولنے لگ گئی اور وہ جو بکریوں کے پاس گئے تو وہ بھی بول رہی تھی تو اپ کو لگا کہ شاید میرے گھر میں کوئی جن کا سایہ ہے۔ ")</f>
        <v>امام نے بیان میں بتایا ہے اللہ تعالی نے حضرت جبرائیل علیہ السلام سے فرمایا کہ زمین سے مٹی اٹھا لاؤں میں نے انسان بنانے ہیں تو جب اچھا جبرائیل علیہ السلام زمین سے ویڈیو اٹھائی زمین بولی کہ اللہ نے اس سے انسان بنانے ہیں اور انسان گناہ کرے گا ایک دوسرے سے لڑیں گے اور پھر امام نے بتایا کہ جب نبی کریم صلی اللہ علیہ وسلم کی پیدائش ہوئی تو حضرت عباس اپنے گھر تشریف لائے تو ان کی کبوتری عربی میں بولنے لگ گئی اور وہ جو بکریوں کے پاس گئے تو وہ بھی بول رہی تھی تو اپ کو لگا کہ شاید میرے گھر میں کوئی جن کا سایہ ہے۔ </v>
      </c>
      <c r="X697" s="10">
        <f>IFERROR(__xludf.DUMMYFUNCTION("""COMPUTED_VALUE"""),3.0)</f>
        <v>3</v>
      </c>
      <c r="Y697" s="10">
        <f>IFERROR(__xludf.DUMMYFUNCTION("""COMPUTED_VALUE"""),7.0)</f>
        <v>7</v>
      </c>
      <c r="Z697" s="10">
        <f>IFERROR(__xludf.DUMMYFUNCTION("""COMPUTED_VALUE"""),6.0)</f>
        <v>6</v>
      </c>
      <c r="AA697" s="10">
        <f>IFERROR(__xludf.DUMMYFUNCTION("""COMPUTED_VALUE"""),7.0)</f>
        <v>7</v>
      </c>
      <c r="AB697" s="10">
        <f>IFERROR(__xludf.DUMMYFUNCTION("""COMPUTED_VALUE"""),4.0)</f>
        <v>4</v>
      </c>
      <c r="AC697" s="10">
        <f>IFERROR(__xludf.DUMMYFUNCTION("""COMPUTED_VALUE"""),0.0)</f>
        <v>0</v>
      </c>
      <c r="AD697" s="10">
        <f>IFERROR(__xludf.DUMMYFUNCTION("""COMPUTED_VALUE"""),0.0)</f>
        <v>0</v>
      </c>
      <c r="AE697" s="10">
        <f>IFERROR(__xludf.DUMMYFUNCTION("""COMPUTED_VALUE"""),0.0)</f>
        <v>0</v>
      </c>
      <c r="AF697" s="10">
        <f>IFERROR(__xludf.DUMMYFUNCTION("""COMPUTED_VALUE"""),0.0)</f>
        <v>0</v>
      </c>
      <c r="AG697" s="10">
        <f>IFERROR(__xludf.DUMMYFUNCTION("""COMPUTED_VALUE"""),9.0)</f>
        <v>9</v>
      </c>
      <c r="AH697" s="10">
        <f>IFERROR(__xludf.DUMMYFUNCTION("""COMPUTED_VALUE"""),0.0)</f>
        <v>0</v>
      </c>
      <c r="AI697" s="10">
        <f>IFERROR(__xludf.DUMMYFUNCTION("""COMPUTED_VALUE"""),9.0)</f>
        <v>9</v>
      </c>
      <c r="AJ697" s="11" t="str">
        <f>IFERROR(__xludf.DUMMYFUNCTION("""COMPUTED_VALUE"""),"https://drive.google.com/open?id=1tMNWWsX7b7ZUgmOIntuHrBn57MNcJ_HaBMP16r2Jmw4")</f>
        <v>https://drive.google.com/open?id=1tMNWWsX7b7ZUgmOIntuHrBn57MNcJ_HaBMP16r2Jmw4</v>
      </c>
      <c r="AK697" s="12"/>
      <c r="AL697" s="12"/>
      <c r="AM697" s="12"/>
      <c r="AN697" s="12" t="str">
        <f>IFERROR(__xludf.DUMMYFUNCTION("""COMPUTED_VALUE"""),"1st week")</f>
        <v>1st week</v>
      </c>
      <c r="AO697" s="13">
        <v>1.0</v>
      </c>
      <c r="AX697" s="17"/>
    </row>
    <row r="698">
      <c r="B698" s="9">
        <f>IFERROR(__xludf.DUMMYFUNCTION("""COMPUTED_VALUE"""),45924.4792183449)</f>
        <v>45924.47922</v>
      </c>
      <c r="C698" s="10" t="str">
        <f>IFERROR(__xludf.DUMMYFUNCTION("""COMPUTED_VALUE"""),"Atiqa")</f>
        <v>Atiqa</v>
      </c>
      <c r="D698" s="10" t="str">
        <f>IFERROR(__xludf.DUMMYFUNCTION("""COMPUTED_VALUE"""),"03157519977")</f>
        <v>03157519977</v>
      </c>
      <c r="E698" s="10" t="str">
        <f>IFERROR(__xludf.DUMMYFUNCTION("""COMPUTED_VALUE"""),"Jamia Masjid ")</f>
        <v>Jamia Masjid </v>
      </c>
      <c r="F698" s="10" t="str">
        <f>IFERROR(__xludf.DUMMYFUNCTION("""COMPUTED_VALUE"""),"KGQJV")</f>
        <v>KGQJV</v>
      </c>
      <c r="G698" s="10" t="str">
        <f>IFERROR(__xludf.DUMMYFUNCTION("""COMPUTED_VALUE"""),"Yes")</f>
        <v>Yes</v>
      </c>
      <c r="H698" s="10">
        <f>IFERROR(__xludf.DUMMYFUNCTION("""COMPUTED_VALUE"""),9.0)</f>
        <v>9</v>
      </c>
      <c r="I698" s="10">
        <f>IFERROR(__xludf.DUMMYFUNCTION("""COMPUTED_VALUE"""),1.0)</f>
        <v>1</v>
      </c>
      <c r="J698" s="10">
        <f>IFERROR(__xludf.DUMMYFUNCTION("""COMPUTED_VALUE"""),10.0)</f>
        <v>10</v>
      </c>
      <c r="K698" s="10">
        <f>IFERROR(__xludf.DUMMYFUNCTION("""COMPUTED_VALUE"""),0.0)</f>
        <v>0</v>
      </c>
      <c r="L698" s="10">
        <f>IFERROR(__xludf.DUMMYFUNCTION("""COMPUTED_VALUE"""),8.0)</f>
        <v>8</v>
      </c>
      <c r="M698" s="10">
        <f>IFERROR(__xludf.DUMMYFUNCTION("""COMPUTED_VALUE"""),0.0)</f>
        <v>0</v>
      </c>
      <c r="N698" s="10">
        <f>IFERROR(__xludf.DUMMYFUNCTION("""COMPUTED_VALUE"""),7.0)</f>
        <v>7</v>
      </c>
      <c r="O698" s="10">
        <f>IFERROR(__xludf.DUMMYFUNCTION("""COMPUTED_VALUE"""),0.0)</f>
        <v>0</v>
      </c>
      <c r="P698" s="10">
        <f>IFERROR(__xludf.DUMMYFUNCTION("""COMPUTED_VALUE"""),6.0)</f>
        <v>6</v>
      </c>
      <c r="Q698" s="10" t="str">
        <f>IFERROR(__xludf.DUMMYFUNCTION("""COMPUTED_VALUE"""),"No")</f>
        <v>No</v>
      </c>
      <c r="R698" s="10" t="str">
        <f>IFERROR(__xludf.DUMMYFUNCTION("""COMPUTED_VALUE"""),"Yes")</f>
        <v>Yes</v>
      </c>
      <c r="S698" s="10" t="str">
        <f>IFERROR(__xludf.DUMMYFUNCTION("""COMPUTED_VALUE"""),"No")</f>
        <v>No</v>
      </c>
      <c r="T698" s="10">
        <f>IFERROR(__xludf.DUMMYFUNCTION("""COMPUTED_VALUE"""),0.0)</f>
        <v>0</v>
      </c>
      <c r="U698" s="10">
        <f>IFERROR(__xludf.DUMMYFUNCTION("""COMPUTED_VALUE"""),0.0)</f>
        <v>0</v>
      </c>
      <c r="V698" s="10" t="str">
        <f>IFERROR(__xludf.DUMMYFUNCTION("""COMPUTED_VALUE""")," پڑوسیوں کے حقوق ")</f>
        <v> پڑوسیوں کے حقوق </v>
      </c>
      <c r="W698" s="10" t="str">
        <f>IFERROR(__xludf.DUMMYFUNCTION("""COMPUTED_VALUE"""),"حضور صلی اللہ علیہ وسلم کی تعلیمات میں سے پڑوسی کے ساتھ حسن سلوک سے پیش انا ، نبی صلی اللہ علیہ وسلم کا ایک  تہجد گزار عورت کے پڑوسی کے ناخوش ہونے پر جہنم کی خبر دینا،  اور ایک فرائض ادا کرنے والی کے پڑوسی خوش ہونے پر جنت کی نوید سنانا ، جبرائیل علیہ السل"&amp;"ام کے پڑوسیوں کے حقوق کی تاکید کرنے پر نبی صلی اللہ علیہ وسلم کا وراثت کا گمان ہونا ، بھوکا پڑوسی ہونے پر ہلاکت کا فرمان ، بیمار پڑوسی کی تیمارداری کرنا ، دل جوئی کرنا ، تیمارداری کرنے والے کے لیے 70 ہزار فرشتوں کا دعائے مغفرت کرنا ، پڑوسی کی نماز جنازہ م"&amp;"یں شرکت کرنا ، جنازے میں شرکت اور تدفین پر دو قرات( احد پہاڑ کے برابر ) کا ثواب ہونا، گلی محلے کو صاف رکھنے کا کہا گیا ،
")</f>
        <v>حضور صلی اللہ علیہ وسلم کی تعلیمات میں سے پڑوسی کے ساتھ حسن سلوک سے پیش انا ، نبی صلی اللہ علیہ وسلم کا ایک  تہجد گزار عورت کے پڑوسی کے ناخوش ہونے پر جہنم کی خبر دینا،  اور ایک فرائض ادا کرنے والی کے پڑوسی خوش ہونے پر جنت کی نوید سنانا ، جبرائیل علیہ السلام کے پڑوسیوں کے حقوق کی تاکید کرنے پر نبی صلی اللہ علیہ وسلم کا وراثت کا گمان ہونا ، بھوکا پڑوسی ہونے پر ہلاکت کا فرمان ، بیمار پڑوسی کی تیمارداری کرنا ، دل جوئی کرنا ، تیمارداری کرنے والے کے لیے 70 ہزار فرشتوں کا دعائے مغفرت کرنا ، پڑوسی کی نماز جنازہ میں شرکت کرنا ، جنازے میں شرکت اور تدفین پر دو قرات( احد پہاڑ کے برابر ) کا ثواب ہونا، گلی محلے کو صاف رکھنے کا کہا گیا ،
</v>
      </c>
      <c r="X698" s="10">
        <f>IFERROR(__xludf.DUMMYFUNCTION("""COMPUTED_VALUE"""),1.0)</f>
        <v>1</v>
      </c>
      <c r="Y698" s="10">
        <f>IFERROR(__xludf.DUMMYFUNCTION("""COMPUTED_VALUE"""),9.0)</f>
        <v>9</v>
      </c>
      <c r="Z698" s="10">
        <f>IFERROR(__xludf.DUMMYFUNCTION("""COMPUTED_VALUE"""),6.0)</f>
        <v>6</v>
      </c>
      <c r="AA698" s="10">
        <f>IFERROR(__xludf.DUMMYFUNCTION("""COMPUTED_VALUE"""),8.0)</f>
        <v>8</v>
      </c>
      <c r="AB698" s="10">
        <f>IFERROR(__xludf.DUMMYFUNCTION("""COMPUTED_VALUE"""),4.0)</f>
        <v>4</v>
      </c>
      <c r="AC698" s="10">
        <f>IFERROR(__xludf.DUMMYFUNCTION("""COMPUTED_VALUE"""),0.0)</f>
        <v>0</v>
      </c>
      <c r="AD698" s="10">
        <f>IFERROR(__xludf.DUMMYFUNCTION("""COMPUTED_VALUE"""),0.0)</f>
        <v>0</v>
      </c>
      <c r="AE698" s="10">
        <f>IFERROR(__xludf.DUMMYFUNCTION("""COMPUTED_VALUE"""),0.0)</f>
        <v>0</v>
      </c>
      <c r="AF698" s="10">
        <f>IFERROR(__xludf.DUMMYFUNCTION("""COMPUTED_VALUE"""),0.0)</f>
        <v>0</v>
      </c>
      <c r="AG698" s="10">
        <f>IFERROR(__xludf.DUMMYFUNCTION("""COMPUTED_VALUE"""),9.0)</f>
        <v>9</v>
      </c>
      <c r="AH698" s="10">
        <f>IFERROR(__xludf.DUMMYFUNCTION("""COMPUTED_VALUE"""),0.0)</f>
        <v>0</v>
      </c>
      <c r="AI698" s="10">
        <f>IFERROR(__xludf.DUMMYFUNCTION("""COMPUTED_VALUE"""),9.0)</f>
        <v>9</v>
      </c>
      <c r="AJ698" s="11" t="str">
        <f>IFERROR(__xludf.DUMMYFUNCTION("""COMPUTED_VALUE"""),"https://drive.google.com/open?id=1TDkd2SetkHxZo-X35GyLZkXABYnMwAyLhwmPzmLpejQ")</f>
        <v>https://drive.google.com/open?id=1TDkd2SetkHxZo-X35GyLZkXABYnMwAyLhwmPzmLpejQ</v>
      </c>
      <c r="AK698" s="12"/>
      <c r="AL698" s="12" t="str">
        <f>IFERROR(__xludf.DUMMYFUNCTION("""COMPUTED_VALUE"""),"Yes")</f>
        <v>Yes</v>
      </c>
      <c r="AM698" s="15">
        <f>IFERROR(__xludf.DUMMYFUNCTION("""COMPUTED_VALUE"""),1.0)</f>
        <v>1</v>
      </c>
      <c r="AN698" s="12" t="str">
        <f>IFERROR(__xludf.DUMMYFUNCTION("""COMPUTED_VALUE"""),"1st week")</f>
        <v>1st week</v>
      </c>
      <c r="AO698" s="13">
        <v>1.0</v>
      </c>
      <c r="AX698" s="17"/>
    </row>
    <row r="699">
      <c r="B699" s="9">
        <f>IFERROR(__xludf.DUMMYFUNCTION("""COMPUTED_VALUE"""),45924.55759537037)</f>
        <v>45924.5576</v>
      </c>
      <c r="C699" s="10" t="str">
        <f>IFERROR(__xludf.DUMMYFUNCTION("""COMPUTED_VALUE"""),"Atiqa ")</f>
        <v>Atiqa </v>
      </c>
      <c r="D699" s="10" t="str">
        <f>IFERROR(__xludf.DUMMYFUNCTION("""COMPUTED_VALUE"""),"03157519977")</f>
        <v>03157519977</v>
      </c>
      <c r="E699" s="10" t="str">
        <f>IFERROR(__xludf.DUMMYFUNCTION("""COMPUTED_VALUE"""),"Jamia Masjid Lahbey Shah Ghogera Okara")</f>
        <v>Jamia Masjid Lahbey Shah Ghogera Okara</v>
      </c>
      <c r="F699" s="10" t="str">
        <f>IFERROR(__xludf.DUMMYFUNCTION("""COMPUTED_VALUE"""),"VPLSV")</f>
        <v>VPLSV</v>
      </c>
      <c r="G699" s="10" t="str">
        <f>IFERROR(__xludf.DUMMYFUNCTION("""COMPUTED_VALUE"""),"No")</f>
        <v>No</v>
      </c>
      <c r="H699" s="10"/>
      <c r="I699" s="10"/>
      <c r="J699" s="10"/>
      <c r="K699" s="10">
        <f>IFERROR(__xludf.DUMMYFUNCTION("""COMPUTED_VALUE"""),0.0)</f>
        <v>0</v>
      </c>
      <c r="L699" s="10">
        <f>IFERROR(__xludf.DUMMYFUNCTION("""COMPUTED_VALUE"""),0.0)</f>
        <v>0</v>
      </c>
      <c r="M699" s="10">
        <f>IFERROR(__xludf.DUMMYFUNCTION("""COMPUTED_VALUE"""),0.0)</f>
        <v>0</v>
      </c>
      <c r="N699" s="10">
        <f>IFERROR(__xludf.DUMMYFUNCTION("""COMPUTED_VALUE"""),0.0)</f>
        <v>0</v>
      </c>
      <c r="O699" s="10">
        <f>IFERROR(__xludf.DUMMYFUNCTION("""COMPUTED_VALUE"""),0.0)</f>
        <v>0</v>
      </c>
      <c r="P699" s="10">
        <f>IFERROR(__xludf.DUMMYFUNCTION("""COMPUTED_VALUE"""),0.0)</f>
        <v>0</v>
      </c>
      <c r="Q699" s="10" t="str">
        <f>IFERROR(__xludf.DUMMYFUNCTION("""COMPUTED_VALUE"""),"No")</f>
        <v>No</v>
      </c>
      <c r="R699" s="10" t="str">
        <f>IFERROR(__xludf.DUMMYFUNCTION("""COMPUTED_VALUE"""),"No")</f>
        <v>No</v>
      </c>
      <c r="S699" s="10" t="str">
        <f>IFERROR(__xludf.DUMMYFUNCTION("""COMPUTED_VALUE"""),"No")</f>
        <v>No</v>
      </c>
      <c r="T699" s="10">
        <f>IFERROR(__xludf.DUMMYFUNCTION("""COMPUTED_VALUE"""),0.0)</f>
        <v>0</v>
      </c>
      <c r="U699" s="10">
        <f>IFERROR(__xludf.DUMMYFUNCTION("""COMPUTED_VALUE"""),0.0)</f>
        <v>0</v>
      </c>
      <c r="V699" s="10" t="str">
        <f>IFERROR(__xludf.DUMMYFUNCTION("""COMPUTED_VALUE"""),"صحابہ کرام کی اپ صلی اللہ علیہ والہ وسلم سے محبت  اور ایثار ")</f>
        <v>صحابہ کرام کی اپ صلی اللہ علیہ والہ وسلم سے محبت  اور ایثار </v>
      </c>
      <c r="W699" s="10" t="str">
        <f>IFERROR(__xludf.DUMMYFUNCTION("""COMPUTED_VALUE"""),"حضرت ابوبکر صدیق رضی اللز تعالی عنہ کا اپ صلی اللہ علیہ وسلم کی محبت میں اپنے باپ، بیٹے ، مال و دولت اور جان کو قربان کرنا ، عمر فاروق رضی اللہ تعالی عنہ کی اپ صلی اللہ علیہ وسلم سے محبت، مہاجر اور انصار کا ایثار کا مظاہرہ کرنا ، جنگ موتہ کے موقع پر مجاہد"&amp;"ین کا اپنے ساتھیوں کے لیے ایثار کا مظاہرہ کرتے ہوئے شہادت حاصل کرنا ،")</f>
        <v>حضرت ابوبکر صدیق رضی اللز تعالی عنہ کا اپ صلی اللہ علیہ وسلم کی محبت میں اپنے باپ، بیٹے ، مال و دولت اور جان کو قربان کرنا ، عمر فاروق رضی اللہ تعالی عنہ کی اپ صلی اللہ علیہ وسلم سے محبت، مہاجر اور انصار کا ایثار کا مظاہرہ کرنا ، جنگ موتہ کے موقع پر مجاہدین کا اپنے ساتھیوں کے لیے ایثار کا مظاہرہ کرتے ہوئے شہادت حاصل کرنا ،</v>
      </c>
      <c r="X699" s="10">
        <f>IFERROR(__xludf.DUMMYFUNCTION("""COMPUTED_VALUE"""),4.0)</f>
        <v>4</v>
      </c>
      <c r="Y699" s="10">
        <f>IFERROR(__xludf.DUMMYFUNCTION("""COMPUTED_VALUE"""),6.0)</f>
        <v>6</v>
      </c>
      <c r="Z699" s="10">
        <f>IFERROR(__xludf.DUMMYFUNCTION("""COMPUTED_VALUE"""),3.0)</f>
        <v>3</v>
      </c>
      <c r="AA699" s="10">
        <f>IFERROR(__xludf.DUMMYFUNCTION("""COMPUTED_VALUE"""),8.0)</f>
        <v>8</v>
      </c>
      <c r="AB699" s="10">
        <f>IFERROR(__xludf.DUMMYFUNCTION("""COMPUTED_VALUE"""),7.0)</f>
        <v>7</v>
      </c>
      <c r="AC699" s="10">
        <f>IFERROR(__xludf.DUMMYFUNCTION("""COMPUTED_VALUE"""),0.0)</f>
        <v>0</v>
      </c>
      <c r="AD699" s="10">
        <f>IFERROR(__xludf.DUMMYFUNCTION("""COMPUTED_VALUE"""),0.0)</f>
        <v>0</v>
      </c>
      <c r="AE699" s="10">
        <f>IFERROR(__xludf.DUMMYFUNCTION("""COMPUTED_VALUE"""),0.0)</f>
        <v>0</v>
      </c>
      <c r="AF699" s="10">
        <f>IFERROR(__xludf.DUMMYFUNCTION("""COMPUTED_VALUE"""),0.0)</f>
        <v>0</v>
      </c>
      <c r="AG699" s="10">
        <f>IFERROR(__xludf.DUMMYFUNCTION("""COMPUTED_VALUE"""),8.0)</f>
        <v>8</v>
      </c>
      <c r="AH699" s="10">
        <f>IFERROR(__xludf.DUMMYFUNCTION("""COMPUTED_VALUE"""),0.0)</f>
        <v>0</v>
      </c>
      <c r="AI699" s="10">
        <f>IFERROR(__xludf.DUMMYFUNCTION("""COMPUTED_VALUE"""),8.0)</f>
        <v>8</v>
      </c>
      <c r="AJ699" s="11" t="str">
        <f>IFERROR(__xludf.DUMMYFUNCTION("""COMPUTED_VALUE"""),"https://drive.google.com/open?id=1TFUHK418b_PcZbMkcTwM6dvu8fjGbQq0Vf4h3aiWt3U")</f>
        <v>https://drive.google.com/open?id=1TFUHK418b_PcZbMkcTwM6dvu8fjGbQq0Vf4h3aiWt3U</v>
      </c>
      <c r="AK699" s="12"/>
      <c r="AL699" s="12"/>
      <c r="AM699" s="12"/>
      <c r="AN699" s="12" t="str">
        <f>IFERROR(__xludf.DUMMYFUNCTION("""COMPUTED_VALUE"""),"1st week")</f>
        <v>1st week</v>
      </c>
      <c r="AO699" s="13">
        <v>1.0</v>
      </c>
      <c r="AX699" s="17"/>
    </row>
    <row r="700">
      <c r="B700" s="9">
        <f>IFERROR(__xludf.DUMMYFUNCTION("""COMPUTED_VALUE"""),45924.61758203704)</f>
        <v>45924.61758</v>
      </c>
      <c r="C700" s="10" t="str">
        <f>IFERROR(__xludf.DUMMYFUNCTION("""COMPUTED_VALUE"""),"Asma Gul ")</f>
        <v>Asma Gul </v>
      </c>
      <c r="D700" s="10" t="str">
        <f>IFERROR(__xludf.DUMMYFUNCTION("""COMPUTED_VALUE"""),"03459308620")</f>
        <v>03459308620</v>
      </c>
      <c r="E700" s="10" t="str">
        <f>IFERROR(__xludf.DUMMYFUNCTION("""COMPUTED_VALUE"""),"Jamia Masjid Noor Almasjid Chichawatni")</f>
        <v>Jamia Masjid Noor Almasjid Chichawatni</v>
      </c>
      <c r="F700" s="10" t="str">
        <f>IFERROR(__xludf.DUMMYFUNCTION("""COMPUTED_VALUE"""),"IFVQA")</f>
        <v>IFVQA</v>
      </c>
      <c r="G700" s="10" t="str">
        <f>IFERROR(__xludf.DUMMYFUNCTION("""COMPUTED_VALUE"""),"No")</f>
        <v>No</v>
      </c>
      <c r="H700" s="10"/>
      <c r="I700" s="10"/>
      <c r="J700" s="10"/>
      <c r="K700" s="10">
        <f>IFERROR(__xludf.DUMMYFUNCTION("""COMPUTED_VALUE"""),0.0)</f>
        <v>0</v>
      </c>
      <c r="L700" s="10">
        <f>IFERROR(__xludf.DUMMYFUNCTION("""COMPUTED_VALUE"""),0.0)</f>
        <v>0</v>
      </c>
      <c r="M700" s="10">
        <f>IFERROR(__xludf.DUMMYFUNCTION("""COMPUTED_VALUE"""),0.0)</f>
        <v>0</v>
      </c>
      <c r="N700" s="10">
        <f>IFERROR(__xludf.DUMMYFUNCTION("""COMPUTED_VALUE"""),0.0)</f>
        <v>0</v>
      </c>
      <c r="O700" s="10">
        <f>IFERROR(__xludf.DUMMYFUNCTION("""COMPUTED_VALUE"""),0.0)</f>
        <v>0</v>
      </c>
      <c r="P700" s="10">
        <f>IFERROR(__xludf.DUMMYFUNCTION("""COMPUTED_VALUE"""),0.0)</f>
        <v>0</v>
      </c>
      <c r="Q700" s="10" t="str">
        <f>IFERROR(__xludf.DUMMYFUNCTION("""COMPUTED_VALUE"""),"No")</f>
        <v>No</v>
      </c>
      <c r="R700" s="10" t="str">
        <f>IFERROR(__xludf.DUMMYFUNCTION("""COMPUTED_VALUE"""),"No")</f>
        <v>No</v>
      </c>
      <c r="S700" s="10" t="str">
        <f>IFERROR(__xludf.DUMMYFUNCTION("""COMPUTED_VALUE"""),"No")</f>
        <v>No</v>
      </c>
      <c r="T700" s="10">
        <f>IFERROR(__xludf.DUMMYFUNCTION("""COMPUTED_VALUE"""),0.0)</f>
        <v>0</v>
      </c>
      <c r="U700" s="10">
        <f>IFERROR(__xludf.DUMMYFUNCTION("""COMPUTED_VALUE"""),0.0)</f>
        <v>0</v>
      </c>
      <c r="V700" s="10" t="str">
        <f>IFERROR(__xludf.DUMMYFUNCTION("""COMPUTED_VALUE"""),"رسول اللہ کی نفاست، پاکیزگی، خوشبو، قوت و حسنِ اخلاق۔
")</f>
        <v>رسول اللہ کی نفاست، پاکیزگی، خوشبو، قوت و حسنِ اخلاق۔
</v>
      </c>
      <c r="W700" s="10" t="str">
        <f>IFERROR(__xludf.DUMMYFUNCTION("""COMPUTED_VALUE"""),"اس خطبے میں امام نے حضور اکرم  کے سراپہ، ہاتھوں کی نرمی، خوشبو اور قوت کا ذکر کیا۔
صحابہ کے مشاہدات بیان کیے کہ آپ  کا پسینہ خوشبو دار تھا اور ہاتھ موتیوں سے زیادہ نرم مگر قوت میں بے مثال تھے۔
غزوات کے مواقع پر حضور  کی طاقت اور معجزات کو بیان کیا گیا۔
پو"&amp;"را بیان نبی کریم  کی نفاست، طہارت اور شانِ اقدس کے بیان پر مرکوز رہا۔")</f>
        <v>اس خطبے میں امام نے حضور اکرم  کے سراپہ، ہاتھوں کی نرمی، خوشبو اور قوت کا ذکر کیا۔
صحابہ کے مشاہدات بیان کیے کہ آپ  کا پسینہ خوشبو دار تھا اور ہاتھ موتیوں سے زیادہ نرم مگر قوت میں بے مثال تھے۔
غزوات کے مواقع پر حضور  کی طاقت اور معجزات کو بیان کیا گیا۔
پورا بیان نبی کریم  کی نفاست، طہارت اور شانِ اقدس کے بیان پر مرکوز رہا۔</v>
      </c>
      <c r="X700" s="10">
        <f>IFERROR(__xludf.DUMMYFUNCTION("""COMPUTED_VALUE"""),7.0)</f>
        <v>7</v>
      </c>
      <c r="Y700" s="10">
        <f>IFERROR(__xludf.DUMMYFUNCTION("""COMPUTED_VALUE"""),0.0)</f>
        <v>0</v>
      </c>
      <c r="Z700" s="10">
        <f>IFERROR(__xludf.DUMMYFUNCTION("""COMPUTED_VALUE"""),0.0)</f>
        <v>0</v>
      </c>
      <c r="AA700" s="10">
        <f>IFERROR(__xludf.DUMMYFUNCTION("""COMPUTED_VALUE"""),8.0)</f>
        <v>8</v>
      </c>
      <c r="AB700" s="10">
        <f>IFERROR(__xludf.DUMMYFUNCTION("""COMPUTED_VALUE"""),8.0)</f>
        <v>8</v>
      </c>
      <c r="AC700" s="10">
        <f>IFERROR(__xludf.DUMMYFUNCTION("""COMPUTED_VALUE"""),4.0)</f>
        <v>4</v>
      </c>
      <c r="AD700" s="10">
        <f>IFERROR(__xludf.DUMMYFUNCTION("""COMPUTED_VALUE"""),0.0)</f>
        <v>0</v>
      </c>
      <c r="AE700" s="10">
        <f>IFERROR(__xludf.DUMMYFUNCTION("""COMPUTED_VALUE"""),0.0)</f>
        <v>0</v>
      </c>
      <c r="AF700" s="10">
        <f>IFERROR(__xludf.DUMMYFUNCTION("""COMPUTED_VALUE"""),0.0)</f>
        <v>0</v>
      </c>
      <c r="AG700" s="10">
        <f>IFERROR(__xludf.DUMMYFUNCTION("""COMPUTED_VALUE"""),7.0)</f>
        <v>7</v>
      </c>
      <c r="AH700" s="10">
        <f>IFERROR(__xludf.DUMMYFUNCTION("""COMPUTED_VALUE"""),0.0)</f>
        <v>0</v>
      </c>
      <c r="AI700" s="10">
        <f>IFERROR(__xludf.DUMMYFUNCTION("""COMPUTED_VALUE"""),7.0)</f>
        <v>7</v>
      </c>
      <c r="AJ700" s="11" t="str">
        <f>IFERROR(__xludf.DUMMYFUNCTION("""COMPUTED_VALUE"""),"https://drive.google.com/open?id=1HuVnFxiOmer36Mmz16z0Q_RgueWa8eSO3h0yNByyNZQ")</f>
        <v>https://drive.google.com/open?id=1HuVnFxiOmer36Mmz16z0Q_RgueWa8eSO3h0yNByyNZQ</v>
      </c>
      <c r="AK700" s="12"/>
      <c r="AL700" s="12"/>
      <c r="AM700" s="12"/>
      <c r="AN700" s="12" t="str">
        <f>IFERROR(__xludf.DUMMYFUNCTION("""COMPUTED_VALUE"""),"1st week")</f>
        <v>1st week</v>
      </c>
      <c r="AO700" s="13">
        <v>1.0</v>
      </c>
      <c r="AX700" s="17"/>
    </row>
    <row r="701">
      <c r="B701" s="9">
        <f>IFERROR(__xludf.DUMMYFUNCTION("""COMPUTED_VALUE"""),45924.6590909375)</f>
        <v>45924.65909</v>
      </c>
      <c r="C701" s="10" t="str">
        <f>IFERROR(__xludf.DUMMYFUNCTION("""COMPUTED_VALUE"""),"Atiqa")</f>
        <v>Atiqa</v>
      </c>
      <c r="D701" s="10" t="str">
        <f>IFERROR(__xludf.DUMMYFUNCTION("""COMPUTED_VALUE"""),"03157519977")</f>
        <v>03157519977</v>
      </c>
      <c r="E701" s="10" t="str">
        <f>IFERROR(__xludf.DUMMYFUNCTION("""COMPUTED_VALUE"""),"Jamia Masjid Darbaar Muhammad Ghous Bala Peer Okara")</f>
        <v>Jamia Masjid Darbaar Muhammad Ghous Bala Peer Okara</v>
      </c>
      <c r="F701" s="10" t="str">
        <f>IFERROR(__xludf.DUMMYFUNCTION("""COMPUTED_VALUE"""),"VTGKG")</f>
        <v>VTGKG</v>
      </c>
      <c r="G701" s="10" t="str">
        <f>IFERROR(__xludf.DUMMYFUNCTION("""COMPUTED_VALUE"""),"Yes")</f>
        <v>Yes</v>
      </c>
      <c r="H701" s="10">
        <f>IFERROR(__xludf.DUMMYFUNCTION("""COMPUTED_VALUE"""),0.0)</f>
        <v>0</v>
      </c>
      <c r="I701" s="10">
        <f>IFERROR(__xludf.DUMMYFUNCTION("""COMPUTED_VALUE"""),10.0)</f>
        <v>10</v>
      </c>
      <c r="J701" s="10">
        <f>IFERROR(__xludf.DUMMYFUNCTION("""COMPUTED_VALUE"""),0.0)</f>
        <v>0</v>
      </c>
      <c r="K701" s="10">
        <f>IFERROR(__xludf.DUMMYFUNCTION("""COMPUTED_VALUE"""),0.0)</f>
        <v>0</v>
      </c>
      <c r="L701" s="10">
        <f>IFERROR(__xludf.DUMMYFUNCTION("""COMPUTED_VALUE"""),0.0)</f>
        <v>0</v>
      </c>
      <c r="M701" s="10">
        <f>IFERROR(__xludf.DUMMYFUNCTION("""COMPUTED_VALUE"""),0.0)</f>
        <v>0</v>
      </c>
      <c r="N701" s="10">
        <f>IFERROR(__xludf.DUMMYFUNCTION("""COMPUTED_VALUE"""),0.0)</f>
        <v>0</v>
      </c>
      <c r="O701" s="10">
        <f>IFERROR(__xludf.DUMMYFUNCTION("""COMPUTED_VALUE"""),0.0)</f>
        <v>0</v>
      </c>
      <c r="P701" s="10">
        <f>IFERROR(__xludf.DUMMYFUNCTION("""COMPUTED_VALUE"""),0.0)</f>
        <v>0</v>
      </c>
      <c r="Q701" s="10" t="str">
        <f>IFERROR(__xludf.DUMMYFUNCTION("""COMPUTED_VALUE"""),"No")</f>
        <v>No</v>
      </c>
      <c r="R701" s="10" t="str">
        <f>IFERROR(__xludf.DUMMYFUNCTION("""COMPUTED_VALUE"""),"No")</f>
        <v>No</v>
      </c>
      <c r="S701" s="10" t="str">
        <f>IFERROR(__xludf.DUMMYFUNCTION("""COMPUTED_VALUE"""),"No")</f>
        <v>No</v>
      </c>
      <c r="T701" s="10">
        <f>IFERROR(__xludf.DUMMYFUNCTION("""COMPUTED_VALUE"""),0.0)</f>
        <v>0</v>
      </c>
      <c r="U701" s="10">
        <f>IFERROR(__xludf.DUMMYFUNCTION("""COMPUTED_VALUE"""),0.0)</f>
        <v>0</v>
      </c>
      <c r="V701" s="10" t="str">
        <f>IFERROR(__xludf.DUMMYFUNCTION("""COMPUTED_VALUE"""),"۱-جمعہ کے وقت کی اہمیت ۲- نبی کریم صلی اللہ علیہ والہ وسلم کی ذات")</f>
        <v>۱-جمعہ کے وقت کی اہمیت ۲- نبی کریم صلی اللہ علیہ والہ وسلم کی ذات</v>
      </c>
      <c r="W701" s="10" t="str">
        <f>IFERROR(__xludf.DUMMYFUNCTION("""COMPUTED_VALUE"""),"جمعہ کا وقت ہونے پر دنیا کے کام چھوڑ کر مسجد میں ا جانا مسجد میں بیٹھے ہر سانس کے بدلے نیکی کا عطا ہونا ، نبی کریم صلی اللہ علیہ وسلم کا ہر معاملات میں اعلی ہونا اور لوگوں کے درمیان فرق بنا کر بھیجا جانا ، مکہ سے مدینہ ہجرت فرمانا ، عبداللہ بن مسعود کا اپ"&amp;" صلی اللہ علیہ وسلم کی زلفیں اور ایک نوجوان کا اپ صلی اللہ علیہ وسلم کی خوبصورتی بیان کرنا ")</f>
        <v>جمعہ کا وقت ہونے پر دنیا کے کام چھوڑ کر مسجد میں ا جانا مسجد میں بیٹھے ہر سانس کے بدلے نیکی کا عطا ہونا ، نبی کریم صلی اللہ علیہ وسلم کا ہر معاملات میں اعلی ہونا اور لوگوں کے درمیان فرق بنا کر بھیجا جانا ، مکہ سے مدینہ ہجرت فرمانا ، عبداللہ بن مسعود کا اپ صلی اللہ علیہ وسلم کی زلفیں اور ایک نوجوان کا اپ صلی اللہ علیہ وسلم کی خوبصورتی بیان کرنا </v>
      </c>
      <c r="X701" s="10">
        <f>IFERROR(__xludf.DUMMYFUNCTION("""COMPUTED_VALUE"""),4.0)</f>
        <v>4</v>
      </c>
      <c r="Y701" s="10">
        <f>IFERROR(__xludf.DUMMYFUNCTION("""COMPUTED_VALUE"""),6.0)</f>
        <v>6</v>
      </c>
      <c r="Z701" s="10">
        <f>IFERROR(__xludf.DUMMYFUNCTION("""COMPUTED_VALUE"""),3.0)</f>
        <v>3</v>
      </c>
      <c r="AA701" s="10">
        <f>IFERROR(__xludf.DUMMYFUNCTION("""COMPUTED_VALUE"""),8.0)</f>
        <v>8</v>
      </c>
      <c r="AB701" s="10">
        <f>IFERROR(__xludf.DUMMYFUNCTION("""COMPUTED_VALUE"""),6.0)</f>
        <v>6</v>
      </c>
      <c r="AC701" s="10">
        <f>IFERROR(__xludf.DUMMYFUNCTION("""COMPUTED_VALUE"""),0.0)</f>
        <v>0</v>
      </c>
      <c r="AD701" s="10">
        <f>IFERROR(__xludf.DUMMYFUNCTION("""COMPUTED_VALUE"""),0.0)</f>
        <v>0</v>
      </c>
      <c r="AE701" s="10">
        <f>IFERROR(__xludf.DUMMYFUNCTION("""COMPUTED_VALUE"""),0.0)</f>
        <v>0</v>
      </c>
      <c r="AF701" s="10">
        <f>IFERROR(__xludf.DUMMYFUNCTION("""COMPUTED_VALUE"""),0.0)</f>
        <v>0</v>
      </c>
      <c r="AG701" s="10">
        <f>IFERROR(__xludf.DUMMYFUNCTION("""COMPUTED_VALUE"""),7.0)</f>
        <v>7</v>
      </c>
      <c r="AH701" s="10">
        <f>IFERROR(__xludf.DUMMYFUNCTION("""COMPUTED_VALUE"""),0.0)</f>
        <v>0</v>
      </c>
      <c r="AI701" s="10">
        <f>IFERROR(__xludf.DUMMYFUNCTION("""COMPUTED_VALUE"""),6.0)</f>
        <v>6</v>
      </c>
      <c r="AJ701" s="11" t="str">
        <f>IFERROR(__xludf.DUMMYFUNCTION("""COMPUTED_VALUE"""),"https://drive.google.com/open?id=19QnL5BinTJ-iWAQRwfYdDGJ0n8ZeoJLb_ulvCDwLvrU")</f>
        <v>https://drive.google.com/open?id=19QnL5BinTJ-iWAQRwfYdDGJ0n8ZeoJLb_ulvCDwLvrU</v>
      </c>
      <c r="AK701" s="12"/>
      <c r="AL701" s="12" t="str">
        <f>IFERROR(__xludf.DUMMYFUNCTION("""COMPUTED_VALUE"""),"Yes")</f>
        <v>Yes</v>
      </c>
      <c r="AM701" s="15">
        <f>IFERROR(__xludf.DUMMYFUNCTION("""COMPUTED_VALUE"""),0.0)</f>
        <v>0</v>
      </c>
      <c r="AN701" s="12" t="str">
        <f>IFERROR(__xludf.DUMMYFUNCTION("""COMPUTED_VALUE"""),"1st week")</f>
        <v>1st week</v>
      </c>
      <c r="AO701" s="13">
        <v>1.0</v>
      </c>
      <c r="AX701" s="17"/>
    </row>
    <row r="702">
      <c r="B702" s="9">
        <f>IFERROR(__xludf.DUMMYFUNCTION("""COMPUTED_VALUE"""),45925.07544752315)</f>
        <v>45925.07545</v>
      </c>
      <c r="C702" s="10" t="str">
        <f>IFERROR(__xludf.DUMMYFUNCTION("""COMPUTED_VALUE"""),"Atiqa ")</f>
        <v>Atiqa </v>
      </c>
      <c r="D702" s="10" t="str">
        <f>IFERROR(__xludf.DUMMYFUNCTION("""COMPUTED_VALUE"""),"03157519977")</f>
        <v>03157519977</v>
      </c>
      <c r="E702" s="10" t="str">
        <f>IFERROR(__xludf.DUMMYFUNCTION("""COMPUTED_VALUE"""),"Jamia Masjid Renalah Khurda Okara")</f>
        <v>Jamia Masjid Renalah Khurda Okara</v>
      </c>
      <c r="F702" s="10" t="str">
        <f>IFERROR(__xludf.DUMMYFUNCTION("""COMPUTED_VALUE"""),"RUJKZ")</f>
        <v>RUJKZ</v>
      </c>
      <c r="G702" s="10" t="str">
        <f>IFERROR(__xludf.DUMMYFUNCTION("""COMPUTED_VALUE"""),"Yes")</f>
        <v>Yes</v>
      </c>
      <c r="H702" s="10">
        <f>IFERROR(__xludf.DUMMYFUNCTION("""COMPUTED_VALUE"""),3.0)</f>
        <v>3</v>
      </c>
      <c r="I702" s="10">
        <f>IFERROR(__xludf.DUMMYFUNCTION("""COMPUTED_VALUE"""),7.0)</f>
        <v>7</v>
      </c>
      <c r="J702" s="10">
        <f>IFERROR(__xludf.DUMMYFUNCTION("""COMPUTED_VALUE"""),8.0)</f>
        <v>8</v>
      </c>
      <c r="K702" s="10">
        <f>IFERROR(__xludf.DUMMYFUNCTION("""COMPUTED_VALUE"""),4.0)</f>
        <v>4</v>
      </c>
      <c r="L702" s="10">
        <f>IFERROR(__xludf.DUMMYFUNCTION("""COMPUTED_VALUE"""),0.0)</f>
        <v>0</v>
      </c>
      <c r="M702" s="10">
        <f>IFERROR(__xludf.DUMMYFUNCTION("""COMPUTED_VALUE"""),6.0)</f>
        <v>6</v>
      </c>
      <c r="N702" s="10">
        <f>IFERROR(__xludf.DUMMYFUNCTION("""COMPUTED_VALUE"""),0.0)</f>
        <v>0</v>
      </c>
      <c r="O702" s="10">
        <f>IFERROR(__xludf.DUMMYFUNCTION("""COMPUTED_VALUE"""),7.0)</f>
        <v>7</v>
      </c>
      <c r="P702" s="10">
        <f>IFERROR(__xludf.DUMMYFUNCTION("""COMPUTED_VALUE"""),0.0)</f>
        <v>0</v>
      </c>
      <c r="Q702" s="10" t="str">
        <f>IFERROR(__xludf.DUMMYFUNCTION("""COMPUTED_VALUE"""),"Yes")</f>
        <v>Yes</v>
      </c>
      <c r="R702" s="10" t="str">
        <f>IFERROR(__xludf.DUMMYFUNCTION("""COMPUTED_VALUE"""),"No")</f>
        <v>No</v>
      </c>
      <c r="S702" s="10" t="str">
        <f>IFERROR(__xludf.DUMMYFUNCTION("""COMPUTED_VALUE"""),"Yes")</f>
        <v>Yes</v>
      </c>
      <c r="T702" s="10">
        <f>IFERROR(__xludf.DUMMYFUNCTION("""COMPUTED_VALUE"""),0.0)</f>
        <v>0</v>
      </c>
      <c r="U702" s="10">
        <f>IFERROR(__xludf.DUMMYFUNCTION("""COMPUTED_VALUE"""),0.0)</f>
        <v>0</v>
      </c>
      <c r="V702" s="10" t="str">
        <f>IFERROR(__xludf.DUMMYFUNCTION("""COMPUTED_VALUE"""),"۱۔نبی صلی اللہ علیہ والہ وسلم کی ذات اور اوصاف ۲۔ اسلام کی امد سے عورت کا مقام ")</f>
        <v>۱۔نبی صلی اللہ علیہ والہ وسلم کی ذات اور اوصاف ۲۔ اسلام کی امد سے عورت کا مقام </v>
      </c>
      <c r="W702" s="10" t="str">
        <f>IFERROR(__xludf.DUMMYFUNCTION("""COMPUTED_VALUE"""),"لوگوں کی ہدایت کے لیے اللہ تعالی کا مختلف انبیاء کرام کا نزول فرمانا اور اپ صلی اللہ علیہ وسلم کی ذات کا سب سے پہلے تخلیق ہونا جس کا اپ سے پہلے انے والے انبیاء کرام کا بھی ذکر فرمانا ، زبور انجیل تورات کی اسمانی کتابوں میں بھی اپ صلی اللہ علیہ وسلم کے اوص"&amp;"اف بیان ہونا ، محمد صلی اللہ علیہ وسلم کے ساتھیوں اور صحابہ کو مختلف شرف حاصل ہونا ، ابوبکر صدیق رضی اللہ تعالی عنہ کو افضل اللہ کہنا ، عمر فاروق رضی اللہ تعالی عنہ کے متعلق کہنا اگر بعد نبی ہوتا تو عمر رضی اللہ تعالی عنہ ہوتا ، عثمان رضی اللہ تعالی عنہا "&amp;"کا حیا دار ہونا ، اپ صلی اللہ علیہ والہ وسلم کو غائب کا علم ہونا ، عرب میں عورت کے ساتھ روا رکھا جانے والا سلوک ، جنگ حنین کے موقع پر شیمہ رضی اللہ تعالی عنہا اپ صلی اللہ علیہ وسلم کی رضائی بہن کا قیدی بن کر انا اور اپ صلی اللہ علیہ وسلم کا اس کے ساتھ حسن"&amp;" سلوک بیان کیا گیا ، ماں کا مقام و مرتبہ اور بیٹی کی تعلیم و تربیت اور پرورش کا اجر بیان کیا گیا ، اور بیویوں میں خامی کی بجائے خوبی تلاش کرنے کا کہا گیا ۔  ")</f>
        <v>لوگوں کی ہدایت کے لیے اللہ تعالی کا مختلف انبیاء کرام کا نزول فرمانا اور اپ صلی اللہ علیہ وسلم کی ذات کا سب سے پہلے تخلیق ہونا جس کا اپ سے پہلے انے والے انبیاء کرام کا بھی ذکر فرمانا ، زبور انجیل تورات کی اسمانی کتابوں میں بھی اپ صلی اللہ علیہ وسلم کے اوصاف بیان ہونا ، محمد صلی اللہ علیہ وسلم کے ساتھیوں اور صحابہ کو مختلف شرف حاصل ہونا ، ابوبکر صدیق رضی اللہ تعالی عنہ کو افضل اللہ کہنا ، عمر فاروق رضی اللہ تعالی عنہ کے متعلق کہنا اگر بعد نبی ہوتا تو عمر رضی اللہ تعالی عنہ ہوتا ، عثمان رضی اللہ تعالی عنہا کا حیا دار ہونا ، اپ صلی اللہ علیہ والہ وسلم کو غائب کا علم ہونا ، عرب میں عورت کے ساتھ روا رکھا جانے والا سلوک ، جنگ حنین کے موقع پر شیمہ رضی اللہ تعالی عنہا اپ صلی اللہ علیہ وسلم کی رضائی بہن کا قیدی بن کر انا اور اپ صلی اللہ علیہ وسلم کا اس کے ساتھ حسن سلوک بیان کیا گیا ، ماں کا مقام و مرتبہ اور بیٹی کی تعلیم و تربیت اور پرورش کا اجر بیان کیا گیا ، اور بیویوں میں خامی کی بجائے خوبی تلاش کرنے کا کہا گیا ۔  </v>
      </c>
      <c r="X702" s="10">
        <f>IFERROR(__xludf.DUMMYFUNCTION("""COMPUTED_VALUE"""),1.0)</f>
        <v>1</v>
      </c>
      <c r="Y702" s="10">
        <f>IFERROR(__xludf.DUMMYFUNCTION("""COMPUTED_VALUE"""),9.0)</f>
        <v>9</v>
      </c>
      <c r="Z702" s="10">
        <f>IFERROR(__xludf.DUMMYFUNCTION("""COMPUTED_VALUE"""),6.0)</f>
        <v>6</v>
      </c>
      <c r="AA702" s="10">
        <f>IFERROR(__xludf.DUMMYFUNCTION("""COMPUTED_VALUE"""),8.0)</f>
        <v>8</v>
      </c>
      <c r="AB702" s="10">
        <f>IFERROR(__xludf.DUMMYFUNCTION("""COMPUTED_VALUE"""),6.0)</f>
        <v>6</v>
      </c>
      <c r="AC702" s="10">
        <f>IFERROR(__xludf.DUMMYFUNCTION("""COMPUTED_VALUE"""),0.0)</f>
        <v>0</v>
      </c>
      <c r="AD702" s="10">
        <f>IFERROR(__xludf.DUMMYFUNCTION("""COMPUTED_VALUE"""),0.0)</f>
        <v>0</v>
      </c>
      <c r="AE702" s="10">
        <f>IFERROR(__xludf.DUMMYFUNCTION("""COMPUTED_VALUE"""),1.0)</f>
        <v>1</v>
      </c>
      <c r="AF702" s="10">
        <f>IFERROR(__xludf.DUMMYFUNCTION("""COMPUTED_VALUE"""),0.0)</f>
        <v>0</v>
      </c>
      <c r="AG702" s="10">
        <f>IFERROR(__xludf.DUMMYFUNCTION("""COMPUTED_VALUE"""),8.0)</f>
        <v>8</v>
      </c>
      <c r="AH702" s="10">
        <f>IFERROR(__xludf.DUMMYFUNCTION("""COMPUTED_VALUE"""),0.0)</f>
        <v>0</v>
      </c>
      <c r="AI702" s="10">
        <f>IFERROR(__xludf.DUMMYFUNCTION("""COMPUTED_VALUE"""),9.0)</f>
        <v>9</v>
      </c>
      <c r="AJ702" s="11" t="str">
        <f>IFERROR(__xludf.DUMMYFUNCTION("""COMPUTED_VALUE"""),"https://drive.google.com/open?id=1ePiv0Etv1XEBzxNKsgK1qpB7D4vIrqfmCZIoThaebJs")</f>
        <v>https://drive.google.com/open?id=1ePiv0Etv1XEBzxNKsgK1qpB7D4vIrqfmCZIoThaebJs</v>
      </c>
      <c r="AK702" s="12"/>
      <c r="AL702" s="12" t="str">
        <f>IFERROR(__xludf.DUMMYFUNCTION("""COMPUTED_VALUE"""),"Yes")</f>
        <v>Yes</v>
      </c>
      <c r="AM702" s="15">
        <f>IFERROR(__xludf.DUMMYFUNCTION("""COMPUTED_VALUE"""),0.8)</f>
        <v>0.8</v>
      </c>
      <c r="AN702" s="12" t="str">
        <f>IFERROR(__xludf.DUMMYFUNCTION("""COMPUTED_VALUE"""),"1st week")</f>
        <v>1st week</v>
      </c>
      <c r="AO702" s="13">
        <v>1.0</v>
      </c>
      <c r="AX702" s="17"/>
    </row>
    <row r="703">
      <c r="B703" s="9">
        <f>IFERROR(__xludf.DUMMYFUNCTION("""COMPUTED_VALUE"""),45925.11898177084)</f>
        <v>45925.11898</v>
      </c>
      <c r="C703" s="10" t="str">
        <f>IFERROR(__xludf.DUMMYFUNCTION("""COMPUTED_VALUE"""),"Asma Gul")</f>
        <v>Asma Gul</v>
      </c>
      <c r="D703" s="10" t="str">
        <f>IFERROR(__xludf.DUMMYFUNCTION("""COMPUTED_VALUE"""),"03459308620")</f>
        <v>03459308620</v>
      </c>
      <c r="E703" s="10" t="str">
        <f>IFERROR(__xludf.DUMMYFUNCTION("""COMPUTED_VALUE"""),"Jamia Masjid Hanfiya C Block Okara")</f>
        <v>Jamia Masjid Hanfiya C Block Okara</v>
      </c>
      <c r="F703" s="10" t="str">
        <f>IFERROR(__xludf.DUMMYFUNCTION("""COMPUTED_VALUE"""),"FFPZC")</f>
        <v>FFPZC</v>
      </c>
      <c r="G703" s="10" t="str">
        <f>IFERROR(__xludf.DUMMYFUNCTION("""COMPUTED_VALUE"""),"No")</f>
        <v>No</v>
      </c>
      <c r="H703" s="10"/>
      <c r="I703" s="10"/>
      <c r="J703" s="10"/>
      <c r="K703" s="10">
        <f>IFERROR(__xludf.DUMMYFUNCTION("""COMPUTED_VALUE"""),0.0)</f>
        <v>0</v>
      </c>
      <c r="L703" s="10">
        <f>IFERROR(__xludf.DUMMYFUNCTION("""COMPUTED_VALUE"""),0.0)</f>
        <v>0</v>
      </c>
      <c r="M703" s="10">
        <f>IFERROR(__xludf.DUMMYFUNCTION("""COMPUTED_VALUE"""),0.0)</f>
        <v>0</v>
      </c>
      <c r="N703" s="10">
        <f>IFERROR(__xludf.DUMMYFUNCTION("""COMPUTED_VALUE"""),0.0)</f>
        <v>0</v>
      </c>
      <c r="O703" s="10">
        <f>IFERROR(__xludf.DUMMYFUNCTION("""COMPUTED_VALUE"""),0.0)</f>
        <v>0</v>
      </c>
      <c r="P703" s="10">
        <f>IFERROR(__xludf.DUMMYFUNCTION("""COMPUTED_VALUE"""),0.0)</f>
        <v>0</v>
      </c>
      <c r="Q703" s="10" t="str">
        <f>IFERROR(__xludf.DUMMYFUNCTION("""COMPUTED_VALUE"""),"No")</f>
        <v>No</v>
      </c>
      <c r="R703" s="10" t="str">
        <f>IFERROR(__xludf.DUMMYFUNCTION("""COMPUTED_VALUE"""),"No")</f>
        <v>No</v>
      </c>
      <c r="S703" s="10" t="str">
        <f>IFERROR(__xludf.DUMMYFUNCTION("""COMPUTED_VALUE"""),"No")</f>
        <v>No</v>
      </c>
      <c r="T703" s="10">
        <f>IFERROR(__xludf.DUMMYFUNCTION("""COMPUTED_VALUE"""),0.0)</f>
        <v>0</v>
      </c>
      <c r="U703" s="10">
        <f>IFERROR(__xludf.DUMMYFUNCTION("""COMPUTED_VALUE"""),0.0)</f>
        <v>0</v>
      </c>
      <c r="V703" s="10" t="str">
        <f>IFERROR(__xludf.DUMMYFUNCTION("""COMPUTED_VALUE"""),"رسول اللہ ﷺ کی سیرت اور قرآن مجید بطور معجزہ و ہدایت
")</f>
        <v>رسول اللہ ﷺ کی سیرت اور قرآن مجید بطور معجزہ و ہدایت
</v>
      </c>
      <c r="W703" s="10" t="str">
        <f>IFERROR(__xludf.DUMMYFUNCTION("""COMPUTED_VALUE"""),"رسول اللہ ﷺ کے بعد سب انبیاء کے معجزات ختم ہو گئے لیکن اللہ تعالیٰ نے قرآن کو قیامت تک کے لیے زندہ معجزہ بنا دیا۔ آپ ﷺ کی چھ فضیلتیں بیان کی گئیں، جیسے کہ قرآن بطور معجزہ، ختم نبوت، تمام جہانوں کے لیے رسول ہونا، مالِ غنیمت کا حلال ہونا، ہر جگہ سجدے کی اجا"&amp;"زت اور قرآن کی حفاظت کا وعدہ۔ حضرت عمر فاروقؓ اور کئی غیر مسلموں کے قبولِ اسلام کے واقعات سنائے گئے تاکہ واضح ہو کہ قرآن کی تاثیر نے دلوں کو بدل ڈالا۔ امام صاحب نے بتایا کہ قرآن واحد کتاب ہے جو اپنی اصل حالت میں موجود ہے اور قیامت تک ہدایت کا ذریعہ رہے گی")</f>
        <v>رسول اللہ ﷺ کے بعد سب انبیاء کے معجزات ختم ہو گئے لیکن اللہ تعالیٰ نے قرآن کو قیامت تک کے لیے زندہ معجزہ بنا دیا۔ آپ ﷺ کی چھ فضیلتیں بیان کی گئیں، جیسے کہ قرآن بطور معجزہ، ختم نبوت، تمام جہانوں کے لیے رسول ہونا، مالِ غنیمت کا حلال ہونا، ہر جگہ سجدے کی اجازت اور قرآن کی حفاظت کا وعدہ۔ حضرت عمر فاروقؓ اور کئی غیر مسلموں کے قبولِ اسلام کے واقعات سنائے گئے تاکہ واضح ہو کہ قرآن کی تاثیر نے دلوں کو بدل ڈالا۔ امام صاحب نے بتایا کہ قرآن واحد کتاب ہے جو اپنی اصل حالت میں موجود ہے اور قیامت تک ہدایت کا ذریعہ رہے گی</v>
      </c>
      <c r="X703" s="10">
        <f>IFERROR(__xludf.DUMMYFUNCTION("""COMPUTED_VALUE"""),9.0)</f>
        <v>9</v>
      </c>
      <c r="Y703" s="10">
        <f>IFERROR(__xludf.DUMMYFUNCTION("""COMPUTED_VALUE"""),2.0)</f>
        <v>2</v>
      </c>
      <c r="Z703" s="10">
        <f>IFERROR(__xludf.DUMMYFUNCTION("""COMPUTED_VALUE"""),3.0)</f>
        <v>3</v>
      </c>
      <c r="AA703" s="10">
        <f>IFERROR(__xludf.DUMMYFUNCTION("""COMPUTED_VALUE"""),9.0)</f>
        <v>9</v>
      </c>
      <c r="AB703" s="10">
        <f>IFERROR(__xludf.DUMMYFUNCTION("""COMPUTED_VALUE"""),6.0)</f>
        <v>6</v>
      </c>
      <c r="AC703" s="10">
        <f>IFERROR(__xludf.DUMMYFUNCTION("""COMPUTED_VALUE"""),1.0)</f>
        <v>1</v>
      </c>
      <c r="AD703" s="10">
        <f>IFERROR(__xludf.DUMMYFUNCTION("""COMPUTED_VALUE"""),2.0)</f>
        <v>2</v>
      </c>
      <c r="AE703" s="10">
        <f>IFERROR(__xludf.DUMMYFUNCTION("""COMPUTED_VALUE"""),5.0)</f>
        <v>5</v>
      </c>
      <c r="AF703" s="10">
        <f>IFERROR(__xludf.DUMMYFUNCTION("""COMPUTED_VALUE"""),0.0)</f>
        <v>0</v>
      </c>
      <c r="AG703" s="10">
        <f>IFERROR(__xludf.DUMMYFUNCTION("""COMPUTED_VALUE"""),10.0)</f>
        <v>10</v>
      </c>
      <c r="AH703" s="10">
        <f>IFERROR(__xludf.DUMMYFUNCTION("""COMPUTED_VALUE"""),0.0)</f>
        <v>0</v>
      </c>
      <c r="AI703" s="10">
        <f>IFERROR(__xludf.DUMMYFUNCTION("""COMPUTED_VALUE"""),8.0)</f>
        <v>8</v>
      </c>
      <c r="AJ703" s="11" t="str">
        <f>IFERROR(__xludf.DUMMYFUNCTION("""COMPUTED_VALUE"""),"https://drive.google.com/open?id=16c8GWS1utrkIUD0FM9FDXQt0S7URQ0oy")</f>
        <v>https://drive.google.com/open?id=16c8GWS1utrkIUD0FM9FDXQt0S7URQ0oy</v>
      </c>
      <c r="AK703" s="12"/>
      <c r="AL703" s="12"/>
      <c r="AM703" s="12"/>
      <c r="AN703" s="12" t="str">
        <f>IFERROR(__xludf.DUMMYFUNCTION("""COMPUTED_VALUE"""),"1st week")</f>
        <v>1st week</v>
      </c>
      <c r="AO703" s="13">
        <v>1.0</v>
      </c>
      <c r="AX703" s="17"/>
    </row>
    <row r="704">
      <c r="B704" s="9">
        <f>IFERROR(__xludf.DUMMYFUNCTION("""COMPUTED_VALUE"""),45925.61496114584)</f>
        <v>45925.61496</v>
      </c>
      <c r="C704" s="10" t="str">
        <f>IFERROR(__xludf.DUMMYFUNCTION("""COMPUTED_VALUE"""),"Maham")</f>
        <v>Maham</v>
      </c>
      <c r="D704" s="10" t="str">
        <f>IFERROR(__xludf.DUMMYFUNCTION("""COMPUTED_VALUE"""),"03218118680")</f>
        <v>03218118680</v>
      </c>
      <c r="E704" s="10" t="str">
        <f>IFERROR(__xludf.DUMMYFUNCTION("""COMPUTED_VALUE"""),"Jamia Masjid Gaalah Mandi Pakpattan")</f>
        <v>Jamia Masjid Gaalah Mandi Pakpattan</v>
      </c>
      <c r="F704" s="10" t="str">
        <f>IFERROR(__xludf.DUMMYFUNCTION("""COMPUTED_VALUE"""),"LPJZI")</f>
        <v>LPJZI</v>
      </c>
      <c r="G704" s="10" t="str">
        <f>IFERROR(__xludf.DUMMYFUNCTION("""COMPUTED_VALUE"""),"Yes")</f>
        <v>Yes</v>
      </c>
      <c r="H704" s="10">
        <f>IFERROR(__xludf.DUMMYFUNCTION("""COMPUTED_VALUE"""),0.0)</f>
        <v>0</v>
      </c>
      <c r="I704" s="10">
        <f>IFERROR(__xludf.DUMMYFUNCTION("""COMPUTED_VALUE"""),10.0)</f>
        <v>10</v>
      </c>
      <c r="J704" s="10">
        <f>IFERROR(__xludf.DUMMYFUNCTION("""COMPUTED_VALUE"""),0.0)</f>
        <v>0</v>
      </c>
      <c r="K704" s="10">
        <f>IFERROR(__xludf.DUMMYFUNCTION("""COMPUTED_VALUE"""),0.0)</f>
        <v>0</v>
      </c>
      <c r="L704" s="10">
        <f>IFERROR(__xludf.DUMMYFUNCTION("""COMPUTED_VALUE"""),0.0)</f>
        <v>0</v>
      </c>
      <c r="M704" s="10">
        <f>IFERROR(__xludf.DUMMYFUNCTION("""COMPUTED_VALUE"""),0.0)</f>
        <v>0</v>
      </c>
      <c r="N704" s="10">
        <f>IFERROR(__xludf.DUMMYFUNCTION("""COMPUTED_VALUE"""),0.0)</f>
        <v>0</v>
      </c>
      <c r="O704" s="10">
        <f>IFERROR(__xludf.DUMMYFUNCTION("""COMPUTED_VALUE"""),0.0)</f>
        <v>0</v>
      </c>
      <c r="P704" s="10">
        <f>IFERROR(__xludf.DUMMYFUNCTION("""COMPUTED_VALUE"""),0.0)</f>
        <v>0</v>
      </c>
      <c r="Q704" s="10" t="str">
        <f>IFERROR(__xludf.DUMMYFUNCTION("""COMPUTED_VALUE"""),"No")</f>
        <v>No</v>
      </c>
      <c r="R704" s="10" t="str">
        <f>IFERROR(__xludf.DUMMYFUNCTION("""COMPUTED_VALUE"""),"No")</f>
        <v>No</v>
      </c>
      <c r="S704" s="10" t="str">
        <f>IFERROR(__xludf.DUMMYFUNCTION("""COMPUTED_VALUE"""),"No")</f>
        <v>No</v>
      </c>
      <c r="T704" s="10">
        <f>IFERROR(__xludf.DUMMYFUNCTION("""COMPUTED_VALUE"""),0.0)</f>
        <v>0</v>
      </c>
      <c r="U704" s="10">
        <f>IFERROR(__xludf.DUMMYFUNCTION("""COMPUTED_VALUE"""),0.0)</f>
        <v>0</v>
      </c>
      <c r="V704" s="10" t="str">
        <f>IFERROR(__xludf.DUMMYFUNCTION("""COMPUTED_VALUE"""),"درود پاک کی اہمیت اللہ اور اس کے رسول کی اطاعت")</f>
        <v>درود پاک کی اہمیت اللہ اور اس کے رسول کی اطاعت</v>
      </c>
      <c r="W704" s="10" t="str">
        <f>IFERROR(__xludf.DUMMYFUNCTION("""COMPUTED_VALUE"""),"درود پاک کی اہمیت کو بیان کیا گیا ہے اس کے فضائل کو پیش کیا گیا اللہ تعالی اور اس کے رسول کی اطاعت ہماری زندگی میں کتنی ضروری ہے اس کی اہمیت پہ بات کی گئی اور اس کے ساتھ اللہ تعالی کی فرشتوں پہ کتابوں پہ رسولوں پر اور روز اخرت پر یقین لانا لازم ہے نیکی کا"&amp;" حکم اور بدی سے رکنے کا کہا گیا")</f>
        <v>درود پاک کی اہمیت کو بیان کیا گیا ہے اس کے فضائل کو پیش کیا گیا اللہ تعالی اور اس کے رسول کی اطاعت ہماری زندگی میں کتنی ضروری ہے اس کی اہمیت پہ بات کی گئی اور اس کے ساتھ اللہ تعالی کی فرشتوں پہ کتابوں پہ رسولوں پر اور روز اخرت پر یقین لانا لازم ہے نیکی کا حکم اور بدی سے رکنے کا کہا گیا</v>
      </c>
      <c r="X704" s="10">
        <f>IFERROR(__xludf.DUMMYFUNCTION("""COMPUTED_VALUE"""),10.0)</f>
        <v>10</v>
      </c>
      <c r="Y704" s="10">
        <f>IFERROR(__xludf.DUMMYFUNCTION("""COMPUTED_VALUE"""),0.0)</f>
        <v>0</v>
      </c>
      <c r="Z704" s="10">
        <f>IFERROR(__xludf.DUMMYFUNCTION("""COMPUTED_VALUE"""),0.0)</f>
        <v>0</v>
      </c>
      <c r="AA704" s="10">
        <f>IFERROR(__xludf.DUMMYFUNCTION("""COMPUTED_VALUE"""),10.0)</f>
        <v>10</v>
      </c>
      <c r="AB704" s="10">
        <f>IFERROR(__xludf.DUMMYFUNCTION("""COMPUTED_VALUE"""),2.0)</f>
        <v>2</v>
      </c>
      <c r="AC704" s="10">
        <f>IFERROR(__xludf.DUMMYFUNCTION("""COMPUTED_VALUE"""),0.0)</f>
        <v>0</v>
      </c>
      <c r="AD704" s="10">
        <f>IFERROR(__xludf.DUMMYFUNCTION("""COMPUTED_VALUE"""),0.0)</f>
        <v>0</v>
      </c>
      <c r="AE704" s="10">
        <f>IFERROR(__xludf.DUMMYFUNCTION("""COMPUTED_VALUE"""),0.0)</f>
        <v>0</v>
      </c>
      <c r="AF704" s="10">
        <f>IFERROR(__xludf.DUMMYFUNCTION("""COMPUTED_VALUE"""),0.0)</f>
        <v>0</v>
      </c>
      <c r="AG704" s="10">
        <f>IFERROR(__xludf.DUMMYFUNCTION("""COMPUTED_VALUE"""),8.0)</f>
        <v>8</v>
      </c>
      <c r="AH704" s="10">
        <f>IFERROR(__xludf.DUMMYFUNCTION("""COMPUTED_VALUE"""),0.0)</f>
        <v>0</v>
      </c>
      <c r="AI704" s="10">
        <f>IFERROR(__xludf.DUMMYFUNCTION("""COMPUTED_VALUE"""),8.0)</f>
        <v>8</v>
      </c>
      <c r="AJ704" s="11" t="str">
        <f>IFERROR(__xludf.DUMMYFUNCTION("""COMPUTED_VALUE"""),"https://drive.google.com/open?id=1thZJFNd3eMB8o2va8jVFoAlr0I5XlJL0")</f>
        <v>https://drive.google.com/open?id=1thZJFNd3eMB8o2va8jVFoAlr0I5XlJL0</v>
      </c>
      <c r="AK704" s="12"/>
      <c r="AL704" s="12" t="str">
        <f>IFERROR(__xludf.DUMMYFUNCTION("""COMPUTED_VALUE"""),"Yes")</f>
        <v>Yes</v>
      </c>
      <c r="AM704" s="15">
        <f>IFERROR(__xludf.DUMMYFUNCTION("""COMPUTED_VALUE"""),0.0)</f>
        <v>0</v>
      </c>
      <c r="AN704" s="12" t="str">
        <f>IFERROR(__xludf.DUMMYFUNCTION("""COMPUTED_VALUE"""),"1st week")</f>
        <v>1st week</v>
      </c>
      <c r="AO704" s="13">
        <v>1.0</v>
      </c>
      <c r="AX704" s="17"/>
    </row>
    <row r="705">
      <c r="B705" s="9">
        <f>IFERROR(__xludf.DUMMYFUNCTION("""COMPUTED_VALUE"""),45929.845210196756)</f>
        <v>45929.84521</v>
      </c>
      <c r="C705" s="10" t="str">
        <f>IFERROR(__xludf.DUMMYFUNCTION("""COMPUTED_VALUE"""),"Saira Shahzad ")</f>
        <v>Saira Shahzad </v>
      </c>
      <c r="D705" s="10" t="str">
        <f>IFERROR(__xludf.DUMMYFUNCTION("""COMPUTED_VALUE"""),"03114534696")</f>
        <v>03114534696</v>
      </c>
      <c r="E705" s="10" t="str">
        <f>IFERROR(__xludf.DUMMYFUNCTION("""COMPUTED_VALUE"""),"Jamia Masjid Eid Gah Shahiwal")</f>
        <v>Jamia Masjid Eid Gah Shahiwal</v>
      </c>
      <c r="F705" s="10" t="str">
        <f>IFERROR(__xludf.DUMMYFUNCTION("""COMPUTED_VALUE"""),"BXYXM")</f>
        <v>BXYXM</v>
      </c>
      <c r="G705" s="10" t="str">
        <f>IFERROR(__xludf.DUMMYFUNCTION("""COMPUTED_VALUE"""),"No")</f>
        <v>No</v>
      </c>
      <c r="H705" s="10"/>
      <c r="I705" s="10"/>
      <c r="J705" s="10"/>
      <c r="K705" s="10">
        <f>IFERROR(__xludf.DUMMYFUNCTION("""COMPUTED_VALUE"""),4.0)</f>
        <v>4</v>
      </c>
      <c r="L705" s="10">
        <f>IFERROR(__xludf.DUMMYFUNCTION("""COMPUTED_VALUE"""),0.0)</f>
        <v>0</v>
      </c>
      <c r="M705" s="10">
        <f>IFERROR(__xludf.DUMMYFUNCTION("""COMPUTED_VALUE"""),3.0)</f>
        <v>3</v>
      </c>
      <c r="N705" s="10">
        <f>IFERROR(__xludf.DUMMYFUNCTION("""COMPUTED_VALUE"""),0.0)</f>
        <v>0</v>
      </c>
      <c r="O705" s="10">
        <f>IFERROR(__xludf.DUMMYFUNCTION("""COMPUTED_VALUE"""),0.0)</f>
        <v>0</v>
      </c>
      <c r="P705" s="10">
        <f>IFERROR(__xludf.DUMMYFUNCTION("""COMPUTED_VALUE"""),0.0)</f>
        <v>0</v>
      </c>
      <c r="Q705" s="10" t="str">
        <f>IFERROR(__xludf.DUMMYFUNCTION("""COMPUTED_VALUE"""),"No")</f>
        <v>No</v>
      </c>
      <c r="R705" s="10" t="str">
        <f>IFERROR(__xludf.DUMMYFUNCTION("""COMPUTED_VALUE"""),"No")</f>
        <v>No</v>
      </c>
      <c r="S705" s="10" t="str">
        <f>IFERROR(__xludf.DUMMYFUNCTION("""COMPUTED_VALUE"""),"No")</f>
        <v>No</v>
      </c>
      <c r="T705" s="10">
        <f>IFERROR(__xludf.DUMMYFUNCTION("""COMPUTED_VALUE"""),0.0)</f>
        <v>0</v>
      </c>
      <c r="U705" s="10">
        <f>IFERROR(__xludf.DUMMYFUNCTION("""COMPUTED_VALUE"""),0.0)</f>
        <v>0</v>
      </c>
      <c r="V705" s="10" t="str">
        <f>IFERROR(__xludf.DUMMYFUNCTION("""COMPUTED_VALUE"""),"حضرت عثمان غنی رضی اللہ تعالی عنہ اور دیگر انبیاء کرام اور صحابہ کرام کی فضیلتیں ")</f>
        <v>حضرت عثمان غنی رضی اللہ تعالی عنہ اور دیگر انبیاء کرام اور صحابہ کرام کی فضیلتیں </v>
      </c>
      <c r="W705" s="10" t="str">
        <f>IFERROR(__xludf.DUMMYFUNCTION("""COMPUTED_VALUE"""),"امام نے اپنے بیان میں تمام انبیاء کرام کی فضیلتیں اور درجات بیان کیے ہیں ہم سب کے درجات اور فضیلتیں ایک دوسرے سے مختلف ہیں جس کی وجہ سے وہ ایک دوسرے سے منفرد ہیں اور حضرت عثمان غنی رضی اللہ تعالی عنہ کا واقعہ بیان کیا ہے کہ انہوں نے کس طرح یہودی سے پانی ک"&amp;"ا کنواں لے کر مسلمانوں کے لیے وقف کیا جس کے بدلے نبی پاک صلی اللہ علیہ والہ وسلم نے انہیں جنت کی خوشخبری سنائی اور جب نبی پاک صلی اللہ علیہ والہ وسلم کے گھر چار دنوں سے کچھ نہیں تھا کھانے پینے کے لیے تو کس طرح حضرت عثمان غنی رضی اللہ تعالی عنہ کھانے پینے "&amp;"کی تمام اشیا لے کر آئے حضور کی خدمت میں پیش کی اور اس کے علاوہ بیویوں کو ان کا حق مہر ادا کرنے پر زور دیا گیا اور بہنوں کو  جائیداد میں سے جو حصہ اسلام نے مقرر کیا ہے وہ دینے کا حکم دیا گیا اور نبی پاک صلی اللہ علیہ والہ وسلم کی بیٹی حضرت فاطمہ رضی اللہ ت"&amp;"عالی عنہ کی شادی کا پیغام جب حضرت علی رضی اللہ تعالی عنہ لے کر ائے تو اس کی تفصیل اور جس طرح حضرت عثمان غنی رضی اللہ تعالی عنہ نے ان کی مدد کی یہ سب بیان کیا گیا")</f>
        <v>امام نے اپنے بیان میں تمام انبیاء کرام کی فضیلتیں اور درجات بیان کیے ہیں ہم سب کے درجات اور فضیلتیں ایک دوسرے سے مختلف ہیں جس کی وجہ سے وہ ایک دوسرے سے منفرد ہیں اور حضرت عثمان غنی رضی اللہ تعالی عنہ کا واقعہ بیان کیا ہے کہ انہوں نے کس طرح یہودی سے پانی کا کنواں لے کر مسلمانوں کے لیے وقف کیا جس کے بدلے نبی پاک صلی اللہ علیہ والہ وسلم نے انہیں جنت کی خوشخبری سنائی اور جب نبی پاک صلی اللہ علیہ والہ وسلم کے گھر چار دنوں سے کچھ نہیں تھا کھانے پینے کے لیے تو کس طرح حضرت عثمان غنی رضی اللہ تعالی عنہ کھانے پینے کی تمام اشیا لے کر آئے حضور کی خدمت میں پیش کی اور اس کے علاوہ بیویوں کو ان کا حق مہر ادا کرنے پر زور دیا گیا اور بہنوں کو  جائیداد میں سے جو حصہ اسلام نے مقرر کیا ہے وہ دینے کا حکم دیا گیا اور نبی پاک صلی اللہ علیہ والہ وسلم کی بیٹی حضرت فاطمہ رضی اللہ تعالی عنہ کی شادی کا پیغام جب حضرت علی رضی اللہ تعالی عنہ لے کر ائے تو اس کی تفصیل اور جس طرح حضرت عثمان غنی رضی اللہ تعالی عنہ نے ان کی مدد کی یہ سب بیان کیا گیا</v>
      </c>
      <c r="X705" s="10">
        <f>IFERROR(__xludf.DUMMYFUNCTION("""COMPUTED_VALUE"""),1.0)</f>
        <v>1</v>
      </c>
      <c r="Y705" s="10">
        <f>IFERROR(__xludf.DUMMYFUNCTION("""COMPUTED_VALUE"""),5.0)</f>
        <v>5</v>
      </c>
      <c r="Z705" s="10">
        <f>IFERROR(__xludf.DUMMYFUNCTION("""COMPUTED_VALUE"""),5.0)</f>
        <v>5</v>
      </c>
      <c r="AA705" s="10">
        <f>IFERROR(__xludf.DUMMYFUNCTION("""COMPUTED_VALUE"""),8.0)</f>
        <v>8</v>
      </c>
      <c r="AB705" s="10">
        <f>IFERROR(__xludf.DUMMYFUNCTION("""COMPUTED_VALUE"""),7.0)</f>
        <v>7</v>
      </c>
      <c r="AC705" s="10">
        <f>IFERROR(__xludf.DUMMYFUNCTION("""COMPUTED_VALUE"""),0.0)</f>
        <v>0</v>
      </c>
      <c r="AD705" s="10">
        <f>IFERROR(__xludf.DUMMYFUNCTION("""COMPUTED_VALUE"""),2.0)</f>
        <v>2</v>
      </c>
      <c r="AE705" s="10">
        <f>IFERROR(__xludf.DUMMYFUNCTION("""COMPUTED_VALUE"""),5.0)</f>
        <v>5</v>
      </c>
      <c r="AF705" s="10">
        <f>IFERROR(__xludf.DUMMYFUNCTION("""COMPUTED_VALUE"""),0.0)</f>
        <v>0</v>
      </c>
      <c r="AG705" s="10">
        <f>IFERROR(__xludf.DUMMYFUNCTION("""COMPUTED_VALUE"""),8.0)</f>
        <v>8</v>
      </c>
      <c r="AH705" s="10">
        <f>IFERROR(__xludf.DUMMYFUNCTION("""COMPUTED_VALUE"""),0.0)</f>
        <v>0</v>
      </c>
      <c r="AI705" s="10">
        <f>IFERROR(__xludf.DUMMYFUNCTION("""COMPUTED_VALUE"""),8.0)</f>
        <v>8</v>
      </c>
      <c r="AJ705" s="11" t="str">
        <f>IFERROR(__xludf.DUMMYFUNCTION("""COMPUTED_VALUE"""),"https://drive.google.com/open?id=1ez7AyexLOWhILx5t8dyQXYd_RW_N82Xm9kOaXiJD0KQ")</f>
        <v>https://drive.google.com/open?id=1ez7AyexLOWhILx5t8dyQXYd_RW_N82Xm9kOaXiJD0KQ</v>
      </c>
      <c r="AK705" s="12" t="str">
        <f>IFERROR(__xludf.DUMMYFUNCTION("""COMPUTED_VALUE"""),"No")</f>
        <v>No</v>
      </c>
      <c r="AL705" s="12"/>
      <c r="AM705" s="12"/>
      <c r="AN705" s="12" t="str">
        <f>IFERROR(__xludf.DUMMYFUNCTION("""COMPUTED_VALUE"""),"1st week")</f>
        <v>1st week</v>
      </c>
      <c r="AO705" s="13">
        <v>1.0</v>
      </c>
      <c r="AX705" s="17"/>
    </row>
    <row r="706">
      <c r="B706" s="9">
        <f>IFERROR(__xludf.DUMMYFUNCTION("""COMPUTED_VALUE"""),45930.033534456015)</f>
        <v>45930.03353</v>
      </c>
      <c r="C706" s="10" t="str">
        <f>IFERROR(__xludf.DUMMYFUNCTION("""COMPUTED_VALUE"""),"Asma Gul")</f>
        <v>Asma Gul</v>
      </c>
      <c r="D706" s="10" t="str">
        <f>IFERROR(__xludf.DUMMYFUNCTION("""COMPUTED_VALUE"""),"03459308620")</f>
        <v>03459308620</v>
      </c>
      <c r="E706" s="10" t="str">
        <f>IFERROR(__xludf.DUMMYFUNCTION("""COMPUTED_VALUE"""),"Jamia Masjid Aziz Makki Pakpattan")</f>
        <v>Jamia Masjid Aziz Makki Pakpattan</v>
      </c>
      <c r="F706" s="10" t="str">
        <f>IFERROR(__xludf.DUMMYFUNCTION("""COMPUTED_VALUE"""),"EWWLQ")</f>
        <v>EWWLQ</v>
      </c>
      <c r="G706" s="10" t="str">
        <f>IFERROR(__xludf.DUMMYFUNCTION("""COMPUTED_VALUE"""),"Yes")</f>
        <v>Yes</v>
      </c>
      <c r="H706" s="10">
        <f>IFERROR(__xludf.DUMMYFUNCTION("""COMPUTED_VALUE"""),2.0)</f>
        <v>2</v>
      </c>
      <c r="I706" s="10">
        <f>IFERROR(__xludf.DUMMYFUNCTION("""COMPUTED_VALUE"""),8.0)</f>
        <v>8</v>
      </c>
      <c r="J706" s="10">
        <f>IFERROR(__xludf.DUMMYFUNCTION("""COMPUTED_VALUE"""),2.0)</f>
        <v>2</v>
      </c>
      <c r="K706" s="10">
        <f>IFERROR(__xludf.DUMMYFUNCTION("""COMPUTED_VALUE"""),4.0)</f>
        <v>4</v>
      </c>
      <c r="L706" s="10">
        <f>IFERROR(__xludf.DUMMYFUNCTION("""COMPUTED_VALUE"""),0.0)</f>
        <v>0</v>
      </c>
      <c r="M706" s="10">
        <f>IFERROR(__xludf.DUMMYFUNCTION("""COMPUTED_VALUE"""),4.0)</f>
        <v>4</v>
      </c>
      <c r="N706" s="10">
        <f>IFERROR(__xludf.DUMMYFUNCTION("""COMPUTED_VALUE"""),0.0)</f>
        <v>0</v>
      </c>
      <c r="O706" s="10">
        <f>IFERROR(__xludf.DUMMYFUNCTION("""COMPUTED_VALUE"""),1.0)</f>
        <v>1</v>
      </c>
      <c r="P706" s="10">
        <f>IFERROR(__xludf.DUMMYFUNCTION("""COMPUTED_VALUE"""),0.0)</f>
        <v>0</v>
      </c>
      <c r="Q706" s="10" t="str">
        <f>IFERROR(__xludf.DUMMYFUNCTION("""COMPUTED_VALUE"""),"No")</f>
        <v>No</v>
      </c>
      <c r="R706" s="10" t="str">
        <f>IFERROR(__xludf.DUMMYFUNCTION("""COMPUTED_VALUE"""),"No")</f>
        <v>No</v>
      </c>
      <c r="S706" s="10" t="str">
        <f>IFERROR(__xludf.DUMMYFUNCTION("""COMPUTED_VALUE"""),"No")</f>
        <v>No</v>
      </c>
      <c r="T706" s="10">
        <f>IFERROR(__xludf.DUMMYFUNCTION("""COMPUTED_VALUE"""),0.0)</f>
        <v>0</v>
      </c>
      <c r="U706" s="10">
        <f>IFERROR(__xludf.DUMMYFUNCTION("""COMPUTED_VALUE"""),0.0)</f>
        <v>0</v>
      </c>
      <c r="V706" s="10" t="str">
        <f>IFERROR(__xludf.DUMMYFUNCTION("""COMPUTED_VALUE"""),"رحمتِ مصطفی ﷺ، ان کی سیرتِ پاک اور اسلام میں عورت کے مقام کا بیان۔""")</f>
        <v>رحمتِ مصطفی ﷺ، ان کی سیرتِ پاک اور اسلام میں عورت کے مقام کا بیان۔"</v>
      </c>
      <c r="W706" s="10" t="str">
        <f>IFERROR(__xludf.DUMMYFUNCTION("""COMPUTED_VALUE"""),"
امام نے بیان میں بتایا کہ اللہ تعالیٰ نے نبی کریم صلی اللہ علیہ وسلم کو تمام جہانوں کے لیے رحمت بنا کر بھیجا۔ حضور صلی اللہ علیہ وسلم کی رحمت ایسی تھی کہ کوئی سائل خالی ہاتھ نہ لوٹتا۔ ابولہب کی گستاخی اور اس کے انجام کا واقعہ بھی بیان کیا.  حضرت حلیمہ سع"&amp;"دیہ رضی اللہ عنہا کی گود میں نبی صلی اللہ علیہ وسلم کی پرورش کا تذکرہ کیا گیا اور بتایا گیا کہ ان کی زندگی کیسے بدل گئی۔ آخر میں امام نے اسلام میں عورت کے حقوق اور عزت کا ذکر کیا کہ اسلام نے عورت کو اعلیٰ مقام دیا. ")</f>
        <v>
امام نے بیان میں بتایا کہ اللہ تعالیٰ نے نبی کریم صلی اللہ علیہ وسلم کو تمام جہانوں کے لیے رحمت بنا کر بھیجا۔ حضور صلی اللہ علیہ وسلم کی رحمت ایسی تھی کہ کوئی سائل خالی ہاتھ نہ لوٹتا۔ ابولہب کی گستاخی اور اس کے انجام کا واقعہ بھی بیان کیا.  حضرت حلیمہ سعدیہ رضی اللہ عنہا کی گود میں نبی صلی اللہ علیہ وسلم کی پرورش کا تذکرہ کیا گیا اور بتایا گیا کہ ان کی زندگی کیسے بدل گئی۔ آخر میں امام نے اسلام میں عورت کے حقوق اور عزت کا ذکر کیا کہ اسلام نے عورت کو اعلیٰ مقام دیا. </v>
      </c>
      <c r="X706" s="10">
        <f>IFERROR(__xludf.DUMMYFUNCTION("""COMPUTED_VALUE"""),7.0)</f>
        <v>7</v>
      </c>
      <c r="Y706" s="10">
        <f>IFERROR(__xludf.DUMMYFUNCTION("""COMPUTED_VALUE"""),8.0)</f>
        <v>8</v>
      </c>
      <c r="Z706" s="10">
        <f>IFERROR(__xludf.DUMMYFUNCTION("""COMPUTED_VALUE"""),6.0)</f>
        <v>6</v>
      </c>
      <c r="AA706" s="10">
        <f>IFERROR(__xludf.DUMMYFUNCTION("""COMPUTED_VALUE"""),9.0)</f>
        <v>9</v>
      </c>
      <c r="AB706" s="10">
        <f>IFERROR(__xludf.DUMMYFUNCTION("""COMPUTED_VALUE"""),7.0)</f>
        <v>7</v>
      </c>
      <c r="AC706" s="10">
        <f>IFERROR(__xludf.DUMMYFUNCTION("""COMPUTED_VALUE"""),0.0)</f>
        <v>0</v>
      </c>
      <c r="AD706" s="10">
        <f>IFERROR(__xludf.DUMMYFUNCTION("""COMPUTED_VALUE"""),2.0)</f>
        <v>2</v>
      </c>
      <c r="AE706" s="10">
        <f>IFERROR(__xludf.DUMMYFUNCTION("""COMPUTED_VALUE"""),0.0)</f>
        <v>0</v>
      </c>
      <c r="AF706" s="10">
        <f>IFERROR(__xludf.DUMMYFUNCTION("""COMPUTED_VALUE"""),0.0)</f>
        <v>0</v>
      </c>
      <c r="AG706" s="10">
        <f>IFERROR(__xludf.DUMMYFUNCTION("""COMPUTED_VALUE"""),8.0)</f>
        <v>8</v>
      </c>
      <c r="AH706" s="10">
        <f>IFERROR(__xludf.DUMMYFUNCTION("""COMPUTED_VALUE"""),0.0)</f>
        <v>0</v>
      </c>
      <c r="AI706" s="10">
        <f>IFERROR(__xludf.DUMMYFUNCTION("""COMPUTED_VALUE"""),8.0)</f>
        <v>8</v>
      </c>
      <c r="AJ706" s="11" t="str">
        <f>IFERROR(__xludf.DUMMYFUNCTION("""COMPUTED_VALUE"""),"https://drive.google.com/open?id=1sR44X4I-J9ncBdtqwgDDzEaKxmnnhtPV")</f>
        <v>https://drive.google.com/open?id=1sR44X4I-J9ncBdtqwgDDzEaKxmnnhtPV</v>
      </c>
      <c r="AK706" s="12" t="str">
        <f>IFERROR(__xludf.DUMMYFUNCTION("""COMPUTED_VALUE"""),"امام نے عورتوں کی تعلیم کے بارے میں کوئی بات نہیں کی لیکن عورتوں کا مقام اور مرتبہ اسلام نے بتایا ہے  اس کے بارے میں بتایا ہے 
امام کے بیان کی اڈیو کلیئر نہیں تھی اس میں بہت زیادہ شور تھا اس وجہ سے کچھ جملے سمجھ نہیں ائے")</f>
        <v>امام نے عورتوں کی تعلیم کے بارے میں کوئی بات نہیں کی لیکن عورتوں کا مقام اور مرتبہ اسلام نے بتایا ہے  اس کے بارے میں بتایا ہے 
امام کے بیان کی اڈیو کلیئر نہیں تھی اس میں بہت زیادہ شور تھا اس وجہ سے کچھ جملے سمجھ نہیں ائے</v>
      </c>
      <c r="AL706" s="12" t="str">
        <f>IFERROR(__xludf.DUMMYFUNCTION("""COMPUTED_VALUE"""),"Yes")</f>
        <v>Yes</v>
      </c>
      <c r="AM706" s="15">
        <f>IFERROR(__xludf.DUMMYFUNCTION("""COMPUTED_VALUE"""),0.2)</f>
        <v>0.2</v>
      </c>
      <c r="AN706" s="12" t="str">
        <f>IFERROR(__xludf.DUMMYFUNCTION("""COMPUTED_VALUE"""),"2nd week")</f>
        <v>2nd week</v>
      </c>
      <c r="AO706" s="13" t="s">
        <v>9</v>
      </c>
      <c r="AX706" s="17"/>
    </row>
    <row r="707">
      <c r="B707" s="9">
        <f>IFERROR(__xludf.DUMMYFUNCTION("""COMPUTED_VALUE"""),45930.04061457176)</f>
        <v>45930.04061</v>
      </c>
      <c r="C707" s="10" t="str">
        <f>IFERROR(__xludf.DUMMYFUNCTION("""COMPUTED_VALUE"""),"Saira Shahzad ")</f>
        <v>Saira Shahzad </v>
      </c>
      <c r="D707" s="10" t="str">
        <f>IFERROR(__xludf.DUMMYFUNCTION("""COMPUTED_VALUE"""),"03114534696")</f>
        <v>03114534696</v>
      </c>
      <c r="E707" s="10" t="str">
        <f>IFERROR(__xludf.DUMMYFUNCTION("""COMPUTED_VALUE"""),"Jamia Masjid Shiekh Fasal Burewala")</f>
        <v>Jamia Masjid Shiekh Fasal Burewala</v>
      </c>
      <c r="F707" s="10" t="str">
        <f>IFERROR(__xludf.DUMMYFUNCTION("""COMPUTED_VALUE"""),"MJOUE")</f>
        <v>MJOUE</v>
      </c>
      <c r="G707" s="10" t="str">
        <f>IFERROR(__xludf.DUMMYFUNCTION("""COMPUTED_VALUE"""),"No")</f>
        <v>No</v>
      </c>
      <c r="H707" s="10"/>
      <c r="I707" s="10"/>
      <c r="J707" s="10"/>
      <c r="K707" s="10">
        <f>IFERROR(__xludf.DUMMYFUNCTION("""COMPUTED_VALUE"""),0.0)</f>
        <v>0</v>
      </c>
      <c r="L707" s="10">
        <f>IFERROR(__xludf.DUMMYFUNCTION("""COMPUTED_VALUE"""),0.0)</f>
        <v>0</v>
      </c>
      <c r="M707" s="10">
        <f>IFERROR(__xludf.DUMMYFUNCTION("""COMPUTED_VALUE"""),2.0)</f>
        <v>2</v>
      </c>
      <c r="N707" s="10">
        <f>IFERROR(__xludf.DUMMYFUNCTION("""COMPUTED_VALUE"""),0.0)</f>
        <v>0</v>
      </c>
      <c r="O707" s="10">
        <f>IFERROR(__xludf.DUMMYFUNCTION("""COMPUTED_VALUE"""),0.0)</f>
        <v>0</v>
      </c>
      <c r="P707" s="10">
        <f>IFERROR(__xludf.DUMMYFUNCTION("""COMPUTED_VALUE"""),0.0)</f>
        <v>0</v>
      </c>
      <c r="Q707" s="10" t="str">
        <f>IFERROR(__xludf.DUMMYFUNCTION("""COMPUTED_VALUE"""),"No")</f>
        <v>No</v>
      </c>
      <c r="R707" s="10" t="str">
        <f>IFERROR(__xludf.DUMMYFUNCTION("""COMPUTED_VALUE"""),"No")</f>
        <v>No</v>
      </c>
      <c r="S707" s="10" t="str">
        <f>IFERROR(__xludf.DUMMYFUNCTION("""COMPUTED_VALUE"""),"No")</f>
        <v>No</v>
      </c>
      <c r="T707" s="10">
        <f>IFERROR(__xludf.DUMMYFUNCTION("""COMPUTED_VALUE"""),0.0)</f>
        <v>0</v>
      </c>
      <c r="U707" s="10">
        <f>IFERROR(__xludf.DUMMYFUNCTION("""COMPUTED_VALUE"""),0.0)</f>
        <v>0</v>
      </c>
      <c r="V707" s="10" t="str">
        <f>IFERROR(__xludf.DUMMYFUNCTION("""COMPUTED_VALUE"""),"حضور پاک صلی اللہ علیہ وسلم کا ارکان اسلام پر اختیار")</f>
        <v>حضور پاک صلی اللہ علیہ وسلم کا ارکان اسلام پر اختیار</v>
      </c>
      <c r="W707" s="10" t="str">
        <f>IFERROR(__xludf.DUMMYFUNCTION("""COMPUTED_VALUE"""),"امام نے اپنے بیان میں نبی پاک صلی اللہ علیہ والہ وسلم کی شان بیان کی ہے کہ آپ کو دونوں جہانوں کا مالک اور مختار بنا کر بھیجا اور اللہ تعالی جسے چاہتا ہے عزت عطا کرتا ہے اور جسے چاہتا ہے ذلت عطا کرتا ہے اور یہ بیان کیا کہ نبی پاک صلی اللہ علیہ والہ وسلم کو"&amp;" اختیار ہے کہ اگر کوئی مجبور ہے وہ پانچ وقت کی نماز نہیں پڑھ سکتا تو اس کے لیے مختصر کرتے ہیں پر یہ صرف اس کے لیے ہوگا سب کے لیے نہیں اور یہ بھی فرمایا کہ دونوں نمازوں کو اکٹھا کر کے بھی پڑھا جا سکتا ہے لیکن بس اس صورت میں جب کوئی خاص مجبوری ہو اور حضور پ"&amp;"اک صلی اللہ علیہ والہ وسلم چاہتے تو ایک سے زیادہ بار  حج فرض بھی کر سکتے تھے اور تفصیل کے ساتھ گواہوں کی بات کی گئی اور تفصیل سے یہ بیان کیا کہ کن تین موقع پر جھوٹ بولنا جائز ہے قربانی کی تفصیل بیان کی گئی مردوں پر سونا حرام قرار دیا اور یہ بتایا کہ نبی پ"&amp;"اک صلی اللہ علیہ والہ وسلم کو پورا اختیار حاصل تھا آپ نے زمانہ قدیم میں مختلف حالات کے مطابق ارکان اسلام میں تبدیلیاں کی جو کہ کسی مجبوری کے تحت ہی تھی اور سب کے لیے نہیں تھی")</f>
        <v>امام نے اپنے بیان میں نبی پاک صلی اللہ علیہ والہ وسلم کی شان بیان کی ہے کہ آپ کو دونوں جہانوں کا مالک اور مختار بنا کر بھیجا اور اللہ تعالی جسے چاہتا ہے عزت عطا کرتا ہے اور جسے چاہتا ہے ذلت عطا کرتا ہے اور یہ بیان کیا کہ نبی پاک صلی اللہ علیہ والہ وسلم کو اختیار ہے کہ اگر کوئی مجبور ہے وہ پانچ وقت کی نماز نہیں پڑھ سکتا تو اس کے لیے مختصر کرتے ہیں پر یہ صرف اس کے لیے ہوگا سب کے لیے نہیں اور یہ بھی فرمایا کہ دونوں نمازوں کو اکٹھا کر کے بھی پڑھا جا سکتا ہے لیکن بس اس صورت میں جب کوئی خاص مجبوری ہو اور حضور پاک صلی اللہ علیہ والہ وسلم چاہتے تو ایک سے زیادہ بار  حج فرض بھی کر سکتے تھے اور تفصیل کے ساتھ گواہوں کی بات کی گئی اور تفصیل سے یہ بیان کیا کہ کن تین موقع پر جھوٹ بولنا جائز ہے قربانی کی تفصیل بیان کی گئی مردوں پر سونا حرام قرار دیا اور یہ بتایا کہ نبی پاک صلی اللہ علیہ والہ وسلم کو پورا اختیار حاصل تھا آپ نے زمانہ قدیم میں مختلف حالات کے مطابق ارکان اسلام میں تبدیلیاں کی جو کہ کسی مجبوری کے تحت ہی تھی اور سب کے لیے نہیں تھی</v>
      </c>
      <c r="X707" s="10">
        <f>IFERROR(__xludf.DUMMYFUNCTION("""COMPUTED_VALUE"""),6.0)</f>
        <v>6</v>
      </c>
      <c r="Y707" s="10">
        <f>IFERROR(__xludf.DUMMYFUNCTION("""COMPUTED_VALUE"""),6.0)</f>
        <v>6</v>
      </c>
      <c r="Z707" s="10">
        <f>IFERROR(__xludf.DUMMYFUNCTION("""COMPUTED_VALUE"""),6.0)</f>
        <v>6</v>
      </c>
      <c r="AA707" s="10">
        <f>IFERROR(__xludf.DUMMYFUNCTION("""COMPUTED_VALUE"""),8.0)</f>
        <v>8</v>
      </c>
      <c r="AB707" s="10">
        <f>IFERROR(__xludf.DUMMYFUNCTION("""COMPUTED_VALUE"""),8.0)</f>
        <v>8</v>
      </c>
      <c r="AC707" s="10">
        <f>IFERROR(__xludf.DUMMYFUNCTION("""COMPUTED_VALUE"""),0.0)</f>
        <v>0</v>
      </c>
      <c r="AD707" s="10">
        <f>IFERROR(__xludf.DUMMYFUNCTION("""COMPUTED_VALUE"""),1.0)</f>
        <v>1</v>
      </c>
      <c r="AE707" s="10">
        <f>IFERROR(__xludf.DUMMYFUNCTION("""COMPUTED_VALUE"""),5.0)</f>
        <v>5</v>
      </c>
      <c r="AF707" s="10">
        <f>IFERROR(__xludf.DUMMYFUNCTION("""COMPUTED_VALUE"""),8.0)</f>
        <v>8</v>
      </c>
      <c r="AG707" s="10">
        <f>IFERROR(__xludf.DUMMYFUNCTION("""COMPUTED_VALUE"""),8.0)</f>
        <v>8</v>
      </c>
      <c r="AH707" s="10">
        <f>IFERROR(__xludf.DUMMYFUNCTION("""COMPUTED_VALUE"""),0.0)</f>
        <v>0</v>
      </c>
      <c r="AI707" s="10">
        <f>IFERROR(__xludf.DUMMYFUNCTION("""COMPUTED_VALUE"""),8.0)</f>
        <v>8</v>
      </c>
      <c r="AJ707" s="11" t="str">
        <f>IFERROR(__xludf.DUMMYFUNCTION("""COMPUTED_VALUE"""),"https://drive.google.com/open?id=19IoxhpEa1JbkhJAy1u_riC5LXZfPpwJTp-c7P1U6Hes")</f>
        <v>https://drive.google.com/open?id=19IoxhpEa1JbkhJAy1u_riC5LXZfPpwJTp-c7P1U6Hes</v>
      </c>
      <c r="AK707" s="12" t="str">
        <f>IFERROR(__xludf.DUMMYFUNCTION("""COMPUTED_VALUE"""),"No")</f>
        <v>No</v>
      </c>
      <c r="AL707" s="12"/>
      <c r="AM707" s="12"/>
      <c r="AN707" s="12" t="str">
        <f>IFERROR(__xludf.DUMMYFUNCTION("""COMPUTED_VALUE"""),"2nd week")</f>
        <v>2nd week</v>
      </c>
      <c r="AO707" s="13">
        <v>2.0</v>
      </c>
      <c r="AX707" s="17"/>
    </row>
    <row r="708">
      <c r="B708" s="9">
        <f>IFERROR(__xludf.DUMMYFUNCTION("""COMPUTED_VALUE"""),45930.21066863426)</f>
        <v>45930.21067</v>
      </c>
      <c r="C708" s="10" t="str">
        <f>IFERROR(__xludf.DUMMYFUNCTION("""COMPUTED_VALUE"""),"Asma Gul ")</f>
        <v>Asma Gul </v>
      </c>
      <c r="D708" s="10" t="str">
        <f>IFERROR(__xludf.DUMMYFUNCTION("""COMPUTED_VALUE"""),"03459309620")</f>
        <v>03459309620</v>
      </c>
      <c r="E708" s="10" t="str">
        <f>IFERROR(__xludf.DUMMYFUNCTION("""COMPUTED_VALUE"""),"Jamie Masjid Badar Ul Din Eshaq Pakpattan")</f>
        <v>Jamie Masjid Badar Ul Din Eshaq Pakpattan</v>
      </c>
      <c r="F708" s="10" t="str">
        <f>IFERROR(__xludf.DUMMYFUNCTION("""COMPUTED_VALUE"""),"PTTHF")</f>
        <v>PTTHF</v>
      </c>
      <c r="G708" s="10" t="str">
        <f>IFERROR(__xludf.DUMMYFUNCTION("""COMPUTED_VALUE"""),"Yes")</f>
        <v>Yes</v>
      </c>
      <c r="H708" s="10">
        <f>IFERROR(__xludf.DUMMYFUNCTION("""COMPUTED_VALUE"""),9.0)</f>
        <v>9</v>
      </c>
      <c r="I708" s="10">
        <f>IFERROR(__xludf.DUMMYFUNCTION("""COMPUTED_VALUE"""),1.0)</f>
        <v>1</v>
      </c>
      <c r="J708" s="10">
        <f>IFERROR(__xludf.DUMMYFUNCTION("""COMPUTED_VALUE"""),9.0)</f>
        <v>9</v>
      </c>
      <c r="K708" s="10">
        <f>IFERROR(__xludf.DUMMYFUNCTION("""COMPUTED_VALUE"""),0.0)</f>
        <v>0</v>
      </c>
      <c r="L708" s="10">
        <f>IFERROR(__xludf.DUMMYFUNCTION("""COMPUTED_VALUE"""),9.0)</f>
        <v>9</v>
      </c>
      <c r="M708" s="10">
        <f>IFERROR(__xludf.DUMMYFUNCTION("""COMPUTED_VALUE"""),0.0)</f>
        <v>0</v>
      </c>
      <c r="N708" s="10">
        <f>IFERROR(__xludf.DUMMYFUNCTION("""COMPUTED_VALUE"""),8.0)</f>
        <v>8</v>
      </c>
      <c r="O708" s="10">
        <f>IFERROR(__xludf.DUMMYFUNCTION("""COMPUTED_VALUE"""),0.0)</f>
        <v>0</v>
      </c>
      <c r="P708" s="10">
        <f>IFERROR(__xludf.DUMMYFUNCTION("""COMPUTED_VALUE"""),9.0)</f>
        <v>9</v>
      </c>
      <c r="Q708" s="10" t="str">
        <f>IFERROR(__xludf.DUMMYFUNCTION("""COMPUTED_VALUE"""),"No")</f>
        <v>No</v>
      </c>
      <c r="R708" s="10" t="str">
        <f>IFERROR(__xludf.DUMMYFUNCTION("""COMPUTED_VALUE"""),"No")</f>
        <v>No</v>
      </c>
      <c r="S708" s="10" t="str">
        <f>IFERROR(__xludf.DUMMYFUNCTION("""COMPUTED_VALUE"""),"No")</f>
        <v>No</v>
      </c>
      <c r="T708" s="10">
        <f>IFERROR(__xludf.DUMMYFUNCTION("""COMPUTED_VALUE"""),0.0)</f>
        <v>0</v>
      </c>
      <c r="U708" s="10">
        <f>IFERROR(__xludf.DUMMYFUNCTION("""COMPUTED_VALUE"""),0.0)</f>
        <v>0</v>
      </c>
      <c r="V708" s="10" t="str">
        <f>IFERROR(__xludf.DUMMYFUNCTION("""COMPUTED_VALUE"""),"پڑوسیوں کے حقوق اور مومن کی پہچان")</f>
        <v>پڑوسیوں کے حقوق اور مومن کی پہچان</v>
      </c>
      <c r="W708" s="10" t="str">
        <f>IFERROR(__xludf.DUMMYFUNCTION("""COMPUTED_VALUE"""),"اسلام میں پڑوسیوں کے حقوق کی بڑی اہمیت ہے، اور سچا مومن وہ ہے جس کے شر سے اس کا پڑوسی محفوظ رہے۔ پڑوسی کی خوشی اور غم میں شریک ہونا، اس کی ضرورت پوری کرنا اور مدد کرنا ایمان کا حصہ ہے۔ جو مسلمان اپنے پڑوسی کو سکون اور آسانی دے گا، اللہ تعالیٰ بھی اس کے لی"&amp;"ے زندگی میں آسانیاں پیدا کرے گا۔
")</f>
        <v>اسلام میں پڑوسیوں کے حقوق کی بڑی اہمیت ہے، اور سچا مومن وہ ہے جس کے شر سے اس کا پڑوسی محفوظ رہے۔ پڑوسی کی خوشی اور غم میں شریک ہونا، اس کی ضرورت پوری کرنا اور مدد کرنا ایمان کا حصہ ہے۔ جو مسلمان اپنے پڑوسی کو سکون اور آسانی دے گا، اللہ تعالیٰ بھی اس کے لیے زندگی میں آسانیاں پیدا کرے گا۔
</v>
      </c>
      <c r="X708" s="10">
        <f>IFERROR(__xludf.DUMMYFUNCTION("""COMPUTED_VALUE"""),2.0)</f>
        <v>2</v>
      </c>
      <c r="Y708" s="10">
        <f>IFERROR(__xludf.DUMMYFUNCTION("""COMPUTED_VALUE"""),9.0)</f>
        <v>9</v>
      </c>
      <c r="Z708" s="10">
        <f>IFERROR(__xludf.DUMMYFUNCTION("""COMPUTED_VALUE"""),9.0)</f>
        <v>9</v>
      </c>
      <c r="AA708" s="10">
        <f>IFERROR(__xludf.DUMMYFUNCTION("""COMPUTED_VALUE"""),8.0)</f>
        <v>8</v>
      </c>
      <c r="AB708" s="10">
        <f>IFERROR(__xludf.DUMMYFUNCTION("""COMPUTED_VALUE"""),2.0)</f>
        <v>2</v>
      </c>
      <c r="AC708" s="10">
        <f>IFERROR(__xludf.DUMMYFUNCTION("""COMPUTED_VALUE"""),0.0)</f>
        <v>0</v>
      </c>
      <c r="AD708" s="10">
        <f>IFERROR(__xludf.DUMMYFUNCTION("""COMPUTED_VALUE"""),0.0)</f>
        <v>0</v>
      </c>
      <c r="AE708" s="10">
        <f>IFERROR(__xludf.DUMMYFUNCTION("""COMPUTED_VALUE"""),8.0)</f>
        <v>8</v>
      </c>
      <c r="AF708" s="10">
        <f>IFERROR(__xludf.DUMMYFUNCTION("""COMPUTED_VALUE"""),0.0)</f>
        <v>0</v>
      </c>
      <c r="AG708" s="10">
        <f>IFERROR(__xludf.DUMMYFUNCTION("""COMPUTED_VALUE"""),9.0)</f>
        <v>9</v>
      </c>
      <c r="AH708" s="10">
        <f>IFERROR(__xludf.DUMMYFUNCTION("""COMPUTED_VALUE"""),0.0)</f>
        <v>0</v>
      </c>
      <c r="AI708" s="10">
        <f>IFERROR(__xludf.DUMMYFUNCTION("""COMPUTED_VALUE"""),8.0)</f>
        <v>8</v>
      </c>
      <c r="AJ708" s="11" t="str">
        <f>IFERROR(__xludf.DUMMYFUNCTION("""COMPUTED_VALUE"""),"https://drive.google.com/open?id=1vgy9Nq0q4cen_KDDblmolsAUmhiZ29nk")</f>
        <v>https://drive.google.com/open?id=1vgy9Nq0q4cen_KDDblmolsAUmhiZ29nk</v>
      </c>
      <c r="AK708" s="12"/>
      <c r="AL708" s="12" t="str">
        <f>IFERROR(__xludf.DUMMYFUNCTION("""COMPUTED_VALUE"""),"Yes")</f>
        <v>Yes</v>
      </c>
      <c r="AM708" s="15">
        <f>IFERROR(__xludf.DUMMYFUNCTION("""COMPUTED_VALUE"""),0.9)</f>
        <v>0.9</v>
      </c>
      <c r="AN708" s="12" t="str">
        <f>IFERROR(__xludf.DUMMYFUNCTION("""COMPUTED_VALUE"""),"2nd week")</f>
        <v>2nd week</v>
      </c>
      <c r="AO708" s="13">
        <v>2.0</v>
      </c>
      <c r="AX708" s="17"/>
    </row>
    <row r="709">
      <c r="B709" s="9">
        <f>IFERROR(__xludf.DUMMYFUNCTION("""COMPUTED_VALUE"""),45930.448076562505)</f>
        <v>45930.44808</v>
      </c>
      <c r="C709" s="10" t="str">
        <f>IFERROR(__xludf.DUMMYFUNCTION("""COMPUTED_VALUE"""),"Maham ")</f>
        <v>Maham </v>
      </c>
      <c r="D709" s="10" t="str">
        <f>IFERROR(__xludf.DUMMYFUNCTION("""COMPUTED_VALUE"""),"03218118680")</f>
        <v>03218118680</v>
      </c>
      <c r="E709" s="10" t="str">
        <f>IFERROR(__xludf.DUMMYFUNCTION("""COMPUTED_VALUE"""),"Jamia Masjid Awis Darbar Dawaan Chawali Mushad Burewala")</f>
        <v>Jamia Masjid Awis Darbar Dawaan Chawali Mushad Burewala</v>
      </c>
      <c r="F709" s="10" t="str">
        <f>IFERROR(__xludf.DUMMYFUNCTION("""COMPUTED_VALUE"""),"NDPFG")</f>
        <v>NDPFG</v>
      </c>
      <c r="G709" s="10" t="str">
        <f>IFERROR(__xludf.DUMMYFUNCTION("""COMPUTED_VALUE"""),"No")</f>
        <v>No</v>
      </c>
      <c r="H709" s="10"/>
      <c r="I709" s="10"/>
      <c r="J709" s="10"/>
      <c r="K709" s="10">
        <f>IFERROR(__xludf.DUMMYFUNCTION("""COMPUTED_VALUE"""),0.0)</f>
        <v>0</v>
      </c>
      <c r="L709" s="10">
        <f>IFERROR(__xludf.DUMMYFUNCTION("""COMPUTED_VALUE"""),2.0)</f>
        <v>2</v>
      </c>
      <c r="M709" s="10">
        <f>IFERROR(__xludf.DUMMYFUNCTION("""COMPUTED_VALUE"""),0.0)</f>
        <v>0</v>
      </c>
      <c r="N709" s="10">
        <f>IFERROR(__xludf.DUMMYFUNCTION("""COMPUTED_VALUE"""),1.0)</f>
        <v>1</v>
      </c>
      <c r="O709" s="10">
        <f>IFERROR(__xludf.DUMMYFUNCTION("""COMPUTED_VALUE"""),0.0)</f>
        <v>0</v>
      </c>
      <c r="P709" s="10">
        <f>IFERROR(__xludf.DUMMYFUNCTION("""COMPUTED_VALUE"""),0.0)</f>
        <v>0</v>
      </c>
      <c r="Q709" s="10" t="str">
        <f>IFERROR(__xludf.DUMMYFUNCTION("""COMPUTED_VALUE"""),"No")</f>
        <v>No</v>
      </c>
      <c r="R709" s="10" t="str">
        <f>IFERROR(__xludf.DUMMYFUNCTION("""COMPUTED_VALUE"""),"No")</f>
        <v>No</v>
      </c>
      <c r="S709" s="10" t="str">
        <f>IFERROR(__xludf.DUMMYFUNCTION("""COMPUTED_VALUE"""),"No")</f>
        <v>No</v>
      </c>
      <c r="T709" s="10">
        <f>IFERROR(__xludf.DUMMYFUNCTION("""COMPUTED_VALUE"""),0.0)</f>
        <v>0</v>
      </c>
      <c r="U709" s="10">
        <f>IFERROR(__xludf.DUMMYFUNCTION("""COMPUTED_VALUE"""),0.0)</f>
        <v>0</v>
      </c>
      <c r="V709" s="10" t="str">
        <f>IFERROR(__xludf.DUMMYFUNCTION("""COMPUTED_VALUE"""),"نبی کریم صلی اللہ علیہ والہ وسلم کی اطاعت نبوت کی نشانیاں نبی کریم صلی اللہ علیہ والہ وسلم کا دین اسلام میں صبر و استقلال کی مثال ہمسائے کے مال کی حفاظت صحابہ کا نبی کریم صلی اللہ علیہ والہ وسلم سے محبت کا جذبہ")</f>
        <v>نبی کریم صلی اللہ علیہ والہ وسلم کی اطاعت نبوت کی نشانیاں نبی کریم صلی اللہ علیہ والہ وسلم کا دین اسلام میں صبر و استقلال کی مثال ہمسائے کے مال کی حفاظت صحابہ کا نبی کریم صلی اللہ علیہ والہ وسلم سے محبت کا جذبہ</v>
      </c>
      <c r="W709" s="10" t="str">
        <f>IFERROR(__xludf.DUMMYFUNCTION("""COMPUTED_VALUE"""),"نبی کریم صلی اللہ علیہ والہ وسلم کی اطاعت کے ذریعے ہی دنیا و اخرت میں کامیابی ممکن ہے نبی کریم صلی اللہ علیہ وسلم کی نبوت کی نشانیوں کو بیان کیا گیا جب حضرت سلیمان فارسی نے نبی کریم صلی اللہ علیہ وسلم کی تلاش کی غزوہ حنین کے موقع پہ نبی کریم صلی اللہ علیہ"&amp;" وسلم کا صبر پیٹ پر پتھر باندھ کر مثال قائم کی ہمسائے کی کوئی بھی چیز اپ کے گھر کے لیے تو وہ اس کی امانت ہوتی ہے اس کی حفاظت کرنا اپ کا فرض ہے")</f>
        <v>نبی کریم صلی اللہ علیہ والہ وسلم کی اطاعت کے ذریعے ہی دنیا و اخرت میں کامیابی ممکن ہے نبی کریم صلی اللہ علیہ وسلم کی نبوت کی نشانیوں کو بیان کیا گیا جب حضرت سلیمان فارسی نے نبی کریم صلی اللہ علیہ وسلم کی تلاش کی غزوہ حنین کے موقع پہ نبی کریم صلی اللہ علیہ وسلم کا صبر پیٹ پر پتھر باندھ کر مثال قائم کی ہمسائے کی کوئی بھی چیز اپ کے گھر کے لیے تو وہ اس کی امانت ہوتی ہے اس کی حفاظت کرنا اپ کا فرض ہے</v>
      </c>
      <c r="X709" s="10">
        <f>IFERROR(__xludf.DUMMYFUNCTION("""COMPUTED_VALUE"""),7.0)</f>
        <v>7</v>
      </c>
      <c r="Y709" s="10">
        <f>IFERROR(__xludf.DUMMYFUNCTION("""COMPUTED_VALUE"""),3.0)</f>
        <v>3</v>
      </c>
      <c r="Z709" s="10">
        <f>IFERROR(__xludf.DUMMYFUNCTION("""COMPUTED_VALUE"""),2.0)</f>
        <v>2</v>
      </c>
      <c r="AA709" s="10">
        <f>IFERROR(__xludf.DUMMYFUNCTION("""COMPUTED_VALUE"""),7.0)</f>
        <v>7</v>
      </c>
      <c r="AB709" s="10">
        <f>IFERROR(__xludf.DUMMYFUNCTION("""COMPUTED_VALUE"""),3.0)</f>
        <v>3</v>
      </c>
      <c r="AC709" s="10">
        <f>IFERROR(__xludf.DUMMYFUNCTION("""COMPUTED_VALUE"""),0.0)</f>
        <v>0</v>
      </c>
      <c r="AD709" s="10">
        <f>IFERROR(__xludf.DUMMYFUNCTION("""COMPUTED_VALUE"""),0.0)</f>
        <v>0</v>
      </c>
      <c r="AE709" s="10">
        <f>IFERROR(__xludf.DUMMYFUNCTION("""COMPUTED_VALUE"""),0.0)</f>
        <v>0</v>
      </c>
      <c r="AF709" s="10">
        <f>IFERROR(__xludf.DUMMYFUNCTION("""COMPUTED_VALUE"""),2.0)</f>
        <v>2</v>
      </c>
      <c r="AG709" s="10">
        <f>IFERROR(__xludf.DUMMYFUNCTION("""COMPUTED_VALUE"""),8.0)</f>
        <v>8</v>
      </c>
      <c r="AH709" s="10">
        <f>IFERROR(__xludf.DUMMYFUNCTION("""COMPUTED_VALUE"""),0.0)</f>
        <v>0</v>
      </c>
      <c r="AI709" s="10">
        <f>IFERROR(__xludf.DUMMYFUNCTION("""COMPUTED_VALUE"""),8.0)</f>
        <v>8</v>
      </c>
      <c r="AJ709" s="11" t="str">
        <f>IFERROR(__xludf.DUMMYFUNCTION("""COMPUTED_VALUE"""),"https://drive.google.com/open?id=1uFQdGVBKWPBBp4THYT_Fft2EMoL5XkI0")</f>
        <v>https://drive.google.com/open?id=1uFQdGVBKWPBBp4THYT_Fft2EMoL5XkI0</v>
      </c>
      <c r="AK709" s="12"/>
      <c r="AL709" s="12"/>
      <c r="AM709" s="12"/>
      <c r="AN709" s="12" t="str">
        <f>IFERROR(__xludf.DUMMYFUNCTION("""COMPUTED_VALUE"""),"2nd week")</f>
        <v>2nd week</v>
      </c>
      <c r="AO709" s="13">
        <v>2.0</v>
      </c>
      <c r="AX709" s="17"/>
    </row>
    <row r="710">
      <c r="B710" s="9">
        <f>IFERROR(__xludf.DUMMYFUNCTION("""COMPUTED_VALUE"""),45930.45522361111)</f>
        <v>45930.45522</v>
      </c>
      <c r="C710" s="10" t="str">
        <f>IFERROR(__xludf.DUMMYFUNCTION("""COMPUTED_VALUE"""),"Maham ")</f>
        <v>Maham </v>
      </c>
      <c r="D710" s="10" t="str">
        <f>IFERROR(__xludf.DUMMYFUNCTION("""COMPUTED_VALUE"""),"03218118680")</f>
        <v>03218118680</v>
      </c>
      <c r="E710" s="10" t="str">
        <f>IFERROR(__xludf.DUMMYFUNCTION("""COMPUTED_VALUE"""),"Jamia Masjid Darbar Muhammad Ghous Bala Peer Okara")</f>
        <v>Jamia Masjid Darbar Muhammad Ghous Bala Peer Okara</v>
      </c>
      <c r="F710" s="10" t="str">
        <f>IFERROR(__xludf.DUMMYFUNCTION("""COMPUTED_VALUE"""),"VTGKG")</f>
        <v>VTGKG</v>
      </c>
      <c r="G710" s="10" t="str">
        <f>IFERROR(__xludf.DUMMYFUNCTION("""COMPUTED_VALUE"""),"Yes")</f>
        <v>Yes</v>
      </c>
      <c r="H710" s="10">
        <f>IFERROR(__xludf.DUMMYFUNCTION("""COMPUTED_VALUE"""),2.0)</f>
        <v>2</v>
      </c>
      <c r="I710" s="10">
        <f>IFERROR(__xludf.DUMMYFUNCTION("""COMPUTED_VALUE"""),8.0)</f>
        <v>8</v>
      </c>
      <c r="J710" s="10">
        <f>IFERROR(__xludf.DUMMYFUNCTION("""COMPUTED_VALUE"""),5.0)</f>
        <v>5</v>
      </c>
      <c r="K710" s="10">
        <f>IFERROR(__xludf.DUMMYFUNCTION("""COMPUTED_VALUE"""),5.0)</f>
        <v>5</v>
      </c>
      <c r="L710" s="10">
        <f>IFERROR(__xludf.DUMMYFUNCTION("""COMPUTED_VALUE"""),0.0)</f>
        <v>0</v>
      </c>
      <c r="M710" s="10">
        <f>IFERROR(__xludf.DUMMYFUNCTION("""COMPUTED_VALUE"""),4.0)</f>
        <v>4</v>
      </c>
      <c r="N710" s="10">
        <f>IFERROR(__xludf.DUMMYFUNCTION("""COMPUTED_VALUE"""),0.0)</f>
        <v>0</v>
      </c>
      <c r="O710" s="10">
        <f>IFERROR(__xludf.DUMMYFUNCTION("""COMPUTED_VALUE"""),1.0)</f>
        <v>1</v>
      </c>
      <c r="P710" s="10">
        <f>IFERROR(__xludf.DUMMYFUNCTION("""COMPUTED_VALUE"""),0.0)</f>
        <v>0</v>
      </c>
      <c r="Q710" s="10" t="str">
        <f>IFERROR(__xludf.DUMMYFUNCTION("""COMPUTED_VALUE"""),"No")</f>
        <v>No</v>
      </c>
      <c r="R710" s="10" t="str">
        <f>IFERROR(__xludf.DUMMYFUNCTION("""COMPUTED_VALUE"""),"No")</f>
        <v>No</v>
      </c>
      <c r="S710" s="10" t="str">
        <f>IFERROR(__xludf.DUMMYFUNCTION("""COMPUTED_VALUE"""),"No")</f>
        <v>No</v>
      </c>
      <c r="T710" s="10">
        <f>IFERROR(__xludf.DUMMYFUNCTION("""COMPUTED_VALUE"""),0.0)</f>
        <v>0</v>
      </c>
      <c r="U710" s="10">
        <f>IFERROR(__xludf.DUMMYFUNCTION("""COMPUTED_VALUE"""),0.0)</f>
        <v>0</v>
      </c>
      <c r="V710" s="10" t="str">
        <f>IFERROR(__xludf.DUMMYFUNCTION("""COMPUTED_VALUE"""),"عورتوں کے حقوق اور رزق حلال")</f>
        <v>عورتوں کے حقوق اور رزق حلال</v>
      </c>
      <c r="W710" s="10" t="str">
        <f>IFERROR(__xludf.DUMMYFUNCTION("""COMPUTED_VALUE"""),"اسلام سے پہلے اور اسلام کے بعد عورت کے حقوق بہترین رزق وہ ہے جو حلال روزی سے حاصل ہو حلال رزق سے بننے والا جسم کے عضو پر جنت واجب اور حرام کمائی سے جسم کا عضو بننے پر جہنم لازم ہو جاتی ہےحرام اور حلال میں فرق")</f>
        <v>اسلام سے پہلے اور اسلام کے بعد عورت کے حقوق بہترین رزق وہ ہے جو حلال روزی سے حاصل ہو حلال رزق سے بننے والا جسم کے عضو پر جنت واجب اور حرام کمائی سے جسم کا عضو بننے پر جہنم لازم ہو جاتی ہےحرام اور حلال میں فرق</v>
      </c>
      <c r="X710" s="10">
        <f>IFERROR(__xludf.DUMMYFUNCTION("""COMPUTED_VALUE"""),5.0)</f>
        <v>5</v>
      </c>
      <c r="Y710" s="10">
        <f>IFERROR(__xludf.DUMMYFUNCTION("""COMPUTED_VALUE"""),5.0)</f>
        <v>5</v>
      </c>
      <c r="Z710" s="10">
        <f>IFERROR(__xludf.DUMMYFUNCTION("""COMPUTED_VALUE"""),3.0)</f>
        <v>3</v>
      </c>
      <c r="AA710" s="10">
        <f>IFERROR(__xludf.DUMMYFUNCTION("""COMPUTED_VALUE"""),7.0)</f>
        <v>7</v>
      </c>
      <c r="AB710" s="10">
        <f>IFERROR(__xludf.DUMMYFUNCTION("""COMPUTED_VALUE"""),3.0)</f>
        <v>3</v>
      </c>
      <c r="AC710" s="10">
        <f>IFERROR(__xludf.DUMMYFUNCTION("""COMPUTED_VALUE"""),0.0)</f>
        <v>0</v>
      </c>
      <c r="AD710" s="10">
        <f>IFERROR(__xludf.DUMMYFUNCTION("""COMPUTED_VALUE"""),2.0)</f>
        <v>2</v>
      </c>
      <c r="AE710" s="10">
        <f>IFERROR(__xludf.DUMMYFUNCTION("""COMPUTED_VALUE"""),0.0)</f>
        <v>0</v>
      </c>
      <c r="AF710" s="10">
        <f>IFERROR(__xludf.DUMMYFUNCTION("""COMPUTED_VALUE"""),2.0)</f>
        <v>2</v>
      </c>
      <c r="AG710" s="10">
        <f>IFERROR(__xludf.DUMMYFUNCTION("""COMPUTED_VALUE"""),8.0)</f>
        <v>8</v>
      </c>
      <c r="AH710" s="10">
        <f>IFERROR(__xludf.DUMMYFUNCTION("""COMPUTED_VALUE"""),0.0)</f>
        <v>0</v>
      </c>
      <c r="AI710" s="10">
        <f>IFERROR(__xludf.DUMMYFUNCTION("""COMPUTED_VALUE"""),7.0)</f>
        <v>7</v>
      </c>
      <c r="AJ710" s="11" t="str">
        <f>IFERROR(__xludf.DUMMYFUNCTION("""COMPUTED_VALUE"""),"https://drive.google.com/open?id=1mmlwDHEVndmd5MLmXalewBmhDqhC2W5L")</f>
        <v>https://drive.google.com/open?id=1mmlwDHEVndmd5MLmXalewBmhDqhC2W5L</v>
      </c>
      <c r="AK710" s="12"/>
      <c r="AL710" s="12" t="str">
        <f>IFERROR(__xludf.DUMMYFUNCTION("""COMPUTED_VALUE"""),"Yes")</f>
        <v>Yes</v>
      </c>
      <c r="AM710" s="15">
        <f>IFERROR(__xludf.DUMMYFUNCTION("""COMPUTED_VALUE"""),0.4)</f>
        <v>0.4</v>
      </c>
      <c r="AN710" s="12" t="str">
        <f>IFERROR(__xludf.DUMMYFUNCTION("""COMPUTED_VALUE"""),"2nd week")</f>
        <v>2nd week</v>
      </c>
      <c r="AO710" s="13">
        <v>2.0</v>
      </c>
      <c r="AX710" s="17"/>
    </row>
    <row r="711">
      <c r="B711" s="9">
        <f>IFERROR(__xludf.DUMMYFUNCTION("""COMPUTED_VALUE"""),45930.459202488426)</f>
        <v>45930.4592</v>
      </c>
      <c r="C711" s="10" t="str">
        <f>IFERROR(__xludf.DUMMYFUNCTION("""COMPUTED_VALUE"""),"Maham")</f>
        <v>Maham</v>
      </c>
      <c r="D711" s="10" t="str">
        <f>IFERROR(__xludf.DUMMYFUNCTION("""COMPUTED_VALUE"""),"03218118680")</f>
        <v>03218118680</v>
      </c>
      <c r="E711" s="10" t="str">
        <f>IFERROR(__xludf.DUMMYFUNCTION("""COMPUTED_VALUE"""),"Jamia Masjid Usmanai Gol Chowk Okara")</f>
        <v>Jamia Masjid Usmanai Gol Chowk Okara</v>
      </c>
      <c r="F711" s="10" t="str">
        <f>IFERROR(__xludf.DUMMYFUNCTION("""COMPUTED_VALUE"""),"KGQJV")</f>
        <v>KGQJV</v>
      </c>
      <c r="G711" s="10" t="str">
        <f>IFERROR(__xludf.DUMMYFUNCTION("""COMPUTED_VALUE"""),"Yes")</f>
        <v>Yes</v>
      </c>
      <c r="H711" s="10">
        <f>IFERROR(__xludf.DUMMYFUNCTION("""COMPUTED_VALUE"""),2.0)</f>
        <v>2</v>
      </c>
      <c r="I711" s="10">
        <f>IFERROR(__xludf.DUMMYFUNCTION("""COMPUTED_VALUE"""),8.0)</f>
        <v>8</v>
      </c>
      <c r="J711" s="10">
        <f>IFERROR(__xludf.DUMMYFUNCTION("""COMPUTED_VALUE"""),2.0)</f>
        <v>2</v>
      </c>
      <c r="K711" s="10">
        <f>IFERROR(__xludf.DUMMYFUNCTION("""COMPUTED_VALUE"""),0.0)</f>
        <v>0</v>
      </c>
      <c r="L711" s="10">
        <f>IFERROR(__xludf.DUMMYFUNCTION("""COMPUTED_VALUE"""),0.0)</f>
        <v>0</v>
      </c>
      <c r="M711" s="10">
        <f>IFERROR(__xludf.DUMMYFUNCTION("""COMPUTED_VALUE"""),0.0)</f>
        <v>0</v>
      </c>
      <c r="N711" s="10">
        <f>IFERROR(__xludf.DUMMYFUNCTION("""COMPUTED_VALUE"""),0.0)</f>
        <v>0</v>
      </c>
      <c r="O711" s="10">
        <f>IFERROR(__xludf.DUMMYFUNCTION("""COMPUTED_VALUE"""),0.0)</f>
        <v>0</v>
      </c>
      <c r="P711" s="10">
        <f>IFERROR(__xludf.DUMMYFUNCTION("""COMPUTED_VALUE"""),0.0)</f>
        <v>0</v>
      </c>
      <c r="Q711" s="10" t="str">
        <f>IFERROR(__xludf.DUMMYFUNCTION("""COMPUTED_VALUE"""),"No")</f>
        <v>No</v>
      </c>
      <c r="R711" s="10" t="str">
        <f>IFERROR(__xludf.DUMMYFUNCTION("""COMPUTED_VALUE"""),"No")</f>
        <v>No</v>
      </c>
      <c r="S711" s="10" t="str">
        <f>IFERROR(__xludf.DUMMYFUNCTION("""COMPUTED_VALUE"""),"No")</f>
        <v>No</v>
      </c>
      <c r="T711" s="10">
        <f>IFERROR(__xludf.DUMMYFUNCTION("""COMPUTED_VALUE"""),0.0)</f>
        <v>0</v>
      </c>
      <c r="U711" s="10">
        <f>IFERROR(__xludf.DUMMYFUNCTION("""COMPUTED_VALUE"""),0.0)</f>
        <v>0</v>
      </c>
      <c r="V711" s="10" t="str">
        <f>IFERROR(__xludf.DUMMYFUNCTION("""COMPUTED_VALUE"""),"مساجد کا معاشرتی کردار اللہ تعالی کی وحدانیت")</f>
        <v>مساجد کا معاشرتی کردار اللہ تعالی کی وحدانیت</v>
      </c>
      <c r="W711" s="10" t="str">
        <f>IFERROR(__xludf.DUMMYFUNCTION("""COMPUTED_VALUE"""),"مساجد کی عظمت کو بیان کیا گیا مساجد کا معاشرتی کردار بیان کیا گیا مساجد کے مقاصد کو بیان کیا گیا اور اللہ تعالی کی وحدانیت کو بیان کیا گیا اللہ تعالی واحد و یکتا ہے وہ بے نیاز ہے نہ اس کو کسی نے جنا نہ وہ کسی سے جنا گیا")</f>
        <v>مساجد کی عظمت کو بیان کیا گیا مساجد کا معاشرتی کردار بیان کیا گیا مساجد کے مقاصد کو بیان کیا گیا اور اللہ تعالی کی وحدانیت کو بیان کیا گیا اللہ تعالی واحد و یکتا ہے وہ بے نیاز ہے نہ اس کو کسی نے جنا نہ وہ کسی سے جنا گیا</v>
      </c>
      <c r="X711" s="10">
        <f>IFERROR(__xludf.DUMMYFUNCTION("""COMPUTED_VALUE"""),9.0)</f>
        <v>9</v>
      </c>
      <c r="Y711" s="10">
        <f>IFERROR(__xludf.DUMMYFUNCTION("""COMPUTED_VALUE"""),1.0)</f>
        <v>1</v>
      </c>
      <c r="Z711" s="10">
        <f>IFERROR(__xludf.DUMMYFUNCTION("""COMPUTED_VALUE"""),3.0)</f>
        <v>3</v>
      </c>
      <c r="AA711" s="10">
        <f>IFERROR(__xludf.DUMMYFUNCTION("""COMPUTED_VALUE"""),8.0)</f>
        <v>8</v>
      </c>
      <c r="AB711" s="10">
        <f>IFERROR(__xludf.DUMMYFUNCTION("""COMPUTED_VALUE"""),2.0)</f>
        <v>2</v>
      </c>
      <c r="AC711" s="10">
        <f>IFERROR(__xludf.DUMMYFUNCTION("""COMPUTED_VALUE"""),0.0)</f>
        <v>0</v>
      </c>
      <c r="AD711" s="10">
        <f>IFERROR(__xludf.DUMMYFUNCTION("""COMPUTED_VALUE"""),1.0)</f>
        <v>1</v>
      </c>
      <c r="AE711" s="10">
        <f>IFERROR(__xludf.DUMMYFUNCTION("""COMPUTED_VALUE"""),0.0)</f>
        <v>0</v>
      </c>
      <c r="AF711" s="10">
        <f>IFERROR(__xludf.DUMMYFUNCTION("""COMPUTED_VALUE"""),2.0)</f>
        <v>2</v>
      </c>
      <c r="AG711" s="10">
        <f>IFERROR(__xludf.DUMMYFUNCTION("""COMPUTED_VALUE"""),8.0)</f>
        <v>8</v>
      </c>
      <c r="AH711" s="10">
        <f>IFERROR(__xludf.DUMMYFUNCTION("""COMPUTED_VALUE"""),0.0)</f>
        <v>0</v>
      </c>
      <c r="AI711" s="10">
        <f>IFERROR(__xludf.DUMMYFUNCTION("""COMPUTED_VALUE"""),7.0)</f>
        <v>7</v>
      </c>
      <c r="AJ711" s="11" t="str">
        <f>IFERROR(__xludf.DUMMYFUNCTION("""COMPUTED_VALUE"""),"https://drive.google.com/open?id=1QFFFiGLI8K2e1kryadP-JmHuP-WO6Hi5")</f>
        <v>https://drive.google.com/open?id=1QFFFiGLI8K2e1kryadP-JmHuP-WO6Hi5</v>
      </c>
      <c r="AK711" s="12"/>
      <c r="AL711" s="12" t="str">
        <f>IFERROR(__xludf.DUMMYFUNCTION("""COMPUTED_VALUE"""),"Yes")</f>
        <v>Yes</v>
      </c>
      <c r="AM711" s="15">
        <f>IFERROR(__xludf.DUMMYFUNCTION("""COMPUTED_VALUE"""),0.2)</f>
        <v>0.2</v>
      </c>
      <c r="AN711" s="12" t="str">
        <f>IFERROR(__xludf.DUMMYFUNCTION("""COMPUTED_VALUE"""),"2nd week")</f>
        <v>2nd week</v>
      </c>
      <c r="AO711" s="13">
        <v>2.0</v>
      </c>
      <c r="AX711" s="17"/>
    </row>
    <row r="712">
      <c r="B712" s="9">
        <f>IFERROR(__xludf.DUMMYFUNCTION("""COMPUTED_VALUE"""),45930.45974517361)</f>
        <v>45930.45975</v>
      </c>
      <c r="C712" s="10" t="str">
        <f>IFERROR(__xludf.DUMMYFUNCTION("""COMPUTED_VALUE"""),"Arti Kumari ")</f>
        <v>Arti Kumari </v>
      </c>
      <c r="D712" s="10" t="str">
        <f>IFERROR(__xludf.DUMMYFUNCTION("""COMPUTED_VALUE"""),"03346661865")</f>
        <v>03346661865</v>
      </c>
      <c r="E712" s="10" t="str">
        <f>IFERROR(__xludf.DUMMYFUNCTION("""COMPUTED_VALUE"""),"Jamia Masjid C Block Arifwala")</f>
        <v>Jamia Masjid C Block Arifwala</v>
      </c>
      <c r="F712" s="10" t="str">
        <f>IFERROR(__xludf.DUMMYFUNCTION("""COMPUTED_VALUE"""),"FSJBU")</f>
        <v>FSJBU</v>
      </c>
      <c r="G712" s="10" t="str">
        <f>IFERROR(__xludf.DUMMYFUNCTION("""COMPUTED_VALUE"""),"Yes")</f>
        <v>Yes</v>
      </c>
      <c r="H712" s="10">
        <f>IFERROR(__xludf.DUMMYFUNCTION("""COMPUTED_VALUE"""),5.0)</f>
        <v>5</v>
      </c>
      <c r="I712" s="10">
        <f>IFERROR(__xludf.DUMMYFUNCTION("""COMPUTED_VALUE"""),5.0)</f>
        <v>5</v>
      </c>
      <c r="J712" s="10">
        <f>IFERROR(__xludf.DUMMYFUNCTION("""COMPUTED_VALUE"""),10.0)</f>
        <v>10</v>
      </c>
      <c r="K712" s="10">
        <f>IFERROR(__xludf.DUMMYFUNCTION("""COMPUTED_VALUE"""),0.0)</f>
        <v>0</v>
      </c>
      <c r="L712" s="10">
        <f>IFERROR(__xludf.DUMMYFUNCTION("""COMPUTED_VALUE"""),10.0)</f>
        <v>10</v>
      </c>
      <c r="M712" s="10">
        <f>IFERROR(__xludf.DUMMYFUNCTION("""COMPUTED_VALUE"""),0.0)</f>
        <v>0</v>
      </c>
      <c r="N712" s="10">
        <f>IFERROR(__xludf.DUMMYFUNCTION("""COMPUTED_VALUE"""),10.0)</f>
        <v>10</v>
      </c>
      <c r="O712" s="10">
        <f>IFERROR(__xludf.DUMMYFUNCTION("""COMPUTED_VALUE"""),0.0)</f>
        <v>0</v>
      </c>
      <c r="P712" s="10">
        <f>IFERROR(__xludf.DUMMYFUNCTION("""COMPUTED_VALUE"""),10.0)</f>
        <v>10</v>
      </c>
      <c r="Q712" s="10" t="str">
        <f>IFERROR(__xludf.DUMMYFUNCTION("""COMPUTED_VALUE"""),"No")</f>
        <v>No</v>
      </c>
      <c r="R712" s="10" t="str">
        <f>IFERROR(__xludf.DUMMYFUNCTION("""COMPUTED_VALUE"""),"No")</f>
        <v>No</v>
      </c>
      <c r="S712" s="10" t="str">
        <f>IFERROR(__xludf.DUMMYFUNCTION("""COMPUTED_VALUE"""),"No")</f>
        <v>No</v>
      </c>
      <c r="T712" s="10">
        <f>IFERROR(__xludf.DUMMYFUNCTION("""COMPUTED_VALUE"""),0.0)</f>
        <v>0</v>
      </c>
      <c r="U712" s="10">
        <f>IFERROR(__xludf.DUMMYFUNCTION("""COMPUTED_VALUE"""),0.0)</f>
        <v>0</v>
      </c>
      <c r="V712" s="10" t="str">
        <f>IFERROR(__xludf.DUMMYFUNCTION("""COMPUTED_VALUE"""),"پڑوسیوں کے حقوق اور صفائی ستھرائی")</f>
        <v>پڑوسیوں کے حقوق اور صفائی ستھرائی</v>
      </c>
      <c r="W712" s="10" t="str">
        <f>IFERROR(__xludf.DUMMYFUNCTION("""COMPUTED_VALUE"""),"امام نے پڑوسیوں کے حقوق اور صفائی کے متعلق بات کی امام نے بتایا کہ پڑوسی بیمار ہو اس کی عیادت کرو، فوت ہو جائے جنازے میں شرکت کرو، اپنی عمارت ان کی عمارت سے بلند نہ بناؤ کہ ہوا رک جائے،  پڑوسی تکلیف دے تو نرمی کا معاملہ کرو، اور ساتھ ہی اپنے ماحول اور ارد"&amp;" گرد کے ماحول کو صاف رکھنے کا حکم دیا جس سے ماحول خوشگواری ہو گا")</f>
        <v>امام نے پڑوسیوں کے حقوق اور صفائی کے متعلق بات کی امام نے بتایا کہ پڑوسی بیمار ہو اس کی عیادت کرو، فوت ہو جائے جنازے میں شرکت کرو، اپنی عمارت ان کی عمارت سے بلند نہ بناؤ کہ ہوا رک جائے،  پڑوسی تکلیف دے تو نرمی کا معاملہ کرو، اور ساتھ ہی اپنے ماحول اور ارد گرد کے ماحول کو صاف رکھنے کا حکم دیا جس سے ماحول خوشگواری ہو گا</v>
      </c>
      <c r="X712" s="10">
        <f>IFERROR(__xludf.DUMMYFUNCTION("""COMPUTED_VALUE"""),0.0)</f>
        <v>0</v>
      </c>
      <c r="Y712" s="10">
        <f>IFERROR(__xludf.DUMMYFUNCTION("""COMPUTED_VALUE"""),7.0)</f>
        <v>7</v>
      </c>
      <c r="Z712" s="10">
        <f>IFERROR(__xludf.DUMMYFUNCTION("""COMPUTED_VALUE"""),4.0)</f>
        <v>4</v>
      </c>
      <c r="AA712" s="10">
        <f>IFERROR(__xludf.DUMMYFUNCTION("""COMPUTED_VALUE"""),3.0)</f>
        <v>3</v>
      </c>
      <c r="AB712" s="10">
        <f>IFERROR(__xludf.DUMMYFUNCTION("""COMPUTED_VALUE"""),0.0)</f>
        <v>0</v>
      </c>
      <c r="AC712" s="10">
        <f>IFERROR(__xludf.DUMMYFUNCTION("""COMPUTED_VALUE"""),0.0)</f>
        <v>0</v>
      </c>
      <c r="AD712" s="10">
        <f>IFERROR(__xludf.DUMMYFUNCTION("""COMPUTED_VALUE"""),0.0)</f>
        <v>0</v>
      </c>
      <c r="AE712" s="10">
        <f>IFERROR(__xludf.DUMMYFUNCTION("""COMPUTED_VALUE"""),0.0)</f>
        <v>0</v>
      </c>
      <c r="AF712" s="10">
        <f>IFERROR(__xludf.DUMMYFUNCTION("""COMPUTED_VALUE"""),0.0)</f>
        <v>0</v>
      </c>
      <c r="AG712" s="10">
        <f>IFERROR(__xludf.DUMMYFUNCTION("""COMPUTED_VALUE"""),10.0)</f>
        <v>10</v>
      </c>
      <c r="AH712" s="10">
        <f>IFERROR(__xludf.DUMMYFUNCTION("""COMPUTED_VALUE"""),0.0)</f>
        <v>0</v>
      </c>
      <c r="AI712" s="10">
        <f>IFERROR(__xludf.DUMMYFUNCTION("""COMPUTED_VALUE"""),10.0)</f>
        <v>10</v>
      </c>
      <c r="AJ712" s="11" t="str">
        <f>IFERROR(__xludf.DUMMYFUNCTION("""COMPUTED_VALUE"""),"https://drive.google.com/open?id=17oxZJZQZSjG713iMxde3d7r40Rh39DGI")</f>
        <v>https://drive.google.com/open?id=17oxZJZQZSjG713iMxde3d7r40Rh39DGI</v>
      </c>
      <c r="AK712" s="12"/>
      <c r="AL712" s="12" t="str">
        <f>IFERROR(__xludf.DUMMYFUNCTION("""COMPUTED_VALUE"""),"Yes")</f>
        <v>Yes</v>
      </c>
      <c r="AM712" s="15">
        <f>IFERROR(__xludf.DUMMYFUNCTION("""COMPUTED_VALUE"""),1.0)</f>
        <v>1</v>
      </c>
      <c r="AN712" s="12" t="str">
        <f>IFERROR(__xludf.DUMMYFUNCTION("""COMPUTED_VALUE"""),"2nd week")</f>
        <v>2nd week</v>
      </c>
      <c r="AO712" s="13">
        <v>2.0</v>
      </c>
      <c r="AX712" s="17"/>
    </row>
    <row r="713">
      <c r="B713" s="9">
        <f>IFERROR(__xludf.DUMMYFUNCTION("""COMPUTED_VALUE"""),45930.52565202546)</f>
        <v>45930.52565</v>
      </c>
      <c r="C713" s="10" t="str">
        <f>IFERROR(__xludf.DUMMYFUNCTION("""COMPUTED_VALUE"""),"Maham")</f>
        <v>Maham</v>
      </c>
      <c r="D713" s="10" t="str">
        <f>IFERROR(__xludf.DUMMYFUNCTION("""COMPUTED_VALUE"""),"03218118680")</f>
        <v>03218118680</v>
      </c>
      <c r="E713" s="10" t="str">
        <f>IFERROR(__xludf.DUMMYFUNCTION("""COMPUTED_VALUE"""),"Jamia Masjid Abdul Kareem Pakpattan")</f>
        <v>Jamia Masjid Abdul Kareem Pakpattan</v>
      </c>
      <c r="F713" s="10" t="str">
        <f>IFERROR(__xludf.DUMMYFUNCTION("""COMPUTED_VALUE"""),"OGDXP")</f>
        <v>OGDXP</v>
      </c>
      <c r="G713" s="10" t="str">
        <f>IFERROR(__xludf.DUMMYFUNCTION("""COMPUTED_VALUE"""),"Yes")</f>
        <v>Yes</v>
      </c>
      <c r="H713" s="10">
        <f>IFERROR(__xludf.DUMMYFUNCTION("""COMPUTED_VALUE"""),7.0)</f>
        <v>7</v>
      </c>
      <c r="I713" s="10">
        <f>IFERROR(__xludf.DUMMYFUNCTION("""COMPUTED_VALUE"""),3.0)</f>
        <v>3</v>
      </c>
      <c r="J713" s="10">
        <f>IFERROR(__xludf.DUMMYFUNCTION("""COMPUTED_VALUE"""),10.0)</f>
        <v>10</v>
      </c>
      <c r="K713" s="10">
        <f>IFERROR(__xludf.DUMMYFUNCTION("""COMPUTED_VALUE"""),10.0)</f>
        <v>10</v>
      </c>
      <c r="L713" s="10">
        <f>IFERROR(__xludf.DUMMYFUNCTION("""COMPUTED_VALUE"""),0.0)</f>
        <v>0</v>
      </c>
      <c r="M713" s="10">
        <f>IFERROR(__xludf.DUMMYFUNCTION("""COMPUTED_VALUE"""),9.0)</f>
        <v>9</v>
      </c>
      <c r="N713" s="10">
        <f>IFERROR(__xludf.DUMMYFUNCTION("""COMPUTED_VALUE"""),0.0)</f>
        <v>0</v>
      </c>
      <c r="O713" s="10">
        <f>IFERROR(__xludf.DUMMYFUNCTION("""COMPUTED_VALUE"""),9.0)</f>
        <v>9</v>
      </c>
      <c r="P713" s="10">
        <f>IFERROR(__xludf.DUMMYFUNCTION("""COMPUTED_VALUE"""),0.0)</f>
        <v>0</v>
      </c>
      <c r="Q713" s="10" t="str">
        <f>IFERROR(__xludf.DUMMYFUNCTION("""COMPUTED_VALUE"""),"Yes")</f>
        <v>Yes</v>
      </c>
      <c r="R713" s="10" t="str">
        <f>IFERROR(__xludf.DUMMYFUNCTION("""COMPUTED_VALUE"""),"No")</f>
        <v>No</v>
      </c>
      <c r="S713" s="10" t="str">
        <f>IFERROR(__xludf.DUMMYFUNCTION("""COMPUTED_VALUE"""),"Yes")</f>
        <v>Yes</v>
      </c>
      <c r="T713" s="10">
        <f>IFERROR(__xludf.DUMMYFUNCTION("""COMPUTED_VALUE"""),0.0)</f>
        <v>0</v>
      </c>
      <c r="U713" s="10">
        <f>IFERROR(__xludf.DUMMYFUNCTION("""COMPUTED_VALUE"""),0.0)</f>
        <v>0</v>
      </c>
      <c r="V713" s="10" t="str">
        <f>IFERROR(__xludf.DUMMYFUNCTION("""COMPUTED_VALUE"""),"عورتوں کے حقوق")</f>
        <v>عورتوں کے حقوق</v>
      </c>
      <c r="W713" s="10" t="str">
        <f>IFERROR(__xludf.DUMMYFUNCTION("""COMPUTED_VALUE"""),"عورتوں کے حقوق بیان کیے گئے اسلام سے قبل ان کے ساتھ کس طرح کا سلوک روا رکھا جاتا تھا ان کو زندہ درگور کر دیا جاتا تھا معاشرے میں ان کی کوئی عزت مقام نہیں تھا میرے نبی کریم صلی اللہ علیہ والہ وسلم نے ان کو اسلام کے ذریعے عزت دلوائی اور بچیوں کی تعلیم و ترب"&amp;"یت کے حوالے سے گفتگو کی اور جو شخص بیٹیوں کی وجہ سے دنیا میں ازمایا گیا وہ بیٹیاں قیامت کے دن اس کے لیے جہنم کی اڑ بن جائیں گی جس طرح سے بیٹوں کے حقوق کا خیال رکھا جاتا ہے اسی طرح بیٹیوں کے حقوق کا بھی خیال رکھا جائے بیٹی رحمت ہے بہن شفقت اور ماں جنت ہے")</f>
        <v>عورتوں کے حقوق بیان کیے گئے اسلام سے قبل ان کے ساتھ کس طرح کا سلوک روا رکھا جاتا تھا ان کو زندہ درگور کر دیا جاتا تھا معاشرے میں ان کی کوئی عزت مقام نہیں تھا میرے نبی کریم صلی اللہ علیہ والہ وسلم نے ان کو اسلام کے ذریعے عزت دلوائی اور بچیوں کی تعلیم و تربیت کے حوالے سے گفتگو کی اور جو شخص بیٹیوں کی وجہ سے دنیا میں ازمایا گیا وہ بیٹیاں قیامت کے دن اس کے لیے جہنم کی اڑ بن جائیں گی جس طرح سے بیٹوں کے حقوق کا خیال رکھا جاتا ہے اسی طرح بیٹیوں کے حقوق کا بھی خیال رکھا جائے بیٹی رحمت ہے بہن شفقت اور ماں جنت ہے</v>
      </c>
      <c r="X713" s="10">
        <f>IFERROR(__xludf.DUMMYFUNCTION("""COMPUTED_VALUE"""),1.0)</f>
        <v>1</v>
      </c>
      <c r="Y713" s="10">
        <f>IFERROR(__xludf.DUMMYFUNCTION("""COMPUTED_VALUE"""),9.0)</f>
        <v>9</v>
      </c>
      <c r="Z713" s="10">
        <f>IFERROR(__xludf.DUMMYFUNCTION("""COMPUTED_VALUE"""),7.0)</f>
        <v>7</v>
      </c>
      <c r="AA713" s="10">
        <f>IFERROR(__xludf.DUMMYFUNCTION("""COMPUTED_VALUE"""),8.0)</f>
        <v>8</v>
      </c>
      <c r="AB713" s="10">
        <f>IFERROR(__xludf.DUMMYFUNCTION("""COMPUTED_VALUE"""),3.0)</f>
        <v>3</v>
      </c>
      <c r="AC713" s="10">
        <f>IFERROR(__xludf.DUMMYFUNCTION("""COMPUTED_VALUE"""),0.0)</f>
        <v>0</v>
      </c>
      <c r="AD713" s="10">
        <f>IFERROR(__xludf.DUMMYFUNCTION("""COMPUTED_VALUE"""),0.0)</f>
        <v>0</v>
      </c>
      <c r="AE713" s="10">
        <f>IFERROR(__xludf.DUMMYFUNCTION("""COMPUTED_VALUE"""),0.0)</f>
        <v>0</v>
      </c>
      <c r="AF713" s="10">
        <f>IFERROR(__xludf.DUMMYFUNCTION("""COMPUTED_VALUE"""),0.0)</f>
        <v>0</v>
      </c>
      <c r="AG713" s="10">
        <f>IFERROR(__xludf.DUMMYFUNCTION("""COMPUTED_VALUE"""),9.0)</f>
        <v>9</v>
      </c>
      <c r="AH713" s="10">
        <f>IFERROR(__xludf.DUMMYFUNCTION("""COMPUTED_VALUE"""),0.0)</f>
        <v>0</v>
      </c>
      <c r="AI713" s="10">
        <f>IFERROR(__xludf.DUMMYFUNCTION("""COMPUTED_VALUE"""),9.0)</f>
        <v>9</v>
      </c>
      <c r="AJ713" s="11" t="str">
        <f>IFERROR(__xludf.DUMMYFUNCTION("""COMPUTED_VALUE"""),"https://drive.google.com/open?id=1F681SaoEUr7wJHCEtqU0IsGtKutZC54V")</f>
        <v>https://drive.google.com/open?id=1F681SaoEUr7wJHCEtqU0IsGtKutZC54V</v>
      </c>
      <c r="AK713" s="12"/>
      <c r="AL713" s="12" t="str">
        <f>IFERROR(__xludf.DUMMYFUNCTION("""COMPUTED_VALUE"""),"Yes")</f>
        <v>Yes</v>
      </c>
      <c r="AM713" s="15">
        <f>IFERROR(__xludf.DUMMYFUNCTION("""COMPUTED_VALUE"""),1.0)</f>
        <v>1</v>
      </c>
      <c r="AN713" s="12" t="str">
        <f>IFERROR(__xludf.DUMMYFUNCTION("""COMPUTED_VALUE"""),"1st week")</f>
        <v>1st week</v>
      </c>
      <c r="AO713" s="13">
        <v>1.0</v>
      </c>
      <c r="AX713" s="17"/>
    </row>
    <row r="714">
      <c r="B714" s="9">
        <f>IFERROR(__xludf.DUMMYFUNCTION("""COMPUTED_VALUE"""),45930.57215763889)</f>
        <v>45930.57216</v>
      </c>
      <c r="C714" s="10" t="str">
        <f>IFERROR(__xludf.DUMMYFUNCTION("""COMPUTED_VALUE"""),"Asma gul")</f>
        <v>Asma gul</v>
      </c>
      <c r="D714" s="10" t="str">
        <f>IFERROR(__xludf.DUMMYFUNCTION("""COMPUTED_VALUE"""),"03459308620")</f>
        <v>03459308620</v>
      </c>
      <c r="E714" s="10" t="str">
        <f>IFERROR(__xludf.DUMMYFUNCTION("""COMPUTED_VALUE"""),"Jamia Masjid Gaalah Mandi Pakpattan")</f>
        <v>Jamia Masjid Gaalah Mandi Pakpattan</v>
      </c>
      <c r="F714" s="10" t="str">
        <f>IFERROR(__xludf.DUMMYFUNCTION("""COMPUTED_VALUE"""),"LPJZI")</f>
        <v>LPJZI</v>
      </c>
      <c r="G714" s="10" t="str">
        <f>IFERROR(__xludf.DUMMYFUNCTION("""COMPUTED_VALUE"""),"Yes")</f>
        <v>Yes</v>
      </c>
      <c r="H714" s="10">
        <f>IFERROR(__xludf.DUMMYFUNCTION("""COMPUTED_VALUE"""),8.0)</f>
        <v>8</v>
      </c>
      <c r="I714" s="10">
        <f>IFERROR(__xludf.DUMMYFUNCTION("""COMPUTED_VALUE"""),2.0)</f>
        <v>2</v>
      </c>
      <c r="J714" s="10">
        <f>IFERROR(__xludf.DUMMYFUNCTION("""COMPUTED_VALUE"""),8.0)</f>
        <v>8</v>
      </c>
      <c r="K714" s="10">
        <f>IFERROR(__xludf.DUMMYFUNCTION("""COMPUTED_VALUE"""),0.0)</f>
        <v>0</v>
      </c>
      <c r="L714" s="10">
        <f>IFERROR(__xludf.DUMMYFUNCTION("""COMPUTED_VALUE"""),9.0)</f>
        <v>9</v>
      </c>
      <c r="M714" s="10">
        <f>IFERROR(__xludf.DUMMYFUNCTION("""COMPUTED_VALUE"""),0.0)</f>
        <v>0</v>
      </c>
      <c r="N714" s="10">
        <f>IFERROR(__xludf.DUMMYFUNCTION("""COMPUTED_VALUE"""),9.0)</f>
        <v>9</v>
      </c>
      <c r="O714" s="10">
        <f>IFERROR(__xludf.DUMMYFUNCTION("""COMPUTED_VALUE"""),0.0)</f>
        <v>0</v>
      </c>
      <c r="P714" s="10">
        <f>IFERROR(__xludf.DUMMYFUNCTION("""COMPUTED_VALUE"""),8.0)</f>
        <v>8</v>
      </c>
      <c r="Q714" s="10" t="str">
        <f>IFERROR(__xludf.DUMMYFUNCTION("""COMPUTED_VALUE"""),"No")</f>
        <v>No</v>
      </c>
      <c r="R714" s="10" t="str">
        <f>IFERROR(__xludf.DUMMYFUNCTION("""COMPUTED_VALUE"""),"No")</f>
        <v>No</v>
      </c>
      <c r="S714" s="10" t="str">
        <f>IFERROR(__xludf.DUMMYFUNCTION("""COMPUTED_VALUE"""),"No")</f>
        <v>No</v>
      </c>
      <c r="T714" s="10">
        <f>IFERROR(__xludf.DUMMYFUNCTION("""COMPUTED_VALUE"""),0.0)</f>
        <v>0</v>
      </c>
      <c r="U714" s="10">
        <f>IFERROR(__xludf.DUMMYFUNCTION("""COMPUTED_VALUE"""),0.0)</f>
        <v>0</v>
      </c>
      <c r="V714" s="10" t="str">
        <f>IFERROR(__xludf.DUMMYFUNCTION("""COMPUTED_VALUE"""),"پڑوسیوں کے حقوق اور کامل مومن کی پہچان")</f>
        <v>پڑوسیوں کے حقوق اور کامل مومن کی پہچان</v>
      </c>
      <c r="W714" s="10" t="str">
        <f>IFERROR(__xludf.DUMMYFUNCTION("""COMPUTED_VALUE"""),"امام صاحب نے بتایا کہ اسلام میں پڑوسیوں کے حقوق بہت اہم ہے نبی کریم صلی اللہ علیہ وسلم نے فرمایا کہ جو اپنے پڑوسی کو تکلیف دے وہ کامل مومن نہیں پڑوسیوں کے جنازے میں شریک ہونا خوشی میں مبارک دینا غم میں ساتھ دینا مشکل وقت میں چھپ کر مدد کرنا ایمان کی نشانی"&amp;" ہے مومن وہ جو دوسروں کو سکون اور امن دے نفرت کینہ اور شکایت سے بچنا چاہیے تاکہ ایک اچھا اسلامی معاشرہ قائم ہو سکے")</f>
        <v>امام صاحب نے بتایا کہ اسلام میں پڑوسیوں کے حقوق بہت اہم ہے نبی کریم صلی اللہ علیہ وسلم نے فرمایا کہ جو اپنے پڑوسی کو تکلیف دے وہ کامل مومن نہیں پڑوسیوں کے جنازے میں شریک ہونا خوشی میں مبارک دینا غم میں ساتھ دینا مشکل وقت میں چھپ کر مدد کرنا ایمان کی نشانی ہے مومن وہ جو دوسروں کو سکون اور امن دے نفرت کینہ اور شکایت سے بچنا چاہیے تاکہ ایک اچھا اسلامی معاشرہ قائم ہو سکے</v>
      </c>
      <c r="X714" s="10">
        <f>IFERROR(__xludf.DUMMYFUNCTION("""COMPUTED_VALUE"""),0.0)</f>
        <v>0</v>
      </c>
      <c r="Y714" s="10">
        <f>IFERROR(__xludf.DUMMYFUNCTION("""COMPUTED_VALUE"""),9.0)</f>
        <v>9</v>
      </c>
      <c r="Z714" s="10">
        <f>IFERROR(__xludf.DUMMYFUNCTION("""COMPUTED_VALUE"""),9.0)</f>
        <v>9</v>
      </c>
      <c r="AA714" s="10">
        <f>IFERROR(__xludf.DUMMYFUNCTION("""COMPUTED_VALUE"""),8.0)</f>
        <v>8</v>
      </c>
      <c r="AB714" s="10">
        <f>IFERROR(__xludf.DUMMYFUNCTION("""COMPUTED_VALUE"""),5.0)</f>
        <v>5</v>
      </c>
      <c r="AC714" s="10">
        <f>IFERROR(__xludf.DUMMYFUNCTION("""COMPUTED_VALUE"""),0.0)</f>
        <v>0</v>
      </c>
      <c r="AD714" s="10">
        <f>IFERROR(__xludf.DUMMYFUNCTION("""COMPUTED_VALUE"""),0.0)</f>
        <v>0</v>
      </c>
      <c r="AE714" s="10">
        <f>IFERROR(__xludf.DUMMYFUNCTION("""COMPUTED_VALUE"""),2.0)</f>
        <v>2</v>
      </c>
      <c r="AF714" s="10">
        <f>IFERROR(__xludf.DUMMYFUNCTION("""COMPUTED_VALUE"""),0.0)</f>
        <v>0</v>
      </c>
      <c r="AG714" s="10">
        <f>IFERROR(__xludf.DUMMYFUNCTION("""COMPUTED_VALUE"""),8.0)</f>
        <v>8</v>
      </c>
      <c r="AH714" s="10">
        <f>IFERROR(__xludf.DUMMYFUNCTION("""COMPUTED_VALUE"""),0.0)</f>
        <v>0</v>
      </c>
      <c r="AI714" s="10">
        <f>IFERROR(__xludf.DUMMYFUNCTION("""COMPUTED_VALUE"""),8.0)</f>
        <v>8</v>
      </c>
      <c r="AJ714" s="11" t="str">
        <f>IFERROR(__xludf.DUMMYFUNCTION("""COMPUTED_VALUE"""),"https://drive.google.com/open?id=1XzqHU6LcvgyQavZkDmtpPuk9M28aahCC")</f>
        <v>https://drive.google.com/open?id=1XzqHU6LcvgyQavZkDmtpPuk9M28aahCC</v>
      </c>
      <c r="AK714" s="12"/>
      <c r="AL714" s="12" t="str">
        <f>IFERROR(__xludf.DUMMYFUNCTION("""COMPUTED_VALUE"""),"Yes")</f>
        <v>Yes</v>
      </c>
      <c r="AM714" s="15">
        <f>IFERROR(__xludf.DUMMYFUNCTION("""COMPUTED_VALUE"""),0.8)</f>
        <v>0.8</v>
      </c>
      <c r="AN714" s="12" t="str">
        <f>IFERROR(__xludf.DUMMYFUNCTION("""COMPUTED_VALUE"""),"2nd week")</f>
        <v>2nd week</v>
      </c>
      <c r="AO714" s="13">
        <v>2.0</v>
      </c>
      <c r="AX714" s="17"/>
    </row>
    <row r="715">
      <c r="B715" s="9">
        <f>IFERROR(__xludf.DUMMYFUNCTION("""COMPUTED_VALUE"""),45930.57514811342)</f>
        <v>45930.57515</v>
      </c>
      <c r="C715" s="10" t="str">
        <f>IFERROR(__xludf.DUMMYFUNCTION("""COMPUTED_VALUE"""),"Arti Kumari ")</f>
        <v>Arti Kumari </v>
      </c>
      <c r="D715" s="10" t="str">
        <f>IFERROR(__xludf.DUMMYFUNCTION("""COMPUTED_VALUE"""),"03346661865")</f>
        <v>03346661865</v>
      </c>
      <c r="E715" s="10" t="str">
        <f>IFERROR(__xludf.DUMMYFUNCTION("""COMPUTED_VALUE"""),"Jamia Masjid Chila Gha Sheer. Shah Wali")</f>
        <v>Jamia Masjid Chila Gha Sheer. Shah Wali</v>
      </c>
      <c r="F715" s="10" t="str">
        <f>IFERROR(__xludf.DUMMYFUNCTION("""COMPUTED_VALUE"""),"IBTRF")</f>
        <v>IBTRF</v>
      </c>
      <c r="G715" s="10" t="str">
        <f>IFERROR(__xludf.DUMMYFUNCTION("""COMPUTED_VALUE"""),"Yes")</f>
        <v>Yes</v>
      </c>
      <c r="H715" s="10">
        <f>IFERROR(__xludf.DUMMYFUNCTION("""COMPUTED_VALUE"""),9.0)</f>
        <v>9</v>
      </c>
      <c r="I715" s="10">
        <f>IFERROR(__xludf.DUMMYFUNCTION("""COMPUTED_VALUE"""),1.0)</f>
        <v>1</v>
      </c>
      <c r="J715" s="10">
        <f>IFERROR(__xludf.DUMMYFUNCTION("""COMPUTED_VALUE"""),10.0)</f>
        <v>10</v>
      </c>
      <c r="K715" s="10">
        <f>IFERROR(__xludf.DUMMYFUNCTION("""COMPUTED_VALUE"""),10.0)</f>
        <v>10</v>
      </c>
      <c r="L715" s="10">
        <f>IFERROR(__xludf.DUMMYFUNCTION("""COMPUTED_VALUE"""),0.0)</f>
        <v>0</v>
      </c>
      <c r="M715" s="10">
        <f>IFERROR(__xludf.DUMMYFUNCTION("""COMPUTED_VALUE"""),10.0)</f>
        <v>10</v>
      </c>
      <c r="N715" s="10">
        <f>IFERROR(__xludf.DUMMYFUNCTION("""COMPUTED_VALUE"""),0.0)</f>
        <v>0</v>
      </c>
      <c r="O715" s="10">
        <f>IFERROR(__xludf.DUMMYFUNCTION("""COMPUTED_VALUE"""),10.0)</f>
        <v>10</v>
      </c>
      <c r="P715" s="10">
        <f>IFERROR(__xludf.DUMMYFUNCTION("""COMPUTED_VALUE"""),0.0)</f>
        <v>0</v>
      </c>
      <c r="Q715" s="10" t="str">
        <f>IFERROR(__xludf.DUMMYFUNCTION("""COMPUTED_VALUE"""),"No")</f>
        <v>No</v>
      </c>
      <c r="R715" s="10" t="str">
        <f>IFERROR(__xludf.DUMMYFUNCTION("""COMPUTED_VALUE"""),"No")</f>
        <v>No</v>
      </c>
      <c r="S715" s="10" t="str">
        <f>IFERROR(__xludf.DUMMYFUNCTION("""COMPUTED_VALUE"""),"Yes")</f>
        <v>Yes</v>
      </c>
      <c r="T715" s="10">
        <f>IFERROR(__xludf.DUMMYFUNCTION("""COMPUTED_VALUE"""),0.0)</f>
        <v>0</v>
      </c>
      <c r="U715" s="10">
        <f>IFERROR(__xludf.DUMMYFUNCTION("""COMPUTED_VALUE"""),0.0)</f>
        <v>0</v>
      </c>
      <c r="V715" s="10" t="str">
        <f>IFERROR(__xludf.DUMMYFUNCTION("""COMPUTED_VALUE"""),"خواتین کے حقوق اور معاشرے میں ان ک کردار")</f>
        <v>خواتین کے حقوق اور معاشرے میں ان ک کردار</v>
      </c>
      <c r="W715" s="10" t="str">
        <f>IFERROR(__xludf.DUMMYFUNCTION("""COMPUTED_VALUE"""),"امام نے خواتین کے حوالے سے بات کی کہ ان کو اسلام میں بہت مقام اور مرتبہ حاصل ہے ان کو آزادی رائے کا بھی حق ہے اور معاشی معاملات میں بھی آزادی رائے کا حق ہے تاریخ میں بھی خواتین کاروبار بھی حصہ لیتی تھیں اور سیاسی سرگرمیوں میں بھی اس کے علاوہ جہاں ان کی را"&amp;"ئے کوئی دانش مندانہ ہوتی تو اس کو بھی ترجیح دی جاتی تھی۔ اسی طرح جمع میں جو کچھ نمازی سنتے ہیں وہ بھی خواتین کو بتانے کی ترغیب دی تاکہ وہ بھی معاشرتی ترقی میں کردار ادا کر سکیں")</f>
        <v>امام نے خواتین کے حوالے سے بات کی کہ ان کو اسلام میں بہت مقام اور مرتبہ حاصل ہے ان کو آزادی رائے کا بھی حق ہے اور معاشی معاملات میں بھی آزادی رائے کا حق ہے تاریخ میں بھی خواتین کاروبار بھی حصہ لیتی تھیں اور سیاسی سرگرمیوں میں بھی اس کے علاوہ جہاں ان کی رائے کوئی دانش مندانہ ہوتی تو اس کو بھی ترجیح دی جاتی تھی۔ اسی طرح جمع میں جو کچھ نمازی سنتے ہیں وہ بھی خواتین کو بتانے کی ترغیب دی تاکہ وہ بھی معاشرتی ترقی میں کردار ادا کر سکیں</v>
      </c>
      <c r="X715" s="10">
        <f>IFERROR(__xludf.DUMMYFUNCTION("""COMPUTED_VALUE"""),0.0)</f>
        <v>0</v>
      </c>
      <c r="Y715" s="10">
        <f>IFERROR(__xludf.DUMMYFUNCTION("""COMPUTED_VALUE"""),0.0)</f>
        <v>0</v>
      </c>
      <c r="Z715" s="10">
        <f>IFERROR(__xludf.DUMMYFUNCTION("""COMPUTED_VALUE"""),4.0)</f>
        <v>4</v>
      </c>
      <c r="AA715" s="10">
        <f>IFERROR(__xludf.DUMMYFUNCTION("""COMPUTED_VALUE"""),0.0)</f>
        <v>0</v>
      </c>
      <c r="AB715" s="10">
        <f>IFERROR(__xludf.DUMMYFUNCTION("""COMPUTED_VALUE"""),2.0)</f>
        <v>2</v>
      </c>
      <c r="AC715" s="10">
        <f>IFERROR(__xludf.DUMMYFUNCTION("""COMPUTED_VALUE"""),1.0)</f>
        <v>1</v>
      </c>
      <c r="AD715" s="10">
        <f>IFERROR(__xludf.DUMMYFUNCTION("""COMPUTED_VALUE"""),0.0)</f>
        <v>0</v>
      </c>
      <c r="AE715" s="10">
        <f>IFERROR(__xludf.DUMMYFUNCTION("""COMPUTED_VALUE"""),0.0)</f>
        <v>0</v>
      </c>
      <c r="AF715" s="10">
        <f>IFERROR(__xludf.DUMMYFUNCTION("""COMPUTED_VALUE"""),0.0)</f>
        <v>0</v>
      </c>
      <c r="AG715" s="10">
        <f>IFERROR(__xludf.DUMMYFUNCTION("""COMPUTED_VALUE"""),10.0)</f>
        <v>10</v>
      </c>
      <c r="AH715" s="10">
        <f>IFERROR(__xludf.DUMMYFUNCTION("""COMPUTED_VALUE"""),0.0)</f>
        <v>0</v>
      </c>
      <c r="AI715" s="10">
        <f>IFERROR(__xludf.DUMMYFUNCTION("""COMPUTED_VALUE"""),10.0)</f>
        <v>10</v>
      </c>
      <c r="AJ715" s="11" t="str">
        <f>IFERROR(__xludf.DUMMYFUNCTION("""COMPUTED_VALUE"""),"https://drive.google.com/open?id=16XxulU7NImY8epFvLJhY1KAIS98lFRUH")</f>
        <v>https://drive.google.com/open?id=16XxulU7NImY8epFvLJhY1KAIS98lFRUH</v>
      </c>
      <c r="AK715" s="12"/>
      <c r="AL715" s="12" t="str">
        <f>IFERROR(__xludf.DUMMYFUNCTION("""COMPUTED_VALUE"""),"Yes")</f>
        <v>Yes</v>
      </c>
      <c r="AM715" s="15">
        <f>IFERROR(__xludf.DUMMYFUNCTION("""COMPUTED_VALUE"""),1.0)</f>
        <v>1</v>
      </c>
      <c r="AN715" s="12" t="str">
        <f>IFERROR(__xludf.DUMMYFUNCTION("""COMPUTED_VALUE"""),"2nd week")</f>
        <v>2nd week</v>
      </c>
      <c r="AO715" s="13">
        <v>2.0</v>
      </c>
      <c r="AX715" s="17"/>
    </row>
    <row r="716">
      <c r="B716" s="9">
        <f>IFERROR(__xludf.DUMMYFUNCTION("""COMPUTED_VALUE"""),45930.57796898148)</f>
        <v>45930.57797</v>
      </c>
      <c r="C716" s="10" t="str">
        <f>IFERROR(__xludf.DUMMYFUNCTION("""COMPUTED_VALUE"""),"Asma Gul")</f>
        <v>Asma Gul</v>
      </c>
      <c r="D716" s="10" t="str">
        <f>IFERROR(__xludf.DUMMYFUNCTION("""COMPUTED_VALUE"""),"03459308620")</f>
        <v>03459308620</v>
      </c>
      <c r="E716" s="10" t="str">
        <f>IFERROR(__xludf.DUMMYFUNCTION("""COMPUTED_VALUE"""),"Jamia Masjid Darbar Baba Fareed Ul Din Pakpattan")</f>
        <v>Jamia Masjid Darbar Baba Fareed Ul Din Pakpattan</v>
      </c>
      <c r="F716" s="10" t="str">
        <f>IFERROR(__xludf.DUMMYFUNCTION("""COMPUTED_VALUE"""),"PAQQF")</f>
        <v>PAQQF</v>
      </c>
      <c r="G716" s="10" t="str">
        <f>IFERROR(__xludf.DUMMYFUNCTION("""COMPUTED_VALUE"""),"Yes")</f>
        <v>Yes</v>
      </c>
      <c r="H716" s="10">
        <f>IFERROR(__xludf.DUMMYFUNCTION("""COMPUTED_VALUE"""),10.0)</f>
        <v>10</v>
      </c>
      <c r="I716" s="10">
        <f>IFERROR(__xludf.DUMMYFUNCTION("""COMPUTED_VALUE"""),0.0)</f>
        <v>0</v>
      </c>
      <c r="J716" s="10">
        <f>IFERROR(__xludf.DUMMYFUNCTION("""COMPUTED_VALUE"""),10.0)</f>
        <v>10</v>
      </c>
      <c r="K716" s="10">
        <f>IFERROR(__xludf.DUMMYFUNCTION("""COMPUTED_VALUE"""),9.0)</f>
        <v>9</v>
      </c>
      <c r="L716" s="10">
        <f>IFERROR(__xludf.DUMMYFUNCTION("""COMPUTED_VALUE"""),0.0)</f>
        <v>0</v>
      </c>
      <c r="M716" s="10">
        <f>IFERROR(__xludf.DUMMYFUNCTION("""COMPUTED_VALUE"""),8.0)</f>
        <v>8</v>
      </c>
      <c r="N716" s="10">
        <f>IFERROR(__xludf.DUMMYFUNCTION("""COMPUTED_VALUE"""),0.0)</f>
        <v>0</v>
      </c>
      <c r="O716" s="10">
        <f>IFERROR(__xludf.DUMMYFUNCTION("""COMPUTED_VALUE"""),8.0)</f>
        <v>8</v>
      </c>
      <c r="P716" s="10">
        <f>IFERROR(__xludf.DUMMYFUNCTION("""COMPUTED_VALUE"""),0.0)</f>
        <v>0</v>
      </c>
      <c r="Q716" s="10" t="str">
        <f>IFERROR(__xludf.DUMMYFUNCTION("""COMPUTED_VALUE"""),"Yes")</f>
        <v>Yes</v>
      </c>
      <c r="R716" s="10" t="str">
        <f>IFERROR(__xludf.DUMMYFUNCTION("""COMPUTED_VALUE"""),"No")</f>
        <v>No</v>
      </c>
      <c r="S716" s="10" t="str">
        <f>IFERROR(__xludf.DUMMYFUNCTION("""COMPUTED_VALUE"""),"No")</f>
        <v>No</v>
      </c>
      <c r="T716" s="10">
        <f>IFERROR(__xludf.DUMMYFUNCTION("""COMPUTED_VALUE"""),0.0)</f>
        <v>0</v>
      </c>
      <c r="U716" s="10">
        <f>IFERROR(__xludf.DUMMYFUNCTION("""COMPUTED_VALUE"""),0.0)</f>
        <v>0</v>
      </c>
      <c r="V716" s="10" t="str">
        <f>IFERROR(__xludf.DUMMYFUNCTION("""COMPUTED_VALUE"""),"  حضور اکرم صلی اللہ علیہ والہ وسلم کی محبت خواتین کے حقوق و کردار اور جہاد و عبادات میں اسلام کی رہنمائی")</f>
        <v>  حضور اکرم صلی اللہ علیہ والہ وسلم کی محبت خواتین کے حقوق و کردار اور جہاد و عبادات میں اسلام کی رہنمائی</v>
      </c>
      <c r="W716" s="10" t="str">
        <f>IFERROR(__xludf.DUMMYFUNCTION("""COMPUTED_VALUE"""),"یہ خطبہ رسول اللہ صلی اللہ علیہ وسلم کی سیرت صحابہ کرام کی قربانی اور میدان جہاد میں نماز کی اہمیت کو بیان کرتا ہے اس میں حضرت علی حضرت خدیجہ حضرت عائشہ سمی خواتین کے معاشرتی تعلیمی معاشی کردار پر بھی روشنی ڈالی گئی ہے امام نے خواتین کے حقوق ان کی شراکت د"&amp;"اری اور تعلیم و تربیت کے ساتھ یہ بتایا کہ اللہ تعالی کی محبت صرف حضور کی اتباع سے حاصل کی جا سکتی ہے")</f>
        <v>یہ خطبہ رسول اللہ صلی اللہ علیہ وسلم کی سیرت صحابہ کرام کی قربانی اور میدان جہاد میں نماز کی اہمیت کو بیان کرتا ہے اس میں حضرت علی حضرت خدیجہ حضرت عائشہ سمی خواتین کے معاشرتی تعلیمی معاشی کردار پر بھی روشنی ڈالی گئی ہے امام نے خواتین کے حقوق ان کی شراکت داری اور تعلیم و تربیت کے ساتھ یہ بتایا کہ اللہ تعالی کی محبت صرف حضور کی اتباع سے حاصل کی جا سکتی ہے</v>
      </c>
      <c r="X716" s="10">
        <f>IFERROR(__xludf.DUMMYFUNCTION("""COMPUTED_VALUE"""),8.0)</f>
        <v>8</v>
      </c>
      <c r="Y716" s="10">
        <f>IFERROR(__xludf.DUMMYFUNCTION("""COMPUTED_VALUE"""),8.0)</f>
        <v>8</v>
      </c>
      <c r="Z716" s="10">
        <f>IFERROR(__xludf.DUMMYFUNCTION("""COMPUTED_VALUE"""),9.0)</f>
        <v>9</v>
      </c>
      <c r="AA716" s="10">
        <f>IFERROR(__xludf.DUMMYFUNCTION("""COMPUTED_VALUE"""),9.0)</f>
        <v>9</v>
      </c>
      <c r="AB716" s="10">
        <f>IFERROR(__xludf.DUMMYFUNCTION("""COMPUTED_VALUE"""),8.0)</f>
        <v>8</v>
      </c>
      <c r="AC716" s="10">
        <f>IFERROR(__xludf.DUMMYFUNCTION("""COMPUTED_VALUE"""),3.0)</f>
        <v>3</v>
      </c>
      <c r="AD716" s="10">
        <f>IFERROR(__xludf.DUMMYFUNCTION("""COMPUTED_VALUE"""),7.0)</f>
        <v>7</v>
      </c>
      <c r="AE716" s="10">
        <f>IFERROR(__xludf.DUMMYFUNCTION("""COMPUTED_VALUE"""),1.0)</f>
        <v>1</v>
      </c>
      <c r="AF716" s="10">
        <f>IFERROR(__xludf.DUMMYFUNCTION("""COMPUTED_VALUE"""),0.0)</f>
        <v>0</v>
      </c>
      <c r="AG716" s="10">
        <f>IFERROR(__xludf.DUMMYFUNCTION("""COMPUTED_VALUE"""),9.0)</f>
        <v>9</v>
      </c>
      <c r="AH716" s="10">
        <f>IFERROR(__xludf.DUMMYFUNCTION("""COMPUTED_VALUE"""),0.0)</f>
        <v>0</v>
      </c>
      <c r="AI716" s="10">
        <f>IFERROR(__xludf.DUMMYFUNCTION("""COMPUTED_VALUE"""),9.0)</f>
        <v>9</v>
      </c>
      <c r="AJ716" s="11" t="str">
        <f>IFERROR(__xludf.DUMMYFUNCTION("""COMPUTED_VALUE"""),"https://drive.google.com/open?id=16jvJL1vHVaTZfdy8vYIjT0OlxWjd9Miv")</f>
        <v>https://drive.google.com/open?id=16jvJL1vHVaTZfdy8vYIjT0OlxWjd9Miv</v>
      </c>
      <c r="AK716" s="12"/>
      <c r="AL716" s="12" t="str">
        <f>IFERROR(__xludf.DUMMYFUNCTION("""COMPUTED_VALUE"""),"Yes")</f>
        <v>Yes</v>
      </c>
      <c r="AM716" s="15">
        <f>IFERROR(__xludf.DUMMYFUNCTION("""COMPUTED_VALUE"""),1.0)</f>
        <v>1</v>
      </c>
      <c r="AN716" s="12" t="str">
        <f>IFERROR(__xludf.DUMMYFUNCTION("""COMPUTED_VALUE"""),"2nd week")</f>
        <v>2nd week</v>
      </c>
      <c r="AO716" s="13">
        <v>2.0</v>
      </c>
      <c r="AX716" s="17"/>
    </row>
    <row r="717">
      <c r="B717" s="9">
        <f>IFERROR(__xludf.DUMMYFUNCTION("""COMPUTED_VALUE"""),45930.685031863424)</f>
        <v>45930.68503</v>
      </c>
      <c r="C717" s="10" t="str">
        <f>IFERROR(__xludf.DUMMYFUNCTION("""COMPUTED_VALUE"""),"Maham ")</f>
        <v>Maham </v>
      </c>
      <c r="D717" s="10" t="str">
        <f>IFERROR(__xludf.DUMMYFUNCTION("""COMPUTED_VALUE"""),"03218118680")</f>
        <v>03218118680</v>
      </c>
      <c r="E717" s="10" t="str">
        <f>IFERROR(__xludf.DUMMYFUNCTION("""COMPUTED_VALUE"""),"Jamia Masjid Gaalah Mandi Chichawatni")</f>
        <v>Jamia Masjid Gaalah Mandi Chichawatni</v>
      </c>
      <c r="F717" s="10" t="str">
        <f>IFERROR(__xludf.DUMMYFUNCTION("""COMPUTED_VALUE"""),"YTVOY")</f>
        <v>YTVOY</v>
      </c>
      <c r="G717" s="10" t="str">
        <f>IFERROR(__xludf.DUMMYFUNCTION("""COMPUTED_VALUE"""),"No")</f>
        <v>No</v>
      </c>
      <c r="H717" s="10"/>
      <c r="I717" s="10"/>
      <c r="J717" s="10"/>
      <c r="K717" s="10">
        <f>IFERROR(__xludf.DUMMYFUNCTION("""COMPUTED_VALUE"""),0.0)</f>
        <v>0</v>
      </c>
      <c r="L717" s="10">
        <f>IFERROR(__xludf.DUMMYFUNCTION("""COMPUTED_VALUE"""),0.0)</f>
        <v>0</v>
      </c>
      <c r="M717" s="10">
        <f>IFERROR(__xludf.DUMMYFUNCTION("""COMPUTED_VALUE"""),0.0)</f>
        <v>0</v>
      </c>
      <c r="N717" s="10">
        <f>IFERROR(__xludf.DUMMYFUNCTION("""COMPUTED_VALUE"""),0.0)</f>
        <v>0</v>
      </c>
      <c r="O717" s="10">
        <f>IFERROR(__xludf.DUMMYFUNCTION("""COMPUTED_VALUE"""),0.0)</f>
        <v>0</v>
      </c>
      <c r="P717" s="10">
        <f>IFERROR(__xludf.DUMMYFUNCTION("""COMPUTED_VALUE"""),0.0)</f>
        <v>0</v>
      </c>
      <c r="Q717" s="10" t="str">
        <f>IFERROR(__xludf.DUMMYFUNCTION("""COMPUTED_VALUE"""),"No")</f>
        <v>No</v>
      </c>
      <c r="R717" s="10" t="str">
        <f>IFERROR(__xludf.DUMMYFUNCTION("""COMPUTED_VALUE"""),"No")</f>
        <v>No</v>
      </c>
      <c r="S717" s="10" t="str">
        <f>IFERROR(__xludf.DUMMYFUNCTION("""COMPUTED_VALUE"""),"No")</f>
        <v>No</v>
      </c>
      <c r="T717" s="10">
        <f>IFERROR(__xludf.DUMMYFUNCTION("""COMPUTED_VALUE"""),0.0)</f>
        <v>0</v>
      </c>
      <c r="U717" s="10">
        <f>IFERROR(__xludf.DUMMYFUNCTION("""COMPUTED_VALUE"""),0.0)</f>
        <v>0</v>
      </c>
      <c r="V717" s="10" t="str">
        <f>IFERROR(__xludf.DUMMYFUNCTION("""COMPUTED_VALUE"""),"حضور صلی اللہ علیہ وسلم کا اخلاق")</f>
        <v>حضور صلی اللہ علیہ وسلم کا اخلاق</v>
      </c>
      <c r="W717" s="10" t="str">
        <f>IFERROR(__xludf.DUMMYFUNCTION("""COMPUTED_VALUE"""),"نبی کریم صلی اللہ علیہ والہ وسلم کا اخلاق مبارک کائنات میں سب سے افضل ہے نبی کریم صلی اللہ علیہ ہ وسلم کے اخلاق سے نہ صرف مسلمان بلکہ کافر بھی متاثر تھے وہ نبی کریم صلی اللہ علیہ وسلم سے دشمنی کے باوجود اپنی مانتے اپنے اپ کے پاس رکھوایا کرتے تھے صحابہ کرا"&amp;"م کو اخلاق کی بنیاد پر جنت کی بشارت دی گئی نیکی اور بدی میں کیا فرق ہے اس کو بیان کیا گیا")</f>
        <v>نبی کریم صلی اللہ علیہ والہ وسلم کا اخلاق مبارک کائنات میں سب سے افضل ہے نبی کریم صلی اللہ علیہ ہ وسلم کے اخلاق سے نہ صرف مسلمان بلکہ کافر بھی متاثر تھے وہ نبی کریم صلی اللہ علیہ وسلم سے دشمنی کے باوجود اپنی مانتے اپنے اپ کے پاس رکھوایا کرتے تھے صحابہ کرام کو اخلاق کی بنیاد پر جنت کی بشارت دی گئی نیکی اور بدی میں کیا فرق ہے اس کو بیان کیا گیا</v>
      </c>
      <c r="X717" s="10">
        <f>IFERROR(__xludf.DUMMYFUNCTION("""COMPUTED_VALUE"""),4.0)</f>
        <v>4</v>
      </c>
      <c r="Y717" s="10">
        <f>IFERROR(__xludf.DUMMYFUNCTION("""COMPUTED_VALUE"""),6.0)</f>
        <v>6</v>
      </c>
      <c r="Z717" s="10">
        <f>IFERROR(__xludf.DUMMYFUNCTION("""COMPUTED_VALUE"""),4.0)</f>
        <v>4</v>
      </c>
      <c r="AA717" s="10">
        <f>IFERROR(__xludf.DUMMYFUNCTION("""COMPUTED_VALUE"""),7.0)</f>
        <v>7</v>
      </c>
      <c r="AB717" s="10">
        <f>IFERROR(__xludf.DUMMYFUNCTION("""COMPUTED_VALUE"""),3.0)</f>
        <v>3</v>
      </c>
      <c r="AC717" s="10">
        <f>IFERROR(__xludf.DUMMYFUNCTION("""COMPUTED_VALUE"""),0.0)</f>
        <v>0</v>
      </c>
      <c r="AD717" s="10">
        <f>IFERROR(__xludf.DUMMYFUNCTION("""COMPUTED_VALUE"""),0.0)</f>
        <v>0</v>
      </c>
      <c r="AE717" s="10">
        <f>IFERROR(__xludf.DUMMYFUNCTION("""COMPUTED_VALUE"""),2.0)</f>
        <v>2</v>
      </c>
      <c r="AF717" s="10">
        <f>IFERROR(__xludf.DUMMYFUNCTION("""COMPUTED_VALUE"""),4.0)</f>
        <v>4</v>
      </c>
      <c r="AG717" s="10">
        <f>IFERROR(__xludf.DUMMYFUNCTION("""COMPUTED_VALUE"""),9.0)</f>
        <v>9</v>
      </c>
      <c r="AH717" s="10">
        <f>IFERROR(__xludf.DUMMYFUNCTION("""COMPUTED_VALUE"""),0.0)</f>
        <v>0</v>
      </c>
      <c r="AI717" s="10">
        <f>IFERROR(__xludf.DUMMYFUNCTION("""COMPUTED_VALUE"""),9.0)</f>
        <v>9</v>
      </c>
      <c r="AJ717" s="11" t="str">
        <f>IFERROR(__xludf.DUMMYFUNCTION("""COMPUTED_VALUE"""),"https://drive.google.com/open?id=1LDvIHGT9ruVY6t6cJ1vIN0xDktWRtW0T")</f>
        <v>https://drive.google.com/open?id=1LDvIHGT9ruVY6t6cJ1vIN0xDktWRtW0T</v>
      </c>
      <c r="AK717" s="12"/>
      <c r="AL717" s="12"/>
      <c r="AM717" s="12"/>
      <c r="AN717" s="12" t="str">
        <f>IFERROR(__xludf.DUMMYFUNCTION("""COMPUTED_VALUE"""),"1st week")</f>
        <v>1st week</v>
      </c>
      <c r="AO717" s="13">
        <v>1.0</v>
      </c>
      <c r="AX717" s="17"/>
    </row>
    <row r="718">
      <c r="B718" s="9">
        <f>IFERROR(__xludf.DUMMYFUNCTION("""COMPUTED_VALUE"""),45930.79713712963)</f>
        <v>45930.79714</v>
      </c>
      <c r="C718" s="10" t="str">
        <f>IFERROR(__xludf.DUMMYFUNCTION("""COMPUTED_VALUE"""),"Javeria Abbas ")</f>
        <v>Javeria Abbas </v>
      </c>
      <c r="D718" s="10" t="str">
        <f>IFERROR(__xludf.DUMMYFUNCTION("""COMPUTED_VALUE"""),"03211539026")</f>
        <v>03211539026</v>
      </c>
      <c r="E718" s="10" t="str">
        <f>IFERROR(__xludf.DUMMYFUNCTION("""COMPUTED_VALUE"""),"Jamia Masjid Sarwarya Muhammad Shah Melsi")</f>
        <v>Jamia Masjid Sarwarya Muhammad Shah Melsi</v>
      </c>
      <c r="F718" s="10" t="str">
        <f>IFERROR(__xludf.DUMMYFUNCTION("""COMPUTED_VALUE"""),"IOTAE")</f>
        <v>IOTAE</v>
      </c>
      <c r="G718" s="10" t="str">
        <f>IFERROR(__xludf.DUMMYFUNCTION("""COMPUTED_VALUE"""),"Yes")</f>
        <v>Yes</v>
      </c>
      <c r="H718" s="10">
        <f>IFERROR(__xludf.DUMMYFUNCTION("""COMPUTED_VALUE"""),6.0)</f>
        <v>6</v>
      </c>
      <c r="I718" s="10">
        <f>IFERROR(__xludf.DUMMYFUNCTION("""COMPUTED_VALUE"""),0.0)</f>
        <v>0</v>
      </c>
      <c r="J718" s="10">
        <f>IFERROR(__xludf.DUMMYFUNCTION("""COMPUTED_VALUE"""),10.0)</f>
        <v>10</v>
      </c>
      <c r="K718" s="10">
        <f>IFERROR(__xludf.DUMMYFUNCTION("""COMPUTED_VALUE"""),10.0)</f>
        <v>10</v>
      </c>
      <c r="L718" s="10">
        <f>IFERROR(__xludf.DUMMYFUNCTION("""COMPUTED_VALUE"""),0.0)</f>
        <v>0</v>
      </c>
      <c r="M718" s="10">
        <f>IFERROR(__xludf.DUMMYFUNCTION("""COMPUTED_VALUE"""),0.0)</f>
        <v>0</v>
      </c>
      <c r="N718" s="10">
        <f>IFERROR(__xludf.DUMMYFUNCTION("""COMPUTED_VALUE"""),0.0)</f>
        <v>0</v>
      </c>
      <c r="O718" s="10">
        <f>IFERROR(__xludf.DUMMYFUNCTION("""COMPUTED_VALUE"""),4.0)</f>
        <v>4</v>
      </c>
      <c r="P718" s="10">
        <f>IFERROR(__xludf.DUMMYFUNCTION("""COMPUTED_VALUE"""),0.0)</f>
        <v>0</v>
      </c>
      <c r="Q718" s="10" t="str">
        <f>IFERROR(__xludf.DUMMYFUNCTION("""COMPUTED_VALUE"""),"No")</f>
        <v>No</v>
      </c>
      <c r="R718" s="10" t="str">
        <f>IFERROR(__xludf.DUMMYFUNCTION("""COMPUTED_VALUE"""),"No")</f>
        <v>No</v>
      </c>
      <c r="S718" s="10" t="str">
        <f>IFERROR(__xludf.DUMMYFUNCTION("""COMPUTED_VALUE"""),"No")</f>
        <v>No</v>
      </c>
      <c r="T718" s="10">
        <f>IFERROR(__xludf.DUMMYFUNCTION("""COMPUTED_VALUE"""),0.0)</f>
        <v>0</v>
      </c>
      <c r="U718" s="10">
        <f>IFERROR(__xludf.DUMMYFUNCTION("""COMPUTED_VALUE"""),0.0)</f>
        <v>0</v>
      </c>
      <c r="V718" s="10" t="str">
        <f>IFERROR(__xludf.DUMMYFUNCTION("""COMPUTED_VALUE"""),"عورتوں کے حقوق اور جنگوں میں ان کا کردار")</f>
        <v>عورتوں کے حقوق اور جنگوں میں ان کا کردار</v>
      </c>
      <c r="W718" s="10" t="str">
        <f>IFERROR(__xludf.DUMMYFUNCTION("""COMPUTED_VALUE"""),"امام نے بتایا کہ کس طرح حضرت صفیہ اور حضرت عائشہ حضرت ام مارا جنگوں میں صحابیات کے ساتھ انجام دیتی رہیں")</f>
        <v>امام نے بتایا کہ کس طرح حضرت صفیہ اور حضرت عائشہ حضرت ام مارا جنگوں میں صحابیات کے ساتھ انجام دیتی رہیں</v>
      </c>
      <c r="X718" s="10">
        <f>IFERROR(__xludf.DUMMYFUNCTION("""COMPUTED_VALUE"""),0.0)</f>
        <v>0</v>
      </c>
      <c r="Y718" s="10">
        <f>IFERROR(__xludf.DUMMYFUNCTION("""COMPUTED_VALUE"""),5.0)</f>
        <v>5</v>
      </c>
      <c r="Z718" s="10">
        <f>IFERROR(__xludf.DUMMYFUNCTION("""COMPUTED_VALUE"""),8.0)</f>
        <v>8</v>
      </c>
      <c r="AA718" s="10">
        <f>IFERROR(__xludf.DUMMYFUNCTION("""COMPUTED_VALUE"""),8.0)</f>
        <v>8</v>
      </c>
      <c r="AB718" s="10">
        <f>IFERROR(__xludf.DUMMYFUNCTION("""COMPUTED_VALUE"""),7.0)</f>
        <v>7</v>
      </c>
      <c r="AC718" s="10">
        <f>IFERROR(__xludf.DUMMYFUNCTION("""COMPUTED_VALUE"""),5.0)</f>
        <v>5</v>
      </c>
      <c r="AD718" s="10">
        <f>IFERROR(__xludf.DUMMYFUNCTION("""COMPUTED_VALUE"""),6.0)</f>
        <v>6</v>
      </c>
      <c r="AE718" s="10">
        <f>IFERROR(__xludf.DUMMYFUNCTION("""COMPUTED_VALUE"""),0.0)</f>
        <v>0</v>
      </c>
      <c r="AF718" s="10">
        <f>IFERROR(__xludf.DUMMYFUNCTION("""COMPUTED_VALUE"""),0.0)</f>
        <v>0</v>
      </c>
      <c r="AG718" s="10">
        <f>IFERROR(__xludf.DUMMYFUNCTION("""COMPUTED_VALUE"""),9.0)</f>
        <v>9</v>
      </c>
      <c r="AH718" s="10">
        <f>IFERROR(__xludf.DUMMYFUNCTION("""COMPUTED_VALUE"""),0.0)</f>
        <v>0</v>
      </c>
      <c r="AI718" s="10">
        <f>IFERROR(__xludf.DUMMYFUNCTION("""COMPUTED_VALUE"""),9.0)</f>
        <v>9</v>
      </c>
      <c r="AJ718" s="11" t="str">
        <f>IFERROR(__xludf.DUMMYFUNCTION("""COMPUTED_VALUE"""),"https://drive.google.com/open?id=1Ql-G1Ugl1DufFPxCI-wvbxXEUzt288YWYgMxb9MHppg")</f>
        <v>https://drive.google.com/open?id=1Ql-G1Ugl1DufFPxCI-wvbxXEUzt288YWYgMxb9MHppg</v>
      </c>
      <c r="AK718" s="12"/>
      <c r="AL718" s="12" t="str">
        <f>IFERROR(__xludf.DUMMYFUNCTION("""COMPUTED_VALUE"""),"Yes")</f>
        <v>Yes</v>
      </c>
      <c r="AM718" s="15">
        <f>IFERROR(__xludf.DUMMYFUNCTION("""COMPUTED_VALUE"""),1.0)</f>
        <v>1</v>
      </c>
      <c r="AN718" s="12" t="str">
        <f>IFERROR(__xludf.DUMMYFUNCTION("""COMPUTED_VALUE"""),"2nd week")</f>
        <v>2nd week</v>
      </c>
      <c r="AO718" s="13">
        <v>2.0</v>
      </c>
      <c r="AX718" s="17"/>
    </row>
    <row r="719">
      <c r="B719" s="9">
        <f>IFERROR(__xludf.DUMMYFUNCTION("""COMPUTED_VALUE"""),45930.84515302083)</f>
        <v>45930.84515</v>
      </c>
      <c r="C719" s="10" t="str">
        <f>IFERROR(__xludf.DUMMYFUNCTION("""COMPUTED_VALUE"""),"Sidra ")</f>
        <v>Sidra </v>
      </c>
      <c r="D719" s="10" t="str">
        <f>IFERROR(__xludf.DUMMYFUNCTION("""COMPUTED_VALUE"""),"03261416280")</f>
        <v>03261416280</v>
      </c>
      <c r="E719" s="10" t="str">
        <f>IFERROR(__xludf.DUMMYFUNCTION("""COMPUTED_VALUE"""),"Jamia Masjid Galah Mandi Arifwala")</f>
        <v>Jamia Masjid Galah Mandi Arifwala</v>
      </c>
      <c r="F719" s="10" t="str">
        <f>IFERROR(__xludf.DUMMYFUNCTION("""COMPUTED_VALUE"""),"EARRA")</f>
        <v>EARRA</v>
      </c>
      <c r="G719" s="10" t="str">
        <f>IFERROR(__xludf.DUMMYFUNCTION("""COMPUTED_VALUE"""),"Yes")</f>
        <v>Yes</v>
      </c>
      <c r="H719" s="10">
        <f>IFERROR(__xludf.DUMMYFUNCTION("""COMPUTED_VALUE"""),2.0)</f>
        <v>2</v>
      </c>
      <c r="I719" s="10">
        <f>IFERROR(__xludf.DUMMYFUNCTION("""COMPUTED_VALUE"""),8.0)</f>
        <v>8</v>
      </c>
      <c r="J719" s="10">
        <f>IFERROR(__xludf.DUMMYFUNCTION("""COMPUTED_VALUE"""),2.0)</f>
        <v>2</v>
      </c>
      <c r="K719" s="10">
        <f>IFERROR(__xludf.DUMMYFUNCTION("""COMPUTED_VALUE"""),2.0)</f>
        <v>2</v>
      </c>
      <c r="L719" s="10">
        <f>IFERROR(__xludf.DUMMYFUNCTION("""COMPUTED_VALUE"""),8.0)</f>
        <v>8</v>
      </c>
      <c r="M719" s="10">
        <f>IFERROR(__xludf.DUMMYFUNCTION("""COMPUTED_VALUE"""),1.0)</f>
        <v>1</v>
      </c>
      <c r="N719" s="10">
        <f>IFERROR(__xludf.DUMMYFUNCTION("""COMPUTED_VALUE"""),7.0)</f>
        <v>7</v>
      </c>
      <c r="O719" s="10">
        <f>IFERROR(__xludf.DUMMYFUNCTION("""COMPUTED_VALUE"""),0.0)</f>
        <v>0</v>
      </c>
      <c r="P719" s="10">
        <f>IFERROR(__xludf.DUMMYFUNCTION("""COMPUTED_VALUE"""),0.0)</f>
        <v>0</v>
      </c>
      <c r="Q719" s="10" t="str">
        <f>IFERROR(__xludf.DUMMYFUNCTION("""COMPUTED_VALUE"""),"No")</f>
        <v>No</v>
      </c>
      <c r="R719" s="10" t="str">
        <f>IFERROR(__xludf.DUMMYFUNCTION("""COMPUTED_VALUE"""),"No")</f>
        <v>No</v>
      </c>
      <c r="S719" s="10" t="str">
        <f>IFERROR(__xludf.DUMMYFUNCTION("""COMPUTED_VALUE"""),"No")</f>
        <v>No</v>
      </c>
      <c r="T719" s="10">
        <f>IFERROR(__xludf.DUMMYFUNCTION("""COMPUTED_VALUE"""),0.0)</f>
        <v>0</v>
      </c>
      <c r="U719" s="10">
        <f>IFERROR(__xludf.DUMMYFUNCTION("""COMPUTED_VALUE"""),0.0)</f>
        <v>0</v>
      </c>
      <c r="V719" s="10" t="str">
        <f>IFERROR(__xludf.DUMMYFUNCTION("""COMPUTED_VALUE"""),"اسلامی تعلیمات اور عورتوں کے حقوق")</f>
        <v>اسلامی تعلیمات اور عورتوں کے حقوق</v>
      </c>
      <c r="W719" s="10" t="str">
        <f>IFERROR(__xludf.DUMMYFUNCTION("""COMPUTED_VALUE"""),"امام نے بیان میں بتایا ہے کہ نبی کریم صلی اللہ علیہ وسلم نے ایک شخص کو پانچ نصیحتیں کی پہلی نصیحت یہ کہ کبھی بھی کسی کو گالی نہ دینا دوسری نصیحت یہ کی کہ جب بھی کسی سے ملو تو اچھے سے ملو خوش اخلاقی سے ملو تیسری نصیحت یہ کہ کبھی بھی کسی نیکی کو چھوٹی نہ سم"&amp;"جھنا اور نہ ہی کبھی کسی گناہ کو چھوٹا سمجھنا چوتھی نصیحت یہ کی کے کبھی کسی مسلمان بھائی کو شرمندہ نہ کرنا اور پانچویں نصیحت یہ کی کہ کبھی بھی تکبر میں ا کر اپنی شلوار کا پہنچا ٹخنوں سے نیچے نہ کرنا اور فرمایا کہ اگر تم ان پانچ نصیحتوں پر عمل کرو گے تو تمہ"&amp;"اری دنیا اور اخرت سنوار جائے گی اس کے علاوہ امام نے بیان میں بتایا ہے کہ نبی کریم صلی اللہ علیہ وسلم کے آنے سے پہلے عورتوں کو برا سمجھا جاتا تھا ان سے اچھا سلوک نہیں کیا جاتا تھا بیٹے اپنی ماں کو بازار میں بیچ دیا کرتے تھے بیٹیوں کو زندہ درگو کر دیا جاتا "&amp;"تھا۔ ")</f>
        <v>امام نے بیان میں بتایا ہے کہ نبی کریم صلی اللہ علیہ وسلم نے ایک شخص کو پانچ نصیحتیں کی پہلی نصیحت یہ کہ کبھی بھی کسی کو گالی نہ دینا دوسری نصیحت یہ کی کہ جب بھی کسی سے ملو تو اچھے سے ملو خوش اخلاقی سے ملو تیسری نصیحت یہ کہ کبھی بھی کسی نیکی کو چھوٹی نہ سمجھنا اور نہ ہی کبھی کسی گناہ کو چھوٹا سمجھنا چوتھی نصیحت یہ کی کے کبھی کسی مسلمان بھائی کو شرمندہ نہ کرنا اور پانچویں نصیحت یہ کی کہ کبھی بھی تکبر میں ا کر اپنی شلوار کا پہنچا ٹخنوں سے نیچے نہ کرنا اور فرمایا کہ اگر تم ان پانچ نصیحتوں پر عمل کرو گے تو تمہاری دنیا اور اخرت سنوار جائے گی اس کے علاوہ امام نے بیان میں بتایا ہے کہ نبی کریم صلی اللہ علیہ وسلم کے آنے سے پہلے عورتوں کو برا سمجھا جاتا تھا ان سے اچھا سلوک نہیں کیا جاتا تھا بیٹے اپنی ماں کو بازار میں بیچ دیا کرتے تھے بیٹیوں کو زندہ درگو کر دیا جاتا تھا۔ </v>
      </c>
      <c r="X719" s="10">
        <f>IFERROR(__xludf.DUMMYFUNCTION("""COMPUTED_VALUE"""),2.0)</f>
        <v>2</v>
      </c>
      <c r="Y719" s="10">
        <f>IFERROR(__xludf.DUMMYFUNCTION("""COMPUTED_VALUE"""),9.0)</f>
        <v>9</v>
      </c>
      <c r="Z719" s="10">
        <f>IFERROR(__xludf.DUMMYFUNCTION("""COMPUTED_VALUE"""),8.0)</f>
        <v>8</v>
      </c>
      <c r="AA719" s="10">
        <f>IFERROR(__xludf.DUMMYFUNCTION("""COMPUTED_VALUE"""),6.0)</f>
        <v>6</v>
      </c>
      <c r="AB719" s="10">
        <f>IFERROR(__xludf.DUMMYFUNCTION("""COMPUTED_VALUE"""),4.0)</f>
        <v>4</v>
      </c>
      <c r="AC719" s="10">
        <f>IFERROR(__xludf.DUMMYFUNCTION("""COMPUTED_VALUE"""),0.0)</f>
        <v>0</v>
      </c>
      <c r="AD719" s="10">
        <f>IFERROR(__xludf.DUMMYFUNCTION("""COMPUTED_VALUE"""),0.0)</f>
        <v>0</v>
      </c>
      <c r="AE719" s="10">
        <f>IFERROR(__xludf.DUMMYFUNCTION("""COMPUTED_VALUE"""),0.0)</f>
        <v>0</v>
      </c>
      <c r="AF719" s="10">
        <f>IFERROR(__xludf.DUMMYFUNCTION("""COMPUTED_VALUE"""),0.0)</f>
        <v>0</v>
      </c>
      <c r="AG719" s="10">
        <f>IFERROR(__xludf.DUMMYFUNCTION("""COMPUTED_VALUE"""),9.0)</f>
        <v>9</v>
      </c>
      <c r="AH719" s="10">
        <f>IFERROR(__xludf.DUMMYFUNCTION("""COMPUTED_VALUE"""),0.0)</f>
        <v>0</v>
      </c>
      <c r="AI719" s="10">
        <f>IFERROR(__xludf.DUMMYFUNCTION("""COMPUTED_VALUE"""),9.0)</f>
        <v>9</v>
      </c>
      <c r="AJ719" s="11" t="str">
        <f>IFERROR(__xludf.DUMMYFUNCTION("""COMPUTED_VALUE"""),"https://drive.google.com/open?id=1NQPPBmyYZAiwsLFA75RgEDBCFulQ6a2rzdNCAnak22I")</f>
        <v>https://drive.google.com/open?id=1NQPPBmyYZAiwsLFA75RgEDBCFulQ6a2rzdNCAnak22I</v>
      </c>
      <c r="AK719" s="12" t="str">
        <f>IFERROR(__xludf.DUMMYFUNCTION("""COMPUTED_VALUE"""),"No ")</f>
        <v>No </v>
      </c>
      <c r="AL719" s="12" t="str">
        <f>IFERROR(__xludf.DUMMYFUNCTION("""COMPUTED_VALUE"""),"Yes")</f>
        <v>Yes</v>
      </c>
      <c r="AM719" s="15">
        <f>IFERROR(__xludf.DUMMYFUNCTION("""COMPUTED_VALUE"""),0.2)</f>
        <v>0.2</v>
      </c>
      <c r="AN719" s="12" t="str">
        <f>IFERROR(__xludf.DUMMYFUNCTION("""COMPUTED_VALUE"""),"1st week")</f>
        <v>1st week</v>
      </c>
      <c r="AO719" s="13">
        <v>1.0</v>
      </c>
      <c r="AX719" s="17"/>
    </row>
    <row r="720">
      <c r="B720" s="9">
        <f>IFERROR(__xludf.DUMMYFUNCTION("""COMPUTED_VALUE"""),45930.99903784722)</f>
        <v>45930.99904</v>
      </c>
      <c r="C720" s="10" t="str">
        <f>IFERROR(__xludf.DUMMYFUNCTION("""COMPUTED_VALUE"""),"Saira Shahzad ")</f>
        <v>Saira Shahzad </v>
      </c>
      <c r="D720" s="10" t="str">
        <f>IFERROR(__xludf.DUMMYFUNCTION("""COMPUTED_VALUE"""),"03114534696")</f>
        <v>03114534696</v>
      </c>
      <c r="E720" s="10" t="str">
        <f>IFERROR(__xludf.DUMMYFUNCTION("""COMPUTED_VALUE"""),"Jamia Masjid Gaalah Mandi Shahiwal")</f>
        <v>Jamia Masjid Gaalah Mandi Shahiwal</v>
      </c>
      <c r="F720" s="10" t="str">
        <f>IFERROR(__xludf.DUMMYFUNCTION("""COMPUTED_VALUE"""),"USAOU")</f>
        <v>USAOU</v>
      </c>
      <c r="G720" s="10" t="str">
        <f>IFERROR(__xludf.DUMMYFUNCTION("""COMPUTED_VALUE"""),"Yes")</f>
        <v>Yes</v>
      </c>
      <c r="H720" s="10">
        <f>IFERROR(__xludf.DUMMYFUNCTION("""COMPUTED_VALUE"""),0.0)</f>
        <v>0</v>
      </c>
      <c r="I720" s="10">
        <f>IFERROR(__xludf.DUMMYFUNCTION("""COMPUTED_VALUE"""),10.0)</f>
        <v>10</v>
      </c>
      <c r="J720" s="10">
        <f>IFERROR(__xludf.DUMMYFUNCTION("""COMPUTED_VALUE"""),0.0)</f>
        <v>0</v>
      </c>
      <c r="K720" s="10">
        <f>IFERROR(__xludf.DUMMYFUNCTION("""COMPUTED_VALUE"""),0.0)</f>
        <v>0</v>
      </c>
      <c r="L720" s="10">
        <f>IFERROR(__xludf.DUMMYFUNCTION("""COMPUTED_VALUE"""),0.0)</f>
        <v>0</v>
      </c>
      <c r="M720" s="10">
        <f>IFERROR(__xludf.DUMMYFUNCTION("""COMPUTED_VALUE"""),0.0)</f>
        <v>0</v>
      </c>
      <c r="N720" s="10">
        <f>IFERROR(__xludf.DUMMYFUNCTION("""COMPUTED_VALUE"""),0.0)</f>
        <v>0</v>
      </c>
      <c r="O720" s="10">
        <f>IFERROR(__xludf.DUMMYFUNCTION("""COMPUTED_VALUE"""),0.0)</f>
        <v>0</v>
      </c>
      <c r="P720" s="10">
        <f>IFERROR(__xludf.DUMMYFUNCTION("""COMPUTED_VALUE"""),0.0)</f>
        <v>0</v>
      </c>
      <c r="Q720" s="10" t="str">
        <f>IFERROR(__xludf.DUMMYFUNCTION("""COMPUTED_VALUE"""),"No")</f>
        <v>No</v>
      </c>
      <c r="R720" s="10" t="str">
        <f>IFERROR(__xludf.DUMMYFUNCTION("""COMPUTED_VALUE"""),"No")</f>
        <v>No</v>
      </c>
      <c r="S720" s="10" t="str">
        <f>IFERROR(__xludf.DUMMYFUNCTION("""COMPUTED_VALUE"""),"No")</f>
        <v>No</v>
      </c>
      <c r="T720" s="10">
        <f>IFERROR(__xludf.DUMMYFUNCTION("""COMPUTED_VALUE"""),0.0)</f>
        <v>0</v>
      </c>
      <c r="U720" s="10">
        <f>IFERROR(__xludf.DUMMYFUNCTION("""COMPUTED_VALUE"""),0.0)</f>
        <v>0</v>
      </c>
      <c r="V720" s="10" t="str">
        <f>IFERROR(__xludf.DUMMYFUNCTION("""COMPUTED_VALUE"""),"نبی کریم صلی اللہ علیہ والہ وسلم سے محبت")</f>
        <v>نبی کریم صلی اللہ علیہ والہ وسلم سے محبت</v>
      </c>
      <c r="W720" s="10" t="str">
        <f>IFERROR(__xludf.DUMMYFUNCTION("""COMPUTED_VALUE"""),"امام نے اپنے بیان میں تین طرح کے محبتوں کا ذکر کیا ہے پہلی محبت پروانے کو شمع سے دوسری محبت مچھلی کو پانی سے اور تیسری چکور کو چاند سے پر ان سب محبتوں سے زیادہ اللہ تعالی کو اپنے بندے سے اتنی محبت ہے کہ اللہ تعالی فرماتا ہے کہ کوئی بندہ اگر ایک قدم میری ط"&amp;"رف بڑھاتا ہے تو میں دس قدم اس کی طرف بڑھاتا ہوں اور دل میں نبی پاک صلی اللہ علیہ والہ وسلم کی محبت نہیں ہے تو کچھ بھی نہیں ہے اور امام نے اپنے بیان میں نبی پاک صلی اللہ علیہ والہ وسلم سے محبت کے واقعات بیان کیے ہیں جن سے یہ ظاہر ہوتا ہے کہ ہمارا دین اس وق"&amp;"ت مکمل ہوتا ہے جب ہمارے دل میں اللہ کے بعد اس کے نبی کی محبت سب سے زیادہ نہ ہو اور نبی پاک صلی اللہ علیہ والہ وسلم کی ناموس کی حفاظت کرنا ہر مسلمان پر فرض ہے")</f>
        <v>امام نے اپنے بیان میں تین طرح کے محبتوں کا ذکر کیا ہے پہلی محبت پروانے کو شمع سے دوسری محبت مچھلی کو پانی سے اور تیسری چکور کو چاند سے پر ان سب محبتوں سے زیادہ اللہ تعالی کو اپنے بندے سے اتنی محبت ہے کہ اللہ تعالی فرماتا ہے کہ کوئی بندہ اگر ایک قدم میری طرف بڑھاتا ہے تو میں دس قدم اس کی طرف بڑھاتا ہوں اور دل میں نبی پاک صلی اللہ علیہ والہ وسلم کی محبت نہیں ہے تو کچھ بھی نہیں ہے اور امام نے اپنے بیان میں نبی پاک صلی اللہ علیہ والہ وسلم سے محبت کے واقعات بیان کیے ہیں جن سے یہ ظاہر ہوتا ہے کہ ہمارا دین اس وقت مکمل ہوتا ہے جب ہمارے دل میں اللہ کے بعد اس کے نبی کی محبت سب سے زیادہ نہ ہو اور نبی پاک صلی اللہ علیہ والہ وسلم کی ناموس کی حفاظت کرنا ہر مسلمان پر فرض ہے</v>
      </c>
      <c r="X720" s="10">
        <f>IFERROR(__xludf.DUMMYFUNCTION("""COMPUTED_VALUE"""),2.0)</f>
        <v>2</v>
      </c>
      <c r="Y720" s="10">
        <f>IFERROR(__xludf.DUMMYFUNCTION("""COMPUTED_VALUE"""),7.0)</f>
        <v>7</v>
      </c>
      <c r="Z720" s="10">
        <f>IFERROR(__xludf.DUMMYFUNCTION("""COMPUTED_VALUE"""),6.0)</f>
        <v>6</v>
      </c>
      <c r="AA720" s="10">
        <f>IFERROR(__xludf.DUMMYFUNCTION("""COMPUTED_VALUE"""),8.0)</f>
        <v>8</v>
      </c>
      <c r="AB720" s="10">
        <f>IFERROR(__xludf.DUMMYFUNCTION("""COMPUTED_VALUE"""),8.0)</f>
        <v>8</v>
      </c>
      <c r="AC720" s="10">
        <f>IFERROR(__xludf.DUMMYFUNCTION("""COMPUTED_VALUE"""),0.0)</f>
        <v>0</v>
      </c>
      <c r="AD720" s="10">
        <f>IFERROR(__xludf.DUMMYFUNCTION("""COMPUTED_VALUE"""),3.0)</f>
        <v>3</v>
      </c>
      <c r="AE720" s="10">
        <f>IFERROR(__xludf.DUMMYFUNCTION("""COMPUTED_VALUE"""),6.0)</f>
        <v>6</v>
      </c>
      <c r="AF720" s="10">
        <f>IFERROR(__xludf.DUMMYFUNCTION("""COMPUTED_VALUE"""),8.0)</f>
        <v>8</v>
      </c>
      <c r="AG720" s="10">
        <f>IFERROR(__xludf.DUMMYFUNCTION("""COMPUTED_VALUE"""),8.0)</f>
        <v>8</v>
      </c>
      <c r="AH720" s="10">
        <f>IFERROR(__xludf.DUMMYFUNCTION("""COMPUTED_VALUE"""),0.0)</f>
        <v>0</v>
      </c>
      <c r="AI720" s="10">
        <f>IFERROR(__xludf.DUMMYFUNCTION("""COMPUTED_VALUE"""),8.0)</f>
        <v>8</v>
      </c>
      <c r="AJ720" s="11" t="str">
        <f>IFERROR(__xludf.DUMMYFUNCTION("""COMPUTED_VALUE"""),"https://drive.google.com/open?id=1keuMrxneNr9QcoBQxCVZ_ySbb12eLEpp4Bi1TSgoScg")</f>
        <v>https://drive.google.com/open?id=1keuMrxneNr9QcoBQxCVZ_ySbb12eLEpp4Bi1TSgoScg</v>
      </c>
      <c r="AK720" s="12" t="str">
        <f>IFERROR(__xludf.DUMMYFUNCTION("""COMPUTED_VALUE"""),"No")</f>
        <v>No</v>
      </c>
      <c r="AL720" s="12" t="str">
        <f>IFERROR(__xludf.DUMMYFUNCTION("""COMPUTED_VALUE"""),"No")</f>
        <v>No</v>
      </c>
      <c r="AM720" s="15">
        <f>IFERROR(__xludf.DUMMYFUNCTION("""COMPUTED_VALUE"""),0.0)</f>
        <v>0</v>
      </c>
      <c r="AN720" s="12" t="str">
        <f>IFERROR(__xludf.DUMMYFUNCTION("""COMPUTED_VALUE"""),"1st week")</f>
        <v>1st week</v>
      </c>
      <c r="AO720" s="13">
        <v>1.0</v>
      </c>
      <c r="AX720" s="17"/>
    </row>
    <row r="721">
      <c r="B721" s="9">
        <f>IFERROR(__xludf.DUMMYFUNCTION("""COMPUTED_VALUE"""),45931.181923738426)</f>
        <v>45931.18192</v>
      </c>
      <c r="C721" s="10" t="str">
        <f>IFERROR(__xludf.DUMMYFUNCTION("""COMPUTED_VALUE"""),"Javeria Abbas ")</f>
        <v>Javeria Abbas </v>
      </c>
      <c r="D721" s="10" t="str">
        <f>IFERROR(__xludf.DUMMYFUNCTION("""COMPUTED_VALUE"""),"03211539026")</f>
        <v>03211539026</v>
      </c>
      <c r="E721" s="10" t="str">
        <f>IFERROR(__xludf.DUMMYFUNCTION("""COMPUTED_VALUE"""),"Jamia Masjid Gaalah Mandi Vehari")</f>
        <v>Jamia Masjid Gaalah Mandi Vehari</v>
      </c>
      <c r="F721" s="10" t="str">
        <f>IFERROR(__xludf.DUMMYFUNCTION("""COMPUTED_VALUE"""),"UOMYF")</f>
        <v>UOMYF</v>
      </c>
      <c r="G721" s="10" t="str">
        <f>IFERROR(__xludf.DUMMYFUNCTION("""COMPUTED_VALUE"""),"Yes")</f>
        <v>Yes</v>
      </c>
      <c r="H721" s="10">
        <f>IFERROR(__xludf.DUMMYFUNCTION("""COMPUTED_VALUE"""),10.0)</f>
        <v>10</v>
      </c>
      <c r="I721" s="10">
        <f>IFERROR(__xludf.DUMMYFUNCTION("""COMPUTED_VALUE"""),0.0)</f>
        <v>0</v>
      </c>
      <c r="J721" s="10">
        <f>IFERROR(__xludf.DUMMYFUNCTION("""COMPUTED_VALUE"""),10.0)</f>
        <v>10</v>
      </c>
      <c r="K721" s="10">
        <f>IFERROR(__xludf.DUMMYFUNCTION("""COMPUTED_VALUE"""),10.0)</f>
        <v>10</v>
      </c>
      <c r="L721" s="10">
        <f>IFERROR(__xludf.DUMMYFUNCTION("""COMPUTED_VALUE"""),0.0)</f>
        <v>0</v>
      </c>
      <c r="M721" s="10">
        <f>IFERROR(__xludf.DUMMYFUNCTION("""COMPUTED_VALUE"""),0.0)</f>
        <v>0</v>
      </c>
      <c r="N721" s="10">
        <f>IFERROR(__xludf.DUMMYFUNCTION("""COMPUTED_VALUE"""),0.0)</f>
        <v>0</v>
      </c>
      <c r="O721" s="10">
        <f>IFERROR(__xludf.DUMMYFUNCTION("""COMPUTED_VALUE"""),7.0)</f>
        <v>7</v>
      </c>
      <c r="P721" s="10">
        <f>IFERROR(__xludf.DUMMYFUNCTION("""COMPUTED_VALUE"""),0.0)</f>
        <v>0</v>
      </c>
      <c r="Q721" s="10" t="str">
        <f>IFERROR(__xludf.DUMMYFUNCTION("""COMPUTED_VALUE"""),"No")</f>
        <v>No</v>
      </c>
      <c r="R721" s="10" t="str">
        <f>IFERROR(__xludf.DUMMYFUNCTION("""COMPUTED_VALUE"""),"No")</f>
        <v>No</v>
      </c>
      <c r="S721" s="10" t="str">
        <f>IFERROR(__xludf.DUMMYFUNCTION("""COMPUTED_VALUE"""),"No")</f>
        <v>No</v>
      </c>
      <c r="T721" s="10">
        <f>IFERROR(__xludf.DUMMYFUNCTION("""COMPUTED_VALUE"""),0.0)</f>
        <v>0</v>
      </c>
      <c r="U721" s="10">
        <f>IFERROR(__xludf.DUMMYFUNCTION("""COMPUTED_VALUE"""),0.0)</f>
        <v>0</v>
      </c>
      <c r="V721" s="10" t="str">
        <f>IFERROR(__xludf.DUMMYFUNCTION("""COMPUTED_VALUE"""),"عورت کے حقوق")</f>
        <v>عورت کے حقوق</v>
      </c>
      <c r="W721" s="10" t="str">
        <f>IFERROR(__xludf.DUMMYFUNCTION("""COMPUTED_VALUE"""),"امام نے اپنے بیان میں عورتوں کے حقوق بیوی کے حقوق ماں کے حقوق بہن کے حقوق بیٹی کے حقوق شوہر کے حقوق کے حوالے سے بات کی")</f>
        <v>امام نے اپنے بیان میں عورتوں کے حقوق بیوی کے حقوق ماں کے حقوق بہن کے حقوق بیٹی کے حقوق شوہر کے حقوق کے حوالے سے بات کی</v>
      </c>
      <c r="X721" s="10">
        <f>IFERROR(__xludf.DUMMYFUNCTION("""COMPUTED_VALUE"""),0.0)</f>
        <v>0</v>
      </c>
      <c r="Y721" s="10">
        <f>IFERROR(__xludf.DUMMYFUNCTION("""COMPUTED_VALUE"""),0.0)</f>
        <v>0</v>
      </c>
      <c r="Z721" s="10">
        <f>IFERROR(__xludf.DUMMYFUNCTION("""COMPUTED_VALUE"""),8.0)</f>
        <v>8</v>
      </c>
      <c r="AA721" s="10">
        <f>IFERROR(__xludf.DUMMYFUNCTION("""COMPUTED_VALUE"""),9.0)</f>
        <v>9</v>
      </c>
      <c r="AB721" s="10">
        <f>IFERROR(__xludf.DUMMYFUNCTION("""COMPUTED_VALUE"""),0.0)</f>
        <v>0</v>
      </c>
      <c r="AC721" s="10">
        <f>IFERROR(__xludf.DUMMYFUNCTION("""COMPUTED_VALUE"""),0.0)</f>
        <v>0</v>
      </c>
      <c r="AD721" s="10">
        <f>IFERROR(__xludf.DUMMYFUNCTION("""COMPUTED_VALUE"""),0.0)</f>
        <v>0</v>
      </c>
      <c r="AE721" s="10">
        <f>IFERROR(__xludf.DUMMYFUNCTION("""COMPUTED_VALUE"""),0.0)</f>
        <v>0</v>
      </c>
      <c r="AF721" s="10">
        <f>IFERROR(__xludf.DUMMYFUNCTION("""COMPUTED_VALUE"""),0.0)</f>
        <v>0</v>
      </c>
      <c r="AG721" s="10">
        <f>IFERROR(__xludf.DUMMYFUNCTION("""COMPUTED_VALUE"""),9.0)</f>
        <v>9</v>
      </c>
      <c r="AH721" s="10">
        <f>IFERROR(__xludf.DUMMYFUNCTION("""COMPUTED_VALUE"""),0.0)</f>
        <v>0</v>
      </c>
      <c r="AI721" s="10">
        <f>IFERROR(__xludf.DUMMYFUNCTION("""COMPUTED_VALUE"""),9.0)</f>
        <v>9</v>
      </c>
      <c r="AJ721" s="11" t="str">
        <f>IFERROR(__xludf.DUMMYFUNCTION("""COMPUTED_VALUE"""),"https://drive.google.com/open?id=10EG_xtbKnJ6n3AqDNp-kTtkp0OxuvUztJRv-twu21Z4")</f>
        <v>https://drive.google.com/open?id=10EG_xtbKnJ6n3AqDNp-kTtkp0OxuvUztJRv-twu21Z4</v>
      </c>
      <c r="AK721" s="12"/>
      <c r="AL721" s="12" t="str">
        <f>IFERROR(__xludf.DUMMYFUNCTION("""COMPUTED_VALUE"""),"Yes")</f>
        <v>Yes</v>
      </c>
      <c r="AM721" s="15">
        <f>IFERROR(__xludf.DUMMYFUNCTION("""COMPUTED_VALUE"""),1.0)</f>
        <v>1</v>
      </c>
      <c r="AN721" s="12" t="str">
        <f>IFERROR(__xludf.DUMMYFUNCTION("""COMPUTED_VALUE"""),"2nd week")</f>
        <v>2nd week</v>
      </c>
      <c r="AO721" s="13">
        <v>2.0</v>
      </c>
      <c r="AX721" s="17"/>
    </row>
    <row r="722">
      <c r="B722" s="9">
        <f>IFERROR(__xludf.DUMMYFUNCTION("""COMPUTED_VALUE"""),45931.23938034722)</f>
        <v>45931.23938</v>
      </c>
      <c r="C722" s="10" t="str">
        <f>IFERROR(__xludf.DUMMYFUNCTION("""COMPUTED_VALUE"""),"Atiqa ")</f>
        <v>Atiqa </v>
      </c>
      <c r="D722" s="10" t="str">
        <f>IFERROR(__xludf.DUMMYFUNCTION("""COMPUTED_VALUE"""),"03157519977")</f>
        <v>03157519977</v>
      </c>
      <c r="E722" s="10" t="str">
        <f>IFERROR(__xludf.DUMMYFUNCTION("""COMPUTED_VALUE"""),"Jamia Masjid Naali Wali Lodhra ")</f>
        <v>Jamia Masjid Naali Wali Lodhra </v>
      </c>
      <c r="F722" s="10" t="str">
        <f>IFERROR(__xludf.DUMMYFUNCTION("""COMPUTED_VALUE"""),"xdbpy")</f>
        <v>xdbpy</v>
      </c>
      <c r="G722" s="10" t="str">
        <f>IFERROR(__xludf.DUMMYFUNCTION("""COMPUTED_VALUE"""),"Yes")</f>
        <v>Yes</v>
      </c>
      <c r="H722" s="10">
        <f>IFERROR(__xludf.DUMMYFUNCTION("""COMPUTED_VALUE"""),2.0)</f>
        <v>2</v>
      </c>
      <c r="I722" s="10">
        <f>IFERROR(__xludf.DUMMYFUNCTION("""COMPUTED_VALUE"""),8.0)</f>
        <v>8</v>
      </c>
      <c r="J722" s="10">
        <f>IFERROR(__xludf.DUMMYFUNCTION("""COMPUTED_VALUE"""),4.0)</f>
        <v>4</v>
      </c>
      <c r="K722" s="10">
        <f>IFERROR(__xludf.DUMMYFUNCTION("""COMPUTED_VALUE"""),5.0)</f>
        <v>5</v>
      </c>
      <c r="L722" s="10">
        <f>IFERROR(__xludf.DUMMYFUNCTION("""COMPUTED_VALUE"""),0.0)</f>
        <v>0</v>
      </c>
      <c r="M722" s="10">
        <f>IFERROR(__xludf.DUMMYFUNCTION("""COMPUTED_VALUE"""),6.0)</f>
        <v>6</v>
      </c>
      <c r="N722" s="10">
        <f>IFERROR(__xludf.DUMMYFUNCTION("""COMPUTED_VALUE"""),0.0)</f>
        <v>0</v>
      </c>
      <c r="O722" s="10">
        <f>IFERROR(__xludf.DUMMYFUNCTION("""COMPUTED_VALUE"""),0.0)</f>
        <v>0</v>
      </c>
      <c r="P722" s="10">
        <f>IFERROR(__xludf.DUMMYFUNCTION("""COMPUTED_VALUE"""),0.0)</f>
        <v>0</v>
      </c>
      <c r="Q722" s="10" t="str">
        <f>IFERROR(__xludf.DUMMYFUNCTION("""COMPUTED_VALUE"""),"No")</f>
        <v>No</v>
      </c>
      <c r="R722" s="10" t="str">
        <f>IFERROR(__xludf.DUMMYFUNCTION("""COMPUTED_VALUE"""),"No")</f>
        <v>No</v>
      </c>
      <c r="S722" s="10" t="str">
        <f>IFERROR(__xludf.DUMMYFUNCTION("""COMPUTED_VALUE"""),"No")</f>
        <v>No</v>
      </c>
      <c r="T722" s="10">
        <f>IFERROR(__xludf.DUMMYFUNCTION("""COMPUTED_VALUE"""),0.0)</f>
        <v>0</v>
      </c>
      <c r="U722" s="10">
        <f>IFERROR(__xludf.DUMMYFUNCTION("""COMPUTED_VALUE"""),0.0)</f>
        <v>0</v>
      </c>
      <c r="V722" s="10" t="str">
        <f>IFERROR(__xludf.DUMMYFUNCTION("""COMPUTED_VALUE"""),"۱۔ انسانیت کی تخلیق ۲۔ قبل اسلام اور بعد عورت کے ساتھ سلوک ")</f>
        <v>۱۔ انسانیت کی تخلیق ۲۔ قبل اسلام اور بعد عورت کے ساتھ سلوک </v>
      </c>
      <c r="W722" s="10" t="str">
        <f>IFERROR(__xludf.DUMMYFUNCTION("""COMPUTED_VALUE"""),"اللہ رب العزت کا ادم علیہ السلام کی تخلیق فرمانا اور بائیں پسلی سے اماں حوا کو پیدا کرنا ، عورت سے نسل کا سلسلہ چلنا ، مریم علیہ السلام کی پیدائش اور ان کی پرورش کے لیے بیت المقدس میں قرعہ ڈلنا اور اپ علیہ السلام کے خالو زکریا علیہ السلام کے ذمے مریم علیہ"&amp;" السلام کی پرورش انا،  حضور صلی اللہ علیہ وسلم کے چچا کی وفات پر ان کی بیٹی کی پرورش کی ذمہ داری ان کے خالو جعفر رضی اللہ تعالی عنہ کو ملنا ، قبل اسلام بیٹی کی پیدائش پر رویہ اور زندہ دفن کرنا ، بیٹی کی پرورش اور تربیت پر اجر و ثواب ملنا ، ")</f>
        <v>اللہ رب العزت کا ادم علیہ السلام کی تخلیق فرمانا اور بائیں پسلی سے اماں حوا کو پیدا کرنا ، عورت سے نسل کا سلسلہ چلنا ، مریم علیہ السلام کی پیدائش اور ان کی پرورش کے لیے بیت المقدس میں قرعہ ڈلنا اور اپ علیہ السلام کے خالو زکریا علیہ السلام کے ذمے مریم علیہ السلام کی پرورش انا،  حضور صلی اللہ علیہ وسلم کے چچا کی وفات پر ان کی بیٹی کی پرورش کی ذمہ داری ان کے خالو جعفر رضی اللہ تعالی عنہ کو ملنا ، قبل اسلام بیٹی کی پیدائش پر رویہ اور زندہ دفن کرنا ، بیٹی کی پرورش اور تربیت پر اجر و ثواب ملنا ، </v>
      </c>
      <c r="X722" s="10">
        <f>IFERROR(__xludf.DUMMYFUNCTION("""COMPUTED_VALUE"""),3.0)</f>
        <v>3</v>
      </c>
      <c r="Y722" s="10">
        <f>IFERROR(__xludf.DUMMYFUNCTION("""COMPUTED_VALUE"""),7.0)</f>
        <v>7</v>
      </c>
      <c r="Z722" s="10">
        <f>IFERROR(__xludf.DUMMYFUNCTION("""COMPUTED_VALUE"""),6.0)</f>
        <v>6</v>
      </c>
      <c r="AA722" s="10">
        <f>IFERROR(__xludf.DUMMYFUNCTION("""COMPUTED_VALUE"""),8.0)</f>
        <v>8</v>
      </c>
      <c r="AB722" s="10">
        <f>IFERROR(__xludf.DUMMYFUNCTION("""COMPUTED_VALUE"""),7.0)</f>
        <v>7</v>
      </c>
      <c r="AC722" s="10">
        <f>IFERROR(__xludf.DUMMYFUNCTION("""COMPUTED_VALUE"""),0.0)</f>
        <v>0</v>
      </c>
      <c r="AD722" s="10">
        <f>IFERROR(__xludf.DUMMYFUNCTION("""COMPUTED_VALUE"""),0.0)</f>
        <v>0</v>
      </c>
      <c r="AE722" s="10">
        <f>IFERROR(__xludf.DUMMYFUNCTION("""COMPUTED_VALUE"""),0.0)</f>
        <v>0</v>
      </c>
      <c r="AF722" s="10">
        <f>IFERROR(__xludf.DUMMYFUNCTION("""COMPUTED_VALUE"""),0.0)</f>
        <v>0</v>
      </c>
      <c r="AG722" s="10">
        <f>IFERROR(__xludf.DUMMYFUNCTION("""COMPUTED_VALUE"""),8.0)</f>
        <v>8</v>
      </c>
      <c r="AH722" s="10">
        <f>IFERROR(__xludf.DUMMYFUNCTION("""COMPUTED_VALUE"""),0.0)</f>
        <v>0</v>
      </c>
      <c r="AI722" s="10">
        <f>IFERROR(__xludf.DUMMYFUNCTION("""COMPUTED_VALUE"""),7.0)</f>
        <v>7</v>
      </c>
      <c r="AJ722" s="11" t="str">
        <f>IFERROR(__xludf.DUMMYFUNCTION("""COMPUTED_VALUE"""),"https://drive.google.com/open?id=1n5f8yH6n_oUkSzUAyqokHwZz93aQkltYj3Q46ZWsgvI")</f>
        <v>https://drive.google.com/open?id=1n5f8yH6n_oUkSzUAyqokHwZz93aQkltYj3Q46ZWsgvI</v>
      </c>
      <c r="AK722" s="12"/>
      <c r="AL722" s="12" t="str">
        <f>IFERROR(__xludf.DUMMYFUNCTION("""COMPUTED_VALUE"""),"Yes")</f>
        <v>Yes</v>
      </c>
      <c r="AM722" s="15">
        <f>IFERROR(__xludf.DUMMYFUNCTION("""COMPUTED_VALUE"""),0.4)</f>
        <v>0.4</v>
      </c>
      <c r="AN722" s="12" t="str">
        <f>IFERROR(__xludf.DUMMYFUNCTION("""COMPUTED_VALUE"""),"2nd week")</f>
        <v>2nd week</v>
      </c>
      <c r="AO722" s="13">
        <v>2.0</v>
      </c>
      <c r="AX722" s="17"/>
    </row>
    <row r="723">
      <c r="B723" s="9">
        <f>IFERROR(__xludf.DUMMYFUNCTION("""COMPUTED_VALUE"""),45931.34327453704)</f>
        <v>45931.34327</v>
      </c>
      <c r="C723" s="10" t="str">
        <f>IFERROR(__xludf.DUMMYFUNCTION("""COMPUTED_VALUE"""),"Maham")</f>
        <v>Maham</v>
      </c>
      <c r="D723" s="10" t="str">
        <f>IFERROR(__xludf.DUMMYFUNCTION("""COMPUTED_VALUE"""),"03218118680")</f>
        <v>03218118680</v>
      </c>
      <c r="E723" s="10" t="str">
        <f>IFERROR(__xludf.DUMMYFUNCTION("""COMPUTED_VALUE"""),"Jamia Masjid Taliyah Nawali Shahiwal")</f>
        <v>Jamia Masjid Taliyah Nawali Shahiwal</v>
      </c>
      <c r="F723" s="10" t="str">
        <f>IFERROR(__xludf.DUMMYFUNCTION("""COMPUTED_VALUE"""),"MIIDK")</f>
        <v>MIIDK</v>
      </c>
      <c r="G723" s="10" t="str">
        <f>IFERROR(__xludf.DUMMYFUNCTION("""COMPUTED_VALUE"""),"No")</f>
        <v>No</v>
      </c>
      <c r="H723" s="10"/>
      <c r="I723" s="10"/>
      <c r="J723" s="10"/>
      <c r="K723" s="10">
        <f>IFERROR(__xludf.DUMMYFUNCTION("""COMPUTED_VALUE"""),0.0)</f>
        <v>0</v>
      </c>
      <c r="L723" s="10">
        <f>IFERROR(__xludf.DUMMYFUNCTION("""COMPUTED_VALUE"""),0.0)</f>
        <v>0</v>
      </c>
      <c r="M723" s="10">
        <f>IFERROR(__xludf.DUMMYFUNCTION("""COMPUTED_VALUE"""),0.0)</f>
        <v>0</v>
      </c>
      <c r="N723" s="10">
        <f>IFERROR(__xludf.DUMMYFUNCTION("""COMPUTED_VALUE"""),0.0)</f>
        <v>0</v>
      </c>
      <c r="O723" s="10">
        <f>IFERROR(__xludf.DUMMYFUNCTION("""COMPUTED_VALUE"""),0.0)</f>
        <v>0</v>
      </c>
      <c r="P723" s="10">
        <f>IFERROR(__xludf.DUMMYFUNCTION("""COMPUTED_VALUE"""),0.0)</f>
        <v>0</v>
      </c>
      <c r="Q723" s="10" t="str">
        <f>IFERROR(__xludf.DUMMYFUNCTION("""COMPUTED_VALUE"""),"No")</f>
        <v>No</v>
      </c>
      <c r="R723" s="10" t="str">
        <f>IFERROR(__xludf.DUMMYFUNCTION("""COMPUTED_VALUE"""),"No")</f>
        <v>No</v>
      </c>
      <c r="S723" s="10" t="str">
        <f>IFERROR(__xludf.DUMMYFUNCTION("""COMPUTED_VALUE"""),"No")</f>
        <v>No</v>
      </c>
      <c r="T723" s="10">
        <f>IFERROR(__xludf.DUMMYFUNCTION("""COMPUTED_VALUE"""),0.0)</f>
        <v>0</v>
      </c>
      <c r="U723" s="10">
        <f>IFERROR(__xludf.DUMMYFUNCTION("""COMPUTED_VALUE"""),0.0)</f>
        <v>0</v>
      </c>
      <c r="V723" s="10" t="str">
        <f>IFERROR(__xludf.DUMMYFUNCTION("""COMPUTED_VALUE"""),"اللہ کی نیک ولی کا ذکر اور اللہ کی وحدانیت")</f>
        <v>اللہ کی نیک ولی کا ذکر اور اللہ کی وحدانیت</v>
      </c>
      <c r="W723" s="10" t="str">
        <f>IFERROR(__xludf.DUMMYFUNCTION("""COMPUTED_VALUE"""),"مولانا حسین کے بارے میں ان کے واقعات کو پیش کیا گیا اللہ کے برگزیدہ بندے تھے تو اللہ تعالی کی وحدانیت کو بھی عام کیا گیا اللہ کے سوا کوئی الہ نہیں")</f>
        <v>مولانا حسین کے بارے میں ان کے واقعات کو پیش کیا گیا اللہ کے برگزیدہ بندے تھے تو اللہ تعالی کی وحدانیت کو بھی عام کیا گیا اللہ کے سوا کوئی الہ نہیں</v>
      </c>
      <c r="X723" s="10">
        <f>IFERROR(__xludf.DUMMYFUNCTION("""COMPUTED_VALUE"""),6.0)</f>
        <v>6</v>
      </c>
      <c r="Y723" s="10">
        <f>IFERROR(__xludf.DUMMYFUNCTION("""COMPUTED_VALUE"""),4.0)</f>
        <v>4</v>
      </c>
      <c r="Z723" s="10">
        <f>IFERROR(__xludf.DUMMYFUNCTION("""COMPUTED_VALUE"""),7.0)</f>
        <v>7</v>
      </c>
      <c r="AA723" s="10">
        <f>IFERROR(__xludf.DUMMYFUNCTION("""COMPUTED_VALUE"""),8.0)</f>
        <v>8</v>
      </c>
      <c r="AB723" s="10">
        <f>IFERROR(__xludf.DUMMYFUNCTION("""COMPUTED_VALUE"""),6.0)</f>
        <v>6</v>
      </c>
      <c r="AC723" s="10">
        <f>IFERROR(__xludf.DUMMYFUNCTION("""COMPUTED_VALUE"""),0.0)</f>
        <v>0</v>
      </c>
      <c r="AD723" s="10">
        <f>IFERROR(__xludf.DUMMYFUNCTION("""COMPUTED_VALUE"""),0.0)</f>
        <v>0</v>
      </c>
      <c r="AE723" s="10">
        <f>IFERROR(__xludf.DUMMYFUNCTION("""COMPUTED_VALUE"""),0.0)</f>
        <v>0</v>
      </c>
      <c r="AF723" s="10">
        <f>IFERROR(__xludf.DUMMYFUNCTION("""COMPUTED_VALUE"""),4.0)</f>
        <v>4</v>
      </c>
      <c r="AG723" s="10">
        <f>IFERROR(__xludf.DUMMYFUNCTION("""COMPUTED_VALUE"""),6.0)</f>
        <v>6</v>
      </c>
      <c r="AH723" s="10">
        <f>IFERROR(__xludf.DUMMYFUNCTION("""COMPUTED_VALUE"""),1.0)</f>
        <v>1</v>
      </c>
      <c r="AI723" s="10">
        <f>IFERROR(__xludf.DUMMYFUNCTION("""COMPUTED_VALUE"""),6.0)</f>
        <v>6</v>
      </c>
      <c r="AJ723" s="11" t="str">
        <f>IFERROR(__xludf.DUMMYFUNCTION("""COMPUTED_VALUE"""),"https://drive.google.com/open?id=1fBGk4h18sfuP5PgJAgLSa_oeA8CAc7u3")</f>
        <v>https://drive.google.com/open?id=1fBGk4h18sfuP5PgJAgLSa_oeA8CAc7u3</v>
      </c>
      <c r="AK723" s="12" t="str">
        <f>IFERROR(__xludf.DUMMYFUNCTION("""COMPUTED_VALUE"""),"distortion audio too much ")</f>
        <v>distortion audio too much </v>
      </c>
      <c r="AL723" s="12"/>
      <c r="AM723" s="12"/>
      <c r="AN723" s="12" t="str">
        <f>IFERROR(__xludf.DUMMYFUNCTION("""COMPUTED_VALUE"""),"1st week")</f>
        <v>1st week</v>
      </c>
      <c r="AO723" s="13">
        <v>1.0</v>
      </c>
      <c r="AX723" s="17"/>
    </row>
    <row r="724">
      <c r="B724" s="9">
        <f>IFERROR(__xludf.DUMMYFUNCTION("""COMPUTED_VALUE"""),45931.46571802083)</f>
        <v>45931.46572</v>
      </c>
      <c r="C724" s="10" t="str">
        <f>IFERROR(__xludf.DUMMYFUNCTION("""COMPUTED_VALUE"""),"Maham")</f>
        <v>Maham</v>
      </c>
      <c r="D724" s="10" t="str">
        <f>IFERROR(__xludf.DUMMYFUNCTION("""COMPUTED_VALUE"""),"03218118680")</f>
        <v>03218118680</v>
      </c>
      <c r="E724" s="10" t="str">
        <f>IFERROR(__xludf.DUMMYFUNCTION("""COMPUTED_VALUE"""),"Jamia Masjid Sunhari Gol Chowk Sahiwal")</f>
        <v>Jamia Masjid Sunhari Gol Chowk Sahiwal</v>
      </c>
      <c r="F724" s="10" t="str">
        <f>IFERROR(__xludf.DUMMYFUNCTION("""COMPUTED_VALUE"""),"GTJBD")</f>
        <v>GTJBD</v>
      </c>
      <c r="G724" s="10" t="str">
        <f>IFERROR(__xludf.DUMMYFUNCTION("""COMPUTED_VALUE"""),"Yes")</f>
        <v>Yes</v>
      </c>
      <c r="H724" s="10">
        <f>IFERROR(__xludf.DUMMYFUNCTION("""COMPUTED_VALUE"""),5.0)</f>
        <v>5</v>
      </c>
      <c r="I724" s="10">
        <f>IFERROR(__xludf.DUMMYFUNCTION("""COMPUTED_VALUE"""),5.0)</f>
        <v>5</v>
      </c>
      <c r="J724" s="10">
        <f>IFERROR(__xludf.DUMMYFUNCTION("""COMPUTED_VALUE"""),10.0)</f>
        <v>10</v>
      </c>
      <c r="K724" s="10">
        <f>IFERROR(__xludf.DUMMYFUNCTION("""COMPUTED_VALUE"""),10.0)</f>
        <v>10</v>
      </c>
      <c r="L724" s="10">
        <f>IFERROR(__xludf.DUMMYFUNCTION("""COMPUTED_VALUE"""),0.0)</f>
        <v>0</v>
      </c>
      <c r="M724" s="10">
        <f>IFERROR(__xludf.DUMMYFUNCTION("""COMPUTED_VALUE"""),8.0)</f>
        <v>8</v>
      </c>
      <c r="N724" s="10">
        <f>IFERROR(__xludf.DUMMYFUNCTION("""COMPUTED_VALUE"""),0.0)</f>
        <v>0</v>
      </c>
      <c r="O724" s="10">
        <f>IFERROR(__xludf.DUMMYFUNCTION("""COMPUTED_VALUE"""),6.0)</f>
        <v>6</v>
      </c>
      <c r="P724" s="10">
        <f>IFERROR(__xludf.DUMMYFUNCTION("""COMPUTED_VALUE"""),0.0)</f>
        <v>0</v>
      </c>
      <c r="Q724" s="10" t="str">
        <f>IFERROR(__xludf.DUMMYFUNCTION("""COMPUTED_VALUE"""),"No")</f>
        <v>No</v>
      </c>
      <c r="R724" s="10" t="str">
        <f>IFERROR(__xludf.DUMMYFUNCTION("""COMPUTED_VALUE"""),"No")</f>
        <v>No</v>
      </c>
      <c r="S724" s="10" t="str">
        <f>IFERROR(__xludf.DUMMYFUNCTION("""COMPUTED_VALUE"""),"No")</f>
        <v>No</v>
      </c>
      <c r="T724" s="10">
        <f>IFERROR(__xludf.DUMMYFUNCTION("""COMPUTED_VALUE"""),0.0)</f>
        <v>0</v>
      </c>
      <c r="U724" s="10">
        <f>IFERROR(__xludf.DUMMYFUNCTION("""COMPUTED_VALUE"""),0.0)</f>
        <v>0</v>
      </c>
      <c r="V724" s="10" t="str">
        <f>IFERROR(__xludf.DUMMYFUNCTION("""COMPUTED_VALUE"""),"عورتوں کے حقوق")</f>
        <v>عورتوں کے حقوق</v>
      </c>
      <c r="W724" s="10" t="str">
        <f>IFERROR(__xludf.DUMMYFUNCTION("""COMPUTED_VALUE"""),"عورتوں کے حقوق پر بات کی گئی ان کے معاشی معاشرتی سیاسی کردار پر بات کی گئی اور کس طرح سے عورتوں کو عزت دینی چاہیے ان کے ساتھ کس طرح کا تعلق سلوک روا رکھنا چاہیے اور صحابہ کے دور میں کس طرح سے عورتوں کو عزت و مقام دیا جاتا تھا نبی کریم صلی اللہ علیہ والہ و"&amp;"سلم اپنی ازواج مطہرات کے ساتھ کس طرح کا سلوک کرتے تھے")</f>
        <v>عورتوں کے حقوق پر بات کی گئی ان کے معاشی معاشرتی سیاسی کردار پر بات کی گئی اور کس طرح سے عورتوں کو عزت دینی چاہیے ان کے ساتھ کس طرح کا تعلق سلوک روا رکھنا چاہیے اور صحابہ کے دور میں کس طرح سے عورتوں کو عزت و مقام دیا جاتا تھا نبی کریم صلی اللہ علیہ والہ وسلم اپنی ازواج مطہرات کے ساتھ کس طرح کا سلوک کرتے تھے</v>
      </c>
      <c r="X724" s="10">
        <f>IFERROR(__xludf.DUMMYFUNCTION("""COMPUTED_VALUE"""),0.0)</f>
        <v>0</v>
      </c>
      <c r="Y724" s="10">
        <f>IFERROR(__xludf.DUMMYFUNCTION("""COMPUTED_VALUE"""),10.0)</f>
        <v>10</v>
      </c>
      <c r="Z724" s="10">
        <f>IFERROR(__xludf.DUMMYFUNCTION("""COMPUTED_VALUE"""),4.0)</f>
        <v>4</v>
      </c>
      <c r="AA724" s="10">
        <f>IFERROR(__xludf.DUMMYFUNCTION("""COMPUTED_VALUE"""),7.0)</f>
        <v>7</v>
      </c>
      <c r="AB724" s="10">
        <f>IFERROR(__xludf.DUMMYFUNCTION("""COMPUTED_VALUE"""),6.0)</f>
        <v>6</v>
      </c>
      <c r="AC724" s="10">
        <f>IFERROR(__xludf.DUMMYFUNCTION("""COMPUTED_VALUE"""),4.0)</f>
        <v>4</v>
      </c>
      <c r="AD724" s="10">
        <f>IFERROR(__xludf.DUMMYFUNCTION("""COMPUTED_VALUE"""),4.0)</f>
        <v>4</v>
      </c>
      <c r="AE724" s="10">
        <f>IFERROR(__xludf.DUMMYFUNCTION("""COMPUTED_VALUE"""),0.0)</f>
        <v>0</v>
      </c>
      <c r="AF724" s="10">
        <f>IFERROR(__xludf.DUMMYFUNCTION("""COMPUTED_VALUE"""),0.0)</f>
        <v>0</v>
      </c>
      <c r="AG724" s="10">
        <f>IFERROR(__xludf.DUMMYFUNCTION("""COMPUTED_VALUE"""),9.0)</f>
        <v>9</v>
      </c>
      <c r="AH724" s="10">
        <f>IFERROR(__xludf.DUMMYFUNCTION("""COMPUTED_VALUE"""),0.0)</f>
        <v>0</v>
      </c>
      <c r="AI724" s="10">
        <f>IFERROR(__xludf.DUMMYFUNCTION("""COMPUTED_VALUE"""),9.0)</f>
        <v>9</v>
      </c>
      <c r="AJ724" s="11" t="str">
        <f>IFERROR(__xludf.DUMMYFUNCTION("""COMPUTED_VALUE"""),"https://drive.google.com/open?id=1YctZSSIfmv3fCeCgWcxMkaeOygTXGLeM")</f>
        <v>https://drive.google.com/open?id=1YctZSSIfmv3fCeCgWcxMkaeOygTXGLeM</v>
      </c>
      <c r="AK724" s="12"/>
      <c r="AL724" s="12" t="str">
        <f>IFERROR(__xludf.DUMMYFUNCTION("""COMPUTED_VALUE"""),"Yes")</f>
        <v>Yes</v>
      </c>
      <c r="AM724" s="15">
        <f>IFERROR(__xludf.DUMMYFUNCTION("""COMPUTED_VALUE"""),1.0)</f>
        <v>1</v>
      </c>
      <c r="AN724" s="12" t="str">
        <f>IFERROR(__xludf.DUMMYFUNCTION("""COMPUTED_VALUE"""),"2nd week")</f>
        <v>2nd week</v>
      </c>
      <c r="AO724" s="13">
        <v>2.0</v>
      </c>
      <c r="AX724" s="17"/>
    </row>
    <row r="725">
      <c r="B725" s="9">
        <f>IFERROR(__xludf.DUMMYFUNCTION("""COMPUTED_VALUE"""),45931.51940907407)</f>
        <v>45931.51941</v>
      </c>
      <c r="C725" s="10" t="str">
        <f>IFERROR(__xludf.DUMMYFUNCTION("""COMPUTED_VALUE"""),"Atiqa")</f>
        <v>Atiqa</v>
      </c>
      <c r="D725" s="10" t="str">
        <f>IFERROR(__xludf.DUMMYFUNCTION("""COMPUTED_VALUE"""),"03157519977")</f>
        <v>03157519977</v>
      </c>
      <c r="E725" s="10" t="str">
        <f>IFERROR(__xludf.DUMMYFUNCTION("""COMPUTED_VALUE"""),"Jamia Masjid Peer Ismail Multan")</f>
        <v>Jamia Masjid Peer Ismail Multan</v>
      </c>
      <c r="F725" s="10" t="str">
        <f>IFERROR(__xludf.DUMMYFUNCTION("""COMPUTED_VALUE"""),"dyrjs")</f>
        <v>dyrjs</v>
      </c>
      <c r="G725" s="10" t="str">
        <f>IFERROR(__xludf.DUMMYFUNCTION("""COMPUTED_VALUE"""),"Yes")</f>
        <v>Yes</v>
      </c>
      <c r="H725" s="10">
        <f>IFERROR(__xludf.DUMMYFUNCTION("""COMPUTED_VALUE"""),7.0)</f>
        <v>7</v>
      </c>
      <c r="I725" s="10">
        <f>IFERROR(__xludf.DUMMYFUNCTION("""COMPUTED_VALUE"""),3.0)</f>
        <v>3</v>
      </c>
      <c r="J725" s="10">
        <f>IFERROR(__xludf.DUMMYFUNCTION("""COMPUTED_VALUE"""),10.0)</f>
        <v>10</v>
      </c>
      <c r="K725" s="10">
        <f>IFERROR(__xludf.DUMMYFUNCTION("""COMPUTED_VALUE"""),0.0)</f>
        <v>0</v>
      </c>
      <c r="L725" s="10">
        <f>IFERROR(__xludf.DUMMYFUNCTION("""COMPUTED_VALUE"""),9.0)</f>
        <v>9</v>
      </c>
      <c r="M725" s="10">
        <f>IFERROR(__xludf.DUMMYFUNCTION("""COMPUTED_VALUE"""),0.0)</f>
        <v>0</v>
      </c>
      <c r="N725" s="10">
        <f>IFERROR(__xludf.DUMMYFUNCTION("""COMPUTED_VALUE"""),7.0)</f>
        <v>7</v>
      </c>
      <c r="O725" s="10">
        <f>IFERROR(__xludf.DUMMYFUNCTION("""COMPUTED_VALUE"""),0.0)</f>
        <v>0</v>
      </c>
      <c r="P725" s="10">
        <f>IFERROR(__xludf.DUMMYFUNCTION("""COMPUTED_VALUE"""),7.0)</f>
        <v>7</v>
      </c>
      <c r="Q725" s="10" t="str">
        <f>IFERROR(__xludf.DUMMYFUNCTION("""COMPUTED_VALUE"""),"No")</f>
        <v>No</v>
      </c>
      <c r="R725" s="10" t="str">
        <f>IFERROR(__xludf.DUMMYFUNCTION("""COMPUTED_VALUE"""),"Yes")</f>
        <v>Yes</v>
      </c>
      <c r="S725" s="10" t="str">
        <f>IFERROR(__xludf.DUMMYFUNCTION("""COMPUTED_VALUE"""),"Yes")</f>
        <v>Yes</v>
      </c>
      <c r="T725" s="10">
        <f>IFERROR(__xludf.DUMMYFUNCTION("""COMPUTED_VALUE"""),0.0)</f>
        <v>0</v>
      </c>
      <c r="U725" s="10">
        <f>IFERROR(__xludf.DUMMYFUNCTION("""COMPUTED_VALUE"""),0.0)</f>
        <v>0</v>
      </c>
      <c r="V725" s="10" t="str">
        <f>IFERROR(__xludf.DUMMYFUNCTION("""COMPUTED_VALUE"""),"پڑوسیوں کے حقوق ")</f>
        <v>پڑوسیوں کے حقوق </v>
      </c>
      <c r="W725" s="10" t="str">
        <f>IFERROR(__xludf.DUMMYFUNCTION("""COMPUTED_VALUE"""),"اپ صلی اللہ علیہ وسلم کی امد سے پہلے عرب میں جہالت اپ صلی اللہ علیہ وسلم کا اگ کر انسانیت کو سیدھا راستہ دکھانا اور اور انسان کے انسان پر مختلف حقوق بتانا ان میں سے پڑوسیوں کے حقوق بیان کیے ، جبرائیل جبرائیل علیہ السلام کا اپ صلی اللہ علیہ وسلم کو پڑوسیوں"&amp;" کے حقوق کی تاکید کرنا ، پڑوسی کے حقوق میں ضرورت مند پڑوسی کی مدد کرنا ، قرضہ دینا ، خوشی اور جنازے میں شرکت کرنا ، رنج و غم میں تسلی دینا ، بیماری میں عیادت کرنے پر فرشتوں کا دعا مغفرت کرنا، گلی محلے کو صاف کرنے اور ساری باتیں گھر کی خواتین کو بتانے کی ت"&amp;"لقین کی گئی ۔ ")</f>
        <v>اپ صلی اللہ علیہ وسلم کی امد سے پہلے عرب میں جہالت اپ صلی اللہ علیہ وسلم کا اگ کر انسانیت کو سیدھا راستہ دکھانا اور اور انسان کے انسان پر مختلف حقوق بتانا ان میں سے پڑوسیوں کے حقوق بیان کیے ، جبرائیل جبرائیل علیہ السلام کا اپ صلی اللہ علیہ وسلم کو پڑوسیوں کے حقوق کی تاکید کرنا ، پڑوسی کے حقوق میں ضرورت مند پڑوسی کی مدد کرنا ، قرضہ دینا ، خوشی اور جنازے میں شرکت کرنا ، رنج و غم میں تسلی دینا ، بیماری میں عیادت کرنے پر فرشتوں کا دعا مغفرت کرنا، گلی محلے کو صاف کرنے اور ساری باتیں گھر کی خواتین کو بتانے کی تلقین کی گئی ۔ </v>
      </c>
      <c r="X725" s="10">
        <f>IFERROR(__xludf.DUMMYFUNCTION("""COMPUTED_VALUE"""),1.0)</f>
        <v>1</v>
      </c>
      <c r="Y725" s="10">
        <f>IFERROR(__xludf.DUMMYFUNCTION("""COMPUTED_VALUE"""),9.0)</f>
        <v>9</v>
      </c>
      <c r="Z725" s="10">
        <f>IFERROR(__xludf.DUMMYFUNCTION("""COMPUTED_VALUE"""),6.0)</f>
        <v>6</v>
      </c>
      <c r="AA725" s="10">
        <f>IFERROR(__xludf.DUMMYFUNCTION("""COMPUTED_VALUE"""),8.0)</f>
        <v>8</v>
      </c>
      <c r="AB725" s="10">
        <f>IFERROR(__xludf.DUMMYFUNCTION("""COMPUTED_VALUE"""),4.0)</f>
        <v>4</v>
      </c>
      <c r="AC725" s="10">
        <f>IFERROR(__xludf.DUMMYFUNCTION("""COMPUTED_VALUE"""),0.0)</f>
        <v>0</v>
      </c>
      <c r="AD725" s="10">
        <f>IFERROR(__xludf.DUMMYFUNCTION("""COMPUTED_VALUE"""),0.0)</f>
        <v>0</v>
      </c>
      <c r="AE725" s="10">
        <f>IFERROR(__xludf.DUMMYFUNCTION("""COMPUTED_VALUE"""),0.0)</f>
        <v>0</v>
      </c>
      <c r="AF725" s="10">
        <f>IFERROR(__xludf.DUMMYFUNCTION("""COMPUTED_VALUE"""),0.0)</f>
        <v>0</v>
      </c>
      <c r="AG725" s="10">
        <f>IFERROR(__xludf.DUMMYFUNCTION("""COMPUTED_VALUE"""),9.0)</f>
        <v>9</v>
      </c>
      <c r="AH725" s="10">
        <f>IFERROR(__xludf.DUMMYFUNCTION("""COMPUTED_VALUE"""),0.0)</f>
        <v>0</v>
      </c>
      <c r="AI725" s="10">
        <f>IFERROR(__xludf.DUMMYFUNCTION("""COMPUTED_VALUE"""),9.0)</f>
        <v>9</v>
      </c>
      <c r="AJ725" s="11" t="str">
        <f>IFERROR(__xludf.DUMMYFUNCTION("""COMPUTED_VALUE"""),"https://drive.google.com/open?id=16tFPMxuSekgM5At6SnANj4z37ND9j_6a32hYhQit6zo")</f>
        <v>https://drive.google.com/open?id=16tFPMxuSekgM5At6SnANj4z37ND9j_6a32hYhQit6zo</v>
      </c>
      <c r="AK725" s="12"/>
      <c r="AL725" s="12" t="str">
        <f>IFERROR(__xludf.DUMMYFUNCTION("""COMPUTED_VALUE"""),"Yes")</f>
        <v>Yes</v>
      </c>
      <c r="AM725" s="15">
        <f>IFERROR(__xludf.DUMMYFUNCTION("""COMPUTED_VALUE"""),1.0)</f>
        <v>1</v>
      </c>
      <c r="AN725" s="12" t="str">
        <f>IFERROR(__xludf.DUMMYFUNCTION("""COMPUTED_VALUE"""),"3rd week")</f>
        <v>3rd week</v>
      </c>
      <c r="AO725" s="13">
        <v>3.0</v>
      </c>
      <c r="AX725" s="17"/>
    </row>
    <row r="726">
      <c r="B726" s="9">
        <f>IFERROR(__xludf.DUMMYFUNCTION("""COMPUTED_VALUE"""),45931.57102293981)</f>
        <v>45931.57102</v>
      </c>
      <c r="C726" s="10" t="str">
        <f>IFERROR(__xludf.DUMMYFUNCTION("""COMPUTED_VALUE"""),"Maham ")</f>
        <v>Maham </v>
      </c>
      <c r="D726" s="10" t="str">
        <f>IFERROR(__xludf.DUMMYFUNCTION("""COMPUTED_VALUE"""),"03218118680")</f>
        <v>03218118680</v>
      </c>
      <c r="E726" s="10" t="str">
        <f>IFERROR(__xludf.DUMMYFUNCTION("""COMPUTED_VALUE"""),"Jamia Masjid Gaalah Mandi Burewala")</f>
        <v>Jamia Masjid Gaalah Mandi Burewala</v>
      </c>
      <c r="F726" s="10" t="str">
        <f>IFERROR(__xludf.DUMMYFUNCTION("""COMPUTED_VALUE"""),"LNPQP")</f>
        <v>LNPQP</v>
      </c>
      <c r="G726" s="10" t="str">
        <f>IFERROR(__xludf.DUMMYFUNCTION("""COMPUTED_VALUE"""),"Yes")</f>
        <v>Yes</v>
      </c>
      <c r="H726" s="10">
        <f>IFERROR(__xludf.DUMMYFUNCTION("""COMPUTED_VALUE"""),0.0)</f>
        <v>0</v>
      </c>
      <c r="I726" s="10">
        <f>IFERROR(__xludf.DUMMYFUNCTION("""COMPUTED_VALUE"""),10.0)</f>
        <v>10</v>
      </c>
      <c r="J726" s="10">
        <f>IFERROR(__xludf.DUMMYFUNCTION("""COMPUTED_VALUE"""),0.0)</f>
        <v>0</v>
      </c>
      <c r="K726" s="10">
        <f>IFERROR(__xludf.DUMMYFUNCTION("""COMPUTED_VALUE"""),2.0)</f>
        <v>2</v>
      </c>
      <c r="L726" s="10">
        <f>IFERROR(__xludf.DUMMYFUNCTION("""COMPUTED_VALUE"""),0.0)</f>
        <v>0</v>
      </c>
      <c r="M726" s="10">
        <f>IFERROR(__xludf.DUMMYFUNCTION("""COMPUTED_VALUE"""),1.0)</f>
        <v>1</v>
      </c>
      <c r="N726" s="10">
        <f>IFERROR(__xludf.DUMMYFUNCTION("""COMPUTED_VALUE"""),0.0)</f>
        <v>0</v>
      </c>
      <c r="O726" s="10">
        <f>IFERROR(__xludf.DUMMYFUNCTION("""COMPUTED_VALUE"""),1.0)</f>
        <v>1</v>
      </c>
      <c r="P726" s="10">
        <f>IFERROR(__xludf.DUMMYFUNCTION("""COMPUTED_VALUE"""),0.0)</f>
        <v>0</v>
      </c>
      <c r="Q726" s="10" t="str">
        <f>IFERROR(__xludf.DUMMYFUNCTION("""COMPUTED_VALUE"""),"No")</f>
        <v>No</v>
      </c>
      <c r="R726" s="10" t="str">
        <f>IFERROR(__xludf.DUMMYFUNCTION("""COMPUTED_VALUE"""),"No")</f>
        <v>No</v>
      </c>
      <c r="S726" s="10" t="str">
        <f>IFERROR(__xludf.DUMMYFUNCTION("""COMPUTED_VALUE"""),"No")</f>
        <v>No</v>
      </c>
      <c r="T726" s="10">
        <f>IFERROR(__xludf.DUMMYFUNCTION("""COMPUTED_VALUE"""),0.0)</f>
        <v>0</v>
      </c>
      <c r="U726" s="10">
        <f>IFERROR(__xludf.DUMMYFUNCTION("""COMPUTED_VALUE"""),0.0)</f>
        <v>0</v>
      </c>
      <c r="V726" s="10" t="str">
        <f>IFERROR(__xludf.DUMMYFUNCTION("""COMPUTED_VALUE"""),"بیٹیوں کی فضیلت نبی کریم صلی اللہ علیہ وسلم کی ولادت پر ہونے والے معجزات اللہ تعالی کے ولی غوث الاعظم کے معجزات نیکی کا حکم جھوٹ سے بچنا")</f>
        <v>بیٹیوں کی فضیلت نبی کریم صلی اللہ علیہ وسلم کی ولادت پر ہونے والے معجزات اللہ تعالی کے ولی غوث الاعظم کے معجزات نیکی کا حکم جھوٹ سے بچنا</v>
      </c>
      <c r="W726" s="10" t="str">
        <f>IFERROR(__xludf.DUMMYFUNCTION("""COMPUTED_VALUE"""),"بیٹیوں کی فضیلت نبی کریم صلی اللہ علیہ وسلم نے فرمایا کہ جو شخص اپنی بیٹیوں کی پرورش کرے دو یا تین ہوں ان کو پڑھائے لکھائے ان کی اچھی طرح پرورش کرے اور جب وہ بالغ ہو جائیں تو انہیں رخصت کرتے ہیں تو وہ قیامت کے دن میرے ساتھ اس طرح ہوگا جس طرح یہ دو انگلیاں"&amp;" نبی کریم صلی اللہ علیہ وسلم کے پیدا ہونے پر اللہ تعالی نے ساری دنیا میں بیٹوں کو بانٹا سب کو بیٹے عطا کیے اور غوث الاعظم کے پیدا ہونے پر جیلان شہر میں بیٹے پیدا ہوئےگیاریویں شریف کا حکم اس کی نسبت کو بیان کیا گیا اور سچ کا ساتھ دو اور جھوٹ سے دھوکہ دہی س"&amp;"ے دور رہو")</f>
        <v>بیٹیوں کی فضیلت نبی کریم صلی اللہ علیہ وسلم نے فرمایا کہ جو شخص اپنی بیٹیوں کی پرورش کرے دو یا تین ہوں ان کو پڑھائے لکھائے ان کی اچھی طرح پرورش کرے اور جب وہ بالغ ہو جائیں تو انہیں رخصت کرتے ہیں تو وہ قیامت کے دن میرے ساتھ اس طرح ہوگا جس طرح یہ دو انگلیاں نبی کریم صلی اللہ علیہ وسلم کے پیدا ہونے پر اللہ تعالی نے ساری دنیا میں بیٹوں کو بانٹا سب کو بیٹے عطا کیے اور غوث الاعظم کے پیدا ہونے پر جیلان شہر میں بیٹے پیدا ہوئےگیاریویں شریف کا حکم اس کی نسبت کو بیان کیا گیا اور سچ کا ساتھ دو اور جھوٹ سے دھوکہ دہی سے دور رہو</v>
      </c>
      <c r="X726" s="10">
        <f>IFERROR(__xludf.DUMMYFUNCTION("""COMPUTED_VALUE"""),2.0)</f>
        <v>2</v>
      </c>
      <c r="Y726" s="10">
        <f>IFERROR(__xludf.DUMMYFUNCTION("""COMPUTED_VALUE"""),8.0)</f>
        <v>8</v>
      </c>
      <c r="Z726" s="10">
        <f>IFERROR(__xludf.DUMMYFUNCTION("""COMPUTED_VALUE"""),3.0)</f>
        <v>3</v>
      </c>
      <c r="AA726" s="10">
        <f>IFERROR(__xludf.DUMMYFUNCTION("""COMPUTED_VALUE"""),7.0)</f>
        <v>7</v>
      </c>
      <c r="AB726" s="10">
        <f>IFERROR(__xludf.DUMMYFUNCTION("""COMPUTED_VALUE"""),5.0)</f>
        <v>5</v>
      </c>
      <c r="AC726" s="10">
        <f>IFERROR(__xludf.DUMMYFUNCTION("""COMPUTED_VALUE"""),0.0)</f>
        <v>0</v>
      </c>
      <c r="AD726" s="10">
        <f>IFERROR(__xludf.DUMMYFUNCTION("""COMPUTED_VALUE"""),0.0)</f>
        <v>0</v>
      </c>
      <c r="AE726" s="10">
        <f>IFERROR(__xludf.DUMMYFUNCTION("""COMPUTED_VALUE"""),0.0)</f>
        <v>0</v>
      </c>
      <c r="AF726" s="10">
        <f>IFERROR(__xludf.DUMMYFUNCTION("""COMPUTED_VALUE"""),4.0)</f>
        <v>4</v>
      </c>
      <c r="AG726" s="10">
        <f>IFERROR(__xludf.DUMMYFUNCTION("""COMPUTED_VALUE"""),7.0)</f>
        <v>7</v>
      </c>
      <c r="AH726" s="10">
        <f>IFERROR(__xludf.DUMMYFUNCTION("""COMPUTED_VALUE"""),0.0)</f>
        <v>0</v>
      </c>
      <c r="AI726" s="10">
        <f>IFERROR(__xludf.DUMMYFUNCTION("""COMPUTED_VALUE"""),7.0)</f>
        <v>7</v>
      </c>
      <c r="AJ726" s="11" t="str">
        <f>IFERROR(__xludf.DUMMYFUNCTION("""COMPUTED_VALUE"""),"https://drive.google.com/open?id=1mjBjar_Tv8W39fa762TXWsVrniTPH3VG")</f>
        <v>https://drive.google.com/open?id=1mjBjar_Tv8W39fa762TXWsVrniTPH3VG</v>
      </c>
      <c r="AK726" s="12" t="str">
        <f>IFERROR(__xludf.DUMMYFUNCTION("""COMPUTED_VALUE"""),"There was a lot of distortion in the audio, I couldn’t understand properly. There was too much noise and many words were missing. It also included a naat and Quranic verses. A transcription has been written according to it")</f>
        <v>There was a lot of distortion in the audio, I couldn’t understand properly. There was too much noise and many words were missing. It also included a naat and Quranic verses. A transcription has been written according to it</v>
      </c>
      <c r="AL726" s="12" t="str">
        <f>IFERROR(__xludf.DUMMYFUNCTION("""COMPUTED_VALUE"""),"Yes")</f>
        <v>Yes</v>
      </c>
      <c r="AM726" s="15">
        <f>IFERROR(__xludf.DUMMYFUNCTION("""COMPUTED_VALUE"""),0.0)</f>
        <v>0</v>
      </c>
      <c r="AN726" s="12" t="str">
        <f>IFERROR(__xludf.DUMMYFUNCTION("""COMPUTED_VALUE"""),"2nd week")</f>
        <v>2nd week</v>
      </c>
      <c r="AO726" s="13">
        <v>2.0</v>
      </c>
      <c r="AX726" s="17"/>
    </row>
    <row r="727">
      <c r="B727" s="9">
        <f>IFERROR(__xludf.DUMMYFUNCTION("""COMPUTED_VALUE"""),45931.57947635416)</f>
        <v>45931.57948</v>
      </c>
      <c r="C727" s="10" t="str">
        <f>IFERROR(__xludf.DUMMYFUNCTION("""COMPUTED_VALUE"""),"Atiqa ")</f>
        <v>Atiqa </v>
      </c>
      <c r="D727" s="10" t="str">
        <f>IFERROR(__xludf.DUMMYFUNCTION("""COMPUTED_VALUE"""),"03157519977")</f>
        <v>03157519977</v>
      </c>
      <c r="E727" s="10" t="str">
        <f>IFERROR(__xludf.DUMMYFUNCTION("""COMPUTED_VALUE"""),"Jamia Masjid Darbar Dawood Jahanian")</f>
        <v>Jamia Masjid Darbar Dawood Jahanian</v>
      </c>
      <c r="F727" s="10" t="str">
        <f>IFERROR(__xludf.DUMMYFUNCTION("""COMPUTED_VALUE"""),"usepk")</f>
        <v>usepk</v>
      </c>
      <c r="G727" s="10" t="str">
        <f>IFERROR(__xludf.DUMMYFUNCTION("""COMPUTED_VALUE"""),"Yes")</f>
        <v>Yes</v>
      </c>
      <c r="H727" s="10">
        <f>IFERROR(__xludf.DUMMYFUNCTION("""COMPUTED_VALUE"""),6.0)</f>
        <v>6</v>
      </c>
      <c r="I727" s="10">
        <f>IFERROR(__xludf.DUMMYFUNCTION("""COMPUTED_VALUE"""),4.0)</f>
        <v>4</v>
      </c>
      <c r="J727" s="10">
        <f>IFERROR(__xludf.DUMMYFUNCTION("""COMPUTED_VALUE"""),10.0)</f>
        <v>10</v>
      </c>
      <c r="K727" s="10">
        <f>IFERROR(__xludf.DUMMYFUNCTION("""COMPUTED_VALUE"""),9.0)</f>
        <v>9</v>
      </c>
      <c r="L727" s="10">
        <f>IFERROR(__xludf.DUMMYFUNCTION("""COMPUTED_VALUE"""),0.0)</f>
        <v>0</v>
      </c>
      <c r="M727" s="10">
        <f>IFERROR(__xludf.DUMMYFUNCTION("""COMPUTED_VALUE"""),7.0)</f>
        <v>7</v>
      </c>
      <c r="N727" s="10">
        <f>IFERROR(__xludf.DUMMYFUNCTION("""COMPUTED_VALUE"""),0.0)</f>
        <v>0</v>
      </c>
      <c r="O727" s="10">
        <f>IFERROR(__xludf.DUMMYFUNCTION("""COMPUTED_VALUE"""),7.0)</f>
        <v>7</v>
      </c>
      <c r="P727" s="10">
        <f>IFERROR(__xludf.DUMMYFUNCTION("""COMPUTED_VALUE"""),0.0)</f>
        <v>0</v>
      </c>
      <c r="Q727" s="10" t="str">
        <f>IFERROR(__xludf.DUMMYFUNCTION("""COMPUTED_VALUE"""),"Yes")</f>
        <v>Yes</v>
      </c>
      <c r="R727" s="10" t="str">
        <f>IFERROR(__xludf.DUMMYFUNCTION("""COMPUTED_VALUE"""),"No")</f>
        <v>No</v>
      </c>
      <c r="S727" s="10" t="str">
        <f>IFERROR(__xludf.DUMMYFUNCTION("""COMPUTED_VALUE"""),"Yes")</f>
        <v>Yes</v>
      </c>
      <c r="T727" s="10">
        <f>IFERROR(__xludf.DUMMYFUNCTION("""COMPUTED_VALUE"""),0.0)</f>
        <v>0</v>
      </c>
      <c r="U727" s="10">
        <f>IFERROR(__xludf.DUMMYFUNCTION("""COMPUTED_VALUE"""),0.0)</f>
        <v>0</v>
      </c>
      <c r="V727" s="10" t="str">
        <f>IFERROR(__xludf.DUMMYFUNCTION("""COMPUTED_VALUE"""),"عورتوں کے حقوق ")</f>
        <v>عورتوں کے حقوق </v>
      </c>
      <c r="W727" s="10" t="str">
        <f>IFERROR(__xludf.DUMMYFUNCTION("""COMPUTED_VALUE"""),"قبل از اسلام عورت کے ساتھ کیے جانے والا سلوک ، اپ صلی اللہ علیہ وسلم کا رحمت اللعالمین بن کر انا اور عورتوں کے حقوق بتانا اور اس کا مقام و مرتبہ بیان کرنا ، ماں کے قدموں کے نیچے جنت قرار دینا ، اپنی بیٹی کے استقبال کے لیے خود کھڑے ہونا ، غزوہ حنین کے موقع"&amp;" پر قیدی کے طور پر انے والی رضائی بہن کا احترام کرنا ، بیٹی کی تعلیم و تربیت پر اجر و ثواب ملنا اور بیٹی کی تعلیم کو فرض قرار دینا ")</f>
        <v>قبل از اسلام عورت کے ساتھ کیے جانے والا سلوک ، اپ صلی اللہ علیہ وسلم کا رحمت اللعالمین بن کر انا اور عورتوں کے حقوق بتانا اور اس کا مقام و مرتبہ بیان کرنا ، ماں کے قدموں کے نیچے جنت قرار دینا ، اپنی بیٹی کے استقبال کے لیے خود کھڑے ہونا ، غزوہ حنین کے موقع پر قیدی کے طور پر انے والی رضائی بہن کا احترام کرنا ، بیٹی کی تعلیم و تربیت پر اجر و ثواب ملنا اور بیٹی کی تعلیم کو فرض قرار دینا </v>
      </c>
      <c r="X727" s="10">
        <f>IFERROR(__xludf.DUMMYFUNCTION("""COMPUTED_VALUE"""),1.0)</f>
        <v>1</v>
      </c>
      <c r="Y727" s="10">
        <f>IFERROR(__xludf.DUMMYFUNCTION("""COMPUTED_VALUE"""),9.0)</f>
        <v>9</v>
      </c>
      <c r="Z727" s="10">
        <f>IFERROR(__xludf.DUMMYFUNCTION("""COMPUTED_VALUE"""),6.0)</f>
        <v>6</v>
      </c>
      <c r="AA727" s="10">
        <f>IFERROR(__xludf.DUMMYFUNCTION("""COMPUTED_VALUE"""),8.0)</f>
        <v>8</v>
      </c>
      <c r="AB727" s="10">
        <f>IFERROR(__xludf.DUMMYFUNCTION("""COMPUTED_VALUE"""),4.0)</f>
        <v>4</v>
      </c>
      <c r="AC727" s="10">
        <f>IFERROR(__xludf.DUMMYFUNCTION("""COMPUTED_VALUE"""),0.0)</f>
        <v>0</v>
      </c>
      <c r="AD727" s="10">
        <f>IFERROR(__xludf.DUMMYFUNCTION("""COMPUTED_VALUE"""),0.0)</f>
        <v>0</v>
      </c>
      <c r="AE727" s="10">
        <f>IFERROR(__xludf.DUMMYFUNCTION("""COMPUTED_VALUE"""),0.0)</f>
        <v>0</v>
      </c>
      <c r="AF727" s="10">
        <f>IFERROR(__xludf.DUMMYFUNCTION("""COMPUTED_VALUE"""),0.0)</f>
        <v>0</v>
      </c>
      <c r="AG727" s="10">
        <f>IFERROR(__xludf.DUMMYFUNCTION("""COMPUTED_VALUE"""),8.0)</f>
        <v>8</v>
      </c>
      <c r="AH727" s="10">
        <f>IFERROR(__xludf.DUMMYFUNCTION("""COMPUTED_VALUE"""),0.0)</f>
        <v>0</v>
      </c>
      <c r="AI727" s="10">
        <f>IFERROR(__xludf.DUMMYFUNCTION("""COMPUTED_VALUE"""),9.0)</f>
        <v>9</v>
      </c>
      <c r="AJ727" s="11" t="str">
        <f>IFERROR(__xludf.DUMMYFUNCTION("""COMPUTED_VALUE"""),"https://drive.google.com/open?id=1K4kxV7Tskuc1l6Rpxqr-GBRWS8hwHgU7D8Ho2PLAHMc")</f>
        <v>https://drive.google.com/open?id=1K4kxV7Tskuc1l6Rpxqr-GBRWS8hwHgU7D8Ho2PLAHMc</v>
      </c>
      <c r="AK727" s="12"/>
      <c r="AL727" s="12" t="str">
        <f>IFERROR(__xludf.DUMMYFUNCTION("""COMPUTED_VALUE"""),"Yes")</f>
        <v>Yes</v>
      </c>
      <c r="AM727" s="15">
        <f>IFERROR(__xludf.DUMMYFUNCTION("""COMPUTED_VALUE"""),1.0)</f>
        <v>1</v>
      </c>
      <c r="AN727" s="12" t="str">
        <f>IFERROR(__xludf.DUMMYFUNCTION("""COMPUTED_VALUE"""),"3rd week")</f>
        <v>3rd week</v>
      </c>
      <c r="AO727" s="13">
        <v>3.0</v>
      </c>
      <c r="AX727" s="17"/>
    </row>
    <row r="728">
      <c r="B728" s="9">
        <f>IFERROR(__xludf.DUMMYFUNCTION("""COMPUTED_VALUE"""),45932.02250034722)</f>
        <v>45932.0225</v>
      </c>
      <c r="C728" s="10" t="str">
        <f>IFERROR(__xludf.DUMMYFUNCTION("""COMPUTED_VALUE"""),"Shahid iqbal")</f>
        <v>Shahid iqbal</v>
      </c>
      <c r="D728" s="10" t="str">
        <f>IFERROR(__xludf.DUMMYFUNCTION("""COMPUTED_VALUE"""),"03013665049")</f>
        <v>03013665049</v>
      </c>
      <c r="E728" s="10" t="str">
        <f>IFERROR(__xludf.DUMMYFUNCTION("""COMPUTED_VALUE"""),"Jamia Masjid Shah Shams Qadari Lahore")</f>
        <v>Jamia Masjid Shah Shams Qadari Lahore</v>
      </c>
      <c r="F728" s="10" t="str">
        <f>IFERROR(__xludf.DUMMYFUNCTION("""COMPUTED_VALUE"""),"rhlwr")</f>
        <v>rhlwr</v>
      </c>
      <c r="G728" s="10" t="str">
        <f>IFERROR(__xludf.DUMMYFUNCTION("""COMPUTED_VALUE"""),"Yes")</f>
        <v>Yes</v>
      </c>
      <c r="H728" s="10">
        <f>IFERROR(__xludf.DUMMYFUNCTION("""COMPUTED_VALUE"""),8.0)</f>
        <v>8</v>
      </c>
      <c r="I728" s="10">
        <f>IFERROR(__xludf.DUMMYFUNCTION("""COMPUTED_VALUE"""),2.0)</f>
        <v>2</v>
      </c>
      <c r="J728" s="10">
        <f>IFERROR(__xludf.DUMMYFUNCTION("""COMPUTED_VALUE"""),8.0)</f>
        <v>8</v>
      </c>
      <c r="K728" s="10">
        <f>IFERROR(__xludf.DUMMYFUNCTION("""COMPUTED_VALUE"""),8.0)</f>
        <v>8</v>
      </c>
      <c r="L728" s="10">
        <f>IFERROR(__xludf.DUMMYFUNCTION("""COMPUTED_VALUE"""),0.0)</f>
        <v>0</v>
      </c>
      <c r="M728" s="10">
        <f>IFERROR(__xludf.DUMMYFUNCTION("""COMPUTED_VALUE"""),8.0)</f>
        <v>8</v>
      </c>
      <c r="N728" s="10">
        <f>IFERROR(__xludf.DUMMYFUNCTION("""COMPUTED_VALUE"""),0.0)</f>
        <v>0</v>
      </c>
      <c r="O728" s="10">
        <f>IFERROR(__xludf.DUMMYFUNCTION("""COMPUTED_VALUE"""),8.0)</f>
        <v>8</v>
      </c>
      <c r="P728" s="10">
        <f>IFERROR(__xludf.DUMMYFUNCTION("""COMPUTED_VALUE"""),0.0)</f>
        <v>0</v>
      </c>
      <c r="Q728" s="10" t="str">
        <f>IFERROR(__xludf.DUMMYFUNCTION("""COMPUTED_VALUE"""),"Yes")</f>
        <v>Yes</v>
      </c>
      <c r="R728" s="10" t="str">
        <f>IFERROR(__xludf.DUMMYFUNCTION("""COMPUTED_VALUE"""),"No")</f>
        <v>No</v>
      </c>
      <c r="S728" s="10" t="str">
        <f>IFERROR(__xludf.DUMMYFUNCTION("""COMPUTED_VALUE"""),"Yes")</f>
        <v>Yes</v>
      </c>
      <c r="T728" s="10">
        <f>IFERROR(__xludf.DUMMYFUNCTION("""COMPUTED_VALUE"""),0.0)</f>
        <v>0</v>
      </c>
      <c r="U728" s="10">
        <f>IFERROR(__xludf.DUMMYFUNCTION("""COMPUTED_VALUE"""),0.0)</f>
        <v>0</v>
      </c>
      <c r="V728" s="10" t="str">
        <f>IFERROR(__xludf.DUMMYFUNCTION("""COMPUTED_VALUE"""),"Aurto k haqooq")</f>
        <v>Aurto k haqooq</v>
      </c>
      <c r="W728" s="10" t="str">
        <f>IFERROR(__xludf.DUMMYFUNCTION("""COMPUTED_VALUE"""),"islam ma Aurto k haqooq aur zimadaarian")</f>
        <v>islam ma Aurto k haqooq aur zimadaarian</v>
      </c>
      <c r="X728" s="10">
        <f>IFERROR(__xludf.DUMMYFUNCTION("""COMPUTED_VALUE"""),2.0)</f>
        <v>2</v>
      </c>
      <c r="Y728" s="10">
        <f>IFERROR(__xludf.DUMMYFUNCTION("""COMPUTED_VALUE"""),7.0)</f>
        <v>7</v>
      </c>
      <c r="Z728" s="10">
        <f>IFERROR(__xludf.DUMMYFUNCTION("""COMPUTED_VALUE"""),8.0)</f>
        <v>8</v>
      </c>
      <c r="AA728" s="10">
        <f>IFERROR(__xludf.DUMMYFUNCTION("""COMPUTED_VALUE"""),7.0)</f>
        <v>7</v>
      </c>
      <c r="AB728" s="10">
        <f>IFERROR(__xludf.DUMMYFUNCTION("""COMPUTED_VALUE"""),0.0)</f>
        <v>0</v>
      </c>
      <c r="AC728" s="10">
        <f>IFERROR(__xludf.DUMMYFUNCTION("""COMPUTED_VALUE"""),0.0)</f>
        <v>0</v>
      </c>
      <c r="AD728" s="10">
        <f>IFERROR(__xludf.DUMMYFUNCTION("""COMPUTED_VALUE"""),0.0)</f>
        <v>0</v>
      </c>
      <c r="AE728" s="10">
        <f>IFERROR(__xludf.DUMMYFUNCTION("""COMPUTED_VALUE"""),0.0)</f>
        <v>0</v>
      </c>
      <c r="AF728" s="10">
        <f>IFERROR(__xludf.DUMMYFUNCTION("""COMPUTED_VALUE"""),0.0)</f>
        <v>0</v>
      </c>
      <c r="AG728" s="10">
        <f>IFERROR(__xludf.DUMMYFUNCTION("""COMPUTED_VALUE"""),9.0)</f>
        <v>9</v>
      </c>
      <c r="AH728" s="10">
        <f>IFERROR(__xludf.DUMMYFUNCTION("""COMPUTED_VALUE"""),0.0)</f>
        <v>0</v>
      </c>
      <c r="AI728" s="10">
        <f>IFERROR(__xludf.DUMMYFUNCTION("""COMPUTED_VALUE"""),9.0)</f>
        <v>9</v>
      </c>
      <c r="AJ728" s="11" t="str">
        <f>IFERROR(__xludf.DUMMYFUNCTION("""COMPUTED_VALUE"""),"https://drive.google.com/open?id=1A19PweIHe-ltS9bh1OAf9LzxotwX3WiA")</f>
        <v>https://drive.google.com/open?id=1A19PweIHe-ltS9bh1OAf9LzxotwX3WiA</v>
      </c>
      <c r="AK728" s="12"/>
      <c r="AL728" s="12" t="str">
        <f>IFERROR(__xludf.DUMMYFUNCTION("""COMPUTED_VALUE"""),"Yes")</f>
        <v>Yes</v>
      </c>
      <c r="AM728" s="15">
        <f>IFERROR(__xludf.DUMMYFUNCTION("""COMPUTED_VALUE"""),0.8)</f>
        <v>0.8</v>
      </c>
      <c r="AN728" s="12" t="str">
        <f>IFERROR(__xludf.DUMMYFUNCTION("""COMPUTED_VALUE"""),"5th week")</f>
        <v>5th week</v>
      </c>
      <c r="AO728" s="13">
        <v>5.0</v>
      </c>
      <c r="AX728" s="17"/>
    </row>
    <row r="729">
      <c r="B729" s="9">
        <f>IFERROR(__xludf.DUMMYFUNCTION("""COMPUTED_VALUE"""),45932.04868842593)</f>
        <v>45932.04869</v>
      </c>
      <c r="C729" s="10" t="str">
        <f>IFERROR(__xludf.DUMMYFUNCTION("""COMPUTED_VALUE"""),"Shahid iqbal")</f>
        <v>Shahid iqbal</v>
      </c>
      <c r="D729" s="10" t="str">
        <f>IFERROR(__xludf.DUMMYFUNCTION("""COMPUTED_VALUE"""),"03013665049")</f>
        <v>03013665049</v>
      </c>
      <c r="E729" s="10" t="str">
        <f>IFERROR(__xludf.DUMMYFUNCTION("""COMPUTED_VALUE"""),"Jamia Masjid Shah Shams Qadari Lahore")</f>
        <v>Jamia Masjid Shah Shams Qadari Lahore</v>
      </c>
      <c r="F729" s="10" t="str">
        <f>IFERROR(__xludf.DUMMYFUNCTION("""COMPUTED_VALUE"""),"rhlwr")</f>
        <v>rhlwr</v>
      </c>
      <c r="G729" s="10" t="str">
        <f>IFERROR(__xludf.DUMMYFUNCTION("""COMPUTED_VALUE"""),"Yes")</f>
        <v>Yes</v>
      </c>
      <c r="H729" s="10">
        <f>IFERROR(__xludf.DUMMYFUNCTION("""COMPUTED_VALUE"""),7.0)</f>
        <v>7</v>
      </c>
      <c r="I729" s="10">
        <f>IFERROR(__xludf.DUMMYFUNCTION("""COMPUTED_VALUE"""),3.0)</f>
        <v>3</v>
      </c>
      <c r="J729" s="10">
        <f>IFERROR(__xludf.DUMMYFUNCTION("""COMPUTED_VALUE"""),8.0)</f>
        <v>8</v>
      </c>
      <c r="K729" s="10">
        <f>IFERROR(__xludf.DUMMYFUNCTION("""COMPUTED_VALUE"""),8.0)</f>
        <v>8</v>
      </c>
      <c r="L729" s="10">
        <f>IFERROR(__xludf.DUMMYFUNCTION("""COMPUTED_VALUE"""),0.0)</f>
        <v>0</v>
      </c>
      <c r="M729" s="10">
        <f>IFERROR(__xludf.DUMMYFUNCTION("""COMPUTED_VALUE"""),8.0)</f>
        <v>8</v>
      </c>
      <c r="N729" s="10">
        <f>IFERROR(__xludf.DUMMYFUNCTION("""COMPUTED_VALUE"""),0.0)</f>
        <v>0</v>
      </c>
      <c r="O729" s="10">
        <f>IFERROR(__xludf.DUMMYFUNCTION("""COMPUTED_VALUE"""),8.0)</f>
        <v>8</v>
      </c>
      <c r="P729" s="10">
        <f>IFERROR(__xludf.DUMMYFUNCTION("""COMPUTED_VALUE"""),0.0)</f>
        <v>0</v>
      </c>
      <c r="Q729" s="10" t="str">
        <f>IFERROR(__xludf.DUMMYFUNCTION("""COMPUTED_VALUE"""),"Yes")</f>
        <v>Yes</v>
      </c>
      <c r="R729" s="10" t="str">
        <f>IFERROR(__xludf.DUMMYFUNCTION("""COMPUTED_VALUE"""),"No")</f>
        <v>No</v>
      </c>
      <c r="S729" s="10" t="str">
        <f>IFERROR(__xludf.DUMMYFUNCTION("""COMPUTED_VALUE"""),"Yes")</f>
        <v>Yes</v>
      </c>
      <c r="T729" s="10">
        <f>IFERROR(__xludf.DUMMYFUNCTION("""COMPUTED_VALUE"""),0.0)</f>
        <v>0</v>
      </c>
      <c r="U729" s="10">
        <f>IFERROR(__xludf.DUMMYFUNCTION("""COMPUTED_VALUE"""),0.0)</f>
        <v>0</v>
      </c>
      <c r="V729" s="10" t="str">
        <f>IFERROR(__xludf.DUMMYFUNCTION("""COMPUTED_VALUE"""),"Aurton k haqooq")</f>
        <v>Aurton k haqooq</v>
      </c>
      <c r="W729" s="10" t="str">
        <f>IFERROR(__xludf.DUMMYFUNCTION("""COMPUTED_VALUE"""),"islam ma aurat ka muaqam o martba aur haq")</f>
        <v>islam ma aurat ka muaqam o martba aur haq</v>
      </c>
      <c r="X729" s="10">
        <f>IFERROR(__xludf.DUMMYFUNCTION("""COMPUTED_VALUE"""),0.0)</f>
        <v>0</v>
      </c>
      <c r="Y729" s="10">
        <f>IFERROR(__xludf.DUMMYFUNCTION("""COMPUTED_VALUE"""),7.0)</f>
        <v>7</v>
      </c>
      <c r="Z729" s="10">
        <f>IFERROR(__xludf.DUMMYFUNCTION("""COMPUTED_VALUE"""),8.0)</f>
        <v>8</v>
      </c>
      <c r="AA729" s="10">
        <f>IFERROR(__xludf.DUMMYFUNCTION("""COMPUTED_VALUE"""),5.0)</f>
        <v>5</v>
      </c>
      <c r="AB729" s="10">
        <f>IFERROR(__xludf.DUMMYFUNCTION("""COMPUTED_VALUE"""),1.0)</f>
        <v>1</v>
      </c>
      <c r="AC729" s="10">
        <f>IFERROR(__xludf.DUMMYFUNCTION("""COMPUTED_VALUE"""),0.0)</f>
        <v>0</v>
      </c>
      <c r="AD729" s="10">
        <f>IFERROR(__xludf.DUMMYFUNCTION("""COMPUTED_VALUE"""),0.0)</f>
        <v>0</v>
      </c>
      <c r="AE729" s="10">
        <f>IFERROR(__xludf.DUMMYFUNCTION("""COMPUTED_VALUE"""),0.0)</f>
        <v>0</v>
      </c>
      <c r="AF729" s="10">
        <f>IFERROR(__xludf.DUMMYFUNCTION("""COMPUTED_VALUE"""),3.0)</f>
        <v>3</v>
      </c>
      <c r="AG729" s="10">
        <f>IFERROR(__xludf.DUMMYFUNCTION("""COMPUTED_VALUE"""),8.0)</f>
        <v>8</v>
      </c>
      <c r="AH729" s="10">
        <f>IFERROR(__xludf.DUMMYFUNCTION("""COMPUTED_VALUE"""),1.0)</f>
        <v>1</v>
      </c>
      <c r="AI729" s="10">
        <f>IFERROR(__xludf.DUMMYFUNCTION("""COMPUTED_VALUE"""),2.0)</f>
        <v>2</v>
      </c>
      <c r="AJ729" s="11" t="str">
        <f>IFERROR(__xludf.DUMMYFUNCTION("""COMPUTED_VALUE"""),"https://drive.google.com/open?id=1206zr9eLigalQaKSEitjgxQFFg464SD_")</f>
        <v>https://drive.google.com/open?id=1206zr9eLigalQaKSEitjgxQFFg464SD_</v>
      </c>
      <c r="AK729" s="12"/>
      <c r="AL729" s="12" t="str">
        <f>IFERROR(__xludf.DUMMYFUNCTION("""COMPUTED_VALUE"""),"Yes")</f>
        <v>Yes</v>
      </c>
      <c r="AM729" s="15">
        <f>IFERROR(__xludf.DUMMYFUNCTION("""COMPUTED_VALUE"""),0.8)</f>
        <v>0.8</v>
      </c>
      <c r="AN729" s="12" t="str">
        <f>IFERROR(__xludf.DUMMYFUNCTION("""COMPUTED_VALUE"""),"5th week")</f>
        <v>5th week</v>
      </c>
      <c r="AO729" s="13">
        <v>6.0</v>
      </c>
      <c r="AX729" s="17"/>
    </row>
    <row r="730">
      <c r="B730" s="9">
        <f>IFERROR(__xludf.DUMMYFUNCTION("""COMPUTED_VALUE"""),45932.09503707176)</f>
        <v>45932.09504</v>
      </c>
      <c r="C730" s="10" t="str">
        <f>IFERROR(__xludf.DUMMYFUNCTION("""COMPUTED_VALUE"""),"Shahid iqbal")</f>
        <v>Shahid iqbal</v>
      </c>
      <c r="D730" s="10" t="str">
        <f>IFERROR(__xludf.DUMMYFUNCTION("""COMPUTED_VALUE"""),"03013665049")</f>
        <v>03013665049</v>
      </c>
      <c r="E730" s="10" t="str">
        <f>IFERROR(__xludf.DUMMYFUNCTION("""COMPUTED_VALUE"""),"Jamia Masjid Shah Shams Qadari Lahore")</f>
        <v>Jamia Masjid Shah Shams Qadari Lahore</v>
      </c>
      <c r="F730" s="10" t="str">
        <f>IFERROR(__xludf.DUMMYFUNCTION("""COMPUTED_VALUE"""),"rhlwr")</f>
        <v>rhlwr</v>
      </c>
      <c r="G730" s="10" t="str">
        <f>IFERROR(__xludf.DUMMYFUNCTION("""COMPUTED_VALUE"""),"Yes")</f>
        <v>Yes</v>
      </c>
      <c r="H730" s="10">
        <f>IFERROR(__xludf.DUMMYFUNCTION("""COMPUTED_VALUE"""),0.0)</f>
        <v>0</v>
      </c>
      <c r="I730" s="10">
        <f>IFERROR(__xludf.DUMMYFUNCTION("""COMPUTED_VALUE"""),10.0)</f>
        <v>10</v>
      </c>
      <c r="J730" s="10">
        <f>IFERROR(__xludf.DUMMYFUNCTION("""COMPUTED_VALUE"""),0.0)</f>
        <v>0</v>
      </c>
      <c r="K730" s="10">
        <f>IFERROR(__xludf.DUMMYFUNCTION("""COMPUTED_VALUE"""),0.0)</f>
        <v>0</v>
      </c>
      <c r="L730" s="10">
        <f>IFERROR(__xludf.DUMMYFUNCTION("""COMPUTED_VALUE"""),8.0)</f>
        <v>8</v>
      </c>
      <c r="M730" s="10">
        <f>IFERROR(__xludf.DUMMYFUNCTION("""COMPUTED_VALUE"""),0.0)</f>
        <v>0</v>
      </c>
      <c r="N730" s="10">
        <f>IFERROR(__xludf.DUMMYFUNCTION("""COMPUTED_VALUE"""),8.0)</f>
        <v>8</v>
      </c>
      <c r="O730" s="10">
        <f>IFERROR(__xludf.DUMMYFUNCTION("""COMPUTED_VALUE"""),0.0)</f>
        <v>0</v>
      </c>
      <c r="P730" s="10">
        <f>IFERROR(__xludf.DUMMYFUNCTION("""COMPUTED_VALUE"""),9.0)</f>
        <v>9</v>
      </c>
      <c r="Q730" s="10" t="str">
        <f>IFERROR(__xludf.DUMMYFUNCTION("""COMPUTED_VALUE"""),"No")</f>
        <v>No</v>
      </c>
      <c r="R730" s="10" t="str">
        <f>IFERROR(__xludf.DUMMYFUNCTION("""COMPUTED_VALUE"""),"No")</f>
        <v>No</v>
      </c>
      <c r="S730" s="10" t="str">
        <f>IFERROR(__xludf.DUMMYFUNCTION("""COMPUTED_VALUE"""),"No")</f>
        <v>No</v>
      </c>
      <c r="T730" s="10">
        <f>IFERROR(__xludf.DUMMYFUNCTION("""COMPUTED_VALUE"""),0.0)</f>
        <v>0</v>
      </c>
      <c r="U730" s="10">
        <f>IFERROR(__xludf.DUMMYFUNCTION("""COMPUTED_VALUE"""),0.0)</f>
        <v>0</v>
      </c>
      <c r="V730" s="10" t="str">
        <f>IFERROR(__xludf.DUMMYFUNCTION("""COMPUTED_VALUE"""),"Padosi k haqooq")</f>
        <v>Padosi k haqooq</v>
      </c>
      <c r="W730" s="10" t="str">
        <f>IFERROR(__xludf.DUMMYFUNCTION("""COMPUTED_VALUE"""),"padosi k haqoqq aujr zimadaarian")</f>
        <v>padosi k haqoqq aujr zimadaarian</v>
      </c>
      <c r="X730" s="10">
        <f>IFERROR(__xludf.DUMMYFUNCTION("""COMPUTED_VALUE"""),3.0)</f>
        <v>3</v>
      </c>
      <c r="Y730" s="10">
        <f>IFERROR(__xludf.DUMMYFUNCTION("""COMPUTED_VALUE"""),8.0)</f>
        <v>8</v>
      </c>
      <c r="Z730" s="10">
        <f>IFERROR(__xludf.DUMMYFUNCTION("""COMPUTED_VALUE"""),6.0)</f>
        <v>6</v>
      </c>
      <c r="AA730" s="10">
        <f>IFERROR(__xludf.DUMMYFUNCTION("""COMPUTED_VALUE"""),6.0)</f>
        <v>6</v>
      </c>
      <c r="AB730" s="10">
        <f>IFERROR(__xludf.DUMMYFUNCTION("""COMPUTED_VALUE"""),0.0)</f>
        <v>0</v>
      </c>
      <c r="AC730" s="10">
        <f>IFERROR(__xludf.DUMMYFUNCTION("""COMPUTED_VALUE"""),0.0)</f>
        <v>0</v>
      </c>
      <c r="AD730" s="10">
        <f>IFERROR(__xludf.DUMMYFUNCTION("""COMPUTED_VALUE"""),0.0)</f>
        <v>0</v>
      </c>
      <c r="AE730" s="10">
        <f>IFERROR(__xludf.DUMMYFUNCTION("""COMPUTED_VALUE"""),0.0)</f>
        <v>0</v>
      </c>
      <c r="AF730" s="10">
        <f>IFERROR(__xludf.DUMMYFUNCTION("""COMPUTED_VALUE"""),0.0)</f>
        <v>0</v>
      </c>
      <c r="AG730" s="10">
        <f>IFERROR(__xludf.DUMMYFUNCTION("""COMPUTED_VALUE"""),8.0)</f>
        <v>8</v>
      </c>
      <c r="AH730" s="10">
        <f>IFERROR(__xludf.DUMMYFUNCTION("""COMPUTED_VALUE"""),0.0)</f>
        <v>0</v>
      </c>
      <c r="AI730" s="10">
        <f>IFERROR(__xludf.DUMMYFUNCTION("""COMPUTED_VALUE"""),9.0)</f>
        <v>9</v>
      </c>
      <c r="AJ730" s="11" t="str">
        <f>IFERROR(__xludf.DUMMYFUNCTION("""COMPUTED_VALUE"""),"https://drive.google.com/open?id=1RBM_fLwrmA2QzIUL0oi2No0CEcYad_xH")</f>
        <v>https://drive.google.com/open?id=1RBM_fLwrmA2QzIUL0oi2No0CEcYad_xH</v>
      </c>
      <c r="AK730" s="12"/>
      <c r="AL730" s="12" t="str">
        <f>IFERROR(__xludf.DUMMYFUNCTION("""COMPUTED_VALUE"""),"Yes")</f>
        <v>Yes</v>
      </c>
      <c r="AM730" s="15">
        <f>IFERROR(__xludf.DUMMYFUNCTION("""COMPUTED_VALUE"""),0.0)</f>
        <v>0</v>
      </c>
      <c r="AN730" s="12" t="str">
        <f>IFERROR(__xludf.DUMMYFUNCTION("""COMPUTED_VALUE"""),"3rd week")</f>
        <v>3rd week</v>
      </c>
      <c r="AO730" s="13">
        <v>3.0</v>
      </c>
      <c r="AX730" s="17"/>
    </row>
    <row r="731">
      <c r="B731" s="9">
        <f>IFERROR(__xludf.DUMMYFUNCTION("""COMPUTED_VALUE"""),45932.09825574074)</f>
        <v>45932.09826</v>
      </c>
      <c r="C731" s="10" t="str">
        <f>IFERROR(__xludf.DUMMYFUNCTION("""COMPUTED_VALUE"""),"Shahid iqbal")</f>
        <v>Shahid iqbal</v>
      </c>
      <c r="D731" s="10" t="str">
        <f>IFERROR(__xludf.DUMMYFUNCTION("""COMPUTED_VALUE"""),"03013665049")</f>
        <v>03013665049</v>
      </c>
      <c r="E731" s="10" t="str">
        <f>IFERROR(__xludf.DUMMYFUNCTION("""COMPUTED_VALUE"""),"Jamia Masjid Shah Shams Qadari Lahore")</f>
        <v>Jamia Masjid Shah Shams Qadari Lahore</v>
      </c>
      <c r="F731" s="10" t="str">
        <f>IFERROR(__xludf.DUMMYFUNCTION("""COMPUTED_VALUE"""),"rhlwr")</f>
        <v>rhlwr</v>
      </c>
      <c r="G731" s="10" t="str">
        <f>IFERROR(__xludf.DUMMYFUNCTION("""COMPUTED_VALUE"""),"Yes")</f>
        <v>Yes</v>
      </c>
      <c r="H731" s="10">
        <f>IFERROR(__xludf.DUMMYFUNCTION("""COMPUTED_VALUE"""),0.0)</f>
        <v>0</v>
      </c>
      <c r="I731" s="10">
        <f>IFERROR(__xludf.DUMMYFUNCTION("""COMPUTED_VALUE"""),10.0)</f>
        <v>10</v>
      </c>
      <c r="J731" s="10">
        <f>IFERROR(__xludf.DUMMYFUNCTION("""COMPUTED_VALUE"""),0.0)</f>
        <v>0</v>
      </c>
      <c r="K731" s="10">
        <f>IFERROR(__xludf.DUMMYFUNCTION("""COMPUTED_VALUE"""),0.0)</f>
        <v>0</v>
      </c>
      <c r="L731" s="10">
        <f>IFERROR(__xludf.DUMMYFUNCTION("""COMPUTED_VALUE"""),7.0)</f>
        <v>7</v>
      </c>
      <c r="M731" s="10">
        <f>IFERROR(__xludf.DUMMYFUNCTION("""COMPUTED_VALUE"""),0.0)</f>
        <v>0</v>
      </c>
      <c r="N731" s="10">
        <f>IFERROR(__xludf.DUMMYFUNCTION("""COMPUTED_VALUE"""),7.0)</f>
        <v>7</v>
      </c>
      <c r="O731" s="10">
        <f>IFERROR(__xludf.DUMMYFUNCTION("""COMPUTED_VALUE"""),0.0)</f>
        <v>0</v>
      </c>
      <c r="P731" s="10">
        <f>IFERROR(__xludf.DUMMYFUNCTION("""COMPUTED_VALUE"""),6.0)</f>
        <v>6</v>
      </c>
      <c r="Q731" s="10" t="str">
        <f>IFERROR(__xludf.DUMMYFUNCTION("""COMPUTED_VALUE"""),"No")</f>
        <v>No</v>
      </c>
      <c r="R731" s="10" t="str">
        <f>IFERROR(__xludf.DUMMYFUNCTION("""COMPUTED_VALUE"""),"No")</f>
        <v>No</v>
      </c>
      <c r="S731" s="10" t="str">
        <f>IFERROR(__xludf.DUMMYFUNCTION("""COMPUTED_VALUE"""),"No")</f>
        <v>No</v>
      </c>
      <c r="T731" s="10">
        <f>IFERROR(__xludf.DUMMYFUNCTION("""COMPUTED_VALUE"""),0.0)</f>
        <v>0</v>
      </c>
      <c r="U731" s="10">
        <f>IFERROR(__xludf.DUMMYFUNCTION("""COMPUTED_VALUE"""),0.0)</f>
        <v>0</v>
      </c>
      <c r="V731" s="10" t="str">
        <f>IFERROR(__xludf.DUMMYFUNCTION("""COMPUTED_VALUE"""),"ہمسایوں کے حقوق اور معاشرتی ذمہ داریاں اسلام کی روشنی میں")</f>
        <v>ہمسایوں کے حقوق اور معاشرتی ذمہ داریاں اسلام کی روشنی میں</v>
      </c>
      <c r="W731" s="10" t="str">
        <f>IFERROR(__xludf.DUMMYFUNCTION("""COMPUTED_VALUE"""),"اسلام نے ہمسایوں کے حقوق کو بہت اہمیت دی ہے اور حضور اکرم ﷺ نے ان کے ساتھ حسنِ سلوک کو ایمان کا حصہ قرار دیا۔ آج ہماری ذمہ داری ہے کہ ہم سیرتِ نبوی ﷺ کو اپناتے ہوئے اپنے پڑوسیوں کا خیال رکھیں تاکہ معاشرہ امن و سکون کا گہوارہ بن سکے۔")</f>
        <v>اسلام نے ہمسایوں کے حقوق کو بہت اہمیت دی ہے اور حضور اکرم ﷺ نے ان کے ساتھ حسنِ سلوک کو ایمان کا حصہ قرار دیا۔ آج ہماری ذمہ داری ہے کہ ہم سیرتِ نبوی ﷺ کو اپناتے ہوئے اپنے پڑوسیوں کا خیال رکھیں تاکہ معاشرہ امن و سکون کا گہوارہ بن سکے۔</v>
      </c>
      <c r="X731" s="10">
        <f>IFERROR(__xludf.DUMMYFUNCTION("""COMPUTED_VALUE"""),2.0)</f>
        <v>2</v>
      </c>
      <c r="Y731" s="10">
        <f>IFERROR(__xludf.DUMMYFUNCTION("""COMPUTED_VALUE"""),8.0)</f>
        <v>8</v>
      </c>
      <c r="Z731" s="10">
        <f>IFERROR(__xludf.DUMMYFUNCTION("""COMPUTED_VALUE"""),7.0)</f>
        <v>7</v>
      </c>
      <c r="AA731" s="10">
        <f>IFERROR(__xludf.DUMMYFUNCTION("""COMPUTED_VALUE"""),6.0)</f>
        <v>6</v>
      </c>
      <c r="AB731" s="10">
        <f>IFERROR(__xludf.DUMMYFUNCTION("""COMPUTED_VALUE"""),0.0)</f>
        <v>0</v>
      </c>
      <c r="AC731" s="10">
        <f>IFERROR(__xludf.DUMMYFUNCTION("""COMPUTED_VALUE"""),0.0)</f>
        <v>0</v>
      </c>
      <c r="AD731" s="10">
        <f>IFERROR(__xludf.DUMMYFUNCTION("""COMPUTED_VALUE"""),0.0)</f>
        <v>0</v>
      </c>
      <c r="AE731" s="10">
        <f>IFERROR(__xludf.DUMMYFUNCTION("""COMPUTED_VALUE"""),0.0)</f>
        <v>0</v>
      </c>
      <c r="AF731" s="10">
        <f>IFERROR(__xludf.DUMMYFUNCTION("""COMPUTED_VALUE"""),3.0)</f>
        <v>3</v>
      </c>
      <c r="AG731" s="10">
        <f>IFERROR(__xludf.DUMMYFUNCTION("""COMPUTED_VALUE"""),8.0)</f>
        <v>8</v>
      </c>
      <c r="AH731" s="10">
        <f>IFERROR(__xludf.DUMMYFUNCTION("""COMPUTED_VALUE"""),1.0)</f>
        <v>1</v>
      </c>
      <c r="AI731" s="10">
        <f>IFERROR(__xludf.DUMMYFUNCTION("""COMPUTED_VALUE"""),9.0)</f>
        <v>9</v>
      </c>
      <c r="AJ731" s="11" t="str">
        <f>IFERROR(__xludf.DUMMYFUNCTION("""COMPUTED_VALUE"""),"https://drive.google.com/open?id=1n_YF7WJA2iBKSIOm2HAHhnqkeyrrTZI8")</f>
        <v>https://drive.google.com/open?id=1n_YF7WJA2iBKSIOm2HAHhnqkeyrrTZI8</v>
      </c>
      <c r="AK731" s="12"/>
      <c r="AL731" s="12" t="str">
        <f>IFERROR(__xludf.DUMMYFUNCTION("""COMPUTED_VALUE"""),"Yes")</f>
        <v>Yes</v>
      </c>
      <c r="AM731" s="15">
        <f>IFERROR(__xludf.DUMMYFUNCTION("""COMPUTED_VALUE"""),0.0)</f>
        <v>0</v>
      </c>
      <c r="AN731" s="12" t="str">
        <f>IFERROR(__xludf.DUMMYFUNCTION("""COMPUTED_VALUE"""),"4th week")</f>
        <v>4th week</v>
      </c>
      <c r="AO731" s="13">
        <v>4.0</v>
      </c>
      <c r="AX731" s="17"/>
    </row>
    <row r="732">
      <c r="B732" s="9">
        <f>IFERROR(__xludf.DUMMYFUNCTION("""COMPUTED_VALUE"""),45932.36043887732)</f>
        <v>45932.36044</v>
      </c>
      <c r="C732" s="10" t="str">
        <f>IFERROR(__xludf.DUMMYFUNCTION("""COMPUTED_VALUE"""),"Sidra ")</f>
        <v>Sidra </v>
      </c>
      <c r="D732" s="10" t="str">
        <f>IFERROR(__xludf.DUMMYFUNCTION("""COMPUTED_VALUE"""),"03261416280")</f>
        <v>03261416280</v>
      </c>
      <c r="E732" s="10" t="str">
        <f>IFERROR(__xludf.DUMMYFUNCTION("""COMPUTED_VALUE"""),"Jamia Masjid Renalah Khurda Okara")</f>
        <v>Jamia Masjid Renalah Khurda Okara</v>
      </c>
      <c r="F732" s="10" t="str">
        <f>IFERROR(__xludf.DUMMYFUNCTION("""COMPUTED_VALUE"""),"RUJKZ")</f>
        <v>RUJKZ</v>
      </c>
      <c r="G732" s="10" t="str">
        <f>IFERROR(__xludf.DUMMYFUNCTION("""COMPUTED_VALUE"""),"Yes")</f>
        <v>Yes</v>
      </c>
      <c r="H732" s="10">
        <f>IFERROR(__xludf.DUMMYFUNCTION("""COMPUTED_VALUE"""),6.0)</f>
        <v>6</v>
      </c>
      <c r="I732" s="10">
        <f>IFERROR(__xludf.DUMMYFUNCTION("""COMPUTED_VALUE"""),4.0)</f>
        <v>4</v>
      </c>
      <c r="J732" s="10">
        <f>IFERROR(__xludf.DUMMYFUNCTION("""COMPUTED_VALUE"""),7.0)</f>
        <v>7</v>
      </c>
      <c r="K732" s="10">
        <f>IFERROR(__xludf.DUMMYFUNCTION("""COMPUTED_VALUE"""),7.0)</f>
        <v>7</v>
      </c>
      <c r="L732" s="10">
        <f>IFERROR(__xludf.DUMMYFUNCTION("""COMPUTED_VALUE"""),0.0)</f>
        <v>0</v>
      </c>
      <c r="M732" s="10">
        <f>IFERROR(__xludf.DUMMYFUNCTION("""COMPUTED_VALUE"""),6.0)</f>
        <v>6</v>
      </c>
      <c r="N732" s="10">
        <f>IFERROR(__xludf.DUMMYFUNCTION("""COMPUTED_VALUE"""),0.0)</f>
        <v>0</v>
      </c>
      <c r="O732" s="10">
        <f>IFERROR(__xludf.DUMMYFUNCTION("""COMPUTED_VALUE"""),5.0)</f>
        <v>5</v>
      </c>
      <c r="P732" s="10">
        <f>IFERROR(__xludf.DUMMYFUNCTION("""COMPUTED_VALUE"""),0.0)</f>
        <v>0</v>
      </c>
      <c r="Q732" s="10" t="str">
        <f>IFERROR(__xludf.DUMMYFUNCTION("""COMPUTED_VALUE"""),"No")</f>
        <v>No</v>
      </c>
      <c r="R732" s="10" t="str">
        <f>IFERROR(__xludf.DUMMYFUNCTION("""COMPUTED_VALUE"""),"No")</f>
        <v>No</v>
      </c>
      <c r="S732" s="10" t="str">
        <f>IFERROR(__xludf.DUMMYFUNCTION("""COMPUTED_VALUE"""),"Yes")</f>
        <v>Yes</v>
      </c>
      <c r="T732" s="10">
        <f>IFERROR(__xludf.DUMMYFUNCTION("""COMPUTED_VALUE"""),0.0)</f>
        <v>0</v>
      </c>
      <c r="U732" s="10">
        <f>IFERROR(__xludf.DUMMYFUNCTION("""COMPUTED_VALUE"""),0.0)</f>
        <v>0</v>
      </c>
      <c r="V732" s="10" t="str">
        <f>IFERROR(__xludf.DUMMYFUNCTION("""COMPUTED_VALUE"""),"اسلامی تعلیمات اور عورتوں کے حقوق ")</f>
        <v>اسلامی تعلیمات اور عورتوں کے حقوق </v>
      </c>
      <c r="W732" s="10" t="str">
        <f>IFERROR(__xludf.DUMMYFUNCTION("""COMPUTED_VALUE"""),"امام نے بیان نے بتایا ہے کہ دین اسلام اللہ تعالی کا پسندیدہ دین ہے اور حضور پاک صلی اللہ علیہ وسلم اللہ تعالی کے محبوب ہیں امام نے بیان میں بتایا ہے کہ ہمیں قرآن مجید کی تعلیمات پر عمل کرنا چاہیے اور ایمان کا تعلق عقل سے نہیں بلکہ عشق سے ہیں حضرت ادم سے ل"&amp;"ے کر جتنے بھی انبیاء کرام ائے اللہ نے ان میں سے کسی کو بھی اپنا حبیب نہیں بنایا جب نبی کریم صلی اللہ علیہ وسلم ائے تو اللہ نے ان کو اپنا محبوب بنایا اور اللہ جسے چاہے اسے رسالت عطا کرتا ہے امام نے بیان میں بتایا کہ اللہ تعالی نے والدین بہن بیٹی کے حقوق بی"&amp;"اں کیے ہیں ")</f>
        <v>امام نے بیان نے بتایا ہے کہ دین اسلام اللہ تعالی کا پسندیدہ دین ہے اور حضور پاک صلی اللہ علیہ وسلم اللہ تعالی کے محبوب ہیں امام نے بیان میں بتایا ہے کہ ہمیں قرآن مجید کی تعلیمات پر عمل کرنا چاہیے اور ایمان کا تعلق عقل سے نہیں بلکہ عشق سے ہیں حضرت ادم سے لے کر جتنے بھی انبیاء کرام ائے اللہ نے ان میں سے کسی کو بھی اپنا حبیب نہیں بنایا جب نبی کریم صلی اللہ علیہ وسلم ائے تو اللہ نے ان کو اپنا محبوب بنایا اور اللہ جسے چاہے اسے رسالت عطا کرتا ہے امام نے بیان میں بتایا کہ اللہ تعالی نے والدین بہن بیٹی کے حقوق بیاں کیے ہیں </v>
      </c>
      <c r="X732" s="10">
        <f>IFERROR(__xludf.DUMMYFUNCTION("""COMPUTED_VALUE"""),5.0)</f>
        <v>5</v>
      </c>
      <c r="Y732" s="10">
        <f>IFERROR(__xludf.DUMMYFUNCTION("""COMPUTED_VALUE"""),7.0)</f>
        <v>7</v>
      </c>
      <c r="Z732" s="10">
        <f>IFERROR(__xludf.DUMMYFUNCTION("""COMPUTED_VALUE"""),8.0)</f>
        <v>8</v>
      </c>
      <c r="AA732" s="10">
        <f>IFERROR(__xludf.DUMMYFUNCTION("""COMPUTED_VALUE"""),9.0)</f>
        <v>9</v>
      </c>
      <c r="AB732" s="10">
        <f>IFERROR(__xludf.DUMMYFUNCTION("""COMPUTED_VALUE"""),4.0)</f>
        <v>4</v>
      </c>
      <c r="AC732" s="10">
        <f>IFERROR(__xludf.DUMMYFUNCTION("""COMPUTED_VALUE"""),0.0)</f>
        <v>0</v>
      </c>
      <c r="AD732" s="10">
        <f>IFERROR(__xludf.DUMMYFUNCTION("""COMPUTED_VALUE"""),0.0)</f>
        <v>0</v>
      </c>
      <c r="AE732" s="10">
        <f>IFERROR(__xludf.DUMMYFUNCTION("""COMPUTED_VALUE"""),0.0)</f>
        <v>0</v>
      </c>
      <c r="AF732" s="10">
        <f>IFERROR(__xludf.DUMMYFUNCTION("""COMPUTED_VALUE"""),0.0)</f>
        <v>0</v>
      </c>
      <c r="AG732" s="10">
        <f>IFERROR(__xludf.DUMMYFUNCTION("""COMPUTED_VALUE"""),8.0)</f>
        <v>8</v>
      </c>
      <c r="AH732" s="10">
        <f>IFERROR(__xludf.DUMMYFUNCTION("""COMPUTED_VALUE"""),0.0)</f>
        <v>0</v>
      </c>
      <c r="AI732" s="10">
        <f>IFERROR(__xludf.DUMMYFUNCTION("""COMPUTED_VALUE"""),8.0)</f>
        <v>8</v>
      </c>
      <c r="AJ732" s="11" t="str">
        <f>IFERROR(__xludf.DUMMYFUNCTION("""COMPUTED_VALUE"""),"https://drive.google.com/open?id=1xD5ISXnzqoB9zi-Sx0o4DIUIPmm7pBGwNMCGkoaVEQE")</f>
        <v>https://drive.google.com/open?id=1xD5ISXnzqoB9zi-Sx0o4DIUIPmm7pBGwNMCGkoaVEQE</v>
      </c>
      <c r="AK732" s="12" t="str">
        <f>IFERROR(__xludf.DUMMYFUNCTION("""COMPUTED_VALUE"""),"No")</f>
        <v>No</v>
      </c>
      <c r="AL732" s="12" t="str">
        <f>IFERROR(__xludf.DUMMYFUNCTION("""COMPUTED_VALUE"""),"Yes")</f>
        <v>Yes</v>
      </c>
      <c r="AM732" s="15">
        <f>IFERROR(__xludf.DUMMYFUNCTION("""COMPUTED_VALUE"""),0.6)</f>
        <v>0.6</v>
      </c>
      <c r="AN732" s="12" t="str">
        <f>IFERROR(__xludf.DUMMYFUNCTION("""COMPUTED_VALUE"""),"2nd week")</f>
        <v>2nd week</v>
      </c>
      <c r="AO732" s="13">
        <v>2.0</v>
      </c>
      <c r="AX732" s="17"/>
    </row>
    <row r="733">
      <c r="B733" s="9">
        <f>IFERROR(__xludf.DUMMYFUNCTION("""COMPUTED_VALUE"""),45932.516945474534)</f>
        <v>45932.51695</v>
      </c>
      <c r="C733" s="10" t="str">
        <f>IFERROR(__xludf.DUMMYFUNCTION("""COMPUTED_VALUE"""),"Atiqa")</f>
        <v>Atiqa</v>
      </c>
      <c r="D733" s="10" t="str">
        <f>IFERROR(__xludf.DUMMYFUNCTION("""COMPUTED_VALUE"""),"03157519977")</f>
        <v>03157519977</v>
      </c>
      <c r="E733" s="10" t="str">
        <f>IFERROR(__xludf.DUMMYFUNCTION("""COMPUTED_VALUE"""),"Jamia Masjid Abdul Kareem Pakpattan")</f>
        <v>Jamia Masjid Abdul Kareem Pakpattan</v>
      </c>
      <c r="F733" s="10" t="str">
        <f>IFERROR(__xludf.DUMMYFUNCTION("""COMPUTED_VALUE"""),"OGDXP")</f>
        <v>OGDXP</v>
      </c>
      <c r="G733" s="10" t="str">
        <f>IFERROR(__xludf.DUMMYFUNCTION("""COMPUTED_VALUE"""),"Yes")</f>
        <v>Yes</v>
      </c>
      <c r="H733" s="10">
        <f>IFERROR(__xludf.DUMMYFUNCTION("""COMPUTED_VALUE"""),7.0)</f>
        <v>7</v>
      </c>
      <c r="I733" s="10">
        <f>IFERROR(__xludf.DUMMYFUNCTION("""COMPUTED_VALUE"""),3.0)</f>
        <v>3</v>
      </c>
      <c r="J733" s="10">
        <f>IFERROR(__xludf.DUMMYFUNCTION("""COMPUTED_VALUE"""),10.0)</f>
        <v>10</v>
      </c>
      <c r="K733" s="10">
        <f>IFERROR(__xludf.DUMMYFUNCTION("""COMPUTED_VALUE"""),9.0)</f>
        <v>9</v>
      </c>
      <c r="L733" s="10">
        <f>IFERROR(__xludf.DUMMYFUNCTION("""COMPUTED_VALUE"""),0.0)</f>
        <v>0</v>
      </c>
      <c r="M733" s="10">
        <f>IFERROR(__xludf.DUMMYFUNCTION("""COMPUTED_VALUE"""),6.0)</f>
        <v>6</v>
      </c>
      <c r="N733" s="10">
        <f>IFERROR(__xludf.DUMMYFUNCTION("""COMPUTED_VALUE"""),0.0)</f>
        <v>0</v>
      </c>
      <c r="O733" s="10">
        <f>IFERROR(__xludf.DUMMYFUNCTION("""COMPUTED_VALUE"""),4.0)</f>
        <v>4</v>
      </c>
      <c r="P733" s="10">
        <f>IFERROR(__xludf.DUMMYFUNCTION("""COMPUTED_VALUE"""),0.0)</f>
        <v>0</v>
      </c>
      <c r="Q733" s="10" t="str">
        <f>IFERROR(__xludf.DUMMYFUNCTION("""COMPUTED_VALUE"""),"No")</f>
        <v>No</v>
      </c>
      <c r="R733" s="10" t="str">
        <f>IFERROR(__xludf.DUMMYFUNCTION("""COMPUTED_VALUE"""),"No")</f>
        <v>No</v>
      </c>
      <c r="S733" s="10" t="str">
        <f>IFERROR(__xludf.DUMMYFUNCTION("""COMPUTED_VALUE"""),"No")</f>
        <v>No</v>
      </c>
      <c r="T733" s="10">
        <f>IFERROR(__xludf.DUMMYFUNCTION("""COMPUTED_VALUE"""),0.0)</f>
        <v>0</v>
      </c>
      <c r="U733" s="10">
        <f>IFERROR(__xludf.DUMMYFUNCTION("""COMPUTED_VALUE"""),0.0)</f>
        <v>0</v>
      </c>
      <c r="V733" s="10" t="str">
        <f>IFERROR(__xludf.DUMMYFUNCTION("""COMPUTED_VALUE"""),"۱۔ خواتین کی معاشی اور سیاسی سر گرمیوں میں شرکت ۲۔ رائے کی ازادی ")</f>
        <v>۱۔ خواتین کی معاشی اور سیاسی سر گرمیوں میں شرکت ۲۔ رائے کی ازادی </v>
      </c>
      <c r="W733" s="10" t="str">
        <f>IFERROR(__xludf.DUMMYFUNCTION("""COMPUTED_VALUE"""),"خدیجہ رضی اللہ تعالی عنہ کا منظم کاروبار اور نکاح کے بعد بھی اس نظام کو چلانا اور اسلام کو نفع پہنچانا، جابر رضی اللہ تعالی عنہ کی خالہ کا عدت کے دوران کام کرنے کا واقعہ بیان کیا ، ام ہانی رضی اللہ تعالی عنہا کا ابن ھیرتہ کو پناہ دینا اور اپ صلی اللہ علیہ"&amp;" وسلم کا اس کی رائے کا احترام کرنا بیان کیا، فاطمہ بنت یحیی کی علم میں مہارت اور خاوند کی معاونت کرنا بیان کیا ،  غزوہ احد میں ام سلمہ رضی اللہ تعالی عنہ اور عائشہ رضی اللہ تعالی عنہ کا زخمیوں کو مشکیزے بھر کر پانی پلانا بیان کیا ۔")</f>
        <v>خدیجہ رضی اللہ تعالی عنہ کا منظم کاروبار اور نکاح کے بعد بھی اس نظام کو چلانا اور اسلام کو نفع پہنچانا، جابر رضی اللہ تعالی عنہ کی خالہ کا عدت کے دوران کام کرنے کا واقعہ بیان کیا ، ام ہانی رضی اللہ تعالی عنہا کا ابن ھیرتہ کو پناہ دینا اور اپ صلی اللہ علیہ وسلم کا اس کی رائے کا احترام کرنا بیان کیا، فاطمہ بنت یحیی کی علم میں مہارت اور خاوند کی معاونت کرنا بیان کیا ،  غزوہ احد میں ام سلمہ رضی اللہ تعالی عنہ اور عائشہ رضی اللہ تعالی عنہ کا زخمیوں کو مشکیزے بھر کر پانی پلانا بیان کیا ۔</v>
      </c>
      <c r="X733" s="10">
        <f>IFERROR(__xludf.DUMMYFUNCTION("""COMPUTED_VALUE"""),1.0)</f>
        <v>1</v>
      </c>
      <c r="Y733" s="10">
        <f>IFERROR(__xludf.DUMMYFUNCTION("""COMPUTED_VALUE"""),9.0)</f>
        <v>9</v>
      </c>
      <c r="Z733" s="10">
        <f>IFERROR(__xludf.DUMMYFUNCTION("""COMPUTED_VALUE"""),4.0)</f>
        <v>4</v>
      </c>
      <c r="AA733" s="10">
        <f>IFERROR(__xludf.DUMMYFUNCTION("""COMPUTED_VALUE"""),8.0)</f>
        <v>8</v>
      </c>
      <c r="AB733" s="10">
        <f>IFERROR(__xludf.DUMMYFUNCTION("""COMPUTED_VALUE"""),8.0)</f>
        <v>8</v>
      </c>
      <c r="AC733" s="10">
        <f>IFERROR(__xludf.DUMMYFUNCTION("""COMPUTED_VALUE"""),0.0)</f>
        <v>0</v>
      </c>
      <c r="AD733" s="10">
        <f>IFERROR(__xludf.DUMMYFUNCTION("""COMPUTED_VALUE"""),2.0)</f>
        <v>2</v>
      </c>
      <c r="AE733" s="10">
        <f>IFERROR(__xludf.DUMMYFUNCTION("""COMPUTED_VALUE"""),0.0)</f>
        <v>0</v>
      </c>
      <c r="AF733" s="10">
        <f>IFERROR(__xludf.DUMMYFUNCTION("""COMPUTED_VALUE"""),0.0)</f>
        <v>0</v>
      </c>
      <c r="AG733" s="10">
        <f>IFERROR(__xludf.DUMMYFUNCTION("""COMPUTED_VALUE"""),8.0)</f>
        <v>8</v>
      </c>
      <c r="AH733" s="10">
        <f>IFERROR(__xludf.DUMMYFUNCTION("""COMPUTED_VALUE"""),0.0)</f>
        <v>0</v>
      </c>
      <c r="AI733" s="10">
        <f>IFERROR(__xludf.DUMMYFUNCTION("""COMPUTED_VALUE"""),9.0)</f>
        <v>9</v>
      </c>
      <c r="AJ733" s="11" t="str">
        <f>IFERROR(__xludf.DUMMYFUNCTION("""COMPUTED_VALUE"""),"https://drive.google.com/open?id=1trDp3bRW21IvPbtlJ8nZSUbjRPbnlVlVB57QDje6yPE")</f>
        <v>https://drive.google.com/open?id=1trDp3bRW21IvPbtlJ8nZSUbjRPbnlVlVB57QDje6yPE</v>
      </c>
      <c r="AK733" s="12"/>
      <c r="AL733" s="12" t="str">
        <f>IFERROR(__xludf.DUMMYFUNCTION("""COMPUTED_VALUE"""),"Yes")</f>
        <v>Yes</v>
      </c>
      <c r="AM733" s="15">
        <f>IFERROR(__xludf.DUMMYFUNCTION("""COMPUTED_VALUE"""),1.0)</f>
        <v>1</v>
      </c>
      <c r="AN733" s="12" t="str">
        <f>IFERROR(__xludf.DUMMYFUNCTION("""COMPUTED_VALUE"""),"2nd week")</f>
        <v>2nd week</v>
      </c>
      <c r="AO733" s="13">
        <v>2.0</v>
      </c>
      <c r="AX733" s="17"/>
    </row>
    <row r="734">
      <c r="B734" s="9">
        <f>IFERROR(__xludf.DUMMYFUNCTION("""COMPUTED_VALUE"""),45932.563042662034)</f>
        <v>45932.56304</v>
      </c>
      <c r="C734" s="10" t="str">
        <f>IFERROR(__xludf.DUMMYFUNCTION("""COMPUTED_VALUE"""),"Atiqa")</f>
        <v>Atiqa</v>
      </c>
      <c r="D734" s="10" t="str">
        <f>IFERROR(__xludf.DUMMYFUNCTION("""COMPUTED_VALUE"""),"03157519977")</f>
        <v>03157519977</v>
      </c>
      <c r="E734" s="10" t="str">
        <f>IFERROR(__xludf.DUMMYFUNCTION("""COMPUTED_VALUE"""),"Jamia Masjid Panha Kambeer Sahiwal")</f>
        <v>Jamia Masjid Panha Kambeer Sahiwal</v>
      </c>
      <c r="F734" s="10" t="str">
        <f>IFERROR(__xludf.DUMMYFUNCTION("""COMPUTED_VALUE"""),"HHWJL")</f>
        <v>HHWJL</v>
      </c>
      <c r="G734" s="10" t="str">
        <f>IFERROR(__xludf.DUMMYFUNCTION("""COMPUTED_VALUE"""),"Yes")</f>
        <v>Yes</v>
      </c>
      <c r="H734" s="10">
        <f>IFERROR(__xludf.DUMMYFUNCTION("""COMPUTED_VALUE"""),8.0)</f>
        <v>8</v>
      </c>
      <c r="I734" s="10">
        <f>IFERROR(__xludf.DUMMYFUNCTION("""COMPUTED_VALUE"""),2.0)</f>
        <v>2</v>
      </c>
      <c r="J734" s="10">
        <f>IFERROR(__xludf.DUMMYFUNCTION("""COMPUTED_VALUE"""),10.0)</f>
        <v>10</v>
      </c>
      <c r="K734" s="10">
        <f>IFERROR(__xludf.DUMMYFUNCTION("""COMPUTED_VALUE"""),0.0)</f>
        <v>0</v>
      </c>
      <c r="L734" s="10">
        <f>IFERROR(__xludf.DUMMYFUNCTION("""COMPUTED_VALUE"""),9.0)</f>
        <v>9</v>
      </c>
      <c r="M734" s="10">
        <f>IFERROR(__xludf.DUMMYFUNCTION("""COMPUTED_VALUE"""),0.0)</f>
        <v>0</v>
      </c>
      <c r="N734" s="10">
        <f>IFERROR(__xludf.DUMMYFUNCTION("""COMPUTED_VALUE"""),7.0)</f>
        <v>7</v>
      </c>
      <c r="O734" s="10">
        <f>IFERROR(__xludf.DUMMYFUNCTION("""COMPUTED_VALUE"""),0.0)</f>
        <v>0</v>
      </c>
      <c r="P734" s="10">
        <f>IFERROR(__xludf.DUMMYFUNCTION("""COMPUTED_VALUE"""),7.0)</f>
        <v>7</v>
      </c>
      <c r="Q734" s="10" t="str">
        <f>IFERROR(__xludf.DUMMYFUNCTION("""COMPUTED_VALUE"""),"No")</f>
        <v>No</v>
      </c>
      <c r="R734" s="10" t="str">
        <f>IFERROR(__xludf.DUMMYFUNCTION("""COMPUTED_VALUE"""),"Yes")</f>
        <v>Yes</v>
      </c>
      <c r="S734" s="10" t="str">
        <f>IFERROR(__xludf.DUMMYFUNCTION("""COMPUTED_VALUE"""),"Yes")</f>
        <v>Yes</v>
      </c>
      <c r="T734" s="10">
        <f>IFERROR(__xludf.DUMMYFUNCTION("""COMPUTED_VALUE"""),0.0)</f>
        <v>0</v>
      </c>
      <c r="U734" s="10">
        <f>IFERROR(__xludf.DUMMYFUNCTION("""COMPUTED_VALUE"""),0.0)</f>
        <v>0</v>
      </c>
      <c r="V734" s="10" t="str">
        <f>IFERROR(__xludf.DUMMYFUNCTION("""COMPUTED_VALUE"""),"اسلام میں پڑوسیوں کے حقوق ")</f>
        <v>اسلام میں پڑوسیوں کے حقوق </v>
      </c>
      <c r="W734" s="10" t="str">
        <f>IFERROR(__xludf.DUMMYFUNCTION("""COMPUTED_VALUE"""),"امام نے پڑوسیوں کے حقوق بیان کیے ہیں کہ جبرائیل علیہ السلام کا اپ صلی اللہ علیہ وسلم کی خدمت میں حاضر ہو کر پڑوسیوں کے حقوق کی تاکید کرنا ، پڑوسیوں کے حقوق میں محتاج کی مدد کرنا ، غمی خوشی میں شرکت کرنا جنازے میں شرکت کرنا ، بیمار کی عیادت کرنا ، اور تحائ"&amp;"ف کا تبادلہ کرنا بیان کیے ، گلی محلے اور ارد گرد کی صفائی کا خیال رکھنے کی تاکید کی گئی ")</f>
        <v>امام نے پڑوسیوں کے حقوق بیان کیے ہیں کہ جبرائیل علیہ السلام کا اپ صلی اللہ علیہ وسلم کی خدمت میں حاضر ہو کر پڑوسیوں کے حقوق کی تاکید کرنا ، پڑوسیوں کے حقوق میں محتاج کی مدد کرنا ، غمی خوشی میں شرکت کرنا جنازے میں شرکت کرنا ، بیمار کی عیادت کرنا ، اور تحائف کا تبادلہ کرنا بیان کیے ، گلی محلے اور ارد گرد کی صفائی کا خیال رکھنے کی تاکید کی گئی </v>
      </c>
      <c r="X734" s="10">
        <f>IFERROR(__xludf.DUMMYFUNCTION("""COMPUTED_VALUE"""),1.0)</f>
        <v>1</v>
      </c>
      <c r="Y734" s="10">
        <f>IFERROR(__xludf.DUMMYFUNCTION("""COMPUTED_VALUE"""),9.0)</f>
        <v>9</v>
      </c>
      <c r="Z734" s="10">
        <f>IFERROR(__xludf.DUMMYFUNCTION("""COMPUTED_VALUE"""),7.0)</f>
        <v>7</v>
      </c>
      <c r="AA734" s="10">
        <f>IFERROR(__xludf.DUMMYFUNCTION("""COMPUTED_VALUE"""),8.0)</f>
        <v>8</v>
      </c>
      <c r="AB734" s="10">
        <f>IFERROR(__xludf.DUMMYFUNCTION("""COMPUTED_VALUE"""),6.0)</f>
        <v>6</v>
      </c>
      <c r="AC734" s="10">
        <f>IFERROR(__xludf.DUMMYFUNCTION("""COMPUTED_VALUE"""),0.0)</f>
        <v>0</v>
      </c>
      <c r="AD734" s="10">
        <f>IFERROR(__xludf.DUMMYFUNCTION("""COMPUTED_VALUE"""),0.0)</f>
        <v>0</v>
      </c>
      <c r="AE734" s="10">
        <f>IFERROR(__xludf.DUMMYFUNCTION("""COMPUTED_VALUE"""),0.0)</f>
        <v>0</v>
      </c>
      <c r="AF734" s="10">
        <f>IFERROR(__xludf.DUMMYFUNCTION("""COMPUTED_VALUE"""),0.0)</f>
        <v>0</v>
      </c>
      <c r="AG734" s="10">
        <f>IFERROR(__xludf.DUMMYFUNCTION("""COMPUTED_VALUE"""),9.0)</f>
        <v>9</v>
      </c>
      <c r="AH734" s="10">
        <f>IFERROR(__xludf.DUMMYFUNCTION("""COMPUTED_VALUE"""),0.0)</f>
        <v>0</v>
      </c>
      <c r="AI734" s="10">
        <f>IFERROR(__xludf.DUMMYFUNCTION("""COMPUTED_VALUE"""),9.0)</f>
        <v>9</v>
      </c>
      <c r="AJ734" s="11" t="str">
        <f>IFERROR(__xludf.DUMMYFUNCTION("""COMPUTED_VALUE"""),"https://drive.google.com/open?id=1Rqpcw_7iVc8gLRFxemYBMzZGu2E-qBWwLCnO-xoixUA")</f>
        <v>https://drive.google.com/open?id=1Rqpcw_7iVc8gLRFxemYBMzZGu2E-qBWwLCnO-xoixUA</v>
      </c>
      <c r="AK734" s="12"/>
      <c r="AL734" s="12" t="str">
        <f>IFERROR(__xludf.DUMMYFUNCTION("""COMPUTED_VALUE"""),"Yes")</f>
        <v>Yes</v>
      </c>
      <c r="AM734" s="15">
        <f>IFERROR(__xludf.DUMMYFUNCTION("""COMPUTED_VALUE"""),1.0)</f>
        <v>1</v>
      </c>
      <c r="AN734" s="12" t="str">
        <f>IFERROR(__xludf.DUMMYFUNCTION("""COMPUTED_VALUE"""),"2nd week")</f>
        <v>2nd week</v>
      </c>
      <c r="AO734" s="13">
        <v>2.0</v>
      </c>
      <c r="AX734" s="17"/>
    </row>
    <row r="735">
      <c r="B735" s="9">
        <f>IFERROR(__xludf.DUMMYFUNCTION("""COMPUTED_VALUE"""),45933.57509920139)</f>
        <v>45933.5751</v>
      </c>
      <c r="C735" s="10" t="str">
        <f>IFERROR(__xludf.DUMMYFUNCTION("""COMPUTED_VALUE"""),"Atiqa")</f>
        <v>Atiqa</v>
      </c>
      <c r="D735" s="10" t="str">
        <f>IFERROR(__xludf.DUMMYFUNCTION("""COMPUTED_VALUE"""),"03157519977")</f>
        <v>03157519977</v>
      </c>
      <c r="E735" s="10" t="str">
        <f>IFERROR(__xludf.DUMMYFUNCTION("""COMPUTED_VALUE"""),"Jamia Masjid Galah Mandi Arifwala")</f>
        <v>Jamia Masjid Galah Mandi Arifwala</v>
      </c>
      <c r="F735" s="10" t="str">
        <f>IFERROR(__xludf.DUMMYFUNCTION("""COMPUTED_VALUE"""),"EARRA")</f>
        <v>EARRA</v>
      </c>
      <c r="G735" s="10" t="str">
        <f>IFERROR(__xludf.DUMMYFUNCTION("""COMPUTED_VALUE"""),"Yes")</f>
        <v>Yes</v>
      </c>
      <c r="H735" s="10">
        <f>IFERROR(__xludf.DUMMYFUNCTION("""COMPUTED_VALUE"""),1.0)</f>
        <v>1</v>
      </c>
      <c r="I735" s="10">
        <f>IFERROR(__xludf.DUMMYFUNCTION("""COMPUTED_VALUE"""),9.0)</f>
        <v>9</v>
      </c>
      <c r="J735" s="10">
        <f>IFERROR(__xludf.DUMMYFUNCTION("""COMPUTED_VALUE"""),2.0)</f>
        <v>2</v>
      </c>
      <c r="K735" s="10">
        <f>IFERROR(__xludf.DUMMYFUNCTION("""COMPUTED_VALUE"""),1.0)</f>
        <v>1</v>
      </c>
      <c r="L735" s="10">
        <f>IFERROR(__xludf.DUMMYFUNCTION("""COMPUTED_VALUE"""),0.0)</f>
        <v>0</v>
      </c>
      <c r="M735" s="10">
        <f>IFERROR(__xludf.DUMMYFUNCTION("""COMPUTED_VALUE"""),1.0)</f>
        <v>1</v>
      </c>
      <c r="N735" s="10">
        <f>IFERROR(__xludf.DUMMYFUNCTION("""COMPUTED_VALUE"""),0.0)</f>
        <v>0</v>
      </c>
      <c r="O735" s="10">
        <f>IFERROR(__xludf.DUMMYFUNCTION("""COMPUTED_VALUE"""),0.0)</f>
        <v>0</v>
      </c>
      <c r="P735" s="10">
        <f>IFERROR(__xludf.DUMMYFUNCTION("""COMPUTED_VALUE"""),0.0)</f>
        <v>0</v>
      </c>
      <c r="Q735" s="10" t="str">
        <f>IFERROR(__xludf.DUMMYFUNCTION("""COMPUTED_VALUE"""),"No")</f>
        <v>No</v>
      </c>
      <c r="R735" s="10" t="str">
        <f>IFERROR(__xludf.DUMMYFUNCTION("""COMPUTED_VALUE"""),"No")</f>
        <v>No</v>
      </c>
      <c r="S735" s="10" t="str">
        <f>IFERROR(__xludf.DUMMYFUNCTION("""COMPUTED_VALUE"""),"No")</f>
        <v>No</v>
      </c>
      <c r="T735" s="10">
        <f>IFERROR(__xludf.DUMMYFUNCTION("""COMPUTED_VALUE"""),0.0)</f>
        <v>0</v>
      </c>
      <c r="U735" s="10">
        <f>IFERROR(__xludf.DUMMYFUNCTION("""COMPUTED_VALUE"""),0.0)</f>
        <v>0</v>
      </c>
      <c r="V735" s="10" t="str">
        <f>IFERROR(__xludf.DUMMYFUNCTION("""COMPUTED_VALUE"""),"محمد صلی اللہ علیہ وسلم کے نام گرامی کی برکات ")</f>
        <v>محمد صلی اللہ علیہ وسلم کے نام گرامی کی برکات </v>
      </c>
      <c r="W735" s="10" t="str">
        <f>IFERROR(__xludf.DUMMYFUNCTION("""COMPUTED_VALUE"""),"امام نے محمد صلی اللہ علیہ وسلم کے نام گرامی کی برکات اور تعریف و توصیف بیان کرتے ہوئے کچھ واقعات بیان کیے ، ملک شام کے یہودی کا ہر ہفتہ تورات پڑھنا اور محمد صلی اللہ علیہ وسلم کے نام کو نعوذ باللہ کاٹ کر جلانا ، اور اگلے ہفتے تو رات میں اور زیادہ محمدکے "&amp;"نام کو پا کر شام سے مدینہ کی طرف محمد صلی اللہ علیہ وسلم سے ملاقات کے لیے جانا ، بنی اسرائیل کے شخص کا واقعہ ساری زندگی نافرمانی میں گزارنے کے بعد اللہ تعالی کا محمد صلی اللہ علیہ وسلم کے نام کو چومنے کے صدقے بخشش فرمانا ، ایک شخص کا توہین رسالت کرنے کا و"&amp;"اقعہ اور اسلامی نظریاتی کونسل اور پاکستان کے قانون نافذ کرنے والے اداروں سے سزا کا مطالبہ کرنا ، اور اخر میں امام نے ایک دو منٹ عورتوں کے حقوق اور اس کے ساتھ رویہ رکھا جانے والا سلوک بیان کیا ،  ")</f>
        <v>امام نے محمد صلی اللہ علیہ وسلم کے نام گرامی کی برکات اور تعریف و توصیف بیان کرتے ہوئے کچھ واقعات بیان کیے ، ملک شام کے یہودی کا ہر ہفتہ تورات پڑھنا اور محمد صلی اللہ علیہ وسلم کے نام کو نعوذ باللہ کاٹ کر جلانا ، اور اگلے ہفتے تو رات میں اور زیادہ محمدکے نام کو پا کر شام سے مدینہ کی طرف محمد صلی اللہ علیہ وسلم سے ملاقات کے لیے جانا ، بنی اسرائیل کے شخص کا واقعہ ساری زندگی نافرمانی میں گزارنے کے بعد اللہ تعالی کا محمد صلی اللہ علیہ وسلم کے نام کو چومنے کے صدقے بخشش فرمانا ، ایک شخص کا توہین رسالت کرنے کا واقعہ اور اسلامی نظریاتی کونسل اور پاکستان کے قانون نافذ کرنے والے اداروں سے سزا کا مطالبہ کرنا ، اور اخر میں امام نے ایک دو منٹ عورتوں کے حقوق اور اس کے ساتھ رویہ رکھا جانے والا سلوک بیان کیا ،  </v>
      </c>
      <c r="X735" s="10">
        <f>IFERROR(__xludf.DUMMYFUNCTION("""COMPUTED_VALUE"""),2.0)</f>
        <v>2</v>
      </c>
      <c r="Y735" s="10">
        <f>IFERROR(__xludf.DUMMYFUNCTION("""COMPUTED_VALUE"""),8.0)</f>
        <v>8</v>
      </c>
      <c r="Z735" s="10">
        <f>IFERROR(__xludf.DUMMYFUNCTION("""COMPUTED_VALUE"""),4.0)</f>
        <v>4</v>
      </c>
      <c r="AA735" s="10">
        <f>IFERROR(__xludf.DUMMYFUNCTION("""COMPUTED_VALUE"""),8.0)</f>
        <v>8</v>
      </c>
      <c r="AB735" s="10">
        <f>IFERROR(__xludf.DUMMYFUNCTION("""COMPUTED_VALUE"""),7.0)</f>
        <v>7</v>
      </c>
      <c r="AC735" s="10">
        <f>IFERROR(__xludf.DUMMYFUNCTION("""COMPUTED_VALUE"""),0.0)</f>
        <v>0</v>
      </c>
      <c r="AD735" s="10">
        <f>IFERROR(__xludf.DUMMYFUNCTION("""COMPUTED_VALUE"""),0.0)</f>
        <v>0</v>
      </c>
      <c r="AE735" s="10">
        <f>IFERROR(__xludf.DUMMYFUNCTION("""COMPUTED_VALUE"""),2.0)</f>
        <v>2</v>
      </c>
      <c r="AF735" s="10">
        <f>IFERROR(__xludf.DUMMYFUNCTION("""COMPUTED_VALUE"""),0.0)</f>
        <v>0</v>
      </c>
      <c r="AG735" s="10">
        <f>IFERROR(__xludf.DUMMYFUNCTION("""COMPUTED_VALUE"""),8.0)</f>
        <v>8</v>
      </c>
      <c r="AH735" s="10">
        <f>IFERROR(__xludf.DUMMYFUNCTION("""COMPUTED_VALUE"""),0.0)</f>
        <v>0</v>
      </c>
      <c r="AI735" s="10">
        <f>IFERROR(__xludf.DUMMYFUNCTION("""COMPUTED_VALUE"""),8.0)</f>
        <v>8</v>
      </c>
      <c r="AJ735" s="11" t="str">
        <f>IFERROR(__xludf.DUMMYFUNCTION("""COMPUTED_VALUE"""),"https://drive.google.com/open?id=1_QeZJ0lePH3E7xcJVfGOZeoOAubriXOJqmpwm_glZNs")</f>
        <v>https://drive.google.com/open?id=1_QeZJ0lePH3E7xcJVfGOZeoOAubriXOJqmpwm_glZNs</v>
      </c>
      <c r="AK735" s="12"/>
      <c r="AL735" s="12" t="str">
        <f>IFERROR(__xludf.DUMMYFUNCTION("""COMPUTED_VALUE"""),"Yes")</f>
        <v>Yes</v>
      </c>
      <c r="AM735" s="15">
        <f>IFERROR(__xludf.DUMMYFUNCTION("""COMPUTED_VALUE"""),0.2)</f>
        <v>0.2</v>
      </c>
      <c r="AN735" s="12" t="str">
        <f>IFERROR(__xludf.DUMMYFUNCTION("""COMPUTED_VALUE"""),"2nd week")</f>
        <v>2nd week</v>
      </c>
      <c r="AO735" s="13">
        <v>2.0</v>
      </c>
      <c r="AX735" s="17"/>
    </row>
    <row r="736">
      <c r="B736" s="9">
        <f>IFERROR(__xludf.DUMMYFUNCTION("""COMPUTED_VALUE"""),45935.24394137731)</f>
        <v>45935.24394</v>
      </c>
      <c r="C736" s="10" t="str">
        <f>IFERROR(__xludf.DUMMYFUNCTION("""COMPUTED_VALUE"""),"Maham")</f>
        <v>Maham</v>
      </c>
      <c r="D736" s="10" t="str">
        <f>IFERROR(__xludf.DUMMYFUNCTION("""COMPUTED_VALUE"""),"03218118680")</f>
        <v>03218118680</v>
      </c>
      <c r="E736" s="10" t="str">
        <f>IFERROR(__xludf.DUMMYFUNCTION("""COMPUTED_VALUE"""),"Jamia Masjid D Block Burewala")</f>
        <v>Jamia Masjid D Block Burewala</v>
      </c>
      <c r="F736" s="10" t="str">
        <f>IFERROR(__xludf.DUMMYFUNCTION("""COMPUTED_VALUE"""),"MFVFC")</f>
        <v>MFVFC</v>
      </c>
      <c r="G736" s="10" t="str">
        <f>IFERROR(__xludf.DUMMYFUNCTION("""COMPUTED_VALUE"""),"Yes")</f>
        <v>Yes</v>
      </c>
      <c r="H736" s="10">
        <f>IFERROR(__xludf.DUMMYFUNCTION("""COMPUTED_VALUE"""),5.0)</f>
        <v>5</v>
      </c>
      <c r="I736" s="10">
        <f>IFERROR(__xludf.DUMMYFUNCTION("""COMPUTED_VALUE"""),5.0)</f>
        <v>5</v>
      </c>
      <c r="J736" s="10">
        <f>IFERROR(__xludf.DUMMYFUNCTION("""COMPUTED_VALUE"""),8.0)</f>
        <v>8</v>
      </c>
      <c r="K736" s="10">
        <f>IFERROR(__xludf.DUMMYFUNCTION("""COMPUTED_VALUE"""),0.0)</f>
        <v>0</v>
      </c>
      <c r="L736" s="10">
        <f>IFERROR(__xludf.DUMMYFUNCTION("""COMPUTED_VALUE"""),8.0)</f>
        <v>8</v>
      </c>
      <c r="M736" s="10">
        <f>IFERROR(__xludf.DUMMYFUNCTION("""COMPUTED_VALUE"""),0.0)</f>
        <v>0</v>
      </c>
      <c r="N736" s="10">
        <f>IFERROR(__xludf.DUMMYFUNCTION("""COMPUTED_VALUE"""),8.0)</f>
        <v>8</v>
      </c>
      <c r="O736" s="10">
        <f>IFERROR(__xludf.DUMMYFUNCTION("""COMPUTED_VALUE"""),0.0)</f>
        <v>0</v>
      </c>
      <c r="P736" s="10">
        <f>IFERROR(__xludf.DUMMYFUNCTION("""COMPUTED_VALUE"""),6.0)</f>
        <v>6</v>
      </c>
      <c r="Q736" s="10" t="str">
        <f>IFERROR(__xludf.DUMMYFUNCTION("""COMPUTED_VALUE"""),"No")</f>
        <v>No</v>
      </c>
      <c r="R736" s="10" t="str">
        <f>IFERROR(__xludf.DUMMYFUNCTION("""COMPUTED_VALUE"""),"Yes")</f>
        <v>Yes</v>
      </c>
      <c r="S736" s="10" t="str">
        <f>IFERROR(__xludf.DUMMYFUNCTION("""COMPUTED_VALUE"""),"No")</f>
        <v>No</v>
      </c>
      <c r="T736" s="10">
        <f>IFERROR(__xludf.DUMMYFUNCTION("""COMPUTED_VALUE"""),0.0)</f>
        <v>0</v>
      </c>
      <c r="U736" s="10">
        <f>IFERROR(__xludf.DUMMYFUNCTION("""COMPUTED_VALUE"""),0.0)</f>
        <v>0</v>
      </c>
      <c r="V736" s="10" t="str">
        <f>IFERROR(__xludf.DUMMYFUNCTION("""COMPUTED_VALUE"""),"پڑوسیوں کے حقوق اخرت کی کامیابی")</f>
        <v>پڑوسیوں کے حقوق اخرت کی کامیابی</v>
      </c>
      <c r="W736" s="10" t="str">
        <f>IFERROR(__xludf.DUMMYFUNCTION("""COMPUTED_VALUE"""),"امام صاحب نے عمرہ کے بارے میں بات کی اور کہا اخرت کی کامیابی کا دارومدار اج کے عمل پر ہے کہ ہم اسلامی تعلیمات پر عمل کریں کیونکہ حقوق اللہ اور حقوق العباد ادا کریں اور سب سے اہم ترین ہمسائے کے حقوق ہیں امام نے پڑوسی کے حقوق بیان کیے اور اس پر اپ صلی اللہ "&amp;"علیہ والہ وسلم کی زندگی میں سے مثالیں دیں اس کا موازنہ اج کے معاشرے سے کیا امام نے کہا کہ پڑوسی کو تکلیف سے محفوظ رکھنا چاہیے اور محلے کی صفائی پر بات کی")</f>
        <v>امام صاحب نے عمرہ کے بارے میں بات کی اور کہا اخرت کی کامیابی کا دارومدار اج کے عمل پر ہے کہ ہم اسلامی تعلیمات پر عمل کریں کیونکہ حقوق اللہ اور حقوق العباد ادا کریں اور سب سے اہم ترین ہمسائے کے حقوق ہیں امام نے پڑوسی کے حقوق بیان کیے اور اس پر اپ صلی اللہ علیہ والہ وسلم کی زندگی میں سے مثالیں دیں اس کا موازنہ اج کے معاشرے سے کیا امام نے کہا کہ پڑوسی کو تکلیف سے محفوظ رکھنا چاہیے اور محلے کی صفائی پر بات کی</v>
      </c>
      <c r="X736" s="10">
        <f>IFERROR(__xludf.DUMMYFUNCTION("""COMPUTED_VALUE"""),2.0)</f>
        <v>2</v>
      </c>
      <c r="Y736" s="10">
        <f>IFERROR(__xludf.DUMMYFUNCTION("""COMPUTED_VALUE"""),8.0)</f>
        <v>8</v>
      </c>
      <c r="Z736" s="10">
        <f>IFERROR(__xludf.DUMMYFUNCTION("""COMPUTED_VALUE"""),7.0)</f>
        <v>7</v>
      </c>
      <c r="AA736" s="10">
        <f>IFERROR(__xludf.DUMMYFUNCTION("""COMPUTED_VALUE"""),8.0)</f>
        <v>8</v>
      </c>
      <c r="AB736" s="10">
        <f>IFERROR(__xludf.DUMMYFUNCTION("""COMPUTED_VALUE"""),5.0)</f>
        <v>5</v>
      </c>
      <c r="AC736" s="10">
        <f>IFERROR(__xludf.DUMMYFUNCTION("""COMPUTED_VALUE"""),0.0)</f>
        <v>0</v>
      </c>
      <c r="AD736" s="10">
        <f>IFERROR(__xludf.DUMMYFUNCTION("""COMPUTED_VALUE"""),0.0)</f>
        <v>0</v>
      </c>
      <c r="AE736" s="10">
        <f>IFERROR(__xludf.DUMMYFUNCTION("""COMPUTED_VALUE"""),0.0)</f>
        <v>0</v>
      </c>
      <c r="AF736" s="10">
        <f>IFERROR(__xludf.DUMMYFUNCTION("""COMPUTED_VALUE"""),4.0)</f>
        <v>4</v>
      </c>
      <c r="AG736" s="10">
        <f>IFERROR(__xludf.DUMMYFUNCTION("""COMPUTED_VALUE"""),7.0)</f>
        <v>7</v>
      </c>
      <c r="AH736" s="10">
        <f>IFERROR(__xludf.DUMMYFUNCTION("""COMPUTED_VALUE"""),0.0)</f>
        <v>0</v>
      </c>
      <c r="AI736" s="10">
        <f>IFERROR(__xludf.DUMMYFUNCTION("""COMPUTED_VALUE"""),8.0)</f>
        <v>8</v>
      </c>
      <c r="AJ736" s="11" t="str">
        <f>IFERROR(__xludf.DUMMYFUNCTION("""COMPUTED_VALUE"""),"https://drive.google.com/open?id=1aUcRcvpALIkIJxkS-irfcEkraPWmgC4f")</f>
        <v>https://drive.google.com/open?id=1aUcRcvpALIkIJxkS-irfcEkraPWmgC4f</v>
      </c>
      <c r="AK736" s="12"/>
      <c r="AL736" s="12" t="str">
        <f>IFERROR(__xludf.DUMMYFUNCTION("""COMPUTED_VALUE"""),"Yes")</f>
        <v>Yes</v>
      </c>
      <c r="AM736" s="15">
        <f>IFERROR(__xludf.DUMMYFUNCTION("""COMPUTED_VALUE"""),0.8)</f>
        <v>0.8</v>
      </c>
      <c r="AN736" s="12" t="str">
        <f>IFERROR(__xludf.DUMMYFUNCTION("""COMPUTED_VALUE"""),"2nd week")</f>
        <v>2nd week</v>
      </c>
      <c r="AO736" s="13">
        <v>2.0</v>
      </c>
      <c r="AX736" s="17"/>
    </row>
    <row r="737">
      <c r="B737" s="9">
        <f>IFERROR(__xludf.DUMMYFUNCTION("""COMPUTED_VALUE"""),45936.2163658912)</f>
        <v>45936.21637</v>
      </c>
      <c r="C737" s="10" t="str">
        <f>IFERROR(__xludf.DUMMYFUNCTION("""COMPUTED_VALUE"""),"Asma gul")</f>
        <v>Asma gul</v>
      </c>
      <c r="D737" s="10" t="str">
        <f>IFERROR(__xludf.DUMMYFUNCTION("""COMPUTED_VALUE"""),"03459308620")</f>
        <v>03459308620</v>
      </c>
      <c r="E737" s="10" t="str">
        <f>IFERROR(__xludf.DUMMYFUNCTION("""COMPUTED_VALUE"""),"Jamia Masjid Aziz Makki Pakpattan")</f>
        <v>Jamia Masjid Aziz Makki Pakpattan</v>
      </c>
      <c r="F737" s="10" t="str">
        <f>IFERROR(__xludf.DUMMYFUNCTION("""COMPUTED_VALUE"""),"EWWLQ")</f>
        <v>EWWLQ</v>
      </c>
      <c r="G737" s="10" t="str">
        <f>IFERROR(__xludf.DUMMYFUNCTION("""COMPUTED_VALUE"""),"Yes")</f>
        <v>Yes</v>
      </c>
      <c r="H737" s="10">
        <f>IFERROR(__xludf.DUMMYFUNCTION("""COMPUTED_VALUE"""),2.0)</f>
        <v>2</v>
      </c>
      <c r="I737" s="10">
        <f>IFERROR(__xludf.DUMMYFUNCTION("""COMPUTED_VALUE"""),8.0)</f>
        <v>8</v>
      </c>
      <c r="J737" s="10">
        <f>IFERROR(__xludf.DUMMYFUNCTION("""COMPUTED_VALUE"""),2.0)</f>
        <v>2</v>
      </c>
      <c r="K737" s="10">
        <f>IFERROR(__xludf.DUMMYFUNCTION("""COMPUTED_VALUE"""),3.0)</f>
        <v>3</v>
      </c>
      <c r="L737" s="10">
        <f>IFERROR(__xludf.DUMMYFUNCTION("""COMPUTED_VALUE"""),0.0)</f>
        <v>0</v>
      </c>
      <c r="M737" s="10">
        <f>IFERROR(__xludf.DUMMYFUNCTION("""COMPUTED_VALUE"""),1.0)</f>
        <v>1</v>
      </c>
      <c r="N737" s="10">
        <f>IFERROR(__xludf.DUMMYFUNCTION("""COMPUTED_VALUE"""),0.0)</f>
        <v>0</v>
      </c>
      <c r="O737" s="10">
        <f>IFERROR(__xludf.DUMMYFUNCTION("""COMPUTED_VALUE"""),0.0)</f>
        <v>0</v>
      </c>
      <c r="P737" s="10">
        <f>IFERROR(__xludf.DUMMYFUNCTION("""COMPUTED_VALUE"""),0.0)</f>
        <v>0</v>
      </c>
      <c r="Q737" s="10" t="str">
        <f>IFERROR(__xludf.DUMMYFUNCTION("""COMPUTED_VALUE"""),"No")</f>
        <v>No</v>
      </c>
      <c r="R737" s="10" t="str">
        <f>IFERROR(__xludf.DUMMYFUNCTION("""COMPUTED_VALUE"""),"No")</f>
        <v>No</v>
      </c>
      <c r="S737" s="10" t="str">
        <f>IFERROR(__xludf.DUMMYFUNCTION("""COMPUTED_VALUE"""),"No")</f>
        <v>No</v>
      </c>
      <c r="T737" s="10">
        <f>IFERROR(__xludf.DUMMYFUNCTION("""COMPUTED_VALUE"""),0.0)</f>
        <v>0</v>
      </c>
      <c r="U737" s="10">
        <f>IFERROR(__xludf.DUMMYFUNCTION("""COMPUTED_VALUE"""),1.0)</f>
        <v>1</v>
      </c>
      <c r="V737" s="10" t="str">
        <f>IFERROR(__xludf.DUMMYFUNCTION("""COMPUTED_VALUE"""),"رحمتِ مصطفی ﷺ اور عورت کا اسلام میں مقام")</f>
        <v>رحمتِ مصطفی ﷺ اور عورت کا اسلام میں مقام</v>
      </c>
      <c r="W737" s="10" t="str">
        <f>IFERROR(__xludf.DUMMYFUNCTION("""COMPUTED_VALUE"""),"امام نے بیان میں فرمایا کہ اللہ تعالیٰ نے حضرت محمد ﷺ کو تمام جہانوں کے لیے رحمت بنا کر بھیجا۔ نبی ﷺ کے در سے کوئی خالی ہاتھ نہیں جاتا تھا، حتیٰ کہ دشمنوں پر بھی آپ کی رحمت کا اثر ہوا۔ حضرت حلیمہ سعدیہؓ کے واقعے سے بتایا گیا کہ نبی ﷺ کی برکت سے ان کی زندگ"&amp;"ی بدل گئی۔آخر میں امام نے کہا کہ اسلام نے عورت کو عزت، حق اور تحفظ دیا ہے اور مردوں کو عورتوں کی عزت اور ان کے حقوق ادا کرنے کا حکم دیا ہے۔
")</f>
        <v>امام نے بیان میں فرمایا کہ اللہ تعالیٰ نے حضرت محمد ﷺ کو تمام جہانوں کے لیے رحمت بنا کر بھیجا۔ نبی ﷺ کے در سے کوئی خالی ہاتھ نہیں جاتا تھا، حتیٰ کہ دشمنوں پر بھی آپ کی رحمت کا اثر ہوا۔ حضرت حلیمہ سعدیہؓ کے واقعے سے بتایا گیا کہ نبی ﷺ کی برکت سے ان کی زندگی بدل گئی۔آخر میں امام نے کہا کہ اسلام نے عورت کو عزت، حق اور تحفظ دیا ہے اور مردوں کو عورتوں کی عزت اور ان کے حقوق ادا کرنے کا حکم دیا ہے۔
</v>
      </c>
      <c r="X737" s="10">
        <f>IFERROR(__xludf.DUMMYFUNCTION("""COMPUTED_VALUE"""),8.0)</f>
        <v>8</v>
      </c>
      <c r="Y737" s="10">
        <f>IFERROR(__xludf.DUMMYFUNCTION("""COMPUTED_VALUE"""),6.0)</f>
        <v>6</v>
      </c>
      <c r="Z737" s="10">
        <f>IFERROR(__xludf.DUMMYFUNCTION("""COMPUTED_VALUE"""),7.0)</f>
        <v>7</v>
      </c>
      <c r="AA737" s="10">
        <f>IFERROR(__xludf.DUMMYFUNCTION("""COMPUTED_VALUE"""),10.0)</f>
        <v>10</v>
      </c>
      <c r="AB737" s="10">
        <f>IFERROR(__xludf.DUMMYFUNCTION("""COMPUTED_VALUE"""),9.0)</f>
        <v>9</v>
      </c>
      <c r="AC737" s="10">
        <f>IFERROR(__xludf.DUMMYFUNCTION("""COMPUTED_VALUE"""),0.0)</f>
        <v>0</v>
      </c>
      <c r="AD737" s="10">
        <f>IFERROR(__xludf.DUMMYFUNCTION("""COMPUTED_VALUE"""),3.0)</f>
        <v>3</v>
      </c>
      <c r="AE737" s="10">
        <f>IFERROR(__xludf.DUMMYFUNCTION("""COMPUTED_VALUE"""),2.0)</f>
        <v>2</v>
      </c>
      <c r="AF737" s="10">
        <f>IFERROR(__xludf.DUMMYFUNCTION("""COMPUTED_VALUE"""),0.0)</f>
        <v>0</v>
      </c>
      <c r="AG737" s="10">
        <f>IFERROR(__xludf.DUMMYFUNCTION("""COMPUTED_VALUE"""),8.0)</f>
        <v>8</v>
      </c>
      <c r="AH737" s="10">
        <f>IFERROR(__xludf.DUMMYFUNCTION("""COMPUTED_VALUE"""),0.0)</f>
        <v>0</v>
      </c>
      <c r="AI737" s="10">
        <f>IFERROR(__xludf.DUMMYFUNCTION("""COMPUTED_VALUE"""),8.0)</f>
        <v>8</v>
      </c>
      <c r="AJ737" s="11" t="str">
        <f>IFERROR(__xludf.DUMMYFUNCTION("""COMPUTED_VALUE"""),"https://drive.google.com/open?id=1DwZ8BO0v903G_qzXEt9HzJIp76CoCMh4")</f>
        <v>https://drive.google.com/open?id=1DwZ8BO0v903G_qzXEt9HzJIp76CoCMh4</v>
      </c>
      <c r="AK737" s="12" t="str">
        <f>IFERROR(__xludf.DUMMYFUNCTION("""COMPUTED_VALUE"""),"امام نے  عورتوں کے حقوق پر بات کی ہے لیکن ان کی تعلیم و ملازمت پر بات نہیں")</f>
        <v>امام نے  عورتوں کے حقوق پر بات کی ہے لیکن ان کی تعلیم و ملازمت پر بات نہیں</v>
      </c>
      <c r="AL737" s="12" t="str">
        <f>IFERROR(__xludf.DUMMYFUNCTION("""COMPUTED_VALUE"""),"Yes")</f>
        <v>Yes</v>
      </c>
      <c r="AM737" s="15">
        <f>IFERROR(__xludf.DUMMYFUNCTION("""COMPUTED_VALUE"""),0.2)</f>
        <v>0.2</v>
      </c>
      <c r="AN737" s="12" t="str">
        <f>IFERROR(__xludf.DUMMYFUNCTION("""COMPUTED_VALUE"""),"2nd week")</f>
        <v>2nd week</v>
      </c>
      <c r="AO737" s="13">
        <v>2.0</v>
      </c>
      <c r="AX737" s="17"/>
    </row>
    <row r="738">
      <c r="B738" s="9">
        <f>IFERROR(__xludf.DUMMYFUNCTION("""COMPUTED_VALUE"""),45950.05820032407)</f>
        <v>45950.0582</v>
      </c>
      <c r="C738" s="10" t="str">
        <f>IFERROR(__xludf.DUMMYFUNCTION("""COMPUTED_VALUE"""),"Mohsin Raza ")</f>
        <v>Mohsin Raza </v>
      </c>
      <c r="D738" s="10" t="str">
        <f>IFERROR(__xludf.DUMMYFUNCTION("""COMPUTED_VALUE"""),"03014497860")</f>
        <v>03014497860</v>
      </c>
      <c r="E738" s="10" t="str">
        <f>IFERROR(__xludf.DUMMYFUNCTION("""COMPUTED_VALUE"""),"Lariadda shahkot ")</f>
        <v>Lariadda shahkot </v>
      </c>
      <c r="F738" s="10" t="str">
        <f>IFERROR(__xludf.DUMMYFUNCTION("""COMPUTED_VALUE"""),"fjupe")</f>
        <v>fjupe</v>
      </c>
      <c r="G738" s="10" t="str">
        <f>IFERROR(__xludf.DUMMYFUNCTION("""COMPUTED_VALUE"""),"No")</f>
        <v>No</v>
      </c>
      <c r="H738" s="10"/>
      <c r="I738" s="10"/>
      <c r="J738" s="10"/>
      <c r="K738" s="10">
        <f>IFERROR(__xludf.DUMMYFUNCTION("""COMPUTED_VALUE"""),6.0)</f>
        <v>6</v>
      </c>
      <c r="L738" s="10">
        <f>IFERROR(__xludf.DUMMYFUNCTION("""COMPUTED_VALUE"""),6.0)</f>
        <v>6</v>
      </c>
      <c r="M738" s="10">
        <f>IFERROR(__xludf.DUMMYFUNCTION("""COMPUTED_VALUE"""),6.0)</f>
        <v>6</v>
      </c>
      <c r="N738" s="10">
        <f>IFERROR(__xludf.DUMMYFUNCTION("""COMPUTED_VALUE"""),4.0)</f>
        <v>4</v>
      </c>
      <c r="O738" s="10">
        <f>IFERROR(__xludf.DUMMYFUNCTION("""COMPUTED_VALUE"""),1.0)</f>
        <v>1</v>
      </c>
      <c r="P738" s="10">
        <f>IFERROR(__xludf.DUMMYFUNCTION("""COMPUTED_VALUE"""),6.0)</f>
        <v>6</v>
      </c>
      <c r="Q738" s="10" t="str">
        <f>IFERROR(__xludf.DUMMYFUNCTION("""COMPUTED_VALUE"""),"Yes")</f>
        <v>Yes</v>
      </c>
      <c r="R738" s="10" t="str">
        <f>IFERROR(__xludf.DUMMYFUNCTION("""COMPUTED_VALUE"""),"Yes")</f>
        <v>Yes</v>
      </c>
      <c r="S738" s="10" t="str">
        <f>IFERROR(__xludf.DUMMYFUNCTION("""COMPUTED_VALUE"""),"Yes")</f>
        <v>Yes</v>
      </c>
      <c r="T738" s="10">
        <f>IFERROR(__xludf.DUMMYFUNCTION("""COMPUTED_VALUE"""),0.0)</f>
        <v>0</v>
      </c>
      <c r="U738" s="10">
        <f>IFERROR(__xludf.DUMMYFUNCTION("""COMPUTED_VALUE"""),0.0)</f>
        <v>0</v>
      </c>
      <c r="V738" s="10" t="str">
        <f>IFERROR(__xludf.DUMMYFUNCTION("""COMPUTED_VALUE"""),"پڑوسیوں کے حقوق")</f>
        <v>پڑوسیوں کے حقوق</v>
      </c>
      <c r="W738" s="10" t="str">
        <f>IFERROR(__xludf.DUMMYFUNCTION("""COMPUTED_VALUE"""),"لوسیوں کے اوپر بہت زیادہ بیان کیا ")</f>
        <v>لوسیوں کے اوپر بہت زیادہ بیان کیا </v>
      </c>
      <c r="X738" s="10">
        <f>IFERROR(__xludf.DUMMYFUNCTION("""COMPUTED_VALUE"""),6.0)</f>
        <v>6</v>
      </c>
      <c r="Y738" s="10">
        <f>IFERROR(__xludf.DUMMYFUNCTION("""COMPUTED_VALUE"""),6.0)</f>
        <v>6</v>
      </c>
      <c r="Z738" s="10">
        <f>IFERROR(__xludf.DUMMYFUNCTION("""COMPUTED_VALUE"""),0.0)</f>
        <v>0</v>
      </c>
      <c r="AA738" s="10">
        <f>IFERROR(__xludf.DUMMYFUNCTION("""COMPUTED_VALUE"""),8.0)</f>
        <v>8</v>
      </c>
      <c r="AB738" s="10">
        <f>IFERROR(__xludf.DUMMYFUNCTION("""COMPUTED_VALUE"""),6.0)</f>
        <v>6</v>
      </c>
      <c r="AC738" s="10">
        <f>IFERROR(__xludf.DUMMYFUNCTION("""COMPUTED_VALUE"""),0.0)</f>
        <v>0</v>
      </c>
      <c r="AD738" s="10">
        <f>IFERROR(__xludf.DUMMYFUNCTION("""COMPUTED_VALUE"""),0.0)</f>
        <v>0</v>
      </c>
      <c r="AE738" s="10">
        <f>IFERROR(__xludf.DUMMYFUNCTION("""COMPUTED_VALUE"""),0.0)</f>
        <v>0</v>
      </c>
      <c r="AF738" s="10">
        <f>IFERROR(__xludf.DUMMYFUNCTION("""COMPUTED_VALUE"""),6.0)</f>
        <v>6</v>
      </c>
      <c r="AG738" s="10">
        <f>IFERROR(__xludf.DUMMYFUNCTION("""COMPUTED_VALUE"""),7.0)</f>
        <v>7</v>
      </c>
      <c r="AH738" s="10">
        <f>IFERROR(__xludf.DUMMYFUNCTION("""COMPUTED_VALUE"""),0.0)</f>
        <v>0</v>
      </c>
      <c r="AI738" s="10">
        <f>IFERROR(__xludf.DUMMYFUNCTION("""COMPUTED_VALUE"""),7.0)</f>
        <v>7</v>
      </c>
      <c r="AJ738" s="11" t="str">
        <f>IFERROR(__xludf.DUMMYFUNCTION("""COMPUTED_VALUE"""),"https://drive.google.com/open?id=1YOmDaSKHCNtIxojssPPCNcHBmi-Muv-f")</f>
        <v>https://drive.google.com/open?id=1YOmDaSKHCNtIxojssPPCNcHBmi-Muv-f</v>
      </c>
      <c r="AK738" s="12" t="str">
        <f>IFERROR(__xludf.DUMMYFUNCTION("""COMPUTED_VALUE"""),"People noted me ")</f>
        <v>People noted me </v>
      </c>
      <c r="AL738" s="12"/>
      <c r="AM738" s="12"/>
      <c r="AN738" s="12" t="str">
        <f>IFERROR(__xludf.DUMMYFUNCTION("""COMPUTED_VALUE"""),"1st week")</f>
        <v>1st week</v>
      </c>
      <c r="AO738" s="13">
        <v>1.0</v>
      </c>
      <c r="AX738" s="17"/>
    </row>
    <row r="739">
      <c r="B739" s="9">
        <f>IFERROR(__xludf.DUMMYFUNCTION("""COMPUTED_VALUE"""),45955.25047886574)</f>
        <v>45955.25048</v>
      </c>
      <c r="C739" s="10" t="str">
        <f>IFERROR(__xludf.DUMMYFUNCTION("""COMPUTED_VALUE"""),"Maham")</f>
        <v>Maham</v>
      </c>
      <c r="D739" s="10" t="str">
        <f>IFERROR(__xludf.DUMMYFUNCTION("""COMPUTED_VALUE"""),"03218118680")</f>
        <v>03218118680</v>
      </c>
      <c r="E739" s="10" t="str">
        <f>IFERROR(__xludf.DUMMYFUNCTION("""COMPUTED_VALUE"""),"Jamia Masjid Fatah Shah Bukhari Burewala")</f>
        <v>Jamia Masjid Fatah Shah Bukhari Burewala</v>
      </c>
      <c r="F739" s="10" t="str">
        <f>IFERROR(__xludf.DUMMYFUNCTION("""COMPUTED_VALUE"""),"XKTYP")</f>
        <v>XKTYP</v>
      </c>
      <c r="G739" s="10" t="str">
        <f>IFERROR(__xludf.DUMMYFUNCTION("""COMPUTED_VALUE"""),"Yes")</f>
        <v>Yes</v>
      </c>
      <c r="H739" s="10">
        <f>IFERROR(__xludf.DUMMYFUNCTION("""COMPUTED_VALUE"""),10.0)</f>
        <v>10</v>
      </c>
      <c r="I739" s="10">
        <f>IFERROR(__xludf.DUMMYFUNCTION("""COMPUTED_VALUE"""),0.0)</f>
        <v>0</v>
      </c>
      <c r="J739" s="10">
        <f>IFERROR(__xludf.DUMMYFUNCTION("""COMPUTED_VALUE"""),10.0)</f>
        <v>10</v>
      </c>
      <c r="K739" s="10">
        <f>IFERROR(__xludf.DUMMYFUNCTION("""COMPUTED_VALUE"""),10.0)</f>
        <v>10</v>
      </c>
      <c r="L739" s="10">
        <f>IFERROR(__xludf.DUMMYFUNCTION("""COMPUTED_VALUE"""),0.0)</f>
        <v>0</v>
      </c>
      <c r="M739" s="10">
        <f>IFERROR(__xludf.DUMMYFUNCTION("""COMPUTED_VALUE"""),10.0)</f>
        <v>10</v>
      </c>
      <c r="N739" s="10">
        <f>IFERROR(__xludf.DUMMYFUNCTION("""COMPUTED_VALUE"""),0.0)</f>
        <v>0</v>
      </c>
      <c r="O739" s="10">
        <f>IFERROR(__xludf.DUMMYFUNCTION("""COMPUTED_VALUE"""),10.0)</f>
        <v>10</v>
      </c>
      <c r="P739" s="10">
        <f>IFERROR(__xludf.DUMMYFUNCTION("""COMPUTED_VALUE"""),0.0)</f>
        <v>0</v>
      </c>
      <c r="Q739" s="10" t="str">
        <f>IFERROR(__xludf.DUMMYFUNCTION("""COMPUTED_VALUE"""),"Yes")</f>
        <v>Yes</v>
      </c>
      <c r="R739" s="10" t="str">
        <f>IFERROR(__xludf.DUMMYFUNCTION("""COMPUTED_VALUE"""),"No")</f>
        <v>No</v>
      </c>
      <c r="S739" s="10" t="str">
        <f>IFERROR(__xludf.DUMMYFUNCTION("""COMPUTED_VALUE"""),"Yes")</f>
        <v>Yes</v>
      </c>
      <c r="T739" s="10">
        <f>IFERROR(__xludf.DUMMYFUNCTION("""COMPUTED_VALUE"""),0.0)</f>
        <v>0</v>
      </c>
      <c r="U739" s="10">
        <f>IFERROR(__xludf.DUMMYFUNCTION("""COMPUTED_VALUE"""),0.0)</f>
        <v>0</v>
      </c>
      <c r="V739" s="10" t="str">
        <f>IFERROR(__xludf.DUMMYFUNCTION("""COMPUTED_VALUE"""),"عورتوں کا معاشی سیاسی اقتصادی سرگرمیوں میں کردار")</f>
        <v>عورتوں کا معاشی سیاسی اقتصادی سرگرمیوں میں کردار</v>
      </c>
      <c r="W739" s="10" t="str">
        <f>IFERROR(__xludf.DUMMYFUNCTION("""COMPUTED_VALUE"""),"عورت کے معاشی سیاسی اقتصادی سرگرمیوں میں کردار کو بیان کیا گیا اور صحابیات کا ذکر کیا گیا انہوں نے کس طرح سے سیاسی جنگی اقتصادی معاشی حالات میں نبی کریم صلی اللہ علیہ وسلم کا ساتھ دیا")</f>
        <v>عورت کے معاشی سیاسی اقتصادی سرگرمیوں میں کردار کو بیان کیا گیا اور صحابیات کا ذکر کیا گیا انہوں نے کس طرح سے سیاسی جنگی اقتصادی معاشی حالات میں نبی کریم صلی اللہ علیہ وسلم کا ساتھ دیا</v>
      </c>
      <c r="X739" s="10">
        <f>IFERROR(__xludf.DUMMYFUNCTION("""COMPUTED_VALUE"""),0.0)</f>
        <v>0</v>
      </c>
      <c r="Y739" s="10">
        <f>IFERROR(__xludf.DUMMYFUNCTION("""COMPUTED_VALUE"""),10.0)</f>
        <v>10</v>
      </c>
      <c r="Z739" s="10">
        <f>IFERROR(__xludf.DUMMYFUNCTION("""COMPUTED_VALUE"""),4.0)</f>
        <v>4</v>
      </c>
      <c r="AA739" s="10">
        <f>IFERROR(__xludf.DUMMYFUNCTION("""COMPUTED_VALUE"""),9.0)</f>
        <v>9</v>
      </c>
      <c r="AB739" s="10">
        <f>IFERROR(__xludf.DUMMYFUNCTION("""COMPUTED_VALUE"""),9.0)</f>
        <v>9</v>
      </c>
      <c r="AC739" s="10">
        <f>IFERROR(__xludf.DUMMYFUNCTION("""COMPUTED_VALUE"""),5.0)</f>
        <v>5</v>
      </c>
      <c r="AD739" s="10">
        <f>IFERROR(__xludf.DUMMYFUNCTION("""COMPUTED_VALUE"""),4.0)</f>
        <v>4</v>
      </c>
      <c r="AE739" s="10">
        <f>IFERROR(__xludf.DUMMYFUNCTION("""COMPUTED_VALUE"""),0.0)</f>
        <v>0</v>
      </c>
      <c r="AF739" s="10">
        <f>IFERROR(__xludf.DUMMYFUNCTION("""COMPUTED_VALUE"""),2.0)</f>
        <v>2</v>
      </c>
      <c r="AG739" s="10">
        <f>IFERROR(__xludf.DUMMYFUNCTION("""COMPUTED_VALUE"""),9.0)</f>
        <v>9</v>
      </c>
      <c r="AH739" s="10">
        <f>IFERROR(__xludf.DUMMYFUNCTION("""COMPUTED_VALUE"""),0.0)</f>
        <v>0</v>
      </c>
      <c r="AI739" s="10">
        <f>IFERROR(__xludf.DUMMYFUNCTION("""COMPUTED_VALUE"""),9.0)</f>
        <v>9</v>
      </c>
      <c r="AJ739" s="11" t="str">
        <f>IFERROR(__xludf.DUMMYFUNCTION("""COMPUTED_VALUE"""),"https://drive.google.com/open?id=11OINzrCmwHA1FVievyuHZtB7gdfWFrty")</f>
        <v>https://drive.google.com/open?id=11OINzrCmwHA1FVievyuHZtB7gdfWFrty</v>
      </c>
      <c r="AK739" s="12"/>
      <c r="AL739" s="12" t="str">
        <f>IFERROR(__xludf.DUMMYFUNCTION("""COMPUTED_VALUE"""),"Yes")</f>
        <v>Yes</v>
      </c>
      <c r="AM739" s="15">
        <f>IFERROR(__xludf.DUMMYFUNCTION("""COMPUTED_VALUE"""),1.0)</f>
        <v>1</v>
      </c>
      <c r="AN739" s="12" t="str">
        <f>IFERROR(__xludf.DUMMYFUNCTION("""COMPUTED_VALUE"""),"2nd week")</f>
        <v>2nd week</v>
      </c>
      <c r="AO739" s="13">
        <v>2.0</v>
      </c>
      <c r="AX739" s="17"/>
    </row>
    <row r="740">
      <c r="B740" s="9">
        <f>IFERROR(__xludf.DUMMYFUNCTION("""COMPUTED_VALUE"""),45955.82860792824)</f>
        <v>45955.82861</v>
      </c>
      <c r="C740" s="10" t="str">
        <f>IFERROR(__xludf.DUMMYFUNCTION("""COMPUTED_VALUE"""),"Sidra ")</f>
        <v>Sidra </v>
      </c>
      <c r="D740" s="10" t="str">
        <f>IFERROR(__xludf.DUMMYFUNCTION("""COMPUTED_VALUE"""),"03261416280")</f>
        <v>03261416280</v>
      </c>
      <c r="E740" s="10" t="str">
        <f>IFERROR(__xludf.DUMMYFUNCTION("""COMPUTED_VALUE"""),"Jamia Masjid Noor Almasjid Chichawatni")</f>
        <v>Jamia Masjid Noor Almasjid Chichawatni</v>
      </c>
      <c r="F740" s="10" t="str">
        <f>IFERROR(__xludf.DUMMYFUNCTION("""COMPUTED_VALUE"""),"IFVQA")</f>
        <v>IFVQA</v>
      </c>
      <c r="G740" s="10" t="str">
        <f>IFERROR(__xludf.DUMMYFUNCTION("""COMPUTED_VALUE"""),"No")</f>
        <v>No</v>
      </c>
      <c r="H740" s="10"/>
      <c r="I740" s="10"/>
      <c r="J740" s="10"/>
      <c r="K740" s="10">
        <f>IFERROR(__xludf.DUMMYFUNCTION("""COMPUTED_VALUE"""),0.0)</f>
        <v>0</v>
      </c>
      <c r="L740" s="10">
        <f>IFERROR(__xludf.DUMMYFUNCTION("""COMPUTED_VALUE"""),0.0)</f>
        <v>0</v>
      </c>
      <c r="M740" s="10">
        <f>IFERROR(__xludf.DUMMYFUNCTION("""COMPUTED_VALUE"""),0.0)</f>
        <v>0</v>
      </c>
      <c r="N740" s="10">
        <f>IFERROR(__xludf.DUMMYFUNCTION("""COMPUTED_VALUE"""),0.0)</f>
        <v>0</v>
      </c>
      <c r="O740" s="10">
        <f>IFERROR(__xludf.DUMMYFUNCTION("""COMPUTED_VALUE"""),0.0)</f>
        <v>0</v>
      </c>
      <c r="P740" s="10">
        <f>IFERROR(__xludf.DUMMYFUNCTION("""COMPUTED_VALUE"""),0.0)</f>
        <v>0</v>
      </c>
      <c r="Q740" s="10" t="str">
        <f>IFERROR(__xludf.DUMMYFUNCTION("""COMPUTED_VALUE"""),"No")</f>
        <v>No</v>
      </c>
      <c r="R740" s="10" t="str">
        <f>IFERROR(__xludf.DUMMYFUNCTION("""COMPUTED_VALUE"""),"No")</f>
        <v>No</v>
      </c>
      <c r="S740" s="10" t="str">
        <f>IFERROR(__xludf.DUMMYFUNCTION("""COMPUTED_VALUE"""),"No")</f>
        <v>No</v>
      </c>
      <c r="T740" s="10">
        <f>IFERROR(__xludf.DUMMYFUNCTION("""COMPUTED_VALUE"""),0.0)</f>
        <v>0</v>
      </c>
      <c r="U740" s="10">
        <f>IFERROR(__xludf.DUMMYFUNCTION("""COMPUTED_VALUE"""),0.0)</f>
        <v>0</v>
      </c>
      <c r="V740" s="10" t="str">
        <f>IFERROR(__xludf.DUMMYFUNCTION("""COMPUTED_VALUE"""),"اسلامی تعلیمات")</f>
        <v>اسلامی تعلیمات</v>
      </c>
      <c r="W740" s="10" t="str">
        <f>IFERROR(__xludf.DUMMYFUNCTION("""COMPUTED_VALUE"""),"امام نے بیان میں بتایا ہے کہ ولایت ہر کسی کو نہیں ملتی اللہ تعالی جس کو چاہے عطا کر دیتا ہے ولی اللہ بننا آسان نہیں تصوک کہ معنی توبہ ہے جس طرح دنیا میں ہر کام کرنے کے لیے کوئی نہ کوئی اصول ہوتے ہیں اسی طرح ولی اللہ بننے کے لیے بھی بہت سے اصول قرآن مجید م"&amp;"یں دیے گئے ہیں جن میں سے پہلے دل کا ہر گناہ سے پاک صاف ہونا ضروری ہے اور جب کوئی ولی اللہ بنتا ہے تو وہ خود کو بیچ دیتا ہے خود کو فنا کر دیتا ہے اس کا سب کچھ اللہ تعالی کا ہو جاتا ہے وہ اپنی مرضی سے کچھ نہیں کر سکتا وہ وہی سنتا ہے جو اللہ چاہتا ہے وہی دیک"&amp;"ھتا ہے جو اللہ دکھاتا ہے اور اسی راستے پر چلتا ہے جہاں اللہ تعالی کا حکم ہو۔ ")</f>
        <v>امام نے بیان میں بتایا ہے کہ ولایت ہر کسی کو نہیں ملتی اللہ تعالی جس کو چاہے عطا کر دیتا ہے ولی اللہ بننا آسان نہیں تصوک کہ معنی توبہ ہے جس طرح دنیا میں ہر کام کرنے کے لیے کوئی نہ کوئی اصول ہوتے ہیں اسی طرح ولی اللہ بننے کے لیے بھی بہت سے اصول قرآن مجید میں دیے گئے ہیں جن میں سے پہلے دل کا ہر گناہ سے پاک صاف ہونا ضروری ہے اور جب کوئی ولی اللہ بنتا ہے تو وہ خود کو بیچ دیتا ہے خود کو فنا کر دیتا ہے اس کا سب کچھ اللہ تعالی کا ہو جاتا ہے وہ اپنی مرضی سے کچھ نہیں کر سکتا وہ وہی سنتا ہے جو اللہ چاہتا ہے وہی دیکھتا ہے جو اللہ دکھاتا ہے اور اسی راستے پر چلتا ہے جہاں اللہ تعالی کا حکم ہو۔ </v>
      </c>
      <c r="X740" s="10">
        <f>IFERROR(__xludf.DUMMYFUNCTION("""COMPUTED_VALUE"""),9.0)</f>
        <v>9</v>
      </c>
      <c r="Y740" s="10">
        <f>IFERROR(__xludf.DUMMYFUNCTION("""COMPUTED_VALUE"""),7.0)</f>
        <v>7</v>
      </c>
      <c r="Z740" s="10">
        <f>IFERROR(__xludf.DUMMYFUNCTION("""COMPUTED_VALUE"""),6.0)</f>
        <v>6</v>
      </c>
      <c r="AA740" s="10">
        <f>IFERROR(__xludf.DUMMYFUNCTION("""COMPUTED_VALUE"""),7.0)</f>
        <v>7</v>
      </c>
      <c r="AB740" s="10">
        <f>IFERROR(__xludf.DUMMYFUNCTION("""COMPUTED_VALUE"""),6.0)</f>
        <v>6</v>
      </c>
      <c r="AC740" s="10">
        <f>IFERROR(__xludf.DUMMYFUNCTION("""COMPUTED_VALUE"""),0.0)</f>
        <v>0</v>
      </c>
      <c r="AD740" s="10">
        <f>IFERROR(__xludf.DUMMYFUNCTION("""COMPUTED_VALUE"""),0.0)</f>
        <v>0</v>
      </c>
      <c r="AE740" s="10">
        <f>IFERROR(__xludf.DUMMYFUNCTION("""COMPUTED_VALUE"""),0.0)</f>
        <v>0</v>
      </c>
      <c r="AF740" s="10">
        <f>IFERROR(__xludf.DUMMYFUNCTION("""COMPUTED_VALUE"""),0.0)</f>
        <v>0</v>
      </c>
      <c r="AG740" s="10">
        <f>IFERROR(__xludf.DUMMYFUNCTION("""COMPUTED_VALUE"""),9.0)</f>
        <v>9</v>
      </c>
      <c r="AH740" s="10">
        <f>IFERROR(__xludf.DUMMYFUNCTION("""COMPUTED_VALUE"""),0.0)</f>
        <v>0</v>
      </c>
      <c r="AI740" s="10">
        <f>IFERROR(__xludf.DUMMYFUNCTION("""COMPUTED_VALUE"""),9.0)</f>
        <v>9</v>
      </c>
      <c r="AJ740" s="11" t="str">
        <f>IFERROR(__xludf.DUMMYFUNCTION("""COMPUTED_VALUE"""),"https://drive.google.com/open?id=1O_04lbRcDQETCGgdtxy_qvofiqvZjwOuC6YuQNhheEU")</f>
        <v>https://drive.google.com/open?id=1O_04lbRcDQETCGgdtxy_qvofiqvZjwOuC6YuQNhheEU</v>
      </c>
      <c r="AK740" s="12" t="str">
        <f>IFERROR(__xludf.DUMMYFUNCTION("""COMPUTED_VALUE"""),"No ")</f>
        <v>No </v>
      </c>
      <c r="AL740" s="12"/>
      <c r="AM740" s="12"/>
      <c r="AN740" s="12" t="str">
        <f>IFERROR(__xludf.DUMMYFUNCTION("""COMPUTED_VALUE"""),"3rd week")</f>
        <v>3rd week</v>
      </c>
      <c r="AO740" s="13">
        <v>3.0</v>
      </c>
      <c r="AX740" s="17"/>
    </row>
    <row r="741">
      <c r="B741" s="9">
        <f>IFERROR(__xludf.DUMMYFUNCTION("""COMPUTED_VALUE"""),45956.17634248843)</f>
        <v>45956.17634</v>
      </c>
      <c r="C741" s="10" t="str">
        <f>IFERROR(__xludf.DUMMYFUNCTION("""COMPUTED_VALUE"""),"Asma gul")</f>
        <v>Asma gul</v>
      </c>
      <c r="D741" s="10" t="str">
        <f>IFERROR(__xludf.DUMMYFUNCTION("""COMPUTED_VALUE"""),"03450308620")</f>
        <v>03450308620</v>
      </c>
      <c r="E741" s="10" t="str">
        <f>IFERROR(__xludf.DUMMYFUNCTION("""COMPUTED_VALUE"""),"Jamia Masjid Mulhalka Kuko Mandi Burewala ")</f>
        <v>Jamia Masjid Mulhalka Kuko Mandi Burewala </v>
      </c>
      <c r="F741" s="10" t="str">
        <f>IFERROR(__xludf.DUMMYFUNCTION("""COMPUTED_VALUE"""),"QBVYB")</f>
        <v>QBVYB</v>
      </c>
      <c r="G741" s="10" t="str">
        <f>IFERROR(__xludf.DUMMYFUNCTION("""COMPUTED_VALUE"""),"No")</f>
        <v>No</v>
      </c>
      <c r="H741" s="10"/>
      <c r="I741" s="10"/>
      <c r="J741" s="10"/>
      <c r="K741" s="10">
        <f>IFERROR(__xludf.DUMMYFUNCTION("""COMPUTED_VALUE"""),0.0)</f>
        <v>0</v>
      </c>
      <c r="L741" s="10">
        <f>IFERROR(__xludf.DUMMYFUNCTION("""COMPUTED_VALUE"""),0.0)</f>
        <v>0</v>
      </c>
      <c r="M741" s="10">
        <f>IFERROR(__xludf.DUMMYFUNCTION("""COMPUTED_VALUE"""),0.0)</f>
        <v>0</v>
      </c>
      <c r="N741" s="10">
        <f>IFERROR(__xludf.DUMMYFUNCTION("""COMPUTED_VALUE"""),0.0)</f>
        <v>0</v>
      </c>
      <c r="O741" s="10">
        <f>IFERROR(__xludf.DUMMYFUNCTION("""COMPUTED_VALUE"""),0.0)</f>
        <v>0</v>
      </c>
      <c r="P741" s="10">
        <f>IFERROR(__xludf.DUMMYFUNCTION("""COMPUTED_VALUE"""),0.0)</f>
        <v>0</v>
      </c>
      <c r="Q741" s="10" t="str">
        <f>IFERROR(__xludf.DUMMYFUNCTION("""COMPUTED_VALUE"""),"No")</f>
        <v>No</v>
      </c>
      <c r="R741" s="10" t="str">
        <f>IFERROR(__xludf.DUMMYFUNCTION("""COMPUTED_VALUE"""),"No")</f>
        <v>No</v>
      </c>
      <c r="S741" s="10" t="str">
        <f>IFERROR(__xludf.DUMMYFUNCTION("""COMPUTED_VALUE"""),"No")</f>
        <v>No</v>
      </c>
      <c r="T741" s="10">
        <f>IFERROR(__xludf.DUMMYFUNCTION("""COMPUTED_VALUE"""),0.0)</f>
        <v>0</v>
      </c>
      <c r="U741" s="10">
        <f>IFERROR(__xludf.DUMMYFUNCTION("""COMPUTED_VALUE"""),0.0)</f>
        <v>0</v>
      </c>
      <c r="V741" s="10" t="str">
        <f>IFERROR(__xludf.DUMMYFUNCTION("""COMPUTED_VALUE"""),"حضرت غوث الاعظم عبدالقادر جیلانیؒ کی ولایت، عظمت اور روحانی مقام")</f>
        <v>حضرت غوث الاعظم عبدالقادر جیلانیؒ کی ولایت، عظمت اور روحانی مقام</v>
      </c>
      <c r="W741" s="10" t="str">
        <f>IFERROR(__xludf.DUMMYFUNCTION("""COMPUTED_VALUE"""),"پہلی بار ربیع الاول میں حضور نبی کریم ﷺ کی ولادت کی بہار آئی، اور دوسری بار ربیع الثانی میں حضرت غوث الاعظمؒ کی ولادت و ولایت کی بہار آئی۔امام صاحب نے بیان میں حضرت عبدالقادر جیلانیؒ کی عظمت، ان کے بلند روحانی مقام اور کرامات کا ذکر کیا۔
انہوں نے بتایا کہ"&amp;" غوث پاکؒ کی دعا سے محی الدین ابن عربیؒ جیسے بڑے بزرگ پیدا ہوئے۔ بیان میں غوث پاکؒ کے علم، عبادت، تقویٰ اور ان کی مجلسوں کی روحانی تاثیر کا ذکر ہوا جن سے ہزاروں لوگ فیض پاتے تھے۔امام صاحب نے فرمایا کہ غوث پاکؒ کی شان یہ ہے کہ ان کا قدم تمام اولیاء کی گردن"&amp;"وں پر ہے۔آخر میں انہوں نے کہا کہ جس طرح نبی کریم ﷺ نبیوں کے سردار ہیں، اسی طرح حضرت عبدالقادر جیلانیؒ اولیاء کے سردار ہیں۔")</f>
        <v>پہلی بار ربیع الاول میں حضور نبی کریم ﷺ کی ولادت کی بہار آئی، اور دوسری بار ربیع الثانی میں حضرت غوث الاعظمؒ کی ولادت و ولایت کی بہار آئی۔امام صاحب نے بیان میں حضرت عبدالقادر جیلانیؒ کی عظمت، ان کے بلند روحانی مقام اور کرامات کا ذکر کیا۔
انہوں نے بتایا کہ غوث پاکؒ کی دعا سے محی الدین ابن عربیؒ جیسے بڑے بزرگ پیدا ہوئے۔ بیان میں غوث پاکؒ کے علم، عبادت، تقویٰ اور ان کی مجلسوں کی روحانی تاثیر کا ذکر ہوا جن سے ہزاروں لوگ فیض پاتے تھے۔امام صاحب نے فرمایا کہ غوث پاکؒ کی شان یہ ہے کہ ان کا قدم تمام اولیاء کی گردنوں پر ہے۔آخر میں انہوں نے کہا کہ جس طرح نبی کریم ﷺ نبیوں کے سردار ہیں، اسی طرح حضرت عبدالقادر جیلانیؒ اولیاء کے سردار ہیں۔</v>
      </c>
      <c r="X741" s="10">
        <f>IFERROR(__xludf.DUMMYFUNCTION("""COMPUTED_VALUE"""),3.0)</f>
        <v>3</v>
      </c>
      <c r="Y741" s="10">
        <f>IFERROR(__xludf.DUMMYFUNCTION("""COMPUTED_VALUE"""),0.0)</f>
        <v>0</v>
      </c>
      <c r="Z741" s="10">
        <f>IFERROR(__xludf.DUMMYFUNCTION("""COMPUTED_VALUE"""),0.0)</f>
        <v>0</v>
      </c>
      <c r="AA741" s="10">
        <f>IFERROR(__xludf.DUMMYFUNCTION("""COMPUTED_VALUE"""),9.0)</f>
        <v>9</v>
      </c>
      <c r="AB741" s="10">
        <f>IFERROR(__xludf.DUMMYFUNCTION("""COMPUTED_VALUE"""),5.0)</f>
        <v>5</v>
      </c>
      <c r="AC741" s="10">
        <f>IFERROR(__xludf.DUMMYFUNCTION("""COMPUTED_VALUE"""),0.0)</f>
        <v>0</v>
      </c>
      <c r="AD741" s="10">
        <f>IFERROR(__xludf.DUMMYFUNCTION("""COMPUTED_VALUE"""),0.0)</f>
        <v>0</v>
      </c>
      <c r="AE741" s="10">
        <f>IFERROR(__xludf.DUMMYFUNCTION("""COMPUTED_VALUE"""),0.0)</f>
        <v>0</v>
      </c>
      <c r="AF741" s="10">
        <f>IFERROR(__xludf.DUMMYFUNCTION("""COMPUTED_VALUE"""),0.0)</f>
        <v>0</v>
      </c>
      <c r="AG741" s="10">
        <f>IFERROR(__xludf.DUMMYFUNCTION("""COMPUTED_VALUE"""),7.0)</f>
        <v>7</v>
      </c>
      <c r="AH741" s="10">
        <f>IFERROR(__xludf.DUMMYFUNCTION("""COMPUTED_VALUE"""),0.0)</f>
        <v>0</v>
      </c>
      <c r="AI741" s="10">
        <f>IFERROR(__xludf.DUMMYFUNCTION("""COMPUTED_VALUE"""),7.0)</f>
        <v>7</v>
      </c>
      <c r="AJ741" s="11" t="str">
        <f>IFERROR(__xludf.DUMMYFUNCTION("""COMPUTED_VALUE"""),"https://drive.google.com/open?id=1IeumY-Kjs3FFfKwrOVtG9lP58NRZIu1Q")</f>
        <v>https://drive.google.com/open?id=1IeumY-Kjs3FFfKwrOVtG9lP58NRZIu1Q</v>
      </c>
      <c r="AK741" s="12"/>
      <c r="AL741" s="12"/>
      <c r="AM741" s="12"/>
      <c r="AN741" s="12" t="str">
        <f>IFERROR(__xludf.DUMMYFUNCTION("""COMPUTED_VALUE"""),"3rd week")</f>
        <v>3rd week</v>
      </c>
      <c r="AO741" s="13">
        <v>3.0</v>
      </c>
      <c r="AX741" s="17"/>
    </row>
    <row r="742">
      <c r="B742" s="9">
        <f>IFERROR(__xludf.DUMMYFUNCTION("""COMPUTED_VALUE"""),45956.244647430554)</f>
        <v>45956.24465</v>
      </c>
      <c r="C742" s="10" t="str">
        <f>IFERROR(__xludf.DUMMYFUNCTION("""COMPUTED_VALUE"""),"Asma gul")</f>
        <v>Asma gul</v>
      </c>
      <c r="D742" s="10" t="str">
        <f>IFERROR(__xludf.DUMMYFUNCTION("""COMPUTED_VALUE"""),"03459308620")</f>
        <v>03459308620</v>
      </c>
      <c r="E742" s="10" t="str">
        <f>IFERROR(__xludf.DUMMYFUNCTION("""COMPUTED_VALUE"""),"Jamia Masjid Gaalah Mandi Pakpattan  ")</f>
        <v>Jamia Masjid Gaalah Mandi Pakpattan  </v>
      </c>
      <c r="F742" s="10" t="str">
        <f>IFERROR(__xludf.DUMMYFUNCTION("""COMPUTED_VALUE"""),"LPJZI")</f>
        <v>LPJZI</v>
      </c>
      <c r="G742" s="10" t="str">
        <f>IFERROR(__xludf.DUMMYFUNCTION("""COMPUTED_VALUE"""),"Yes")</f>
        <v>Yes</v>
      </c>
      <c r="H742" s="10">
        <f>IFERROR(__xludf.DUMMYFUNCTION("""COMPUTED_VALUE"""),8.0)</f>
        <v>8</v>
      </c>
      <c r="I742" s="10">
        <f>IFERROR(__xludf.DUMMYFUNCTION("""COMPUTED_VALUE"""),1.0)</f>
        <v>1</v>
      </c>
      <c r="J742" s="10">
        <f>IFERROR(__xludf.DUMMYFUNCTION("""COMPUTED_VALUE"""),9.0)</f>
        <v>9</v>
      </c>
      <c r="K742" s="10">
        <f>IFERROR(__xludf.DUMMYFUNCTION("""COMPUTED_VALUE"""),0.0)</f>
        <v>0</v>
      </c>
      <c r="L742" s="10">
        <f>IFERROR(__xludf.DUMMYFUNCTION("""COMPUTED_VALUE"""),9.0)</f>
        <v>9</v>
      </c>
      <c r="M742" s="10">
        <f>IFERROR(__xludf.DUMMYFUNCTION("""COMPUTED_VALUE"""),0.0)</f>
        <v>0</v>
      </c>
      <c r="N742" s="10">
        <f>IFERROR(__xludf.DUMMYFUNCTION("""COMPUTED_VALUE"""),7.0)</f>
        <v>7</v>
      </c>
      <c r="O742" s="10">
        <f>IFERROR(__xludf.DUMMYFUNCTION("""COMPUTED_VALUE"""),0.0)</f>
        <v>0</v>
      </c>
      <c r="P742" s="10">
        <f>IFERROR(__xludf.DUMMYFUNCTION("""COMPUTED_VALUE"""),6.0)</f>
        <v>6</v>
      </c>
      <c r="Q742" s="10" t="str">
        <f>IFERROR(__xludf.DUMMYFUNCTION("""COMPUTED_VALUE"""),"No")</f>
        <v>No</v>
      </c>
      <c r="R742" s="10" t="str">
        <f>IFERROR(__xludf.DUMMYFUNCTION("""COMPUTED_VALUE"""),"No")</f>
        <v>No</v>
      </c>
      <c r="S742" s="10" t="str">
        <f>IFERROR(__xludf.DUMMYFUNCTION("""COMPUTED_VALUE"""),"No")</f>
        <v>No</v>
      </c>
      <c r="T742" s="10">
        <f>IFERROR(__xludf.DUMMYFUNCTION("""COMPUTED_VALUE"""),0.0)</f>
        <v>0</v>
      </c>
      <c r="U742" s="10">
        <f>IFERROR(__xludf.DUMMYFUNCTION("""COMPUTED_VALUE"""),0.0)</f>
        <v>0</v>
      </c>
      <c r="V742" s="10" t="str">
        <f>IFERROR(__xludf.DUMMYFUNCTION("""COMPUTED_VALUE"""),"اسلامی معاشرے میں پڑوسیوں کے حقوق اور ان کی اہمیت")</f>
        <v>اسلامی معاشرے میں پڑوسیوں کے حقوق اور ان کی اہمیت</v>
      </c>
      <c r="W742" s="10" t="str">
        <f>IFERROR(__xludf.DUMMYFUNCTION("""COMPUTED_VALUE"""),"
امام صاحب نے بیان میں بتایا کہ ایک مضبوط اسلامی معاشرہ تب بنتا ہے جب مسلمان ایک دوسرے کے حقوق ادا کریں، خاص طور پر پڑوسیوں کے ساتھ حسنِ سلوک کریں۔ رسول اکرم ﷺ نے فرمایا کہ وہ شخص کامل مومن نہیں جس کا پڑوسی اس کی شرارتوں سے محفوظ نہ ہو۔ امام نے معاشرتی بر"&amp;"ائیوں، اسراف، شور شرابہ، ناجائز قبضے، پانی اور خوراک کے ضیاع سے بچنے کی تلقین کی۔ آخر میں فرمایا کہ صفائی، ایثار اور باہمی تعاون سے ہی سوسائٹی مضبوط اور پاکیزہ بنتی ہے")</f>
        <v>
امام صاحب نے بیان میں بتایا کہ ایک مضبوط اسلامی معاشرہ تب بنتا ہے جب مسلمان ایک دوسرے کے حقوق ادا کریں، خاص طور پر پڑوسیوں کے ساتھ حسنِ سلوک کریں۔ رسول اکرم ﷺ نے فرمایا کہ وہ شخص کامل مومن نہیں جس کا پڑوسی اس کی شرارتوں سے محفوظ نہ ہو۔ امام نے معاشرتی برائیوں، اسراف، شور شرابہ، ناجائز قبضے، پانی اور خوراک کے ضیاع سے بچنے کی تلقین کی۔ آخر میں فرمایا کہ صفائی، ایثار اور باہمی تعاون سے ہی سوسائٹی مضبوط اور پاکیزہ بنتی ہے</v>
      </c>
      <c r="X742" s="10">
        <f>IFERROR(__xludf.DUMMYFUNCTION("""COMPUTED_VALUE"""),5.0)</f>
        <v>5</v>
      </c>
      <c r="Y742" s="10">
        <f>IFERROR(__xludf.DUMMYFUNCTION("""COMPUTED_VALUE"""),9.0)</f>
        <v>9</v>
      </c>
      <c r="Z742" s="10">
        <f>IFERROR(__xludf.DUMMYFUNCTION("""COMPUTED_VALUE"""),8.0)</f>
        <v>8</v>
      </c>
      <c r="AA742" s="10">
        <f>IFERROR(__xludf.DUMMYFUNCTION("""COMPUTED_VALUE"""),10.0)</f>
        <v>10</v>
      </c>
      <c r="AB742" s="10">
        <f>IFERROR(__xludf.DUMMYFUNCTION("""COMPUTED_VALUE"""),6.0)</f>
        <v>6</v>
      </c>
      <c r="AC742" s="10">
        <f>IFERROR(__xludf.DUMMYFUNCTION("""COMPUTED_VALUE"""),5.0)</f>
        <v>5</v>
      </c>
      <c r="AD742" s="10">
        <f>IFERROR(__xludf.DUMMYFUNCTION("""COMPUTED_VALUE"""),6.0)</f>
        <v>6</v>
      </c>
      <c r="AE742" s="10">
        <f>IFERROR(__xludf.DUMMYFUNCTION("""COMPUTED_VALUE"""),0.0)</f>
        <v>0</v>
      </c>
      <c r="AF742" s="10">
        <f>IFERROR(__xludf.DUMMYFUNCTION("""COMPUTED_VALUE"""),0.0)</f>
        <v>0</v>
      </c>
      <c r="AG742" s="10">
        <f>IFERROR(__xludf.DUMMYFUNCTION("""COMPUTED_VALUE"""),9.0)</f>
        <v>9</v>
      </c>
      <c r="AH742" s="10">
        <f>IFERROR(__xludf.DUMMYFUNCTION("""COMPUTED_VALUE"""),0.0)</f>
        <v>0</v>
      </c>
      <c r="AI742" s="10">
        <f>IFERROR(__xludf.DUMMYFUNCTION("""COMPUTED_VALUE"""),9.0)</f>
        <v>9</v>
      </c>
      <c r="AJ742" s="11" t="str">
        <f>IFERROR(__xludf.DUMMYFUNCTION("""COMPUTED_VALUE"""),"https://drive.google.com/open?id=11uh-CIeLnTfdGWGXiye0_OXladJTSe-P")</f>
        <v>https://drive.google.com/open?id=11uh-CIeLnTfdGWGXiye0_OXladJTSe-P</v>
      </c>
      <c r="AK742" s="12"/>
      <c r="AL742" s="12" t="str">
        <f>IFERROR(__xludf.DUMMYFUNCTION("""COMPUTED_VALUE"""),"Yes")</f>
        <v>Yes</v>
      </c>
      <c r="AM742" s="15">
        <f>IFERROR(__xludf.DUMMYFUNCTION("""COMPUTED_VALUE"""),0.8)</f>
        <v>0.8</v>
      </c>
      <c r="AN742" s="12" t="str">
        <f>IFERROR(__xludf.DUMMYFUNCTION("""COMPUTED_VALUE"""),"3rd week")</f>
        <v>3rd week</v>
      </c>
      <c r="AO742" s="13">
        <v>3.0</v>
      </c>
      <c r="AX742" s="17"/>
    </row>
    <row r="743">
      <c r="B743" s="9">
        <f>IFERROR(__xludf.DUMMYFUNCTION("""COMPUTED_VALUE"""),45956.353565763886)</f>
        <v>45956.35357</v>
      </c>
      <c r="C743" s="10" t="str">
        <f>IFERROR(__xludf.DUMMYFUNCTION("""COMPUTED_VALUE"""),"Asma Gul ")</f>
        <v>Asma Gul </v>
      </c>
      <c r="D743" s="10" t="str">
        <f>IFERROR(__xludf.DUMMYFUNCTION("""COMPUTED_VALUE"""),"03459308620")</f>
        <v>03459308620</v>
      </c>
      <c r="E743" s="10" t="str">
        <f>IFERROR(__xludf.DUMMYFUNCTION("""COMPUTED_VALUE"""),"Jamia Masjid D Block Burewala")</f>
        <v>Jamia Masjid D Block Burewala</v>
      </c>
      <c r="F743" s="10" t="str">
        <f>IFERROR(__xludf.DUMMYFUNCTION("""COMPUTED_VALUE"""),"MFVFC")</f>
        <v>MFVFC</v>
      </c>
      <c r="G743" s="10" t="str">
        <f>IFERROR(__xludf.DUMMYFUNCTION("""COMPUTED_VALUE"""),"Yes")</f>
        <v>Yes</v>
      </c>
      <c r="H743" s="10">
        <f>IFERROR(__xludf.DUMMYFUNCTION("""COMPUTED_VALUE"""),0.0)</f>
        <v>0</v>
      </c>
      <c r="I743" s="10">
        <f>IFERROR(__xludf.DUMMYFUNCTION("""COMPUTED_VALUE"""),10.0)</f>
        <v>10</v>
      </c>
      <c r="J743" s="10">
        <f>IFERROR(__xludf.DUMMYFUNCTION("""COMPUTED_VALUE"""),0.0)</f>
        <v>0</v>
      </c>
      <c r="K743" s="10">
        <f>IFERROR(__xludf.DUMMYFUNCTION("""COMPUTED_VALUE"""),0.0)</f>
        <v>0</v>
      </c>
      <c r="L743" s="10">
        <f>IFERROR(__xludf.DUMMYFUNCTION("""COMPUTED_VALUE"""),0.0)</f>
        <v>0</v>
      </c>
      <c r="M743" s="10">
        <f>IFERROR(__xludf.DUMMYFUNCTION("""COMPUTED_VALUE"""),0.0)</f>
        <v>0</v>
      </c>
      <c r="N743" s="10">
        <f>IFERROR(__xludf.DUMMYFUNCTION("""COMPUTED_VALUE"""),0.0)</f>
        <v>0</v>
      </c>
      <c r="O743" s="10">
        <f>IFERROR(__xludf.DUMMYFUNCTION("""COMPUTED_VALUE"""),0.0)</f>
        <v>0</v>
      </c>
      <c r="P743" s="10">
        <f>IFERROR(__xludf.DUMMYFUNCTION("""COMPUTED_VALUE"""),0.0)</f>
        <v>0</v>
      </c>
      <c r="Q743" s="10" t="str">
        <f>IFERROR(__xludf.DUMMYFUNCTION("""COMPUTED_VALUE"""),"No")</f>
        <v>No</v>
      </c>
      <c r="R743" s="10" t="str">
        <f>IFERROR(__xludf.DUMMYFUNCTION("""COMPUTED_VALUE"""),"No")</f>
        <v>No</v>
      </c>
      <c r="S743" s="10" t="str">
        <f>IFERROR(__xludf.DUMMYFUNCTION("""COMPUTED_VALUE"""),"No")</f>
        <v>No</v>
      </c>
      <c r="T743" s="10">
        <f>IFERROR(__xludf.DUMMYFUNCTION("""COMPUTED_VALUE"""),0.0)</f>
        <v>0</v>
      </c>
      <c r="U743" s="10">
        <f>IFERROR(__xludf.DUMMYFUNCTION("""COMPUTED_VALUE"""),0.0)</f>
        <v>0</v>
      </c>
      <c r="V743" s="10" t="str">
        <f>IFERROR(__xludf.DUMMYFUNCTION("""COMPUTED_VALUE"""),"فلسطین کے مسئلے، مسلمانوں کی کمزوری، دینی و تاریخی حقائق، جہاد کی غلط تشریحات")</f>
        <v>فلسطین کے مسئلے، مسلمانوں کی کمزوری، دینی و تاریخی حقائق، جہاد کی غلط تشریحات</v>
      </c>
      <c r="W743" s="10" t="str">
        <f>IFERROR(__xludf.DUMMYFUNCTION("""COMPUTED_VALUE"""),"اس خطبے میں امام نے فلسطین کی ریاست کا قیام پاکستان کا قیام فلسطین پر اسرائیل کا حملہ اور دوسری اسلامک ممالک کا اس پر رد عمل اس کے ساتھ ساتھ مذہب کے نام پر احتجاج اور مختلف جماعتوں کا جہاد کی غلط  تشریح کرنے کا ذکر کیا گیا ہے")</f>
        <v>اس خطبے میں امام نے فلسطین کی ریاست کا قیام پاکستان کا قیام فلسطین پر اسرائیل کا حملہ اور دوسری اسلامک ممالک کا اس پر رد عمل اس کے ساتھ ساتھ مذہب کے نام پر احتجاج اور مختلف جماعتوں کا جہاد کی غلط  تشریح کرنے کا ذکر کیا گیا ہے</v>
      </c>
      <c r="X743" s="10">
        <f>IFERROR(__xludf.DUMMYFUNCTION("""COMPUTED_VALUE"""),8.0)</f>
        <v>8</v>
      </c>
      <c r="Y743" s="10">
        <f>IFERROR(__xludf.DUMMYFUNCTION("""COMPUTED_VALUE"""),9.0)</f>
        <v>9</v>
      </c>
      <c r="Z743" s="10">
        <f>IFERROR(__xludf.DUMMYFUNCTION("""COMPUTED_VALUE"""),8.0)</f>
        <v>8</v>
      </c>
      <c r="AA743" s="10">
        <f>IFERROR(__xludf.DUMMYFUNCTION("""COMPUTED_VALUE"""),9.0)</f>
        <v>9</v>
      </c>
      <c r="AB743" s="10">
        <f>IFERROR(__xludf.DUMMYFUNCTION("""COMPUTED_VALUE"""),10.0)</f>
        <v>10</v>
      </c>
      <c r="AC743" s="10">
        <f>IFERROR(__xludf.DUMMYFUNCTION("""COMPUTED_VALUE"""),10.0)</f>
        <v>10</v>
      </c>
      <c r="AD743" s="10">
        <f>IFERROR(__xludf.DUMMYFUNCTION("""COMPUTED_VALUE"""),2.0)</f>
        <v>2</v>
      </c>
      <c r="AE743" s="10">
        <f>IFERROR(__xludf.DUMMYFUNCTION("""COMPUTED_VALUE"""),2.0)</f>
        <v>2</v>
      </c>
      <c r="AF743" s="10">
        <f>IFERROR(__xludf.DUMMYFUNCTION("""COMPUTED_VALUE"""),0.0)</f>
        <v>0</v>
      </c>
      <c r="AG743" s="10">
        <f>IFERROR(__xludf.DUMMYFUNCTION("""COMPUTED_VALUE"""),8.0)</f>
        <v>8</v>
      </c>
      <c r="AH743" s="10">
        <f>IFERROR(__xludf.DUMMYFUNCTION("""COMPUTED_VALUE"""),0.0)</f>
        <v>0</v>
      </c>
      <c r="AI743" s="10">
        <f>IFERROR(__xludf.DUMMYFUNCTION("""COMPUTED_VALUE"""),8.0)</f>
        <v>8</v>
      </c>
      <c r="AJ743" s="11" t="str">
        <f>IFERROR(__xludf.DUMMYFUNCTION("""COMPUTED_VALUE"""),"https://drive.google.com/open?id=130pu-kqRtpJqr0EkyxA6b3LkX0ZlY-hPB2CPUo9Z_EA")</f>
        <v>https://drive.google.com/open?id=130pu-kqRtpJqr0EkyxA6b3LkX0ZlY-hPB2CPUo9Z_EA</v>
      </c>
      <c r="AK743" s="12"/>
      <c r="AL743" s="12" t="str">
        <f>IFERROR(__xludf.DUMMYFUNCTION("""COMPUTED_VALUE"""),"Yes")</f>
        <v>Yes</v>
      </c>
      <c r="AM743" s="15">
        <f>IFERROR(__xludf.DUMMYFUNCTION("""COMPUTED_VALUE"""),0.0)</f>
        <v>0</v>
      </c>
      <c r="AN743" s="12" t="str">
        <f>IFERROR(__xludf.DUMMYFUNCTION("""COMPUTED_VALUE"""),"3rd week")</f>
        <v>3rd week</v>
      </c>
      <c r="AO743" s="13">
        <v>3.0</v>
      </c>
      <c r="AX743" s="17"/>
    </row>
    <row r="744">
      <c r="B744" s="9">
        <f>IFERROR(__xludf.DUMMYFUNCTION("""COMPUTED_VALUE"""),45956.37673788195)</f>
        <v>45956.37674</v>
      </c>
      <c r="C744" s="10" t="str">
        <f>IFERROR(__xludf.DUMMYFUNCTION("""COMPUTED_VALUE"""),"Asma Gul ")</f>
        <v>Asma Gul </v>
      </c>
      <c r="D744" s="10" t="str">
        <f>IFERROR(__xludf.DUMMYFUNCTION("""COMPUTED_VALUE"""),"03459308620")</f>
        <v>03459308620</v>
      </c>
      <c r="E744" s="10" t="str">
        <f>IFERROR(__xludf.DUMMYFUNCTION("""COMPUTED_VALUE"""),"Jamia Masjid Abdul Kareem Pakpattan")</f>
        <v>Jamia Masjid Abdul Kareem Pakpattan</v>
      </c>
      <c r="F744" s="10" t="str">
        <f>IFERROR(__xludf.DUMMYFUNCTION("""COMPUTED_VALUE"""),"OGDXP")</f>
        <v>OGDXP</v>
      </c>
      <c r="G744" s="10" t="str">
        <f>IFERROR(__xludf.DUMMYFUNCTION("""COMPUTED_VALUE"""),"Yes")</f>
        <v>Yes</v>
      </c>
      <c r="H744" s="10">
        <f>IFERROR(__xludf.DUMMYFUNCTION("""COMPUTED_VALUE"""),5.0)</f>
        <v>5</v>
      </c>
      <c r="I744" s="10">
        <f>IFERROR(__xludf.DUMMYFUNCTION("""COMPUTED_VALUE"""),5.0)</f>
        <v>5</v>
      </c>
      <c r="J744" s="10">
        <f>IFERROR(__xludf.DUMMYFUNCTION("""COMPUTED_VALUE"""),5.0)</f>
        <v>5</v>
      </c>
      <c r="K744" s="10">
        <f>IFERROR(__xludf.DUMMYFUNCTION("""COMPUTED_VALUE"""),5.0)</f>
        <v>5</v>
      </c>
      <c r="L744" s="10">
        <f>IFERROR(__xludf.DUMMYFUNCTION("""COMPUTED_VALUE"""),0.0)</f>
        <v>0</v>
      </c>
      <c r="M744" s="10">
        <f>IFERROR(__xludf.DUMMYFUNCTION("""COMPUTED_VALUE"""),5.0)</f>
        <v>5</v>
      </c>
      <c r="N744" s="10">
        <f>IFERROR(__xludf.DUMMYFUNCTION("""COMPUTED_VALUE"""),0.0)</f>
        <v>0</v>
      </c>
      <c r="O744" s="10">
        <f>IFERROR(__xludf.DUMMYFUNCTION("""COMPUTED_VALUE"""),5.0)</f>
        <v>5</v>
      </c>
      <c r="P744" s="10">
        <f>IFERROR(__xludf.DUMMYFUNCTION("""COMPUTED_VALUE"""),0.0)</f>
        <v>0</v>
      </c>
      <c r="Q744" s="10" t="str">
        <f>IFERROR(__xludf.DUMMYFUNCTION("""COMPUTED_VALUE"""),"No")</f>
        <v>No</v>
      </c>
      <c r="R744" s="10" t="str">
        <f>IFERROR(__xludf.DUMMYFUNCTION("""COMPUTED_VALUE"""),"No")</f>
        <v>No</v>
      </c>
      <c r="S744" s="10" t="str">
        <f>IFERROR(__xludf.DUMMYFUNCTION("""COMPUTED_VALUE"""),"No")</f>
        <v>No</v>
      </c>
      <c r="T744" s="10">
        <f>IFERROR(__xludf.DUMMYFUNCTION("""COMPUTED_VALUE"""),0.0)</f>
        <v>0</v>
      </c>
      <c r="U744" s="10">
        <f>IFERROR(__xludf.DUMMYFUNCTION("""COMPUTED_VALUE"""),0.0)</f>
        <v>0</v>
      </c>
      <c r="V744" s="10" t="str">
        <f>IFERROR(__xludf.DUMMYFUNCTION("""COMPUTED_VALUE"""),"سیرت النبی ﷺ، خواتین کی تعلیم و کردار، دیانت داری، ")</f>
        <v>سیرت النبی ﷺ، خواتین کی تعلیم و کردار، دیانت داری، </v>
      </c>
      <c r="W744" s="10" t="str">
        <f>IFERROR(__xludf.DUMMYFUNCTION("""COMPUTED_VALUE"""),"اس خطبے میں امام نیم پہلے سیرت نبی کا ذکر کیا ہے نبی پاک صلی اللہ علیہ وسلم کا اس پہ حسنہ کا ذکر کیا ہے پھر خواتین کے حقوق کا ذکر کیا ہے خواتین کی جنگوں میں شرکت کا ذکر کیا ہے نبی پاک صلی اللہ علیہ وسلم کا اپنی ازواج مطہرات سے رائے لینے کا بھی ذکر کیا ہے "&amp;"اخر میں سماجی موضوعات جیسے کہ ملاوٹ کا ذکر کیا حضرت عمر بن عبدالعزیز کا بھی ذکر کیا گیا ہے")</f>
        <v>اس خطبے میں امام نیم پہلے سیرت نبی کا ذکر کیا ہے نبی پاک صلی اللہ علیہ وسلم کا اس پہ حسنہ کا ذکر کیا ہے پھر خواتین کے حقوق کا ذکر کیا ہے خواتین کی جنگوں میں شرکت کا ذکر کیا ہے نبی پاک صلی اللہ علیہ وسلم کا اپنی ازواج مطہرات سے رائے لینے کا بھی ذکر کیا ہے اخر میں سماجی موضوعات جیسے کہ ملاوٹ کا ذکر کیا حضرت عمر بن عبدالعزیز کا بھی ذکر کیا گیا ہے</v>
      </c>
      <c r="X744" s="10">
        <f>IFERROR(__xludf.DUMMYFUNCTION("""COMPUTED_VALUE"""),6.0)</f>
        <v>6</v>
      </c>
      <c r="Y744" s="10">
        <f>IFERROR(__xludf.DUMMYFUNCTION("""COMPUTED_VALUE"""),8.0)</f>
        <v>8</v>
      </c>
      <c r="Z744" s="10">
        <f>IFERROR(__xludf.DUMMYFUNCTION("""COMPUTED_VALUE"""),9.0)</f>
        <v>9</v>
      </c>
      <c r="AA744" s="10">
        <f>IFERROR(__xludf.DUMMYFUNCTION("""COMPUTED_VALUE"""),9.0)</f>
        <v>9</v>
      </c>
      <c r="AB744" s="10">
        <f>IFERROR(__xludf.DUMMYFUNCTION("""COMPUTED_VALUE"""),8.0)</f>
        <v>8</v>
      </c>
      <c r="AC744" s="10">
        <f>IFERROR(__xludf.DUMMYFUNCTION("""COMPUTED_VALUE"""),6.0)</f>
        <v>6</v>
      </c>
      <c r="AD744" s="10">
        <f>IFERROR(__xludf.DUMMYFUNCTION("""COMPUTED_VALUE"""),5.0)</f>
        <v>5</v>
      </c>
      <c r="AE744" s="10">
        <f>IFERROR(__xludf.DUMMYFUNCTION("""COMPUTED_VALUE"""),0.0)</f>
        <v>0</v>
      </c>
      <c r="AF744" s="10">
        <f>IFERROR(__xludf.DUMMYFUNCTION("""COMPUTED_VALUE"""),0.0)</f>
        <v>0</v>
      </c>
      <c r="AG744" s="10">
        <f>IFERROR(__xludf.DUMMYFUNCTION("""COMPUTED_VALUE"""),8.0)</f>
        <v>8</v>
      </c>
      <c r="AH744" s="10">
        <f>IFERROR(__xludf.DUMMYFUNCTION("""COMPUTED_VALUE"""),0.0)</f>
        <v>0</v>
      </c>
      <c r="AI744" s="10">
        <f>IFERROR(__xludf.DUMMYFUNCTION("""COMPUTED_VALUE"""),8.0)</f>
        <v>8</v>
      </c>
      <c r="AJ744" s="11" t="str">
        <f>IFERROR(__xludf.DUMMYFUNCTION("""COMPUTED_VALUE"""),"https://drive.google.com/open?id=188PocqKDyI91fLSkRlNGeUpoFxD-jqtogmJyM-mArtE")</f>
        <v>https://drive.google.com/open?id=188PocqKDyI91fLSkRlNGeUpoFxD-jqtogmJyM-mArtE</v>
      </c>
      <c r="AK744" s="12"/>
      <c r="AL744" s="12" t="str">
        <f>IFERROR(__xludf.DUMMYFUNCTION("""COMPUTED_VALUE"""),"Yes")</f>
        <v>Yes</v>
      </c>
      <c r="AM744" s="15">
        <f>IFERROR(__xludf.DUMMYFUNCTION("""COMPUTED_VALUE"""),0.5)</f>
        <v>0.5</v>
      </c>
      <c r="AN744" s="12" t="str">
        <f>IFERROR(__xludf.DUMMYFUNCTION("""COMPUTED_VALUE"""),"3rd week")</f>
        <v>3rd week</v>
      </c>
      <c r="AO744" s="13">
        <v>3.0</v>
      </c>
      <c r="AX744" s="17"/>
    </row>
    <row r="745">
      <c r="B745" s="9">
        <f>IFERROR(__xludf.DUMMYFUNCTION("""COMPUTED_VALUE"""),45957.71628741898)</f>
        <v>45957.71629</v>
      </c>
      <c r="C745" s="10" t="str">
        <f>IFERROR(__xludf.DUMMYFUNCTION("""COMPUTED_VALUE"""),"Sidra ")</f>
        <v>Sidra </v>
      </c>
      <c r="D745" s="10" t="str">
        <f>IFERROR(__xludf.DUMMYFUNCTION("""COMPUTED_VALUE"""),"03261416280")</f>
        <v>03261416280</v>
      </c>
      <c r="E745" s="10" t="str">
        <f>IFERROR(__xludf.DUMMYFUNCTION("""COMPUTED_VALUE"""),"Jamia Masjid Taliyah Nawali Shahiwal")</f>
        <v>Jamia Masjid Taliyah Nawali Shahiwal</v>
      </c>
      <c r="F745" s="10" t="str">
        <f>IFERROR(__xludf.DUMMYFUNCTION("""COMPUTED_VALUE"""),"MIIDK")</f>
        <v>MIIDK</v>
      </c>
      <c r="G745" s="10" t="str">
        <f>IFERROR(__xludf.DUMMYFUNCTION("""COMPUTED_VALUE"""),"No")</f>
        <v>No</v>
      </c>
      <c r="H745" s="10"/>
      <c r="I745" s="10"/>
      <c r="J745" s="10"/>
      <c r="K745" s="10">
        <f>IFERROR(__xludf.DUMMYFUNCTION("""COMPUTED_VALUE"""),0.0)</f>
        <v>0</v>
      </c>
      <c r="L745" s="10">
        <f>IFERROR(__xludf.DUMMYFUNCTION("""COMPUTED_VALUE"""),0.0)</f>
        <v>0</v>
      </c>
      <c r="M745" s="10">
        <f>IFERROR(__xludf.DUMMYFUNCTION("""COMPUTED_VALUE"""),0.0)</f>
        <v>0</v>
      </c>
      <c r="N745" s="10">
        <f>IFERROR(__xludf.DUMMYFUNCTION("""COMPUTED_VALUE"""),0.0)</f>
        <v>0</v>
      </c>
      <c r="O745" s="10">
        <f>IFERROR(__xludf.DUMMYFUNCTION("""COMPUTED_VALUE"""),0.0)</f>
        <v>0</v>
      </c>
      <c r="P745" s="10">
        <f>IFERROR(__xludf.DUMMYFUNCTION("""COMPUTED_VALUE"""),0.0)</f>
        <v>0</v>
      </c>
      <c r="Q745" s="10" t="str">
        <f>IFERROR(__xludf.DUMMYFUNCTION("""COMPUTED_VALUE"""),"No")</f>
        <v>No</v>
      </c>
      <c r="R745" s="10" t="str">
        <f>IFERROR(__xludf.DUMMYFUNCTION("""COMPUTED_VALUE"""),"No")</f>
        <v>No</v>
      </c>
      <c r="S745" s="10" t="str">
        <f>IFERROR(__xludf.DUMMYFUNCTION("""COMPUTED_VALUE"""),"No")</f>
        <v>No</v>
      </c>
      <c r="T745" s="10">
        <f>IFERROR(__xludf.DUMMYFUNCTION("""COMPUTED_VALUE"""),0.0)</f>
        <v>0</v>
      </c>
      <c r="U745" s="10">
        <f>IFERROR(__xludf.DUMMYFUNCTION("""COMPUTED_VALUE"""),0.0)</f>
        <v>0</v>
      </c>
      <c r="V745" s="10" t="str">
        <f>IFERROR(__xludf.DUMMYFUNCTION("""COMPUTED_VALUE"""),"اسلامی تعلیمات ")</f>
        <v>اسلامی تعلیمات </v>
      </c>
      <c r="W745" s="10" t="str">
        <f>IFERROR(__xludf.DUMMYFUNCTION("""COMPUTED_VALUE"""),"امام نے بیان میں بتایا ہے کہ حضرت عثمان بن عفان کی آٹھ شادیاں ہوئیں جن میں سے دو بیویاں نبی کریم صلی اللہ علیہ وسلم کی بیٹیاں تھیں اور حضرت عثمان بن عفان کو اللہ تعالی نے بہت شان سے نوازا ہے ایک مرتبہ نبی کریم صلی اللہ علیہ وسلم مسجد سے گھر لوٹے اور اماں "&amp;"عائشہ سے کہا کھانے کو کیا ہے تو انہوں نے جواب دیا یا رسول اللہ کھانے کو کچھ نہیں ہے آپ واپس مسجد لوٹ گئے اور پھر حضرت عثمان بن عفان اماں عائشہ کی حجرے میں آئے اور پوچھا اماں نبی کریم صلی اللہ علیہ وسلم کی حالات زندگی کیسی ہیں تو اماں نے جواب دیا نبی کریم "&amp;"صلی اللہ علیہ وسلم صبح سے دو تین بار چکر لگا چکے ہیں اور پوچھتے ہیں کھانے میں کیا ہے اور میں جواب میں کچھ نہیں کہہ دیتی ہوں تو وہ واپس لوٹ جاتے اس پر حضرت عثمان کی آنکھوں میں آنسو آگئے اور آپ فوری اپنے گھر گئے گوشت بنایا اور روٹیاں بنا کر نبی کریم صلی الل"&amp;"ہ علیہ وسلم کے لیے لے آئے جب نبی کریم صلی اللہ علیہ وسلم پھر گھر لوٹے اور دیکھا کہ دستر خواں پر گوشت اور روٹیاں رکھی ہیں تو آپ نے اماں عائشہ سے پوچھا یہ کہاں سے آئی تو انہوں نے جواب دیا کہ یہ حضرت عثمان بن عفان لے کر آئے آپ مسجد نبوی کی طرف روانہ ہوئے اور"&amp;" وہاں جا کر اللہ تعالی سے حضرت عثمان کے لیے دعا مانگی اور پھر واپس آ کر کھانا کھایا۔ ")</f>
        <v>امام نے بیان میں بتایا ہے کہ حضرت عثمان بن عفان کی آٹھ شادیاں ہوئیں جن میں سے دو بیویاں نبی کریم صلی اللہ علیہ وسلم کی بیٹیاں تھیں اور حضرت عثمان بن عفان کو اللہ تعالی نے بہت شان سے نوازا ہے ایک مرتبہ نبی کریم صلی اللہ علیہ وسلم مسجد سے گھر لوٹے اور اماں عائشہ سے کہا کھانے کو کیا ہے تو انہوں نے جواب دیا یا رسول اللہ کھانے کو کچھ نہیں ہے آپ واپس مسجد لوٹ گئے اور پھر حضرت عثمان بن عفان اماں عائشہ کی حجرے میں آئے اور پوچھا اماں نبی کریم صلی اللہ علیہ وسلم کی حالات زندگی کیسی ہیں تو اماں نے جواب دیا نبی کریم صلی اللہ علیہ وسلم صبح سے دو تین بار چکر لگا چکے ہیں اور پوچھتے ہیں کھانے میں کیا ہے اور میں جواب میں کچھ نہیں کہہ دیتی ہوں تو وہ واپس لوٹ جاتے اس پر حضرت عثمان کی آنکھوں میں آنسو آگئے اور آپ فوری اپنے گھر گئے گوشت بنایا اور روٹیاں بنا کر نبی کریم صلی اللہ علیہ وسلم کے لیے لے آئے جب نبی کریم صلی اللہ علیہ وسلم پھر گھر لوٹے اور دیکھا کہ دستر خواں پر گوشت اور روٹیاں رکھی ہیں تو آپ نے اماں عائشہ سے پوچھا یہ کہاں سے آئی تو انہوں نے جواب دیا کہ یہ حضرت عثمان بن عفان لے کر آئے آپ مسجد نبوی کی طرف روانہ ہوئے اور وہاں جا کر اللہ تعالی سے حضرت عثمان کے لیے دعا مانگی اور پھر واپس آ کر کھانا کھایا۔ </v>
      </c>
      <c r="X745" s="10">
        <f>IFERROR(__xludf.DUMMYFUNCTION("""COMPUTED_VALUE"""),2.0)</f>
        <v>2</v>
      </c>
      <c r="Y745" s="10">
        <f>IFERROR(__xludf.DUMMYFUNCTION("""COMPUTED_VALUE"""),3.0)</f>
        <v>3</v>
      </c>
      <c r="Z745" s="10">
        <f>IFERROR(__xludf.DUMMYFUNCTION("""COMPUTED_VALUE"""),6.0)</f>
        <v>6</v>
      </c>
      <c r="AA745" s="10">
        <f>IFERROR(__xludf.DUMMYFUNCTION("""COMPUTED_VALUE"""),7.0)</f>
        <v>7</v>
      </c>
      <c r="AB745" s="10">
        <f>IFERROR(__xludf.DUMMYFUNCTION("""COMPUTED_VALUE"""),8.0)</f>
        <v>8</v>
      </c>
      <c r="AC745" s="10">
        <f>IFERROR(__xludf.DUMMYFUNCTION("""COMPUTED_VALUE"""),0.0)</f>
        <v>0</v>
      </c>
      <c r="AD745" s="10">
        <f>IFERROR(__xludf.DUMMYFUNCTION("""COMPUTED_VALUE"""),0.0)</f>
        <v>0</v>
      </c>
      <c r="AE745" s="10">
        <f>IFERROR(__xludf.DUMMYFUNCTION("""COMPUTED_VALUE"""),0.0)</f>
        <v>0</v>
      </c>
      <c r="AF745" s="10">
        <f>IFERROR(__xludf.DUMMYFUNCTION("""COMPUTED_VALUE"""),0.0)</f>
        <v>0</v>
      </c>
      <c r="AG745" s="10">
        <f>IFERROR(__xludf.DUMMYFUNCTION("""COMPUTED_VALUE"""),10.0)</f>
        <v>10</v>
      </c>
      <c r="AH745" s="10">
        <f>IFERROR(__xludf.DUMMYFUNCTION("""COMPUTED_VALUE"""),0.0)</f>
        <v>0</v>
      </c>
      <c r="AI745" s="10">
        <f>IFERROR(__xludf.DUMMYFUNCTION("""COMPUTED_VALUE"""),10.0)</f>
        <v>10</v>
      </c>
      <c r="AJ745" s="11" t="str">
        <f>IFERROR(__xludf.DUMMYFUNCTION("""COMPUTED_VALUE"""),"https://drive.google.com/open?id=1WJr6V4QXBgUABP6aa6gvZKx8WELx6OLh3SNCkp5cAkQ")</f>
        <v>https://drive.google.com/open?id=1WJr6V4QXBgUABP6aa6gvZKx8WELx6OLh3SNCkp5cAkQ</v>
      </c>
      <c r="AK745" s="12" t="str">
        <f>IFERROR(__xludf.DUMMYFUNCTION("""COMPUTED_VALUE"""),"No ")</f>
        <v>No </v>
      </c>
      <c r="AL745" s="12"/>
      <c r="AM745" s="12"/>
      <c r="AN745" s="12" t="str">
        <f>IFERROR(__xludf.DUMMYFUNCTION("""COMPUTED_VALUE"""),"3rd week")</f>
        <v>3rd week</v>
      </c>
      <c r="AO745" s="13">
        <v>3.0</v>
      </c>
      <c r="AX745" s="17"/>
    </row>
    <row r="746">
      <c r="B746" s="9">
        <f>IFERROR(__xludf.DUMMYFUNCTION("""COMPUTED_VALUE"""),45958.03586564815)</f>
        <v>45958.03587</v>
      </c>
      <c r="C746" s="10" t="str">
        <f>IFERROR(__xludf.DUMMYFUNCTION("""COMPUTED_VALUE"""),"Saira Shahzad ")</f>
        <v>Saira Shahzad </v>
      </c>
      <c r="D746" s="10" t="str">
        <f>IFERROR(__xludf.DUMMYFUNCTION("""COMPUTED_VALUE"""),"03114534696")</f>
        <v>03114534696</v>
      </c>
      <c r="E746" s="10" t="str">
        <f>IFERROR(__xludf.DUMMYFUNCTION("""COMPUTED_VALUE"""),"Jamia Masjid Hanfiya Ghazi Abad Faisalabad	")</f>
        <v>Jamia Masjid Hanfiya Ghazi Abad Faisalabad	</v>
      </c>
      <c r="F746" s="10" t="str">
        <f>IFERROR(__xludf.DUMMYFUNCTION("""COMPUTED_VALUE"""),"ldkri")</f>
        <v>ldkri</v>
      </c>
      <c r="G746" s="10" t="str">
        <f>IFERROR(__xludf.DUMMYFUNCTION("""COMPUTED_VALUE"""),"Yes")</f>
        <v>Yes</v>
      </c>
      <c r="H746" s="10">
        <f>IFERROR(__xludf.DUMMYFUNCTION("""COMPUTED_VALUE"""),0.0)</f>
        <v>0</v>
      </c>
      <c r="I746" s="10">
        <f>IFERROR(__xludf.DUMMYFUNCTION("""COMPUTED_VALUE"""),10.0)</f>
        <v>10</v>
      </c>
      <c r="J746" s="10">
        <f>IFERROR(__xludf.DUMMYFUNCTION("""COMPUTED_VALUE"""),0.0)</f>
        <v>0</v>
      </c>
      <c r="K746" s="10">
        <f>IFERROR(__xludf.DUMMYFUNCTION("""COMPUTED_VALUE"""),1.0)</f>
        <v>1</v>
      </c>
      <c r="L746" s="10">
        <f>IFERROR(__xludf.DUMMYFUNCTION("""COMPUTED_VALUE"""),8.0)</f>
        <v>8</v>
      </c>
      <c r="M746" s="10">
        <f>IFERROR(__xludf.DUMMYFUNCTION("""COMPUTED_VALUE"""),0.0)</f>
        <v>0</v>
      </c>
      <c r="N746" s="10">
        <f>IFERROR(__xludf.DUMMYFUNCTION("""COMPUTED_VALUE"""),7.0)</f>
        <v>7</v>
      </c>
      <c r="O746" s="10">
        <f>IFERROR(__xludf.DUMMYFUNCTION("""COMPUTED_VALUE"""),1.0)</f>
        <v>1</v>
      </c>
      <c r="P746" s="10">
        <f>IFERROR(__xludf.DUMMYFUNCTION("""COMPUTED_VALUE"""),7.0)</f>
        <v>7</v>
      </c>
      <c r="Q746" s="10" t="str">
        <f>IFERROR(__xludf.DUMMYFUNCTION("""COMPUTED_VALUE"""),"No")</f>
        <v>No</v>
      </c>
      <c r="R746" s="10" t="str">
        <f>IFERROR(__xludf.DUMMYFUNCTION("""COMPUTED_VALUE"""),"No")</f>
        <v>No</v>
      </c>
      <c r="S746" s="10" t="str">
        <f>IFERROR(__xludf.DUMMYFUNCTION("""COMPUTED_VALUE"""),"Yes")</f>
        <v>Yes</v>
      </c>
      <c r="T746" s="10">
        <f>IFERROR(__xludf.DUMMYFUNCTION("""COMPUTED_VALUE"""),0.0)</f>
        <v>0</v>
      </c>
      <c r="U746" s="10">
        <f>IFERROR(__xludf.DUMMYFUNCTION("""COMPUTED_VALUE"""),0.0)</f>
        <v>0</v>
      </c>
      <c r="V746" s="10" t="str">
        <f>IFERROR(__xludf.DUMMYFUNCTION("""COMPUTED_VALUE"""),"ہمسایوں کے حقوق")</f>
        <v>ہمسایوں کے حقوق</v>
      </c>
      <c r="W746" s="10" t="str">
        <f>IFERROR(__xludf.DUMMYFUNCTION("""COMPUTED_VALUE"""),"امام نے اپنے بیان میں ہمسایوں کے حقوق تفصیل سے بیان کیے ہیں اور بتایا ہے کہ کس حد تک نبی پاک صلی اللہ علیہ والہ وسلم نے ہمسایوں کے ساتھ حسن سلوک کی تعلیم دی ہے ہمیں اس لیے ہمیں چاہیے کہ اگر ہمسائے بیمار ہوں تو ان کی عیادت کے لیے ان کے گھر جائیں اور اگر ان"&amp;" کو کوئی مدد کی ضرورت ہو تو ان کے مدد کریں اگر فوتگی ہو تو اس میں شرکت کریں اپنے ہمسایوں کے ارام کا خیال کریں شادی بیاہ وغیرہ پر اونچی اواز میں سپیکر پر جو گانے لگائے جاتے ہیں اس سے پرہیز کرنا چاہیے کیونکہ اس سے ہو سکتا ہے کہ ہماری ہمسائی پریشان ہوتے ہوں "&amp;"اور حضور پاک صلی اللہ علیہ والہ وسلم نے فرمایا وہ شخص مومن نہیں ہو سکتا جس کے شر سے اس کا ہمسایہ محفوظ نہ ہو اور ہمیں اپنے گلی محلوں کو بھی صاف رکھنا چاہیے کیونکہ صفائی ایمان کا حصہ ہے")</f>
        <v>امام نے اپنے بیان میں ہمسایوں کے حقوق تفصیل سے بیان کیے ہیں اور بتایا ہے کہ کس حد تک نبی پاک صلی اللہ علیہ والہ وسلم نے ہمسایوں کے ساتھ حسن سلوک کی تعلیم دی ہے ہمیں اس لیے ہمیں چاہیے کہ اگر ہمسائے بیمار ہوں تو ان کی عیادت کے لیے ان کے گھر جائیں اور اگر ان کو کوئی مدد کی ضرورت ہو تو ان کے مدد کریں اگر فوتگی ہو تو اس میں شرکت کریں اپنے ہمسایوں کے ارام کا خیال کریں شادی بیاہ وغیرہ پر اونچی اواز میں سپیکر پر جو گانے لگائے جاتے ہیں اس سے پرہیز کرنا چاہیے کیونکہ اس سے ہو سکتا ہے کہ ہماری ہمسائی پریشان ہوتے ہوں اور حضور پاک صلی اللہ علیہ والہ وسلم نے فرمایا وہ شخص مومن نہیں ہو سکتا جس کے شر سے اس کا ہمسایہ محفوظ نہ ہو اور ہمیں اپنے گلی محلوں کو بھی صاف رکھنا چاہیے کیونکہ صفائی ایمان کا حصہ ہے</v>
      </c>
      <c r="X746" s="10">
        <f>IFERROR(__xludf.DUMMYFUNCTION("""COMPUTED_VALUE"""),2.0)</f>
        <v>2</v>
      </c>
      <c r="Y746" s="10">
        <f>IFERROR(__xludf.DUMMYFUNCTION("""COMPUTED_VALUE"""),2.0)</f>
        <v>2</v>
      </c>
      <c r="Z746" s="10">
        <f>IFERROR(__xludf.DUMMYFUNCTION("""COMPUTED_VALUE"""),7.0)</f>
        <v>7</v>
      </c>
      <c r="AA746" s="10">
        <f>IFERROR(__xludf.DUMMYFUNCTION("""COMPUTED_VALUE"""),6.0)</f>
        <v>6</v>
      </c>
      <c r="AB746" s="10">
        <f>IFERROR(__xludf.DUMMYFUNCTION("""COMPUTED_VALUE"""),1.0)</f>
        <v>1</v>
      </c>
      <c r="AC746" s="10">
        <f>IFERROR(__xludf.DUMMYFUNCTION("""COMPUTED_VALUE"""),0.0)</f>
        <v>0</v>
      </c>
      <c r="AD746" s="10">
        <f>IFERROR(__xludf.DUMMYFUNCTION("""COMPUTED_VALUE"""),1.0)</f>
        <v>1</v>
      </c>
      <c r="AE746" s="10">
        <f>IFERROR(__xludf.DUMMYFUNCTION("""COMPUTED_VALUE"""),1.0)</f>
        <v>1</v>
      </c>
      <c r="AF746" s="10">
        <f>IFERROR(__xludf.DUMMYFUNCTION("""COMPUTED_VALUE"""),5.0)</f>
        <v>5</v>
      </c>
      <c r="AG746" s="10">
        <f>IFERROR(__xludf.DUMMYFUNCTION("""COMPUTED_VALUE"""),8.0)</f>
        <v>8</v>
      </c>
      <c r="AH746" s="10">
        <f>IFERROR(__xludf.DUMMYFUNCTION("""COMPUTED_VALUE"""),0.0)</f>
        <v>0</v>
      </c>
      <c r="AI746" s="10">
        <f>IFERROR(__xludf.DUMMYFUNCTION("""COMPUTED_VALUE"""),8.0)</f>
        <v>8</v>
      </c>
      <c r="AJ746" s="11" t="str">
        <f>IFERROR(__xludf.DUMMYFUNCTION("""COMPUTED_VALUE"""),"https://drive.google.com/open?id=1ZS4ebhxS4CRXISoqjCWpr6K2BuKMaa5M0877yz3dqh0")</f>
        <v>https://drive.google.com/open?id=1ZS4ebhxS4CRXISoqjCWpr6K2BuKMaa5M0877yz3dqh0</v>
      </c>
      <c r="AK746" s="12" t="str">
        <f>IFERROR(__xludf.DUMMYFUNCTION("""COMPUTED_VALUE"""),"No")</f>
        <v>No</v>
      </c>
      <c r="AL746" s="12" t="str">
        <f>IFERROR(__xludf.DUMMYFUNCTION("""COMPUTED_VALUE"""),"No")</f>
        <v>No</v>
      </c>
      <c r="AM746" s="15">
        <f>IFERROR(__xludf.DUMMYFUNCTION("""COMPUTED_VALUE"""),0.0)</f>
        <v>0</v>
      </c>
      <c r="AN746" s="12" t="str">
        <f>IFERROR(__xludf.DUMMYFUNCTION("""COMPUTED_VALUE"""),"2nd week")</f>
        <v>2nd week</v>
      </c>
      <c r="AO746" s="13" t="s">
        <v>9</v>
      </c>
      <c r="AX746" s="17"/>
    </row>
    <row r="747">
      <c r="B747" s="9">
        <f>IFERROR(__xludf.DUMMYFUNCTION("""COMPUTED_VALUE"""),45958.176857858794)</f>
        <v>45958.17686</v>
      </c>
      <c r="C747" s="10" t="str">
        <f>IFERROR(__xludf.DUMMYFUNCTION("""COMPUTED_VALUE"""),"Atiqa")</f>
        <v>Atiqa</v>
      </c>
      <c r="D747" s="10" t="str">
        <f>IFERROR(__xludf.DUMMYFUNCTION("""COMPUTED_VALUE"""),"03157519977")</f>
        <v>03157519977</v>
      </c>
      <c r="E747" s="10" t="str">
        <f>IFERROR(__xludf.DUMMYFUNCTION("""COMPUTED_VALUE"""),"Jamia Masjid Kalah Kachari Bazar Faisalabad")</f>
        <v>Jamia Masjid Kalah Kachari Bazar Faisalabad</v>
      </c>
      <c r="F747" s="10" t="str">
        <f>IFERROR(__xludf.DUMMYFUNCTION("""COMPUTED_VALUE"""),"kocqj")</f>
        <v>kocqj</v>
      </c>
      <c r="G747" s="10" t="str">
        <f>IFERROR(__xludf.DUMMYFUNCTION("""COMPUTED_VALUE"""),"No")</f>
        <v>No</v>
      </c>
      <c r="H747" s="10"/>
      <c r="I747" s="10"/>
      <c r="J747" s="10"/>
      <c r="K747" s="10">
        <f>IFERROR(__xludf.DUMMYFUNCTION("""COMPUTED_VALUE"""),0.0)</f>
        <v>0</v>
      </c>
      <c r="L747" s="10">
        <f>IFERROR(__xludf.DUMMYFUNCTION("""COMPUTED_VALUE"""),0.0)</f>
        <v>0</v>
      </c>
      <c r="M747" s="10">
        <f>IFERROR(__xludf.DUMMYFUNCTION("""COMPUTED_VALUE"""),0.0)</f>
        <v>0</v>
      </c>
      <c r="N747" s="10">
        <f>IFERROR(__xludf.DUMMYFUNCTION("""COMPUTED_VALUE"""),0.0)</f>
        <v>0</v>
      </c>
      <c r="O747" s="10">
        <f>IFERROR(__xludf.DUMMYFUNCTION("""COMPUTED_VALUE"""),0.0)</f>
        <v>0</v>
      </c>
      <c r="P747" s="10">
        <f>IFERROR(__xludf.DUMMYFUNCTION("""COMPUTED_VALUE"""),0.0)</f>
        <v>0</v>
      </c>
      <c r="Q747" s="10" t="str">
        <f>IFERROR(__xludf.DUMMYFUNCTION("""COMPUTED_VALUE"""),"No")</f>
        <v>No</v>
      </c>
      <c r="R747" s="10" t="str">
        <f>IFERROR(__xludf.DUMMYFUNCTION("""COMPUTED_VALUE"""),"No")</f>
        <v>No</v>
      </c>
      <c r="S747" s="10" t="str">
        <f>IFERROR(__xludf.DUMMYFUNCTION("""COMPUTED_VALUE"""),"No")</f>
        <v>No</v>
      </c>
      <c r="T747" s="10">
        <f>IFERROR(__xludf.DUMMYFUNCTION("""COMPUTED_VALUE"""),0.0)</f>
        <v>0</v>
      </c>
      <c r="U747" s="10">
        <f>IFERROR(__xludf.DUMMYFUNCTION("""COMPUTED_VALUE"""),0.0)</f>
        <v>0</v>
      </c>
      <c r="V747" s="10" t="str">
        <f>IFERROR(__xludf.DUMMYFUNCTION("""COMPUTED_VALUE"""),"۱۔ توحید کو ماننے والا اور شرک کرنے والا ۲۔  انبیاء کرام علیہ السلام پر ازمائش اور رب کو پکارنا ")</f>
        <v>۱۔ توحید کو ماننے والا اور شرک کرنے والا ۲۔  انبیاء کرام علیہ السلام پر ازمائش اور رب کو پکارنا </v>
      </c>
      <c r="W747" s="10" t="str">
        <f>IFERROR(__xludf.DUMMYFUNCTION("""COMPUTED_VALUE"""),"امام نے عقیدہ توحید رکھنے والے اور مشرک ک لوگوں کے متعلق بتایا کہ توحید والا وہ ہے جو اللہ کو یکتا مانتا اس کی عظمت اور شان کو مانتا اور مشرک وہ جو غیر کے سامنے جھکتا ، اور مشرکین کے متعلق سورۃ بقرہ کی ایت نمبر 28 ارشاد فرمائی جس میں مشرکین کو مسجد حرام م"&amp;"یں انے پر پابندی لگائی گئی ، اور مختلف انبیاء کرام علیہ السلام پر مشکلات کا انا اور ان کا اپنے رب کو پکارنا اور اللہ رب العزت کا انہیں مشکل سے نکال کر   نجات دینا، ")</f>
        <v>امام نے عقیدہ توحید رکھنے والے اور مشرک ک لوگوں کے متعلق بتایا کہ توحید والا وہ ہے جو اللہ کو یکتا مانتا اس کی عظمت اور شان کو مانتا اور مشرک وہ جو غیر کے سامنے جھکتا ، اور مشرکین کے متعلق سورۃ بقرہ کی ایت نمبر 28 ارشاد فرمائی جس میں مشرکین کو مسجد حرام میں انے پر پابندی لگائی گئی ، اور مختلف انبیاء کرام علیہ السلام پر مشکلات کا انا اور ان کا اپنے رب کو پکارنا اور اللہ رب العزت کا انہیں مشکل سے نکال کر   نجات دینا، </v>
      </c>
      <c r="X747" s="10">
        <f>IFERROR(__xludf.DUMMYFUNCTION("""COMPUTED_VALUE"""),9.0)</f>
        <v>9</v>
      </c>
      <c r="Y747" s="10">
        <f>IFERROR(__xludf.DUMMYFUNCTION("""COMPUTED_VALUE"""),1.0)</f>
        <v>1</v>
      </c>
      <c r="Z747" s="10">
        <f>IFERROR(__xludf.DUMMYFUNCTION("""COMPUTED_VALUE"""),6.0)</f>
        <v>6</v>
      </c>
      <c r="AA747" s="10">
        <f>IFERROR(__xludf.DUMMYFUNCTION("""COMPUTED_VALUE"""),9.0)</f>
        <v>9</v>
      </c>
      <c r="AB747" s="10">
        <f>IFERROR(__xludf.DUMMYFUNCTION("""COMPUTED_VALUE"""),8.0)</f>
        <v>8</v>
      </c>
      <c r="AC747" s="10">
        <f>IFERROR(__xludf.DUMMYFUNCTION("""COMPUTED_VALUE"""),2.0)</f>
        <v>2</v>
      </c>
      <c r="AD747" s="10">
        <f>IFERROR(__xludf.DUMMYFUNCTION("""COMPUTED_VALUE"""),3.0)</f>
        <v>3</v>
      </c>
      <c r="AE747" s="10">
        <f>IFERROR(__xludf.DUMMYFUNCTION("""COMPUTED_VALUE"""),6.0)</f>
        <v>6</v>
      </c>
      <c r="AF747" s="10">
        <f>IFERROR(__xludf.DUMMYFUNCTION("""COMPUTED_VALUE"""),2.0)</f>
        <v>2</v>
      </c>
      <c r="AG747" s="10">
        <f>IFERROR(__xludf.DUMMYFUNCTION("""COMPUTED_VALUE"""),9.0)</f>
        <v>9</v>
      </c>
      <c r="AH747" s="10">
        <f>IFERROR(__xludf.DUMMYFUNCTION("""COMPUTED_VALUE"""),0.0)</f>
        <v>0</v>
      </c>
      <c r="AI747" s="10">
        <f>IFERROR(__xludf.DUMMYFUNCTION("""COMPUTED_VALUE"""),9.0)</f>
        <v>9</v>
      </c>
      <c r="AJ747" s="11" t="str">
        <f>IFERROR(__xludf.DUMMYFUNCTION("""COMPUTED_VALUE"""),"https://drive.google.com/open?id=1bDDGx3y_LRzQBhnSzsRijr58C9MkGej4xuxV2ux7ldU")</f>
        <v>https://drive.google.com/open?id=1bDDGx3y_LRzQBhnSzsRijr58C9MkGej4xuxV2ux7ldU</v>
      </c>
      <c r="AK747" s="12"/>
      <c r="AL747" s="12"/>
      <c r="AM747" s="12"/>
      <c r="AN747" s="12" t="str">
        <f>IFERROR(__xludf.DUMMYFUNCTION("""COMPUTED_VALUE"""),"1st week")</f>
        <v>1st week</v>
      </c>
      <c r="AO747" s="13">
        <v>1.0</v>
      </c>
      <c r="AX747" s="17"/>
    </row>
    <row r="748">
      <c r="B748" s="9">
        <f>IFERROR(__xludf.DUMMYFUNCTION("""COMPUTED_VALUE"""),45958.28863435185)</f>
        <v>45958.28863</v>
      </c>
      <c r="C748" s="10" t="str">
        <f>IFERROR(__xludf.DUMMYFUNCTION("""COMPUTED_VALUE"""),"Arti Kumari ")</f>
        <v>Arti Kumari </v>
      </c>
      <c r="D748" s="10" t="str">
        <f>IFERROR(__xludf.DUMMYFUNCTION("""COMPUTED_VALUE"""),"03346661865")</f>
        <v>03346661865</v>
      </c>
      <c r="E748" s="10" t="str">
        <f>IFERROR(__xludf.DUMMYFUNCTION("""COMPUTED_VALUE"""),"Jamia Masjid Sheikh Fasal Burewala ")</f>
        <v>Jamia Masjid Sheikh Fasal Burewala </v>
      </c>
      <c r="F748" s="10" t="str">
        <f>IFERROR(__xludf.DUMMYFUNCTION("""COMPUTED_VALUE"""),"Mjoue")</f>
        <v>Mjoue</v>
      </c>
      <c r="G748" s="10" t="str">
        <f>IFERROR(__xludf.DUMMYFUNCTION("""COMPUTED_VALUE"""),"No")</f>
        <v>No</v>
      </c>
      <c r="H748" s="10"/>
      <c r="I748" s="10"/>
      <c r="J748" s="10"/>
      <c r="K748" s="10">
        <f>IFERROR(__xludf.DUMMYFUNCTION("""COMPUTED_VALUE"""),0.0)</f>
        <v>0</v>
      </c>
      <c r="L748" s="10">
        <f>IFERROR(__xludf.DUMMYFUNCTION("""COMPUTED_VALUE"""),0.0)</f>
        <v>0</v>
      </c>
      <c r="M748" s="10">
        <f>IFERROR(__xludf.DUMMYFUNCTION("""COMPUTED_VALUE"""),0.0)</f>
        <v>0</v>
      </c>
      <c r="N748" s="10">
        <f>IFERROR(__xludf.DUMMYFUNCTION("""COMPUTED_VALUE"""),0.0)</f>
        <v>0</v>
      </c>
      <c r="O748" s="10">
        <f>IFERROR(__xludf.DUMMYFUNCTION("""COMPUTED_VALUE"""),0.0)</f>
        <v>0</v>
      </c>
      <c r="P748" s="10">
        <f>IFERROR(__xludf.DUMMYFUNCTION("""COMPUTED_VALUE"""),0.0)</f>
        <v>0</v>
      </c>
      <c r="Q748" s="10" t="str">
        <f>IFERROR(__xludf.DUMMYFUNCTION("""COMPUTED_VALUE"""),"No")</f>
        <v>No</v>
      </c>
      <c r="R748" s="10" t="str">
        <f>IFERROR(__xludf.DUMMYFUNCTION("""COMPUTED_VALUE"""),"No")</f>
        <v>No</v>
      </c>
      <c r="S748" s="10" t="str">
        <f>IFERROR(__xludf.DUMMYFUNCTION("""COMPUTED_VALUE"""),"No")</f>
        <v>No</v>
      </c>
      <c r="T748" s="10">
        <f>IFERROR(__xludf.DUMMYFUNCTION("""COMPUTED_VALUE"""),0.0)</f>
        <v>0</v>
      </c>
      <c r="U748" s="10">
        <f>IFERROR(__xludf.DUMMYFUNCTION("""COMPUTED_VALUE"""),0.0)</f>
        <v>0</v>
      </c>
      <c r="V748" s="10" t="str">
        <f>IFERROR(__xludf.DUMMYFUNCTION("""COMPUTED_VALUE"""),"اللہ کے فیصلوں میں رد و بدل نہیں سکتا")</f>
        <v>اللہ کے فیصلوں میں رد و بدل نہیں سکتا</v>
      </c>
      <c r="W748" s="10" t="str">
        <f>IFERROR(__xludf.DUMMYFUNCTION("""COMPUTED_VALUE"""),"امام نے بتایا کے اللہ کے جو فیصلے یا جو بات وہ کہ دیتا ہے اس میں تبدیلی نہیں ہو سکتی ہے لیکن اگر الللہ چاہے تو ہو سکتی ہے ۔ اور اللہ تعالیٰ معبود ہے وہ اپنے یاروں کے لیے کچھ بھی کر سکتا ہے جب وہ انہیں پکارتے ہیں")</f>
        <v>امام نے بتایا کے اللہ کے جو فیصلے یا جو بات وہ کہ دیتا ہے اس میں تبدیلی نہیں ہو سکتی ہے لیکن اگر الللہ چاہے تو ہو سکتی ہے ۔ اور اللہ تعالیٰ معبود ہے وہ اپنے یاروں کے لیے کچھ بھی کر سکتا ہے جب وہ انہیں پکارتے ہیں</v>
      </c>
      <c r="X748" s="10">
        <f>IFERROR(__xludf.DUMMYFUNCTION("""COMPUTED_VALUE"""),2.0)</f>
        <v>2</v>
      </c>
      <c r="Y748" s="10">
        <f>IFERROR(__xludf.DUMMYFUNCTION("""COMPUTED_VALUE"""),0.0)</f>
        <v>0</v>
      </c>
      <c r="Z748" s="10">
        <f>IFERROR(__xludf.DUMMYFUNCTION("""COMPUTED_VALUE"""),3.0)</f>
        <v>3</v>
      </c>
      <c r="AA748" s="10">
        <f>IFERROR(__xludf.DUMMYFUNCTION("""COMPUTED_VALUE"""),6.0)</f>
        <v>6</v>
      </c>
      <c r="AB748" s="10">
        <f>IFERROR(__xludf.DUMMYFUNCTION("""COMPUTED_VALUE"""),2.0)</f>
        <v>2</v>
      </c>
      <c r="AC748" s="10">
        <f>IFERROR(__xludf.DUMMYFUNCTION("""COMPUTED_VALUE"""),0.0)</f>
        <v>0</v>
      </c>
      <c r="AD748" s="10">
        <f>IFERROR(__xludf.DUMMYFUNCTION("""COMPUTED_VALUE"""),0.0)</f>
        <v>0</v>
      </c>
      <c r="AE748" s="10">
        <f>IFERROR(__xludf.DUMMYFUNCTION("""COMPUTED_VALUE"""),0.0)</f>
        <v>0</v>
      </c>
      <c r="AF748" s="10">
        <f>IFERROR(__xludf.DUMMYFUNCTION("""COMPUTED_VALUE"""),0.0)</f>
        <v>0</v>
      </c>
      <c r="AG748" s="10">
        <f>IFERROR(__xludf.DUMMYFUNCTION("""COMPUTED_VALUE"""),4.0)</f>
        <v>4</v>
      </c>
      <c r="AH748" s="10">
        <f>IFERROR(__xludf.DUMMYFUNCTION("""COMPUTED_VALUE"""),0.0)</f>
        <v>0</v>
      </c>
      <c r="AI748" s="10">
        <f>IFERROR(__xludf.DUMMYFUNCTION("""COMPUTED_VALUE"""),5.0)</f>
        <v>5</v>
      </c>
      <c r="AJ748" s="11" t="str">
        <f>IFERROR(__xludf.DUMMYFUNCTION("""COMPUTED_VALUE"""),"https://drive.google.com/open?id=1_whKw_rPFB_-KTk2SGiXTUN7TW-hlhNm")</f>
        <v>https://drive.google.com/open?id=1_whKw_rPFB_-KTk2SGiXTUN7TW-hlhNm</v>
      </c>
      <c r="AK748" s="12"/>
      <c r="AL748" s="12"/>
      <c r="AM748" s="12"/>
      <c r="AN748" s="12" t="str">
        <f>IFERROR(__xludf.DUMMYFUNCTION("""COMPUTED_VALUE"""),"3rd week")</f>
        <v>3rd week</v>
      </c>
      <c r="AO748" s="13">
        <v>3.0</v>
      </c>
      <c r="AX748" s="17"/>
    </row>
    <row r="749">
      <c r="B749" s="9">
        <f>IFERROR(__xludf.DUMMYFUNCTION("""COMPUTED_VALUE"""),45958.32149112268)</f>
        <v>45958.32149</v>
      </c>
      <c r="C749" s="10" t="str">
        <f>IFERROR(__xludf.DUMMYFUNCTION("""COMPUTED_VALUE"""),"Arti Kumari ")</f>
        <v>Arti Kumari </v>
      </c>
      <c r="D749" s="10" t="str">
        <f>IFERROR(__xludf.DUMMYFUNCTION("""COMPUTED_VALUE"""),"03346661865")</f>
        <v>03346661865</v>
      </c>
      <c r="E749" s="10" t="str">
        <f>IFERROR(__xludf.DUMMYFUNCTION("""COMPUTED_VALUE"""),"Jamia Masjid Gaalah Mandi Burewala")</f>
        <v>Jamia Masjid Gaalah Mandi Burewala</v>
      </c>
      <c r="F749" s="10" t="str">
        <f>IFERROR(__xludf.DUMMYFUNCTION("""COMPUTED_VALUE"""),"LNPQP")</f>
        <v>LNPQP</v>
      </c>
      <c r="G749" s="10" t="str">
        <f>IFERROR(__xludf.DUMMYFUNCTION("""COMPUTED_VALUE"""),"Yes")</f>
        <v>Yes</v>
      </c>
      <c r="H749" s="10">
        <f>IFERROR(__xludf.DUMMYFUNCTION("""COMPUTED_VALUE"""),0.0)</f>
        <v>0</v>
      </c>
      <c r="I749" s="10">
        <f>IFERROR(__xludf.DUMMYFUNCTION("""COMPUTED_VALUE"""),10.0)</f>
        <v>10</v>
      </c>
      <c r="J749" s="10">
        <f>IFERROR(__xludf.DUMMYFUNCTION("""COMPUTED_VALUE"""),0.0)</f>
        <v>0</v>
      </c>
      <c r="K749" s="10">
        <f>IFERROR(__xludf.DUMMYFUNCTION("""COMPUTED_VALUE"""),0.0)</f>
        <v>0</v>
      </c>
      <c r="L749" s="10">
        <f>IFERROR(__xludf.DUMMYFUNCTION("""COMPUTED_VALUE"""),0.0)</f>
        <v>0</v>
      </c>
      <c r="M749" s="10">
        <f>IFERROR(__xludf.DUMMYFUNCTION("""COMPUTED_VALUE"""),0.0)</f>
        <v>0</v>
      </c>
      <c r="N749" s="10">
        <f>IFERROR(__xludf.DUMMYFUNCTION("""COMPUTED_VALUE"""),0.0)</f>
        <v>0</v>
      </c>
      <c r="O749" s="10">
        <f>IFERROR(__xludf.DUMMYFUNCTION("""COMPUTED_VALUE"""),0.0)</f>
        <v>0</v>
      </c>
      <c r="P749" s="10">
        <f>IFERROR(__xludf.DUMMYFUNCTION("""COMPUTED_VALUE"""),0.0)</f>
        <v>0</v>
      </c>
      <c r="Q749" s="10" t="str">
        <f>IFERROR(__xludf.DUMMYFUNCTION("""COMPUTED_VALUE"""),"No")</f>
        <v>No</v>
      </c>
      <c r="R749" s="10" t="str">
        <f>IFERROR(__xludf.DUMMYFUNCTION("""COMPUTED_VALUE"""),"No")</f>
        <v>No</v>
      </c>
      <c r="S749" s="10" t="str">
        <f>IFERROR(__xludf.DUMMYFUNCTION("""COMPUTED_VALUE"""),"No")</f>
        <v>No</v>
      </c>
      <c r="T749" s="10">
        <f>IFERROR(__xludf.DUMMYFUNCTION("""COMPUTED_VALUE"""),0.0)</f>
        <v>0</v>
      </c>
      <c r="U749" s="10">
        <f>IFERROR(__xludf.DUMMYFUNCTION("""COMPUTED_VALUE"""),0.0)</f>
        <v>0</v>
      </c>
      <c r="V749" s="10" t="str">
        <f>IFERROR(__xludf.DUMMYFUNCTION("""COMPUTED_VALUE"""),"اولیا")</f>
        <v>اولیا</v>
      </c>
      <c r="W749" s="10" t="str">
        <f>IFERROR(__xludf.DUMMYFUNCTION("""COMPUTED_VALUE"""),"امام نے اولیا پر بات کی کہ اولیا ولی کی جمع ہے اگر ہم ایک ولی کی بھی بات کرتے ہیں تو ان کو اولیا بولتے ہیں اور وہ جسے چاہیں تصرف ریتے ہیں نوازتے ییں")</f>
        <v>امام نے اولیا پر بات کی کہ اولیا ولی کی جمع ہے اگر ہم ایک ولی کی بھی بات کرتے ہیں تو ان کو اولیا بولتے ہیں اور وہ جسے چاہیں تصرف ریتے ہیں نوازتے ییں</v>
      </c>
      <c r="X749" s="10">
        <f>IFERROR(__xludf.DUMMYFUNCTION("""COMPUTED_VALUE"""),0.0)</f>
        <v>0</v>
      </c>
      <c r="Y749" s="10">
        <f>IFERROR(__xludf.DUMMYFUNCTION("""COMPUTED_VALUE"""),0.0)</f>
        <v>0</v>
      </c>
      <c r="Z749" s="10">
        <f>IFERROR(__xludf.DUMMYFUNCTION("""COMPUTED_VALUE"""),3.0)</f>
        <v>3</v>
      </c>
      <c r="AA749" s="10">
        <f>IFERROR(__xludf.DUMMYFUNCTION("""COMPUTED_VALUE"""),5.0)</f>
        <v>5</v>
      </c>
      <c r="AB749" s="10">
        <f>IFERROR(__xludf.DUMMYFUNCTION("""COMPUTED_VALUE"""),5.0)</f>
        <v>5</v>
      </c>
      <c r="AC749" s="10">
        <f>IFERROR(__xludf.DUMMYFUNCTION("""COMPUTED_VALUE"""),0.0)</f>
        <v>0</v>
      </c>
      <c r="AD749" s="10">
        <f>IFERROR(__xludf.DUMMYFUNCTION("""COMPUTED_VALUE"""),0.0)</f>
        <v>0</v>
      </c>
      <c r="AE749" s="10">
        <f>IFERROR(__xludf.DUMMYFUNCTION("""COMPUTED_VALUE"""),0.0)</f>
        <v>0</v>
      </c>
      <c r="AF749" s="10">
        <f>IFERROR(__xludf.DUMMYFUNCTION("""COMPUTED_VALUE"""),0.0)</f>
        <v>0</v>
      </c>
      <c r="AG749" s="10">
        <f>IFERROR(__xludf.DUMMYFUNCTION("""COMPUTED_VALUE"""),3.0)</f>
        <v>3</v>
      </c>
      <c r="AH749" s="10">
        <f>IFERROR(__xludf.DUMMYFUNCTION("""COMPUTED_VALUE"""),0.0)</f>
        <v>0</v>
      </c>
      <c r="AI749" s="10">
        <f>IFERROR(__xludf.DUMMYFUNCTION("""COMPUTED_VALUE"""),5.0)</f>
        <v>5</v>
      </c>
      <c r="AJ749" s="11" t="str">
        <f>IFERROR(__xludf.DUMMYFUNCTION("""COMPUTED_VALUE"""),"https://drive.google.com/open?id=1eFUigRLH0fJmjTGsVuxoWWtEPUonF22M")</f>
        <v>https://drive.google.com/open?id=1eFUigRLH0fJmjTGsVuxoWWtEPUonF22M</v>
      </c>
      <c r="AK749" s="12" t="str">
        <f>IFERROR(__xludf.DUMMYFUNCTION("""COMPUTED_VALUE"""),"خطبے میں شور کے ساتھ ساتھ کہیں کہیں سے آواز بلکل کم تھی کہیں جگہ شور یا کلیر نہیں تھا")</f>
        <v>خطبے میں شور کے ساتھ ساتھ کہیں کہیں سے آواز بلکل کم تھی کہیں جگہ شور یا کلیر نہیں تھا</v>
      </c>
      <c r="AL749" s="12" t="str">
        <f>IFERROR(__xludf.DUMMYFUNCTION("""COMPUTED_VALUE"""),"Yes")</f>
        <v>Yes</v>
      </c>
      <c r="AM749" s="15">
        <f>IFERROR(__xludf.DUMMYFUNCTION("""COMPUTED_VALUE"""),0.0)</f>
        <v>0</v>
      </c>
      <c r="AN749" s="12" t="str">
        <f>IFERROR(__xludf.DUMMYFUNCTION("""COMPUTED_VALUE"""),"3rd week")</f>
        <v>3rd week</v>
      </c>
      <c r="AO749" s="13">
        <v>3.0</v>
      </c>
      <c r="AX749" s="17"/>
    </row>
    <row r="750">
      <c r="B750" s="9">
        <f>IFERROR(__xludf.DUMMYFUNCTION("""COMPUTED_VALUE"""),45958.336113784724)</f>
        <v>45958.33611</v>
      </c>
      <c r="C750" s="10" t="str">
        <f>IFERROR(__xludf.DUMMYFUNCTION("""COMPUTED_VALUE"""),"Atiqa")</f>
        <v>Atiqa</v>
      </c>
      <c r="D750" s="10" t="str">
        <f>IFERROR(__xludf.DUMMYFUNCTION("""COMPUTED_VALUE"""),"03157519977")</f>
        <v>03157519977</v>
      </c>
      <c r="E750" s="10" t="str">
        <f>IFERROR(__xludf.DUMMYFUNCTION("""COMPUTED_VALUE"""),"Jamia Masjid Gool Karyana Karkhana Bazar Faisalabad")</f>
        <v>Jamia Masjid Gool Karyana Karkhana Bazar Faisalabad</v>
      </c>
      <c r="F750" s="10" t="str">
        <f>IFERROR(__xludf.DUMMYFUNCTION("""COMPUTED_VALUE"""),"xlemr")</f>
        <v>xlemr</v>
      </c>
      <c r="G750" s="10" t="str">
        <f>IFERROR(__xludf.DUMMYFUNCTION("""COMPUTED_VALUE"""),"No")</f>
        <v>No</v>
      </c>
      <c r="H750" s="10"/>
      <c r="I750" s="10"/>
      <c r="J750" s="10"/>
      <c r="K750" s="10">
        <f>IFERROR(__xludf.DUMMYFUNCTION("""COMPUTED_VALUE"""),0.0)</f>
        <v>0</v>
      </c>
      <c r="L750" s="10">
        <f>IFERROR(__xludf.DUMMYFUNCTION("""COMPUTED_VALUE"""),0.0)</f>
        <v>0</v>
      </c>
      <c r="M750" s="10">
        <f>IFERROR(__xludf.DUMMYFUNCTION("""COMPUTED_VALUE"""),0.0)</f>
        <v>0</v>
      </c>
      <c r="N750" s="10">
        <f>IFERROR(__xludf.DUMMYFUNCTION("""COMPUTED_VALUE"""),0.0)</f>
        <v>0</v>
      </c>
      <c r="O750" s="10">
        <f>IFERROR(__xludf.DUMMYFUNCTION("""COMPUTED_VALUE"""),0.0)</f>
        <v>0</v>
      </c>
      <c r="P750" s="10">
        <f>IFERROR(__xludf.DUMMYFUNCTION("""COMPUTED_VALUE"""),0.0)</f>
        <v>0</v>
      </c>
      <c r="Q750" s="10" t="str">
        <f>IFERROR(__xludf.DUMMYFUNCTION("""COMPUTED_VALUE"""),"No")</f>
        <v>No</v>
      </c>
      <c r="R750" s="10" t="str">
        <f>IFERROR(__xludf.DUMMYFUNCTION("""COMPUTED_VALUE"""),"No")</f>
        <v>No</v>
      </c>
      <c r="S750" s="10" t="str">
        <f>IFERROR(__xludf.DUMMYFUNCTION("""COMPUTED_VALUE"""),"No")</f>
        <v>No</v>
      </c>
      <c r="T750" s="10">
        <f>IFERROR(__xludf.DUMMYFUNCTION("""COMPUTED_VALUE"""),0.0)</f>
        <v>0</v>
      </c>
      <c r="U750" s="10">
        <f>IFERROR(__xludf.DUMMYFUNCTION("""COMPUTED_VALUE"""),0.0)</f>
        <v>0</v>
      </c>
      <c r="V750" s="10" t="str">
        <f>IFERROR(__xludf.DUMMYFUNCTION("""COMPUTED_VALUE"""),"ختم نبوت اور انبیاء کرام کے معجزات ")</f>
        <v>ختم نبوت اور انبیاء کرام کے معجزات </v>
      </c>
      <c r="W750" s="10" t="str">
        <f>IFERROR(__xludf.DUMMYFUNCTION("""COMPUTED_VALUE"""),"امام نے بتایا کہ اللہ رب العزت نے انسانوں کی بھلائی اور رہنمائی کے لیے مختلف ادوار میں انبیاء کرام کا نزول فرمایا اور انہیں بہت سے معجزات بھی عطا کیے جس میں موسی علیہ السلام کہ عصا کا اژدھا بننے کا واقعہ بیان کیا ، اللہ تعالی کا اپنے محبوب پیغمبر نبی صلی "&amp;"اللہ علیہ وسلم کو بہت سے معجزات کے ساتھ کلام قران پاک عطا فرمانا ، ابو جہل کا اپ صلی اللہ علیہ وسلم کو تکلیفیں پہچانا اور کفار کے ساتھ پر مل کر پتھر برساکر لہو لہان کرنا اور اپ صلی اللہ علیہ وسلم کا پھر بھی اپنی رحمت سے ان کے لیے ہدایت کی دعا کرنا ، ابو ج"&amp;"ہل کا حضور صلی اللہ علیہ والہ وسلم کے لیے گڑھا کھودنا اور خود ہی اس میں گرنا اور حضور کریم صلی اللہ علیہ وسلم کا حسن اخلاق بیان کیا گیا ")</f>
        <v>امام نے بتایا کہ اللہ رب العزت نے انسانوں کی بھلائی اور رہنمائی کے لیے مختلف ادوار میں انبیاء کرام کا نزول فرمایا اور انہیں بہت سے معجزات بھی عطا کیے جس میں موسی علیہ السلام کہ عصا کا اژدھا بننے کا واقعہ بیان کیا ، اللہ تعالی کا اپنے محبوب پیغمبر نبی صلی اللہ علیہ وسلم کو بہت سے معجزات کے ساتھ کلام قران پاک عطا فرمانا ، ابو جہل کا اپ صلی اللہ علیہ وسلم کو تکلیفیں پہچانا اور کفار کے ساتھ پر مل کر پتھر برساکر لہو لہان کرنا اور اپ صلی اللہ علیہ وسلم کا پھر بھی اپنی رحمت سے ان کے لیے ہدایت کی دعا کرنا ، ابو جہل کا حضور صلی اللہ علیہ والہ وسلم کے لیے گڑھا کھودنا اور خود ہی اس میں گرنا اور حضور کریم صلی اللہ علیہ وسلم کا حسن اخلاق بیان کیا گیا </v>
      </c>
      <c r="X750" s="10">
        <f>IFERROR(__xludf.DUMMYFUNCTION("""COMPUTED_VALUE"""),8.0)</f>
        <v>8</v>
      </c>
      <c r="Y750" s="10">
        <f>IFERROR(__xludf.DUMMYFUNCTION("""COMPUTED_VALUE"""),2.0)</f>
        <v>2</v>
      </c>
      <c r="Z750" s="10">
        <f>IFERROR(__xludf.DUMMYFUNCTION("""COMPUTED_VALUE"""),4.0)</f>
        <v>4</v>
      </c>
      <c r="AA750" s="10">
        <f>IFERROR(__xludf.DUMMYFUNCTION("""COMPUTED_VALUE"""),8.0)</f>
        <v>8</v>
      </c>
      <c r="AB750" s="10">
        <f>IFERROR(__xludf.DUMMYFUNCTION("""COMPUTED_VALUE"""),8.0)</f>
        <v>8</v>
      </c>
      <c r="AC750" s="10">
        <f>IFERROR(__xludf.DUMMYFUNCTION("""COMPUTED_VALUE"""),1.0)</f>
        <v>1</v>
      </c>
      <c r="AD750" s="10">
        <f>IFERROR(__xludf.DUMMYFUNCTION("""COMPUTED_VALUE"""),0.0)</f>
        <v>0</v>
      </c>
      <c r="AE750" s="10">
        <f>IFERROR(__xludf.DUMMYFUNCTION("""COMPUTED_VALUE"""),4.0)</f>
        <v>4</v>
      </c>
      <c r="AF750" s="10">
        <f>IFERROR(__xludf.DUMMYFUNCTION("""COMPUTED_VALUE"""),2.0)</f>
        <v>2</v>
      </c>
      <c r="AG750" s="10">
        <f>IFERROR(__xludf.DUMMYFUNCTION("""COMPUTED_VALUE"""),9.0)</f>
        <v>9</v>
      </c>
      <c r="AH750" s="10">
        <f>IFERROR(__xludf.DUMMYFUNCTION("""COMPUTED_VALUE"""),0.0)</f>
        <v>0</v>
      </c>
      <c r="AI750" s="10">
        <f>IFERROR(__xludf.DUMMYFUNCTION("""COMPUTED_VALUE"""),9.0)</f>
        <v>9</v>
      </c>
      <c r="AJ750" s="11" t="str">
        <f>IFERROR(__xludf.DUMMYFUNCTION("""COMPUTED_VALUE"""),"https://drive.google.com/open?id=17HeuzFOfgP_brAd3cPdEBiGGOVTOgWTJ_cMwxTOWngM")</f>
        <v>https://drive.google.com/open?id=17HeuzFOfgP_brAd3cPdEBiGGOVTOgWTJ_cMwxTOWngM</v>
      </c>
      <c r="AK750" s="12"/>
      <c r="AL750" s="12"/>
      <c r="AM750" s="12"/>
      <c r="AN750" s="12" t="str">
        <f>IFERROR(__xludf.DUMMYFUNCTION("""COMPUTED_VALUE"""),"1st week")</f>
        <v>1st week</v>
      </c>
      <c r="AO750" s="13">
        <v>1.0</v>
      </c>
      <c r="AX750" s="17"/>
    </row>
    <row r="751">
      <c r="B751" s="9">
        <f>IFERROR(__xludf.DUMMYFUNCTION("""COMPUTED_VALUE"""),45958.47691636574)</f>
        <v>45958.47692</v>
      </c>
      <c r="C751" s="10" t="str">
        <f>IFERROR(__xludf.DUMMYFUNCTION("""COMPUTED_VALUE"""),"Asma gul")</f>
        <v>Asma gul</v>
      </c>
      <c r="D751" s="10" t="str">
        <f>IFERROR(__xludf.DUMMYFUNCTION("""COMPUTED_VALUE"""),"03459308620")</f>
        <v>03459308620</v>
      </c>
      <c r="E751" s="10" t="str">
        <f>IFERROR(__xludf.DUMMYFUNCTION("""COMPUTED_VALUE"""),"Jamia Masjid Badar Ul Din Eshaq Pakpattan")</f>
        <v>Jamia Masjid Badar Ul Din Eshaq Pakpattan</v>
      </c>
      <c r="F751" s="10" t="str">
        <f>IFERROR(__xludf.DUMMYFUNCTION("""COMPUTED_VALUE"""),"PTTHF")</f>
        <v>PTTHF</v>
      </c>
      <c r="G751" s="10" t="str">
        <f>IFERROR(__xludf.DUMMYFUNCTION("""COMPUTED_VALUE"""),"Yes")</f>
        <v>Yes</v>
      </c>
      <c r="H751" s="10">
        <f>IFERROR(__xludf.DUMMYFUNCTION("""COMPUTED_VALUE"""),0.0)</f>
        <v>0</v>
      </c>
      <c r="I751" s="10">
        <f>IFERROR(__xludf.DUMMYFUNCTION("""COMPUTED_VALUE"""),10.0)</f>
        <v>10</v>
      </c>
      <c r="J751" s="10">
        <f>IFERROR(__xludf.DUMMYFUNCTION("""COMPUTED_VALUE"""),0.0)</f>
        <v>0</v>
      </c>
      <c r="K751" s="10">
        <f>IFERROR(__xludf.DUMMYFUNCTION("""COMPUTED_VALUE"""),0.0)</f>
        <v>0</v>
      </c>
      <c r="L751" s="10">
        <f>IFERROR(__xludf.DUMMYFUNCTION("""COMPUTED_VALUE"""),0.0)</f>
        <v>0</v>
      </c>
      <c r="M751" s="10">
        <f>IFERROR(__xludf.DUMMYFUNCTION("""COMPUTED_VALUE"""),0.0)</f>
        <v>0</v>
      </c>
      <c r="N751" s="10">
        <f>IFERROR(__xludf.DUMMYFUNCTION("""COMPUTED_VALUE"""),0.0)</f>
        <v>0</v>
      </c>
      <c r="O751" s="10">
        <f>IFERROR(__xludf.DUMMYFUNCTION("""COMPUTED_VALUE"""),0.0)</f>
        <v>0</v>
      </c>
      <c r="P751" s="10">
        <f>IFERROR(__xludf.DUMMYFUNCTION("""COMPUTED_VALUE"""),0.0)</f>
        <v>0</v>
      </c>
      <c r="Q751" s="10" t="str">
        <f>IFERROR(__xludf.DUMMYFUNCTION("""COMPUTED_VALUE"""),"No")</f>
        <v>No</v>
      </c>
      <c r="R751" s="10" t="str">
        <f>IFERROR(__xludf.DUMMYFUNCTION("""COMPUTED_VALUE"""),"No")</f>
        <v>No</v>
      </c>
      <c r="S751" s="10" t="str">
        <f>IFERROR(__xludf.DUMMYFUNCTION("""COMPUTED_VALUE"""),"Yes")</f>
        <v>Yes</v>
      </c>
      <c r="T751" s="10">
        <f>IFERROR(__xludf.DUMMYFUNCTION("""COMPUTED_VALUE"""),0.0)</f>
        <v>0</v>
      </c>
      <c r="U751" s="10">
        <f>IFERROR(__xludf.DUMMYFUNCTION("""COMPUTED_VALUE"""),0.0)</f>
        <v>0</v>
      </c>
      <c r="V751" s="10" t="str">
        <f>IFERROR(__xludf.DUMMYFUNCTION("""COMPUTED_VALUE"""),"پرہیزگاری اور سچائی کے ذریعے بااخلاق دینی زندگی گزارنے کی ترغیب")</f>
        <v>پرہیزگاری اور سچائی کے ذریعے بااخلاق دینی زندگی گزارنے کی ترغیب</v>
      </c>
      <c r="W751" s="10" t="str">
        <f>IFERROR(__xludf.DUMMYFUNCTION("""COMPUTED_VALUE"""),"
امام صاحب نے بتایا کہ اصل پرہیزگاری یہ ہے کہ انسان گناہوں سے بچے اور ہمیشہ سچ بولے۔
انہوں نے حضرت غوث الاعظمؒ کی زندگی سے مثال دی کہ ماں کی تربیت اور سچائی نے آپ کو اللہ کا ولی بنا دیا۔
بیان میں وضو، عبادت اور قرآن سے محبت کی اہمیت بھی بتائی گئی۔
امام صا"&amp;"حب نے زور دیا کہ بااخلاق اور سچے لوگ ہی حقیقی طور پر دین دار اور پرہیزگار ہوتے ہیں")</f>
        <v>
امام صاحب نے بتایا کہ اصل پرہیزگاری یہ ہے کہ انسان گناہوں سے بچے اور ہمیشہ سچ بولے۔
انہوں نے حضرت غوث الاعظمؒ کی زندگی سے مثال دی کہ ماں کی تربیت اور سچائی نے آپ کو اللہ کا ولی بنا دیا۔
بیان میں وضو، عبادت اور قرآن سے محبت کی اہمیت بھی بتائی گئی۔
امام صاحب نے زور دیا کہ بااخلاق اور سچے لوگ ہی حقیقی طور پر دین دار اور پرہیزگار ہوتے ہیں</v>
      </c>
      <c r="X751" s="10">
        <f>IFERROR(__xludf.DUMMYFUNCTION("""COMPUTED_VALUE"""),9.0)</f>
        <v>9</v>
      </c>
      <c r="Y751" s="10">
        <f>IFERROR(__xludf.DUMMYFUNCTION("""COMPUTED_VALUE"""),6.0)</f>
        <v>6</v>
      </c>
      <c r="Z751" s="10">
        <f>IFERROR(__xludf.DUMMYFUNCTION("""COMPUTED_VALUE"""),6.0)</f>
        <v>6</v>
      </c>
      <c r="AA751" s="10">
        <f>IFERROR(__xludf.DUMMYFUNCTION("""COMPUTED_VALUE"""),10.0)</f>
        <v>10</v>
      </c>
      <c r="AB751" s="10">
        <f>IFERROR(__xludf.DUMMYFUNCTION("""COMPUTED_VALUE"""),8.0)</f>
        <v>8</v>
      </c>
      <c r="AC751" s="10">
        <f>IFERROR(__xludf.DUMMYFUNCTION("""COMPUTED_VALUE"""),0.0)</f>
        <v>0</v>
      </c>
      <c r="AD751" s="10">
        <f>IFERROR(__xludf.DUMMYFUNCTION("""COMPUTED_VALUE"""),0.0)</f>
        <v>0</v>
      </c>
      <c r="AE751" s="10">
        <f>IFERROR(__xludf.DUMMYFUNCTION("""COMPUTED_VALUE"""),0.0)</f>
        <v>0</v>
      </c>
      <c r="AF751" s="10">
        <f>IFERROR(__xludf.DUMMYFUNCTION("""COMPUTED_VALUE"""),0.0)</f>
        <v>0</v>
      </c>
      <c r="AG751" s="10">
        <f>IFERROR(__xludf.DUMMYFUNCTION("""COMPUTED_VALUE"""),9.0)</f>
        <v>9</v>
      </c>
      <c r="AH751" s="10">
        <f>IFERROR(__xludf.DUMMYFUNCTION("""COMPUTED_VALUE"""),0.0)</f>
        <v>0</v>
      </c>
      <c r="AI751" s="10">
        <f>IFERROR(__xludf.DUMMYFUNCTION("""COMPUTED_VALUE"""),9.0)</f>
        <v>9</v>
      </c>
      <c r="AJ751" s="11" t="str">
        <f>IFERROR(__xludf.DUMMYFUNCTION("""COMPUTED_VALUE"""),"https://drive.google.com/open?id=1EvgLDmDnAP3pGwHpLZUDGX0Iq5Id1Pvz")</f>
        <v>https://drive.google.com/open?id=1EvgLDmDnAP3pGwHpLZUDGX0Iq5Id1Pvz</v>
      </c>
      <c r="AK751" s="12"/>
      <c r="AL751" s="12" t="str">
        <f>IFERROR(__xludf.DUMMYFUNCTION("""COMPUTED_VALUE"""),"Yes")</f>
        <v>Yes</v>
      </c>
      <c r="AM751" s="15">
        <f>IFERROR(__xludf.DUMMYFUNCTION("""COMPUTED_VALUE"""),0.0)</f>
        <v>0</v>
      </c>
      <c r="AN751" s="12" t="str">
        <f>IFERROR(__xludf.DUMMYFUNCTION("""COMPUTED_VALUE"""),"3rd week")</f>
        <v>3rd week</v>
      </c>
      <c r="AO751" s="13">
        <v>3.0</v>
      </c>
      <c r="AX751" s="17"/>
    </row>
    <row r="752">
      <c r="B752" s="9">
        <f>IFERROR(__xludf.DUMMYFUNCTION("""COMPUTED_VALUE"""),45958.48332266204)</f>
        <v>45958.48332</v>
      </c>
      <c r="C752" s="10" t="str">
        <f>IFERROR(__xludf.DUMMYFUNCTION("""COMPUTED_VALUE"""),"Arti Kumari ")</f>
        <v>Arti Kumari </v>
      </c>
      <c r="D752" s="10" t="str">
        <f>IFERROR(__xludf.DUMMYFUNCTION("""COMPUTED_VALUE"""),"03346661865")</f>
        <v>03346661865</v>
      </c>
      <c r="E752" s="10" t="str">
        <f>IFERROR(__xludf.DUMMYFUNCTION("""COMPUTED_VALUE"""),"Jamia Masjid Fatah Shah Bukharin Burewala")</f>
        <v>Jamia Masjid Fatah Shah Bukharin Burewala</v>
      </c>
      <c r="F752" s="10" t="str">
        <f>IFERROR(__xludf.DUMMYFUNCTION("""COMPUTED_VALUE"""),"XKTYP")</f>
        <v>XKTYP</v>
      </c>
      <c r="G752" s="10" t="str">
        <f>IFERROR(__xludf.DUMMYFUNCTION("""COMPUTED_VALUE"""),"Yes")</f>
        <v>Yes</v>
      </c>
      <c r="H752" s="10">
        <f>IFERROR(__xludf.DUMMYFUNCTION("""COMPUTED_VALUE"""),0.0)</f>
        <v>0</v>
      </c>
      <c r="I752" s="10">
        <f>IFERROR(__xludf.DUMMYFUNCTION("""COMPUTED_VALUE"""),10.0)</f>
        <v>10</v>
      </c>
      <c r="J752" s="10">
        <f>IFERROR(__xludf.DUMMYFUNCTION("""COMPUTED_VALUE"""),0.0)</f>
        <v>0</v>
      </c>
      <c r="K752" s="10">
        <f>IFERROR(__xludf.DUMMYFUNCTION("""COMPUTED_VALUE"""),0.0)</f>
        <v>0</v>
      </c>
      <c r="L752" s="10">
        <f>IFERROR(__xludf.DUMMYFUNCTION("""COMPUTED_VALUE"""),0.0)</f>
        <v>0</v>
      </c>
      <c r="M752" s="10">
        <f>IFERROR(__xludf.DUMMYFUNCTION("""COMPUTED_VALUE"""),0.0)</f>
        <v>0</v>
      </c>
      <c r="N752" s="10">
        <f>IFERROR(__xludf.DUMMYFUNCTION("""COMPUTED_VALUE"""),0.0)</f>
        <v>0</v>
      </c>
      <c r="O752" s="10">
        <f>IFERROR(__xludf.DUMMYFUNCTION("""COMPUTED_VALUE"""),0.0)</f>
        <v>0</v>
      </c>
      <c r="P752" s="10">
        <f>IFERROR(__xludf.DUMMYFUNCTION("""COMPUTED_VALUE"""),0.0)</f>
        <v>0</v>
      </c>
      <c r="Q752" s="10" t="str">
        <f>IFERROR(__xludf.DUMMYFUNCTION("""COMPUTED_VALUE"""),"No")</f>
        <v>No</v>
      </c>
      <c r="R752" s="10" t="str">
        <f>IFERROR(__xludf.DUMMYFUNCTION("""COMPUTED_VALUE"""),"No")</f>
        <v>No</v>
      </c>
      <c r="S752" s="10" t="str">
        <f>IFERROR(__xludf.DUMMYFUNCTION("""COMPUTED_VALUE"""),"No")</f>
        <v>No</v>
      </c>
      <c r="T752" s="10">
        <f>IFERROR(__xludf.DUMMYFUNCTION("""COMPUTED_VALUE"""),0.0)</f>
        <v>0</v>
      </c>
      <c r="U752" s="10">
        <f>IFERROR(__xludf.DUMMYFUNCTION("""COMPUTED_VALUE"""),0.0)</f>
        <v>0</v>
      </c>
      <c r="V752" s="10" t="str">
        <f>IFERROR(__xludf.DUMMYFUNCTION("""COMPUTED_VALUE"""),"اللہ کا خوف")</f>
        <v>اللہ کا خوف</v>
      </c>
      <c r="W752" s="10" t="str">
        <f>IFERROR(__xludf.DUMMYFUNCTION("""COMPUTED_VALUE"""),"امام نے بتایا کہ سالہ سے ڈرو اس کا خوف رکھو جو اس کا خوف رکھتے ہیں اللہ نے اس کے لیے دو جنتیں رکھی ہیں اسلام دھوکا ناپ تول میں کمی جھوٹ کی اجازت نہیں دیتا اور ایسے لوگوں کے لیے بہت سخت عزاب بھی ہے")</f>
        <v>امام نے بتایا کہ سالہ سے ڈرو اس کا خوف رکھو جو اس کا خوف رکھتے ہیں اللہ نے اس کے لیے دو جنتیں رکھی ہیں اسلام دھوکا ناپ تول میں کمی جھوٹ کی اجازت نہیں دیتا اور ایسے لوگوں کے لیے بہت سخت عزاب بھی ہے</v>
      </c>
      <c r="X752" s="10">
        <f>IFERROR(__xludf.DUMMYFUNCTION("""COMPUTED_VALUE"""),0.0)</f>
        <v>0</v>
      </c>
      <c r="Y752" s="10">
        <f>IFERROR(__xludf.DUMMYFUNCTION("""COMPUTED_VALUE"""),2.0)</f>
        <v>2</v>
      </c>
      <c r="Z752" s="10">
        <f>IFERROR(__xludf.DUMMYFUNCTION("""COMPUTED_VALUE"""),8.0)</f>
        <v>8</v>
      </c>
      <c r="AA752" s="10">
        <f>IFERROR(__xludf.DUMMYFUNCTION("""COMPUTED_VALUE"""),1.0)</f>
        <v>1</v>
      </c>
      <c r="AB752" s="10">
        <f>IFERROR(__xludf.DUMMYFUNCTION("""COMPUTED_VALUE"""),0.0)</f>
        <v>0</v>
      </c>
      <c r="AC752" s="10">
        <f>IFERROR(__xludf.DUMMYFUNCTION("""COMPUTED_VALUE"""),0.0)</f>
        <v>0</v>
      </c>
      <c r="AD752" s="10">
        <f>IFERROR(__xludf.DUMMYFUNCTION("""COMPUTED_VALUE"""),7.0)</f>
        <v>7</v>
      </c>
      <c r="AE752" s="10">
        <f>IFERROR(__xludf.DUMMYFUNCTION("""COMPUTED_VALUE"""),2.0)</f>
        <v>2</v>
      </c>
      <c r="AF752" s="10">
        <f>IFERROR(__xludf.DUMMYFUNCTION("""COMPUTED_VALUE"""),0.0)</f>
        <v>0</v>
      </c>
      <c r="AG752" s="10">
        <f>IFERROR(__xludf.DUMMYFUNCTION("""COMPUTED_VALUE"""),6.0)</f>
        <v>6</v>
      </c>
      <c r="AH752" s="10">
        <f>IFERROR(__xludf.DUMMYFUNCTION("""COMPUTED_VALUE"""),0.0)</f>
        <v>0</v>
      </c>
      <c r="AI752" s="10">
        <f>IFERROR(__xludf.DUMMYFUNCTION("""COMPUTED_VALUE"""),6.0)</f>
        <v>6</v>
      </c>
      <c r="AJ752" s="11" t="str">
        <f>IFERROR(__xludf.DUMMYFUNCTION("""COMPUTED_VALUE"""),"https://drive.google.com/open?id=1M8uVi4aMidRafpTkoCyLo51eTozq2iWE")</f>
        <v>https://drive.google.com/open?id=1M8uVi4aMidRafpTkoCyLo51eTozq2iWE</v>
      </c>
      <c r="AK752" s="12" t="str">
        <f>IFERROR(__xludf.DUMMYFUNCTION("""COMPUTED_VALUE"""),"مختلف زبان ہونے کی وجہ سے کچھ جملے خاص سمجھ نہیں آ رہے تھے اور امام کچھ جملے جلدی ادا کر رہا تھا")</f>
        <v>مختلف زبان ہونے کی وجہ سے کچھ جملے خاص سمجھ نہیں آ رہے تھے اور امام کچھ جملے جلدی ادا کر رہا تھا</v>
      </c>
      <c r="AL752" s="12" t="str">
        <f>IFERROR(__xludf.DUMMYFUNCTION("""COMPUTED_VALUE"""),"Yes")</f>
        <v>Yes</v>
      </c>
      <c r="AM752" s="15">
        <f>IFERROR(__xludf.DUMMYFUNCTION("""COMPUTED_VALUE"""),0.0)</f>
        <v>0</v>
      </c>
      <c r="AN752" s="12" t="str">
        <f>IFERROR(__xludf.DUMMYFUNCTION("""COMPUTED_VALUE"""),"3rd week")</f>
        <v>3rd week</v>
      </c>
      <c r="AO752" s="13">
        <v>3.0</v>
      </c>
      <c r="AX752" s="17"/>
    </row>
    <row r="753">
      <c r="B753" s="9">
        <f>IFERROR(__xludf.DUMMYFUNCTION("""COMPUTED_VALUE"""),45958.50804458333)</f>
        <v>45958.50804</v>
      </c>
      <c r="C753" s="10" t="str">
        <f>IFERROR(__xludf.DUMMYFUNCTION("""COMPUTED_VALUE"""),"Saira Shahzad ")</f>
        <v>Saira Shahzad </v>
      </c>
      <c r="D753" s="10" t="str">
        <f>IFERROR(__xludf.DUMMYFUNCTION("""COMPUTED_VALUE"""),"03114534696")</f>
        <v>03114534696</v>
      </c>
      <c r="E753" s="10" t="str">
        <f>IFERROR(__xludf.DUMMYFUNCTION("""COMPUTED_VALUE"""),"Jamia Masjid Naale Wali Lodhran")</f>
        <v>Jamia Masjid Naale Wali Lodhran</v>
      </c>
      <c r="F753" s="10" t="str">
        <f>IFERROR(__xludf.DUMMYFUNCTION("""COMPUTED_VALUE"""),"xdbpy")</f>
        <v>xdbpy</v>
      </c>
      <c r="G753" s="10" t="str">
        <f>IFERROR(__xludf.DUMMYFUNCTION("""COMPUTED_VALUE"""),"Yes")</f>
        <v>Yes</v>
      </c>
      <c r="H753" s="10">
        <f>IFERROR(__xludf.DUMMYFUNCTION("""COMPUTED_VALUE"""),4.0)</f>
        <v>4</v>
      </c>
      <c r="I753" s="10">
        <f>IFERROR(__xludf.DUMMYFUNCTION("""COMPUTED_VALUE"""),5.0)</f>
        <v>5</v>
      </c>
      <c r="J753" s="10">
        <f>IFERROR(__xludf.DUMMYFUNCTION("""COMPUTED_VALUE"""),4.0)</f>
        <v>4</v>
      </c>
      <c r="K753" s="10">
        <f>IFERROR(__xludf.DUMMYFUNCTION("""COMPUTED_VALUE"""),7.0)</f>
        <v>7</v>
      </c>
      <c r="L753" s="10">
        <f>IFERROR(__xludf.DUMMYFUNCTION("""COMPUTED_VALUE"""),0.0)</f>
        <v>0</v>
      </c>
      <c r="M753" s="10">
        <f>IFERROR(__xludf.DUMMYFUNCTION("""COMPUTED_VALUE"""),5.0)</f>
        <v>5</v>
      </c>
      <c r="N753" s="10">
        <f>IFERROR(__xludf.DUMMYFUNCTION("""COMPUTED_VALUE"""),0.0)</f>
        <v>0</v>
      </c>
      <c r="O753" s="10">
        <f>IFERROR(__xludf.DUMMYFUNCTION("""COMPUTED_VALUE"""),5.0)</f>
        <v>5</v>
      </c>
      <c r="P753" s="10">
        <f>IFERROR(__xludf.DUMMYFUNCTION("""COMPUTED_VALUE"""),0.0)</f>
        <v>0</v>
      </c>
      <c r="Q753" s="10" t="str">
        <f>IFERROR(__xludf.DUMMYFUNCTION("""COMPUTED_VALUE"""),"No")</f>
        <v>No</v>
      </c>
      <c r="R753" s="10" t="str">
        <f>IFERROR(__xludf.DUMMYFUNCTION("""COMPUTED_VALUE"""),"No")</f>
        <v>No</v>
      </c>
      <c r="S753" s="10" t="str">
        <f>IFERROR(__xludf.DUMMYFUNCTION("""COMPUTED_VALUE"""),"No")</f>
        <v>No</v>
      </c>
      <c r="T753" s="10">
        <f>IFERROR(__xludf.DUMMYFUNCTION("""COMPUTED_VALUE"""),1.0)</f>
        <v>1</v>
      </c>
      <c r="U753" s="10">
        <f>IFERROR(__xludf.DUMMYFUNCTION("""COMPUTED_VALUE"""),0.0)</f>
        <v>0</v>
      </c>
      <c r="V753" s="10" t="str">
        <f>IFERROR(__xludf.DUMMYFUNCTION("""COMPUTED_VALUE"""),"اسلام میں عورت کا مقام اور کردار")</f>
        <v>اسلام میں عورت کا مقام اور کردار</v>
      </c>
      <c r="W753" s="10" t="str">
        <f>IFERROR(__xludf.DUMMYFUNCTION("""COMPUTED_VALUE"""),"امام نے اپنے بیان میں عورتوں کے حقوق جو کہ اسلام نے مقرر کیے ہیں ان پر بات کی ہے دین اسلام سے پہلے عورتوں کو یہ مقام حاصل کبھی نہ تھا امام نے عورتوں کی چار حیثیتوں کا ذکر کیا ہے جس میں ماں بیٹی بہن اور بیوی شامل ہیں اور یہ بیان کیا ہے کہ سب سے پہلے سلام ک"&amp;"ی تصدیق کرنے والی بھی عورت تھی اور سلام کے لیے سب سے پہلے شہادت بھی عورت نے ہی دی جس کا تفصیل سے ذکر کیا گیا ہے اور حضور پاک صلی اللہ علیہ والہ وسلم نے فرمایا کہ میرے دل میں تین قسم کی محبتوں کو ڈالا گیا پہلی خوشبو دوسری عورت اور تیسری نماز ان سب پر بھی ت"&amp;"فصیل سے بات کی ہے امام نے اور یہ بتایا کہ دین اسلام میں مردوں کے ساتھ ساتھ عورتوں  کی تعلیم پر بھی زور دیا گیا ہے")</f>
        <v>امام نے اپنے بیان میں عورتوں کے حقوق جو کہ اسلام نے مقرر کیے ہیں ان پر بات کی ہے دین اسلام سے پہلے عورتوں کو یہ مقام حاصل کبھی نہ تھا امام نے عورتوں کی چار حیثیتوں کا ذکر کیا ہے جس میں ماں بیٹی بہن اور بیوی شامل ہیں اور یہ بیان کیا ہے کہ سب سے پہلے سلام کی تصدیق کرنے والی بھی عورت تھی اور سلام کے لیے سب سے پہلے شہادت بھی عورت نے ہی دی جس کا تفصیل سے ذکر کیا گیا ہے اور حضور پاک صلی اللہ علیہ والہ وسلم نے فرمایا کہ میرے دل میں تین قسم کی محبتوں کو ڈالا گیا پہلی خوشبو دوسری عورت اور تیسری نماز ان سب پر بھی تفصیل سے بات کی ہے امام نے اور یہ بتایا کہ دین اسلام میں مردوں کے ساتھ ساتھ عورتوں  کی تعلیم پر بھی زور دیا گیا ہے</v>
      </c>
      <c r="X753" s="10">
        <f>IFERROR(__xludf.DUMMYFUNCTION("""COMPUTED_VALUE"""),3.0)</f>
        <v>3</v>
      </c>
      <c r="Y753" s="10">
        <f>IFERROR(__xludf.DUMMYFUNCTION("""COMPUTED_VALUE"""),4.0)</f>
        <v>4</v>
      </c>
      <c r="Z753" s="10">
        <f>IFERROR(__xludf.DUMMYFUNCTION("""COMPUTED_VALUE"""),4.0)</f>
        <v>4</v>
      </c>
      <c r="AA753" s="10">
        <f>IFERROR(__xludf.DUMMYFUNCTION("""COMPUTED_VALUE"""),7.0)</f>
        <v>7</v>
      </c>
      <c r="AB753" s="10">
        <f>IFERROR(__xludf.DUMMYFUNCTION("""COMPUTED_VALUE"""),7.0)</f>
        <v>7</v>
      </c>
      <c r="AC753" s="10">
        <f>IFERROR(__xludf.DUMMYFUNCTION("""COMPUTED_VALUE"""),1.0)</f>
        <v>1</v>
      </c>
      <c r="AD753" s="10">
        <f>IFERROR(__xludf.DUMMYFUNCTION("""COMPUTED_VALUE"""),1.0)</f>
        <v>1</v>
      </c>
      <c r="AE753" s="10">
        <f>IFERROR(__xludf.DUMMYFUNCTION("""COMPUTED_VALUE"""),5.0)</f>
        <v>5</v>
      </c>
      <c r="AF753" s="10">
        <f>IFERROR(__xludf.DUMMYFUNCTION("""COMPUTED_VALUE"""),6.0)</f>
        <v>6</v>
      </c>
      <c r="AG753" s="10">
        <f>IFERROR(__xludf.DUMMYFUNCTION("""COMPUTED_VALUE"""),7.0)</f>
        <v>7</v>
      </c>
      <c r="AH753" s="10">
        <f>IFERROR(__xludf.DUMMYFUNCTION("""COMPUTED_VALUE"""),1.0)</f>
        <v>1</v>
      </c>
      <c r="AI753" s="10">
        <f>IFERROR(__xludf.DUMMYFUNCTION("""COMPUTED_VALUE"""),7.0)</f>
        <v>7</v>
      </c>
      <c r="AJ753" s="11" t="str">
        <f>IFERROR(__xludf.DUMMYFUNCTION("""COMPUTED_VALUE"""),"https://drive.google.com/open?id=106Sj3efLoaSlCp4XmhAFW8faviIzuTlH6Gtc-Pbe7Wc")</f>
        <v>https://drive.google.com/open?id=106Sj3efLoaSlCp4XmhAFW8faviIzuTlH6Gtc-Pbe7Wc</v>
      </c>
      <c r="AK753" s="12" t="str">
        <f>IFERROR(__xludf.DUMMYFUNCTION("""COMPUTED_VALUE"""),"No")</f>
        <v>No</v>
      </c>
      <c r="AL753" s="12" t="str">
        <f>IFERROR(__xludf.DUMMYFUNCTION("""COMPUTED_VALUE"""),"Yes")</f>
        <v>Yes</v>
      </c>
      <c r="AM753" s="15">
        <f>IFERROR(__xludf.DUMMYFUNCTION("""COMPUTED_VALUE"""),0.4)</f>
        <v>0.4</v>
      </c>
      <c r="AN753" s="12" t="str">
        <f>IFERROR(__xludf.DUMMYFUNCTION("""COMPUTED_VALUE"""),"3rd week")</f>
        <v>3rd week</v>
      </c>
      <c r="AO753" s="13">
        <v>3.0</v>
      </c>
      <c r="AX753" s="17"/>
    </row>
    <row r="754">
      <c r="B754" s="9">
        <f>IFERROR(__xludf.DUMMYFUNCTION("""COMPUTED_VALUE"""),45958.51618929398)</f>
        <v>45958.51619</v>
      </c>
      <c r="C754" s="10" t="str">
        <f>IFERROR(__xludf.DUMMYFUNCTION("""COMPUTED_VALUE"""),"Maham")</f>
        <v>Maham</v>
      </c>
      <c r="D754" s="10" t="str">
        <f>IFERROR(__xludf.DUMMYFUNCTION("""COMPUTED_VALUE"""),"03218118680")</f>
        <v>03218118680</v>
      </c>
      <c r="E754" s="10" t="str">
        <f>IFERROR(__xludf.DUMMYFUNCTION("""COMPUTED_VALUE"""),"jamia Masjid Darbar lasuri shah Faisalabad  ")</f>
        <v>jamia Masjid Darbar lasuri shah Faisalabad  </v>
      </c>
      <c r="F754" s="10" t="str">
        <f>IFERROR(__xludf.DUMMYFUNCTION("""COMPUTED_VALUE"""),"tiius")</f>
        <v>tiius</v>
      </c>
      <c r="G754" s="10" t="str">
        <f>IFERROR(__xludf.DUMMYFUNCTION("""COMPUTED_VALUE"""),"Yes")</f>
        <v>Yes</v>
      </c>
      <c r="H754" s="10">
        <f>IFERROR(__xludf.DUMMYFUNCTION("""COMPUTED_VALUE"""),9.0)</f>
        <v>9</v>
      </c>
      <c r="I754" s="10">
        <f>IFERROR(__xludf.DUMMYFUNCTION("""COMPUTED_VALUE"""),1.0)</f>
        <v>1</v>
      </c>
      <c r="J754" s="10">
        <f>IFERROR(__xludf.DUMMYFUNCTION("""COMPUTED_VALUE"""),10.0)</f>
        <v>10</v>
      </c>
      <c r="K754" s="10">
        <f>IFERROR(__xludf.DUMMYFUNCTION("""COMPUTED_VALUE"""),10.0)</f>
        <v>10</v>
      </c>
      <c r="L754" s="10">
        <f>IFERROR(__xludf.DUMMYFUNCTION("""COMPUTED_VALUE"""),0.0)</f>
        <v>0</v>
      </c>
      <c r="M754" s="10">
        <f>IFERROR(__xludf.DUMMYFUNCTION("""COMPUTED_VALUE"""),10.0)</f>
        <v>10</v>
      </c>
      <c r="N754" s="10">
        <f>IFERROR(__xludf.DUMMYFUNCTION("""COMPUTED_VALUE"""),0.0)</f>
        <v>0</v>
      </c>
      <c r="O754" s="10">
        <f>IFERROR(__xludf.DUMMYFUNCTION("""COMPUTED_VALUE"""),7.0)</f>
        <v>7</v>
      </c>
      <c r="P754" s="10">
        <f>IFERROR(__xludf.DUMMYFUNCTION("""COMPUTED_VALUE"""),0.0)</f>
        <v>0</v>
      </c>
      <c r="Q754" s="10" t="str">
        <f>IFERROR(__xludf.DUMMYFUNCTION("""COMPUTED_VALUE"""),"No")</f>
        <v>No</v>
      </c>
      <c r="R754" s="10" t="str">
        <f>IFERROR(__xludf.DUMMYFUNCTION("""COMPUTED_VALUE"""),"No")</f>
        <v>No</v>
      </c>
      <c r="S754" s="10" t="str">
        <f>IFERROR(__xludf.DUMMYFUNCTION("""COMPUTED_VALUE"""),"No")</f>
        <v>No</v>
      </c>
      <c r="T754" s="10">
        <f>IFERROR(__xludf.DUMMYFUNCTION("""COMPUTED_VALUE"""),0.0)</f>
        <v>0</v>
      </c>
      <c r="U754" s="10">
        <f>IFERROR(__xludf.DUMMYFUNCTION("""COMPUTED_VALUE"""),0.0)</f>
        <v>0</v>
      </c>
      <c r="V754" s="10" t="str">
        <f>IFERROR(__xludf.DUMMYFUNCTION("""COMPUTED_VALUE"""),"عورتوں کے حقوق")</f>
        <v>عورتوں کے حقوق</v>
      </c>
      <c r="W754" s="10" t="str">
        <f>IFERROR(__xludf.DUMMYFUNCTION("""COMPUTED_VALUE"""),"عورتوں کے معاشی سیاسی سماجی اقتصادی لحاظ سے حقوق بیان کیے گئے")</f>
        <v>عورتوں کے معاشی سیاسی سماجی اقتصادی لحاظ سے حقوق بیان کیے گئے</v>
      </c>
      <c r="X754" s="10">
        <f>IFERROR(__xludf.DUMMYFUNCTION("""COMPUTED_VALUE"""),0.0)</f>
        <v>0</v>
      </c>
      <c r="Y754" s="10">
        <f>IFERROR(__xludf.DUMMYFUNCTION("""COMPUTED_VALUE"""),10.0)</f>
        <v>10</v>
      </c>
      <c r="Z754" s="10">
        <f>IFERROR(__xludf.DUMMYFUNCTION("""COMPUTED_VALUE"""),8.0)</f>
        <v>8</v>
      </c>
      <c r="AA754" s="10">
        <f>IFERROR(__xludf.DUMMYFUNCTION("""COMPUTED_VALUE"""),9.0)</f>
        <v>9</v>
      </c>
      <c r="AB754" s="10">
        <f>IFERROR(__xludf.DUMMYFUNCTION("""COMPUTED_VALUE"""),8.0)</f>
        <v>8</v>
      </c>
      <c r="AC754" s="10">
        <f>IFERROR(__xludf.DUMMYFUNCTION("""COMPUTED_VALUE"""),4.0)</f>
        <v>4</v>
      </c>
      <c r="AD754" s="10">
        <f>IFERROR(__xludf.DUMMYFUNCTION("""COMPUTED_VALUE"""),5.0)</f>
        <v>5</v>
      </c>
      <c r="AE754" s="10">
        <f>IFERROR(__xludf.DUMMYFUNCTION("""COMPUTED_VALUE"""),0.0)</f>
        <v>0</v>
      </c>
      <c r="AF754" s="10">
        <f>IFERROR(__xludf.DUMMYFUNCTION("""COMPUTED_VALUE"""),2.0)</f>
        <v>2</v>
      </c>
      <c r="AG754" s="10">
        <f>IFERROR(__xludf.DUMMYFUNCTION("""COMPUTED_VALUE"""),8.0)</f>
        <v>8</v>
      </c>
      <c r="AH754" s="10">
        <f>IFERROR(__xludf.DUMMYFUNCTION("""COMPUTED_VALUE"""),0.0)</f>
        <v>0</v>
      </c>
      <c r="AI754" s="10">
        <f>IFERROR(__xludf.DUMMYFUNCTION("""COMPUTED_VALUE"""),9.0)</f>
        <v>9</v>
      </c>
      <c r="AJ754" s="11" t="str">
        <f>IFERROR(__xludf.DUMMYFUNCTION("""COMPUTED_VALUE"""),"https://drive.google.com/open?id=1Ilu38FDJuvcOPxPK6Mb2ZFYkhdNFErw3")</f>
        <v>https://drive.google.com/open?id=1Ilu38FDJuvcOPxPK6Mb2ZFYkhdNFErw3</v>
      </c>
      <c r="AK754" s="12"/>
      <c r="AL754" s="12" t="str">
        <f>IFERROR(__xludf.DUMMYFUNCTION("""COMPUTED_VALUE"""),"Yes")</f>
        <v>Yes</v>
      </c>
      <c r="AM754" s="15">
        <f>IFERROR(__xludf.DUMMYFUNCTION("""COMPUTED_VALUE"""),0.8)</f>
        <v>0.8</v>
      </c>
      <c r="AN754" s="12" t="str">
        <f>IFERROR(__xludf.DUMMYFUNCTION("""COMPUTED_VALUE"""),"2nd week")</f>
        <v>2nd week</v>
      </c>
      <c r="AO754" s="13">
        <v>2.0</v>
      </c>
      <c r="AX754" s="17"/>
    </row>
    <row r="755">
      <c r="B755" s="9">
        <f>IFERROR(__xludf.DUMMYFUNCTION("""COMPUTED_VALUE"""),45958.52353358796)</f>
        <v>45958.52353</v>
      </c>
      <c r="C755" s="10" t="str">
        <f>IFERROR(__xludf.DUMMYFUNCTION("""COMPUTED_VALUE"""),"Arti Kumari")</f>
        <v>Arti Kumari</v>
      </c>
      <c r="D755" s="10" t="str">
        <f>IFERROR(__xludf.DUMMYFUNCTION("""COMPUTED_VALUE"""),"03346661865")</f>
        <v>03346661865</v>
      </c>
      <c r="E755" s="10" t="str">
        <f>IFERROR(__xludf.DUMMYFUNCTION("""COMPUTED_VALUE"""),"Jamia Masjid Sarwarya Muhammad Shah Melsi")</f>
        <v>Jamia Masjid Sarwarya Muhammad Shah Melsi</v>
      </c>
      <c r="F755" s="10" t="str">
        <f>IFERROR(__xludf.DUMMYFUNCTION("""COMPUTED_VALUE"""),"IOTAE")</f>
        <v>IOTAE</v>
      </c>
      <c r="G755" s="10" t="str">
        <f>IFERROR(__xludf.DUMMYFUNCTION("""COMPUTED_VALUE"""),"Yes")</f>
        <v>Yes</v>
      </c>
      <c r="H755" s="10">
        <f>IFERROR(__xludf.DUMMYFUNCTION("""COMPUTED_VALUE"""),0.0)</f>
        <v>0</v>
      </c>
      <c r="I755" s="10">
        <f>IFERROR(__xludf.DUMMYFUNCTION("""COMPUTED_VALUE"""),10.0)</f>
        <v>10</v>
      </c>
      <c r="J755" s="10">
        <f>IFERROR(__xludf.DUMMYFUNCTION("""COMPUTED_VALUE"""),0.0)</f>
        <v>0</v>
      </c>
      <c r="K755" s="10">
        <f>IFERROR(__xludf.DUMMYFUNCTION("""COMPUTED_VALUE"""),0.0)</f>
        <v>0</v>
      </c>
      <c r="L755" s="10">
        <f>IFERROR(__xludf.DUMMYFUNCTION("""COMPUTED_VALUE"""),0.0)</f>
        <v>0</v>
      </c>
      <c r="M755" s="10">
        <f>IFERROR(__xludf.DUMMYFUNCTION("""COMPUTED_VALUE"""),0.0)</f>
        <v>0</v>
      </c>
      <c r="N755" s="10">
        <f>IFERROR(__xludf.DUMMYFUNCTION("""COMPUTED_VALUE"""),0.0)</f>
        <v>0</v>
      </c>
      <c r="O755" s="10">
        <f>IFERROR(__xludf.DUMMYFUNCTION("""COMPUTED_VALUE"""),0.0)</f>
        <v>0</v>
      </c>
      <c r="P755" s="10">
        <f>IFERROR(__xludf.DUMMYFUNCTION("""COMPUTED_VALUE"""),0.0)</f>
        <v>0</v>
      </c>
      <c r="Q755" s="10" t="str">
        <f>IFERROR(__xludf.DUMMYFUNCTION("""COMPUTED_VALUE"""),"No")</f>
        <v>No</v>
      </c>
      <c r="R755" s="10" t="str">
        <f>IFERROR(__xludf.DUMMYFUNCTION("""COMPUTED_VALUE"""),"No")</f>
        <v>No</v>
      </c>
      <c r="S755" s="10" t="str">
        <f>IFERROR(__xludf.DUMMYFUNCTION("""COMPUTED_VALUE"""),"No")</f>
        <v>No</v>
      </c>
      <c r="T755" s="10">
        <f>IFERROR(__xludf.DUMMYFUNCTION("""COMPUTED_VALUE"""),0.0)</f>
        <v>0</v>
      </c>
      <c r="U755" s="10">
        <f>IFERROR(__xludf.DUMMYFUNCTION("""COMPUTED_VALUE"""),0.0)</f>
        <v>0</v>
      </c>
      <c r="V755" s="10" t="str">
        <f>IFERROR(__xludf.DUMMYFUNCTION("""COMPUTED_VALUE"""),"حروف تہجی کے زریعے اللہ کی صفات")</f>
        <v>حروف تہجی کے زریعے اللہ کی صفات</v>
      </c>
      <c r="W755" s="10" t="str">
        <f>IFERROR(__xludf.DUMMYFUNCTION("""COMPUTED_VALUE"""),"امام نے حروف تہجی کے زریعے اللہ اور رسول کی صفات کو ایک لفظ میں بیان کیا")</f>
        <v>امام نے حروف تہجی کے زریعے اللہ اور رسول کی صفات کو ایک لفظ میں بیان کیا</v>
      </c>
      <c r="X755" s="10">
        <f>IFERROR(__xludf.DUMMYFUNCTION("""COMPUTED_VALUE"""),0.0)</f>
        <v>0</v>
      </c>
      <c r="Y755" s="10">
        <f>IFERROR(__xludf.DUMMYFUNCTION("""COMPUTED_VALUE"""),2.0)</f>
        <v>2</v>
      </c>
      <c r="Z755" s="10">
        <f>IFERROR(__xludf.DUMMYFUNCTION("""COMPUTED_VALUE"""),2.0)</f>
        <v>2</v>
      </c>
      <c r="AA755" s="10">
        <f>IFERROR(__xludf.DUMMYFUNCTION("""COMPUTED_VALUE"""),2.0)</f>
        <v>2</v>
      </c>
      <c r="AB755" s="10">
        <f>IFERROR(__xludf.DUMMYFUNCTION("""COMPUTED_VALUE"""),1.0)</f>
        <v>1</v>
      </c>
      <c r="AC755" s="10">
        <f>IFERROR(__xludf.DUMMYFUNCTION("""COMPUTED_VALUE"""),0.0)</f>
        <v>0</v>
      </c>
      <c r="AD755" s="10">
        <f>IFERROR(__xludf.DUMMYFUNCTION("""COMPUTED_VALUE"""),0.0)</f>
        <v>0</v>
      </c>
      <c r="AE755" s="10">
        <f>IFERROR(__xludf.DUMMYFUNCTION("""COMPUTED_VALUE"""),0.0)</f>
        <v>0</v>
      </c>
      <c r="AF755" s="10">
        <f>IFERROR(__xludf.DUMMYFUNCTION("""COMPUTED_VALUE"""),0.0)</f>
        <v>0</v>
      </c>
      <c r="AG755" s="10">
        <f>IFERROR(__xludf.DUMMYFUNCTION("""COMPUTED_VALUE"""),3.0)</f>
        <v>3</v>
      </c>
      <c r="AH755" s="10">
        <f>IFERROR(__xludf.DUMMYFUNCTION("""COMPUTED_VALUE"""),0.0)</f>
        <v>0</v>
      </c>
      <c r="AI755" s="10">
        <f>IFERROR(__xludf.DUMMYFUNCTION("""COMPUTED_VALUE"""),3.0)</f>
        <v>3</v>
      </c>
      <c r="AJ755" s="11" t="str">
        <f>IFERROR(__xludf.DUMMYFUNCTION("""COMPUTED_VALUE"""),"https://drive.google.com/open?id=1CUhGtOSP_xP29vzgom-ptaIjLCcyAtQG")</f>
        <v>https://drive.google.com/open?id=1CUhGtOSP_xP29vzgom-ptaIjLCcyAtQG</v>
      </c>
      <c r="AK755" s="12" t="str">
        <f>IFERROR(__xludf.DUMMYFUNCTION("""COMPUTED_VALUE"""),"بیان کسی اور زبان میں تھا امام کے کچھ الفاظ سننے میں بہت مشکل ہوئی")</f>
        <v>بیان کسی اور زبان میں تھا امام کے کچھ الفاظ سننے میں بہت مشکل ہوئی</v>
      </c>
      <c r="AL755" s="12" t="str">
        <f>IFERROR(__xludf.DUMMYFUNCTION("""COMPUTED_VALUE"""),"Yes")</f>
        <v>Yes</v>
      </c>
      <c r="AM755" s="15">
        <f>IFERROR(__xludf.DUMMYFUNCTION("""COMPUTED_VALUE"""),0.0)</f>
        <v>0</v>
      </c>
      <c r="AN755" s="12" t="str">
        <f>IFERROR(__xludf.DUMMYFUNCTION("""COMPUTED_VALUE"""),"3rd week")</f>
        <v>3rd week</v>
      </c>
      <c r="AO755" s="13">
        <v>3.0</v>
      </c>
      <c r="AX755" s="17"/>
    </row>
    <row r="756">
      <c r="B756" s="9">
        <f>IFERROR(__xludf.DUMMYFUNCTION("""COMPUTED_VALUE"""),45958.5538634838)</f>
        <v>45958.55386</v>
      </c>
      <c r="C756" s="10" t="str">
        <f>IFERROR(__xludf.DUMMYFUNCTION("""COMPUTED_VALUE"""),"Atiqa")</f>
        <v>Atiqa</v>
      </c>
      <c r="D756" s="10" t="str">
        <f>IFERROR(__xludf.DUMMYFUNCTION("""COMPUTED_VALUE"""),"03157519977")</f>
        <v>03157519977</v>
      </c>
      <c r="E756" s="10" t="str">
        <f>IFERROR(__xludf.DUMMYFUNCTION("""COMPUTED_VALUE"""),"Jamia Masjid Hanfiya Ghazi Abad Faisalabad")</f>
        <v>Jamia Masjid Hanfiya Ghazi Abad Faisalabad</v>
      </c>
      <c r="F756" s="10" t="str">
        <f>IFERROR(__xludf.DUMMYFUNCTION("""COMPUTED_VALUE"""),"ldkri")</f>
        <v>ldkri</v>
      </c>
      <c r="G756" s="10" t="str">
        <f>IFERROR(__xludf.DUMMYFUNCTION("""COMPUTED_VALUE"""),"No")</f>
        <v>No</v>
      </c>
      <c r="H756" s="10"/>
      <c r="I756" s="10"/>
      <c r="J756" s="10"/>
      <c r="K756" s="10">
        <f>IFERROR(__xludf.DUMMYFUNCTION("""COMPUTED_VALUE"""),0.0)</f>
        <v>0</v>
      </c>
      <c r="L756" s="10">
        <f>IFERROR(__xludf.DUMMYFUNCTION("""COMPUTED_VALUE"""),0.0)</f>
        <v>0</v>
      </c>
      <c r="M756" s="10">
        <f>IFERROR(__xludf.DUMMYFUNCTION("""COMPUTED_VALUE"""),0.0)</f>
        <v>0</v>
      </c>
      <c r="N756" s="10">
        <f>IFERROR(__xludf.DUMMYFUNCTION("""COMPUTED_VALUE"""),0.0)</f>
        <v>0</v>
      </c>
      <c r="O756" s="10">
        <f>IFERROR(__xludf.DUMMYFUNCTION("""COMPUTED_VALUE"""),0.0)</f>
        <v>0</v>
      </c>
      <c r="P756" s="10">
        <f>IFERROR(__xludf.DUMMYFUNCTION("""COMPUTED_VALUE"""),0.0)</f>
        <v>0</v>
      </c>
      <c r="Q756" s="10" t="str">
        <f>IFERROR(__xludf.DUMMYFUNCTION("""COMPUTED_VALUE"""),"No")</f>
        <v>No</v>
      </c>
      <c r="R756" s="10" t="str">
        <f>IFERROR(__xludf.DUMMYFUNCTION("""COMPUTED_VALUE"""),"No")</f>
        <v>No</v>
      </c>
      <c r="S756" s="10" t="str">
        <f>IFERROR(__xludf.DUMMYFUNCTION("""COMPUTED_VALUE"""),"No")</f>
        <v>No</v>
      </c>
      <c r="T756" s="10">
        <f>IFERROR(__xludf.DUMMYFUNCTION("""COMPUTED_VALUE"""),0.0)</f>
        <v>0</v>
      </c>
      <c r="U756" s="10">
        <f>IFERROR(__xludf.DUMMYFUNCTION("""COMPUTED_VALUE"""),0.0)</f>
        <v>0</v>
      </c>
      <c r="V756" s="10" t="str">
        <f>IFERROR(__xludf.DUMMYFUNCTION("""COMPUTED_VALUE"""),"نبی پاک صلی اللہ علیہ وسلم کی تمام مخلوقات پر رحمت و شفقت ")</f>
        <v>نبی پاک صلی اللہ علیہ وسلم کی تمام مخلوقات پر رحمت و شفقت </v>
      </c>
      <c r="W756" s="10" t="str">
        <f>IFERROR(__xludf.DUMMYFUNCTION("""COMPUTED_VALUE"""),"امام نے بیان کیا کہ اللہ رب العزت نے نبی پاک صلی اللہ علیہ والہ وسلم کو تمام مخلوقات یعنی انسانوں کے ساتھ چرند، پرند جانوروں کے لیے بھی رسول بنا کر بھیجا، ایک اونٹ کا اپ صلی اللہ علیہ وسلم کی بارگاہ میں حاضر ہو کر اپنے مالک کی شکایت کرنا اور اپ صلی اللہ ع"&amp;"لیہ وسلم کا اسے خرید کر ازاد کرنے کا واقعہ بیان کیا ، صحابہ کرام رضی اللہ تعالی عنہ کا مسجد نبوی میں نبی پاک صلی اللہ علیہ وسلم کے پاس بیٹھ کر پاد کے متعلق گفتگو فرمانا اور وہاں سے گزرنے والے ادمی کا انہیں باتیں کرتے دیکھ کر اعمال میں حقیر جاننے کا واقعہ "&amp;"بیان کیا ، اور ایک اونٹ کا کھیتوں میں بے قابو ہو نا اور اپ صلی اللہ علیہ وسلم کے پاس جانے پر ان کے قدموں میں اونٹ کا سر گرا دینے کا واقعہ بیان کیا ۔ نبی پاک صلی اللہ علیہ وسلم کی اطاعت اور فرمانبرداری کرنے اور ان کے قول و فعل کے مطابق زندگی بسر کرنے کی تا"&amp;"کید کی گئی ۔")</f>
        <v>امام نے بیان کیا کہ اللہ رب العزت نے نبی پاک صلی اللہ علیہ والہ وسلم کو تمام مخلوقات یعنی انسانوں کے ساتھ چرند، پرند جانوروں کے لیے بھی رسول بنا کر بھیجا، ایک اونٹ کا اپ صلی اللہ علیہ وسلم کی بارگاہ میں حاضر ہو کر اپنے مالک کی شکایت کرنا اور اپ صلی اللہ علیہ وسلم کا اسے خرید کر ازاد کرنے کا واقعہ بیان کیا ، صحابہ کرام رضی اللہ تعالی عنہ کا مسجد نبوی میں نبی پاک صلی اللہ علیہ وسلم کے پاس بیٹھ کر پاد کے متعلق گفتگو فرمانا اور وہاں سے گزرنے والے ادمی کا انہیں باتیں کرتے دیکھ کر اعمال میں حقیر جاننے کا واقعہ بیان کیا ، اور ایک اونٹ کا کھیتوں میں بے قابو ہو نا اور اپ صلی اللہ علیہ وسلم کے پاس جانے پر ان کے قدموں میں اونٹ کا سر گرا دینے کا واقعہ بیان کیا ۔ نبی پاک صلی اللہ علیہ وسلم کی اطاعت اور فرمانبرداری کرنے اور ان کے قول و فعل کے مطابق زندگی بسر کرنے کی تاکید کی گئی ۔</v>
      </c>
      <c r="X756" s="10">
        <f>IFERROR(__xludf.DUMMYFUNCTION("""COMPUTED_VALUE"""),6.0)</f>
        <v>6</v>
      </c>
      <c r="Y756" s="10">
        <f>IFERROR(__xludf.DUMMYFUNCTION("""COMPUTED_VALUE"""),4.0)</f>
        <v>4</v>
      </c>
      <c r="Z756" s="10">
        <f>IFERROR(__xludf.DUMMYFUNCTION("""COMPUTED_VALUE"""),4.0)</f>
        <v>4</v>
      </c>
      <c r="AA756" s="10">
        <f>IFERROR(__xludf.DUMMYFUNCTION("""COMPUTED_VALUE"""),8.0)</f>
        <v>8</v>
      </c>
      <c r="AB756" s="10">
        <f>IFERROR(__xludf.DUMMYFUNCTION("""COMPUTED_VALUE"""),9.0)</f>
        <v>9</v>
      </c>
      <c r="AC756" s="10">
        <f>IFERROR(__xludf.DUMMYFUNCTION("""COMPUTED_VALUE"""),2.0)</f>
        <v>2</v>
      </c>
      <c r="AD756" s="10">
        <f>IFERROR(__xludf.DUMMYFUNCTION("""COMPUTED_VALUE"""),2.0)</f>
        <v>2</v>
      </c>
      <c r="AE756" s="10">
        <f>IFERROR(__xludf.DUMMYFUNCTION("""COMPUTED_VALUE"""),3.0)</f>
        <v>3</v>
      </c>
      <c r="AF756" s="10">
        <f>IFERROR(__xludf.DUMMYFUNCTION("""COMPUTED_VALUE"""),3.0)</f>
        <v>3</v>
      </c>
      <c r="AG756" s="10">
        <f>IFERROR(__xludf.DUMMYFUNCTION("""COMPUTED_VALUE"""),9.0)</f>
        <v>9</v>
      </c>
      <c r="AH756" s="10">
        <f>IFERROR(__xludf.DUMMYFUNCTION("""COMPUTED_VALUE"""),0.0)</f>
        <v>0</v>
      </c>
      <c r="AI756" s="10">
        <f>IFERROR(__xludf.DUMMYFUNCTION("""COMPUTED_VALUE"""),9.0)</f>
        <v>9</v>
      </c>
      <c r="AJ756" s="11" t="str">
        <f>IFERROR(__xludf.DUMMYFUNCTION("""COMPUTED_VALUE"""),"https://drive.google.com/open?id=1Smj-gnMnAvQk2nJrveEMVIX7fFIx4cZO7LukYV74QRA")</f>
        <v>https://drive.google.com/open?id=1Smj-gnMnAvQk2nJrveEMVIX7fFIx4cZO7LukYV74QRA</v>
      </c>
      <c r="AK756" s="12"/>
      <c r="AL756" s="12"/>
      <c r="AM756" s="12"/>
      <c r="AN756" s="12" t="str">
        <f>IFERROR(__xludf.DUMMYFUNCTION("""COMPUTED_VALUE"""),"1st week")</f>
        <v>1st week</v>
      </c>
      <c r="AO756" s="13">
        <v>1.0</v>
      </c>
      <c r="AX756" s="17"/>
    </row>
    <row r="757">
      <c r="B757" s="9">
        <f>IFERROR(__xludf.DUMMYFUNCTION("""COMPUTED_VALUE"""),45958.62214390046)</f>
        <v>45958.62214</v>
      </c>
      <c r="C757" s="10" t="str">
        <f>IFERROR(__xludf.DUMMYFUNCTION("""COMPUTED_VALUE"""),"Maham")</f>
        <v>Maham</v>
      </c>
      <c r="D757" s="10" t="str">
        <f>IFERROR(__xludf.DUMMYFUNCTION("""COMPUTED_VALUE"""),"03218118680")</f>
        <v>03218118680</v>
      </c>
      <c r="E757" s="10" t="str">
        <f>IFERROR(__xludf.DUMMYFUNCTION("""COMPUTED_VALUE"""),"Jamia Masjid Darbar Shah sadaq Nehnang Shorkot")</f>
        <v>Jamia Masjid Darbar Shah sadaq Nehnang Shorkot</v>
      </c>
      <c r="F757" s="10" t="str">
        <f>IFERROR(__xludf.DUMMYFUNCTION("""COMPUTED_VALUE"""),"vigse")</f>
        <v>vigse</v>
      </c>
      <c r="G757" s="10" t="str">
        <f>IFERROR(__xludf.DUMMYFUNCTION("""COMPUTED_VALUE"""),"Yes")</f>
        <v>Yes</v>
      </c>
      <c r="H757" s="10">
        <f>IFERROR(__xludf.DUMMYFUNCTION("""COMPUTED_VALUE"""),10.0)</f>
        <v>10</v>
      </c>
      <c r="I757" s="10">
        <f>IFERROR(__xludf.DUMMYFUNCTION("""COMPUTED_VALUE"""),0.0)</f>
        <v>0</v>
      </c>
      <c r="J757" s="10">
        <f>IFERROR(__xludf.DUMMYFUNCTION("""COMPUTED_VALUE"""),10.0)</f>
        <v>10</v>
      </c>
      <c r="K757" s="10">
        <f>IFERROR(__xludf.DUMMYFUNCTION("""COMPUTED_VALUE"""),10.0)</f>
        <v>10</v>
      </c>
      <c r="L757" s="10">
        <f>IFERROR(__xludf.DUMMYFUNCTION("""COMPUTED_VALUE"""),0.0)</f>
        <v>0</v>
      </c>
      <c r="M757" s="10">
        <f>IFERROR(__xludf.DUMMYFUNCTION("""COMPUTED_VALUE"""),10.0)</f>
        <v>10</v>
      </c>
      <c r="N757" s="10">
        <f>IFERROR(__xludf.DUMMYFUNCTION("""COMPUTED_VALUE"""),0.0)</f>
        <v>0</v>
      </c>
      <c r="O757" s="10">
        <f>IFERROR(__xludf.DUMMYFUNCTION("""COMPUTED_VALUE"""),10.0)</f>
        <v>10</v>
      </c>
      <c r="P757" s="10">
        <f>IFERROR(__xludf.DUMMYFUNCTION("""COMPUTED_VALUE"""),0.0)</f>
        <v>0</v>
      </c>
      <c r="Q757" s="10" t="str">
        <f>IFERROR(__xludf.DUMMYFUNCTION("""COMPUTED_VALUE"""),"Yes")</f>
        <v>Yes</v>
      </c>
      <c r="R757" s="10" t="str">
        <f>IFERROR(__xludf.DUMMYFUNCTION("""COMPUTED_VALUE"""),"No")</f>
        <v>No</v>
      </c>
      <c r="S757" s="10" t="str">
        <f>IFERROR(__xludf.DUMMYFUNCTION("""COMPUTED_VALUE"""),"Yes")</f>
        <v>Yes</v>
      </c>
      <c r="T757" s="10">
        <f>IFERROR(__xludf.DUMMYFUNCTION("""COMPUTED_VALUE"""),0.0)</f>
        <v>0</v>
      </c>
      <c r="U757" s="10">
        <f>IFERROR(__xludf.DUMMYFUNCTION("""COMPUTED_VALUE"""),0.0)</f>
        <v>0</v>
      </c>
      <c r="V757" s="10" t="str">
        <f>IFERROR(__xludf.DUMMYFUNCTION("""COMPUTED_VALUE"""),"عورتوں کے حقوق")</f>
        <v>عورتوں کے حقوق</v>
      </c>
      <c r="W757" s="10" t="str">
        <f>IFERROR(__xludf.DUMMYFUNCTION("""COMPUTED_VALUE"""),"عورتوں کے حقوق بیان کیے گئے")</f>
        <v>عورتوں کے حقوق بیان کیے گئے</v>
      </c>
      <c r="X757" s="10">
        <f>IFERROR(__xludf.DUMMYFUNCTION("""COMPUTED_VALUE"""),0.0)</f>
        <v>0</v>
      </c>
      <c r="Y757" s="10">
        <f>IFERROR(__xludf.DUMMYFUNCTION("""COMPUTED_VALUE"""),10.0)</f>
        <v>10</v>
      </c>
      <c r="Z757" s="10">
        <f>IFERROR(__xludf.DUMMYFUNCTION("""COMPUTED_VALUE"""),8.0)</f>
        <v>8</v>
      </c>
      <c r="AA757" s="10">
        <f>IFERROR(__xludf.DUMMYFUNCTION("""COMPUTED_VALUE"""),10.0)</f>
        <v>10</v>
      </c>
      <c r="AB757" s="10">
        <f>IFERROR(__xludf.DUMMYFUNCTION("""COMPUTED_VALUE"""),8.0)</f>
        <v>8</v>
      </c>
      <c r="AC757" s="10">
        <f>IFERROR(__xludf.DUMMYFUNCTION("""COMPUTED_VALUE"""),1.0)</f>
        <v>1</v>
      </c>
      <c r="AD757" s="10">
        <f>IFERROR(__xludf.DUMMYFUNCTION("""COMPUTED_VALUE"""),3.0)</f>
        <v>3</v>
      </c>
      <c r="AE757" s="10">
        <f>IFERROR(__xludf.DUMMYFUNCTION("""COMPUTED_VALUE"""),0.0)</f>
        <v>0</v>
      </c>
      <c r="AF757" s="10">
        <f>IFERROR(__xludf.DUMMYFUNCTION("""COMPUTED_VALUE"""),2.0)</f>
        <v>2</v>
      </c>
      <c r="AG757" s="10">
        <f>IFERROR(__xludf.DUMMYFUNCTION("""COMPUTED_VALUE"""),9.0)</f>
        <v>9</v>
      </c>
      <c r="AH757" s="10">
        <f>IFERROR(__xludf.DUMMYFUNCTION("""COMPUTED_VALUE"""),0.0)</f>
        <v>0</v>
      </c>
      <c r="AI757" s="10">
        <f>IFERROR(__xludf.DUMMYFUNCTION("""COMPUTED_VALUE"""),10.0)</f>
        <v>10</v>
      </c>
      <c r="AJ757" s="11" t="str">
        <f>IFERROR(__xludf.DUMMYFUNCTION("""COMPUTED_VALUE"""),"https://drive.google.com/open?id=19m2c6Ft2r4zCSb2OhpFzJXP6iAFV06rx")</f>
        <v>https://drive.google.com/open?id=19m2c6Ft2r4zCSb2OhpFzJXP6iAFV06rx</v>
      </c>
      <c r="AK757" s="12"/>
      <c r="AL757" s="12" t="str">
        <f>IFERROR(__xludf.DUMMYFUNCTION("""COMPUTED_VALUE"""),"Yes")</f>
        <v>Yes</v>
      </c>
      <c r="AM757" s="15">
        <f>IFERROR(__xludf.DUMMYFUNCTION("""COMPUTED_VALUE"""),1.0)</f>
        <v>1</v>
      </c>
      <c r="AN757" s="12" t="str">
        <f>IFERROR(__xludf.DUMMYFUNCTION("""COMPUTED_VALUE"""),"1st week")</f>
        <v>1st week</v>
      </c>
      <c r="AO757" s="13">
        <v>1.0</v>
      </c>
      <c r="AX757" s="17"/>
    </row>
    <row r="758">
      <c r="B758" s="9">
        <f>IFERROR(__xludf.DUMMYFUNCTION("""COMPUTED_VALUE"""),45958.6644088426)</f>
        <v>45958.66441</v>
      </c>
      <c r="C758" s="10" t="str">
        <f>IFERROR(__xludf.DUMMYFUNCTION("""COMPUTED_VALUE"""),"Maham")</f>
        <v>Maham</v>
      </c>
      <c r="D758" s="10" t="str">
        <f>IFERROR(__xludf.DUMMYFUNCTION("""COMPUTED_VALUE"""),"03218118680")</f>
        <v>03218118680</v>
      </c>
      <c r="E758" s="10" t="str">
        <f>IFERROR(__xludf.DUMMYFUNCTION("""COMPUTED_VALUE"""),"Jamia Masjid Darbar Rung Ali Sarkar Faisalabad ")</f>
        <v>Jamia Masjid Darbar Rung Ali Sarkar Faisalabad </v>
      </c>
      <c r="F758" s="10" t="str">
        <f>IFERROR(__xludf.DUMMYFUNCTION("""COMPUTED_VALUE"""),"xjphu")</f>
        <v>xjphu</v>
      </c>
      <c r="G758" s="10" t="str">
        <f>IFERROR(__xludf.DUMMYFUNCTION("""COMPUTED_VALUE"""),"Yes")</f>
        <v>Yes</v>
      </c>
      <c r="H758" s="10">
        <f>IFERROR(__xludf.DUMMYFUNCTION("""COMPUTED_VALUE"""),7.0)</f>
        <v>7</v>
      </c>
      <c r="I758" s="10">
        <f>IFERROR(__xludf.DUMMYFUNCTION("""COMPUTED_VALUE"""),3.0)</f>
        <v>3</v>
      </c>
      <c r="J758" s="10">
        <f>IFERROR(__xludf.DUMMYFUNCTION("""COMPUTED_VALUE"""),9.0)</f>
        <v>9</v>
      </c>
      <c r="K758" s="10">
        <f>IFERROR(__xludf.DUMMYFUNCTION("""COMPUTED_VALUE"""),9.0)</f>
        <v>9</v>
      </c>
      <c r="L758" s="10">
        <f>IFERROR(__xludf.DUMMYFUNCTION("""COMPUTED_VALUE"""),0.0)</f>
        <v>0</v>
      </c>
      <c r="M758" s="10">
        <f>IFERROR(__xludf.DUMMYFUNCTION("""COMPUTED_VALUE"""),9.0)</f>
        <v>9</v>
      </c>
      <c r="N758" s="10">
        <f>IFERROR(__xludf.DUMMYFUNCTION("""COMPUTED_VALUE"""),0.0)</f>
        <v>0</v>
      </c>
      <c r="O758" s="10">
        <f>IFERROR(__xludf.DUMMYFUNCTION("""COMPUTED_VALUE"""),6.0)</f>
        <v>6</v>
      </c>
      <c r="P758" s="10">
        <f>IFERROR(__xludf.DUMMYFUNCTION("""COMPUTED_VALUE"""),0.0)</f>
        <v>0</v>
      </c>
      <c r="Q758" s="10" t="str">
        <f>IFERROR(__xludf.DUMMYFUNCTION("""COMPUTED_VALUE"""),"No")</f>
        <v>No</v>
      </c>
      <c r="R758" s="10" t="str">
        <f>IFERROR(__xludf.DUMMYFUNCTION("""COMPUTED_VALUE"""),"No")</f>
        <v>No</v>
      </c>
      <c r="S758" s="10" t="str">
        <f>IFERROR(__xludf.DUMMYFUNCTION("""COMPUTED_VALUE"""),"No")</f>
        <v>No</v>
      </c>
      <c r="T758" s="10">
        <f>IFERROR(__xludf.DUMMYFUNCTION("""COMPUTED_VALUE"""),0.0)</f>
        <v>0</v>
      </c>
      <c r="U758" s="10">
        <f>IFERROR(__xludf.DUMMYFUNCTION("""COMPUTED_VALUE"""),0.0)</f>
        <v>0</v>
      </c>
      <c r="V758" s="10" t="str">
        <f>IFERROR(__xludf.DUMMYFUNCTION("""COMPUTED_VALUE"""),"عورتوں کے حقوق ")</f>
        <v>عورتوں کے حقوق </v>
      </c>
      <c r="W758" s="10" t="str">
        <f>IFERROR(__xludf.DUMMYFUNCTION("""COMPUTED_VALUE"""),"
عورتوں کے حقوق بیان کیے گئے")</f>
        <v>
عورتوں کے حقوق بیان کیے گئے</v>
      </c>
      <c r="X758" s="10">
        <f>IFERROR(__xludf.DUMMYFUNCTION("""COMPUTED_VALUE"""),0.0)</f>
        <v>0</v>
      </c>
      <c r="Y758" s="10">
        <f>IFERROR(__xludf.DUMMYFUNCTION("""COMPUTED_VALUE"""),10.0)</f>
        <v>10</v>
      </c>
      <c r="Z758" s="10">
        <f>IFERROR(__xludf.DUMMYFUNCTION("""COMPUTED_VALUE"""),8.0)</f>
        <v>8</v>
      </c>
      <c r="AA758" s="10">
        <f>IFERROR(__xludf.DUMMYFUNCTION("""COMPUTED_VALUE"""),9.0)</f>
        <v>9</v>
      </c>
      <c r="AB758" s="10">
        <f>IFERROR(__xludf.DUMMYFUNCTION("""COMPUTED_VALUE"""),8.0)</f>
        <v>8</v>
      </c>
      <c r="AC758" s="10">
        <f>IFERROR(__xludf.DUMMYFUNCTION("""COMPUTED_VALUE"""),2.0)</f>
        <v>2</v>
      </c>
      <c r="AD758" s="10">
        <f>IFERROR(__xludf.DUMMYFUNCTION("""COMPUTED_VALUE"""),5.0)</f>
        <v>5</v>
      </c>
      <c r="AE758" s="10">
        <f>IFERROR(__xludf.DUMMYFUNCTION("""COMPUTED_VALUE"""),0.0)</f>
        <v>0</v>
      </c>
      <c r="AF758" s="10">
        <f>IFERROR(__xludf.DUMMYFUNCTION("""COMPUTED_VALUE"""),3.0)</f>
        <v>3</v>
      </c>
      <c r="AG758" s="10">
        <f>IFERROR(__xludf.DUMMYFUNCTION("""COMPUTED_VALUE"""),8.0)</f>
        <v>8</v>
      </c>
      <c r="AH758" s="10">
        <f>IFERROR(__xludf.DUMMYFUNCTION("""COMPUTED_VALUE"""),0.0)</f>
        <v>0</v>
      </c>
      <c r="AI758" s="10">
        <f>IFERROR(__xludf.DUMMYFUNCTION("""COMPUTED_VALUE"""),8.0)</f>
        <v>8</v>
      </c>
      <c r="AJ758" s="11" t="str">
        <f>IFERROR(__xludf.DUMMYFUNCTION("""COMPUTED_VALUE"""),"https://drive.google.com/open?id=1NJEM8Gak-9sU-CmhayYKCFTv_xXt1NRc")</f>
        <v>https://drive.google.com/open?id=1NJEM8Gak-9sU-CmhayYKCFTv_xXt1NRc</v>
      </c>
      <c r="AK758" s="12" t="str">
        <f>IFERROR(__xludf.DUMMYFUNCTION("""COMPUTED_VALUE"""),"improve audio quality ")</f>
        <v>improve audio quality </v>
      </c>
      <c r="AL758" s="12" t="str">
        <f>IFERROR(__xludf.DUMMYFUNCTION("""COMPUTED_VALUE"""),"Yes")</f>
        <v>Yes</v>
      </c>
      <c r="AM758" s="15">
        <f>IFERROR(__xludf.DUMMYFUNCTION("""COMPUTED_VALUE"""),0.7)</f>
        <v>0.7</v>
      </c>
      <c r="AN758" s="12" t="str">
        <f>IFERROR(__xludf.DUMMYFUNCTION("""COMPUTED_VALUE"""),"1st week")</f>
        <v>1st week</v>
      </c>
      <c r="AO758" s="13">
        <v>1.0</v>
      </c>
      <c r="AX758" s="17"/>
    </row>
    <row r="759">
      <c r="B759" s="9">
        <f>IFERROR(__xludf.DUMMYFUNCTION("""COMPUTED_VALUE"""),45958.681257199074)</f>
        <v>45958.68126</v>
      </c>
      <c r="C759" s="10" t="str">
        <f>IFERROR(__xludf.DUMMYFUNCTION("""COMPUTED_VALUE"""),"Maham")</f>
        <v>Maham</v>
      </c>
      <c r="D759" s="10" t="str">
        <f>IFERROR(__xludf.DUMMYFUNCTION("""COMPUTED_VALUE"""),"03218118680")</f>
        <v>03218118680</v>
      </c>
      <c r="E759" s="10" t="str">
        <f>IFERROR(__xludf.DUMMYFUNCTION("""COMPUTED_VALUE"""),"Jamia Masjid Darbar Nathu shah Sharazi Faisalabad ")</f>
        <v>Jamia Masjid Darbar Nathu shah Sharazi Faisalabad </v>
      </c>
      <c r="F759" s="10" t="str">
        <f>IFERROR(__xludf.DUMMYFUNCTION("""COMPUTED_VALUE"""),"rymqe")</f>
        <v>rymqe</v>
      </c>
      <c r="G759" s="10" t="str">
        <f>IFERROR(__xludf.DUMMYFUNCTION("""COMPUTED_VALUE"""),"Yes")</f>
        <v>Yes</v>
      </c>
      <c r="H759" s="10">
        <f>IFERROR(__xludf.DUMMYFUNCTION("""COMPUTED_VALUE"""),3.0)</f>
        <v>3</v>
      </c>
      <c r="I759" s="10">
        <f>IFERROR(__xludf.DUMMYFUNCTION("""COMPUTED_VALUE"""),7.0)</f>
        <v>7</v>
      </c>
      <c r="J759" s="10">
        <f>IFERROR(__xludf.DUMMYFUNCTION("""COMPUTED_VALUE"""),8.0)</f>
        <v>8</v>
      </c>
      <c r="K759" s="10">
        <f>IFERROR(__xludf.DUMMYFUNCTION("""COMPUTED_VALUE"""),0.0)</f>
        <v>0</v>
      </c>
      <c r="L759" s="10">
        <f>IFERROR(__xludf.DUMMYFUNCTION("""COMPUTED_VALUE"""),8.0)</f>
        <v>8</v>
      </c>
      <c r="M759" s="10">
        <f>IFERROR(__xludf.DUMMYFUNCTION("""COMPUTED_VALUE"""),0.0)</f>
        <v>0</v>
      </c>
      <c r="N759" s="10">
        <f>IFERROR(__xludf.DUMMYFUNCTION("""COMPUTED_VALUE"""),8.0)</f>
        <v>8</v>
      </c>
      <c r="O759" s="10">
        <f>IFERROR(__xludf.DUMMYFUNCTION("""COMPUTED_VALUE"""),0.0)</f>
        <v>0</v>
      </c>
      <c r="P759" s="10">
        <f>IFERROR(__xludf.DUMMYFUNCTION("""COMPUTED_VALUE"""),4.0)</f>
        <v>4</v>
      </c>
      <c r="Q759" s="10" t="str">
        <f>IFERROR(__xludf.DUMMYFUNCTION("""COMPUTED_VALUE"""),"No")</f>
        <v>No</v>
      </c>
      <c r="R759" s="10" t="str">
        <f>IFERROR(__xludf.DUMMYFUNCTION("""COMPUTED_VALUE"""),"No")</f>
        <v>No</v>
      </c>
      <c r="S759" s="10" t="str">
        <f>IFERROR(__xludf.DUMMYFUNCTION("""COMPUTED_VALUE"""),"No")</f>
        <v>No</v>
      </c>
      <c r="T759" s="10">
        <f>IFERROR(__xludf.DUMMYFUNCTION("""COMPUTED_VALUE"""),0.0)</f>
        <v>0</v>
      </c>
      <c r="U759" s="10">
        <f>IFERROR(__xludf.DUMMYFUNCTION("""COMPUTED_VALUE"""),0.0)</f>
        <v>0</v>
      </c>
      <c r="V759" s="10" t="str">
        <f>IFERROR(__xludf.DUMMYFUNCTION("""COMPUTED_VALUE"""),"اللہ تعالی کا شکر مسلمان ہونا اور پڑوسیوں کا خیال اور حق")</f>
        <v>اللہ تعالی کا شکر مسلمان ہونا اور پڑوسیوں کا خیال اور حق</v>
      </c>
      <c r="W759" s="10" t="str">
        <f>IFERROR(__xludf.DUMMYFUNCTION("""COMPUTED_VALUE"""),"اللہ تعالی کا شکر ہے ہم لوگ ازاد ہیں اللہ تعالی کی عبادت کر سکتے ہیں اللہ تعالی نے ہمیں مسلمان پیدا کیا پڑوسیوں کے حقوق کے بارے میں تاکید کی گئی کہ لمز یونیورسٹی کی طرف سے اور صحابی کا ذکر کیا رسول اللہ صلی اللہ علیہ وسلم کی بارگاہ میں کھڑےانتظار کر رہے ت"&amp;"ھے جبرائیل علیہ السلام کا اپ صلی اللہ علیہ وسلم سے پڑوسیوں کے حقوق کے بارے میں تاکید کرنا")</f>
        <v>اللہ تعالی کا شکر ہے ہم لوگ ازاد ہیں اللہ تعالی کی عبادت کر سکتے ہیں اللہ تعالی نے ہمیں مسلمان پیدا کیا پڑوسیوں کے حقوق کے بارے میں تاکید کی گئی کہ لمز یونیورسٹی کی طرف سے اور صحابی کا ذکر کیا رسول اللہ صلی اللہ علیہ وسلم کی بارگاہ میں کھڑےانتظار کر رہے تھے جبرائیل علیہ السلام کا اپ صلی اللہ علیہ وسلم سے پڑوسیوں کے حقوق کے بارے میں تاکید کرنا</v>
      </c>
      <c r="X759" s="10">
        <f>IFERROR(__xludf.DUMMYFUNCTION("""COMPUTED_VALUE"""),2.0)</f>
        <v>2</v>
      </c>
      <c r="Y759" s="10">
        <f>IFERROR(__xludf.DUMMYFUNCTION("""COMPUTED_VALUE"""),8.0)</f>
        <v>8</v>
      </c>
      <c r="Z759" s="10">
        <f>IFERROR(__xludf.DUMMYFUNCTION("""COMPUTED_VALUE"""),7.0)</f>
        <v>7</v>
      </c>
      <c r="AA759" s="10">
        <f>IFERROR(__xludf.DUMMYFUNCTION("""COMPUTED_VALUE"""),8.0)</f>
        <v>8</v>
      </c>
      <c r="AB759" s="10">
        <f>IFERROR(__xludf.DUMMYFUNCTION("""COMPUTED_VALUE"""),7.0)</f>
        <v>7</v>
      </c>
      <c r="AC759" s="10">
        <f>IFERROR(__xludf.DUMMYFUNCTION("""COMPUTED_VALUE"""),0.0)</f>
        <v>0</v>
      </c>
      <c r="AD759" s="10">
        <f>IFERROR(__xludf.DUMMYFUNCTION("""COMPUTED_VALUE"""),0.0)</f>
        <v>0</v>
      </c>
      <c r="AE759" s="10">
        <f>IFERROR(__xludf.DUMMYFUNCTION("""COMPUTED_VALUE"""),0.0)</f>
        <v>0</v>
      </c>
      <c r="AF759" s="10">
        <f>IFERROR(__xludf.DUMMYFUNCTION("""COMPUTED_VALUE"""),4.0)</f>
        <v>4</v>
      </c>
      <c r="AG759" s="10">
        <f>IFERROR(__xludf.DUMMYFUNCTION("""COMPUTED_VALUE"""),8.0)</f>
        <v>8</v>
      </c>
      <c r="AH759" s="10">
        <f>IFERROR(__xludf.DUMMYFUNCTION("""COMPUTED_VALUE"""),0.0)</f>
        <v>0</v>
      </c>
      <c r="AI759" s="10">
        <f>IFERROR(__xludf.DUMMYFUNCTION("""COMPUTED_VALUE"""),9.0)</f>
        <v>9</v>
      </c>
      <c r="AJ759" s="11" t="str">
        <f>IFERROR(__xludf.DUMMYFUNCTION("""COMPUTED_VALUE"""),"https://drive.google.com/open?id=1BY3zerW6XELYv_RNnrwJfV_ccjDOFG5n")</f>
        <v>https://drive.google.com/open?id=1BY3zerW6XELYv_RNnrwJfV_ccjDOFG5n</v>
      </c>
      <c r="AK759" s="12"/>
      <c r="AL759" s="12" t="str">
        <f>IFERROR(__xludf.DUMMYFUNCTION("""COMPUTED_VALUE"""),"Yes")</f>
        <v>Yes</v>
      </c>
      <c r="AM759" s="15">
        <f>IFERROR(__xludf.DUMMYFUNCTION("""COMPUTED_VALUE"""),0.6)</f>
        <v>0.6</v>
      </c>
      <c r="AN759" s="12" t="str">
        <f>IFERROR(__xludf.DUMMYFUNCTION("""COMPUTED_VALUE"""),"1st week")</f>
        <v>1st week</v>
      </c>
      <c r="AO759" s="13">
        <v>1.0</v>
      </c>
      <c r="AX759" s="17"/>
    </row>
    <row r="760">
      <c r="B760" s="9">
        <f>IFERROR(__xludf.DUMMYFUNCTION("""COMPUTED_VALUE"""),45958.75418508102)</f>
        <v>45958.75419</v>
      </c>
      <c r="C760" s="10" t="str">
        <f>IFERROR(__xludf.DUMMYFUNCTION("""COMPUTED_VALUE"""),"Maham")</f>
        <v>Maham</v>
      </c>
      <c r="D760" s="10" t="str">
        <f>IFERROR(__xludf.DUMMYFUNCTION("""COMPUTED_VALUE"""),"03218118680")</f>
        <v>03218118680</v>
      </c>
      <c r="E760" s="10" t="str">
        <f>IFERROR(__xludf.DUMMYFUNCTION("""COMPUTED_VALUE"""),"Jamia Masjid Eid Ghah Madal town B Faisalabad ")</f>
        <v>Jamia Masjid Eid Ghah Madal town B Faisalabad </v>
      </c>
      <c r="F760" s="10" t="str">
        <f>IFERROR(__xludf.DUMMYFUNCTION("""COMPUTED_VALUE"""),"vldwg")</f>
        <v>vldwg</v>
      </c>
      <c r="G760" s="10" t="str">
        <f>IFERROR(__xludf.DUMMYFUNCTION("""COMPUTED_VALUE"""),"Yes")</f>
        <v>Yes</v>
      </c>
      <c r="H760" s="10">
        <f>IFERROR(__xludf.DUMMYFUNCTION("""COMPUTED_VALUE"""),9.0)</f>
        <v>9</v>
      </c>
      <c r="I760" s="10">
        <f>IFERROR(__xludf.DUMMYFUNCTION("""COMPUTED_VALUE"""),1.0)</f>
        <v>1</v>
      </c>
      <c r="J760" s="10">
        <f>IFERROR(__xludf.DUMMYFUNCTION("""COMPUTED_VALUE"""),10.0)</f>
        <v>10</v>
      </c>
      <c r="K760" s="10">
        <f>IFERROR(__xludf.DUMMYFUNCTION("""COMPUTED_VALUE"""),10.0)</f>
        <v>10</v>
      </c>
      <c r="L760" s="10">
        <f>IFERROR(__xludf.DUMMYFUNCTION("""COMPUTED_VALUE"""),0.0)</f>
        <v>0</v>
      </c>
      <c r="M760" s="10">
        <f>IFERROR(__xludf.DUMMYFUNCTION("""COMPUTED_VALUE"""),10.0)</f>
        <v>10</v>
      </c>
      <c r="N760" s="10">
        <f>IFERROR(__xludf.DUMMYFUNCTION("""COMPUTED_VALUE"""),0.0)</f>
        <v>0</v>
      </c>
      <c r="O760" s="10">
        <f>IFERROR(__xludf.DUMMYFUNCTION("""COMPUTED_VALUE"""),9.0)</f>
        <v>9</v>
      </c>
      <c r="P760" s="10">
        <f>IFERROR(__xludf.DUMMYFUNCTION("""COMPUTED_VALUE"""),0.0)</f>
        <v>0</v>
      </c>
      <c r="Q760" s="10" t="str">
        <f>IFERROR(__xludf.DUMMYFUNCTION("""COMPUTED_VALUE"""),"Yes")</f>
        <v>Yes</v>
      </c>
      <c r="R760" s="10" t="str">
        <f>IFERROR(__xludf.DUMMYFUNCTION("""COMPUTED_VALUE"""),"No")</f>
        <v>No</v>
      </c>
      <c r="S760" s="10" t="str">
        <f>IFERROR(__xludf.DUMMYFUNCTION("""COMPUTED_VALUE"""),"Yes")</f>
        <v>Yes</v>
      </c>
      <c r="T760" s="10">
        <f>IFERROR(__xludf.DUMMYFUNCTION("""COMPUTED_VALUE"""),0.0)</f>
        <v>0</v>
      </c>
      <c r="U760" s="10">
        <f>IFERROR(__xludf.DUMMYFUNCTION("""COMPUTED_VALUE"""),0.0)</f>
        <v>0</v>
      </c>
      <c r="V760" s="10" t="str">
        <f>IFERROR(__xludf.DUMMYFUNCTION("""COMPUTED_VALUE"""),"عورت کا معاشی سیاسی سرگرمیوں میں کردار")</f>
        <v>عورت کا معاشی سیاسی سرگرمیوں میں کردار</v>
      </c>
      <c r="W760" s="10" t="str">
        <f>IFERROR(__xludf.DUMMYFUNCTION("""COMPUTED_VALUE"""),"عورت کا معاشی سیاسی اقتصادی سرگرمیوں میں کردار کو بیان کیا")</f>
        <v>عورت کا معاشی سیاسی اقتصادی سرگرمیوں میں کردار کو بیان کیا</v>
      </c>
      <c r="X760" s="10">
        <f>IFERROR(__xludf.DUMMYFUNCTION("""COMPUTED_VALUE"""),1.0)</f>
        <v>1</v>
      </c>
      <c r="Y760" s="10">
        <f>IFERROR(__xludf.DUMMYFUNCTION("""COMPUTED_VALUE"""),9.0)</f>
        <v>9</v>
      </c>
      <c r="Z760" s="10">
        <f>IFERROR(__xludf.DUMMYFUNCTION("""COMPUTED_VALUE"""),8.0)</f>
        <v>8</v>
      </c>
      <c r="AA760" s="10">
        <f>IFERROR(__xludf.DUMMYFUNCTION("""COMPUTED_VALUE"""),8.0)</f>
        <v>8</v>
      </c>
      <c r="AB760" s="10">
        <f>IFERROR(__xludf.DUMMYFUNCTION("""COMPUTED_VALUE"""),8.0)</f>
        <v>8</v>
      </c>
      <c r="AC760" s="10">
        <f>IFERROR(__xludf.DUMMYFUNCTION("""COMPUTED_VALUE"""),4.0)</f>
        <v>4</v>
      </c>
      <c r="AD760" s="10">
        <f>IFERROR(__xludf.DUMMYFUNCTION("""COMPUTED_VALUE"""),6.0)</f>
        <v>6</v>
      </c>
      <c r="AE760" s="10">
        <f>IFERROR(__xludf.DUMMYFUNCTION("""COMPUTED_VALUE"""),0.0)</f>
        <v>0</v>
      </c>
      <c r="AF760" s="10">
        <f>IFERROR(__xludf.DUMMYFUNCTION("""COMPUTED_VALUE"""),4.0)</f>
        <v>4</v>
      </c>
      <c r="AG760" s="10">
        <f>IFERROR(__xludf.DUMMYFUNCTION("""COMPUTED_VALUE"""),9.0)</f>
        <v>9</v>
      </c>
      <c r="AH760" s="10">
        <f>IFERROR(__xludf.DUMMYFUNCTION("""COMPUTED_VALUE"""),0.0)</f>
        <v>0</v>
      </c>
      <c r="AI760" s="10">
        <f>IFERROR(__xludf.DUMMYFUNCTION("""COMPUTED_VALUE"""),9.0)</f>
        <v>9</v>
      </c>
      <c r="AJ760" s="11" t="str">
        <f>IFERROR(__xludf.DUMMYFUNCTION("""COMPUTED_VALUE"""),"https://drive.google.com/open?id=1E5yC2u7Vu3a_0pPG-h14qKq9yXimNzRe")</f>
        <v>https://drive.google.com/open?id=1E5yC2u7Vu3a_0pPG-h14qKq9yXimNzRe</v>
      </c>
      <c r="AK760" s="12"/>
      <c r="AL760" s="12" t="str">
        <f>IFERROR(__xludf.DUMMYFUNCTION("""COMPUTED_VALUE"""),"Yes")</f>
        <v>Yes</v>
      </c>
      <c r="AM760" s="15">
        <f>IFERROR(__xludf.DUMMYFUNCTION("""COMPUTED_VALUE"""),1.0)</f>
        <v>1</v>
      </c>
      <c r="AN760" s="12" t="str">
        <f>IFERROR(__xludf.DUMMYFUNCTION("""COMPUTED_VALUE"""),"1st week")</f>
        <v>1st week</v>
      </c>
      <c r="AO760" s="13">
        <v>1.0</v>
      </c>
      <c r="AX760" s="17"/>
    </row>
    <row r="761">
      <c r="B761" s="9">
        <f>IFERROR(__xludf.DUMMYFUNCTION("""COMPUTED_VALUE"""),45958.831134004635)</f>
        <v>45958.83113</v>
      </c>
      <c r="C761" s="10" t="str">
        <f>IFERROR(__xludf.DUMMYFUNCTION("""COMPUTED_VALUE"""),"Saira Shahzad ")</f>
        <v>Saira Shahzad </v>
      </c>
      <c r="D761" s="10" t="str">
        <f>IFERROR(__xludf.DUMMYFUNCTION("""COMPUTED_VALUE"""),"03114534696")</f>
        <v>03114534696</v>
      </c>
      <c r="E761" s="10" t="str">
        <f>IFERROR(__xludf.DUMMYFUNCTION("""COMPUTED_VALUE"""),"Jamia Masjid Taleem Ul Quran Gojara")</f>
        <v>Jamia Masjid Taleem Ul Quran Gojara</v>
      </c>
      <c r="F761" s="10" t="str">
        <f>IFERROR(__xludf.DUMMYFUNCTION("""COMPUTED_VALUE"""),"yxvut")</f>
        <v>yxvut</v>
      </c>
      <c r="G761" s="10" t="str">
        <f>IFERROR(__xludf.DUMMYFUNCTION("""COMPUTED_VALUE"""),"Yes")</f>
        <v>Yes</v>
      </c>
      <c r="H761" s="10">
        <f>IFERROR(__xludf.DUMMYFUNCTION("""COMPUTED_VALUE"""),7.0)</f>
        <v>7</v>
      </c>
      <c r="I761" s="10">
        <f>IFERROR(__xludf.DUMMYFUNCTION("""COMPUTED_VALUE"""),3.0)</f>
        <v>3</v>
      </c>
      <c r="J761" s="10">
        <f>IFERROR(__xludf.DUMMYFUNCTION("""COMPUTED_VALUE"""),7.0)</f>
        <v>7</v>
      </c>
      <c r="K761" s="10">
        <f>IFERROR(__xludf.DUMMYFUNCTION("""COMPUTED_VALUE"""),8.0)</f>
        <v>8</v>
      </c>
      <c r="L761" s="10">
        <f>IFERROR(__xludf.DUMMYFUNCTION("""COMPUTED_VALUE"""),0.0)</f>
        <v>0</v>
      </c>
      <c r="M761" s="10">
        <f>IFERROR(__xludf.DUMMYFUNCTION("""COMPUTED_VALUE"""),8.0)</f>
        <v>8</v>
      </c>
      <c r="N761" s="10">
        <f>IFERROR(__xludf.DUMMYFUNCTION("""COMPUTED_VALUE"""),0.0)</f>
        <v>0</v>
      </c>
      <c r="O761" s="10">
        <f>IFERROR(__xludf.DUMMYFUNCTION("""COMPUTED_VALUE"""),7.0)</f>
        <v>7</v>
      </c>
      <c r="P761" s="10">
        <f>IFERROR(__xludf.DUMMYFUNCTION("""COMPUTED_VALUE"""),0.0)</f>
        <v>0</v>
      </c>
      <c r="Q761" s="10" t="str">
        <f>IFERROR(__xludf.DUMMYFUNCTION("""COMPUTED_VALUE"""),"No")</f>
        <v>No</v>
      </c>
      <c r="R761" s="10" t="str">
        <f>IFERROR(__xludf.DUMMYFUNCTION("""COMPUTED_VALUE"""),"No")</f>
        <v>No</v>
      </c>
      <c r="S761" s="10" t="str">
        <f>IFERROR(__xludf.DUMMYFUNCTION("""COMPUTED_VALUE"""),"No")</f>
        <v>No</v>
      </c>
      <c r="T761" s="10">
        <f>IFERROR(__xludf.DUMMYFUNCTION("""COMPUTED_VALUE"""),0.0)</f>
        <v>0</v>
      </c>
      <c r="U761" s="10">
        <f>IFERROR(__xludf.DUMMYFUNCTION("""COMPUTED_VALUE"""),0.0)</f>
        <v>0</v>
      </c>
      <c r="V761" s="10" t="str">
        <f>IFERROR(__xludf.DUMMYFUNCTION("""COMPUTED_VALUE"""),"اسلام میں عورت کا مقام کردار اور حق")</f>
        <v>اسلام میں عورت کا مقام کردار اور حق</v>
      </c>
      <c r="W761" s="10" t="str">
        <f>IFERROR(__xludf.DUMMYFUNCTION("""COMPUTED_VALUE"""),"امام نے اپنے بیان میں عورتوں کے مقام اور حق کے بارے میں تفصیل سے بات کی ہے اور یہ بیان کیا ہے کہ اسلام سے پہلے عورت کو بالکل اہمیت حاصل نہیں تھی بلکہ بیٹی بہن پیدا ہونے پر غم کے مارے ان کے چہرے سیاہ پر جاتے تھے اور بیٹیوں کو اپنے اوپر بوجھ سمجھتے تھے لیکن"&amp;" اسلام نے عورت کو بہت اہمیت دی ہے ماں کے قدموں کے نیچے جنت رکھ دی ہے  بیٹی کو رحمت قرار دیا ہے اور نبی پاک صلی اللہ علیہ والہ وسلم نے فرمایا کہ میں تمہارے لیے بہترین مثال ہوں بیویوں سے حسن سلوک کرنے کے لیے اور حضور پاک صلی اللہ علیہ والہ وسلم اپنی رضائی م"&amp;"اں کی بھی اتنی ہی عزت اور احترام کرتے تھے جتنا اپنی اصلی ماں کا اور حضور پاک صلی اللہ علیہ والہ وسلم کی رضائی بہن جو تھی حضرت شیماء ان کا پورا واقعہ بیان کیا ہے کہ حضور پاک صلی اللہ علیہ والہ وسلم ان سے بھی بے پناہ محبت کرتے تھے اور آپ صلی اللہ علیہ وسلم "&amp;"نے فرمایا کہ جو اپنی بیٹیوں کی کفالت کرتا ہے ان کو اچھی تعلیم دیتا ہے اور ان کی شادی کرتا ہے تو قیامت والے دن اپنے ہاتھ کی انگلیوں کو چھوڑ کر کہا کہ ہم ایسے ساتھ ساتھ ہوں گے")</f>
        <v>امام نے اپنے بیان میں عورتوں کے مقام اور حق کے بارے میں تفصیل سے بات کی ہے اور یہ بیان کیا ہے کہ اسلام سے پہلے عورت کو بالکل اہمیت حاصل نہیں تھی بلکہ بیٹی بہن پیدا ہونے پر غم کے مارے ان کے چہرے سیاہ پر جاتے تھے اور بیٹیوں کو اپنے اوپر بوجھ سمجھتے تھے لیکن اسلام نے عورت کو بہت اہمیت دی ہے ماں کے قدموں کے نیچے جنت رکھ دی ہے  بیٹی کو رحمت قرار دیا ہے اور نبی پاک صلی اللہ علیہ والہ وسلم نے فرمایا کہ میں تمہارے لیے بہترین مثال ہوں بیویوں سے حسن سلوک کرنے کے لیے اور حضور پاک صلی اللہ علیہ والہ وسلم اپنی رضائی ماں کی بھی اتنی ہی عزت اور احترام کرتے تھے جتنا اپنی اصلی ماں کا اور حضور پاک صلی اللہ علیہ والہ وسلم کی رضائی بہن جو تھی حضرت شیماء ان کا پورا واقعہ بیان کیا ہے کہ حضور پاک صلی اللہ علیہ والہ وسلم ان سے بھی بے پناہ محبت کرتے تھے اور آپ صلی اللہ علیہ وسلم نے فرمایا کہ جو اپنی بیٹیوں کی کفالت کرتا ہے ان کو اچھی تعلیم دیتا ہے اور ان کی شادی کرتا ہے تو قیامت والے دن اپنے ہاتھ کی انگلیوں کو چھوڑ کر کہا کہ ہم ایسے ساتھ ساتھ ہوں گے</v>
      </c>
      <c r="X761" s="10">
        <f>IFERROR(__xludf.DUMMYFUNCTION("""COMPUTED_VALUE"""),3.0)</f>
        <v>3</v>
      </c>
      <c r="Y761" s="10">
        <f>IFERROR(__xludf.DUMMYFUNCTION("""COMPUTED_VALUE"""),4.0)</f>
        <v>4</v>
      </c>
      <c r="Z761" s="10">
        <f>IFERROR(__xludf.DUMMYFUNCTION("""COMPUTED_VALUE"""),0.0)</f>
        <v>0</v>
      </c>
      <c r="AA761" s="10">
        <f>IFERROR(__xludf.DUMMYFUNCTION("""COMPUTED_VALUE"""),8.0)</f>
        <v>8</v>
      </c>
      <c r="AB761" s="10">
        <f>IFERROR(__xludf.DUMMYFUNCTION("""COMPUTED_VALUE"""),6.0)</f>
        <v>6</v>
      </c>
      <c r="AC761" s="10">
        <f>IFERROR(__xludf.DUMMYFUNCTION("""COMPUTED_VALUE"""),0.0)</f>
        <v>0</v>
      </c>
      <c r="AD761" s="10">
        <f>IFERROR(__xludf.DUMMYFUNCTION("""COMPUTED_VALUE"""),0.0)</f>
        <v>0</v>
      </c>
      <c r="AE761" s="10">
        <f>IFERROR(__xludf.DUMMYFUNCTION("""COMPUTED_VALUE"""),4.0)</f>
        <v>4</v>
      </c>
      <c r="AF761" s="10">
        <f>IFERROR(__xludf.DUMMYFUNCTION("""COMPUTED_VALUE"""),7.0)</f>
        <v>7</v>
      </c>
      <c r="AG761" s="10">
        <f>IFERROR(__xludf.DUMMYFUNCTION("""COMPUTED_VALUE"""),8.0)</f>
        <v>8</v>
      </c>
      <c r="AH761" s="10">
        <f>IFERROR(__xludf.DUMMYFUNCTION("""COMPUTED_VALUE"""),0.0)</f>
        <v>0</v>
      </c>
      <c r="AI761" s="10">
        <f>IFERROR(__xludf.DUMMYFUNCTION("""COMPUTED_VALUE"""),8.0)</f>
        <v>8</v>
      </c>
      <c r="AJ761" s="11" t="str">
        <f>IFERROR(__xludf.DUMMYFUNCTION("""COMPUTED_VALUE"""),"https://drive.google.com/open?id=1R50zP26oQvph0BD-TVn2IsQ_pv3csIFV74H_urtznNo")</f>
        <v>https://drive.google.com/open?id=1R50zP26oQvph0BD-TVn2IsQ_pv3csIFV74H_urtznNo</v>
      </c>
      <c r="AK761" s="12" t="str">
        <f>IFERROR(__xludf.DUMMYFUNCTION("""COMPUTED_VALUE"""),"No")</f>
        <v>No</v>
      </c>
      <c r="AL761" s="12" t="str">
        <f>IFERROR(__xludf.DUMMYFUNCTION("""COMPUTED_VALUE"""),"Yes")</f>
        <v>Yes</v>
      </c>
      <c r="AM761" s="15">
        <f>IFERROR(__xludf.DUMMYFUNCTION("""COMPUTED_VALUE"""),0.7)</f>
        <v>0.7</v>
      </c>
      <c r="AN761" s="12" t="str">
        <f>IFERROR(__xludf.DUMMYFUNCTION("""COMPUTED_VALUE"""),"1st week")</f>
        <v>1st week</v>
      </c>
      <c r="AO761" s="13">
        <v>1.0</v>
      </c>
      <c r="AX761" s="17"/>
    </row>
    <row r="762">
      <c r="B762" s="9">
        <f>IFERROR(__xludf.DUMMYFUNCTION("""COMPUTED_VALUE"""),45958.888626597225)</f>
        <v>45958.88863</v>
      </c>
      <c r="C762" s="10" t="str">
        <f>IFERROR(__xludf.DUMMYFUNCTION("""COMPUTED_VALUE"""),"Saira Shahzad ")</f>
        <v>Saira Shahzad </v>
      </c>
      <c r="D762" s="10" t="str">
        <f>IFERROR(__xludf.DUMMYFUNCTION("""COMPUTED_VALUE"""),"03114534696")</f>
        <v>03114534696</v>
      </c>
      <c r="E762" s="10" t="str">
        <f>IFERROR(__xludf.DUMMYFUNCTION("""COMPUTED_VALUE"""),"Jamia Masjid Darbar Noor Shah Wali Faisalabad")</f>
        <v>Jamia Masjid Darbar Noor Shah Wali Faisalabad</v>
      </c>
      <c r="F762" s="10" t="str">
        <f>IFERROR(__xludf.DUMMYFUNCTION("""COMPUTED_VALUE"""),"kyzwa")</f>
        <v>kyzwa</v>
      </c>
      <c r="G762" s="10" t="str">
        <f>IFERROR(__xludf.DUMMYFUNCTION("""COMPUTED_VALUE"""),"Yes")</f>
        <v>Yes</v>
      </c>
      <c r="H762" s="10">
        <f>IFERROR(__xludf.DUMMYFUNCTION("""COMPUTED_VALUE"""),3.0)</f>
        <v>3</v>
      </c>
      <c r="I762" s="10">
        <f>IFERROR(__xludf.DUMMYFUNCTION("""COMPUTED_VALUE"""),7.0)</f>
        <v>7</v>
      </c>
      <c r="J762" s="10">
        <f>IFERROR(__xludf.DUMMYFUNCTION("""COMPUTED_VALUE"""),3.0)</f>
        <v>3</v>
      </c>
      <c r="K762" s="10">
        <f>IFERROR(__xludf.DUMMYFUNCTION("""COMPUTED_VALUE"""),7.0)</f>
        <v>7</v>
      </c>
      <c r="L762" s="10">
        <f>IFERROR(__xludf.DUMMYFUNCTION("""COMPUTED_VALUE"""),0.0)</f>
        <v>0</v>
      </c>
      <c r="M762" s="10">
        <f>IFERROR(__xludf.DUMMYFUNCTION("""COMPUTED_VALUE"""),4.0)</f>
        <v>4</v>
      </c>
      <c r="N762" s="10">
        <f>IFERROR(__xludf.DUMMYFUNCTION("""COMPUTED_VALUE"""),0.0)</f>
        <v>0</v>
      </c>
      <c r="O762" s="10">
        <f>IFERROR(__xludf.DUMMYFUNCTION("""COMPUTED_VALUE"""),1.0)</f>
        <v>1</v>
      </c>
      <c r="P762" s="10">
        <f>IFERROR(__xludf.DUMMYFUNCTION("""COMPUTED_VALUE"""),0.0)</f>
        <v>0</v>
      </c>
      <c r="Q762" s="10" t="str">
        <f>IFERROR(__xludf.DUMMYFUNCTION("""COMPUTED_VALUE"""),"No")</f>
        <v>No</v>
      </c>
      <c r="R762" s="10" t="str">
        <f>IFERROR(__xludf.DUMMYFUNCTION("""COMPUTED_VALUE"""),"No")</f>
        <v>No</v>
      </c>
      <c r="S762" s="10" t="str">
        <f>IFERROR(__xludf.DUMMYFUNCTION("""COMPUTED_VALUE"""),"No")</f>
        <v>No</v>
      </c>
      <c r="T762" s="10">
        <f>IFERROR(__xludf.DUMMYFUNCTION("""COMPUTED_VALUE"""),0.0)</f>
        <v>0</v>
      </c>
      <c r="U762" s="10">
        <f>IFERROR(__xludf.DUMMYFUNCTION("""COMPUTED_VALUE"""),0.0)</f>
        <v>0</v>
      </c>
      <c r="V762" s="10" t="str">
        <f>IFERROR(__xludf.DUMMYFUNCTION("""COMPUTED_VALUE"""),"اسلام میں عورتوں کے یتیموں کے اور بیوہ کےحقوق")</f>
        <v>اسلام میں عورتوں کے یتیموں کے اور بیوہ کےحقوق</v>
      </c>
      <c r="W762" s="10" t="str">
        <f>IFERROR(__xludf.DUMMYFUNCTION("""COMPUTED_VALUE"""),"امام نے اپنے بیان میں عورتوں کے یتیموں کے اور بیوہ کے حقوق کی تفصیل بیان کی ہے اور امام نے یہ بیان کیا ہے کہ جو بھی مرد ہو یا عورت ہو نیک اعمال کریں گے تو جنت میں جائیں گےاور حضور پاک صلی اللہ علیہ والہ وسلم نے فرمایا کہ بیویوں کے ساتھ حسن سلوک کرو میں اس"&amp;" کے لیے بہترین مثال ہوں اور نبی پاک صلی اللہ علیہ والہ وسلم کو مسواک بہت پسند تھی أس کا ذکر کیا گیا اور نبی پاک صلی اللہ علیہ والہ وسلم نے فرمایا کہ بہترین صدقہ یہ ہے کہ اپنی بیوہ بہن یا بیٹی کی مدد کرو اور حضور پاک صلی اللہ علیہ والہ وسلم نے فرمایا کہ می"&amp;"رے دل میں تین طرح کی محبت ڈالی گئی اور اپنی اولاد میں جب کوئی عطیات تقسیم کرو تو ان میں برابری کرو بیٹا اور بیٹی میں فرق نہ کرو")</f>
        <v>امام نے اپنے بیان میں عورتوں کے یتیموں کے اور بیوہ کے حقوق کی تفصیل بیان کی ہے اور امام نے یہ بیان کیا ہے کہ جو بھی مرد ہو یا عورت ہو نیک اعمال کریں گے تو جنت میں جائیں گےاور حضور پاک صلی اللہ علیہ والہ وسلم نے فرمایا کہ بیویوں کے ساتھ حسن سلوک کرو میں اس کے لیے بہترین مثال ہوں اور نبی پاک صلی اللہ علیہ والہ وسلم کو مسواک بہت پسند تھی أس کا ذکر کیا گیا اور نبی پاک صلی اللہ علیہ والہ وسلم نے فرمایا کہ بہترین صدقہ یہ ہے کہ اپنی بیوہ بہن یا بیٹی کی مدد کرو اور حضور پاک صلی اللہ علیہ والہ وسلم نے فرمایا کہ میرے دل میں تین طرح کی محبت ڈالی گئی اور اپنی اولاد میں جب کوئی عطیات تقسیم کرو تو ان میں برابری کرو بیٹا اور بیٹی میں فرق نہ کرو</v>
      </c>
      <c r="X762" s="10">
        <f>IFERROR(__xludf.DUMMYFUNCTION("""COMPUTED_VALUE"""),3.0)</f>
        <v>3</v>
      </c>
      <c r="Y762" s="10">
        <f>IFERROR(__xludf.DUMMYFUNCTION("""COMPUTED_VALUE"""),4.0)</f>
        <v>4</v>
      </c>
      <c r="Z762" s="10">
        <f>IFERROR(__xludf.DUMMYFUNCTION("""COMPUTED_VALUE"""),1.0)</f>
        <v>1</v>
      </c>
      <c r="AA762" s="10">
        <f>IFERROR(__xludf.DUMMYFUNCTION("""COMPUTED_VALUE"""),8.0)</f>
        <v>8</v>
      </c>
      <c r="AB762" s="10">
        <f>IFERROR(__xludf.DUMMYFUNCTION("""COMPUTED_VALUE"""),6.0)</f>
        <v>6</v>
      </c>
      <c r="AC762" s="10">
        <f>IFERROR(__xludf.DUMMYFUNCTION("""COMPUTED_VALUE"""),0.0)</f>
        <v>0</v>
      </c>
      <c r="AD762" s="10">
        <f>IFERROR(__xludf.DUMMYFUNCTION("""COMPUTED_VALUE"""),0.0)</f>
        <v>0</v>
      </c>
      <c r="AE762" s="10">
        <f>IFERROR(__xludf.DUMMYFUNCTION("""COMPUTED_VALUE"""),2.0)</f>
        <v>2</v>
      </c>
      <c r="AF762" s="10">
        <f>IFERROR(__xludf.DUMMYFUNCTION("""COMPUTED_VALUE"""),6.0)</f>
        <v>6</v>
      </c>
      <c r="AG762" s="10">
        <f>IFERROR(__xludf.DUMMYFUNCTION("""COMPUTED_VALUE"""),8.0)</f>
        <v>8</v>
      </c>
      <c r="AH762" s="10">
        <f>IFERROR(__xludf.DUMMYFUNCTION("""COMPUTED_VALUE"""),0.0)</f>
        <v>0</v>
      </c>
      <c r="AI762" s="10">
        <f>IFERROR(__xludf.DUMMYFUNCTION("""COMPUTED_VALUE"""),8.0)</f>
        <v>8</v>
      </c>
      <c r="AJ762" s="11" t="str">
        <f>IFERROR(__xludf.DUMMYFUNCTION("""COMPUTED_VALUE"""),"https://drive.google.com/open?id=1Xjdhj4fIROd-u4HXQkpRLhnwYm0jWarzQLbZDOX57H8")</f>
        <v>https://drive.google.com/open?id=1Xjdhj4fIROd-u4HXQkpRLhnwYm0jWarzQLbZDOX57H8</v>
      </c>
      <c r="AK762" s="12" t="str">
        <f>IFERROR(__xludf.DUMMYFUNCTION("""COMPUTED_VALUE"""),"No")</f>
        <v>No</v>
      </c>
      <c r="AL762" s="12" t="str">
        <f>IFERROR(__xludf.DUMMYFUNCTION("""COMPUTED_VALUE"""),"Yes")</f>
        <v>Yes</v>
      </c>
      <c r="AM762" s="15">
        <f>IFERROR(__xludf.DUMMYFUNCTION("""COMPUTED_VALUE"""),0.3)</f>
        <v>0.3</v>
      </c>
      <c r="AN762" s="12" t="str">
        <f>IFERROR(__xludf.DUMMYFUNCTION("""COMPUTED_VALUE"""),"1st week")</f>
        <v>1st week</v>
      </c>
      <c r="AO762" s="13">
        <v>1.0</v>
      </c>
      <c r="AX762" s="17"/>
    </row>
    <row r="763">
      <c r="B763" s="9">
        <f>IFERROR(__xludf.DUMMYFUNCTION("""COMPUTED_VALUE"""),45959.11125347222)</f>
        <v>45959.11125</v>
      </c>
      <c r="C763" s="10" t="str">
        <f>IFERROR(__xludf.DUMMYFUNCTION("""COMPUTED_VALUE"""),"Saira Shahzad ")</f>
        <v>Saira Shahzad </v>
      </c>
      <c r="D763" s="10" t="str">
        <f>IFERROR(__xludf.DUMMYFUNCTION("""COMPUTED_VALUE"""),"03114534696")</f>
        <v>03114534696</v>
      </c>
      <c r="E763" s="10" t="str">
        <f>IFERROR(__xludf.DUMMYFUNCTION("""COMPUTED_VALUE"""),"Jamia Masjid Naale Wali Lodhran")</f>
        <v>Jamia Masjid Naale Wali Lodhran</v>
      </c>
      <c r="F763" s="10" t="str">
        <f>IFERROR(__xludf.DUMMYFUNCTION("""COMPUTED_VALUE"""),"xdbpy")</f>
        <v>xdbpy</v>
      </c>
      <c r="G763" s="10" t="str">
        <f>IFERROR(__xludf.DUMMYFUNCTION("""COMPUTED_VALUE"""),"Yes")</f>
        <v>Yes</v>
      </c>
      <c r="H763" s="10">
        <f>IFERROR(__xludf.DUMMYFUNCTION("""COMPUTED_VALUE"""),0.0)</f>
        <v>0</v>
      </c>
      <c r="I763" s="10">
        <f>IFERROR(__xludf.DUMMYFUNCTION("""COMPUTED_VALUE"""),10.0)</f>
        <v>10</v>
      </c>
      <c r="J763" s="10">
        <f>IFERROR(__xludf.DUMMYFUNCTION("""COMPUTED_VALUE"""),0.0)</f>
        <v>0</v>
      </c>
      <c r="K763" s="10">
        <f>IFERROR(__xludf.DUMMYFUNCTION("""COMPUTED_VALUE"""),0.0)</f>
        <v>0</v>
      </c>
      <c r="L763" s="10">
        <f>IFERROR(__xludf.DUMMYFUNCTION("""COMPUTED_VALUE"""),0.0)</f>
        <v>0</v>
      </c>
      <c r="M763" s="10">
        <f>IFERROR(__xludf.DUMMYFUNCTION("""COMPUTED_VALUE"""),0.0)</f>
        <v>0</v>
      </c>
      <c r="N763" s="10">
        <f>IFERROR(__xludf.DUMMYFUNCTION("""COMPUTED_VALUE"""),0.0)</f>
        <v>0</v>
      </c>
      <c r="O763" s="10">
        <f>IFERROR(__xludf.DUMMYFUNCTION("""COMPUTED_VALUE"""),0.0)</f>
        <v>0</v>
      </c>
      <c r="P763" s="10">
        <f>IFERROR(__xludf.DUMMYFUNCTION("""COMPUTED_VALUE"""),0.0)</f>
        <v>0</v>
      </c>
      <c r="Q763" s="10" t="str">
        <f>IFERROR(__xludf.DUMMYFUNCTION("""COMPUTED_VALUE"""),"No")</f>
        <v>No</v>
      </c>
      <c r="R763" s="10" t="str">
        <f>IFERROR(__xludf.DUMMYFUNCTION("""COMPUTED_VALUE"""),"No")</f>
        <v>No</v>
      </c>
      <c r="S763" s="10" t="str">
        <f>IFERROR(__xludf.DUMMYFUNCTION("""COMPUTED_VALUE"""),"No")</f>
        <v>No</v>
      </c>
      <c r="T763" s="10">
        <f>IFERROR(__xludf.DUMMYFUNCTION("""COMPUTED_VALUE"""),0.0)</f>
        <v>0</v>
      </c>
      <c r="U763" s="10">
        <f>IFERROR(__xludf.DUMMYFUNCTION("""COMPUTED_VALUE"""),0.0)</f>
        <v>0</v>
      </c>
      <c r="V763" s="10" t="str">
        <f>IFERROR(__xludf.DUMMYFUNCTION("""COMPUTED_VALUE"""),"حضور پاک صلی اللہ علیہ والہ وسلم کی عظمت و شان")</f>
        <v>حضور پاک صلی اللہ علیہ والہ وسلم کی عظمت و شان</v>
      </c>
      <c r="W763" s="10" t="str">
        <f>IFERROR(__xludf.DUMMYFUNCTION("""COMPUTED_VALUE"""),"امام نے اپنے بیان میں قرآن پاک میں جو حضور پاک صلی اللہ علیہ والہ وسلم کی شان اور ان کی عظمت بیان کی ہے اس پر تفصیل سے خطبہ دیا ہے اور لوگوں کو کہا ہے کہ اپنے ملک کے لیے دعا کریں نبی پاک صلی اللہ علیہ والہ وسلم بے شک آخری نبی تھے لیکن آپ کو سب سے پہلے بنا"&amp;"یا گیا اور قرآن پاک کی 114 سورتیں ہیں لیکن اللہ تعالی نے زیادہ تر سورۃ یاسین اور اور سورت طہ کا ذکر کیا کیونکہ یہ اللہ کے پیارے حبیب کے نام سے ہیں اور حق مہر ادا کرنے کا بھی حکم دیا گیا")</f>
        <v>امام نے اپنے بیان میں قرآن پاک میں جو حضور پاک صلی اللہ علیہ والہ وسلم کی شان اور ان کی عظمت بیان کی ہے اس پر تفصیل سے خطبہ دیا ہے اور لوگوں کو کہا ہے کہ اپنے ملک کے لیے دعا کریں نبی پاک صلی اللہ علیہ والہ وسلم بے شک آخری نبی تھے لیکن آپ کو سب سے پہلے بنایا گیا اور قرآن پاک کی 114 سورتیں ہیں لیکن اللہ تعالی نے زیادہ تر سورۃ یاسین اور اور سورت طہ کا ذکر کیا کیونکہ یہ اللہ کے پیارے حبیب کے نام سے ہیں اور حق مہر ادا کرنے کا بھی حکم دیا گیا</v>
      </c>
      <c r="X763" s="10">
        <f>IFERROR(__xludf.DUMMYFUNCTION("""COMPUTED_VALUE"""),1.0)</f>
        <v>1</v>
      </c>
      <c r="Y763" s="10">
        <f>IFERROR(__xludf.DUMMYFUNCTION("""COMPUTED_VALUE"""),1.0)</f>
        <v>1</v>
      </c>
      <c r="Z763" s="10">
        <f>IFERROR(__xludf.DUMMYFUNCTION("""COMPUTED_VALUE"""),4.0)</f>
        <v>4</v>
      </c>
      <c r="AA763" s="10">
        <f>IFERROR(__xludf.DUMMYFUNCTION("""COMPUTED_VALUE"""),8.0)</f>
        <v>8</v>
      </c>
      <c r="AB763" s="10">
        <f>IFERROR(__xludf.DUMMYFUNCTION("""COMPUTED_VALUE"""),4.0)</f>
        <v>4</v>
      </c>
      <c r="AC763" s="10">
        <f>IFERROR(__xludf.DUMMYFUNCTION("""COMPUTED_VALUE"""),0.0)</f>
        <v>0</v>
      </c>
      <c r="AD763" s="10">
        <f>IFERROR(__xludf.DUMMYFUNCTION("""COMPUTED_VALUE"""),0.0)</f>
        <v>0</v>
      </c>
      <c r="AE763" s="10">
        <f>IFERROR(__xludf.DUMMYFUNCTION("""COMPUTED_VALUE"""),2.0)</f>
        <v>2</v>
      </c>
      <c r="AF763" s="10">
        <f>IFERROR(__xludf.DUMMYFUNCTION("""COMPUTED_VALUE"""),6.0)</f>
        <v>6</v>
      </c>
      <c r="AG763" s="10">
        <f>IFERROR(__xludf.DUMMYFUNCTION("""COMPUTED_VALUE"""),7.0)</f>
        <v>7</v>
      </c>
      <c r="AH763" s="10">
        <f>IFERROR(__xludf.DUMMYFUNCTION("""COMPUTED_VALUE"""),0.0)</f>
        <v>0</v>
      </c>
      <c r="AI763" s="10">
        <f>IFERROR(__xludf.DUMMYFUNCTION("""COMPUTED_VALUE"""),7.0)</f>
        <v>7</v>
      </c>
      <c r="AJ763" s="11" t="str">
        <f>IFERROR(__xludf.DUMMYFUNCTION("""COMPUTED_VALUE"""),"https://drive.google.com/open?id=16PKko4UVV2BdS_iB8DyJ8CsnQUxyqhhVhLXq7Iz_QKE")</f>
        <v>https://drive.google.com/open?id=16PKko4UVV2BdS_iB8DyJ8CsnQUxyqhhVhLXq7Iz_QKE</v>
      </c>
      <c r="AK763" s="12" t="str">
        <f>IFERROR(__xludf.DUMMYFUNCTION("""COMPUTED_VALUE"""),"No")</f>
        <v>No</v>
      </c>
      <c r="AL763" s="12" t="str">
        <f>IFERROR(__xludf.DUMMYFUNCTION("""COMPUTED_VALUE"""),"Yes")</f>
        <v>Yes</v>
      </c>
      <c r="AM763" s="15">
        <f>IFERROR(__xludf.DUMMYFUNCTION("""COMPUTED_VALUE"""),0.0)</f>
        <v>0</v>
      </c>
      <c r="AN763" s="12" t="str">
        <f>IFERROR(__xludf.DUMMYFUNCTION("""COMPUTED_VALUE"""),"4th week")</f>
        <v>4th week</v>
      </c>
      <c r="AO763" s="13">
        <v>4.0</v>
      </c>
      <c r="AX763" s="17"/>
    </row>
    <row r="764">
      <c r="B764" s="9">
        <f>IFERROR(__xludf.DUMMYFUNCTION("""COMPUTED_VALUE"""),45959.18250415509)</f>
        <v>45959.1825</v>
      </c>
      <c r="C764" s="10" t="str">
        <f>IFERROR(__xludf.DUMMYFUNCTION("""COMPUTED_VALUE"""),"Atiqa ")</f>
        <v>Atiqa </v>
      </c>
      <c r="D764" s="10" t="str">
        <f>IFERROR(__xludf.DUMMYFUNCTION("""COMPUTED_VALUE"""),"03157519977")</f>
        <v>03157519977</v>
      </c>
      <c r="E764" s="10" t="str">
        <f>IFERROR(__xludf.DUMMYFUNCTION("""COMPUTED_VALUE"""),"Jamia Masjid Madini Samnabad Faisalabad")</f>
        <v>Jamia Masjid Madini Samnabad Faisalabad</v>
      </c>
      <c r="F764" s="10" t="str">
        <f>IFERROR(__xludf.DUMMYFUNCTION("""COMPUTED_VALUE"""),"rwyui")</f>
        <v>rwyui</v>
      </c>
      <c r="G764" s="10" t="str">
        <f>IFERROR(__xludf.DUMMYFUNCTION("""COMPUTED_VALUE"""),"Yes")</f>
        <v>Yes</v>
      </c>
      <c r="H764" s="10">
        <f>IFERROR(__xludf.DUMMYFUNCTION("""COMPUTED_VALUE"""),8.0)</f>
        <v>8</v>
      </c>
      <c r="I764" s="10">
        <f>IFERROR(__xludf.DUMMYFUNCTION("""COMPUTED_VALUE"""),2.0)</f>
        <v>2</v>
      </c>
      <c r="J764" s="10">
        <f>IFERROR(__xludf.DUMMYFUNCTION("""COMPUTED_VALUE"""),10.0)</f>
        <v>10</v>
      </c>
      <c r="K764" s="10">
        <f>IFERROR(__xludf.DUMMYFUNCTION("""COMPUTED_VALUE"""),9.0)</f>
        <v>9</v>
      </c>
      <c r="L764" s="10">
        <f>IFERROR(__xludf.DUMMYFUNCTION("""COMPUTED_VALUE"""),0.0)</f>
        <v>0</v>
      </c>
      <c r="M764" s="10">
        <f>IFERROR(__xludf.DUMMYFUNCTION("""COMPUTED_VALUE"""),7.0)</f>
        <v>7</v>
      </c>
      <c r="N764" s="10">
        <f>IFERROR(__xludf.DUMMYFUNCTION("""COMPUTED_VALUE"""),0.0)</f>
        <v>0</v>
      </c>
      <c r="O764" s="10">
        <f>IFERROR(__xludf.DUMMYFUNCTION("""COMPUTED_VALUE"""),7.0)</f>
        <v>7</v>
      </c>
      <c r="P764" s="10">
        <f>IFERROR(__xludf.DUMMYFUNCTION("""COMPUTED_VALUE"""),0.0)</f>
        <v>0</v>
      </c>
      <c r="Q764" s="10" t="str">
        <f>IFERROR(__xludf.DUMMYFUNCTION("""COMPUTED_VALUE"""),"Yes")</f>
        <v>Yes</v>
      </c>
      <c r="R764" s="10" t="str">
        <f>IFERROR(__xludf.DUMMYFUNCTION("""COMPUTED_VALUE"""),"No")</f>
        <v>No</v>
      </c>
      <c r="S764" s="10" t="str">
        <f>IFERROR(__xludf.DUMMYFUNCTION("""COMPUTED_VALUE"""),"Yes")</f>
        <v>Yes</v>
      </c>
      <c r="T764" s="10">
        <f>IFERROR(__xludf.DUMMYFUNCTION("""COMPUTED_VALUE"""),0.0)</f>
        <v>0</v>
      </c>
      <c r="U764" s="10">
        <f>IFERROR(__xludf.DUMMYFUNCTION("""COMPUTED_VALUE"""),0.0)</f>
        <v>0</v>
      </c>
      <c r="V764" s="10" t="str">
        <f>IFERROR(__xludf.DUMMYFUNCTION("""COMPUTED_VALUE"""),"۱۔ عبدالقادر جیلانی رحمت اللہ علیہ کی کرامات ۲۔ اسلام میں عورت کا مقام کردار اور حق ")</f>
        <v>۱۔ عبدالقادر جیلانی رحمت اللہ علیہ کی کرامات ۲۔ اسلام میں عورت کا مقام کردار اور حق </v>
      </c>
      <c r="W764" s="10" t="str">
        <f>IFERROR(__xludf.DUMMYFUNCTION("""COMPUTED_VALUE"""),"امام نے عبدالقادر جیلانی رحمت اللہ کی کرامات بیان کی وہ مسجد میں درس و تدریس کا کام کرتے ، اور اللہ نے ان کے علم میں اتنی وسعت عطا کی کہ 70 ہزار کا مجمع ان کا جمعہ کا خطبہ سننے کے لیے انا اور اپ رحمت اللہ کا اپنی کرامات سے ان کی کیفیت کو جاننا  ، اپ رحمت "&amp;"اللہ علیہ کا اپنی کرامات سے طاعون کی بیماری کا علاج بتانا ، اسلام میں عورت کا  ماں بہن بیوی بیٹی کے طور پر مقام و مرتبہ قران و حدیث سے بتایا گیا ، بی بی شم اپ صلی اللہ علیہ وسلم کی رضائی بیر خان شیما کا قیدی کے طور پر حاضر ہونا اور اپ صلی اللہ علیہ وسلم ک"&amp;"ا اسے مقام و مرتبہ دینا بیان کیا، مردوں کی طرح عورتوں کو بھی تعلیم دلوانے کا کہا گیا ")</f>
        <v>امام نے عبدالقادر جیلانی رحمت اللہ کی کرامات بیان کی وہ مسجد میں درس و تدریس کا کام کرتے ، اور اللہ نے ان کے علم میں اتنی وسعت عطا کی کہ 70 ہزار کا مجمع ان کا جمعہ کا خطبہ سننے کے لیے انا اور اپ رحمت اللہ کا اپنی کرامات سے ان کی کیفیت کو جاننا  ، اپ رحمت اللہ علیہ کا اپنی کرامات سے طاعون کی بیماری کا علاج بتانا ، اسلام میں عورت کا  ماں بہن بیوی بیٹی کے طور پر مقام و مرتبہ قران و حدیث سے بتایا گیا ، بی بی شم اپ صلی اللہ علیہ وسلم کی رضائی بیر خان شیما کا قیدی کے طور پر حاضر ہونا اور اپ صلی اللہ علیہ وسلم کا اسے مقام و مرتبہ دینا بیان کیا، مردوں کی طرح عورتوں کو بھی تعلیم دلوانے کا کہا گیا </v>
      </c>
      <c r="X764" s="10">
        <f>IFERROR(__xludf.DUMMYFUNCTION("""COMPUTED_VALUE"""),1.0)</f>
        <v>1</v>
      </c>
      <c r="Y764" s="10">
        <f>IFERROR(__xludf.DUMMYFUNCTION("""COMPUTED_VALUE"""),9.0)</f>
        <v>9</v>
      </c>
      <c r="Z764" s="10">
        <f>IFERROR(__xludf.DUMMYFUNCTION("""COMPUTED_VALUE"""),7.0)</f>
        <v>7</v>
      </c>
      <c r="AA764" s="10">
        <f>IFERROR(__xludf.DUMMYFUNCTION("""COMPUTED_VALUE"""),8.0)</f>
        <v>8</v>
      </c>
      <c r="AB764" s="10">
        <f>IFERROR(__xludf.DUMMYFUNCTION("""COMPUTED_VALUE"""),9.0)</f>
        <v>9</v>
      </c>
      <c r="AC764" s="10">
        <f>IFERROR(__xludf.DUMMYFUNCTION("""COMPUTED_VALUE"""),2.0)</f>
        <v>2</v>
      </c>
      <c r="AD764" s="10">
        <f>IFERROR(__xludf.DUMMYFUNCTION("""COMPUTED_VALUE"""),3.0)</f>
        <v>3</v>
      </c>
      <c r="AE764" s="10">
        <f>IFERROR(__xludf.DUMMYFUNCTION("""COMPUTED_VALUE"""),0.0)</f>
        <v>0</v>
      </c>
      <c r="AF764" s="10">
        <f>IFERROR(__xludf.DUMMYFUNCTION("""COMPUTED_VALUE"""),3.0)</f>
        <v>3</v>
      </c>
      <c r="AG764" s="10">
        <f>IFERROR(__xludf.DUMMYFUNCTION("""COMPUTED_VALUE"""),8.0)</f>
        <v>8</v>
      </c>
      <c r="AH764" s="10">
        <f>IFERROR(__xludf.DUMMYFUNCTION("""COMPUTED_VALUE"""),0.0)</f>
        <v>0</v>
      </c>
      <c r="AI764" s="10">
        <f>IFERROR(__xludf.DUMMYFUNCTION("""COMPUTED_VALUE"""),8.0)</f>
        <v>8</v>
      </c>
      <c r="AJ764" s="11" t="str">
        <f>IFERROR(__xludf.DUMMYFUNCTION("""COMPUTED_VALUE"""),"https://drive.google.com/open?id=1sLpNmym_38bQ8IBC33KmBqatOExWDxWoxKnOORAGjic")</f>
        <v>https://drive.google.com/open?id=1sLpNmym_38bQ8IBC33KmBqatOExWDxWoxKnOORAGjic</v>
      </c>
      <c r="AK764" s="12"/>
      <c r="AL764" s="12" t="str">
        <f>IFERROR(__xludf.DUMMYFUNCTION("""COMPUTED_VALUE"""),"Yes")</f>
        <v>Yes</v>
      </c>
      <c r="AM764" s="15">
        <f>IFERROR(__xludf.DUMMYFUNCTION("""COMPUTED_VALUE"""),0.9)</f>
        <v>0.9</v>
      </c>
      <c r="AN764" s="12" t="str">
        <f>IFERROR(__xludf.DUMMYFUNCTION("""COMPUTED_VALUE"""),"1st week")</f>
        <v>1st week</v>
      </c>
      <c r="AO764" s="13">
        <v>1.0</v>
      </c>
      <c r="AX764" s="17"/>
    </row>
    <row r="765">
      <c r="B765" s="9">
        <f>IFERROR(__xludf.DUMMYFUNCTION("""COMPUTED_VALUE"""),45959.37588493056)</f>
        <v>45959.37588</v>
      </c>
      <c r="C765" s="10" t="str">
        <f>IFERROR(__xludf.DUMMYFUNCTION("""COMPUTED_VALUE"""),"Atiqa ")</f>
        <v>Atiqa </v>
      </c>
      <c r="D765" s="10" t="str">
        <f>IFERROR(__xludf.DUMMYFUNCTION("""COMPUTED_VALUE"""),"03157519977")</f>
        <v>03157519977</v>
      </c>
      <c r="E765" s="10" t="str">
        <f>IFERROR(__xludf.DUMMYFUNCTION("""COMPUTED_VALUE"""),"Jamia Masjid Tehseel Wali Kachari Bazar Faisalabad")</f>
        <v>Jamia Masjid Tehseel Wali Kachari Bazar Faisalabad</v>
      </c>
      <c r="F765" s="10" t="str">
        <f>IFERROR(__xludf.DUMMYFUNCTION("""COMPUTED_VALUE"""),"pjygt")</f>
        <v>pjygt</v>
      </c>
      <c r="G765" s="10" t="str">
        <f>IFERROR(__xludf.DUMMYFUNCTION("""COMPUTED_VALUE"""),"Yes")</f>
        <v>Yes</v>
      </c>
      <c r="H765" s="10">
        <f>IFERROR(__xludf.DUMMYFUNCTION("""COMPUTED_VALUE"""),9.0)</f>
        <v>9</v>
      </c>
      <c r="I765" s="10">
        <f>IFERROR(__xludf.DUMMYFUNCTION("""COMPUTED_VALUE"""),1.0)</f>
        <v>1</v>
      </c>
      <c r="J765" s="10">
        <f>IFERROR(__xludf.DUMMYFUNCTION("""COMPUTED_VALUE"""),10.0)</f>
        <v>10</v>
      </c>
      <c r="K765" s="10">
        <f>IFERROR(__xludf.DUMMYFUNCTION("""COMPUTED_VALUE"""),10.0)</f>
        <v>10</v>
      </c>
      <c r="L765" s="10">
        <f>IFERROR(__xludf.DUMMYFUNCTION("""COMPUTED_VALUE"""),0.0)</f>
        <v>0</v>
      </c>
      <c r="M765" s="10">
        <f>IFERROR(__xludf.DUMMYFUNCTION("""COMPUTED_VALUE"""),9.0)</f>
        <v>9</v>
      </c>
      <c r="N765" s="10">
        <f>IFERROR(__xludf.DUMMYFUNCTION("""COMPUTED_VALUE"""),0.0)</f>
        <v>0</v>
      </c>
      <c r="O765" s="10">
        <f>IFERROR(__xludf.DUMMYFUNCTION("""COMPUTED_VALUE"""),8.0)</f>
        <v>8</v>
      </c>
      <c r="P765" s="10">
        <f>IFERROR(__xludf.DUMMYFUNCTION("""COMPUTED_VALUE"""),0.0)</f>
        <v>0</v>
      </c>
      <c r="Q765" s="10" t="str">
        <f>IFERROR(__xludf.DUMMYFUNCTION("""COMPUTED_VALUE"""),"Yes")</f>
        <v>Yes</v>
      </c>
      <c r="R765" s="10" t="str">
        <f>IFERROR(__xludf.DUMMYFUNCTION("""COMPUTED_VALUE"""),"No")</f>
        <v>No</v>
      </c>
      <c r="S765" s="10" t="str">
        <f>IFERROR(__xludf.DUMMYFUNCTION("""COMPUTED_VALUE"""),"Yes")</f>
        <v>Yes</v>
      </c>
      <c r="T765" s="10">
        <f>IFERROR(__xludf.DUMMYFUNCTION("""COMPUTED_VALUE"""),0.0)</f>
        <v>0</v>
      </c>
      <c r="U765" s="10">
        <f>IFERROR(__xludf.DUMMYFUNCTION("""COMPUTED_VALUE"""),0.0)</f>
        <v>0</v>
      </c>
      <c r="V765" s="10" t="str">
        <f>IFERROR(__xludf.DUMMYFUNCTION("""COMPUTED_VALUE"""),"اسلام میں عورت کا مقام کردار اور حق ")</f>
        <v>اسلام میں عورت کا مقام کردار اور حق </v>
      </c>
      <c r="W765" s="10" t="str">
        <f>IFERROR(__xludf.DUMMYFUNCTION("""COMPUTED_VALUE"""),"تمام میں عورت کا مقام مرتبہ ماں ، بہن، بیوی اور  بیٹی کے طور پر بتایا ، اپ صلی اللہ علیہ وسلم کا اپنے رضائی بہن شیما کا احترام کرنا ، بیٹی کا کھڑے ہو کر استقبال کرنا ، کافر حاتم طائی کی بیٹی کا قیدی ہو کر انا اور اپ صلی اللہ علیہ وسلم کا چادر سے سر ڈھانپن"&amp;"ا ، مردوں کی طرح عورتوں کی تعلیم کو بھی لازمی قرار دیا ، صحابیات کا بھی علوم حاصل کرنا حضرت عائشہ رضی اللہ تعالی عنہا کا معلمہ ہونا،   ")</f>
        <v>تمام میں عورت کا مقام مرتبہ ماں ، بہن، بیوی اور  بیٹی کے طور پر بتایا ، اپ صلی اللہ علیہ وسلم کا اپنے رضائی بہن شیما کا احترام کرنا ، بیٹی کا کھڑے ہو کر استقبال کرنا ، کافر حاتم طائی کی بیٹی کا قیدی ہو کر انا اور اپ صلی اللہ علیہ وسلم کا چادر سے سر ڈھانپنا ، مردوں کی طرح عورتوں کی تعلیم کو بھی لازمی قرار دیا ، صحابیات کا بھی علوم حاصل کرنا حضرت عائشہ رضی اللہ تعالی عنہا کا معلمہ ہونا،   </v>
      </c>
      <c r="X765" s="10">
        <f>IFERROR(__xludf.DUMMYFUNCTION("""COMPUTED_VALUE"""),1.0)</f>
        <v>1</v>
      </c>
      <c r="Y765" s="10">
        <f>IFERROR(__xludf.DUMMYFUNCTION("""COMPUTED_VALUE"""),9.0)</f>
        <v>9</v>
      </c>
      <c r="Z765" s="10">
        <f>IFERROR(__xludf.DUMMYFUNCTION("""COMPUTED_VALUE"""),6.0)</f>
        <v>6</v>
      </c>
      <c r="AA765" s="10">
        <f>IFERROR(__xludf.DUMMYFUNCTION("""COMPUTED_VALUE"""),8.0)</f>
        <v>8</v>
      </c>
      <c r="AB765" s="10">
        <f>IFERROR(__xludf.DUMMYFUNCTION("""COMPUTED_VALUE"""),9.0)</f>
        <v>9</v>
      </c>
      <c r="AC765" s="10">
        <f>IFERROR(__xludf.DUMMYFUNCTION("""COMPUTED_VALUE"""),0.0)</f>
        <v>0</v>
      </c>
      <c r="AD765" s="10">
        <f>IFERROR(__xludf.DUMMYFUNCTION("""COMPUTED_VALUE"""),0.0)</f>
        <v>0</v>
      </c>
      <c r="AE765" s="10">
        <f>IFERROR(__xludf.DUMMYFUNCTION("""COMPUTED_VALUE"""),4.0)</f>
        <v>4</v>
      </c>
      <c r="AF765" s="10">
        <f>IFERROR(__xludf.DUMMYFUNCTION("""COMPUTED_VALUE"""),3.0)</f>
        <v>3</v>
      </c>
      <c r="AG765" s="10">
        <f>IFERROR(__xludf.DUMMYFUNCTION("""COMPUTED_VALUE"""),9.0)</f>
        <v>9</v>
      </c>
      <c r="AH765" s="10">
        <f>IFERROR(__xludf.DUMMYFUNCTION("""COMPUTED_VALUE"""),0.0)</f>
        <v>0</v>
      </c>
      <c r="AI765" s="10">
        <f>IFERROR(__xludf.DUMMYFUNCTION("""COMPUTED_VALUE"""),10.0)</f>
        <v>10</v>
      </c>
      <c r="AJ765" s="11" t="str">
        <f>IFERROR(__xludf.DUMMYFUNCTION("""COMPUTED_VALUE"""),"https://drive.google.com/open?id=1t8T_k05AWz37Cq3joeoFcGlbfSnLcqTbB5pX25qt5bo")</f>
        <v>https://drive.google.com/open?id=1t8T_k05AWz37Cq3joeoFcGlbfSnLcqTbB5pX25qt5bo</v>
      </c>
      <c r="AK765" s="12"/>
      <c r="AL765" s="12" t="str">
        <f>IFERROR(__xludf.DUMMYFUNCTION("""COMPUTED_VALUE"""),"Yes")</f>
        <v>Yes</v>
      </c>
      <c r="AM765" s="15">
        <f>IFERROR(__xludf.DUMMYFUNCTION("""COMPUTED_VALUE"""),1.0)</f>
        <v>1</v>
      </c>
      <c r="AN765" s="12" t="str">
        <f>IFERROR(__xludf.DUMMYFUNCTION("""COMPUTED_VALUE"""),"1st week")</f>
        <v>1st week</v>
      </c>
      <c r="AO765" s="13">
        <v>1.0</v>
      </c>
      <c r="AX765" s="17"/>
    </row>
    <row r="766">
      <c r="B766" s="9">
        <f>IFERROR(__xludf.DUMMYFUNCTION("""COMPUTED_VALUE"""),45959.4261134838)</f>
        <v>45959.42611</v>
      </c>
      <c r="C766" s="10" t="str">
        <f>IFERROR(__xludf.DUMMYFUNCTION("""COMPUTED_VALUE"""),"Maham")</f>
        <v>Maham</v>
      </c>
      <c r="D766" s="10" t="str">
        <f>IFERROR(__xludf.DUMMYFUNCTION("""COMPUTED_VALUE"""),"03218118680")</f>
        <v>03218118680</v>
      </c>
      <c r="E766" s="10" t="str">
        <f>IFERROR(__xludf.DUMMYFUNCTION("""COMPUTED_VALUE"""),"Jamia Masjid Darbar Baba Fareed Ul Din pakpattan")</f>
        <v>Jamia Masjid Darbar Baba Fareed Ul Din pakpattan</v>
      </c>
      <c r="F766" s="10" t="str">
        <f>IFERROR(__xludf.DUMMYFUNCTION("""COMPUTED_VALUE"""),"PAQQF")</f>
        <v>PAQQF</v>
      </c>
      <c r="G766" s="10" t="str">
        <f>IFERROR(__xludf.DUMMYFUNCTION("""COMPUTED_VALUE"""),"Yes")</f>
        <v>Yes</v>
      </c>
      <c r="H766" s="10">
        <f>IFERROR(__xludf.DUMMYFUNCTION("""COMPUTED_VALUE"""),0.0)</f>
        <v>0</v>
      </c>
      <c r="I766" s="10">
        <f>IFERROR(__xludf.DUMMYFUNCTION("""COMPUTED_VALUE"""),10.0)</f>
        <v>10</v>
      </c>
      <c r="J766" s="10">
        <f>IFERROR(__xludf.DUMMYFUNCTION("""COMPUTED_VALUE"""),0.0)</f>
        <v>0</v>
      </c>
      <c r="K766" s="10">
        <f>IFERROR(__xludf.DUMMYFUNCTION("""COMPUTED_VALUE"""),0.0)</f>
        <v>0</v>
      </c>
      <c r="L766" s="10">
        <f>IFERROR(__xludf.DUMMYFUNCTION("""COMPUTED_VALUE"""),0.0)</f>
        <v>0</v>
      </c>
      <c r="M766" s="10">
        <f>IFERROR(__xludf.DUMMYFUNCTION("""COMPUTED_VALUE"""),0.0)</f>
        <v>0</v>
      </c>
      <c r="N766" s="10">
        <f>IFERROR(__xludf.DUMMYFUNCTION("""COMPUTED_VALUE"""),0.0)</f>
        <v>0</v>
      </c>
      <c r="O766" s="10">
        <f>IFERROR(__xludf.DUMMYFUNCTION("""COMPUTED_VALUE"""),0.0)</f>
        <v>0</v>
      </c>
      <c r="P766" s="10">
        <f>IFERROR(__xludf.DUMMYFUNCTION("""COMPUTED_VALUE"""),0.0)</f>
        <v>0</v>
      </c>
      <c r="Q766" s="10" t="str">
        <f>IFERROR(__xludf.DUMMYFUNCTION("""COMPUTED_VALUE"""),"No")</f>
        <v>No</v>
      </c>
      <c r="R766" s="10" t="str">
        <f>IFERROR(__xludf.DUMMYFUNCTION("""COMPUTED_VALUE"""),"No")</f>
        <v>No</v>
      </c>
      <c r="S766" s="10" t="str">
        <f>IFERROR(__xludf.DUMMYFUNCTION("""COMPUTED_VALUE"""),"No")</f>
        <v>No</v>
      </c>
      <c r="T766" s="10">
        <f>IFERROR(__xludf.DUMMYFUNCTION("""COMPUTED_VALUE"""),0.0)</f>
        <v>0</v>
      </c>
      <c r="U766" s="10">
        <f>IFERROR(__xludf.DUMMYFUNCTION("""COMPUTED_VALUE"""),0.0)</f>
        <v>0</v>
      </c>
      <c r="V766" s="10" t="str">
        <f>IFERROR(__xludf.DUMMYFUNCTION("""COMPUTED_VALUE"""),"حضرت شیخ عبدالقادر جیلانی رحمۃ اللہ علیہ اور بابا فرید کے واقعات اللہ تعالی کی اطاعت اور اس کے رسول کی اطاعت")</f>
        <v>حضرت شیخ عبدالقادر جیلانی رحمۃ اللہ علیہ اور بابا فرید کے واقعات اللہ تعالی کی اطاعت اور اس کے رسول کی اطاعت</v>
      </c>
      <c r="W766" s="10" t="str">
        <f>IFERROR(__xludf.DUMMYFUNCTION("""COMPUTED_VALUE"""),"حضرت شیخ عبدالقادر جیلانی رحمت اللہ علیہ بابا فرید کے واقعات کو بیان کیا گیا اللہ اور اس کے رسول کی اطاعت کرو حرام سے بچو حلال رزق کھاؤ اور اپنے بچوں کو بھی کھلاؤ جھوٹ سے پرہیز کرو اور سچائی کو اپناؤ")</f>
        <v>حضرت شیخ عبدالقادر جیلانی رحمت اللہ علیہ بابا فرید کے واقعات کو بیان کیا گیا اللہ اور اس کے رسول کی اطاعت کرو حرام سے بچو حلال رزق کھاؤ اور اپنے بچوں کو بھی کھلاؤ جھوٹ سے پرہیز کرو اور سچائی کو اپناؤ</v>
      </c>
      <c r="X766" s="10">
        <f>IFERROR(__xludf.DUMMYFUNCTION("""COMPUTED_VALUE"""),9.0)</f>
        <v>9</v>
      </c>
      <c r="Y766" s="10">
        <f>IFERROR(__xludf.DUMMYFUNCTION("""COMPUTED_VALUE"""),1.0)</f>
        <v>1</v>
      </c>
      <c r="Z766" s="10">
        <f>IFERROR(__xludf.DUMMYFUNCTION("""COMPUTED_VALUE"""),6.0)</f>
        <v>6</v>
      </c>
      <c r="AA766" s="10">
        <f>IFERROR(__xludf.DUMMYFUNCTION("""COMPUTED_VALUE"""),9.0)</f>
        <v>9</v>
      </c>
      <c r="AB766" s="10">
        <f>IFERROR(__xludf.DUMMYFUNCTION("""COMPUTED_VALUE"""),7.0)</f>
        <v>7</v>
      </c>
      <c r="AC766" s="10">
        <f>IFERROR(__xludf.DUMMYFUNCTION("""COMPUTED_VALUE"""),1.0)</f>
        <v>1</v>
      </c>
      <c r="AD766" s="10">
        <f>IFERROR(__xludf.DUMMYFUNCTION("""COMPUTED_VALUE"""),4.0)</f>
        <v>4</v>
      </c>
      <c r="AE766" s="10">
        <f>IFERROR(__xludf.DUMMYFUNCTION("""COMPUTED_VALUE"""),0.0)</f>
        <v>0</v>
      </c>
      <c r="AF766" s="10">
        <f>IFERROR(__xludf.DUMMYFUNCTION("""COMPUTED_VALUE"""),8.0)</f>
        <v>8</v>
      </c>
      <c r="AG766" s="10">
        <f>IFERROR(__xludf.DUMMYFUNCTION("""COMPUTED_VALUE"""),8.0)</f>
        <v>8</v>
      </c>
      <c r="AH766" s="10">
        <f>IFERROR(__xludf.DUMMYFUNCTION("""COMPUTED_VALUE"""),0.0)</f>
        <v>0</v>
      </c>
      <c r="AI766" s="10">
        <f>IFERROR(__xludf.DUMMYFUNCTION("""COMPUTED_VALUE"""),8.0)</f>
        <v>8</v>
      </c>
      <c r="AJ766" s="11" t="str">
        <f>IFERROR(__xludf.DUMMYFUNCTION("""COMPUTED_VALUE"""),"https://drive.google.com/open?id=1fJdHFEIjPkH-zqrOOelM5mhv5oT5aWuR")</f>
        <v>https://drive.google.com/open?id=1fJdHFEIjPkH-zqrOOelM5mhv5oT5aWuR</v>
      </c>
      <c r="AK766" s="12" t="str">
        <f>IFERROR(__xludf.DUMMYFUNCTION("""COMPUTED_VALUE"""),"alot of distortion in audio. ")</f>
        <v>alot of distortion in audio. </v>
      </c>
      <c r="AL766" s="12" t="str">
        <f>IFERROR(__xludf.DUMMYFUNCTION("""COMPUTED_VALUE"""),"Yes")</f>
        <v>Yes</v>
      </c>
      <c r="AM766" s="15">
        <f>IFERROR(__xludf.DUMMYFUNCTION("""COMPUTED_VALUE"""),0.0)</f>
        <v>0</v>
      </c>
      <c r="AN766" s="12" t="str">
        <f>IFERROR(__xludf.DUMMYFUNCTION("""COMPUTED_VALUE"""),"3rd week")</f>
        <v>3rd week</v>
      </c>
      <c r="AO766" s="13">
        <v>3.0</v>
      </c>
      <c r="AX766" s="17"/>
    </row>
    <row r="767">
      <c r="B767" s="9">
        <f>IFERROR(__xludf.DUMMYFUNCTION("""COMPUTED_VALUE"""),45959.472688842594)</f>
        <v>45959.47269</v>
      </c>
      <c r="C767" s="10" t="str">
        <f>IFERROR(__xludf.DUMMYFUNCTION("""COMPUTED_VALUE"""),"Maham")</f>
        <v>Maham</v>
      </c>
      <c r="D767" s="10" t="str">
        <f>IFERROR(__xludf.DUMMYFUNCTION("""COMPUTED_VALUE"""),"03218118680")</f>
        <v>03218118680</v>
      </c>
      <c r="E767" s="10" t="str">
        <f>IFERROR(__xludf.DUMMYFUNCTION("""COMPUTED_VALUE"""),"Jamia Masjid Galah Mandi Arifwala")</f>
        <v>Jamia Masjid Galah Mandi Arifwala</v>
      </c>
      <c r="F767" s="10" t="str">
        <f>IFERROR(__xludf.DUMMYFUNCTION("""COMPUTED_VALUE"""),"EARRA")</f>
        <v>EARRA</v>
      </c>
      <c r="G767" s="10" t="str">
        <f>IFERROR(__xludf.DUMMYFUNCTION("""COMPUTED_VALUE"""),"Yes")</f>
        <v>Yes</v>
      </c>
      <c r="H767" s="10">
        <f>IFERROR(__xludf.DUMMYFUNCTION("""COMPUTED_VALUE"""),10.0)</f>
        <v>10</v>
      </c>
      <c r="I767" s="10">
        <f>IFERROR(__xludf.DUMMYFUNCTION("""COMPUTED_VALUE"""),0.0)</f>
        <v>0</v>
      </c>
      <c r="J767" s="10">
        <f>IFERROR(__xludf.DUMMYFUNCTION("""COMPUTED_VALUE"""),10.0)</f>
        <v>10</v>
      </c>
      <c r="K767" s="10">
        <f>IFERROR(__xludf.DUMMYFUNCTION("""COMPUTED_VALUE"""),10.0)</f>
        <v>10</v>
      </c>
      <c r="L767" s="10">
        <f>IFERROR(__xludf.DUMMYFUNCTION("""COMPUTED_VALUE"""),0.0)</f>
        <v>0</v>
      </c>
      <c r="M767" s="10">
        <f>IFERROR(__xludf.DUMMYFUNCTION("""COMPUTED_VALUE"""),10.0)</f>
        <v>10</v>
      </c>
      <c r="N767" s="10">
        <f>IFERROR(__xludf.DUMMYFUNCTION("""COMPUTED_VALUE"""),0.0)</f>
        <v>0</v>
      </c>
      <c r="O767" s="10">
        <f>IFERROR(__xludf.DUMMYFUNCTION("""COMPUTED_VALUE"""),10.0)</f>
        <v>10</v>
      </c>
      <c r="P767" s="10">
        <f>IFERROR(__xludf.DUMMYFUNCTION("""COMPUTED_VALUE"""),0.0)</f>
        <v>0</v>
      </c>
      <c r="Q767" s="10" t="str">
        <f>IFERROR(__xludf.DUMMYFUNCTION("""COMPUTED_VALUE"""),"Yes")</f>
        <v>Yes</v>
      </c>
      <c r="R767" s="10" t="str">
        <f>IFERROR(__xludf.DUMMYFUNCTION("""COMPUTED_VALUE"""),"No")</f>
        <v>No</v>
      </c>
      <c r="S767" s="10" t="str">
        <f>IFERROR(__xludf.DUMMYFUNCTION("""COMPUTED_VALUE"""),"Yes")</f>
        <v>Yes</v>
      </c>
      <c r="T767" s="10">
        <f>IFERROR(__xludf.DUMMYFUNCTION("""COMPUTED_VALUE"""),0.0)</f>
        <v>0</v>
      </c>
      <c r="U767" s="10">
        <f>IFERROR(__xludf.DUMMYFUNCTION("""COMPUTED_VALUE"""),0.0)</f>
        <v>0</v>
      </c>
      <c r="V767" s="10" t="str">
        <f>IFERROR(__xludf.DUMMYFUNCTION("""COMPUTED_VALUE"""),"عورتوں کے حقوق")</f>
        <v>عورتوں کے حقوق</v>
      </c>
      <c r="W767" s="10" t="str">
        <f>IFERROR(__xludf.DUMMYFUNCTION("""COMPUTED_VALUE"""),"عورتوں کی معاشی سیاسی اقتصادی جنگی حالات میں شرکت")</f>
        <v>عورتوں کی معاشی سیاسی اقتصادی جنگی حالات میں شرکت</v>
      </c>
      <c r="X767" s="10">
        <f>IFERROR(__xludf.DUMMYFUNCTION("""COMPUTED_VALUE"""),0.0)</f>
        <v>0</v>
      </c>
      <c r="Y767" s="10">
        <f>IFERROR(__xludf.DUMMYFUNCTION("""COMPUTED_VALUE"""),10.0)</f>
        <v>10</v>
      </c>
      <c r="Z767" s="10">
        <f>IFERROR(__xludf.DUMMYFUNCTION("""COMPUTED_VALUE"""),8.0)</f>
        <v>8</v>
      </c>
      <c r="AA767" s="10">
        <f>IFERROR(__xludf.DUMMYFUNCTION("""COMPUTED_VALUE"""),10.0)</f>
        <v>10</v>
      </c>
      <c r="AB767" s="10">
        <f>IFERROR(__xludf.DUMMYFUNCTION("""COMPUTED_VALUE"""),8.0)</f>
        <v>8</v>
      </c>
      <c r="AC767" s="10">
        <f>IFERROR(__xludf.DUMMYFUNCTION("""COMPUTED_VALUE"""),5.0)</f>
        <v>5</v>
      </c>
      <c r="AD767" s="10">
        <f>IFERROR(__xludf.DUMMYFUNCTION("""COMPUTED_VALUE"""),6.0)</f>
        <v>6</v>
      </c>
      <c r="AE767" s="10">
        <f>IFERROR(__xludf.DUMMYFUNCTION("""COMPUTED_VALUE"""),0.0)</f>
        <v>0</v>
      </c>
      <c r="AF767" s="10">
        <f>IFERROR(__xludf.DUMMYFUNCTION("""COMPUTED_VALUE"""),2.0)</f>
        <v>2</v>
      </c>
      <c r="AG767" s="10">
        <f>IFERROR(__xludf.DUMMYFUNCTION("""COMPUTED_VALUE"""),8.0)</f>
        <v>8</v>
      </c>
      <c r="AH767" s="10">
        <f>IFERROR(__xludf.DUMMYFUNCTION("""COMPUTED_VALUE"""),0.0)</f>
        <v>0</v>
      </c>
      <c r="AI767" s="10">
        <f>IFERROR(__xludf.DUMMYFUNCTION("""COMPUTED_VALUE"""),9.0)</f>
        <v>9</v>
      </c>
      <c r="AJ767" s="11" t="str">
        <f>IFERROR(__xludf.DUMMYFUNCTION("""COMPUTED_VALUE"""),"https://drive.google.com/open?id=1kt99ZGPuxKZiAW4VrTA5B-SZFmPhm9Dr")</f>
        <v>https://drive.google.com/open?id=1kt99ZGPuxKZiAW4VrTA5B-SZFmPhm9Dr</v>
      </c>
      <c r="AK767" s="12"/>
      <c r="AL767" s="12" t="str">
        <f>IFERROR(__xludf.DUMMYFUNCTION("""COMPUTED_VALUE"""),"Yes")</f>
        <v>Yes</v>
      </c>
      <c r="AM767" s="15">
        <f>IFERROR(__xludf.DUMMYFUNCTION("""COMPUTED_VALUE"""),1.0)</f>
        <v>1</v>
      </c>
      <c r="AN767" s="12" t="str">
        <f>IFERROR(__xludf.DUMMYFUNCTION("""COMPUTED_VALUE"""),"4th week")</f>
        <v>4th week</v>
      </c>
      <c r="AO767" s="13">
        <v>4.0</v>
      </c>
      <c r="AX767" s="17"/>
    </row>
    <row r="768">
      <c r="B768" s="9">
        <f>IFERROR(__xludf.DUMMYFUNCTION("""COMPUTED_VALUE"""),45959.5089125463)</f>
        <v>45959.50891</v>
      </c>
      <c r="C768" s="10" t="str">
        <f>IFERROR(__xludf.DUMMYFUNCTION("""COMPUTED_VALUE"""),"Atiqa")</f>
        <v>Atiqa</v>
      </c>
      <c r="D768" s="10" t="str">
        <f>IFERROR(__xludf.DUMMYFUNCTION("""COMPUTED_VALUE"""),"03157519977")</f>
        <v>03157519977</v>
      </c>
      <c r="E768" s="10" t="str">
        <f>IFERROR(__xludf.DUMMYFUNCTION("""COMPUTED_VALUE"""),"Jamia Masjid Ahle Sunnat Wal Jamaat Garh Maharaja Ahumedpur Sial")</f>
        <v>Jamia Masjid Ahle Sunnat Wal Jamaat Garh Maharaja Ahumedpur Sial</v>
      </c>
      <c r="F768" s="10" t="str">
        <f>IFERROR(__xludf.DUMMYFUNCTION("""COMPUTED_VALUE"""),"glpfo")</f>
        <v>glpfo</v>
      </c>
      <c r="G768" s="10" t="str">
        <f>IFERROR(__xludf.DUMMYFUNCTION("""COMPUTED_VALUE"""),"Yes")</f>
        <v>Yes</v>
      </c>
      <c r="H768" s="10">
        <f>IFERROR(__xludf.DUMMYFUNCTION("""COMPUTED_VALUE"""),6.0)</f>
        <v>6</v>
      </c>
      <c r="I768" s="10">
        <f>IFERROR(__xludf.DUMMYFUNCTION("""COMPUTED_VALUE"""),4.0)</f>
        <v>4</v>
      </c>
      <c r="J768" s="10">
        <f>IFERROR(__xludf.DUMMYFUNCTION("""COMPUTED_VALUE"""),8.0)</f>
        <v>8</v>
      </c>
      <c r="K768" s="10">
        <f>IFERROR(__xludf.DUMMYFUNCTION("""COMPUTED_VALUE"""),8.0)</f>
        <v>8</v>
      </c>
      <c r="L768" s="10">
        <f>IFERROR(__xludf.DUMMYFUNCTION("""COMPUTED_VALUE"""),0.0)</f>
        <v>0</v>
      </c>
      <c r="M768" s="10">
        <f>IFERROR(__xludf.DUMMYFUNCTION("""COMPUTED_VALUE"""),8.0)</f>
        <v>8</v>
      </c>
      <c r="N768" s="10">
        <f>IFERROR(__xludf.DUMMYFUNCTION("""COMPUTED_VALUE"""),0.0)</f>
        <v>0</v>
      </c>
      <c r="O768" s="10">
        <f>IFERROR(__xludf.DUMMYFUNCTION("""COMPUTED_VALUE"""),7.0)</f>
        <v>7</v>
      </c>
      <c r="P768" s="10">
        <f>IFERROR(__xludf.DUMMYFUNCTION("""COMPUTED_VALUE"""),0.0)</f>
        <v>0</v>
      </c>
      <c r="Q768" s="10" t="str">
        <f>IFERROR(__xludf.DUMMYFUNCTION("""COMPUTED_VALUE"""),"No")</f>
        <v>No</v>
      </c>
      <c r="R768" s="10" t="str">
        <f>IFERROR(__xludf.DUMMYFUNCTION("""COMPUTED_VALUE"""),"No")</f>
        <v>No</v>
      </c>
      <c r="S768" s="10" t="str">
        <f>IFERROR(__xludf.DUMMYFUNCTION("""COMPUTED_VALUE"""),"No")</f>
        <v>No</v>
      </c>
      <c r="T768" s="10">
        <f>IFERROR(__xludf.DUMMYFUNCTION("""COMPUTED_VALUE"""),0.0)</f>
        <v>0</v>
      </c>
      <c r="U768" s="10">
        <f>IFERROR(__xludf.DUMMYFUNCTION("""COMPUTED_VALUE"""),0.0)</f>
        <v>0</v>
      </c>
      <c r="V768" s="10" t="str">
        <f>IFERROR(__xludf.DUMMYFUNCTION("""COMPUTED_VALUE"""),"۱۔توفیق الہی ۲۔ اسلام میں عورت کا مقام کردار اور حق ")</f>
        <v>۱۔توفیق الہی ۲۔ اسلام میں عورت کا مقام کردار اور حق </v>
      </c>
      <c r="W768" s="10" t="str">
        <f>IFERROR(__xludf.DUMMYFUNCTION("""COMPUTED_VALUE"""),"""قرانی ایات بیان کی جس میں اللہ کی توفیق حاصل ہونا بیان کیا گیا ، موسی علیہ السلام کا اللہ تعالی سے کوہ طور پر ہم کلام ہونا ، اور موسی علیہ السلام کے ایک امتی کا تنگ دستی سے تنگ انا ، اللہ کا اسے رزق دینا اور اس میں سے خرچ کرنے پر اللہ کا اسے کئی گنا زیا"&amp;"دہ سے نوازنا ،  اللہ جسے توفیق دے گا وہی اس کے گھر میں ا سکے گا ،  قبل از اسلام عورت کے ساتھ کیے جانے والا سلوک بیان کیا بچی کو زندہ دفن کر دینا ، ماؤں کو بازاروں میں بیچ دینا بیویوں کو یوم مخصوص میں گھر سے نکال دینا ، اسلام کی امد سے عورت کو عزت و مقام م"&amp;"لا، ماں کے قدموں کے نیچے جنت قرار دینا اور اس کی زیارت کرنے پر حج و عمرہ کے برابر ثواب عطا ہونا ،  اپ صلی اللہ علیہ وسلم کا اپنی بیٹی فاطمۃ الزہرا رضی اللہ تعالی عنہا کے استقبال کے لیے کھڑے ہوجانا، بیٹی کی پرورش اور تربیت کرنے پر اپ صلی اللہ علیہ وسلم کا "&amp;"ساتھ عطا ہونا ، جنگ حنین کے موقع پر قیدی کی حیثیت سے انے والی اپ صلی اللہ علیہ وسلم کی رضائی بہن شیمہ رضی اللہ تعالی عنہا کو اپ صلی اللہ علیہ والہ وسلم  کا عزت و احترام عطا کرنے کا واقعہ بیان کیا گیا ، بیوی کے متعلق اپ صلی اللہ علیہ وسلم کا  فرمان:  تم می"&amp;"ں سے بہتر وہ ہے جو اپنے گھر والوں سے بہتر اور میں تم سب سے بہتر ہوں، بیٹوں کی طرح بچیوں کی تعلیم کا بھی اہتمام کرنا ۔""
")</f>
        <v>"قرانی ایات بیان کی جس میں اللہ کی توفیق حاصل ہونا بیان کیا گیا ، موسی علیہ السلام کا اللہ تعالی سے کوہ طور پر ہم کلام ہونا ، اور موسی علیہ السلام کے ایک امتی کا تنگ دستی سے تنگ انا ، اللہ کا اسے رزق دینا اور اس میں سے خرچ کرنے پر اللہ کا اسے کئی گنا زیادہ سے نوازنا ،  اللہ جسے توفیق دے گا وہی اس کے گھر میں ا سکے گا ،  قبل از اسلام عورت کے ساتھ کیے جانے والا سلوک بیان کیا بچی کو زندہ دفن کر دینا ، ماؤں کو بازاروں میں بیچ دینا بیویوں کو یوم مخصوص میں گھر سے نکال دینا ، اسلام کی امد سے عورت کو عزت و مقام ملا، ماں کے قدموں کے نیچے جنت قرار دینا اور اس کی زیارت کرنے پر حج و عمرہ کے برابر ثواب عطا ہونا ،  اپ صلی اللہ علیہ وسلم کا اپنی بیٹی فاطمۃ الزہرا رضی اللہ تعالی عنہا کے استقبال کے لیے کھڑے ہوجانا، بیٹی کی پرورش اور تربیت کرنے پر اپ صلی اللہ علیہ وسلم کا ساتھ عطا ہونا ، جنگ حنین کے موقع پر قیدی کی حیثیت سے انے والی اپ صلی اللہ علیہ وسلم کی رضائی بہن شیمہ رضی اللہ تعالی عنہا کو اپ صلی اللہ علیہ والہ وسلم  کا عزت و احترام عطا کرنے کا واقعہ بیان کیا گیا ، بیوی کے متعلق اپ صلی اللہ علیہ وسلم کا  فرمان:  تم میں سے بہتر وہ ہے جو اپنے گھر والوں سے بہتر اور میں تم سب سے بہتر ہوں، بیٹوں کی طرح بچیوں کی تعلیم کا بھی اہتمام کرنا ۔"
</v>
      </c>
      <c r="X768" s="10">
        <f>IFERROR(__xludf.DUMMYFUNCTION("""COMPUTED_VALUE"""),5.0)</f>
        <v>5</v>
      </c>
      <c r="Y768" s="10">
        <f>IFERROR(__xludf.DUMMYFUNCTION("""COMPUTED_VALUE"""),7.0)</f>
        <v>7</v>
      </c>
      <c r="Z768" s="10">
        <f>IFERROR(__xludf.DUMMYFUNCTION("""COMPUTED_VALUE"""),6.0)</f>
        <v>6</v>
      </c>
      <c r="AA768" s="10">
        <f>IFERROR(__xludf.DUMMYFUNCTION("""COMPUTED_VALUE"""),8.0)</f>
        <v>8</v>
      </c>
      <c r="AB768" s="10">
        <f>IFERROR(__xludf.DUMMYFUNCTION("""COMPUTED_VALUE"""),7.0)</f>
        <v>7</v>
      </c>
      <c r="AC768" s="10">
        <f>IFERROR(__xludf.DUMMYFUNCTION("""COMPUTED_VALUE"""),1.0)</f>
        <v>1</v>
      </c>
      <c r="AD768" s="10">
        <f>IFERROR(__xludf.DUMMYFUNCTION("""COMPUTED_VALUE"""),3.0)</f>
        <v>3</v>
      </c>
      <c r="AE768" s="10">
        <f>IFERROR(__xludf.DUMMYFUNCTION("""COMPUTED_VALUE"""),2.0)</f>
        <v>2</v>
      </c>
      <c r="AF768" s="10">
        <f>IFERROR(__xludf.DUMMYFUNCTION("""COMPUTED_VALUE"""),5.0)</f>
        <v>5</v>
      </c>
      <c r="AG768" s="10">
        <f>IFERROR(__xludf.DUMMYFUNCTION("""COMPUTED_VALUE"""),9.0)</f>
        <v>9</v>
      </c>
      <c r="AH768" s="10">
        <f>IFERROR(__xludf.DUMMYFUNCTION("""COMPUTED_VALUE"""),0.0)</f>
        <v>0</v>
      </c>
      <c r="AI768" s="10">
        <f>IFERROR(__xludf.DUMMYFUNCTION("""COMPUTED_VALUE"""),10.0)</f>
        <v>10</v>
      </c>
      <c r="AJ768" s="11" t="str">
        <f>IFERROR(__xludf.DUMMYFUNCTION("""COMPUTED_VALUE"""),"https://drive.google.com/open?id=1F5Es2OsHV1USz12bnRKVArsHOmSaUH8_-ZWBQKwVnUw")</f>
        <v>https://drive.google.com/open?id=1F5Es2OsHV1USz12bnRKVArsHOmSaUH8_-ZWBQKwVnUw</v>
      </c>
      <c r="AK768" s="12"/>
      <c r="AL768" s="12" t="str">
        <f>IFERROR(__xludf.DUMMYFUNCTION("""COMPUTED_VALUE"""),"Yes")</f>
        <v>Yes</v>
      </c>
      <c r="AM768" s="15">
        <f>IFERROR(__xludf.DUMMYFUNCTION("""COMPUTED_VALUE"""),0.7)</f>
        <v>0.7</v>
      </c>
      <c r="AN768" s="12" t="str">
        <f>IFERROR(__xludf.DUMMYFUNCTION("""COMPUTED_VALUE"""),"1st week")</f>
        <v>1st week</v>
      </c>
      <c r="AO768" s="13">
        <v>1.0</v>
      </c>
      <c r="AX768" s="17"/>
    </row>
    <row r="769">
      <c r="B769" s="9">
        <f>IFERROR(__xludf.DUMMYFUNCTION("""COMPUTED_VALUE"""),45959.53952806713)</f>
        <v>45959.53953</v>
      </c>
      <c r="C769" s="10" t="str">
        <f>IFERROR(__xludf.DUMMYFUNCTION("""COMPUTED_VALUE"""),"Maham")</f>
        <v>Maham</v>
      </c>
      <c r="D769" s="10" t="str">
        <f>IFERROR(__xludf.DUMMYFUNCTION("""COMPUTED_VALUE"""),"03218118680")</f>
        <v>03218118680</v>
      </c>
      <c r="E769" s="10" t="str">
        <f>IFERROR(__xludf.DUMMYFUNCTION("""COMPUTED_VALUE"""),"Jamia Masjid Usmanai Gol Chowk Okara")</f>
        <v>Jamia Masjid Usmanai Gol Chowk Okara</v>
      </c>
      <c r="F769" s="10" t="str">
        <f>IFERROR(__xludf.DUMMYFUNCTION("""COMPUTED_VALUE"""),"KGQJV")</f>
        <v>KGQJV</v>
      </c>
      <c r="G769" s="10" t="str">
        <f>IFERROR(__xludf.DUMMYFUNCTION("""COMPUTED_VALUE"""),"Yes")</f>
        <v>Yes</v>
      </c>
      <c r="H769" s="10">
        <f>IFERROR(__xludf.DUMMYFUNCTION("""COMPUTED_VALUE"""),2.0)</f>
        <v>2</v>
      </c>
      <c r="I769" s="10">
        <f>IFERROR(__xludf.DUMMYFUNCTION("""COMPUTED_VALUE"""),8.0)</f>
        <v>8</v>
      </c>
      <c r="J769" s="10">
        <f>IFERROR(__xludf.DUMMYFUNCTION("""COMPUTED_VALUE"""),3.0)</f>
        <v>3</v>
      </c>
      <c r="K769" s="10">
        <f>IFERROR(__xludf.DUMMYFUNCTION("""COMPUTED_VALUE"""),0.0)</f>
        <v>0</v>
      </c>
      <c r="L769" s="10">
        <f>IFERROR(__xludf.DUMMYFUNCTION("""COMPUTED_VALUE"""),3.0)</f>
        <v>3</v>
      </c>
      <c r="M769" s="10">
        <f>IFERROR(__xludf.DUMMYFUNCTION("""COMPUTED_VALUE"""),0.0)</f>
        <v>0</v>
      </c>
      <c r="N769" s="10">
        <f>IFERROR(__xludf.DUMMYFUNCTION("""COMPUTED_VALUE"""),3.0)</f>
        <v>3</v>
      </c>
      <c r="O769" s="10">
        <f>IFERROR(__xludf.DUMMYFUNCTION("""COMPUTED_VALUE"""),0.0)</f>
        <v>0</v>
      </c>
      <c r="P769" s="10">
        <f>IFERROR(__xludf.DUMMYFUNCTION("""COMPUTED_VALUE"""),5.0)</f>
        <v>5</v>
      </c>
      <c r="Q769" s="10" t="str">
        <f>IFERROR(__xludf.DUMMYFUNCTION("""COMPUTED_VALUE"""),"No")</f>
        <v>No</v>
      </c>
      <c r="R769" s="10" t="str">
        <f>IFERROR(__xludf.DUMMYFUNCTION("""COMPUTED_VALUE"""),"Yes")</f>
        <v>Yes</v>
      </c>
      <c r="S769" s="10" t="str">
        <f>IFERROR(__xludf.DUMMYFUNCTION("""COMPUTED_VALUE"""),"No")</f>
        <v>No</v>
      </c>
      <c r="T769" s="10">
        <f>IFERROR(__xludf.DUMMYFUNCTION("""COMPUTED_VALUE"""),0.0)</f>
        <v>0</v>
      </c>
      <c r="U769" s="10">
        <f>IFERROR(__xludf.DUMMYFUNCTION("""COMPUTED_VALUE"""),0.0)</f>
        <v>0</v>
      </c>
      <c r="V769" s="10" t="str">
        <f>IFERROR(__xludf.DUMMYFUNCTION("""COMPUTED_VALUE"""),"قران مجید کی اہمیت اور پڑوسیوں کے حقوق")</f>
        <v>قران مجید کی اہمیت اور پڑوسیوں کے حقوق</v>
      </c>
      <c r="W769" s="10" t="str">
        <f>IFERROR(__xludf.DUMMYFUNCTION("""COMPUTED_VALUE"""),"قران مجید کی تلاوت کی اہمیت کو بیان کیا گیا اور ایک عورت کا واقعہ بیان کیا جو ہر بات کا جواب قران مجید کی ایات سے دیتی تو پڑوسیوں کے حقوق کے متعلق گفتگو کی گئی")</f>
        <v>قران مجید کی تلاوت کی اہمیت کو بیان کیا گیا اور ایک عورت کا واقعہ بیان کیا جو ہر بات کا جواب قران مجید کی ایات سے دیتی تو پڑوسیوں کے حقوق کے متعلق گفتگو کی گئی</v>
      </c>
      <c r="X769" s="10">
        <f>IFERROR(__xludf.DUMMYFUNCTION("""COMPUTED_VALUE"""),8.0)</f>
        <v>8</v>
      </c>
      <c r="Y769" s="10">
        <f>IFERROR(__xludf.DUMMYFUNCTION("""COMPUTED_VALUE"""),5.0)</f>
        <v>5</v>
      </c>
      <c r="Z769" s="10">
        <f>IFERROR(__xludf.DUMMYFUNCTION("""COMPUTED_VALUE"""),4.0)</f>
        <v>4</v>
      </c>
      <c r="AA769" s="10">
        <f>IFERROR(__xludf.DUMMYFUNCTION("""COMPUTED_VALUE"""),9.0)</f>
        <v>9</v>
      </c>
      <c r="AB769" s="10">
        <f>IFERROR(__xludf.DUMMYFUNCTION("""COMPUTED_VALUE"""),6.0)</f>
        <v>6</v>
      </c>
      <c r="AC769" s="10">
        <f>IFERROR(__xludf.DUMMYFUNCTION("""COMPUTED_VALUE"""),1.0)</f>
        <v>1</v>
      </c>
      <c r="AD769" s="10">
        <f>IFERROR(__xludf.DUMMYFUNCTION("""COMPUTED_VALUE"""),2.0)</f>
        <v>2</v>
      </c>
      <c r="AE769" s="10">
        <f>IFERROR(__xludf.DUMMYFUNCTION("""COMPUTED_VALUE"""),0.0)</f>
        <v>0</v>
      </c>
      <c r="AF769" s="10">
        <f>IFERROR(__xludf.DUMMYFUNCTION("""COMPUTED_VALUE"""),6.0)</f>
        <v>6</v>
      </c>
      <c r="AG769" s="10">
        <f>IFERROR(__xludf.DUMMYFUNCTION("""COMPUTED_VALUE"""),8.0)</f>
        <v>8</v>
      </c>
      <c r="AH769" s="10">
        <f>IFERROR(__xludf.DUMMYFUNCTION("""COMPUTED_VALUE"""),0.0)</f>
        <v>0</v>
      </c>
      <c r="AI769" s="10">
        <f>IFERROR(__xludf.DUMMYFUNCTION("""COMPUTED_VALUE"""),9.0)</f>
        <v>9</v>
      </c>
      <c r="AJ769" s="11" t="str">
        <f>IFERROR(__xludf.DUMMYFUNCTION("""COMPUTED_VALUE"""),"https://drive.google.com/open?id=1qD4o2j8zNW4svZwQb8VCb6_qZR-74WWu")</f>
        <v>https://drive.google.com/open?id=1qD4o2j8zNW4svZwQb8VCb6_qZR-74WWu</v>
      </c>
      <c r="AK769" s="12" t="str">
        <f>IFERROR(__xludf.DUMMYFUNCTION("""COMPUTED_VALUE"""),"جو بھی۔۔۔۔۔۔۔۔اس طرح کے نشان لگائے گئے ہیں وہ قرانی ایات ہیں")</f>
        <v>جو بھی۔۔۔۔۔۔۔۔اس طرح کے نشان لگائے گئے ہیں وہ قرانی ایات ہیں</v>
      </c>
      <c r="AL769" s="12" t="str">
        <f>IFERROR(__xludf.DUMMYFUNCTION("""COMPUTED_VALUE"""),"Yes")</f>
        <v>Yes</v>
      </c>
      <c r="AM769" s="15">
        <f>IFERROR(__xludf.DUMMYFUNCTION("""COMPUTED_VALUE"""),0.2)</f>
        <v>0.2</v>
      </c>
      <c r="AN769" s="12" t="str">
        <f>IFERROR(__xludf.DUMMYFUNCTION("""COMPUTED_VALUE"""),"4th week")</f>
        <v>4th week</v>
      </c>
      <c r="AO769" s="13">
        <v>4.0</v>
      </c>
      <c r="AX769" s="17"/>
    </row>
    <row r="770">
      <c r="B770" s="9">
        <f>IFERROR(__xludf.DUMMYFUNCTION("""COMPUTED_VALUE"""),45959.58615079861)</f>
        <v>45959.58615</v>
      </c>
      <c r="C770" s="10" t="str">
        <f>IFERROR(__xludf.DUMMYFUNCTION("""COMPUTED_VALUE"""),"Atiqa")</f>
        <v>Atiqa</v>
      </c>
      <c r="D770" s="10" t="str">
        <f>IFERROR(__xludf.DUMMYFUNCTION("""COMPUTED_VALUE"""),"03157519977")</f>
        <v>03157519977</v>
      </c>
      <c r="E770" s="10" t="str">
        <f>IFERROR(__xludf.DUMMYFUNCTION("""COMPUTED_VALUE"""),"Jamia Masjid Noor Shaheed Road Jhang")</f>
        <v>Jamia Masjid Noor Shaheed Road Jhang</v>
      </c>
      <c r="F770" s="10" t="str">
        <f>IFERROR(__xludf.DUMMYFUNCTION("""COMPUTED_VALUE"""),"fpyze")</f>
        <v>fpyze</v>
      </c>
      <c r="G770" s="10" t="str">
        <f>IFERROR(__xludf.DUMMYFUNCTION("""COMPUTED_VALUE"""),"Yes")</f>
        <v>Yes</v>
      </c>
      <c r="H770" s="10">
        <f>IFERROR(__xludf.DUMMYFUNCTION("""COMPUTED_VALUE"""),7.0)</f>
        <v>7</v>
      </c>
      <c r="I770" s="10">
        <f>IFERROR(__xludf.DUMMYFUNCTION("""COMPUTED_VALUE"""),3.0)</f>
        <v>3</v>
      </c>
      <c r="J770" s="10">
        <f>IFERROR(__xludf.DUMMYFUNCTION("""COMPUTED_VALUE"""),10.0)</f>
        <v>10</v>
      </c>
      <c r="K770" s="10">
        <f>IFERROR(__xludf.DUMMYFUNCTION("""COMPUTED_VALUE"""),0.0)</f>
        <v>0</v>
      </c>
      <c r="L770" s="10">
        <f>IFERROR(__xludf.DUMMYFUNCTION("""COMPUTED_VALUE"""),9.0)</f>
        <v>9</v>
      </c>
      <c r="M770" s="10">
        <f>IFERROR(__xludf.DUMMYFUNCTION("""COMPUTED_VALUE"""),0.0)</f>
        <v>0</v>
      </c>
      <c r="N770" s="10">
        <f>IFERROR(__xludf.DUMMYFUNCTION("""COMPUTED_VALUE"""),8.0)</f>
        <v>8</v>
      </c>
      <c r="O770" s="10">
        <f>IFERROR(__xludf.DUMMYFUNCTION("""COMPUTED_VALUE"""),0.0)</f>
        <v>0</v>
      </c>
      <c r="P770" s="10">
        <f>IFERROR(__xludf.DUMMYFUNCTION("""COMPUTED_VALUE"""),7.0)</f>
        <v>7</v>
      </c>
      <c r="Q770" s="10" t="str">
        <f>IFERROR(__xludf.DUMMYFUNCTION("""COMPUTED_VALUE"""),"No")</f>
        <v>No</v>
      </c>
      <c r="R770" s="10" t="str">
        <f>IFERROR(__xludf.DUMMYFUNCTION("""COMPUTED_VALUE"""),"No")</f>
        <v>No</v>
      </c>
      <c r="S770" s="10" t="str">
        <f>IFERROR(__xludf.DUMMYFUNCTION("""COMPUTED_VALUE"""),"No")</f>
        <v>No</v>
      </c>
      <c r="T770" s="10">
        <f>IFERROR(__xludf.DUMMYFUNCTION("""COMPUTED_VALUE"""),0.0)</f>
        <v>0</v>
      </c>
      <c r="U770" s="10">
        <f>IFERROR(__xludf.DUMMYFUNCTION("""COMPUTED_VALUE"""),0.0)</f>
        <v>0</v>
      </c>
      <c r="V770" s="10" t="str">
        <f>IFERROR(__xludf.DUMMYFUNCTION("""COMPUTED_VALUE""")," اسلام میں پڑوسیوں کے حقوق ")</f>
        <v> اسلام میں پڑوسیوں کے حقوق </v>
      </c>
      <c r="W770" s="10" t="str">
        <f>IFERROR(__xludf.DUMMYFUNCTION("""COMPUTED_VALUE"""),"تمام نے پڑوسیوں کے حقوق کے متعلق بات کرتے ہوئے پڑوسیوں کی تین اقسام بتائیں غیر مسلم پروسی ، رشتہ دار پروسی  اور مسلمان پڑوسی ، پڑوسی کے حقوق میں عیادت کرنا جنازے میں شرکت کرنا قرضہ دینا خوشی اور غمی میں شرکت کرنا بیان کیا اور یہ کہ ہمسائے کو اضا پہچانے وا"&amp;"لے کو روز محشر جوابدہ ہونا پڑے گا ، فائی کا خیال رکھنے کا کہا گیا ")</f>
        <v>تمام نے پڑوسیوں کے حقوق کے متعلق بات کرتے ہوئے پڑوسیوں کی تین اقسام بتائیں غیر مسلم پروسی ، رشتہ دار پروسی  اور مسلمان پڑوسی ، پڑوسی کے حقوق میں عیادت کرنا جنازے میں شرکت کرنا قرضہ دینا خوشی اور غمی میں شرکت کرنا بیان کیا اور یہ کہ ہمسائے کو اضا پہچانے والے کو روز محشر جوابدہ ہونا پڑے گا ، فائی کا خیال رکھنے کا کہا گیا </v>
      </c>
      <c r="X770" s="10">
        <f>IFERROR(__xludf.DUMMYFUNCTION("""COMPUTED_VALUE"""),1.0)</f>
        <v>1</v>
      </c>
      <c r="Y770" s="10">
        <f>IFERROR(__xludf.DUMMYFUNCTION("""COMPUTED_VALUE"""),9.0)</f>
        <v>9</v>
      </c>
      <c r="Z770" s="10">
        <f>IFERROR(__xludf.DUMMYFUNCTION("""COMPUTED_VALUE"""),6.0)</f>
        <v>6</v>
      </c>
      <c r="AA770" s="10">
        <f>IFERROR(__xludf.DUMMYFUNCTION("""COMPUTED_VALUE"""),7.0)</f>
        <v>7</v>
      </c>
      <c r="AB770" s="10">
        <f>IFERROR(__xludf.DUMMYFUNCTION("""COMPUTED_VALUE"""),4.0)</f>
        <v>4</v>
      </c>
      <c r="AC770" s="10">
        <f>IFERROR(__xludf.DUMMYFUNCTION("""COMPUTED_VALUE"""),0.0)</f>
        <v>0</v>
      </c>
      <c r="AD770" s="10">
        <f>IFERROR(__xludf.DUMMYFUNCTION("""COMPUTED_VALUE"""),0.0)</f>
        <v>0</v>
      </c>
      <c r="AE770" s="10">
        <f>IFERROR(__xludf.DUMMYFUNCTION("""COMPUTED_VALUE"""),2.0)</f>
        <v>2</v>
      </c>
      <c r="AF770" s="10">
        <f>IFERROR(__xludf.DUMMYFUNCTION("""COMPUTED_VALUE"""),3.0)</f>
        <v>3</v>
      </c>
      <c r="AG770" s="10">
        <f>IFERROR(__xludf.DUMMYFUNCTION("""COMPUTED_VALUE"""),9.0)</f>
        <v>9</v>
      </c>
      <c r="AH770" s="10">
        <f>IFERROR(__xludf.DUMMYFUNCTION("""COMPUTED_VALUE"""),0.0)</f>
        <v>0</v>
      </c>
      <c r="AI770" s="10">
        <f>IFERROR(__xludf.DUMMYFUNCTION("""COMPUTED_VALUE"""),9.0)</f>
        <v>9</v>
      </c>
      <c r="AJ770" s="11" t="str">
        <f>IFERROR(__xludf.DUMMYFUNCTION("""COMPUTED_VALUE"""),"https://drive.google.com/open?id=1h3ZsO1BggTmgR6oA_W5ymbOJZsQJmnauCsgy0itXkGA")</f>
        <v>https://drive.google.com/open?id=1h3ZsO1BggTmgR6oA_W5ymbOJZsQJmnauCsgy0itXkGA</v>
      </c>
      <c r="AK770" s="12"/>
      <c r="AL770" s="12" t="str">
        <f>IFERROR(__xludf.DUMMYFUNCTION("""COMPUTED_VALUE"""),"Yes")</f>
        <v>Yes</v>
      </c>
      <c r="AM770" s="15">
        <f>IFERROR(__xludf.DUMMYFUNCTION("""COMPUTED_VALUE"""),0.8)</f>
        <v>0.8</v>
      </c>
      <c r="AN770" s="12" t="str">
        <f>IFERROR(__xludf.DUMMYFUNCTION("""COMPUTED_VALUE"""),"1st week")</f>
        <v>1st week</v>
      </c>
      <c r="AO770" s="13">
        <v>1.0</v>
      </c>
      <c r="AX770" s="17"/>
    </row>
    <row r="771">
      <c r="B771" s="9">
        <f>IFERROR(__xludf.DUMMYFUNCTION("""COMPUTED_VALUE"""),45959.591006331015)</f>
        <v>45959.59101</v>
      </c>
      <c r="C771" s="10" t="str">
        <f>IFERROR(__xludf.DUMMYFUNCTION("""COMPUTED_VALUE"""),"Sidra ")</f>
        <v>Sidra </v>
      </c>
      <c r="D771" s="10" t="str">
        <f>IFERROR(__xludf.DUMMYFUNCTION("""COMPUTED_VALUE"""),"03261416280")</f>
        <v>03261416280</v>
      </c>
      <c r="E771" s="10" t="str">
        <f>IFERROR(__xludf.DUMMYFUNCTION("""COMPUTED_VALUE"""),"Jamia Masjid Gaalah Mandi Chichawatni")</f>
        <v>Jamia Masjid Gaalah Mandi Chichawatni</v>
      </c>
      <c r="F771" s="10" t="str">
        <f>IFERROR(__xludf.DUMMYFUNCTION("""COMPUTED_VALUE"""),"YTVOY")</f>
        <v>YTVOY</v>
      </c>
      <c r="G771" s="10" t="str">
        <f>IFERROR(__xludf.DUMMYFUNCTION("""COMPUTED_VALUE"""),"No")</f>
        <v>No</v>
      </c>
      <c r="H771" s="10"/>
      <c r="I771" s="10"/>
      <c r="J771" s="10"/>
      <c r="K771" s="10">
        <f>IFERROR(__xludf.DUMMYFUNCTION("""COMPUTED_VALUE"""),0.0)</f>
        <v>0</v>
      </c>
      <c r="L771" s="10">
        <f>IFERROR(__xludf.DUMMYFUNCTION("""COMPUTED_VALUE"""),0.0)</f>
        <v>0</v>
      </c>
      <c r="M771" s="10">
        <f>IFERROR(__xludf.DUMMYFUNCTION("""COMPUTED_VALUE"""),0.0)</f>
        <v>0</v>
      </c>
      <c r="N771" s="10">
        <f>IFERROR(__xludf.DUMMYFUNCTION("""COMPUTED_VALUE"""),0.0)</f>
        <v>0</v>
      </c>
      <c r="O771" s="10">
        <f>IFERROR(__xludf.DUMMYFUNCTION("""COMPUTED_VALUE"""),0.0)</f>
        <v>0</v>
      </c>
      <c r="P771" s="10">
        <f>IFERROR(__xludf.DUMMYFUNCTION("""COMPUTED_VALUE"""),0.0)</f>
        <v>0</v>
      </c>
      <c r="Q771" s="10" t="str">
        <f>IFERROR(__xludf.DUMMYFUNCTION("""COMPUTED_VALUE"""),"No")</f>
        <v>No</v>
      </c>
      <c r="R771" s="10" t="str">
        <f>IFERROR(__xludf.DUMMYFUNCTION("""COMPUTED_VALUE"""),"No")</f>
        <v>No</v>
      </c>
      <c r="S771" s="10" t="str">
        <f>IFERROR(__xludf.DUMMYFUNCTION("""COMPUTED_VALUE"""),"No")</f>
        <v>No</v>
      </c>
      <c r="T771" s="10">
        <f>IFERROR(__xludf.DUMMYFUNCTION("""COMPUTED_VALUE"""),0.0)</f>
        <v>0</v>
      </c>
      <c r="U771" s="10">
        <f>IFERROR(__xludf.DUMMYFUNCTION("""COMPUTED_VALUE"""),0.0)</f>
        <v>0</v>
      </c>
      <c r="V771" s="10" t="str">
        <f>IFERROR(__xludf.DUMMYFUNCTION("""COMPUTED_VALUE"""),"تاریخی واقعات کا ذکر ")</f>
        <v>تاریخی واقعات کا ذکر </v>
      </c>
      <c r="W771" s="10" t="str">
        <f>IFERROR(__xludf.DUMMYFUNCTION("""COMPUTED_VALUE"""),"امام نے بیان میں بتایا ہے کہ ماہرین کا کہنا ہے کہ تاریخ میں دو عالمی جنگیں ہوئی ہیں لیکن اب جو نظر آرہا ہے اگر حالات ایسے ہی رہے تو تیسری عالمی جنگ بھی نزدیک ہی ہے اس کے علاوہ امام نے بتایا کہ بنی اسرائیل جو کہ یہودیوں کا ملک ہے وہ تاریخ میں بھی ظلم و ستم"&amp;" کرتے تھے اور انہوں نے اسلام سے پہلے 40 انبیاء کرام کو شہید کیا اور وہ اپنی تعداد کو بڑھانے کے لیے آہستہ آہستہ مختلف ممالکوں پر حملہ کر کے ان پر قبضہ کرتے تھے آج کے دور کے مطابق ان کی تعداد چھ گنا زیادہ بڑھ چکی ہے بنی اسرائیل قانون کا احترام نہیں کرتے تھے"&amp;"۔ ")</f>
        <v>امام نے بیان میں بتایا ہے کہ ماہرین کا کہنا ہے کہ تاریخ میں دو عالمی جنگیں ہوئی ہیں لیکن اب جو نظر آرہا ہے اگر حالات ایسے ہی رہے تو تیسری عالمی جنگ بھی نزدیک ہی ہے اس کے علاوہ امام نے بتایا کہ بنی اسرائیل جو کہ یہودیوں کا ملک ہے وہ تاریخ میں بھی ظلم و ستم کرتے تھے اور انہوں نے اسلام سے پہلے 40 انبیاء کرام کو شہید کیا اور وہ اپنی تعداد کو بڑھانے کے لیے آہستہ آہستہ مختلف ممالکوں پر حملہ کر کے ان پر قبضہ کرتے تھے آج کے دور کے مطابق ان کی تعداد چھ گنا زیادہ بڑھ چکی ہے بنی اسرائیل قانون کا احترام نہیں کرتے تھے۔ </v>
      </c>
      <c r="X771" s="10">
        <f>IFERROR(__xludf.DUMMYFUNCTION("""COMPUTED_VALUE"""),0.0)</f>
        <v>0</v>
      </c>
      <c r="Y771" s="10">
        <f>IFERROR(__xludf.DUMMYFUNCTION("""COMPUTED_VALUE"""),8.0)</f>
        <v>8</v>
      </c>
      <c r="Z771" s="10">
        <f>IFERROR(__xludf.DUMMYFUNCTION("""COMPUTED_VALUE"""),8.0)</f>
        <v>8</v>
      </c>
      <c r="AA771" s="10">
        <f>IFERROR(__xludf.DUMMYFUNCTION("""COMPUTED_VALUE"""),6.0)</f>
        <v>6</v>
      </c>
      <c r="AB771" s="10">
        <f>IFERROR(__xludf.DUMMYFUNCTION("""COMPUTED_VALUE"""),9.0)</f>
        <v>9</v>
      </c>
      <c r="AC771" s="10">
        <f>IFERROR(__xludf.DUMMYFUNCTION("""COMPUTED_VALUE"""),4.0)</f>
        <v>4</v>
      </c>
      <c r="AD771" s="10">
        <f>IFERROR(__xludf.DUMMYFUNCTION("""COMPUTED_VALUE"""),0.0)</f>
        <v>0</v>
      </c>
      <c r="AE771" s="10">
        <f>IFERROR(__xludf.DUMMYFUNCTION("""COMPUTED_VALUE"""),0.0)</f>
        <v>0</v>
      </c>
      <c r="AF771" s="10">
        <f>IFERROR(__xludf.DUMMYFUNCTION("""COMPUTED_VALUE"""),0.0)</f>
        <v>0</v>
      </c>
      <c r="AG771" s="10">
        <f>IFERROR(__xludf.DUMMYFUNCTION("""COMPUTED_VALUE"""),9.0)</f>
        <v>9</v>
      </c>
      <c r="AH771" s="10">
        <f>IFERROR(__xludf.DUMMYFUNCTION("""COMPUTED_VALUE"""),0.0)</f>
        <v>0</v>
      </c>
      <c r="AI771" s="10">
        <f>IFERROR(__xludf.DUMMYFUNCTION("""COMPUTED_VALUE"""),9.0)</f>
        <v>9</v>
      </c>
      <c r="AJ771" s="11" t="str">
        <f>IFERROR(__xludf.DUMMYFUNCTION("""COMPUTED_VALUE"""),"https://drive.google.com/open?id=1IgmpXxZS-KR2-2LLfAhrWlC1HVnkQTRvQHpCtVFMjyU")</f>
        <v>https://drive.google.com/open?id=1IgmpXxZS-KR2-2LLfAhrWlC1HVnkQTRvQHpCtVFMjyU</v>
      </c>
      <c r="AK771" s="12" t="str">
        <f>IFERROR(__xludf.DUMMYFUNCTION("""COMPUTED_VALUE"""),"No ")</f>
        <v>No </v>
      </c>
      <c r="AL771" s="12"/>
      <c r="AM771" s="12"/>
      <c r="AN771" s="12" t="str">
        <f>IFERROR(__xludf.DUMMYFUNCTION("""COMPUTED_VALUE"""),"3rd week")</f>
        <v>3rd week</v>
      </c>
      <c r="AO771" s="13">
        <v>3.0</v>
      </c>
      <c r="AX771" s="17"/>
    </row>
    <row r="772">
      <c r="B772" s="9">
        <f>IFERROR(__xludf.DUMMYFUNCTION("""COMPUTED_VALUE"""),45959.68522247685)</f>
        <v>45959.68522</v>
      </c>
      <c r="C772" s="10" t="str">
        <f>IFERROR(__xludf.DUMMYFUNCTION("""COMPUTED_VALUE"""),"Saira Shahzad ")</f>
        <v>Saira Shahzad </v>
      </c>
      <c r="D772" s="10" t="str">
        <f>IFERROR(__xludf.DUMMYFUNCTION("""COMPUTED_VALUE"""),"03114534696")</f>
        <v>03114534696</v>
      </c>
      <c r="E772" s="10" t="str">
        <f>IFERROR(__xludf.DUMMYFUNCTION("""COMPUTED_VALUE"""),"Jamia Masjid Haji Muhammad Din 125 Jharawala")</f>
        <v>Jamia Masjid Haji Muhammad Din 125 Jharawala</v>
      </c>
      <c r="F772" s="10" t="str">
        <f>IFERROR(__xludf.DUMMYFUNCTION("""COMPUTED_VALUE"""),"estsn")</f>
        <v>estsn</v>
      </c>
      <c r="G772" s="10" t="str">
        <f>IFERROR(__xludf.DUMMYFUNCTION("""COMPUTED_VALUE"""),"Yes")</f>
        <v>Yes</v>
      </c>
      <c r="H772" s="10">
        <f>IFERROR(__xludf.DUMMYFUNCTION("""COMPUTED_VALUE"""),0.0)</f>
        <v>0</v>
      </c>
      <c r="I772" s="10">
        <f>IFERROR(__xludf.DUMMYFUNCTION("""COMPUTED_VALUE"""),10.0)</f>
        <v>10</v>
      </c>
      <c r="J772" s="10">
        <f>IFERROR(__xludf.DUMMYFUNCTION("""COMPUTED_VALUE"""),0.0)</f>
        <v>0</v>
      </c>
      <c r="K772" s="10">
        <f>IFERROR(__xludf.DUMMYFUNCTION("""COMPUTED_VALUE"""),0.0)</f>
        <v>0</v>
      </c>
      <c r="L772" s="10">
        <f>IFERROR(__xludf.DUMMYFUNCTION("""COMPUTED_VALUE"""),0.0)</f>
        <v>0</v>
      </c>
      <c r="M772" s="10">
        <f>IFERROR(__xludf.DUMMYFUNCTION("""COMPUTED_VALUE"""),0.0)</f>
        <v>0</v>
      </c>
      <c r="N772" s="10">
        <f>IFERROR(__xludf.DUMMYFUNCTION("""COMPUTED_VALUE"""),0.0)</f>
        <v>0</v>
      </c>
      <c r="O772" s="10">
        <f>IFERROR(__xludf.DUMMYFUNCTION("""COMPUTED_VALUE"""),0.0)</f>
        <v>0</v>
      </c>
      <c r="P772" s="10">
        <f>IFERROR(__xludf.DUMMYFUNCTION("""COMPUTED_VALUE"""),0.0)</f>
        <v>0</v>
      </c>
      <c r="Q772" s="10" t="str">
        <f>IFERROR(__xludf.DUMMYFUNCTION("""COMPUTED_VALUE"""),"No")</f>
        <v>No</v>
      </c>
      <c r="R772" s="10" t="str">
        <f>IFERROR(__xludf.DUMMYFUNCTION("""COMPUTED_VALUE"""),"No")</f>
        <v>No</v>
      </c>
      <c r="S772" s="10" t="str">
        <f>IFERROR(__xludf.DUMMYFUNCTION("""COMPUTED_VALUE"""),"No")</f>
        <v>No</v>
      </c>
      <c r="T772" s="10">
        <f>IFERROR(__xludf.DUMMYFUNCTION("""COMPUTED_VALUE"""),0.0)</f>
        <v>0</v>
      </c>
      <c r="U772" s="10">
        <f>IFERROR(__xludf.DUMMYFUNCTION("""COMPUTED_VALUE"""),0.0)</f>
        <v>0</v>
      </c>
      <c r="V772" s="10" t="str">
        <f>IFERROR(__xludf.DUMMYFUNCTION("""COMPUTED_VALUE"""),"حضور پاک صلی اللہ علیہ والہ وسلم کی عظمت اور شان")</f>
        <v>حضور پاک صلی اللہ علیہ والہ وسلم کی عظمت اور شان</v>
      </c>
      <c r="W772" s="10" t="str">
        <f>IFERROR(__xludf.DUMMYFUNCTION("""COMPUTED_VALUE"""),"امام نے اپنے اس بیان میں نبی پاک صلی اللہ علیہ والہ وسلم کی عظمت اور شان بیان کی ہے یہ بتایا ہے کہ نبی پاک صلی اللہ علیہ والہ وسلم اپنی امت سے بہت پیار کرتے ہیں وہ ان کو تکلیف میں نہیں دیکھ سکتے وہ اپنی امت کو تکلیف میں دیکھ کر خود پریشان ہو جاتے ہیں اور "&amp;"یہ بیان کیا ہے کہ تاریخ پڑھ کے دیکھ لیں جب بھی صحابہ کرام کو کوئی مشکل درپیش ہوتی تھی تو وہ اپنے نبیوں کے پاس جاتے تھے ان سے اپنی تکلیف بیان کرتے تھے کسی اور کے پاس یا کسی ڈاکٹر کے پاس نہیں جاتے تھے بلکہ وہ نبی ان کی تکلیف کو فورا حل کرتے تھے اس قسم کے دو"&amp;" تین واقعات اپنے خطاب میں بیان کیے ہیں اور یہ بیان کیا ہے کہ جب بھی انسان پر مشکل آئے تو اس کو اس شخص کو یاد کرنا چاہیے جس سے وہ محبت کرتا ہے جو کہ صحابہ کرام نبی پاک صلی اللہ علیہ والہ وسلم سے پیار کرتے تھے اس وجہ سے جب بھی ان پر کوئی مشکل یا پریشانی آتی"&amp;" تھی تو وہ نبی پاک صلی اللہ علیہ والہ وسلم کا وسیلہ دے کر دعا مانگتے تھے تو فورا وہ پریشانی یا مصیبت حل ہو جاتی تھی")</f>
        <v>امام نے اپنے اس بیان میں نبی پاک صلی اللہ علیہ والہ وسلم کی عظمت اور شان بیان کی ہے یہ بتایا ہے کہ نبی پاک صلی اللہ علیہ والہ وسلم اپنی امت سے بہت پیار کرتے ہیں وہ ان کو تکلیف میں نہیں دیکھ سکتے وہ اپنی امت کو تکلیف میں دیکھ کر خود پریشان ہو جاتے ہیں اور یہ بیان کیا ہے کہ تاریخ پڑھ کے دیکھ لیں جب بھی صحابہ کرام کو کوئی مشکل درپیش ہوتی تھی تو وہ اپنے نبیوں کے پاس جاتے تھے ان سے اپنی تکلیف بیان کرتے تھے کسی اور کے پاس یا کسی ڈاکٹر کے پاس نہیں جاتے تھے بلکہ وہ نبی ان کی تکلیف کو فورا حل کرتے تھے اس قسم کے دو تین واقعات اپنے خطاب میں بیان کیے ہیں اور یہ بیان کیا ہے کہ جب بھی انسان پر مشکل آئے تو اس کو اس شخص کو یاد کرنا چاہیے جس سے وہ محبت کرتا ہے جو کہ صحابہ کرام نبی پاک صلی اللہ علیہ والہ وسلم سے پیار کرتے تھے اس وجہ سے جب بھی ان پر کوئی مشکل یا پریشانی آتی تھی تو وہ نبی پاک صلی اللہ علیہ والہ وسلم کا وسیلہ دے کر دعا مانگتے تھے تو فورا وہ پریشانی یا مصیبت حل ہو جاتی تھی</v>
      </c>
      <c r="X772" s="10">
        <f>IFERROR(__xludf.DUMMYFUNCTION("""COMPUTED_VALUE"""),2.0)</f>
        <v>2</v>
      </c>
      <c r="Y772" s="10">
        <f>IFERROR(__xludf.DUMMYFUNCTION("""COMPUTED_VALUE"""),4.0)</f>
        <v>4</v>
      </c>
      <c r="Z772" s="10">
        <f>IFERROR(__xludf.DUMMYFUNCTION("""COMPUTED_VALUE"""),1.0)</f>
        <v>1</v>
      </c>
      <c r="AA772" s="10">
        <f>IFERROR(__xludf.DUMMYFUNCTION("""COMPUTED_VALUE"""),7.0)</f>
        <v>7</v>
      </c>
      <c r="AB772" s="10">
        <f>IFERROR(__xludf.DUMMYFUNCTION("""COMPUTED_VALUE"""),6.0)</f>
        <v>6</v>
      </c>
      <c r="AC772" s="10">
        <f>IFERROR(__xludf.DUMMYFUNCTION("""COMPUTED_VALUE"""),0.0)</f>
        <v>0</v>
      </c>
      <c r="AD772" s="10">
        <f>IFERROR(__xludf.DUMMYFUNCTION("""COMPUTED_VALUE"""),0.0)</f>
        <v>0</v>
      </c>
      <c r="AE772" s="10">
        <f>IFERROR(__xludf.DUMMYFUNCTION("""COMPUTED_VALUE"""),3.0)</f>
        <v>3</v>
      </c>
      <c r="AF772" s="10">
        <f>IFERROR(__xludf.DUMMYFUNCTION("""COMPUTED_VALUE"""),6.0)</f>
        <v>6</v>
      </c>
      <c r="AG772" s="10">
        <f>IFERROR(__xludf.DUMMYFUNCTION("""COMPUTED_VALUE"""),8.0)</f>
        <v>8</v>
      </c>
      <c r="AH772" s="10">
        <f>IFERROR(__xludf.DUMMYFUNCTION("""COMPUTED_VALUE"""),0.0)</f>
        <v>0</v>
      </c>
      <c r="AI772" s="10">
        <f>IFERROR(__xludf.DUMMYFUNCTION("""COMPUTED_VALUE"""),8.0)</f>
        <v>8</v>
      </c>
      <c r="AJ772" s="11" t="str">
        <f>IFERROR(__xludf.DUMMYFUNCTION("""COMPUTED_VALUE"""),"https://drive.google.com/open?id=1jAnB5_px94FKU2rhKxUrbuBr6sr74Z9Mgt7DPnJ283I")</f>
        <v>https://drive.google.com/open?id=1jAnB5_px94FKU2rhKxUrbuBr6sr74Z9Mgt7DPnJ283I</v>
      </c>
      <c r="AK772" s="12" t="str">
        <f>IFERROR(__xludf.DUMMYFUNCTION("""COMPUTED_VALUE"""),"No")</f>
        <v>No</v>
      </c>
      <c r="AL772" s="12" t="str">
        <f>IFERROR(__xludf.DUMMYFUNCTION("""COMPUTED_VALUE"""),"No")</f>
        <v>No</v>
      </c>
      <c r="AM772" s="15">
        <f>IFERROR(__xludf.DUMMYFUNCTION("""COMPUTED_VALUE"""),0.0)</f>
        <v>0</v>
      </c>
      <c r="AN772" s="12" t="str">
        <f>IFERROR(__xludf.DUMMYFUNCTION("""COMPUTED_VALUE"""),"1st week")</f>
        <v>1st week</v>
      </c>
      <c r="AO772" s="13">
        <v>1.0</v>
      </c>
      <c r="AX772" s="17"/>
    </row>
    <row r="773">
      <c r="B773" s="9">
        <f>IFERROR(__xludf.DUMMYFUNCTION("""COMPUTED_VALUE"""),45959.70645226852)</f>
        <v>45959.70645</v>
      </c>
      <c r="C773" s="10" t="str">
        <f>IFERROR(__xludf.DUMMYFUNCTION("""COMPUTED_VALUE"""),"Maham")</f>
        <v>Maham</v>
      </c>
      <c r="D773" s="10" t="str">
        <f>IFERROR(__xludf.DUMMYFUNCTION("""COMPUTED_VALUE"""),"03218118680")</f>
        <v>03218118680</v>
      </c>
      <c r="E773" s="10" t="str">
        <f>IFERROR(__xludf.DUMMYFUNCTION("""COMPUTED_VALUE"""),"Jamia Masjid Markazi Toba Tak Sing")</f>
        <v>Jamia Masjid Markazi Toba Tak Sing</v>
      </c>
      <c r="F773" s="10" t="str">
        <f>IFERROR(__xludf.DUMMYFUNCTION("""COMPUTED_VALUE"""),"gghzz")</f>
        <v>gghzz</v>
      </c>
      <c r="G773" s="10" t="str">
        <f>IFERROR(__xludf.DUMMYFUNCTION("""COMPUTED_VALUE"""),"No")</f>
        <v>No</v>
      </c>
      <c r="H773" s="10"/>
      <c r="I773" s="10"/>
      <c r="J773" s="10"/>
      <c r="K773" s="10">
        <f>IFERROR(__xludf.DUMMYFUNCTION("""COMPUTED_VALUE"""),0.0)</f>
        <v>0</v>
      </c>
      <c r="L773" s="10">
        <f>IFERROR(__xludf.DUMMYFUNCTION("""COMPUTED_VALUE"""),0.0)</f>
        <v>0</v>
      </c>
      <c r="M773" s="10">
        <f>IFERROR(__xludf.DUMMYFUNCTION("""COMPUTED_VALUE"""),0.0)</f>
        <v>0</v>
      </c>
      <c r="N773" s="10">
        <f>IFERROR(__xludf.DUMMYFUNCTION("""COMPUTED_VALUE"""),0.0)</f>
        <v>0</v>
      </c>
      <c r="O773" s="10">
        <f>IFERROR(__xludf.DUMMYFUNCTION("""COMPUTED_VALUE"""),0.0)</f>
        <v>0</v>
      </c>
      <c r="P773" s="10">
        <f>IFERROR(__xludf.DUMMYFUNCTION("""COMPUTED_VALUE"""),0.0)</f>
        <v>0</v>
      </c>
      <c r="Q773" s="10" t="str">
        <f>IFERROR(__xludf.DUMMYFUNCTION("""COMPUTED_VALUE"""),"No")</f>
        <v>No</v>
      </c>
      <c r="R773" s="10" t="str">
        <f>IFERROR(__xludf.DUMMYFUNCTION("""COMPUTED_VALUE"""),"No")</f>
        <v>No</v>
      </c>
      <c r="S773" s="10" t="str">
        <f>IFERROR(__xludf.DUMMYFUNCTION("""COMPUTED_VALUE"""),"No")</f>
        <v>No</v>
      </c>
      <c r="T773" s="10">
        <f>IFERROR(__xludf.DUMMYFUNCTION("""COMPUTED_VALUE"""),0.0)</f>
        <v>0</v>
      </c>
      <c r="U773" s="10">
        <f>IFERROR(__xludf.DUMMYFUNCTION("""COMPUTED_VALUE"""),0.0)</f>
        <v>0</v>
      </c>
      <c r="V773" s="10" t="str">
        <f>IFERROR(__xludf.DUMMYFUNCTION("""COMPUTED_VALUE"""),"فتح مکہ")</f>
        <v>فتح مکہ</v>
      </c>
      <c r="W773" s="10" t="str">
        <f>IFERROR(__xludf.DUMMYFUNCTION("""COMPUTED_VALUE"""),"فتح مکہ کے لحاظ سے واقعات بیان کیے گئے")</f>
        <v>فتح مکہ کے لحاظ سے واقعات بیان کیے گئے</v>
      </c>
      <c r="X773" s="10">
        <f>IFERROR(__xludf.DUMMYFUNCTION("""COMPUTED_VALUE"""),10.0)</f>
        <v>10</v>
      </c>
      <c r="Y773" s="10">
        <f>IFERROR(__xludf.DUMMYFUNCTION("""COMPUTED_VALUE"""),8.0)</f>
        <v>8</v>
      </c>
      <c r="Z773" s="10">
        <f>IFERROR(__xludf.DUMMYFUNCTION("""COMPUTED_VALUE"""),3.0)</f>
        <v>3</v>
      </c>
      <c r="AA773" s="10">
        <f>IFERROR(__xludf.DUMMYFUNCTION("""COMPUTED_VALUE"""),10.0)</f>
        <v>10</v>
      </c>
      <c r="AB773" s="10">
        <f>IFERROR(__xludf.DUMMYFUNCTION("""COMPUTED_VALUE"""),10.0)</f>
        <v>10</v>
      </c>
      <c r="AC773" s="10">
        <f>IFERROR(__xludf.DUMMYFUNCTION("""COMPUTED_VALUE"""),4.0)</f>
        <v>4</v>
      </c>
      <c r="AD773" s="10">
        <f>IFERROR(__xludf.DUMMYFUNCTION("""COMPUTED_VALUE"""),5.0)</f>
        <v>5</v>
      </c>
      <c r="AE773" s="10">
        <f>IFERROR(__xludf.DUMMYFUNCTION("""COMPUTED_VALUE"""),5.0)</f>
        <v>5</v>
      </c>
      <c r="AF773" s="10">
        <f>IFERROR(__xludf.DUMMYFUNCTION("""COMPUTED_VALUE"""),8.0)</f>
        <v>8</v>
      </c>
      <c r="AG773" s="10">
        <f>IFERROR(__xludf.DUMMYFUNCTION("""COMPUTED_VALUE"""),8.0)</f>
        <v>8</v>
      </c>
      <c r="AH773" s="10">
        <f>IFERROR(__xludf.DUMMYFUNCTION("""COMPUTED_VALUE"""),0.0)</f>
        <v>0</v>
      </c>
      <c r="AI773" s="10">
        <f>IFERROR(__xludf.DUMMYFUNCTION("""COMPUTED_VALUE"""),9.0)</f>
        <v>9</v>
      </c>
      <c r="AJ773" s="11" t="str">
        <f>IFERROR(__xludf.DUMMYFUNCTION("""COMPUTED_VALUE"""),"https://drive.google.com/open?id=144k-ndLV_n_U75NRxoqMjx94Wl3OZpeR")</f>
        <v>https://drive.google.com/open?id=144k-ndLV_n_U75NRxoqMjx94Wl3OZpeR</v>
      </c>
      <c r="AK773" s="12"/>
      <c r="AL773" s="12"/>
      <c r="AM773" s="12"/>
      <c r="AN773" s="12" t="str">
        <f>IFERROR(__xludf.DUMMYFUNCTION("""COMPUTED_VALUE"""),"3rd week")</f>
        <v>3rd week</v>
      </c>
      <c r="AO773" s="13">
        <v>3.0</v>
      </c>
      <c r="AX773" s="17"/>
    </row>
    <row r="774">
      <c r="B774" s="9">
        <f>IFERROR(__xludf.DUMMYFUNCTION("""COMPUTED_VALUE"""),45959.74673118055)</f>
        <v>45959.74673</v>
      </c>
      <c r="C774" s="10" t="str">
        <f>IFERROR(__xludf.DUMMYFUNCTION("""COMPUTED_VALUE"""),"Maham")</f>
        <v>Maham</v>
      </c>
      <c r="D774" s="10" t="str">
        <f>IFERROR(__xludf.DUMMYFUNCTION("""COMPUTED_VALUE"""),"03218118680")</f>
        <v>03218118680</v>
      </c>
      <c r="E774" s="10" t="str">
        <f>IFERROR(__xludf.DUMMYFUNCTION("""COMPUTED_VALUE"""),"Jamia Masjid Ahle Sunnat Wal Jamaat Garh Maharaja Ahmedpur Sial")</f>
        <v>Jamia Masjid Ahle Sunnat Wal Jamaat Garh Maharaja Ahmedpur Sial</v>
      </c>
      <c r="F774" s="10" t="str">
        <f>IFERROR(__xludf.DUMMYFUNCTION("""COMPUTED_VALUE"""),"glpfo")</f>
        <v>glpfo</v>
      </c>
      <c r="G774" s="10" t="str">
        <f>IFERROR(__xludf.DUMMYFUNCTION("""COMPUTED_VALUE"""),"Yes")</f>
        <v>Yes</v>
      </c>
      <c r="H774" s="10">
        <f>IFERROR(__xludf.DUMMYFUNCTION("""COMPUTED_VALUE"""),6.0)</f>
        <v>6</v>
      </c>
      <c r="I774" s="10">
        <f>IFERROR(__xludf.DUMMYFUNCTION("""COMPUTED_VALUE"""),4.0)</f>
        <v>4</v>
      </c>
      <c r="J774" s="10">
        <f>IFERROR(__xludf.DUMMYFUNCTION("""COMPUTED_VALUE"""),10.0)</f>
        <v>10</v>
      </c>
      <c r="K774" s="10">
        <f>IFERROR(__xludf.DUMMYFUNCTION("""COMPUTED_VALUE"""),10.0)</f>
        <v>10</v>
      </c>
      <c r="L774" s="10">
        <f>IFERROR(__xludf.DUMMYFUNCTION("""COMPUTED_VALUE"""),0.0)</f>
        <v>0</v>
      </c>
      <c r="M774" s="10">
        <f>IFERROR(__xludf.DUMMYFUNCTION("""COMPUTED_VALUE"""),10.0)</f>
        <v>10</v>
      </c>
      <c r="N774" s="10">
        <f>IFERROR(__xludf.DUMMYFUNCTION("""COMPUTED_VALUE"""),0.0)</f>
        <v>0</v>
      </c>
      <c r="O774" s="10">
        <f>IFERROR(__xludf.DUMMYFUNCTION("""COMPUTED_VALUE"""),10.0)</f>
        <v>10</v>
      </c>
      <c r="P774" s="10">
        <f>IFERROR(__xludf.DUMMYFUNCTION("""COMPUTED_VALUE"""),0.0)</f>
        <v>0</v>
      </c>
      <c r="Q774" s="10" t="str">
        <f>IFERROR(__xludf.DUMMYFUNCTION("""COMPUTED_VALUE"""),"Yes")</f>
        <v>Yes</v>
      </c>
      <c r="R774" s="10" t="str">
        <f>IFERROR(__xludf.DUMMYFUNCTION("""COMPUTED_VALUE"""),"No")</f>
        <v>No</v>
      </c>
      <c r="S774" s="10" t="str">
        <f>IFERROR(__xludf.DUMMYFUNCTION("""COMPUTED_VALUE"""),"Yes")</f>
        <v>Yes</v>
      </c>
      <c r="T774" s="10">
        <f>IFERROR(__xludf.DUMMYFUNCTION("""COMPUTED_VALUE"""),0.0)</f>
        <v>0</v>
      </c>
      <c r="U774" s="10">
        <f>IFERROR(__xludf.DUMMYFUNCTION("""COMPUTED_VALUE"""),0.0)</f>
        <v>0</v>
      </c>
      <c r="V774" s="10" t="str">
        <f>IFERROR(__xludf.DUMMYFUNCTION("""COMPUTED_VALUE"""),"عورتوں کے حقوق")</f>
        <v>عورتوں کے حقوق</v>
      </c>
      <c r="W774" s="10" t="str">
        <f>IFERROR(__xludf.DUMMYFUNCTION("""COMPUTED_VALUE"""),"عورتوں کے حقوق بیان کیے اور ان کا کردار")</f>
        <v>عورتوں کے حقوق بیان کیے اور ان کا کردار</v>
      </c>
      <c r="X774" s="10">
        <f>IFERROR(__xludf.DUMMYFUNCTION("""COMPUTED_VALUE"""),5.0)</f>
        <v>5</v>
      </c>
      <c r="Y774" s="10">
        <f>IFERROR(__xludf.DUMMYFUNCTION("""COMPUTED_VALUE"""),8.0)</f>
        <v>8</v>
      </c>
      <c r="Z774" s="10">
        <f>IFERROR(__xludf.DUMMYFUNCTION("""COMPUTED_VALUE"""),8.0)</f>
        <v>8</v>
      </c>
      <c r="AA774" s="10">
        <f>IFERROR(__xludf.DUMMYFUNCTION("""COMPUTED_VALUE"""),9.0)</f>
        <v>9</v>
      </c>
      <c r="AB774" s="10">
        <f>IFERROR(__xludf.DUMMYFUNCTION("""COMPUTED_VALUE"""),8.0)</f>
        <v>8</v>
      </c>
      <c r="AC774" s="10">
        <f>IFERROR(__xludf.DUMMYFUNCTION("""COMPUTED_VALUE"""),3.0)</f>
        <v>3</v>
      </c>
      <c r="AD774" s="10">
        <f>IFERROR(__xludf.DUMMYFUNCTION("""COMPUTED_VALUE"""),4.0)</f>
        <v>4</v>
      </c>
      <c r="AE774" s="10">
        <f>IFERROR(__xludf.DUMMYFUNCTION("""COMPUTED_VALUE"""),2.0)</f>
        <v>2</v>
      </c>
      <c r="AF774" s="10">
        <f>IFERROR(__xludf.DUMMYFUNCTION("""COMPUTED_VALUE"""),5.0)</f>
        <v>5</v>
      </c>
      <c r="AG774" s="10">
        <f>IFERROR(__xludf.DUMMYFUNCTION("""COMPUTED_VALUE"""),8.0)</f>
        <v>8</v>
      </c>
      <c r="AH774" s="10">
        <f>IFERROR(__xludf.DUMMYFUNCTION("""COMPUTED_VALUE"""),0.0)</f>
        <v>0</v>
      </c>
      <c r="AI774" s="10">
        <f>IFERROR(__xludf.DUMMYFUNCTION("""COMPUTED_VALUE"""),8.0)</f>
        <v>8</v>
      </c>
      <c r="AJ774" s="11" t="str">
        <f>IFERROR(__xludf.DUMMYFUNCTION("""COMPUTED_VALUE"""),"https://drive.google.com/open?id=1eBvpz8_8VSVLd8ZvhfEpfcmsd-K-Zb_R")</f>
        <v>https://drive.google.com/open?id=1eBvpz8_8VSVLd8ZvhfEpfcmsd-K-Zb_R</v>
      </c>
      <c r="AK774" s="12" t="str">
        <f>IFERROR(__xludf.DUMMYFUNCTION("""COMPUTED_VALUE"""),"۔۔۔۔۔مطلب قرانی آیات ")</f>
        <v>۔۔۔۔۔مطلب قرانی آیات </v>
      </c>
      <c r="AL774" s="12" t="str">
        <f>IFERROR(__xludf.DUMMYFUNCTION("""COMPUTED_VALUE"""),"Yes")</f>
        <v>Yes</v>
      </c>
      <c r="AM774" s="15">
        <f>IFERROR(__xludf.DUMMYFUNCTION("""COMPUTED_VALUE"""),1.0)</f>
        <v>1</v>
      </c>
      <c r="AN774" s="12" t="str">
        <f>IFERROR(__xludf.DUMMYFUNCTION("""COMPUTED_VALUE"""),"2nd week")</f>
        <v>2nd week</v>
      </c>
      <c r="AO774" s="13">
        <v>2.0</v>
      </c>
      <c r="AX774" s="17"/>
    </row>
    <row r="775">
      <c r="B775" s="9">
        <f>IFERROR(__xludf.DUMMYFUNCTION("""COMPUTED_VALUE"""),45960.097182638885)</f>
        <v>45960.09718</v>
      </c>
      <c r="C775" s="10" t="str">
        <f>IFERROR(__xludf.DUMMYFUNCTION("""COMPUTED_VALUE"""),"Atiqa")</f>
        <v>Atiqa</v>
      </c>
      <c r="D775" s="10" t="str">
        <f>IFERROR(__xludf.DUMMYFUNCTION("""COMPUTED_VALUE"""),"03157519977")</f>
        <v>03157519977</v>
      </c>
      <c r="E775" s="10" t="str">
        <f>IFERROR(__xludf.DUMMYFUNCTION("""COMPUTED_VALUE"""),"Jamia Masjid 273 Rai Chak Faisalabad")</f>
        <v>Jamia Masjid 273 Rai Chak Faisalabad</v>
      </c>
      <c r="F775" s="10" t="str">
        <f>IFERROR(__xludf.DUMMYFUNCTION("""COMPUTED_VALUE"""),"kamrb")</f>
        <v>kamrb</v>
      </c>
      <c r="G775" s="10" t="str">
        <f>IFERROR(__xludf.DUMMYFUNCTION("""COMPUTED_VALUE"""),"No")</f>
        <v>No</v>
      </c>
      <c r="H775" s="10"/>
      <c r="I775" s="10"/>
      <c r="J775" s="10"/>
      <c r="K775" s="10">
        <f>IFERROR(__xludf.DUMMYFUNCTION("""COMPUTED_VALUE"""),0.0)</f>
        <v>0</v>
      </c>
      <c r="L775" s="10">
        <f>IFERROR(__xludf.DUMMYFUNCTION("""COMPUTED_VALUE"""),0.0)</f>
        <v>0</v>
      </c>
      <c r="M775" s="10">
        <f>IFERROR(__xludf.DUMMYFUNCTION("""COMPUTED_VALUE"""),0.0)</f>
        <v>0</v>
      </c>
      <c r="N775" s="10">
        <f>IFERROR(__xludf.DUMMYFUNCTION("""COMPUTED_VALUE"""),0.0)</f>
        <v>0</v>
      </c>
      <c r="O775" s="10">
        <f>IFERROR(__xludf.DUMMYFUNCTION("""COMPUTED_VALUE"""),0.0)</f>
        <v>0</v>
      </c>
      <c r="P775" s="10">
        <f>IFERROR(__xludf.DUMMYFUNCTION("""COMPUTED_VALUE"""),0.0)</f>
        <v>0</v>
      </c>
      <c r="Q775" s="10" t="str">
        <f>IFERROR(__xludf.DUMMYFUNCTION("""COMPUTED_VALUE"""),"No")</f>
        <v>No</v>
      </c>
      <c r="R775" s="10" t="str">
        <f>IFERROR(__xludf.DUMMYFUNCTION("""COMPUTED_VALUE"""),"No")</f>
        <v>No</v>
      </c>
      <c r="S775" s="10" t="str">
        <f>IFERROR(__xludf.DUMMYFUNCTION("""COMPUTED_VALUE"""),"No")</f>
        <v>No</v>
      </c>
      <c r="T775" s="10">
        <f>IFERROR(__xludf.DUMMYFUNCTION("""COMPUTED_VALUE"""),0.0)</f>
        <v>0</v>
      </c>
      <c r="U775" s="10">
        <f>IFERROR(__xludf.DUMMYFUNCTION("""COMPUTED_VALUE"""),0.0)</f>
        <v>0</v>
      </c>
      <c r="V775" s="10" t="str">
        <f>IFERROR(__xludf.DUMMYFUNCTION("""COMPUTED_VALUE"""),"ایمان اور اعمال صالح ")</f>
        <v>ایمان اور اعمال صالح </v>
      </c>
      <c r="W775" s="10" t="str">
        <f>IFERROR(__xludf.DUMMYFUNCTION("""COMPUTED_VALUE"""),"امام نے سورۃ توبہ کی ایت مبارکہ کی تلاوت فرمائی جس میں ایمان والوں کو مخاطب کیا گیا کہ وہ اللہ تبارک و تعالی کے احکامات اور رسول صلی اللہ علیہ وسلم کی اطاعت کرتے ہوئے سر خم تسلیم کرتے ہیں، انسان کا اعمال صالح کے ساتھ ساتھ ایمان لانا بھی لازمی قرار دیا، اب"&amp;"و ہریرہ رضی اللہ تعالی عنہ کا غزوہ بدر میں مقابل کافر والد کی گردن اڑانے کا واقعہ بیان کیا، محمد صلی اللہ علیہ وسلم اور صحابہ کرام کی ہجرت ایمان کی دولت سے سرشار ہوتے ہوئے اپنا سب کچھ قربان کرتے ہوئے کرنا، ابوہریرہ رضی اللہ تعالی عنہ کی اپنے والدہ کے لیے "&amp;"ہدایت کی محمد صلی اللہ علیہ وسلم سے دعا کروانے کا واقعہ بیان کیا ")</f>
        <v>امام نے سورۃ توبہ کی ایت مبارکہ کی تلاوت فرمائی جس میں ایمان والوں کو مخاطب کیا گیا کہ وہ اللہ تبارک و تعالی کے احکامات اور رسول صلی اللہ علیہ وسلم کی اطاعت کرتے ہوئے سر خم تسلیم کرتے ہیں، انسان کا اعمال صالح کے ساتھ ساتھ ایمان لانا بھی لازمی قرار دیا، ابو ہریرہ رضی اللہ تعالی عنہ کا غزوہ بدر میں مقابل کافر والد کی گردن اڑانے کا واقعہ بیان کیا، محمد صلی اللہ علیہ وسلم اور صحابہ کرام کی ہجرت ایمان کی دولت سے سرشار ہوتے ہوئے اپنا سب کچھ قربان کرتے ہوئے کرنا، ابوہریرہ رضی اللہ تعالی عنہ کی اپنے والدہ کے لیے ہدایت کی محمد صلی اللہ علیہ وسلم سے دعا کروانے کا واقعہ بیان کیا </v>
      </c>
      <c r="X775" s="10">
        <f>IFERROR(__xludf.DUMMYFUNCTION("""COMPUTED_VALUE"""),8.0)</f>
        <v>8</v>
      </c>
      <c r="Y775" s="10">
        <f>IFERROR(__xludf.DUMMYFUNCTION("""COMPUTED_VALUE"""),2.0)</f>
        <v>2</v>
      </c>
      <c r="Z775" s="10">
        <f>IFERROR(__xludf.DUMMYFUNCTION("""COMPUTED_VALUE"""),7.0)</f>
        <v>7</v>
      </c>
      <c r="AA775" s="10">
        <f>IFERROR(__xludf.DUMMYFUNCTION("""COMPUTED_VALUE"""),8.0)</f>
        <v>8</v>
      </c>
      <c r="AB775" s="10">
        <f>IFERROR(__xludf.DUMMYFUNCTION("""COMPUTED_VALUE"""),8.0)</f>
        <v>8</v>
      </c>
      <c r="AC775" s="10">
        <f>IFERROR(__xludf.DUMMYFUNCTION("""COMPUTED_VALUE"""),3.0)</f>
        <v>3</v>
      </c>
      <c r="AD775" s="10">
        <f>IFERROR(__xludf.DUMMYFUNCTION("""COMPUTED_VALUE"""),3.0)</f>
        <v>3</v>
      </c>
      <c r="AE775" s="10">
        <f>IFERROR(__xludf.DUMMYFUNCTION("""COMPUTED_VALUE"""),5.0)</f>
        <v>5</v>
      </c>
      <c r="AF775" s="10">
        <f>IFERROR(__xludf.DUMMYFUNCTION("""COMPUTED_VALUE"""),4.0)</f>
        <v>4</v>
      </c>
      <c r="AG775" s="10">
        <f>IFERROR(__xludf.DUMMYFUNCTION("""COMPUTED_VALUE"""),9.0)</f>
        <v>9</v>
      </c>
      <c r="AH775" s="10">
        <f>IFERROR(__xludf.DUMMYFUNCTION("""COMPUTED_VALUE"""),0.0)</f>
        <v>0</v>
      </c>
      <c r="AI775" s="10">
        <f>IFERROR(__xludf.DUMMYFUNCTION("""COMPUTED_VALUE"""),9.0)</f>
        <v>9</v>
      </c>
      <c r="AJ775" s="11" t="str">
        <f>IFERROR(__xludf.DUMMYFUNCTION("""COMPUTED_VALUE"""),"https://drive.google.com/open?id=1RKrF-aXWOlYqyowjbDl6bAdusOPbJr9qXEqx0xFkNHk")</f>
        <v>https://drive.google.com/open?id=1RKrF-aXWOlYqyowjbDl6bAdusOPbJr9qXEqx0xFkNHk</v>
      </c>
      <c r="AK775" s="12"/>
      <c r="AL775" s="12"/>
      <c r="AM775" s="12"/>
      <c r="AN775" s="12" t="str">
        <f>IFERROR(__xludf.DUMMYFUNCTION("""COMPUTED_VALUE"""),"1st week")</f>
        <v>1st week</v>
      </c>
      <c r="AO775" s="13">
        <v>1.0</v>
      </c>
      <c r="AX775" s="17"/>
    </row>
    <row r="776">
      <c r="B776" s="9">
        <f>IFERROR(__xludf.DUMMYFUNCTION("""COMPUTED_VALUE"""),45960.12678009259)</f>
        <v>45960.12678</v>
      </c>
      <c r="C776" s="10" t="str">
        <f>IFERROR(__xludf.DUMMYFUNCTION("""COMPUTED_VALUE"""),"Saira Shahzad ")</f>
        <v>Saira Shahzad </v>
      </c>
      <c r="D776" s="10" t="str">
        <f>IFERROR(__xludf.DUMMYFUNCTION("""COMPUTED_VALUE"""),"03114534696")</f>
        <v>03114534696</v>
      </c>
      <c r="E776" s="10" t="str">
        <f>IFERROR(__xludf.DUMMYFUNCTION("""COMPUTED_VALUE"""),"Jamia Masjid Markazi Toba Tak Sing")</f>
        <v>Jamia Masjid Markazi Toba Tak Sing</v>
      </c>
      <c r="F776" s="10" t="str">
        <f>IFERROR(__xludf.DUMMYFUNCTION("""COMPUTED_VALUE"""),"gghzz")</f>
        <v>gghzz</v>
      </c>
      <c r="G776" s="10" t="str">
        <f>IFERROR(__xludf.DUMMYFUNCTION("""COMPUTED_VALUE"""),"Yes")</f>
        <v>Yes</v>
      </c>
      <c r="H776" s="10">
        <f>IFERROR(__xludf.DUMMYFUNCTION("""COMPUTED_VALUE"""),0.0)</f>
        <v>0</v>
      </c>
      <c r="I776" s="10">
        <f>IFERROR(__xludf.DUMMYFUNCTION("""COMPUTED_VALUE"""),10.0)</f>
        <v>10</v>
      </c>
      <c r="J776" s="10">
        <f>IFERROR(__xludf.DUMMYFUNCTION("""COMPUTED_VALUE"""),0.0)</f>
        <v>0</v>
      </c>
      <c r="K776" s="10">
        <f>IFERROR(__xludf.DUMMYFUNCTION("""COMPUTED_VALUE"""),0.0)</f>
        <v>0</v>
      </c>
      <c r="L776" s="10">
        <f>IFERROR(__xludf.DUMMYFUNCTION("""COMPUTED_VALUE"""),0.0)</f>
        <v>0</v>
      </c>
      <c r="M776" s="10">
        <f>IFERROR(__xludf.DUMMYFUNCTION("""COMPUTED_VALUE"""),0.0)</f>
        <v>0</v>
      </c>
      <c r="N776" s="10">
        <f>IFERROR(__xludf.DUMMYFUNCTION("""COMPUTED_VALUE"""),0.0)</f>
        <v>0</v>
      </c>
      <c r="O776" s="10">
        <f>IFERROR(__xludf.DUMMYFUNCTION("""COMPUTED_VALUE"""),0.0)</f>
        <v>0</v>
      </c>
      <c r="P776" s="10">
        <f>IFERROR(__xludf.DUMMYFUNCTION("""COMPUTED_VALUE"""),0.0)</f>
        <v>0</v>
      </c>
      <c r="Q776" s="10" t="str">
        <f>IFERROR(__xludf.DUMMYFUNCTION("""COMPUTED_VALUE"""),"No")</f>
        <v>No</v>
      </c>
      <c r="R776" s="10" t="str">
        <f>IFERROR(__xludf.DUMMYFUNCTION("""COMPUTED_VALUE"""),"No")</f>
        <v>No</v>
      </c>
      <c r="S776" s="10" t="str">
        <f>IFERROR(__xludf.DUMMYFUNCTION("""COMPUTED_VALUE"""),"No")</f>
        <v>No</v>
      </c>
      <c r="T776" s="10">
        <f>IFERROR(__xludf.DUMMYFUNCTION("""COMPUTED_VALUE"""),0.0)</f>
        <v>0</v>
      </c>
      <c r="U776" s="10">
        <f>IFERROR(__xludf.DUMMYFUNCTION("""COMPUTED_VALUE"""),0.0)</f>
        <v>0</v>
      </c>
      <c r="V776" s="10" t="str">
        <f>IFERROR(__xludf.DUMMYFUNCTION("""COMPUTED_VALUE"""),"غزوہ تبوک کا واقعہ")</f>
        <v>غزوہ تبوک کا واقعہ</v>
      </c>
      <c r="W776" s="10" t="str">
        <f>IFERROR(__xludf.DUMMYFUNCTION("""COMPUTED_VALUE"""),"امام نے اپنے بیان میں غزوہ تبوک کے واقعے کی تفصیل بیان کی ہے غزوہ تبوک کے موقع پر جب سب صحابہ پیاسے تھے پانی کی قلت تھی اس کا پورا واقعہ بیان کیا ہے کہ کس طرح نبی پاک صلی اللہ علیہ والہ وسلم کے حکم کو مانا تو کس طرح 40 ہزار کے لشکر اور ان کے جانوروں نے اپ"&amp;"نی پیاس بجھائی اور اس کے ساتھ ساتھ نبی کریم صلی اللہ علیہ والہ وسلم کی مدینہ منورہ سے محبت بیان کی ہے اور جہاد کس حد تک مسلمانوں پر فرض ہے اس کی تفصیل بیان کی ہے اور تین صحابہ کا واقعہ بیان کیا ہے جو کہ بلاوجہ جہاد میں شامل نہیں ہوئے تھے تو نبی پاک صلی ال"&amp;"لہ علیہ والہ وسلم ان سے کس وقت تک ناراض رہے اور ان کی کیا سزا تھی تو ذرا سوچیں اگر صحابہ اکرام کی یہ سزا ہو سکتی ہے تو ہم تو پھر عام مسلمان ہیں اگر ہم جہاد نہیں کرتے اللہ کی راہ میں تو نبی پاک صلی اللہ علیہ والہ وسلم ہم سے کتنا ناراض ہوں گے  اس لیے ہم پر "&amp;"فرض ہے کہ ہم خود اور اپنی اولاد کو جہاد کا حکم  دیں")</f>
        <v>امام نے اپنے بیان میں غزوہ تبوک کے واقعے کی تفصیل بیان کی ہے غزوہ تبوک کے موقع پر جب سب صحابہ پیاسے تھے پانی کی قلت تھی اس کا پورا واقعہ بیان کیا ہے کہ کس طرح نبی پاک صلی اللہ علیہ والہ وسلم کے حکم کو مانا تو کس طرح 40 ہزار کے لشکر اور ان کے جانوروں نے اپنی پیاس بجھائی اور اس کے ساتھ ساتھ نبی کریم صلی اللہ علیہ والہ وسلم کی مدینہ منورہ سے محبت بیان کی ہے اور جہاد کس حد تک مسلمانوں پر فرض ہے اس کی تفصیل بیان کی ہے اور تین صحابہ کا واقعہ بیان کیا ہے جو کہ بلاوجہ جہاد میں شامل نہیں ہوئے تھے تو نبی پاک صلی اللہ علیہ والہ وسلم ان سے کس وقت تک ناراض رہے اور ان کی کیا سزا تھی تو ذرا سوچیں اگر صحابہ اکرام کی یہ سزا ہو سکتی ہے تو ہم تو پھر عام مسلمان ہیں اگر ہم جہاد نہیں کرتے اللہ کی راہ میں تو نبی پاک صلی اللہ علیہ والہ وسلم ہم سے کتنا ناراض ہوں گے  اس لیے ہم پر فرض ہے کہ ہم خود اور اپنی اولاد کو جہاد کا حکم  دیں</v>
      </c>
      <c r="X776" s="10">
        <f>IFERROR(__xludf.DUMMYFUNCTION("""COMPUTED_VALUE"""),0.0)</f>
        <v>0</v>
      </c>
      <c r="Y776" s="10">
        <f>IFERROR(__xludf.DUMMYFUNCTION("""COMPUTED_VALUE"""),1.0)</f>
        <v>1</v>
      </c>
      <c r="Z776" s="10">
        <f>IFERROR(__xludf.DUMMYFUNCTION("""COMPUTED_VALUE"""),1.0)</f>
        <v>1</v>
      </c>
      <c r="AA776" s="10">
        <f>IFERROR(__xludf.DUMMYFUNCTION("""COMPUTED_VALUE"""),8.0)</f>
        <v>8</v>
      </c>
      <c r="AB776" s="10">
        <f>IFERROR(__xludf.DUMMYFUNCTION("""COMPUTED_VALUE"""),8.0)</f>
        <v>8</v>
      </c>
      <c r="AC776" s="10">
        <f>IFERROR(__xludf.DUMMYFUNCTION("""COMPUTED_VALUE"""),0.0)</f>
        <v>0</v>
      </c>
      <c r="AD776" s="10">
        <f>IFERROR(__xludf.DUMMYFUNCTION("""COMPUTED_VALUE"""),0.0)</f>
        <v>0</v>
      </c>
      <c r="AE776" s="10">
        <f>IFERROR(__xludf.DUMMYFUNCTION("""COMPUTED_VALUE"""),0.0)</f>
        <v>0</v>
      </c>
      <c r="AF776" s="10">
        <f>IFERROR(__xludf.DUMMYFUNCTION("""COMPUTED_VALUE"""),8.0)</f>
        <v>8</v>
      </c>
      <c r="AG776" s="10">
        <f>IFERROR(__xludf.DUMMYFUNCTION("""COMPUTED_VALUE"""),8.0)</f>
        <v>8</v>
      </c>
      <c r="AH776" s="10">
        <f>IFERROR(__xludf.DUMMYFUNCTION("""COMPUTED_VALUE"""),0.0)</f>
        <v>0</v>
      </c>
      <c r="AI776" s="10">
        <f>IFERROR(__xludf.DUMMYFUNCTION("""COMPUTED_VALUE"""),8.0)</f>
        <v>8</v>
      </c>
      <c r="AJ776" s="11" t="str">
        <f>IFERROR(__xludf.DUMMYFUNCTION("""COMPUTED_VALUE"""),"https://drive.google.com/open?id=1T-GppLXhXqa_qx8ILw15XnQ_2g3qjAEAfPGvzVw04Yk")</f>
        <v>https://drive.google.com/open?id=1T-GppLXhXqa_qx8ILw15XnQ_2g3qjAEAfPGvzVw04Yk</v>
      </c>
      <c r="AK776" s="12" t="str">
        <f>IFERROR(__xludf.DUMMYFUNCTION("""COMPUTED_VALUE"""),"No")</f>
        <v>No</v>
      </c>
      <c r="AL776" s="12" t="str">
        <f>IFERROR(__xludf.DUMMYFUNCTION("""COMPUTED_VALUE"""),"No")</f>
        <v>No</v>
      </c>
      <c r="AM776" s="15">
        <f>IFERROR(__xludf.DUMMYFUNCTION("""COMPUTED_VALUE"""),0.0)</f>
        <v>0</v>
      </c>
      <c r="AN776" s="12" t="str">
        <f>IFERROR(__xludf.DUMMYFUNCTION("""COMPUTED_VALUE"""),"1st week")</f>
        <v>1st week</v>
      </c>
      <c r="AO776" s="13">
        <v>1.0</v>
      </c>
      <c r="AX776" s="17"/>
    </row>
    <row r="777">
      <c r="B777" s="9">
        <f>IFERROR(__xludf.DUMMYFUNCTION("""COMPUTED_VALUE"""),45960.190977199076)</f>
        <v>45960.19098</v>
      </c>
      <c r="C777" s="10" t="str">
        <f>IFERROR(__xludf.DUMMYFUNCTION("""COMPUTED_VALUE"""),"Atiqa ")</f>
        <v>Atiqa </v>
      </c>
      <c r="D777" s="10" t="str">
        <f>IFERROR(__xludf.DUMMYFUNCTION("""COMPUTED_VALUE"""),"03157519977")</f>
        <v>03157519977</v>
      </c>
      <c r="E777" s="10" t="str">
        <f>IFERROR(__xludf.DUMMYFUNCTION("""COMPUTED_VALUE"""),"Jamia Masjid Kalah Kachari Bazar Faisalabad")</f>
        <v>Jamia Masjid Kalah Kachari Bazar Faisalabad</v>
      </c>
      <c r="F777" s="10" t="str">
        <f>IFERROR(__xludf.DUMMYFUNCTION("""COMPUTED_VALUE"""),"kocqj")</f>
        <v>kocqj</v>
      </c>
      <c r="G777" s="10" t="str">
        <f>IFERROR(__xludf.DUMMYFUNCTION("""COMPUTED_VALUE"""),"No")</f>
        <v>No</v>
      </c>
      <c r="H777" s="10"/>
      <c r="I777" s="10"/>
      <c r="J777" s="10"/>
      <c r="K777" s="10">
        <f>IFERROR(__xludf.DUMMYFUNCTION("""COMPUTED_VALUE"""),0.0)</f>
        <v>0</v>
      </c>
      <c r="L777" s="10">
        <f>IFERROR(__xludf.DUMMYFUNCTION("""COMPUTED_VALUE"""),8.0)</f>
        <v>8</v>
      </c>
      <c r="M777" s="10">
        <f>IFERROR(__xludf.DUMMYFUNCTION("""COMPUTED_VALUE"""),0.0)</f>
        <v>0</v>
      </c>
      <c r="N777" s="10">
        <f>IFERROR(__xludf.DUMMYFUNCTION("""COMPUTED_VALUE"""),7.0)</f>
        <v>7</v>
      </c>
      <c r="O777" s="10">
        <f>IFERROR(__xludf.DUMMYFUNCTION("""COMPUTED_VALUE"""),0.0)</f>
        <v>0</v>
      </c>
      <c r="P777" s="10">
        <f>IFERROR(__xludf.DUMMYFUNCTION("""COMPUTED_VALUE"""),6.0)</f>
        <v>6</v>
      </c>
      <c r="Q777" s="10" t="str">
        <f>IFERROR(__xludf.DUMMYFUNCTION("""COMPUTED_VALUE"""),"No")</f>
        <v>No</v>
      </c>
      <c r="R777" s="10" t="str">
        <f>IFERROR(__xludf.DUMMYFUNCTION("""COMPUTED_VALUE"""),"No")</f>
        <v>No</v>
      </c>
      <c r="S777" s="10" t="str">
        <f>IFERROR(__xludf.DUMMYFUNCTION("""COMPUTED_VALUE"""),"No")</f>
        <v>No</v>
      </c>
      <c r="T777" s="10">
        <f>IFERROR(__xludf.DUMMYFUNCTION("""COMPUTED_VALUE"""),0.0)</f>
        <v>0</v>
      </c>
      <c r="U777" s="10">
        <f>IFERROR(__xludf.DUMMYFUNCTION("""COMPUTED_VALUE"""),0.0)</f>
        <v>0</v>
      </c>
      <c r="V777" s="10" t="str">
        <f>IFERROR(__xludf.DUMMYFUNCTION("""COMPUTED_VALUE"""),"۱۔  پڑوسیوں کے حقوق ۲۔  معاشرے میں مسجد کا کردار ")</f>
        <v>۱۔  پڑوسیوں کے حقوق ۲۔  معاشرے میں مسجد کا کردار </v>
      </c>
      <c r="W777" s="10" t="str">
        <f>IFERROR(__xludf.DUMMYFUNCTION("""COMPUTED_VALUE"""),"امام نے پڑوسیوں کے حقوق بیان کرتے ہوئے فرمایا کہ نبی صلی اللہ علیہ وسلم کا فرمان ہے کہ وہ شخص مومن نہیں جس کے ایذا سے پڑوسی محفوظ نہیں، پڑوسی کے تکلیف دینے پر معاف کر دینا اور بدلہ نہ لینا اللہ کو پسند ہو نا ، تین پڑوسیوں کی گواہی پر جنت میں داخلہ ملنا ، "&amp;" مسلمانوں کا مسجد میں اکٹھے ہونے سے ایک دوسرے کے حالات جاننے اور مدد کرنے کا موقع ملنا ۔ ")</f>
        <v>امام نے پڑوسیوں کے حقوق بیان کرتے ہوئے فرمایا کہ نبی صلی اللہ علیہ وسلم کا فرمان ہے کہ وہ شخص مومن نہیں جس کے ایذا سے پڑوسی محفوظ نہیں، پڑوسی کے تکلیف دینے پر معاف کر دینا اور بدلہ نہ لینا اللہ کو پسند ہو نا ، تین پڑوسیوں کی گواہی پر جنت میں داخلہ ملنا ،  مسلمانوں کا مسجد میں اکٹھے ہونے سے ایک دوسرے کے حالات جاننے اور مدد کرنے کا موقع ملنا ۔ </v>
      </c>
      <c r="X777" s="10">
        <f>IFERROR(__xludf.DUMMYFUNCTION("""COMPUTED_VALUE"""),3.0)</f>
        <v>3</v>
      </c>
      <c r="Y777" s="10">
        <f>IFERROR(__xludf.DUMMYFUNCTION("""COMPUTED_VALUE"""),7.0)</f>
        <v>7</v>
      </c>
      <c r="Z777" s="10">
        <f>IFERROR(__xludf.DUMMYFUNCTION("""COMPUTED_VALUE"""),7.0)</f>
        <v>7</v>
      </c>
      <c r="AA777" s="10">
        <f>IFERROR(__xludf.DUMMYFUNCTION("""COMPUTED_VALUE"""),8.0)</f>
        <v>8</v>
      </c>
      <c r="AB777" s="10">
        <f>IFERROR(__xludf.DUMMYFUNCTION("""COMPUTED_VALUE"""),7.0)</f>
        <v>7</v>
      </c>
      <c r="AC777" s="10">
        <f>IFERROR(__xludf.DUMMYFUNCTION("""COMPUTED_VALUE"""),0.0)</f>
        <v>0</v>
      </c>
      <c r="AD777" s="10">
        <f>IFERROR(__xludf.DUMMYFUNCTION("""COMPUTED_VALUE"""),4.0)</f>
        <v>4</v>
      </c>
      <c r="AE777" s="10">
        <f>IFERROR(__xludf.DUMMYFUNCTION("""COMPUTED_VALUE"""),1.0)</f>
        <v>1</v>
      </c>
      <c r="AF777" s="10">
        <f>IFERROR(__xludf.DUMMYFUNCTION("""COMPUTED_VALUE"""),3.0)</f>
        <v>3</v>
      </c>
      <c r="AG777" s="10">
        <f>IFERROR(__xludf.DUMMYFUNCTION("""COMPUTED_VALUE"""),8.0)</f>
        <v>8</v>
      </c>
      <c r="AH777" s="10">
        <f>IFERROR(__xludf.DUMMYFUNCTION("""COMPUTED_VALUE"""),0.0)</f>
        <v>0</v>
      </c>
      <c r="AI777" s="10">
        <f>IFERROR(__xludf.DUMMYFUNCTION("""COMPUTED_VALUE"""),9.0)</f>
        <v>9</v>
      </c>
      <c r="AJ777" s="14"/>
      <c r="AK777" s="12"/>
      <c r="AL777" s="12"/>
      <c r="AM777" s="12"/>
      <c r="AN777" s="12"/>
      <c r="AO777" s="13">
        <v>2.0</v>
      </c>
      <c r="AX777" s="17"/>
    </row>
    <row r="778">
      <c r="B778" s="9">
        <f>IFERROR(__xludf.DUMMYFUNCTION("""COMPUTED_VALUE"""),45960.24394774306)</f>
        <v>45960.24395</v>
      </c>
      <c r="C778" s="10" t="str">
        <f>IFERROR(__xludf.DUMMYFUNCTION("""COMPUTED_VALUE"""),"Maham")</f>
        <v>Maham</v>
      </c>
      <c r="D778" s="10" t="str">
        <f>IFERROR(__xludf.DUMMYFUNCTION("""COMPUTED_VALUE"""),"03218118680")</f>
        <v>03218118680</v>
      </c>
      <c r="E778" s="10" t="str">
        <f>IFERROR(__xludf.DUMMYFUNCTION("""COMPUTED_VALUE"""),"Jamia Masjid Darbar Shah Sadaq Nehnang Shorkot")</f>
        <v>Jamia Masjid Darbar Shah Sadaq Nehnang Shorkot</v>
      </c>
      <c r="F778" s="10" t="str">
        <f>IFERROR(__xludf.DUMMYFUNCTION("""COMPUTED_VALUE"""),"vigse")</f>
        <v>vigse</v>
      </c>
      <c r="G778" s="10" t="str">
        <f>IFERROR(__xludf.DUMMYFUNCTION("""COMPUTED_VALUE"""),"Yes")</f>
        <v>Yes</v>
      </c>
      <c r="H778" s="10">
        <f>IFERROR(__xludf.DUMMYFUNCTION("""COMPUTED_VALUE"""),10.0)</f>
        <v>10</v>
      </c>
      <c r="I778" s="10">
        <f>IFERROR(__xludf.DUMMYFUNCTION("""COMPUTED_VALUE"""),0.0)</f>
        <v>0</v>
      </c>
      <c r="J778" s="10">
        <f>IFERROR(__xludf.DUMMYFUNCTION("""COMPUTED_VALUE"""),10.0)</f>
        <v>10</v>
      </c>
      <c r="K778" s="10">
        <f>IFERROR(__xludf.DUMMYFUNCTION("""COMPUTED_VALUE"""),10.0)</f>
        <v>10</v>
      </c>
      <c r="L778" s="10">
        <f>IFERROR(__xludf.DUMMYFUNCTION("""COMPUTED_VALUE"""),0.0)</f>
        <v>0</v>
      </c>
      <c r="M778" s="10">
        <f>IFERROR(__xludf.DUMMYFUNCTION("""COMPUTED_VALUE"""),10.0)</f>
        <v>10</v>
      </c>
      <c r="N778" s="10">
        <f>IFERROR(__xludf.DUMMYFUNCTION("""COMPUTED_VALUE"""),0.0)</f>
        <v>0</v>
      </c>
      <c r="O778" s="10">
        <f>IFERROR(__xludf.DUMMYFUNCTION("""COMPUTED_VALUE"""),10.0)</f>
        <v>10</v>
      </c>
      <c r="P778" s="10">
        <f>IFERROR(__xludf.DUMMYFUNCTION("""COMPUTED_VALUE"""),0.0)</f>
        <v>0</v>
      </c>
      <c r="Q778" s="10" t="str">
        <f>IFERROR(__xludf.DUMMYFUNCTION("""COMPUTED_VALUE"""),"Yes")</f>
        <v>Yes</v>
      </c>
      <c r="R778" s="10" t="str">
        <f>IFERROR(__xludf.DUMMYFUNCTION("""COMPUTED_VALUE"""),"No")</f>
        <v>No</v>
      </c>
      <c r="S778" s="10" t="str">
        <f>IFERROR(__xludf.DUMMYFUNCTION("""COMPUTED_VALUE"""),"Yes")</f>
        <v>Yes</v>
      </c>
      <c r="T778" s="10">
        <f>IFERROR(__xludf.DUMMYFUNCTION("""COMPUTED_VALUE"""),0.0)</f>
        <v>0</v>
      </c>
      <c r="U778" s="10">
        <f>IFERROR(__xludf.DUMMYFUNCTION("""COMPUTED_VALUE"""),0.0)</f>
        <v>0</v>
      </c>
      <c r="V778" s="10" t="str">
        <f>IFERROR(__xludf.DUMMYFUNCTION("""COMPUTED_VALUE"""),"خواتین کے حقوق")</f>
        <v>خواتین کے حقوق</v>
      </c>
      <c r="W778" s="10" t="str">
        <f>IFERROR(__xludf.DUMMYFUNCTION("""COMPUTED_VALUE"""),"عورتوں کی معاشی سیاسی سماجی اقتصادی جنگی سرگرمیوں میں شرکت")</f>
        <v>عورتوں کی معاشی سیاسی سماجی اقتصادی جنگی سرگرمیوں میں شرکت</v>
      </c>
      <c r="X778" s="10">
        <f>IFERROR(__xludf.DUMMYFUNCTION("""COMPUTED_VALUE"""),0.0)</f>
        <v>0</v>
      </c>
      <c r="Y778" s="10">
        <f>IFERROR(__xludf.DUMMYFUNCTION("""COMPUTED_VALUE"""),10.0)</f>
        <v>10</v>
      </c>
      <c r="Z778" s="10">
        <f>IFERROR(__xludf.DUMMYFUNCTION("""COMPUTED_VALUE"""),8.0)</f>
        <v>8</v>
      </c>
      <c r="AA778" s="10">
        <f>IFERROR(__xludf.DUMMYFUNCTION("""COMPUTED_VALUE"""),10.0)</f>
        <v>10</v>
      </c>
      <c r="AB778" s="10">
        <f>IFERROR(__xludf.DUMMYFUNCTION("""COMPUTED_VALUE"""),8.0)</f>
        <v>8</v>
      </c>
      <c r="AC778" s="10">
        <f>IFERROR(__xludf.DUMMYFUNCTION("""COMPUTED_VALUE"""),4.0)</f>
        <v>4</v>
      </c>
      <c r="AD778" s="10">
        <f>IFERROR(__xludf.DUMMYFUNCTION("""COMPUTED_VALUE"""),6.0)</f>
        <v>6</v>
      </c>
      <c r="AE778" s="10">
        <f>IFERROR(__xludf.DUMMYFUNCTION("""COMPUTED_VALUE"""),0.0)</f>
        <v>0</v>
      </c>
      <c r="AF778" s="10">
        <f>IFERROR(__xludf.DUMMYFUNCTION("""COMPUTED_VALUE"""),2.0)</f>
        <v>2</v>
      </c>
      <c r="AG778" s="10">
        <f>IFERROR(__xludf.DUMMYFUNCTION("""COMPUTED_VALUE"""),8.0)</f>
        <v>8</v>
      </c>
      <c r="AH778" s="10">
        <f>IFERROR(__xludf.DUMMYFUNCTION("""COMPUTED_VALUE"""),0.0)</f>
        <v>0</v>
      </c>
      <c r="AI778" s="10">
        <f>IFERROR(__xludf.DUMMYFUNCTION("""COMPUTED_VALUE"""),9.0)</f>
        <v>9</v>
      </c>
      <c r="AJ778" s="11" t="str">
        <f>IFERROR(__xludf.DUMMYFUNCTION("""COMPUTED_VALUE"""),"https://drive.google.com/open?id=1EnybGCWentbsaNDtsGS5f2mxKndRwMlE")</f>
        <v>https://drive.google.com/open?id=1EnybGCWentbsaNDtsGS5f2mxKndRwMlE</v>
      </c>
      <c r="AK778" s="12"/>
      <c r="AL778" s="12" t="str">
        <f>IFERROR(__xludf.DUMMYFUNCTION("""COMPUTED_VALUE"""),"Yes")</f>
        <v>Yes</v>
      </c>
      <c r="AM778" s="15">
        <f>IFERROR(__xludf.DUMMYFUNCTION("""COMPUTED_VALUE"""),1.0)</f>
        <v>1</v>
      </c>
      <c r="AN778" s="12" t="str">
        <f>IFERROR(__xludf.DUMMYFUNCTION("""COMPUTED_VALUE"""),"2nd week")</f>
        <v>2nd week</v>
      </c>
      <c r="AO778" s="13">
        <v>2.0</v>
      </c>
      <c r="AX778" s="17"/>
    </row>
    <row r="779">
      <c r="B779" s="9">
        <f>IFERROR(__xludf.DUMMYFUNCTION("""COMPUTED_VALUE"""),45960.26439053241)</f>
        <v>45960.26439</v>
      </c>
      <c r="C779" s="10" t="str">
        <f>IFERROR(__xludf.DUMMYFUNCTION("""COMPUTED_VALUE"""),"Saira Shahzad ")</f>
        <v>Saira Shahzad </v>
      </c>
      <c r="D779" s="10" t="str">
        <f>IFERROR(__xludf.DUMMYFUNCTION("""COMPUTED_VALUE"""),"03114534696")</f>
        <v>03114534696</v>
      </c>
      <c r="E779" s="10" t="str">
        <f>IFERROR(__xludf.DUMMYFUNCTION("""COMPUTED_VALUE"""),"Jamia Masjid Rehmaniya Ali Town Sargodha Road Faisalabad")</f>
        <v>Jamia Masjid Rehmaniya Ali Town Sargodha Road Faisalabad</v>
      </c>
      <c r="F779" s="10" t="str">
        <f>IFERROR(__xludf.DUMMYFUNCTION("""COMPUTED_VALUE"""),"rdzla")</f>
        <v>rdzla</v>
      </c>
      <c r="G779" s="10" t="str">
        <f>IFERROR(__xludf.DUMMYFUNCTION("""COMPUTED_VALUE"""),"Yes")</f>
        <v>Yes</v>
      </c>
      <c r="H779" s="10">
        <f>IFERROR(__xludf.DUMMYFUNCTION("""COMPUTED_VALUE"""),3.0)</f>
        <v>3</v>
      </c>
      <c r="I779" s="10">
        <f>IFERROR(__xludf.DUMMYFUNCTION("""COMPUTED_VALUE"""),7.0)</f>
        <v>7</v>
      </c>
      <c r="J779" s="10">
        <f>IFERROR(__xludf.DUMMYFUNCTION("""COMPUTED_VALUE"""),3.0)</f>
        <v>3</v>
      </c>
      <c r="K779" s="10">
        <f>IFERROR(__xludf.DUMMYFUNCTION("""COMPUTED_VALUE"""),2.0)</f>
        <v>2</v>
      </c>
      <c r="L779" s="10">
        <f>IFERROR(__xludf.DUMMYFUNCTION("""COMPUTED_VALUE"""),3.0)</f>
        <v>3</v>
      </c>
      <c r="M779" s="10">
        <f>IFERROR(__xludf.DUMMYFUNCTION("""COMPUTED_VALUE"""),1.0)</f>
        <v>1</v>
      </c>
      <c r="N779" s="10">
        <f>IFERROR(__xludf.DUMMYFUNCTION("""COMPUTED_VALUE"""),3.0)</f>
        <v>3</v>
      </c>
      <c r="O779" s="10">
        <f>IFERROR(__xludf.DUMMYFUNCTION("""COMPUTED_VALUE"""),0.0)</f>
        <v>0</v>
      </c>
      <c r="P779" s="10">
        <f>IFERROR(__xludf.DUMMYFUNCTION("""COMPUTED_VALUE"""),3.0)</f>
        <v>3</v>
      </c>
      <c r="Q779" s="10" t="str">
        <f>IFERROR(__xludf.DUMMYFUNCTION("""COMPUTED_VALUE"""),"No")</f>
        <v>No</v>
      </c>
      <c r="R779" s="10" t="str">
        <f>IFERROR(__xludf.DUMMYFUNCTION("""COMPUTED_VALUE"""),"No")</f>
        <v>No</v>
      </c>
      <c r="S779" s="10" t="str">
        <f>IFERROR(__xludf.DUMMYFUNCTION("""COMPUTED_VALUE"""),"No")</f>
        <v>No</v>
      </c>
      <c r="T779" s="10">
        <f>IFERROR(__xludf.DUMMYFUNCTION("""COMPUTED_VALUE"""),0.0)</f>
        <v>0</v>
      </c>
      <c r="U779" s="10">
        <f>IFERROR(__xludf.DUMMYFUNCTION("""COMPUTED_VALUE"""),0.0)</f>
        <v>0</v>
      </c>
      <c r="V779" s="10" t="str">
        <f>IFERROR(__xludf.DUMMYFUNCTION("""COMPUTED_VALUE"""),"حضور پاک صلی اللہ علیہ والہ وسلم کی عظمت اور شان")</f>
        <v>حضور پاک صلی اللہ علیہ والہ وسلم کی عظمت اور شان</v>
      </c>
      <c r="W779" s="10" t="str">
        <f>IFERROR(__xludf.DUMMYFUNCTION("""COMPUTED_VALUE"""),"امام نے اپنے بیان میں نبی پاک صلی اللہ علیہ والہ وسلم کی عظمت بیان کی ہے کہ آپ صلی اللہ علیہ والہ وسلم کو دونوں جہانوں کے لیے رحمت بنا کر بھیجا آپ کو بہت سے مشکلات پیش آئی مشرکینِ مکہ نے آپ کے خلاف بہت سے سازشیں کی پر کامیاب نہ ہو سکے اللہ تعالی نے فرمایا"&amp;" کہ میں نے اپنے محبوب کو سورج بنا کر بھیجا ہے اور اس کے ساتھ پڑوسیوں کے حقوق پر بھی تھوڑی بات کی کہ ہمیں پڑوسیوں کا خیال رکھنا چاہیے ان کی خوشی غمی میں شریک ہونا چاہیے")</f>
        <v>امام نے اپنے بیان میں نبی پاک صلی اللہ علیہ والہ وسلم کی عظمت بیان کی ہے کہ آپ صلی اللہ علیہ والہ وسلم کو دونوں جہانوں کے لیے رحمت بنا کر بھیجا آپ کو بہت سے مشکلات پیش آئی مشرکینِ مکہ نے آپ کے خلاف بہت سے سازشیں کی پر کامیاب نہ ہو سکے اللہ تعالی نے فرمایا کہ میں نے اپنے محبوب کو سورج بنا کر بھیجا ہے اور اس کے ساتھ پڑوسیوں کے حقوق پر بھی تھوڑی بات کی کہ ہمیں پڑوسیوں کا خیال رکھنا چاہیے ان کی خوشی غمی میں شریک ہونا چاہیے</v>
      </c>
      <c r="X779" s="10">
        <f>IFERROR(__xludf.DUMMYFUNCTION("""COMPUTED_VALUE"""),1.0)</f>
        <v>1</v>
      </c>
      <c r="Y779" s="10">
        <f>IFERROR(__xludf.DUMMYFUNCTION("""COMPUTED_VALUE"""),5.0)</f>
        <v>5</v>
      </c>
      <c r="Z779" s="10">
        <f>IFERROR(__xludf.DUMMYFUNCTION("""COMPUTED_VALUE"""),3.0)</f>
        <v>3</v>
      </c>
      <c r="AA779" s="10">
        <f>IFERROR(__xludf.DUMMYFUNCTION("""COMPUTED_VALUE"""),8.0)</f>
        <v>8</v>
      </c>
      <c r="AB779" s="10">
        <f>IFERROR(__xludf.DUMMYFUNCTION("""COMPUTED_VALUE"""),5.0)</f>
        <v>5</v>
      </c>
      <c r="AC779" s="10">
        <f>IFERROR(__xludf.DUMMYFUNCTION("""COMPUTED_VALUE"""),1.0)</f>
        <v>1</v>
      </c>
      <c r="AD779" s="10">
        <f>IFERROR(__xludf.DUMMYFUNCTION("""COMPUTED_VALUE"""),0.0)</f>
        <v>0</v>
      </c>
      <c r="AE779" s="10">
        <f>IFERROR(__xludf.DUMMYFUNCTION("""COMPUTED_VALUE"""),2.0)</f>
        <v>2</v>
      </c>
      <c r="AF779" s="10">
        <f>IFERROR(__xludf.DUMMYFUNCTION("""COMPUTED_VALUE"""),6.0)</f>
        <v>6</v>
      </c>
      <c r="AG779" s="10">
        <f>IFERROR(__xludf.DUMMYFUNCTION("""COMPUTED_VALUE"""),8.0)</f>
        <v>8</v>
      </c>
      <c r="AH779" s="10">
        <f>IFERROR(__xludf.DUMMYFUNCTION("""COMPUTED_VALUE"""),0.0)</f>
        <v>0</v>
      </c>
      <c r="AI779" s="10">
        <f>IFERROR(__xludf.DUMMYFUNCTION("""COMPUTED_VALUE"""),8.0)</f>
        <v>8</v>
      </c>
      <c r="AJ779" s="11" t="str">
        <f>IFERROR(__xludf.DUMMYFUNCTION("""COMPUTED_VALUE"""),"https://drive.google.com/open?id=1NzulmoVNakKME_U_xx1TZzCEj17p6zewCEamMFNGaTQ")</f>
        <v>https://drive.google.com/open?id=1NzulmoVNakKME_U_xx1TZzCEj17p6zewCEamMFNGaTQ</v>
      </c>
      <c r="AK779" s="12" t="str">
        <f>IFERROR(__xludf.DUMMYFUNCTION("""COMPUTED_VALUE"""),"آواز بہت خراب تھی بالکل کلیئر نہیں تھی اس وجہ سے لکھنے میں بہت مشکل ہوئی اور امام نے اردو کے علاوہ پنجابی زبان بھی استعمال کی")</f>
        <v>آواز بہت خراب تھی بالکل کلیئر نہیں تھی اس وجہ سے لکھنے میں بہت مشکل ہوئی اور امام نے اردو کے علاوہ پنجابی زبان بھی استعمال کی</v>
      </c>
      <c r="AL779" s="12" t="str">
        <f>IFERROR(__xludf.DUMMYFUNCTION("""COMPUTED_VALUE"""),"Yes")</f>
        <v>Yes</v>
      </c>
      <c r="AM779" s="15">
        <f>IFERROR(__xludf.DUMMYFUNCTION("""COMPUTED_VALUE"""),0.3)</f>
        <v>0.3</v>
      </c>
      <c r="AN779" s="12" t="str">
        <f>IFERROR(__xludf.DUMMYFUNCTION("""COMPUTED_VALUE"""),"1st week")</f>
        <v>1st week</v>
      </c>
      <c r="AO779" s="13">
        <v>1.0</v>
      </c>
      <c r="AX779" s="17"/>
    </row>
    <row r="780">
      <c r="B780" s="9">
        <f>IFERROR(__xludf.DUMMYFUNCTION("""COMPUTED_VALUE"""),45960.28754335648)</f>
        <v>45960.28754</v>
      </c>
      <c r="C780" s="10" t="str">
        <f>IFERROR(__xludf.DUMMYFUNCTION("""COMPUTED_VALUE"""),"Maham")</f>
        <v>Maham</v>
      </c>
      <c r="D780" s="10" t="str">
        <f>IFERROR(__xludf.DUMMYFUNCTION("""COMPUTED_VALUE"""),"03218118680")</f>
        <v>03218118680</v>
      </c>
      <c r="E780" s="10" t="str">
        <f>IFERROR(__xludf.DUMMYFUNCTION("""COMPUTED_VALUE"""),"Jamia Masjid Noor Shaheed Road Jhang")</f>
        <v>Jamia Masjid Noor Shaheed Road Jhang</v>
      </c>
      <c r="F780" s="10" t="str">
        <f>IFERROR(__xludf.DUMMYFUNCTION("""COMPUTED_VALUE"""),"fpyze")</f>
        <v>fpyze</v>
      </c>
      <c r="G780" s="10" t="str">
        <f>IFERROR(__xludf.DUMMYFUNCTION("""COMPUTED_VALUE"""),"Yes")</f>
        <v>Yes</v>
      </c>
      <c r="H780" s="10">
        <f>IFERROR(__xludf.DUMMYFUNCTION("""COMPUTED_VALUE"""),4.0)</f>
        <v>4</v>
      </c>
      <c r="I780" s="10">
        <f>IFERROR(__xludf.DUMMYFUNCTION("""COMPUTED_VALUE"""),6.0)</f>
        <v>6</v>
      </c>
      <c r="J780" s="10">
        <f>IFERROR(__xludf.DUMMYFUNCTION("""COMPUTED_VALUE"""),10.0)</f>
        <v>10</v>
      </c>
      <c r="K780" s="10">
        <f>IFERROR(__xludf.DUMMYFUNCTION("""COMPUTED_VALUE"""),0.0)</f>
        <v>0</v>
      </c>
      <c r="L780" s="10">
        <f>IFERROR(__xludf.DUMMYFUNCTION("""COMPUTED_VALUE"""),10.0)</f>
        <v>10</v>
      </c>
      <c r="M780" s="10">
        <f>IFERROR(__xludf.DUMMYFUNCTION("""COMPUTED_VALUE"""),0.0)</f>
        <v>0</v>
      </c>
      <c r="N780" s="10">
        <f>IFERROR(__xludf.DUMMYFUNCTION("""COMPUTED_VALUE"""),10.0)</f>
        <v>10</v>
      </c>
      <c r="O780" s="10">
        <f>IFERROR(__xludf.DUMMYFUNCTION("""COMPUTED_VALUE"""),0.0)</f>
        <v>0</v>
      </c>
      <c r="P780" s="10">
        <f>IFERROR(__xludf.DUMMYFUNCTION("""COMPUTED_VALUE"""),7.0)</f>
        <v>7</v>
      </c>
      <c r="Q780" s="10" t="str">
        <f>IFERROR(__xludf.DUMMYFUNCTION("""COMPUTED_VALUE"""),"No")</f>
        <v>No</v>
      </c>
      <c r="R780" s="10" t="str">
        <f>IFERROR(__xludf.DUMMYFUNCTION("""COMPUTED_VALUE"""),"Yes")</f>
        <v>Yes</v>
      </c>
      <c r="S780" s="10" t="str">
        <f>IFERROR(__xludf.DUMMYFUNCTION("""COMPUTED_VALUE"""),"No")</f>
        <v>No</v>
      </c>
      <c r="T780" s="10">
        <f>IFERROR(__xludf.DUMMYFUNCTION("""COMPUTED_VALUE"""),0.0)</f>
        <v>0</v>
      </c>
      <c r="U780" s="10">
        <f>IFERROR(__xludf.DUMMYFUNCTION("""COMPUTED_VALUE"""),0.0)</f>
        <v>0</v>
      </c>
      <c r="V780" s="10" t="str">
        <f>IFERROR(__xludf.DUMMYFUNCTION("""COMPUTED_VALUE"""),"پڑوسیوں کے حقوق")</f>
        <v>پڑوسیوں کے حقوق</v>
      </c>
      <c r="W780" s="10" t="str">
        <f>IFERROR(__xludf.DUMMYFUNCTION("""COMPUTED_VALUE"""),"پڑوسیوں کے حقوق پر بات کی گئی")</f>
        <v>پڑوسیوں کے حقوق پر بات کی گئی</v>
      </c>
      <c r="X780" s="10">
        <f>IFERROR(__xludf.DUMMYFUNCTION("""COMPUTED_VALUE"""),4.0)</f>
        <v>4</v>
      </c>
      <c r="Y780" s="10">
        <f>IFERROR(__xludf.DUMMYFUNCTION("""COMPUTED_VALUE"""),8.0)</f>
        <v>8</v>
      </c>
      <c r="Z780" s="10">
        <f>IFERROR(__xludf.DUMMYFUNCTION("""COMPUTED_VALUE"""),8.0)</f>
        <v>8</v>
      </c>
      <c r="AA780" s="10">
        <f>IFERROR(__xludf.DUMMYFUNCTION("""COMPUTED_VALUE"""),9.0)</f>
        <v>9</v>
      </c>
      <c r="AB780" s="10">
        <f>IFERROR(__xludf.DUMMYFUNCTION("""COMPUTED_VALUE"""),6.0)</f>
        <v>6</v>
      </c>
      <c r="AC780" s="10">
        <f>IFERROR(__xludf.DUMMYFUNCTION("""COMPUTED_VALUE"""),3.0)</f>
        <v>3</v>
      </c>
      <c r="AD780" s="10">
        <f>IFERROR(__xludf.DUMMYFUNCTION("""COMPUTED_VALUE"""),4.0)</f>
        <v>4</v>
      </c>
      <c r="AE780" s="10">
        <f>IFERROR(__xludf.DUMMYFUNCTION("""COMPUTED_VALUE"""),0.0)</f>
        <v>0</v>
      </c>
      <c r="AF780" s="10">
        <f>IFERROR(__xludf.DUMMYFUNCTION("""COMPUTED_VALUE"""),3.0)</f>
        <v>3</v>
      </c>
      <c r="AG780" s="10">
        <f>IFERROR(__xludf.DUMMYFUNCTION("""COMPUTED_VALUE"""),8.0)</f>
        <v>8</v>
      </c>
      <c r="AH780" s="10">
        <f>IFERROR(__xludf.DUMMYFUNCTION("""COMPUTED_VALUE"""),0.0)</f>
        <v>0</v>
      </c>
      <c r="AI780" s="10">
        <f>IFERROR(__xludf.DUMMYFUNCTION("""COMPUTED_VALUE"""),9.0)</f>
        <v>9</v>
      </c>
      <c r="AJ780" s="11" t="str">
        <f>IFERROR(__xludf.DUMMYFUNCTION("""COMPUTED_VALUE"""),"https://drive.google.com/open?id=1EBKl-91rNDXDDgnuyJcFyKPK_X1Z6F4M")</f>
        <v>https://drive.google.com/open?id=1EBKl-91rNDXDDgnuyJcFyKPK_X1Z6F4M</v>
      </c>
      <c r="AK780" s="12"/>
      <c r="AL780" s="12" t="str">
        <f>IFERROR(__xludf.DUMMYFUNCTION("""COMPUTED_VALUE"""),"Yes")</f>
        <v>Yes</v>
      </c>
      <c r="AM780" s="15">
        <f>IFERROR(__xludf.DUMMYFUNCTION("""COMPUTED_VALUE"""),0.9)</f>
        <v>0.9</v>
      </c>
      <c r="AN780" s="12" t="str">
        <f>IFERROR(__xludf.DUMMYFUNCTION("""COMPUTED_VALUE"""),"2nd week")</f>
        <v>2nd week</v>
      </c>
      <c r="AO780" s="13">
        <v>2.0</v>
      </c>
      <c r="AX780" s="17"/>
    </row>
    <row r="781">
      <c r="B781" s="9">
        <f>IFERROR(__xludf.DUMMYFUNCTION("""COMPUTED_VALUE"""),45960.368445659726)</f>
        <v>45960.36845</v>
      </c>
      <c r="C781" s="10" t="str">
        <f>IFERROR(__xludf.DUMMYFUNCTION("""COMPUTED_VALUE"""),"Atiqa ")</f>
        <v>Atiqa </v>
      </c>
      <c r="D781" s="10" t="str">
        <f>IFERROR(__xludf.DUMMYFUNCTION("""COMPUTED_VALUE"""),"03157519977")</f>
        <v>03157519977</v>
      </c>
      <c r="E781" s="10" t="str">
        <f>IFERROR(__xludf.DUMMYFUNCTION("""COMPUTED_VALUE"""),"Jamia Masjid Gool Karyana Karkhana Bazar Faisalabad")</f>
        <v>Jamia Masjid Gool Karyana Karkhana Bazar Faisalabad</v>
      </c>
      <c r="F781" s="10" t="str">
        <f>IFERROR(__xludf.DUMMYFUNCTION("""COMPUTED_VALUE"""),"xlemr")</f>
        <v>xlemr</v>
      </c>
      <c r="G781" s="10" t="str">
        <f>IFERROR(__xludf.DUMMYFUNCTION("""COMPUTED_VALUE"""),"No")</f>
        <v>No</v>
      </c>
      <c r="H781" s="10"/>
      <c r="I781" s="10"/>
      <c r="J781" s="10"/>
      <c r="K781" s="10">
        <f>IFERROR(__xludf.DUMMYFUNCTION("""COMPUTED_VALUE"""),0.0)</f>
        <v>0</v>
      </c>
      <c r="L781" s="10">
        <f>IFERROR(__xludf.DUMMYFUNCTION("""COMPUTED_VALUE"""),0.0)</f>
        <v>0</v>
      </c>
      <c r="M781" s="10">
        <f>IFERROR(__xludf.DUMMYFUNCTION("""COMPUTED_VALUE"""),0.0)</f>
        <v>0</v>
      </c>
      <c r="N781" s="10">
        <f>IFERROR(__xludf.DUMMYFUNCTION("""COMPUTED_VALUE"""),0.0)</f>
        <v>0</v>
      </c>
      <c r="O781" s="10">
        <f>IFERROR(__xludf.DUMMYFUNCTION("""COMPUTED_VALUE"""),0.0)</f>
        <v>0</v>
      </c>
      <c r="P781" s="10">
        <f>IFERROR(__xludf.DUMMYFUNCTION("""COMPUTED_VALUE"""),0.0)</f>
        <v>0</v>
      </c>
      <c r="Q781" s="10" t="str">
        <f>IFERROR(__xludf.DUMMYFUNCTION("""COMPUTED_VALUE"""),"No")</f>
        <v>No</v>
      </c>
      <c r="R781" s="10" t="str">
        <f>IFERROR(__xludf.DUMMYFUNCTION("""COMPUTED_VALUE"""),"No")</f>
        <v>No</v>
      </c>
      <c r="S781" s="10" t="str">
        <f>IFERROR(__xludf.DUMMYFUNCTION("""COMPUTED_VALUE"""),"No")</f>
        <v>No</v>
      </c>
      <c r="T781" s="10">
        <f>IFERROR(__xludf.DUMMYFUNCTION("""COMPUTED_VALUE"""),0.0)</f>
        <v>0</v>
      </c>
      <c r="U781" s="10">
        <f>IFERROR(__xludf.DUMMYFUNCTION("""COMPUTED_VALUE"""),0.0)</f>
        <v>0</v>
      </c>
      <c r="V781" s="10" t="str">
        <f>IFERROR(__xludf.DUMMYFUNCTION("""COMPUTED_VALUE"""),"کامیابی کا مدار محنت پر ")</f>
        <v>کامیابی کا مدار محنت پر </v>
      </c>
      <c r="W781" s="10" t="str">
        <f>IFERROR(__xludf.DUMMYFUNCTION("""COMPUTED_VALUE"""),"امام نے قران پاک کی ایت ارشاد فرمائی جس میں لوگوں کو اعمال میں ایک دوسرے سے اگے بڑھنے اور سستی نہ کرنے کی تلقین کی گئی ، اور یہ کہ غیر مسلموں نے اپنی محنت اور جستجو سے بہت بڑے بڑے کارنامے سر انجام دیے اور یہ فرمایا کہ اللہ کی مدد صرف مسلمانوں اور ایمان وا"&amp;"لوں کے لیے نہیں بلکہ جتنے بھی غیر مسلم اور کسی بھی مذہب سے تعلق رکھنے والے ہوں بلکہ محنت کرنے والوں کے ساتھ ہے، اپ صلی اللہ علیہ وسلم کا ایک شخص کو دو درہم سے بکری خرید کر لانے کا کہنا تو اس کا  کاروباری سوجھ بوجھ سے  بکری اور دو درہم  بھی واپس لے انے کا "&amp;"واقعہ بیان کیا  ")</f>
        <v>امام نے قران پاک کی ایت ارشاد فرمائی جس میں لوگوں کو اعمال میں ایک دوسرے سے اگے بڑھنے اور سستی نہ کرنے کی تلقین کی گئی ، اور یہ کہ غیر مسلموں نے اپنی محنت اور جستجو سے بہت بڑے بڑے کارنامے سر انجام دیے اور یہ فرمایا کہ اللہ کی مدد صرف مسلمانوں اور ایمان والوں کے لیے نہیں بلکہ جتنے بھی غیر مسلم اور کسی بھی مذہب سے تعلق رکھنے والے ہوں بلکہ محنت کرنے والوں کے ساتھ ہے، اپ صلی اللہ علیہ وسلم کا ایک شخص کو دو درہم سے بکری خرید کر لانے کا کہنا تو اس کا  کاروباری سوجھ بوجھ سے  بکری اور دو درہم  بھی واپس لے انے کا واقعہ بیان کیا  </v>
      </c>
      <c r="X781" s="10">
        <f>IFERROR(__xludf.DUMMYFUNCTION("""COMPUTED_VALUE"""),7.0)</f>
        <v>7</v>
      </c>
      <c r="Y781" s="10">
        <f>IFERROR(__xludf.DUMMYFUNCTION("""COMPUTED_VALUE"""),3.0)</f>
        <v>3</v>
      </c>
      <c r="Z781" s="10">
        <f>IFERROR(__xludf.DUMMYFUNCTION("""COMPUTED_VALUE"""),7.0)</f>
        <v>7</v>
      </c>
      <c r="AA781" s="10">
        <f>IFERROR(__xludf.DUMMYFUNCTION("""COMPUTED_VALUE"""),8.0)</f>
        <v>8</v>
      </c>
      <c r="AB781" s="10">
        <f>IFERROR(__xludf.DUMMYFUNCTION("""COMPUTED_VALUE"""),8.0)</f>
        <v>8</v>
      </c>
      <c r="AC781" s="10">
        <f>IFERROR(__xludf.DUMMYFUNCTION("""COMPUTED_VALUE"""),3.0)</f>
        <v>3</v>
      </c>
      <c r="AD781" s="10">
        <f>IFERROR(__xludf.DUMMYFUNCTION("""COMPUTED_VALUE"""),8.0)</f>
        <v>8</v>
      </c>
      <c r="AE781" s="10">
        <f>IFERROR(__xludf.DUMMYFUNCTION("""COMPUTED_VALUE"""),4.0)</f>
        <v>4</v>
      </c>
      <c r="AF781" s="10">
        <f>IFERROR(__xludf.DUMMYFUNCTION("""COMPUTED_VALUE"""),4.0)</f>
        <v>4</v>
      </c>
      <c r="AG781" s="10">
        <f>IFERROR(__xludf.DUMMYFUNCTION("""COMPUTED_VALUE"""),9.0)</f>
        <v>9</v>
      </c>
      <c r="AH781" s="10">
        <f>IFERROR(__xludf.DUMMYFUNCTION("""COMPUTED_VALUE"""),0.0)</f>
        <v>0</v>
      </c>
      <c r="AI781" s="10">
        <f>IFERROR(__xludf.DUMMYFUNCTION("""COMPUTED_VALUE"""),8.0)</f>
        <v>8</v>
      </c>
      <c r="AJ781" s="14"/>
      <c r="AK781" s="12"/>
      <c r="AL781" s="12"/>
      <c r="AM781" s="12"/>
      <c r="AN781" s="12"/>
      <c r="AO781" s="13">
        <v>2.0</v>
      </c>
      <c r="AX781" s="17"/>
    </row>
    <row r="782">
      <c r="B782" s="9">
        <f>IFERROR(__xludf.DUMMYFUNCTION("""COMPUTED_VALUE"""),45960.469730625)</f>
        <v>45960.46973</v>
      </c>
      <c r="C782" s="10" t="str">
        <f>IFERROR(__xludf.DUMMYFUNCTION("""COMPUTED_VALUE"""),"Asma Gul ")</f>
        <v>Asma Gul </v>
      </c>
      <c r="D782" s="10" t="str">
        <f>IFERROR(__xludf.DUMMYFUNCTION("""COMPUTED_VALUE"""),"03459308620")</f>
        <v>03459308620</v>
      </c>
      <c r="E782" s="10" t="str">
        <f>IFERROR(__xludf.DUMMYFUNCTION("""COMPUTED_VALUE"""),"Jamia Masjid Gaalah Mandi Burewala")</f>
        <v>Jamia Masjid Gaalah Mandi Burewala</v>
      </c>
      <c r="F782" s="10" t="str">
        <f>IFERROR(__xludf.DUMMYFUNCTION("""COMPUTED_VALUE"""),"LNPQP")</f>
        <v>LNPQP</v>
      </c>
      <c r="G782" s="10" t="str">
        <f>IFERROR(__xludf.DUMMYFUNCTION("""COMPUTED_VALUE"""),"Yes")</f>
        <v>Yes</v>
      </c>
      <c r="H782" s="10">
        <f>IFERROR(__xludf.DUMMYFUNCTION("""COMPUTED_VALUE"""),3.0)</f>
        <v>3</v>
      </c>
      <c r="I782" s="10">
        <f>IFERROR(__xludf.DUMMYFUNCTION("""COMPUTED_VALUE"""),8.0)</f>
        <v>8</v>
      </c>
      <c r="J782" s="10">
        <f>IFERROR(__xludf.DUMMYFUNCTION("""COMPUTED_VALUE"""),4.0)</f>
        <v>4</v>
      </c>
      <c r="K782" s="10">
        <f>IFERROR(__xludf.DUMMYFUNCTION("""COMPUTED_VALUE"""),6.0)</f>
        <v>6</v>
      </c>
      <c r="L782" s="10">
        <f>IFERROR(__xludf.DUMMYFUNCTION("""COMPUTED_VALUE"""),6.0)</f>
        <v>6</v>
      </c>
      <c r="M782" s="10">
        <f>IFERROR(__xludf.DUMMYFUNCTION("""COMPUTED_VALUE"""),6.0)</f>
        <v>6</v>
      </c>
      <c r="N782" s="10">
        <f>IFERROR(__xludf.DUMMYFUNCTION("""COMPUTED_VALUE"""),8.0)</f>
        <v>8</v>
      </c>
      <c r="O782" s="10">
        <f>IFERROR(__xludf.DUMMYFUNCTION("""COMPUTED_VALUE"""),0.0)</f>
        <v>0</v>
      </c>
      <c r="P782" s="10">
        <f>IFERROR(__xludf.DUMMYFUNCTION("""COMPUTED_VALUE"""),6.0)</f>
        <v>6</v>
      </c>
      <c r="Q782" s="10" t="str">
        <f>IFERROR(__xludf.DUMMYFUNCTION("""COMPUTED_VALUE"""),"No")</f>
        <v>No</v>
      </c>
      <c r="R782" s="10" t="str">
        <f>IFERROR(__xludf.DUMMYFUNCTION("""COMPUTED_VALUE"""),"No")</f>
        <v>No</v>
      </c>
      <c r="S782" s="10" t="str">
        <f>IFERROR(__xludf.DUMMYFUNCTION("""COMPUTED_VALUE"""),"Yes")</f>
        <v>Yes</v>
      </c>
      <c r="T782" s="10">
        <f>IFERROR(__xludf.DUMMYFUNCTION("""COMPUTED_VALUE"""),2.0)</f>
        <v>2</v>
      </c>
      <c r="U782" s="10">
        <f>IFERROR(__xludf.DUMMYFUNCTION("""COMPUTED_VALUE"""),0.0)</f>
        <v>0</v>
      </c>
      <c r="V782" s="10" t="str">
        <f>IFERROR(__xludf.DUMMYFUNCTION("""COMPUTED_VALUE"""),"حضرت غوث الاعظمؒ کی ولایت، عبادت، کرامات اور ایمان مضبوط کرنے کا پیغام")</f>
        <v>حضرت غوث الاعظمؒ کی ولایت، عبادت، کرامات اور ایمان مضبوط کرنے کا پیغام</v>
      </c>
      <c r="W782" s="10" t="str">
        <f>IFERROR(__xludf.DUMMYFUNCTION("""COMPUTED_VALUE"""),"امام صاحب نے بتایا کہ حضرت غوث الاعظمؒ نے ساری زندگی عبادت، علم اور خدمتِ دین میں گزاری۔
انہوں نے شیطان کے فریب کو علم اور ایمان سے پہچانا، اور امت کو سچائی پر قائم رہنے کی نصیحت کی۔
امام صاحب نے عورتوں کے احترام، پڑوسیوں کے ساتھ اچھے سلوک اور صفائی کی تا"&amp;"کید کی۔
انہوں نے کہا کہ نماز، نرمی، اور پاکیزگی ایمان کا حصہ ہیں۔
آخر میں فرمایا کہ مسجد کی باتوں پر عمل کر کے گھر والوں کو بھی دین کی طرف راغب کرو۔")</f>
        <v>امام صاحب نے بتایا کہ حضرت غوث الاعظمؒ نے ساری زندگی عبادت، علم اور خدمتِ دین میں گزاری۔
انہوں نے شیطان کے فریب کو علم اور ایمان سے پہچانا، اور امت کو سچائی پر قائم رہنے کی نصیحت کی۔
امام صاحب نے عورتوں کے احترام، پڑوسیوں کے ساتھ اچھے سلوک اور صفائی کی تاکید کی۔
انہوں نے کہا کہ نماز، نرمی، اور پاکیزگی ایمان کا حصہ ہیں۔
آخر میں فرمایا کہ مسجد کی باتوں پر عمل کر کے گھر والوں کو بھی دین کی طرف راغب کرو۔</v>
      </c>
      <c r="X782" s="10">
        <f>IFERROR(__xludf.DUMMYFUNCTION("""COMPUTED_VALUE"""),9.0)</f>
        <v>9</v>
      </c>
      <c r="Y782" s="10">
        <f>IFERROR(__xludf.DUMMYFUNCTION("""COMPUTED_VALUE"""),8.0)</f>
        <v>8</v>
      </c>
      <c r="Z782" s="10">
        <f>IFERROR(__xludf.DUMMYFUNCTION("""COMPUTED_VALUE"""),6.0)</f>
        <v>6</v>
      </c>
      <c r="AA782" s="10">
        <f>IFERROR(__xludf.DUMMYFUNCTION("""COMPUTED_VALUE"""),9.0)</f>
        <v>9</v>
      </c>
      <c r="AB782" s="10">
        <f>IFERROR(__xludf.DUMMYFUNCTION("""COMPUTED_VALUE"""),9.0)</f>
        <v>9</v>
      </c>
      <c r="AC782" s="10">
        <f>IFERROR(__xludf.DUMMYFUNCTION("""COMPUTED_VALUE"""),5.0)</f>
        <v>5</v>
      </c>
      <c r="AD782" s="10">
        <f>IFERROR(__xludf.DUMMYFUNCTION("""COMPUTED_VALUE"""),0.0)</f>
        <v>0</v>
      </c>
      <c r="AE782" s="10">
        <f>IFERROR(__xludf.DUMMYFUNCTION("""COMPUTED_VALUE"""),0.0)</f>
        <v>0</v>
      </c>
      <c r="AF782" s="10">
        <f>IFERROR(__xludf.DUMMYFUNCTION("""COMPUTED_VALUE"""),2.0)</f>
        <v>2</v>
      </c>
      <c r="AG782" s="10">
        <f>IFERROR(__xludf.DUMMYFUNCTION("""COMPUTED_VALUE"""),8.0)</f>
        <v>8</v>
      </c>
      <c r="AH782" s="10">
        <f>IFERROR(__xludf.DUMMYFUNCTION("""COMPUTED_VALUE"""),2.0)</f>
        <v>2</v>
      </c>
      <c r="AI782" s="10">
        <f>IFERROR(__xludf.DUMMYFUNCTION("""COMPUTED_VALUE"""),9.0)</f>
        <v>9</v>
      </c>
      <c r="AJ782" s="11" t="str">
        <f>IFERROR(__xludf.DUMMYFUNCTION("""COMPUTED_VALUE"""),"https://drive.google.com/open?id=1NWko2c6-LHbRoCKHpc63IlxeYUfQl-GF")</f>
        <v>https://drive.google.com/open?id=1NWko2c6-LHbRoCKHpc63IlxeYUfQl-GF</v>
      </c>
      <c r="AK782" s="12" t="str">
        <f>IFERROR(__xludf.DUMMYFUNCTION("""COMPUTED_VALUE"""),"امام نے اپنے بیان میں یہ بات کی ہے کہ بدقسمتی سے ہم پہ عورت حکمرانی کر رہی ہے سب مرد مردہ ہو گئے ہیں یہ ایک قدا مت پسند بیان تھا اور عورتوں کے حقوق کے خلاف تھا
امام نے زیادہ ٹائم غوث پاک رحمت اللہ علیہ کے بارے میں بتایا اور اخری پانچ منٹ میں محلے کی صفائی"&amp;" اور پڑوسیوں کے حقوق کے بارے میں بتایا")</f>
        <v>امام نے اپنے بیان میں یہ بات کی ہے کہ بدقسمتی سے ہم پہ عورت حکمرانی کر رہی ہے سب مرد مردہ ہو گئے ہیں یہ ایک قدا مت پسند بیان تھا اور عورتوں کے حقوق کے خلاف تھا
امام نے زیادہ ٹائم غوث پاک رحمت اللہ علیہ کے بارے میں بتایا اور اخری پانچ منٹ میں محلے کی صفائی اور پڑوسیوں کے حقوق کے بارے میں بتایا</v>
      </c>
      <c r="AL782" s="12" t="str">
        <f>IFERROR(__xludf.DUMMYFUNCTION("""COMPUTED_VALUE"""),"Yes")</f>
        <v>Yes</v>
      </c>
      <c r="AM782" s="15">
        <f>IFERROR(__xludf.DUMMYFUNCTION("""COMPUTED_VALUE"""),0.3)</f>
        <v>0.3</v>
      </c>
      <c r="AN782" s="12" t="str">
        <f>IFERROR(__xludf.DUMMYFUNCTION("""COMPUTED_VALUE"""),"4th week")</f>
        <v>4th week</v>
      </c>
      <c r="AO782" s="13">
        <v>4.0</v>
      </c>
      <c r="AX782" s="17"/>
    </row>
    <row r="783">
      <c r="B783" s="9">
        <f>IFERROR(__xludf.DUMMYFUNCTION("""COMPUTED_VALUE"""),45960.60473577546)</f>
        <v>45960.60474</v>
      </c>
      <c r="C783" s="10" t="str">
        <f>IFERROR(__xludf.DUMMYFUNCTION("""COMPUTED_VALUE"""),"Maham")</f>
        <v>Maham</v>
      </c>
      <c r="D783" s="10" t="str">
        <f>IFERROR(__xludf.DUMMYFUNCTION("""COMPUTED_VALUE"""),"03218118680")</f>
        <v>03218118680</v>
      </c>
      <c r="E783" s="10" t="str">
        <f>IFERROR(__xludf.DUMMYFUNCTION("""COMPUTED_VALUE"""),"Jamia Masjid Qaziya Nawali Jhang")</f>
        <v>Jamia Masjid Qaziya Nawali Jhang</v>
      </c>
      <c r="F783" s="10" t="str">
        <f>IFERROR(__xludf.DUMMYFUNCTION("""COMPUTED_VALUE"""),"vemox")</f>
        <v>vemox</v>
      </c>
      <c r="G783" s="10" t="str">
        <f>IFERROR(__xludf.DUMMYFUNCTION("""COMPUTED_VALUE"""),"No")</f>
        <v>No</v>
      </c>
      <c r="H783" s="10"/>
      <c r="I783" s="10"/>
      <c r="J783" s="10"/>
      <c r="K783" s="10">
        <f>IFERROR(__xludf.DUMMYFUNCTION("""COMPUTED_VALUE"""),0.0)</f>
        <v>0</v>
      </c>
      <c r="L783" s="10">
        <f>IFERROR(__xludf.DUMMYFUNCTION("""COMPUTED_VALUE"""),0.0)</f>
        <v>0</v>
      </c>
      <c r="M783" s="10">
        <f>IFERROR(__xludf.DUMMYFUNCTION("""COMPUTED_VALUE"""),0.0)</f>
        <v>0</v>
      </c>
      <c r="N783" s="10">
        <f>IFERROR(__xludf.DUMMYFUNCTION("""COMPUTED_VALUE"""),0.0)</f>
        <v>0</v>
      </c>
      <c r="O783" s="10">
        <f>IFERROR(__xludf.DUMMYFUNCTION("""COMPUTED_VALUE"""),0.0)</f>
        <v>0</v>
      </c>
      <c r="P783" s="10">
        <f>IFERROR(__xludf.DUMMYFUNCTION("""COMPUTED_VALUE"""),0.0)</f>
        <v>0</v>
      </c>
      <c r="Q783" s="10" t="str">
        <f>IFERROR(__xludf.DUMMYFUNCTION("""COMPUTED_VALUE"""),"No")</f>
        <v>No</v>
      </c>
      <c r="R783" s="10" t="str">
        <f>IFERROR(__xludf.DUMMYFUNCTION("""COMPUTED_VALUE"""),"No")</f>
        <v>No</v>
      </c>
      <c r="S783" s="10" t="str">
        <f>IFERROR(__xludf.DUMMYFUNCTION("""COMPUTED_VALUE"""),"No")</f>
        <v>No</v>
      </c>
      <c r="T783" s="10">
        <f>IFERROR(__xludf.DUMMYFUNCTION("""COMPUTED_VALUE"""),0.0)</f>
        <v>0</v>
      </c>
      <c r="U783" s="10">
        <f>IFERROR(__xludf.DUMMYFUNCTION("""COMPUTED_VALUE"""),0.0)</f>
        <v>0</v>
      </c>
      <c r="V783" s="10" t="str">
        <f>IFERROR(__xludf.DUMMYFUNCTION("""COMPUTED_VALUE"""),"اللہ تعالی کی وحدانیت اللہ تعالی کا شکر")</f>
        <v>اللہ تعالی کی وحدانیت اللہ تعالی کا شکر</v>
      </c>
      <c r="W783" s="10" t="str">
        <f>IFERROR(__xludf.DUMMYFUNCTION("""COMPUTED_VALUE"""),"ہمیں ہر حال میں اللہ تعالی کی وحدانیت پر یقین رکھنا چاہیے اللہ تعالی ہی ہے جو ساری مخلوقات کو پالنے والا ہے ہمیں اللہ تعالی کا ہر حال میں شکر ادا کرنا چاہیے اس نے ہمیں اشرف المخلوقات پیدا کیا اپنے رشتہ داروں کے ساتھ صلح رحمی کریں اور اگر اپ کے پاس رزق ہے "&amp;"تو اسے اللہ کی مخلوق میں بانٹیں")</f>
        <v>ہمیں ہر حال میں اللہ تعالی کی وحدانیت پر یقین رکھنا چاہیے اللہ تعالی ہی ہے جو ساری مخلوقات کو پالنے والا ہے ہمیں اللہ تعالی کا ہر حال میں شکر ادا کرنا چاہیے اس نے ہمیں اشرف المخلوقات پیدا کیا اپنے رشتہ داروں کے ساتھ صلح رحمی کریں اور اگر اپ کے پاس رزق ہے تو اسے اللہ کی مخلوق میں بانٹیں</v>
      </c>
      <c r="X783" s="10">
        <f>IFERROR(__xludf.DUMMYFUNCTION("""COMPUTED_VALUE"""),10.0)</f>
        <v>10</v>
      </c>
      <c r="Y783" s="10">
        <f>IFERROR(__xludf.DUMMYFUNCTION("""COMPUTED_VALUE"""),6.0)</f>
        <v>6</v>
      </c>
      <c r="Z783" s="10">
        <f>IFERROR(__xludf.DUMMYFUNCTION("""COMPUTED_VALUE"""),7.0)</f>
        <v>7</v>
      </c>
      <c r="AA783" s="10">
        <f>IFERROR(__xludf.DUMMYFUNCTION("""COMPUTED_VALUE"""),7.0)</f>
        <v>7</v>
      </c>
      <c r="AB783" s="10">
        <f>IFERROR(__xludf.DUMMYFUNCTION("""COMPUTED_VALUE"""),5.0)</f>
        <v>5</v>
      </c>
      <c r="AC783" s="10">
        <f>IFERROR(__xludf.DUMMYFUNCTION("""COMPUTED_VALUE"""),2.0)</f>
        <v>2</v>
      </c>
      <c r="AD783" s="10">
        <f>IFERROR(__xludf.DUMMYFUNCTION("""COMPUTED_VALUE"""),3.0)</f>
        <v>3</v>
      </c>
      <c r="AE783" s="10">
        <f>IFERROR(__xludf.DUMMYFUNCTION("""COMPUTED_VALUE"""),2.0)</f>
        <v>2</v>
      </c>
      <c r="AF783" s="10">
        <f>IFERROR(__xludf.DUMMYFUNCTION("""COMPUTED_VALUE"""),7.0)</f>
        <v>7</v>
      </c>
      <c r="AG783" s="10">
        <f>IFERROR(__xludf.DUMMYFUNCTION("""COMPUTED_VALUE"""),8.0)</f>
        <v>8</v>
      </c>
      <c r="AH783" s="10">
        <f>IFERROR(__xludf.DUMMYFUNCTION("""COMPUTED_VALUE"""),0.0)</f>
        <v>0</v>
      </c>
      <c r="AI783" s="10">
        <f>IFERROR(__xludf.DUMMYFUNCTION("""COMPUTED_VALUE"""),8.0)</f>
        <v>8</v>
      </c>
      <c r="AJ783" s="14"/>
      <c r="AK783" s="12"/>
      <c r="AL783" s="12"/>
      <c r="AM783" s="12"/>
      <c r="AN783" s="12" t="str">
        <f>IFERROR(__xludf.DUMMYFUNCTION("""COMPUTED_VALUE"""),"delete")</f>
        <v>delete</v>
      </c>
      <c r="AO783" s="13">
        <v>2.0</v>
      </c>
      <c r="AX783" s="17"/>
    </row>
    <row r="784">
      <c r="B784" s="9">
        <f>IFERROR(__xludf.DUMMYFUNCTION("""COMPUTED_VALUE"""),45960.608069027774)</f>
        <v>45960.60807</v>
      </c>
      <c r="C784" s="10" t="str">
        <f>IFERROR(__xludf.DUMMYFUNCTION("""COMPUTED_VALUE"""),"Arti Kumari ")</f>
        <v>Arti Kumari </v>
      </c>
      <c r="D784" s="10" t="str">
        <f>IFERROR(__xludf.DUMMYFUNCTION("""COMPUTED_VALUE"""),"03346661865")</f>
        <v>03346661865</v>
      </c>
      <c r="E784" s="10" t="str">
        <f>IFERROR(__xludf.DUMMYFUNCTION("""COMPUTED_VALUE"""),"Jamia Masjid C Block Arifwala")</f>
        <v>Jamia Masjid C Block Arifwala</v>
      </c>
      <c r="F784" s="10" t="str">
        <f>IFERROR(__xludf.DUMMYFUNCTION("""COMPUTED_VALUE"""),"FSJBU")</f>
        <v>FSJBU</v>
      </c>
      <c r="G784" s="10" t="str">
        <f>IFERROR(__xludf.DUMMYFUNCTION("""COMPUTED_VALUE"""),"Yes")</f>
        <v>Yes</v>
      </c>
      <c r="H784" s="10">
        <f>IFERROR(__xludf.DUMMYFUNCTION("""COMPUTED_VALUE"""),0.0)</f>
        <v>0</v>
      </c>
      <c r="I784" s="10">
        <f>IFERROR(__xludf.DUMMYFUNCTION("""COMPUTED_VALUE"""),10.0)</f>
        <v>10</v>
      </c>
      <c r="J784" s="10">
        <f>IFERROR(__xludf.DUMMYFUNCTION("""COMPUTED_VALUE"""),0.0)</f>
        <v>0</v>
      </c>
      <c r="K784" s="10">
        <f>IFERROR(__xludf.DUMMYFUNCTION("""COMPUTED_VALUE"""),0.0)</f>
        <v>0</v>
      </c>
      <c r="L784" s="10">
        <f>IFERROR(__xludf.DUMMYFUNCTION("""COMPUTED_VALUE"""),0.0)</f>
        <v>0</v>
      </c>
      <c r="M784" s="10">
        <f>IFERROR(__xludf.DUMMYFUNCTION("""COMPUTED_VALUE"""),0.0)</f>
        <v>0</v>
      </c>
      <c r="N784" s="10">
        <f>IFERROR(__xludf.DUMMYFUNCTION("""COMPUTED_VALUE"""),0.0)</f>
        <v>0</v>
      </c>
      <c r="O784" s="10">
        <f>IFERROR(__xludf.DUMMYFUNCTION("""COMPUTED_VALUE"""),0.0)</f>
        <v>0</v>
      </c>
      <c r="P784" s="10">
        <f>IFERROR(__xludf.DUMMYFUNCTION("""COMPUTED_VALUE"""),0.0)</f>
        <v>0</v>
      </c>
      <c r="Q784" s="10" t="str">
        <f>IFERROR(__xludf.DUMMYFUNCTION("""COMPUTED_VALUE"""),"No")</f>
        <v>No</v>
      </c>
      <c r="R784" s="10" t="str">
        <f>IFERROR(__xludf.DUMMYFUNCTION("""COMPUTED_VALUE"""),"No")</f>
        <v>No</v>
      </c>
      <c r="S784" s="10" t="str">
        <f>IFERROR(__xludf.DUMMYFUNCTION("""COMPUTED_VALUE"""),"No")</f>
        <v>No</v>
      </c>
      <c r="T784" s="10">
        <f>IFERROR(__xludf.DUMMYFUNCTION("""COMPUTED_VALUE"""),0.0)</f>
        <v>0</v>
      </c>
      <c r="U784" s="10">
        <f>IFERROR(__xludf.DUMMYFUNCTION("""COMPUTED_VALUE"""),0.0)</f>
        <v>0</v>
      </c>
      <c r="V784" s="10" t="str">
        <f>IFERROR(__xludf.DUMMYFUNCTION("""COMPUTED_VALUE"""),"رسول پاک کے آخری لمحات ")</f>
        <v>رسول پاک کے آخری لمحات </v>
      </c>
      <c r="W784" s="10" t="str">
        <f>IFERROR(__xludf.DUMMYFUNCTION("""COMPUTED_VALUE"""),"امام نے خطبے میں رسول پاک کی زندگی کے بارے میں بتایا کہ ان کا سلوک ہر کسی کے ساتھ ساتھ اچھا تھا لوگ انہیں صادق و امین کے نام سے بلاتے تھے لیکن چالیس سال کی عمر کے بعد لاگ آپ کے دشمن بن گے آپ کو جادو گر سوداگر اور طرح طرح کر ناموں سے پکارتے تھے۔ اور رسول ک"&amp;"ے آخری لمحات کا زکر کیا کی آپ بیمار ہو گئے لیکن آپ نے نماز نہ چھوڑی")</f>
        <v>امام نے خطبے میں رسول پاک کی زندگی کے بارے میں بتایا کہ ان کا سلوک ہر کسی کے ساتھ ساتھ اچھا تھا لوگ انہیں صادق و امین کے نام سے بلاتے تھے لیکن چالیس سال کی عمر کے بعد لاگ آپ کے دشمن بن گے آپ کو جادو گر سوداگر اور طرح طرح کر ناموں سے پکارتے تھے۔ اور رسول کے آخری لمحات کا زکر کیا کی آپ بیمار ہو گئے لیکن آپ نے نماز نہ چھوڑی</v>
      </c>
      <c r="X784" s="10">
        <f>IFERROR(__xludf.DUMMYFUNCTION("""COMPUTED_VALUE"""),2.0)</f>
        <v>2</v>
      </c>
      <c r="Y784" s="10">
        <f>IFERROR(__xludf.DUMMYFUNCTION("""COMPUTED_VALUE"""),0.0)</f>
        <v>0</v>
      </c>
      <c r="Z784" s="10">
        <f>IFERROR(__xludf.DUMMYFUNCTION("""COMPUTED_VALUE"""),0.0)</f>
        <v>0</v>
      </c>
      <c r="AA784" s="10">
        <f>IFERROR(__xludf.DUMMYFUNCTION("""COMPUTED_VALUE"""),4.0)</f>
        <v>4</v>
      </c>
      <c r="AB784" s="10">
        <f>IFERROR(__xludf.DUMMYFUNCTION("""COMPUTED_VALUE"""),8.0)</f>
        <v>8</v>
      </c>
      <c r="AC784" s="10">
        <f>IFERROR(__xludf.DUMMYFUNCTION("""COMPUTED_VALUE"""),0.0)</f>
        <v>0</v>
      </c>
      <c r="AD784" s="10">
        <f>IFERROR(__xludf.DUMMYFUNCTION("""COMPUTED_VALUE"""),0.0)</f>
        <v>0</v>
      </c>
      <c r="AE784" s="10">
        <f>IFERROR(__xludf.DUMMYFUNCTION("""COMPUTED_VALUE"""),1.0)</f>
        <v>1</v>
      </c>
      <c r="AF784" s="10">
        <f>IFERROR(__xludf.DUMMYFUNCTION("""COMPUTED_VALUE"""),0.0)</f>
        <v>0</v>
      </c>
      <c r="AG784" s="10">
        <f>IFERROR(__xludf.DUMMYFUNCTION("""COMPUTED_VALUE"""),10.0)</f>
        <v>10</v>
      </c>
      <c r="AH784" s="10">
        <f>IFERROR(__xludf.DUMMYFUNCTION("""COMPUTED_VALUE"""),0.0)</f>
        <v>0</v>
      </c>
      <c r="AI784" s="10">
        <f>IFERROR(__xludf.DUMMYFUNCTION("""COMPUTED_VALUE"""),10.0)</f>
        <v>10</v>
      </c>
      <c r="AJ784" s="11" t="str">
        <f>IFERROR(__xludf.DUMMYFUNCTION("""COMPUTED_VALUE"""),"https://drive.google.com/open?id=1XCiB0ogad-zTXwSQFVyMQxELqfVknurg")</f>
        <v>https://drive.google.com/open?id=1XCiB0ogad-zTXwSQFVyMQxELqfVknurg</v>
      </c>
      <c r="AK784" s="12"/>
      <c r="AL784" s="12" t="str">
        <f>IFERROR(__xludf.DUMMYFUNCTION("""COMPUTED_VALUE"""),"Yes")</f>
        <v>Yes</v>
      </c>
      <c r="AM784" s="15">
        <f>IFERROR(__xludf.DUMMYFUNCTION("""COMPUTED_VALUE"""),0.0)</f>
        <v>0</v>
      </c>
      <c r="AN784" s="12" t="str">
        <f>IFERROR(__xludf.DUMMYFUNCTION("""COMPUTED_VALUE"""),"3rd week")</f>
        <v>3rd week</v>
      </c>
      <c r="AO784" s="13">
        <v>3.0</v>
      </c>
      <c r="AX784" s="17"/>
    </row>
    <row r="785">
      <c r="B785" s="9">
        <f>IFERROR(__xludf.DUMMYFUNCTION("""COMPUTED_VALUE"""),45960.61420052084)</f>
        <v>45960.6142</v>
      </c>
      <c r="C785" s="10" t="str">
        <f>IFERROR(__xludf.DUMMYFUNCTION("""COMPUTED_VALUE"""),"Sidra ")</f>
        <v>Sidra </v>
      </c>
      <c r="D785" s="10" t="str">
        <f>IFERROR(__xludf.DUMMYFUNCTION("""COMPUTED_VALUE"""),"03261416280")</f>
        <v>03261416280</v>
      </c>
      <c r="E785" s="10" t="str">
        <f>IFERROR(__xludf.DUMMYFUNCTION("""COMPUTED_VALUE"""),"Jamia Masjid Eid Gah Shahiwal")</f>
        <v>Jamia Masjid Eid Gah Shahiwal</v>
      </c>
      <c r="F785" s="10" t="str">
        <f>IFERROR(__xludf.DUMMYFUNCTION("""COMPUTED_VALUE"""),"BXYXM")</f>
        <v>BXYXM</v>
      </c>
      <c r="G785" s="10" t="str">
        <f>IFERROR(__xludf.DUMMYFUNCTION("""COMPUTED_VALUE"""),"No")</f>
        <v>No</v>
      </c>
      <c r="H785" s="10"/>
      <c r="I785" s="10"/>
      <c r="J785" s="10"/>
      <c r="K785" s="10">
        <f>IFERROR(__xludf.DUMMYFUNCTION("""COMPUTED_VALUE"""),0.0)</f>
        <v>0</v>
      </c>
      <c r="L785" s="10">
        <f>IFERROR(__xludf.DUMMYFUNCTION("""COMPUTED_VALUE"""),0.0)</f>
        <v>0</v>
      </c>
      <c r="M785" s="10">
        <f>IFERROR(__xludf.DUMMYFUNCTION("""COMPUTED_VALUE"""),0.0)</f>
        <v>0</v>
      </c>
      <c r="N785" s="10">
        <f>IFERROR(__xludf.DUMMYFUNCTION("""COMPUTED_VALUE"""),0.0)</f>
        <v>0</v>
      </c>
      <c r="O785" s="10">
        <f>IFERROR(__xludf.DUMMYFUNCTION("""COMPUTED_VALUE"""),0.0)</f>
        <v>0</v>
      </c>
      <c r="P785" s="10">
        <f>IFERROR(__xludf.DUMMYFUNCTION("""COMPUTED_VALUE"""),0.0)</f>
        <v>0</v>
      </c>
      <c r="Q785" s="10" t="str">
        <f>IFERROR(__xludf.DUMMYFUNCTION("""COMPUTED_VALUE"""),"No")</f>
        <v>No</v>
      </c>
      <c r="R785" s="10" t="str">
        <f>IFERROR(__xludf.DUMMYFUNCTION("""COMPUTED_VALUE"""),"No")</f>
        <v>No</v>
      </c>
      <c r="S785" s="10" t="str">
        <f>IFERROR(__xludf.DUMMYFUNCTION("""COMPUTED_VALUE"""),"No")</f>
        <v>No</v>
      </c>
      <c r="T785" s="10">
        <f>IFERROR(__xludf.DUMMYFUNCTION("""COMPUTED_VALUE"""),0.0)</f>
        <v>0</v>
      </c>
      <c r="U785" s="10">
        <f>IFERROR(__xludf.DUMMYFUNCTION("""COMPUTED_VALUE"""),0.0)</f>
        <v>0</v>
      </c>
      <c r="V785" s="10" t="str">
        <f>IFERROR(__xludf.DUMMYFUNCTION("""COMPUTED_VALUE"""),"تاریخی واقعات ")</f>
        <v>تاریخی واقعات </v>
      </c>
      <c r="W785" s="10" t="str">
        <f>IFERROR(__xludf.DUMMYFUNCTION("""COMPUTED_VALUE"""),"امام نے بیان میں بتایا ہے کہ اللہ تعالی نے سب سے پہلے اپنے نور سے اپنے محبوب حضرت محمد صلی اللہ علیہ وسلم کا نور بنایا پیدا کیا اور پھر اپنی پہچان کروانے کے لیے اپنے محبوب کی پہچان کروانے کے لیے دنیا بنائی انسان جنات پرندے وغیرہ بنائے اور پھر حضرت آدم علی"&amp;"ہ السلام کو مٹی سے بنایا اور ان کو جنت میں رکھا اور جب حضرت آدم جنت میں داخل ہوئے تو فرشتے ان کے پیچھے پیچھے چلنے لگے اور وہ جنت کی سیر کرنے لگے تو فرشتے ان کے پیچھے سبحان اللہ پڑھ رہے تھے تو حضرت آدم علیہ السلام نے اللہ تعالی سے پوچھا کہ اے میرے رب یہ فر"&amp;"شتے میرے پیچھے پیچھے کیوں چل رہے ہیں اور سبحان اللہ کیوں پڑھ رہے ہیں تو اللہ تعالی نے فرمایا اے آدم یہ فرشتے تمہارے پیچھے اس لیے چل رہے ہیں کیونکہ میں نے تمہاری پشت میں اپنے محبوب کا نور ڈالا ہے۔ ")</f>
        <v>امام نے بیان میں بتایا ہے کہ اللہ تعالی نے سب سے پہلے اپنے نور سے اپنے محبوب حضرت محمد صلی اللہ علیہ وسلم کا نور بنایا پیدا کیا اور پھر اپنی پہچان کروانے کے لیے اپنے محبوب کی پہچان کروانے کے لیے دنیا بنائی انسان جنات پرندے وغیرہ بنائے اور پھر حضرت آدم علیہ السلام کو مٹی سے بنایا اور ان کو جنت میں رکھا اور جب حضرت آدم جنت میں داخل ہوئے تو فرشتے ان کے پیچھے پیچھے چلنے لگے اور وہ جنت کی سیر کرنے لگے تو فرشتے ان کے پیچھے سبحان اللہ پڑھ رہے تھے تو حضرت آدم علیہ السلام نے اللہ تعالی سے پوچھا کہ اے میرے رب یہ فرشتے میرے پیچھے پیچھے کیوں چل رہے ہیں اور سبحان اللہ کیوں پڑھ رہے ہیں تو اللہ تعالی نے فرمایا اے آدم یہ فرشتے تمہارے پیچھے اس لیے چل رہے ہیں کیونکہ میں نے تمہاری پشت میں اپنے محبوب کا نور ڈالا ہے۔ </v>
      </c>
      <c r="X785" s="10">
        <f>IFERROR(__xludf.DUMMYFUNCTION("""COMPUTED_VALUE"""),4.0)</f>
        <v>4</v>
      </c>
      <c r="Y785" s="10">
        <f>IFERROR(__xludf.DUMMYFUNCTION("""COMPUTED_VALUE"""),0.0)</f>
        <v>0</v>
      </c>
      <c r="Z785" s="10">
        <f>IFERROR(__xludf.DUMMYFUNCTION("""COMPUTED_VALUE"""),6.0)</f>
        <v>6</v>
      </c>
      <c r="AA785" s="10">
        <f>IFERROR(__xludf.DUMMYFUNCTION("""COMPUTED_VALUE"""),8.0)</f>
        <v>8</v>
      </c>
      <c r="AB785" s="10">
        <f>IFERROR(__xludf.DUMMYFUNCTION("""COMPUTED_VALUE"""),9.0)</f>
        <v>9</v>
      </c>
      <c r="AC785" s="10">
        <f>IFERROR(__xludf.DUMMYFUNCTION("""COMPUTED_VALUE"""),0.0)</f>
        <v>0</v>
      </c>
      <c r="AD785" s="10">
        <f>IFERROR(__xludf.DUMMYFUNCTION("""COMPUTED_VALUE"""),0.0)</f>
        <v>0</v>
      </c>
      <c r="AE785" s="10">
        <f>IFERROR(__xludf.DUMMYFUNCTION("""COMPUTED_VALUE"""),0.0)</f>
        <v>0</v>
      </c>
      <c r="AF785" s="10">
        <f>IFERROR(__xludf.DUMMYFUNCTION("""COMPUTED_VALUE"""),0.0)</f>
        <v>0</v>
      </c>
      <c r="AG785" s="10">
        <f>IFERROR(__xludf.DUMMYFUNCTION("""COMPUTED_VALUE"""),8.0)</f>
        <v>8</v>
      </c>
      <c r="AH785" s="10">
        <f>IFERROR(__xludf.DUMMYFUNCTION("""COMPUTED_VALUE"""),0.0)</f>
        <v>0</v>
      </c>
      <c r="AI785" s="10">
        <f>IFERROR(__xludf.DUMMYFUNCTION("""COMPUTED_VALUE"""),8.0)</f>
        <v>8</v>
      </c>
      <c r="AJ785" s="11" t="str">
        <f>IFERROR(__xludf.DUMMYFUNCTION("""COMPUTED_VALUE"""),"https://drive.google.com/open?id=1h5bqUCtyu8sfbr0CVDK8Zo6ASFse2Y4g4h-BTd3zwvI")</f>
        <v>https://drive.google.com/open?id=1h5bqUCtyu8sfbr0CVDK8Zo6ASFse2Y4g4h-BTd3zwvI</v>
      </c>
      <c r="AK785" s="12" t="str">
        <f>IFERROR(__xludf.DUMMYFUNCTION("""COMPUTED_VALUE"""),"امام نے پہلے 20 منٹ نعت پڑھی ہے اور لاسٹ 2 منٹ بھی نعت پڑھی ہے۔ ")</f>
        <v>امام نے پہلے 20 منٹ نعت پڑھی ہے اور لاسٹ 2 منٹ بھی نعت پڑھی ہے۔ </v>
      </c>
      <c r="AL785" s="12"/>
      <c r="AM785" s="12"/>
      <c r="AN785" s="12" t="str">
        <f>IFERROR(__xludf.DUMMYFUNCTION("""COMPUTED_VALUE"""),"3rd week")</f>
        <v>3rd week</v>
      </c>
      <c r="AO785" s="13">
        <v>3.0</v>
      </c>
      <c r="AX785" s="17"/>
    </row>
    <row r="786">
      <c r="B786" s="9">
        <f>IFERROR(__xludf.DUMMYFUNCTION("""COMPUTED_VALUE"""),45960.65607503473)</f>
        <v>45960.65608</v>
      </c>
      <c r="C786" s="10" t="str">
        <f>IFERROR(__xludf.DUMMYFUNCTION("""COMPUTED_VALUE"""),"Maham")</f>
        <v>Maham</v>
      </c>
      <c r="D786" s="10" t="str">
        <f>IFERROR(__xludf.DUMMYFUNCTION("""COMPUTED_VALUE"""),"03218118680")</f>
        <v>03218118680</v>
      </c>
      <c r="E786" s="10" t="str">
        <f>IFERROR(__xludf.DUMMYFUNCTION("""COMPUTED_VALUE"""),"Jamia Masjid Taleem Ul Quran Gojara")</f>
        <v>Jamia Masjid Taleem Ul Quran Gojara</v>
      </c>
      <c r="F786" s="10" t="str">
        <f>IFERROR(__xludf.DUMMYFUNCTION("""COMPUTED_VALUE"""),"yxvut")</f>
        <v>yxvut</v>
      </c>
      <c r="G786" s="10" t="str">
        <f>IFERROR(__xludf.DUMMYFUNCTION("""COMPUTED_VALUE"""),"Yes")</f>
        <v>Yes</v>
      </c>
      <c r="H786" s="10">
        <f>IFERROR(__xludf.DUMMYFUNCTION("""COMPUTED_VALUE"""),0.0)</f>
        <v>0</v>
      </c>
      <c r="I786" s="10">
        <f>IFERROR(__xludf.DUMMYFUNCTION("""COMPUTED_VALUE"""),10.0)</f>
        <v>10</v>
      </c>
      <c r="J786" s="10">
        <f>IFERROR(__xludf.DUMMYFUNCTION("""COMPUTED_VALUE"""),0.0)</f>
        <v>0</v>
      </c>
      <c r="K786" s="10">
        <f>IFERROR(__xludf.DUMMYFUNCTION("""COMPUTED_VALUE"""),0.0)</f>
        <v>0</v>
      </c>
      <c r="L786" s="10">
        <f>IFERROR(__xludf.DUMMYFUNCTION("""COMPUTED_VALUE"""),5.0)</f>
        <v>5</v>
      </c>
      <c r="M786" s="10">
        <f>IFERROR(__xludf.DUMMYFUNCTION("""COMPUTED_VALUE"""),0.0)</f>
        <v>0</v>
      </c>
      <c r="N786" s="10">
        <f>IFERROR(__xludf.DUMMYFUNCTION("""COMPUTED_VALUE"""),5.0)</f>
        <v>5</v>
      </c>
      <c r="O786" s="10">
        <f>IFERROR(__xludf.DUMMYFUNCTION("""COMPUTED_VALUE"""),0.0)</f>
        <v>0</v>
      </c>
      <c r="P786" s="10">
        <f>IFERROR(__xludf.DUMMYFUNCTION("""COMPUTED_VALUE"""),5.0)</f>
        <v>5</v>
      </c>
      <c r="Q786" s="10" t="str">
        <f>IFERROR(__xludf.DUMMYFUNCTION("""COMPUTED_VALUE"""),"No")</f>
        <v>No</v>
      </c>
      <c r="R786" s="10" t="str">
        <f>IFERROR(__xludf.DUMMYFUNCTION("""COMPUTED_VALUE"""),"No")</f>
        <v>No</v>
      </c>
      <c r="S786" s="10" t="str">
        <f>IFERROR(__xludf.DUMMYFUNCTION("""COMPUTED_VALUE"""),"No")</f>
        <v>No</v>
      </c>
      <c r="T786" s="10">
        <f>IFERROR(__xludf.DUMMYFUNCTION("""COMPUTED_VALUE"""),0.0)</f>
        <v>0</v>
      </c>
      <c r="U786" s="10">
        <f>IFERROR(__xludf.DUMMYFUNCTION("""COMPUTED_VALUE"""),3.0)</f>
        <v>3</v>
      </c>
      <c r="V786" s="10" t="str">
        <f>IFERROR(__xludf.DUMMYFUNCTION("""COMPUTED_VALUE"""),"حضور صلی اللہ علیہ وسلم کے اخلاق حسنہ مہمان کے ساتھ ہمسایوں سے سلوک")</f>
        <v>حضور صلی اللہ علیہ وسلم کے اخلاق حسنہ مہمان کے ساتھ ہمسایوں سے سلوک</v>
      </c>
      <c r="W786" s="10" t="str">
        <f>IFERROR(__xludf.DUMMYFUNCTION("""COMPUTED_VALUE"""),"حضور صلی اللہ علیہ وسلم کی اخلاق حسنہ کو بیان کیا گیا مہمانوں کی مہمان نوازی کریں ہمسایوں کو تکلیف نہ دیں")</f>
        <v>حضور صلی اللہ علیہ وسلم کی اخلاق حسنہ کو بیان کیا گیا مہمانوں کی مہمان نوازی کریں ہمسایوں کو تکلیف نہ دیں</v>
      </c>
      <c r="X786" s="10">
        <f>IFERROR(__xludf.DUMMYFUNCTION("""COMPUTED_VALUE"""),7.0)</f>
        <v>7</v>
      </c>
      <c r="Y786" s="10">
        <f>IFERROR(__xludf.DUMMYFUNCTION("""COMPUTED_VALUE"""),8.0)</f>
        <v>8</v>
      </c>
      <c r="Z786" s="10">
        <f>IFERROR(__xludf.DUMMYFUNCTION("""COMPUTED_VALUE"""),8.0)</f>
        <v>8</v>
      </c>
      <c r="AA786" s="10">
        <f>IFERROR(__xludf.DUMMYFUNCTION("""COMPUTED_VALUE"""),8.0)</f>
        <v>8</v>
      </c>
      <c r="AB786" s="10">
        <f>IFERROR(__xludf.DUMMYFUNCTION("""COMPUTED_VALUE"""),6.0)</f>
        <v>6</v>
      </c>
      <c r="AC786" s="10">
        <f>IFERROR(__xludf.DUMMYFUNCTION("""COMPUTED_VALUE"""),2.0)</f>
        <v>2</v>
      </c>
      <c r="AD786" s="10">
        <f>IFERROR(__xludf.DUMMYFUNCTION("""COMPUTED_VALUE"""),4.0)</f>
        <v>4</v>
      </c>
      <c r="AE786" s="10">
        <f>IFERROR(__xludf.DUMMYFUNCTION("""COMPUTED_VALUE"""),0.0)</f>
        <v>0</v>
      </c>
      <c r="AF786" s="10">
        <f>IFERROR(__xludf.DUMMYFUNCTION("""COMPUTED_VALUE"""),7.0)</f>
        <v>7</v>
      </c>
      <c r="AG786" s="10">
        <f>IFERROR(__xludf.DUMMYFUNCTION("""COMPUTED_VALUE"""),8.0)</f>
        <v>8</v>
      </c>
      <c r="AH786" s="10">
        <f>IFERROR(__xludf.DUMMYFUNCTION("""COMPUTED_VALUE"""),0.0)</f>
        <v>0</v>
      </c>
      <c r="AI786" s="10">
        <f>IFERROR(__xludf.DUMMYFUNCTION("""COMPUTED_VALUE"""),9.0)</f>
        <v>9</v>
      </c>
      <c r="AJ786" s="11" t="str">
        <f>IFERROR(__xludf.DUMMYFUNCTION("""COMPUTED_VALUE"""),"https://drive.google.com/open?id=1D-6ycxMhXDz7t8glBFr1Xa9y-BNbi-Vi")</f>
        <v>https://drive.google.com/open?id=1D-6ycxMhXDz7t8glBFr1Xa9y-BNbi-Vi</v>
      </c>
      <c r="AK786" s="12"/>
      <c r="AL786" s="12" t="str">
        <f>IFERROR(__xludf.DUMMYFUNCTION("""COMPUTED_VALUE"""),"Yes")</f>
        <v>Yes</v>
      </c>
      <c r="AM786" s="15">
        <f>IFERROR(__xludf.DUMMYFUNCTION("""COMPUTED_VALUE"""),0.0)</f>
        <v>0</v>
      </c>
      <c r="AN786" s="12" t="str">
        <f>IFERROR(__xludf.DUMMYFUNCTION("""COMPUTED_VALUE"""),"2nd week")</f>
        <v>2nd week</v>
      </c>
      <c r="AO786" s="13">
        <v>2.0</v>
      </c>
      <c r="AX786" s="17"/>
    </row>
    <row r="787">
      <c r="B787" s="9">
        <f>IFERROR(__xludf.DUMMYFUNCTION("""COMPUTED_VALUE"""),45960.713350439815)</f>
        <v>45960.71335</v>
      </c>
      <c r="C787" s="10" t="str">
        <f>IFERROR(__xludf.DUMMYFUNCTION("""COMPUTED_VALUE"""),"Maham")</f>
        <v>Maham</v>
      </c>
      <c r="D787" s="10" t="str">
        <f>IFERROR(__xludf.DUMMYFUNCTION("""COMPUTED_VALUE"""),"03218118680")</f>
        <v>03218118680</v>
      </c>
      <c r="E787" s="10" t="str">
        <f>IFERROR(__xludf.DUMMYFUNCTION("""COMPUTED_VALUE"""),"Jamia Masjid Darbar Noor Shah Wali Faisalabad")</f>
        <v>Jamia Masjid Darbar Noor Shah Wali Faisalabad</v>
      </c>
      <c r="F787" s="10" t="str">
        <f>IFERROR(__xludf.DUMMYFUNCTION("""COMPUTED_VALUE"""),"kyzwa")</f>
        <v>kyzwa</v>
      </c>
      <c r="G787" s="10" t="str">
        <f>IFERROR(__xludf.DUMMYFUNCTION("""COMPUTED_VALUE"""),"Yes")</f>
        <v>Yes</v>
      </c>
      <c r="H787" s="10">
        <f>IFERROR(__xludf.DUMMYFUNCTION("""COMPUTED_VALUE"""),6.0)</f>
        <v>6</v>
      </c>
      <c r="I787" s="10">
        <f>IFERROR(__xludf.DUMMYFUNCTION("""COMPUTED_VALUE"""),4.0)</f>
        <v>4</v>
      </c>
      <c r="J787" s="10">
        <f>IFERROR(__xludf.DUMMYFUNCTION("""COMPUTED_VALUE"""),10.0)</f>
        <v>10</v>
      </c>
      <c r="K787" s="10">
        <f>IFERROR(__xludf.DUMMYFUNCTION("""COMPUTED_VALUE"""),10.0)</f>
        <v>10</v>
      </c>
      <c r="L787" s="10">
        <f>IFERROR(__xludf.DUMMYFUNCTION("""COMPUTED_VALUE"""),0.0)</f>
        <v>0</v>
      </c>
      <c r="M787" s="10">
        <f>IFERROR(__xludf.DUMMYFUNCTION("""COMPUTED_VALUE"""),9.0)</f>
        <v>9</v>
      </c>
      <c r="N787" s="10">
        <f>IFERROR(__xludf.DUMMYFUNCTION("""COMPUTED_VALUE"""),0.0)</f>
        <v>0</v>
      </c>
      <c r="O787" s="10">
        <f>IFERROR(__xludf.DUMMYFUNCTION("""COMPUTED_VALUE"""),7.0)</f>
        <v>7</v>
      </c>
      <c r="P787" s="10">
        <f>IFERROR(__xludf.DUMMYFUNCTION("""COMPUTED_VALUE"""),0.0)</f>
        <v>0</v>
      </c>
      <c r="Q787" s="10" t="str">
        <f>IFERROR(__xludf.DUMMYFUNCTION("""COMPUTED_VALUE"""),"Yes")</f>
        <v>Yes</v>
      </c>
      <c r="R787" s="10" t="str">
        <f>IFERROR(__xludf.DUMMYFUNCTION("""COMPUTED_VALUE"""),"No")</f>
        <v>No</v>
      </c>
      <c r="S787" s="10" t="str">
        <f>IFERROR(__xludf.DUMMYFUNCTION("""COMPUTED_VALUE"""),"No")</f>
        <v>No</v>
      </c>
      <c r="T787" s="10">
        <f>IFERROR(__xludf.DUMMYFUNCTION("""COMPUTED_VALUE"""),0.0)</f>
        <v>0</v>
      </c>
      <c r="U787" s="10">
        <f>IFERROR(__xludf.DUMMYFUNCTION("""COMPUTED_VALUE"""),0.0)</f>
        <v>0</v>
      </c>
      <c r="V787" s="10" t="str">
        <f>IFERROR(__xludf.DUMMYFUNCTION("""COMPUTED_VALUE"""),"خواتین کے معاشی سیاسی سرگرمیوں میں شرکت")</f>
        <v>خواتین کے معاشی سیاسی سرگرمیوں میں شرکت</v>
      </c>
      <c r="W787" s="10" t="str">
        <f>IFERROR(__xludf.DUMMYFUNCTION("""COMPUTED_VALUE"""),"خواتین کا معاشی سیاسی سرگرمیوں گرمیوں میں شرکت ")</f>
        <v>خواتین کا معاشی سیاسی سرگرمیوں گرمیوں میں شرکت </v>
      </c>
      <c r="X787" s="10">
        <f>IFERROR(__xludf.DUMMYFUNCTION("""COMPUTED_VALUE"""),1.0)</f>
        <v>1</v>
      </c>
      <c r="Y787" s="10">
        <f>IFERROR(__xludf.DUMMYFUNCTION("""COMPUTED_VALUE"""),9.0)</f>
        <v>9</v>
      </c>
      <c r="Z787" s="10">
        <f>IFERROR(__xludf.DUMMYFUNCTION("""COMPUTED_VALUE"""),8.0)</f>
        <v>8</v>
      </c>
      <c r="AA787" s="10">
        <f>IFERROR(__xludf.DUMMYFUNCTION("""COMPUTED_VALUE"""),8.0)</f>
        <v>8</v>
      </c>
      <c r="AB787" s="10">
        <f>IFERROR(__xludf.DUMMYFUNCTION("""COMPUTED_VALUE"""),8.0)</f>
        <v>8</v>
      </c>
      <c r="AC787" s="10">
        <f>IFERROR(__xludf.DUMMYFUNCTION("""COMPUTED_VALUE"""),4.0)</f>
        <v>4</v>
      </c>
      <c r="AD787" s="10">
        <f>IFERROR(__xludf.DUMMYFUNCTION("""COMPUTED_VALUE"""),6.0)</f>
        <v>6</v>
      </c>
      <c r="AE787" s="10">
        <f>IFERROR(__xludf.DUMMYFUNCTION("""COMPUTED_VALUE"""),0.0)</f>
        <v>0</v>
      </c>
      <c r="AF787" s="10">
        <f>IFERROR(__xludf.DUMMYFUNCTION("""COMPUTED_VALUE"""),2.0)</f>
        <v>2</v>
      </c>
      <c r="AG787" s="10">
        <f>IFERROR(__xludf.DUMMYFUNCTION("""COMPUTED_VALUE"""),9.0)</f>
        <v>9</v>
      </c>
      <c r="AH787" s="10">
        <f>IFERROR(__xludf.DUMMYFUNCTION("""COMPUTED_VALUE"""),0.0)</f>
        <v>0</v>
      </c>
      <c r="AI787" s="10">
        <f>IFERROR(__xludf.DUMMYFUNCTION("""COMPUTED_VALUE"""),9.0)</f>
        <v>9</v>
      </c>
      <c r="AJ787" s="11" t="str">
        <f>IFERROR(__xludf.DUMMYFUNCTION("""COMPUTED_VALUE"""),"https://drive.google.com/open?id=1T5vPMgpQeMBBvy9lAreVknhzt6GSTpp8")</f>
        <v>https://drive.google.com/open?id=1T5vPMgpQeMBBvy9lAreVknhzt6GSTpp8</v>
      </c>
      <c r="AK787" s="12"/>
      <c r="AL787" s="12" t="str">
        <f>IFERROR(__xludf.DUMMYFUNCTION("""COMPUTED_VALUE"""),"Yes")</f>
        <v>Yes</v>
      </c>
      <c r="AM787" s="15">
        <f>IFERROR(__xludf.DUMMYFUNCTION("""COMPUTED_VALUE"""),0.8)</f>
        <v>0.8</v>
      </c>
      <c r="AN787" s="12" t="str">
        <f>IFERROR(__xludf.DUMMYFUNCTION("""COMPUTED_VALUE"""),"2nd week")</f>
        <v>2nd week</v>
      </c>
      <c r="AO787" s="13">
        <v>2.0</v>
      </c>
      <c r="AX787" s="17"/>
    </row>
    <row r="788">
      <c r="B788" s="9">
        <f>IFERROR(__xludf.DUMMYFUNCTION("""COMPUTED_VALUE"""),45960.77457635417)</f>
        <v>45960.77458</v>
      </c>
      <c r="C788" s="10" t="str">
        <f>IFERROR(__xludf.DUMMYFUNCTION("""COMPUTED_VALUE"""),"Maham")</f>
        <v>Maham</v>
      </c>
      <c r="D788" s="10" t="str">
        <f>IFERROR(__xludf.DUMMYFUNCTION("""COMPUTED_VALUE"""),"03218118680")</f>
        <v>03218118680</v>
      </c>
      <c r="E788" s="10" t="str">
        <f>IFERROR(__xludf.DUMMYFUNCTION("""COMPUTED_VALUE"""),"Jamia Masjid Madini Samnabad Faisalabad")</f>
        <v>Jamia Masjid Madini Samnabad Faisalabad</v>
      </c>
      <c r="F788" s="10" t="str">
        <f>IFERROR(__xludf.DUMMYFUNCTION("""COMPUTED_VALUE"""),"rwyui")</f>
        <v>rwyui</v>
      </c>
      <c r="G788" s="10" t="str">
        <f>IFERROR(__xludf.DUMMYFUNCTION("""COMPUTED_VALUE"""),"Yes")</f>
        <v>Yes</v>
      </c>
      <c r="H788" s="10">
        <f>IFERROR(__xludf.DUMMYFUNCTION("""COMPUTED_VALUE"""),9.0)</f>
        <v>9</v>
      </c>
      <c r="I788" s="10">
        <f>IFERROR(__xludf.DUMMYFUNCTION("""COMPUTED_VALUE"""),1.0)</f>
        <v>1</v>
      </c>
      <c r="J788" s="10">
        <f>IFERROR(__xludf.DUMMYFUNCTION("""COMPUTED_VALUE"""),10.0)</f>
        <v>10</v>
      </c>
      <c r="K788" s="10">
        <f>IFERROR(__xludf.DUMMYFUNCTION("""COMPUTED_VALUE"""),10.0)</f>
        <v>10</v>
      </c>
      <c r="L788" s="10">
        <f>IFERROR(__xludf.DUMMYFUNCTION("""COMPUTED_VALUE"""),0.0)</f>
        <v>0</v>
      </c>
      <c r="M788" s="10">
        <f>IFERROR(__xludf.DUMMYFUNCTION("""COMPUTED_VALUE"""),10.0)</f>
        <v>10</v>
      </c>
      <c r="N788" s="10">
        <f>IFERROR(__xludf.DUMMYFUNCTION("""COMPUTED_VALUE"""),0.0)</f>
        <v>0</v>
      </c>
      <c r="O788" s="10">
        <f>IFERROR(__xludf.DUMMYFUNCTION("""COMPUTED_VALUE"""),9.0)</f>
        <v>9</v>
      </c>
      <c r="P788" s="10">
        <f>IFERROR(__xludf.DUMMYFUNCTION("""COMPUTED_VALUE"""),0.0)</f>
        <v>0</v>
      </c>
      <c r="Q788" s="10" t="str">
        <f>IFERROR(__xludf.DUMMYFUNCTION("""COMPUTED_VALUE"""),"Yes")</f>
        <v>Yes</v>
      </c>
      <c r="R788" s="10" t="str">
        <f>IFERROR(__xludf.DUMMYFUNCTION("""COMPUTED_VALUE"""),"No")</f>
        <v>No</v>
      </c>
      <c r="S788" s="10" t="str">
        <f>IFERROR(__xludf.DUMMYFUNCTION("""COMPUTED_VALUE"""),"Yes")</f>
        <v>Yes</v>
      </c>
      <c r="T788" s="10">
        <f>IFERROR(__xludf.DUMMYFUNCTION("""COMPUTED_VALUE"""),0.0)</f>
        <v>0</v>
      </c>
      <c r="U788" s="10">
        <f>IFERROR(__xludf.DUMMYFUNCTION("""COMPUTED_VALUE"""),0.0)</f>
        <v>0</v>
      </c>
      <c r="V788" s="10" t="str">
        <f>IFERROR(__xludf.DUMMYFUNCTION("""COMPUTED_VALUE"""),"عورت کا معاشی سیاسی سرگرمیوں میں کردار")</f>
        <v>عورت کا معاشی سیاسی سرگرمیوں میں کردار</v>
      </c>
      <c r="W788" s="10" t="str">
        <f>IFERROR(__xludf.DUMMYFUNCTION("""COMPUTED_VALUE"""),"عورت کا معاشی سیاسی اقتصادی جنگی سرگرمیوں میں کردار")</f>
        <v>عورت کا معاشی سیاسی اقتصادی جنگی سرگرمیوں میں کردار</v>
      </c>
      <c r="X788" s="10">
        <f>IFERROR(__xludf.DUMMYFUNCTION("""COMPUTED_VALUE"""),0.0)</f>
        <v>0</v>
      </c>
      <c r="Y788" s="10">
        <f>IFERROR(__xludf.DUMMYFUNCTION("""COMPUTED_VALUE"""),9.0)</f>
        <v>9</v>
      </c>
      <c r="Z788" s="10">
        <f>IFERROR(__xludf.DUMMYFUNCTION("""COMPUTED_VALUE"""),8.0)</f>
        <v>8</v>
      </c>
      <c r="AA788" s="10">
        <f>IFERROR(__xludf.DUMMYFUNCTION("""COMPUTED_VALUE"""),8.0)</f>
        <v>8</v>
      </c>
      <c r="AB788" s="10">
        <f>IFERROR(__xludf.DUMMYFUNCTION("""COMPUTED_VALUE"""),8.0)</f>
        <v>8</v>
      </c>
      <c r="AC788" s="10">
        <f>IFERROR(__xludf.DUMMYFUNCTION("""COMPUTED_VALUE"""),4.0)</f>
        <v>4</v>
      </c>
      <c r="AD788" s="10">
        <f>IFERROR(__xludf.DUMMYFUNCTION("""COMPUTED_VALUE"""),6.0)</f>
        <v>6</v>
      </c>
      <c r="AE788" s="10">
        <f>IFERROR(__xludf.DUMMYFUNCTION("""COMPUTED_VALUE"""),0.0)</f>
        <v>0</v>
      </c>
      <c r="AF788" s="10">
        <f>IFERROR(__xludf.DUMMYFUNCTION("""COMPUTED_VALUE"""),3.0)</f>
        <v>3</v>
      </c>
      <c r="AG788" s="10">
        <f>IFERROR(__xludf.DUMMYFUNCTION("""COMPUTED_VALUE"""),8.0)</f>
        <v>8</v>
      </c>
      <c r="AH788" s="10">
        <f>IFERROR(__xludf.DUMMYFUNCTION("""COMPUTED_VALUE"""),1.0)</f>
        <v>1</v>
      </c>
      <c r="AI788" s="10">
        <f>IFERROR(__xludf.DUMMYFUNCTION("""COMPUTED_VALUE"""),9.0)</f>
        <v>9</v>
      </c>
      <c r="AJ788" s="11" t="str">
        <f>IFERROR(__xludf.DUMMYFUNCTION("""COMPUTED_VALUE"""),"https://drive.google.com/open?id=1jATPcr-gBCzq8HNOXJOeaiBSujWvcoO8")</f>
        <v>https://drive.google.com/open?id=1jATPcr-gBCzq8HNOXJOeaiBSujWvcoO8</v>
      </c>
      <c r="AK788" s="12"/>
      <c r="AL788" s="12" t="str">
        <f>IFERROR(__xludf.DUMMYFUNCTION("""COMPUTED_VALUE"""),"Yes")</f>
        <v>Yes</v>
      </c>
      <c r="AM788" s="15">
        <f>IFERROR(__xludf.DUMMYFUNCTION("""COMPUTED_VALUE"""),0.9)</f>
        <v>0.9</v>
      </c>
      <c r="AN788" s="12" t="str">
        <f>IFERROR(__xludf.DUMMYFUNCTION("""COMPUTED_VALUE"""),"2nd week")</f>
        <v>2nd week</v>
      </c>
      <c r="AO788" s="13">
        <v>2.0</v>
      </c>
      <c r="AX788" s="17"/>
    </row>
    <row r="789">
      <c r="B789" s="9">
        <f>IFERROR(__xludf.DUMMYFUNCTION("""COMPUTED_VALUE"""),45961.09831104167)</f>
        <v>45961.09831</v>
      </c>
      <c r="C789" s="10" t="str">
        <f>IFERROR(__xludf.DUMMYFUNCTION("""COMPUTED_VALUE"""),"Saira Shahzad ")</f>
        <v>Saira Shahzad </v>
      </c>
      <c r="D789" s="10" t="str">
        <f>IFERROR(__xludf.DUMMYFUNCTION("""COMPUTED_VALUE"""),"03114534696")</f>
        <v>03114534696</v>
      </c>
      <c r="E789" s="10" t="str">
        <f>IFERROR(__xludf.DUMMYFUNCTION("""COMPUTED_VALUE"""),"Jamia Masjid Peer Ismail Multan")</f>
        <v>Jamia Masjid Peer Ismail Multan</v>
      </c>
      <c r="F789" s="10" t="str">
        <f>IFERROR(__xludf.DUMMYFUNCTION("""COMPUTED_VALUE"""),"dyrjs")</f>
        <v>dyrjs</v>
      </c>
      <c r="G789" s="10" t="str">
        <f>IFERROR(__xludf.DUMMYFUNCTION("""COMPUTED_VALUE"""),"Yes")</f>
        <v>Yes</v>
      </c>
      <c r="H789" s="10">
        <f>IFERROR(__xludf.DUMMYFUNCTION("""COMPUTED_VALUE"""),3.0)</f>
        <v>3</v>
      </c>
      <c r="I789" s="10">
        <f>IFERROR(__xludf.DUMMYFUNCTION("""COMPUTED_VALUE"""),7.0)</f>
        <v>7</v>
      </c>
      <c r="J789" s="10">
        <f>IFERROR(__xludf.DUMMYFUNCTION("""COMPUTED_VALUE"""),3.0)</f>
        <v>3</v>
      </c>
      <c r="K789" s="10">
        <f>IFERROR(__xludf.DUMMYFUNCTION("""COMPUTED_VALUE"""),0.0)</f>
        <v>0</v>
      </c>
      <c r="L789" s="10">
        <f>IFERROR(__xludf.DUMMYFUNCTION("""COMPUTED_VALUE"""),3.0)</f>
        <v>3</v>
      </c>
      <c r="M789" s="10">
        <f>IFERROR(__xludf.DUMMYFUNCTION("""COMPUTED_VALUE"""),0.0)</f>
        <v>0</v>
      </c>
      <c r="N789" s="10">
        <f>IFERROR(__xludf.DUMMYFUNCTION("""COMPUTED_VALUE"""),2.0)</f>
        <v>2</v>
      </c>
      <c r="O789" s="10">
        <f>IFERROR(__xludf.DUMMYFUNCTION("""COMPUTED_VALUE"""),0.0)</f>
        <v>0</v>
      </c>
      <c r="P789" s="10">
        <f>IFERROR(__xludf.DUMMYFUNCTION("""COMPUTED_VALUE"""),2.0)</f>
        <v>2</v>
      </c>
      <c r="Q789" s="10" t="str">
        <f>IFERROR(__xludf.DUMMYFUNCTION("""COMPUTED_VALUE"""),"No")</f>
        <v>No</v>
      </c>
      <c r="R789" s="10" t="str">
        <f>IFERROR(__xludf.DUMMYFUNCTION("""COMPUTED_VALUE"""),"No")</f>
        <v>No</v>
      </c>
      <c r="S789" s="10" t="str">
        <f>IFERROR(__xludf.DUMMYFUNCTION("""COMPUTED_VALUE"""),"No")</f>
        <v>No</v>
      </c>
      <c r="T789" s="10">
        <f>IFERROR(__xludf.DUMMYFUNCTION("""COMPUTED_VALUE"""),0.0)</f>
        <v>0</v>
      </c>
      <c r="U789" s="10">
        <f>IFERROR(__xludf.DUMMYFUNCTION("""COMPUTED_VALUE"""),0.0)</f>
        <v>0</v>
      </c>
      <c r="V789" s="10" t="str">
        <f>IFERROR(__xludf.DUMMYFUNCTION("""COMPUTED_VALUE"""),"حضرت سلیمان علیہ السلام کی خصوصیات")</f>
        <v>حضرت سلیمان علیہ السلام کی خصوصیات</v>
      </c>
      <c r="W789" s="10" t="str">
        <f>IFERROR(__xludf.DUMMYFUNCTION("""COMPUTED_VALUE"""),"امام نے اپنے بیان میں حضرت سلمان علیہ السلام کی خصوصیات کا ذکر کیا ہے 23 ویں پارے میں ہے کہ حضرت سلمان علیہ السلام نے اللہ تعالی سے دعا کی تھی کہ مجھے دنیا کی بادشاہت عطا فرما تو اللہ تعالی نے ان کی دعا قبول کر لی حضرت سلمان علیہ السلام جانوروں کی اور پرن"&amp;"دوں کی زبانوں کو سمجھ لیتے تھے اور آپ نے انسانوں اور جنوں سے ایک تخت بنوایا جو سونے اور چاندی کا تھا آپ ہوا کو حکم دیتے تو وہ تخت ہوا میں اڑنے لگتا اور حضرت سلیمان علیہ السلام نے بھی نبی کریم صلی اللہ علیہ والہ وسلم کے آنے کی بشارت دی تھی اور نبی پاک صلی "&amp;"اللہ علیہ والہ وسلم کی ذات پاک کی خصوصیات بھی بیان کی تھی اور آخر پہ امام نے تھوڑا سا خطبہ ہمسایوں کے حقوق پر بھی دیا کہ ہمیں اپنے ہمسایوں کا خیال رکھنا چاہیے ان کی خوشی غمی میں شریک ہونا چاہیے کیونکہ اللہ تعالی نے اس کا بہت بڑا انعام رکھا ہے ")</f>
        <v>امام نے اپنے بیان میں حضرت سلمان علیہ السلام کی خصوصیات کا ذکر کیا ہے 23 ویں پارے میں ہے کہ حضرت سلمان علیہ السلام نے اللہ تعالی سے دعا کی تھی کہ مجھے دنیا کی بادشاہت عطا فرما تو اللہ تعالی نے ان کی دعا قبول کر لی حضرت سلمان علیہ السلام جانوروں کی اور پرندوں کی زبانوں کو سمجھ لیتے تھے اور آپ نے انسانوں اور جنوں سے ایک تخت بنوایا جو سونے اور چاندی کا تھا آپ ہوا کو حکم دیتے تو وہ تخت ہوا میں اڑنے لگتا اور حضرت سلیمان علیہ السلام نے بھی نبی کریم صلی اللہ علیہ والہ وسلم کے آنے کی بشارت دی تھی اور نبی پاک صلی اللہ علیہ والہ وسلم کی ذات پاک کی خصوصیات بھی بیان کی تھی اور آخر پہ امام نے تھوڑا سا خطبہ ہمسایوں کے حقوق پر بھی دیا کہ ہمیں اپنے ہمسایوں کا خیال رکھنا چاہیے ان کی خوشی غمی میں شریک ہونا چاہیے کیونکہ اللہ تعالی نے اس کا بہت بڑا انعام رکھا ہے </v>
      </c>
      <c r="X789" s="10">
        <f>IFERROR(__xludf.DUMMYFUNCTION("""COMPUTED_VALUE"""),0.0)</f>
        <v>0</v>
      </c>
      <c r="Y789" s="10">
        <f>IFERROR(__xludf.DUMMYFUNCTION("""COMPUTED_VALUE"""),2.0)</f>
        <v>2</v>
      </c>
      <c r="Z789" s="10">
        <f>IFERROR(__xludf.DUMMYFUNCTION("""COMPUTED_VALUE"""),2.0)</f>
        <v>2</v>
      </c>
      <c r="AA789" s="10">
        <f>IFERROR(__xludf.DUMMYFUNCTION("""COMPUTED_VALUE"""),8.0)</f>
        <v>8</v>
      </c>
      <c r="AB789" s="10">
        <f>IFERROR(__xludf.DUMMYFUNCTION("""COMPUTED_VALUE"""),8.0)</f>
        <v>8</v>
      </c>
      <c r="AC789" s="10">
        <f>IFERROR(__xludf.DUMMYFUNCTION("""COMPUTED_VALUE"""),0.0)</f>
        <v>0</v>
      </c>
      <c r="AD789" s="10">
        <f>IFERROR(__xludf.DUMMYFUNCTION("""COMPUTED_VALUE"""),0.0)</f>
        <v>0</v>
      </c>
      <c r="AE789" s="10">
        <f>IFERROR(__xludf.DUMMYFUNCTION("""COMPUTED_VALUE"""),1.0)</f>
        <v>1</v>
      </c>
      <c r="AF789" s="10">
        <f>IFERROR(__xludf.DUMMYFUNCTION("""COMPUTED_VALUE"""),7.0)</f>
        <v>7</v>
      </c>
      <c r="AG789" s="10">
        <f>IFERROR(__xludf.DUMMYFUNCTION("""COMPUTED_VALUE"""),8.0)</f>
        <v>8</v>
      </c>
      <c r="AH789" s="10">
        <f>IFERROR(__xludf.DUMMYFUNCTION("""COMPUTED_VALUE"""),0.0)</f>
        <v>0</v>
      </c>
      <c r="AI789" s="10">
        <f>IFERROR(__xludf.DUMMYFUNCTION("""COMPUTED_VALUE"""),8.0)</f>
        <v>8</v>
      </c>
      <c r="AJ789" s="11" t="str">
        <f>IFERROR(__xludf.DUMMYFUNCTION("""COMPUTED_VALUE"""),"https://drive.google.com/open?id=1LEmN_DdbFgSHvWQ19CbZ0SEHvZDbZo-MgzLdTMQe78E")</f>
        <v>https://drive.google.com/open?id=1LEmN_DdbFgSHvWQ19CbZ0SEHvZDbZo-MgzLdTMQe78E</v>
      </c>
      <c r="AK789" s="12" t="str">
        <f>IFERROR(__xludf.DUMMYFUNCTION("""COMPUTED_VALUE"""),"No")</f>
        <v>No</v>
      </c>
      <c r="AL789" s="12" t="str">
        <f>IFERROR(__xludf.DUMMYFUNCTION("""COMPUTED_VALUE"""),"Yes")</f>
        <v>Yes</v>
      </c>
      <c r="AM789" s="15">
        <f>IFERROR(__xludf.DUMMYFUNCTION("""COMPUTED_VALUE"""),0.3)</f>
        <v>0.3</v>
      </c>
      <c r="AN789" s="12" t="str">
        <f>IFERROR(__xludf.DUMMYFUNCTION("""COMPUTED_VALUE"""),"4th week")</f>
        <v>4th week</v>
      </c>
      <c r="AO789" s="13">
        <v>4.0</v>
      </c>
      <c r="AX789" s="17"/>
    </row>
    <row r="790">
      <c r="B790" s="9">
        <f>IFERROR(__xludf.DUMMYFUNCTION("""COMPUTED_VALUE"""),45961.10007219907)</f>
        <v>45961.10007</v>
      </c>
      <c r="C790" s="10" t="str">
        <f>IFERROR(__xludf.DUMMYFUNCTION("""COMPUTED_VALUE"""),"Asma Gul ")</f>
        <v>Asma Gul </v>
      </c>
      <c r="D790" s="10" t="str">
        <f>IFERROR(__xludf.DUMMYFUNCTION("""COMPUTED_VALUE"""),"03459308620")</f>
        <v>03459308620</v>
      </c>
      <c r="E790" s="10" t="str">
        <f>IFERROR(__xludf.DUMMYFUNCTION("""COMPUTED_VALUE"""),"Jamia Masjid Aziz Makki Pakpattan")</f>
        <v>Jamia Masjid Aziz Makki Pakpattan</v>
      </c>
      <c r="F790" s="10" t="str">
        <f>IFERROR(__xludf.DUMMYFUNCTION("""COMPUTED_VALUE"""),"EWWLQ")</f>
        <v>EWWLQ</v>
      </c>
      <c r="G790" s="10" t="str">
        <f>IFERROR(__xludf.DUMMYFUNCTION("""COMPUTED_VALUE"""),"Yes")</f>
        <v>Yes</v>
      </c>
      <c r="H790" s="10">
        <f>IFERROR(__xludf.DUMMYFUNCTION("""COMPUTED_VALUE"""),6.0)</f>
        <v>6</v>
      </c>
      <c r="I790" s="10">
        <f>IFERROR(__xludf.DUMMYFUNCTION("""COMPUTED_VALUE"""),3.0)</f>
        <v>3</v>
      </c>
      <c r="J790" s="10">
        <f>IFERROR(__xludf.DUMMYFUNCTION("""COMPUTED_VALUE"""),7.0)</f>
        <v>7</v>
      </c>
      <c r="K790" s="10">
        <f>IFERROR(__xludf.DUMMYFUNCTION("""COMPUTED_VALUE"""),8.0)</f>
        <v>8</v>
      </c>
      <c r="L790" s="10">
        <f>IFERROR(__xludf.DUMMYFUNCTION("""COMPUTED_VALUE"""),0.0)</f>
        <v>0</v>
      </c>
      <c r="M790" s="10">
        <f>IFERROR(__xludf.DUMMYFUNCTION("""COMPUTED_VALUE"""),7.0)</f>
        <v>7</v>
      </c>
      <c r="N790" s="10">
        <f>IFERROR(__xludf.DUMMYFUNCTION("""COMPUTED_VALUE"""),0.0)</f>
        <v>0</v>
      </c>
      <c r="O790" s="10">
        <f>IFERROR(__xludf.DUMMYFUNCTION("""COMPUTED_VALUE"""),4.0)</f>
        <v>4</v>
      </c>
      <c r="P790" s="10">
        <f>IFERROR(__xludf.DUMMYFUNCTION("""COMPUTED_VALUE"""),0.0)</f>
        <v>0</v>
      </c>
      <c r="Q790" s="10" t="str">
        <f>IFERROR(__xludf.DUMMYFUNCTION("""COMPUTED_VALUE"""),"No")</f>
        <v>No</v>
      </c>
      <c r="R790" s="10" t="str">
        <f>IFERROR(__xludf.DUMMYFUNCTION("""COMPUTED_VALUE"""),"No")</f>
        <v>No</v>
      </c>
      <c r="S790" s="10" t="str">
        <f>IFERROR(__xludf.DUMMYFUNCTION("""COMPUTED_VALUE"""),"No")</f>
        <v>No</v>
      </c>
      <c r="T790" s="10">
        <f>IFERROR(__xludf.DUMMYFUNCTION("""COMPUTED_VALUE"""),0.0)</f>
        <v>0</v>
      </c>
      <c r="U790" s="10">
        <f>IFERROR(__xludf.DUMMYFUNCTION("""COMPUTED_VALUE"""),0.0)</f>
        <v>0</v>
      </c>
      <c r="V790" s="10" t="str">
        <f>IFERROR(__xludf.DUMMYFUNCTION("""COMPUTED_VALUE"""),"
اسلام میں عورت کا مقام، تقویٰ اور ایمان کی اہمیت")</f>
        <v>
اسلام میں عورت کا مقام، تقویٰ اور ایمان کی اہمیت</v>
      </c>
      <c r="W790" s="10" t="str">
        <f>IFERROR(__xludf.DUMMYFUNCTION("""COMPUTED_VALUE"""),"امام صاحب نے بیان میں بتایا کہ اسلام سے پہلے عورت کی کوئی عزت نہیں تھی، لیکن نبی کریم ﷺ نے بیٹی، بیوی اور ماں—تینوں کو عزت کا مقام عطا فرمایا۔ بیٹی کو رحمت، بیوی کو محبت، اور ماں کو جنت کا درجہ دیا گیا۔انہوں نے حضرت علیؓ اور سیدہ فاطمہؓ کے واقعے سے واضح ک"&amp;"یا کہ سب سے بہترین عورت وہ ہے جو شرم و حیا کی پیکر ہو۔ پھر امام صاحب نے تقویٰ، ایمان اور سچائی کی اہمیت بیان کی کہ شیطان ہمیشہ ایمان سے دور کرنے کی کوشش کرتا ہے، مگر ایمان دار بندہ ثابت قدم رہتا ہے۔آخر میں فرمایا کہ انسان کو حلال رزق کمانا چاہیے تاکہ وہ ا"&amp;"ور اس کے بچے جنت کے حقدار بن سکیں")</f>
        <v>امام صاحب نے بیان میں بتایا کہ اسلام سے پہلے عورت کی کوئی عزت نہیں تھی، لیکن نبی کریم ﷺ نے بیٹی، بیوی اور ماں—تینوں کو عزت کا مقام عطا فرمایا۔ بیٹی کو رحمت، بیوی کو محبت، اور ماں کو جنت کا درجہ دیا گیا۔انہوں نے حضرت علیؓ اور سیدہ فاطمہؓ کے واقعے سے واضح کیا کہ سب سے بہترین عورت وہ ہے جو شرم و حیا کی پیکر ہو۔ پھر امام صاحب نے تقویٰ، ایمان اور سچائی کی اہمیت بیان کی کہ شیطان ہمیشہ ایمان سے دور کرنے کی کوشش کرتا ہے، مگر ایمان دار بندہ ثابت قدم رہتا ہے۔آخر میں فرمایا کہ انسان کو حلال رزق کمانا چاہیے تاکہ وہ اور اس کے بچے جنت کے حقدار بن سکیں</v>
      </c>
      <c r="X790" s="10">
        <f>IFERROR(__xludf.DUMMYFUNCTION("""COMPUTED_VALUE"""),8.0)</f>
        <v>8</v>
      </c>
      <c r="Y790" s="10">
        <f>IFERROR(__xludf.DUMMYFUNCTION("""COMPUTED_VALUE"""),7.0)</f>
        <v>7</v>
      </c>
      <c r="Z790" s="10">
        <f>IFERROR(__xludf.DUMMYFUNCTION("""COMPUTED_VALUE"""),8.0)</f>
        <v>8</v>
      </c>
      <c r="AA790" s="10">
        <f>IFERROR(__xludf.DUMMYFUNCTION("""COMPUTED_VALUE"""),10.0)</f>
        <v>10</v>
      </c>
      <c r="AB790" s="10">
        <f>IFERROR(__xludf.DUMMYFUNCTION("""COMPUTED_VALUE"""),6.0)</f>
        <v>6</v>
      </c>
      <c r="AC790" s="10">
        <f>IFERROR(__xludf.DUMMYFUNCTION("""COMPUTED_VALUE"""),0.0)</f>
        <v>0</v>
      </c>
      <c r="AD790" s="10">
        <f>IFERROR(__xludf.DUMMYFUNCTION("""COMPUTED_VALUE"""),2.0)</f>
        <v>2</v>
      </c>
      <c r="AE790" s="10">
        <f>IFERROR(__xludf.DUMMYFUNCTION("""COMPUTED_VALUE"""),0.0)</f>
        <v>0</v>
      </c>
      <c r="AF790" s="10">
        <f>IFERROR(__xludf.DUMMYFUNCTION("""COMPUTED_VALUE"""),0.0)</f>
        <v>0</v>
      </c>
      <c r="AG790" s="10">
        <f>IFERROR(__xludf.DUMMYFUNCTION("""COMPUTED_VALUE"""),9.0)</f>
        <v>9</v>
      </c>
      <c r="AH790" s="10">
        <f>IFERROR(__xludf.DUMMYFUNCTION("""COMPUTED_VALUE"""),0.0)</f>
        <v>0</v>
      </c>
      <c r="AI790" s="10">
        <f>IFERROR(__xludf.DUMMYFUNCTION("""COMPUTED_VALUE"""),8.0)</f>
        <v>8</v>
      </c>
      <c r="AJ790" s="11" t="str">
        <f>IFERROR(__xludf.DUMMYFUNCTION("""COMPUTED_VALUE"""),"https://drive.google.com/open?id=1xmr5In-CFLp8XrFoBu5sdvHXlJTKeQ4U")</f>
        <v>https://drive.google.com/open?id=1xmr5In-CFLp8XrFoBu5sdvHXlJTKeQ4U</v>
      </c>
      <c r="AK790" s="12"/>
      <c r="AL790" s="12" t="str">
        <f>IFERROR(__xludf.DUMMYFUNCTION("""COMPUTED_VALUE"""),"Yes")</f>
        <v>Yes</v>
      </c>
      <c r="AM790" s="15">
        <f>IFERROR(__xludf.DUMMYFUNCTION("""COMPUTED_VALUE"""),0.6)</f>
        <v>0.6</v>
      </c>
      <c r="AN790" s="12" t="str">
        <f>IFERROR(__xludf.DUMMYFUNCTION("""COMPUTED_VALUE"""),"3rd week")</f>
        <v>3rd week</v>
      </c>
      <c r="AO790" s="13">
        <v>3.0</v>
      </c>
      <c r="AX790" s="17"/>
    </row>
    <row r="791">
      <c r="B791" s="9">
        <f>IFERROR(__xludf.DUMMYFUNCTION("""COMPUTED_VALUE"""),45961.25598584491)</f>
        <v>45961.25599</v>
      </c>
      <c r="C791" s="10" t="str">
        <f>IFERROR(__xludf.DUMMYFUNCTION("""COMPUTED_VALUE"""),"Atiqa ")</f>
        <v>Atiqa </v>
      </c>
      <c r="D791" s="10" t="str">
        <f>IFERROR(__xludf.DUMMYFUNCTION("""COMPUTED_VALUE"""),"03157519977")</f>
        <v>03157519977</v>
      </c>
      <c r="E791" s="10" t="str">
        <f>IFERROR(__xludf.DUMMYFUNCTION("""COMPUTED_VALUE"""),"Jamia Masjid Renalah Khurda Okara")</f>
        <v>Jamia Masjid Renalah Khurda Okara</v>
      </c>
      <c r="F791" s="10" t="str">
        <f>IFERROR(__xludf.DUMMYFUNCTION("""COMPUTED_VALUE"""),"RUJKZ")</f>
        <v>RUJKZ</v>
      </c>
      <c r="G791" s="10" t="str">
        <f>IFERROR(__xludf.DUMMYFUNCTION("""COMPUTED_VALUE"""),"Yes")</f>
        <v>Yes</v>
      </c>
      <c r="H791" s="10">
        <f>IFERROR(__xludf.DUMMYFUNCTION("""COMPUTED_VALUE"""),0.0)</f>
        <v>0</v>
      </c>
      <c r="I791" s="10">
        <f>IFERROR(__xludf.DUMMYFUNCTION("""COMPUTED_VALUE"""),10.0)</f>
        <v>10</v>
      </c>
      <c r="J791" s="10">
        <f>IFERROR(__xludf.DUMMYFUNCTION("""COMPUTED_VALUE"""),0.0)</f>
        <v>0</v>
      </c>
      <c r="K791" s="10">
        <f>IFERROR(__xludf.DUMMYFUNCTION("""COMPUTED_VALUE"""),0.0)</f>
        <v>0</v>
      </c>
      <c r="L791" s="10">
        <f>IFERROR(__xludf.DUMMYFUNCTION("""COMPUTED_VALUE"""),0.0)</f>
        <v>0</v>
      </c>
      <c r="M791" s="10">
        <f>IFERROR(__xludf.DUMMYFUNCTION("""COMPUTED_VALUE"""),0.0)</f>
        <v>0</v>
      </c>
      <c r="N791" s="10">
        <f>IFERROR(__xludf.DUMMYFUNCTION("""COMPUTED_VALUE"""),0.0)</f>
        <v>0</v>
      </c>
      <c r="O791" s="10">
        <f>IFERROR(__xludf.DUMMYFUNCTION("""COMPUTED_VALUE"""),0.0)</f>
        <v>0</v>
      </c>
      <c r="P791" s="10">
        <f>IFERROR(__xludf.DUMMYFUNCTION("""COMPUTED_VALUE"""),0.0)</f>
        <v>0</v>
      </c>
      <c r="Q791" s="10" t="str">
        <f>IFERROR(__xludf.DUMMYFUNCTION("""COMPUTED_VALUE"""),"No")</f>
        <v>No</v>
      </c>
      <c r="R791" s="10" t="str">
        <f>IFERROR(__xludf.DUMMYFUNCTION("""COMPUTED_VALUE"""),"No")</f>
        <v>No</v>
      </c>
      <c r="S791" s="10" t="str">
        <f>IFERROR(__xludf.DUMMYFUNCTION("""COMPUTED_VALUE"""),"No")</f>
        <v>No</v>
      </c>
      <c r="T791" s="10">
        <f>IFERROR(__xludf.DUMMYFUNCTION("""COMPUTED_VALUE"""),0.0)</f>
        <v>0</v>
      </c>
      <c r="U791" s="10">
        <f>IFERROR(__xludf.DUMMYFUNCTION("""COMPUTED_VALUE"""),0.0)</f>
        <v>0</v>
      </c>
      <c r="V791" s="10" t="str">
        <f>IFERROR(__xludf.DUMMYFUNCTION("""COMPUTED_VALUE"""),"۱۔ غوث اعظم شیخ عبدالقادر جیلانی رضی اللہ تعالی عنہ کا سلسلہ اور  بابا یزید بسطامی کے مختصر حالات ۲۔  حضور صلی اللہ علیہ وسلم کی اطاعت ")</f>
        <v>۱۔ غوث اعظم شیخ عبدالقادر جیلانی رضی اللہ تعالی عنہ کا سلسلہ اور  بابا یزید بسطامی کے مختصر حالات ۲۔  حضور صلی اللہ علیہ وسلم کی اطاعت </v>
      </c>
      <c r="W791" s="10" t="str">
        <f>IFERROR(__xludf.DUMMYFUNCTION("""COMPUTED_VALUE"""),"امام نے بات کی کہ شیخ عبدالقادر جیلانی رضی اللہ تعالی عنہ کا سلسلہ حضرت حسن اور حسین رضی اللہ تعالی عنہ سے ملتا ہے،  ان کی پیدائش اور وفات بیان کی گئی ، اور ان کی کرامات پر بات کرتے ہوئے کہا گیا کہ اگر کسی شخص کو کسی کی شخص اور کرامات کا معلوم نہ ہو تو اس"&amp;" پر خود سے رائے کاقائم نہیں کرنی چاہیے، بایزید بسطامی رحمت اللہ کے پاس ایک شخص کا انا اور کوئی کرامات نہ دیکھ کر واپس لوٹنا اور اپ رحمت اللہ کا فرمانا کہ اللہ اور اس کے رسول کے خلاف کوئی بات نہیں دیکھی تو اس سے بڑی کرامت کیا ہوگی، عمر فاروق رضی اللہ تعالی"&amp;" عنہ کا دوران خطبہ میلو دور جنگ میں ایک صحابی کو ہدایات دینا،   حضور صلی اللہ علیہ وسلم کی دعا پر سورج کا لوٹنا اور علی رضی اللہ تعالی عنہ کا قضا پڑھنا ، حضور کی اطاعت  اللہ کی اطاعت قرار دینا ")</f>
        <v>امام نے بات کی کہ شیخ عبدالقادر جیلانی رضی اللہ تعالی عنہ کا سلسلہ حضرت حسن اور حسین رضی اللہ تعالی عنہ سے ملتا ہے،  ان کی پیدائش اور وفات بیان کی گئی ، اور ان کی کرامات پر بات کرتے ہوئے کہا گیا کہ اگر کسی شخص کو کسی کی شخص اور کرامات کا معلوم نہ ہو تو اس پر خود سے رائے کاقائم نہیں کرنی چاہیے، بایزید بسطامی رحمت اللہ کے پاس ایک شخص کا انا اور کوئی کرامات نہ دیکھ کر واپس لوٹنا اور اپ رحمت اللہ کا فرمانا کہ اللہ اور اس کے رسول کے خلاف کوئی بات نہیں دیکھی تو اس سے بڑی کرامت کیا ہوگی، عمر فاروق رضی اللہ تعالی عنہ کا دوران خطبہ میلو دور جنگ میں ایک صحابی کو ہدایات دینا،   حضور صلی اللہ علیہ وسلم کی دعا پر سورج کا لوٹنا اور علی رضی اللہ تعالی عنہ کا قضا پڑھنا ، حضور کی اطاعت  اللہ کی اطاعت قرار دینا </v>
      </c>
      <c r="X791" s="10">
        <f>IFERROR(__xludf.DUMMYFUNCTION("""COMPUTED_VALUE"""),5.0)</f>
        <v>5</v>
      </c>
      <c r="Y791" s="10">
        <f>IFERROR(__xludf.DUMMYFUNCTION("""COMPUTED_VALUE"""),5.0)</f>
        <v>5</v>
      </c>
      <c r="Z791" s="10">
        <f>IFERROR(__xludf.DUMMYFUNCTION("""COMPUTED_VALUE"""),6.0)</f>
        <v>6</v>
      </c>
      <c r="AA791" s="10">
        <f>IFERROR(__xludf.DUMMYFUNCTION("""COMPUTED_VALUE"""),7.0)</f>
        <v>7</v>
      </c>
      <c r="AB791" s="10">
        <f>IFERROR(__xludf.DUMMYFUNCTION("""COMPUTED_VALUE"""),8.0)</f>
        <v>8</v>
      </c>
      <c r="AC791" s="10">
        <f>IFERROR(__xludf.DUMMYFUNCTION("""COMPUTED_VALUE"""),2.0)</f>
        <v>2</v>
      </c>
      <c r="AD791" s="10">
        <f>IFERROR(__xludf.DUMMYFUNCTION("""COMPUTED_VALUE"""),4.0)</f>
        <v>4</v>
      </c>
      <c r="AE791" s="10">
        <f>IFERROR(__xludf.DUMMYFUNCTION("""COMPUTED_VALUE"""),3.0)</f>
        <v>3</v>
      </c>
      <c r="AF791" s="10">
        <f>IFERROR(__xludf.DUMMYFUNCTION("""COMPUTED_VALUE"""),6.0)</f>
        <v>6</v>
      </c>
      <c r="AG791" s="10">
        <f>IFERROR(__xludf.DUMMYFUNCTION("""COMPUTED_VALUE"""),8.0)</f>
        <v>8</v>
      </c>
      <c r="AH791" s="10">
        <f>IFERROR(__xludf.DUMMYFUNCTION("""COMPUTED_VALUE"""),0.0)</f>
        <v>0</v>
      </c>
      <c r="AI791" s="10">
        <f>IFERROR(__xludf.DUMMYFUNCTION("""COMPUTED_VALUE"""),8.0)</f>
        <v>8</v>
      </c>
      <c r="AJ791" s="11" t="str">
        <f>IFERROR(__xludf.DUMMYFUNCTION("""COMPUTED_VALUE"""),"https://drive.google.com/open?id=1xHFEcfQwhiALCqV9xSC5xKfuty2wGoyQE3Fzuc0wEx8")</f>
        <v>https://drive.google.com/open?id=1xHFEcfQwhiALCqV9xSC5xKfuty2wGoyQE3Fzuc0wEx8</v>
      </c>
      <c r="AK791" s="12" t="str">
        <f>IFERROR(__xludf.DUMMYFUNCTION("""COMPUTED_VALUE"""),"improve audio quality and imam didn't follow the script he delivered his own topic")</f>
        <v>improve audio quality and imam didn't follow the script he delivered his own topic</v>
      </c>
      <c r="AL791" s="12" t="str">
        <f>IFERROR(__xludf.DUMMYFUNCTION("""COMPUTED_VALUE"""),"Yes")</f>
        <v>Yes</v>
      </c>
      <c r="AM791" s="15">
        <f>IFERROR(__xludf.DUMMYFUNCTION("""COMPUTED_VALUE"""),0.0)</f>
        <v>0</v>
      </c>
      <c r="AN791" s="12" t="str">
        <f>IFERROR(__xludf.DUMMYFUNCTION("""COMPUTED_VALUE"""),"4th week")</f>
        <v>4th week</v>
      </c>
      <c r="AO791" s="13">
        <v>4.0</v>
      </c>
      <c r="AX791" s="17"/>
    </row>
    <row r="792">
      <c r="B792" s="9">
        <f>IFERROR(__xludf.DUMMYFUNCTION("""COMPUTED_VALUE"""),45961.266713414356)</f>
        <v>45961.26671</v>
      </c>
      <c r="C792" s="10" t="str">
        <f>IFERROR(__xludf.DUMMYFUNCTION("""COMPUTED_VALUE"""),"Arti Kumari ")</f>
        <v>Arti Kumari </v>
      </c>
      <c r="D792" s="10" t="str">
        <f>IFERROR(__xludf.DUMMYFUNCTION("""COMPUTED_VALUE"""),"03346661865")</f>
        <v>03346661865</v>
      </c>
      <c r="E792" s="10" t="str">
        <f>IFERROR(__xludf.DUMMYFUNCTION("""COMPUTED_VALUE"""),"Jamia Masjid Gaalah Mandi Shahiwal")</f>
        <v>Jamia Masjid Gaalah Mandi Shahiwal</v>
      </c>
      <c r="F792" s="10" t="str">
        <f>IFERROR(__xludf.DUMMYFUNCTION("""COMPUTED_VALUE"""),"USAOU")</f>
        <v>USAOU</v>
      </c>
      <c r="G792" s="10" t="str">
        <f>IFERROR(__xludf.DUMMYFUNCTION("""COMPUTED_VALUE"""),"Yes")</f>
        <v>Yes</v>
      </c>
      <c r="H792" s="10">
        <f>IFERROR(__xludf.DUMMYFUNCTION("""COMPUTED_VALUE"""),0.0)</f>
        <v>0</v>
      </c>
      <c r="I792" s="10">
        <f>IFERROR(__xludf.DUMMYFUNCTION("""COMPUTED_VALUE"""),10.0)</f>
        <v>10</v>
      </c>
      <c r="J792" s="10">
        <f>IFERROR(__xludf.DUMMYFUNCTION("""COMPUTED_VALUE"""),0.0)</f>
        <v>0</v>
      </c>
      <c r="K792" s="10">
        <f>IFERROR(__xludf.DUMMYFUNCTION("""COMPUTED_VALUE"""),0.0)</f>
        <v>0</v>
      </c>
      <c r="L792" s="10">
        <f>IFERROR(__xludf.DUMMYFUNCTION("""COMPUTED_VALUE"""),0.0)</f>
        <v>0</v>
      </c>
      <c r="M792" s="10">
        <f>IFERROR(__xludf.DUMMYFUNCTION("""COMPUTED_VALUE"""),0.0)</f>
        <v>0</v>
      </c>
      <c r="N792" s="10">
        <f>IFERROR(__xludf.DUMMYFUNCTION("""COMPUTED_VALUE"""),0.0)</f>
        <v>0</v>
      </c>
      <c r="O792" s="10">
        <f>IFERROR(__xludf.DUMMYFUNCTION("""COMPUTED_VALUE"""),0.0)</f>
        <v>0</v>
      </c>
      <c r="P792" s="10">
        <f>IFERROR(__xludf.DUMMYFUNCTION("""COMPUTED_VALUE"""),0.0)</f>
        <v>0</v>
      </c>
      <c r="Q792" s="10" t="str">
        <f>IFERROR(__xludf.DUMMYFUNCTION("""COMPUTED_VALUE"""),"No")</f>
        <v>No</v>
      </c>
      <c r="R792" s="10" t="str">
        <f>IFERROR(__xludf.DUMMYFUNCTION("""COMPUTED_VALUE"""),"No")</f>
        <v>No</v>
      </c>
      <c r="S792" s="10" t="str">
        <f>IFERROR(__xludf.DUMMYFUNCTION("""COMPUTED_VALUE"""),"No")</f>
        <v>No</v>
      </c>
      <c r="T792" s="10">
        <f>IFERROR(__xludf.DUMMYFUNCTION("""COMPUTED_VALUE"""),0.0)</f>
        <v>0</v>
      </c>
      <c r="U792" s="10">
        <f>IFERROR(__xludf.DUMMYFUNCTION("""COMPUTED_VALUE"""),0.0)</f>
        <v>0</v>
      </c>
      <c r="V792" s="10" t="str">
        <f>IFERROR(__xludf.DUMMYFUNCTION("""COMPUTED_VALUE"""),"کفار اور مسلمانوں میں فرق اور اللہ ایک ہے ")</f>
        <v>کفار اور مسلمانوں میں فرق اور اللہ ایک ہے </v>
      </c>
      <c r="W792" s="10" t="str">
        <f>IFERROR(__xludf.DUMMYFUNCTION("""COMPUTED_VALUE"""),"امام نے خطبہ میں کفار، مشرکین اور مسلمانوں پر بات کی کہ جو مشرکین یا کفار ہیں جب ان پر کوئی مصیبت آتی ہے تو یہ اللہ کو یاد کرتے ہیں آپ مانیں گیں نہیں اس بات کو لیکن ایسا ہی ہے وہ کلمہ نہیں پڑھتے نماز نہیں پڑھتے لیکن جب کوئی مشکل آئے تو انہیں یقین ہی۔ ان ک"&amp;"ی مدد کون کرے گا لکین اگر مسلمان ہر آئے تو وہ عبد القادر کو یاد کرے گا پہلے")</f>
        <v>امام نے خطبہ میں کفار، مشرکین اور مسلمانوں پر بات کی کہ جو مشرکین یا کفار ہیں جب ان پر کوئی مصیبت آتی ہے تو یہ اللہ کو یاد کرتے ہیں آپ مانیں گیں نہیں اس بات کو لیکن ایسا ہی ہے وہ کلمہ نہیں پڑھتے نماز نہیں پڑھتے لیکن جب کوئی مشکل آئے تو انہیں یقین ہی۔ ان کی مدد کون کرے گا لکین اگر مسلمان ہر آئے تو وہ عبد القادر کو یاد کرے گا پہلے</v>
      </c>
      <c r="X792" s="10">
        <f>IFERROR(__xludf.DUMMYFUNCTION("""COMPUTED_VALUE"""),3.0)</f>
        <v>3</v>
      </c>
      <c r="Y792" s="10">
        <f>IFERROR(__xludf.DUMMYFUNCTION("""COMPUTED_VALUE"""),3.0)</f>
        <v>3</v>
      </c>
      <c r="Z792" s="10">
        <f>IFERROR(__xludf.DUMMYFUNCTION("""COMPUTED_VALUE"""),2.0)</f>
        <v>2</v>
      </c>
      <c r="AA792" s="10">
        <f>IFERROR(__xludf.DUMMYFUNCTION("""COMPUTED_VALUE"""),7.0)</f>
        <v>7</v>
      </c>
      <c r="AB792" s="10">
        <f>IFERROR(__xludf.DUMMYFUNCTION("""COMPUTED_VALUE"""),2.0)</f>
        <v>2</v>
      </c>
      <c r="AC792" s="10">
        <f>IFERROR(__xludf.DUMMYFUNCTION("""COMPUTED_VALUE"""),0.0)</f>
        <v>0</v>
      </c>
      <c r="AD792" s="10">
        <f>IFERROR(__xludf.DUMMYFUNCTION("""COMPUTED_VALUE"""),0.0)</f>
        <v>0</v>
      </c>
      <c r="AE792" s="10">
        <f>IFERROR(__xludf.DUMMYFUNCTION("""COMPUTED_VALUE"""),2.0)</f>
        <v>2</v>
      </c>
      <c r="AF792" s="10">
        <f>IFERROR(__xludf.DUMMYFUNCTION("""COMPUTED_VALUE"""),0.0)</f>
        <v>0</v>
      </c>
      <c r="AG792" s="10">
        <f>IFERROR(__xludf.DUMMYFUNCTION("""COMPUTED_VALUE"""),9.0)</f>
        <v>9</v>
      </c>
      <c r="AH792" s="10">
        <f>IFERROR(__xludf.DUMMYFUNCTION("""COMPUTED_VALUE"""),0.0)</f>
        <v>0</v>
      </c>
      <c r="AI792" s="10">
        <f>IFERROR(__xludf.DUMMYFUNCTION("""COMPUTED_VALUE"""),10.0)</f>
        <v>10</v>
      </c>
      <c r="AJ792" s="11" t="str">
        <f>IFERROR(__xludf.DUMMYFUNCTION("""COMPUTED_VALUE"""),"https://drive.google.com/open?id=1-kBIfVA31S8t6w-sMg-VsAPJR_K9D-c9")</f>
        <v>https://drive.google.com/open?id=1-kBIfVA31S8t6w-sMg-VsAPJR_K9D-c9</v>
      </c>
      <c r="AK792" s="12"/>
      <c r="AL792" s="12" t="str">
        <f>IFERROR(__xludf.DUMMYFUNCTION("""COMPUTED_VALUE"""),"Yes")</f>
        <v>Yes</v>
      </c>
      <c r="AM792" s="15">
        <f>IFERROR(__xludf.DUMMYFUNCTION("""COMPUTED_VALUE"""),0.0)</f>
        <v>0</v>
      </c>
      <c r="AN792" s="12" t="str">
        <f>IFERROR(__xludf.DUMMYFUNCTION("""COMPUTED_VALUE"""),"3rd week")</f>
        <v>3rd week</v>
      </c>
      <c r="AO792" s="13">
        <v>3.0</v>
      </c>
      <c r="AX792" s="17"/>
    </row>
    <row r="793">
      <c r="B793" s="9">
        <f>IFERROR(__xludf.DUMMYFUNCTION("""COMPUTED_VALUE"""),45961.416127233795)</f>
        <v>45961.41613</v>
      </c>
      <c r="C793" s="10" t="str">
        <f>IFERROR(__xludf.DUMMYFUNCTION("""COMPUTED_VALUE"""),"Atiqa ")</f>
        <v>Atiqa </v>
      </c>
      <c r="D793" s="10" t="str">
        <f>IFERROR(__xludf.DUMMYFUNCTION("""COMPUTED_VALUE"""),"03157519977")</f>
        <v>03157519977</v>
      </c>
      <c r="E793" s="10" t="str">
        <f>IFERROR(__xludf.DUMMYFUNCTION("""COMPUTED_VALUE"""),"Jamia Masjid D Block Burewala")</f>
        <v>Jamia Masjid D Block Burewala</v>
      </c>
      <c r="F793" s="10" t="str">
        <f>IFERROR(__xludf.DUMMYFUNCTION("""COMPUTED_VALUE"""),"MFVFC")</f>
        <v>MFVFC</v>
      </c>
      <c r="G793" s="10" t="str">
        <f>IFERROR(__xludf.DUMMYFUNCTION("""COMPUTED_VALUE"""),"Yes")</f>
        <v>Yes</v>
      </c>
      <c r="H793" s="10">
        <f>IFERROR(__xludf.DUMMYFUNCTION("""COMPUTED_VALUE"""),8.0)</f>
        <v>8</v>
      </c>
      <c r="I793" s="10">
        <f>IFERROR(__xludf.DUMMYFUNCTION("""COMPUTED_VALUE"""),2.0)</f>
        <v>2</v>
      </c>
      <c r="J793" s="10">
        <f>IFERROR(__xludf.DUMMYFUNCTION("""COMPUTED_VALUE"""),10.0)</f>
        <v>10</v>
      </c>
      <c r="K793" s="10">
        <f>IFERROR(__xludf.DUMMYFUNCTION("""COMPUTED_VALUE"""),0.0)</f>
        <v>0</v>
      </c>
      <c r="L793" s="10">
        <f>IFERROR(__xludf.DUMMYFUNCTION("""COMPUTED_VALUE"""),9.0)</f>
        <v>9</v>
      </c>
      <c r="M793" s="10">
        <f>IFERROR(__xludf.DUMMYFUNCTION("""COMPUTED_VALUE"""),0.0)</f>
        <v>0</v>
      </c>
      <c r="N793" s="10">
        <f>IFERROR(__xludf.DUMMYFUNCTION("""COMPUTED_VALUE"""),8.0)</f>
        <v>8</v>
      </c>
      <c r="O793" s="10">
        <f>IFERROR(__xludf.DUMMYFUNCTION("""COMPUTED_VALUE"""),0.0)</f>
        <v>0</v>
      </c>
      <c r="P793" s="10">
        <f>IFERROR(__xludf.DUMMYFUNCTION("""COMPUTED_VALUE"""),8.0)</f>
        <v>8</v>
      </c>
      <c r="Q793" s="10" t="str">
        <f>IFERROR(__xludf.DUMMYFUNCTION("""COMPUTED_VALUE"""),"No")</f>
        <v>No</v>
      </c>
      <c r="R793" s="10" t="str">
        <f>IFERROR(__xludf.DUMMYFUNCTION("""COMPUTED_VALUE"""),"Yes")</f>
        <v>Yes</v>
      </c>
      <c r="S793" s="10" t="str">
        <f>IFERROR(__xludf.DUMMYFUNCTION("""COMPUTED_VALUE"""),"No")</f>
        <v>No</v>
      </c>
      <c r="T793" s="10">
        <f>IFERROR(__xludf.DUMMYFUNCTION("""COMPUTED_VALUE"""),0.0)</f>
        <v>0</v>
      </c>
      <c r="U793" s="10">
        <f>IFERROR(__xludf.DUMMYFUNCTION("""COMPUTED_VALUE"""),0.0)</f>
        <v>0</v>
      </c>
      <c r="V793" s="10" t="str">
        <f>IFERROR(__xludf.DUMMYFUNCTION("""COMPUTED_VALUE"""),"پڑوسیوں کے حقوق ")</f>
        <v>پڑوسیوں کے حقوق </v>
      </c>
      <c r="W793" s="10" t="str">
        <f>IFERROR(__xludf.DUMMYFUNCTION("""COMPUTED_VALUE"""),"امام کا کہنا کہ اج ہماری زندگیوں میں کشمکش بھی چینی اور بے سکونی حضور صلی اللہ علیہ وسلم کی تعلیمات کو نظر انداز کرنے کی وجہ سے انا اور پڑوسیوں کے حقوق میں ان کی عیادت کرنا جنازے میں شرکت کرنا ضرورت پوری کرنا اور پڑوسی کو ہر طرح کے اذا اور تکلیف سے محفوظ "&amp;"رکھنا اور ہمسایہ ملکوں ہندوستان اور افغانستان کے ساتھ تعلقات پر بھی بات کی گئی اور اپنے گلی محلے اور علاقے کی صفائی کا خیال رکھنے کے متعلق بات کی گئی ۔")</f>
        <v>امام کا کہنا کہ اج ہماری زندگیوں میں کشمکش بھی چینی اور بے سکونی حضور صلی اللہ علیہ وسلم کی تعلیمات کو نظر انداز کرنے کی وجہ سے انا اور پڑوسیوں کے حقوق میں ان کی عیادت کرنا جنازے میں شرکت کرنا ضرورت پوری کرنا اور پڑوسی کو ہر طرح کے اذا اور تکلیف سے محفوظ رکھنا اور ہمسایہ ملکوں ہندوستان اور افغانستان کے ساتھ تعلقات پر بھی بات کی گئی اور اپنے گلی محلے اور علاقے کی صفائی کا خیال رکھنے کے متعلق بات کی گئی ۔</v>
      </c>
      <c r="X793" s="10">
        <f>IFERROR(__xludf.DUMMYFUNCTION("""COMPUTED_VALUE"""),1.0)</f>
        <v>1</v>
      </c>
      <c r="Y793" s="10">
        <f>IFERROR(__xludf.DUMMYFUNCTION("""COMPUTED_VALUE"""),9.0)</f>
        <v>9</v>
      </c>
      <c r="Z793" s="10">
        <f>IFERROR(__xludf.DUMMYFUNCTION("""COMPUTED_VALUE"""),7.0)</f>
        <v>7</v>
      </c>
      <c r="AA793" s="10">
        <f>IFERROR(__xludf.DUMMYFUNCTION("""COMPUTED_VALUE"""),8.0)</f>
        <v>8</v>
      </c>
      <c r="AB793" s="10">
        <f>IFERROR(__xludf.DUMMYFUNCTION("""COMPUTED_VALUE"""),7.0)</f>
        <v>7</v>
      </c>
      <c r="AC793" s="10">
        <f>IFERROR(__xludf.DUMMYFUNCTION("""COMPUTED_VALUE"""),2.0)</f>
        <v>2</v>
      </c>
      <c r="AD793" s="10">
        <f>IFERROR(__xludf.DUMMYFUNCTION("""COMPUTED_VALUE"""),0.0)</f>
        <v>0</v>
      </c>
      <c r="AE793" s="10">
        <f>IFERROR(__xludf.DUMMYFUNCTION("""COMPUTED_VALUE"""),2.0)</f>
        <v>2</v>
      </c>
      <c r="AF793" s="10">
        <f>IFERROR(__xludf.DUMMYFUNCTION("""COMPUTED_VALUE"""),4.0)</f>
        <v>4</v>
      </c>
      <c r="AG793" s="10">
        <f>IFERROR(__xludf.DUMMYFUNCTION("""COMPUTED_VALUE"""),8.0)</f>
        <v>8</v>
      </c>
      <c r="AH793" s="10">
        <f>IFERROR(__xludf.DUMMYFUNCTION("""COMPUTED_VALUE"""),0.0)</f>
        <v>0</v>
      </c>
      <c r="AI793" s="10">
        <f>IFERROR(__xludf.DUMMYFUNCTION("""COMPUTED_VALUE"""),10.0)</f>
        <v>10</v>
      </c>
      <c r="AJ793" s="11" t="str">
        <f>IFERROR(__xludf.DUMMYFUNCTION("""COMPUTED_VALUE"""),"https://drive.google.com/open?id=1uk5_WI4--ytBSEvzRog-gg8BR03rVYiHN1ilV1MZAXg")</f>
        <v>https://drive.google.com/open?id=1uk5_WI4--ytBSEvzRog-gg8BR03rVYiHN1ilV1MZAXg</v>
      </c>
      <c r="AK793" s="12"/>
      <c r="AL793" s="12" t="str">
        <f>IFERROR(__xludf.DUMMYFUNCTION("""COMPUTED_VALUE"""),"Yes")</f>
        <v>Yes</v>
      </c>
      <c r="AM793" s="15">
        <f>IFERROR(__xludf.DUMMYFUNCTION("""COMPUTED_VALUE"""),0.9)</f>
        <v>0.9</v>
      </c>
      <c r="AN793" s="12" t="str">
        <f>IFERROR(__xludf.DUMMYFUNCTION("""COMPUTED_VALUE"""),"4th week")</f>
        <v>4th week</v>
      </c>
      <c r="AO793" s="13">
        <v>4.0</v>
      </c>
      <c r="AX793" s="17"/>
    </row>
    <row r="794">
      <c r="B794" s="9">
        <f>IFERROR(__xludf.DUMMYFUNCTION("""COMPUTED_VALUE"""),45961.468541932874)</f>
        <v>45961.46854</v>
      </c>
      <c r="C794" s="10" t="str">
        <f>IFERROR(__xludf.DUMMYFUNCTION("""COMPUTED_VALUE"""),"Arti Kumari ")</f>
        <v>Arti Kumari </v>
      </c>
      <c r="D794" s="10" t="str">
        <f>IFERROR(__xludf.DUMMYFUNCTION("""COMPUTED_VALUE"""),"03346661865")</f>
        <v>03346661865</v>
      </c>
      <c r="E794" s="10" t="str">
        <f>IFERROR(__xludf.DUMMYFUNCTION("""COMPUTED_VALUE"""),"Jamia Masjid Chila Gha Sheer Shah Wali")</f>
        <v>Jamia Masjid Chila Gha Sheer Shah Wali</v>
      </c>
      <c r="F794" s="10" t="str">
        <f>IFERROR(__xludf.DUMMYFUNCTION("""COMPUTED_VALUE"""),"IBTRF")</f>
        <v>IBTRF</v>
      </c>
      <c r="G794" s="10" t="str">
        <f>IFERROR(__xludf.DUMMYFUNCTION("""COMPUTED_VALUE"""),"Yes")</f>
        <v>Yes</v>
      </c>
      <c r="H794" s="10">
        <f>IFERROR(__xludf.DUMMYFUNCTION("""COMPUTED_VALUE"""),0.0)</f>
        <v>0</v>
      </c>
      <c r="I794" s="10">
        <f>IFERROR(__xludf.DUMMYFUNCTION("""COMPUTED_VALUE"""),10.0)</f>
        <v>10</v>
      </c>
      <c r="J794" s="10">
        <f>IFERROR(__xludf.DUMMYFUNCTION("""COMPUTED_VALUE"""),0.0)</f>
        <v>0</v>
      </c>
      <c r="K794" s="10">
        <f>IFERROR(__xludf.DUMMYFUNCTION("""COMPUTED_VALUE"""),0.0)</f>
        <v>0</v>
      </c>
      <c r="L794" s="10">
        <f>IFERROR(__xludf.DUMMYFUNCTION("""COMPUTED_VALUE"""),0.0)</f>
        <v>0</v>
      </c>
      <c r="M794" s="10">
        <f>IFERROR(__xludf.DUMMYFUNCTION("""COMPUTED_VALUE"""),0.0)</f>
        <v>0</v>
      </c>
      <c r="N794" s="10">
        <f>IFERROR(__xludf.DUMMYFUNCTION("""COMPUTED_VALUE"""),0.0)</f>
        <v>0</v>
      </c>
      <c r="O794" s="10">
        <f>IFERROR(__xludf.DUMMYFUNCTION("""COMPUTED_VALUE"""),0.0)</f>
        <v>0</v>
      </c>
      <c r="P794" s="10">
        <f>IFERROR(__xludf.DUMMYFUNCTION("""COMPUTED_VALUE"""),0.0)</f>
        <v>0</v>
      </c>
      <c r="Q794" s="10" t="str">
        <f>IFERROR(__xludf.DUMMYFUNCTION("""COMPUTED_VALUE"""),"No")</f>
        <v>No</v>
      </c>
      <c r="R794" s="10" t="str">
        <f>IFERROR(__xludf.DUMMYFUNCTION("""COMPUTED_VALUE"""),"No")</f>
        <v>No</v>
      </c>
      <c r="S794" s="10" t="str">
        <f>IFERROR(__xludf.DUMMYFUNCTION("""COMPUTED_VALUE"""),"No")</f>
        <v>No</v>
      </c>
      <c r="T794" s="10">
        <f>IFERROR(__xludf.DUMMYFUNCTION("""COMPUTED_VALUE"""),0.0)</f>
        <v>0</v>
      </c>
      <c r="U794" s="10">
        <f>IFERROR(__xludf.DUMMYFUNCTION("""COMPUTED_VALUE"""),0.0)</f>
        <v>0</v>
      </c>
      <c r="V794" s="10" t="str">
        <f>IFERROR(__xludf.DUMMYFUNCTION("""COMPUTED_VALUE"""),"ملاوٹ اور دھوکا")</f>
        <v>ملاوٹ اور دھوکا</v>
      </c>
      <c r="W794" s="10" t="str">
        <f>IFERROR(__xludf.DUMMYFUNCTION("""COMPUTED_VALUE"""),"امام نے  خطبہ میں ملاوٹ اور دھوکے پر بات کی آج کل ملاوٹ بہت عام ہے اور یہ دھوکے میں بھی آتا ہے،  ہمارا دین اس چیز کی اجازت نہیں دیتا وہ ہم میں سے نہیں یا نبی کا امتی نہیں جو  ملاوٹ کرتا ہو یا ناپ تول میں کمی کرتا ہو اور ان کے لیے دنیا میں بھی سزا ہے اور آ"&amp;"خرت میں بھی")</f>
        <v>امام نے  خطبہ میں ملاوٹ اور دھوکے پر بات کی آج کل ملاوٹ بہت عام ہے اور یہ دھوکے میں بھی آتا ہے،  ہمارا دین اس چیز کی اجازت نہیں دیتا وہ ہم میں سے نہیں یا نبی کا امتی نہیں جو  ملاوٹ کرتا ہو یا ناپ تول میں کمی کرتا ہو اور ان کے لیے دنیا میں بھی سزا ہے اور آخرت میں بھی</v>
      </c>
      <c r="X794" s="10">
        <f>IFERROR(__xludf.DUMMYFUNCTION("""COMPUTED_VALUE"""),0.0)</f>
        <v>0</v>
      </c>
      <c r="Y794" s="10">
        <f>IFERROR(__xludf.DUMMYFUNCTION("""COMPUTED_VALUE"""),0.0)</f>
        <v>0</v>
      </c>
      <c r="Z794" s="10">
        <f>IFERROR(__xludf.DUMMYFUNCTION("""COMPUTED_VALUE"""),9.0)</f>
        <v>9</v>
      </c>
      <c r="AA794" s="10">
        <f>IFERROR(__xludf.DUMMYFUNCTION("""COMPUTED_VALUE"""),3.0)</f>
        <v>3</v>
      </c>
      <c r="AB794" s="10">
        <f>IFERROR(__xludf.DUMMYFUNCTION("""COMPUTED_VALUE"""),1.0)</f>
        <v>1</v>
      </c>
      <c r="AC794" s="10">
        <f>IFERROR(__xludf.DUMMYFUNCTION("""COMPUTED_VALUE"""),0.0)</f>
        <v>0</v>
      </c>
      <c r="AD794" s="10">
        <f>IFERROR(__xludf.DUMMYFUNCTION("""COMPUTED_VALUE"""),0.0)</f>
        <v>0</v>
      </c>
      <c r="AE794" s="10">
        <f>IFERROR(__xludf.DUMMYFUNCTION("""COMPUTED_VALUE"""),0.0)</f>
        <v>0</v>
      </c>
      <c r="AF794" s="10">
        <f>IFERROR(__xludf.DUMMYFUNCTION("""COMPUTED_VALUE"""),0.0)</f>
        <v>0</v>
      </c>
      <c r="AG794" s="10">
        <f>IFERROR(__xludf.DUMMYFUNCTION("""COMPUTED_VALUE"""),10.0)</f>
        <v>10</v>
      </c>
      <c r="AH794" s="10">
        <f>IFERROR(__xludf.DUMMYFUNCTION("""COMPUTED_VALUE"""),0.0)</f>
        <v>0</v>
      </c>
      <c r="AI794" s="10">
        <f>IFERROR(__xludf.DUMMYFUNCTION("""COMPUTED_VALUE"""),10.0)</f>
        <v>10</v>
      </c>
      <c r="AJ794" s="11" t="str">
        <f>IFERROR(__xludf.DUMMYFUNCTION("""COMPUTED_VALUE"""),"https://drive.google.com/open?id=1DR7E4i61ocPmweaEFVabAn0KwYsycgfY")</f>
        <v>https://drive.google.com/open?id=1DR7E4i61ocPmweaEFVabAn0KwYsycgfY</v>
      </c>
      <c r="AK794" s="12"/>
      <c r="AL794" s="12" t="str">
        <f>IFERROR(__xludf.DUMMYFUNCTION("""COMPUTED_VALUE"""),"Yes")</f>
        <v>Yes</v>
      </c>
      <c r="AM794" s="15">
        <f>IFERROR(__xludf.DUMMYFUNCTION("""COMPUTED_VALUE"""),0.0)</f>
        <v>0</v>
      </c>
      <c r="AN794" s="12" t="str">
        <f>IFERROR(__xludf.DUMMYFUNCTION("""COMPUTED_VALUE"""),"3rd week")</f>
        <v>3rd week</v>
      </c>
      <c r="AO794" s="13">
        <v>3.0</v>
      </c>
      <c r="AX794" s="17"/>
    </row>
    <row r="795">
      <c r="B795" s="9">
        <f>IFERROR(__xludf.DUMMYFUNCTION("""COMPUTED_VALUE"""),45961.55173425926)</f>
        <v>45961.55173</v>
      </c>
      <c r="C795" s="10" t="str">
        <f>IFERROR(__xludf.DUMMYFUNCTION("""COMPUTED_VALUE"""),"Maham")</f>
        <v>Maham</v>
      </c>
      <c r="D795" s="10" t="str">
        <f>IFERROR(__xludf.DUMMYFUNCTION("""COMPUTED_VALUE"""),"03218118680")</f>
        <v>03218118680</v>
      </c>
      <c r="E795" s="10" t="str">
        <f>IFERROR(__xludf.DUMMYFUNCTION("""COMPUTED_VALUE"""),"Jamia Masjid Gaalah Mandi Vehari")</f>
        <v>Jamia Masjid Gaalah Mandi Vehari</v>
      </c>
      <c r="F795" s="10" t="str">
        <f>IFERROR(__xludf.DUMMYFUNCTION("""COMPUTED_VALUE"""),"UOMYF")</f>
        <v>UOMYF</v>
      </c>
      <c r="G795" s="10" t="str">
        <f>IFERROR(__xludf.DUMMYFUNCTION("""COMPUTED_VALUE"""),"Yes")</f>
        <v>Yes</v>
      </c>
      <c r="H795" s="10">
        <f>IFERROR(__xludf.DUMMYFUNCTION("""COMPUTED_VALUE"""),7.0)</f>
        <v>7</v>
      </c>
      <c r="I795" s="10">
        <f>IFERROR(__xludf.DUMMYFUNCTION("""COMPUTED_VALUE"""),3.0)</f>
        <v>3</v>
      </c>
      <c r="J795" s="10">
        <f>IFERROR(__xludf.DUMMYFUNCTION("""COMPUTED_VALUE"""),10.0)</f>
        <v>10</v>
      </c>
      <c r="K795" s="10">
        <f>IFERROR(__xludf.DUMMYFUNCTION("""COMPUTED_VALUE"""),10.0)</f>
        <v>10</v>
      </c>
      <c r="L795" s="10">
        <f>IFERROR(__xludf.DUMMYFUNCTION("""COMPUTED_VALUE"""),0.0)</f>
        <v>0</v>
      </c>
      <c r="M795" s="10">
        <f>IFERROR(__xludf.DUMMYFUNCTION("""COMPUTED_VALUE"""),10.0)</f>
        <v>10</v>
      </c>
      <c r="N795" s="10">
        <f>IFERROR(__xludf.DUMMYFUNCTION("""COMPUTED_VALUE"""),0.0)</f>
        <v>0</v>
      </c>
      <c r="O795" s="10">
        <f>IFERROR(__xludf.DUMMYFUNCTION("""COMPUTED_VALUE"""),8.0)</f>
        <v>8</v>
      </c>
      <c r="P795" s="10">
        <f>IFERROR(__xludf.DUMMYFUNCTION("""COMPUTED_VALUE"""),0.0)</f>
        <v>0</v>
      </c>
      <c r="Q795" s="10" t="str">
        <f>IFERROR(__xludf.DUMMYFUNCTION("""COMPUTED_VALUE"""),"No")</f>
        <v>No</v>
      </c>
      <c r="R795" s="10" t="str">
        <f>IFERROR(__xludf.DUMMYFUNCTION("""COMPUTED_VALUE"""),"No")</f>
        <v>No</v>
      </c>
      <c r="S795" s="10" t="str">
        <f>IFERROR(__xludf.DUMMYFUNCTION("""COMPUTED_VALUE"""),"No")</f>
        <v>No</v>
      </c>
      <c r="T795" s="10">
        <f>IFERROR(__xludf.DUMMYFUNCTION("""COMPUTED_VALUE"""),0.0)</f>
        <v>0</v>
      </c>
      <c r="U795" s="10">
        <f>IFERROR(__xludf.DUMMYFUNCTION("""COMPUTED_VALUE"""),0.0)</f>
        <v>0</v>
      </c>
      <c r="V795" s="10" t="str">
        <f>IFERROR(__xludf.DUMMYFUNCTION("""COMPUTED_VALUE"""),"عورتوں کے حقوق")</f>
        <v>عورتوں کے حقوق</v>
      </c>
      <c r="W795" s="10" t="str">
        <f>IFERROR(__xludf.DUMMYFUNCTION("""COMPUTED_VALUE"""),"عورتوں کے حقوق بیان کیے گئے اسلام میں ان کا مقام بیان کیا ہے")</f>
        <v>عورتوں کے حقوق بیان کیے گئے اسلام میں ان کا مقام بیان کیا ہے</v>
      </c>
      <c r="X795" s="10">
        <f>IFERROR(__xludf.DUMMYFUNCTION("""COMPUTED_VALUE"""),0.0)</f>
        <v>0</v>
      </c>
      <c r="Y795" s="10">
        <f>IFERROR(__xludf.DUMMYFUNCTION("""COMPUTED_VALUE"""),10.0)</f>
        <v>10</v>
      </c>
      <c r="Z795" s="10">
        <f>IFERROR(__xludf.DUMMYFUNCTION("""COMPUTED_VALUE"""),8.0)</f>
        <v>8</v>
      </c>
      <c r="AA795" s="10">
        <f>IFERROR(__xludf.DUMMYFUNCTION("""COMPUTED_VALUE"""),8.0)</f>
        <v>8</v>
      </c>
      <c r="AB795" s="10">
        <f>IFERROR(__xludf.DUMMYFUNCTION("""COMPUTED_VALUE"""),6.0)</f>
        <v>6</v>
      </c>
      <c r="AC795" s="10">
        <f>IFERROR(__xludf.DUMMYFUNCTION("""COMPUTED_VALUE"""),0.0)</f>
        <v>0</v>
      </c>
      <c r="AD795" s="10">
        <f>IFERROR(__xludf.DUMMYFUNCTION("""COMPUTED_VALUE"""),2.0)</f>
        <v>2</v>
      </c>
      <c r="AE795" s="10">
        <f>IFERROR(__xludf.DUMMYFUNCTION("""COMPUTED_VALUE"""),0.0)</f>
        <v>0</v>
      </c>
      <c r="AF795" s="10">
        <f>IFERROR(__xludf.DUMMYFUNCTION("""COMPUTED_VALUE"""),3.0)</f>
        <v>3</v>
      </c>
      <c r="AG795" s="10">
        <f>IFERROR(__xludf.DUMMYFUNCTION("""COMPUTED_VALUE"""),8.0)</f>
        <v>8</v>
      </c>
      <c r="AH795" s="10">
        <f>IFERROR(__xludf.DUMMYFUNCTION("""COMPUTED_VALUE"""),0.0)</f>
        <v>0</v>
      </c>
      <c r="AI795" s="10">
        <f>IFERROR(__xludf.DUMMYFUNCTION("""COMPUTED_VALUE"""),8.0)</f>
        <v>8</v>
      </c>
      <c r="AJ795" s="11" t="str">
        <f>IFERROR(__xludf.DUMMYFUNCTION("""COMPUTED_VALUE"""),"https://drive.google.com/open?id=1NWFDtXCGl5-WIiFe55rxpXtLbdqiJNsx")</f>
        <v>https://drive.google.com/open?id=1NWFDtXCGl5-WIiFe55rxpXtLbdqiJNsx</v>
      </c>
      <c r="AK795" s="12" t="str">
        <f>IFERROR(__xludf.DUMMYFUNCTION("""COMPUTED_VALUE"""),"۔۔۔۔۔اس کا مطلب وہاں اواز  الفاظ کی سمجھ نہیں ائی")</f>
        <v>۔۔۔۔۔اس کا مطلب وہاں اواز  الفاظ کی سمجھ نہیں ائی</v>
      </c>
      <c r="AL795" s="12" t="str">
        <f>IFERROR(__xludf.DUMMYFUNCTION("""COMPUTED_VALUE"""),"Yes")</f>
        <v>Yes</v>
      </c>
      <c r="AM795" s="15">
        <f>IFERROR(__xludf.DUMMYFUNCTION("""COMPUTED_VALUE"""),0.8)</f>
        <v>0.8</v>
      </c>
      <c r="AN795" s="12" t="str">
        <f>IFERROR(__xludf.DUMMYFUNCTION("""COMPUTED_VALUE"""),"4th week")</f>
        <v>4th week</v>
      </c>
      <c r="AO795" s="13">
        <v>4.0</v>
      </c>
      <c r="AX795" s="17"/>
    </row>
    <row r="796">
      <c r="B796" s="9">
        <f>IFERROR(__xludf.DUMMYFUNCTION("""COMPUTED_VALUE"""),45961.63024734954)</f>
        <v>45961.63025</v>
      </c>
      <c r="C796" s="10" t="str">
        <f>IFERROR(__xludf.DUMMYFUNCTION("""COMPUTED_VALUE"""),"Maham")</f>
        <v>Maham</v>
      </c>
      <c r="D796" s="10" t="str">
        <f>IFERROR(__xludf.DUMMYFUNCTION("""COMPUTED_VALUE"""),"03218118680")</f>
        <v>03218118680</v>
      </c>
      <c r="E796" s="10" t="str">
        <f>IFERROR(__xludf.DUMMYFUNCTION("""COMPUTED_VALUE"""),"Jamia Masjid Gaalah Mandi Vehari")</f>
        <v>Jamia Masjid Gaalah Mandi Vehari</v>
      </c>
      <c r="F796" s="10" t="str">
        <f>IFERROR(__xludf.DUMMYFUNCTION("""COMPUTED_VALUE"""),"UOMYF")</f>
        <v>UOMYF</v>
      </c>
      <c r="G796" s="10" t="str">
        <f>IFERROR(__xludf.DUMMYFUNCTION("""COMPUTED_VALUE"""),"Yes")</f>
        <v>Yes</v>
      </c>
      <c r="H796" s="10">
        <f>IFERROR(__xludf.DUMMYFUNCTION("""COMPUTED_VALUE"""),0.0)</f>
        <v>0</v>
      </c>
      <c r="I796" s="10">
        <f>IFERROR(__xludf.DUMMYFUNCTION("""COMPUTED_VALUE"""),10.0)</f>
        <v>10</v>
      </c>
      <c r="J796" s="10">
        <f>IFERROR(__xludf.DUMMYFUNCTION("""COMPUTED_VALUE"""),0.0)</f>
        <v>0</v>
      </c>
      <c r="K796" s="10">
        <f>IFERROR(__xludf.DUMMYFUNCTION("""COMPUTED_VALUE"""),0.0)</f>
        <v>0</v>
      </c>
      <c r="L796" s="10">
        <f>IFERROR(__xludf.DUMMYFUNCTION("""COMPUTED_VALUE"""),3.0)</f>
        <v>3</v>
      </c>
      <c r="M796" s="10">
        <f>IFERROR(__xludf.DUMMYFUNCTION("""COMPUTED_VALUE"""),0.0)</f>
        <v>0</v>
      </c>
      <c r="N796" s="10">
        <f>IFERROR(__xludf.DUMMYFUNCTION("""COMPUTED_VALUE"""),2.0)</f>
        <v>2</v>
      </c>
      <c r="O796" s="10">
        <f>IFERROR(__xludf.DUMMYFUNCTION("""COMPUTED_VALUE"""),0.0)</f>
        <v>0</v>
      </c>
      <c r="P796" s="10">
        <f>IFERROR(__xludf.DUMMYFUNCTION("""COMPUTED_VALUE"""),0.0)</f>
        <v>0</v>
      </c>
      <c r="Q796" s="10" t="str">
        <f>IFERROR(__xludf.DUMMYFUNCTION("""COMPUTED_VALUE"""),"No")</f>
        <v>No</v>
      </c>
      <c r="R796" s="10" t="str">
        <f>IFERROR(__xludf.DUMMYFUNCTION("""COMPUTED_VALUE"""),"No")</f>
        <v>No</v>
      </c>
      <c r="S796" s="10" t="str">
        <f>IFERROR(__xludf.DUMMYFUNCTION("""COMPUTED_VALUE"""),"No")</f>
        <v>No</v>
      </c>
      <c r="T796" s="10">
        <f>IFERROR(__xludf.DUMMYFUNCTION("""COMPUTED_VALUE"""),0.0)</f>
        <v>0</v>
      </c>
      <c r="U796" s="10">
        <f>IFERROR(__xludf.DUMMYFUNCTION("""COMPUTED_VALUE"""),0.0)</f>
        <v>0</v>
      </c>
      <c r="V796" s="10" t="str">
        <f>IFERROR(__xludf.DUMMYFUNCTION("""COMPUTED_VALUE"""),"نبی اور ولی کا ذکر غریبوں اور پڑوسیوں کی مدد ماں باپ اور اولاد کے حقوق")</f>
        <v>نبی اور ولی کا ذکر غریبوں اور پڑوسیوں کی مدد ماں باپ اور اولاد کے حقوق</v>
      </c>
      <c r="W796" s="10" t="str">
        <f>IFERROR(__xludf.DUMMYFUNCTION("""COMPUTED_VALUE"""),"رب الاول کے مہینے کی اہمیت پر بات کی گئی اور انسانی لحاظ سے شیخ عبدالقادر جیلانی کا ذکر ہوا")</f>
        <v>رب الاول کے مہینے کی اہمیت پر بات کی گئی اور انسانی لحاظ سے شیخ عبدالقادر جیلانی کا ذکر ہوا</v>
      </c>
      <c r="X796" s="10">
        <f>IFERROR(__xludf.DUMMYFUNCTION("""COMPUTED_VALUE"""),5.0)</f>
        <v>5</v>
      </c>
      <c r="Y796" s="10">
        <f>IFERROR(__xludf.DUMMYFUNCTION("""COMPUTED_VALUE"""),5.0)</f>
        <v>5</v>
      </c>
      <c r="Z796" s="10">
        <f>IFERROR(__xludf.DUMMYFUNCTION("""COMPUTED_VALUE"""),4.0)</f>
        <v>4</v>
      </c>
      <c r="AA796" s="10">
        <f>IFERROR(__xludf.DUMMYFUNCTION("""COMPUTED_VALUE"""),9.0)</f>
        <v>9</v>
      </c>
      <c r="AB796" s="10">
        <f>IFERROR(__xludf.DUMMYFUNCTION("""COMPUTED_VALUE"""),2.0)</f>
        <v>2</v>
      </c>
      <c r="AC796" s="10">
        <f>IFERROR(__xludf.DUMMYFUNCTION("""COMPUTED_VALUE"""),1.0)</f>
        <v>1</v>
      </c>
      <c r="AD796" s="10">
        <f>IFERROR(__xludf.DUMMYFUNCTION("""COMPUTED_VALUE"""),4.0)</f>
        <v>4</v>
      </c>
      <c r="AE796" s="10">
        <f>IFERROR(__xludf.DUMMYFUNCTION("""COMPUTED_VALUE"""),0.0)</f>
        <v>0</v>
      </c>
      <c r="AF796" s="10">
        <f>IFERROR(__xludf.DUMMYFUNCTION("""COMPUTED_VALUE"""),4.0)</f>
        <v>4</v>
      </c>
      <c r="AG796" s="10">
        <f>IFERROR(__xludf.DUMMYFUNCTION("""COMPUTED_VALUE"""),8.0)</f>
        <v>8</v>
      </c>
      <c r="AH796" s="10">
        <f>IFERROR(__xludf.DUMMYFUNCTION("""COMPUTED_VALUE"""),0.0)</f>
        <v>0</v>
      </c>
      <c r="AI796" s="10">
        <f>IFERROR(__xludf.DUMMYFUNCTION("""COMPUTED_VALUE"""),8.0)</f>
        <v>8</v>
      </c>
      <c r="AJ796" s="11" t="str">
        <f>IFERROR(__xludf.DUMMYFUNCTION("""COMPUTED_VALUE"""),"https://drive.google.com/open?id=1wcMfvvwnNU70n-38v2c2ZTNGNHkry2Mh")</f>
        <v>https://drive.google.com/open?id=1wcMfvvwnNU70n-38v2c2ZTNGNHkry2Mh</v>
      </c>
      <c r="AK796" s="12" t="str">
        <f>IFERROR(__xludf.DUMMYFUNCTION("""COMPUTED_VALUE"""),"There was too much distortion in audio and Maulana’s way of speaking made it difficult to understand his words.
")</f>
        <v>There was too much distortion in audio and Maulana’s way of speaking made it difficult to understand his words.
</v>
      </c>
      <c r="AL796" s="12" t="str">
        <f>IFERROR(__xludf.DUMMYFUNCTION("""COMPUTED_VALUE"""),"Yes")</f>
        <v>Yes</v>
      </c>
      <c r="AM796" s="15">
        <f>IFERROR(__xludf.DUMMYFUNCTION("""COMPUTED_VALUE"""),0.0)</f>
        <v>0</v>
      </c>
      <c r="AN796" s="12" t="str">
        <f>IFERROR(__xludf.DUMMYFUNCTION("""COMPUTED_VALUE"""),"3rd week")</f>
        <v>3rd week</v>
      </c>
      <c r="AO796" s="13">
        <v>3.0</v>
      </c>
      <c r="AX796" s="17"/>
    </row>
    <row r="797">
      <c r="B797" s="9">
        <f>IFERROR(__xludf.DUMMYFUNCTION("""COMPUTED_VALUE"""),45961.6898520949)</f>
        <v>45961.68985</v>
      </c>
      <c r="C797" s="10" t="str">
        <f>IFERROR(__xludf.DUMMYFUNCTION("""COMPUTED_VALUE"""),"Maham")</f>
        <v>Maham</v>
      </c>
      <c r="D797" s="10" t="str">
        <f>IFERROR(__xludf.DUMMYFUNCTION("""COMPUTED_VALUE"""),"03218118680")</f>
        <v>03218118680</v>
      </c>
      <c r="E797" s="10" t="str">
        <f>IFERROR(__xludf.DUMMYFUNCTION("""COMPUTED_VALUE"""),"Jamia Masjid Peer Ismail Multan")</f>
        <v>Jamia Masjid Peer Ismail Multan</v>
      </c>
      <c r="F797" s="10" t="str">
        <f>IFERROR(__xludf.DUMMYFUNCTION("""COMPUTED_VALUE"""),"dyrjs")</f>
        <v>dyrjs</v>
      </c>
      <c r="G797" s="10" t="str">
        <f>IFERROR(__xludf.DUMMYFUNCTION("""COMPUTED_VALUE"""),"Yes")</f>
        <v>Yes</v>
      </c>
      <c r="H797" s="10">
        <f>IFERROR(__xludf.DUMMYFUNCTION("""COMPUTED_VALUE"""),0.0)</f>
        <v>0</v>
      </c>
      <c r="I797" s="10">
        <f>IFERROR(__xludf.DUMMYFUNCTION("""COMPUTED_VALUE"""),10.0)</f>
        <v>10</v>
      </c>
      <c r="J797" s="10">
        <f>IFERROR(__xludf.DUMMYFUNCTION("""COMPUTED_VALUE"""),0.0)</f>
        <v>0</v>
      </c>
      <c r="K797" s="10">
        <f>IFERROR(__xludf.DUMMYFUNCTION("""COMPUTED_VALUE"""),0.0)</f>
        <v>0</v>
      </c>
      <c r="L797" s="10">
        <f>IFERROR(__xludf.DUMMYFUNCTION("""COMPUTED_VALUE"""),0.0)</f>
        <v>0</v>
      </c>
      <c r="M797" s="10">
        <f>IFERROR(__xludf.DUMMYFUNCTION("""COMPUTED_VALUE"""),0.0)</f>
        <v>0</v>
      </c>
      <c r="N797" s="10">
        <f>IFERROR(__xludf.DUMMYFUNCTION("""COMPUTED_VALUE"""),0.0)</f>
        <v>0</v>
      </c>
      <c r="O797" s="10">
        <f>IFERROR(__xludf.DUMMYFUNCTION("""COMPUTED_VALUE"""),0.0)</f>
        <v>0</v>
      </c>
      <c r="P797" s="10">
        <f>IFERROR(__xludf.DUMMYFUNCTION("""COMPUTED_VALUE"""),0.0)</f>
        <v>0</v>
      </c>
      <c r="Q797" s="10" t="str">
        <f>IFERROR(__xludf.DUMMYFUNCTION("""COMPUTED_VALUE"""),"No")</f>
        <v>No</v>
      </c>
      <c r="R797" s="10" t="str">
        <f>IFERROR(__xludf.DUMMYFUNCTION("""COMPUTED_VALUE"""),"No")</f>
        <v>No</v>
      </c>
      <c r="S797" s="10" t="str">
        <f>IFERROR(__xludf.DUMMYFUNCTION("""COMPUTED_VALUE"""),"No")</f>
        <v>No</v>
      </c>
      <c r="T797" s="10">
        <f>IFERROR(__xludf.DUMMYFUNCTION("""COMPUTED_VALUE"""),0.0)</f>
        <v>0</v>
      </c>
      <c r="U797" s="10">
        <f>IFERROR(__xludf.DUMMYFUNCTION("""COMPUTED_VALUE"""),0.0)</f>
        <v>0</v>
      </c>
      <c r="V797" s="10" t="str">
        <f>IFERROR(__xludf.DUMMYFUNCTION("""COMPUTED_VALUE"""),"اللہ تعالی کی وحدانیت")</f>
        <v>اللہ تعالی کی وحدانیت</v>
      </c>
      <c r="W797" s="10" t="str">
        <f>IFERROR(__xludf.DUMMYFUNCTION("""COMPUTED_VALUE"""),"اللہ تعالی کی وحدانیت کو بیان کیا گیا")</f>
        <v>اللہ تعالی کی وحدانیت کو بیان کیا گیا</v>
      </c>
      <c r="X797" s="10">
        <f>IFERROR(__xludf.DUMMYFUNCTION("""COMPUTED_VALUE"""),10.0)</f>
        <v>10</v>
      </c>
      <c r="Y797" s="10">
        <f>IFERROR(__xludf.DUMMYFUNCTION("""COMPUTED_VALUE"""),2.0)</f>
        <v>2</v>
      </c>
      <c r="Z797" s="10">
        <f>IFERROR(__xludf.DUMMYFUNCTION("""COMPUTED_VALUE"""),1.0)</f>
        <v>1</v>
      </c>
      <c r="AA797" s="10">
        <f>IFERROR(__xludf.DUMMYFUNCTION("""COMPUTED_VALUE"""),10.0)</f>
        <v>10</v>
      </c>
      <c r="AB797" s="10">
        <f>IFERROR(__xludf.DUMMYFUNCTION("""COMPUTED_VALUE"""),0.0)</f>
        <v>0</v>
      </c>
      <c r="AC797" s="10">
        <f>IFERROR(__xludf.DUMMYFUNCTION("""COMPUTED_VALUE"""),0.0)</f>
        <v>0</v>
      </c>
      <c r="AD797" s="10">
        <f>IFERROR(__xludf.DUMMYFUNCTION("""COMPUTED_VALUE"""),0.0)</f>
        <v>0</v>
      </c>
      <c r="AE797" s="10">
        <f>IFERROR(__xludf.DUMMYFUNCTION("""COMPUTED_VALUE"""),2.0)</f>
        <v>2</v>
      </c>
      <c r="AF797" s="10">
        <f>IFERROR(__xludf.DUMMYFUNCTION("""COMPUTED_VALUE"""),8.0)</f>
        <v>8</v>
      </c>
      <c r="AG797" s="10">
        <f>IFERROR(__xludf.DUMMYFUNCTION("""COMPUTED_VALUE"""),9.0)</f>
        <v>9</v>
      </c>
      <c r="AH797" s="10">
        <f>IFERROR(__xludf.DUMMYFUNCTION("""COMPUTED_VALUE"""),0.0)</f>
        <v>0</v>
      </c>
      <c r="AI797" s="10">
        <f>IFERROR(__xludf.DUMMYFUNCTION("""COMPUTED_VALUE"""),9.0)</f>
        <v>9</v>
      </c>
      <c r="AJ797" s="11" t="str">
        <f>IFERROR(__xludf.DUMMYFUNCTION("""COMPUTED_VALUE"""),"https://drive.google.com/open?id=1_HDz671H3AVIBJfYoIFg0SSyUv-1ygEL")</f>
        <v>https://drive.google.com/open?id=1_HDz671H3AVIBJfYoIFg0SSyUv-1ygEL</v>
      </c>
      <c r="AK797" s="12"/>
      <c r="AL797" s="12" t="str">
        <f>IFERROR(__xludf.DUMMYFUNCTION("""COMPUTED_VALUE"""),"Yes")</f>
        <v>Yes</v>
      </c>
      <c r="AM797" s="15">
        <f>IFERROR(__xludf.DUMMYFUNCTION("""COMPUTED_VALUE"""),0.0)</f>
        <v>0</v>
      </c>
      <c r="AN797" s="12" t="str">
        <f>IFERROR(__xludf.DUMMYFUNCTION("""COMPUTED_VALUE"""),"5th week")</f>
        <v>5th week</v>
      </c>
      <c r="AO797" s="13">
        <v>5.0</v>
      </c>
      <c r="AX797" s="17"/>
    </row>
    <row r="798">
      <c r="B798" s="9">
        <f>IFERROR(__xludf.DUMMYFUNCTION("""COMPUTED_VALUE"""),45961.74862263889)</f>
        <v>45961.74862</v>
      </c>
      <c r="C798" s="10" t="str">
        <f>IFERROR(__xludf.DUMMYFUNCTION("""COMPUTED_VALUE"""),"Maham")</f>
        <v>Maham</v>
      </c>
      <c r="D798" s="10" t="str">
        <f>IFERROR(__xludf.DUMMYFUNCTION("""COMPUTED_VALUE"""),"03218118680")</f>
        <v>03218118680</v>
      </c>
      <c r="E798" s="10" t="str">
        <f>IFERROR(__xludf.DUMMYFUNCTION("""COMPUTED_VALUE"""),"Jamia Masjid Darbar Lasuri Shah Faisalabad")</f>
        <v>Jamia Masjid Darbar Lasuri Shah Faisalabad</v>
      </c>
      <c r="F798" s="10" t="str">
        <f>IFERROR(__xludf.DUMMYFUNCTION("""COMPUTED_VALUE"""),"tiius")</f>
        <v>tiius</v>
      </c>
      <c r="G798" s="10" t="str">
        <f>IFERROR(__xludf.DUMMYFUNCTION("""COMPUTED_VALUE"""),"Yes")</f>
        <v>Yes</v>
      </c>
      <c r="H798" s="10">
        <f>IFERROR(__xludf.DUMMYFUNCTION("""COMPUTED_VALUE"""),4.0)</f>
        <v>4</v>
      </c>
      <c r="I798" s="10">
        <f>IFERROR(__xludf.DUMMYFUNCTION("""COMPUTED_VALUE"""),6.0)</f>
        <v>6</v>
      </c>
      <c r="J798" s="10">
        <f>IFERROR(__xludf.DUMMYFUNCTION("""COMPUTED_VALUE"""),10.0)</f>
        <v>10</v>
      </c>
      <c r="K798" s="10">
        <f>IFERROR(__xludf.DUMMYFUNCTION("""COMPUTED_VALUE"""),10.0)</f>
        <v>10</v>
      </c>
      <c r="L798" s="10">
        <f>IFERROR(__xludf.DUMMYFUNCTION("""COMPUTED_VALUE"""),0.0)</f>
        <v>0</v>
      </c>
      <c r="M798" s="10">
        <f>IFERROR(__xludf.DUMMYFUNCTION("""COMPUTED_VALUE"""),10.0)</f>
        <v>10</v>
      </c>
      <c r="N798" s="10">
        <f>IFERROR(__xludf.DUMMYFUNCTION("""COMPUTED_VALUE"""),0.0)</f>
        <v>0</v>
      </c>
      <c r="O798" s="10">
        <f>IFERROR(__xludf.DUMMYFUNCTION("""COMPUTED_VALUE"""),9.0)</f>
        <v>9</v>
      </c>
      <c r="P798" s="10">
        <f>IFERROR(__xludf.DUMMYFUNCTION("""COMPUTED_VALUE"""),0.0)</f>
        <v>0</v>
      </c>
      <c r="Q798" s="10" t="str">
        <f>IFERROR(__xludf.DUMMYFUNCTION("""COMPUTED_VALUE"""),"Yes")</f>
        <v>Yes</v>
      </c>
      <c r="R798" s="10" t="str">
        <f>IFERROR(__xludf.DUMMYFUNCTION("""COMPUTED_VALUE"""),"No")</f>
        <v>No</v>
      </c>
      <c r="S798" s="10" t="str">
        <f>IFERROR(__xludf.DUMMYFUNCTION("""COMPUTED_VALUE"""),"Yes")</f>
        <v>Yes</v>
      </c>
      <c r="T798" s="10">
        <f>IFERROR(__xludf.DUMMYFUNCTION("""COMPUTED_VALUE"""),0.0)</f>
        <v>0</v>
      </c>
      <c r="U798" s="10">
        <f>IFERROR(__xludf.DUMMYFUNCTION("""COMPUTED_VALUE"""),0.0)</f>
        <v>0</v>
      </c>
      <c r="V798" s="10" t="str">
        <f>IFERROR(__xludf.DUMMYFUNCTION("""COMPUTED_VALUE"""),"عورت کے حقوق")</f>
        <v>عورت کے حقوق</v>
      </c>
      <c r="W798" s="10" t="str">
        <f>IFERROR(__xludf.DUMMYFUNCTION("""COMPUTED_VALUE"""),"عورتوں کے حقوق")</f>
        <v>عورتوں کے حقوق</v>
      </c>
      <c r="X798" s="10">
        <f>IFERROR(__xludf.DUMMYFUNCTION("""COMPUTED_VALUE"""),1.0)</f>
        <v>1</v>
      </c>
      <c r="Y798" s="10">
        <f>IFERROR(__xludf.DUMMYFUNCTION("""COMPUTED_VALUE"""),9.0)</f>
        <v>9</v>
      </c>
      <c r="Z798" s="10">
        <f>IFERROR(__xludf.DUMMYFUNCTION("""COMPUTED_VALUE"""),8.0)</f>
        <v>8</v>
      </c>
      <c r="AA798" s="10">
        <f>IFERROR(__xludf.DUMMYFUNCTION("""COMPUTED_VALUE"""),8.0)</f>
        <v>8</v>
      </c>
      <c r="AB798" s="10">
        <f>IFERROR(__xludf.DUMMYFUNCTION("""COMPUTED_VALUE"""),7.0)</f>
        <v>7</v>
      </c>
      <c r="AC798" s="10">
        <f>IFERROR(__xludf.DUMMYFUNCTION("""COMPUTED_VALUE"""),2.0)</f>
        <v>2</v>
      </c>
      <c r="AD798" s="10">
        <f>IFERROR(__xludf.DUMMYFUNCTION("""COMPUTED_VALUE"""),3.0)</f>
        <v>3</v>
      </c>
      <c r="AE798" s="10">
        <f>IFERROR(__xludf.DUMMYFUNCTION("""COMPUTED_VALUE"""),3.0)</f>
        <v>3</v>
      </c>
      <c r="AF798" s="10">
        <f>IFERROR(__xludf.DUMMYFUNCTION("""COMPUTED_VALUE"""),2.0)</f>
        <v>2</v>
      </c>
      <c r="AG798" s="10">
        <f>IFERROR(__xludf.DUMMYFUNCTION("""COMPUTED_VALUE"""),8.0)</f>
        <v>8</v>
      </c>
      <c r="AH798" s="10">
        <f>IFERROR(__xludf.DUMMYFUNCTION("""COMPUTED_VALUE"""),0.0)</f>
        <v>0</v>
      </c>
      <c r="AI798" s="10">
        <f>IFERROR(__xludf.DUMMYFUNCTION("""COMPUTED_VALUE"""),9.0)</f>
        <v>9</v>
      </c>
      <c r="AJ798" s="11" t="str">
        <f>IFERROR(__xludf.DUMMYFUNCTION("""COMPUTED_VALUE"""),"https://drive.google.com/open?id=1ItZXDwQyWJAx7VMXpYEoaO09BY9sNC7J")</f>
        <v>https://drive.google.com/open?id=1ItZXDwQyWJAx7VMXpYEoaO09BY9sNC7J</v>
      </c>
      <c r="AK798" s="12"/>
      <c r="AL798" s="12" t="str">
        <f>IFERROR(__xludf.DUMMYFUNCTION("""COMPUTED_VALUE"""),"Yes")</f>
        <v>Yes</v>
      </c>
      <c r="AM798" s="15">
        <f>IFERROR(__xludf.DUMMYFUNCTION("""COMPUTED_VALUE"""),1.0)</f>
        <v>1</v>
      </c>
      <c r="AN798" s="12" t="str">
        <f>IFERROR(__xludf.DUMMYFUNCTION("""COMPUTED_VALUE"""),"1st week")</f>
        <v>1st week</v>
      </c>
      <c r="AO798" s="13">
        <v>1.0</v>
      </c>
      <c r="AX798" s="17"/>
    </row>
    <row r="799">
      <c r="B799" s="9">
        <f>IFERROR(__xludf.DUMMYFUNCTION("""COMPUTED_VALUE"""),45961.86359690972)</f>
        <v>45961.8636</v>
      </c>
      <c r="C799" s="10" t="str">
        <f>IFERROR(__xludf.DUMMYFUNCTION("""COMPUTED_VALUE"""),"Saira Shahzad ")</f>
        <v>Saira Shahzad </v>
      </c>
      <c r="D799" s="10" t="str">
        <f>IFERROR(__xludf.DUMMYFUNCTION("""COMPUTED_VALUE"""),"03114534696")</f>
        <v>03114534696</v>
      </c>
      <c r="E799" s="10" t="str">
        <f>IFERROR(__xludf.DUMMYFUNCTION("""COMPUTED_VALUE"""),"Jamia Masjid Darbar Dawood Jahanian")</f>
        <v>Jamia Masjid Darbar Dawood Jahanian</v>
      </c>
      <c r="F799" s="10" t="str">
        <f>IFERROR(__xludf.DUMMYFUNCTION("""COMPUTED_VALUE"""),"usepk")</f>
        <v>usepk</v>
      </c>
      <c r="G799" s="10" t="str">
        <f>IFERROR(__xludf.DUMMYFUNCTION("""COMPUTED_VALUE"""),"Yes")</f>
        <v>Yes</v>
      </c>
      <c r="H799" s="10">
        <f>IFERROR(__xludf.DUMMYFUNCTION("""COMPUTED_VALUE"""),0.0)</f>
        <v>0</v>
      </c>
      <c r="I799" s="10">
        <f>IFERROR(__xludf.DUMMYFUNCTION("""COMPUTED_VALUE"""),10.0)</f>
        <v>10</v>
      </c>
      <c r="J799" s="10">
        <f>IFERROR(__xludf.DUMMYFUNCTION("""COMPUTED_VALUE"""),0.0)</f>
        <v>0</v>
      </c>
      <c r="K799" s="10">
        <f>IFERROR(__xludf.DUMMYFUNCTION("""COMPUTED_VALUE"""),0.0)</f>
        <v>0</v>
      </c>
      <c r="L799" s="10">
        <f>IFERROR(__xludf.DUMMYFUNCTION("""COMPUTED_VALUE"""),0.0)</f>
        <v>0</v>
      </c>
      <c r="M799" s="10">
        <f>IFERROR(__xludf.DUMMYFUNCTION("""COMPUTED_VALUE"""),0.0)</f>
        <v>0</v>
      </c>
      <c r="N799" s="10">
        <f>IFERROR(__xludf.DUMMYFUNCTION("""COMPUTED_VALUE"""),0.0)</f>
        <v>0</v>
      </c>
      <c r="O799" s="10">
        <f>IFERROR(__xludf.DUMMYFUNCTION("""COMPUTED_VALUE"""),0.0)</f>
        <v>0</v>
      </c>
      <c r="P799" s="10">
        <f>IFERROR(__xludf.DUMMYFUNCTION("""COMPUTED_VALUE"""),0.0)</f>
        <v>0</v>
      </c>
      <c r="Q799" s="10" t="str">
        <f>IFERROR(__xludf.DUMMYFUNCTION("""COMPUTED_VALUE"""),"No")</f>
        <v>No</v>
      </c>
      <c r="R799" s="10" t="str">
        <f>IFERROR(__xludf.DUMMYFUNCTION("""COMPUTED_VALUE"""),"No")</f>
        <v>No</v>
      </c>
      <c r="S799" s="10" t="str">
        <f>IFERROR(__xludf.DUMMYFUNCTION("""COMPUTED_VALUE"""),"No")</f>
        <v>No</v>
      </c>
      <c r="T799" s="10">
        <f>IFERROR(__xludf.DUMMYFUNCTION("""COMPUTED_VALUE"""),0.0)</f>
        <v>0</v>
      </c>
      <c r="U799" s="10">
        <f>IFERROR(__xludf.DUMMYFUNCTION("""COMPUTED_VALUE"""),0.0)</f>
        <v>0</v>
      </c>
      <c r="V799" s="10" t="str">
        <f>IFERROR(__xludf.DUMMYFUNCTION("""COMPUTED_VALUE"""),"قرآن پاک کی خصوصیات")</f>
        <v>قرآن پاک کی خصوصیات</v>
      </c>
      <c r="W799" s="10" t="str">
        <f>IFERROR(__xludf.DUMMYFUNCTION("""COMPUTED_VALUE"""),"امام نے اپنے اس بیان میں قرآن پاک کی خصوصیات بیان کی ہیں اور یہ بیان کیا ہے کہ قرآن پاک تمام مسلمانوں کے لیے ہدایت کی کتاب ہے اور حضرت آدم علیہ السلام سے لے کر نبی پاک صلی اللہ علیہ وسلم کی امت تک تمام لوگوں کے لیے نجات کا ذریعہ ہے ہم آج کے دور میں قرآن پ"&amp;"اک کی تعلیمات سے بہت دور ہو گئے ہیں اور دنیاوی دنیا میں بہت مصروف ہو گئے ہیں یہاں تک کہ ہمیں قبر تک یاد نہیں ہے جو کہ ہمارا اصلی مقام ہے اور امام نے فرمایا کہ وسیلے سے مانگنا شرک نہیں ہے اس بات کو واضح کرنے کے لیے حضرت مریم علیہ السلام کا واقعہ بیان کیا ہ"&amp;"ے")</f>
        <v>امام نے اپنے اس بیان میں قرآن پاک کی خصوصیات بیان کی ہیں اور یہ بیان کیا ہے کہ قرآن پاک تمام مسلمانوں کے لیے ہدایت کی کتاب ہے اور حضرت آدم علیہ السلام سے لے کر نبی پاک صلی اللہ علیہ وسلم کی امت تک تمام لوگوں کے لیے نجات کا ذریعہ ہے ہم آج کے دور میں قرآن پاک کی تعلیمات سے بہت دور ہو گئے ہیں اور دنیاوی دنیا میں بہت مصروف ہو گئے ہیں یہاں تک کہ ہمیں قبر تک یاد نہیں ہے جو کہ ہمارا اصلی مقام ہے اور امام نے فرمایا کہ وسیلے سے مانگنا شرک نہیں ہے اس بات کو واضح کرنے کے لیے حضرت مریم علیہ السلام کا واقعہ بیان کیا ہے</v>
      </c>
      <c r="X799" s="10">
        <f>IFERROR(__xludf.DUMMYFUNCTION("""COMPUTED_VALUE"""),1.0)</f>
        <v>1</v>
      </c>
      <c r="Y799" s="10">
        <f>IFERROR(__xludf.DUMMYFUNCTION("""COMPUTED_VALUE"""),2.0)</f>
        <v>2</v>
      </c>
      <c r="Z799" s="10">
        <f>IFERROR(__xludf.DUMMYFUNCTION("""COMPUTED_VALUE"""),3.0)</f>
        <v>3</v>
      </c>
      <c r="AA799" s="10">
        <f>IFERROR(__xludf.DUMMYFUNCTION("""COMPUTED_VALUE"""),8.0)</f>
        <v>8</v>
      </c>
      <c r="AB799" s="10">
        <f>IFERROR(__xludf.DUMMYFUNCTION("""COMPUTED_VALUE"""),4.0)</f>
        <v>4</v>
      </c>
      <c r="AC799" s="10">
        <f>IFERROR(__xludf.DUMMYFUNCTION("""COMPUTED_VALUE"""),0.0)</f>
        <v>0</v>
      </c>
      <c r="AD799" s="10">
        <f>IFERROR(__xludf.DUMMYFUNCTION("""COMPUTED_VALUE"""),0.0)</f>
        <v>0</v>
      </c>
      <c r="AE799" s="10">
        <f>IFERROR(__xludf.DUMMYFUNCTION("""COMPUTED_VALUE"""),0.0)</f>
        <v>0</v>
      </c>
      <c r="AF799" s="10">
        <f>IFERROR(__xludf.DUMMYFUNCTION("""COMPUTED_VALUE"""),5.0)</f>
        <v>5</v>
      </c>
      <c r="AG799" s="10">
        <f>IFERROR(__xludf.DUMMYFUNCTION("""COMPUTED_VALUE"""),8.0)</f>
        <v>8</v>
      </c>
      <c r="AH799" s="10">
        <f>IFERROR(__xludf.DUMMYFUNCTION("""COMPUTED_VALUE"""),0.0)</f>
        <v>0</v>
      </c>
      <c r="AI799" s="10">
        <f>IFERROR(__xludf.DUMMYFUNCTION("""COMPUTED_VALUE"""),8.0)</f>
        <v>8</v>
      </c>
      <c r="AJ799" s="11" t="str">
        <f>IFERROR(__xludf.DUMMYFUNCTION("""COMPUTED_VALUE"""),"https://drive.google.com/open?id=1GSFtGyMcHaSohkQI7cKZyoH7tViSkIdcM8UylAtEZrQ")</f>
        <v>https://drive.google.com/open?id=1GSFtGyMcHaSohkQI7cKZyoH7tViSkIdcM8UylAtEZrQ</v>
      </c>
      <c r="AK799" s="12" t="str">
        <f>IFERROR(__xludf.DUMMYFUNCTION("""COMPUTED_VALUE"""),"آواز کلیئر نہیں تھی لکھنے میں تھوڑی مشکل ہوئی")</f>
        <v>آواز کلیئر نہیں تھی لکھنے میں تھوڑی مشکل ہوئی</v>
      </c>
      <c r="AL799" s="12" t="str">
        <f>IFERROR(__xludf.DUMMYFUNCTION("""COMPUTED_VALUE"""),"Yes")</f>
        <v>Yes</v>
      </c>
      <c r="AM799" s="15">
        <f>IFERROR(__xludf.DUMMYFUNCTION("""COMPUTED_VALUE"""),0.0)</f>
        <v>0</v>
      </c>
      <c r="AN799" s="12" t="str">
        <f>IFERROR(__xludf.DUMMYFUNCTION("""COMPUTED_VALUE"""),"5th week")</f>
        <v>5th week</v>
      </c>
      <c r="AO799" s="13">
        <v>5.0</v>
      </c>
      <c r="AX799" s="17"/>
    </row>
    <row r="800">
      <c r="B800" s="9">
        <f>IFERROR(__xludf.DUMMYFUNCTION("""COMPUTED_VALUE"""),45962.19182443287)</f>
        <v>45962.19182</v>
      </c>
      <c r="C800" s="10" t="str">
        <f>IFERROR(__xludf.DUMMYFUNCTION("""COMPUTED_VALUE"""),"Saira Shahzad ")</f>
        <v>Saira Shahzad </v>
      </c>
      <c r="D800" s="10" t="str">
        <f>IFERROR(__xludf.DUMMYFUNCTION("""COMPUTED_VALUE"""),"03114534696")</f>
        <v>03114534696</v>
      </c>
      <c r="E800" s="10" t="str">
        <f>IFERROR(__xludf.DUMMYFUNCTION("""COMPUTED_VALUE"""),"Jamia Masjid Darbar Dawood Jahanian")</f>
        <v>Jamia Masjid Darbar Dawood Jahanian</v>
      </c>
      <c r="F800" s="10" t="str">
        <f>IFERROR(__xludf.DUMMYFUNCTION("""COMPUTED_VALUE"""),"usepk")</f>
        <v>usepk</v>
      </c>
      <c r="G800" s="10" t="str">
        <f>IFERROR(__xludf.DUMMYFUNCTION("""COMPUTED_VALUE"""),"Yes")</f>
        <v>Yes</v>
      </c>
      <c r="H800" s="10">
        <f>IFERROR(__xludf.DUMMYFUNCTION("""COMPUTED_VALUE"""),5.0)</f>
        <v>5</v>
      </c>
      <c r="I800" s="10">
        <f>IFERROR(__xludf.DUMMYFUNCTION("""COMPUTED_VALUE"""),5.0)</f>
        <v>5</v>
      </c>
      <c r="J800" s="10">
        <f>IFERROR(__xludf.DUMMYFUNCTION("""COMPUTED_VALUE"""),5.0)</f>
        <v>5</v>
      </c>
      <c r="K800" s="10">
        <f>IFERROR(__xludf.DUMMYFUNCTION("""COMPUTED_VALUE"""),7.0)</f>
        <v>7</v>
      </c>
      <c r="L800" s="10">
        <f>IFERROR(__xludf.DUMMYFUNCTION("""COMPUTED_VALUE"""),0.0)</f>
        <v>0</v>
      </c>
      <c r="M800" s="10">
        <f>IFERROR(__xludf.DUMMYFUNCTION("""COMPUTED_VALUE"""),3.0)</f>
        <v>3</v>
      </c>
      <c r="N800" s="10">
        <f>IFERROR(__xludf.DUMMYFUNCTION("""COMPUTED_VALUE"""),0.0)</f>
        <v>0</v>
      </c>
      <c r="O800" s="10">
        <f>IFERROR(__xludf.DUMMYFUNCTION("""COMPUTED_VALUE"""),4.0)</f>
        <v>4</v>
      </c>
      <c r="P800" s="10">
        <f>IFERROR(__xludf.DUMMYFUNCTION("""COMPUTED_VALUE"""),0.0)</f>
        <v>0</v>
      </c>
      <c r="Q800" s="10" t="str">
        <f>IFERROR(__xludf.DUMMYFUNCTION("""COMPUTED_VALUE"""),"No")</f>
        <v>No</v>
      </c>
      <c r="R800" s="10" t="str">
        <f>IFERROR(__xludf.DUMMYFUNCTION("""COMPUTED_VALUE"""),"No")</f>
        <v>No</v>
      </c>
      <c r="S800" s="10" t="str">
        <f>IFERROR(__xludf.DUMMYFUNCTION("""COMPUTED_VALUE"""),"No")</f>
        <v>No</v>
      </c>
      <c r="T800" s="10">
        <f>IFERROR(__xludf.DUMMYFUNCTION("""COMPUTED_VALUE"""),0.0)</f>
        <v>0</v>
      </c>
      <c r="U800" s="10">
        <f>IFERROR(__xludf.DUMMYFUNCTION("""COMPUTED_VALUE"""),0.0)</f>
        <v>0</v>
      </c>
      <c r="V800" s="10" t="str">
        <f>IFERROR(__xludf.DUMMYFUNCTION("""COMPUTED_VALUE"""),"اسلام میں عورت کا مقام کردار اور اہمیت")</f>
        <v>اسلام میں عورت کا مقام کردار اور اہمیت</v>
      </c>
      <c r="W800" s="10" t="str">
        <f>IFERROR(__xludf.DUMMYFUNCTION("""COMPUTED_VALUE""")," امام نے اپنے بیان میں نبی پاک صلی اللہ علیہ والہ وسلم کی ذات پاک کی خصوصیات کا ذکر کیا ہے اور اس کے ساتھ اسلام میں عورتوں کا مقام کردار اور جو اہمیت تھی اس کے بارے میں خطبہ بیان کیا ہے یہ بتایا ہے کہ اسلام سے پہلے عورتوں کو کوئی اہمیت حاصل نہیں تھی اسلام"&amp;" نے عورتوں کو اعلی مقام عطا فرمایا اور حضرت جابر بن عبداللہ رضی اللہ تعالی عنہ کی خالہ کا واقعہ بیان کیا ہے کہ جب ان کے شوہر کا انتقال ہو گیا تھا تو انہوں نے محنت کر کے اپنے بچوں کو پالا اس کی اجازت ہمارا اسلام دیتا ہے اور ایک عورت کا واقعہ ہے جس کا شوہر "&amp;"کام کے سلسلے سے باہر گیا تھا گھر پہ موجود نہیں تھا اور اس کے والد کا  انتقال ہو گیا اس کے باوجود اس نے اپنے شوہر کے حکم کو مانا گھر سے باہر قدم تک نہ رکھا اور امام نے عورتوں کی تعلیم اور ان کے فیصلے کی اہمیت پر بھی بات کی ہے")</f>
        <v> امام نے اپنے بیان میں نبی پاک صلی اللہ علیہ والہ وسلم کی ذات پاک کی خصوصیات کا ذکر کیا ہے اور اس کے ساتھ اسلام میں عورتوں کا مقام کردار اور جو اہمیت تھی اس کے بارے میں خطبہ بیان کیا ہے یہ بتایا ہے کہ اسلام سے پہلے عورتوں کو کوئی اہمیت حاصل نہیں تھی اسلام نے عورتوں کو اعلی مقام عطا فرمایا اور حضرت جابر بن عبداللہ رضی اللہ تعالی عنہ کی خالہ کا واقعہ بیان کیا ہے کہ جب ان کے شوہر کا انتقال ہو گیا تھا تو انہوں نے محنت کر کے اپنے بچوں کو پالا اس کی اجازت ہمارا اسلام دیتا ہے اور ایک عورت کا واقعہ ہے جس کا شوہر کام کے سلسلے سے باہر گیا تھا گھر پہ موجود نہیں تھا اور اس کے والد کا  انتقال ہو گیا اس کے باوجود اس نے اپنے شوہر کے حکم کو مانا گھر سے باہر قدم تک نہ رکھا اور امام نے عورتوں کی تعلیم اور ان کے فیصلے کی اہمیت پر بھی بات کی ہے</v>
      </c>
      <c r="X800" s="10">
        <f>IFERROR(__xludf.DUMMYFUNCTION("""COMPUTED_VALUE"""),2.0)</f>
        <v>2</v>
      </c>
      <c r="Y800" s="10">
        <f>IFERROR(__xludf.DUMMYFUNCTION("""COMPUTED_VALUE"""),1.0)</f>
        <v>1</v>
      </c>
      <c r="Z800" s="10">
        <f>IFERROR(__xludf.DUMMYFUNCTION("""COMPUTED_VALUE"""),4.0)</f>
        <v>4</v>
      </c>
      <c r="AA800" s="10">
        <f>IFERROR(__xludf.DUMMYFUNCTION("""COMPUTED_VALUE"""),8.0)</f>
        <v>8</v>
      </c>
      <c r="AB800" s="10">
        <f>IFERROR(__xludf.DUMMYFUNCTION("""COMPUTED_VALUE"""),8.0)</f>
        <v>8</v>
      </c>
      <c r="AC800" s="10">
        <f>IFERROR(__xludf.DUMMYFUNCTION("""COMPUTED_VALUE"""),0.0)</f>
        <v>0</v>
      </c>
      <c r="AD800" s="10">
        <f>IFERROR(__xludf.DUMMYFUNCTION("""COMPUTED_VALUE"""),1.0)</f>
        <v>1</v>
      </c>
      <c r="AE800" s="10">
        <f>IFERROR(__xludf.DUMMYFUNCTION("""COMPUTED_VALUE"""),3.0)</f>
        <v>3</v>
      </c>
      <c r="AF800" s="10">
        <f>IFERROR(__xludf.DUMMYFUNCTION("""COMPUTED_VALUE"""),8.0)</f>
        <v>8</v>
      </c>
      <c r="AG800" s="10">
        <f>IFERROR(__xludf.DUMMYFUNCTION("""COMPUTED_VALUE"""),9.0)</f>
        <v>9</v>
      </c>
      <c r="AH800" s="10">
        <f>IFERROR(__xludf.DUMMYFUNCTION("""COMPUTED_VALUE"""),0.0)</f>
        <v>0</v>
      </c>
      <c r="AI800" s="10">
        <f>IFERROR(__xludf.DUMMYFUNCTION("""COMPUTED_VALUE"""),9.0)</f>
        <v>9</v>
      </c>
      <c r="AJ800" s="11" t="str">
        <f>IFERROR(__xludf.DUMMYFUNCTION("""COMPUTED_VALUE"""),"https://drive.google.com/open?id=1jM68hyFMin6p1s-9qv8MbVngs0JBvpVFRHTusyGLw-A")</f>
        <v>https://drive.google.com/open?id=1jM68hyFMin6p1s-9qv8MbVngs0JBvpVFRHTusyGLw-A</v>
      </c>
      <c r="AK800" s="12" t="str">
        <f>IFERROR(__xludf.DUMMYFUNCTION("""COMPUTED_VALUE"""),"No")</f>
        <v>No</v>
      </c>
      <c r="AL800" s="12" t="str">
        <f>IFERROR(__xludf.DUMMYFUNCTION("""COMPUTED_VALUE"""),"Yes")</f>
        <v>Yes</v>
      </c>
      <c r="AM800" s="15">
        <f>IFERROR(__xludf.DUMMYFUNCTION("""COMPUTED_VALUE"""),0.5)</f>
        <v>0.5</v>
      </c>
      <c r="AN800" s="12" t="str">
        <f>IFERROR(__xludf.DUMMYFUNCTION("""COMPUTED_VALUE"""),"4th week")</f>
        <v>4th week</v>
      </c>
      <c r="AO800" s="13">
        <v>4.0</v>
      </c>
      <c r="AX800" s="17"/>
    </row>
    <row r="801">
      <c r="B801" s="9">
        <f>IFERROR(__xludf.DUMMYFUNCTION("""COMPUTED_VALUE"""),45962.34942490741)</f>
        <v>45962.34942</v>
      </c>
      <c r="C801" s="10" t="str">
        <f>IFERROR(__xludf.DUMMYFUNCTION("""COMPUTED_VALUE"""),"Sidra ")</f>
        <v>Sidra </v>
      </c>
      <c r="D801" s="10" t="str">
        <f>IFERROR(__xludf.DUMMYFUNCTION("""COMPUTED_VALUE"""),"03261416280")</f>
        <v>03261416280</v>
      </c>
      <c r="E801" s="10" t="str">
        <f>IFERROR(__xludf.DUMMYFUNCTION("""COMPUTED_VALUE"""),"Jamia Masjid Sunhari Gol Chowk Sahiwal")</f>
        <v>Jamia Masjid Sunhari Gol Chowk Sahiwal</v>
      </c>
      <c r="F801" s="10" t="str">
        <f>IFERROR(__xludf.DUMMYFUNCTION("""COMPUTED_VALUE"""),"GTJBD")</f>
        <v>GTJBD</v>
      </c>
      <c r="G801" s="10" t="str">
        <f>IFERROR(__xludf.DUMMYFUNCTION("""COMPUTED_VALUE"""),"Yes")</f>
        <v>Yes</v>
      </c>
      <c r="H801" s="10">
        <f>IFERROR(__xludf.DUMMYFUNCTION("""COMPUTED_VALUE"""),0.0)</f>
        <v>0</v>
      </c>
      <c r="I801" s="10">
        <f>IFERROR(__xludf.DUMMYFUNCTION("""COMPUTED_VALUE"""),10.0)</f>
        <v>10</v>
      </c>
      <c r="J801" s="10">
        <f>IFERROR(__xludf.DUMMYFUNCTION("""COMPUTED_VALUE"""),0.0)</f>
        <v>0</v>
      </c>
      <c r="K801" s="10">
        <f>IFERROR(__xludf.DUMMYFUNCTION("""COMPUTED_VALUE"""),0.0)</f>
        <v>0</v>
      </c>
      <c r="L801" s="10">
        <f>IFERROR(__xludf.DUMMYFUNCTION("""COMPUTED_VALUE"""),0.0)</f>
        <v>0</v>
      </c>
      <c r="M801" s="10">
        <f>IFERROR(__xludf.DUMMYFUNCTION("""COMPUTED_VALUE"""),0.0)</f>
        <v>0</v>
      </c>
      <c r="N801" s="10">
        <f>IFERROR(__xludf.DUMMYFUNCTION("""COMPUTED_VALUE"""),0.0)</f>
        <v>0</v>
      </c>
      <c r="O801" s="10">
        <f>IFERROR(__xludf.DUMMYFUNCTION("""COMPUTED_VALUE"""),0.0)</f>
        <v>0</v>
      </c>
      <c r="P801" s="10">
        <f>IFERROR(__xludf.DUMMYFUNCTION("""COMPUTED_VALUE"""),0.0)</f>
        <v>0</v>
      </c>
      <c r="Q801" s="10" t="str">
        <f>IFERROR(__xludf.DUMMYFUNCTION("""COMPUTED_VALUE"""),"No")</f>
        <v>No</v>
      </c>
      <c r="R801" s="10" t="str">
        <f>IFERROR(__xludf.DUMMYFUNCTION("""COMPUTED_VALUE"""),"No")</f>
        <v>No</v>
      </c>
      <c r="S801" s="10" t="str">
        <f>IFERROR(__xludf.DUMMYFUNCTION("""COMPUTED_VALUE"""),"No")</f>
        <v>No</v>
      </c>
      <c r="T801" s="10">
        <f>IFERROR(__xludf.DUMMYFUNCTION("""COMPUTED_VALUE"""),0.0)</f>
        <v>0</v>
      </c>
      <c r="U801" s="10">
        <f>IFERROR(__xludf.DUMMYFUNCTION("""COMPUTED_VALUE"""),0.0)</f>
        <v>0</v>
      </c>
      <c r="V801" s="10" t="str">
        <f>IFERROR(__xludf.DUMMYFUNCTION("""COMPUTED_VALUE"""),"ولی اللہ کا ذکر")</f>
        <v>ولی اللہ کا ذکر</v>
      </c>
      <c r="W801" s="10" t="str">
        <f>IFERROR(__xludf.DUMMYFUNCTION("""COMPUTED_VALUE"""),"امام نے بیان میں بتایا ہے کہ ولی ہر کوئی نہیں ہو سکتا ولی بنا اتنا آسان نہیں ہے ولی اللہ وہ ہوتا ہے جو اپنے رب کے ہر حکم کو مانے اپنی زندگی اپنے رب کے نام کر دے جیسا اس کا رب کہے وہ ویسا کرے اپنے دل کو پاک صاف رکھے برائی سے دور رہے وہ ولی اللہ ہے اور امام"&amp;" نے بھی ہم نے بتایا کہ جب تم نماز پڑھتے ہو تو سوچو کہ تمہارا رب تمہارے ساتھ ہے اور اگر یہ نہیں سوچتے تو یقین رکھو کہ تمہارا رب تمہیں دیکھ رہا ہے اور نبی کریم صلی اللہ علیہ وسلم اللہ تعالی کے محبوب ہیں وہ سب نبیوں سے زیادہ اللہ تعالی کی قریب ہیں جو نعمتیں "&amp;"اللہ تعالی نے اپنے محبوب کو دی ہیں وہ کسی دوسرے نبی کو نہیں دیں۔ ")</f>
        <v>امام نے بیان میں بتایا ہے کہ ولی ہر کوئی نہیں ہو سکتا ولی بنا اتنا آسان نہیں ہے ولی اللہ وہ ہوتا ہے جو اپنے رب کے ہر حکم کو مانے اپنی زندگی اپنے رب کے نام کر دے جیسا اس کا رب کہے وہ ویسا کرے اپنے دل کو پاک صاف رکھے برائی سے دور رہے وہ ولی اللہ ہے اور امام نے بھی ہم نے بتایا کہ جب تم نماز پڑھتے ہو تو سوچو کہ تمہارا رب تمہارے ساتھ ہے اور اگر یہ نہیں سوچتے تو یقین رکھو کہ تمہارا رب تمہیں دیکھ رہا ہے اور نبی کریم صلی اللہ علیہ وسلم اللہ تعالی کے محبوب ہیں وہ سب نبیوں سے زیادہ اللہ تعالی کی قریب ہیں جو نعمتیں اللہ تعالی نے اپنے محبوب کو دی ہیں وہ کسی دوسرے نبی کو نہیں دیں۔ </v>
      </c>
      <c r="X801" s="10">
        <f>IFERROR(__xludf.DUMMYFUNCTION("""COMPUTED_VALUE"""),4.0)</f>
        <v>4</v>
      </c>
      <c r="Y801" s="10">
        <f>IFERROR(__xludf.DUMMYFUNCTION("""COMPUTED_VALUE"""),0.0)</f>
        <v>0</v>
      </c>
      <c r="Z801" s="10">
        <f>IFERROR(__xludf.DUMMYFUNCTION("""COMPUTED_VALUE"""),7.0)</f>
        <v>7</v>
      </c>
      <c r="AA801" s="10">
        <f>IFERROR(__xludf.DUMMYFUNCTION("""COMPUTED_VALUE"""),9.0)</f>
        <v>9</v>
      </c>
      <c r="AB801" s="10">
        <f>IFERROR(__xludf.DUMMYFUNCTION("""COMPUTED_VALUE"""),8.0)</f>
        <v>8</v>
      </c>
      <c r="AC801" s="10">
        <f>IFERROR(__xludf.DUMMYFUNCTION("""COMPUTED_VALUE"""),0.0)</f>
        <v>0</v>
      </c>
      <c r="AD801" s="10">
        <f>IFERROR(__xludf.DUMMYFUNCTION("""COMPUTED_VALUE"""),0.0)</f>
        <v>0</v>
      </c>
      <c r="AE801" s="10">
        <f>IFERROR(__xludf.DUMMYFUNCTION("""COMPUTED_VALUE"""),0.0)</f>
        <v>0</v>
      </c>
      <c r="AF801" s="10">
        <f>IFERROR(__xludf.DUMMYFUNCTION("""COMPUTED_VALUE"""),0.0)</f>
        <v>0</v>
      </c>
      <c r="AG801" s="10">
        <f>IFERROR(__xludf.DUMMYFUNCTION("""COMPUTED_VALUE"""),8.0)</f>
        <v>8</v>
      </c>
      <c r="AH801" s="10">
        <f>IFERROR(__xludf.DUMMYFUNCTION("""COMPUTED_VALUE"""),0.0)</f>
        <v>0</v>
      </c>
      <c r="AI801" s="10">
        <f>IFERROR(__xludf.DUMMYFUNCTION("""COMPUTED_VALUE"""),8.0)</f>
        <v>8</v>
      </c>
      <c r="AJ801" s="11" t="str">
        <f>IFERROR(__xludf.DUMMYFUNCTION("""COMPUTED_VALUE"""),"https://drive.google.com/open?id=1_qVx8NTTjXcITSLQjXh_OXqxXQ5N3RxgdiBaDNBiPDg")</f>
        <v>https://drive.google.com/open?id=1_qVx8NTTjXcITSLQjXh_OXqxXQ5N3RxgdiBaDNBiPDg</v>
      </c>
      <c r="AK801" s="12" t="str">
        <f>IFERROR(__xludf.DUMMYFUNCTION("""COMPUTED_VALUE"""),"No ")</f>
        <v>No </v>
      </c>
      <c r="AL801" s="12" t="str">
        <f>IFERROR(__xludf.DUMMYFUNCTION("""COMPUTED_VALUE"""),"Yes")</f>
        <v>Yes</v>
      </c>
      <c r="AM801" s="15">
        <f>IFERROR(__xludf.DUMMYFUNCTION("""COMPUTED_VALUE"""),0.0)</f>
        <v>0</v>
      </c>
      <c r="AN801" s="12" t="str">
        <f>IFERROR(__xludf.DUMMYFUNCTION("""COMPUTED_VALUE"""),"3rd week")</f>
        <v>3rd week</v>
      </c>
      <c r="AO801" s="13">
        <v>3.0</v>
      </c>
      <c r="AX801" s="17"/>
    </row>
    <row r="802">
      <c r="B802" s="9">
        <f>IFERROR(__xludf.DUMMYFUNCTION("""COMPUTED_VALUE"""),45962.616773946764)</f>
        <v>45962.61677</v>
      </c>
      <c r="C802" s="10" t="str">
        <f>IFERROR(__xludf.DUMMYFUNCTION("""COMPUTED_VALUE"""),"Arti Kumari ")</f>
        <v>Arti Kumari </v>
      </c>
      <c r="D802" s="10" t="str">
        <f>IFERROR(__xludf.DUMMYFUNCTION("""COMPUTED_VALUE"""),"03346661865")</f>
        <v>03346661865</v>
      </c>
      <c r="E802" s="10" t="str">
        <f>IFERROR(__xludf.DUMMYFUNCTION("""COMPUTED_VALUE"""),"Jamia Masjid Panha Kambeer Shahiwal")</f>
        <v>Jamia Masjid Panha Kambeer Shahiwal</v>
      </c>
      <c r="F802" s="10" t="str">
        <f>IFERROR(__xludf.DUMMYFUNCTION("""COMPUTED_VALUE"""),"HHWJL")</f>
        <v>HHWJL</v>
      </c>
      <c r="G802" s="10" t="str">
        <f>IFERROR(__xludf.DUMMYFUNCTION("""COMPUTED_VALUE"""),"Yes")</f>
        <v>Yes</v>
      </c>
      <c r="H802" s="10">
        <f>IFERROR(__xludf.DUMMYFUNCTION("""COMPUTED_VALUE"""),0.0)</f>
        <v>0</v>
      </c>
      <c r="I802" s="10">
        <f>IFERROR(__xludf.DUMMYFUNCTION("""COMPUTED_VALUE"""),10.0)</f>
        <v>10</v>
      </c>
      <c r="J802" s="10">
        <f>IFERROR(__xludf.DUMMYFUNCTION("""COMPUTED_VALUE"""),0.0)</f>
        <v>0</v>
      </c>
      <c r="K802" s="10">
        <f>IFERROR(__xludf.DUMMYFUNCTION("""COMPUTED_VALUE"""),0.0)</f>
        <v>0</v>
      </c>
      <c r="L802" s="10">
        <f>IFERROR(__xludf.DUMMYFUNCTION("""COMPUTED_VALUE"""),0.0)</f>
        <v>0</v>
      </c>
      <c r="M802" s="10">
        <f>IFERROR(__xludf.DUMMYFUNCTION("""COMPUTED_VALUE"""),0.0)</f>
        <v>0</v>
      </c>
      <c r="N802" s="10">
        <f>IFERROR(__xludf.DUMMYFUNCTION("""COMPUTED_VALUE"""),0.0)</f>
        <v>0</v>
      </c>
      <c r="O802" s="10">
        <f>IFERROR(__xludf.DUMMYFUNCTION("""COMPUTED_VALUE"""),0.0)</f>
        <v>0</v>
      </c>
      <c r="P802" s="10">
        <f>IFERROR(__xludf.DUMMYFUNCTION("""COMPUTED_VALUE"""),0.0)</f>
        <v>0</v>
      </c>
      <c r="Q802" s="10" t="str">
        <f>IFERROR(__xludf.DUMMYFUNCTION("""COMPUTED_VALUE"""),"No")</f>
        <v>No</v>
      </c>
      <c r="R802" s="10" t="str">
        <f>IFERROR(__xludf.DUMMYFUNCTION("""COMPUTED_VALUE"""),"No")</f>
        <v>No</v>
      </c>
      <c r="S802" s="10" t="str">
        <f>IFERROR(__xludf.DUMMYFUNCTION("""COMPUTED_VALUE"""),"No")</f>
        <v>No</v>
      </c>
      <c r="T802" s="10">
        <f>IFERROR(__xludf.DUMMYFUNCTION("""COMPUTED_VALUE"""),0.0)</f>
        <v>0</v>
      </c>
      <c r="U802" s="10">
        <f>IFERROR(__xludf.DUMMYFUNCTION("""COMPUTED_VALUE"""),0.0)</f>
        <v>0</v>
      </c>
      <c r="V802" s="10" t="str">
        <f>IFERROR(__xludf.DUMMYFUNCTION("""COMPUTED_VALUE"""),"والدین کی خدمت خاص کر والد کی")</f>
        <v>والدین کی خدمت خاص کر والد کی</v>
      </c>
      <c r="W802" s="10" t="str">
        <f>IFERROR(__xludf.DUMMYFUNCTION("""COMPUTED_VALUE"""),"امام نے والدین کے حوالے سے بات کی جب وہ بڑھاپے میں آ جائیں ان کی خدمت کرو، آجکل مائیں اپنی اولاد کو والد کے خلاف کرتے ہیں کہ وہ تمہارے لیے کچھ نہیں کرتا اور ان سے اپنی مضلمیوت بیان کرتی ہے لکین والد  سارا دن باہر ان کے لیے مزدوری کرتا ہے۔ اسلام میں اللہ ک"&amp;"ے علاوہ کسی کو سجدہ جائز نہیں قرار دیا لیکن اللہ کے بعد جس کو سجدہ کرنے کا حکم ہے تو وہ اللہ نے عورتوں کو حکم دیا کہ وہ خاوند کو کرے")</f>
        <v>امام نے والدین کے حوالے سے بات کی جب وہ بڑھاپے میں آ جائیں ان کی خدمت کرو، آجکل مائیں اپنی اولاد کو والد کے خلاف کرتے ہیں کہ وہ تمہارے لیے کچھ نہیں کرتا اور ان سے اپنی مضلمیوت بیان کرتی ہے لکین والد  سارا دن باہر ان کے لیے مزدوری کرتا ہے۔ اسلام میں اللہ کے علاوہ کسی کو سجدہ جائز نہیں قرار دیا لیکن اللہ کے بعد جس کو سجدہ کرنے کا حکم ہے تو وہ اللہ نے عورتوں کو حکم دیا کہ وہ خاوند کو کرے</v>
      </c>
      <c r="X802" s="10">
        <f>IFERROR(__xludf.DUMMYFUNCTION("""COMPUTED_VALUE"""),0.0)</f>
        <v>0</v>
      </c>
      <c r="Y802" s="10">
        <f>IFERROR(__xludf.DUMMYFUNCTION("""COMPUTED_VALUE"""),2.0)</f>
        <v>2</v>
      </c>
      <c r="Z802" s="10">
        <f>IFERROR(__xludf.DUMMYFUNCTION("""COMPUTED_VALUE"""),6.0)</f>
        <v>6</v>
      </c>
      <c r="AA802" s="10">
        <f>IFERROR(__xludf.DUMMYFUNCTION("""COMPUTED_VALUE"""),2.0)</f>
        <v>2</v>
      </c>
      <c r="AB802" s="10">
        <f>IFERROR(__xludf.DUMMYFUNCTION("""COMPUTED_VALUE"""),1.0)</f>
        <v>1</v>
      </c>
      <c r="AC802" s="10">
        <f>IFERROR(__xludf.DUMMYFUNCTION("""COMPUTED_VALUE"""),0.0)</f>
        <v>0</v>
      </c>
      <c r="AD802" s="10">
        <f>IFERROR(__xludf.DUMMYFUNCTION("""COMPUTED_VALUE"""),0.0)</f>
        <v>0</v>
      </c>
      <c r="AE802" s="10">
        <f>IFERROR(__xludf.DUMMYFUNCTION("""COMPUTED_VALUE"""),0.0)</f>
        <v>0</v>
      </c>
      <c r="AF802" s="10">
        <f>IFERROR(__xludf.DUMMYFUNCTION("""COMPUTED_VALUE"""),2.0)</f>
        <v>2</v>
      </c>
      <c r="AG802" s="10">
        <f>IFERROR(__xludf.DUMMYFUNCTION("""COMPUTED_VALUE"""),5.0)</f>
        <v>5</v>
      </c>
      <c r="AH802" s="10">
        <f>IFERROR(__xludf.DUMMYFUNCTION("""COMPUTED_VALUE"""),2.0)</f>
        <v>2</v>
      </c>
      <c r="AI802" s="10">
        <f>IFERROR(__xludf.DUMMYFUNCTION("""COMPUTED_VALUE"""),5.0)</f>
        <v>5</v>
      </c>
      <c r="AJ802" s="11" t="str">
        <f>IFERROR(__xludf.DUMMYFUNCTION("""COMPUTED_VALUE"""),"https://drive.google.com/open?id=1ZwWdm1QQgVPpJE53FPUs2bJ4cqqlf0-P")</f>
        <v>https://drive.google.com/open?id=1ZwWdm1QQgVPpJE53FPUs2bJ4cqqlf0-P</v>
      </c>
      <c r="AK802" s="12" t="str">
        <f>IFERROR(__xludf.DUMMYFUNCTION("""COMPUTED_VALUE"""),"شور اور آواز میں خلل")</f>
        <v>شور اور آواز میں خلل</v>
      </c>
      <c r="AL802" s="12" t="str">
        <f>IFERROR(__xludf.DUMMYFUNCTION("""COMPUTED_VALUE"""),"Yes")</f>
        <v>Yes</v>
      </c>
      <c r="AM802" s="15">
        <f>IFERROR(__xludf.DUMMYFUNCTION("""COMPUTED_VALUE"""),0.0)</f>
        <v>0</v>
      </c>
      <c r="AN802" s="12" t="str">
        <f>IFERROR(__xludf.DUMMYFUNCTION("""COMPUTED_VALUE"""),"3rd week")</f>
        <v>3rd week</v>
      </c>
      <c r="AO802" s="13">
        <v>3.0</v>
      </c>
      <c r="AX802" s="17"/>
    </row>
    <row r="803">
      <c r="B803" s="9">
        <f>IFERROR(__xludf.DUMMYFUNCTION("""COMPUTED_VALUE"""),45962.624287962964)</f>
        <v>45962.62429</v>
      </c>
      <c r="C803" s="10" t="str">
        <f>IFERROR(__xludf.DUMMYFUNCTION("""COMPUTED_VALUE"""),"Arti Kumari ")</f>
        <v>Arti Kumari </v>
      </c>
      <c r="D803" s="10" t="str">
        <f>IFERROR(__xludf.DUMMYFUNCTION("""COMPUTED_VALUE"""),"03346661865")</f>
        <v>03346661865</v>
      </c>
      <c r="E803" s="10" t="str">
        <f>IFERROR(__xludf.DUMMYFUNCTION("""COMPUTED_VALUE"""),"Jamia Masjid Galah Mandi Arifwala")</f>
        <v>Jamia Masjid Galah Mandi Arifwala</v>
      </c>
      <c r="F803" s="10" t="str">
        <f>IFERROR(__xludf.DUMMYFUNCTION("""COMPUTED_VALUE"""),"EARRA")</f>
        <v>EARRA</v>
      </c>
      <c r="G803" s="10" t="str">
        <f>IFERROR(__xludf.DUMMYFUNCTION("""COMPUTED_VALUE"""),"Yes")</f>
        <v>Yes</v>
      </c>
      <c r="H803" s="10">
        <f>IFERROR(__xludf.DUMMYFUNCTION("""COMPUTED_VALUE"""),0.0)</f>
        <v>0</v>
      </c>
      <c r="I803" s="10">
        <f>IFERROR(__xludf.DUMMYFUNCTION("""COMPUTED_VALUE"""),10.0)</f>
        <v>10</v>
      </c>
      <c r="J803" s="10">
        <f>IFERROR(__xludf.DUMMYFUNCTION("""COMPUTED_VALUE"""),0.0)</f>
        <v>0</v>
      </c>
      <c r="K803" s="10">
        <f>IFERROR(__xludf.DUMMYFUNCTION("""COMPUTED_VALUE"""),0.0)</f>
        <v>0</v>
      </c>
      <c r="L803" s="10">
        <f>IFERROR(__xludf.DUMMYFUNCTION("""COMPUTED_VALUE"""),0.0)</f>
        <v>0</v>
      </c>
      <c r="M803" s="10">
        <f>IFERROR(__xludf.DUMMYFUNCTION("""COMPUTED_VALUE"""),0.0)</f>
        <v>0</v>
      </c>
      <c r="N803" s="10">
        <f>IFERROR(__xludf.DUMMYFUNCTION("""COMPUTED_VALUE"""),0.0)</f>
        <v>0</v>
      </c>
      <c r="O803" s="10">
        <f>IFERROR(__xludf.DUMMYFUNCTION("""COMPUTED_VALUE"""),0.0)</f>
        <v>0</v>
      </c>
      <c r="P803" s="10">
        <f>IFERROR(__xludf.DUMMYFUNCTION("""COMPUTED_VALUE"""),0.0)</f>
        <v>0</v>
      </c>
      <c r="Q803" s="10" t="str">
        <f>IFERROR(__xludf.DUMMYFUNCTION("""COMPUTED_VALUE"""),"No")</f>
        <v>No</v>
      </c>
      <c r="R803" s="10" t="str">
        <f>IFERROR(__xludf.DUMMYFUNCTION("""COMPUTED_VALUE"""),"No")</f>
        <v>No</v>
      </c>
      <c r="S803" s="10" t="str">
        <f>IFERROR(__xludf.DUMMYFUNCTION("""COMPUTED_VALUE"""),"No")</f>
        <v>No</v>
      </c>
      <c r="T803" s="10">
        <f>IFERROR(__xludf.DUMMYFUNCTION("""COMPUTED_VALUE"""),0.0)</f>
        <v>0</v>
      </c>
      <c r="U803" s="10">
        <f>IFERROR(__xludf.DUMMYFUNCTION("""COMPUTED_VALUE"""),0.0)</f>
        <v>0</v>
      </c>
      <c r="V803" s="10" t="str">
        <f>IFERROR(__xludf.DUMMYFUNCTION("""COMPUTED_VALUE"""),"اللہ کے ولیوں پیرو کی صفات")</f>
        <v>اللہ کے ولیوں پیرو کی صفات</v>
      </c>
      <c r="W803" s="10" t="str">
        <f>IFERROR(__xludf.DUMMYFUNCTION("""COMPUTED_VALUE"""),"امام نے خطبہ میں ولیوں پیروں کے متعلق اور ان کی صفات کے متعلق بات کی کہ وہ خاموش طبیعت ہوتے ہیں پانچ وقت کی نماز کے ساتھ نفلی نماز بھی پڑھتے ہیں پرہیزگار ہوتے ہیں،  لڑائی جھگڑے سے بچنے کی کوشش کرتے ہیں بحیث و مباحثہ سے اجتناب کرتے ہیں اور خاص کر کسی سے اپ"&amp;"نا سجدہ نہیں کرواتے اور اللہ سے دعا کرتے ہیں ان کو  نیک اعمال والا بنا")</f>
        <v>امام نے خطبہ میں ولیوں پیروں کے متعلق اور ان کی صفات کے متعلق بات کی کہ وہ خاموش طبیعت ہوتے ہیں پانچ وقت کی نماز کے ساتھ نفلی نماز بھی پڑھتے ہیں پرہیزگار ہوتے ہیں،  لڑائی جھگڑے سے بچنے کی کوشش کرتے ہیں بحیث و مباحثہ سے اجتناب کرتے ہیں اور خاص کر کسی سے اپنا سجدہ نہیں کرواتے اور اللہ سے دعا کرتے ہیں ان کو  نیک اعمال والا بنا</v>
      </c>
      <c r="X803" s="10">
        <f>IFERROR(__xludf.DUMMYFUNCTION("""COMPUTED_VALUE"""),1.0)</f>
        <v>1</v>
      </c>
      <c r="Y803" s="10">
        <f>IFERROR(__xludf.DUMMYFUNCTION("""COMPUTED_VALUE"""),0.0)</f>
        <v>0</v>
      </c>
      <c r="Z803" s="10">
        <f>IFERROR(__xludf.DUMMYFUNCTION("""COMPUTED_VALUE"""),6.0)</f>
        <v>6</v>
      </c>
      <c r="AA803" s="10">
        <f>IFERROR(__xludf.DUMMYFUNCTION("""COMPUTED_VALUE"""),5.0)</f>
        <v>5</v>
      </c>
      <c r="AB803" s="10">
        <f>IFERROR(__xludf.DUMMYFUNCTION("""COMPUTED_VALUE"""),0.0)</f>
        <v>0</v>
      </c>
      <c r="AC803" s="10">
        <f>IFERROR(__xludf.DUMMYFUNCTION("""COMPUTED_VALUE"""),0.0)</f>
        <v>0</v>
      </c>
      <c r="AD803" s="10">
        <f>IFERROR(__xludf.DUMMYFUNCTION("""COMPUTED_VALUE"""),0.0)</f>
        <v>0</v>
      </c>
      <c r="AE803" s="10">
        <f>IFERROR(__xludf.DUMMYFUNCTION("""COMPUTED_VALUE"""),0.0)</f>
        <v>0</v>
      </c>
      <c r="AF803" s="10">
        <f>IFERROR(__xludf.DUMMYFUNCTION("""COMPUTED_VALUE"""),0.0)</f>
        <v>0</v>
      </c>
      <c r="AG803" s="10">
        <f>IFERROR(__xludf.DUMMYFUNCTION("""COMPUTED_VALUE"""),10.0)</f>
        <v>10</v>
      </c>
      <c r="AH803" s="10">
        <f>IFERROR(__xludf.DUMMYFUNCTION("""COMPUTED_VALUE"""),0.0)</f>
        <v>0</v>
      </c>
      <c r="AI803" s="10">
        <f>IFERROR(__xludf.DUMMYFUNCTION("""COMPUTED_VALUE"""),10.0)</f>
        <v>10</v>
      </c>
      <c r="AJ803" s="11" t="str">
        <f>IFERROR(__xludf.DUMMYFUNCTION("""COMPUTED_VALUE"""),"https://drive.google.com/open?id=1g0bXqwh9iz7EM5AesgqNNP7K2IdKYhuK")</f>
        <v>https://drive.google.com/open?id=1g0bXqwh9iz7EM5AesgqNNP7K2IdKYhuK</v>
      </c>
      <c r="AK803" s="12"/>
      <c r="AL803" s="12" t="str">
        <f>IFERROR(__xludf.DUMMYFUNCTION("""COMPUTED_VALUE"""),"Yes")</f>
        <v>Yes</v>
      </c>
      <c r="AM803" s="15">
        <f>IFERROR(__xludf.DUMMYFUNCTION("""COMPUTED_VALUE"""),0.0)</f>
        <v>0</v>
      </c>
      <c r="AN803" s="12" t="str">
        <f>IFERROR(__xludf.DUMMYFUNCTION("""COMPUTED_VALUE"""),"3rd week")</f>
        <v>3rd week</v>
      </c>
      <c r="AO803" s="13">
        <v>3.0</v>
      </c>
      <c r="AX803" s="17"/>
    </row>
    <row r="804">
      <c r="B804" s="9">
        <f>IFERROR(__xludf.DUMMYFUNCTION("""COMPUTED_VALUE"""),45963.32279480324)</f>
        <v>45963.32279</v>
      </c>
      <c r="C804" s="10" t="str">
        <f>IFERROR(__xludf.DUMMYFUNCTION("""COMPUTED_VALUE"""),"Asma gul")</f>
        <v>Asma gul</v>
      </c>
      <c r="D804" s="10" t="str">
        <f>IFERROR(__xludf.DUMMYFUNCTION("""COMPUTED_VALUE"""),"03459308620")</f>
        <v>03459308620</v>
      </c>
      <c r="E804" s="10" t="str">
        <f>IFERROR(__xludf.DUMMYFUNCTION("""COMPUTED_VALUE"""),"Jamia Masjid Darbar Muhammad Ghous Bala Peer Okara")</f>
        <v>Jamia Masjid Darbar Muhammad Ghous Bala Peer Okara</v>
      </c>
      <c r="F804" s="10" t="str">
        <f>IFERROR(__xludf.DUMMYFUNCTION("""COMPUTED_VALUE"""),"VTGKG")</f>
        <v>VTGKG</v>
      </c>
      <c r="G804" s="10" t="str">
        <f>IFERROR(__xludf.DUMMYFUNCTION("""COMPUTED_VALUE"""),"Yes")</f>
        <v>Yes</v>
      </c>
      <c r="H804" s="10">
        <f>IFERROR(__xludf.DUMMYFUNCTION("""COMPUTED_VALUE"""),0.0)</f>
        <v>0</v>
      </c>
      <c r="I804" s="10">
        <f>IFERROR(__xludf.DUMMYFUNCTION("""COMPUTED_VALUE"""),10.0)</f>
        <v>10</v>
      </c>
      <c r="J804" s="10">
        <f>IFERROR(__xludf.DUMMYFUNCTION("""COMPUTED_VALUE"""),0.0)</f>
        <v>0</v>
      </c>
      <c r="K804" s="10">
        <f>IFERROR(__xludf.DUMMYFUNCTION("""COMPUTED_VALUE"""),0.0)</f>
        <v>0</v>
      </c>
      <c r="L804" s="10">
        <f>IFERROR(__xludf.DUMMYFUNCTION("""COMPUTED_VALUE"""),0.0)</f>
        <v>0</v>
      </c>
      <c r="M804" s="10">
        <f>IFERROR(__xludf.DUMMYFUNCTION("""COMPUTED_VALUE"""),0.0)</f>
        <v>0</v>
      </c>
      <c r="N804" s="10">
        <f>IFERROR(__xludf.DUMMYFUNCTION("""COMPUTED_VALUE"""),0.0)</f>
        <v>0</v>
      </c>
      <c r="O804" s="10">
        <f>IFERROR(__xludf.DUMMYFUNCTION("""COMPUTED_VALUE"""),0.0)</f>
        <v>0</v>
      </c>
      <c r="P804" s="10">
        <f>IFERROR(__xludf.DUMMYFUNCTION("""COMPUTED_VALUE"""),0.0)</f>
        <v>0</v>
      </c>
      <c r="Q804" s="10" t="str">
        <f>IFERROR(__xludf.DUMMYFUNCTION("""COMPUTED_VALUE"""),"No")</f>
        <v>No</v>
      </c>
      <c r="R804" s="10" t="str">
        <f>IFERROR(__xludf.DUMMYFUNCTION("""COMPUTED_VALUE"""),"No")</f>
        <v>No</v>
      </c>
      <c r="S804" s="10" t="str">
        <f>IFERROR(__xludf.DUMMYFUNCTION("""COMPUTED_VALUE"""),"No")</f>
        <v>No</v>
      </c>
      <c r="T804" s="10">
        <f>IFERROR(__xludf.DUMMYFUNCTION("""COMPUTED_VALUE"""),0.0)</f>
        <v>0</v>
      </c>
      <c r="U804" s="10">
        <f>IFERROR(__xludf.DUMMYFUNCTION("""COMPUTED_VALUE"""),0.0)</f>
        <v>0</v>
      </c>
      <c r="V804" s="10" t="str">
        <f>IFERROR(__xludf.DUMMYFUNCTION("""COMPUTED_VALUE"""),"رسولِ اکرم ﷺ کی غلامی اور اولیاء کرام کی نسبت کا فیض")</f>
        <v>رسولِ اکرم ﷺ کی غلامی اور اولیاء کرام کی نسبت کا فیض</v>
      </c>
      <c r="W804" s="10" t="str">
        <f>IFERROR(__xludf.DUMMYFUNCTION("""COMPUTED_VALUE"""),"
امام صاحب نے فرمایا کہ اصل اللہ کا بندہ وہی ہے جو رسول ﷺ کا غلام ہو۔
اللہ کی محبت، رسول ﷺ کی پیروی اور غلامی کے بغیر حاصل نہیں ہو سکتی۔
جو بندہ اولیاء کرام اور نبی پاک ﷺ سے نسبت رکھتا ہے، وہ اللہ کے قریب ہوتا ہے۔
ایسے لوگ ہر وقت ذکرِ الٰہی میں رہتے ہیں، "&amp;"اور اللہ ان سے خاص محبت فرماتا ہے۔")</f>
        <v>
امام صاحب نے فرمایا کہ اصل اللہ کا بندہ وہی ہے جو رسول ﷺ کا غلام ہو۔
اللہ کی محبت، رسول ﷺ کی پیروی اور غلامی کے بغیر حاصل نہیں ہو سکتی۔
جو بندہ اولیاء کرام اور نبی پاک ﷺ سے نسبت رکھتا ہے، وہ اللہ کے قریب ہوتا ہے۔
ایسے لوگ ہر وقت ذکرِ الٰہی میں رہتے ہیں، اور اللہ ان سے خاص محبت فرماتا ہے۔</v>
      </c>
      <c r="X804" s="10">
        <f>IFERROR(__xludf.DUMMYFUNCTION("""COMPUTED_VALUE"""),9.0)</f>
        <v>9</v>
      </c>
      <c r="Y804" s="10">
        <f>IFERROR(__xludf.DUMMYFUNCTION("""COMPUTED_VALUE"""),4.0)</f>
        <v>4</v>
      </c>
      <c r="Z804" s="10">
        <f>IFERROR(__xludf.DUMMYFUNCTION("""COMPUTED_VALUE"""),5.0)</f>
        <v>5</v>
      </c>
      <c r="AA804" s="10">
        <f>IFERROR(__xludf.DUMMYFUNCTION("""COMPUTED_VALUE"""),10.0)</f>
        <v>10</v>
      </c>
      <c r="AB804" s="10">
        <f>IFERROR(__xludf.DUMMYFUNCTION("""COMPUTED_VALUE"""),6.0)</f>
        <v>6</v>
      </c>
      <c r="AC804" s="10">
        <f>IFERROR(__xludf.DUMMYFUNCTION("""COMPUTED_VALUE"""),0.0)</f>
        <v>0</v>
      </c>
      <c r="AD804" s="10">
        <f>IFERROR(__xludf.DUMMYFUNCTION("""COMPUTED_VALUE"""),0.0)</f>
        <v>0</v>
      </c>
      <c r="AE804" s="10">
        <f>IFERROR(__xludf.DUMMYFUNCTION("""COMPUTED_VALUE"""),0.0)</f>
        <v>0</v>
      </c>
      <c r="AF804" s="10">
        <f>IFERROR(__xludf.DUMMYFUNCTION("""COMPUTED_VALUE"""),0.0)</f>
        <v>0</v>
      </c>
      <c r="AG804" s="10">
        <f>IFERROR(__xludf.DUMMYFUNCTION("""COMPUTED_VALUE"""),8.0)</f>
        <v>8</v>
      </c>
      <c r="AH804" s="10">
        <f>IFERROR(__xludf.DUMMYFUNCTION("""COMPUTED_VALUE"""),0.0)</f>
        <v>0</v>
      </c>
      <c r="AI804" s="10">
        <f>IFERROR(__xludf.DUMMYFUNCTION("""COMPUTED_VALUE"""),9.0)</f>
        <v>9</v>
      </c>
      <c r="AJ804" s="11" t="str">
        <f>IFERROR(__xludf.DUMMYFUNCTION("""COMPUTED_VALUE"""),"https://drive.google.com/open?id=1rtj5QP8MQRLO94RUKFkYI1cMDOHAGAnU")</f>
        <v>https://drive.google.com/open?id=1rtj5QP8MQRLO94RUKFkYI1cMDOHAGAnU</v>
      </c>
      <c r="AK804" s="12"/>
      <c r="AL804" s="12" t="str">
        <f>IFERROR(__xludf.DUMMYFUNCTION("""COMPUTED_VALUE"""),"Yes")</f>
        <v>Yes</v>
      </c>
      <c r="AM804" s="15">
        <f>IFERROR(__xludf.DUMMYFUNCTION("""COMPUTED_VALUE"""),0.0)</f>
        <v>0</v>
      </c>
      <c r="AN804" s="12" t="str">
        <f>IFERROR(__xludf.DUMMYFUNCTION("""COMPUTED_VALUE"""),"4th week")</f>
        <v>4th week</v>
      </c>
      <c r="AO804" s="13">
        <v>4.0</v>
      </c>
      <c r="AX804" s="17"/>
    </row>
    <row r="805">
      <c r="B805" s="9">
        <f>IFERROR(__xludf.DUMMYFUNCTION("""COMPUTED_VALUE"""),45964.407094571754)</f>
        <v>45964.40709</v>
      </c>
      <c r="C805" s="10" t="str">
        <f>IFERROR(__xludf.DUMMYFUNCTION("""COMPUTED_VALUE"""),"Maham ")</f>
        <v>Maham </v>
      </c>
      <c r="D805" s="10" t="str">
        <f>IFERROR(__xludf.DUMMYFUNCTION("""COMPUTED_VALUE"""),"03218118680")</f>
        <v>03218118680</v>
      </c>
      <c r="E805" s="10" t="str">
        <f>IFERROR(__xludf.DUMMYFUNCTION("""COMPUTED_VALUE"""),"Jamia Masjid Hanfiya Gujra Basti Faisalabad")</f>
        <v>Jamia Masjid Hanfiya Gujra Basti Faisalabad</v>
      </c>
      <c r="F805" s="10" t="str">
        <f>IFERROR(__xludf.DUMMYFUNCTION("""COMPUTED_VALUE"""),"mxebb")</f>
        <v>mxebb</v>
      </c>
      <c r="G805" s="10" t="str">
        <f>IFERROR(__xludf.DUMMYFUNCTION("""COMPUTED_VALUE"""),"Yes")</f>
        <v>Yes</v>
      </c>
      <c r="H805" s="10">
        <f>IFERROR(__xludf.DUMMYFUNCTION("""COMPUTED_VALUE"""),4.0)</f>
        <v>4</v>
      </c>
      <c r="I805" s="10">
        <f>IFERROR(__xludf.DUMMYFUNCTION("""COMPUTED_VALUE"""),6.0)</f>
        <v>6</v>
      </c>
      <c r="J805" s="10">
        <f>IFERROR(__xludf.DUMMYFUNCTION("""COMPUTED_VALUE"""),10.0)</f>
        <v>10</v>
      </c>
      <c r="K805" s="10">
        <f>IFERROR(__xludf.DUMMYFUNCTION("""COMPUTED_VALUE"""),0.0)</f>
        <v>0</v>
      </c>
      <c r="L805" s="10">
        <f>IFERROR(__xludf.DUMMYFUNCTION("""COMPUTED_VALUE"""),10.0)</f>
        <v>10</v>
      </c>
      <c r="M805" s="10">
        <f>IFERROR(__xludf.DUMMYFUNCTION("""COMPUTED_VALUE"""),0.0)</f>
        <v>0</v>
      </c>
      <c r="N805" s="10">
        <f>IFERROR(__xludf.DUMMYFUNCTION("""COMPUTED_VALUE"""),10.0)</f>
        <v>10</v>
      </c>
      <c r="O805" s="10">
        <f>IFERROR(__xludf.DUMMYFUNCTION("""COMPUTED_VALUE"""),0.0)</f>
        <v>0</v>
      </c>
      <c r="P805" s="10">
        <f>IFERROR(__xludf.DUMMYFUNCTION("""COMPUTED_VALUE"""),7.0)</f>
        <v>7</v>
      </c>
      <c r="Q805" s="10" t="str">
        <f>IFERROR(__xludf.DUMMYFUNCTION("""COMPUTED_VALUE"""),"No")</f>
        <v>No</v>
      </c>
      <c r="R805" s="10" t="str">
        <f>IFERROR(__xludf.DUMMYFUNCTION("""COMPUTED_VALUE"""),"No")</f>
        <v>No</v>
      </c>
      <c r="S805" s="10" t="str">
        <f>IFERROR(__xludf.DUMMYFUNCTION("""COMPUTED_VALUE"""),"No")</f>
        <v>No</v>
      </c>
      <c r="T805" s="10">
        <f>IFERROR(__xludf.DUMMYFUNCTION("""COMPUTED_VALUE"""),0.0)</f>
        <v>0</v>
      </c>
      <c r="U805" s="10">
        <f>IFERROR(__xludf.DUMMYFUNCTION("""COMPUTED_VALUE"""),0.0)</f>
        <v>0</v>
      </c>
      <c r="V805" s="10" t="str">
        <f>IFERROR(__xludf.DUMMYFUNCTION("""COMPUTED_VALUE"""),"پڑوسیوں کے حقوق")</f>
        <v>پڑوسیوں کے حقوق</v>
      </c>
      <c r="W805" s="10" t="str">
        <f>IFERROR(__xludf.DUMMYFUNCTION("""COMPUTED_VALUE"""),"پڑوسیوں کے حقوق بیان کیے گئے")</f>
        <v>پڑوسیوں کے حقوق بیان کیے گئے</v>
      </c>
      <c r="X805" s="10">
        <f>IFERROR(__xludf.DUMMYFUNCTION("""COMPUTED_VALUE"""),2.0)</f>
        <v>2</v>
      </c>
      <c r="Y805" s="10">
        <f>IFERROR(__xludf.DUMMYFUNCTION("""COMPUTED_VALUE"""),8.0)</f>
        <v>8</v>
      </c>
      <c r="Z805" s="10">
        <f>IFERROR(__xludf.DUMMYFUNCTION("""COMPUTED_VALUE"""),8.0)</f>
        <v>8</v>
      </c>
      <c r="AA805" s="10">
        <f>IFERROR(__xludf.DUMMYFUNCTION("""COMPUTED_VALUE"""),9.0)</f>
        <v>9</v>
      </c>
      <c r="AB805" s="10">
        <f>IFERROR(__xludf.DUMMYFUNCTION("""COMPUTED_VALUE"""),7.0)</f>
        <v>7</v>
      </c>
      <c r="AC805" s="10">
        <f>IFERROR(__xludf.DUMMYFUNCTION("""COMPUTED_VALUE"""),1.0)</f>
        <v>1</v>
      </c>
      <c r="AD805" s="10">
        <f>IFERROR(__xludf.DUMMYFUNCTION("""COMPUTED_VALUE"""),2.0)</f>
        <v>2</v>
      </c>
      <c r="AE805" s="10">
        <f>IFERROR(__xludf.DUMMYFUNCTION("""COMPUTED_VALUE"""),5.0)</f>
        <v>5</v>
      </c>
      <c r="AF805" s="10">
        <f>IFERROR(__xludf.DUMMYFUNCTION("""COMPUTED_VALUE"""),3.0)</f>
        <v>3</v>
      </c>
      <c r="AG805" s="10">
        <f>IFERROR(__xludf.DUMMYFUNCTION("""COMPUTED_VALUE"""),8.0)</f>
        <v>8</v>
      </c>
      <c r="AH805" s="10">
        <f>IFERROR(__xludf.DUMMYFUNCTION("""COMPUTED_VALUE"""),0.0)</f>
        <v>0</v>
      </c>
      <c r="AI805" s="10">
        <f>IFERROR(__xludf.DUMMYFUNCTION("""COMPUTED_VALUE"""),8.0)</f>
        <v>8</v>
      </c>
      <c r="AJ805" s="11" t="str">
        <f>IFERROR(__xludf.DUMMYFUNCTION("""COMPUTED_VALUE"""),"https://drive.google.com/open?id=1PlNpMQWoVTPj0RqA3c-rd8eeeniccl_g")</f>
        <v>https://drive.google.com/open?id=1PlNpMQWoVTPj0RqA3c-rd8eeeniccl_g</v>
      </c>
      <c r="AK805" s="12"/>
      <c r="AL805" s="12" t="str">
        <f>IFERROR(__xludf.DUMMYFUNCTION("""COMPUTED_VALUE"""),"Yes")</f>
        <v>Yes</v>
      </c>
      <c r="AM805" s="15">
        <f>IFERROR(__xludf.DUMMYFUNCTION("""COMPUTED_VALUE"""),1.0)</f>
        <v>1</v>
      </c>
      <c r="AN805" s="12" t="str">
        <f>IFERROR(__xludf.DUMMYFUNCTION("""COMPUTED_VALUE"""),"1st week")</f>
        <v>1st week</v>
      </c>
      <c r="AO805" s="13">
        <v>1.0</v>
      </c>
      <c r="AX805" s="17"/>
    </row>
    <row r="806">
      <c r="B806" s="9">
        <f>IFERROR(__xludf.DUMMYFUNCTION("""COMPUTED_VALUE"""),45964.68456042824)</f>
        <v>45964.68456</v>
      </c>
      <c r="C806" s="10" t="str">
        <f>IFERROR(__xludf.DUMMYFUNCTION("""COMPUTED_VALUE"""),"Maham")</f>
        <v>Maham</v>
      </c>
      <c r="D806" s="10" t="str">
        <f>IFERROR(__xludf.DUMMYFUNCTION("""COMPUTED_VALUE"""),"03218118680")</f>
        <v>03218118680</v>
      </c>
      <c r="E806" s="10" t="str">
        <f>IFERROR(__xludf.DUMMYFUNCTION("""COMPUTED_VALUE"""),"Jamia Masjid Gulzar Madina Gala Mandi Ameem Pura")</f>
        <v>Jamia Masjid Gulzar Madina Gala Mandi Ameem Pura</v>
      </c>
      <c r="F806" s="10" t="str">
        <f>IFERROR(__xludf.DUMMYFUNCTION("""COMPUTED_VALUE"""),"dkwam")</f>
        <v>dkwam</v>
      </c>
      <c r="G806" s="10" t="str">
        <f>IFERROR(__xludf.DUMMYFUNCTION("""COMPUTED_VALUE"""),"Yes")</f>
        <v>Yes</v>
      </c>
      <c r="H806" s="10">
        <f>IFERROR(__xludf.DUMMYFUNCTION("""COMPUTED_VALUE"""),0.0)</f>
        <v>0</v>
      </c>
      <c r="I806" s="10">
        <f>IFERROR(__xludf.DUMMYFUNCTION("""COMPUTED_VALUE"""),10.0)</f>
        <v>10</v>
      </c>
      <c r="J806" s="10">
        <f>IFERROR(__xludf.DUMMYFUNCTION("""COMPUTED_VALUE"""),0.0)</f>
        <v>0</v>
      </c>
      <c r="K806" s="10">
        <f>IFERROR(__xludf.DUMMYFUNCTION("""COMPUTED_VALUE"""),0.0)</f>
        <v>0</v>
      </c>
      <c r="L806" s="10">
        <f>IFERROR(__xludf.DUMMYFUNCTION("""COMPUTED_VALUE"""),0.0)</f>
        <v>0</v>
      </c>
      <c r="M806" s="10">
        <f>IFERROR(__xludf.DUMMYFUNCTION("""COMPUTED_VALUE"""),0.0)</f>
        <v>0</v>
      </c>
      <c r="N806" s="10">
        <f>IFERROR(__xludf.DUMMYFUNCTION("""COMPUTED_VALUE"""),0.0)</f>
        <v>0</v>
      </c>
      <c r="O806" s="10">
        <f>IFERROR(__xludf.DUMMYFUNCTION("""COMPUTED_VALUE"""),0.0)</f>
        <v>0</v>
      </c>
      <c r="P806" s="10">
        <f>IFERROR(__xludf.DUMMYFUNCTION("""COMPUTED_VALUE"""),0.0)</f>
        <v>0</v>
      </c>
      <c r="Q806" s="10" t="str">
        <f>IFERROR(__xludf.DUMMYFUNCTION("""COMPUTED_VALUE"""),"No")</f>
        <v>No</v>
      </c>
      <c r="R806" s="10" t="str">
        <f>IFERROR(__xludf.DUMMYFUNCTION("""COMPUTED_VALUE"""),"No")</f>
        <v>No</v>
      </c>
      <c r="S806" s="10" t="str">
        <f>IFERROR(__xludf.DUMMYFUNCTION("""COMPUTED_VALUE"""),"No")</f>
        <v>No</v>
      </c>
      <c r="T806" s="10">
        <f>IFERROR(__xludf.DUMMYFUNCTION("""COMPUTED_VALUE"""),0.0)</f>
        <v>0</v>
      </c>
      <c r="U806" s="10">
        <f>IFERROR(__xludf.DUMMYFUNCTION("""COMPUTED_VALUE"""),0.0)</f>
        <v>0</v>
      </c>
      <c r="V806" s="10" t="str">
        <f>IFERROR(__xludf.DUMMYFUNCTION("""COMPUTED_VALUE"""),"اللہ کے ولی")</f>
        <v>اللہ کے ولی</v>
      </c>
      <c r="W806" s="10" t="str">
        <f>IFERROR(__xludf.DUMMYFUNCTION("""COMPUTED_VALUE"""),"اللہ کے ولیوں کا ذکر کیا گیا")</f>
        <v>اللہ کے ولیوں کا ذکر کیا گیا</v>
      </c>
      <c r="X806" s="10">
        <f>IFERROR(__xludf.DUMMYFUNCTION("""COMPUTED_VALUE"""),8.0)</f>
        <v>8</v>
      </c>
      <c r="Y806" s="10">
        <f>IFERROR(__xludf.DUMMYFUNCTION("""COMPUTED_VALUE"""),6.0)</f>
        <v>6</v>
      </c>
      <c r="Z806" s="10">
        <f>IFERROR(__xludf.DUMMYFUNCTION("""COMPUTED_VALUE"""),4.0)</f>
        <v>4</v>
      </c>
      <c r="AA806" s="10">
        <f>IFERROR(__xludf.DUMMYFUNCTION("""COMPUTED_VALUE"""),9.0)</f>
        <v>9</v>
      </c>
      <c r="AB806" s="10">
        <f>IFERROR(__xludf.DUMMYFUNCTION("""COMPUTED_VALUE"""),8.0)</f>
        <v>8</v>
      </c>
      <c r="AC806" s="10">
        <f>IFERROR(__xludf.DUMMYFUNCTION("""COMPUTED_VALUE"""),2.0)</f>
        <v>2</v>
      </c>
      <c r="AD806" s="10">
        <f>IFERROR(__xludf.DUMMYFUNCTION("""COMPUTED_VALUE"""),3.0)</f>
        <v>3</v>
      </c>
      <c r="AE806" s="10">
        <f>IFERROR(__xludf.DUMMYFUNCTION("""COMPUTED_VALUE"""),0.0)</f>
        <v>0</v>
      </c>
      <c r="AF806" s="10">
        <f>IFERROR(__xludf.DUMMYFUNCTION("""COMPUTED_VALUE"""),8.0)</f>
        <v>8</v>
      </c>
      <c r="AG806" s="10">
        <f>IFERROR(__xludf.DUMMYFUNCTION("""COMPUTED_VALUE"""),8.0)</f>
        <v>8</v>
      </c>
      <c r="AH806" s="10">
        <f>IFERROR(__xludf.DUMMYFUNCTION("""COMPUTED_VALUE"""),0.0)</f>
        <v>0</v>
      </c>
      <c r="AI806" s="10">
        <f>IFERROR(__xludf.DUMMYFUNCTION("""COMPUTED_VALUE"""),9.0)</f>
        <v>9</v>
      </c>
      <c r="AJ806" s="11" t="str">
        <f>IFERROR(__xludf.DUMMYFUNCTION("""COMPUTED_VALUE"""),"https://drive.google.com/open?id=1sBGEpw7xq2HNHQAxpYQtRgFrxPcf79bC")</f>
        <v>https://drive.google.com/open?id=1sBGEpw7xq2HNHQAxpYQtRgFrxPcf79bC</v>
      </c>
      <c r="AK806" s="12"/>
      <c r="AL806" s="12" t="str">
        <f>IFERROR(__xludf.DUMMYFUNCTION("""COMPUTED_VALUE"""),"Yes")</f>
        <v>Yes</v>
      </c>
      <c r="AM806" s="15">
        <f>IFERROR(__xludf.DUMMYFUNCTION("""COMPUTED_VALUE"""),0.0)</f>
        <v>0</v>
      </c>
      <c r="AN806" s="12" t="str">
        <f>IFERROR(__xludf.DUMMYFUNCTION("""COMPUTED_VALUE"""),"1st week")</f>
        <v>1st week</v>
      </c>
      <c r="AO806" s="13">
        <v>1.0</v>
      </c>
      <c r="AX806" s="17"/>
    </row>
    <row r="807">
      <c r="B807" s="9">
        <f>IFERROR(__xludf.DUMMYFUNCTION("""COMPUTED_VALUE"""),45964.72890818287)</f>
        <v>45964.72891</v>
      </c>
      <c r="C807" s="10" t="str">
        <f>IFERROR(__xludf.DUMMYFUNCTION("""COMPUTED_VALUE"""),"Maham")</f>
        <v>Maham</v>
      </c>
      <c r="D807" s="10" t="str">
        <f>IFERROR(__xludf.DUMMYFUNCTION("""COMPUTED_VALUE"""),"03218118680")</f>
        <v>03218118680</v>
      </c>
      <c r="E807" s="10" t="str">
        <f>IFERROR(__xludf.DUMMYFUNCTION("""COMPUTED_VALUE"""),"Jamia Masjid Islam Pura Dhobi Ghaat Faisalabad")</f>
        <v>Jamia Masjid Islam Pura Dhobi Ghaat Faisalabad</v>
      </c>
      <c r="F807" s="10" t="str">
        <f>IFERROR(__xludf.DUMMYFUNCTION("""COMPUTED_VALUE"""),"cfcvk")</f>
        <v>cfcvk</v>
      </c>
      <c r="G807" s="10" t="str">
        <f>IFERROR(__xludf.DUMMYFUNCTION("""COMPUTED_VALUE"""),"Yes")</f>
        <v>Yes</v>
      </c>
      <c r="H807" s="10">
        <f>IFERROR(__xludf.DUMMYFUNCTION("""COMPUTED_VALUE"""),4.0)</f>
        <v>4</v>
      </c>
      <c r="I807" s="10">
        <f>IFERROR(__xludf.DUMMYFUNCTION("""COMPUTED_VALUE"""),6.0)</f>
        <v>6</v>
      </c>
      <c r="J807" s="10">
        <f>IFERROR(__xludf.DUMMYFUNCTION("""COMPUTED_VALUE"""),10.0)</f>
        <v>10</v>
      </c>
      <c r="K807" s="10">
        <f>IFERROR(__xludf.DUMMYFUNCTION("""COMPUTED_VALUE"""),0.0)</f>
        <v>0</v>
      </c>
      <c r="L807" s="10">
        <f>IFERROR(__xludf.DUMMYFUNCTION("""COMPUTED_VALUE"""),10.0)</f>
        <v>10</v>
      </c>
      <c r="M807" s="10">
        <f>IFERROR(__xludf.DUMMYFUNCTION("""COMPUTED_VALUE"""),0.0)</f>
        <v>0</v>
      </c>
      <c r="N807" s="10">
        <f>IFERROR(__xludf.DUMMYFUNCTION("""COMPUTED_VALUE"""),10.0)</f>
        <v>10</v>
      </c>
      <c r="O807" s="10">
        <f>IFERROR(__xludf.DUMMYFUNCTION("""COMPUTED_VALUE"""),0.0)</f>
        <v>0</v>
      </c>
      <c r="P807" s="10">
        <f>IFERROR(__xludf.DUMMYFUNCTION("""COMPUTED_VALUE"""),9.0)</f>
        <v>9</v>
      </c>
      <c r="Q807" s="10" t="str">
        <f>IFERROR(__xludf.DUMMYFUNCTION("""COMPUTED_VALUE"""),"No")</f>
        <v>No</v>
      </c>
      <c r="R807" s="10" t="str">
        <f>IFERROR(__xludf.DUMMYFUNCTION("""COMPUTED_VALUE"""),"No")</f>
        <v>No</v>
      </c>
      <c r="S807" s="10" t="str">
        <f>IFERROR(__xludf.DUMMYFUNCTION("""COMPUTED_VALUE"""),"Yes")</f>
        <v>Yes</v>
      </c>
      <c r="T807" s="10">
        <f>IFERROR(__xludf.DUMMYFUNCTION("""COMPUTED_VALUE"""),0.0)</f>
        <v>0</v>
      </c>
      <c r="U807" s="10">
        <f>IFERROR(__xludf.DUMMYFUNCTION("""COMPUTED_VALUE"""),4.0)</f>
        <v>4</v>
      </c>
      <c r="V807" s="10" t="str">
        <f>IFERROR(__xludf.DUMMYFUNCTION("""COMPUTED_VALUE"""),"پڑوسیوں کے حقوق")</f>
        <v>پڑوسیوں کے حقوق</v>
      </c>
      <c r="W807" s="10" t="str">
        <f>IFERROR(__xludf.DUMMYFUNCTION("""COMPUTED_VALUE"""),"ہم پڑوسیوں کے حقوق سے بہت لاپرواہ ہیں پڑوسیوں کے حقوق متعلق بیان کیا گیا احادیث اور قرانی ایات کی روشنی میں")</f>
        <v>ہم پڑوسیوں کے حقوق سے بہت لاپرواہ ہیں پڑوسیوں کے حقوق متعلق بیان کیا گیا احادیث اور قرانی ایات کی روشنی میں</v>
      </c>
      <c r="X807" s="10">
        <f>IFERROR(__xludf.DUMMYFUNCTION("""COMPUTED_VALUE"""),2.0)</f>
        <v>2</v>
      </c>
      <c r="Y807" s="10">
        <f>IFERROR(__xludf.DUMMYFUNCTION("""COMPUTED_VALUE"""),8.0)</f>
        <v>8</v>
      </c>
      <c r="Z807" s="10">
        <f>IFERROR(__xludf.DUMMYFUNCTION("""COMPUTED_VALUE"""),8.0)</f>
        <v>8</v>
      </c>
      <c r="AA807" s="10">
        <f>IFERROR(__xludf.DUMMYFUNCTION("""COMPUTED_VALUE"""),8.0)</f>
        <v>8</v>
      </c>
      <c r="AB807" s="10">
        <f>IFERROR(__xludf.DUMMYFUNCTION("""COMPUTED_VALUE"""),7.0)</f>
        <v>7</v>
      </c>
      <c r="AC807" s="10">
        <f>IFERROR(__xludf.DUMMYFUNCTION("""COMPUTED_VALUE"""),2.0)</f>
        <v>2</v>
      </c>
      <c r="AD807" s="10">
        <f>IFERROR(__xludf.DUMMYFUNCTION("""COMPUTED_VALUE"""),3.0)</f>
        <v>3</v>
      </c>
      <c r="AE807" s="10">
        <f>IFERROR(__xludf.DUMMYFUNCTION("""COMPUTED_VALUE"""),1.0)</f>
        <v>1</v>
      </c>
      <c r="AF807" s="10">
        <f>IFERROR(__xludf.DUMMYFUNCTION("""COMPUTED_VALUE"""),4.0)</f>
        <v>4</v>
      </c>
      <c r="AG807" s="10">
        <f>IFERROR(__xludf.DUMMYFUNCTION("""COMPUTED_VALUE"""),7.0)</f>
        <v>7</v>
      </c>
      <c r="AH807" s="10">
        <f>IFERROR(__xludf.DUMMYFUNCTION("""COMPUTED_VALUE"""),3.0)</f>
        <v>3</v>
      </c>
      <c r="AI807" s="10">
        <f>IFERROR(__xludf.DUMMYFUNCTION("""COMPUTED_VALUE"""),8.0)</f>
        <v>8</v>
      </c>
      <c r="AJ807" s="11" t="str">
        <f>IFERROR(__xludf.DUMMYFUNCTION("""COMPUTED_VALUE"""),"https://drive.google.com/open?id=1r0paE_Fz2PB4UtCX2jjVKkbZirVJB5MQ")</f>
        <v>https://drive.google.com/open?id=1r0paE_Fz2PB4UtCX2jjVKkbZirVJB5MQ</v>
      </c>
      <c r="AK807" s="12"/>
      <c r="AL807" s="12" t="str">
        <f>IFERROR(__xludf.DUMMYFUNCTION("""COMPUTED_VALUE"""),"Yes")</f>
        <v>Yes</v>
      </c>
      <c r="AM807" s="15">
        <f>IFERROR(__xludf.DUMMYFUNCTION("""COMPUTED_VALUE"""),0.9)</f>
        <v>0.9</v>
      </c>
      <c r="AN807" s="12" t="str">
        <f>IFERROR(__xludf.DUMMYFUNCTION("""COMPUTED_VALUE"""),"1st week")</f>
        <v>1st week</v>
      </c>
      <c r="AO807" s="13">
        <v>1.0</v>
      </c>
      <c r="AX807" s="17"/>
    </row>
    <row r="808">
      <c r="B808" s="9">
        <f>IFERROR(__xludf.DUMMYFUNCTION("""COMPUTED_VALUE"""),45964.74723753472)</f>
        <v>45964.74724</v>
      </c>
      <c r="C808" s="10" t="str">
        <f>IFERROR(__xludf.DUMMYFUNCTION("""COMPUTED_VALUE"""),"Maham")</f>
        <v>Maham</v>
      </c>
      <c r="D808" s="10" t="str">
        <f>IFERROR(__xludf.DUMMYFUNCTION("""COMPUTED_VALUE"""),"03218118680")</f>
        <v>03218118680</v>
      </c>
      <c r="E808" s="10" t="str">
        <f>IFERROR(__xludf.DUMMYFUNCTION("""COMPUTED_VALUE"""),"Jamia Masjid Qaziya Nawali Jhang")</f>
        <v>Jamia Masjid Qaziya Nawali Jhang</v>
      </c>
      <c r="F808" s="10" t="str">
        <f>IFERROR(__xludf.DUMMYFUNCTION("""COMPUTED_VALUE"""),"vemox")</f>
        <v>vemox</v>
      </c>
      <c r="G808" s="10" t="str">
        <f>IFERROR(__xludf.DUMMYFUNCTION("""COMPUTED_VALUE"""),"No")</f>
        <v>No</v>
      </c>
      <c r="H808" s="10"/>
      <c r="I808" s="10"/>
      <c r="J808" s="10"/>
      <c r="K808" s="10">
        <f>IFERROR(__xludf.DUMMYFUNCTION("""COMPUTED_VALUE"""),0.0)</f>
        <v>0</v>
      </c>
      <c r="L808" s="10">
        <f>IFERROR(__xludf.DUMMYFUNCTION("""COMPUTED_VALUE"""),0.0)</f>
        <v>0</v>
      </c>
      <c r="M808" s="10">
        <f>IFERROR(__xludf.DUMMYFUNCTION("""COMPUTED_VALUE"""),0.0)</f>
        <v>0</v>
      </c>
      <c r="N808" s="10">
        <f>IFERROR(__xludf.DUMMYFUNCTION("""COMPUTED_VALUE"""),0.0)</f>
        <v>0</v>
      </c>
      <c r="O808" s="10">
        <f>IFERROR(__xludf.DUMMYFUNCTION("""COMPUTED_VALUE"""),0.0)</f>
        <v>0</v>
      </c>
      <c r="P808" s="10">
        <f>IFERROR(__xludf.DUMMYFUNCTION("""COMPUTED_VALUE"""),0.0)</f>
        <v>0</v>
      </c>
      <c r="Q808" s="10" t="str">
        <f>IFERROR(__xludf.DUMMYFUNCTION("""COMPUTED_VALUE"""),"No")</f>
        <v>No</v>
      </c>
      <c r="R808" s="10" t="str">
        <f>IFERROR(__xludf.DUMMYFUNCTION("""COMPUTED_VALUE"""),"No")</f>
        <v>No</v>
      </c>
      <c r="S808" s="10" t="str">
        <f>IFERROR(__xludf.DUMMYFUNCTION("""COMPUTED_VALUE"""),"No")</f>
        <v>No</v>
      </c>
      <c r="T808" s="10">
        <f>IFERROR(__xludf.DUMMYFUNCTION("""COMPUTED_VALUE"""),0.0)</f>
        <v>0</v>
      </c>
      <c r="U808" s="10">
        <f>IFERROR(__xludf.DUMMYFUNCTION("""COMPUTED_VALUE"""),0.0)</f>
        <v>0</v>
      </c>
      <c r="V808" s="10" t="str">
        <f>IFERROR(__xludf.DUMMYFUNCTION("""COMPUTED_VALUE"""),"درود پاک کی اہمیت")</f>
        <v>درود پاک کی اہمیت</v>
      </c>
      <c r="W808" s="10" t="str">
        <f>IFERROR(__xludf.DUMMYFUNCTION("""COMPUTED_VALUE"""),"درود پاک کی اہمیت و فضیلت کو بیان کیا گیا")</f>
        <v>درود پاک کی اہمیت و فضیلت کو بیان کیا گیا</v>
      </c>
      <c r="X808" s="10">
        <f>IFERROR(__xludf.DUMMYFUNCTION("""COMPUTED_VALUE"""),10.0)</f>
        <v>10</v>
      </c>
      <c r="Y808" s="10">
        <f>IFERROR(__xludf.DUMMYFUNCTION("""COMPUTED_VALUE"""),2.0)</f>
        <v>2</v>
      </c>
      <c r="Z808" s="10">
        <f>IFERROR(__xludf.DUMMYFUNCTION("""COMPUTED_VALUE"""),0.0)</f>
        <v>0</v>
      </c>
      <c r="AA808" s="10">
        <f>IFERROR(__xludf.DUMMYFUNCTION("""COMPUTED_VALUE"""),10.0)</f>
        <v>10</v>
      </c>
      <c r="AB808" s="10">
        <f>IFERROR(__xludf.DUMMYFUNCTION("""COMPUTED_VALUE"""),2.0)</f>
        <v>2</v>
      </c>
      <c r="AC808" s="10">
        <f>IFERROR(__xludf.DUMMYFUNCTION("""COMPUTED_VALUE"""),0.0)</f>
        <v>0</v>
      </c>
      <c r="AD808" s="10">
        <f>IFERROR(__xludf.DUMMYFUNCTION("""COMPUTED_VALUE"""),0.0)</f>
        <v>0</v>
      </c>
      <c r="AE808" s="10">
        <f>IFERROR(__xludf.DUMMYFUNCTION("""COMPUTED_VALUE"""),0.0)</f>
        <v>0</v>
      </c>
      <c r="AF808" s="10">
        <f>IFERROR(__xludf.DUMMYFUNCTION("""COMPUTED_VALUE"""),6.0)</f>
        <v>6</v>
      </c>
      <c r="AG808" s="10">
        <f>IFERROR(__xludf.DUMMYFUNCTION("""COMPUTED_VALUE"""),8.0)</f>
        <v>8</v>
      </c>
      <c r="AH808" s="10">
        <f>IFERROR(__xludf.DUMMYFUNCTION("""COMPUTED_VALUE"""),0.0)</f>
        <v>0</v>
      </c>
      <c r="AI808" s="10">
        <f>IFERROR(__xludf.DUMMYFUNCTION("""COMPUTED_VALUE"""),8.0)</f>
        <v>8</v>
      </c>
      <c r="AJ808" s="11" t="str">
        <f>IFERROR(__xludf.DUMMYFUNCTION("""COMPUTED_VALUE"""),"https://drive.google.com/open?id=1CSH9uNSq2T9A7cAU6XeUu342WZwRTmk-")</f>
        <v>https://drive.google.com/open?id=1CSH9uNSq2T9A7cAU6XeUu342WZwRTmk-</v>
      </c>
      <c r="AK808" s="12" t="str">
        <f>IFERROR(__xludf.DUMMYFUNCTION("""COMPUTED_VALUE"""),"there is a lot of distortion in audio difficult to understand improve audio quality ")</f>
        <v>there is a lot of distortion in audio difficult to understand improve audio quality </v>
      </c>
      <c r="AL808" s="12"/>
      <c r="AM808" s="12"/>
      <c r="AN808" s="12" t="str">
        <f>IFERROR(__xludf.DUMMYFUNCTION("""COMPUTED_VALUE"""),"1st week")</f>
        <v>1st week</v>
      </c>
      <c r="AO808" s="13">
        <v>1.0</v>
      </c>
      <c r="AX808" s="17"/>
    </row>
    <row r="809">
      <c r="B809" s="9">
        <f>IFERROR(__xludf.DUMMYFUNCTION("""COMPUTED_VALUE"""),45964.78079130787)</f>
        <v>45964.78079</v>
      </c>
      <c r="C809" s="10" t="str">
        <f>IFERROR(__xludf.DUMMYFUNCTION("""COMPUTED_VALUE"""),"Maham")</f>
        <v>Maham</v>
      </c>
      <c r="D809" s="10" t="str">
        <f>IFERROR(__xludf.DUMMYFUNCTION("""COMPUTED_VALUE"""),"03218118680")</f>
        <v>03218118680</v>
      </c>
      <c r="E809" s="10" t="str">
        <f>IFERROR(__xludf.DUMMYFUNCTION("""COMPUTED_VALUE"""),"Jamia Masjid Hanfiya Gujra Basti Faisalabad")</f>
        <v>Jamia Masjid Hanfiya Gujra Basti Faisalabad</v>
      </c>
      <c r="F809" s="10" t="str">
        <f>IFERROR(__xludf.DUMMYFUNCTION("""COMPUTED_VALUE"""),"mxebb")</f>
        <v>mxebb</v>
      </c>
      <c r="G809" s="10" t="str">
        <f>IFERROR(__xludf.DUMMYFUNCTION("""COMPUTED_VALUE"""),"Yes")</f>
        <v>Yes</v>
      </c>
      <c r="H809" s="10">
        <f>IFERROR(__xludf.DUMMYFUNCTION("""COMPUTED_VALUE"""),4.0)</f>
        <v>4</v>
      </c>
      <c r="I809" s="10">
        <f>IFERROR(__xludf.DUMMYFUNCTION("""COMPUTED_VALUE"""),6.0)</f>
        <v>6</v>
      </c>
      <c r="J809" s="10">
        <f>IFERROR(__xludf.DUMMYFUNCTION("""COMPUTED_VALUE"""),9.0)</f>
        <v>9</v>
      </c>
      <c r="K809" s="10">
        <f>IFERROR(__xludf.DUMMYFUNCTION("""COMPUTED_VALUE"""),1.0)</f>
        <v>1</v>
      </c>
      <c r="L809" s="10">
        <f>IFERROR(__xludf.DUMMYFUNCTION("""COMPUTED_VALUE"""),9.0)</f>
        <v>9</v>
      </c>
      <c r="M809" s="10">
        <f>IFERROR(__xludf.DUMMYFUNCTION("""COMPUTED_VALUE"""),0.0)</f>
        <v>0</v>
      </c>
      <c r="N809" s="10">
        <f>IFERROR(__xludf.DUMMYFUNCTION("""COMPUTED_VALUE"""),9.0)</f>
        <v>9</v>
      </c>
      <c r="O809" s="10">
        <f>IFERROR(__xludf.DUMMYFUNCTION("""COMPUTED_VALUE"""),0.0)</f>
        <v>0</v>
      </c>
      <c r="P809" s="10">
        <f>IFERROR(__xludf.DUMMYFUNCTION("""COMPUTED_VALUE"""),6.0)</f>
        <v>6</v>
      </c>
      <c r="Q809" s="10" t="str">
        <f>IFERROR(__xludf.DUMMYFUNCTION("""COMPUTED_VALUE"""),"No")</f>
        <v>No</v>
      </c>
      <c r="R809" s="10" t="str">
        <f>IFERROR(__xludf.DUMMYFUNCTION("""COMPUTED_VALUE"""),"No")</f>
        <v>No</v>
      </c>
      <c r="S809" s="10" t="str">
        <f>IFERROR(__xludf.DUMMYFUNCTION("""COMPUTED_VALUE"""),"No")</f>
        <v>No</v>
      </c>
      <c r="T809" s="10">
        <f>IFERROR(__xludf.DUMMYFUNCTION("""COMPUTED_VALUE"""),0.0)</f>
        <v>0</v>
      </c>
      <c r="U809" s="10">
        <f>IFERROR(__xludf.DUMMYFUNCTION("""COMPUTED_VALUE"""),2.0)</f>
        <v>2</v>
      </c>
      <c r="V809" s="10" t="str">
        <f>IFERROR(__xludf.DUMMYFUNCTION("""COMPUTED_VALUE"""),"پڑوسیوں کے حقوق کو بیان کیا گیا اور بہنوں کو وراثت میں حصہ")</f>
        <v>پڑوسیوں کے حقوق کو بیان کیا گیا اور بہنوں کو وراثت میں حصہ</v>
      </c>
      <c r="W809" s="10" t="str">
        <f>IFERROR(__xludf.DUMMYFUNCTION("""COMPUTED_VALUE"""),"پڑوسیوں کے حقوق کو بیان کیا گیا قرانی ایات اور حدیث مبارکہ کی روشنی میں اور بہنوں کو وراثت میں حصہ دو چاہے وہ یہ بھی کہہ دیں کہ ہم نے تمہیں معاف کیا لیکن پھر بھی ان کو حصہ دو")</f>
        <v>پڑوسیوں کے حقوق کو بیان کیا گیا قرانی ایات اور حدیث مبارکہ کی روشنی میں اور بہنوں کو وراثت میں حصہ دو چاہے وہ یہ بھی کہہ دیں کہ ہم نے تمہیں معاف کیا لیکن پھر بھی ان کو حصہ دو</v>
      </c>
      <c r="X809" s="10">
        <f>IFERROR(__xludf.DUMMYFUNCTION("""COMPUTED_VALUE"""),2.0)</f>
        <v>2</v>
      </c>
      <c r="Y809" s="10">
        <f>IFERROR(__xludf.DUMMYFUNCTION("""COMPUTED_VALUE"""),8.0)</f>
        <v>8</v>
      </c>
      <c r="Z809" s="10">
        <f>IFERROR(__xludf.DUMMYFUNCTION("""COMPUTED_VALUE"""),8.0)</f>
        <v>8</v>
      </c>
      <c r="AA809" s="10">
        <f>IFERROR(__xludf.DUMMYFUNCTION("""COMPUTED_VALUE"""),7.0)</f>
        <v>7</v>
      </c>
      <c r="AB809" s="10">
        <f>IFERROR(__xludf.DUMMYFUNCTION("""COMPUTED_VALUE"""),6.0)</f>
        <v>6</v>
      </c>
      <c r="AC809" s="10">
        <f>IFERROR(__xludf.DUMMYFUNCTION("""COMPUTED_VALUE"""),1.0)</f>
        <v>1</v>
      </c>
      <c r="AD809" s="10">
        <f>IFERROR(__xludf.DUMMYFUNCTION("""COMPUTED_VALUE"""),4.0)</f>
        <v>4</v>
      </c>
      <c r="AE809" s="10">
        <f>IFERROR(__xludf.DUMMYFUNCTION("""COMPUTED_VALUE"""),2.0)</f>
        <v>2</v>
      </c>
      <c r="AF809" s="10">
        <f>IFERROR(__xludf.DUMMYFUNCTION("""COMPUTED_VALUE"""),4.0)</f>
        <v>4</v>
      </c>
      <c r="AG809" s="10">
        <f>IFERROR(__xludf.DUMMYFUNCTION("""COMPUTED_VALUE"""),8.0)</f>
        <v>8</v>
      </c>
      <c r="AH809" s="10">
        <f>IFERROR(__xludf.DUMMYFUNCTION("""COMPUTED_VALUE"""),0.0)</f>
        <v>0</v>
      </c>
      <c r="AI809" s="10">
        <f>IFERROR(__xludf.DUMMYFUNCTION("""COMPUTED_VALUE"""),9.0)</f>
        <v>9</v>
      </c>
      <c r="AJ809" s="11" t="str">
        <f>IFERROR(__xludf.DUMMYFUNCTION("""COMPUTED_VALUE"""),"https://drive.google.com/open?id=1YXBC3NlOIdQ2gA231B6ugUZJZjc_Qqny")</f>
        <v>https://drive.google.com/open?id=1YXBC3NlOIdQ2gA231B6ugUZJZjc_Qqny</v>
      </c>
      <c r="AK809" s="12"/>
      <c r="AL809" s="12" t="str">
        <f>IFERROR(__xludf.DUMMYFUNCTION("""COMPUTED_VALUE"""),"Yes")</f>
        <v>Yes</v>
      </c>
      <c r="AM809" s="15">
        <f>IFERROR(__xludf.DUMMYFUNCTION("""COMPUTED_VALUE"""),0.8)</f>
        <v>0.8</v>
      </c>
      <c r="AN809" s="12" t="str">
        <f>IFERROR(__xludf.DUMMYFUNCTION("""COMPUTED_VALUE"""),"2nd week")</f>
        <v>2nd week</v>
      </c>
      <c r="AO809" s="13">
        <v>2.0</v>
      </c>
      <c r="AX809" s="17"/>
    </row>
    <row r="810">
      <c r="B810" s="9">
        <f>IFERROR(__xludf.DUMMYFUNCTION("""COMPUTED_VALUE"""),45965.39126747685)</f>
        <v>45965.39127</v>
      </c>
      <c r="C810" s="10" t="str">
        <f>IFERROR(__xludf.DUMMYFUNCTION("""COMPUTED_VALUE"""),"Maham")</f>
        <v>Maham</v>
      </c>
      <c r="D810" s="10" t="str">
        <f>IFERROR(__xludf.DUMMYFUNCTION("""COMPUTED_VALUE"""),"03218118680")</f>
        <v>03218118680</v>
      </c>
      <c r="E810" s="10" t="str">
        <f>IFERROR(__xludf.DUMMYFUNCTION("""COMPUTED_VALUE"""),"Jamia Masjid Gulzar Madina Gala Mandi Ameem Pura")</f>
        <v>Jamia Masjid Gulzar Madina Gala Mandi Ameem Pura</v>
      </c>
      <c r="F810" s="10" t="str">
        <f>IFERROR(__xludf.DUMMYFUNCTION("""COMPUTED_VALUE"""),"dkwam")</f>
        <v>dkwam</v>
      </c>
      <c r="G810" s="10" t="str">
        <f>IFERROR(__xludf.DUMMYFUNCTION("""COMPUTED_VALUE"""),"Yes")</f>
        <v>Yes</v>
      </c>
      <c r="H810" s="10">
        <f>IFERROR(__xludf.DUMMYFUNCTION("""COMPUTED_VALUE"""),2.0)</f>
        <v>2</v>
      </c>
      <c r="I810" s="10">
        <f>IFERROR(__xludf.DUMMYFUNCTION("""COMPUTED_VALUE"""),8.0)</f>
        <v>8</v>
      </c>
      <c r="J810" s="10">
        <f>IFERROR(__xludf.DUMMYFUNCTION("""COMPUTED_VALUE"""),4.0)</f>
        <v>4</v>
      </c>
      <c r="K810" s="10">
        <f>IFERROR(__xludf.DUMMYFUNCTION("""COMPUTED_VALUE"""),4.0)</f>
        <v>4</v>
      </c>
      <c r="L810" s="10">
        <f>IFERROR(__xludf.DUMMYFUNCTION("""COMPUTED_VALUE"""),0.0)</f>
        <v>0</v>
      </c>
      <c r="M810" s="10">
        <f>IFERROR(__xludf.DUMMYFUNCTION("""COMPUTED_VALUE"""),2.0)</f>
        <v>2</v>
      </c>
      <c r="N810" s="10">
        <f>IFERROR(__xludf.DUMMYFUNCTION("""COMPUTED_VALUE"""),0.0)</f>
        <v>0</v>
      </c>
      <c r="O810" s="10">
        <f>IFERROR(__xludf.DUMMYFUNCTION("""COMPUTED_VALUE"""),4.0)</f>
        <v>4</v>
      </c>
      <c r="P810" s="10">
        <f>IFERROR(__xludf.DUMMYFUNCTION("""COMPUTED_VALUE"""),0.0)</f>
        <v>0</v>
      </c>
      <c r="Q810" s="10" t="str">
        <f>IFERROR(__xludf.DUMMYFUNCTION("""COMPUTED_VALUE"""),"No")</f>
        <v>No</v>
      </c>
      <c r="R810" s="10" t="str">
        <f>IFERROR(__xludf.DUMMYFUNCTION("""COMPUTED_VALUE"""),"No")</f>
        <v>No</v>
      </c>
      <c r="S810" s="10" t="str">
        <f>IFERROR(__xludf.DUMMYFUNCTION("""COMPUTED_VALUE"""),"No")</f>
        <v>No</v>
      </c>
      <c r="T810" s="10">
        <f>IFERROR(__xludf.DUMMYFUNCTION("""COMPUTED_VALUE"""),1.0)</f>
        <v>1</v>
      </c>
      <c r="U810" s="10">
        <f>IFERROR(__xludf.DUMMYFUNCTION("""COMPUTED_VALUE"""),0.0)</f>
        <v>0</v>
      </c>
      <c r="V810" s="10" t="str">
        <f>IFERROR(__xludf.DUMMYFUNCTION("""COMPUTED_VALUE"""),"عورت کو ملازمت اور علم حاصل کرنے کا حق حاصل ہے لیکن پردے کے اندر اور نبی کریم صلی اللہ علیہ وسلم کے معجزات بیان کیے حسن اخلاق")</f>
        <v>عورت کو ملازمت اور علم حاصل کرنے کا حق حاصل ہے لیکن پردے کے اندر اور نبی کریم صلی اللہ علیہ وسلم کے معجزات بیان کیے حسن اخلاق</v>
      </c>
      <c r="W810" s="10" t="str">
        <f>IFERROR(__xludf.DUMMYFUNCTION("""COMPUTED_VALUE"""),"عورت ملازمت کرے اور حق ہے اس کو علم حاصل کرنے کا لیکن چار دیواری کے اندر رہتے ہوئے پردے کے انتظام میں شریعت محمدی صلی اللہ علیہ وسلم کو اپنا کر اور نبی کریم صلی اللہ علیہ وسلم کے معجزات بیان کیے جب نبی کریم صلی اللہ علیہ وسلم حضرت جابر کے گھر دعوت کے لیے "&amp;"گئے اور اپنے قریب بھائیوں سے پیار محبت سے پیش ائیں")</f>
        <v>عورت ملازمت کرے اور حق ہے اس کو علم حاصل کرنے کا لیکن چار دیواری کے اندر رہتے ہوئے پردے کے انتظام میں شریعت محمدی صلی اللہ علیہ وسلم کو اپنا کر اور نبی کریم صلی اللہ علیہ وسلم کے معجزات بیان کیے جب نبی کریم صلی اللہ علیہ وسلم حضرت جابر کے گھر دعوت کے لیے گئے اور اپنے قریب بھائیوں سے پیار محبت سے پیش ائیں</v>
      </c>
      <c r="X810" s="10">
        <f>IFERROR(__xludf.DUMMYFUNCTION("""COMPUTED_VALUE"""),6.0)</f>
        <v>6</v>
      </c>
      <c r="Y810" s="10">
        <f>IFERROR(__xludf.DUMMYFUNCTION("""COMPUTED_VALUE"""),4.0)</f>
        <v>4</v>
      </c>
      <c r="Z810" s="10">
        <f>IFERROR(__xludf.DUMMYFUNCTION("""COMPUTED_VALUE"""),6.0)</f>
        <v>6</v>
      </c>
      <c r="AA810" s="10">
        <f>IFERROR(__xludf.DUMMYFUNCTION("""COMPUTED_VALUE"""),8.0)</f>
        <v>8</v>
      </c>
      <c r="AB810" s="10">
        <f>IFERROR(__xludf.DUMMYFUNCTION("""COMPUTED_VALUE"""),8.0)</f>
        <v>8</v>
      </c>
      <c r="AC810" s="10">
        <f>IFERROR(__xludf.DUMMYFUNCTION("""COMPUTED_VALUE"""),1.0)</f>
        <v>1</v>
      </c>
      <c r="AD810" s="10">
        <f>IFERROR(__xludf.DUMMYFUNCTION("""COMPUTED_VALUE"""),3.0)</f>
        <v>3</v>
      </c>
      <c r="AE810" s="10">
        <f>IFERROR(__xludf.DUMMYFUNCTION("""COMPUTED_VALUE"""),0.0)</f>
        <v>0</v>
      </c>
      <c r="AF810" s="10">
        <f>IFERROR(__xludf.DUMMYFUNCTION("""COMPUTED_VALUE"""),5.0)</f>
        <v>5</v>
      </c>
      <c r="AG810" s="10">
        <f>IFERROR(__xludf.DUMMYFUNCTION("""COMPUTED_VALUE"""),8.0)</f>
        <v>8</v>
      </c>
      <c r="AH810" s="10">
        <f>IFERROR(__xludf.DUMMYFUNCTION("""COMPUTED_VALUE"""),1.0)</f>
        <v>1</v>
      </c>
      <c r="AI810" s="10">
        <f>IFERROR(__xludf.DUMMYFUNCTION("""COMPUTED_VALUE"""),8.0)</f>
        <v>8</v>
      </c>
      <c r="AJ810" s="11" t="str">
        <f>IFERROR(__xludf.DUMMYFUNCTION("""COMPUTED_VALUE"""),"https://drive.google.com/open?id=1X590KD6YZjW9YirZux1ukNMRvDngbNTg")</f>
        <v>https://drive.google.com/open?id=1X590KD6YZjW9YirZux1ukNMRvDngbNTg</v>
      </c>
      <c r="AK810" s="12"/>
      <c r="AL810" s="12" t="str">
        <f>IFERROR(__xludf.DUMMYFUNCTION("""COMPUTED_VALUE"""),"Yes")</f>
        <v>Yes</v>
      </c>
      <c r="AM810" s="15">
        <f>IFERROR(__xludf.DUMMYFUNCTION("""COMPUTED_VALUE"""),0.3)</f>
        <v>0.3</v>
      </c>
      <c r="AN810" s="12" t="str">
        <f>IFERROR(__xludf.DUMMYFUNCTION("""COMPUTED_VALUE"""),"2nd week")</f>
        <v>2nd week</v>
      </c>
      <c r="AO810" s="13">
        <v>2.0</v>
      </c>
      <c r="AX810" s="17"/>
    </row>
    <row r="811">
      <c r="B811" s="9">
        <f>IFERROR(__xludf.DUMMYFUNCTION("""COMPUTED_VALUE"""),45965.421921180554)</f>
        <v>45965.42192</v>
      </c>
      <c r="C811" s="10" t="str">
        <f>IFERROR(__xludf.DUMMYFUNCTION("""COMPUTED_VALUE"""),"Maham")</f>
        <v>Maham</v>
      </c>
      <c r="D811" s="10" t="str">
        <f>IFERROR(__xludf.DUMMYFUNCTION("""COMPUTED_VALUE"""),"03218118680")</f>
        <v>03218118680</v>
      </c>
      <c r="E811" s="10" t="str">
        <f>IFERROR(__xludf.DUMMYFUNCTION("""COMPUTED_VALUE"""),"Jamia Masjid Bukhari Shah Alyaas Park Faisalabad")</f>
        <v>Jamia Masjid Bukhari Shah Alyaas Park Faisalabad</v>
      </c>
      <c r="F811" s="10" t="str">
        <f>IFERROR(__xludf.DUMMYFUNCTION("""COMPUTED_VALUE"""),"odqlq")</f>
        <v>odqlq</v>
      </c>
      <c r="G811" s="10" t="str">
        <f>IFERROR(__xludf.DUMMYFUNCTION("""COMPUTED_VALUE"""),"No")</f>
        <v>No</v>
      </c>
      <c r="H811" s="10"/>
      <c r="I811" s="10"/>
      <c r="J811" s="10"/>
      <c r="K811" s="10">
        <f>IFERROR(__xludf.DUMMYFUNCTION("""COMPUTED_VALUE"""),10.0)</f>
        <v>10</v>
      </c>
      <c r="L811" s="10">
        <f>IFERROR(__xludf.DUMMYFUNCTION("""COMPUTED_VALUE"""),0.0)</f>
        <v>0</v>
      </c>
      <c r="M811" s="10">
        <f>IFERROR(__xludf.DUMMYFUNCTION("""COMPUTED_VALUE"""),10.0)</f>
        <v>10</v>
      </c>
      <c r="N811" s="10">
        <f>IFERROR(__xludf.DUMMYFUNCTION("""COMPUTED_VALUE"""),0.0)</f>
        <v>0</v>
      </c>
      <c r="O811" s="10">
        <f>IFERROR(__xludf.DUMMYFUNCTION("""COMPUTED_VALUE"""),6.0)</f>
        <v>6</v>
      </c>
      <c r="P811" s="10">
        <f>IFERROR(__xludf.DUMMYFUNCTION("""COMPUTED_VALUE"""),0.0)</f>
        <v>0</v>
      </c>
      <c r="Q811" s="10" t="str">
        <f>IFERROR(__xludf.DUMMYFUNCTION("""COMPUTED_VALUE"""),"No")</f>
        <v>No</v>
      </c>
      <c r="R811" s="10" t="str">
        <f>IFERROR(__xludf.DUMMYFUNCTION("""COMPUTED_VALUE"""),"No")</f>
        <v>No</v>
      </c>
      <c r="S811" s="10" t="str">
        <f>IFERROR(__xludf.DUMMYFUNCTION("""COMPUTED_VALUE"""),"No")</f>
        <v>No</v>
      </c>
      <c r="T811" s="10">
        <f>IFERROR(__xludf.DUMMYFUNCTION("""COMPUTED_VALUE"""),0.0)</f>
        <v>0</v>
      </c>
      <c r="U811" s="10">
        <f>IFERROR(__xludf.DUMMYFUNCTION("""COMPUTED_VALUE"""),0.0)</f>
        <v>0</v>
      </c>
      <c r="V811" s="10" t="str">
        <f>IFERROR(__xludf.DUMMYFUNCTION("""COMPUTED_VALUE"""),"عورتوں کے حقوق")</f>
        <v>عورتوں کے حقوق</v>
      </c>
      <c r="W811" s="10" t="str">
        <f>IFERROR(__xludf.DUMMYFUNCTION("""COMPUTED_VALUE"""),"عورتوں کا معاشی سیاسی اقتصادی سماجی دینی کردار اور اس کی اہمیت")</f>
        <v>عورتوں کا معاشی سیاسی اقتصادی سماجی دینی کردار اور اس کی اہمیت</v>
      </c>
      <c r="X811" s="10">
        <f>IFERROR(__xludf.DUMMYFUNCTION("""COMPUTED_VALUE"""),0.0)</f>
        <v>0</v>
      </c>
      <c r="Y811" s="10">
        <f>IFERROR(__xludf.DUMMYFUNCTION("""COMPUTED_VALUE"""),10.0)</f>
        <v>10</v>
      </c>
      <c r="Z811" s="10">
        <f>IFERROR(__xludf.DUMMYFUNCTION("""COMPUTED_VALUE"""),6.0)</f>
        <v>6</v>
      </c>
      <c r="AA811" s="10">
        <f>IFERROR(__xludf.DUMMYFUNCTION("""COMPUTED_VALUE"""),9.0)</f>
        <v>9</v>
      </c>
      <c r="AB811" s="10">
        <f>IFERROR(__xludf.DUMMYFUNCTION("""COMPUTED_VALUE"""),8.0)</f>
        <v>8</v>
      </c>
      <c r="AC811" s="10">
        <f>IFERROR(__xludf.DUMMYFUNCTION("""COMPUTED_VALUE"""),5.0)</f>
        <v>5</v>
      </c>
      <c r="AD811" s="10">
        <f>IFERROR(__xludf.DUMMYFUNCTION("""COMPUTED_VALUE"""),6.0)</f>
        <v>6</v>
      </c>
      <c r="AE811" s="10">
        <f>IFERROR(__xludf.DUMMYFUNCTION("""COMPUTED_VALUE"""),0.0)</f>
        <v>0</v>
      </c>
      <c r="AF811" s="10">
        <f>IFERROR(__xludf.DUMMYFUNCTION("""COMPUTED_VALUE"""),3.0)</f>
        <v>3</v>
      </c>
      <c r="AG811" s="10">
        <f>IFERROR(__xludf.DUMMYFUNCTION("""COMPUTED_VALUE"""),9.0)</f>
        <v>9</v>
      </c>
      <c r="AH811" s="10">
        <f>IFERROR(__xludf.DUMMYFUNCTION("""COMPUTED_VALUE"""),0.0)</f>
        <v>0</v>
      </c>
      <c r="AI811" s="10">
        <f>IFERROR(__xludf.DUMMYFUNCTION("""COMPUTED_VALUE"""),9.0)</f>
        <v>9</v>
      </c>
      <c r="AJ811" s="14"/>
      <c r="AK811" s="12"/>
      <c r="AL811" s="12"/>
      <c r="AM811" s="12"/>
      <c r="AN811" s="12"/>
      <c r="AO811" s="13">
        <v>2.0</v>
      </c>
      <c r="AX811" s="17"/>
    </row>
    <row r="812">
      <c r="B812" s="9">
        <f>IFERROR(__xludf.DUMMYFUNCTION("""COMPUTED_VALUE"""),45965.45835021991)</f>
        <v>45965.45835</v>
      </c>
      <c r="C812" s="10" t="str">
        <f>IFERROR(__xludf.DUMMYFUNCTION("""COMPUTED_VALUE"""),"Maham")</f>
        <v>Maham</v>
      </c>
      <c r="D812" s="10" t="str">
        <f>IFERROR(__xludf.DUMMYFUNCTION("""COMPUTED_VALUE"""),"03218118680")</f>
        <v>03218118680</v>
      </c>
      <c r="E812" s="10" t="str">
        <f>IFERROR(__xludf.DUMMYFUNCTION("""COMPUTED_VALUE"""),"Jamia Masjid Eid Ghah Madal Town B Faisalabad")</f>
        <v>Jamia Masjid Eid Ghah Madal Town B Faisalabad</v>
      </c>
      <c r="F812" s="10" t="str">
        <f>IFERROR(__xludf.DUMMYFUNCTION("""COMPUTED_VALUE"""),"vldwg")</f>
        <v>vldwg</v>
      </c>
      <c r="G812" s="10" t="str">
        <f>IFERROR(__xludf.DUMMYFUNCTION("""COMPUTED_VALUE"""),"Yes")</f>
        <v>Yes</v>
      </c>
      <c r="H812" s="10">
        <f>IFERROR(__xludf.DUMMYFUNCTION("""COMPUTED_VALUE"""),0.0)</f>
        <v>0</v>
      </c>
      <c r="I812" s="10">
        <f>IFERROR(__xludf.DUMMYFUNCTION("""COMPUTED_VALUE"""),10.0)</f>
        <v>10</v>
      </c>
      <c r="J812" s="10">
        <f>IFERROR(__xludf.DUMMYFUNCTION("""COMPUTED_VALUE"""),0.0)</f>
        <v>0</v>
      </c>
      <c r="K812" s="10">
        <f>IFERROR(__xludf.DUMMYFUNCTION("""COMPUTED_VALUE"""),0.0)</f>
        <v>0</v>
      </c>
      <c r="L812" s="10">
        <f>IFERROR(__xludf.DUMMYFUNCTION("""COMPUTED_VALUE"""),2.0)</f>
        <v>2</v>
      </c>
      <c r="M812" s="10">
        <f>IFERROR(__xludf.DUMMYFUNCTION("""COMPUTED_VALUE"""),0.0)</f>
        <v>0</v>
      </c>
      <c r="N812" s="10">
        <f>IFERROR(__xludf.DUMMYFUNCTION("""COMPUTED_VALUE"""),1.0)</f>
        <v>1</v>
      </c>
      <c r="O812" s="10">
        <f>IFERROR(__xludf.DUMMYFUNCTION("""COMPUTED_VALUE"""),0.0)</f>
        <v>0</v>
      </c>
      <c r="P812" s="10">
        <f>IFERROR(__xludf.DUMMYFUNCTION("""COMPUTED_VALUE"""),0.0)</f>
        <v>0</v>
      </c>
      <c r="Q812" s="10" t="str">
        <f>IFERROR(__xludf.DUMMYFUNCTION("""COMPUTED_VALUE"""),"No")</f>
        <v>No</v>
      </c>
      <c r="R812" s="10" t="str">
        <f>IFERROR(__xludf.DUMMYFUNCTION("""COMPUTED_VALUE"""),"No")</f>
        <v>No</v>
      </c>
      <c r="S812" s="10" t="str">
        <f>IFERROR(__xludf.DUMMYFUNCTION("""COMPUTED_VALUE"""),"No")</f>
        <v>No</v>
      </c>
      <c r="T812" s="10">
        <f>IFERROR(__xludf.DUMMYFUNCTION("""COMPUTED_VALUE"""),0.0)</f>
        <v>0</v>
      </c>
      <c r="U812" s="10">
        <f>IFERROR(__xludf.DUMMYFUNCTION("""COMPUTED_VALUE"""),0.0)</f>
        <v>0</v>
      </c>
      <c r="V812" s="10" t="str">
        <f>IFERROR(__xludf.DUMMYFUNCTION("""COMPUTED_VALUE"""),"حضور کریم صلی اللہ علیہ وسلم کی سیرت طیبہ")</f>
        <v>حضور کریم صلی اللہ علیہ وسلم کی سیرت طیبہ</v>
      </c>
      <c r="W812" s="10" t="str">
        <f>IFERROR(__xludf.DUMMYFUNCTION("""COMPUTED_VALUE"""),"حضور کریم صلی اللہ علیہ وسلم کی سیرت طیبہ کو بیان کیا گیا اور اپنے پڑوسی اپنے بھائیوں کا دل نہ دکھاؤ")</f>
        <v>حضور کریم صلی اللہ علیہ وسلم کی سیرت طیبہ کو بیان کیا گیا اور اپنے پڑوسی اپنے بھائیوں کا دل نہ دکھاؤ</v>
      </c>
      <c r="X812" s="10">
        <f>IFERROR(__xludf.DUMMYFUNCTION("""COMPUTED_VALUE"""),9.0)</f>
        <v>9</v>
      </c>
      <c r="Y812" s="10">
        <f>IFERROR(__xludf.DUMMYFUNCTION("""COMPUTED_VALUE"""),3.0)</f>
        <v>3</v>
      </c>
      <c r="Z812" s="10">
        <f>IFERROR(__xludf.DUMMYFUNCTION("""COMPUTED_VALUE"""),3.0)</f>
        <v>3</v>
      </c>
      <c r="AA812" s="10">
        <f>IFERROR(__xludf.DUMMYFUNCTION("""COMPUTED_VALUE"""),8.0)</f>
        <v>8</v>
      </c>
      <c r="AB812" s="10">
        <f>IFERROR(__xludf.DUMMYFUNCTION("""COMPUTED_VALUE"""),8.0)</f>
        <v>8</v>
      </c>
      <c r="AC812" s="10">
        <f>IFERROR(__xludf.DUMMYFUNCTION("""COMPUTED_VALUE"""),0.0)</f>
        <v>0</v>
      </c>
      <c r="AD812" s="10">
        <f>IFERROR(__xludf.DUMMYFUNCTION("""COMPUTED_VALUE"""),2.0)</f>
        <v>2</v>
      </c>
      <c r="AE812" s="10">
        <f>IFERROR(__xludf.DUMMYFUNCTION("""COMPUTED_VALUE"""),4.0)</f>
        <v>4</v>
      </c>
      <c r="AF812" s="10">
        <f>IFERROR(__xludf.DUMMYFUNCTION("""COMPUTED_VALUE"""),7.0)</f>
        <v>7</v>
      </c>
      <c r="AG812" s="10">
        <f>IFERROR(__xludf.DUMMYFUNCTION("""COMPUTED_VALUE"""),8.0)</f>
        <v>8</v>
      </c>
      <c r="AH812" s="10">
        <f>IFERROR(__xludf.DUMMYFUNCTION("""COMPUTED_VALUE"""),0.0)</f>
        <v>0</v>
      </c>
      <c r="AI812" s="10">
        <f>IFERROR(__xludf.DUMMYFUNCTION("""COMPUTED_VALUE"""),8.0)</f>
        <v>8</v>
      </c>
      <c r="AJ812" s="11" t="str">
        <f>IFERROR(__xludf.DUMMYFUNCTION("""COMPUTED_VALUE"""),"https://drive.google.com/open?id=1cTm-zGrlCkwKX8v24MGa3qu2obMfLBQh")</f>
        <v>https://drive.google.com/open?id=1cTm-zGrlCkwKX8v24MGa3qu2obMfLBQh</v>
      </c>
      <c r="AK812" s="12"/>
      <c r="AL812" s="12" t="str">
        <f>IFERROR(__xludf.DUMMYFUNCTION("""COMPUTED_VALUE"""),"Yes")</f>
        <v>Yes</v>
      </c>
      <c r="AM812" s="15">
        <f>IFERROR(__xludf.DUMMYFUNCTION("""COMPUTED_VALUE"""),0.0)</f>
        <v>0</v>
      </c>
      <c r="AN812" s="12" t="str">
        <f>IFERROR(__xludf.DUMMYFUNCTION("""COMPUTED_VALUE"""),"2nd week")</f>
        <v>2nd week</v>
      </c>
      <c r="AO812" s="13">
        <v>2.0</v>
      </c>
      <c r="AX812" s="17"/>
    </row>
    <row r="813">
      <c r="B813" s="9">
        <f>IFERROR(__xludf.DUMMYFUNCTION("""COMPUTED_VALUE"""),45967.10897678241)</f>
        <v>45967.10898</v>
      </c>
      <c r="C813" s="10" t="str">
        <f>IFERROR(__xludf.DUMMYFUNCTION("""COMPUTED_VALUE"""),"Atiqa ")</f>
        <v>Atiqa </v>
      </c>
      <c r="D813" s="10" t="str">
        <f>IFERROR(__xludf.DUMMYFUNCTION("""COMPUTED_VALUE"""),"03157519977")</f>
        <v>03157519977</v>
      </c>
      <c r="E813" s="10" t="str">
        <f>IFERROR(__xludf.DUMMYFUNCTION("""COMPUTED_VALUE"""),"Jamia Masjid Darbaar Nolakha Hazari Shahkot")</f>
        <v>Jamia Masjid Darbaar Nolakha Hazari Shahkot</v>
      </c>
      <c r="F813" s="10" t="str">
        <f>IFERROR(__xludf.DUMMYFUNCTION("""COMPUTED_VALUE"""),"epwte")</f>
        <v>epwte</v>
      </c>
      <c r="G813" s="10" t="str">
        <f>IFERROR(__xludf.DUMMYFUNCTION("""COMPUTED_VALUE"""),"Yes")</f>
        <v>Yes</v>
      </c>
      <c r="H813" s="10">
        <f>IFERROR(__xludf.DUMMYFUNCTION("""COMPUTED_VALUE"""),2.0)</f>
        <v>2</v>
      </c>
      <c r="I813" s="10">
        <f>IFERROR(__xludf.DUMMYFUNCTION("""COMPUTED_VALUE"""),8.0)</f>
        <v>8</v>
      </c>
      <c r="J813" s="10">
        <f>IFERROR(__xludf.DUMMYFUNCTION("""COMPUTED_VALUE"""),4.0)</f>
        <v>4</v>
      </c>
      <c r="K813" s="10">
        <f>IFERROR(__xludf.DUMMYFUNCTION("""COMPUTED_VALUE"""),4.0)</f>
        <v>4</v>
      </c>
      <c r="L813" s="10">
        <f>IFERROR(__xludf.DUMMYFUNCTION("""COMPUTED_VALUE"""),0.0)</f>
        <v>0</v>
      </c>
      <c r="M813" s="10">
        <f>IFERROR(__xludf.DUMMYFUNCTION("""COMPUTED_VALUE"""),2.0)</f>
        <v>2</v>
      </c>
      <c r="N813" s="10">
        <f>IFERROR(__xludf.DUMMYFUNCTION("""COMPUTED_VALUE"""),0.0)</f>
        <v>0</v>
      </c>
      <c r="O813" s="10">
        <f>IFERROR(__xludf.DUMMYFUNCTION("""COMPUTED_VALUE"""),0.0)</f>
        <v>0</v>
      </c>
      <c r="P813" s="10">
        <f>IFERROR(__xludf.DUMMYFUNCTION("""COMPUTED_VALUE"""),0.0)</f>
        <v>0</v>
      </c>
      <c r="Q813" s="10" t="str">
        <f>IFERROR(__xludf.DUMMYFUNCTION("""COMPUTED_VALUE"""),"No")</f>
        <v>No</v>
      </c>
      <c r="R813" s="10" t="str">
        <f>IFERROR(__xludf.DUMMYFUNCTION("""COMPUTED_VALUE"""),"No")</f>
        <v>No</v>
      </c>
      <c r="S813" s="10" t="str">
        <f>IFERROR(__xludf.DUMMYFUNCTION("""COMPUTED_VALUE"""),"No")</f>
        <v>No</v>
      </c>
      <c r="T813" s="10">
        <f>IFERROR(__xludf.DUMMYFUNCTION("""COMPUTED_VALUE"""),0.0)</f>
        <v>0</v>
      </c>
      <c r="U813" s="10">
        <f>IFERROR(__xludf.DUMMYFUNCTION("""COMPUTED_VALUE"""),0.0)</f>
        <v>0</v>
      </c>
      <c r="V813" s="10" t="str">
        <f>IFERROR(__xludf.DUMMYFUNCTION("""COMPUTED_VALUE"""),"۱۔ اطاعت مصطفی صلی اللہ علیہ والہ وسلم ۲۔  عورت کا مقام ")</f>
        <v>۱۔ اطاعت مصطفی صلی اللہ علیہ والہ وسلم ۲۔  عورت کا مقام </v>
      </c>
      <c r="W813" s="10" t="str">
        <f>IFERROR(__xludf.DUMMYFUNCTION("""COMPUTED_VALUE"""),"""اللہ تعالی کا ارشاد بیان کیا گیا جس میں حضور اکرم صلی اللہ علیہ وسلم کی اطاعت کا حکم دیا گیا، اللہ سے ڈرنے اور گناہوں کی معافی کا حکم دیا گیا ، امام کا کہنا کہ میرے علمائے دین نے ایک ہی بات مجھے سکھائی ، اگر دل میں ادب مصطفی صلی اللہ علیہ والہ وسلم نہ ہ"&amp;"وا  اللہ نے تمہاری نمازیں تمہارے منہ پر مار دینی ہے ، ادب سب سے پہلا قرینہ ہے ، اپ صلی اللہ علیہ وسلم کے تمام احکامات اور فرمان کو تسلیم کر لیں ، امام کا اپنا ذاتی واقعہ بیان کرنا کہ جس میں سفر کے دوران ایک بس ڈرائیور کا تین چار باتوں کی تصدیق کرنے کا کہن"&amp;"ا اور امام کا ان کی تصدیق کرنا اور اس کا مناسب جواب دینا  ،  اسلام کا ا کر عورت کا مقام اجاگر کیا ، قبل اسلام عورتوں کے ساتھ لونڈیوں غلاموں اورنوکرانیوں  جیسا سلوک کیا جانا، ایک صحابی کا اپ صلی اللہ علیہ وسلم کی خدمت میں حاضر ہو کر عرض کرنا کہ میں نے اپنی"&amp;" بیٹی کو زندہ درگور کر دیا تھا ،  اپ صلی اللہ علیہ وسلم کا وصال کے وقت بھی اپنی زوجہ محترم عائشہ رضی اللہ تعالی عنہا کی گود میں سر رکھ کر ارام فرمانا ، امام کا عمرے کی روانگی کے لیے جانے کی تیاری کرنا اور بیوی کے مطالبہ  کرنے پر قرض لے کر اس اسے ساتھ لے ج"&amp;"انا کعبۃ اللہ کے کالے رنگ کے گلاب کو دیکھ کر انسان کو اپنے گناہ اور غلطیاں یاد انا ، امام کا کہنا کہ گنبد خضرہ پر اخری نظر پڑنے کی کافی حد بیان نہیں کی جا سکتی ۔
")</f>
        <v>"اللہ تعالی کا ارشاد بیان کیا گیا جس میں حضور اکرم صلی اللہ علیہ وسلم کی اطاعت کا حکم دیا گیا، اللہ سے ڈرنے اور گناہوں کی معافی کا حکم دیا گیا ، امام کا کہنا کہ میرے علمائے دین نے ایک ہی بات مجھے سکھائی ، اگر دل میں ادب مصطفی صلی اللہ علیہ والہ وسلم نہ ہوا  اللہ نے تمہاری نمازیں تمہارے منہ پر مار دینی ہے ، ادب سب سے پہلا قرینہ ہے ، اپ صلی اللہ علیہ وسلم کے تمام احکامات اور فرمان کو تسلیم کر لیں ، امام کا اپنا ذاتی واقعہ بیان کرنا کہ جس میں سفر کے دوران ایک بس ڈرائیور کا تین چار باتوں کی تصدیق کرنے کا کہنا اور امام کا ان کی تصدیق کرنا اور اس کا مناسب جواب دینا  ،  اسلام کا ا کر عورت کا مقام اجاگر کیا ، قبل اسلام عورتوں کے ساتھ لونڈیوں غلاموں اورنوکرانیوں  جیسا سلوک کیا جانا، ایک صحابی کا اپ صلی اللہ علیہ وسلم کی خدمت میں حاضر ہو کر عرض کرنا کہ میں نے اپنی بیٹی کو زندہ درگور کر دیا تھا ،  اپ صلی اللہ علیہ وسلم کا وصال کے وقت بھی اپنی زوجہ محترم عائشہ رضی اللہ تعالی عنہا کی گود میں سر رکھ کر ارام فرمانا ، امام کا عمرے کی روانگی کے لیے جانے کی تیاری کرنا اور بیوی کے مطالبہ  کرنے پر قرض لے کر اس اسے ساتھ لے جانا کعبۃ اللہ کے کالے رنگ کے گلاب کو دیکھ کر انسان کو اپنے گناہ اور غلطیاں یاد انا ، امام کا کہنا کہ گنبد خضرہ پر اخری نظر پڑنے کی کافی حد بیان نہیں کی جا سکتی ۔
</v>
      </c>
      <c r="X813" s="10">
        <f>IFERROR(__xludf.DUMMYFUNCTION("""COMPUTED_VALUE"""),6.0)</f>
        <v>6</v>
      </c>
      <c r="Y813" s="10">
        <f>IFERROR(__xludf.DUMMYFUNCTION("""COMPUTED_VALUE"""),4.0)</f>
        <v>4</v>
      </c>
      <c r="Z813" s="10">
        <f>IFERROR(__xludf.DUMMYFUNCTION("""COMPUTED_VALUE"""),5.0)</f>
        <v>5</v>
      </c>
      <c r="AA813" s="10">
        <f>IFERROR(__xludf.DUMMYFUNCTION("""COMPUTED_VALUE"""),8.0)</f>
        <v>8</v>
      </c>
      <c r="AB813" s="10">
        <f>IFERROR(__xludf.DUMMYFUNCTION("""COMPUTED_VALUE"""),5.0)</f>
        <v>5</v>
      </c>
      <c r="AC813" s="10">
        <f>IFERROR(__xludf.DUMMYFUNCTION("""COMPUTED_VALUE"""),2.0)</f>
        <v>2</v>
      </c>
      <c r="AD813" s="10">
        <f>IFERROR(__xludf.DUMMYFUNCTION("""COMPUTED_VALUE"""),3.0)</f>
        <v>3</v>
      </c>
      <c r="AE813" s="10">
        <f>IFERROR(__xludf.DUMMYFUNCTION("""COMPUTED_VALUE"""),0.0)</f>
        <v>0</v>
      </c>
      <c r="AF813" s="10">
        <f>IFERROR(__xludf.DUMMYFUNCTION("""COMPUTED_VALUE"""),7.0)</f>
        <v>7</v>
      </c>
      <c r="AG813" s="10">
        <f>IFERROR(__xludf.DUMMYFUNCTION("""COMPUTED_VALUE"""),8.0)</f>
        <v>8</v>
      </c>
      <c r="AH813" s="10">
        <f>IFERROR(__xludf.DUMMYFUNCTION("""COMPUTED_VALUE"""),0.0)</f>
        <v>0</v>
      </c>
      <c r="AI813" s="10">
        <f>IFERROR(__xludf.DUMMYFUNCTION("""COMPUTED_VALUE"""),7.0)</f>
        <v>7</v>
      </c>
      <c r="AJ813" s="11" t="str">
        <f>IFERROR(__xludf.DUMMYFUNCTION("""COMPUTED_VALUE"""),"https://drive.google.com/open?id=1G83kI0PunAuLNO57ws0GBekALp5Ruj2KL6h1inoDIPc")</f>
        <v>https://drive.google.com/open?id=1G83kI0PunAuLNO57ws0GBekALp5Ruj2KL6h1inoDIPc</v>
      </c>
      <c r="AK813" s="12"/>
      <c r="AL813" s="12" t="str">
        <f>IFERROR(__xludf.DUMMYFUNCTION("""COMPUTED_VALUE"""),"Yes")</f>
        <v>Yes</v>
      </c>
      <c r="AM813" s="15">
        <f>IFERROR(__xludf.DUMMYFUNCTION("""COMPUTED_VALUE"""),0.3)</f>
        <v>0.3</v>
      </c>
      <c r="AN813" s="12" t="str">
        <f>IFERROR(__xludf.DUMMYFUNCTION("""COMPUTED_VALUE"""),"1st week")</f>
        <v>1st week</v>
      </c>
      <c r="AO813" s="13">
        <v>1.0</v>
      </c>
      <c r="AX813" s="17"/>
    </row>
    <row r="814">
      <c r="B814" s="9">
        <f>IFERROR(__xludf.DUMMYFUNCTION("""COMPUTED_VALUE"""),45967.1382405787)</f>
        <v>45967.13824</v>
      </c>
      <c r="C814" s="10" t="str">
        <f>IFERROR(__xludf.DUMMYFUNCTION("""COMPUTED_VALUE"""),"Saira Shahzad ")</f>
        <v>Saira Shahzad </v>
      </c>
      <c r="D814" s="10" t="str">
        <f>IFERROR(__xludf.DUMMYFUNCTION("""COMPUTED_VALUE"""),"03114534696")</f>
        <v>03114534696</v>
      </c>
      <c r="E814" s="10" t="str">
        <f>IFERROR(__xludf.DUMMYFUNCTION("""COMPUTED_VALUE"""),"Jamia Masjid Muhammadiya Waqaf Yaseeni Kot Laal Wariyaam Jhang")</f>
        <v>Jamia Masjid Muhammadiya Waqaf Yaseeni Kot Laal Wariyaam Jhang</v>
      </c>
      <c r="F814" s="10" t="str">
        <f>IFERROR(__xludf.DUMMYFUNCTION("""COMPUTED_VALUE"""),"shksd")</f>
        <v>shksd</v>
      </c>
      <c r="G814" s="10" t="str">
        <f>IFERROR(__xludf.DUMMYFUNCTION("""COMPUTED_VALUE"""),"Yes")</f>
        <v>Yes</v>
      </c>
      <c r="H814" s="10">
        <f>IFERROR(__xludf.DUMMYFUNCTION("""COMPUTED_VALUE"""),0.0)</f>
        <v>0</v>
      </c>
      <c r="I814" s="10">
        <f>IFERROR(__xludf.DUMMYFUNCTION("""COMPUTED_VALUE"""),10.0)</f>
        <v>10</v>
      </c>
      <c r="J814" s="10">
        <f>IFERROR(__xludf.DUMMYFUNCTION("""COMPUTED_VALUE"""),0.0)</f>
        <v>0</v>
      </c>
      <c r="K814" s="10">
        <f>IFERROR(__xludf.DUMMYFUNCTION("""COMPUTED_VALUE"""),0.0)</f>
        <v>0</v>
      </c>
      <c r="L814" s="10">
        <f>IFERROR(__xludf.DUMMYFUNCTION("""COMPUTED_VALUE"""),0.0)</f>
        <v>0</v>
      </c>
      <c r="M814" s="10">
        <f>IFERROR(__xludf.DUMMYFUNCTION("""COMPUTED_VALUE"""),0.0)</f>
        <v>0</v>
      </c>
      <c r="N814" s="10">
        <f>IFERROR(__xludf.DUMMYFUNCTION("""COMPUTED_VALUE"""),0.0)</f>
        <v>0</v>
      </c>
      <c r="O814" s="10">
        <f>IFERROR(__xludf.DUMMYFUNCTION("""COMPUTED_VALUE"""),0.0)</f>
        <v>0</v>
      </c>
      <c r="P814" s="10">
        <f>IFERROR(__xludf.DUMMYFUNCTION("""COMPUTED_VALUE"""),0.0)</f>
        <v>0</v>
      </c>
      <c r="Q814" s="10" t="str">
        <f>IFERROR(__xludf.DUMMYFUNCTION("""COMPUTED_VALUE"""),"No")</f>
        <v>No</v>
      </c>
      <c r="R814" s="10" t="str">
        <f>IFERROR(__xludf.DUMMYFUNCTION("""COMPUTED_VALUE"""),"No")</f>
        <v>No</v>
      </c>
      <c r="S814" s="10" t="str">
        <f>IFERROR(__xludf.DUMMYFUNCTION("""COMPUTED_VALUE"""),"No")</f>
        <v>No</v>
      </c>
      <c r="T814" s="10">
        <f>IFERROR(__xludf.DUMMYFUNCTION("""COMPUTED_VALUE"""),0.0)</f>
        <v>0</v>
      </c>
      <c r="U814" s="10">
        <f>IFERROR(__xludf.DUMMYFUNCTION("""COMPUTED_VALUE"""),0.0)</f>
        <v>0</v>
      </c>
      <c r="V814" s="10" t="str">
        <f>IFERROR(__xludf.DUMMYFUNCTION("""COMPUTED_VALUE"""),"محنت اور جدوجہد کی عظمت")</f>
        <v>محنت اور جدوجہد کی عظمت</v>
      </c>
      <c r="W814" s="10" t="str">
        <f>IFERROR(__xludf.DUMMYFUNCTION("""COMPUTED_VALUE"""),"امام نے اپنے بیان میں محنت اور جدوجہد کی اہمیت انسان کو بیان کی ہے امام نے انسان کو کہا ہے کہ اپنے اعمال کے اندر سستی پیدا نہ کرو جدوجہد کرو کیونکہ جن قوموں نے جدوجہد کی ہے وہی کامیاب ہیں  ہم اپنی روز مرہ کی زندگی میں جتنی چیزیں استعمال کرتے ہیں وہ ان ملک"&amp;"وں کی ہی ہیں جنہوں نے جدوجہد کی ہے ترقی کی ہے انگریزوں نے بہت ترقی کی ہے اس لیے وہ بہت آگے ہیں اور ہمارا اسلام بھی ہمیں جدوجہد اور محنت کرنے کی تعلیم دیتا ہے اس کی مثال ہمیں حضور پاک صلی اللہ علیہ والہ وسلم کی زندگی میں بھی ملتی ہے اس پر پورا واقعہ بیان ک"&amp;"یا ہے امام صاحب نے اس لیے ہمیں بھی چاہیے کہ ہم ہاتھ پر ہاتھ رکھ کر بیٹھے نہ رہیں بلکہ محنت کریں تاکہ کامیاب زندگی گزار سکیں")</f>
        <v>امام نے اپنے بیان میں محنت اور جدوجہد کی اہمیت انسان کو بیان کی ہے امام نے انسان کو کہا ہے کہ اپنے اعمال کے اندر سستی پیدا نہ کرو جدوجہد کرو کیونکہ جن قوموں نے جدوجہد کی ہے وہی کامیاب ہیں  ہم اپنی روز مرہ کی زندگی میں جتنی چیزیں استعمال کرتے ہیں وہ ان ملکوں کی ہی ہیں جنہوں نے جدوجہد کی ہے ترقی کی ہے انگریزوں نے بہت ترقی کی ہے اس لیے وہ بہت آگے ہیں اور ہمارا اسلام بھی ہمیں جدوجہد اور محنت کرنے کی تعلیم دیتا ہے اس کی مثال ہمیں حضور پاک صلی اللہ علیہ والہ وسلم کی زندگی میں بھی ملتی ہے اس پر پورا واقعہ بیان کیا ہے امام صاحب نے اس لیے ہمیں بھی چاہیے کہ ہم ہاتھ پر ہاتھ رکھ کر بیٹھے نہ رہیں بلکہ محنت کریں تاکہ کامیاب زندگی گزار سکیں</v>
      </c>
      <c r="X814" s="10">
        <f>IFERROR(__xludf.DUMMYFUNCTION("""COMPUTED_VALUE"""),1.0)</f>
        <v>1</v>
      </c>
      <c r="Y814" s="10">
        <f>IFERROR(__xludf.DUMMYFUNCTION("""COMPUTED_VALUE"""),2.0)</f>
        <v>2</v>
      </c>
      <c r="Z814" s="10">
        <f>IFERROR(__xludf.DUMMYFUNCTION("""COMPUTED_VALUE"""),3.0)</f>
        <v>3</v>
      </c>
      <c r="AA814" s="10">
        <f>IFERROR(__xludf.DUMMYFUNCTION("""COMPUTED_VALUE"""),7.0)</f>
        <v>7</v>
      </c>
      <c r="AB814" s="10">
        <f>IFERROR(__xludf.DUMMYFUNCTION("""COMPUTED_VALUE"""),6.0)</f>
        <v>6</v>
      </c>
      <c r="AC814" s="10">
        <f>IFERROR(__xludf.DUMMYFUNCTION("""COMPUTED_VALUE"""),0.0)</f>
        <v>0</v>
      </c>
      <c r="AD814" s="10">
        <f>IFERROR(__xludf.DUMMYFUNCTION("""COMPUTED_VALUE"""),0.0)</f>
        <v>0</v>
      </c>
      <c r="AE814" s="10">
        <f>IFERROR(__xludf.DUMMYFUNCTION("""COMPUTED_VALUE"""),2.0)</f>
        <v>2</v>
      </c>
      <c r="AF814" s="10">
        <f>IFERROR(__xludf.DUMMYFUNCTION("""COMPUTED_VALUE"""),0.0)</f>
        <v>0</v>
      </c>
      <c r="AG814" s="10">
        <f>IFERROR(__xludf.DUMMYFUNCTION("""COMPUTED_VALUE"""),8.0)</f>
        <v>8</v>
      </c>
      <c r="AH814" s="10">
        <f>IFERROR(__xludf.DUMMYFUNCTION("""COMPUTED_VALUE"""),0.0)</f>
        <v>0</v>
      </c>
      <c r="AI814" s="10">
        <f>IFERROR(__xludf.DUMMYFUNCTION("""COMPUTED_VALUE"""),8.0)</f>
        <v>8</v>
      </c>
      <c r="AJ814" s="11" t="str">
        <f>IFERROR(__xludf.DUMMYFUNCTION("""COMPUTED_VALUE"""),"https://drive.google.com/open?id=1NS8hcHBkT-gjiSkm-FYkwLqQeAlGQ-_y8LGSm4iO--U")</f>
        <v>https://drive.google.com/open?id=1NS8hcHBkT-gjiSkm-FYkwLqQeAlGQ-_y8LGSm4iO--U</v>
      </c>
      <c r="AK814" s="12" t="str">
        <f>IFERROR(__xludf.DUMMYFUNCTION("""COMPUTED_VALUE"""),"No")</f>
        <v>No</v>
      </c>
      <c r="AL814" s="12" t="str">
        <f>IFERROR(__xludf.DUMMYFUNCTION("""COMPUTED_VALUE"""),"No")</f>
        <v>No</v>
      </c>
      <c r="AM814" s="15">
        <f>IFERROR(__xludf.DUMMYFUNCTION("""COMPUTED_VALUE"""),1.0)</f>
        <v>1</v>
      </c>
      <c r="AN814" s="12" t="str">
        <f>IFERROR(__xludf.DUMMYFUNCTION("""COMPUTED_VALUE"""),"1st week")</f>
        <v>1st week</v>
      </c>
      <c r="AO814" s="13">
        <v>1.0</v>
      </c>
      <c r="AX814" s="17"/>
    </row>
    <row r="815">
      <c r="B815" s="9">
        <f>IFERROR(__xludf.DUMMYFUNCTION("""COMPUTED_VALUE"""),45967.40220438657)</f>
        <v>45967.4022</v>
      </c>
      <c r="C815" s="10" t="str">
        <f>IFERROR(__xludf.DUMMYFUNCTION("""COMPUTED_VALUE"""),"Atiqa ")</f>
        <v>Atiqa </v>
      </c>
      <c r="D815" s="10" t="str">
        <f>IFERROR(__xludf.DUMMYFUNCTION("""COMPUTED_VALUE"""),"0315 7519977")</f>
        <v>0315 7519977</v>
      </c>
      <c r="E815" s="10" t="str">
        <f>IFERROR(__xludf.DUMMYFUNCTION("""COMPUTED_VALUE"""),"Jamia Masjid Markazi Rizwi Sangala Hill")</f>
        <v>Jamia Masjid Markazi Rizwi Sangala Hill</v>
      </c>
      <c r="F815" s="10" t="str">
        <f>IFERROR(__xludf.DUMMYFUNCTION("""COMPUTED_VALUE"""),"vmmfc")</f>
        <v>vmmfc</v>
      </c>
      <c r="G815" s="10" t="str">
        <f>IFERROR(__xludf.DUMMYFUNCTION("""COMPUTED_VALUE"""),"Yes")</f>
        <v>Yes</v>
      </c>
      <c r="H815" s="10">
        <f>IFERROR(__xludf.DUMMYFUNCTION("""COMPUTED_VALUE"""),8.0)</f>
        <v>8</v>
      </c>
      <c r="I815" s="10">
        <f>IFERROR(__xludf.DUMMYFUNCTION("""COMPUTED_VALUE"""),2.0)</f>
        <v>2</v>
      </c>
      <c r="J815" s="10">
        <f>IFERROR(__xludf.DUMMYFUNCTION("""COMPUTED_VALUE"""),9.0)</f>
        <v>9</v>
      </c>
      <c r="K815" s="10">
        <f>IFERROR(__xludf.DUMMYFUNCTION("""COMPUTED_VALUE"""),0.0)</f>
        <v>0</v>
      </c>
      <c r="L815" s="10">
        <f>IFERROR(__xludf.DUMMYFUNCTION("""COMPUTED_VALUE"""),9.0)</f>
        <v>9</v>
      </c>
      <c r="M815" s="10">
        <f>IFERROR(__xludf.DUMMYFUNCTION("""COMPUTED_VALUE"""),0.0)</f>
        <v>0</v>
      </c>
      <c r="N815" s="10">
        <f>IFERROR(__xludf.DUMMYFUNCTION("""COMPUTED_VALUE"""),8.0)</f>
        <v>8</v>
      </c>
      <c r="O815" s="10">
        <f>IFERROR(__xludf.DUMMYFUNCTION("""COMPUTED_VALUE"""),0.0)</f>
        <v>0</v>
      </c>
      <c r="P815" s="10">
        <f>IFERROR(__xludf.DUMMYFUNCTION("""COMPUTED_VALUE"""),7.0)</f>
        <v>7</v>
      </c>
      <c r="Q815" s="10" t="str">
        <f>IFERROR(__xludf.DUMMYFUNCTION("""COMPUTED_VALUE"""),"No")</f>
        <v>No</v>
      </c>
      <c r="R815" s="10" t="str">
        <f>IFERROR(__xludf.DUMMYFUNCTION("""COMPUTED_VALUE"""),"No")</f>
        <v>No</v>
      </c>
      <c r="S815" s="10" t="str">
        <f>IFERROR(__xludf.DUMMYFUNCTION("""COMPUTED_VALUE"""),"No")</f>
        <v>No</v>
      </c>
      <c r="T815" s="10">
        <f>IFERROR(__xludf.DUMMYFUNCTION("""COMPUTED_VALUE"""),0.0)</f>
        <v>0</v>
      </c>
      <c r="U815" s="10">
        <f>IFERROR(__xludf.DUMMYFUNCTION("""COMPUTED_VALUE"""),0.0)</f>
        <v>0</v>
      </c>
      <c r="V815" s="10" t="str">
        <f>IFERROR(__xludf.DUMMYFUNCTION("""COMPUTED_VALUE"""),"۱۔ پڑوسیوں کے حقوق اور اہمیت ۲ مسجد کے حقوق ")</f>
        <v>۱۔ پڑوسیوں کے حقوق اور اہمیت ۲ مسجد کے حقوق </v>
      </c>
      <c r="W815" s="10" t="str">
        <f>IFERROR(__xludf.DUMMYFUNCTION("""COMPUTED_VALUE"""),"امام نے ہمسائے کے حقوق میں ان کی عزت کی حفاظت کرنا ، بیماری پر عیادت کرنا ، وفات پانے پر جنازے میں شرکت کرنا غمی خوشی میں شامل ہونا اور قرض مانگنے پر قرض دینا بیان کیے، اج کے معاشرے میں ہمسائے کا ایک دوسرے سے لا تعلق اور بے خبر ہونا بیان کیا، نماز کے اوقا"&amp;"ت میں ساتھ والے ہمسائے کا مسجد کے حقوق کا خیال رکھتے ہوئے کوئی اونچی اواز میں گفتگو یا کوئی نزیبا الفاظ نہ کہے جائیں جس سے نماز میں خلل پیدا ہو،  غزوہ تبوک کے موقع پر صحابہ کا ایک دوسرے کے لیے ایثار بیان کیا، اور مریدکے میں ہونے والے حالیہ سانحہ کے متعلق "&amp;"بات کی گئی۔")</f>
        <v>امام نے ہمسائے کے حقوق میں ان کی عزت کی حفاظت کرنا ، بیماری پر عیادت کرنا ، وفات پانے پر جنازے میں شرکت کرنا غمی خوشی میں شامل ہونا اور قرض مانگنے پر قرض دینا بیان کیے، اج کے معاشرے میں ہمسائے کا ایک دوسرے سے لا تعلق اور بے خبر ہونا بیان کیا، نماز کے اوقات میں ساتھ والے ہمسائے کا مسجد کے حقوق کا خیال رکھتے ہوئے کوئی اونچی اواز میں گفتگو یا کوئی نزیبا الفاظ نہ کہے جائیں جس سے نماز میں خلل پیدا ہو،  غزوہ تبوک کے موقع پر صحابہ کا ایک دوسرے کے لیے ایثار بیان کیا، اور مریدکے میں ہونے والے حالیہ سانحہ کے متعلق بات کی گئی۔</v>
      </c>
      <c r="X815" s="10">
        <f>IFERROR(__xludf.DUMMYFUNCTION("""COMPUTED_VALUE"""),2.0)</f>
        <v>2</v>
      </c>
      <c r="Y815" s="10">
        <f>IFERROR(__xludf.DUMMYFUNCTION("""COMPUTED_VALUE"""),8.0)</f>
        <v>8</v>
      </c>
      <c r="Z815" s="10">
        <f>IFERROR(__xludf.DUMMYFUNCTION("""COMPUTED_VALUE"""),4.0)</f>
        <v>4</v>
      </c>
      <c r="AA815" s="10">
        <f>IFERROR(__xludf.DUMMYFUNCTION("""COMPUTED_VALUE"""),7.0)</f>
        <v>7</v>
      </c>
      <c r="AB815" s="10">
        <f>IFERROR(__xludf.DUMMYFUNCTION("""COMPUTED_VALUE"""),8.0)</f>
        <v>8</v>
      </c>
      <c r="AC815" s="10">
        <f>IFERROR(__xludf.DUMMYFUNCTION("""COMPUTED_VALUE"""),2.0)</f>
        <v>2</v>
      </c>
      <c r="AD815" s="10">
        <f>IFERROR(__xludf.DUMMYFUNCTION("""COMPUTED_VALUE"""),2.0)</f>
        <v>2</v>
      </c>
      <c r="AE815" s="10">
        <f>IFERROR(__xludf.DUMMYFUNCTION("""COMPUTED_VALUE"""),0.0)</f>
        <v>0</v>
      </c>
      <c r="AF815" s="10">
        <f>IFERROR(__xludf.DUMMYFUNCTION("""COMPUTED_VALUE"""),3.0)</f>
        <v>3</v>
      </c>
      <c r="AG815" s="10">
        <f>IFERROR(__xludf.DUMMYFUNCTION("""COMPUTED_VALUE"""),8.0)</f>
        <v>8</v>
      </c>
      <c r="AH815" s="10">
        <f>IFERROR(__xludf.DUMMYFUNCTION("""COMPUTED_VALUE"""),0.0)</f>
        <v>0</v>
      </c>
      <c r="AI815" s="10">
        <f>IFERROR(__xludf.DUMMYFUNCTION("""COMPUTED_VALUE"""),9.0)</f>
        <v>9</v>
      </c>
      <c r="AJ815" s="11" t="str">
        <f>IFERROR(__xludf.DUMMYFUNCTION("""COMPUTED_VALUE"""),"https://drive.google.com/open?id=1kkdTBGKMNPRgsGrJSpuDHKzB6DGB0mNc0dmW_h1L1rY")</f>
        <v>https://drive.google.com/open?id=1kkdTBGKMNPRgsGrJSpuDHKzB6DGB0mNc0dmW_h1L1rY</v>
      </c>
      <c r="AK815" s="12"/>
      <c r="AL815" s="12" t="str">
        <f>IFERROR(__xludf.DUMMYFUNCTION("""COMPUTED_VALUE"""),"Yes")</f>
        <v>Yes</v>
      </c>
      <c r="AM815" s="15">
        <f>IFERROR(__xludf.DUMMYFUNCTION("""COMPUTED_VALUE"""),0.8)</f>
        <v>0.8</v>
      </c>
      <c r="AN815" s="12" t="str">
        <f>IFERROR(__xludf.DUMMYFUNCTION("""COMPUTED_VALUE"""),"1st week")</f>
        <v>1st week</v>
      </c>
      <c r="AO815" s="13">
        <v>1.0</v>
      </c>
      <c r="AX815" s="17"/>
    </row>
    <row r="816">
      <c r="B816" s="9">
        <f>IFERROR(__xludf.DUMMYFUNCTION("""COMPUTED_VALUE"""),45967.53305604166)</f>
        <v>45967.53306</v>
      </c>
      <c r="C816" s="10" t="str">
        <f>IFERROR(__xludf.DUMMYFUNCTION("""COMPUTED_VALUE"""),"Atiqa ")</f>
        <v>Atiqa </v>
      </c>
      <c r="D816" s="10" t="str">
        <f>IFERROR(__xludf.DUMMYFUNCTION("""COMPUTED_VALUE"""),"03157519977")</f>
        <v>03157519977</v>
      </c>
      <c r="E816" s="10" t="str">
        <f>IFERROR(__xludf.DUMMYFUNCTION("""COMPUTED_VALUE"""),"Jamia Masjid Tehseel Wali Kachari Bazar Faisalabad")</f>
        <v>Jamia Masjid Tehseel Wali Kachari Bazar Faisalabad</v>
      </c>
      <c r="F816" s="10" t="str">
        <f>IFERROR(__xludf.DUMMYFUNCTION("""COMPUTED_VALUE"""),"pjygt")</f>
        <v>pjygt</v>
      </c>
      <c r="G816" s="10" t="str">
        <f>IFERROR(__xludf.DUMMYFUNCTION("""COMPUTED_VALUE"""),"Yes")</f>
        <v>Yes</v>
      </c>
      <c r="H816" s="10">
        <f>IFERROR(__xludf.DUMMYFUNCTION("""COMPUTED_VALUE"""),0.0)</f>
        <v>0</v>
      </c>
      <c r="I816" s="10">
        <f>IFERROR(__xludf.DUMMYFUNCTION("""COMPUTED_VALUE"""),10.0)</f>
        <v>10</v>
      </c>
      <c r="J816" s="10">
        <f>IFERROR(__xludf.DUMMYFUNCTION("""COMPUTED_VALUE"""),0.0)</f>
        <v>0</v>
      </c>
      <c r="K816" s="10">
        <f>IFERROR(__xludf.DUMMYFUNCTION("""COMPUTED_VALUE"""),0.0)</f>
        <v>0</v>
      </c>
      <c r="L816" s="10">
        <f>IFERROR(__xludf.DUMMYFUNCTION("""COMPUTED_VALUE"""),0.0)</f>
        <v>0</v>
      </c>
      <c r="M816" s="10">
        <f>IFERROR(__xludf.DUMMYFUNCTION("""COMPUTED_VALUE"""),0.0)</f>
        <v>0</v>
      </c>
      <c r="N816" s="10">
        <f>IFERROR(__xludf.DUMMYFUNCTION("""COMPUTED_VALUE"""),0.0)</f>
        <v>0</v>
      </c>
      <c r="O816" s="10">
        <f>IFERROR(__xludf.DUMMYFUNCTION("""COMPUTED_VALUE"""),0.0)</f>
        <v>0</v>
      </c>
      <c r="P816" s="10">
        <f>IFERROR(__xludf.DUMMYFUNCTION("""COMPUTED_VALUE"""),0.0)</f>
        <v>0</v>
      </c>
      <c r="Q816" s="10" t="str">
        <f>IFERROR(__xludf.DUMMYFUNCTION("""COMPUTED_VALUE"""),"No")</f>
        <v>No</v>
      </c>
      <c r="R816" s="10" t="str">
        <f>IFERROR(__xludf.DUMMYFUNCTION("""COMPUTED_VALUE"""),"No")</f>
        <v>No</v>
      </c>
      <c r="S816" s="10" t="str">
        <f>IFERROR(__xludf.DUMMYFUNCTION("""COMPUTED_VALUE"""),"No")</f>
        <v>No</v>
      </c>
      <c r="T816" s="10">
        <f>IFERROR(__xludf.DUMMYFUNCTION("""COMPUTED_VALUE"""),0.0)</f>
        <v>0</v>
      </c>
      <c r="U816" s="10">
        <f>IFERROR(__xludf.DUMMYFUNCTION("""COMPUTED_VALUE"""),0.0)</f>
        <v>0</v>
      </c>
      <c r="V816" s="10" t="str">
        <f>IFERROR(__xludf.DUMMYFUNCTION("""COMPUTED_VALUE"""),"اللہ کی واحدانیت")</f>
        <v>اللہ کی واحدانیت</v>
      </c>
      <c r="W816" s="10" t="str">
        <f>IFERROR(__xludf.DUMMYFUNCTION("""COMPUTED_VALUE"""),"امام نے سب سے پہلے بیان کیا کہ اس نے گزشتہ جمعہ میں عورتوں کے حقوق پر بات کی تھی اس کے بعد حضور کی امد سے پہلے لوگوں کا رنگ و نسل میں بٹنا اور 365 بت بنا کر انہیں اپنا حاجت روار مشکل کشا ماننا ، اپ صلی اللہ علیہ وسلم کا اکر اللہ الصمد کا درس دینا اور ان ک"&amp;"ا اپ کو جادوگر اور نجومی کہنا، اللہ کی وحدانیت کو بیان کرتے ہوئے اللہ کے پیارے بندوں کا امتحان بیان کیا، حضرت زنیرہ رضی اللہ تعالی عنہا کی صدا اللہ اور رسول اور ابو جہل کا ان پر ظلم و ستم بیان کیا گیا ۔")</f>
        <v>امام نے سب سے پہلے بیان کیا کہ اس نے گزشتہ جمعہ میں عورتوں کے حقوق پر بات کی تھی اس کے بعد حضور کی امد سے پہلے لوگوں کا رنگ و نسل میں بٹنا اور 365 بت بنا کر انہیں اپنا حاجت روار مشکل کشا ماننا ، اپ صلی اللہ علیہ وسلم کا اکر اللہ الصمد کا درس دینا اور ان کا اپ کو جادوگر اور نجومی کہنا، اللہ کی وحدانیت کو بیان کرتے ہوئے اللہ کے پیارے بندوں کا امتحان بیان کیا، حضرت زنیرہ رضی اللہ تعالی عنہا کی صدا اللہ اور رسول اور ابو جہل کا ان پر ظلم و ستم بیان کیا گیا ۔</v>
      </c>
      <c r="X816" s="10">
        <f>IFERROR(__xludf.DUMMYFUNCTION("""COMPUTED_VALUE"""),9.0)</f>
        <v>9</v>
      </c>
      <c r="Y816" s="10">
        <f>IFERROR(__xludf.DUMMYFUNCTION("""COMPUTED_VALUE"""),1.0)</f>
        <v>1</v>
      </c>
      <c r="Z816" s="10">
        <f>IFERROR(__xludf.DUMMYFUNCTION("""COMPUTED_VALUE"""),3.0)</f>
        <v>3</v>
      </c>
      <c r="AA816" s="10">
        <f>IFERROR(__xludf.DUMMYFUNCTION("""COMPUTED_VALUE"""),8.0)</f>
        <v>8</v>
      </c>
      <c r="AB816" s="10">
        <f>IFERROR(__xludf.DUMMYFUNCTION("""COMPUTED_VALUE"""),7.0)</f>
        <v>7</v>
      </c>
      <c r="AC816" s="10">
        <f>IFERROR(__xludf.DUMMYFUNCTION("""COMPUTED_VALUE"""),2.0)</f>
        <v>2</v>
      </c>
      <c r="AD816" s="10">
        <f>IFERROR(__xludf.DUMMYFUNCTION("""COMPUTED_VALUE"""),0.0)</f>
        <v>0</v>
      </c>
      <c r="AE816" s="10">
        <f>IFERROR(__xludf.DUMMYFUNCTION("""COMPUTED_VALUE"""),3.0)</f>
        <v>3</v>
      </c>
      <c r="AF816" s="10">
        <f>IFERROR(__xludf.DUMMYFUNCTION("""COMPUTED_VALUE"""),0.0)</f>
        <v>0</v>
      </c>
      <c r="AG816" s="10">
        <f>IFERROR(__xludf.DUMMYFUNCTION("""COMPUTED_VALUE"""),7.0)</f>
        <v>7</v>
      </c>
      <c r="AH816" s="10">
        <f>IFERROR(__xludf.DUMMYFUNCTION("""COMPUTED_VALUE"""),0.0)</f>
        <v>0</v>
      </c>
      <c r="AI816" s="10">
        <f>IFERROR(__xludf.DUMMYFUNCTION("""COMPUTED_VALUE"""),8.0)</f>
        <v>8</v>
      </c>
      <c r="AJ816" s="11" t="str">
        <f>IFERROR(__xludf.DUMMYFUNCTION("""COMPUTED_VALUE"""),"https://drive.google.com/open?id=1xnQ5h9Y4Rou3nxMuRfIKsKat1cwznJvQBvBt2CjIrPI")</f>
        <v>https://drive.google.com/open?id=1xnQ5h9Y4Rou3nxMuRfIKsKat1cwznJvQBvBt2CjIrPI</v>
      </c>
      <c r="AK816" s="12" t="str">
        <f>IFERROR(__xludf.DUMMYFUNCTION("""COMPUTED_VALUE"""),"Audio Quality buht kharab h")</f>
        <v>Audio Quality buht kharab h</v>
      </c>
      <c r="AL816" s="12" t="str">
        <f>IFERROR(__xludf.DUMMYFUNCTION("""COMPUTED_VALUE"""),"Yes")</f>
        <v>Yes</v>
      </c>
      <c r="AM816" s="15">
        <f>IFERROR(__xludf.DUMMYFUNCTION("""COMPUTED_VALUE"""),0.0)</f>
        <v>0</v>
      </c>
      <c r="AN816" s="12" t="str">
        <f>IFERROR(__xludf.DUMMYFUNCTION("""COMPUTED_VALUE"""),"3rd week")</f>
        <v>3rd week</v>
      </c>
      <c r="AO816" s="13">
        <v>3.0</v>
      </c>
      <c r="AX816" s="17"/>
    </row>
    <row r="817">
      <c r="B817" s="9">
        <f>IFERROR(__xludf.DUMMYFUNCTION("""COMPUTED_VALUE"""),45967.64868924768)</f>
        <v>45967.64869</v>
      </c>
      <c r="C817" s="10" t="str">
        <f>IFERROR(__xludf.DUMMYFUNCTION("""COMPUTED_VALUE"""),"Maham")</f>
        <v>Maham</v>
      </c>
      <c r="D817" s="10" t="str">
        <f>IFERROR(__xludf.DUMMYFUNCTION("""COMPUTED_VALUE"""),"03218118680")</f>
        <v>03218118680</v>
      </c>
      <c r="E817" s="10" t="str">
        <f>IFERROR(__xludf.DUMMYFUNCTION("""COMPUTED_VALUE"""),"Jamia Masjid Darbar Lasuri Shah Faisalabad")</f>
        <v>Jamia Masjid Darbar Lasuri Shah Faisalabad</v>
      </c>
      <c r="F817" s="10" t="str">
        <f>IFERROR(__xludf.DUMMYFUNCTION("""COMPUTED_VALUE"""),"tiius")</f>
        <v>tiius</v>
      </c>
      <c r="G817" s="10" t="str">
        <f>IFERROR(__xludf.DUMMYFUNCTION("""COMPUTED_VALUE"""),"Yes")</f>
        <v>Yes</v>
      </c>
      <c r="H817" s="10">
        <f>IFERROR(__xludf.DUMMYFUNCTION("""COMPUTED_VALUE"""),0.0)</f>
        <v>0</v>
      </c>
      <c r="I817" s="10">
        <f>IFERROR(__xludf.DUMMYFUNCTION("""COMPUTED_VALUE"""),10.0)</f>
        <v>10</v>
      </c>
      <c r="J817" s="10">
        <f>IFERROR(__xludf.DUMMYFUNCTION("""COMPUTED_VALUE"""),0.0)</f>
        <v>0</v>
      </c>
      <c r="K817" s="10">
        <f>IFERROR(__xludf.DUMMYFUNCTION("""COMPUTED_VALUE"""),0.0)</f>
        <v>0</v>
      </c>
      <c r="L817" s="10">
        <f>IFERROR(__xludf.DUMMYFUNCTION("""COMPUTED_VALUE"""),0.0)</f>
        <v>0</v>
      </c>
      <c r="M817" s="10">
        <f>IFERROR(__xludf.DUMMYFUNCTION("""COMPUTED_VALUE"""),0.0)</f>
        <v>0</v>
      </c>
      <c r="N817" s="10">
        <f>IFERROR(__xludf.DUMMYFUNCTION("""COMPUTED_VALUE"""),0.0)</f>
        <v>0</v>
      </c>
      <c r="O817" s="10">
        <f>IFERROR(__xludf.DUMMYFUNCTION("""COMPUTED_VALUE"""),0.0)</f>
        <v>0</v>
      </c>
      <c r="P817" s="10">
        <f>IFERROR(__xludf.DUMMYFUNCTION("""COMPUTED_VALUE"""),0.0)</f>
        <v>0</v>
      </c>
      <c r="Q817" s="10" t="str">
        <f>IFERROR(__xludf.DUMMYFUNCTION("""COMPUTED_VALUE"""),"No")</f>
        <v>No</v>
      </c>
      <c r="R817" s="10" t="str">
        <f>IFERROR(__xludf.DUMMYFUNCTION("""COMPUTED_VALUE"""),"No")</f>
        <v>No</v>
      </c>
      <c r="S817" s="10" t="str">
        <f>IFERROR(__xludf.DUMMYFUNCTION("""COMPUTED_VALUE"""),"No")</f>
        <v>No</v>
      </c>
      <c r="T817" s="10">
        <f>IFERROR(__xludf.DUMMYFUNCTION("""COMPUTED_VALUE"""),0.0)</f>
        <v>0</v>
      </c>
      <c r="U817" s="10">
        <f>IFERROR(__xludf.DUMMYFUNCTION("""COMPUTED_VALUE"""),0.0)</f>
        <v>0</v>
      </c>
      <c r="V817" s="10" t="str">
        <f>IFERROR(__xludf.DUMMYFUNCTION("""COMPUTED_VALUE"""),"اللہ تعالی کا خوف خدا")</f>
        <v>اللہ تعالی کا خوف خدا</v>
      </c>
      <c r="W817" s="10" t="str">
        <f>IFERROR(__xludf.DUMMYFUNCTION("""COMPUTED_VALUE"""),"اللہ تعالی کا خوف خدا ہمارے دل میں ہونا چاہیے")</f>
        <v>اللہ تعالی کا خوف خدا ہمارے دل میں ہونا چاہیے</v>
      </c>
      <c r="X817" s="10">
        <f>IFERROR(__xludf.DUMMYFUNCTION("""COMPUTED_VALUE"""),10.0)</f>
        <v>10</v>
      </c>
      <c r="Y817" s="10">
        <f>IFERROR(__xludf.DUMMYFUNCTION("""COMPUTED_VALUE"""),4.0)</f>
        <v>4</v>
      </c>
      <c r="Z817" s="10">
        <f>IFERROR(__xludf.DUMMYFUNCTION("""COMPUTED_VALUE"""),2.0)</f>
        <v>2</v>
      </c>
      <c r="AA817" s="10">
        <f>IFERROR(__xludf.DUMMYFUNCTION("""COMPUTED_VALUE"""),10.0)</f>
        <v>10</v>
      </c>
      <c r="AB817" s="10">
        <f>IFERROR(__xludf.DUMMYFUNCTION("""COMPUTED_VALUE"""),6.0)</f>
        <v>6</v>
      </c>
      <c r="AC817" s="10">
        <f>IFERROR(__xludf.DUMMYFUNCTION("""COMPUTED_VALUE"""),2.0)</f>
        <v>2</v>
      </c>
      <c r="AD817" s="10">
        <f>IFERROR(__xludf.DUMMYFUNCTION("""COMPUTED_VALUE"""),3.0)</f>
        <v>3</v>
      </c>
      <c r="AE817" s="10">
        <f>IFERROR(__xludf.DUMMYFUNCTION("""COMPUTED_VALUE"""),2.0)</f>
        <v>2</v>
      </c>
      <c r="AF817" s="10">
        <f>IFERROR(__xludf.DUMMYFUNCTION("""COMPUTED_VALUE"""),8.0)</f>
        <v>8</v>
      </c>
      <c r="AG817" s="10">
        <f>IFERROR(__xludf.DUMMYFUNCTION("""COMPUTED_VALUE"""),8.0)</f>
        <v>8</v>
      </c>
      <c r="AH817" s="10">
        <f>IFERROR(__xludf.DUMMYFUNCTION("""COMPUTED_VALUE"""),0.0)</f>
        <v>0</v>
      </c>
      <c r="AI817" s="10">
        <f>IFERROR(__xludf.DUMMYFUNCTION("""COMPUTED_VALUE"""),9.0)</f>
        <v>9</v>
      </c>
      <c r="AJ817" s="11" t="str">
        <f>IFERROR(__xludf.DUMMYFUNCTION("""COMPUTED_VALUE"""),"https://drive.google.com/open?id=1O0hyNSJWXLFrx3WBbQpsBVdejVXuHuOA")</f>
        <v>https://drive.google.com/open?id=1O0hyNSJWXLFrx3WBbQpsBVdejVXuHuOA</v>
      </c>
      <c r="AK817" s="12"/>
      <c r="AL817" s="12" t="str">
        <f>IFERROR(__xludf.DUMMYFUNCTION("""COMPUTED_VALUE"""),"Yes")</f>
        <v>Yes</v>
      </c>
      <c r="AM817" s="15">
        <f>IFERROR(__xludf.DUMMYFUNCTION("""COMPUTED_VALUE"""),0.0)</f>
        <v>0</v>
      </c>
      <c r="AN817" s="12" t="str">
        <f>IFERROR(__xludf.DUMMYFUNCTION("""COMPUTED_VALUE"""),"3rd week")</f>
        <v>3rd week</v>
      </c>
      <c r="AO817" s="13">
        <v>3.0</v>
      </c>
      <c r="AX817" s="17"/>
    </row>
    <row r="818">
      <c r="B818" s="9">
        <f>IFERROR(__xludf.DUMMYFUNCTION("""COMPUTED_VALUE"""),45967.67006798611)</f>
        <v>45967.67007</v>
      </c>
      <c r="C818" s="10" t="str">
        <f>IFERROR(__xludf.DUMMYFUNCTION("""COMPUTED_VALUE"""),"Maham")</f>
        <v>Maham</v>
      </c>
      <c r="D818" s="10" t="str">
        <f>IFERROR(__xludf.DUMMYFUNCTION("""COMPUTED_VALUE"""),"03218118680")</f>
        <v>03218118680</v>
      </c>
      <c r="E818" s="10" t="str">
        <f>IFERROR(__xludf.DUMMYFUNCTION("""COMPUTED_VALUE"""),"Jamia Masjid Kalah Kachari Bazar Faisalabad")</f>
        <v>Jamia Masjid Kalah Kachari Bazar Faisalabad</v>
      </c>
      <c r="F818" s="10" t="str">
        <f>IFERROR(__xludf.DUMMYFUNCTION("""COMPUTED_VALUE"""),"kocqj")</f>
        <v>kocqj</v>
      </c>
      <c r="G818" s="10" t="str">
        <f>IFERROR(__xludf.DUMMYFUNCTION("""COMPUTED_VALUE"""),"No")</f>
        <v>No</v>
      </c>
      <c r="H818" s="10"/>
      <c r="I818" s="10"/>
      <c r="J818" s="10"/>
      <c r="K818" s="10">
        <f>IFERROR(__xludf.DUMMYFUNCTION("""COMPUTED_VALUE"""),0.0)</f>
        <v>0</v>
      </c>
      <c r="L818" s="10">
        <f>IFERROR(__xludf.DUMMYFUNCTION("""COMPUTED_VALUE"""),0.0)</f>
        <v>0</v>
      </c>
      <c r="M818" s="10">
        <f>IFERROR(__xludf.DUMMYFUNCTION("""COMPUTED_VALUE"""),0.0)</f>
        <v>0</v>
      </c>
      <c r="N818" s="10">
        <f>IFERROR(__xludf.DUMMYFUNCTION("""COMPUTED_VALUE"""),0.0)</f>
        <v>0</v>
      </c>
      <c r="O818" s="10">
        <f>IFERROR(__xludf.DUMMYFUNCTION("""COMPUTED_VALUE"""),0.0)</f>
        <v>0</v>
      </c>
      <c r="P818" s="10">
        <f>IFERROR(__xludf.DUMMYFUNCTION("""COMPUTED_VALUE"""),0.0)</f>
        <v>0</v>
      </c>
      <c r="Q818" s="10" t="str">
        <f>IFERROR(__xludf.DUMMYFUNCTION("""COMPUTED_VALUE"""),"No")</f>
        <v>No</v>
      </c>
      <c r="R818" s="10" t="str">
        <f>IFERROR(__xludf.DUMMYFUNCTION("""COMPUTED_VALUE"""),"No")</f>
        <v>No</v>
      </c>
      <c r="S818" s="10" t="str">
        <f>IFERROR(__xludf.DUMMYFUNCTION("""COMPUTED_VALUE"""),"No")</f>
        <v>No</v>
      </c>
      <c r="T818" s="10">
        <f>IFERROR(__xludf.DUMMYFUNCTION("""COMPUTED_VALUE"""),0.0)</f>
        <v>0</v>
      </c>
      <c r="U818" s="10">
        <f>IFERROR(__xludf.DUMMYFUNCTION("""COMPUTED_VALUE"""),0.0)</f>
        <v>0</v>
      </c>
      <c r="V818" s="10" t="str">
        <f>IFERROR(__xludf.DUMMYFUNCTION("""COMPUTED_VALUE"""),"نیکی کا حکم دینا اور برائی سے روکنا مسلمان تنزلی کا شکار")</f>
        <v>نیکی کا حکم دینا اور برائی سے روکنا مسلمان تنزلی کا شکار</v>
      </c>
      <c r="W818" s="10" t="str">
        <f>IFERROR(__xludf.DUMMYFUNCTION("""COMPUTED_VALUE"""),"ہر چیز خیر ہے جس میں نیکی کا حکم دیا جائے اور برائی سے روکا جائے جب سے مسلمانوں نے اللہ تعالی کے احکامات کی پیروی کرنا چھوڑا تب سے وہ تنزلی کا شکار ہو گیا")</f>
        <v>ہر چیز خیر ہے جس میں نیکی کا حکم دیا جائے اور برائی سے روکا جائے جب سے مسلمانوں نے اللہ تعالی کے احکامات کی پیروی کرنا چھوڑا تب سے وہ تنزلی کا شکار ہو گیا</v>
      </c>
      <c r="X818" s="10">
        <f>IFERROR(__xludf.DUMMYFUNCTION("""COMPUTED_VALUE"""),8.0)</f>
        <v>8</v>
      </c>
      <c r="Y818" s="10">
        <f>IFERROR(__xludf.DUMMYFUNCTION("""COMPUTED_VALUE"""),8.0)</f>
        <v>8</v>
      </c>
      <c r="Z818" s="10">
        <f>IFERROR(__xludf.DUMMYFUNCTION("""COMPUTED_VALUE"""),7.0)</f>
        <v>7</v>
      </c>
      <c r="AA818" s="10">
        <f>IFERROR(__xludf.DUMMYFUNCTION("""COMPUTED_VALUE"""),6.0)</f>
        <v>6</v>
      </c>
      <c r="AB818" s="10">
        <f>IFERROR(__xludf.DUMMYFUNCTION("""COMPUTED_VALUE"""),6.0)</f>
        <v>6</v>
      </c>
      <c r="AC818" s="10">
        <f>IFERROR(__xludf.DUMMYFUNCTION("""COMPUTED_VALUE"""),4.0)</f>
        <v>4</v>
      </c>
      <c r="AD818" s="10">
        <f>IFERROR(__xludf.DUMMYFUNCTION("""COMPUTED_VALUE"""),5.0)</f>
        <v>5</v>
      </c>
      <c r="AE818" s="10">
        <f>IFERROR(__xludf.DUMMYFUNCTION("""COMPUTED_VALUE"""),2.0)</f>
        <v>2</v>
      </c>
      <c r="AF818" s="10">
        <f>IFERROR(__xludf.DUMMYFUNCTION("""COMPUTED_VALUE"""),7.0)</f>
        <v>7</v>
      </c>
      <c r="AG818" s="10">
        <f>IFERROR(__xludf.DUMMYFUNCTION("""COMPUTED_VALUE"""),8.0)</f>
        <v>8</v>
      </c>
      <c r="AH818" s="10">
        <f>IFERROR(__xludf.DUMMYFUNCTION("""COMPUTED_VALUE"""),2.0)</f>
        <v>2</v>
      </c>
      <c r="AI818" s="10">
        <f>IFERROR(__xludf.DUMMYFUNCTION("""COMPUTED_VALUE"""),8.0)</f>
        <v>8</v>
      </c>
      <c r="AJ818" s="11" t="str">
        <f>IFERROR(__xludf.DUMMYFUNCTION("""COMPUTED_VALUE"""),"https://drive.google.com/open?id=10wZQGsxFMGwv3d8BI3SiW-EIA6PUqgjk")</f>
        <v>https://drive.google.com/open?id=10wZQGsxFMGwv3d8BI3SiW-EIA6PUqgjk</v>
      </c>
      <c r="AK818" s="12" t="str">
        <f>IFERROR(__xludf.DUMMYFUNCTION("""COMPUTED_VALUE"""),"۔۔۔۔۔۔۔۔۔کا مطلب وہاں سے اواز نہیں ٹھیک تھی امام صاحب کے الفاظ نہیں سمجھ ائے")</f>
        <v>۔۔۔۔۔۔۔۔۔کا مطلب وہاں سے اواز نہیں ٹھیک تھی امام صاحب کے الفاظ نہیں سمجھ ائے</v>
      </c>
      <c r="AL818" s="12"/>
      <c r="AM818" s="12"/>
      <c r="AN818" s="12" t="str">
        <f>IFERROR(__xludf.DUMMYFUNCTION("""COMPUTED_VALUE"""),"3rd week")</f>
        <v>3rd week</v>
      </c>
      <c r="AO818" s="13">
        <v>3.0</v>
      </c>
      <c r="AX818" s="17"/>
    </row>
    <row r="819">
      <c r="B819" s="9">
        <f>IFERROR(__xludf.DUMMYFUNCTION("""COMPUTED_VALUE"""),45967.689714884254)</f>
        <v>45967.68971</v>
      </c>
      <c r="C819" s="10" t="str">
        <f>IFERROR(__xludf.DUMMYFUNCTION("""COMPUTED_VALUE"""),"Saira Shahzad ")</f>
        <v>Saira Shahzad </v>
      </c>
      <c r="D819" s="10" t="str">
        <f>IFERROR(__xludf.DUMMYFUNCTION("""COMPUTED_VALUE"""),"03114534696")</f>
        <v>03114534696</v>
      </c>
      <c r="E819" s="10" t="str">
        <f>IFERROR(__xludf.DUMMYFUNCTION("""COMPUTED_VALUE"""),"Jamia Masjid Madini Samnabad Faisalabad")</f>
        <v>Jamia Masjid Madini Samnabad Faisalabad</v>
      </c>
      <c r="F819" s="10" t="str">
        <f>IFERROR(__xludf.DUMMYFUNCTION("""COMPUTED_VALUE"""),"rwyui")</f>
        <v>rwyui</v>
      </c>
      <c r="G819" s="10" t="str">
        <f>IFERROR(__xludf.DUMMYFUNCTION("""COMPUTED_VALUE"""),"Yes")</f>
        <v>Yes</v>
      </c>
      <c r="H819" s="10">
        <f>IFERROR(__xludf.DUMMYFUNCTION("""COMPUTED_VALUE"""),3.0)</f>
        <v>3</v>
      </c>
      <c r="I819" s="10">
        <f>IFERROR(__xludf.DUMMYFUNCTION("""COMPUTED_VALUE"""),7.0)</f>
        <v>7</v>
      </c>
      <c r="J819" s="10">
        <f>IFERROR(__xludf.DUMMYFUNCTION("""COMPUTED_VALUE"""),3.0)</f>
        <v>3</v>
      </c>
      <c r="K819" s="10">
        <f>IFERROR(__xludf.DUMMYFUNCTION("""COMPUTED_VALUE"""),1.0)</f>
        <v>1</v>
      </c>
      <c r="L819" s="10">
        <f>IFERROR(__xludf.DUMMYFUNCTION("""COMPUTED_VALUE"""),0.0)</f>
        <v>0</v>
      </c>
      <c r="M819" s="10">
        <f>IFERROR(__xludf.DUMMYFUNCTION("""COMPUTED_VALUE"""),1.0)</f>
        <v>1</v>
      </c>
      <c r="N819" s="10">
        <f>IFERROR(__xludf.DUMMYFUNCTION("""COMPUTED_VALUE"""),0.0)</f>
        <v>0</v>
      </c>
      <c r="O819" s="10">
        <f>IFERROR(__xludf.DUMMYFUNCTION("""COMPUTED_VALUE"""),2.0)</f>
        <v>2</v>
      </c>
      <c r="P819" s="10">
        <f>IFERROR(__xludf.DUMMYFUNCTION("""COMPUTED_VALUE"""),0.0)</f>
        <v>0</v>
      </c>
      <c r="Q819" s="10" t="str">
        <f>IFERROR(__xludf.DUMMYFUNCTION("""COMPUTED_VALUE"""),"Yes")</f>
        <v>Yes</v>
      </c>
      <c r="R819" s="10" t="str">
        <f>IFERROR(__xludf.DUMMYFUNCTION("""COMPUTED_VALUE"""),"No")</f>
        <v>No</v>
      </c>
      <c r="S819" s="10" t="str">
        <f>IFERROR(__xludf.DUMMYFUNCTION("""COMPUTED_VALUE"""),"Yes")</f>
        <v>Yes</v>
      </c>
      <c r="T819" s="10">
        <f>IFERROR(__xludf.DUMMYFUNCTION("""COMPUTED_VALUE"""),0.0)</f>
        <v>0</v>
      </c>
      <c r="U819" s="10">
        <f>IFERROR(__xludf.DUMMYFUNCTION("""COMPUTED_VALUE"""),0.0)</f>
        <v>0</v>
      </c>
      <c r="V819" s="10" t="str">
        <f>IFERROR(__xludf.DUMMYFUNCTION("""COMPUTED_VALUE"""),"بسم اللہ الرحمن الرحیم کی برکات")</f>
        <v>بسم اللہ الرحمن الرحیم کی برکات</v>
      </c>
      <c r="W819" s="10" t="str">
        <f>IFERROR(__xludf.DUMMYFUNCTION("""COMPUTED_VALUE"""),"امام نے اپنے بیان میں شروع میں صرف عورتوں کے حقوق پر تھوڑی دیر بات کی کہ اسلام نے عورت کو جو عزت اور مقام دیا ہے اور کسی نے نہیں دیا اس کے بعد پورا خطبہ امام نے بسم اللہ الرحمن الرحیم کی برکات پر دیا ہے امام نے بیان کیا ہے کہ ہمیں ہر جائز کام شروع کرنے سے"&amp;" پہلے بسم اللہ الرحمن الرحیم پڑھنی چاہیے کیونکہ اس سے برکت پیدا ہوتی ہے اور جس چیز کی دنیا میں زیادہ ضرورت تھی اللہ تعالی نے اس چیز کو زیادہ بنایا انسانوں کے لیے اور اگر کوئی شخص کھانا بسم اللہ الرحمن الرحیم پڑھ کر نہیں کھاتا تو اس کو اس وجہ سے توانائی حا"&amp;"صل نہیں ہوتی کیونکہ اس کے ساتھ شیطان کھانا کھاتا ہے اس لیے ضروری ہے کہ بسم اللہ الرحمن الرحیم پڑھ کر کھانا کھایا جائے اور یہ بتایا کہ ہمیں وضو بھی بسم اللہ الرحمن الرحیم پڑھ کر کہنا چاہیے پھر ہی صحیح  وضو ہوگا اور جنت میں چار نہریں ہیں جن کا تعلق بھی بسم "&amp;"اللہ الرحمن الرحیم سے ہی ہے")</f>
        <v>امام نے اپنے بیان میں شروع میں صرف عورتوں کے حقوق پر تھوڑی دیر بات کی کہ اسلام نے عورت کو جو عزت اور مقام دیا ہے اور کسی نے نہیں دیا اس کے بعد پورا خطبہ امام نے بسم اللہ الرحمن الرحیم کی برکات پر دیا ہے امام نے بیان کیا ہے کہ ہمیں ہر جائز کام شروع کرنے سے پہلے بسم اللہ الرحمن الرحیم پڑھنی چاہیے کیونکہ اس سے برکت پیدا ہوتی ہے اور جس چیز کی دنیا میں زیادہ ضرورت تھی اللہ تعالی نے اس چیز کو زیادہ بنایا انسانوں کے لیے اور اگر کوئی شخص کھانا بسم اللہ الرحمن الرحیم پڑھ کر نہیں کھاتا تو اس کو اس وجہ سے توانائی حاصل نہیں ہوتی کیونکہ اس کے ساتھ شیطان کھانا کھاتا ہے اس لیے ضروری ہے کہ بسم اللہ الرحمن الرحیم پڑھ کر کھانا کھایا جائے اور یہ بتایا کہ ہمیں وضو بھی بسم اللہ الرحمن الرحیم پڑھ کر کہنا چاہیے پھر ہی صحیح  وضو ہوگا اور جنت میں چار نہریں ہیں جن کا تعلق بھی بسم اللہ الرحمن الرحیم سے ہی ہے</v>
      </c>
      <c r="X819" s="10">
        <f>IFERROR(__xludf.DUMMYFUNCTION("""COMPUTED_VALUE"""),2.0)</f>
        <v>2</v>
      </c>
      <c r="Y819" s="10">
        <f>IFERROR(__xludf.DUMMYFUNCTION("""COMPUTED_VALUE"""),1.0)</f>
        <v>1</v>
      </c>
      <c r="Z819" s="10">
        <f>IFERROR(__xludf.DUMMYFUNCTION("""COMPUTED_VALUE"""),2.0)</f>
        <v>2</v>
      </c>
      <c r="AA819" s="10">
        <f>IFERROR(__xludf.DUMMYFUNCTION("""COMPUTED_VALUE"""),7.0)</f>
        <v>7</v>
      </c>
      <c r="AB819" s="10">
        <f>IFERROR(__xludf.DUMMYFUNCTION("""COMPUTED_VALUE"""),5.0)</f>
        <v>5</v>
      </c>
      <c r="AC819" s="10">
        <f>IFERROR(__xludf.DUMMYFUNCTION("""COMPUTED_VALUE"""),0.0)</f>
        <v>0</v>
      </c>
      <c r="AD819" s="10">
        <f>IFERROR(__xludf.DUMMYFUNCTION("""COMPUTED_VALUE"""),0.0)</f>
        <v>0</v>
      </c>
      <c r="AE819" s="10">
        <f>IFERROR(__xludf.DUMMYFUNCTION("""COMPUTED_VALUE"""),0.0)</f>
        <v>0</v>
      </c>
      <c r="AF819" s="10">
        <f>IFERROR(__xludf.DUMMYFUNCTION("""COMPUTED_VALUE"""),5.0)</f>
        <v>5</v>
      </c>
      <c r="AG819" s="10">
        <f>IFERROR(__xludf.DUMMYFUNCTION("""COMPUTED_VALUE"""),7.0)</f>
        <v>7</v>
      </c>
      <c r="AH819" s="10">
        <f>IFERROR(__xludf.DUMMYFUNCTION("""COMPUTED_VALUE"""),0.0)</f>
        <v>0</v>
      </c>
      <c r="AI819" s="10">
        <f>IFERROR(__xludf.DUMMYFUNCTION("""COMPUTED_VALUE"""),7.0)</f>
        <v>7</v>
      </c>
      <c r="AJ819" s="11" t="str">
        <f>IFERROR(__xludf.DUMMYFUNCTION("""COMPUTED_VALUE"""),"https://drive.google.com/open?id=1evVwzTSqk8ppYMniVTueceneqgwi-1OXPA42UwQy2c0")</f>
        <v>https://drive.google.com/open?id=1evVwzTSqk8ppYMniVTueceneqgwi-1OXPA42UwQy2c0</v>
      </c>
      <c r="AK819" s="12" t="str">
        <f>IFERROR(__xludf.DUMMYFUNCTION("""COMPUTED_VALUE"""),"No")</f>
        <v>No</v>
      </c>
      <c r="AL819" s="12" t="str">
        <f>IFERROR(__xludf.DUMMYFUNCTION("""COMPUTED_VALUE"""),"Yes")</f>
        <v>Yes</v>
      </c>
      <c r="AM819" s="15">
        <f>IFERROR(__xludf.DUMMYFUNCTION("""COMPUTED_VALUE"""),0.3)</f>
        <v>0.3</v>
      </c>
      <c r="AN819" s="12" t="str">
        <f>IFERROR(__xludf.DUMMYFUNCTION("""COMPUTED_VALUE"""),"3rd week")</f>
        <v>3rd week</v>
      </c>
      <c r="AO819" s="13">
        <v>3.0</v>
      </c>
      <c r="AX819" s="17"/>
    </row>
    <row r="820">
      <c r="B820" s="9">
        <f>IFERROR(__xludf.DUMMYFUNCTION("""COMPUTED_VALUE"""),45967.70340193287)</f>
        <v>45967.7034</v>
      </c>
      <c r="C820" s="10" t="str">
        <f>IFERROR(__xludf.DUMMYFUNCTION("""COMPUTED_VALUE"""),"Maham")</f>
        <v>Maham</v>
      </c>
      <c r="D820" s="10" t="str">
        <f>IFERROR(__xludf.DUMMYFUNCTION("""COMPUTED_VALUE"""),"03218118680")</f>
        <v>03218118680</v>
      </c>
      <c r="E820" s="10" t="str">
        <f>IFERROR(__xludf.DUMMYFUNCTION("""COMPUTED_VALUE"""),"Jamia Masjid Jhaal Khanuwana Faisalabad")</f>
        <v>Jamia Masjid Jhaal Khanuwana Faisalabad</v>
      </c>
      <c r="F820" s="10" t="str">
        <f>IFERROR(__xludf.DUMMYFUNCTION("""COMPUTED_VALUE"""),"dmvyd")</f>
        <v>dmvyd</v>
      </c>
      <c r="G820" s="10" t="str">
        <f>IFERROR(__xludf.DUMMYFUNCTION("""COMPUTED_VALUE"""),"Yes")</f>
        <v>Yes</v>
      </c>
      <c r="H820" s="10">
        <f>IFERROR(__xludf.DUMMYFUNCTION("""COMPUTED_VALUE"""),9.0)</f>
        <v>9</v>
      </c>
      <c r="I820" s="10">
        <f>IFERROR(__xludf.DUMMYFUNCTION("""COMPUTED_VALUE"""),1.0)</f>
        <v>1</v>
      </c>
      <c r="J820" s="10">
        <f>IFERROR(__xludf.DUMMYFUNCTION("""COMPUTED_VALUE"""),10.0)</f>
        <v>10</v>
      </c>
      <c r="K820" s="10">
        <f>IFERROR(__xludf.DUMMYFUNCTION("""COMPUTED_VALUE"""),10.0)</f>
        <v>10</v>
      </c>
      <c r="L820" s="10">
        <f>IFERROR(__xludf.DUMMYFUNCTION("""COMPUTED_VALUE"""),0.0)</f>
        <v>0</v>
      </c>
      <c r="M820" s="10">
        <f>IFERROR(__xludf.DUMMYFUNCTION("""COMPUTED_VALUE"""),10.0)</f>
        <v>10</v>
      </c>
      <c r="N820" s="10">
        <f>IFERROR(__xludf.DUMMYFUNCTION("""COMPUTED_VALUE"""),0.0)</f>
        <v>0</v>
      </c>
      <c r="O820" s="10">
        <f>IFERROR(__xludf.DUMMYFUNCTION("""COMPUTED_VALUE"""),9.0)</f>
        <v>9</v>
      </c>
      <c r="P820" s="10">
        <f>IFERROR(__xludf.DUMMYFUNCTION("""COMPUTED_VALUE"""),0.0)</f>
        <v>0</v>
      </c>
      <c r="Q820" s="10" t="str">
        <f>IFERROR(__xludf.DUMMYFUNCTION("""COMPUTED_VALUE"""),"Yes")</f>
        <v>Yes</v>
      </c>
      <c r="R820" s="10" t="str">
        <f>IFERROR(__xludf.DUMMYFUNCTION("""COMPUTED_VALUE"""),"No")</f>
        <v>No</v>
      </c>
      <c r="S820" s="10" t="str">
        <f>IFERROR(__xludf.DUMMYFUNCTION("""COMPUTED_VALUE"""),"Yes")</f>
        <v>Yes</v>
      </c>
      <c r="T820" s="10">
        <f>IFERROR(__xludf.DUMMYFUNCTION("""COMPUTED_VALUE"""),0.0)</f>
        <v>0</v>
      </c>
      <c r="U820" s="10">
        <f>IFERROR(__xludf.DUMMYFUNCTION("""COMPUTED_VALUE"""),0.0)</f>
        <v>0</v>
      </c>
      <c r="V820" s="10" t="str">
        <f>IFERROR(__xludf.DUMMYFUNCTION("""COMPUTED_VALUE"""),"عورتوں کے حقوق")</f>
        <v>عورتوں کے حقوق</v>
      </c>
      <c r="W820" s="10" t="str">
        <f>IFERROR(__xludf.DUMMYFUNCTION("""COMPUTED_VALUE"""),"عورتوں کا معاشرے میں حقوق کردار اور اس کی اہمیت")</f>
        <v>عورتوں کا معاشرے میں حقوق کردار اور اس کی اہمیت</v>
      </c>
      <c r="X820" s="10">
        <f>IFERROR(__xludf.DUMMYFUNCTION("""COMPUTED_VALUE"""),0.0)</f>
        <v>0</v>
      </c>
      <c r="Y820" s="10">
        <f>IFERROR(__xludf.DUMMYFUNCTION("""COMPUTED_VALUE"""),10.0)</f>
        <v>10</v>
      </c>
      <c r="Z820" s="10">
        <f>IFERROR(__xludf.DUMMYFUNCTION("""COMPUTED_VALUE"""),8.0)</f>
        <v>8</v>
      </c>
      <c r="AA820" s="10">
        <f>IFERROR(__xludf.DUMMYFUNCTION("""COMPUTED_VALUE"""),8.0)</f>
        <v>8</v>
      </c>
      <c r="AB820" s="10">
        <f>IFERROR(__xludf.DUMMYFUNCTION("""COMPUTED_VALUE"""),6.0)</f>
        <v>6</v>
      </c>
      <c r="AC820" s="10">
        <f>IFERROR(__xludf.DUMMYFUNCTION("""COMPUTED_VALUE"""),1.0)</f>
        <v>1</v>
      </c>
      <c r="AD820" s="10">
        <f>IFERROR(__xludf.DUMMYFUNCTION("""COMPUTED_VALUE"""),3.0)</f>
        <v>3</v>
      </c>
      <c r="AE820" s="10">
        <f>IFERROR(__xludf.DUMMYFUNCTION("""COMPUTED_VALUE"""),0.0)</f>
        <v>0</v>
      </c>
      <c r="AF820" s="10">
        <f>IFERROR(__xludf.DUMMYFUNCTION("""COMPUTED_VALUE"""),2.0)</f>
        <v>2</v>
      </c>
      <c r="AG820" s="10">
        <f>IFERROR(__xludf.DUMMYFUNCTION("""COMPUTED_VALUE"""),8.0)</f>
        <v>8</v>
      </c>
      <c r="AH820" s="10">
        <f>IFERROR(__xludf.DUMMYFUNCTION("""COMPUTED_VALUE"""),0.0)</f>
        <v>0</v>
      </c>
      <c r="AI820" s="10">
        <f>IFERROR(__xludf.DUMMYFUNCTION("""COMPUTED_VALUE"""),9.0)</f>
        <v>9</v>
      </c>
      <c r="AJ820" s="11" t="str">
        <f>IFERROR(__xludf.DUMMYFUNCTION("""COMPUTED_VALUE"""),"https://drive.google.com/open?id=1SzwylRxSF3mWKyrcadtXt_1BodULYKyo")</f>
        <v>https://drive.google.com/open?id=1SzwylRxSF3mWKyrcadtXt_1BodULYKyo</v>
      </c>
      <c r="AK820" s="12"/>
      <c r="AL820" s="12" t="str">
        <f>IFERROR(__xludf.DUMMYFUNCTION("""COMPUTED_VALUE"""),"Yes")</f>
        <v>Yes</v>
      </c>
      <c r="AM820" s="15">
        <f>IFERROR(__xludf.DUMMYFUNCTION("""COMPUTED_VALUE"""),0.9)</f>
        <v>0.9</v>
      </c>
      <c r="AN820" s="12" t="str">
        <f>IFERROR(__xludf.DUMMYFUNCTION("""COMPUTED_VALUE"""),"3rd week")</f>
        <v>3rd week</v>
      </c>
      <c r="AO820" s="13">
        <v>3.0</v>
      </c>
      <c r="AX820" s="17"/>
    </row>
    <row r="821">
      <c r="B821" s="9">
        <f>IFERROR(__xludf.DUMMYFUNCTION("""COMPUTED_VALUE"""),45967.7860984375)</f>
        <v>45967.7861</v>
      </c>
      <c r="C821" s="10" t="str">
        <f>IFERROR(__xludf.DUMMYFUNCTION("""COMPUTED_VALUE"""),"Maham")</f>
        <v>Maham</v>
      </c>
      <c r="D821" s="10" t="str">
        <f>IFERROR(__xludf.DUMMYFUNCTION("""COMPUTED_VALUE"""),"03218118680")</f>
        <v>03218118680</v>
      </c>
      <c r="E821" s="10" t="str">
        <f>IFERROR(__xludf.DUMMYFUNCTION("""COMPUTED_VALUE"""),"Jamia Masjid Hanfiya Gujra Basti Faisalabad")</f>
        <v>Jamia Masjid Hanfiya Gujra Basti Faisalabad</v>
      </c>
      <c r="F821" s="10" t="str">
        <f>IFERROR(__xludf.DUMMYFUNCTION("""COMPUTED_VALUE"""),"mxebb")</f>
        <v>mxebb</v>
      </c>
      <c r="G821" s="10" t="str">
        <f>IFERROR(__xludf.DUMMYFUNCTION("""COMPUTED_VALUE"""),"Yes")</f>
        <v>Yes</v>
      </c>
      <c r="H821" s="10">
        <f>IFERROR(__xludf.DUMMYFUNCTION("""COMPUTED_VALUE"""),0.0)</f>
        <v>0</v>
      </c>
      <c r="I821" s="10">
        <f>IFERROR(__xludf.DUMMYFUNCTION("""COMPUTED_VALUE"""),10.0)</f>
        <v>10</v>
      </c>
      <c r="J821" s="10">
        <f>IFERROR(__xludf.DUMMYFUNCTION("""COMPUTED_VALUE"""),1.0)</f>
        <v>1</v>
      </c>
      <c r="K821" s="10">
        <f>IFERROR(__xludf.DUMMYFUNCTION("""COMPUTED_VALUE"""),0.0)</f>
        <v>0</v>
      </c>
      <c r="L821" s="10">
        <f>IFERROR(__xludf.DUMMYFUNCTION("""COMPUTED_VALUE"""),1.0)</f>
        <v>1</v>
      </c>
      <c r="M821" s="10">
        <f>IFERROR(__xludf.DUMMYFUNCTION("""COMPUTED_VALUE"""),0.0)</f>
        <v>0</v>
      </c>
      <c r="N821" s="10">
        <f>IFERROR(__xludf.DUMMYFUNCTION("""COMPUTED_VALUE"""),1.0)</f>
        <v>1</v>
      </c>
      <c r="O821" s="10">
        <f>IFERROR(__xludf.DUMMYFUNCTION("""COMPUTED_VALUE"""),0.0)</f>
        <v>0</v>
      </c>
      <c r="P821" s="10">
        <f>IFERROR(__xludf.DUMMYFUNCTION("""COMPUTED_VALUE"""),0.0)</f>
        <v>0</v>
      </c>
      <c r="Q821" s="10" t="str">
        <f>IFERROR(__xludf.DUMMYFUNCTION("""COMPUTED_VALUE"""),"No")</f>
        <v>No</v>
      </c>
      <c r="R821" s="10" t="str">
        <f>IFERROR(__xludf.DUMMYFUNCTION("""COMPUTED_VALUE"""),"No")</f>
        <v>No</v>
      </c>
      <c r="S821" s="10" t="str">
        <f>IFERROR(__xludf.DUMMYFUNCTION("""COMPUTED_VALUE"""),"No")</f>
        <v>No</v>
      </c>
      <c r="T821" s="10">
        <f>IFERROR(__xludf.DUMMYFUNCTION("""COMPUTED_VALUE"""),0.0)</f>
        <v>0</v>
      </c>
      <c r="U821" s="10">
        <f>IFERROR(__xludf.DUMMYFUNCTION("""COMPUTED_VALUE"""),0.0)</f>
        <v>0</v>
      </c>
      <c r="V821" s="10" t="str">
        <f>IFERROR(__xludf.DUMMYFUNCTION("""COMPUTED_VALUE"""),"مغرور اور متکبر اللہ تعالی کی طرف رجوع")</f>
        <v>مغرور اور متکبر اللہ تعالی کی طرف رجوع</v>
      </c>
      <c r="W821" s="10" t="str">
        <f>IFERROR(__xludf.DUMMYFUNCTION("""COMPUTED_VALUE"""),"مغرور اور متکبر شخص کا انجام اللہ تعالی کی طرف رجوع ہو جائے")</f>
        <v>مغرور اور متکبر شخص کا انجام اللہ تعالی کی طرف رجوع ہو جائے</v>
      </c>
      <c r="X821" s="10">
        <f>IFERROR(__xludf.DUMMYFUNCTION("""COMPUTED_VALUE"""),6.0)</f>
        <v>6</v>
      </c>
      <c r="Y821" s="10">
        <f>IFERROR(__xludf.DUMMYFUNCTION("""COMPUTED_VALUE"""),7.0)</f>
        <v>7</v>
      </c>
      <c r="Z821" s="10">
        <f>IFERROR(__xludf.DUMMYFUNCTION("""COMPUTED_VALUE"""),7.0)</f>
        <v>7</v>
      </c>
      <c r="AA821" s="10">
        <f>IFERROR(__xludf.DUMMYFUNCTION("""COMPUTED_VALUE"""),6.0)</f>
        <v>6</v>
      </c>
      <c r="AB821" s="10">
        <f>IFERROR(__xludf.DUMMYFUNCTION("""COMPUTED_VALUE"""),7.0)</f>
        <v>7</v>
      </c>
      <c r="AC821" s="10">
        <f>IFERROR(__xludf.DUMMYFUNCTION("""COMPUTED_VALUE"""),6.0)</f>
        <v>6</v>
      </c>
      <c r="AD821" s="10">
        <f>IFERROR(__xludf.DUMMYFUNCTION("""COMPUTED_VALUE"""),7.0)</f>
        <v>7</v>
      </c>
      <c r="AE821" s="10">
        <f>IFERROR(__xludf.DUMMYFUNCTION("""COMPUTED_VALUE"""),0.0)</f>
        <v>0</v>
      </c>
      <c r="AF821" s="10">
        <f>IFERROR(__xludf.DUMMYFUNCTION("""COMPUTED_VALUE"""),7.0)</f>
        <v>7</v>
      </c>
      <c r="AG821" s="10">
        <f>IFERROR(__xludf.DUMMYFUNCTION("""COMPUTED_VALUE"""),8.0)</f>
        <v>8</v>
      </c>
      <c r="AH821" s="10">
        <f>IFERROR(__xludf.DUMMYFUNCTION("""COMPUTED_VALUE"""),1.0)</f>
        <v>1</v>
      </c>
      <c r="AI821" s="10">
        <f>IFERROR(__xludf.DUMMYFUNCTION("""COMPUTED_VALUE"""),9.0)</f>
        <v>9</v>
      </c>
      <c r="AJ821" s="11" t="str">
        <f>IFERROR(__xludf.DUMMYFUNCTION("""COMPUTED_VALUE"""),"https://drive.google.com/open?id=1v8PtdIXA2GLy0WdjGkYSSjJZFVKwAhCu")</f>
        <v>https://drive.google.com/open?id=1v8PtdIXA2GLy0WdjGkYSSjJZFVKwAhCu</v>
      </c>
      <c r="AK821" s="12"/>
      <c r="AL821" s="12" t="str">
        <f>IFERROR(__xludf.DUMMYFUNCTION("""COMPUTED_VALUE"""),"Yes")</f>
        <v>Yes</v>
      </c>
      <c r="AM821" s="15">
        <f>IFERROR(__xludf.DUMMYFUNCTION("""COMPUTED_VALUE"""),0.1)</f>
        <v>0.1</v>
      </c>
      <c r="AN821" s="12" t="str">
        <f>IFERROR(__xludf.DUMMYFUNCTION("""COMPUTED_VALUE"""),"3rd week")</f>
        <v>3rd week</v>
      </c>
      <c r="AO821" s="13">
        <v>3.0</v>
      </c>
      <c r="AX821" s="17"/>
    </row>
    <row r="822">
      <c r="B822" s="9">
        <f>IFERROR(__xludf.DUMMYFUNCTION("""COMPUTED_VALUE"""),45967.92416116898)</f>
        <v>45967.92416</v>
      </c>
      <c r="C822" s="10" t="str">
        <f>IFERROR(__xludf.DUMMYFUNCTION("""COMPUTED_VALUE"""),"Sidra ")</f>
        <v>Sidra </v>
      </c>
      <c r="D822" s="10" t="str">
        <f>IFERROR(__xludf.DUMMYFUNCTION("""COMPUTED_VALUE"""),"03261416280")</f>
        <v>03261416280</v>
      </c>
      <c r="E822" s="10" t="str">
        <f>IFERROR(__xludf.DUMMYFUNCTION("""COMPUTED_VALUE"""),"Jamia Masjid Ahle Sunnat Wal Jamaat Garh Maharaja Ahumedpur Sial")</f>
        <v>Jamia Masjid Ahle Sunnat Wal Jamaat Garh Maharaja Ahumedpur Sial</v>
      </c>
      <c r="F822" s="10" t="str">
        <f>IFERROR(__xludf.DUMMYFUNCTION("""COMPUTED_VALUE"""),"glpfo")</f>
        <v>glpfo</v>
      </c>
      <c r="G822" s="10" t="str">
        <f>IFERROR(__xludf.DUMMYFUNCTION("""COMPUTED_VALUE"""),"Yes")</f>
        <v>Yes</v>
      </c>
      <c r="H822" s="10">
        <f>IFERROR(__xludf.DUMMYFUNCTION("""COMPUTED_VALUE"""),1.0)</f>
        <v>1</v>
      </c>
      <c r="I822" s="10">
        <f>IFERROR(__xludf.DUMMYFUNCTION("""COMPUTED_VALUE"""),9.0)</f>
        <v>9</v>
      </c>
      <c r="J822" s="10">
        <f>IFERROR(__xludf.DUMMYFUNCTION("""COMPUTED_VALUE"""),1.0)</f>
        <v>1</v>
      </c>
      <c r="K822" s="10">
        <f>IFERROR(__xludf.DUMMYFUNCTION("""COMPUTED_VALUE"""),1.0)</f>
        <v>1</v>
      </c>
      <c r="L822" s="10">
        <f>IFERROR(__xludf.DUMMYFUNCTION("""COMPUTED_VALUE"""),0.0)</f>
        <v>0</v>
      </c>
      <c r="M822" s="10">
        <f>IFERROR(__xludf.DUMMYFUNCTION("""COMPUTED_VALUE"""),0.0)</f>
        <v>0</v>
      </c>
      <c r="N822" s="10">
        <f>IFERROR(__xludf.DUMMYFUNCTION("""COMPUTED_VALUE"""),0.0)</f>
        <v>0</v>
      </c>
      <c r="O822" s="10">
        <f>IFERROR(__xludf.DUMMYFUNCTION("""COMPUTED_VALUE"""),0.0)</f>
        <v>0</v>
      </c>
      <c r="P822" s="10">
        <f>IFERROR(__xludf.DUMMYFUNCTION("""COMPUTED_VALUE"""),0.0)</f>
        <v>0</v>
      </c>
      <c r="Q822" s="10" t="str">
        <f>IFERROR(__xludf.DUMMYFUNCTION("""COMPUTED_VALUE"""),"No")</f>
        <v>No</v>
      </c>
      <c r="R822" s="10" t="str">
        <f>IFERROR(__xludf.DUMMYFUNCTION("""COMPUTED_VALUE"""),"No")</f>
        <v>No</v>
      </c>
      <c r="S822" s="10" t="str">
        <f>IFERROR(__xludf.DUMMYFUNCTION("""COMPUTED_VALUE"""),"No")</f>
        <v>No</v>
      </c>
      <c r="T822" s="10">
        <f>IFERROR(__xludf.DUMMYFUNCTION("""COMPUTED_VALUE"""),0.0)</f>
        <v>0</v>
      </c>
      <c r="U822" s="10">
        <f>IFERROR(__xludf.DUMMYFUNCTION("""COMPUTED_VALUE"""),0.0)</f>
        <v>0</v>
      </c>
      <c r="V822" s="10" t="str">
        <f>IFERROR(__xludf.DUMMYFUNCTION("""COMPUTED_VALUE"""),"عورتوں کے حقوق اور دین اسلام کا ذکر")</f>
        <v>عورتوں کے حقوق اور دین اسلام کا ذکر</v>
      </c>
      <c r="W822" s="10" t="str">
        <f>IFERROR(__xludf.DUMMYFUNCTION("""COMPUTED_VALUE"""),"امام نے بیان میں بتایا ہے کہ مرد کا مقام اپنی جگہ اور عورت کا مقام اپنی جگہ ہے جو نیکیاں اور فیصلے مرد کر سکتے ہیں اور دن ہی کر سکتی مثلا مرد مسجد میں جا کر نماز ادا کرتے ہیں نماز جنازہ میں شرکت کرتے ہیں بیمار کی تمادداری کرتے ہیں اس کے مقابلے عورتیں گھر "&amp;"میں نماز ادا کرتی ہیں اپنی حفاظت کرتی ہیں گھر کا خیال رکھتی ہیں شوہر کی فرمانبرداری کرتی ہیں اولاد کا خیال رکھتی ہیں اور اگر رمضان المبارک ا جائے تو روزے رکھتی ہے اپنے رب کی عبادت کرتی ہے امام نے بیان میں بتایا ہے کہ ہمیں نیک کام کرنے چاہیے اپنے رب کی عبا"&amp;"دت کرنی چاہیے اس کا ذکر کرنا چاہیے ہمارے رب نے ہمیں بے شمار نعمتوں سے نوازا ہے ہمیں برائی سے بچنا چاہیے قیامت کے روز سب سے پہلے نماز کا پوچھا جائے گا۔ ")</f>
        <v>امام نے بیان میں بتایا ہے کہ مرد کا مقام اپنی جگہ اور عورت کا مقام اپنی جگہ ہے جو نیکیاں اور فیصلے مرد کر سکتے ہیں اور دن ہی کر سکتی مثلا مرد مسجد میں جا کر نماز ادا کرتے ہیں نماز جنازہ میں شرکت کرتے ہیں بیمار کی تمادداری کرتے ہیں اس کے مقابلے عورتیں گھر میں نماز ادا کرتی ہیں اپنی حفاظت کرتی ہیں گھر کا خیال رکھتی ہیں شوہر کی فرمانبرداری کرتی ہیں اولاد کا خیال رکھتی ہیں اور اگر رمضان المبارک ا جائے تو روزے رکھتی ہے اپنے رب کی عبادت کرتی ہے امام نے بیان میں بتایا ہے کہ ہمیں نیک کام کرنے چاہیے اپنے رب کی عبادت کرنی چاہیے اس کا ذکر کرنا چاہیے ہمارے رب نے ہمیں بے شمار نعمتوں سے نوازا ہے ہمیں برائی سے بچنا چاہیے قیامت کے روز سب سے پہلے نماز کا پوچھا جائے گا۔ </v>
      </c>
      <c r="X822" s="10">
        <f>IFERROR(__xludf.DUMMYFUNCTION("""COMPUTED_VALUE"""),7.0)</f>
        <v>7</v>
      </c>
      <c r="Y822" s="10">
        <f>IFERROR(__xludf.DUMMYFUNCTION("""COMPUTED_VALUE"""),2.0)</f>
        <v>2</v>
      </c>
      <c r="Z822" s="10">
        <f>IFERROR(__xludf.DUMMYFUNCTION("""COMPUTED_VALUE"""),6.0)</f>
        <v>6</v>
      </c>
      <c r="AA822" s="10">
        <f>IFERROR(__xludf.DUMMYFUNCTION("""COMPUTED_VALUE"""),8.0)</f>
        <v>8</v>
      </c>
      <c r="AB822" s="10">
        <f>IFERROR(__xludf.DUMMYFUNCTION("""COMPUTED_VALUE"""),0.0)</f>
        <v>0</v>
      </c>
      <c r="AC822" s="10">
        <f>IFERROR(__xludf.DUMMYFUNCTION("""COMPUTED_VALUE"""),0.0)</f>
        <v>0</v>
      </c>
      <c r="AD822" s="10">
        <f>IFERROR(__xludf.DUMMYFUNCTION("""COMPUTED_VALUE"""),0.0)</f>
        <v>0</v>
      </c>
      <c r="AE822" s="10">
        <f>IFERROR(__xludf.DUMMYFUNCTION("""COMPUTED_VALUE"""),0.0)</f>
        <v>0</v>
      </c>
      <c r="AF822" s="10">
        <f>IFERROR(__xludf.DUMMYFUNCTION("""COMPUTED_VALUE"""),0.0)</f>
        <v>0</v>
      </c>
      <c r="AG822" s="10">
        <f>IFERROR(__xludf.DUMMYFUNCTION("""COMPUTED_VALUE"""),9.0)</f>
        <v>9</v>
      </c>
      <c r="AH822" s="10">
        <f>IFERROR(__xludf.DUMMYFUNCTION("""COMPUTED_VALUE"""),0.0)</f>
        <v>0</v>
      </c>
      <c r="AI822" s="10">
        <f>IFERROR(__xludf.DUMMYFUNCTION("""COMPUTED_VALUE"""),9.0)</f>
        <v>9</v>
      </c>
      <c r="AJ822" s="11" t="str">
        <f>IFERROR(__xludf.DUMMYFUNCTION("""COMPUTED_VALUE"""),"https://drive.google.com/open?id=1s2INv6tIqHm4WskF5pcGjGBWHAjxlJPq1LCbRgy_kSA")</f>
        <v>https://drive.google.com/open?id=1s2INv6tIqHm4WskF5pcGjGBWHAjxlJPq1LCbRgy_kSA</v>
      </c>
      <c r="AK822" s="12" t="str">
        <f>IFERROR(__xludf.DUMMYFUNCTION("""COMPUTED_VALUE"""),"No ")</f>
        <v>No </v>
      </c>
      <c r="AL822" s="12" t="str">
        <f>IFERROR(__xludf.DUMMYFUNCTION("""COMPUTED_VALUE"""),"Yes")</f>
        <v>Yes</v>
      </c>
      <c r="AM822" s="15">
        <f>IFERROR(__xludf.DUMMYFUNCTION("""COMPUTED_VALUE"""),0.1)</f>
        <v>0.1</v>
      </c>
      <c r="AN822" s="12" t="str">
        <f>IFERROR(__xludf.DUMMYFUNCTION("""COMPUTED_VALUE"""),"3rd week")</f>
        <v>3rd week</v>
      </c>
      <c r="AO822" s="13">
        <v>3.0</v>
      </c>
      <c r="AX822" s="17"/>
    </row>
    <row r="823">
      <c r="B823" s="9">
        <f>IFERROR(__xludf.DUMMYFUNCTION("""COMPUTED_VALUE"""),45968.01273016204)</f>
        <v>45968.01273</v>
      </c>
      <c r="C823" s="10" t="str">
        <f>IFERROR(__xludf.DUMMYFUNCTION("""COMPUTED_VALUE"""),"Saira Shahzad ")</f>
        <v>Saira Shahzad </v>
      </c>
      <c r="D823" s="10" t="str">
        <f>IFERROR(__xludf.DUMMYFUNCTION("""COMPUTED_VALUE"""),"03114534696")</f>
        <v>03114534696</v>
      </c>
      <c r="E823" s="10" t="str">
        <f>IFERROR(__xludf.DUMMYFUNCTION("""COMPUTED_VALUE"""),"Jamia Masjid Markazi Rizwi Sangala Hill")</f>
        <v>Jamia Masjid Markazi Rizwi Sangala Hill</v>
      </c>
      <c r="F823" s="10" t="str">
        <f>IFERROR(__xludf.DUMMYFUNCTION("""COMPUTED_VALUE"""),"vmmfc")</f>
        <v>vmmfc</v>
      </c>
      <c r="G823" s="10" t="str">
        <f>IFERROR(__xludf.DUMMYFUNCTION("""COMPUTED_VALUE"""),"Yes")</f>
        <v>Yes</v>
      </c>
      <c r="H823" s="10">
        <f>IFERROR(__xludf.DUMMYFUNCTION("""COMPUTED_VALUE"""),6.0)</f>
        <v>6</v>
      </c>
      <c r="I823" s="10">
        <f>IFERROR(__xludf.DUMMYFUNCTION("""COMPUTED_VALUE"""),4.0)</f>
        <v>4</v>
      </c>
      <c r="J823" s="10">
        <f>IFERROR(__xludf.DUMMYFUNCTION("""COMPUTED_VALUE"""),6.0)</f>
        <v>6</v>
      </c>
      <c r="K823" s="10">
        <f>IFERROR(__xludf.DUMMYFUNCTION("""COMPUTED_VALUE"""),0.0)</f>
        <v>0</v>
      </c>
      <c r="L823" s="10">
        <f>IFERROR(__xludf.DUMMYFUNCTION("""COMPUTED_VALUE"""),6.0)</f>
        <v>6</v>
      </c>
      <c r="M823" s="10">
        <f>IFERROR(__xludf.DUMMYFUNCTION("""COMPUTED_VALUE"""),0.0)</f>
        <v>0</v>
      </c>
      <c r="N823" s="10">
        <f>IFERROR(__xludf.DUMMYFUNCTION("""COMPUTED_VALUE"""),7.0)</f>
        <v>7</v>
      </c>
      <c r="O823" s="10">
        <f>IFERROR(__xludf.DUMMYFUNCTION("""COMPUTED_VALUE"""),1.0)</f>
        <v>1</v>
      </c>
      <c r="P823" s="10">
        <f>IFERROR(__xludf.DUMMYFUNCTION("""COMPUTED_VALUE"""),6.0)</f>
        <v>6</v>
      </c>
      <c r="Q823" s="10" t="str">
        <f>IFERROR(__xludf.DUMMYFUNCTION("""COMPUTED_VALUE"""),"No")</f>
        <v>No</v>
      </c>
      <c r="R823" s="10" t="str">
        <f>IFERROR(__xludf.DUMMYFUNCTION("""COMPUTED_VALUE"""),"No")</f>
        <v>No</v>
      </c>
      <c r="S823" s="10" t="str">
        <f>IFERROR(__xludf.DUMMYFUNCTION("""COMPUTED_VALUE"""),"No")</f>
        <v>No</v>
      </c>
      <c r="T823" s="10">
        <f>IFERROR(__xludf.DUMMYFUNCTION("""COMPUTED_VALUE"""),0.0)</f>
        <v>0</v>
      </c>
      <c r="U823" s="10">
        <f>IFERROR(__xludf.DUMMYFUNCTION("""COMPUTED_VALUE"""),0.0)</f>
        <v>0</v>
      </c>
      <c r="V823" s="10" t="str">
        <f>IFERROR(__xludf.DUMMYFUNCTION("""COMPUTED_VALUE"""),"ہمسایوں کے حقوق")</f>
        <v>ہمسایوں کے حقوق</v>
      </c>
      <c r="W823" s="10" t="str">
        <f>IFERROR(__xludf.DUMMYFUNCTION("""COMPUTED_VALUE"""),"امام نے اپنے بیان میں پہلے معاشرہ کیسے تشکیل پاتے ہیں اس پر تفصیلاً بات کی ہے اس کے بعد ہمسایوں کے حقوق کے بارے میں خطبہ بیان کیا ہے معاشرے کے اندر مختلف طبقات ہوتے ہیں اور ریاست کے مختلف لوگ مل کر ایک نئی ریاست یا سوسائٹی بناتے ہیں جس کے کچھ اصول ہوتے ہی"&amp;"ں اور اس کے بعد امام نے ہمسایوں کے حقوق کے بارے میں بات کی ہے کہ ہمسایوں کے حقوق ہم پر فرض کیے گئے ہیں ہمسایوں کے حقوق میں بہت سی چیزیں آتی ہیں مثلا اپنا گھر ان کے گھر سے اونچا نہ کریں تاکہ ان کی ہوائیں روشنی نہ رکےاپنا گھر صاف کر کے سارا پانی ان کے گھر ک"&amp;"ے آگے نہ کریں ان کی خوشی میں شریک ہوں ان کی غمی میں شریک ہوں ضرورت پڑنے پر ان کی مدد کریں اور حضور صلی اللہ علیہ والہ وسلم نے فرمایا کہ وہ شخص مومن نہیں جس کے شر سے اس کا ہمسایہ محفوظ نہ ہو")</f>
        <v>امام نے اپنے بیان میں پہلے معاشرہ کیسے تشکیل پاتے ہیں اس پر تفصیلاً بات کی ہے اس کے بعد ہمسایوں کے حقوق کے بارے میں خطبہ بیان کیا ہے معاشرے کے اندر مختلف طبقات ہوتے ہیں اور ریاست کے مختلف لوگ مل کر ایک نئی ریاست یا سوسائٹی بناتے ہیں جس کے کچھ اصول ہوتے ہیں اور اس کے بعد امام نے ہمسایوں کے حقوق کے بارے میں بات کی ہے کہ ہمسایوں کے حقوق ہم پر فرض کیے گئے ہیں ہمسایوں کے حقوق میں بہت سی چیزیں آتی ہیں مثلا اپنا گھر ان کے گھر سے اونچا نہ کریں تاکہ ان کی ہوائیں روشنی نہ رکےاپنا گھر صاف کر کے سارا پانی ان کے گھر کے آگے نہ کریں ان کی خوشی میں شریک ہوں ان کی غمی میں شریک ہوں ضرورت پڑنے پر ان کی مدد کریں اور حضور صلی اللہ علیہ والہ وسلم نے فرمایا کہ وہ شخص مومن نہیں جس کے شر سے اس کا ہمسایہ محفوظ نہ ہو</v>
      </c>
      <c r="X823" s="10">
        <f>IFERROR(__xludf.DUMMYFUNCTION("""COMPUTED_VALUE"""),2.0)</f>
        <v>2</v>
      </c>
      <c r="Y823" s="10">
        <f>IFERROR(__xludf.DUMMYFUNCTION("""COMPUTED_VALUE"""),4.0)</f>
        <v>4</v>
      </c>
      <c r="Z823" s="10">
        <f>IFERROR(__xludf.DUMMYFUNCTION("""COMPUTED_VALUE"""),5.0)</f>
        <v>5</v>
      </c>
      <c r="AA823" s="10">
        <f>IFERROR(__xludf.DUMMYFUNCTION("""COMPUTED_VALUE"""),6.0)</f>
        <v>6</v>
      </c>
      <c r="AB823" s="10">
        <f>IFERROR(__xludf.DUMMYFUNCTION("""COMPUTED_VALUE"""),3.0)</f>
        <v>3</v>
      </c>
      <c r="AC823" s="10">
        <f>IFERROR(__xludf.DUMMYFUNCTION("""COMPUTED_VALUE"""),0.0)</f>
        <v>0</v>
      </c>
      <c r="AD823" s="10">
        <f>IFERROR(__xludf.DUMMYFUNCTION("""COMPUTED_VALUE"""),1.0)</f>
        <v>1</v>
      </c>
      <c r="AE823" s="10">
        <f>IFERROR(__xludf.DUMMYFUNCTION("""COMPUTED_VALUE"""),1.0)</f>
        <v>1</v>
      </c>
      <c r="AF823" s="10">
        <f>IFERROR(__xludf.DUMMYFUNCTION("""COMPUTED_VALUE"""),5.0)</f>
        <v>5</v>
      </c>
      <c r="AG823" s="10">
        <f>IFERROR(__xludf.DUMMYFUNCTION("""COMPUTED_VALUE"""),7.0)</f>
        <v>7</v>
      </c>
      <c r="AH823" s="10">
        <f>IFERROR(__xludf.DUMMYFUNCTION("""COMPUTED_VALUE"""),0.0)</f>
        <v>0</v>
      </c>
      <c r="AI823" s="10">
        <f>IFERROR(__xludf.DUMMYFUNCTION("""COMPUTED_VALUE"""),7.0)</f>
        <v>7</v>
      </c>
      <c r="AJ823" s="11" t="str">
        <f>IFERROR(__xludf.DUMMYFUNCTION("""COMPUTED_VALUE"""),"https://drive.google.com/open?id=1x9AD4KCMrxPxy7Pv8B1u-b58QWRjSqrWvHsKn0K0cQA")</f>
        <v>https://drive.google.com/open?id=1x9AD4KCMrxPxy7Pv8B1u-b58QWRjSqrWvHsKn0K0cQA</v>
      </c>
      <c r="AK823" s="12" t="str">
        <f>IFERROR(__xludf.DUMMYFUNCTION("""COMPUTED_VALUE"""),"آواز کلیئر نہیں تھی سننے میں مسئلہ ہوا")</f>
        <v>آواز کلیئر نہیں تھی سننے میں مسئلہ ہوا</v>
      </c>
      <c r="AL823" s="12" t="str">
        <f>IFERROR(__xludf.DUMMYFUNCTION("""COMPUTED_VALUE"""),"Yes")</f>
        <v>Yes</v>
      </c>
      <c r="AM823" s="15">
        <f>IFERROR(__xludf.DUMMYFUNCTION("""COMPUTED_VALUE"""),0.6)</f>
        <v>0.6</v>
      </c>
      <c r="AN823" s="12" t="str">
        <f>IFERROR(__xludf.DUMMYFUNCTION("""COMPUTED_VALUE"""),"2nd week")</f>
        <v>2nd week</v>
      </c>
      <c r="AO823" s="13">
        <v>2.0</v>
      </c>
      <c r="AX823" s="17"/>
    </row>
    <row r="824">
      <c r="B824" s="9">
        <f>IFERROR(__xludf.DUMMYFUNCTION("""COMPUTED_VALUE"""),45968.110566261574)</f>
        <v>45968.11057</v>
      </c>
      <c r="C824" s="10" t="str">
        <f>IFERROR(__xludf.DUMMYFUNCTION("""COMPUTED_VALUE"""),"Atiqa ")</f>
        <v>Atiqa </v>
      </c>
      <c r="D824" s="10" t="str">
        <f>IFERROR(__xludf.DUMMYFUNCTION("""COMPUTED_VALUE"""),"03157519977")</f>
        <v>03157519977</v>
      </c>
      <c r="E824" s="10" t="str">
        <f>IFERROR(__xludf.DUMMYFUNCTION("""COMPUTED_VALUE"""),"Jamia Masjid Markazi Rizwi Sangala Hill")</f>
        <v>Jamia Masjid Markazi Rizwi Sangala Hill</v>
      </c>
      <c r="F824" s="10" t="str">
        <f>IFERROR(__xludf.DUMMYFUNCTION("""COMPUTED_VALUE"""),"vmmfc")</f>
        <v>vmmfc</v>
      </c>
      <c r="G824" s="10" t="str">
        <f>IFERROR(__xludf.DUMMYFUNCTION("""COMPUTED_VALUE"""),"Yes")</f>
        <v>Yes</v>
      </c>
      <c r="H824" s="10">
        <f>IFERROR(__xludf.DUMMYFUNCTION("""COMPUTED_VALUE"""),0.0)</f>
        <v>0</v>
      </c>
      <c r="I824" s="10">
        <f>IFERROR(__xludf.DUMMYFUNCTION("""COMPUTED_VALUE"""),10.0)</f>
        <v>10</v>
      </c>
      <c r="J824" s="10">
        <f>IFERROR(__xludf.DUMMYFUNCTION("""COMPUTED_VALUE"""),0.0)</f>
        <v>0</v>
      </c>
      <c r="K824" s="10">
        <f>IFERROR(__xludf.DUMMYFUNCTION("""COMPUTED_VALUE"""),0.0)</f>
        <v>0</v>
      </c>
      <c r="L824" s="10">
        <f>IFERROR(__xludf.DUMMYFUNCTION("""COMPUTED_VALUE"""),0.0)</f>
        <v>0</v>
      </c>
      <c r="M824" s="10">
        <f>IFERROR(__xludf.DUMMYFUNCTION("""COMPUTED_VALUE"""),0.0)</f>
        <v>0</v>
      </c>
      <c r="N824" s="10">
        <f>IFERROR(__xludf.DUMMYFUNCTION("""COMPUTED_VALUE"""),0.0)</f>
        <v>0</v>
      </c>
      <c r="O824" s="10">
        <f>IFERROR(__xludf.DUMMYFUNCTION("""COMPUTED_VALUE"""),0.0)</f>
        <v>0</v>
      </c>
      <c r="P824" s="10">
        <f>IFERROR(__xludf.DUMMYFUNCTION("""COMPUTED_VALUE"""),0.0)</f>
        <v>0</v>
      </c>
      <c r="Q824" s="10" t="str">
        <f>IFERROR(__xludf.DUMMYFUNCTION("""COMPUTED_VALUE"""),"No")</f>
        <v>No</v>
      </c>
      <c r="R824" s="10" t="str">
        <f>IFERROR(__xludf.DUMMYFUNCTION("""COMPUTED_VALUE"""),"No")</f>
        <v>No</v>
      </c>
      <c r="S824" s="10" t="str">
        <f>IFERROR(__xludf.DUMMYFUNCTION("""COMPUTED_VALUE"""),"No")</f>
        <v>No</v>
      </c>
      <c r="T824" s="10">
        <f>IFERROR(__xludf.DUMMYFUNCTION("""COMPUTED_VALUE"""),0.0)</f>
        <v>0</v>
      </c>
      <c r="U824" s="10">
        <f>IFERROR(__xludf.DUMMYFUNCTION("""COMPUTED_VALUE"""),0.0)</f>
        <v>0</v>
      </c>
      <c r="V824" s="10" t="str">
        <f>IFERROR(__xludf.DUMMYFUNCTION("""COMPUTED_VALUE"""),"اللہ تعالی کی شان رحمت اور  حضور صلی اللہ علیہ وسلم  رحمت اللعالمین ")</f>
        <v>اللہ تعالی کی شان رحمت اور  حضور صلی اللہ علیہ وسلم  رحمت اللعالمین </v>
      </c>
      <c r="W824" s="10" t="str">
        <f>IFERROR(__xludf.DUMMYFUNCTION("""COMPUTED_VALUE"""),"امام نے سب سے پہلے اللہ تعالی کو مختلف نام الرحمن الرحیم رزاق خالق معبود حافظ  حافظ اور رب العالمین سے پکارا اور اللہ تبارک و تعالی نے مخلوق کو خلق سے ملوانے کے لیے محمد صلی اللہ علیہ وسلم کو رحمت اللعالمین بنا کر بھیجا اور ان کا ہر  اچھے برے کو سینے سے ل"&amp;"گانا اور محبت کا مظاہرہ بیان کیا اور اج کے زمانے میں انسان کا ذہنی طور پر منتشر ہونا اور تلخ کلامی اور لڑائی جھگڑے کرنا، اپ صلی اللہ علیہ وسلم کا لکڑی کے ٹکڑے کو سینے سے لگانا ،اپ صلی اللہ علیہ وسلم کا نیچے زمین پر بیٹھنا پسند فرمانا علی رضی اللہ تعالی عن"&amp;"ہ کو نیچے بیٹھنے سے ابو تراب کے نام سے پکارنا، پہلی قوم حضرت شعیب اور لوط کی قوم پر عذاب اور امت محمدی پر حضور صلی اللہ علیہ وسلم کی رحمت کی وجہ سے پردہ رکھنا۔ ")</f>
        <v>امام نے سب سے پہلے اللہ تعالی کو مختلف نام الرحمن الرحیم رزاق خالق معبود حافظ  حافظ اور رب العالمین سے پکارا اور اللہ تبارک و تعالی نے مخلوق کو خلق سے ملوانے کے لیے محمد صلی اللہ علیہ وسلم کو رحمت اللعالمین بنا کر بھیجا اور ان کا ہر  اچھے برے کو سینے سے لگانا اور محبت کا مظاہرہ بیان کیا اور اج کے زمانے میں انسان کا ذہنی طور پر منتشر ہونا اور تلخ کلامی اور لڑائی جھگڑے کرنا، اپ صلی اللہ علیہ وسلم کا لکڑی کے ٹکڑے کو سینے سے لگانا ،اپ صلی اللہ علیہ وسلم کا نیچے زمین پر بیٹھنا پسند فرمانا علی رضی اللہ تعالی عنہ کو نیچے بیٹھنے سے ابو تراب کے نام سے پکارنا، پہلی قوم حضرت شعیب اور لوط کی قوم پر عذاب اور امت محمدی پر حضور صلی اللہ علیہ وسلم کی رحمت کی وجہ سے پردہ رکھنا۔ </v>
      </c>
      <c r="X824" s="10">
        <f>IFERROR(__xludf.DUMMYFUNCTION("""COMPUTED_VALUE"""),8.0)</f>
        <v>8</v>
      </c>
      <c r="Y824" s="10">
        <f>IFERROR(__xludf.DUMMYFUNCTION("""COMPUTED_VALUE"""),2.0)</f>
        <v>2</v>
      </c>
      <c r="Z824" s="10">
        <f>IFERROR(__xludf.DUMMYFUNCTION("""COMPUTED_VALUE"""),5.0)</f>
        <v>5</v>
      </c>
      <c r="AA824" s="10">
        <f>IFERROR(__xludf.DUMMYFUNCTION("""COMPUTED_VALUE"""),8.0)</f>
        <v>8</v>
      </c>
      <c r="AB824" s="10">
        <f>IFERROR(__xludf.DUMMYFUNCTION("""COMPUTED_VALUE"""),7.0)</f>
        <v>7</v>
      </c>
      <c r="AC824" s="10">
        <f>IFERROR(__xludf.DUMMYFUNCTION("""COMPUTED_VALUE"""),2.0)</f>
        <v>2</v>
      </c>
      <c r="AD824" s="10">
        <f>IFERROR(__xludf.DUMMYFUNCTION("""COMPUTED_VALUE"""),3.0)</f>
        <v>3</v>
      </c>
      <c r="AE824" s="10">
        <f>IFERROR(__xludf.DUMMYFUNCTION("""COMPUTED_VALUE"""),3.0)</f>
        <v>3</v>
      </c>
      <c r="AF824" s="10">
        <f>IFERROR(__xludf.DUMMYFUNCTION("""COMPUTED_VALUE"""),4.0)</f>
        <v>4</v>
      </c>
      <c r="AG824" s="10">
        <f>IFERROR(__xludf.DUMMYFUNCTION("""COMPUTED_VALUE"""),8.0)</f>
        <v>8</v>
      </c>
      <c r="AH824" s="10">
        <f>IFERROR(__xludf.DUMMYFUNCTION("""COMPUTED_VALUE"""),0.0)</f>
        <v>0</v>
      </c>
      <c r="AI824" s="10">
        <f>IFERROR(__xludf.DUMMYFUNCTION("""COMPUTED_VALUE"""),9.0)</f>
        <v>9</v>
      </c>
      <c r="AJ824" s="11" t="str">
        <f>IFERROR(__xludf.DUMMYFUNCTION("""COMPUTED_VALUE"""),"https://drive.google.com/open?id=1tf6CBouEOkPFtVy2dhf8GvnCCpqcDTuG5OjsQWZnUZM")</f>
        <v>https://drive.google.com/open?id=1tf6CBouEOkPFtVy2dhf8GvnCCpqcDTuG5OjsQWZnUZM</v>
      </c>
      <c r="AK824" s="12"/>
      <c r="AL824" s="12" t="str">
        <f>IFERROR(__xludf.DUMMYFUNCTION("""COMPUTED_VALUE"""),"Yes")</f>
        <v>Yes</v>
      </c>
      <c r="AM824" s="15">
        <f>IFERROR(__xludf.DUMMYFUNCTION("""COMPUTED_VALUE"""),0.0)</f>
        <v>0</v>
      </c>
      <c r="AN824" s="12" t="str">
        <f>IFERROR(__xludf.DUMMYFUNCTION("""COMPUTED_VALUE"""),"3rd week")</f>
        <v>3rd week</v>
      </c>
      <c r="AO824" s="13">
        <v>3.0</v>
      </c>
      <c r="AX824" s="17"/>
    </row>
    <row r="825">
      <c r="B825" s="9">
        <f>IFERROR(__xludf.DUMMYFUNCTION("""COMPUTED_VALUE"""),45968.192357002314)</f>
        <v>45968.19236</v>
      </c>
      <c r="C825" s="10" t="str">
        <f>IFERROR(__xludf.DUMMYFUNCTION("""COMPUTED_VALUE"""),"Saira Shahzad ")</f>
        <v>Saira Shahzad </v>
      </c>
      <c r="D825" s="10" t="str">
        <f>IFERROR(__xludf.DUMMYFUNCTION("""COMPUTED_VALUE"""),"03114534696")</f>
        <v>03114534696</v>
      </c>
      <c r="E825" s="10" t="str">
        <f>IFERROR(__xludf.DUMMYFUNCTION("""COMPUTED_VALUE"""),"Jamia Masjid Darbar Nolakha Hazari Shahkot")</f>
        <v>Jamia Masjid Darbar Nolakha Hazari Shahkot</v>
      </c>
      <c r="F825" s="10" t="str">
        <f>IFERROR(__xludf.DUMMYFUNCTION("""COMPUTED_VALUE"""),"epwte")</f>
        <v>epwte</v>
      </c>
      <c r="G825" s="10" t="str">
        <f>IFERROR(__xludf.DUMMYFUNCTION("""COMPUTED_VALUE"""),"Yes")</f>
        <v>Yes</v>
      </c>
      <c r="H825" s="10">
        <f>IFERROR(__xludf.DUMMYFUNCTION("""COMPUTED_VALUE"""),0.0)</f>
        <v>0</v>
      </c>
      <c r="I825" s="10">
        <f>IFERROR(__xludf.DUMMYFUNCTION("""COMPUTED_VALUE"""),10.0)</f>
        <v>10</v>
      </c>
      <c r="J825" s="10">
        <f>IFERROR(__xludf.DUMMYFUNCTION("""COMPUTED_VALUE"""),0.0)</f>
        <v>0</v>
      </c>
      <c r="K825" s="10">
        <f>IFERROR(__xludf.DUMMYFUNCTION("""COMPUTED_VALUE"""),0.0)</f>
        <v>0</v>
      </c>
      <c r="L825" s="10">
        <f>IFERROR(__xludf.DUMMYFUNCTION("""COMPUTED_VALUE"""),0.0)</f>
        <v>0</v>
      </c>
      <c r="M825" s="10">
        <f>IFERROR(__xludf.DUMMYFUNCTION("""COMPUTED_VALUE"""),0.0)</f>
        <v>0</v>
      </c>
      <c r="N825" s="10">
        <f>IFERROR(__xludf.DUMMYFUNCTION("""COMPUTED_VALUE"""),0.0)</f>
        <v>0</v>
      </c>
      <c r="O825" s="10">
        <f>IFERROR(__xludf.DUMMYFUNCTION("""COMPUTED_VALUE"""),0.0)</f>
        <v>0</v>
      </c>
      <c r="P825" s="10">
        <f>IFERROR(__xludf.DUMMYFUNCTION("""COMPUTED_VALUE"""),0.0)</f>
        <v>0</v>
      </c>
      <c r="Q825" s="10" t="str">
        <f>IFERROR(__xludf.DUMMYFUNCTION("""COMPUTED_VALUE"""),"No")</f>
        <v>No</v>
      </c>
      <c r="R825" s="10" t="str">
        <f>IFERROR(__xludf.DUMMYFUNCTION("""COMPUTED_VALUE"""),"No")</f>
        <v>No</v>
      </c>
      <c r="S825" s="10" t="str">
        <f>IFERROR(__xludf.DUMMYFUNCTION("""COMPUTED_VALUE"""),"No")</f>
        <v>No</v>
      </c>
      <c r="T825" s="10">
        <f>IFERROR(__xludf.DUMMYFUNCTION("""COMPUTED_VALUE"""),0.0)</f>
        <v>0</v>
      </c>
      <c r="U825" s="10">
        <f>IFERROR(__xludf.DUMMYFUNCTION("""COMPUTED_VALUE"""),0.0)</f>
        <v>0</v>
      </c>
      <c r="V825" s="10" t="str">
        <f>IFERROR(__xludf.DUMMYFUNCTION("""COMPUTED_VALUE"""),"حضرت شیخ عبدالقادر گیلانی رضی اللہ تعالی عنہ کی شان")</f>
        <v>حضرت شیخ عبدالقادر گیلانی رضی اللہ تعالی عنہ کی شان</v>
      </c>
      <c r="W825" s="10" t="str">
        <f>IFERROR(__xludf.DUMMYFUNCTION("""COMPUTED_VALUE"""),"امام نے اپنے بیان میں حضرت شیخ عبدالقادر گیلانی رضی اللہ عنہ کی پوری شان بیان کی ہے آپ اللہ کے ولی تھے اور امام نے یہ بیان کیا ہے کہ ہم گیارویں شریف تو مناتے ہیں تو ہمیں اس کی فضیلت کا بھی پتہ ہونا چاہیے حضرت عبدالقادر گیلانی رضی اللہ تعالی عنہ نے ایک محف"&amp;"ل رکھی اور اس کا دن دسواں اور رات گیارہویں رکھی کیونکہ آپ نے فرمایا جب حضرت نوح علیہ السلام کو طوفان سے نجات ہوئی تو دن دسواں اور رات گیارہویں تھی جب حضرت ابراہیم علیہ السلام نے رب کی رضا کی خاطر اپنے بیٹے کی قربانی پیش کرنے لگے تو دن دسواں اور رات گیارہو"&amp;"یں تھی حضرت امام حسین رضی اللہ تعالی عنہ نے جب اپنے پورے خاندان کے ساتھ شہادت دی تو دن دسواں اور رات گیارہویں تھی اس طرح اس کی بہت فضیلت ہے اور امام نے ہندو اور مسلمان کا جو واقعہ تھا وہ بھی بیان کیا اور ایک اللہ کا فقیر تھا جس کی دعا اللہ تعالی نے قبول ف"&amp;"رمائی حضرت موسی علیہ السلام کا واقعہ ہے وہ پورا بیان کیا")</f>
        <v>امام نے اپنے بیان میں حضرت شیخ عبدالقادر گیلانی رضی اللہ عنہ کی پوری شان بیان کی ہے آپ اللہ کے ولی تھے اور امام نے یہ بیان کیا ہے کہ ہم گیارویں شریف تو مناتے ہیں تو ہمیں اس کی فضیلت کا بھی پتہ ہونا چاہیے حضرت عبدالقادر گیلانی رضی اللہ تعالی عنہ نے ایک محفل رکھی اور اس کا دن دسواں اور رات گیارہویں رکھی کیونکہ آپ نے فرمایا جب حضرت نوح علیہ السلام کو طوفان سے نجات ہوئی تو دن دسواں اور رات گیارہویں تھی جب حضرت ابراہیم علیہ السلام نے رب کی رضا کی خاطر اپنے بیٹے کی قربانی پیش کرنے لگے تو دن دسواں اور رات گیارہویں تھی حضرت امام حسین رضی اللہ تعالی عنہ نے جب اپنے پورے خاندان کے ساتھ شہادت دی تو دن دسواں اور رات گیارہویں تھی اس طرح اس کی بہت فضیلت ہے اور امام نے ہندو اور مسلمان کا جو واقعہ تھا وہ بھی بیان کیا اور ایک اللہ کا فقیر تھا جس کی دعا اللہ تعالی نے قبول فرمائی حضرت موسی علیہ السلام کا واقعہ ہے وہ پورا بیان کیا</v>
      </c>
      <c r="X825" s="10">
        <f>IFERROR(__xludf.DUMMYFUNCTION("""COMPUTED_VALUE"""),2.0)</f>
        <v>2</v>
      </c>
      <c r="Y825" s="10">
        <f>IFERROR(__xludf.DUMMYFUNCTION("""COMPUTED_VALUE"""),2.0)</f>
        <v>2</v>
      </c>
      <c r="Z825" s="10">
        <f>IFERROR(__xludf.DUMMYFUNCTION("""COMPUTED_VALUE"""),1.0)</f>
        <v>1</v>
      </c>
      <c r="AA825" s="10">
        <f>IFERROR(__xludf.DUMMYFUNCTION("""COMPUTED_VALUE"""),9.0)</f>
        <v>9</v>
      </c>
      <c r="AB825" s="10">
        <f>IFERROR(__xludf.DUMMYFUNCTION("""COMPUTED_VALUE"""),9.0)</f>
        <v>9</v>
      </c>
      <c r="AC825" s="10">
        <f>IFERROR(__xludf.DUMMYFUNCTION("""COMPUTED_VALUE"""),0.0)</f>
        <v>0</v>
      </c>
      <c r="AD825" s="10">
        <f>IFERROR(__xludf.DUMMYFUNCTION("""COMPUTED_VALUE"""),0.0)</f>
        <v>0</v>
      </c>
      <c r="AE825" s="10">
        <f>IFERROR(__xludf.DUMMYFUNCTION("""COMPUTED_VALUE"""),1.0)</f>
        <v>1</v>
      </c>
      <c r="AF825" s="10">
        <f>IFERROR(__xludf.DUMMYFUNCTION("""COMPUTED_VALUE"""),8.0)</f>
        <v>8</v>
      </c>
      <c r="AG825" s="10">
        <f>IFERROR(__xludf.DUMMYFUNCTION("""COMPUTED_VALUE"""),9.0)</f>
        <v>9</v>
      </c>
      <c r="AH825" s="10">
        <f>IFERROR(__xludf.DUMMYFUNCTION("""COMPUTED_VALUE"""),0.0)</f>
        <v>0</v>
      </c>
      <c r="AI825" s="10">
        <f>IFERROR(__xludf.DUMMYFUNCTION("""COMPUTED_VALUE"""),9.0)</f>
        <v>9</v>
      </c>
      <c r="AJ825" s="11" t="str">
        <f>IFERROR(__xludf.DUMMYFUNCTION("""COMPUTED_VALUE"""),"https://drive.google.com/open?id=1man3c7Wa2IAAFN7vNXAxMeYl9TFaY0w57mAnZ6dGU0w")</f>
        <v>https://drive.google.com/open?id=1man3c7Wa2IAAFN7vNXAxMeYl9TFaY0w57mAnZ6dGU0w</v>
      </c>
      <c r="AK825" s="12" t="str">
        <f>IFERROR(__xludf.DUMMYFUNCTION("""COMPUTED_VALUE"""),"امام نے پورا بیان پنجابی زبان میں دیا ")</f>
        <v>امام نے پورا بیان پنجابی زبان میں دیا </v>
      </c>
      <c r="AL825" s="12" t="str">
        <f>IFERROR(__xludf.DUMMYFUNCTION("""COMPUTED_VALUE"""),"Yes")</f>
        <v>Yes</v>
      </c>
      <c r="AM825" s="15">
        <f>IFERROR(__xludf.DUMMYFUNCTION("""COMPUTED_VALUE"""),0.0)</f>
        <v>0</v>
      </c>
      <c r="AN825" s="12" t="str">
        <f>IFERROR(__xludf.DUMMYFUNCTION("""COMPUTED_VALUE"""),"2nd week")</f>
        <v>2nd week</v>
      </c>
      <c r="AO825" s="13">
        <v>2.0</v>
      </c>
      <c r="AX825" s="17"/>
    </row>
    <row r="826">
      <c r="B826" s="9">
        <f>IFERROR(__xludf.DUMMYFUNCTION("""COMPUTED_VALUE"""),45968.38516929398)</f>
        <v>45968.38517</v>
      </c>
      <c r="C826" s="10" t="str">
        <f>IFERROR(__xludf.DUMMYFUNCTION("""COMPUTED_VALUE"""),"Asma gul")</f>
        <v>Asma gul</v>
      </c>
      <c r="D826" s="10" t="str">
        <f>IFERROR(__xludf.DUMMYFUNCTION("""COMPUTED_VALUE"""),"03459308620")</f>
        <v>03459308620</v>
      </c>
      <c r="E826" s="10" t="str">
        <f>IFERROR(__xludf.DUMMYFUNCTION("""COMPUTED_VALUE"""),"Jamia Masjid Noor Shaheed Road Jhang")</f>
        <v>Jamia Masjid Noor Shaheed Road Jhang</v>
      </c>
      <c r="F826" s="10" t="str">
        <f>IFERROR(__xludf.DUMMYFUNCTION("""COMPUTED_VALUE"""),"fpyze")</f>
        <v>fpyze</v>
      </c>
      <c r="G826" s="10" t="str">
        <f>IFERROR(__xludf.DUMMYFUNCTION("""COMPUTED_VALUE"""),"Yes")</f>
        <v>Yes</v>
      </c>
      <c r="H826" s="10">
        <f>IFERROR(__xludf.DUMMYFUNCTION("""COMPUTED_VALUE"""),1.0)</f>
        <v>1</v>
      </c>
      <c r="I826" s="10">
        <f>IFERROR(__xludf.DUMMYFUNCTION("""COMPUTED_VALUE"""),9.0)</f>
        <v>9</v>
      </c>
      <c r="J826" s="10">
        <f>IFERROR(__xludf.DUMMYFUNCTION("""COMPUTED_VALUE"""),1.0)</f>
        <v>1</v>
      </c>
      <c r="K826" s="10">
        <f>IFERROR(__xludf.DUMMYFUNCTION("""COMPUTED_VALUE"""),0.0)</f>
        <v>0</v>
      </c>
      <c r="L826" s="10">
        <f>IFERROR(__xludf.DUMMYFUNCTION("""COMPUTED_VALUE"""),2.0)</f>
        <v>2</v>
      </c>
      <c r="M826" s="10">
        <f>IFERROR(__xludf.DUMMYFUNCTION("""COMPUTED_VALUE"""),0.0)</f>
        <v>0</v>
      </c>
      <c r="N826" s="10">
        <f>IFERROR(__xludf.DUMMYFUNCTION("""COMPUTED_VALUE"""),2.0)</f>
        <v>2</v>
      </c>
      <c r="O826" s="10">
        <f>IFERROR(__xludf.DUMMYFUNCTION("""COMPUTED_VALUE"""),0.0)</f>
        <v>0</v>
      </c>
      <c r="P826" s="10">
        <f>IFERROR(__xludf.DUMMYFUNCTION("""COMPUTED_VALUE"""),0.0)</f>
        <v>0</v>
      </c>
      <c r="Q826" s="10" t="str">
        <f>IFERROR(__xludf.DUMMYFUNCTION("""COMPUTED_VALUE"""),"No")</f>
        <v>No</v>
      </c>
      <c r="R826" s="10" t="str">
        <f>IFERROR(__xludf.DUMMYFUNCTION("""COMPUTED_VALUE"""),"No")</f>
        <v>No</v>
      </c>
      <c r="S826" s="10" t="str">
        <f>IFERROR(__xludf.DUMMYFUNCTION("""COMPUTED_VALUE"""),"No")</f>
        <v>No</v>
      </c>
      <c r="T826" s="10">
        <f>IFERROR(__xludf.DUMMYFUNCTION("""COMPUTED_VALUE"""),0.0)</f>
        <v>0</v>
      </c>
      <c r="U826" s="10">
        <f>IFERROR(__xludf.DUMMYFUNCTION("""COMPUTED_VALUE"""),0.0)</f>
        <v>0</v>
      </c>
      <c r="V826" s="10" t="str">
        <f>IFERROR(__xludf.DUMMYFUNCTION("""COMPUTED_VALUE"""),"موت کی تیاری، دنیا کی حقیقت اور آخرت کی اہمیت")</f>
        <v>موت کی تیاری، دنیا کی حقیقت اور آخرت کی اہمیت</v>
      </c>
      <c r="W826" s="10" t="str">
        <f>IFERROR(__xludf.DUMMYFUNCTION("""COMPUTED_VALUE"""),"
امام صاحب نے فرمایا کہ دنیا فانی ہے، ہر چیز ختم ہو جائے گی، صرف اللہ باقی رہے گا۔ انسان کو مرنے سے پہلے مرنے کی تیاری کرنی چاہیے۔ اصل زندگی آخرت کی ہے، دنیا کا مال و دولت دھوکہ ہے۔ عقلمند وہ ہے جو دنیا میں رہتے ہوئے آخرت کی فکر کرے۔ امام نے بتایا کہ اللہ"&amp;" کے احکام کی عظمت دل میں ہونی چاہیے، کیونکہ آج لوگ دنیا کے قانون سے تو ڈرتے ہیں مگر اللہ کے حکم سے نہیں۔ دنیا کی محنت ختم ہو جائے گی، صرف وہ عمل باقی رہے گا جو اللہ کے لیے کیا گیا ہو۔
")</f>
        <v>
امام صاحب نے فرمایا کہ دنیا فانی ہے، ہر چیز ختم ہو جائے گی، صرف اللہ باقی رہے گا۔ انسان کو مرنے سے پہلے مرنے کی تیاری کرنی چاہیے۔ اصل زندگی آخرت کی ہے، دنیا کا مال و دولت دھوکہ ہے۔ عقلمند وہ ہے جو دنیا میں رہتے ہوئے آخرت کی فکر کرے۔ امام نے بتایا کہ اللہ کے احکام کی عظمت دل میں ہونی چاہیے، کیونکہ آج لوگ دنیا کے قانون سے تو ڈرتے ہیں مگر اللہ کے حکم سے نہیں۔ دنیا کی محنت ختم ہو جائے گی، صرف وہ عمل باقی رہے گا جو اللہ کے لیے کیا گیا ہو۔
</v>
      </c>
      <c r="X826" s="10">
        <f>IFERROR(__xludf.DUMMYFUNCTION("""COMPUTED_VALUE"""),9.0)</f>
        <v>9</v>
      </c>
      <c r="Y826" s="10">
        <f>IFERROR(__xludf.DUMMYFUNCTION("""COMPUTED_VALUE"""),7.0)</f>
        <v>7</v>
      </c>
      <c r="Z826" s="10">
        <f>IFERROR(__xludf.DUMMYFUNCTION("""COMPUTED_VALUE"""),6.0)</f>
        <v>6</v>
      </c>
      <c r="AA826" s="10">
        <f>IFERROR(__xludf.DUMMYFUNCTION("""COMPUTED_VALUE"""),10.0)</f>
        <v>10</v>
      </c>
      <c r="AB826" s="10">
        <f>IFERROR(__xludf.DUMMYFUNCTION("""COMPUTED_VALUE"""),4.0)</f>
        <v>4</v>
      </c>
      <c r="AC826" s="10">
        <f>IFERROR(__xludf.DUMMYFUNCTION("""COMPUTED_VALUE"""),2.0)</f>
        <v>2</v>
      </c>
      <c r="AD826" s="10">
        <f>IFERROR(__xludf.DUMMYFUNCTION("""COMPUTED_VALUE"""),2.0)</f>
        <v>2</v>
      </c>
      <c r="AE826" s="10">
        <f>IFERROR(__xludf.DUMMYFUNCTION("""COMPUTED_VALUE"""),0.0)</f>
        <v>0</v>
      </c>
      <c r="AF826" s="10">
        <f>IFERROR(__xludf.DUMMYFUNCTION("""COMPUTED_VALUE"""),0.0)</f>
        <v>0</v>
      </c>
      <c r="AG826" s="10">
        <f>IFERROR(__xludf.DUMMYFUNCTION("""COMPUTED_VALUE"""),8.0)</f>
        <v>8</v>
      </c>
      <c r="AH826" s="10">
        <f>IFERROR(__xludf.DUMMYFUNCTION("""COMPUTED_VALUE"""),0.0)</f>
        <v>0</v>
      </c>
      <c r="AI826" s="10">
        <f>IFERROR(__xludf.DUMMYFUNCTION("""COMPUTED_VALUE"""),8.0)</f>
        <v>8</v>
      </c>
      <c r="AJ826" s="11" t="str">
        <f>IFERROR(__xludf.DUMMYFUNCTION("""COMPUTED_VALUE"""),"https://drive.google.com/open?id=19a_MtHm6zDVGIG-Q6ff4bPtEf0aTBNxy")</f>
        <v>https://drive.google.com/open?id=19a_MtHm6zDVGIG-Q6ff4bPtEf0aTBNxy</v>
      </c>
      <c r="AK826" s="12"/>
      <c r="AL826" s="12" t="str">
        <f>IFERROR(__xludf.DUMMYFUNCTION("""COMPUTED_VALUE"""),"Yes")</f>
        <v>Yes</v>
      </c>
      <c r="AM826" s="15">
        <f>IFERROR(__xludf.DUMMYFUNCTION("""COMPUTED_VALUE"""),0.1)</f>
        <v>0.1</v>
      </c>
      <c r="AN826" s="12" t="str">
        <f>IFERROR(__xludf.DUMMYFUNCTION("""COMPUTED_VALUE"""),"3rd week")</f>
        <v>3rd week</v>
      </c>
      <c r="AO826" s="13">
        <v>3.0</v>
      </c>
      <c r="AX826" s="17"/>
    </row>
    <row r="827">
      <c r="B827" s="9">
        <f>IFERROR(__xludf.DUMMYFUNCTION("""COMPUTED_VALUE"""),45968.41699050926)</f>
        <v>45968.41699</v>
      </c>
      <c r="C827" s="10" t="str">
        <f>IFERROR(__xludf.DUMMYFUNCTION("""COMPUTED_VALUE"""),"Mohsin Raza ")</f>
        <v>Mohsin Raza </v>
      </c>
      <c r="D827" s="10" t="str">
        <f>IFERROR(__xludf.DUMMYFUNCTION("""COMPUTED_VALUE"""),"03014497860")</f>
        <v>03014497860</v>
      </c>
      <c r="E827" s="10" t="str">
        <f>IFERROR(__xludf.DUMMYFUNCTION("""COMPUTED_VALUE"""),"Jamia Masjid  Lariadda Shahkot ")</f>
        <v>Jamia Masjid  Lariadda Shahkot </v>
      </c>
      <c r="F827" s="10" t="str">
        <f>IFERROR(__xludf.DUMMYFUNCTION("""COMPUTED_VALUE"""),"FJUPE ")</f>
        <v>FJUPE </v>
      </c>
      <c r="G827" s="10" t="str">
        <f>IFERROR(__xludf.DUMMYFUNCTION("""COMPUTED_VALUE"""),"No")</f>
        <v>No</v>
      </c>
      <c r="H827" s="10"/>
      <c r="I827" s="10"/>
      <c r="J827" s="10"/>
      <c r="K827" s="10">
        <f>IFERROR(__xludf.DUMMYFUNCTION("""COMPUTED_VALUE"""),7.0)</f>
        <v>7</v>
      </c>
      <c r="L827" s="10">
        <f>IFERROR(__xludf.DUMMYFUNCTION("""COMPUTED_VALUE"""),6.0)</f>
        <v>6</v>
      </c>
      <c r="M827" s="10">
        <f>IFERROR(__xludf.DUMMYFUNCTION("""COMPUTED_VALUE"""),6.0)</f>
        <v>6</v>
      </c>
      <c r="N827" s="10">
        <f>IFERROR(__xludf.DUMMYFUNCTION("""COMPUTED_VALUE"""),0.0)</f>
        <v>0</v>
      </c>
      <c r="O827" s="10">
        <f>IFERROR(__xludf.DUMMYFUNCTION("""COMPUTED_VALUE"""),5.0)</f>
        <v>5</v>
      </c>
      <c r="P827" s="10">
        <f>IFERROR(__xludf.DUMMYFUNCTION("""COMPUTED_VALUE"""),5.0)</f>
        <v>5</v>
      </c>
      <c r="Q827" s="10" t="str">
        <f>IFERROR(__xludf.DUMMYFUNCTION("""COMPUTED_VALUE"""),"Yes")</f>
        <v>Yes</v>
      </c>
      <c r="R827" s="10" t="str">
        <f>IFERROR(__xludf.DUMMYFUNCTION("""COMPUTED_VALUE"""),"Yes")</f>
        <v>Yes</v>
      </c>
      <c r="S827" s="10" t="str">
        <f>IFERROR(__xludf.DUMMYFUNCTION("""COMPUTED_VALUE"""),"Yes")</f>
        <v>Yes</v>
      </c>
      <c r="T827" s="10">
        <f>IFERROR(__xludf.DUMMYFUNCTION("""COMPUTED_VALUE"""),4.0)</f>
        <v>4</v>
      </c>
      <c r="U827" s="10">
        <f>IFERROR(__xludf.DUMMYFUNCTION("""COMPUTED_VALUE"""),8.0)</f>
        <v>8</v>
      </c>
      <c r="V827" s="10" t="str">
        <f>IFERROR(__xludf.DUMMYFUNCTION("""COMPUTED_VALUE"""),"حقوق اللہ اور حقوق العباد ")</f>
        <v>حقوق اللہ اور حقوق العباد </v>
      </c>
      <c r="W827" s="10" t="str">
        <f>IFERROR(__xludf.DUMMYFUNCTION("""COMPUTED_VALUE"""),"حقوق اللہ اور حقوق العباد پر مفصل بیان کیا ")</f>
        <v>حقوق اللہ اور حقوق العباد پر مفصل بیان کیا </v>
      </c>
      <c r="X827" s="10">
        <f>IFERROR(__xludf.DUMMYFUNCTION("""COMPUTED_VALUE"""),8.0)</f>
        <v>8</v>
      </c>
      <c r="Y827" s="10">
        <f>IFERROR(__xludf.DUMMYFUNCTION("""COMPUTED_VALUE"""),7.0)</f>
        <v>7</v>
      </c>
      <c r="Z827" s="10">
        <f>IFERROR(__xludf.DUMMYFUNCTION("""COMPUTED_VALUE"""),7.0)</f>
        <v>7</v>
      </c>
      <c r="AA827" s="10">
        <f>IFERROR(__xludf.DUMMYFUNCTION("""COMPUTED_VALUE"""),8.0)</f>
        <v>8</v>
      </c>
      <c r="AB827" s="10">
        <f>IFERROR(__xludf.DUMMYFUNCTION("""COMPUTED_VALUE"""),7.0)</f>
        <v>7</v>
      </c>
      <c r="AC827" s="10">
        <f>IFERROR(__xludf.DUMMYFUNCTION("""COMPUTED_VALUE"""),0.0)</f>
        <v>0</v>
      </c>
      <c r="AD827" s="10">
        <f>IFERROR(__xludf.DUMMYFUNCTION("""COMPUTED_VALUE"""),6.0)</f>
        <v>6</v>
      </c>
      <c r="AE827" s="10">
        <f>IFERROR(__xludf.DUMMYFUNCTION("""COMPUTED_VALUE"""),6.0)</f>
        <v>6</v>
      </c>
      <c r="AF827" s="10">
        <f>IFERROR(__xludf.DUMMYFUNCTION("""COMPUTED_VALUE"""),6.0)</f>
        <v>6</v>
      </c>
      <c r="AG827" s="10">
        <f>IFERROR(__xludf.DUMMYFUNCTION("""COMPUTED_VALUE"""),8.0)</f>
        <v>8</v>
      </c>
      <c r="AH827" s="10">
        <f>IFERROR(__xludf.DUMMYFUNCTION("""COMPUTED_VALUE"""),0.0)</f>
        <v>0</v>
      </c>
      <c r="AI827" s="10">
        <f>IFERROR(__xludf.DUMMYFUNCTION("""COMPUTED_VALUE"""),8.0)</f>
        <v>8</v>
      </c>
      <c r="AJ827" s="11" t="str">
        <f>IFERROR(__xludf.DUMMYFUNCTION("""COMPUTED_VALUE"""),"https://drive.google.com/open?id=19nczYdqjh23OaGvi8eIDRe47HUKuwso2")</f>
        <v>https://drive.google.com/open?id=19nczYdqjh23OaGvi8eIDRe47HUKuwso2</v>
      </c>
      <c r="AK827" s="12" t="str">
        <f>IFERROR(__xludf.DUMMYFUNCTION("""COMPUTED_VALUE"""),"people noted me ")</f>
        <v>people noted me </v>
      </c>
      <c r="AL827" s="12"/>
      <c r="AM827" s="12"/>
      <c r="AN827" s="12" t="str">
        <f>IFERROR(__xludf.DUMMYFUNCTION("""COMPUTED_VALUE"""),"2nd week")</f>
        <v>2nd week</v>
      </c>
      <c r="AO827" s="13" t="s">
        <v>9</v>
      </c>
      <c r="AX827" s="17"/>
    </row>
    <row r="828">
      <c r="B828" s="9">
        <f>IFERROR(__xludf.DUMMYFUNCTION("""COMPUTED_VALUE"""),45968.47020083333)</f>
        <v>45968.4702</v>
      </c>
      <c r="C828" s="10" t="str">
        <f>IFERROR(__xludf.DUMMYFUNCTION("""COMPUTED_VALUE"""),"Asma Gul ")</f>
        <v>Asma Gul </v>
      </c>
      <c r="D828" s="10" t="str">
        <f>IFERROR(__xludf.DUMMYFUNCTION("""COMPUTED_VALUE"""),"03459308620")</f>
        <v>03459308620</v>
      </c>
      <c r="E828" s="10" t="str">
        <f>IFERROR(__xludf.DUMMYFUNCTION("""COMPUTED_VALUE"""),"Jamia Masjid Rehmaniya Ali Town Sargodha Road Faisalabad")</f>
        <v>Jamia Masjid Rehmaniya Ali Town Sargodha Road Faisalabad</v>
      </c>
      <c r="F828" s="10" t="str">
        <f>IFERROR(__xludf.DUMMYFUNCTION("""COMPUTED_VALUE"""),"rdzla")</f>
        <v>rdzla</v>
      </c>
      <c r="G828" s="10" t="str">
        <f>IFERROR(__xludf.DUMMYFUNCTION("""COMPUTED_VALUE"""),"Yes")</f>
        <v>Yes</v>
      </c>
      <c r="H828" s="10">
        <f>IFERROR(__xludf.DUMMYFUNCTION("""COMPUTED_VALUE"""),2.0)</f>
        <v>2</v>
      </c>
      <c r="I828" s="10">
        <f>IFERROR(__xludf.DUMMYFUNCTION("""COMPUTED_VALUE"""),8.0)</f>
        <v>8</v>
      </c>
      <c r="J828" s="10">
        <f>IFERROR(__xludf.DUMMYFUNCTION("""COMPUTED_VALUE"""),2.0)</f>
        <v>2</v>
      </c>
      <c r="K828" s="10">
        <f>IFERROR(__xludf.DUMMYFUNCTION("""COMPUTED_VALUE"""),0.0)</f>
        <v>0</v>
      </c>
      <c r="L828" s="10">
        <f>IFERROR(__xludf.DUMMYFUNCTION("""COMPUTED_VALUE"""),2.0)</f>
        <v>2</v>
      </c>
      <c r="M828" s="10">
        <f>IFERROR(__xludf.DUMMYFUNCTION("""COMPUTED_VALUE"""),0.0)</f>
        <v>0</v>
      </c>
      <c r="N828" s="10">
        <f>IFERROR(__xludf.DUMMYFUNCTION("""COMPUTED_VALUE"""),2.0)</f>
        <v>2</v>
      </c>
      <c r="O828" s="10">
        <f>IFERROR(__xludf.DUMMYFUNCTION("""COMPUTED_VALUE"""),0.0)</f>
        <v>0</v>
      </c>
      <c r="P828" s="10">
        <f>IFERROR(__xludf.DUMMYFUNCTION("""COMPUTED_VALUE"""),2.0)</f>
        <v>2</v>
      </c>
      <c r="Q828" s="10" t="str">
        <f>IFERROR(__xludf.DUMMYFUNCTION("""COMPUTED_VALUE"""),"No")</f>
        <v>No</v>
      </c>
      <c r="R828" s="10" t="str">
        <f>IFERROR(__xludf.DUMMYFUNCTION("""COMPUTED_VALUE"""),"No")</f>
        <v>No</v>
      </c>
      <c r="S828" s="10" t="str">
        <f>IFERROR(__xludf.DUMMYFUNCTION("""COMPUTED_VALUE"""),"No")</f>
        <v>No</v>
      </c>
      <c r="T828" s="10">
        <f>IFERROR(__xludf.DUMMYFUNCTION("""COMPUTED_VALUE"""),0.0)</f>
        <v>0</v>
      </c>
      <c r="U828" s="10">
        <f>IFERROR(__xludf.DUMMYFUNCTION("""COMPUTED_VALUE"""),0.0)</f>
        <v>0</v>
      </c>
      <c r="V828" s="10" t="str">
        <f>IFERROR(__xludf.DUMMYFUNCTION("""COMPUTED_VALUE"""),"اللہ کی وحدانیت، نبی کریم کی رسالت ")</f>
        <v>اللہ کی وحدانیت، نبی کریم کی رسالت </v>
      </c>
      <c r="W828" s="10" t="str">
        <f>IFERROR(__xludf.DUMMYFUNCTION("""COMPUTED_VALUE"""),"یہ خطبہ اللہ کی وحدانیت، نبی کریم کی رسالت اور صحابۂ کرام کے اخلاص پر روشنی ڈالتا ہے۔
اس میں بتایا گیا کہ کائنات کا منظم نظام ربوبیت کی واضح دلیل ہے۔
مسلمانوں کو نماز، اخلاق اور پڑوسیوں کے حقوق کا خیال رکھنے کی تلقین کی گئی ہے۔
آخر میں عمل صالح اور معاشر"&amp;"تی ہم آہنگی کو ایمان کا لازمی جزو قرار دیا گیا ہے۔")</f>
        <v>یہ خطبہ اللہ کی وحدانیت، نبی کریم کی رسالت اور صحابۂ کرام کے اخلاص پر روشنی ڈالتا ہے۔
اس میں بتایا گیا کہ کائنات کا منظم نظام ربوبیت کی واضح دلیل ہے۔
مسلمانوں کو نماز، اخلاق اور پڑوسیوں کے حقوق کا خیال رکھنے کی تلقین کی گئی ہے۔
آخر میں عمل صالح اور معاشرتی ہم آہنگی کو ایمان کا لازمی جزو قرار دیا گیا ہے۔</v>
      </c>
      <c r="X828" s="10">
        <f>IFERROR(__xludf.DUMMYFUNCTION("""COMPUTED_VALUE"""),8.0)</f>
        <v>8</v>
      </c>
      <c r="Y828" s="10">
        <f>IFERROR(__xludf.DUMMYFUNCTION("""COMPUTED_VALUE"""),2.0)</f>
        <v>2</v>
      </c>
      <c r="Z828" s="10">
        <f>IFERROR(__xludf.DUMMYFUNCTION("""COMPUTED_VALUE"""),4.0)</f>
        <v>4</v>
      </c>
      <c r="AA828" s="10">
        <f>IFERROR(__xludf.DUMMYFUNCTION("""COMPUTED_VALUE"""),8.0)</f>
        <v>8</v>
      </c>
      <c r="AB828" s="10">
        <f>IFERROR(__xludf.DUMMYFUNCTION("""COMPUTED_VALUE"""),3.0)</f>
        <v>3</v>
      </c>
      <c r="AC828" s="10">
        <f>IFERROR(__xludf.DUMMYFUNCTION("""COMPUTED_VALUE"""),0.0)</f>
        <v>0</v>
      </c>
      <c r="AD828" s="10">
        <f>IFERROR(__xludf.DUMMYFUNCTION("""COMPUTED_VALUE"""),0.0)</f>
        <v>0</v>
      </c>
      <c r="AE828" s="10">
        <f>IFERROR(__xludf.DUMMYFUNCTION("""COMPUTED_VALUE"""),0.0)</f>
        <v>0</v>
      </c>
      <c r="AF828" s="10">
        <f>IFERROR(__xludf.DUMMYFUNCTION("""COMPUTED_VALUE"""),0.0)</f>
        <v>0</v>
      </c>
      <c r="AG828" s="10">
        <f>IFERROR(__xludf.DUMMYFUNCTION("""COMPUTED_VALUE"""),9.0)</f>
        <v>9</v>
      </c>
      <c r="AH828" s="10">
        <f>IFERROR(__xludf.DUMMYFUNCTION("""COMPUTED_VALUE"""),0.0)</f>
        <v>0</v>
      </c>
      <c r="AI828" s="10">
        <f>IFERROR(__xludf.DUMMYFUNCTION("""COMPUTED_VALUE"""),8.0)</f>
        <v>8</v>
      </c>
      <c r="AJ828" s="11" t="str">
        <f>IFERROR(__xludf.DUMMYFUNCTION("""COMPUTED_VALUE"""),"https://drive.google.com/open?id=1AFIGyf1bo1obCf3Mp1f5IQ_UReOsN3mnXzo1Yt9ZKUE")</f>
        <v>https://drive.google.com/open?id=1AFIGyf1bo1obCf3Mp1f5IQ_UReOsN3mnXzo1Yt9ZKUE</v>
      </c>
      <c r="AK828" s="12"/>
      <c r="AL828" s="12" t="str">
        <f>IFERROR(__xludf.DUMMYFUNCTION("""COMPUTED_VALUE"""),"Yes")</f>
        <v>Yes</v>
      </c>
      <c r="AM828" s="15">
        <f>IFERROR(__xludf.DUMMYFUNCTION("""COMPUTED_VALUE"""),0.2)</f>
        <v>0.2</v>
      </c>
      <c r="AN828" s="12" t="str">
        <f>IFERROR(__xludf.DUMMYFUNCTION("""COMPUTED_VALUE"""),"3rd week")</f>
        <v>3rd week</v>
      </c>
      <c r="AO828" s="13">
        <v>3.0</v>
      </c>
      <c r="AX828" s="17"/>
    </row>
    <row r="829">
      <c r="B829" s="9">
        <f>IFERROR(__xludf.DUMMYFUNCTION("""COMPUTED_VALUE"""),45968.52041186343)</f>
        <v>45968.52041</v>
      </c>
      <c r="C829" s="10" t="str">
        <f>IFERROR(__xludf.DUMMYFUNCTION("""COMPUTED_VALUE"""),"Sidra ")</f>
        <v>Sidra </v>
      </c>
      <c r="D829" s="10" t="str">
        <f>IFERROR(__xludf.DUMMYFUNCTION("""COMPUTED_VALUE"""),"03261416280")</f>
        <v>03261416280</v>
      </c>
      <c r="E829" s="10" t="str">
        <f>IFERROR(__xludf.DUMMYFUNCTION("""COMPUTED_VALUE"""),"Jamia Masjid Haji Muhammad Din 125 Jharawala")</f>
        <v>Jamia Masjid Haji Muhammad Din 125 Jharawala</v>
      </c>
      <c r="F829" s="10" t="str">
        <f>IFERROR(__xludf.DUMMYFUNCTION("""COMPUTED_VALUE"""),"estsn")</f>
        <v>estsn</v>
      </c>
      <c r="G829" s="10" t="str">
        <f>IFERROR(__xludf.DUMMYFUNCTION("""COMPUTED_VALUE"""),"No")</f>
        <v>No</v>
      </c>
      <c r="H829" s="10"/>
      <c r="I829" s="10"/>
      <c r="J829" s="10"/>
      <c r="K829" s="10">
        <f>IFERROR(__xludf.DUMMYFUNCTION("""COMPUTED_VALUE"""),0.0)</f>
        <v>0</v>
      </c>
      <c r="L829" s="10">
        <f>IFERROR(__xludf.DUMMYFUNCTION("""COMPUTED_VALUE"""),0.0)</f>
        <v>0</v>
      </c>
      <c r="M829" s="10">
        <f>IFERROR(__xludf.DUMMYFUNCTION("""COMPUTED_VALUE"""),0.0)</f>
        <v>0</v>
      </c>
      <c r="N829" s="10">
        <f>IFERROR(__xludf.DUMMYFUNCTION("""COMPUTED_VALUE"""),0.0)</f>
        <v>0</v>
      </c>
      <c r="O829" s="10">
        <f>IFERROR(__xludf.DUMMYFUNCTION("""COMPUTED_VALUE"""),0.0)</f>
        <v>0</v>
      </c>
      <c r="P829" s="10">
        <f>IFERROR(__xludf.DUMMYFUNCTION("""COMPUTED_VALUE"""),0.0)</f>
        <v>0</v>
      </c>
      <c r="Q829" s="10" t="str">
        <f>IFERROR(__xludf.DUMMYFUNCTION("""COMPUTED_VALUE"""),"No")</f>
        <v>No</v>
      </c>
      <c r="R829" s="10" t="str">
        <f>IFERROR(__xludf.DUMMYFUNCTION("""COMPUTED_VALUE"""),"No")</f>
        <v>No</v>
      </c>
      <c r="S829" s="10" t="str">
        <f>IFERROR(__xludf.DUMMYFUNCTION("""COMPUTED_VALUE"""),"No")</f>
        <v>No</v>
      </c>
      <c r="T829" s="10">
        <f>IFERROR(__xludf.DUMMYFUNCTION("""COMPUTED_VALUE"""),0.0)</f>
        <v>0</v>
      </c>
      <c r="U829" s="10">
        <f>IFERROR(__xludf.DUMMYFUNCTION("""COMPUTED_VALUE"""),0.0)</f>
        <v>0</v>
      </c>
      <c r="V829" s="10" t="str">
        <f>IFERROR(__xludf.DUMMYFUNCTION("""COMPUTED_VALUE"""),"اللہ تعالی اور اس کے رسول صلی اللہ علیہ وسلم کی اطاعت")</f>
        <v>اللہ تعالی اور اس کے رسول صلی اللہ علیہ وسلم کی اطاعت</v>
      </c>
      <c r="W829" s="10" t="str">
        <f>IFERROR(__xludf.DUMMYFUNCTION("""COMPUTED_VALUE"""),"امام نے بیان میں بتایا ہے کہ ہمیں نبی کریم صلی اللہ علیہ وسلم کی اطاعت کرنی چاہیے ان کے احکامات پر عمل کرنا چاہیے اگر نبی کریم صلی اللہ علیہ وسلم ہمیں پکارے تو ہم ان کے حکم کو بجا لائیں جنگ احد کے بعد نبی کریم صلی اللہ علیہ وسلم واپس لوٹ رہے تھے اور راستے"&amp;" میں اذان ہوئی تو وہ نماز ادا کر کے وہی حضرت علی مرتضی کی گود میں سر رکھ کر لیٹ گئے اور ان کی آنکھ لگ گئی عصر کی اذان کا وقت قریب تھا سورج غروب ہونے والا تھا نبی کریم صلی اللہ علیہ وسلم گہری نیند میں تھے علی مرتضی نے ڈوبتے سورج کی طرف دیکھا اور پھر نبی کی"&amp;" صلی اللہ علیہ وسلم کی طرف دیکھا تو انہیں قرآن مجید یاد آیا جس میں اللہ تعالی نے فرمایا جس نے نبی کریم صلی اللہ علیہ وسلم کی اطاعت کی اس نے میری اطاعت کی تو حضرت علی مرتضی نے نماز قضا کر لی اور جب نبی کریم صلی اللہ علیہ وسلم اٹھے اور انہوں نے حضرت علی سے "&amp;"پوچھا کیا ہوا ہے تو آپ نے بتایا عصر کی نماز قضا ہو گئی ہے میں نے پہلے کبھی کوئی نماز قضا نہیں کی تو نبی کریم صلی اللہ علیہ وسلم نے اللہ تعالی سے دعا مانگی کہ سورج عصر کے ٹائم پر واپس لے آئیں تاکہ حضرت علی مرتضی نماز ادا کر سکیں تو سورج اپنی جگہ واپس آگیا "&amp;"سبحان اللّہ۔ ")</f>
        <v>امام نے بیان میں بتایا ہے کہ ہمیں نبی کریم صلی اللہ علیہ وسلم کی اطاعت کرنی چاہیے ان کے احکامات پر عمل کرنا چاہیے اگر نبی کریم صلی اللہ علیہ وسلم ہمیں پکارے تو ہم ان کے حکم کو بجا لائیں جنگ احد کے بعد نبی کریم صلی اللہ علیہ وسلم واپس لوٹ رہے تھے اور راستے میں اذان ہوئی تو وہ نماز ادا کر کے وہی حضرت علی مرتضی کی گود میں سر رکھ کر لیٹ گئے اور ان کی آنکھ لگ گئی عصر کی اذان کا وقت قریب تھا سورج غروب ہونے والا تھا نبی کریم صلی اللہ علیہ وسلم گہری نیند میں تھے علی مرتضی نے ڈوبتے سورج کی طرف دیکھا اور پھر نبی کی صلی اللہ علیہ وسلم کی طرف دیکھا تو انہیں قرآن مجید یاد آیا جس میں اللہ تعالی نے فرمایا جس نے نبی کریم صلی اللہ علیہ وسلم کی اطاعت کی اس نے میری اطاعت کی تو حضرت علی مرتضی نے نماز قضا کر لی اور جب نبی کریم صلی اللہ علیہ وسلم اٹھے اور انہوں نے حضرت علی سے پوچھا کیا ہوا ہے تو آپ نے بتایا عصر کی نماز قضا ہو گئی ہے میں نے پہلے کبھی کوئی نماز قضا نہیں کی تو نبی کریم صلی اللہ علیہ وسلم نے اللہ تعالی سے دعا مانگی کہ سورج عصر کے ٹائم پر واپس لے آئیں تاکہ حضرت علی مرتضی نماز ادا کر سکیں تو سورج اپنی جگہ واپس آگیا سبحان اللّہ۔ </v>
      </c>
      <c r="X829" s="10">
        <f>IFERROR(__xludf.DUMMYFUNCTION("""COMPUTED_VALUE"""),9.0)</f>
        <v>9</v>
      </c>
      <c r="Y829" s="10">
        <f>IFERROR(__xludf.DUMMYFUNCTION("""COMPUTED_VALUE"""),6.0)</f>
        <v>6</v>
      </c>
      <c r="Z829" s="10">
        <f>IFERROR(__xludf.DUMMYFUNCTION("""COMPUTED_VALUE"""),8.0)</f>
        <v>8</v>
      </c>
      <c r="AA829" s="10">
        <f>IFERROR(__xludf.DUMMYFUNCTION("""COMPUTED_VALUE"""),9.0)</f>
        <v>9</v>
      </c>
      <c r="AB829" s="10">
        <f>IFERROR(__xludf.DUMMYFUNCTION("""COMPUTED_VALUE"""),3.0)</f>
        <v>3</v>
      </c>
      <c r="AC829" s="10">
        <f>IFERROR(__xludf.DUMMYFUNCTION("""COMPUTED_VALUE"""),0.0)</f>
        <v>0</v>
      </c>
      <c r="AD829" s="10">
        <f>IFERROR(__xludf.DUMMYFUNCTION("""COMPUTED_VALUE"""),0.0)</f>
        <v>0</v>
      </c>
      <c r="AE829" s="10">
        <f>IFERROR(__xludf.DUMMYFUNCTION("""COMPUTED_VALUE"""),0.0)</f>
        <v>0</v>
      </c>
      <c r="AF829" s="10">
        <f>IFERROR(__xludf.DUMMYFUNCTION("""COMPUTED_VALUE"""),0.0)</f>
        <v>0</v>
      </c>
      <c r="AG829" s="10">
        <f>IFERROR(__xludf.DUMMYFUNCTION("""COMPUTED_VALUE"""),9.0)</f>
        <v>9</v>
      </c>
      <c r="AH829" s="10">
        <f>IFERROR(__xludf.DUMMYFUNCTION("""COMPUTED_VALUE"""),0.0)</f>
        <v>0</v>
      </c>
      <c r="AI829" s="10">
        <f>IFERROR(__xludf.DUMMYFUNCTION("""COMPUTED_VALUE"""),9.0)</f>
        <v>9</v>
      </c>
      <c r="AJ829" s="11" t="str">
        <f>IFERROR(__xludf.DUMMYFUNCTION("""COMPUTED_VALUE"""),"https://drive.google.com/open?id=1Asc7qnAfCck0lIXnW2pS3wXgagHLCAY6_QpE9bMMecc")</f>
        <v>https://drive.google.com/open?id=1Asc7qnAfCck0lIXnW2pS3wXgagHLCAY6_QpE9bMMecc</v>
      </c>
      <c r="AK829" s="12" t="str">
        <f>IFERROR(__xludf.DUMMYFUNCTION("""COMPUTED_VALUE"""),"No ")</f>
        <v>No </v>
      </c>
      <c r="AL829" s="12"/>
      <c r="AM829" s="12"/>
      <c r="AN829" s="12" t="str">
        <f>IFERROR(__xludf.DUMMYFUNCTION("""COMPUTED_VALUE"""),"3rd week")</f>
        <v>3rd week</v>
      </c>
      <c r="AO829" s="13">
        <v>3.0</v>
      </c>
      <c r="AX829" s="17"/>
    </row>
    <row r="830">
      <c r="B830" s="9">
        <f>IFERROR(__xludf.DUMMYFUNCTION("""COMPUTED_VALUE"""),45968.79789288194)</f>
        <v>45968.79789</v>
      </c>
      <c r="C830" s="10" t="str">
        <f>IFERROR(__xludf.DUMMYFUNCTION("""COMPUTED_VALUE"""),"Maham")</f>
        <v>Maham</v>
      </c>
      <c r="D830" s="10" t="str">
        <f>IFERROR(__xludf.DUMMYFUNCTION("""COMPUTED_VALUE"""),"03218118680")</f>
        <v>03218118680</v>
      </c>
      <c r="E830" s="10" t="str">
        <f>IFERROR(__xludf.DUMMYFUNCTION("""COMPUTED_VALUE"""),"Jamia Masjid Qaziya Nawali Jhang")</f>
        <v>Jamia Masjid Qaziya Nawali Jhang</v>
      </c>
      <c r="F830" s="10" t="str">
        <f>IFERROR(__xludf.DUMMYFUNCTION("""COMPUTED_VALUE"""),"vemox")</f>
        <v>vemox</v>
      </c>
      <c r="G830" s="10" t="str">
        <f>IFERROR(__xludf.DUMMYFUNCTION("""COMPUTED_VALUE"""),"No")</f>
        <v>No</v>
      </c>
      <c r="H830" s="10"/>
      <c r="I830" s="10"/>
      <c r="J830" s="10"/>
      <c r="K830" s="10">
        <f>IFERROR(__xludf.DUMMYFUNCTION("""COMPUTED_VALUE"""),2.0)</f>
        <v>2</v>
      </c>
      <c r="L830" s="10">
        <f>IFERROR(__xludf.DUMMYFUNCTION("""COMPUTED_VALUE"""),0.0)</f>
        <v>0</v>
      </c>
      <c r="M830" s="10">
        <f>IFERROR(__xludf.DUMMYFUNCTION("""COMPUTED_VALUE"""),2.0)</f>
        <v>2</v>
      </c>
      <c r="N830" s="10">
        <f>IFERROR(__xludf.DUMMYFUNCTION("""COMPUTED_VALUE"""),0.0)</f>
        <v>0</v>
      </c>
      <c r="O830" s="10">
        <f>IFERROR(__xludf.DUMMYFUNCTION("""COMPUTED_VALUE"""),0.0)</f>
        <v>0</v>
      </c>
      <c r="P830" s="10">
        <f>IFERROR(__xludf.DUMMYFUNCTION("""COMPUTED_VALUE"""),0.0)</f>
        <v>0</v>
      </c>
      <c r="Q830" s="10" t="str">
        <f>IFERROR(__xludf.DUMMYFUNCTION("""COMPUTED_VALUE"""),"No")</f>
        <v>No</v>
      </c>
      <c r="R830" s="10" t="str">
        <f>IFERROR(__xludf.DUMMYFUNCTION("""COMPUTED_VALUE"""),"No")</f>
        <v>No</v>
      </c>
      <c r="S830" s="10" t="str">
        <f>IFERROR(__xludf.DUMMYFUNCTION("""COMPUTED_VALUE"""),"No")</f>
        <v>No</v>
      </c>
      <c r="T830" s="10">
        <f>IFERROR(__xludf.DUMMYFUNCTION("""COMPUTED_VALUE"""),0.0)</f>
        <v>0</v>
      </c>
      <c r="U830" s="10">
        <f>IFERROR(__xludf.DUMMYFUNCTION("""COMPUTED_VALUE"""),0.0)</f>
        <v>0</v>
      </c>
      <c r="V830" s="10" t="str">
        <f>IFERROR(__xludf.DUMMYFUNCTION("""COMPUTED_VALUE"""),"اللہ تعالی کی وحدانیت لوگوں کے ساتھ صلہ رحمی اپنی بہنوں کے ساتھ اچھا سلوک اور مہمانوں کا استقبال اور جانوروں کی خدمت")</f>
        <v>اللہ تعالی کی وحدانیت لوگوں کے ساتھ صلہ رحمی اپنی بہنوں کے ساتھ اچھا سلوک اور مہمانوں کا استقبال اور جانوروں کی خدمت</v>
      </c>
      <c r="W830" s="10" t="str">
        <f>IFERROR(__xludf.DUMMYFUNCTION("""COMPUTED_VALUE"""),"اللہ تعالی کے وحدانیت اللہ تعالی کی خالص نیت کے ساتھ عبادت کی جائے اس کے ساتھ کسی کو شریک نہ ٹھہرایا جائے لوگوں کے ساتھ صلح رحمی کرو اپنی ہمشیرہ کے گھر جاؤ تو کچھ نہ کچھ لے کے جاؤ مہمانوں کا رزق اللہ تعالی پہلے ہی عطا کر دیتا ہے اور چرند پرند کو دانہ ڈالو")</f>
        <v>اللہ تعالی کے وحدانیت اللہ تعالی کی خالص نیت کے ساتھ عبادت کی جائے اس کے ساتھ کسی کو شریک نہ ٹھہرایا جائے لوگوں کے ساتھ صلح رحمی کرو اپنی ہمشیرہ کے گھر جاؤ تو کچھ نہ کچھ لے کے جاؤ مہمانوں کا رزق اللہ تعالی پہلے ہی عطا کر دیتا ہے اور چرند پرند کو دانہ ڈالو</v>
      </c>
      <c r="X830" s="10">
        <f>IFERROR(__xludf.DUMMYFUNCTION("""COMPUTED_VALUE"""),8.0)</f>
        <v>8</v>
      </c>
      <c r="Y830" s="10">
        <f>IFERROR(__xludf.DUMMYFUNCTION("""COMPUTED_VALUE"""),7.0)</f>
        <v>7</v>
      </c>
      <c r="Z830" s="10">
        <f>IFERROR(__xludf.DUMMYFUNCTION("""COMPUTED_VALUE"""),6.0)</f>
        <v>6</v>
      </c>
      <c r="AA830" s="10">
        <f>IFERROR(__xludf.DUMMYFUNCTION("""COMPUTED_VALUE"""),7.0)</f>
        <v>7</v>
      </c>
      <c r="AB830" s="10">
        <f>IFERROR(__xludf.DUMMYFUNCTION("""COMPUTED_VALUE"""),5.0)</f>
        <v>5</v>
      </c>
      <c r="AC830" s="10">
        <f>IFERROR(__xludf.DUMMYFUNCTION("""COMPUTED_VALUE"""),2.0)</f>
        <v>2</v>
      </c>
      <c r="AD830" s="10">
        <f>IFERROR(__xludf.DUMMYFUNCTION("""COMPUTED_VALUE"""),3.0)</f>
        <v>3</v>
      </c>
      <c r="AE830" s="10">
        <f>IFERROR(__xludf.DUMMYFUNCTION("""COMPUTED_VALUE"""),1.0)</f>
        <v>1</v>
      </c>
      <c r="AF830" s="10">
        <f>IFERROR(__xludf.DUMMYFUNCTION("""COMPUTED_VALUE"""),6.0)</f>
        <v>6</v>
      </c>
      <c r="AG830" s="10">
        <f>IFERROR(__xludf.DUMMYFUNCTION("""COMPUTED_VALUE"""),7.0)</f>
        <v>7</v>
      </c>
      <c r="AH830" s="10">
        <f>IFERROR(__xludf.DUMMYFUNCTION("""COMPUTED_VALUE"""),1.0)</f>
        <v>1</v>
      </c>
      <c r="AI830" s="10">
        <f>IFERROR(__xludf.DUMMYFUNCTION("""COMPUTED_VALUE"""),9.0)</f>
        <v>9</v>
      </c>
      <c r="AJ830" s="11" t="str">
        <f>IFERROR(__xludf.DUMMYFUNCTION("""COMPUTED_VALUE"""),"https://drive.google.com/open?id=1PX5oWRSvv-mKJcrfQiKBhoENez3sCj9V")</f>
        <v>https://drive.google.com/open?id=1PX5oWRSvv-mKJcrfQiKBhoENez3sCj9V</v>
      </c>
      <c r="AK830" s="12"/>
      <c r="AL830" s="12"/>
      <c r="AM830" s="12"/>
      <c r="AN830" s="12" t="str">
        <f>IFERROR(__xludf.DUMMYFUNCTION("""COMPUTED_VALUE"""),"3rd week")</f>
        <v>3rd week</v>
      </c>
      <c r="AO830" s="13">
        <v>3.0</v>
      </c>
      <c r="AX830" s="17"/>
    </row>
    <row r="831">
      <c r="B831" s="9">
        <f>IFERROR(__xludf.DUMMYFUNCTION("""COMPUTED_VALUE"""),45968.8295137963)</f>
        <v>45968.82951</v>
      </c>
      <c r="C831" s="10" t="str">
        <f>IFERROR(__xludf.DUMMYFUNCTION("""COMPUTED_VALUE"""),"Maham")</f>
        <v>Maham</v>
      </c>
      <c r="D831" s="10" t="str">
        <f>IFERROR(__xludf.DUMMYFUNCTION("""COMPUTED_VALUE"""),"03218118680")</f>
        <v>03218118680</v>
      </c>
      <c r="E831" s="10" t="str">
        <f>IFERROR(__xludf.DUMMYFUNCTION("""COMPUTED_VALUE"""),"Jamia Masjid Eid Ghah Madal Town B Faisalabad")</f>
        <v>Jamia Masjid Eid Ghah Madal Town B Faisalabad</v>
      </c>
      <c r="F831" s="10" t="str">
        <f>IFERROR(__xludf.DUMMYFUNCTION("""COMPUTED_VALUE"""),"vldwg")</f>
        <v>vldwg</v>
      </c>
      <c r="G831" s="10" t="str">
        <f>IFERROR(__xludf.DUMMYFUNCTION("""COMPUTED_VALUE"""),"Yes")</f>
        <v>Yes</v>
      </c>
      <c r="H831" s="10">
        <f>IFERROR(__xludf.DUMMYFUNCTION("""COMPUTED_VALUE"""),0.0)</f>
        <v>0</v>
      </c>
      <c r="I831" s="10">
        <f>IFERROR(__xludf.DUMMYFUNCTION("""COMPUTED_VALUE"""),10.0)</f>
        <v>10</v>
      </c>
      <c r="J831" s="10">
        <f>IFERROR(__xludf.DUMMYFUNCTION("""COMPUTED_VALUE"""),1.0)</f>
        <v>1</v>
      </c>
      <c r="K831" s="10">
        <f>IFERROR(__xludf.DUMMYFUNCTION("""COMPUTED_VALUE"""),1.0)</f>
        <v>1</v>
      </c>
      <c r="L831" s="10">
        <f>IFERROR(__xludf.DUMMYFUNCTION("""COMPUTED_VALUE"""),0.0)</f>
        <v>0</v>
      </c>
      <c r="M831" s="10">
        <f>IFERROR(__xludf.DUMMYFUNCTION("""COMPUTED_VALUE"""),1.0)</f>
        <v>1</v>
      </c>
      <c r="N831" s="10">
        <f>IFERROR(__xludf.DUMMYFUNCTION("""COMPUTED_VALUE"""),0.0)</f>
        <v>0</v>
      </c>
      <c r="O831" s="10">
        <f>IFERROR(__xludf.DUMMYFUNCTION("""COMPUTED_VALUE"""),0.0)</f>
        <v>0</v>
      </c>
      <c r="P831" s="10">
        <f>IFERROR(__xludf.DUMMYFUNCTION("""COMPUTED_VALUE"""),0.0)</f>
        <v>0</v>
      </c>
      <c r="Q831" s="10" t="str">
        <f>IFERROR(__xludf.DUMMYFUNCTION("""COMPUTED_VALUE"""),"No")</f>
        <v>No</v>
      </c>
      <c r="R831" s="10" t="str">
        <f>IFERROR(__xludf.DUMMYFUNCTION("""COMPUTED_VALUE"""),"No")</f>
        <v>No</v>
      </c>
      <c r="S831" s="10" t="str">
        <f>IFERROR(__xludf.DUMMYFUNCTION("""COMPUTED_VALUE"""),"Yes")</f>
        <v>Yes</v>
      </c>
      <c r="T831" s="10">
        <f>IFERROR(__xludf.DUMMYFUNCTION("""COMPUTED_VALUE"""),0.0)</f>
        <v>0</v>
      </c>
      <c r="U831" s="10">
        <f>IFERROR(__xludf.DUMMYFUNCTION("""COMPUTED_VALUE"""),0.0)</f>
        <v>0</v>
      </c>
      <c r="V831" s="10" t="str">
        <f>IFERROR(__xludf.DUMMYFUNCTION("""COMPUTED_VALUE"""),"دین کی دعوت")</f>
        <v>دین کی دعوت</v>
      </c>
      <c r="W831" s="10" t="str">
        <f>IFERROR(__xludf.DUMMYFUNCTION("""COMPUTED_VALUE"""),"دین کی دعوت دیں اور نبی کریم صلی اللہ علیہ وسلم نے دین کے لیے کتنی تکالیف برداشت کی اور سیدنا حضرت ابوبکر صدیق نے لیکن دین کی دعوت سے پیچھے نہ ہٹے عورتوں میں سب سے پہلے حضرت خدیجۃ الکبری نے اسلام قبول کیا اور مردوں میں سب سے پہلے حضرت ابوبکر صدیق نے")</f>
        <v>دین کی دعوت دیں اور نبی کریم صلی اللہ علیہ وسلم نے دین کے لیے کتنی تکالیف برداشت کی اور سیدنا حضرت ابوبکر صدیق نے لیکن دین کی دعوت سے پیچھے نہ ہٹے عورتوں میں سب سے پہلے حضرت خدیجۃ الکبری نے اسلام قبول کیا اور مردوں میں سب سے پہلے حضرت ابوبکر صدیق نے</v>
      </c>
      <c r="X831" s="10">
        <f>IFERROR(__xludf.DUMMYFUNCTION("""COMPUTED_VALUE"""),8.0)</f>
        <v>8</v>
      </c>
      <c r="Y831" s="10">
        <f>IFERROR(__xludf.DUMMYFUNCTION("""COMPUTED_VALUE"""),6.0)</f>
        <v>6</v>
      </c>
      <c r="Z831" s="10">
        <f>IFERROR(__xludf.DUMMYFUNCTION("""COMPUTED_VALUE"""),6.0)</f>
        <v>6</v>
      </c>
      <c r="AA831" s="10">
        <f>IFERROR(__xludf.DUMMYFUNCTION("""COMPUTED_VALUE"""),8.0)</f>
        <v>8</v>
      </c>
      <c r="AB831" s="10">
        <f>IFERROR(__xludf.DUMMYFUNCTION("""COMPUTED_VALUE"""),7.0)</f>
        <v>7</v>
      </c>
      <c r="AC831" s="10">
        <f>IFERROR(__xludf.DUMMYFUNCTION("""COMPUTED_VALUE"""),1.0)</f>
        <v>1</v>
      </c>
      <c r="AD831" s="10">
        <f>IFERROR(__xludf.DUMMYFUNCTION("""COMPUTED_VALUE"""),1.0)</f>
        <v>1</v>
      </c>
      <c r="AE831" s="10">
        <f>IFERROR(__xludf.DUMMYFUNCTION("""COMPUTED_VALUE"""),0.0)</f>
        <v>0</v>
      </c>
      <c r="AF831" s="10">
        <f>IFERROR(__xludf.DUMMYFUNCTION("""COMPUTED_VALUE"""),6.0)</f>
        <v>6</v>
      </c>
      <c r="AG831" s="10">
        <f>IFERROR(__xludf.DUMMYFUNCTION("""COMPUTED_VALUE"""),8.0)</f>
        <v>8</v>
      </c>
      <c r="AH831" s="10">
        <f>IFERROR(__xludf.DUMMYFUNCTION("""COMPUTED_VALUE"""),2.0)</f>
        <v>2</v>
      </c>
      <c r="AI831" s="10">
        <f>IFERROR(__xludf.DUMMYFUNCTION("""COMPUTED_VALUE"""),9.0)</f>
        <v>9</v>
      </c>
      <c r="AJ831" s="11" t="str">
        <f>IFERROR(__xludf.DUMMYFUNCTION("""COMPUTED_VALUE"""),"https://drive.google.com/open?id=1993-PW9ns9q6ks9LnQpYOqRkNaodg1Hp")</f>
        <v>https://drive.google.com/open?id=1993-PW9ns9q6ks9LnQpYOqRkNaodg1Hp</v>
      </c>
      <c r="AK831" s="12"/>
      <c r="AL831" s="12" t="str">
        <f>IFERROR(__xludf.DUMMYFUNCTION("""COMPUTED_VALUE"""),"Yes")</f>
        <v>Yes</v>
      </c>
      <c r="AM831" s="15">
        <f>IFERROR(__xludf.DUMMYFUNCTION("""COMPUTED_VALUE"""),0.1)</f>
        <v>0.1</v>
      </c>
      <c r="AN831" s="12" t="str">
        <f>IFERROR(__xludf.DUMMYFUNCTION("""COMPUTED_VALUE"""),"3rd week")</f>
        <v>3rd week</v>
      </c>
      <c r="AO831" s="13">
        <v>3.0</v>
      </c>
      <c r="AX831" s="17"/>
    </row>
    <row r="832">
      <c r="B832" s="9">
        <f>IFERROR(__xludf.DUMMYFUNCTION("""COMPUTED_VALUE"""),45968.899007534725)</f>
        <v>45968.89901</v>
      </c>
      <c r="C832" s="10" t="str">
        <f>IFERROR(__xludf.DUMMYFUNCTION("""COMPUTED_VALUE"""),"Maham")</f>
        <v>Maham</v>
      </c>
      <c r="D832" s="10" t="str">
        <f>IFERROR(__xludf.DUMMYFUNCTION("""COMPUTED_VALUE"""),"03218118680")</f>
        <v>03218118680</v>
      </c>
      <c r="E832" s="10" t="str">
        <f>IFERROR(__xludf.DUMMYFUNCTION("""COMPUTED_VALUE"""),"Jamia Masjid Islam Pura Dhobi Ghaat Faisalabad")</f>
        <v>Jamia Masjid Islam Pura Dhobi Ghaat Faisalabad</v>
      </c>
      <c r="F832" s="10" t="str">
        <f>IFERROR(__xludf.DUMMYFUNCTION("""COMPUTED_VALUE"""),"cfcvk")</f>
        <v>cfcvk</v>
      </c>
      <c r="G832" s="10" t="str">
        <f>IFERROR(__xludf.DUMMYFUNCTION("""COMPUTED_VALUE"""),"Yes")</f>
        <v>Yes</v>
      </c>
      <c r="H832" s="10">
        <f>IFERROR(__xludf.DUMMYFUNCTION("""COMPUTED_VALUE"""),0.0)</f>
        <v>0</v>
      </c>
      <c r="I832" s="10">
        <f>IFERROR(__xludf.DUMMYFUNCTION("""COMPUTED_VALUE"""),10.0)</f>
        <v>10</v>
      </c>
      <c r="J832" s="10">
        <f>IFERROR(__xludf.DUMMYFUNCTION("""COMPUTED_VALUE"""),0.0)</f>
        <v>0</v>
      </c>
      <c r="K832" s="10">
        <f>IFERROR(__xludf.DUMMYFUNCTION("""COMPUTED_VALUE"""),0.0)</f>
        <v>0</v>
      </c>
      <c r="L832" s="10">
        <f>IFERROR(__xludf.DUMMYFUNCTION("""COMPUTED_VALUE"""),0.0)</f>
        <v>0</v>
      </c>
      <c r="M832" s="10">
        <f>IFERROR(__xludf.DUMMYFUNCTION("""COMPUTED_VALUE"""),0.0)</f>
        <v>0</v>
      </c>
      <c r="N832" s="10">
        <f>IFERROR(__xludf.DUMMYFUNCTION("""COMPUTED_VALUE"""),0.0)</f>
        <v>0</v>
      </c>
      <c r="O832" s="10">
        <f>IFERROR(__xludf.DUMMYFUNCTION("""COMPUTED_VALUE"""),0.0)</f>
        <v>0</v>
      </c>
      <c r="P832" s="10">
        <f>IFERROR(__xludf.DUMMYFUNCTION("""COMPUTED_VALUE"""),0.0)</f>
        <v>0</v>
      </c>
      <c r="Q832" s="10" t="str">
        <f>IFERROR(__xludf.DUMMYFUNCTION("""COMPUTED_VALUE"""),"No")</f>
        <v>No</v>
      </c>
      <c r="R832" s="10" t="str">
        <f>IFERROR(__xludf.DUMMYFUNCTION("""COMPUTED_VALUE"""),"No")</f>
        <v>No</v>
      </c>
      <c r="S832" s="10" t="str">
        <f>IFERROR(__xludf.DUMMYFUNCTION("""COMPUTED_VALUE"""),"No")</f>
        <v>No</v>
      </c>
      <c r="T832" s="10">
        <f>IFERROR(__xludf.DUMMYFUNCTION("""COMPUTED_VALUE"""),0.0)</f>
        <v>0</v>
      </c>
      <c r="U832" s="10">
        <f>IFERROR(__xludf.DUMMYFUNCTION("""COMPUTED_VALUE"""),0.0)</f>
        <v>0</v>
      </c>
      <c r="V832" s="10" t="str">
        <f>IFERROR(__xludf.DUMMYFUNCTION("""COMPUTED_VALUE"""),"والدین کے حقوق")</f>
        <v>والدین کے حقوق</v>
      </c>
      <c r="W832" s="10" t="str">
        <f>IFERROR(__xludf.DUMMYFUNCTION("""COMPUTED_VALUE"""),"والدین کے حقوق بیان کیے گئے")</f>
        <v>والدین کے حقوق بیان کیے گئے</v>
      </c>
      <c r="X832" s="10">
        <f>IFERROR(__xludf.DUMMYFUNCTION("""COMPUTED_VALUE"""),4.0)</f>
        <v>4</v>
      </c>
      <c r="Y832" s="10">
        <f>IFERROR(__xludf.DUMMYFUNCTION("""COMPUTED_VALUE"""),9.0)</f>
        <v>9</v>
      </c>
      <c r="Z832" s="10">
        <f>IFERROR(__xludf.DUMMYFUNCTION("""COMPUTED_VALUE"""),8.0)</f>
        <v>8</v>
      </c>
      <c r="AA832" s="10">
        <f>IFERROR(__xludf.DUMMYFUNCTION("""COMPUTED_VALUE"""),7.0)</f>
        <v>7</v>
      </c>
      <c r="AB832" s="10">
        <f>IFERROR(__xludf.DUMMYFUNCTION("""COMPUTED_VALUE"""),5.0)</f>
        <v>5</v>
      </c>
      <c r="AC832" s="10">
        <f>IFERROR(__xludf.DUMMYFUNCTION("""COMPUTED_VALUE"""),1.0)</f>
        <v>1</v>
      </c>
      <c r="AD832" s="10">
        <f>IFERROR(__xludf.DUMMYFUNCTION("""COMPUTED_VALUE"""),1.0)</f>
        <v>1</v>
      </c>
      <c r="AE832" s="10">
        <f>IFERROR(__xludf.DUMMYFUNCTION("""COMPUTED_VALUE"""),0.0)</f>
        <v>0</v>
      </c>
      <c r="AF832" s="10">
        <f>IFERROR(__xludf.DUMMYFUNCTION("""COMPUTED_VALUE"""),7.0)</f>
        <v>7</v>
      </c>
      <c r="AG832" s="10">
        <f>IFERROR(__xludf.DUMMYFUNCTION("""COMPUTED_VALUE"""),8.0)</f>
        <v>8</v>
      </c>
      <c r="AH832" s="10">
        <f>IFERROR(__xludf.DUMMYFUNCTION("""COMPUTED_VALUE"""),0.0)</f>
        <v>0</v>
      </c>
      <c r="AI832" s="10">
        <f>IFERROR(__xludf.DUMMYFUNCTION("""COMPUTED_VALUE"""),9.0)</f>
        <v>9</v>
      </c>
      <c r="AJ832" s="11" t="str">
        <f>IFERROR(__xludf.DUMMYFUNCTION("""COMPUTED_VALUE"""),"https://drive.google.com/open?id=1iZWI0uc5eB0Q3NM80H01IcKYF3qpqnBT")</f>
        <v>https://drive.google.com/open?id=1iZWI0uc5eB0Q3NM80H01IcKYF3qpqnBT</v>
      </c>
      <c r="AK832" s="12" t="str">
        <f>IFERROR(__xludf.DUMMYFUNCTION("""COMPUTED_VALUE"""),"امام نے یہ کہتے ہوئے بات شروع کی کہ گزشتہ جمعہ ہم نے پڑوسیوں کے حقوق پر بات کی اور پھر والدین کے حقوق پر بات شروع کر دی")</f>
        <v>امام نے یہ کہتے ہوئے بات شروع کی کہ گزشتہ جمعہ ہم نے پڑوسیوں کے حقوق پر بات کی اور پھر والدین کے حقوق پر بات شروع کر دی</v>
      </c>
      <c r="AL832" s="12" t="str">
        <f>IFERROR(__xludf.DUMMYFUNCTION("""COMPUTED_VALUE"""),"Yes")</f>
        <v>Yes</v>
      </c>
      <c r="AM832" s="15">
        <f>IFERROR(__xludf.DUMMYFUNCTION("""COMPUTED_VALUE"""),0.0)</f>
        <v>0</v>
      </c>
      <c r="AN832" s="12" t="str">
        <f>IFERROR(__xludf.DUMMYFUNCTION("""COMPUTED_VALUE"""),"3rd week")</f>
        <v>3rd week</v>
      </c>
      <c r="AO832" s="13">
        <v>3.0</v>
      </c>
      <c r="AX832" s="17"/>
    </row>
    <row r="833">
      <c r="B833" s="9">
        <f>IFERROR(__xludf.DUMMYFUNCTION("""COMPUTED_VALUE"""),45968.9278509838)</f>
        <v>45968.92785</v>
      </c>
      <c r="C833" s="10" t="str">
        <f>IFERROR(__xludf.DUMMYFUNCTION("""COMPUTED_VALUE"""),"Mohsin Raza ")</f>
        <v>Mohsin Raza </v>
      </c>
      <c r="D833" s="10" t="str">
        <f>IFERROR(__xludf.DUMMYFUNCTION("""COMPUTED_VALUE"""),"03014497860")</f>
        <v>03014497860</v>
      </c>
      <c r="E833" s="10" t="str">
        <f>IFERROR(__xludf.DUMMYFUNCTION("""COMPUTED_VALUE"""),"Jamia Masjid Lariadda Shahkot ")</f>
        <v>Jamia Masjid Lariadda Shahkot </v>
      </c>
      <c r="F833" s="10" t="str">
        <f>IFERROR(__xludf.DUMMYFUNCTION("""COMPUTED_VALUE"""),"FJUPE ")</f>
        <v>FJUPE </v>
      </c>
      <c r="G833" s="10" t="str">
        <f>IFERROR(__xludf.DUMMYFUNCTION("""COMPUTED_VALUE"""),"No")</f>
        <v>No</v>
      </c>
      <c r="H833" s="10"/>
      <c r="I833" s="10"/>
      <c r="J833" s="10"/>
      <c r="K833" s="10">
        <f>IFERROR(__xludf.DUMMYFUNCTION("""COMPUTED_VALUE"""),5.0)</f>
        <v>5</v>
      </c>
      <c r="L833" s="10">
        <f>IFERROR(__xludf.DUMMYFUNCTION("""COMPUTED_VALUE"""),5.0)</f>
        <v>5</v>
      </c>
      <c r="M833" s="10">
        <f>IFERROR(__xludf.DUMMYFUNCTION("""COMPUTED_VALUE"""),7.0)</f>
        <v>7</v>
      </c>
      <c r="N833" s="10">
        <f>IFERROR(__xludf.DUMMYFUNCTION("""COMPUTED_VALUE"""),6.0)</f>
        <v>6</v>
      </c>
      <c r="O833" s="10">
        <f>IFERROR(__xludf.DUMMYFUNCTION("""COMPUTED_VALUE"""),5.0)</f>
        <v>5</v>
      </c>
      <c r="P833" s="10">
        <f>IFERROR(__xludf.DUMMYFUNCTION("""COMPUTED_VALUE"""),8.0)</f>
        <v>8</v>
      </c>
      <c r="Q833" s="10" t="str">
        <f>IFERROR(__xludf.DUMMYFUNCTION("""COMPUTED_VALUE"""),"Yes")</f>
        <v>Yes</v>
      </c>
      <c r="R833" s="10" t="str">
        <f>IFERROR(__xludf.DUMMYFUNCTION("""COMPUTED_VALUE"""),"Yes")</f>
        <v>Yes</v>
      </c>
      <c r="S833" s="10" t="str">
        <f>IFERROR(__xludf.DUMMYFUNCTION("""COMPUTED_VALUE"""),"Yes")</f>
        <v>Yes</v>
      </c>
      <c r="T833" s="10">
        <f>IFERROR(__xludf.DUMMYFUNCTION("""COMPUTED_VALUE"""),5.0)</f>
        <v>5</v>
      </c>
      <c r="U833" s="10">
        <f>IFERROR(__xludf.DUMMYFUNCTION("""COMPUTED_VALUE"""),4.0)</f>
        <v>4</v>
      </c>
      <c r="V833" s="10" t="str">
        <f>IFERROR(__xludf.DUMMYFUNCTION("""COMPUTED_VALUE"""),"حقوق اللہ اور حقوق العباد ")</f>
        <v>حقوق اللہ اور حقوق العباد </v>
      </c>
      <c r="W833" s="10" t="str">
        <f>IFERROR(__xludf.DUMMYFUNCTION("""COMPUTED_VALUE"""),"حقوق اللہ اور حقوق العباد کا بیان کیا اور ہمسایوں کے ساتھ حسن سلوک سے پیش انےتاکیدکی")</f>
        <v>حقوق اللہ اور حقوق العباد کا بیان کیا اور ہمسایوں کے ساتھ حسن سلوک سے پیش انےتاکیدکی</v>
      </c>
      <c r="X833" s="10">
        <f>IFERROR(__xludf.DUMMYFUNCTION("""COMPUTED_VALUE"""),8.0)</f>
        <v>8</v>
      </c>
      <c r="Y833" s="10">
        <f>IFERROR(__xludf.DUMMYFUNCTION("""COMPUTED_VALUE"""),8.0)</f>
        <v>8</v>
      </c>
      <c r="Z833" s="10">
        <f>IFERROR(__xludf.DUMMYFUNCTION("""COMPUTED_VALUE"""),6.0)</f>
        <v>6</v>
      </c>
      <c r="AA833" s="10">
        <f>IFERROR(__xludf.DUMMYFUNCTION("""COMPUTED_VALUE"""),4.0)</f>
        <v>4</v>
      </c>
      <c r="AB833" s="10">
        <f>IFERROR(__xludf.DUMMYFUNCTION("""COMPUTED_VALUE"""),8.0)</f>
        <v>8</v>
      </c>
      <c r="AC833" s="10">
        <f>IFERROR(__xludf.DUMMYFUNCTION("""COMPUTED_VALUE"""),0.0)</f>
        <v>0</v>
      </c>
      <c r="AD833" s="10">
        <f>IFERROR(__xludf.DUMMYFUNCTION("""COMPUTED_VALUE"""),5.0)</f>
        <v>5</v>
      </c>
      <c r="AE833" s="10">
        <f>IFERROR(__xludf.DUMMYFUNCTION("""COMPUTED_VALUE"""),6.0)</f>
        <v>6</v>
      </c>
      <c r="AF833" s="10">
        <f>IFERROR(__xludf.DUMMYFUNCTION("""COMPUTED_VALUE"""),7.0)</f>
        <v>7</v>
      </c>
      <c r="AG833" s="10">
        <f>IFERROR(__xludf.DUMMYFUNCTION("""COMPUTED_VALUE"""),6.0)</f>
        <v>6</v>
      </c>
      <c r="AH833" s="10">
        <f>IFERROR(__xludf.DUMMYFUNCTION("""COMPUTED_VALUE"""),0.0)</f>
        <v>0</v>
      </c>
      <c r="AI833" s="10">
        <f>IFERROR(__xludf.DUMMYFUNCTION("""COMPUTED_VALUE"""),7.0)</f>
        <v>7</v>
      </c>
      <c r="AJ833" s="11" t="str">
        <f>IFERROR(__xludf.DUMMYFUNCTION("""COMPUTED_VALUE"""),"https://drive.google.com/open?id=1ndMXDSp8Fuw3_VvIkNKts919bTJkc8-Q")</f>
        <v>https://drive.google.com/open?id=1ndMXDSp8Fuw3_VvIkNKts919bTJkc8-Q</v>
      </c>
      <c r="AK833" s="12" t="str">
        <f>IFERROR(__xludf.DUMMYFUNCTION("""COMPUTED_VALUE"""),"People noted me ")</f>
        <v>People noted me </v>
      </c>
      <c r="AL833" s="12"/>
      <c r="AM833" s="12"/>
      <c r="AN833" s="12" t="str">
        <f>IFERROR(__xludf.DUMMYFUNCTION("""COMPUTED_VALUE"""),"2nd week")</f>
        <v>2nd week</v>
      </c>
      <c r="AO833" s="13">
        <v>2.0</v>
      </c>
      <c r="AX833" s="17"/>
    </row>
    <row r="834">
      <c r="B834" s="9">
        <f>IFERROR(__xludf.DUMMYFUNCTION("""COMPUTED_VALUE"""),45969.26357708333)</f>
        <v>45969.26358</v>
      </c>
      <c r="C834" s="10" t="str">
        <f>IFERROR(__xludf.DUMMYFUNCTION("""COMPUTED_VALUE"""),"Atiqa ")</f>
        <v>Atiqa </v>
      </c>
      <c r="D834" s="10" t="str">
        <f>IFERROR(__xludf.DUMMYFUNCTION("""COMPUTED_VALUE"""),"03157519977")</f>
        <v>03157519977</v>
      </c>
      <c r="E834" s="10" t="str">
        <f>IFERROR(__xludf.DUMMYFUNCTION("""COMPUTED_VALUE"""),"Jamia Masjid Hanfiya Ghazi Abad Faisalabad")</f>
        <v>Jamia Masjid Hanfiya Ghazi Abad Faisalabad</v>
      </c>
      <c r="F834" s="10" t="str">
        <f>IFERROR(__xludf.DUMMYFUNCTION("""COMPUTED_VALUE"""),"ldkri")</f>
        <v>ldkri</v>
      </c>
      <c r="G834" s="10" t="str">
        <f>IFERROR(__xludf.DUMMYFUNCTION("""COMPUTED_VALUE"""),"No")</f>
        <v>No</v>
      </c>
      <c r="H834" s="10"/>
      <c r="I834" s="10"/>
      <c r="J834" s="10"/>
      <c r="K834" s="10">
        <f>IFERROR(__xludf.DUMMYFUNCTION("""COMPUTED_VALUE"""),0.0)</f>
        <v>0</v>
      </c>
      <c r="L834" s="10">
        <f>IFERROR(__xludf.DUMMYFUNCTION("""COMPUTED_VALUE"""),0.0)</f>
        <v>0</v>
      </c>
      <c r="M834" s="10">
        <f>IFERROR(__xludf.DUMMYFUNCTION("""COMPUTED_VALUE"""),0.0)</f>
        <v>0</v>
      </c>
      <c r="N834" s="10">
        <f>IFERROR(__xludf.DUMMYFUNCTION("""COMPUTED_VALUE"""),0.0)</f>
        <v>0</v>
      </c>
      <c r="O834" s="10">
        <f>IFERROR(__xludf.DUMMYFUNCTION("""COMPUTED_VALUE"""),0.0)</f>
        <v>0</v>
      </c>
      <c r="P834" s="10">
        <f>IFERROR(__xludf.DUMMYFUNCTION("""COMPUTED_VALUE"""),0.0)</f>
        <v>0</v>
      </c>
      <c r="Q834" s="10" t="str">
        <f>IFERROR(__xludf.DUMMYFUNCTION("""COMPUTED_VALUE"""),"No")</f>
        <v>No</v>
      </c>
      <c r="R834" s="10" t="str">
        <f>IFERROR(__xludf.DUMMYFUNCTION("""COMPUTED_VALUE"""),"No")</f>
        <v>No</v>
      </c>
      <c r="S834" s="10" t="str">
        <f>IFERROR(__xludf.DUMMYFUNCTION("""COMPUTED_VALUE"""),"No")</f>
        <v>No</v>
      </c>
      <c r="T834" s="10">
        <f>IFERROR(__xludf.DUMMYFUNCTION("""COMPUTED_VALUE"""),0.0)</f>
        <v>0</v>
      </c>
      <c r="U834" s="10">
        <f>IFERROR(__xludf.DUMMYFUNCTION("""COMPUTED_VALUE"""),0.0)</f>
        <v>0</v>
      </c>
      <c r="V834" s="10" t="str">
        <f>IFERROR(__xludf.DUMMYFUNCTION("""COMPUTED_VALUE"""),"قران اور مقام رسالت ")</f>
        <v>قران اور مقام رسالت </v>
      </c>
      <c r="W834" s="10" t="str">
        <f>IFERROR(__xludf.DUMMYFUNCTION("""COMPUTED_VALUE"""),"اللہ تعالی کا حضور صلی اللہ علیہ وسلم کو مقام و مرتبہ دینا اور معراج کے موقع پر عرش پر بلانا بیان کیا جانوروں کا حضور صلی اللہ علیہ وسلم کے سامنے جھکنا اور مخلوق کو حضور صلی اللہ علیہ وسلم کے سامنے سجدہ ریز ہونے سے منع فرمایا ایسا کرنے والا کافر اور مشرک "&amp;"کہلائے گا، اور رسول صلی اللہ علیہ وسلم کی اطاعت کے متعلق بیان کیا گیا، اور یہ کہ قران پاک میں حضور صلی اللہ علیہ وسلم کی اطاعت کے متعلق 40 ایات بیان کی گئی ہیں اور یہ کہ جب بھی اللہ کا رسول صلی اللہ علیہ وسلم بلائیں تو فورا حاضر ہو جائیں جس بھی حالت میں ہ"&amp;"وں ")</f>
        <v>اللہ تعالی کا حضور صلی اللہ علیہ وسلم کو مقام و مرتبہ دینا اور معراج کے موقع پر عرش پر بلانا بیان کیا جانوروں کا حضور صلی اللہ علیہ وسلم کے سامنے جھکنا اور مخلوق کو حضور صلی اللہ علیہ وسلم کے سامنے سجدہ ریز ہونے سے منع فرمایا ایسا کرنے والا کافر اور مشرک کہلائے گا، اور رسول صلی اللہ علیہ وسلم کی اطاعت کے متعلق بیان کیا گیا، اور یہ کہ قران پاک میں حضور صلی اللہ علیہ وسلم کی اطاعت کے متعلق 40 ایات بیان کی گئی ہیں اور یہ کہ جب بھی اللہ کا رسول صلی اللہ علیہ وسلم بلائیں تو فورا حاضر ہو جائیں جس بھی حالت میں ہوں </v>
      </c>
      <c r="X834" s="10">
        <f>IFERROR(__xludf.DUMMYFUNCTION("""COMPUTED_VALUE"""),8.0)</f>
        <v>8</v>
      </c>
      <c r="Y834" s="10">
        <f>IFERROR(__xludf.DUMMYFUNCTION("""COMPUTED_VALUE"""),2.0)</f>
        <v>2</v>
      </c>
      <c r="Z834" s="10">
        <f>IFERROR(__xludf.DUMMYFUNCTION("""COMPUTED_VALUE"""),4.0)</f>
        <v>4</v>
      </c>
      <c r="AA834" s="10">
        <f>IFERROR(__xludf.DUMMYFUNCTION("""COMPUTED_VALUE"""),8.0)</f>
        <v>8</v>
      </c>
      <c r="AB834" s="10">
        <f>IFERROR(__xludf.DUMMYFUNCTION("""COMPUTED_VALUE"""),7.0)</f>
        <v>7</v>
      </c>
      <c r="AC834" s="10">
        <f>IFERROR(__xludf.DUMMYFUNCTION("""COMPUTED_VALUE"""),0.0)</f>
        <v>0</v>
      </c>
      <c r="AD834" s="10">
        <f>IFERROR(__xludf.DUMMYFUNCTION("""COMPUTED_VALUE"""),0.0)</f>
        <v>0</v>
      </c>
      <c r="AE834" s="10">
        <f>IFERROR(__xludf.DUMMYFUNCTION("""COMPUTED_VALUE"""),1.0)</f>
        <v>1</v>
      </c>
      <c r="AF834" s="10">
        <f>IFERROR(__xludf.DUMMYFUNCTION("""COMPUTED_VALUE"""),2.0)</f>
        <v>2</v>
      </c>
      <c r="AG834" s="10">
        <f>IFERROR(__xludf.DUMMYFUNCTION("""COMPUTED_VALUE"""),8.0)</f>
        <v>8</v>
      </c>
      <c r="AH834" s="10">
        <f>IFERROR(__xludf.DUMMYFUNCTION("""COMPUTED_VALUE"""),0.0)</f>
        <v>0</v>
      </c>
      <c r="AI834" s="10">
        <f>IFERROR(__xludf.DUMMYFUNCTION("""COMPUTED_VALUE"""),9.0)</f>
        <v>9</v>
      </c>
      <c r="AJ834" s="11" t="str">
        <f>IFERROR(__xludf.DUMMYFUNCTION("""COMPUTED_VALUE"""),"https://drive.google.com/open?id=120srCZ3YhCgy5wfVH09O5P48QVFVzOJBrhZPr-ltXis")</f>
        <v>https://drive.google.com/open?id=120srCZ3YhCgy5wfVH09O5P48QVFVzOJBrhZPr-ltXis</v>
      </c>
      <c r="AK834" s="12"/>
      <c r="AL834" s="12"/>
      <c r="AM834" s="12"/>
      <c r="AN834" s="12" t="str">
        <f>IFERROR(__xludf.DUMMYFUNCTION("""COMPUTED_VALUE"""),"3rd week")</f>
        <v>3rd week</v>
      </c>
      <c r="AO834" s="13">
        <v>3.0</v>
      </c>
      <c r="AX834" s="17"/>
    </row>
    <row r="835">
      <c r="B835" s="9">
        <f>IFERROR(__xludf.DUMMYFUNCTION("""COMPUTED_VALUE"""),45969.4615040625)</f>
        <v>45969.4615</v>
      </c>
      <c r="C835" s="10" t="str">
        <f>IFERROR(__xludf.DUMMYFUNCTION("""COMPUTED_VALUE"""),"Asma Gul ")</f>
        <v>Asma Gul </v>
      </c>
      <c r="D835" s="10" t="str">
        <f>IFERROR(__xludf.DUMMYFUNCTION("""COMPUTED_VALUE"""),"03459308620")</f>
        <v>03459308620</v>
      </c>
      <c r="E835" s="10" t="str">
        <f>IFERROR(__xludf.DUMMYFUNCTION("""COMPUTED_VALUE"""),"Jamia Masjid Taleem Ul Quran Gojara")</f>
        <v>Jamia Masjid Taleem Ul Quran Gojara</v>
      </c>
      <c r="F835" s="10" t="str">
        <f>IFERROR(__xludf.DUMMYFUNCTION("""COMPUTED_VALUE"""),"yxvut")</f>
        <v>yxvut</v>
      </c>
      <c r="G835" s="10" t="str">
        <f>IFERROR(__xludf.DUMMYFUNCTION("""COMPUTED_VALUE"""),"Yes")</f>
        <v>Yes</v>
      </c>
      <c r="H835" s="10">
        <f>IFERROR(__xludf.DUMMYFUNCTION("""COMPUTED_VALUE"""),10.0)</f>
        <v>10</v>
      </c>
      <c r="I835" s="10">
        <f>IFERROR(__xludf.DUMMYFUNCTION("""COMPUTED_VALUE"""),0.0)</f>
        <v>0</v>
      </c>
      <c r="J835" s="10">
        <f>IFERROR(__xludf.DUMMYFUNCTION("""COMPUTED_VALUE"""),10.0)</f>
        <v>10</v>
      </c>
      <c r="K835" s="10">
        <f>IFERROR(__xludf.DUMMYFUNCTION("""COMPUTED_VALUE"""),10.0)</f>
        <v>10</v>
      </c>
      <c r="L835" s="10">
        <f>IFERROR(__xludf.DUMMYFUNCTION("""COMPUTED_VALUE"""),0.0)</f>
        <v>0</v>
      </c>
      <c r="M835" s="10">
        <f>IFERROR(__xludf.DUMMYFUNCTION("""COMPUTED_VALUE"""),10.0)</f>
        <v>10</v>
      </c>
      <c r="N835" s="10">
        <f>IFERROR(__xludf.DUMMYFUNCTION("""COMPUTED_VALUE"""),0.0)</f>
        <v>0</v>
      </c>
      <c r="O835" s="10">
        <f>IFERROR(__xludf.DUMMYFUNCTION("""COMPUTED_VALUE"""),10.0)</f>
        <v>10</v>
      </c>
      <c r="P835" s="10">
        <f>IFERROR(__xludf.DUMMYFUNCTION("""COMPUTED_VALUE"""),0.0)</f>
        <v>0</v>
      </c>
      <c r="Q835" s="10" t="str">
        <f>IFERROR(__xludf.DUMMYFUNCTION("""COMPUTED_VALUE"""),"Yes")</f>
        <v>Yes</v>
      </c>
      <c r="R835" s="10" t="str">
        <f>IFERROR(__xludf.DUMMYFUNCTION("""COMPUTED_VALUE"""),"No")</f>
        <v>No</v>
      </c>
      <c r="S835" s="10" t="str">
        <f>IFERROR(__xludf.DUMMYFUNCTION("""COMPUTED_VALUE"""),"No")</f>
        <v>No</v>
      </c>
      <c r="T835" s="10">
        <f>IFERROR(__xludf.DUMMYFUNCTION("""COMPUTED_VALUE"""),1.0)</f>
        <v>1</v>
      </c>
      <c r="U835" s="10">
        <f>IFERROR(__xludf.DUMMYFUNCTION("""COMPUTED_VALUE"""),0.0)</f>
        <v>0</v>
      </c>
      <c r="V835" s="10" t="str">
        <f>IFERROR(__xludf.DUMMYFUNCTION("""COMPUTED_VALUE"""),"خواتین کے حقوق اسلام کی روشنی میں")</f>
        <v>خواتین کے حقوق اسلام کی روشنی میں</v>
      </c>
      <c r="W835" s="10" t="str">
        <f>IFERROR(__xludf.DUMMYFUNCTION("""COMPUTED_VALUE"""),"اس خطبے میں امام نے خواتین کے حقوق کا ذکر کیا ہے خواتین کا جنگوں میں شرکت کا ذکر کیا ہے خلفائے راشدین کے دور می خواتین کے حقوق کی حفاظت کا ذکر کیا ہے خواتین کی تعلیم و تربیت جنگ و جدل میں شرکت کا ذکر کیا ہے")</f>
        <v>اس خطبے میں امام نے خواتین کے حقوق کا ذکر کیا ہے خواتین کا جنگوں میں شرکت کا ذکر کیا ہے خلفائے راشدین کے دور می خواتین کے حقوق کی حفاظت کا ذکر کیا ہے خواتین کی تعلیم و تربیت جنگ و جدل میں شرکت کا ذکر کیا ہے</v>
      </c>
      <c r="X835" s="10">
        <f>IFERROR(__xludf.DUMMYFUNCTION("""COMPUTED_VALUE"""),1.0)</f>
        <v>1</v>
      </c>
      <c r="Y835" s="10">
        <f>IFERROR(__xludf.DUMMYFUNCTION("""COMPUTED_VALUE"""),7.0)</f>
        <v>7</v>
      </c>
      <c r="Z835" s="10">
        <f>IFERROR(__xludf.DUMMYFUNCTION("""COMPUTED_VALUE"""),9.0)</f>
        <v>9</v>
      </c>
      <c r="AA835" s="10">
        <f>IFERROR(__xludf.DUMMYFUNCTION("""COMPUTED_VALUE"""),4.0)</f>
        <v>4</v>
      </c>
      <c r="AB835" s="10">
        <f>IFERROR(__xludf.DUMMYFUNCTION("""COMPUTED_VALUE"""),4.0)</f>
        <v>4</v>
      </c>
      <c r="AC835" s="10">
        <f>IFERROR(__xludf.DUMMYFUNCTION("""COMPUTED_VALUE"""),4.0)</f>
        <v>4</v>
      </c>
      <c r="AD835" s="10">
        <f>IFERROR(__xludf.DUMMYFUNCTION("""COMPUTED_VALUE"""),4.0)</f>
        <v>4</v>
      </c>
      <c r="AE835" s="10">
        <f>IFERROR(__xludf.DUMMYFUNCTION("""COMPUTED_VALUE"""),0.0)</f>
        <v>0</v>
      </c>
      <c r="AF835" s="10">
        <f>IFERROR(__xludf.DUMMYFUNCTION("""COMPUTED_VALUE"""),1.0)</f>
        <v>1</v>
      </c>
      <c r="AG835" s="10">
        <f>IFERROR(__xludf.DUMMYFUNCTION("""COMPUTED_VALUE"""),7.0)</f>
        <v>7</v>
      </c>
      <c r="AH835" s="10">
        <f>IFERROR(__xludf.DUMMYFUNCTION("""COMPUTED_VALUE"""),1.0)</f>
        <v>1</v>
      </c>
      <c r="AI835" s="10">
        <f>IFERROR(__xludf.DUMMYFUNCTION("""COMPUTED_VALUE"""),7.0)</f>
        <v>7</v>
      </c>
      <c r="AJ835" s="11" t="str">
        <f>IFERROR(__xludf.DUMMYFUNCTION("""COMPUTED_VALUE"""),"https://drive.google.com/open?id=1vAuNQzhBJi_rGfNGnOMDCp6j6hIE_g-ZH_8LGz0l9tk")</f>
        <v>https://drive.google.com/open?id=1vAuNQzhBJi_rGfNGnOMDCp6j6hIE_g-ZH_8LGz0l9tk</v>
      </c>
      <c r="AK835" s="12"/>
      <c r="AL835" s="12" t="str">
        <f>IFERROR(__xludf.DUMMYFUNCTION("""COMPUTED_VALUE"""),"Yes")</f>
        <v>Yes</v>
      </c>
      <c r="AM835" s="15">
        <f>IFERROR(__xludf.DUMMYFUNCTION("""COMPUTED_VALUE"""),1.0)</f>
        <v>1</v>
      </c>
      <c r="AN835" s="12" t="str">
        <f>IFERROR(__xludf.DUMMYFUNCTION("""COMPUTED_VALUE"""),"3rd week")</f>
        <v>3rd week</v>
      </c>
      <c r="AO835" s="13">
        <v>3.0</v>
      </c>
      <c r="AX835" s="17"/>
    </row>
    <row r="836">
      <c r="B836" s="9">
        <f>IFERROR(__xludf.DUMMYFUNCTION("""COMPUTED_VALUE"""),45969.468162881945)</f>
        <v>45969.46816</v>
      </c>
      <c r="C836" s="10" t="str">
        <f>IFERROR(__xludf.DUMMYFUNCTION("""COMPUTED_VALUE"""),"Asma gul")</f>
        <v>Asma gul</v>
      </c>
      <c r="D836" s="10" t="str">
        <f>IFERROR(__xludf.DUMMYFUNCTION("""COMPUTED_VALUE"""),"03459308620")</f>
        <v>03459308620</v>
      </c>
      <c r="E836" s="10" t="str">
        <f>IFERROR(__xludf.DUMMYFUNCTION("""COMPUTED_VALUE"""),"Jamia Masjid Darbar Rung Ali Sarkar Faisalabad")</f>
        <v>Jamia Masjid Darbar Rung Ali Sarkar Faisalabad</v>
      </c>
      <c r="F836" s="10" t="str">
        <f>IFERROR(__xludf.DUMMYFUNCTION("""COMPUTED_VALUE"""),"xjphu")</f>
        <v>xjphu</v>
      </c>
      <c r="G836" s="10" t="str">
        <f>IFERROR(__xludf.DUMMYFUNCTION("""COMPUTED_VALUE"""),"Yes")</f>
        <v>Yes</v>
      </c>
      <c r="H836" s="10">
        <f>IFERROR(__xludf.DUMMYFUNCTION("""COMPUTED_VALUE"""),0.0)</f>
        <v>0</v>
      </c>
      <c r="I836" s="10">
        <f>IFERROR(__xludf.DUMMYFUNCTION("""COMPUTED_VALUE"""),10.0)</f>
        <v>10</v>
      </c>
      <c r="J836" s="10">
        <f>IFERROR(__xludf.DUMMYFUNCTION("""COMPUTED_VALUE"""),0.0)</f>
        <v>0</v>
      </c>
      <c r="K836" s="10">
        <f>IFERROR(__xludf.DUMMYFUNCTION("""COMPUTED_VALUE"""),0.0)</f>
        <v>0</v>
      </c>
      <c r="L836" s="10">
        <f>IFERROR(__xludf.DUMMYFUNCTION("""COMPUTED_VALUE"""),0.0)</f>
        <v>0</v>
      </c>
      <c r="M836" s="10">
        <f>IFERROR(__xludf.DUMMYFUNCTION("""COMPUTED_VALUE"""),0.0)</f>
        <v>0</v>
      </c>
      <c r="N836" s="10">
        <f>IFERROR(__xludf.DUMMYFUNCTION("""COMPUTED_VALUE"""),0.0)</f>
        <v>0</v>
      </c>
      <c r="O836" s="10">
        <f>IFERROR(__xludf.DUMMYFUNCTION("""COMPUTED_VALUE"""),0.0)</f>
        <v>0</v>
      </c>
      <c r="P836" s="10">
        <f>IFERROR(__xludf.DUMMYFUNCTION("""COMPUTED_VALUE"""),0.0)</f>
        <v>0</v>
      </c>
      <c r="Q836" s="10" t="str">
        <f>IFERROR(__xludf.DUMMYFUNCTION("""COMPUTED_VALUE"""),"No")</f>
        <v>No</v>
      </c>
      <c r="R836" s="10" t="str">
        <f>IFERROR(__xludf.DUMMYFUNCTION("""COMPUTED_VALUE"""),"No")</f>
        <v>No</v>
      </c>
      <c r="S836" s="10" t="str">
        <f>IFERROR(__xludf.DUMMYFUNCTION("""COMPUTED_VALUE"""),"No")</f>
        <v>No</v>
      </c>
      <c r="T836" s="10">
        <f>IFERROR(__xludf.DUMMYFUNCTION("""COMPUTED_VALUE"""),0.0)</f>
        <v>0</v>
      </c>
      <c r="U836" s="10">
        <f>IFERROR(__xludf.DUMMYFUNCTION("""COMPUTED_VALUE"""),0.0)</f>
        <v>0</v>
      </c>
      <c r="V836" s="10" t="str">
        <f>IFERROR(__xludf.DUMMYFUNCTION("""COMPUTED_VALUE"""),"ایصالِ ثواب اور مرحومین کے حقوق")</f>
        <v>ایصالِ ثواب اور مرحومین کے حقوق</v>
      </c>
      <c r="W836" s="10" t="str">
        <f>IFERROR(__xludf.DUMMYFUNCTION("""COMPUTED_VALUE"""),"
امام صاحب نے بتایا کہ جب کوئی مسلمان دنیا سے چلا جاتا ہے تو اس کے لیے ایصالِ ثواب کرنا بہت ضروری ہے۔ ایصالِ ثواب کا مطلب ہے اپنی نیکیوں کا ثواب مرنے والے کو پہنچانا، جیسے قرآن پڑھنا، دعا کرنا یا صدقہ دینا۔ نبی کریم ﷺ نے فرمایا کہ اگر کوئی شخص نیکی کرے او"&amp;"ر اس کا ثواب مرحومین کو دے تو وہ ثواب ان کی روح تک پہنچتا ہے۔ ہمیں چاہیے کہ مرنے والوں کی برائیاں نہ بیان کریں بلکہ ان کے لیے دعا اور نیک اعمال کریں تاکہ اللہ ان کی بخشش فرمائے")</f>
        <v>
امام صاحب نے بتایا کہ جب کوئی مسلمان دنیا سے چلا جاتا ہے تو اس کے لیے ایصالِ ثواب کرنا بہت ضروری ہے۔ ایصالِ ثواب کا مطلب ہے اپنی نیکیوں کا ثواب مرنے والے کو پہنچانا، جیسے قرآن پڑھنا، دعا کرنا یا صدقہ دینا۔ نبی کریم ﷺ نے فرمایا کہ اگر کوئی شخص نیکی کرے اور اس کا ثواب مرحومین کو دے تو وہ ثواب ان کی روح تک پہنچتا ہے۔ ہمیں چاہیے کہ مرنے والوں کی برائیاں نہ بیان کریں بلکہ ان کے لیے دعا اور نیک اعمال کریں تاکہ اللہ ان کی بخشش فرمائے</v>
      </c>
      <c r="X836" s="10">
        <f>IFERROR(__xludf.DUMMYFUNCTION("""COMPUTED_VALUE"""),7.0)</f>
        <v>7</v>
      </c>
      <c r="Y836" s="10">
        <f>IFERROR(__xludf.DUMMYFUNCTION("""COMPUTED_VALUE"""),9.0)</f>
        <v>9</v>
      </c>
      <c r="Z836" s="10">
        <f>IFERROR(__xludf.DUMMYFUNCTION("""COMPUTED_VALUE"""),6.0)</f>
        <v>6</v>
      </c>
      <c r="AA836" s="10">
        <f>IFERROR(__xludf.DUMMYFUNCTION("""COMPUTED_VALUE"""),10.0)</f>
        <v>10</v>
      </c>
      <c r="AB836" s="10">
        <f>IFERROR(__xludf.DUMMYFUNCTION("""COMPUTED_VALUE"""),3.0)</f>
        <v>3</v>
      </c>
      <c r="AC836" s="10">
        <f>IFERROR(__xludf.DUMMYFUNCTION("""COMPUTED_VALUE"""),0.0)</f>
        <v>0</v>
      </c>
      <c r="AD836" s="10">
        <f>IFERROR(__xludf.DUMMYFUNCTION("""COMPUTED_VALUE"""),2.0)</f>
        <v>2</v>
      </c>
      <c r="AE836" s="10">
        <f>IFERROR(__xludf.DUMMYFUNCTION("""COMPUTED_VALUE"""),0.0)</f>
        <v>0</v>
      </c>
      <c r="AF836" s="10">
        <f>IFERROR(__xludf.DUMMYFUNCTION("""COMPUTED_VALUE"""),0.0)</f>
        <v>0</v>
      </c>
      <c r="AG836" s="10">
        <f>IFERROR(__xludf.DUMMYFUNCTION("""COMPUTED_VALUE"""),9.0)</f>
        <v>9</v>
      </c>
      <c r="AH836" s="10">
        <f>IFERROR(__xludf.DUMMYFUNCTION("""COMPUTED_VALUE"""),0.0)</f>
        <v>0</v>
      </c>
      <c r="AI836" s="10">
        <f>IFERROR(__xludf.DUMMYFUNCTION("""COMPUTED_VALUE"""),9.0)</f>
        <v>9</v>
      </c>
      <c r="AJ836" s="11" t="str">
        <f>IFERROR(__xludf.DUMMYFUNCTION("""COMPUTED_VALUE"""),"https://drive.google.com/open?id=199aeESgbdYJuVKu5HOPkIMfE4EOBvNLG")</f>
        <v>https://drive.google.com/open?id=199aeESgbdYJuVKu5HOPkIMfE4EOBvNLG</v>
      </c>
      <c r="AK836" s="12"/>
      <c r="AL836" s="12" t="str">
        <f>IFERROR(__xludf.DUMMYFUNCTION("""COMPUTED_VALUE"""),"Yes")</f>
        <v>Yes</v>
      </c>
      <c r="AM836" s="15">
        <f>IFERROR(__xludf.DUMMYFUNCTION("""COMPUTED_VALUE"""),0.0)</f>
        <v>0</v>
      </c>
      <c r="AN836" s="12" t="str">
        <f>IFERROR(__xludf.DUMMYFUNCTION("""COMPUTED_VALUE"""),"3rd week")</f>
        <v>3rd week</v>
      </c>
      <c r="AO836" s="13">
        <v>3.0</v>
      </c>
      <c r="AX836" s="17"/>
    </row>
    <row r="837">
      <c r="B837" s="9">
        <f>IFERROR(__xludf.DUMMYFUNCTION("""COMPUTED_VALUE"""),45969.56309127314)</f>
        <v>45969.56309</v>
      </c>
      <c r="C837" s="10" t="str">
        <f>IFERROR(__xludf.DUMMYFUNCTION("""COMPUTED_VALUE"""),"Maham")</f>
        <v>Maham</v>
      </c>
      <c r="D837" s="10" t="str">
        <f>IFERROR(__xludf.DUMMYFUNCTION("""COMPUTED_VALUE"""),"03218118680")</f>
        <v>03218118680</v>
      </c>
      <c r="E837" s="10" t="str">
        <f>IFERROR(__xludf.DUMMYFUNCTION("""COMPUTED_VALUE"""),"Jamia Masjid Gulzar Madina Gala Mandi Ameem Pura")</f>
        <v>Jamia Masjid Gulzar Madina Gala Mandi Ameem Pura</v>
      </c>
      <c r="F837" s="10" t="str">
        <f>IFERROR(__xludf.DUMMYFUNCTION("""COMPUTED_VALUE"""),"dkwam")</f>
        <v>dkwam</v>
      </c>
      <c r="G837" s="10" t="str">
        <f>IFERROR(__xludf.DUMMYFUNCTION("""COMPUTED_VALUE"""),"Yes")</f>
        <v>Yes</v>
      </c>
      <c r="H837" s="10">
        <f>IFERROR(__xludf.DUMMYFUNCTION("""COMPUTED_VALUE"""),3.0)</f>
        <v>3</v>
      </c>
      <c r="I837" s="10">
        <f>IFERROR(__xludf.DUMMYFUNCTION("""COMPUTED_VALUE"""),7.0)</f>
        <v>7</v>
      </c>
      <c r="J837" s="10">
        <f>IFERROR(__xludf.DUMMYFUNCTION("""COMPUTED_VALUE"""),5.0)</f>
        <v>5</v>
      </c>
      <c r="K837" s="10">
        <f>IFERROR(__xludf.DUMMYFUNCTION("""COMPUTED_VALUE"""),5.0)</f>
        <v>5</v>
      </c>
      <c r="L837" s="10">
        <f>IFERROR(__xludf.DUMMYFUNCTION("""COMPUTED_VALUE"""),0.0)</f>
        <v>0</v>
      </c>
      <c r="M837" s="10">
        <f>IFERROR(__xludf.DUMMYFUNCTION("""COMPUTED_VALUE"""),3.0)</f>
        <v>3</v>
      </c>
      <c r="N837" s="10">
        <f>IFERROR(__xludf.DUMMYFUNCTION("""COMPUTED_VALUE"""),0.0)</f>
        <v>0</v>
      </c>
      <c r="O837" s="10">
        <f>IFERROR(__xludf.DUMMYFUNCTION("""COMPUTED_VALUE"""),3.0)</f>
        <v>3</v>
      </c>
      <c r="P837" s="10">
        <f>IFERROR(__xludf.DUMMYFUNCTION("""COMPUTED_VALUE"""),0.0)</f>
        <v>0</v>
      </c>
      <c r="Q837" s="10" t="str">
        <f>IFERROR(__xludf.DUMMYFUNCTION("""COMPUTED_VALUE"""),"No")</f>
        <v>No</v>
      </c>
      <c r="R837" s="10" t="str">
        <f>IFERROR(__xludf.DUMMYFUNCTION("""COMPUTED_VALUE"""),"No")</f>
        <v>No</v>
      </c>
      <c r="S837" s="10" t="str">
        <f>IFERROR(__xludf.DUMMYFUNCTION("""COMPUTED_VALUE"""),"No")</f>
        <v>No</v>
      </c>
      <c r="T837" s="10">
        <f>IFERROR(__xludf.DUMMYFUNCTION("""COMPUTED_VALUE"""),0.0)</f>
        <v>0</v>
      </c>
      <c r="U837" s="10">
        <f>IFERROR(__xludf.DUMMYFUNCTION("""COMPUTED_VALUE"""),2.0)</f>
        <v>2</v>
      </c>
      <c r="V837" s="10" t="str">
        <f>IFERROR(__xludf.DUMMYFUNCTION("""COMPUTED_VALUE"""),"مسجد مولوی کا احترام عورتوں کے حقوق")</f>
        <v>مسجد مولوی کا احترام عورتوں کے حقوق</v>
      </c>
      <c r="W837" s="10" t="str">
        <f>IFERROR(__xludf.DUMMYFUNCTION("""COMPUTED_VALUE"""),"مسجد مولوی کا احترام کے بارے میں بتایا گیا دین اسلام کی روشنی میں اور عورتوں کے حقوق ان کی تعلیم و تربیت")</f>
        <v>مسجد مولوی کا احترام کے بارے میں بتایا گیا دین اسلام کی روشنی میں اور عورتوں کے حقوق ان کی تعلیم و تربیت</v>
      </c>
      <c r="X837" s="10">
        <f>IFERROR(__xludf.DUMMYFUNCTION("""COMPUTED_VALUE"""),8.0)</f>
        <v>8</v>
      </c>
      <c r="Y837" s="10">
        <f>IFERROR(__xludf.DUMMYFUNCTION("""COMPUTED_VALUE"""),7.0)</f>
        <v>7</v>
      </c>
      <c r="Z837" s="10">
        <f>IFERROR(__xludf.DUMMYFUNCTION("""COMPUTED_VALUE"""),6.0)</f>
        <v>6</v>
      </c>
      <c r="AA837" s="10">
        <f>IFERROR(__xludf.DUMMYFUNCTION("""COMPUTED_VALUE"""),8.0)</f>
        <v>8</v>
      </c>
      <c r="AB837" s="10">
        <f>IFERROR(__xludf.DUMMYFUNCTION("""COMPUTED_VALUE"""),5.0)</f>
        <v>5</v>
      </c>
      <c r="AC837" s="10">
        <f>IFERROR(__xludf.DUMMYFUNCTION("""COMPUTED_VALUE"""),3.0)</f>
        <v>3</v>
      </c>
      <c r="AD837" s="10">
        <f>IFERROR(__xludf.DUMMYFUNCTION("""COMPUTED_VALUE"""),6.0)</f>
        <v>6</v>
      </c>
      <c r="AE837" s="10">
        <f>IFERROR(__xludf.DUMMYFUNCTION("""COMPUTED_VALUE"""),3.0)</f>
        <v>3</v>
      </c>
      <c r="AF837" s="10">
        <f>IFERROR(__xludf.DUMMYFUNCTION("""COMPUTED_VALUE"""),5.0)</f>
        <v>5</v>
      </c>
      <c r="AG837" s="10">
        <f>IFERROR(__xludf.DUMMYFUNCTION("""COMPUTED_VALUE"""),8.0)</f>
        <v>8</v>
      </c>
      <c r="AH837" s="10">
        <f>IFERROR(__xludf.DUMMYFUNCTION("""COMPUTED_VALUE"""),2.0)</f>
        <v>2</v>
      </c>
      <c r="AI837" s="10">
        <f>IFERROR(__xludf.DUMMYFUNCTION("""COMPUTED_VALUE"""),8.0)</f>
        <v>8</v>
      </c>
      <c r="AJ837" s="11" t="str">
        <f>IFERROR(__xludf.DUMMYFUNCTION("""COMPUTED_VALUE"""),"https://drive.google.com/open?id=1TyKm8O6GmPjB-ip7i9IfHNaO_PknXT4w")</f>
        <v>https://drive.google.com/open?id=1TyKm8O6GmPjB-ip7i9IfHNaO_PknXT4w</v>
      </c>
      <c r="AK837" s="12" t="str">
        <f>IFERROR(__xludf.DUMMYFUNCTION("""COMPUTED_VALUE"""),"۔۔۔۔۔۔۔کا مطلب ہے کہ یہاں اواز نہیں دیکھتی شور بہت تھا یہاں سمجھ نہیں ائی")</f>
        <v>۔۔۔۔۔۔۔کا مطلب ہے کہ یہاں اواز نہیں دیکھتی شور بہت تھا یہاں سمجھ نہیں ائی</v>
      </c>
      <c r="AL837" s="12" t="str">
        <f>IFERROR(__xludf.DUMMYFUNCTION("""COMPUTED_VALUE"""),"Yes")</f>
        <v>Yes</v>
      </c>
      <c r="AM837" s="15">
        <f>IFERROR(__xludf.DUMMYFUNCTION("""COMPUTED_VALUE"""),0.4)</f>
        <v>0.4</v>
      </c>
      <c r="AN837" s="12" t="str">
        <f>IFERROR(__xludf.DUMMYFUNCTION("""COMPUTED_VALUE"""),"3rd week")</f>
        <v>3rd week</v>
      </c>
      <c r="AO837" s="13">
        <v>3.0</v>
      </c>
      <c r="AX837" s="17"/>
    </row>
    <row r="838">
      <c r="B838" s="9">
        <f>IFERROR(__xludf.DUMMYFUNCTION("""COMPUTED_VALUE"""),45969.58194858796)</f>
        <v>45969.58195</v>
      </c>
      <c r="C838" s="10" t="str">
        <f>IFERROR(__xludf.DUMMYFUNCTION("""COMPUTED_VALUE"""),"Maham")</f>
        <v>Maham</v>
      </c>
      <c r="D838" s="10" t="str">
        <f>IFERROR(__xludf.DUMMYFUNCTION("""COMPUTED_VALUE"""),"03218118680")</f>
        <v>03218118680</v>
      </c>
      <c r="E838" s="10" t="str">
        <f>IFERROR(__xludf.DUMMYFUNCTION("""COMPUTED_VALUE"""),"Jamia Masjid Haji Muhammad Din Shorkot Cant")</f>
        <v>Jamia Masjid Haji Muhammad Din Shorkot Cant</v>
      </c>
      <c r="F838" s="10" t="str">
        <f>IFERROR(__xludf.DUMMYFUNCTION("""COMPUTED_VALUE"""),"lsqfy")</f>
        <v>lsqfy</v>
      </c>
      <c r="G838" s="10" t="str">
        <f>IFERROR(__xludf.DUMMYFUNCTION("""COMPUTED_VALUE"""),"No")</f>
        <v>No</v>
      </c>
      <c r="H838" s="10"/>
      <c r="I838" s="10"/>
      <c r="J838" s="10"/>
      <c r="K838" s="10">
        <f>IFERROR(__xludf.DUMMYFUNCTION("""COMPUTED_VALUE"""),0.0)</f>
        <v>0</v>
      </c>
      <c r="L838" s="10">
        <f>IFERROR(__xludf.DUMMYFUNCTION("""COMPUTED_VALUE"""),0.0)</f>
        <v>0</v>
      </c>
      <c r="M838" s="10">
        <f>IFERROR(__xludf.DUMMYFUNCTION("""COMPUTED_VALUE"""),0.0)</f>
        <v>0</v>
      </c>
      <c r="N838" s="10">
        <f>IFERROR(__xludf.DUMMYFUNCTION("""COMPUTED_VALUE"""),0.0)</f>
        <v>0</v>
      </c>
      <c r="O838" s="10">
        <f>IFERROR(__xludf.DUMMYFUNCTION("""COMPUTED_VALUE"""),0.0)</f>
        <v>0</v>
      </c>
      <c r="P838" s="10">
        <f>IFERROR(__xludf.DUMMYFUNCTION("""COMPUTED_VALUE"""),0.0)</f>
        <v>0</v>
      </c>
      <c r="Q838" s="10" t="str">
        <f>IFERROR(__xludf.DUMMYFUNCTION("""COMPUTED_VALUE"""),"No")</f>
        <v>No</v>
      </c>
      <c r="R838" s="10" t="str">
        <f>IFERROR(__xludf.DUMMYFUNCTION("""COMPUTED_VALUE"""),"No")</f>
        <v>No</v>
      </c>
      <c r="S838" s="10" t="str">
        <f>IFERROR(__xludf.DUMMYFUNCTION("""COMPUTED_VALUE"""),"No")</f>
        <v>No</v>
      </c>
      <c r="T838" s="10">
        <f>IFERROR(__xludf.DUMMYFUNCTION("""COMPUTED_VALUE"""),0.0)</f>
        <v>0</v>
      </c>
      <c r="U838" s="10">
        <f>IFERROR(__xludf.DUMMYFUNCTION("""COMPUTED_VALUE"""),0.0)</f>
        <v>0</v>
      </c>
      <c r="V838" s="10" t="str">
        <f>IFERROR(__xludf.DUMMYFUNCTION("""COMPUTED_VALUE"""),"معاشرتی برائیاں")</f>
        <v>معاشرتی برائیاں</v>
      </c>
      <c r="W838" s="10" t="str">
        <f>IFERROR(__xludf.DUMMYFUNCTION("""COMPUTED_VALUE"""),"معاشرتی برائیوں اور ان کے نقصانات")</f>
        <v>معاشرتی برائیوں اور ان کے نقصانات</v>
      </c>
      <c r="X838" s="10">
        <f>IFERROR(__xludf.DUMMYFUNCTION("""COMPUTED_VALUE"""),4.0)</f>
        <v>4</v>
      </c>
      <c r="Y838" s="10">
        <f>IFERROR(__xludf.DUMMYFUNCTION("""COMPUTED_VALUE"""),8.0)</f>
        <v>8</v>
      </c>
      <c r="Z838" s="10">
        <f>IFERROR(__xludf.DUMMYFUNCTION("""COMPUTED_VALUE"""),5.0)</f>
        <v>5</v>
      </c>
      <c r="AA838" s="10">
        <f>IFERROR(__xludf.DUMMYFUNCTION("""COMPUTED_VALUE"""),6.0)</f>
        <v>6</v>
      </c>
      <c r="AB838" s="10">
        <f>IFERROR(__xludf.DUMMYFUNCTION("""COMPUTED_VALUE"""),5.0)</f>
        <v>5</v>
      </c>
      <c r="AC838" s="10">
        <f>IFERROR(__xludf.DUMMYFUNCTION("""COMPUTED_VALUE"""),1.0)</f>
        <v>1</v>
      </c>
      <c r="AD838" s="10">
        <f>IFERROR(__xludf.DUMMYFUNCTION("""COMPUTED_VALUE"""),1.0)</f>
        <v>1</v>
      </c>
      <c r="AE838" s="10">
        <f>IFERROR(__xludf.DUMMYFUNCTION("""COMPUTED_VALUE"""),1.0)</f>
        <v>1</v>
      </c>
      <c r="AF838" s="10">
        <f>IFERROR(__xludf.DUMMYFUNCTION("""COMPUTED_VALUE"""),7.0)</f>
        <v>7</v>
      </c>
      <c r="AG838" s="10">
        <f>IFERROR(__xludf.DUMMYFUNCTION("""COMPUTED_VALUE"""),8.0)</f>
        <v>8</v>
      </c>
      <c r="AH838" s="10">
        <f>IFERROR(__xludf.DUMMYFUNCTION("""COMPUTED_VALUE"""),0.0)</f>
        <v>0</v>
      </c>
      <c r="AI838" s="10">
        <f>IFERROR(__xludf.DUMMYFUNCTION("""COMPUTED_VALUE"""),8.0)</f>
        <v>8</v>
      </c>
      <c r="AJ838" s="11" t="str">
        <f>IFERROR(__xludf.DUMMYFUNCTION("""COMPUTED_VALUE"""),"https://drive.google.com/open?id=1UEnbJOhpDdoDKmPk3lkE00vdXxbsT6gn")</f>
        <v>https://drive.google.com/open?id=1UEnbJOhpDdoDKmPk3lkE00vdXxbsT6gn</v>
      </c>
      <c r="AK838" s="12"/>
      <c r="AL838" s="12"/>
      <c r="AM838" s="12"/>
      <c r="AN838" s="12" t="str">
        <f>IFERROR(__xludf.DUMMYFUNCTION("""COMPUTED_VALUE"""),"1st week")</f>
        <v>1st week</v>
      </c>
      <c r="AO838" s="13">
        <v>1.0</v>
      </c>
      <c r="AX838" s="17"/>
    </row>
    <row r="839">
      <c r="B839" s="9">
        <f>IFERROR(__xludf.DUMMYFUNCTION("""COMPUTED_VALUE"""),45969.76810306713)</f>
        <v>45969.7681</v>
      </c>
      <c r="C839" s="10" t="str">
        <f>IFERROR(__xludf.DUMMYFUNCTION("""COMPUTED_VALUE"""),"Maham")</f>
        <v>Maham</v>
      </c>
      <c r="D839" s="10" t="str">
        <f>IFERROR(__xludf.DUMMYFUNCTION("""COMPUTED_VALUE"""),"03218118680")</f>
        <v>03218118680</v>
      </c>
      <c r="E839" s="10" t="str">
        <f>IFERROR(__xludf.DUMMYFUNCTION("""COMPUTED_VALUE"""),"Jamia Masjid Gulzar Madina Gala Mandi Ameem Pura")</f>
        <v>Jamia Masjid Gulzar Madina Gala Mandi Ameem Pura</v>
      </c>
      <c r="F839" s="10" t="str">
        <f>IFERROR(__xludf.DUMMYFUNCTION("""COMPUTED_VALUE"""),"dkwam")</f>
        <v>dkwam</v>
      </c>
      <c r="G839" s="10" t="str">
        <f>IFERROR(__xludf.DUMMYFUNCTION("""COMPUTED_VALUE"""),"Yes")</f>
        <v>Yes</v>
      </c>
      <c r="H839" s="10">
        <f>IFERROR(__xludf.DUMMYFUNCTION("""COMPUTED_VALUE"""),5.0)</f>
        <v>5</v>
      </c>
      <c r="I839" s="10">
        <f>IFERROR(__xludf.DUMMYFUNCTION("""COMPUTED_VALUE"""),5.0)</f>
        <v>5</v>
      </c>
      <c r="J839" s="10">
        <f>IFERROR(__xludf.DUMMYFUNCTION("""COMPUTED_VALUE"""),9.0)</f>
        <v>9</v>
      </c>
      <c r="K839" s="10">
        <f>IFERROR(__xludf.DUMMYFUNCTION("""COMPUTED_VALUE"""),9.0)</f>
        <v>9</v>
      </c>
      <c r="L839" s="10">
        <f>IFERROR(__xludf.DUMMYFUNCTION("""COMPUTED_VALUE"""),0.0)</f>
        <v>0</v>
      </c>
      <c r="M839" s="10">
        <f>IFERROR(__xludf.DUMMYFUNCTION("""COMPUTED_VALUE"""),8.0)</f>
        <v>8</v>
      </c>
      <c r="N839" s="10">
        <f>IFERROR(__xludf.DUMMYFUNCTION("""COMPUTED_VALUE"""),0.0)</f>
        <v>0</v>
      </c>
      <c r="O839" s="10">
        <f>IFERROR(__xludf.DUMMYFUNCTION("""COMPUTED_VALUE"""),0.0)</f>
        <v>0</v>
      </c>
      <c r="P839" s="10">
        <f>IFERROR(__xludf.DUMMYFUNCTION("""COMPUTED_VALUE"""),0.0)</f>
        <v>0</v>
      </c>
      <c r="Q839" s="10" t="str">
        <f>IFERROR(__xludf.DUMMYFUNCTION("""COMPUTED_VALUE"""),"No")</f>
        <v>No</v>
      </c>
      <c r="R839" s="10" t="str">
        <f>IFERROR(__xludf.DUMMYFUNCTION("""COMPUTED_VALUE"""),"No")</f>
        <v>No</v>
      </c>
      <c r="S839" s="10" t="str">
        <f>IFERROR(__xludf.DUMMYFUNCTION("""COMPUTED_VALUE"""),"No")</f>
        <v>No</v>
      </c>
      <c r="T839" s="10">
        <f>IFERROR(__xludf.DUMMYFUNCTION("""COMPUTED_VALUE"""),0.0)</f>
        <v>0</v>
      </c>
      <c r="U839" s="10">
        <f>IFERROR(__xludf.DUMMYFUNCTION("""COMPUTED_VALUE"""),0.0)</f>
        <v>0</v>
      </c>
      <c r="V839" s="10" t="str">
        <f>IFERROR(__xludf.DUMMYFUNCTION("""COMPUTED_VALUE"""),"انسان کو اشرف المخلوقات عورتوں کے حقوق")</f>
        <v>انسان کو اشرف المخلوقات عورتوں کے حقوق</v>
      </c>
      <c r="W839" s="10" t="str">
        <f>IFERROR(__xludf.DUMMYFUNCTION("""COMPUTED_VALUE"""),"انسان کو اشرف المخلوقات بنانے میں جس شخصیت کا کردار ہے وہ ہے حضور کریم صلی اللہ علیہ وسلم کی ذات مبارک عورتوں کے حقوق بیان کیے گئے ماں کا در جہ بیان کیا گیا")</f>
        <v>انسان کو اشرف المخلوقات بنانے میں جس شخصیت کا کردار ہے وہ ہے حضور کریم صلی اللہ علیہ وسلم کی ذات مبارک عورتوں کے حقوق بیان کیے گئے ماں کا در جہ بیان کیا گیا</v>
      </c>
      <c r="X839" s="10">
        <f>IFERROR(__xludf.DUMMYFUNCTION("""COMPUTED_VALUE"""),2.0)</f>
        <v>2</v>
      </c>
      <c r="Y839" s="10">
        <f>IFERROR(__xludf.DUMMYFUNCTION("""COMPUTED_VALUE"""),8.0)</f>
        <v>8</v>
      </c>
      <c r="Z839" s="10">
        <f>IFERROR(__xludf.DUMMYFUNCTION("""COMPUTED_VALUE"""),3.0)</f>
        <v>3</v>
      </c>
      <c r="AA839" s="10">
        <f>IFERROR(__xludf.DUMMYFUNCTION("""COMPUTED_VALUE"""),7.0)</f>
        <v>7</v>
      </c>
      <c r="AB839" s="10">
        <f>IFERROR(__xludf.DUMMYFUNCTION("""COMPUTED_VALUE"""),3.0)</f>
        <v>3</v>
      </c>
      <c r="AC839" s="10">
        <f>IFERROR(__xludf.DUMMYFUNCTION("""COMPUTED_VALUE"""),0.0)</f>
        <v>0</v>
      </c>
      <c r="AD839" s="10">
        <f>IFERROR(__xludf.DUMMYFUNCTION("""COMPUTED_VALUE"""),0.0)</f>
        <v>0</v>
      </c>
      <c r="AE839" s="10">
        <f>IFERROR(__xludf.DUMMYFUNCTION("""COMPUTED_VALUE"""),0.0)</f>
        <v>0</v>
      </c>
      <c r="AF839" s="10">
        <f>IFERROR(__xludf.DUMMYFUNCTION("""COMPUTED_VALUE"""),3.0)</f>
        <v>3</v>
      </c>
      <c r="AG839" s="10">
        <f>IFERROR(__xludf.DUMMYFUNCTION("""COMPUTED_VALUE"""),8.0)</f>
        <v>8</v>
      </c>
      <c r="AH839" s="10">
        <f>IFERROR(__xludf.DUMMYFUNCTION("""COMPUTED_VALUE"""),0.0)</f>
        <v>0</v>
      </c>
      <c r="AI839" s="10">
        <f>IFERROR(__xludf.DUMMYFUNCTION("""COMPUTED_VALUE"""),8.0)</f>
        <v>8</v>
      </c>
      <c r="AJ839" s="11" t="str">
        <f>IFERROR(__xludf.DUMMYFUNCTION("""COMPUTED_VALUE"""),"https://drive.google.com/open?id=1E2DcFA8OdpvOOcoHZRr2LSnGPvE83hFN")</f>
        <v>https://drive.google.com/open?id=1E2DcFA8OdpvOOcoHZRr2LSnGPvE83hFN</v>
      </c>
      <c r="AK839" s="12"/>
      <c r="AL839" s="12" t="str">
        <f>IFERROR(__xludf.DUMMYFUNCTION("""COMPUTED_VALUE"""),"Yes")</f>
        <v>Yes</v>
      </c>
      <c r="AM839" s="15">
        <f>IFERROR(__xludf.DUMMYFUNCTION("""COMPUTED_VALUE"""),0.6)</f>
        <v>0.6</v>
      </c>
      <c r="AN839" s="12" t="str">
        <f>IFERROR(__xludf.DUMMYFUNCTION("""COMPUTED_VALUE"""),"4th week")</f>
        <v>4th week</v>
      </c>
      <c r="AO839" s="13">
        <v>4.0</v>
      </c>
      <c r="AX839" s="17"/>
    </row>
    <row r="840">
      <c r="B840" s="9">
        <f>IFERROR(__xludf.DUMMYFUNCTION("""COMPUTED_VALUE"""),45969.79074084491)</f>
        <v>45969.79074</v>
      </c>
      <c r="C840" s="10" t="str">
        <f>IFERROR(__xludf.DUMMYFUNCTION("""COMPUTED_VALUE"""),"Maham ")</f>
        <v>Maham </v>
      </c>
      <c r="D840" s="10" t="str">
        <f>IFERROR(__xludf.DUMMYFUNCTION("""COMPUTED_VALUE"""),"03218118680")</f>
        <v>03218118680</v>
      </c>
      <c r="E840" s="10" t="str">
        <f>IFERROR(__xludf.DUMMYFUNCTION("""COMPUTED_VALUE"""),"Jamia Masjid Noor Tariqbaad")</f>
        <v>Jamia Masjid Noor Tariqbaad</v>
      </c>
      <c r="F840" s="10" t="str">
        <f>IFERROR(__xludf.DUMMYFUNCTION("""COMPUTED_VALUE"""),"tbthq")</f>
        <v>tbthq</v>
      </c>
      <c r="G840" s="10" t="str">
        <f>IFERROR(__xludf.DUMMYFUNCTION("""COMPUTED_VALUE"""),"Yes")</f>
        <v>Yes</v>
      </c>
      <c r="H840" s="10">
        <f>IFERROR(__xludf.DUMMYFUNCTION("""COMPUTED_VALUE"""),4.0)</f>
        <v>4</v>
      </c>
      <c r="I840" s="10">
        <f>IFERROR(__xludf.DUMMYFUNCTION("""COMPUTED_VALUE"""),6.0)</f>
        <v>6</v>
      </c>
      <c r="J840" s="10">
        <f>IFERROR(__xludf.DUMMYFUNCTION("""COMPUTED_VALUE"""),10.0)</f>
        <v>10</v>
      </c>
      <c r="K840" s="10">
        <f>IFERROR(__xludf.DUMMYFUNCTION("""COMPUTED_VALUE"""),0.0)</f>
        <v>0</v>
      </c>
      <c r="L840" s="10">
        <f>IFERROR(__xludf.DUMMYFUNCTION("""COMPUTED_VALUE"""),10.0)</f>
        <v>10</v>
      </c>
      <c r="M840" s="10">
        <f>IFERROR(__xludf.DUMMYFUNCTION("""COMPUTED_VALUE"""),0.0)</f>
        <v>0</v>
      </c>
      <c r="N840" s="10">
        <f>IFERROR(__xludf.DUMMYFUNCTION("""COMPUTED_VALUE"""),10.0)</f>
        <v>10</v>
      </c>
      <c r="O840" s="10">
        <f>IFERROR(__xludf.DUMMYFUNCTION("""COMPUTED_VALUE"""),0.0)</f>
        <v>0</v>
      </c>
      <c r="P840" s="10">
        <f>IFERROR(__xludf.DUMMYFUNCTION("""COMPUTED_VALUE"""),5.0)</f>
        <v>5</v>
      </c>
      <c r="Q840" s="10" t="str">
        <f>IFERROR(__xludf.DUMMYFUNCTION("""COMPUTED_VALUE"""),"No")</f>
        <v>No</v>
      </c>
      <c r="R840" s="10" t="str">
        <f>IFERROR(__xludf.DUMMYFUNCTION("""COMPUTED_VALUE"""),"No")</f>
        <v>No</v>
      </c>
      <c r="S840" s="10" t="str">
        <f>IFERROR(__xludf.DUMMYFUNCTION("""COMPUTED_VALUE"""),"No")</f>
        <v>No</v>
      </c>
      <c r="T840" s="10">
        <f>IFERROR(__xludf.DUMMYFUNCTION("""COMPUTED_VALUE"""),0.0)</f>
        <v>0</v>
      </c>
      <c r="U840" s="10">
        <f>IFERROR(__xludf.DUMMYFUNCTION("""COMPUTED_VALUE"""),0.0)</f>
        <v>0</v>
      </c>
      <c r="V840" s="10" t="str">
        <f>IFERROR(__xludf.DUMMYFUNCTION("""COMPUTED_VALUE"""),"پڑوسی کے حقوق")</f>
        <v>پڑوسی کے حقوق</v>
      </c>
      <c r="W840" s="10" t="str">
        <f>IFERROR(__xludf.DUMMYFUNCTION("""COMPUTED_VALUE"""),"پڑوسی کے حقوق بیان کیا ہے")</f>
        <v>پڑوسی کے حقوق بیان کیا ہے</v>
      </c>
      <c r="X840" s="10">
        <f>IFERROR(__xludf.DUMMYFUNCTION("""COMPUTED_VALUE"""),2.0)</f>
        <v>2</v>
      </c>
      <c r="Y840" s="10">
        <f>IFERROR(__xludf.DUMMYFUNCTION("""COMPUTED_VALUE"""),8.0)</f>
        <v>8</v>
      </c>
      <c r="Z840" s="10">
        <f>IFERROR(__xludf.DUMMYFUNCTION("""COMPUTED_VALUE"""),8.0)</f>
        <v>8</v>
      </c>
      <c r="AA840" s="10">
        <f>IFERROR(__xludf.DUMMYFUNCTION("""COMPUTED_VALUE"""),9.0)</f>
        <v>9</v>
      </c>
      <c r="AB840" s="10">
        <f>IFERROR(__xludf.DUMMYFUNCTION("""COMPUTED_VALUE"""),8.0)</f>
        <v>8</v>
      </c>
      <c r="AC840" s="10">
        <f>IFERROR(__xludf.DUMMYFUNCTION("""COMPUTED_VALUE"""),1.0)</f>
        <v>1</v>
      </c>
      <c r="AD840" s="10">
        <f>IFERROR(__xludf.DUMMYFUNCTION("""COMPUTED_VALUE"""),3.0)</f>
        <v>3</v>
      </c>
      <c r="AE840" s="10">
        <f>IFERROR(__xludf.DUMMYFUNCTION("""COMPUTED_VALUE"""),0.0)</f>
        <v>0</v>
      </c>
      <c r="AF840" s="10">
        <f>IFERROR(__xludf.DUMMYFUNCTION("""COMPUTED_VALUE"""),3.0)</f>
        <v>3</v>
      </c>
      <c r="AG840" s="10">
        <f>IFERROR(__xludf.DUMMYFUNCTION("""COMPUTED_VALUE"""),9.0)</f>
        <v>9</v>
      </c>
      <c r="AH840" s="10">
        <f>IFERROR(__xludf.DUMMYFUNCTION("""COMPUTED_VALUE"""),0.0)</f>
        <v>0</v>
      </c>
      <c r="AI840" s="10">
        <f>IFERROR(__xludf.DUMMYFUNCTION("""COMPUTED_VALUE"""),9.0)</f>
        <v>9</v>
      </c>
      <c r="AJ840" s="11" t="str">
        <f>IFERROR(__xludf.DUMMYFUNCTION("""COMPUTED_VALUE"""),"https://drive.google.com/open?id=1P7_vnovJbvGK1khWG7Gyv37oPM5aRIgh")</f>
        <v>https://drive.google.com/open?id=1P7_vnovJbvGK1khWG7Gyv37oPM5aRIgh</v>
      </c>
      <c r="AK840" s="12"/>
      <c r="AL840" s="12" t="str">
        <f>IFERROR(__xludf.DUMMYFUNCTION("""COMPUTED_VALUE"""),"Yes")</f>
        <v>Yes</v>
      </c>
      <c r="AM840" s="15">
        <f>IFERROR(__xludf.DUMMYFUNCTION("""COMPUTED_VALUE"""),0.8)</f>
        <v>0.8</v>
      </c>
      <c r="AN840" s="12" t="str">
        <f>IFERROR(__xludf.DUMMYFUNCTION("""COMPUTED_VALUE"""),"4th week")</f>
        <v>4th week</v>
      </c>
      <c r="AO840" s="13">
        <v>4.0</v>
      </c>
      <c r="AX840" s="17"/>
    </row>
    <row r="841">
      <c r="B841" s="9">
        <f>IFERROR(__xludf.DUMMYFUNCTION("""COMPUTED_VALUE"""),45969.82788096065)</f>
        <v>45969.82788</v>
      </c>
      <c r="C841" s="10" t="str">
        <f>IFERROR(__xludf.DUMMYFUNCTION("""COMPUTED_VALUE"""),"Maham")</f>
        <v>Maham</v>
      </c>
      <c r="D841" s="10" t="str">
        <f>IFERROR(__xludf.DUMMYFUNCTION("""COMPUTED_VALUE"""),"03218118680")</f>
        <v>03218118680</v>
      </c>
      <c r="E841" s="10" t="str">
        <f>IFERROR(__xludf.DUMMYFUNCTION("""COMPUTED_VALUE"""),"Jamia Masjid Eid Ghah Madal Town B Faisalabad")</f>
        <v>Jamia Masjid Eid Ghah Madal Town B Faisalabad</v>
      </c>
      <c r="F841" s="10" t="str">
        <f>IFERROR(__xludf.DUMMYFUNCTION("""COMPUTED_VALUE"""),"vldwg")</f>
        <v>vldwg</v>
      </c>
      <c r="G841" s="10" t="str">
        <f>IFERROR(__xludf.DUMMYFUNCTION("""COMPUTED_VALUE"""),"Yes")</f>
        <v>Yes</v>
      </c>
      <c r="H841" s="10">
        <f>IFERROR(__xludf.DUMMYFUNCTION("""COMPUTED_VALUE"""),0.0)</f>
        <v>0</v>
      </c>
      <c r="I841" s="10">
        <f>IFERROR(__xludf.DUMMYFUNCTION("""COMPUTED_VALUE"""),10.0)</f>
        <v>10</v>
      </c>
      <c r="J841" s="10">
        <f>IFERROR(__xludf.DUMMYFUNCTION("""COMPUTED_VALUE"""),0.0)</f>
        <v>0</v>
      </c>
      <c r="K841" s="10">
        <f>IFERROR(__xludf.DUMMYFUNCTION("""COMPUTED_VALUE"""),0.0)</f>
        <v>0</v>
      </c>
      <c r="L841" s="10">
        <f>IFERROR(__xludf.DUMMYFUNCTION("""COMPUTED_VALUE"""),0.0)</f>
        <v>0</v>
      </c>
      <c r="M841" s="10">
        <f>IFERROR(__xludf.DUMMYFUNCTION("""COMPUTED_VALUE"""),0.0)</f>
        <v>0</v>
      </c>
      <c r="N841" s="10">
        <f>IFERROR(__xludf.DUMMYFUNCTION("""COMPUTED_VALUE"""),0.0)</f>
        <v>0</v>
      </c>
      <c r="O841" s="10">
        <f>IFERROR(__xludf.DUMMYFUNCTION("""COMPUTED_VALUE"""),0.0)</f>
        <v>0</v>
      </c>
      <c r="P841" s="10">
        <f>IFERROR(__xludf.DUMMYFUNCTION("""COMPUTED_VALUE"""),0.0)</f>
        <v>0</v>
      </c>
      <c r="Q841" s="10" t="str">
        <f>IFERROR(__xludf.DUMMYFUNCTION("""COMPUTED_VALUE"""),"No")</f>
        <v>No</v>
      </c>
      <c r="R841" s="10" t="str">
        <f>IFERROR(__xludf.DUMMYFUNCTION("""COMPUTED_VALUE"""),"No")</f>
        <v>No</v>
      </c>
      <c r="S841" s="10" t="str">
        <f>IFERROR(__xludf.DUMMYFUNCTION("""COMPUTED_VALUE"""),"No")</f>
        <v>No</v>
      </c>
      <c r="T841" s="10">
        <f>IFERROR(__xludf.DUMMYFUNCTION("""COMPUTED_VALUE"""),0.0)</f>
        <v>0</v>
      </c>
      <c r="U841" s="10">
        <f>IFERROR(__xludf.DUMMYFUNCTION("""COMPUTED_VALUE"""),0.0)</f>
        <v>0</v>
      </c>
      <c r="V841" s="10" t="str">
        <f>IFERROR(__xludf.DUMMYFUNCTION("""COMPUTED_VALUE"""),"حضرت عمر فاروق کا دعوت اسلام میں انے کا واقعہ")</f>
        <v>حضرت عمر فاروق کا دعوت اسلام میں انے کا واقعہ</v>
      </c>
      <c r="W841" s="10" t="str">
        <f>IFERROR(__xludf.DUMMYFUNCTION("""COMPUTED_VALUE"""),"حضرت عمر فاروق رضی اللہ تعالی عنہ کا دعوت اسلام میں انے کا واقعہ بیان کیا گیا")</f>
        <v>حضرت عمر فاروق رضی اللہ تعالی عنہ کا دعوت اسلام میں انے کا واقعہ بیان کیا گیا</v>
      </c>
      <c r="X841" s="10">
        <f>IFERROR(__xludf.DUMMYFUNCTION("""COMPUTED_VALUE"""),7.0)</f>
        <v>7</v>
      </c>
      <c r="Y841" s="10">
        <f>IFERROR(__xludf.DUMMYFUNCTION("""COMPUTED_VALUE"""),6.0)</f>
        <v>6</v>
      </c>
      <c r="Z841" s="10">
        <f>IFERROR(__xludf.DUMMYFUNCTION("""COMPUTED_VALUE"""),1.0)</f>
        <v>1</v>
      </c>
      <c r="AA841" s="10">
        <f>IFERROR(__xludf.DUMMYFUNCTION("""COMPUTED_VALUE"""),10.0)</f>
        <v>10</v>
      </c>
      <c r="AB841" s="10">
        <f>IFERROR(__xludf.DUMMYFUNCTION("""COMPUTED_VALUE"""),8.0)</f>
        <v>8</v>
      </c>
      <c r="AC841" s="10">
        <f>IFERROR(__xludf.DUMMYFUNCTION("""COMPUTED_VALUE"""),1.0)</f>
        <v>1</v>
      </c>
      <c r="AD841" s="10">
        <f>IFERROR(__xludf.DUMMYFUNCTION("""COMPUTED_VALUE"""),1.0)</f>
        <v>1</v>
      </c>
      <c r="AE841" s="10">
        <f>IFERROR(__xludf.DUMMYFUNCTION("""COMPUTED_VALUE"""),2.0)</f>
        <v>2</v>
      </c>
      <c r="AF841" s="10">
        <f>IFERROR(__xludf.DUMMYFUNCTION("""COMPUTED_VALUE"""),7.0)</f>
        <v>7</v>
      </c>
      <c r="AG841" s="10">
        <f>IFERROR(__xludf.DUMMYFUNCTION("""COMPUTED_VALUE"""),8.0)</f>
        <v>8</v>
      </c>
      <c r="AH841" s="10">
        <f>IFERROR(__xludf.DUMMYFUNCTION("""COMPUTED_VALUE"""),0.0)</f>
        <v>0</v>
      </c>
      <c r="AI841" s="10">
        <f>IFERROR(__xludf.DUMMYFUNCTION("""COMPUTED_VALUE"""),9.0)</f>
        <v>9</v>
      </c>
      <c r="AJ841" s="11" t="str">
        <f>IFERROR(__xludf.DUMMYFUNCTION("""COMPUTED_VALUE"""),"https://drive.google.com/open?id=1lFcw_iWMtVR0h41_W_DraOFSdcaHOrXy")</f>
        <v>https://drive.google.com/open?id=1lFcw_iWMtVR0h41_W_DraOFSdcaHOrXy</v>
      </c>
      <c r="AK841" s="12"/>
      <c r="AL841" s="12" t="str">
        <f>IFERROR(__xludf.DUMMYFUNCTION("""COMPUTED_VALUE"""),"Yes")</f>
        <v>Yes</v>
      </c>
      <c r="AM841" s="15">
        <f>IFERROR(__xludf.DUMMYFUNCTION("""COMPUTED_VALUE"""),0.0)</f>
        <v>0</v>
      </c>
      <c r="AN841" s="12" t="str">
        <f>IFERROR(__xludf.DUMMYFUNCTION("""COMPUTED_VALUE"""),"4th week")</f>
        <v>4th week</v>
      </c>
      <c r="AO841" s="13">
        <v>4.0</v>
      </c>
      <c r="AX841" s="17"/>
    </row>
    <row r="842">
      <c r="B842" s="9">
        <f>IFERROR(__xludf.DUMMYFUNCTION("""COMPUTED_VALUE"""),45969.88202706019)</f>
        <v>45969.88203</v>
      </c>
      <c r="C842" s="10" t="str">
        <f>IFERROR(__xludf.DUMMYFUNCTION("""COMPUTED_VALUE"""),"Maham")</f>
        <v>Maham</v>
      </c>
      <c r="D842" s="10" t="str">
        <f>IFERROR(__xludf.DUMMYFUNCTION("""COMPUTED_VALUE"""),"03218118680")</f>
        <v>03218118680</v>
      </c>
      <c r="E842" s="10" t="str">
        <f>IFERROR(__xludf.DUMMYFUNCTION("""COMPUTED_VALUE"""),"Jamia Masjid Islam Pura Dhobi Ghaat Faisalabad")</f>
        <v>Jamia Masjid Islam Pura Dhobi Ghaat Faisalabad</v>
      </c>
      <c r="F842" s="10" t="str">
        <f>IFERROR(__xludf.DUMMYFUNCTION("""COMPUTED_VALUE"""),"cfcvk")</f>
        <v>cfcvk</v>
      </c>
      <c r="G842" s="10" t="str">
        <f>IFERROR(__xludf.DUMMYFUNCTION("""COMPUTED_VALUE"""),"Yes")</f>
        <v>Yes</v>
      </c>
      <c r="H842" s="10">
        <f>IFERROR(__xludf.DUMMYFUNCTION("""COMPUTED_VALUE"""),4.0)</f>
        <v>4</v>
      </c>
      <c r="I842" s="10">
        <f>IFERROR(__xludf.DUMMYFUNCTION("""COMPUTED_VALUE"""),6.0)</f>
        <v>6</v>
      </c>
      <c r="J842" s="10">
        <f>IFERROR(__xludf.DUMMYFUNCTION("""COMPUTED_VALUE"""),10.0)</f>
        <v>10</v>
      </c>
      <c r="K842" s="10">
        <f>IFERROR(__xludf.DUMMYFUNCTION("""COMPUTED_VALUE"""),0.0)</f>
        <v>0</v>
      </c>
      <c r="L842" s="10">
        <f>IFERROR(__xludf.DUMMYFUNCTION("""COMPUTED_VALUE"""),10.0)</f>
        <v>10</v>
      </c>
      <c r="M842" s="10">
        <f>IFERROR(__xludf.DUMMYFUNCTION("""COMPUTED_VALUE"""),0.0)</f>
        <v>0</v>
      </c>
      <c r="N842" s="10">
        <f>IFERROR(__xludf.DUMMYFUNCTION("""COMPUTED_VALUE"""),9.0)</f>
        <v>9</v>
      </c>
      <c r="O842" s="10">
        <f>IFERROR(__xludf.DUMMYFUNCTION("""COMPUTED_VALUE"""),0.0)</f>
        <v>0</v>
      </c>
      <c r="P842" s="10">
        <f>IFERROR(__xludf.DUMMYFUNCTION("""COMPUTED_VALUE"""),7.0)</f>
        <v>7</v>
      </c>
      <c r="Q842" s="10" t="str">
        <f>IFERROR(__xludf.DUMMYFUNCTION("""COMPUTED_VALUE"""),"No")</f>
        <v>No</v>
      </c>
      <c r="R842" s="10" t="str">
        <f>IFERROR(__xludf.DUMMYFUNCTION("""COMPUTED_VALUE"""),"No")</f>
        <v>No</v>
      </c>
      <c r="S842" s="10" t="str">
        <f>IFERROR(__xludf.DUMMYFUNCTION("""COMPUTED_VALUE"""),"No")</f>
        <v>No</v>
      </c>
      <c r="T842" s="10">
        <f>IFERROR(__xludf.DUMMYFUNCTION("""COMPUTED_VALUE"""),0.0)</f>
        <v>0</v>
      </c>
      <c r="U842" s="10">
        <f>IFERROR(__xludf.DUMMYFUNCTION("""COMPUTED_VALUE"""),0.0)</f>
        <v>0</v>
      </c>
      <c r="V842" s="10" t="str">
        <f>IFERROR(__xludf.DUMMYFUNCTION("""COMPUTED_VALUE"""),"پڑوسی کے حقوق")</f>
        <v>پڑوسی کے حقوق</v>
      </c>
      <c r="W842" s="10" t="str">
        <f>IFERROR(__xludf.DUMMYFUNCTION("""COMPUTED_VALUE"""),"پڑوسی کے حقوق بیان کیے ")</f>
        <v>پڑوسی کے حقوق بیان کیے </v>
      </c>
      <c r="X842" s="10">
        <f>IFERROR(__xludf.DUMMYFUNCTION("""COMPUTED_VALUE"""),4.0)</f>
        <v>4</v>
      </c>
      <c r="Y842" s="10">
        <f>IFERROR(__xludf.DUMMYFUNCTION("""COMPUTED_VALUE"""),8.0)</f>
        <v>8</v>
      </c>
      <c r="Z842" s="10">
        <f>IFERROR(__xludf.DUMMYFUNCTION("""COMPUTED_VALUE"""),8.0)</f>
        <v>8</v>
      </c>
      <c r="AA842" s="10">
        <f>IFERROR(__xludf.DUMMYFUNCTION("""COMPUTED_VALUE"""),8.0)</f>
        <v>8</v>
      </c>
      <c r="AB842" s="10">
        <f>IFERROR(__xludf.DUMMYFUNCTION("""COMPUTED_VALUE"""),7.0)</f>
        <v>7</v>
      </c>
      <c r="AC842" s="10">
        <f>IFERROR(__xludf.DUMMYFUNCTION("""COMPUTED_VALUE"""),0.0)</f>
        <v>0</v>
      </c>
      <c r="AD842" s="10">
        <f>IFERROR(__xludf.DUMMYFUNCTION("""COMPUTED_VALUE"""),2.0)</f>
        <v>2</v>
      </c>
      <c r="AE842" s="10">
        <f>IFERROR(__xludf.DUMMYFUNCTION("""COMPUTED_VALUE"""),2.0)</f>
        <v>2</v>
      </c>
      <c r="AF842" s="10">
        <f>IFERROR(__xludf.DUMMYFUNCTION("""COMPUTED_VALUE"""),4.0)</f>
        <v>4</v>
      </c>
      <c r="AG842" s="10">
        <f>IFERROR(__xludf.DUMMYFUNCTION("""COMPUTED_VALUE"""),8.0)</f>
        <v>8</v>
      </c>
      <c r="AH842" s="10">
        <f>IFERROR(__xludf.DUMMYFUNCTION("""COMPUTED_VALUE"""),0.0)</f>
        <v>0</v>
      </c>
      <c r="AI842" s="10">
        <f>IFERROR(__xludf.DUMMYFUNCTION("""COMPUTED_VALUE"""),9.0)</f>
        <v>9</v>
      </c>
      <c r="AJ842" s="11" t="str">
        <f>IFERROR(__xludf.DUMMYFUNCTION("""COMPUTED_VALUE"""),"https://drive.google.com/open?id=1643qbCp0DQOFqyR6GkuVqqIYY3MNbJiJ")</f>
        <v>https://drive.google.com/open?id=1643qbCp0DQOFqyR6GkuVqqIYY3MNbJiJ</v>
      </c>
      <c r="AK842" s="12" t="str">
        <f>IFERROR(__xludf.DUMMYFUNCTION("""COMPUTED_VALUE"""),"۔۔۔۔۔۔کا مطلب ہے وہاں سے اواز کی سمجھ نہیں ارہی")</f>
        <v>۔۔۔۔۔۔کا مطلب ہے وہاں سے اواز کی سمجھ نہیں ارہی</v>
      </c>
      <c r="AL842" s="12" t="str">
        <f>IFERROR(__xludf.DUMMYFUNCTION("""COMPUTED_VALUE"""),"Yes")</f>
        <v>Yes</v>
      </c>
      <c r="AM842" s="15">
        <f>IFERROR(__xludf.DUMMYFUNCTION("""COMPUTED_VALUE"""),0.8)</f>
        <v>0.8</v>
      </c>
      <c r="AN842" s="12" t="str">
        <f>IFERROR(__xludf.DUMMYFUNCTION("""COMPUTED_VALUE"""),"2nd week")</f>
        <v>2nd week</v>
      </c>
      <c r="AO842" s="13">
        <v>2.0</v>
      </c>
      <c r="AX842" s="17"/>
    </row>
    <row r="843">
      <c r="B843" s="9">
        <f>IFERROR(__xludf.DUMMYFUNCTION("""COMPUTED_VALUE"""),45969.9549471412)</f>
        <v>45969.95495</v>
      </c>
      <c r="C843" s="10" t="str">
        <f>IFERROR(__xludf.DUMMYFUNCTION("""COMPUTED_VALUE"""),"Atiqa ")</f>
        <v>Atiqa </v>
      </c>
      <c r="D843" s="10" t="str">
        <f>IFERROR(__xludf.DUMMYFUNCTION("""COMPUTED_VALUE"""),"03157519977")</f>
        <v>03157519977</v>
      </c>
      <c r="E843" s="10" t="str">
        <f>IFERROR(__xludf.DUMMYFUNCTION("""COMPUTED_VALUE"""),"Jamia Masjid Darbar Muhammad Ghous Bala Peer Okara")</f>
        <v>Jamia Masjid Darbar Muhammad Ghous Bala Peer Okara</v>
      </c>
      <c r="F843" s="10" t="str">
        <f>IFERROR(__xludf.DUMMYFUNCTION("""COMPUTED_VALUE"""),"VTGKG")</f>
        <v>VTGKG</v>
      </c>
      <c r="G843" s="10" t="str">
        <f>IFERROR(__xludf.DUMMYFUNCTION("""COMPUTED_VALUE"""),"Yes")</f>
        <v>Yes</v>
      </c>
      <c r="H843" s="10">
        <f>IFERROR(__xludf.DUMMYFUNCTION("""COMPUTED_VALUE"""),0.0)</f>
        <v>0</v>
      </c>
      <c r="I843" s="10">
        <f>IFERROR(__xludf.DUMMYFUNCTION("""COMPUTED_VALUE"""),10.0)</f>
        <v>10</v>
      </c>
      <c r="J843" s="10">
        <f>IFERROR(__xludf.DUMMYFUNCTION("""COMPUTED_VALUE"""),0.0)</f>
        <v>0</v>
      </c>
      <c r="K843" s="10">
        <f>IFERROR(__xludf.DUMMYFUNCTION("""COMPUTED_VALUE"""),0.0)</f>
        <v>0</v>
      </c>
      <c r="L843" s="10">
        <f>IFERROR(__xludf.DUMMYFUNCTION("""COMPUTED_VALUE"""),0.0)</f>
        <v>0</v>
      </c>
      <c r="M843" s="10">
        <f>IFERROR(__xludf.DUMMYFUNCTION("""COMPUTED_VALUE"""),0.0)</f>
        <v>0</v>
      </c>
      <c r="N843" s="10">
        <f>IFERROR(__xludf.DUMMYFUNCTION("""COMPUTED_VALUE"""),0.0)</f>
        <v>0</v>
      </c>
      <c r="O843" s="10">
        <f>IFERROR(__xludf.DUMMYFUNCTION("""COMPUTED_VALUE"""),0.0)</f>
        <v>0</v>
      </c>
      <c r="P843" s="10">
        <f>IFERROR(__xludf.DUMMYFUNCTION("""COMPUTED_VALUE"""),0.0)</f>
        <v>0</v>
      </c>
      <c r="Q843" s="10" t="str">
        <f>IFERROR(__xludf.DUMMYFUNCTION("""COMPUTED_VALUE"""),"No")</f>
        <v>No</v>
      </c>
      <c r="R843" s="10" t="str">
        <f>IFERROR(__xludf.DUMMYFUNCTION("""COMPUTED_VALUE"""),"No")</f>
        <v>No</v>
      </c>
      <c r="S843" s="10" t="str">
        <f>IFERROR(__xludf.DUMMYFUNCTION("""COMPUTED_VALUE"""),"No")</f>
        <v>No</v>
      </c>
      <c r="T843" s="10">
        <f>IFERROR(__xludf.DUMMYFUNCTION("""COMPUTED_VALUE"""),0.0)</f>
        <v>0</v>
      </c>
      <c r="U843" s="10">
        <f>IFERROR(__xludf.DUMMYFUNCTION("""COMPUTED_VALUE"""),0.0)</f>
        <v>0</v>
      </c>
      <c r="V843" s="10" t="str">
        <f>IFERROR(__xludf.DUMMYFUNCTION("""COMPUTED_VALUE"""),"۱۔ غوث اعظم عبدالقادر جیلانی اور سچائی ۲۔ ملاوٹ سے بچنا ")</f>
        <v>۱۔ غوث اعظم عبدالقادر جیلانی اور سچائی ۲۔ ملاوٹ سے بچنا </v>
      </c>
      <c r="W843" s="10" t="str">
        <f>IFERROR(__xludf.DUMMYFUNCTION("""COMPUTED_VALUE"""),"امام نے بیان کیا کہ غوث اعظم کی پیدائش گیارویں کو ہوئی اور اس روز صرف لڑکوں کی پیدائش ہونا اور اسی نسبت سے ولی اور صالح ان کا بننا عبدالقادر جیلانی کی والدہ کا انہیں سچائی کی نصیحت کرنا اور ان کے سچ سے متاثر ہو کر ڈاکو کے سردار کا توبہ کرنے کا واقعہ بیان "&amp;"کیا اور یہ کہ امام نے فوڈ اتھارٹی اور محکمہ اوقاف کی جانب سے یہ پیغام دیا کہ چیزوں میں ملاوٹ نہ کی جائے انہیں صحت کے لیے غیر موثر نہ بنایا جائے۔ ")</f>
        <v>امام نے بیان کیا کہ غوث اعظم کی پیدائش گیارویں کو ہوئی اور اس روز صرف لڑکوں کی پیدائش ہونا اور اسی نسبت سے ولی اور صالح ان کا بننا عبدالقادر جیلانی کی والدہ کا انہیں سچائی کی نصیحت کرنا اور ان کے سچ سے متاثر ہو کر ڈاکو کے سردار کا توبہ کرنے کا واقعہ بیان کیا اور یہ کہ امام نے فوڈ اتھارٹی اور محکمہ اوقاف کی جانب سے یہ پیغام دیا کہ چیزوں میں ملاوٹ نہ کی جائے انہیں صحت کے لیے غیر موثر نہ بنایا جائے۔ </v>
      </c>
      <c r="X843" s="10">
        <f>IFERROR(__xludf.DUMMYFUNCTION("""COMPUTED_VALUE"""),2.0)</f>
        <v>2</v>
      </c>
      <c r="Y843" s="10">
        <f>IFERROR(__xludf.DUMMYFUNCTION("""COMPUTED_VALUE"""),8.0)</f>
        <v>8</v>
      </c>
      <c r="Z843" s="10">
        <f>IFERROR(__xludf.DUMMYFUNCTION("""COMPUTED_VALUE"""),6.0)</f>
        <v>6</v>
      </c>
      <c r="AA843" s="10">
        <f>IFERROR(__xludf.DUMMYFUNCTION("""COMPUTED_VALUE"""),7.0)</f>
        <v>7</v>
      </c>
      <c r="AB843" s="10">
        <f>IFERROR(__xludf.DUMMYFUNCTION("""COMPUTED_VALUE"""),7.0)</f>
        <v>7</v>
      </c>
      <c r="AC843" s="10">
        <f>IFERROR(__xludf.DUMMYFUNCTION("""COMPUTED_VALUE"""),1.0)</f>
        <v>1</v>
      </c>
      <c r="AD843" s="10">
        <f>IFERROR(__xludf.DUMMYFUNCTION("""COMPUTED_VALUE"""),2.0)</f>
        <v>2</v>
      </c>
      <c r="AE843" s="10">
        <f>IFERROR(__xludf.DUMMYFUNCTION("""COMPUTED_VALUE"""),1.0)</f>
        <v>1</v>
      </c>
      <c r="AF843" s="10">
        <f>IFERROR(__xludf.DUMMYFUNCTION("""COMPUTED_VALUE"""),4.0)</f>
        <v>4</v>
      </c>
      <c r="AG843" s="10">
        <f>IFERROR(__xludf.DUMMYFUNCTION("""COMPUTED_VALUE"""),8.0)</f>
        <v>8</v>
      </c>
      <c r="AH843" s="10">
        <f>IFERROR(__xludf.DUMMYFUNCTION("""COMPUTED_VALUE"""),0.0)</f>
        <v>0</v>
      </c>
      <c r="AI843" s="10">
        <f>IFERROR(__xludf.DUMMYFUNCTION("""COMPUTED_VALUE"""),8.0)</f>
        <v>8</v>
      </c>
      <c r="AJ843" s="11" t="str">
        <f>IFERROR(__xludf.DUMMYFUNCTION("""COMPUTED_VALUE"""),"https://drive.google.com/open?id=1wu3TqTx1Mi9A6pJfRZFBseKD1ljNQjRec-QVXMEUapM")</f>
        <v>https://drive.google.com/open?id=1wu3TqTx1Mi9A6pJfRZFBseKD1ljNQjRec-QVXMEUapM</v>
      </c>
      <c r="AK843" s="12"/>
      <c r="AL843" s="12" t="str">
        <f>IFERROR(__xludf.DUMMYFUNCTION("""COMPUTED_VALUE"""),"Yes")</f>
        <v>Yes</v>
      </c>
      <c r="AM843" s="15">
        <f>IFERROR(__xludf.DUMMYFUNCTION("""COMPUTED_VALUE"""),0.0)</f>
        <v>0</v>
      </c>
      <c r="AN843" s="12" t="str">
        <f>IFERROR(__xludf.DUMMYFUNCTION("""COMPUTED_VALUE"""),"3rd week")</f>
        <v>3rd week</v>
      </c>
      <c r="AO843" s="13">
        <v>3.0</v>
      </c>
      <c r="AX843" s="17"/>
    </row>
    <row r="844">
      <c r="B844" s="9">
        <f>IFERROR(__xludf.DUMMYFUNCTION("""COMPUTED_VALUE"""),45970.05307212963)</f>
        <v>45970.05307</v>
      </c>
      <c r="C844" s="10" t="str">
        <f>IFERROR(__xludf.DUMMYFUNCTION("""COMPUTED_VALUE"""),"Saira Shahzad ")</f>
        <v>Saira Shahzad </v>
      </c>
      <c r="D844" s="10" t="str">
        <f>IFERROR(__xludf.DUMMYFUNCTION("""COMPUTED_VALUE"""),"03114534696")</f>
        <v>03114534696</v>
      </c>
      <c r="E844" s="10" t="str">
        <f>IFERROR(__xludf.DUMMYFUNCTION("""COMPUTED_VALUE"""),"Jamia Masjid Darbar Noor Shah Wali Faisalabad")</f>
        <v>Jamia Masjid Darbar Noor Shah Wali Faisalabad</v>
      </c>
      <c r="F844" s="10" t="str">
        <f>IFERROR(__xludf.DUMMYFUNCTION("""COMPUTED_VALUE"""),"kyzwa")</f>
        <v>kyzwa</v>
      </c>
      <c r="G844" s="10" t="str">
        <f>IFERROR(__xludf.DUMMYFUNCTION("""COMPUTED_VALUE"""),"Yes")</f>
        <v>Yes</v>
      </c>
      <c r="H844" s="10">
        <f>IFERROR(__xludf.DUMMYFUNCTION("""COMPUTED_VALUE"""),0.0)</f>
        <v>0</v>
      </c>
      <c r="I844" s="10">
        <f>IFERROR(__xludf.DUMMYFUNCTION("""COMPUTED_VALUE"""),10.0)</f>
        <v>10</v>
      </c>
      <c r="J844" s="10">
        <f>IFERROR(__xludf.DUMMYFUNCTION("""COMPUTED_VALUE"""),0.0)</f>
        <v>0</v>
      </c>
      <c r="K844" s="10">
        <f>IFERROR(__xludf.DUMMYFUNCTION("""COMPUTED_VALUE"""),0.0)</f>
        <v>0</v>
      </c>
      <c r="L844" s="10">
        <f>IFERROR(__xludf.DUMMYFUNCTION("""COMPUTED_VALUE"""),0.0)</f>
        <v>0</v>
      </c>
      <c r="M844" s="10">
        <f>IFERROR(__xludf.DUMMYFUNCTION("""COMPUTED_VALUE"""),0.0)</f>
        <v>0</v>
      </c>
      <c r="N844" s="10">
        <f>IFERROR(__xludf.DUMMYFUNCTION("""COMPUTED_VALUE"""),0.0)</f>
        <v>0</v>
      </c>
      <c r="O844" s="10">
        <f>IFERROR(__xludf.DUMMYFUNCTION("""COMPUTED_VALUE"""),0.0)</f>
        <v>0</v>
      </c>
      <c r="P844" s="10">
        <f>IFERROR(__xludf.DUMMYFUNCTION("""COMPUTED_VALUE"""),0.0)</f>
        <v>0</v>
      </c>
      <c r="Q844" s="10" t="str">
        <f>IFERROR(__xludf.DUMMYFUNCTION("""COMPUTED_VALUE"""),"No")</f>
        <v>No</v>
      </c>
      <c r="R844" s="10" t="str">
        <f>IFERROR(__xludf.DUMMYFUNCTION("""COMPUTED_VALUE"""),"No")</f>
        <v>No</v>
      </c>
      <c r="S844" s="10" t="str">
        <f>IFERROR(__xludf.DUMMYFUNCTION("""COMPUTED_VALUE"""),"No")</f>
        <v>No</v>
      </c>
      <c r="T844" s="10">
        <f>IFERROR(__xludf.DUMMYFUNCTION("""COMPUTED_VALUE"""),0.0)</f>
        <v>0</v>
      </c>
      <c r="U844" s="10">
        <f>IFERROR(__xludf.DUMMYFUNCTION("""COMPUTED_VALUE"""),0.0)</f>
        <v>0</v>
      </c>
      <c r="V844" s="10" t="str">
        <f>IFERROR(__xludf.DUMMYFUNCTION("""COMPUTED_VALUE"""),"حضور پاک صلی اللہ علیہ والہ وسلم کی امت کی شان")</f>
        <v>حضور پاک صلی اللہ علیہ والہ وسلم کی امت کی شان</v>
      </c>
      <c r="W844" s="10" t="str">
        <f>IFERROR(__xludf.DUMMYFUNCTION("""COMPUTED_VALUE"""),"امام نے اپنے بیان میں حضور پاک صلی اللہ علیہ والہ وسلم کی امت کی شان بیان کی ہے اور بیان کیا کہ ہم اج کے دور میں کہاں کھڑے ہیں اور برائی ہمارے اندر موجود ہے زنا ہم کرتے ہیں ملاوٹ ہم کرتے ہیں آج کے دور میں ہمارے اندر قوم نوح والی برائیاں موجود ہیں حالانکہ "&amp;"ہم سب سے بہترین امت ہیں اور حضرت موسی علیہ السلام کا واقعہ بیان کیا ہے کہ جب انہوں نے تورات کو کھولا تو ایک امت کی جب اچھائیاں دیکھیں تو دعا کی کہ یہ قوم کاش میری امت ہو اور رب سے دعا بھی کی کہ یا ان کو میری امت بنا دے یا مجھے اس نبی کا امتی بنا دیں جس کی"&amp;" یہ امت ہے اور نبی پاک صلی اللہ علیہ والہ وسلم کی وصال کا واقعہ ہے کہ جب حضرت جبرائیل علیہ السلام آپ کی روح قبض کرنے آئے تو آپ نے عرض کی کہ جو موت کی تکلیف ہے وہ تمام مجھے دے دی جائے لیکن میری امت کو تکلیف نہ ہو یہ پیار ہے ہمارے نبی کا ہم سے اس لیے ہمیں چ"&amp;"اہیے کہ ہم بھی اپنے نبی کے احکامات پر چلیں اور برائی سے خود کو روکیں ")</f>
        <v>امام نے اپنے بیان میں حضور پاک صلی اللہ علیہ والہ وسلم کی امت کی شان بیان کی ہے اور بیان کیا کہ ہم اج کے دور میں کہاں کھڑے ہیں اور برائی ہمارے اندر موجود ہے زنا ہم کرتے ہیں ملاوٹ ہم کرتے ہیں آج کے دور میں ہمارے اندر قوم نوح والی برائیاں موجود ہیں حالانکہ ہم سب سے بہترین امت ہیں اور حضرت موسی علیہ السلام کا واقعہ بیان کیا ہے کہ جب انہوں نے تورات کو کھولا تو ایک امت کی جب اچھائیاں دیکھیں تو دعا کی کہ یہ قوم کاش میری امت ہو اور رب سے دعا بھی کی کہ یا ان کو میری امت بنا دے یا مجھے اس نبی کا امتی بنا دیں جس کی یہ امت ہے اور نبی پاک صلی اللہ علیہ والہ وسلم کی وصال کا واقعہ ہے کہ جب حضرت جبرائیل علیہ السلام آپ کی روح قبض کرنے آئے تو آپ نے عرض کی کہ جو موت کی تکلیف ہے وہ تمام مجھے دے دی جائے لیکن میری امت کو تکلیف نہ ہو یہ پیار ہے ہمارے نبی کا ہم سے اس لیے ہمیں چاہیے کہ ہم بھی اپنے نبی کے احکامات پر چلیں اور برائی سے خود کو روکیں </v>
      </c>
      <c r="X844" s="10">
        <f>IFERROR(__xludf.DUMMYFUNCTION("""COMPUTED_VALUE"""),2.0)</f>
        <v>2</v>
      </c>
      <c r="Y844" s="10">
        <f>IFERROR(__xludf.DUMMYFUNCTION("""COMPUTED_VALUE"""),3.0)</f>
        <v>3</v>
      </c>
      <c r="Z844" s="10">
        <f>IFERROR(__xludf.DUMMYFUNCTION("""COMPUTED_VALUE"""),0.0)</f>
        <v>0</v>
      </c>
      <c r="AA844" s="10">
        <f>IFERROR(__xludf.DUMMYFUNCTION("""COMPUTED_VALUE"""),8.0)</f>
        <v>8</v>
      </c>
      <c r="AB844" s="10">
        <f>IFERROR(__xludf.DUMMYFUNCTION("""COMPUTED_VALUE"""),8.0)</f>
        <v>8</v>
      </c>
      <c r="AC844" s="10">
        <f>IFERROR(__xludf.DUMMYFUNCTION("""COMPUTED_VALUE"""),0.0)</f>
        <v>0</v>
      </c>
      <c r="AD844" s="10">
        <f>IFERROR(__xludf.DUMMYFUNCTION("""COMPUTED_VALUE"""),2.0)</f>
        <v>2</v>
      </c>
      <c r="AE844" s="10">
        <f>IFERROR(__xludf.DUMMYFUNCTION("""COMPUTED_VALUE"""),4.0)</f>
        <v>4</v>
      </c>
      <c r="AF844" s="10">
        <f>IFERROR(__xludf.DUMMYFUNCTION("""COMPUTED_VALUE"""),7.0)</f>
        <v>7</v>
      </c>
      <c r="AG844" s="10">
        <f>IFERROR(__xludf.DUMMYFUNCTION("""COMPUTED_VALUE"""),9.0)</f>
        <v>9</v>
      </c>
      <c r="AH844" s="10">
        <f>IFERROR(__xludf.DUMMYFUNCTION("""COMPUTED_VALUE"""),0.0)</f>
        <v>0</v>
      </c>
      <c r="AI844" s="10">
        <f>IFERROR(__xludf.DUMMYFUNCTION("""COMPUTED_VALUE"""),9.0)</f>
        <v>9</v>
      </c>
      <c r="AJ844" s="11" t="str">
        <f>IFERROR(__xludf.DUMMYFUNCTION("""COMPUTED_VALUE"""),"https://drive.google.com/open?id=1egVkwO5yr75-xCKZ4pEO0KntdQiCHCRD0CenNuxypcI")</f>
        <v>https://drive.google.com/open?id=1egVkwO5yr75-xCKZ4pEO0KntdQiCHCRD0CenNuxypcI</v>
      </c>
      <c r="AK844" s="12" t="str">
        <f>IFERROR(__xludf.DUMMYFUNCTION("""COMPUTED_VALUE"""),"No")</f>
        <v>No</v>
      </c>
      <c r="AL844" s="12" t="str">
        <f>IFERROR(__xludf.DUMMYFUNCTION("""COMPUTED_VALUE"""),"Yes")</f>
        <v>Yes</v>
      </c>
      <c r="AM844" s="15">
        <f>IFERROR(__xludf.DUMMYFUNCTION("""COMPUTED_VALUE"""),0.0)</f>
        <v>0</v>
      </c>
      <c r="AN844" s="12" t="str">
        <f>IFERROR(__xludf.DUMMYFUNCTION("""COMPUTED_VALUE"""),"3rd week")</f>
        <v>3rd week</v>
      </c>
      <c r="AO844" s="13">
        <v>3.0</v>
      </c>
      <c r="AX844" s="17"/>
    </row>
    <row r="845">
      <c r="B845" s="9">
        <f>IFERROR(__xludf.DUMMYFUNCTION("""COMPUTED_VALUE"""),45970.05582949074)</f>
        <v>45970.05583</v>
      </c>
      <c r="C845" s="10" t="str">
        <f>IFERROR(__xludf.DUMMYFUNCTION("""COMPUTED_VALUE"""),"Atiqa ")</f>
        <v>Atiqa </v>
      </c>
      <c r="D845" s="10" t="str">
        <f>IFERROR(__xludf.DUMMYFUNCTION("""COMPUTED_VALUE"""),"03157519977")</f>
        <v>03157519977</v>
      </c>
      <c r="E845" s="10" t="str">
        <f>IFERROR(__xludf.DUMMYFUNCTION("""COMPUTED_VALUE"""),"Jamia Masjid Lahbey Shah Ghogera Okara")</f>
        <v>Jamia Masjid Lahbey Shah Ghogera Okara</v>
      </c>
      <c r="F845" s="10" t="str">
        <f>IFERROR(__xludf.DUMMYFUNCTION("""COMPUTED_VALUE"""),"VPLSV")</f>
        <v>VPLSV</v>
      </c>
      <c r="G845" s="10" t="str">
        <f>IFERROR(__xludf.DUMMYFUNCTION("""COMPUTED_VALUE"""),"No")</f>
        <v>No</v>
      </c>
      <c r="H845" s="10"/>
      <c r="I845" s="10"/>
      <c r="J845" s="10"/>
      <c r="K845" s="10">
        <f>IFERROR(__xludf.DUMMYFUNCTION("""COMPUTED_VALUE"""),0.0)</f>
        <v>0</v>
      </c>
      <c r="L845" s="10">
        <f>IFERROR(__xludf.DUMMYFUNCTION("""COMPUTED_VALUE"""),0.0)</f>
        <v>0</v>
      </c>
      <c r="M845" s="10">
        <f>IFERROR(__xludf.DUMMYFUNCTION("""COMPUTED_VALUE"""),0.0)</f>
        <v>0</v>
      </c>
      <c r="N845" s="10">
        <f>IFERROR(__xludf.DUMMYFUNCTION("""COMPUTED_VALUE"""),0.0)</f>
        <v>0</v>
      </c>
      <c r="O845" s="10">
        <f>IFERROR(__xludf.DUMMYFUNCTION("""COMPUTED_VALUE"""),0.0)</f>
        <v>0</v>
      </c>
      <c r="P845" s="10">
        <f>IFERROR(__xludf.DUMMYFUNCTION("""COMPUTED_VALUE"""),0.0)</f>
        <v>0</v>
      </c>
      <c r="Q845" s="10" t="str">
        <f>IFERROR(__xludf.DUMMYFUNCTION("""COMPUTED_VALUE"""),"No")</f>
        <v>No</v>
      </c>
      <c r="R845" s="10" t="str">
        <f>IFERROR(__xludf.DUMMYFUNCTION("""COMPUTED_VALUE"""),"No")</f>
        <v>No</v>
      </c>
      <c r="S845" s="10" t="str">
        <f>IFERROR(__xludf.DUMMYFUNCTION("""COMPUTED_VALUE"""),"No")</f>
        <v>No</v>
      </c>
      <c r="T845" s="10">
        <f>IFERROR(__xludf.DUMMYFUNCTION("""COMPUTED_VALUE"""),0.0)</f>
        <v>0</v>
      </c>
      <c r="U845" s="10">
        <f>IFERROR(__xludf.DUMMYFUNCTION("""COMPUTED_VALUE"""),0.0)</f>
        <v>0</v>
      </c>
      <c r="V845" s="10" t="str">
        <f>IFERROR(__xludf.DUMMYFUNCTION("""COMPUTED_VALUE"""),"خوف خدا اور صالحین ")</f>
        <v>خوف خدا اور صالحین </v>
      </c>
      <c r="W845" s="10" t="str">
        <f>IFERROR(__xludf.DUMMYFUNCTION("""COMPUTED_VALUE"""),"امام نے سورۃ توبہ کی ایت نمبر 119 بیان کی جس میں اللہ سے ڈرنے، نیک لوگوں میں شامل ہونے اور ان کا قرب حاصل کرنے تین چیزوں کا حکم دیا گیا، جس کے دل میں خوف خدا نہ ہوا وہ مشرک ہو گیا، اور ایمان والوں کا نماز نہ پڑھنے کی وجہ سے جہنم میں داخل ہونا بیان کیا۔")</f>
        <v>امام نے سورۃ توبہ کی ایت نمبر 119 بیان کی جس میں اللہ سے ڈرنے، نیک لوگوں میں شامل ہونے اور ان کا قرب حاصل کرنے تین چیزوں کا حکم دیا گیا، جس کے دل میں خوف خدا نہ ہوا وہ مشرک ہو گیا، اور ایمان والوں کا نماز نہ پڑھنے کی وجہ سے جہنم میں داخل ہونا بیان کیا۔</v>
      </c>
      <c r="X845" s="10">
        <f>IFERROR(__xludf.DUMMYFUNCTION("""COMPUTED_VALUE"""),8.0)</f>
        <v>8</v>
      </c>
      <c r="Y845" s="10">
        <f>IFERROR(__xludf.DUMMYFUNCTION("""COMPUTED_VALUE"""),2.0)</f>
        <v>2</v>
      </c>
      <c r="Z845" s="10">
        <f>IFERROR(__xludf.DUMMYFUNCTION("""COMPUTED_VALUE"""),6.0)</f>
        <v>6</v>
      </c>
      <c r="AA845" s="10">
        <f>IFERROR(__xludf.DUMMYFUNCTION("""COMPUTED_VALUE"""),8.0)</f>
        <v>8</v>
      </c>
      <c r="AB845" s="10">
        <f>IFERROR(__xludf.DUMMYFUNCTION("""COMPUTED_VALUE"""),6.0)</f>
        <v>6</v>
      </c>
      <c r="AC845" s="10">
        <f>IFERROR(__xludf.DUMMYFUNCTION("""COMPUTED_VALUE"""),1.0)</f>
        <v>1</v>
      </c>
      <c r="AD845" s="10">
        <f>IFERROR(__xludf.DUMMYFUNCTION("""COMPUTED_VALUE"""),0.0)</f>
        <v>0</v>
      </c>
      <c r="AE845" s="10">
        <f>IFERROR(__xludf.DUMMYFUNCTION("""COMPUTED_VALUE"""),2.0)</f>
        <v>2</v>
      </c>
      <c r="AF845" s="10">
        <f>IFERROR(__xludf.DUMMYFUNCTION("""COMPUTED_VALUE"""),3.0)</f>
        <v>3</v>
      </c>
      <c r="AG845" s="10">
        <f>IFERROR(__xludf.DUMMYFUNCTION("""COMPUTED_VALUE"""),9.0)</f>
        <v>9</v>
      </c>
      <c r="AH845" s="10">
        <f>IFERROR(__xludf.DUMMYFUNCTION("""COMPUTED_VALUE"""),0.0)</f>
        <v>0</v>
      </c>
      <c r="AI845" s="10">
        <f>IFERROR(__xludf.DUMMYFUNCTION("""COMPUTED_VALUE"""),8.0)</f>
        <v>8</v>
      </c>
      <c r="AJ845" s="11" t="str">
        <f>IFERROR(__xludf.DUMMYFUNCTION("""COMPUTED_VALUE"""),"https://drive.google.com/open?id=1oowadSxNt1a5zRjRL6N1ZeCRX7hfLhylEqO28AkiYXY")</f>
        <v>https://drive.google.com/open?id=1oowadSxNt1a5zRjRL6N1ZeCRX7hfLhylEqO28AkiYXY</v>
      </c>
      <c r="AK845" s="12"/>
      <c r="AL845" s="12"/>
      <c r="AM845" s="12"/>
      <c r="AN845" s="12" t="str">
        <f>IFERROR(__xludf.DUMMYFUNCTION("""COMPUTED_VALUE"""),"3rd week")</f>
        <v>3rd week</v>
      </c>
      <c r="AO845" s="13">
        <v>3.0</v>
      </c>
      <c r="AX845" s="17"/>
    </row>
    <row r="846">
      <c r="B846" s="9">
        <f>IFERROR(__xludf.DUMMYFUNCTION("""COMPUTED_VALUE"""),45970.30367113426)</f>
        <v>45970.30367</v>
      </c>
      <c r="C846" s="10" t="str">
        <f>IFERROR(__xludf.DUMMYFUNCTION("""COMPUTED_VALUE"""),"Sidra ")</f>
        <v>Sidra </v>
      </c>
      <c r="D846" s="10" t="str">
        <f>IFERROR(__xludf.DUMMYFUNCTION("""COMPUTED_VALUE"""),"03261416280")</f>
        <v>03261416280</v>
      </c>
      <c r="E846" s="10" t="str">
        <f>IFERROR(__xludf.DUMMYFUNCTION("""COMPUTED_VALUE"""),"Jamia Masjid Laari Adda Shahkot")</f>
        <v>Jamia Masjid Laari Adda Shahkot</v>
      </c>
      <c r="F846" s="10" t="str">
        <f>IFERROR(__xludf.DUMMYFUNCTION("""COMPUTED_VALUE"""),"fjupe")</f>
        <v>fjupe</v>
      </c>
      <c r="G846" s="10" t="str">
        <f>IFERROR(__xludf.DUMMYFUNCTION("""COMPUTED_VALUE"""),"Yes")</f>
        <v>Yes</v>
      </c>
      <c r="H846" s="10">
        <f>IFERROR(__xludf.DUMMYFUNCTION("""COMPUTED_VALUE"""),0.0)</f>
        <v>0</v>
      </c>
      <c r="I846" s="10">
        <f>IFERROR(__xludf.DUMMYFUNCTION("""COMPUTED_VALUE"""),10.0)</f>
        <v>10</v>
      </c>
      <c r="J846" s="10">
        <f>IFERROR(__xludf.DUMMYFUNCTION("""COMPUTED_VALUE"""),0.0)</f>
        <v>0</v>
      </c>
      <c r="K846" s="10">
        <f>IFERROR(__xludf.DUMMYFUNCTION("""COMPUTED_VALUE"""),0.0)</f>
        <v>0</v>
      </c>
      <c r="L846" s="10">
        <f>IFERROR(__xludf.DUMMYFUNCTION("""COMPUTED_VALUE"""),0.0)</f>
        <v>0</v>
      </c>
      <c r="M846" s="10">
        <f>IFERROR(__xludf.DUMMYFUNCTION("""COMPUTED_VALUE"""),0.0)</f>
        <v>0</v>
      </c>
      <c r="N846" s="10">
        <f>IFERROR(__xludf.DUMMYFUNCTION("""COMPUTED_VALUE"""),0.0)</f>
        <v>0</v>
      </c>
      <c r="O846" s="10">
        <f>IFERROR(__xludf.DUMMYFUNCTION("""COMPUTED_VALUE"""),0.0)</f>
        <v>0</v>
      </c>
      <c r="P846" s="10">
        <f>IFERROR(__xludf.DUMMYFUNCTION("""COMPUTED_VALUE"""),0.0)</f>
        <v>0</v>
      </c>
      <c r="Q846" s="10" t="str">
        <f>IFERROR(__xludf.DUMMYFUNCTION("""COMPUTED_VALUE"""),"No")</f>
        <v>No</v>
      </c>
      <c r="R846" s="10" t="str">
        <f>IFERROR(__xludf.DUMMYFUNCTION("""COMPUTED_VALUE"""),"No")</f>
        <v>No</v>
      </c>
      <c r="S846" s="10" t="str">
        <f>IFERROR(__xludf.DUMMYFUNCTION("""COMPUTED_VALUE"""),"No")</f>
        <v>No</v>
      </c>
      <c r="T846" s="10">
        <f>IFERROR(__xludf.DUMMYFUNCTION("""COMPUTED_VALUE"""),0.0)</f>
        <v>0</v>
      </c>
      <c r="U846" s="10">
        <f>IFERROR(__xludf.DUMMYFUNCTION("""COMPUTED_VALUE"""),0.0)</f>
        <v>0</v>
      </c>
      <c r="V846" s="10" t="str">
        <f>IFERROR(__xludf.DUMMYFUNCTION("""COMPUTED_VALUE"""),"ہمسایوں کے حقوق اور حقوق اللہ ")</f>
        <v>ہمسایوں کے حقوق اور حقوق اللہ </v>
      </c>
      <c r="W846" s="10" t="str">
        <f>IFERROR(__xludf.DUMMYFUNCTION("""COMPUTED_VALUE"""),"امام نے بیان میں بتایا ہے کہ ہمیں حقوق اللہ اور حقوق دونوں ہی ادا کرنی چاہیے حقوق اللہ سے مراد نماز پڑھنا روزے رکھنا اللہ تعالی کی عبادت کرنا ہے اور حقوق العباد سے مراد کہ ہمیں اپنے ساتھ ساتھ دوسروں کا بھی خیال کرنا چاہیے ہم نے نیکی کے راستے پر چلنا چاہیے"&amp;" اور برائی سے بچنا چاہیے اور اپنے اہل خانہ کو بھی جہنم کی آگ سے بچانا چاہیے اللہ تعالی نے قرآن مجید میں فرمایا ہے کہ میں نے جہنم کی آگ مسلمانوں کے لیے نہیں بنائی بلکہ اسلام کے دشمنوں یعنی کافروں کے لیے بنائی ہیں مسلمانوں کو چاہیے کہ وہ اس آگ سے بچیں۔ ")</f>
        <v>امام نے بیان میں بتایا ہے کہ ہمیں حقوق اللہ اور حقوق دونوں ہی ادا کرنی چاہیے حقوق اللہ سے مراد نماز پڑھنا روزے رکھنا اللہ تعالی کی عبادت کرنا ہے اور حقوق العباد سے مراد کہ ہمیں اپنے ساتھ ساتھ دوسروں کا بھی خیال کرنا چاہیے ہم نے نیکی کے راستے پر چلنا چاہیے اور برائی سے بچنا چاہیے اور اپنے اہل خانہ کو بھی جہنم کی آگ سے بچانا چاہیے اللہ تعالی نے قرآن مجید میں فرمایا ہے کہ میں نے جہنم کی آگ مسلمانوں کے لیے نہیں بنائی بلکہ اسلام کے دشمنوں یعنی کافروں کے لیے بنائی ہیں مسلمانوں کو چاہیے کہ وہ اس آگ سے بچیں۔ </v>
      </c>
      <c r="X846" s="10">
        <f>IFERROR(__xludf.DUMMYFUNCTION("""COMPUTED_VALUE"""),9.0)</f>
        <v>9</v>
      </c>
      <c r="Y846" s="10">
        <f>IFERROR(__xludf.DUMMYFUNCTION("""COMPUTED_VALUE"""),8.0)</f>
        <v>8</v>
      </c>
      <c r="Z846" s="10">
        <f>IFERROR(__xludf.DUMMYFUNCTION("""COMPUTED_VALUE"""),8.0)</f>
        <v>8</v>
      </c>
      <c r="AA846" s="10">
        <f>IFERROR(__xludf.DUMMYFUNCTION("""COMPUTED_VALUE"""),8.0)</f>
        <v>8</v>
      </c>
      <c r="AB846" s="10">
        <f>IFERROR(__xludf.DUMMYFUNCTION("""COMPUTED_VALUE"""),2.0)</f>
        <v>2</v>
      </c>
      <c r="AC846" s="10">
        <f>IFERROR(__xludf.DUMMYFUNCTION("""COMPUTED_VALUE"""),0.0)</f>
        <v>0</v>
      </c>
      <c r="AD846" s="10">
        <f>IFERROR(__xludf.DUMMYFUNCTION("""COMPUTED_VALUE"""),0.0)</f>
        <v>0</v>
      </c>
      <c r="AE846" s="10">
        <f>IFERROR(__xludf.DUMMYFUNCTION("""COMPUTED_VALUE"""),0.0)</f>
        <v>0</v>
      </c>
      <c r="AF846" s="10">
        <f>IFERROR(__xludf.DUMMYFUNCTION("""COMPUTED_VALUE"""),0.0)</f>
        <v>0</v>
      </c>
      <c r="AG846" s="10">
        <f>IFERROR(__xludf.DUMMYFUNCTION("""COMPUTED_VALUE"""),8.0)</f>
        <v>8</v>
      </c>
      <c r="AH846" s="10">
        <f>IFERROR(__xludf.DUMMYFUNCTION("""COMPUTED_VALUE"""),0.0)</f>
        <v>0</v>
      </c>
      <c r="AI846" s="10">
        <f>IFERROR(__xludf.DUMMYFUNCTION("""COMPUTED_VALUE"""),8.0)</f>
        <v>8</v>
      </c>
      <c r="AJ846" s="11" t="str">
        <f>IFERROR(__xludf.DUMMYFUNCTION("""COMPUTED_VALUE"""),"https://drive.google.com/open?id=1tLlird2y5Ai1F4b5JpWinGf2iV2EmtsWzOxkVe7XqYs")</f>
        <v>https://drive.google.com/open?id=1tLlird2y5Ai1F4b5JpWinGf2iV2EmtsWzOxkVe7XqYs</v>
      </c>
      <c r="AK846" s="12"/>
      <c r="AL846" s="12" t="str">
        <f>IFERROR(__xludf.DUMMYFUNCTION("""COMPUTED_VALUE"""),"Yes")</f>
        <v>Yes</v>
      </c>
      <c r="AM846" s="15">
        <f>IFERROR(__xludf.DUMMYFUNCTION("""COMPUTED_VALUE"""),0.0)</f>
        <v>0</v>
      </c>
      <c r="AN846" s="12" t="str">
        <f>IFERROR(__xludf.DUMMYFUNCTION("""COMPUTED_VALUE"""),"3rd week")</f>
        <v>3rd week</v>
      </c>
      <c r="AO846" s="13">
        <v>3.0</v>
      </c>
      <c r="AX846" s="17"/>
    </row>
    <row r="847">
      <c r="B847" s="9">
        <f>IFERROR(__xludf.DUMMYFUNCTION("""COMPUTED_VALUE"""),45970.35520615741)</f>
        <v>45970.35521</v>
      </c>
      <c r="C847" s="10" t="str">
        <f>IFERROR(__xludf.DUMMYFUNCTION("""COMPUTED_VALUE"""),"Atiqa ")</f>
        <v>Atiqa </v>
      </c>
      <c r="D847" s="10" t="str">
        <f>IFERROR(__xludf.DUMMYFUNCTION("""COMPUTED_VALUE"""),"03157519977")</f>
        <v>03157519977</v>
      </c>
      <c r="E847" s="10" t="str">
        <f>IFERROR(__xludf.DUMMYFUNCTION("""COMPUTED_VALUE"""),"Jamia Masjid Usmanai Gol Chowk Okara")</f>
        <v>Jamia Masjid Usmanai Gol Chowk Okara</v>
      </c>
      <c r="F847" s="10" t="str">
        <f>IFERROR(__xludf.DUMMYFUNCTION("""COMPUTED_VALUE"""),"KGQJV")</f>
        <v>KGQJV</v>
      </c>
      <c r="G847" s="10" t="str">
        <f>IFERROR(__xludf.DUMMYFUNCTION("""COMPUTED_VALUE"""),"Yes")</f>
        <v>Yes</v>
      </c>
      <c r="H847" s="10">
        <f>IFERROR(__xludf.DUMMYFUNCTION("""COMPUTED_VALUE"""),0.0)</f>
        <v>0</v>
      </c>
      <c r="I847" s="10">
        <f>IFERROR(__xludf.DUMMYFUNCTION("""COMPUTED_VALUE"""),10.0)</f>
        <v>10</v>
      </c>
      <c r="J847" s="10">
        <f>IFERROR(__xludf.DUMMYFUNCTION("""COMPUTED_VALUE"""),0.0)</f>
        <v>0</v>
      </c>
      <c r="K847" s="10">
        <f>IFERROR(__xludf.DUMMYFUNCTION("""COMPUTED_VALUE"""),0.0)</f>
        <v>0</v>
      </c>
      <c r="L847" s="10">
        <f>IFERROR(__xludf.DUMMYFUNCTION("""COMPUTED_VALUE"""),0.0)</f>
        <v>0</v>
      </c>
      <c r="M847" s="10">
        <f>IFERROR(__xludf.DUMMYFUNCTION("""COMPUTED_VALUE"""),0.0)</f>
        <v>0</v>
      </c>
      <c r="N847" s="10">
        <f>IFERROR(__xludf.DUMMYFUNCTION("""COMPUTED_VALUE"""),0.0)</f>
        <v>0</v>
      </c>
      <c r="O847" s="10">
        <f>IFERROR(__xludf.DUMMYFUNCTION("""COMPUTED_VALUE"""),0.0)</f>
        <v>0</v>
      </c>
      <c r="P847" s="10">
        <f>IFERROR(__xludf.DUMMYFUNCTION("""COMPUTED_VALUE"""),0.0)</f>
        <v>0</v>
      </c>
      <c r="Q847" s="10" t="str">
        <f>IFERROR(__xludf.DUMMYFUNCTION("""COMPUTED_VALUE"""),"No")</f>
        <v>No</v>
      </c>
      <c r="R847" s="10" t="str">
        <f>IFERROR(__xludf.DUMMYFUNCTION("""COMPUTED_VALUE"""),"No")</f>
        <v>No</v>
      </c>
      <c r="S847" s="10" t="str">
        <f>IFERROR(__xludf.DUMMYFUNCTION("""COMPUTED_VALUE"""),"No")</f>
        <v>No</v>
      </c>
      <c r="T847" s="10">
        <f>IFERROR(__xludf.DUMMYFUNCTION("""COMPUTED_VALUE"""),0.0)</f>
        <v>0</v>
      </c>
      <c r="U847" s="10">
        <f>IFERROR(__xludf.DUMMYFUNCTION("""COMPUTED_VALUE"""),0.0)</f>
        <v>0</v>
      </c>
      <c r="V847" s="10" t="str">
        <f>IFERROR(__xludf.DUMMYFUNCTION("""COMPUTED_VALUE"""),"۱۔ ظالم اور مظلوم ۲۔ ملاوٹ سے بچنا ")</f>
        <v>۱۔ ظالم اور مظلوم ۲۔ ملاوٹ سے بچنا </v>
      </c>
      <c r="W847" s="10" t="str">
        <f>IFERROR(__xludf.DUMMYFUNCTION("""COMPUTED_VALUE"""),"امام نے قرانی ایات سے ظالم کو اللہ کی طرف سے دی جانے والی ڈھیل اور اس کا انجام بیان کیا اور مظلوم اپنے پر انے والی ازمائش میں کس حد تک اللہ کی طرف رجوع کرتا ہے، اسرائیل کا غزہ پر ظلم کرنا اور بہت سے ممالک کے نمائندگان کا اپنا کردار ادا کرنا، اور یہ کہ عوا"&amp;"م تک خالص ایشیا پہنچائی جائے ملاوٹ نہ کی جائے، اور اس میں فوڈ اتھارٹی بھی اپنا کردار ادا کر رہی ہے  ")</f>
        <v>امام نے قرانی ایات سے ظالم کو اللہ کی طرف سے دی جانے والی ڈھیل اور اس کا انجام بیان کیا اور مظلوم اپنے پر انے والی ازمائش میں کس حد تک اللہ کی طرف رجوع کرتا ہے، اسرائیل کا غزہ پر ظلم کرنا اور بہت سے ممالک کے نمائندگان کا اپنا کردار ادا کرنا، اور یہ کہ عوام تک خالص ایشیا پہنچائی جائے ملاوٹ نہ کی جائے، اور اس میں فوڈ اتھارٹی بھی اپنا کردار ادا کر رہی ہے  </v>
      </c>
      <c r="X847" s="10">
        <f>IFERROR(__xludf.DUMMYFUNCTION("""COMPUTED_VALUE"""),6.0)</f>
        <v>6</v>
      </c>
      <c r="Y847" s="10">
        <f>IFERROR(__xludf.DUMMYFUNCTION("""COMPUTED_VALUE"""),4.0)</f>
        <v>4</v>
      </c>
      <c r="Z847" s="10">
        <f>IFERROR(__xludf.DUMMYFUNCTION("""COMPUTED_VALUE"""),6.0)</f>
        <v>6</v>
      </c>
      <c r="AA847" s="10">
        <f>IFERROR(__xludf.DUMMYFUNCTION("""COMPUTED_VALUE"""),7.0)</f>
        <v>7</v>
      </c>
      <c r="AB847" s="10">
        <f>IFERROR(__xludf.DUMMYFUNCTION("""COMPUTED_VALUE"""),5.0)</f>
        <v>5</v>
      </c>
      <c r="AC847" s="10">
        <f>IFERROR(__xludf.DUMMYFUNCTION("""COMPUTED_VALUE"""),2.0)</f>
        <v>2</v>
      </c>
      <c r="AD847" s="10">
        <f>IFERROR(__xludf.DUMMYFUNCTION("""COMPUTED_VALUE"""),0.0)</f>
        <v>0</v>
      </c>
      <c r="AE847" s="10">
        <f>IFERROR(__xludf.DUMMYFUNCTION("""COMPUTED_VALUE"""),4.0)</f>
        <v>4</v>
      </c>
      <c r="AF847" s="10">
        <f>IFERROR(__xludf.DUMMYFUNCTION("""COMPUTED_VALUE"""),3.0)</f>
        <v>3</v>
      </c>
      <c r="AG847" s="10">
        <f>IFERROR(__xludf.DUMMYFUNCTION("""COMPUTED_VALUE"""),9.0)</f>
        <v>9</v>
      </c>
      <c r="AH847" s="10">
        <f>IFERROR(__xludf.DUMMYFUNCTION("""COMPUTED_VALUE"""),0.0)</f>
        <v>0</v>
      </c>
      <c r="AI847" s="10">
        <f>IFERROR(__xludf.DUMMYFUNCTION("""COMPUTED_VALUE"""),8.0)</f>
        <v>8</v>
      </c>
      <c r="AJ847" s="11" t="str">
        <f>IFERROR(__xludf.DUMMYFUNCTION("""COMPUTED_VALUE"""),"https://drive.google.com/open?id=1uBy1K-o-uS6M1s5ZlwBF84HXNOml31OvYWblA3--G_o")</f>
        <v>https://drive.google.com/open?id=1uBy1K-o-uS6M1s5ZlwBF84HXNOml31OvYWblA3--G_o</v>
      </c>
      <c r="AK847" s="12"/>
      <c r="AL847" s="12" t="str">
        <f>IFERROR(__xludf.DUMMYFUNCTION("""COMPUTED_VALUE"""),"Yes")</f>
        <v>Yes</v>
      </c>
      <c r="AM847" s="15">
        <f>IFERROR(__xludf.DUMMYFUNCTION("""COMPUTED_VALUE"""),0.0)</f>
        <v>0</v>
      </c>
      <c r="AN847" s="12" t="str">
        <f>IFERROR(__xludf.DUMMYFUNCTION("""COMPUTED_VALUE"""),"3rd week")</f>
        <v>3rd week</v>
      </c>
      <c r="AO847" s="13">
        <v>3.0</v>
      </c>
      <c r="AX847" s="17"/>
    </row>
    <row r="848">
      <c r="B848" s="9">
        <f>IFERROR(__xludf.DUMMYFUNCTION("""COMPUTED_VALUE"""),45970.513868634254)</f>
        <v>45970.51387</v>
      </c>
      <c r="C848" s="10" t="str">
        <f>IFERROR(__xludf.DUMMYFUNCTION("""COMPUTED_VALUE"""),"Saira Shahzad ")</f>
        <v>Saira Shahzad </v>
      </c>
      <c r="D848" s="10" t="str">
        <f>IFERROR(__xludf.DUMMYFUNCTION("""COMPUTED_VALUE"""),"03114534696")</f>
        <v>03114534696</v>
      </c>
      <c r="E848" s="10" t="str">
        <f>IFERROR(__xludf.DUMMYFUNCTION("""COMPUTED_VALUE"""),"Jamia Masjid 273 Rai Chak Faisalabad")</f>
        <v>Jamia Masjid 273 Rai Chak Faisalabad</v>
      </c>
      <c r="F848" s="10" t="str">
        <f>IFERROR(__xludf.DUMMYFUNCTION("""COMPUTED_VALUE"""),"kamrb")</f>
        <v>kamrb</v>
      </c>
      <c r="G848" s="10" t="str">
        <f>IFERROR(__xludf.DUMMYFUNCTION("""COMPUTED_VALUE"""),"Yes")</f>
        <v>Yes</v>
      </c>
      <c r="H848" s="10">
        <f>IFERROR(__xludf.DUMMYFUNCTION("""COMPUTED_VALUE"""),0.0)</f>
        <v>0</v>
      </c>
      <c r="I848" s="10">
        <f>IFERROR(__xludf.DUMMYFUNCTION("""COMPUTED_VALUE"""),10.0)</f>
        <v>10</v>
      </c>
      <c r="J848" s="10">
        <f>IFERROR(__xludf.DUMMYFUNCTION("""COMPUTED_VALUE"""),0.0)</f>
        <v>0</v>
      </c>
      <c r="K848" s="10">
        <f>IFERROR(__xludf.DUMMYFUNCTION("""COMPUTED_VALUE"""),0.0)</f>
        <v>0</v>
      </c>
      <c r="L848" s="10">
        <f>IFERROR(__xludf.DUMMYFUNCTION("""COMPUTED_VALUE"""),0.0)</f>
        <v>0</v>
      </c>
      <c r="M848" s="10">
        <f>IFERROR(__xludf.DUMMYFUNCTION("""COMPUTED_VALUE"""),0.0)</f>
        <v>0</v>
      </c>
      <c r="N848" s="10">
        <f>IFERROR(__xludf.DUMMYFUNCTION("""COMPUTED_VALUE"""),0.0)</f>
        <v>0</v>
      </c>
      <c r="O848" s="10">
        <f>IFERROR(__xludf.DUMMYFUNCTION("""COMPUTED_VALUE"""),0.0)</f>
        <v>0</v>
      </c>
      <c r="P848" s="10">
        <f>IFERROR(__xludf.DUMMYFUNCTION("""COMPUTED_VALUE"""),0.0)</f>
        <v>0</v>
      </c>
      <c r="Q848" s="10" t="str">
        <f>IFERROR(__xludf.DUMMYFUNCTION("""COMPUTED_VALUE"""),"No")</f>
        <v>No</v>
      </c>
      <c r="R848" s="10" t="str">
        <f>IFERROR(__xludf.DUMMYFUNCTION("""COMPUTED_VALUE"""),"No")</f>
        <v>No</v>
      </c>
      <c r="S848" s="10" t="str">
        <f>IFERROR(__xludf.DUMMYFUNCTION("""COMPUTED_VALUE"""),"No")</f>
        <v>No</v>
      </c>
      <c r="T848" s="10">
        <f>IFERROR(__xludf.DUMMYFUNCTION("""COMPUTED_VALUE"""),0.0)</f>
        <v>0</v>
      </c>
      <c r="U848" s="10">
        <f>IFERROR(__xludf.DUMMYFUNCTION("""COMPUTED_VALUE"""),0.0)</f>
        <v>0</v>
      </c>
      <c r="V848" s="10" t="str">
        <f>IFERROR(__xludf.DUMMYFUNCTION("""COMPUTED_VALUE"""),"غزوہ تبوک کا واقعہ ")</f>
        <v>غزوہ تبوک کا واقعہ </v>
      </c>
      <c r="W848" s="10" t="str">
        <f>IFERROR(__xludf.DUMMYFUNCTION("""COMPUTED_VALUE"""),"امام نے اپنے بیان میں غزوہ تبوک کا واقعہ تفصیل سے بیان کیا ہے اور یہ بتایا ہے کہ ہر دور میں اچھے اور برے لوگ دونوں ہوتے ہیں أس وقت بھی تین طرح کے طبقات تھے نبی پاک صلی اللہ علیہ والہ وسلم 30 ہزار کے قریب صحابہ کرام کو لے کر غزوہ پر روانہ ہوئے 30 ہزار کا ل"&amp;"شکر لے کر نکلنا آسان کام نہ تھا اور غزوہ بدر کے موقع پر بہت سارا مال غنیمت حاصل ہوا جس میں سونا چاندی اور بھی بہت سا سامان شامل تھا اور غزوہ تبوک سخت گرمی میں ہوا کھجوریں پکنے کے قریب تھی مئی یا جون کے مہینے سے اندازہ لگایا جا سکتا ہے ایک گروہ ایسا تھا جس"&amp;" میں تین حضرات کا نام آتا ہے جن میں حضرت ابو لبابہ اور ان کے دو ساتھی آتے ہیں ان کے پاس سواری اچھی تھی انہوں نے سوچا کہ ہم بعد میں لشکر کے ساتھ شامل ہو جائیں گے لیکن پھر وہ جہاد کے لیے نکلے ہی نہیں اور نبی پاک صلی اللہ علیہ وسلم ان سے ناراض ہو گئے حضرت اب"&amp;"و لبابہ نے خود کو مسجد کے ستون کے ساتھ باندھ لیا جب تک ان کی اللہ کی طرف سے مغفرت نہ ہوئی حضرت ابوبکر صدیق اور حضرت عمر فاروق رضی اللہ عنہ اور بھی صحابہ اکرام ہمیشہ جہاد کے لیے اللہ کی راہ میں سامان دیا کرتے تھے اللہ کی خوشنودی کے لیے تمام صحابہ کرام کا ب"&amp;"ھی ذکر کیا ہے جنہوں نے جہاد کی مدد کے لیے سامان پیش کیا اور زکوۃ دینے کا حکم بھی دیا گیا ")</f>
        <v>امام نے اپنے بیان میں غزوہ تبوک کا واقعہ تفصیل سے بیان کیا ہے اور یہ بتایا ہے کہ ہر دور میں اچھے اور برے لوگ دونوں ہوتے ہیں أس وقت بھی تین طرح کے طبقات تھے نبی پاک صلی اللہ علیہ والہ وسلم 30 ہزار کے قریب صحابہ کرام کو لے کر غزوہ پر روانہ ہوئے 30 ہزار کا لشکر لے کر نکلنا آسان کام نہ تھا اور غزوہ بدر کے موقع پر بہت سارا مال غنیمت حاصل ہوا جس میں سونا چاندی اور بھی بہت سا سامان شامل تھا اور غزوہ تبوک سخت گرمی میں ہوا کھجوریں پکنے کے قریب تھی مئی یا جون کے مہینے سے اندازہ لگایا جا سکتا ہے ایک گروہ ایسا تھا جس میں تین حضرات کا نام آتا ہے جن میں حضرت ابو لبابہ اور ان کے دو ساتھی آتے ہیں ان کے پاس سواری اچھی تھی انہوں نے سوچا کہ ہم بعد میں لشکر کے ساتھ شامل ہو جائیں گے لیکن پھر وہ جہاد کے لیے نکلے ہی نہیں اور نبی پاک صلی اللہ علیہ وسلم ان سے ناراض ہو گئے حضرت ابو لبابہ نے خود کو مسجد کے ستون کے ساتھ باندھ لیا جب تک ان کی اللہ کی طرف سے مغفرت نہ ہوئی حضرت ابوبکر صدیق اور حضرت عمر فاروق رضی اللہ عنہ اور بھی صحابہ اکرام ہمیشہ جہاد کے لیے اللہ کی راہ میں سامان دیا کرتے تھے اللہ کی خوشنودی کے لیے تمام صحابہ کرام کا بھی ذکر کیا ہے جنہوں نے جہاد کی مدد کے لیے سامان پیش کیا اور زکوۃ دینے کا حکم بھی دیا گیا </v>
      </c>
      <c r="X848" s="10">
        <f>IFERROR(__xludf.DUMMYFUNCTION("""COMPUTED_VALUE"""),2.0)</f>
        <v>2</v>
      </c>
      <c r="Y848" s="10">
        <f>IFERROR(__xludf.DUMMYFUNCTION("""COMPUTED_VALUE"""),2.0)</f>
        <v>2</v>
      </c>
      <c r="Z848" s="10">
        <f>IFERROR(__xludf.DUMMYFUNCTION("""COMPUTED_VALUE"""),3.0)</f>
        <v>3</v>
      </c>
      <c r="AA848" s="10">
        <f>IFERROR(__xludf.DUMMYFUNCTION("""COMPUTED_VALUE"""),8.0)</f>
        <v>8</v>
      </c>
      <c r="AB848" s="10">
        <f>IFERROR(__xludf.DUMMYFUNCTION("""COMPUTED_VALUE"""),7.0)</f>
        <v>7</v>
      </c>
      <c r="AC848" s="10">
        <f>IFERROR(__xludf.DUMMYFUNCTION("""COMPUTED_VALUE"""),0.0)</f>
        <v>0</v>
      </c>
      <c r="AD848" s="10">
        <f>IFERROR(__xludf.DUMMYFUNCTION("""COMPUTED_VALUE"""),2.0)</f>
        <v>2</v>
      </c>
      <c r="AE848" s="10">
        <f>IFERROR(__xludf.DUMMYFUNCTION("""COMPUTED_VALUE"""),2.0)</f>
        <v>2</v>
      </c>
      <c r="AF848" s="10">
        <f>IFERROR(__xludf.DUMMYFUNCTION("""COMPUTED_VALUE"""),7.0)</f>
        <v>7</v>
      </c>
      <c r="AG848" s="10">
        <f>IFERROR(__xludf.DUMMYFUNCTION("""COMPUTED_VALUE"""),8.0)</f>
        <v>8</v>
      </c>
      <c r="AH848" s="10">
        <f>IFERROR(__xludf.DUMMYFUNCTION("""COMPUTED_VALUE"""),0.0)</f>
        <v>0</v>
      </c>
      <c r="AI848" s="10">
        <f>IFERROR(__xludf.DUMMYFUNCTION("""COMPUTED_VALUE"""),8.0)</f>
        <v>8</v>
      </c>
      <c r="AJ848" s="11" t="str">
        <f>IFERROR(__xludf.DUMMYFUNCTION("""COMPUTED_VALUE"""),"https://drive.google.com/open?id=1VwyU_83qaUKbGW5jy2OgjObhCuozODxJXRjP8bS7JXg")</f>
        <v>https://drive.google.com/open?id=1VwyU_83qaUKbGW5jy2OgjObhCuozODxJXRjP8bS7JXg</v>
      </c>
      <c r="AK848" s="12" t="str">
        <f>IFERROR(__xludf.DUMMYFUNCTION("""COMPUTED_VALUE"""),"No")</f>
        <v>No</v>
      </c>
      <c r="AL848" s="12" t="str">
        <f>IFERROR(__xludf.DUMMYFUNCTION("""COMPUTED_VALUE"""),"No")</f>
        <v>No</v>
      </c>
      <c r="AM848" s="15">
        <f>IFERROR(__xludf.DUMMYFUNCTION("""COMPUTED_VALUE"""),0.0)</f>
        <v>0</v>
      </c>
      <c r="AN848" s="12" t="str">
        <f>IFERROR(__xludf.DUMMYFUNCTION("""COMPUTED_VALUE"""),"3rd week")</f>
        <v>3rd week</v>
      </c>
      <c r="AO848" s="13">
        <v>3.0</v>
      </c>
      <c r="AX848" s="17"/>
    </row>
    <row r="849">
      <c r="B849" s="9">
        <f>IFERROR(__xludf.DUMMYFUNCTION("""COMPUTED_VALUE"""),45970.71013640046)</f>
        <v>45970.71014</v>
      </c>
      <c r="C849" s="10" t="str">
        <f>IFERROR(__xludf.DUMMYFUNCTION("""COMPUTED_VALUE"""),"Saira Shahzad ")</f>
        <v>Saira Shahzad </v>
      </c>
      <c r="D849" s="10" t="str">
        <f>IFERROR(__xludf.DUMMYFUNCTION("""COMPUTED_VALUE"""),"03114534696")</f>
        <v>03114534696</v>
      </c>
      <c r="E849" s="10" t="str">
        <f>IFERROR(__xludf.DUMMYFUNCTION("""COMPUTED_VALUE"""),"Jamia Masjid Muhammadiya Waqaf Yaseeni Kot Laal Wariyaam Jhang")</f>
        <v>Jamia Masjid Muhammadiya Waqaf Yaseeni Kot Laal Wariyaam Jhang</v>
      </c>
      <c r="F849" s="10" t="str">
        <f>IFERROR(__xludf.DUMMYFUNCTION("""COMPUTED_VALUE"""),"shksd")</f>
        <v>shksd</v>
      </c>
      <c r="G849" s="10" t="str">
        <f>IFERROR(__xludf.DUMMYFUNCTION("""COMPUTED_VALUE"""),"Yes")</f>
        <v>Yes</v>
      </c>
      <c r="H849" s="10">
        <f>IFERROR(__xludf.DUMMYFUNCTION("""COMPUTED_VALUE"""),0.0)</f>
        <v>0</v>
      </c>
      <c r="I849" s="10">
        <f>IFERROR(__xludf.DUMMYFUNCTION("""COMPUTED_VALUE"""),10.0)</f>
        <v>10</v>
      </c>
      <c r="J849" s="10">
        <f>IFERROR(__xludf.DUMMYFUNCTION("""COMPUTED_VALUE"""),0.0)</f>
        <v>0</v>
      </c>
      <c r="K849" s="10">
        <f>IFERROR(__xludf.DUMMYFUNCTION("""COMPUTED_VALUE"""),0.0)</f>
        <v>0</v>
      </c>
      <c r="L849" s="10">
        <f>IFERROR(__xludf.DUMMYFUNCTION("""COMPUTED_VALUE"""),0.0)</f>
        <v>0</v>
      </c>
      <c r="M849" s="10">
        <f>IFERROR(__xludf.DUMMYFUNCTION("""COMPUTED_VALUE"""),0.0)</f>
        <v>0</v>
      </c>
      <c r="N849" s="10">
        <f>IFERROR(__xludf.DUMMYFUNCTION("""COMPUTED_VALUE"""),0.0)</f>
        <v>0</v>
      </c>
      <c r="O849" s="10">
        <f>IFERROR(__xludf.DUMMYFUNCTION("""COMPUTED_VALUE"""),0.0)</f>
        <v>0</v>
      </c>
      <c r="P849" s="10">
        <f>IFERROR(__xludf.DUMMYFUNCTION("""COMPUTED_VALUE"""),0.0)</f>
        <v>0</v>
      </c>
      <c r="Q849" s="10" t="str">
        <f>IFERROR(__xludf.DUMMYFUNCTION("""COMPUTED_VALUE"""),"No")</f>
        <v>No</v>
      </c>
      <c r="R849" s="10" t="str">
        <f>IFERROR(__xludf.DUMMYFUNCTION("""COMPUTED_VALUE"""),"No")</f>
        <v>No</v>
      </c>
      <c r="S849" s="10" t="str">
        <f>IFERROR(__xludf.DUMMYFUNCTION("""COMPUTED_VALUE"""),"No")</f>
        <v>No</v>
      </c>
      <c r="T849" s="10">
        <f>IFERROR(__xludf.DUMMYFUNCTION("""COMPUTED_VALUE"""),0.0)</f>
        <v>0</v>
      </c>
      <c r="U849" s="10">
        <f>IFERROR(__xludf.DUMMYFUNCTION("""COMPUTED_VALUE"""),0.0)</f>
        <v>0</v>
      </c>
      <c r="V849" s="10" t="str">
        <f>IFERROR(__xludf.DUMMYFUNCTION("""COMPUTED_VALUE"""),"اللہ تعالی کی وحدانیت اور شان")</f>
        <v>اللہ تعالی کی وحدانیت اور شان</v>
      </c>
      <c r="W849" s="10" t="str">
        <f>IFERROR(__xludf.DUMMYFUNCTION("""COMPUTED_VALUE"""),"امام نے اپنے بیان میں اللہ تعالی کی وحدانیت اور اللہ تعالی کی شان بیان کی ہے کہ اللہ تعالی بے نیاز ہیں اور جو کچھ ہم چھپ کر کرتے ہیں وہ سب اللہ جانتا ہے اللہ تعالی سے کچھ بھی نہیں چھپا ہوا اور روز آخرت اس کی ہمیں جزا یا سزا دی جائے گی اور مسلمانوں کی مثال"&amp;" سرخ اونٹ سے دی گئی اس کے بارے میں تفصیل بیان کی گئی کہ امت مسلمہ اپنی زندگی اپنے مطابق نہیں بلکہ اللہ تعالی کے احکامات کے مطابق گزارتے ہیں اور روز محشر اللہ تعالی جسے چاہے گا بخش دے گا جسے چاہے گا سزا دے گا اللہ تعالی ہماری نیکیاں یا ہمارے اعمال نہیں دیک"&amp;"ھے گا بلکہ وہ اپنی رحمت دیکھے گا اور ارکان اسلام کے بارے میں بات کی گئی ")</f>
        <v>امام نے اپنے بیان میں اللہ تعالی کی وحدانیت اور اللہ تعالی کی شان بیان کی ہے کہ اللہ تعالی بے نیاز ہیں اور جو کچھ ہم چھپ کر کرتے ہیں وہ سب اللہ جانتا ہے اللہ تعالی سے کچھ بھی نہیں چھپا ہوا اور روز آخرت اس کی ہمیں جزا یا سزا دی جائے گی اور مسلمانوں کی مثال سرخ اونٹ سے دی گئی اس کے بارے میں تفصیل بیان کی گئی کہ امت مسلمہ اپنی زندگی اپنے مطابق نہیں بلکہ اللہ تعالی کے احکامات کے مطابق گزارتے ہیں اور روز محشر اللہ تعالی جسے چاہے گا بخش دے گا جسے چاہے گا سزا دے گا اللہ تعالی ہماری نیکیاں یا ہمارے اعمال نہیں دیکھے گا بلکہ وہ اپنی رحمت دیکھے گا اور ارکان اسلام کے بارے میں بات کی گئی </v>
      </c>
      <c r="X849" s="10">
        <f>IFERROR(__xludf.DUMMYFUNCTION("""COMPUTED_VALUE"""),2.0)</f>
        <v>2</v>
      </c>
      <c r="Y849" s="10">
        <f>IFERROR(__xludf.DUMMYFUNCTION("""COMPUTED_VALUE"""),2.0)</f>
        <v>2</v>
      </c>
      <c r="Z849" s="10">
        <f>IFERROR(__xludf.DUMMYFUNCTION("""COMPUTED_VALUE"""),2.0)</f>
        <v>2</v>
      </c>
      <c r="AA849" s="10">
        <f>IFERROR(__xludf.DUMMYFUNCTION("""COMPUTED_VALUE"""),8.0)</f>
        <v>8</v>
      </c>
      <c r="AB849" s="10">
        <f>IFERROR(__xludf.DUMMYFUNCTION("""COMPUTED_VALUE"""),6.0)</f>
        <v>6</v>
      </c>
      <c r="AC849" s="10">
        <f>IFERROR(__xludf.DUMMYFUNCTION("""COMPUTED_VALUE"""),0.0)</f>
        <v>0</v>
      </c>
      <c r="AD849" s="10">
        <f>IFERROR(__xludf.DUMMYFUNCTION("""COMPUTED_VALUE"""),0.0)</f>
        <v>0</v>
      </c>
      <c r="AE849" s="10">
        <f>IFERROR(__xludf.DUMMYFUNCTION("""COMPUTED_VALUE"""),1.0)</f>
        <v>1</v>
      </c>
      <c r="AF849" s="10">
        <f>IFERROR(__xludf.DUMMYFUNCTION("""COMPUTED_VALUE"""),7.0)</f>
        <v>7</v>
      </c>
      <c r="AG849" s="10">
        <f>IFERROR(__xludf.DUMMYFUNCTION("""COMPUTED_VALUE"""),9.0)</f>
        <v>9</v>
      </c>
      <c r="AH849" s="10">
        <f>IFERROR(__xludf.DUMMYFUNCTION("""COMPUTED_VALUE"""),0.0)</f>
        <v>0</v>
      </c>
      <c r="AI849" s="10">
        <f>IFERROR(__xludf.DUMMYFUNCTION("""COMPUTED_VALUE"""),9.0)</f>
        <v>9</v>
      </c>
      <c r="AJ849" s="11" t="str">
        <f>IFERROR(__xludf.DUMMYFUNCTION("""COMPUTED_VALUE"""),"https://drive.google.com/open?id=1jFGijoa5diSknR9uC3JjF_lbdNB_u8-APgPz5VPRLWk")</f>
        <v>https://drive.google.com/open?id=1jFGijoa5diSknR9uC3JjF_lbdNB_u8-APgPz5VPRLWk</v>
      </c>
      <c r="AK849" s="12" t="str">
        <f>IFERROR(__xludf.DUMMYFUNCTION("""COMPUTED_VALUE"""),"No")</f>
        <v>No</v>
      </c>
      <c r="AL849" s="12" t="str">
        <f>IFERROR(__xludf.DUMMYFUNCTION("""COMPUTED_VALUE"""),"No")</f>
        <v>No</v>
      </c>
      <c r="AM849" s="15">
        <f>IFERROR(__xludf.DUMMYFUNCTION("""COMPUTED_VALUE"""),0.0)</f>
        <v>0</v>
      </c>
      <c r="AN849" s="12" t="str">
        <f>IFERROR(__xludf.DUMMYFUNCTION("""COMPUTED_VALUE"""),"3rd week")</f>
        <v>3rd week</v>
      </c>
      <c r="AO849" s="13">
        <v>3.0</v>
      </c>
      <c r="AX849" s="17"/>
    </row>
    <row r="850">
      <c r="B850" s="9">
        <f>IFERROR(__xludf.DUMMYFUNCTION("""COMPUTED_VALUE"""),45970.750622962965)</f>
        <v>45970.75062</v>
      </c>
      <c r="C850" s="10" t="str">
        <f>IFERROR(__xludf.DUMMYFUNCTION("""COMPUTED_VALUE"""),"Sidra ")</f>
        <v>Sidra </v>
      </c>
      <c r="D850" s="10" t="str">
        <f>IFERROR(__xludf.DUMMYFUNCTION("""COMPUTED_VALUE"""),"03261416280")</f>
        <v>03261416280</v>
      </c>
      <c r="E850" s="10" t="str">
        <f>IFERROR(__xludf.DUMMYFUNCTION("""COMPUTED_VALUE"""),"Jamia Masjid Darbar Nolakha Hazari Shahkot")</f>
        <v>Jamia Masjid Darbar Nolakha Hazari Shahkot</v>
      </c>
      <c r="F850" s="10" t="str">
        <f>IFERROR(__xludf.DUMMYFUNCTION("""COMPUTED_VALUE"""),"epwte")</f>
        <v>epwte</v>
      </c>
      <c r="G850" s="10" t="str">
        <f>IFERROR(__xludf.DUMMYFUNCTION("""COMPUTED_VALUE"""),"Yes")</f>
        <v>Yes</v>
      </c>
      <c r="H850" s="10">
        <f>IFERROR(__xludf.DUMMYFUNCTION("""COMPUTED_VALUE"""),0.0)</f>
        <v>0</v>
      </c>
      <c r="I850" s="10">
        <f>IFERROR(__xludf.DUMMYFUNCTION("""COMPUTED_VALUE"""),10.0)</f>
        <v>10</v>
      </c>
      <c r="J850" s="10">
        <f>IFERROR(__xludf.DUMMYFUNCTION("""COMPUTED_VALUE"""),0.0)</f>
        <v>0</v>
      </c>
      <c r="K850" s="10">
        <f>IFERROR(__xludf.DUMMYFUNCTION("""COMPUTED_VALUE"""),0.0)</f>
        <v>0</v>
      </c>
      <c r="L850" s="10">
        <f>IFERROR(__xludf.DUMMYFUNCTION("""COMPUTED_VALUE"""),0.0)</f>
        <v>0</v>
      </c>
      <c r="M850" s="10">
        <f>IFERROR(__xludf.DUMMYFUNCTION("""COMPUTED_VALUE"""),0.0)</f>
        <v>0</v>
      </c>
      <c r="N850" s="10">
        <f>IFERROR(__xludf.DUMMYFUNCTION("""COMPUTED_VALUE"""),0.0)</f>
        <v>0</v>
      </c>
      <c r="O850" s="10">
        <f>IFERROR(__xludf.DUMMYFUNCTION("""COMPUTED_VALUE"""),0.0)</f>
        <v>0</v>
      </c>
      <c r="P850" s="10">
        <f>IFERROR(__xludf.DUMMYFUNCTION("""COMPUTED_VALUE"""),0.0)</f>
        <v>0</v>
      </c>
      <c r="Q850" s="10" t="str">
        <f>IFERROR(__xludf.DUMMYFUNCTION("""COMPUTED_VALUE"""),"No")</f>
        <v>No</v>
      </c>
      <c r="R850" s="10" t="str">
        <f>IFERROR(__xludf.DUMMYFUNCTION("""COMPUTED_VALUE"""),"No")</f>
        <v>No</v>
      </c>
      <c r="S850" s="10" t="str">
        <f>IFERROR(__xludf.DUMMYFUNCTION("""COMPUTED_VALUE"""),"No")</f>
        <v>No</v>
      </c>
      <c r="T850" s="10">
        <f>IFERROR(__xludf.DUMMYFUNCTION("""COMPUTED_VALUE"""),0.0)</f>
        <v>0</v>
      </c>
      <c r="U850" s="10">
        <f>IFERROR(__xludf.DUMMYFUNCTION("""COMPUTED_VALUE"""),0.0)</f>
        <v>0</v>
      </c>
      <c r="V850" s="10" t="str">
        <f>IFERROR(__xludf.DUMMYFUNCTION("""COMPUTED_VALUE"""),"اسلامی تعلیمات ")</f>
        <v>اسلامی تعلیمات </v>
      </c>
      <c r="W850" s="10" t="str">
        <f>IFERROR(__xludf.DUMMYFUNCTION("""COMPUTED_VALUE"""),"امام نے بیان میں بتایا ہے کہ اللہ تعالی نے قران مجید میں فرمایا ہے کہ جس شخص کی اولاد بچپن میں ہی فوت ہو جاتی ہے قیامت والے دن وہ اپنے والدین کو جنت میں ساتھ لے کر جاتی ہے حضور پاک صلی اللہ علیہ وسلم نے فرمایا ایک مرتبہ ایک صحابی بے اولاد تھا اس نے مجھ سے"&amp;" آ کر عرض کیا یا رسول اللہ میں بے اولاد ہوں دعا کرے کہ اللہ تعالی مجھے اولاد کی خوشی سے نواز دیں حضور پاک صلی اللہ علیہ وسلم نے دعا کی تو اللہ تعالی نے اس صحابی کو بیٹے سے نوازا تو صحابی نے پھر دعا کرنا شروع کر دی کہ یا اللہ میرے بیٹے کو اپنے پاس واپس بلا"&amp;" لو کیونکہ نبی کریم صلی اللہ علیہ وسلم نے فرمایا تھا کہ جس کی اولاد معصومیت میں ہی فوت ہو جائے گی روز محشر وہ اپنے والدین کو جنت میں لے کر جائے گا لیکن اس کی یہ دعا قبول نہیں ہوئی بیٹا جوان ہو گیا حافظ قرآن بن گیا۔ ")</f>
        <v>امام نے بیان میں بتایا ہے کہ اللہ تعالی نے قران مجید میں فرمایا ہے کہ جس شخص کی اولاد بچپن میں ہی فوت ہو جاتی ہے قیامت والے دن وہ اپنے والدین کو جنت میں ساتھ لے کر جاتی ہے حضور پاک صلی اللہ علیہ وسلم نے فرمایا ایک مرتبہ ایک صحابی بے اولاد تھا اس نے مجھ سے آ کر عرض کیا یا رسول اللہ میں بے اولاد ہوں دعا کرے کہ اللہ تعالی مجھے اولاد کی خوشی سے نواز دیں حضور پاک صلی اللہ علیہ وسلم نے دعا کی تو اللہ تعالی نے اس صحابی کو بیٹے سے نوازا تو صحابی نے پھر دعا کرنا شروع کر دی کہ یا اللہ میرے بیٹے کو اپنے پاس واپس بلا لو کیونکہ نبی کریم صلی اللہ علیہ وسلم نے فرمایا تھا کہ جس کی اولاد معصومیت میں ہی فوت ہو جائے گی روز محشر وہ اپنے والدین کو جنت میں لے کر جائے گا لیکن اس کی یہ دعا قبول نہیں ہوئی بیٹا جوان ہو گیا حافظ قرآن بن گیا۔ </v>
      </c>
      <c r="X850" s="10">
        <f>IFERROR(__xludf.DUMMYFUNCTION("""COMPUTED_VALUE"""),6.0)</f>
        <v>6</v>
      </c>
      <c r="Y850" s="10">
        <f>IFERROR(__xludf.DUMMYFUNCTION("""COMPUTED_VALUE"""),0.0)</f>
        <v>0</v>
      </c>
      <c r="Z850" s="10">
        <f>IFERROR(__xludf.DUMMYFUNCTION("""COMPUTED_VALUE"""),8.0)</f>
        <v>8</v>
      </c>
      <c r="AA850" s="10">
        <f>IFERROR(__xludf.DUMMYFUNCTION("""COMPUTED_VALUE"""),8.0)</f>
        <v>8</v>
      </c>
      <c r="AB850" s="10">
        <f>IFERROR(__xludf.DUMMYFUNCTION("""COMPUTED_VALUE"""),2.0)</f>
        <v>2</v>
      </c>
      <c r="AC850" s="10">
        <f>IFERROR(__xludf.DUMMYFUNCTION("""COMPUTED_VALUE"""),0.0)</f>
        <v>0</v>
      </c>
      <c r="AD850" s="10">
        <f>IFERROR(__xludf.DUMMYFUNCTION("""COMPUTED_VALUE"""),0.0)</f>
        <v>0</v>
      </c>
      <c r="AE850" s="10">
        <f>IFERROR(__xludf.DUMMYFUNCTION("""COMPUTED_VALUE"""),0.0)</f>
        <v>0</v>
      </c>
      <c r="AF850" s="10">
        <f>IFERROR(__xludf.DUMMYFUNCTION("""COMPUTED_VALUE"""),0.0)</f>
        <v>0</v>
      </c>
      <c r="AG850" s="10">
        <f>IFERROR(__xludf.DUMMYFUNCTION("""COMPUTED_VALUE"""),9.0)</f>
        <v>9</v>
      </c>
      <c r="AH850" s="10">
        <f>IFERROR(__xludf.DUMMYFUNCTION("""COMPUTED_VALUE"""),0.0)</f>
        <v>0</v>
      </c>
      <c r="AI850" s="10">
        <f>IFERROR(__xludf.DUMMYFUNCTION("""COMPUTED_VALUE"""),9.0)</f>
        <v>9</v>
      </c>
      <c r="AJ850" s="11" t="str">
        <f>IFERROR(__xludf.DUMMYFUNCTION("""COMPUTED_VALUE"""),"https://drive.google.com/open?id=191aDj308R04Hp2XKQzK9hBZ0drumKfm3n4ZTsaCd5wg")</f>
        <v>https://drive.google.com/open?id=191aDj308R04Hp2XKQzK9hBZ0drumKfm3n4ZTsaCd5wg</v>
      </c>
      <c r="AK850" s="12"/>
      <c r="AL850" s="12" t="str">
        <f>IFERROR(__xludf.DUMMYFUNCTION("""COMPUTED_VALUE"""),"Yes")</f>
        <v>Yes</v>
      </c>
      <c r="AM850" s="15">
        <f>IFERROR(__xludf.DUMMYFUNCTION("""COMPUTED_VALUE"""),0.0)</f>
        <v>0</v>
      </c>
      <c r="AN850" s="12" t="str">
        <f>IFERROR(__xludf.DUMMYFUNCTION("""COMPUTED_VALUE"""),"3rd week")</f>
        <v>3rd week</v>
      </c>
      <c r="AO850" s="13">
        <v>3.0</v>
      </c>
      <c r="AX850" s="17"/>
    </row>
    <row r="851">
      <c r="B851" s="9">
        <f>IFERROR(__xludf.DUMMYFUNCTION("""COMPUTED_VALUE"""),45970.94735429398)</f>
        <v>45970.94735</v>
      </c>
      <c r="C851" s="10" t="str">
        <f>IFERROR(__xludf.DUMMYFUNCTION("""COMPUTED_VALUE"""),"Saira Shahzad ")</f>
        <v>Saira Shahzad </v>
      </c>
      <c r="D851" s="10" t="str">
        <f>IFERROR(__xludf.DUMMYFUNCTION("""COMPUTED_VALUE"""),"03114534696")</f>
        <v>03114534696</v>
      </c>
      <c r="E851" s="10" t="str">
        <f>IFERROR(__xludf.DUMMYFUNCTION("""COMPUTED_VALUE"""),"Jamia Masjid Madini Samnabad Faisalabad")</f>
        <v>Jamia Masjid Madini Samnabad Faisalabad</v>
      </c>
      <c r="F851" s="10" t="str">
        <f>IFERROR(__xludf.DUMMYFUNCTION("""COMPUTED_VALUE"""),"rwyui")</f>
        <v>rwyui</v>
      </c>
      <c r="G851" s="10" t="str">
        <f>IFERROR(__xludf.DUMMYFUNCTION("""COMPUTED_VALUE"""),"Yes")</f>
        <v>Yes</v>
      </c>
      <c r="H851" s="10">
        <f>IFERROR(__xludf.DUMMYFUNCTION("""COMPUTED_VALUE"""),5.0)</f>
        <v>5</v>
      </c>
      <c r="I851" s="10">
        <f>IFERROR(__xludf.DUMMYFUNCTION("""COMPUTED_VALUE"""),5.0)</f>
        <v>5</v>
      </c>
      <c r="J851" s="10">
        <f>IFERROR(__xludf.DUMMYFUNCTION("""COMPUTED_VALUE"""),5.0)</f>
        <v>5</v>
      </c>
      <c r="K851" s="10">
        <f>IFERROR(__xludf.DUMMYFUNCTION("""COMPUTED_VALUE"""),6.0)</f>
        <v>6</v>
      </c>
      <c r="L851" s="10">
        <f>IFERROR(__xludf.DUMMYFUNCTION("""COMPUTED_VALUE"""),0.0)</f>
        <v>0</v>
      </c>
      <c r="M851" s="10">
        <f>IFERROR(__xludf.DUMMYFUNCTION("""COMPUTED_VALUE"""),5.0)</f>
        <v>5</v>
      </c>
      <c r="N851" s="10">
        <f>IFERROR(__xludf.DUMMYFUNCTION("""COMPUTED_VALUE"""),0.0)</f>
        <v>0</v>
      </c>
      <c r="O851" s="10">
        <f>IFERROR(__xludf.DUMMYFUNCTION("""COMPUTED_VALUE"""),3.0)</f>
        <v>3</v>
      </c>
      <c r="P851" s="10">
        <f>IFERROR(__xludf.DUMMYFUNCTION("""COMPUTED_VALUE"""),0.0)</f>
        <v>0</v>
      </c>
      <c r="Q851" s="10" t="str">
        <f>IFERROR(__xludf.DUMMYFUNCTION("""COMPUTED_VALUE"""),"Yes")</f>
        <v>Yes</v>
      </c>
      <c r="R851" s="10" t="str">
        <f>IFERROR(__xludf.DUMMYFUNCTION("""COMPUTED_VALUE"""),"No")</f>
        <v>No</v>
      </c>
      <c r="S851" s="10" t="str">
        <f>IFERROR(__xludf.DUMMYFUNCTION("""COMPUTED_VALUE"""),"Yes")</f>
        <v>Yes</v>
      </c>
      <c r="T851" s="10">
        <f>IFERROR(__xludf.DUMMYFUNCTION("""COMPUTED_VALUE"""),0.0)</f>
        <v>0</v>
      </c>
      <c r="U851" s="10">
        <f>IFERROR(__xludf.DUMMYFUNCTION("""COMPUTED_VALUE"""),0.0)</f>
        <v>0</v>
      </c>
      <c r="V851" s="10" t="str">
        <f>IFERROR(__xludf.DUMMYFUNCTION("""COMPUTED_VALUE"""),"اسلام میں عورت کا مقام کردار اور حق")</f>
        <v>اسلام میں عورت کا مقام کردار اور حق</v>
      </c>
      <c r="W851" s="10" t="str">
        <f>IFERROR(__xludf.DUMMYFUNCTION("""COMPUTED_VALUE"""),"امام نے اپنے بیان میں خواتین کا مقام کردار اور حق کی بات کی ہے جو کہ اسلام نے مقرر کیے ہیں اسلام سے پہلے عورتوں کو کوئی مقام حاصل نہ تھا عورتوں کو بھیڑ بکریاں سمجھا جاتا تھا بیٹیوں کو پیدا ہوتے ہی زندہ درگور کر دیا جاتا تھا اسلام کے آنے کے بعد عورتوں کو ا"&amp;"ن کا مقام ملا ان کا حق ملا ماں بیٹی بہن کو عزت کا مقام ملا معاشی سرگرمیوں میں جنگی سرگرمیوں میں عورتوں کی شرکت کو اہمیت  دی جانے لگی حضرت جابر بن عبداللہ رضی اللہ تعالی عنہا کی خالہ کا واقعہ بیان کیا اور اس کے ساتھ ساتھ امام نے پیغمبر اور ولی اللہ کی شام "&amp;"بیان کی کہ جب بھی کسی نبی کی امت کو کوئی تکلیف پہنچتی تھی تو کسی ڈاکٹر یا حکیم کے پاس نہیں جاتے تھے بلکہ اپنے نبی کے پاس جاتے تھے اور ان کے نبی ان کی مشکلات کو حل فرما دیتے تھے یہ پیغمبروں کی شان تھی اس پر بھی تفصیل سے بات کی")</f>
        <v>امام نے اپنے بیان میں خواتین کا مقام کردار اور حق کی بات کی ہے جو کہ اسلام نے مقرر کیے ہیں اسلام سے پہلے عورتوں کو کوئی مقام حاصل نہ تھا عورتوں کو بھیڑ بکریاں سمجھا جاتا تھا بیٹیوں کو پیدا ہوتے ہی زندہ درگور کر دیا جاتا تھا اسلام کے آنے کے بعد عورتوں کو ان کا مقام ملا ان کا حق ملا ماں بیٹی بہن کو عزت کا مقام ملا معاشی سرگرمیوں میں جنگی سرگرمیوں میں عورتوں کی شرکت کو اہمیت  دی جانے لگی حضرت جابر بن عبداللہ رضی اللہ تعالی عنہا کی خالہ کا واقعہ بیان کیا اور اس کے ساتھ ساتھ امام نے پیغمبر اور ولی اللہ کی شام بیان کی کہ جب بھی کسی نبی کی امت کو کوئی تکلیف پہنچتی تھی تو کسی ڈاکٹر یا حکیم کے پاس نہیں جاتے تھے بلکہ اپنے نبی کے پاس جاتے تھے اور ان کے نبی ان کی مشکلات کو حل فرما دیتے تھے یہ پیغمبروں کی شان تھی اس پر بھی تفصیل سے بات کی</v>
      </c>
      <c r="X851" s="10">
        <f>IFERROR(__xludf.DUMMYFUNCTION("""COMPUTED_VALUE"""),2.0)</f>
        <v>2</v>
      </c>
      <c r="Y851" s="10">
        <f>IFERROR(__xludf.DUMMYFUNCTION("""COMPUTED_VALUE"""),3.0)</f>
        <v>3</v>
      </c>
      <c r="Z851" s="10">
        <f>IFERROR(__xludf.DUMMYFUNCTION("""COMPUTED_VALUE"""),3.0)</f>
        <v>3</v>
      </c>
      <c r="AA851" s="10">
        <f>IFERROR(__xludf.DUMMYFUNCTION("""COMPUTED_VALUE"""),8.0)</f>
        <v>8</v>
      </c>
      <c r="AB851" s="10">
        <f>IFERROR(__xludf.DUMMYFUNCTION("""COMPUTED_VALUE"""),7.0)</f>
        <v>7</v>
      </c>
      <c r="AC851" s="10">
        <f>IFERROR(__xludf.DUMMYFUNCTION("""COMPUTED_VALUE"""),2.0)</f>
        <v>2</v>
      </c>
      <c r="AD851" s="10">
        <f>IFERROR(__xludf.DUMMYFUNCTION("""COMPUTED_VALUE"""),1.0)</f>
        <v>1</v>
      </c>
      <c r="AE851" s="10">
        <f>IFERROR(__xludf.DUMMYFUNCTION("""COMPUTED_VALUE"""),3.0)</f>
        <v>3</v>
      </c>
      <c r="AF851" s="10">
        <f>IFERROR(__xludf.DUMMYFUNCTION("""COMPUTED_VALUE"""),7.0)</f>
        <v>7</v>
      </c>
      <c r="AG851" s="10">
        <f>IFERROR(__xludf.DUMMYFUNCTION("""COMPUTED_VALUE"""),8.0)</f>
        <v>8</v>
      </c>
      <c r="AH851" s="10">
        <f>IFERROR(__xludf.DUMMYFUNCTION("""COMPUTED_VALUE"""),0.0)</f>
        <v>0</v>
      </c>
      <c r="AI851" s="10">
        <f>IFERROR(__xludf.DUMMYFUNCTION("""COMPUTED_VALUE"""),8.0)</f>
        <v>8</v>
      </c>
      <c r="AJ851" s="11" t="str">
        <f>IFERROR(__xludf.DUMMYFUNCTION("""COMPUTED_VALUE"""),"https://drive.google.com/open?id=1mp7FqIMstfzPcoaoCLnPa-HfrE1vB_MX3uNHVOG1Jmc")</f>
        <v>https://drive.google.com/open?id=1mp7FqIMstfzPcoaoCLnPa-HfrE1vB_MX3uNHVOG1Jmc</v>
      </c>
      <c r="AK851" s="12" t="str">
        <f>IFERROR(__xludf.DUMMYFUNCTION("""COMPUTED_VALUE"""),"No")</f>
        <v>No</v>
      </c>
      <c r="AL851" s="12" t="str">
        <f>IFERROR(__xludf.DUMMYFUNCTION("""COMPUTED_VALUE"""),"Yes")</f>
        <v>Yes</v>
      </c>
      <c r="AM851" s="15">
        <f>IFERROR(__xludf.DUMMYFUNCTION("""COMPUTED_VALUE"""),0.5)</f>
        <v>0.5</v>
      </c>
      <c r="AN851" s="12" t="str">
        <f>IFERROR(__xludf.DUMMYFUNCTION("""COMPUTED_VALUE"""),"4th week")</f>
        <v>4th week</v>
      </c>
      <c r="AO851" s="13">
        <v>4.0</v>
      </c>
      <c r="AX851" s="17"/>
    </row>
    <row r="852">
      <c r="B852" s="9">
        <f>IFERROR(__xludf.DUMMYFUNCTION("""COMPUTED_VALUE"""),45970.99523061342)</f>
        <v>45970.99523</v>
      </c>
      <c r="C852" s="10" t="str">
        <f>IFERROR(__xludf.DUMMYFUNCTION("""COMPUTED_VALUE"""),"Atiqa ")</f>
        <v>Atiqa </v>
      </c>
      <c r="D852" s="10" t="str">
        <f>IFERROR(__xludf.DUMMYFUNCTION("""COMPUTED_VALUE"""),"03157519977")</f>
        <v>03157519977</v>
      </c>
      <c r="E852" s="10" t="str">
        <f>IFERROR(__xludf.DUMMYFUNCTION("""COMPUTED_VALUE"""),"Jamia Masjid Hanfiya C Block Okara")</f>
        <v>Jamia Masjid Hanfiya C Block Okara</v>
      </c>
      <c r="F852" s="10" t="str">
        <f>IFERROR(__xludf.DUMMYFUNCTION("""COMPUTED_VALUE"""),"FFPZC")</f>
        <v>FFPZC</v>
      </c>
      <c r="G852" s="10" t="str">
        <f>IFERROR(__xludf.DUMMYFUNCTION("""COMPUTED_VALUE"""),"No")</f>
        <v>No</v>
      </c>
      <c r="H852" s="10"/>
      <c r="I852" s="10"/>
      <c r="J852" s="10"/>
      <c r="K852" s="10">
        <f>IFERROR(__xludf.DUMMYFUNCTION("""COMPUTED_VALUE"""),0.0)</f>
        <v>0</v>
      </c>
      <c r="L852" s="10">
        <f>IFERROR(__xludf.DUMMYFUNCTION("""COMPUTED_VALUE"""),0.0)</f>
        <v>0</v>
      </c>
      <c r="M852" s="10">
        <f>IFERROR(__xludf.DUMMYFUNCTION("""COMPUTED_VALUE"""),0.0)</f>
        <v>0</v>
      </c>
      <c r="N852" s="10">
        <f>IFERROR(__xludf.DUMMYFUNCTION("""COMPUTED_VALUE"""),0.0)</f>
        <v>0</v>
      </c>
      <c r="O852" s="10">
        <f>IFERROR(__xludf.DUMMYFUNCTION("""COMPUTED_VALUE"""),0.0)</f>
        <v>0</v>
      </c>
      <c r="P852" s="10">
        <f>IFERROR(__xludf.DUMMYFUNCTION("""COMPUTED_VALUE"""),0.0)</f>
        <v>0</v>
      </c>
      <c r="Q852" s="10" t="str">
        <f>IFERROR(__xludf.DUMMYFUNCTION("""COMPUTED_VALUE"""),"No")</f>
        <v>No</v>
      </c>
      <c r="R852" s="10" t="str">
        <f>IFERROR(__xludf.DUMMYFUNCTION("""COMPUTED_VALUE"""),"No")</f>
        <v>No</v>
      </c>
      <c r="S852" s="10" t="str">
        <f>IFERROR(__xludf.DUMMYFUNCTION("""COMPUTED_VALUE"""),"No")</f>
        <v>No</v>
      </c>
      <c r="T852" s="10">
        <f>IFERROR(__xludf.DUMMYFUNCTION("""COMPUTED_VALUE"""),0.0)</f>
        <v>0</v>
      </c>
      <c r="U852" s="10">
        <f>IFERROR(__xludf.DUMMYFUNCTION("""COMPUTED_VALUE"""),0.0)</f>
        <v>0</v>
      </c>
      <c r="V852" s="10" t="str">
        <f>IFERROR(__xludf.DUMMYFUNCTION("""COMPUTED_VALUE"""),"موت ایک اٹل حقیقت ")</f>
        <v>موت ایک اٹل حقیقت </v>
      </c>
      <c r="W852" s="10" t="str">
        <f>IFERROR(__xludf.DUMMYFUNCTION("""COMPUTED_VALUE"""),"امام نے بیان کیا کہ یہ جہان عارضی ہے اور یہاں انے والے  ہر ایک کو ایک دن فنا ہو جانا اور جب پیارے پیغمبر صلی اللہ علیہ وسلم جن کا عرش والے رب کے بعد درجہ انہیں رب نے اپنے پاس واپس بلا لیا تو پھر باقیوں کی کیا اوقات، ہر ذی روح کو ایک دن اس دنیا سے جانا ہی "&amp;"ہے اس لیے انے والی زندگی کی تیاری کرنی اور دل میں اللہ کا خوف پیدا کرنا، اور امام نے قرانی ایات بیان کی جس میں اس جہان کو عارضی اور فانی قرار دیا گیا اور بقا صرف اس عرش والے رب کو ہی ہے۔ ")</f>
        <v>امام نے بیان کیا کہ یہ جہان عارضی ہے اور یہاں انے والے  ہر ایک کو ایک دن فنا ہو جانا اور جب پیارے پیغمبر صلی اللہ علیہ وسلم جن کا عرش والے رب کے بعد درجہ انہیں رب نے اپنے پاس واپس بلا لیا تو پھر باقیوں کی کیا اوقات، ہر ذی روح کو ایک دن اس دنیا سے جانا ہی ہے اس لیے انے والی زندگی کی تیاری کرنی اور دل میں اللہ کا خوف پیدا کرنا، اور امام نے قرانی ایات بیان کی جس میں اس جہان کو عارضی اور فانی قرار دیا گیا اور بقا صرف اس عرش والے رب کو ہی ہے۔ </v>
      </c>
      <c r="X852" s="10">
        <f>IFERROR(__xludf.DUMMYFUNCTION("""COMPUTED_VALUE"""),8.0)</f>
        <v>8</v>
      </c>
      <c r="Y852" s="10">
        <f>IFERROR(__xludf.DUMMYFUNCTION("""COMPUTED_VALUE"""),2.0)</f>
        <v>2</v>
      </c>
      <c r="Z852" s="10">
        <f>IFERROR(__xludf.DUMMYFUNCTION("""COMPUTED_VALUE"""),4.0)</f>
        <v>4</v>
      </c>
      <c r="AA852" s="10">
        <f>IFERROR(__xludf.DUMMYFUNCTION("""COMPUTED_VALUE"""),8.0)</f>
        <v>8</v>
      </c>
      <c r="AB852" s="10">
        <f>IFERROR(__xludf.DUMMYFUNCTION("""COMPUTED_VALUE"""),6.0)</f>
        <v>6</v>
      </c>
      <c r="AC852" s="10">
        <f>IFERROR(__xludf.DUMMYFUNCTION("""COMPUTED_VALUE"""),2.0)</f>
        <v>2</v>
      </c>
      <c r="AD852" s="10">
        <f>IFERROR(__xludf.DUMMYFUNCTION("""COMPUTED_VALUE"""),0.0)</f>
        <v>0</v>
      </c>
      <c r="AE852" s="10">
        <f>IFERROR(__xludf.DUMMYFUNCTION("""COMPUTED_VALUE"""),1.0)</f>
        <v>1</v>
      </c>
      <c r="AF852" s="10">
        <f>IFERROR(__xludf.DUMMYFUNCTION("""COMPUTED_VALUE"""),0.0)</f>
        <v>0</v>
      </c>
      <c r="AG852" s="10">
        <f>IFERROR(__xludf.DUMMYFUNCTION("""COMPUTED_VALUE"""),8.0)</f>
        <v>8</v>
      </c>
      <c r="AH852" s="10">
        <f>IFERROR(__xludf.DUMMYFUNCTION("""COMPUTED_VALUE"""),0.0)</f>
        <v>0</v>
      </c>
      <c r="AI852" s="10">
        <f>IFERROR(__xludf.DUMMYFUNCTION("""COMPUTED_VALUE"""),9.0)</f>
        <v>9</v>
      </c>
      <c r="AJ852" s="11" t="str">
        <f>IFERROR(__xludf.DUMMYFUNCTION("""COMPUTED_VALUE"""),"https://drive.google.com/open?id=1WABjnrHD5oKHf5Z7uiqL9eKQ8Zmi5W6eXYKdzqOpY5M")</f>
        <v>https://drive.google.com/open?id=1WABjnrHD5oKHf5Z7uiqL9eKQ8Zmi5W6eXYKdzqOpY5M</v>
      </c>
      <c r="AK852" s="12"/>
      <c r="AL852" s="12"/>
      <c r="AM852" s="12"/>
      <c r="AN852" s="12" t="str">
        <f>IFERROR(__xludf.DUMMYFUNCTION("""COMPUTED_VALUE"""),"3rd week")</f>
        <v>3rd week</v>
      </c>
      <c r="AO852" s="13">
        <v>3.0</v>
      </c>
      <c r="AX852" s="17"/>
    </row>
    <row r="853">
      <c r="B853" s="9">
        <f>IFERROR(__xludf.DUMMYFUNCTION("""COMPUTED_VALUE"""),45971.19239758102)</f>
        <v>45971.1924</v>
      </c>
      <c r="C853" s="10" t="str">
        <f>IFERROR(__xludf.DUMMYFUNCTION("""COMPUTED_VALUE"""),"Asma Gul ")</f>
        <v>Asma Gul </v>
      </c>
      <c r="D853" s="10" t="str">
        <f>IFERROR(__xludf.DUMMYFUNCTION("""COMPUTED_VALUE"""),"03459308620")</f>
        <v>03459308620</v>
      </c>
      <c r="E853" s="10" t="str">
        <f>IFERROR(__xludf.DUMMYFUNCTION("""COMPUTED_VALUE"""),"Jamia Masjid Noor Tariqbaad")</f>
        <v>Jamia Masjid Noor Tariqbaad</v>
      </c>
      <c r="F853" s="10" t="str">
        <f>IFERROR(__xludf.DUMMYFUNCTION("""COMPUTED_VALUE"""),"tbthq")</f>
        <v>tbthq</v>
      </c>
      <c r="G853" s="10" t="str">
        <f>IFERROR(__xludf.DUMMYFUNCTION("""COMPUTED_VALUE"""),"Yes")</f>
        <v>Yes</v>
      </c>
      <c r="H853" s="10">
        <f>IFERROR(__xludf.DUMMYFUNCTION("""COMPUTED_VALUE"""),2.0)</f>
        <v>2</v>
      </c>
      <c r="I853" s="10">
        <f>IFERROR(__xludf.DUMMYFUNCTION("""COMPUTED_VALUE"""),8.0)</f>
        <v>8</v>
      </c>
      <c r="J853" s="10">
        <f>IFERROR(__xludf.DUMMYFUNCTION("""COMPUTED_VALUE"""),2.0)</f>
        <v>2</v>
      </c>
      <c r="K853" s="10">
        <f>IFERROR(__xludf.DUMMYFUNCTION("""COMPUTED_VALUE"""),1.0)</f>
        <v>1</v>
      </c>
      <c r="L853" s="10">
        <f>IFERROR(__xludf.DUMMYFUNCTION("""COMPUTED_VALUE"""),2.0)</f>
        <v>2</v>
      </c>
      <c r="M853" s="10">
        <f>IFERROR(__xludf.DUMMYFUNCTION("""COMPUTED_VALUE"""),0.0)</f>
        <v>0</v>
      </c>
      <c r="N853" s="10">
        <f>IFERROR(__xludf.DUMMYFUNCTION("""COMPUTED_VALUE"""),2.0)</f>
        <v>2</v>
      </c>
      <c r="O853" s="10">
        <f>IFERROR(__xludf.DUMMYFUNCTION("""COMPUTED_VALUE"""),0.0)</f>
        <v>0</v>
      </c>
      <c r="P853" s="10">
        <f>IFERROR(__xludf.DUMMYFUNCTION("""COMPUTED_VALUE"""),2.0)</f>
        <v>2</v>
      </c>
      <c r="Q853" s="10" t="str">
        <f>IFERROR(__xludf.DUMMYFUNCTION("""COMPUTED_VALUE"""),"No")</f>
        <v>No</v>
      </c>
      <c r="R853" s="10" t="str">
        <f>IFERROR(__xludf.DUMMYFUNCTION("""COMPUTED_VALUE"""),"No")</f>
        <v>No</v>
      </c>
      <c r="S853" s="10" t="str">
        <f>IFERROR(__xludf.DUMMYFUNCTION("""COMPUTED_VALUE"""),"No")</f>
        <v>No</v>
      </c>
      <c r="T853" s="10">
        <f>IFERROR(__xludf.DUMMYFUNCTION("""COMPUTED_VALUE"""),0.0)</f>
        <v>0</v>
      </c>
      <c r="U853" s="10">
        <f>IFERROR(__xludf.DUMMYFUNCTION("""COMPUTED_VALUE"""),0.0)</f>
        <v>0</v>
      </c>
      <c r="V853" s="10" t="str">
        <f>IFERROR(__xludf.DUMMYFUNCTION("""COMPUTED_VALUE"""),"پڑوسیوں سے محبت, اور حقوق اللہ کا خیال")</f>
        <v>پڑوسیوں سے محبت, اور حقوق اللہ کا خیال</v>
      </c>
      <c r="W853" s="10" t="str">
        <f>IFERROR(__xludf.DUMMYFUNCTION("""COMPUTED_VALUE"""),"خطبے میں پڑوسیوں کے حقوق، حسنِ سلوک، صبر، استغفار اور تقویٰ پر زور دیا گیا ہے۔ امام نے قرآن و حدیث کی مثالیں (جیسے ابو ہریرہ، حضرت عزیز وغیرہ) دے کر بتایا کہ ایمان اسی شخص کا مکمل نہیں جو اپنے پڑوسی کو تکلیف دے۔ حقوقِ اللہ کے ساتھ ساتھ حقوقِ العباد کی ادا"&amp;"ئیگی لازم ہے")</f>
        <v>خطبے میں پڑوسیوں کے حقوق، حسنِ سلوک، صبر، استغفار اور تقویٰ پر زور دیا گیا ہے۔ امام نے قرآن و حدیث کی مثالیں (جیسے ابو ہریرہ، حضرت عزیز وغیرہ) دے کر بتایا کہ ایمان اسی شخص کا مکمل نہیں جو اپنے پڑوسی کو تکلیف دے۔ حقوقِ اللہ کے ساتھ ساتھ حقوقِ العباد کی ادائیگی لازم ہے</v>
      </c>
      <c r="X853" s="10">
        <f>IFERROR(__xludf.DUMMYFUNCTION("""COMPUTED_VALUE"""),10.0)</f>
        <v>10</v>
      </c>
      <c r="Y853" s="10">
        <f>IFERROR(__xludf.DUMMYFUNCTION("""COMPUTED_VALUE"""),10.0)</f>
        <v>10</v>
      </c>
      <c r="Z853" s="10">
        <f>IFERROR(__xludf.DUMMYFUNCTION("""COMPUTED_VALUE"""),6.0)</f>
        <v>6</v>
      </c>
      <c r="AA853" s="10">
        <f>IFERROR(__xludf.DUMMYFUNCTION("""COMPUTED_VALUE"""),9.0)</f>
        <v>9</v>
      </c>
      <c r="AB853" s="10">
        <f>IFERROR(__xludf.DUMMYFUNCTION("""COMPUTED_VALUE"""),6.0)</f>
        <v>6</v>
      </c>
      <c r="AC853" s="10">
        <f>IFERROR(__xludf.DUMMYFUNCTION("""COMPUTED_VALUE"""),1.0)</f>
        <v>1</v>
      </c>
      <c r="AD853" s="10">
        <f>IFERROR(__xludf.DUMMYFUNCTION("""COMPUTED_VALUE"""),1.0)</f>
        <v>1</v>
      </c>
      <c r="AE853" s="10">
        <f>IFERROR(__xludf.DUMMYFUNCTION("""COMPUTED_VALUE"""),0.0)</f>
        <v>0</v>
      </c>
      <c r="AF853" s="10">
        <f>IFERROR(__xludf.DUMMYFUNCTION("""COMPUTED_VALUE"""),0.0)</f>
        <v>0</v>
      </c>
      <c r="AG853" s="10">
        <f>IFERROR(__xludf.DUMMYFUNCTION("""COMPUTED_VALUE"""),8.0)</f>
        <v>8</v>
      </c>
      <c r="AH853" s="10">
        <f>IFERROR(__xludf.DUMMYFUNCTION("""COMPUTED_VALUE"""),0.0)</f>
        <v>0</v>
      </c>
      <c r="AI853" s="10">
        <f>IFERROR(__xludf.DUMMYFUNCTION("""COMPUTED_VALUE"""),8.0)</f>
        <v>8</v>
      </c>
      <c r="AJ853" s="11" t="str">
        <f>IFERROR(__xludf.DUMMYFUNCTION("""COMPUTED_VALUE"""),"https://drive.google.com/open?id=1A9d5Si9YGD-iOIEXZmhjyuiucokaw3bGXbZv4XJHBr8")</f>
        <v>https://drive.google.com/open?id=1A9d5Si9YGD-iOIEXZmhjyuiucokaw3bGXbZv4XJHBr8</v>
      </c>
      <c r="AK853" s="12"/>
      <c r="AL853" s="12" t="str">
        <f>IFERROR(__xludf.DUMMYFUNCTION("""COMPUTED_VALUE"""),"Yes")</f>
        <v>Yes</v>
      </c>
      <c r="AM853" s="15">
        <f>IFERROR(__xludf.DUMMYFUNCTION("""COMPUTED_VALUE"""),0.2)</f>
        <v>0.2</v>
      </c>
      <c r="AN853" s="12" t="str">
        <f>IFERROR(__xludf.DUMMYFUNCTION("""COMPUTED_VALUE"""),"2nd week")</f>
        <v>2nd week</v>
      </c>
      <c r="AO853" s="13">
        <v>2.0</v>
      </c>
      <c r="AX853" s="17"/>
    </row>
    <row r="854">
      <c r="B854" s="9">
        <f>IFERROR(__xludf.DUMMYFUNCTION("""COMPUTED_VALUE"""),45971.24541618055)</f>
        <v>45971.24542</v>
      </c>
      <c r="C854" s="10" t="str">
        <f>IFERROR(__xludf.DUMMYFUNCTION("""COMPUTED_VALUE"""),"Maham")</f>
        <v>Maham</v>
      </c>
      <c r="D854" s="10" t="str">
        <f>IFERROR(__xludf.DUMMYFUNCTION("""COMPUTED_VALUE"""),"03218118680")</f>
        <v>03218118680</v>
      </c>
      <c r="E854" s="10" t="str">
        <f>IFERROR(__xludf.DUMMYFUNCTION("""COMPUTED_VALUE"""),"Jamia Masjid Taleem Ul Quran Gojara")</f>
        <v>Jamia Masjid Taleem Ul Quran Gojara</v>
      </c>
      <c r="F854" s="10" t="str">
        <f>IFERROR(__xludf.DUMMYFUNCTION("""COMPUTED_VALUE"""),"yxvut")</f>
        <v>yxvut</v>
      </c>
      <c r="G854" s="10" t="str">
        <f>IFERROR(__xludf.DUMMYFUNCTION("""COMPUTED_VALUE"""),"Yes")</f>
        <v>Yes</v>
      </c>
      <c r="H854" s="10">
        <f>IFERROR(__xludf.DUMMYFUNCTION("""COMPUTED_VALUE"""),1.0)</f>
        <v>1</v>
      </c>
      <c r="I854" s="10">
        <f>IFERROR(__xludf.DUMMYFUNCTION("""COMPUTED_VALUE"""),9.0)</f>
        <v>9</v>
      </c>
      <c r="J854" s="10">
        <f>IFERROR(__xludf.DUMMYFUNCTION("""COMPUTED_VALUE"""),4.0)</f>
        <v>4</v>
      </c>
      <c r="K854" s="10">
        <f>IFERROR(__xludf.DUMMYFUNCTION("""COMPUTED_VALUE"""),4.0)</f>
        <v>4</v>
      </c>
      <c r="L854" s="10">
        <f>IFERROR(__xludf.DUMMYFUNCTION("""COMPUTED_VALUE"""),0.0)</f>
        <v>0</v>
      </c>
      <c r="M854" s="10">
        <f>IFERROR(__xludf.DUMMYFUNCTION("""COMPUTED_VALUE"""),3.0)</f>
        <v>3</v>
      </c>
      <c r="N854" s="10">
        <f>IFERROR(__xludf.DUMMYFUNCTION("""COMPUTED_VALUE"""),0.0)</f>
        <v>0</v>
      </c>
      <c r="O854" s="10">
        <f>IFERROR(__xludf.DUMMYFUNCTION("""COMPUTED_VALUE"""),0.0)</f>
        <v>0</v>
      </c>
      <c r="P854" s="10">
        <f>IFERROR(__xludf.DUMMYFUNCTION("""COMPUTED_VALUE"""),0.0)</f>
        <v>0</v>
      </c>
      <c r="Q854" s="10" t="str">
        <f>IFERROR(__xludf.DUMMYFUNCTION("""COMPUTED_VALUE"""),"No")</f>
        <v>No</v>
      </c>
      <c r="R854" s="10" t="str">
        <f>IFERROR(__xludf.DUMMYFUNCTION("""COMPUTED_VALUE"""),"No")</f>
        <v>No</v>
      </c>
      <c r="S854" s="10" t="str">
        <f>IFERROR(__xludf.DUMMYFUNCTION("""COMPUTED_VALUE"""),"No")</f>
        <v>No</v>
      </c>
      <c r="T854" s="10">
        <f>IFERROR(__xludf.DUMMYFUNCTION("""COMPUTED_VALUE"""),0.0)</f>
        <v>0</v>
      </c>
      <c r="U854" s="10">
        <f>IFERROR(__xludf.DUMMYFUNCTION("""COMPUTED_VALUE"""),0.0)</f>
        <v>0</v>
      </c>
      <c r="V854" s="10" t="str">
        <f>IFERROR(__xludf.DUMMYFUNCTION("""COMPUTED_VALUE"""),"نکاح کی اہمیت نکاح کی فضیلت حق زوجیت")</f>
        <v>نکاح کی اہمیت نکاح کی فضیلت حق زوجیت</v>
      </c>
      <c r="W854" s="10" t="str">
        <f>IFERROR(__xludf.DUMMYFUNCTION("""COMPUTED_VALUE"""),"میاں بیوی کے حقوق کی اہمیت نکاح کی اہمیت")</f>
        <v>میاں بیوی کے حقوق کی اہمیت نکاح کی اہمیت</v>
      </c>
      <c r="X854" s="10">
        <f>IFERROR(__xludf.DUMMYFUNCTION("""COMPUTED_VALUE"""),5.0)</f>
        <v>5</v>
      </c>
      <c r="Y854" s="10">
        <f>IFERROR(__xludf.DUMMYFUNCTION("""COMPUTED_VALUE"""),8.0)</f>
        <v>8</v>
      </c>
      <c r="Z854" s="10">
        <f>IFERROR(__xludf.DUMMYFUNCTION("""COMPUTED_VALUE"""),8.0)</f>
        <v>8</v>
      </c>
      <c r="AA854" s="10">
        <f>IFERROR(__xludf.DUMMYFUNCTION("""COMPUTED_VALUE"""),9.0)</f>
        <v>9</v>
      </c>
      <c r="AB854" s="10">
        <f>IFERROR(__xludf.DUMMYFUNCTION("""COMPUTED_VALUE"""),6.0)</f>
        <v>6</v>
      </c>
      <c r="AC854" s="10">
        <f>IFERROR(__xludf.DUMMYFUNCTION("""COMPUTED_VALUE"""),0.0)</f>
        <v>0</v>
      </c>
      <c r="AD854" s="10">
        <f>IFERROR(__xludf.DUMMYFUNCTION("""COMPUTED_VALUE"""),4.0)</f>
        <v>4</v>
      </c>
      <c r="AE854" s="10">
        <f>IFERROR(__xludf.DUMMYFUNCTION("""COMPUTED_VALUE"""),0.0)</f>
        <v>0</v>
      </c>
      <c r="AF854" s="10">
        <f>IFERROR(__xludf.DUMMYFUNCTION("""COMPUTED_VALUE"""),7.0)</f>
        <v>7</v>
      </c>
      <c r="AG854" s="10">
        <f>IFERROR(__xludf.DUMMYFUNCTION("""COMPUTED_VALUE"""),8.0)</f>
        <v>8</v>
      </c>
      <c r="AH854" s="10">
        <f>IFERROR(__xludf.DUMMYFUNCTION("""COMPUTED_VALUE"""),0.0)</f>
        <v>0</v>
      </c>
      <c r="AI854" s="10">
        <f>IFERROR(__xludf.DUMMYFUNCTION("""COMPUTED_VALUE"""),8.0)</f>
        <v>8</v>
      </c>
      <c r="AJ854" s="11" t="str">
        <f>IFERROR(__xludf.DUMMYFUNCTION("""COMPUTED_VALUE"""),"https://drive.google.com/open?id=1GuRbPPcjc34Hm0vPws6R-d8OeVvMKYgt")</f>
        <v>https://drive.google.com/open?id=1GuRbPPcjc34Hm0vPws6R-d8OeVvMKYgt</v>
      </c>
      <c r="AK854" s="12"/>
      <c r="AL854" s="12" t="str">
        <f>IFERROR(__xludf.DUMMYFUNCTION("""COMPUTED_VALUE"""),"Yes")</f>
        <v>Yes</v>
      </c>
      <c r="AM854" s="15">
        <f>IFERROR(__xludf.DUMMYFUNCTION("""COMPUTED_VALUE"""),0.3)</f>
        <v>0.3</v>
      </c>
      <c r="AN854" s="12" t="str">
        <f>IFERROR(__xludf.DUMMYFUNCTION("""COMPUTED_VALUE"""),"4th week")</f>
        <v>4th week</v>
      </c>
      <c r="AO854" s="13">
        <v>4.0</v>
      </c>
      <c r="AX854" s="17"/>
    </row>
    <row r="855">
      <c r="B855" s="9">
        <f>IFERROR(__xludf.DUMMYFUNCTION("""COMPUTED_VALUE"""),45971.41894469908)</f>
        <v>45971.41894</v>
      </c>
      <c r="C855" s="10" t="str">
        <f>IFERROR(__xludf.DUMMYFUNCTION("""COMPUTED_VALUE"""),"Atiqa")</f>
        <v>Atiqa</v>
      </c>
      <c r="D855" s="10" t="str">
        <f>IFERROR(__xludf.DUMMYFUNCTION("""COMPUTED_VALUE"""),"03157519977")</f>
        <v>03157519977</v>
      </c>
      <c r="E855" s="10" t="str">
        <f>IFERROR(__xludf.DUMMYFUNCTION("""COMPUTED_VALUE"""),"JamiaJamia Masjid Muhammadiya Chastiya Makwana Faisalabad")</f>
        <v>JamiaJamia Masjid Muhammadiya Chastiya Makwana Faisalabad</v>
      </c>
      <c r="F855" s="10" t="str">
        <f>IFERROR(__xludf.DUMMYFUNCTION("""COMPUTED_VALUE"""),"cegdy")</f>
        <v>cegdy</v>
      </c>
      <c r="G855" s="10" t="str">
        <f>IFERROR(__xludf.DUMMYFUNCTION("""COMPUTED_VALUE"""),"Yes")</f>
        <v>Yes</v>
      </c>
      <c r="H855" s="10">
        <f>IFERROR(__xludf.DUMMYFUNCTION("""COMPUTED_VALUE"""),0.0)</f>
        <v>0</v>
      </c>
      <c r="I855" s="10">
        <f>IFERROR(__xludf.DUMMYFUNCTION("""COMPUTED_VALUE"""),10.0)</f>
        <v>10</v>
      </c>
      <c r="J855" s="10">
        <f>IFERROR(__xludf.DUMMYFUNCTION("""COMPUTED_VALUE"""),0.0)</f>
        <v>0</v>
      </c>
      <c r="K855" s="10">
        <f>IFERROR(__xludf.DUMMYFUNCTION("""COMPUTED_VALUE"""),0.0)</f>
        <v>0</v>
      </c>
      <c r="L855" s="10">
        <f>IFERROR(__xludf.DUMMYFUNCTION("""COMPUTED_VALUE"""),0.0)</f>
        <v>0</v>
      </c>
      <c r="M855" s="10">
        <f>IFERROR(__xludf.DUMMYFUNCTION("""COMPUTED_VALUE"""),0.0)</f>
        <v>0</v>
      </c>
      <c r="N855" s="10">
        <f>IFERROR(__xludf.DUMMYFUNCTION("""COMPUTED_VALUE"""),0.0)</f>
        <v>0</v>
      </c>
      <c r="O855" s="10">
        <f>IFERROR(__xludf.DUMMYFUNCTION("""COMPUTED_VALUE"""),0.0)</f>
        <v>0</v>
      </c>
      <c r="P855" s="10">
        <f>IFERROR(__xludf.DUMMYFUNCTION("""COMPUTED_VALUE"""),0.0)</f>
        <v>0</v>
      </c>
      <c r="Q855" s="10" t="str">
        <f>IFERROR(__xludf.DUMMYFUNCTION("""COMPUTED_VALUE"""),"No")</f>
        <v>No</v>
      </c>
      <c r="R855" s="10" t="str">
        <f>IFERROR(__xludf.DUMMYFUNCTION("""COMPUTED_VALUE"""),"No")</f>
        <v>No</v>
      </c>
      <c r="S855" s="10" t="str">
        <f>IFERROR(__xludf.DUMMYFUNCTION("""COMPUTED_VALUE"""),"No")</f>
        <v>No</v>
      </c>
      <c r="T855" s="10">
        <f>IFERROR(__xludf.DUMMYFUNCTION("""COMPUTED_VALUE"""),0.0)</f>
        <v>0</v>
      </c>
      <c r="U855" s="10">
        <f>IFERROR(__xludf.DUMMYFUNCTION("""COMPUTED_VALUE"""),0.0)</f>
        <v>0</v>
      </c>
      <c r="V855" s="10" t="str">
        <f>IFERROR(__xludf.DUMMYFUNCTION("""COMPUTED_VALUE"""),"فضائل و برکات درود و سلام ")</f>
        <v>فضائل و برکات درود و سلام </v>
      </c>
      <c r="W855" s="10" t="str">
        <f>IFERROR(__xludf.DUMMYFUNCTION("""COMPUTED_VALUE"""),"امام نے نبی پاک صلی اللہ علیہ وسلم کی ذات پر درود و پاک پڑھنے کی وجہ سے بندے کا جہنم سے جنت کی طرف جانا بیان کیا، جبرائیل علیہ السلام کا اپ صلی اللہ علیہ وسلم کو سارے نبیوں سے زیادہ شان اور پیارا قرار دینا، اور ایک بچی کے درود و سلام پڑھنے کی برکت سے گہرے"&amp;" کنویں کا پانی تھوک پھینکنے سے اوپر ا جانے کا واقعہ بیان کیا  ")</f>
        <v>امام نے نبی پاک صلی اللہ علیہ وسلم کی ذات پر درود و پاک پڑھنے کی وجہ سے بندے کا جہنم سے جنت کی طرف جانا بیان کیا، جبرائیل علیہ السلام کا اپ صلی اللہ علیہ وسلم کو سارے نبیوں سے زیادہ شان اور پیارا قرار دینا، اور ایک بچی کے درود و سلام پڑھنے کی برکت سے گہرے کنویں کا پانی تھوک پھینکنے سے اوپر ا جانے کا واقعہ بیان کیا  </v>
      </c>
      <c r="X855" s="10">
        <f>IFERROR(__xludf.DUMMYFUNCTION("""COMPUTED_VALUE"""),8.0)</f>
        <v>8</v>
      </c>
      <c r="Y855" s="10">
        <f>IFERROR(__xludf.DUMMYFUNCTION("""COMPUTED_VALUE"""),2.0)</f>
        <v>2</v>
      </c>
      <c r="Z855" s="10">
        <f>IFERROR(__xludf.DUMMYFUNCTION("""COMPUTED_VALUE"""),1.0)</f>
        <v>1</v>
      </c>
      <c r="AA855" s="10">
        <f>IFERROR(__xludf.DUMMYFUNCTION("""COMPUTED_VALUE"""),8.0)</f>
        <v>8</v>
      </c>
      <c r="AB855" s="10">
        <f>IFERROR(__xludf.DUMMYFUNCTION("""COMPUTED_VALUE"""),8.0)</f>
        <v>8</v>
      </c>
      <c r="AC855" s="10">
        <f>IFERROR(__xludf.DUMMYFUNCTION("""COMPUTED_VALUE"""),0.0)</f>
        <v>0</v>
      </c>
      <c r="AD855" s="10">
        <f>IFERROR(__xludf.DUMMYFUNCTION("""COMPUTED_VALUE"""),0.0)</f>
        <v>0</v>
      </c>
      <c r="AE855" s="10">
        <f>IFERROR(__xludf.DUMMYFUNCTION("""COMPUTED_VALUE"""),0.0)</f>
        <v>0</v>
      </c>
      <c r="AF855" s="10">
        <f>IFERROR(__xludf.DUMMYFUNCTION("""COMPUTED_VALUE"""),0.0)</f>
        <v>0</v>
      </c>
      <c r="AG855" s="10">
        <f>IFERROR(__xludf.DUMMYFUNCTION("""COMPUTED_VALUE"""),8.0)</f>
        <v>8</v>
      </c>
      <c r="AH855" s="10">
        <f>IFERROR(__xludf.DUMMYFUNCTION("""COMPUTED_VALUE"""),0.0)</f>
        <v>0</v>
      </c>
      <c r="AI855" s="10">
        <f>IFERROR(__xludf.DUMMYFUNCTION("""COMPUTED_VALUE"""),8.0)</f>
        <v>8</v>
      </c>
      <c r="AJ855" s="11" t="str">
        <f>IFERROR(__xludf.DUMMYFUNCTION("""COMPUTED_VALUE"""),"https://drive.google.com/open?id=1p7FGfT-L8XHNRABE3sRpAvhv0IewsBLVn9Fvm-ucNsU")</f>
        <v>https://drive.google.com/open?id=1p7FGfT-L8XHNRABE3sRpAvhv0IewsBLVn9Fvm-ucNsU</v>
      </c>
      <c r="AK855" s="12"/>
      <c r="AL855" s="12" t="str">
        <f>IFERROR(__xludf.DUMMYFUNCTION("""COMPUTED_VALUE"""),"Yes")</f>
        <v>Yes</v>
      </c>
      <c r="AM855" s="15">
        <f>IFERROR(__xludf.DUMMYFUNCTION("""COMPUTED_VALUE"""),0.0)</f>
        <v>0</v>
      </c>
      <c r="AN855" s="12" t="str">
        <f>IFERROR(__xludf.DUMMYFUNCTION("""COMPUTED_VALUE"""),"2nd week")</f>
        <v>2nd week</v>
      </c>
      <c r="AO855" s="13">
        <v>2.0</v>
      </c>
      <c r="AX855" s="17"/>
    </row>
    <row r="856">
      <c r="B856" s="9">
        <f>IFERROR(__xludf.DUMMYFUNCTION("""COMPUTED_VALUE"""),45971.51891747685)</f>
        <v>45971.51892</v>
      </c>
      <c r="C856" s="10" t="str">
        <f>IFERROR(__xludf.DUMMYFUNCTION("""COMPUTED_VALUE"""),"Atiqa ")</f>
        <v>Atiqa </v>
      </c>
      <c r="D856" s="10" t="str">
        <f>IFERROR(__xludf.DUMMYFUNCTION("""COMPUTED_VALUE"""),"03157519977")</f>
        <v>03157519977</v>
      </c>
      <c r="E856" s="10" t="str">
        <f>IFERROR(__xludf.DUMMYFUNCTION("""COMPUTED_VALUE"""),"Jamia Masjid Tehseel Wali Kachari Bazar Faisalabad")</f>
        <v>Jamia Masjid Tehseel Wali Kachari Bazar Faisalabad</v>
      </c>
      <c r="F856" s="10" t="str">
        <f>IFERROR(__xludf.DUMMYFUNCTION("""COMPUTED_VALUE"""),"pjygt")</f>
        <v>pjygt</v>
      </c>
      <c r="G856" s="10" t="str">
        <f>IFERROR(__xludf.DUMMYFUNCTION("""COMPUTED_VALUE"""),"Yes")</f>
        <v>Yes</v>
      </c>
      <c r="H856" s="10">
        <f>IFERROR(__xludf.DUMMYFUNCTION("""COMPUTED_VALUE"""),10.0)</f>
        <v>10</v>
      </c>
      <c r="I856" s="10">
        <f>IFERROR(__xludf.DUMMYFUNCTION("""COMPUTED_VALUE"""),0.0)</f>
        <v>0</v>
      </c>
      <c r="J856" s="10">
        <f>IFERROR(__xludf.DUMMYFUNCTION("""COMPUTED_VALUE"""),10.0)</f>
        <v>10</v>
      </c>
      <c r="K856" s="10">
        <f>IFERROR(__xludf.DUMMYFUNCTION("""COMPUTED_VALUE"""),10.0)</f>
        <v>10</v>
      </c>
      <c r="L856" s="10">
        <f>IFERROR(__xludf.DUMMYFUNCTION("""COMPUTED_VALUE"""),0.0)</f>
        <v>0</v>
      </c>
      <c r="M856" s="10">
        <f>IFERROR(__xludf.DUMMYFUNCTION("""COMPUTED_VALUE"""),9.0)</f>
        <v>9</v>
      </c>
      <c r="N856" s="10">
        <f>IFERROR(__xludf.DUMMYFUNCTION("""COMPUTED_VALUE"""),0.0)</f>
        <v>0</v>
      </c>
      <c r="O856" s="10">
        <f>IFERROR(__xludf.DUMMYFUNCTION("""COMPUTED_VALUE"""),8.0)</f>
        <v>8</v>
      </c>
      <c r="P856" s="10">
        <f>IFERROR(__xludf.DUMMYFUNCTION("""COMPUTED_VALUE"""),0.0)</f>
        <v>0</v>
      </c>
      <c r="Q856" s="10" t="str">
        <f>IFERROR(__xludf.DUMMYFUNCTION("""COMPUTED_VALUE"""),"Yes")</f>
        <v>Yes</v>
      </c>
      <c r="R856" s="10" t="str">
        <f>IFERROR(__xludf.DUMMYFUNCTION("""COMPUTED_VALUE"""),"No")</f>
        <v>No</v>
      </c>
      <c r="S856" s="10" t="str">
        <f>IFERROR(__xludf.DUMMYFUNCTION("""COMPUTED_VALUE"""),"Yes")</f>
        <v>Yes</v>
      </c>
      <c r="T856" s="10">
        <f>IFERROR(__xludf.DUMMYFUNCTION("""COMPUTED_VALUE"""),0.0)</f>
        <v>0</v>
      </c>
      <c r="U856" s="10">
        <f>IFERROR(__xludf.DUMMYFUNCTION("""COMPUTED_VALUE"""),0.0)</f>
        <v>0</v>
      </c>
      <c r="V856" s="10" t="str">
        <f>IFERROR(__xludf.DUMMYFUNCTION("""COMPUTED_VALUE"""),"عورتوں کا مقام و مرتبہ ")</f>
        <v>عورتوں کا مقام و مرتبہ </v>
      </c>
      <c r="W856" s="10" t="str">
        <f>IFERROR(__xludf.DUMMYFUNCTION("""COMPUTED_VALUE"""),"امام نے بیان کیا کہ حضور پاک صلی اللہ علیہ والہ وسلم نے عورت کا ہر رشتے کے لحاظ سے مقام و مرتبہ اجاگر کیا، بہن شیما کے لیے اپ صلی اللہ علیہ وسلم کا اپنی چادر مبارک بچھانا اور انہیں تحائف دے کر رخصت کرنا بیٹی فاطمہ کا اٹھ کر استقبال کرنا اور ماں کے قدموں ک"&amp;"ے نیچے جنت قرار دینا، اپ صلی اللہ علیہ وسلم کا کافروں کی بیٹی کے ساتھ بھی اس نے سلوک حاتم طائی کی بیٹی کے سر پر اپنی چادر دینا، قران و حدیث کی روشنی میں تعلیم کو فرض قرار دینا صحابیات کا بھی تعلیم حاصل کرنا، ")</f>
        <v>امام نے بیان کیا کہ حضور پاک صلی اللہ علیہ والہ وسلم نے عورت کا ہر رشتے کے لحاظ سے مقام و مرتبہ اجاگر کیا، بہن شیما کے لیے اپ صلی اللہ علیہ وسلم کا اپنی چادر مبارک بچھانا اور انہیں تحائف دے کر رخصت کرنا بیٹی فاطمہ کا اٹھ کر استقبال کرنا اور ماں کے قدموں کے نیچے جنت قرار دینا، اپ صلی اللہ علیہ وسلم کا کافروں کی بیٹی کے ساتھ بھی اس نے سلوک حاتم طائی کی بیٹی کے سر پر اپنی چادر دینا، قران و حدیث کی روشنی میں تعلیم کو فرض قرار دینا صحابیات کا بھی تعلیم حاصل کرنا، </v>
      </c>
      <c r="X856" s="10">
        <f>IFERROR(__xludf.DUMMYFUNCTION("""COMPUTED_VALUE"""),1.0)</f>
        <v>1</v>
      </c>
      <c r="Y856" s="10">
        <f>IFERROR(__xludf.DUMMYFUNCTION("""COMPUTED_VALUE"""),9.0)</f>
        <v>9</v>
      </c>
      <c r="Z856" s="10">
        <f>IFERROR(__xludf.DUMMYFUNCTION("""COMPUTED_VALUE"""),8.0)</f>
        <v>8</v>
      </c>
      <c r="AA856" s="10">
        <f>IFERROR(__xludf.DUMMYFUNCTION("""COMPUTED_VALUE"""),8.0)</f>
        <v>8</v>
      </c>
      <c r="AB856" s="10">
        <f>IFERROR(__xludf.DUMMYFUNCTION("""COMPUTED_VALUE"""),9.0)</f>
        <v>9</v>
      </c>
      <c r="AC856" s="10">
        <f>IFERROR(__xludf.DUMMYFUNCTION("""COMPUTED_VALUE"""),1.0)</f>
        <v>1</v>
      </c>
      <c r="AD856" s="10">
        <f>IFERROR(__xludf.DUMMYFUNCTION("""COMPUTED_VALUE"""),0.0)</f>
        <v>0</v>
      </c>
      <c r="AE856" s="10">
        <f>IFERROR(__xludf.DUMMYFUNCTION("""COMPUTED_VALUE"""),2.0)</f>
        <v>2</v>
      </c>
      <c r="AF856" s="10">
        <f>IFERROR(__xludf.DUMMYFUNCTION("""COMPUTED_VALUE"""),3.0)</f>
        <v>3</v>
      </c>
      <c r="AG856" s="10">
        <f>IFERROR(__xludf.DUMMYFUNCTION("""COMPUTED_VALUE"""),9.0)</f>
        <v>9</v>
      </c>
      <c r="AH856" s="10">
        <f>IFERROR(__xludf.DUMMYFUNCTION("""COMPUTED_VALUE"""),0.0)</f>
        <v>0</v>
      </c>
      <c r="AI856" s="10">
        <f>IFERROR(__xludf.DUMMYFUNCTION("""COMPUTED_VALUE"""),10.0)</f>
        <v>10</v>
      </c>
      <c r="AJ856" s="11" t="str">
        <f>IFERROR(__xludf.DUMMYFUNCTION("""COMPUTED_VALUE"""),"https://drive.google.com/open?id=1jT0Df8_FJo8xFkApOzrlrKNdCRdgVoKu2ZZPurSPvJk")</f>
        <v>https://drive.google.com/open?id=1jT0Df8_FJo8xFkApOzrlrKNdCRdgVoKu2ZZPurSPvJk</v>
      </c>
      <c r="AK856" s="12"/>
      <c r="AL856" s="12" t="str">
        <f>IFERROR(__xludf.DUMMYFUNCTION("""COMPUTED_VALUE"""),"Yes")</f>
        <v>Yes</v>
      </c>
      <c r="AM856" s="15">
        <f>IFERROR(__xludf.DUMMYFUNCTION("""COMPUTED_VALUE"""),1.0)</f>
        <v>1</v>
      </c>
      <c r="AN856" s="12" t="str">
        <f>IFERROR(__xludf.DUMMYFUNCTION("""COMPUTED_VALUE"""),"2nd week")</f>
        <v>2nd week</v>
      </c>
      <c r="AO856" s="13">
        <v>2.0</v>
      </c>
      <c r="AX856" s="17"/>
    </row>
    <row r="857">
      <c r="B857" s="9">
        <f>IFERROR(__xludf.DUMMYFUNCTION("""COMPUTED_VALUE"""),45971.570593599536)</f>
        <v>45971.57059</v>
      </c>
      <c r="C857" s="10" t="str">
        <f>IFERROR(__xludf.DUMMYFUNCTION("""COMPUTED_VALUE"""),"Maham")</f>
        <v>Maham</v>
      </c>
      <c r="D857" s="10" t="str">
        <f>IFERROR(__xludf.DUMMYFUNCTION("""COMPUTED_VALUE"""),"03218118680")</f>
        <v>03218118680</v>
      </c>
      <c r="E857" s="10" t="str">
        <f>IFERROR(__xludf.DUMMYFUNCTION("""COMPUTED_VALUE"""),"Jamia Masjid Darbar Nolakha Hazari Shahkot")</f>
        <v>Jamia Masjid Darbar Nolakha Hazari Shahkot</v>
      </c>
      <c r="F857" s="10" t="str">
        <f>IFERROR(__xludf.DUMMYFUNCTION("""COMPUTED_VALUE"""),"epwte")</f>
        <v>epwte</v>
      </c>
      <c r="G857" s="10" t="str">
        <f>IFERROR(__xludf.DUMMYFUNCTION("""COMPUTED_VALUE"""),"Yes")</f>
        <v>Yes</v>
      </c>
      <c r="H857" s="10">
        <f>IFERROR(__xludf.DUMMYFUNCTION("""COMPUTED_VALUE"""),1.0)</f>
        <v>1</v>
      </c>
      <c r="I857" s="10">
        <f>IFERROR(__xludf.DUMMYFUNCTION("""COMPUTED_VALUE"""),9.0)</f>
        <v>9</v>
      </c>
      <c r="J857" s="10">
        <f>IFERROR(__xludf.DUMMYFUNCTION("""COMPUTED_VALUE"""),5.0)</f>
        <v>5</v>
      </c>
      <c r="K857" s="10">
        <f>IFERROR(__xludf.DUMMYFUNCTION("""COMPUTED_VALUE"""),5.0)</f>
        <v>5</v>
      </c>
      <c r="L857" s="10">
        <f>IFERROR(__xludf.DUMMYFUNCTION("""COMPUTED_VALUE"""),0.0)</f>
        <v>0</v>
      </c>
      <c r="M857" s="10">
        <f>IFERROR(__xludf.DUMMYFUNCTION("""COMPUTED_VALUE"""),2.0)</f>
        <v>2</v>
      </c>
      <c r="N857" s="10">
        <f>IFERROR(__xludf.DUMMYFUNCTION("""COMPUTED_VALUE"""),0.0)</f>
        <v>0</v>
      </c>
      <c r="O857" s="10">
        <f>IFERROR(__xludf.DUMMYFUNCTION("""COMPUTED_VALUE"""),1.0)</f>
        <v>1</v>
      </c>
      <c r="P857" s="10">
        <f>IFERROR(__xludf.DUMMYFUNCTION("""COMPUTED_VALUE"""),0.0)</f>
        <v>0</v>
      </c>
      <c r="Q857" s="10" t="str">
        <f>IFERROR(__xludf.DUMMYFUNCTION("""COMPUTED_VALUE"""),"No")</f>
        <v>No</v>
      </c>
      <c r="R857" s="10" t="str">
        <f>IFERROR(__xludf.DUMMYFUNCTION("""COMPUTED_VALUE"""),"No")</f>
        <v>No</v>
      </c>
      <c r="S857" s="10" t="str">
        <f>IFERROR(__xludf.DUMMYFUNCTION("""COMPUTED_VALUE"""),"No")</f>
        <v>No</v>
      </c>
      <c r="T857" s="10">
        <f>IFERROR(__xludf.DUMMYFUNCTION("""COMPUTED_VALUE"""),8.0)</f>
        <v>8</v>
      </c>
      <c r="U857" s="10">
        <f>IFERROR(__xludf.DUMMYFUNCTION("""COMPUTED_VALUE"""),0.0)</f>
        <v>0</v>
      </c>
      <c r="V857" s="10" t="str">
        <f>IFERROR(__xludf.DUMMYFUNCTION("""COMPUTED_VALUE"""),"عورتوں کے حقوق اسلامی اور یورپین خواتین کا کمپیریزن")</f>
        <v>عورتوں کے حقوق اسلامی اور یورپین خواتین کا کمپیریزن</v>
      </c>
      <c r="W857" s="10" t="str">
        <f>IFERROR(__xludf.DUMMYFUNCTION("""COMPUTED_VALUE"""),"عورتوں کی حقوق پر بات کی گئی کہ وہ چار دیواری کے اندر رہ کر تعلیم حاصل کریں اسلام دینی خاتون اور یورپین خاتون کا موازنہ کیا گیا کہ فحاشی اسلام اس کی اجازت نہیں دیتا ہوں عورتیں کہتی ہیں ڈھنڈورا پیٹتی ہیں میرا جسم میری مرضی")</f>
        <v>عورتوں کی حقوق پر بات کی گئی کہ وہ چار دیواری کے اندر رہ کر تعلیم حاصل کریں اسلام دینی خاتون اور یورپین خاتون کا موازنہ کیا گیا کہ فحاشی اسلام اس کی اجازت نہیں دیتا ہوں عورتیں کہتی ہیں ڈھنڈورا پیٹتی ہیں میرا جسم میری مرضی</v>
      </c>
      <c r="X857" s="10">
        <f>IFERROR(__xludf.DUMMYFUNCTION("""COMPUTED_VALUE"""),1.0)</f>
        <v>1</v>
      </c>
      <c r="Y857" s="10">
        <f>IFERROR(__xludf.DUMMYFUNCTION("""COMPUTED_VALUE"""),9.0)</f>
        <v>9</v>
      </c>
      <c r="Z857" s="10">
        <f>IFERROR(__xludf.DUMMYFUNCTION("""COMPUTED_VALUE"""),8.0)</f>
        <v>8</v>
      </c>
      <c r="AA857" s="10">
        <f>IFERROR(__xludf.DUMMYFUNCTION("""COMPUTED_VALUE"""),6.0)</f>
        <v>6</v>
      </c>
      <c r="AB857" s="10">
        <f>IFERROR(__xludf.DUMMYFUNCTION("""COMPUTED_VALUE"""),4.0)</f>
        <v>4</v>
      </c>
      <c r="AC857" s="10">
        <f>IFERROR(__xludf.DUMMYFUNCTION("""COMPUTED_VALUE"""),2.0)</f>
        <v>2</v>
      </c>
      <c r="AD857" s="10">
        <f>IFERROR(__xludf.DUMMYFUNCTION("""COMPUTED_VALUE"""),3.0)</f>
        <v>3</v>
      </c>
      <c r="AE857" s="10">
        <f>IFERROR(__xludf.DUMMYFUNCTION("""COMPUTED_VALUE"""),4.0)</f>
        <v>4</v>
      </c>
      <c r="AF857" s="10">
        <f>IFERROR(__xludf.DUMMYFUNCTION("""COMPUTED_VALUE"""),8.0)</f>
        <v>8</v>
      </c>
      <c r="AG857" s="10">
        <f>IFERROR(__xludf.DUMMYFUNCTION("""COMPUTED_VALUE"""),6.0)</f>
        <v>6</v>
      </c>
      <c r="AH857" s="10">
        <f>IFERROR(__xludf.DUMMYFUNCTION("""COMPUTED_VALUE"""),6.0)</f>
        <v>6</v>
      </c>
      <c r="AI857" s="10">
        <f>IFERROR(__xludf.DUMMYFUNCTION("""COMPUTED_VALUE"""),6.0)</f>
        <v>6</v>
      </c>
      <c r="AJ857" s="11" t="str">
        <f>IFERROR(__xludf.DUMMYFUNCTION("""COMPUTED_VALUE"""),"https://drive.google.com/open?id=14SpHemu4ZjwaDGjMAcprJK1Qc9KSvRFl")</f>
        <v>https://drive.google.com/open?id=14SpHemu4ZjwaDGjMAcprJK1Qc9KSvRFl</v>
      </c>
      <c r="AK857" s="12"/>
      <c r="AL857" s="12" t="str">
        <f>IFERROR(__xludf.DUMMYFUNCTION("""COMPUTED_VALUE"""),"Yes")</f>
        <v>Yes</v>
      </c>
      <c r="AM857" s="15">
        <f>IFERROR(__xludf.DUMMYFUNCTION("""COMPUTED_VALUE"""),0.4)</f>
        <v>0.4</v>
      </c>
      <c r="AN857" s="12" t="str">
        <f>IFERROR(__xludf.DUMMYFUNCTION("""COMPUTED_VALUE"""),"4th week")</f>
        <v>4th week</v>
      </c>
      <c r="AO857" s="13">
        <v>4.0</v>
      </c>
      <c r="AX857" s="17"/>
    </row>
    <row r="858">
      <c r="B858" s="9">
        <f>IFERROR(__xludf.DUMMYFUNCTION("""COMPUTED_VALUE"""),45971.58445217593)</f>
        <v>45971.58445</v>
      </c>
      <c r="C858" s="10" t="str">
        <f>IFERROR(__xludf.DUMMYFUNCTION("""COMPUTED_VALUE"""),"Sidra ")</f>
        <v>Sidra </v>
      </c>
      <c r="D858" s="10" t="str">
        <f>IFERROR(__xludf.DUMMYFUNCTION("""COMPUTED_VALUE"""),"03261416280")</f>
        <v>03261416280</v>
      </c>
      <c r="E858" s="10" t="str">
        <f>IFERROR(__xludf.DUMMYFUNCTION("""COMPUTED_VALUE"""),"Jamia Masjid Noor Tariqbaad")</f>
        <v>Jamia Masjid Noor Tariqbaad</v>
      </c>
      <c r="F858" s="10" t="str">
        <f>IFERROR(__xludf.DUMMYFUNCTION("""COMPUTED_VALUE"""),"tbthq")</f>
        <v>tbthq</v>
      </c>
      <c r="G858" s="10" t="str">
        <f>IFERROR(__xludf.DUMMYFUNCTION("""COMPUTED_VALUE"""),"Yes")</f>
        <v>Yes</v>
      </c>
      <c r="H858" s="10">
        <f>IFERROR(__xludf.DUMMYFUNCTION("""COMPUTED_VALUE"""),0.0)</f>
        <v>0</v>
      </c>
      <c r="I858" s="10">
        <f>IFERROR(__xludf.DUMMYFUNCTION("""COMPUTED_VALUE"""),10.0)</f>
        <v>10</v>
      </c>
      <c r="J858" s="10">
        <f>IFERROR(__xludf.DUMMYFUNCTION("""COMPUTED_VALUE"""),0.0)</f>
        <v>0</v>
      </c>
      <c r="K858" s="10">
        <f>IFERROR(__xludf.DUMMYFUNCTION("""COMPUTED_VALUE"""),0.0)</f>
        <v>0</v>
      </c>
      <c r="L858" s="10">
        <f>IFERROR(__xludf.DUMMYFUNCTION("""COMPUTED_VALUE"""),0.0)</f>
        <v>0</v>
      </c>
      <c r="M858" s="10">
        <f>IFERROR(__xludf.DUMMYFUNCTION("""COMPUTED_VALUE"""),0.0)</f>
        <v>0</v>
      </c>
      <c r="N858" s="10">
        <f>IFERROR(__xludf.DUMMYFUNCTION("""COMPUTED_VALUE"""),0.0)</f>
        <v>0</v>
      </c>
      <c r="O858" s="10">
        <f>IFERROR(__xludf.DUMMYFUNCTION("""COMPUTED_VALUE"""),0.0)</f>
        <v>0</v>
      </c>
      <c r="P858" s="10">
        <f>IFERROR(__xludf.DUMMYFUNCTION("""COMPUTED_VALUE"""),0.0)</f>
        <v>0</v>
      </c>
      <c r="Q858" s="10" t="str">
        <f>IFERROR(__xludf.DUMMYFUNCTION("""COMPUTED_VALUE"""),"No")</f>
        <v>No</v>
      </c>
      <c r="R858" s="10" t="str">
        <f>IFERROR(__xludf.DUMMYFUNCTION("""COMPUTED_VALUE"""),"No")</f>
        <v>No</v>
      </c>
      <c r="S858" s="10" t="str">
        <f>IFERROR(__xludf.DUMMYFUNCTION("""COMPUTED_VALUE"""),"No")</f>
        <v>No</v>
      </c>
      <c r="T858" s="10">
        <f>IFERROR(__xludf.DUMMYFUNCTION("""COMPUTED_VALUE"""),0.0)</f>
        <v>0</v>
      </c>
      <c r="U858" s="10">
        <f>IFERROR(__xludf.DUMMYFUNCTION("""COMPUTED_VALUE"""),0.0)</f>
        <v>0</v>
      </c>
      <c r="V858" s="10" t="str">
        <f>IFERROR(__xludf.DUMMYFUNCTION("""COMPUTED_VALUE"""),"قصہ یوسف ")</f>
        <v>قصہ یوسف </v>
      </c>
      <c r="W858" s="10" t="str">
        <f>IFERROR(__xludf.DUMMYFUNCTION("""COMPUTED_VALUE"""),"امام نے بیان میں بتایا ہے کہ حضرت یوسف علیہ السلام کو ان کے بھائیوں نے مل کر ان کو کنویں میں پھینک دیا جب کہ اپنے والد صاحب کو بتایا کہ یوسف کو بھیڑیے نے پکڑ لیا ہے لیکن ان کے والد صاحب کہتے کہ مجھے یوسف کی خوشبو آتی ہے وہ زندہ ہے دوسری طرف حضرت یوسف علیہ"&amp;" السلام مصر کے بادشاہ بن گئے۔ ")</f>
        <v>امام نے بیان میں بتایا ہے کہ حضرت یوسف علیہ السلام کو ان کے بھائیوں نے مل کر ان کو کنویں میں پھینک دیا جب کہ اپنے والد صاحب کو بتایا کہ یوسف کو بھیڑیے نے پکڑ لیا ہے لیکن ان کے والد صاحب کہتے کہ مجھے یوسف کی خوشبو آتی ہے وہ زندہ ہے دوسری طرف حضرت یوسف علیہ السلام مصر کے بادشاہ بن گئے۔ </v>
      </c>
      <c r="X858" s="10">
        <f>IFERROR(__xludf.DUMMYFUNCTION("""COMPUTED_VALUE"""),1.0)</f>
        <v>1</v>
      </c>
      <c r="Y858" s="10">
        <f>IFERROR(__xludf.DUMMYFUNCTION("""COMPUTED_VALUE"""),8.0)</f>
        <v>8</v>
      </c>
      <c r="Z858" s="10">
        <f>IFERROR(__xludf.DUMMYFUNCTION("""COMPUTED_VALUE"""),8.0)</f>
        <v>8</v>
      </c>
      <c r="AA858" s="10">
        <f>IFERROR(__xludf.DUMMYFUNCTION("""COMPUTED_VALUE"""),7.0)</f>
        <v>7</v>
      </c>
      <c r="AB858" s="10">
        <f>IFERROR(__xludf.DUMMYFUNCTION("""COMPUTED_VALUE"""),8.0)</f>
        <v>8</v>
      </c>
      <c r="AC858" s="10">
        <f>IFERROR(__xludf.DUMMYFUNCTION("""COMPUTED_VALUE"""),0.0)</f>
        <v>0</v>
      </c>
      <c r="AD858" s="10">
        <f>IFERROR(__xludf.DUMMYFUNCTION("""COMPUTED_VALUE"""),0.0)</f>
        <v>0</v>
      </c>
      <c r="AE858" s="10">
        <f>IFERROR(__xludf.DUMMYFUNCTION("""COMPUTED_VALUE"""),0.0)</f>
        <v>0</v>
      </c>
      <c r="AF858" s="10">
        <f>IFERROR(__xludf.DUMMYFUNCTION("""COMPUTED_VALUE"""),0.0)</f>
        <v>0</v>
      </c>
      <c r="AG858" s="10">
        <f>IFERROR(__xludf.DUMMYFUNCTION("""COMPUTED_VALUE"""),9.0)</f>
        <v>9</v>
      </c>
      <c r="AH858" s="10">
        <f>IFERROR(__xludf.DUMMYFUNCTION("""COMPUTED_VALUE"""),0.0)</f>
        <v>0</v>
      </c>
      <c r="AI858" s="10">
        <f>IFERROR(__xludf.DUMMYFUNCTION("""COMPUTED_VALUE"""),9.0)</f>
        <v>9</v>
      </c>
      <c r="AJ858" s="11" t="str">
        <f>IFERROR(__xludf.DUMMYFUNCTION("""COMPUTED_VALUE"""),"https://drive.google.com/open?id=1qogkpVI-cfHq4vef6OE70KgKOdKk7LI3bj9tfPBqo4c")</f>
        <v>https://drive.google.com/open?id=1qogkpVI-cfHq4vef6OE70KgKOdKk7LI3bj9tfPBqo4c</v>
      </c>
      <c r="AK858" s="12"/>
      <c r="AL858" s="12" t="str">
        <f>IFERROR(__xludf.DUMMYFUNCTION("""COMPUTED_VALUE"""),"Yes")</f>
        <v>Yes</v>
      </c>
      <c r="AM858" s="15">
        <f>IFERROR(__xludf.DUMMYFUNCTION("""COMPUTED_VALUE"""),0.0)</f>
        <v>0</v>
      </c>
      <c r="AN858" s="12" t="str">
        <f>IFERROR(__xludf.DUMMYFUNCTION("""COMPUTED_VALUE"""),"3rd week")</f>
        <v>3rd week</v>
      </c>
      <c r="AO858" s="13">
        <v>3.0</v>
      </c>
      <c r="AX858" s="17"/>
    </row>
    <row r="859">
      <c r="B859" s="9">
        <f>IFERROR(__xludf.DUMMYFUNCTION("""COMPUTED_VALUE"""),45971.765477650464)</f>
        <v>45971.76548</v>
      </c>
      <c r="C859" s="10" t="str">
        <f>IFERROR(__xludf.DUMMYFUNCTION("""COMPUTED_VALUE"""),"Saira Shahzad ")</f>
        <v>Saira Shahzad </v>
      </c>
      <c r="D859" s="10" t="str">
        <f>IFERROR(__xludf.DUMMYFUNCTION("""COMPUTED_VALUE"""),"03114534696")</f>
        <v>03114534696</v>
      </c>
      <c r="E859" s="10" t="str">
        <f>IFERROR(__xludf.DUMMYFUNCTION("""COMPUTED_VALUE"""),"Jamia Masjid Haji Muhammad Din Shorkot Cant")</f>
        <v>Jamia Masjid Haji Muhammad Din Shorkot Cant</v>
      </c>
      <c r="F859" s="10" t="str">
        <f>IFERROR(__xludf.DUMMYFUNCTION("""COMPUTED_VALUE"""),"lsqfy")</f>
        <v>lsqfy</v>
      </c>
      <c r="G859" s="10" t="str">
        <f>IFERROR(__xludf.DUMMYFUNCTION("""COMPUTED_VALUE"""),"Yes")</f>
        <v>Yes</v>
      </c>
      <c r="H859" s="10">
        <f>IFERROR(__xludf.DUMMYFUNCTION("""COMPUTED_VALUE"""),0.0)</f>
        <v>0</v>
      </c>
      <c r="I859" s="10">
        <f>IFERROR(__xludf.DUMMYFUNCTION("""COMPUTED_VALUE"""),10.0)</f>
        <v>10</v>
      </c>
      <c r="J859" s="10">
        <f>IFERROR(__xludf.DUMMYFUNCTION("""COMPUTED_VALUE"""),0.0)</f>
        <v>0</v>
      </c>
      <c r="K859" s="10">
        <f>IFERROR(__xludf.DUMMYFUNCTION("""COMPUTED_VALUE"""),3.0)</f>
        <v>3</v>
      </c>
      <c r="L859" s="10">
        <f>IFERROR(__xludf.DUMMYFUNCTION("""COMPUTED_VALUE"""),0.0)</f>
        <v>0</v>
      </c>
      <c r="M859" s="10">
        <f>IFERROR(__xludf.DUMMYFUNCTION("""COMPUTED_VALUE"""),2.0)</f>
        <v>2</v>
      </c>
      <c r="N859" s="10">
        <f>IFERROR(__xludf.DUMMYFUNCTION("""COMPUTED_VALUE"""),0.0)</f>
        <v>0</v>
      </c>
      <c r="O859" s="10">
        <f>IFERROR(__xludf.DUMMYFUNCTION("""COMPUTED_VALUE"""),0.0)</f>
        <v>0</v>
      </c>
      <c r="P859" s="10">
        <f>IFERROR(__xludf.DUMMYFUNCTION("""COMPUTED_VALUE"""),0.0)</f>
        <v>0</v>
      </c>
      <c r="Q859" s="10" t="str">
        <f>IFERROR(__xludf.DUMMYFUNCTION("""COMPUTED_VALUE"""),"No")</f>
        <v>No</v>
      </c>
      <c r="R859" s="10" t="str">
        <f>IFERROR(__xludf.DUMMYFUNCTION("""COMPUTED_VALUE"""),"No")</f>
        <v>No</v>
      </c>
      <c r="S859" s="10" t="str">
        <f>IFERROR(__xludf.DUMMYFUNCTION("""COMPUTED_VALUE"""),"No")</f>
        <v>No</v>
      </c>
      <c r="T859" s="10">
        <f>IFERROR(__xludf.DUMMYFUNCTION("""COMPUTED_VALUE"""),0.0)</f>
        <v>0</v>
      </c>
      <c r="U859" s="10">
        <f>IFERROR(__xludf.DUMMYFUNCTION("""COMPUTED_VALUE"""),0.0)</f>
        <v>0</v>
      </c>
      <c r="V859" s="10" t="str">
        <f>IFERROR(__xludf.DUMMYFUNCTION("""COMPUTED_VALUE"""),"اللہ تعالی کی شان")</f>
        <v>اللہ تعالی کی شان</v>
      </c>
      <c r="W859" s="10" t="str">
        <f>IFERROR(__xludf.DUMMYFUNCTION("""COMPUTED_VALUE"""),"امام نے اپنے بیان کہ شروع میں بس تھوڑا سا عورتوں کے حقوق کے بارے میں بات کی کہ اسلام سے پہلے عورتوں کو کوئی مقام حاصل نہ تھا نبی پاک صلی اللہ علیہ والہ وسلم کی آمد کے بعد عورتوں کو ان کا مقام دیا گیا اور اس کے بعد پورا خطبہ امام نے اللہ تعالی کی شان بیان "&amp;"کی ہے کہ اللہ تعالی وحدہ لا شریک ہے اللہ کے سوا کوئی عبادت کے لائق نہیں اور اللہ واحد ہے اور نبی پاک صلی اللہ علیہ والہ وسلم کا بتایا کہ انہوں نے صحابہ کو کیسے اسلام کی راہ پر چلنے کے لیے تیار کیا کتنی محنت کی اور روز آخرت اللہ تعالی ہم سے حساب لے گا جو ک"&amp;"چھ ہم کرتے ہیں ان اعمال کا ")</f>
        <v>امام نے اپنے بیان کہ شروع میں بس تھوڑا سا عورتوں کے حقوق کے بارے میں بات کی کہ اسلام سے پہلے عورتوں کو کوئی مقام حاصل نہ تھا نبی پاک صلی اللہ علیہ والہ وسلم کی آمد کے بعد عورتوں کو ان کا مقام دیا گیا اور اس کے بعد پورا خطبہ امام نے اللہ تعالی کی شان بیان کی ہے کہ اللہ تعالی وحدہ لا شریک ہے اللہ کے سوا کوئی عبادت کے لائق نہیں اور اللہ واحد ہے اور نبی پاک صلی اللہ علیہ والہ وسلم کا بتایا کہ انہوں نے صحابہ کو کیسے اسلام کی راہ پر چلنے کے لیے تیار کیا کتنی محنت کی اور روز آخرت اللہ تعالی ہم سے حساب لے گا جو کچھ ہم کرتے ہیں ان اعمال کا </v>
      </c>
      <c r="X859" s="10">
        <f>IFERROR(__xludf.DUMMYFUNCTION("""COMPUTED_VALUE"""),1.0)</f>
        <v>1</v>
      </c>
      <c r="Y859" s="10">
        <f>IFERROR(__xludf.DUMMYFUNCTION("""COMPUTED_VALUE"""),2.0)</f>
        <v>2</v>
      </c>
      <c r="Z859" s="10">
        <f>IFERROR(__xludf.DUMMYFUNCTION("""COMPUTED_VALUE"""),2.0)</f>
        <v>2</v>
      </c>
      <c r="AA859" s="10">
        <f>IFERROR(__xludf.DUMMYFUNCTION("""COMPUTED_VALUE"""),7.0)</f>
        <v>7</v>
      </c>
      <c r="AB859" s="10">
        <f>IFERROR(__xludf.DUMMYFUNCTION("""COMPUTED_VALUE"""),5.0)</f>
        <v>5</v>
      </c>
      <c r="AC859" s="10">
        <f>IFERROR(__xludf.DUMMYFUNCTION("""COMPUTED_VALUE"""),0.0)</f>
        <v>0</v>
      </c>
      <c r="AD859" s="10">
        <f>IFERROR(__xludf.DUMMYFUNCTION("""COMPUTED_VALUE"""),0.0)</f>
        <v>0</v>
      </c>
      <c r="AE859" s="10">
        <f>IFERROR(__xludf.DUMMYFUNCTION("""COMPUTED_VALUE"""),1.0)</f>
        <v>1</v>
      </c>
      <c r="AF859" s="10">
        <f>IFERROR(__xludf.DUMMYFUNCTION("""COMPUTED_VALUE"""),6.0)</f>
        <v>6</v>
      </c>
      <c r="AG859" s="10">
        <f>IFERROR(__xludf.DUMMYFUNCTION("""COMPUTED_VALUE"""),7.0)</f>
        <v>7</v>
      </c>
      <c r="AH859" s="10">
        <f>IFERROR(__xludf.DUMMYFUNCTION("""COMPUTED_VALUE"""),0.0)</f>
        <v>0</v>
      </c>
      <c r="AI859" s="10">
        <f>IFERROR(__xludf.DUMMYFUNCTION("""COMPUTED_VALUE"""),7.0)</f>
        <v>7</v>
      </c>
      <c r="AJ859" s="11" t="str">
        <f>IFERROR(__xludf.DUMMYFUNCTION("""COMPUTED_VALUE"""),"https://drive.google.com/open?id=1L_s5mWAVdn2Bf5O2sxpyvg-_SeofUbguX_YaGLNh7W4")</f>
        <v>https://drive.google.com/open?id=1L_s5mWAVdn2Bf5O2sxpyvg-_SeofUbguX_YaGLNh7W4</v>
      </c>
      <c r="AK859" s="12" t="str">
        <f>IFERROR(__xludf.DUMMYFUNCTION("""COMPUTED_VALUE"""),"No")</f>
        <v>No</v>
      </c>
      <c r="AL859" s="12" t="str">
        <f>IFERROR(__xludf.DUMMYFUNCTION("""COMPUTED_VALUE"""),"No")</f>
        <v>No</v>
      </c>
      <c r="AM859" s="15">
        <f>IFERROR(__xludf.DUMMYFUNCTION("""COMPUTED_VALUE"""),0.0)</f>
        <v>0</v>
      </c>
      <c r="AN859" s="12" t="str">
        <f>IFERROR(__xludf.DUMMYFUNCTION("""COMPUTED_VALUE"""),"3rd week")</f>
        <v>3rd week</v>
      </c>
      <c r="AO859" s="13">
        <v>3.0</v>
      </c>
      <c r="AX859" s="17"/>
    </row>
    <row r="860">
      <c r="B860" s="9">
        <f>IFERROR(__xludf.DUMMYFUNCTION("""COMPUTED_VALUE"""),45971.781674004626)</f>
        <v>45971.78167</v>
      </c>
      <c r="C860" s="10" t="str">
        <f>IFERROR(__xludf.DUMMYFUNCTION("""COMPUTED_VALUE"""),"Maham")</f>
        <v>Maham</v>
      </c>
      <c r="D860" s="10" t="str">
        <f>IFERROR(__xludf.DUMMYFUNCTION("""COMPUTED_VALUE"""),"03218118680")</f>
        <v>03218118680</v>
      </c>
      <c r="E860" s="10" t="str">
        <f>IFERROR(__xludf.DUMMYFUNCTION("""COMPUTED_VALUE"""),"Jamia Masjid Gool Karyana Karkhana Bazar Faisalabad")</f>
        <v>Jamia Masjid Gool Karyana Karkhana Bazar Faisalabad</v>
      </c>
      <c r="F860" s="10" t="str">
        <f>IFERROR(__xludf.DUMMYFUNCTION("""COMPUTED_VALUE"""),"xlemr")</f>
        <v>xlemr</v>
      </c>
      <c r="G860" s="10" t="str">
        <f>IFERROR(__xludf.DUMMYFUNCTION("""COMPUTED_VALUE"""),"No")</f>
        <v>No</v>
      </c>
      <c r="H860" s="10"/>
      <c r="I860" s="10"/>
      <c r="J860" s="10"/>
      <c r="K860" s="10">
        <f>IFERROR(__xludf.DUMMYFUNCTION("""COMPUTED_VALUE"""),0.0)</f>
        <v>0</v>
      </c>
      <c r="L860" s="10">
        <f>IFERROR(__xludf.DUMMYFUNCTION("""COMPUTED_VALUE"""),0.0)</f>
        <v>0</v>
      </c>
      <c r="M860" s="10">
        <f>IFERROR(__xludf.DUMMYFUNCTION("""COMPUTED_VALUE"""),0.0)</f>
        <v>0</v>
      </c>
      <c r="N860" s="10">
        <f>IFERROR(__xludf.DUMMYFUNCTION("""COMPUTED_VALUE"""),0.0)</f>
        <v>0</v>
      </c>
      <c r="O860" s="10">
        <f>IFERROR(__xludf.DUMMYFUNCTION("""COMPUTED_VALUE"""),0.0)</f>
        <v>0</v>
      </c>
      <c r="P860" s="10">
        <f>IFERROR(__xludf.DUMMYFUNCTION("""COMPUTED_VALUE"""),0.0)</f>
        <v>0</v>
      </c>
      <c r="Q860" s="10" t="str">
        <f>IFERROR(__xludf.DUMMYFUNCTION("""COMPUTED_VALUE"""),"No")</f>
        <v>No</v>
      </c>
      <c r="R860" s="10" t="str">
        <f>IFERROR(__xludf.DUMMYFUNCTION("""COMPUTED_VALUE"""),"No")</f>
        <v>No</v>
      </c>
      <c r="S860" s="10" t="str">
        <f>IFERROR(__xludf.DUMMYFUNCTION("""COMPUTED_VALUE"""),"No")</f>
        <v>No</v>
      </c>
      <c r="T860" s="10">
        <f>IFERROR(__xludf.DUMMYFUNCTION("""COMPUTED_VALUE"""),0.0)</f>
        <v>0</v>
      </c>
      <c r="U860" s="10">
        <f>IFERROR(__xludf.DUMMYFUNCTION("""COMPUTED_VALUE"""),0.0)</f>
        <v>0</v>
      </c>
      <c r="V860" s="10" t="str">
        <f>IFERROR(__xludf.DUMMYFUNCTION("""COMPUTED_VALUE"""),"اللہ تعالی کی وحدانیت انسان کی سرکشی")</f>
        <v>اللہ تعالی کی وحدانیت انسان کی سرکشی</v>
      </c>
      <c r="W860" s="10" t="str">
        <f>IFERROR(__xludf.DUMMYFUNCTION("""COMPUTED_VALUE"""),"اللہ تعالی کی وحدانیت کو بیان کیا گیا انسان سرکش ہے اور کس سرکشی میں اپنے رب کو بھول جاتا ہے اللہ تعالی نے انسان کو اشرف المخلوقات پیدا کیا ہے اسے ہر چیز پر کائنات میں موجود ہر چرند پرند پھلوں پھولوں ہر چیز پر فضیلت بخشی ہے")</f>
        <v>اللہ تعالی کی وحدانیت کو بیان کیا گیا انسان سرکش ہے اور کس سرکشی میں اپنے رب کو بھول جاتا ہے اللہ تعالی نے انسان کو اشرف المخلوقات پیدا کیا ہے اسے ہر چیز پر کائنات میں موجود ہر چرند پرند پھلوں پھولوں ہر چیز پر فضیلت بخشی ہے</v>
      </c>
      <c r="X860" s="10">
        <f>IFERROR(__xludf.DUMMYFUNCTION("""COMPUTED_VALUE"""),8.0)</f>
        <v>8</v>
      </c>
      <c r="Y860" s="10">
        <f>IFERROR(__xludf.DUMMYFUNCTION("""COMPUTED_VALUE"""),3.0)</f>
        <v>3</v>
      </c>
      <c r="Z860" s="10">
        <f>IFERROR(__xludf.DUMMYFUNCTION("""COMPUTED_VALUE"""),3.0)</f>
        <v>3</v>
      </c>
      <c r="AA860" s="10">
        <f>IFERROR(__xludf.DUMMYFUNCTION("""COMPUTED_VALUE"""),9.0)</f>
        <v>9</v>
      </c>
      <c r="AB860" s="10">
        <f>IFERROR(__xludf.DUMMYFUNCTION("""COMPUTED_VALUE"""),6.0)</f>
        <v>6</v>
      </c>
      <c r="AC860" s="10">
        <f>IFERROR(__xludf.DUMMYFUNCTION("""COMPUTED_VALUE"""),0.0)</f>
        <v>0</v>
      </c>
      <c r="AD860" s="10">
        <f>IFERROR(__xludf.DUMMYFUNCTION("""COMPUTED_VALUE"""),2.0)</f>
        <v>2</v>
      </c>
      <c r="AE860" s="10">
        <f>IFERROR(__xludf.DUMMYFUNCTION("""COMPUTED_VALUE"""),0.0)</f>
        <v>0</v>
      </c>
      <c r="AF860" s="10">
        <f>IFERROR(__xludf.DUMMYFUNCTION("""COMPUTED_VALUE"""),7.0)</f>
        <v>7</v>
      </c>
      <c r="AG860" s="10">
        <f>IFERROR(__xludf.DUMMYFUNCTION("""COMPUTED_VALUE"""),8.0)</f>
        <v>8</v>
      </c>
      <c r="AH860" s="10">
        <f>IFERROR(__xludf.DUMMYFUNCTION("""COMPUTED_VALUE"""),0.0)</f>
        <v>0</v>
      </c>
      <c r="AI860" s="10">
        <f>IFERROR(__xludf.DUMMYFUNCTION("""COMPUTED_VALUE"""),9.0)</f>
        <v>9</v>
      </c>
      <c r="AJ860" s="11" t="str">
        <f>IFERROR(__xludf.DUMMYFUNCTION("""COMPUTED_VALUE"""),"https://drive.google.com/open?id=1U5lmkNQQqP-qSWCVODj3B2vOTmHPtPj_")</f>
        <v>https://drive.google.com/open?id=1U5lmkNQQqP-qSWCVODj3B2vOTmHPtPj_</v>
      </c>
      <c r="AK860" s="12"/>
      <c r="AL860" s="12"/>
      <c r="AM860" s="12"/>
      <c r="AN860" s="12" t="str">
        <f>IFERROR(__xludf.DUMMYFUNCTION("""COMPUTED_VALUE"""),"3rd week")</f>
        <v>3rd week</v>
      </c>
      <c r="AO860" s="13">
        <v>3.0</v>
      </c>
      <c r="AX860" s="17"/>
    </row>
    <row r="861">
      <c r="B861" s="9">
        <f>IFERROR(__xludf.DUMMYFUNCTION("""COMPUTED_VALUE"""),45971.860924293986)</f>
        <v>45971.86092</v>
      </c>
      <c r="C861" s="10" t="str">
        <f>IFERROR(__xludf.DUMMYFUNCTION("""COMPUTED_VALUE"""),"Maham")</f>
        <v>Maham</v>
      </c>
      <c r="D861" s="10" t="str">
        <f>IFERROR(__xludf.DUMMYFUNCTION("""COMPUTED_VALUE"""),"03218118680")</f>
        <v>03218118680</v>
      </c>
      <c r="E861" s="10" t="str">
        <f>IFERROR(__xludf.DUMMYFUNCTION("""COMPUTED_VALUE"""),"Jamia Masjid Muhammadiya Chastiya Makwana Faisalabad")</f>
        <v>Jamia Masjid Muhammadiya Chastiya Makwana Faisalabad</v>
      </c>
      <c r="F861" s="10" t="str">
        <f>IFERROR(__xludf.DUMMYFUNCTION("""COMPUTED_VALUE"""),"cegdy")</f>
        <v>cegdy</v>
      </c>
      <c r="G861" s="10" t="str">
        <f>IFERROR(__xludf.DUMMYFUNCTION("""COMPUTED_VALUE"""),"Yes")</f>
        <v>Yes</v>
      </c>
      <c r="H861" s="10">
        <f>IFERROR(__xludf.DUMMYFUNCTION("""COMPUTED_VALUE"""),1.0)</f>
        <v>1</v>
      </c>
      <c r="I861" s="10">
        <f>IFERROR(__xludf.DUMMYFUNCTION("""COMPUTED_VALUE"""),9.0)</f>
        <v>9</v>
      </c>
      <c r="J861" s="10">
        <f>IFERROR(__xludf.DUMMYFUNCTION("""COMPUTED_VALUE"""),6.0)</f>
        <v>6</v>
      </c>
      <c r="K861" s="10">
        <f>IFERROR(__xludf.DUMMYFUNCTION("""COMPUTED_VALUE"""),2.0)</f>
        <v>2</v>
      </c>
      <c r="L861" s="10">
        <f>IFERROR(__xludf.DUMMYFUNCTION("""COMPUTED_VALUE"""),6.0)</f>
        <v>6</v>
      </c>
      <c r="M861" s="10">
        <f>IFERROR(__xludf.DUMMYFUNCTION("""COMPUTED_VALUE"""),2.0)</f>
        <v>2</v>
      </c>
      <c r="N861" s="10">
        <f>IFERROR(__xludf.DUMMYFUNCTION("""COMPUTED_VALUE"""),4.0)</f>
        <v>4</v>
      </c>
      <c r="O861" s="10">
        <f>IFERROR(__xludf.DUMMYFUNCTION("""COMPUTED_VALUE"""),0.0)</f>
        <v>0</v>
      </c>
      <c r="P861" s="10">
        <f>IFERROR(__xludf.DUMMYFUNCTION("""COMPUTED_VALUE"""),3.0)</f>
        <v>3</v>
      </c>
      <c r="Q861" s="10" t="str">
        <f>IFERROR(__xludf.DUMMYFUNCTION("""COMPUTED_VALUE"""),"No")</f>
        <v>No</v>
      </c>
      <c r="R861" s="10" t="str">
        <f>IFERROR(__xludf.DUMMYFUNCTION("""COMPUTED_VALUE"""),"No")</f>
        <v>No</v>
      </c>
      <c r="S861" s="10" t="str">
        <f>IFERROR(__xludf.DUMMYFUNCTION("""COMPUTED_VALUE"""),"No")</f>
        <v>No</v>
      </c>
      <c r="T861" s="10">
        <f>IFERROR(__xludf.DUMMYFUNCTION("""COMPUTED_VALUE"""),0.0)</f>
        <v>0</v>
      </c>
      <c r="U861" s="10">
        <f>IFERROR(__xludf.DUMMYFUNCTION("""COMPUTED_VALUE"""),0.0)</f>
        <v>0</v>
      </c>
      <c r="V861" s="10" t="str">
        <f>IFERROR(__xludf.DUMMYFUNCTION("""COMPUTED_VALUE"""),"درود کی اہمیت پڑوسیوں کے حقوق")</f>
        <v>درود کی اہمیت پڑوسیوں کے حقوق</v>
      </c>
      <c r="W861" s="10" t="str">
        <f>IFERROR(__xludf.DUMMYFUNCTION("""COMPUTED_VALUE"""),"درود پاک کی اہمیت کو بیان کیا گیا پڑوسیوں کے حقوق کو بیان کیا گیا")</f>
        <v>درود پاک کی اہمیت کو بیان کیا گیا پڑوسیوں کے حقوق کو بیان کیا گیا</v>
      </c>
      <c r="X861" s="10">
        <f>IFERROR(__xludf.DUMMYFUNCTION("""COMPUTED_VALUE"""),6.0)</f>
        <v>6</v>
      </c>
      <c r="Y861" s="10">
        <f>IFERROR(__xludf.DUMMYFUNCTION("""COMPUTED_VALUE"""),7.0)</f>
        <v>7</v>
      </c>
      <c r="Z861" s="10">
        <f>IFERROR(__xludf.DUMMYFUNCTION("""COMPUTED_VALUE"""),5.0)</f>
        <v>5</v>
      </c>
      <c r="AA861" s="10">
        <f>IFERROR(__xludf.DUMMYFUNCTION("""COMPUTED_VALUE"""),9.0)</f>
        <v>9</v>
      </c>
      <c r="AB861" s="10">
        <f>IFERROR(__xludf.DUMMYFUNCTION("""COMPUTED_VALUE"""),8.0)</f>
        <v>8</v>
      </c>
      <c r="AC861" s="10">
        <f>IFERROR(__xludf.DUMMYFUNCTION("""COMPUTED_VALUE"""),2.0)</f>
        <v>2</v>
      </c>
      <c r="AD861" s="10">
        <f>IFERROR(__xludf.DUMMYFUNCTION("""COMPUTED_VALUE"""),4.0)</f>
        <v>4</v>
      </c>
      <c r="AE861" s="10">
        <f>IFERROR(__xludf.DUMMYFUNCTION("""COMPUTED_VALUE"""),1.0)</f>
        <v>1</v>
      </c>
      <c r="AF861" s="10">
        <f>IFERROR(__xludf.DUMMYFUNCTION("""COMPUTED_VALUE"""),5.0)</f>
        <v>5</v>
      </c>
      <c r="AG861" s="10">
        <f>IFERROR(__xludf.DUMMYFUNCTION("""COMPUTED_VALUE"""),7.0)</f>
        <v>7</v>
      </c>
      <c r="AH861" s="10">
        <f>IFERROR(__xludf.DUMMYFUNCTION("""COMPUTED_VALUE"""),0.0)</f>
        <v>0</v>
      </c>
      <c r="AI861" s="10">
        <f>IFERROR(__xludf.DUMMYFUNCTION("""COMPUTED_VALUE"""),9.0)</f>
        <v>9</v>
      </c>
      <c r="AJ861" s="11" t="str">
        <f>IFERROR(__xludf.DUMMYFUNCTION("""COMPUTED_VALUE"""),"https://drive.google.com/open?id=1UdH1828AOM6hA_gusH4HaQoLFlGBEZXV")</f>
        <v>https://drive.google.com/open?id=1UdH1828AOM6hA_gusH4HaQoLFlGBEZXV</v>
      </c>
      <c r="AK861" s="12" t="str">
        <f>IFERROR(__xludf.DUMMYFUNCTION("""COMPUTED_VALUE"""),"۔۔۔۔۔۔۔اس کا مطلب ہے کہ ان الفاظ کی صحیح سمجھ نہیں ائی امام صاحب کی اواز بہت بعض مقام پر اہستہ ہو جاتی کہ الفاظ کی سمجھ نہ اتی اس لیے غلط لکھنے سے بہتر ہے یہ۔۔۔۔")</f>
        <v>۔۔۔۔۔۔۔اس کا مطلب ہے کہ ان الفاظ کی صحیح سمجھ نہیں ائی امام صاحب کی اواز بہت بعض مقام پر اہستہ ہو جاتی کہ الفاظ کی سمجھ نہ اتی اس لیے غلط لکھنے سے بہتر ہے یہ۔۔۔۔</v>
      </c>
      <c r="AL861" s="12" t="str">
        <f>IFERROR(__xludf.DUMMYFUNCTION("""COMPUTED_VALUE"""),"Yes")</f>
        <v>Yes</v>
      </c>
      <c r="AM861" s="15">
        <f>IFERROR(__xludf.DUMMYFUNCTION("""COMPUTED_VALUE"""),0.5)</f>
        <v>0.5</v>
      </c>
      <c r="AN861" s="12" t="str">
        <f>IFERROR(__xludf.DUMMYFUNCTION("""COMPUTED_VALUE"""),"3rd week")</f>
        <v>3rd week</v>
      </c>
      <c r="AO861" s="13">
        <v>3.0</v>
      </c>
      <c r="AX861" s="17"/>
    </row>
    <row r="862">
      <c r="B862" s="9">
        <f>IFERROR(__xludf.DUMMYFUNCTION("""COMPUTED_VALUE"""),45972.01197709491)</f>
        <v>45972.01198</v>
      </c>
      <c r="C862" s="10" t="str">
        <f>IFERROR(__xludf.DUMMYFUNCTION("""COMPUTED_VALUE"""),"Atiqa ")</f>
        <v>Atiqa </v>
      </c>
      <c r="D862" s="10" t="str">
        <f>IFERROR(__xludf.DUMMYFUNCTION("""COMPUTED_VALUE"""),"03157519977")</f>
        <v>03157519977</v>
      </c>
      <c r="E862" s="10" t="str">
        <f>IFERROR(__xludf.DUMMYFUNCTION("""COMPUTED_VALUE"""),"Jamia Masjid Renalah Khurda Okara")</f>
        <v>Jamia Masjid Renalah Khurda Okara</v>
      </c>
      <c r="F862" s="10" t="str">
        <f>IFERROR(__xludf.DUMMYFUNCTION("""COMPUTED_VALUE"""),"RUJKZ")</f>
        <v>RUJKZ</v>
      </c>
      <c r="G862" s="10" t="str">
        <f>IFERROR(__xludf.DUMMYFUNCTION("""COMPUTED_VALUE"""),"Yes")</f>
        <v>Yes</v>
      </c>
      <c r="H862" s="10">
        <f>IFERROR(__xludf.DUMMYFUNCTION("""COMPUTED_VALUE"""),0.0)</f>
        <v>0</v>
      </c>
      <c r="I862" s="10">
        <f>IFERROR(__xludf.DUMMYFUNCTION("""COMPUTED_VALUE"""),10.0)</f>
        <v>10</v>
      </c>
      <c r="J862" s="10">
        <f>IFERROR(__xludf.DUMMYFUNCTION("""COMPUTED_VALUE"""),0.0)</f>
        <v>0</v>
      </c>
      <c r="K862" s="10">
        <f>IFERROR(__xludf.DUMMYFUNCTION("""COMPUTED_VALUE"""),0.0)</f>
        <v>0</v>
      </c>
      <c r="L862" s="10">
        <f>IFERROR(__xludf.DUMMYFUNCTION("""COMPUTED_VALUE"""),0.0)</f>
        <v>0</v>
      </c>
      <c r="M862" s="10">
        <f>IFERROR(__xludf.DUMMYFUNCTION("""COMPUTED_VALUE"""),0.0)</f>
        <v>0</v>
      </c>
      <c r="N862" s="10">
        <f>IFERROR(__xludf.DUMMYFUNCTION("""COMPUTED_VALUE"""),0.0)</f>
        <v>0</v>
      </c>
      <c r="O862" s="10">
        <f>IFERROR(__xludf.DUMMYFUNCTION("""COMPUTED_VALUE"""),0.0)</f>
        <v>0</v>
      </c>
      <c r="P862" s="10">
        <f>IFERROR(__xludf.DUMMYFUNCTION("""COMPUTED_VALUE"""),0.0)</f>
        <v>0</v>
      </c>
      <c r="Q862" s="10" t="str">
        <f>IFERROR(__xludf.DUMMYFUNCTION("""COMPUTED_VALUE"""),"No")</f>
        <v>No</v>
      </c>
      <c r="R862" s="10" t="str">
        <f>IFERROR(__xludf.DUMMYFUNCTION("""COMPUTED_VALUE"""),"No")</f>
        <v>No</v>
      </c>
      <c r="S862" s="10" t="str">
        <f>IFERROR(__xludf.DUMMYFUNCTION("""COMPUTED_VALUE"""),"No")</f>
        <v>No</v>
      </c>
      <c r="T862" s="10">
        <f>IFERROR(__xludf.DUMMYFUNCTION("""COMPUTED_VALUE"""),0.0)</f>
        <v>0</v>
      </c>
      <c r="U862" s="10">
        <f>IFERROR(__xludf.DUMMYFUNCTION("""COMPUTED_VALUE"""),0.0)</f>
        <v>0</v>
      </c>
      <c r="V862" s="10" t="str">
        <f>IFERROR(__xludf.DUMMYFUNCTION("""COMPUTED_VALUE"""),"۱۔ غوث الثقلین عبدالقادر جیلانی رحمت اللہ کا مقام ۲۔کفار کا اپ صلی اللہ علیہ وسلم کا انکار کرنا ۔ دین اسلام کی حدود اور شریعت پر عمل پیرا ہونا ")</f>
        <v>۱۔ غوث الثقلین عبدالقادر جیلانی رحمت اللہ کا مقام ۲۔کفار کا اپ صلی اللہ علیہ وسلم کا انکار کرنا ۔ دین اسلام کی حدود اور شریعت پر عمل پیرا ہونا </v>
      </c>
      <c r="W862" s="10" t="str">
        <f>IFERROR(__xludf.DUMMYFUNCTION("""COMPUTED_VALUE"""),"امام نے بیان کیا کہ اللہ تبارک و تعالی نے عبدالقادر جیلانی کو اپ صلی اللہ علیہ وسلم کی اولاد میں سے پیدا فرمایا اور اپ کے والدین کو پہلے ہی اپ صلی اللہ علیہ والہ وسلم نے خواب میں اپ کی بشارت دی ، اور یہ بیان کیا ہے کہ کفار موت کو منکر نکیر اور قبر کو مانت"&amp;"ے صرف دشمنی ان کی محمد صلی اللہ علیہ وسلم سے ہے جو ان کا انکار کرتے ہیں ، اور امام نے یہ بیان کیا کہ جب کوئی بھی شخص دائرہ اسلام میں کلمہ پڑھ کے داخل ہو جاتا پھر اس پر کچھ حدود اور پابندی لاگو ہوتی کہ اس سے دین اسلام کے مطابق چلنا پڑتا، ")</f>
        <v>امام نے بیان کیا کہ اللہ تبارک و تعالی نے عبدالقادر جیلانی کو اپ صلی اللہ علیہ وسلم کی اولاد میں سے پیدا فرمایا اور اپ کے والدین کو پہلے ہی اپ صلی اللہ علیہ والہ وسلم نے خواب میں اپ کی بشارت دی ، اور یہ بیان کیا ہے کہ کفار موت کو منکر نکیر اور قبر کو مانتے صرف دشمنی ان کی محمد صلی اللہ علیہ وسلم سے ہے جو ان کا انکار کرتے ہیں ، اور امام نے یہ بیان کیا کہ جب کوئی بھی شخص دائرہ اسلام میں کلمہ پڑھ کے داخل ہو جاتا پھر اس پر کچھ حدود اور پابندی لاگو ہوتی کہ اس سے دین اسلام کے مطابق چلنا پڑتا، </v>
      </c>
      <c r="X862" s="10">
        <f>IFERROR(__xludf.DUMMYFUNCTION("""COMPUTED_VALUE"""),6.0)</f>
        <v>6</v>
      </c>
      <c r="Y862" s="10">
        <f>IFERROR(__xludf.DUMMYFUNCTION("""COMPUTED_VALUE"""),4.0)</f>
        <v>4</v>
      </c>
      <c r="Z862" s="10">
        <f>IFERROR(__xludf.DUMMYFUNCTION("""COMPUTED_VALUE"""),6.0)</f>
        <v>6</v>
      </c>
      <c r="AA862" s="10">
        <f>IFERROR(__xludf.DUMMYFUNCTION("""COMPUTED_VALUE"""),8.0)</f>
        <v>8</v>
      </c>
      <c r="AB862" s="10">
        <f>IFERROR(__xludf.DUMMYFUNCTION("""COMPUTED_VALUE"""),7.0)</f>
        <v>7</v>
      </c>
      <c r="AC862" s="10">
        <f>IFERROR(__xludf.DUMMYFUNCTION("""COMPUTED_VALUE"""),2.0)</f>
        <v>2</v>
      </c>
      <c r="AD862" s="10">
        <f>IFERROR(__xludf.DUMMYFUNCTION("""COMPUTED_VALUE"""),0.0)</f>
        <v>0</v>
      </c>
      <c r="AE862" s="10">
        <f>IFERROR(__xludf.DUMMYFUNCTION("""COMPUTED_VALUE"""),4.0)</f>
        <v>4</v>
      </c>
      <c r="AF862" s="10">
        <f>IFERROR(__xludf.DUMMYFUNCTION("""COMPUTED_VALUE"""),5.0)</f>
        <v>5</v>
      </c>
      <c r="AG862" s="10">
        <f>IFERROR(__xludf.DUMMYFUNCTION("""COMPUTED_VALUE"""),8.0)</f>
        <v>8</v>
      </c>
      <c r="AH862" s="10">
        <f>IFERROR(__xludf.DUMMYFUNCTION("""COMPUTED_VALUE"""),0.0)</f>
        <v>0</v>
      </c>
      <c r="AI862" s="10">
        <f>IFERROR(__xludf.DUMMYFUNCTION("""COMPUTED_VALUE"""),8.0)</f>
        <v>8</v>
      </c>
      <c r="AJ862" s="11" t="str">
        <f>IFERROR(__xludf.DUMMYFUNCTION("""COMPUTED_VALUE"""),"https://drive.google.com/open?id=1ErRkIyICBfLBz23guGFV6y1K1_ZKE5ZGjeyntfvoY2Y")</f>
        <v>https://drive.google.com/open?id=1ErRkIyICBfLBz23guGFV6y1K1_ZKE5ZGjeyntfvoY2Y</v>
      </c>
      <c r="AK862" s="12"/>
      <c r="AL862" s="12" t="str">
        <f>IFERROR(__xludf.DUMMYFUNCTION("""COMPUTED_VALUE"""),"Yes")</f>
        <v>Yes</v>
      </c>
      <c r="AM862" s="15">
        <f>IFERROR(__xludf.DUMMYFUNCTION("""COMPUTED_VALUE"""),0.0)</f>
        <v>0</v>
      </c>
      <c r="AN862" s="12" t="str">
        <f>IFERROR(__xludf.DUMMYFUNCTION("""COMPUTED_VALUE"""),"3rd week")</f>
        <v>3rd week</v>
      </c>
      <c r="AO862" s="13">
        <v>3.0</v>
      </c>
      <c r="AX862" s="17"/>
    </row>
    <row r="863">
      <c r="B863" s="9">
        <f>IFERROR(__xludf.DUMMYFUNCTION("""COMPUTED_VALUE"""),45972.0672455787)</f>
        <v>45972.06725</v>
      </c>
      <c r="C863" s="10" t="str">
        <f>IFERROR(__xludf.DUMMYFUNCTION("""COMPUTED_VALUE"""),"Atiqa ")</f>
        <v>Atiqa </v>
      </c>
      <c r="D863" s="10" t="str">
        <f>IFERROR(__xludf.DUMMYFUNCTION("""COMPUTED_VALUE"""),"03157519977")</f>
        <v>03157519977</v>
      </c>
      <c r="E863" s="10" t="str">
        <f>IFERROR(__xludf.DUMMYFUNCTION("""COMPUTED_VALUE"""),"Jamia Masjid Usmanai Gol Chowk Okara")</f>
        <v>Jamia Masjid Usmanai Gol Chowk Okara</v>
      </c>
      <c r="F863" s="10" t="str">
        <f>IFERROR(__xludf.DUMMYFUNCTION("""COMPUTED_VALUE"""),"kgqjv")</f>
        <v>kgqjv</v>
      </c>
      <c r="G863" s="10" t="str">
        <f>IFERROR(__xludf.DUMMYFUNCTION("""COMPUTED_VALUE"""),"Yes")</f>
        <v>Yes</v>
      </c>
      <c r="H863" s="10">
        <f>IFERROR(__xludf.DUMMYFUNCTION("""COMPUTED_VALUE"""),8.0)</f>
        <v>8</v>
      </c>
      <c r="I863" s="10">
        <f>IFERROR(__xludf.DUMMYFUNCTION("""COMPUTED_VALUE"""),1.0)</f>
        <v>1</v>
      </c>
      <c r="J863" s="10">
        <f>IFERROR(__xludf.DUMMYFUNCTION("""COMPUTED_VALUE"""),10.0)</f>
        <v>10</v>
      </c>
      <c r="K863" s="10">
        <f>IFERROR(__xludf.DUMMYFUNCTION("""COMPUTED_VALUE"""),0.0)</f>
        <v>0</v>
      </c>
      <c r="L863" s="10">
        <f>IFERROR(__xludf.DUMMYFUNCTION("""COMPUTED_VALUE"""),10.0)</f>
        <v>10</v>
      </c>
      <c r="M863" s="10">
        <f>IFERROR(__xludf.DUMMYFUNCTION("""COMPUTED_VALUE"""),0.0)</f>
        <v>0</v>
      </c>
      <c r="N863" s="10">
        <f>IFERROR(__xludf.DUMMYFUNCTION("""COMPUTED_VALUE"""),9.0)</f>
        <v>9</v>
      </c>
      <c r="O863" s="10">
        <f>IFERROR(__xludf.DUMMYFUNCTION("""COMPUTED_VALUE"""),0.0)</f>
        <v>0</v>
      </c>
      <c r="P863" s="10">
        <f>IFERROR(__xludf.DUMMYFUNCTION("""COMPUTED_VALUE"""),0.0)</f>
        <v>0</v>
      </c>
      <c r="Q863" s="10" t="str">
        <f>IFERROR(__xludf.DUMMYFUNCTION("""COMPUTED_VALUE"""),"No")</f>
        <v>No</v>
      </c>
      <c r="R863" s="10" t="str">
        <f>IFERROR(__xludf.DUMMYFUNCTION("""COMPUTED_VALUE"""),"No")</f>
        <v>No</v>
      </c>
      <c r="S863" s="10" t="str">
        <f>IFERROR(__xludf.DUMMYFUNCTION("""COMPUTED_VALUE"""),"No")</f>
        <v>No</v>
      </c>
      <c r="T863" s="10">
        <f>IFERROR(__xludf.DUMMYFUNCTION("""COMPUTED_VALUE"""),0.0)</f>
        <v>0</v>
      </c>
      <c r="U863" s="10">
        <f>IFERROR(__xludf.DUMMYFUNCTION("""COMPUTED_VALUE"""),0.0)</f>
        <v>0</v>
      </c>
      <c r="V863" s="10" t="str">
        <f>IFERROR(__xludf.DUMMYFUNCTION("""COMPUTED_VALUE"""),"پڑوسیوں کے حقوق ")</f>
        <v>پڑوسیوں کے حقوق </v>
      </c>
      <c r="W863" s="10" t="str">
        <f>IFERROR(__xludf.DUMMYFUNCTION("""COMPUTED_VALUE"""),"امام نے سب سے پہلے قربانی ایات بیان کی جس میں اللہ کی بندگی کرنے اور ساتھ قرابت داروں رشتہ داروں اور پڑوس کے ساتھ اچھا سلوک کرنے کا درس دیا گیا، کہ پروسی ایک دوسرے کے غمی خوشی میں شرکت کریں ضرورت پڑنے پر ضرورت پوری کریں اور کوئی ایسا عمل نہ کرے جس سے پڑوس"&amp;"ی کو تکلیف پہنچے ، موسی علیہ السلام کا اللہ تبارک و تعالی کا پڑوسی کے متعلق استفسار کرنا اور اللہ رب العزت کا ایک قصائی کو اس کی ماں کی دعا کی برکت سے  پڑوسی قرار دینا، اور یہ کہ پڑوس ممالک کو بھی ایک دوسرے کا خیال کرنا چاہیے۔")</f>
        <v>امام نے سب سے پہلے قربانی ایات بیان کی جس میں اللہ کی بندگی کرنے اور ساتھ قرابت داروں رشتہ داروں اور پڑوس کے ساتھ اچھا سلوک کرنے کا درس دیا گیا، کہ پروسی ایک دوسرے کے غمی خوشی میں شرکت کریں ضرورت پڑنے پر ضرورت پوری کریں اور کوئی ایسا عمل نہ کرے جس سے پڑوسی کو تکلیف پہنچے ، موسی علیہ السلام کا اللہ تبارک و تعالی کا پڑوسی کے متعلق استفسار کرنا اور اللہ رب العزت کا ایک قصائی کو اس کی ماں کی دعا کی برکت سے  پڑوسی قرار دینا، اور یہ کہ پڑوس ممالک کو بھی ایک دوسرے کا خیال کرنا چاہیے۔</v>
      </c>
      <c r="X863" s="10">
        <f>IFERROR(__xludf.DUMMYFUNCTION("""COMPUTED_VALUE"""),2.0)</f>
        <v>2</v>
      </c>
      <c r="Y863" s="10">
        <f>IFERROR(__xludf.DUMMYFUNCTION("""COMPUTED_VALUE"""),9.0)</f>
        <v>9</v>
      </c>
      <c r="Z863" s="10">
        <f>IFERROR(__xludf.DUMMYFUNCTION("""COMPUTED_VALUE"""),8.0)</f>
        <v>8</v>
      </c>
      <c r="AA863" s="10">
        <f>IFERROR(__xludf.DUMMYFUNCTION("""COMPUTED_VALUE"""),7.0)</f>
        <v>7</v>
      </c>
      <c r="AB863" s="10">
        <f>IFERROR(__xludf.DUMMYFUNCTION("""COMPUTED_VALUE"""),7.0)</f>
        <v>7</v>
      </c>
      <c r="AC863" s="10">
        <f>IFERROR(__xludf.DUMMYFUNCTION("""COMPUTED_VALUE"""),1.0)</f>
        <v>1</v>
      </c>
      <c r="AD863" s="10">
        <f>IFERROR(__xludf.DUMMYFUNCTION("""COMPUTED_VALUE"""),0.0)</f>
        <v>0</v>
      </c>
      <c r="AE863" s="10">
        <f>IFERROR(__xludf.DUMMYFUNCTION("""COMPUTED_VALUE"""),2.0)</f>
        <v>2</v>
      </c>
      <c r="AF863" s="10">
        <f>IFERROR(__xludf.DUMMYFUNCTION("""COMPUTED_VALUE"""),0.0)</f>
        <v>0</v>
      </c>
      <c r="AG863" s="10">
        <f>IFERROR(__xludf.DUMMYFUNCTION("""COMPUTED_VALUE"""),8.0)</f>
        <v>8</v>
      </c>
      <c r="AH863" s="10">
        <f>IFERROR(__xludf.DUMMYFUNCTION("""COMPUTED_VALUE"""),0.0)</f>
        <v>0</v>
      </c>
      <c r="AI863" s="10">
        <f>IFERROR(__xludf.DUMMYFUNCTION("""COMPUTED_VALUE"""),9.0)</f>
        <v>9</v>
      </c>
      <c r="AJ863" s="11" t="str">
        <f>IFERROR(__xludf.DUMMYFUNCTION("""COMPUTED_VALUE"""),"https://drive.google.com/open?id=1-wTVwHJFwG1mFC4otxHiftj7LvmQwUGGhPaj8MMc14I")</f>
        <v>https://drive.google.com/open?id=1-wTVwHJFwG1mFC4otxHiftj7LvmQwUGGhPaj8MMc14I</v>
      </c>
      <c r="AK863" s="12"/>
      <c r="AL863" s="12" t="str">
        <f>IFERROR(__xludf.DUMMYFUNCTION("""COMPUTED_VALUE"""),"Yes")</f>
        <v>Yes</v>
      </c>
      <c r="AM863" s="15">
        <f>IFERROR(__xludf.DUMMYFUNCTION("""COMPUTED_VALUE"""),0.8)</f>
        <v>0.8</v>
      </c>
      <c r="AN863" s="12" t="str">
        <f>IFERROR(__xludf.DUMMYFUNCTION("""COMPUTED_VALUE"""),"5th week")</f>
        <v>5th week</v>
      </c>
      <c r="AO863" s="13">
        <v>5.0</v>
      </c>
      <c r="AX863" s="17"/>
    </row>
    <row r="864">
      <c r="B864" s="9">
        <f>IFERROR(__xludf.DUMMYFUNCTION("""COMPUTED_VALUE"""),45972.193139236115)</f>
        <v>45972.19314</v>
      </c>
      <c r="C864" s="10" t="str">
        <f>IFERROR(__xludf.DUMMYFUNCTION("""COMPUTED_VALUE"""),"Saira Shahzad ")</f>
        <v>Saira Shahzad </v>
      </c>
      <c r="D864" s="10" t="str">
        <f>IFERROR(__xludf.DUMMYFUNCTION("""COMPUTED_VALUE"""),"03114534696")</f>
        <v>03114534696</v>
      </c>
      <c r="E864" s="10" t="str">
        <f>IFERROR(__xludf.DUMMYFUNCTION("""COMPUTED_VALUE"""),"Jamia Masjid Rehmaniya Ali Town Sargodha Road Faisalabad")</f>
        <v>Jamia Masjid Rehmaniya Ali Town Sargodha Road Faisalabad</v>
      </c>
      <c r="F864" s="10" t="str">
        <f>IFERROR(__xludf.DUMMYFUNCTION("""COMPUTED_VALUE"""),"rdzla")</f>
        <v>rdzla</v>
      </c>
      <c r="G864" s="10" t="str">
        <f>IFERROR(__xludf.DUMMYFUNCTION("""COMPUTED_VALUE"""),"Yes")</f>
        <v>Yes</v>
      </c>
      <c r="H864" s="10">
        <f>IFERROR(__xludf.DUMMYFUNCTION("""COMPUTED_VALUE"""),3.0)</f>
        <v>3</v>
      </c>
      <c r="I864" s="10">
        <f>IFERROR(__xludf.DUMMYFUNCTION("""COMPUTED_VALUE"""),7.0)</f>
        <v>7</v>
      </c>
      <c r="J864" s="10">
        <f>IFERROR(__xludf.DUMMYFUNCTION("""COMPUTED_VALUE"""),3.0)</f>
        <v>3</v>
      </c>
      <c r="K864" s="10">
        <f>IFERROR(__xludf.DUMMYFUNCTION("""COMPUTED_VALUE"""),0.0)</f>
        <v>0</v>
      </c>
      <c r="L864" s="10">
        <f>IFERROR(__xludf.DUMMYFUNCTION("""COMPUTED_VALUE"""),2.0)</f>
        <v>2</v>
      </c>
      <c r="M864" s="10">
        <f>IFERROR(__xludf.DUMMYFUNCTION("""COMPUTED_VALUE"""),0.0)</f>
        <v>0</v>
      </c>
      <c r="N864" s="10">
        <f>IFERROR(__xludf.DUMMYFUNCTION("""COMPUTED_VALUE"""),2.0)</f>
        <v>2</v>
      </c>
      <c r="O864" s="10">
        <f>IFERROR(__xludf.DUMMYFUNCTION("""COMPUTED_VALUE"""),0.0)</f>
        <v>0</v>
      </c>
      <c r="P864" s="10">
        <f>IFERROR(__xludf.DUMMYFUNCTION("""COMPUTED_VALUE"""),1.0)</f>
        <v>1</v>
      </c>
      <c r="Q864" s="10" t="str">
        <f>IFERROR(__xludf.DUMMYFUNCTION("""COMPUTED_VALUE"""),"No")</f>
        <v>No</v>
      </c>
      <c r="R864" s="10" t="str">
        <f>IFERROR(__xludf.DUMMYFUNCTION("""COMPUTED_VALUE"""),"No")</f>
        <v>No</v>
      </c>
      <c r="S864" s="10" t="str">
        <f>IFERROR(__xludf.DUMMYFUNCTION("""COMPUTED_VALUE"""),"No")</f>
        <v>No</v>
      </c>
      <c r="T864" s="10">
        <f>IFERROR(__xludf.DUMMYFUNCTION("""COMPUTED_VALUE"""),0.0)</f>
        <v>0</v>
      </c>
      <c r="U864" s="10">
        <f>IFERROR(__xludf.DUMMYFUNCTION("""COMPUTED_VALUE"""),0.0)</f>
        <v>0</v>
      </c>
      <c r="V864" s="10" t="str">
        <f>IFERROR(__xludf.DUMMYFUNCTION("""COMPUTED_VALUE"""),"نبی پاک صلی اللہ علیہ والہ وسلم کی شان")</f>
        <v>نبی پاک صلی اللہ علیہ والہ وسلم کی شان</v>
      </c>
      <c r="W864" s="10" t="str">
        <f>IFERROR(__xludf.DUMMYFUNCTION("""COMPUTED_VALUE"""),"امام نے اپنے بیان میں نبی پاک صلی اللہ علیہ والہ وسلم کی شان بیان کی ہے کہ آپ کا اخلاق بہت اعلی تھا اور جب نبی پاک صلی اللہ علیہ والہ وسلم پر وحی نازل ہوئی تھی تو نبی پاک صلی اللہ علیہ والہ وسلم کی جو حالت تھی اس کو بیان کیا اور حضرت سیدنا خدیجہ رضی اللہ "&amp;"تعالی عنہا نے کیسے آپ کو حوصلہ دیا کہ آپ پریشان نہ ہوں کیونکہ آپ کا اخلاق اتنا اعلی ہے آپ کو کچھ نہیں ہوگا اور طوائف میں جو نبی پاک صلی اللہ علیہ والہ وسلم پر ظلم کیے گئے وہ واقعہ بیان کیا اور یہ بیان کیا کہ اسلام جو ہے وہ تلوار کی بنیاد پر نہیں بلکہ اخلا"&amp;"ق کی بنیاد پر پھیلا ایک دیہاتی صحابی کا واقعہ ہے اور فتح مکہ کے موقع پر جب نبی پاک صلی اللہ علیہ والہ وسلم نے معافی کا اعلان کیا اس کا واقعہ بیان کیا ہے اور بس تھوڑا سا پڑوسیوں کے حقوق کے بارے میں بتایا کہ جو پڑوسیوں کے ساتھ اچھا سلوک کرے گا اللہ تعالی اس"&amp;"ے جنت عطا کرے گا")</f>
        <v>امام نے اپنے بیان میں نبی پاک صلی اللہ علیہ والہ وسلم کی شان بیان کی ہے کہ آپ کا اخلاق بہت اعلی تھا اور جب نبی پاک صلی اللہ علیہ والہ وسلم پر وحی نازل ہوئی تھی تو نبی پاک صلی اللہ علیہ والہ وسلم کی جو حالت تھی اس کو بیان کیا اور حضرت سیدنا خدیجہ رضی اللہ تعالی عنہا نے کیسے آپ کو حوصلہ دیا کہ آپ پریشان نہ ہوں کیونکہ آپ کا اخلاق اتنا اعلی ہے آپ کو کچھ نہیں ہوگا اور طوائف میں جو نبی پاک صلی اللہ علیہ والہ وسلم پر ظلم کیے گئے وہ واقعہ بیان کیا اور یہ بیان کیا کہ اسلام جو ہے وہ تلوار کی بنیاد پر نہیں بلکہ اخلاق کی بنیاد پر پھیلا ایک دیہاتی صحابی کا واقعہ ہے اور فتح مکہ کے موقع پر جب نبی پاک صلی اللہ علیہ والہ وسلم نے معافی کا اعلان کیا اس کا واقعہ بیان کیا ہے اور بس تھوڑا سا پڑوسیوں کے حقوق کے بارے میں بتایا کہ جو پڑوسیوں کے ساتھ اچھا سلوک کرے گا اللہ تعالی اسے جنت عطا کرے گا</v>
      </c>
      <c r="X864" s="10">
        <f>IFERROR(__xludf.DUMMYFUNCTION("""COMPUTED_VALUE"""),1.0)</f>
        <v>1</v>
      </c>
      <c r="Y864" s="10">
        <f>IFERROR(__xludf.DUMMYFUNCTION("""COMPUTED_VALUE"""),3.0)</f>
        <v>3</v>
      </c>
      <c r="Z864" s="10">
        <f>IFERROR(__xludf.DUMMYFUNCTION("""COMPUTED_VALUE"""),2.0)</f>
        <v>2</v>
      </c>
      <c r="AA864" s="10">
        <f>IFERROR(__xludf.DUMMYFUNCTION("""COMPUTED_VALUE"""),7.0)</f>
        <v>7</v>
      </c>
      <c r="AB864" s="10">
        <f>IFERROR(__xludf.DUMMYFUNCTION("""COMPUTED_VALUE"""),6.0)</f>
        <v>6</v>
      </c>
      <c r="AC864" s="10">
        <f>IFERROR(__xludf.DUMMYFUNCTION("""COMPUTED_VALUE"""),1.0)</f>
        <v>1</v>
      </c>
      <c r="AD864" s="10">
        <f>IFERROR(__xludf.DUMMYFUNCTION("""COMPUTED_VALUE"""),0.0)</f>
        <v>0</v>
      </c>
      <c r="AE864" s="10">
        <f>IFERROR(__xludf.DUMMYFUNCTION("""COMPUTED_VALUE"""),2.0)</f>
        <v>2</v>
      </c>
      <c r="AF864" s="10">
        <f>IFERROR(__xludf.DUMMYFUNCTION("""COMPUTED_VALUE"""),7.0)</f>
        <v>7</v>
      </c>
      <c r="AG864" s="10">
        <f>IFERROR(__xludf.DUMMYFUNCTION("""COMPUTED_VALUE"""),8.0)</f>
        <v>8</v>
      </c>
      <c r="AH864" s="10">
        <f>IFERROR(__xludf.DUMMYFUNCTION("""COMPUTED_VALUE"""),0.0)</f>
        <v>0</v>
      </c>
      <c r="AI864" s="10">
        <f>IFERROR(__xludf.DUMMYFUNCTION("""COMPUTED_VALUE"""),8.0)</f>
        <v>8</v>
      </c>
      <c r="AJ864" s="11" t="str">
        <f>IFERROR(__xludf.DUMMYFUNCTION("""COMPUTED_VALUE"""),"https://drive.google.com/open?id=1fxo-xd87HTR1BHB-QUZZk1N5-KyP2u4pQG07R3mskUY")</f>
        <v>https://drive.google.com/open?id=1fxo-xd87HTR1BHB-QUZZk1N5-KyP2u4pQG07R3mskUY</v>
      </c>
      <c r="AK864" s="12" t="str">
        <f>IFERROR(__xludf.DUMMYFUNCTION("""COMPUTED_VALUE"""),"اما ہم نے پورا بیان پنجابی میں دیا اور اواز کلیئر نہیں تھی لکھنے میں مسئلہ ہوا ")</f>
        <v>اما ہم نے پورا بیان پنجابی میں دیا اور اواز کلیئر نہیں تھی لکھنے میں مسئلہ ہوا </v>
      </c>
      <c r="AL864" s="12" t="str">
        <f>IFERROR(__xludf.DUMMYFUNCTION("""COMPUTED_VALUE"""),"Yes")</f>
        <v>Yes</v>
      </c>
      <c r="AM864" s="15">
        <f>IFERROR(__xludf.DUMMYFUNCTION("""COMPUTED_VALUE"""),0.2)</f>
        <v>0.2</v>
      </c>
      <c r="AN864" s="12" t="str">
        <f>IFERROR(__xludf.DUMMYFUNCTION("""COMPUTED_VALUE"""),"4th week")</f>
        <v>4th week</v>
      </c>
      <c r="AO864" s="13">
        <v>4.0</v>
      </c>
      <c r="AX864" s="17"/>
    </row>
    <row r="865">
      <c r="B865" s="9">
        <f>IFERROR(__xludf.DUMMYFUNCTION("""COMPUTED_VALUE"""),45972.23018167824)</f>
        <v>45972.23018</v>
      </c>
      <c r="C865" s="10" t="str">
        <f>IFERROR(__xludf.DUMMYFUNCTION("""COMPUTED_VALUE"""),"Atiqa ")</f>
        <v>Atiqa </v>
      </c>
      <c r="D865" s="10" t="str">
        <f>IFERROR(__xludf.DUMMYFUNCTION("""COMPUTED_VALUE"""),"03157519977")</f>
        <v>03157519977</v>
      </c>
      <c r="E865" s="10" t="str">
        <f>IFERROR(__xludf.DUMMYFUNCTION("""COMPUTED_VALUE"""),"Jamia Masjid Galah Mandi Arifwala")</f>
        <v>Jamia Masjid Galah Mandi Arifwala</v>
      </c>
      <c r="F865" s="10" t="str">
        <f>IFERROR(__xludf.DUMMYFUNCTION("""COMPUTED_VALUE"""),"earra")</f>
        <v>earra</v>
      </c>
      <c r="G865" s="10" t="str">
        <f>IFERROR(__xludf.DUMMYFUNCTION("""COMPUTED_VALUE"""),"Yes")</f>
        <v>Yes</v>
      </c>
      <c r="H865" s="10">
        <f>IFERROR(__xludf.DUMMYFUNCTION("""COMPUTED_VALUE"""),0.0)</f>
        <v>0</v>
      </c>
      <c r="I865" s="10">
        <f>IFERROR(__xludf.DUMMYFUNCTION("""COMPUTED_VALUE"""),10.0)</f>
        <v>10</v>
      </c>
      <c r="J865" s="10">
        <f>IFERROR(__xludf.DUMMYFUNCTION("""COMPUTED_VALUE"""),0.0)</f>
        <v>0</v>
      </c>
      <c r="K865" s="10">
        <f>IFERROR(__xludf.DUMMYFUNCTION("""COMPUTED_VALUE"""),0.0)</f>
        <v>0</v>
      </c>
      <c r="L865" s="10">
        <f>IFERROR(__xludf.DUMMYFUNCTION("""COMPUTED_VALUE"""),0.0)</f>
        <v>0</v>
      </c>
      <c r="M865" s="10">
        <f>IFERROR(__xludf.DUMMYFUNCTION("""COMPUTED_VALUE"""),0.0)</f>
        <v>0</v>
      </c>
      <c r="N865" s="10">
        <f>IFERROR(__xludf.DUMMYFUNCTION("""COMPUTED_VALUE"""),0.0)</f>
        <v>0</v>
      </c>
      <c r="O865" s="10">
        <f>IFERROR(__xludf.DUMMYFUNCTION("""COMPUTED_VALUE"""),0.0)</f>
        <v>0</v>
      </c>
      <c r="P865" s="10">
        <f>IFERROR(__xludf.DUMMYFUNCTION("""COMPUTED_VALUE"""),0.0)</f>
        <v>0</v>
      </c>
      <c r="Q865" s="10" t="str">
        <f>IFERROR(__xludf.DUMMYFUNCTION("""COMPUTED_VALUE"""),"No")</f>
        <v>No</v>
      </c>
      <c r="R865" s="10" t="str">
        <f>IFERROR(__xludf.DUMMYFUNCTION("""COMPUTED_VALUE"""),"No")</f>
        <v>No</v>
      </c>
      <c r="S865" s="10" t="str">
        <f>IFERROR(__xludf.DUMMYFUNCTION("""COMPUTED_VALUE"""),"No")</f>
        <v>No</v>
      </c>
      <c r="T865" s="10">
        <f>IFERROR(__xludf.DUMMYFUNCTION("""COMPUTED_VALUE"""),0.0)</f>
        <v>0</v>
      </c>
      <c r="U865" s="10">
        <f>IFERROR(__xludf.DUMMYFUNCTION("""COMPUTED_VALUE"""),0.0)</f>
        <v>0</v>
      </c>
      <c r="V865" s="10" t="str">
        <f>IFERROR(__xludf.DUMMYFUNCTION("""COMPUTED_VALUE"""),"اللہ والوں کی پہچان اور اوصاف ")</f>
        <v>اللہ والوں کی پہچان اور اوصاف </v>
      </c>
      <c r="W865" s="10" t="str">
        <f>IFERROR(__xludf.DUMMYFUNCTION("""COMPUTED_VALUE"""),"امام نے سب سے پہلے بیان کیا کہ کتب بن الانسان کے مرتبے پر صرف غوث الاعظم عبدالقادر جیلانی رضی اللہ تعالی عنہ کی ذات فائز ہے، اور پھر اللہ کے نیک بندوں کے اعمال بیان کیے  اور کن گناہوں سے بچتے ہیں وہ بیان کیے،  کہ وہ زمین پر اہستہ چلتے، کثرت سے ریاضت کرتے "&amp;"ہیں اور اللہ کے حضور روتے ہیں وہ فضول خرچی نہیں کرتے اعتدال میں رہتے، زنا والے کاموں سے بچتے ، کسی بھی جان کو قتل نہیں کرتے سوا موزی جانور کے، اور جو گناہ گار پیر اور ولی بن کر بیٹھے ان سے بچنے کا کہا گیا۔")</f>
        <v>امام نے سب سے پہلے بیان کیا کہ کتب بن الانسان کے مرتبے پر صرف غوث الاعظم عبدالقادر جیلانی رضی اللہ تعالی عنہ کی ذات فائز ہے، اور پھر اللہ کے نیک بندوں کے اعمال بیان کیے  اور کن گناہوں سے بچتے ہیں وہ بیان کیے،  کہ وہ زمین پر اہستہ چلتے، کثرت سے ریاضت کرتے ہیں اور اللہ کے حضور روتے ہیں وہ فضول خرچی نہیں کرتے اعتدال میں رہتے، زنا والے کاموں سے بچتے ، کسی بھی جان کو قتل نہیں کرتے سوا موزی جانور کے، اور جو گناہ گار پیر اور ولی بن کر بیٹھے ان سے بچنے کا کہا گیا۔</v>
      </c>
      <c r="X865" s="10">
        <f>IFERROR(__xludf.DUMMYFUNCTION("""COMPUTED_VALUE"""),6.0)</f>
        <v>6</v>
      </c>
      <c r="Y865" s="10">
        <f>IFERROR(__xludf.DUMMYFUNCTION("""COMPUTED_VALUE"""),4.0)</f>
        <v>4</v>
      </c>
      <c r="Z865" s="10">
        <f>IFERROR(__xludf.DUMMYFUNCTION("""COMPUTED_VALUE"""),6.0)</f>
        <v>6</v>
      </c>
      <c r="AA865" s="10">
        <f>IFERROR(__xludf.DUMMYFUNCTION("""COMPUTED_VALUE"""),8.0)</f>
        <v>8</v>
      </c>
      <c r="AB865" s="10">
        <f>IFERROR(__xludf.DUMMYFUNCTION("""COMPUTED_VALUE"""),9.0)</f>
        <v>9</v>
      </c>
      <c r="AC865" s="10">
        <f>IFERROR(__xludf.DUMMYFUNCTION("""COMPUTED_VALUE"""),2.0)</f>
        <v>2</v>
      </c>
      <c r="AD865" s="10">
        <f>IFERROR(__xludf.DUMMYFUNCTION("""COMPUTED_VALUE"""),2.0)</f>
        <v>2</v>
      </c>
      <c r="AE865" s="10">
        <f>IFERROR(__xludf.DUMMYFUNCTION("""COMPUTED_VALUE"""),3.0)</f>
        <v>3</v>
      </c>
      <c r="AF865" s="10">
        <f>IFERROR(__xludf.DUMMYFUNCTION("""COMPUTED_VALUE"""),4.0)</f>
        <v>4</v>
      </c>
      <c r="AG865" s="10">
        <f>IFERROR(__xludf.DUMMYFUNCTION("""COMPUTED_VALUE"""),8.0)</f>
        <v>8</v>
      </c>
      <c r="AH865" s="10">
        <f>IFERROR(__xludf.DUMMYFUNCTION("""COMPUTED_VALUE"""),0.0)</f>
        <v>0</v>
      </c>
      <c r="AI865" s="10">
        <f>IFERROR(__xludf.DUMMYFUNCTION("""COMPUTED_VALUE"""),9.0)</f>
        <v>9</v>
      </c>
      <c r="AJ865" s="11" t="str">
        <f>IFERROR(__xludf.DUMMYFUNCTION("""COMPUTED_VALUE"""),"https://drive.google.com/open?id=1aCroiMlfljehvXXdSijrgOMFADsKk7Dav77gwi0PQyI")</f>
        <v>https://drive.google.com/open?id=1aCroiMlfljehvXXdSijrgOMFADsKk7Dav77gwi0PQyI</v>
      </c>
      <c r="AK865" s="12"/>
      <c r="AL865" s="12" t="str">
        <f>IFERROR(__xludf.DUMMYFUNCTION("""COMPUTED_VALUE"""),"Yes")</f>
        <v>Yes</v>
      </c>
      <c r="AM865" s="15">
        <f>IFERROR(__xludf.DUMMYFUNCTION("""COMPUTED_VALUE"""),0.0)</f>
        <v>0</v>
      </c>
      <c r="AN865" s="12" t="str">
        <f>IFERROR(__xludf.DUMMYFUNCTION("""COMPUTED_VALUE"""),"5th week")</f>
        <v>5th week</v>
      </c>
      <c r="AO865" s="13">
        <v>5.0</v>
      </c>
      <c r="AX865" s="17"/>
    </row>
    <row r="866">
      <c r="B866" s="9">
        <f>IFERROR(__xludf.DUMMYFUNCTION("""COMPUTED_VALUE"""),45972.41249636574)</f>
        <v>45972.4125</v>
      </c>
      <c r="C866" s="10" t="str">
        <f>IFERROR(__xludf.DUMMYFUNCTION("""COMPUTED_VALUE"""),"Atiqa ")</f>
        <v>Atiqa </v>
      </c>
      <c r="D866" s="10" t="str">
        <f>IFERROR(__xludf.DUMMYFUNCTION("""COMPUTED_VALUE"""),"03157519977")</f>
        <v>03157519977</v>
      </c>
      <c r="E866" s="10" t="str">
        <f>IFERROR(__xludf.DUMMYFUNCTION("""COMPUTED_VALUE"""),"Jamia Masjid Renalah Khurda Okara")</f>
        <v>Jamia Masjid Renalah Khurda Okara</v>
      </c>
      <c r="F866" s="10" t="str">
        <f>IFERROR(__xludf.DUMMYFUNCTION("""COMPUTED_VALUE"""),"rujkz")</f>
        <v>rujkz</v>
      </c>
      <c r="G866" s="10" t="str">
        <f>IFERROR(__xludf.DUMMYFUNCTION("""COMPUTED_VALUE"""),"Yes")</f>
        <v>Yes</v>
      </c>
      <c r="H866" s="10">
        <f>IFERROR(__xludf.DUMMYFUNCTION("""COMPUTED_VALUE"""),0.0)</f>
        <v>0</v>
      </c>
      <c r="I866" s="10">
        <f>IFERROR(__xludf.DUMMYFUNCTION("""COMPUTED_VALUE"""),10.0)</f>
        <v>10</v>
      </c>
      <c r="J866" s="10">
        <f>IFERROR(__xludf.DUMMYFUNCTION("""COMPUTED_VALUE"""),0.0)</f>
        <v>0</v>
      </c>
      <c r="K866" s="10">
        <f>IFERROR(__xludf.DUMMYFUNCTION("""COMPUTED_VALUE"""),0.0)</f>
        <v>0</v>
      </c>
      <c r="L866" s="10">
        <f>IFERROR(__xludf.DUMMYFUNCTION("""COMPUTED_VALUE"""),0.0)</f>
        <v>0</v>
      </c>
      <c r="M866" s="10">
        <f>IFERROR(__xludf.DUMMYFUNCTION("""COMPUTED_VALUE"""),0.0)</f>
        <v>0</v>
      </c>
      <c r="N866" s="10">
        <f>IFERROR(__xludf.DUMMYFUNCTION("""COMPUTED_VALUE"""),0.0)</f>
        <v>0</v>
      </c>
      <c r="O866" s="10">
        <f>IFERROR(__xludf.DUMMYFUNCTION("""COMPUTED_VALUE"""),0.0)</f>
        <v>0</v>
      </c>
      <c r="P866" s="10">
        <f>IFERROR(__xludf.DUMMYFUNCTION("""COMPUTED_VALUE"""),0.0)</f>
        <v>0</v>
      </c>
      <c r="Q866" s="10" t="str">
        <f>IFERROR(__xludf.DUMMYFUNCTION("""COMPUTED_VALUE"""),"No")</f>
        <v>No</v>
      </c>
      <c r="R866" s="10" t="str">
        <f>IFERROR(__xludf.DUMMYFUNCTION("""COMPUTED_VALUE"""),"No")</f>
        <v>No</v>
      </c>
      <c r="S866" s="10" t="str">
        <f>IFERROR(__xludf.DUMMYFUNCTION("""COMPUTED_VALUE"""),"No")</f>
        <v>No</v>
      </c>
      <c r="T866" s="10">
        <f>IFERROR(__xludf.DUMMYFUNCTION("""COMPUTED_VALUE"""),0.0)</f>
        <v>0</v>
      </c>
      <c r="U866" s="10">
        <f>IFERROR(__xludf.DUMMYFUNCTION("""COMPUTED_VALUE"""),0.0)</f>
        <v>0</v>
      </c>
      <c r="V866" s="10" t="str">
        <f>IFERROR(__xludf.DUMMYFUNCTION("""COMPUTED_VALUE"""),"اقا صلی اللہ علیہ والہ وسلم کے کمالات، معجزات اور حسن و جمال")</f>
        <v>اقا صلی اللہ علیہ والہ وسلم کے کمالات، معجزات اور حسن و جمال</v>
      </c>
      <c r="W866" s="10" t="str">
        <f>IFERROR(__xludf.DUMMYFUNCTION("""COMPUTED_VALUE"""),"امام نے سورہ وضحی کی پہلی دو ایات بیان کی اور پھر شاہ عبدالعزیز رحمۃ اللہ علیہ نے لفظ وضحی کے چار معنی بیان کیے، پہلا معنی حضور صلی اللہ علیہ والہ وسلم کا جلوہ گر ہونا،  پھر معنی حضور پاک صلی اللہ علیہ وسلم کا مجلس نور بیان کیا  جس میں حضور پاک صلی اللہ ع"&amp;"لیہ وسلم کا اپنے غلام وابصہ بن معبد اسدی کو پاس بلانا اور پھر اس کے سوال کرنے سے پہلے ہی جواب دے دینا، چاند کا اپ صلی اللہ علیہ وسلم کی انگلی کے اشارے پر انا، اور حضور پاک صلی اللہ علیہ والہ وسلم کے حسن جمال کو بیان کیا گیا ")</f>
        <v>امام نے سورہ وضحی کی پہلی دو ایات بیان کی اور پھر شاہ عبدالعزیز رحمۃ اللہ علیہ نے لفظ وضحی کے چار معنی بیان کیے، پہلا معنی حضور صلی اللہ علیہ والہ وسلم کا جلوہ گر ہونا،  پھر معنی حضور پاک صلی اللہ علیہ وسلم کا مجلس نور بیان کیا  جس میں حضور پاک صلی اللہ علیہ وسلم کا اپنے غلام وابصہ بن معبد اسدی کو پاس بلانا اور پھر اس کے سوال کرنے سے پہلے ہی جواب دے دینا، چاند کا اپ صلی اللہ علیہ وسلم کی انگلی کے اشارے پر انا، اور حضور پاک صلی اللہ علیہ والہ وسلم کے حسن جمال کو بیان کیا گیا </v>
      </c>
      <c r="X866" s="10">
        <f>IFERROR(__xludf.DUMMYFUNCTION("""COMPUTED_VALUE"""),7.0)</f>
        <v>7</v>
      </c>
      <c r="Y866" s="10">
        <f>IFERROR(__xludf.DUMMYFUNCTION("""COMPUTED_VALUE"""),3.0)</f>
        <v>3</v>
      </c>
      <c r="Z866" s="10">
        <f>IFERROR(__xludf.DUMMYFUNCTION("""COMPUTED_VALUE"""),3.0)</f>
        <v>3</v>
      </c>
      <c r="AA866" s="10">
        <f>IFERROR(__xludf.DUMMYFUNCTION("""COMPUTED_VALUE"""),8.0)</f>
        <v>8</v>
      </c>
      <c r="AB866" s="10">
        <f>IFERROR(__xludf.DUMMYFUNCTION("""COMPUTED_VALUE"""),8.0)</f>
        <v>8</v>
      </c>
      <c r="AC866" s="10">
        <f>IFERROR(__xludf.DUMMYFUNCTION("""COMPUTED_VALUE"""),0.0)</f>
        <v>0</v>
      </c>
      <c r="AD866" s="10">
        <f>IFERROR(__xludf.DUMMYFUNCTION("""COMPUTED_VALUE"""),0.0)</f>
        <v>0</v>
      </c>
      <c r="AE866" s="10">
        <f>IFERROR(__xludf.DUMMYFUNCTION("""COMPUTED_VALUE"""),0.0)</f>
        <v>0</v>
      </c>
      <c r="AF866" s="10">
        <f>IFERROR(__xludf.DUMMYFUNCTION("""COMPUTED_VALUE"""),2.0)</f>
        <v>2</v>
      </c>
      <c r="AG866" s="10">
        <f>IFERROR(__xludf.DUMMYFUNCTION("""COMPUTED_VALUE"""),8.0)</f>
        <v>8</v>
      </c>
      <c r="AH866" s="10">
        <f>IFERROR(__xludf.DUMMYFUNCTION("""COMPUTED_VALUE"""),0.0)</f>
        <v>0</v>
      </c>
      <c r="AI866" s="10">
        <f>IFERROR(__xludf.DUMMYFUNCTION("""COMPUTED_VALUE"""),8.0)</f>
        <v>8</v>
      </c>
      <c r="AJ866" s="11" t="str">
        <f>IFERROR(__xludf.DUMMYFUNCTION("""COMPUTED_VALUE"""),"https://drive.google.com/open?id=1NWOrCh2Eu6_k31zsGOn0-nxRk8Ra5tZekLWIWg6R8mw")</f>
        <v>https://drive.google.com/open?id=1NWOrCh2Eu6_k31zsGOn0-nxRk8Ra5tZekLWIWg6R8mw</v>
      </c>
      <c r="AK866" s="12" t="str">
        <f>IFERROR(__xludf.DUMMYFUNCTION("""COMPUTED_VALUE"""),"Ye week 6 tha")</f>
        <v>Ye week 6 tha</v>
      </c>
      <c r="AL866" s="12" t="str">
        <f>IFERROR(__xludf.DUMMYFUNCTION("""COMPUTED_VALUE"""),"Yes")</f>
        <v>Yes</v>
      </c>
      <c r="AM866" s="15">
        <f>IFERROR(__xludf.DUMMYFUNCTION("""COMPUTED_VALUE"""),0.0)</f>
        <v>0</v>
      </c>
      <c r="AN866" s="12" t="str">
        <f>IFERROR(__xludf.DUMMYFUNCTION("""COMPUTED_VALUE"""),"5th week")</f>
        <v>5th week</v>
      </c>
      <c r="AO866" s="13">
        <v>6.0</v>
      </c>
      <c r="AX866" s="17"/>
    </row>
    <row r="867">
      <c r="B867" s="9">
        <f>IFERROR(__xludf.DUMMYFUNCTION("""COMPUTED_VALUE"""),45972.618039849534)</f>
        <v>45972.61804</v>
      </c>
      <c r="C867" s="10" t="str">
        <f>IFERROR(__xludf.DUMMYFUNCTION("""COMPUTED_VALUE"""),"Saira Shahzad ")</f>
        <v>Saira Shahzad </v>
      </c>
      <c r="D867" s="10" t="str">
        <f>IFERROR(__xludf.DUMMYFUNCTION("""COMPUTED_VALUE"""),"03114534696")</f>
        <v>03114534696</v>
      </c>
      <c r="E867" s="10" t="str">
        <f>IFERROR(__xludf.DUMMYFUNCTION("""COMPUTED_VALUE"""),"Jamia Masjid Darbar Nathu Shah Sharazi Faisalabad")</f>
        <v>Jamia Masjid Darbar Nathu Shah Sharazi Faisalabad</v>
      </c>
      <c r="F867" s="10" t="str">
        <f>IFERROR(__xludf.DUMMYFUNCTION("""COMPUTED_VALUE"""),"rymqe")</f>
        <v>rymqe</v>
      </c>
      <c r="G867" s="10" t="str">
        <f>IFERROR(__xludf.DUMMYFUNCTION("""COMPUTED_VALUE"""),"Yes")</f>
        <v>Yes</v>
      </c>
      <c r="H867" s="10">
        <f>IFERROR(__xludf.DUMMYFUNCTION("""COMPUTED_VALUE"""),6.0)</f>
        <v>6</v>
      </c>
      <c r="I867" s="10">
        <f>IFERROR(__xludf.DUMMYFUNCTION("""COMPUTED_VALUE"""),4.0)</f>
        <v>4</v>
      </c>
      <c r="J867" s="10">
        <f>IFERROR(__xludf.DUMMYFUNCTION("""COMPUTED_VALUE"""),6.0)</f>
        <v>6</v>
      </c>
      <c r="K867" s="10">
        <f>IFERROR(__xludf.DUMMYFUNCTION("""COMPUTED_VALUE"""),0.0)</f>
        <v>0</v>
      </c>
      <c r="L867" s="10">
        <f>IFERROR(__xludf.DUMMYFUNCTION("""COMPUTED_VALUE"""),6.0)</f>
        <v>6</v>
      </c>
      <c r="M867" s="10">
        <f>IFERROR(__xludf.DUMMYFUNCTION("""COMPUTED_VALUE"""),0.0)</f>
        <v>0</v>
      </c>
      <c r="N867" s="10">
        <f>IFERROR(__xludf.DUMMYFUNCTION("""COMPUTED_VALUE"""),7.0)</f>
        <v>7</v>
      </c>
      <c r="O867" s="10">
        <f>IFERROR(__xludf.DUMMYFUNCTION("""COMPUTED_VALUE"""),0.0)</f>
        <v>0</v>
      </c>
      <c r="P867" s="10">
        <f>IFERROR(__xludf.DUMMYFUNCTION("""COMPUTED_VALUE"""),3.0)</f>
        <v>3</v>
      </c>
      <c r="Q867" s="10" t="str">
        <f>IFERROR(__xludf.DUMMYFUNCTION("""COMPUTED_VALUE"""),"No")</f>
        <v>No</v>
      </c>
      <c r="R867" s="10" t="str">
        <f>IFERROR(__xludf.DUMMYFUNCTION("""COMPUTED_VALUE"""),"No")</f>
        <v>No</v>
      </c>
      <c r="S867" s="10" t="str">
        <f>IFERROR(__xludf.DUMMYFUNCTION("""COMPUTED_VALUE"""),"No")</f>
        <v>No</v>
      </c>
      <c r="T867" s="10">
        <f>IFERROR(__xludf.DUMMYFUNCTION("""COMPUTED_VALUE"""),0.0)</f>
        <v>0</v>
      </c>
      <c r="U867" s="10">
        <f>IFERROR(__xludf.DUMMYFUNCTION("""COMPUTED_VALUE"""),0.0)</f>
        <v>0</v>
      </c>
      <c r="V867" s="10" t="str">
        <f>IFERROR(__xludf.DUMMYFUNCTION("""COMPUTED_VALUE"""),"ہمسائیوں اور پڑوسیوں کے حقوق")</f>
        <v>ہمسائیوں اور پڑوسیوں کے حقوق</v>
      </c>
      <c r="W867" s="10" t="str">
        <f>IFERROR(__xludf.DUMMYFUNCTION("""COMPUTED_VALUE"""),"امام نے اپنے بیان کہ شروع میں حضور پاک صلی اللہ علیہ والہ وسلم پر درود و سلام کی فضیلت بیان کی ہے کہ اللہ تعالی فرماتا ہے کہ اے ایمان والو تم بھی حضور پاک صلی اللہ علیہ والہ وسلم پر درود و سلام بھیجا کرو جس طرح میں اور میرے فرشتے ان پر درود و سلام بھیجتے "&amp;"ہیں اس کے بعد امام نے پورا خطبہ پڑوسیوں کے حقوق پر دیا کہ ہمیں پڑوسیوں کے ساتھ اچھا سلوک کرنا چاہیے ان کی غمی اور خوشی میں شریک ہونا چاہیے اگر وہ فوت ہو جائیں تو ان کے کفن دفن کا انتظام کرنا چاہیے اور اپنے گھر سے اٹھا کر ان کے گھر کے سامنے نہیں پھینک دینا"&amp;" چاہیے اور ہمارے صحابہ کرام بھی پڑوسیوں کا خیال رکھتے تھے کیونکہ ہمارے نبی صلی اللہ علیہ والہ وسلم نے اس کی تعلیم دی اس لیے ہمیں اس پر عمل کرنا چاہیے کیونکہ اللہ تعالی نے فرمایا وہ مومن نہیں ہو سکتا جس کا پڑوسی اس کے شر سے محفوظ نہ ہو ")</f>
        <v>امام نے اپنے بیان کہ شروع میں حضور پاک صلی اللہ علیہ والہ وسلم پر درود و سلام کی فضیلت بیان کی ہے کہ اللہ تعالی فرماتا ہے کہ اے ایمان والو تم بھی حضور پاک صلی اللہ علیہ والہ وسلم پر درود و سلام بھیجا کرو جس طرح میں اور میرے فرشتے ان پر درود و سلام بھیجتے ہیں اس کے بعد امام نے پورا خطبہ پڑوسیوں کے حقوق پر دیا کہ ہمیں پڑوسیوں کے ساتھ اچھا سلوک کرنا چاہیے ان کی غمی اور خوشی میں شریک ہونا چاہیے اگر وہ فوت ہو جائیں تو ان کے کفن دفن کا انتظام کرنا چاہیے اور اپنے گھر سے اٹھا کر ان کے گھر کے سامنے نہیں پھینک دینا چاہیے اور ہمارے صحابہ کرام بھی پڑوسیوں کا خیال رکھتے تھے کیونکہ ہمارے نبی صلی اللہ علیہ والہ وسلم نے اس کی تعلیم دی اس لیے ہمیں اس پر عمل کرنا چاہیے کیونکہ اللہ تعالی نے فرمایا وہ مومن نہیں ہو سکتا جس کا پڑوسی اس کے شر سے محفوظ نہ ہو </v>
      </c>
      <c r="X867" s="10">
        <f>IFERROR(__xludf.DUMMYFUNCTION("""COMPUTED_VALUE"""),1.0)</f>
        <v>1</v>
      </c>
      <c r="Y867" s="10">
        <f>IFERROR(__xludf.DUMMYFUNCTION("""COMPUTED_VALUE"""),1.0)</f>
        <v>1</v>
      </c>
      <c r="Z867" s="10">
        <f>IFERROR(__xludf.DUMMYFUNCTION("""COMPUTED_VALUE"""),3.0)</f>
        <v>3</v>
      </c>
      <c r="AA867" s="10">
        <f>IFERROR(__xludf.DUMMYFUNCTION("""COMPUTED_VALUE"""),7.0)</f>
        <v>7</v>
      </c>
      <c r="AB867" s="10">
        <f>IFERROR(__xludf.DUMMYFUNCTION("""COMPUTED_VALUE"""),4.0)</f>
        <v>4</v>
      </c>
      <c r="AC867" s="10">
        <f>IFERROR(__xludf.DUMMYFUNCTION("""COMPUTED_VALUE"""),0.0)</f>
        <v>0</v>
      </c>
      <c r="AD867" s="10">
        <f>IFERROR(__xludf.DUMMYFUNCTION("""COMPUTED_VALUE"""),0.0)</f>
        <v>0</v>
      </c>
      <c r="AE867" s="10">
        <f>IFERROR(__xludf.DUMMYFUNCTION("""COMPUTED_VALUE"""),1.0)</f>
        <v>1</v>
      </c>
      <c r="AF867" s="10">
        <f>IFERROR(__xludf.DUMMYFUNCTION("""COMPUTED_VALUE"""),7.0)</f>
        <v>7</v>
      </c>
      <c r="AG867" s="10">
        <f>IFERROR(__xludf.DUMMYFUNCTION("""COMPUTED_VALUE"""),9.0)</f>
        <v>9</v>
      </c>
      <c r="AH867" s="10">
        <f>IFERROR(__xludf.DUMMYFUNCTION("""COMPUTED_VALUE"""),0.0)</f>
        <v>0</v>
      </c>
      <c r="AI867" s="10">
        <f>IFERROR(__xludf.DUMMYFUNCTION("""COMPUTED_VALUE"""),9.0)</f>
        <v>9</v>
      </c>
      <c r="AJ867" s="11" t="str">
        <f>IFERROR(__xludf.DUMMYFUNCTION("""COMPUTED_VALUE"""),"https://drive.google.com/open?id=1SBltFbOFAuuF8mo_1AfB40dW3udQLtHYtRpZ-0ZZib8")</f>
        <v>https://drive.google.com/open?id=1SBltFbOFAuuF8mo_1AfB40dW3udQLtHYtRpZ-0ZZib8</v>
      </c>
      <c r="AK867" s="12" t="str">
        <f>IFERROR(__xludf.DUMMYFUNCTION("""COMPUTED_VALUE"""),"امام نے پورا خطبہ پنجابی میں دیا ")</f>
        <v>امام نے پورا خطبہ پنجابی میں دیا </v>
      </c>
      <c r="AL867" s="12" t="str">
        <f>IFERROR(__xludf.DUMMYFUNCTION("""COMPUTED_VALUE"""),"Yes")</f>
        <v>Yes</v>
      </c>
      <c r="AM867" s="15">
        <f>IFERROR(__xludf.DUMMYFUNCTION("""COMPUTED_VALUE"""),0.6)</f>
        <v>0.6</v>
      </c>
      <c r="AN867" s="12" t="str">
        <f>IFERROR(__xludf.DUMMYFUNCTION("""COMPUTED_VALUE"""),"2nd week")</f>
        <v>2nd week</v>
      </c>
      <c r="AO867" s="13">
        <v>2.0</v>
      </c>
      <c r="AX867" s="17"/>
    </row>
    <row r="868">
      <c r="B868" s="9">
        <f>IFERROR(__xludf.DUMMYFUNCTION("""COMPUTED_VALUE"""),45973.03529629629)</f>
        <v>45973.0353</v>
      </c>
      <c r="C868" s="10" t="str">
        <f>IFERROR(__xludf.DUMMYFUNCTION("""COMPUTED_VALUE"""),"Atiqa")</f>
        <v>Atiqa</v>
      </c>
      <c r="D868" s="10" t="str">
        <f>IFERROR(__xludf.DUMMYFUNCTION("""COMPUTED_VALUE"""),"03157519977")</f>
        <v>03157519977</v>
      </c>
      <c r="E868" s="10" t="str">
        <f>IFERROR(__xludf.DUMMYFUNCTION("""COMPUTED_VALUE"""),"Jamia Masjid Darbar Muhammad Ghous Bala")</f>
        <v>Jamia Masjid Darbar Muhammad Ghous Bala</v>
      </c>
      <c r="F868" s="10" t="str">
        <f>IFERROR(__xludf.DUMMYFUNCTION("""COMPUTED_VALUE"""),"vtgkg")</f>
        <v>vtgkg</v>
      </c>
      <c r="G868" s="10" t="str">
        <f>IFERROR(__xludf.DUMMYFUNCTION("""COMPUTED_VALUE"""),"Yes")</f>
        <v>Yes</v>
      </c>
      <c r="H868" s="10">
        <f>IFERROR(__xludf.DUMMYFUNCTION("""COMPUTED_VALUE"""),0.0)</f>
        <v>0</v>
      </c>
      <c r="I868" s="10">
        <f>IFERROR(__xludf.DUMMYFUNCTION("""COMPUTED_VALUE"""),10.0)</f>
        <v>10</v>
      </c>
      <c r="J868" s="10">
        <f>IFERROR(__xludf.DUMMYFUNCTION("""COMPUTED_VALUE"""),0.0)</f>
        <v>0</v>
      </c>
      <c r="K868" s="10">
        <f>IFERROR(__xludf.DUMMYFUNCTION("""COMPUTED_VALUE"""),0.0)</f>
        <v>0</v>
      </c>
      <c r="L868" s="10">
        <f>IFERROR(__xludf.DUMMYFUNCTION("""COMPUTED_VALUE"""),0.0)</f>
        <v>0</v>
      </c>
      <c r="M868" s="10">
        <f>IFERROR(__xludf.DUMMYFUNCTION("""COMPUTED_VALUE"""),0.0)</f>
        <v>0</v>
      </c>
      <c r="N868" s="10">
        <f>IFERROR(__xludf.DUMMYFUNCTION("""COMPUTED_VALUE"""),0.0)</f>
        <v>0</v>
      </c>
      <c r="O868" s="10">
        <f>IFERROR(__xludf.DUMMYFUNCTION("""COMPUTED_VALUE"""),0.0)</f>
        <v>0</v>
      </c>
      <c r="P868" s="10">
        <f>IFERROR(__xludf.DUMMYFUNCTION("""COMPUTED_VALUE"""),0.0)</f>
        <v>0</v>
      </c>
      <c r="Q868" s="10" t="str">
        <f>IFERROR(__xludf.DUMMYFUNCTION("""COMPUTED_VALUE"""),"No")</f>
        <v>No</v>
      </c>
      <c r="R868" s="10" t="str">
        <f>IFERROR(__xludf.DUMMYFUNCTION("""COMPUTED_VALUE"""),"No")</f>
        <v>No</v>
      </c>
      <c r="S868" s="10" t="str">
        <f>IFERROR(__xludf.DUMMYFUNCTION("""COMPUTED_VALUE"""),"No")</f>
        <v>No</v>
      </c>
      <c r="T868" s="10">
        <f>IFERROR(__xludf.DUMMYFUNCTION("""COMPUTED_VALUE"""),0.0)</f>
        <v>0</v>
      </c>
      <c r="U868" s="10">
        <f>IFERROR(__xludf.DUMMYFUNCTION("""COMPUTED_VALUE"""),0.0)</f>
        <v>0</v>
      </c>
      <c r="V868" s="10" t="str">
        <f>IFERROR(__xludf.DUMMYFUNCTION("""COMPUTED_VALUE"""),"شیخ عبدالقادر جیلانی رحمت اللہ علیہ اور ولی اللہ ")</f>
        <v>شیخ عبدالقادر جیلانی رحمت اللہ علیہ اور ولی اللہ </v>
      </c>
      <c r="W868" s="10" t="str">
        <f>IFERROR(__xludf.DUMMYFUNCTION("""COMPUTED_VALUE"""),"امام نے بیان کیا کہ ولی اللہ اللہ کے نیک بندے ہوتے ہیں اور جو اللہ کا ذکر فرماتے ہیں پھر اللہ ان کا چرچہ بلند فرما دیتا اور انہی میں سے شیخ عبدالقاد چلانی رحمت اللہ جن کا شمار تہجد گزار اللہ کے عبادت گزار بندوں میں ہوتا،  جبرائیل علیہ السلام کا معراج شریف"&amp;" کی رات اپ صلی اللہ علیہ وسلم کے پاؤں مبارک کو چوم کر اٹھانا بیان کیا،اگلہ کا شیخ عبدالقادر جیلانی کو بچپن میں ہی ولیوں میں شمار کرنا اور انہیں مقام و مرتبہ عطا فرمانا، ولیوں سے محبت کرنے والوں سے اللہ کا محبت کرنا بیان کیا۔")</f>
        <v>امام نے بیان کیا کہ ولی اللہ اللہ کے نیک بندے ہوتے ہیں اور جو اللہ کا ذکر فرماتے ہیں پھر اللہ ان کا چرچہ بلند فرما دیتا اور انہی میں سے شیخ عبدالقاد چلانی رحمت اللہ جن کا شمار تہجد گزار اللہ کے عبادت گزار بندوں میں ہوتا،  جبرائیل علیہ السلام کا معراج شریف کی رات اپ صلی اللہ علیہ وسلم کے پاؤں مبارک کو چوم کر اٹھانا بیان کیا،اگلہ کا شیخ عبدالقادر جیلانی کو بچپن میں ہی ولیوں میں شمار کرنا اور انہیں مقام و مرتبہ عطا فرمانا، ولیوں سے محبت کرنے والوں سے اللہ کا محبت کرنا بیان کیا۔</v>
      </c>
      <c r="X868" s="10">
        <f>IFERROR(__xludf.DUMMYFUNCTION("""COMPUTED_VALUE"""),6.0)</f>
        <v>6</v>
      </c>
      <c r="Y868" s="10">
        <f>IFERROR(__xludf.DUMMYFUNCTION("""COMPUTED_VALUE"""),4.0)</f>
        <v>4</v>
      </c>
      <c r="Z868" s="10">
        <f>IFERROR(__xludf.DUMMYFUNCTION("""COMPUTED_VALUE"""),5.0)</f>
        <v>5</v>
      </c>
      <c r="AA868" s="10">
        <f>IFERROR(__xludf.DUMMYFUNCTION("""COMPUTED_VALUE"""),8.0)</f>
        <v>8</v>
      </c>
      <c r="AB868" s="10">
        <f>IFERROR(__xludf.DUMMYFUNCTION("""COMPUTED_VALUE"""),8.0)</f>
        <v>8</v>
      </c>
      <c r="AC868" s="10">
        <f>IFERROR(__xludf.DUMMYFUNCTION("""COMPUTED_VALUE"""),0.0)</f>
        <v>0</v>
      </c>
      <c r="AD868" s="10">
        <f>IFERROR(__xludf.DUMMYFUNCTION("""COMPUTED_VALUE"""),0.0)</f>
        <v>0</v>
      </c>
      <c r="AE868" s="10">
        <f>IFERROR(__xludf.DUMMYFUNCTION("""COMPUTED_VALUE"""),0.0)</f>
        <v>0</v>
      </c>
      <c r="AF868" s="10">
        <f>IFERROR(__xludf.DUMMYFUNCTION("""COMPUTED_VALUE"""),4.0)</f>
        <v>4</v>
      </c>
      <c r="AG868" s="10">
        <f>IFERROR(__xludf.DUMMYFUNCTION("""COMPUTED_VALUE"""),8.0)</f>
        <v>8</v>
      </c>
      <c r="AH868" s="10">
        <f>IFERROR(__xludf.DUMMYFUNCTION("""COMPUTED_VALUE"""),0.0)</f>
        <v>0</v>
      </c>
      <c r="AI868" s="10">
        <f>IFERROR(__xludf.DUMMYFUNCTION("""COMPUTED_VALUE"""),8.0)</f>
        <v>8</v>
      </c>
      <c r="AJ868" s="11" t="str">
        <f>IFERROR(__xludf.DUMMYFUNCTION("""COMPUTED_VALUE"""),"https://drive.google.com/open?id=1sKdwUF4gfTDiDtFo_t3p9JdS2r_4eesLloslzO23fMo")</f>
        <v>https://drive.google.com/open?id=1sKdwUF4gfTDiDtFo_t3p9JdS2r_4eesLloslzO23fMo</v>
      </c>
      <c r="AK868" s="12" t="str">
        <f>IFERROR(__xludf.DUMMYFUNCTION("""COMPUTED_VALUE"""),"Improve audio quality, imam ki baat samjhany mei buhtt mushkil hoi")</f>
        <v>Improve audio quality, imam ki baat samjhany mei buhtt mushkil hoi</v>
      </c>
      <c r="AL868" s="12" t="str">
        <f>IFERROR(__xludf.DUMMYFUNCTION("""COMPUTED_VALUE"""),"Yes")</f>
        <v>Yes</v>
      </c>
      <c r="AM868" s="15">
        <f>IFERROR(__xludf.DUMMYFUNCTION("""COMPUTED_VALUE"""),0.0)</f>
        <v>0</v>
      </c>
      <c r="AN868" s="12" t="str">
        <f>IFERROR(__xludf.DUMMYFUNCTION("""COMPUTED_VALUE"""),"5th week")</f>
        <v>5th week</v>
      </c>
      <c r="AO868" s="13">
        <v>5.0</v>
      </c>
      <c r="AX868" s="17"/>
    </row>
    <row r="869">
      <c r="B869" s="9">
        <f>IFERROR(__xludf.DUMMYFUNCTION("""COMPUTED_VALUE"""),45973.19005554398)</f>
        <v>45973.19006</v>
      </c>
      <c r="C869" s="10" t="str">
        <f>IFERROR(__xludf.DUMMYFUNCTION("""COMPUTED_VALUE"""),"Atiqa ")</f>
        <v>Atiqa </v>
      </c>
      <c r="D869" s="10" t="str">
        <f>IFERROR(__xludf.DUMMYFUNCTION("""COMPUTED_VALUE"""),"03157519977")</f>
        <v>03157519977</v>
      </c>
      <c r="E869" s="10" t="str">
        <f>IFERROR(__xludf.DUMMYFUNCTION("""COMPUTED_VALUE"""),"Jamia Masjid Amenia Ameen Abaad Samanbad Faisalabad")</f>
        <v>Jamia Masjid Amenia Ameen Abaad Samanbad Faisalabad</v>
      </c>
      <c r="F869" s="10" t="str">
        <f>IFERROR(__xludf.DUMMYFUNCTION("""COMPUTED_VALUE"""),"btuip")</f>
        <v>btuip</v>
      </c>
      <c r="G869" s="10" t="str">
        <f>IFERROR(__xludf.DUMMYFUNCTION("""COMPUTED_VALUE"""),"Yes")</f>
        <v>Yes</v>
      </c>
      <c r="H869" s="10">
        <f>IFERROR(__xludf.DUMMYFUNCTION("""COMPUTED_VALUE"""),8.0)</f>
        <v>8</v>
      </c>
      <c r="I869" s="10">
        <f>IFERROR(__xludf.DUMMYFUNCTION("""COMPUTED_VALUE"""),2.0)</f>
        <v>2</v>
      </c>
      <c r="J869" s="10">
        <f>IFERROR(__xludf.DUMMYFUNCTION("""COMPUTED_VALUE"""),10.0)</f>
        <v>10</v>
      </c>
      <c r="K869" s="10">
        <f>IFERROR(__xludf.DUMMYFUNCTION("""COMPUTED_VALUE"""),0.0)</f>
        <v>0</v>
      </c>
      <c r="L869" s="10">
        <f>IFERROR(__xludf.DUMMYFUNCTION("""COMPUTED_VALUE"""),9.0)</f>
        <v>9</v>
      </c>
      <c r="M869" s="10">
        <f>IFERROR(__xludf.DUMMYFUNCTION("""COMPUTED_VALUE"""),0.0)</f>
        <v>0</v>
      </c>
      <c r="N869" s="10">
        <f>IFERROR(__xludf.DUMMYFUNCTION("""COMPUTED_VALUE"""),9.0)</f>
        <v>9</v>
      </c>
      <c r="O869" s="10">
        <f>IFERROR(__xludf.DUMMYFUNCTION("""COMPUTED_VALUE"""),0.0)</f>
        <v>0</v>
      </c>
      <c r="P869" s="10">
        <f>IFERROR(__xludf.DUMMYFUNCTION("""COMPUTED_VALUE"""),0.0)</f>
        <v>0</v>
      </c>
      <c r="Q869" s="10" t="str">
        <f>IFERROR(__xludf.DUMMYFUNCTION("""COMPUTED_VALUE"""),"No")</f>
        <v>No</v>
      </c>
      <c r="R869" s="10" t="str">
        <f>IFERROR(__xludf.DUMMYFUNCTION("""COMPUTED_VALUE"""),"No")</f>
        <v>No</v>
      </c>
      <c r="S869" s="10" t="str">
        <f>IFERROR(__xludf.DUMMYFUNCTION("""COMPUTED_VALUE"""),"No")</f>
        <v>No</v>
      </c>
      <c r="T869" s="10">
        <f>IFERROR(__xludf.DUMMYFUNCTION("""COMPUTED_VALUE"""),0.0)</f>
        <v>0</v>
      </c>
      <c r="U869" s="10">
        <f>IFERROR(__xludf.DUMMYFUNCTION("""COMPUTED_VALUE"""),0.0)</f>
        <v>0</v>
      </c>
      <c r="V869" s="10" t="str">
        <f>IFERROR(__xludf.DUMMYFUNCTION("""COMPUTED_VALUE"""),"پڑوسیوں کے حقوق ")</f>
        <v>پڑوسیوں کے حقوق </v>
      </c>
      <c r="W869" s="10" t="str">
        <f>IFERROR(__xludf.DUMMYFUNCTION("""COMPUTED_VALUE"""),"امام نے بیان کیا کہ دین اسلام ہمیں رشتہ داروں کے ساتھ ساتھ اہل محلہ اور پڑوسیوں کے حقوق کی بھی تاکید کرتا ہے، پڑوسیوں کے حقوق میں کہ مارداری کرنا جنازے میں شرکت کرنا ضرورت پڑنے پر قرض دینا بیان کیا، اور اپ صلی اللہ علیہ والہ وسلم کا فرمان کہ جبرائیل علیہ "&amp;"السلام نے اتنی حقوق کی تاکید کی کہ انہیں وراثت کا حقدار ٹھہرا دیا جائے گا، اور اہل محلہ اور ارد گرد کی صفائی کا خیال رکھنے کا کہا گیا ")</f>
        <v>امام نے بیان کیا کہ دین اسلام ہمیں رشتہ داروں کے ساتھ ساتھ اہل محلہ اور پڑوسیوں کے حقوق کی بھی تاکید کرتا ہے، پڑوسیوں کے حقوق میں کہ مارداری کرنا جنازے میں شرکت کرنا ضرورت پڑنے پر قرض دینا بیان کیا، اور اپ صلی اللہ علیہ والہ وسلم کا فرمان کہ جبرائیل علیہ السلام نے اتنی حقوق کی تاکید کی کہ انہیں وراثت کا حقدار ٹھہرا دیا جائے گا، اور اہل محلہ اور ارد گرد کی صفائی کا خیال رکھنے کا کہا گیا </v>
      </c>
      <c r="X869" s="10">
        <f>IFERROR(__xludf.DUMMYFUNCTION("""COMPUTED_VALUE"""),1.0)</f>
        <v>1</v>
      </c>
      <c r="Y869" s="10">
        <f>IFERROR(__xludf.DUMMYFUNCTION("""COMPUTED_VALUE"""),9.0)</f>
        <v>9</v>
      </c>
      <c r="Z869" s="10">
        <f>IFERROR(__xludf.DUMMYFUNCTION("""COMPUTED_VALUE"""),6.0)</f>
        <v>6</v>
      </c>
      <c r="AA869" s="10">
        <f>IFERROR(__xludf.DUMMYFUNCTION("""COMPUTED_VALUE"""),7.0)</f>
        <v>7</v>
      </c>
      <c r="AB869" s="10">
        <f>IFERROR(__xludf.DUMMYFUNCTION("""COMPUTED_VALUE"""),8.0)</f>
        <v>8</v>
      </c>
      <c r="AC869" s="10">
        <f>IFERROR(__xludf.DUMMYFUNCTION("""COMPUTED_VALUE"""),0.0)</f>
        <v>0</v>
      </c>
      <c r="AD869" s="10">
        <f>IFERROR(__xludf.DUMMYFUNCTION("""COMPUTED_VALUE"""),0.0)</f>
        <v>0</v>
      </c>
      <c r="AE869" s="10">
        <f>IFERROR(__xludf.DUMMYFUNCTION("""COMPUTED_VALUE"""),1.0)</f>
        <v>1</v>
      </c>
      <c r="AF869" s="10">
        <f>IFERROR(__xludf.DUMMYFUNCTION("""COMPUTED_VALUE"""),0.0)</f>
        <v>0</v>
      </c>
      <c r="AG869" s="10">
        <f>IFERROR(__xludf.DUMMYFUNCTION("""COMPUTED_VALUE"""),9.0)</f>
        <v>9</v>
      </c>
      <c r="AH869" s="10">
        <f>IFERROR(__xludf.DUMMYFUNCTION("""COMPUTED_VALUE"""),0.0)</f>
        <v>0</v>
      </c>
      <c r="AI869" s="10">
        <f>IFERROR(__xludf.DUMMYFUNCTION("""COMPUTED_VALUE"""),9.0)</f>
        <v>9</v>
      </c>
      <c r="AJ869" s="11" t="str">
        <f>IFERROR(__xludf.DUMMYFUNCTION("""COMPUTED_VALUE"""),"https://drive.google.com/open?id=1xK-nS3kWkcJxVGhwbsz3XCoWNm1YBKRJojuj9P2tXHg")</f>
        <v>https://drive.google.com/open?id=1xK-nS3kWkcJxVGhwbsz3XCoWNm1YBKRJojuj9P2tXHg</v>
      </c>
      <c r="AK869" s="12"/>
      <c r="AL869" s="12" t="str">
        <f>IFERROR(__xludf.DUMMYFUNCTION("""COMPUTED_VALUE"""),"Yes")</f>
        <v>Yes</v>
      </c>
      <c r="AM869" s="15">
        <f>IFERROR(__xludf.DUMMYFUNCTION("""COMPUTED_VALUE"""),0.8)</f>
        <v>0.8</v>
      </c>
      <c r="AN869" s="12" t="str">
        <f>IFERROR(__xludf.DUMMYFUNCTION("""COMPUTED_VALUE"""),"2nd week")</f>
        <v>2nd week</v>
      </c>
      <c r="AO869" s="13">
        <v>2.0</v>
      </c>
      <c r="AX869" s="17"/>
    </row>
    <row r="870">
      <c r="B870" s="9">
        <f>IFERROR(__xludf.DUMMYFUNCTION("""COMPUTED_VALUE"""),45973.27029570602)</f>
        <v>45973.2703</v>
      </c>
      <c r="C870" s="10" t="str">
        <f>IFERROR(__xludf.DUMMYFUNCTION("""COMPUTED_VALUE"""),"Saira Shahzad ")</f>
        <v>Saira Shahzad </v>
      </c>
      <c r="D870" s="10" t="str">
        <f>IFERROR(__xludf.DUMMYFUNCTION("""COMPUTED_VALUE"""),"03114534696")</f>
        <v>03114534696</v>
      </c>
      <c r="E870" s="10" t="str">
        <f>IFERROR(__xludf.DUMMYFUNCTION("""COMPUTED_VALUE"""),"Jamia Masjid Amenia Ameen Abaad Samanbad Faisalabad")</f>
        <v>Jamia Masjid Amenia Ameen Abaad Samanbad Faisalabad</v>
      </c>
      <c r="F870" s="10" t="str">
        <f>IFERROR(__xludf.DUMMYFUNCTION("""COMPUTED_VALUE"""),"btuip")</f>
        <v>btuip</v>
      </c>
      <c r="G870" s="10" t="str">
        <f>IFERROR(__xludf.DUMMYFUNCTION("""COMPUTED_VALUE"""),"Yes")</f>
        <v>Yes</v>
      </c>
      <c r="H870" s="10">
        <f>IFERROR(__xludf.DUMMYFUNCTION("""COMPUTED_VALUE"""),0.0)</f>
        <v>0</v>
      </c>
      <c r="I870" s="10">
        <f>IFERROR(__xludf.DUMMYFUNCTION("""COMPUTED_VALUE"""),10.0)</f>
        <v>10</v>
      </c>
      <c r="J870" s="10">
        <f>IFERROR(__xludf.DUMMYFUNCTION("""COMPUTED_VALUE"""),0.0)</f>
        <v>0</v>
      </c>
      <c r="K870" s="10">
        <f>IFERROR(__xludf.DUMMYFUNCTION("""COMPUTED_VALUE"""),0.0)</f>
        <v>0</v>
      </c>
      <c r="L870" s="10">
        <f>IFERROR(__xludf.DUMMYFUNCTION("""COMPUTED_VALUE"""),0.0)</f>
        <v>0</v>
      </c>
      <c r="M870" s="10">
        <f>IFERROR(__xludf.DUMMYFUNCTION("""COMPUTED_VALUE"""),0.0)</f>
        <v>0</v>
      </c>
      <c r="N870" s="10">
        <f>IFERROR(__xludf.DUMMYFUNCTION("""COMPUTED_VALUE"""),0.0)</f>
        <v>0</v>
      </c>
      <c r="O870" s="10">
        <f>IFERROR(__xludf.DUMMYFUNCTION("""COMPUTED_VALUE"""),0.0)</f>
        <v>0</v>
      </c>
      <c r="P870" s="10">
        <f>IFERROR(__xludf.DUMMYFUNCTION("""COMPUTED_VALUE"""),0.0)</f>
        <v>0</v>
      </c>
      <c r="Q870" s="10" t="str">
        <f>IFERROR(__xludf.DUMMYFUNCTION("""COMPUTED_VALUE"""),"No")</f>
        <v>No</v>
      </c>
      <c r="R870" s="10" t="str">
        <f>IFERROR(__xludf.DUMMYFUNCTION("""COMPUTED_VALUE"""),"No")</f>
        <v>No</v>
      </c>
      <c r="S870" s="10" t="str">
        <f>IFERROR(__xludf.DUMMYFUNCTION("""COMPUTED_VALUE"""),"No")</f>
        <v>No</v>
      </c>
      <c r="T870" s="10">
        <f>IFERROR(__xludf.DUMMYFUNCTION("""COMPUTED_VALUE"""),0.0)</f>
        <v>0</v>
      </c>
      <c r="U870" s="10">
        <f>IFERROR(__xludf.DUMMYFUNCTION("""COMPUTED_VALUE"""),0.0)</f>
        <v>0</v>
      </c>
      <c r="V870" s="10" t="str">
        <f>IFERROR(__xludf.DUMMYFUNCTION("""COMPUTED_VALUE"""),"حضرت عمر فاروق رضی اللہ تعالی عنہا کی شان ")</f>
        <v>حضرت عمر فاروق رضی اللہ تعالی عنہا کی شان </v>
      </c>
      <c r="W870" s="10" t="str">
        <f>IFERROR(__xludf.DUMMYFUNCTION("""COMPUTED_VALUE"""),"امام نے اپنے بیان میں حضرت عمر فاروق رضی اللہ تعالی عنہ کی شان بیان کی ہے یہ بتایا ہے کہ جو حضور پاک صلی اللہ علیہ وسلم کے ساتھ ہوتے ہیں ان کو صحابہ کرام کہتے ہیں اور یہ کافروں پر بڑے سخت ہوتے ہیں اور آپس میں بہت نرم ہوتے ہیں ایک دوسرے سے پیار کرتے ہیں حض"&amp;"رت عمر فاروق رضی اللہ تعالی عنہ کی بہت شان تھی کہ آپ جو فرماتے اس کا حکم قرآن پاک میں آ جاتا اس کے امام نے بہت سی مثالیں پیش کی جیسا کہ مقام ابراہیم کو مصلے کی جگہ بنا دی جائے حضور پاک صلی اللہ علیہ والہ وسلم کے گھر پردے کے انتظام کا حکم جنگ بدر کے موقع پ"&amp;"ر مشرکین مکہ کو قتل کرنے کا حکم اور آخر پر یہ بات کی کہ جس شخص کو برے خواب آتے ہوں یا فجر کی نماز کے لیے آنکھ نہ کھلتی ہو وہ اپنی پشت پر  عمر بن خطاب لکھ لے تو اس کا یہ مسئلہ حل ہو جائے گا ")</f>
        <v>امام نے اپنے بیان میں حضرت عمر فاروق رضی اللہ تعالی عنہ کی شان بیان کی ہے یہ بتایا ہے کہ جو حضور پاک صلی اللہ علیہ وسلم کے ساتھ ہوتے ہیں ان کو صحابہ کرام کہتے ہیں اور یہ کافروں پر بڑے سخت ہوتے ہیں اور آپس میں بہت نرم ہوتے ہیں ایک دوسرے سے پیار کرتے ہیں حضرت عمر فاروق رضی اللہ تعالی عنہ کی بہت شان تھی کہ آپ جو فرماتے اس کا حکم قرآن پاک میں آ جاتا اس کے امام نے بہت سی مثالیں پیش کی جیسا کہ مقام ابراہیم کو مصلے کی جگہ بنا دی جائے حضور پاک صلی اللہ علیہ والہ وسلم کے گھر پردے کے انتظام کا حکم جنگ بدر کے موقع پر مشرکین مکہ کو قتل کرنے کا حکم اور آخر پر یہ بات کی کہ جس شخص کو برے خواب آتے ہوں یا فجر کی نماز کے لیے آنکھ نہ کھلتی ہو وہ اپنی پشت پر  عمر بن خطاب لکھ لے تو اس کا یہ مسئلہ حل ہو جائے گا </v>
      </c>
      <c r="X870" s="10">
        <f>IFERROR(__xludf.DUMMYFUNCTION("""COMPUTED_VALUE"""),0.0)</f>
        <v>0</v>
      </c>
      <c r="Y870" s="10">
        <f>IFERROR(__xludf.DUMMYFUNCTION("""COMPUTED_VALUE"""),3.0)</f>
        <v>3</v>
      </c>
      <c r="Z870" s="10">
        <f>IFERROR(__xludf.DUMMYFUNCTION("""COMPUTED_VALUE"""),0.0)</f>
        <v>0</v>
      </c>
      <c r="AA870" s="10">
        <f>IFERROR(__xludf.DUMMYFUNCTION("""COMPUTED_VALUE"""),7.0)</f>
        <v>7</v>
      </c>
      <c r="AB870" s="10">
        <f>IFERROR(__xludf.DUMMYFUNCTION("""COMPUTED_VALUE"""),7.0)</f>
        <v>7</v>
      </c>
      <c r="AC870" s="10">
        <f>IFERROR(__xludf.DUMMYFUNCTION("""COMPUTED_VALUE"""),0.0)</f>
        <v>0</v>
      </c>
      <c r="AD870" s="10">
        <f>IFERROR(__xludf.DUMMYFUNCTION("""COMPUTED_VALUE"""),0.0)</f>
        <v>0</v>
      </c>
      <c r="AE870" s="10">
        <f>IFERROR(__xludf.DUMMYFUNCTION("""COMPUTED_VALUE"""),2.0)</f>
        <v>2</v>
      </c>
      <c r="AF870" s="10">
        <f>IFERROR(__xludf.DUMMYFUNCTION("""COMPUTED_VALUE"""),8.0)</f>
        <v>8</v>
      </c>
      <c r="AG870" s="10">
        <f>IFERROR(__xludf.DUMMYFUNCTION("""COMPUTED_VALUE"""),8.0)</f>
        <v>8</v>
      </c>
      <c r="AH870" s="10">
        <f>IFERROR(__xludf.DUMMYFUNCTION("""COMPUTED_VALUE"""),0.0)</f>
        <v>0</v>
      </c>
      <c r="AI870" s="10">
        <f>IFERROR(__xludf.DUMMYFUNCTION("""COMPUTED_VALUE"""),8.0)</f>
        <v>8</v>
      </c>
      <c r="AJ870" s="11" t="str">
        <f>IFERROR(__xludf.DUMMYFUNCTION("""COMPUTED_VALUE"""),"https://drive.google.com/open?id=1QUucbG4t4D0Lxqe1NorPtkZWnlJnLOt_Cm4O38-MnVc")</f>
        <v>https://drive.google.com/open?id=1QUucbG4t4D0Lxqe1NorPtkZWnlJnLOt_Cm4O38-MnVc</v>
      </c>
      <c r="AK870" s="12" t="str">
        <f>IFERROR(__xludf.DUMMYFUNCTION("""COMPUTED_VALUE"""),"آواز کلیر نہیں تھی جس کی وجہ سے لکھنے میں مسئلہ ہوا ")</f>
        <v>آواز کلیر نہیں تھی جس کی وجہ سے لکھنے میں مسئلہ ہوا </v>
      </c>
      <c r="AL870" s="12" t="str">
        <f>IFERROR(__xludf.DUMMYFUNCTION("""COMPUTED_VALUE"""),"Yes")</f>
        <v>Yes</v>
      </c>
      <c r="AM870" s="15">
        <f>IFERROR(__xludf.DUMMYFUNCTION("""COMPUTED_VALUE"""),0.0)</f>
        <v>0</v>
      </c>
      <c r="AN870" s="12" t="str">
        <f>IFERROR(__xludf.DUMMYFUNCTION("""COMPUTED_VALUE"""),"3rd week")</f>
        <v>3rd week</v>
      </c>
      <c r="AO870" s="13">
        <v>3.0</v>
      </c>
      <c r="AX870" s="17"/>
    </row>
    <row r="871">
      <c r="B871" s="9">
        <f>IFERROR(__xludf.DUMMYFUNCTION("""COMPUTED_VALUE"""),45973.29388023148)</f>
        <v>45973.29388</v>
      </c>
      <c r="C871" s="10" t="str">
        <f>IFERROR(__xludf.DUMMYFUNCTION("""COMPUTED_VALUE"""),"Atiqa ")</f>
        <v>Atiqa </v>
      </c>
      <c r="D871" s="10" t="str">
        <f>IFERROR(__xludf.DUMMYFUNCTION("""COMPUTED_VALUE"""),"03157519977")</f>
        <v>03157519977</v>
      </c>
      <c r="E871" s="10" t="str">
        <f>IFERROR(__xludf.DUMMYFUNCTION("""COMPUTED_VALUE"""),"Jamia Masjid Rehmaniya Ali Town Sargodha Road Faisalabad")</f>
        <v>Jamia Masjid Rehmaniya Ali Town Sargodha Road Faisalabad</v>
      </c>
      <c r="F871" s="10" t="str">
        <f>IFERROR(__xludf.DUMMYFUNCTION("""COMPUTED_VALUE"""),"rdzla")</f>
        <v>rdzla</v>
      </c>
      <c r="G871" s="10" t="str">
        <f>IFERROR(__xludf.DUMMYFUNCTION("""COMPUTED_VALUE"""),"Yes")</f>
        <v>Yes</v>
      </c>
      <c r="H871" s="10">
        <f>IFERROR(__xludf.DUMMYFUNCTION("""COMPUTED_VALUE"""),8.0)</f>
        <v>8</v>
      </c>
      <c r="I871" s="10">
        <f>IFERROR(__xludf.DUMMYFUNCTION("""COMPUTED_VALUE"""),2.0)</f>
        <v>2</v>
      </c>
      <c r="J871" s="10">
        <f>IFERROR(__xludf.DUMMYFUNCTION("""COMPUTED_VALUE"""),6.0)</f>
        <v>6</v>
      </c>
      <c r="K871" s="10">
        <f>IFERROR(__xludf.DUMMYFUNCTION("""COMPUTED_VALUE"""),0.0)</f>
        <v>0</v>
      </c>
      <c r="L871" s="10">
        <f>IFERROR(__xludf.DUMMYFUNCTION("""COMPUTED_VALUE"""),8.0)</f>
        <v>8</v>
      </c>
      <c r="M871" s="10">
        <f>IFERROR(__xludf.DUMMYFUNCTION("""COMPUTED_VALUE"""),0.0)</f>
        <v>0</v>
      </c>
      <c r="N871" s="10">
        <f>IFERROR(__xludf.DUMMYFUNCTION("""COMPUTED_VALUE"""),7.0)</f>
        <v>7</v>
      </c>
      <c r="O871" s="10">
        <f>IFERROR(__xludf.DUMMYFUNCTION("""COMPUTED_VALUE"""),0.0)</f>
        <v>0</v>
      </c>
      <c r="P871" s="10">
        <f>IFERROR(__xludf.DUMMYFUNCTION("""COMPUTED_VALUE"""),7.0)</f>
        <v>7</v>
      </c>
      <c r="Q871" s="10" t="str">
        <f>IFERROR(__xludf.DUMMYFUNCTION("""COMPUTED_VALUE"""),"No")</f>
        <v>No</v>
      </c>
      <c r="R871" s="10" t="str">
        <f>IFERROR(__xludf.DUMMYFUNCTION("""COMPUTED_VALUE"""),"No")</f>
        <v>No</v>
      </c>
      <c r="S871" s="10" t="str">
        <f>IFERROR(__xludf.DUMMYFUNCTION("""COMPUTED_VALUE"""),"No")</f>
        <v>No</v>
      </c>
      <c r="T871" s="10">
        <f>IFERROR(__xludf.DUMMYFUNCTION("""COMPUTED_VALUE"""),0.0)</f>
        <v>0</v>
      </c>
      <c r="U871" s="10">
        <f>IFERROR(__xludf.DUMMYFUNCTION("""COMPUTED_VALUE"""),0.0)</f>
        <v>0</v>
      </c>
      <c r="V871" s="10" t="str">
        <f>IFERROR(__xludf.DUMMYFUNCTION("""COMPUTED_VALUE"""),"۱۔ سورۃ الکوثر کی تفصیل ۲۔  پڑوسیوں کے حقوق ")</f>
        <v>۱۔ سورۃ الکوثر کی تفصیل ۲۔  پڑوسیوں کے حقوق </v>
      </c>
      <c r="W871" s="10" t="str">
        <f>IFERROR(__xludf.DUMMYFUNCTION("""COMPUTED_VALUE"""),"حضور صلی اللہ علیہ وسلم کے دعوت حق بلند کرنے پر کفار کا ظلم و ستم کرنا اور اپ صلی اللہ علیہ وسلم کے بیٹوں کا بچپن میں وفات پا جانا جس کی وجہ سے کفار کا کہنا کہ کوئی نام لینے والا نہیں ہوگا تو اللہ کا سورۃ الکوثر  کا نزول فرمانا اور اس میں خوشخبریاں بیان ک"&amp;"رنا، پڑوسیوں کے حقوق بیان کیے کہ ان کی تیمارداری کرنا جنازے میں شرکت کرنا غمی خوشی میں شرکت کرنا ان کو تکلیف نہ دینا بیان کیا اور اہل محلہ کو صاف رکھنے کا کہا گیا ۔")</f>
        <v>حضور صلی اللہ علیہ وسلم کے دعوت حق بلند کرنے پر کفار کا ظلم و ستم کرنا اور اپ صلی اللہ علیہ وسلم کے بیٹوں کا بچپن میں وفات پا جانا جس کی وجہ سے کفار کا کہنا کہ کوئی نام لینے والا نہیں ہوگا تو اللہ کا سورۃ الکوثر  کا نزول فرمانا اور اس میں خوشخبریاں بیان کرنا، پڑوسیوں کے حقوق بیان کیے کہ ان کی تیمارداری کرنا جنازے میں شرکت کرنا غمی خوشی میں شرکت کرنا ان کو تکلیف نہ دینا بیان کیا اور اہل محلہ کو صاف رکھنے کا کہا گیا ۔</v>
      </c>
      <c r="X871" s="10">
        <f>IFERROR(__xludf.DUMMYFUNCTION("""COMPUTED_VALUE"""),4.0)</f>
        <v>4</v>
      </c>
      <c r="Y871" s="10">
        <f>IFERROR(__xludf.DUMMYFUNCTION("""COMPUTED_VALUE"""),6.0)</f>
        <v>6</v>
      </c>
      <c r="Z871" s="10">
        <f>IFERROR(__xludf.DUMMYFUNCTION("""COMPUTED_VALUE"""),7.0)</f>
        <v>7</v>
      </c>
      <c r="AA871" s="10">
        <f>IFERROR(__xludf.DUMMYFUNCTION("""COMPUTED_VALUE"""),9.0)</f>
        <v>9</v>
      </c>
      <c r="AB871" s="10">
        <f>IFERROR(__xludf.DUMMYFUNCTION("""COMPUTED_VALUE"""),8.0)</f>
        <v>8</v>
      </c>
      <c r="AC871" s="10">
        <f>IFERROR(__xludf.DUMMYFUNCTION("""COMPUTED_VALUE"""),3.0)</f>
        <v>3</v>
      </c>
      <c r="AD871" s="10">
        <f>IFERROR(__xludf.DUMMYFUNCTION("""COMPUTED_VALUE"""),0.0)</f>
        <v>0</v>
      </c>
      <c r="AE871" s="10">
        <f>IFERROR(__xludf.DUMMYFUNCTION("""COMPUTED_VALUE"""),3.0)</f>
        <v>3</v>
      </c>
      <c r="AF871" s="10">
        <f>IFERROR(__xludf.DUMMYFUNCTION("""COMPUTED_VALUE"""),4.0)</f>
        <v>4</v>
      </c>
      <c r="AG871" s="10">
        <f>IFERROR(__xludf.DUMMYFUNCTION("""COMPUTED_VALUE"""),9.0)</f>
        <v>9</v>
      </c>
      <c r="AH871" s="10">
        <f>IFERROR(__xludf.DUMMYFUNCTION("""COMPUTED_VALUE"""),0.0)</f>
        <v>0</v>
      </c>
      <c r="AI871" s="10">
        <f>IFERROR(__xludf.DUMMYFUNCTION("""COMPUTED_VALUE"""),9.0)</f>
        <v>9</v>
      </c>
      <c r="AJ871" s="11" t="str">
        <f>IFERROR(__xludf.DUMMYFUNCTION("""COMPUTED_VALUE"""),"https://drive.google.com/open?id=13X5Ffpmu_lKU5n8biPngLBhBy74_rnAkzvbGsBIuJ64")</f>
        <v>https://drive.google.com/open?id=13X5Ffpmu_lKU5n8biPngLBhBy74_rnAkzvbGsBIuJ64</v>
      </c>
      <c r="AK871" s="12"/>
      <c r="AL871" s="12" t="str">
        <f>IFERROR(__xludf.DUMMYFUNCTION("""COMPUTED_VALUE"""),"Yes")</f>
        <v>Yes</v>
      </c>
      <c r="AM871" s="15">
        <f>IFERROR(__xludf.DUMMYFUNCTION("""COMPUTED_VALUE"""),0.8)</f>
        <v>0.8</v>
      </c>
      <c r="AN871" s="12" t="str">
        <f>IFERROR(__xludf.DUMMYFUNCTION("""COMPUTED_VALUE"""),"2nd week")</f>
        <v>2nd week</v>
      </c>
      <c r="AO871" s="13">
        <v>2.0</v>
      </c>
      <c r="AX871" s="17"/>
    </row>
    <row r="872">
      <c r="B872" s="9">
        <f>IFERROR(__xludf.DUMMYFUNCTION("""COMPUTED_VALUE"""),45973.40890228009)</f>
        <v>45973.4089</v>
      </c>
      <c r="C872" s="10" t="str">
        <f>IFERROR(__xludf.DUMMYFUNCTION("""COMPUTED_VALUE"""),"Maham")</f>
        <v>Maham</v>
      </c>
      <c r="D872" s="10" t="str">
        <f>IFERROR(__xludf.DUMMYFUNCTION("""COMPUTED_VALUE"""),"03218118680")</f>
        <v>03218118680</v>
      </c>
      <c r="E872" s="10" t="str">
        <f>IFERROR(__xludf.DUMMYFUNCTION("""COMPUTED_VALUE"""),"Jamia Masjid Usmanai Gol Chowk Okara")</f>
        <v>Jamia Masjid Usmanai Gol Chowk Okara</v>
      </c>
      <c r="F872" s="10" t="str">
        <f>IFERROR(__xludf.DUMMYFUNCTION("""COMPUTED_VALUE"""),"kgqjv")</f>
        <v>kgqjv</v>
      </c>
      <c r="G872" s="10" t="str">
        <f>IFERROR(__xludf.DUMMYFUNCTION("""COMPUTED_VALUE"""),"Yes")</f>
        <v>Yes</v>
      </c>
      <c r="H872" s="10">
        <f>IFERROR(__xludf.DUMMYFUNCTION("""COMPUTED_VALUE"""),0.0)</f>
        <v>0</v>
      </c>
      <c r="I872" s="10">
        <f>IFERROR(__xludf.DUMMYFUNCTION("""COMPUTED_VALUE"""),10.0)</f>
        <v>10</v>
      </c>
      <c r="J872" s="10">
        <f>IFERROR(__xludf.DUMMYFUNCTION("""COMPUTED_VALUE"""),0.0)</f>
        <v>0</v>
      </c>
      <c r="K872" s="10">
        <f>IFERROR(__xludf.DUMMYFUNCTION("""COMPUTED_VALUE"""),0.0)</f>
        <v>0</v>
      </c>
      <c r="L872" s="10">
        <f>IFERROR(__xludf.DUMMYFUNCTION("""COMPUTED_VALUE"""),0.0)</f>
        <v>0</v>
      </c>
      <c r="M872" s="10">
        <f>IFERROR(__xludf.DUMMYFUNCTION("""COMPUTED_VALUE"""),0.0)</f>
        <v>0</v>
      </c>
      <c r="N872" s="10">
        <f>IFERROR(__xludf.DUMMYFUNCTION("""COMPUTED_VALUE"""),0.0)</f>
        <v>0</v>
      </c>
      <c r="O872" s="10">
        <f>IFERROR(__xludf.DUMMYFUNCTION("""COMPUTED_VALUE"""),0.0)</f>
        <v>0</v>
      </c>
      <c r="P872" s="10">
        <f>IFERROR(__xludf.DUMMYFUNCTION("""COMPUTED_VALUE"""),0.0)</f>
        <v>0</v>
      </c>
      <c r="Q872" s="10" t="str">
        <f>IFERROR(__xludf.DUMMYFUNCTION("""COMPUTED_VALUE"""),"No")</f>
        <v>No</v>
      </c>
      <c r="R872" s="10" t="str">
        <f>IFERROR(__xludf.DUMMYFUNCTION("""COMPUTED_VALUE"""),"No")</f>
        <v>No</v>
      </c>
      <c r="S872" s="10" t="str">
        <f>IFERROR(__xludf.DUMMYFUNCTION("""COMPUTED_VALUE"""),"No")</f>
        <v>No</v>
      </c>
      <c r="T872" s="10">
        <f>IFERROR(__xludf.DUMMYFUNCTION("""COMPUTED_VALUE"""),0.0)</f>
        <v>0</v>
      </c>
      <c r="U872" s="10">
        <f>IFERROR(__xludf.DUMMYFUNCTION("""COMPUTED_VALUE"""),0.0)</f>
        <v>0</v>
      </c>
      <c r="V872" s="10" t="str">
        <f>IFERROR(__xludf.DUMMYFUNCTION("""COMPUTED_VALUE"""),"اللہ تعالی کی وحدانیت")</f>
        <v>اللہ تعالی کی وحدانیت</v>
      </c>
      <c r="W872" s="10" t="str">
        <f>IFERROR(__xludf.DUMMYFUNCTION("""COMPUTED_VALUE"""),"اللہ تعالی اپنے بندے سے ایک ماں سے 70 گنا زیادہ محبت کرتا ہے اللہ تعالی کی واحدانیت کو بیان کیا گیا")</f>
        <v>اللہ تعالی اپنے بندے سے ایک ماں سے 70 گنا زیادہ محبت کرتا ہے اللہ تعالی کی واحدانیت کو بیان کیا گیا</v>
      </c>
      <c r="X872" s="10">
        <f>IFERROR(__xludf.DUMMYFUNCTION("""COMPUTED_VALUE"""),10.0)</f>
        <v>10</v>
      </c>
      <c r="Y872" s="10">
        <f>IFERROR(__xludf.DUMMYFUNCTION("""COMPUTED_VALUE"""),2.0)</f>
        <v>2</v>
      </c>
      <c r="Z872" s="10">
        <f>IFERROR(__xludf.DUMMYFUNCTION("""COMPUTED_VALUE"""),3.0)</f>
        <v>3</v>
      </c>
      <c r="AA872" s="10">
        <f>IFERROR(__xludf.DUMMYFUNCTION("""COMPUTED_VALUE"""),10.0)</f>
        <v>10</v>
      </c>
      <c r="AB872" s="10">
        <f>IFERROR(__xludf.DUMMYFUNCTION("""COMPUTED_VALUE"""),1.0)</f>
        <v>1</v>
      </c>
      <c r="AC872" s="10">
        <f>IFERROR(__xludf.DUMMYFUNCTION("""COMPUTED_VALUE"""),0.0)</f>
        <v>0</v>
      </c>
      <c r="AD872" s="10">
        <f>IFERROR(__xludf.DUMMYFUNCTION("""COMPUTED_VALUE"""),0.0)</f>
        <v>0</v>
      </c>
      <c r="AE872" s="10">
        <f>IFERROR(__xludf.DUMMYFUNCTION("""COMPUTED_VALUE"""),0.0)</f>
        <v>0</v>
      </c>
      <c r="AF872" s="10">
        <f>IFERROR(__xludf.DUMMYFUNCTION("""COMPUTED_VALUE"""),8.0)</f>
        <v>8</v>
      </c>
      <c r="AG872" s="10">
        <f>IFERROR(__xludf.DUMMYFUNCTION("""COMPUTED_VALUE"""),9.0)</f>
        <v>9</v>
      </c>
      <c r="AH872" s="10">
        <f>IFERROR(__xludf.DUMMYFUNCTION("""COMPUTED_VALUE"""),0.0)</f>
        <v>0</v>
      </c>
      <c r="AI872" s="10">
        <f>IFERROR(__xludf.DUMMYFUNCTION("""COMPUTED_VALUE"""),9.0)</f>
        <v>9</v>
      </c>
      <c r="AJ872" s="11" t="str">
        <f>IFERROR(__xludf.DUMMYFUNCTION("""COMPUTED_VALUE"""),"https://drive.google.com/open?id=1YFf3WTkJmGwVzl4mp0bMwHJ3DzzPsC7O")</f>
        <v>https://drive.google.com/open?id=1YFf3WTkJmGwVzl4mp0bMwHJ3DzzPsC7O</v>
      </c>
      <c r="AK872" s="12" t="str">
        <f>IFERROR(__xludf.DUMMYFUNCTION("""COMPUTED_VALUE"""),"۔۔۔۔۔۔۔کا مطلب ان الفاظ کی سمجھ نہیں ائی")</f>
        <v>۔۔۔۔۔۔۔کا مطلب ان الفاظ کی سمجھ نہیں ائی</v>
      </c>
      <c r="AL872" s="12" t="str">
        <f>IFERROR(__xludf.DUMMYFUNCTION("""COMPUTED_VALUE"""),"Yes")</f>
        <v>Yes</v>
      </c>
      <c r="AM872" s="15">
        <f>IFERROR(__xludf.DUMMYFUNCTION("""COMPUTED_VALUE"""),0.0)</f>
        <v>0</v>
      </c>
      <c r="AN872" s="12" t="str">
        <f>IFERROR(__xludf.DUMMYFUNCTION("""COMPUTED_VALUE"""),"5th week")</f>
        <v>5th week</v>
      </c>
      <c r="AO872" s="13">
        <v>6.0</v>
      </c>
      <c r="AX872" s="17"/>
    </row>
    <row r="873">
      <c r="B873" s="9">
        <f>IFERROR(__xludf.DUMMYFUNCTION("""COMPUTED_VALUE"""),45973.430033425924)</f>
        <v>45973.43003</v>
      </c>
      <c r="C873" s="10" t="str">
        <f>IFERROR(__xludf.DUMMYFUNCTION("""COMPUTED_VALUE"""),"Atiqa ")</f>
        <v>Atiqa </v>
      </c>
      <c r="D873" s="10" t="str">
        <f>IFERROR(__xludf.DUMMYFUNCTION("""COMPUTED_VALUE"""),"03157519977")</f>
        <v>03157519977</v>
      </c>
      <c r="E873" s="10" t="str">
        <f>IFERROR(__xludf.DUMMYFUNCTION("""COMPUTED_VALUE"""),"Jamia Masjid Darbar Shah Sadaq Nehnang Shorkot")</f>
        <v>Jamia Masjid Darbar Shah Sadaq Nehnang Shorkot</v>
      </c>
      <c r="F873" s="10" t="str">
        <f>IFERROR(__xludf.DUMMYFUNCTION("""COMPUTED_VALUE"""),"vigse")</f>
        <v>vigse</v>
      </c>
      <c r="G873" s="10" t="str">
        <f>IFERROR(__xludf.DUMMYFUNCTION("""COMPUTED_VALUE"""),"Yes")</f>
        <v>Yes</v>
      </c>
      <c r="H873" s="10">
        <f>IFERROR(__xludf.DUMMYFUNCTION("""COMPUTED_VALUE"""),0.0)</f>
        <v>0</v>
      </c>
      <c r="I873" s="10">
        <f>IFERROR(__xludf.DUMMYFUNCTION("""COMPUTED_VALUE"""),10.0)</f>
        <v>10</v>
      </c>
      <c r="J873" s="10">
        <f>IFERROR(__xludf.DUMMYFUNCTION("""COMPUTED_VALUE"""),0.0)</f>
        <v>0</v>
      </c>
      <c r="K873" s="10">
        <f>IFERROR(__xludf.DUMMYFUNCTION("""COMPUTED_VALUE"""),0.0)</f>
        <v>0</v>
      </c>
      <c r="L873" s="10">
        <f>IFERROR(__xludf.DUMMYFUNCTION("""COMPUTED_VALUE"""),0.0)</f>
        <v>0</v>
      </c>
      <c r="M873" s="10">
        <f>IFERROR(__xludf.DUMMYFUNCTION("""COMPUTED_VALUE"""),0.0)</f>
        <v>0</v>
      </c>
      <c r="N873" s="10">
        <f>IFERROR(__xludf.DUMMYFUNCTION("""COMPUTED_VALUE"""),0.0)</f>
        <v>0</v>
      </c>
      <c r="O873" s="10">
        <f>IFERROR(__xludf.DUMMYFUNCTION("""COMPUTED_VALUE"""),0.0)</f>
        <v>0</v>
      </c>
      <c r="P873" s="10">
        <f>IFERROR(__xludf.DUMMYFUNCTION("""COMPUTED_VALUE"""),0.0)</f>
        <v>0</v>
      </c>
      <c r="Q873" s="10" t="str">
        <f>IFERROR(__xludf.DUMMYFUNCTION("""COMPUTED_VALUE"""),"No")</f>
        <v>No</v>
      </c>
      <c r="R873" s="10" t="str">
        <f>IFERROR(__xludf.DUMMYFUNCTION("""COMPUTED_VALUE"""),"No")</f>
        <v>No</v>
      </c>
      <c r="S873" s="10" t="str">
        <f>IFERROR(__xludf.DUMMYFUNCTION("""COMPUTED_VALUE"""),"No")</f>
        <v>No</v>
      </c>
      <c r="T873" s="10">
        <f>IFERROR(__xludf.DUMMYFUNCTION("""COMPUTED_VALUE"""),0.0)</f>
        <v>0</v>
      </c>
      <c r="U873" s="10">
        <f>IFERROR(__xludf.DUMMYFUNCTION("""COMPUTED_VALUE"""),0.0)</f>
        <v>0</v>
      </c>
      <c r="V873" s="10" t="str">
        <f>IFERROR(__xludf.DUMMYFUNCTION("""COMPUTED_VALUE"""),"ذکرواذکار")</f>
        <v>ذکرواذکار</v>
      </c>
      <c r="W873" s="10" t="str">
        <f>IFERROR(__xludf.DUMMYFUNCTION("""COMPUTED_VALUE"""),"امام نے بیان کیا کہ اللہ ہمیں اپنے نیک و کاروں کے راستے پر چلا اور کوئی بھی کام کرتے ہوئے تسبیحات اور ذکر و اذکار کرنے کا کہا ایسا کرنے سے کام میں برکت پیدا ہو جاتی ہے، عبدالقادر جیلانی رضی اللہ تعالی عنہ کے والد ابو صالح رضی اللہ تعالی عنہ قابو کی وجہ سے"&amp;" ایک گرا ہوا سیب کھانا اور پھر مالک سے معافی مانگنے کا واقعہ بیان کیا، ")</f>
        <v>امام نے بیان کیا کہ اللہ ہمیں اپنے نیک و کاروں کے راستے پر چلا اور کوئی بھی کام کرتے ہوئے تسبیحات اور ذکر و اذکار کرنے کا کہا ایسا کرنے سے کام میں برکت پیدا ہو جاتی ہے، عبدالقادر جیلانی رضی اللہ تعالی عنہ کے والد ابو صالح رضی اللہ تعالی عنہ قابو کی وجہ سے ایک گرا ہوا سیب کھانا اور پھر مالک سے معافی مانگنے کا واقعہ بیان کیا، </v>
      </c>
      <c r="X873" s="10">
        <f>IFERROR(__xludf.DUMMYFUNCTION("""COMPUTED_VALUE"""),7.0)</f>
        <v>7</v>
      </c>
      <c r="Y873" s="10">
        <f>IFERROR(__xludf.DUMMYFUNCTION("""COMPUTED_VALUE"""),3.0)</f>
        <v>3</v>
      </c>
      <c r="Z873" s="10">
        <f>IFERROR(__xludf.DUMMYFUNCTION("""COMPUTED_VALUE"""),4.0)</f>
        <v>4</v>
      </c>
      <c r="AA873" s="10">
        <f>IFERROR(__xludf.DUMMYFUNCTION("""COMPUTED_VALUE"""),8.0)</f>
        <v>8</v>
      </c>
      <c r="AB873" s="10">
        <f>IFERROR(__xludf.DUMMYFUNCTION("""COMPUTED_VALUE"""),7.0)</f>
        <v>7</v>
      </c>
      <c r="AC873" s="10">
        <f>IFERROR(__xludf.DUMMYFUNCTION("""COMPUTED_VALUE"""),0.0)</f>
        <v>0</v>
      </c>
      <c r="AD873" s="10">
        <f>IFERROR(__xludf.DUMMYFUNCTION("""COMPUTED_VALUE"""),2.0)</f>
        <v>2</v>
      </c>
      <c r="AE873" s="10">
        <f>IFERROR(__xludf.DUMMYFUNCTION("""COMPUTED_VALUE"""),0.0)</f>
        <v>0</v>
      </c>
      <c r="AF873" s="10">
        <f>IFERROR(__xludf.DUMMYFUNCTION("""COMPUTED_VALUE"""),0.0)</f>
        <v>0</v>
      </c>
      <c r="AG873" s="10">
        <f>IFERROR(__xludf.DUMMYFUNCTION("""COMPUTED_VALUE"""),8.0)</f>
        <v>8</v>
      </c>
      <c r="AH873" s="10">
        <f>IFERROR(__xludf.DUMMYFUNCTION("""COMPUTED_VALUE"""),0.0)</f>
        <v>0</v>
      </c>
      <c r="AI873" s="10">
        <f>IFERROR(__xludf.DUMMYFUNCTION("""COMPUTED_VALUE"""),8.0)</f>
        <v>8</v>
      </c>
      <c r="AJ873" s="11" t="str">
        <f>IFERROR(__xludf.DUMMYFUNCTION("""COMPUTED_VALUE"""),"https://drive.google.com/open?id=1Q-2HUV3oEy29X_CjiAHPNaaQ_xqH5-1EwGQIiCQ2mSo")</f>
        <v>https://drive.google.com/open?id=1Q-2HUV3oEy29X_CjiAHPNaaQ_xqH5-1EwGQIiCQ2mSo</v>
      </c>
      <c r="AK873" s="12"/>
      <c r="AL873" s="12" t="str">
        <f>IFERROR(__xludf.DUMMYFUNCTION("""COMPUTED_VALUE"""),"Yes")</f>
        <v>Yes</v>
      </c>
      <c r="AM873" s="15">
        <f>IFERROR(__xludf.DUMMYFUNCTION("""COMPUTED_VALUE"""),0.0)</f>
        <v>0</v>
      </c>
      <c r="AN873" s="12" t="str">
        <f>IFERROR(__xludf.DUMMYFUNCTION("""COMPUTED_VALUE"""),"3rd week")</f>
        <v>3rd week</v>
      </c>
      <c r="AO873" s="13">
        <v>3.0</v>
      </c>
      <c r="AX873" s="17"/>
    </row>
    <row r="874">
      <c r="B874" s="9">
        <f>IFERROR(__xludf.DUMMYFUNCTION("""COMPUTED_VALUE"""),45973.44330359953)</f>
        <v>45973.4433</v>
      </c>
      <c r="C874" s="10" t="str">
        <f>IFERROR(__xludf.DUMMYFUNCTION("""COMPUTED_VALUE"""),"Maham")</f>
        <v>Maham</v>
      </c>
      <c r="D874" s="10" t="str">
        <f>IFERROR(__xludf.DUMMYFUNCTION("""COMPUTED_VALUE"""),"03218118680")</f>
        <v>03218118680</v>
      </c>
      <c r="E874" s="10" t="str">
        <f>IFERROR(__xludf.DUMMYFUNCTION("""COMPUTED_VALUE"""),"Jamia Masjid Renalah Khurda Okara")</f>
        <v>Jamia Masjid Renalah Khurda Okara</v>
      </c>
      <c r="F874" s="10" t="str">
        <f>IFERROR(__xludf.DUMMYFUNCTION("""COMPUTED_VALUE"""),"rujkz")</f>
        <v>rujkz</v>
      </c>
      <c r="G874" s="10" t="str">
        <f>IFERROR(__xludf.DUMMYFUNCTION("""COMPUTED_VALUE"""),"Yes")</f>
        <v>Yes</v>
      </c>
      <c r="H874" s="10">
        <f>IFERROR(__xludf.DUMMYFUNCTION("""COMPUTED_VALUE"""),6.0)</f>
        <v>6</v>
      </c>
      <c r="I874" s="10">
        <f>IFERROR(__xludf.DUMMYFUNCTION("""COMPUTED_VALUE"""),4.0)</f>
        <v>4</v>
      </c>
      <c r="J874" s="10">
        <f>IFERROR(__xludf.DUMMYFUNCTION("""COMPUTED_VALUE"""),10.0)</f>
        <v>10</v>
      </c>
      <c r="K874" s="10">
        <f>IFERROR(__xludf.DUMMYFUNCTION("""COMPUTED_VALUE"""),8.0)</f>
        <v>8</v>
      </c>
      <c r="L874" s="10">
        <f>IFERROR(__xludf.DUMMYFUNCTION("""COMPUTED_VALUE"""),0.0)</f>
        <v>0</v>
      </c>
      <c r="M874" s="10">
        <f>IFERROR(__xludf.DUMMYFUNCTION("""COMPUTED_VALUE"""),7.0)</f>
        <v>7</v>
      </c>
      <c r="N874" s="10">
        <f>IFERROR(__xludf.DUMMYFUNCTION("""COMPUTED_VALUE"""),0.0)</f>
        <v>0</v>
      </c>
      <c r="O874" s="10">
        <f>IFERROR(__xludf.DUMMYFUNCTION("""COMPUTED_VALUE"""),3.0)</f>
        <v>3</v>
      </c>
      <c r="P874" s="10">
        <f>IFERROR(__xludf.DUMMYFUNCTION("""COMPUTED_VALUE"""),0.0)</f>
        <v>0</v>
      </c>
      <c r="Q874" s="10" t="str">
        <f>IFERROR(__xludf.DUMMYFUNCTION("""COMPUTED_VALUE"""),"No")</f>
        <v>No</v>
      </c>
      <c r="R874" s="10" t="str">
        <f>IFERROR(__xludf.DUMMYFUNCTION("""COMPUTED_VALUE"""),"No")</f>
        <v>No</v>
      </c>
      <c r="S874" s="10" t="str">
        <f>IFERROR(__xludf.DUMMYFUNCTION("""COMPUTED_VALUE"""),"No")</f>
        <v>No</v>
      </c>
      <c r="T874" s="10">
        <f>IFERROR(__xludf.DUMMYFUNCTION("""COMPUTED_VALUE"""),0.0)</f>
        <v>0</v>
      </c>
      <c r="U874" s="10">
        <f>IFERROR(__xludf.DUMMYFUNCTION("""COMPUTED_VALUE"""),0.0)</f>
        <v>0</v>
      </c>
      <c r="V874" s="10" t="str">
        <f>IFERROR(__xludf.DUMMYFUNCTION("""COMPUTED_VALUE"""),"معاشرے میں عورت کا مقام اور اس کا کردار")</f>
        <v>معاشرے میں عورت کا مقام اور اس کا کردار</v>
      </c>
      <c r="W874" s="10" t="str">
        <f>IFERROR(__xludf.DUMMYFUNCTION("""COMPUTED_VALUE"""),"معاشرے میں عورت کا مقام اور اس کا کردار بیان کیا گیا اور اس کے کردار کی اہمیت کو واضح کیا گیا")</f>
        <v>معاشرے میں عورت کا مقام اور اس کا کردار بیان کیا گیا اور اس کے کردار کی اہمیت کو واضح کیا گیا</v>
      </c>
      <c r="X874" s="10">
        <f>IFERROR(__xludf.DUMMYFUNCTION("""COMPUTED_VALUE"""),0.0)</f>
        <v>0</v>
      </c>
      <c r="Y874" s="10">
        <f>IFERROR(__xludf.DUMMYFUNCTION("""COMPUTED_VALUE"""),10.0)</f>
        <v>10</v>
      </c>
      <c r="Z874" s="10">
        <f>IFERROR(__xludf.DUMMYFUNCTION("""COMPUTED_VALUE"""),6.0)</f>
        <v>6</v>
      </c>
      <c r="AA874" s="10">
        <f>IFERROR(__xludf.DUMMYFUNCTION("""COMPUTED_VALUE"""),7.0)</f>
        <v>7</v>
      </c>
      <c r="AB874" s="10">
        <f>IFERROR(__xludf.DUMMYFUNCTION("""COMPUTED_VALUE"""),6.0)</f>
        <v>6</v>
      </c>
      <c r="AC874" s="10">
        <f>IFERROR(__xludf.DUMMYFUNCTION("""COMPUTED_VALUE"""),0.0)</f>
        <v>0</v>
      </c>
      <c r="AD874" s="10">
        <f>IFERROR(__xludf.DUMMYFUNCTION("""COMPUTED_VALUE"""),2.0)</f>
        <v>2</v>
      </c>
      <c r="AE874" s="10">
        <f>IFERROR(__xludf.DUMMYFUNCTION("""COMPUTED_VALUE"""),0.0)</f>
        <v>0</v>
      </c>
      <c r="AF874" s="10">
        <f>IFERROR(__xludf.DUMMYFUNCTION("""COMPUTED_VALUE"""),3.0)</f>
        <v>3</v>
      </c>
      <c r="AG874" s="10">
        <f>IFERROR(__xludf.DUMMYFUNCTION("""COMPUTED_VALUE"""),8.0)</f>
        <v>8</v>
      </c>
      <c r="AH874" s="10">
        <f>IFERROR(__xludf.DUMMYFUNCTION("""COMPUTED_VALUE"""),0.0)</f>
        <v>0</v>
      </c>
      <c r="AI874" s="10">
        <f>IFERROR(__xludf.DUMMYFUNCTION("""COMPUTED_VALUE"""),8.0)</f>
        <v>8</v>
      </c>
      <c r="AJ874" s="11" t="str">
        <f>IFERROR(__xludf.DUMMYFUNCTION("""COMPUTED_VALUE"""),"https://drive.google.com/open?id=1D6sY078M_mTgMMHZ4bq5Wn2Cy_ba2Eee")</f>
        <v>https://drive.google.com/open?id=1D6sY078M_mTgMMHZ4bq5Wn2Cy_ba2Eee</v>
      </c>
      <c r="AK874" s="12"/>
      <c r="AL874" s="12" t="str">
        <f>IFERROR(__xludf.DUMMYFUNCTION("""COMPUTED_VALUE"""),"Yes")</f>
        <v>Yes</v>
      </c>
      <c r="AM874" s="15">
        <f>IFERROR(__xludf.DUMMYFUNCTION("""COMPUTED_VALUE"""),0.6)</f>
        <v>0.6</v>
      </c>
      <c r="AN874" s="12" t="str">
        <f>IFERROR(__xludf.DUMMYFUNCTION("""COMPUTED_VALUE"""),"5th week")</f>
        <v>5th week</v>
      </c>
      <c r="AO874" s="13">
        <v>5.0</v>
      </c>
      <c r="AX874" s="17"/>
    </row>
    <row r="875">
      <c r="B875" s="9">
        <f>IFERROR(__xludf.DUMMYFUNCTION("""COMPUTED_VALUE"""),45973.47127494213)</f>
        <v>45973.47127</v>
      </c>
      <c r="C875" s="10" t="str">
        <f>IFERROR(__xludf.DUMMYFUNCTION("""COMPUTED_VALUE"""),"Asma gul")</f>
        <v>Asma gul</v>
      </c>
      <c r="D875" s="10" t="str">
        <f>IFERROR(__xludf.DUMMYFUNCTION("""COMPUTED_VALUE"""),"03459308620")</f>
        <v>03459308620</v>
      </c>
      <c r="E875" s="10" t="str">
        <f>IFERROR(__xludf.DUMMYFUNCTION("""COMPUTED_VALUE"""),"Jamia Masjid Darbar Rung Ali Sarkar Faisalabad")</f>
        <v>Jamia Masjid Darbar Rung Ali Sarkar Faisalabad</v>
      </c>
      <c r="F875" s="10" t="str">
        <f>IFERROR(__xludf.DUMMYFUNCTION("""COMPUTED_VALUE"""),"xjphu")</f>
        <v>xjphu</v>
      </c>
      <c r="G875" s="10" t="str">
        <f>IFERROR(__xludf.DUMMYFUNCTION("""COMPUTED_VALUE"""),"Yes")</f>
        <v>Yes</v>
      </c>
      <c r="H875" s="10">
        <f>IFERROR(__xludf.DUMMYFUNCTION("""COMPUTED_VALUE"""),3.0)</f>
        <v>3</v>
      </c>
      <c r="I875" s="10">
        <f>IFERROR(__xludf.DUMMYFUNCTION("""COMPUTED_VALUE"""),7.0)</f>
        <v>7</v>
      </c>
      <c r="J875" s="10">
        <f>IFERROR(__xludf.DUMMYFUNCTION("""COMPUTED_VALUE"""),3.0)</f>
        <v>3</v>
      </c>
      <c r="K875" s="10">
        <f>IFERROR(__xludf.DUMMYFUNCTION("""COMPUTED_VALUE"""),5.0)</f>
        <v>5</v>
      </c>
      <c r="L875" s="10">
        <f>IFERROR(__xludf.DUMMYFUNCTION("""COMPUTED_VALUE"""),0.0)</f>
        <v>0</v>
      </c>
      <c r="M875" s="10">
        <f>IFERROR(__xludf.DUMMYFUNCTION("""COMPUTED_VALUE"""),0.0)</f>
        <v>0</v>
      </c>
      <c r="N875" s="10">
        <f>IFERROR(__xludf.DUMMYFUNCTION("""COMPUTED_VALUE"""),0.0)</f>
        <v>0</v>
      </c>
      <c r="O875" s="10">
        <f>IFERROR(__xludf.DUMMYFUNCTION("""COMPUTED_VALUE"""),2.0)</f>
        <v>2</v>
      </c>
      <c r="P875" s="10">
        <f>IFERROR(__xludf.DUMMYFUNCTION("""COMPUTED_VALUE"""),0.0)</f>
        <v>0</v>
      </c>
      <c r="Q875" s="10" t="str">
        <f>IFERROR(__xludf.DUMMYFUNCTION("""COMPUTED_VALUE"""),"No")</f>
        <v>No</v>
      </c>
      <c r="R875" s="10" t="str">
        <f>IFERROR(__xludf.DUMMYFUNCTION("""COMPUTED_VALUE"""),"No")</f>
        <v>No</v>
      </c>
      <c r="S875" s="10" t="str">
        <f>IFERROR(__xludf.DUMMYFUNCTION("""COMPUTED_VALUE"""),"No")</f>
        <v>No</v>
      </c>
      <c r="T875" s="10">
        <f>IFERROR(__xludf.DUMMYFUNCTION("""COMPUTED_VALUE"""),0.0)</f>
        <v>0</v>
      </c>
      <c r="U875" s="10">
        <f>IFERROR(__xludf.DUMMYFUNCTION("""COMPUTED_VALUE"""),0.0)</f>
        <v>0</v>
      </c>
      <c r="V875" s="10" t="str">
        <f>IFERROR(__xludf.DUMMYFUNCTION("""COMPUTED_VALUE"""),"درود شریف کی فضیلت اور اسلام میں عورت کا مقام")</f>
        <v>درود شریف کی فضیلت اور اسلام میں عورت کا مقام</v>
      </c>
      <c r="W875" s="10" t="str">
        <f>IFERROR(__xludf.DUMMYFUNCTION("""COMPUTED_VALUE"""),"
اس بیان میں بتایا گیا کہ نبی کریم ﷺ پر درود پڑھنا بہت فضیلت والا عمل ہے، یہ قیامت کے دن مددگار بنے گا اور گناہوں سے نجات دلائے گا۔ اسلام سے پہلے عورت کو عزت نہیں دی جاتی تھی لیکن حضور ﷺ نے عورت کو عزت، مقام اور حقوق عطا فرمائے۔ بیٹی، بہن، ماں اور بیوی سب"&amp;" کو اسلام نے عزت دی اور ان کے حقوق محفوظ کیے۔ ہمیں چاہیے کہ اپنی بیٹیوں اور عورتوں کے ساتھ محبت، احترام اور انصاف کا سلوک کریں")</f>
        <v>
اس بیان میں بتایا گیا کہ نبی کریم ﷺ پر درود پڑھنا بہت فضیلت والا عمل ہے، یہ قیامت کے دن مددگار بنے گا اور گناہوں سے نجات دلائے گا۔ اسلام سے پہلے عورت کو عزت نہیں دی جاتی تھی لیکن حضور ﷺ نے عورت کو عزت، مقام اور حقوق عطا فرمائے۔ بیٹی، بہن، ماں اور بیوی سب کو اسلام نے عزت دی اور ان کے حقوق محفوظ کیے۔ ہمیں چاہیے کہ اپنی بیٹیوں اور عورتوں کے ساتھ محبت، احترام اور انصاف کا سلوک کریں</v>
      </c>
      <c r="X875" s="10">
        <f>IFERROR(__xludf.DUMMYFUNCTION("""COMPUTED_VALUE"""),8.0)</f>
        <v>8</v>
      </c>
      <c r="Y875" s="10">
        <f>IFERROR(__xludf.DUMMYFUNCTION("""COMPUTED_VALUE"""),7.0)</f>
        <v>7</v>
      </c>
      <c r="Z875" s="10">
        <f>IFERROR(__xludf.DUMMYFUNCTION("""COMPUTED_VALUE"""),8.0)</f>
        <v>8</v>
      </c>
      <c r="AA875" s="10">
        <f>IFERROR(__xludf.DUMMYFUNCTION("""COMPUTED_VALUE"""),10.0)</f>
        <v>10</v>
      </c>
      <c r="AB875" s="10">
        <f>IFERROR(__xludf.DUMMYFUNCTION("""COMPUTED_VALUE"""),7.0)</f>
        <v>7</v>
      </c>
      <c r="AC875" s="10">
        <f>IFERROR(__xludf.DUMMYFUNCTION("""COMPUTED_VALUE"""),0.0)</f>
        <v>0</v>
      </c>
      <c r="AD875" s="10">
        <f>IFERROR(__xludf.DUMMYFUNCTION("""COMPUTED_VALUE"""),1.0)</f>
        <v>1</v>
      </c>
      <c r="AE875" s="10">
        <f>IFERROR(__xludf.DUMMYFUNCTION("""COMPUTED_VALUE"""),2.0)</f>
        <v>2</v>
      </c>
      <c r="AF875" s="10">
        <f>IFERROR(__xludf.DUMMYFUNCTION("""COMPUTED_VALUE"""),0.0)</f>
        <v>0</v>
      </c>
      <c r="AG875" s="10">
        <f>IFERROR(__xludf.DUMMYFUNCTION("""COMPUTED_VALUE"""),8.0)</f>
        <v>8</v>
      </c>
      <c r="AH875" s="10">
        <f>IFERROR(__xludf.DUMMYFUNCTION("""COMPUTED_VALUE"""),0.0)</f>
        <v>0</v>
      </c>
      <c r="AI875" s="10">
        <f>IFERROR(__xludf.DUMMYFUNCTION("""COMPUTED_VALUE"""),8.0)</f>
        <v>8</v>
      </c>
      <c r="AJ875" s="11" t="str">
        <f>IFERROR(__xludf.DUMMYFUNCTION("""COMPUTED_VALUE"""),"https://drive.google.com/open?id=12M1OJtS7okYkCnBBu9rsFEccX8tWa_PX")</f>
        <v>https://drive.google.com/open?id=12M1OJtS7okYkCnBBu9rsFEccX8tWa_PX</v>
      </c>
      <c r="AK875" s="12"/>
      <c r="AL875" s="12" t="str">
        <f>IFERROR(__xludf.DUMMYFUNCTION("""COMPUTED_VALUE"""),"Yes")</f>
        <v>Yes</v>
      </c>
      <c r="AM875" s="15">
        <f>IFERROR(__xludf.DUMMYFUNCTION("""COMPUTED_VALUE"""),0.3)</f>
        <v>0.3</v>
      </c>
      <c r="AN875" s="12" t="str">
        <f>IFERROR(__xludf.DUMMYFUNCTION("""COMPUTED_VALUE"""),"2nd week")</f>
        <v>2nd week</v>
      </c>
      <c r="AO875" s="13">
        <v>2.0</v>
      </c>
      <c r="AX875" s="17"/>
    </row>
    <row r="876">
      <c r="B876" s="9">
        <f>IFERROR(__xludf.DUMMYFUNCTION("""COMPUTED_VALUE"""),45973.774165462964)</f>
        <v>45973.77417</v>
      </c>
      <c r="C876" s="10" t="str">
        <f>IFERROR(__xludf.DUMMYFUNCTION("""COMPUTED_VALUE"""),"Maham")</f>
        <v>Maham</v>
      </c>
      <c r="D876" s="10" t="str">
        <f>IFERROR(__xludf.DUMMYFUNCTION("""COMPUTED_VALUE"""),"03218118680")</f>
        <v>03218118680</v>
      </c>
      <c r="E876" s="10" t="str">
        <f>IFERROR(__xludf.DUMMYFUNCTION("""COMPUTED_VALUE"""),"Jamia Masjid Bukhari Shah Alyaas Park Faisalabad")</f>
        <v>Jamia Masjid Bukhari Shah Alyaas Park Faisalabad</v>
      </c>
      <c r="F876" s="10" t="str">
        <f>IFERROR(__xludf.DUMMYFUNCTION("""COMPUTED_VALUE"""),"odqlq")</f>
        <v>odqlq</v>
      </c>
      <c r="G876" s="10" t="str">
        <f>IFERROR(__xludf.DUMMYFUNCTION("""COMPUTED_VALUE"""),"No")</f>
        <v>No</v>
      </c>
      <c r="H876" s="10"/>
      <c r="I876" s="10"/>
      <c r="J876" s="10"/>
      <c r="K876" s="10">
        <f>IFERROR(__xludf.DUMMYFUNCTION("""COMPUTED_VALUE"""),0.0)</f>
        <v>0</v>
      </c>
      <c r="L876" s="10">
        <f>IFERROR(__xludf.DUMMYFUNCTION("""COMPUTED_VALUE"""),0.0)</f>
        <v>0</v>
      </c>
      <c r="M876" s="10">
        <f>IFERROR(__xludf.DUMMYFUNCTION("""COMPUTED_VALUE"""),0.0)</f>
        <v>0</v>
      </c>
      <c r="N876" s="10">
        <f>IFERROR(__xludf.DUMMYFUNCTION("""COMPUTED_VALUE"""),0.0)</f>
        <v>0</v>
      </c>
      <c r="O876" s="10">
        <f>IFERROR(__xludf.DUMMYFUNCTION("""COMPUTED_VALUE"""),0.0)</f>
        <v>0</v>
      </c>
      <c r="P876" s="10">
        <f>IFERROR(__xludf.DUMMYFUNCTION("""COMPUTED_VALUE"""),0.0)</f>
        <v>0</v>
      </c>
      <c r="Q876" s="10" t="str">
        <f>IFERROR(__xludf.DUMMYFUNCTION("""COMPUTED_VALUE"""),"No")</f>
        <v>No</v>
      </c>
      <c r="R876" s="10" t="str">
        <f>IFERROR(__xludf.DUMMYFUNCTION("""COMPUTED_VALUE"""),"No")</f>
        <v>No</v>
      </c>
      <c r="S876" s="10" t="str">
        <f>IFERROR(__xludf.DUMMYFUNCTION("""COMPUTED_VALUE"""),"No")</f>
        <v>No</v>
      </c>
      <c r="T876" s="10">
        <f>IFERROR(__xludf.DUMMYFUNCTION("""COMPUTED_VALUE"""),0.0)</f>
        <v>0</v>
      </c>
      <c r="U876" s="10">
        <f>IFERROR(__xludf.DUMMYFUNCTION("""COMPUTED_VALUE"""),0.0)</f>
        <v>0</v>
      </c>
      <c r="V876" s="10" t="str">
        <f>IFERROR(__xludf.DUMMYFUNCTION("""COMPUTED_VALUE"""),"نیکی کا حکم اور برائی سے روکنا")</f>
        <v>نیکی کا حکم اور برائی سے روکنا</v>
      </c>
      <c r="W876" s="10" t="str">
        <f>IFERROR(__xludf.DUMMYFUNCTION("""COMPUTED_VALUE"""),"ہمارے معاشرے ہمارے گھر ہمارے ملک ہم پر جو بھی فساد شر برپا ہوتا ہے وہ ہمارے بد اعمال ہیں اللہ تعالی کسی جان پر ذرا برابر ظلم نہیں کرتا")</f>
        <v>ہمارے معاشرے ہمارے گھر ہمارے ملک ہم پر جو بھی فساد شر برپا ہوتا ہے وہ ہمارے بد اعمال ہیں اللہ تعالی کسی جان پر ذرا برابر ظلم نہیں کرتا</v>
      </c>
      <c r="X876" s="10">
        <f>IFERROR(__xludf.DUMMYFUNCTION("""COMPUTED_VALUE"""),10.0)</f>
        <v>10</v>
      </c>
      <c r="Y876" s="10">
        <f>IFERROR(__xludf.DUMMYFUNCTION("""COMPUTED_VALUE"""),6.0)</f>
        <v>6</v>
      </c>
      <c r="Z876" s="10">
        <f>IFERROR(__xludf.DUMMYFUNCTION("""COMPUTED_VALUE"""),5.0)</f>
        <v>5</v>
      </c>
      <c r="AA876" s="10">
        <f>IFERROR(__xludf.DUMMYFUNCTION("""COMPUTED_VALUE"""),7.0)</f>
        <v>7</v>
      </c>
      <c r="AB876" s="10">
        <f>IFERROR(__xludf.DUMMYFUNCTION("""COMPUTED_VALUE"""),3.0)</f>
        <v>3</v>
      </c>
      <c r="AC876" s="10">
        <f>IFERROR(__xludf.DUMMYFUNCTION("""COMPUTED_VALUE"""),1.0)</f>
        <v>1</v>
      </c>
      <c r="AD876" s="10">
        <f>IFERROR(__xludf.DUMMYFUNCTION("""COMPUTED_VALUE"""),1.0)</f>
        <v>1</v>
      </c>
      <c r="AE876" s="10">
        <f>IFERROR(__xludf.DUMMYFUNCTION("""COMPUTED_VALUE"""),0.0)</f>
        <v>0</v>
      </c>
      <c r="AF876" s="10">
        <f>IFERROR(__xludf.DUMMYFUNCTION("""COMPUTED_VALUE"""),8.0)</f>
        <v>8</v>
      </c>
      <c r="AG876" s="10">
        <f>IFERROR(__xludf.DUMMYFUNCTION("""COMPUTED_VALUE"""),8.0)</f>
        <v>8</v>
      </c>
      <c r="AH876" s="10">
        <f>IFERROR(__xludf.DUMMYFUNCTION("""COMPUTED_VALUE"""),0.0)</f>
        <v>0</v>
      </c>
      <c r="AI876" s="10">
        <f>IFERROR(__xludf.DUMMYFUNCTION("""COMPUTED_VALUE"""),9.0)</f>
        <v>9</v>
      </c>
      <c r="AJ876" s="11" t="str">
        <f>IFERROR(__xludf.DUMMYFUNCTION("""COMPUTED_VALUE"""),"https://drive.google.com/open?id=1ZiL9yOV9XB0myLhpzeFX0GR_mK_CSk5U")</f>
        <v>https://drive.google.com/open?id=1ZiL9yOV9XB0myLhpzeFX0GR_mK_CSk5U</v>
      </c>
      <c r="AK876" s="12" t="str">
        <f>IFERROR(__xludf.DUMMYFUNCTION("""COMPUTED_VALUE"""),"۔۔۔۔۔۔۔۔۔اس نشان کا مطلب ہے وہاں الفاظ کی سمجھ نہیں ائی اس لیے غلط لکھنے سے بہتر یہ نشان ڈال دیا")</f>
        <v>۔۔۔۔۔۔۔۔۔اس نشان کا مطلب ہے وہاں الفاظ کی سمجھ نہیں ائی اس لیے غلط لکھنے سے بہتر یہ نشان ڈال دیا</v>
      </c>
      <c r="AL876" s="12"/>
      <c r="AM876" s="12"/>
      <c r="AN876" s="12" t="str">
        <f>IFERROR(__xludf.DUMMYFUNCTION("""COMPUTED_VALUE"""),"1st week")</f>
        <v>1st week</v>
      </c>
      <c r="AO876" s="13">
        <v>1.0</v>
      </c>
      <c r="AX876" s="17"/>
    </row>
    <row r="877">
      <c r="B877" s="9">
        <f>IFERROR(__xludf.DUMMYFUNCTION("""COMPUTED_VALUE"""),45973.86678207176)</f>
        <v>45973.86678</v>
      </c>
      <c r="C877" s="10" t="str">
        <f>IFERROR(__xludf.DUMMYFUNCTION("""COMPUTED_VALUE"""),"Atiqa ")</f>
        <v>Atiqa </v>
      </c>
      <c r="D877" s="10" t="str">
        <f>IFERROR(__xludf.DUMMYFUNCTION("""COMPUTED_VALUE"""),"03157519977")</f>
        <v>03157519977</v>
      </c>
      <c r="E877" s="10" t="str">
        <f>IFERROR(__xludf.DUMMYFUNCTION("""COMPUTED_VALUE"""),"Jamia Masjid Rehmaniya Ali Town Sargodha Road Faisalabad")</f>
        <v>Jamia Masjid Rehmaniya Ali Town Sargodha Road Faisalabad</v>
      </c>
      <c r="F877" s="10" t="str">
        <f>IFERROR(__xludf.DUMMYFUNCTION("""COMPUTED_VALUE"""),"rdzla")</f>
        <v>rdzla</v>
      </c>
      <c r="G877" s="10" t="str">
        <f>IFERROR(__xludf.DUMMYFUNCTION("""COMPUTED_VALUE"""),"Yes")</f>
        <v>Yes</v>
      </c>
      <c r="H877" s="10">
        <f>IFERROR(__xludf.DUMMYFUNCTION("""COMPUTED_VALUE"""),0.0)</f>
        <v>0</v>
      </c>
      <c r="I877" s="10">
        <f>IFERROR(__xludf.DUMMYFUNCTION("""COMPUTED_VALUE"""),10.0)</f>
        <v>10</v>
      </c>
      <c r="J877" s="10">
        <f>IFERROR(__xludf.DUMMYFUNCTION("""COMPUTED_VALUE"""),0.0)</f>
        <v>0</v>
      </c>
      <c r="K877" s="10">
        <f>IFERROR(__xludf.DUMMYFUNCTION("""COMPUTED_VALUE"""),0.0)</f>
        <v>0</v>
      </c>
      <c r="L877" s="10">
        <f>IFERROR(__xludf.DUMMYFUNCTION("""COMPUTED_VALUE"""),0.0)</f>
        <v>0</v>
      </c>
      <c r="M877" s="10">
        <f>IFERROR(__xludf.DUMMYFUNCTION("""COMPUTED_VALUE"""),0.0)</f>
        <v>0</v>
      </c>
      <c r="N877" s="10">
        <f>IFERROR(__xludf.DUMMYFUNCTION("""COMPUTED_VALUE"""),0.0)</f>
        <v>0</v>
      </c>
      <c r="O877" s="10">
        <f>IFERROR(__xludf.DUMMYFUNCTION("""COMPUTED_VALUE"""),0.0)</f>
        <v>0</v>
      </c>
      <c r="P877" s="10">
        <f>IFERROR(__xludf.DUMMYFUNCTION("""COMPUTED_VALUE"""),0.0)</f>
        <v>0</v>
      </c>
      <c r="Q877" s="10" t="str">
        <f>IFERROR(__xludf.DUMMYFUNCTION("""COMPUTED_VALUE"""),"No")</f>
        <v>No</v>
      </c>
      <c r="R877" s="10" t="str">
        <f>IFERROR(__xludf.DUMMYFUNCTION("""COMPUTED_VALUE"""),"No")</f>
        <v>No</v>
      </c>
      <c r="S877" s="10" t="str">
        <f>IFERROR(__xludf.DUMMYFUNCTION("""COMPUTED_VALUE"""),"No")</f>
        <v>No</v>
      </c>
      <c r="T877" s="10">
        <f>IFERROR(__xludf.DUMMYFUNCTION("""COMPUTED_VALUE"""),0.0)</f>
        <v>0</v>
      </c>
      <c r="U877" s="10">
        <f>IFERROR(__xludf.DUMMYFUNCTION("""COMPUTED_VALUE"""),0.0)</f>
        <v>0</v>
      </c>
      <c r="V877" s="10" t="str">
        <f>IFERROR(__xludf.DUMMYFUNCTION("""COMPUTED_VALUE"""),"اخلاق سے دین کا پھیلنا")</f>
        <v>اخلاق سے دین کا پھیلنا</v>
      </c>
      <c r="W877" s="10" t="str">
        <f>IFERROR(__xludf.DUMMYFUNCTION("""COMPUTED_VALUE"""),"ہم نے بیان کیا کہ حضور پاک صلی اللہ علیہ وسلم کی 63 سالہ زندگی اخلاق پر مبنی تھی، مکہ والوں کا اور طائف والوں کا اپ صلی اللہ علیہ وسلم پر ظلم و ستم بیان کی ہے اور فتح مکہ کے موقع پر اپ صلی اللہ علیہ وسلم کا اعلی اخلاق سے ان سب کو معاف فرمانا حتی کہ ابو جہ"&amp;"ل سب سے مخالفت کرنے والے کے بیٹے کو بھی معاف فرما دینا۔")</f>
        <v>ہم نے بیان کیا کہ حضور پاک صلی اللہ علیہ وسلم کی 63 سالہ زندگی اخلاق پر مبنی تھی، مکہ والوں کا اور طائف والوں کا اپ صلی اللہ علیہ وسلم پر ظلم و ستم بیان کی ہے اور فتح مکہ کے موقع پر اپ صلی اللہ علیہ وسلم کا اعلی اخلاق سے ان سب کو معاف فرمانا حتی کہ ابو جہل سب سے مخالفت کرنے والے کے بیٹے کو بھی معاف فرما دینا۔</v>
      </c>
      <c r="X877" s="10">
        <f>IFERROR(__xludf.DUMMYFUNCTION("""COMPUTED_VALUE"""),6.0)</f>
        <v>6</v>
      </c>
      <c r="Y877" s="10">
        <f>IFERROR(__xludf.DUMMYFUNCTION("""COMPUTED_VALUE"""),4.0)</f>
        <v>4</v>
      </c>
      <c r="Z877" s="10">
        <f>IFERROR(__xludf.DUMMYFUNCTION("""COMPUTED_VALUE"""),6.0)</f>
        <v>6</v>
      </c>
      <c r="AA877" s="10">
        <f>IFERROR(__xludf.DUMMYFUNCTION("""COMPUTED_VALUE"""),9.0)</f>
        <v>9</v>
      </c>
      <c r="AB877" s="10">
        <f>IFERROR(__xludf.DUMMYFUNCTION("""COMPUTED_VALUE"""),7.0)</f>
        <v>7</v>
      </c>
      <c r="AC877" s="10">
        <f>IFERROR(__xludf.DUMMYFUNCTION("""COMPUTED_VALUE"""),4.0)</f>
        <v>4</v>
      </c>
      <c r="AD877" s="10">
        <f>IFERROR(__xludf.DUMMYFUNCTION("""COMPUTED_VALUE"""),0.0)</f>
        <v>0</v>
      </c>
      <c r="AE877" s="10">
        <f>IFERROR(__xludf.DUMMYFUNCTION("""COMPUTED_VALUE"""),4.0)</f>
        <v>4</v>
      </c>
      <c r="AF877" s="10">
        <f>IFERROR(__xludf.DUMMYFUNCTION("""COMPUTED_VALUE"""),4.0)</f>
        <v>4</v>
      </c>
      <c r="AG877" s="10">
        <f>IFERROR(__xludf.DUMMYFUNCTION("""COMPUTED_VALUE"""),9.0)</f>
        <v>9</v>
      </c>
      <c r="AH877" s="10">
        <f>IFERROR(__xludf.DUMMYFUNCTION("""COMPUTED_VALUE"""),0.0)</f>
        <v>0</v>
      </c>
      <c r="AI877" s="10">
        <f>IFERROR(__xludf.DUMMYFUNCTION("""COMPUTED_VALUE"""),9.0)</f>
        <v>9</v>
      </c>
      <c r="AJ877" s="11" t="str">
        <f>IFERROR(__xludf.DUMMYFUNCTION("""COMPUTED_VALUE"""),"https://drive.google.com/open?id=1gaE6TN3XGlDUW2QNWcOLaVxmO8Od2djm3wE5nZ5WLwM")</f>
        <v>https://drive.google.com/open?id=1gaE6TN3XGlDUW2QNWcOLaVxmO8Od2djm3wE5nZ5WLwM</v>
      </c>
      <c r="AK877" s="12"/>
      <c r="AL877" s="12" t="str">
        <f>IFERROR(__xludf.DUMMYFUNCTION("""COMPUTED_VALUE"""),"Yes")</f>
        <v>Yes</v>
      </c>
      <c r="AM877" s="15">
        <f>IFERROR(__xludf.DUMMYFUNCTION("""COMPUTED_VALUE"""),0.0)</f>
        <v>0</v>
      </c>
      <c r="AN877" s="12" t="str">
        <f>IFERROR(__xludf.DUMMYFUNCTION("""COMPUTED_VALUE"""),"4th week")</f>
        <v>4th week</v>
      </c>
      <c r="AO877" s="13">
        <v>4.0</v>
      </c>
      <c r="AX877" s="17"/>
    </row>
    <row r="878">
      <c r="B878" s="9">
        <f>IFERROR(__xludf.DUMMYFUNCTION("""COMPUTED_VALUE"""),45974.26278226852)</f>
        <v>45974.26278</v>
      </c>
      <c r="C878" s="10" t="str">
        <f>IFERROR(__xludf.DUMMYFUNCTION("""COMPUTED_VALUE"""),"Maham")</f>
        <v>Maham</v>
      </c>
      <c r="D878" s="10" t="str">
        <f>IFERROR(__xludf.DUMMYFUNCTION("""COMPUTED_VALUE"""),"03218118680")</f>
        <v>03218118680</v>
      </c>
      <c r="E878" s="10" t="str">
        <f>IFERROR(__xludf.DUMMYFUNCTION("""COMPUTED_VALUE"""),"Jamia Masjid Kareem Khan Ahle Hadees Multan")</f>
        <v>Jamia Masjid Kareem Khan Ahle Hadees Multan</v>
      </c>
      <c r="F878" s="10" t="str">
        <f>IFERROR(__xludf.DUMMYFUNCTION("""COMPUTED_VALUE"""),"lirqw")</f>
        <v>lirqw</v>
      </c>
      <c r="G878" s="10" t="str">
        <f>IFERROR(__xludf.DUMMYFUNCTION("""COMPUTED_VALUE"""),"Yes")</f>
        <v>Yes</v>
      </c>
      <c r="H878" s="10">
        <f>IFERROR(__xludf.DUMMYFUNCTION("""COMPUTED_VALUE"""),2.0)</f>
        <v>2</v>
      </c>
      <c r="I878" s="10">
        <f>IFERROR(__xludf.DUMMYFUNCTION("""COMPUTED_VALUE"""),8.0)</f>
        <v>8</v>
      </c>
      <c r="J878" s="10">
        <f>IFERROR(__xludf.DUMMYFUNCTION("""COMPUTED_VALUE"""),7.0)</f>
        <v>7</v>
      </c>
      <c r="K878" s="10">
        <f>IFERROR(__xludf.DUMMYFUNCTION("""COMPUTED_VALUE"""),0.0)</f>
        <v>0</v>
      </c>
      <c r="L878" s="10">
        <f>IFERROR(__xludf.DUMMYFUNCTION("""COMPUTED_VALUE"""),7.0)</f>
        <v>7</v>
      </c>
      <c r="M878" s="10">
        <f>IFERROR(__xludf.DUMMYFUNCTION("""COMPUTED_VALUE"""),0.0)</f>
        <v>0</v>
      </c>
      <c r="N878" s="10">
        <f>IFERROR(__xludf.DUMMYFUNCTION("""COMPUTED_VALUE"""),8.0)</f>
        <v>8</v>
      </c>
      <c r="O878" s="10">
        <f>IFERROR(__xludf.DUMMYFUNCTION("""COMPUTED_VALUE"""),0.0)</f>
        <v>0</v>
      </c>
      <c r="P878" s="10">
        <f>IFERROR(__xludf.DUMMYFUNCTION("""COMPUTED_VALUE"""),7.0)</f>
        <v>7</v>
      </c>
      <c r="Q878" s="10" t="str">
        <f>IFERROR(__xludf.DUMMYFUNCTION("""COMPUTED_VALUE"""),"No")</f>
        <v>No</v>
      </c>
      <c r="R878" s="10" t="str">
        <f>IFERROR(__xludf.DUMMYFUNCTION("""COMPUTED_VALUE"""),"No")</f>
        <v>No</v>
      </c>
      <c r="S878" s="10" t="str">
        <f>IFERROR(__xludf.DUMMYFUNCTION("""COMPUTED_VALUE"""),"No")</f>
        <v>No</v>
      </c>
      <c r="T878" s="10">
        <f>IFERROR(__xludf.DUMMYFUNCTION("""COMPUTED_VALUE"""),0.0)</f>
        <v>0</v>
      </c>
      <c r="U878" s="10">
        <f>IFERROR(__xludf.DUMMYFUNCTION("""COMPUTED_VALUE"""),0.0)</f>
        <v>0</v>
      </c>
      <c r="V878" s="10" t="str">
        <f>IFERROR(__xludf.DUMMYFUNCTION("""COMPUTED_VALUE"""),"-")</f>
        <v>-</v>
      </c>
      <c r="W878" s="10" t="str">
        <f>IFERROR(__xludf.DUMMYFUNCTION("""COMPUTED_VALUE"""),"-")</f>
        <v>-</v>
      </c>
      <c r="X878" s="10">
        <f>IFERROR(__xludf.DUMMYFUNCTION("""COMPUTED_VALUE"""),2.0)</f>
        <v>2</v>
      </c>
      <c r="Y878" s="10">
        <f>IFERROR(__xludf.DUMMYFUNCTION("""COMPUTED_VALUE"""),8.0)</f>
        <v>8</v>
      </c>
      <c r="Z878" s="10">
        <f>IFERROR(__xludf.DUMMYFUNCTION("""COMPUTED_VALUE"""),8.0)</f>
        <v>8</v>
      </c>
      <c r="AA878" s="10">
        <f>IFERROR(__xludf.DUMMYFUNCTION("""COMPUTED_VALUE"""),8.0)</f>
        <v>8</v>
      </c>
      <c r="AB878" s="10">
        <f>IFERROR(__xludf.DUMMYFUNCTION("""COMPUTED_VALUE"""),6.0)</f>
        <v>6</v>
      </c>
      <c r="AC878" s="10">
        <f>IFERROR(__xludf.DUMMYFUNCTION("""COMPUTED_VALUE"""),1.0)</f>
        <v>1</v>
      </c>
      <c r="AD878" s="10">
        <f>IFERROR(__xludf.DUMMYFUNCTION("""COMPUTED_VALUE"""),4.0)</f>
        <v>4</v>
      </c>
      <c r="AE878" s="10">
        <f>IFERROR(__xludf.DUMMYFUNCTION("""COMPUTED_VALUE"""),1.0)</f>
        <v>1</v>
      </c>
      <c r="AF878" s="10">
        <f>IFERROR(__xludf.DUMMYFUNCTION("""COMPUTED_VALUE"""),3.0)</f>
        <v>3</v>
      </c>
      <c r="AG878" s="10">
        <f>IFERROR(__xludf.DUMMYFUNCTION("""COMPUTED_VALUE"""),7.0)</f>
        <v>7</v>
      </c>
      <c r="AH878" s="10">
        <f>IFERROR(__xludf.DUMMYFUNCTION("""COMPUTED_VALUE"""),0.0)</f>
        <v>0</v>
      </c>
      <c r="AI878" s="10">
        <f>IFERROR(__xludf.DUMMYFUNCTION("""COMPUTED_VALUE"""),8.0)</f>
        <v>8</v>
      </c>
      <c r="AJ878" s="11" t="str">
        <f>IFERROR(__xludf.DUMMYFUNCTION("""COMPUTED_VALUE"""),"https://drive.google.com/file/d/1TBwPx9QxllPperENDYjIDC4wS_n0Riyv/view?usp=sharing")</f>
        <v>https://drive.google.com/file/d/1TBwPx9QxllPperENDYjIDC4wS_n0Riyv/view?usp=sharing</v>
      </c>
      <c r="AK878" s="12"/>
      <c r="AL878" s="12" t="str">
        <f>IFERROR(__xludf.DUMMYFUNCTION("""COMPUTED_VALUE"""),"Yes")</f>
        <v>Yes</v>
      </c>
      <c r="AM878" s="15">
        <f>IFERROR(__xludf.DUMMYFUNCTION("""COMPUTED_VALUE"""),0.2)</f>
        <v>0.2</v>
      </c>
      <c r="AN878" s="12" t="str">
        <f>IFERROR(__xludf.DUMMYFUNCTION("""COMPUTED_VALUE"""),"4th week")</f>
        <v>4th week</v>
      </c>
      <c r="AO878" s="13">
        <v>4.0</v>
      </c>
      <c r="AX878" s="17"/>
    </row>
    <row r="879">
      <c r="B879" s="9">
        <f>IFERROR(__xludf.DUMMYFUNCTION("""COMPUTED_VALUE"""),45974.2842719676)</f>
        <v>45974.28427</v>
      </c>
      <c r="C879" s="10" t="str">
        <f>IFERROR(__xludf.DUMMYFUNCTION("""COMPUTED_VALUE"""),"Atiqa ")</f>
        <v>Atiqa </v>
      </c>
      <c r="D879" s="10" t="str">
        <f>IFERROR(__xludf.DUMMYFUNCTION("""COMPUTED_VALUE"""),"03157519977")</f>
        <v>03157519977</v>
      </c>
      <c r="E879" s="10" t="str">
        <f>IFERROR(__xludf.DUMMYFUNCTION("""COMPUTED_VALUE"""),"Jamia Masjid Kareem Khan Ahle Hadees Multan Comunity")</f>
        <v>Jamia Masjid Kareem Khan Ahle Hadees Multan Comunity</v>
      </c>
      <c r="F879" s="10" t="str">
        <f>IFERROR(__xludf.DUMMYFUNCTION("""COMPUTED_VALUE"""),"lirqw")</f>
        <v>lirqw</v>
      </c>
      <c r="G879" s="10" t="str">
        <f>IFERROR(__xludf.DUMMYFUNCTION("""COMPUTED_VALUE"""),"Yes")</f>
        <v>Yes</v>
      </c>
      <c r="H879" s="10">
        <f>IFERROR(__xludf.DUMMYFUNCTION("""COMPUTED_VALUE"""),0.0)</f>
        <v>0</v>
      </c>
      <c r="I879" s="10">
        <f>IFERROR(__xludf.DUMMYFUNCTION("""COMPUTED_VALUE"""),0.0)</f>
        <v>0</v>
      </c>
      <c r="J879" s="10">
        <f>IFERROR(__xludf.DUMMYFUNCTION("""COMPUTED_VALUE"""),0.0)</f>
        <v>0</v>
      </c>
      <c r="K879" s="10">
        <f>IFERROR(__xludf.DUMMYFUNCTION("""COMPUTED_VALUE"""),0.0)</f>
        <v>0</v>
      </c>
      <c r="L879" s="10">
        <f>IFERROR(__xludf.DUMMYFUNCTION("""COMPUTED_VALUE"""),0.0)</f>
        <v>0</v>
      </c>
      <c r="M879" s="10">
        <f>IFERROR(__xludf.DUMMYFUNCTION("""COMPUTED_VALUE"""),0.0)</f>
        <v>0</v>
      </c>
      <c r="N879" s="10">
        <f>IFERROR(__xludf.DUMMYFUNCTION("""COMPUTED_VALUE"""),0.0)</f>
        <v>0</v>
      </c>
      <c r="O879" s="10">
        <f>IFERROR(__xludf.DUMMYFUNCTION("""COMPUTED_VALUE"""),0.0)</f>
        <v>0</v>
      </c>
      <c r="P879" s="10">
        <f>IFERROR(__xludf.DUMMYFUNCTION("""COMPUTED_VALUE"""),0.0)</f>
        <v>0</v>
      </c>
      <c r="Q879" s="10" t="str">
        <f>IFERROR(__xludf.DUMMYFUNCTION("""COMPUTED_VALUE"""),"No")</f>
        <v>No</v>
      </c>
      <c r="R879" s="10" t="str">
        <f>IFERROR(__xludf.DUMMYFUNCTION("""COMPUTED_VALUE"""),"No")</f>
        <v>No</v>
      </c>
      <c r="S879" s="10" t="str">
        <f>IFERROR(__xludf.DUMMYFUNCTION("""COMPUTED_VALUE"""),"No")</f>
        <v>No</v>
      </c>
      <c r="T879" s="10">
        <f>IFERROR(__xludf.DUMMYFUNCTION("""COMPUTED_VALUE"""),0.0)</f>
        <v>0</v>
      </c>
      <c r="U879" s="10">
        <f>IFERROR(__xludf.DUMMYFUNCTION("""COMPUTED_VALUE"""),0.0)</f>
        <v>0</v>
      </c>
      <c r="V879" s="10" t="str">
        <f>IFERROR(__xludf.DUMMYFUNCTION("""COMPUTED_VALUE"""),"پڑوسیوں کے حقوق ")</f>
        <v>پڑوسیوں کے حقوق </v>
      </c>
      <c r="W879" s="10" t="str">
        <f>IFERROR(__xludf.DUMMYFUNCTION("""COMPUTED_VALUE"""),"امام نے پڑوسیوں کے حقوق اور اداب کے بارے میں بات کی اور پڑوسیوں کے حقوق بیان کیے اور ساتھ میں ان کو تکلیف اور ایذا دینے سے منع فرمایا ")</f>
        <v>امام نے پڑوسیوں کے حقوق اور اداب کے بارے میں بات کی اور پڑوسیوں کے حقوق بیان کیے اور ساتھ میں ان کو تکلیف اور ایذا دینے سے منع فرمایا </v>
      </c>
      <c r="X879" s="10">
        <f>IFERROR(__xludf.DUMMYFUNCTION("""COMPUTED_VALUE"""),0.0)</f>
        <v>0</v>
      </c>
      <c r="Y879" s="10">
        <f>IFERROR(__xludf.DUMMYFUNCTION("""COMPUTED_VALUE"""),0.0)</f>
        <v>0</v>
      </c>
      <c r="Z879" s="10">
        <f>IFERROR(__xludf.DUMMYFUNCTION("""COMPUTED_VALUE"""),0.0)</f>
        <v>0</v>
      </c>
      <c r="AA879" s="10">
        <f>IFERROR(__xludf.DUMMYFUNCTION("""COMPUTED_VALUE"""),0.0)</f>
        <v>0</v>
      </c>
      <c r="AB879" s="10">
        <f>IFERROR(__xludf.DUMMYFUNCTION("""COMPUTED_VALUE"""),0.0)</f>
        <v>0</v>
      </c>
      <c r="AC879" s="10">
        <f>IFERROR(__xludf.DUMMYFUNCTION("""COMPUTED_VALUE"""),0.0)</f>
        <v>0</v>
      </c>
      <c r="AD879" s="10">
        <f>IFERROR(__xludf.DUMMYFUNCTION("""COMPUTED_VALUE"""),0.0)</f>
        <v>0</v>
      </c>
      <c r="AE879" s="10">
        <f>IFERROR(__xludf.DUMMYFUNCTION("""COMPUTED_VALUE"""),0.0)</f>
        <v>0</v>
      </c>
      <c r="AF879" s="10">
        <f>IFERROR(__xludf.DUMMYFUNCTION("""COMPUTED_VALUE"""),0.0)</f>
        <v>0</v>
      </c>
      <c r="AG879" s="10">
        <f>IFERROR(__xludf.DUMMYFUNCTION("""COMPUTED_VALUE"""),0.0)</f>
        <v>0</v>
      </c>
      <c r="AH879" s="10">
        <f>IFERROR(__xludf.DUMMYFUNCTION("""COMPUTED_VALUE"""),0.0)</f>
        <v>0</v>
      </c>
      <c r="AI879" s="10">
        <f>IFERROR(__xludf.DUMMYFUNCTION("""COMPUTED_VALUE"""),0.0)</f>
        <v>0</v>
      </c>
      <c r="AJ879" s="11" t="str">
        <f>IFERROR(__xludf.DUMMYFUNCTION("""COMPUTED_VALUE"""),"https://drive.google.com/open?id=15iqofTVELuqsSiDIaayIyitlPyWmg8iUs8FDBNaXKK4")</f>
        <v>https://drive.google.com/open?id=15iqofTVELuqsSiDIaayIyitlPyWmg8iUs8FDBNaXKK4</v>
      </c>
      <c r="AK879" s="12"/>
      <c r="AL879" s="12" t="str">
        <f>IFERROR(__xludf.DUMMYFUNCTION("""COMPUTED_VALUE"""),"Yes")</f>
        <v>Yes</v>
      </c>
      <c r="AM879" s="15">
        <f>IFERROR(__xludf.DUMMYFUNCTION("""COMPUTED_VALUE"""),0.0)</f>
        <v>0</v>
      </c>
      <c r="AN879" s="12" t="str">
        <f>IFERROR(__xludf.DUMMYFUNCTION("""COMPUTED_VALUE"""),"3rd week")</f>
        <v>3rd week</v>
      </c>
      <c r="AO879" s="13">
        <v>3.0</v>
      </c>
      <c r="AX879" s="17"/>
    </row>
    <row r="880">
      <c r="B880" s="9">
        <f>IFERROR(__xludf.DUMMYFUNCTION("""COMPUTED_VALUE"""),45974.338243252314)</f>
        <v>45974.33824</v>
      </c>
      <c r="C880" s="10" t="str">
        <f>IFERROR(__xludf.DUMMYFUNCTION("""COMPUTED_VALUE"""),"Saira Shahzad ")</f>
        <v>Saira Shahzad </v>
      </c>
      <c r="D880" s="10" t="str">
        <f>IFERROR(__xludf.DUMMYFUNCTION("""COMPUTED_VALUE"""),"03114534696")</f>
        <v>03114534696</v>
      </c>
      <c r="E880" s="10" t="str">
        <f>IFERROR(__xludf.DUMMYFUNCTION("""COMPUTED_VALUE"""),"Jamia Masjid Mula Abdul Gafurur Multan")</f>
        <v>Jamia Masjid Mula Abdul Gafurur Multan</v>
      </c>
      <c r="F880" s="10" t="str">
        <f>IFERROR(__xludf.DUMMYFUNCTION("""COMPUTED_VALUE"""),"rnksi	")</f>
        <v>rnksi	</v>
      </c>
      <c r="G880" s="10" t="str">
        <f>IFERROR(__xludf.DUMMYFUNCTION("""COMPUTED_VALUE"""),"Yes")</f>
        <v>Yes</v>
      </c>
      <c r="H880" s="10">
        <f>IFERROR(__xludf.DUMMYFUNCTION("""COMPUTED_VALUE"""),0.0)</f>
        <v>0</v>
      </c>
      <c r="I880" s="10">
        <f>IFERROR(__xludf.DUMMYFUNCTION("""COMPUTED_VALUE"""),0.0)</f>
        <v>0</v>
      </c>
      <c r="J880" s="10">
        <f>IFERROR(__xludf.DUMMYFUNCTION("""COMPUTED_VALUE"""),0.0)</f>
        <v>0</v>
      </c>
      <c r="K880" s="10">
        <f>IFERROR(__xludf.DUMMYFUNCTION("""COMPUTED_VALUE"""),0.0)</f>
        <v>0</v>
      </c>
      <c r="L880" s="10">
        <f>IFERROR(__xludf.DUMMYFUNCTION("""COMPUTED_VALUE"""),7.0)</f>
        <v>7</v>
      </c>
      <c r="M880" s="10">
        <f>IFERROR(__xludf.DUMMYFUNCTION("""COMPUTED_VALUE"""),0.0)</f>
        <v>0</v>
      </c>
      <c r="N880" s="10">
        <f>IFERROR(__xludf.DUMMYFUNCTION("""COMPUTED_VALUE"""),5.0)</f>
        <v>5</v>
      </c>
      <c r="O880" s="10">
        <f>IFERROR(__xludf.DUMMYFUNCTION("""COMPUTED_VALUE"""),0.0)</f>
        <v>0</v>
      </c>
      <c r="P880" s="10">
        <f>IFERROR(__xludf.DUMMYFUNCTION("""COMPUTED_VALUE"""),0.0)</f>
        <v>0</v>
      </c>
      <c r="Q880" s="10" t="str">
        <f>IFERROR(__xludf.DUMMYFUNCTION("""COMPUTED_VALUE"""),"No")</f>
        <v>No</v>
      </c>
      <c r="R880" s="10" t="str">
        <f>IFERROR(__xludf.DUMMYFUNCTION("""COMPUTED_VALUE"""),"No")</f>
        <v>No</v>
      </c>
      <c r="S880" s="10" t="str">
        <f>IFERROR(__xludf.DUMMYFUNCTION("""COMPUTED_VALUE"""),"No")</f>
        <v>No</v>
      </c>
      <c r="T880" s="10">
        <f>IFERROR(__xludf.DUMMYFUNCTION("""COMPUTED_VALUE"""),0.0)</f>
        <v>0</v>
      </c>
      <c r="U880" s="10">
        <f>IFERROR(__xludf.DUMMYFUNCTION("""COMPUTED_VALUE"""),0.0)</f>
        <v>0</v>
      </c>
      <c r="V880" s="10" t="str">
        <f>IFERROR(__xludf.DUMMYFUNCTION("""COMPUTED_VALUE"""),"پڑوسیوں کے حقوق")</f>
        <v>پڑوسیوں کے حقوق</v>
      </c>
      <c r="W880" s="10" t="str">
        <f>IFERROR(__xludf.DUMMYFUNCTION("""COMPUTED_VALUE"""),"امام نے اپنے بیان میں پڑوسیوں کے حقوق پر تفصیل سے خطبہ دیا ہے یعنی کہ اگر تمہارا پروسی بیمار ہو تو اس کی  عیادت کرنے اس کے گھر جاؤ اگر وہ مصیبت میں ہو تو اس کی مالی مدد کرو اس کی خوشی غمی میں شرکت کروں اگر فوت ہو جائے تو جنازے میں شرکت کروں اور یہاں تک حک"&amp;"م ہے کہ اپنے گھر کی دیوار اپنے پڑوسی سے اونچی نہ کرو تاکہ اس کی ہوا نہ رک جائے حضور پاک صلی اللہ علیہ والہ وسلم نے فرمایا کہ وہ شخص ہم میں سے نہیں جس کا پروسیس اس کے شر سے محفوظ نہ ہو اور پڑوسیوں کے بارے میں جاننے کے لیے مسجد بہت اہم کردار ادا کرتی ہیں کی"&amp;"ونکہ مسجد میں جب مسلمان پانچ وقت نماز کے لیے اکٹھے ہوتے ہیں تو اگر کوئی مسجد میں نہ ائے یا کسی کو کوئی مسئلہ ہو تو اس چیز کا علم ہو جاتا ہے کہ ہمارا پڑوسی یا محلے دار کسی مشکل میں ہے")</f>
        <v>امام نے اپنے بیان میں پڑوسیوں کے حقوق پر تفصیل سے خطبہ دیا ہے یعنی کہ اگر تمہارا پروسی بیمار ہو تو اس کی  عیادت کرنے اس کے گھر جاؤ اگر وہ مصیبت میں ہو تو اس کی مالی مدد کرو اس کی خوشی غمی میں شرکت کروں اگر فوت ہو جائے تو جنازے میں شرکت کروں اور یہاں تک حکم ہے کہ اپنے گھر کی دیوار اپنے پڑوسی سے اونچی نہ کرو تاکہ اس کی ہوا نہ رک جائے حضور پاک صلی اللہ علیہ والہ وسلم نے فرمایا کہ وہ شخص ہم میں سے نہیں جس کا پروسیس اس کے شر سے محفوظ نہ ہو اور پڑوسیوں کے بارے میں جاننے کے لیے مسجد بہت اہم کردار ادا کرتی ہیں کیونکہ مسجد میں جب مسلمان پانچ وقت نماز کے لیے اکٹھے ہوتے ہیں تو اگر کوئی مسجد میں نہ ائے یا کسی کو کوئی مسئلہ ہو تو اس چیز کا علم ہو جاتا ہے کہ ہمارا پڑوسی یا محلے دار کسی مشکل میں ہے</v>
      </c>
      <c r="X880" s="10">
        <f>IFERROR(__xludf.DUMMYFUNCTION("""COMPUTED_VALUE"""),0.0)</f>
        <v>0</v>
      </c>
      <c r="Y880" s="10">
        <f>IFERROR(__xludf.DUMMYFUNCTION("""COMPUTED_VALUE"""),0.0)</f>
        <v>0</v>
      </c>
      <c r="Z880" s="10">
        <f>IFERROR(__xludf.DUMMYFUNCTION("""COMPUTED_VALUE"""),4.0)</f>
        <v>4</v>
      </c>
      <c r="AA880" s="10">
        <f>IFERROR(__xludf.DUMMYFUNCTION("""COMPUTED_VALUE"""),0.0)</f>
        <v>0</v>
      </c>
      <c r="AB880" s="10">
        <f>IFERROR(__xludf.DUMMYFUNCTION("""COMPUTED_VALUE"""),0.0)</f>
        <v>0</v>
      </c>
      <c r="AC880" s="10">
        <f>IFERROR(__xludf.DUMMYFUNCTION("""COMPUTED_VALUE"""),0.0)</f>
        <v>0</v>
      </c>
      <c r="AD880" s="10">
        <f>IFERROR(__xludf.DUMMYFUNCTION("""COMPUTED_VALUE"""),0.0)</f>
        <v>0</v>
      </c>
      <c r="AE880" s="10">
        <f>IFERROR(__xludf.DUMMYFUNCTION("""COMPUTED_VALUE"""),0.0)</f>
        <v>0</v>
      </c>
      <c r="AF880" s="10">
        <f>IFERROR(__xludf.DUMMYFUNCTION("""COMPUTED_VALUE"""),0.0)</f>
        <v>0</v>
      </c>
      <c r="AG880" s="10">
        <f>IFERROR(__xludf.DUMMYFUNCTION("""COMPUTED_VALUE"""),7.0)</f>
        <v>7</v>
      </c>
      <c r="AH880" s="10">
        <f>IFERROR(__xludf.DUMMYFUNCTION("""COMPUTED_VALUE"""),0.0)</f>
        <v>0</v>
      </c>
      <c r="AI880" s="10">
        <f>IFERROR(__xludf.DUMMYFUNCTION("""COMPUTED_VALUE"""),8.0)</f>
        <v>8</v>
      </c>
      <c r="AJ880" s="11" t="str">
        <f>IFERROR(__xludf.DUMMYFUNCTION("""COMPUTED_VALUE"""),"https://drive.google.com/open?id=13d6bFHNxZV-orbuu7m7Jjk8XM-zuQTyMJaGdtO2phIo")</f>
        <v>https://drive.google.com/open?id=13d6bFHNxZV-orbuu7m7Jjk8XM-zuQTyMJaGdtO2phIo</v>
      </c>
      <c r="AK880" s="12" t="str">
        <f>IFERROR(__xludf.DUMMYFUNCTION("""COMPUTED_VALUE"""),"No")</f>
        <v>No</v>
      </c>
      <c r="AL880" s="12" t="str">
        <f>IFERROR(__xludf.DUMMYFUNCTION("""COMPUTED_VALUE"""),"No")</f>
        <v>No</v>
      </c>
      <c r="AM880" s="15">
        <f>IFERROR(__xludf.DUMMYFUNCTION("""COMPUTED_VALUE"""),0.0)</f>
        <v>0</v>
      </c>
      <c r="AN880" s="12" t="str">
        <f>IFERROR(__xludf.DUMMYFUNCTION("""COMPUTED_VALUE"""),"4th week")</f>
        <v>4th week</v>
      </c>
      <c r="AO880" s="13">
        <v>4.0</v>
      </c>
      <c r="AX880" s="17"/>
    </row>
    <row r="881">
      <c r="B881" s="9">
        <f>IFERROR(__xludf.DUMMYFUNCTION("""COMPUTED_VALUE"""),45975.42618862269)</f>
        <v>45975.42619</v>
      </c>
      <c r="C881" s="10" t="str">
        <f>IFERROR(__xludf.DUMMYFUNCTION("""COMPUTED_VALUE"""),"Atiqa")</f>
        <v>Atiqa</v>
      </c>
      <c r="D881" s="10" t="str">
        <f>IFERROR(__xludf.DUMMYFUNCTION("""COMPUTED_VALUE"""),"03157519977")</f>
        <v>03157519977</v>
      </c>
      <c r="E881" s="10" t="str">
        <f>IFERROR(__xludf.DUMMYFUNCTION("""COMPUTED_VALUE"""),"Jamia Masjid Mulا Abdul Gufrur Multan")</f>
        <v>Jamia Masjid Mulا Abdul Gufrur Multan</v>
      </c>
      <c r="F881" s="10" t="str">
        <f>IFERROR(__xludf.DUMMYFUNCTION("""COMPUTED_VALUE"""),"rnksi")</f>
        <v>rnksi</v>
      </c>
      <c r="G881" s="10" t="str">
        <f>IFERROR(__xludf.DUMMYFUNCTION("""COMPUTED_VALUE"""),"Yes")</f>
        <v>Yes</v>
      </c>
      <c r="H881" s="10">
        <f>IFERROR(__xludf.DUMMYFUNCTION("""COMPUTED_VALUE"""),10.0)</f>
        <v>10</v>
      </c>
      <c r="I881" s="10">
        <f>IFERROR(__xludf.DUMMYFUNCTION("""COMPUTED_VALUE"""),0.0)</f>
        <v>0</v>
      </c>
      <c r="J881" s="10">
        <f>IFERROR(__xludf.DUMMYFUNCTION("""COMPUTED_VALUE"""),10.0)</f>
        <v>10</v>
      </c>
      <c r="K881" s="10">
        <f>IFERROR(__xludf.DUMMYFUNCTION("""COMPUTED_VALUE"""),0.0)</f>
        <v>0</v>
      </c>
      <c r="L881" s="10">
        <f>IFERROR(__xludf.DUMMYFUNCTION("""COMPUTED_VALUE"""),10.0)</f>
        <v>10</v>
      </c>
      <c r="M881" s="10">
        <f>IFERROR(__xludf.DUMMYFUNCTION("""COMPUTED_VALUE"""),0.0)</f>
        <v>0</v>
      </c>
      <c r="N881" s="10">
        <f>IFERROR(__xludf.DUMMYFUNCTION("""COMPUTED_VALUE"""),9.0)</f>
        <v>9</v>
      </c>
      <c r="O881" s="10">
        <f>IFERROR(__xludf.DUMMYFUNCTION("""COMPUTED_VALUE"""),0.0)</f>
        <v>0</v>
      </c>
      <c r="P881" s="10">
        <f>IFERROR(__xludf.DUMMYFUNCTION("""COMPUTED_VALUE"""),9.0)</f>
        <v>9</v>
      </c>
      <c r="Q881" s="10" t="str">
        <f>IFERROR(__xludf.DUMMYFUNCTION("""COMPUTED_VALUE"""),"No")</f>
        <v>No</v>
      </c>
      <c r="R881" s="10" t="str">
        <f>IFERROR(__xludf.DUMMYFUNCTION("""COMPUTED_VALUE"""),"Yes")</f>
        <v>Yes</v>
      </c>
      <c r="S881" s="10" t="str">
        <f>IFERROR(__xludf.DUMMYFUNCTION("""COMPUTED_VALUE"""),"Yes")</f>
        <v>Yes</v>
      </c>
      <c r="T881" s="10">
        <f>IFERROR(__xludf.DUMMYFUNCTION("""COMPUTED_VALUE"""),0.0)</f>
        <v>0</v>
      </c>
      <c r="U881" s="10">
        <f>IFERROR(__xludf.DUMMYFUNCTION("""COMPUTED_VALUE"""),0.0)</f>
        <v>0</v>
      </c>
      <c r="V881" s="10" t="str">
        <f>IFERROR(__xludf.DUMMYFUNCTION("""COMPUTED_VALUE"""),"پڑوس اور اہل محلہ کے حقوق ")</f>
        <v>پڑوس اور اہل محلہ کے حقوق </v>
      </c>
      <c r="W881" s="10" t="str">
        <f>IFERROR(__xludf.DUMMYFUNCTION("""COMPUTED_VALUE"""),"امام نے پڑوسیوں کے حقوق بیان کیے کہ بیماری میں تیمارداری کی جائے غمی خوشی میں شرکت کی جائے ضرورت پڑنے پر قرض مہیا کیا جائے، قران و حدیث کی روشنیوں میں پڑوسیوں کے ساتھ حسن سلوک کا درس دیا گیا جبرائیل علیہ السلام کا اپ صلی اللہ علیہ وسلم کو پڑوسیوں کے حقوق "&amp;"کی اتنی تاکید کرنا کہ وراثت میں حقدار ٹھہرانے کا خدشہ لاحق ہونا بیان کیا اور اس کے ساتھ ساتھ اہل محلہ کی صفائی کا خیال رکھنے اور کوئی بھی ایذا دینے والی چیز کو دیکھیں تو اس کو راستے سے ہٹانے کا کہا گیا۔")</f>
        <v>امام نے پڑوسیوں کے حقوق بیان کیے کہ بیماری میں تیمارداری کی جائے غمی خوشی میں شرکت کی جائے ضرورت پڑنے پر قرض مہیا کیا جائے، قران و حدیث کی روشنیوں میں پڑوسیوں کے ساتھ حسن سلوک کا درس دیا گیا جبرائیل علیہ السلام کا اپ صلی اللہ علیہ وسلم کو پڑوسیوں کے حقوق کی اتنی تاکید کرنا کہ وراثت میں حقدار ٹھہرانے کا خدشہ لاحق ہونا بیان کیا اور اس کے ساتھ ساتھ اہل محلہ کی صفائی کا خیال رکھنے اور کوئی بھی ایذا دینے والی چیز کو دیکھیں تو اس کو راستے سے ہٹانے کا کہا گیا۔</v>
      </c>
      <c r="X881" s="10">
        <f>IFERROR(__xludf.DUMMYFUNCTION("""COMPUTED_VALUE"""),1.0)</f>
        <v>1</v>
      </c>
      <c r="Y881" s="10">
        <f>IFERROR(__xludf.DUMMYFUNCTION("""COMPUTED_VALUE"""),9.0)</f>
        <v>9</v>
      </c>
      <c r="Z881" s="10">
        <f>IFERROR(__xludf.DUMMYFUNCTION("""COMPUTED_VALUE"""),7.0)</f>
        <v>7</v>
      </c>
      <c r="AA881" s="10">
        <f>IFERROR(__xludf.DUMMYFUNCTION("""COMPUTED_VALUE"""),8.0)</f>
        <v>8</v>
      </c>
      <c r="AB881" s="10">
        <f>IFERROR(__xludf.DUMMYFUNCTION("""COMPUTED_VALUE"""),8.0)</f>
        <v>8</v>
      </c>
      <c r="AC881" s="10">
        <f>IFERROR(__xludf.DUMMYFUNCTION("""COMPUTED_VALUE"""),0.0)</f>
        <v>0</v>
      </c>
      <c r="AD881" s="10">
        <f>IFERROR(__xludf.DUMMYFUNCTION("""COMPUTED_VALUE"""),0.0)</f>
        <v>0</v>
      </c>
      <c r="AE881" s="10">
        <f>IFERROR(__xludf.DUMMYFUNCTION("""COMPUTED_VALUE"""),0.0)</f>
        <v>0</v>
      </c>
      <c r="AF881" s="10">
        <f>IFERROR(__xludf.DUMMYFUNCTION("""COMPUTED_VALUE"""),0.0)</f>
        <v>0</v>
      </c>
      <c r="AG881" s="10">
        <f>IFERROR(__xludf.DUMMYFUNCTION("""COMPUTED_VALUE"""),9.0)</f>
        <v>9</v>
      </c>
      <c r="AH881" s="10">
        <f>IFERROR(__xludf.DUMMYFUNCTION("""COMPUTED_VALUE"""),0.0)</f>
        <v>0</v>
      </c>
      <c r="AI881" s="10">
        <f>IFERROR(__xludf.DUMMYFUNCTION("""COMPUTED_VALUE"""),10.0)</f>
        <v>10</v>
      </c>
      <c r="AJ881" s="11" t="str">
        <f>IFERROR(__xludf.DUMMYFUNCTION("""COMPUTED_VALUE"""),"https://drive.google.com/open?id=1VQ4tks9e81rk_ClQGF42pwHPVhoqSPmq1swlH237Uqk")</f>
        <v>https://drive.google.com/open?id=1VQ4tks9e81rk_ClQGF42pwHPVhoqSPmq1swlH237Uqk</v>
      </c>
      <c r="AK881" s="12"/>
      <c r="AL881" s="12" t="str">
        <f>IFERROR(__xludf.DUMMYFUNCTION("""COMPUTED_VALUE"""),"Yes")</f>
        <v>Yes</v>
      </c>
      <c r="AM881" s="15">
        <f>IFERROR(__xludf.DUMMYFUNCTION("""COMPUTED_VALUE"""),1.0)</f>
        <v>1</v>
      </c>
      <c r="AN881" s="12" t="str">
        <f>IFERROR(__xludf.DUMMYFUNCTION("""COMPUTED_VALUE"""),"3rd week")</f>
        <v>3rd week</v>
      </c>
      <c r="AO881" s="13">
        <v>3.0</v>
      </c>
      <c r="AX881" s="17"/>
    </row>
    <row r="882">
      <c r="B882" s="9">
        <f>IFERROR(__xludf.DUMMYFUNCTION("""COMPUTED_VALUE"""),45975.49904283565)</f>
        <v>45975.49904</v>
      </c>
      <c r="C882" s="10" t="str">
        <f>IFERROR(__xludf.DUMMYFUNCTION("""COMPUTED_VALUE"""),"Atiqa")</f>
        <v>Atiqa</v>
      </c>
      <c r="D882" s="10" t="str">
        <f>IFERROR(__xludf.DUMMYFUNCTION("""COMPUTED_VALUE"""),"03157519977")</f>
        <v>03157519977</v>
      </c>
      <c r="E882" s="10" t="str">
        <f>IFERROR(__xludf.DUMMYFUNCTION("""COMPUTED_VALUE"""),"Jamia Masjid Gaalah Mandi Burewala")</f>
        <v>Jamia Masjid Gaalah Mandi Burewala</v>
      </c>
      <c r="F882" s="10" t="str">
        <f>IFERROR(__xludf.DUMMYFUNCTION("""COMPUTED_VALUE"""),"lnpqp")</f>
        <v>lnpqp</v>
      </c>
      <c r="G882" s="10" t="str">
        <f>IFERROR(__xludf.DUMMYFUNCTION("""COMPUTED_VALUE"""),"Yes")</f>
        <v>Yes</v>
      </c>
      <c r="H882" s="10">
        <f>IFERROR(__xludf.DUMMYFUNCTION("""COMPUTED_VALUE"""),9.0)</f>
        <v>9</v>
      </c>
      <c r="I882" s="10">
        <f>IFERROR(__xludf.DUMMYFUNCTION("""COMPUTED_VALUE"""),1.0)</f>
        <v>1</v>
      </c>
      <c r="J882" s="10">
        <f>IFERROR(__xludf.DUMMYFUNCTION("""COMPUTED_VALUE"""),10.0)</f>
        <v>10</v>
      </c>
      <c r="K882" s="10">
        <f>IFERROR(__xludf.DUMMYFUNCTION("""COMPUTED_VALUE"""),0.0)</f>
        <v>0</v>
      </c>
      <c r="L882" s="10">
        <f>IFERROR(__xludf.DUMMYFUNCTION("""COMPUTED_VALUE"""),9.0)</f>
        <v>9</v>
      </c>
      <c r="M882" s="10">
        <f>IFERROR(__xludf.DUMMYFUNCTION("""COMPUTED_VALUE"""),0.0)</f>
        <v>0</v>
      </c>
      <c r="N882" s="10">
        <f>IFERROR(__xludf.DUMMYFUNCTION("""COMPUTED_VALUE"""),7.0)</f>
        <v>7</v>
      </c>
      <c r="O882" s="10">
        <f>IFERROR(__xludf.DUMMYFUNCTION("""COMPUTED_VALUE"""),0.0)</f>
        <v>0</v>
      </c>
      <c r="P882" s="10">
        <f>IFERROR(__xludf.DUMMYFUNCTION("""COMPUTED_VALUE"""),7.0)</f>
        <v>7</v>
      </c>
      <c r="Q882" s="10" t="str">
        <f>IFERROR(__xludf.DUMMYFUNCTION("""COMPUTED_VALUE"""),"No")</f>
        <v>No</v>
      </c>
      <c r="R882" s="10" t="str">
        <f>IFERROR(__xludf.DUMMYFUNCTION("""COMPUTED_VALUE"""),"No")</f>
        <v>No</v>
      </c>
      <c r="S882" s="10" t="str">
        <f>IFERROR(__xludf.DUMMYFUNCTION("""COMPUTED_VALUE"""),"No")</f>
        <v>No</v>
      </c>
      <c r="T882" s="10">
        <f>IFERROR(__xludf.DUMMYFUNCTION("""COMPUTED_VALUE"""),0.0)</f>
        <v>0</v>
      </c>
      <c r="U882" s="10">
        <f>IFERROR(__xludf.DUMMYFUNCTION("""COMPUTED_VALUE"""),0.0)</f>
        <v>0</v>
      </c>
      <c r="V882" s="10" t="str">
        <f>IFERROR(__xludf.DUMMYFUNCTION("""COMPUTED_VALUE"""),"پڑوس اور اہل محلہ کے حقوق ")</f>
        <v>پڑوس اور اہل محلہ کے حقوق </v>
      </c>
      <c r="W882" s="10" t="str">
        <f>IFERROR(__xludf.DUMMYFUNCTION("""COMPUTED_VALUE"""),"امام نے پروسیوں کے حقوق بیان کیے جس میں بیماری میں تیمارداری کرنا غمی خوشی میں شرکت کرنا ضرورت پڑنے پر مدد کرنا اور ہمسائے کو کسی قسم کی تکلیف اور ایذا نہ دینا اور اہل محلہ کی صفائی کا خیال رکھنے کا کہا گیا کہ اپنے گھر کے ساتھ ساتھ اپنے گلی محلے سڑک کی صف"&amp;"ائی کا بھی خیال رکھا جائے ")</f>
        <v>امام نے پروسیوں کے حقوق بیان کیے جس میں بیماری میں تیمارداری کرنا غمی خوشی میں شرکت کرنا ضرورت پڑنے پر مدد کرنا اور ہمسائے کو کسی قسم کی تکلیف اور ایذا نہ دینا اور اہل محلہ کی صفائی کا خیال رکھنے کا کہا گیا کہ اپنے گھر کے ساتھ ساتھ اپنے گلی محلے سڑک کی صفائی کا بھی خیال رکھا جائے </v>
      </c>
      <c r="X882" s="10">
        <f>IFERROR(__xludf.DUMMYFUNCTION("""COMPUTED_VALUE"""),1.0)</f>
        <v>1</v>
      </c>
      <c r="Y882" s="10">
        <f>IFERROR(__xludf.DUMMYFUNCTION("""COMPUTED_VALUE"""),9.0)</f>
        <v>9</v>
      </c>
      <c r="Z882" s="10">
        <f>IFERROR(__xludf.DUMMYFUNCTION("""COMPUTED_VALUE"""),7.0)</f>
        <v>7</v>
      </c>
      <c r="AA882" s="10">
        <f>IFERROR(__xludf.DUMMYFUNCTION("""COMPUTED_VALUE"""),7.0)</f>
        <v>7</v>
      </c>
      <c r="AB882" s="10">
        <f>IFERROR(__xludf.DUMMYFUNCTION("""COMPUTED_VALUE"""),6.0)</f>
        <v>6</v>
      </c>
      <c r="AC882" s="10">
        <f>IFERROR(__xludf.DUMMYFUNCTION("""COMPUTED_VALUE"""),0.0)</f>
        <v>0</v>
      </c>
      <c r="AD882" s="10">
        <f>IFERROR(__xludf.DUMMYFUNCTION("""COMPUTED_VALUE"""),0.0)</f>
        <v>0</v>
      </c>
      <c r="AE882" s="10">
        <f>IFERROR(__xludf.DUMMYFUNCTION("""COMPUTED_VALUE"""),0.0)</f>
        <v>0</v>
      </c>
      <c r="AF882" s="10">
        <f>IFERROR(__xludf.DUMMYFUNCTION("""COMPUTED_VALUE"""),0.0)</f>
        <v>0</v>
      </c>
      <c r="AG882" s="10">
        <f>IFERROR(__xludf.DUMMYFUNCTION("""COMPUTED_VALUE"""),8.0)</f>
        <v>8</v>
      </c>
      <c r="AH882" s="10">
        <f>IFERROR(__xludf.DUMMYFUNCTION("""COMPUTED_VALUE"""),0.0)</f>
        <v>0</v>
      </c>
      <c r="AI882" s="10">
        <f>IFERROR(__xludf.DUMMYFUNCTION("""COMPUTED_VALUE"""),9.0)</f>
        <v>9</v>
      </c>
      <c r="AJ882" s="11" t="str">
        <f>IFERROR(__xludf.DUMMYFUNCTION("""COMPUTED_VALUE"""),"https://drive.google.com/open?id=1lzlyMDbn9fpLwx-EiwgI4u2q7RUPGgui0jIpl_mnUdw")</f>
        <v>https://drive.google.com/open?id=1lzlyMDbn9fpLwx-EiwgI4u2q7RUPGgui0jIpl_mnUdw</v>
      </c>
      <c r="AK882" s="12"/>
      <c r="AL882" s="12" t="str">
        <f>IFERROR(__xludf.DUMMYFUNCTION("""COMPUTED_VALUE"""),"Yes")</f>
        <v>Yes</v>
      </c>
      <c r="AM882" s="15">
        <f>IFERROR(__xludf.DUMMYFUNCTION("""COMPUTED_VALUE"""),0.9)</f>
        <v>0.9</v>
      </c>
      <c r="AN882" s="12" t="str">
        <f>IFERROR(__xludf.DUMMYFUNCTION("""COMPUTED_VALUE"""),"5th week")</f>
        <v>5th week</v>
      </c>
      <c r="AO882" s="13">
        <v>5.0</v>
      </c>
      <c r="AX882" s="17"/>
    </row>
    <row r="883">
      <c r="B883" s="9">
        <f>IFERROR(__xludf.DUMMYFUNCTION("""COMPUTED_VALUE"""),45975.577834525466)</f>
        <v>45975.57783</v>
      </c>
      <c r="C883" s="10" t="str">
        <f>IFERROR(__xludf.DUMMYFUNCTION("""COMPUTED_VALUE"""),"Atiqa ")</f>
        <v>Atiqa </v>
      </c>
      <c r="D883" s="10" t="str">
        <f>IFERROR(__xludf.DUMMYFUNCTION("""COMPUTED_VALUE"""),"03157519977")</f>
        <v>03157519977</v>
      </c>
      <c r="E883" s="10" t="str">
        <f>IFERROR(__xludf.DUMMYFUNCTION("""COMPUTED_VALUE"""),"Jamia Masjid D Block Burewala ")</f>
        <v>Jamia Masjid D Block Burewala </v>
      </c>
      <c r="F883" s="10" t="str">
        <f>IFERROR(__xludf.DUMMYFUNCTION("""COMPUTED_VALUE"""),"mfvfc")</f>
        <v>mfvfc</v>
      </c>
      <c r="G883" s="10" t="str">
        <f>IFERROR(__xludf.DUMMYFUNCTION("""COMPUTED_VALUE"""),"Yes")</f>
        <v>Yes</v>
      </c>
      <c r="H883" s="10">
        <f>IFERROR(__xludf.DUMMYFUNCTION("""COMPUTED_VALUE"""),0.0)</f>
        <v>0</v>
      </c>
      <c r="I883" s="10">
        <f>IFERROR(__xludf.DUMMYFUNCTION("""COMPUTED_VALUE"""),10.0)</f>
        <v>10</v>
      </c>
      <c r="J883" s="10">
        <f>IFERROR(__xludf.DUMMYFUNCTION("""COMPUTED_VALUE"""),0.0)</f>
        <v>0</v>
      </c>
      <c r="K883" s="10">
        <f>IFERROR(__xludf.DUMMYFUNCTION("""COMPUTED_VALUE"""),0.0)</f>
        <v>0</v>
      </c>
      <c r="L883" s="10">
        <f>IFERROR(__xludf.DUMMYFUNCTION("""COMPUTED_VALUE"""),0.0)</f>
        <v>0</v>
      </c>
      <c r="M883" s="10">
        <f>IFERROR(__xludf.DUMMYFUNCTION("""COMPUTED_VALUE"""),0.0)</f>
        <v>0</v>
      </c>
      <c r="N883" s="10">
        <f>IFERROR(__xludf.DUMMYFUNCTION("""COMPUTED_VALUE"""),0.0)</f>
        <v>0</v>
      </c>
      <c r="O883" s="10">
        <f>IFERROR(__xludf.DUMMYFUNCTION("""COMPUTED_VALUE"""),0.0)</f>
        <v>0</v>
      </c>
      <c r="P883" s="10">
        <f>IFERROR(__xludf.DUMMYFUNCTION("""COMPUTED_VALUE"""),0.0)</f>
        <v>0</v>
      </c>
      <c r="Q883" s="10" t="str">
        <f>IFERROR(__xludf.DUMMYFUNCTION("""COMPUTED_VALUE"""),"No")</f>
        <v>No</v>
      </c>
      <c r="R883" s="10" t="str">
        <f>IFERROR(__xludf.DUMMYFUNCTION("""COMPUTED_VALUE"""),"No")</f>
        <v>No</v>
      </c>
      <c r="S883" s="10" t="str">
        <f>IFERROR(__xludf.DUMMYFUNCTION("""COMPUTED_VALUE"""),"No")</f>
        <v>No</v>
      </c>
      <c r="T883" s="10">
        <f>IFERROR(__xludf.DUMMYFUNCTION("""COMPUTED_VALUE"""),0.0)</f>
        <v>0</v>
      </c>
      <c r="U883" s="10">
        <f>IFERROR(__xludf.DUMMYFUNCTION("""COMPUTED_VALUE"""),0.0)</f>
        <v>0</v>
      </c>
      <c r="V883" s="10" t="str">
        <f>IFERROR(__xludf.DUMMYFUNCTION("""COMPUTED_VALUE"""),"انسان کا سب سے بڑا اعزاز اور مقصد تخلیق ")</f>
        <v>انسان کا سب سے بڑا اعزاز اور مقصد تخلیق </v>
      </c>
      <c r="W883" s="10" t="str">
        <f>IFERROR(__xludf.DUMMYFUNCTION("""COMPUTED_VALUE"""),"امام نے بیان کیا کہ اللہ رب العزت نے انسان کو علمی و عقلی جسمانی شعور ہر لحاظ سے بہتر بنایا اور باقی تمام جانوروں کو اس کے تابع کیا اور اپ صلی اللہ علیہ وسلم کا حسن بیان کیا اور اپ صلی اللہ علیہ وسلم کے جسم مبارک سے انے والے پسینے سے بھی خوشبو کا انا اس ح"&amp;"والے سے ایک واقعہ بیان کیا۔")</f>
        <v>امام نے بیان کیا کہ اللہ رب العزت نے انسان کو علمی و عقلی جسمانی شعور ہر لحاظ سے بہتر بنایا اور باقی تمام جانوروں کو اس کے تابع کیا اور اپ صلی اللہ علیہ وسلم کا حسن بیان کیا اور اپ صلی اللہ علیہ وسلم کے جسم مبارک سے انے والے پسینے سے بھی خوشبو کا انا اس حوالے سے ایک واقعہ بیان کیا۔</v>
      </c>
      <c r="X883" s="10">
        <f>IFERROR(__xludf.DUMMYFUNCTION("""COMPUTED_VALUE"""),8.0)</f>
        <v>8</v>
      </c>
      <c r="Y883" s="10">
        <f>IFERROR(__xludf.DUMMYFUNCTION("""COMPUTED_VALUE"""),2.0)</f>
        <v>2</v>
      </c>
      <c r="Z883" s="10">
        <f>IFERROR(__xludf.DUMMYFUNCTION("""COMPUTED_VALUE"""),4.0)</f>
        <v>4</v>
      </c>
      <c r="AA883" s="10">
        <f>IFERROR(__xludf.DUMMYFUNCTION("""COMPUTED_VALUE"""),8.0)</f>
        <v>8</v>
      </c>
      <c r="AB883" s="10">
        <f>IFERROR(__xludf.DUMMYFUNCTION("""COMPUTED_VALUE"""),5.0)</f>
        <v>5</v>
      </c>
      <c r="AC883" s="10">
        <f>IFERROR(__xludf.DUMMYFUNCTION("""COMPUTED_VALUE"""),0.0)</f>
        <v>0</v>
      </c>
      <c r="AD883" s="10">
        <f>IFERROR(__xludf.DUMMYFUNCTION("""COMPUTED_VALUE"""),0.0)</f>
        <v>0</v>
      </c>
      <c r="AE883" s="10">
        <f>IFERROR(__xludf.DUMMYFUNCTION("""COMPUTED_VALUE"""),1.0)</f>
        <v>1</v>
      </c>
      <c r="AF883" s="10">
        <f>IFERROR(__xludf.DUMMYFUNCTION("""COMPUTED_VALUE"""),6.0)</f>
        <v>6</v>
      </c>
      <c r="AG883" s="10">
        <f>IFERROR(__xludf.DUMMYFUNCTION("""COMPUTED_VALUE"""),8.0)</f>
        <v>8</v>
      </c>
      <c r="AH883" s="10">
        <f>IFERROR(__xludf.DUMMYFUNCTION("""COMPUTED_VALUE"""),0.0)</f>
        <v>0</v>
      </c>
      <c r="AI883" s="10">
        <f>IFERROR(__xludf.DUMMYFUNCTION("""COMPUTED_VALUE"""),7.0)</f>
        <v>7</v>
      </c>
      <c r="AJ883" s="11" t="str">
        <f>IFERROR(__xludf.DUMMYFUNCTION("""COMPUTED_VALUE"""),"https://drive.google.com/open?id=1DvUiVuPJl0w9vnKZbgNH8ABCE8Na5i0wMnVlV8UnNag")</f>
        <v>https://drive.google.com/open?id=1DvUiVuPJl0w9vnKZbgNH8ABCE8Na5i0wMnVlV8UnNag</v>
      </c>
      <c r="AK883" s="12"/>
      <c r="AL883" s="12" t="str">
        <f>IFERROR(__xludf.DUMMYFUNCTION("""COMPUTED_VALUE"""),"Yes")</f>
        <v>Yes</v>
      </c>
      <c r="AM883" s="15">
        <f>IFERROR(__xludf.DUMMYFUNCTION("""COMPUTED_VALUE"""),0.0)</f>
        <v>0</v>
      </c>
      <c r="AN883" s="12" t="str">
        <f>IFERROR(__xludf.DUMMYFUNCTION("""COMPUTED_VALUE"""),"5th week")</f>
        <v>5th week</v>
      </c>
      <c r="AO883" s="13" t="s">
        <v>8</v>
      </c>
      <c r="AX883" s="17"/>
    </row>
    <row r="884">
      <c r="B884" s="9">
        <f>IFERROR(__xludf.DUMMYFUNCTION("""COMPUTED_VALUE"""),45975.66582967593)</f>
        <v>45975.66583</v>
      </c>
      <c r="C884" s="10" t="str">
        <f>IFERROR(__xludf.DUMMYFUNCTION("""COMPUTED_VALUE"""),"Atiqa ")</f>
        <v>Atiqa </v>
      </c>
      <c r="D884" s="10" t="str">
        <f>IFERROR(__xludf.DUMMYFUNCTION("""COMPUTED_VALUE"""),"03157519977")</f>
        <v>03157519977</v>
      </c>
      <c r="E884" s="10" t="str">
        <f>IFERROR(__xludf.DUMMYFUNCTION("""COMPUTED_VALUE"""),"Jamia Masjid Mula Abdul Gufrur Multan")</f>
        <v>Jamia Masjid Mula Abdul Gufrur Multan</v>
      </c>
      <c r="F884" s="10" t="str">
        <f>IFERROR(__xludf.DUMMYFUNCTION("""COMPUTED_VALUE"""),"rnksi")</f>
        <v>rnksi</v>
      </c>
      <c r="G884" s="10" t="str">
        <f>IFERROR(__xludf.DUMMYFUNCTION("""COMPUTED_VALUE"""),"Yes")</f>
        <v>Yes</v>
      </c>
      <c r="H884" s="10">
        <f>IFERROR(__xludf.DUMMYFUNCTION("""COMPUTED_VALUE"""),0.0)</f>
        <v>0</v>
      </c>
      <c r="I884" s="10">
        <f>IFERROR(__xludf.DUMMYFUNCTION("""COMPUTED_VALUE"""),10.0)</f>
        <v>10</v>
      </c>
      <c r="J884" s="10">
        <f>IFERROR(__xludf.DUMMYFUNCTION("""COMPUTED_VALUE"""),0.0)</f>
        <v>0</v>
      </c>
      <c r="K884" s="10">
        <f>IFERROR(__xludf.DUMMYFUNCTION("""COMPUTED_VALUE"""),0.0)</f>
        <v>0</v>
      </c>
      <c r="L884" s="10">
        <f>IFERROR(__xludf.DUMMYFUNCTION("""COMPUTED_VALUE"""),0.0)</f>
        <v>0</v>
      </c>
      <c r="M884" s="10">
        <f>IFERROR(__xludf.DUMMYFUNCTION("""COMPUTED_VALUE"""),0.0)</f>
        <v>0</v>
      </c>
      <c r="N884" s="10">
        <f>IFERROR(__xludf.DUMMYFUNCTION("""COMPUTED_VALUE"""),0.0)</f>
        <v>0</v>
      </c>
      <c r="O884" s="10">
        <f>IFERROR(__xludf.DUMMYFUNCTION("""COMPUTED_VALUE"""),0.0)</f>
        <v>0</v>
      </c>
      <c r="P884" s="10">
        <f>IFERROR(__xludf.DUMMYFUNCTION("""COMPUTED_VALUE"""),0.0)</f>
        <v>0</v>
      </c>
      <c r="Q884" s="10" t="str">
        <f>IFERROR(__xludf.DUMMYFUNCTION("""COMPUTED_VALUE"""),"No")</f>
        <v>No</v>
      </c>
      <c r="R884" s="10" t="str">
        <f>IFERROR(__xludf.DUMMYFUNCTION("""COMPUTED_VALUE"""),"No")</f>
        <v>No</v>
      </c>
      <c r="S884" s="10" t="str">
        <f>IFERROR(__xludf.DUMMYFUNCTION("""COMPUTED_VALUE"""),"No")</f>
        <v>No</v>
      </c>
      <c r="T884" s="10">
        <f>IFERROR(__xludf.DUMMYFUNCTION("""COMPUTED_VALUE"""),0.0)</f>
        <v>0</v>
      </c>
      <c r="U884" s="10">
        <f>IFERROR(__xludf.DUMMYFUNCTION("""COMPUTED_VALUE"""),0.0)</f>
        <v>0</v>
      </c>
      <c r="V884" s="10" t="str">
        <f>IFERROR(__xludf.DUMMYFUNCTION("""COMPUTED_VALUE"""),"مقام مصطفی صلی اللہ علیہ وسلم اور فضیلت ")</f>
        <v>مقام مصطفی صلی اللہ علیہ وسلم اور فضیلت </v>
      </c>
      <c r="W884" s="10" t="str">
        <f>IFERROR(__xludf.DUMMYFUNCTION("""COMPUTED_VALUE"""),"امام نے بیان کیا کہ اللہ تبارک و تعالی نے بعض انبیاؤں اور رسول کو دوسرے انبیاء رسول پر فضیلت عطا فرمائی اور تمام انبیاء کرام کو اللہ نے نام لے کر پکارا لیکن نبی صلی اللہ علیہ وسلم کو نام لے کر نہیں پکارا بلکہ یا رسول یا نبی کہہ کر پکارا یعنی ان کو ان کے م"&amp;"قام و مرتبہ  سے پکارا گیا۔")</f>
        <v>امام نے بیان کیا کہ اللہ تبارک و تعالی نے بعض انبیاؤں اور رسول کو دوسرے انبیاء رسول پر فضیلت عطا فرمائی اور تمام انبیاء کرام کو اللہ نے نام لے کر پکارا لیکن نبی صلی اللہ علیہ وسلم کو نام لے کر نہیں پکارا بلکہ یا رسول یا نبی کہہ کر پکارا یعنی ان کو ان کے مقام و مرتبہ  سے پکارا گیا۔</v>
      </c>
      <c r="X884" s="10">
        <f>IFERROR(__xludf.DUMMYFUNCTION("""COMPUTED_VALUE"""),9.0)</f>
        <v>9</v>
      </c>
      <c r="Y884" s="10">
        <f>IFERROR(__xludf.DUMMYFUNCTION("""COMPUTED_VALUE"""),1.0)</f>
        <v>1</v>
      </c>
      <c r="Z884" s="10">
        <f>IFERROR(__xludf.DUMMYFUNCTION("""COMPUTED_VALUE"""),2.0)</f>
        <v>2</v>
      </c>
      <c r="AA884" s="10">
        <f>IFERROR(__xludf.DUMMYFUNCTION("""COMPUTED_VALUE"""),9.0)</f>
        <v>9</v>
      </c>
      <c r="AB884" s="10">
        <f>IFERROR(__xludf.DUMMYFUNCTION("""COMPUTED_VALUE"""),7.0)</f>
        <v>7</v>
      </c>
      <c r="AC884" s="10">
        <f>IFERROR(__xludf.DUMMYFUNCTION("""COMPUTED_VALUE"""),0.0)</f>
        <v>0</v>
      </c>
      <c r="AD884" s="10">
        <f>IFERROR(__xludf.DUMMYFUNCTION("""COMPUTED_VALUE"""),0.0)</f>
        <v>0</v>
      </c>
      <c r="AE884" s="10">
        <f>IFERROR(__xludf.DUMMYFUNCTION("""COMPUTED_VALUE"""),2.0)</f>
        <v>2</v>
      </c>
      <c r="AF884" s="10">
        <f>IFERROR(__xludf.DUMMYFUNCTION("""COMPUTED_VALUE"""),0.0)</f>
        <v>0</v>
      </c>
      <c r="AG884" s="10">
        <f>IFERROR(__xludf.DUMMYFUNCTION("""COMPUTED_VALUE"""),0.0)</f>
        <v>0</v>
      </c>
      <c r="AH884" s="10">
        <f>IFERROR(__xludf.DUMMYFUNCTION("""COMPUTED_VALUE"""),0.0)</f>
        <v>0</v>
      </c>
      <c r="AI884" s="10">
        <f>IFERROR(__xludf.DUMMYFUNCTION("""COMPUTED_VALUE"""),8.0)</f>
        <v>8</v>
      </c>
      <c r="AJ884" s="11" t="str">
        <f>IFERROR(__xludf.DUMMYFUNCTION("""COMPUTED_VALUE"""),"https://drive.google.com/open?id=10ckJUB_DnQ8aLtCQHlYUITrXaO8TKK-syMv_MX0W1iM")</f>
        <v>https://drive.google.com/open?id=10ckJUB_DnQ8aLtCQHlYUITrXaO8TKK-syMv_MX0W1iM</v>
      </c>
      <c r="AK884" s="12"/>
      <c r="AL884" s="12" t="str">
        <f>IFERROR(__xludf.DUMMYFUNCTION("""COMPUTED_VALUE"""),"Yes")</f>
        <v>Yes</v>
      </c>
      <c r="AM884" s="15">
        <f>IFERROR(__xludf.DUMMYFUNCTION("""COMPUTED_VALUE"""),0.0)</f>
        <v>0</v>
      </c>
      <c r="AN884" s="12" t="str">
        <f>IFERROR(__xludf.DUMMYFUNCTION("""COMPUTED_VALUE"""),"5th week")</f>
        <v>5th week</v>
      </c>
      <c r="AO884" s="13">
        <v>5.0</v>
      </c>
      <c r="AX884" s="17"/>
    </row>
    <row r="885">
      <c r="B885" s="9">
        <f>IFERROR(__xludf.DUMMYFUNCTION("""COMPUTED_VALUE"""),45976.30674690972)</f>
        <v>45976.30675</v>
      </c>
      <c r="C885" s="10" t="str">
        <f>IFERROR(__xludf.DUMMYFUNCTION("""COMPUTED_VALUE"""),"Maham")</f>
        <v>Maham</v>
      </c>
      <c r="D885" s="10" t="str">
        <f>IFERROR(__xludf.DUMMYFUNCTION("""COMPUTED_VALUE"""),"03218118680")</f>
        <v>03218118680</v>
      </c>
      <c r="E885" s="10" t="str">
        <f>IFERROR(__xludf.DUMMYFUNCTION("""COMPUTED_VALUE"""),"Jamia Masjid ghosha Nasheen")</f>
        <v>Jamia Masjid ghosha Nasheen</v>
      </c>
      <c r="F885" s="10" t="str">
        <f>IFERROR(__xludf.DUMMYFUNCTION("""COMPUTED_VALUE"""),"lhgfs")</f>
        <v>lhgfs</v>
      </c>
      <c r="G885" s="10" t="str">
        <f>IFERROR(__xludf.DUMMYFUNCTION("""COMPUTED_VALUE"""),"Yes")</f>
        <v>Yes</v>
      </c>
      <c r="H885" s="10">
        <f>IFERROR(__xludf.DUMMYFUNCTION("""COMPUTED_VALUE"""),9.0)</f>
        <v>9</v>
      </c>
      <c r="I885" s="10">
        <f>IFERROR(__xludf.DUMMYFUNCTION("""COMPUTED_VALUE"""),1.0)</f>
        <v>1</v>
      </c>
      <c r="J885" s="10">
        <f>IFERROR(__xludf.DUMMYFUNCTION("""COMPUTED_VALUE"""),10.0)</f>
        <v>10</v>
      </c>
      <c r="K885" s="10">
        <f>IFERROR(__xludf.DUMMYFUNCTION("""COMPUTED_VALUE"""),0.0)</f>
        <v>0</v>
      </c>
      <c r="L885" s="10">
        <f>IFERROR(__xludf.DUMMYFUNCTION("""COMPUTED_VALUE"""),10.0)</f>
        <v>10</v>
      </c>
      <c r="M885" s="10">
        <f>IFERROR(__xludf.DUMMYFUNCTION("""COMPUTED_VALUE"""),0.0)</f>
        <v>0</v>
      </c>
      <c r="N885" s="10">
        <f>IFERROR(__xludf.DUMMYFUNCTION("""COMPUTED_VALUE"""),10.0)</f>
        <v>10</v>
      </c>
      <c r="O885" s="10">
        <f>IFERROR(__xludf.DUMMYFUNCTION("""COMPUTED_VALUE"""),0.0)</f>
        <v>0</v>
      </c>
      <c r="P885" s="10">
        <f>IFERROR(__xludf.DUMMYFUNCTION("""COMPUTED_VALUE"""),9.0)</f>
        <v>9</v>
      </c>
      <c r="Q885" s="10" t="str">
        <f>IFERROR(__xludf.DUMMYFUNCTION("""COMPUTED_VALUE"""),"No")</f>
        <v>No</v>
      </c>
      <c r="R885" s="10" t="str">
        <f>IFERROR(__xludf.DUMMYFUNCTION("""COMPUTED_VALUE"""),"Yes")</f>
        <v>Yes</v>
      </c>
      <c r="S885" s="10" t="str">
        <f>IFERROR(__xludf.DUMMYFUNCTION("""COMPUTED_VALUE"""),"Yes")</f>
        <v>Yes</v>
      </c>
      <c r="T885" s="10">
        <f>IFERROR(__xludf.DUMMYFUNCTION("""COMPUTED_VALUE"""),0.0)</f>
        <v>0</v>
      </c>
      <c r="U885" s="10">
        <f>IFERROR(__xludf.DUMMYFUNCTION("""COMPUTED_VALUE"""),0.0)</f>
        <v>0</v>
      </c>
      <c r="V885" s="10" t="str">
        <f>IFERROR(__xludf.DUMMYFUNCTION("""COMPUTED_VALUE"""),"پڑوسیوں کے حقوق")</f>
        <v>پڑوسیوں کے حقوق</v>
      </c>
      <c r="W885" s="10" t="str">
        <f>IFERROR(__xludf.DUMMYFUNCTION("""COMPUTED_VALUE"""),"پڑوسیوں کے حقوق بیان کیے گئے")</f>
        <v>پڑوسیوں کے حقوق بیان کیے گئے</v>
      </c>
      <c r="X885" s="10">
        <f>IFERROR(__xludf.DUMMYFUNCTION("""COMPUTED_VALUE"""),1.0)</f>
        <v>1</v>
      </c>
      <c r="Y885" s="10">
        <f>IFERROR(__xludf.DUMMYFUNCTION("""COMPUTED_VALUE"""),9.0)</f>
        <v>9</v>
      </c>
      <c r="Z885" s="10">
        <f>IFERROR(__xludf.DUMMYFUNCTION("""COMPUTED_VALUE"""),7.0)</f>
        <v>7</v>
      </c>
      <c r="AA885" s="10">
        <f>IFERROR(__xludf.DUMMYFUNCTION("""COMPUTED_VALUE"""),8.0)</f>
        <v>8</v>
      </c>
      <c r="AB885" s="10">
        <f>IFERROR(__xludf.DUMMYFUNCTION("""COMPUTED_VALUE"""),6.0)</f>
        <v>6</v>
      </c>
      <c r="AC885" s="10">
        <f>IFERROR(__xludf.DUMMYFUNCTION("""COMPUTED_VALUE"""),1.0)</f>
        <v>1</v>
      </c>
      <c r="AD885" s="10">
        <f>IFERROR(__xludf.DUMMYFUNCTION("""COMPUTED_VALUE"""),2.0)</f>
        <v>2</v>
      </c>
      <c r="AE885" s="10">
        <f>IFERROR(__xludf.DUMMYFUNCTION("""COMPUTED_VALUE"""),1.0)</f>
        <v>1</v>
      </c>
      <c r="AF885" s="10">
        <f>IFERROR(__xludf.DUMMYFUNCTION("""COMPUTED_VALUE"""),3.0)</f>
        <v>3</v>
      </c>
      <c r="AG885" s="10">
        <f>IFERROR(__xludf.DUMMYFUNCTION("""COMPUTED_VALUE"""),8.0)</f>
        <v>8</v>
      </c>
      <c r="AH885" s="10">
        <f>IFERROR(__xludf.DUMMYFUNCTION("""COMPUTED_VALUE"""),0.0)</f>
        <v>0</v>
      </c>
      <c r="AI885" s="10">
        <f>IFERROR(__xludf.DUMMYFUNCTION("""COMPUTED_VALUE"""),9.0)</f>
        <v>9</v>
      </c>
      <c r="AJ885" s="11" t="str">
        <f>IFERROR(__xludf.DUMMYFUNCTION("""COMPUTED_VALUE"""),"https://drive.google.com/open?id=1Dgwo4J3_Atgys1srALV2DITxI1vU3CKy")</f>
        <v>https://drive.google.com/open?id=1Dgwo4J3_Atgys1srALV2DITxI1vU3CKy</v>
      </c>
      <c r="AK885" s="12"/>
      <c r="AL885" s="12" t="str">
        <f>IFERROR(__xludf.DUMMYFUNCTION("""COMPUTED_VALUE"""),"Yes")</f>
        <v>Yes</v>
      </c>
      <c r="AM885" s="15">
        <f>IFERROR(__xludf.DUMMYFUNCTION("""COMPUTED_VALUE"""),1.0)</f>
        <v>1</v>
      </c>
      <c r="AN885" s="12" t="str">
        <f>IFERROR(__xludf.DUMMYFUNCTION("""COMPUTED_VALUE"""),"3rd week")</f>
        <v>3rd week</v>
      </c>
      <c r="AO885" s="13">
        <v>3.0</v>
      </c>
      <c r="AX885" s="17"/>
    </row>
    <row r="886">
      <c r="B886" s="9">
        <f>IFERROR(__xludf.DUMMYFUNCTION("""COMPUTED_VALUE"""),45976.38203226852)</f>
        <v>45976.38203</v>
      </c>
      <c r="C886" s="10" t="str">
        <f>IFERROR(__xludf.DUMMYFUNCTION("""COMPUTED_VALUE"""),"Maham ")</f>
        <v>Maham </v>
      </c>
      <c r="D886" s="10" t="str">
        <f>IFERROR(__xludf.DUMMYFUNCTION("""COMPUTED_VALUE"""),"03218118680")</f>
        <v>03218118680</v>
      </c>
      <c r="E886" s="10" t="str">
        <f>IFERROR(__xludf.DUMMYFUNCTION("""COMPUTED_VALUE"""),"jamia Masjid ghosha nasheen multan ")</f>
        <v>jamia Masjid ghosha nasheen multan </v>
      </c>
      <c r="F886" s="10" t="str">
        <f>IFERROR(__xludf.DUMMYFUNCTION("""COMPUTED_VALUE""")," lhgfs")</f>
        <v> lhgfs</v>
      </c>
      <c r="G886" s="10" t="str">
        <f>IFERROR(__xludf.DUMMYFUNCTION("""COMPUTED_VALUE"""),"Yes")</f>
        <v>Yes</v>
      </c>
      <c r="H886" s="10">
        <f>IFERROR(__xludf.DUMMYFUNCTION("""COMPUTED_VALUE"""),10.0)</f>
        <v>10</v>
      </c>
      <c r="I886" s="10">
        <f>IFERROR(__xludf.DUMMYFUNCTION("""COMPUTED_VALUE"""),0.0)</f>
        <v>0</v>
      </c>
      <c r="J886" s="10">
        <f>IFERROR(__xludf.DUMMYFUNCTION("""COMPUTED_VALUE"""),10.0)</f>
        <v>10</v>
      </c>
      <c r="K886" s="10">
        <f>IFERROR(__xludf.DUMMYFUNCTION("""COMPUTED_VALUE"""),0.0)</f>
        <v>0</v>
      </c>
      <c r="L886" s="10">
        <f>IFERROR(__xludf.DUMMYFUNCTION("""COMPUTED_VALUE"""),10.0)</f>
        <v>10</v>
      </c>
      <c r="M886" s="10">
        <f>IFERROR(__xludf.DUMMYFUNCTION("""COMPUTED_VALUE"""),0.0)</f>
        <v>0</v>
      </c>
      <c r="N886" s="10">
        <f>IFERROR(__xludf.DUMMYFUNCTION("""COMPUTED_VALUE"""),10.0)</f>
        <v>10</v>
      </c>
      <c r="O886" s="10">
        <f>IFERROR(__xludf.DUMMYFUNCTION("""COMPUTED_VALUE"""),0.0)</f>
        <v>0</v>
      </c>
      <c r="P886" s="10">
        <f>IFERROR(__xludf.DUMMYFUNCTION("""COMPUTED_VALUE"""),10.0)</f>
        <v>10</v>
      </c>
      <c r="Q886" s="10" t="str">
        <f>IFERROR(__xludf.DUMMYFUNCTION("""COMPUTED_VALUE"""),"No")</f>
        <v>No</v>
      </c>
      <c r="R886" s="10" t="str">
        <f>IFERROR(__xludf.DUMMYFUNCTION("""COMPUTED_VALUE"""),"Yes")</f>
        <v>Yes</v>
      </c>
      <c r="S886" s="10" t="str">
        <f>IFERROR(__xludf.DUMMYFUNCTION("""COMPUTED_VALUE"""),"Yes")</f>
        <v>Yes</v>
      </c>
      <c r="T886" s="10">
        <f>IFERROR(__xludf.DUMMYFUNCTION("""COMPUTED_VALUE"""),0.0)</f>
        <v>0</v>
      </c>
      <c r="U886" s="10">
        <f>IFERROR(__xludf.DUMMYFUNCTION("""COMPUTED_VALUE"""),0.0)</f>
        <v>0</v>
      </c>
      <c r="V886" s="10" t="str">
        <f>IFERROR(__xludf.DUMMYFUNCTION("""COMPUTED_VALUE"""),"پڑوسی کے حقوق")</f>
        <v>پڑوسی کے حقوق</v>
      </c>
      <c r="W886" s="10" t="str">
        <f>IFERROR(__xludf.DUMMYFUNCTION("""COMPUTED_VALUE"""),"پڑوسیوں کے حقوق بیان کیے گئے")</f>
        <v>پڑوسیوں کے حقوق بیان کیے گئے</v>
      </c>
      <c r="X886" s="10">
        <f>IFERROR(__xludf.DUMMYFUNCTION("""COMPUTED_VALUE"""),1.0)</f>
        <v>1</v>
      </c>
      <c r="Y886" s="10">
        <f>IFERROR(__xludf.DUMMYFUNCTION("""COMPUTED_VALUE"""),9.0)</f>
        <v>9</v>
      </c>
      <c r="Z886" s="10">
        <f>IFERROR(__xludf.DUMMYFUNCTION("""COMPUTED_VALUE"""),8.0)</f>
        <v>8</v>
      </c>
      <c r="AA886" s="10">
        <f>IFERROR(__xludf.DUMMYFUNCTION("""COMPUTED_VALUE"""),9.0)</f>
        <v>9</v>
      </c>
      <c r="AB886" s="10">
        <f>IFERROR(__xludf.DUMMYFUNCTION("""COMPUTED_VALUE"""),7.0)</f>
        <v>7</v>
      </c>
      <c r="AC886" s="10">
        <f>IFERROR(__xludf.DUMMYFUNCTION("""COMPUTED_VALUE"""),2.0)</f>
        <v>2</v>
      </c>
      <c r="AD886" s="10">
        <f>IFERROR(__xludf.DUMMYFUNCTION("""COMPUTED_VALUE"""),3.0)</f>
        <v>3</v>
      </c>
      <c r="AE886" s="10">
        <f>IFERROR(__xludf.DUMMYFUNCTION("""COMPUTED_VALUE"""),2.0)</f>
        <v>2</v>
      </c>
      <c r="AF886" s="10">
        <f>IFERROR(__xludf.DUMMYFUNCTION("""COMPUTED_VALUE"""),3.0)</f>
        <v>3</v>
      </c>
      <c r="AG886" s="10">
        <f>IFERROR(__xludf.DUMMYFUNCTION("""COMPUTED_VALUE"""),8.0)</f>
        <v>8</v>
      </c>
      <c r="AH886" s="10">
        <f>IFERROR(__xludf.DUMMYFUNCTION("""COMPUTED_VALUE"""),0.0)</f>
        <v>0</v>
      </c>
      <c r="AI886" s="10">
        <f>IFERROR(__xludf.DUMMYFUNCTION("""COMPUTED_VALUE"""),10.0)</f>
        <v>10</v>
      </c>
      <c r="AJ886" s="11" t="str">
        <f>IFERROR(__xludf.DUMMYFUNCTION("""COMPUTED_VALUE"""),"https://drive.google.com/open?id=1-AiGPu4cUfQYwvrxhucR557ogagM6gSM")</f>
        <v>https://drive.google.com/open?id=1-AiGPu4cUfQYwvrxhucR557ogagM6gSM</v>
      </c>
      <c r="AK886" s="12"/>
      <c r="AL886" s="12" t="str">
        <f>IFERROR(__xludf.DUMMYFUNCTION("""COMPUTED_VALUE"""),"Yes")</f>
        <v>Yes</v>
      </c>
      <c r="AM886" s="15">
        <f>IFERROR(__xludf.DUMMYFUNCTION("""COMPUTED_VALUE"""),1.0)</f>
        <v>1</v>
      </c>
      <c r="AN886" s="12" t="str">
        <f>IFERROR(__xludf.DUMMYFUNCTION("""COMPUTED_VALUE"""),"4th week")</f>
        <v>4th week</v>
      </c>
      <c r="AO886" s="13">
        <v>4.0</v>
      </c>
      <c r="AX886" s="17"/>
    </row>
    <row r="887">
      <c r="B887" s="9">
        <f>IFERROR(__xludf.DUMMYFUNCTION("""COMPUTED_VALUE"""),45976.738037256946)</f>
        <v>45976.73804</v>
      </c>
      <c r="C887" s="10" t="str">
        <f>IFERROR(__xludf.DUMMYFUNCTION("""COMPUTED_VALUE"""),"Maham ")</f>
        <v>Maham </v>
      </c>
      <c r="D887" s="10" t="str">
        <f>IFERROR(__xludf.DUMMYFUNCTION("""COMPUTED_VALUE"""),"03218118680")</f>
        <v>03218118680</v>
      </c>
      <c r="E887" s="10" t="str">
        <f>IFERROR(__xludf.DUMMYFUNCTION("""COMPUTED_VALUE"""),"jamia Masjid gaalah Mandi Vehari")</f>
        <v>jamia Masjid gaalah Mandi Vehari</v>
      </c>
      <c r="F887" s="10" t="str">
        <f>IFERROR(__xludf.DUMMYFUNCTION("""COMPUTED_VALUE"""),"uomyf")</f>
        <v>uomyf</v>
      </c>
      <c r="G887" s="10" t="str">
        <f>IFERROR(__xludf.DUMMYFUNCTION("""COMPUTED_VALUE"""),"Yes")</f>
        <v>Yes</v>
      </c>
      <c r="H887" s="10">
        <f>IFERROR(__xludf.DUMMYFUNCTION("""COMPUTED_VALUE"""),0.0)</f>
        <v>0</v>
      </c>
      <c r="I887" s="10">
        <f>IFERROR(__xludf.DUMMYFUNCTION("""COMPUTED_VALUE"""),10.0)</f>
        <v>10</v>
      </c>
      <c r="J887" s="10">
        <f>IFERROR(__xludf.DUMMYFUNCTION("""COMPUTED_VALUE"""),0.0)</f>
        <v>0</v>
      </c>
      <c r="K887" s="10">
        <f>IFERROR(__xludf.DUMMYFUNCTION("""COMPUTED_VALUE"""),0.0)</f>
        <v>0</v>
      </c>
      <c r="L887" s="10">
        <f>IFERROR(__xludf.DUMMYFUNCTION("""COMPUTED_VALUE"""),0.0)</f>
        <v>0</v>
      </c>
      <c r="M887" s="10">
        <f>IFERROR(__xludf.DUMMYFUNCTION("""COMPUTED_VALUE"""),0.0)</f>
        <v>0</v>
      </c>
      <c r="N887" s="10">
        <f>IFERROR(__xludf.DUMMYFUNCTION("""COMPUTED_VALUE"""),0.0)</f>
        <v>0</v>
      </c>
      <c r="O887" s="10">
        <f>IFERROR(__xludf.DUMMYFUNCTION("""COMPUTED_VALUE"""),0.0)</f>
        <v>0</v>
      </c>
      <c r="P887" s="10">
        <f>IFERROR(__xludf.DUMMYFUNCTION("""COMPUTED_VALUE"""),0.0)</f>
        <v>0</v>
      </c>
      <c r="Q887" s="10" t="str">
        <f>IFERROR(__xludf.DUMMYFUNCTION("""COMPUTED_VALUE"""),"No")</f>
        <v>No</v>
      </c>
      <c r="R887" s="10" t="str">
        <f>IFERROR(__xludf.DUMMYFUNCTION("""COMPUTED_VALUE"""),"No")</f>
        <v>No</v>
      </c>
      <c r="S887" s="10" t="str">
        <f>IFERROR(__xludf.DUMMYFUNCTION("""COMPUTED_VALUE"""),"No")</f>
        <v>No</v>
      </c>
      <c r="T887" s="10">
        <f>IFERROR(__xludf.DUMMYFUNCTION("""COMPUTED_VALUE"""),0.0)</f>
        <v>0</v>
      </c>
      <c r="U887" s="10">
        <f>IFERROR(__xludf.DUMMYFUNCTION("""COMPUTED_VALUE"""),0.0)</f>
        <v>0</v>
      </c>
      <c r="V887" s="10" t="str">
        <f>IFERROR(__xludf.DUMMYFUNCTION("""COMPUTED_VALUE"""),"حضرت عمر فاروق کا  ایماں لانے کا واقعہ")</f>
        <v>حضرت عمر فاروق کا  ایماں لانے کا واقعہ</v>
      </c>
      <c r="W887" s="10" t="str">
        <f>IFERROR(__xludf.DUMMYFUNCTION("""COMPUTED_VALUE"""),"حضرت عمر حطام سے لے کر حضرت عمر فاروق بننے کا سفر")</f>
        <v>حضرت عمر حطام سے لے کر حضرت عمر فاروق بننے کا سفر</v>
      </c>
      <c r="X887" s="10">
        <f>IFERROR(__xludf.DUMMYFUNCTION("""COMPUTED_VALUE"""),10.0)</f>
        <v>10</v>
      </c>
      <c r="Y887" s="10">
        <f>IFERROR(__xludf.DUMMYFUNCTION("""COMPUTED_VALUE"""),1.0)</f>
        <v>1</v>
      </c>
      <c r="Z887" s="10">
        <f>IFERROR(__xludf.DUMMYFUNCTION("""COMPUTED_VALUE"""),1.0)</f>
        <v>1</v>
      </c>
      <c r="AA887" s="10">
        <f>IFERROR(__xludf.DUMMYFUNCTION("""COMPUTED_VALUE"""),10.0)</f>
        <v>10</v>
      </c>
      <c r="AB887" s="10">
        <f>IFERROR(__xludf.DUMMYFUNCTION("""COMPUTED_VALUE"""),8.0)</f>
        <v>8</v>
      </c>
      <c r="AC887" s="10">
        <f>IFERROR(__xludf.DUMMYFUNCTION("""COMPUTED_VALUE"""),1.0)</f>
        <v>1</v>
      </c>
      <c r="AD887" s="10">
        <f>IFERROR(__xludf.DUMMYFUNCTION("""COMPUTED_VALUE"""),2.0)</f>
        <v>2</v>
      </c>
      <c r="AE887" s="10">
        <f>IFERROR(__xludf.DUMMYFUNCTION("""COMPUTED_VALUE"""),1.0)</f>
        <v>1</v>
      </c>
      <c r="AF887" s="10">
        <f>IFERROR(__xludf.DUMMYFUNCTION("""COMPUTED_VALUE"""),8.0)</f>
        <v>8</v>
      </c>
      <c r="AG887" s="10">
        <f>IFERROR(__xludf.DUMMYFUNCTION("""COMPUTED_VALUE"""),8.0)</f>
        <v>8</v>
      </c>
      <c r="AH887" s="10">
        <f>IFERROR(__xludf.DUMMYFUNCTION("""COMPUTED_VALUE"""),0.0)</f>
        <v>0</v>
      </c>
      <c r="AI887" s="10">
        <f>IFERROR(__xludf.DUMMYFUNCTION("""COMPUTED_VALUE"""),9.0)</f>
        <v>9</v>
      </c>
      <c r="AJ887" s="11" t="str">
        <f>IFERROR(__xludf.DUMMYFUNCTION("""COMPUTED_VALUE"""),"https://drive.google.com/open?id=1i_tXwTUVS4at-60cZwzwtd8H_zeI7gKB")</f>
        <v>https://drive.google.com/open?id=1i_tXwTUVS4at-60cZwzwtd8H_zeI7gKB</v>
      </c>
      <c r="AK887" s="12" t="str">
        <f>IFERROR(__xludf.DUMMYFUNCTION("""COMPUTED_VALUE"""),"۔۔۔۔۔کا مطلب ہے وہاں الفاظ کی سمجھ نہیں ائی اور کسی جگہ پر ایات ہیں")</f>
        <v>۔۔۔۔۔کا مطلب ہے وہاں الفاظ کی سمجھ نہیں ائی اور کسی جگہ پر ایات ہیں</v>
      </c>
      <c r="AL887" s="12" t="str">
        <f>IFERROR(__xludf.DUMMYFUNCTION("""COMPUTED_VALUE"""),"Yes")</f>
        <v>Yes</v>
      </c>
      <c r="AM887" s="15">
        <f>IFERROR(__xludf.DUMMYFUNCTION("""COMPUTED_VALUE"""),0.0)</f>
        <v>0</v>
      </c>
      <c r="AN887" s="12" t="str">
        <f>IFERROR(__xludf.DUMMYFUNCTION("""COMPUTED_VALUE"""),"5th week")</f>
        <v>5th week</v>
      </c>
      <c r="AO887" s="13">
        <v>5.0</v>
      </c>
      <c r="AX887" s="17"/>
    </row>
    <row r="888">
      <c r="B888" s="9">
        <f>IFERROR(__xludf.DUMMYFUNCTION("""COMPUTED_VALUE"""),45976.80750802084)</f>
        <v>45976.80751</v>
      </c>
      <c r="C888" s="10" t="str">
        <f>IFERROR(__xludf.DUMMYFUNCTION("""COMPUTED_VALUE"""),"Maham")</f>
        <v>Maham</v>
      </c>
      <c r="D888" s="10" t="str">
        <f>IFERROR(__xludf.DUMMYFUNCTION("""COMPUTED_VALUE"""),"03218118680")</f>
        <v>03218118680</v>
      </c>
      <c r="E888" s="10" t="str">
        <f>IFERROR(__xludf.DUMMYFUNCTION("""COMPUTED_VALUE"""),"Jamia Masjid Gaalah Mandi Burewala")</f>
        <v>Jamia Masjid Gaalah Mandi Burewala</v>
      </c>
      <c r="F888" s="10" t="str">
        <f>IFERROR(__xludf.DUMMYFUNCTION("""COMPUTED_VALUE"""),"lnpqp")</f>
        <v>lnpqp</v>
      </c>
      <c r="G888" s="10" t="str">
        <f>IFERROR(__xludf.DUMMYFUNCTION("""COMPUTED_VALUE"""),"Yes")</f>
        <v>Yes</v>
      </c>
      <c r="H888" s="10">
        <f>IFERROR(__xludf.DUMMYFUNCTION("""COMPUTED_VALUE"""),0.0)</f>
        <v>0</v>
      </c>
      <c r="I888" s="10">
        <f>IFERROR(__xludf.DUMMYFUNCTION("""COMPUTED_VALUE"""),10.0)</f>
        <v>10</v>
      </c>
      <c r="J888" s="10">
        <f>IFERROR(__xludf.DUMMYFUNCTION("""COMPUTED_VALUE"""),0.0)</f>
        <v>0</v>
      </c>
      <c r="K888" s="10">
        <f>IFERROR(__xludf.DUMMYFUNCTION("""COMPUTED_VALUE"""),0.0)</f>
        <v>0</v>
      </c>
      <c r="L888" s="10">
        <f>IFERROR(__xludf.DUMMYFUNCTION("""COMPUTED_VALUE"""),0.0)</f>
        <v>0</v>
      </c>
      <c r="M888" s="10">
        <f>IFERROR(__xludf.DUMMYFUNCTION("""COMPUTED_VALUE"""),0.0)</f>
        <v>0</v>
      </c>
      <c r="N888" s="10">
        <f>IFERROR(__xludf.DUMMYFUNCTION("""COMPUTED_VALUE"""),0.0)</f>
        <v>0</v>
      </c>
      <c r="O888" s="10">
        <f>IFERROR(__xludf.DUMMYFUNCTION("""COMPUTED_VALUE"""),0.0)</f>
        <v>0</v>
      </c>
      <c r="P888" s="10">
        <f>IFERROR(__xludf.DUMMYFUNCTION("""COMPUTED_VALUE"""),0.0)</f>
        <v>0</v>
      </c>
      <c r="Q888" s="10" t="str">
        <f>IFERROR(__xludf.DUMMYFUNCTION("""COMPUTED_VALUE"""),"No")</f>
        <v>No</v>
      </c>
      <c r="R888" s="10" t="str">
        <f>IFERROR(__xludf.DUMMYFUNCTION("""COMPUTED_VALUE"""),"No")</f>
        <v>No</v>
      </c>
      <c r="S888" s="10" t="str">
        <f>IFERROR(__xludf.DUMMYFUNCTION("""COMPUTED_VALUE"""),"No")</f>
        <v>No</v>
      </c>
      <c r="T888" s="10">
        <f>IFERROR(__xludf.DUMMYFUNCTION("""COMPUTED_VALUE"""),0.0)</f>
        <v>0</v>
      </c>
      <c r="U888" s="10">
        <f>IFERROR(__xludf.DUMMYFUNCTION("""COMPUTED_VALUE"""),0.0)</f>
        <v>0</v>
      </c>
      <c r="V888" s="10" t="str">
        <f>IFERROR(__xludf.DUMMYFUNCTION("""COMPUTED_VALUE"""),"انسان کی عزت و تکریم نبی کریم صلی اللہ علیہ وسلم کے معجزات")</f>
        <v>انسان کی عزت و تکریم نبی کریم صلی اللہ علیہ وسلم کے معجزات</v>
      </c>
      <c r="W888" s="10" t="str">
        <f>IFERROR(__xludf.DUMMYFUNCTION("""COMPUTED_VALUE"""),"انسان کی عزت و تکریم نبی کریم صلی اللہ علیہ وسلم کے معجزات")</f>
        <v>انسان کی عزت و تکریم نبی کریم صلی اللہ علیہ وسلم کے معجزات</v>
      </c>
      <c r="X888" s="10">
        <f>IFERROR(__xludf.DUMMYFUNCTION("""COMPUTED_VALUE"""),10.0)</f>
        <v>10</v>
      </c>
      <c r="Y888" s="10">
        <f>IFERROR(__xludf.DUMMYFUNCTION("""COMPUTED_VALUE"""),8.0)</f>
        <v>8</v>
      </c>
      <c r="Z888" s="10">
        <f>IFERROR(__xludf.DUMMYFUNCTION("""COMPUTED_VALUE"""),7.0)</f>
        <v>7</v>
      </c>
      <c r="AA888" s="10">
        <f>IFERROR(__xludf.DUMMYFUNCTION("""COMPUTED_VALUE"""),10.0)</f>
        <v>10</v>
      </c>
      <c r="AB888" s="10">
        <f>IFERROR(__xludf.DUMMYFUNCTION("""COMPUTED_VALUE"""),7.0)</f>
        <v>7</v>
      </c>
      <c r="AC888" s="10">
        <f>IFERROR(__xludf.DUMMYFUNCTION("""COMPUTED_VALUE"""),2.0)</f>
        <v>2</v>
      </c>
      <c r="AD888" s="10">
        <f>IFERROR(__xludf.DUMMYFUNCTION("""COMPUTED_VALUE"""),4.0)</f>
        <v>4</v>
      </c>
      <c r="AE888" s="10">
        <f>IFERROR(__xludf.DUMMYFUNCTION("""COMPUTED_VALUE"""),2.0)</f>
        <v>2</v>
      </c>
      <c r="AF888" s="10">
        <f>IFERROR(__xludf.DUMMYFUNCTION("""COMPUTED_VALUE"""),8.0)</f>
        <v>8</v>
      </c>
      <c r="AG888" s="10">
        <f>IFERROR(__xludf.DUMMYFUNCTION("""COMPUTED_VALUE"""),9.0)</f>
        <v>9</v>
      </c>
      <c r="AH888" s="10">
        <f>IFERROR(__xludf.DUMMYFUNCTION("""COMPUTED_VALUE"""),0.0)</f>
        <v>0</v>
      </c>
      <c r="AI888" s="10">
        <f>IFERROR(__xludf.DUMMYFUNCTION("""COMPUTED_VALUE"""),9.0)</f>
        <v>9</v>
      </c>
      <c r="AJ888" s="11" t="str">
        <f>IFERROR(__xludf.DUMMYFUNCTION("""COMPUTED_VALUE"""),"https://drive.google.com/open?id=1PVEVTYpwUJhr2Wy_B-gfwbNXhGc8S3Vv")</f>
        <v>https://drive.google.com/open?id=1PVEVTYpwUJhr2Wy_B-gfwbNXhGc8S3Vv</v>
      </c>
      <c r="AK888" s="12" t="str">
        <f>IFERROR(__xludf.DUMMYFUNCTION("""COMPUTED_VALUE"""),"week 6 ha")</f>
        <v>week 6 ha</v>
      </c>
      <c r="AL888" s="12" t="str">
        <f>IFERROR(__xludf.DUMMYFUNCTION("""COMPUTED_VALUE"""),"Yes")</f>
        <v>Yes</v>
      </c>
      <c r="AM888" s="15">
        <f>IFERROR(__xludf.DUMMYFUNCTION("""COMPUTED_VALUE"""),0.0)</f>
        <v>0</v>
      </c>
      <c r="AN888" s="12" t="str">
        <f>IFERROR(__xludf.DUMMYFUNCTION("""COMPUTED_VALUE"""),"5th week")</f>
        <v>5th week</v>
      </c>
      <c r="AO888" s="13">
        <v>6.0</v>
      </c>
      <c r="AX888" s="17"/>
    </row>
    <row r="889">
      <c r="B889" s="9">
        <f>IFERROR(__xludf.DUMMYFUNCTION("""COMPUTED_VALUE"""),46007.52089930556)</f>
        <v>46007.5209</v>
      </c>
      <c r="C889" s="10" t="str">
        <f>IFERROR(__xludf.DUMMYFUNCTION("""COMPUTED_VALUE"""),"Atiqa")</f>
        <v>Atiqa</v>
      </c>
      <c r="D889" s="10" t="str">
        <f>IFERROR(__xludf.DUMMYFUNCTION("""COMPUTED_VALUE"""),"03157519977")</f>
        <v>03157519977</v>
      </c>
      <c r="E889" s="10" t="str">
        <f>IFERROR(__xludf.DUMMYFUNCTION("""COMPUTED_VALUE"""),"Jamia Masjid Qasimiya Rehmy Shah Faisalabad")</f>
        <v>Jamia Masjid Qasimiya Rehmy Shah Faisalabad</v>
      </c>
      <c r="F889" s="10" t="str">
        <f>IFERROR(__xludf.DUMMYFUNCTION("""COMPUTED_VALUE"""),"cmwps")</f>
        <v>cmwps</v>
      </c>
      <c r="G889" s="10" t="str">
        <f>IFERROR(__xludf.DUMMYFUNCTION("""COMPUTED_VALUE"""),"Yes")</f>
        <v>Yes</v>
      </c>
      <c r="H889" s="10">
        <f>IFERROR(__xludf.DUMMYFUNCTION("""COMPUTED_VALUE"""),0.0)</f>
        <v>0</v>
      </c>
      <c r="I889" s="10">
        <f>IFERROR(__xludf.DUMMYFUNCTION("""COMPUTED_VALUE"""),10.0)</f>
        <v>10</v>
      </c>
      <c r="J889" s="10">
        <f>IFERROR(__xludf.DUMMYFUNCTION("""COMPUTED_VALUE"""),0.0)</f>
        <v>0</v>
      </c>
      <c r="K889" s="10">
        <f>IFERROR(__xludf.DUMMYFUNCTION("""COMPUTED_VALUE"""),0.0)</f>
        <v>0</v>
      </c>
      <c r="L889" s="10">
        <f>IFERROR(__xludf.DUMMYFUNCTION("""COMPUTED_VALUE"""),0.0)</f>
        <v>0</v>
      </c>
      <c r="M889" s="10">
        <f>IFERROR(__xludf.DUMMYFUNCTION("""COMPUTED_VALUE"""),0.0)</f>
        <v>0</v>
      </c>
      <c r="N889" s="10">
        <f>IFERROR(__xludf.DUMMYFUNCTION("""COMPUTED_VALUE"""),0.0)</f>
        <v>0</v>
      </c>
      <c r="O889" s="10">
        <f>IFERROR(__xludf.DUMMYFUNCTION("""COMPUTED_VALUE"""),0.0)</f>
        <v>0</v>
      </c>
      <c r="P889" s="10">
        <f>IFERROR(__xludf.DUMMYFUNCTION("""COMPUTED_VALUE"""),0.0)</f>
        <v>0</v>
      </c>
      <c r="Q889" s="10" t="str">
        <f>IFERROR(__xludf.DUMMYFUNCTION("""COMPUTED_VALUE"""),"No")</f>
        <v>No</v>
      </c>
      <c r="R889" s="10" t="str">
        <f>IFERROR(__xludf.DUMMYFUNCTION("""COMPUTED_VALUE"""),"No")</f>
        <v>No</v>
      </c>
      <c r="S889" s="10" t="str">
        <f>IFERROR(__xludf.DUMMYFUNCTION("""COMPUTED_VALUE"""),"No")</f>
        <v>No</v>
      </c>
      <c r="T889" s="10">
        <f>IFERROR(__xludf.DUMMYFUNCTION("""COMPUTED_VALUE"""),0.0)</f>
        <v>0</v>
      </c>
      <c r="U889" s="10">
        <f>IFERROR(__xludf.DUMMYFUNCTION("""COMPUTED_VALUE"""),0.0)</f>
        <v>0</v>
      </c>
      <c r="V889" s="10" t="str">
        <f>IFERROR(__xludf.DUMMYFUNCTION("""COMPUTED_VALUE"""),"۱۔خدا کی رحمت۲۔ مسلمان کا اپنی پسندیدہ چیز دینا  ")</f>
        <v>۱۔خدا کی رحمت۲۔ مسلمان کا اپنی پسندیدہ چیز دینا  </v>
      </c>
      <c r="W889" s="10" t="str">
        <f>IFERROR(__xludf.DUMMYFUNCTION("""COMPUTED_VALUE"""),"امام نے سب سے پہلے بیان کیا کہ اللہ تبارک و تعالی کی رحمت سے مایوس ہونا کفر سے بڑا گناہ ہے کسی پیاسے کو پانی پلانے پر حوض کوثر نصیب ہونا بڑا مام نے اس بات پر زور دیا کہ اپنے لیے جو چیز پسند کرتے ہو کسی غریب مسکین کو دینے کے لیے بھی وہی پسند کرو اور حضرت ع"&amp;"لی رضی اللہ تعالی عنہ کا اپنے غلام قنبر کو قیمتی لباس دیکھ کر خود ہلکا لباس رکھنے کا واقعہ بیان کیا،  حضرت موسی علیہ السلام کی امت میں سے ایک اتش پرست کا اللہ کی گستاخی کرتے ہوئے سوال اٹھانا اور اللہ تبارک و تعالی کی رحمت دیکھ کر اس کا مسلمان ہو جانے کا و"&amp;"اقعہ بیان کیا۔")</f>
        <v>امام نے سب سے پہلے بیان کیا کہ اللہ تبارک و تعالی کی رحمت سے مایوس ہونا کفر سے بڑا گناہ ہے کسی پیاسے کو پانی پلانے پر حوض کوثر نصیب ہونا بڑا مام نے اس بات پر زور دیا کہ اپنے لیے جو چیز پسند کرتے ہو کسی غریب مسکین کو دینے کے لیے بھی وہی پسند کرو اور حضرت علی رضی اللہ تعالی عنہ کا اپنے غلام قنبر کو قیمتی لباس دیکھ کر خود ہلکا لباس رکھنے کا واقعہ بیان کیا،  حضرت موسی علیہ السلام کی امت میں سے ایک اتش پرست کا اللہ کی گستاخی کرتے ہوئے سوال اٹھانا اور اللہ تبارک و تعالی کی رحمت دیکھ کر اس کا مسلمان ہو جانے کا واقعہ بیان کیا۔</v>
      </c>
      <c r="X889" s="10">
        <f>IFERROR(__xludf.DUMMYFUNCTION("""COMPUTED_VALUE"""),5.0)</f>
        <v>5</v>
      </c>
      <c r="Y889" s="10">
        <f>IFERROR(__xludf.DUMMYFUNCTION("""COMPUTED_VALUE"""),5.0)</f>
        <v>5</v>
      </c>
      <c r="Z889" s="10">
        <f>IFERROR(__xludf.DUMMYFUNCTION("""COMPUTED_VALUE"""),6.0)</f>
        <v>6</v>
      </c>
      <c r="AA889" s="10">
        <f>IFERROR(__xludf.DUMMYFUNCTION("""COMPUTED_VALUE"""),8.0)</f>
        <v>8</v>
      </c>
      <c r="AB889" s="10">
        <f>IFERROR(__xludf.DUMMYFUNCTION("""COMPUTED_VALUE"""),4.0)</f>
        <v>4</v>
      </c>
      <c r="AC889" s="10">
        <f>IFERROR(__xludf.DUMMYFUNCTION("""COMPUTED_VALUE"""),0.0)</f>
        <v>0</v>
      </c>
      <c r="AD889" s="10">
        <f>IFERROR(__xludf.DUMMYFUNCTION("""COMPUTED_VALUE"""),1.0)</f>
        <v>1</v>
      </c>
      <c r="AE889" s="10">
        <f>IFERROR(__xludf.DUMMYFUNCTION("""COMPUTED_VALUE"""),2.0)</f>
        <v>2</v>
      </c>
      <c r="AF889" s="10">
        <f>IFERROR(__xludf.DUMMYFUNCTION("""COMPUTED_VALUE"""),4.0)</f>
        <v>4</v>
      </c>
      <c r="AG889" s="10">
        <f>IFERROR(__xludf.DUMMYFUNCTION("""COMPUTED_VALUE"""),8.0)</f>
        <v>8</v>
      </c>
      <c r="AH889" s="10">
        <f>IFERROR(__xludf.DUMMYFUNCTION("""COMPUTED_VALUE"""),0.0)</f>
        <v>0</v>
      </c>
      <c r="AI889" s="10">
        <f>IFERROR(__xludf.DUMMYFUNCTION("""COMPUTED_VALUE"""),8.0)</f>
        <v>8</v>
      </c>
      <c r="AJ889" s="11" t="str">
        <f>IFERROR(__xludf.DUMMYFUNCTION("""COMPUTED_VALUE"""),"https://drive.google.com/open?id=1hgusqHr8_f1ZVpj-nt_BTzwUJgDMGKhXpGf4AFdgs1E")</f>
        <v>https://drive.google.com/open?id=1hgusqHr8_f1ZVpj-nt_BTzwUJgDMGKhXpGf4AFdgs1E</v>
      </c>
      <c r="AK889" s="12"/>
      <c r="AL889" s="12" t="str">
        <f>IFERROR(__xludf.DUMMYFUNCTION("""COMPUTED_VALUE"""),"Yes")</f>
        <v>Yes</v>
      </c>
      <c r="AM889" s="15">
        <f>IFERROR(__xludf.DUMMYFUNCTION("""COMPUTED_VALUE"""),0.0)</f>
        <v>0</v>
      </c>
      <c r="AN889" s="12" t="str">
        <f>IFERROR(__xludf.DUMMYFUNCTION("""COMPUTED_VALUE"""),"3rd week")</f>
        <v>3rd week</v>
      </c>
      <c r="AO889" s="13">
        <v>3.0</v>
      </c>
      <c r="AX889" s="17"/>
    </row>
    <row r="890">
      <c r="B890" s="9">
        <f>IFERROR(__xludf.DUMMYFUNCTION("""COMPUTED_VALUE"""),46008.02833104167)</f>
        <v>46008.02833</v>
      </c>
      <c r="C890" s="10" t="str">
        <f>IFERROR(__xludf.DUMMYFUNCTION("""COMPUTED_VALUE"""),"Atiqa")</f>
        <v>Atiqa</v>
      </c>
      <c r="D890" s="10" t="str">
        <f>IFERROR(__xludf.DUMMYFUNCTION("""COMPUTED_VALUE"""),"03157519977")</f>
        <v>03157519977</v>
      </c>
      <c r="E890" s="10" t="str">
        <f>IFERROR(__xludf.DUMMYFUNCTION("""COMPUTED_VALUE"""),"Jamia Masjid Jhaal Khanuwana Faisalabad")</f>
        <v>Jamia Masjid Jhaal Khanuwana Faisalabad</v>
      </c>
      <c r="F890" s="10" t="str">
        <f>IFERROR(__xludf.DUMMYFUNCTION("""COMPUTED_VALUE"""),"dmvyd")</f>
        <v>dmvyd</v>
      </c>
      <c r="G890" s="10" t="str">
        <f>IFERROR(__xludf.DUMMYFUNCTION("""COMPUTED_VALUE"""),"Yes")</f>
        <v>Yes</v>
      </c>
      <c r="H890" s="10">
        <f>IFERROR(__xludf.DUMMYFUNCTION("""COMPUTED_VALUE"""),0.0)</f>
        <v>0</v>
      </c>
      <c r="I890" s="10">
        <f>IFERROR(__xludf.DUMMYFUNCTION("""COMPUTED_VALUE"""),10.0)</f>
        <v>10</v>
      </c>
      <c r="J890" s="10">
        <f>IFERROR(__xludf.DUMMYFUNCTION("""COMPUTED_VALUE"""),0.0)</f>
        <v>0</v>
      </c>
      <c r="K890" s="10">
        <f>IFERROR(__xludf.DUMMYFUNCTION("""COMPUTED_VALUE"""),0.0)</f>
        <v>0</v>
      </c>
      <c r="L890" s="10">
        <f>IFERROR(__xludf.DUMMYFUNCTION("""COMPUTED_VALUE"""),0.0)</f>
        <v>0</v>
      </c>
      <c r="M890" s="10">
        <f>IFERROR(__xludf.DUMMYFUNCTION("""COMPUTED_VALUE"""),0.0)</f>
        <v>0</v>
      </c>
      <c r="N890" s="10">
        <f>IFERROR(__xludf.DUMMYFUNCTION("""COMPUTED_VALUE"""),0.0)</f>
        <v>0</v>
      </c>
      <c r="O890" s="10">
        <f>IFERROR(__xludf.DUMMYFUNCTION("""COMPUTED_VALUE"""),0.0)</f>
        <v>0</v>
      </c>
      <c r="P890" s="10">
        <f>IFERROR(__xludf.DUMMYFUNCTION("""COMPUTED_VALUE"""),0.0)</f>
        <v>0</v>
      </c>
      <c r="Q890" s="10" t="str">
        <f>IFERROR(__xludf.DUMMYFUNCTION("""COMPUTED_VALUE"""),"No")</f>
        <v>No</v>
      </c>
      <c r="R890" s="10" t="str">
        <f>IFERROR(__xludf.DUMMYFUNCTION("""COMPUTED_VALUE"""),"No")</f>
        <v>No</v>
      </c>
      <c r="S890" s="10" t="str">
        <f>IFERROR(__xludf.DUMMYFUNCTION("""COMPUTED_VALUE"""),"No")</f>
        <v>No</v>
      </c>
      <c r="T890" s="10">
        <f>IFERROR(__xludf.DUMMYFUNCTION("""COMPUTED_VALUE"""),0.0)</f>
        <v>0</v>
      </c>
      <c r="U890" s="10">
        <f>IFERROR(__xludf.DUMMYFUNCTION("""COMPUTED_VALUE"""),0.0)</f>
        <v>0</v>
      </c>
      <c r="V890" s="10" t="str">
        <f>IFERROR(__xludf.DUMMYFUNCTION("""COMPUTED_VALUE"""),"ادب مصطفی صلی اللہ علیہ والہ وسلم ")</f>
        <v>ادب مصطفی صلی اللہ علیہ والہ وسلم </v>
      </c>
      <c r="W890" s="10" t="str">
        <f>IFERROR(__xludf.DUMMYFUNCTION("""COMPUTED_VALUE"""),"امام نے سب سے پہلے بیان کیا جو صحابہ کرام حضور پاک صلی اللہ علیہ وسلم سے رہنمائی کے لیے لفظ راعنا استعمال کرتے تو کفار اس لفظ کو کھینچ کر ادا کرتے جس سے اس کا مطلب تبدیل ہو جاتا تو اللہ تبارک و تعالی نے یہ لفظ راعنا کہنے سے منع فرما کر وَقُولُوا انظُرْنَا"&amp;" کہنے کو کہا تھا کہ نبی پاک صلی اللہ علیہ وسلم کے بے ادبی کی کوئی گنجائش باقی نہ رہ جائے، اور اس کے ساتھ امام نے اس بات پر زور دیا کہ جب بھی نبی پاک صلی اللہ علیہ وسلم کا نام لیا جائے اس کو نہایت ادب سے لیا جائے نبی پاک صلی اللہ علیہ وسلم کا نام لینے سے ہ"&amp;"ر طرح کی پریشانی اور مصیبت کا دور ہو جانا بیان کیا۔")</f>
        <v>امام نے سب سے پہلے بیان کیا جو صحابہ کرام حضور پاک صلی اللہ علیہ وسلم سے رہنمائی کے لیے لفظ راعنا استعمال کرتے تو کفار اس لفظ کو کھینچ کر ادا کرتے جس سے اس کا مطلب تبدیل ہو جاتا تو اللہ تبارک و تعالی نے یہ لفظ راعنا کہنے سے منع فرما کر وَقُولُوا انظُرْنَا کہنے کو کہا تھا کہ نبی پاک صلی اللہ علیہ وسلم کے بے ادبی کی کوئی گنجائش باقی نہ رہ جائے، اور اس کے ساتھ امام نے اس بات پر زور دیا کہ جب بھی نبی پاک صلی اللہ علیہ وسلم کا نام لیا جائے اس کو نہایت ادب سے لیا جائے نبی پاک صلی اللہ علیہ وسلم کا نام لینے سے ہر طرح کی پریشانی اور مصیبت کا دور ہو جانا بیان کیا۔</v>
      </c>
      <c r="X890" s="10">
        <f>IFERROR(__xludf.DUMMYFUNCTION("""COMPUTED_VALUE"""),6.0)</f>
        <v>6</v>
      </c>
      <c r="Y890" s="10">
        <f>IFERROR(__xludf.DUMMYFUNCTION("""COMPUTED_VALUE"""),4.0)</f>
        <v>4</v>
      </c>
      <c r="Z890" s="10">
        <f>IFERROR(__xludf.DUMMYFUNCTION("""COMPUTED_VALUE"""),0.0)</f>
        <v>0</v>
      </c>
      <c r="AA890" s="10">
        <f>IFERROR(__xludf.DUMMYFUNCTION("""COMPUTED_VALUE"""),9.0)</f>
        <v>9</v>
      </c>
      <c r="AB890" s="10">
        <f>IFERROR(__xludf.DUMMYFUNCTION("""COMPUTED_VALUE"""),7.0)</f>
        <v>7</v>
      </c>
      <c r="AC890" s="10">
        <f>IFERROR(__xludf.DUMMYFUNCTION("""COMPUTED_VALUE"""),1.0)</f>
        <v>1</v>
      </c>
      <c r="AD890" s="10">
        <f>IFERROR(__xludf.DUMMYFUNCTION("""COMPUTED_VALUE"""),0.0)</f>
        <v>0</v>
      </c>
      <c r="AE890" s="10">
        <f>IFERROR(__xludf.DUMMYFUNCTION("""COMPUTED_VALUE"""),3.0)</f>
        <v>3</v>
      </c>
      <c r="AF890" s="10">
        <f>IFERROR(__xludf.DUMMYFUNCTION("""COMPUTED_VALUE"""),2.0)</f>
        <v>2</v>
      </c>
      <c r="AG890" s="10">
        <f>IFERROR(__xludf.DUMMYFUNCTION("""COMPUTED_VALUE"""),8.0)</f>
        <v>8</v>
      </c>
      <c r="AH890" s="10">
        <f>IFERROR(__xludf.DUMMYFUNCTION("""COMPUTED_VALUE"""),0.0)</f>
        <v>0</v>
      </c>
      <c r="AI890" s="10">
        <f>IFERROR(__xludf.DUMMYFUNCTION("""COMPUTED_VALUE"""),8.0)</f>
        <v>8</v>
      </c>
      <c r="AJ890" s="11" t="str">
        <f>IFERROR(__xludf.DUMMYFUNCTION("""COMPUTED_VALUE"""),"https://drive.google.com/open?id=1DTdQvxm6qNARzmz70rsFDuKURaE-EPn285CpvtHeIhc")</f>
        <v>https://drive.google.com/open?id=1DTdQvxm6qNARzmz70rsFDuKURaE-EPn285CpvtHeIhc</v>
      </c>
      <c r="AK890" s="12"/>
      <c r="AL890" s="12" t="str">
        <f>IFERROR(__xludf.DUMMYFUNCTION("""COMPUTED_VALUE"""),"Yes")</f>
        <v>Yes</v>
      </c>
      <c r="AM890" s="15">
        <f>IFERROR(__xludf.DUMMYFUNCTION("""COMPUTED_VALUE"""),0.0)</f>
        <v>0</v>
      </c>
      <c r="AN890" s="12" t="str">
        <f>IFERROR(__xludf.DUMMYFUNCTION("""COMPUTED_VALUE"""),"4th week")</f>
        <v>4th week</v>
      </c>
      <c r="AO890" s="13">
        <v>4.0</v>
      </c>
      <c r="AX890" s="17"/>
    </row>
    <row r="891">
      <c r="B891" s="9">
        <f>IFERROR(__xludf.DUMMYFUNCTION("""COMPUTED_VALUE"""),46008.093250300924)</f>
        <v>46008.09325</v>
      </c>
      <c r="C891" s="10" t="str">
        <f>IFERROR(__xludf.DUMMYFUNCTION("""COMPUTED_VALUE"""),"Atiqa")</f>
        <v>Atiqa</v>
      </c>
      <c r="D891" s="10" t="str">
        <f>IFERROR(__xludf.DUMMYFUNCTION("""COMPUTED_VALUE"""),"03157519977")</f>
        <v>03157519977</v>
      </c>
      <c r="E891" s="10" t="str">
        <f>IFERROR(__xludf.DUMMYFUNCTION("""COMPUTED_VALUE"""),"Jamia Masjid Amenia Ameen Abaad Samanbad Faisalabad")</f>
        <v>Jamia Masjid Amenia Ameen Abaad Samanbad Faisalabad</v>
      </c>
      <c r="F891" s="10" t="str">
        <f>IFERROR(__xludf.DUMMYFUNCTION("""COMPUTED_VALUE"""),"btuip")</f>
        <v>btuip</v>
      </c>
      <c r="G891" s="10" t="str">
        <f>IFERROR(__xludf.DUMMYFUNCTION("""COMPUTED_VALUE"""),"Yes")</f>
        <v>Yes</v>
      </c>
      <c r="H891" s="10">
        <f>IFERROR(__xludf.DUMMYFUNCTION("""COMPUTED_VALUE"""),0.0)</f>
        <v>0</v>
      </c>
      <c r="I891" s="10">
        <f>IFERROR(__xludf.DUMMYFUNCTION("""COMPUTED_VALUE"""),10.0)</f>
        <v>10</v>
      </c>
      <c r="J891" s="10">
        <f>IFERROR(__xludf.DUMMYFUNCTION("""COMPUTED_VALUE"""),0.0)</f>
        <v>0</v>
      </c>
      <c r="K891" s="10">
        <f>IFERROR(__xludf.DUMMYFUNCTION("""COMPUTED_VALUE"""),0.0)</f>
        <v>0</v>
      </c>
      <c r="L891" s="10">
        <f>IFERROR(__xludf.DUMMYFUNCTION("""COMPUTED_VALUE"""),0.0)</f>
        <v>0</v>
      </c>
      <c r="M891" s="10">
        <f>IFERROR(__xludf.DUMMYFUNCTION("""COMPUTED_VALUE"""),0.0)</f>
        <v>0</v>
      </c>
      <c r="N891" s="10">
        <f>IFERROR(__xludf.DUMMYFUNCTION("""COMPUTED_VALUE"""),0.0)</f>
        <v>0</v>
      </c>
      <c r="O891" s="10">
        <f>IFERROR(__xludf.DUMMYFUNCTION("""COMPUTED_VALUE"""),0.0)</f>
        <v>0</v>
      </c>
      <c r="P891" s="10">
        <f>IFERROR(__xludf.DUMMYFUNCTION("""COMPUTED_VALUE"""),0.0)</f>
        <v>0</v>
      </c>
      <c r="Q891" s="10" t="str">
        <f>IFERROR(__xludf.DUMMYFUNCTION("""COMPUTED_VALUE"""),"No")</f>
        <v>No</v>
      </c>
      <c r="R891" s="10" t="str">
        <f>IFERROR(__xludf.DUMMYFUNCTION("""COMPUTED_VALUE"""),"No")</f>
        <v>No</v>
      </c>
      <c r="S891" s="10" t="str">
        <f>IFERROR(__xludf.DUMMYFUNCTION("""COMPUTED_VALUE"""),"No")</f>
        <v>No</v>
      </c>
      <c r="T891" s="10">
        <f>IFERROR(__xludf.DUMMYFUNCTION("""COMPUTED_VALUE"""),0.0)</f>
        <v>0</v>
      </c>
      <c r="U891" s="10">
        <f>IFERROR(__xludf.DUMMYFUNCTION("""COMPUTED_VALUE"""),0.0)</f>
        <v>0</v>
      </c>
      <c r="V891" s="10" t="str">
        <f>IFERROR(__xludf.DUMMYFUNCTION("""COMPUTED_VALUE"""),"عثمان غنی رضی اللہ تعالی عنہ کی جامع صفات اور شخصیت ")</f>
        <v>عثمان غنی رضی اللہ تعالی عنہ کی جامع صفات اور شخصیت </v>
      </c>
      <c r="W891" s="10" t="str">
        <f>IFERROR(__xludf.DUMMYFUNCTION("""COMPUTED_VALUE"""),"امام نے حضرت عثمان غنی رضی اللہ تعالی عنہ کا عشرہ مبشرہ صحابہ کرام رضی اللہ تعالی عنہ میں شامل ہونا بیان کیا عثمان غنی رضی اللہ تعالی عنہ کو اپ صلی اللہ علیہ وسلم کی دو بیٹیوں سے نکاح کی وجہ سے ذوالنورین کا لقب عطا ہونا عثمان غنی رضی اللہ تعالی عنہ کا حیا"&amp;" دار ہونا اور عثمان غنی رضی اللہ تعالی عنہ کے سخاوت کا واقعہ پیش کیا کہ انہوں نے کس طرح یہودی سے کنواں خرید کر مسلمانوں کے لیے وقف کر دیا اور اپ صلی اللہ علیہ وسلم نے انہیں جنت کی بشارت عطا کر دی ")</f>
        <v>امام نے حضرت عثمان غنی رضی اللہ تعالی عنہ کا عشرہ مبشرہ صحابہ کرام رضی اللہ تعالی عنہ میں شامل ہونا بیان کیا عثمان غنی رضی اللہ تعالی عنہ کو اپ صلی اللہ علیہ وسلم کی دو بیٹیوں سے نکاح کی وجہ سے ذوالنورین کا لقب عطا ہونا عثمان غنی رضی اللہ تعالی عنہ کا حیا دار ہونا اور عثمان غنی رضی اللہ تعالی عنہ کے سخاوت کا واقعہ پیش کیا کہ انہوں نے کس طرح یہودی سے کنواں خرید کر مسلمانوں کے لیے وقف کر دیا اور اپ صلی اللہ علیہ وسلم نے انہیں جنت کی بشارت عطا کر دی </v>
      </c>
      <c r="X891" s="10">
        <f>IFERROR(__xludf.DUMMYFUNCTION("""COMPUTED_VALUE"""),4.0)</f>
        <v>4</v>
      </c>
      <c r="Y891" s="10">
        <f>IFERROR(__xludf.DUMMYFUNCTION("""COMPUTED_VALUE"""),6.0)</f>
        <v>6</v>
      </c>
      <c r="Z891" s="10">
        <f>IFERROR(__xludf.DUMMYFUNCTION("""COMPUTED_VALUE"""),0.0)</f>
        <v>0</v>
      </c>
      <c r="AA891" s="10">
        <f>IFERROR(__xludf.DUMMYFUNCTION("""COMPUTED_VALUE"""),7.0)</f>
        <v>7</v>
      </c>
      <c r="AB891" s="10">
        <f>IFERROR(__xludf.DUMMYFUNCTION("""COMPUTED_VALUE"""),9.0)</f>
        <v>9</v>
      </c>
      <c r="AC891" s="10">
        <f>IFERROR(__xludf.DUMMYFUNCTION("""COMPUTED_VALUE"""),0.0)</f>
        <v>0</v>
      </c>
      <c r="AD891" s="10">
        <f>IFERROR(__xludf.DUMMYFUNCTION("""COMPUTED_VALUE"""),3.0)</f>
        <v>3</v>
      </c>
      <c r="AE891" s="10">
        <f>IFERROR(__xludf.DUMMYFUNCTION("""COMPUTED_VALUE"""),2.0)</f>
        <v>2</v>
      </c>
      <c r="AF891" s="10">
        <f>IFERROR(__xludf.DUMMYFUNCTION("""COMPUTED_VALUE"""),0.0)</f>
        <v>0</v>
      </c>
      <c r="AG891" s="10">
        <f>IFERROR(__xludf.DUMMYFUNCTION("""COMPUTED_VALUE"""),8.0)</f>
        <v>8</v>
      </c>
      <c r="AH891" s="10">
        <f>IFERROR(__xludf.DUMMYFUNCTION("""COMPUTED_VALUE"""),0.0)</f>
        <v>0</v>
      </c>
      <c r="AI891" s="10">
        <f>IFERROR(__xludf.DUMMYFUNCTION("""COMPUTED_VALUE"""),9.0)</f>
        <v>9</v>
      </c>
      <c r="AJ891" s="11" t="str">
        <f>IFERROR(__xludf.DUMMYFUNCTION("""COMPUTED_VALUE"""),"https://drive.google.com/open?id=1nW9dqP4zdfkZFih-I6j7TcDr5du43shd4CnUuKhlsW8")</f>
        <v>https://drive.google.com/open?id=1nW9dqP4zdfkZFih-I6j7TcDr5du43shd4CnUuKhlsW8</v>
      </c>
      <c r="AK891" s="12"/>
      <c r="AL891" s="12" t="str">
        <f>IFERROR(__xludf.DUMMYFUNCTION("""COMPUTED_VALUE"""),"Yes")</f>
        <v>Yes</v>
      </c>
      <c r="AM891" s="15">
        <f>IFERROR(__xludf.DUMMYFUNCTION("""COMPUTED_VALUE"""),0.0)</f>
        <v>0</v>
      </c>
      <c r="AN891" s="12" t="str">
        <f>IFERROR(__xludf.DUMMYFUNCTION("""COMPUTED_VALUE"""),"4th week")</f>
        <v>4th week</v>
      </c>
      <c r="AO891" s="13">
        <v>4.0</v>
      </c>
      <c r="AX891" s="17"/>
    </row>
    <row r="892">
      <c r="B892" s="9">
        <f>IFERROR(__xludf.DUMMYFUNCTION("""COMPUTED_VALUE"""),46008.2259908912)</f>
        <v>46008.22599</v>
      </c>
      <c r="C892" s="10" t="str">
        <f>IFERROR(__xludf.DUMMYFUNCTION("""COMPUTED_VALUE"""),"Atiqa")</f>
        <v>Atiqa</v>
      </c>
      <c r="D892" s="10" t="str">
        <f>IFERROR(__xludf.DUMMYFUNCTION("""COMPUTED_VALUE"""),"03157519977")</f>
        <v>03157519977</v>
      </c>
      <c r="E892" s="10" t="str">
        <f>IFERROR(__xludf.DUMMYFUNCTION("""COMPUTED_VALUE"""),"Jamia Masjid Gosha Nasheen Multan")</f>
        <v>Jamia Masjid Gosha Nasheen Multan</v>
      </c>
      <c r="F892" s="10" t="str">
        <f>IFERROR(__xludf.DUMMYFUNCTION("""COMPUTED_VALUE"""),"lhgfs")</f>
        <v>lhgfs</v>
      </c>
      <c r="G892" s="10" t="str">
        <f>IFERROR(__xludf.DUMMYFUNCTION("""COMPUTED_VALUE"""),"Yes")</f>
        <v>Yes</v>
      </c>
      <c r="H892" s="10">
        <f>IFERROR(__xludf.DUMMYFUNCTION("""COMPUTED_VALUE"""),0.0)</f>
        <v>0</v>
      </c>
      <c r="I892" s="10">
        <f>IFERROR(__xludf.DUMMYFUNCTION("""COMPUTED_VALUE"""),10.0)</f>
        <v>10</v>
      </c>
      <c r="J892" s="10">
        <f>IFERROR(__xludf.DUMMYFUNCTION("""COMPUTED_VALUE"""),0.0)</f>
        <v>0</v>
      </c>
      <c r="K892" s="10">
        <f>IFERROR(__xludf.DUMMYFUNCTION("""COMPUTED_VALUE"""),0.0)</f>
        <v>0</v>
      </c>
      <c r="L892" s="10">
        <f>IFERROR(__xludf.DUMMYFUNCTION("""COMPUTED_VALUE"""),0.0)</f>
        <v>0</v>
      </c>
      <c r="M892" s="10">
        <f>IFERROR(__xludf.DUMMYFUNCTION("""COMPUTED_VALUE"""),0.0)</f>
        <v>0</v>
      </c>
      <c r="N892" s="10">
        <f>IFERROR(__xludf.DUMMYFUNCTION("""COMPUTED_VALUE"""),0.0)</f>
        <v>0</v>
      </c>
      <c r="O892" s="10">
        <f>IFERROR(__xludf.DUMMYFUNCTION("""COMPUTED_VALUE"""),0.0)</f>
        <v>0</v>
      </c>
      <c r="P892" s="10">
        <f>IFERROR(__xludf.DUMMYFUNCTION("""COMPUTED_VALUE"""),0.0)</f>
        <v>0</v>
      </c>
      <c r="Q892" s="10" t="str">
        <f>IFERROR(__xludf.DUMMYFUNCTION("""COMPUTED_VALUE"""),"No")</f>
        <v>No</v>
      </c>
      <c r="R892" s="10" t="str">
        <f>IFERROR(__xludf.DUMMYFUNCTION("""COMPUTED_VALUE"""),"No")</f>
        <v>No</v>
      </c>
      <c r="S892" s="10" t="str">
        <f>IFERROR(__xludf.DUMMYFUNCTION("""COMPUTED_VALUE"""),"No")</f>
        <v>No</v>
      </c>
      <c r="T892" s="10">
        <f>IFERROR(__xludf.DUMMYFUNCTION("""COMPUTED_VALUE"""),0.0)</f>
        <v>0</v>
      </c>
      <c r="U892" s="10">
        <f>IFERROR(__xludf.DUMMYFUNCTION("""COMPUTED_VALUE"""),0.0)</f>
        <v>0</v>
      </c>
      <c r="V892" s="10" t="str">
        <f>IFERROR(__xludf.DUMMYFUNCTION("""COMPUTED_VALUE"""),"سفر اخرت کی تیاری ")</f>
        <v>سفر اخرت کی تیاری </v>
      </c>
      <c r="W892" s="10" t="str">
        <f>IFERROR(__xludf.DUMMYFUNCTION("""COMPUTED_VALUE"""),"سب سے پہلے بیان کیا کہ انسان ہر وقت مال مال کرتا ہے اس کا اصل مال وہی جو اس نے کھا لیا پہن لیا اور اللہ کی راہ میں خرچ کر دیا، اور حضور صلی اللہ علیہ وسلم نے فرمایا کہ عقلمند شخص وہ جو اخرت کے لیے اعمال کرتا، اور اس کے علاوہ ہارون الرشید خلیفہ اور ایک بہل"&amp;"ول رحمت اللہ علیہ نیک بزرگ کا واقعہ بیان کیا کہ بہلول رحمۃ اللہ علیہ کس طرح لوگوں کو اللہ کی طرف بلاتے مگر وہ اپنے کام کاج میں اتنے مصروف کہ نہیں اتے اور پھر موت انے کے بعد قبر میں اللہ سے دوبارہ زندگی اور ایک موقع ملنے کا سوال کرتے ہیں  ")</f>
        <v>سب سے پہلے بیان کیا کہ انسان ہر وقت مال مال کرتا ہے اس کا اصل مال وہی جو اس نے کھا لیا پہن لیا اور اللہ کی راہ میں خرچ کر دیا، اور حضور صلی اللہ علیہ وسلم نے فرمایا کہ عقلمند شخص وہ جو اخرت کے لیے اعمال کرتا، اور اس کے علاوہ ہارون الرشید خلیفہ اور ایک بہلول رحمت اللہ علیہ نیک بزرگ کا واقعہ بیان کیا کہ بہلول رحمۃ اللہ علیہ کس طرح لوگوں کو اللہ کی طرف بلاتے مگر وہ اپنے کام کاج میں اتنے مصروف کہ نہیں اتے اور پھر موت انے کے بعد قبر میں اللہ سے دوبارہ زندگی اور ایک موقع ملنے کا سوال کرتے ہیں  </v>
      </c>
      <c r="X892" s="10">
        <f>IFERROR(__xludf.DUMMYFUNCTION("""COMPUTED_VALUE"""),9.0)</f>
        <v>9</v>
      </c>
      <c r="Y892" s="10">
        <f>IFERROR(__xludf.DUMMYFUNCTION("""COMPUTED_VALUE"""),1.0)</f>
        <v>1</v>
      </c>
      <c r="Z892" s="10">
        <f>IFERROR(__xludf.DUMMYFUNCTION("""COMPUTED_VALUE"""),0.0)</f>
        <v>0</v>
      </c>
      <c r="AA892" s="10">
        <f>IFERROR(__xludf.DUMMYFUNCTION("""COMPUTED_VALUE"""),9.0)</f>
        <v>9</v>
      </c>
      <c r="AB892" s="10">
        <f>IFERROR(__xludf.DUMMYFUNCTION("""COMPUTED_VALUE"""),6.0)</f>
        <v>6</v>
      </c>
      <c r="AC892" s="10">
        <f>IFERROR(__xludf.DUMMYFUNCTION("""COMPUTED_VALUE"""),0.0)</f>
        <v>0</v>
      </c>
      <c r="AD892" s="10">
        <f>IFERROR(__xludf.DUMMYFUNCTION("""COMPUTED_VALUE"""),0.0)</f>
        <v>0</v>
      </c>
      <c r="AE892" s="10">
        <f>IFERROR(__xludf.DUMMYFUNCTION("""COMPUTED_VALUE"""),0.0)</f>
        <v>0</v>
      </c>
      <c r="AF892" s="10">
        <f>IFERROR(__xludf.DUMMYFUNCTION("""COMPUTED_VALUE"""),0.0)</f>
        <v>0</v>
      </c>
      <c r="AG892" s="10">
        <f>IFERROR(__xludf.DUMMYFUNCTION("""COMPUTED_VALUE"""),8.0)</f>
        <v>8</v>
      </c>
      <c r="AH892" s="10">
        <f>IFERROR(__xludf.DUMMYFUNCTION("""COMPUTED_VALUE"""),0.0)</f>
        <v>0</v>
      </c>
      <c r="AI892" s="10">
        <f>IFERROR(__xludf.DUMMYFUNCTION("""COMPUTED_VALUE"""),8.0)</f>
        <v>8</v>
      </c>
      <c r="AJ892" s="11" t="str">
        <f>IFERROR(__xludf.DUMMYFUNCTION("""COMPUTED_VALUE"""),"https://drive.google.com/open?id=1ogQIEZQ9bDGitWYglgtEPq0-xbejsjjOwq_U0E3CffA")</f>
        <v>https://drive.google.com/open?id=1ogQIEZQ9bDGitWYglgtEPq0-xbejsjjOwq_U0E3CffA</v>
      </c>
      <c r="AK892" s="12"/>
      <c r="AL892" s="12" t="str">
        <f>IFERROR(__xludf.DUMMYFUNCTION("""COMPUTED_VALUE"""),"Yes")</f>
        <v>Yes</v>
      </c>
      <c r="AM892" s="15">
        <f>IFERROR(__xludf.DUMMYFUNCTION("""COMPUTED_VALUE"""),0.0)</f>
        <v>0</v>
      </c>
      <c r="AN892" s="12" t="str">
        <f>IFERROR(__xludf.DUMMYFUNCTION("""COMPUTED_VALUE"""),"5th week")</f>
        <v>5th week</v>
      </c>
      <c r="AO892" s="13">
        <v>5.0</v>
      </c>
      <c r="AX892" s="17"/>
    </row>
    <row r="893">
      <c r="B893" s="9">
        <f>IFERROR(__xludf.DUMMYFUNCTION("""COMPUTED_VALUE"""),46008.46784857639)</f>
        <v>46008.46785</v>
      </c>
      <c r="C893" s="10" t="str">
        <f>IFERROR(__xludf.DUMMYFUNCTION("""COMPUTED_VALUE"""),"Atiqa")</f>
        <v>Atiqa</v>
      </c>
      <c r="D893" s="10" t="str">
        <f>IFERROR(__xludf.DUMMYFUNCTION("""COMPUTED_VALUE"""),"03157519977")</f>
        <v>03157519977</v>
      </c>
      <c r="E893" s="10" t="str">
        <f>IFERROR(__xludf.DUMMYFUNCTION("""COMPUTED_VALUE"""),"Jamia Masjid D Block Burewala")</f>
        <v>Jamia Masjid D Block Burewala</v>
      </c>
      <c r="F893" s="10" t="str">
        <f>IFERROR(__xludf.DUMMYFUNCTION("""COMPUTED_VALUE"""),"mfvfc")</f>
        <v>mfvfc</v>
      </c>
      <c r="G893" s="10" t="str">
        <f>IFERROR(__xludf.DUMMYFUNCTION("""COMPUTED_VALUE"""),"Yes")</f>
        <v>Yes</v>
      </c>
      <c r="H893" s="10">
        <f>IFERROR(__xludf.DUMMYFUNCTION("""COMPUTED_VALUE"""),0.0)</f>
        <v>0</v>
      </c>
      <c r="I893" s="10">
        <f>IFERROR(__xludf.DUMMYFUNCTION("""COMPUTED_VALUE"""),10.0)</f>
        <v>10</v>
      </c>
      <c r="J893" s="10">
        <f>IFERROR(__xludf.DUMMYFUNCTION("""COMPUTED_VALUE"""),0.0)</f>
        <v>0</v>
      </c>
      <c r="K893" s="10">
        <f>IFERROR(__xludf.DUMMYFUNCTION("""COMPUTED_VALUE"""),0.0)</f>
        <v>0</v>
      </c>
      <c r="L893" s="10">
        <f>IFERROR(__xludf.DUMMYFUNCTION("""COMPUTED_VALUE"""),0.0)</f>
        <v>0</v>
      </c>
      <c r="M893" s="10">
        <f>IFERROR(__xludf.DUMMYFUNCTION("""COMPUTED_VALUE"""),0.0)</f>
        <v>0</v>
      </c>
      <c r="N893" s="10">
        <f>IFERROR(__xludf.DUMMYFUNCTION("""COMPUTED_VALUE"""),0.0)</f>
        <v>0</v>
      </c>
      <c r="O893" s="10">
        <f>IFERROR(__xludf.DUMMYFUNCTION("""COMPUTED_VALUE"""),0.0)</f>
        <v>0</v>
      </c>
      <c r="P893" s="10">
        <f>IFERROR(__xludf.DUMMYFUNCTION("""COMPUTED_VALUE"""),0.0)</f>
        <v>0</v>
      </c>
      <c r="Q893" s="10" t="str">
        <f>IFERROR(__xludf.DUMMYFUNCTION("""COMPUTED_VALUE"""),"No")</f>
        <v>No</v>
      </c>
      <c r="R893" s="10" t="str">
        <f>IFERROR(__xludf.DUMMYFUNCTION("""COMPUTED_VALUE"""),"No")</f>
        <v>No</v>
      </c>
      <c r="S893" s="10" t="str">
        <f>IFERROR(__xludf.DUMMYFUNCTION("""COMPUTED_VALUE"""),"No")</f>
        <v>No</v>
      </c>
      <c r="T893" s="10">
        <f>IFERROR(__xludf.DUMMYFUNCTION("""COMPUTED_VALUE"""),0.0)</f>
        <v>0</v>
      </c>
      <c r="U893" s="10">
        <f>IFERROR(__xludf.DUMMYFUNCTION("""COMPUTED_VALUE"""),0.0)</f>
        <v>0</v>
      </c>
      <c r="V893" s="10" t="str">
        <f>IFERROR(__xludf.DUMMYFUNCTION("""COMPUTED_VALUE"""),"ختم نبوت اور حضور صلی اللہ علیہ وسلم کے ارشادات کی روشنی میں فتنہ کی نشاندہی ")</f>
        <v>ختم نبوت اور حضور صلی اللہ علیہ وسلم کے ارشادات کی روشنی میں فتنہ کی نشاندہی </v>
      </c>
      <c r="W893" s="10" t="str">
        <f>IFERROR(__xludf.DUMMYFUNCTION("""COMPUTED_VALUE"""),"میں نے سب سے پہلے بیان کیا کہ کہ اللہ نے جتنے بھی انبیاء کرام بھیجے ان کی نبوت اب محدود مدت اور محدود لوگوں کے لیے تھے لیکن اپ صلی اللہ علیہ وسلم کے ساتھ کو قیامت تک انے والوں کے لیے نبی بنا کر بھیجا اپ کے بعد کوئی نبی نہیں ائے گا، اپ صلی اللہ علیہ وسلم ن"&amp;"ے قیامت تک انے والے لوگوں کی رہنمائی کے لیے ہر معاملات کے متعلق  اپنے ارشادات بیان کیے حضور صلی اللہ علیہ وسلم کے ارشادات کی روشنی میں ایسی چیزیں بتائیں جو فتنہ کی نشاندہی کرتی ہیں ")</f>
        <v>میں نے سب سے پہلے بیان کیا کہ کہ اللہ نے جتنے بھی انبیاء کرام بھیجے ان کی نبوت اب محدود مدت اور محدود لوگوں کے لیے تھے لیکن اپ صلی اللہ علیہ وسلم کے ساتھ کو قیامت تک انے والوں کے لیے نبی بنا کر بھیجا اپ کے بعد کوئی نبی نہیں ائے گا، اپ صلی اللہ علیہ وسلم نے قیامت تک انے والے لوگوں کی رہنمائی کے لیے ہر معاملات کے متعلق  اپنے ارشادات بیان کیے حضور صلی اللہ علیہ وسلم کے ارشادات کی روشنی میں ایسی چیزیں بتائیں جو فتنہ کی نشاندہی کرتی ہیں </v>
      </c>
      <c r="X893" s="10">
        <f>IFERROR(__xludf.DUMMYFUNCTION("""COMPUTED_VALUE"""),5.0)</f>
        <v>5</v>
      </c>
      <c r="Y893" s="10">
        <f>IFERROR(__xludf.DUMMYFUNCTION("""COMPUTED_VALUE"""),5.0)</f>
        <v>5</v>
      </c>
      <c r="Z893" s="10">
        <f>IFERROR(__xludf.DUMMYFUNCTION("""COMPUTED_VALUE"""),4.0)</f>
        <v>4</v>
      </c>
      <c r="AA893" s="10">
        <f>IFERROR(__xludf.DUMMYFUNCTION("""COMPUTED_VALUE"""),8.0)</f>
        <v>8</v>
      </c>
      <c r="AB893" s="10">
        <f>IFERROR(__xludf.DUMMYFUNCTION("""COMPUTED_VALUE"""),6.0)</f>
        <v>6</v>
      </c>
      <c r="AC893" s="10">
        <f>IFERROR(__xludf.DUMMYFUNCTION("""COMPUTED_VALUE"""),0.0)</f>
        <v>0</v>
      </c>
      <c r="AD893" s="10">
        <f>IFERROR(__xludf.DUMMYFUNCTION("""COMPUTED_VALUE"""),0.0)</f>
        <v>0</v>
      </c>
      <c r="AE893" s="10">
        <f>IFERROR(__xludf.DUMMYFUNCTION("""COMPUTED_VALUE"""),0.0)</f>
        <v>0</v>
      </c>
      <c r="AF893" s="10">
        <f>IFERROR(__xludf.DUMMYFUNCTION("""COMPUTED_VALUE"""),0.0)</f>
        <v>0</v>
      </c>
      <c r="AG893" s="10">
        <f>IFERROR(__xludf.DUMMYFUNCTION("""COMPUTED_VALUE"""),7.0)</f>
        <v>7</v>
      </c>
      <c r="AH893" s="10">
        <f>IFERROR(__xludf.DUMMYFUNCTION("""COMPUTED_VALUE"""),0.0)</f>
        <v>0</v>
      </c>
      <c r="AI893" s="10">
        <f>IFERROR(__xludf.DUMMYFUNCTION("""COMPUTED_VALUE"""),8.0)</f>
        <v>8</v>
      </c>
      <c r="AJ893" s="11" t="str">
        <f>IFERROR(__xludf.DUMMYFUNCTION("""COMPUTED_VALUE"""),"https://drive.google.com/open?id=1ldeouQ8fwhBLHWunNfGZOmqzUHRjn6Cw-TnOfXJ_0Io")</f>
        <v>https://drive.google.com/open?id=1ldeouQ8fwhBLHWunNfGZOmqzUHRjn6Cw-TnOfXJ_0Io</v>
      </c>
      <c r="AK893" s="12"/>
      <c r="AL893" s="12" t="str">
        <f>IFERROR(__xludf.DUMMYFUNCTION("""COMPUTED_VALUE"""),"Yes")</f>
        <v>Yes</v>
      </c>
      <c r="AM893" s="15">
        <f>IFERROR(__xludf.DUMMYFUNCTION("""COMPUTED_VALUE"""),0.0)</f>
        <v>0</v>
      </c>
      <c r="AN893" s="12" t="str">
        <f>IFERROR(__xludf.DUMMYFUNCTION("""COMPUTED_VALUE"""),"5th week")</f>
        <v>5th week</v>
      </c>
      <c r="AO893" s="13">
        <v>5.0</v>
      </c>
      <c r="AX893" s="17"/>
    </row>
    <row r="894">
      <c r="B894" s="9">
        <f>IFERROR(__xludf.DUMMYFUNCTION("""COMPUTED_VALUE"""),46008.52183277778)</f>
        <v>46008.52183</v>
      </c>
      <c r="C894" s="10" t="str">
        <f>IFERROR(__xludf.DUMMYFUNCTION("""COMPUTED_VALUE"""),"Atiqa")</f>
        <v>Atiqa</v>
      </c>
      <c r="D894" s="10" t="str">
        <f>IFERROR(__xludf.DUMMYFUNCTION("""COMPUTED_VALUE"""),"03157519977")</f>
        <v>03157519977</v>
      </c>
      <c r="E894" s="10" t="str">
        <f>IFERROR(__xludf.DUMMYFUNCTION("""COMPUTED_VALUE"""),"Jamia Masjid Jhaal Khanuwana Faisalabad")</f>
        <v>Jamia Masjid Jhaal Khanuwana Faisalabad</v>
      </c>
      <c r="F894" s="10" t="str">
        <f>IFERROR(__xludf.DUMMYFUNCTION("""COMPUTED_VALUE"""),"dmvyd")</f>
        <v>dmvyd</v>
      </c>
      <c r="G894" s="10" t="str">
        <f>IFERROR(__xludf.DUMMYFUNCTION("""COMPUTED_VALUE"""),"Yes")</f>
        <v>Yes</v>
      </c>
      <c r="H894" s="10">
        <f>IFERROR(__xludf.DUMMYFUNCTION("""COMPUTED_VALUE"""),6.0)</f>
        <v>6</v>
      </c>
      <c r="I894" s="10">
        <f>IFERROR(__xludf.DUMMYFUNCTION("""COMPUTED_VALUE"""),4.0)</f>
        <v>4</v>
      </c>
      <c r="J894" s="10">
        <f>IFERROR(__xludf.DUMMYFUNCTION("""COMPUTED_VALUE"""),9.0)</f>
        <v>9</v>
      </c>
      <c r="K894" s="10">
        <f>IFERROR(__xludf.DUMMYFUNCTION("""COMPUTED_VALUE"""),10.0)</f>
        <v>10</v>
      </c>
      <c r="L894" s="10">
        <f>IFERROR(__xludf.DUMMYFUNCTION("""COMPUTED_VALUE"""),0.0)</f>
        <v>0</v>
      </c>
      <c r="M894" s="10">
        <f>IFERROR(__xludf.DUMMYFUNCTION("""COMPUTED_VALUE"""),6.0)</f>
        <v>6</v>
      </c>
      <c r="N894" s="10">
        <f>IFERROR(__xludf.DUMMYFUNCTION("""COMPUTED_VALUE"""),0.0)</f>
        <v>0</v>
      </c>
      <c r="O894" s="10">
        <f>IFERROR(__xludf.DUMMYFUNCTION("""COMPUTED_VALUE"""),6.0)</f>
        <v>6</v>
      </c>
      <c r="P894" s="10">
        <f>IFERROR(__xludf.DUMMYFUNCTION("""COMPUTED_VALUE"""),0.0)</f>
        <v>0</v>
      </c>
      <c r="Q894" s="10" t="str">
        <f>IFERROR(__xludf.DUMMYFUNCTION("""COMPUTED_VALUE"""),"No")</f>
        <v>No</v>
      </c>
      <c r="R894" s="10" t="str">
        <f>IFERROR(__xludf.DUMMYFUNCTION("""COMPUTED_VALUE"""),"No")</f>
        <v>No</v>
      </c>
      <c r="S894" s="10" t="str">
        <f>IFERROR(__xludf.DUMMYFUNCTION("""COMPUTED_VALUE"""),"Yes")</f>
        <v>Yes</v>
      </c>
      <c r="T894" s="10">
        <f>IFERROR(__xludf.DUMMYFUNCTION("""COMPUTED_VALUE"""),0.0)</f>
        <v>0</v>
      </c>
      <c r="U894" s="10">
        <f>IFERROR(__xludf.DUMMYFUNCTION("""COMPUTED_VALUE"""),0.0)</f>
        <v>0</v>
      </c>
      <c r="V894" s="10" t="str">
        <f>IFERROR(__xludf.DUMMYFUNCTION("""COMPUTED_VALUE"""),"عورت کا مقام و مرتبہ اور معاشی سرگرمیوں میں کردار ")</f>
        <v>عورت کا مقام و مرتبہ اور معاشی سرگرمیوں میں کردار </v>
      </c>
      <c r="W894" s="10" t="str">
        <f>IFERROR(__xludf.DUMMYFUNCTION("""COMPUTED_VALUE"""),"امام نے بیان کیا کو عورت کو سلام انے کے بعد مکہ مرتبہ عطا ہوا اور اسلام نے عورت کو معاشی سرگرمیوں میں حصہ لینے سے منع نہیں فرمایا بلکہ ازواج مطہرات خدیجۃ الکبری رضی اللہ تعالی عنہا کا تجارت کا کاروبار اور معاشی سرگرمی میں کردار بیان کیا اور میرے خان نے رض"&amp;"ی اللہ تعالی عنہا کا درس و تدریس کا اہتمام کرنا بیان کیا اور فاطمۃ الزہرا رضی اللہ تعالی عنہ کا کردار بیان کیا کہ وہ کس طرح کسی سائل کو خالی نہیں لٹاتی ")</f>
        <v>امام نے بیان کیا کو عورت کو سلام انے کے بعد مکہ مرتبہ عطا ہوا اور اسلام نے عورت کو معاشی سرگرمیوں میں حصہ لینے سے منع نہیں فرمایا بلکہ ازواج مطہرات خدیجۃ الکبری رضی اللہ تعالی عنہا کا تجارت کا کاروبار اور معاشی سرگرمی میں کردار بیان کیا اور میرے خان نے رضی اللہ تعالی عنہا کا درس و تدریس کا اہتمام کرنا بیان کیا اور فاطمۃ الزہرا رضی اللہ تعالی عنہ کا کردار بیان کیا کہ وہ کس طرح کسی سائل کو خالی نہیں لٹاتی </v>
      </c>
      <c r="X894" s="10">
        <f>IFERROR(__xludf.DUMMYFUNCTION("""COMPUTED_VALUE"""),1.0)</f>
        <v>1</v>
      </c>
      <c r="Y894" s="10">
        <f>IFERROR(__xludf.DUMMYFUNCTION("""COMPUTED_VALUE"""),9.0)</f>
        <v>9</v>
      </c>
      <c r="Z894" s="10">
        <f>IFERROR(__xludf.DUMMYFUNCTION("""COMPUTED_VALUE"""),6.0)</f>
        <v>6</v>
      </c>
      <c r="AA894" s="10">
        <f>IFERROR(__xludf.DUMMYFUNCTION("""COMPUTED_VALUE"""),4.0)</f>
        <v>4</v>
      </c>
      <c r="AB894" s="10">
        <f>IFERROR(__xludf.DUMMYFUNCTION("""COMPUTED_VALUE"""),7.0)</f>
        <v>7</v>
      </c>
      <c r="AC894" s="10">
        <f>IFERROR(__xludf.DUMMYFUNCTION("""COMPUTED_VALUE"""),0.0)</f>
        <v>0</v>
      </c>
      <c r="AD894" s="10">
        <f>IFERROR(__xludf.DUMMYFUNCTION("""COMPUTED_VALUE"""),4.0)</f>
        <v>4</v>
      </c>
      <c r="AE894" s="10">
        <f>IFERROR(__xludf.DUMMYFUNCTION("""COMPUTED_VALUE"""),1.0)</f>
        <v>1</v>
      </c>
      <c r="AF894" s="10">
        <f>IFERROR(__xludf.DUMMYFUNCTION("""COMPUTED_VALUE"""),0.0)</f>
        <v>0</v>
      </c>
      <c r="AG894" s="10">
        <f>IFERROR(__xludf.DUMMYFUNCTION("""COMPUTED_VALUE"""),8.0)</f>
        <v>8</v>
      </c>
      <c r="AH894" s="10">
        <f>IFERROR(__xludf.DUMMYFUNCTION("""COMPUTED_VALUE"""),0.0)</f>
        <v>0</v>
      </c>
      <c r="AI894" s="10">
        <f>IFERROR(__xludf.DUMMYFUNCTION("""COMPUTED_VALUE"""),8.0)</f>
        <v>8</v>
      </c>
      <c r="AJ894" s="11" t="str">
        <f>IFERROR(__xludf.DUMMYFUNCTION("""COMPUTED_VALUE"""),"https://drive.google.com/open?id=1AP9Ghri12ceKq-AkJMKoA1SeeXfe0ruP6ALiaKkfEFg")</f>
        <v>https://drive.google.com/open?id=1AP9Ghri12ceKq-AkJMKoA1SeeXfe0ruP6ALiaKkfEFg</v>
      </c>
      <c r="AK894" s="12"/>
      <c r="AL894" s="12" t="str">
        <f>IFERROR(__xludf.DUMMYFUNCTION("""COMPUTED_VALUE"""),"Yes")</f>
        <v>Yes</v>
      </c>
      <c r="AM894" s="15">
        <f>IFERROR(__xludf.DUMMYFUNCTION("""COMPUTED_VALUE"""),0.6)</f>
        <v>0.6</v>
      </c>
      <c r="AN894" s="12" t="str">
        <f>IFERROR(__xludf.DUMMYFUNCTION("""COMPUTED_VALUE"""),"5th week")</f>
        <v>5th week</v>
      </c>
      <c r="AO894" s="13">
        <v>5.0</v>
      </c>
      <c r="AX894" s="17"/>
    </row>
    <row r="895">
      <c r="B895" s="9">
        <f>IFERROR(__xludf.DUMMYFUNCTION("""COMPUTED_VALUE"""),46009.05532303241)</f>
        <v>46009.05532</v>
      </c>
      <c r="C895" s="10" t="str">
        <f>IFERROR(__xludf.DUMMYFUNCTION("""COMPUTED_VALUE"""),"Atiqa ")</f>
        <v>Atiqa </v>
      </c>
      <c r="D895" s="10" t="str">
        <f>IFERROR(__xludf.DUMMYFUNCTION("""COMPUTED_VALUE"""),"03157519977")</f>
        <v>03157519977</v>
      </c>
      <c r="E895" s="10" t="str">
        <f>IFERROR(__xludf.DUMMYFUNCTION("""COMPUTED_VALUE"""),"Jamia Masjid Madini Samnabad Faisalabad")</f>
        <v>Jamia Masjid Madini Samnabad Faisalabad</v>
      </c>
      <c r="F895" s="10" t="str">
        <f>IFERROR(__xludf.DUMMYFUNCTION("""COMPUTED_VALUE"""),"rwyui")</f>
        <v>rwyui</v>
      </c>
      <c r="G895" s="10" t="str">
        <f>IFERROR(__xludf.DUMMYFUNCTION("""COMPUTED_VALUE"""),"Yes")</f>
        <v>Yes</v>
      </c>
      <c r="H895" s="10">
        <f>IFERROR(__xludf.DUMMYFUNCTION("""COMPUTED_VALUE"""),0.0)</f>
        <v>0</v>
      </c>
      <c r="I895" s="10">
        <f>IFERROR(__xludf.DUMMYFUNCTION("""COMPUTED_VALUE"""),10.0)</f>
        <v>10</v>
      </c>
      <c r="J895" s="10">
        <f>IFERROR(__xludf.DUMMYFUNCTION("""COMPUTED_VALUE"""),0.0)</f>
        <v>0</v>
      </c>
      <c r="K895" s="10">
        <f>IFERROR(__xludf.DUMMYFUNCTION("""COMPUTED_VALUE"""),0.0)</f>
        <v>0</v>
      </c>
      <c r="L895" s="10">
        <f>IFERROR(__xludf.DUMMYFUNCTION("""COMPUTED_VALUE"""),0.0)</f>
        <v>0</v>
      </c>
      <c r="M895" s="10">
        <f>IFERROR(__xludf.DUMMYFUNCTION("""COMPUTED_VALUE"""),0.0)</f>
        <v>0</v>
      </c>
      <c r="N895" s="10">
        <f>IFERROR(__xludf.DUMMYFUNCTION("""COMPUTED_VALUE"""),0.0)</f>
        <v>0</v>
      </c>
      <c r="O895" s="10">
        <f>IFERROR(__xludf.DUMMYFUNCTION("""COMPUTED_VALUE"""),0.0)</f>
        <v>0</v>
      </c>
      <c r="P895" s="10">
        <f>IFERROR(__xludf.DUMMYFUNCTION("""COMPUTED_VALUE"""),0.0)</f>
        <v>0</v>
      </c>
      <c r="Q895" s="10" t="str">
        <f>IFERROR(__xludf.DUMMYFUNCTION("""COMPUTED_VALUE"""),"No")</f>
        <v>No</v>
      </c>
      <c r="R895" s="10" t="str">
        <f>IFERROR(__xludf.DUMMYFUNCTION("""COMPUTED_VALUE"""),"No")</f>
        <v>No</v>
      </c>
      <c r="S895" s="10" t="str">
        <f>IFERROR(__xludf.DUMMYFUNCTION("""COMPUTED_VALUE"""),"No")</f>
        <v>No</v>
      </c>
      <c r="T895" s="10">
        <f>IFERROR(__xludf.DUMMYFUNCTION("""COMPUTED_VALUE"""),0.0)</f>
        <v>0</v>
      </c>
      <c r="U895" s="10">
        <f>IFERROR(__xludf.DUMMYFUNCTION("""COMPUTED_VALUE"""),0.0)</f>
        <v>0</v>
      </c>
      <c r="V895" s="10" t="str">
        <f>IFERROR(__xludf.DUMMYFUNCTION("""COMPUTED_VALUE"""),"عقیدۂ رسالت اور اطاعتِ رسول ﷺ کی حقیقی معرفت
")</f>
        <v>عقیدۂ رسالت اور اطاعتِ رسول ﷺ کی حقیقی معرفت
</v>
      </c>
      <c r="W895" s="10" t="str">
        <f>IFERROR(__xludf.DUMMYFUNCTION("""COMPUTED_VALUE"""),"امام نے بیان کیا کہ اللہ اور اس کے رسول کا بلانا ایک ہے اور جب بھی حضور پاک صلی اللہ علیہ وسلم کا بلاوا اجائے تو جو بھی کام کر رہے ہیں اسے چھوڑ کر ان کی بارگاہ میں حاضر ہو جانا بیان کیا اور امام نے بیان کیا کہ انسان اشرف المخلوقات عقل اور شعور رکھنے والا "&amp;"ہے اس لیے اسے چاہیے جب بھی اللہ اور اس کے رسول کا بلاوا ائے جیسے اذان ہو تو فورا اس کی طرف ائے حتی کہ درخت پرندے پتھر سورج بھی اپ صلی اللہ علیہ وسلم کے حکم پر چلتے ہیں ")</f>
        <v>امام نے بیان کیا کہ اللہ اور اس کے رسول کا بلانا ایک ہے اور جب بھی حضور پاک صلی اللہ علیہ وسلم کا بلاوا اجائے تو جو بھی کام کر رہے ہیں اسے چھوڑ کر ان کی بارگاہ میں حاضر ہو جانا بیان کیا اور امام نے بیان کیا کہ انسان اشرف المخلوقات عقل اور شعور رکھنے والا ہے اس لیے اسے چاہیے جب بھی اللہ اور اس کے رسول کا بلاوا ائے جیسے اذان ہو تو فورا اس کی طرف ائے حتی کہ درخت پرندے پتھر سورج بھی اپ صلی اللہ علیہ وسلم کے حکم پر چلتے ہیں </v>
      </c>
      <c r="X895" s="10">
        <f>IFERROR(__xludf.DUMMYFUNCTION("""COMPUTED_VALUE"""),8.0)</f>
        <v>8</v>
      </c>
      <c r="Y895" s="10">
        <f>IFERROR(__xludf.DUMMYFUNCTION("""COMPUTED_VALUE"""),2.0)</f>
        <v>2</v>
      </c>
      <c r="Z895" s="10">
        <f>IFERROR(__xludf.DUMMYFUNCTION("""COMPUTED_VALUE"""),1.0)</f>
        <v>1</v>
      </c>
      <c r="AA895" s="10">
        <f>IFERROR(__xludf.DUMMYFUNCTION("""COMPUTED_VALUE"""),9.0)</f>
        <v>9</v>
      </c>
      <c r="AB895" s="10">
        <f>IFERROR(__xludf.DUMMYFUNCTION("""COMPUTED_VALUE"""),4.0)</f>
        <v>4</v>
      </c>
      <c r="AC895" s="10">
        <f>IFERROR(__xludf.DUMMYFUNCTION("""COMPUTED_VALUE"""),0.0)</f>
        <v>0</v>
      </c>
      <c r="AD895" s="10">
        <f>IFERROR(__xludf.DUMMYFUNCTION("""COMPUTED_VALUE"""),0.0)</f>
        <v>0</v>
      </c>
      <c r="AE895" s="10">
        <f>IFERROR(__xludf.DUMMYFUNCTION("""COMPUTED_VALUE"""),3.0)</f>
        <v>3</v>
      </c>
      <c r="AF895" s="10">
        <f>IFERROR(__xludf.DUMMYFUNCTION("""COMPUTED_VALUE"""),0.0)</f>
        <v>0</v>
      </c>
      <c r="AG895" s="10">
        <f>IFERROR(__xludf.DUMMYFUNCTION("""COMPUTED_VALUE"""),8.0)</f>
        <v>8</v>
      </c>
      <c r="AH895" s="10">
        <f>IFERROR(__xludf.DUMMYFUNCTION("""COMPUTED_VALUE"""),0.0)</f>
        <v>0</v>
      </c>
      <c r="AI895" s="10">
        <f>IFERROR(__xludf.DUMMYFUNCTION("""COMPUTED_VALUE"""),8.0)</f>
        <v>8</v>
      </c>
      <c r="AJ895" s="11" t="str">
        <f>IFERROR(__xludf.DUMMYFUNCTION("""COMPUTED_VALUE"""),"https://drive.google.com/open?id=1TjlA6H4vePU_EUPebFfj_j5NH9jdnrlGg7rl5FOAKSo")</f>
        <v>https://drive.google.com/open?id=1TjlA6H4vePU_EUPebFfj_j5NH9jdnrlGg7rl5FOAKSo</v>
      </c>
      <c r="AK895" s="12"/>
      <c r="AL895" s="12" t="str">
        <f>IFERROR(__xludf.DUMMYFUNCTION("""COMPUTED_VALUE"""),"Yes")</f>
        <v>Yes</v>
      </c>
      <c r="AM895" s="15">
        <f>IFERROR(__xludf.DUMMYFUNCTION("""COMPUTED_VALUE"""),0.0)</f>
        <v>0</v>
      </c>
      <c r="AN895" s="12" t="str">
        <f>IFERROR(__xludf.DUMMYFUNCTION("""COMPUTED_VALUE"""),"5th week")</f>
        <v>5th week</v>
      </c>
      <c r="AO895" s="13">
        <v>5.0</v>
      </c>
      <c r="AX895" s="17"/>
    </row>
    <row r="896">
      <c r="B896" s="9">
        <f>IFERROR(__xludf.DUMMYFUNCTION("""COMPUTED_VALUE"""),46009.133652488425)</f>
        <v>46009.13365</v>
      </c>
      <c r="C896" s="10" t="str">
        <f>IFERROR(__xludf.DUMMYFUNCTION("""COMPUTED_VALUE"""),"Atiqa")</f>
        <v>Atiqa</v>
      </c>
      <c r="D896" s="10" t="str">
        <f>IFERROR(__xludf.DUMMYFUNCTION("""COMPUTED_VALUE"""),"03157519977")</f>
        <v>03157519977</v>
      </c>
      <c r="E896" s="10" t="str">
        <f>IFERROR(__xludf.DUMMYFUNCTION("""COMPUTED_VALUE"""),"Jamia Masjid Qasimiya Rehmy Shah Faisalabad")</f>
        <v>Jamia Masjid Qasimiya Rehmy Shah Faisalabad</v>
      </c>
      <c r="F896" s="10" t="str">
        <f>IFERROR(__xludf.DUMMYFUNCTION("""COMPUTED_VALUE"""),"cmwps")</f>
        <v>cmwps</v>
      </c>
      <c r="G896" s="10" t="str">
        <f>IFERROR(__xludf.DUMMYFUNCTION("""COMPUTED_VALUE"""),"Yes")</f>
        <v>Yes</v>
      </c>
      <c r="H896" s="10">
        <f>IFERROR(__xludf.DUMMYFUNCTION("""COMPUTED_VALUE"""),0.0)</f>
        <v>0</v>
      </c>
      <c r="I896" s="10">
        <f>IFERROR(__xludf.DUMMYFUNCTION("""COMPUTED_VALUE"""),10.0)</f>
        <v>10</v>
      </c>
      <c r="J896" s="10">
        <f>IFERROR(__xludf.DUMMYFUNCTION("""COMPUTED_VALUE"""),0.0)</f>
        <v>0</v>
      </c>
      <c r="K896" s="10">
        <f>IFERROR(__xludf.DUMMYFUNCTION("""COMPUTED_VALUE"""),0.0)</f>
        <v>0</v>
      </c>
      <c r="L896" s="10">
        <f>IFERROR(__xludf.DUMMYFUNCTION("""COMPUTED_VALUE"""),0.0)</f>
        <v>0</v>
      </c>
      <c r="M896" s="10">
        <f>IFERROR(__xludf.DUMMYFUNCTION("""COMPUTED_VALUE"""),0.0)</f>
        <v>0</v>
      </c>
      <c r="N896" s="10">
        <f>IFERROR(__xludf.DUMMYFUNCTION("""COMPUTED_VALUE"""),0.0)</f>
        <v>0</v>
      </c>
      <c r="O896" s="10">
        <f>IFERROR(__xludf.DUMMYFUNCTION("""COMPUTED_VALUE"""),0.0)</f>
        <v>0</v>
      </c>
      <c r="P896" s="10">
        <f>IFERROR(__xludf.DUMMYFUNCTION("""COMPUTED_VALUE"""),0.0)</f>
        <v>0</v>
      </c>
      <c r="Q896" s="10" t="str">
        <f>IFERROR(__xludf.DUMMYFUNCTION("""COMPUTED_VALUE"""),"No")</f>
        <v>No</v>
      </c>
      <c r="R896" s="10" t="str">
        <f>IFERROR(__xludf.DUMMYFUNCTION("""COMPUTED_VALUE"""),"No")</f>
        <v>No</v>
      </c>
      <c r="S896" s="10" t="str">
        <f>IFERROR(__xludf.DUMMYFUNCTION("""COMPUTED_VALUE"""),"No")</f>
        <v>No</v>
      </c>
      <c r="T896" s="10">
        <f>IFERROR(__xludf.DUMMYFUNCTION("""COMPUTED_VALUE"""),0.0)</f>
        <v>0</v>
      </c>
      <c r="U896" s="10">
        <f>IFERROR(__xludf.DUMMYFUNCTION("""COMPUTED_VALUE"""),0.0)</f>
        <v>0</v>
      </c>
      <c r="V896" s="10" t="str">
        <f>IFERROR(__xludf.DUMMYFUNCTION("""COMPUTED_VALUE"""),"۱۔ فانی دنیا سے بچو ۲۔  ذکر الہی کے فضائل اور چند اسان اذکار ")</f>
        <v>۱۔ فانی دنیا سے بچو ۲۔  ذکر الہی کے فضائل اور چند اسان اذکار </v>
      </c>
      <c r="W896" s="10" t="str">
        <f>IFERROR(__xludf.DUMMYFUNCTION("""COMPUTED_VALUE"""),"امام نے سب سے پہلے بیان کیا کہ یہ دنیا فانی ہے اور ایک دن یہ ختم ہو جائے گی اور پھر ہمیشہ رہنے والی دائمی زندگی کا اغاز ہوگا اس کی تیاری کرنے کا کہا گیا جب نفسا نفسی کا عالم ہوگا کوئی رشتہ ایک دوسرے کے کام نہ ائے گا صرف اعمال ہی کام ائیں گے اس لیے ہر وقت "&amp;"ذکر و اذکار کرنے کا کہا گیا اور چھوٹے چھوٹے اذکار سبحان اللہ الحمدللہ اللہ اکبر پڑھنے کے فضائل بیان کیے گئے اور ان کا اجر و ثواب بیان کیا گیا ")</f>
        <v>امام نے سب سے پہلے بیان کیا کہ یہ دنیا فانی ہے اور ایک دن یہ ختم ہو جائے گی اور پھر ہمیشہ رہنے والی دائمی زندگی کا اغاز ہوگا اس کی تیاری کرنے کا کہا گیا جب نفسا نفسی کا عالم ہوگا کوئی رشتہ ایک دوسرے کے کام نہ ائے گا صرف اعمال ہی کام ائیں گے اس لیے ہر وقت ذکر و اذکار کرنے کا کہا گیا اور چھوٹے چھوٹے اذکار سبحان اللہ الحمدللہ اللہ اکبر پڑھنے کے فضائل بیان کیے گئے اور ان کا اجر و ثواب بیان کیا گیا </v>
      </c>
      <c r="X896" s="10">
        <f>IFERROR(__xludf.DUMMYFUNCTION("""COMPUTED_VALUE"""),8.0)</f>
        <v>8</v>
      </c>
      <c r="Y896" s="10">
        <f>IFERROR(__xludf.DUMMYFUNCTION("""COMPUTED_VALUE"""),2.0)</f>
        <v>2</v>
      </c>
      <c r="Z896" s="10">
        <f>IFERROR(__xludf.DUMMYFUNCTION("""COMPUTED_VALUE"""),3.0)</f>
        <v>3</v>
      </c>
      <c r="AA896" s="10">
        <f>IFERROR(__xludf.DUMMYFUNCTION("""COMPUTED_VALUE"""),9.0)</f>
        <v>9</v>
      </c>
      <c r="AB896" s="10">
        <f>IFERROR(__xludf.DUMMYFUNCTION("""COMPUTED_VALUE"""),4.0)</f>
        <v>4</v>
      </c>
      <c r="AC896" s="10">
        <f>IFERROR(__xludf.DUMMYFUNCTION("""COMPUTED_VALUE"""),0.0)</f>
        <v>0</v>
      </c>
      <c r="AD896" s="10">
        <f>IFERROR(__xludf.DUMMYFUNCTION("""COMPUTED_VALUE"""),1.0)</f>
        <v>1</v>
      </c>
      <c r="AE896" s="10">
        <f>IFERROR(__xludf.DUMMYFUNCTION("""COMPUTED_VALUE"""),1.0)</f>
        <v>1</v>
      </c>
      <c r="AF896" s="10">
        <f>IFERROR(__xludf.DUMMYFUNCTION("""COMPUTED_VALUE"""),0.0)</f>
        <v>0</v>
      </c>
      <c r="AG896" s="10">
        <f>IFERROR(__xludf.DUMMYFUNCTION("""COMPUTED_VALUE"""),8.0)</f>
        <v>8</v>
      </c>
      <c r="AH896" s="10">
        <f>IFERROR(__xludf.DUMMYFUNCTION("""COMPUTED_VALUE"""),0.0)</f>
        <v>0</v>
      </c>
      <c r="AI896" s="10">
        <f>IFERROR(__xludf.DUMMYFUNCTION("""COMPUTED_VALUE"""),8.0)</f>
        <v>8</v>
      </c>
      <c r="AJ896" s="11" t="str">
        <f>IFERROR(__xludf.DUMMYFUNCTION("""COMPUTED_VALUE"""),"https://drive.google.com/open?id=1v1qPqfX3yNTLSrUFXb5Oc5oDKNeav5QAqwPApH3QlMA")</f>
        <v>https://drive.google.com/open?id=1v1qPqfX3yNTLSrUFXb5Oc5oDKNeav5QAqwPApH3QlMA</v>
      </c>
      <c r="AK896" s="12"/>
      <c r="AL896" s="12" t="str">
        <f>IFERROR(__xludf.DUMMYFUNCTION("""COMPUTED_VALUE"""),"Yes")</f>
        <v>Yes</v>
      </c>
      <c r="AM896" s="15">
        <f>IFERROR(__xludf.DUMMYFUNCTION("""COMPUTED_VALUE"""),0.0)</f>
        <v>0</v>
      </c>
      <c r="AN896" s="12" t="str">
        <f>IFERROR(__xludf.DUMMYFUNCTION("""COMPUTED_VALUE"""),"5th week")</f>
        <v>5th week</v>
      </c>
      <c r="AO896" s="13">
        <v>5.0</v>
      </c>
      <c r="AX896" s="17"/>
    </row>
    <row r="897">
      <c r="B897" s="9">
        <f>IFERROR(__xludf.DUMMYFUNCTION("""COMPUTED_VALUE"""),46009.27376923611)</f>
        <v>46009.27377</v>
      </c>
      <c r="C897" s="10" t="str">
        <f>IFERROR(__xludf.DUMMYFUNCTION("""COMPUTED_VALUE"""),"Atiqa ")</f>
        <v>Atiqa </v>
      </c>
      <c r="D897" s="10" t="str">
        <f>IFERROR(__xludf.DUMMYFUNCTION("""COMPUTED_VALUE"""),"03157519977")</f>
        <v>03157519977</v>
      </c>
      <c r="E897" s="10" t="str">
        <f>IFERROR(__xludf.DUMMYFUNCTION("""COMPUTED_VALUE"""),"Jamia Masjid Darbar Nolakha Hazari Shahkot")</f>
        <v>Jamia Masjid Darbar Nolakha Hazari Shahkot</v>
      </c>
      <c r="F897" s="10" t="str">
        <f>IFERROR(__xludf.DUMMYFUNCTION("""COMPUTED_VALUE"""),"epwte")</f>
        <v>epwte</v>
      </c>
      <c r="G897" s="10" t="str">
        <f>IFERROR(__xludf.DUMMYFUNCTION("""COMPUTED_VALUE"""),"Yes")</f>
        <v>Yes</v>
      </c>
      <c r="H897" s="10">
        <f>IFERROR(__xludf.DUMMYFUNCTION("""COMPUTED_VALUE"""),0.0)</f>
        <v>0</v>
      </c>
      <c r="I897" s="10">
        <f>IFERROR(__xludf.DUMMYFUNCTION("""COMPUTED_VALUE"""),10.0)</f>
        <v>10</v>
      </c>
      <c r="J897" s="10">
        <f>IFERROR(__xludf.DUMMYFUNCTION("""COMPUTED_VALUE"""),0.0)</f>
        <v>0</v>
      </c>
      <c r="K897" s="10">
        <f>IFERROR(__xludf.DUMMYFUNCTION("""COMPUTED_VALUE"""),0.0)</f>
        <v>0</v>
      </c>
      <c r="L897" s="10">
        <f>IFERROR(__xludf.DUMMYFUNCTION("""COMPUTED_VALUE"""),0.0)</f>
        <v>0</v>
      </c>
      <c r="M897" s="10">
        <f>IFERROR(__xludf.DUMMYFUNCTION("""COMPUTED_VALUE"""),0.0)</f>
        <v>0</v>
      </c>
      <c r="N897" s="10">
        <f>IFERROR(__xludf.DUMMYFUNCTION("""COMPUTED_VALUE"""),0.0)</f>
        <v>0</v>
      </c>
      <c r="O897" s="10">
        <f>IFERROR(__xludf.DUMMYFUNCTION("""COMPUTED_VALUE"""),0.0)</f>
        <v>0</v>
      </c>
      <c r="P897" s="10">
        <f>IFERROR(__xludf.DUMMYFUNCTION("""COMPUTED_VALUE"""),0.0)</f>
        <v>0</v>
      </c>
      <c r="Q897" s="10" t="str">
        <f>IFERROR(__xludf.DUMMYFUNCTION("""COMPUTED_VALUE"""),"No")</f>
        <v>No</v>
      </c>
      <c r="R897" s="10" t="str">
        <f>IFERROR(__xludf.DUMMYFUNCTION("""COMPUTED_VALUE"""),"No")</f>
        <v>No</v>
      </c>
      <c r="S897" s="10" t="str">
        <f>IFERROR(__xludf.DUMMYFUNCTION("""COMPUTED_VALUE"""),"No")</f>
        <v>No</v>
      </c>
      <c r="T897" s="10">
        <f>IFERROR(__xludf.DUMMYFUNCTION("""COMPUTED_VALUE"""),0.0)</f>
        <v>0</v>
      </c>
      <c r="U897" s="10">
        <f>IFERROR(__xludf.DUMMYFUNCTION("""COMPUTED_VALUE"""),0.0)</f>
        <v>0</v>
      </c>
      <c r="V897" s="10" t="str">
        <f>IFERROR(__xludf.DUMMYFUNCTION("""COMPUTED_VALUE"""),"حضور ﷺ کی ذات گرامی")</f>
        <v>حضور ﷺ کی ذات گرامی</v>
      </c>
      <c r="W897" s="10" t="str">
        <f>IFERROR(__xludf.DUMMYFUNCTION("""COMPUTED_VALUE"""),"امام نے اللہ کا نبی ﷺ کی خوائش پر نماز کی حالت میں ہی قبلہ مسجد اقصی سے کعبتہ اللہ کی طرف کرنے کا واقعہ بیان کیا ستر ہزار فرشتو کا صبح سے شام تک نبی پر درود پڑھنا بیان کیا، او بکر صدیق کا اپ  ﷺ کے کہنے پر ان کے مصلے پر نماز پڑھانا اور اپ کے انے پر نماز کی"&amp;" حالت میں ہی پیچھے ہٹنے کا واقعہ بیان کیا۔")</f>
        <v>امام نے اللہ کا نبی ﷺ کی خوائش پر نماز کی حالت میں ہی قبلہ مسجد اقصی سے کعبتہ اللہ کی طرف کرنے کا واقعہ بیان کیا ستر ہزار فرشتو کا صبح سے شام تک نبی پر درود پڑھنا بیان کیا، او بکر صدیق کا اپ  ﷺ کے کہنے پر ان کے مصلے پر نماز پڑھانا اور اپ کے انے پر نماز کی حالت میں ہی پیچھے ہٹنے کا واقعہ بیان کیا۔</v>
      </c>
      <c r="X897" s="10">
        <f>IFERROR(__xludf.DUMMYFUNCTION("""COMPUTED_VALUE"""),7.0)</f>
        <v>7</v>
      </c>
      <c r="Y897" s="10">
        <f>IFERROR(__xludf.DUMMYFUNCTION("""COMPUTED_VALUE"""),3.0)</f>
        <v>3</v>
      </c>
      <c r="Z897" s="10">
        <f>IFERROR(__xludf.DUMMYFUNCTION("""COMPUTED_VALUE"""),3.0)</f>
        <v>3</v>
      </c>
      <c r="AA897" s="10">
        <f>IFERROR(__xludf.DUMMYFUNCTION("""COMPUTED_VALUE"""),8.0)</f>
        <v>8</v>
      </c>
      <c r="AB897" s="10">
        <f>IFERROR(__xludf.DUMMYFUNCTION("""COMPUTED_VALUE"""),7.0)</f>
        <v>7</v>
      </c>
      <c r="AC897" s="10">
        <f>IFERROR(__xludf.DUMMYFUNCTION("""COMPUTED_VALUE"""),0.0)</f>
        <v>0</v>
      </c>
      <c r="AD897" s="10">
        <f>IFERROR(__xludf.DUMMYFUNCTION("""COMPUTED_VALUE"""),0.0)</f>
        <v>0</v>
      </c>
      <c r="AE897" s="10">
        <f>IFERROR(__xludf.DUMMYFUNCTION("""COMPUTED_VALUE"""),0.0)</f>
        <v>0</v>
      </c>
      <c r="AF897" s="10">
        <f>IFERROR(__xludf.DUMMYFUNCTION("""COMPUTED_VALUE"""),2.0)</f>
        <v>2</v>
      </c>
      <c r="AG897" s="10">
        <f>IFERROR(__xludf.DUMMYFUNCTION("""COMPUTED_VALUE"""),8.0)</f>
        <v>8</v>
      </c>
      <c r="AH897" s="10">
        <f>IFERROR(__xludf.DUMMYFUNCTION("""COMPUTED_VALUE"""),0.0)</f>
        <v>0</v>
      </c>
      <c r="AI897" s="10">
        <f>IFERROR(__xludf.DUMMYFUNCTION("""COMPUTED_VALUE"""),8.0)</f>
        <v>8</v>
      </c>
      <c r="AJ897" s="11" t="str">
        <f>IFERROR(__xludf.DUMMYFUNCTION("""COMPUTED_VALUE"""),"https://drive.google.com/open?id=18z5URNvFY77K7yHMx4JVIxcPlwW20OjHu0hf7Nx0paw")</f>
        <v>https://drive.google.com/open?id=18z5URNvFY77K7yHMx4JVIxcPlwW20OjHu0hf7Nx0paw</v>
      </c>
      <c r="AK897" s="12"/>
      <c r="AL897" s="12" t="str">
        <f>IFERROR(__xludf.DUMMYFUNCTION("""COMPUTED_VALUE"""),"Yes")</f>
        <v>Yes</v>
      </c>
      <c r="AM897" s="15">
        <f>IFERROR(__xludf.DUMMYFUNCTION("""COMPUTED_VALUE"""),0.0)</f>
        <v>0</v>
      </c>
      <c r="AN897" s="12" t="str">
        <f>IFERROR(__xludf.DUMMYFUNCTION("""COMPUTED_VALUE"""),"5th week")</f>
        <v>5th week</v>
      </c>
      <c r="AO897" s="13">
        <v>5.0</v>
      </c>
      <c r="AX897" s="17"/>
    </row>
    <row r="898">
      <c r="B898" s="9">
        <f>IFERROR(__xludf.DUMMYFUNCTION("""COMPUTED_VALUE"""),46009.31448207176)</f>
        <v>46009.31448</v>
      </c>
      <c r="C898" s="10" t="str">
        <f>IFERROR(__xludf.DUMMYFUNCTION("""COMPUTED_VALUE"""),"Maham")</f>
        <v>Maham</v>
      </c>
      <c r="D898" s="10" t="str">
        <f>IFERROR(__xludf.DUMMYFUNCTION("""COMPUTED_VALUE"""),"03218118680")</f>
        <v>03218118680</v>
      </c>
      <c r="E898" s="10" t="str">
        <f>IFERROR(__xludf.DUMMYFUNCTION("""COMPUTED_VALUE"""),"Jamia Masjid Jhaal Khanuwana Faisalabad")</f>
        <v>Jamia Masjid Jhaal Khanuwana Faisalabad</v>
      </c>
      <c r="F898" s="10" t="str">
        <f>IFERROR(__xludf.DUMMYFUNCTION("""COMPUTED_VALUE"""),"dmvyd")</f>
        <v>dmvyd</v>
      </c>
      <c r="G898" s="10" t="str">
        <f>IFERROR(__xludf.DUMMYFUNCTION("""COMPUTED_VALUE"""),"Yes")</f>
        <v>Yes</v>
      </c>
      <c r="H898" s="10">
        <f>IFERROR(__xludf.DUMMYFUNCTION("""COMPUTED_VALUE"""),0.0)</f>
        <v>0</v>
      </c>
      <c r="I898" s="10">
        <f>IFERROR(__xludf.DUMMYFUNCTION("""COMPUTED_VALUE"""),10.0)</f>
        <v>10</v>
      </c>
      <c r="J898" s="10">
        <f>IFERROR(__xludf.DUMMYFUNCTION("""COMPUTED_VALUE"""),0.0)</f>
        <v>0</v>
      </c>
      <c r="K898" s="10">
        <f>IFERROR(__xludf.DUMMYFUNCTION("""COMPUTED_VALUE"""),0.0)</f>
        <v>0</v>
      </c>
      <c r="L898" s="10">
        <f>IFERROR(__xludf.DUMMYFUNCTION("""COMPUTED_VALUE"""),0.0)</f>
        <v>0</v>
      </c>
      <c r="M898" s="10">
        <f>IFERROR(__xludf.DUMMYFUNCTION("""COMPUTED_VALUE"""),0.0)</f>
        <v>0</v>
      </c>
      <c r="N898" s="10">
        <f>IFERROR(__xludf.DUMMYFUNCTION("""COMPUTED_VALUE"""),0.0)</f>
        <v>0</v>
      </c>
      <c r="O898" s="10">
        <f>IFERROR(__xludf.DUMMYFUNCTION("""COMPUTED_VALUE"""),0.0)</f>
        <v>0</v>
      </c>
      <c r="P898" s="10">
        <f>IFERROR(__xludf.DUMMYFUNCTION("""COMPUTED_VALUE"""),0.0)</f>
        <v>0</v>
      </c>
      <c r="Q898" s="10" t="str">
        <f>IFERROR(__xludf.DUMMYFUNCTION("""COMPUTED_VALUE"""),"No")</f>
        <v>No</v>
      </c>
      <c r="R898" s="10" t="str">
        <f>IFERROR(__xludf.DUMMYFUNCTION("""COMPUTED_VALUE"""),"No")</f>
        <v>No</v>
      </c>
      <c r="S898" s="10" t="str">
        <f>IFERROR(__xludf.DUMMYFUNCTION("""COMPUTED_VALUE"""),"No")</f>
        <v>No</v>
      </c>
      <c r="T898" s="10">
        <f>IFERROR(__xludf.DUMMYFUNCTION("""COMPUTED_VALUE"""),0.0)</f>
        <v>0</v>
      </c>
      <c r="U898" s="10">
        <f>IFERROR(__xludf.DUMMYFUNCTION("""COMPUTED_VALUE"""),0.0)</f>
        <v>0</v>
      </c>
      <c r="V898" s="10" t="str">
        <f>IFERROR(__xludf.DUMMYFUNCTION("""COMPUTED_VALUE""")," حضرت ابوبکر صدیق رضی اللہ تعالی عنہ کی شخصیت اہمیت کردار اور مقام")</f>
        <v> حضرت ابوبکر صدیق رضی اللہ تعالی عنہ کی شخصیت اہمیت کردار اور مقام</v>
      </c>
      <c r="W898" s="10" t="str">
        <f>IFERROR(__xludf.DUMMYFUNCTION("""COMPUTED_VALUE"""),"حضرت ابوبکر صدیق رضی اللہ تعالی عنہ کی شخصیت کی اہمیت کو بیان کیا گیا")</f>
        <v>حضرت ابوبکر صدیق رضی اللہ تعالی عنہ کی شخصیت کی اہمیت کو بیان کیا گیا</v>
      </c>
      <c r="X898" s="10">
        <f>IFERROR(__xludf.DUMMYFUNCTION("""COMPUTED_VALUE"""),9.0)</f>
        <v>9</v>
      </c>
      <c r="Y898" s="10">
        <f>IFERROR(__xludf.DUMMYFUNCTION("""COMPUTED_VALUE"""),7.0)</f>
        <v>7</v>
      </c>
      <c r="Z898" s="10">
        <f>IFERROR(__xludf.DUMMYFUNCTION("""COMPUTED_VALUE"""),8.0)</f>
        <v>8</v>
      </c>
      <c r="AA898" s="10">
        <f>IFERROR(__xludf.DUMMYFUNCTION("""COMPUTED_VALUE"""),10.0)</f>
        <v>10</v>
      </c>
      <c r="AB898" s="10">
        <f>IFERROR(__xludf.DUMMYFUNCTION("""COMPUTED_VALUE"""),8.0)</f>
        <v>8</v>
      </c>
      <c r="AC898" s="10">
        <f>IFERROR(__xludf.DUMMYFUNCTION("""COMPUTED_VALUE"""),4.0)</f>
        <v>4</v>
      </c>
      <c r="AD898" s="10">
        <f>IFERROR(__xludf.DUMMYFUNCTION("""COMPUTED_VALUE"""),3.0)</f>
        <v>3</v>
      </c>
      <c r="AE898" s="10">
        <f>IFERROR(__xludf.DUMMYFUNCTION("""COMPUTED_VALUE"""),1.0)</f>
        <v>1</v>
      </c>
      <c r="AF898" s="10">
        <f>IFERROR(__xludf.DUMMYFUNCTION("""COMPUTED_VALUE"""),9.0)</f>
        <v>9</v>
      </c>
      <c r="AG898" s="10">
        <f>IFERROR(__xludf.DUMMYFUNCTION("""COMPUTED_VALUE"""),9.0)</f>
        <v>9</v>
      </c>
      <c r="AH898" s="10">
        <f>IFERROR(__xludf.DUMMYFUNCTION("""COMPUTED_VALUE"""),0.0)</f>
        <v>0</v>
      </c>
      <c r="AI898" s="10">
        <f>IFERROR(__xludf.DUMMYFUNCTION("""COMPUTED_VALUE"""),10.0)</f>
        <v>10</v>
      </c>
      <c r="AJ898" s="11" t="str">
        <f>IFERROR(__xludf.DUMMYFUNCTION("""COMPUTED_VALUE"""),"https://drive.google.com/open?id=1pTrem56gwLRCiTBgd5j6cMnKOwCwaYcV")</f>
        <v>https://drive.google.com/open?id=1pTrem56gwLRCiTBgd5j6cMnKOwCwaYcV</v>
      </c>
      <c r="AK898" s="12" t="str">
        <f>IFERROR(__xludf.DUMMYFUNCTION("""COMPUTED_VALUE"""),"6th wala han")</f>
        <v>6th wala han</v>
      </c>
      <c r="AL898" s="12" t="str">
        <f>IFERROR(__xludf.DUMMYFUNCTION("""COMPUTED_VALUE"""),"Yes")</f>
        <v>Yes</v>
      </c>
      <c r="AM898" s="15">
        <f>IFERROR(__xludf.DUMMYFUNCTION("""COMPUTED_VALUE"""),0.0)</f>
        <v>0</v>
      </c>
      <c r="AN898" s="12" t="str">
        <f>IFERROR(__xludf.DUMMYFUNCTION("""COMPUTED_VALUE"""),"5th week")</f>
        <v>5th week</v>
      </c>
      <c r="AO898" s="13">
        <v>6.0</v>
      </c>
      <c r="AX898" s="17"/>
    </row>
    <row r="899">
      <c r="B899" s="9">
        <f>IFERROR(__xludf.DUMMYFUNCTION("""COMPUTED_VALUE"""),46009.32393861111)</f>
        <v>46009.32394</v>
      </c>
      <c r="C899" s="10" t="str">
        <f>IFERROR(__xludf.DUMMYFUNCTION("""COMPUTED_VALUE"""),"Maham")</f>
        <v>Maham</v>
      </c>
      <c r="D899" s="10" t="str">
        <f>IFERROR(__xludf.DUMMYFUNCTION("""COMPUTED_VALUE"""),"03218118680")</f>
        <v>03218118680</v>
      </c>
      <c r="E899" s="10" t="str">
        <f>IFERROR(__xludf.DUMMYFUNCTION("""COMPUTED_VALUE"""),"Jamia Masjid Gulzar Madina Gala Mandi Ameem Pura")</f>
        <v>Jamia Masjid Gulzar Madina Gala Mandi Ameem Pura</v>
      </c>
      <c r="F899" s="10" t="str">
        <f>IFERROR(__xludf.DUMMYFUNCTION("""COMPUTED_VALUE"""),"dkwam")</f>
        <v>dkwam</v>
      </c>
      <c r="G899" s="10" t="str">
        <f>IFERROR(__xludf.DUMMYFUNCTION("""COMPUTED_VALUE"""),"Yes")</f>
        <v>Yes</v>
      </c>
      <c r="H899" s="10">
        <f>IFERROR(__xludf.DUMMYFUNCTION("""COMPUTED_VALUE"""),0.0)</f>
        <v>0</v>
      </c>
      <c r="I899" s="10">
        <f>IFERROR(__xludf.DUMMYFUNCTION("""COMPUTED_VALUE"""),10.0)</f>
        <v>10</v>
      </c>
      <c r="J899" s="10">
        <f>IFERROR(__xludf.DUMMYFUNCTION("""COMPUTED_VALUE"""),0.0)</f>
        <v>0</v>
      </c>
      <c r="K899" s="10">
        <f>IFERROR(__xludf.DUMMYFUNCTION("""COMPUTED_VALUE"""),0.0)</f>
        <v>0</v>
      </c>
      <c r="L899" s="10">
        <f>IFERROR(__xludf.DUMMYFUNCTION("""COMPUTED_VALUE"""),0.0)</f>
        <v>0</v>
      </c>
      <c r="M899" s="10">
        <f>IFERROR(__xludf.DUMMYFUNCTION("""COMPUTED_VALUE"""),0.0)</f>
        <v>0</v>
      </c>
      <c r="N899" s="10">
        <f>IFERROR(__xludf.DUMMYFUNCTION("""COMPUTED_VALUE"""),0.0)</f>
        <v>0</v>
      </c>
      <c r="O899" s="10">
        <f>IFERROR(__xludf.DUMMYFUNCTION("""COMPUTED_VALUE"""),0.0)</f>
        <v>0</v>
      </c>
      <c r="P899" s="10">
        <f>IFERROR(__xludf.DUMMYFUNCTION("""COMPUTED_VALUE"""),0.0)</f>
        <v>0</v>
      </c>
      <c r="Q899" s="10" t="str">
        <f>IFERROR(__xludf.DUMMYFUNCTION("""COMPUTED_VALUE"""),"No")</f>
        <v>No</v>
      </c>
      <c r="R899" s="10" t="str">
        <f>IFERROR(__xludf.DUMMYFUNCTION("""COMPUTED_VALUE"""),"No")</f>
        <v>No</v>
      </c>
      <c r="S899" s="10" t="str">
        <f>IFERROR(__xludf.DUMMYFUNCTION("""COMPUTED_VALUE"""),"No")</f>
        <v>No</v>
      </c>
      <c r="T899" s="10">
        <f>IFERROR(__xludf.DUMMYFUNCTION("""COMPUTED_VALUE"""),0.0)</f>
        <v>0</v>
      </c>
      <c r="U899" s="10">
        <f>IFERROR(__xludf.DUMMYFUNCTION("""COMPUTED_VALUE"""),0.0)</f>
        <v>0</v>
      </c>
      <c r="V899" s="10" t="str">
        <f>IFERROR(__xludf.DUMMYFUNCTION("""COMPUTED_VALUE"""),"اصل کامیابی دنیا کی عارضی دولت نہیں بلکہ اللہ اور رسول ﷺ کی اطاعت ہے۔")</f>
        <v>اصل کامیابی دنیا کی عارضی دولت نہیں بلکہ اللہ اور رسول ﷺ کی اطاعت ہے۔</v>
      </c>
      <c r="W899" s="10" t="str">
        <f>IFERROR(__xludf.DUMMYFUNCTION("""COMPUTED_VALUE"""),"اصل کامیابی دنیا کی عارضی دولت نہیں بلکہ اللہ اور رسول ﷺ کی اطاعت ہے۔دنیاوی کامیابی موت پر ختم ہو جاتی ہے، جبکہ سنتِ مصطفی ﷺ پر عمل انسان کو لازوال کامیابی اور جنت الفردوس تک پہنچاتا ہے۔
---")</f>
        <v>اصل کامیابی دنیا کی عارضی دولت نہیں بلکہ اللہ اور رسول ﷺ کی اطاعت ہے۔دنیاوی کامیابی موت پر ختم ہو جاتی ہے، جبکہ سنتِ مصطفی ﷺ پر عمل انسان کو لازوال کامیابی اور جنت الفردوس تک پہنچاتا ہے۔
---</v>
      </c>
      <c r="X899" s="10">
        <f>IFERROR(__xludf.DUMMYFUNCTION("""COMPUTED_VALUE"""),9.0)</f>
        <v>9</v>
      </c>
      <c r="Y899" s="10">
        <f>IFERROR(__xludf.DUMMYFUNCTION("""COMPUTED_VALUE"""),5.0)</f>
        <v>5</v>
      </c>
      <c r="Z899" s="10">
        <f>IFERROR(__xludf.DUMMYFUNCTION("""COMPUTED_VALUE"""),6.0)</f>
        <v>6</v>
      </c>
      <c r="AA899" s="10">
        <f>IFERROR(__xludf.DUMMYFUNCTION("""COMPUTED_VALUE"""),10.0)</f>
        <v>10</v>
      </c>
      <c r="AB899" s="10">
        <f>IFERROR(__xludf.DUMMYFUNCTION("""COMPUTED_VALUE"""),6.0)</f>
        <v>6</v>
      </c>
      <c r="AC899" s="10">
        <f>IFERROR(__xludf.DUMMYFUNCTION("""COMPUTED_VALUE"""),3.0)</f>
        <v>3</v>
      </c>
      <c r="AD899" s="10">
        <f>IFERROR(__xludf.DUMMYFUNCTION("""COMPUTED_VALUE"""),5.0)</f>
        <v>5</v>
      </c>
      <c r="AE899" s="10">
        <f>IFERROR(__xludf.DUMMYFUNCTION("""COMPUTED_VALUE"""),0.0)</f>
        <v>0</v>
      </c>
      <c r="AF899" s="10">
        <f>IFERROR(__xludf.DUMMYFUNCTION("""COMPUTED_VALUE"""),9.0)</f>
        <v>9</v>
      </c>
      <c r="AG899" s="10">
        <f>IFERROR(__xludf.DUMMYFUNCTION("""COMPUTED_VALUE"""),9.0)</f>
        <v>9</v>
      </c>
      <c r="AH899" s="10">
        <f>IFERROR(__xludf.DUMMYFUNCTION("""COMPUTED_VALUE"""),0.0)</f>
        <v>0</v>
      </c>
      <c r="AI899" s="10">
        <f>IFERROR(__xludf.DUMMYFUNCTION("""COMPUTED_VALUE"""),10.0)</f>
        <v>10</v>
      </c>
      <c r="AJ899" s="11" t="str">
        <f>IFERROR(__xludf.DUMMYFUNCTION("""COMPUTED_VALUE"""),"https://drive.google.com/open?id=1biSZAJ8B9OhqZyvrJWtmhRiXbvJTx34E")</f>
        <v>https://drive.google.com/open?id=1biSZAJ8B9OhqZyvrJWtmhRiXbvJTx34E</v>
      </c>
      <c r="AK899" s="12"/>
      <c r="AL899" s="12" t="str">
        <f>IFERROR(__xludf.DUMMYFUNCTION("""COMPUTED_VALUE"""),"Yes")</f>
        <v>Yes</v>
      </c>
      <c r="AM899" s="15">
        <f>IFERROR(__xludf.DUMMYFUNCTION("""COMPUTED_VALUE"""),0.0)</f>
        <v>0</v>
      </c>
      <c r="AN899" s="12" t="str">
        <f>IFERROR(__xludf.DUMMYFUNCTION("""COMPUTED_VALUE"""),"5th week")</f>
        <v>5th week</v>
      </c>
      <c r="AO899" s="13">
        <v>5.0</v>
      </c>
      <c r="AX899" s="17"/>
    </row>
    <row r="900">
      <c r="B900" s="9">
        <f>IFERROR(__xludf.DUMMYFUNCTION("""COMPUTED_VALUE"""),46009.331163379626)</f>
        <v>46009.33116</v>
      </c>
      <c r="C900" s="10" t="str">
        <f>IFERROR(__xludf.DUMMYFUNCTION("""COMPUTED_VALUE""")," maham ")</f>
        <v> maham </v>
      </c>
      <c r="D900" s="10" t="str">
        <f>IFERROR(__xludf.DUMMYFUNCTION("""COMPUTED_VALUE"""),"03218118680")</f>
        <v>03218118680</v>
      </c>
      <c r="E900" s="10" t="str">
        <f>IFERROR(__xludf.DUMMYFUNCTION("""COMPUTED_VALUE"""),"Jamia Masjid Kareem Khan Ahle Hadees Multan")</f>
        <v>Jamia Masjid Kareem Khan Ahle Hadees Multan</v>
      </c>
      <c r="F900" s="10" t="str">
        <f>IFERROR(__xludf.DUMMYFUNCTION("""COMPUTED_VALUE"""),"lirqw")</f>
        <v>lirqw</v>
      </c>
      <c r="G900" s="10" t="str">
        <f>IFERROR(__xludf.DUMMYFUNCTION("""COMPUTED_VALUE"""),"Yes")</f>
        <v>Yes</v>
      </c>
      <c r="H900" s="10">
        <f>IFERROR(__xludf.DUMMYFUNCTION("""COMPUTED_VALUE"""),0.0)</f>
        <v>0</v>
      </c>
      <c r="I900" s="10">
        <f>IFERROR(__xludf.DUMMYFUNCTION("""COMPUTED_VALUE"""),10.0)</f>
        <v>10</v>
      </c>
      <c r="J900" s="10">
        <f>IFERROR(__xludf.DUMMYFUNCTION("""COMPUTED_VALUE"""),0.0)</f>
        <v>0</v>
      </c>
      <c r="K900" s="10">
        <f>IFERROR(__xludf.DUMMYFUNCTION("""COMPUTED_VALUE"""),0.0)</f>
        <v>0</v>
      </c>
      <c r="L900" s="10">
        <f>IFERROR(__xludf.DUMMYFUNCTION("""COMPUTED_VALUE"""),0.0)</f>
        <v>0</v>
      </c>
      <c r="M900" s="10">
        <f>IFERROR(__xludf.DUMMYFUNCTION("""COMPUTED_VALUE"""),0.0)</f>
        <v>0</v>
      </c>
      <c r="N900" s="10">
        <f>IFERROR(__xludf.DUMMYFUNCTION("""COMPUTED_VALUE"""),0.0)</f>
        <v>0</v>
      </c>
      <c r="O900" s="10">
        <f>IFERROR(__xludf.DUMMYFUNCTION("""COMPUTED_VALUE"""),0.0)</f>
        <v>0</v>
      </c>
      <c r="P900" s="10">
        <f>IFERROR(__xludf.DUMMYFUNCTION("""COMPUTED_VALUE"""),0.0)</f>
        <v>0</v>
      </c>
      <c r="Q900" s="10" t="str">
        <f>IFERROR(__xludf.DUMMYFUNCTION("""COMPUTED_VALUE"""),"No")</f>
        <v>No</v>
      </c>
      <c r="R900" s="10" t="str">
        <f>IFERROR(__xludf.DUMMYFUNCTION("""COMPUTED_VALUE"""),"No")</f>
        <v>No</v>
      </c>
      <c r="S900" s="10" t="str">
        <f>IFERROR(__xludf.DUMMYFUNCTION("""COMPUTED_VALUE"""),"No")</f>
        <v>No</v>
      </c>
      <c r="T900" s="10">
        <f>IFERROR(__xludf.DUMMYFUNCTION("""COMPUTED_VALUE"""),0.0)</f>
        <v>0</v>
      </c>
      <c r="U900" s="10">
        <f>IFERROR(__xludf.DUMMYFUNCTION("""COMPUTED_VALUE"""),0.0)</f>
        <v>0</v>
      </c>
      <c r="V900" s="10" t="str">
        <f>IFERROR(__xludf.DUMMYFUNCTION("""COMPUTED_VALUE"""),"دنیا بھر میں پائی جانے والی بے چینی اور بے سکونی کا اصل سبب اللہ کی یاد سے دوری ہے")</f>
        <v>دنیا بھر میں پائی جانے والی بے چینی اور بے سکونی کا اصل سبب اللہ کی یاد سے دوری ہے</v>
      </c>
      <c r="W900" s="10" t="str">
        <f>IFERROR(__xludf.DUMMYFUNCTION("""COMPUTED_VALUE"""),"دنیا بھر میں پائی جانے والی بے چینی اور بے سکونی کا اصل سبب اللہ کی یاد سے دوری ہے۔مال، دولت، عیش و آرام اور گناہوں کی محفلوں میں کبھی حقیقی سکون نہیں ملتا۔
قرآن و حدیث گواہ ہیں کہ دلوں کا اطمینان صرف اللہ کے ذکر میں ہے۔جو اللہ کی یاد کو اپنا لیتا ہے، دنی"&amp;"ا اور آخرت دونوں میں سکون اور کامیابی پاتا ہے۔")</f>
        <v>دنیا بھر میں پائی جانے والی بے چینی اور بے سکونی کا اصل سبب اللہ کی یاد سے دوری ہے۔مال، دولت، عیش و آرام اور گناہوں کی محفلوں میں کبھی حقیقی سکون نہیں ملتا۔
قرآن و حدیث گواہ ہیں کہ دلوں کا اطمینان صرف اللہ کے ذکر میں ہے۔جو اللہ کی یاد کو اپنا لیتا ہے، دنیا اور آخرت دونوں میں سکون اور کامیابی پاتا ہے۔</v>
      </c>
      <c r="X900" s="10">
        <f>IFERROR(__xludf.DUMMYFUNCTION("""COMPUTED_VALUE"""),10.0)</f>
        <v>10</v>
      </c>
      <c r="Y900" s="10">
        <f>IFERROR(__xludf.DUMMYFUNCTION("""COMPUTED_VALUE"""),4.0)</f>
        <v>4</v>
      </c>
      <c r="Z900" s="10">
        <f>IFERROR(__xludf.DUMMYFUNCTION("""COMPUTED_VALUE"""),7.0)</f>
        <v>7</v>
      </c>
      <c r="AA900" s="10">
        <f>IFERROR(__xludf.DUMMYFUNCTION("""COMPUTED_VALUE"""),10.0)</f>
        <v>10</v>
      </c>
      <c r="AB900" s="10">
        <f>IFERROR(__xludf.DUMMYFUNCTION("""COMPUTED_VALUE"""),7.0)</f>
        <v>7</v>
      </c>
      <c r="AC900" s="10">
        <f>IFERROR(__xludf.DUMMYFUNCTION("""COMPUTED_VALUE"""),1.0)</f>
        <v>1</v>
      </c>
      <c r="AD900" s="10">
        <f>IFERROR(__xludf.DUMMYFUNCTION("""COMPUTED_VALUE"""),3.0)</f>
        <v>3</v>
      </c>
      <c r="AE900" s="10">
        <f>IFERROR(__xludf.DUMMYFUNCTION("""COMPUTED_VALUE"""),1.0)</f>
        <v>1</v>
      </c>
      <c r="AF900" s="10">
        <f>IFERROR(__xludf.DUMMYFUNCTION("""COMPUTED_VALUE"""),9.0)</f>
        <v>9</v>
      </c>
      <c r="AG900" s="10">
        <f>IFERROR(__xludf.DUMMYFUNCTION("""COMPUTED_VALUE"""),10.0)</f>
        <v>10</v>
      </c>
      <c r="AH900" s="10">
        <f>IFERROR(__xludf.DUMMYFUNCTION("""COMPUTED_VALUE"""),0.0)</f>
        <v>0</v>
      </c>
      <c r="AI900" s="10">
        <f>IFERROR(__xludf.DUMMYFUNCTION("""COMPUTED_VALUE"""),10.0)</f>
        <v>10</v>
      </c>
      <c r="AJ900" s="11" t="str">
        <f>IFERROR(__xludf.DUMMYFUNCTION("""COMPUTED_VALUE"""),"https://drive.google.com/open?id=1_L836gNbcuGgBhvNDHiC_7jcyGKgD1Ro")</f>
        <v>https://drive.google.com/open?id=1_L836gNbcuGgBhvNDHiC_7jcyGKgD1Ro</v>
      </c>
      <c r="AK900" s="12"/>
      <c r="AL900" s="12" t="str">
        <f>IFERROR(__xludf.DUMMYFUNCTION("""COMPUTED_VALUE"""),"Yes")</f>
        <v>Yes</v>
      </c>
      <c r="AM900" s="15">
        <f>IFERROR(__xludf.DUMMYFUNCTION("""COMPUTED_VALUE"""),0.0)</f>
        <v>0</v>
      </c>
      <c r="AN900" s="12" t="str">
        <f>IFERROR(__xludf.DUMMYFUNCTION("""COMPUTED_VALUE"""),"5th week")</f>
        <v>5th week</v>
      </c>
      <c r="AO900" s="13">
        <v>5.0</v>
      </c>
      <c r="AX900" s="17"/>
    </row>
    <row r="901">
      <c r="B901" s="9">
        <f>IFERROR(__xludf.DUMMYFUNCTION("""COMPUTED_VALUE"""),46009.53600180555)</f>
        <v>46009.536</v>
      </c>
      <c r="C901" s="10" t="str">
        <f>IFERROR(__xludf.DUMMYFUNCTION("""COMPUTED_VALUE"""),"Atiqa")</f>
        <v>Atiqa</v>
      </c>
      <c r="D901" s="10" t="str">
        <f>IFERROR(__xludf.DUMMYFUNCTION("""COMPUTED_VALUE"""),"03157519977")</f>
        <v>03157519977</v>
      </c>
      <c r="E901" s="10" t="str">
        <f>IFERROR(__xludf.DUMMYFUNCTION("""COMPUTED_VALUE"""),"Jamia Masjid Muhammadiya Chastiya Makwana Faisalabad")</f>
        <v>Jamia Masjid Muhammadiya Chastiya Makwana Faisalabad</v>
      </c>
      <c r="F901" s="10" t="str">
        <f>IFERROR(__xludf.DUMMYFUNCTION("""COMPUTED_VALUE"""),"cegdy")</f>
        <v>cegdy</v>
      </c>
      <c r="G901" s="10" t="str">
        <f>IFERROR(__xludf.DUMMYFUNCTION("""COMPUTED_VALUE"""),"Yes")</f>
        <v>Yes</v>
      </c>
      <c r="H901" s="10">
        <f>IFERROR(__xludf.DUMMYFUNCTION("""COMPUTED_VALUE"""),0.0)</f>
        <v>0</v>
      </c>
      <c r="I901" s="10">
        <f>IFERROR(__xludf.DUMMYFUNCTION("""COMPUTED_VALUE"""),10.0)</f>
        <v>10</v>
      </c>
      <c r="J901" s="10">
        <f>IFERROR(__xludf.DUMMYFUNCTION("""COMPUTED_VALUE"""),0.0)</f>
        <v>0</v>
      </c>
      <c r="K901" s="10">
        <f>IFERROR(__xludf.DUMMYFUNCTION("""COMPUTED_VALUE"""),0.0)</f>
        <v>0</v>
      </c>
      <c r="L901" s="10">
        <f>IFERROR(__xludf.DUMMYFUNCTION("""COMPUTED_VALUE"""),0.0)</f>
        <v>0</v>
      </c>
      <c r="M901" s="10">
        <f>IFERROR(__xludf.DUMMYFUNCTION("""COMPUTED_VALUE"""),0.0)</f>
        <v>0</v>
      </c>
      <c r="N901" s="10">
        <f>IFERROR(__xludf.DUMMYFUNCTION("""COMPUTED_VALUE"""),0.0)</f>
        <v>0</v>
      </c>
      <c r="O901" s="10">
        <f>IFERROR(__xludf.DUMMYFUNCTION("""COMPUTED_VALUE"""),0.0)</f>
        <v>0</v>
      </c>
      <c r="P901" s="10">
        <f>IFERROR(__xludf.DUMMYFUNCTION("""COMPUTED_VALUE"""),0.0)</f>
        <v>0</v>
      </c>
      <c r="Q901" s="10" t="str">
        <f>IFERROR(__xludf.DUMMYFUNCTION("""COMPUTED_VALUE"""),"No")</f>
        <v>No</v>
      </c>
      <c r="R901" s="10" t="str">
        <f>IFERROR(__xludf.DUMMYFUNCTION("""COMPUTED_VALUE"""),"No")</f>
        <v>No</v>
      </c>
      <c r="S901" s="10" t="str">
        <f>IFERROR(__xludf.DUMMYFUNCTION("""COMPUTED_VALUE"""),"No")</f>
        <v>No</v>
      </c>
      <c r="T901" s="10">
        <f>IFERROR(__xludf.DUMMYFUNCTION("""COMPUTED_VALUE"""),0.0)</f>
        <v>0</v>
      </c>
      <c r="U901" s="10">
        <f>IFERROR(__xludf.DUMMYFUNCTION("""COMPUTED_VALUE"""),0.0)</f>
        <v>0</v>
      </c>
      <c r="V901" s="10" t="str">
        <f>IFERROR(__xludf.DUMMYFUNCTION("""COMPUTED_VALUE"""),"۱۔ کثرت سے درود پاک پڑھنا ۲۔  والدین کی قدر اور اہمیت ")</f>
        <v>۱۔ کثرت سے درود پاک پڑھنا ۲۔  والدین کی قدر اور اہمیت </v>
      </c>
      <c r="W901" s="10" t="str">
        <f>IFERROR(__xludf.DUMMYFUNCTION("""COMPUTED_VALUE"""),"امام نے بیان کیا کہ اگر اپ حضور پاک صلی اللہ علیہ وسلم کی بارگاہ میں کوئی تحفہ یا نظرانہ پیش کرنا چاہتے ہیں تو درود پاک پڑھیں اور بیان کیا کہ نبی پاک صلی اللہ علیہ وسلم کا جب بھی ذکر سنا جائے یا پڑھا جائے تو درود پاک پڑھا جائے والدین  کی خدمت کرنے اور ان "&amp;"کا خیال رکھنے کے لیے کہا گیا اور بیان کیا گیا کہ اپ اپنے والدین کی جتنی بھی خدمت کر لیں اپنی ماں کی ایک رات کا بھی بدل نہیں دے سکتے ")</f>
        <v>امام نے بیان کیا کہ اگر اپ حضور پاک صلی اللہ علیہ وسلم کی بارگاہ میں کوئی تحفہ یا نظرانہ پیش کرنا چاہتے ہیں تو درود پاک پڑھیں اور بیان کیا کہ نبی پاک صلی اللہ علیہ وسلم کا جب بھی ذکر سنا جائے یا پڑھا جائے تو درود پاک پڑھا جائے والدین  کی خدمت کرنے اور ان کا خیال رکھنے کے لیے کہا گیا اور بیان کیا گیا کہ اپ اپنے والدین کی جتنی بھی خدمت کر لیں اپنی ماں کی ایک رات کا بھی بدل نہیں دے سکتے </v>
      </c>
      <c r="X901" s="10">
        <f>IFERROR(__xludf.DUMMYFUNCTION("""COMPUTED_VALUE"""),1.0)</f>
        <v>1</v>
      </c>
      <c r="Y901" s="10">
        <f>IFERROR(__xludf.DUMMYFUNCTION("""COMPUTED_VALUE"""),9.0)</f>
        <v>9</v>
      </c>
      <c r="Z901" s="10">
        <f>IFERROR(__xludf.DUMMYFUNCTION("""COMPUTED_VALUE"""),4.0)</f>
        <v>4</v>
      </c>
      <c r="AA901" s="10">
        <f>IFERROR(__xludf.DUMMYFUNCTION("""COMPUTED_VALUE"""),7.0)</f>
        <v>7</v>
      </c>
      <c r="AB901" s="10">
        <f>IFERROR(__xludf.DUMMYFUNCTION("""COMPUTED_VALUE"""),6.0)</f>
        <v>6</v>
      </c>
      <c r="AC901" s="10">
        <f>IFERROR(__xludf.DUMMYFUNCTION("""COMPUTED_VALUE"""),0.0)</f>
        <v>0</v>
      </c>
      <c r="AD901" s="10">
        <f>IFERROR(__xludf.DUMMYFUNCTION("""COMPUTED_VALUE"""),0.0)</f>
        <v>0</v>
      </c>
      <c r="AE901" s="10">
        <f>IFERROR(__xludf.DUMMYFUNCTION("""COMPUTED_VALUE"""),0.0)</f>
        <v>0</v>
      </c>
      <c r="AF901" s="10">
        <f>IFERROR(__xludf.DUMMYFUNCTION("""COMPUTED_VALUE"""),0.0)</f>
        <v>0</v>
      </c>
      <c r="AG901" s="10">
        <f>IFERROR(__xludf.DUMMYFUNCTION("""COMPUTED_VALUE"""),8.0)</f>
        <v>8</v>
      </c>
      <c r="AH901" s="10">
        <f>IFERROR(__xludf.DUMMYFUNCTION("""COMPUTED_VALUE"""),0.0)</f>
        <v>0</v>
      </c>
      <c r="AI901" s="10">
        <f>IFERROR(__xludf.DUMMYFUNCTION("""COMPUTED_VALUE"""),8.0)</f>
        <v>8</v>
      </c>
      <c r="AJ901" s="11" t="str">
        <f>IFERROR(__xludf.DUMMYFUNCTION("""COMPUTED_VALUE"""),"https://drive.google.com/open?id=1wbiXyrEclxkW4rmPCq4BrrHa7x7xsQaIcMUm3iLcTew")</f>
        <v>https://drive.google.com/open?id=1wbiXyrEclxkW4rmPCq4BrrHa7x7xsQaIcMUm3iLcTew</v>
      </c>
      <c r="AK901" s="12" t="str">
        <f>IFERROR(__xludf.DUMMYFUNCTION("""COMPUTED_VALUE"""),"Ye week 6 tha")</f>
        <v>Ye week 6 tha</v>
      </c>
      <c r="AL901" s="12" t="str">
        <f>IFERROR(__xludf.DUMMYFUNCTION("""COMPUTED_VALUE"""),"Yes")</f>
        <v>Yes</v>
      </c>
      <c r="AM901" s="15">
        <f>IFERROR(__xludf.DUMMYFUNCTION("""COMPUTED_VALUE"""),0.0)</f>
        <v>0</v>
      </c>
      <c r="AN901" s="12" t="str">
        <f>IFERROR(__xludf.DUMMYFUNCTION("""COMPUTED_VALUE"""),"5th week")</f>
        <v>5th week</v>
      </c>
      <c r="AO901" s="13">
        <v>6.0</v>
      </c>
      <c r="AX901" s="17"/>
    </row>
    <row r="902">
      <c r="B902" s="9">
        <f>IFERROR(__xludf.DUMMYFUNCTION("""COMPUTED_VALUE"""),46009.55266443287)</f>
        <v>46009.55266</v>
      </c>
      <c r="C902" s="10" t="str">
        <f>IFERROR(__xludf.DUMMYFUNCTION("""COMPUTED_VALUE"""),"Maham")</f>
        <v>Maham</v>
      </c>
      <c r="D902" s="10" t="str">
        <f>IFERROR(__xludf.DUMMYFUNCTION("""COMPUTED_VALUE"""),"03218118680")</f>
        <v>03218118680</v>
      </c>
      <c r="E902" s="10" t="str">
        <f>IFERROR(__xludf.DUMMYFUNCTION("""COMPUTED_VALUE"""),"Jamia Masjid Bukhari Shah Alyaas Park Faisalabad")</f>
        <v>Jamia Masjid Bukhari Shah Alyaas Park Faisalabad</v>
      </c>
      <c r="F902" s="10" t="str">
        <f>IFERROR(__xludf.DUMMYFUNCTION("""COMPUTED_VALUE"""),"odqlq")</f>
        <v>odqlq</v>
      </c>
      <c r="G902" s="10" t="str">
        <f>IFERROR(__xludf.DUMMYFUNCTION("""COMPUTED_VALUE"""),"No")</f>
        <v>No</v>
      </c>
      <c r="H902" s="10"/>
      <c r="I902" s="10"/>
      <c r="J902" s="10"/>
      <c r="K902" s="10">
        <f>IFERROR(__xludf.DUMMYFUNCTION("""COMPUTED_VALUE"""),0.0)</f>
        <v>0</v>
      </c>
      <c r="L902" s="10">
        <f>IFERROR(__xludf.DUMMYFUNCTION("""COMPUTED_VALUE"""),0.0)</f>
        <v>0</v>
      </c>
      <c r="M902" s="10">
        <f>IFERROR(__xludf.DUMMYFUNCTION("""COMPUTED_VALUE"""),0.0)</f>
        <v>0</v>
      </c>
      <c r="N902" s="10">
        <f>IFERROR(__xludf.DUMMYFUNCTION("""COMPUTED_VALUE"""),0.0)</f>
        <v>0</v>
      </c>
      <c r="O902" s="10">
        <f>IFERROR(__xludf.DUMMYFUNCTION("""COMPUTED_VALUE"""),0.0)</f>
        <v>0</v>
      </c>
      <c r="P902" s="10">
        <f>IFERROR(__xludf.DUMMYFUNCTION("""COMPUTED_VALUE"""),0.0)</f>
        <v>0</v>
      </c>
      <c r="Q902" s="10" t="str">
        <f>IFERROR(__xludf.DUMMYFUNCTION("""COMPUTED_VALUE"""),"No")</f>
        <v>No</v>
      </c>
      <c r="R902" s="10" t="str">
        <f>IFERROR(__xludf.DUMMYFUNCTION("""COMPUTED_VALUE"""),"No")</f>
        <v>No</v>
      </c>
      <c r="S902" s="10" t="str">
        <f>IFERROR(__xludf.DUMMYFUNCTION("""COMPUTED_VALUE"""),"No")</f>
        <v>No</v>
      </c>
      <c r="T902" s="10">
        <f>IFERROR(__xludf.DUMMYFUNCTION("""COMPUTED_VALUE"""),0.0)</f>
        <v>0</v>
      </c>
      <c r="U902" s="10">
        <f>IFERROR(__xludf.DUMMYFUNCTION("""COMPUTED_VALUE"""),0.0)</f>
        <v>0</v>
      </c>
      <c r="V902" s="10" t="str">
        <f>IFERROR(__xludf.DUMMYFUNCTION("""COMPUTED_VALUE""")," سیرت حسین سیرت زہرا")</f>
        <v> سیرت حسین سیرت زہرا</v>
      </c>
      <c r="W902" s="10" t="str">
        <f>IFERROR(__xludf.DUMMYFUNCTION("""COMPUTED_VALUE"""),"سیرت حسین نو سیرت زہرا کو بیان کیا گیا اپنی بیٹیوں بہنوں کو پردے کا حکم دو")</f>
        <v>سیرت حسین نو سیرت زہرا کو بیان کیا گیا اپنی بیٹیوں بہنوں کو پردے کا حکم دو</v>
      </c>
      <c r="X902" s="10">
        <f>IFERROR(__xludf.DUMMYFUNCTION("""COMPUTED_VALUE"""),7.0)</f>
        <v>7</v>
      </c>
      <c r="Y902" s="10">
        <f>IFERROR(__xludf.DUMMYFUNCTION("""COMPUTED_VALUE"""),4.0)</f>
        <v>4</v>
      </c>
      <c r="Z902" s="10">
        <f>IFERROR(__xludf.DUMMYFUNCTION("""COMPUTED_VALUE"""),4.0)</f>
        <v>4</v>
      </c>
      <c r="AA902" s="10">
        <f>IFERROR(__xludf.DUMMYFUNCTION("""COMPUTED_VALUE"""),9.0)</f>
        <v>9</v>
      </c>
      <c r="AB902" s="10">
        <f>IFERROR(__xludf.DUMMYFUNCTION("""COMPUTED_VALUE"""),3.0)</f>
        <v>3</v>
      </c>
      <c r="AC902" s="10">
        <f>IFERROR(__xludf.DUMMYFUNCTION("""COMPUTED_VALUE"""),0.0)</f>
        <v>0</v>
      </c>
      <c r="AD902" s="10">
        <f>IFERROR(__xludf.DUMMYFUNCTION("""COMPUTED_VALUE"""),2.0)</f>
        <v>2</v>
      </c>
      <c r="AE902" s="10">
        <f>IFERROR(__xludf.DUMMYFUNCTION("""COMPUTED_VALUE"""),0.0)</f>
        <v>0</v>
      </c>
      <c r="AF902" s="10">
        <f>IFERROR(__xludf.DUMMYFUNCTION("""COMPUTED_VALUE"""),9.0)</f>
        <v>9</v>
      </c>
      <c r="AG902" s="10">
        <f>IFERROR(__xludf.DUMMYFUNCTION("""COMPUTED_VALUE"""),8.0)</f>
        <v>8</v>
      </c>
      <c r="AH902" s="10">
        <f>IFERROR(__xludf.DUMMYFUNCTION("""COMPUTED_VALUE"""),0.0)</f>
        <v>0</v>
      </c>
      <c r="AI902" s="10">
        <f>IFERROR(__xludf.DUMMYFUNCTION("""COMPUTED_VALUE"""),9.0)</f>
        <v>9</v>
      </c>
      <c r="AJ902" s="11" t="str">
        <f>IFERROR(__xludf.DUMMYFUNCTION("""COMPUTED_VALUE"""),"https://drive.google.com/open?id=1XyUESXTQHGEh7MBRlHxuw9C4LN7jGJyW")</f>
        <v>https://drive.google.com/open?id=1XyUESXTQHGEh7MBRlHxuw9C4LN7jGJyW</v>
      </c>
      <c r="AK902" s="12" t="str">
        <f>IFERROR(__xludf.DUMMYFUNCTION("""COMPUTED_VALUE"""),"۔۔۔۔۔۔۔کا مطلب وہاں آواز سمجھ نہیں ائی ")</f>
        <v>۔۔۔۔۔۔۔کا مطلب وہاں آواز سمجھ نہیں ائی </v>
      </c>
      <c r="AL902" s="12"/>
      <c r="AM902" s="12"/>
      <c r="AN902" s="12" t="str">
        <f>IFERROR(__xludf.DUMMYFUNCTION("""COMPUTED_VALUE"""),"3rd week")</f>
        <v>3rd week</v>
      </c>
      <c r="AO902" s="13">
        <v>3.0</v>
      </c>
      <c r="AX902" s="17"/>
    </row>
    <row r="903">
      <c r="B903" s="9">
        <f>IFERROR(__xludf.DUMMYFUNCTION("""COMPUTED_VALUE"""),46009.58290951389)</f>
        <v>46009.58291</v>
      </c>
      <c r="C903" s="10" t="str">
        <f>IFERROR(__xludf.DUMMYFUNCTION("""COMPUTED_VALUE""")," Maham")</f>
        <v> Maham</v>
      </c>
      <c r="D903" s="10" t="str">
        <f>IFERROR(__xludf.DUMMYFUNCTION("""COMPUTED_VALUE"""),"03218118680")</f>
        <v>03218118680</v>
      </c>
      <c r="E903" s="10" t="str">
        <f>IFERROR(__xludf.DUMMYFUNCTION("""COMPUTED_VALUE"""),"Jamia Masjid Qasimiya Rehmy Shah Faisalabad")</f>
        <v>Jamia Masjid Qasimiya Rehmy Shah Faisalabad</v>
      </c>
      <c r="F903" s="10" t="str">
        <f>IFERROR(__xludf.DUMMYFUNCTION("""COMPUTED_VALUE"""),"cmwps")</f>
        <v>cmwps</v>
      </c>
      <c r="G903" s="10" t="str">
        <f>IFERROR(__xludf.DUMMYFUNCTION("""COMPUTED_VALUE"""),"Yes")</f>
        <v>Yes</v>
      </c>
      <c r="H903" s="10">
        <f>IFERROR(__xludf.DUMMYFUNCTION("""COMPUTED_VALUE"""),0.0)</f>
        <v>0</v>
      </c>
      <c r="I903" s="10">
        <f>IFERROR(__xludf.DUMMYFUNCTION("""COMPUTED_VALUE"""),10.0)</f>
        <v>10</v>
      </c>
      <c r="J903" s="10">
        <f>IFERROR(__xludf.DUMMYFUNCTION("""COMPUTED_VALUE"""),0.0)</f>
        <v>0</v>
      </c>
      <c r="K903" s="10">
        <f>IFERROR(__xludf.DUMMYFUNCTION("""COMPUTED_VALUE"""),2.0)</f>
        <v>2</v>
      </c>
      <c r="L903" s="10">
        <f>IFERROR(__xludf.DUMMYFUNCTION("""COMPUTED_VALUE"""),1.0)</f>
        <v>1</v>
      </c>
      <c r="M903" s="10">
        <f>IFERROR(__xludf.DUMMYFUNCTION("""COMPUTED_VALUE"""),2.0)</f>
        <v>2</v>
      </c>
      <c r="N903" s="10">
        <f>IFERROR(__xludf.DUMMYFUNCTION("""COMPUTED_VALUE"""),2.0)</f>
        <v>2</v>
      </c>
      <c r="O903" s="10">
        <f>IFERROR(__xludf.DUMMYFUNCTION("""COMPUTED_VALUE"""),0.0)</f>
        <v>0</v>
      </c>
      <c r="P903" s="10">
        <f>IFERROR(__xludf.DUMMYFUNCTION("""COMPUTED_VALUE"""),0.0)</f>
        <v>0</v>
      </c>
      <c r="Q903" s="10" t="str">
        <f>IFERROR(__xludf.DUMMYFUNCTION("""COMPUTED_VALUE"""),"No")</f>
        <v>No</v>
      </c>
      <c r="R903" s="10" t="str">
        <f>IFERROR(__xludf.DUMMYFUNCTION("""COMPUTED_VALUE"""),"No")</f>
        <v>No</v>
      </c>
      <c r="S903" s="10" t="str">
        <f>IFERROR(__xludf.DUMMYFUNCTION("""COMPUTED_VALUE"""),"No")</f>
        <v>No</v>
      </c>
      <c r="T903" s="10">
        <f>IFERROR(__xludf.DUMMYFUNCTION("""COMPUTED_VALUE"""),0.0)</f>
        <v>0</v>
      </c>
      <c r="U903" s="10">
        <f>IFERROR(__xludf.DUMMYFUNCTION("""COMPUTED_VALUE"""),0.0)</f>
        <v>0</v>
      </c>
      <c r="V903" s="10" t="str">
        <f>IFERROR(__xludf.DUMMYFUNCTION("""COMPUTED_VALUE"""),"اللہ تعالی کو پہچان لو اللہ تعالی کی عظمت کو جانو ماں باپ کی عظمت صلہ رحمی")</f>
        <v>اللہ تعالی کو پہچان لو اللہ تعالی کی عظمت کو جانو ماں باپ کی عظمت صلہ رحمی</v>
      </c>
      <c r="W903" s="10" t="str">
        <f>IFERROR(__xludf.DUMMYFUNCTION("""COMPUTED_VALUE"""),"اللہ تعالی کو پہچان لو اللہ تعالی کی عظمت کو جانو ماں باپ کی عظمت صلہ رحمی")</f>
        <v>اللہ تعالی کو پہچان لو اللہ تعالی کی عظمت کو جانو ماں باپ کی عظمت صلہ رحمی</v>
      </c>
      <c r="X903" s="10">
        <f>IFERROR(__xludf.DUMMYFUNCTION("""COMPUTED_VALUE"""),8.0)</f>
        <v>8</v>
      </c>
      <c r="Y903" s="10">
        <f>IFERROR(__xludf.DUMMYFUNCTION("""COMPUTED_VALUE"""),7.0)</f>
        <v>7</v>
      </c>
      <c r="Z903" s="10">
        <f>IFERROR(__xludf.DUMMYFUNCTION("""COMPUTED_VALUE"""),6.0)</f>
        <v>6</v>
      </c>
      <c r="AA903" s="10">
        <f>IFERROR(__xludf.DUMMYFUNCTION("""COMPUTED_VALUE"""),8.0)</f>
        <v>8</v>
      </c>
      <c r="AB903" s="10">
        <f>IFERROR(__xludf.DUMMYFUNCTION("""COMPUTED_VALUE"""),6.0)</f>
        <v>6</v>
      </c>
      <c r="AC903" s="10">
        <f>IFERROR(__xludf.DUMMYFUNCTION("""COMPUTED_VALUE"""),1.0)</f>
        <v>1</v>
      </c>
      <c r="AD903" s="10">
        <f>IFERROR(__xludf.DUMMYFUNCTION("""COMPUTED_VALUE"""),3.0)</f>
        <v>3</v>
      </c>
      <c r="AE903" s="10">
        <f>IFERROR(__xludf.DUMMYFUNCTION("""COMPUTED_VALUE"""),0.0)</f>
        <v>0</v>
      </c>
      <c r="AF903" s="10">
        <f>IFERROR(__xludf.DUMMYFUNCTION("""COMPUTED_VALUE"""),7.0)</f>
        <v>7</v>
      </c>
      <c r="AG903" s="10">
        <f>IFERROR(__xludf.DUMMYFUNCTION("""COMPUTED_VALUE"""),9.0)</f>
        <v>9</v>
      </c>
      <c r="AH903" s="10">
        <f>IFERROR(__xludf.DUMMYFUNCTION("""COMPUTED_VALUE"""),0.0)</f>
        <v>0</v>
      </c>
      <c r="AI903" s="10">
        <f>IFERROR(__xludf.DUMMYFUNCTION("""COMPUTED_VALUE"""),10.0)</f>
        <v>10</v>
      </c>
      <c r="AJ903" s="11" t="str">
        <f>IFERROR(__xludf.DUMMYFUNCTION("""COMPUTED_VALUE"""),"https://drive.google.com/open?id=19ezccxDarZlC2i85iG8Na2hNiwtd5iaq")</f>
        <v>https://drive.google.com/open?id=19ezccxDarZlC2i85iG8Na2hNiwtd5iaq</v>
      </c>
      <c r="AK903" s="12"/>
      <c r="AL903" s="12" t="str">
        <f>IFERROR(__xludf.DUMMYFUNCTION("""COMPUTED_VALUE"""),"Yes")</f>
        <v>Yes</v>
      </c>
      <c r="AM903" s="15">
        <f>IFERROR(__xludf.DUMMYFUNCTION("""COMPUTED_VALUE"""),0.0)</f>
        <v>0</v>
      </c>
      <c r="AN903" s="12" t="str">
        <f>IFERROR(__xludf.DUMMYFUNCTION("""COMPUTED_VALUE"""),"4th week")</f>
        <v>4th week</v>
      </c>
      <c r="AO903" s="13">
        <v>4.0</v>
      </c>
      <c r="AX903" s="17"/>
    </row>
    <row r="904">
      <c r="B904" s="9">
        <f>IFERROR(__xludf.DUMMYFUNCTION("""COMPUTED_VALUE"""),46010.235803055555)</f>
        <v>46010.2358</v>
      </c>
      <c r="C904" s="10" t="str">
        <f>IFERROR(__xludf.DUMMYFUNCTION("""COMPUTED_VALUE"""),"Atiqa ")</f>
        <v>Atiqa </v>
      </c>
      <c r="D904" s="10" t="str">
        <f>IFERROR(__xludf.DUMMYFUNCTION("""COMPUTED_VALUE"""),"03157519977")</f>
        <v>03157519977</v>
      </c>
      <c r="E904" s="10" t="str">
        <f>IFERROR(__xludf.DUMMYFUNCTION("""COMPUTED_VALUE"""),"Jamia Masjid Muhammadiya Chastiya Makwana Faisalabad")</f>
        <v>Jamia Masjid Muhammadiya Chastiya Makwana Faisalabad</v>
      </c>
      <c r="F904" s="10" t="str">
        <f>IFERROR(__xludf.DUMMYFUNCTION("""COMPUTED_VALUE"""),"cegdy")</f>
        <v>cegdy</v>
      </c>
      <c r="G904" s="10" t="str">
        <f>IFERROR(__xludf.DUMMYFUNCTION("""COMPUTED_VALUE"""),"Yes")</f>
        <v>Yes</v>
      </c>
      <c r="H904" s="10">
        <f>IFERROR(__xludf.DUMMYFUNCTION("""COMPUTED_VALUE"""),2.0)</f>
        <v>2</v>
      </c>
      <c r="I904" s="10">
        <f>IFERROR(__xludf.DUMMYFUNCTION("""COMPUTED_VALUE"""),7.0)</f>
        <v>7</v>
      </c>
      <c r="J904" s="10">
        <f>IFERROR(__xludf.DUMMYFUNCTION("""COMPUTED_VALUE"""),3.0)</f>
        <v>3</v>
      </c>
      <c r="K904" s="10">
        <f>IFERROR(__xludf.DUMMYFUNCTION("""COMPUTED_VALUE"""),0.0)</f>
        <v>0</v>
      </c>
      <c r="L904" s="10">
        <f>IFERROR(__xludf.DUMMYFUNCTION("""COMPUTED_VALUE"""),2.0)</f>
        <v>2</v>
      </c>
      <c r="M904" s="10">
        <f>IFERROR(__xludf.DUMMYFUNCTION("""COMPUTED_VALUE"""),0.0)</f>
        <v>0</v>
      </c>
      <c r="N904" s="10">
        <f>IFERROR(__xludf.DUMMYFUNCTION("""COMPUTED_VALUE"""),3.0)</f>
        <v>3</v>
      </c>
      <c r="O904" s="10">
        <f>IFERROR(__xludf.DUMMYFUNCTION("""COMPUTED_VALUE"""),0.0)</f>
        <v>0</v>
      </c>
      <c r="P904" s="10">
        <f>IFERROR(__xludf.DUMMYFUNCTION("""COMPUTED_VALUE"""),0.0)</f>
        <v>0</v>
      </c>
      <c r="Q904" s="10" t="str">
        <f>IFERROR(__xludf.DUMMYFUNCTION("""COMPUTED_VALUE"""),"No")</f>
        <v>No</v>
      </c>
      <c r="R904" s="10" t="str">
        <f>IFERROR(__xludf.DUMMYFUNCTION("""COMPUTED_VALUE"""),"No")</f>
        <v>No</v>
      </c>
      <c r="S904" s="10" t="str">
        <f>IFERROR(__xludf.DUMMYFUNCTION("""COMPUTED_VALUE"""),"No")</f>
        <v>No</v>
      </c>
      <c r="T904" s="10">
        <f>IFERROR(__xludf.DUMMYFUNCTION("""COMPUTED_VALUE"""),0.0)</f>
        <v>0</v>
      </c>
      <c r="U904" s="10">
        <f>IFERROR(__xludf.DUMMYFUNCTION("""COMPUTED_VALUE"""),0.0)</f>
        <v>0</v>
      </c>
      <c r="V904" s="10" t="str">
        <f>IFERROR(__xludf.DUMMYFUNCTION("""COMPUTED_VALUE"""),"سرکار دو عالم بحیثیت رحمت اللعالمین ")</f>
        <v>سرکار دو عالم بحیثیت رحمت اللعالمین </v>
      </c>
      <c r="W904" s="10" t="str">
        <f>IFERROR(__xludf.DUMMYFUNCTION("""COMPUTED_VALUE"""),"امام نے اپ صلی اللہ علیہ وسلم کی رحمت اور شفقت بیان کی حضور پاک صلی اللہ علیہ وسلم کا بلال حبشی رضی اللہ تعالی عنہ کے ساتھ کیا جانے والا معاملہ بیان کیا کہ انہیں کس طرح ان کے ظالم امیہ بن خالف یہودی مالک سے بچایا اور اپ صلی اللہ علیہ وسلم کے صحابہ جعفر رض"&amp;"ی اللہ تعالی عنہ کی کس طرح ان کی قرض کی ادائیگی میں مدد کی اور اپ صلی اللہ علیہ وسلم کا ایک یہودی پڑوسی بچے کے ساتھ معاملہ اور اس کا اسلام قبول کر لینا بیان کیا اللہ تبارک و تعالی کی اپ صلی اللہ علیہ وسلم سے محبت اپ صلی اللہ علیہ وسلم کا نماز کے اندر قبلہ"&amp;" تبدیل کرنے کا خیال کرنا اور رب کا تبدیل کرنے کا حکم دے دینا بیان کیا ")</f>
        <v>امام نے اپ صلی اللہ علیہ وسلم کی رحمت اور شفقت بیان کی حضور پاک صلی اللہ علیہ وسلم کا بلال حبشی رضی اللہ تعالی عنہ کے ساتھ کیا جانے والا معاملہ بیان کیا کہ انہیں کس طرح ان کے ظالم امیہ بن خالف یہودی مالک سے بچایا اور اپ صلی اللہ علیہ وسلم کے صحابہ جعفر رضی اللہ تعالی عنہ کی کس طرح ان کی قرض کی ادائیگی میں مدد کی اور اپ صلی اللہ علیہ وسلم کا ایک یہودی پڑوسی بچے کے ساتھ معاملہ اور اس کا اسلام قبول کر لینا بیان کیا اللہ تبارک و تعالی کی اپ صلی اللہ علیہ وسلم سے محبت اپ صلی اللہ علیہ وسلم کا نماز کے اندر قبلہ تبدیل کرنے کا خیال کرنا اور رب کا تبدیل کرنے کا حکم دے دینا بیان کیا </v>
      </c>
      <c r="X904" s="10">
        <f>IFERROR(__xludf.DUMMYFUNCTION("""COMPUTED_VALUE"""),3.0)</f>
        <v>3</v>
      </c>
      <c r="Y904" s="10">
        <f>IFERROR(__xludf.DUMMYFUNCTION("""COMPUTED_VALUE"""),7.0)</f>
        <v>7</v>
      </c>
      <c r="Z904" s="10">
        <f>IFERROR(__xludf.DUMMYFUNCTION("""COMPUTED_VALUE"""),4.0)</f>
        <v>4</v>
      </c>
      <c r="AA904" s="10">
        <f>IFERROR(__xludf.DUMMYFUNCTION("""COMPUTED_VALUE"""),8.0)</f>
        <v>8</v>
      </c>
      <c r="AB904" s="10">
        <f>IFERROR(__xludf.DUMMYFUNCTION("""COMPUTED_VALUE"""),7.0)</f>
        <v>7</v>
      </c>
      <c r="AC904" s="10">
        <f>IFERROR(__xludf.DUMMYFUNCTION("""COMPUTED_VALUE"""),0.0)</f>
        <v>0</v>
      </c>
      <c r="AD904" s="10">
        <f>IFERROR(__xludf.DUMMYFUNCTION("""COMPUTED_VALUE"""),3.0)</f>
        <v>3</v>
      </c>
      <c r="AE904" s="10">
        <f>IFERROR(__xludf.DUMMYFUNCTION("""COMPUTED_VALUE"""),3.0)</f>
        <v>3</v>
      </c>
      <c r="AF904" s="10">
        <f>IFERROR(__xludf.DUMMYFUNCTION("""COMPUTED_VALUE"""),0.0)</f>
        <v>0</v>
      </c>
      <c r="AG904" s="10">
        <f>IFERROR(__xludf.DUMMYFUNCTION("""COMPUTED_VALUE"""),8.0)</f>
        <v>8</v>
      </c>
      <c r="AH904" s="10">
        <f>IFERROR(__xludf.DUMMYFUNCTION("""COMPUTED_VALUE"""),0.0)</f>
        <v>0</v>
      </c>
      <c r="AI904" s="10">
        <f>IFERROR(__xludf.DUMMYFUNCTION("""COMPUTED_VALUE"""),8.0)</f>
        <v>8</v>
      </c>
      <c r="AJ904" s="11" t="str">
        <f>IFERROR(__xludf.DUMMYFUNCTION("""COMPUTED_VALUE"""),"https://drive.google.com/open?id=1uvP9Lm2vaNDEtzDmL91MyLFoEFFOvnNxuEwpHS894wI")</f>
        <v>https://drive.google.com/open?id=1uvP9Lm2vaNDEtzDmL91MyLFoEFFOvnNxuEwpHS894wI</v>
      </c>
      <c r="AK904" s="12"/>
      <c r="AL904" s="12" t="str">
        <f>IFERROR(__xludf.DUMMYFUNCTION("""COMPUTED_VALUE"""),"Yes")</f>
        <v>Yes</v>
      </c>
      <c r="AM904" s="15">
        <f>IFERROR(__xludf.DUMMYFUNCTION("""COMPUTED_VALUE"""),0.2)</f>
        <v>0.2</v>
      </c>
      <c r="AN904" s="12" t="str">
        <f>IFERROR(__xludf.DUMMYFUNCTION("""COMPUTED_VALUE"""),"5th week")</f>
        <v>5th week</v>
      </c>
      <c r="AO904" s="13">
        <v>5.0</v>
      </c>
      <c r="AX904" s="17"/>
    </row>
    <row r="905">
      <c r="B905" s="9">
        <f>IFERROR(__xludf.DUMMYFUNCTION("""COMPUTED_VALUE"""),46011.372930972226)</f>
        <v>46011.37293</v>
      </c>
      <c r="C905" s="10" t="str">
        <f>IFERROR(__xludf.DUMMYFUNCTION("""COMPUTED_VALUE"""),"Maham")</f>
        <v>Maham</v>
      </c>
      <c r="D905" s="10" t="str">
        <f>IFERROR(__xludf.DUMMYFUNCTION("""COMPUTED_VALUE"""),"03218118680")</f>
        <v>03218118680</v>
      </c>
      <c r="E905" s="10" t="str">
        <f>IFERROR(__xludf.DUMMYFUNCTION("""COMPUTED_VALUE"""),"Jamia Masjid Satellite Town")</f>
        <v>Jamia Masjid Satellite Town</v>
      </c>
      <c r="F905" s="10" t="str">
        <f>IFERROR(__xludf.DUMMYFUNCTION("""COMPUTED_VALUE"""),"vncjq")</f>
        <v>vncjq</v>
      </c>
      <c r="G905" s="10" t="str">
        <f>IFERROR(__xludf.DUMMYFUNCTION("""COMPUTED_VALUE"""),"Yes")</f>
        <v>Yes</v>
      </c>
      <c r="H905" s="10">
        <f>IFERROR(__xludf.DUMMYFUNCTION("""COMPUTED_VALUE"""),0.0)</f>
        <v>0</v>
      </c>
      <c r="I905" s="10">
        <f>IFERROR(__xludf.DUMMYFUNCTION("""COMPUTED_VALUE"""),10.0)</f>
        <v>10</v>
      </c>
      <c r="J905" s="10">
        <f>IFERROR(__xludf.DUMMYFUNCTION("""COMPUTED_VALUE"""),0.0)</f>
        <v>0</v>
      </c>
      <c r="K905" s="10">
        <f>IFERROR(__xludf.DUMMYFUNCTION("""COMPUTED_VALUE"""),0.0)</f>
        <v>0</v>
      </c>
      <c r="L905" s="10">
        <f>IFERROR(__xludf.DUMMYFUNCTION("""COMPUTED_VALUE"""),0.0)</f>
        <v>0</v>
      </c>
      <c r="M905" s="10">
        <f>IFERROR(__xludf.DUMMYFUNCTION("""COMPUTED_VALUE"""),0.0)</f>
        <v>0</v>
      </c>
      <c r="N905" s="10">
        <f>IFERROR(__xludf.DUMMYFUNCTION("""COMPUTED_VALUE"""),0.0)</f>
        <v>0</v>
      </c>
      <c r="O905" s="10">
        <f>IFERROR(__xludf.DUMMYFUNCTION("""COMPUTED_VALUE"""),0.0)</f>
        <v>0</v>
      </c>
      <c r="P905" s="10">
        <f>IFERROR(__xludf.DUMMYFUNCTION("""COMPUTED_VALUE"""),0.0)</f>
        <v>0</v>
      </c>
      <c r="Q905" s="10" t="str">
        <f>IFERROR(__xludf.DUMMYFUNCTION("""COMPUTED_VALUE"""),"No")</f>
        <v>No</v>
      </c>
      <c r="R905" s="10" t="str">
        <f>IFERROR(__xludf.DUMMYFUNCTION("""COMPUTED_VALUE"""),"No")</f>
        <v>No</v>
      </c>
      <c r="S905" s="10" t="str">
        <f>IFERROR(__xludf.DUMMYFUNCTION("""COMPUTED_VALUE"""),"No")</f>
        <v>No</v>
      </c>
      <c r="T905" s="10">
        <f>IFERROR(__xludf.DUMMYFUNCTION("""COMPUTED_VALUE"""),0.0)</f>
        <v>0</v>
      </c>
      <c r="U905" s="10">
        <f>IFERROR(__xludf.DUMMYFUNCTION("""COMPUTED_VALUE"""),0.0)</f>
        <v>0</v>
      </c>
      <c r="V905" s="10" t="str">
        <f>IFERROR(__xludf.DUMMYFUNCTION("""COMPUTED_VALUE"""),"ذکرِ الٰہی کی فضیلت اور امتِ محمدیہ کے لیے آسان مگر عظیم اجر والے اعمال۔")</f>
        <v>ذکرِ الٰہی کی فضیلت اور امتِ محمدیہ کے لیے آسان مگر عظیم اجر والے اعمال۔</v>
      </c>
      <c r="W905" s="10" t="str">
        <f>IFERROR(__xludf.DUMMYFUNCTION("""COMPUTED_VALUE"""),"نبی کریم ﷺ نے بتایا کہ تسبیح، تحمید، تکبیر اور تہلیل جیسے چھوٹے اذکار بڑے بڑے اعمال کے برابر بلکہ اس سے زیادہ اجر رکھتے ہیں، اس لیے ہر مسلمان کو ان کی قدر کرنی چاہیے اور کثرت سے ذکر کرنا چاہیے۔")</f>
        <v>نبی کریم ﷺ نے بتایا کہ تسبیح، تحمید، تکبیر اور تہلیل جیسے چھوٹے اذکار بڑے بڑے اعمال کے برابر بلکہ اس سے زیادہ اجر رکھتے ہیں، اس لیے ہر مسلمان کو ان کی قدر کرنی چاہیے اور کثرت سے ذکر کرنا چاہیے۔</v>
      </c>
      <c r="X905" s="10">
        <f>IFERROR(__xludf.DUMMYFUNCTION("""COMPUTED_VALUE"""),10.0)</f>
        <v>10</v>
      </c>
      <c r="Y905" s="10">
        <f>IFERROR(__xludf.DUMMYFUNCTION("""COMPUTED_VALUE"""),6.0)</f>
        <v>6</v>
      </c>
      <c r="Z905" s="10">
        <f>IFERROR(__xludf.DUMMYFUNCTION("""COMPUTED_VALUE"""),7.0)</f>
        <v>7</v>
      </c>
      <c r="AA905" s="10">
        <f>IFERROR(__xludf.DUMMYFUNCTION("""COMPUTED_VALUE"""),10.0)</f>
        <v>10</v>
      </c>
      <c r="AB905" s="10">
        <f>IFERROR(__xludf.DUMMYFUNCTION("""COMPUTED_VALUE"""),7.0)</f>
        <v>7</v>
      </c>
      <c r="AC905" s="10">
        <f>IFERROR(__xludf.DUMMYFUNCTION("""COMPUTED_VALUE"""),0.0)</f>
        <v>0</v>
      </c>
      <c r="AD905" s="10">
        <f>IFERROR(__xludf.DUMMYFUNCTION("""COMPUTED_VALUE"""),3.0)</f>
        <v>3</v>
      </c>
      <c r="AE905" s="10">
        <f>IFERROR(__xludf.DUMMYFUNCTION("""COMPUTED_VALUE"""),0.0)</f>
        <v>0</v>
      </c>
      <c r="AF905" s="10">
        <f>IFERROR(__xludf.DUMMYFUNCTION("""COMPUTED_VALUE"""),9.0)</f>
        <v>9</v>
      </c>
      <c r="AG905" s="10">
        <f>IFERROR(__xludf.DUMMYFUNCTION("""COMPUTED_VALUE"""),10.0)</f>
        <v>10</v>
      </c>
      <c r="AH905" s="10">
        <f>IFERROR(__xludf.DUMMYFUNCTION("""COMPUTED_VALUE"""),0.0)</f>
        <v>0</v>
      </c>
      <c r="AI905" s="10">
        <f>IFERROR(__xludf.DUMMYFUNCTION("""COMPUTED_VALUE"""),10.0)</f>
        <v>10</v>
      </c>
      <c r="AJ905" s="11" t="str">
        <f>IFERROR(__xludf.DUMMYFUNCTION("""COMPUTED_VALUE"""),"https://drive.google.com/open?id=1Ag8a-t613yBWzbABwyZ_aivXHfD72NCw")</f>
        <v>https://drive.google.com/open?id=1Ag8a-t613yBWzbABwyZ_aivXHfD72NCw</v>
      </c>
      <c r="AK905" s="12"/>
      <c r="AL905" s="12" t="str">
        <f>IFERROR(__xludf.DUMMYFUNCTION("""COMPUTED_VALUE"""),"Yes")</f>
        <v>Yes</v>
      </c>
      <c r="AM905" s="15">
        <f>IFERROR(__xludf.DUMMYFUNCTION("""COMPUTED_VALUE"""),0.0)</f>
        <v>0</v>
      </c>
      <c r="AN905" s="12" t="str">
        <f>IFERROR(__xludf.DUMMYFUNCTION("""COMPUTED_VALUE"""),"3rd week")</f>
        <v>3rd week</v>
      </c>
      <c r="AO905" s="13">
        <v>3.0</v>
      </c>
      <c r="AX905" s="17"/>
    </row>
    <row r="906">
      <c r="B906" s="9">
        <f>IFERROR(__xludf.DUMMYFUNCTION("""COMPUTED_VALUE"""),46014.51078920139)</f>
        <v>46014.51079</v>
      </c>
      <c r="C906" s="10" t="str">
        <f>IFERROR(__xludf.DUMMYFUNCTION("""COMPUTED_VALUE"""),"Atiqa")</f>
        <v>Atiqa</v>
      </c>
      <c r="D906" s="10" t="str">
        <f>IFERROR(__xludf.DUMMYFUNCTION("""COMPUTED_VALUE"""),"03157519977")</f>
        <v>03157519977</v>
      </c>
      <c r="E906" s="10" t="str">
        <f>IFERROR(__xludf.DUMMYFUNCTION("""COMPUTED_VALUE"""),"Jamia Masjid Darbar Peer Abdul Ghani Rawalpindi")</f>
        <v>Jamia Masjid Darbar Peer Abdul Ghani Rawalpindi</v>
      </c>
      <c r="F906" s="10" t="str">
        <f>IFERROR(__xludf.DUMMYFUNCTION("""COMPUTED_VALUE"""),"opiuv")</f>
        <v>opiuv</v>
      </c>
      <c r="G906" s="10" t="str">
        <f>IFERROR(__xludf.DUMMYFUNCTION("""COMPUTED_VALUE"""),"Yes")</f>
        <v>Yes</v>
      </c>
      <c r="H906" s="10">
        <f>IFERROR(__xludf.DUMMYFUNCTION("""COMPUTED_VALUE"""),8.0)</f>
        <v>8</v>
      </c>
      <c r="I906" s="10">
        <f>IFERROR(__xludf.DUMMYFUNCTION("""COMPUTED_VALUE"""),2.0)</f>
        <v>2</v>
      </c>
      <c r="J906" s="10">
        <f>IFERROR(__xludf.DUMMYFUNCTION("""COMPUTED_VALUE"""),9.0)</f>
        <v>9</v>
      </c>
      <c r="K906" s="10">
        <f>IFERROR(__xludf.DUMMYFUNCTION("""COMPUTED_VALUE"""),9.0)</f>
        <v>9</v>
      </c>
      <c r="L906" s="10">
        <f>IFERROR(__xludf.DUMMYFUNCTION("""COMPUTED_VALUE"""),0.0)</f>
        <v>0</v>
      </c>
      <c r="M906" s="10">
        <f>IFERROR(__xludf.DUMMYFUNCTION("""COMPUTED_VALUE"""),8.0)</f>
        <v>8</v>
      </c>
      <c r="N906" s="10">
        <f>IFERROR(__xludf.DUMMYFUNCTION("""COMPUTED_VALUE"""),0.0)</f>
        <v>0</v>
      </c>
      <c r="O906" s="10">
        <f>IFERROR(__xludf.DUMMYFUNCTION("""COMPUTED_VALUE"""),4.0)</f>
        <v>4</v>
      </c>
      <c r="P906" s="10">
        <f>IFERROR(__xludf.DUMMYFUNCTION("""COMPUTED_VALUE"""),0.0)</f>
        <v>0</v>
      </c>
      <c r="Q906" s="10" t="str">
        <f>IFERROR(__xludf.DUMMYFUNCTION("""COMPUTED_VALUE"""),"No")</f>
        <v>No</v>
      </c>
      <c r="R906" s="10" t="str">
        <f>IFERROR(__xludf.DUMMYFUNCTION("""COMPUTED_VALUE"""),"No")</f>
        <v>No</v>
      </c>
      <c r="S906" s="10" t="str">
        <f>IFERROR(__xludf.DUMMYFUNCTION("""COMPUTED_VALUE"""),"No")</f>
        <v>No</v>
      </c>
      <c r="T906" s="10">
        <f>IFERROR(__xludf.DUMMYFUNCTION("""COMPUTED_VALUE"""),0.0)</f>
        <v>0</v>
      </c>
      <c r="U906" s="10">
        <f>IFERROR(__xludf.DUMMYFUNCTION("""COMPUTED_VALUE"""),0.0)</f>
        <v>0</v>
      </c>
      <c r="V906" s="10" t="str">
        <f>IFERROR(__xludf.DUMMYFUNCTION("""COMPUTED_VALUE"""),"اسلام میں عورت کا مقام کردار اور حق ")</f>
        <v>اسلام میں عورت کا مقام کردار اور حق </v>
      </c>
      <c r="W906" s="10" t="str">
        <f>IFERROR(__xludf.DUMMYFUNCTION("""COMPUTED_VALUE"""),"امام نے اسلام سے قبل کیا جانے والا عورت کے ساتھ سلوک بیان کیا کہ کس طرح انہیں حقارت کی نظر سے دیکھا جاتا اور ذلت کا سبب سمجھا جاتا اور زندہ دفن کیا جاتا تھا اور اسلام کی امد سے عورت کو ہر رشتے کے لحاظ سے مقام و مرتبہ عطا ہونا ماں کی شکل میں اس کی قدموں کے"&amp;" نیچے جنت قرار دینا بیٹی یا بہن کی پرورش کرنے پر جنت میں اپ صلی اللہ علیہ وسلم کا قرب حاصل ہونا اور اپ صلی اللہ علیہ وسلم کا اپنی بیٹی اور بہن کا کھڑے ہو کر استقبال کرنا بیان کیا ")</f>
        <v>امام نے اسلام سے قبل کیا جانے والا عورت کے ساتھ سلوک بیان کیا کہ کس طرح انہیں حقارت کی نظر سے دیکھا جاتا اور ذلت کا سبب سمجھا جاتا اور زندہ دفن کیا جاتا تھا اور اسلام کی امد سے عورت کو ہر رشتے کے لحاظ سے مقام و مرتبہ عطا ہونا ماں کی شکل میں اس کی قدموں کے نیچے جنت قرار دینا بیٹی یا بہن کی پرورش کرنے پر جنت میں اپ صلی اللہ علیہ وسلم کا قرب حاصل ہونا اور اپ صلی اللہ علیہ وسلم کا اپنی بیٹی اور بہن کا کھڑے ہو کر استقبال کرنا بیان کیا </v>
      </c>
      <c r="X906" s="10">
        <f>IFERROR(__xludf.DUMMYFUNCTION("""COMPUTED_VALUE"""),2.0)</f>
        <v>2</v>
      </c>
      <c r="Y906" s="10">
        <f>IFERROR(__xludf.DUMMYFUNCTION("""COMPUTED_VALUE"""),8.0)</f>
        <v>8</v>
      </c>
      <c r="Z906" s="10">
        <f>IFERROR(__xludf.DUMMYFUNCTION("""COMPUTED_VALUE"""),4.0)</f>
        <v>4</v>
      </c>
      <c r="AA906" s="10">
        <f>IFERROR(__xludf.DUMMYFUNCTION("""COMPUTED_VALUE"""),8.0)</f>
        <v>8</v>
      </c>
      <c r="AB906" s="10">
        <f>IFERROR(__xludf.DUMMYFUNCTION("""COMPUTED_VALUE"""),7.0)</f>
        <v>7</v>
      </c>
      <c r="AC906" s="10">
        <f>IFERROR(__xludf.DUMMYFUNCTION("""COMPUTED_VALUE"""),0.0)</f>
        <v>0</v>
      </c>
      <c r="AD906" s="10">
        <f>IFERROR(__xludf.DUMMYFUNCTION("""COMPUTED_VALUE"""),0.0)</f>
        <v>0</v>
      </c>
      <c r="AE906" s="10">
        <f>IFERROR(__xludf.DUMMYFUNCTION("""COMPUTED_VALUE"""),2.0)</f>
        <v>2</v>
      </c>
      <c r="AF906" s="10">
        <f>IFERROR(__xludf.DUMMYFUNCTION("""COMPUTED_VALUE"""),3.0)</f>
        <v>3</v>
      </c>
      <c r="AG906" s="10">
        <f>IFERROR(__xludf.DUMMYFUNCTION("""COMPUTED_VALUE"""),8.0)</f>
        <v>8</v>
      </c>
      <c r="AH906" s="10">
        <f>IFERROR(__xludf.DUMMYFUNCTION("""COMPUTED_VALUE"""),0.0)</f>
        <v>0</v>
      </c>
      <c r="AI906" s="10">
        <f>IFERROR(__xludf.DUMMYFUNCTION("""COMPUTED_VALUE"""),9.0)</f>
        <v>9</v>
      </c>
      <c r="AJ906" s="11" t="str">
        <f>IFERROR(__xludf.DUMMYFUNCTION("""COMPUTED_VALUE"""),"https://drive.google.com/open?id=1E-osumwsnlY5kU12r1QA3n4uckGq92eHRWH3O3oJrZc")</f>
        <v>https://drive.google.com/open?id=1E-osumwsnlY5kU12r1QA3n4uckGq92eHRWH3O3oJrZc</v>
      </c>
      <c r="AK906" s="12"/>
      <c r="AL906" s="12" t="str">
        <f>IFERROR(__xludf.DUMMYFUNCTION("""COMPUTED_VALUE"""),"Yes")</f>
        <v>Yes</v>
      </c>
      <c r="AM906" s="15">
        <f>IFERROR(__xludf.DUMMYFUNCTION("""COMPUTED_VALUE"""),0.9)</f>
        <v>0.9</v>
      </c>
      <c r="AN906" s="12" t="str">
        <f>IFERROR(__xludf.DUMMYFUNCTION("""COMPUTED_VALUE"""),"1st week")</f>
        <v>1st week</v>
      </c>
      <c r="AO906" s="13">
        <v>1.0</v>
      </c>
      <c r="AX906" s="17"/>
    </row>
    <row r="907">
      <c r="B907" s="9">
        <f>IFERROR(__xludf.DUMMYFUNCTION("""COMPUTED_VALUE"""),46015.02083702546)</f>
        <v>46015.02084</v>
      </c>
      <c r="C907" s="10" t="str">
        <f>IFERROR(__xludf.DUMMYFUNCTION("""COMPUTED_VALUE"""),"Atiqa ")</f>
        <v>Atiqa </v>
      </c>
      <c r="D907" s="10" t="str">
        <f>IFERROR(__xludf.DUMMYFUNCTION("""COMPUTED_VALUE"""),"03157")</f>
        <v>03157</v>
      </c>
      <c r="E907" s="10" t="str">
        <f>IFERROR(__xludf.DUMMYFUNCTION("""COMPUTED_VALUE"""),"Jamia Masjid Madina Kabari Bazar Rawalpindi")</f>
        <v>Jamia Masjid Madina Kabari Bazar Rawalpindi</v>
      </c>
      <c r="F907" s="10" t="str">
        <f>IFERROR(__xludf.DUMMYFUNCTION("""COMPUTED_VALUE"""),"izzpy")</f>
        <v>izzpy</v>
      </c>
      <c r="G907" s="10" t="str">
        <f>IFERROR(__xludf.DUMMYFUNCTION("""COMPUTED_VALUE"""),"Yes")</f>
        <v>Yes</v>
      </c>
      <c r="H907" s="10">
        <f>IFERROR(__xludf.DUMMYFUNCTION("""COMPUTED_VALUE"""),9.0)</f>
        <v>9</v>
      </c>
      <c r="I907" s="10">
        <f>IFERROR(__xludf.DUMMYFUNCTION("""COMPUTED_VALUE"""),1.0)</f>
        <v>1</v>
      </c>
      <c r="J907" s="10">
        <f>IFERROR(__xludf.DUMMYFUNCTION("""COMPUTED_VALUE"""),10.0)</f>
        <v>10</v>
      </c>
      <c r="K907" s="10">
        <f>IFERROR(__xludf.DUMMYFUNCTION("""COMPUTED_VALUE"""),10.0)</f>
        <v>10</v>
      </c>
      <c r="L907" s="10">
        <f>IFERROR(__xludf.DUMMYFUNCTION("""COMPUTED_VALUE"""),0.0)</f>
        <v>0</v>
      </c>
      <c r="M907" s="10">
        <f>IFERROR(__xludf.DUMMYFUNCTION("""COMPUTED_VALUE"""),8.0)</f>
        <v>8</v>
      </c>
      <c r="N907" s="10">
        <f>IFERROR(__xludf.DUMMYFUNCTION("""COMPUTED_VALUE"""),0.0)</f>
        <v>0</v>
      </c>
      <c r="O907" s="10">
        <f>IFERROR(__xludf.DUMMYFUNCTION("""COMPUTED_VALUE"""),7.0)</f>
        <v>7</v>
      </c>
      <c r="P907" s="10">
        <f>IFERROR(__xludf.DUMMYFUNCTION("""COMPUTED_VALUE"""),0.0)</f>
        <v>0</v>
      </c>
      <c r="Q907" s="10" t="str">
        <f>IFERROR(__xludf.DUMMYFUNCTION("""COMPUTED_VALUE"""),"Yes")</f>
        <v>Yes</v>
      </c>
      <c r="R907" s="10" t="str">
        <f>IFERROR(__xludf.DUMMYFUNCTION("""COMPUTED_VALUE"""),"No")</f>
        <v>No</v>
      </c>
      <c r="S907" s="10" t="str">
        <f>IFERROR(__xludf.DUMMYFUNCTION("""COMPUTED_VALUE"""),"Yes")</f>
        <v>Yes</v>
      </c>
      <c r="T907" s="10">
        <f>IFERROR(__xludf.DUMMYFUNCTION("""COMPUTED_VALUE"""),0.0)</f>
        <v>0</v>
      </c>
      <c r="U907" s="10">
        <f>IFERROR(__xludf.DUMMYFUNCTION("""COMPUTED_VALUE"""),0.0)</f>
        <v>0</v>
      </c>
      <c r="V907" s="10" t="str">
        <f>IFERROR(__xludf.DUMMYFUNCTION("""COMPUTED_VALUE"""),"اسلام میں عورت کا مقام کردار اور حق ")</f>
        <v>اسلام میں عورت کا مقام کردار اور حق </v>
      </c>
      <c r="W907" s="10" t="str">
        <f>IFERROR(__xludf.DUMMYFUNCTION("""COMPUTED_VALUE"""),"قبل از اسلام زمانہ جاہلیت میں عورت کے ساتھ کیا جانے والا سلوک اور اسلام کی امد سے عورت کو بحیثیت ماں بیٹی بہن اور بیوی کے ملنے والا مقام و مرتبہ بیان کیا حضور پاک صلی اللہ علیہ وسلم کا اپنی بیٹی فاطمۃ الزہرا اور رضائی بہن کا احترام کرنا بیان کیا لونڈی کو "&amp;"تعلیم و تربیت دلوا کر اور ازاد کر کے نکاح کرنے پر دہڑا اجر عطا ہونا بیان کیا اور بیٹی اور بہن کی پرورش اور تعلیم و تربیت پر عطا ہونے والا اجر بیان کیا اور حضور پاک صلی اللہ علیہ وسلم کا صحابیات کی تعلیم کے لیے اوقات مقرر کرنا بیان کیا۔")</f>
        <v>قبل از اسلام زمانہ جاہلیت میں عورت کے ساتھ کیا جانے والا سلوک اور اسلام کی امد سے عورت کو بحیثیت ماں بیٹی بہن اور بیوی کے ملنے والا مقام و مرتبہ بیان کیا حضور پاک صلی اللہ علیہ وسلم کا اپنی بیٹی فاطمۃ الزہرا اور رضائی بہن کا احترام کرنا بیان کیا لونڈی کو تعلیم و تربیت دلوا کر اور ازاد کر کے نکاح کرنے پر دہڑا اجر عطا ہونا بیان کیا اور بیٹی اور بہن کی پرورش اور تعلیم و تربیت پر عطا ہونے والا اجر بیان کیا اور حضور پاک صلی اللہ علیہ وسلم کا صحابیات کی تعلیم کے لیے اوقات مقرر کرنا بیان کیا۔</v>
      </c>
      <c r="X907" s="10">
        <f>IFERROR(__xludf.DUMMYFUNCTION("""COMPUTED_VALUE"""),1.0)</f>
        <v>1</v>
      </c>
      <c r="Y907" s="10">
        <f>IFERROR(__xludf.DUMMYFUNCTION("""COMPUTED_VALUE"""),9.0)</f>
        <v>9</v>
      </c>
      <c r="Z907" s="10">
        <f>IFERROR(__xludf.DUMMYFUNCTION("""COMPUTED_VALUE"""),6.0)</f>
        <v>6</v>
      </c>
      <c r="AA907" s="10">
        <f>IFERROR(__xludf.DUMMYFUNCTION("""COMPUTED_VALUE"""),8.0)</f>
        <v>8</v>
      </c>
      <c r="AB907" s="10">
        <f>IFERROR(__xludf.DUMMYFUNCTION("""COMPUTED_VALUE"""),8.0)</f>
        <v>8</v>
      </c>
      <c r="AC907" s="10">
        <f>IFERROR(__xludf.DUMMYFUNCTION("""COMPUTED_VALUE"""),0.0)</f>
        <v>0</v>
      </c>
      <c r="AD907" s="10">
        <f>IFERROR(__xludf.DUMMYFUNCTION("""COMPUTED_VALUE"""),0.0)</f>
        <v>0</v>
      </c>
      <c r="AE907" s="10">
        <f>IFERROR(__xludf.DUMMYFUNCTION("""COMPUTED_VALUE"""),1.0)</f>
        <v>1</v>
      </c>
      <c r="AF907" s="10">
        <f>IFERROR(__xludf.DUMMYFUNCTION("""COMPUTED_VALUE"""),0.0)</f>
        <v>0</v>
      </c>
      <c r="AG907" s="10">
        <f>IFERROR(__xludf.DUMMYFUNCTION("""COMPUTED_VALUE"""),9.0)</f>
        <v>9</v>
      </c>
      <c r="AH907" s="10">
        <f>IFERROR(__xludf.DUMMYFUNCTION("""COMPUTED_VALUE"""),0.0)</f>
        <v>0</v>
      </c>
      <c r="AI907" s="10">
        <f>IFERROR(__xludf.DUMMYFUNCTION("""COMPUTED_VALUE"""),9.0)</f>
        <v>9</v>
      </c>
      <c r="AJ907" s="11" t="str">
        <f>IFERROR(__xludf.DUMMYFUNCTION("""COMPUTED_VALUE"""),"https://drive.google.com/open?id=1Hfjewsnfba3ZfhSRuR-pkU2-oeNX5HeOn-L9uSYAwWM")</f>
        <v>https://drive.google.com/open?id=1Hfjewsnfba3ZfhSRuR-pkU2-oeNX5HeOn-L9uSYAwWM</v>
      </c>
      <c r="AK907" s="12"/>
      <c r="AL907" s="12" t="str">
        <f>IFERROR(__xludf.DUMMYFUNCTION("""COMPUTED_VALUE"""),"Yes")</f>
        <v>Yes</v>
      </c>
      <c r="AM907" s="15">
        <f>IFERROR(__xludf.DUMMYFUNCTION("""COMPUTED_VALUE"""),0.9)</f>
        <v>0.9</v>
      </c>
      <c r="AN907" s="12" t="str">
        <f>IFERROR(__xludf.DUMMYFUNCTION("""COMPUTED_VALUE"""),"1st week")</f>
        <v>1st week</v>
      </c>
      <c r="AO907" s="13">
        <v>1.0</v>
      </c>
      <c r="AX907" s="17"/>
    </row>
    <row r="908">
      <c r="B908" s="9">
        <f>IFERROR(__xludf.DUMMYFUNCTION("""COMPUTED_VALUE"""),46015.08200443287)</f>
        <v>46015.082</v>
      </c>
      <c r="C908" s="10" t="str">
        <f>IFERROR(__xludf.DUMMYFUNCTION("""COMPUTED_VALUE"""),"Atiqa ")</f>
        <v>Atiqa </v>
      </c>
      <c r="D908" s="10" t="str">
        <f>IFERROR(__xludf.DUMMYFUNCTION("""COMPUTED_VALUE"""),"03157519977")</f>
        <v>03157519977</v>
      </c>
      <c r="E908" s="10" t="str">
        <f>IFERROR(__xludf.DUMMYFUNCTION("""COMPUTED_VALUE"""),"Jamia Masjid Sabzi Mandi Rawalpindi")</f>
        <v>Jamia Masjid Sabzi Mandi Rawalpindi</v>
      </c>
      <c r="F908" s="10" t="str">
        <f>IFERROR(__xludf.DUMMYFUNCTION("""COMPUTED_VALUE"""),"cvcqu")</f>
        <v>cvcqu</v>
      </c>
      <c r="G908" s="10" t="str">
        <f>IFERROR(__xludf.DUMMYFUNCTION("""COMPUTED_VALUE"""),"Yes")</f>
        <v>Yes</v>
      </c>
      <c r="H908" s="10">
        <f>IFERROR(__xludf.DUMMYFUNCTION("""COMPUTED_VALUE"""),0.0)</f>
        <v>0</v>
      </c>
      <c r="I908" s="10">
        <f>IFERROR(__xludf.DUMMYFUNCTION("""COMPUTED_VALUE"""),10.0)</f>
        <v>10</v>
      </c>
      <c r="J908" s="10">
        <f>IFERROR(__xludf.DUMMYFUNCTION("""COMPUTED_VALUE"""),0.0)</f>
        <v>0</v>
      </c>
      <c r="K908" s="10">
        <f>IFERROR(__xludf.DUMMYFUNCTION("""COMPUTED_VALUE"""),0.0)</f>
        <v>0</v>
      </c>
      <c r="L908" s="10">
        <f>IFERROR(__xludf.DUMMYFUNCTION("""COMPUTED_VALUE"""),0.0)</f>
        <v>0</v>
      </c>
      <c r="M908" s="10">
        <f>IFERROR(__xludf.DUMMYFUNCTION("""COMPUTED_VALUE"""),0.0)</f>
        <v>0</v>
      </c>
      <c r="N908" s="10">
        <f>IFERROR(__xludf.DUMMYFUNCTION("""COMPUTED_VALUE"""),0.0)</f>
        <v>0</v>
      </c>
      <c r="O908" s="10">
        <f>IFERROR(__xludf.DUMMYFUNCTION("""COMPUTED_VALUE"""),0.0)</f>
        <v>0</v>
      </c>
      <c r="P908" s="10">
        <f>IFERROR(__xludf.DUMMYFUNCTION("""COMPUTED_VALUE"""),0.0)</f>
        <v>0</v>
      </c>
      <c r="Q908" s="10" t="str">
        <f>IFERROR(__xludf.DUMMYFUNCTION("""COMPUTED_VALUE"""),"No")</f>
        <v>No</v>
      </c>
      <c r="R908" s="10" t="str">
        <f>IFERROR(__xludf.DUMMYFUNCTION("""COMPUTED_VALUE"""),"No")</f>
        <v>No</v>
      </c>
      <c r="S908" s="10" t="str">
        <f>IFERROR(__xludf.DUMMYFUNCTION("""COMPUTED_VALUE"""),"No")</f>
        <v>No</v>
      </c>
      <c r="T908" s="10">
        <f>IFERROR(__xludf.DUMMYFUNCTION("""COMPUTED_VALUE"""),0.0)</f>
        <v>0</v>
      </c>
      <c r="U908" s="10">
        <f>IFERROR(__xludf.DUMMYFUNCTION("""COMPUTED_VALUE"""),0.0)</f>
        <v>0</v>
      </c>
      <c r="V908" s="10" t="str">
        <f>IFERROR(__xludf.DUMMYFUNCTION("""COMPUTED_VALUE"""),"شان سیدنا صدیق اکبر رضی اللہ تعالی عنہ ")</f>
        <v>شان سیدنا صدیق اکبر رضی اللہ تعالی عنہ </v>
      </c>
      <c r="W908" s="10" t="str">
        <f>IFERROR(__xludf.DUMMYFUNCTION("""COMPUTED_VALUE"""),"امام نے بیان کیا کہ انبیاء کرام علیہ السلام کے بعد جو شخصیت سب سے زیادہ افضل اور مقام و مرتبے والی ہے وہ سیدنا صدیق اکبر رضی اللہ تعالی عنہ کی ذات پاک ہے صدیق اکبر رضی اللہ تعالی عنہ کو غار ثور میں اپ صلی اللہ علیہ وسلم کا ساتھ نصیب ہونا حضور صلی اللہ علی"&amp;"ہ وسلم کا اپ کو اپنا وزیر قرار دینا وصال کے بعد اپ صلی اللہ علیہ وسلم کے پہلو میں دفنایا جانا اور اپ اللہ تعالی عنہ کا مسلمانوں اور جہاد کے لیے اپنے گھر کا سارا سامان وقف کر دینا بیان کیا  ")</f>
        <v>امام نے بیان کیا کہ انبیاء کرام علیہ السلام کے بعد جو شخصیت سب سے زیادہ افضل اور مقام و مرتبے والی ہے وہ سیدنا صدیق اکبر رضی اللہ تعالی عنہ کی ذات پاک ہے صدیق اکبر رضی اللہ تعالی عنہ کو غار ثور میں اپ صلی اللہ علیہ وسلم کا ساتھ نصیب ہونا حضور صلی اللہ علیہ وسلم کا اپ کو اپنا وزیر قرار دینا وصال کے بعد اپ صلی اللہ علیہ وسلم کے پہلو میں دفنایا جانا اور اپ اللہ تعالی عنہ کا مسلمانوں اور جہاد کے لیے اپنے گھر کا سارا سامان وقف کر دینا بیان کیا  </v>
      </c>
      <c r="X908" s="10">
        <f>IFERROR(__xludf.DUMMYFUNCTION("""COMPUTED_VALUE"""),5.0)</f>
        <v>5</v>
      </c>
      <c r="Y908" s="10">
        <f>IFERROR(__xludf.DUMMYFUNCTION("""COMPUTED_VALUE"""),5.0)</f>
        <v>5</v>
      </c>
      <c r="Z908" s="10">
        <f>IFERROR(__xludf.DUMMYFUNCTION("""COMPUTED_VALUE"""),0.0)</f>
        <v>0</v>
      </c>
      <c r="AA908" s="10">
        <f>IFERROR(__xludf.DUMMYFUNCTION("""COMPUTED_VALUE"""),8.0)</f>
        <v>8</v>
      </c>
      <c r="AB908" s="10">
        <f>IFERROR(__xludf.DUMMYFUNCTION("""COMPUTED_VALUE"""),9.0)</f>
        <v>9</v>
      </c>
      <c r="AC908" s="10">
        <f>IFERROR(__xludf.DUMMYFUNCTION("""COMPUTED_VALUE"""),0.0)</f>
        <v>0</v>
      </c>
      <c r="AD908" s="10">
        <f>IFERROR(__xludf.DUMMYFUNCTION("""COMPUTED_VALUE"""),0.0)</f>
        <v>0</v>
      </c>
      <c r="AE908" s="10">
        <f>IFERROR(__xludf.DUMMYFUNCTION("""COMPUTED_VALUE"""),0.0)</f>
        <v>0</v>
      </c>
      <c r="AF908" s="10">
        <f>IFERROR(__xludf.DUMMYFUNCTION("""COMPUTED_VALUE"""),0.0)</f>
        <v>0</v>
      </c>
      <c r="AG908" s="10">
        <f>IFERROR(__xludf.DUMMYFUNCTION("""COMPUTED_VALUE"""),8.0)</f>
        <v>8</v>
      </c>
      <c r="AH908" s="10">
        <f>IFERROR(__xludf.DUMMYFUNCTION("""COMPUTED_VALUE"""),0.0)</f>
        <v>0</v>
      </c>
      <c r="AI908" s="10">
        <f>IFERROR(__xludf.DUMMYFUNCTION("""COMPUTED_VALUE"""),8.0)</f>
        <v>8</v>
      </c>
      <c r="AJ908" s="11" t="str">
        <f>IFERROR(__xludf.DUMMYFUNCTION("""COMPUTED_VALUE"""),"https://drive.google.com/open?id=1N60Su56VCIhfeZ7KJbMbJ5AvNG34cUhxxUiCzYN1ME0")</f>
        <v>https://drive.google.com/open?id=1N60Su56VCIhfeZ7KJbMbJ5AvNG34cUhxxUiCzYN1ME0</v>
      </c>
      <c r="AK908" s="12"/>
      <c r="AL908" s="12" t="str">
        <f>IFERROR(__xludf.DUMMYFUNCTION("""COMPUTED_VALUE"""),"Yes")</f>
        <v>Yes</v>
      </c>
      <c r="AM908" s="15">
        <f>IFERROR(__xludf.DUMMYFUNCTION("""COMPUTED_VALUE"""),0.0)</f>
        <v>0</v>
      </c>
      <c r="AN908" s="12" t="str">
        <f>IFERROR(__xludf.DUMMYFUNCTION("""COMPUTED_VALUE"""),"1st week")</f>
        <v>1st week</v>
      </c>
      <c r="AO908" s="13">
        <v>1.0</v>
      </c>
      <c r="AX908" s="17"/>
    </row>
    <row r="909">
      <c r="B909" s="9">
        <f>IFERROR(__xludf.DUMMYFUNCTION("""COMPUTED_VALUE"""),46015.27730403935)</f>
        <v>46015.2773</v>
      </c>
      <c r="C909" s="10" t="str">
        <f>IFERROR(__xludf.DUMMYFUNCTION("""COMPUTED_VALUE"""),"Atiqa")</f>
        <v>Atiqa</v>
      </c>
      <c r="D909" s="10" t="str">
        <f>IFERROR(__xludf.DUMMYFUNCTION("""COMPUTED_VALUE"""),"03157519977")</f>
        <v>03157519977</v>
      </c>
      <c r="E909" s="10" t="str">
        <f>IFERROR(__xludf.DUMMYFUNCTION("""COMPUTED_VALUE"""),"Jamia Masjid Bhaga Sher Dargali Rawalpindi")</f>
        <v>Jamia Masjid Bhaga Sher Dargali Rawalpindi</v>
      </c>
      <c r="F909" s="10" t="str">
        <f>IFERROR(__xludf.DUMMYFUNCTION("""COMPUTED_VALUE"""),"vzblw")</f>
        <v>vzblw</v>
      </c>
      <c r="G909" s="10" t="str">
        <f>IFERROR(__xludf.DUMMYFUNCTION("""COMPUTED_VALUE"""),"Yes")</f>
        <v>Yes</v>
      </c>
      <c r="H909" s="10">
        <f>IFERROR(__xludf.DUMMYFUNCTION("""COMPUTED_VALUE"""),7.0)</f>
        <v>7</v>
      </c>
      <c r="I909" s="10">
        <f>IFERROR(__xludf.DUMMYFUNCTION("""COMPUTED_VALUE"""),3.0)</f>
        <v>3</v>
      </c>
      <c r="J909" s="10">
        <f>IFERROR(__xludf.DUMMYFUNCTION("""COMPUTED_VALUE"""),9.0)</f>
        <v>9</v>
      </c>
      <c r="K909" s="10">
        <f>IFERROR(__xludf.DUMMYFUNCTION("""COMPUTED_VALUE"""),0.0)</f>
        <v>0</v>
      </c>
      <c r="L909" s="10">
        <f>IFERROR(__xludf.DUMMYFUNCTION("""COMPUTED_VALUE"""),9.0)</f>
        <v>9</v>
      </c>
      <c r="M909" s="10">
        <f>IFERROR(__xludf.DUMMYFUNCTION("""COMPUTED_VALUE"""),0.0)</f>
        <v>0</v>
      </c>
      <c r="N909" s="10">
        <f>IFERROR(__xludf.DUMMYFUNCTION("""COMPUTED_VALUE"""),7.0)</f>
        <v>7</v>
      </c>
      <c r="O909" s="10">
        <f>IFERROR(__xludf.DUMMYFUNCTION("""COMPUTED_VALUE"""),0.0)</f>
        <v>0</v>
      </c>
      <c r="P909" s="10">
        <f>IFERROR(__xludf.DUMMYFUNCTION("""COMPUTED_VALUE"""),0.0)</f>
        <v>0</v>
      </c>
      <c r="Q909" s="10" t="str">
        <f>IFERROR(__xludf.DUMMYFUNCTION("""COMPUTED_VALUE"""),"No")</f>
        <v>No</v>
      </c>
      <c r="R909" s="10" t="str">
        <f>IFERROR(__xludf.DUMMYFUNCTION("""COMPUTED_VALUE"""),"No")</f>
        <v>No</v>
      </c>
      <c r="S909" s="10" t="str">
        <f>IFERROR(__xludf.DUMMYFUNCTION("""COMPUTED_VALUE"""),"Yes")</f>
        <v>Yes</v>
      </c>
      <c r="T909" s="10">
        <f>IFERROR(__xludf.DUMMYFUNCTION("""COMPUTED_VALUE"""),0.0)</f>
        <v>0</v>
      </c>
      <c r="U909" s="10">
        <f>IFERROR(__xludf.DUMMYFUNCTION("""COMPUTED_VALUE"""),0.0)</f>
        <v>0</v>
      </c>
      <c r="V909" s="10" t="str">
        <f>IFERROR(__xludf.DUMMYFUNCTION("""COMPUTED_VALUE"""),"پڑوسیوں کے حقوق اور ان کے ساتھ حسن سلوک کی تاکید ")</f>
        <v>پڑوسیوں کے حقوق اور ان کے ساتھ حسن سلوک کی تاکید </v>
      </c>
      <c r="W909" s="10" t="str">
        <f>IFERROR(__xludf.DUMMYFUNCTION("""COMPUTED_VALUE"""),"امام نے سورۃ النساء کی ایت نمبر 36 کو بیان کیا نبی صلی اللہ علیہ وسلم کے فرمان بیان کیے کہ پڑوسی اور رشتہ داروں کے ساتھ صلح رحمی کرنے پر عمر اور رزق میں برکت حاصل ہونا، وہ شخص مومن نہ ہونا جس سے اس کے پڑوسی تنگ ہو، اور حضور پاک صلی اللہ علیہ وسلم کا گوشت "&amp;"پکانے کی صورت میں شوربہ زیادہ کر کے ہمسایوں کو بھی دینے کا فرمان بیان کیا ")</f>
        <v>امام نے سورۃ النساء کی ایت نمبر 36 کو بیان کیا نبی صلی اللہ علیہ وسلم کے فرمان بیان کیے کہ پڑوسی اور رشتہ داروں کے ساتھ صلح رحمی کرنے پر عمر اور رزق میں برکت حاصل ہونا، وہ شخص مومن نہ ہونا جس سے اس کے پڑوسی تنگ ہو، اور حضور پاک صلی اللہ علیہ وسلم کا گوشت پکانے کی صورت میں شوربہ زیادہ کر کے ہمسایوں کو بھی دینے کا فرمان بیان کیا </v>
      </c>
      <c r="X909" s="10">
        <f>IFERROR(__xludf.DUMMYFUNCTION("""COMPUTED_VALUE"""),1.0)</f>
        <v>1</v>
      </c>
      <c r="Y909" s="10">
        <f>IFERROR(__xludf.DUMMYFUNCTION("""COMPUTED_VALUE"""),9.0)</f>
        <v>9</v>
      </c>
      <c r="Z909" s="10">
        <f>IFERROR(__xludf.DUMMYFUNCTION("""COMPUTED_VALUE"""),6.0)</f>
        <v>6</v>
      </c>
      <c r="AA909" s="10">
        <f>IFERROR(__xludf.DUMMYFUNCTION("""COMPUTED_VALUE"""),8.0)</f>
        <v>8</v>
      </c>
      <c r="AB909" s="10">
        <f>IFERROR(__xludf.DUMMYFUNCTION("""COMPUTED_VALUE"""),4.0)</f>
        <v>4</v>
      </c>
      <c r="AC909" s="10">
        <f>IFERROR(__xludf.DUMMYFUNCTION("""COMPUTED_VALUE"""),0.0)</f>
        <v>0</v>
      </c>
      <c r="AD909" s="10">
        <f>IFERROR(__xludf.DUMMYFUNCTION("""COMPUTED_VALUE"""),0.0)</f>
        <v>0</v>
      </c>
      <c r="AE909" s="10">
        <f>IFERROR(__xludf.DUMMYFUNCTION("""COMPUTED_VALUE"""),0.0)</f>
        <v>0</v>
      </c>
      <c r="AF909" s="10">
        <f>IFERROR(__xludf.DUMMYFUNCTION("""COMPUTED_VALUE"""),0.0)</f>
        <v>0</v>
      </c>
      <c r="AG909" s="10">
        <f>IFERROR(__xludf.DUMMYFUNCTION("""COMPUTED_VALUE"""),8.0)</f>
        <v>8</v>
      </c>
      <c r="AH909" s="10">
        <f>IFERROR(__xludf.DUMMYFUNCTION("""COMPUTED_VALUE"""),0.0)</f>
        <v>0</v>
      </c>
      <c r="AI909" s="10">
        <f>IFERROR(__xludf.DUMMYFUNCTION("""COMPUTED_VALUE"""),8.0)</f>
        <v>8</v>
      </c>
      <c r="AJ909" s="11" t="str">
        <f>IFERROR(__xludf.DUMMYFUNCTION("""COMPUTED_VALUE"""),"https://drive.google.com/open?id=1fzeYRBXoUxXMeMyaCfS5bEsJst41hZuuL2x-SL-Dof0")</f>
        <v>https://drive.google.com/open?id=1fzeYRBXoUxXMeMyaCfS5bEsJst41hZuuL2x-SL-Dof0</v>
      </c>
      <c r="AK909" s="12"/>
      <c r="AL909" s="12" t="str">
        <f>IFERROR(__xludf.DUMMYFUNCTION("""COMPUTED_VALUE"""),"Yes")</f>
        <v>Yes</v>
      </c>
      <c r="AM909" s="15">
        <f>IFERROR(__xludf.DUMMYFUNCTION("""COMPUTED_VALUE"""),0.7)</f>
        <v>0.7</v>
      </c>
      <c r="AN909" s="12" t="str">
        <f>IFERROR(__xludf.DUMMYFUNCTION("""COMPUTED_VALUE"""),"1st week")</f>
        <v>1st week</v>
      </c>
      <c r="AO909" s="13">
        <v>1.0</v>
      </c>
      <c r="AX909" s="17"/>
    </row>
    <row r="910">
      <c r="B910" s="9">
        <f>IFERROR(__xludf.DUMMYFUNCTION("""COMPUTED_VALUE"""),46015.45580334491)</f>
        <v>46015.4558</v>
      </c>
      <c r="C910" s="10" t="str">
        <f>IFERROR(__xludf.DUMMYFUNCTION("""COMPUTED_VALUE"""),"Atiqa")</f>
        <v>Atiqa</v>
      </c>
      <c r="D910" s="10" t="str">
        <f>IFERROR(__xludf.DUMMYFUNCTION("""COMPUTED_VALUE"""),"03157519977")</f>
        <v>03157519977</v>
      </c>
      <c r="E910" s="10" t="str">
        <f>IFERROR(__xludf.DUMMYFUNCTION("""COMPUTED_VALUE"""),"Jamia Masjid Darbar Nathu Shah Sharazi Faisalabad")</f>
        <v>Jamia Masjid Darbar Nathu Shah Sharazi Faisalabad</v>
      </c>
      <c r="F910" s="10" t="str">
        <f>IFERROR(__xludf.DUMMYFUNCTION("""COMPUTED_VALUE"""),"rymqe")</f>
        <v>rymqe</v>
      </c>
      <c r="G910" s="10" t="str">
        <f>IFERROR(__xludf.DUMMYFUNCTION("""COMPUTED_VALUE"""),"Yes")</f>
        <v>Yes</v>
      </c>
      <c r="H910" s="10">
        <f>IFERROR(__xludf.DUMMYFUNCTION("""COMPUTED_VALUE"""),0.0)</f>
        <v>0</v>
      </c>
      <c r="I910" s="10">
        <f>IFERROR(__xludf.DUMMYFUNCTION("""COMPUTED_VALUE"""),10.0)</f>
        <v>10</v>
      </c>
      <c r="J910" s="10">
        <f>IFERROR(__xludf.DUMMYFUNCTION("""COMPUTED_VALUE"""),0.0)</f>
        <v>0</v>
      </c>
      <c r="K910" s="10">
        <f>IFERROR(__xludf.DUMMYFUNCTION("""COMPUTED_VALUE"""),0.0)</f>
        <v>0</v>
      </c>
      <c r="L910" s="10">
        <f>IFERROR(__xludf.DUMMYFUNCTION("""COMPUTED_VALUE"""),0.0)</f>
        <v>0</v>
      </c>
      <c r="M910" s="10">
        <f>IFERROR(__xludf.DUMMYFUNCTION("""COMPUTED_VALUE"""),0.0)</f>
        <v>0</v>
      </c>
      <c r="N910" s="10">
        <f>IFERROR(__xludf.DUMMYFUNCTION("""COMPUTED_VALUE"""),0.0)</f>
        <v>0</v>
      </c>
      <c r="O910" s="10">
        <f>IFERROR(__xludf.DUMMYFUNCTION("""COMPUTED_VALUE"""),0.0)</f>
        <v>0</v>
      </c>
      <c r="P910" s="10">
        <f>IFERROR(__xludf.DUMMYFUNCTION("""COMPUTED_VALUE"""),0.0)</f>
        <v>0</v>
      </c>
      <c r="Q910" s="10" t="str">
        <f>IFERROR(__xludf.DUMMYFUNCTION("""COMPUTED_VALUE"""),"No")</f>
        <v>No</v>
      </c>
      <c r="R910" s="10" t="str">
        <f>IFERROR(__xludf.DUMMYFUNCTION("""COMPUTED_VALUE"""),"No")</f>
        <v>No</v>
      </c>
      <c r="S910" s="10" t="str">
        <f>IFERROR(__xludf.DUMMYFUNCTION("""COMPUTED_VALUE"""),"No")</f>
        <v>No</v>
      </c>
      <c r="T910" s="10">
        <f>IFERROR(__xludf.DUMMYFUNCTION("""COMPUTED_VALUE"""),0.0)</f>
        <v>0</v>
      </c>
      <c r="U910" s="10">
        <f>IFERROR(__xludf.DUMMYFUNCTION("""COMPUTED_VALUE"""),0.0)</f>
        <v>0</v>
      </c>
      <c r="V910" s="10" t="str">
        <f>IFERROR(__xludf.DUMMYFUNCTION("""COMPUTED_VALUE"""),"۱۔اولیائے اللہ کی صحبت اور فلاح کا راستہ۲۔ ذکر الہی ")</f>
        <v>۱۔اولیائے اللہ کی صحبت اور فلاح کا راستہ۲۔ ذکر الہی </v>
      </c>
      <c r="W910" s="10" t="str">
        <f>IFERROR(__xludf.DUMMYFUNCTION("""COMPUTED_VALUE"""),"امام نے بیان کیا کہ کسی اولیاء اللہ کی صحبت میں چند گھڑی بیٹھنا کئی سالہ زندگی سے بہتر ہے اللہ تبارک و تعالی کا انسان کو قران پاک میں کئی ناموں سے پکارنا اور قران پاک کو انسانوں کی فلاح کے لیے نازل کرنا اور امام نے بیان کیا کہ اٹھتے بیٹھتے لیٹے ہر وقت ذکر"&amp;" الہی کرے اس کا بہت اجر و ثواب ہے ")</f>
        <v>امام نے بیان کیا کہ کسی اولیاء اللہ کی صحبت میں چند گھڑی بیٹھنا کئی سالہ زندگی سے بہتر ہے اللہ تبارک و تعالی کا انسان کو قران پاک میں کئی ناموں سے پکارنا اور قران پاک کو انسانوں کی فلاح کے لیے نازل کرنا اور امام نے بیان کیا کہ اٹھتے بیٹھتے لیٹے ہر وقت ذکر الہی کرے اس کا بہت اجر و ثواب ہے </v>
      </c>
      <c r="X910" s="10">
        <f>IFERROR(__xludf.DUMMYFUNCTION("""COMPUTED_VALUE"""),9.0)</f>
        <v>9</v>
      </c>
      <c r="Y910" s="10">
        <f>IFERROR(__xludf.DUMMYFUNCTION("""COMPUTED_VALUE"""),1.0)</f>
        <v>1</v>
      </c>
      <c r="Z910" s="10">
        <f>IFERROR(__xludf.DUMMYFUNCTION("""COMPUTED_VALUE"""),0.0)</f>
        <v>0</v>
      </c>
      <c r="AA910" s="10">
        <f>IFERROR(__xludf.DUMMYFUNCTION("""COMPUTED_VALUE"""),8.0)</f>
        <v>8</v>
      </c>
      <c r="AB910" s="10">
        <f>IFERROR(__xludf.DUMMYFUNCTION("""COMPUTED_VALUE"""),0.0)</f>
        <v>0</v>
      </c>
      <c r="AC910" s="10">
        <f>IFERROR(__xludf.DUMMYFUNCTION("""COMPUTED_VALUE"""),0.0)</f>
        <v>0</v>
      </c>
      <c r="AD910" s="10">
        <f>IFERROR(__xludf.DUMMYFUNCTION("""COMPUTED_VALUE"""),0.0)</f>
        <v>0</v>
      </c>
      <c r="AE910" s="10">
        <f>IFERROR(__xludf.DUMMYFUNCTION("""COMPUTED_VALUE"""),0.0)</f>
        <v>0</v>
      </c>
      <c r="AF910" s="10">
        <f>IFERROR(__xludf.DUMMYFUNCTION("""COMPUTED_VALUE"""),0.0)</f>
        <v>0</v>
      </c>
      <c r="AG910" s="10">
        <f>IFERROR(__xludf.DUMMYFUNCTION("""COMPUTED_VALUE"""),7.0)</f>
        <v>7</v>
      </c>
      <c r="AH910" s="10">
        <f>IFERROR(__xludf.DUMMYFUNCTION("""COMPUTED_VALUE"""),0.0)</f>
        <v>0</v>
      </c>
      <c r="AI910" s="10">
        <f>IFERROR(__xludf.DUMMYFUNCTION("""COMPUTED_VALUE"""),7.0)</f>
        <v>7</v>
      </c>
      <c r="AJ910" s="11" t="str">
        <f>IFERROR(__xludf.DUMMYFUNCTION("""COMPUTED_VALUE"""),"https://drive.google.com/open?id=1J8Ag8WjhNrExkk329q3bektSNCf-jY1sknl8SaFyiv4")</f>
        <v>https://drive.google.com/open?id=1J8Ag8WjhNrExkk329q3bektSNCf-jY1sknl8SaFyiv4</v>
      </c>
      <c r="AK910" s="12"/>
      <c r="AL910" s="12" t="str">
        <f>IFERROR(__xludf.DUMMYFUNCTION("""COMPUTED_VALUE"""),"Yes")</f>
        <v>Yes</v>
      </c>
      <c r="AM910" s="15">
        <f>IFERROR(__xludf.DUMMYFUNCTION("""COMPUTED_VALUE"""),0.0)</f>
        <v>0</v>
      </c>
      <c r="AN910" s="12" t="str">
        <f>IFERROR(__xludf.DUMMYFUNCTION("""COMPUTED_VALUE"""),"3rd week")</f>
        <v>3rd week</v>
      </c>
      <c r="AO910" s="13">
        <v>3.0</v>
      </c>
      <c r="AX910" s="17"/>
    </row>
    <row r="911">
      <c r="B911" s="9">
        <f>IFERROR(__xludf.DUMMYFUNCTION("""COMPUTED_VALUE"""),46015.564010277776)</f>
        <v>46015.56401</v>
      </c>
      <c r="C911" s="10" t="str">
        <f>IFERROR(__xludf.DUMMYFUNCTION("""COMPUTED_VALUE"""),"Maham ")</f>
        <v>Maham </v>
      </c>
      <c r="D911" s="10" t="str">
        <f>IFERROR(__xludf.DUMMYFUNCTION("""COMPUTED_VALUE"""),"03218118680")</f>
        <v>03218118680</v>
      </c>
      <c r="E911" s="10" t="str">
        <f>IFERROR(__xludf.DUMMYFUNCTION("""COMPUTED_VALUE"""),"Jamia Masjid Darbar Gohar Ali Shah Bakarmandi")</f>
        <v>Jamia Masjid Darbar Gohar Ali Shah Bakarmandi</v>
      </c>
      <c r="F911" s="10" t="str">
        <f>IFERROR(__xludf.DUMMYFUNCTION("""COMPUTED_VALUE"""),"omcbn")</f>
        <v>omcbn</v>
      </c>
      <c r="G911" s="10" t="str">
        <f>IFERROR(__xludf.DUMMYFUNCTION("""COMPUTED_VALUE"""),"Yes")</f>
        <v>Yes</v>
      </c>
      <c r="H911" s="10">
        <f>IFERROR(__xludf.DUMMYFUNCTION("""COMPUTED_VALUE"""),9.0)</f>
        <v>9</v>
      </c>
      <c r="I911" s="10">
        <f>IFERROR(__xludf.DUMMYFUNCTION("""COMPUTED_VALUE"""),1.0)</f>
        <v>1</v>
      </c>
      <c r="J911" s="10">
        <f>IFERROR(__xludf.DUMMYFUNCTION("""COMPUTED_VALUE"""),10.0)</f>
        <v>10</v>
      </c>
      <c r="K911" s="10">
        <f>IFERROR(__xludf.DUMMYFUNCTION("""COMPUTED_VALUE"""),10.0)</f>
        <v>10</v>
      </c>
      <c r="L911" s="10">
        <f>IFERROR(__xludf.DUMMYFUNCTION("""COMPUTED_VALUE"""),0.0)</f>
        <v>0</v>
      </c>
      <c r="M911" s="10">
        <f>IFERROR(__xludf.DUMMYFUNCTION("""COMPUTED_VALUE"""),10.0)</f>
        <v>10</v>
      </c>
      <c r="N911" s="10">
        <f>IFERROR(__xludf.DUMMYFUNCTION("""COMPUTED_VALUE"""),0.0)</f>
        <v>0</v>
      </c>
      <c r="O911" s="10">
        <f>IFERROR(__xludf.DUMMYFUNCTION("""COMPUTED_VALUE"""),5.0)</f>
        <v>5</v>
      </c>
      <c r="P911" s="10">
        <f>IFERROR(__xludf.DUMMYFUNCTION("""COMPUTED_VALUE"""),0.0)</f>
        <v>0</v>
      </c>
      <c r="Q911" s="10" t="str">
        <f>IFERROR(__xludf.DUMMYFUNCTION("""COMPUTED_VALUE"""),"No")</f>
        <v>No</v>
      </c>
      <c r="R911" s="10" t="str">
        <f>IFERROR(__xludf.DUMMYFUNCTION("""COMPUTED_VALUE"""),"No")</f>
        <v>No</v>
      </c>
      <c r="S911" s="10" t="str">
        <f>IFERROR(__xludf.DUMMYFUNCTION("""COMPUTED_VALUE"""),"No")</f>
        <v>No</v>
      </c>
      <c r="T911" s="10">
        <f>IFERROR(__xludf.DUMMYFUNCTION("""COMPUTED_VALUE"""),0.0)</f>
        <v>0</v>
      </c>
      <c r="U911" s="10">
        <f>IFERROR(__xludf.DUMMYFUNCTION("""COMPUTED_VALUE"""),0.0)</f>
        <v>0</v>
      </c>
      <c r="V911" s="10" t="str">
        <f>IFERROR(__xludf.DUMMYFUNCTION("""COMPUTED_VALUE""")," عورتوں کے حقوق")</f>
        <v> عورتوں کے حقوق</v>
      </c>
      <c r="W911" s="10" t="str">
        <f>IFERROR(__xludf.DUMMYFUNCTION("""COMPUTED_VALUE"""),"عورتوں کے حقوق بیان کیے گئے")</f>
        <v>عورتوں کے حقوق بیان کیے گئے</v>
      </c>
      <c r="X911" s="10">
        <f>IFERROR(__xludf.DUMMYFUNCTION("""COMPUTED_VALUE"""),1.0)</f>
        <v>1</v>
      </c>
      <c r="Y911" s="10">
        <f>IFERROR(__xludf.DUMMYFUNCTION("""COMPUTED_VALUE"""),9.0)</f>
        <v>9</v>
      </c>
      <c r="Z911" s="10">
        <f>IFERROR(__xludf.DUMMYFUNCTION("""COMPUTED_VALUE"""),8.0)</f>
        <v>8</v>
      </c>
      <c r="AA911" s="10">
        <f>IFERROR(__xludf.DUMMYFUNCTION("""COMPUTED_VALUE"""),8.0)</f>
        <v>8</v>
      </c>
      <c r="AB911" s="10">
        <f>IFERROR(__xludf.DUMMYFUNCTION("""COMPUTED_VALUE"""),7.0)</f>
        <v>7</v>
      </c>
      <c r="AC911" s="10">
        <f>IFERROR(__xludf.DUMMYFUNCTION("""COMPUTED_VALUE"""),0.0)</f>
        <v>0</v>
      </c>
      <c r="AD911" s="10">
        <f>IFERROR(__xludf.DUMMYFUNCTION("""COMPUTED_VALUE"""),3.0)</f>
        <v>3</v>
      </c>
      <c r="AE911" s="10">
        <f>IFERROR(__xludf.DUMMYFUNCTION("""COMPUTED_VALUE"""),0.0)</f>
        <v>0</v>
      </c>
      <c r="AF911" s="10">
        <f>IFERROR(__xludf.DUMMYFUNCTION("""COMPUTED_VALUE"""),3.0)</f>
        <v>3</v>
      </c>
      <c r="AG911" s="10">
        <f>IFERROR(__xludf.DUMMYFUNCTION("""COMPUTED_VALUE"""),8.0)</f>
        <v>8</v>
      </c>
      <c r="AH911" s="10">
        <f>IFERROR(__xludf.DUMMYFUNCTION("""COMPUTED_VALUE"""),0.0)</f>
        <v>0</v>
      </c>
      <c r="AI911" s="10">
        <f>IFERROR(__xludf.DUMMYFUNCTION("""COMPUTED_VALUE"""),9.0)</f>
        <v>9</v>
      </c>
      <c r="AJ911" s="11" t="str">
        <f>IFERROR(__xludf.DUMMYFUNCTION("""COMPUTED_VALUE"""),"https://drive.google.com/open?id=17354YMNLrHE5UUJAax265tFEFO65BDTt")</f>
        <v>https://drive.google.com/open?id=17354YMNLrHE5UUJAax265tFEFO65BDTt</v>
      </c>
      <c r="AK911" s="12"/>
      <c r="AL911" s="12" t="str">
        <f>IFERROR(__xludf.DUMMYFUNCTION("""COMPUTED_VALUE"""),"Yes")</f>
        <v>Yes</v>
      </c>
      <c r="AM911" s="15">
        <f>IFERROR(__xludf.DUMMYFUNCTION("""COMPUTED_VALUE"""),0.8)</f>
        <v>0.8</v>
      </c>
      <c r="AN911" s="12" t="str">
        <f>IFERROR(__xludf.DUMMYFUNCTION("""COMPUTED_VALUE"""),"1st week")</f>
        <v>1st week</v>
      </c>
      <c r="AO911" s="13">
        <v>1.0</v>
      </c>
      <c r="AX911" s="17"/>
    </row>
    <row r="912">
      <c r="B912" s="9">
        <f>IFERROR(__xludf.DUMMYFUNCTION("""COMPUTED_VALUE"""),46016.08474888889)</f>
        <v>46016.08475</v>
      </c>
      <c r="C912" s="10" t="str">
        <f>IFERROR(__xludf.DUMMYFUNCTION("""COMPUTED_VALUE"""),"Atiqa")</f>
        <v>Atiqa</v>
      </c>
      <c r="D912" s="10" t="str">
        <f>IFERROR(__xludf.DUMMYFUNCTION("""COMPUTED_VALUE"""),"03157519977")</f>
        <v>03157519977</v>
      </c>
      <c r="E912" s="10" t="str">
        <f>IFERROR(__xludf.DUMMYFUNCTION("""COMPUTED_VALUE"""),"Jamia Masjid Syedan #2 Rawalpindi")</f>
        <v>Jamia Masjid Syedan #2 Rawalpindi</v>
      </c>
      <c r="F912" s="10" t="str">
        <f>IFERROR(__xludf.DUMMYFUNCTION("""COMPUTED_VALUE"""),"Egckn")</f>
        <v>Egckn</v>
      </c>
      <c r="G912" s="10" t="str">
        <f>IFERROR(__xludf.DUMMYFUNCTION("""COMPUTED_VALUE"""),"No")</f>
        <v>No</v>
      </c>
      <c r="H912" s="10"/>
      <c r="I912" s="10"/>
      <c r="J912" s="10"/>
      <c r="K912" s="10">
        <f>IFERROR(__xludf.DUMMYFUNCTION("""COMPUTED_VALUE"""),0.0)</f>
        <v>0</v>
      </c>
      <c r="L912" s="10">
        <f>IFERROR(__xludf.DUMMYFUNCTION("""COMPUTED_VALUE"""),0.0)</f>
        <v>0</v>
      </c>
      <c r="M912" s="10">
        <f>IFERROR(__xludf.DUMMYFUNCTION("""COMPUTED_VALUE"""),0.0)</f>
        <v>0</v>
      </c>
      <c r="N912" s="10">
        <f>IFERROR(__xludf.DUMMYFUNCTION("""COMPUTED_VALUE"""),0.0)</f>
        <v>0</v>
      </c>
      <c r="O912" s="10">
        <f>IFERROR(__xludf.DUMMYFUNCTION("""COMPUTED_VALUE"""),0.0)</f>
        <v>0</v>
      </c>
      <c r="P912" s="10">
        <f>IFERROR(__xludf.DUMMYFUNCTION("""COMPUTED_VALUE"""),0.0)</f>
        <v>0</v>
      </c>
      <c r="Q912" s="10" t="str">
        <f>IFERROR(__xludf.DUMMYFUNCTION("""COMPUTED_VALUE"""),"No")</f>
        <v>No</v>
      </c>
      <c r="R912" s="10" t="str">
        <f>IFERROR(__xludf.DUMMYFUNCTION("""COMPUTED_VALUE"""),"No")</f>
        <v>No</v>
      </c>
      <c r="S912" s="10" t="str">
        <f>IFERROR(__xludf.DUMMYFUNCTION("""COMPUTED_VALUE"""),"No")</f>
        <v>No</v>
      </c>
      <c r="T912" s="10">
        <f>IFERROR(__xludf.DUMMYFUNCTION("""COMPUTED_VALUE"""),0.0)</f>
        <v>0</v>
      </c>
      <c r="U912" s="10">
        <f>IFERROR(__xludf.DUMMYFUNCTION("""COMPUTED_VALUE"""),0.0)</f>
        <v>0</v>
      </c>
      <c r="V912" s="10" t="str">
        <f>IFERROR(__xludf.DUMMYFUNCTION("""COMPUTED_VALUE"""),"۱۔ وحی کا مقصد اور اہل لوگوں کا انتخاب ۲۔  خطبہ جمعہ کے اداب ")</f>
        <v>۱۔ وحی کا مقصد اور اہل لوگوں کا انتخاب ۲۔  خطبہ جمعہ کے اداب </v>
      </c>
      <c r="W912" s="10" t="str">
        <f>IFERROR(__xludf.DUMMYFUNCTION("""COMPUTED_VALUE"""),"امام نے بیان کیا کہ اللہ نے لوگوں کی ہدایت کے لیے امام مقرر کیے اور وہ عبادت گزار بندے ہوتے ہیں اور اللہ کا اپنے خاص اور اہل بندوں کو وحی عطا کرنا اور وہ کبھی برائی کی طرف نہیں جاتے اور امام نے بیان کیا کہ خطبہ جمعہ کو نماز جمعہ کا حصہ سمجھا جائے اور اس س"&amp;"ے توجہ اور غور سے سنا جائے  ")</f>
        <v>امام نے بیان کیا کہ اللہ نے لوگوں کی ہدایت کے لیے امام مقرر کیے اور وہ عبادت گزار بندے ہوتے ہیں اور اللہ کا اپنے خاص اور اہل بندوں کو وحی عطا کرنا اور وہ کبھی برائی کی طرف نہیں جاتے اور امام نے بیان کیا کہ خطبہ جمعہ کو نماز جمعہ کا حصہ سمجھا جائے اور اس سے توجہ اور غور سے سنا جائے  </v>
      </c>
      <c r="X912" s="10">
        <f>IFERROR(__xludf.DUMMYFUNCTION("""COMPUTED_VALUE"""),6.0)</f>
        <v>6</v>
      </c>
      <c r="Y912" s="10">
        <f>IFERROR(__xludf.DUMMYFUNCTION("""COMPUTED_VALUE"""),4.0)</f>
        <v>4</v>
      </c>
      <c r="Z912" s="10">
        <f>IFERROR(__xludf.DUMMYFUNCTION("""COMPUTED_VALUE"""),4.0)</f>
        <v>4</v>
      </c>
      <c r="AA912" s="10">
        <f>IFERROR(__xludf.DUMMYFUNCTION("""COMPUTED_VALUE"""),8.0)</f>
        <v>8</v>
      </c>
      <c r="AB912" s="10">
        <f>IFERROR(__xludf.DUMMYFUNCTION("""COMPUTED_VALUE"""),6.0)</f>
        <v>6</v>
      </c>
      <c r="AC912" s="10">
        <f>IFERROR(__xludf.DUMMYFUNCTION("""COMPUTED_VALUE"""),0.0)</f>
        <v>0</v>
      </c>
      <c r="AD912" s="10">
        <f>IFERROR(__xludf.DUMMYFUNCTION("""COMPUTED_VALUE"""),0.0)</f>
        <v>0</v>
      </c>
      <c r="AE912" s="10">
        <f>IFERROR(__xludf.DUMMYFUNCTION("""COMPUTED_VALUE"""),4.0)</f>
        <v>4</v>
      </c>
      <c r="AF912" s="10">
        <f>IFERROR(__xludf.DUMMYFUNCTION("""COMPUTED_VALUE"""),4.0)</f>
        <v>4</v>
      </c>
      <c r="AG912" s="10">
        <f>IFERROR(__xludf.DUMMYFUNCTION("""COMPUTED_VALUE"""),7.0)</f>
        <v>7</v>
      </c>
      <c r="AH912" s="10">
        <f>IFERROR(__xludf.DUMMYFUNCTION("""COMPUTED_VALUE"""),0.0)</f>
        <v>0</v>
      </c>
      <c r="AI912" s="10">
        <f>IFERROR(__xludf.DUMMYFUNCTION("""COMPUTED_VALUE"""),6.0)</f>
        <v>6</v>
      </c>
      <c r="AJ912" s="11" t="str">
        <f>IFERROR(__xludf.DUMMYFUNCTION("""COMPUTED_VALUE"""),"https://drive.google.com/open?id=1CPppvj7WvZmdL0kPMGqNCRVh4geaNMIttNcVm-PfHMc")</f>
        <v>https://drive.google.com/open?id=1CPppvj7WvZmdL0kPMGqNCRVh4geaNMIttNcVm-PfHMc</v>
      </c>
      <c r="AK912" s="12"/>
      <c r="AL912" s="12"/>
      <c r="AM912" s="12"/>
      <c r="AN912" s="12" t="str">
        <f>IFERROR(__xludf.DUMMYFUNCTION("""COMPUTED_VALUE"""),"1st week")</f>
        <v>1st week</v>
      </c>
      <c r="AO912" s="13">
        <v>1.0</v>
      </c>
      <c r="AX912" s="17"/>
    </row>
    <row r="913">
      <c r="B913" s="9">
        <f>IFERROR(__xludf.DUMMYFUNCTION("""COMPUTED_VALUE"""),46016.26141636574)</f>
        <v>46016.26142</v>
      </c>
      <c r="C913" s="10" t="str">
        <f>IFERROR(__xludf.DUMMYFUNCTION("""COMPUTED_VALUE"""),"Maham")</f>
        <v>Maham</v>
      </c>
      <c r="D913" s="10" t="str">
        <f>IFERROR(__xludf.DUMMYFUNCTION("""COMPUTED_VALUE"""),"03218118680")</f>
        <v>03218118680</v>
      </c>
      <c r="E913" s="10" t="str">
        <f>IFERROR(__xludf.DUMMYFUNCTION("""COMPUTED_VALUE"""),"Jamia Masjid Akbari Mohanpura")</f>
        <v>Jamia Masjid Akbari Mohanpura</v>
      </c>
      <c r="F913" s="10" t="str">
        <f>IFERROR(__xludf.DUMMYFUNCTION("""COMPUTED_VALUE"""),"gdglp")</f>
        <v>gdglp</v>
      </c>
      <c r="G913" s="10" t="str">
        <f>IFERROR(__xludf.DUMMYFUNCTION("""COMPUTED_VALUE"""),"Yes")</f>
        <v>Yes</v>
      </c>
      <c r="H913" s="10">
        <f>IFERROR(__xludf.DUMMYFUNCTION("""COMPUTED_VALUE"""),8.0)</f>
        <v>8</v>
      </c>
      <c r="I913" s="10">
        <f>IFERROR(__xludf.DUMMYFUNCTION("""COMPUTED_VALUE"""),2.0)</f>
        <v>2</v>
      </c>
      <c r="J913" s="10">
        <f>IFERROR(__xludf.DUMMYFUNCTION("""COMPUTED_VALUE"""),9.0)</f>
        <v>9</v>
      </c>
      <c r="K913" s="10">
        <f>IFERROR(__xludf.DUMMYFUNCTION("""COMPUTED_VALUE"""),0.0)</f>
        <v>0</v>
      </c>
      <c r="L913" s="10">
        <f>IFERROR(__xludf.DUMMYFUNCTION("""COMPUTED_VALUE"""),10.0)</f>
        <v>10</v>
      </c>
      <c r="M913" s="10">
        <f>IFERROR(__xludf.DUMMYFUNCTION("""COMPUTED_VALUE"""),0.0)</f>
        <v>0</v>
      </c>
      <c r="N913" s="10">
        <f>IFERROR(__xludf.DUMMYFUNCTION("""COMPUTED_VALUE"""),10.0)</f>
        <v>10</v>
      </c>
      <c r="O913" s="10">
        <f>IFERROR(__xludf.DUMMYFUNCTION("""COMPUTED_VALUE"""),0.0)</f>
        <v>0</v>
      </c>
      <c r="P913" s="10">
        <f>IFERROR(__xludf.DUMMYFUNCTION("""COMPUTED_VALUE"""),9.0)</f>
        <v>9</v>
      </c>
      <c r="Q913" s="10" t="str">
        <f>IFERROR(__xludf.DUMMYFUNCTION("""COMPUTED_VALUE"""),"No")</f>
        <v>No</v>
      </c>
      <c r="R913" s="10" t="str">
        <f>IFERROR(__xludf.DUMMYFUNCTION("""COMPUTED_VALUE"""),"No")</f>
        <v>No</v>
      </c>
      <c r="S913" s="10" t="str">
        <f>IFERROR(__xludf.DUMMYFUNCTION("""COMPUTED_VALUE"""),"Yes")</f>
        <v>Yes</v>
      </c>
      <c r="T913" s="10">
        <f>IFERROR(__xludf.DUMMYFUNCTION("""COMPUTED_VALUE"""),0.0)</f>
        <v>0</v>
      </c>
      <c r="U913" s="10">
        <f>IFERROR(__xludf.DUMMYFUNCTION("""COMPUTED_VALUE"""),0.0)</f>
        <v>0</v>
      </c>
      <c r="V913" s="10" t="str">
        <f>IFERROR(__xludf.DUMMYFUNCTION("""COMPUTED_VALUE"""),"ہمسایوں کے حقوق")</f>
        <v>ہمسایوں کے حقوق</v>
      </c>
      <c r="W913" s="10" t="str">
        <f>IFERROR(__xludf.DUMMYFUNCTION("""COMPUTED_VALUE"""),"ہمسایوں کے حقوق ")</f>
        <v>ہمسایوں کے حقوق </v>
      </c>
      <c r="X913" s="10">
        <f>IFERROR(__xludf.DUMMYFUNCTION("""COMPUTED_VALUE"""),3.0)</f>
        <v>3</v>
      </c>
      <c r="Y913" s="10">
        <f>IFERROR(__xludf.DUMMYFUNCTION("""COMPUTED_VALUE"""),8.0)</f>
        <v>8</v>
      </c>
      <c r="Z913" s="10">
        <f>IFERROR(__xludf.DUMMYFUNCTION("""COMPUTED_VALUE"""),8.0)</f>
        <v>8</v>
      </c>
      <c r="AA913" s="10">
        <f>IFERROR(__xludf.DUMMYFUNCTION("""COMPUTED_VALUE"""),8.0)</f>
        <v>8</v>
      </c>
      <c r="AB913" s="10">
        <f>IFERROR(__xludf.DUMMYFUNCTION("""COMPUTED_VALUE"""),7.0)</f>
        <v>7</v>
      </c>
      <c r="AC913" s="10">
        <f>IFERROR(__xludf.DUMMYFUNCTION("""COMPUTED_VALUE"""),0.0)</f>
        <v>0</v>
      </c>
      <c r="AD913" s="10">
        <f>IFERROR(__xludf.DUMMYFUNCTION("""COMPUTED_VALUE"""),2.0)</f>
        <v>2</v>
      </c>
      <c r="AE913" s="10">
        <f>IFERROR(__xludf.DUMMYFUNCTION("""COMPUTED_VALUE"""),1.0)</f>
        <v>1</v>
      </c>
      <c r="AF913" s="10">
        <f>IFERROR(__xludf.DUMMYFUNCTION("""COMPUTED_VALUE"""),4.0)</f>
        <v>4</v>
      </c>
      <c r="AG913" s="10">
        <f>IFERROR(__xludf.DUMMYFUNCTION("""COMPUTED_VALUE"""),8.0)</f>
        <v>8</v>
      </c>
      <c r="AH913" s="10">
        <f>IFERROR(__xludf.DUMMYFUNCTION("""COMPUTED_VALUE"""),0.0)</f>
        <v>0</v>
      </c>
      <c r="AI913" s="10">
        <f>IFERROR(__xludf.DUMMYFUNCTION("""COMPUTED_VALUE"""),9.0)</f>
        <v>9</v>
      </c>
      <c r="AJ913" s="11" t="str">
        <f>IFERROR(__xludf.DUMMYFUNCTION("""COMPUTED_VALUE"""),"https://drive.google.com/open?id=13IDwH1jk2BVX6yLeDhwKSyEqOzElkRkJ")</f>
        <v>https://drive.google.com/open?id=13IDwH1jk2BVX6yLeDhwKSyEqOzElkRkJ</v>
      </c>
      <c r="AK913" s="12"/>
      <c r="AL913" s="12" t="str">
        <f>IFERROR(__xludf.DUMMYFUNCTION("""COMPUTED_VALUE"""),"Yes")</f>
        <v>Yes</v>
      </c>
      <c r="AM913" s="15">
        <f>IFERROR(__xludf.DUMMYFUNCTION("""COMPUTED_VALUE"""),0.9)</f>
        <v>0.9</v>
      </c>
      <c r="AN913" s="12" t="str">
        <f>IFERROR(__xludf.DUMMYFUNCTION("""COMPUTED_VALUE"""),"1st week")</f>
        <v>1st week</v>
      </c>
      <c r="AO913" s="13">
        <v>1.0</v>
      </c>
      <c r="AX913" s="17"/>
    </row>
    <row r="914">
      <c r="B914" s="9">
        <f>IFERROR(__xludf.DUMMYFUNCTION("""COMPUTED_VALUE"""),46016.28829603009)</f>
        <v>46016.2883</v>
      </c>
      <c r="C914" s="10" t="str">
        <f>IFERROR(__xludf.DUMMYFUNCTION("""COMPUTED_VALUE"""),"Maham")</f>
        <v>Maham</v>
      </c>
      <c r="D914" s="10" t="str">
        <f>IFERROR(__xludf.DUMMYFUNCTION("""COMPUTED_VALUE"""),"03218118680")</f>
        <v>03218118680</v>
      </c>
      <c r="E914" s="10" t="str">
        <f>IFERROR(__xludf.DUMMYFUNCTION("""COMPUTED_VALUE"""),"Jamia Masjid Gul Saraaj Rawalpindi")</f>
        <v>Jamia Masjid Gul Saraaj Rawalpindi</v>
      </c>
      <c r="F914" s="10" t="str">
        <f>IFERROR(__xludf.DUMMYFUNCTION("""COMPUTED_VALUE"""),"czbuv")</f>
        <v>czbuv</v>
      </c>
      <c r="G914" s="10" t="str">
        <f>IFERROR(__xludf.DUMMYFUNCTION("""COMPUTED_VALUE"""),"Yes")</f>
        <v>Yes</v>
      </c>
      <c r="H914" s="10">
        <f>IFERROR(__xludf.DUMMYFUNCTION("""COMPUTED_VALUE"""),7.0)</f>
        <v>7</v>
      </c>
      <c r="I914" s="10">
        <f>IFERROR(__xludf.DUMMYFUNCTION("""COMPUTED_VALUE"""),3.0)</f>
        <v>3</v>
      </c>
      <c r="J914" s="10">
        <f>IFERROR(__xludf.DUMMYFUNCTION("""COMPUTED_VALUE"""),10.0)</f>
        <v>10</v>
      </c>
      <c r="K914" s="10">
        <f>IFERROR(__xludf.DUMMYFUNCTION("""COMPUTED_VALUE"""),9.0)</f>
        <v>9</v>
      </c>
      <c r="L914" s="10">
        <f>IFERROR(__xludf.DUMMYFUNCTION("""COMPUTED_VALUE"""),0.0)</f>
        <v>0</v>
      </c>
      <c r="M914" s="10">
        <f>IFERROR(__xludf.DUMMYFUNCTION("""COMPUTED_VALUE"""),9.0)</f>
        <v>9</v>
      </c>
      <c r="N914" s="10">
        <f>IFERROR(__xludf.DUMMYFUNCTION("""COMPUTED_VALUE"""),0.0)</f>
        <v>0</v>
      </c>
      <c r="O914" s="10">
        <f>IFERROR(__xludf.DUMMYFUNCTION("""COMPUTED_VALUE"""),7.0)</f>
        <v>7</v>
      </c>
      <c r="P914" s="10">
        <f>IFERROR(__xludf.DUMMYFUNCTION("""COMPUTED_VALUE"""),0.0)</f>
        <v>0</v>
      </c>
      <c r="Q914" s="10" t="str">
        <f>IFERROR(__xludf.DUMMYFUNCTION("""COMPUTED_VALUE"""),"No")</f>
        <v>No</v>
      </c>
      <c r="R914" s="10" t="str">
        <f>IFERROR(__xludf.DUMMYFUNCTION("""COMPUTED_VALUE"""),"No")</f>
        <v>No</v>
      </c>
      <c r="S914" s="10" t="str">
        <f>IFERROR(__xludf.DUMMYFUNCTION("""COMPUTED_VALUE"""),"No")</f>
        <v>No</v>
      </c>
      <c r="T914" s="10">
        <f>IFERROR(__xludf.DUMMYFUNCTION("""COMPUTED_VALUE"""),0.0)</f>
        <v>0</v>
      </c>
      <c r="U914" s="10">
        <f>IFERROR(__xludf.DUMMYFUNCTION("""COMPUTED_VALUE"""),0.0)</f>
        <v>0</v>
      </c>
      <c r="V914" s="10" t="str">
        <f>IFERROR(__xludf.DUMMYFUNCTION("""COMPUTED_VALUE""")," عورتوں کے حقوق")</f>
        <v> عورتوں کے حقوق</v>
      </c>
      <c r="W914" s="10" t="str">
        <f>IFERROR(__xludf.DUMMYFUNCTION("""COMPUTED_VALUE"""),"عورتوں کے حقوق بیان کیے گئے")</f>
        <v>عورتوں کے حقوق بیان کیے گئے</v>
      </c>
      <c r="X914" s="10">
        <f>IFERROR(__xludf.DUMMYFUNCTION("""COMPUTED_VALUE"""),1.0)</f>
        <v>1</v>
      </c>
      <c r="Y914" s="10">
        <f>IFERROR(__xludf.DUMMYFUNCTION("""COMPUTED_VALUE"""),9.0)</f>
        <v>9</v>
      </c>
      <c r="Z914" s="10">
        <f>IFERROR(__xludf.DUMMYFUNCTION("""COMPUTED_VALUE"""),8.0)</f>
        <v>8</v>
      </c>
      <c r="AA914" s="10">
        <f>IFERROR(__xludf.DUMMYFUNCTION("""COMPUTED_VALUE"""),8.0)</f>
        <v>8</v>
      </c>
      <c r="AB914" s="10">
        <f>IFERROR(__xludf.DUMMYFUNCTION("""COMPUTED_VALUE"""),6.0)</f>
        <v>6</v>
      </c>
      <c r="AC914" s="10">
        <f>IFERROR(__xludf.DUMMYFUNCTION("""COMPUTED_VALUE"""),1.0)</f>
        <v>1</v>
      </c>
      <c r="AD914" s="10">
        <f>IFERROR(__xludf.DUMMYFUNCTION("""COMPUTED_VALUE"""),3.0)</f>
        <v>3</v>
      </c>
      <c r="AE914" s="10">
        <f>IFERROR(__xludf.DUMMYFUNCTION("""COMPUTED_VALUE"""),1.0)</f>
        <v>1</v>
      </c>
      <c r="AF914" s="10">
        <f>IFERROR(__xludf.DUMMYFUNCTION("""COMPUTED_VALUE"""),4.0)</f>
        <v>4</v>
      </c>
      <c r="AG914" s="10">
        <f>IFERROR(__xludf.DUMMYFUNCTION("""COMPUTED_VALUE"""),8.0)</f>
        <v>8</v>
      </c>
      <c r="AH914" s="10">
        <f>IFERROR(__xludf.DUMMYFUNCTION("""COMPUTED_VALUE"""),0.0)</f>
        <v>0</v>
      </c>
      <c r="AI914" s="10">
        <f>IFERROR(__xludf.DUMMYFUNCTION("""COMPUTED_VALUE"""),8.0)</f>
        <v>8</v>
      </c>
      <c r="AJ914" s="11" t="str">
        <f>IFERROR(__xludf.DUMMYFUNCTION("""COMPUTED_VALUE"""),"https://drive.google.com/open?id=1L5vcrtsQIMAkHr9Qv-OKVCkMAMbSTa9h")</f>
        <v>https://drive.google.com/open?id=1L5vcrtsQIMAkHr9Qv-OKVCkMAMbSTa9h</v>
      </c>
      <c r="AK914" s="12" t="str">
        <f>IFERROR(__xludf.DUMMYFUNCTION("""COMPUTED_VALUE"""),"لاسٹ پہ۔۔اس طرح کا نشان اس لیے ہے کہ خطبہ وہیں تک تھا اس کی اتنی ہی ریکارڈنگ موجود تھی")</f>
        <v>لاسٹ پہ۔۔اس طرح کا نشان اس لیے ہے کہ خطبہ وہیں تک تھا اس کی اتنی ہی ریکارڈنگ موجود تھی</v>
      </c>
      <c r="AL914" s="12" t="str">
        <f>IFERROR(__xludf.DUMMYFUNCTION("""COMPUTED_VALUE"""),"Yes")</f>
        <v>Yes</v>
      </c>
      <c r="AM914" s="15">
        <f>IFERROR(__xludf.DUMMYFUNCTION("""COMPUTED_VALUE"""),0.8)</f>
        <v>0.8</v>
      </c>
      <c r="AN914" s="12" t="str">
        <f>IFERROR(__xludf.DUMMYFUNCTION("""COMPUTED_VALUE"""),"1st week")</f>
        <v>1st week</v>
      </c>
      <c r="AO914" s="13">
        <v>1.0</v>
      </c>
      <c r="AX914" s="17"/>
    </row>
    <row r="915">
      <c r="B915" s="9">
        <f>IFERROR(__xludf.DUMMYFUNCTION("""COMPUTED_VALUE"""),46016.352631030095)</f>
        <v>46016.35263</v>
      </c>
      <c r="C915" s="10" t="str">
        <f>IFERROR(__xludf.DUMMYFUNCTION("""COMPUTED_VALUE"""),"Maham")</f>
        <v>Maham</v>
      </c>
      <c r="D915" s="10" t="str">
        <f>IFERROR(__xludf.DUMMYFUNCTION("""COMPUTED_VALUE"""),"03218118680")</f>
        <v>03218118680</v>
      </c>
      <c r="E915" s="10" t="str">
        <f>IFERROR(__xludf.DUMMYFUNCTION("""COMPUTED_VALUE"""),"Jamia Masjid Gunj Mandi Rawalpindi")</f>
        <v>Jamia Masjid Gunj Mandi Rawalpindi</v>
      </c>
      <c r="F915" s="10" t="str">
        <f>IFERROR(__xludf.DUMMYFUNCTION("""COMPUTED_VALUE"""),"silss")</f>
        <v>silss</v>
      </c>
      <c r="G915" s="10" t="str">
        <f>IFERROR(__xludf.DUMMYFUNCTION("""COMPUTED_VALUE"""),"Yes")</f>
        <v>Yes</v>
      </c>
      <c r="H915" s="10">
        <f>IFERROR(__xludf.DUMMYFUNCTION("""COMPUTED_VALUE"""),9.0)</f>
        <v>9</v>
      </c>
      <c r="I915" s="10">
        <f>IFERROR(__xludf.DUMMYFUNCTION("""COMPUTED_VALUE"""),1.0)</f>
        <v>1</v>
      </c>
      <c r="J915" s="10">
        <f>IFERROR(__xludf.DUMMYFUNCTION("""COMPUTED_VALUE"""),10.0)</f>
        <v>10</v>
      </c>
      <c r="K915" s="10">
        <f>IFERROR(__xludf.DUMMYFUNCTION("""COMPUTED_VALUE"""),0.0)</f>
        <v>0</v>
      </c>
      <c r="L915" s="10">
        <f>IFERROR(__xludf.DUMMYFUNCTION("""COMPUTED_VALUE"""),10.0)</f>
        <v>10</v>
      </c>
      <c r="M915" s="10">
        <f>IFERROR(__xludf.DUMMYFUNCTION("""COMPUTED_VALUE"""),0.0)</f>
        <v>0</v>
      </c>
      <c r="N915" s="10">
        <f>IFERROR(__xludf.DUMMYFUNCTION("""COMPUTED_VALUE"""),10.0)</f>
        <v>10</v>
      </c>
      <c r="O915" s="10">
        <f>IFERROR(__xludf.DUMMYFUNCTION("""COMPUTED_VALUE"""),0.0)</f>
        <v>0</v>
      </c>
      <c r="P915" s="10">
        <f>IFERROR(__xludf.DUMMYFUNCTION("""COMPUTED_VALUE"""),10.0)</f>
        <v>10</v>
      </c>
      <c r="Q915" s="10" t="str">
        <f>IFERROR(__xludf.DUMMYFUNCTION("""COMPUTED_VALUE"""),"No")</f>
        <v>No</v>
      </c>
      <c r="R915" s="10" t="str">
        <f>IFERROR(__xludf.DUMMYFUNCTION("""COMPUTED_VALUE"""),"Yes")</f>
        <v>Yes</v>
      </c>
      <c r="S915" s="10" t="str">
        <f>IFERROR(__xludf.DUMMYFUNCTION("""COMPUTED_VALUE"""),"Yes")</f>
        <v>Yes</v>
      </c>
      <c r="T915" s="10">
        <f>IFERROR(__xludf.DUMMYFUNCTION("""COMPUTED_VALUE"""),0.0)</f>
        <v>0</v>
      </c>
      <c r="U915" s="10">
        <f>IFERROR(__xludf.DUMMYFUNCTION("""COMPUTED_VALUE"""),0.0)</f>
        <v>0</v>
      </c>
      <c r="V915" s="10" t="str">
        <f>IFERROR(__xludf.DUMMYFUNCTION("""COMPUTED_VALUE"""),"پڑوسیوں کے حقوق")</f>
        <v>پڑوسیوں کے حقوق</v>
      </c>
      <c r="W915" s="10" t="str">
        <f>IFERROR(__xludf.DUMMYFUNCTION("""COMPUTED_VALUE"""),"پڑوسیوں کے حقوق بیان کیے گئے")</f>
        <v>پڑوسیوں کے حقوق بیان کیے گئے</v>
      </c>
      <c r="X915" s="10">
        <f>IFERROR(__xludf.DUMMYFUNCTION("""COMPUTED_VALUE"""),1.0)</f>
        <v>1</v>
      </c>
      <c r="Y915" s="10">
        <f>IFERROR(__xludf.DUMMYFUNCTION("""COMPUTED_VALUE"""),9.0)</f>
        <v>9</v>
      </c>
      <c r="Z915" s="10">
        <f>IFERROR(__xludf.DUMMYFUNCTION("""COMPUTED_VALUE"""),7.0)</f>
        <v>7</v>
      </c>
      <c r="AA915" s="10">
        <f>IFERROR(__xludf.DUMMYFUNCTION("""COMPUTED_VALUE"""),8.0)</f>
        <v>8</v>
      </c>
      <c r="AB915" s="10">
        <f>IFERROR(__xludf.DUMMYFUNCTION("""COMPUTED_VALUE"""),5.0)</f>
        <v>5</v>
      </c>
      <c r="AC915" s="10">
        <f>IFERROR(__xludf.DUMMYFUNCTION("""COMPUTED_VALUE"""),0.0)</f>
        <v>0</v>
      </c>
      <c r="AD915" s="10">
        <f>IFERROR(__xludf.DUMMYFUNCTION("""COMPUTED_VALUE"""),3.0)</f>
        <v>3</v>
      </c>
      <c r="AE915" s="10">
        <f>IFERROR(__xludf.DUMMYFUNCTION("""COMPUTED_VALUE"""),1.0)</f>
        <v>1</v>
      </c>
      <c r="AF915" s="10">
        <f>IFERROR(__xludf.DUMMYFUNCTION("""COMPUTED_VALUE"""),3.0)</f>
        <v>3</v>
      </c>
      <c r="AG915" s="10">
        <f>IFERROR(__xludf.DUMMYFUNCTION("""COMPUTED_VALUE"""),9.0)</f>
        <v>9</v>
      </c>
      <c r="AH915" s="10">
        <f>IFERROR(__xludf.DUMMYFUNCTION("""COMPUTED_VALUE"""),0.0)</f>
        <v>0</v>
      </c>
      <c r="AI915" s="10">
        <f>IFERROR(__xludf.DUMMYFUNCTION("""COMPUTED_VALUE"""),10.0)</f>
        <v>10</v>
      </c>
      <c r="AJ915" s="11" t="str">
        <f>IFERROR(__xludf.DUMMYFUNCTION("""COMPUTED_VALUE"""),"https://drive.google.com/open?id=1Muy4CFToOt6fp0PtMoekHGMB9SIYF0Jh")</f>
        <v>https://drive.google.com/open?id=1Muy4CFToOt6fp0PtMoekHGMB9SIYF0Jh</v>
      </c>
      <c r="AK915" s="12"/>
      <c r="AL915" s="12" t="str">
        <f>IFERROR(__xludf.DUMMYFUNCTION("""COMPUTED_VALUE"""),"Yes")</f>
        <v>Yes</v>
      </c>
      <c r="AM915" s="15">
        <f>IFERROR(__xludf.DUMMYFUNCTION("""COMPUTED_VALUE"""),1.0)</f>
        <v>1</v>
      </c>
      <c r="AN915" s="12" t="str">
        <f>IFERROR(__xludf.DUMMYFUNCTION("""COMPUTED_VALUE"""),"1st week")</f>
        <v>1st week</v>
      </c>
      <c r="AO915" s="13">
        <v>1.0</v>
      </c>
      <c r="AX915" s="17"/>
    </row>
    <row r="916">
      <c r="B916" s="9">
        <f>IFERROR(__xludf.DUMMYFUNCTION("""COMPUTED_VALUE"""),46016.37667488426)</f>
        <v>46016.37667</v>
      </c>
      <c r="C916" s="10" t="str">
        <f>IFERROR(__xludf.DUMMYFUNCTION("""COMPUTED_VALUE"""),"Atiqa")</f>
        <v>Atiqa</v>
      </c>
      <c r="D916" s="10" t="str">
        <f>IFERROR(__xludf.DUMMYFUNCTION("""COMPUTED_VALUE"""),"0315751997")</f>
        <v>0315751997</v>
      </c>
      <c r="E916" s="10" t="str">
        <f>IFERROR(__xludf.DUMMYFUNCTION("""COMPUTED_VALUE"""),"Jamia Masjid King Mandi Rawalpindi")</f>
        <v>Jamia Masjid King Mandi Rawalpindi</v>
      </c>
      <c r="F916" s="10" t="str">
        <f>IFERROR(__xludf.DUMMYFUNCTION("""COMPUTED_VALUE"""),"thjdr")</f>
        <v>thjdr</v>
      </c>
      <c r="G916" s="10" t="str">
        <f>IFERROR(__xludf.DUMMYFUNCTION("""COMPUTED_VALUE"""),"Yes")</f>
        <v>Yes</v>
      </c>
      <c r="H916" s="10">
        <f>IFERROR(__xludf.DUMMYFUNCTION("""COMPUTED_VALUE"""),0.0)</f>
        <v>0</v>
      </c>
      <c r="I916" s="10">
        <f>IFERROR(__xludf.DUMMYFUNCTION("""COMPUTED_VALUE"""),10.0)</f>
        <v>10</v>
      </c>
      <c r="J916" s="10">
        <f>IFERROR(__xludf.DUMMYFUNCTION("""COMPUTED_VALUE"""),0.0)</f>
        <v>0</v>
      </c>
      <c r="K916" s="10">
        <f>IFERROR(__xludf.DUMMYFUNCTION("""COMPUTED_VALUE"""),0.0)</f>
        <v>0</v>
      </c>
      <c r="L916" s="10">
        <f>IFERROR(__xludf.DUMMYFUNCTION("""COMPUTED_VALUE"""),0.0)</f>
        <v>0</v>
      </c>
      <c r="M916" s="10">
        <f>IFERROR(__xludf.DUMMYFUNCTION("""COMPUTED_VALUE"""),0.0)</f>
        <v>0</v>
      </c>
      <c r="N916" s="10">
        <f>IFERROR(__xludf.DUMMYFUNCTION("""COMPUTED_VALUE"""),0.0)</f>
        <v>0</v>
      </c>
      <c r="O916" s="10">
        <f>IFERROR(__xludf.DUMMYFUNCTION("""COMPUTED_VALUE"""),0.0)</f>
        <v>0</v>
      </c>
      <c r="P916" s="10">
        <f>IFERROR(__xludf.DUMMYFUNCTION("""COMPUTED_VALUE"""),0.0)</f>
        <v>0</v>
      </c>
      <c r="Q916" s="10" t="str">
        <f>IFERROR(__xludf.DUMMYFUNCTION("""COMPUTED_VALUE"""),"No")</f>
        <v>No</v>
      </c>
      <c r="R916" s="10" t="str">
        <f>IFERROR(__xludf.DUMMYFUNCTION("""COMPUTED_VALUE"""),"No")</f>
        <v>No</v>
      </c>
      <c r="S916" s="10" t="str">
        <f>IFERROR(__xludf.DUMMYFUNCTION("""COMPUTED_VALUE"""),"No")</f>
        <v>No</v>
      </c>
      <c r="T916" s="10">
        <f>IFERROR(__xludf.DUMMYFUNCTION("""COMPUTED_VALUE"""),0.0)</f>
        <v>0</v>
      </c>
      <c r="U916" s="10">
        <f>IFERROR(__xludf.DUMMYFUNCTION("""COMPUTED_VALUE"""),0.0)</f>
        <v>0</v>
      </c>
      <c r="V916" s="10" t="str">
        <f>IFERROR(__xludf.DUMMYFUNCTION("""COMPUTED_VALUE"""),"اللہ کے احکامات پر چلنا اور اس کا فضل ")</f>
        <v>اللہ کے احکامات پر چلنا اور اس کا فضل </v>
      </c>
      <c r="W916" s="10" t="str">
        <f>IFERROR(__xludf.DUMMYFUNCTION("""COMPUTED_VALUE"""),"امام نے سورۃ الاعمران کی ایات بیان کی کہ اللہ نے انسان پر قران پاک کتاب نازل فرمائی جس میں اس سے ہدایت کا راستہ بتایا گیا یہ وہ کتاب جس کو پہاڑ نے بھی لینے سے انکار کر دیا کہ ہم ریزہ ریزہ ہو جائیں گے امام نے بیان کیا کہ اگر اللہ کے بتائے احکامات پر چلیں گ"&amp;"ے تو کامیاب ہو جائیں گے مختلف واقعات بیان کیے کہ کس طرح قران پر عمل کرنے والوں پر اللہ نے اپنا فضل کیا امام نے بیان کیا کہ نماز کے وقت اپنی دکان کاروبار بند کر کے نماز کی طرف ا جائے تو اللہ رزق میں برکت عطا کرے گا ")</f>
        <v>امام نے سورۃ الاعمران کی ایات بیان کی کہ اللہ نے انسان پر قران پاک کتاب نازل فرمائی جس میں اس سے ہدایت کا راستہ بتایا گیا یہ وہ کتاب جس کو پہاڑ نے بھی لینے سے انکار کر دیا کہ ہم ریزہ ریزہ ہو جائیں گے امام نے بیان کیا کہ اگر اللہ کے بتائے احکامات پر چلیں گے تو کامیاب ہو جائیں گے مختلف واقعات بیان کیے کہ کس طرح قران پر عمل کرنے والوں پر اللہ نے اپنا فضل کیا امام نے بیان کیا کہ نماز کے وقت اپنی دکان کاروبار بند کر کے نماز کی طرف ا جائے تو اللہ رزق میں برکت عطا کرے گا </v>
      </c>
      <c r="X916" s="10">
        <f>IFERROR(__xludf.DUMMYFUNCTION("""COMPUTED_VALUE"""),8.0)</f>
        <v>8</v>
      </c>
      <c r="Y916" s="10">
        <f>IFERROR(__xludf.DUMMYFUNCTION("""COMPUTED_VALUE"""),2.0)</f>
        <v>2</v>
      </c>
      <c r="Z916" s="10">
        <f>IFERROR(__xludf.DUMMYFUNCTION("""COMPUTED_VALUE"""),3.0)</f>
        <v>3</v>
      </c>
      <c r="AA916" s="10">
        <f>IFERROR(__xludf.DUMMYFUNCTION("""COMPUTED_VALUE"""),8.0)</f>
        <v>8</v>
      </c>
      <c r="AB916" s="10">
        <f>IFERROR(__xludf.DUMMYFUNCTION("""COMPUTED_VALUE"""),6.0)</f>
        <v>6</v>
      </c>
      <c r="AC916" s="10">
        <f>IFERROR(__xludf.DUMMYFUNCTION("""COMPUTED_VALUE"""),0.0)</f>
        <v>0</v>
      </c>
      <c r="AD916" s="10">
        <f>IFERROR(__xludf.DUMMYFUNCTION("""COMPUTED_VALUE"""),0.0)</f>
        <v>0</v>
      </c>
      <c r="AE916" s="10">
        <f>IFERROR(__xludf.DUMMYFUNCTION("""COMPUTED_VALUE"""),0.0)</f>
        <v>0</v>
      </c>
      <c r="AF916" s="10">
        <f>IFERROR(__xludf.DUMMYFUNCTION("""COMPUTED_VALUE"""),0.0)</f>
        <v>0</v>
      </c>
      <c r="AG916" s="10">
        <f>IFERROR(__xludf.DUMMYFUNCTION("""COMPUTED_VALUE"""),7.0)</f>
        <v>7</v>
      </c>
      <c r="AH916" s="10">
        <f>IFERROR(__xludf.DUMMYFUNCTION("""COMPUTED_VALUE"""),0.0)</f>
        <v>0</v>
      </c>
      <c r="AI916" s="10">
        <f>IFERROR(__xludf.DUMMYFUNCTION("""COMPUTED_VALUE"""),8.0)</f>
        <v>8</v>
      </c>
      <c r="AJ916" s="11" t="str">
        <f>IFERROR(__xludf.DUMMYFUNCTION("""COMPUTED_VALUE"""),"https://drive.google.com/open?id=143MPdKOeldMM6iZjpzX9GPKoXinf6k9AHrk2MG7ggAE")</f>
        <v>https://drive.google.com/open?id=143MPdKOeldMM6iZjpzX9GPKoXinf6k9AHrk2MG7ggAE</v>
      </c>
      <c r="AK916" s="12"/>
      <c r="AL916" s="12" t="str">
        <f>IFERROR(__xludf.DUMMYFUNCTION("""COMPUTED_VALUE"""),"Yes")</f>
        <v>Yes</v>
      </c>
      <c r="AM916" s="15">
        <f>IFERROR(__xludf.DUMMYFUNCTION("""COMPUTED_VALUE"""),0.0)</f>
        <v>0</v>
      </c>
      <c r="AN916" s="12" t="str">
        <f>IFERROR(__xludf.DUMMYFUNCTION("""COMPUTED_VALUE"""),"1st week")</f>
        <v>1st week</v>
      </c>
      <c r="AO916" s="13">
        <v>1.0</v>
      </c>
      <c r="AX916" s="17"/>
    </row>
    <row r="917">
      <c r="B917" s="9">
        <f>IFERROR(__xludf.DUMMYFUNCTION("""COMPUTED_VALUE"""),46016.38108972222)</f>
        <v>46016.38109</v>
      </c>
      <c r="C917" s="10" t="str">
        <f>IFERROR(__xludf.DUMMYFUNCTION("""COMPUTED_VALUE"""),"Maham")</f>
        <v>Maham</v>
      </c>
      <c r="D917" s="10" t="str">
        <f>IFERROR(__xludf.DUMMYFUNCTION("""COMPUTED_VALUE"""),"03218118680")</f>
        <v>03218118680</v>
      </c>
      <c r="E917" s="10" t="str">
        <f>IFERROR(__xludf.DUMMYFUNCTION("""COMPUTED_VALUE"""),"Jamia Masjid Darbar Shah Di Nahlian")</f>
        <v>Jamia Masjid Darbar Shah Di Nahlian</v>
      </c>
      <c r="F917" s="10" t="str">
        <f>IFERROR(__xludf.DUMMYFUNCTION("""COMPUTED_VALUE"""),"wohmy")</f>
        <v>wohmy</v>
      </c>
      <c r="G917" s="10" t="str">
        <f>IFERROR(__xludf.DUMMYFUNCTION("""COMPUTED_VALUE"""),"No")</f>
        <v>No</v>
      </c>
      <c r="H917" s="10"/>
      <c r="I917" s="10"/>
      <c r="J917" s="10"/>
      <c r="K917" s="10">
        <f>IFERROR(__xludf.DUMMYFUNCTION("""COMPUTED_VALUE"""),0.0)</f>
        <v>0</v>
      </c>
      <c r="L917" s="10">
        <f>IFERROR(__xludf.DUMMYFUNCTION("""COMPUTED_VALUE"""),0.0)</f>
        <v>0</v>
      </c>
      <c r="M917" s="10">
        <f>IFERROR(__xludf.DUMMYFUNCTION("""COMPUTED_VALUE"""),0.0)</f>
        <v>0</v>
      </c>
      <c r="N917" s="10">
        <f>IFERROR(__xludf.DUMMYFUNCTION("""COMPUTED_VALUE"""),0.0)</f>
        <v>0</v>
      </c>
      <c r="O917" s="10">
        <f>IFERROR(__xludf.DUMMYFUNCTION("""COMPUTED_VALUE"""),0.0)</f>
        <v>0</v>
      </c>
      <c r="P917" s="10">
        <f>IFERROR(__xludf.DUMMYFUNCTION("""COMPUTED_VALUE"""),0.0)</f>
        <v>0</v>
      </c>
      <c r="Q917" s="10" t="str">
        <f>IFERROR(__xludf.DUMMYFUNCTION("""COMPUTED_VALUE"""),"No")</f>
        <v>No</v>
      </c>
      <c r="R917" s="10" t="str">
        <f>IFERROR(__xludf.DUMMYFUNCTION("""COMPUTED_VALUE"""),"No")</f>
        <v>No</v>
      </c>
      <c r="S917" s="10" t="str">
        <f>IFERROR(__xludf.DUMMYFUNCTION("""COMPUTED_VALUE"""),"No")</f>
        <v>No</v>
      </c>
      <c r="T917" s="10">
        <f>IFERROR(__xludf.DUMMYFUNCTION("""COMPUTED_VALUE"""),0.0)</f>
        <v>0</v>
      </c>
      <c r="U917" s="10">
        <f>IFERROR(__xludf.DUMMYFUNCTION("""COMPUTED_VALUE"""),0.0)</f>
        <v>0</v>
      </c>
      <c r="V917" s="10" t="str">
        <f>IFERROR(__xludf.DUMMYFUNCTION("""COMPUTED_VALUE"""),"قران پاک کی سورتوں کا ذکر")</f>
        <v>قران پاک کی سورتوں کا ذکر</v>
      </c>
      <c r="W917" s="10" t="str">
        <f>IFERROR(__xludf.DUMMYFUNCTION("""COMPUTED_VALUE"""),"سورہ فلق سورہ ناس سورہ فاتحہ کا ذکر کیا ہے")</f>
        <v>سورہ فلق سورہ ناس سورہ فاتحہ کا ذکر کیا ہے</v>
      </c>
      <c r="X917" s="10">
        <f>IFERROR(__xludf.DUMMYFUNCTION("""COMPUTED_VALUE"""),10.0)</f>
        <v>10</v>
      </c>
      <c r="Y917" s="10">
        <f>IFERROR(__xludf.DUMMYFUNCTION("""COMPUTED_VALUE"""),5.0)</f>
        <v>5</v>
      </c>
      <c r="Z917" s="10">
        <f>IFERROR(__xludf.DUMMYFUNCTION("""COMPUTED_VALUE"""),2.0)</f>
        <v>2</v>
      </c>
      <c r="AA917" s="10">
        <f>IFERROR(__xludf.DUMMYFUNCTION("""COMPUTED_VALUE"""),10.0)</f>
        <v>10</v>
      </c>
      <c r="AB917" s="10">
        <f>IFERROR(__xludf.DUMMYFUNCTION("""COMPUTED_VALUE"""),2.0)</f>
        <v>2</v>
      </c>
      <c r="AC917" s="10">
        <f>IFERROR(__xludf.DUMMYFUNCTION("""COMPUTED_VALUE"""),0.0)</f>
        <v>0</v>
      </c>
      <c r="AD917" s="10">
        <f>IFERROR(__xludf.DUMMYFUNCTION("""COMPUTED_VALUE"""),2.0)</f>
        <v>2</v>
      </c>
      <c r="AE917" s="10">
        <f>IFERROR(__xludf.DUMMYFUNCTION("""COMPUTED_VALUE"""),0.0)</f>
        <v>0</v>
      </c>
      <c r="AF917" s="10">
        <f>IFERROR(__xludf.DUMMYFUNCTION("""COMPUTED_VALUE"""),9.0)</f>
        <v>9</v>
      </c>
      <c r="AG917" s="10">
        <f>IFERROR(__xludf.DUMMYFUNCTION("""COMPUTED_VALUE"""),9.0)</f>
        <v>9</v>
      </c>
      <c r="AH917" s="10">
        <f>IFERROR(__xludf.DUMMYFUNCTION("""COMPUTED_VALUE"""),0.0)</f>
        <v>0</v>
      </c>
      <c r="AI917" s="10">
        <f>IFERROR(__xludf.DUMMYFUNCTION("""COMPUTED_VALUE"""),9.0)</f>
        <v>9</v>
      </c>
      <c r="AJ917" s="11" t="str">
        <f>IFERROR(__xludf.DUMMYFUNCTION("""COMPUTED_VALUE"""),"https://drive.google.com/open?id=1ldXuf6T3YaFFePiWtqIy6_arNBWlsQhz")</f>
        <v>https://drive.google.com/open?id=1ldXuf6T3YaFFePiWtqIy6_arNBWlsQhz</v>
      </c>
      <c r="AK917" s="12"/>
      <c r="AL917" s="12"/>
      <c r="AM917" s="12"/>
      <c r="AN917" s="12" t="str">
        <f>IFERROR(__xludf.DUMMYFUNCTION("""COMPUTED_VALUE"""),"1st week")</f>
        <v>1st week</v>
      </c>
      <c r="AO917" s="13">
        <v>1.0</v>
      </c>
      <c r="AX917" s="17"/>
    </row>
    <row r="918">
      <c r="B918" s="9">
        <f>IFERROR(__xludf.DUMMYFUNCTION("""COMPUTED_VALUE"""),46016.41063268518)</f>
        <v>46016.41063</v>
      </c>
      <c r="C918" s="10" t="str">
        <f>IFERROR(__xludf.DUMMYFUNCTION("""COMPUTED_VALUE"""),"Maham")</f>
        <v>Maham</v>
      </c>
      <c r="D918" s="10" t="str">
        <f>IFERROR(__xludf.DUMMYFUNCTION("""COMPUTED_VALUE"""),"03218118680")</f>
        <v>03218118680</v>
      </c>
      <c r="E918" s="10" t="str">
        <f>IFERROR(__xludf.DUMMYFUNCTION("""COMPUTED_VALUE"""),"Jamia Masjid Murre Barori Rawalpindi")</f>
        <v>Jamia Masjid Murre Barori Rawalpindi</v>
      </c>
      <c r="F918" s="10" t="str">
        <f>IFERROR(__xludf.DUMMYFUNCTION("""COMPUTED_VALUE"""),"cxyup")</f>
        <v>cxyup</v>
      </c>
      <c r="G918" s="10" t="str">
        <f>IFERROR(__xludf.DUMMYFUNCTION("""COMPUTED_VALUE"""),"Yes")</f>
        <v>Yes</v>
      </c>
      <c r="H918" s="10">
        <f>IFERROR(__xludf.DUMMYFUNCTION("""COMPUTED_VALUE"""),0.0)</f>
        <v>0</v>
      </c>
      <c r="I918" s="10">
        <f>IFERROR(__xludf.DUMMYFUNCTION("""COMPUTED_VALUE"""),10.0)</f>
        <v>10</v>
      </c>
      <c r="J918" s="10">
        <f>IFERROR(__xludf.DUMMYFUNCTION("""COMPUTED_VALUE"""),0.0)</f>
        <v>0</v>
      </c>
      <c r="K918" s="10">
        <f>IFERROR(__xludf.DUMMYFUNCTION("""COMPUTED_VALUE"""),0.0)</f>
        <v>0</v>
      </c>
      <c r="L918" s="10">
        <f>IFERROR(__xludf.DUMMYFUNCTION("""COMPUTED_VALUE"""),0.0)</f>
        <v>0</v>
      </c>
      <c r="M918" s="10">
        <f>IFERROR(__xludf.DUMMYFUNCTION("""COMPUTED_VALUE"""),0.0)</f>
        <v>0</v>
      </c>
      <c r="N918" s="10">
        <f>IFERROR(__xludf.DUMMYFUNCTION("""COMPUTED_VALUE"""),0.0)</f>
        <v>0</v>
      </c>
      <c r="O918" s="10">
        <f>IFERROR(__xludf.DUMMYFUNCTION("""COMPUTED_VALUE"""),0.0)</f>
        <v>0</v>
      </c>
      <c r="P918" s="10">
        <f>IFERROR(__xludf.DUMMYFUNCTION("""COMPUTED_VALUE"""),0.0)</f>
        <v>0</v>
      </c>
      <c r="Q918" s="10" t="str">
        <f>IFERROR(__xludf.DUMMYFUNCTION("""COMPUTED_VALUE"""),"No")</f>
        <v>No</v>
      </c>
      <c r="R918" s="10" t="str">
        <f>IFERROR(__xludf.DUMMYFUNCTION("""COMPUTED_VALUE"""),"No")</f>
        <v>No</v>
      </c>
      <c r="S918" s="10" t="str">
        <f>IFERROR(__xludf.DUMMYFUNCTION("""COMPUTED_VALUE"""),"No")</f>
        <v>No</v>
      </c>
      <c r="T918" s="10">
        <f>IFERROR(__xludf.DUMMYFUNCTION("""COMPUTED_VALUE"""),0.0)</f>
        <v>0</v>
      </c>
      <c r="U918" s="10">
        <f>IFERROR(__xludf.DUMMYFUNCTION("""COMPUTED_VALUE"""),0.0)</f>
        <v>0</v>
      </c>
      <c r="V918" s="10" t="str">
        <f>IFERROR(__xludf.DUMMYFUNCTION("""COMPUTED_VALUE"""),"حضرت ابوبکر صدیق رضی اللہ تعالی عنہ")</f>
        <v>حضرت ابوبکر صدیق رضی اللہ تعالی عنہ</v>
      </c>
      <c r="W918" s="10" t="str">
        <f>IFERROR(__xludf.DUMMYFUNCTION("""COMPUTED_VALUE"""),"حضرت ابوبکر صدیق رضی اللہ تعالی عنہ کا ذکر کیا گیا")</f>
        <v>حضرت ابوبکر صدیق رضی اللہ تعالی عنہ کا ذکر کیا گیا</v>
      </c>
      <c r="X918" s="10">
        <f>IFERROR(__xludf.DUMMYFUNCTION("""COMPUTED_VALUE"""),8.0)</f>
        <v>8</v>
      </c>
      <c r="Y918" s="10">
        <f>IFERROR(__xludf.DUMMYFUNCTION("""COMPUTED_VALUE"""),4.0)</f>
        <v>4</v>
      </c>
      <c r="Z918" s="10">
        <f>IFERROR(__xludf.DUMMYFUNCTION("""COMPUTED_VALUE"""),2.0)</f>
        <v>2</v>
      </c>
      <c r="AA918" s="10">
        <f>IFERROR(__xludf.DUMMYFUNCTION("""COMPUTED_VALUE"""),10.0)</f>
        <v>10</v>
      </c>
      <c r="AB918" s="10">
        <f>IFERROR(__xludf.DUMMYFUNCTION("""COMPUTED_VALUE"""),4.0)</f>
        <v>4</v>
      </c>
      <c r="AC918" s="10">
        <f>IFERROR(__xludf.DUMMYFUNCTION("""COMPUTED_VALUE"""),0.0)</f>
        <v>0</v>
      </c>
      <c r="AD918" s="10">
        <f>IFERROR(__xludf.DUMMYFUNCTION("""COMPUTED_VALUE"""),1.0)</f>
        <v>1</v>
      </c>
      <c r="AE918" s="10">
        <f>IFERROR(__xludf.DUMMYFUNCTION("""COMPUTED_VALUE"""),0.0)</f>
        <v>0</v>
      </c>
      <c r="AF918" s="10">
        <f>IFERROR(__xludf.DUMMYFUNCTION("""COMPUTED_VALUE"""),8.0)</f>
        <v>8</v>
      </c>
      <c r="AG918" s="10">
        <f>IFERROR(__xludf.DUMMYFUNCTION("""COMPUTED_VALUE"""),8.0)</f>
        <v>8</v>
      </c>
      <c r="AH918" s="10">
        <f>IFERROR(__xludf.DUMMYFUNCTION("""COMPUTED_VALUE"""),0.0)</f>
        <v>0</v>
      </c>
      <c r="AI918" s="10">
        <f>IFERROR(__xludf.DUMMYFUNCTION("""COMPUTED_VALUE"""),9.0)</f>
        <v>9</v>
      </c>
      <c r="AJ918" s="11" t="str">
        <f>IFERROR(__xludf.DUMMYFUNCTION("""COMPUTED_VALUE"""),"https://drive.google.com/open?id=1zcYpjJPW5BPJ1dLBTx86a8sz3N-yhUJt")</f>
        <v>https://drive.google.com/open?id=1zcYpjJPW5BPJ1dLBTx86a8sz3N-yhUJt</v>
      </c>
      <c r="AK918" s="12"/>
      <c r="AL918" s="12" t="str">
        <f>IFERROR(__xludf.DUMMYFUNCTION("""COMPUTED_VALUE"""),"Yes")</f>
        <v>Yes</v>
      </c>
      <c r="AM918" s="15">
        <f>IFERROR(__xludf.DUMMYFUNCTION("""COMPUTED_VALUE"""),0.0)</f>
        <v>0</v>
      </c>
      <c r="AN918" s="12" t="str">
        <f>IFERROR(__xludf.DUMMYFUNCTION("""COMPUTED_VALUE"""),"1st week")</f>
        <v>1st week</v>
      </c>
      <c r="AO918" s="13">
        <v>1.0</v>
      </c>
      <c r="AX918" s="17"/>
    </row>
    <row r="919">
      <c r="B919" s="9">
        <f>IFERROR(__xludf.DUMMYFUNCTION("""COMPUTED_VALUE"""),46017.400531631945)</f>
        <v>46017.40053</v>
      </c>
      <c r="C919" s="10" t="str">
        <f>IFERROR(__xludf.DUMMYFUNCTION("""COMPUTED_VALUE"""),"Maham")</f>
        <v>Maham</v>
      </c>
      <c r="D919" s="10" t="str">
        <f>IFERROR(__xludf.DUMMYFUNCTION("""COMPUTED_VALUE"""),"03218118680")</f>
        <v>03218118680</v>
      </c>
      <c r="E919" s="10" t="str">
        <f>IFERROR(__xludf.DUMMYFUNCTION("""COMPUTED_VALUE"""),"Jamia Masjid Sadique-E-Akbar The Mall Muree")</f>
        <v>Jamia Masjid Sadique-E-Akbar The Mall Muree</v>
      </c>
      <c r="F919" s="10" t="str">
        <f>IFERROR(__xludf.DUMMYFUNCTION("""COMPUTED_VALUE"""),"fkwyh")</f>
        <v>fkwyh</v>
      </c>
      <c r="G919" s="10" t="str">
        <f>IFERROR(__xludf.DUMMYFUNCTION("""COMPUTED_VALUE"""),"Yes")</f>
        <v>Yes</v>
      </c>
      <c r="H919" s="10">
        <f>IFERROR(__xludf.DUMMYFUNCTION("""COMPUTED_VALUE"""),3.0)</f>
        <v>3</v>
      </c>
      <c r="I919" s="10">
        <f>IFERROR(__xludf.DUMMYFUNCTION("""COMPUTED_VALUE"""),7.0)</f>
        <v>7</v>
      </c>
      <c r="J919" s="10">
        <f>IFERROR(__xludf.DUMMYFUNCTION("""COMPUTED_VALUE"""),7.0)</f>
        <v>7</v>
      </c>
      <c r="K919" s="10">
        <f>IFERROR(__xludf.DUMMYFUNCTION("""COMPUTED_VALUE"""),0.0)</f>
        <v>0</v>
      </c>
      <c r="L919" s="10">
        <f>IFERROR(__xludf.DUMMYFUNCTION("""COMPUTED_VALUE"""),7.0)</f>
        <v>7</v>
      </c>
      <c r="M919" s="10">
        <f>IFERROR(__xludf.DUMMYFUNCTION("""COMPUTED_VALUE"""),0.0)</f>
        <v>0</v>
      </c>
      <c r="N919" s="10">
        <f>IFERROR(__xludf.DUMMYFUNCTION("""COMPUTED_VALUE"""),7.0)</f>
        <v>7</v>
      </c>
      <c r="O919" s="10">
        <f>IFERROR(__xludf.DUMMYFUNCTION("""COMPUTED_VALUE"""),0.0)</f>
        <v>0</v>
      </c>
      <c r="P919" s="10">
        <f>IFERROR(__xludf.DUMMYFUNCTION("""COMPUTED_VALUE"""),6.0)</f>
        <v>6</v>
      </c>
      <c r="Q919" s="10" t="str">
        <f>IFERROR(__xludf.DUMMYFUNCTION("""COMPUTED_VALUE"""),"No")</f>
        <v>No</v>
      </c>
      <c r="R919" s="10" t="str">
        <f>IFERROR(__xludf.DUMMYFUNCTION("""COMPUTED_VALUE"""),"No")</f>
        <v>No</v>
      </c>
      <c r="S919" s="10" t="str">
        <f>IFERROR(__xludf.DUMMYFUNCTION("""COMPUTED_VALUE"""),"No")</f>
        <v>No</v>
      </c>
      <c r="T919" s="10">
        <f>IFERROR(__xludf.DUMMYFUNCTION("""COMPUTED_VALUE"""),0.0)</f>
        <v>0</v>
      </c>
      <c r="U919" s="10">
        <f>IFERROR(__xludf.DUMMYFUNCTION("""COMPUTED_VALUE"""),0.0)</f>
        <v>0</v>
      </c>
      <c r="V919" s="10" t="str">
        <f>IFERROR(__xludf.DUMMYFUNCTION("""COMPUTED_VALUE"""),"اللہ تعالی کے ساتھ تعلق راہ راست نماز اور پڑوسیوں کے حقوق")</f>
        <v>اللہ تعالی کے ساتھ تعلق راہ راست نماز اور پڑوسیوں کے حقوق</v>
      </c>
      <c r="W919" s="10" t="str">
        <f>IFERROR(__xludf.DUMMYFUNCTION("""COMPUTED_VALUE"""),"اللہ تعالی کی طرف واپس ا جاؤ اللہ تعالی سے اپنا تعلق مضبوط کر لو نماز کو اپناؤ نماز کے ذریعے اپنی ظاہری اور باطنی پاکیزگی تیار کرو اور پڑوسیوں کے حقوق کو بیان کیا گیا محلے میں صاف ستھرائی کا خیال رکھنے کو کہا گیا")</f>
        <v>اللہ تعالی کی طرف واپس ا جاؤ اللہ تعالی سے اپنا تعلق مضبوط کر لو نماز کو اپناؤ نماز کے ذریعے اپنی ظاہری اور باطنی پاکیزگی تیار کرو اور پڑوسیوں کے حقوق کو بیان کیا گیا محلے میں صاف ستھرائی کا خیال رکھنے کو کہا گیا</v>
      </c>
      <c r="X919" s="10">
        <f>IFERROR(__xludf.DUMMYFUNCTION("""COMPUTED_VALUE"""),7.0)</f>
        <v>7</v>
      </c>
      <c r="Y919" s="10">
        <f>IFERROR(__xludf.DUMMYFUNCTION("""COMPUTED_VALUE"""),7.0)</f>
        <v>7</v>
      </c>
      <c r="Z919" s="10">
        <f>IFERROR(__xludf.DUMMYFUNCTION("""COMPUTED_VALUE"""),6.0)</f>
        <v>6</v>
      </c>
      <c r="AA919" s="10">
        <f>IFERROR(__xludf.DUMMYFUNCTION("""COMPUTED_VALUE"""),7.0)</f>
        <v>7</v>
      </c>
      <c r="AB919" s="10">
        <f>IFERROR(__xludf.DUMMYFUNCTION("""COMPUTED_VALUE"""),5.0)</f>
        <v>5</v>
      </c>
      <c r="AC919" s="10">
        <f>IFERROR(__xludf.DUMMYFUNCTION("""COMPUTED_VALUE"""),1.0)</f>
        <v>1</v>
      </c>
      <c r="AD919" s="10">
        <f>IFERROR(__xludf.DUMMYFUNCTION("""COMPUTED_VALUE"""),4.0)</f>
        <v>4</v>
      </c>
      <c r="AE919" s="10">
        <f>IFERROR(__xludf.DUMMYFUNCTION("""COMPUTED_VALUE"""),0.0)</f>
        <v>0</v>
      </c>
      <c r="AF919" s="10">
        <f>IFERROR(__xludf.DUMMYFUNCTION("""COMPUTED_VALUE"""),6.0)</f>
        <v>6</v>
      </c>
      <c r="AG919" s="10">
        <f>IFERROR(__xludf.DUMMYFUNCTION("""COMPUTED_VALUE"""),8.0)</f>
        <v>8</v>
      </c>
      <c r="AH919" s="10">
        <f>IFERROR(__xludf.DUMMYFUNCTION("""COMPUTED_VALUE"""),0.0)</f>
        <v>0</v>
      </c>
      <c r="AI919" s="10">
        <f>IFERROR(__xludf.DUMMYFUNCTION("""COMPUTED_VALUE"""),9.0)</f>
        <v>9</v>
      </c>
      <c r="AJ919" s="11" t="str">
        <f>IFERROR(__xludf.DUMMYFUNCTION("""COMPUTED_VALUE"""),"https://drive.google.com/open?id=13tAL-HIOOkvbAGvwm3Iwl8R-yTzjBu1J")</f>
        <v>https://drive.google.com/open?id=13tAL-HIOOkvbAGvwm3Iwl8R-yTzjBu1J</v>
      </c>
      <c r="AK919" s="12" t="str">
        <f>IFERROR(__xludf.DUMMYFUNCTION("""COMPUTED_VALUE"""),"۔۔۔۔۔کا مطلب وہاں کچھ الفاظ کی سمجھ نہیں ائی")</f>
        <v>۔۔۔۔۔کا مطلب وہاں کچھ الفاظ کی سمجھ نہیں ائی</v>
      </c>
      <c r="AL919" s="12" t="str">
        <f>IFERROR(__xludf.DUMMYFUNCTION("""COMPUTED_VALUE"""),"Yes")</f>
        <v>Yes</v>
      </c>
      <c r="AM919" s="15">
        <f>IFERROR(__xludf.DUMMYFUNCTION("""COMPUTED_VALUE"""),0.6)</f>
        <v>0.6</v>
      </c>
      <c r="AN919" s="12" t="str">
        <f>IFERROR(__xludf.DUMMYFUNCTION("""COMPUTED_VALUE"""),"1st week")</f>
        <v>1st week</v>
      </c>
      <c r="AO919" s="13">
        <v>1.0</v>
      </c>
      <c r="AX919" s="17"/>
    </row>
    <row r="920">
      <c r="B920" s="9">
        <f>IFERROR(__xludf.DUMMYFUNCTION("""COMPUTED_VALUE"""),46017.427969490745)</f>
        <v>46017.42797</v>
      </c>
      <c r="C920" s="10" t="str">
        <f>IFERROR(__xludf.DUMMYFUNCTION("""COMPUTED_VALUE"""),"Maham")</f>
        <v>Maham</v>
      </c>
      <c r="D920" s="10" t="str">
        <f>IFERROR(__xludf.DUMMYFUNCTION("""COMPUTED_VALUE"""),"03218118680")</f>
        <v>03218118680</v>
      </c>
      <c r="E920" s="10" t="str">
        <f>IFERROR(__xludf.DUMMYFUNCTION("""COMPUTED_VALUE"""),"Masjid Baba Ghulam Badshah Rawalpindi")</f>
        <v>Masjid Baba Ghulam Badshah Rawalpindi</v>
      </c>
      <c r="F920" s="10" t="str">
        <f>IFERROR(__xludf.DUMMYFUNCTION("""COMPUTED_VALUE"""),"gakov")</f>
        <v>gakov</v>
      </c>
      <c r="G920" s="10" t="str">
        <f>IFERROR(__xludf.DUMMYFUNCTION("""COMPUTED_VALUE"""),"No")</f>
        <v>No</v>
      </c>
      <c r="H920" s="10"/>
      <c r="I920" s="10"/>
      <c r="J920" s="10"/>
      <c r="K920" s="10">
        <f>IFERROR(__xludf.DUMMYFUNCTION("""COMPUTED_VALUE"""),0.0)</f>
        <v>0</v>
      </c>
      <c r="L920" s="10">
        <f>IFERROR(__xludf.DUMMYFUNCTION("""COMPUTED_VALUE"""),0.0)</f>
        <v>0</v>
      </c>
      <c r="M920" s="10">
        <f>IFERROR(__xludf.DUMMYFUNCTION("""COMPUTED_VALUE"""),0.0)</f>
        <v>0</v>
      </c>
      <c r="N920" s="10">
        <f>IFERROR(__xludf.DUMMYFUNCTION("""COMPUTED_VALUE"""),0.0)</f>
        <v>0</v>
      </c>
      <c r="O920" s="10">
        <f>IFERROR(__xludf.DUMMYFUNCTION("""COMPUTED_VALUE"""),0.0)</f>
        <v>0</v>
      </c>
      <c r="P920" s="10">
        <f>IFERROR(__xludf.DUMMYFUNCTION("""COMPUTED_VALUE"""),0.0)</f>
        <v>0</v>
      </c>
      <c r="Q920" s="10" t="str">
        <f>IFERROR(__xludf.DUMMYFUNCTION("""COMPUTED_VALUE"""),"No")</f>
        <v>No</v>
      </c>
      <c r="R920" s="10" t="str">
        <f>IFERROR(__xludf.DUMMYFUNCTION("""COMPUTED_VALUE"""),"No")</f>
        <v>No</v>
      </c>
      <c r="S920" s="10" t="str">
        <f>IFERROR(__xludf.DUMMYFUNCTION("""COMPUTED_VALUE"""),"No")</f>
        <v>No</v>
      </c>
      <c r="T920" s="10">
        <f>IFERROR(__xludf.DUMMYFUNCTION("""COMPUTED_VALUE"""),0.0)</f>
        <v>0</v>
      </c>
      <c r="U920" s="10">
        <f>IFERROR(__xludf.DUMMYFUNCTION("""COMPUTED_VALUE"""),0.0)</f>
        <v>0</v>
      </c>
      <c r="V920" s="10" t="str">
        <f>IFERROR(__xludf.DUMMYFUNCTION("""COMPUTED_VALUE""")," درود پاک")</f>
        <v> درود پاک</v>
      </c>
      <c r="W920" s="10" t="str">
        <f>IFERROR(__xludf.DUMMYFUNCTION("""COMPUTED_VALUE"""),"درود پاک کی اہمیت بیان کی گئی")</f>
        <v>درود پاک کی اہمیت بیان کی گئی</v>
      </c>
      <c r="X920" s="10">
        <f>IFERROR(__xludf.DUMMYFUNCTION("""COMPUTED_VALUE"""),10.0)</f>
        <v>10</v>
      </c>
      <c r="Y920" s="10">
        <f>IFERROR(__xludf.DUMMYFUNCTION("""COMPUTED_VALUE"""),5.0)</f>
        <v>5</v>
      </c>
      <c r="Z920" s="10">
        <f>IFERROR(__xludf.DUMMYFUNCTION("""COMPUTED_VALUE"""),1.0)</f>
        <v>1</v>
      </c>
      <c r="AA920" s="10">
        <f>IFERROR(__xludf.DUMMYFUNCTION("""COMPUTED_VALUE"""),10.0)</f>
        <v>10</v>
      </c>
      <c r="AB920" s="10">
        <f>IFERROR(__xludf.DUMMYFUNCTION("""COMPUTED_VALUE"""),4.0)</f>
        <v>4</v>
      </c>
      <c r="AC920" s="10">
        <f>IFERROR(__xludf.DUMMYFUNCTION("""COMPUTED_VALUE"""),0.0)</f>
        <v>0</v>
      </c>
      <c r="AD920" s="10">
        <f>IFERROR(__xludf.DUMMYFUNCTION("""COMPUTED_VALUE"""),0.0)</f>
        <v>0</v>
      </c>
      <c r="AE920" s="10">
        <f>IFERROR(__xludf.DUMMYFUNCTION("""COMPUTED_VALUE"""),0.0)</f>
        <v>0</v>
      </c>
      <c r="AF920" s="10">
        <f>IFERROR(__xludf.DUMMYFUNCTION("""COMPUTED_VALUE"""),9.0)</f>
        <v>9</v>
      </c>
      <c r="AG920" s="10">
        <f>IFERROR(__xludf.DUMMYFUNCTION("""COMPUTED_VALUE"""),9.0)</f>
        <v>9</v>
      </c>
      <c r="AH920" s="10">
        <f>IFERROR(__xludf.DUMMYFUNCTION("""COMPUTED_VALUE"""),0.0)</f>
        <v>0</v>
      </c>
      <c r="AI920" s="10">
        <f>IFERROR(__xludf.DUMMYFUNCTION("""COMPUTED_VALUE"""),10.0)</f>
        <v>10</v>
      </c>
      <c r="AJ920" s="11" t="str">
        <f>IFERROR(__xludf.DUMMYFUNCTION("""COMPUTED_VALUE"""),"https://drive.google.com/open?id=1eQZp65RdajIx1aU1IjhOTAhw3cJZ2apR")</f>
        <v>https://drive.google.com/open?id=1eQZp65RdajIx1aU1IjhOTAhw3cJZ2apR</v>
      </c>
      <c r="AK920" s="12"/>
      <c r="AL920" s="12"/>
      <c r="AM920" s="12"/>
      <c r="AN920" s="12" t="str">
        <f>IFERROR(__xludf.DUMMYFUNCTION("""COMPUTED_VALUE"""),"1st week")</f>
        <v>1st week</v>
      </c>
      <c r="AO920" s="13">
        <v>1.0</v>
      </c>
      <c r="AX920" s="17"/>
    </row>
    <row r="921">
      <c r="B921" s="9">
        <f>IFERROR(__xludf.DUMMYFUNCTION("""COMPUTED_VALUE"""),46017.527974780096)</f>
        <v>46017.52797</v>
      </c>
      <c r="C921" s="10" t="str">
        <f>IFERROR(__xludf.DUMMYFUNCTION("""COMPUTED_VALUE"""),"Maham")</f>
        <v>Maham</v>
      </c>
      <c r="D921" s="10" t="str">
        <f>IFERROR(__xludf.DUMMYFUNCTION("""COMPUTED_VALUE"""),"03218118680")</f>
        <v>03218118680</v>
      </c>
      <c r="E921" s="10" t="str">
        <f>IFERROR(__xludf.DUMMYFUNCTION("""COMPUTED_VALUE"""),"Markazi Jamia Masjid Rawalpindi")</f>
        <v>Markazi Jamia Masjid Rawalpindi</v>
      </c>
      <c r="F921" s="10" t="str">
        <f>IFERROR(__xludf.DUMMYFUNCTION("""COMPUTED_VALUE"""),"tgzpv")</f>
        <v>tgzpv</v>
      </c>
      <c r="G921" s="10" t="str">
        <f>IFERROR(__xludf.DUMMYFUNCTION("""COMPUTED_VALUE"""),"No")</f>
        <v>No</v>
      </c>
      <c r="H921" s="10"/>
      <c r="I921" s="10"/>
      <c r="J921" s="10"/>
      <c r="K921" s="10">
        <f>IFERROR(__xludf.DUMMYFUNCTION("""COMPUTED_VALUE"""),0.0)</f>
        <v>0</v>
      </c>
      <c r="L921" s="10">
        <f>IFERROR(__xludf.DUMMYFUNCTION("""COMPUTED_VALUE"""),0.0)</f>
        <v>0</v>
      </c>
      <c r="M921" s="10">
        <f>IFERROR(__xludf.DUMMYFUNCTION("""COMPUTED_VALUE"""),0.0)</f>
        <v>0</v>
      </c>
      <c r="N921" s="10">
        <f>IFERROR(__xludf.DUMMYFUNCTION("""COMPUTED_VALUE"""),0.0)</f>
        <v>0</v>
      </c>
      <c r="O921" s="10">
        <f>IFERROR(__xludf.DUMMYFUNCTION("""COMPUTED_VALUE"""),0.0)</f>
        <v>0</v>
      </c>
      <c r="P921" s="10">
        <f>IFERROR(__xludf.DUMMYFUNCTION("""COMPUTED_VALUE"""),0.0)</f>
        <v>0</v>
      </c>
      <c r="Q921" s="10" t="str">
        <f>IFERROR(__xludf.DUMMYFUNCTION("""COMPUTED_VALUE"""),"No")</f>
        <v>No</v>
      </c>
      <c r="R921" s="10" t="str">
        <f>IFERROR(__xludf.DUMMYFUNCTION("""COMPUTED_VALUE"""),"No")</f>
        <v>No</v>
      </c>
      <c r="S921" s="10" t="str">
        <f>IFERROR(__xludf.DUMMYFUNCTION("""COMPUTED_VALUE"""),"No")</f>
        <v>No</v>
      </c>
      <c r="T921" s="10">
        <f>IFERROR(__xludf.DUMMYFUNCTION("""COMPUTED_VALUE"""),0.0)</f>
        <v>0</v>
      </c>
      <c r="U921" s="10">
        <f>IFERROR(__xludf.DUMMYFUNCTION("""COMPUTED_VALUE"""),0.0)</f>
        <v>0</v>
      </c>
      <c r="V921" s="10" t="str">
        <f>IFERROR(__xludf.DUMMYFUNCTION("""COMPUTED_VALUE"""),"درود پاک کی اہمیت ")</f>
        <v>درود پاک کی اہمیت </v>
      </c>
      <c r="W921" s="10" t="str">
        <f>IFERROR(__xludf.DUMMYFUNCTION("""COMPUTED_VALUE"""),"درود پاک کی اہمیت و فضیلت بیان کی گئی ")</f>
        <v>درود پاک کی اہمیت و فضیلت بیان کی گئی </v>
      </c>
      <c r="X921" s="10">
        <f>IFERROR(__xludf.DUMMYFUNCTION("""COMPUTED_VALUE"""),10.0)</f>
        <v>10</v>
      </c>
      <c r="Y921" s="10">
        <f>IFERROR(__xludf.DUMMYFUNCTION("""COMPUTED_VALUE"""),4.0)</f>
        <v>4</v>
      </c>
      <c r="Z921" s="10">
        <f>IFERROR(__xludf.DUMMYFUNCTION("""COMPUTED_VALUE"""),1.0)</f>
        <v>1</v>
      </c>
      <c r="AA921" s="10">
        <f>IFERROR(__xludf.DUMMYFUNCTION("""COMPUTED_VALUE"""),10.0)</f>
        <v>10</v>
      </c>
      <c r="AB921" s="10">
        <f>IFERROR(__xludf.DUMMYFUNCTION("""COMPUTED_VALUE"""),5.0)</f>
        <v>5</v>
      </c>
      <c r="AC921" s="10">
        <f>IFERROR(__xludf.DUMMYFUNCTION("""COMPUTED_VALUE"""),0.0)</f>
        <v>0</v>
      </c>
      <c r="AD921" s="10">
        <f>IFERROR(__xludf.DUMMYFUNCTION("""COMPUTED_VALUE"""),0.0)</f>
        <v>0</v>
      </c>
      <c r="AE921" s="10">
        <f>IFERROR(__xludf.DUMMYFUNCTION("""COMPUTED_VALUE"""),0.0)</f>
        <v>0</v>
      </c>
      <c r="AF921" s="10">
        <f>IFERROR(__xludf.DUMMYFUNCTION("""COMPUTED_VALUE"""),9.0)</f>
        <v>9</v>
      </c>
      <c r="AG921" s="10">
        <f>IFERROR(__xludf.DUMMYFUNCTION("""COMPUTED_VALUE"""),9.0)</f>
        <v>9</v>
      </c>
      <c r="AH921" s="10">
        <f>IFERROR(__xludf.DUMMYFUNCTION("""COMPUTED_VALUE"""),0.0)</f>
        <v>0</v>
      </c>
      <c r="AI921" s="10">
        <f>IFERROR(__xludf.DUMMYFUNCTION("""COMPUTED_VALUE"""),10.0)</f>
        <v>10</v>
      </c>
      <c r="AJ921" s="11" t="str">
        <f>IFERROR(__xludf.DUMMYFUNCTION("""COMPUTED_VALUE"""),"https://drive.google.com/open?id=1f3wwA2BjfYfcGw3oyrNr0dhiV4HAu4zK")</f>
        <v>https://drive.google.com/open?id=1f3wwA2BjfYfcGw3oyrNr0dhiV4HAu4zK</v>
      </c>
      <c r="AK921" s="12"/>
      <c r="AL921" s="12"/>
      <c r="AM921" s="12"/>
      <c r="AN921" s="12" t="str">
        <f>IFERROR(__xludf.DUMMYFUNCTION("""COMPUTED_VALUE"""),"1st week")</f>
        <v>1st week</v>
      </c>
      <c r="AO921" s="13">
        <v>1.0</v>
      </c>
      <c r="AX921" s="17"/>
    </row>
    <row r="922">
      <c r="B922" s="9">
        <f>IFERROR(__xludf.DUMMYFUNCTION("""COMPUTED_VALUE"""),46017.61819835648)</f>
        <v>46017.6182</v>
      </c>
      <c r="C922" s="10" t="str">
        <f>IFERROR(__xludf.DUMMYFUNCTION("""COMPUTED_VALUE"""),"maham")</f>
        <v>maham</v>
      </c>
      <c r="D922" s="10" t="str">
        <f>IFERROR(__xludf.DUMMYFUNCTION("""COMPUTED_VALUE"""),"03218118680")</f>
        <v>03218118680</v>
      </c>
      <c r="E922" s="10" t="str">
        <f>IFERROR(__xludf.DUMMYFUNCTION("""COMPUTED_VALUE"""),"Jamia Mosjid Daud Shah hakani")</f>
        <v>Jamia Mosjid Daud Shah hakani</v>
      </c>
      <c r="F922" s="10" t="str">
        <f>IFERROR(__xludf.DUMMYFUNCTION("""COMPUTED_VALUE"""),"lnsdx")</f>
        <v>lnsdx</v>
      </c>
      <c r="G922" s="10" t="str">
        <f>IFERROR(__xludf.DUMMYFUNCTION("""COMPUTED_VALUE"""),"Yes")</f>
        <v>Yes</v>
      </c>
      <c r="H922" s="10">
        <f>IFERROR(__xludf.DUMMYFUNCTION("""COMPUTED_VALUE"""),0.0)</f>
        <v>0</v>
      </c>
      <c r="I922" s="10">
        <f>IFERROR(__xludf.DUMMYFUNCTION("""COMPUTED_VALUE"""),10.0)</f>
        <v>10</v>
      </c>
      <c r="J922" s="10">
        <f>IFERROR(__xludf.DUMMYFUNCTION("""COMPUTED_VALUE"""),0.0)</f>
        <v>0</v>
      </c>
      <c r="K922" s="10">
        <f>IFERROR(__xludf.DUMMYFUNCTION("""COMPUTED_VALUE"""),0.0)</f>
        <v>0</v>
      </c>
      <c r="L922" s="10">
        <f>IFERROR(__xludf.DUMMYFUNCTION("""COMPUTED_VALUE"""),0.0)</f>
        <v>0</v>
      </c>
      <c r="M922" s="10">
        <f>IFERROR(__xludf.DUMMYFUNCTION("""COMPUTED_VALUE"""),0.0)</f>
        <v>0</v>
      </c>
      <c r="N922" s="10">
        <f>IFERROR(__xludf.DUMMYFUNCTION("""COMPUTED_VALUE"""),0.0)</f>
        <v>0</v>
      </c>
      <c r="O922" s="10">
        <f>IFERROR(__xludf.DUMMYFUNCTION("""COMPUTED_VALUE"""),0.0)</f>
        <v>0</v>
      </c>
      <c r="P922" s="10">
        <f>IFERROR(__xludf.DUMMYFUNCTION("""COMPUTED_VALUE"""),0.0)</f>
        <v>0</v>
      </c>
      <c r="Q922" s="10" t="str">
        <f>IFERROR(__xludf.DUMMYFUNCTION("""COMPUTED_VALUE"""),"No")</f>
        <v>No</v>
      </c>
      <c r="R922" s="10" t="str">
        <f>IFERROR(__xludf.DUMMYFUNCTION("""COMPUTED_VALUE"""),"No")</f>
        <v>No</v>
      </c>
      <c r="S922" s="10" t="str">
        <f>IFERROR(__xludf.DUMMYFUNCTION("""COMPUTED_VALUE"""),"No")</f>
        <v>No</v>
      </c>
      <c r="T922" s="10">
        <f>IFERROR(__xludf.DUMMYFUNCTION("""COMPUTED_VALUE"""),0.0)</f>
        <v>0</v>
      </c>
      <c r="U922" s="10">
        <f>IFERROR(__xludf.DUMMYFUNCTION("""COMPUTED_VALUE"""),0.0)</f>
        <v>0</v>
      </c>
      <c r="V922" s="10" t="str">
        <f>IFERROR(__xludf.DUMMYFUNCTION("""COMPUTED_VALUE"""),"قران پاک سے تعلق")</f>
        <v>قران پاک سے تعلق</v>
      </c>
      <c r="W922" s="10" t="str">
        <f>IFERROR(__xludf.DUMMYFUNCTION("""COMPUTED_VALUE"""),"قران پاک سے تعلق کو مضبوط کرو اس پر عمل کرو")</f>
        <v>قران پاک سے تعلق کو مضبوط کرو اس پر عمل کرو</v>
      </c>
      <c r="X922" s="10">
        <f>IFERROR(__xludf.DUMMYFUNCTION("""COMPUTED_VALUE"""),10.0)</f>
        <v>10</v>
      </c>
      <c r="Y922" s="10">
        <f>IFERROR(__xludf.DUMMYFUNCTION("""COMPUTED_VALUE"""),2.0)</f>
        <v>2</v>
      </c>
      <c r="Z922" s="10">
        <f>IFERROR(__xludf.DUMMYFUNCTION("""COMPUTED_VALUE"""),2.0)</f>
        <v>2</v>
      </c>
      <c r="AA922" s="10">
        <f>IFERROR(__xludf.DUMMYFUNCTION("""COMPUTED_VALUE"""),10.0)</f>
        <v>10</v>
      </c>
      <c r="AB922" s="10">
        <f>IFERROR(__xludf.DUMMYFUNCTION("""COMPUTED_VALUE"""),3.0)</f>
        <v>3</v>
      </c>
      <c r="AC922" s="10">
        <f>IFERROR(__xludf.DUMMYFUNCTION("""COMPUTED_VALUE"""),0.0)</f>
        <v>0</v>
      </c>
      <c r="AD922" s="10">
        <f>IFERROR(__xludf.DUMMYFUNCTION("""COMPUTED_VALUE"""),3.0)</f>
        <v>3</v>
      </c>
      <c r="AE922" s="10">
        <f>IFERROR(__xludf.DUMMYFUNCTION("""COMPUTED_VALUE"""),0.0)</f>
        <v>0</v>
      </c>
      <c r="AF922" s="10">
        <f>IFERROR(__xludf.DUMMYFUNCTION("""COMPUTED_VALUE"""),8.0)</f>
        <v>8</v>
      </c>
      <c r="AG922" s="10">
        <f>IFERROR(__xludf.DUMMYFUNCTION("""COMPUTED_VALUE"""),8.0)</f>
        <v>8</v>
      </c>
      <c r="AH922" s="10">
        <f>IFERROR(__xludf.DUMMYFUNCTION("""COMPUTED_VALUE"""),0.0)</f>
        <v>0</v>
      </c>
      <c r="AI922" s="10">
        <f>IFERROR(__xludf.DUMMYFUNCTION("""COMPUTED_VALUE"""),9.0)</f>
        <v>9</v>
      </c>
      <c r="AJ922" s="11" t="str">
        <f>IFERROR(__xludf.DUMMYFUNCTION("""COMPUTED_VALUE"""),"https://drive.google.com/open?id=1xYYdK5Ct0RBpEJqM4zy6D6mFtrMODTY8")</f>
        <v>https://drive.google.com/open?id=1xYYdK5Ct0RBpEJqM4zy6D6mFtrMODTY8</v>
      </c>
      <c r="AK922" s="12" t="str">
        <f>IFERROR(__xludf.DUMMYFUNCTION("""COMPUTED_VALUE""")," there is alot of distortion in audio ")</f>
        <v> there is alot of distortion in audio </v>
      </c>
      <c r="AL922" s="12" t="str">
        <f>IFERROR(__xludf.DUMMYFUNCTION("""COMPUTED_VALUE"""),"Yes")</f>
        <v>Yes</v>
      </c>
      <c r="AM922" s="15">
        <f>IFERROR(__xludf.DUMMYFUNCTION("""COMPUTED_VALUE"""),0.0)</f>
        <v>0</v>
      </c>
      <c r="AN922" s="12" t="str">
        <f>IFERROR(__xludf.DUMMYFUNCTION("""COMPUTED_VALUE"""),"1st week")</f>
        <v>1st week</v>
      </c>
      <c r="AO922" s="13">
        <v>1.0</v>
      </c>
      <c r="AX922" s="17"/>
    </row>
    <row r="923">
      <c r="B923" s="9">
        <f>IFERROR(__xludf.DUMMYFUNCTION("""COMPUTED_VALUE"""),46026.22530523148)</f>
        <v>46026.22531</v>
      </c>
      <c r="C923" s="10" t="str">
        <f>IFERROR(__xludf.DUMMYFUNCTION("""COMPUTED_VALUE"""),"Atiqa")</f>
        <v>Atiqa</v>
      </c>
      <c r="D923" s="10" t="str">
        <f>IFERROR(__xludf.DUMMYFUNCTION("""COMPUTED_VALUE"""),"03157519977")</f>
        <v>03157519977</v>
      </c>
      <c r="E923" s="10" t="str">
        <f>IFERROR(__xludf.DUMMYFUNCTION("""COMPUTED_VALUE"""),"Jamia Masjid Darbar Baba Jahaar Chaklala Rawalpindi")</f>
        <v>Jamia Masjid Darbar Baba Jahaar Chaklala Rawalpindi</v>
      </c>
      <c r="F923" s="10" t="str">
        <f>IFERROR(__xludf.DUMMYFUNCTION("""COMPUTED_VALUE"""),"glrtm")</f>
        <v>glrtm</v>
      </c>
      <c r="G923" s="10" t="str">
        <f>IFERROR(__xludf.DUMMYFUNCTION("""COMPUTED_VALUE"""),"Yes")</f>
        <v>Yes</v>
      </c>
      <c r="H923" s="10">
        <f>IFERROR(__xludf.DUMMYFUNCTION("""COMPUTED_VALUE"""),8.0)</f>
        <v>8</v>
      </c>
      <c r="I923" s="10">
        <f>IFERROR(__xludf.DUMMYFUNCTION("""COMPUTED_VALUE"""),2.0)</f>
        <v>2</v>
      </c>
      <c r="J923" s="10">
        <f>IFERROR(__xludf.DUMMYFUNCTION("""COMPUTED_VALUE"""),8.0)</f>
        <v>8</v>
      </c>
      <c r="K923" s="10">
        <f>IFERROR(__xludf.DUMMYFUNCTION("""COMPUTED_VALUE"""),0.0)</f>
        <v>0</v>
      </c>
      <c r="L923" s="10">
        <f>IFERROR(__xludf.DUMMYFUNCTION("""COMPUTED_VALUE"""),7.0)</f>
        <v>7</v>
      </c>
      <c r="M923" s="10">
        <f>IFERROR(__xludf.DUMMYFUNCTION("""COMPUTED_VALUE"""),0.0)</f>
        <v>0</v>
      </c>
      <c r="N923" s="10">
        <f>IFERROR(__xludf.DUMMYFUNCTION("""COMPUTED_VALUE"""),7.0)</f>
        <v>7</v>
      </c>
      <c r="O923" s="10">
        <f>IFERROR(__xludf.DUMMYFUNCTION("""COMPUTED_VALUE"""),0.0)</f>
        <v>0</v>
      </c>
      <c r="P923" s="10">
        <f>IFERROR(__xludf.DUMMYFUNCTION("""COMPUTED_VALUE"""),3.0)</f>
        <v>3</v>
      </c>
      <c r="Q923" s="10" t="str">
        <f>IFERROR(__xludf.DUMMYFUNCTION("""COMPUTED_VALUE"""),"No")</f>
        <v>No</v>
      </c>
      <c r="R923" s="10" t="str">
        <f>IFERROR(__xludf.DUMMYFUNCTION("""COMPUTED_VALUE"""),"No")</f>
        <v>No</v>
      </c>
      <c r="S923" s="10" t="str">
        <f>IFERROR(__xludf.DUMMYFUNCTION("""COMPUTED_VALUE"""),"Yes")</f>
        <v>Yes</v>
      </c>
      <c r="T923" s="10">
        <f>IFERROR(__xludf.DUMMYFUNCTION("""COMPUTED_VALUE"""),0.0)</f>
        <v>0</v>
      </c>
      <c r="U923" s="10">
        <f>IFERROR(__xludf.DUMMYFUNCTION("""COMPUTED_VALUE"""),0.0)</f>
        <v>0</v>
      </c>
      <c r="V923" s="10" t="str">
        <f>IFERROR(__xludf.DUMMYFUNCTION("""COMPUTED_VALUE"""),"پڑوسیوں کے حقوق اور ان کے ساتھ حسن سلوک روا رکھنا ")</f>
        <v>پڑوسیوں کے حقوق اور ان کے ساتھ حسن سلوک روا رکھنا </v>
      </c>
      <c r="W923" s="10" t="str">
        <f>IFERROR(__xludf.DUMMYFUNCTION("""COMPUTED_VALUE"""),"امام نے پڑوسیوں کے حقوق بیان کیے کہ ان کی خوشی غمی میں شامل ہوں قرض مانگنے پر قرض دیں بیمار ہونے پر بیمار پرسی کریں فوت ہونے پر جنازے میں شرکت کریں اور پڑوسیوں کے ساتھ حسن سلوک کے متعلق قوانین ایات بیان کی اور حدیث مبارکہ بیان کی کہ کس طرح جبرائیل علیہ ال"&amp;"سلام نے پڑوسیوں کے حقوق کی تاکید کی کہ اپ صلی اللہ علیہ وسلم کو ان کو وراثت میں حصہ دار ٹھہرانے کا گمان لاحق ہو گیا ")</f>
        <v>امام نے پڑوسیوں کے حقوق بیان کیے کہ ان کی خوشی غمی میں شامل ہوں قرض مانگنے پر قرض دیں بیمار ہونے پر بیمار پرسی کریں فوت ہونے پر جنازے میں شرکت کریں اور پڑوسیوں کے ساتھ حسن سلوک کے متعلق قوانین ایات بیان کی اور حدیث مبارکہ بیان کی کہ کس طرح جبرائیل علیہ السلام نے پڑوسیوں کے حقوق کی تاکید کی کہ اپ صلی اللہ علیہ وسلم کو ان کو وراثت میں حصہ دار ٹھہرانے کا گمان لاحق ہو گیا </v>
      </c>
      <c r="X923" s="10">
        <f>IFERROR(__xludf.DUMMYFUNCTION("""COMPUTED_VALUE"""),2.0)</f>
        <v>2</v>
      </c>
      <c r="Y923" s="10">
        <f>IFERROR(__xludf.DUMMYFUNCTION("""COMPUTED_VALUE"""),8.0)</f>
        <v>8</v>
      </c>
      <c r="Z923" s="10">
        <f>IFERROR(__xludf.DUMMYFUNCTION("""COMPUTED_VALUE"""),6.0)</f>
        <v>6</v>
      </c>
      <c r="AA923" s="10">
        <f>IFERROR(__xludf.DUMMYFUNCTION("""COMPUTED_VALUE"""),6.0)</f>
        <v>6</v>
      </c>
      <c r="AB923" s="10">
        <f>IFERROR(__xludf.DUMMYFUNCTION("""COMPUTED_VALUE"""),7.0)</f>
        <v>7</v>
      </c>
      <c r="AC923" s="10">
        <f>IFERROR(__xludf.DUMMYFUNCTION("""COMPUTED_VALUE"""),0.0)</f>
        <v>0</v>
      </c>
      <c r="AD923" s="10">
        <f>IFERROR(__xludf.DUMMYFUNCTION("""COMPUTED_VALUE"""),1.0)</f>
        <v>1</v>
      </c>
      <c r="AE923" s="10">
        <f>IFERROR(__xludf.DUMMYFUNCTION("""COMPUTED_VALUE"""),0.0)</f>
        <v>0</v>
      </c>
      <c r="AF923" s="10">
        <f>IFERROR(__xludf.DUMMYFUNCTION("""COMPUTED_VALUE"""),0.0)</f>
        <v>0</v>
      </c>
      <c r="AG923" s="10">
        <f>IFERROR(__xludf.DUMMYFUNCTION("""COMPUTED_VALUE"""),9.0)</f>
        <v>9</v>
      </c>
      <c r="AH923" s="10">
        <f>IFERROR(__xludf.DUMMYFUNCTION("""COMPUTED_VALUE"""),0.0)</f>
        <v>0</v>
      </c>
      <c r="AI923" s="10">
        <f>IFERROR(__xludf.DUMMYFUNCTION("""COMPUTED_VALUE"""),10.0)</f>
        <v>10</v>
      </c>
      <c r="AJ923" s="11" t="str">
        <f>IFERROR(__xludf.DUMMYFUNCTION("""COMPUTED_VALUE"""),"https://drive.google.com/open?id=1mVxqMPzDyLsQlnuR2QcqTFAVEgo2OWDeYjTnjlNdEew")</f>
        <v>https://drive.google.com/open?id=1mVxqMPzDyLsQlnuR2QcqTFAVEgo2OWDeYjTnjlNdEew</v>
      </c>
      <c r="AK923" s="12" t="str">
        <f>IFERROR(__xludf.DUMMYFUNCTION("""COMPUTED_VALUE"""),"امام نے محلے کی صفائی کا خیال رکھنے والا ٹوپک نہیں پڑھا ")</f>
        <v>امام نے محلے کی صفائی کا خیال رکھنے والا ٹوپک نہیں پڑھا </v>
      </c>
      <c r="AL923" s="12" t="str">
        <f>IFERROR(__xludf.DUMMYFUNCTION("""COMPUTED_VALUE"""),"Yes")</f>
        <v>Yes</v>
      </c>
      <c r="AM923" s="15">
        <f>IFERROR(__xludf.DUMMYFUNCTION("""COMPUTED_VALUE"""),0.8)</f>
        <v>0.8</v>
      </c>
      <c r="AN923" s="12" t="str">
        <f>IFERROR(__xludf.DUMMYFUNCTION("""COMPUTED_VALUE"""),"2nd week")</f>
        <v>2nd week</v>
      </c>
      <c r="AO923" s="13">
        <v>2.0</v>
      </c>
      <c r="AX923" s="17"/>
    </row>
    <row r="924">
      <c r="B924" s="9">
        <f>IFERROR(__xludf.DUMMYFUNCTION("""COMPUTED_VALUE"""),46026.31544152778)</f>
        <v>46026.31544</v>
      </c>
      <c r="C924" s="10" t="str">
        <f>IFERROR(__xludf.DUMMYFUNCTION("""COMPUTED_VALUE"""),"Atiqa")</f>
        <v>Atiqa</v>
      </c>
      <c r="D924" s="10" t="str">
        <f>IFERROR(__xludf.DUMMYFUNCTION("""COMPUTED_VALUE"""),"03157519977")</f>
        <v>03157519977</v>
      </c>
      <c r="E924" s="10" t="str">
        <f>IFERROR(__xludf.DUMMYFUNCTION("""COMPUTED_VALUE"""),"Jamia Masjid Sadique-E-Akbar The Mall Muree")</f>
        <v>Jamia Masjid Sadique-E-Akbar The Mall Muree</v>
      </c>
      <c r="F924" s="10" t="str">
        <f>IFERROR(__xludf.DUMMYFUNCTION("""COMPUTED_VALUE"""),"fkwyh")</f>
        <v>fkwyh</v>
      </c>
      <c r="G924" s="10" t="str">
        <f>IFERROR(__xludf.DUMMYFUNCTION("""COMPUTED_VALUE"""),"Yes")</f>
        <v>Yes</v>
      </c>
      <c r="H924" s="10">
        <f>IFERROR(__xludf.DUMMYFUNCTION("""COMPUTED_VALUE"""),3.0)</f>
        <v>3</v>
      </c>
      <c r="I924" s="10">
        <f>IFERROR(__xludf.DUMMYFUNCTION("""COMPUTED_VALUE"""),7.0)</f>
        <v>7</v>
      </c>
      <c r="J924" s="10">
        <f>IFERROR(__xludf.DUMMYFUNCTION("""COMPUTED_VALUE"""),2.0)</f>
        <v>2</v>
      </c>
      <c r="K924" s="10">
        <f>IFERROR(__xludf.DUMMYFUNCTION("""COMPUTED_VALUE"""),0.0)</f>
        <v>0</v>
      </c>
      <c r="L924" s="10">
        <f>IFERROR(__xludf.DUMMYFUNCTION("""COMPUTED_VALUE"""),3.0)</f>
        <v>3</v>
      </c>
      <c r="M924" s="10">
        <f>IFERROR(__xludf.DUMMYFUNCTION("""COMPUTED_VALUE"""),0.0)</f>
        <v>0</v>
      </c>
      <c r="N924" s="10">
        <f>IFERROR(__xludf.DUMMYFUNCTION("""COMPUTED_VALUE"""),4.0)</f>
        <v>4</v>
      </c>
      <c r="O924" s="10">
        <f>IFERROR(__xludf.DUMMYFUNCTION("""COMPUTED_VALUE"""),0.0)</f>
        <v>0</v>
      </c>
      <c r="P924" s="10">
        <f>IFERROR(__xludf.DUMMYFUNCTION("""COMPUTED_VALUE"""),3.0)</f>
        <v>3</v>
      </c>
      <c r="Q924" s="10" t="str">
        <f>IFERROR(__xludf.DUMMYFUNCTION("""COMPUTED_VALUE"""),"No")</f>
        <v>No</v>
      </c>
      <c r="R924" s="10" t="str">
        <f>IFERROR(__xludf.DUMMYFUNCTION("""COMPUTED_VALUE"""),"No")</f>
        <v>No</v>
      </c>
      <c r="S924" s="10" t="str">
        <f>IFERROR(__xludf.DUMMYFUNCTION("""COMPUTED_VALUE"""),"No")</f>
        <v>No</v>
      </c>
      <c r="T924" s="10">
        <f>IFERROR(__xludf.DUMMYFUNCTION("""COMPUTED_VALUE"""),0.0)</f>
        <v>0</v>
      </c>
      <c r="U924" s="10">
        <f>IFERROR(__xludf.DUMMYFUNCTION("""COMPUTED_VALUE"""),0.0)</f>
        <v>0</v>
      </c>
      <c r="V924" s="10" t="str">
        <f>IFERROR(__xludf.DUMMYFUNCTION("""COMPUTED_VALUE"""),"واقعہ مراج اور اللہ کی قدرت ")</f>
        <v>واقعہ مراج اور اللہ کی قدرت </v>
      </c>
      <c r="W924" s="10" t="str">
        <f>IFERROR(__xludf.DUMMYFUNCTION("""COMPUTED_VALUE"""),"امام نے بیان کیا کہ اللہ رب العزت بار بار اپنے بندوں کو اپنی طرف بلاتا ہے مگر انسان اپنے روزمرہ زندگی میں گم ہے اور پھر کہتا ہے کہ میرے معاملات درست نہیں کامیابی حاصل نہیں ہوتی ہم نے بیان کیا کہ ہم ہر وقت دوسروں کو پریشان کرتے ہیں پڑوسیوں کو تکلیف دینے او"&amp;"ر ان کے گھر کے سامنے کوڑا پھینک انہیں تکلیف پہنچاتے امام اپنے پڑوسیوں کے ساتھ اچھے تعلقات قائم کرنے کا کہا اس کے ساتھ ساتھ کی رحمت اور قدرت بیان کی کہ کس طرح انہیں اپ صلی اللہ علیہ وسلم کو مسجد حرام سے مسجد اقصی اور سدرۃ المنتہی تک بلایا اپ صلی اللہ علیہ "&amp;"والہ وسلم کا راستے میں نیکوں اور گنہگار اشخاص سے سامنا ہو رہا اور انہیں جانے والی  جزا اور سزا بیان کی ")</f>
        <v>امام نے بیان کیا کہ اللہ رب العزت بار بار اپنے بندوں کو اپنی طرف بلاتا ہے مگر انسان اپنے روزمرہ زندگی میں گم ہے اور پھر کہتا ہے کہ میرے معاملات درست نہیں کامیابی حاصل نہیں ہوتی ہم نے بیان کیا کہ ہم ہر وقت دوسروں کو پریشان کرتے ہیں پڑوسیوں کو تکلیف دینے اور ان کے گھر کے سامنے کوڑا پھینک انہیں تکلیف پہنچاتے امام اپنے پڑوسیوں کے ساتھ اچھے تعلقات قائم کرنے کا کہا اس کے ساتھ ساتھ کی رحمت اور قدرت بیان کی کہ کس طرح انہیں اپ صلی اللہ علیہ وسلم کو مسجد حرام سے مسجد اقصی اور سدرۃ المنتہی تک بلایا اپ صلی اللہ علیہ والہ وسلم کا راستے میں نیکوں اور گنہگار اشخاص سے سامنا ہو رہا اور انہیں جانے والی  جزا اور سزا بیان کی </v>
      </c>
      <c r="X924" s="10">
        <f>IFERROR(__xludf.DUMMYFUNCTION("""COMPUTED_VALUE"""),7.0)</f>
        <v>7</v>
      </c>
      <c r="Y924" s="10">
        <f>IFERROR(__xludf.DUMMYFUNCTION("""COMPUTED_VALUE"""),3.0)</f>
        <v>3</v>
      </c>
      <c r="Z924" s="10">
        <f>IFERROR(__xludf.DUMMYFUNCTION("""COMPUTED_VALUE"""),4.0)</f>
        <v>4</v>
      </c>
      <c r="AA924" s="10">
        <f>IFERROR(__xludf.DUMMYFUNCTION("""COMPUTED_VALUE"""),8.0)</f>
        <v>8</v>
      </c>
      <c r="AB924" s="10">
        <f>IFERROR(__xludf.DUMMYFUNCTION("""COMPUTED_VALUE"""),7.0)</f>
        <v>7</v>
      </c>
      <c r="AC924" s="10">
        <f>IFERROR(__xludf.DUMMYFUNCTION("""COMPUTED_VALUE"""),0.0)</f>
        <v>0</v>
      </c>
      <c r="AD924" s="10">
        <f>IFERROR(__xludf.DUMMYFUNCTION("""COMPUTED_VALUE"""),0.0)</f>
        <v>0</v>
      </c>
      <c r="AE924" s="10">
        <f>IFERROR(__xludf.DUMMYFUNCTION("""COMPUTED_VALUE"""),0.0)</f>
        <v>0</v>
      </c>
      <c r="AF924" s="10">
        <f>IFERROR(__xludf.DUMMYFUNCTION("""COMPUTED_VALUE"""),0.0)</f>
        <v>0</v>
      </c>
      <c r="AG924" s="10">
        <f>IFERROR(__xludf.DUMMYFUNCTION("""COMPUTED_VALUE"""),9.0)</f>
        <v>9</v>
      </c>
      <c r="AH924" s="10">
        <f>IFERROR(__xludf.DUMMYFUNCTION("""COMPUTED_VALUE"""),0.0)</f>
        <v>0</v>
      </c>
      <c r="AI924" s="10">
        <f>IFERROR(__xludf.DUMMYFUNCTION("""COMPUTED_VALUE"""),8.0)</f>
        <v>8</v>
      </c>
      <c r="AJ924" s="11" t="str">
        <f>IFERROR(__xludf.DUMMYFUNCTION("""COMPUTED_VALUE"""),"https://drive.google.com/open?id=1mvNQK87fXwQMId2B00LD3x-aExs_hQ440khkcBW_36M")</f>
        <v>https://drive.google.com/open?id=1mvNQK87fXwQMId2B00LD3x-aExs_hQ440khkcBW_36M</v>
      </c>
      <c r="AK924" s="12"/>
      <c r="AL924" s="12" t="str">
        <f>IFERROR(__xludf.DUMMYFUNCTION("""COMPUTED_VALUE"""),"Yes")</f>
        <v>Yes</v>
      </c>
      <c r="AM924" s="15">
        <f>IFERROR(__xludf.DUMMYFUNCTION("""COMPUTED_VALUE"""),0.3)</f>
        <v>0.3</v>
      </c>
      <c r="AN924" s="12" t="str">
        <f>IFERROR(__xludf.DUMMYFUNCTION("""COMPUTED_VALUE"""),"2nd week")</f>
        <v>2nd week</v>
      </c>
      <c r="AO924" s="13">
        <v>2.0</v>
      </c>
      <c r="AX924" s="17"/>
    </row>
    <row r="925">
      <c r="B925" s="9">
        <f>IFERROR(__xludf.DUMMYFUNCTION("""COMPUTED_VALUE"""),46026.40893336806)</f>
        <v>46026.40893</v>
      </c>
      <c r="C925" s="10" t="str">
        <f>IFERROR(__xludf.DUMMYFUNCTION("""COMPUTED_VALUE"""),"Atiqa")</f>
        <v>Atiqa</v>
      </c>
      <c r="D925" s="10" t="str">
        <f>IFERROR(__xludf.DUMMYFUNCTION("""COMPUTED_VALUE"""),"03157519977")</f>
        <v>03157519977</v>
      </c>
      <c r="E925" s="10" t="str">
        <f>IFERROR(__xludf.DUMMYFUNCTION("""COMPUTED_VALUE"""),"Jamia Masjid Darbar Gohar Ali Shah Bakarmandi")</f>
        <v>Jamia Masjid Darbar Gohar Ali Shah Bakarmandi</v>
      </c>
      <c r="F925" s="10" t="str">
        <f>IFERROR(__xludf.DUMMYFUNCTION("""COMPUTED_VALUE"""),"omcbn")</f>
        <v>omcbn</v>
      </c>
      <c r="G925" s="10" t="str">
        <f>IFERROR(__xludf.DUMMYFUNCTION("""COMPUTED_VALUE"""),"Yes")</f>
        <v>Yes</v>
      </c>
      <c r="H925" s="10">
        <f>IFERROR(__xludf.DUMMYFUNCTION("""COMPUTED_VALUE"""),10.0)</f>
        <v>10</v>
      </c>
      <c r="I925" s="10">
        <f>IFERROR(__xludf.DUMMYFUNCTION("""COMPUTED_VALUE"""),1.0)</f>
        <v>1</v>
      </c>
      <c r="J925" s="10">
        <f>IFERROR(__xludf.DUMMYFUNCTION("""COMPUTED_VALUE"""),9.0)</f>
        <v>9</v>
      </c>
      <c r="K925" s="10">
        <f>IFERROR(__xludf.DUMMYFUNCTION("""COMPUTED_VALUE"""),9.0)</f>
        <v>9</v>
      </c>
      <c r="L925" s="10">
        <f>IFERROR(__xludf.DUMMYFUNCTION("""COMPUTED_VALUE"""),0.0)</f>
        <v>0</v>
      </c>
      <c r="M925" s="10">
        <f>IFERROR(__xludf.DUMMYFUNCTION("""COMPUTED_VALUE"""),8.0)</f>
        <v>8</v>
      </c>
      <c r="N925" s="10">
        <f>IFERROR(__xludf.DUMMYFUNCTION("""COMPUTED_VALUE"""),0.0)</f>
        <v>0</v>
      </c>
      <c r="O925" s="10">
        <f>IFERROR(__xludf.DUMMYFUNCTION("""COMPUTED_VALUE"""),7.0)</f>
        <v>7</v>
      </c>
      <c r="P925" s="10">
        <f>IFERROR(__xludf.DUMMYFUNCTION("""COMPUTED_VALUE"""),0.0)</f>
        <v>0</v>
      </c>
      <c r="Q925" s="10" t="str">
        <f>IFERROR(__xludf.DUMMYFUNCTION("""COMPUTED_VALUE"""),"Yes")</f>
        <v>Yes</v>
      </c>
      <c r="R925" s="10" t="str">
        <f>IFERROR(__xludf.DUMMYFUNCTION("""COMPUTED_VALUE"""),"No")</f>
        <v>No</v>
      </c>
      <c r="S925" s="10" t="str">
        <f>IFERROR(__xludf.DUMMYFUNCTION("""COMPUTED_VALUE"""),"No")</f>
        <v>No</v>
      </c>
      <c r="T925" s="10">
        <f>IFERROR(__xludf.DUMMYFUNCTION("""COMPUTED_VALUE"""),0.0)</f>
        <v>0</v>
      </c>
      <c r="U925" s="10">
        <f>IFERROR(__xludf.DUMMYFUNCTION("""COMPUTED_VALUE"""),0.0)</f>
        <v>0</v>
      </c>
      <c r="V925" s="10" t="str">
        <f>IFERROR(__xludf.DUMMYFUNCTION("""COMPUTED_VALUE"""),"اسلام میں عورت کا مقام کردار اور حق ")</f>
        <v>اسلام میں عورت کا مقام کردار اور حق </v>
      </c>
      <c r="W925" s="10" t="str">
        <f>IFERROR(__xludf.DUMMYFUNCTION("""COMPUTED_VALUE"""),"امام نے بیان کیا کہ اسلام سے قبل عورت کے ساتھ کس طرح کا سلوک روا رکھا جاتا تھا بعد از اسلام اور حضور پاک صلی اللہ علیہ وسلم کی امد کے بعد عورت کو باحثیت ماں بیٹی بہن بیوی کی کیا حیثیت اور مقام و مرتبہ ملا اور عورت کا بطور معاشی سیاسی اور اقتصادی سرگرمیوں "&amp;"میں حصہ لینا بیان کیا اور حضور پاک صلی اللہ علیہ وسلم کس طرح عورت کی رائے کو حمیت دیتے تھے وہ بیان کیا اور صحابیات کرام رضی اللہ تعالی عنہا کا جنگ سرگرمیوں میں حصہ لینا بیان کیا اور حضور پاک صلی اللہ علیہ والہ وسلم کا صحابیات کرام رضی اللہ تعالی عنہ کی تع"&amp;"لیم و تربیت کا انتظام کرنا اور امام نے بچیوں کو اعلی تعلیم دلوانے اور انہیں معاشرے میں ایک اہم کردار ادا کرنے پر بات کی ")</f>
        <v>امام نے بیان کیا کہ اسلام سے قبل عورت کے ساتھ کس طرح کا سلوک روا رکھا جاتا تھا بعد از اسلام اور حضور پاک صلی اللہ علیہ وسلم کی امد کے بعد عورت کو باحثیت ماں بیٹی بہن بیوی کی کیا حیثیت اور مقام و مرتبہ ملا اور عورت کا بطور معاشی سیاسی اور اقتصادی سرگرمیوں میں حصہ لینا بیان کیا اور حضور پاک صلی اللہ علیہ وسلم کس طرح عورت کی رائے کو حمیت دیتے تھے وہ بیان کیا اور صحابیات کرام رضی اللہ تعالی عنہا کا جنگ سرگرمیوں میں حصہ لینا بیان کیا اور حضور پاک صلی اللہ علیہ والہ وسلم کا صحابیات کرام رضی اللہ تعالی عنہ کی تعلیم و تربیت کا انتظام کرنا اور امام نے بچیوں کو اعلی تعلیم دلوانے اور انہیں معاشرے میں ایک اہم کردار ادا کرنے پر بات کی </v>
      </c>
      <c r="X925" s="10">
        <f>IFERROR(__xludf.DUMMYFUNCTION("""COMPUTED_VALUE"""),1.0)</f>
        <v>1</v>
      </c>
      <c r="Y925" s="10">
        <f>IFERROR(__xludf.DUMMYFUNCTION("""COMPUTED_VALUE"""),9.0)</f>
        <v>9</v>
      </c>
      <c r="Z925" s="10">
        <f>IFERROR(__xludf.DUMMYFUNCTION("""COMPUTED_VALUE"""),6.0)</f>
        <v>6</v>
      </c>
      <c r="AA925" s="10">
        <f>IFERROR(__xludf.DUMMYFUNCTION("""COMPUTED_VALUE"""),6.0)</f>
        <v>6</v>
      </c>
      <c r="AB925" s="10">
        <f>IFERROR(__xludf.DUMMYFUNCTION("""COMPUTED_VALUE"""),8.0)</f>
        <v>8</v>
      </c>
      <c r="AC925" s="10">
        <f>IFERROR(__xludf.DUMMYFUNCTION("""COMPUTED_VALUE"""),4.0)</f>
        <v>4</v>
      </c>
      <c r="AD925" s="10">
        <f>IFERROR(__xludf.DUMMYFUNCTION("""COMPUTED_VALUE"""),6.0)</f>
        <v>6</v>
      </c>
      <c r="AE925" s="10">
        <f>IFERROR(__xludf.DUMMYFUNCTION("""COMPUTED_VALUE"""),2.0)</f>
        <v>2</v>
      </c>
      <c r="AF925" s="10">
        <f>IFERROR(__xludf.DUMMYFUNCTION("""COMPUTED_VALUE"""),0.0)</f>
        <v>0</v>
      </c>
      <c r="AG925" s="10">
        <f>IFERROR(__xludf.DUMMYFUNCTION("""COMPUTED_VALUE"""),9.0)</f>
        <v>9</v>
      </c>
      <c r="AH925" s="10">
        <f>IFERROR(__xludf.DUMMYFUNCTION("""COMPUTED_VALUE"""),0.0)</f>
        <v>0</v>
      </c>
      <c r="AI925" s="10">
        <f>IFERROR(__xludf.DUMMYFUNCTION("""COMPUTED_VALUE"""),10.0)</f>
        <v>10</v>
      </c>
      <c r="AJ925" s="11" t="str">
        <f>IFERROR(__xludf.DUMMYFUNCTION("""COMPUTED_VALUE"""),"https://drive.google.com/open?id=1d18_RPcExySXem6civ3Gwz2cOzQu04jCetBKjAncThA")</f>
        <v>https://drive.google.com/open?id=1d18_RPcExySXem6civ3Gwz2cOzQu04jCetBKjAncThA</v>
      </c>
      <c r="AK925" s="12"/>
      <c r="AL925" s="12" t="str">
        <f>IFERROR(__xludf.DUMMYFUNCTION("""COMPUTED_VALUE"""),"Yes")</f>
        <v>Yes</v>
      </c>
      <c r="AM925" s="15">
        <f>IFERROR(__xludf.DUMMYFUNCTION("""COMPUTED_VALUE"""),1.0)</f>
        <v>1</v>
      </c>
      <c r="AN925" s="12" t="str">
        <f>IFERROR(__xludf.DUMMYFUNCTION("""COMPUTED_VALUE"""),"2nd week")</f>
        <v>2nd week</v>
      </c>
      <c r="AO925" s="13">
        <v>2.0</v>
      </c>
      <c r="AX925" s="17"/>
    </row>
    <row r="926">
      <c r="B926" s="9">
        <f>IFERROR(__xludf.DUMMYFUNCTION("""COMPUTED_VALUE"""),46026.46682834491)</f>
        <v>46026.46683</v>
      </c>
      <c r="C926" s="10" t="str">
        <f>IFERROR(__xludf.DUMMYFUNCTION("""COMPUTED_VALUE"""),"Atiqa")</f>
        <v>Atiqa</v>
      </c>
      <c r="D926" s="10" t="str">
        <f>IFERROR(__xludf.DUMMYFUNCTION("""COMPUTED_VALUE"""),"03157519977")</f>
        <v>03157519977</v>
      </c>
      <c r="E926" s="10" t="str">
        <f>IFERROR(__xludf.DUMMYFUNCTION("""COMPUTED_VALUE"""),"Jamia Masjid Bhaga Sher Dargali Rawalpindi")</f>
        <v>Jamia Masjid Bhaga Sher Dargali Rawalpindi</v>
      </c>
      <c r="F926" s="10" t="str">
        <f>IFERROR(__xludf.DUMMYFUNCTION("""COMPUTED_VALUE"""),"vzblw")</f>
        <v>vzblw</v>
      </c>
      <c r="G926" s="10" t="str">
        <f>IFERROR(__xludf.DUMMYFUNCTION("""COMPUTED_VALUE"""),"Yes")</f>
        <v>Yes</v>
      </c>
      <c r="H926" s="10">
        <f>IFERROR(__xludf.DUMMYFUNCTION("""COMPUTED_VALUE"""),5.0)</f>
        <v>5</v>
      </c>
      <c r="I926" s="10">
        <f>IFERROR(__xludf.DUMMYFUNCTION("""COMPUTED_VALUE"""),5.0)</f>
        <v>5</v>
      </c>
      <c r="J926" s="10">
        <f>IFERROR(__xludf.DUMMYFUNCTION("""COMPUTED_VALUE"""),4.0)</f>
        <v>4</v>
      </c>
      <c r="K926" s="10">
        <f>IFERROR(__xludf.DUMMYFUNCTION("""COMPUTED_VALUE"""),0.0)</f>
        <v>0</v>
      </c>
      <c r="L926" s="10">
        <f>IFERROR(__xludf.DUMMYFUNCTION("""COMPUTED_VALUE"""),9.0)</f>
        <v>9</v>
      </c>
      <c r="M926" s="10">
        <f>IFERROR(__xludf.DUMMYFUNCTION("""COMPUTED_VALUE"""),0.0)</f>
        <v>0</v>
      </c>
      <c r="N926" s="10">
        <f>IFERROR(__xludf.DUMMYFUNCTION("""COMPUTED_VALUE"""),8.0)</f>
        <v>8</v>
      </c>
      <c r="O926" s="10">
        <f>IFERROR(__xludf.DUMMYFUNCTION("""COMPUTED_VALUE"""),0.0)</f>
        <v>0</v>
      </c>
      <c r="P926" s="10">
        <f>IFERROR(__xludf.DUMMYFUNCTION("""COMPUTED_VALUE"""),5.0)</f>
        <v>5</v>
      </c>
      <c r="Q926" s="10" t="str">
        <f>IFERROR(__xludf.DUMMYFUNCTION("""COMPUTED_VALUE"""),"No")</f>
        <v>No</v>
      </c>
      <c r="R926" s="10" t="str">
        <f>IFERROR(__xludf.DUMMYFUNCTION("""COMPUTED_VALUE"""),"No")</f>
        <v>No</v>
      </c>
      <c r="S926" s="10" t="str">
        <f>IFERROR(__xludf.DUMMYFUNCTION("""COMPUTED_VALUE"""),"Yes")</f>
        <v>Yes</v>
      </c>
      <c r="T926" s="10">
        <f>IFERROR(__xludf.DUMMYFUNCTION("""COMPUTED_VALUE"""),0.0)</f>
        <v>0</v>
      </c>
      <c r="U926" s="10">
        <f>IFERROR(__xludf.DUMMYFUNCTION("""COMPUTED_VALUE"""),0.0)</f>
        <v>0</v>
      </c>
      <c r="V926" s="10" t="str">
        <f>IFERROR(__xludf.DUMMYFUNCTION("""COMPUTED_VALUE"""),"پڑوسیوں کے ساتھ حسن سلوک ")</f>
        <v>پڑوسیوں کے ساتھ حسن سلوک </v>
      </c>
      <c r="W926" s="10" t="str">
        <f>IFERROR(__xludf.DUMMYFUNCTION("""COMPUTED_VALUE"""),"امام نے قران ایات بیان کی جس میں اللہ کی عبادت کرنے اس کے ساتھ کسی کو شریک نہ ٹھہرانے والدین کے ساتھ قریبی رشتہ داروں یتیموں مساکین اور ہمسایوں کے ساتھ حسن سلوک کا درس دیا گیا، امام نے پڑوسیوں کے اقسام بیان کی، اور پڑوسیوں کے متعلق مختلف واقعات بیان کیے ج"&amp;"س میں صدیق رضی اللہ تعالی عنہ کے بیٹے عبدالرحمن کا اپنے پڑوسی کے ساتھ مخالفت ہونا اور صدیق اکبر رضی اللہ تعالی عنہ کا اپنے بیٹے کو سمجھانا، اور بایزید بسطامی رحمۃ اللہ کا اپنے مجوسی پروسی کے ساتھ حسن سلوک اور اس کا متاثر ہو کر مسلمان ہونا، امام احمد بن حن"&amp;"بل کا اپنے پڑوسی کے ساتھ تعلق بیان کیا، اور حضور پاک صلی اللہ علیہ وسلم کا پڑوسی کے ساتھ اچھا سلوک پر جنت کی بشارت دینا اور پڑوسی کو تنگ کرنے پر جہنم کی بشارت دینا بیان کیا ")</f>
        <v>امام نے قران ایات بیان کی جس میں اللہ کی عبادت کرنے اس کے ساتھ کسی کو شریک نہ ٹھہرانے والدین کے ساتھ قریبی رشتہ داروں یتیموں مساکین اور ہمسایوں کے ساتھ حسن سلوک کا درس دیا گیا، امام نے پڑوسیوں کے اقسام بیان کی، اور پڑوسیوں کے متعلق مختلف واقعات بیان کیے جس میں صدیق رضی اللہ تعالی عنہ کے بیٹے عبدالرحمن کا اپنے پڑوسی کے ساتھ مخالفت ہونا اور صدیق اکبر رضی اللہ تعالی عنہ کا اپنے بیٹے کو سمجھانا، اور بایزید بسطامی رحمۃ اللہ کا اپنے مجوسی پروسی کے ساتھ حسن سلوک اور اس کا متاثر ہو کر مسلمان ہونا، امام احمد بن حنبل کا اپنے پڑوسی کے ساتھ تعلق بیان کیا، اور حضور پاک صلی اللہ علیہ وسلم کا پڑوسی کے ساتھ اچھا سلوک پر جنت کی بشارت دینا اور پڑوسی کو تنگ کرنے پر جہنم کی بشارت دینا بیان کیا </v>
      </c>
      <c r="X926" s="10">
        <f>IFERROR(__xludf.DUMMYFUNCTION("""COMPUTED_VALUE"""),2.0)</f>
        <v>2</v>
      </c>
      <c r="Y926" s="10">
        <f>IFERROR(__xludf.DUMMYFUNCTION("""COMPUTED_VALUE"""),9.0)</f>
        <v>9</v>
      </c>
      <c r="Z926" s="10">
        <f>IFERROR(__xludf.DUMMYFUNCTION("""COMPUTED_VALUE"""),8.0)</f>
        <v>8</v>
      </c>
      <c r="AA926" s="10">
        <f>IFERROR(__xludf.DUMMYFUNCTION("""COMPUTED_VALUE"""),7.0)</f>
        <v>7</v>
      </c>
      <c r="AB926" s="10">
        <f>IFERROR(__xludf.DUMMYFUNCTION("""COMPUTED_VALUE"""),8.0)</f>
        <v>8</v>
      </c>
      <c r="AC926" s="10">
        <f>IFERROR(__xludf.DUMMYFUNCTION("""COMPUTED_VALUE"""),0.0)</f>
        <v>0</v>
      </c>
      <c r="AD926" s="10">
        <f>IFERROR(__xludf.DUMMYFUNCTION("""COMPUTED_VALUE"""),1.0)</f>
        <v>1</v>
      </c>
      <c r="AE926" s="10">
        <f>IFERROR(__xludf.DUMMYFUNCTION("""COMPUTED_VALUE"""),1.0)</f>
        <v>1</v>
      </c>
      <c r="AF926" s="10">
        <f>IFERROR(__xludf.DUMMYFUNCTION("""COMPUTED_VALUE"""),0.0)</f>
        <v>0</v>
      </c>
      <c r="AG926" s="10">
        <f>IFERROR(__xludf.DUMMYFUNCTION("""COMPUTED_VALUE"""),8.0)</f>
        <v>8</v>
      </c>
      <c r="AH926" s="10">
        <f>IFERROR(__xludf.DUMMYFUNCTION("""COMPUTED_VALUE"""),0.0)</f>
        <v>0</v>
      </c>
      <c r="AI926" s="10">
        <f>IFERROR(__xludf.DUMMYFUNCTION("""COMPUTED_VALUE"""),8.0)</f>
        <v>8</v>
      </c>
      <c r="AJ926" s="11" t="str">
        <f>IFERROR(__xludf.DUMMYFUNCTION("""COMPUTED_VALUE"""),"https://drive.google.com/open?id=1zX2fCBjzlUDsvmaZ-yMM8Yt_HPxCXkTOpGRFxlyaaTY")</f>
        <v>https://drive.google.com/open?id=1zX2fCBjzlUDsvmaZ-yMM8Yt_HPxCXkTOpGRFxlyaaTY</v>
      </c>
      <c r="AK926" s="12"/>
      <c r="AL926" s="12" t="str">
        <f>IFERROR(__xludf.DUMMYFUNCTION("""COMPUTED_VALUE"""),"Yes")</f>
        <v>Yes</v>
      </c>
      <c r="AM926" s="15">
        <f>IFERROR(__xludf.DUMMYFUNCTION("""COMPUTED_VALUE"""),0.5)</f>
        <v>0.5</v>
      </c>
      <c r="AN926" s="12" t="str">
        <f>IFERROR(__xludf.DUMMYFUNCTION("""COMPUTED_VALUE"""),"2nd week")</f>
        <v>2nd week</v>
      </c>
      <c r="AO926" s="13">
        <v>2.0</v>
      </c>
      <c r="AX926" s="17"/>
    </row>
    <row r="927">
      <c r="B927" s="9">
        <f>IFERROR(__xludf.DUMMYFUNCTION("""COMPUTED_VALUE"""),46027.168862210645)</f>
        <v>46027.16886</v>
      </c>
      <c r="C927" s="10" t="str">
        <f>IFERROR(__xludf.DUMMYFUNCTION("""COMPUTED_VALUE"""),"Atiqa")</f>
        <v>Atiqa</v>
      </c>
      <c r="D927" s="10" t="str">
        <f>IFERROR(__xludf.DUMMYFUNCTION("""COMPUTED_VALUE"""),"03157519977")</f>
        <v>03157519977</v>
      </c>
      <c r="E927" s="10" t="str">
        <f>IFERROR(__xludf.DUMMYFUNCTION("""COMPUTED_VALUE"""),"Jamia Masjid King Mandi Rawalpindi")</f>
        <v>Jamia Masjid King Mandi Rawalpindi</v>
      </c>
      <c r="F927" s="10" t="str">
        <f>IFERROR(__xludf.DUMMYFUNCTION("""COMPUTED_VALUE"""),"thjdr")</f>
        <v>thjdr</v>
      </c>
      <c r="G927" s="10" t="str">
        <f>IFERROR(__xludf.DUMMYFUNCTION("""COMPUTED_VALUE"""),"Yes")</f>
        <v>Yes</v>
      </c>
      <c r="H927" s="10">
        <f>IFERROR(__xludf.DUMMYFUNCTION("""COMPUTED_VALUE"""),3.0)</f>
        <v>3</v>
      </c>
      <c r="I927" s="10">
        <f>IFERROR(__xludf.DUMMYFUNCTION("""COMPUTED_VALUE"""),7.0)</f>
        <v>7</v>
      </c>
      <c r="J927" s="10">
        <f>IFERROR(__xludf.DUMMYFUNCTION("""COMPUTED_VALUE"""),9.0)</f>
        <v>9</v>
      </c>
      <c r="K927" s="10">
        <f>IFERROR(__xludf.DUMMYFUNCTION("""COMPUTED_VALUE"""),7.0)</f>
        <v>7</v>
      </c>
      <c r="L927" s="10">
        <f>IFERROR(__xludf.DUMMYFUNCTION("""COMPUTED_VALUE"""),0.0)</f>
        <v>0</v>
      </c>
      <c r="M927" s="10">
        <f>IFERROR(__xludf.DUMMYFUNCTION("""COMPUTED_VALUE"""),7.0)</f>
        <v>7</v>
      </c>
      <c r="N927" s="10">
        <f>IFERROR(__xludf.DUMMYFUNCTION("""COMPUTED_VALUE"""),0.0)</f>
        <v>0</v>
      </c>
      <c r="O927" s="10">
        <f>IFERROR(__xludf.DUMMYFUNCTION("""COMPUTED_VALUE"""),6.0)</f>
        <v>6</v>
      </c>
      <c r="P927" s="10">
        <f>IFERROR(__xludf.DUMMYFUNCTION("""COMPUTED_VALUE"""),0.0)</f>
        <v>0</v>
      </c>
      <c r="Q927" s="10" t="str">
        <f>IFERROR(__xludf.DUMMYFUNCTION("""COMPUTED_VALUE"""),"No")</f>
        <v>No</v>
      </c>
      <c r="R927" s="10" t="str">
        <f>IFERROR(__xludf.DUMMYFUNCTION("""COMPUTED_VALUE"""),"No")</f>
        <v>No</v>
      </c>
      <c r="S927" s="10" t="str">
        <f>IFERROR(__xludf.DUMMYFUNCTION("""COMPUTED_VALUE"""),"No")</f>
        <v>No</v>
      </c>
      <c r="T927" s="10">
        <f>IFERROR(__xludf.DUMMYFUNCTION("""COMPUTED_VALUE"""),0.0)</f>
        <v>0</v>
      </c>
      <c r="U927" s="10">
        <f>IFERROR(__xludf.DUMMYFUNCTION("""COMPUTED_VALUE"""),0.0)</f>
        <v>0</v>
      </c>
      <c r="V927" s="10" t="str">
        <f>IFERROR(__xludf.DUMMYFUNCTION("""COMPUTED_VALUE"""),"عورت کا مقام اور عورت کا باپردہ ہونا ")</f>
        <v>عورت کا مقام اور عورت کا باپردہ ہونا </v>
      </c>
      <c r="W927" s="10" t="str">
        <f>IFERROR(__xludf.DUMMYFUNCTION("""COMPUTED_VALUE"""),"امام نے بیان کیا کہ قبل از اسلام عورت کو زندہ دفن کر دیا جاتا تھا مگر اسلام نے عورت کو مقام دیا اور امام نے بیان کیا کہ اللہ تعالی نے حضرت ادم علیہ السلام کی تخلیق  کس طرح مٹی سے ہوئی اور عورت کو ادم علیہ السلام کی پسلی سے پیدا کیا اور فرشتوں نے بھی انہیں"&amp;" نہیں دیکھا عورت کو پردے میں رکھا عمر فاروق رضی اللہ عنہا کا حضور پاک صلی اللہ علیہ وسلم سے مومنہ عورتوں کو پردے میں باہر نکلنے اظہار کرنا اور اللہ تعالی کا عورتوں کو پردے کا اہتمام کرنے کا حکم دے دینا بیان کیا امام نے عورتوں کو تعلیم و تربیت باپردہ ہو کر"&amp;" حاصل کرنے کا بیان دیا ")</f>
        <v>امام نے بیان کیا کہ قبل از اسلام عورت کو زندہ دفن کر دیا جاتا تھا مگر اسلام نے عورت کو مقام دیا اور امام نے بیان کیا کہ اللہ تعالی نے حضرت ادم علیہ السلام کی تخلیق  کس طرح مٹی سے ہوئی اور عورت کو ادم علیہ السلام کی پسلی سے پیدا کیا اور فرشتوں نے بھی انہیں نہیں دیکھا عورت کو پردے میں رکھا عمر فاروق رضی اللہ عنہا کا حضور پاک صلی اللہ علیہ وسلم سے مومنہ عورتوں کو پردے میں باہر نکلنے اظہار کرنا اور اللہ تعالی کا عورتوں کو پردے کا اہتمام کرنے کا حکم دے دینا بیان کیا امام نے عورتوں کو تعلیم و تربیت باپردہ ہو کر حاصل کرنے کا بیان دیا </v>
      </c>
      <c r="X927" s="10">
        <f>IFERROR(__xludf.DUMMYFUNCTION("""COMPUTED_VALUE"""),2.0)</f>
        <v>2</v>
      </c>
      <c r="Y927" s="10">
        <f>IFERROR(__xludf.DUMMYFUNCTION("""COMPUTED_VALUE"""),8.0)</f>
        <v>8</v>
      </c>
      <c r="Z927" s="10">
        <f>IFERROR(__xludf.DUMMYFUNCTION("""COMPUTED_VALUE"""),5.0)</f>
        <v>5</v>
      </c>
      <c r="AA927" s="10">
        <f>IFERROR(__xludf.DUMMYFUNCTION("""COMPUTED_VALUE"""),7.0)</f>
        <v>7</v>
      </c>
      <c r="AB927" s="10">
        <f>IFERROR(__xludf.DUMMYFUNCTION("""COMPUTED_VALUE"""),6.0)</f>
        <v>6</v>
      </c>
      <c r="AC927" s="10">
        <f>IFERROR(__xludf.DUMMYFUNCTION("""COMPUTED_VALUE"""),0.0)</f>
        <v>0</v>
      </c>
      <c r="AD927" s="10">
        <f>IFERROR(__xludf.DUMMYFUNCTION("""COMPUTED_VALUE"""),0.0)</f>
        <v>0</v>
      </c>
      <c r="AE927" s="10">
        <f>IFERROR(__xludf.DUMMYFUNCTION("""COMPUTED_VALUE"""),0.0)</f>
        <v>0</v>
      </c>
      <c r="AF927" s="10">
        <f>IFERROR(__xludf.DUMMYFUNCTION("""COMPUTED_VALUE"""),0.0)</f>
        <v>0</v>
      </c>
      <c r="AG927" s="10">
        <f>IFERROR(__xludf.DUMMYFUNCTION("""COMPUTED_VALUE"""),8.0)</f>
        <v>8</v>
      </c>
      <c r="AH927" s="10">
        <f>IFERROR(__xludf.DUMMYFUNCTION("""COMPUTED_VALUE"""),0.0)</f>
        <v>0</v>
      </c>
      <c r="AI927" s="10">
        <f>IFERROR(__xludf.DUMMYFUNCTION("""COMPUTED_VALUE"""),8.0)</f>
        <v>8</v>
      </c>
      <c r="AJ927" s="11" t="str">
        <f>IFERROR(__xludf.DUMMYFUNCTION("""COMPUTED_VALUE"""),"https://drive.google.com/open?id=1KdayRp4Utwu1ThsbNSwsYaMhIXxcrseCMb8Myt4kJvE")</f>
        <v>https://drive.google.com/open?id=1KdayRp4Utwu1ThsbNSwsYaMhIXxcrseCMb8Myt4kJvE</v>
      </c>
      <c r="AK927" s="12"/>
      <c r="AL927" s="12" t="str">
        <f>IFERROR(__xludf.DUMMYFUNCTION("""COMPUTED_VALUE"""),"Yes")</f>
        <v>Yes</v>
      </c>
      <c r="AM927" s="15">
        <f>IFERROR(__xludf.DUMMYFUNCTION("""COMPUTED_VALUE"""),0.3)</f>
        <v>0.3</v>
      </c>
      <c r="AN927" s="12" t="str">
        <f>IFERROR(__xludf.DUMMYFUNCTION("""COMPUTED_VALUE"""),"2nd week")</f>
        <v>2nd week</v>
      </c>
      <c r="AO927" s="13">
        <v>2.0</v>
      </c>
      <c r="AX927" s="17"/>
    </row>
    <row r="928">
      <c r="B928" s="9">
        <f>IFERROR(__xludf.DUMMYFUNCTION("""COMPUTED_VALUE"""),46028.04735605324)</f>
        <v>46028.04736</v>
      </c>
      <c r="C928" s="10" t="str">
        <f>IFERROR(__xludf.DUMMYFUNCTION("""COMPUTED_VALUE"""),"maham")</f>
        <v>maham</v>
      </c>
      <c r="D928" s="10" t="str">
        <f>IFERROR(__xludf.DUMMYFUNCTION("""COMPUTED_VALUE"""),"03218118680")</f>
        <v>03218118680</v>
      </c>
      <c r="E928" s="10" t="str">
        <f>IFERROR(__xludf.DUMMYFUNCTION("""COMPUTED_VALUE"""),"Jamia Masjid Ghala Mandi Gojara")</f>
        <v>Jamia Masjid Ghala Mandi Gojara</v>
      </c>
      <c r="F928" s="10" t="str">
        <f>IFERROR(__xludf.DUMMYFUNCTION("""COMPUTED_VALUE"""),"rtcpq")</f>
        <v>rtcpq</v>
      </c>
      <c r="G928" s="10" t="str">
        <f>IFERROR(__xludf.DUMMYFUNCTION("""COMPUTED_VALUE"""),"Yes")</f>
        <v>Yes</v>
      </c>
      <c r="H928" s="10">
        <f>IFERROR(__xludf.DUMMYFUNCTION("""COMPUTED_VALUE"""),7.0)</f>
        <v>7</v>
      </c>
      <c r="I928" s="10">
        <f>IFERROR(__xludf.DUMMYFUNCTION("""COMPUTED_VALUE"""),3.0)</f>
        <v>3</v>
      </c>
      <c r="J928" s="10">
        <f>IFERROR(__xludf.DUMMYFUNCTION("""COMPUTED_VALUE"""),10.0)</f>
        <v>10</v>
      </c>
      <c r="K928" s="10">
        <f>IFERROR(__xludf.DUMMYFUNCTION("""COMPUTED_VALUE"""),0.0)</f>
        <v>0</v>
      </c>
      <c r="L928" s="10">
        <f>IFERROR(__xludf.DUMMYFUNCTION("""COMPUTED_VALUE"""),10.0)</f>
        <v>10</v>
      </c>
      <c r="M928" s="10">
        <f>IFERROR(__xludf.DUMMYFUNCTION("""COMPUTED_VALUE"""),0.0)</f>
        <v>0</v>
      </c>
      <c r="N928" s="10">
        <f>IFERROR(__xludf.DUMMYFUNCTION("""COMPUTED_VALUE"""),9.0)</f>
        <v>9</v>
      </c>
      <c r="O928" s="10">
        <f>IFERROR(__xludf.DUMMYFUNCTION("""COMPUTED_VALUE"""),0.0)</f>
        <v>0</v>
      </c>
      <c r="P928" s="10">
        <f>IFERROR(__xludf.DUMMYFUNCTION("""COMPUTED_VALUE"""),3.0)</f>
        <v>3</v>
      </c>
      <c r="Q928" s="10" t="str">
        <f>IFERROR(__xludf.DUMMYFUNCTION("""COMPUTED_VALUE"""),"No")</f>
        <v>No</v>
      </c>
      <c r="R928" s="10" t="str">
        <f>IFERROR(__xludf.DUMMYFUNCTION("""COMPUTED_VALUE"""),"No")</f>
        <v>No</v>
      </c>
      <c r="S928" s="10" t="str">
        <f>IFERROR(__xludf.DUMMYFUNCTION("""COMPUTED_VALUE"""),"No")</f>
        <v>No</v>
      </c>
      <c r="T928" s="10">
        <f>IFERROR(__xludf.DUMMYFUNCTION("""COMPUTED_VALUE"""),0.0)</f>
        <v>0</v>
      </c>
      <c r="U928" s="10">
        <f>IFERROR(__xludf.DUMMYFUNCTION("""COMPUTED_VALUE"""),0.0)</f>
        <v>0</v>
      </c>
      <c r="V928" s="10" t="str">
        <f>IFERROR(__xludf.DUMMYFUNCTION("""COMPUTED_VALUE"""),"پڑوسی کے حقوق")</f>
        <v>پڑوسی کے حقوق</v>
      </c>
      <c r="W928" s="10" t="str">
        <f>IFERROR(__xludf.DUMMYFUNCTION("""COMPUTED_VALUE"""),"پڑوسی کے حقوق بیان کیے ")</f>
        <v>پڑوسی کے حقوق بیان کیے </v>
      </c>
      <c r="X928" s="10">
        <f>IFERROR(__xludf.DUMMYFUNCTION("""COMPUTED_VALUE"""),2.0)</f>
        <v>2</v>
      </c>
      <c r="Y928" s="10">
        <f>IFERROR(__xludf.DUMMYFUNCTION("""COMPUTED_VALUE"""),8.0)</f>
        <v>8</v>
      </c>
      <c r="Z928" s="10">
        <f>IFERROR(__xludf.DUMMYFUNCTION("""COMPUTED_VALUE"""),6.0)</f>
        <v>6</v>
      </c>
      <c r="AA928" s="10">
        <f>IFERROR(__xludf.DUMMYFUNCTION("""COMPUTED_VALUE"""),7.0)</f>
        <v>7</v>
      </c>
      <c r="AB928" s="10">
        <f>IFERROR(__xludf.DUMMYFUNCTION("""COMPUTED_VALUE"""),6.0)</f>
        <v>6</v>
      </c>
      <c r="AC928" s="10">
        <f>IFERROR(__xludf.DUMMYFUNCTION("""COMPUTED_VALUE"""),0.0)</f>
        <v>0</v>
      </c>
      <c r="AD928" s="10">
        <f>IFERROR(__xludf.DUMMYFUNCTION("""COMPUTED_VALUE"""),2.0)</f>
        <v>2</v>
      </c>
      <c r="AE928" s="10">
        <f>IFERROR(__xludf.DUMMYFUNCTION("""COMPUTED_VALUE"""),2.0)</f>
        <v>2</v>
      </c>
      <c r="AF928" s="10">
        <f>IFERROR(__xludf.DUMMYFUNCTION("""COMPUTED_VALUE"""),4.0)</f>
        <v>4</v>
      </c>
      <c r="AG928" s="10">
        <f>IFERROR(__xludf.DUMMYFUNCTION("""COMPUTED_VALUE"""),8.0)</f>
        <v>8</v>
      </c>
      <c r="AH928" s="10">
        <f>IFERROR(__xludf.DUMMYFUNCTION("""COMPUTED_VALUE"""),0.0)</f>
        <v>0</v>
      </c>
      <c r="AI928" s="10">
        <f>IFERROR(__xludf.DUMMYFUNCTION("""COMPUTED_VALUE"""),9.0)</f>
        <v>9</v>
      </c>
      <c r="AJ928" s="11" t="str">
        <f>IFERROR(__xludf.DUMMYFUNCTION("""COMPUTED_VALUE"""),"https://drive.google.com/open?id=1aCTly5T9Y29i5d-54Y18Npu_Yxw9buuT")</f>
        <v>https://drive.google.com/open?id=1aCTly5T9Y29i5d-54Y18Npu_Yxw9buuT</v>
      </c>
      <c r="AK928" s="12"/>
      <c r="AL928" s="12" t="str">
        <f>IFERROR(__xludf.DUMMYFUNCTION("""COMPUTED_VALUE"""),"Yes")</f>
        <v>Yes</v>
      </c>
      <c r="AM928" s="15">
        <f>IFERROR(__xludf.DUMMYFUNCTION("""COMPUTED_VALUE"""),0.8)</f>
        <v>0.8</v>
      </c>
      <c r="AN928" s="12" t="str">
        <f>IFERROR(__xludf.DUMMYFUNCTION("""COMPUTED_VALUE"""),"1st week")</f>
        <v>1st week</v>
      </c>
      <c r="AO928" s="13">
        <v>1.0</v>
      </c>
      <c r="AX928" s="17"/>
    </row>
    <row r="929">
      <c r="B929" s="9">
        <f>IFERROR(__xludf.DUMMYFUNCTION("""COMPUTED_VALUE"""),46028.06857423611)</f>
        <v>46028.06857</v>
      </c>
      <c r="C929" s="10" t="str">
        <f>IFERROR(__xludf.DUMMYFUNCTION("""COMPUTED_VALUE"""),"maham")</f>
        <v>maham</v>
      </c>
      <c r="D929" s="10" t="str">
        <f>IFERROR(__xludf.DUMMYFUNCTION("""COMPUTED_VALUE"""),"03218118680")</f>
        <v>03218118680</v>
      </c>
      <c r="E929" s="10" t="str">
        <f>IFERROR(__xludf.DUMMYFUNCTION("""COMPUTED_VALUE"""),"Jamia Masjid Syed Emam Ali Shah Sangala")</f>
        <v>Jamia Masjid Syed Emam Ali Shah Sangala</v>
      </c>
      <c r="F929" s="10" t="str">
        <f>IFERROR(__xludf.DUMMYFUNCTION("""COMPUTED_VALUE"""),"fboor")</f>
        <v>fboor</v>
      </c>
      <c r="G929" s="10" t="str">
        <f>IFERROR(__xludf.DUMMYFUNCTION("""COMPUTED_VALUE"""),"Yes")</f>
        <v>Yes</v>
      </c>
      <c r="H929" s="10">
        <f>IFERROR(__xludf.DUMMYFUNCTION("""COMPUTED_VALUE"""),8.0)</f>
        <v>8</v>
      </c>
      <c r="I929" s="10">
        <f>IFERROR(__xludf.DUMMYFUNCTION("""COMPUTED_VALUE"""),2.0)</f>
        <v>2</v>
      </c>
      <c r="J929" s="10">
        <f>IFERROR(__xludf.DUMMYFUNCTION("""COMPUTED_VALUE"""),10.0)</f>
        <v>10</v>
      </c>
      <c r="K929" s="10">
        <f>IFERROR(__xludf.DUMMYFUNCTION("""COMPUTED_VALUE"""),10.0)</f>
        <v>10</v>
      </c>
      <c r="L929" s="10">
        <f>IFERROR(__xludf.DUMMYFUNCTION("""COMPUTED_VALUE"""),0.0)</f>
        <v>0</v>
      </c>
      <c r="M929" s="10">
        <f>IFERROR(__xludf.DUMMYFUNCTION("""COMPUTED_VALUE"""),10.0)</f>
        <v>10</v>
      </c>
      <c r="N929" s="10">
        <f>IFERROR(__xludf.DUMMYFUNCTION("""COMPUTED_VALUE"""),0.0)</f>
        <v>0</v>
      </c>
      <c r="O929" s="10">
        <f>IFERROR(__xludf.DUMMYFUNCTION("""COMPUTED_VALUE"""),8.0)</f>
        <v>8</v>
      </c>
      <c r="P929" s="10">
        <f>IFERROR(__xludf.DUMMYFUNCTION("""COMPUTED_VALUE"""),0.0)</f>
        <v>0</v>
      </c>
      <c r="Q929" s="10" t="str">
        <f>IFERROR(__xludf.DUMMYFUNCTION("""COMPUTED_VALUE"""),"No")</f>
        <v>No</v>
      </c>
      <c r="R929" s="10" t="str">
        <f>IFERROR(__xludf.DUMMYFUNCTION("""COMPUTED_VALUE"""),"No")</f>
        <v>No</v>
      </c>
      <c r="S929" s="10" t="str">
        <f>IFERROR(__xludf.DUMMYFUNCTION("""COMPUTED_VALUE"""),"Yes")</f>
        <v>Yes</v>
      </c>
      <c r="T929" s="10">
        <f>IFERROR(__xludf.DUMMYFUNCTION("""COMPUTED_VALUE"""),0.0)</f>
        <v>0</v>
      </c>
      <c r="U929" s="10">
        <f>IFERROR(__xludf.DUMMYFUNCTION("""COMPUTED_VALUE"""),0.0)</f>
        <v>0</v>
      </c>
      <c r="V929" s="10" t="str">
        <f>IFERROR(__xludf.DUMMYFUNCTION("""COMPUTED_VALUE"""),"عورتوں کے حقوق")</f>
        <v>عورتوں کے حقوق</v>
      </c>
      <c r="W929" s="10" t="str">
        <f>IFERROR(__xludf.DUMMYFUNCTION("""COMPUTED_VALUE"""),"عورتوں کے حقوق بیان کیے گئے")</f>
        <v>عورتوں کے حقوق بیان کیے گئے</v>
      </c>
      <c r="X929" s="10">
        <f>IFERROR(__xludf.DUMMYFUNCTION("""COMPUTED_VALUE"""),1.0)</f>
        <v>1</v>
      </c>
      <c r="Y929" s="10">
        <f>IFERROR(__xludf.DUMMYFUNCTION("""COMPUTED_VALUE"""),9.0)</f>
        <v>9</v>
      </c>
      <c r="Z929" s="10">
        <f>IFERROR(__xludf.DUMMYFUNCTION("""COMPUTED_VALUE"""),7.0)</f>
        <v>7</v>
      </c>
      <c r="AA929" s="10">
        <f>IFERROR(__xludf.DUMMYFUNCTION("""COMPUTED_VALUE"""),8.0)</f>
        <v>8</v>
      </c>
      <c r="AB929" s="10">
        <f>IFERROR(__xludf.DUMMYFUNCTION("""COMPUTED_VALUE"""),6.0)</f>
        <v>6</v>
      </c>
      <c r="AC929" s="10">
        <f>IFERROR(__xludf.DUMMYFUNCTION("""COMPUTED_VALUE"""),0.0)</f>
        <v>0</v>
      </c>
      <c r="AD929" s="10">
        <f>IFERROR(__xludf.DUMMYFUNCTION("""COMPUTED_VALUE"""),2.0)</f>
        <v>2</v>
      </c>
      <c r="AE929" s="10">
        <f>IFERROR(__xludf.DUMMYFUNCTION("""COMPUTED_VALUE"""),1.0)</f>
        <v>1</v>
      </c>
      <c r="AF929" s="10">
        <f>IFERROR(__xludf.DUMMYFUNCTION("""COMPUTED_VALUE"""),4.0)</f>
        <v>4</v>
      </c>
      <c r="AG929" s="10">
        <f>IFERROR(__xludf.DUMMYFUNCTION("""COMPUTED_VALUE"""),8.0)</f>
        <v>8</v>
      </c>
      <c r="AH929" s="10">
        <f>IFERROR(__xludf.DUMMYFUNCTION("""COMPUTED_VALUE"""),0.0)</f>
        <v>0</v>
      </c>
      <c r="AI929" s="10">
        <f>IFERROR(__xludf.DUMMYFUNCTION("""COMPUTED_VALUE"""),9.0)</f>
        <v>9</v>
      </c>
      <c r="AJ929" s="11" t="str">
        <f>IFERROR(__xludf.DUMMYFUNCTION("""COMPUTED_VALUE"""),"https://drive.google.com/open?id=1ctBDZBdktC0PIYmsdfgdr6hzGg9olJNf")</f>
        <v>https://drive.google.com/open?id=1ctBDZBdktC0PIYmsdfgdr6hzGg9olJNf</v>
      </c>
      <c r="AK929" s="12"/>
      <c r="AL929" s="12" t="str">
        <f>IFERROR(__xludf.DUMMYFUNCTION("""COMPUTED_VALUE"""),"Yes")</f>
        <v>Yes</v>
      </c>
      <c r="AM929" s="15">
        <f>IFERROR(__xludf.DUMMYFUNCTION("""COMPUTED_VALUE"""),0.9)</f>
        <v>0.9</v>
      </c>
      <c r="AN929" s="12" t="str">
        <f>IFERROR(__xludf.DUMMYFUNCTION("""COMPUTED_VALUE"""),"1st week")</f>
        <v>1st week</v>
      </c>
      <c r="AO929" s="13">
        <v>1.0</v>
      </c>
      <c r="AX929" s="17"/>
    </row>
    <row r="930">
      <c r="B930" s="9">
        <f>IFERROR(__xludf.DUMMYFUNCTION("""COMPUTED_VALUE"""),46028.09571873843)</f>
        <v>46028.09572</v>
      </c>
      <c r="C930" s="10" t="str">
        <f>IFERROR(__xludf.DUMMYFUNCTION("""COMPUTED_VALUE"""),"Maham")</f>
        <v>Maham</v>
      </c>
      <c r="D930" s="10" t="str">
        <f>IFERROR(__xludf.DUMMYFUNCTION("""COMPUTED_VALUE"""),"03204565224")</f>
        <v>03204565224</v>
      </c>
      <c r="E930" s="10" t="str">
        <f>IFERROR(__xludf.DUMMYFUNCTION("""COMPUTED_VALUE"""),"Jamia Masjid Gawaal Mandi Rawalpindi")</f>
        <v>Jamia Masjid Gawaal Mandi Rawalpindi</v>
      </c>
      <c r="F930" s="10" t="str">
        <f>IFERROR(__xludf.DUMMYFUNCTION("""COMPUTED_VALUE"""),"bbyok")</f>
        <v>bbyok</v>
      </c>
      <c r="G930" s="10" t="str">
        <f>IFERROR(__xludf.DUMMYFUNCTION("""COMPUTED_VALUE"""),"Yes")</f>
        <v>Yes</v>
      </c>
      <c r="H930" s="10">
        <f>IFERROR(__xludf.DUMMYFUNCTION("""COMPUTED_VALUE"""),10.0)</f>
        <v>10</v>
      </c>
      <c r="I930" s="10">
        <f>IFERROR(__xludf.DUMMYFUNCTION("""COMPUTED_VALUE"""),0.0)</f>
        <v>0</v>
      </c>
      <c r="J930" s="10">
        <f>IFERROR(__xludf.DUMMYFUNCTION("""COMPUTED_VALUE"""),10.0)</f>
        <v>10</v>
      </c>
      <c r="K930" s="10">
        <f>IFERROR(__xludf.DUMMYFUNCTION("""COMPUTED_VALUE"""),10.0)</f>
        <v>10</v>
      </c>
      <c r="L930" s="10">
        <f>IFERROR(__xludf.DUMMYFUNCTION("""COMPUTED_VALUE"""),0.0)</f>
        <v>0</v>
      </c>
      <c r="M930" s="10">
        <f>IFERROR(__xludf.DUMMYFUNCTION("""COMPUTED_VALUE"""),10.0)</f>
        <v>10</v>
      </c>
      <c r="N930" s="10">
        <f>IFERROR(__xludf.DUMMYFUNCTION("""COMPUTED_VALUE"""),0.0)</f>
        <v>0</v>
      </c>
      <c r="O930" s="10">
        <f>IFERROR(__xludf.DUMMYFUNCTION("""COMPUTED_VALUE"""),10.0)</f>
        <v>10</v>
      </c>
      <c r="P930" s="10">
        <f>IFERROR(__xludf.DUMMYFUNCTION("""COMPUTED_VALUE"""),0.0)</f>
        <v>0</v>
      </c>
      <c r="Q930" s="10" t="str">
        <f>IFERROR(__xludf.DUMMYFUNCTION("""COMPUTED_VALUE"""),"Yes")</f>
        <v>Yes</v>
      </c>
      <c r="R930" s="10" t="str">
        <f>IFERROR(__xludf.DUMMYFUNCTION("""COMPUTED_VALUE"""),"No")</f>
        <v>No</v>
      </c>
      <c r="S930" s="10" t="str">
        <f>IFERROR(__xludf.DUMMYFUNCTION("""COMPUTED_VALUE"""),"Yes")</f>
        <v>Yes</v>
      </c>
      <c r="T930" s="10">
        <f>IFERROR(__xludf.DUMMYFUNCTION("""COMPUTED_VALUE"""),0.0)</f>
        <v>0</v>
      </c>
      <c r="U930" s="10">
        <f>IFERROR(__xludf.DUMMYFUNCTION("""COMPUTED_VALUE"""),0.0)</f>
        <v>0</v>
      </c>
      <c r="V930" s="10" t="str">
        <f>IFERROR(__xludf.DUMMYFUNCTION("""COMPUTED_VALUE"""),"عورتوں کے حقوق")</f>
        <v>عورتوں کے حقوق</v>
      </c>
      <c r="W930" s="10" t="str">
        <f>IFERROR(__xludf.DUMMYFUNCTION("""COMPUTED_VALUE"""),"عورتوں کے حقوق بیان کیے گئے")</f>
        <v>عورتوں کے حقوق بیان کیے گئے</v>
      </c>
      <c r="X930" s="10">
        <f>IFERROR(__xludf.DUMMYFUNCTION("""COMPUTED_VALUE"""),5.0)</f>
        <v>5</v>
      </c>
      <c r="Y930" s="10">
        <f>IFERROR(__xludf.DUMMYFUNCTION("""COMPUTED_VALUE"""),10.0)</f>
        <v>10</v>
      </c>
      <c r="Z930" s="10">
        <f>IFERROR(__xludf.DUMMYFUNCTION("""COMPUTED_VALUE"""),6.0)</f>
        <v>6</v>
      </c>
      <c r="AA930" s="10">
        <f>IFERROR(__xludf.DUMMYFUNCTION("""COMPUTED_VALUE"""),8.0)</f>
        <v>8</v>
      </c>
      <c r="AB930" s="10">
        <f>IFERROR(__xludf.DUMMYFUNCTION("""COMPUTED_VALUE"""),7.0)</f>
        <v>7</v>
      </c>
      <c r="AC930" s="10">
        <f>IFERROR(__xludf.DUMMYFUNCTION("""COMPUTED_VALUE"""),1.0)</f>
        <v>1</v>
      </c>
      <c r="AD930" s="10">
        <f>IFERROR(__xludf.DUMMYFUNCTION("""COMPUTED_VALUE"""),3.0)</f>
        <v>3</v>
      </c>
      <c r="AE930" s="10">
        <f>IFERROR(__xludf.DUMMYFUNCTION("""COMPUTED_VALUE"""),1.0)</f>
        <v>1</v>
      </c>
      <c r="AF930" s="10">
        <f>IFERROR(__xludf.DUMMYFUNCTION("""COMPUTED_VALUE"""),4.0)</f>
        <v>4</v>
      </c>
      <c r="AG930" s="10">
        <f>IFERROR(__xludf.DUMMYFUNCTION("""COMPUTED_VALUE"""),9.0)</f>
        <v>9</v>
      </c>
      <c r="AH930" s="10">
        <f>IFERROR(__xludf.DUMMYFUNCTION("""COMPUTED_VALUE"""),0.0)</f>
        <v>0</v>
      </c>
      <c r="AI930" s="10">
        <f>IFERROR(__xludf.DUMMYFUNCTION("""COMPUTED_VALUE"""),10.0)</f>
        <v>10</v>
      </c>
      <c r="AJ930" s="11" t="str">
        <f>IFERROR(__xludf.DUMMYFUNCTION("""COMPUTED_VALUE"""),"https://drive.google.com/open?id=1ICDAawc92E5i5PDUqUHLujTz2ZPgF23n")</f>
        <v>https://drive.google.com/open?id=1ICDAawc92E5i5PDUqUHLujTz2ZPgF23n</v>
      </c>
      <c r="AK930" s="12"/>
      <c r="AL930" s="12" t="str">
        <f>IFERROR(__xludf.DUMMYFUNCTION("""COMPUTED_VALUE"""),"Yes")</f>
        <v>Yes</v>
      </c>
      <c r="AM930" s="15">
        <f>IFERROR(__xludf.DUMMYFUNCTION("""COMPUTED_VALUE"""),1.0)</f>
        <v>1</v>
      </c>
      <c r="AN930" s="12" t="str">
        <f>IFERROR(__xludf.DUMMYFUNCTION("""COMPUTED_VALUE"""),"1st week")</f>
        <v>1st week</v>
      </c>
      <c r="AO930" s="13">
        <v>1.0</v>
      </c>
      <c r="AX930" s="17"/>
    </row>
    <row r="931">
      <c r="B931" s="9">
        <f>IFERROR(__xludf.DUMMYFUNCTION("""COMPUTED_VALUE"""),46028.14604997685)</f>
        <v>46028.14605</v>
      </c>
      <c r="C931" s="10" t="str">
        <f>IFERROR(__xludf.DUMMYFUNCTION("""COMPUTED_VALUE"""),"Maham")</f>
        <v>Maham</v>
      </c>
      <c r="D931" s="10" t="str">
        <f>IFERROR(__xludf.DUMMYFUNCTION("""COMPUTED_VALUE"""),"03218118680")</f>
        <v>03218118680</v>
      </c>
      <c r="E931" s="10" t="str">
        <f>IFERROR(__xludf.DUMMYFUNCTION("""COMPUTED_VALUE"""),"Jamia Masjid Darbar Peer Abdul Ghani Rawalpindi")</f>
        <v>Jamia Masjid Darbar Peer Abdul Ghani Rawalpindi</v>
      </c>
      <c r="F931" s="10" t="str">
        <f>IFERROR(__xludf.DUMMYFUNCTION("""COMPUTED_VALUE"""),"opiuv")</f>
        <v>opiuv</v>
      </c>
      <c r="G931" s="10" t="str">
        <f>IFERROR(__xludf.DUMMYFUNCTION("""COMPUTED_VALUE"""),"Yes")</f>
        <v>Yes</v>
      </c>
      <c r="H931" s="10">
        <f>IFERROR(__xludf.DUMMYFUNCTION("""COMPUTED_VALUE"""),3.0)</f>
        <v>3</v>
      </c>
      <c r="I931" s="10">
        <f>IFERROR(__xludf.DUMMYFUNCTION("""COMPUTED_VALUE"""),7.0)</f>
        <v>7</v>
      </c>
      <c r="J931" s="10">
        <f>IFERROR(__xludf.DUMMYFUNCTION("""COMPUTED_VALUE"""),9.0)</f>
        <v>9</v>
      </c>
      <c r="K931" s="10">
        <f>IFERROR(__xludf.DUMMYFUNCTION("""COMPUTED_VALUE"""),9.0)</f>
        <v>9</v>
      </c>
      <c r="L931" s="10">
        <f>IFERROR(__xludf.DUMMYFUNCTION("""COMPUTED_VALUE"""),0.0)</f>
        <v>0</v>
      </c>
      <c r="M931" s="10">
        <f>IFERROR(__xludf.DUMMYFUNCTION("""COMPUTED_VALUE"""),9.0)</f>
        <v>9</v>
      </c>
      <c r="N931" s="10">
        <f>IFERROR(__xludf.DUMMYFUNCTION("""COMPUTED_VALUE"""),0.0)</f>
        <v>0</v>
      </c>
      <c r="O931" s="10">
        <f>IFERROR(__xludf.DUMMYFUNCTION("""COMPUTED_VALUE"""),6.0)</f>
        <v>6</v>
      </c>
      <c r="P931" s="10">
        <f>IFERROR(__xludf.DUMMYFUNCTION("""COMPUTED_VALUE"""),0.0)</f>
        <v>0</v>
      </c>
      <c r="Q931" s="10" t="str">
        <f>IFERROR(__xludf.DUMMYFUNCTION("""COMPUTED_VALUE"""),"No")</f>
        <v>No</v>
      </c>
      <c r="R931" s="10" t="str">
        <f>IFERROR(__xludf.DUMMYFUNCTION("""COMPUTED_VALUE"""),"No")</f>
        <v>No</v>
      </c>
      <c r="S931" s="10" t="str">
        <f>IFERROR(__xludf.DUMMYFUNCTION("""COMPUTED_VALUE"""),"Yes")</f>
        <v>Yes</v>
      </c>
      <c r="T931" s="10">
        <f>IFERROR(__xludf.DUMMYFUNCTION("""COMPUTED_VALUE"""),0.0)</f>
        <v>0</v>
      </c>
      <c r="U931" s="10">
        <f>IFERROR(__xludf.DUMMYFUNCTION("""COMPUTED_VALUE"""),0.0)</f>
        <v>0</v>
      </c>
      <c r="V931" s="10" t="str">
        <f>IFERROR(__xludf.DUMMYFUNCTION("""COMPUTED_VALUE"""),"عورتوں کے حقوق")</f>
        <v>عورتوں کے حقوق</v>
      </c>
      <c r="W931" s="10" t="str">
        <f>IFERROR(__xludf.DUMMYFUNCTION("""COMPUTED_VALUE"""),"عورتوں کے حقوق بیان کیے گئے اور والدین کی اہمیت")</f>
        <v>عورتوں کے حقوق بیان کیے گئے اور والدین کی اہمیت</v>
      </c>
      <c r="X931" s="10">
        <f>IFERROR(__xludf.DUMMYFUNCTION("""COMPUTED_VALUE"""),1.0)</f>
        <v>1</v>
      </c>
      <c r="Y931" s="10">
        <f>IFERROR(__xludf.DUMMYFUNCTION("""COMPUTED_VALUE"""),9.0)</f>
        <v>9</v>
      </c>
      <c r="Z931" s="10">
        <f>IFERROR(__xludf.DUMMYFUNCTION("""COMPUTED_VALUE"""),6.0)</f>
        <v>6</v>
      </c>
      <c r="AA931" s="10">
        <f>IFERROR(__xludf.DUMMYFUNCTION("""COMPUTED_VALUE"""),8.0)</f>
        <v>8</v>
      </c>
      <c r="AB931" s="10">
        <f>IFERROR(__xludf.DUMMYFUNCTION("""COMPUTED_VALUE"""),6.0)</f>
        <v>6</v>
      </c>
      <c r="AC931" s="10">
        <f>IFERROR(__xludf.DUMMYFUNCTION("""COMPUTED_VALUE"""),0.0)</f>
        <v>0</v>
      </c>
      <c r="AD931" s="10">
        <f>IFERROR(__xludf.DUMMYFUNCTION("""COMPUTED_VALUE"""),2.0)</f>
        <v>2</v>
      </c>
      <c r="AE931" s="10">
        <f>IFERROR(__xludf.DUMMYFUNCTION("""COMPUTED_VALUE"""),0.0)</f>
        <v>0</v>
      </c>
      <c r="AF931" s="10">
        <f>IFERROR(__xludf.DUMMYFUNCTION("""COMPUTED_VALUE"""),4.0)</f>
        <v>4</v>
      </c>
      <c r="AG931" s="10">
        <f>IFERROR(__xludf.DUMMYFUNCTION("""COMPUTED_VALUE"""),8.0)</f>
        <v>8</v>
      </c>
      <c r="AH931" s="10">
        <f>IFERROR(__xludf.DUMMYFUNCTION("""COMPUTED_VALUE"""),0.0)</f>
        <v>0</v>
      </c>
      <c r="AI931" s="10">
        <f>IFERROR(__xludf.DUMMYFUNCTION("""COMPUTED_VALUE"""),9.0)</f>
        <v>9</v>
      </c>
      <c r="AJ931" s="11" t="str">
        <f>IFERROR(__xludf.DUMMYFUNCTION("""COMPUTED_VALUE"""),"https://drive.google.com/open?id=1jEea5eObqc3VBTLLGQVyDSGE9L7cHchz")</f>
        <v>https://drive.google.com/open?id=1jEea5eObqc3VBTLLGQVyDSGE9L7cHchz</v>
      </c>
      <c r="AK931" s="12"/>
      <c r="AL931" s="12" t="str">
        <f>IFERROR(__xludf.DUMMYFUNCTION("""COMPUTED_VALUE"""),"Yes")</f>
        <v>Yes</v>
      </c>
      <c r="AM931" s="15">
        <f>IFERROR(__xludf.DUMMYFUNCTION("""COMPUTED_VALUE"""),0.9)</f>
        <v>0.9</v>
      </c>
      <c r="AN931" s="12" t="str">
        <f>IFERROR(__xludf.DUMMYFUNCTION("""COMPUTED_VALUE"""),"2nd week")</f>
        <v>2nd week</v>
      </c>
      <c r="AO931" s="13">
        <v>2.0</v>
      </c>
      <c r="AX931" s="17"/>
    </row>
    <row r="932">
      <c r="B932" s="9">
        <f>IFERROR(__xludf.DUMMYFUNCTION("""COMPUTED_VALUE"""),46028.33927008102)</f>
        <v>46028.33927</v>
      </c>
      <c r="C932" s="10" t="str">
        <f>IFERROR(__xludf.DUMMYFUNCTION("""COMPUTED_VALUE"""),"maham")</f>
        <v>maham</v>
      </c>
      <c r="D932" s="10" t="str">
        <f>IFERROR(__xludf.DUMMYFUNCTION("""COMPUTED_VALUE"""),"03218118680")</f>
        <v>03218118680</v>
      </c>
      <c r="E932" s="10" t="str">
        <f>IFERROR(__xludf.DUMMYFUNCTION("""COMPUTED_VALUE"""),"Jamia Masjid Akbari Mohanpura")</f>
        <v>Jamia Masjid Akbari Mohanpura</v>
      </c>
      <c r="F932" s="10" t="str">
        <f>IFERROR(__xludf.DUMMYFUNCTION("""COMPUTED_VALUE"""),"gdglp")</f>
        <v>gdglp</v>
      </c>
      <c r="G932" s="10" t="str">
        <f>IFERROR(__xludf.DUMMYFUNCTION("""COMPUTED_VALUE"""),"Yes")</f>
        <v>Yes</v>
      </c>
      <c r="H932" s="10">
        <f>IFERROR(__xludf.DUMMYFUNCTION("""COMPUTED_VALUE"""),4.0)</f>
        <v>4</v>
      </c>
      <c r="I932" s="10">
        <f>IFERROR(__xludf.DUMMYFUNCTION("""COMPUTED_VALUE"""),6.0)</f>
        <v>6</v>
      </c>
      <c r="J932" s="10">
        <f>IFERROR(__xludf.DUMMYFUNCTION("""COMPUTED_VALUE"""),10.0)</f>
        <v>10</v>
      </c>
      <c r="K932" s="10">
        <f>IFERROR(__xludf.DUMMYFUNCTION("""COMPUTED_VALUE"""),0.0)</f>
        <v>0</v>
      </c>
      <c r="L932" s="10">
        <f>IFERROR(__xludf.DUMMYFUNCTION("""COMPUTED_VALUE"""),10.0)</f>
        <v>10</v>
      </c>
      <c r="M932" s="10">
        <f>IFERROR(__xludf.DUMMYFUNCTION("""COMPUTED_VALUE"""),0.0)</f>
        <v>0</v>
      </c>
      <c r="N932" s="10">
        <f>IFERROR(__xludf.DUMMYFUNCTION("""COMPUTED_VALUE"""),10.0)</f>
        <v>10</v>
      </c>
      <c r="O932" s="10">
        <f>IFERROR(__xludf.DUMMYFUNCTION("""COMPUTED_VALUE"""),0.0)</f>
        <v>0</v>
      </c>
      <c r="P932" s="10">
        <f>IFERROR(__xludf.DUMMYFUNCTION("""COMPUTED_VALUE"""),10.0)</f>
        <v>10</v>
      </c>
      <c r="Q932" s="10" t="str">
        <f>IFERROR(__xludf.DUMMYFUNCTION("""COMPUTED_VALUE"""),"No")</f>
        <v>No</v>
      </c>
      <c r="R932" s="10" t="str">
        <f>IFERROR(__xludf.DUMMYFUNCTION("""COMPUTED_VALUE"""),"No")</f>
        <v>No</v>
      </c>
      <c r="S932" s="10" t="str">
        <f>IFERROR(__xludf.DUMMYFUNCTION("""COMPUTED_VALUE"""),"Yes")</f>
        <v>Yes</v>
      </c>
      <c r="T932" s="10">
        <f>IFERROR(__xludf.DUMMYFUNCTION("""COMPUTED_VALUE"""),0.0)</f>
        <v>0</v>
      </c>
      <c r="U932" s="10">
        <f>IFERROR(__xludf.DUMMYFUNCTION("""COMPUTED_VALUE"""),0.0)</f>
        <v>0</v>
      </c>
      <c r="V932" s="10" t="str">
        <f>IFERROR(__xludf.DUMMYFUNCTION("""COMPUTED_VALUE"""),"پڑوسیوں کے حقوق")</f>
        <v>پڑوسیوں کے حقوق</v>
      </c>
      <c r="W932" s="10" t="str">
        <f>IFERROR(__xludf.DUMMYFUNCTION("""COMPUTED_VALUE"""),"پڑوسیوں کے حقوق بیان کی")</f>
        <v>پڑوسیوں کے حقوق بیان کی</v>
      </c>
      <c r="X932" s="10">
        <f>IFERROR(__xludf.DUMMYFUNCTION("""COMPUTED_VALUE"""),2.0)</f>
        <v>2</v>
      </c>
      <c r="Y932" s="10">
        <f>IFERROR(__xludf.DUMMYFUNCTION("""COMPUTED_VALUE"""),8.0)</f>
        <v>8</v>
      </c>
      <c r="Z932" s="10">
        <f>IFERROR(__xludf.DUMMYFUNCTION("""COMPUTED_VALUE"""),8.0)</f>
        <v>8</v>
      </c>
      <c r="AA932" s="10">
        <f>IFERROR(__xludf.DUMMYFUNCTION("""COMPUTED_VALUE"""),9.0)</f>
        <v>9</v>
      </c>
      <c r="AB932" s="10">
        <f>IFERROR(__xludf.DUMMYFUNCTION("""COMPUTED_VALUE"""),7.0)</f>
        <v>7</v>
      </c>
      <c r="AC932" s="10">
        <f>IFERROR(__xludf.DUMMYFUNCTION("""COMPUTED_VALUE"""),0.0)</f>
        <v>0</v>
      </c>
      <c r="AD932" s="10">
        <f>IFERROR(__xludf.DUMMYFUNCTION("""COMPUTED_VALUE"""),3.0)</f>
        <v>3</v>
      </c>
      <c r="AE932" s="10">
        <f>IFERROR(__xludf.DUMMYFUNCTION("""COMPUTED_VALUE"""),0.0)</f>
        <v>0</v>
      </c>
      <c r="AF932" s="10">
        <f>IFERROR(__xludf.DUMMYFUNCTION("""COMPUTED_VALUE"""),3.0)</f>
        <v>3</v>
      </c>
      <c r="AG932" s="10">
        <f>IFERROR(__xludf.DUMMYFUNCTION("""COMPUTED_VALUE"""),8.0)</f>
        <v>8</v>
      </c>
      <c r="AH932" s="10">
        <f>IFERROR(__xludf.DUMMYFUNCTION("""COMPUTED_VALUE"""),0.0)</f>
        <v>0</v>
      </c>
      <c r="AI932" s="10">
        <f>IFERROR(__xludf.DUMMYFUNCTION("""COMPUTED_VALUE"""),9.0)</f>
        <v>9</v>
      </c>
      <c r="AJ932" s="11" t="str">
        <f>IFERROR(__xludf.DUMMYFUNCTION("""COMPUTED_VALUE"""),"https://drive.google.com/open?id=1jXQFz9tWqcKTt4NxkjUN3qEJZB_zPDup")</f>
        <v>https://drive.google.com/open?id=1jXQFz9tWqcKTt4NxkjUN3qEJZB_zPDup</v>
      </c>
      <c r="AK932" s="12"/>
      <c r="AL932" s="12" t="str">
        <f>IFERROR(__xludf.DUMMYFUNCTION("""COMPUTED_VALUE"""),"Yes")</f>
        <v>Yes</v>
      </c>
      <c r="AM932" s="15">
        <f>IFERROR(__xludf.DUMMYFUNCTION("""COMPUTED_VALUE"""),1.0)</f>
        <v>1</v>
      </c>
      <c r="AN932" s="12" t="str">
        <f>IFERROR(__xludf.DUMMYFUNCTION("""COMPUTED_VALUE"""),"2nd week")</f>
        <v>2nd week</v>
      </c>
      <c r="AO932" s="13">
        <v>2.0</v>
      </c>
      <c r="AX932" s="17"/>
    </row>
    <row r="933">
      <c r="B933" s="9">
        <f>IFERROR(__xludf.DUMMYFUNCTION("""COMPUTED_VALUE"""),46028.38026288194)</f>
        <v>46028.38026</v>
      </c>
      <c r="C933" s="10" t="str">
        <f>IFERROR(__xludf.DUMMYFUNCTION("""COMPUTED_VALUE"""),"maham")</f>
        <v>maham</v>
      </c>
      <c r="D933" s="10" t="str">
        <f>IFERROR(__xludf.DUMMYFUNCTION("""COMPUTED_VALUE"""),"03218118680")</f>
        <v>03218118680</v>
      </c>
      <c r="E933" s="10" t="str">
        <f>IFERROR(__xludf.DUMMYFUNCTION("""COMPUTED_VALUE"""),"Jamia Mosjid Daud Shah hakani")</f>
        <v>Jamia Mosjid Daud Shah hakani</v>
      </c>
      <c r="F933" s="10" t="str">
        <f>IFERROR(__xludf.DUMMYFUNCTION("""COMPUTED_VALUE"""),"lnsdx")</f>
        <v>lnsdx</v>
      </c>
      <c r="G933" s="10" t="str">
        <f>IFERROR(__xludf.DUMMYFUNCTION("""COMPUTED_VALUE"""),"Yes")</f>
        <v>Yes</v>
      </c>
      <c r="H933" s="10">
        <f>IFERROR(__xludf.DUMMYFUNCTION("""COMPUTED_VALUE"""),5.0)</f>
        <v>5</v>
      </c>
      <c r="I933" s="10">
        <f>IFERROR(__xludf.DUMMYFUNCTION("""COMPUTED_VALUE"""),5.0)</f>
        <v>5</v>
      </c>
      <c r="J933" s="10">
        <f>IFERROR(__xludf.DUMMYFUNCTION("""COMPUTED_VALUE"""),10.0)</f>
        <v>10</v>
      </c>
      <c r="K933" s="10">
        <f>IFERROR(__xludf.DUMMYFUNCTION("""COMPUTED_VALUE"""),0.0)</f>
        <v>0</v>
      </c>
      <c r="L933" s="10">
        <f>IFERROR(__xludf.DUMMYFUNCTION("""COMPUTED_VALUE"""),9.0)</f>
        <v>9</v>
      </c>
      <c r="M933" s="10">
        <f>IFERROR(__xludf.DUMMYFUNCTION("""COMPUTED_VALUE"""),0.0)</f>
        <v>0</v>
      </c>
      <c r="N933" s="10">
        <f>IFERROR(__xludf.DUMMYFUNCTION("""COMPUTED_VALUE"""),8.0)</f>
        <v>8</v>
      </c>
      <c r="O933" s="10">
        <f>IFERROR(__xludf.DUMMYFUNCTION("""COMPUTED_VALUE"""),0.0)</f>
        <v>0</v>
      </c>
      <c r="P933" s="10">
        <f>IFERROR(__xludf.DUMMYFUNCTION("""COMPUTED_VALUE"""),4.0)</f>
        <v>4</v>
      </c>
      <c r="Q933" s="10" t="str">
        <f>IFERROR(__xludf.DUMMYFUNCTION("""COMPUTED_VALUE"""),"No")</f>
        <v>No</v>
      </c>
      <c r="R933" s="10" t="str">
        <f>IFERROR(__xludf.DUMMYFUNCTION("""COMPUTED_VALUE"""),"No")</f>
        <v>No</v>
      </c>
      <c r="S933" s="10" t="str">
        <f>IFERROR(__xludf.DUMMYFUNCTION("""COMPUTED_VALUE"""),"No")</f>
        <v>No</v>
      </c>
      <c r="T933" s="10">
        <f>IFERROR(__xludf.DUMMYFUNCTION("""COMPUTED_VALUE"""),0.0)</f>
        <v>0</v>
      </c>
      <c r="U933" s="10">
        <f>IFERROR(__xludf.DUMMYFUNCTION("""COMPUTED_VALUE"""),0.0)</f>
        <v>0</v>
      </c>
      <c r="V933" s="10" t="str">
        <f>IFERROR(__xludf.DUMMYFUNCTION("""COMPUTED_VALUE"""),"پڑوسیوں کے حقوق")</f>
        <v>پڑوسیوں کے حقوق</v>
      </c>
      <c r="W933" s="10" t="str">
        <f>IFERROR(__xludf.DUMMYFUNCTION("""COMPUTED_VALUE"""),"پڑوسیوں کے حقوق بیان کیے گئے")</f>
        <v>پڑوسیوں کے حقوق بیان کیے گئے</v>
      </c>
      <c r="X933" s="10">
        <f>IFERROR(__xludf.DUMMYFUNCTION("""COMPUTED_VALUE"""),2.0)</f>
        <v>2</v>
      </c>
      <c r="Y933" s="10">
        <f>IFERROR(__xludf.DUMMYFUNCTION("""COMPUTED_VALUE"""),8.0)</f>
        <v>8</v>
      </c>
      <c r="Z933" s="10">
        <f>IFERROR(__xludf.DUMMYFUNCTION("""COMPUTED_VALUE"""),6.0)</f>
        <v>6</v>
      </c>
      <c r="AA933" s="10">
        <f>IFERROR(__xludf.DUMMYFUNCTION("""COMPUTED_VALUE"""),7.0)</f>
        <v>7</v>
      </c>
      <c r="AB933" s="10">
        <f>IFERROR(__xludf.DUMMYFUNCTION("""COMPUTED_VALUE"""),5.0)</f>
        <v>5</v>
      </c>
      <c r="AC933" s="10">
        <f>IFERROR(__xludf.DUMMYFUNCTION("""COMPUTED_VALUE"""),0.0)</f>
        <v>0</v>
      </c>
      <c r="AD933" s="10">
        <f>IFERROR(__xludf.DUMMYFUNCTION("""COMPUTED_VALUE"""),3.0)</f>
        <v>3</v>
      </c>
      <c r="AE933" s="10">
        <f>IFERROR(__xludf.DUMMYFUNCTION("""COMPUTED_VALUE"""),2.0)</f>
        <v>2</v>
      </c>
      <c r="AF933" s="10">
        <f>IFERROR(__xludf.DUMMYFUNCTION("""COMPUTED_VALUE"""),4.0)</f>
        <v>4</v>
      </c>
      <c r="AG933" s="10">
        <f>IFERROR(__xludf.DUMMYFUNCTION("""COMPUTED_VALUE"""),7.0)</f>
        <v>7</v>
      </c>
      <c r="AH933" s="10">
        <f>IFERROR(__xludf.DUMMYFUNCTION("""COMPUTED_VALUE"""),0.0)</f>
        <v>0</v>
      </c>
      <c r="AI933" s="10">
        <f>IFERROR(__xludf.DUMMYFUNCTION("""COMPUTED_VALUE"""),8.0)</f>
        <v>8</v>
      </c>
      <c r="AJ933" s="11" t="str">
        <f>IFERROR(__xludf.DUMMYFUNCTION("""COMPUTED_VALUE"""),"https://drive.google.com/open?id=1Lu_Zy7ZRqeuh2I2TQ_06IRGKQMUPzA0P")</f>
        <v>https://drive.google.com/open?id=1Lu_Zy7ZRqeuh2I2TQ_06IRGKQMUPzA0P</v>
      </c>
      <c r="AK933" s="12"/>
      <c r="AL933" s="12" t="str">
        <f>IFERROR(__xludf.DUMMYFUNCTION("""COMPUTED_VALUE"""),"Yes")</f>
        <v>Yes</v>
      </c>
      <c r="AM933" s="15">
        <f>IFERROR(__xludf.DUMMYFUNCTION("""COMPUTED_VALUE"""),0.7)</f>
        <v>0.7</v>
      </c>
      <c r="AN933" s="12" t="str">
        <f>IFERROR(__xludf.DUMMYFUNCTION("""COMPUTED_VALUE"""),"2nd week")</f>
        <v>2nd week</v>
      </c>
      <c r="AO933" s="13">
        <v>2.0</v>
      </c>
      <c r="AX933" s="17"/>
    </row>
    <row r="934">
      <c r="B934" s="9">
        <f>IFERROR(__xludf.DUMMYFUNCTION("""COMPUTED_VALUE"""),46029.098227407405)</f>
        <v>46029.09823</v>
      </c>
      <c r="C934" s="10" t="str">
        <f>IFERROR(__xludf.DUMMYFUNCTION("""COMPUTED_VALUE"""),"Atiqa")</f>
        <v>Atiqa</v>
      </c>
      <c r="D934" s="10" t="str">
        <f>IFERROR(__xludf.DUMMYFUNCTION("""COMPUTED_VALUE"""),"03157519977")</f>
        <v>03157519977</v>
      </c>
      <c r="E934" s="10" t="str">
        <f>IFERROR(__xludf.DUMMYFUNCTION("""COMPUTED_VALUE"""),"Jamia Masjid Darbar Gohar Ali Shah Bakarmandi")</f>
        <v>Jamia Masjid Darbar Gohar Ali Shah Bakarmandi</v>
      </c>
      <c r="F934" s="10" t="str">
        <f>IFERROR(__xludf.DUMMYFUNCTION("""COMPUTED_VALUE"""),"omcbn")</f>
        <v>omcbn</v>
      </c>
      <c r="G934" s="10" t="str">
        <f>IFERROR(__xludf.DUMMYFUNCTION("""COMPUTED_VALUE"""),"Yes")</f>
        <v>Yes</v>
      </c>
      <c r="H934" s="10">
        <f>IFERROR(__xludf.DUMMYFUNCTION("""COMPUTED_VALUE"""),0.0)</f>
        <v>0</v>
      </c>
      <c r="I934" s="10">
        <f>IFERROR(__xludf.DUMMYFUNCTION("""COMPUTED_VALUE"""),10.0)</f>
        <v>10</v>
      </c>
      <c r="J934" s="10">
        <f>IFERROR(__xludf.DUMMYFUNCTION("""COMPUTED_VALUE"""),0.0)</f>
        <v>0</v>
      </c>
      <c r="K934" s="10">
        <f>IFERROR(__xludf.DUMMYFUNCTION("""COMPUTED_VALUE"""),0.0)</f>
        <v>0</v>
      </c>
      <c r="L934" s="10">
        <f>IFERROR(__xludf.DUMMYFUNCTION("""COMPUTED_VALUE"""),0.0)</f>
        <v>0</v>
      </c>
      <c r="M934" s="10">
        <f>IFERROR(__xludf.DUMMYFUNCTION("""COMPUTED_VALUE"""),0.0)</f>
        <v>0</v>
      </c>
      <c r="N934" s="10">
        <f>IFERROR(__xludf.DUMMYFUNCTION("""COMPUTED_VALUE"""),0.0)</f>
        <v>0</v>
      </c>
      <c r="O934" s="10">
        <f>IFERROR(__xludf.DUMMYFUNCTION("""COMPUTED_VALUE"""),0.0)</f>
        <v>0</v>
      </c>
      <c r="P934" s="10">
        <f>IFERROR(__xludf.DUMMYFUNCTION("""COMPUTED_VALUE"""),0.0)</f>
        <v>0</v>
      </c>
      <c r="Q934" s="10" t="str">
        <f>IFERROR(__xludf.DUMMYFUNCTION("""COMPUTED_VALUE"""),"No")</f>
        <v>No</v>
      </c>
      <c r="R934" s="10" t="str">
        <f>IFERROR(__xludf.DUMMYFUNCTION("""COMPUTED_VALUE"""),"No")</f>
        <v>No</v>
      </c>
      <c r="S934" s="10" t="str">
        <f>IFERROR(__xludf.DUMMYFUNCTION("""COMPUTED_VALUE"""),"No")</f>
        <v>No</v>
      </c>
      <c r="T934" s="10">
        <f>IFERROR(__xludf.DUMMYFUNCTION("""COMPUTED_VALUE"""),0.0)</f>
        <v>0</v>
      </c>
      <c r="U934" s="10">
        <f>IFERROR(__xludf.DUMMYFUNCTION("""COMPUTED_VALUE"""),0.0)</f>
        <v>0</v>
      </c>
      <c r="V934" s="10" t="str">
        <f>IFERROR(__xludf.DUMMYFUNCTION("""COMPUTED_VALUE"""),"۱۔ ماہ رجب کی مناسبتیں ۲۔  نسبت مصطفی صلی اللہ علیہ والہ وسلم ")</f>
        <v>۱۔ ماہ رجب کی مناسبتیں ۲۔  نسبت مصطفی صلی اللہ علیہ والہ وسلم </v>
      </c>
      <c r="W934" s="10" t="str">
        <f>IFERROR(__xludf.DUMMYFUNCTION("""COMPUTED_VALUE"""),"امام نے بیان کیا کہ ماہ رجب عظمتوں اور حرمت والے مہینوں میں سے ایک مہینہ ہے مہینے میں ایک روزہ رکھنے کا ثواب ایک سال روزہ رکھنے کے برابر، امام نے اس ماہ رجب کے مہینے میں عظیم  ہستیوں کی ولادت اور شہادت ہوئی ان کا ذکر کیا، تمام نے حضور پاک صلی اللہ علیہ وس"&amp;"لم کی ال سے محبت اور عقیدت کرنے کا کہا، اور حضرت علی رضی اللہ تعالی عنہ کی شان عظمت اور کمالات بیان کیے۔ ")</f>
        <v>امام نے بیان کیا کہ ماہ رجب عظمتوں اور حرمت والے مہینوں میں سے ایک مہینہ ہے مہینے میں ایک روزہ رکھنے کا ثواب ایک سال روزہ رکھنے کے برابر، امام نے اس ماہ رجب کے مہینے میں عظیم  ہستیوں کی ولادت اور شہادت ہوئی ان کا ذکر کیا، تمام نے حضور پاک صلی اللہ علیہ وسلم کی ال سے محبت اور عقیدت کرنے کا کہا، اور حضرت علی رضی اللہ تعالی عنہ کی شان عظمت اور کمالات بیان کیے۔ </v>
      </c>
      <c r="X934" s="10">
        <f>IFERROR(__xludf.DUMMYFUNCTION("""COMPUTED_VALUE"""),7.0)</f>
        <v>7</v>
      </c>
      <c r="Y934" s="10">
        <f>IFERROR(__xludf.DUMMYFUNCTION("""COMPUTED_VALUE"""),3.0)</f>
        <v>3</v>
      </c>
      <c r="Z934" s="10">
        <f>IFERROR(__xludf.DUMMYFUNCTION("""COMPUTED_VALUE"""),3.0)</f>
        <v>3</v>
      </c>
      <c r="AA934" s="10">
        <f>IFERROR(__xludf.DUMMYFUNCTION("""COMPUTED_VALUE"""),8.0)</f>
        <v>8</v>
      </c>
      <c r="AB934" s="10">
        <f>IFERROR(__xludf.DUMMYFUNCTION("""COMPUTED_VALUE"""),7.0)</f>
        <v>7</v>
      </c>
      <c r="AC934" s="10">
        <f>IFERROR(__xludf.DUMMYFUNCTION("""COMPUTED_VALUE"""),0.0)</f>
        <v>0</v>
      </c>
      <c r="AD934" s="10">
        <f>IFERROR(__xludf.DUMMYFUNCTION("""COMPUTED_VALUE"""),0.0)</f>
        <v>0</v>
      </c>
      <c r="AE934" s="10">
        <f>IFERROR(__xludf.DUMMYFUNCTION("""COMPUTED_VALUE"""),1.0)</f>
        <v>1</v>
      </c>
      <c r="AF934" s="10">
        <f>IFERROR(__xludf.DUMMYFUNCTION("""COMPUTED_VALUE"""),4.0)</f>
        <v>4</v>
      </c>
      <c r="AG934" s="10">
        <f>IFERROR(__xludf.DUMMYFUNCTION("""COMPUTED_VALUE"""),8.0)</f>
        <v>8</v>
      </c>
      <c r="AH934" s="10">
        <f>IFERROR(__xludf.DUMMYFUNCTION("""COMPUTED_VALUE"""),0.0)</f>
        <v>0</v>
      </c>
      <c r="AI934" s="10">
        <f>IFERROR(__xludf.DUMMYFUNCTION("""COMPUTED_VALUE"""),8.0)</f>
        <v>8</v>
      </c>
      <c r="AJ934" s="11" t="str">
        <f>IFERROR(__xludf.DUMMYFUNCTION("""COMPUTED_VALUE"""),"https://drive.google.com/open?id=1jGQsRQJdBlMui57GZajF1RoQvcur0Fdmx6P4uUj6QtA")</f>
        <v>https://drive.google.com/open?id=1jGQsRQJdBlMui57GZajF1RoQvcur0Fdmx6P4uUj6QtA</v>
      </c>
      <c r="AK934" s="12"/>
      <c r="AL934" s="12" t="str">
        <f>IFERROR(__xludf.DUMMYFUNCTION("""COMPUTED_VALUE"""),"Yes")</f>
        <v>Yes</v>
      </c>
      <c r="AM934" s="15">
        <f>IFERROR(__xludf.DUMMYFUNCTION("""COMPUTED_VALUE"""),0.0)</f>
        <v>0</v>
      </c>
      <c r="AN934" s="12" t="str">
        <f>IFERROR(__xludf.DUMMYFUNCTION("""COMPUTED_VALUE"""),"3rd week")</f>
        <v>3rd week</v>
      </c>
      <c r="AO934" s="13">
        <v>3.0</v>
      </c>
      <c r="AX934" s="17"/>
    </row>
    <row r="935">
      <c r="B935" s="9">
        <f>IFERROR(__xludf.DUMMYFUNCTION("""COMPUTED_VALUE"""),46029.151136354165)</f>
        <v>46029.15114</v>
      </c>
      <c r="C935" s="10" t="str">
        <f>IFERROR(__xludf.DUMMYFUNCTION("""COMPUTED_VALUE"""),"Atiqa")</f>
        <v>Atiqa</v>
      </c>
      <c r="D935" s="10" t="str">
        <f>IFERROR(__xludf.DUMMYFUNCTION("""COMPUTED_VALUE"""),"03157519977")</f>
        <v>03157519977</v>
      </c>
      <c r="E935" s="10" t="str">
        <f>IFERROR(__xludf.DUMMYFUNCTION("""COMPUTED_VALUE"""),"Jamia Masjid Bhaga Sher Dargali Rawalpindi")</f>
        <v>Jamia Masjid Bhaga Sher Dargali Rawalpindi</v>
      </c>
      <c r="F935" s="10" t="str">
        <f>IFERROR(__xludf.DUMMYFUNCTION("""COMPUTED_VALUE"""),"vzblw")</f>
        <v>vzblw</v>
      </c>
      <c r="G935" s="10" t="str">
        <f>IFERROR(__xludf.DUMMYFUNCTION("""COMPUTED_VALUE"""),"Yes")</f>
        <v>Yes</v>
      </c>
      <c r="H935" s="10">
        <f>IFERROR(__xludf.DUMMYFUNCTION("""COMPUTED_VALUE"""),0.0)</f>
        <v>0</v>
      </c>
      <c r="I935" s="10">
        <f>IFERROR(__xludf.DUMMYFUNCTION("""COMPUTED_VALUE"""),10.0)</f>
        <v>10</v>
      </c>
      <c r="J935" s="10">
        <f>IFERROR(__xludf.DUMMYFUNCTION("""COMPUTED_VALUE"""),0.0)</f>
        <v>0</v>
      </c>
      <c r="K935" s="10">
        <f>IFERROR(__xludf.DUMMYFUNCTION("""COMPUTED_VALUE"""),0.0)</f>
        <v>0</v>
      </c>
      <c r="L935" s="10">
        <f>IFERROR(__xludf.DUMMYFUNCTION("""COMPUTED_VALUE"""),0.0)</f>
        <v>0</v>
      </c>
      <c r="M935" s="10">
        <f>IFERROR(__xludf.DUMMYFUNCTION("""COMPUTED_VALUE"""),0.0)</f>
        <v>0</v>
      </c>
      <c r="N935" s="10">
        <f>IFERROR(__xludf.DUMMYFUNCTION("""COMPUTED_VALUE"""),0.0)</f>
        <v>0</v>
      </c>
      <c r="O935" s="10">
        <f>IFERROR(__xludf.DUMMYFUNCTION("""COMPUTED_VALUE"""),0.0)</f>
        <v>0</v>
      </c>
      <c r="P935" s="10">
        <f>IFERROR(__xludf.DUMMYFUNCTION("""COMPUTED_VALUE"""),0.0)</f>
        <v>0</v>
      </c>
      <c r="Q935" s="10" t="str">
        <f>IFERROR(__xludf.DUMMYFUNCTION("""COMPUTED_VALUE"""),"No")</f>
        <v>No</v>
      </c>
      <c r="R935" s="10" t="str">
        <f>IFERROR(__xludf.DUMMYFUNCTION("""COMPUTED_VALUE"""),"No")</f>
        <v>No</v>
      </c>
      <c r="S935" s="10" t="str">
        <f>IFERROR(__xludf.DUMMYFUNCTION("""COMPUTED_VALUE"""),"No")</f>
        <v>No</v>
      </c>
      <c r="T935" s="10">
        <f>IFERROR(__xludf.DUMMYFUNCTION("""COMPUTED_VALUE"""),0.0)</f>
        <v>0</v>
      </c>
      <c r="U935" s="10">
        <f>IFERROR(__xludf.DUMMYFUNCTION("""COMPUTED_VALUE"""),0.0)</f>
        <v>0</v>
      </c>
      <c r="V935" s="10" t="str">
        <f>IFERROR(__xludf.DUMMYFUNCTION("""COMPUTED_VALUE"""),"علی رضی اللہ تعالی عنہ کی شان اور مقام ")</f>
        <v>علی رضی اللہ تعالی عنہ کی شان اور مقام </v>
      </c>
      <c r="W935" s="10" t="str">
        <f>IFERROR(__xludf.DUMMYFUNCTION("""COMPUTED_VALUE"""),"امام نے سورۃ المجادلہ کی ایات نمبر 11 اور 12 بیان کی کہ کس طرح اللہ تعالی نے پہلے حضور پاک صلی اللہ علیہ وسلم سے بات کرنے سے صدقہ کرنے کا حکم دیا اور حضور پاک صلی اللہ علیہ وسلم کا صدقہ کے متعلق علی رضی اللہ تعالی عنہ سے پوچھنا اور ان کے عرض کرنے پر اللہ "&amp;"تعالی کا اس حکم کو منسوخ کر کے نماز پڑھنے اور اللہ اور اس کے محبوب سے محبت اور اطاعت کرنے کا حکم دینا، علی المرتضی رضی اللہ تعالی عنہ کا اللہ کی مدد سے فتح خیبر کرنا بیان کیا، پاک صلی اللہ علیہ وسلم کا علی المرتضی کو علم کا دروازہ قرار دینا بیان کیا، عمر "&amp;"رضی اللہ تعالی عنہ کا علی المرتضی کو تین چیزوں میں افضل پانا، علی المرتضی رضی اللہ تعالی عنہ کا اپنے علم کے ذریعے بدو عورتوں کے درمیان ہونے والے جھگڑے کو حل کروانا۔")</f>
        <v>امام نے سورۃ المجادلہ کی ایات نمبر 11 اور 12 بیان کی کہ کس طرح اللہ تعالی نے پہلے حضور پاک صلی اللہ علیہ وسلم سے بات کرنے سے صدقہ کرنے کا حکم دیا اور حضور پاک صلی اللہ علیہ وسلم کا صدقہ کے متعلق علی رضی اللہ تعالی عنہ سے پوچھنا اور ان کے عرض کرنے پر اللہ تعالی کا اس حکم کو منسوخ کر کے نماز پڑھنے اور اللہ اور اس کے محبوب سے محبت اور اطاعت کرنے کا حکم دینا، علی المرتضی رضی اللہ تعالی عنہ کا اللہ کی مدد سے فتح خیبر کرنا بیان کیا، پاک صلی اللہ علیہ وسلم کا علی المرتضی کو علم کا دروازہ قرار دینا بیان کیا، عمر رضی اللہ تعالی عنہ کا علی المرتضی کو تین چیزوں میں افضل پانا، علی المرتضی رضی اللہ تعالی عنہ کا اپنے علم کے ذریعے بدو عورتوں کے درمیان ہونے والے جھگڑے کو حل کروانا۔</v>
      </c>
      <c r="X935" s="10">
        <f>IFERROR(__xludf.DUMMYFUNCTION("""COMPUTED_VALUE"""),8.0)</f>
        <v>8</v>
      </c>
      <c r="Y935" s="10">
        <f>IFERROR(__xludf.DUMMYFUNCTION("""COMPUTED_VALUE"""),2.0)</f>
        <v>2</v>
      </c>
      <c r="Z935" s="10">
        <f>IFERROR(__xludf.DUMMYFUNCTION("""COMPUTED_VALUE"""),0.0)</f>
        <v>0</v>
      </c>
      <c r="AA935" s="10">
        <f>IFERROR(__xludf.DUMMYFUNCTION("""COMPUTED_VALUE"""),8.0)</f>
        <v>8</v>
      </c>
      <c r="AB935" s="10">
        <f>IFERROR(__xludf.DUMMYFUNCTION("""COMPUTED_VALUE"""),6.0)</f>
        <v>6</v>
      </c>
      <c r="AC935" s="10">
        <f>IFERROR(__xludf.DUMMYFUNCTION("""COMPUTED_VALUE"""),0.0)</f>
        <v>0</v>
      </c>
      <c r="AD935" s="10">
        <f>IFERROR(__xludf.DUMMYFUNCTION("""COMPUTED_VALUE"""),0.0)</f>
        <v>0</v>
      </c>
      <c r="AE935" s="10">
        <f>IFERROR(__xludf.DUMMYFUNCTION("""COMPUTED_VALUE"""),0.0)</f>
        <v>0</v>
      </c>
      <c r="AF935" s="10">
        <f>IFERROR(__xludf.DUMMYFUNCTION("""COMPUTED_VALUE"""),0.0)</f>
        <v>0</v>
      </c>
      <c r="AG935" s="10">
        <f>IFERROR(__xludf.DUMMYFUNCTION("""COMPUTED_VALUE"""),8.0)</f>
        <v>8</v>
      </c>
      <c r="AH935" s="10">
        <f>IFERROR(__xludf.DUMMYFUNCTION("""COMPUTED_VALUE"""),0.0)</f>
        <v>0</v>
      </c>
      <c r="AI935" s="10">
        <f>IFERROR(__xludf.DUMMYFUNCTION("""COMPUTED_VALUE"""),7.0)</f>
        <v>7</v>
      </c>
      <c r="AJ935" s="11" t="str">
        <f>IFERROR(__xludf.DUMMYFUNCTION("""COMPUTED_VALUE"""),"https://drive.google.com/open?id=1oVyCTUcrMG6Z_Ojgzz2z5b3G5XxQx7Ax2S-61h3FEJ8")</f>
        <v>https://drive.google.com/open?id=1oVyCTUcrMG6Z_Ojgzz2z5b3G5XxQx7Ax2S-61h3FEJ8</v>
      </c>
      <c r="AK935" s="12"/>
      <c r="AL935" s="12" t="str">
        <f>IFERROR(__xludf.DUMMYFUNCTION("""COMPUTED_VALUE"""),"Yes")</f>
        <v>Yes</v>
      </c>
      <c r="AM935" s="15">
        <f>IFERROR(__xludf.DUMMYFUNCTION("""COMPUTED_VALUE"""),0.0)</f>
        <v>0</v>
      </c>
      <c r="AN935" s="12" t="str">
        <f>IFERROR(__xludf.DUMMYFUNCTION("""COMPUTED_VALUE"""),"3rd week")</f>
        <v>3rd week</v>
      </c>
      <c r="AO935" s="13">
        <v>3.0</v>
      </c>
      <c r="AX935" s="17"/>
    </row>
    <row r="936">
      <c r="B936" s="9">
        <f>IFERROR(__xludf.DUMMYFUNCTION("""COMPUTED_VALUE"""),46029.235004490736)</f>
        <v>46029.235</v>
      </c>
      <c r="C936" s="10" t="str">
        <f>IFERROR(__xludf.DUMMYFUNCTION("""COMPUTED_VALUE"""),"Maham")</f>
        <v>Maham</v>
      </c>
      <c r="D936" s="10" t="str">
        <f>IFERROR(__xludf.DUMMYFUNCTION("""COMPUTED_VALUE"""),"03218118680")</f>
        <v>03218118680</v>
      </c>
      <c r="E936" s="10" t="str">
        <f>IFERROR(__xludf.DUMMYFUNCTION("""COMPUTED_VALUE"""),"Jamia Masjid Gawaal Mandi Rawalpindi")</f>
        <v>Jamia Masjid Gawaal Mandi Rawalpindi</v>
      </c>
      <c r="F936" s="10" t="str">
        <f>IFERROR(__xludf.DUMMYFUNCTION("""COMPUTED_VALUE"""),"bbyok")</f>
        <v>bbyok</v>
      </c>
      <c r="G936" s="10" t="str">
        <f>IFERROR(__xludf.DUMMYFUNCTION("""COMPUTED_VALUE"""),"Yes")</f>
        <v>Yes</v>
      </c>
      <c r="H936" s="10">
        <f>IFERROR(__xludf.DUMMYFUNCTION("""COMPUTED_VALUE"""),0.0)</f>
        <v>0</v>
      </c>
      <c r="I936" s="10">
        <f>IFERROR(__xludf.DUMMYFUNCTION("""COMPUTED_VALUE"""),10.0)</f>
        <v>10</v>
      </c>
      <c r="J936" s="10">
        <f>IFERROR(__xludf.DUMMYFUNCTION("""COMPUTED_VALUE"""),0.0)</f>
        <v>0</v>
      </c>
      <c r="K936" s="10">
        <f>IFERROR(__xludf.DUMMYFUNCTION("""COMPUTED_VALUE"""),0.0)</f>
        <v>0</v>
      </c>
      <c r="L936" s="10">
        <f>IFERROR(__xludf.DUMMYFUNCTION("""COMPUTED_VALUE"""),0.0)</f>
        <v>0</v>
      </c>
      <c r="M936" s="10">
        <f>IFERROR(__xludf.DUMMYFUNCTION("""COMPUTED_VALUE"""),0.0)</f>
        <v>0</v>
      </c>
      <c r="N936" s="10">
        <f>IFERROR(__xludf.DUMMYFUNCTION("""COMPUTED_VALUE"""),0.0)</f>
        <v>0</v>
      </c>
      <c r="O936" s="10">
        <f>IFERROR(__xludf.DUMMYFUNCTION("""COMPUTED_VALUE"""),0.0)</f>
        <v>0</v>
      </c>
      <c r="P936" s="10">
        <f>IFERROR(__xludf.DUMMYFUNCTION("""COMPUTED_VALUE"""),0.0)</f>
        <v>0</v>
      </c>
      <c r="Q936" s="10" t="str">
        <f>IFERROR(__xludf.DUMMYFUNCTION("""COMPUTED_VALUE"""),"No")</f>
        <v>No</v>
      </c>
      <c r="R936" s="10" t="str">
        <f>IFERROR(__xludf.DUMMYFUNCTION("""COMPUTED_VALUE"""),"No")</f>
        <v>No</v>
      </c>
      <c r="S936" s="10" t="str">
        <f>IFERROR(__xludf.DUMMYFUNCTION("""COMPUTED_VALUE"""),"No")</f>
        <v>No</v>
      </c>
      <c r="T936" s="10">
        <f>IFERROR(__xludf.DUMMYFUNCTION("""COMPUTED_VALUE"""),0.0)</f>
        <v>0</v>
      </c>
      <c r="U936" s="10">
        <f>IFERROR(__xludf.DUMMYFUNCTION("""COMPUTED_VALUE"""),0.0)</f>
        <v>0</v>
      </c>
      <c r="V936" s="10" t="str">
        <f>IFERROR(__xludf.DUMMYFUNCTION("""COMPUTED_VALUE"""),"دنیا کی زندگی عارضی")</f>
        <v>دنیا کی زندگی عارضی</v>
      </c>
      <c r="W936" s="10" t="str">
        <f>IFERROR(__xludf.DUMMYFUNCTION("""COMPUTED_VALUE"""),"دنیا کی زندگی عارضی ہے ہمیں ان عارضی خوشیوں کو چھوڑ کے اسائشوں کو چھوڑ کے اخرت کی تیاری کرنی ہے جو کہ ہمیشہ رہ جانے والی ہے")</f>
        <v>دنیا کی زندگی عارضی ہے ہمیں ان عارضی خوشیوں کو چھوڑ کے اسائشوں کو چھوڑ کے اخرت کی تیاری کرنی ہے جو کہ ہمیشہ رہ جانے والی ہے</v>
      </c>
      <c r="X936" s="10">
        <f>IFERROR(__xludf.DUMMYFUNCTION("""COMPUTED_VALUE"""),10.0)</f>
        <v>10</v>
      </c>
      <c r="Y936" s="10">
        <f>IFERROR(__xludf.DUMMYFUNCTION("""COMPUTED_VALUE"""),1.0)</f>
        <v>1</v>
      </c>
      <c r="Z936" s="10">
        <f>IFERROR(__xludf.DUMMYFUNCTION("""COMPUTED_VALUE"""),1.0)</f>
        <v>1</v>
      </c>
      <c r="AA936" s="10">
        <f>IFERROR(__xludf.DUMMYFUNCTION("""COMPUTED_VALUE"""),10.0)</f>
        <v>10</v>
      </c>
      <c r="AB936" s="10">
        <f>IFERROR(__xludf.DUMMYFUNCTION("""COMPUTED_VALUE"""),3.0)</f>
        <v>3</v>
      </c>
      <c r="AC936" s="10">
        <f>IFERROR(__xludf.DUMMYFUNCTION("""COMPUTED_VALUE"""),0.0)</f>
        <v>0</v>
      </c>
      <c r="AD936" s="10">
        <f>IFERROR(__xludf.DUMMYFUNCTION("""COMPUTED_VALUE"""),2.0)</f>
        <v>2</v>
      </c>
      <c r="AE936" s="10">
        <f>IFERROR(__xludf.DUMMYFUNCTION("""COMPUTED_VALUE"""),0.0)</f>
        <v>0</v>
      </c>
      <c r="AF936" s="10">
        <f>IFERROR(__xludf.DUMMYFUNCTION("""COMPUTED_VALUE"""),9.0)</f>
        <v>9</v>
      </c>
      <c r="AG936" s="10">
        <f>IFERROR(__xludf.DUMMYFUNCTION("""COMPUTED_VALUE"""),9.0)</f>
        <v>9</v>
      </c>
      <c r="AH936" s="10">
        <f>IFERROR(__xludf.DUMMYFUNCTION("""COMPUTED_VALUE"""),0.0)</f>
        <v>0</v>
      </c>
      <c r="AI936" s="10">
        <f>IFERROR(__xludf.DUMMYFUNCTION("""COMPUTED_VALUE"""),9.0)</f>
        <v>9</v>
      </c>
      <c r="AJ936" s="11" t="str">
        <f>IFERROR(__xludf.DUMMYFUNCTION("""COMPUTED_VALUE"""),"https://drive.google.com/open?id=18Sn90-e8vLKpEowrLKsvqkQeKBgclbhC")</f>
        <v>https://drive.google.com/open?id=18Sn90-e8vLKpEowrLKsvqkQeKBgclbhC</v>
      </c>
      <c r="AK936" s="12"/>
      <c r="AL936" s="12" t="str">
        <f>IFERROR(__xludf.DUMMYFUNCTION("""COMPUTED_VALUE"""),"Yes")</f>
        <v>Yes</v>
      </c>
      <c r="AM936" s="15">
        <f>IFERROR(__xludf.DUMMYFUNCTION("""COMPUTED_VALUE"""),0.0)</f>
        <v>0</v>
      </c>
      <c r="AN936" s="12" t="str">
        <f>IFERROR(__xludf.DUMMYFUNCTION("""COMPUTED_VALUE"""),"3rd week")</f>
        <v>3rd week</v>
      </c>
      <c r="AO936" s="13">
        <v>3.0</v>
      </c>
      <c r="AX936" s="17"/>
    </row>
    <row r="937">
      <c r="B937" s="9">
        <f>IFERROR(__xludf.DUMMYFUNCTION("""COMPUTED_VALUE"""),46029.34695508102)</f>
        <v>46029.34696</v>
      </c>
      <c r="C937" s="10" t="str">
        <f>IFERROR(__xludf.DUMMYFUNCTION("""COMPUTED_VALUE"""),"maham")</f>
        <v>maham</v>
      </c>
      <c r="D937" s="10" t="str">
        <f>IFERROR(__xludf.DUMMYFUNCTION("""COMPUTED_VALUE"""),"03218118680")</f>
        <v>03218118680</v>
      </c>
      <c r="E937" s="10" t="str">
        <f>IFERROR(__xludf.DUMMYFUNCTION("""COMPUTED_VALUE"""),"Jamia Masjid Sabzi Mandi Rawalpindi")</f>
        <v>Jamia Masjid Sabzi Mandi Rawalpindi</v>
      </c>
      <c r="F937" s="10" t="str">
        <f>IFERROR(__xludf.DUMMYFUNCTION("""COMPUTED_VALUE"""),"cvcqu")</f>
        <v>cvcqu</v>
      </c>
      <c r="G937" s="10" t="str">
        <f>IFERROR(__xludf.DUMMYFUNCTION("""COMPUTED_VALUE"""),"Yes")</f>
        <v>Yes</v>
      </c>
      <c r="H937" s="10">
        <f>IFERROR(__xludf.DUMMYFUNCTION("""COMPUTED_VALUE"""),1.0)</f>
        <v>1</v>
      </c>
      <c r="I937" s="10">
        <f>IFERROR(__xludf.DUMMYFUNCTION("""COMPUTED_VALUE"""),9.0)</f>
        <v>9</v>
      </c>
      <c r="J937" s="10">
        <f>IFERROR(__xludf.DUMMYFUNCTION("""COMPUTED_VALUE"""),2.0)</f>
        <v>2</v>
      </c>
      <c r="K937" s="10">
        <f>IFERROR(__xludf.DUMMYFUNCTION("""COMPUTED_VALUE"""),0.0)</f>
        <v>0</v>
      </c>
      <c r="L937" s="10">
        <f>IFERROR(__xludf.DUMMYFUNCTION("""COMPUTED_VALUE"""),0.0)</f>
        <v>0</v>
      </c>
      <c r="M937" s="10">
        <f>IFERROR(__xludf.DUMMYFUNCTION("""COMPUTED_VALUE"""),0.0)</f>
        <v>0</v>
      </c>
      <c r="N937" s="10">
        <f>IFERROR(__xludf.DUMMYFUNCTION("""COMPUTED_VALUE"""),0.0)</f>
        <v>0</v>
      </c>
      <c r="O937" s="10">
        <f>IFERROR(__xludf.DUMMYFUNCTION("""COMPUTED_VALUE"""),0.0)</f>
        <v>0</v>
      </c>
      <c r="P937" s="10">
        <f>IFERROR(__xludf.DUMMYFUNCTION("""COMPUTED_VALUE"""),2.0)</f>
        <v>2</v>
      </c>
      <c r="Q937" s="10" t="str">
        <f>IFERROR(__xludf.DUMMYFUNCTION("""COMPUTED_VALUE"""),"No")</f>
        <v>No</v>
      </c>
      <c r="R937" s="10" t="str">
        <f>IFERROR(__xludf.DUMMYFUNCTION("""COMPUTED_VALUE"""),"No")</f>
        <v>No</v>
      </c>
      <c r="S937" s="10" t="str">
        <f>IFERROR(__xludf.DUMMYFUNCTION("""COMPUTED_VALUE"""),"No")</f>
        <v>No</v>
      </c>
      <c r="T937" s="10">
        <f>IFERROR(__xludf.DUMMYFUNCTION("""COMPUTED_VALUE"""),0.0)</f>
        <v>0</v>
      </c>
      <c r="U937" s="10">
        <f>IFERROR(__xludf.DUMMYFUNCTION("""COMPUTED_VALUE"""),0.0)</f>
        <v>0</v>
      </c>
      <c r="V937" s="10" t="str">
        <f>IFERROR(__xludf.DUMMYFUNCTION("""COMPUTED_VALUE"""),"درود پاک کی اہمیت معراج نبی صاف ستھرائی")</f>
        <v>درود پاک کی اہمیت معراج نبی صاف ستھرائی</v>
      </c>
      <c r="W937" s="10" t="str">
        <f>IFERROR(__xludf.DUMMYFUNCTION("""COMPUTED_VALUE"""),"درود پاک کی اہمیت و فضیلت کو بیان کیا گیا معراج نبی کا واقعہ بیان کیا گیا صاف ستھرائی کا حکم دیا گیا صفائی نصف ایمان ہے")</f>
        <v>درود پاک کی اہمیت و فضیلت کو بیان کیا گیا معراج نبی کا واقعہ بیان کیا گیا صاف ستھرائی کا حکم دیا گیا صفائی نصف ایمان ہے</v>
      </c>
      <c r="X937" s="10">
        <f>IFERROR(__xludf.DUMMYFUNCTION("""COMPUTED_VALUE"""),8.0)</f>
        <v>8</v>
      </c>
      <c r="Y937" s="10">
        <f>IFERROR(__xludf.DUMMYFUNCTION("""COMPUTED_VALUE"""),1.0)</f>
        <v>1</v>
      </c>
      <c r="Z937" s="10">
        <f>IFERROR(__xludf.DUMMYFUNCTION("""COMPUTED_VALUE"""),1.0)</f>
        <v>1</v>
      </c>
      <c r="AA937" s="10">
        <f>IFERROR(__xludf.DUMMYFUNCTION("""COMPUTED_VALUE"""),9.0)</f>
        <v>9</v>
      </c>
      <c r="AB937" s="10">
        <f>IFERROR(__xludf.DUMMYFUNCTION("""COMPUTED_VALUE"""),6.0)</f>
        <v>6</v>
      </c>
      <c r="AC937" s="10">
        <f>IFERROR(__xludf.DUMMYFUNCTION("""COMPUTED_VALUE"""),0.0)</f>
        <v>0</v>
      </c>
      <c r="AD937" s="10">
        <f>IFERROR(__xludf.DUMMYFUNCTION("""COMPUTED_VALUE"""),0.0)</f>
        <v>0</v>
      </c>
      <c r="AE937" s="10">
        <f>IFERROR(__xludf.DUMMYFUNCTION("""COMPUTED_VALUE"""),0.0)</f>
        <v>0</v>
      </c>
      <c r="AF937" s="10">
        <f>IFERROR(__xludf.DUMMYFUNCTION("""COMPUTED_VALUE"""),8.0)</f>
        <v>8</v>
      </c>
      <c r="AG937" s="10">
        <f>IFERROR(__xludf.DUMMYFUNCTION("""COMPUTED_VALUE"""),7.0)</f>
        <v>7</v>
      </c>
      <c r="AH937" s="10">
        <f>IFERROR(__xludf.DUMMYFUNCTION("""COMPUTED_VALUE"""),0.0)</f>
        <v>0</v>
      </c>
      <c r="AI937" s="10">
        <f>IFERROR(__xludf.DUMMYFUNCTION("""COMPUTED_VALUE"""),8.0)</f>
        <v>8</v>
      </c>
      <c r="AJ937" s="11" t="str">
        <f>IFERROR(__xludf.DUMMYFUNCTION("""COMPUTED_VALUE"""),"https://drive.google.com/open?id=1OrtrbQSst4iahiTdzP0fhp1Dck30PwhJ")</f>
        <v>https://drive.google.com/open?id=1OrtrbQSst4iahiTdzP0fhp1Dck30PwhJ</v>
      </c>
      <c r="AK937" s="12"/>
      <c r="AL937" s="12" t="str">
        <f>IFERROR(__xludf.DUMMYFUNCTION("""COMPUTED_VALUE"""),"Yes")</f>
        <v>Yes</v>
      </c>
      <c r="AM937" s="15">
        <f>IFERROR(__xludf.DUMMYFUNCTION("""COMPUTED_VALUE"""),0.1)</f>
        <v>0.1</v>
      </c>
      <c r="AN937" s="12" t="str">
        <f>IFERROR(__xludf.DUMMYFUNCTION("""COMPUTED_VALUE"""),"3rd week")</f>
        <v>3rd week</v>
      </c>
      <c r="AO937" s="13">
        <v>3.0</v>
      </c>
      <c r="AX937" s="17"/>
    </row>
    <row r="938">
      <c r="B938" s="9">
        <f>IFERROR(__xludf.DUMMYFUNCTION("""COMPUTED_VALUE"""),46029.39108194444)</f>
        <v>46029.39108</v>
      </c>
      <c r="C938" s="10" t="str">
        <f>IFERROR(__xludf.DUMMYFUNCTION("""COMPUTED_VALUE"""),"Maham")</f>
        <v>Maham</v>
      </c>
      <c r="D938" s="10" t="str">
        <f>IFERROR(__xludf.DUMMYFUNCTION("""COMPUTED_VALUE"""),"03218118680")</f>
        <v>03218118680</v>
      </c>
      <c r="E938" s="10" t="str">
        <f>IFERROR(__xludf.DUMMYFUNCTION("""COMPUTED_VALUE"""),"Jamia Masjid Murre Barori Rawalpindi")</f>
        <v>Jamia Masjid Murre Barori Rawalpindi</v>
      </c>
      <c r="F938" s="10" t="str">
        <f>IFERROR(__xludf.DUMMYFUNCTION("""COMPUTED_VALUE"""),"cxyup")</f>
        <v>cxyup</v>
      </c>
      <c r="G938" s="10" t="str">
        <f>IFERROR(__xludf.DUMMYFUNCTION("""COMPUTED_VALUE"""),"Yes")</f>
        <v>Yes</v>
      </c>
      <c r="H938" s="10">
        <f>IFERROR(__xludf.DUMMYFUNCTION("""COMPUTED_VALUE"""),6.0)</f>
        <v>6</v>
      </c>
      <c r="I938" s="10">
        <f>IFERROR(__xludf.DUMMYFUNCTION("""COMPUTED_VALUE"""),4.0)</f>
        <v>4</v>
      </c>
      <c r="J938" s="10">
        <f>IFERROR(__xludf.DUMMYFUNCTION("""COMPUTED_VALUE"""),10.0)</f>
        <v>10</v>
      </c>
      <c r="K938" s="10">
        <f>IFERROR(__xludf.DUMMYFUNCTION("""COMPUTED_VALUE"""),10.0)</f>
        <v>10</v>
      </c>
      <c r="L938" s="10">
        <f>IFERROR(__xludf.DUMMYFUNCTION("""COMPUTED_VALUE"""),0.0)</f>
        <v>0</v>
      </c>
      <c r="M938" s="10">
        <f>IFERROR(__xludf.DUMMYFUNCTION("""COMPUTED_VALUE"""),8.0)</f>
        <v>8</v>
      </c>
      <c r="N938" s="10">
        <f>IFERROR(__xludf.DUMMYFUNCTION("""COMPUTED_VALUE"""),0.0)</f>
        <v>0</v>
      </c>
      <c r="O938" s="10">
        <f>IFERROR(__xludf.DUMMYFUNCTION("""COMPUTED_VALUE"""),3.0)</f>
        <v>3</v>
      </c>
      <c r="P938" s="10">
        <f>IFERROR(__xludf.DUMMYFUNCTION("""COMPUTED_VALUE"""),0.0)</f>
        <v>0</v>
      </c>
      <c r="Q938" s="10" t="str">
        <f>IFERROR(__xludf.DUMMYFUNCTION("""COMPUTED_VALUE"""),"No")</f>
        <v>No</v>
      </c>
      <c r="R938" s="10" t="str">
        <f>IFERROR(__xludf.DUMMYFUNCTION("""COMPUTED_VALUE"""),"No")</f>
        <v>No</v>
      </c>
      <c r="S938" s="10" t="str">
        <f>IFERROR(__xludf.DUMMYFUNCTION("""COMPUTED_VALUE"""),"No")</f>
        <v>No</v>
      </c>
      <c r="T938" s="10">
        <f>IFERROR(__xludf.DUMMYFUNCTION("""COMPUTED_VALUE"""),1.0)</f>
        <v>1</v>
      </c>
      <c r="U938" s="10">
        <f>IFERROR(__xludf.DUMMYFUNCTION("""COMPUTED_VALUE"""),0.0)</f>
        <v>0</v>
      </c>
      <c r="V938" s="10" t="str">
        <f>IFERROR(__xludf.DUMMYFUNCTION("""COMPUTED_VALUE"""),"عورت کے حقوق")</f>
        <v>عورت کے حقوق</v>
      </c>
      <c r="W938" s="10" t="str">
        <f>IFERROR(__xludf.DUMMYFUNCTION("""COMPUTED_VALUE"""),"عورت کے حقوق بیان کیے گئے")</f>
        <v>عورت کے حقوق بیان کیے گئے</v>
      </c>
      <c r="X938" s="10">
        <f>IFERROR(__xludf.DUMMYFUNCTION("""COMPUTED_VALUE"""),1.0)</f>
        <v>1</v>
      </c>
      <c r="Y938" s="10">
        <f>IFERROR(__xludf.DUMMYFUNCTION("""COMPUTED_VALUE"""),9.0)</f>
        <v>9</v>
      </c>
      <c r="Z938" s="10">
        <f>IFERROR(__xludf.DUMMYFUNCTION("""COMPUTED_VALUE"""),8.0)</f>
        <v>8</v>
      </c>
      <c r="AA938" s="10">
        <f>IFERROR(__xludf.DUMMYFUNCTION("""COMPUTED_VALUE"""),8.0)</f>
        <v>8</v>
      </c>
      <c r="AB938" s="10">
        <f>IFERROR(__xludf.DUMMYFUNCTION("""COMPUTED_VALUE"""),7.0)</f>
        <v>7</v>
      </c>
      <c r="AC938" s="10">
        <f>IFERROR(__xludf.DUMMYFUNCTION("""COMPUTED_VALUE"""),1.0)</f>
        <v>1</v>
      </c>
      <c r="AD938" s="10">
        <f>IFERROR(__xludf.DUMMYFUNCTION("""COMPUTED_VALUE"""),1.0)</f>
        <v>1</v>
      </c>
      <c r="AE938" s="10">
        <f>IFERROR(__xludf.DUMMYFUNCTION("""COMPUTED_VALUE"""),1.0)</f>
        <v>1</v>
      </c>
      <c r="AF938" s="10">
        <f>IFERROR(__xludf.DUMMYFUNCTION("""COMPUTED_VALUE"""),4.0)</f>
        <v>4</v>
      </c>
      <c r="AG938" s="10">
        <f>IFERROR(__xludf.DUMMYFUNCTION("""COMPUTED_VALUE"""),8.0)</f>
        <v>8</v>
      </c>
      <c r="AH938" s="10">
        <f>IFERROR(__xludf.DUMMYFUNCTION("""COMPUTED_VALUE"""),0.0)</f>
        <v>0</v>
      </c>
      <c r="AI938" s="10">
        <f>IFERROR(__xludf.DUMMYFUNCTION("""COMPUTED_VALUE"""),9.0)</f>
        <v>9</v>
      </c>
      <c r="AJ938" s="11" t="str">
        <f>IFERROR(__xludf.DUMMYFUNCTION("""COMPUTED_VALUE"""),"https://drive.google.com/open?id=1UknQxXL6wCR08NTak2MPn_Cp1IZukbZE")</f>
        <v>https://drive.google.com/open?id=1UknQxXL6wCR08NTak2MPn_Cp1IZukbZE</v>
      </c>
      <c r="AK938" s="12"/>
      <c r="AL938" s="12" t="str">
        <f>IFERROR(__xludf.DUMMYFUNCTION("""COMPUTED_VALUE"""),"Yes")</f>
        <v>Yes</v>
      </c>
      <c r="AM938" s="15">
        <f>IFERROR(__xludf.DUMMYFUNCTION("""COMPUTED_VALUE"""),0.8)</f>
        <v>0.8</v>
      </c>
      <c r="AN938" s="12" t="str">
        <f>IFERROR(__xludf.DUMMYFUNCTION("""COMPUTED_VALUE"""),"3rd week")</f>
        <v>3rd week</v>
      </c>
      <c r="AO938" s="13">
        <v>3.0</v>
      </c>
      <c r="AX938" s="17"/>
    </row>
    <row r="939">
      <c r="B939" s="9">
        <f>IFERROR(__xludf.DUMMYFUNCTION("""COMPUTED_VALUE"""),46029.44550215278)</f>
        <v>46029.4455</v>
      </c>
      <c r="C939" s="10" t="str">
        <f>IFERROR(__xludf.DUMMYFUNCTION("""COMPUTED_VALUE"""),"Atiqs")</f>
        <v>Atiqs</v>
      </c>
      <c r="D939" s="10" t="str">
        <f>IFERROR(__xludf.DUMMYFUNCTION("""COMPUTED_VALUE"""),"03157519977")</f>
        <v>03157519977</v>
      </c>
      <c r="E939" s="10" t="str">
        <f>IFERROR(__xludf.DUMMYFUNCTION("""COMPUTED_VALUE"""),"Jamia Masjid Sadique-E-Akbar The Mall Muree")</f>
        <v>Jamia Masjid Sadique-E-Akbar The Mall Muree</v>
      </c>
      <c r="F939" s="10" t="str">
        <f>IFERROR(__xludf.DUMMYFUNCTION("""COMPUTED_VALUE"""),"fkwyh")</f>
        <v>fkwyh</v>
      </c>
      <c r="G939" s="10" t="str">
        <f>IFERROR(__xludf.DUMMYFUNCTION("""COMPUTED_VALUE"""),"Yes")</f>
        <v>Yes</v>
      </c>
      <c r="H939" s="10">
        <f>IFERROR(__xludf.DUMMYFUNCTION("""COMPUTED_VALUE"""),1.0)</f>
        <v>1</v>
      </c>
      <c r="I939" s="10">
        <f>IFERROR(__xludf.DUMMYFUNCTION("""COMPUTED_VALUE"""),9.0)</f>
        <v>9</v>
      </c>
      <c r="J939" s="10">
        <f>IFERROR(__xludf.DUMMYFUNCTION("""COMPUTED_VALUE"""),1.0)</f>
        <v>1</v>
      </c>
      <c r="K939" s="10">
        <f>IFERROR(__xludf.DUMMYFUNCTION("""COMPUTED_VALUE"""),0.0)</f>
        <v>0</v>
      </c>
      <c r="L939" s="10">
        <f>IFERROR(__xludf.DUMMYFUNCTION("""COMPUTED_VALUE"""),1.0)</f>
        <v>1</v>
      </c>
      <c r="M939" s="10">
        <f>IFERROR(__xludf.DUMMYFUNCTION("""COMPUTED_VALUE"""),0.0)</f>
        <v>0</v>
      </c>
      <c r="N939" s="10">
        <f>IFERROR(__xludf.DUMMYFUNCTION("""COMPUTED_VALUE"""),1.0)</f>
        <v>1</v>
      </c>
      <c r="O939" s="10">
        <f>IFERROR(__xludf.DUMMYFUNCTION("""COMPUTED_VALUE"""),0.0)</f>
        <v>0</v>
      </c>
      <c r="P939" s="10">
        <f>IFERROR(__xludf.DUMMYFUNCTION("""COMPUTED_VALUE"""),1.0)</f>
        <v>1</v>
      </c>
      <c r="Q939" s="10" t="str">
        <f>IFERROR(__xludf.DUMMYFUNCTION("""COMPUTED_VALUE"""),"No")</f>
        <v>No</v>
      </c>
      <c r="R939" s="10" t="str">
        <f>IFERROR(__xludf.DUMMYFUNCTION("""COMPUTED_VALUE"""),"No")</f>
        <v>No</v>
      </c>
      <c r="S939" s="10" t="str">
        <f>IFERROR(__xludf.DUMMYFUNCTION("""COMPUTED_VALUE"""),"No")</f>
        <v>No</v>
      </c>
      <c r="T939" s="10">
        <f>IFERROR(__xludf.DUMMYFUNCTION("""COMPUTED_VALUE"""),0.0)</f>
        <v>0</v>
      </c>
      <c r="U939" s="10">
        <f>IFERROR(__xludf.DUMMYFUNCTION("""COMPUTED_VALUE"""),0.0)</f>
        <v>0</v>
      </c>
      <c r="V939" s="10" t="str">
        <f>IFERROR(__xludf.DUMMYFUNCTION("""COMPUTED_VALUE""")," قران سے بندوں کو جوڑنا اور اللہ واحد کی بندگی کی طرف بلانا ")</f>
        <v> قران سے بندوں کو جوڑنا اور اللہ واحد کی بندگی کی طرف بلانا </v>
      </c>
      <c r="W939" s="10" t="str">
        <f>IFERROR(__xludf.DUMMYFUNCTION("""COMPUTED_VALUE"""),"امام نے بیان کیا کہ اللہ رب العزت بار بار اپنے بندوں کو اپنی طرف پکارتا مگر انسان اپنی روز بڑا معاملات میں مصروف ہے وہ اپنی من مرضیاں اور خواہشات کے مطابق چل رہا ہے اور اللہ رب العزت انسان کو مہلت اور ڈیل دیے جا رہا ہے، انسان کا صرف مشکل اور پریشانی میں ہ"&amp;"ی اللہ کو پکارنا،  اور نماز کی ہمیں یہ تو بیان کی کہ نماز کے لیے وضو کرنے سے انسان کے گناہ جھڑتے ہیں، اور حقوق اللہ کے ساتھ حقوق العباد اور پڑوسیوں کے ساتھ اچھا تعلقات کا معاملہ کرنے کا کہا گیا  ")</f>
        <v>امام نے بیان کیا کہ اللہ رب العزت بار بار اپنے بندوں کو اپنی طرف پکارتا مگر انسان اپنی روز بڑا معاملات میں مصروف ہے وہ اپنی من مرضیاں اور خواہشات کے مطابق چل رہا ہے اور اللہ رب العزت انسان کو مہلت اور ڈیل دیے جا رہا ہے، انسان کا صرف مشکل اور پریشانی میں ہی اللہ کو پکارنا،  اور نماز کی ہمیں یہ تو بیان کی کہ نماز کے لیے وضو کرنے سے انسان کے گناہ جھڑتے ہیں، اور حقوق اللہ کے ساتھ حقوق العباد اور پڑوسیوں کے ساتھ اچھا تعلقات کا معاملہ کرنے کا کہا گیا  </v>
      </c>
      <c r="X939" s="10">
        <f>IFERROR(__xludf.DUMMYFUNCTION("""COMPUTED_VALUE"""),9.0)</f>
        <v>9</v>
      </c>
      <c r="Y939" s="10">
        <f>IFERROR(__xludf.DUMMYFUNCTION("""COMPUTED_VALUE"""),1.0)</f>
        <v>1</v>
      </c>
      <c r="Z939" s="10">
        <f>IFERROR(__xludf.DUMMYFUNCTION("""COMPUTED_VALUE"""),4.0)</f>
        <v>4</v>
      </c>
      <c r="AA939" s="10">
        <f>IFERROR(__xludf.DUMMYFUNCTION("""COMPUTED_VALUE"""),8.0)</f>
        <v>8</v>
      </c>
      <c r="AB939" s="10">
        <f>IFERROR(__xludf.DUMMYFUNCTION("""COMPUTED_VALUE"""),4.0)</f>
        <v>4</v>
      </c>
      <c r="AC939" s="10">
        <f>IFERROR(__xludf.DUMMYFUNCTION("""COMPUTED_VALUE"""),0.0)</f>
        <v>0</v>
      </c>
      <c r="AD939" s="10">
        <f>IFERROR(__xludf.DUMMYFUNCTION("""COMPUTED_VALUE"""),0.0)</f>
        <v>0</v>
      </c>
      <c r="AE939" s="10">
        <f>IFERROR(__xludf.DUMMYFUNCTION("""COMPUTED_VALUE"""),0.0)</f>
        <v>0</v>
      </c>
      <c r="AF939" s="10">
        <f>IFERROR(__xludf.DUMMYFUNCTION("""COMPUTED_VALUE"""),0.0)</f>
        <v>0</v>
      </c>
      <c r="AG939" s="10">
        <f>IFERROR(__xludf.DUMMYFUNCTION("""COMPUTED_VALUE"""),8.0)</f>
        <v>8</v>
      </c>
      <c r="AH939" s="10">
        <f>IFERROR(__xludf.DUMMYFUNCTION("""COMPUTED_VALUE"""),0.0)</f>
        <v>0</v>
      </c>
      <c r="AI939" s="10">
        <f>IFERROR(__xludf.DUMMYFUNCTION("""COMPUTED_VALUE"""),9.0)</f>
        <v>9</v>
      </c>
      <c r="AJ939" s="11" t="str">
        <f>IFERROR(__xludf.DUMMYFUNCTION("""COMPUTED_VALUE"""),"https://drive.google.com/open?id=1OfvblRBrGT_7ejSBavenicXMWJeM3ulkWDSWUZ5n22s")</f>
        <v>https://drive.google.com/open?id=1OfvblRBrGT_7ejSBavenicXMWJeM3ulkWDSWUZ5n22s</v>
      </c>
      <c r="AK939" s="12"/>
      <c r="AL939" s="12" t="str">
        <f>IFERROR(__xludf.DUMMYFUNCTION("""COMPUTED_VALUE"""),"Yes")</f>
        <v>Yes</v>
      </c>
      <c r="AM939" s="15">
        <f>IFERROR(__xludf.DUMMYFUNCTION("""COMPUTED_VALUE"""),0.1)</f>
        <v>0.1</v>
      </c>
      <c r="AN939" s="12" t="str">
        <f>IFERROR(__xludf.DUMMYFUNCTION("""COMPUTED_VALUE"""),"3rd week")</f>
        <v>3rd week</v>
      </c>
      <c r="AO939" s="13">
        <v>3.0</v>
      </c>
      <c r="AX939" s="17"/>
    </row>
    <row r="940">
      <c r="B940" s="9">
        <f>IFERROR(__xludf.DUMMYFUNCTION("""COMPUTED_VALUE"""),46030.058196134254)</f>
        <v>46030.0582</v>
      </c>
      <c r="C940" s="10" t="str">
        <f>IFERROR(__xludf.DUMMYFUNCTION("""COMPUTED_VALUE"""),"Atiqa")</f>
        <v>Atiqa</v>
      </c>
      <c r="D940" s="10" t="str">
        <f>IFERROR(__xludf.DUMMYFUNCTION("""COMPUTED_VALUE"""),"03157519977")</f>
        <v>03157519977</v>
      </c>
      <c r="E940" s="10" t="str">
        <f>IFERROR(__xludf.DUMMYFUNCTION("""COMPUTED_VALUE"""),"Jamia Masjid Madina Kabari Bazar Rawalpindi")</f>
        <v>Jamia Masjid Madina Kabari Bazar Rawalpindi</v>
      </c>
      <c r="F940" s="10" t="str">
        <f>IFERROR(__xludf.DUMMYFUNCTION("""COMPUTED_VALUE"""),"izzpy")</f>
        <v>izzpy</v>
      </c>
      <c r="G940" s="10" t="str">
        <f>IFERROR(__xludf.DUMMYFUNCTION("""COMPUTED_VALUE"""),"Yes")</f>
        <v>Yes</v>
      </c>
      <c r="H940" s="10">
        <f>IFERROR(__xludf.DUMMYFUNCTION("""COMPUTED_VALUE"""),0.0)</f>
        <v>0</v>
      </c>
      <c r="I940" s="10">
        <f>IFERROR(__xludf.DUMMYFUNCTION("""COMPUTED_VALUE"""),10.0)</f>
        <v>10</v>
      </c>
      <c r="J940" s="10">
        <f>IFERROR(__xludf.DUMMYFUNCTION("""COMPUTED_VALUE"""),0.0)</f>
        <v>0</v>
      </c>
      <c r="K940" s="10">
        <f>IFERROR(__xludf.DUMMYFUNCTION("""COMPUTED_VALUE"""),0.0)</f>
        <v>0</v>
      </c>
      <c r="L940" s="10">
        <f>IFERROR(__xludf.DUMMYFUNCTION("""COMPUTED_VALUE"""),0.0)</f>
        <v>0</v>
      </c>
      <c r="M940" s="10">
        <f>IFERROR(__xludf.DUMMYFUNCTION("""COMPUTED_VALUE"""),0.0)</f>
        <v>0</v>
      </c>
      <c r="N940" s="10">
        <f>IFERROR(__xludf.DUMMYFUNCTION("""COMPUTED_VALUE"""),0.0)</f>
        <v>0</v>
      </c>
      <c r="O940" s="10">
        <f>IFERROR(__xludf.DUMMYFUNCTION("""COMPUTED_VALUE"""),0.0)</f>
        <v>0</v>
      </c>
      <c r="P940" s="10">
        <f>IFERROR(__xludf.DUMMYFUNCTION("""COMPUTED_VALUE"""),0.0)</f>
        <v>0</v>
      </c>
      <c r="Q940" s="10" t="str">
        <f>IFERROR(__xludf.DUMMYFUNCTION("""COMPUTED_VALUE"""),"No")</f>
        <v>No</v>
      </c>
      <c r="R940" s="10" t="str">
        <f>IFERROR(__xludf.DUMMYFUNCTION("""COMPUTED_VALUE"""),"No")</f>
        <v>No</v>
      </c>
      <c r="S940" s="10" t="str">
        <f>IFERROR(__xludf.DUMMYFUNCTION("""COMPUTED_VALUE"""),"No")</f>
        <v>No</v>
      </c>
      <c r="T940" s="10">
        <f>IFERROR(__xludf.DUMMYFUNCTION("""COMPUTED_VALUE"""),0.0)</f>
        <v>0</v>
      </c>
      <c r="U940" s="10">
        <f>IFERROR(__xludf.DUMMYFUNCTION("""COMPUTED_VALUE"""),0.0)</f>
        <v>0</v>
      </c>
      <c r="V940" s="10" t="str">
        <f>IFERROR(__xludf.DUMMYFUNCTION("""COMPUTED_VALUE""")," حضور پاک صلی اللہ علیہ وسلم کی سیرت")</f>
        <v> حضور پاک صلی اللہ علیہ وسلم کی سیرت</v>
      </c>
      <c r="W940" s="10" t="str">
        <f>IFERROR(__xludf.DUMMYFUNCTION("""COMPUTED_VALUE"""),"امان میں بیان کیا کہ غزوہ بدر کے موقع پر کفار کے بڑے بڑے سردار مارے گئے اور 70 قیدی کے طور پر مدینہ ائے اور حضور پاک صلی اللہ علیہ وسلم کا ان کے ساتھ معاملہ انہیں فدیہ کے طور پر رہا کرنا اور اپ صلی اللہ علیہ وسلم کا قیدی کے طور پر ائے اپنے چچا عباس کے سات"&amp;"ھ باقی قیدیوں کی بھی رسی ڈیلی کروانے کا واقعہ بیان کیا، اپ صلی اللہ علیہ وسلم کی بیٹی زینب کے شوہر اور اپ صلی اللہ علیہ وسلم کے داماد معاذ بن ابی کے ساتھ کے ساتھ کیا جانے والا معاملہ بیان کیا جو قیدی کے طور پر ائے تھے، عمیر بن وحب کا نعوذ باللہ حضور پاک ص"&amp;"لی اللہ علیہ والہ وسلم کو شہید کرنے کے ارادے سے مدینہ انا  اور نبی پاک صلی اللہ علیہ وسلم کو اس بات کی خبر ہو جانا اور ان کا اسلام قبول کر لینے کا واقعہ بیان کیا۔")</f>
        <v>امان میں بیان کیا کہ غزوہ بدر کے موقع پر کفار کے بڑے بڑے سردار مارے گئے اور 70 قیدی کے طور پر مدینہ ائے اور حضور پاک صلی اللہ علیہ وسلم کا ان کے ساتھ معاملہ انہیں فدیہ کے طور پر رہا کرنا اور اپ صلی اللہ علیہ وسلم کا قیدی کے طور پر ائے اپنے چچا عباس کے ساتھ باقی قیدیوں کی بھی رسی ڈیلی کروانے کا واقعہ بیان کیا، اپ صلی اللہ علیہ وسلم کی بیٹی زینب کے شوہر اور اپ صلی اللہ علیہ وسلم کے داماد معاذ بن ابی کے ساتھ کے ساتھ کیا جانے والا معاملہ بیان کیا جو قیدی کے طور پر ائے تھے، عمیر بن وحب کا نعوذ باللہ حضور پاک صلی اللہ علیہ والہ وسلم کو شہید کرنے کے ارادے سے مدینہ انا  اور نبی پاک صلی اللہ علیہ وسلم کو اس بات کی خبر ہو جانا اور ان کا اسلام قبول کر لینے کا واقعہ بیان کیا۔</v>
      </c>
      <c r="X940" s="10">
        <f>IFERROR(__xludf.DUMMYFUNCTION("""COMPUTED_VALUE"""),9.0)</f>
        <v>9</v>
      </c>
      <c r="Y940" s="10">
        <f>IFERROR(__xludf.DUMMYFUNCTION("""COMPUTED_VALUE"""),1.0)</f>
        <v>1</v>
      </c>
      <c r="Z940" s="10">
        <f>IFERROR(__xludf.DUMMYFUNCTION("""COMPUTED_VALUE"""),3.0)</f>
        <v>3</v>
      </c>
      <c r="AA940" s="10">
        <f>IFERROR(__xludf.DUMMYFUNCTION("""COMPUTED_VALUE"""),8.0)</f>
        <v>8</v>
      </c>
      <c r="AB940" s="10">
        <f>IFERROR(__xludf.DUMMYFUNCTION("""COMPUTED_VALUE"""),7.0)</f>
        <v>7</v>
      </c>
      <c r="AC940" s="10">
        <f>IFERROR(__xludf.DUMMYFUNCTION("""COMPUTED_VALUE"""),3.0)</f>
        <v>3</v>
      </c>
      <c r="AD940" s="10">
        <f>IFERROR(__xludf.DUMMYFUNCTION("""COMPUTED_VALUE"""),1.0)</f>
        <v>1</v>
      </c>
      <c r="AE940" s="10">
        <f>IFERROR(__xludf.DUMMYFUNCTION("""COMPUTED_VALUE"""),4.0)</f>
        <v>4</v>
      </c>
      <c r="AF940" s="10">
        <f>IFERROR(__xludf.DUMMYFUNCTION("""COMPUTED_VALUE"""),0.0)</f>
        <v>0</v>
      </c>
      <c r="AG940" s="10">
        <f>IFERROR(__xludf.DUMMYFUNCTION("""COMPUTED_VALUE"""),8.0)</f>
        <v>8</v>
      </c>
      <c r="AH940" s="10">
        <f>IFERROR(__xludf.DUMMYFUNCTION("""COMPUTED_VALUE"""),0.0)</f>
        <v>0</v>
      </c>
      <c r="AI940" s="10">
        <f>IFERROR(__xludf.DUMMYFUNCTION("""COMPUTED_VALUE"""),8.0)</f>
        <v>8</v>
      </c>
      <c r="AJ940" s="11" t="str">
        <f>IFERROR(__xludf.DUMMYFUNCTION("""COMPUTED_VALUE"""),"https://drive.google.com/open?id=1UQZcpZnF5cgeVTrUyn24fnPjb0EmGw-UQPjGPRyAqJs")</f>
        <v>https://drive.google.com/open?id=1UQZcpZnF5cgeVTrUyn24fnPjb0EmGw-UQPjGPRyAqJs</v>
      </c>
      <c r="AK940" s="12"/>
      <c r="AL940" s="12" t="str">
        <f>IFERROR(__xludf.DUMMYFUNCTION("""COMPUTED_VALUE"""),"Yes")</f>
        <v>Yes</v>
      </c>
      <c r="AM940" s="15">
        <f>IFERROR(__xludf.DUMMYFUNCTION("""COMPUTED_VALUE"""),0.0)</f>
        <v>0</v>
      </c>
      <c r="AN940" s="12" t="str">
        <f>IFERROR(__xludf.DUMMYFUNCTION("""COMPUTED_VALUE"""),"3rd week")</f>
        <v>3rd week</v>
      </c>
      <c r="AO940" s="13">
        <v>3.0</v>
      </c>
      <c r="AX940" s="17"/>
    </row>
    <row r="941">
      <c r="B941" s="9">
        <f>IFERROR(__xludf.DUMMYFUNCTION("""COMPUTED_VALUE"""),46030.106672800925)</f>
        <v>46030.10667</v>
      </c>
      <c r="C941" s="10" t="str">
        <f>IFERROR(__xludf.DUMMYFUNCTION("""COMPUTED_VALUE"""),"Atiqa")</f>
        <v>Atiqa</v>
      </c>
      <c r="D941" s="10" t="str">
        <f>IFERROR(__xludf.DUMMYFUNCTION("""COMPUTED_VALUE"""),"03157519977")</f>
        <v>03157519977</v>
      </c>
      <c r="E941" s="10" t="str">
        <f>IFERROR(__xludf.DUMMYFUNCTION("""COMPUTED_VALUE"""),"Jamia Masjid Darbar Shah Di Nahlian")</f>
        <v>Jamia Masjid Darbar Shah Di Nahlian</v>
      </c>
      <c r="F941" s="10" t="str">
        <f>IFERROR(__xludf.DUMMYFUNCTION("""COMPUTED_VALUE"""),"wohmy")</f>
        <v>wohmy</v>
      </c>
      <c r="G941" s="10" t="str">
        <f>IFERROR(__xludf.DUMMYFUNCTION("""COMPUTED_VALUE"""),"No")</f>
        <v>No</v>
      </c>
      <c r="H941" s="10"/>
      <c r="I941" s="10"/>
      <c r="J941" s="10"/>
      <c r="K941" s="10">
        <f>IFERROR(__xludf.DUMMYFUNCTION("""COMPUTED_VALUE"""),0.0)</f>
        <v>0</v>
      </c>
      <c r="L941" s="10">
        <f>IFERROR(__xludf.DUMMYFUNCTION("""COMPUTED_VALUE"""),0.0)</f>
        <v>0</v>
      </c>
      <c r="M941" s="10">
        <f>IFERROR(__xludf.DUMMYFUNCTION("""COMPUTED_VALUE"""),0.0)</f>
        <v>0</v>
      </c>
      <c r="N941" s="10">
        <f>IFERROR(__xludf.DUMMYFUNCTION("""COMPUTED_VALUE"""),0.0)</f>
        <v>0</v>
      </c>
      <c r="O941" s="10">
        <f>IFERROR(__xludf.DUMMYFUNCTION("""COMPUTED_VALUE"""),0.0)</f>
        <v>0</v>
      </c>
      <c r="P941" s="10">
        <f>IFERROR(__xludf.DUMMYFUNCTION("""COMPUTED_VALUE"""),0.0)</f>
        <v>0</v>
      </c>
      <c r="Q941" s="10" t="str">
        <f>IFERROR(__xludf.DUMMYFUNCTION("""COMPUTED_VALUE"""),"No")</f>
        <v>No</v>
      </c>
      <c r="R941" s="10" t="str">
        <f>IFERROR(__xludf.DUMMYFUNCTION("""COMPUTED_VALUE"""),"No")</f>
        <v>No</v>
      </c>
      <c r="S941" s="10" t="str">
        <f>IFERROR(__xludf.DUMMYFUNCTION("""COMPUTED_VALUE"""),"No")</f>
        <v>No</v>
      </c>
      <c r="T941" s="10">
        <f>IFERROR(__xludf.DUMMYFUNCTION("""COMPUTED_VALUE"""),0.0)</f>
        <v>0</v>
      </c>
      <c r="U941" s="10">
        <f>IFERROR(__xludf.DUMMYFUNCTION("""COMPUTED_VALUE"""),0.0)</f>
        <v>0</v>
      </c>
      <c r="V941" s="10" t="str">
        <f>IFERROR(__xludf.DUMMYFUNCTION("""COMPUTED_VALUE"""),"وقت کی قدرو قیمت")</f>
        <v>وقت کی قدرو قیمت</v>
      </c>
      <c r="W941" s="10" t="str">
        <f>IFERROR(__xludf.DUMMYFUNCTION("""COMPUTED_VALUE"""),"امام نے بیان کیا کہ سب سے قیمتی انسان کے پاس چیز وقت ہے، اور امام نے وقت کے زمانے بیان کیے اور اس کے ساتھ یہ کہ انسان کے لیے اس وقت کی ناقدری اور ضائع کرنا سب سے اسان چیز ہے، اور امام نے بیان کیا کہ ہمیں ہر کام وقت پر کرنے کے لیے ایک نظام ترتیب دینا چاہیے"&amp;"، اور اس کے ساتھ یہ کہ انسان کو وقت با وقت اپنا احتساب کرنا چاہیے اگر وقت گزر گیا تو اس کے پاس کچھ باقی نہیں رہے گا پھر انسان چاہ کر بھی گزرے ہوئے وقت سے فائدہ حاصل نہیں کر سکے گا، اللہ تعالی نے بھی قران میں وقت کی قسمیں کھائی ہیں، اور اللہ تعالی کے حکم س"&amp;"ے کائنات کا نظام وقت پر چلنا اور نماز کے لیے بھی اوقات مقرر ہونا اور اوقات پر نماز نہ ادا کرنے پر قضا کہلانا بیان کیا۔ ")</f>
        <v>امام نے بیان کیا کہ سب سے قیمتی انسان کے پاس چیز وقت ہے، اور امام نے وقت کے زمانے بیان کیے اور اس کے ساتھ یہ کہ انسان کے لیے اس وقت کی ناقدری اور ضائع کرنا سب سے اسان چیز ہے، اور امام نے بیان کیا کہ ہمیں ہر کام وقت پر کرنے کے لیے ایک نظام ترتیب دینا چاہیے، اور اس کے ساتھ یہ کہ انسان کو وقت با وقت اپنا احتساب کرنا چاہیے اگر وقت گزر گیا تو اس کے پاس کچھ باقی نہیں رہے گا پھر انسان چاہ کر بھی گزرے ہوئے وقت سے فائدہ حاصل نہیں کر سکے گا، اللہ تعالی نے بھی قران میں وقت کی قسمیں کھائی ہیں، اور اللہ تعالی کے حکم سے کائنات کا نظام وقت پر چلنا اور نماز کے لیے بھی اوقات مقرر ہونا اور اوقات پر نماز نہ ادا کرنے پر قضا کہلانا بیان کیا۔ </v>
      </c>
      <c r="X941" s="10">
        <f>IFERROR(__xludf.DUMMYFUNCTION("""COMPUTED_VALUE"""),8.0)</f>
        <v>8</v>
      </c>
      <c r="Y941" s="10">
        <f>IFERROR(__xludf.DUMMYFUNCTION("""COMPUTED_VALUE"""),2.0)</f>
        <v>2</v>
      </c>
      <c r="Z941" s="10">
        <f>IFERROR(__xludf.DUMMYFUNCTION("""COMPUTED_VALUE"""),2.0)</f>
        <v>2</v>
      </c>
      <c r="AA941" s="10">
        <f>IFERROR(__xludf.DUMMYFUNCTION("""COMPUTED_VALUE"""),7.0)</f>
        <v>7</v>
      </c>
      <c r="AB941" s="10">
        <f>IFERROR(__xludf.DUMMYFUNCTION("""COMPUTED_VALUE"""),0.0)</f>
        <v>0</v>
      </c>
      <c r="AC941" s="10">
        <f>IFERROR(__xludf.DUMMYFUNCTION("""COMPUTED_VALUE"""),0.0)</f>
        <v>0</v>
      </c>
      <c r="AD941" s="10">
        <f>IFERROR(__xludf.DUMMYFUNCTION("""COMPUTED_VALUE"""),0.0)</f>
        <v>0</v>
      </c>
      <c r="AE941" s="10">
        <f>IFERROR(__xludf.DUMMYFUNCTION("""COMPUTED_VALUE"""),0.0)</f>
        <v>0</v>
      </c>
      <c r="AF941" s="10">
        <f>IFERROR(__xludf.DUMMYFUNCTION("""COMPUTED_VALUE"""),0.0)</f>
        <v>0</v>
      </c>
      <c r="AG941" s="10">
        <f>IFERROR(__xludf.DUMMYFUNCTION("""COMPUTED_VALUE"""),8.0)</f>
        <v>8</v>
      </c>
      <c r="AH941" s="10">
        <f>IFERROR(__xludf.DUMMYFUNCTION("""COMPUTED_VALUE"""),0.0)</f>
        <v>0</v>
      </c>
      <c r="AI941" s="10">
        <f>IFERROR(__xludf.DUMMYFUNCTION("""COMPUTED_VALUE"""),8.0)</f>
        <v>8</v>
      </c>
      <c r="AJ941" s="11" t="str">
        <f>IFERROR(__xludf.DUMMYFUNCTION("""COMPUTED_VALUE"""),"https://drive.google.com/open?id=1bYmNNL7bSmxg255GCE1gOWTT6zk2as847yqSJVpVV4U")</f>
        <v>https://drive.google.com/open?id=1bYmNNL7bSmxg255GCE1gOWTT6zk2as847yqSJVpVV4U</v>
      </c>
      <c r="AK941" s="12"/>
      <c r="AL941" s="12"/>
      <c r="AM941" s="12"/>
      <c r="AN941" s="12" t="str">
        <f>IFERROR(__xludf.DUMMYFUNCTION("""COMPUTED_VALUE"""),"3rd week")</f>
        <v>3rd week</v>
      </c>
      <c r="AO941" s="13">
        <v>3.0</v>
      </c>
      <c r="AX941" s="17"/>
    </row>
    <row r="942">
      <c r="B942" s="9">
        <f>IFERROR(__xludf.DUMMYFUNCTION("""COMPUTED_VALUE"""),46030.29513917824)</f>
        <v>46030.29514</v>
      </c>
      <c r="C942" s="10" t="str">
        <f>IFERROR(__xludf.DUMMYFUNCTION("""COMPUTED_VALUE"""),"maham")</f>
        <v>maham</v>
      </c>
      <c r="D942" s="10" t="str">
        <f>IFERROR(__xludf.DUMMYFUNCTION("""COMPUTED_VALUE"""),"03218118680")</f>
        <v>03218118680</v>
      </c>
      <c r="E942" s="10" t="str">
        <f>IFERROR(__xludf.DUMMYFUNCTION("""COMPUTED_VALUE"""),"Jamia Masjid Syedan #2 Rawalpindi")</f>
        <v>Jamia Masjid Syedan #2 Rawalpindi</v>
      </c>
      <c r="F942" s="10" t="str">
        <f>IFERROR(__xludf.DUMMYFUNCTION("""COMPUTED_VALUE"""),"egckn")</f>
        <v>egckn</v>
      </c>
      <c r="G942" s="10" t="str">
        <f>IFERROR(__xludf.DUMMYFUNCTION("""COMPUTED_VALUE"""),"No")</f>
        <v>No</v>
      </c>
      <c r="H942" s="10"/>
      <c r="I942" s="10"/>
      <c r="J942" s="10"/>
      <c r="K942" s="10">
        <f>IFERROR(__xludf.DUMMYFUNCTION("""COMPUTED_VALUE"""),0.0)</f>
        <v>0</v>
      </c>
      <c r="L942" s="10">
        <f>IFERROR(__xludf.DUMMYFUNCTION("""COMPUTED_VALUE"""),0.0)</f>
        <v>0</v>
      </c>
      <c r="M942" s="10">
        <f>IFERROR(__xludf.DUMMYFUNCTION("""COMPUTED_VALUE"""),0.0)</f>
        <v>0</v>
      </c>
      <c r="N942" s="10">
        <f>IFERROR(__xludf.DUMMYFUNCTION("""COMPUTED_VALUE"""),0.0)</f>
        <v>0</v>
      </c>
      <c r="O942" s="10">
        <f>IFERROR(__xludf.DUMMYFUNCTION("""COMPUTED_VALUE"""),0.0)</f>
        <v>0</v>
      </c>
      <c r="P942" s="10">
        <f>IFERROR(__xludf.DUMMYFUNCTION("""COMPUTED_VALUE"""),0.0)</f>
        <v>0</v>
      </c>
      <c r="Q942" s="10" t="str">
        <f>IFERROR(__xludf.DUMMYFUNCTION("""COMPUTED_VALUE"""),"No")</f>
        <v>No</v>
      </c>
      <c r="R942" s="10" t="str">
        <f>IFERROR(__xludf.DUMMYFUNCTION("""COMPUTED_VALUE"""),"No")</f>
        <v>No</v>
      </c>
      <c r="S942" s="10" t="str">
        <f>IFERROR(__xludf.DUMMYFUNCTION("""COMPUTED_VALUE"""),"No")</f>
        <v>No</v>
      </c>
      <c r="T942" s="10">
        <f>IFERROR(__xludf.DUMMYFUNCTION("""COMPUTED_VALUE"""),0.0)</f>
        <v>0</v>
      </c>
      <c r="U942" s="10">
        <f>IFERROR(__xludf.DUMMYFUNCTION("""COMPUTED_VALUE"""),0.0)</f>
        <v>0</v>
      </c>
      <c r="V942" s="10" t="str">
        <f>IFERROR(__xludf.DUMMYFUNCTION("""COMPUTED_VALUE"""),"حضرت ابوبکر صدیق رضی اللہ تعالی عنہ کی عظمت ")</f>
        <v>حضرت ابوبکر صدیق رضی اللہ تعالی عنہ کی عظمت </v>
      </c>
      <c r="W942" s="10" t="str">
        <f>IFERROR(__xludf.DUMMYFUNCTION("""COMPUTED_VALUE"""),"حضرت ابوبکر صدیق رضی اللہ تعالی عنہ کی عظمت بیان کی گئی اور نبی کریم صلی اللہ علیہ وسلم پر درود و سلام کی اہمیت")</f>
        <v>حضرت ابوبکر صدیق رضی اللہ تعالی عنہ کی عظمت بیان کی گئی اور نبی کریم صلی اللہ علیہ وسلم پر درود و سلام کی اہمیت</v>
      </c>
      <c r="X942" s="10">
        <f>IFERROR(__xludf.DUMMYFUNCTION("""COMPUTED_VALUE"""),7.0)</f>
        <v>7</v>
      </c>
      <c r="Y942" s="10">
        <f>IFERROR(__xludf.DUMMYFUNCTION("""COMPUTED_VALUE"""),4.0)</f>
        <v>4</v>
      </c>
      <c r="Z942" s="10">
        <f>IFERROR(__xludf.DUMMYFUNCTION("""COMPUTED_VALUE"""),2.0)</f>
        <v>2</v>
      </c>
      <c r="AA942" s="10">
        <f>IFERROR(__xludf.DUMMYFUNCTION("""COMPUTED_VALUE"""),10.0)</f>
        <v>10</v>
      </c>
      <c r="AB942" s="10">
        <f>IFERROR(__xludf.DUMMYFUNCTION("""COMPUTED_VALUE"""),6.0)</f>
        <v>6</v>
      </c>
      <c r="AC942" s="10">
        <f>IFERROR(__xludf.DUMMYFUNCTION("""COMPUTED_VALUE"""),1.0)</f>
        <v>1</v>
      </c>
      <c r="AD942" s="10">
        <f>IFERROR(__xludf.DUMMYFUNCTION("""COMPUTED_VALUE"""),3.0)</f>
        <v>3</v>
      </c>
      <c r="AE942" s="10">
        <f>IFERROR(__xludf.DUMMYFUNCTION("""COMPUTED_VALUE"""),1.0)</f>
        <v>1</v>
      </c>
      <c r="AF942" s="10">
        <f>IFERROR(__xludf.DUMMYFUNCTION("""COMPUTED_VALUE"""),9.0)</f>
        <v>9</v>
      </c>
      <c r="AG942" s="10">
        <f>IFERROR(__xludf.DUMMYFUNCTION("""COMPUTED_VALUE"""),8.0)</f>
        <v>8</v>
      </c>
      <c r="AH942" s="10">
        <f>IFERROR(__xludf.DUMMYFUNCTION("""COMPUTED_VALUE"""),0.0)</f>
        <v>0</v>
      </c>
      <c r="AI942" s="10">
        <f>IFERROR(__xludf.DUMMYFUNCTION("""COMPUTED_VALUE"""),9.0)</f>
        <v>9</v>
      </c>
      <c r="AJ942" s="11" t="str">
        <f>IFERROR(__xludf.DUMMYFUNCTION("""COMPUTED_VALUE"""),"https://drive.google.com/open?id=1N_scEj1Rh58f27Hhw29n5RtaAlEWsr7U")</f>
        <v>https://drive.google.com/open?id=1N_scEj1Rh58f27Hhw29n5RtaAlEWsr7U</v>
      </c>
      <c r="AK942" s="12"/>
      <c r="AL942" s="12"/>
      <c r="AM942" s="12"/>
      <c r="AN942" s="12" t="str">
        <f>IFERROR(__xludf.DUMMYFUNCTION("""COMPUTED_VALUE"""),"3rd week")</f>
        <v>3rd week</v>
      </c>
      <c r="AO942" s="13">
        <v>3.0</v>
      </c>
      <c r="AX942" s="17"/>
    </row>
    <row r="943">
      <c r="B943" s="9">
        <f>IFERROR(__xludf.DUMMYFUNCTION("""COMPUTED_VALUE"""),46030.3298072801)</f>
        <v>46030.32981</v>
      </c>
      <c r="C943" s="10" t="str">
        <f>IFERROR(__xludf.DUMMYFUNCTION("""COMPUTED_VALUE"""),"Maham")</f>
        <v>Maham</v>
      </c>
      <c r="D943" s="10" t="str">
        <f>IFERROR(__xludf.DUMMYFUNCTION("""COMPUTED_VALUE"""),"03218118680")</f>
        <v>03218118680</v>
      </c>
      <c r="E943" s="10" t="str">
        <f>IFERROR(__xludf.DUMMYFUNCTION("""COMPUTED_VALUE"""),"Jamia Masjid Pholo Wali Rawalpindi")</f>
        <v>Jamia Masjid Pholo Wali Rawalpindi</v>
      </c>
      <c r="F943" s="10" t="str">
        <f>IFERROR(__xludf.DUMMYFUNCTION("""COMPUTED_VALUE"""),"fozkx")</f>
        <v>fozkx</v>
      </c>
      <c r="G943" s="10" t="str">
        <f>IFERROR(__xludf.DUMMYFUNCTION("""COMPUTED_VALUE"""),"Yes")</f>
        <v>Yes</v>
      </c>
      <c r="H943" s="10">
        <f>IFERROR(__xludf.DUMMYFUNCTION("""COMPUTED_VALUE"""),5.0)</f>
        <v>5</v>
      </c>
      <c r="I943" s="10">
        <f>IFERROR(__xludf.DUMMYFUNCTION("""COMPUTED_VALUE"""),5.0)</f>
        <v>5</v>
      </c>
      <c r="J943" s="10">
        <f>IFERROR(__xludf.DUMMYFUNCTION("""COMPUTED_VALUE"""),5.0)</f>
        <v>5</v>
      </c>
      <c r="K943" s="10">
        <f>IFERROR(__xludf.DUMMYFUNCTION("""COMPUTED_VALUE"""),5.0)</f>
        <v>5</v>
      </c>
      <c r="L943" s="10">
        <f>IFERROR(__xludf.DUMMYFUNCTION("""COMPUTED_VALUE"""),0.0)</f>
        <v>0</v>
      </c>
      <c r="M943" s="10">
        <f>IFERROR(__xludf.DUMMYFUNCTION("""COMPUTED_VALUE"""),4.0)</f>
        <v>4</v>
      </c>
      <c r="N943" s="10">
        <f>IFERROR(__xludf.DUMMYFUNCTION("""COMPUTED_VALUE"""),0.0)</f>
        <v>0</v>
      </c>
      <c r="O943" s="10">
        <f>IFERROR(__xludf.DUMMYFUNCTION("""COMPUTED_VALUE"""),3.0)</f>
        <v>3</v>
      </c>
      <c r="P943" s="10">
        <f>IFERROR(__xludf.DUMMYFUNCTION("""COMPUTED_VALUE"""),0.0)</f>
        <v>0</v>
      </c>
      <c r="Q943" s="10" t="str">
        <f>IFERROR(__xludf.DUMMYFUNCTION("""COMPUTED_VALUE"""),"No")</f>
        <v>No</v>
      </c>
      <c r="R943" s="10" t="str">
        <f>IFERROR(__xludf.DUMMYFUNCTION("""COMPUTED_VALUE"""),"No")</f>
        <v>No</v>
      </c>
      <c r="S943" s="10" t="str">
        <f>IFERROR(__xludf.DUMMYFUNCTION("""COMPUTED_VALUE"""),"Yes")</f>
        <v>Yes</v>
      </c>
      <c r="T943" s="10">
        <f>IFERROR(__xludf.DUMMYFUNCTION("""COMPUTED_VALUE"""),0.0)</f>
        <v>0</v>
      </c>
      <c r="U943" s="10">
        <f>IFERROR(__xludf.DUMMYFUNCTION("""COMPUTED_VALUE"""),0.0)</f>
        <v>0</v>
      </c>
      <c r="V943" s="10" t="str">
        <f>IFERROR(__xludf.DUMMYFUNCTION("""COMPUTED_VALUE"""),"عورتوں کے حقوق")</f>
        <v>عورتوں کے حقوق</v>
      </c>
      <c r="W943" s="10" t="str">
        <f>IFERROR(__xludf.DUMMYFUNCTION("""COMPUTED_VALUE"""),"عورتوں کے حقوق بیان کیے گئے")</f>
        <v>عورتوں کے حقوق بیان کیے گئے</v>
      </c>
      <c r="X943" s="10">
        <f>IFERROR(__xludf.DUMMYFUNCTION("""COMPUTED_VALUE"""),0.0)</f>
        <v>0</v>
      </c>
      <c r="Y943" s="10">
        <f>IFERROR(__xludf.DUMMYFUNCTION("""COMPUTED_VALUE"""),7.0)</f>
        <v>7</v>
      </c>
      <c r="Z943" s="10">
        <f>IFERROR(__xludf.DUMMYFUNCTION("""COMPUTED_VALUE"""),2.0)</f>
        <v>2</v>
      </c>
      <c r="AA943" s="10">
        <f>IFERROR(__xludf.DUMMYFUNCTION("""COMPUTED_VALUE"""),6.0)</f>
        <v>6</v>
      </c>
      <c r="AB943" s="10">
        <f>IFERROR(__xludf.DUMMYFUNCTION("""COMPUTED_VALUE"""),6.0)</f>
        <v>6</v>
      </c>
      <c r="AC943" s="10">
        <f>IFERROR(__xludf.DUMMYFUNCTION("""COMPUTED_VALUE"""),0.0)</f>
        <v>0</v>
      </c>
      <c r="AD943" s="10">
        <f>IFERROR(__xludf.DUMMYFUNCTION("""COMPUTED_VALUE"""),3.0)</f>
        <v>3</v>
      </c>
      <c r="AE943" s="10">
        <f>IFERROR(__xludf.DUMMYFUNCTION("""COMPUTED_VALUE"""),0.0)</f>
        <v>0</v>
      </c>
      <c r="AF943" s="10">
        <f>IFERROR(__xludf.DUMMYFUNCTION("""COMPUTED_VALUE"""),3.0)</f>
        <v>3</v>
      </c>
      <c r="AG943" s="10">
        <f>IFERROR(__xludf.DUMMYFUNCTION("""COMPUTED_VALUE"""),8.0)</f>
        <v>8</v>
      </c>
      <c r="AH943" s="10">
        <f>IFERROR(__xludf.DUMMYFUNCTION("""COMPUTED_VALUE"""),0.0)</f>
        <v>0</v>
      </c>
      <c r="AI943" s="10">
        <f>IFERROR(__xludf.DUMMYFUNCTION("""COMPUTED_VALUE"""),8.0)</f>
        <v>8</v>
      </c>
      <c r="AJ943" s="11" t="str">
        <f>IFERROR(__xludf.DUMMYFUNCTION("""COMPUTED_VALUE"""),"https://drive.google.com/open?id=10yXmUsWJqENeLkj79Kx5uZ4lk6VPXiR5")</f>
        <v>https://drive.google.com/open?id=10yXmUsWJqENeLkj79Kx5uZ4lk6VPXiR5</v>
      </c>
      <c r="AK943" s="12" t="str">
        <f>IFERROR(__xludf.DUMMYFUNCTION("""COMPUTED_VALUE"""),"سات منٹ کی ریکارڈنگ تھی اس کے مطابق ٹرانسکرپشن لکھ دی گئی ہے")</f>
        <v>سات منٹ کی ریکارڈنگ تھی اس کے مطابق ٹرانسکرپشن لکھ دی گئی ہے</v>
      </c>
      <c r="AL943" s="12" t="str">
        <f>IFERROR(__xludf.DUMMYFUNCTION("""COMPUTED_VALUE"""),"Yes")</f>
        <v>Yes</v>
      </c>
      <c r="AM943" s="15">
        <f>IFERROR(__xludf.DUMMYFUNCTION("""COMPUTED_VALUE"""),0.4)</f>
        <v>0.4</v>
      </c>
      <c r="AN943" s="12" t="str">
        <f>IFERROR(__xludf.DUMMYFUNCTION("""COMPUTED_VALUE"""),"3rd week")</f>
        <v>3rd week</v>
      </c>
      <c r="AO943" s="13">
        <v>3.0</v>
      </c>
      <c r="AX943" s="17"/>
    </row>
    <row r="944">
      <c r="B944" s="9">
        <f>IFERROR(__xludf.DUMMYFUNCTION("""COMPUTED_VALUE"""),46030.43719737268)</f>
        <v>46030.4372</v>
      </c>
      <c r="C944" s="10" t="str">
        <f>IFERROR(__xludf.DUMMYFUNCTION("""COMPUTED_VALUE"""),"Maham")</f>
        <v>Maham</v>
      </c>
      <c r="D944" s="10" t="str">
        <f>IFERROR(__xludf.DUMMYFUNCTION("""COMPUTED_VALUE"""),"03218118680")</f>
        <v>03218118680</v>
      </c>
      <c r="E944" s="10" t="str">
        <f>IFERROR(__xludf.DUMMYFUNCTION("""COMPUTED_VALUE"""),"Jamia Masjid Jamun Wali Rawalpindi")</f>
        <v>Jamia Masjid Jamun Wali Rawalpindi</v>
      </c>
      <c r="F944" s="10" t="str">
        <f>IFERROR(__xludf.DUMMYFUNCTION("""COMPUTED_VALUE"""),"podyo")</f>
        <v>podyo</v>
      </c>
      <c r="G944" s="10" t="str">
        <f>IFERROR(__xludf.DUMMYFUNCTION("""COMPUTED_VALUE"""),"Yes")</f>
        <v>Yes</v>
      </c>
      <c r="H944" s="10">
        <f>IFERROR(__xludf.DUMMYFUNCTION("""COMPUTED_VALUE"""),3.0)</f>
        <v>3</v>
      </c>
      <c r="I944" s="10">
        <f>IFERROR(__xludf.DUMMYFUNCTION("""COMPUTED_VALUE"""),7.0)</f>
        <v>7</v>
      </c>
      <c r="J944" s="10">
        <f>IFERROR(__xludf.DUMMYFUNCTION("""COMPUTED_VALUE"""),4.0)</f>
        <v>4</v>
      </c>
      <c r="K944" s="10">
        <f>IFERROR(__xludf.DUMMYFUNCTION("""COMPUTED_VALUE"""),4.0)</f>
        <v>4</v>
      </c>
      <c r="L944" s="10">
        <f>IFERROR(__xludf.DUMMYFUNCTION("""COMPUTED_VALUE"""),0.0)</f>
        <v>0</v>
      </c>
      <c r="M944" s="10">
        <f>IFERROR(__xludf.DUMMYFUNCTION("""COMPUTED_VALUE"""),3.0)</f>
        <v>3</v>
      </c>
      <c r="N944" s="10">
        <f>IFERROR(__xludf.DUMMYFUNCTION("""COMPUTED_VALUE"""),0.0)</f>
        <v>0</v>
      </c>
      <c r="O944" s="10">
        <f>IFERROR(__xludf.DUMMYFUNCTION("""COMPUTED_VALUE"""),0.0)</f>
        <v>0</v>
      </c>
      <c r="P944" s="10">
        <f>IFERROR(__xludf.DUMMYFUNCTION("""COMPUTED_VALUE"""),0.0)</f>
        <v>0</v>
      </c>
      <c r="Q944" s="10" t="str">
        <f>IFERROR(__xludf.DUMMYFUNCTION("""COMPUTED_VALUE"""),"No")</f>
        <v>No</v>
      </c>
      <c r="R944" s="10" t="str">
        <f>IFERROR(__xludf.DUMMYFUNCTION("""COMPUTED_VALUE"""),"No")</f>
        <v>No</v>
      </c>
      <c r="S944" s="10" t="str">
        <f>IFERROR(__xludf.DUMMYFUNCTION("""COMPUTED_VALUE"""),"No")</f>
        <v>No</v>
      </c>
      <c r="T944" s="10">
        <f>IFERROR(__xludf.DUMMYFUNCTION("""COMPUTED_VALUE"""),0.0)</f>
        <v>0</v>
      </c>
      <c r="U944" s="10">
        <f>IFERROR(__xludf.DUMMYFUNCTION("""COMPUTED_VALUE"""),0.0)</f>
        <v>0</v>
      </c>
      <c r="V944" s="10" t="str">
        <f>IFERROR(__xludf.DUMMYFUNCTION("""COMPUTED_VALUE"""),"عورتوں کے حقوق")</f>
        <v>عورتوں کے حقوق</v>
      </c>
      <c r="W944" s="10" t="str">
        <f>IFERROR(__xludf.DUMMYFUNCTION("""COMPUTED_VALUE"""),"عورتوں کے حقوق بیان کیے گئے")</f>
        <v>عورتوں کے حقوق بیان کیے گئے</v>
      </c>
      <c r="X944" s="10">
        <f>IFERROR(__xludf.DUMMYFUNCTION("""COMPUTED_VALUE"""),0.0)</f>
        <v>0</v>
      </c>
      <c r="Y944" s="10">
        <f>IFERROR(__xludf.DUMMYFUNCTION("""COMPUTED_VALUE"""),3.0)</f>
        <v>3</v>
      </c>
      <c r="Z944" s="10">
        <f>IFERROR(__xludf.DUMMYFUNCTION("""COMPUTED_VALUE"""),1.0)</f>
        <v>1</v>
      </c>
      <c r="AA944" s="10">
        <f>IFERROR(__xludf.DUMMYFUNCTION("""COMPUTED_VALUE"""),3.0)</f>
        <v>3</v>
      </c>
      <c r="AB944" s="10">
        <f>IFERROR(__xludf.DUMMYFUNCTION("""COMPUTED_VALUE"""),2.0)</f>
        <v>2</v>
      </c>
      <c r="AC944" s="10">
        <f>IFERROR(__xludf.DUMMYFUNCTION("""COMPUTED_VALUE"""),0.0)</f>
        <v>0</v>
      </c>
      <c r="AD944" s="10">
        <f>IFERROR(__xludf.DUMMYFUNCTION("""COMPUTED_VALUE"""),0.0)</f>
        <v>0</v>
      </c>
      <c r="AE944" s="10">
        <f>IFERROR(__xludf.DUMMYFUNCTION("""COMPUTED_VALUE"""),0.0)</f>
        <v>0</v>
      </c>
      <c r="AF944" s="10">
        <f>IFERROR(__xludf.DUMMYFUNCTION("""COMPUTED_VALUE"""),2.0)</f>
        <v>2</v>
      </c>
      <c r="AG944" s="10">
        <f>IFERROR(__xludf.DUMMYFUNCTION("""COMPUTED_VALUE"""),5.0)</f>
        <v>5</v>
      </c>
      <c r="AH944" s="10">
        <f>IFERROR(__xludf.DUMMYFUNCTION("""COMPUTED_VALUE"""),0.0)</f>
        <v>0</v>
      </c>
      <c r="AI944" s="10">
        <f>IFERROR(__xludf.DUMMYFUNCTION("""COMPUTED_VALUE"""),6.0)</f>
        <v>6</v>
      </c>
      <c r="AJ944" s="11" t="str">
        <f>IFERROR(__xludf.DUMMYFUNCTION("""COMPUTED_VALUE"""),"https://drive.google.com/open?id=1Oqz43hEilaoNzpoPYiudDrVw0OQdgb7I")</f>
        <v>https://drive.google.com/open?id=1Oqz43hEilaoNzpoPYiudDrVw0OQdgb7I</v>
      </c>
      <c r="AK944" s="12" t="str">
        <f>IFERROR(__xludf.DUMMYFUNCTION("""COMPUTED_VALUE"""),"تین منٹ کی ریکارڈنگ کے مطابق ٹرانسکرپشن کی گئی ہے")</f>
        <v>تین منٹ کی ریکارڈنگ کے مطابق ٹرانسکرپشن کی گئی ہے</v>
      </c>
      <c r="AL944" s="12" t="str">
        <f>IFERROR(__xludf.DUMMYFUNCTION("""COMPUTED_VALUE"""),"Yes")</f>
        <v>Yes</v>
      </c>
      <c r="AM944" s="15">
        <f>IFERROR(__xludf.DUMMYFUNCTION("""COMPUTED_VALUE"""),0.3)</f>
        <v>0.3</v>
      </c>
      <c r="AN944" s="12" t="str">
        <f>IFERROR(__xludf.DUMMYFUNCTION("""COMPUTED_VALUE"""),"3rd week")</f>
        <v>3rd week</v>
      </c>
      <c r="AO944" s="13">
        <v>3.0</v>
      </c>
      <c r="AX944" s="17"/>
    </row>
    <row r="945">
      <c r="B945" s="9">
        <f>IFERROR(__xludf.DUMMYFUNCTION("""COMPUTED_VALUE"""),46030.452739189815)</f>
        <v>46030.45274</v>
      </c>
      <c r="C945" s="10" t="str">
        <f>IFERROR(__xludf.DUMMYFUNCTION("""COMPUTED_VALUE"""),"Atiqa")</f>
        <v>Atiqa</v>
      </c>
      <c r="D945" s="10" t="str">
        <f>IFERROR(__xludf.DUMMYFUNCTION("""COMPUTED_VALUE"""),"03157519977")</f>
        <v>03157519977</v>
      </c>
      <c r="E945" s="10" t="str">
        <f>IFERROR(__xludf.DUMMYFUNCTION("""COMPUTED_VALUE"""),"Markazi Jamia Masjid Rawalpindi")</f>
        <v>Markazi Jamia Masjid Rawalpindi</v>
      </c>
      <c r="F945" s="10" t="str">
        <f>IFERROR(__xludf.DUMMYFUNCTION("""COMPUTED_VALUE"""),"tgzpv")</f>
        <v>tgzpv</v>
      </c>
      <c r="G945" s="10" t="str">
        <f>IFERROR(__xludf.DUMMYFUNCTION("""COMPUTED_VALUE"""),"No")</f>
        <v>No</v>
      </c>
      <c r="H945" s="10"/>
      <c r="I945" s="10"/>
      <c r="J945" s="10"/>
      <c r="K945" s="10">
        <f>IFERROR(__xludf.DUMMYFUNCTION("""COMPUTED_VALUE"""),0.0)</f>
        <v>0</v>
      </c>
      <c r="L945" s="10">
        <f>IFERROR(__xludf.DUMMYFUNCTION("""COMPUTED_VALUE"""),0.0)</f>
        <v>0</v>
      </c>
      <c r="M945" s="10">
        <f>IFERROR(__xludf.DUMMYFUNCTION("""COMPUTED_VALUE"""),0.0)</f>
        <v>0</v>
      </c>
      <c r="N945" s="10">
        <f>IFERROR(__xludf.DUMMYFUNCTION("""COMPUTED_VALUE"""),0.0)</f>
        <v>0</v>
      </c>
      <c r="O945" s="10">
        <f>IFERROR(__xludf.DUMMYFUNCTION("""COMPUTED_VALUE"""),0.0)</f>
        <v>0</v>
      </c>
      <c r="P945" s="10">
        <f>IFERROR(__xludf.DUMMYFUNCTION("""COMPUTED_VALUE"""),0.0)</f>
        <v>0</v>
      </c>
      <c r="Q945" s="10" t="str">
        <f>IFERROR(__xludf.DUMMYFUNCTION("""COMPUTED_VALUE"""),"No")</f>
        <v>No</v>
      </c>
      <c r="R945" s="10" t="str">
        <f>IFERROR(__xludf.DUMMYFUNCTION("""COMPUTED_VALUE"""),"No")</f>
        <v>No</v>
      </c>
      <c r="S945" s="10" t="str">
        <f>IFERROR(__xludf.DUMMYFUNCTION("""COMPUTED_VALUE"""),"No")</f>
        <v>No</v>
      </c>
      <c r="T945" s="10">
        <f>IFERROR(__xludf.DUMMYFUNCTION("""COMPUTED_VALUE"""),0.0)</f>
        <v>0</v>
      </c>
      <c r="U945" s="10">
        <f>IFERROR(__xludf.DUMMYFUNCTION("""COMPUTED_VALUE"""),0.0)</f>
        <v>0</v>
      </c>
      <c r="V945" s="10" t="str">
        <f>IFERROR(__xludf.DUMMYFUNCTION("""COMPUTED_VALUE"""),"غزہ کے حالات اور امت مسلمہ کا فریضہ ")</f>
        <v>غزہ کے حالات اور امت مسلمہ کا فریضہ </v>
      </c>
      <c r="W945" s="10" t="str">
        <f>IFERROR(__xludf.DUMMYFUNCTION("""COMPUTED_VALUE"""),"امام نے بیان کیا کہ مسلمانوں کا اپس میں باہمی اتفاق اور بائی چارہ ہونا چاہیے نہ کہ قوم پرستی کا شکار ہو، غذا کے مجاہدین کا ایمان کی قوت کے ساتھ اور جہاد کے جذبے کے ساتھ اسرائیل کا مقابلہ کرنا ان سے پیچھے نہ اٹھنا، اور امت مسلمہ سے بھی ان کی مدد کی اپیل کی"&amp;" گئی۔")</f>
        <v>امام نے بیان کیا کہ مسلمانوں کا اپس میں باہمی اتفاق اور بائی چارہ ہونا چاہیے نہ کہ قوم پرستی کا شکار ہو، غذا کے مجاہدین کا ایمان کی قوت کے ساتھ اور جہاد کے جذبے کے ساتھ اسرائیل کا مقابلہ کرنا ان سے پیچھے نہ اٹھنا، اور امت مسلمہ سے بھی ان کی مدد کی اپیل کی گئی۔</v>
      </c>
      <c r="X945" s="10">
        <f>IFERROR(__xludf.DUMMYFUNCTION("""COMPUTED_VALUE"""),5.0)</f>
        <v>5</v>
      </c>
      <c r="Y945" s="10">
        <f>IFERROR(__xludf.DUMMYFUNCTION("""COMPUTED_VALUE"""),5.0)</f>
        <v>5</v>
      </c>
      <c r="Z945" s="10">
        <f>IFERROR(__xludf.DUMMYFUNCTION("""COMPUTED_VALUE"""),7.0)</f>
        <v>7</v>
      </c>
      <c r="AA945" s="10">
        <f>IFERROR(__xludf.DUMMYFUNCTION("""COMPUTED_VALUE"""),3.0)</f>
        <v>3</v>
      </c>
      <c r="AB945" s="10">
        <f>IFERROR(__xludf.DUMMYFUNCTION("""COMPUTED_VALUE"""),7.0)</f>
        <v>7</v>
      </c>
      <c r="AC945" s="10">
        <f>IFERROR(__xludf.DUMMYFUNCTION("""COMPUTED_VALUE"""),8.0)</f>
        <v>8</v>
      </c>
      <c r="AD945" s="10">
        <f>IFERROR(__xludf.DUMMYFUNCTION("""COMPUTED_VALUE"""),2.0)</f>
        <v>2</v>
      </c>
      <c r="AE945" s="10">
        <f>IFERROR(__xludf.DUMMYFUNCTION("""COMPUTED_VALUE"""),4.0)</f>
        <v>4</v>
      </c>
      <c r="AF945" s="10">
        <f>IFERROR(__xludf.DUMMYFUNCTION("""COMPUTED_VALUE"""),0.0)</f>
        <v>0</v>
      </c>
      <c r="AG945" s="10">
        <f>IFERROR(__xludf.DUMMYFUNCTION("""COMPUTED_VALUE"""),8.0)</f>
        <v>8</v>
      </c>
      <c r="AH945" s="10">
        <f>IFERROR(__xludf.DUMMYFUNCTION("""COMPUTED_VALUE"""),0.0)</f>
        <v>0</v>
      </c>
      <c r="AI945" s="10">
        <f>IFERROR(__xludf.DUMMYFUNCTION("""COMPUTED_VALUE"""),9.0)</f>
        <v>9</v>
      </c>
      <c r="AJ945" s="11" t="str">
        <f>IFERROR(__xludf.DUMMYFUNCTION("""COMPUTED_VALUE"""),"https://drive.google.com/open?id=1yzuBW1C6AVTwLZ__DFSnEzMcguzYuU-oWxtnH_TD8gU")</f>
        <v>https://drive.google.com/open?id=1yzuBW1C6AVTwLZ__DFSnEzMcguzYuU-oWxtnH_TD8gU</v>
      </c>
      <c r="AK945" s="12"/>
      <c r="AL945" s="12"/>
      <c r="AM945" s="12"/>
      <c r="AN945" s="12" t="str">
        <f>IFERROR(__xludf.DUMMYFUNCTION("""COMPUTED_VALUE"""),"3rd week")</f>
        <v>3rd week</v>
      </c>
      <c r="AO945" s="13">
        <v>3.0</v>
      </c>
      <c r="AX945" s="17"/>
    </row>
    <row r="946">
      <c r="B946" s="9">
        <f>IFERROR(__xludf.DUMMYFUNCTION("""COMPUTED_VALUE"""),46030.60629675926)</f>
        <v>46030.6063</v>
      </c>
      <c r="C946" s="10" t="str">
        <f>IFERROR(__xludf.DUMMYFUNCTION("""COMPUTED_VALUE"""),"Atiqa")</f>
        <v>Atiqa</v>
      </c>
      <c r="D946" s="10" t="str">
        <f>IFERROR(__xludf.DUMMYFUNCTION("""COMPUTED_VALUE"""),"03157519977")</f>
        <v>03157519977</v>
      </c>
      <c r="E946" s="10" t="str">
        <f>IFERROR(__xludf.DUMMYFUNCTION("""COMPUTED_VALUE"""),"Jamia Masjid King Mandi Rawalpindi")</f>
        <v>Jamia Masjid King Mandi Rawalpindi</v>
      </c>
      <c r="F946" s="10" t="str">
        <f>IFERROR(__xludf.DUMMYFUNCTION("""COMPUTED_VALUE"""),"thjdr")</f>
        <v>thjdr</v>
      </c>
      <c r="G946" s="10" t="str">
        <f>IFERROR(__xludf.DUMMYFUNCTION("""COMPUTED_VALUE"""),"Yes")</f>
        <v>Yes</v>
      </c>
      <c r="H946" s="10">
        <f>IFERROR(__xludf.DUMMYFUNCTION("""COMPUTED_VALUE"""),2.0)</f>
        <v>2</v>
      </c>
      <c r="I946" s="10">
        <f>IFERROR(__xludf.DUMMYFUNCTION("""COMPUTED_VALUE"""),2.0)</f>
        <v>2</v>
      </c>
      <c r="J946" s="10">
        <f>IFERROR(__xludf.DUMMYFUNCTION("""COMPUTED_VALUE"""),7.0)</f>
        <v>7</v>
      </c>
      <c r="K946" s="10">
        <f>IFERROR(__xludf.DUMMYFUNCTION("""COMPUTED_VALUE"""),8.0)</f>
        <v>8</v>
      </c>
      <c r="L946" s="10">
        <f>IFERROR(__xludf.DUMMYFUNCTION("""COMPUTED_VALUE"""),0.0)</f>
        <v>0</v>
      </c>
      <c r="M946" s="10">
        <f>IFERROR(__xludf.DUMMYFUNCTION("""COMPUTED_VALUE"""),6.0)</f>
        <v>6</v>
      </c>
      <c r="N946" s="10">
        <f>IFERROR(__xludf.DUMMYFUNCTION("""COMPUTED_VALUE"""),0.0)</f>
        <v>0</v>
      </c>
      <c r="O946" s="10">
        <f>IFERROR(__xludf.DUMMYFUNCTION("""COMPUTED_VALUE"""),7.0)</f>
        <v>7</v>
      </c>
      <c r="P946" s="10">
        <f>IFERROR(__xludf.DUMMYFUNCTION("""COMPUTED_VALUE"""),0.0)</f>
        <v>0</v>
      </c>
      <c r="Q946" s="10" t="str">
        <f>IFERROR(__xludf.DUMMYFUNCTION("""COMPUTED_VALUE"""),"No")</f>
        <v>No</v>
      </c>
      <c r="R946" s="10" t="str">
        <f>IFERROR(__xludf.DUMMYFUNCTION("""COMPUTED_VALUE"""),"No")</f>
        <v>No</v>
      </c>
      <c r="S946" s="10" t="str">
        <f>IFERROR(__xludf.DUMMYFUNCTION("""COMPUTED_VALUE"""),"Yes")</f>
        <v>Yes</v>
      </c>
      <c r="T946" s="10">
        <f>IFERROR(__xludf.DUMMYFUNCTION("""COMPUTED_VALUE"""),0.0)</f>
        <v>0</v>
      </c>
      <c r="U946" s="10">
        <f>IFERROR(__xludf.DUMMYFUNCTION("""COMPUTED_VALUE"""),0.0)</f>
        <v>0</v>
      </c>
      <c r="V946" s="10" t="str">
        <f>IFERROR(__xludf.DUMMYFUNCTION("""COMPUTED_VALUE"""),"قران کی پیروی ، سلام میں عورت کا مقام اور کردار ")</f>
        <v>قران کی پیروی ، سلام میں عورت کا مقام اور کردار </v>
      </c>
      <c r="W946" s="10" t="str">
        <f>IFERROR(__xludf.DUMMYFUNCTION("""COMPUTED_VALUE"""),"امام نے بیان کیا کہ کس طرح صحابیات معاشی سرگرمیوں میں حصہ لیتے تھے حضرت خدیجہ رضی اللہ تعالی عنہ کا کاروباری معاملات کو سنبھالنا اور جابر بن عبداللہ رضی اللہ تعالی عنہ کی خالہ کے عدت کے دوران کام کرنے کا واقعہ بیان کیا، کا خواتین کی رائے کو اہمیت دینی ہما"&amp;"را رضی اللہ تعالی عنہا کا جنگ سرگرمیوں میں حضور پاک صلی اللہ علیہ وسلم کے شانہ بشانہ کھڑے ہونے کا واقعہ بیان کیا، اس کے ساتھ ہم نے بیان کیا کہ ہمیں قران کو سیکھنا پڑھنا چاہیے قران سے ہمیں ہر معاملات پتہ چلے گا اور قران سیکھنے سے سارے معاملات خود بخود ٹھیک"&amp;" ہو جائیں گے")</f>
        <v>امام نے بیان کیا کہ کس طرح صحابیات معاشی سرگرمیوں میں حصہ لیتے تھے حضرت خدیجہ رضی اللہ تعالی عنہ کا کاروباری معاملات کو سنبھالنا اور جابر بن عبداللہ رضی اللہ تعالی عنہ کی خالہ کے عدت کے دوران کام کرنے کا واقعہ بیان کیا، کا خواتین کی رائے کو اہمیت دینی ہمارا رضی اللہ تعالی عنہا کا جنگ سرگرمیوں میں حضور پاک صلی اللہ علیہ وسلم کے شانہ بشانہ کھڑے ہونے کا واقعہ بیان کیا، اس کے ساتھ ہم نے بیان کیا کہ ہمیں قران کو سیکھنا پڑھنا چاہیے قران سے ہمیں ہر معاملات پتہ چلے گا اور قران سیکھنے سے سارے معاملات خود بخود ٹھیک ہو جائیں گے</v>
      </c>
      <c r="X946" s="10">
        <f>IFERROR(__xludf.DUMMYFUNCTION("""COMPUTED_VALUE"""),2.0)</f>
        <v>2</v>
      </c>
      <c r="Y946" s="10">
        <f>IFERROR(__xludf.DUMMYFUNCTION("""COMPUTED_VALUE"""),8.0)</f>
        <v>8</v>
      </c>
      <c r="Z946" s="10">
        <f>IFERROR(__xludf.DUMMYFUNCTION("""COMPUTED_VALUE"""),6.0)</f>
        <v>6</v>
      </c>
      <c r="AA946" s="10">
        <f>IFERROR(__xludf.DUMMYFUNCTION("""COMPUTED_VALUE"""),8.0)</f>
        <v>8</v>
      </c>
      <c r="AB946" s="10">
        <f>IFERROR(__xludf.DUMMYFUNCTION("""COMPUTED_VALUE"""),6.0)</f>
        <v>6</v>
      </c>
      <c r="AC946" s="10">
        <f>IFERROR(__xludf.DUMMYFUNCTION("""COMPUTED_VALUE"""),1.0)</f>
        <v>1</v>
      </c>
      <c r="AD946" s="10">
        <f>IFERROR(__xludf.DUMMYFUNCTION("""COMPUTED_VALUE"""),4.0)</f>
        <v>4</v>
      </c>
      <c r="AE946" s="10">
        <f>IFERROR(__xludf.DUMMYFUNCTION("""COMPUTED_VALUE"""),0.0)</f>
        <v>0</v>
      </c>
      <c r="AF946" s="10">
        <f>IFERROR(__xludf.DUMMYFUNCTION("""COMPUTED_VALUE"""),0.0)</f>
        <v>0</v>
      </c>
      <c r="AG946" s="10">
        <f>IFERROR(__xludf.DUMMYFUNCTION("""COMPUTED_VALUE"""),8.0)</f>
        <v>8</v>
      </c>
      <c r="AH946" s="10">
        <f>IFERROR(__xludf.DUMMYFUNCTION("""COMPUTED_VALUE"""),0.0)</f>
        <v>0</v>
      </c>
      <c r="AI946" s="10">
        <f>IFERROR(__xludf.DUMMYFUNCTION("""COMPUTED_VALUE"""),8.0)</f>
        <v>8</v>
      </c>
      <c r="AJ946" s="11" t="str">
        <f>IFERROR(__xludf.DUMMYFUNCTION("""COMPUTED_VALUE"""),"https://drive.google.com/open?id=1POK0PNQIEcisDQC7ps16H_QL3vIGR4kquLw0HycPkQQ")</f>
        <v>https://drive.google.com/open?id=1POK0PNQIEcisDQC7ps16H_QL3vIGR4kquLw0HycPkQQ</v>
      </c>
      <c r="AK946" s="12"/>
      <c r="AL946" s="12" t="str">
        <f>IFERROR(__xludf.DUMMYFUNCTION("""COMPUTED_VALUE"""),"Yes")</f>
        <v>Yes</v>
      </c>
      <c r="AM946" s="15">
        <f>IFERROR(__xludf.DUMMYFUNCTION("""COMPUTED_VALUE"""),0.8)</f>
        <v>0.8</v>
      </c>
      <c r="AN946" s="12" t="str">
        <f>IFERROR(__xludf.DUMMYFUNCTION("""COMPUTED_VALUE"""),"3rd week")</f>
        <v>3rd week</v>
      </c>
      <c r="AO946" s="13">
        <v>3.0</v>
      </c>
      <c r="AX946" s="17"/>
    </row>
    <row r="947">
      <c r="B947" s="9">
        <f>IFERROR(__xludf.DUMMYFUNCTION("""COMPUTED_VALUE"""),46030.63460951389)</f>
        <v>46030.63461</v>
      </c>
      <c r="C947" s="10" t="str">
        <f>IFERROR(__xludf.DUMMYFUNCTION("""COMPUTED_VALUE"""),"Maham")</f>
        <v>Maham</v>
      </c>
      <c r="D947" s="10" t="str">
        <f>IFERROR(__xludf.DUMMYFUNCTION("""COMPUTED_VALUE"""),"03218118680")</f>
        <v>03218118680</v>
      </c>
      <c r="E947" s="10" t="str">
        <f>IFERROR(__xludf.DUMMYFUNCTION("""COMPUTED_VALUE"""),"Jamia Masjid Gunj Mandi Rawalpindi")</f>
        <v>Jamia Masjid Gunj Mandi Rawalpindi</v>
      </c>
      <c r="F947" s="10" t="str">
        <f>IFERROR(__xludf.DUMMYFUNCTION("""COMPUTED_VALUE"""),"silss")</f>
        <v>silss</v>
      </c>
      <c r="G947" s="10" t="str">
        <f>IFERROR(__xludf.DUMMYFUNCTION("""COMPUTED_VALUE"""),"Yes")</f>
        <v>Yes</v>
      </c>
      <c r="H947" s="10">
        <f>IFERROR(__xludf.DUMMYFUNCTION("""COMPUTED_VALUE"""),0.0)</f>
        <v>0</v>
      </c>
      <c r="I947" s="10">
        <f>IFERROR(__xludf.DUMMYFUNCTION("""COMPUTED_VALUE"""),10.0)</f>
        <v>10</v>
      </c>
      <c r="J947" s="10">
        <f>IFERROR(__xludf.DUMMYFUNCTION("""COMPUTED_VALUE"""),0.0)</f>
        <v>0</v>
      </c>
      <c r="K947" s="10">
        <f>IFERROR(__xludf.DUMMYFUNCTION("""COMPUTED_VALUE"""),0.0)</f>
        <v>0</v>
      </c>
      <c r="L947" s="10">
        <f>IFERROR(__xludf.DUMMYFUNCTION("""COMPUTED_VALUE"""),0.0)</f>
        <v>0</v>
      </c>
      <c r="M947" s="10">
        <f>IFERROR(__xludf.DUMMYFUNCTION("""COMPUTED_VALUE"""),0.0)</f>
        <v>0</v>
      </c>
      <c r="N947" s="10">
        <f>IFERROR(__xludf.DUMMYFUNCTION("""COMPUTED_VALUE"""),0.0)</f>
        <v>0</v>
      </c>
      <c r="O947" s="10">
        <f>IFERROR(__xludf.DUMMYFUNCTION("""COMPUTED_VALUE"""),0.0)</f>
        <v>0</v>
      </c>
      <c r="P947" s="10">
        <f>IFERROR(__xludf.DUMMYFUNCTION("""COMPUTED_VALUE"""),0.0)</f>
        <v>0</v>
      </c>
      <c r="Q947" s="10" t="str">
        <f>IFERROR(__xludf.DUMMYFUNCTION("""COMPUTED_VALUE"""),"No")</f>
        <v>No</v>
      </c>
      <c r="R947" s="10" t="str">
        <f>IFERROR(__xludf.DUMMYFUNCTION("""COMPUTED_VALUE"""),"No")</f>
        <v>No</v>
      </c>
      <c r="S947" s="10" t="str">
        <f>IFERROR(__xludf.DUMMYFUNCTION("""COMPUTED_VALUE"""),"No")</f>
        <v>No</v>
      </c>
      <c r="T947" s="10">
        <f>IFERROR(__xludf.DUMMYFUNCTION("""COMPUTED_VALUE"""),0.0)</f>
        <v>0</v>
      </c>
      <c r="U947" s="10">
        <f>IFERROR(__xludf.DUMMYFUNCTION("""COMPUTED_VALUE"""),0.0)</f>
        <v>0</v>
      </c>
      <c r="V947" s="10" t="str">
        <f>IFERROR(__xludf.DUMMYFUNCTION("""COMPUTED_VALUE"""),"دنیا کی حقیقت")</f>
        <v>دنیا کی حقیقت</v>
      </c>
      <c r="W947" s="10" t="str">
        <f>IFERROR(__xludf.DUMMYFUNCTION("""COMPUTED_VALUE"""),"دنیا کی حقیقت کو بیان کیا گیا")</f>
        <v>دنیا کی حقیقت کو بیان کیا گیا</v>
      </c>
      <c r="X947" s="10">
        <f>IFERROR(__xludf.DUMMYFUNCTION("""COMPUTED_VALUE"""),9.0)</f>
        <v>9</v>
      </c>
      <c r="Y947" s="10">
        <f>IFERROR(__xludf.DUMMYFUNCTION("""COMPUTED_VALUE"""),1.0)</f>
        <v>1</v>
      </c>
      <c r="Z947" s="10">
        <f>IFERROR(__xludf.DUMMYFUNCTION("""COMPUTED_VALUE"""),1.0)</f>
        <v>1</v>
      </c>
      <c r="AA947" s="10">
        <f>IFERROR(__xludf.DUMMYFUNCTION("""COMPUTED_VALUE"""),9.0)</f>
        <v>9</v>
      </c>
      <c r="AB947" s="10">
        <f>IFERROR(__xludf.DUMMYFUNCTION("""COMPUTED_VALUE"""),3.0)</f>
        <v>3</v>
      </c>
      <c r="AC947" s="10">
        <f>IFERROR(__xludf.DUMMYFUNCTION("""COMPUTED_VALUE"""),0.0)</f>
        <v>0</v>
      </c>
      <c r="AD947" s="10">
        <f>IFERROR(__xludf.DUMMYFUNCTION("""COMPUTED_VALUE"""),2.0)</f>
        <v>2</v>
      </c>
      <c r="AE947" s="10">
        <f>IFERROR(__xludf.DUMMYFUNCTION("""COMPUTED_VALUE"""),1.0)</f>
        <v>1</v>
      </c>
      <c r="AF947" s="10">
        <f>IFERROR(__xludf.DUMMYFUNCTION("""COMPUTED_VALUE"""),8.0)</f>
        <v>8</v>
      </c>
      <c r="AG947" s="10">
        <f>IFERROR(__xludf.DUMMYFUNCTION("""COMPUTED_VALUE"""),7.0)</f>
        <v>7</v>
      </c>
      <c r="AH947" s="10">
        <f>IFERROR(__xludf.DUMMYFUNCTION("""COMPUTED_VALUE"""),0.0)</f>
        <v>0</v>
      </c>
      <c r="AI947" s="10">
        <f>IFERROR(__xludf.DUMMYFUNCTION("""COMPUTED_VALUE"""),8.0)</f>
        <v>8</v>
      </c>
      <c r="AJ947" s="11" t="str">
        <f>IFERROR(__xludf.DUMMYFUNCTION("""COMPUTED_VALUE"""),"https://drive.google.com/open?id=1TaAriRTCspa0LsoYnr5YJIpJY1mMiJwt")</f>
        <v>https://drive.google.com/open?id=1TaAriRTCspa0LsoYnr5YJIpJY1mMiJwt</v>
      </c>
      <c r="AK947" s="12"/>
      <c r="AL947" s="12" t="str">
        <f>IFERROR(__xludf.DUMMYFUNCTION("""COMPUTED_VALUE"""),"Yes")</f>
        <v>Yes</v>
      </c>
      <c r="AM947" s="15">
        <f>IFERROR(__xludf.DUMMYFUNCTION("""COMPUTED_VALUE"""),0.0)</f>
        <v>0</v>
      </c>
      <c r="AN947" s="12" t="str">
        <f>IFERROR(__xludf.DUMMYFUNCTION("""COMPUTED_VALUE"""),"3rd week")</f>
        <v>3rd week</v>
      </c>
      <c r="AO947" s="13">
        <v>3.0</v>
      </c>
      <c r="AX947" s="17"/>
    </row>
    <row r="948">
      <c r="B948" s="9">
        <f>IFERROR(__xludf.DUMMYFUNCTION("""COMPUTED_VALUE"""),46030.66066707176)</f>
        <v>46030.66067</v>
      </c>
      <c r="C948" s="10" t="str">
        <f>IFERROR(__xludf.DUMMYFUNCTION("""COMPUTED_VALUE"""),"maham")</f>
        <v>maham</v>
      </c>
      <c r="D948" s="10" t="str">
        <f>IFERROR(__xludf.DUMMYFUNCTION("""COMPUTED_VALUE"""),"03218118680")</f>
        <v>03218118680</v>
      </c>
      <c r="E948" s="10" t="str">
        <f>IFERROR(__xludf.DUMMYFUNCTION("""COMPUTED_VALUE"""),"Jamia Masjid Gul Saraaj Rawalpindi")</f>
        <v>Jamia Masjid Gul Saraaj Rawalpindi</v>
      </c>
      <c r="F948" s="10" t="str">
        <f>IFERROR(__xludf.DUMMYFUNCTION("""COMPUTED_VALUE"""),"czbuv")</f>
        <v>czbuv</v>
      </c>
      <c r="G948" s="10" t="str">
        <f>IFERROR(__xludf.DUMMYFUNCTION("""COMPUTED_VALUE"""),"Yes")</f>
        <v>Yes</v>
      </c>
      <c r="H948" s="10">
        <f>IFERROR(__xludf.DUMMYFUNCTION("""COMPUTED_VALUE"""),3.0)</f>
        <v>3</v>
      </c>
      <c r="I948" s="10">
        <f>IFERROR(__xludf.DUMMYFUNCTION("""COMPUTED_VALUE"""),7.0)</f>
        <v>7</v>
      </c>
      <c r="J948" s="10">
        <f>IFERROR(__xludf.DUMMYFUNCTION("""COMPUTED_VALUE"""),5.0)</f>
        <v>5</v>
      </c>
      <c r="K948" s="10">
        <f>IFERROR(__xludf.DUMMYFUNCTION("""COMPUTED_VALUE"""),5.0)</f>
        <v>5</v>
      </c>
      <c r="L948" s="10">
        <f>IFERROR(__xludf.DUMMYFUNCTION("""COMPUTED_VALUE"""),0.0)</f>
        <v>0</v>
      </c>
      <c r="M948" s="10">
        <f>IFERROR(__xludf.DUMMYFUNCTION("""COMPUTED_VALUE"""),5.0)</f>
        <v>5</v>
      </c>
      <c r="N948" s="10">
        <f>IFERROR(__xludf.DUMMYFUNCTION("""COMPUTED_VALUE"""),0.0)</f>
        <v>0</v>
      </c>
      <c r="O948" s="10">
        <f>IFERROR(__xludf.DUMMYFUNCTION("""COMPUTED_VALUE"""),0.0)</f>
        <v>0</v>
      </c>
      <c r="P948" s="10">
        <f>IFERROR(__xludf.DUMMYFUNCTION("""COMPUTED_VALUE"""),0.0)</f>
        <v>0</v>
      </c>
      <c r="Q948" s="10" t="str">
        <f>IFERROR(__xludf.DUMMYFUNCTION("""COMPUTED_VALUE"""),"No")</f>
        <v>No</v>
      </c>
      <c r="R948" s="10" t="str">
        <f>IFERROR(__xludf.DUMMYFUNCTION("""COMPUTED_VALUE"""),"No")</f>
        <v>No</v>
      </c>
      <c r="S948" s="10" t="str">
        <f>IFERROR(__xludf.DUMMYFUNCTION("""COMPUTED_VALUE"""),"No")</f>
        <v>No</v>
      </c>
      <c r="T948" s="10">
        <f>IFERROR(__xludf.DUMMYFUNCTION("""COMPUTED_VALUE"""),0.0)</f>
        <v>0</v>
      </c>
      <c r="U948" s="10">
        <f>IFERROR(__xludf.DUMMYFUNCTION("""COMPUTED_VALUE"""),0.0)</f>
        <v>0</v>
      </c>
      <c r="V948" s="10" t="str">
        <f>IFERROR(__xludf.DUMMYFUNCTION("""COMPUTED_VALUE"""),"عورتوں کے حقوق")</f>
        <v>عورتوں کے حقوق</v>
      </c>
      <c r="W948" s="10" t="str">
        <f>IFERROR(__xludf.DUMMYFUNCTION("""COMPUTED_VALUE"""),"عورتوں کے حقوق بیان کیے گئے")</f>
        <v>عورتوں کے حقوق بیان کیے گئے</v>
      </c>
      <c r="X948" s="10">
        <f>IFERROR(__xludf.DUMMYFUNCTION("""COMPUTED_VALUE"""),1.0)</f>
        <v>1</v>
      </c>
      <c r="Y948" s="10">
        <f>IFERROR(__xludf.DUMMYFUNCTION("""COMPUTED_VALUE"""),9.0)</f>
        <v>9</v>
      </c>
      <c r="Z948" s="10">
        <f>IFERROR(__xludf.DUMMYFUNCTION("""COMPUTED_VALUE"""),7.0)</f>
        <v>7</v>
      </c>
      <c r="AA948" s="10">
        <f>IFERROR(__xludf.DUMMYFUNCTION("""COMPUTED_VALUE"""),8.0)</f>
        <v>8</v>
      </c>
      <c r="AB948" s="10">
        <f>IFERROR(__xludf.DUMMYFUNCTION("""COMPUTED_VALUE"""),6.0)</f>
        <v>6</v>
      </c>
      <c r="AC948" s="10">
        <f>IFERROR(__xludf.DUMMYFUNCTION("""COMPUTED_VALUE"""),2.0)</f>
        <v>2</v>
      </c>
      <c r="AD948" s="10">
        <f>IFERROR(__xludf.DUMMYFUNCTION("""COMPUTED_VALUE"""),4.0)</f>
        <v>4</v>
      </c>
      <c r="AE948" s="10">
        <f>IFERROR(__xludf.DUMMYFUNCTION("""COMPUTED_VALUE"""),1.0)</f>
        <v>1</v>
      </c>
      <c r="AF948" s="10">
        <f>IFERROR(__xludf.DUMMYFUNCTION("""COMPUTED_VALUE"""),4.0)</f>
        <v>4</v>
      </c>
      <c r="AG948" s="10">
        <f>IFERROR(__xludf.DUMMYFUNCTION("""COMPUTED_VALUE"""),8.0)</f>
        <v>8</v>
      </c>
      <c r="AH948" s="10">
        <f>IFERROR(__xludf.DUMMYFUNCTION("""COMPUTED_VALUE"""),0.0)</f>
        <v>0</v>
      </c>
      <c r="AI948" s="10">
        <f>IFERROR(__xludf.DUMMYFUNCTION("""COMPUTED_VALUE"""),8.0)</f>
        <v>8</v>
      </c>
      <c r="AJ948" s="11" t="str">
        <f>IFERROR(__xludf.DUMMYFUNCTION("""COMPUTED_VALUE"""),"https://drive.google.com/open?id=1e4YpVhG8a25bsXUCp8KoM2r6b1IRHBzl")</f>
        <v>https://drive.google.com/open?id=1e4YpVhG8a25bsXUCp8KoM2r6b1IRHBzl</v>
      </c>
      <c r="AK948" s="12"/>
      <c r="AL948" s="12" t="str">
        <f>IFERROR(__xludf.DUMMYFUNCTION("""COMPUTED_VALUE"""),"Yes")</f>
        <v>Yes</v>
      </c>
      <c r="AM948" s="15">
        <f>IFERROR(__xludf.DUMMYFUNCTION("""COMPUTED_VALUE"""),0.4)</f>
        <v>0.4</v>
      </c>
      <c r="AN948" s="12" t="str">
        <f>IFERROR(__xludf.DUMMYFUNCTION("""COMPUTED_VALUE"""),"3rd week")</f>
        <v>3rd week</v>
      </c>
      <c r="AO948" s="13">
        <v>3.0</v>
      </c>
      <c r="AX948" s="17"/>
    </row>
    <row r="949">
      <c r="B949" s="9">
        <f>IFERROR(__xludf.DUMMYFUNCTION("""COMPUTED_VALUE"""),46030.71290278935)</f>
        <v>46030.7129</v>
      </c>
      <c r="C949" s="10" t="str">
        <f>IFERROR(__xludf.DUMMYFUNCTION("""COMPUTED_VALUE"""),"Maham")</f>
        <v>Maham</v>
      </c>
      <c r="D949" s="10" t="str">
        <f>IFERROR(__xludf.DUMMYFUNCTION("""COMPUTED_VALUE"""),"03218118680")</f>
        <v>03218118680</v>
      </c>
      <c r="E949" s="10" t="str">
        <f>IFERROR(__xludf.DUMMYFUNCTION("""COMPUTED_VALUE"""),"Masjid Baba Ghulam Badshah Rawalpindi")</f>
        <v>Masjid Baba Ghulam Badshah Rawalpindi</v>
      </c>
      <c r="F949" s="10" t="str">
        <f>IFERROR(__xludf.DUMMYFUNCTION("""COMPUTED_VALUE"""),"gakov")</f>
        <v>gakov</v>
      </c>
      <c r="G949" s="10" t="str">
        <f>IFERROR(__xludf.DUMMYFUNCTION("""COMPUTED_VALUE"""),"No")</f>
        <v>No</v>
      </c>
      <c r="H949" s="10"/>
      <c r="I949" s="10"/>
      <c r="J949" s="10"/>
      <c r="K949" s="10">
        <f>IFERROR(__xludf.DUMMYFUNCTION("""COMPUTED_VALUE"""),0.0)</f>
        <v>0</v>
      </c>
      <c r="L949" s="10">
        <f>IFERROR(__xludf.DUMMYFUNCTION("""COMPUTED_VALUE"""),2.0)</f>
        <v>2</v>
      </c>
      <c r="M949" s="10">
        <f>IFERROR(__xludf.DUMMYFUNCTION("""COMPUTED_VALUE"""),0.0)</f>
        <v>0</v>
      </c>
      <c r="N949" s="10">
        <f>IFERROR(__xludf.DUMMYFUNCTION("""COMPUTED_VALUE"""),2.0)</f>
        <v>2</v>
      </c>
      <c r="O949" s="10">
        <f>IFERROR(__xludf.DUMMYFUNCTION("""COMPUTED_VALUE"""),0.0)</f>
        <v>0</v>
      </c>
      <c r="P949" s="10">
        <f>IFERROR(__xludf.DUMMYFUNCTION("""COMPUTED_VALUE"""),0.0)</f>
        <v>0</v>
      </c>
      <c r="Q949" s="10" t="str">
        <f>IFERROR(__xludf.DUMMYFUNCTION("""COMPUTED_VALUE"""),"No")</f>
        <v>No</v>
      </c>
      <c r="R949" s="10" t="str">
        <f>IFERROR(__xludf.DUMMYFUNCTION("""COMPUTED_VALUE"""),"No")</f>
        <v>No</v>
      </c>
      <c r="S949" s="10" t="str">
        <f>IFERROR(__xludf.DUMMYFUNCTION("""COMPUTED_VALUE"""),"No")</f>
        <v>No</v>
      </c>
      <c r="T949" s="10">
        <f>IFERROR(__xludf.DUMMYFUNCTION("""COMPUTED_VALUE"""),0.0)</f>
        <v>0</v>
      </c>
      <c r="U949" s="10">
        <f>IFERROR(__xludf.DUMMYFUNCTION("""COMPUTED_VALUE"""),0.0)</f>
        <v>0</v>
      </c>
      <c r="V949" s="10" t="str">
        <f>IFERROR(__xludf.DUMMYFUNCTION("""COMPUTED_VALUE"""),"دنیا کی عارضی چیزوں کو چھوڑ کے اخرت کی تیاری")</f>
        <v>دنیا کی عارضی چیزوں کو چھوڑ کے اخرت کی تیاری</v>
      </c>
      <c r="W949" s="10" t="str">
        <f>IFERROR(__xludf.DUMMYFUNCTION("""COMPUTED_VALUE"""),"دنیا کی عارضی چیزوں کو چھوڑ کے اخرت کی تیاری")</f>
        <v>دنیا کی عارضی چیزوں کو چھوڑ کے اخرت کی تیاری</v>
      </c>
      <c r="X949" s="10">
        <f>IFERROR(__xludf.DUMMYFUNCTION("""COMPUTED_VALUE"""),10.0)</f>
        <v>10</v>
      </c>
      <c r="Y949" s="10">
        <f>IFERROR(__xludf.DUMMYFUNCTION("""COMPUTED_VALUE"""),4.0)</f>
        <v>4</v>
      </c>
      <c r="Z949" s="10">
        <f>IFERROR(__xludf.DUMMYFUNCTION("""COMPUTED_VALUE"""),4.0)</f>
        <v>4</v>
      </c>
      <c r="AA949" s="10">
        <f>IFERROR(__xludf.DUMMYFUNCTION("""COMPUTED_VALUE"""),7.0)</f>
        <v>7</v>
      </c>
      <c r="AB949" s="10">
        <f>IFERROR(__xludf.DUMMYFUNCTION("""COMPUTED_VALUE"""),4.0)</f>
        <v>4</v>
      </c>
      <c r="AC949" s="10">
        <f>IFERROR(__xludf.DUMMYFUNCTION("""COMPUTED_VALUE"""),1.0)</f>
        <v>1</v>
      </c>
      <c r="AD949" s="10">
        <f>IFERROR(__xludf.DUMMYFUNCTION("""COMPUTED_VALUE"""),3.0)</f>
        <v>3</v>
      </c>
      <c r="AE949" s="10">
        <f>IFERROR(__xludf.DUMMYFUNCTION("""COMPUTED_VALUE"""),2.0)</f>
        <v>2</v>
      </c>
      <c r="AF949" s="10">
        <f>IFERROR(__xludf.DUMMYFUNCTION("""COMPUTED_VALUE"""),8.0)</f>
        <v>8</v>
      </c>
      <c r="AG949" s="10">
        <f>IFERROR(__xludf.DUMMYFUNCTION("""COMPUTED_VALUE"""),7.0)</f>
        <v>7</v>
      </c>
      <c r="AH949" s="10">
        <f>IFERROR(__xludf.DUMMYFUNCTION("""COMPUTED_VALUE"""),0.0)</f>
        <v>0</v>
      </c>
      <c r="AI949" s="10">
        <f>IFERROR(__xludf.DUMMYFUNCTION("""COMPUTED_VALUE"""),8.0)</f>
        <v>8</v>
      </c>
      <c r="AJ949" s="11" t="str">
        <f>IFERROR(__xludf.DUMMYFUNCTION("""COMPUTED_VALUE"""),"https://drive.google.com/open?id=1yO4yM4KH74sGg9l1ZRpRqrtaqdcZ1Zl5")</f>
        <v>https://drive.google.com/open?id=1yO4yM4KH74sGg9l1ZRpRqrtaqdcZ1Zl5</v>
      </c>
      <c r="AK949" s="12"/>
      <c r="AL949" s="12"/>
      <c r="AM949" s="12"/>
      <c r="AN949" s="12" t="str">
        <f>IFERROR(__xludf.DUMMYFUNCTION("""COMPUTED_VALUE"""),"3rd week")</f>
        <v>3rd week</v>
      </c>
      <c r="AO949" s="13">
        <v>3.0</v>
      </c>
      <c r="AX949" s="17"/>
    </row>
    <row r="950">
      <c r="B950" s="9">
        <f>IFERROR(__xludf.DUMMYFUNCTION("""COMPUTED_VALUE"""),46031.3846616088)</f>
        <v>46031.38466</v>
      </c>
      <c r="C950" s="10" t="str">
        <f>IFERROR(__xludf.DUMMYFUNCTION("""COMPUTED_VALUE"""),"maham")</f>
        <v>maham</v>
      </c>
      <c r="D950" s="10" t="str">
        <f>IFERROR(__xludf.DUMMYFUNCTION("""COMPUTED_VALUE"""),"03218118680")</f>
        <v>03218118680</v>
      </c>
      <c r="E950" s="10" t="str">
        <f>IFERROR(__xludf.DUMMYFUNCTION("""COMPUTED_VALUE"""),"Jamia Masjid Daud Shah hakani")</f>
        <v>Jamia Masjid Daud Shah hakani</v>
      </c>
      <c r="F950" s="10" t="str">
        <f>IFERROR(__xludf.DUMMYFUNCTION("""COMPUTED_VALUE"""),"lnsdx")</f>
        <v>lnsdx</v>
      </c>
      <c r="G950" s="10" t="str">
        <f>IFERROR(__xludf.DUMMYFUNCTION("""COMPUTED_VALUE"""),"Yes")</f>
        <v>Yes</v>
      </c>
      <c r="H950" s="10">
        <f>IFERROR(__xludf.DUMMYFUNCTION("""COMPUTED_VALUE"""),6.0)</f>
        <v>6</v>
      </c>
      <c r="I950" s="10">
        <f>IFERROR(__xludf.DUMMYFUNCTION("""COMPUTED_VALUE"""),4.0)</f>
        <v>4</v>
      </c>
      <c r="J950" s="10">
        <f>IFERROR(__xludf.DUMMYFUNCTION("""COMPUTED_VALUE"""),10.0)</f>
        <v>10</v>
      </c>
      <c r="K950" s="10">
        <f>IFERROR(__xludf.DUMMYFUNCTION("""COMPUTED_VALUE"""),0.0)</f>
        <v>0</v>
      </c>
      <c r="L950" s="10">
        <f>IFERROR(__xludf.DUMMYFUNCTION("""COMPUTED_VALUE"""),10.0)</f>
        <v>10</v>
      </c>
      <c r="M950" s="10">
        <f>IFERROR(__xludf.DUMMYFUNCTION("""COMPUTED_VALUE"""),0.0)</f>
        <v>0</v>
      </c>
      <c r="N950" s="10">
        <f>IFERROR(__xludf.DUMMYFUNCTION("""COMPUTED_VALUE"""),10.0)</f>
        <v>10</v>
      </c>
      <c r="O950" s="10">
        <f>IFERROR(__xludf.DUMMYFUNCTION("""COMPUTED_VALUE"""),0.0)</f>
        <v>0</v>
      </c>
      <c r="P950" s="10">
        <f>IFERROR(__xludf.DUMMYFUNCTION("""COMPUTED_VALUE"""),3.0)</f>
        <v>3</v>
      </c>
      <c r="Q950" s="10" t="str">
        <f>IFERROR(__xludf.DUMMYFUNCTION("""COMPUTED_VALUE"""),"No")</f>
        <v>No</v>
      </c>
      <c r="R950" s="10" t="str">
        <f>IFERROR(__xludf.DUMMYFUNCTION("""COMPUTED_VALUE"""),"No")</f>
        <v>No</v>
      </c>
      <c r="S950" s="10" t="str">
        <f>IFERROR(__xludf.DUMMYFUNCTION("""COMPUTED_VALUE"""),"No")</f>
        <v>No</v>
      </c>
      <c r="T950" s="10">
        <f>IFERROR(__xludf.DUMMYFUNCTION("""COMPUTED_VALUE"""),0.0)</f>
        <v>0</v>
      </c>
      <c r="U950" s="10">
        <f>IFERROR(__xludf.DUMMYFUNCTION("""COMPUTED_VALUE"""),0.0)</f>
        <v>0</v>
      </c>
      <c r="V950" s="10" t="str">
        <f>IFERROR(__xludf.DUMMYFUNCTION("""COMPUTED_VALUE"""),"پڑوسیوں کے حقوق")</f>
        <v>پڑوسیوں کے حقوق</v>
      </c>
      <c r="W950" s="10" t="str">
        <f>IFERROR(__xludf.DUMMYFUNCTION("""COMPUTED_VALUE"""),"پڑوسیوں کے حقوق بیان کیے گئے")</f>
        <v>پڑوسیوں کے حقوق بیان کیے گئے</v>
      </c>
      <c r="X950" s="10">
        <f>IFERROR(__xludf.DUMMYFUNCTION("""COMPUTED_VALUE"""),2.0)</f>
        <v>2</v>
      </c>
      <c r="Y950" s="10">
        <f>IFERROR(__xludf.DUMMYFUNCTION("""COMPUTED_VALUE"""),8.0)</f>
        <v>8</v>
      </c>
      <c r="Z950" s="10">
        <f>IFERROR(__xludf.DUMMYFUNCTION("""COMPUTED_VALUE"""),7.0)</f>
        <v>7</v>
      </c>
      <c r="AA950" s="10">
        <f>IFERROR(__xludf.DUMMYFUNCTION("""COMPUTED_VALUE"""),8.0)</f>
        <v>8</v>
      </c>
      <c r="AB950" s="10">
        <f>IFERROR(__xludf.DUMMYFUNCTION("""COMPUTED_VALUE"""),6.0)</f>
        <v>6</v>
      </c>
      <c r="AC950" s="10">
        <f>IFERROR(__xludf.DUMMYFUNCTION("""COMPUTED_VALUE"""),0.0)</f>
        <v>0</v>
      </c>
      <c r="AD950" s="10">
        <f>IFERROR(__xludf.DUMMYFUNCTION("""COMPUTED_VALUE"""),2.0)</f>
        <v>2</v>
      </c>
      <c r="AE950" s="10">
        <f>IFERROR(__xludf.DUMMYFUNCTION("""COMPUTED_VALUE"""),0.0)</f>
        <v>0</v>
      </c>
      <c r="AF950" s="10">
        <f>IFERROR(__xludf.DUMMYFUNCTION("""COMPUTED_VALUE"""),4.0)</f>
        <v>4</v>
      </c>
      <c r="AG950" s="10">
        <f>IFERROR(__xludf.DUMMYFUNCTION("""COMPUTED_VALUE"""),7.0)</f>
        <v>7</v>
      </c>
      <c r="AH950" s="10">
        <f>IFERROR(__xludf.DUMMYFUNCTION("""COMPUTED_VALUE"""),0.0)</f>
        <v>0</v>
      </c>
      <c r="AI950" s="10">
        <f>IFERROR(__xludf.DUMMYFUNCTION("""COMPUTED_VALUE"""),8.0)</f>
        <v>8</v>
      </c>
      <c r="AJ950" s="11" t="str">
        <f>IFERROR(__xludf.DUMMYFUNCTION("""COMPUTED_VALUE"""),"https://drive.google.com/open?id=1y0a0lgJj_9gMZONfiFqnK7CFlSqz0s28")</f>
        <v>https://drive.google.com/open?id=1y0a0lgJj_9gMZONfiFqnK7CFlSqz0s28</v>
      </c>
      <c r="AK950" s="12"/>
      <c r="AL950" s="12" t="str">
        <f>IFERROR(__xludf.DUMMYFUNCTION("""COMPUTED_VALUE"""),"Yes")</f>
        <v>Yes</v>
      </c>
      <c r="AM950" s="15">
        <f>IFERROR(__xludf.DUMMYFUNCTION("""COMPUTED_VALUE"""),0.7)</f>
        <v>0.7</v>
      </c>
      <c r="AN950" s="12" t="str">
        <f>IFERROR(__xludf.DUMMYFUNCTION("""COMPUTED_VALUE"""),"3rd week")</f>
        <v>3rd week</v>
      </c>
      <c r="AO950" s="13">
        <v>3.0</v>
      </c>
      <c r="AX950" s="17"/>
    </row>
    <row r="951">
      <c r="B951" s="9">
        <f>IFERROR(__xludf.DUMMYFUNCTION("""COMPUTED_VALUE"""),46031.47307324074)</f>
        <v>46031.47307</v>
      </c>
      <c r="C951" s="10" t="str">
        <f>IFERROR(__xludf.DUMMYFUNCTION("""COMPUTED_VALUE"""),"Maham")</f>
        <v>Maham</v>
      </c>
      <c r="D951" s="10" t="str">
        <f>IFERROR(__xludf.DUMMYFUNCTION("""COMPUTED_VALUE"""),"03218118680")</f>
        <v>03218118680</v>
      </c>
      <c r="E951" s="10" t="str">
        <f>IFERROR(__xludf.DUMMYFUNCTION("""COMPUTED_VALUE"""),"Jamia Masjid Akbari Mohanpura")</f>
        <v>Jamia Masjid Akbari Mohanpura</v>
      </c>
      <c r="F951" s="10" t="str">
        <f>IFERROR(__xludf.DUMMYFUNCTION("""COMPUTED_VALUE"""),"gdglp")</f>
        <v>gdglp</v>
      </c>
      <c r="G951" s="10" t="str">
        <f>IFERROR(__xludf.DUMMYFUNCTION("""COMPUTED_VALUE"""),"Yes")</f>
        <v>Yes</v>
      </c>
      <c r="H951" s="10">
        <f>IFERROR(__xludf.DUMMYFUNCTION("""COMPUTED_VALUE"""),0.0)</f>
        <v>0</v>
      </c>
      <c r="I951" s="10">
        <f>IFERROR(__xludf.DUMMYFUNCTION("""COMPUTED_VALUE"""),10.0)</f>
        <v>10</v>
      </c>
      <c r="J951" s="10">
        <f>IFERROR(__xludf.DUMMYFUNCTION("""COMPUTED_VALUE"""),0.0)</f>
        <v>0</v>
      </c>
      <c r="K951" s="10">
        <f>IFERROR(__xludf.DUMMYFUNCTION("""COMPUTED_VALUE"""),0.0)</f>
        <v>0</v>
      </c>
      <c r="L951" s="10">
        <f>IFERROR(__xludf.DUMMYFUNCTION("""COMPUTED_VALUE"""),0.0)</f>
        <v>0</v>
      </c>
      <c r="M951" s="10">
        <f>IFERROR(__xludf.DUMMYFUNCTION("""COMPUTED_VALUE"""),0.0)</f>
        <v>0</v>
      </c>
      <c r="N951" s="10">
        <f>IFERROR(__xludf.DUMMYFUNCTION("""COMPUTED_VALUE"""),0.0)</f>
        <v>0</v>
      </c>
      <c r="O951" s="10">
        <f>IFERROR(__xludf.DUMMYFUNCTION("""COMPUTED_VALUE"""),0.0)</f>
        <v>0</v>
      </c>
      <c r="P951" s="10">
        <f>IFERROR(__xludf.DUMMYFUNCTION("""COMPUTED_VALUE"""),0.0)</f>
        <v>0</v>
      </c>
      <c r="Q951" s="10" t="str">
        <f>IFERROR(__xludf.DUMMYFUNCTION("""COMPUTED_VALUE"""),"No")</f>
        <v>No</v>
      </c>
      <c r="R951" s="10" t="str">
        <f>IFERROR(__xludf.DUMMYFUNCTION("""COMPUTED_VALUE"""),"No")</f>
        <v>No</v>
      </c>
      <c r="S951" s="10" t="str">
        <f>IFERROR(__xludf.DUMMYFUNCTION("""COMPUTED_VALUE"""),"No")</f>
        <v>No</v>
      </c>
      <c r="T951" s="10">
        <f>IFERROR(__xludf.DUMMYFUNCTION("""COMPUTED_VALUE"""),0.0)</f>
        <v>0</v>
      </c>
      <c r="U951" s="10">
        <f>IFERROR(__xludf.DUMMYFUNCTION("""COMPUTED_VALUE"""),0.0)</f>
        <v>0</v>
      </c>
      <c r="V951" s="10" t="str">
        <f>IFERROR(__xludf.DUMMYFUNCTION("""COMPUTED_VALUE"""),"اخرت کی زندگی")</f>
        <v>اخرت کی زندگی</v>
      </c>
      <c r="W951" s="10" t="str">
        <f>IFERROR(__xludf.DUMMYFUNCTION("""COMPUTED_VALUE"""),"اللہ تعالی کی توحید کو بیان کیا گیا اور اخرت کی زندگی")</f>
        <v>اللہ تعالی کی توحید کو بیان کیا گیا اور اخرت کی زندگی</v>
      </c>
      <c r="X951" s="10">
        <f>IFERROR(__xludf.DUMMYFUNCTION("""COMPUTED_VALUE"""),10.0)</f>
        <v>10</v>
      </c>
      <c r="Y951" s="10">
        <f>IFERROR(__xludf.DUMMYFUNCTION("""COMPUTED_VALUE"""),2.0)</f>
        <v>2</v>
      </c>
      <c r="Z951" s="10">
        <f>IFERROR(__xludf.DUMMYFUNCTION("""COMPUTED_VALUE"""),7.0)</f>
        <v>7</v>
      </c>
      <c r="AA951" s="10">
        <f>IFERROR(__xludf.DUMMYFUNCTION("""COMPUTED_VALUE"""),8.0)</f>
        <v>8</v>
      </c>
      <c r="AB951" s="10">
        <f>IFERROR(__xludf.DUMMYFUNCTION("""COMPUTED_VALUE"""),2.0)</f>
        <v>2</v>
      </c>
      <c r="AC951" s="10">
        <f>IFERROR(__xludf.DUMMYFUNCTION("""COMPUTED_VALUE"""),1.0)</f>
        <v>1</v>
      </c>
      <c r="AD951" s="10">
        <f>IFERROR(__xludf.DUMMYFUNCTION("""COMPUTED_VALUE"""),3.0)</f>
        <v>3</v>
      </c>
      <c r="AE951" s="10">
        <f>IFERROR(__xludf.DUMMYFUNCTION("""COMPUTED_VALUE"""),0.0)</f>
        <v>0</v>
      </c>
      <c r="AF951" s="10">
        <f>IFERROR(__xludf.DUMMYFUNCTION("""COMPUTED_VALUE"""),8.0)</f>
        <v>8</v>
      </c>
      <c r="AG951" s="10">
        <f>IFERROR(__xludf.DUMMYFUNCTION("""COMPUTED_VALUE"""),7.0)</f>
        <v>7</v>
      </c>
      <c r="AH951" s="10">
        <f>IFERROR(__xludf.DUMMYFUNCTION("""COMPUTED_VALUE"""),0.0)</f>
        <v>0</v>
      </c>
      <c r="AI951" s="10">
        <f>IFERROR(__xludf.DUMMYFUNCTION("""COMPUTED_VALUE"""),8.0)</f>
        <v>8</v>
      </c>
      <c r="AJ951" s="11" t="str">
        <f>IFERROR(__xludf.DUMMYFUNCTION("""COMPUTED_VALUE"""),"https://drive.google.com/open?id=1UmCVXNiamkSUS5vV285LIQiLpgEXiJE8")</f>
        <v>https://drive.google.com/open?id=1UmCVXNiamkSUS5vV285LIQiLpgEXiJE8</v>
      </c>
      <c r="AK951" s="12"/>
      <c r="AL951" s="12" t="str">
        <f>IFERROR(__xludf.DUMMYFUNCTION("""COMPUTED_VALUE"""),"Yes")</f>
        <v>Yes</v>
      </c>
      <c r="AM951" s="15">
        <f>IFERROR(__xludf.DUMMYFUNCTION("""COMPUTED_VALUE"""),0.0)</f>
        <v>0</v>
      </c>
      <c r="AN951" s="12" t="str">
        <f>IFERROR(__xludf.DUMMYFUNCTION("""COMPUTED_VALUE"""),"3rd week")</f>
        <v>3rd week</v>
      </c>
      <c r="AO951" s="13">
        <v>3.0</v>
      </c>
      <c r="AX951" s="17"/>
    </row>
    <row r="952">
      <c r="B952" s="9">
        <f>IFERROR(__xludf.DUMMYFUNCTION("""COMPUTED_VALUE"""),46032.09256611111)</f>
        <v>46032.09257</v>
      </c>
      <c r="C952" s="10" t="str">
        <f>IFERROR(__xludf.DUMMYFUNCTION("""COMPUTED_VALUE"""),"Maham")</f>
        <v>Maham</v>
      </c>
      <c r="D952" s="10" t="str">
        <f>IFERROR(__xludf.DUMMYFUNCTION("""COMPUTED_VALUE"""),"03218118680")</f>
        <v>03218118680</v>
      </c>
      <c r="E952" s="10" t="str">
        <f>IFERROR(__xludf.DUMMYFUNCTION("""COMPUTED_VALUE"""),"Jamia Masjid Gunj Mandi Rawalpindi")</f>
        <v>Jamia Masjid Gunj Mandi Rawalpindi</v>
      </c>
      <c r="F952" s="10" t="str">
        <f>IFERROR(__xludf.DUMMYFUNCTION("""COMPUTED_VALUE"""),"silss")</f>
        <v>silss</v>
      </c>
      <c r="G952" s="10" t="str">
        <f>IFERROR(__xludf.DUMMYFUNCTION("""COMPUTED_VALUE"""),"Yes")</f>
        <v>Yes</v>
      </c>
      <c r="H952" s="10">
        <f>IFERROR(__xludf.DUMMYFUNCTION("""COMPUTED_VALUE"""),8.0)</f>
        <v>8</v>
      </c>
      <c r="I952" s="10">
        <f>IFERROR(__xludf.DUMMYFUNCTION("""COMPUTED_VALUE"""),2.0)</f>
        <v>2</v>
      </c>
      <c r="J952" s="10">
        <f>IFERROR(__xludf.DUMMYFUNCTION("""COMPUTED_VALUE"""),10.0)</f>
        <v>10</v>
      </c>
      <c r="K952" s="10">
        <f>IFERROR(__xludf.DUMMYFUNCTION("""COMPUTED_VALUE"""),0.0)</f>
        <v>0</v>
      </c>
      <c r="L952" s="10">
        <f>IFERROR(__xludf.DUMMYFUNCTION("""COMPUTED_VALUE"""),10.0)</f>
        <v>10</v>
      </c>
      <c r="M952" s="10">
        <f>IFERROR(__xludf.DUMMYFUNCTION("""COMPUTED_VALUE"""),0.0)</f>
        <v>0</v>
      </c>
      <c r="N952" s="10">
        <f>IFERROR(__xludf.DUMMYFUNCTION("""COMPUTED_VALUE"""),9.0)</f>
        <v>9</v>
      </c>
      <c r="O952" s="10">
        <f>IFERROR(__xludf.DUMMYFUNCTION("""COMPUTED_VALUE"""),0.0)</f>
        <v>0</v>
      </c>
      <c r="P952" s="10">
        <f>IFERROR(__xludf.DUMMYFUNCTION("""COMPUTED_VALUE"""),8.0)</f>
        <v>8</v>
      </c>
      <c r="Q952" s="10" t="str">
        <f>IFERROR(__xludf.DUMMYFUNCTION("""COMPUTED_VALUE"""),"No")</f>
        <v>No</v>
      </c>
      <c r="R952" s="10" t="str">
        <f>IFERROR(__xludf.DUMMYFUNCTION("""COMPUTED_VALUE"""),"No")</f>
        <v>No</v>
      </c>
      <c r="S952" s="10" t="str">
        <f>IFERROR(__xludf.DUMMYFUNCTION("""COMPUTED_VALUE"""),"Yes")</f>
        <v>Yes</v>
      </c>
      <c r="T952" s="10">
        <f>IFERROR(__xludf.DUMMYFUNCTION("""COMPUTED_VALUE"""),0.0)</f>
        <v>0</v>
      </c>
      <c r="U952" s="10">
        <f>IFERROR(__xludf.DUMMYFUNCTION("""COMPUTED_VALUE"""),1.0)</f>
        <v>1</v>
      </c>
      <c r="V952" s="10" t="str">
        <f>IFERROR(__xludf.DUMMYFUNCTION("""COMPUTED_VALUE"""),"پڑوسیوں کے حقوق")</f>
        <v>پڑوسیوں کے حقوق</v>
      </c>
      <c r="W952" s="10" t="str">
        <f>IFERROR(__xludf.DUMMYFUNCTION("""COMPUTED_VALUE"""),"پڑوسی کے حقوق بیان کیے گئے ")</f>
        <v>پڑوسی کے حقوق بیان کیے گئے </v>
      </c>
      <c r="X952" s="10">
        <f>IFERROR(__xludf.DUMMYFUNCTION("""COMPUTED_VALUE"""),2.0)</f>
        <v>2</v>
      </c>
      <c r="Y952" s="10">
        <f>IFERROR(__xludf.DUMMYFUNCTION("""COMPUTED_VALUE"""),8.0)</f>
        <v>8</v>
      </c>
      <c r="Z952" s="10">
        <f>IFERROR(__xludf.DUMMYFUNCTION("""COMPUTED_VALUE"""),7.0)</f>
        <v>7</v>
      </c>
      <c r="AA952" s="10">
        <f>IFERROR(__xludf.DUMMYFUNCTION("""COMPUTED_VALUE"""),8.0)</f>
        <v>8</v>
      </c>
      <c r="AB952" s="10">
        <f>IFERROR(__xludf.DUMMYFUNCTION("""COMPUTED_VALUE"""),5.0)</f>
        <v>5</v>
      </c>
      <c r="AC952" s="10">
        <f>IFERROR(__xludf.DUMMYFUNCTION("""COMPUTED_VALUE"""),1.0)</f>
        <v>1</v>
      </c>
      <c r="AD952" s="10">
        <f>IFERROR(__xludf.DUMMYFUNCTION("""COMPUTED_VALUE"""),3.0)</f>
        <v>3</v>
      </c>
      <c r="AE952" s="10">
        <f>IFERROR(__xludf.DUMMYFUNCTION("""COMPUTED_VALUE"""),1.0)</f>
        <v>1</v>
      </c>
      <c r="AF952" s="10">
        <f>IFERROR(__xludf.DUMMYFUNCTION("""COMPUTED_VALUE"""),4.0)</f>
        <v>4</v>
      </c>
      <c r="AG952" s="10">
        <f>IFERROR(__xludf.DUMMYFUNCTION("""COMPUTED_VALUE"""),8.0)</f>
        <v>8</v>
      </c>
      <c r="AH952" s="10">
        <f>IFERROR(__xludf.DUMMYFUNCTION("""COMPUTED_VALUE"""),0.0)</f>
        <v>0</v>
      </c>
      <c r="AI952" s="10">
        <f>IFERROR(__xludf.DUMMYFUNCTION("""COMPUTED_VALUE"""),10.0)</f>
        <v>10</v>
      </c>
      <c r="AJ952" s="11" t="str">
        <f>IFERROR(__xludf.DUMMYFUNCTION("""COMPUTED_VALUE"""),"https://drive.google.com/open?id=1UFNljZWYaW-dLWVP3lTUYon3JYV-LOFx")</f>
        <v>https://drive.google.com/open?id=1UFNljZWYaW-dLWVP3lTUYon3JYV-LOFx</v>
      </c>
      <c r="AK952" s="12"/>
      <c r="AL952" s="12" t="str">
        <f>IFERROR(__xludf.DUMMYFUNCTION("""COMPUTED_VALUE"""),"Yes")</f>
        <v>Yes</v>
      </c>
      <c r="AM952" s="15">
        <f>IFERROR(__xludf.DUMMYFUNCTION("""COMPUTED_VALUE"""),0.9)</f>
        <v>0.9</v>
      </c>
      <c r="AN952" s="12" t="str">
        <f>IFERROR(__xludf.DUMMYFUNCTION("""COMPUTED_VALUE"""),"2nd week")</f>
        <v>2nd week</v>
      </c>
      <c r="AO952" s="13">
        <v>2.0</v>
      </c>
      <c r="AX952" s="17"/>
    </row>
    <row r="953">
      <c r="B953" s="9">
        <f>IFERROR(__xludf.DUMMYFUNCTION("""COMPUTED_VALUE"""),46032.120174456024)</f>
        <v>46032.12017</v>
      </c>
      <c r="C953" s="10" t="str">
        <f>IFERROR(__xludf.DUMMYFUNCTION("""COMPUTED_VALUE"""),"Maham ")</f>
        <v>Maham </v>
      </c>
      <c r="D953" s="10" t="str">
        <f>IFERROR(__xludf.DUMMYFUNCTION("""COMPUTED_VALUE"""),"03218118680")</f>
        <v>03218118680</v>
      </c>
      <c r="E953" s="10" t="str">
        <f>IFERROR(__xludf.DUMMYFUNCTION("""COMPUTED_VALUE"""),"Jamia Masjid Jamun Wali Rawalpindi")</f>
        <v>Jamia Masjid Jamun Wali Rawalpindi</v>
      </c>
      <c r="F953" s="10" t="str">
        <f>IFERROR(__xludf.DUMMYFUNCTION("""COMPUTED_VALUE"""),"podyo")</f>
        <v>podyo</v>
      </c>
      <c r="G953" s="10" t="str">
        <f>IFERROR(__xludf.DUMMYFUNCTION("""COMPUTED_VALUE"""),"Yes")</f>
        <v>Yes</v>
      </c>
      <c r="H953" s="10">
        <f>IFERROR(__xludf.DUMMYFUNCTION("""COMPUTED_VALUE"""),8.0)</f>
        <v>8</v>
      </c>
      <c r="I953" s="10">
        <f>IFERROR(__xludf.DUMMYFUNCTION("""COMPUTED_VALUE"""),2.0)</f>
        <v>2</v>
      </c>
      <c r="J953" s="10">
        <f>IFERROR(__xludf.DUMMYFUNCTION("""COMPUTED_VALUE"""),10.0)</f>
        <v>10</v>
      </c>
      <c r="K953" s="10">
        <f>IFERROR(__xludf.DUMMYFUNCTION("""COMPUTED_VALUE"""),10.0)</f>
        <v>10</v>
      </c>
      <c r="L953" s="10">
        <f>IFERROR(__xludf.DUMMYFUNCTION("""COMPUTED_VALUE"""),0.0)</f>
        <v>0</v>
      </c>
      <c r="M953" s="10">
        <f>IFERROR(__xludf.DUMMYFUNCTION("""COMPUTED_VALUE"""),10.0)</f>
        <v>10</v>
      </c>
      <c r="N953" s="10">
        <f>IFERROR(__xludf.DUMMYFUNCTION("""COMPUTED_VALUE"""),0.0)</f>
        <v>0</v>
      </c>
      <c r="O953" s="10">
        <f>IFERROR(__xludf.DUMMYFUNCTION("""COMPUTED_VALUE"""),4.0)</f>
        <v>4</v>
      </c>
      <c r="P953" s="10">
        <f>IFERROR(__xludf.DUMMYFUNCTION("""COMPUTED_VALUE"""),0.0)</f>
        <v>0</v>
      </c>
      <c r="Q953" s="10" t="str">
        <f>IFERROR(__xludf.DUMMYFUNCTION("""COMPUTED_VALUE"""),"No")</f>
        <v>No</v>
      </c>
      <c r="R953" s="10" t="str">
        <f>IFERROR(__xludf.DUMMYFUNCTION("""COMPUTED_VALUE"""),"No")</f>
        <v>No</v>
      </c>
      <c r="S953" s="10" t="str">
        <f>IFERROR(__xludf.DUMMYFUNCTION("""COMPUTED_VALUE"""),"No")</f>
        <v>No</v>
      </c>
      <c r="T953" s="10">
        <f>IFERROR(__xludf.DUMMYFUNCTION("""COMPUTED_VALUE"""),0.0)</f>
        <v>0</v>
      </c>
      <c r="U953" s="10">
        <f>IFERROR(__xludf.DUMMYFUNCTION("""COMPUTED_VALUE"""),0.0)</f>
        <v>0</v>
      </c>
      <c r="V953" s="10" t="str">
        <f>IFERROR(__xludf.DUMMYFUNCTION("""COMPUTED_VALUE"""),"عورتوں کے حقوق")</f>
        <v>عورتوں کے حقوق</v>
      </c>
      <c r="W953" s="10" t="str">
        <f>IFERROR(__xludf.DUMMYFUNCTION("""COMPUTED_VALUE"""),"عورت کا معاشی سیاسی سماجی اقتصادی سرگرمیوں میں کردار کو بیان کیا گیا")</f>
        <v>عورت کا معاشی سیاسی سماجی اقتصادی سرگرمیوں میں کردار کو بیان کیا گیا</v>
      </c>
      <c r="X953" s="10">
        <f>IFERROR(__xludf.DUMMYFUNCTION("""COMPUTED_VALUE"""),0.0)</f>
        <v>0</v>
      </c>
      <c r="Y953" s="10">
        <f>IFERROR(__xludf.DUMMYFUNCTION("""COMPUTED_VALUE"""),9.0)</f>
        <v>9</v>
      </c>
      <c r="Z953" s="10">
        <f>IFERROR(__xludf.DUMMYFUNCTION("""COMPUTED_VALUE"""),4.0)</f>
        <v>4</v>
      </c>
      <c r="AA953" s="10">
        <f>IFERROR(__xludf.DUMMYFUNCTION("""COMPUTED_VALUE"""),8.0)</f>
        <v>8</v>
      </c>
      <c r="AB953" s="10">
        <f>IFERROR(__xludf.DUMMYFUNCTION("""COMPUTED_VALUE"""),7.0)</f>
        <v>7</v>
      </c>
      <c r="AC953" s="10">
        <f>IFERROR(__xludf.DUMMYFUNCTION("""COMPUTED_VALUE"""),4.0)</f>
        <v>4</v>
      </c>
      <c r="AD953" s="10">
        <f>IFERROR(__xludf.DUMMYFUNCTION("""COMPUTED_VALUE"""),5.0)</f>
        <v>5</v>
      </c>
      <c r="AE953" s="10">
        <f>IFERROR(__xludf.DUMMYFUNCTION("""COMPUTED_VALUE"""),1.0)</f>
        <v>1</v>
      </c>
      <c r="AF953" s="10">
        <f>IFERROR(__xludf.DUMMYFUNCTION("""COMPUTED_VALUE"""),4.0)</f>
        <v>4</v>
      </c>
      <c r="AG953" s="10">
        <f>IFERROR(__xludf.DUMMYFUNCTION("""COMPUTED_VALUE"""),8.0)</f>
        <v>8</v>
      </c>
      <c r="AH953" s="10">
        <f>IFERROR(__xludf.DUMMYFUNCTION("""COMPUTED_VALUE"""),0.0)</f>
        <v>0</v>
      </c>
      <c r="AI953" s="10">
        <f>IFERROR(__xludf.DUMMYFUNCTION("""COMPUTED_VALUE"""),9.0)</f>
        <v>9</v>
      </c>
      <c r="AJ953" s="11" t="str">
        <f>IFERROR(__xludf.DUMMYFUNCTION("""COMPUTED_VALUE"""),"https://drive.google.com/open?id=158T_PouKwsI6yNzufYN8QEXoxBcH28jb")</f>
        <v>https://drive.google.com/open?id=158T_PouKwsI6yNzufYN8QEXoxBcH28jb</v>
      </c>
      <c r="AK953" s="12"/>
      <c r="AL953" s="12" t="str">
        <f>IFERROR(__xludf.DUMMYFUNCTION("""COMPUTED_VALUE"""),"Yes")</f>
        <v>Yes</v>
      </c>
      <c r="AM953" s="15">
        <f>IFERROR(__xludf.DUMMYFUNCTION("""COMPUTED_VALUE"""),0.8)</f>
        <v>0.8</v>
      </c>
      <c r="AN953" s="12" t="str">
        <f>IFERROR(__xludf.DUMMYFUNCTION("""COMPUTED_VALUE"""),"2nd week")</f>
        <v>2nd week</v>
      </c>
      <c r="AO953" s="13">
        <v>2.0</v>
      </c>
      <c r="AX953" s="17"/>
    </row>
    <row r="954">
      <c r="B954" s="9">
        <f>IFERROR(__xludf.DUMMYFUNCTION("""COMPUTED_VALUE"""),46032.29639202546)</f>
        <v>46032.29639</v>
      </c>
      <c r="C954" s="10" t="str">
        <f>IFERROR(__xludf.DUMMYFUNCTION("""COMPUTED_VALUE"""),"Maham")</f>
        <v>Maham</v>
      </c>
      <c r="D954" s="10" t="str">
        <f>IFERROR(__xludf.DUMMYFUNCTION("""COMPUTED_VALUE"""),"03218118680")</f>
        <v>03218118680</v>
      </c>
      <c r="E954" s="10" t="str">
        <f>IFERROR(__xludf.DUMMYFUNCTION("""COMPUTED_VALUE"""),"Jamia Masjid Ghala Mandi Gojara")</f>
        <v>Jamia Masjid Ghala Mandi Gojara</v>
      </c>
      <c r="F954" s="10" t="str">
        <f>IFERROR(__xludf.DUMMYFUNCTION("""COMPUTED_VALUE"""),"rtcpq")</f>
        <v>rtcpq</v>
      </c>
      <c r="G954" s="10" t="str">
        <f>IFERROR(__xludf.DUMMYFUNCTION("""COMPUTED_VALUE"""),"Yes")</f>
        <v>Yes</v>
      </c>
      <c r="H954" s="10">
        <f>IFERROR(__xludf.DUMMYFUNCTION("""COMPUTED_VALUE"""),6.0)</f>
        <v>6</v>
      </c>
      <c r="I954" s="10">
        <f>IFERROR(__xludf.DUMMYFUNCTION("""COMPUTED_VALUE"""),4.0)</f>
        <v>4</v>
      </c>
      <c r="J954" s="10">
        <f>IFERROR(__xludf.DUMMYFUNCTION("""COMPUTED_VALUE"""),10.0)</f>
        <v>10</v>
      </c>
      <c r="K954" s="10">
        <f>IFERROR(__xludf.DUMMYFUNCTION("""COMPUTED_VALUE"""),0.0)</f>
        <v>0</v>
      </c>
      <c r="L954" s="10">
        <f>IFERROR(__xludf.DUMMYFUNCTION("""COMPUTED_VALUE"""),10.0)</f>
        <v>10</v>
      </c>
      <c r="M954" s="10">
        <f>IFERROR(__xludf.DUMMYFUNCTION("""COMPUTED_VALUE"""),0.0)</f>
        <v>0</v>
      </c>
      <c r="N954" s="10">
        <f>IFERROR(__xludf.DUMMYFUNCTION("""COMPUTED_VALUE"""),10.0)</f>
        <v>10</v>
      </c>
      <c r="O954" s="10">
        <f>IFERROR(__xludf.DUMMYFUNCTION("""COMPUTED_VALUE"""),0.0)</f>
        <v>0</v>
      </c>
      <c r="P954" s="10">
        <f>IFERROR(__xludf.DUMMYFUNCTION("""COMPUTED_VALUE"""),8.0)</f>
        <v>8</v>
      </c>
      <c r="Q954" s="10" t="str">
        <f>IFERROR(__xludf.DUMMYFUNCTION("""COMPUTED_VALUE"""),"No")</f>
        <v>No</v>
      </c>
      <c r="R954" s="10" t="str">
        <f>IFERROR(__xludf.DUMMYFUNCTION("""COMPUTED_VALUE"""),"No")</f>
        <v>No</v>
      </c>
      <c r="S954" s="10" t="str">
        <f>IFERROR(__xludf.DUMMYFUNCTION("""COMPUTED_VALUE"""),"No")</f>
        <v>No</v>
      </c>
      <c r="T954" s="10">
        <f>IFERROR(__xludf.DUMMYFUNCTION("""COMPUTED_VALUE"""),0.0)</f>
        <v>0</v>
      </c>
      <c r="U954" s="10">
        <f>IFERROR(__xludf.DUMMYFUNCTION("""COMPUTED_VALUE"""),0.0)</f>
        <v>0</v>
      </c>
      <c r="V954" s="10" t="str">
        <f>IFERROR(__xludf.DUMMYFUNCTION("""COMPUTED_VALUE"""),"پڑوسیوں کے حقوق")</f>
        <v>پڑوسیوں کے حقوق</v>
      </c>
      <c r="W954" s="10" t="str">
        <f>IFERROR(__xludf.DUMMYFUNCTION("""COMPUTED_VALUE"""),"پڑوسیوں کے حقوق بیان کیے گئے")</f>
        <v>پڑوسیوں کے حقوق بیان کیے گئے</v>
      </c>
      <c r="X954" s="10">
        <f>IFERROR(__xludf.DUMMYFUNCTION("""COMPUTED_VALUE"""),2.0)</f>
        <v>2</v>
      </c>
      <c r="Y954" s="10">
        <f>IFERROR(__xludf.DUMMYFUNCTION("""COMPUTED_VALUE"""),8.0)</f>
        <v>8</v>
      </c>
      <c r="Z954" s="10">
        <f>IFERROR(__xludf.DUMMYFUNCTION("""COMPUTED_VALUE"""),6.0)</f>
        <v>6</v>
      </c>
      <c r="AA954" s="10">
        <f>IFERROR(__xludf.DUMMYFUNCTION("""COMPUTED_VALUE"""),8.0)</f>
        <v>8</v>
      </c>
      <c r="AB954" s="10">
        <f>IFERROR(__xludf.DUMMYFUNCTION("""COMPUTED_VALUE"""),7.0)</f>
        <v>7</v>
      </c>
      <c r="AC954" s="10">
        <f>IFERROR(__xludf.DUMMYFUNCTION("""COMPUTED_VALUE"""),1.0)</f>
        <v>1</v>
      </c>
      <c r="AD954" s="10">
        <f>IFERROR(__xludf.DUMMYFUNCTION("""COMPUTED_VALUE"""),4.0)</f>
        <v>4</v>
      </c>
      <c r="AE954" s="10">
        <f>IFERROR(__xludf.DUMMYFUNCTION("""COMPUTED_VALUE"""),3.0)</f>
        <v>3</v>
      </c>
      <c r="AF954" s="10">
        <f>IFERROR(__xludf.DUMMYFUNCTION("""COMPUTED_VALUE"""),5.0)</f>
        <v>5</v>
      </c>
      <c r="AG954" s="10">
        <f>IFERROR(__xludf.DUMMYFUNCTION("""COMPUTED_VALUE"""),8.0)</f>
        <v>8</v>
      </c>
      <c r="AH954" s="10">
        <f>IFERROR(__xludf.DUMMYFUNCTION("""COMPUTED_VALUE"""),0.0)</f>
        <v>0</v>
      </c>
      <c r="AI954" s="10">
        <f>IFERROR(__xludf.DUMMYFUNCTION("""COMPUTED_VALUE"""),9.0)</f>
        <v>9</v>
      </c>
      <c r="AJ954" s="11" t="str">
        <f>IFERROR(__xludf.DUMMYFUNCTION("""COMPUTED_VALUE"""),"https://drive.google.com/open?id=1v7DD2zvS2FjZoioqgkqD5KScdgMGsw2Q")</f>
        <v>https://drive.google.com/open?id=1v7DD2zvS2FjZoioqgkqD5KScdgMGsw2Q</v>
      </c>
      <c r="AK954" s="12"/>
      <c r="AL954" s="12" t="str">
        <f>IFERROR(__xludf.DUMMYFUNCTION("""COMPUTED_VALUE"""),"Yes")</f>
        <v>Yes</v>
      </c>
      <c r="AM954" s="15">
        <f>IFERROR(__xludf.DUMMYFUNCTION("""COMPUTED_VALUE"""),0.8)</f>
        <v>0.8</v>
      </c>
      <c r="AN954" s="12" t="str">
        <f>IFERROR(__xludf.DUMMYFUNCTION("""COMPUTED_VALUE"""),"2nd week")</f>
        <v>2nd week</v>
      </c>
      <c r="AO954" s="13">
        <v>2.0</v>
      </c>
      <c r="AX954" s="17"/>
    </row>
    <row r="955">
      <c r="B955" s="9">
        <f>IFERROR(__xludf.DUMMYFUNCTION("""COMPUTED_VALUE"""),46032.92191049768)</f>
        <v>46032.92191</v>
      </c>
      <c r="C955" s="10" t="str">
        <f>IFERROR(__xludf.DUMMYFUNCTION("""COMPUTED_VALUE"""),"Maham")</f>
        <v>Maham</v>
      </c>
      <c r="D955" s="10" t="str">
        <f>IFERROR(__xludf.DUMMYFUNCTION("""COMPUTED_VALUE"""),"03218118680")</f>
        <v>03218118680</v>
      </c>
      <c r="E955" s="10" t="str">
        <f>IFERROR(__xludf.DUMMYFUNCTION("""COMPUTED_VALUE"""),"Jamia Masjid Sabzi Mandi Rawalpindi")</f>
        <v>Jamia Masjid Sabzi Mandi Rawalpindi</v>
      </c>
      <c r="F955" s="10" t="str">
        <f>IFERROR(__xludf.DUMMYFUNCTION("""COMPUTED_VALUE"""),"cvcqu")</f>
        <v>cvcqu</v>
      </c>
      <c r="G955" s="10" t="str">
        <f>IFERROR(__xludf.DUMMYFUNCTION("""COMPUTED_VALUE"""),"Yes")</f>
        <v>Yes</v>
      </c>
      <c r="H955" s="10">
        <f>IFERROR(__xludf.DUMMYFUNCTION("""COMPUTED_VALUE"""),2.0)</f>
        <v>2</v>
      </c>
      <c r="I955" s="10">
        <f>IFERROR(__xludf.DUMMYFUNCTION("""COMPUTED_VALUE"""),8.0)</f>
        <v>8</v>
      </c>
      <c r="J955" s="10">
        <f>IFERROR(__xludf.DUMMYFUNCTION("""COMPUTED_VALUE"""),3.0)</f>
        <v>3</v>
      </c>
      <c r="K955" s="10">
        <f>IFERROR(__xludf.DUMMYFUNCTION("""COMPUTED_VALUE"""),0.0)</f>
        <v>0</v>
      </c>
      <c r="L955" s="10">
        <f>IFERROR(__xludf.DUMMYFUNCTION("""COMPUTED_VALUE"""),3.0)</f>
        <v>3</v>
      </c>
      <c r="M955" s="10">
        <f>IFERROR(__xludf.DUMMYFUNCTION("""COMPUTED_VALUE"""),0.0)</f>
        <v>0</v>
      </c>
      <c r="N955" s="10">
        <f>IFERROR(__xludf.DUMMYFUNCTION("""COMPUTED_VALUE"""),3.0)</f>
        <v>3</v>
      </c>
      <c r="O955" s="10">
        <f>IFERROR(__xludf.DUMMYFUNCTION("""COMPUTED_VALUE"""),0.0)</f>
        <v>0</v>
      </c>
      <c r="P955" s="10">
        <f>IFERROR(__xludf.DUMMYFUNCTION("""COMPUTED_VALUE"""),0.0)</f>
        <v>0</v>
      </c>
      <c r="Q955" s="10" t="str">
        <f>IFERROR(__xludf.DUMMYFUNCTION("""COMPUTED_VALUE"""),"No")</f>
        <v>No</v>
      </c>
      <c r="R955" s="10" t="str">
        <f>IFERROR(__xludf.DUMMYFUNCTION("""COMPUTED_VALUE"""),"No")</f>
        <v>No</v>
      </c>
      <c r="S955" s="10" t="str">
        <f>IFERROR(__xludf.DUMMYFUNCTION("""COMPUTED_VALUE"""),"No")</f>
        <v>No</v>
      </c>
      <c r="T955" s="10">
        <f>IFERROR(__xludf.DUMMYFUNCTION("""COMPUTED_VALUE"""),0.0)</f>
        <v>0</v>
      </c>
      <c r="U955" s="10">
        <f>IFERROR(__xludf.DUMMYFUNCTION("""COMPUTED_VALUE"""),0.0)</f>
        <v>0</v>
      </c>
      <c r="V955" s="10" t="str">
        <f>IFERROR(__xludf.DUMMYFUNCTION("""COMPUTED_VALUE"""),"درود پاک کی اہمیت معراج مصطفی صلی اللہ علیہ ہ وسلم پڑوسیوں کے حقوق")</f>
        <v>درود پاک کی اہمیت معراج مصطفی صلی اللہ علیہ ہ وسلم پڑوسیوں کے حقوق</v>
      </c>
      <c r="W955" s="10" t="str">
        <f>IFERROR(__xludf.DUMMYFUNCTION("""COMPUTED_VALUE"""),"درود پاک کی اہمیت و فضیلت کو بیان کیا گیا معراج مصطفی صلی اللہ علیہ والہ وسلم اور پڑوسیوں کے حقوق کو بیان کیا گیا")</f>
        <v>درود پاک کی اہمیت و فضیلت کو بیان کیا گیا معراج مصطفی صلی اللہ علیہ والہ وسلم اور پڑوسیوں کے حقوق کو بیان کیا گیا</v>
      </c>
      <c r="X955" s="10">
        <f>IFERROR(__xludf.DUMMYFUNCTION("""COMPUTED_VALUE"""),8.0)</f>
        <v>8</v>
      </c>
      <c r="Y955" s="10">
        <f>IFERROR(__xludf.DUMMYFUNCTION("""COMPUTED_VALUE"""),6.0)</f>
        <v>6</v>
      </c>
      <c r="Z955" s="10">
        <f>IFERROR(__xludf.DUMMYFUNCTION("""COMPUTED_VALUE"""),3.0)</f>
        <v>3</v>
      </c>
      <c r="AA955" s="10">
        <f>IFERROR(__xludf.DUMMYFUNCTION("""COMPUTED_VALUE"""),9.0)</f>
        <v>9</v>
      </c>
      <c r="AB955" s="10">
        <f>IFERROR(__xludf.DUMMYFUNCTION("""COMPUTED_VALUE"""),8.0)</f>
        <v>8</v>
      </c>
      <c r="AC955" s="10">
        <f>IFERROR(__xludf.DUMMYFUNCTION("""COMPUTED_VALUE"""),0.0)</f>
        <v>0</v>
      </c>
      <c r="AD955" s="10">
        <f>IFERROR(__xludf.DUMMYFUNCTION("""COMPUTED_VALUE"""),1.0)</f>
        <v>1</v>
      </c>
      <c r="AE955" s="10">
        <f>IFERROR(__xludf.DUMMYFUNCTION("""COMPUTED_VALUE"""),1.0)</f>
        <v>1</v>
      </c>
      <c r="AF955" s="10">
        <f>IFERROR(__xludf.DUMMYFUNCTION("""COMPUTED_VALUE"""),7.0)</f>
        <v>7</v>
      </c>
      <c r="AG955" s="10">
        <f>IFERROR(__xludf.DUMMYFUNCTION("""COMPUTED_VALUE"""),8.0)</f>
        <v>8</v>
      </c>
      <c r="AH955" s="10">
        <f>IFERROR(__xludf.DUMMYFUNCTION("""COMPUTED_VALUE"""),0.0)</f>
        <v>0</v>
      </c>
      <c r="AI955" s="10">
        <f>IFERROR(__xludf.DUMMYFUNCTION("""COMPUTED_VALUE"""),9.0)</f>
        <v>9</v>
      </c>
      <c r="AJ955" s="11" t="str">
        <f>IFERROR(__xludf.DUMMYFUNCTION("""COMPUTED_VALUE"""),"https://drive.google.com/open?id=1UylD6bRYqiwDz0mOLskvOegjcFLi84rf")</f>
        <v>https://drive.google.com/open?id=1UylD6bRYqiwDz0mOLskvOegjcFLi84rf</v>
      </c>
      <c r="AK955" s="12"/>
      <c r="AL955" s="12" t="str">
        <f>IFERROR(__xludf.DUMMYFUNCTION("""COMPUTED_VALUE"""),"Yes")</f>
        <v>Yes</v>
      </c>
      <c r="AM955" s="15">
        <f>IFERROR(__xludf.DUMMYFUNCTION("""COMPUTED_VALUE"""),0.2)</f>
        <v>0.2</v>
      </c>
      <c r="AN955" s="12" t="str">
        <f>IFERROR(__xludf.DUMMYFUNCTION("""COMPUTED_VALUE"""),"2nd week")</f>
        <v>2nd week</v>
      </c>
      <c r="AO955" s="13">
        <v>2.0</v>
      </c>
      <c r="AX955" s="17"/>
    </row>
    <row r="956">
      <c r="B956" s="9">
        <f>IFERROR(__xludf.DUMMYFUNCTION("""COMPUTED_VALUE"""),46032.94552844907)</f>
        <v>46032.94553</v>
      </c>
      <c r="C956" s="10" t="str">
        <f>IFERROR(__xludf.DUMMYFUNCTION("""COMPUTED_VALUE"""),"maham")</f>
        <v>maham</v>
      </c>
      <c r="D956" s="10" t="str">
        <f>IFERROR(__xludf.DUMMYFUNCTION("""COMPUTED_VALUE"""),"03218118680")</f>
        <v>03218118680</v>
      </c>
      <c r="E956" s="10" t="str">
        <f>IFERROR(__xludf.DUMMYFUNCTION("""COMPUTED_VALUE"""),"Jamia Masjid Pholo Wali Rawalpindi")</f>
        <v>Jamia Masjid Pholo Wali Rawalpindi</v>
      </c>
      <c r="F956" s="10" t="str">
        <f>IFERROR(__xludf.DUMMYFUNCTION("""COMPUTED_VALUE"""),"fozkx")</f>
        <v>fozkx</v>
      </c>
      <c r="G956" s="10" t="str">
        <f>IFERROR(__xludf.DUMMYFUNCTION("""COMPUTED_VALUE"""),"Yes")</f>
        <v>Yes</v>
      </c>
      <c r="H956" s="10">
        <f>IFERROR(__xludf.DUMMYFUNCTION("""COMPUTED_VALUE"""),9.0)</f>
        <v>9</v>
      </c>
      <c r="I956" s="10">
        <f>IFERROR(__xludf.DUMMYFUNCTION("""COMPUTED_VALUE"""),1.0)</f>
        <v>1</v>
      </c>
      <c r="J956" s="10">
        <f>IFERROR(__xludf.DUMMYFUNCTION("""COMPUTED_VALUE"""),10.0)</f>
        <v>10</v>
      </c>
      <c r="K956" s="10">
        <f>IFERROR(__xludf.DUMMYFUNCTION("""COMPUTED_VALUE"""),10.0)</f>
        <v>10</v>
      </c>
      <c r="L956" s="10">
        <f>IFERROR(__xludf.DUMMYFUNCTION("""COMPUTED_VALUE"""),0.0)</f>
        <v>0</v>
      </c>
      <c r="M956" s="10">
        <f>IFERROR(__xludf.DUMMYFUNCTION("""COMPUTED_VALUE"""),10.0)</f>
        <v>10</v>
      </c>
      <c r="N956" s="10">
        <f>IFERROR(__xludf.DUMMYFUNCTION("""COMPUTED_VALUE"""),0.0)</f>
        <v>0</v>
      </c>
      <c r="O956" s="10">
        <f>IFERROR(__xludf.DUMMYFUNCTION("""COMPUTED_VALUE"""),9.0)</f>
        <v>9</v>
      </c>
      <c r="P956" s="10">
        <f>IFERROR(__xludf.DUMMYFUNCTION("""COMPUTED_VALUE"""),0.0)</f>
        <v>0</v>
      </c>
      <c r="Q956" s="10" t="str">
        <f>IFERROR(__xludf.DUMMYFUNCTION("""COMPUTED_VALUE"""),"Yes")</f>
        <v>Yes</v>
      </c>
      <c r="R956" s="10" t="str">
        <f>IFERROR(__xludf.DUMMYFUNCTION("""COMPUTED_VALUE"""),"No")</f>
        <v>No</v>
      </c>
      <c r="S956" s="10" t="str">
        <f>IFERROR(__xludf.DUMMYFUNCTION("""COMPUTED_VALUE"""),"Yes")</f>
        <v>Yes</v>
      </c>
      <c r="T956" s="10">
        <f>IFERROR(__xludf.DUMMYFUNCTION("""COMPUTED_VALUE"""),0.0)</f>
        <v>0</v>
      </c>
      <c r="U956" s="10">
        <f>IFERROR(__xludf.DUMMYFUNCTION("""COMPUTED_VALUE"""),0.0)</f>
        <v>0</v>
      </c>
      <c r="V956" s="10" t="str">
        <f>IFERROR(__xludf.DUMMYFUNCTION("""COMPUTED_VALUE"""),"عورتوں کے حقوق")</f>
        <v>عورتوں کے حقوق</v>
      </c>
      <c r="W956" s="10" t="str">
        <f>IFERROR(__xludf.DUMMYFUNCTION("""COMPUTED_VALUE"""),"عورتوں کے حقوق بیان کیے گئے")</f>
        <v>عورتوں کے حقوق بیان کیے گئے</v>
      </c>
      <c r="X956" s="10">
        <f>IFERROR(__xludf.DUMMYFUNCTION("""COMPUTED_VALUE"""),1.0)</f>
        <v>1</v>
      </c>
      <c r="Y956" s="10">
        <f>IFERROR(__xludf.DUMMYFUNCTION("""COMPUTED_VALUE"""),9.0)</f>
        <v>9</v>
      </c>
      <c r="Z956" s="10">
        <f>IFERROR(__xludf.DUMMYFUNCTION("""COMPUTED_VALUE"""),7.0)</f>
        <v>7</v>
      </c>
      <c r="AA956" s="10">
        <f>IFERROR(__xludf.DUMMYFUNCTION("""COMPUTED_VALUE"""),8.0)</f>
        <v>8</v>
      </c>
      <c r="AB956" s="10">
        <f>IFERROR(__xludf.DUMMYFUNCTION("""COMPUTED_VALUE"""),7.0)</f>
        <v>7</v>
      </c>
      <c r="AC956" s="10">
        <f>IFERROR(__xludf.DUMMYFUNCTION("""COMPUTED_VALUE"""),0.0)</f>
        <v>0</v>
      </c>
      <c r="AD956" s="10">
        <f>IFERROR(__xludf.DUMMYFUNCTION("""COMPUTED_VALUE"""),2.0)</f>
        <v>2</v>
      </c>
      <c r="AE956" s="10">
        <f>IFERROR(__xludf.DUMMYFUNCTION("""COMPUTED_VALUE"""),1.0)</f>
        <v>1</v>
      </c>
      <c r="AF956" s="10">
        <f>IFERROR(__xludf.DUMMYFUNCTION("""COMPUTED_VALUE"""),4.0)</f>
        <v>4</v>
      </c>
      <c r="AG956" s="10">
        <f>IFERROR(__xludf.DUMMYFUNCTION("""COMPUTED_VALUE"""),9.0)</f>
        <v>9</v>
      </c>
      <c r="AH956" s="10">
        <f>IFERROR(__xludf.DUMMYFUNCTION("""COMPUTED_VALUE"""),0.0)</f>
        <v>0</v>
      </c>
      <c r="AI956" s="10">
        <f>IFERROR(__xludf.DUMMYFUNCTION("""COMPUTED_VALUE"""),10.0)</f>
        <v>10</v>
      </c>
      <c r="AJ956" s="11" t="str">
        <f>IFERROR(__xludf.DUMMYFUNCTION("""COMPUTED_VALUE"""),"https://drive.google.com/open?id=1eLO82Xzz9bCu5u7gLSB8hBcAQPB7Pin7")</f>
        <v>https://drive.google.com/open?id=1eLO82Xzz9bCu5u7gLSB8hBcAQPB7Pin7</v>
      </c>
      <c r="AK956" s="12"/>
      <c r="AL956" s="12" t="str">
        <f>IFERROR(__xludf.DUMMYFUNCTION("""COMPUTED_VALUE"""),"Yes")</f>
        <v>Yes</v>
      </c>
      <c r="AM956" s="15">
        <f>IFERROR(__xludf.DUMMYFUNCTION("""COMPUTED_VALUE"""),0.9)</f>
        <v>0.9</v>
      </c>
      <c r="AN956" s="12" t="str">
        <f>IFERROR(__xludf.DUMMYFUNCTION("""COMPUTED_VALUE"""),"2nd week")</f>
        <v>2nd week</v>
      </c>
      <c r="AO956" s="13">
        <v>2.0</v>
      </c>
      <c r="AX956" s="17"/>
    </row>
    <row r="957">
      <c r="B957" s="9">
        <f>IFERROR(__xludf.DUMMYFUNCTION("""COMPUTED_VALUE"""),46032.985673877316)</f>
        <v>46032.98567</v>
      </c>
      <c r="C957" s="10" t="str">
        <f>IFERROR(__xludf.DUMMYFUNCTION("""COMPUTED_VALUE"""),"maham")</f>
        <v>maham</v>
      </c>
      <c r="D957" s="10" t="str">
        <f>IFERROR(__xludf.DUMMYFUNCTION("""COMPUTED_VALUE"""),"03218118680")</f>
        <v>03218118680</v>
      </c>
      <c r="E957" s="10" t="str">
        <f>IFERROR(__xludf.DUMMYFUNCTION("""COMPUTED_VALUE"""),"Jamia Masjid Darbar Peer Abdul Ghani Rawalpindi")</f>
        <v>Jamia Masjid Darbar Peer Abdul Ghani Rawalpindi</v>
      </c>
      <c r="F957" s="10" t="str">
        <f>IFERROR(__xludf.DUMMYFUNCTION("""COMPUTED_VALUE"""),"opiuv")</f>
        <v>opiuv</v>
      </c>
      <c r="G957" s="10" t="str">
        <f>IFERROR(__xludf.DUMMYFUNCTION("""COMPUTED_VALUE"""),"Yes")</f>
        <v>Yes</v>
      </c>
      <c r="H957" s="10">
        <f>IFERROR(__xludf.DUMMYFUNCTION("""COMPUTED_VALUE"""),0.0)</f>
        <v>0</v>
      </c>
      <c r="I957" s="10">
        <f>IFERROR(__xludf.DUMMYFUNCTION("""COMPUTED_VALUE"""),10.0)</f>
        <v>10</v>
      </c>
      <c r="J957" s="10">
        <f>IFERROR(__xludf.DUMMYFUNCTION("""COMPUTED_VALUE"""),0.0)</f>
        <v>0</v>
      </c>
      <c r="K957" s="10">
        <f>IFERROR(__xludf.DUMMYFUNCTION("""COMPUTED_VALUE"""),0.0)</f>
        <v>0</v>
      </c>
      <c r="L957" s="10">
        <f>IFERROR(__xludf.DUMMYFUNCTION("""COMPUTED_VALUE"""),0.0)</f>
        <v>0</v>
      </c>
      <c r="M957" s="10">
        <f>IFERROR(__xludf.DUMMYFUNCTION("""COMPUTED_VALUE"""),0.0)</f>
        <v>0</v>
      </c>
      <c r="N957" s="10">
        <f>IFERROR(__xludf.DUMMYFUNCTION("""COMPUTED_VALUE"""),0.0)</f>
        <v>0</v>
      </c>
      <c r="O957" s="10">
        <f>IFERROR(__xludf.DUMMYFUNCTION("""COMPUTED_VALUE"""),0.0)</f>
        <v>0</v>
      </c>
      <c r="P957" s="10">
        <f>IFERROR(__xludf.DUMMYFUNCTION("""COMPUTED_VALUE"""),0.0)</f>
        <v>0</v>
      </c>
      <c r="Q957" s="10" t="str">
        <f>IFERROR(__xludf.DUMMYFUNCTION("""COMPUTED_VALUE"""),"No")</f>
        <v>No</v>
      </c>
      <c r="R957" s="10" t="str">
        <f>IFERROR(__xludf.DUMMYFUNCTION("""COMPUTED_VALUE"""),"No")</f>
        <v>No</v>
      </c>
      <c r="S957" s="10" t="str">
        <f>IFERROR(__xludf.DUMMYFUNCTION("""COMPUTED_VALUE"""),"No")</f>
        <v>No</v>
      </c>
      <c r="T957" s="10">
        <f>IFERROR(__xludf.DUMMYFUNCTION("""COMPUTED_VALUE"""),0.0)</f>
        <v>0</v>
      </c>
      <c r="U957" s="10">
        <f>IFERROR(__xludf.DUMMYFUNCTION("""COMPUTED_VALUE"""),0.0)</f>
        <v>0</v>
      </c>
      <c r="V957" s="10" t="str">
        <f>IFERROR(__xludf.DUMMYFUNCTION("""COMPUTED_VALUE"""),"تزکیہ نفس حضرت علی رضی اللہ تعالی عنہ کی یوم ولادت")</f>
        <v>تزکیہ نفس حضرت علی رضی اللہ تعالی عنہ کی یوم ولادت</v>
      </c>
      <c r="W957" s="10" t="str">
        <f>IFERROR(__xludf.DUMMYFUNCTION("""COMPUTED_VALUE"""),"ہمیں اپنے اعمال کا محاسبہ کرنا چاہیے ہو اور حضرت علی کی یوم ولادت کے حوالے سے ان کی شخصیت کو بیان کیا گیا")</f>
        <v>ہمیں اپنے اعمال کا محاسبہ کرنا چاہیے ہو اور حضرت علی کی یوم ولادت کے حوالے سے ان کی شخصیت کو بیان کیا گیا</v>
      </c>
      <c r="X957" s="10">
        <f>IFERROR(__xludf.DUMMYFUNCTION("""COMPUTED_VALUE"""),9.0)</f>
        <v>9</v>
      </c>
      <c r="Y957" s="10">
        <f>IFERROR(__xludf.DUMMYFUNCTION("""COMPUTED_VALUE"""),3.0)</f>
        <v>3</v>
      </c>
      <c r="Z957" s="10">
        <f>IFERROR(__xludf.DUMMYFUNCTION("""COMPUTED_VALUE"""),6.0)</f>
        <v>6</v>
      </c>
      <c r="AA957" s="10">
        <f>IFERROR(__xludf.DUMMYFUNCTION("""COMPUTED_VALUE"""),8.0)</f>
        <v>8</v>
      </c>
      <c r="AB957" s="10">
        <f>IFERROR(__xludf.DUMMYFUNCTION("""COMPUTED_VALUE"""),4.0)</f>
        <v>4</v>
      </c>
      <c r="AC957" s="10">
        <f>IFERROR(__xludf.DUMMYFUNCTION("""COMPUTED_VALUE"""),1.0)</f>
        <v>1</v>
      </c>
      <c r="AD957" s="10">
        <f>IFERROR(__xludf.DUMMYFUNCTION("""COMPUTED_VALUE"""),2.0)</f>
        <v>2</v>
      </c>
      <c r="AE957" s="10">
        <f>IFERROR(__xludf.DUMMYFUNCTION("""COMPUTED_VALUE"""),0.0)</f>
        <v>0</v>
      </c>
      <c r="AF957" s="10">
        <f>IFERROR(__xludf.DUMMYFUNCTION("""COMPUTED_VALUE"""),8.0)</f>
        <v>8</v>
      </c>
      <c r="AG957" s="10">
        <f>IFERROR(__xludf.DUMMYFUNCTION("""COMPUTED_VALUE"""),7.0)</f>
        <v>7</v>
      </c>
      <c r="AH957" s="10">
        <f>IFERROR(__xludf.DUMMYFUNCTION("""COMPUTED_VALUE"""),0.0)</f>
        <v>0</v>
      </c>
      <c r="AI957" s="10">
        <f>IFERROR(__xludf.DUMMYFUNCTION("""COMPUTED_VALUE"""),8.0)</f>
        <v>8</v>
      </c>
      <c r="AJ957" s="11" t="str">
        <f>IFERROR(__xludf.DUMMYFUNCTION("""COMPUTED_VALUE"""),"https://drive.google.com/open?id=1c8UVqdTUU6qPNwS8L2mEs2gpg-CPJwvO")</f>
        <v>https://drive.google.com/open?id=1c8UVqdTUU6qPNwS8L2mEs2gpg-CPJwvO</v>
      </c>
      <c r="AK957" s="12"/>
      <c r="AL957" s="12" t="str">
        <f>IFERROR(__xludf.DUMMYFUNCTION("""COMPUTED_VALUE"""),"Yes")</f>
        <v>Yes</v>
      </c>
      <c r="AM957" s="15">
        <f>IFERROR(__xludf.DUMMYFUNCTION("""COMPUTED_VALUE"""),0.0)</f>
        <v>0</v>
      </c>
      <c r="AN957" s="12" t="str">
        <f>IFERROR(__xludf.DUMMYFUNCTION("""COMPUTED_VALUE"""),"3rd week")</f>
        <v>3rd week</v>
      </c>
      <c r="AO957" s="13">
        <v>3.0</v>
      </c>
      <c r="AX957" s="17"/>
    </row>
    <row r="958">
      <c r="B958" s="9">
        <f>IFERROR(__xludf.DUMMYFUNCTION("""COMPUTED_VALUE"""),46033.019466631944)</f>
        <v>46033.01947</v>
      </c>
      <c r="C958" s="10" t="str">
        <f>IFERROR(__xludf.DUMMYFUNCTION("""COMPUTED_VALUE"""),"maham")</f>
        <v>maham</v>
      </c>
      <c r="D958" s="10" t="str">
        <f>IFERROR(__xludf.DUMMYFUNCTION("""COMPUTED_VALUE"""),"03218118680")</f>
        <v>03218118680</v>
      </c>
      <c r="E958" s="10" t="str">
        <f>IFERROR(__xludf.DUMMYFUNCTION("""COMPUTED_VALUE"""),"Jamia Masjid Syed Emam Ali Shah Sangala")</f>
        <v>Jamia Masjid Syed Emam Ali Shah Sangala</v>
      </c>
      <c r="F958" s="10" t="str">
        <f>IFERROR(__xludf.DUMMYFUNCTION("""COMPUTED_VALUE"""),"fboor")</f>
        <v>fboor</v>
      </c>
      <c r="G958" s="10" t="str">
        <f>IFERROR(__xludf.DUMMYFUNCTION("""COMPUTED_VALUE"""),"Yes")</f>
        <v>Yes</v>
      </c>
      <c r="H958" s="10">
        <f>IFERROR(__xludf.DUMMYFUNCTION("""COMPUTED_VALUE"""),4.0)</f>
        <v>4</v>
      </c>
      <c r="I958" s="10">
        <f>IFERROR(__xludf.DUMMYFUNCTION("""COMPUTED_VALUE"""),6.0)</f>
        <v>6</v>
      </c>
      <c r="J958" s="10">
        <f>IFERROR(__xludf.DUMMYFUNCTION("""COMPUTED_VALUE"""),10.0)</f>
        <v>10</v>
      </c>
      <c r="K958" s="10">
        <f>IFERROR(__xludf.DUMMYFUNCTION("""COMPUTED_VALUE"""),9.0)</f>
        <v>9</v>
      </c>
      <c r="L958" s="10">
        <f>IFERROR(__xludf.DUMMYFUNCTION("""COMPUTED_VALUE"""),0.0)</f>
        <v>0</v>
      </c>
      <c r="M958" s="10">
        <f>IFERROR(__xludf.DUMMYFUNCTION("""COMPUTED_VALUE"""),7.0)</f>
        <v>7</v>
      </c>
      <c r="N958" s="10">
        <f>IFERROR(__xludf.DUMMYFUNCTION("""COMPUTED_VALUE"""),5.0)</f>
        <v>5</v>
      </c>
      <c r="O958" s="10">
        <f>IFERROR(__xludf.DUMMYFUNCTION("""COMPUTED_VALUE"""),3.0)</f>
        <v>3</v>
      </c>
      <c r="P958" s="10">
        <f>IFERROR(__xludf.DUMMYFUNCTION("""COMPUTED_VALUE"""),0.0)</f>
        <v>0</v>
      </c>
      <c r="Q958" s="10" t="str">
        <f>IFERROR(__xludf.DUMMYFUNCTION("""COMPUTED_VALUE"""),"No")</f>
        <v>No</v>
      </c>
      <c r="R958" s="10" t="str">
        <f>IFERROR(__xludf.DUMMYFUNCTION("""COMPUTED_VALUE"""),"No")</f>
        <v>No</v>
      </c>
      <c r="S958" s="10" t="str">
        <f>IFERROR(__xludf.DUMMYFUNCTION("""COMPUTED_VALUE"""),"Yes")</f>
        <v>Yes</v>
      </c>
      <c r="T958" s="10">
        <f>IFERROR(__xludf.DUMMYFUNCTION("""COMPUTED_VALUE"""),0.0)</f>
        <v>0</v>
      </c>
      <c r="U958" s="10">
        <f>IFERROR(__xludf.DUMMYFUNCTION("""COMPUTED_VALUE"""),0.0)</f>
        <v>0</v>
      </c>
      <c r="V958" s="10" t="str">
        <f>IFERROR(__xludf.DUMMYFUNCTION("""COMPUTED_VALUE"""),"عورتوں کے حقوق")</f>
        <v>عورتوں کے حقوق</v>
      </c>
      <c r="W958" s="10" t="str">
        <f>IFERROR(__xludf.DUMMYFUNCTION("""COMPUTED_VALUE"""),"عورتوں کے حقوق اور اس کے کردار کو بیان کیا گیا")</f>
        <v>عورتوں کے حقوق اور اس کے کردار کو بیان کیا گیا</v>
      </c>
      <c r="X958" s="10">
        <f>IFERROR(__xludf.DUMMYFUNCTION("""COMPUTED_VALUE"""),1.0)</f>
        <v>1</v>
      </c>
      <c r="Y958" s="10">
        <f>IFERROR(__xludf.DUMMYFUNCTION("""COMPUTED_VALUE"""),9.0)</f>
        <v>9</v>
      </c>
      <c r="Z958" s="10">
        <f>IFERROR(__xludf.DUMMYFUNCTION("""COMPUTED_VALUE"""),6.0)</f>
        <v>6</v>
      </c>
      <c r="AA958" s="10">
        <f>IFERROR(__xludf.DUMMYFUNCTION("""COMPUTED_VALUE"""),6.0)</f>
        <v>6</v>
      </c>
      <c r="AB958" s="10">
        <f>IFERROR(__xludf.DUMMYFUNCTION("""COMPUTED_VALUE"""),3.0)</f>
        <v>3</v>
      </c>
      <c r="AC958" s="10">
        <f>IFERROR(__xludf.DUMMYFUNCTION("""COMPUTED_VALUE"""),2.0)</f>
        <v>2</v>
      </c>
      <c r="AD958" s="10">
        <f>IFERROR(__xludf.DUMMYFUNCTION("""COMPUTED_VALUE"""),2.0)</f>
        <v>2</v>
      </c>
      <c r="AE958" s="10">
        <f>IFERROR(__xludf.DUMMYFUNCTION("""COMPUTED_VALUE"""),0.0)</f>
        <v>0</v>
      </c>
      <c r="AF958" s="10">
        <f>IFERROR(__xludf.DUMMYFUNCTION("""COMPUTED_VALUE"""),4.0)</f>
        <v>4</v>
      </c>
      <c r="AG958" s="10">
        <f>IFERROR(__xludf.DUMMYFUNCTION("""COMPUTED_VALUE"""),7.0)</f>
        <v>7</v>
      </c>
      <c r="AH958" s="10">
        <f>IFERROR(__xludf.DUMMYFUNCTION("""COMPUTED_VALUE"""),0.0)</f>
        <v>0</v>
      </c>
      <c r="AI958" s="10">
        <f>IFERROR(__xludf.DUMMYFUNCTION("""COMPUTED_VALUE"""),8.0)</f>
        <v>8</v>
      </c>
      <c r="AJ958" s="11" t="str">
        <f>IFERROR(__xludf.DUMMYFUNCTION("""COMPUTED_VALUE"""),"https://drive.google.com/open?id=12kqL7Jb9ocA59lPSmI7_HS5iAqKVedlW")</f>
        <v>https://drive.google.com/open?id=12kqL7Jb9ocA59lPSmI7_HS5iAqKVedlW</v>
      </c>
      <c r="AK958" s="12"/>
      <c r="AL958" s="12" t="str">
        <f>IFERROR(__xludf.DUMMYFUNCTION("""COMPUTED_VALUE"""),"Yes")</f>
        <v>Yes</v>
      </c>
      <c r="AM958" s="15">
        <f>IFERROR(__xludf.DUMMYFUNCTION("""COMPUTED_VALUE"""),0.7)</f>
        <v>0.7</v>
      </c>
      <c r="AN958" s="12" t="str">
        <f>IFERROR(__xludf.DUMMYFUNCTION("""COMPUTED_VALUE"""),"2nd week")</f>
        <v>2nd week</v>
      </c>
      <c r="AO958" s="13">
        <v>2.0</v>
      </c>
      <c r="AX958" s="17"/>
    </row>
    <row r="959">
      <c r="B959" s="9">
        <f>IFERROR(__xludf.DUMMYFUNCTION("""COMPUTED_VALUE"""),46034.30067370371)</f>
        <v>46034.30067</v>
      </c>
      <c r="C959" s="10" t="str">
        <f>IFERROR(__xludf.DUMMYFUNCTION("""COMPUTED_VALUE"""),"Maham")</f>
        <v>Maham</v>
      </c>
      <c r="D959" s="10" t="str">
        <f>IFERROR(__xludf.DUMMYFUNCTION("""COMPUTED_VALUE"""),"03218118680")</f>
        <v>03218118680</v>
      </c>
      <c r="E959" s="10" t="str">
        <f>IFERROR(__xludf.DUMMYFUNCTION("""COMPUTED_VALUE"""),"Jamia Masjid Gawaal Mandi Rawalpindi")</f>
        <v>Jamia Masjid Gawaal Mandi Rawalpindi</v>
      </c>
      <c r="F959" s="10" t="str">
        <f>IFERROR(__xludf.DUMMYFUNCTION("""COMPUTED_VALUE"""),"bbyok")</f>
        <v>bbyok</v>
      </c>
      <c r="G959" s="10" t="str">
        <f>IFERROR(__xludf.DUMMYFUNCTION("""COMPUTED_VALUE"""),"Yes")</f>
        <v>Yes</v>
      </c>
      <c r="H959" s="10">
        <f>IFERROR(__xludf.DUMMYFUNCTION("""COMPUTED_VALUE"""),7.0)</f>
        <v>7</v>
      </c>
      <c r="I959" s="10">
        <f>IFERROR(__xludf.DUMMYFUNCTION("""COMPUTED_VALUE"""),3.0)</f>
        <v>3</v>
      </c>
      <c r="J959" s="10">
        <f>IFERROR(__xludf.DUMMYFUNCTION("""COMPUTED_VALUE"""),10.0)</f>
        <v>10</v>
      </c>
      <c r="K959" s="10">
        <f>IFERROR(__xludf.DUMMYFUNCTION("""COMPUTED_VALUE"""),10.0)</f>
        <v>10</v>
      </c>
      <c r="L959" s="10">
        <f>IFERROR(__xludf.DUMMYFUNCTION("""COMPUTED_VALUE"""),0.0)</f>
        <v>0</v>
      </c>
      <c r="M959" s="10">
        <f>IFERROR(__xludf.DUMMYFUNCTION("""COMPUTED_VALUE"""),10.0)</f>
        <v>10</v>
      </c>
      <c r="N959" s="10">
        <f>IFERROR(__xludf.DUMMYFUNCTION("""COMPUTED_VALUE"""),0.0)</f>
        <v>0</v>
      </c>
      <c r="O959" s="10">
        <f>IFERROR(__xludf.DUMMYFUNCTION("""COMPUTED_VALUE"""),9.0)</f>
        <v>9</v>
      </c>
      <c r="P959" s="10">
        <f>IFERROR(__xludf.DUMMYFUNCTION("""COMPUTED_VALUE"""),0.0)</f>
        <v>0</v>
      </c>
      <c r="Q959" s="10" t="str">
        <f>IFERROR(__xludf.DUMMYFUNCTION("""COMPUTED_VALUE"""),"Yes")</f>
        <v>Yes</v>
      </c>
      <c r="R959" s="10" t="str">
        <f>IFERROR(__xludf.DUMMYFUNCTION("""COMPUTED_VALUE"""),"No")</f>
        <v>No</v>
      </c>
      <c r="S959" s="10" t="str">
        <f>IFERROR(__xludf.DUMMYFUNCTION("""COMPUTED_VALUE"""),"Yes")</f>
        <v>Yes</v>
      </c>
      <c r="T959" s="10">
        <f>IFERROR(__xludf.DUMMYFUNCTION("""COMPUTED_VALUE"""),0.0)</f>
        <v>0</v>
      </c>
      <c r="U959" s="10">
        <f>IFERROR(__xludf.DUMMYFUNCTION("""COMPUTED_VALUE"""),0.0)</f>
        <v>0</v>
      </c>
      <c r="V959" s="10" t="str">
        <f>IFERROR(__xludf.DUMMYFUNCTION("""COMPUTED_VALUE"""),"عورتوں کے حقوق")</f>
        <v>عورتوں کے حقوق</v>
      </c>
      <c r="W959" s="10" t="str">
        <f>IFERROR(__xludf.DUMMYFUNCTION("""COMPUTED_VALUE"""),"عورت کا معاشی سیاسی سماجی سرگرمیوں میں کردار")</f>
        <v>عورت کا معاشی سیاسی سماجی سرگرمیوں میں کردار</v>
      </c>
      <c r="X959" s="10">
        <f>IFERROR(__xludf.DUMMYFUNCTION("""COMPUTED_VALUE"""),0.0)</f>
        <v>0</v>
      </c>
      <c r="Y959" s="10">
        <f>IFERROR(__xludf.DUMMYFUNCTION("""COMPUTED_VALUE"""),10.0)</f>
        <v>10</v>
      </c>
      <c r="Z959" s="10">
        <f>IFERROR(__xludf.DUMMYFUNCTION("""COMPUTED_VALUE"""),4.0)</f>
        <v>4</v>
      </c>
      <c r="AA959" s="10">
        <f>IFERROR(__xludf.DUMMYFUNCTION("""COMPUTED_VALUE"""),9.0)</f>
        <v>9</v>
      </c>
      <c r="AB959" s="10">
        <f>IFERROR(__xludf.DUMMYFUNCTION("""COMPUTED_VALUE"""),8.0)</f>
        <v>8</v>
      </c>
      <c r="AC959" s="10">
        <f>IFERROR(__xludf.DUMMYFUNCTION("""COMPUTED_VALUE"""),2.0)</f>
        <v>2</v>
      </c>
      <c r="AD959" s="10">
        <f>IFERROR(__xludf.DUMMYFUNCTION("""COMPUTED_VALUE"""),5.0)</f>
        <v>5</v>
      </c>
      <c r="AE959" s="10">
        <f>IFERROR(__xludf.DUMMYFUNCTION("""COMPUTED_VALUE"""),1.0)</f>
        <v>1</v>
      </c>
      <c r="AF959" s="10">
        <f>IFERROR(__xludf.DUMMYFUNCTION("""COMPUTED_VALUE"""),4.0)</f>
        <v>4</v>
      </c>
      <c r="AG959" s="10">
        <f>IFERROR(__xludf.DUMMYFUNCTION("""COMPUTED_VALUE"""),8.0)</f>
        <v>8</v>
      </c>
      <c r="AH959" s="10">
        <f>IFERROR(__xludf.DUMMYFUNCTION("""COMPUTED_VALUE"""),0.0)</f>
        <v>0</v>
      </c>
      <c r="AI959" s="10">
        <f>IFERROR(__xludf.DUMMYFUNCTION("""COMPUTED_VALUE"""),9.0)</f>
        <v>9</v>
      </c>
      <c r="AJ959" s="11" t="str">
        <f>IFERROR(__xludf.DUMMYFUNCTION("""COMPUTED_VALUE"""),"https://drive.google.com/open?id=1CsdXUWq1Ds-03qCUjklK7OcRxnd4CiOp")</f>
        <v>https://drive.google.com/open?id=1CsdXUWq1Ds-03qCUjklK7OcRxnd4CiOp</v>
      </c>
      <c r="AK959" s="12"/>
      <c r="AL959" s="12" t="str">
        <f>IFERROR(__xludf.DUMMYFUNCTION("""COMPUTED_VALUE"""),"Yes")</f>
        <v>Yes</v>
      </c>
      <c r="AM959" s="15">
        <f>IFERROR(__xludf.DUMMYFUNCTION("""COMPUTED_VALUE"""),1.0)</f>
        <v>1</v>
      </c>
      <c r="AN959" s="12" t="str">
        <f>IFERROR(__xludf.DUMMYFUNCTION("""COMPUTED_VALUE"""),"2nd week")</f>
        <v>2nd week</v>
      </c>
      <c r="AO959" s="13">
        <v>2.0</v>
      </c>
      <c r="AX959" s="17"/>
    </row>
    <row r="960">
      <c r="B960" s="9">
        <f>IFERROR(__xludf.DUMMYFUNCTION("""COMPUTED_VALUE"""),46034.730383368056)</f>
        <v>46034.73038</v>
      </c>
      <c r="C960" s="10" t="str">
        <f>IFERROR(__xludf.DUMMYFUNCTION("""COMPUTED_VALUE"""),"maham")</f>
        <v>maham</v>
      </c>
      <c r="D960" s="10" t="str">
        <f>IFERROR(__xludf.DUMMYFUNCTION("""COMPUTED_VALUE"""),"03218118680")</f>
        <v>03218118680</v>
      </c>
      <c r="E960" s="10" t="str">
        <f>IFERROR(__xludf.DUMMYFUNCTION("""COMPUTED_VALUE"""),"Jamia Masjid Madina Kabari Bazar Rawalpindi")</f>
        <v>Jamia Masjid Madina Kabari Bazar Rawalpindi</v>
      </c>
      <c r="F960" s="10" t="str">
        <f>IFERROR(__xludf.DUMMYFUNCTION("""COMPUTED_VALUE"""),"izzpy")</f>
        <v>izzpy</v>
      </c>
      <c r="G960" s="10" t="str">
        <f>IFERROR(__xludf.DUMMYFUNCTION("""COMPUTED_VALUE"""),"Yes")</f>
        <v>Yes</v>
      </c>
      <c r="H960" s="10">
        <f>IFERROR(__xludf.DUMMYFUNCTION("""COMPUTED_VALUE"""),7.0)</f>
        <v>7</v>
      </c>
      <c r="I960" s="10">
        <f>IFERROR(__xludf.DUMMYFUNCTION("""COMPUTED_VALUE"""),3.0)</f>
        <v>3</v>
      </c>
      <c r="J960" s="10">
        <f>IFERROR(__xludf.DUMMYFUNCTION("""COMPUTED_VALUE"""),10.0)</f>
        <v>10</v>
      </c>
      <c r="K960" s="10">
        <f>IFERROR(__xludf.DUMMYFUNCTION("""COMPUTED_VALUE"""),10.0)</f>
        <v>10</v>
      </c>
      <c r="L960" s="10">
        <f>IFERROR(__xludf.DUMMYFUNCTION("""COMPUTED_VALUE"""),0.0)</f>
        <v>0</v>
      </c>
      <c r="M960" s="10">
        <f>IFERROR(__xludf.DUMMYFUNCTION("""COMPUTED_VALUE"""),10.0)</f>
        <v>10</v>
      </c>
      <c r="N960" s="10">
        <f>IFERROR(__xludf.DUMMYFUNCTION("""COMPUTED_VALUE"""),0.0)</f>
        <v>0</v>
      </c>
      <c r="O960" s="10">
        <f>IFERROR(__xludf.DUMMYFUNCTION("""COMPUTED_VALUE"""),9.0)</f>
        <v>9</v>
      </c>
      <c r="P960" s="10">
        <f>IFERROR(__xludf.DUMMYFUNCTION("""COMPUTED_VALUE"""),0.0)</f>
        <v>0</v>
      </c>
      <c r="Q960" s="10" t="str">
        <f>IFERROR(__xludf.DUMMYFUNCTION("""COMPUTED_VALUE"""),"Yes")</f>
        <v>Yes</v>
      </c>
      <c r="R960" s="10" t="str">
        <f>IFERROR(__xludf.DUMMYFUNCTION("""COMPUTED_VALUE"""),"No")</f>
        <v>No</v>
      </c>
      <c r="S960" s="10" t="str">
        <f>IFERROR(__xludf.DUMMYFUNCTION("""COMPUTED_VALUE"""),"Yes")</f>
        <v>Yes</v>
      </c>
      <c r="T960" s="10">
        <f>IFERROR(__xludf.DUMMYFUNCTION("""COMPUTED_VALUE"""),0.0)</f>
        <v>0</v>
      </c>
      <c r="U960" s="10">
        <f>IFERROR(__xludf.DUMMYFUNCTION("""COMPUTED_VALUE"""),0.0)</f>
        <v>0</v>
      </c>
      <c r="V960" s="10" t="str">
        <f>IFERROR(__xludf.DUMMYFUNCTION("""COMPUTED_VALUE"""),"عورت کا معاشی سیاسی سماجی عسکری سرگرمیوں میں کردار ")</f>
        <v>عورت کا معاشی سیاسی سماجی عسکری سرگرمیوں میں کردار </v>
      </c>
      <c r="W960" s="10" t="str">
        <f>IFERROR(__xludf.DUMMYFUNCTION("""COMPUTED_VALUE"""),"عورت کا معاشی سیاسی سماجی عسکری سرگرمیوں میں کردار ")</f>
        <v>عورت کا معاشی سیاسی سماجی عسکری سرگرمیوں میں کردار </v>
      </c>
      <c r="X960" s="10">
        <f>IFERROR(__xludf.DUMMYFUNCTION("""COMPUTED_VALUE"""),1.0)</f>
        <v>1</v>
      </c>
      <c r="Y960" s="10">
        <f>IFERROR(__xludf.DUMMYFUNCTION("""COMPUTED_VALUE"""),9.0)</f>
        <v>9</v>
      </c>
      <c r="Z960" s="10">
        <f>IFERROR(__xludf.DUMMYFUNCTION("""COMPUTED_VALUE"""),7.0)</f>
        <v>7</v>
      </c>
      <c r="AA960" s="10">
        <f>IFERROR(__xludf.DUMMYFUNCTION("""COMPUTED_VALUE"""),8.0)</f>
        <v>8</v>
      </c>
      <c r="AB960" s="10">
        <f>IFERROR(__xludf.DUMMYFUNCTION("""COMPUTED_VALUE"""),7.0)</f>
        <v>7</v>
      </c>
      <c r="AC960" s="10">
        <f>IFERROR(__xludf.DUMMYFUNCTION("""COMPUTED_VALUE"""),3.0)</f>
        <v>3</v>
      </c>
      <c r="AD960" s="10">
        <f>IFERROR(__xludf.DUMMYFUNCTION("""COMPUTED_VALUE"""),4.0)</f>
        <v>4</v>
      </c>
      <c r="AE960" s="10">
        <f>IFERROR(__xludf.DUMMYFUNCTION("""COMPUTED_VALUE"""),1.0)</f>
        <v>1</v>
      </c>
      <c r="AF960" s="10">
        <f>IFERROR(__xludf.DUMMYFUNCTION("""COMPUTED_VALUE"""),4.0)</f>
        <v>4</v>
      </c>
      <c r="AG960" s="10">
        <f>IFERROR(__xludf.DUMMYFUNCTION("""COMPUTED_VALUE"""),8.0)</f>
        <v>8</v>
      </c>
      <c r="AH960" s="10">
        <f>IFERROR(__xludf.DUMMYFUNCTION("""COMPUTED_VALUE"""),0.0)</f>
        <v>0</v>
      </c>
      <c r="AI960" s="10">
        <f>IFERROR(__xludf.DUMMYFUNCTION("""COMPUTED_VALUE"""),9.0)</f>
        <v>9</v>
      </c>
      <c r="AJ960" s="11" t="str">
        <f>IFERROR(__xludf.DUMMYFUNCTION("""COMPUTED_VALUE"""),"https://drive.google.com/open?id=1NhS9cgmn9_RjEhaZWDoROTwJIXbCBG8c")</f>
        <v>https://drive.google.com/open?id=1NhS9cgmn9_RjEhaZWDoROTwJIXbCBG8c</v>
      </c>
      <c r="AK960" s="12"/>
      <c r="AL960" s="12" t="str">
        <f>IFERROR(__xludf.DUMMYFUNCTION("""COMPUTED_VALUE"""),"Yes")</f>
        <v>Yes</v>
      </c>
      <c r="AM960" s="15">
        <f>IFERROR(__xludf.DUMMYFUNCTION("""COMPUTED_VALUE"""),0.9)</f>
        <v>0.9</v>
      </c>
      <c r="AN960" s="12" t="str">
        <f>IFERROR(__xludf.DUMMYFUNCTION("""COMPUTED_VALUE"""),"2nd week")</f>
        <v>2nd week</v>
      </c>
      <c r="AO960" s="13">
        <v>2.0</v>
      </c>
      <c r="AX960" s="17"/>
    </row>
    <row r="961">
      <c r="B961" s="9">
        <f>IFERROR(__xludf.DUMMYFUNCTION("""COMPUTED_VALUE"""),46035.01005341436)</f>
        <v>46035.01005</v>
      </c>
      <c r="C961" s="10" t="str">
        <f>IFERROR(__xludf.DUMMYFUNCTION("""COMPUTED_VALUE"""),"Atiqa")</f>
        <v>Atiqa</v>
      </c>
      <c r="D961" s="10" t="str">
        <f>IFERROR(__xludf.DUMMYFUNCTION("""COMPUTED_VALUE"""),"03157519977")</f>
        <v>03157519977</v>
      </c>
      <c r="E961" s="10" t="str">
        <f>IFERROR(__xludf.DUMMYFUNCTION("""COMPUTED_VALUE"""),"Jamia Masjid Murre Barori Rawalpindi")</f>
        <v>Jamia Masjid Murre Barori Rawalpindi</v>
      </c>
      <c r="F961" s="10" t="str">
        <f>IFERROR(__xludf.DUMMYFUNCTION("""COMPUTED_VALUE"""),"cxyup")</f>
        <v>cxyup</v>
      </c>
      <c r="G961" s="10" t="str">
        <f>IFERROR(__xludf.DUMMYFUNCTION("""COMPUTED_VALUE"""),"Yes")</f>
        <v>Yes</v>
      </c>
      <c r="H961" s="10">
        <f>IFERROR(__xludf.DUMMYFUNCTION("""COMPUTED_VALUE"""),6.0)</f>
        <v>6</v>
      </c>
      <c r="I961" s="10">
        <f>IFERROR(__xludf.DUMMYFUNCTION("""COMPUTED_VALUE"""),4.0)</f>
        <v>4</v>
      </c>
      <c r="J961" s="10">
        <f>IFERROR(__xludf.DUMMYFUNCTION("""COMPUTED_VALUE"""),9.0)</f>
        <v>9</v>
      </c>
      <c r="K961" s="10">
        <f>IFERROR(__xludf.DUMMYFUNCTION("""COMPUTED_VALUE"""),9.0)</f>
        <v>9</v>
      </c>
      <c r="L961" s="10">
        <f>IFERROR(__xludf.DUMMYFUNCTION("""COMPUTED_VALUE"""),0.0)</f>
        <v>0</v>
      </c>
      <c r="M961" s="10">
        <f>IFERROR(__xludf.DUMMYFUNCTION("""COMPUTED_VALUE"""),8.0)</f>
        <v>8</v>
      </c>
      <c r="N961" s="10">
        <f>IFERROR(__xludf.DUMMYFUNCTION("""COMPUTED_VALUE"""),0.0)</f>
        <v>0</v>
      </c>
      <c r="O961" s="10">
        <f>IFERROR(__xludf.DUMMYFUNCTION("""COMPUTED_VALUE"""),4.0)</f>
        <v>4</v>
      </c>
      <c r="P961" s="10">
        <f>IFERROR(__xludf.DUMMYFUNCTION("""COMPUTED_VALUE"""),0.0)</f>
        <v>0</v>
      </c>
      <c r="Q961" s="10" t="str">
        <f>IFERROR(__xludf.DUMMYFUNCTION("""COMPUTED_VALUE"""),"No")</f>
        <v>No</v>
      </c>
      <c r="R961" s="10" t="str">
        <f>IFERROR(__xludf.DUMMYFUNCTION("""COMPUTED_VALUE"""),"No")</f>
        <v>No</v>
      </c>
      <c r="S961" s="10" t="str">
        <f>IFERROR(__xludf.DUMMYFUNCTION("""COMPUTED_VALUE"""),"No")</f>
        <v>No</v>
      </c>
      <c r="T961" s="10">
        <f>IFERROR(__xludf.DUMMYFUNCTION("""COMPUTED_VALUE"""),0.0)</f>
        <v>0</v>
      </c>
      <c r="U961" s="10">
        <f>IFERROR(__xludf.DUMMYFUNCTION("""COMPUTED_VALUE"""),0.0)</f>
        <v>0</v>
      </c>
      <c r="V961" s="10" t="str">
        <f>IFERROR(__xludf.DUMMYFUNCTION("""COMPUTED_VALUE"""),"اسلام میں عورت کا کردار اور اہمیت")</f>
        <v>اسلام میں عورت کا کردار اور اہمیت</v>
      </c>
      <c r="W961" s="10" t="str">
        <f>IFERROR(__xludf.DUMMYFUNCTION("""COMPUTED_VALUE"""),"امام نے بیان کیا کہ جو مقام اور اہمیت اسلام نے عورت کو بطور ماں بہن بیوی بیٹی عطا کی اور کوئی مذہب نہیں دیتا اسلام نے عورت کو کچھ حدود کے اندر رہ کر ازادی دی کہ وہ اپنے محرم رشتے شوہر یا ماں باپ کی اجازت سے جو کام بھی چاہے کر سکتی ہے، صحابیات کا بھی معاشی"&amp;" اور سیاسی سرگرمیوں میں حصہ لینا اور حضور پاک صلی اللہ علیہ وسلم کا انہیں منع نہ فرمانا، حضرت خدیجۃ الکبری کا منظم کاروبار اور حضور پاک صلی اللہ علیہ وسلم کا ان کا مال تجارت لے کر جانا اور حضرت خدیجہ کا متاثر ہو کر شادی کا پیغام بھیجنا۔")</f>
        <v>امام نے بیان کیا کہ جو مقام اور اہمیت اسلام نے عورت کو بطور ماں بہن بیوی بیٹی عطا کی اور کوئی مذہب نہیں دیتا اسلام نے عورت کو کچھ حدود کے اندر رہ کر ازادی دی کہ وہ اپنے محرم رشتے شوہر یا ماں باپ کی اجازت سے جو کام بھی چاہے کر سکتی ہے، صحابیات کا بھی معاشی اور سیاسی سرگرمیوں میں حصہ لینا اور حضور پاک صلی اللہ علیہ وسلم کا انہیں منع نہ فرمانا، حضرت خدیجۃ الکبری کا منظم کاروبار اور حضور پاک صلی اللہ علیہ وسلم کا ان کا مال تجارت لے کر جانا اور حضرت خدیجہ کا متاثر ہو کر شادی کا پیغام بھیجنا۔</v>
      </c>
      <c r="X961" s="10">
        <f>IFERROR(__xludf.DUMMYFUNCTION("""COMPUTED_VALUE"""),3.0)</f>
        <v>3</v>
      </c>
      <c r="Y961" s="10">
        <f>IFERROR(__xludf.DUMMYFUNCTION("""COMPUTED_VALUE"""),7.0)</f>
        <v>7</v>
      </c>
      <c r="Z961" s="10">
        <f>IFERROR(__xludf.DUMMYFUNCTION("""COMPUTED_VALUE"""),6.0)</f>
        <v>6</v>
      </c>
      <c r="AA961" s="10">
        <f>IFERROR(__xludf.DUMMYFUNCTION("""COMPUTED_VALUE"""),7.0)</f>
        <v>7</v>
      </c>
      <c r="AB961" s="10">
        <f>IFERROR(__xludf.DUMMYFUNCTION("""COMPUTED_VALUE"""),4.0)</f>
        <v>4</v>
      </c>
      <c r="AC961" s="10">
        <f>IFERROR(__xludf.DUMMYFUNCTION("""COMPUTED_VALUE"""),1.0)</f>
        <v>1</v>
      </c>
      <c r="AD961" s="10">
        <f>IFERROR(__xludf.DUMMYFUNCTION("""COMPUTED_VALUE"""),6.0)</f>
        <v>6</v>
      </c>
      <c r="AE961" s="10">
        <f>IFERROR(__xludf.DUMMYFUNCTION("""COMPUTED_VALUE"""),0.0)</f>
        <v>0</v>
      </c>
      <c r="AF961" s="10">
        <f>IFERROR(__xludf.DUMMYFUNCTION("""COMPUTED_VALUE"""),0.0)</f>
        <v>0</v>
      </c>
      <c r="AG961" s="10">
        <f>IFERROR(__xludf.DUMMYFUNCTION("""COMPUTED_VALUE"""),8.0)</f>
        <v>8</v>
      </c>
      <c r="AH961" s="10">
        <f>IFERROR(__xludf.DUMMYFUNCTION("""COMPUTED_VALUE"""),0.0)</f>
        <v>0</v>
      </c>
      <c r="AI961" s="10">
        <f>IFERROR(__xludf.DUMMYFUNCTION("""COMPUTED_VALUE"""),8.0)</f>
        <v>8</v>
      </c>
      <c r="AJ961" s="11" t="str">
        <f>IFERROR(__xludf.DUMMYFUNCTION("""COMPUTED_VALUE"""),"https://drive.google.com/open?id=1n8XwdIOzvmX5VSlb7bB-AL5hDmiWeN2GsTPBBfJBIWM")</f>
        <v>https://drive.google.com/open?id=1n8XwdIOzvmX5VSlb7bB-AL5hDmiWeN2GsTPBBfJBIWM</v>
      </c>
      <c r="AK961" s="12"/>
      <c r="AL961" s="12" t="str">
        <f>IFERROR(__xludf.DUMMYFUNCTION("""COMPUTED_VALUE"""),"Yes")</f>
        <v>Yes</v>
      </c>
      <c r="AM961" s="15">
        <f>IFERROR(__xludf.DUMMYFUNCTION("""COMPUTED_VALUE"""),0.6)</f>
        <v>0.6</v>
      </c>
      <c r="AN961" s="12" t="str">
        <f>IFERROR(__xludf.DUMMYFUNCTION("""COMPUTED_VALUE"""),"4th week")</f>
        <v>4th week</v>
      </c>
      <c r="AO961" s="13">
        <v>4.0</v>
      </c>
      <c r="AX961" s="17"/>
    </row>
    <row r="962">
      <c r="B962" s="9">
        <f>IFERROR(__xludf.DUMMYFUNCTION("""COMPUTED_VALUE"""),46035.11692778935)</f>
        <v>46035.11693</v>
      </c>
      <c r="C962" s="10" t="str">
        <f>IFERROR(__xludf.DUMMYFUNCTION("""COMPUTED_VALUE"""),"Atiqa")</f>
        <v>Atiqa</v>
      </c>
      <c r="D962" s="10" t="str">
        <f>IFERROR(__xludf.DUMMYFUNCTION("""COMPUTED_VALUE"""),"03157519977")</f>
        <v>03157519977</v>
      </c>
      <c r="E962" s="10" t="str">
        <f>IFERROR(__xludf.DUMMYFUNCTION("""COMPUTED_VALUE"""),"Jamia Masjid Ghala Mandi Gojara")</f>
        <v>Jamia Masjid Ghala Mandi Gojara</v>
      </c>
      <c r="F962" s="10" t="str">
        <f>IFERROR(__xludf.DUMMYFUNCTION("""COMPUTED_VALUE"""),"rtcpq")</f>
        <v>rtcpq</v>
      </c>
      <c r="G962" s="10" t="str">
        <f>IFERROR(__xludf.DUMMYFUNCTION("""COMPUTED_VALUE"""),"Yes")</f>
        <v>Yes</v>
      </c>
      <c r="H962" s="10">
        <f>IFERROR(__xludf.DUMMYFUNCTION("""COMPUTED_VALUE"""),0.0)</f>
        <v>0</v>
      </c>
      <c r="I962" s="10">
        <f>IFERROR(__xludf.DUMMYFUNCTION("""COMPUTED_VALUE"""),10.0)</f>
        <v>10</v>
      </c>
      <c r="J962" s="10">
        <f>IFERROR(__xludf.DUMMYFUNCTION("""COMPUTED_VALUE"""),0.0)</f>
        <v>0</v>
      </c>
      <c r="K962" s="10">
        <f>IFERROR(__xludf.DUMMYFUNCTION("""COMPUTED_VALUE"""),0.0)</f>
        <v>0</v>
      </c>
      <c r="L962" s="10">
        <f>IFERROR(__xludf.DUMMYFUNCTION("""COMPUTED_VALUE"""),0.0)</f>
        <v>0</v>
      </c>
      <c r="M962" s="10">
        <f>IFERROR(__xludf.DUMMYFUNCTION("""COMPUTED_VALUE"""),0.0)</f>
        <v>0</v>
      </c>
      <c r="N962" s="10">
        <f>IFERROR(__xludf.DUMMYFUNCTION("""COMPUTED_VALUE"""),0.0)</f>
        <v>0</v>
      </c>
      <c r="O962" s="10">
        <f>IFERROR(__xludf.DUMMYFUNCTION("""COMPUTED_VALUE"""),0.0)</f>
        <v>0</v>
      </c>
      <c r="P962" s="10">
        <f>IFERROR(__xludf.DUMMYFUNCTION("""COMPUTED_VALUE"""),0.0)</f>
        <v>0</v>
      </c>
      <c r="Q962" s="10" t="str">
        <f>IFERROR(__xludf.DUMMYFUNCTION("""COMPUTED_VALUE"""),"No")</f>
        <v>No</v>
      </c>
      <c r="R962" s="10" t="str">
        <f>IFERROR(__xludf.DUMMYFUNCTION("""COMPUTED_VALUE"""),"No")</f>
        <v>No</v>
      </c>
      <c r="S962" s="10" t="str">
        <f>IFERROR(__xludf.DUMMYFUNCTION("""COMPUTED_VALUE"""),"No")</f>
        <v>No</v>
      </c>
      <c r="T962" s="10">
        <f>IFERROR(__xludf.DUMMYFUNCTION("""COMPUTED_VALUE"""),0.0)</f>
        <v>0</v>
      </c>
      <c r="U962" s="10">
        <f>IFERROR(__xludf.DUMMYFUNCTION("""COMPUTED_VALUE"""),0.0)</f>
        <v>0</v>
      </c>
      <c r="V962" s="10" t="str">
        <f>IFERROR(__xludf.DUMMYFUNCTION("""COMPUTED_VALUE"""),"دین میں اسانی")</f>
        <v>دین میں اسانی</v>
      </c>
      <c r="W962" s="10" t="str">
        <f>IFERROR(__xludf.DUMMYFUNCTION("""COMPUTED_VALUE"""),"امام نے سورۃ بقرہ کی 15 ایت کے حوالے سے بیان دیا کہ اللہ تمہارے لیے اسانی چاہتا ہے، کہ دین اسلام اسان دین ہے لیکن بعض اوقات تشریح کرنے والے اس انداز میں کر جاتے ہیں کہ انسان اس سے دور بھاگتا ہے، صلی اللہ علیہ وسلم کا مشکل کام کی با نسبت اسان کام کا انتخاب"&amp;" کرنا اور اللہ رب العزت کا باقی امتوں کی نسبت نبی کی امت کے لیے اسانی پیدا کرنا، عبداللہ بن عمر رضی اللہ تعالی عنہ کا مسلسل روز ے رکھنے کا معاملہ اور حضور پاک صلی اللہ علیہ وسلم کا انہیں ایک دن چھوڑ کر روزہ رکھنے کا حکم دینا، معاذ بن جبل رضی اللہ تعالی عن"&amp;"ہ کا اپ صلی اللہ علیہ وسلم کو عشاء کی نماز میں سورۃ بقرہ کی تلاوت کرتے سننا اور امامت میں سورۃ بقرہ کی تلاوت کرنا اپ صلی اللہ علیہ وسلم کا ایسا کرنے سے روکنا کہ دوسروں کے لیے مشکل نہ پیدا کی جائے، حضور پاک صلی اللہ علیہ وسلم کا زینب رضی اللہ تعالی عنہ کو "&amp;"مسلسل کھڑے ہو کر نفل پڑھنے کی نیت کرنے سے منع فرمانے کا واقعہ کے اپنے لیے اسانی رکھو مشکل نہ کرو")</f>
        <v>امام نے سورۃ بقرہ کی 15 ایت کے حوالے سے بیان دیا کہ اللہ تمہارے لیے اسانی چاہتا ہے، کہ دین اسلام اسان دین ہے لیکن بعض اوقات تشریح کرنے والے اس انداز میں کر جاتے ہیں کہ انسان اس سے دور بھاگتا ہے، صلی اللہ علیہ وسلم کا مشکل کام کی با نسبت اسان کام کا انتخاب کرنا اور اللہ رب العزت کا باقی امتوں کی نسبت نبی کی امت کے لیے اسانی پیدا کرنا، عبداللہ بن عمر رضی اللہ تعالی عنہ کا مسلسل روز ے رکھنے کا معاملہ اور حضور پاک صلی اللہ علیہ وسلم کا انہیں ایک دن چھوڑ کر روزہ رکھنے کا حکم دینا، معاذ بن جبل رضی اللہ تعالی عنہ کا اپ صلی اللہ علیہ وسلم کو عشاء کی نماز میں سورۃ بقرہ کی تلاوت کرتے سننا اور امامت میں سورۃ بقرہ کی تلاوت کرنا اپ صلی اللہ علیہ وسلم کا ایسا کرنے سے روکنا کہ دوسروں کے لیے مشکل نہ پیدا کی جائے، حضور پاک صلی اللہ علیہ وسلم کا زینب رضی اللہ تعالی عنہ کو مسلسل کھڑے ہو کر نفل پڑھنے کی نیت کرنے سے منع فرمانے کا واقعہ کے اپنے لیے اسانی رکھو مشکل نہ کرو</v>
      </c>
      <c r="X962" s="10">
        <f>IFERROR(__xludf.DUMMYFUNCTION("""COMPUTED_VALUE"""),8.0)</f>
        <v>8</v>
      </c>
      <c r="Y962" s="10">
        <f>IFERROR(__xludf.DUMMYFUNCTION("""COMPUTED_VALUE"""),2.0)</f>
        <v>2</v>
      </c>
      <c r="Z962" s="10">
        <f>IFERROR(__xludf.DUMMYFUNCTION("""COMPUTED_VALUE"""),4.0)</f>
        <v>4</v>
      </c>
      <c r="AA962" s="10">
        <f>IFERROR(__xludf.DUMMYFUNCTION("""COMPUTED_VALUE"""),8.0)</f>
        <v>8</v>
      </c>
      <c r="AB962" s="10">
        <f>IFERROR(__xludf.DUMMYFUNCTION("""COMPUTED_VALUE"""),4.0)</f>
        <v>4</v>
      </c>
      <c r="AC962" s="10">
        <f>IFERROR(__xludf.DUMMYFUNCTION("""COMPUTED_VALUE"""),0.0)</f>
        <v>0</v>
      </c>
      <c r="AD962" s="10">
        <f>IFERROR(__xludf.DUMMYFUNCTION("""COMPUTED_VALUE"""),1.0)</f>
        <v>1</v>
      </c>
      <c r="AE962" s="10">
        <f>IFERROR(__xludf.DUMMYFUNCTION("""COMPUTED_VALUE"""),0.0)</f>
        <v>0</v>
      </c>
      <c r="AF962" s="10">
        <f>IFERROR(__xludf.DUMMYFUNCTION("""COMPUTED_VALUE"""),0.0)</f>
        <v>0</v>
      </c>
      <c r="AG962" s="10">
        <f>IFERROR(__xludf.DUMMYFUNCTION("""COMPUTED_VALUE"""),8.0)</f>
        <v>8</v>
      </c>
      <c r="AH962" s="10">
        <f>IFERROR(__xludf.DUMMYFUNCTION("""COMPUTED_VALUE"""),0.0)</f>
        <v>0</v>
      </c>
      <c r="AI962" s="10">
        <f>IFERROR(__xludf.DUMMYFUNCTION("""COMPUTED_VALUE"""),8.0)</f>
        <v>8</v>
      </c>
      <c r="AJ962" s="11" t="str">
        <f>IFERROR(__xludf.DUMMYFUNCTION("""COMPUTED_VALUE"""),"https://drive.google.com/open?id=14mMZz8L_Pv-m5XZGBNK28JhuYtJtJBfjILJtujXqNhA")</f>
        <v>https://drive.google.com/open?id=14mMZz8L_Pv-m5XZGBNK28JhuYtJtJBfjILJtujXqNhA</v>
      </c>
      <c r="AK962" s="12"/>
      <c r="AL962" s="12" t="str">
        <f>IFERROR(__xludf.DUMMYFUNCTION("""COMPUTED_VALUE"""),"Yes")</f>
        <v>Yes</v>
      </c>
      <c r="AM962" s="15">
        <f>IFERROR(__xludf.DUMMYFUNCTION("""COMPUTED_VALUE"""),0.0)</f>
        <v>0</v>
      </c>
      <c r="AN962" s="12" t="str">
        <f>IFERROR(__xludf.DUMMYFUNCTION("""COMPUTED_VALUE"""),"3rd week")</f>
        <v>3rd week</v>
      </c>
      <c r="AO962" s="13">
        <v>3.0</v>
      </c>
      <c r="AX962" s="17"/>
    </row>
    <row r="963">
      <c r="B963" s="9">
        <f>IFERROR(__xludf.DUMMYFUNCTION("""COMPUTED_VALUE"""),46035.54113196759)</f>
        <v>46035.54113</v>
      </c>
      <c r="C963" s="10" t="str">
        <f>IFERROR(__xludf.DUMMYFUNCTION("""COMPUTED_VALUE"""),"Maham")</f>
        <v>Maham</v>
      </c>
      <c r="D963" s="10" t="str">
        <f>IFERROR(__xludf.DUMMYFUNCTION("""COMPUTED_VALUE"""),"03218118680")</f>
        <v>03218118680</v>
      </c>
      <c r="E963" s="10" t="str">
        <f>IFERROR(__xludf.DUMMYFUNCTION("""COMPUTED_VALUE"""),"Jamia Mosjid Daud Shah hakani")</f>
        <v>Jamia Mosjid Daud Shah hakani</v>
      </c>
      <c r="F963" s="10" t="str">
        <f>IFERROR(__xludf.DUMMYFUNCTION("""COMPUTED_VALUE"""),"lnsdx")</f>
        <v>lnsdx</v>
      </c>
      <c r="G963" s="10" t="str">
        <f>IFERROR(__xludf.DUMMYFUNCTION("""COMPUTED_VALUE"""),"Yes")</f>
        <v>Yes</v>
      </c>
      <c r="H963" s="10">
        <f>IFERROR(__xludf.DUMMYFUNCTION("""COMPUTED_VALUE"""),0.0)</f>
        <v>0</v>
      </c>
      <c r="I963" s="10">
        <f>IFERROR(__xludf.DUMMYFUNCTION("""COMPUTED_VALUE"""),10.0)</f>
        <v>10</v>
      </c>
      <c r="J963" s="10">
        <f>IFERROR(__xludf.DUMMYFUNCTION("""COMPUTED_VALUE"""),0.0)</f>
        <v>0</v>
      </c>
      <c r="K963" s="10">
        <f>IFERROR(__xludf.DUMMYFUNCTION("""COMPUTED_VALUE"""),0.0)</f>
        <v>0</v>
      </c>
      <c r="L963" s="10">
        <f>IFERROR(__xludf.DUMMYFUNCTION("""COMPUTED_VALUE"""),0.0)</f>
        <v>0</v>
      </c>
      <c r="M963" s="10">
        <f>IFERROR(__xludf.DUMMYFUNCTION("""COMPUTED_VALUE"""),0.0)</f>
        <v>0</v>
      </c>
      <c r="N963" s="10">
        <f>IFERROR(__xludf.DUMMYFUNCTION("""COMPUTED_VALUE"""),0.0)</f>
        <v>0</v>
      </c>
      <c r="O963" s="10">
        <f>IFERROR(__xludf.DUMMYFUNCTION("""COMPUTED_VALUE"""),0.0)</f>
        <v>0</v>
      </c>
      <c r="P963" s="10">
        <f>IFERROR(__xludf.DUMMYFUNCTION("""COMPUTED_VALUE"""),0.0)</f>
        <v>0</v>
      </c>
      <c r="Q963" s="10" t="str">
        <f>IFERROR(__xludf.DUMMYFUNCTION("""COMPUTED_VALUE"""),"No")</f>
        <v>No</v>
      </c>
      <c r="R963" s="10" t="str">
        <f>IFERROR(__xludf.DUMMYFUNCTION("""COMPUTED_VALUE"""),"No")</f>
        <v>No</v>
      </c>
      <c r="S963" s="10" t="str">
        <f>IFERROR(__xludf.DUMMYFUNCTION("""COMPUTED_VALUE"""),"No")</f>
        <v>No</v>
      </c>
      <c r="T963" s="10">
        <f>IFERROR(__xludf.DUMMYFUNCTION("""COMPUTED_VALUE"""),0.0)</f>
        <v>0</v>
      </c>
      <c r="U963" s="10">
        <f>IFERROR(__xludf.DUMMYFUNCTION("""COMPUTED_VALUE"""),0.0)</f>
        <v>0</v>
      </c>
      <c r="V963" s="10" t="str">
        <f>IFERROR(__xludf.DUMMYFUNCTION("""COMPUTED_VALUE"""),"اللہ تعالی کے اپنے بندے سے محبت")</f>
        <v>اللہ تعالی کے اپنے بندے سے محبت</v>
      </c>
      <c r="W963" s="10" t="str">
        <f>IFERROR(__xludf.DUMMYFUNCTION("""COMPUTED_VALUE"""),"اللہ تعالی اپنے بندے سے ایک ماں سے 70 گنا زیادہ محبت کرتا ہے تو کس طرح اپنے بندے کو بے یارو مددگار چھوڑ سکتا ہے اللہ تعالی سے محبت کا تقاضا ہے کہ اس کی عبادت کی جائے")</f>
        <v>اللہ تعالی اپنے بندے سے ایک ماں سے 70 گنا زیادہ محبت کرتا ہے تو کس طرح اپنے بندے کو بے یارو مددگار چھوڑ سکتا ہے اللہ تعالی سے محبت کا تقاضا ہے کہ اس کی عبادت کی جائے</v>
      </c>
      <c r="X963" s="10">
        <f>IFERROR(__xludf.DUMMYFUNCTION("""COMPUTED_VALUE"""),9.0)</f>
        <v>9</v>
      </c>
      <c r="Y963" s="10">
        <f>IFERROR(__xludf.DUMMYFUNCTION("""COMPUTED_VALUE"""),4.0)</f>
        <v>4</v>
      </c>
      <c r="Z963" s="10">
        <f>IFERROR(__xludf.DUMMYFUNCTION("""COMPUTED_VALUE"""),2.0)</f>
        <v>2</v>
      </c>
      <c r="AA963" s="10">
        <f>IFERROR(__xludf.DUMMYFUNCTION("""COMPUTED_VALUE"""),10.0)</f>
        <v>10</v>
      </c>
      <c r="AB963" s="10">
        <f>IFERROR(__xludf.DUMMYFUNCTION("""COMPUTED_VALUE"""),5.0)</f>
        <v>5</v>
      </c>
      <c r="AC963" s="10">
        <f>IFERROR(__xludf.DUMMYFUNCTION("""COMPUTED_VALUE"""),0.0)</f>
        <v>0</v>
      </c>
      <c r="AD963" s="10">
        <f>IFERROR(__xludf.DUMMYFUNCTION("""COMPUTED_VALUE"""),0.0)</f>
        <v>0</v>
      </c>
      <c r="AE963" s="10">
        <f>IFERROR(__xludf.DUMMYFUNCTION("""COMPUTED_VALUE"""),0.0)</f>
        <v>0</v>
      </c>
      <c r="AF963" s="10">
        <f>IFERROR(__xludf.DUMMYFUNCTION("""COMPUTED_VALUE"""),9.0)</f>
        <v>9</v>
      </c>
      <c r="AG963" s="10">
        <f>IFERROR(__xludf.DUMMYFUNCTION("""COMPUTED_VALUE"""),6.0)</f>
        <v>6</v>
      </c>
      <c r="AH963" s="10">
        <f>IFERROR(__xludf.DUMMYFUNCTION("""COMPUTED_VALUE"""),0.0)</f>
        <v>0</v>
      </c>
      <c r="AI963" s="10">
        <f>IFERROR(__xludf.DUMMYFUNCTION("""COMPUTED_VALUE"""),6.0)</f>
        <v>6</v>
      </c>
      <c r="AJ963" s="11" t="str">
        <f>IFERROR(__xludf.DUMMYFUNCTION("""COMPUTED_VALUE"""),"https://drive.google.com/open?id=1JTOyFYfY0cYsGykaZkZtbMhwIrhir1Sh")</f>
        <v>https://drive.google.com/open?id=1JTOyFYfY0cYsGykaZkZtbMhwIrhir1Sh</v>
      </c>
      <c r="AK963" s="12" t="str">
        <f>IFERROR(__xludf.DUMMYFUNCTION("""COMPUTED_VALUE"""),"there is a lot of distortion in audio difficult to understand.... ")</f>
        <v>there is a lot of distortion in audio difficult to understand.... </v>
      </c>
      <c r="AL963" s="12" t="str">
        <f>IFERROR(__xludf.DUMMYFUNCTION("""COMPUTED_VALUE"""),"Yes")</f>
        <v>Yes</v>
      </c>
      <c r="AM963" s="15">
        <f>IFERROR(__xludf.DUMMYFUNCTION("""COMPUTED_VALUE"""),0.0)</f>
        <v>0</v>
      </c>
      <c r="AN963" s="12" t="str">
        <f>IFERROR(__xludf.DUMMYFUNCTION("""COMPUTED_VALUE"""),"4th week")</f>
        <v>4th week</v>
      </c>
      <c r="AO963" s="13">
        <v>4.0</v>
      </c>
      <c r="AX963" s="17"/>
    </row>
    <row r="964">
      <c r="B964" s="9">
        <f>IFERROR(__xludf.DUMMYFUNCTION("""COMPUTED_VALUE"""),46035.571350555554)</f>
        <v>46035.57135</v>
      </c>
      <c r="C964" s="10" t="str">
        <f>IFERROR(__xludf.DUMMYFUNCTION("""COMPUTED_VALUE"""),"Maham")</f>
        <v>Maham</v>
      </c>
      <c r="D964" s="10" t="str">
        <f>IFERROR(__xludf.DUMMYFUNCTION("""COMPUTED_VALUE"""),"03218118680")</f>
        <v>03218118680</v>
      </c>
      <c r="E964" s="10" t="str">
        <f>IFERROR(__xludf.DUMMYFUNCTION("""COMPUTED_VALUE"""),"Jamia Masjid Jamun Wali Rawalpindi")</f>
        <v>Jamia Masjid Jamun Wali Rawalpindi</v>
      </c>
      <c r="F964" s="10" t="str">
        <f>IFERROR(__xludf.DUMMYFUNCTION("""COMPUTED_VALUE"""),"podyo")</f>
        <v>podyo</v>
      </c>
      <c r="G964" s="10" t="str">
        <f>IFERROR(__xludf.DUMMYFUNCTION("""COMPUTED_VALUE"""),"Yes")</f>
        <v>Yes</v>
      </c>
      <c r="H964" s="10">
        <f>IFERROR(__xludf.DUMMYFUNCTION("""COMPUTED_VALUE"""),0.0)</f>
        <v>0</v>
      </c>
      <c r="I964" s="10">
        <f>IFERROR(__xludf.DUMMYFUNCTION("""COMPUTED_VALUE"""),10.0)</f>
        <v>10</v>
      </c>
      <c r="J964" s="10">
        <f>IFERROR(__xludf.DUMMYFUNCTION("""COMPUTED_VALUE"""),0.0)</f>
        <v>0</v>
      </c>
      <c r="K964" s="10">
        <f>IFERROR(__xludf.DUMMYFUNCTION("""COMPUTED_VALUE"""),0.0)</f>
        <v>0</v>
      </c>
      <c r="L964" s="10">
        <f>IFERROR(__xludf.DUMMYFUNCTION("""COMPUTED_VALUE"""),0.0)</f>
        <v>0</v>
      </c>
      <c r="M964" s="10">
        <f>IFERROR(__xludf.DUMMYFUNCTION("""COMPUTED_VALUE"""),0.0)</f>
        <v>0</v>
      </c>
      <c r="N964" s="10">
        <f>IFERROR(__xludf.DUMMYFUNCTION("""COMPUTED_VALUE"""),0.0)</f>
        <v>0</v>
      </c>
      <c r="O964" s="10">
        <f>IFERROR(__xludf.DUMMYFUNCTION("""COMPUTED_VALUE"""),0.0)</f>
        <v>0</v>
      </c>
      <c r="P964" s="10">
        <f>IFERROR(__xludf.DUMMYFUNCTION("""COMPUTED_VALUE"""),0.0)</f>
        <v>0</v>
      </c>
      <c r="Q964" s="10" t="str">
        <f>IFERROR(__xludf.DUMMYFUNCTION("""COMPUTED_VALUE"""),"No")</f>
        <v>No</v>
      </c>
      <c r="R964" s="10" t="str">
        <f>IFERROR(__xludf.DUMMYFUNCTION("""COMPUTED_VALUE"""),"No")</f>
        <v>No</v>
      </c>
      <c r="S964" s="10" t="str">
        <f>IFERROR(__xludf.DUMMYFUNCTION("""COMPUTED_VALUE"""),"No")</f>
        <v>No</v>
      </c>
      <c r="T964" s="10">
        <f>IFERROR(__xludf.DUMMYFUNCTION("""COMPUTED_VALUE"""),0.0)</f>
        <v>0</v>
      </c>
      <c r="U964" s="10">
        <f>IFERROR(__xludf.DUMMYFUNCTION("""COMPUTED_VALUE"""),0.0)</f>
        <v>0</v>
      </c>
      <c r="V964" s="10" t="str">
        <f>IFERROR(__xludf.DUMMYFUNCTION("""COMPUTED_VALUE"""),"درود پاک کی اہمیت و فضیلت معراج النبی صلی اللہ علیہ وسلم")</f>
        <v>درود پاک کی اہمیت و فضیلت معراج النبی صلی اللہ علیہ وسلم</v>
      </c>
      <c r="W964" s="10" t="str">
        <f>IFERROR(__xludf.DUMMYFUNCTION("""COMPUTED_VALUE"""),"درود پاک کی اہمیت و فضیلت کو بیان کیا گیا اور معراج نبی صلی اللہ علیہ وسلم سے بیان کیا گیا")</f>
        <v>درود پاک کی اہمیت و فضیلت کو بیان کیا گیا اور معراج نبی صلی اللہ علیہ وسلم سے بیان کیا گیا</v>
      </c>
      <c r="X964" s="10">
        <f>IFERROR(__xludf.DUMMYFUNCTION("""COMPUTED_VALUE"""),8.0)</f>
        <v>8</v>
      </c>
      <c r="Y964" s="10">
        <f>IFERROR(__xludf.DUMMYFUNCTION("""COMPUTED_VALUE"""),4.0)</f>
        <v>4</v>
      </c>
      <c r="Z964" s="10">
        <f>IFERROR(__xludf.DUMMYFUNCTION("""COMPUTED_VALUE"""),1.0)</f>
        <v>1</v>
      </c>
      <c r="AA964" s="10">
        <f>IFERROR(__xludf.DUMMYFUNCTION("""COMPUTED_VALUE"""),9.0)</f>
        <v>9</v>
      </c>
      <c r="AB964" s="10">
        <f>IFERROR(__xludf.DUMMYFUNCTION("""COMPUTED_VALUE"""),8.0)</f>
        <v>8</v>
      </c>
      <c r="AC964" s="10">
        <f>IFERROR(__xludf.DUMMYFUNCTION("""COMPUTED_VALUE"""),0.0)</f>
        <v>0</v>
      </c>
      <c r="AD964" s="10">
        <f>IFERROR(__xludf.DUMMYFUNCTION("""COMPUTED_VALUE"""),0.0)</f>
        <v>0</v>
      </c>
      <c r="AE964" s="10">
        <f>IFERROR(__xludf.DUMMYFUNCTION("""COMPUTED_VALUE"""),1.0)</f>
        <v>1</v>
      </c>
      <c r="AF964" s="10">
        <f>IFERROR(__xludf.DUMMYFUNCTION("""COMPUTED_VALUE"""),9.0)</f>
        <v>9</v>
      </c>
      <c r="AG964" s="10">
        <f>IFERROR(__xludf.DUMMYFUNCTION("""COMPUTED_VALUE"""),8.0)</f>
        <v>8</v>
      </c>
      <c r="AH964" s="10">
        <f>IFERROR(__xludf.DUMMYFUNCTION("""COMPUTED_VALUE"""),0.0)</f>
        <v>0</v>
      </c>
      <c r="AI964" s="10">
        <f>IFERROR(__xludf.DUMMYFUNCTION("""COMPUTED_VALUE"""),9.0)</f>
        <v>9</v>
      </c>
      <c r="AJ964" s="11" t="str">
        <f>IFERROR(__xludf.DUMMYFUNCTION("""COMPUTED_VALUE"""),"https://drive.google.com/open?id=1Fk79r0FI-GPRGx70W2ZQmpzRTaWw5B8j")</f>
        <v>https://drive.google.com/open?id=1Fk79r0FI-GPRGx70W2ZQmpzRTaWw5B8j</v>
      </c>
      <c r="AK964" s="12"/>
      <c r="AL964" s="12" t="str">
        <f>IFERROR(__xludf.DUMMYFUNCTION("""COMPUTED_VALUE"""),"Yes")</f>
        <v>Yes</v>
      </c>
      <c r="AM964" s="15">
        <f>IFERROR(__xludf.DUMMYFUNCTION("""COMPUTED_VALUE"""),0.0)</f>
        <v>0</v>
      </c>
      <c r="AN964" s="12" t="str">
        <f>IFERROR(__xludf.DUMMYFUNCTION("""COMPUTED_VALUE"""),"4th week")</f>
        <v>4th week</v>
      </c>
      <c r="AO964" s="13">
        <v>4.0</v>
      </c>
      <c r="AX964" s="17"/>
    </row>
    <row r="965">
      <c r="B965" s="9">
        <f>IFERROR(__xludf.DUMMYFUNCTION("""COMPUTED_VALUE"""),46035.58897150463)</f>
        <v>46035.58897</v>
      </c>
      <c r="C965" s="10" t="str">
        <f>IFERROR(__xludf.DUMMYFUNCTION("""COMPUTED_VALUE"""),"Maham")</f>
        <v>Maham</v>
      </c>
      <c r="D965" s="10" t="str">
        <f>IFERROR(__xludf.DUMMYFUNCTION("""COMPUTED_VALUE"""),"03218118680")</f>
        <v>03218118680</v>
      </c>
      <c r="E965" s="10" t="str">
        <f>IFERROR(__xludf.DUMMYFUNCTION("""COMPUTED_VALUE"""),"Jamia Masjid Sabzi Mandi Rawalpindi")</f>
        <v>Jamia Masjid Sabzi Mandi Rawalpindi</v>
      </c>
      <c r="F965" s="10" t="str">
        <f>IFERROR(__xludf.DUMMYFUNCTION("""COMPUTED_VALUE"""),"cvcqu")</f>
        <v>cvcqu</v>
      </c>
      <c r="G965" s="10" t="str">
        <f>IFERROR(__xludf.DUMMYFUNCTION("""COMPUTED_VALUE"""),"Yes")</f>
        <v>Yes</v>
      </c>
      <c r="H965" s="10">
        <f>IFERROR(__xludf.DUMMYFUNCTION("""COMPUTED_VALUE"""),10.0)</f>
        <v>10</v>
      </c>
      <c r="I965" s="10">
        <f>IFERROR(__xludf.DUMMYFUNCTION("""COMPUTED_VALUE"""),0.0)</f>
        <v>0</v>
      </c>
      <c r="J965" s="10">
        <f>IFERROR(__xludf.DUMMYFUNCTION("""COMPUTED_VALUE"""),10.0)</f>
        <v>10</v>
      </c>
      <c r="K965" s="10">
        <f>IFERROR(__xludf.DUMMYFUNCTION("""COMPUTED_VALUE"""),0.0)</f>
        <v>0</v>
      </c>
      <c r="L965" s="10">
        <f>IFERROR(__xludf.DUMMYFUNCTION("""COMPUTED_VALUE"""),10.0)</f>
        <v>10</v>
      </c>
      <c r="M965" s="10">
        <f>IFERROR(__xludf.DUMMYFUNCTION("""COMPUTED_VALUE"""),0.0)</f>
        <v>0</v>
      </c>
      <c r="N965" s="10">
        <f>IFERROR(__xludf.DUMMYFUNCTION("""COMPUTED_VALUE"""),10.0)</f>
        <v>10</v>
      </c>
      <c r="O965" s="10">
        <f>IFERROR(__xludf.DUMMYFUNCTION("""COMPUTED_VALUE"""),0.0)</f>
        <v>0</v>
      </c>
      <c r="P965" s="10">
        <f>IFERROR(__xludf.DUMMYFUNCTION("""COMPUTED_VALUE"""),10.0)</f>
        <v>10</v>
      </c>
      <c r="Q965" s="10" t="str">
        <f>IFERROR(__xludf.DUMMYFUNCTION("""COMPUTED_VALUE"""),"No")</f>
        <v>No</v>
      </c>
      <c r="R965" s="10" t="str">
        <f>IFERROR(__xludf.DUMMYFUNCTION("""COMPUTED_VALUE"""),"Yes")</f>
        <v>Yes</v>
      </c>
      <c r="S965" s="10" t="str">
        <f>IFERROR(__xludf.DUMMYFUNCTION("""COMPUTED_VALUE"""),"Yes")</f>
        <v>Yes</v>
      </c>
      <c r="T965" s="10">
        <f>IFERROR(__xludf.DUMMYFUNCTION("""COMPUTED_VALUE"""),0.0)</f>
        <v>0</v>
      </c>
      <c r="U965" s="10">
        <f>IFERROR(__xludf.DUMMYFUNCTION("""COMPUTED_VALUE"""),0.0)</f>
        <v>0</v>
      </c>
      <c r="V965" s="10" t="str">
        <f>IFERROR(__xludf.DUMMYFUNCTION("""COMPUTED_VALUE"""),"پڑوسیوں کے حقوق")</f>
        <v>پڑوسیوں کے حقوق</v>
      </c>
      <c r="W965" s="10" t="str">
        <f>IFERROR(__xludf.DUMMYFUNCTION("""COMPUTED_VALUE"""),"پڑوسیوں کے حقوق بیان کیے گئے")</f>
        <v>پڑوسیوں کے حقوق بیان کیے گئے</v>
      </c>
      <c r="X965" s="10">
        <f>IFERROR(__xludf.DUMMYFUNCTION("""COMPUTED_VALUE"""),2.0)</f>
        <v>2</v>
      </c>
      <c r="Y965" s="10">
        <f>IFERROR(__xludf.DUMMYFUNCTION("""COMPUTED_VALUE"""),8.0)</f>
        <v>8</v>
      </c>
      <c r="Z965" s="10">
        <f>IFERROR(__xludf.DUMMYFUNCTION("""COMPUTED_VALUE"""),7.0)</f>
        <v>7</v>
      </c>
      <c r="AA965" s="10">
        <f>IFERROR(__xludf.DUMMYFUNCTION("""COMPUTED_VALUE"""),9.0)</f>
        <v>9</v>
      </c>
      <c r="AB965" s="10">
        <f>IFERROR(__xludf.DUMMYFUNCTION("""COMPUTED_VALUE"""),7.0)</f>
        <v>7</v>
      </c>
      <c r="AC965" s="10">
        <f>IFERROR(__xludf.DUMMYFUNCTION("""COMPUTED_VALUE"""),1.0)</f>
        <v>1</v>
      </c>
      <c r="AD965" s="10">
        <f>IFERROR(__xludf.DUMMYFUNCTION("""COMPUTED_VALUE"""),4.0)</f>
        <v>4</v>
      </c>
      <c r="AE965" s="10">
        <f>IFERROR(__xludf.DUMMYFUNCTION("""COMPUTED_VALUE"""),2.0)</f>
        <v>2</v>
      </c>
      <c r="AF965" s="10">
        <f>IFERROR(__xludf.DUMMYFUNCTION("""COMPUTED_VALUE"""),4.0)</f>
        <v>4</v>
      </c>
      <c r="AG965" s="10">
        <f>IFERROR(__xludf.DUMMYFUNCTION("""COMPUTED_VALUE"""),8.0)</f>
        <v>8</v>
      </c>
      <c r="AH965" s="10">
        <f>IFERROR(__xludf.DUMMYFUNCTION("""COMPUTED_VALUE"""),0.0)</f>
        <v>0</v>
      </c>
      <c r="AI965" s="10">
        <f>IFERROR(__xludf.DUMMYFUNCTION("""COMPUTED_VALUE"""),9.0)</f>
        <v>9</v>
      </c>
      <c r="AJ965" s="11" t="str">
        <f>IFERROR(__xludf.DUMMYFUNCTION("""COMPUTED_VALUE"""),"https://drive.google.com/open?id=1a5nnTP2Y6xXBHQfnZGcRxOLvs9tmoLUG")</f>
        <v>https://drive.google.com/open?id=1a5nnTP2Y6xXBHQfnZGcRxOLvs9tmoLUG</v>
      </c>
      <c r="AK965" s="12"/>
      <c r="AL965" s="12" t="str">
        <f>IFERROR(__xludf.DUMMYFUNCTION("""COMPUTED_VALUE"""),"Yes")</f>
        <v>Yes</v>
      </c>
      <c r="AM965" s="15">
        <f>IFERROR(__xludf.DUMMYFUNCTION("""COMPUTED_VALUE"""),1.0)</f>
        <v>1</v>
      </c>
      <c r="AN965" s="12" t="str">
        <f>IFERROR(__xludf.DUMMYFUNCTION("""COMPUTED_VALUE"""),"4th week")</f>
        <v>4th week</v>
      </c>
      <c r="AO965" s="13">
        <v>4.0</v>
      </c>
      <c r="AX965" s="17"/>
    </row>
    <row r="966">
      <c r="B966" s="9">
        <f>IFERROR(__xludf.DUMMYFUNCTION("""COMPUTED_VALUE"""),46035.78423392361)</f>
        <v>46035.78423</v>
      </c>
      <c r="C966" s="10" t="str">
        <f>IFERROR(__xludf.DUMMYFUNCTION("""COMPUTED_VALUE"""),"Maham")</f>
        <v>Maham</v>
      </c>
      <c r="D966" s="10" t="str">
        <f>IFERROR(__xludf.DUMMYFUNCTION("""COMPUTED_VALUE"""),"03218118680")</f>
        <v>03218118680</v>
      </c>
      <c r="E966" s="10" t="str">
        <f>IFERROR(__xludf.DUMMYFUNCTION("""COMPUTED_VALUE"""),"Jamia Masjid Gul Saraaj Rawalpindi")</f>
        <v>Jamia Masjid Gul Saraaj Rawalpindi</v>
      </c>
      <c r="F966" s="10" t="str">
        <f>IFERROR(__xludf.DUMMYFUNCTION("""COMPUTED_VALUE"""),"czbuv")</f>
        <v>czbuv</v>
      </c>
      <c r="G966" s="10" t="str">
        <f>IFERROR(__xludf.DUMMYFUNCTION("""COMPUTED_VALUE"""),"Yes")</f>
        <v>Yes</v>
      </c>
      <c r="H966" s="10">
        <f>IFERROR(__xludf.DUMMYFUNCTION("""COMPUTED_VALUE"""),0.0)</f>
        <v>0</v>
      </c>
      <c r="I966" s="10">
        <f>IFERROR(__xludf.DUMMYFUNCTION("""COMPUTED_VALUE"""),10.0)</f>
        <v>10</v>
      </c>
      <c r="J966" s="10">
        <f>IFERROR(__xludf.DUMMYFUNCTION("""COMPUTED_VALUE"""),0.0)</f>
        <v>0</v>
      </c>
      <c r="K966" s="10">
        <f>IFERROR(__xludf.DUMMYFUNCTION("""COMPUTED_VALUE"""),0.0)</f>
        <v>0</v>
      </c>
      <c r="L966" s="10">
        <f>IFERROR(__xludf.DUMMYFUNCTION("""COMPUTED_VALUE"""),0.0)</f>
        <v>0</v>
      </c>
      <c r="M966" s="10">
        <f>IFERROR(__xludf.DUMMYFUNCTION("""COMPUTED_VALUE"""),0.0)</f>
        <v>0</v>
      </c>
      <c r="N966" s="10">
        <f>IFERROR(__xludf.DUMMYFUNCTION("""COMPUTED_VALUE"""),0.0)</f>
        <v>0</v>
      </c>
      <c r="O966" s="10">
        <f>IFERROR(__xludf.DUMMYFUNCTION("""COMPUTED_VALUE"""),0.0)</f>
        <v>0</v>
      </c>
      <c r="P966" s="10">
        <f>IFERROR(__xludf.DUMMYFUNCTION("""COMPUTED_VALUE"""),0.0)</f>
        <v>0</v>
      </c>
      <c r="Q966" s="10" t="str">
        <f>IFERROR(__xludf.DUMMYFUNCTION("""COMPUTED_VALUE"""),"No")</f>
        <v>No</v>
      </c>
      <c r="R966" s="10" t="str">
        <f>IFERROR(__xludf.DUMMYFUNCTION("""COMPUTED_VALUE"""),"No")</f>
        <v>No</v>
      </c>
      <c r="S966" s="10" t="str">
        <f>IFERROR(__xludf.DUMMYFUNCTION("""COMPUTED_VALUE"""),"No")</f>
        <v>No</v>
      </c>
      <c r="T966" s="10">
        <f>IFERROR(__xludf.DUMMYFUNCTION("""COMPUTED_VALUE"""),0.0)</f>
        <v>0</v>
      </c>
      <c r="U966" s="10">
        <f>IFERROR(__xludf.DUMMYFUNCTION("""COMPUTED_VALUE"""),0.0)</f>
        <v>0</v>
      </c>
      <c r="V966" s="10" t="str">
        <f>IFERROR(__xludf.DUMMYFUNCTION("""COMPUTED_VALUE"""),"بدگمانی اور غیبت")</f>
        <v>بدگمانی اور غیبت</v>
      </c>
      <c r="W966" s="10" t="str">
        <f>IFERROR(__xludf.DUMMYFUNCTION("""COMPUTED_VALUE"""),"بدگمانی اور غیبت سے بچو")</f>
        <v>بدگمانی اور غیبت سے بچو</v>
      </c>
      <c r="X966" s="10">
        <f>IFERROR(__xludf.DUMMYFUNCTION("""COMPUTED_VALUE"""),7.0)</f>
        <v>7</v>
      </c>
      <c r="Y966" s="10">
        <f>IFERROR(__xludf.DUMMYFUNCTION("""COMPUTED_VALUE"""),9.0)</f>
        <v>9</v>
      </c>
      <c r="Z966" s="10">
        <f>IFERROR(__xludf.DUMMYFUNCTION("""COMPUTED_VALUE"""),8.0)</f>
        <v>8</v>
      </c>
      <c r="AA966" s="10">
        <f>IFERROR(__xludf.DUMMYFUNCTION("""COMPUTED_VALUE"""),7.0)</f>
        <v>7</v>
      </c>
      <c r="AB966" s="10">
        <f>IFERROR(__xludf.DUMMYFUNCTION("""COMPUTED_VALUE"""),5.0)</f>
        <v>5</v>
      </c>
      <c r="AC966" s="10">
        <f>IFERROR(__xludf.DUMMYFUNCTION("""COMPUTED_VALUE"""),0.0)</f>
        <v>0</v>
      </c>
      <c r="AD966" s="10">
        <f>IFERROR(__xludf.DUMMYFUNCTION("""COMPUTED_VALUE"""),0.0)</f>
        <v>0</v>
      </c>
      <c r="AE966" s="10">
        <f>IFERROR(__xludf.DUMMYFUNCTION("""COMPUTED_VALUE"""),1.0)</f>
        <v>1</v>
      </c>
      <c r="AF966" s="10">
        <f>IFERROR(__xludf.DUMMYFUNCTION("""COMPUTED_VALUE"""),9.0)</f>
        <v>9</v>
      </c>
      <c r="AG966" s="10">
        <f>IFERROR(__xludf.DUMMYFUNCTION("""COMPUTED_VALUE"""),7.0)</f>
        <v>7</v>
      </c>
      <c r="AH966" s="10">
        <f>IFERROR(__xludf.DUMMYFUNCTION("""COMPUTED_VALUE"""),0.0)</f>
        <v>0</v>
      </c>
      <c r="AI966" s="10">
        <f>IFERROR(__xludf.DUMMYFUNCTION("""COMPUTED_VALUE"""),8.0)</f>
        <v>8</v>
      </c>
      <c r="AJ966" s="11" t="str">
        <f>IFERROR(__xludf.DUMMYFUNCTION("""COMPUTED_VALUE"""),"https://drive.google.com/open?id=1CF_N93n76AsdMF46ddwwqlA-pYIsxwBL")</f>
        <v>https://drive.google.com/open?id=1CF_N93n76AsdMF46ddwwqlA-pYIsxwBL</v>
      </c>
      <c r="AK966" s="12"/>
      <c r="AL966" s="12" t="str">
        <f>IFERROR(__xludf.DUMMYFUNCTION("""COMPUTED_VALUE"""),"Yes")</f>
        <v>Yes</v>
      </c>
      <c r="AM966" s="15">
        <f>IFERROR(__xludf.DUMMYFUNCTION("""COMPUTED_VALUE"""),0.0)</f>
        <v>0</v>
      </c>
      <c r="AN966" s="12" t="str">
        <f>IFERROR(__xludf.DUMMYFUNCTION("""COMPUTED_VALUE"""),"4th week")</f>
        <v>4th week</v>
      </c>
      <c r="AO966" s="13">
        <v>4.0</v>
      </c>
      <c r="AX966" s="17"/>
    </row>
    <row r="967">
      <c r="B967" s="9">
        <f>IFERROR(__xludf.DUMMYFUNCTION("""COMPUTED_VALUE"""),46035.79617079861)</f>
        <v>46035.79617</v>
      </c>
      <c r="C967" s="10" t="str">
        <f>IFERROR(__xludf.DUMMYFUNCTION("""COMPUTED_VALUE"""),"maham")</f>
        <v>maham</v>
      </c>
      <c r="D967" s="10" t="str">
        <f>IFERROR(__xludf.DUMMYFUNCTION("""COMPUTED_VALUE"""),"03218118680")</f>
        <v>03218118680</v>
      </c>
      <c r="E967" s="10" t="str">
        <f>IFERROR(__xludf.DUMMYFUNCTION("""COMPUTED_VALUE"""),"Jamia Masjid Pholo Wali Rawalpindi")</f>
        <v>Jamia Masjid Pholo Wali Rawalpindi</v>
      </c>
      <c r="F967" s="10" t="str">
        <f>IFERROR(__xludf.DUMMYFUNCTION("""COMPUTED_VALUE"""),"fozkx")</f>
        <v>fozkx</v>
      </c>
      <c r="G967" s="10" t="str">
        <f>IFERROR(__xludf.DUMMYFUNCTION("""COMPUTED_VALUE"""),"Yes")</f>
        <v>Yes</v>
      </c>
      <c r="H967" s="10">
        <f>IFERROR(__xludf.DUMMYFUNCTION("""COMPUTED_VALUE"""),10.0)</f>
        <v>10</v>
      </c>
      <c r="I967" s="10">
        <f>IFERROR(__xludf.DUMMYFUNCTION("""COMPUTED_VALUE"""),0.0)</f>
        <v>0</v>
      </c>
      <c r="J967" s="10">
        <f>IFERROR(__xludf.DUMMYFUNCTION("""COMPUTED_VALUE"""),10.0)</f>
        <v>10</v>
      </c>
      <c r="K967" s="10">
        <f>IFERROR(__xludf.DUMMYFUNCTION("""COMPUTED_VALUE"""),10.0)</f>
        <v>10</v>
      </c>
      <c r="L967" s="10">
        <f>IFERROR(__xludf.DUMMYFUNCTION("""COMPUTED_VALUE"""),0.0)</f>
        <v>0</v>
      </c>
      <c r="M967" s="10">
        <f>IFERROR(__xludf.DUMMYFUNCTION("""COMPUTED_VALUE"""),10.0)</f>
        <v>10</v>
      </c>
      <c r="N967" s="10">
        <f>IFERROR(__xludf.DUMMYFUNCTION("""COMPUTED_VALUE"""),0.0)</f>
        <v>0</v>
      </c>
      <c r="O967" s="10">
        <f>IFERROR(__xludf.DUMMYFUNCTION("""COMPUTED_VALUE"""),10.0)</f>
        <v>10</v>
      </c>
      <c r="P967" s="10">
        <f>IFERROR(__xludf.DUMMYFUNCTION("""COMPUTED_VALUE"""),0.0)</f>
        <v>0</v>
      </c>
      <c r="Q967" s="10" t="str">
        <f>IFERROR(__xludf.DUMMYFUNCTION("""COMPUTED_VALUE"""),"Yes")</f>
        <v>Yes</v>
      </c>
      <c r="R967" s="10" t="str">
        <f>IFERROR(__xludf.DUMMYFUNCTION("""COMPUTED_VALUE"""),"No")</f>
        <v>No</v>
      </c>
      <c r="S967" s="10" t="str">
        <f>IFERROR(__xludf.DUMMYFUNCTION("""COMPUTED_VALUE"""),"Yes")</f>
        <v>Yes</v>
      </c>
      <c r="T967" s="10">
        <f>IFERROR(__xludf.DUMMYFUNCTION("""COMPUTED_VALUE"""),0.0)</f>
        <v>0</v>
      </c>
      <c r="U967" s="10">
        <f>IFERROR(__xludf.DUMMYFUNCTION("""COMPUTED_VALUE"""),0.0)</f>
        <v>0</v>
      </c>
      <c r="V967" s="10" t="str">
        <f>IFERROR(__xludf.DUMMYFUNCTION("""COMPUTED_VALUE"""),"عورتوں کے حقوق")</f>
        <v>عورتوں کے حقوق</v>
      </c>
      <c r="W967" s="10" t="str">
        <f>IFERROR(__xludf.DUMMYFUNCTION("""COMPUTED_VALUE"""),"عورتوں کے حقوق")</f>
        <v>عورتوں کے حقوق</v>
      </c>
      <c r="X967" s="10">
        <f>IFERROR(__xludf.DUMMYFUNCTION("""COMPUTED_VALUE"""),1.0)</f>
        <v>1</v>
      </c>
      <c r="Y967" s="10">
        <f>IFERROR(__xludf.DUMMYFUNCTION("""COMPUTED_VALUE"""),9.0)</f>
        <v>9</v>
      </c>
      <c r="Z967" s="10">
        <f>IFERROR(__xludf.DUMMYFUNCTION("""COMPUTED_VALUE"""),7.0)</f>
        <v>7</v>
      </c>
      <c r="AA967" s="10">
        <f>IFERROR(__xludf.DUMMYFUNCTION("""COMPUTED_VALUE"""),9.0)</f>
        <v>9</v>
      </c>
      <c r="AB967" s="10">
        <f>IFERROR(__xludf.DUMMYFUNCTION("""COMPUTED_VALUE"""),8.0)</f>
        <v>8</v>
      </c>
      <c r="AC967" s="10">
        <f>IFERROR(__xludf.DUMMYFUNCTION("""COMPUTED_VALUE"""),3.0)</f>
        <v>3</v>
      </c>
      <c r="AD967" s="10">
        <f>IFERROR(__xludf.DUMMYFUNCTION("""COMPUTED_VALUE"""),5.0)</f>
        <v>5</v>
      </c>
      <c r="AE967" s="10">
        <f>IFERROR(__xludf.DUMMYFUNCTION("""COMPUTED_VALUE"""),1.0)</f>
        <v>1</v>
      </c>
      <c r="AF967" s="10">
        <f>IFERROR(__xludf.DUMMYFUNCTION("""COMPUTED_VALUE"""),4.0)</f>
        <v>4</v>
      </c>
      <c r="AG967" s="10">
        <f>IFERROR(__xludf.DUMMYFUNCTION("""COMPUTED_VALUE"""),8.0)</f>
        <v>8</v>
      </c>
      <c r="AH967" s="10">
        <f>IFERROR(__xludf.DUMMYFUNCTION("""COMPUTED_VALUE"""),0.0)</f>
        <v>0</v>
      </c>
      <c r="AI967" s="10">
        <f>IFERROR(__xludf.DUMMYFUNCTION("""COMPUTED_VALUE"""),9.0)</f>
        <v>9</v>
      </c>
      <c r="AJ967" s="11" t="str">
        <f>IFERROR(__xludf.DUMMYFUNCTION("""COMPUTED_VALUE"""),"https://drive.google.com/open?id=1HQ-97wgduLPuFSFySDuLXkbXfA0iWgQ9")</f>
        <v>https://drive.google.com/open?id=1HQ-97wgduLPuFSFySDuLXkbXfA0iWgQ9</v>
      </c>
      <c r="AK967" s="12"/>
      <c r="AL967" s="12" t="str">
        <f>IFERROR(__xludf.DUMMYFUNCTION("""COMPUTED_VALUE"""),"Yes")</f>
        <v>Yes</v>
      </c>
      <c r="AM967" s="15">
        <f>IFERROR(__xludf.DUMMYFUNCTION("""COMPUTED_VALUE"""),1.0)</f>
        <v>1</v>
      </c>
      <c r="AN967" s="12" t="str">
        <f>IFERROR(__xludf.DUMMYFUNCTION("""COMPUTED_VALUE"""),"4th week")</f>
        <v>4th week</v>
      </c>
      <c r="AO967" s="13">
        <v>4.0</v>
      </c>
      <c r="AX967" s="17"/>
    </row>
    <row r="968">
      <c r="B968" s="9">
        <f>IFERROR(__xludf.DUMMYFUNCTION("""COMPUTED_VALUE"""),46044.682059108796)</f>
        <v>46044.68206</v>
      </c>
      <c r="C968" s="10" t="str">
        <f>IFERROR(__xludf.DUMMYFUNCTION("""COMPUTED_VALUE"""),"maham")</f>
        <v>maham</v>
      </c>
      <c r="D968" s="10" t="str">
        <f>IFERROR(__xludf.DUMMYFUNCTION("""COMPUTED_VALUE"""),"03218118680")</f>
        <v>03218118680</v>
      </c>
      <c r="E968" s="10" t="str">
        <f>IFERROR(__xludf.DUMMYFUNCTION("""COMPUTED_VALUE"""),"Jamia Masjid Darbar Baba Jahaar Chaklala Rawalpindi")</f>
        <v>Jamia Masjid Darbar Baba Jahaar Chaklala Rawalpindi</v>
      </c>
      <c r="F968" s="10" t="str">
        <f>IFERROR(__xludf.DUMMYFUNCTION("""COMPUTED_VALUE"""),"glrtm")</f>
        <v>glrtm</v>
      </c>
      <c r="G968" s="10" t="str">
        <f>IFERROR(__xludf.DUMMYFUNCTION("""COMPUTED_VALUE"""),"Yes")</f>
        <v>Yes</v>
      </c>
      <c r="H968" s="10">
        <f>IFERROR(__xludf.DUMMYFUNCTION("""COMPUTED_VALUE"""),0.0)</f>
        <v>0</v>
      </c>
      <c r="I968" s="10">
        <f>IFERROR(__xludf.DUMMYFUNCTION("""COMPUTED_VALUE"""),10.0)</f>
        <v>10</v>
      </c>
      <c r="J968" s="10">
        <f>IFERROR(__xludf.DUMMYFUNCTION("""COMPUTED_VALUE"""),0.0)</f>
        <v>0</v>
      </c>
      <c r="K968" s="10">
        <f>IFERROR(__xludf.DUMMYFUNCTION("""COMPUTED_VALUE"""),0.0)</f>
        <v>0</v>
      </c>
      <c r="L968" s="10">
        <f>IFERROR(__xludf.DUMMYFUNCTION("""COMPUTED_VALUE"""),0.0)</f>
        <v>0</v>
      </c>
      <c r="M968" s="10">
        <f>IFERROR(__xludf.DUMMYFUNCTION("""COMPUTED_VALUE"""),0.0)</f>
        <v>0</v>
      </c>
      <c r="N968" s="10">
        <f>IFERROR(__xludf.DUMMYFUNCTION("""COMPUTED_VALUE"""),0.0)</f>
        <v>0</v>
      </c>
      <c r="O968" s="10">
        <f>IFERROR(__xludf.DUMMYFUNCTION("""COMPUTED_VALUE"""),0.0)</f>
        <v>0</v>
      </c>
      <c r="P968" s="10">
        <f>IFERROR(__xludf.DUMMYFUNCTION("""COMPUTED_VALUE"""),0.0)</f>
        <v>0</v>
      </c>
      <c r="Q968" s="10" t="str">
        <f>IFERROR(__xludf.DUMMYFUNCTION("""COMPUTED_VALUE"""),"No")</f>
        <v>No</v>
      </c>
      <c r="R968" s="10" t="str">
        <f>IFERROR(__xludf.DUMMYFUNCTION("""COMPUTED_VALUE"""),"No")</f>
        <v>No</v>
      </c>
      <c r="S968" s="10" t="str">
        <f>IFERROR(__xludf.DUMMYFUNCTION("""COMPUTED_VALUE"""),"No")</f>
        <v>No</v>
      </c>
      <c r="T968" s="10">
        <f>IFERROR(__xludf.DUMMYFUNCTION("""COMPUTED_VALUE"""),0.0)</f>
        <v>0</v>
      </c>
      <c r="U968" s="10">
        <f>IFERROR(__xludf.DUMMYFUNCTION("""COMPUTED_VALUE"""),0.0)</f>
        <v>0</v>
      </c>
      <c r="V968" s="10" t="str">
        <f>IFERROR(__xludf.DUMMYFUNCTION("""COMPUTED_VALUE"""),"معراج النبی صلی اللہ علیہ وسلم")</f>
        <v>معراج النبی صلی اللہ علیہ وسلم</v>
      </c>
      <c r="W968" s="10" t="str">
        <f>IFERROR(__xludf.DUMMYFUNCTION("""COMPUTED_VALUE"""),"معراج النبی صلی اللہ علیہ وسلم کا واقعہ بیان کیا")</f>
        <v>معراج النبی صلی اللہ علیہ وسلم کا واقعہ بیان کیا</v>
      </c>
      <c r="X968" s="10">
        <f>IFERROR(__xludf.DUMMYFUNCTION("""COMPUTED_VALUE"""),8.0)</f>
        <v>8</v>
      </c>
      <c r="Y968" s="10">
        <f>IFERROR(__xludf.DUMMYFUNCTION("""COMPUTED_VALUE"""),6.0)</f>
        <v>6</v>
      </c>
      <c r="Z968" s="10">
        <f>IFERROR(__xludf.DUMMYFUNCTION("""COMPUTED_VALUE"""),3.0)</f>
        <v>3</v>
      </c>
      <c r="AA968" s="10">
        <f>IFERROR(__xludf.DUMMYFUNCTION("""COMPUTED_VALUE"""),10.0)</f>
        <v>10</v>
      </c>
      <c r="AB968" s="10">
        <f>IFERROR(__xludf.DUMMYFUNCTION("""COMPUTED_VALUE"""),7.0)</f>
        <v>7</v>
      </c>
      <c r="AC968" s="10">
        <f>IFERROR(__xludf.DUMMYFUNCTION("""COMPUTED_VALUE"""),0.0)</f>
        <v>0</v>
      </c>
      <c r="AD968" s="10">
        <f>IFERROR(__xludf.DUMMYFUNCTION("""COMPUTED_VALUE"""),1.0)</f>
        <v>1</v>
      </c>
      <c r="AE968" s="10">
        <f>IFERROR(__xludf.DUMMYFUNCTION("""COMPUTED_VALUE"""),0.0)</f>
        <v>0</v>
      </c>
      <c r="AF968" s="10">
        <f>IFERROR(__xludf.DUMMYFUNCTION("""COMPUTED_VALUE"""),8.0)</f>
        <v>8</v>
      </c>
      <c r="AG968" s="10">
        <f>IFERROR(__xludf.DUMMYFUNCTION("""COMPUTED_VALUE"""),8.0)</f>
        <v>8</v>
      </c>
      <c r="AH968" s="10">
        <f>IFERROR(__xludf.DUMMYFUNCTION("""COMPUTED_VALUE"""),0.0)</f>
        <v>0</v>
      </c>
      <c r="AI968" s="10">
        <f>IFERROR(__xludf.DUMMYFUNCTION("""COMPUTED_VALUE"""),9.0)</f>
        <v>9</v>
      </c>
      <c r="AJ968" s="11" t="str">
        <f>IFERROR(__xludf.DUMMYFUNCTION("""COMPUTED_VALUE"""),"https://drive.google.com/open?id=1Zeu2cBiWsAxmlVyyLM9gpq80iTS8lep-")</f>
        <v>https://drive.google.com/open?id=1Zeu2cBiWsAxmlVyyLM9gpq80iTS8lep-</v>
      </c>
      <c r="AK968" s="12"/>
      <c r="AL968" s="12" t="str">
        <f>IFERROR(__xludf.DUMMYFUNCTION("""COMPUTED_VALUE"""),"Yes")</f>
        <v>Yes</v>
      </c>
      <c r="AM968" s="15">
        <f>IFERROR(__xludf.DUMMYFUNCTION("""COMPUTED_VALUE"""),0.0)</f>
        <v>0</v>
      </c>
      <c r="AN968" s="12" t="str">
        <f>IFERROR(__xludf.DUMMYFUNCTION("""COMPUTED_VALUE"""),"5th week")</f>
        <v>5th week</v>
      </c>
      <c r="AO968" s="13">
        <v>5.0</v>
      </c>
      <c r="AX968" s="17"/>
    </row>
    <row r="969">
      <c r="B969" s="9">
        <f>IFERROR(__xludf.DUMMYFUNCTION("""COMPUTED_VALUE"""),46045.624919560185)</f>
        <v>46045.62492</v>
      </c>
      <c r="C969" s="10" t="str">
        <f>IFERROR(__xludf.DUMMYFUNCTION("""COMPUTED_VALUE"""),"maham")</f>
        <v>maham</v>
      </c>
      <c r="D969" s="10" t="str">
        <f>IFERROR(__xludf.DUMMYFUNCTION("""COMPUTED_VALUE"""),"03218118680")</f>
        <v>03218118680</v>
      </c>
      <c r="E969" s="10" t="str">
        <f>IFERROR(__xludf.DUMMYFUNCTION("""COMPUTED_VALUE"""),"Jamia Masjid Sabzi Mandi Rawalpindi")</f>
        <v>Jamia Masjid Sabzi Mandi Rawalpindi</v>
      </c>
      <c r="F969" s="10" t="str">
        <f>IFERROR(__xludf.DUMMYFUNCTION("""COMPUTED_VALUE"""),"cvcqu")</f>
        <v>cvcqu</v>
      </c>
      <c r="G969" s="10" t="str">
        <f>IFERROR(__xludf.DUMMYFUNCTION("""COMPUTED_VALUE"""),"Yes")</f>
        <v>Yes</v>
      </c>
      <c r="H969" s="10">
        <f>IFERROR(__xludf.DUMMYFUNCTION("""COMPUTED_VALUE"""),9.0)</f>
        <v>9</v>
      </c>
      <c r="I969" s="10">
        <f>IFERROR(__xludf.DUMMYFUNCTION("""COMPUTED_VALUE"""),1.0)</f>
        <v>1</v>
      </c>
      <c r="J969" s="10">
        <f>IFERROR(__xludf.DUMMYFUNCTION("""COMPUTED_VALUE"""),10.0)</f>
        <v>10</v>
      </c>
      <c r="K969" s="10">
        <f>IFERROR(__xludf.DUMMYFUNCTION("""COMPUTED_VALUE"""),0.0)</f>
        <v>0</v>
      </c>
      <c r="L969" s="10">
        <f>IFERROR(__xludf.DUMMYFUNCTION("""COMPUTED_VALUE"""),10.0)</f>
        <v>10</v>
      </c>
      <c r="M969" s="10">
        <f>IFERROR(__xludf.DUMMYFUNCTION("""COMPUTED_VALUE"""),0.0)</f>
        <v>0</v>
      </c>
      <c r="N969" s="10">
        <f>IFERROR(__xludf.DUMMYFUNCTION("""COMPUTED_VALUE"""),10.0)</f>
        <v>10</v>
      </c>
      <c r="O969" s="10">
        <f>IFERROR(__xludf.DUMMYFUNCTION("""COMPUTED_VALUE"""),0.0)</f>
        <v>0</v>
      </c>
      <c r="P969" s="10">
        <f>IFERROR(__xludf.DUMMYFUNCTION("""COMPUTED_VALUE"""),7.0)</f>
        <v>7</v>
      </c>
      <c r="Q969" s="10" t="str">
        <f>IFERROR(__xludf.DUMMYFUNCTION("""COMPUTED_VALUE"""),"No")</f>
        <v>No</v>
      </c>
      <c r="R969" s="10" t="str">
        <f>IFERROR(__xludf.DUMMYFUNCTION("""COMPUTED_VALUE"""),"No")</f>
        <v>No</v>
      </c>
      <c r="S969" s="10" t="str">
        <f>IFERROR(__xludf.DUMMYFUNCTION("""COMPUTED_VALUE"""),"Yes")</f>
        <v>Yes</v>
      </c>
      <c r="T969" s="10">
        <f>IFERROR(__xludf.DUMMYFUNCTION("""COMPUTED_VALUE"""),0.0)</f>
        <v>0</v>
      </c>
      <c r="U969" s="10">
        <f>IFERROR(__xludf.DUMMYFUNCTION("""COMPUTED_VALUE"""),0.0)</f>
        <v>0</v>
      </c>
      <c r="V969" s="10" t="str">
        <f>IFERROR(__xludf.DUMMYFUNCTION("""COMPUTED_VALUE"""),"پڑوسیوں کے حقوق")</f>
        <v>پڑوسیوں کے حقوق</v>
      </c>
      <c r="W969" s="10" t="str">
        <f>IFERROR(__xludf.DUMMYFUNCTION("""COMPUTED_VALUE"""),"پڑوسیوں کے حقوق بیان کیا ہے")</f>
        <v>پڑوسیوں کے حقوق بیان کیا ہے</v>
      </c>
      <c r="X969" s="10">
        <f>IFERROR(__xludf.DUMMYFUNCTION("""COMPUTED_VALUE"""),2.0)</f>
        <v>2</v>
      </c>
      <c r="Y969" s="10">
        <f>IFERROR(__xludf.DUMMYFUNCTION("""COMPUTED_VALUE"""),9.0)</f>
        <v>9</v>
      </c>
      <c r="Z969" s="10">
        <f>IFERROR(__xludf.DUMMYFUNCTION("""COMPUTED_VALUE"""),5.0)</f>
        <v>5</v>
      </c>
      <c r="AA969" s="10">
        <f>IFERROR(__xludf.DUMMYFUNCTION("""COMPUTED_VALUE"""),7.0)</f>
        <v>7</v>
      </c>
      <c r="AB969" s="10">
        <f>IFERROR(__xludf.DUMMYFUNCTION("""COMPUTED_VALUE"""),5.0)</f>
        <v>5</v>
      </c>
      <c r="AC969" s="10">
        <f>IFERROR(__xludf.DUMMYFUNCTION("""COMPUTED_VALUE"""),0.0)</f>
        <v>0</v>
      </c>
      <c r="AD969" s="10">
        <f>IFERROR(__xludf.DUMMYFUNCTION("""COMPUTED_VALUE"""),2.0)</f>
        <v>2</v>
      </c>
      <c r="AE969" s="10">
        <f>IFERROR(__xludf.DUMMYFUNCTION("""COMPUTED_VALUE"""),0.0)</f>
        <v>0</v>
      </c>
      <c r="AF969" s="10">
        <f>IFERROR(__xludf.DUMMYFUNCTION("""COMPUTED_VALUE"""),6.0)</f>
        <v>6</v>
      </c>
      <c r="AG969" s="10">
        <f>IFERROR(__xludf.DUMMYFUNCTION("""COMPUTED_VALUE"""),8.0)</f>
        <v>8</v>
      </c>
      <c r="AH969" s="10">
        <f>IFERROR(__xludf.DUMMYFUNCTION("""COMPUTED_VALUE"""),0.0)</f>
        <v>0</v>
      </c>
      <c r="AI969" s="10">
        <f>IFERROR(__xludf.DUMMYFUNCTION("""COMPUTED_VALUE"""),9.0)</f>
        <v>9</v>
      </c>
      <c r="AJ969" s="11" t="str">
        <f>IFERROR(__xludf.DUMMYFUNCTION("""COMPUTED_VALUE"""),"https://drive.google.com/open?id=1Vyen5zGqtQwcJ4-W1oVVtM-65N_jUrOm")</f>
        <v>https://drive.google.com/open?id=1Vyen5zGqtQwcJ4-W1oVVtM-65N_jUrOm</v>
      </c>
      <c r="AK969" s="12"/>
      <c r="AL969" s="12" t="str">
        <f>IFERROR(__xludf.DUMMYFUNCTION("""COMPUTED_VALUE"""),"Yes")</f>
        <v>Yes</v>
      </c>
      <c r="AM969" s="15">
        <f>IFERROR(__xludf.DUMMYFUNCTION("""COMPUTED_VALUE"""),0.9)</f>
        <v>0.9</v>
      </c>
      <c r="AN969" s="12" t="str">
        <f>IFERROR(__xludf.DUMMYFUNCTION("""COMPUTED_VALUE"""),"5th week")</f>
        <v>5th week</v>
      </c>
      <c r="AO969" s="13">
        <v>5.0</v>
      </c>
      <c r="AX969" s="17"/>
    </row>
    <row r="970">
      <c r="B970" s="9">
        <f>IFERROR(__xludf.DUMMYFUNCTION("""COMPUTED_VALUE"""),46046.42908357639)</f>
        <v>46046.42908</v>
      </c>
      <c r="C970" s="10" t="str">
        <f>IFERROR(__xludf.DUMMYFUNCTION("""COMPUTED_VALUE"""),"Atiqa")</f>
        <v>Atiqa</v>
      </c>
      <c r="D970" s="10" t="str">
        <f>IFERROR(__xludf.DUMMYFUNCTION("""COMPUTED_VALUE"""),"03157519977")</f>
        <v>03157519977</v>
      </c>
      <c r="E970" s="10" t="str">
        <f>IFERROR(__xludf.DUMMYFUNCTION("""COMPUTED_VALUE"""),"Jamia Masjid Murre Barori Rawalpindi")</f>
        <v>Jamia Masjid Murre Barori Rawalpindi</v>
      </c>
      <c r="F970" s="10" t="str">
        <f>IFERROR(__xludf.DUMMYFUNCTION("""COMPUTED_VALUE"""),"cxyup")</f>
        <v>cxyup</v>
      </c>
      <c r="G970" s="10" t="str">
        <f>IFERROR(__xludf.DUMMYFUNCTION("""COMPUTED_VALUE"""),"Yes")</f>
        <v>Yes</v>
      </c>
      <c r="H970" s="10">
        <f>IFERROR(__xludf.DUMMYFUNCTION("""COMPUTED_VALUE"""),0.0)</f>
        <v>0</v>
      </c>
      <c r="I970" s="10">
        <f>IFERROR(__xludf.DUMMYFUNCTION("""COMPUTED_VALUE"""),10.0)</f>
        <v>10</v>
      </c>
      <c r="J970" s="10">
        <f>IFERROR(__xludf.DUMMYFUNCTION("""COMPUTED_VALUE"""),0.0)</f>
        <v>0</v>
      </c>
      <c r="K970" s="10">
        <f>IFERROR(__xludf.DUMMYFUNCTION("""COMPUTED_VALUE"""),0.0)</f>
        <v>0</v>
      </c>
      <c r="L970" s="10">
        <f>IFERROR(__xludf.DUMMYFUNCTION("""COMPUTED_VALUE"""),0.0)</f>
        <v>0</v>
      </c>
      <c r="M970" s="10">
        <f>IFERROR(__xludf.DUMMYFUNCTION("""COMPUTED_VALUE"""),0.0)</f>
        <v>0</v>
      </c>
      <c r="N970" s="10">
        <f>IFERROR(__xludf.DUMMYFUNCTION("""COMPUTED_VALUE"""),0.0)</f>
        <v>0</v>
      </c>
      <c r="O970" s="10">
        <f>IFERROR(__xludf.DUMMYFUNCTION("""COMPUTED_VALUE"""),0.0)</f>
        <v>0</v>
      </c>
      <c r="P970" s="10">
        <f>IFERROR(__xludf.DUMMYFUNCTION("""COMPUTED_VALUE"""),0.0)</f>
        <v>0</v>
      </c>
      <c r="Q970" s="10" t="str">
        <f>IFERROR(__xludf.DUMMYFUNCTION("""COMPUTED_VALUE"""),"No")</f>
        <v>No</v>
      </c>
      <c r="R970" s="10" t="str">
        <f>IFERROR(__xludf.DUMMYFUNCTION("""COMPUTED_VALUE"""),"No")</f>
        <v>No</v>
      </c>
      <c r="S970" s="10" t="str">
        <f>IFERROR(__xludf.DUMMYFUNCTION("""COMPUTED_VALUE"""),"No")</f>
        <v>No</v>
      </c>
      <c r="T970" s="10">
        <f>IFERROR(__xludf.DUMMYFUNCTION("""COMPUTED_VALUE"""),0.0)</f>
        <v>0</v>
      </c>
      <c r="U970" s="10">
        <f>IFERROR(__xludf.DUMMYFUNCTION("""COMPUTED_VALUE"""),0.0)</f>
        <v>0</v>
      </c>
      <c r="V970" s="10" t="str">
        <f>IFERROR(__xludf.DUMMYFUNCTION("""COMPUTED_VALUE"""),"معراج کا سفر ")</f>
        <v>معراج کا سفر </v>
      </c>
      <c r="W970" s="10" t="str">
        <f>IFERROR(__xludf.DUMMYFUNCTION("""COMPUTED_VALUE"""),"امام نے بیان کیا کہ کس طرح اللہ رب العزت نے اپنے محبوب سے ملاقات کا اہتمام کیا، جبرائیل علیہ السلام کا انا اور نیند سے بیدار کر کے براق سواری کے ذریعے مسجد احرام سے مسجد اقصی تک جانا اور وہاں پر انبیاء کرام کا اپ کے دیدار کے لیے انتظار کرنا بیان کیا۔")</f>
        <v>امام نے بیان کیا کہ کس طرح اللہ رب العزت نے اپنے محبوب سے ملاقات کا اہتمام کیا، جبرائیل علیہ السلام کا انا اور نیند سے بیدار کر کے براق سواری کے ذریعے مسجد احرام سے مسجد اقصی تک جانا اور وہاں پر انبیاء کرام کا اپ کے دیدار کے لیے انتظار کرنا بیان کیا۔</v>
      </c>
      <c r="X970" s="10">
        <f>IFERROR(__xludf.DUMMYFUNCTION("""COMPUTED_VALUE"""),8.0)</f>
        <v>8</v>
      </c>
      <c r="Y970" s="10">
        <f>IFERROR(__xludf.DUMMYFUNCTION("""COMPUTED_VALUE"""),2.0)</f>
        <v>2</v>
      </c>
      <c r="Z970" s="10">
        <f>IFERROR(__xludf.DUMMYFUNCTION("""COMPUTED_VALUE"""),1.0)</f>
        <v>1</v>
      </c>
      <c r="AA970" s="10">
        <f>IFERROR(__xludf.DUMMYFUNCTION("""COMPUTED_VALUE"""),9.0)</f>
        <v>9</v>
      </c>
      <c r="AB970" s="10">
        <f>IFERROR(__xludf.DUMMYFUNCTION("""COMPUTED_VALUE"""),8.0)</f>
        <v>8</v>
      </c>
      <c r="AC970" s="10">
        <f>IFERROR(__xludf.DUMMYFUNCTION("""COMPUTED_VALUE"""),0.0)</f>
        <v>0</v>
      </c>
      <c r="AD970" s="10">
        <f>IFERROR(__xludf.DUMMYFUNCTION("""COMPUTED_VALUE"""),0.0)</f>
        <v>0</v>
      </c>
      <c r="AE970" s="10">
        <f>IFERROR(__xludf.DUMMYFUNCTION("""COMPUTED_VALUE"""),0.0)</f>
        <v>0</v>
      </c>
      <c r="AF970" s="10">
        <f>IFERROR(__xludf.DUMMYFUNCTION("""COMPUTED_VALUE"""),0.0)</f>
        <v>0</v>
      </c>
      <c r="AG970" s="10">
        <f>IFERROR(__xludf.DUMMYFUNCTION("""COMPUTED_VALUE"""),7.0)</f>
        <v>7</v>
      </c>
      <c r="AH970" s="10">
        <f>IFERROR(__xludf.DUMMYFUNCTION("""COMPUTED_VALUE"""),0.0)</f>
        <v>0</v>
      </c>
      <c r="AI970" s="10">
        <f>IFERROR(__xludf.DUMMYFUNCTION("""COMPUTED_VALUE"""),7.0)</f>
        <v>7</v>
      </c>
      <c r="AJ970" s="11" t="str">
        <f>IFERROR(__xludf.DUMMYFUNCTION("""COMPUTED_VALUE"""),"https://drive.google.com/open?id=17FPT7xcgawdFpCkujtABOH8XKv6gwyhv2O1laIzKGGs")</f>
        <v>https://drive.google.com/open?id=17FPT7xcgawdFpCkujtABOH8XKv6gwyhv2O1laIzKGGs</v>
      </c>
      <c r="AK970" s="12"/>
      <c r="AL970" s="12" t="str">
        <f>IFERROR(__xludf.DUMMYFUNCTION("""COMPUTED_VALUE"""),"Yes")</f>
        <v>Yes</v>
      </c>
      <c r="AM970" s="15">
        <f>IFERROR(__xludf.DUMMYFUNCTION("""COMPUTED_VALUE"""),0.0)</f>
        <v>0</v>
      </c>
      <c r="AN970" s="12" t="str">
        <f>IFERROR(__xludf.DUMMYFUNCTION("""COMPUTED_VALUE"""),"5th week")</f>
        <v>5th week</v>
      </c>
      <c r="AO970" s="13">
        <v>5.0</v>
      </c>
      <c r="AX970" s="17"/>
    </row>
    <row r="971">
      <c r="B971" s="9">
        <f>IFERROR(__xludf.DUMMYFUNCTION("""COMPUTED_VALUE"""),46046.54005788194)</f>
        <v>46046.54006</v>
      </c>
      <c r="C971" s="10" t="str">
        <f>IFERROR(__xludf.DUMMYFUNCTION("""COMPUTED_VALUE"""),"Atiqa")</f>
        <v>Atiqa</v>
      </c>
      <c r="D971" s="10" t="str">
        <f>IFERROR(__xludf.DUMMYFUNCTION("""COMPUTED_VALUE"""),"03157519977")</f>
        <v>03157519977</v>
      </c>
      <c r="E971" s="10" t="str">
        <f>IFERROR(__xludf.DUMMYFUNCTION("""COMPUTED_VALUE"""),"Jamia Masjid King Mandi Rawalpindi")</f>
        <v>Jamia Masjid King Mandi Rawalpindi</v>
      </c>
      <c r="F971" s="10" t="str">
        <f>IFERROR(__xludf.DUMMYFUNCTION("""COMPUTED_VALUE"""),"thjdr ")</f>
        <v>thjdr </v>
      </c>
      <c r="G971" s="10" t="str">
        <f>IFERROR(__xludf.DUMMYFUNCTION("""COMPUTED_VALUE"""),"Yes")</f>
        <v>Yes</v>
      </c>
      <c r="H971" s="10">
        <f>IFERROR(__xludf.DUMMYFUNCTION("""COMPUTED_VALUE"""),0.0)</f>
        <v>0</v>
      </c>
      <c r="I971" s="10">
        <f>IFERROR(__xludf.DUMMYFUNCTION("""COMPUTED_VALUE"""),10.0)</f>
        <v>10</v>
      </c>
      <c r="J971" s="10">
        <f>IFERROR(__xludf.DUMMYFUNCTION("""COMPUTED_VALUE"""),0.0)</f>
        <v>0</v>
      </c>
      <c r="K971" s="10">
        <f>IFERROR(__xludf.DUMMYFUNCTION("""COMPUTED_VALUE"""),0.0)</f>
        <v>0</v>
      </c>
      <c r="L971" s="10">
        <f>IFERROR(__xludf.DUMMYFUNCTION("""COMPUTED_VALUE"""),0.0)</f>
        <v>0</v>
      </c>
      <c r="M971" s="10">
        <f>IFERROR(__xludf.DUMMYFUNCTION("""COMPUTED_VALUE"""),0.0)</f>
        <v>0</v>
      </c>
      <c r="N971" s="10">
        <f>IFERROR(__xludf.DUMMYFUNCTION("""COMPUTED_VALUE"""),0.0)</f>
        <v>0</v>
      </c>
      <c r="O971" s="10">
        <f>IFERROR(__xludf.DUMMYFUNCTION("""COMPUTED_VALUE"""),0.0)</f>
        <v>0</v>
      </c>
      <c r="P971" s="10">
        <f>IFERROR(__xludf.DUMMYFUNCTION("""COMPUTED_VALUE"""),0.0)</f>
        <v>0</v>
      </c>
      <c r="Q971" s="10" t="str">
        <f>IFERROR(__xludf.DUMMYFUNCTION("""COMPUTED_VALUE"""),"No")</f>
        <v>No</v>
      </c>
      <c r="R971" s="10" t="str">
        <f>IFERROR(__xludf.DUMMYFUNCTION("""COMPUTED_VALUE"""),"No")</f>
        <v>No</v>
      </c>
      <c r="S971" s="10" t="str">
        <f>IFERROR(__xludf.DUMMYFUNCTION("""COMPUTED_VALUE"""),"No")</f>
        <v>No</v>
      </c>
      <c r="T971" s="10">
        <f>IFERROR(__xludf.DUMMYFUNCTION("""COMPUTED_VALUE"""),0.0)</f>
        <v>0</v>
      </c>
      <c r="U971" s="10">
        <f>IFERROR(__xludf.DUMMYFUNCTION("""COMPUTED_VALUE"""),0.0)</f>
        <v>0</v>
      </c>
      <c r="V971" s="10" t="str">
        <f>IFERROR(__xludf.DUMMYFUNCTION("""COMPUTED_VALUE"""),"۱۔ معراج کے تحائف ۲۔  نماز اور ذکر کی برکات ")</f>
        <v>۱۔ معراج کے تحائف ۲۔  نماز اور ذکر کی برکات </v>
      </c>
      <c r="W971" s="10" t="str">
        <f>IFERROR(__xludf.DUMMYFUNCTION("""COMPUTED_VALUE"""),"امام نے معراج کی رات نبی کریم صلی اللہ علیہ وسلم کو عطا کیے تھے تحائف بیان کیے کہ اللہ رب العزت نے نبی پاک صلی اللہ علیہ وسلم سے بغیر کسی واسطے سے سامنے بٹھا کر ملاقات کی سورۃ بقرہ کی دو ایات اور نماز کا تحفہ ملنا بیان کیا، اور اس کے ساتھ نماز کی پابندی ک"&amp;"رنے اور اگر رب سے ملاقات چاہتے ہیں تو تہجد ادا کرنے کا کہا اور ہر وقت زبان کو ذکر الہی سے تر رکھنے کا بیان کیا گیا اور اس کی برکات بیان کی۔")</f>
        <v>امام نے معراج کی رات نبی کریم صلی اللہ علیہ وسلم کو عطا کیے تھے تحائف بیان کیے کہ اللہ رب العزت نے نبی پاک صلی اللہ علیہ وسلم سے بغیر کسی واسطے سے سامنے بٹھا کر ملاقات کی سورۃ بقرہ کی دو ایات اور نماز کا تحفہ ملنا بیان کیا، اور اس کے ساتھ نماز کی پابندی کرنے اور اگر رب سے ملاقات چاہتے ہیں تو تہجد ادا کرنے کا کہا اور ہر وقت زبان کو ذکر الہی سے تر رکھنے کا بیان کیا گیا اور اس کی برکات بیان کی۔</v>
      </c>
      <c r="X971" s="10">
        <f>IFERROR(__xludf.DUMMYFUNCTION("""COMPUTED_VALUE"""),9.0)</f>
        <v>9</v>
      </c>
      <c r="Y971" s="10">
        <f>IFERROR(__xludf.DUMMYFUNCTION("""COMPUTED_VALUE"""),1.0)</f>
        <v>1</v>
      </c>
      <c r="Z971" s="10">
        <f>IFERROR(__xludf.DUMMYFUNCTION("""COMPUTED_VALUE"""),3.0)</f>
        <v>3</v>
      </c>
      <c r="AA971" s="10">
        <f>IFERROR(__xludf.DUMMYFUNCTION("""COMPUTED_VALUE"""),8.0)</f>
        <v>8</v>
      </c>
      <c r="AB971" s="10">
        <f>IFERROR(__xludf.DUMMYFUNCTION("""COMPUTED_VALUE"""),6.0)</f>
        <v>6</v>
      </c>
      <c r="AC971" s="10">
        <f>IFERROR(__xludf.DUMMYFUNCTION("""COMPUTED_VALUE"""),0.0)</f>
        <v>0</v>
      </c>
      <c r="AD971" s="10">
        <f>IFERROR(__xludf.DUMMYFUNCTION("""COMPUTED_VALUE"""),0.0)</f>
        <v>0</v>
      </c>
      <c r="AE971" s="10">
        <f>IFERROR(__xludf.DUMMYFUNCTION("""COMPUTED_VALUE"""),0.0)</f>
        <v>0</v>
      </c>
      <c r="AF971" s="10">
        <f>IFERROR(__xludf.DUMMYFUNCTION("""COMPUTED_VALUE"""),0.0)</f>
        <v>0</v>
      </c>
      <c r="AG971" s="10">
        <f>IFERROR(__xludf.DUMMYFUNCTION("""COMPUTED_VALUE"""),9.0)</f>
        <v>9</v>
      </c>
      <c r="AH971" s="10">
        <f>IFERROR(__xludf.DUMMYFUNCTION("""COMPUTED_VALUE"""),0.0)</f>
        <v>0</v>
      </c>
      <c r="AI971" s="10">
        <f>IFERROR(__xludf.DUMMYFUNCTION("""COMPUTED_VALUE"""),9.0)</f>
        <v>9</v>
      </c>
      <c r="AJ971" s="11" t="str">
        <f>IFERROR(__xludf.DUMMYFUNCTION("""COMPUTED_VALUE"""),"https://drive.google.com/open?id=1medLDadPiqkOf-kxhYw7Xyk-xhM0RxNoq7gnI6S5u8I")</f>
        <v>https://drive.google.com/open?id=1medLDadPiqkOf-kxhYw7Xyk-xhM0RxNoq7gnI6S5u8I</v>
      </c>
      <c r="AK971" s="12"/>
      <c r="AL971" s="12" t="str">
        <f>IFERROR(__xludf.DUMMYFUNCTION("""COMPUTED_VALUE"""),"Yes")</f>
        <v>Yes</v>
      </c>
      <c r="AM971" s="15">
        <f>IFERROR(__xludf.DUMMYFUNCTION("""COMPUTED_VALUE"""),0.0)</f>
        <v>0</v>
      </c>
      <c r="AN971" s="12" t="str">
        <f>IFERROR(__xludf.DUMMYFUNCTION("""COMPUTED_VALUE"""),"5th week")</f>
        <v>5th week</v>
      </c>
      <c r="AO971" s="13">
        <v>5.0</v>
      </c>
      <c r="AX971" s="17"/>
    </row>
    <row r="972">
      <c r="B972" s="9">
        <f>IFERROR(__xludf.DUMMYFUNCTION("""COMPUTED_VALUE"""),46046.59232280093)</f>
        <v>46046.59232</v>
      </c>
      <c r="C972" s="10" t="str">
        <f>IFERROR(__xludf.DUMMYFUNCTION("""COMPUTED_VALUE"""),"maham")</f>
        <v>maham</v>
      </c>
      <c r="D972" s="10" t="str">
        <f>IFERROR(__xludf.DUMMYFUNCTION("""COMPUTED_VALUE"""),"03218118680")</f>
        <v>03218118680</v>
      </c>
      <c r="E972" s="10" t="str">
        <f>IFERROR(__xludf.DUMMYFUNCTION("""COMPUTED_VALUE"""),"Jamia Masjid Sadique-E-Akbar The Mall Muree")</f>
        <v>Jamia Masjid Sadique-E-Akbar The Mall Muree</v>
      </c>
      <c r="F972" s="10" t="str">
        <f>IFERROR(__xludf.DUMMYFUNCTION("""COMPUTED_VALUE"""),"fkwyh")</f>
        <v>fkwyh</v>
      </c>
      <c r="G972" s="10" t="str">
        <f>IFERROR(__xludf.DUMMYFUNCTION("""COMPUTED_VALUE"""),"Yes")</f>
        <v>Yes</v>
      </c>
      <c r="H972" s="10">
        <f>IFERROR(__xludf.DUMMYFUNCTION("""COMPUTED_VALUE"""),1.0)</f>
        <v>1</v>
      </c>
      <c r="I972" s="10">
        <f>IFERROR(__xludf.DUMMYFUNCTION("""COMPUTED_VALUE"""),9.0)</f>
        <v>9</v>
      </c>
      <c r="J972" s="10">
        <f>IFERROR(__xludf.DUMMYFUNCTION("""COMPUTED_VALUE"""),2.0)</f>
        <v>2</v>
      </c>
      <c r="K972" s="10">
        <f>IFERROR(__xludf.DUMMYFUNCTION("""COMPUTED_VALUE"""),0.0)</f>
        <v>0</v>
      </c>
      <c r="L972" s="10">
        <f>IFERROR(__xludf.DUMMYFUNCTION("""COMPUTED_VALUE"""),2.0)</f>
        <v>2</v>
      </c>
      <c r="M972" s="10">
        <f>IFERROR(__xludf.DUMMYFUNCTION("""COMPUTED_VALUE"""),0.0)</f>
        <v>0</v>
      </c>
      <c r="N972" s="10">
        <f>IFERROR(__xludf.DUMMYFUNCTION("""COMPUTED_VALUE"""),2.0)</f>
        <v>2</v>
      </c>
      <c r="O972" s="10">
        <f>IFERROR(__xludf.DUMMYFUNCTION("""COMPUTED_VALUE"""),0.0)</f>
        <v>0</v>
      </c>
      <c r="P972" s="10">
        <f>IFERROR(__xludf.DUMMYFUNCTION("""COMPUTED_VALUE"""),0.0)</f>
        <v>0</v>
      </c>
      <c r="Q972" s="10" t="str">
        <f>IFERROR(__xludf.DUMMYFUNCTION("""COMPUTED_VALUE"""),"No")</f>
        <v>No</v>
      </c>
      <c r="R972" s="10" t="str">
        <f>IFERROR(__xludf.DUMMYFUNCTION("""COMPUTED_VALUE"""),"No")</f>
        <v>No</v>
      </c>
      <c r="S972" s="10" t="str">
        <f>IFERROR(__xludf.DUMMYFUNCTION("""COMPUTED_VALUE"""),"No")</f>
        <v>No</v>
      </c>
      <c r="T972" s="10">
        <f>IFERROR(__xludf.DUMMYFUNCTION("""COMPUTED_VALUE"""),0.0)</f>
        <v>0</v>
      </c>
      <c r="U972" s="10">
        <f>IFERROR(__xludf.DUMMYFUNCTION("""COMPUTED_VALUE"""),0.0)</f>
        <v>0</v>
      </c>
      <c r="V972" s="10" t="str">
        <f>IFERROR(__xludf.DUMMYFUNCTION("""COMPUTED_VALUE"""),"اللہ تعالی سے تعلق کو جوڑنا معراج شریف کا واقعہ دوسروں کے ساتھ ہمارے تعلقات")</f>
        <v>اللہ تعالی سے تعلق کو جوڑنا معراج شریف کا واقعہ دوسروں کے ساتھ ہمارے تعلقات</v>
      </c>
      <c r="W972" s="10" t="str">
        <f>IFERROR(__xludf.DUMMYFUNCTION("""COMPUTED_VALUE"""),"اللہ تعالی کے ساتھ تعلق کو توڑنا نہیں بلکہ اللہ تعالی کے ساتھ تعلق کو مضبوط کریں معراج شریف کا واقعہ بیان کیا گیا دوسروں کے ساتھ ہمارے تعلقات اچھے ہونے چاہیے تاکہ بعد مرنے کے ہم ان سے معافیاں مانگتے رہے")</f>
        <v>اللہ تعالی کے ساتھ تعلق کو توڑنا نہیں بلکہ اللہ تعالی کے ساتھ تعلق کو مضبوط کریں معراج شریف کا واقعہ بیان کیا گیا دوسروں کے ساتھ ہمارے تعلقات اچھے ہونے چاہیے تاکہ بعد مرنے کے ہم ان سے معافیاں مانگتے رہے</v>
      </c>
      <c r="X972" s="10">
        <f>IFERROR(__xludf.DUMMYFUNCTION("""COMPUTED_VALUE"""),8.0)</f>
        <v>8</v>
      </c>
      <c r="Y972" s="10">
        <f>IFERROR(__xludf.DUMMYFUNCTION("""COMPUTED_VALUE"""),4.0)</f>
        <v>4</v>
      </c>
      <c r="Z972" s="10">
        <f>IFERROR(__xludf.DUMMYFUNCTION("""COMPUTED_VALUE"""),6.0)</f>
        <v>6</v>
      </c>
      <c r="AA972" s="10">
        <f>IFERROR(__xludf.DUMMYFUNCTION("""COMPUTED_VALUE"""),7.0)</f>
        <v>7</v>
      </c>
      <c r="AB972" s="10">
        <f>IFERROR(__xludf.DUMMYFUNCTION("""COMPUTED_VALUE"""),4.0)</f>
        <v>4</v>
      </c>
      <c r="AC972" s="10">
        <f>IFERROR(__xludf.DUMMYFUNCTION("""COMPUTED_VALUE"""),1.0)</f>
        <v>1</v>
      </c>
      <c r="AD972" s="10">
        <f>IFERROR(__xludf.DUMMYFUNCTION("""COMPUTED_VALUE"""),3.0)</f>
        <v>3</v>
      </c>
      <c r="AE972" s="10">
        <f>IFERROR(__xludf.DUMMYFUNCTION("""COMPUTED_VALUE"""),0.0)</f>
        <v>0</v>
      </c>
      <c r="AF972" s="10">
        <f>IFERROR(__xludf.DUMMYFUNCTION("""COMPUTED_VALUE"""),7.0)</f>
        <v>7</v>
      </c>
      <c r="AG972" s="10">
        <f>IFERROR(__xludf.DUMMYFUNCTION("""COMPUTED_VALUE"""),7.0)</f>
        <v>7</v>
      </c>
      <c r="AH972" s="10">
        <f>IFERROR(__xludf.DUMMYFUNCTION("""COMPUTED_VALUE"""),0.0)</f>
        <v>0</v>
      </c>
      <c r="AI972" s="10">
        <f>IFERROR(__xludf.DUMMYFUNCTION("""COMPUTED_VALUE"""),8.0)</f>
        <v>8</v>
      </c>
      <c r="AJ972" s="11" t="str">
        <f>IFERROR(__xludf.DUMMYFUNCTION("""COMPUTED_VALUE"""),"https://drive.google.com/open?id=1Y-J93t6Od0DMO-uTlq9p0ClYG1IrTJeM")</f>
        <v>https://drive.google.com/open?id=1Y-J93t6Od0DMO-uTlq9p0ClYG1IrTJeM</v>
      </c>
      <c r="AK972" s="12" t="str">
        <f>IFERROR(__xludf.DUMMYFUNCTION("""COMPUTED_VALUE"""),".... اواز کی سمجھ نہیں ائی")</f>
        <v>.... اواز کی سمجھ نہیں ائی</v>
      </c>
      <c r="AL972" s="12" t="str">
        <f>IFERROR(__xludf.DUMMYFUNCTION("""COMPUTED_VALUE"""),"Yes")</f>
        <v>Yes</v>
      </c>
      <c r="AM972" s="15">
        <f>IFERROR(__xludf.DUMMYFUNCTION("""COMPUTED_VALUE"""),0.1)</f>
        <v>0.1</v>
      </c>
      <c r="AN972" s="12" t="str">
        <f>IFERROR(__xludf.DUMMYFUNCTION("""COMPUTED_VALUE"""),"5th week")</f>
        <v>5th week</v>
      </c>
      <c r="AO972" s="13">
        <v>5.0</v>
      </c>
      <c r="AX972" s="17"/>
    </row>
    <row r="973">
      <c r="B973" s="9">
        <f>IFERROR(__xludf.DUMMYFUNCTION("""COMPUTED_VALUE"""),46050.3793830787)</f>
        <v>46050.37938</v>
      </c>
      <c r="C973" s="10" t="str">
        <f>IFERROR(__xludf.DUMMYFUNCTION("""COMPUTED_VALUE"""),"maham")</f>
        <v>maham</v>
      </c>
      <c r="D973" s="10" t="str">
        <f>IFERROR(__xludf.DUMMYFUNCTION("""COMPUTED_VALUE"""),"03218118680")</f>
        <v>03218118680</v>
      </c>
      <c r="E973" s="10" t="str">
        <f>IFERROR(__xludf.DUMMYFUNCTION("""COMPUTED_VALUE"""),"Jamia Masjid Pholo Wali Rawalpindi")</f>
        <v>Jamia Masjid Pholo Wali Rawalpindi</v>
      </c>
      <c r="F973" s="10" t="str">
        <f>IFERROR(__xludf.DUMMYFUNCTION("""COMPUTED_VALUE"""),"Fozkx")</f>
        <v>Fozkx</v>
      </c>
      <c r="G973" s="10" t="str">
        <f>IFERROR(__xludf.DUMMYFUNCTION("""COMPUTED_VALUE"""),"Yes")</f>
        <v>Yes</v>
      </c>
      <c r="H973" s="10">
        <f>IFERROR(__xludf.DUMMYFUNCTION("""COMPUTED_VALUE"""),10.0)</f>
        <v>10</v>
      </c>
      <c r="I973" s="10">
        <f>IFERROR(__xludf.DUMMYFUNCTION("""COMPUTED_VALUE"""),0.0)</f>
        <v>0</v>
      </c>
      <c r="J973" s="10">
        <f>IFERROR(__xludf.DUMMYFUNCTION("""COMPUTED_VALUE"""),10.0)</f>
        <v>10</v>
      </c>
      <c r="K973" s="10">
        <f>IFERROR(__xludf.DUMMYFUNCTION("""COMPUTED_VALUE"""),10.0)</f>
        <v>10</v>
      </c>
      <c r="L973" s="10">
        <f>IFERROR(__xludf.DUMMYFUNCTION("""COMPUTED_VALUE"""),0.0)</f>
        <v>0</v>
      </c>
      <c r="M973" s="10">
        <f>IFERROR(__xludf.DUMMYFUNCTION("""COMPUTED_VALUE"""),10.0)</f>
        <v>10</v>
      </c>
      <c r="N973" s="10">
        <f>IFERROR(__xludf.DUMMYFUNCTION("""COMPUTED_VALUE"""),0.0)</f>
        <v>0</v>
      </c>
      <c r="O973" s="10">
        <f>IFERROR(__xludf.DUMMYFUNCTION("""COMPUTED_VALUE"""),9.0)</f>
        <v>9</v>
      </c>
      <c r="P973" s="10">
        <f>IFERROR(__xludf.DUMMYFUNCTION("""COMPUTED_VALUE"""),0.0)</f>
        <v>0</v>
      </c>
      <c r="Q973" s="10" t="str">
        <f>IFERROR(__xludf.DUMMYFUNCTION("""COMPUTED_VALUE"""),"Yes")</f>
        <v>Yes</v>
      </c>
      <c r="R973" s="10" t="str">
        <f>IFERROR(__xludf.DUMMYFUNCTION("""COMPUTED_VALUE"""),"No")</f>
        <v>No</v>
      </c>
      <c r="S973" s="10" t="str">
        <f>IFERROR(__xludf.DUMMYFUNCTION("""COMPUTED_VALUE"""),"Yes")</f>
        <v>Yes</v>
      </c>
      <c r="T973" s="10">
        <f>IFERROR(__xludf.DUMMYFUNCTION("""COMPUTED_VALUE"""),0.0)</f>
        <v>0</v>
      </c>
      <c r="U973" s="10">
        <f>IFERROR(__xludf.DUMMYFUNCTION("""COMPUTED_VALUE"""),0.0)</f>
        <v>0</v>
      </c>
      <c r="V973" s="10" t="str">
        <f>IFERROR(__xludf.DUMMYFUNCTION("""COMPUTED_VALUE"""),"عورتوں کے حقوق")</f>
        <v>عورتوں کے حقوق</v>
      </c>
      <c r="W973" s="10" t="str">
        <f>IFERROR(__xludf.DUMMYFUNCTION("""COMPUTED_VALUE"""),"عورتوں کے حقوق پر بات کی گئی ")</f>
        <v>عورتوں کے حقوق پر بات کی گئی </v>
      </c>
      <c r="X973" s="10">
        <f>IFERROR(__xludf.DUMMYFUNCTION("""COMPUTED_VALUE"""),2.0)</f>
        <v>2</v>
      </c>
      <c r="Y973" s="10">
        <f>IFERROR(__xludf.DUMMYFUNCTION("""COMPUTED_VALUE"""),9.0)</f>
        <v>9</v>
      </c>
      <c r="Z973" s="10">
        <f>IFERROR(__xludf.DUMMYFUNCTION("""COMPUTED_VALUE"""),6.0)</f>
        <v>6</v>
      </c>
      <c r="AA973" s="10">
        <f>IFERROR(__xludf.DUMMYFUNCTION("""COMPUTED_VALUE"""),8.0)</f>
        <v>8</v>
      </c>
      <c r="AB973" s="10">
        <f>IFERROR(__xludf.DUMMYFUNCTION("""COMPUTED_VALUE"""),6.0)</f>
        <v>6</v>
      </c>
      <c r="AC973" s="10">
        <f>IFERROR(__xludf.DUMMYFUNCTION("""COMPUTED_VALUE"""),0.0)</f>
        <v>0</v>
      </c>
      <c r="AD973" s="10">
        <f>IFERROR(__xludf.DUMMYFUNCTION("""COMPUTED_VALUE"""),2.0)</f>
        <v>2</v>
      </c>
      <c r="AE973" s="10">
        <f>IFERROR(__xludf.DUMMYFUNCTION("""COMPUTED_VALUE"""),1.0)</f>
        <v>1</v>
      </c>
      <c r="AF973" s="10">
        <f>IFERROR(__xludf.DUMMYFUNCTION("""COMPUTED_VALUE"""),4.0)</f>
        <v>4</v>
      </c>
      <c r="AG973" s="10">
        <f>IFERROR(__xludf.DUMMYFUNCTION("""COMPUTED_VALUE"""),8.0)</f>
        <v>8</v>
      </c>
      <c r="AH973" s="10">
        <f>IFERROR(__xludf.DUMMYFUNCTION("""COMPUTED_VALUE"""),0.0)</f>
        <v>0</v>
      </c>
      <c r="AI973" s="10">
        <f>IFERROR(__xludf.DUMMYFUNCTION("""COMPUTED_VALUE"""),9.0)</f>
        <v>9</v>
      </c>
      <c r="AJ973" s="11" t="str">
        <f>IFERROR(__xludf.DUMMYFUNCTION("""COMPUTED_VALUE"""),"https://drive.google.com/open?id=13lD4WOlcy5lNHJXCVtwZas6zgH1EbRfM")</f>
        <v>https://drive.google.com/open?id=13lD4WOlcy5lNHJXCVtwZas6zgH1EbRfM</v>
      </c>
      <c r="AK973" s="12" t="str">
        <f>IFERROR(__xludf.DUMMYFUNCTION("""COMPUTED_VALUE"""),"6th week add krna han")</f>
        <v>6th week add krna han</v>
      </c>
      <c r="AL973" s="12" t="str">
        <f>IFERROR(__xludf.DUMMYFUNCTION("""COMPUTED_VALUE"""),"Yes")</f>
        <v>Yes</v>
      </c>
      <c r="AM973" s="15">
        <f>IFERROR(__xludf.DUMMYFUNCTION("""COMPUTED_VALUE"""),1.0)</f>
        <v>1</v>
      </c>
      <c r="AN973" s="12" t="str">
        <f>IFERROR(__xludf.DUMMYFUNCTION("""COMPUTED_VALUE"""),"5th week")</f>
        <v>5th week</v>
      </c>
      <c r="AO973" s="13">
        <v>6.0</v>
      </c>
      <c r="AX973" s="17"/>
    </row>
    <row r="974">
      <c r="B974" s="9">
        <f>IFERROR(__xludf.DUMMYFUNCTION("""COMPUTED_VALUE"""),46050.498794583335)</f>
        <v>46050.49879</v>
      </c>
      <c r="C974" s="10" t="str">
        <f>IFERROR(__xludf.DUMMYFUNCTION("""COMPUTED_VALUE"""),"Atiqa")</f>
        <v>Atiqa</v>
      </c>
      <c r="D974" s="10" t="str">
        <f>IFERROR(__xludf.DUMMYFUNCTION("""COMPUTED_VALUE"""),"03157519977")</f>
        <v>03157519977</v>
      </c>
      <c r="E974" s="10" t="str">
        <f>IFERROR(__xludf.DUMMYFUNCTION("""COMPUTED_VALUE"""),"Jamia Masjid Sadique-E-Akbar The Mall Muree")</f>
        <v>Jamia Masjid Sadique-E-Akbar The Mall Muree</v>
      </c>
      <c r="F974" s="10" t="str">
        <f>IFERROR(__xludf.DUMMYFUNCTION("""COMPUTED_VALUE"""),"fkwyh")</f>
        <v>fkwyh</v>
      </c>
      <c r="G974" s="10" t="str">
        <f>IFERROR(__xludf.DUMMYFUNCTION("""COMPUTED_VALUE"""),"Yes")</f>
        <v>Yes</v>
      </c>
      <c r="H974" s="10">
        <f>IFERROR(__xludf.DUMMYFUNCTION("""COMPUTED_VALUE"""),0.0)</f>
        <v>0</v>
      </c>
      <c r="I974" s="10">
        <f>IFERROR(__xludf.DUMMYFUNCTION("""COMPUTED_VALUE"""),10.0)</f>
        <v>10</v>
      </c>
      <c r="J974" s="10">
        <f>IFERROR(__xludf.DUMMYFUNCTION("""COMPUTED_VALUE"""),0.0)</f>
        <v>0</v>
      </c>
      <c r="K974" s="10">
        <f>IFERROR(__xludf.DUMMYFUNCTION("""COMPUTED_VALUE"""),0.0)</f>
        <v>0</v>
      </c>
      <c r="L974" s="10">
        <f>IFERROR(__xludf.DUMMYFUNCTION("""COMPUTED_VALUE"""),0.0)</f>
        <v>0</v>
      </c>
      <c r="M974" s="10">
        <f>IFERROR(__xludf.DUMMYFUNCTION("""COMPUTED_VALUE"""),0.0)</f>
        <v>0</v>
      </c>
      <c r="N974" s="10">
        <f>IFERROR(__xludf.DUMMYFUNCTION("""COMPUTED_VALUE"""),0.0)</f>
        <v>0</v>
      </c>
      <c r="O974" s="10">
        <f>IFERROR(__xludf.DUMMYFUNCTION("""COMPUTED_VALUE"""),0.0)</f>
        <v>0</v>
      </c>
      <c r="P974" s="10">
        <f>IFERROR(__xludf.DUMMYFUNCTION("""COMPUTED_VALUE"""),0.0)</f>
        <v>0</v>
      </c>
      <c r="Q974" s="10" t="str">
        <f>IFERROR(__xludf.DUMMYFUNCTION("""COMPUTED_VALUE"""),"No")</f>
        <v>No</v>
      </c>
      <c r="R974" s="10" t="str">
        <f>IFERROR(__xludf.DUMMYFUNCTION("""COMPUTED_VALUE"""),"No")</f>
        <v>No</v>
      </c>
      <c r="S974" s="10" t="str">
        <f>IFERROR(__xludf.DUMMYFUNCTION("""COMPUTED_VALUE"""),"No")</f>
        <v>No</v>
      </c>
      <c r="T974" s="10">
        <f>IFERROR(__xludf.DUMMYFUNCTION("""COMPUTED_VALUE"""),0.0)</f>
        <v>0</v>
      </c>
      <c r="U974" s="10">
        <f>IFERROR(__xludf.DUMMYFUNCTION("""COMPUTED_VALUE"""),0.0)</f>
        <v>0</v>
      </c>
      <c r="V974" s="10" t="str">
        <f>IFERROR(__xludf.DUMMYFUNCTION("""COMPUTED_VALUE"""),"شعبان المعظم کی برکات و فضائل ")</f>
        <v>شعبان المعظم کی برکات و فضائل </v>
      </c>
      <c r="W974" s="10" t="str">
        <f>IFERROR(__xludf.DUMMYFUNCTION("""COMPUTED_VALUE"""),"شعبان المعظم جو رمضان المبارک کی تیاری اور بے پناہ برکات کا حامل ہے۔ اس مبارک مہینے میں اعمال اللہ کے حضور پیش کیے جاتے ہیں، کثرتِ روزے، اس کی عظمت کو دوبالا کرتے ہیں، اور اس مہینے میں مرنے والے اشخاص کا نام مالک الموت کے حوالے کر دیا جاتا ہے، یہ مہینہ رم"&amp;"ضان المبارک کے روزوں اور عبادات کے لیے جسم و روح کو تیار کرنے کا بہترین وقت ہے، حضور پاک صلی اللہ علیہ وسلم کا باقی مہینوں کی نسبت اس مہینے میں کثرت سے روزے اور رکھنا اور عبادات کرنا ")</f>
        <v>شعبان المعظم جو رمضان المبارک کی تیاری اور بے پناہ برکات کا حامل ہے۔ اس مبارک مہینے میں اعمال اللہ کے حضور پیش کیے جاتے ہیں، کثرتِ روزے، اس کی عظمت کو دوبالا کرتے ہیں، اور اس مہینے میں مرنے والے اشخاص کا نام مالک الموت کے حوالے کر دیا جاتا ہے، یہ مہینہ رمضان المبارک کے روزوں اور عبادات کے لیے جسم و روح کو تیار کرنے کا بہترین وقت ہے، حضور پاک صلی اللہ علیہ وسلم کا باقی مہینوں کی نسبت اس مہینے میں کثرت سے روزے اور رکھنا اور عبادات کرنا </v>
      </c>
      <c r="X974" s="10">
        <f>IFERROR(__xludf.DUMMYFUNCTION("""COMPUTED_VALUE"""),9.0)</f>
        <v>9</v>
      </c>
      <c r="Y974" s="10">
        <f>IFERROR(__xludf.DUMMYFUNCTION("""COMPUTED_VALUE"""),1.0)</f>
        <v>1</v>
      </c>
      <c r="Z974" s="10">
        <f>IFERROR(__xludf.DUMMYFUNCTION("""COMPUTED_VALUE"""),0.0)</f>
        <v>0</v>
      </c>
      <c r="AA974" s="10">
        <f>IFERROR(__xludf.DUMMYFUNCTION("""COMPUTED_VALUE"""),9.0)</f>
        <v>9</v>
      </c>
      <c r="AB974" s="10">
        <f>IFERROR(__xludf.DUMMYFUNCTION("""COMPUTED_VALUE"""),6.0)</f>
        <v>6</v>
      </c>
      <c r="AC974" s="10">
        <f>IFERROR(__xludf.DUMMYFUNCTION("""COMPUTED_VALUE"""),0.0)</f>
        <v>0</v>
      </c>
      <c r="AD974" s="10">
        <f>IFERROR(__xludf.DUMMYFUNCTION("""COMPUTED_VALUE"""),0.0)</f>
        <v>0</v>
      </c>
      <c r="AE974" s="10">
        <f>IFERROR(__xludf.DUMMYFUNCTION("""COMPUTED_VALUE"""),0.0)</f>
        <v>0</v>
      </c>
      <c r="AF974" s="10">
        <f>IFERROR(__xludf.DUMMYFUNCTION("""COMPUTED_VALUE"""),0.0)</f>
        <v>0</v>
      </c>
      <c r="AG974" s="10">
        <f>IFERROR(__xludf.DUMMYFUNCTION("""COMPUTED_VALUE"""),9.0)</f>
        <v>9</v>
      </c>
      <c r="AH974" s="10">
        <f>IFERROR(__xludf.DUMMYFUNCTION("""COMPUTED_VALUE"""),0.0)</f>
        <v>0</v>
      </c>
      <c r="AI974" s="10">
        <f>IFERROR(__xludf.DUMMYFUNCTION("""COMPUTED_VALUE"""),9.0)</f>
        <v>9</v>
      </c>
      <c r="AJ974" s="11" t="str">
        <f>IFERROR(__xludf.DUMMYFUNCTION("""COMPUTED_VALUE"""),"https://drive.google.com/open?id=19L2ZjexGWsyo9Vh9S4hiDpG1_uby13Agf5nBrUZZNHk")</f>
        <v>https://drive.google.com/open?id=19L2ZjexGWsyo9Vh9S4hiDpG1_uby13Agf5nBrUZZNHk</v>
      </c>
      <c r="AK974" s="12" t="str">
        <f>IFERROR(__xludf.DUMMYFUNCTION("""COMPUTED_VALUE"""),"Ye week 6 tha")</f>
        <v>Ye week 6 tha</v>
      </c>
      <c r="AL974" s="12" t="str">
        <f>IFERROR(__xludf.DUMMYFUNCTION("""COMPUTED_VALUE"""),"Yes")</f>
        <v>Yes</v>
      </c>
      <c r="AM974" s="15">
        <f>IFERROR(__xludf.DUMMYFUNCTION("""COMPUTED_VALUE"""),0.0)</f>
        <v>0</v>
      </c>
      <c r="AN974" s="12" t="str">
        <f>IFERROR(__xludf.DUMMYFUNCTION("""COMPUTED_VALUE"""),"5th week")</f>
        <v>5th week</v>
      </c>
      <c r="AO974" s="13">
        <v>6.0</v>
      </c>
      <c r="AX974" s="17"/>
    </row>
    <row r="975">
      <c r="B975" s="9">
        <f>IFERROR(__xludf.DUMMYFUNCTION("""COMPUTED_VALUE"""),46050.98304653935)</f>
        <v>46050.98305</v>
      </c>
      <c r="C975" s="10" t="str">
        <f>IFERROR(__xludf.DUMMYFUNCTION("""COMPUTED_VALUE"""),"Atiqa")</f>
        <v>Atiqa</v>
      </c>
      <c r="D975" s="10" t="str">
        <f>IFERROR(__xludf.DUMMYFUNCTION("""COMPUTED_VALUE"""),"03157519977")</f>
        <v>03157519977</v>
      </c>
      <c r="E975" s="10" t="str">
        <f>IFERROR(__xludf.DUMMYFUNCTION("""COMPUTED_VALUE"""),"Jamia Masjid Syed Emam Ali Shah Sangala")</f>
        <v>Jamia Masjid Syed Emam Ali Shah Sangala</v>
      </c>
      <c r="F975" s="10" t="str">
        <f>IFERROR(__xludf.DUMMYFUNCTION("""COMPUTED_VALUE"""),"fboor")</f>
        <v>fboor</v>
      </c>
      <c r="G975" s="10" t="str">
        <f>IFERROR(__xludf.DUMMYFUNCTION("""COMPUTED_VALUE"""),"Yes")</f>
        <v>Yes</v>
      </c>
      <c r="H975" s="10">
        <f>IFERROR(__xludf.DUMMYFUNCTION("""COMPUTED_VALUE"""),0.0)</f>
        <v>0</v>
      </c>
      <c r="I975" s="10">
        <f>IFERROR(__xludf.DUMMYFUNCTION("""COMPUTED_VALUE"""),10.0)</f>
        <v>10</v>
      </c>
      <c r="J975" s="10">
        <f>IFERROR(__xludf.DUMMYFUNCTION("""COMPUTED_VALUE"""),0.0)</f>
        <v>0</v>
      </c>
      <c r="K975" s="10">
        <f>IFERROR(__xludf.DUMMYFUNCTION("""COMPUTED_VALUE"""),0.0)</f>
        <v>0</v>
      </c>
      <c r="L975" s="10">
        <f>IFERROR(__xludf.DUMMYFUNCTION("""COMPUTED_VALUE"""),0.0)</f>
        <v>0</v>
      </c>
      <c r="M975" s="10">
        <f>IFERROR(__xludf.DUMMYFUNCTION("""COMPUTED_VALUE"""),0.0)</f>
        <v>0</v>
      </c>
      <c r="N975" s="10">
        <f>IFERROR(__xludf.DUMMYFUNCTION("""COMPUTED_VALUE"""),0.0)</f>
        <v>0</v>
      </c>
      <c r="O975" s="10">
        <f>IFERROR(__xludf.DUMMYFUNCTION("""COMPUTED_VALUE"""),0.0)</f>
        <v>0</v>
      </c>
      <c r="P975" s="10">
        <f>IFERROR(__xludf.DUMMYFUNCTION("""COMPUTED_VALUE"""),0.0)</f>
        <v>0</v>
      </c>
      <c r="Q975" s="10" t="str">
        <f>IFERROR(__xludf.DUMMYFUNCTION("""COMPUTED_VALUE"""),"No")</f>
        <v>No</v>
      </c>
      <c r="R975" s="10" t="str">
        <f>IFERROR(__xludf.DUMMYFUNCTION("""COMPUTED_VALUE"""),"No")</f>
        <v>No</v>
      </c>
      <c r="S975" s="10" t="str">
        <f>IFERROR(__xludf.DUMMYFUNCTION("""COMPUTED_VALUE"""),"No")</f>
        <v>No</v>
      </c>
      <c r="T975" s="10">
        <f>IFERROR(__xludf.DUMMYFUNCTION("""COMPUTED_VALUE"""),0.0)</f>
        <v>0</v>
      </c>
      <c r="U975" s="10">
        <f>IFERROR(__xludf.DUMMYFUNCTION("""COMPUTED_VALUE"""),0.0)</f>
        <v>0</v>
      </c>
      <c r="V975" s="10" t="str">
        <f>IFERROR(__xludf.DUMMYFUNCTION("""COMPUTED_VALUE"""),"شب معراج  اور نماز کا تحفہ ")</f>
        <v>شب معراج  اور نماز کا تحفہ </v>
      </c>
      <c r="W975" s="10" t="str">
        <f>IFERROR(__xludf.DUMMYFUNCTION("""COMPUTED_VALUE"""),"معر اج کی رات حضور پاک صلی اللہ علیہ وسلم کو اللہ کا قرب اور دیدار حاصل ہونا، اور اللہ کا حضور پاک صلی اللہ علیہ وسلم کو 50 نمازوں کا تحفہ دینا اور موسی علیہ السلام کے کہنے پر اپ صلی اللہ علیہ وسلم کا اللہ کے پاس بار بار لوٹنا اور 50 نمازوں سے پانچ نمازیں"&amp;" باقی رہ جانا، اور اس کے ساتھ امام نے پانچ وقت کی نماز باجماعت مسجد میں ادا کرنے کی تلقین کی")</f>
        <v>معر اج کی رات حضور پاک صلی اللہ علیہ وسلم کو اللہ کا قرب اور دیدار حاصل ہونا، اور اللہ کا حضور پاک صلی اللہ علیہ وسلم کو 50 نمازوں کا تحفہ دینا اور موسی علیہ السلام کے کہنے پر اپ صلی اللہ علیہ وسلم کا اللہ کے پاس بار بار لوٹنا اور 50 نمازوں سے پانچ نمازیں باقی رہ جانا، اور اس کے ساتھ امام نے پانچ وقت کی نماز باجماعت مسجد میں ادا کرنے کی تلقین کی</v>
      </c>
      <c r="X975" s="10">
        <f>IFERROR(__xludf.DUMMYFUNCTION("""COMPUTED_VALUE"""),9.0)</f>
        <v>9</v>
      </c>
      <c r="Y975" s="10">
        <f>IFERROR(__xludf.DUMMYFUNCTION("""COMPUTED_VALUE"""),1.0)</f>
        <v>1</v>
      </c>
      <c r="Z975" s="10">
        <f>IFERROR(__xludf.DUMMYFUNCTION("""COMPUTED_VALUE"""),1.0)</f>
        <v>1</v>
      </c>
      <c r="AA975" s="10">
        <f>IFERROR(__xludf.DUMMYFUNCTION("""COMPUTED_VALUE"""),9.0)</f>
        <v>9</v>
      </c>
      <c r="AB975" s="10">
        <f>IFERROR(__xludf.DUMMYFUNCTION("""COMPUTED_VALUE"""),8.0)</f>
        <v>8</v>
      </c>
      <c r="AC975" s="10">
        <f>IFERROR(__xludf.DUMMYFUNCTION("""COMPUTED_VALUE"""),0.0)</f>
        <v>0</v>
      </c>
      <c r="AD975" s="10">
        <f>IFERROR(__xludf.DUMMYFUNCTION("""COMPUTED_VALUE"""),0.0)</f>
        <v>0</v>
      </c>
      <c r="AE975" s="10">
        <f>IFERROR(__xludf.DUMMYFUNCTION("""COMPUTED_VALUE"""),0.0)</f>
        <v>0</v>
      </c>
      <c r="AF975" s="10">
        <f>IFERROR(__xludf.DUMMYFUNCTION("""COMPUTED_VALUE"""),0.0)</f>
        <v>0</v>
      </c>
      <c r="AG975" s="10">
        <f>IFERROR(__xludf.DUMMYFUNCTION("""COMPUTED_VALUE"""),9.0)</f>
        <v>9</v>
      </c>
      <c r="AH975" s="10">
        <f>IFERROR(__xludf.DUMMYFUNCTION("""COMPUTED_VALUE"""),0.0)</f>
        <v>0</v>
      </c>
      <c r="AI975" s="10">
        <f>IFERROR(__xludf.DUMMYFUNCTION("""COMPUTED_VALUE"""),8.0)</f>
        <v>8</v>
      </c>
      <c r="AJ975" s="11" t="str">
        <f>IFERROR(__xludf.DUMMYFUNCTION("""COMPUTED_VALUE"""),"https://drive.google.com/open?id=1c0ZXtdX_qRdPdhuKGz5ASIcynaZL7cG6NZH_kJZymSU")</f>
        <v>https://drive.google.com/open?id=1c0ZXtdX_qRdPdhuKGz5ASIcynaZL7cG6NZH_kJZymSU</v>
      </c>
      <c r="AK975" s="12"/>
      <c r="AL975" s="12" t="str">
        <f>IFERROR(__xludf.DUMMYFUNCTION("""COMPUTED_VALUE"""),"Yes")</f>
        <v>Yes</v>
      </c>
      <c r="AM975" s="15">
        <f>IFERROR(__xludf.DUMMYFUNCTION("""COMPUTED_VALUE"""),0.0)</f>
        <v>0</v>
      </c>
      <c r="AN975" s="12" t="str">
        <f>IFERROR(__xludf.DUMMYFUNCTION("""COMPUTED_VALUE"""),"3rd week")</f>
        <v>3rd week</v>
      </c>
      <c r="AO975" s="13">
        <v>3.0</v>
      </c>
      <c r="AX975" s="17"/>
    </row>
    <row r="976">
      <c r="B976" s="9">
        <f>IFERROR(__xludf.DUMMYFUNCTION("""COMPUTED_VALUE"""),46052.441242974535)</f>
        <v>46052.44124</v>
      </c>
      <c r="C976" s="10" t="str">
        <f>IFERROR(__xludf.DUMMYFUNCTION("""COMPUTED_VALUE"""),"maham")</f>
        <v>maham</v>
      </c>
      <c r="D976" s="10" t="str">
        <f>IFERROR(__xludf.DUMMYFUNCTION("""COMPUTED_VALUE"""),"03218118680")</f>
        <v>03218118680</v>
      </c>
      <c r="E976" s="10" t="str">
        <f>IFERROR(__xludf.DUMMYFUNCTION("""COMPUTED_VALUE"""),"Jamia Masjid Sabzi Mandi Rawalpindi")</f>
        <v>Jamia Masjid Sabzi Mandi Rawalpindi</v>
      </c>
      <c r="F976" s="10" t="str">
        <f>IFERROR(__xludf.DUMMYFUNCTION("""COMPUTED_VALUE"""),"Cvcqu")</f>
        <v>Cvcqu</v>
      </c>
      <c r="G976" s="10" t="str">
        <f>IFERROR(__xludf.DUMMYFUNCTION("""COMPUTED_VALUE"""),"Yes")</f>
        <v>Yes</v>
      </c>
      <c r="H976" s="10">
        <f>IFERROR(__xludf.DUMMYFUNCTION("""COMPUTED_VALUE"""),0.0)</f>
        <v>0</v>
      </c>
      <c r="I976" s="10">
        <f>IFERROR(__xludf.DUMMYFUNCTION("""COMPUTED_VALUE"""),10.0)</f>
        <v>10</v>
      </c>
      <c r="J976" s="10">
        <f>IFERROR(__xludf.DUMMYFUNCTION("""COMPUTED_VALUE"""),0.0)</f>
        <v>0</v>
      </c>
      <c r="K976" s="10">
        <f>IFERROR(__xludf.DUMMYFUNCTION("""COMPUTED_VALUE"""),0.0)</f>
        <v>0</v>
      </c>
      <c r="L976" s="10">
        <f>IFERROR(__xludf.DUMMYFUNCTION("""COMPUTED_VALUE"""),0.0)</f>
        <v>0</v>
      </c>
      <c r="M976" s="10">
        <f>IFERROR(__xludf.DUMMYFUNCTION("""COMPUTED_VALUE"""),0.0)</f>
        <v>0</v>
      </c>
      <c r="N976" s="10">
        <f>IFERROR(__xludf.DUMMYFUNCTION("""COMPUTED_VALUE"""),0.0)</f>
        <v>0</v>
      </c>
      <c r="O976" s="10">
        <f>IFERROR(__xludf.DUMMYFUNCTION("""COMPUTED_VALUE"""),0.0)</f>
        <v>0</v>
      </c>
      <c r="P976" s="10">
        <f>IFERROR(__xludf.DUMMYFUNCTION("""COMPUTED_VALUE"""),0.0)</f>
        <v>0</v>
      </c>
      <c r="Q976" s="10" t="str">
        <f>IFERROR(__xludf.DUMMYFUNCTION("""COMPUTED_VALUE"""),"No")</f>
        <v>No</v>
      </c>
      <c r="R976" s="10" t="str">
        <f>IFERROR(__xludf.DUMMYFUNCTION("""COMPUTED_VALUE"""),"No")</f>
        <v>No</v>
      </c>
      <c r="S976" s="10" t="str">
        <f>IFERROR(__xludf.DUMMYFUNCTION("""COMPUTED_VALUE"""),"No")</f>
        <v>No</v>
      </c>
      <c r="T976" s="10">
        <f>IFERROR(__xludf.DUMMYFUNCTION("""COMPUTED_VALUE"""),0.0)</f>
        <v>0</v>
      </c>
      <c r="U976" s="10">
        <f>IFERROR(__xludf.DUMMYFUNCTION("""COMPUTED_VALUE"""),0.0)</f>
        <v>0</v>
      </c>
      <c r="V976" s="10" t="str">
        <f>IFERROR(__xludf.DUMMYFUNCTION("""COMPUTED_VALUE"""),"اسلامی مہینوں کی فضیلت")</f>
        <v>اسلامی مہینوں کی فضیلت</v>
      </c>
      <c r="W976" s="10" t="str">
        <f>IFERROR(__xludf.DUMMYFUNCTION("""COMPUTED_VALUE"""),"اسلامی مہینوں کی فضیلت اور خاص کر شعبان کے مہینے کی فضیلت اور اہمیت")</f>
        <v>اسلامی مہینوں کی فضیلت اور خاص کر شعبان کے مہینے کی فضیلت اور اہمیت</v>
      </c>
      <c r="X976" s="10">
        <f>IFERROR(__xludf.DUMMYFUNCTION("""COMPUTED_VALUE"""),10.0)</f>
        <v>10</v>
      </c>
      <c r="Y976" s="10">
        <f>IFERROR(__xludf.DUMMYFUNCTION("""COMPUTED_VALUE"""),1.0)</f>
        <v>1</v>
      </c>
      <c r="Z976" s="10">
        <f>IFERROR(__xludf.DUMMYFUNCTION("""COMPUTED_VALUE"""),2.0)</f>
        <v>2</v>
      </c>
      <c r="AA976" s="10">
        <f>IFERROR(__xludf.DUMMYFUNCTION("""COMPUTED_VALUE"""),9.0)</f>
        <v>9</v>
      </c>
      <c r="AB976" s="10">
        <f>IFERROR(__xludf.DUMMYFUNCTION("""COMPUTED_VALUE"""),4.0)</f>
        <v>4</v>
      </c>
      <c r="AC976" s="10">
        <f>IFERROR(__xludf.DUMMYFUNCTION("""COMPUTED_VALUE"""),0.0)</f>
        <v>0</v>
      </c>
      <c r="AD976" s="10">
        <f>IFERROR(__xludf.DUMMYFUNCTION("""COMPUTED_VALUE"""),0.0)</f>
        <v>0</v>
      </c>
      <c r="AE976" s="10">
        <f>IFERROR(__xludf.DUMMYFUNCTION("""COMPUTED_VALUE"""),0.0)</f>
        <v>0</v>
      </c>
      <c r="AF976" s="10">
        <f>IFERROR(__xludf.DUMMYFUNCTION("""COMPUTED_VALUE"""),8.0)</f>
        <v>8</v>
      </c>
      <c r="AG976" s="10">
        <f>IFERROR(__xludf.DUMMYFUNCTION("""COMPUTED_VALUE"""),8.0)</f>
        <v>8</v>
      </c>
      <c r="AH976" s="10">
        <f>IFERROR(__xludf.DUMMYFUNCTION("""COMPUTED_VALUE"""),0.0)</f>
        <v>0</v>
      </c>
      <c r="AI976" s="10">
        <f>IFERROR(__xludf.DUMMYFUNCTION("""COMPUTED_VALUE"""),8.0)</f>
        <v>8</v>
      </c>
      <c r="AJ976" s="11" t="str">
        <f>IFERROR(__xludf.DUMMYFUNCTION("""COMPUTED_VALUE"""),"https://drive.google.com/open?id=1X1Pbb6eo_-5woR5KOetHDPbW3f35kxOZ")</f>
        <v>https://drive.google.com/open?id=1X1Pbb6eo_-5woR5KOetHDPbW3f35kxOZ</v>
      </c>
      <c r="AK976" s="12"/>
      <c r="AL976" s="12" t="str">
        <f>IFERROR(__xludf.DUMMYFUNCTION("""COMPUTED_VALUE"""),"Yes")</f>
        <v>Yes</v>
      </c>
      <c r="AM976" s="15">
        <f>IFERROR(__xludf.DUMMYFUNCTION("""COMPUTED_VALUE"""),0.0)</f>
        <v>0</v>
      </c>
      <c r="AN976" s="12" t="str">
        <f>IFERROR(__xludf.DUMMYFUNCTION("""COMPUTED_VALUE"""),"5th week")</f>
        <v>5th week</v>
      </c>
      <c r="AO976" s="13">
        <v>6.0</v>
      </c>
      <c r="AX976" s="17"/>
    </row>
    <row r="977">
      <c r="B977" s="9">
        <f>IFERROR(__xludf.DUMMYFUNCTION("""COMPUTED_VALUE"""),46053.2623652662)</f>
        <v>46053.26237</v>
      </c>
      <c r="C977" s="10" t="str">
        <f>IFERROR(__xludf.DUMMYFUNCTION("""COMPUTED_VALUE"""),"Maham")</f>
        <v>Maham</v>
      </c>
      <c r="D977" s="10" t="str">
        <f>IFERROR(__xludf.DUMMYFUNCTION("""COMPUTED_VALUE"""),"03218118680")</f>
        <v>03218118680</v>
      </c>
      <c r="E977" s="10" t="str">
        <f>IFERROR(__xludf.DUMMYFUNCTION("""COMPUTED_VALUE"""),"jamia Masjid kachari sheikhupura")</f>
        <v>jamia Masjid kachari sheikhupura</v>
      </c>
      <c r="F977" s="10" t="str">
        <f>IFERROR(__xludf.DUMMYFUNCTION("""COMPUTED_VALUE"""),"dszhx")</f>
        <v>dszhx</v>
      </c>
      <c r="G977" s="10" t="str">
        <f>IFERROR(__xludf.DUMMYFUNCTION("""COMPUTED_VALUE"""),"Yes")</f>
        <v>Yes</v>
      </c>
      <c r="H977" s="10">
        <f>IFERROR(__xludf.DUMMYFUNCTION("""COMPUTED_VALUE"""),0.0)</f>
        <v>0</v>
      </c>
      <c r="I977" s="10">
        <f>IFERROR(__xludf.DUMMYFUNCTION("""COMPUTED_VALUE"""),10.0)</f>
        <v>10</v>
      </c>
      <c r="J977" s="10">
        <f>IFERROR(__xludf.DUMMYFUNCTION("""COMPUTED_VALUE"""),0.0)</f>
        <v>0</v>
      </c>
      <c r="K977" s="10">
        <f>IFERROR(__xludf.DUMMYFUNCTION("""COMPUTED_VALUE"""),0.0)</f>
        <v>0</v>
      </c>
      <c r="L977" s="10">
        <f>IFERROR(__xludf.DUMMYFUNCTION("""COMPUTED_VALUE"""),0.0)</f>
        <v>0</v>
      </c>
      <c r="M977" s="10">
        <f>IFERROR(__xludf.DUMMYFUNCTION("""COMPUTED_VALUE"""),0.0)</f>
        <v>0</v>
      </c>
      <c r="N977" s="10">
        <f>IFERROR(__xludf.DUMMYFUNCTION("""COMPUTED_VALUE"""),0.0)</f>
        <v>0</v>
      </c>
      <c r="O977" s="10">
        <f>IFERROR(__xludf.DUMMYFUNCTION("""COMPUTED_VALUE"""),0.0)</f>
        <v>0</v>
      </c>
      <c r="P977" s="10">
        <f>IFERROR(__xludf.DUMMYFUNCTION("""COMPUTED_VALUE"""),0.0)</f>
        <v>0</v>
      </c>
      <c r="Q977" s="10" t="str">
        <f>IFERROR(__xludf.DUMMYFUNCTION("""COMPUTED_VALUE"""),"No")</f>
        <v>No</v>
      </c>
      <c r="R977" s="10" t="str">
        <f>IFERROR(__xludf.DUMMYFUNCTION("""COMPUTED_VALUE"""),"No")</f>
        <v>No</v>
      </c>
      <c r="S977" s="10" t="str">
        <f>IFERROR(__xludf.DUMMYFUNCTION("""COMPUTED_VALUE"""),"No")</f>
        <v>No</v>
      </c>
      <c r="T977" s="10">
        <f>IFERROR(__xludf.DUMMYFUNCTION("""COMPUTED_VALUE"""),0.0)</f>
        <v>0</v>
      </c>
      <c r="U977" s="10">
        <f>IFERROR(__xludf.DUMMYFUNCTION("""COMPUTED_VALUE"""),0.0)</f>
        <v>0</v>
      </c>
      <c r="V977" s="10" t="str">
        <f>IFERROR(__xludf.DUMMYFUNCTION("""COMPUTED_VALUE"""),"حرمت والے مہینے اور عشر")</f>
        <v>حرمت والے مہینے اور عشر</v>
      </c>
      <c r="W977" s="10" t="str">
        <f>IFERROR(__xludf.DUMMYFUNCTION("""COMPUTED_VALUE"""),"حرمت والے مہینے اور عشر")</f>
        <v>حرمت والے مہینے اور عشر</v>
      </c>
      <c r="X977" s="10">
        <f>IFERROR(__xludf.DUMMYFUNCTION("""COMPUTED_VALUE"""),8.0)</f>
        <v>8</v>
      </c>
      <c r="Y977" s="10">
        <f>IFERROR(__xludf.DUMMYFUNCTION("""COMPUTED_VALUE"""),2.0)</f>
        <v>2</v>
      </c>
      <c r="Z977" s="10">
        <f>IFERROR(__xludf.DUMMYFUNCTION("""COMPUTED_VALUE"""),3.0)</f>
        <v>3</v>
      </c>
      <c r="AA977" s="10">
        <f>IFERROR(__xludf.DUMMYFUNCTION("""COMPUTED_VALUE"""),8.0)</f>
        <v>8</v>
      </c>
      <c r="AB977" s="10">
        <f>IFERROR(__xludf.DUMMYFUNCTION("""COMPUTED_VALUE"""),3.0)</f>
        <v>3</v>
      </c>
      <c r="AC977" s="10">
        <f>IFERROR(__xludf.DUMMYFUNCTION("""COMPUTED_VALUE"""),1.0)</f>
        <v>1</v>
      </c>
      <c r="AD977" s="10">
        <f>IFERROR(__xludf.DUMMYFUNCTION("""COMPUTED_VALUE"""),2.0)</f>
        <v>2</v>
      </c>
      <c r="AE977" s="10">
        <f>IFERROR(__xludf.DUMMYFUNCTION("""COMPUTED_VALUE"""),0.0)</f>
        <v>0</v>
      </c>
      <c r="AF977" s="10">
        <f>IFERROR(__xludf.DUMMYFUNCTION("""COMPUTED_VALUE"""),6.0)</f>
        <v>6</v>
      </c>
      <c r="AG977" s="10">
        <f>IFERROR(__xludf.DUMMYFUNCTION("""COMPUTED_VALUE"""),6.0)</f>
        <v>6</v>
      </c>
      <c r="AH977" s="10">
        <f>IFERROR(__xludf.DUMMYFUNCTION("""COMPUTED_VALUE"""),0.0)</f>
        <v>0</v>
      </c>
      <c r="AI977" s="10">
        <f>IFERROR(__xludf.DUMMYFUNCTION("""COMPUTED_VALUE"""),7.0)</f>
        <v>7</v>
      </c>
      <c r="AJ977" s="11" t="str">
        <f>IFERROR(__xludf.DUMMYFUNCTION("""COMPUTED_VALUE"""),"https://drive.google.com/open?id=1TPcDdtztVlvP62COcXzEXogKuvaYstwJ")</f>
        <v>https://drive.google.com/open?id=1TPcDdtztVlvP62COcXzEXogKuvaYstwJ</v>
      </c>
      <c r="AK977" s="12"/>
      <c r="AL977" s="12" t="str">
        <f>IFERROR(__xludf.DUMMYFUNCTION("""COMPUTED_VALUE"""),"Yes")</f>
        <v>Yes</v>
      </c>
      <c r="AM977" s="15">
        <f>IFERROR(__xludf.DUMMYFUNCTION("""COMPUTED_VALUE"""),0.0)</f>
        <v>0</v>
      </c>
      <c r="AN977" s="12" t="str">
        <f>IFERROR(__xludf.DUMMYFUNCTION("""COMPUTED_VALUE"""),"3rd week")</f>
        <v>3rd week</v>
      </c>
      <c r="AO977" s="13">
        <v>3.0</v>
      </c>
      <c r="AX977" s="17"/>
    </row>
    <row r="978">
      <c r="B978" s="9">
        <f>IFERROR(__xludf.DUMMYFUNCTION("""COMPUTED_VALUE"""),46053.26435803241)</f>
        <v>46053.26436</v>
      </c>
      <c r="C978" s="10" t="str">
        <f>IFERROR(__xludf.DUMMYFUNCTION("""COMPUTED_VALUE"""),"Atiqa")</f>
        <v>Atiqa</v>
      </c>
      <c r="D978" s="10" t="str">
        <f>IFERROR(__xludf.DUMMYFUNCTION("""COMPUTED_VALUE"""),"03157519977")</f>
        <v>03157519977</v>
      </c>
      <c r="E978" s="10" t="str">
        <f>IFERROR(__xludf.DUMMYFUNCTION("""COMPUTED_VALUE"""),"Jamia Masjid Imam Bargah Kala Kachari Sheikhupura")</f>
        <v>Jamia Masjid Imam Bargah Kala Kachari Sheikhupura</v>
      </c>
      <c r="F978" s="10" t="str">
        <f>IFERROR(__xludf.DUMMYFUNCTION("""COMPUTED_VALUE"""),"UPUVS")</f>
        <v>UPUVS</v>
      </c>
      <c r="G978" s="10" t="str">
        <f>IFERROR(__xludf.DUMMYFUNCTION("""COMPUTED_VALUE"""),"Yes")</f>
        <v>Yes</v>
      </c>
      <c r="H978" s="10">
        <f>IFERROR(__xludf.DUMMYFUNCTION("""COMPUTED_VALUE"""),0.0)</f>
        <v>0</v>
      </c>
      <c r="I978" s="10">
        <f>IFERROR(__xludf.DUMMYFUNCTION("""COMPUTED_VALUE"""),10.0)</f>
        <v>10</v>
      </c>
      <c r="J978" s="10">
        <f>IFERROR(__xludf.DUMMYFUNCTION("""COMPUTED_VALUE"""),0.0)</f>
        <v>0</v>
      </c>
      <c r="K978" s="10">
        <f>IFERROR(__xludf.DUMMYFUNCTION("""COMPUTED_VALUE"""),0.0)</f>
        <v>0</v>
      </c>
      <c r="L978" s="10">
        <f>IFERROR(__xludf.DUMMYFUNCTION("""COMPUTED_VALUE"""),0.0)</f>
        <v>0</v>
      </c>
      <c r="M978" s="10">
        <f>IFERROR(__xludf.DUMMYFUNCTION("""COMPUTED_VALUE"""),0.0)</f>
        <v>0</v>
      </c>
      <c r="N978" s="10">
        <f>IFERROR(__xludf.DUMMYFUNCTION("""COMPUTED_VALUE"""),0.0)</f>
        <v>0</v>
      </c>
      <c r="O978" s="10">
        <f>IFERROR(__xludf.DUMMYFUNCTION("""COMPUTED_VALUE"""),0.0)</f>
        <v>0</v>
      </c>
      <c r="P978" s="10">
        <f>IFERROR(__xludf.DUMMYFUNCTION("""COMPUTED_VALUE"""),0.0)</f>
        <v>0</v>
      </c>
      <c r="Q978" s="10" t="str">
        <f>IFERROR(__xludf.DUMMYFUNCTION("""COMPUTED_VALUE"""),"No")</f>
        <v>No</v>
      </c>
      <c r="R978" s="10" t="str">
        <f>IFERROR(__xludf.DUMMYFUNCTION("""COMPUTED_VALUE"""),"No")</f>
        <v>No</v>
      </c>
      <c r="S978" s="10" t="str">
        <f>IFERROR(__xludf.DUMMYFUNCTION("""COMPUTED_VALUE"""),"No")</f>
        <v>No</v>
      </c>
      <c r="T978" s="10">
        <f>IFERROR(__xludf.DUMMYFUNCTION("""COMPUTED_VALUE"""),0.0)</f>
        <v>0</v>
      </c>
      <c r="U978" s="10">
        <f>IFERROR(__xludf.DUMMYFUNCTION("""COMPUTED_VALUE"""),0.0)</f>
        <v>0</v>
      </c>
      <c r="V978" s="10" t="str">
        <f>IFERROR(__xludf.DUMMYFUNCTION("""COMPUTED_VALUE"""),"تخلیق انسان۔کا مقصد اور تقوی ")</f>
        <v>تخلیق انسان۔کا مقصد اور تقوی </v>
      </c>
      <c r="W978" s="10" t="str">
        <f>IFERROR(__xludf.DUMMYFUNCTION("""COMPUTED_VALUE"""),"اللہ نے انسان کو اپنی بندگی کے لیے پیدا کیا لیکن انسان فضول کاموں میں اپنے وقت کا ضیا کر رہا، اور تقوی اختیار کرنا، رحمت الہی سے دور کرنے والے کاموں سے بچنا تقوی ہے، اور امام نے بیان کیا ایک دوسرے سے نفرت اور حسد کے بجائے پیار و محبت سے رہیں، مختلف قوموں "&amp;"کا انبیاء کو اللہ کا بیٹا ماننا مگر اللہ ایک ہی ہے، اللہ کا اپنے بندے کی معافی پر زمین سے لے کر سامان تک بھرے گناہوں کو بھی معاف کر دینا، بنو امیہ یہ سازش اور خیانت فقط ابو طالب کا حضرت علی رضی اللہ تعالی عنہ کا والد ہونے کی وجہ سے انہیں کافر سمجھنا اگر ک"&amp;"سی اور صحابی کے ہوتے تو انہیں افضل جانا جاتا، ")</f>
        <v>اللہ نے انسان کو اپنی بندگی کے لیے پیدا کیا لیکن انسان فضول کاموں میں اپنے وقت کا ضیا کر رہا، اور تقوی اختیار کرنا، رحمت الہی سے دور کرنے والے کاموں سے بچنا تقوی ہے، اور امام نے بیان کیا ایک دوسرے سے نفرت اور حسد کے بجائے پیار و محبت سے رہیں، مختلف قوموں کا انبیاء کو اللہ کا بیٹا ماننا مگر اللہ ایک ہی ہے، اللہ کا اپنے بندے کی معافی پر زمین سے لے کر سامان تک بھرے گناہوں کو بھی معاف کر دینا، بنو امیہ یہ سازش اور خیانت فقط ابو طالب کا حضرت علی رضی اللہ تعالی عنہ کا والد ہونے کی وجہ سے انہیں کافر سمجھنا اگر کسی اور صحابی کے ہوتے تو انہیں افضل جانا جاتا، </v>
      </c>
      <c r="X978" s="10">
        <f>IFERROR(__xludf.DUMMYFUNCTION("""COMPUTED_VALUE"""),8.0)</f>
        <v>8</v>
      </c>
      <c r="Y978" s="10">
        <f>IFERROR(__xludf.DUMMYFUNCTION("""COMPUTED_VALUE"""),2.0)</f>
        <v>2</v>
      </c>
      <c r="Z978" s="10">
        <f>IFERROR(__xludf.DUMMYFUNCTION("""COMPUTED_VALUE"""),2.0)</f>
        <v>2</v>
      </c>
      <c r="AA978" s="10">
        <f>IFERROR(__xludf.DUMMYFUNCTION("""COMPUTED_VALUE"""),8.0)</f>
        <v>8</v>
      </c>
      <c r="AB978" s="10">
        <f>IFERROR(__xludf.DUMMYFUNCTION("""COMPUTED_VALUE"""),2.0)</f>
        <v>2</v>
      </c>
      <c r="AC978" s="10">
        <f>IFERROR(__xludf.DUMMYFUNCTION("""COMPUTED_VALUE"""),0.0)</f>
        <v>0</v>
      </c>
      <c r="AD978" s="10">
        <f>IFERROR(__xludf.DUMMYFUNCTION("""COMPUTED_VALUE"""),0.0)</f>
        <v>0</v>
      </c>
      <c r="AE978" s="10">
        <f>IFERROR(__xludf.DUMMYFUNCTION("""COMPUTED_VALUE"""),2.0)</f>
        <v>2</v>
      </c>
      <c r="AF978" s="10">
        <f>IFERROR(__xludf.DUMMYFUNCTION("""COMPUTED_VALUE"""),0.0)</f>
        <v>0</v>
      </c>
      <c r="AG978" s="10">
        <f>IFERROR(__xludf.DUMMYFUNCTION("""COMPUTED_VALUE"""),8.0)</f>
        <v>8</v>
      </c>
      <c r="AH978" s="10">
        <f>IFERROR(__xludf.DUMMYFUNCTION("""COMPUTED_VALUE"""),0.0)</f>
        <v>0</v>
      </c>
      <c r="AI978" s="10">
        <f>IFERROR(__xludf.DUMMYFUNCTION("""COMPUTED_VALUE"""),8.0)</f>
        <v>8</v>
      </c>
      <c r="AJ978" s="11" t="str">
        <f>IFERROR(__xludf.DUMMYFUNCTION("""COMPUTED_VALUE"""),"https://drive.google.com/open?id=1fp99a_STWC8_K5OSTeVplPqYHreuBXdXITcP0poqPGs")</f>
        <v>https://drive.google.com/open?id=1fp99a_STWC8_K5OSTeVplPqYHreuBXdXITcP0poqPGs</v>
      </c>
      <c r="AK978" s="12"/>
      <c r="AL978" s="12" t="str">
        <f>IFERROR(__xludf.DUMMYFUNCTION("""COMPUTED_VALUE"""),"Yes")</f>
        <v>Yes</v>
      </c>
      <c r="AM978" s="15">
        <f>IFERROR(__xludf.DUMMYFUNCTION("""COMPUTED_VALUE"""),0.0)</f>
        <v>0</v>
      </c>
      <c r="AN978" s="12" t="str">
        <f>IFERROR(__xludf.DUMMYFUNCTION("""COMPUTED_VALUE"""),"3rd week")</f>
        <v>3rd week</v>
      </c>
      <c r="AO978" s="13">
        <v>3.0</v>
      </c>
      <c r="AX978" s="17"/>
    </row>
    <row r="979">
      <c r="B979" s="9">
        <f>IFERROR(__xludf.DUMMYFUNCTION("""COMPUTED_VALUE"""),46054.313862800926)</f>
        <v>46054.31386</v>
      </c>
      <c r="C979" s="10" t="str">
        <f>IFERROR(__xludf.DUMMYFUNCTION("""COMPUTED_VALUE"""),"Maham")</f>
        <v>Maham</v>
      </c>
      <c r="D979" s="10" t="str">
        <f>IFERROR(__xludf.DUMMYFUNCTION("""COMPUTED_VALUE"""),"03218118680")</f>
        <v>03218118680</v>
      </c>
      <c r="E979" s="10" t="str">
        <f>IFERROR(__xludf.DUMMYFUNCTION("""COMPUTED_VALUE"""),"Jamia Masjid Aali Nooh coat lahore")</f>
        <v>Jamia Masjid Aali Nooh coat lahore</v>
      </c>
      <c r="F979" s="10" t="str">
        <f>IFERROR(__xludf.DUMMYFUNCTION("""COMPUTED_VALUE"""),"pwwfr")</f>
        <v>pwwfr</v>
      </c>
      <c r="G979" s="10" t="str">
        <f>IFERROR(__xludf.DUMMYFUNCTION("""COMPUTED_VALUE"""),"Yes")</f>
        <v>Yes</v>
      </c>
      <c r="H979" s="10">
        <f>IFERROR(__xludf.DUMMYFUNCTION("""COMPUTED_VALUE"""),0.0)</f>
        <v>0</v>
      </c>
      <c r="I979" s="10">
        <f>IFERROR(__xludf.DUMMYFUNCTION("""COMPUTED_VALUE"""),10.0)</f>
        <v>10</v>
      </c>
      <c r="J979" s="10">
        <f>IFERROR(__xludf.DUMMYFUNCTION("""COMPUTED_VALUE"""),2.0)</f>
        <v>2</v>
      </c>
      <c r="K979" s="10">
        <f>IFERROR(__xludf.DUMMYFUNCTION("""COMPUTED_VALUE"""),2.0)</f>
        <v>2</v>
      </c>
      <c r="L979" s="10">
        <f>IFERROR(__xludf.DUMMYFUNCTION("""COMPUTED_VALUE"""),2.0)</f>
        <v>2</v>
      </c>
      <c r="M979" s="10">
        <f>IFERROR(__xludf.DUMMYFUNCTION("""COMPUTED_VALUE"""),1.0)</f>
        <v>1</v>
      </c>
      <c r="N979" s="10">
        <f>IFERROR(__xludf.DUMMYFUNCTION("""COMPUTED_VALUE"""),1.0)</f>
        <v>1</v>
      </c>
      <c r="O979" s="10">
        <f>IFERROR(__xludf.DUMMYFUNCTION("""COMPUTED_VALUE"""),0.0)</f>
        <v>0</v>
      </c>
      <c r="P979" s="10">
        <f>IFERROR(__xludf.DUMMYFUNCTION("""COMPUTED_VALUE"""),0.0)</f>
        <v>0</v>
      </c>
      <c r="Q979" s="10" t="str">
        <f>IFERROR(__xludf.DUMMYFUNCTION("""COMPUTED_VALUE"""),"No")</f>
        <v>No</v>
      </c>
      <c r="R979" s="10" t="str">
        <f>IFERROR(__xludf.DUMMYFUNCTION("""COMPUTED_VALUE"""),"No")</f>
        <v>No</v>
      </c>
      <c r="S979" s="10" t="str">
        <f>IFERROR(__xludf.DUMMYFUNCTION("""COMPUTED_VALUE"""),"No")</f>
        <v>No</v>
      </c>
      <c r="T979" s="10">
        <f>IFERROR(__xludf.DUMMYFUNCTION("""COMPUTED_VALUE"""),0.0)</f>
        <v>0</v>
      </c>
      <c r="U979" s="10">
        <f>IFERROR(__xludf.DUMMYFUNCTION("""COMPUTED_VALUE"""),0.0)</f>
        <v>0</v>
      </c>
      <c r="V979" s="10" t="str">
        <f>IFERROR(__xludf.DUMMYFUNCTION("""COMPUTED_VALUE"""),"اپنے مسلمان بھائی کی تکلیف کو سمجھنا")</f>
        <v>اپنے مسلمان بھائی کی تکلیف کو سمجھنا</v>
      </c>
      <c r="W979" s="10" t="str">
        <f>IFERROR(__xludf.DUMMYFUNCTION("""COMPUTED_VALUE"""),"مسلمان مسلمان کا بھائی ہے نا وہ خود اس کو تکلیف دیتا ہے نہ اسے ظالموں کے حوالے کرتا ہے ")</f>
        <v>مسلمان مسلمان کا بھائی ہے نا وہ خود اس کو تکلیف دیتا ہے نہ اسے ظالموں کے حوالے کرتا ہے </v>
      </c>
      <c r="X979" s="10">
        <f>IFERROR(__xludf.DUMMYFUNCTION("""COMPUTED_VALUE"""),2.0)</f>
        <v>2</v>
      </c>
      <c r="Y979" s="10">
        <f>IFERROR(__xludf.DUMMYFUNCTION("""COMPUTED_VALUE"""),9.0)</f>
        <v>9</v>
      </c>
      <c r="Z979" s="10">
        <f>IFERROR(__xludf.DUMMYFUNCTION("""COMPUTED_VALUE"""),3.0)</f>
        <v>3</v>
      </c>
      <c r="AA979" s="10">
        <f>IFERROR(__xludf.DUMMYFUNCTION("""COMPUTED_VALUE"""),6.0)</f>
        <v>6</v>
      </c>
      <c r="AB979" s="10">
        <f>IFERROR(__xludf.DUMMYFUNCTION("""COMPUTED_VALUE"""),5.0)</f>
        <v>5</v>
      </c>
      <c r="AC979" s="10">
        <f>IFERROR(__xludf.DUMMYFUNCTION("""COMPUTED_VALUE"""),1.0)</f>
        <v>1</v>
      </c>
      <c r="AD979" s="10">
        <f>IFERROR(__xludf.DUMMYFUNCTION("""COMPUTED_VALUE"""),2.0)</f>
        <v>2</v>
      </c>
      <c r="AE979" s="10">
        <f>IFERROR(__xludf.DUMMYFUNCTION("""COMPUTED_VALUE"""),1.0)</f>
        <v>1</v>
      </c>
      <c r="AF979" s="10">
        <f>IFERROR(__xludf.DUMMYFUNCTION("""COMPUTED_VALUE"""),6.0)</f>
        <v>6</v>
      </c>
      <c r="AG979" s="10">
        <f>IFERROR(__xludf.DUMMYFUNCTION("""COMPUTED_VALUE"""),6.0)</f>
        <v>6</v>
      </c>
      <c r="AH979" s="10">
        <f>IFERROR(__xludf.DUMMYFUNCTION("""COMPUTED_VALUE"""),0.0)</f>
        <v>0</v>
      </c>
      <c r="AI979" s="10">
        <f>IFERROR(__xludf.DUMMYFUNCTION("""COMPUTED_VALUE"""),6.0)</f>
        <v>6</v>
      </c>
      <c r="AJ979" s="11" t="str">
        <f>IFERROR(__xludf.DUMMYFUNCTION("""COMPUTED_VALUE"""),"https://drive.google.com/open?id=1NXUit1DsznvMZ5LDr78bcATe6p42KwhH")</f>
        <v>https://drive.google.com/open?id=1NXUit1DsznvMZ5LDr78bcATe6p42KwhH</v>
      </c>
      <c r="AK979" s="12" t="str">
        <f>IFERROR(__xludf.DUMMYFUNCTION("""COMPUTED_VALUE"""),"۔۔۔۔۔جہاں یہ اس کا مطلب وہاں سمجھ نہیں ائی الفاظ کی")</f>
        <v>۔۔۔۔۔جہاں یہ اس کا مطلب وہاں سمجھ نہیں ائی الفاظ کی</v>
      </c>
      <c r="AL979" s="12" t="str">
        <f>IFERROR(__xludf.DUMMYFUNCTION("""COMPUTED_VALUE"""),"Yes")</f>
        <v>Yes</v>
      </c>
      <c r="AM979" s="15">
        <f>IFERROR(__xludf.DUMMYFUNCTION("""COMPUTED_VALUE"""),0.1)</f>
        <v>0.1</v>
      </c>
      <c r="AN979" s="12" t="str">
        <f>IFERROR(__xludf.DUMMYFUNCTION("""COMPUTED_VALUE"""),"3rd week")</f>
        <v>3rd week</v>
      </c>
      <c r="AO979" s="13">
        <v>3.0</v>
      </c>
      <c r="AX979" s="17"/>
    </row>
    <row r="980">
      <c r="B980" s="9">
        <f>IFERROR(__xludf.DUMMYFUNCTION("""COMPUTED_VALUE"""),46055.4886066551)</f>
        <v>46055.48861</v>
      </c>
      <c r="C980" s="10" t="str">
        <f>IFERROR(__xludf.DUMMYFUNCTION("""COMPUTED_VALUE"""),"Maham")</f>
        <v>Maham</v>
      </c>
      <c r="D980" s="10" t="str">
        <f>IFERROR(__xludf.DUMMYFUNCTION("""COMPUTED_VALUE"""),"03218118680")</f>
        <v>03218118680</v>
      </c>
      <c r="E980" s="10" t="str">
        <f>IFERROR(__xludf.DUMMYFUNCTION("""COMPUTED_VALUE"""),"Jamia Masjid Darbar Baba Jahaar Chaklala Rawalpindi")</f>
        <v>Jamia Masjid Darbar Baba Jahaar Chaklala Rawalpindi</v>
      </c>
      <c r="F980" s="10" t="str">
        <f>IFERROR(__xludf.DUMMYFUNCTION("""COMPUTED_VALUE"""),"glrtm")</f>
        <v>glrtm</v>
      </c>
      <c r="G980" s="10" t="str">
        <f>IFERROR(__xludf.DUMMYFUNCTION("""COMPUTED_VALUE"""),"Yes")</f>
        <v>Yes</v>
      </c>
      <c r="H980" s="10">
        <f>IFERROR(__xludf.DUMMYFUNCTION("""COMPUTED_VALUE"""),0.0)</f>
        <v>0</v>
      </c>
      <c r="I980" s="10">
        <f>IFERROR(__xludf.DUMMYFUNCTION("""COMPUTED_VALUE"""),10.0)</f>
        <v>10</v>
      </c>
      <c r="J980" s="10">
        <f>IFERROR(__xludf.DUMMYFUNCTION("""COMPUTED_VALUE"""),0.0)</f>
        <v>0</v>
      </c>
      <c r="K980" s="10">
        <f>IFERROR(__xludf.DUMMYFUNCTION("""COMPUTED_VALUE"""),0.0)</f>
        <v>0</v>
      </c>
      <c r="L980" s="10">
        <f>IFERROR(__xludf.DUMMYFUNCTION("""COMPUTED_VALUE"""),0.0)</f>
        <v>0</v>
      </c>
      <c r="M980" s="10">
        <f>IFERROR(__xludf.DUMMYFUNCTION("""COMPUTED_VALUE"""),0.0)</f>
        <v>0</v>
      </c>
      <c r="N980" s="10">
        <f>IFERROR(__xludf.DUMMYFUNCTION("""COMPUTED_VALUE"""),0.0)</f>
        <v>0</v>
      </c>
      <c r="O980" s="10">
        <f>IFERROR(__xludf.DUMMYFUNCTION("""COMPUTED_VALUE"""),0.0)</f>
        <v>0</v>
      </c>
      <c r="P980" s="10">
        <f>IFERROR(__xludf.DUMMYFUNCTION("""COMPUTED_VALUE"""),0.0)</f>
        <v>0</v>
      </c>
      <c r="Q980" s="10" t="str">
        <f>IFERROR(__xludf.DUMMYFUNCTION("""COMPUTED_VALUE"""),"No")</f>
        <v>No</v>
      </c>
      <c r="R980" s="10" t="str">
        <f>IFERROR(__xludf.DUMMYFUNCTION("""COMPUTED_VALUE"""),"No")</f>
        <v>No</v>
      </c>
      <c r="S980" s="10" t="str">
        <f>IFERROR(__xludf.DUMMYFUNCTION("""COMPUTED_VALUE"""),"No")</f>
        <v>No</v>
      </c>
      <c r="T980" s="10">
        <f>IFERROR(__xludf.DUMMYFUNCTION("""COMPUTED_VALUE"""),0.0)</f>
        <v>0</v>
      </c>
      <c r="U980" s="10">
        <f>IFERROR(__xludf.DUMMYFUNCTION("""COMPUTED_VALUE"""),0.0)</f>
        <v>0</v>
      </c>
      <c r="V980" s="10" t="str">
        <f>IFERROR(__xludf.DUMMYFUNCTION("""COMPUTED_VALUE"""),"نماز کی اہمیت اور قرآن کے مطابق زندگی")</f>
        <v>نماز کی اہمیت اور قرآن کے مطابق زندگی</v>
      </c>
      <c r="W980" s="10" t="str">
        <f>IFERROR(__xludf.DUMMYFUNCTION("""COMPUTED_VALUE"""),"یہ بیان اس حقیقت کو واضح کرتا ہے کہ انسان کی حقیقی کامیابی قرآن کی ہدایت پر عمل کرنے اور نماز کی پابندی میں ہے۔")</f>
        <v>یہ بیان اس حقیقت کو واضح کرتا ہے کہ انسان کی حقیقی کامیابی قرآن کی ہدایت پر عمل کرنے اور نماز کی پابندی میں ہے۔</v>
      </c>
      <c r="X980" s="10">
        <f>IFERROR(__xludf.DUMMYFUNCTION("""COMPUTED_VALUE"""),10.0)</f>
        <v>10</v>
      </c>
      <c r="Y980" s="10">
        <f>IFERROR(__xludf.DUMMYFUNCTION("""COMPUTED_VALUE"""),3.0)</f>
        <v>3</v>
      </c>
      <c r="Z980" s="10">
        <f>IFERROR(__xludf.DUMMYFUNCTION("""COMPUTED_VALUE"""),6.0)</f>
        <v>6</v>
      </c>
      <c r="AA980" s="10">
        <f>IFERROR(__xludf.DUMMYFUNCTION("""COMPUTED_VALUE"""),10.0)</f>
        <v>10</v>
      </c>
      <c r="AB980" s="10">
        <f>IFERROR(__xludf.DUMMYFUNCTION("""COMPUTED_VALUE"""),5.0)</f>
        <v>5</v>
      </c>
      <c r="AC980" s="10">
        <f>IFERROR(__xludf.DUMMYFUNCTION("""COMPUTED_VALUE"""),1.0)</f>
        <v>1</v>
      </c>
      <c r="AD980" s="10">
        <f>IFERROR(__xludf.DUMMYFUNCTION("""COMPUTED_VALUE"""),1.0)</f>
        <v>1</v>
      </c>
      <c r="AE980" s="10">
        <f>IFERROR(__xludf.DUMMYFUNCTION("""COMPUTED_VALUE"""),1.0)</f>
        <v>1</v>
      </c>
      <c r="AF980" s="10">
        <f>IFERROR(__xludf.DUMMYFUNCTION("""COMPUTED_VALUE"""),9.0)</f>
        <v>9</v>
      </c>
      <c r="AG980" s="10">
        <f>IFERROR(__xludf.DUMMYFUNCTION("""COMPUTED_VALUE"""),7.0)</f>
        <v>7</v>
      </c>
      <c r="AH980" s="10">
        <f>IFERROR(__xludf.DUMMYFUNCTION("""COMPUTED_VALUE"""),0.0)</f>
        <v>0</v>
      </c>
      <c r="AI980" s="10">
        <f>IFERROR(__xludf.DUMMYFUNCTION("""COMPUTED_VALUE"""),8.0)</f>
        <v>8</v>
      </c>
      <c r="AJ980" s="11" t="str">
        <f>IFERROR(__xludf.DUMMYFUNCTION("""COMPUTED_VALUE"""),"https://drive.google.com/open?id=1HA0PNNDj3KREOWZlqWbhcFLmXdq2KN20")</f>
        <v>https://drive.google.com/open?id=1HA0PNNDj3KREOWZlqWbhcFLmXdq2KN20</v>
      </c>
      <c r="AK980" s="12" t="str">
        <f>IFERROR(__xludf.DUMMYFUNCTION("""COMPUTED_VALUE"""),"week 6th han")</f>
        <v>week 6th han</v>
      </c>
      <c r="AL980" s="12" t="str">
        <f>IFERROR(__xludf.DUMMYFUNCTION("""COMPUTED_VALUE"""),"Yes")</f>
        <v>Yes</v>
      </c>
      <c r="AM980" s="15">
        <f>IFERROR(__xludf.DUMMYFUNCTION("""COMPUTED_VALUE"""),0.0)</f>
        <v>0</v>
      </c>
      <c r="AN980" s="12" t="str">
        <f>IFERROR(__xludf.DUMMYFUNCTION("""COMPUTED_VALUE"""),"6th week")</f>
        <v>6th week</v>
      </c>
      <c r="AO980" s="13">
        <v>6.0</v>
      </c>
      <c r="AX980" s="17"/>
    </row>
    <row r="981">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4"/>
      <c r="AK981" s="12"/>
      <c r="AL981" s="12"/>
      <c r="AM981" s="12"/>
      <c r="AN981" s="12"/>
      <c r="AO981" s="17"/>
      <c r="AX981" s="17"/>
    </row>
    <row r="982">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4"/>
      <c r="AK982" s="12"/>
      <c r="AL982" s="12"/>
      <c r="AM982" s="12"/>
      <c r="AN982" s="12"/>
      <c r="AO982" s="17"/>
      <c r="AX982" s="17"/>
    </row>
    <row r="983">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4"/>
      <c r="AK983" s="12"/>
      <c r="AL983" s="12"/>
      <c r="AM983" s="12"/>
      <c r="AN983" s="12"/>
      <c r="AO983" s="17"/>
      <c r="AX983" s="17"/>
    </row>
    <row r="984">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4"/>
      <c r="AK984" s="12"/>
      <c r="AL984" s="12"/>
      <c r="AM984" s="12"/>
      <c r="AN984" s="12"/>
      <c r="AO984" s="17"/>
      <c r="AX984" s="17"/>
    </row>
    <row r="985">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4"/>
      <c r="AK985" s="12"/>
      <c r="AL985" s="12"/>
      <c r="AM985" s="12"/>
      <c r="AN985" s="12"/>
      <c r="AO985" s="17"/>
      <c r="AX985" s="17"/>
    </row>
    <row r="986">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4"/>
      <c r="AK986" s="12"/>
      <c r="AL986" s="12"/>
      <c r="AM986" s="12"/>
      <c r="AN986" s="12"/>
      <c r="AO986" s="17"/>
      <c r="AX986" s="17"/>
    </row>
    <row r="987">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4"/>
      <c r="AK987" s="12"/>
      <c r="AL987" s="12"/>
      <c r="AM987" s="12"/>
      <c r="AN987" s="12"/>
      <c r="AO987" s="17"/>
      <c r="AX987" s="17"/>
    </row>
    <row r="988">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4"/>
      <c r="AK988" s="12"/>
      <c r="AL988" s="12"/>
      <c r="AM988" s="12"/>
      <c r="AN988" s="12"/>
      <c r="AO988" s="17"/>
      <c r="AX988" s="17"/>
    </row>
    <row r="989">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4"/>
      <c r="AK989" s="12"/>
      <c r="AL989" s="12"/>
      <c r="AM989" s="12"/>
      <c r="AN989" s="12"/>
      <c r="AO989" s="17"/>
      <c r="AX989" s="17"/>
    </row>
    <row r="99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4"/>
      <c r="AK990" s="12"/>
      <c r="AL990" s="12"/>
      <c r="AM990" s="12"/>
      <c r="AN990" s="12"/>
      <c r="AO990" s="17"/>
      <c r="AX990" s="17"/>
    </row>
    <row r="991">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4"/>
      <c r="AK991" s="12"/>
      <c r="AL991" s="12"/>
      <c r="AM991" s="12"/>
      <c r="AN991" s="12"/>
      <c r="AO991" s="17"/>
      <c r="AX991" s="17"/>
    </row>
    <row r="992">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4"/>
      <c r="AK992" s="12"/>
      <c r="AL992" s="12"/>
      <c r="AM992" s="12"/>
      <c r="AN992" s="12"/>
      <c r="AO992" s="17"/>
      <c r="AX992" s="17"/>
    </row>
    <row r="993">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4"/>
      <c r="AK993" s="12"/>
      <c r="AL993" s="12"/>
      <c r="AM993" s="12"/>
      <c r="AN993" s="12"/>
      <c r="AO993" s="17"/>
      <c r="AX993" s="17"/>
    </row>
    <row r="994">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4"/>
      <c r="AK994" s="12"/>
      <c r="AL994" s="12"/>
      <c r="AM994" s="12"/>
      <c r="AN994" s="12"/>
      <c r="AO994" s="17"/>
      <c r="AX994" s="17"/>
    </row>
    <row r="995">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4"/>
      <c r="AK995" s="12"/>
      <c r="AL995" s="12"/>
      <c r="AM995" s="12"/>
      <c r="AN995" s="12"/>
      <c r="AO995" s="17"/>
      <c r="AX995" s="17"/>
    </row>
    <row r="996">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4"/>
      <c r="AK996" s="12"/>
      <c r="AL996" s="12"/>
      <c r="AM996" s="12"/>
      <c r="AN996" s="12"/>
      <c r="AO996" s="17"/>
      <c r="AX996" s="17"/>
    </row>
    <row r="997">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4"/>
      <c r="AK997" s="12"/>
      <c r="AL997" s="12"/>
      <c r="AM997" s="12"/>
      <c r="AN997" s="12"/>
      <c r="AO997" s="17"/>
      <c r="AX997" s="17"/>
    </row>
    <row r="998">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4"/>
      <c r="AK998" s="12"/>
      <c r="AL998" s="12"/>
      <c r="AM998" s="12"/>
      <c r="AN998" s="12"/>
      <c r="AO998" s="17"/>
      <c r="AX998" s="17"/>
    </row>
    <row r="999">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4"/>
      <c r="AK999" s="12"/>
      <c r="AL999" s="12"/>
      <c r="AM999" s="12"/>
      <c r="AN999" s="12"/>
      <c r="AO999" s="17"/>
      <c r="AX999" s="17"/>
    </row>
    <row r="100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4"/>
      <c r="AK1000" s="12"/>
      <c r="AL1000" s="12"/>
      <c r="AM1000" s="12"/>
      <c r="AN1000" s="12"/>
      <c r="AO1000" s="17"/>
      <c r="AX1000" s="17"/>
    </row>
  </sheetData>
  <hyperlinks>
    <hyperlink r:id="rId4" ref="AJ2"/>
    <hyperlink r:id="rId5" ref="AJ4"/>
    <hyperlink r:id="rId6" ref="AJ5"/>
    <hyperlink r:id="rId7" ref="AJ6"/>
    <hyperlink r:id="rId8" ref="AJ7"/>
    <hyperlink r:id="rId9" ref="AJ8"/>
    <hyperlink r:id="rId10" ref="AJ9"/>
    <hyperlink r:id="rId11" ref="AJ10"/>
    <hyperlink r:id="rId12" ref="AJ11"/>
    <hyperlink r:id="rId13" ref="AJ12"/>
    <hyperlink r:id="rId14" ref="AJ13"/>
    <hyperlink r:id="rId15" ref="AJ14"/>
    <hyperlink r:id="rId16" ref="AJ15"/>
    <hyperlink r:id="rId17" ref="AJ16"/>
    <hyperlink r:id="rId18" ref="AJ17"/>
    <hyperlink r:id="rId19" ref="AJ18"/>
    <hyperlink r:id="rId20" ref="AJ19"/>
    <hyperlink r:id="rId21" ref="AJ20"/>
    <hyperlink r:id="rId22" ref="AJ21"/>
    <hyperlink r:id="rId23" ref="AJ22"/>
    <hyperlink r:id="rId24" ref="AJ23"/>
    <hyperlink r:id="rId25" ref="AJ24"/>
    <hyperlink r:id="rId26" ref="AJ25"/>
    <hyperlink r:id="rId27" ref="AJ26"/>
    <hyperlink r:id="rId28" ref="AJ27"/>
    <hyperlink r:id="rId29" ref="AJ28"/>
    <hyperlink r:id="rId30" ref="AJ29"/>
    <hyperlink r:id="rId31" ref="AJ30"/>
    <hyperlink r:id="rId32" ref="AJ31"/>
    <hyperlink r:id="rId33" ref="AJ32"/>
    <hyperlink r:id="rId34" ref="AJ33"/>
    <hyperlink r:id="rId35" ref="AJ34"/>
    <hyperlink r:id="rId36" ref="AJ35"/>
    <hyperlink r:id="rId37" ref="AJ36"/>
    <hyperlink r:id="rId38" ref="AJ37"/>
    <hyperlink r:id="rId39" ref="AJ38"/>
    <hyperlink r:id="rId40" ref="AJ39"/>
    <hyperlink r:id="rId41" ref="AJ40"/>
    <hyperlink r:id="rId42" ref="AJ41"/>
    <hyperlink r:id="rId43" ref="AJ42"/>
    <hyperlink r:id="rId44" ref="AJ43"/>
    <hyperlink r:id="rId45" ref="AJ44"/>
    <hyperlink r:id="rId46" ref="AJ45"/>
    <hyperlink r:id="rId47" ref="AJ46"/>
    <hyperlink r:id="rId48" ref="AJ47"/>
    <hyperlink r:id="rId49" ref="AJ48"/>
    <hyperlink r:id="rId50" ref="AJ49"/>
    <hyperlink r:id="rId51" ref="AJ50"/>
    <hyperlink r:id="rId52" ref="AJ51"/>
    <hyperlink r:id="rId53" ref="AJ52"/>
    <hyperlink r:id="rId54" ref="AJ53"/>
    <hyperlink r:id="rId55" ref="AJ54"/>
    <hyperlink r:id="rId56" ref="AJ55"/>
    <hyperlink r:id="rId57" ref="AJ56"/>
    <hyperlink r:id="rId58" ref="AJ57"/>
    <hyperlink r:id="rId59" ref="AJ58"/>
    <hyperlink r:id="rId60" ref="AJ59"/>
    <hyperlink r:id="rId61" ref="AJ60"/>
    <hyperlink r:id="rId62" ref="AJ61"/>
    <hyperlink r:id="rId63" ref="AJ62"/>
    <hyperlink r:id="rId64" ref="AJ63"/>
    <hyperlink r:id="rId65" ref="AJ64"/>
    <hyperlink r:id="rId66" ref="AJ65"/>
    <hyperlink r:id="rId67" ref="AJ66"/>
    <hyperlink r:id="rId68" ref="AJ67"/>
    <hyperlink r:id="rId69" ref="AJ68"/>
    <hyperlink r:id="rId70" ref="AJ69"/>
    <hyperlink r:id="rId71" ref="AJ70"/>
    <hyperlink r:id="rId72" ref="AJ71"/>
    <hyperlink r:id="rId73" ref="AJ72"/>
    <hyperlink r:id="rId74" ref="AJ73"/>
    <hyperlink r:id="rId75" ref="AJ74"/>
    <hyperlink r:id="rId76" ref="AJ75"/>
    <hyperlink r:id="rId77" ref="AJ76"/>
    <hyperlink r:id="rId78" ref="AJ77"/>
    <hyperlink r:id="rId79" ref="AJ78"/>
    <hyperlink r:id="rId80" ref="AJ79"/>
    <hyperlink r:id="rId81" ref="AJ80"/>
    <hyperlink r:id="rId82" ref="AJ81"/>
    <hyperlink r:id="rId83" ref="AJ82"/>
    <hyperlink r:id="rId84" ref="AJ83"/>
    <hyperlink r:id="rId85" ref="AJ84"/>
    <hyperlink r:id="rId86" ref="AJ85"/>
    <hyperlink r:id="rId87" ref="AJ86"/>
    <hyperlink r:id="rId88" ref="AJ87"/>
    <hyperlink r:id="rId89" ref="AJ88"/>
    <hyperlink r:id="rId90" ref="AJ89"/>
    <hyperlink r:id="rId91" ref="AJ90"/>
    <hyperlink r:id="rId92" ref="AJ91"/>
    <hyperlink r:id="rId93" ref="AJ92"/>
    <hyperlink r:id="rId94" ref="AJ94"/>
    <hyperlink r:id="rId95" ref="AJ95"/>
    <hyperlink r:id="rId96" ref="AJ96"/>
    <hyperlink r:id="rId97" ref="AJ97"/>
    <hyperlink r:id="rId98" ref="AJ98"/>
    <hyperlink r:id="rId99" ref="AJ99"/>
    <hyperlink r:id="rId100" ref="AJ100"/>
    <hyperlink r:id="rId101" ref="AJ101"/>
    <hyperlink r:id="rId102" ref="AJ102"/>
    <hyperlink r:id="rId103" ref="AJ103"/>
    <hyperlink r:id="rId104" ref="AJ104"/>
    <hyperlink r:id="rId105" ref="AJ105"/>
    <hyperlink r:id="rId106" ref="AJ106"/>
    <hyperlink r:id="rId107" ref="AJ107"/>
    <hyperlink r:id="rId108" ref="AJ108"/>
    <hyperlink r:id="rId109" ref="AJ109"/>
    <hyperlink r:id="rId110" ref="AJ110"/>
    <hyperlink r:id="rId111" ref="AJ111"/>
    <hyperlink r:id="rId112" ref="AJ112"/>
    <hyperlink r:id="rId113" ref="AJ113"/>
    <hyperlink r:id="rId114" ref="AJ114"/>
    <hyperlink r:id="rId115" ref="AJ115"/>
    <hyperlink r:id="rId116" ref="AJ116"/>
    <hyperlink r:id="rId117" ref="AJ117"/>
    <hyperlink r:id="rId118" ref="AJ118"/>
    <hyperlink r:id="rId119" ref="AJ119"/>
    <hyperlink r:id="rId120" ref="AJ120"/>
    <hyperlink r:id="rId121" ref="AJ121"/>
    <hyperlink r:id="rId122" ref="AJ122"/>
    <hyperlink r:id="rId123" ref="AJ123"/>
    <hyperlink r:id="rId124" ref="AJ124"/>
    <hyperlink r:id="rId125" ref="AJ125"/>
    <hyperlink r:id="rId126" ref="AJ126"/>
    <hyperlink r:id="rId127" ref="AJ127"/>
    <hyperlink r:id="rId128" ref="AJ128"/>
    <hyperlink r:id="rId129" ref="AJ129"/>
    <hyperlink r:id="rId130" ref="AJ130"/>
    <hyperlink r:id="rId131" ref="AJ131"/>
    <hyperlink r:id="rId132" ref="AJ132"/>
    <hyperlink r:id="rId133" ref="AJ133"/>
    <hyperlink r:id="rId134" ref="AJ134"/>
    <hyperlink r:id="rId135" ref="AJ135"/>
    <hyperlink r:id="rId136" ref="AJ136"/>
    <hyperlink r:id="rId137" ref="AJ137"/>
    <hyperlink r:id="rId138" ref="AJ138"/>
    <hyperlink r:id="rId139" ref="AJ139"/>
    <hyperlink r:id="rId140" ref="AJ140"/>
    <hyperlink r:id="rId141" ref="AJ141"/>
    <hyperlink r:id="rId142" ref="AJ142"/>
    <hyperlink r:id="rId143" ref="AJ143"/>
    <hyperlink r:id="rId144" ref="AJ144"/>
    <hyperlink r:id="rId145" ref="AJ145"/>
    <hyperlink r:id="rId146" ref="AJ146"/>
    <hyperlink r:id="rId147" ref="AJ147"/>
    <hyperlink r:id="rId148" ref="AJ148"/>
    <hyperlink r:id="rId149" ref="AJ149"/>
    <hyperlink r:id="rId150" ref="AJ150"/>
    <hyperlink r:id="rId151" ref="AJ151"/>
    <hyperlink r:id="rId152" ref="AJ152"/>
    <hyperlink r:id="rId153" ref="AJ153"/>
    <hyperlink r:id="rId154" ref="AJ154"/>
    <hyperlink r:id="rId155" ref="AJ155"/>
    <hyperlink r:id="rId156" ref="AJ156"/>
    <hyperlink r:id="rId157" ref="AJ157"/>
    <hyperlink r:id="rId158" ref="AJ158"/>
    <hyperlink r:id="rId159" ref="AJ159"/>
    <hyperlink r:id="rId160" ref="AJ160"/>
    <hyperlink r:id="rId161" ref="AJ161"/>
    <hyperlink r:id="rId162" ref="AJ162"/>
    <hyperlink r:id="rId163" ref="AJ163"/>
    <hyperlink r:id="rId164" ref="AJ164"/>
    <hyperlink r:id="rId165" ref="AJ165"/>
    <hyperlink r:id="rId166" ref="AJ166"/>
    <hyperlink r:id="rId167" ref="AJ167"/>
    <hyperlink r:id="rId168" ref="AJ168"/>
    <hyperlink r:id="rId169" ref="AJ169"/>
    <hyperlink r:id="rId170" ref="AJ170"/>
    <hyperlink r:id="rId171" ref="AJ171"/>
    <hyperlink r:id="rId172" ref="AJ172"/>
    <hyperlink r:id="rId173" ref="AJ173"/>
    <hyperlink r:id="rId174" ref="AJ174"/>
    <hyperlink r:id="rId175" ref="AJ175"/>
    <hyperlink r:id="rId176" ref="AJ176"/>
    <hyperlink r:id="rId177" ref="AJ177"/>
    <hyperlink r:id="rId178" ref="AJ178"/>
    <hyperlink r:id="rId179" ref="AJ179"/>
    <hyperlink r:id="rId180" ref="AJ180"/>
    <hyperlink r:id="rId181" ref="AJ181"/>
    <hyperlink r:id="rId182" ref="AJ182"/>
    <hyperlink r:id="rId183" ref="AJ183"/>
    <hyperlink r:id="rId184" ref="AJ184"/>
    <hyperlink r:id="rId185" ref="AJ185"/>
    <hyperlink r:id="rId186" ref="AJ186"/>
    <hyperlink r:id="rId187" ref="AJ187"/>
    <hyperlink r:id="rId188" ref="AJ188"/>
    <hyperlink r:id="rId189" ref="AJ189"/>
    <hyperlink r:id="rId190" ref="AJ190"/>
    <hyperlink r:id="rId191" ref="AJ191"/>
    <hyperlink r:id="rId192" ref="AJ192"/>
    <hyperlink r:id="rId193" ref="AJ193"/>
    <hyperlink r:id="rId194" ref="AJ194"/>
    <hyperlink r:id="rId195" ref="AJ195"/>
    <hyperlink r:id="rId196" ref="AJ196"/>
    <hyperlink r:id="rId197" ref="AJ197"/>
    <hyperlink r:id="rId198" ref="AJ198"/>
    <hyperlink r:id="rId199" ref="AJ199"/>
    <hyperlink r:id="rId200" ref="AJ200"/>
    <hyperlink r:id="rId201" ref="AJ201"/>
    <hyperlink r:id="rId202" ref="AJ202"/>
    <hyperlink r:id="rId203" ref="AJ203"/>
    <hyperlink r:id="rId204" ref="AJ204"/>
    <hyperlink r:id="rId205" ref="AJ205"/>
    <hyperlink r:id="rId206" ref="AJ206"/>
    <hyperlink r:id="rId207" ref="AJ207"/>
    <hyperlink r:id="rId208" ref="AJ208"/>
    <hyperlink r:id="rId209" ref="AJ209"/>
    <hyperlink r:id="rId210" ref="AJ210"/>
    <hyperlink r:id="rId211" ref="AJ211"/>
    <hyperlink r:id="rId212" ref="AJ212"/>
    <hyperlink r:id="rId213" ref="AJ213"/>
    <hyperlink r:id="rId214" ref="AJ214"/>
    <hyperlink r:id="rId215" ref="AJ215"/>
    <hyperlink r:id="rId216" ref="AJ216"/>
    <hyperlink r:id="rId217" ref="AJ217"/>
    <hyperlink r:id="rId218" ref="AJ218"/>
    <hyperlink r:id="rId219" ref="AJ219"/>
    <hyperlink r:id="rId220" ref="AJ220"/>
    <hyperlink r:id="rId221" ref="AJ221"/>
    <hyperlink r:id="rId222" ref="AJ222"/>
    <hyperlink r:id="rId223" ref="AJ223"/>
    <hyperlink r:id="rId224" ref="AJ224"/>
    <hyperlink r:id="rId225" ref="AJ225"/>
    <hyperlink r:id="rId226" ref="AJ226"/>
    <hyperlink r:id="rId227" ref="AJ227"/>
    <hyperlink r:id="rId228" ref="AJ228"/>
    <hyperlink r:id="rId229" ref="AJ229"/>
    <hyperlink r:id="rId230" ref="AJ230"/>
    <hyperlink r:id="rId231" ref="AJ231"/>
    <hyperlink r:id="rId232" ref="AJ232"/>
    <hyperlink r:id="rId233" ref="AJ233"/>
    <hyperlink r:id="rId234" ref="AJ234"/>
    <hyperlink r:id="rId235" ref="AJ235"/>
    <hyperlink r:id="rId236" ref="AJ236"/>
    <hyperlink r:id="rId237" ref="AJ237"/>
    <hyperlink r:id="rId238" ref="AJ238"/>
    <hyperlink r:id="rId239" ref="AJ239"/>
    <hyperlink r:id="rId240" ref="AJ240"/>
    <hyperlink r:id="rId241" ref="AJ241"/>
    <hyperlink r:id="rId242" ref="AJ242"/>
    <hyperlink r:id="rId243" ref="AJ243"/>
    <hyperlink r:id="rId244" ref="AJ244"/>
    <hyperlink r:id="rId245" ref="AJ245"/>
    <hyperlink r:id="rId246" ref="AJ246"/>
    <hyperlink r:id="rId247" ref="AJ247"/>
    <hyperlink r:id="rId248" ref="AJ248"/>
    <hyperlink r:id="rId249" ref="AJ249"/>
    <hyperlink r:id="rId250" ref="AJ250"/>
    <hyperlink r:id="rId251" ref="AJ251"/>
    <hyperlink r:id="rId252" ref="AJ252"/>
    <hyperlink r:id="rId253" ref="AJ253"/>
    <hyperlink r:id="rId254" ref="AJ254"/>
    <hyperlink r:id="rId255" ref="AJ255"/>
    <hyperlink r:id="rId256" ref="AJ256"/>
    <hyperlink r:id="rId257" ref="AJ257"/>
    <hyperlink r:id="rId258" ref="AJ258"/>
    <hyperlink r:id="rId259" ref="AJ259"/>
    <hyperlink r:id="rId260" ref="AJ260"/>
    <hyperlink r:id="rId261" ref="AJ261"/>
    <hyperlink r:id="rId262" ref="AJ262"/>
    <hyperlink r:id="rId263" ref="AJ263"/>
    <hyperlink r:id="rId264" ref="AJ264"/>
    <hyperlink r:id="rId265" ref="AJ265"/>
    <hyperlink r:id="rId266" ref="AJ266"/>
    <hyperlink r:id="rId267" ref="AJ267"/>
    <hyperlink r:id="rId268" ref="AJ268"/>
    <hyperlink r:id="rId269" ref="AJ269"/>
    <hyperlink r:id="rId270" ref="AJ270"/>
    <hyperlink r:id="rId271" ref="AJ271"/>
    <hyperlink r:id="rId272" ref="AJ272"/>
    <hyperlink r:id="rId273" ref="AJ273"/>
    <hyperlink r:id="rId274" ref="AJ274"/>
    <hyperlink r:id="rId275" ref="AJ275"/>
    <hyperlink r:id="rId276" ref="AJ276"/>
    <hyperlink r:id="rId277" ref="AJ277"/>
    <hyperlink r:id="rId278" ref="AJ278"/>
    <hyperlink r:id="rId279" ref="AJ279"/>
    <hyperlink r:id="rId280" ref="AJ280"/>
    <hyperlink r:id="rId281" ref="AJ281"/>
    <hyperlink r:id="rId282" ref="AJ282"/>
    <hyperlink r:id="rId283" ref="AJ283"/>
    <hyperlink r:id="rId284" ref="AJ284"/>
    <hyperlink r:id="rId285" ref="AJ285"/>
    <hyperlink r:id="rId286" ref="AJ286"/>
    <hyperlink r:id="rId287" ref="AJ287"/>
    <hyperlink r:id="rId288" ref="AJ288"/>
    <hyperlink r:id="rId289" ref="AJ289"/>
    <hyperlink r:id="rId290" ref="AJ290"/>
    <hyperlink r:id="rId291" ref="AJ291"/>
    <hyperlink r:id="rId292" ref="AJ292"/>
    <hyperlink r:id="rId293" ref="AJ293"/>
    <hyperlink r:id="rId294" ref="AJ294"/>
    <hyperlink r:id="rId295" ref="AJ295"/>
    <hyperlink r:id="rId296" ref="AJ296"/>
    <hyperlink r:id="rId297" ref="AJ297"/>
    <hyperlink r:id="rId298" ref="AJ298"/>
    <hyperlink r:id="rId299" ref="AJ299"/>
    <hyperlink r:id="rId300" ref="AJ300"/>
    <hyperlink r:id="rId301" ref="AJ301"/>
    <hyperlink r:id="rId302" ref="AJ302"/>
    <hyperlink r:id="rId303" ref="AJ303"/>
    <hyperlink r:id="rId304" ref="AJ304"/>
    <hyperlink r:id="rId305" ref="AJ305"/>
    <hyperlink r:id="rId306" ref="AJ306"/>
    <hyperlink r:id="rId307" ref="AJ307"/>
    <hyperlink r:id="rId308" ref="AJ308"/>
    <hyperlink r:id="rId309" ref="AJ309"/>
    <hyperlink r:id="rId310" ref="AJ310"/>
    <hyperlink r:id="rId311" ref="AJ311"/>
    <hyperlink r:id="rId312" ref="AJ312"/>
    <hyperlink r:id="rId313" ref="AJ313"/>
    <hyperlink r:id="rId314" ref="AJ314"/>
    <hyperlink r:id="rId315" ref="AJ315"/>
    <hyperlink r:id="rId316" ref="AJ316"/>
    <hyperlink r:id="rId317" ref="AJ317"/>
    <hyperlink r:id="rId318" ref="AJ318"/>
    <hyperlink r:id="rId319" ref="AJ319"/>
    <hyperlink r:id="rId320" ref="AJ320"/>
    <hyperlink r:id="rId321" ref="AJ321"/>
    <hyperlink r:id="rId322" ref="AJ322"/>
    <hyperlink r:id="rId323" ref="AJ323"/>
    <hyperlink r:id="rId324" ref="AJ324"/>
    <hyperlink r:id="rId325" ref="E325"/>
    <hyperlink r:id="rId326" ref="AJ325"/>
    <hyperlink r:id="rId327" ref="AJ326"/>
    <hyperlink r:id="rId328" ref="AJ327"/>
    <hyperlink r:id="rId329" ref="AJ328"/>
    <hyperlink r:id="rId330" ref="AJ329"/>
    <hyperlink r:id="rId331" ref="AJ330"/>
    <hyperlink r:id="rId332" ref="AJ331"/>
    <hyperlink r:id="rId333" ref="AJ332"/>
    <hyperlink r:id="rId334" ref="AJ333"/>
    <hyperlink r:id="rId335" ref="AJ334"/>
    <hyperlink r:id="rId336" ref="AJ335"/>
    <hyperlink r:id="rId337" ref="AJ336"/>
    <hyperlink r:id="rId338" ref="AJ337"/>
    <hyperlink r:id="rId339" ref="AJ338"/>
    <hyperlink r:id="rId340" ref="AJ339"/>
    <hyperlink r:id="rId341" ref="AJ340"/>
    <hyperlink r:id="rId342" ref="AJ341"/>
    <hyperlink r:id="rId343" ref="AJ342"/>
    <hyperlink r:id="rId344" ref="AJ343"/>
    <hyperlink r:id="rId345" ref="AJ344"/>
    <hyperlink r:id="rId346" ref="AJ345"/>
    <hyperlink r:id="rId347" ref="AJ346"/>
    <hyperlink r:id="rId348" ref="AJ347"/>
    <hyperlink r:id="rId349" ref="AJ348"/>
    <hyperlink r:id="rId350" ref="AJ349"/>
    <hyperlink r:id="rId351" ref="AJ350"/>
    <hyperlink r:id="rId352" ref="AJ351"/>
    <hyperlink r:id="rId353" ref="AJ352"/>
    <hyperlink r:id="rId354" ref="AJ353"/>
    <hyperlink r:id="rId355" ref="AJ354"/>
    <hyperlink r:id="rId356" ref="AJ355"/>
    <hyperlink r:id="rId357" ref="AJ356"/>
    <hyperlink r:id="rId358" ref="AJ357"/>
    <hyperlink r:id="rId359" ref="AJ358"/>
    <hyperlink r:id="rId360" ref="AJ359"/>
    <hyperlink r:id="rId361" ref="AJ360"/>
    <hyperlink r:id="rId362" ref="AJ361"/>
    <hyperlink r:id="rId363" ref="AJ362"/>
    <hyperlink r:id="rId364" ref="AJ363"/>
    <hyperlink r:id="rId365" ref="AJ364"/>
    <hyperlink r:id="rId366" ref="AJ365"/>
    <hyperlink r:id="rId367" ref="AJ366"/>
    <hyperlink r:id="rId368" ref="AJ367"/>
    <hyperlink r:id="rId369" ref="AJ368"/>
    <hyperlink r:id="rId370" ref="AJ369"/>
    <hyperlink r:id="rId371" ref="AJ370"/>
    <hyperlink r:id="rId372" ref="AJ371"/>
    <hyperlink r:id="rId373" ref="AJ372"/>
    <hyperlink r:id="rId374" ref="AJ373"/>
    <hyperlink r:id="rId375" ref="AJ374"/>
    <hyperlink r:id="rId376" ref="AJ375"/>
    <hyperlink r:id="rId377" ref="AJ376"/>
    <hyperlink r:id="rId378" ref="AJ377"/>
    <hyperlink r:id="rId379" ref="AJ378"/>
    <hyperlink r:id="rId380" ref="AJ379"/>
    <hyperlink r:id="rId381" ref="AJ380"/>
    <hyperlink r:id="rId382" ref="AJ381"/>
    <hyperlink r:id="rId383" ref="AJ382"/>
    <hyperlink r:id="rId384" ref="AJ383"/>
    <hyperlink r:id="rId385" ref="AJ384"/>
    <hyperlink r:id="rId386" ref="AJ385"/>
    <hyperlink r:id="rId387" ref="AJ386"/>
    <hyperlink r:id="rId388" ref="AJ387"/>
    <hyperlink r:id="rId389" ref="AJ388"/>
    <hyperlink r:id="rId390" ref="AJ389"/>
    <hyperlink r:id="rId391" ref="AJ390"/>
    <hyperlink r:id="rId392" ref="AJ391"/>
    <hyperlink r:id="rId393" ref="AJ392"/>
    <hyperlink r:id="rId394" ref="AJ393"/>
    <hyperlink r:id="rId395" ref="AJ394"/>
    <hyperlink r:id="rId396" ref="AJ395"/>
    <hyperlink r:id="rId397" ref="AJ396"/>
    <hyperlink r:id="rId398" ref="AJ397"/>
    <hyperlink r:id="rId399" ref="AJ398"/>
    <hyperlink r:id="rId400" ref="AJ399"/>
    <hyperlink r:id="rId401" ref="AJ400"/>
    <hyperlink r:id="rId402" ref="AJ401"/>
    <hyperlink r:id="rId403" ref="AJ402"/>
    <hyperlink r:id="rId404" ref="AJ403"/>
    <hyperlink r:id="rId405" ref="AJ404"/>
    <hyperlink r:id="rId406" ref="AJ405"/>
    <hyperlink r:id="rId407" ref="AJ406"/>
    <hyperlink r:id="rId408" ref="AJ407"/>
    <hyperlink r:id="rId409" ref="AJ408"/>
    <hyperlink r:id="rId410" ref="AJ409"/>
    <hyperlink r:id="rId411" ref="AJ410"/>
    <hyperlink r:id="rId412" ref="AJ411"/>
    <hyperlink r:id="rId413" ref="AJ412"/>
    <hyperlink r:id="rId414" ref="AJ413"/>
    <hyperlink r:id="rId415" ref="AJ414"/>
    <hyperlink r:id="rId416" ref="AJ415"/>
    <hyperlink r:id="rId417" ref="AJ416"/>
    <hyperlink r:id="rId418" ref="AJ417"/>
    <hyperlink r:id="rId419" ref="AJ418"/>
    <hyperlink r:id="rId420" ref="AJ419"/>
    <hyperlink r:id="rId421" ref="AJ420"/>
    <hyperlink r:id="rId422" ref="AJ421"/>
    <hyperlink r:id="rId423" ref="AJ422"/>
    <hyperlink r:id="rId424" ref="AJ423"/>
    <hyperlink r:id="rId425" ref="AJ424"/>
    <hyperlink r:id="rId426" ref="AJ425"/>
    <hyperlink r:id="rId427" ref="AJ426"/>
    <hyperlink r:id="rId428" ref="AJ427"/>
    <hyperlink r:id="rId429" ref="AJ428"/>
    <hyperlink r:id="rId430" ref="AJ429"/>
    <hyperlink r:id="rId431" ref="AJ430"/>
    <hyperlink r:id="rId432" ref="AJ431"/>
    <hyperlink r:id="rId433" ref="AJ432"/>
    <hyperlink r:id="rId434" ref="AJ433"/>
    <hyperlink r:id="rId435" ref="AJ434"/>
    <hyperlink r:id="rId436" ref="AJ435"/>
    <hyperlink r:id="rId437" ref="AJ436"/>
    <hyperlink r:id="rId438" ref="AJ437"/>
    <hyperlink r:id="rId439" ref="AJ438"/>
    <hyperlink r:id="rId440" ref="AJ439"/>
    <hyperlink r:id="rId441" ref="AJ440"/>
    <hyperlink r:id="rId442" ref="AJ441"/>
    <hyperlink r:id="rId443" ref="AJ442"/>
    <hyperlink r:id="rId444" ref="AJ443"/>
    <hyperlink r:id="rId445" ref="AJ444"/>
    <hyperlink r:id="rId446" ref="AJ445"/>
    <hyperlink r:id="rId447" ref="AJ446"/>
    <hyperlink r:id="rId448" ref="AJ447"/>
    <hyperlink r:id="rId449" ref="AJ448"/>
    <hyperlink r:id="rId450" ref="AJ449"/>
    <hyperlink r:id="rId451" ref="AJ450"/>
    <hyperlink r:id="rId452" ref="AJ451"/>
    <hyperlink r:id="rId453" ref="AJ452"/>
    <hyperlink r:id="rId454" ref="AJ453"/>
    <hyperlink r:id="rId455" ref="AJ454"/>
    <hyperlink r:id="rId456" ref="AJ455"/>
    <hyperlink r:id="rId457" ref="AJ456"/>
    <hyperlink r:id="rId458" ref="AJ457"/>
    <hyperlink r:id="rId459" ref="AJ458"/>
    <hyperlink r:id="rId460" ref="AJ459"/>
    <hyperlink r:id="rId461" ref="AJ460"/>
    <hyperlink r:id="rId462" ref="AJ461"/>
    <hyperlink r:id="rId463" ref="AJ462"/>
    <hyperlink r:id="rId464" ref="AJ463"/>
    <hyperlink r:id="rId465" ref="AJ464"/>
    <hyperlink r:id="rId466" ref="AJ465"/>
    <hyperlink r:id="rId467" ref="AJ466"/>
    <hyperlink r:id="rId468" ref="AJ467"/>
    <hyperlink r:id="rId469" ref="AJ468"/>
    <hyperlink r:id="rId470" ref="AJ469"/>
    <hyperlink r:id="rId471" ref="AJ470"/>
    <hyperlink r:id="rId472" ref="AJ471"/>
    <hyperlink r:id="rId473" ref="AJ472"/>
    <hyperlink r:id="rId474" ref="AJ473"/>
    <hyperlink r:id="rId475" ref="AJ474"/>
    <hyperlink r:id="rId476" ref="AJ475"/>
    <hyperlink r:id="rId477" ref="AJ476"/>
    <hyperlink r:id="rId478" ref="AJ477"/>
    <hyperlink r:id="rId479" ref="AJ478"/>
    <hyperlink r:id="rId480" ref="AJ479"/>
    <hyperlink r:id="rId481" ref="AJ480"/>
    <hyperlink r:id="rId482" ref="AJ481"/>
    <hyperlink r:id="rId483" ref="AJ482"/>
    <hyperlink r:id="rId484" ref="AJ483"/>
    <hyperlink r:id="rId485" ref="AJ484"/>
    <hyperlink r:id="rId486" ref="AJ485"/>
    <hyperlink r:id="rId487" ref="AJ486"/>
    <hyperlink r:id="rId488" ref="AJ487"/>
    <hyperlink r:id="rId489" ref="AJ488"/>
    <hyperlink r:id="rId490" ref="AJ489"/>
    <hyperlink r:id="rId491" ref="AJ490"/>
    <hyperlink r:id="rId492" ref="AJ491"/>
    <hyperlink r:id="rId493" ref="AJ492"/>
    <hyperlink r:id="rId494" ref="AJ493"/>
    <hyperlink r:id="rId495" ref="AJ494"/>
    <hyperlink r:id="rId496" ref="AJ495"/>
    <hyperlink r:id="rId497" ref="AJ496"/>
    <hyperlink r:id="rId498" ref="AJ497"/>
    <hyperlink r:id="rId499" ref="AJ498"/>
    <hyperlink r:id="rId500" ref="AJ499"/>
    <hyperlink r:id="rId501" ref="AJ500"/>
    <hyperlink r:id="rId502" ref="AJ501"/>
    <hyperlink r:id="rId503" ref="AJ502"/>
    <hyperlink r:id="rId504" ref="AJ503"/>
    <hyperlink r:id="rId505" ref="AJ504"/>
    <hyperlink r:id="rId506" ref="AJ505"/>
    <hyperlink r:id="rId507" ref="AJ506"/>
    <hyperlink r:id="rId508" ref="AJ507"/>
    <hyperlink r:id="rId509" ref="AJ508"/>
    <hyperlink r:id="rId510" ref="AJ509"/>
    <hyperlink r:id="rId511" ref="AJ510"/>
    <hyperlink r:id="rId512" ref="AJ511"/>
    <hyperlink r:id="rId513" ref="AJ512"/>
    <hyperlink r:id="rId514" ref="AJ513"/>
    <hyperlink r:id="rId515" ref="AJ514"/>
    <hyperlink r:id="rId516" ref="AJ515"/>
    <hyperlink r:id="rId517" ref="AJ516"/>
    <hyperlink r:id="rId518" ref="AJ517"/>
    <hyperlink r:id="rId519" ref="AJ518"/>
    <hyperlink r:id="rId520" ref="AJ519"/>
    <hyperlink r:id="rId521" ref="AJ520"/>
    <hyperlink r:id="rId522" ref="AJ521"/>
    <hyperlink r:id="rId523" ref="AJ522"/>
    <hyperlink r:id="rId524" ref="AJ523"/>
    <hyperlink r:id="rId525" ref="AJ524"/>
    <hyperlink r:id="rId526" ref="AJ525"/>
    <hyperlink r:id="rId527" ref="AJ526"/>
    <hyperlink r:id="rId528" ref="AJ527"/>
    <hyperlink r:id="rId529" ref="AJ528"/>
    <hyperlink r:id="rId530" ref="AJ529"/>
    <hyperlink r:id="rId531" ref="AJ530"/>
    <hyperlink r:id="rId532" ref="AJ531"/>
    <hyperlink r:id="rId533" ref="AJ532"/>
    <hyperlink r:id="rId534" ref="AJ533"/>
    <hyperlink r:id="rId535" ref="AJ534"/>
    <hyperlink r:id="rId536" ref="AJ535"/>
    <hyperlink r:id="rId537" ref="AJ536"/>
    <hyperlink r:id="rId538" ref="AJ537"/>
    <hyperlink r:id="rId539" ref="AJ538"/>
    <hyperlink r:id="rId540" ref="AJ539"/>
    <hyperlink r:id="rId541" ref="AJ540"/>
    <hyperlink r:id="rId542" ref="AJ541"/>
    <hyperlink r:id="rId543" ref="AJ542"/>
    <hyperlink r:id="rId544" ref="AJ543"/>
    <hyperlink r:id="rId545" ref="AJ544"/>
    <hyperlink r:id="rId546" ref="AJ545"/>
    <hyperlink r:id="rId547" ref="AJ546"/>
    <hyperlink r:id="rId548" ref="AJ547"/>
    <hyperlink r:id="rId549" ref="AJ548"/>
    <hyperlink r:id="rId550" ref="AJ549"/>
    <hyperlink r:id="rId551" ref="AJ550"/>
    <hyperlink r:id="rId552" ref="AJ551"/>
    <hyperlink r:id="rId553" ref="AJ552"/>
    <hyperlink r:id="rId554" ref="AJ553"/>
    <hyperlink r:id="rId555" ref="AJ554"/>
    <hyperlink r:id="rId556" ref="AJ555"/>
    <hyperlink r:id="rId557" ref="AJ556"/>
    <hyperlink r:id="rId558" ref="AJ557"/>
    <hyperlink r:id="rId559" ref="AJ558"/>
    <hyperlink r:id="rId560" ref="AJ559"/>
    <hyperlink r:id="rId561" ref="AJ560"/>
    <hyperlink r:id="rId562" ref="AJ561"/>
    <hyperlink r:id="rId563" ref="AJ562"/>
    <hyperlink r:id="rId564" ref="AJ563"/>
    <hyperlink r:id="rId565" ref="AJ564"/>
    <hyperlink r:id="rId566" ref="AJ565"/>
    <hyperlink r:id="rId567" ref="AJ566"/>
    <hyperlink r:id="rId568" ref="AJ567"/>
    <hyperlink r:id="rId569" ref="AJ568"/>
    <hyperlink r:id="rId570" ref="AJ569"/>
    <hyperlink r:id="rId571" ref="AJ570"/>
    <hyperlink r:id="rId572" ref="AJ571"/>
    <hyperlink r:id="rId573" ref="AJ572"/>
    <hyperlink r:id="rId574" ref="AJ573"/>
    <hyperlink r:id="rId575" ref="AJ574"/>
    <hyperlink r:id="rId576" ref="AJ575"/>
    <hyperlink r:id="rId577" ref="AJ576"/>
    <hyperlink r:id="rId578" ref="AJ577"/>
    <hyperlink r:id="rId579" ref="AJ578"/>
    <hyperlink r:id="rId580" ref="AJ579"/>
    <hyperlink r:id="rId581" ref="AJ580"/>
    <hyperlink r:id="rId582" ref="AJ581"/>
    <hyperlink r:id="rId583" ref="AJ582"/>
    <hyperlink r:id="rId584" ref="AJ583"/>
    <hyperlink r:id="rId585" ref="AJ584"/>
    <hyperlink r:id="rId586" ref="AJ585"/>
    <hyperlink r:id="rId587" ref="AJ586"/>
    <hyperlink r:id="rId588" ref="AJ587"/>
    <hyperlink r:id="rId589" ref="AJ588"/>
    <hyperlink r:id="rId590" ref="AJ589"/>
    <hyperlink r:id="rId591" ref="AJ590"/>
    <hyperlink r:id="rId592" ref="AJ591"/>
    <hyperlink r:id="rId593" ref="AJ592"/>
    <hyperlink r:id="rId594" ref="AJ593"/>
    <hyperlink r:id="rId595" ref="AJ594"/>
    <hyperlink r:id="rId596" ref="AJ595"/>
    <hyperlink r:id="rId597" ref="AJ596"/>
    <hyperlink r:id="rId598" ref="AJ597"/>
    <hyperlink r:id="rId599" ref="AJ598"/>
    <hyperlink r:id="rId600" ref="AJ599"/>
    <hyperlink r:id="rId601" ref="AJ600"/>
    <hyperlink r:id="rId602" ref="AJ601"/>
    <hyperlink r:id="rId603" ref="AJ602"/>
    <hyperlink r:id="rId604" ref="AJ603"/>
    <hyperlink r:id="rId605" ref="AJ604"/>
    <hyperlink r:id="rId606" ref="AJ605"/>
    <hyperlink r:id="rId607" ref="AJ606"/>
    <hyperlink r:id="rId608" ref="AJ607"/>
    <hyperlink r:id="rId609" ref="AJ608"/>
    <hyperlink r:id="rId610" ref="AJ609"/>
    <hyperlink r:id="rId611" ref="AJ610"/>
    <hyperlink r:id="rId612" ref="AJ611"/>
    <hyperlink r:id="rId613" ref="AJ612"/>
    <hyperlink r:id="rId614" ref="AJ613"/>
    <hyperlink r:id="rId615" ref="AJ614"/>
    <hyperlink r:id="rId616" ref="AJ615"/>
    <hyperlink r:id="rId617" ref="AJ616"/>
    <hyperlink r:id="rId618" ref="AJ617"/>
    <hyperlink r:id="rId619" ref="AJ618"/>
    <hyperlink r:id="rId620" ref="AJ619"/>
    <hyperlink r:id="rId621" ref="AJ620"/>
    <hyperlink r:id="rId622" ref="AJ621"/>
    <hyperlink r:id="rId623" ref="AJ622"/>
    <hyperlink r:id="rId624" ref="AJ623"/>
    <hyperlink r:id="rId625" ref="AJ624"/>
    <hyperlink r:id="rId626" ref="AJ625"/>
    <hyperlink r:id="rId627" ref="AJ626"/>
    <hyperlink r:id="rId628" ref="AJ627"/>
    <hyperlink r:id="rId629" ref="AJ628"/>
    <hyperlink r:id="rId630" ref="AJ629"/>
    <hyperlink r:id="rId631" ref="AJ630"/>
    <hyperlink r:id="rId632" ref="AJ631"/>
    <hyperlink r:id="rId633" ref="AJ632"/>
    <hyperlink r:id="rId634" ref="AJ633"/>
    <hyperlink r:id="rId635" ref="AJ634"/>
    <hyperlink r:id="rId636" ref="AJ635"/>
    <hyperlink r:id="rId637" ref="AJ636"/>
    <hyperlink r:id="rId638" ref="AJ637"/>
    <hyperlink r:id="rId639" ref="AJ638"/>
    <hyperlink r:id="rId640" ref="AJ639"/>
    <hyperlink r:id="rId641" ref="AJ640"/>
    <hyperlink r:id="rId642" ref="AJ641"/>
    <hyperlink r:id="rId643" ref="AJ642"/>
    <hyperlink r:id="rId644" ref="AJ643"/>
    <hyperlink r:id="rId645" ref="AJ644"/>
    <hyperlink r:id="rId646" ref="AJ645"/>
    <hyperlink r:id="rId647" ref="AJ646"/>
    <hyperlink r:id="rId648" ref="AJ647"/>
    <hyperlink r:id="rId649" ref="AJ648"/>
    <hyperlink r:id="rId650" ref="AJ649"/>
    <hyperlink r:id="rId651" ref="AJ650"/>
    <hyperlink r:id="rId652" ref="AJ651"/>
    <hyperlink r:id="rId653" ref="AJ652"/>
    <hyperlink r:id="rId654" ref="AJ653"/>
    <hyperlink r:id="rId655" ref="AJ654"/>
    <hyperlink r:id="rId656" ref="AJ655"/>
    <hyperlink r:id="rId657" ref="AJ656"/>
    <hyperlink r:id="rId658" ref="AJ657"/>
    <hyperlink r:id="rId659" ref="AJ658"/>
    <hyperlink r:id="rId660" ref="AJ659"/>
    <hyperlink r:id="rId661" ref="AJ660"/>
    <hyperlink r:id="rId662" ref="AJ661"/>
    <hyperlink r:id="rId663" ref="AJ662"/>
    <hyperlink r:id="rId664" ref="AJ663"/>
    <hyperlink r:id="rId665" ref="AJ664"/>
    <hyperlink r:id="rId666" ref="AJ665"/>
    <hyperlink r:id="rId667" ref="AJ666"/>
    <hyperlink r:id="rId668" ref="AJ667"/>
    <hyperlink r:id="rId669" ref="AJ668"/>
    <hyperlink r:id="rId670" ref="AJ669"/>
    <hyperlink r:id="rId671" ref="AJ670"/>
    <hyperlink r:id="rId672" ref="AJ671"/>
    <hyperlink r:id="rId673" ref="AJ672"/>
    <hyperlink r:id="rId674" ref="AJ673"/>
    <hyperlink r:id="rId675" ref="AJ674"/>
    <hyperlink r:id="rId676" ref="AJ675"/>
    <hyperlink r:id="rId677" ref="AJ676"/>
    <hyperlink r:id="rId678" ref="AJ677"/>
    <hyperlink r:id="rId679" ref="AJ678"/>
    <hyperlink r:id="rId680" ref="AJ679"/>
    <hyperlink r:id="rId681" ref="AJ680"/>
    <hyperlink r:id="rId682" ref="AJ681"/>
    <hyperlink r:id="rId683" ref="AJ682"/>
    <hyperlink r:id="rId684" ref="AJ683"/>
    <hyperlink r:id="rId685" ref="AJ684"/>
    <hyperlink r:id="rId686" ref="AJ685"/>
    <hyperlink r:id="rId687" ref="AJ686"/>
    <hyperlink r:id="rId688" ref="AJ687"/>
    <hyperlink r:id="rId689" ref="AJ688"/>
    <hyperlink r:id="rId690" ref="AJ689"/>
    <hyperlink r:id="rId691" ref="AJ690"/>
    <hyperlink r:id="rId692" ref="AJ691"/>
    <hyperlink r:id="rId693" ref="AJ692"/>
    <hyperlink r:id="rId694" ref="AJ693"/>
    <hyperlink r:id="rId695" ref="AJ694"/>
    <hyperlink r:id="rId696" ref="AJ695"/>
    <hyperlink r:id="rId697" ref="AJ696"/>
    <hyperlink r:id="rId698" ref="AJ697"/>
    <hyperlink r:id="rId699" ref="AJ698"/>
    <hyperlink r:id="rId700" ref="AJ699"/>
    <hyperlink r:id="rId701" ref="AJ700"/>
    <hyperlink r:id="rId702" ref="AJ701"/>
    <hyperlink r:id="rId703" ref="AJ702"/>
    <hyperlink r:id="rId704" ref="AJ703"/>
    <hyperlink r:id="rId705" ref="AJ704"/>
    <hyperlink r:id="rId706" ref="AJ705"/>
    <hyperlink r:id="rId707" ref="AJ706"/>
    <hyperlink r:id="rId708" ref="AJ707"/>
    <hyperlink r:id="rId709" ref="AJ708"/>
    <hyperlink r:id="rId710" ref="AJ709"/>
    <hyperlink r:id="rId711" ref="AJ710"/>
    <hyperlink r:id="rId712" ref="AJ711"/>
    <hyperlink r:id="rId713" ref="AJ712"/>
    <hyperlink r:id="rId714" ref="AJ713"/>
    <hyperlink r:id="rId715" ref="AJ714"/>
    <hyperlink r:id="rId716" ref="AJ715"/>
    <hyperlink r:id="rId717" ref="AJ716"/>
    <hyperlink r:id="rId718" ref="AJ717"/>
    <hyperlink r:id="rId719" ref="AJ718"/>
    <hyperlink r:id="rId720" ref="AJ719"/>
    <hyperlink r:id="rId721" ref="AJ720"/>
    <hyperlink r:id="rId722" ref="AJ721"/>
    <hyperlink r:id="rId723" ref="AJ722"/>
    <hyperlink r:id="rId724" ref="AJ723"/>
    <hyperlink r:id="rId725" ref="AJ724"/>
    <hyperlink r:id="rId726" ref="AJ725"/>
    <hyperlink r:id="rId727" ref="AJ726"/>
    <hyperlink r:id="rId728" ref="AJ727"/>
    <hyperlink r:id="rId729" ref="AJ728"/>
    <hyperlink r:id="rId730" ref="AJ729"/>
    <hyperlink r:id="rId731" ref="AJ730"/>
    <hyperlink r:id="rId732" ref="AJ731"/>
    <hyperlink r:id="rId733" ref="AJ732"/>
    <hyperlink r:id="rId734" ref="AJ733"/>
    <hyperlink r:id="rId735" ref="AJ734"/>
    <hyperlink r:id="rId736" ref="AJ735"/>
    <hyperlink r:id="rId737" ref="AJ736"/>
    <hyperlink r:id="rId738" ref="AJ737"/>
    <hyperlink r:id="rId739" ref="AJ738"/>
    <hyperlink r:id="rId740" ref="AJ739"/>
    <hyperlink r:id="rId741" ref="AJ740"/>
    <hyperlink r:id="rId742" ref="AJ741"/>
    <hyperlink r:id="rId743" ref="AJ742"/>
    <hyperlink r:id="rId744" ref="AJ743"/>
    <hyperlink r:id="rId745" ref="AJ744"/>
    <hyperlink r:id="rId746" ref="AJ745"/>
    <hyperlink r:id="rId747" ref="AJ746"/>
    <hyperlink r:id="rId748" ref="AJ747"/>
    <hyperlink r:id="rId749" ref="AJ748"/>
    <hyperlink r:id="rId750" ref="AJ749"/>
    <hyperlink r:id="rId751" ref="AJ750"/>
    <hyperlink r:id="rId752" ref="AJ751"/>
    <hyperlink r:id="rId753" ref="AJ752"/>
    <hyperlink r:id="rId754" ref="AJ753"/>
    <hyperlink r:id="rId755" ref="AJ754"/>
    <hyperlink r:id="rId756" ref="AJ755"/>
    <hyperlink r:id="rId757" ref="AJ756"/>
    <hyperlink r:id="rId758" ref="AJ757"/>
    <hyperlink r:id="rId759" ref="AJ758"/>
    <hyperlink r:id="rId760" ref="AJ759"/>
    <hyperlink r:id="rId761" ref="AJ760"/>
    <hyperlink r:id="rId762" ref="AJ761"/>
    <hyperlink r:id="rId763" ref="AJ762"/>
    <hyperlink r:id="rId764" ref="AJ763"/>
    <hyperlink r:id="rId765" ref="AJ764"/>
    <hyperlink r:id="rId766" ref="AJ765"/>
    <hyperlink r:id="rId767" ref="AJ766"/>
    <hyperlink r:id="rId768" ref="AJ767"/>
    <hyperlink r:id="rId769" ref="AJ768"/>
    <hyperlink r:id="rId770" ref="AJ769"/>
    <hyperlink r:id="rId771" ref="AJ770"/>
    <hyperlink r:id="rId772" ref="AJ771"/>
    <hyperlink r:id="rId773" ref="AJ772"/>
    <hyperlink r:id="rId774" ref="AJ773"/>
    <hyperlink r:id="rId775" ref="AJ774"/>
    <hyperlink r:id="rId776" ref="AJ775"/>
    <hyperlink r:id="rId777" ref="AJ776"/>
    <hyperlink r:id="rId778" ref="AJ778"/>
    <hyperlink r:id="rId779" ref="AJ779"/>
    <hyperlink r:id="rId780" ref="AJ780"/>
    <hyperlink r:id="rId781" ref="AJ782"/>
    <hyperlink r:id="rId782" ref="AJ784"/>
    <hyperlink r:id="rId783" ref="AJ785"/>
    <hyperlink r:id="rId784" ref="AJ786"/>
    <hyperlink r:id="rId785" ref="AJ787"/>
    <hyperlink r:id="rId786" ref="AJ788"/>
    <hyperlink r:id="rId787" ref="AJ789"/>
    <hyperlink r:id="rId788" ref="AJ790"/>
    <hyperlink r:id="rId789" ref="AJ791"/>
    <hyperlink r:id="rId790" ref="AJ792"/>
    <hyperlink r:id="rId791" ref="AJ793"/>
    <hyperlink r:id="rId792" ref="AJ794"/>
    <hyperlink r:id="rId793" ref="AJ795"/>
    <hyperlink r:id="rId794" ref="AJ796"/>
    <hyperlink r:id="rId795" ref="AJ797"/>
    <hyperlink r:id="rId796" ref="AJ798"/>
    <hyperlink r:id="rId797" ref="AJ799"/>
    <hyperlink r:id="rId798" ref="AJ800"/>
    <hyperlink r:id="rId799" ref="AJ801"/>
    <hyperlink r:id="rId800" ref="AJ802"/>
    <hyperlink r:id="rId801" ref="AJ803"/>
    <hyperlink r:id="rId802" ref="AJ804"/>
    <hyperlink r:id="rId803" ref="AJ805"/>
    <hyperlink r:id="rId804" ref="AJ806"/>
    <hyperlink r:id="rId805" ref="AJ807"/>
    <hyperlink r:id="rId806" ref="AJ808"/>
    <hyperlink r:id="rId807" ref="AJ809"/>
    <hyperlink r:id="rId808" ref="AJ810"/>
    <hyperlink r:id="rId809" ref="AJ812"/>
    <hyperlink r:id="rId810" ref="AJ813"/>
    <hyperlink r:id="rId811" ref="AJ814"/>
    <hyperlink r:id="rId812" ref="AJ815"/>
    <hyperlink r:id="rId813" ref="AJ816"/>
    <hyperlink r:id="rId814" ref="AJ817"/>
    <hyperlink r:id="rId815" ref="AJ818"/>
    <hyperlink r:id="rId816" ref="AJ819"/>
    <hyperlink r:id="rId817" ref="AJ820"/>
    <hyperlink r:id="rId818" ref="AJ821"/>
    <hyperlink r:id="rId819" ref="AJ822"/>
    <hyperlink r:id="rId820" ref="AJ823"/>
    <hyperlink r:id="rId821" ref="AJ824"/>
    <hyperlink r:id="rId822" ref="AJ825"/>
    <hyperlink r:id="rId823" ref="AJ826"/>
    <hyperlink r:id="rId824" ref="AJ827"/>
    <hyperlink r:id="rId825" ref="AJ828"/>
    <hyperlink r:id="rId826" ref="AJ829"/>
    <hyperlink r:id="rId827" ref="AJ830"/>
    <hyperlink r:id="rId828" ref="AJ831"/>
    <hyperlink r:id="rId829" ref="AJ832"/>
    <hyperlink r:id="rId830" ref="AJ833"/>
    <hyperlink r:id="rId831" ref="AJ834"/>
    <hyperlink r:id="rId832" ref="AJ835"/>
    <hyperlink r:id="rId833" ref="AJ836"/>
    <hyperlink r:id="rId834" ref="AJ837"/>
    <hyperlink r:id="rId835" ref="AJ838"/>
    <hyperlink r:id="rId836" ref="AJ839"/>
    <hyperlink r:id="rId837" ref="AJ840"/>
    <hyperlink r:id="rId838" ref="AJ841"/>
    <hyperlink r:id="rId839" ref="AJ842"/>
    <hyperlink r:id="rId840" ref="AJ843"/>
    <hyperlink r:id="rId841" ref="AJ844"/>
    <hyperlink r:id="rId842" ref="AJ845"/>
    <hyperlink r:id="rId843" ref="AJ846"/>
    <hyperlink r:id="rId844" ref="AJ847"/>
    <hyperlink r:id="rId845" ref="AJ848"/>
    <hyperlink r:id="rId846" ref="AJ849"/>
    <hyperlink r:id="rId847" ref="AJ850"/>
    <hyperlink r:id="rId848" ref="AJ851"/>
    <hyperlink r:id="rId849" ref="AJ852"/>
    <hyperlink r:id="rId850" ref="AJ853"/>
    <hyperlink r:id="rId851" ref="AJ854"/>
    <hyperlink r:id="rId852" ref="AJ855"/>
    <hyperlink r:id="rId853" ref="AJ856"/>
    <hyperlink r:id="rId854" ref="AJ857"/>
    <hyperlink r:id="rId855" ref="AJ858"/>
    <hyperlink r:id="rId856" ref="AJ859"/>
    <hyperlink r:id="rId857" ref="AJ860"/>
    <hyperlink r:id="rId858" ref="AJ861"/>
    <hyperlink r:id="rId859" ref="AJ862"/>
    <hyperlink r:id="rId860" ref="AJ863"/>
    <hyperlink r:id="rId861" ref="AJ864"/>
    <hyperlink r:id="rId862" ref="AJ865"/>
    <hyperlink r:id="rId863" ref="AJ866"/>
    <hyperlink r:id="rId864" ref="AJ867"/>
    <hyperlink r:id="rId865" ref="AJ868"/>
    <hyperlink r:id="rId866" ref="AJ869"/>
    <hyperlink r:id="rId867" ref="AJ870"/>
    <hyperlink r:id="rId868" ref="AJ871"/>
    <hyperlink r:id="rId869" ref="AJ872"/>
    <hyperlink r:id="rId870" ref="AJ873"/>
    <hyperlink r:id="rId871" ref="AJ874"/>
    <hyperlink r:id="rId872" ref="AJ875"/>
    <hyperlink r:id="rId873" ref="AJ876"/>
    <hyperlink r:id="rId874" ref="AJ877"/>
    <hyperlink r:id="rId875" ref="AJ878"/>
    <hyperlink r:id="rId876" ref="AJ879"/>
    <hyperlink r:id="rId877" ref="AJ880"/>
    <hyperlink r:id="rId878" ref="AJ881"/>
    <hyperlink r:id="rId879" ref="AJ882"/>
    <hyperlink r:id="rId880" ref="AJ883"/>
    <hyperlink r:id="rId881" ref="AJ884"/>
    <hyperlink r:id="rId882" ref="AJ885"/>
    <hyperlink r:id="rId883" ref="AJ886"/>
    <hyperlink r:id="rId884" ref="AJ887"/>
    <hyperlink r:id="rId885" ref="AJ888"/>
    <hyperlink r:id="rId886" ref="AJ889"/>
    <hyperlink r:id="rId887" ref="AJ890"/>
    <hyperlink r:id="rId888" ref="AJ891"/>
    <hyperlink r:id="rId889" ref="AJ892"/>
    <hyperlink r:id="rId890" ref="AJ893"/>
    <hyperlink r:id="rId891" ref="AJ894"/>
    <hyperlink r:id="rId892" ref="AJ895"/>
    <hyperlink r:id="rId893" ref="AJ896"/>
    <hyperlink r:id="rId894" ref="AJ897"/>
    <hyperlink r:id="rId895" ref="AJ898"/>
    <hyperlink r:id="rId896" ref="AJ899"/>
    <hyperlink r:id="rId897" ref="AJ900"/>
    <hyperlink r:id="rId898" ref="AJ901"/>
    <hyperlink r:id="rId899" ref="AJ902"/>
    <hyperlink r:id="rId900" ref="AJ903"/>
    <hyperlink r:id="rId901" ref="AJ904"/>
    <hyperlink r:id="rId902" ref="AJ905"/>
    <hyperlink r:id="rId903" ref="AJ906"/>
    <hyperlink r:id="rId904" ref="AJ907"/>
    <hyperlink r:id="rId905" ref="AJ908"/>
    <hyperlink r:id="rId906" ref="AJ909"/>
    <hyperlink r:id="rId907" ref="AJ910"/>
    <hyperlink r:id="rId908" ref="AJ911"/>
    <hyperlink r:id="rId909" ref="AJ912"/>
    <hyperlink r:id="rId910" ref="AJ913"/>
    <hyperlink r:id="rId911" ref="AJ914"/>
    <hyperlink r:id="rId912" ref="AJ915"/>
    <hyperlink r:id="rId913" ref="AJ916"/>
    <hyperlink r:id="rId914" ref="AJ917"/>
    <hyperlink r:id="rId915" ref="AJ918"/>
    <hyperlink r:id="rId916" ref="AJ919"/>
    <hyperlink r:id="rId917" ref="AJ920"/>
    <hyperlink r:id="rId918" ref="AJ921"/>
    <hyperlink r:id="rId919" ref="AJ922"/>
    <hyperlink r:id="rId920" ref="AJ923"/>
    <hyperlink r:id="rId921" ref="AJ924"/>
    <hyperlink r:id="rId922" ref="AJ925"/>
    <hyperlink r:id="rId923" ref="AJ926"/>
    <hyperlink r:id="rId924" ref="AJ927"/>
    <hyperlink r:id="rId925" ref="AJ928"/>
    <hyperlink r:id="rId926" ref="AJ929"/>
    <hyperlink r:id="rId927" ref="AJ930"/>
    <hyperlink r:id="rId928" ref="AJ931"/>
    <hyperlink r:id="rId929" ref="AJ932"/>
    <hyperlink r:id="rId930" ref="AJ933"/>
    <hyperlink r:id="rId931" ref="AJ934"/>
    <hyperlink r:id="rId932" ref="AJ935"/>
    <hyperlink r:id="rId933" ref="AJ936"/>
    <hyperlink r:id="rId934" ref="AJ937"/>
    <hyperlink r:id="rId935" ref="AJ938"/>
    <hyperlink r:id="rId936" ref="AJ939"/>
    <hyperlink r:id="rId937" ref="AJ940"/>
    <hyperlink r:id="rId938" ref="AJ941"/>
    <hyperlink r:id="rId939" ref="AJ942"/>
    <hyperlink r:id="rId940" ref="AJ943"/>
    <hyperlink r:id="rId941" ref="AJ944"/>
    <hyperlink r:id="rId942" ref="AJ945"/>
    <hyperlink r:id="rId943" ref="AJ946"/>
    <hyperlink r:id="rId944" ref="AJ947"/>
    <hyperlink r:id="rId945" ref="AJ948"/>
    <hyperlink r:id="rId946" ref="AJ949"/>
    <hyperlink r:id="rId947" ref="AJ950"/>
    <hyperlink r:id="rId948" ref="AJ951"/>
    <hyperlink r:id="rId949" ref="AJ952"/>
    <hyperlink r:id="rId950" ref="AJ953"/>
    <hyperlink r:id="rId951" ref="AJ954"/>
    <hyperlink r:id="rId952" ref="AJ955"/>
    <hyperlink r:id="rId953" ref="AJ956"/>
    <hyperlink r:id="rId954" ref="AJ957"/>
    <hyperlink r:id="rId955" ref="AJ958"/>
    <hyperlink r:id="rId956" ref="AJ959"/>
    <hyperlink r:id="rId957" ref="AJ960"/>
    <hyperlink r:id="rId958" ref="AJ961"/>
    <hyperlink r:id="rId959" ref="AJ962"/>
    <hyperlink r:id="rId960" ref="AJ963"/>
    <hyperlink r:id="rId961" ref="AJ964"/>
    <hyperlink r:id="rId962" ref="AJ965"/>
    <hyperlink r:id="rId963" ref="AJ966"/>
    <hyperlink r:id="rId964" ref="AJ967"/>
    <hyperlink r:id="rId965" ref="AJ968"/>
    <hyperlink r:id="rId966" ref="AJ969"/>
    <hyperlink r:id="rId967" ref="AJ970"/>
    <hyperlink r:id="rId968" ref="AJ971"/>
    <hyperlink r:id="rId969" ref="AJ972"/>
    <hyperlink r:id="rId970" ref="AJ973"/>
    <hyperlink r:id="rId971" ref="AJ974"/>
    <hyperlink r:id="rId972" ref="AJ975"/>
    <hyperlink r:id="rId973" ref="AJ976"/>
    <hyperlink r:id="rId974" ref="AJ977"/>
    <hyperlink r:id="rId975" ref="AJ978"/>
    <hyperlink r:id="rId976" ref="AJ979"/>
    <hyperlink r:id="rId977" ref="AJ980"/>
  </hyperlinks>
  <drawing r:id="rId978"/>
  <legacyDrawing r:id="rId9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0"/>
    <col customWidth="1" min="4" max="4" width="18.25"/>
    <col customWidth="1" min="5" max="5" width="70.13"/>
    <col customWidth="1" min="6" max="6" width="40.75"/>
    <col customWidth="1" min="7" max="7" width="31.88"/>
    <col customWidth="1" min="8" max="8" width="93.75"/>
    <col customWidth="1" min="9" max="9" width="87.75"/>
    <col customWidth="1" min="10" max="10" width="53.0"/>
    <col customWidth="1" min="11" max="11" width="24.13"/>
    <col customWidth="1" min="12" max="12" width="47.0"/>
    <col customWidth="1" min="13" max="13" width="54.5"/>
    <col customWidth="1" min="14" max="14" width="48.88"/>
    <col customWidth="1" min="22" max="22" width="85.25"/>
    <col hidden="1" min="28" max="48" width="12.63"/>
  </cols>
  <sheetData>
    <row r="1">
      <c r="A1" s="19" t="s">
        <v>13</v>
      </c>
      <c r="B1" s="20" t="s">
        <v>14</v>
      </c>
      <c r="C1" s="21" t="s">
        <v>15</v>
      </c>
      <c r="D1" s="22" t="s">
        <v>16</v>
      </c>
      <c r="E1" s="21" t="s">
        <v>17</v>
      </c>
      <c r="F1" s="23" t="s">
        <v>13</v>
      </c>
      <c r="G1" s="21" t="s">
        <v>18</v>
      </c>
      <c r="H1" s="21" t="s">
        <v>19</v>
      </c>
      <c r="I1" s="21" t="s">
        <v>20</v>
      </c>
      <c r="J1" s="21" t="s">
        <v>21</v>
      </c>
      <c r="K1" s="24" t="s">
        <v>22</v>
      </c>
      <c r="L1" s="24" t="s">
        <v>23</v>
      </c>
      <c r="M1" s="24" t="s">
        <v>24</v>
      </c>
      <c r="N1" s="21" t="s">
        <v>25</v>
      </c>
      <c r="O1" s="24" t="s">
        <v>26</v>
      </c>
      <c r="P1" s="24" t="s">
        <v>27</v>
      </c>
      <c r="Q1" s="24" t="s">
        <v>28</v>
      </c>
      <c r="R1" s="24" t="s">
        <v>29</v>
      </c>
      <c r="S1" s="24" t="s">
        <v>30</v>
      </c>
      <c r="T1" s="24" t="s">
        <v>31</v>
      </c>
      <c r="U1" s="24" t="s">
        <v>32</v>
      </c>
      <c r="V1" s="25" t="s">
        <v>33</v>
      </c>
      <c r="W1" s="21" t="s">
        <v>34</v>
      </c>
      <c r="X1" s="26" t="s">
        <v>35</v>
      </c>
      <c r="Y1" s="24" t="s">
        <v>36</v>
      </c>
      <c r="Z1" s="27" t="s">
        <v>37</v>
      </c>
      <c r="AA1" s="27" t="s">
        <v>38</v>
      </c>
      <c r="AB1" s="26" t="s">
        <v>39</v>
      </c>
      <c r="AC1" s="26" t="s">
        <v>40</v>
      </c>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row>
    <row r="2">
      <c r="A2" s="29" t="s">
        <v>41</v>
      </c>
      <c r="B2" s="30">
        <v>45863.1920090162</v>
      </c>
      <c r="C2" s="31" t="s">
        <v>42</v>
      </c>
      <c r="D2" s="32" t="s">
        <v>43</v>
      </c>
      <c r="E2" s="31" t="s">
        <v>44</v>
      </c>
      <c r="F2" s="33" t="s">
        <v>41</v>
      </c>
      <c r="G2" s="31">
        <v>413.0</v>
      </c>
      <c r="H2" s="31">
        <v>7.0</v>
      </c>
      <c r="I2" s="31">
        <v>6.0</v>
      </c>
      <c r="J2" s="31">
        <v>3.0</v>
      </c>
      <c r="K2" s="34"/>
      <c r="L2" s="34"/>
      <c r="M2" s="34"/>
      <c r="N2" s="31">
        <v>6.0</v>
      </c>
      <c r="O2" s="34"/>
      <c r="P2" s="34"/>
      <c r="Q2" s="34"/>
      <c r="R2" s="34"/>
      <c r="S2" s="34"/>
      <c r="T2" s="34"/>
      <c r="U2" s="34"/>
      <c r="V2" s="35" t="s">
        <v>45</v>
      </c>
      <c r="W2" s="31" t="s">
        <v>46</v>
      </c>
      <c r="X2" s="34"/>
      <c r="Y2" s="34"/>
      <c r="Z2" s="36" t="s">
        <v>47</v>
      </c>
      <c r="AA2" s="36" t="s">
        <v>8</v>
      </c>
      <c r="AB2" s="34"/>
      <c r="AC2" s="34"/>
      <c r="AD2" s="37"/>
      <c r="AE2" s="37"/>
      <c r="AF2" s="37"/>
      <c r="AG2" s="37"/>
      <c r="AH2" s="37"/>
      <c r="AI2" s="38"/>
      <c r="AJ2" s="38"/>
      <c r="AK2" s="38"/>
      <c r="AL2" s="38"/>
      <c r="AM2" s="38"/>
      <c r="AN2" s="38"/>
      <c r="AO2" s="38"/>
      <c r="AP2" s="38"/>
      <c r="AQ2" s="38"/>
      <c r="AR2" s="38"/>
      <c r="AS2" s="38"/>
      <c r="AT2" s="38"/>
      <c r="AU2" s="38"/>
      <c r="AV2" s="38"/>
      <c r="AW2" s="38"/>
      <c r="AX2" s="38"/>
      <c r="AY2" s="38"/>
      <c r="AZ2" s="38"/>
      <c r="BA2" s="38"/>
      <c r="BB2" s="38"/>
      <c r="BC2" s="38"/>
    </row>
    <row r="3">
      <c r="A3" s="39" t="s">
        <v>48</v>
      </c>
      <c r="B3" s="40">
        <v>45863.2124615162</v>
      </c>
      <c r="C3" s="41" t="s">
        <v>49</v>
      </c>
      <c r="D3" s="42" t="s">
        <v>50</v>
      </c>
      <c r="E3" s="41" t="s">
        <v>51</v>
      </c>
      <c r="F3" s="43" t="s">
        <v>48</v>
      </c>
      <c r="G3" s="44">
        <v>140.0</v>
      </c>
      <c r="H3" s="44">
        <v>10.0</v>
      </c>
      <c r="I3" s="44">
        <v>10.0</v>
      </c>
      <c r="J3" s="44">
        <v>0.0</v>
      </c>
      <c r="K3" s="45"/>
      <c r="L3" s="45"/>
      <c r="M3" s="45"/>
      <c r="N3" s="44">
        <v>8.0</v>
      </c>
      <c r="O3" s="45"/>
      <c r="P3" s="45"/>
      <c r="Q3" s="45"/>
      <c r="R3" s="45"/>
      <c r="S3" s="45"/>
      <c r="T3" s="45"/>
      <c r="U3" s="45"/>
      <c r="V3" s="46" t="s">
        <v>52</v>
      </c>
      <c r="W3" s="41" t="s">
        <v>53</v>
      </c>
      <c r="X3" s="45"/>
      <c r="Y3" s="45"/>
      <c r="Z3" s="41" t="s">
        <v>54</v>
      </c>
      <c r="AA3" s="44">
        <v>1.0</v>
      </c>
      <c r="AB3" s="45"/>
      <c r="AC3" s="44">
        <v>1.0</v>
      </c>
      <c r="AD3" s="47"/>
      <c r="AE3" s="47"/>
      <c r="AF3" s="47"/>
      <c r="AG3" s="47"/>
      <c r="AH3" s="47"/>
      <c r="AI3" s="38"/>
      <c r="AJ3" s="38"/>
      <c r="AK3" s="38"/>
      <c r="AL3" s="38"/>
      <c r="AM3" s="38"/>
      <c r="AN3" s="38"/>
      <c r="AO3" s="38"/>
      <c r="AP3" s="38"/>
      <c r="AQ3" s="38"/>
      <c r="AR3" s="38"/>
      <c r="AS3" s="38"/>
      <c r="AT3" s="38"/>
      <c r="AU3" s="38"/>
      <c r="AV3" s="38"/>
      <c r="AW3" s="38"/>
      <c r="AX3" s="38"/>
      <c r="AY3" s="38"/>
      <c r="AZ3" s="38"/>
      <c r="BA3" s="38"/>
      <c r="BB3" s="38"/>
      <c r="BC3" s="38"/>
    </row>
    <row r="4">
      <c r="A4" s="48" t="s">
        <v>55</v>
      </c>
      <c r="B4" s="30">
        <v>45863.21320707176</v>
      </c>
      <c r="C4" s="36" t="s">
        <v>56</v>
      </c>
      <c r="D4" s="32" t="s">
        <v>57</v>
      </c>
      <c r="E4" s="36" t="s">
        <v>58</v>
      </c>
      <c r="F4" s="33" t="s">
        <v>55</v>
      </c>
      <c r="G4" s="31">
        <v>244.0</v>
      </c>
      <c r="H4" s="31">
        <v>8.0</v>
      </c>
      <c r="I4" s="31">
        <v>8.0</v>
      </c>
      <c r="J4" s="31">
        <v>1.0</v>
      </c>
      <c r="K4" s="34"/>
      <c r="L4" s="34"/>
      <c r="M4" s="34"/>
      <c r="N4" s="31">
        <v>9.0</v>
      </c>
      <c r="O4" s="34"/>
      <c r="P4" s="34"/>
      <c r="Q4" s="34"/>
      <c r="R4" s="34"/>
      <c r="S4" s="34"/>
      <c r="T4" s="34"/>
      <c r="U4" s="34"/>
      <c r="V4" s="35" t="s">
        <v>59</v>
      </c>
      <c r="W4" s="34"/>
      <c r="X4" s="34"/>
      <c r="Y4" s="34"/>
      <c r="Z4" s="36" t="s">
        <v>60</v>
      </c>
      <c r="AA4" s="31">
        <v>1.0</v>
      </c>
      <c r="AB4" s="34"/>
      <c r="AC4" s="31">
        <v>1.0</v>
      </c>
      <c r="AD4" s="49"/>
      <c r="AE4" s="49"/>
      <c r="AF4" s="49"/>
      <c r="AG4" s="49"/>
      <c r="AH4" s="49"/>
      <c r="AI4" s="38"/>
      <c r="AJ4" s="38"/>
      <c r="AK4" s="38"/>
      <c r="AL4" s="38"/>
      <c r="AM4" s="38"/>
      <c r="AN4" s="38"/>
      <c r="AO4" s="38"/>
      <c r="AP4" s="38"/>
      <c r="AQ4" s="38"/>
      <c r="AR4" s="38"/>
      <c r="AS4" s="38"/>
      <c r="AT4" s="38"/>
      <c r="AU4" s="38"/>
      <c r="AV4" s="38"/>
      <c r="AW4" s="38"/>
      <c r="AX4" s="38"/>
      <c r="AY4" s="38"/>
      <c r="AZ4" s="38"/>
      <c r="BA4" s="38"/>
      <c r="BB4" s="38"/>
      <c r="BC4" s="38"/>
    </row>
    <row r="5">
      <c r="A5" s="39" t="s">
        <v>61</v>
      </c>
      <c r="B5" s="40">
        <v>45863.214527766206</v>
      </c>
      <c r="C5" s="41" t="s">
        <v>62</v>
      </c>
      <c r="D5" s="42" t="s">
        <v>63</v>
      </c>
      <c r="E5" s="41" t="s">
        <v>64</v>
      </c>
      <c r="F5" s="43" t="s">
        <v>61</v>
      </c>
      <c r="G5" s="44">
        <v>38.0</v>
      </c>
      <c r="H5" s="50">
        <v>7.0</v>
      </c>
      <c r="I5" s="50">
        <v>7.0</v>
      </c>
      <c r="J5" s="44">
        <v>2.0</v>
      </c>
      <c r="K5" s="45"/>
      <c r="L5" s="45"/>
      <c r="M5" s="45"/>
      <c r="N5" s="44">
        <v>8.0</v>
      </c>
      <c r="O5" s="45"/>
      <c r="P5" s="45"/>
      <c r="Q5" s="45"/>
      <c r="R5" s="45"/>
      <c r="S5" s="45"/>
      <c r="T5" s="45"/>
      <c r="U5" s="45"/>
      <c r="V5" s="46" t="s">
        <v>65</v>
      </c>
      <c r="W5" s="45"/>
      <c r="X5" s="45"/>
      <c r="Y5" s="45"/>
      <c r="Z5" s="41" t="s">
        <v>66</v>
      </c>
      <c r="AA5" s="44">
        <v>1.0</v>
      </c>
      <c r="AB5" s="45"/>
      <c r="AC5" s="44">
        <v>1.0</v>
      </c>
      <c r="AD5" s="47"/>
      <c r="AE5" s="47"/>
      <c r="AF5" s="47"/>
      <c r="AG5" s="47"/>
      <c r="AH5" s="47"/>
      <c r="AI5" s="38"/>
      <c r="AJ5" s="38"/>
      <c r="AK5" s="38"/>
      <c r="AL5" s="38"/>
      <c r="AM5" s="38"/>
      <c r="AN5" s="38"/>
      <c r="AO5" s="38"/>
      <c r="AP5" s="38"/>
      <c r="AQ5" s="38"/>
      <c r="AR5" s="38"/>
      <c r="AS5" s="38"/>
      <c r="AT5" s="38"/>
      <c r="AU5" s="38"/>
      <c r="AV5" s="38"/>
      <c r="AW5" s="38"/>
      <c r="AX5" s="38"/>
      <c r="AY5" s="38"/>
      <c r="AZ5" s="38"/>
      <c r="BA5" s="38"/>
      <c r="BB5" s="38"/>
      <c r="BC5" s="38"/>
    </row>
    <row r="6">
      <c r="A6" s="48" t="s">
        <v>67</v>
      </c>
      <c r="B6" s="30">
        <v>45863.2149649537</v>
      </c>
      <c r="C6" s="36" t="s">
        <v>68</v>
      </c>
      <c r="D6" s="32" t="s">
        <v>69</v>
      </c>
      <c r="E6" s="36" t="s">
        <v>70</v>
      </c>
      <c r="F6" s="33" t="s">
        <v>67</v>
      </c>
      <c r="G6" s="31">
        <v>140.0</v>
      </c>
      <c r="H6" s="31">
        <v>10.0</v>
      </c>
      <c r="I6" s="31">
        <v>10.0</v>
      </c>
      <c r="J6" s="31">
        <v>0.0</v>
      </c>
      <c r="K6" s="34"/>
      <c r="L6" s="34"/>
      <c r="M6" s="34"/>
      <c r="N6" s="31">
        <v>9.0</v>
      </c>
      <c r="O6" s="34"/>
      <c r="P6" s="34"/>
      <c r="Q6" s="34"/>
      <c r="R6" s="34"/>
      <c r="S6" s="34"/>
      <c r="T6" s="34"/>
      <c r="U6" s="34"/>
      <c r="V6" s="35" t="s">
        <v>71</v>
      </c>
      <c r="W6" s="36" t="s">
        <v>72</v>
      </c>
      <c r="X6" s="34"/>
      <c r="Y6" s="34"/>
      <c r="Z6" s="36" t="s">
        <v>73</v>
      </c>
      <c r="AA6" s="31">
        <v>1.0</v>
      </c>
      <c r="AB6" s="34"/>
      <c r="AC6" s="31">
        <v>1.0</v>
      </c>
      <c r="AD6" s="49"/>
      <c r="AE6" s="49"/>
      <c r="AF6" s="49"/>
      <c r="AG6" s="49"/>
      <c r="AH6" s="49"/>
      <c r="AI6" s="38"/>
      <c r="AJ6" s="38"/>
      <c r="AK6" s="38"/>
      <c r="AL6" s="38"/>
      <c r="AM6" s="38"/>
      <c r="AN6" s="38"/>
      <c r="AO6" s="38"/>
      <c r="AP6" s="38"/>
      <c r="AQ6" s="38"/>
      <c r="AR6" s="38"/>
      <c r="AS6" s="38"/>
      <c r="AT6" s="38"/>
      <c r="AU6" s="38"/>
      <c r="AV6" s="38"/>
      <c r="AW6" s="38"/>
      <c r="AX6" s="38"/>
      <c r="AY6" s="38"/>
      <c r="AZ6" s="38"/>
      <c r="BA6" s="38"/>
      <c r="BB6" s="38"/>
      <c r="BC6" s="38"/>
    </row>
    <row r="7">
      <c r="A7" s="39" t="s">
        <v>74</v>
      </c>
      <c r="B7" s="40">
        <v>45863.21576114584</v>
      </c>
      <c r="C7" s="41" t="s">
        <v>75</v>
      </c>
      <c r="D7" s="42" t="s">
        <v>76</v>
      </c>
      <c r="E7" s="41" t="s">
        <v>77</v>
      </c>
      <c r="F7" s="43" t="s">
        <v>74</v>
      </c>
      <c r="G7" s="44">
        <v>59.0</v>
      </c>
      <c r="H7" s="44">
        <v>7.0</v>
      </c>
      <c r="I7" s="44">
        <v>7.0</v>
      </c>
      <c r="J7" s="44">
        <v>3.0</v>
      </c>
      <c r="K7" s="45"/>
      <c r="L7" s="45"/>
      <c r="M7" s="45"/>
      <c r="N7" s="44">
        <v>8.0</v>
      </c>
      <c r="O7" s="45"/>
      <c r="P7" s="45"/>
      <c r="Q7" s="45"/>
      <c r="R7" s="45"/>
      <c r="S7" s="45"/>
      <c r="T7" s="45"/>
      <c r="U7" s="45"/>
      <c r="V7" s="46" t="s">
        <v>78</v>
      </c>
      <c r="W7" s="45"/>
      <c r="X7" s="45"/>
      <c r="Y7" s="45"/>
      <c r="Z7" s="41" t="s">
        <v>79</v>
      </c>
      <c r="AA7" s="44">
        <v>1.0</v>
      </c>
      <c r="AB7" s="45"/>
      <c r="AC7" s="44">
        <v>1.0</v>
      </c>
      <c r="AD7" s="47"/>
      <c r="AE7" s="47"/>
      <c r="AF7" s="47"/>
      <c r="AG7" s="47"/>
      <c r="AH7" s="47"/>
      <c r="AI7" s="38"/>
      <c r="AJ7" s="38"/>
      <c r="AK7" s="38"/>
      <c r="AL7" s="38"/>
      <c r="AM7" s="38"/>
      <c r="AN7" s="38"/>
      <c r="AO7" s="38"/>
      <c r="AP7" s="38"/>
      <c r="AQ7" s="38"/>
      <c r="AR7" s="38"/>
      <c r="AS7" s="38"/>
      <c r="AT7" s="38"/>
      <c r="AU7" s="38"/>
      <c r="AV7" s="38"/>
      <c r="AW7" s="38"/>
      <c r="AX7" s="38"/>
      <c r="AY7" s="38"/>
      <c r="AZ7" s="38"/>
      <c r="BA7" s="38"/>
      <c r="BB7" s="38"/>
      <c r="BC7" s="38"/>
    </row>
    <row r="8">
      <c r="A8" s="48" t="s">
        <v>80</v>
      </c>
      <c r="B8" s="30">
        <v>45863.22183384259</v>
      </c>
      <c r="C8" s="36" t="s">
        <v>75</v>
      </c>
      <c r="D8" s="32" t="s">
        <v>76</v>
      </c>
      <c r="E8" s="36" t="s">
        <v>81</v>
      </c>
      <c r="F8" s="33" t="s">
        <v>80</v>
      </c>
      <c r="G8" s="31">
        <v>59.0</v>
      </c>
      <c r="H8" s="31">
        <v>7.0</v>
      </c>
      <c r="I8" s="31">
        <v>7.0</v>
      </c>
      <c r="J8" s="31">
        <v>3.0</v>
      </c>
      <c r="K8" s="34"/>
      <c r="L8" s="34"/>
      <c r="M8" s="34"/>
      <c r="N8" s="31">
        <v>8.0</v>
      </c>
      <c r="O8" s="34"/>
      <c r="P8" s="34"/>
      <c r="Q8" s="34"/>
      <c r="R8" s="34"/>
      <c r="S8" s="34"/>
      <c r="T8" s="34"/>
      <c r="U8" s="34"/>
      <c r="V8" s="35" t="s">
        <v>82</v>
      </c>
      <c r="W8" s="34"/>
      <c r="X8" s="34"/>
      <c r="Y8" s="34"/>
      <c r="Z8" s="36" t="s">
        <v>79</v>
      </c>
      <c r="AA8" s="36" t="s">
        <v>8</v>
      </c>
      <c r="AB8" s="34"/>
      <c r="AC8" s="34"/>
      <c r="AD8" s="37"/>
      <c r="AE8" s="37"/>
      <c r="AF8" s="37"/>
      <c r="AG8" s="37"/>
      <c r="AH8" s="37"/>
      <c r="AI8" s="38"/>
      <c r="AJ8" s="38"/>
      <c r="AK8" s="38"/>
      <c r="AL8" s="38"/>
      <c r="AM8" s="38"/>
      <c r="AN8" s="38"/>
      <c r="AO8" s="38"/>
      <c r="AP8" s="38"/>
      <c r="AQ8" s="38"/>
      <c r="AR8" s="38"/>
      <c r="AS8" s="38"/>
      <c r="AT8" s="38"/>
      <c r="AU8" s="38"/>
      <c r="AV8" s="38"/>
      <c r="AW8" s="38"/>
      <c r="AX8" s="38"/>
      <c r="AY8" s="38"/>
      <c r="AZ8" s="38"/>
      <c r="BA8" s="38"/>
      <c r="BB8" s="38"/>
      <c r="BC8" s="38"/>
    </row>
    <row r="9">
      <c r="A9" s="39" t="s">
        <v>83</v>
      </c>
      <c r="B9" s="40">
        <v>45863.22383765047</v>
      </c>
      <c r="C9" s="44" t="s">
        <v>84</v>
      </c>
      <c r="D9" s="42" t="s">
        <v>85</v>
      </c>
      <c r="E9" s="44" t="s">
        <v>86</v>
      </c>
      <c r="F9" s="43" t="s">
        <v>83</v>
      </c>
      <c r="G9" s="50">
        <v>809.0</v>
      </c>
      <c r="H9" s="44">
        <v>9.0</v>
      </c>
      <c r="I9" s="44">
        <v>7.0</v>
      </c>
      <c r="J9" s="44">
        <v>2.0</v>
      </c>
      <c r="K9" s="45"/>
      <c r="L9" s="45"/>
      <c r="M9" s="45"/>
      <c r="N9" s="44">
        <v>8.0</v>
      </c>
      <c r="O9" s="45"/>
      <c r="P9" s="45"/>
      <c r="Q9" s="45"/>
      <c r="R9" s="45"/>
      <c r="S9" s="45"/>
      <c r="T9" s="45"/>
      <c r="U9" s="45"/>
      <c r="V9" s="46" t="s">
        <v>87</v>
      </c>
      <c r="W9" s="45"/>
      <c r="X9" s="45"/>
      <c r="Y9" s="45"/>
      <c r="Z9" s="41" t="s">
        <v>88</v>
      </c>
      <c r="AA9" s="44">
        <v>1.0</v>
      </c>
      <c r="AB9" s="45"/>
      <c r="AC9" s="44">
        <v>1.0</v>
      </c>
      <c r="AD9" s="47"/>
      <c r="AE9" s="47"/>
      <c r="AF9" s="47"/>
      <c r="AG9" s="47"/>
      <c r="AH9" s="47"/>
      <c r="AI9" s="38"/>
      <c r="AJ9" s="38"/>
      <c r="AK9" s="38"/>
      <c r="AL9" s="38"/>
      <c r="AM9" s="38"/>
      <c r="AN9" s="38"/>
      <c r="AO9" s="38"/>
      <c r="AP9" s="38"/>
      <c r="AQ9" s="38"/>
      <c r="AR9" s="38"/>
      <c r="AS9" s="38"/>
      <c r="AT9" s="38"/>
      <c r="AU9" s="38"/>
      <c r="AV9" s="38"/>
      <c r="AW9" s="38"/>
      <c r="AX9" s="38"/>
      <c r="AY9" s="38"/>
      <c r="AZ9" s="38"/>
      <c r="BA9" s="38"/>
      <c r="BB9" s="38"/>
      <c r="BC9" s="38"/>
    </row>
    <row r="10">
      <c r="A10" s="48" t="s">
        <v>89</v>
      </c>
      <c r="B10" s="30">
        <v>45863.224836458336</v>
      </c>
      <c r="C10" s="36" t="s">
        <v>90</v>
      </c>
      <c r="D10" s="32" t="s">
        <v>91</v>
      </c>
      <c r="E10" s="36" t="s">
        <v>92</v>
      </c>
      <c r="F10" s="33" t="s">
        <v>89</v>
      </c>
      <c r="G10" s="51">
        <v>415.0</v>
      </c>
      <c r="H10" s="31">
        <v>7.0</v>
      </c>
      <c r="I10" s="31">
        <v>7.0</v>
      </c>
      <c r="J10" s="51">
        <v>2.0</v>
      </c>
      <c r="K10" s="34"/>
      <c r="L10" s="34"/>
      <c r="M10" s="34"/>
      <c r="N10" s="31">
        <v>8.0</v>
      </c>
      <c r="O10" s="34"/>
      <c r="P10" s="34"/>
      <c r="Q10" s="34"/>
      <c r="R10" s="34"/>
      <c r="S10" s="34"/>
      <c r="T10" s="34"/>
      <c r="U10" s="34"/>
      <c r="V10" s="35" t="s">
        <v>93</v>
      </c>
      <c r="W10" s="34"/>
      <c r="X10" s="34"/>
      <c r="Y10" s="34"/>
      <c r="Z10" s="36" t="s">
        <v>94</v>
      </c>
      <c r="AA10" s="31">
        <v>1.0</v>
      </c>
      <c r="AB10" s="34"/>
      <c r="AC10" s="31">
        <v>1.0</v>
      </c>
      <c r="AD10" s="49"/>
      <c r="AE10" s="49"/>
      <c r="AF10" s="49"/>
      <c r="AG10" s="49"/>
      <c r="AH10" s="49"/>
      <c r="AI10" s="38"/>
      <c r="AJ10" s="38"/>
      <c r="AK10" s="38"/>
      <c r="AL10" s="38"/>
      <c r="AM10" s="38"/>
      <c r="AN10" s="38"/>
      <c r="AO10" s="38"/>
      <c r="AP10" s="38"/>
      <c r="AQ10" s="38"/>
      <c r="AR10" s="38"/>
      <c r="AS10" s="38"/>
      <c r="AT10" s="38"/>
      <c r="AU10" s="38"/>
      <c r="AV10" s="38"/>
      <c r="AW10" s="38"/>
      <c r="AX10" s="38"/>
      <c r="AY10" s="38"/>
      <c r="AZ10" s="38"/>
      <c r="BA10" s="38"/>
      <c r="BB10" s="38"/>
      <c r="BC10" s="38"/>
    </row>
    <row r="11">
      <c r="A11" s="39" t="s">
        <v>95</v>
      </c>
      <c r="B11" s="40">
        <v>45863.22556738426</v>
      </c>
      <c r="C11" s="41" t="s">
        <v>96</v>
      </c>
      <c r="D11" s="42" t="s">
        <v>97</v>
      </c>
      <c r="E11" s="41" t="s">
        <v>98</v>
      </c>
      <c r="F11" s="43" t="s">
        <v>95</v>
      </c>
      <c r="G11" s="44">
        <v>297.0</v>
      </c>
      <c r="H11" s="44">
        <v>9.0</v>
      </c>
      <c r="I11" s="44">
        <v>7.0</v>
      </c>
      <c r="J11" s="41" t="s">
        <v>99</v>
      </c>
      <c r="K11" s="45"/>
      <c r="L11" s="45"/>
      <c r="M11" s="45"/>
      <c r="N11" s="44">
        <v>8.0</v>
      </c>
      <c r="O11" s="45"/>
      <c r="P11" s="45"/>
      <c r="Q11" s="45"/>
      <c r="R11" s="45"/>
      <c r="S11" s="45"/>
      <c r="T11" s="45"/>
      <c r="U11" s="45"/>
      <c r="V11" s="46" t="s">
        <v>100</v>
      </c>
      <c r="W11" s="41" t="s">
        <v>101</v>
      </c>
      <c r="X11" s="45"/>
      <c r="Y11" s="45"/>
      <c r="Z11" s="41" t="s">
        <v>102</v>
      </c>
      <c r="AA11" s="44">
        <v>1.0</v>
      </c>
      <c r="AB11" s="45"/>
      <c r="AC11" s="44">
        <v>1.0</v>
      </c>
      <c r="AD11" s="47"/>
      <c r="AE11" s="47"/>
      <c r="AF11" s="47"/>
      <c r="AG11" s="47"/>
      <c r="AH11" s="47"/>
      <c r="AI11" s="38"/>
      <c r="AJ11" s="38"/>
      <c r="AK11" s="38"/>
      <c r="AL11" s="38"/>
      <c r="AM11" s="38"/>
      <c r="AN11" s="38"/>
      <c r="AO11" s="38"/>
      <c r="AP11" s="38"/>
      <c r="AQ11" s="38"/>
      <c r="AR11" s="38"/>
      <c r="AS11" s="38"/>
      <c r="AT11" s="38"/>
      <c r="AU11" s="38"/>
      <c r="AV11" s="38"/>
      <c r="AW11" s="38"/>
      <c r="AX11" s="38"/>
      <c r="AY11" s="38"/>
      <c r="AZ11" s="38"/>
      <c r="BA11" s="38"/>
      <c r="BB11" s="38"/>
      <c r="BC11" s="38"/>
    </row>
    <row r="12">
      <c r="A12" s="48" t="s">
        <v>103</v>
      </c>
      <c r="B12" s="30">
        <v>45863.22659177083</v>
      </c>
      <c r="C12" s="36" t="s">
        <v>104</v>
      </c>
      <c r="D12" s="32" t="s">
        <v>105</v>
      </c>
      <c r="E12" s="36" t="s">
        <v>106</v>
      </c>
      <c r="F12" s="33" t="s">
        <v>103</v>
      </c>
      <c r="G12" s="31">
        <v>206.0</v>
      </c>
      <c r="H12" s="31">
        <v>7.0</v>
      </c>
      <c r="I12" s="31">
        <v>5.0</v>
      </c>
      <c r="J12" s="31">
        <v>3.0</v>
      </c>
      <c r="K12" s="34"/>
      <c r="L12" s="34"/>
      <c r="M12" s="34"/>
      <c r="N12" s="31">
        <v>10.0</v>
      </c>
      <c r="O12" s="34"/>
      <c r="P12" s="34"/>
      <c r="Q12" s="34"/>
      <c r="R12" s="34"/>
      <c r="S12" s="34"/>
      <c r="T12" s="34"/>
      <c r="U12" s="34"/>
      <c r="V12" s="35" t="s">
        <v>107</v>
      </c>
      <c r="W12" s="31" t="s">
        <v>108</v>
      </c>
      <c r="X12" s="34"/>
      <c r="Y12" s="34"/>
      <c r="Z12" s="36" t="s">
        <v>109</v>
      </c>
      <c r="AA12" s="31">
        <v>1.0</v>
      </c>
      <c r="AB12" s="34"/>
      <c r="AC12" s="31">
        <v>1.0</v>
      </c>
      <c r="AD12" s="49"/>
      <c r="AE12" s="49"/>
      <c r="AF12" s="49"/>
      <c r="AG12" s="49"/>
      <c r="AH12" s="49"/>
      <c r="AI12" s="38"/>
      <c r="AJ12" s="38"/>
      <c r="AK12" s="38"/>
      <c r="AL12" s="38"/>
      <c r="AM12" s="38"/>
      <c r="AN12" s="38"/>
      <c r="AO12" s="38"/>
      <c r="AP12" s="38"/>
      <c r="AQ12" s="38"/>
      <c r="AR12" s="38"/>
      <c r="AS12" s="38"/>
      <c r="AT12" s="38"/>
      <c r="AU12" s="38"/>
      <c r="AV12" s="38"/>
      <c r="AW12" s="38"/>
      <c r="AX12" s="38"/>
      <c r="AY12" s="38"/>
      <c r="AZ12" s="38"/>
      <c r="BA12" s="38"/>
      <c r="BB12" s="38"/>
      <c r="BC12" s="38"/>
    </row>
    <row r="13">
      <c r="A13" s="39" t="s">
        <v>110</v>
      </c>
      <c r="B13" s="40">
        <v>45863.2270931713</v>
      </c>
      <c r="C13" s="41" t="s">
        <v>111</v>
      </c>
      <c r="D13" s="42" t="s">
        <v>112</v>
      </c>
      <c r="E13" s="44" t="s">
        <v>113</v>
      </c>
      <c r="F13" s="43" t="s">
        <v>110</v>
      </c>
      <c r="G13" s="44">
        <v>210.0</v>
      </c>
      <c r="H13" s="44">
        <v>9.0</v>
      </c>
      <c r="I13" s="44">
        <v>7.0</v>
      </c>
      <c r="J13" s="44">
        <v>1.0</v>
      </c>
      <c r="K13" s="45"/>
      <c r="L13" s="45"/>
      <c r="M13" s="45"/>
      <c r="N13" s="44">
        <v>8.0</v>
      </c>
      <c r="O13" s="45"/>
      <c r="P13" s="45"/>
      <c r="Q13" s="45"/>
      <c r="R13" s="45"/>
      <c r="S13" s="45"/>
      <c r="T13" s="45"/>
      <c r="U13" s="45"/>
      <c r="V13" s="46" t="s">
        <v>114</v>
      </c>
      <c r="W13" s="44" t="s">
        <v>115</v>
      </c>
      <c r="X13" s="45"/>
      <c r="Y13" s="45"/>
      <c r="Z13" s="41" t="s">
        <v>116</v>
      </c>
      <c r="AA13" s="44">
        <v>1.0</v>
      </c>
      <c r="AB13" s="45"/>
      <c r="AC13" s="44">
        <v>1.0</v>
      </c>
      <c r="AD13" s="47"/>
      <c r="AE13" s="47"/>
      <c r="AF13" s="47"/>
      <c r="AG13" s="47"/>
      <c r="AH13" s="47"/>
      <c r="AI13" s="38"/>
      <c r="AJ13" s="38"/>
      <c r="AK13" s="38"/>
      <c r="AL13" s="38"/>
      <c r="AM13" s="38"/>
      <c r="AN13" s="38"/>
      <c r="AO13" s="38"/>
      <c r="AP13" s="38"/>
      <c r="AQ13" s="38"/>
      <c r="AR13" s="38"/>
      <c r="AS13" s="38"/>
      <c r="AT13" s="38"/>
      <c r="AU13" s="38"/>
      <c r="AV13" s="38"/>
      <c r="AW13" s="38"/>
      <c r="AX13" s="38"/>
      <c r="AY13" s="38"/>
      <c r="AZ13" s="38"/>
      <c r="BA13" s="38"/>
      <c r="BB13" s="38"/>
      <c r="BC13" s="38"/>
    </row>
    <row r="14">
      <c r="A14" s="48" t="s">
        <v>117</v>
      </c>
      <c r="B14" s="30">
        <v>45863.22805517361</v>
      </c>
      <c r="C14" s="36" t="s">
        <v>118</v>
      </c>
      <c r="D14" s="32" t="s">
        <v>119</v>
      </c>
      <c r="E14" s="36" t="s">
        <v>120</v>
      </c>
      <c r="F14" s="33" t="s">
        <v>117</v>
      </c>
      <c r="G14" s="51">
        <v>144.0</v>
      </c>
      <c r="H14" s="31">
        <v>10.0</v>
      </c>
      <c r="I14" s="31">
        <v>9.0</v>
      </c>
      <c r="J14" s="31">
        <v>1.0</v>
      </c>
      <c r="K14" s="34"/>
      <c r="L14" s="34"/>
      <c r="M14" s="34"/>
      <c r="N14" s="31">
        <v>9.0</v>
      </c>
      <c r="O14" s="34"/>
      <c r="P14" s="34"/>
      <c r="Q14" s="34"/>
      <c r="R14" s="34"/>
      <c r="S14" s="34"/>
      <c r="T14" s="34"/>
      <c r="U14" s="34"/>
      <c r="V14" s="35" t="s">
        <v>121</v>
      </c>
      <c r="W14" s="34"/>
      <c r="X14" s="34"/>
      <c r="Y14" s="34"/>
      <c r="Z14" s="36" t="s">
        <v>122</v>
      </c>
      <c r="AA14" s="31">
        <v>1.0</v>
      </c>
      <c r="AB14" s="34"/>
      <c r="AC14" s="31">
        <v>1.0</v>
      </c>
      <c r="AD14" s="49"/>
      <c r="AE14" s="49"/>
      <c r="AF14" s="49"/>
      <c r="AG14" s="49"/>
      <c r="AH14" s="49"/>
      <c r="AI14" s="38"/>
      <c r="AJ14" s="38"/>
      <c r="AK14" s="38"/>
      <c r="AL14" s="38"/>
      <c r="AM14" s="38"/>
      <c r="AN14" s="38"/>
      <c r="AO14" s="38"/>
      <c r="AP14" s="38"/>
      <c r="AQ14" s="38"/>
      <c r="AR14" s="38"/>
      <c r="AS14" s="38"/>
      <c r="AT14" s="38"/>
      <c r="AU14" s="38"/>
      <c r="AV14" s="38"/>
      <c r="AW14" s="38"/>
      <c r="AX14" s="38"/>
      <c r="AY14" s="38"/>
      <c r="AZ14" s="38"/>
      <c r="BA14" s="38"/>
      <c r="BB14" s="38"/>
      <c r="BC14" s="38"/>
    </row>
    <row r="15">
      <c r="A15" s="39" t="s">
        <v>123</v>
      </c>
      <c r="B15" s="40">
        <v>45863.23239399305</v>
      </c>
      <c r="C15" s="41" t="s">
        <v>124</v>
      </c>
      <c r="D15" s="42" t="s">
        <v>125</v>
      </c>
      <c r="E15" s="41" t="s">
        <v>126</v>
      </c>
      <c r="F15" s="43" t="s">
        <v>123</v>
      </c>
      <c r="G15" s="44">
        <v>340.0</v>
      </c>
      <c r="H15" s="44">
        <v>7.0</v>
      </c>
      <c r="I15" s="44">
        <v>6.0</v>
      </c>
      <c r="J15" s="44">
        <v>12.0</v>
      </c>
      <c r="K15" s="45"/>
      <c r="L15" s="45"/>
      <c r="M15" s="45"/>
      <c r="N15" s="44">
        <v>9.0</v>
      </c>
      <c r="O15" s="45"/>
      <c r="P15" s="45"/>
      <c r="Q15" s="45"/>
      <c r="R15" s="45"/>
      <c r="S15" s="45"/>
      <c r="T15" s="45"/>
      <c r="U15" s="45"/>
      <c r="V15" s="46" t="s">
        <v>127</v>
      </c>
      <c r="W15" s="45"/>
      <c r="X15" s="45"/>
      <c r="Y15" s="45"/>
      <c r="Z15" s="41" t="s">
        <v>128</v>
      </c>
      <c r="AA15" s="44">
        <v>1.0</v>
      </c>
      <c r="AB15" s="45"/>
      <c r="AC15" s="44">
        <v>1.0</v>
      </c>
      <c r="AD15" s="47"/>
      <c r="AE15" s="47"/>
      <c r="AF15" s="47"/>
      <c r="AG15" s="47"/>
      <c r="AH15" s="47"/>
      <c r="AI15" s="38"/>
      <c r="AJ15" s="38"/>
      <c r="AK15" s="38"/>
      <c r="AL15" s="38"/>
      <c r="AM15" s="38"/>
      <c r="AN15" s="38"/>
      <c r="AO15" s="38"/>
      <c r="AP15" s="38"/>
      <c r="AQ15" s="38"/>
      <c r="AR15" s="38"/>
      <c r="AS15" s="38"/>
      <c r="AT15" s="38"/>
      <c r="AU15" s="38"/>
      <c r="AV15" s="38"/>
      <c r="AW15" s="38"/>
      <c r="AX15" s="38"/>
      <c r="AY15" s="38"/>
      <c r="AZ15" s="38"/>
      <c r="BA15" s="38"/>
      <c r="BB15" s="38"/>
      <c r="BC15" s="38"/>
    </row>
    <row r="16">
      <c r="A16" s="48" t="s">
        <v>129</v>
      </c>
      <c r="B16" s="30">
        <v>45863.23273898148</v>
      </c>
      <c r="C16" s="36" t="s">
        <v>130</v>
      </c>
      <c r="D16" s="32" t="s">
        <v>131</v>
      </c>
      <c r="E16" s="36" t="s">
        <v>132</v>
      </c>
      <c r="F16" s="33" t="s">
        <v>129</v>
      </c>
      <c r="G16" s="31">
        <v>57.0</v>
      </c>
      <c r="H16" s="31">
        <v>8.0</v>
      </c>
      <c r="I16" s="31">
        <v>9.0</v>
      </c>
      <c r="J16" s="32" t="s">
        <v>133</v>
      </c>
      <c r="K16" s="34"/>
      <c r="L16" s="34"/>
      <c r="M16" s="34"/>
      <c r="N16" s="31">
        <v>9.0</v>
      </c>
      <c r="O16" s="34"/>
      <c r="P16" s="34"/>
      <c r="Q16" s="34"/>
      <c r="R16" s="34"/>
      <c r="S16" s="34"/>
      <c r="T16" s="34"/>
      <c r="U16" s="34"/>
      <c r="V16" s="35" t="s">
        <v>134</v>
      </c>
      <c r="W16" s="34"/>
      <c r="X16" s="34"/>
      <c r="Y16" s="34"/>
      <c r="Z16" s="36" t="s">
        <v>135</v>
      </c>
      <c r="AA16" s="31">
        <v>1.0</v>
      </c>
      <c r="AB16" s="34"/>
      <c r="AC16" s="31">
        <v>1.0</v>
      </c>
      <c r="AD16" s="49"/>
      <c r="AE16" s="49"/>
      <c r="AF16" s="49"/>
      <c r="AG16" s="49"/>
      <c r="AH16" s="49"/>
      <c r="AI16" s="38"/>
      <c r="AJ16" s="38"/>
      <c r="AK16" s="38"/>
      <c r="AL16" s="38"/>
      <c r="AM16" s="38"/>
      <c r="AN16" s="38"/>
      <c r="AO16" s="38"/>
      <c r="AP16" s="38"/>
      <c r="AQ16" s="38"/>
      <c r="AR16" s="38"/>
      <c r="AS16" s="38"/>
      <c r="AT16" s="38"/>
      <c r="AU16" s="38"/>
      <c r="AV16" s="38"/>
      <c r="AW16" s="38"/>
      <c r="AX16" s="38"/>
      <c r="AY16" s="38"/>
      <c r="AZ16" s="38"/>
      <c r="BA16" s="38"/>
      <c r="BB16" s="38"/>
      <c r="BC16" s="38"/>
    </row>
    <row r="17">
      <c r="A17" s="52"/>
      <c r="B17" s="40">
        <v>45863.234439120366</v>
      </c>
      <c r="C17" s="41" t="s">
        <v>136</v>
      </c>
      <c r="D17" s="42" t="s">
        <v>137</v>
      </c>
      <c r="E17" s="41" t="s">
        <v>138</v>
      </c>
      <c r="F17" s="53"/>
      <c r="G17" s="44">
        <v>216.0</v>
      </c>
      <c r="H17" s="44">
        <v>9.0</v>
      </c>
      <c r="I17" s="44">
        <v>9.0</v>
      </c>
      <c r="J17" s="44">
        <v>1.0</v>
      </c>
      <c r="K17" s="45"/>
      <c r="L17" s="45"/>
      <c r="M17" s="45"/>
      <c r="N17" s="44">
        <v>10.0</v>
      </c>
      <c r="O17" s="45"/>
      <c r="P17" s="45"/>
      <c r="Q17" s="45"/>
      <c r="R17" s="45"/>
      <c r="S17" s="45"/>
      <c r="T17" s="45"/>
      <c r="U17" s="45"/>
      <c r="V17" s="45"/>
      <c r="W17" s="45"/>
      <c r="X17" s="45"/>
      <c r="Y17" s="45"/>
      <c r="Z17" s="41" t="s">
        <v>139</v>
      </c>
      <c r="AA17" s="41" t="s">
        <v>8</v>
      </c>
      <c r="AB17" s="45"/>
      <c r="AC17" s="45"/>
      <c r="AD17" s="54"/>
      <c r="AE17" s="54"/>
      <c r="AF17" s="54"/>
      <c r="AG17" s="54"/>
      <c r="AH17" s="54"/>
      <c r="AI17" s="38"/>
      <c r="AJ17" s="38"/>
      <c r="AK17" s="38"/>
      <c r="AL17" s="38"/>
      <c r="AM17" s="38"/>
      <c r="AN17" s="38"/>
      <c r="AO17" s="38"/>
      <c r="AP17" s="38"/>
      <c r="AQ17" s="38"/>
      <c r="AR17" s="38"/>
      <c r="AS17" s="38"/>
      <c r="AT17" s="38"/>
      <c r="AU17" s="38"/>
      <c r="AV17" s="38"/>
      <c r="AW17" s="38"/>
      <c r="AX17" s="38"/>
      <c r="AY17" s="38"/>
      <c r="AZ17" s="38"/>
      <c r="BA17" s="38"/>
      <c r="BB17" s="38"/>
      <c r="BC17" s="38"/>
    </row>
    <row r="18">
      <c r="A18" s="48" t="s">
        <v>140</v>
      </c>
      <c r="B18" s="30">
        <v>45863.23591444445</v>
      </c>
      <c r="C18" s="36" t="s">
        <v>141</v>
      </c>
      <c r="D18" s="32" t="s">
        <v>142</v>
      </c>
      <c r="E18" s="36" t="s">
        <v>143</v>
      </c>
      <c r="F18" s="33" t="s">
        <v>140</v>
      </c>
      <c r="G18" s="31">
        <v>250.0</v>
      </c>
      <c r="H18" s="31">
        <v>8.0</v>
      </c>
      <c r="I18" s="31">
        <v>7.0</v>
      </c>
      <c r="J18" s="36" t="s">
        <v>144</v>
      </c>
      <c r="K18" s="34"/>
      <c r="L18" s="34"/>
      <c r="M18" s="34"/>
      <c r="N18" s="31">
        <v>7.0</v>
      </c>
      <c r="O18" s="34"/>
      <c r="P18" s="34"/>
      <c r="Q18" s="34"/>
      <c r="R18" s="34"/>
      <c r="S18" s="34"/>
      <c r="T18" s="34"/>
      <c r="U18" s="34"/>
      <c r="V18" s="35" t="s">
        <v>145</v>
      </c>
      <c r="W18" s="34"/>
      <c r="X18" s="34"/>
      <c r="Y18" s="34"/>
      <c r="Z18" s="36" t="s">
        <v>146</v>
      </c>
      <c r="AA18" s="31">
        <v>1.0</v>
      </c>
      <c r="AB18" s="34"/>
      <c r="AC18" s="31">
        <v>1.0</v>
      </c>
      <c r="AD18" s="49"/>
      <c r="AE18" s="49"/>
      <c r="AF18" s="49"/>
      <c r="AG18" s="49"/>
      <c r="AH18" s="49"/>
      <c r="AI18" s="38"/>
      <c r="AJ18" s="38"/>
      <c r="AK18" s="38"/>
      <c r="AL18" s="38"/>
      <c r="AM18" s="38"/>
      <c r="AN18" s="38"/>
      <c r="AO18" s="38"/>
      <c r="AP18" s="38"/>
      <c r="AQ18" s="38"/>
      <c r="AR18" s="38"/>
      <c r="AS18" s="38"/>
      <c r="AT18" s="38"/>
      <c r="AU18" s="38"/>
      <c r="AV18" s="38"/>
      <c r="AW18" s="38"/>
      <c r="AX18" s="38"/>
      <c r="AY18" s="38"/>
      <c r="AZ18" s="38"/>
      <c r="BA18" s="38"/>
      <c r="BB18" s="38"/>
      <c r="BC18" s="38"/>
    </row>
    <row r="19">
      <c r="A19" s="39" t="s">
        <v>147</v>
      </c>
      <c r="B19" s="40">
        <v>45863.23708248843</v>
      </c>
      <c r="C19" s="41" t="s">
        <v>148</v>
      </c>
      <c r="D19" s="42" t="s">
        <v>149</v>
      </c>
      <c r="E19" s="41" t="s">
        <v>150</v>
      </c>
      <c r="F19" s="43" t="s">
        <v>147</v>
      </c>
      <c r="G19" s="44">
        <v>1003.0</v>
      </c>
      <c r="H19" s="44">
        <v>7.0</v>
      </c>
      <c r="I19" s="44">
        <v>7.0</v>
      </c>
      <c r="J19" s="44">
        <v>0.0</v>
      </c>
      <c r="K19" s="45"/>
      <c r="L19" s="45"/>
      <c r="M19" s="45"/>
      <c r="N19" s="44">
        <v>10.0</v>
      </c>
      <c r="O19" s="45"/>
      <c r="P19" s="45"/>
      <c r="Q19" s="45"/>
      <c r="R19" s="45"/>
      <c r="S19" s="45"/>
      <c r="T19" s="45"/>
      <c r="U19" s="45"/>
      <c r="V19" s="46" t="s">
        <v>151</v>
      </c>
      <c r="W19" s="45"/>
      <c r="X19" s="45"/>
      <c r="Y19" s="45"/>
      <c r="Z19" s="41" t="s">
        <v>152</v>
      </c>
      <c r="AA19" s="44">
        <v>1.0</v>
      </c>
      <c r="AB19" s="45"/>
      <c r="AC19" s="44">
        <v>1.0</v>
      </c>
      <c r="AD19" s="47"/>
      <c r="AE19" s="47"/>
      <c r="AF19" s="47"/>
      <c r="AG19" s="47"/>
      <c r="AH19" s="47"/>
      <c r="AI19" s="38"/>
      <c r="AJ19" s="38"/>
      <c r="AK19" s="38"/>
      <c r="AL19" s="38"/>
      <c r="AM19" s="38"/>
      <c r="AN19" s="38"/>
      <c r="AO19" s="38"/>
      <c r="AP19" s="38"/>
      <c r="AQ19" s="38"/>
      <c r="AR19" s="38"/>
      <c r="AS19" s="38"/>
      <c r="AT19" s="38"/>
      <c r="AU19" s="38"/>
      <c r="AV19" s="38"/>
      <c r="AW19" s="38"/>
      <c r="AX19" s="38"/>
      <c r="AY19" s="38"/>
      <c r="AZ19" s="38"/>
      <c r="BA19" s="38"/>
      <c r="BB19" s="38"/>
      <c r="BC19" s="38"/>
    </row>
    <row r="20">
      <c r="A20" s="48" t="s">
        <v>153</v>
      </c>
      <c r="B20" s="30">
        <v>45863.23919490741</v>
      </c>
      <c r="C20" s="36" t="s">
        <v>154</v>
      </c>
      <c r="D20" s="32" t="s">
        <v>155</v>
      </c>
      <c r="E20" s="36" t="s">
        <v>156</v>
      </c>
      <c r="F20" s="33" t="s">
        <v>153</v>
      </c>
      <c r="G20" s="51">
        <v>180.0</v>
      </c>
      <c r="H20" s="51">
        <v>8.0</v>
      </c>
      <c r="I20" s="31">
        <v>7.0</v>
      </c>
      <c r="J20" s="31">
        <v>2.0</v>
      </c>
      <c r="K20" s="34"/>
      <c r="L20" s="34"/>
      <c r="M20" s="34"/>
      <c r="N20" s="31">
        <v>8.0</v>
      </c>
      <c r="O20" s="34"/>
      <c r="P20" s="34"/>
      <c r="Q20" s="34"/>
      <c r="R20" s="34"/>
      <c r="S20" s="34"/>
      <c r="T20" s="34"/>
      <c r="U20" s="34"/>
      <c r="V20" s="35" t="s">
        <v>157</v>
      </c>
      <c r="W20" s="34"/>
      <c r="X20" s="34"/>
      <c r="Y20" s="34"/>
      <c r="Z20" s="36" t="s">
        <v>158</v>
      </c>
      <c r="AA20" s="31">
        <v>1.0</v>
      </c>
      <c r="AB20" s="34"/>
      <c r="AC20" s="31">
        <v>1.0</v>
      </c>
      <c r="AD20" s="49"/>
      <c r="AE20" s="49"/>
      <c r="AF20" s="49"/>
      <c r="AG20" s="49"/>
      <c r="AH20" s="49"/>
      <c r="AI20" s="38"/>
      <c r="AJ20" s="38"/>
      <c r="AK20" s="38"/>
      <c r="AL20" s="38"/>
      <c r="AM20" s="38"/>
      <c r="AN20" s="38"/>
      <c r="AO20" s="38"/>
      <c r="AP20" s="38"/>
      <c r="AQ20" s="38"/>
      <c r="AR20" s="38"/>
      <c r="AS20" s="38"/>
      <c r="AT20" s="38"/>
      <c r="AU20" s="38"/>
      <c r="AV20" s="38"/>
      <c r="AW20" s="38"/>
      <c r="AX20" s="38"/>
      <c r="AY20" s="38"/>
      <c r="AZ20" s="38"/>
      <c r="BA20" s="38"/>
      <c r="BB20" s="38"/>
      <c r="BC20" s="38"/>
    </row>
    <row r="21">
      <c r="A21" s="39" t="s">
        <v>159</v>
      </c>
      <c r="B21" s="40">
        <v>45863.23967456019</v>
      </c>
      <c r="C21" s="44" t="s">
        <v>160</v>
      </c>
      <c r="D21" s="42" t="s">
        <v>161</v>
      </c>
      <c r="E21" s="44" t="s">
        <v>162</v>
      </c>
      <c r="F21" s="43" t="s">
        <v>159</v>
      </c>
      <c r="G21" s="44">
        <v>255.0</v>
      </c>
      <c r="H21" s="44">
        <v>9.0</v>
      </c>
      <c r="I21" s="44">
        <v>8.0</v>
      </c>
      <c r="J21" s="44">
        <v>0.0</v>
      </c>
      <c r="K21" s="45"/>
      <c r="L21" s="45"/>
      <c r="M21" s="45"/>
      <c r="N21" s="44">
        <v>9.0</v>
      </c>
      <c r="O21" s="45"/>
      <c r="P21" s="45"/>
      <c r="Q21" s="45"/>
      <c r="R21" s="45"/>
      <c r="S21" s="45"/>
      <c r="T21" s="45"/>
      <c r="U21" s="45"/>
      <c r="V21" s="46" t="s">
        <v>163</v>
      </c>
      <c r="W21" s="44" t="s">
        <v>164</v>
      </c>
      <c r="X21" s="45"/>
      <c r="Y21" s="45"/>
      <c r="Z21" s="41" t="s">
        <v>165</v>
      </c>
      <c r="AA21" s="44">
        <v>1.0</v>
      </c>
      <c r="AB21" s="45"/>
      <c r="AC21" s="44">
        <v>1.0</v>
      </c>
      <c r="AD21" s="47"/>
      <c r="AE21" s="47"/>
      <c r="AF21" s="47"/>
      <c r="AG21" s="47"/>
      <c r="AH21" s="47"/>
      <c r="AI21" s="38"/>
      <c r="AJ21" s="38"/>
      <c r="AK21" s="38"/>
      <c r="AL21" s="38"/>
      <c r="AM21" s="38"/>
      <c r="AN21" s="38"/>
      <c r="AO21" s="38"/>
      <c r="AP21" s="38"/>
      <c r="AQ21" s="38"/>
      <c r="AR21" s="38"/>
      <c r="AS21" s="38"/>
      <c r="AT21" s="38"/>
      <c r="AU21" s="38"/>
      <c r="AV21" s="38"/>
      <c r="AW21" s="38"/>
      <c r="AX21" s="38"/>
      <c r="AY21" s="38"/>
      <c r="AZ21" s="38"/>
      <c r="BA21" s="38"/>
      <c r="BB21" s="38"/>
      <c r="BC21" s="38"/>
    </row>
    <row r="22">
      <c r="A22" s="48" t="s">
        <v>166</v>
      </c>
      <c r="B22" s="30">
        <v>45863.243451180555</v>
      </c>
      <c r="C22" s="36" t="s">
        <v>167</v>
      </c>
      <c r="D22" s="32" t="s">
        <v>168</v>
      </c>
      <c r="E22" s="36" t="s">
        <v>169</v>
      </c>
      <c r="F22" s="33" t="s">
        <v>166</v>
      </c>
      <c r="G22" s="31">
        <v>296.0</v>
      </c>
      <c r="H22" s="31">
        <v>8.0</v>
      </c>
      <c r="I22" s="51">
        <v>8.0</v>
      </c>
      <c r="J22" s="31">
        <v>0.0</v>
      </c>
      <c r="K22" s="34"/>
      <c r="L22" s="34"/>
      <c r="M22" s="34"/>
      <c r="N22" s="31">
        <v>7.0</v>
      </c>
      <c r="O22" s="34"/>
      <c r="P22" s="34"/>
      <c r="Q22" s="34"/>
      <c r="R22" s="34"/>
      <c r="S22" s="34"/>
      <c r="T22" s="34"/>
      <c r="U22" s="34"/>
      <c r="V22" s="35" t="s">
        <v>170</v>
      </c>
      <c r="W22" s="36" t="s">
        <v>171</v>
      </c>
      <c r="X22" s="34"/>
      <c r="Y22" s="34"/>
      <c r="Z22" s="36" t="s">
        <v>172</v>
      </c>
      <c r="AA22" s="31">
        <v>1.0</v>
      </c>
      <c r="AB22" s="34"/>
      <c r="AC22" s="31">
        <v>1.0</v>
      </c>
      <c r="AD22" s="49"/>
      <c r="AE22" s="49"/>
      <c r="AF22" s="49"/>
      <c r="AG22" s="49"/>
      <c r="AH22" s="49"/>
      <c r="AI22" s="38"/>
      <c r="AJ22" s="38"/>
      <c r="AK22" s="38"/>
      <c r="AL22" s="38"/>
      <c r="AM22" s="38"/>
      <c r="AN22" s="38"/>
      <c r="AO22" s="38"/>
      <c r="AP22" s="38"/>
      <c r="AQ22" s="38"/>
      <c r="AR22" s="38"/>
      <c r="AS22" s="38"/>
      <c r="AT22" s="38"/>
      <c r="AU22" s="38"/>
      <c r="AV22" s="38"/>
      <c r="AW22" s="38"/>
      <c r="AX22" s="38"/>
      <c r="AY22" s="38"/>
      <c r="AZ22" s="38"/>
      <c r="BA22" s="38"/>
      <c r="BB22" s="38"/>
      <c r="BC22" s="38"/>
    </row>
    <row r="23">
      <c r="A23" s="39" t="s">
        <v>173</v>
      </c>
      <c r="B23" s="40">
        <v>45863.24451650463</v>
      </c>
      <c r="C23" s="41" t="s">
        <v>174</v>
      </c>
      <c r="D23" s="42" t="s">
        <v>175</v>
      </c>
      <c r="E23" s="41" t="s">
        <v>176</v>
      </c>
      <c r="F23" s="43" t="s">
        <v>173</v>
      </c>
      <c r="G23" s="44">
        <v>1150.0</v>
      </c>
      <c r="H23" s="44">
        <v>5.0</v>
      </c>
      <c r="I23" s="44">
        <v>4.0</v>
      </c>
      <c r="J23" s="44">
        <v>4.0</v>
      </c>
      <c r="K23" s="45"/>
      <c r="L23" s="45"/>
      <c r="M23" s="45"/>
      <c r="N23" s="44">
        <v>8.0</v>
      </c>
      <c r="O23" s="45"/>
      <c r="P23" s="45"/>
      <c r="Q23" s="45"/>
      <c r="R23" s="45"/>
      <c r="S23" s="45"/>
      <c r="T23" s="45"/>
      <c r="U23" s="45"/>
      <c r="V23" s="46" t="s">
        <v>177</v>
      </c>
      <c r="W23" s="41" t="s">
        <v>178</v>
      </c>
      <c r="X23" s="45"/>
      <c r="Y23" s="45"/>
      <c r="Z23" s="41" t="s">
        <v>179</v>
      </c>
      <c r="AA23" s="44">
        <v>1.0</v>
      </c>
      <c r="AB23" s="45"/>
      <c r="AC23" s="44">
        <v>1.0</v>
      </c>
      <c r="AD23" s="47"/>
      <c r="AE23" s="47"/>
      <c r="AF23" s="47"/>
      <c r="AG23" s="47"/>
      <c r="AH23" s="47"/>
      <c r="AI23" s="38"/>
      <c r="AJ23" s="38"/>
      <c r="AK23" s="38"/>
      <c r="AL23" s="38"/>
      <c r="AM23" s="38"/>
      <c r="AN23" s="38"/>
      <c r="AO23" s="38"/>
      <c r="AP23" s="38"/>
      <c r="AQ23" s="38"/>
      <c r="AR23" s="38"/>
      <c r="AS23" s="38"/>
      <c r="AT23" s="38"/>
      <c r="AU23" s="38"/>
      <c r="AV23" s="38"/>
      <c r="AW23" s="38"/>
      <c r="AX23" s="38"/>
      <c r="AY23" s="38"/>
      <c r="AZ23" s="38"/>
      <c r="BA23" s="38"/>
      <c r="BB23" s="38"/>
      <c r="BC23" s="38"/>
    </row>
    <row r="24">
      <c r="A24" s="48" t="s">
        <v>180</v>
      </c>
      <c r="B24" s="30">
        <v>45863.246259363426</v>
      </c>
      <c r="C24" s="36" t="s">
        <v>181</v>
      </c>
      <c r="D24" s="32" t="s">
        <v>182</v>
      </c>
      <c r="E24" s="36" t="s">
        <v>183</v>
      </c>
      <c r="F24" s="33" t="s">
        <v>180</v>
      </c>
      <c r="G24" s="31">
        <v>407.0</v>
      </c>
      <c r="H24" s="31">
        <v>8.0</v>
      </c>
      <c r="I24" s="31">
        <v>7.0</v>
      </c>
      <c r="J24" s="55">
        <v>2.0</v>
      </c>
      <c r="K24" s="34"/>
      <c r="L24" s="34"/>
      <c r="M24" s="34"/>
      <c r="N24" s="31">
        <v>8.0</v>
      </c>
      <c r="O24" s="34"/>
      <c r="P24" s="34"/>
      <c r="Q24" s="34"/>
      <c r="R24" s="34"/>
      <c r="S24" s="34"/>
      <c r="T24" s="34"/>
      <c r="U24" s="34"/>
      <c r="V24" s="35" t="s">
        <v>184</v>
      </c>
      <c r="W24" s="34"/>
      <c r="X24" s="34"/>
      <c r="Y24" s="34"/>
      <c r="Z24" s="36" t="s">
        <v>185</v>
      </c>
      <c r="AA24" s="31">
        <v>1.0</v>
      </c>
      <c r="AB24" s="34"/>
      <c r="AC24" s="31">
        <v>1.0</v>
      </c>
      <c r="AD24" s="49"/>
      <c r="AE24" s="49"/>
      <c r="AF24" s="49"/>
      <c r="AG24" s="49"/>
      <c r="AH24" s="49"/>
      <c r="AI24" s="38"/>
      <c r="AJ24" s="38"/>
      <c r="AK24" s="38"/>
      <c r="AL24" s="38"/>
      <c r="AM24" s="38"/>
      <c r="AN24" s="38"/>
      <c r="AO24" s="38"/>
      <c r="AP24" s="38"/>
      <c r="AQ24" s="38"/>
      <c r="AR24" s="38"/>
      <c r="AS24" s="38"/>
      <c r="AT24" s="38"/>
      <c r="AU24" s="38"/>
      <c r="AV24" s="38"/>
      <c r="AW24" s="38"/>
      <c r="AX24" s="38"/>
      <c r="AY24" s="38"/>
      <c r="AZ24" s="38"/>
      <c r="BA24" s="38"/>
      <c r="BB24" s="38"/>
      <c r="BC24" s="38"/>
    </row>
    <row r="25">
      <c r="A25" s="39" t="s">
        <v>186</v>
      </c>
      <c r="B25" s="40">
        <v>45863.247323206015</v>
      </c>
      <c r="C25" s="41" t="s">
        <v>187</v>
      </c>
      <c r="D25" s="41" t="s">
        <v>188</v>
      </c>
      <c r="E25" s="41" t="s">
        <v>189</v>
      </c>
      <c r="F25" s="43" t="s">
        <v>186</v>
      </c>
      <c r="G25" s="44">
        <v>327.0</v>
      </c>
      <c r="H25" s="44">
        <v>7.0</v>
      </c>
      <c r="I25" s="44">
        <v>8.0</v>
      </c>
      <c r="J25" s="44">
        <v>1.0</v>
      </c>
      <c r="K25" s="45"/>
      <c r="L25" s="45"/>
      <c r="M25" s="45"/>
      <c r="N25" s="44">
        <v>9.0</v>
      </c>
      <c r="O25" s="45"/>
      <c r="P25" s="45"/>
      <c r="Q25" s="45"/>
      <c r="R25" s="45"/>
      <c r="S25" s="45"/>
      <c r="T25" s="45"/>
      <c r="U25" s="45"/>
      <c r="V25" s="46" t="s">
        <v>190</v>
      </c>
      <c r="W25" s="45"/>
      <c r="X25" s="45"/>
      <c r="Y25" s="45"/>
      <c r="Z25" s="41" t="s">
        <v>191</v>
      </c>
      <c r="AA25" s="44">
        <v>1.0</v>
      </c>
      <c r="AB25" s="45"/>
      <c r="AC25" s="44">
        <v>1.0</v>
      </c>
      <c r="AD25" s="47"/>
      <c r="AE25" s="47"/>
      <c r="AF25" s="47"/>
      <c r="AG25" s="47"/>
      <c r="AH25" s="47"/>
      <c r="AI25" s="38"/>
      <c r="AJ25" s="38"/>
      <c r="AK25" s="38"/>
      <c r="AL25" s="38"/>
      <c r="AM25" s="38"/>
      <c r="AN25" s="38"/>
      <c r="AO25" s="38"/>
      <c r="AP25" s="38"/>
      <c r="AQ25" s="38"/>
      <c r="AR25" s="38"/>
      <c r="AS25" s="38"/>
      <c r="AT25" s="38"/>
      <c r="AU25" s="38"/>
      <c r="AV25" s="38"/>
      <c r="AW25" s="38"/>
      <c r="AX25" s="38"/>
      <c r="AY25" s="38"/>
      <c r="AZ25" s="38"/>
      <c r="BA25" s="38"/>
      <c r="BB25" s="38"/>
      <c r="BC25" s="38"/>
    </row>
    <row r="26">
      <c r="A26" s="48" t="s">
        <v>192</v>
      </c>
      <c r="B26" s="30">
        <v>45863.25102402778</v>
      </c>
      <c r="C26" s="36" t="s">
        <v>193</v>
      </c>
      <c r="D26" s="32" t="s">
        <v>194</v>
      </c>
      <c r="E26" s="36" t="s">
        <v>195</v>
      </c>
      <c r="F26" s="33" t="s">
        <v>192</v>
      </c>
      <c r="G26" s="31">
        <v>107.0</v>
      </c>
      <c r="H26" s="51">
        <v>6.0</v>
      </c>
      <c r="I26" s="51">
        <v>6.0</v>
      </c>
      <c r="J26" s="31">
        <v>0.0</v>
      </c>
      <c r="K26" s="34"/>
      <c r="L26" s="34"/>
      <c r="M26" s="34"/>
      <c r="N26" s="31">
        <v>8.0</v>
      </c>
      <c r="O26" s="34"/>
      <c r="P26" s="34"/>
      <c r="Q26" s="34"/>
      <c r="R26" s="34"/>
      <c r="S26" s="34"/>
      <c r="T26" s="34"/>
      <c r="U26" s="34"/>
      <c r="V26" s="35" t="s">
        <v>196</v>
      </c>
      <c r="W26" s="36" t="s">
        <v>197</v>
      </c>
      <c r="X26" s="34"/>
      <c r="Y26" s="34"/>
      <c r="Z26" s="36" t="s">
        <v>198</v>
      </c>
      <c r="AA26" s="31">
        <v>1.0</v>
      </c>
      <c r="AB26" s="34"/>
      <c r="AC26" s="31">
        <v>1.0</v>
      </c>
      <c r="AD26" s="49"/>
      <c r="AE26" s="49"/>
      <c r="AF26" s="49"/>
      <c r="AG26" s="49"/>
      <c r="AH26" s="49"/>
      <c r="AI26" s="38"/>
      <c r="AJ26" s="38"/>
      <c r="AK26" s="38"/>
      <c r="AL26" s="38"/>
      <c r="AM26" s="38"/>
      <c r="AN26" s="38"/>
      <c r="AO26" s="38"/>
      <c r="AP26" s="38"/>
      <c r="AQ26" s="38"/>
      <c r="AR26" s="38"/>
      <c r="AS26" s="38"/>
      <c r="AT26" s="38"/>
      <c r="AU26" s="38"/>
      <c r="AV26" s="38"/>
      <c r="AW26" s="38"/>
      <c r="AX26" s="38"/>
      <c r="AY26" s="38"/>
      <c r="AZ26" s="38"/>
      <c r="BA26" s="38"/>
      <c r="BB26" s="38"/>
      <c r="BC26" s="38"/>
    </row>
    <row r="27">
      <c r="A27" s="39" t="s">
        <v>199</v>
      </c>
      <c r="B27" s="40">
        <v>45863.25163915509</v>
      </c>
      <c r="C27" s="41" t="s">
        <v>200</v>
      </c>
      <c r="D27" s="42" t="s">
        <v>201</v>
      </c>
      <c r="E27" s="41" t="s">
        <v>202</v>
      </c>
      <c r="F27" s="43" t="s">
        <v>199</v>
      </c>
      <c r="G27" s="44">
        <v>170.0</v>
      </c>
      <c r="H27" s="44">
        <v>8.0</v>
      </c>
      <c r="I27" s="44">
        <v>7.0</v>
      </c>
      <c r="J27" s="56">
        <v>1.0</v>
      </c>
      <c r="K27" s="45"/>
      <c r="L27" s="45"/>
      <c r="M27" s="45"/>
      <c r="N27" s="44">
        <v>9.0</v>
      </c>
      <c r="O27" s="45"/>
      <c r="P27" s="45"/>
      <c r="Q27" s="45"/>
      <c r="R27" s="45"/>
      <c r="S27" s="45"/>
      <c r="T27" s="45"/>
      <c r="U27" s="45"/>
      <c r="V27" s="46" t="s">
        <v>203</v>
      </c>
      <c r="W27" s="41" t="s">
        <v>197</v>
      </c>
      <c r="X27" s="45"/>
      <c r="Y27" s="45"/>
      <c r="Z27" s="41" t="s">
        <v>204</v>
      </c>
      <c r="AA27" s="44">
        <v>1.0</v>
      </c>
      <c r="AB27" s="45"/>
      <c r="AC27" s="44">
        <v>1.0</v>
      </c>
      <c r="AD27" s="47"/>
      <c r="AE27" s="47"/>
      <c r="AF27" s="47"/>
      <c r="AG27" s="47"/>
      <c r="AH27" s="47"/>
      <c r="AI27" s="38"/>
      <c r="AJ27" s="38"/>
      <c r="AK27" s="38"/>
      <c r="AL27" s="38"/>
      <c r="AM27" s="38"/>
      <c r="AN27" s="38"/>
      <c r="AO27" s="38"/>
      <c r="AP27" s="38"/>
      <c r="AQ27" s="38"/>
      <c r="AR27" s="38"/>
      <c r="AS27" s="38"/>
      <c r="AT27" s="38"/>
      <c r="AU27" s="38"/>
      <c r="AV27" s="38"/>
      <c r="AW27" s="38"/>
      <c r="AX27" s="38"/>
      <c r="AY27" s="38"/>
      <c r="AZ27" s="38"/>
      <c r="BA27" s="38"/>
      <c r="BB27" s="38"/>
      <c r="BC27" s="38"/>
    </row>
    <row r="28">
      <c r="A28" s="48" t="s">
        <v>205</v>
      </c>
      <c r="B28" s="30">
        <v>45863.2584195949</v>
      </c>
      <c r="C28" s="36" t="s">
        <v>206</v>
      </c>
      <c r="D28" s="32" t="s">
        <v>207</v>
      </c>
      <c r="E28" s="36" t="s">
        <v>208</v>
      </c>
      <c r="F28" s="33" t="s">
        <v>205</v>
      </c>
      <c r="G28" s="31">
        <v>310.0</v>
      </c>
      <c r="H28" s="51">
        <v>3.0</v>
      </c>
      <c r="I28" s="51">
        <v>2.0</v>
      </c>
      <c r="J28" s="31">
        <v>10.0</v>
      </c>
      <c r="K28" s="34"/>
      <c r="L28" s="34"/>
      <c r="M28" s="34"/>
      <c r="N28" s="31">
        <v>3.0</v>
      </c>
      <c r="O28" s="34"/>
      <c r="P28" s="34"/>
      <c r="Q28" s="34"/>
      <c r="R28" s="34"/>
      <c r="S28" s="34"/>
      <c r="T28" s="34"/>
      <c r="U28" s="34"/>
      <c r="V28" s="35" t="s">
        <v>209</v>
      </c>
      <c r="W28" s="36" t="s">
        <v>210</v>
      </c>
      <c r="X28" s="34"/>
      <c r="Y28" s="34"/>
      <c r="Z28" s="36" t="s">
        <v>179</v>
      </c>
      <c r="AA28" s="31">
        <v>1.0</v>
      </c>
      <c r="AB28" s="34"/>
      <c r="AC28" s="31">
        <v>1.0</v>
      </c>
      <c r="AD28" s="49"/>
      <c r="AE28" s="49"/>
      <c r="AF28" s="49"/>
      <c r="AG28" s="49"/>
      <c r="AH28" s="49"/>
      <c r="AI28" s="38"/>
      <c r="AJ28" s="38"/>
      <c r="AK28" s="38"/>
      <c r="AL28" s="38"/>
      <c r="AM28" s="38"/>
      <c r="AN28" s="38"/>
      <c r="AO28" s="38"/>
      <c r="AP28" s="38"/>
      <c r="AQ28" s="38"/>
      <c r="AR28" s="38"/>
      <c r="AS28" s="38"/>
      <c r="AT28" s="38"/>
      <c r="AU28" s="38"/>
      <c r="AV28" s="38"/>
      <c r="AW28" s="38"/>
      <c r="AX28" s="38"/>
      <c r="AY28" s="38"/>
      <c r="AZ28" s="38"/>
      <c r="BA28" s="38"/>
      <c r="BB28" s="38"/>
      <c r="BC28" s="38"/>
    </row>
    <row r="29">
      <c r="A29" s="39" t="s">
        <v>211</v>
      </c>
      <c r="B29" s="40">
        <v>45863.259356319446</v>
      </c>
      <c r="C29" s="41" t="s">
        <v>212</v>
      </c>
      <c r="D29" s="42" t="s">
        <v>213</v>
      </c>
      <c r="E29" s="44" t="s">
        <v>214</v>
      </c>
      <c r="F29" s="43" t="s">
        <v>211</v>
      </c>
      <c r="G29" s="44">
        <v>55.0</v>
      </c>
      <c r="H29" s="44">
        <v>9.0</v>
      </c>
      <c r="I29" s="44">
        <v>9.0</v>
      </c>
      <c r="J29" s="44" t="s">
        <v>215</v>
      </c>
      <c r="K29" s="45"/>
      <c r="L29" s="45"/>
      <c r="M29" s="45"/>
      <c r="N29" s="44">
        <v>8.0</v>
      </c>
      <c r="O29" s="45"/>
      <c r="P29" s="45"/>
      <c r="Q29" s="45"/>
      <c r="R29" s="45"/>
      <c r="S29" s="45"/>
      <c r="T29" s="45"/>
      <c r="U29" s="45"/>
      <c r="V29" s="46" t="s">
        <v>216</v>
      </c>
      <c r="W29" s="44" t="s">
        <v>217</v>
      </c>
      <c r="X29" s="45"/>
      <c r="Y29" s="45"/>
      <c r="Z29" s="41" t="s">
        <v>218</v>
      </c>
      <c r="AA29" s="44">
        <v>1.0</v>
      </c>
      <c r="AB29" s="45"/>
      <c r="AC29" s="44">
        <v>1.0</v>
      </c>
      <c r="AD29" s="47"/>
      <c r="AE29" s="47"/>
      <c r="AF29" s="47"/>
      <c r="AG29" s="47"/>
      <c r="AH29" s="47"/>
      <c r="AI29" s="38"/>
      <c r="AJ29" s="38"/>
      <c r="AK29" s="38"/>
      <c r="AL29" s="38"/>
      <c r="AM29" s="38"/>
      <c r="AN29" s="38"/>
      <c r="AO29" s="38"/>
      <c r="AP29" s="38"/>
      <c r="AQ29" s="38"/>
      <c r="AR29" s="38"/>
      <c r="AS29" s="38"/>
      <c r="AT29" s="38"/>
      <c r="AU29" s="38"/>
      <c r="AV29" s="38"/>
      <c r="AW29" s="38"/>
      <c r="AX29" s="38"/>
      <c r="AY29" s="38"/>
      <c r="AZ29" s="38"/>
      <c r="BA29" s="38"/>
      <c r="BB29" s="38"/>
      <c r="BC29" s="38"/>
    </row>
    <row r="30">
      <c r="A30" s="48" t="s">
        <v>219</v>
      </c>
      <c r="B30" s="30">
        <v>45863.26198434028</v>
      </c>
      <c r="C30" s="36" t="s">
        <v>220</v>
      </c>
      <c r="D30" s="36" t="s">
        <v>221</v>
      </c>
      <c r="E30" s="36" t="s">
        <v>222</v>
      </c>
      <c r="F30" s="33" t="s">
        <v>219</v>
      </c>
      <c r="G30" s="31">
        <v>153.0</v>
      </c>
      <c r="H30" s="31">
        <v>8.0</v>
      </c>
      <c r="I30" s="31">
        <v>7.0</v>
      </c>
      <c r="J30" s="31">
        <v>3.0</v>
      </c>
      <c r="K30" s="34"/>
      <c r="L30" s="34"/>
      <c r="M30" s="34"/>
      <c r="N30" s="31">
        <v>9.0</v>
      </c>
      <c r="O30" s="34"/>
      <c r="P30" s="34"/>
      <c r="Q30" s="34"/>
      <c r="R30" s="34"/>
      <c r="S30" s="34"/>
      <c r="T30" s="34"/>
      <c r="U30" s="34"/>
      <c r="V30" s="35" t="s">
        <v>223</v>
      </c>
      <c r="W30" s="36" t="s">
        <v>224</v>
      </c>
      <c r="X30" s="34"/>
      <c r="Y30" s="34"/>
      <c r="Z30" s="36" t="s">
        <v>225</v>
      </c>
      <c r="AA30" s="31">
        <v>1.0</v>
      </c>
      <c r="AB30" s="34"/>
      <c r="AC30" s="31">
        <v>1.0</v>
      </c>
      <c r="AD30" s="49"/>
      <c r="AE30" s="49"/>
      <c r="AF30" s="49"/>
      <c r="AG30" s="49"/>
      <c r="AH30" s="49"/>
      <c r="AI30" s="38"/>
      <c r="AJ30" s="38"/>
      <c r="AK30" s="38"/>
      <c r="AL30" s="38"/>
      <c r="AM30" s="38"/>
      <c r="AN30" s="38"/>
      <c r="AO30" s="38"/>
      <c r="AP30" s="38"/>
      <c r="AQ30" s="38"/>
      <c r="AR30" s="38"/>
      <c r="AS30" s="38"/>
      <c r="AT30" s="38"/>
      <c r="AU30" s="38"/>
      <c r="AV30" s="38"/>
      <c r="AW30" s="38"/>
      <c r="AX30" s="38"/>
      <c r="AY30" s="38"/>
      <c r="AZ30" s="38"/>
      <c r="BA30" s="38"/>
      <c r="BB30" s="38"/>
      <c r="BC30" s="38"/>
    </row>
    <row r="31">
      <c r="A31" s="39" t="s">
        <v>226</v>
      </c>
      <c r="B31" s="40">
        <v>45863.26352152778</v>
      </c>
      <c r="C31" s="41" t="s">
        <v>227</v>
      </c>
      <c r="D31" s="42" t="s">
        <v>228</v>
      </c>
      <c r="E31" s="41" t="s">
        <v>229</v>
      </c>
      <c r="F31" s="43" t="s">
        <v>226</v>
      </c>
      <c r="G31" s="50">
        <v>88.0</v>
      </c>
      <c r="H31" s="44">
        <v>5.0</v>
      </c>
      <c r="I31" s="44">
        <v>4.0</v>
      </c>
      <c r="J31" s="50">
        <v>7.0</v>
      </c>
      <c r="K31" s="45"/>
      <c r="L31" s="45"/>
      <c r="M31" s="45"/>
      <c r="N31" s="44">
        <v>8.0</v>
      </c>
      <c r="O31" s="45"/>
      <c r="P31" s="45"/>
      <c r="Q31" s="45"/>
      <c r="R31" s="45"/>
      <c r="S31" s="45"/>
      <c r="T31" s="45"/>
      <c r="U31" s="45"/>
      <c r="V31" s="41" t="s">
        <v>230</v>
      </c>
      <c r="W31" s="41" t="s">
        <v>231</v>
      </c>
      <c r="X31" s="45"/>
      <c r="Y31" s="45"/>
      <c r="Z31" s="41" t="s">
        <v>232</v>
      </c>
      <c r="AA31" s="44">
        <v>1.0</v>
      </c>
      <c r="AB31" s="45"/>
      <c r="AC31" s="44">
        <v>1.0</v>
      </c>
      <c r="AD31" s="47"/>
      <c r="AE31" s="47"/>
      <c r="AF31" s="47"/>
      <c r="AG31" s="47"/>
      <c r="AH31" s="47"/>
      <c r="AI31" s="38"/>
      <c r="AJ31" s="38"/>
      <c r="AK31" s="38"/>
      <c r="AL31" s="38"/>
      <c r="AM31" s="38"/>
      <c r="AN31" s="38"/>
      <c r="AO31" s="38"/>
      <c r="AP31" s="38"/>
      <c r="AQ31" s="38"/>
      <c r="AR31" s="38"/>
      <c r="AS31" s="38"/>
      <c r="AT31" s="38"/>
      <c r="AU31" s="38"/>
      <c r="AV31" s="38"/>
      <c r="AW31" s="38"/>
      <c r="AX31" s="38"/>
      <c r="AY31" s="38"/>
      <c r="AZ31" s="38"/>
      <c r="BA31" s="38"/>
      <c r="BB31" s="38"/>
      <c r="BC31" s="38"/>
    </row>
    <row r="32">
      <c r="A32" s="48" t="s">
        <v>233</v>
      </c>
      <c r="B32" s="30">
        <v>45863.26583471065</v>
      </c>
      <c r="C32" s="36" t="s">
        <v>234</v>
      </c>
      <c r="D32" s="31">
        <v>3.017908088E9</v>
      </c>
      <c r="E32" s="36" t="s">
        <v>235</v>
      </c>
      <c r="F32" s="33" t="s">
        <v>233</v>
      </c>
      <c r="G32" s="51">
        <v>98.0</v>
      </c>
      <c r="H32" s="31">
        <v>9.0</v>
      </c>
      <c r="I32" s="31">
        <v>9.0</v>
      </c>
      <c r="J32" s="31">
        <v>1.0</v>
      </c>
      <c r="K32" s="34"/>
      <c r="L32" s="34"/>
      <c r="M32" s="34"/>
      <c r="N32" s="31">
        <v>3.0</v>
      </c>
      <c r="O32" s="34"/>
      <c r="P32" s="34"/>
      <c r="Q32" s="34"/>
      <c r="R32" s="34"/>
      <c r="S32" s="34"/>
      <c r="T32" s="34"/>
      <c r="U32" s="34"/>
      <c r="V32" s="35" t="s">
        <v>236</v>
      </c>
      <c r="W32" s="34"/>
      <c r="X32" s="34"/>
      <c r="Y32" s="34"/>
      <c r="Z32" s="36" t="s">
        <v>237</v>
      </c>
      <c r="AA32" s="31">
        <v>1.0</v>
      </c>
      <c r="AB32" s="34"/>
      <c r="AC32" s="31">
        <v>1.0</v>
      </c>
      <c r="AD32" s="49"/>
      <c r="AE32" s="49"/>
      <c r="AF32" s="49"/>
      <c r="AG32" s="49"/>
      <c r="AH32" s="49"/>
      <c r="AI32" s="38"/>
      <c r="AJ32" s="38"/>
      <c r="AK32" s="38"/>
      <c r="AL32" s="38"/>
      <c r="AM32" s="38"/>
      <c r="AN32" s="38"/>
      <c r="AO32" s="38"/>
      <c r="AP32" s="38"/>
      <c r="AQ32" s="38"/>
      <c r="AR32" s="38"/>
      <c r="AS32" s="38"/>
      <c r="AT32" s="38"/>
      <c r="AU32" s="38"/>
      <c r="AV32" s="38"/>
      <c r="AW32" s="38"/>
      <c r="AX32" s="38"/>
      <c r="AY32" s="38"/>
      <c r="AZ32" s="38"/>
      <c r="BA32" s="38"/>
      <c r="BB32" s="38"/>
      <c r="BC32" s="38"/>
    </row>
    <row r="33">
      <c r="A33" s="39" t="s">
        <v>238</v>
      </c>
      <c r="B33" s="40">
        <v>45863.2668275926</v>
      </c>
      <c r="C33" s="41" t="s">
        <v>239</v>
      </c>
      <c r="D33" s="44">
        <v>3.006745467E9</v>
      </c>
      <c r="E33" s="41" t="s">
        <v>240</v>
      </c>
      <c r="F33" s="43" t="s">
        <v>238</v>
      </c>
      <c r="G33" s="44">
        <v>50.0</v>
      </c>
      <c r="H33" s="44">
        <v>7.0</v>
      </c>
      <c r="I33" s="44">
        <v>5.0</v>
      </c>
      <c r="J33" s="44">
        <v>2.0</v>
      </c>
      <c r="K33" s="45"/>
      <c r="L33" s="45"/>
      <c r="M33" s="45"/>
      <c r="N33" s="44">
        <v>8.0</v>
      </c>
      <c r="O33" s="45"/>
      <c r="P33" s="45"/>
      <c r="Q33" s="45"/>
      <c r="R33" s="45"/>
      <c r="S33" s="45"/>
      <c r="T33" s="45"/>
      <c r="U33" s="45"/>
      <c r="V33" s="46" t="s">
        <v>241</v>
      </c>
      <c r="W33" s="41" t="s">
        <v>242</v>
      </c>
      <c r="X33" s="45"/>
      <c r="Y33" s="45"/>
      <c r="Z33" s="41" t="s">
        <v>243</v>
      </c>
      <c r="AA33" s="44">
        <v>1.0</v>
      </c>
      <c r="AB33" s="45"/>
      <c r="AC33" s="44">
        <v>1.0</v>
      </c>
      <c r="AD33" s="47"/>
      <c r="AE33" s="47"/>
      <c r="AF33" s="47"/>
      <c r="AG33" s="47"/>
      <c r="AH33" s="47"/>
      <c r="AI33" s="38"/>
      <c r="AJ33" s="38"/>
      <c r="AK33" s="38"/>
      <c r="AL33" s="38"/>
      <c r="AM33" s="38"/>
      <c r="AN33" s="38"/>
      <c r="AO33" s="38"/>
      <c r="AP33" s="38"/>
      <c r="AQ33" s="38"/>
      <c r="AR33" s="38"/>
      <c r="AS33" s="38"/>
      <c r="AT33" s="38"/>
      <c r="AU33" s="38"/>
      <c r="AV33" s="38"/>
      <c r="AW33" s="38"/>
      <c r="AX33" s="38"/>
      <c r="AY33" s="38"/>
      <c r="AZ33" s="38"/>
      <c r="BA33" s="38"/>
      <c r="BB33" s="38"/>
      <c r="BC33" s="38"/>
    </row>
    <row r="34">
      <c r="A34" s="48" t="s">
        <v>244</v>
      </c>
      <c r="B34" s="30">
        <v>45863.26742005787</v>
      </c>
      <c r="C34" s="36" t="s">
        <v>245</v>
      </c>
      <c r="D34" s="32" t="s">
        <v>246</v>
      </c>
      <c r="E34" s="31" t="s">
        <v>247</v>
      </c>
      <c r="F34" s="33" t="s">
        <v>244</v>
      </c>
      <c r="G34" s="51">
        <v>701.0</v>
      </c>
      <c r="H34" s="31">
        <v>8.0</v>
      </c>
      <c r="I34" s="31">
        <v>7.0</v>
      </c>
      <c r="J34" s="31">
        <v>2.0</v>
      </c>
      <c r="K34" s="34"/>
      <c r="L34" s="34"/>
      <c r="M34" s="34"/>
      <c r="N34" s="31">
        <v>9.0</v>
      </c>
      <c r="O34" s="34"/>
      <c r="P34" s="34"/>
      <c r="Q34" s="34"/>
      <c r="R34" s="34"/>
      <c r="S34" s="34"/>
      <c r="T34" s="34"/>
      <c r="U34" s="34"/>
      <c r="V34" s="35" t="s">
        <v>248</v>
      </c>
      <c r="W34" s="31" t="s">
        <v>249</v>
      </c>
      <c r="X34" s="34"/>
      <c r="Y34" s="34"/>
      <c r="Z34" s="36" t="s">
        <v>250</v>
      </c>
      <c r="AA34" s="31">
        <v>1.0</v>
      </c>
      <c r="AB34" s="34"/>
      <c r="AC34" s="31">
        <v>1.0</v>
      </c>
      <c r="AD34" s="49"/>
      <c r="AE34" s="49"/>
      <c r="AF34" s="49"/>
      <c r="AG34" s="49"/>
      <c r="AH34" s="49"/>
      <c r="AI34" s="38"/>
      <c r="AJ34" s="38"/>
      <c r="AK34" s="38"/>
      <c r="AL34" s="38"/>
      <c r="AM34" s="38"/>
      <c r="AN34" s="38"/>
      <c r="AO34" s="38"/>
      <c r="AP34" s="38"/>
      <c r="AQ34" s="38"/>
      <c r="AR34" s="38"/>
      <c r="AS34" s="38"/>
      <c r="AT34" s="38"/>
      <c r="AU34" s="38"/>
      <c r="AV34" s="38"/>
      <c r="AW34" s="38"/>
      <c r="AX34" s="38"/>
      <c r="AY34" s="38"/>
      <c r="AZ34" s="38"/>
      <c r="BA34" s="38"/>
      <c r="BB34" s="38"/>
      <c r="BC34" s="38"/>
    </row>
    <row r="35">
      <c r="A35" s="39" t="s">
        <v>251</v>
      </c>
      <c r="B35" s="40">
        <v>45863.26837310185</v>
      </c>
      <c r="C35" s="41" t="s">
        <v>252</v>
      </c>
      <c r="D35" s="42" t="s">
        <v>253</v>
      </c>
      <c r="E35" s="41" t="s">
        <v>254</v>
      </c>
      <c r="F35" s="43" t="s">
        <v>251</v>
      </c>
      <c r="G35" s="44">
        <v>165.0</v>
      </c>
      <c r="H35" s="44">
        <v>8.0</v>
      </c>
      <c r="I35" s="44">
        <v>8.0</v>
      </c>
      <c r="J35" s="41" t="s">
        <v>197</v>
      </c>
      <c r="K35" s="45"/>
      <c r="L35" s="45"/>
      <c r="M35" s="45"/>
      <c r="N35" s="44">
        <v>8.0</v>
      </c>
      <c r="O35" s="45"/>
      <c r="P35" s="45"/>
      <c r="Q35" s="45"/>
      <c r="R35" s="45"/>
      <c r="S35" s="45"/>
      <c r="T35" s="45"/>
      <c r="U35" s="45"/>
      <c r="V35" s="46" t="s">
        <v>255</v>
      </c>
      <c r="W35" s="41" t="s">
        <v>256</v>
      </c>
      <c r="X35" s="45"/>
      <c r="Y35" s="45"/>
      <c r="Z35" s="41" t="s">
        <v>257</v>
      </c>
      <c r="AA35" s="44">
        <v>1.0</v>
      </c>
      <c r="AB35" s="45"/>
      <c r="AC35" s="44">
        <v>1.0</v>
      </c>
      <c r="AD35" s="47"/>
      <c r="AE35" s="47"/>
      <c r="AF35" s="47"/>
      <c r="AG35" s="47"/>
      <c r="AH35" s="47"/>
      <c r="AI35" s="38"/>
      <c r="AJ35" s="38"/>
      <c r="AK35" s="38"/>
      <c r="AL35" s="38"/>
      <c r="AM35" s="38"/>
      <c r="AN35" s="38"/>
      <c r="AO35" s="38"/>
      <c r="AP35" s="38"/>
      <c r="AQ35" s="38"/>
      <c r="AR35" s="38"/>
      <c r="AS35" s="38"/>
      <c r="AT35" s="38"/>
      <c r="AU35" s="38"/>
      <c r="AV35" s="38"/>
      <c r="AW35" s="38"/>
      <c r="AX35" s="38"/>
      <c r="AY35" s="38"/>
      <c r="AZ35" s="38"/>
      <c r="BA35" s="38"/>
      <c r="BB35" s="38"/>
      <c r="BC35" s="38"/>
    </row>
    <row r="36">
      <c r="A36" s="48" t="s">
        <v>258</v>
      </c>
      <c r="B36" s="30">
        <v>45863.26916300926</v>
      </c>
      <c r="C36" s="36" t="s">
        <v>259</v>
      </c>
      <c r="D36" s="32" t="s">
        <v>260</v>
      </c>
      <c r="E36" s="36" t="s">
        <v>261</v>
      </c>
      <c r="F36" s="33" t="s">
        <v>258</v>
      </c>
      <c r="G36" s="31">
        <v>196.0</v>
      </c>
      <c r="H36" s="31">
        <v>8.0</v>
      </c>
      <c r="I36" s="31">
        <v>6.0</v>
      </c>
      <c r="J36" s="31">
        <v>2.0</v>
      </c>
      <c r="K36" s="34"/>
      <c r="L36" s="34"/>
      <c r="M36" s="34"/>
      <c r="N36" s="31">
        <v>9.0</v>
      </c>
      <c r="O36" s="34"/>
      <c r="P36" s="34"/>
      <c r="Q36" s="34"/>
      <c r="R36" s="34"/>
      <c r="S36" s="34"/>
      <c r="T36" s="34"/>
      <c r="U36" s="34"/>
      <c r="V36" s="35" t="s">
        <v>262</v>
      </c>
      <c r="W36" s="34"/>
      <c r="X36" s="34"/>
      <c r="Y36" s="34"/>
      <c r="Z36" s="36" t="s">
        <v>263</v>
      </c>
      <c r="AA36" s="31">
        <v>1.0</v>
      </c>
      <c r="AB36" s="34"/>
      <c r="AC36" s="31">
        <v>1.0</v>
      </c>
      <c r="AD36" s="49"/>
      <c r="AE36" s="49"/>
      <c r="AF36" s="49"/>
      <c r="AG36" s="49"/>
      <c r="AH36" s="49"/>
      <c r="AI36" s="38"/>
      <c r="AJ36" s="38"/>
      <c r="AK36" s="38"/>
      <c r="AL36" s="38"/>
      <c r="AM36" s="38"/>
      <c r="AN36" s="38"/>
      <c r="AO36" s="38"/>
      <c r="AP36" s="38"/>
      <c r="AQ36" s="38"/>
      <c r="AR36" s="38"/>
      <c r="AS36" s="38"/>
      <c r="AT36" s="38"/>
      <c r="AU36" s="38"/>
      <c r="AV36" s="38"/>
      <c r="AW36" s="38"/>
      <c r="AX36" s="38"/>
      <c r="AY36" s="38"/>
      <c r="AZ36" s="38"/>
      <c r="BA36" s="38"/>
      <c r="BB36" s="38"/>
      <c r="BC36" s="38"/>
    </row>
    <row r="37">
      <c r="A37" s="39" t="s">
        <v>264</v>
      </c>
      <c r="B37" s="40">
        <v>45863.27034703703</v>
      </c>
      <c r="C37" s="41" t="s">
        <v>265</v>
      </c>
      <c r="D37" s="42" t="s">
        <v>266</v>
      </c>
      <c r="E37" s="41" t="s">
        <v>267</v>
      </c>
      <c r="F37" s="43" t="s">
        <v>264</v>
      </c>
      <c r="G37" s="44">
        <v>155.0</v>
      </c>
      <c r="H37" s="44">
        <v>9.0</v>
      </c>
      <c r="I37" s="44">
        <v>9.0</v>
      </c>
      <c r="J37" s="44">
        <v>0.0</v>
      </c>
      <c r="K37" s="45"/>
      <c r="L37" s="45"/>
      <c r="M37" s="45"/>
      <c r="N37" s="44">
        <v>8.0</v>
      </c>
      <c r="O37" s="45"/>
      <c r="P37" s="45"/>
      <c r="Q37" s="45"/>
      <c r="R37" s="45"/>
      <c r="S37" s="45"/>
      <c r="T37" s="45"/>
      <c r="U37" s="45"/>
      <c r="V37" s="46" t="s">
        <v>268</v>
      </c>
      <c r="W37" s="45"/>
      <c r="X37" s="45"/>
      <c r="Y37" s="45"/>
      <c r="Z37" s="41" t="s">
        <v>269</v>
      </c>
      <c r="AA37" s="44">
        <v>1.0</v>
      </c>
      <c r="AB37" s="45"/>
      <c r="AC37" s="44">
        <v>1.0</v>
      </c>
      <c r="AD37" s="47"/>
      <c r="AE37" s="47"/>
      <c r="AF37" s="47"/>
      <c r="AG37" s="47"/>
      <c r="AH37" s="47"/>
      <c r="AI37" s="38"/>
      <c r="AJ37" s="38"/>
      <c r="AK37" s="38"/>
      <c r="AL37" s="38"/>
      <c r="AM37" s="38"/>
      <c r="AN37" s="38"/>
      <c r="AO37" s="38"/>
      <c r="AP37" s="38"/>
      <c r="AQ37" s="38"/>
      <c r="AR37" s="38"/>
      <c r="AS37" s="38"/>
      <c r="AT37" s="38"/>
      <c r="AU37" s="38"/>
      <c r="AV37" s="38"/>
      <c r="AW37" s="38"/>
      <c r="AX37" s="38"/>
      <c r="AY37" s="38"/>
      <c r="AZ37" s="38"/>
      <c r="BA37" s="38"/>
      <c r="BB37" s="38"/>
      <c r="BC37" s="38"/>
    </row>
    <row r="38">
      <c r="A38" s="48" t="s">
        <v>270</v>
      </c>
      <c r="B38" s="30">
        <v>45863.27034753472</v>
      </c>
      <c r="C38" s="36" t="s">
        <v>271</v>
      </c>
      <c r="D38" s="36" t="s">
        <v>272</v>
      </c>
      <c r="E38" s="36" t="s">
        <v>273</v>
      </c>
      <c r="F38" s="33" t="s">
        <v>270</v>
      </c>
      <c r="G38" s="31">
        <v>187.0</v>
      </c>
      <c r="H38" s="31">
        <v>6.0</v>
      </c>
      <c r="I38" s="31">
        <v>6.0</v>
      </c>
      <c r="J38" s="55">
        <v>3.0</v>
      </c>
      <c r="K38" s="34"/>
      <c r="L38" s="34"/>
      <c r="M38" s="34"/>
      <c r="N38" s="31">
        <v>9.0</v>
      </c>
      <c r="O38" s="34"/>
      <c r="P38" s="34"/>
      <c r="Q38" s="34"/>
      <c r="R38" s="34"/>
      <c r="S38" s="34"/>
      <c r="T38" s="34"/>
      <c r="U38" s="34"/>
      <c r="V38" s="35" t="s">
        <v>274</v>
      </c>
      <c r="W38" s="36" t="s">
        <v>275</v>
      </c>
      <c r="X38" s="34"/>
      <c r="Y38" s="34"/>
      <c r="Z38" s="36" t="s">
        <v>276</v>
      </c>
      <c r="AA38" s="31">
        <v>1.0</v>
      </c>
      <c r="AB38" s="34"/>
      <c r="AC38" s="31">
        <v>1.0</v>
      </c>
      <c r="AD38" s="49"/>
      <c r="AE38" s="49"/>
      <c r="AF38" s="49"/>
      <c r="AG38" s="49"/>
      <c r="AH38" s="49"/>
      <c r="AI38" s="38"/>
      <c r="AJ38" s="38"/>
      <c r="AK38" s="38"/>
      <c r="AL38" s="38"/>
      <c r="AM38" s="38"/>
      <c r="AN38" s="38"/>
      <c r="AO38" s="38"/>
      <c r="AP38" s="38"/>
      <c r="AQ38" s="38"/>
      <c r="AR38" s="38"/>
      <c r="AS38" s="38"/>
      <c r="AT38" s="38"/>
      <c r="AU38" s="38"/>
      <c r="AV38" s="38"/>
      <c r="AW38" s="38"/>
      <c r="AX38" s="38"/>
      <c r="AY38" s="38"/>
      <c r="AZ38" s="38"/>
      <c r="BA38" s="38"/>
      <c r="BB38" s="38"/>
      <c r="BC38" s="38"/>
    </row>
    <row r="39">
      <c r="A39" s="39" t="s">
        <v>277</v>
      </c>
      <c r="B39" s="40">
        <v>45863.27202711806</v>
      </c>
      <c r="C39" s="41" t="s">
        <v>278</v>
      </c>
      <c r="D39" s="42" t="s">
        <v>279</v>
      </c>
      <c r="E39" s="41" t="s">
        <v>280</v>
      </c>
      <c r="F39" s="43" t="s">
        <v>277</v>
      </c>
      <c r="G39" s="44">
        <v>209.0</v>
      </c>
      <c r="H39" s="44">
        <v>8.0</v>
      </c>
      <c r="I39" s="44">
        <v>5.0</v>
      </c>
      <c r="J39" s="44">
        <v>2.0</v>
      </c>
      <c r="K39" s="45"/>
      <c r="L39" s="45"/>
      <c r="M39" s="45"/>
      <c r="N39" s="44">
        <v>7.0</v>
      </c>
      <c r="O39" s="45"/>
      <c r="P39" s="45"/>
      <c r="Q39" s="45"/>
      <c r="R39" s="45"/>
      <c r="S39" s="45"/>
      <c r="T39" s="45"/>
      <c r="U39" s="45"/>
      <c r="V39" s="46" t="s">
        <v>281</v>
      </c>
      <c r="W39" s="41" t="s">
        <v>282</v>
      </c>
      <c r="X39" s="45"/>
      <c r="Y39" s="45"/>
      <c r="Z39" s="41" t="s">
        <v>283</v>
      </c>
      <c r="AA39" s="41" t="s">
        <v>284</v>
      </c>
      <c r="AB39" s="45"/>
      <c r="AC39" s="45"/>
      <c r="AD39" s="54"/>
      <c r="AE39" s="54"/>
      <c r="AF39" s="54"/>
      <c r="AG39" s="54"/>
      <c r="AH39" s="54"/>
      <c r="AI39" s="38"/>
      <c r="AJ39" s="38"/>
      <c r="AK39" s="38"/>
      <c r="AL39" s="38"/>
      <c r="AM39" s="38"/>
      <c r="AN39" s="38"/>
      <c r="AO39" s="38"/>
      <c r="AP39" s="38"/>
      <c r="AQ39" s="38"/>
      <c r="AR39" s="38"/>
      <c r="AS39" s="38"/>
      <c r="AT39" s="38"/>
      <c r="AU39" s="38"/>
      <c r="AV39" s="38"/>
      <c r="AW39" s="38"/>
      <c r="AX39" s="38"/>
      <c r="AY39" s="38"/>
      <c r="AZ39" s="38"/>
      <c r="BA39" s="38"/>
      <c r="BB39" s="38"/>
      <c r="BC39" s="38"/>
    </row>
    <row r="40">
      <c r="A40" s="48" t="s">
        <v>285</v>
      </c>
      <c r="B40" s="30">
        <v>45863.27292357638</v>
      </c>
      <c r="C40" s="36" t="s">
        <v>286</v>
      </c>
      <c r="D40" s="32" t="s">
        <v>287</v>
      </c>
      <c r="E40" s="36" t="s">
        <v>288</v>
      </c>
      <c r="F40" s="33" t="s">
        <v>285</v>
      </c>
      <c r="G40" s="51">
        <v>110.0</v>
      </c>
      <c r="H40" s="31">
        <v>7.0</v>
      </c>
      <c r="I40" s="31">
        <v>6.0</v>
      </c>
      <c r="J40" s="31">
        <v>2.0</v>
      </c>
      <c r="K40" s="34"/>
      <c r="L40" s="34"/>
      <c r="M40" s="34"/>
      <c r="N40" s="31">
        <v>8.0</v>
      </c>
      <c r="O40" s="34"/>
      <c r="P40" s="34"/>
      <c r="Q40" s="34"/>
      <c r="R40" s="34"/>
      <c r="S40" s="34"/>
      <c r="T40" s="34"/>
      <c r="U40" s="34"/>
      <c r="V40" s="35" t="s">
        <v>289</v>
      </c>
      <c r="W40" s="36" t="s">
        <v>290</v>
      </c>
      <c r="X40" s="34"/>
      <c r="Y40" s="34"/>
      <c r="Z40" s="36" t="s">
        <v>291</v>
      </c>
      <c r="AA40" s="31">
        <v>1.0</v>
      </c>
      <c r="AB40" s="34"/>
      <c r="AC40" s="31">
        <v>1.0</v>
      </c>
      <c r="AD40" s="49"/>
      <c r="AE40" s="49"/>
      <c r="AF40" s="49"/>
      <c r="AG40" s="49"/>
      <c r="AH40" s="49"/>
      <c r="AI40" s="38"/>
      <c r="AJ40" s="38"/>
      <c r="AK40" s="38"/>
      <c r="AL40" s="38"/>
      <c r="AM40" s="38"/>
      <c r="AN40" s="38"/>
      <c r="AO40" s="38"/>
      <c r="AP40" s="38"/>
      <c r="AQ40" s="38"/>
      <c r="AR40" s="38"/>
      <c r="AS40" s="38"/>
      <c r="AT40" s="38"/>
      <c r="AU40" s="38"/>
      <c r="AV40" s="38"/>
      <c r="AW40" s="38"/>
      <c r="AX40" s="38"/>
      <c r="AY40" s="38"/>
      <c r="AZ40" s="38"/>
      <c r="BA40" s="38"/>
      <c r="BB40" s="38"/>
      <c r="BC40" s="38"/>
    </row>
    <row r="41">
      <c r="A41" s="39" t="s">
        <v>292</v>
      </c>
      <c r="B41" s="40">
        <v>45863.275865</v>
      </c>
      <c r="C41" s="41" t="s">
        <v>118</v>
      </c>
      <c r="D41" s="42" t="s">
        <v>119</v>
      </c>
      <c r="E41" s="41" t="s">
        <v>293</v>
      </c>
      <c r="F41" s="43" t="s">
        <v>292</v>
      </c>
      <c r="G41" s="50">
        <v>395.0</v>
      </c>
      <c r="H41" s="44">
        <v>10.0</v>
      </c>
      <c r="I41" s="44">
        <v>9.0</v>
      </c>
      <c r="J41" s="44">
        <v>1.0</v>
      </c>
      <c r="K41" s="45"/>
      <c r="L41" s="45"/>
      <c r="M41" s="45"/>
      <c r="N41" s="44">
        <v>9.0</v>
      </c>
      <c r="O41" s="45"/>
      <c r="P41" s="45"/>
      <c r="Q41" s="45"/>
      <c r="R41" s="45"/>
      <c r="S41" s="45"/>
      <c r="T41" s="45"/>
      <c r="U41" s="45"/>
      <c r="V41" s="46" t="s">
        <v>294</v>
      </c>
      <c r="W41" s="45"/>
      <c r="X41" s="45"/>
      <c r="Y41" s="45"/>
      <c r="Z41" s="41" t="s">
        <v>122</v>
      </c>
      <c r="AA41" s="44">
        <v>1.0</v>
      </c>
      <c r="AB41" s="45"/>
      <c r="AC41" s="44">
        <v>1.0</v>
      </c>
      <c r="AD41" s="47"/>
      <c r="AE41" s="47"/>
      <c r="AF41" s="47"/>
      <c r="AG41" s="47"/>
      <c r="AH41" s="47"/>
      <c r="AI41" s="38"/>
      <c r="AJ41" s="38"/>
      <c r="AK41" s="38"/>
      <c r="AL41" s="38"/>
      <c r="AM41" s="38"/>
      <c r="AN41" s="38"/>
      <c r="AO41" s="38"/>
      <c r="AP41" s="38"/>
      <c r="AQ41" s="38"/>
      <c r="AR41" s="38"/>
      <c r="AS41" s="38"/>
      <c r="AT41" s="38"/>
      <c r="AU41" s="38"/>
      <c r="AV41" s="38"/>
      <c r="AW41" s="38"/>
      <c r="AX41" s="38"/>
      <c r="AY41" s="38"/>
      <c r="AZ41" s="38"/>
      <c r="BA41" s="38"/>
      <c r="BB41" s="38"/>
      <c r="BC41" s="38"/>
    </row>
    <row r="42">
      <c r="A42" s="48" t="s">
        <v>295</v>
      </c>
      <c r="B42" s="30">
        <v>45863.27601829861</v>
      </c>
      <c r="C42" s="36" t="s">
        <v>296</v>
      </c>
      <c r="D42" s="32" t="s">
        <v>297</v>
      </c>
      <c r="E42" s="36" t="s">
        <v>298</v>
      </c>
      <c r="F42" s="33" t="s">
        <v>295</v>
      </c>
      <c r="G42" s="51">
        <v>166.0</v>
      </c>
      <c r="H42" s="31">
        <v>7.0</v>
      </c>
      <c r="I42" s="31">
        <v>7.0</v>
      </c>
      <c r="J42" s="51">
        <v>2.0</v>
      </c>
      <c r="K42" s="34"/>
      <c r="L42" s="34"/>
      <c r="M42" s="34"/>
      <c r="N42" s="31">
        <v>10.0</v>
      </c>
      <c r="O42" s="34"/>
      <c r="P42" s="34"/>
      <c r="Q42" s="34"/>
      <c r="R42" s="34"/>
      <c r="S42" s="34"/>
      <c r="T42" s="34"/>
      <c r="U42" s="34"/>
      <c r="V42" s="35" t="s">
        <v>299</v>
      </c>
      <c r="W42" s="34"/>
      <c r="X42" s="34"/>
      <c r="Y42" s="34"/>
      <c r="Z42" s="36" t="s">
        <v>300</v>
      </c>
      <c r="AA42" s="31">
        <v>1.0</v>
      </c>
      <c r="AB42" s="34"/>
      <c r="AC42" s="31">
        <v>1.0</v>
      </c>
      <c r="AD42" s="49"/>
      <c r="AE42" s="49"/>
      <c r="AF42" s="49"/>
      <c r="AG42" s="49"/>
      <c r="AH42" s="49"/>
      <c r="AI42" s="38"/>
      <c r="AJ42" s="38"/>
      <c r="AK42" s="38"/>
      <c r="AL42" s="38"/>
      <c r="AM42" s="38"/>
      <c r="AN42" s="38"/>
      <c r="AO42" s="38"/>
      <c r="AP42" s="38"/>
      <c r="AQ42" s="38"/>
      <c r="AR42" s="38"/>
      <c r="AS42" s="38"/>
      <c r="AT42" s="38"/>
      <c r="AU42" s="38"/>
      <c r="AV42" s="38"/>
      <c r="AW42" s="38"/>
      <c r="AX42" s="38"/>
      <c r="AY42" s="38"/>
      <c r="AZ42" s="38"/>
      <c r="BA42" s="38"/>
      <c r="BB42" s="38"/>
      <c r="BC42" s="38"/>
    </row>
    <row r="43">
      <c r="A43" s="39" t="s">
        <v>301</v>
      </c>
      <c r="B43" s="40">
        <v>45863.27697037037</v>
      </c>
      <c r="C43" s="41" t="s">
        <v>302</v>
      </c>
      <c r="D43" s="42" t="s">
        <v>303</v>
      </c>
      <c r="E43" s="41" t="s">
        <v>304</v>
      </c>
      <c r="F43" s="43" t="s">
        <v>301</v>
      </c>
      <c r="G43" s="44">
        <v>87.0</v>
      </c>
      <c r="H43" s="44">
        <v>7.0</v>
      </c>
      <c r="I43" s="44">
        <v>8.0</v>
      </c>
      <c r="J43" s="41" t="s">
        <v>197</v>
      </c>
      <c r="K43" s="45"/>
      <c r="L43" s="45"/>
      <c r="M43" s="45"/>
      <c r="N43" s="44">
        <v>7.0</v>
      </c>
      <c r="O43" s="45"/>
      <c r="P43" s="45"/>
      <c r="Q43" s="45"/>
      <c r="R43" s="45"/>
      <c r="S43" s="45"/>
      <c r="T43" s="45"/>
      <c r="U43" s="45"/>
      <c r="V43" s="46" t="s">
        <v>305</v>
      </c>
      <c r="W43" s="41" t="s">
        <v>306</v>
      </c>
      <c r="X43" s="45"/>
      <c r="Y43" s="45"/>
      <c r="Z43" s="41" t="s">
        <v>307</v>
      </c>
      <c r="AA43" s="44">
        <v>1.0</v>
      </c>
      <c r="AB43" s="45"/>
      <c r="AC43" s="44">
        <v>1.0</v>
      </c>
      <c r="AD43" s="47"/>
      <c r="AE43" s="47"/>
      <c r="AF43" s="47"/>
      <c r="AG43" s="47"/>
      <c r="AH43" s="47"/>
      <c r="AI43" s="38"/>
      <c r="AJ43" s="38"/>
      <c r="AK43" s="38"/>
      <c r="AL43" s="38"/>
      <c r="AM43" s="38"/>
      <c r="AN43" s="38"/>
      <c r="AO43" s="38"/>
      <c r="AP43" s="38"/>
      <c r="AQ43" s="38"/>
      <c r="AR43" s="38"/>
      <c r="AS43" s="38"/>
      <c r="AT43" s="38"/>
      <c r="AU43" s="38"/>
      <c r="AV43" s="38"/>
      <c r="AW43" s="38"/>
      <c r="AX43" s="38"/>
      <c r="AY43" s="38"/>
      <c r="AZ43" s="38"/>
      <c r="BA43" s="38"/>
      <c r="BB43" s="38"/>
      <c r="BC43" s="38"/>
    </row>
    <row r="44">
      <c r="A44" s="48" t="s">
        <v>308</v>
      </c>
      <c r="B44" s="30">
        <v>45863.27700527778</v>
      </c>
      <c r="C44" s="36" t="s">
        <v>309</v>
      </c>
      <c r="D44" s="32" t="s">
        <v>310</v>
      </c>
      <c r="E44" s="36" t="s">
        <v>311</v>
      </c>
      <c r="F44" s="33" t="s">
        <v>308</v>
      </c>
      <c r="G44" s="31">
        <v>153.0</v>
      </c>
      <c r="H44" s="51">
        <v>6.0</v>
      </c>
      <c r="I44" s="31">
        <v>4.0</v>
      </c>
      <c r="J44" s="31">
        <v>3.0</v>
      </c>
      <c r="K44" s="34"/>
      <c r="L44" s="34"/>
      <c r="M44" s="34"/>
      <c r="N44" s="31">
        <v>7.0</v>
      </c>
      <c r="O44" s="34"/>
      <c r="P44" s="34"/>
      <c r="Q44" s="34"/>
      <c r="R44" s="34"/>
      <c r="S44" s="34"/>
      <c r="T44" s="34"/>
      <c r="U44" s="34"/>
      <c r="V44" s="35" t="s">
        <v>312</v>
      </c>
      <c r="W44" s="34"/>
      <c r="X44" s="34"/>
      <c r="Y44" s="34"/>
      <c r="Z44" s="36" t="s">
        <v>313</v>
      </c>
      <c r="AA44" s="31">
        <v>1.0</v>
      </c>
      <c r="AB44" s="34"/>
      <c r="AC44" s="31">
        <v>1.0</v>
      </c>
      <c r="AD44" s="49"/>
      <c r="AE44" s="49"/>
      <c r="AF44" s="49"/>
      <c r="AG44" s="49"/>
      <c r="AH44" s="49"/>
      <c r="AI44" s="38"/>
      <c r="AJ44" s="38"/>
      <c r="AK44" s="38"/>
      <c r="AL44" s="38"/>
      <c r="AM44" s="38"/>
      <c r="AN44" s="38"/>
      <c r="AO44" s="38"/>
      <c r="AP44" s="38"/>
      <c r="AQ44" s="38"/>
      <c r="AR44" s="38"/>
      <c r="AS44" s="38"/>
      <c r="AT44" s="38"/>
      <c r="AU44" s="38"/>
      <c r="AV44" s="38"/>
      <c r="AW44" s="38"/>
      <c r="AX44" s="38"/>
      <c r="AY44" s="38"/>
      <c r="AZ44" s="38"/>
      <c r="BA44" s="38"/>
      <c r="BB44" s="38"/>
      <c r="BC44" s="38"/>
    </row>
    <row r="45">
      <c r="A45" s="52"/>
      <c r="B45" s="40">
        <v>45863.280165081014</v>
      </c>
      <c r="C45" s="41" t="s">
        <v>314</v>
      </c>
      <c r="D45" s="42" t="s">
        <v>315</v>
      </c>
      <c r="E45" s="41" t="s">
        <v>316</v>
      </c>
      <c r="F45" s="53"/>
      <c r="G45" s="44">
        <v>60.0</v>
      </c>
      <c r="H45" s="44">
        <v>7.0</v>
      </c>
      <c r="I45" s="44">
        <v>7.0</v>
      </c>
      <c r="J45" s="44">
        <v>2.0</v>
      </c>
      <c r="K45" s="45"/>
      <c r="L45" s="45"/>
      <c r="M45" s="45"/>
      <c r="N45" s="44">
        <v>8.0</v>
      </c>
      <c r="O45" s="45"/>
      <c r="P45" s="45"/>
      <c r="Q45" s="45"/>
      <c r="R45" s="45"/>
      <c r="S45" s="45"/>
      <c r="T45" s="45"/>
      <c r="U45" s="45"/>
      <c r="V45" s="45"/>
      <c r="W45" s="45"/>
      <c r="X45" s="45"/>
      <c r="Y45" s="45"/>
      <c r="Z45" s="41" t="s">
        <v>317</v>
      </c>
      <c r="AA45" s="41" t="s">
        <v>8</v>
      </c>
      <c r="AB45" s="45"/>
      <c r="AC45" s="45"/>
      <c r="AD45" s="54"/>
      <c r="AE45" s="54"/>
      <c r="AF45" s="54"/>
      <c r="AG45" s="54"/>
      <c r="AH45" s="54"/>
      <c r="AI45" s="38"/>
      <c r="AJ45" s="38"/>
      <c r="AK45" s="38"/>
      <c r="AL45" s="38"/>
      <c r="AM45" s="38"/>
      <c r="AN45" s="38"/>
      <c r="AO45" s="38"/>
      <c r="AP45" s="38"/>
      <c r="AQ45" s="38"/>
      <c r="AR45" s="38"/>
      <c r="AS45" s="38"/>
      <c r="AT45" s="38"/>
      <c r="AU45" s="38"/>
      <c r="AV45" s="38"/>
      <c r="AW45" s="38"/>
      <c r="AX45" s="38"/>
      <c r="AY45" s="38"/>
      <c r="AZ45" s="38"/>
      <c r="BA45" s="38"/>
      <c r="BB45" s="38"/>
      <c r="BC45" s="38"/>
    </row>
    <row r="46">
      <c r="A46" s="48" t="s">
        <v>318</v>
      </c>
      <c r="B46" s="30">
        <v>45863.28026863426</v>
      </c>
      <c r="C46" s="36" t="s">
        <v>319</v>
      </c>
      <c r="D46" s="32" t="s">
        <v>320</v>
      </c>
      <c r="E46" s="31" t="s">
        <v>321</v>
      </c>
      <c r="F46" s="33" t="s">
        <v>318</v>
      </c>
      <c r="G46" s="31">
        <v>250.0</v>
      </c>
      <c r="H46" s="31">
        <v>8.0</v>
      </c>
      <c r="I46" s="31">
        <v>5.0</v>
      </c>
      <c r="J46" s="31">
        <v>2.0</v>
      </c>
      <c r="K46" s="34"/>
      <c r="L46" s="34"/>
      <c r="M46" s="34"/>
      <c r="N46" s="31">
        <v>8.0</v>
      </c>
      <c r="O46" s="34"/>
      <c r="P46" s="34"/>
      <c r="Q46" s="34"/>
      <c r="R46" s="34"/>
      <c r="S46" s="34"/>
      <c r="T46" s="34"/>
      <c r="U46" s="34"/>
      <c r="V46" s="35" t="s">
        <v>322</v>
      </c>
      <c r="W46" s="34"/>
      <c r="X46" s="34"/>
      <c r="Y46" s="34"/>
      <c r="Z46" s="36" t="s">
        <v>323</v>
      </c>
      <c r="AA46" s="31">
        <v>1.0</v>
      </c>
      <c r="AB46" s="34"/>
      <c r="AC46" s="31">
        <v>1.0</v>
      </c>
      <c r="AD46" s="49"/>
      <c r="AE46" s="49"/>
      <c r="AF46" s="49"/>
      <c r="AG46" s="49"/>
      <c r="AH46" s="49"/>
      <c r="AI46" s="38"/>
      <c r="AJ46" s="38"/>
      <c r="AK46" s="38"/>
      <c r="AL46" s="38"/>
      <c r="AM46" s="38"/>
      <c r="AN46" s="38"/>
      <c r="AO46" s="38"/>
      <c r="AP46" s="38"/>
      <c r="AQ46" s="38"/>
      <c r="AR46" s="38"/>
      <c r="AS46" s="38"/>
      <c r="AT46" s="38"/>
      <c r="AU46" s="38"/>
      <c r="AV46" s="38"/>
      <c r="AW46" s="38"/>
      <c r="AX46" s="38"/>
      <c r="AY46" s="38"/>
      <c r="AZ46" s="38"/>
      <c r="BA46" s="38"/>
      <c r="BB46" s="38"/>
      <c r="BC46" s="38"/>
    </row>
    <row r="47">
      <c r="A47" s="39" t="s">
        <v>324</v>
      </c>
      <c r="B47" s="40">
        <v>45863.282035474534</v>
      </c>
      <c r="C47" s="41" t="s">
        <v>325</v>
      </c>
      <c r="D47" s="42" t="s">
        <v>326</v>
      </c>
      <c r="E47" s="41" t="s">
        <v>327</v>
      </c>
      <c r="F47" s="43" t="s">
        <v>324</v>
      </c>
      <c r="G47" s="44">
        <v>775.0</v>
      </c>
      <c r="H47" s="44">
        <v>8.0</v>
      </c>
      <c r="I47" s="44">
        <v>7.0</v>
      </c>
      <c r="J47" s="44">
        <v>2.0</v>
      </c>
      <c r="K47" s="45"/>
      <c r="L47" s="45"/>
      <c r="M47" s="45"/>
      <c r="N47" s="44">
        <v>6.0</v>
      </c>
      <c r="O47" s="45"/>
      <c r="P47" s="45"/>
      <c r="Q47" s="45"/>
      <c r="R47" s="45"/>
      <c r="S47" s="45"/>
      <c r="T47" s="45"/>
      <c r="U47" s="45"/>
      <c r="V47" s="46" t="s">
        <v>328</v>
      </c>
      <c r="W47" s="45"/>
      <c r="X47" s="45"/>
      <c r="Y47" s="45"/>
      <c r="Z47" s="41" t="s">
        <v>329</v>
      </c>
      <c r="AA47" s="44">
        <v>1.0</v>
      </c>
      <c r="AB47" s="45"/>
      <c r="AC47" s="44">
        <v>1.0</v>
      </c>
      <c r="AD47" s="47"/>
      <c r="AE47" s="47"/>
      <c r="AF47" s="47"/>
      <c r="AG47" s="47"/>
      <c r="AH47" s="47"/>
      <c r="AI47" s="38"/>
      <c r="AJ47" s="38"/>
      <c r="AK47" s="38"/>
      <c r="AL47" s="38"/>
      <c r="AM47" s="38"/>
      <c r="AN47" s="38"/>
      <c r="AO47" s="38"/>
      <c r="AP47" s="38"/>
      <c r="AQ47" s="38"/>
      <c r="AR47" s="38"/>
      <c r="AS47" s="38"/>
      <c r="AT47" s="38"/>
      <c r="AU47" s="38"/>
      <c r="AV47" s="38"/>
      <c r="AW47" s="38"/>
      <c r="AX47" s="38"/>
      <c r="AY47" s="38"/>
      <c r="AZ47" s="38"/>
      <c r="BA47" s="38"/>
      <c r="BB47" s="38"/>
      <c r="BC47" s="38"/>
    </row>
    <row r="48">
      <c r="A48" s="48" t="s">
        <v>330</v>
      </c>
      <c r="B48" s="30">
        <v>45863.28238260417</v>
      </c>
      <c r="C48" s="36" t="s">
        <v>302</v>
      </c>
      <c r="D48" s="32" t="s">
        <v>303</v>
      </c>
      <c r="E48" s="36" t="s">
        <v>331</v>
      </c>
      <c r="F48" s="33" t="s">
        <v>330</v>
      </c>
      <c r="G48" s="51">
        <v>151.0</v>
      </c>
      <c r="H48" s="31">
        <v>7.0</v>
      </c>
      <c r="I48" s="31">
        <v>7.0</v>
      </c>
      <c r="J48" s="36" t="s">
        <v>197</v>
      </c>
      <c r="K48" s="34"/>
      <c r="L48" s="34"/>
      <c r="M48" s="34"/>
      <c r="N48" s="31">
        <v>7.0</v>
      </c>
      <c r="O48" s="34"/>
      <c r="P48" s="34"/>
      <c r="Q48" s="34"/>
      <c r="R48" s="34"/>
      <c r="S48" s="34"/>
      <c r="T48" s="34"/>
      <c r="U48" s="34"/>
      <c r="V48" s="35" t="s">
        <v>332</v>
      </c>
      <c r="W48" s="34"/>
      <c r="X48" s="34"/>
      <c r="Y48" s="34"/>
      <c r="Z48" s="36" t="s">
        <v>307</v>
      </c>
      <c r="AA48" s="31">
        <v>1.0</v>
      </c>
      <c r="AB48" s="34"/>
      <c r="AC48" s="31">
        <v>1.0</v>
      </c>
      <c r="AD48" s="49"/>
      <c r="AE48" s="49"/>
      <c r="AF48" s="49"/>
      <c r="AG48" s="49"/>
      <c r="AH48" s="49"/>
      <c r="AI48" s="38"/>
      <c r="AJ48" s="38"/>
      <c r="AK48" s="38"/>
      <c r="AL48" s="38"/>
      <c r="AM48" s="38"/>
      <c r="AN48" s="38"/>
      <c r="AO48" s="38"/>
      <c r="AP48" s="38"/>
      <c r="AQ48" s="38"/>
      <c r="AR48" s="38"/>
      <c r="AS48" s="38"/>
      <c r="AT48" s="38"/>
      <c r="AU48" s="38"/>
      <c r="AV48" s="38"/>
      <c r="AW48" s="38"/>
      <c r="AX48" s="38"/>
      <c r="AY48" s="38"/>
      <c r="AZ48" s="38"/>
      <c r="BA48" s="38"/>
      <c r="BB48" s="38"/>
      <c r="BC48" s="38"/>
    </row>
    <row r="49">
      <c r="A49" s="39" t="s">
        <v>333</v>
      </c>
      <c r="B49" s="40">
        <v>45863.28263332176</v>
      </c>
      <c r="C49" s="41" t="s">
        <v>334</v>
      </c>
      <c r="D49" s="42" t="s">
        <v>137</v>
      </c>
      <c r="E49" s="41" t="s">
        <v>335</v>
      </c>
      <c r="F49" s="43" t="s">
        <v>333</v>
      </c>
      <c r="G49" s="50">
        <v>230.0</v>
      </c>
      <c r="H49" s="44">
        <v>9.0</v>
      </c>
      <c r="I49" s="44">
        <v>7.0</v>
      </c>
      <c r="J49" s="44">
        <v>1.0</v>
      </c>
      <c r="K49" s="45"/>
      <c r="L49" s="45"/>
      <c r="M49" s="45"/>
      <c r="N49" s="44">
        <v>9.0</v>
      </c>
      <c r="O49" s="45"/>
      <c r="P49" s="45"/>
      <c r="Q49" s="45"/>
      <c r="R49" s="45"/>
      <c r="S49" s="45"/>
      <c r="T49" s="45"/>
      <c r="U49" s="45"/>
      <c r="V49" s="46" t="s">
        <v>336</v>
      </c>
      <c r="W49" s="41" t="s">
        <v>337</v>
      </c>
      <c r="X49" s="45"/>
      <c r="Y49" s="45"/>
      <c r="Z49" s="41" t="s">
        <v>139</v>
      </c>
      <c r="AA49" s="44">
        <v>1.0</v>
      </c>
      <c r="AB49" s="45"/>
      <c r="AC49" s="44">
        <v>1.0</v>
      </c>
      <c r="AD49" s="47"/>
      <c r="AE49" s="47"/>
      <c r="AF49" s="47"/>
      <c r="AG49" s="47"/>
      <c r="AH49" s="47"/>
      <c r="AI49" s="38"/>
      <c r="AJ49" s="38"/>
      <c r="AK49" s="38"/>
      <c r="AL49" s="38"/>
      <c r="AM49" s="38"/>
      <c r="AN49" s="38"/>
      <c r="AO49" s="38"/>
      <c r="AP49" s="38"/>
      <c r="AQ49" s="38"/>
      <c r="AR49" s="38"/>
      <c r="AS49" s="38"/>
      <c r="AT49" s="38"/>
      <c r="AU49" s="38"/>
      <c r="AV49" s="38"/>
      <c r="AW49" s="38"/>
      <c r="AX49" s="38"/>
      <c r="AY49" s="38"/>
      <c r="AZ49" s="38"/>
      <c r="BA49" s="38"/>
      <c r="BB49" s="38"/>
      <c r="BC49" s="38"/>
    </row>
    <row r="50">
      <c r="A50" s="48" t="s">
        <v>338</v>
      </c>
      <c r="B50" s="30">
        <v>45863.285637719906</v>
      </c>
      <c r="C50" s="36" t="s">
        <v>339</v>
      </c>
      <c r="D50" s="32" t="s">
        <v>340</v>
      </c>
      <c r="E50" s="36" t="s">
        <v>341</v>
      </c>
      <c r="F50" s="33" t="s">
        <v>338</v>
      </c>
      <c r="G50" s="31">
        <v>600.0</v>
      </c>
      <c r="H50" s="31">
        <v>9.0</v>
      </c>
      <c r="I50" s="31">
        <v>7.0</v>
      </c>
      <c r="J50" s="31">
        <v>2.0</v>
      </c>
      <c r="K50" s="34"/>
      <c r="L50" s="34"/>
      <c r="M50" s="34"/>
      <c r="N50" s="31">
        <v>9.0</v>
      </c>
      <c r="O50" s="34"/>
      <c r="P50" s="34"/>
      <c r="Q50" s="34"/>
      <c r="R50" s="34"/>
      <c r="S50" s="34"/>
      <c r="T50" s="34"/>
      <c r="U50" s="34"/>
      <c r="V50" s="35" t="s">
        <v>342</v>
      </c>
      <c r="W50" s="36" t="s">
        <v>343</v>
      </c>
      <c r="X50" s="34"/>
      <c r="Y50" s="34"/>
      <c r="Z50" s="36" t="s">
        <v>344</v>
      </c>
      <c r="AA50" s="31">
        <v>1.0</v>
      </c>
      <c r="AB50" s="34"/>
      <c r="AC50" s="31">
        <v>1.0</v>
      </c>
      <c r="AD50" s="49"/>
      <c r="AE50" s="49"/>
      <c r="AF50" s="49"/>
      <c r="AG50" s="49"/>
      <c r="AH50" s="49"/>
      <c r="AI50" s="38"/>
      <c r="AJ50" s="38"/>
      <c r="AK50" s="38"/>
      <c r="AL50" s="38"/>
      <c r="AM50" s="38"/>
      <c r="AN50" s="38"/>
      <c r="AO50" s="38"/>
      <c r="AP50" s="38"/>
      <c r="AQ50" s="38"/>
      <c r="AR50" s="38"/>
      <c r="AS50" s="38"/>
      <c r="AT50" s="38"/>
      <c r="AU50" s="38"/>
      <c r="AV50" s="38"/>
      <c r="AW50" s="38"/>
      <c r="AX50" s="38"/>
      <c r="AY50" s="38"/>
      <c r="AZ50" s="38"/>
      <c r="BA50" s="38"/>
      <c r="BB50" s="38"/>
      <c r="BC50" s="38"/>
    </row>
    <row r="51">
      <c r="A51" s="39" t="s">
        <v>345</v>
      </c>
      <c r="B51" s="40">
        <v>45863.286817141205</v>
      </c>
      <c r="C51" s="41" t="s">
        <v>346</v>
      </c>
      <c r="D51" s="42" t="s">
        <v>347</v>
      </c>
      <c r="E51" s="41" t="s">
        <v>348</v>
      </c>
      <c r="F51" s="43" t="s">
        <v>345</v>
      </c>
      <c r="G51" s="44">
        <v>35.0</v>
      </c>
      <c r="H51" s="44">
        <v>6.0</v>
      </c>
      <c r="I51" s="44">
        <v>4.0</v>
      </c>
      <c r="J51" s="42" t="s">
        <v>349</v>
      </c>
      <c r="K51" s="45"/>
      <c r="L51" s="45"/>
      <c r="M51" s="45"/>
      <c r="N51" s="44">
        <v>10.0</v>
      </c>
      <c r="O51" s="45"/>
      <c r="P51" s="45"/>
      <c r="Q51" s="45"/>
      <c r="R51" s="45"/>
      <c r="S51" s="45"/>
      <c r="T51" s="45"/>
      <c r="U51" s="45"/>
      <c r="V51" s="46" t="s">
        <v>350</v>
      </c>
      <c r="W51" s="45"/>
      <c r="X51" s="45"/>
      <c r="Y51" s="45"/>
      <c r="Z51" s="41" t="s">
        <v>351</v>
      </c>
      <c r="AA51" s="44">
        <v>1.0</v>
      </c>
      <c r="AB51" s="45"/>
      <c r="AC51" s="44">
        <v>1.0</v>
      </c>
      <c r="AD51" s="47"/>
      <c r="AE51" s="47"/>
      <c r="AF51" s="47"/>
      <c r="AG51" s="47"/>
      <c r="AH51" s="47"/>
      <c r="AI51" s="38"/>
      <c r="AJ51" s="38"/>
      <c r="AK51" s="38"/>
      <c r="AL51" s="38"/>
      <c r="AM51" s="38"/>
      <c r="AN51" s="38"/>
      <c r="AO51" s="38"/>
      <c r="AP51" s="38"/>
      <c r="AQ51" s="38"/>
      <c r="AR51" s="38"/>
      <c r="AS51" s="38"/>
      <c r="AT51" s="38"/>
      <c r="AU51" s="38"/>
      <c r="AV51" s="38"/>
      <c r="AW51" s="38"/>
      <c r="AX51" s="38"/>
      <c r="AY51" s="38"/>
      <c r="AZ51" s="38"/>
      <c r="BA51" s="38"/>
      <c r="BB51" s="38"/>
      <c r="BC51" s="38"/>
    </row>
    <row r="52">
      <c r="A52" s="48" t="s">
        <v>352</v>
      </c>
      <c r="B52" s="30">
        <v>45863.28771365741</v>
      </c>
      <c r="C52" s="36" t="s">
        <v>353</v>
      </c>
      <c r="D52" s="32" t="s">
        <v>315</v>
      </c>
      <c r="E52" s="36" t="s">
        <v>354</v>
      </c>
      <c r="F52" s="33" t="s">
        <v>352</v>
      </c>
      <c r="G52" s="51">
        <v>71.0</v>
      </c>
      <c r="H52" s="31">
        <v>7.0</v>
      </c>
      <c r="I52" s="31">
        <v>7.0</v>
      </c>
      <c r="J52" s="31">
        <v>2.0</v>
      </c>
      <c r="K52" s="34"/>
      <c r="L52" s="34"/>
      <c r="M52" s="34"/>
      <c r="N52" s="31">
        <v>8.0</v>
      </c>
      <c r="O52" s="34"/>
      <c r="P52" s="34"/>
      <c r="Q52" s="34"/>
      <c r="R52" s="34"/>
      <c r="S52" s="34"/>
      <c r="T52" s="34"/>
      <c r="U52" s="34"/>
      <c r="V52" s="35" t="s">
        <v>355</v>
      </c>
      <c r="W52" s="34"/>
      <c r="X52" s="34"/>
      <c r="Y52" s="34"/>
      <c r="Z52" s="36" t="s">
        <v>317</v>
      </c>
      <c r="AA52" s="31">
        <v>1.0</v>
      </c>
      <c r="AB52" s="34"/>
      <c r="AC52" s="31">
        <v>1.0</v>
      </c>
      <c r="AD52" s="49"/>
      <c r="AE52" s="49"/>
      <c r="AF52" s="49"/>
      <c r="AG52" s="49"/>
      <c r="AH52" s="49"/>
      <c r="AI52" s="38"/>
      <c r="AJ52" s="38"/>
      <c r="AK52" s="38"/>
      <c r="AL52" s="38"/>
      <c r="AM52" s="38"/>
      <c r="AN52" s="38"/>
      <c r="AO52" s="38"/>
      <c r="AP52" s="38"/>
      <c r="AQ52" s="38"/>
      <c r="AR52" s="38"/>
      <c r="AS52" s="38"/>
      <c r="AT52" s="38"/>
      <c r="AU52" s="38"/>
      <c r="AV52" s="38"/>
      <c r="AW52" s="38"/>
      <c r="AX52" s="38"/>
      <c r="AY52" s="38"/>
      <c r="AZ52" s="38"/>
      <c r="BA52" s="38"/>
      <c r="BB52" s="38"/>
      <c r="BC52" s="38"/>
    </row>
    <row r="53">
      <c r="A53" s="39" t="s">
        <v>356</v>
      </c>
      <c r="B53" s="40">
        <v>45863.28991777777</v>
      </c>
      <c r="C53" s="41" t="s">
        <v>357</v>
      </c>
      <c r="D53" s="42" t="s">
        <v>358</v>
      </c>
      <c r="E53" s="41" t="s">
        <v>359</v>
      </c>
      <c r="F53" s="43" t="s">
        <v>356</v>
      </c>
      <c r="G53" s="44">
        <v>760.0</v>
      </c>
      <c r="H53" s="44">
        <v>2.0</v>
      </c>
      <c r="I53" s="44">
        <v>5.0</v>
      </c>
      <c r="J53" s="44">
        <v>7.0</v>
      </c>
      <c r="K53" s="45"/>
      <c r="L53" s="45"/>
      <c r="M53" s="45"/>
      <c r="N53" s="44">
        <v>7.0</v>
      </c>
      <c r="O53" s="45"/>
      <c r="P53" s="45"/>
      <c r="Q53" s="45"/>
      <c r="R53" s="45"/>
      <c r="S53" s="45"/>
      <c r="T53" s="45"/>
      <c r="U53" s="45"/>
      <c r="V53" s="46" t="s">
        <v>360</v>
      </c>
      <c r="W53" s="44" t="s">
        <v>361</v>
      </c>
      <c r="X53" s="45"/>
      <c r="Y53" s="45"/>
      <c r="Z53" s="41" t="s">
        <v>362</v>
      </c>
      <c r="AA53" s="44">
        <v>1.0</v>
      </c>
      <c r="AB53" s="45"/>
      <c r="AC53" s="44">
        <v>1.0</v>
      </c>
      <c r="AD53" s="47"/>
      <c r="AE53" s="47"/>
      <c r="AF53" s="47"/>
      <c r="AG53" s="47"/>
      <c r="AH53" s="47"/>
      <c r="AI53" s="38"/>
      <c r="AJ53" s="38"/>
      <c r="AK53" s="38"/>
      <c r="AL53" s="38"/>
      <c r="AM53" s="38"/>
      <c r="AN53" s="38"/>
      <c r="AO53" s="38"/>
      <c r="AP53" s="38"/>
      <c r="AQ53" s="38"/>
      <c r="AR53" s="38"/>
      <c r="AS53" s="38"/>
      <c r="AT53" s="38"/>
      <c r="AU53" s="38"/>
      <c r="AV53" s="38"/>
      <c r="AW53" s="38"/>
      <c r="AX53" s="38"/>
      <c r="AY53" s="38"/>
      <c r="AZ53" s="38"/>
      <c r="BA53" s="38"/>
      <c r="BB53" s="38"/>
      <c r="BC53" s="38"/>
    </row>
    <row r="54">
      <c r="A54" s="48" t="s">
        <v>363</v>
      </c>
      <c r="B54" s="30">
        <v>45863.2903144213</v>
      </c>
      <c r="C54" s="36" t="s">
        <v>353</v>
      </c>
      <c r="D54" s="32" t="s">
        <v>315</v>
      </c>
      <c r="E54" s="36" t="s">
        <v>354</v>
      </c>
      <c r="F54" s="33" t="s">
        <v>363</v>
      </c>
      <c r="G54" s="31">
        <v>60.0</v>
      </c>
      <c r="H54" s="31">
        <v>7.0</v>
      </c>
      <c r="I54" s="31">
        <v>7.0</v>
      </c>
      <c r="J54" s="31">
        <v>2.0</v>
      </c>
      <c r="K54" s="34"/>
      <c r="L54" s="34"/>
      <c r="M54" s="34"/>
      <c r="N54" s="31">
        <v>8.0</v>
      </c>
      <c r="O54" s="34"/>
      <c r="P54" s="34"/>
      <c r="Q54" s="34"/>
      <c r="R54" s="34"/>
      <c r="S54" s="34"/>
      <c r="T54" s="34"/>
      <c r="U54" s="34"/>
      <c r="V54" s="35" t="s">
        <v>364</v>
      </c>
      <c r="W54" s="34"/>
      <c r="X54" s="34"/>
      <c r="Y54" s="34"/>
      <c r="Z54" s="36" t="s">
        <v>317</v>
      </c>
      <c r="AA54" s="36" t="s">
        <v>8</v>
      </c>
      <c r="AB54" s="34"/>
      <c r="AC54" s="34"/>
      <c r="AD54" s="37"/>
      <c r="AE54" s="37"/>
      <c r="AF54" s="37"/>
      <c r="AG54" s="37"/>
      <c r="AH54" s="37"/>
      <c r="AI54" s="38"/>
      <c r="AJ54" s="38"/>
      <c r="AK54" s="38"/>
      <c r="AL54" s="38"/>
      <c r="AM54" s="38"/>
      <c r="AN54" s="38"/>
      <c r="AO54" s="38"/>
      <c r="AP54" s="38"/>
      <c r="AQ54" s="38"/>
      <c r="AR54" s="38"/>
      <c r="AS54" s="38"/>
      <c r="AT54" s="38"/>
      <c r="AU54" s="38"/>
      <c r="AV54" s="38"/>
      <c r="AW54" s="38"/>
      <c r="AX54" s="38"/>
      <c r="AY54" s="38"/>
      <c r="AZ54" s="38"/>
      <c r="BA54" s="38"/>
      <c r="BB54" s="38"/>
      <c r="BC54" s="38"/>
    </row>
    <row r="55">
      <c r="A55" s="39" t="s">
        <v>365</v>
      </c>
      <c r="B55" s="40">
        <v>45863.29100672454</v>
      </c>
      <c r="C55" s="41" t="s">
        <v>366</v>
      </c>
      <c r="D55" s="42" t="s">
        <v>367</v>
      </c>
      <c r="E55" s="41" t="s">
        <v>368</v>
      </c>
      <c r="F55" s="43" t="s">
        <v>365</v>
      </c>
      <c r="G55" s="44">
        <v>313.0</v>
      </c>
      <c r="H55" s="44">
        <v>10.0</v>
      </c>
      <c r="I55" s="44">
        <v>10.0</v>
      </c>
      <c r="J55" s="44">
        <v>0.0</v>
      </c>
      <c r="K55" s="45"/>
      <c r="L55" s="45"/>
      <c r="M55" s="45"/>
      <c r="N55" s="44">
        <v>10.0</v>
      </c>
      <c r="O55" s="45"/>
      <c r="P55" s="45"/>
      <c r="Q55" s="45"/>
      <c r="R55" s="45"/>
      <c r="S55" s="45"/>
      <c r="T55" s="45"/>
      <c r="U55" s="45"/>
      <c r="V55" s="46" t="s">
        <v>369</v>
      </c>
      <c r="W55" s="45"/>
      <c r="X55" s="45"/>
      <c r="Y55" s="45"/>
      <c r="Z55" s="41" t="s">
        <v>370</v>
      </c>
      <c r="AA55" s="44">
        <v>1.0</v>
      </c>
      <c r="AB55" s="45"/>
      <c r="AC55" s="44">
        <v>1.0</v>
      </c>
      <c r="AD55" s="47"/>
      <c r="AE55" s="47"/>
      <c r="AF55" s="47"/>
      <c r="AG55" s="47"/>
      <c r="AH55" s="47"/>
      <c r="AI55" s="38"/>
      <c r="AJ55" s="38"/>
      <c r="AK55" s="38"/>
      <c r="AL55" s="38"/>
      <c r="AM55" s="38"/>
      <c r="AN55" s="38"/>
      <c r="AO55" s="38"/>
      <c r="AP55" s="38"/>
      <c r="AQ55" s="38"/>
      <c r="AR55" s="38"/>
      <c r="AS55" s="38"/>
      <c r="AT55" s="38"/>
      <c r="AU55" s="38"/>
      <c r="AV55" s="38"/>
      <c r="AW55" s="38"/>
      <c r="AX55" s="38"/>
      <c r="AY55" s="38"/>
      <c r="AZ55" s="38"/>
      <c r="BA55" s="38"/>
      <c r="BB55" s="38"/>
      <c r="BC55" s="38"/>
    </row>
    <row r="56">
      <c r="A56" s="48" t="s">
        <v>371</v>
      </c>
      <c r="B56" s="30">
        <v>45863.293703460644</v>
      </c>
      <c r="C56" s="36" t="s">
        <v>372</v>
      </c>
      <c r="D56" s="32" t="s">
        <v>373</v>
      </c>
      <c r="E56" s="36" t="s">
        <v>374</v>
      </c>
      <c r="F56" s="33" t="s">
        <v>371</v>
      </c>
      <c r="G56" s="31">
        <v>460.0</v>
      </c>
      <c r="H56" s="31">
        <v>9.0</v>
      </c>
      <c r="I56" s="31">
        <v>8.0</v>
      </c>
      <c r="J56" s="31">
        <v>2.0</v>
      </c>
      <c r="K56" s="34"/>
      <c r="L56" s="34"/>
      <c r="M56" s="34"/>
      <c r="N56" s="31">
        <v>4.0</v>
      </c>
      <c r="O56" s="34"/>
      <c r="P56" s="34"/>
      <c r="Q56" s="34"/>
      <c r="R56" s="34"/>
      <c r="S56" s="34"/>
      <c r="T56" s="34"/>
      <c r="U56" s="34"/>
      <c r="V56" s="35" t="s">
        <v>375</v>
      </c>
      <c r="W56" s="34"/>
      <c r="X56" s="34"/>
      <c r="Y56" s="34"/>
      <c r="Z56" s="36" t="s">
        <v>376</v>
      </c>
      <c r="AA56" s="31">
        <v>1.0</v>
      </c>
      <c r="AB56" s="34"/>
      <c r="AC56" s="31">
        <v>1.0</v>
      </c>
      <c r="AD56" s="49"/>
      <c r="AE56" s="49"/>
      <c r="AF56" s="49"/>
      <c r="AG56" s="49"/>
      <c r="AH56" s="49"/>
      <c r="AI56" s="38"/>
      <c r="AJ56" s="38"/>
      <c r="AK56" s="38"/>
      <c r="AL56" s="38"/>
      <c r="AM56" s="38"/>
      <c r="AN56" s="38"/>
      <c r="AO56" s="38"/>
      <c r="AP56" s="38"/>
      <c r="AQ56" s="38"/>
      <c r="AR56" s="38"/>
      <c r="AS56" s="38"/>
      <c r="AT56" s="38"/>
      <c r="AU56" s="38"/>
      <c r="AV56" s="38"/>
      <c r="AW56" s="38"/>
      <c r="AX56" s="38"/>
      <c r="AY56" s="38"/>
      <c r="AZ56" s="38"/>
      <c r="BA56" s="38"/>
      <c r="BB56" s="38"/>
      <c r="BC56" s="38"/>
    </row>
    <row r="57">
      <c r="A57" s="39" t="s">
        <v>377</v>
      </c>
      <c r="B57" s="40">
        <v>45863.29756099537</v>
      </c>
      <c r="C57" s="41" t="s">
        <v>378</v>
      </c>
      <c r="D57" s="42" t="s">
        <v>379</v>
      </c>
      <c r="E57" s="41" t="s">
        <v>380</v>
      </c>
      <c r="F57" s="43" t="s">
        <v>377</v>
      </c>
      <c r="G57" s="44">
        <v>127.0</v>
      </c>
      <c r="H57" s="44">
        <v>9.0</v>
      </c>
      <c r="I57" s="44">
        <v>9.0</v>
      </c>
      <c r="J57" s="44">
        <v>1.0</v>
      </c>
      <c r="K57" s="45"/>
      <c r="L57" s="45"/>
      <c r="M57" s="45"/>
      <c r="N57" s="44">
        <v>7.0</v>
      </c>
      <c r="O57" s="45"/>
      <c r="P57" s="45"/>
      <c r="Q57" s="45"/>
      <c r="R57" s="45"/>
      <c r="S57" s="45"/>
      <c r="T57" s="45"/>
      <c r="U57" s="45"/>
      <c r="V57" s="46" t="s">
        <v>381</v>
      </c>
      <c r="W57" s="45"/>
      <c r="X57" s="45"/>
      <c r="Y57" s="45"/>
      <c r="Z57" s="41" t="s">
        <v>122</v>
      </c>
      <c r="AA57" s="44">
        <v>1.0</v>
      </c>
      <c r="AB57" s="45"/>
      <c r="AC57" s="44">
        <v>1.0</v>
      </c>
      <c r="AD57" s="47"/>
      <c r="AE57" s="47"/>
      <c r="AF57" s="47"/>
      <c r="AG57" s="47"/>
      <c r="AH57" s="47"/>
      <c r="AI57" s="38"/>
      <c r="AJ57" s="38"/>
      <c r="AK57" s="38"/>
      <c r="AL57" s="38"/>
      <c r="AM57" s="38"/>
      <c r="AN57" s="38"/>
      <c r="AO57" s="38"/>
      <c r="AP57" s="38"/>
      <c r="AQ57" s="38"/>
      <c r="AR57" s="38"/>
      <c r="AS57" s="38"/>
      <c r="AT57" s="38"/>
      <c r="AU57" s="38"/>
      <c r="AV57" s="38"/>
      <c r="AW57" s="38"/>
      <c r="AX57" s="38"/>
      <c r="AY57" s="38"/>
      <c r="AZ57" s="38"/>
      <c r="BA57" s="38"/>
      <c r="BB57" s="38"/>
      <c r="BC57" s="38"/>
    </row>
    <row r="58">
      <c r="A58" s="48" t="s">
        <v>382</v>
      </c>
      <c r="B58" s="30">
        <v>45863.2981327662</v>
      </c>
      <c r="C58" s="36" t="s">
        <v>383</v>
      </c>
      <c r="D58" s="32" t="s">
        <v>384</v>
      </c>
      <c r="E58" s="36" t="s">
        <v>385</v>
      </c>
      <c r="F58" s="33" t="s">
        <v>382</v>
      </c>
      <c r="G58" s="31">
        <v>1753.0</v>
      </c>
      <c r="H58" s="31">
        <v>8.0</v>
      </c>
      <c r="I58" s="31">
        <v>8.0</v>
      </c>
      <c r="J58" s="31">
        <v>1.0</v>
      </c>
      <c r="K58" s="34"/>
      <c r="L58" s="34"/>
      <c r="M58" s="34"/>
      <c r="N58" s="31">
        <v>10.0</v>
      </c>
      <c r="O58" s="34"/>
      <c r="P58" s="34"/>
      <c r="Q58" s="34"/>
      <c r="R58" s="34"/>
      <c r="S58" s="34"/>
      <c r="T58" s="34"/>
      <c r="U58" s="34"/>
      <c r="V58" s="35" t="s">
        <v>386</v>
      </c>
      <c r="W58" s="36" t="s">
        <v>197</v>
      </c>
      <c r="X58" s="34"/>
      <c r="Y58" s="34"/>
      <c r="Z58" s="36" t="s">
        <v>387</v>
      </c>
      <c r="AA58" s="31">
        <v>1.0</v>
      </c>
      <c r="AB58" s="34"/>
      <c r="AC58" s="31">
        <v>1.0</v>
      </c>
      <c r="AD58" s="49"/>
      <c r="AE58" s="49"/>
      <c r="AF58" s="49"/>
      <c r="AG58" s="49"/>
      <c r="AH58" s="49"/>
      <c r="AI58" s="38"/>
      <c r="AJ58" s="38"/>
      <c r="AK58" s="38"/>
      <c r="AL58" s="38"/>
      <c r="AM58" s="38"/>
      <c r="AN58" s="38"/>
      <c r="AO58" s="38"/>
      <c r="AP58" s="38"/>
      <c r="AQ58" s="38"/>
      <c r="AR58" s="38"/>
      <c r="AS58" s="38"/>
      <c r="AT58" s="38"/>
      <c r="AU58" s="38"/>
      <c r="AV58" s="38"/>
      <c r="AW58" s="38"/>
      <c r="AX58" s="38"/>
      <c r="AY58" s="38"/>
      <c r="AZ58" s="38"/>
      <c r="BA58" s="38"/>
      <c r="BB58" s="38"/>
      <c r="BC58" s="38"/>
    </row>
    <row r="59">
      <c r="A59" s="57" t="s">
        <v>388</v>
      </c>
      <c r="B59" s="40">
        <v>45863.29818056713</v>
      </c>
      <c r="C59" s="41" t="s">
        <v>389</v>
      </c>
      <c r="D59" s="42" t="s">
        <v>390</v>
      </c>
      <c r="E59" s="41" t="s">
        <v>391</v>
      </c>
      <c r="F59" s="58" t="s">
        <v>388</v>
      </c>
      <c r="G59" s="44">
        <v>428.0</v>
      </c>
      <c r="H59" s="44">
        <v>4.0</v>
      </c>
      <c r="I59" s="44">
        <v>6.0</v>
      </c>
      <c r="J59" s="44">
        <v>0.0</v>
      </c>
      <c r="K59" s="45"/>
      <c r="L59" s="45"/>
      <c r="M59" s="45"/>
      <c r="N59" s="44">
        <v>4.0</v>
      </c>
      <c r="O59" s="45"/>
      <c r="P59" s="45"/>
      <c r="Q59" s="45"/>
      <c r="R59" s="45"/>
      <c r="S59" s="45"/>
      <c r="T59" s="45"/>
      <c r="U59" s="45"/>
      <c r="V59" s="45"/>
      <c r="W59" s="45"/>
      <c r="X59" s="45"/>
      <c r="Y59" s="45"/>
      <c r="Z59" s="41" t="s">
        <v>392</v>
      </c>
      <c r="AA59" s="41" t="s">
        <v>8</v>
      </c>
      <c r="AB59" s="45"/>
      <c r="AC59" s="45"/>
      <c r="AD59" s="54"/>
      <c r="AE59" s="54"/>
      <c r="AF59" s="54"/>
      <c r="AG59" s="54"/>
      <c r="AH59" s="54"/>
      <c r="AI59" s="38"/>
      <c r="AJ59" s="38"/>
      <c r="AK59" s="38"/>
      <c r="AL59" s="38"/>
      <c r="AM59" s="38"/>
      <c r="AN59" s="38"/>
      <c r="AO59" s="38"/>
      <c r="AP59" s="38"/>
      <c r="AQ59" s="38"/>
      <c r="AR59" s="38"/>
      <c r="AS59" s="38"/>
      <c r="AT59" s="38"/>
      <c r="AU59" s="38"/>
      <c r="AV59" s="38"/>
      <c r="AW59" s="38"/>
      <c r="AX59" s="38"/>
      <c r="AY59" s="38"/>
      <c r="AZ59" s="38"/>
      <c r="BA59" s="38"/>
      <c r="BB59" s="38"/>
      <c r="BC59" s="38"/>
    </row>
    <row r="60">
      <c r="A60" s="48" t="s">
        <v>393</v>
      </c>
      <c r="B60" s="30">
        <v>45863.30008050926</v>
      </c>
      <c r="C60" s="36" t="s">
        <v>394</v>
      </c>
      <c r="D60" s="32" t="s">
        <v>395</v>
      </c>
      <c r="E60" s="36" t="s">
        <v>396</v>
      </c>
      <c r="F60" s="33" t="s">
        <v>393</v>
      </c>
      <c r="G60" s="51">
        <v>430.0</v>
      </c>
      <c r="H60" s="31">
        <v>8.0</v>
      </c>
      <c r="I60" s="31">
        <v>10.0</v>
      </c>
      <c r="J60" s="31">
        <v>2.0</v>
      </c>
      <c r="K60" s="34"/>
      <c r="L60" s="34"/>
      <c r="M60" s="34"/>
      <c r="N60" s="31">
        <v>9.0</v>
      </c>
      <c r="O60" s="34"/>
      <c r="P60" s="34"/>
      <c r="Q60" s="34"/>
      <c r="R60" s="34"/>
      <c r="S60" s="34"/>
      <c r="T60" s="34"/>
      <c r="U60" s="34"/>
      <c r="V60" s="35" t="s">
        <v>397</v>
      </c>
      <c r="W60" s="34"/>
      <c r="X60" s="34"/>
      <c r="Y60" s="34"/>
      <c r="Z60" s="36" t="s">
        <v>122</v>
      </c>
      <c r="AA60" s="31">
        <v>1.0</v>
      </c>
      <c r="AB60" s="34"/>
      <c r="AC60" s="31">
        <v>1.0</v>
      </c>
      <c r="AD60" s="49"/>
      <c r="AE60" s="49"/>
      <c r="AF60" s="49"/>
      <c r="AG60" s="49"/>
      <c r="AH60" s="49"/>
      <c r="AI60" s="38"/>
      <c r="AJ60" s="38"/>
      <c r="AK60" s="38"/>
      <c r="AL60" s="38"/>
      <c r="AM60" s="38"/>
      <c r="AN60" s="38"/>
      <c r="AO60" s="38"/>
      <c r="AP60" s="38"/>
      <c r="AQ60" s="38"/>
      <c r="AR60" s="38"/>
      <c r="AS60" s="38"/>
      <c r="AT60" s="38"/>
      <c r="AU60" s="38"/>
      <c r="AV60" s="38"/>
      <c r="AW60" s="38"/>
      <c r="AX60" s="38"/>
      <c r="AY60" s="38"/>
      <c r="AZ60" s="38"/>
      <c r="BA60" s="38"/>
      <c r="BB60" s="38"/>
      <c r="BC60" s="38"/>
    </row>
    <row r="61">
      <c r="A61" s="39" t="s">
        <v>398</v>
      </c>
      <c r="B61" s="40">
        <v>45863.303011979166</v>
      </c>
      <c r="C61" s="41" t="s">
        <v>399</v>
      </c>
      <c r="D61" s="42" t="s">
        <v>400</v>
      </c>
      <c r="E61" s="41" t="s">
        <v>401</v>
      </c>
      <c r="F61" s="43" t="s">
        <v>398</v>
      </c>
      <c r="G61" s="59">
        <v>809.0</v>
      </c>
      <c r="H61" s="44">
        <v>10.0</v>
      </c>
      <c r="I61" s="44">
        <v>10.0</v>
      </c>
      <c r="J61" s="44">
        <v>0.0</v>
      </c>
      <c r="K61" s="45"/>
      <c r="L61" s="45"/>
      <c r="M61" s="45"/>
      <c r="N61" s="44">
        <v>10.0</v>
      </c>
      <c r="O61" s="45"/>
      <c r="P61" s="45"/>
      <c r="Q61" s="45"/>
      <c r="R61" s="45"/>
      <c r="S61" s="45"/>
      <c r="T61" s="45"/>
      <c r="U61" s="45"/>
      <c r="V61" s="46" t="s">
        <v>402</v>
      </c>
      <c r="W61" s="45"/>
      <c r="X61" s="45"/>
      <c r="Y61" s="45"/>
      <c r="Z61" s="41" t="s">
        <v>403</v>
      </c>
      <c r="AA61" s="44">
        <v>1.0</v>
      </c>
      <c r="AB61" s="45"/>
      <c r="AC61" s="44">
        <v>1.0</v>
      </c>
      <c r="AD61" s="47"/>
      <c r="AE61" s="47"/>
      <c r="AF61" s="47"/>
      <c r="AG61" s="47"/>
      <c r="AH61" s="47"/>
      <c r="AI61" s="38"/>
      <c r="AJ61" s="38"/>
      <c r="AK61" s="38"/>
      <c r="AL61" s="38"/>
      <c r="AM61" s="38"/>
      <c r="AN61" s="38"/>
      <c r="AO61" s="38"/>
      <c r="AP61" s="38"/>
      <c r="AQ61" s="38"/>
      <c r="AR61" s="38"/>
      <c r="AS61" s="38"/>
      <c r="AT61" s="38"/>
      <c r="AU61" s="38"/>
      <c r="AV61" s="38"/>
      <c r="AW61" s="38"/>
      <c r="AX61" s="38"/>
      <c r="AY61" s="38"/>
      <c r="AZ61" s="38"/>
      <c r="BA61" s="38"/>
      <c r="BB61" s="38"/>
      <c r="BC61" s="38"/>
    </row>
    <row r="62">
      <c r="A62" s="48" t="s">
        <v>404</v>
      </c>
      <c r="B62" s="30">
        <v>45863.30762238426</v>
      </c>
      <c r="C62" s="36" t="s">
        <v>405</v>
      </c>
      <c r="D62" s="32" t="s">
        <v>406</v>
      </c>
      <c r="E62" s="36" t="s">
        <v>407</v>
      </c>
      <c r="F62" s="33" t="s">
        <v>404</v>
      </c>
      <c r="G62" s="51">
        <v>169.0</v>
      </c>
      <c r="H62" s="31">
        <v>8.0</v>
      </c>
      <c r="I62" s="31">
        <v>10.0</v>
      </c>
      <c r="J62" s="31">
        <v>1.0</v>
      </c>
      <c r="K62" s="34"/>
      <c r="L62" s="34"/>
      <c r="M62" s="34"/>
      <c r="N62" s="31">
        <v>8.0</v>
      </c>
      <c r="O62" s="34"/>
      <c r="P62" s="34"/>
      <c r="Q62" s="34"/>
      <c r="R62" s="34"/>
      <c r="S62" s="34"/>
      <c r="T62" s="34"/>
      <c r="U62" s="34"/>
      <c r="V62" s="35" t="s">
        <v>408</v>
      </c>
      <c r="W62" s="34"/>
      <c r="X62" s="34"/>
      <c r="Y62" s="34"/>
      <c r="Z62" s="36" t="s">
        <v>409</v>
      </c>
      <c r="AA62" s="31">
        <v>1.0</v>
      </c>
      <c r="AB62" s="34"/>
      <c r="AC62" s="31">
        <v>1.0</v>
      </c>
      <c r="AD62" s="49"/>
      <c r="AE62" s="49"/>
      <c r="AF62" s="49"/>
      <c r="AG62" s="49"/>
      <c r="AH62" s="49"/>
      <c r="AI62" s="38"/>
      <c r="AJ62" s="38"/>
      <c r="AK62" s="38"/>
      <c r="AL62" s="38"/>
      <c r="AM62" s="38"/>
      <c r="AN62" s="38"/>
      <c r="AO62" s="38"/>
      <c r="AP62" s="38"/>
      <c r="AQ62" s="38"/>
      <c r="AR62" s="38"/>
      <c r="AS62" s="38"/>
      <c r="AT62" s="38"/>
      <c r="AU62" s="38"/>
      <c r="AV62" s="38"/>
      <c r="AW62" s="38"/>
      <c r="AX62" s="38"/>
      <c r="AY62" s="38"/>
      <c r="AZ62" s="38"/>
      <c r="BA62" s="38"/>
      <c r="BB62" s="38"/>
      <c r="BC62" s="38"/>
    </row>
    <row r="63">
      <c r="A63" s="39" t="s">
        <v>410</v>
      </c>
      <c r="B63" s="40">
        <v>45863.30863501158</v>
      </c>
      <c r="C63" s="41" t="s">
        <v>411</v>
      </c>
      <c r="D63" s="42" t="s">
        <v>412</v>
      </c>
      <c r="E63" s="41" t="s">
        <v>413</v>
      </c>
      <c r="F63" s="43" t="s">
        <v>410</v>
      </c>
      <c r="G63" s="50">
        <v>355.0</v>
      </c>
      <c r="H63" s="44">
        <v>7.0</v>
      </c>
      <c r="I63" s="44">
        <v>7.0</v>
      </c>
      <c r="J63" s="44">
        <v>2.0</v>
      </c>
      <c r="K63" s="45"/>
      <c r="L63" s="45"/>
      <c r="M63" s="45"/>
      <c r="N63" s="44">
        <v>8.0</v>
      </c>
      <c r="O63" s="45"/>
      <c r="P63" s="45"/>
      <c r="Q63" s="45"/>
      <c r="R63" s="45"/>
      <c r="S63" s="45"/>
      <c r="T63" s="45"/>
      <c r="U63" s="45"/>
      <c r="V63" s="46" t="s">
        <v>414</v>
      </c>
      <c r="W63" s="45"/>
      <c r="X63" s="45"/>
      <c r="Y63" s="45"/>
      <c r="Z63" s="41" t="s">
        <v>415</v>
      </c>
      <c r="AA63" s="44">
        <v>1.0</v>
      </c>
      <c r="AB63" s="45"/>
      <c r="AC63" s="44">
        <v>1.0</v>
      </c>
      <c r="AD63" s="47"/>
      <c r="AE63" s="47"/>
      <c r="AF63" s="47"/>
      <c r="AG63" s="47"/>
      <c r="AH63" s="47"/>
      <c r="AI63" s="38"/>
      <c r="AJ63" s="38"/>
      <c r="AK63" s="38"/>
      <c r="AL63" s="38"/>
      <c r="AM63" s="38"/>
      <c r="AN63" s="38"/>
      <c r="AO63" s="38"/>
      <c r="AP63" s="38"/>
      <c r="AQ63" s="38"/>
      <c r="AR63" s="38"/>
      <c r="AS63" s="38"/>
      <c r="AT63" s="38"/>
      <c r="AU63" s="38"/>
      <c r="AV63" s="38"/>
      <c r="AW63" s="38"/>
      <c r="AX63" s="38"/>
      <c r="AY63" s="38"/>
      <c r="AZ63" s="38"/>
      <c r="BA63" s="38"/>
      <c r="BB63" s="38"/>
      <c r="BC63" s="38"/>
    </row>
    <row r="64">
      <c r="A64" s="48" t="s">
        <v>416</v>
      </c>
      <c r="B64" s="30">
        <v>45863.31112381944</v>
      </c>
      <c r="C64" s="36" t="s">
        <v>417</v>
      </c>
      <c r="D64" s="32" t="s">
        <v>418</v>
      </c>
      <c r="E64" s="36" t="s">
        <v>419</v>
      </c>
      <c r="F64" s="33" t="s">
        <v>416</v>
      </c>
      <c r="G64" s="51">
        <v>250.0</v>
      </c>
      <c r="H64" s="31">
        <v>8.0</v>
      </c>
      <c r="I64" s="31">
        <v>10.0</v>
      </c>
      <c r="J64" s="31">
        <v>1.0</v>
      </c>
      <c r="K64" s="34"/>
      <c r="L64" s="34"/>
      <c r="M64" s="34"/>
      <c r="N64" s="31">
        <v>9.0</v>
      </c>
      <c r="O64" s="34"/>
      <c r="P64" s="34"/>
      <c r="Q64" s="34"/>
      <c r="R64" s="34"/>
      <c r="S64" s="34"/>
      <c r="T64" s="34"/>
      <c r="U64" s="34"/>
      <c r="V64" s="35" t="s">
        <v>420</v>
      </c>
      <c r="W64" s="34"/>
      <c r="X64" s="34"/>
      <c r="Y64" s="34"/>
      <c r="Z64" s="36" t="s">
        <v>122</v>
      </c>
      <c r="AA64" s="31">
        <v>1.0</v>
      </c>
      <c r="AB64" s="34"/>
      <c r="AC64" s="31">
        <v>1.0</v>
      </c>
      <c r="AD64" s="49"/>
      <c r="AE64" s="49"/>
      <c r="AF64" s="49"/>
      <c r="AG64" s="49"/>
      <c r="AH64" s="49"/>
      <c r="AI64" s="38"/>
      <c r="AJ64" s="38"/>
      <c r="AK64" s="38"/>
      <c r="AL64" s="38"/>
      <c r="AM64" s="38"/>
      <c r="AN64" s="38"/>
      <c r="AO64" s="38"/>
      <c r="AP64" s="38"/>
      <c r="AQ64" s="38"/>
      <c r="AR64" s="38"/>
      <c r="AS64" s="38"/>
      <c r="AT64" s="38"/>
      <c r="AU64" s="38"/>
      <c r="AV64" s="38"/>
      <c r="AW64" s="38"/>
      <c r="AX64" s="38"/>
      <c r="AY64" s="38"/>
      <c r="AZ64" s="38"/>
      <c r="BA64" s="38"/>
      <c r="BB64" s="38"/>
      <c r="BC64" s="38"/>
    </row>
    <row r="65">
      <c r="A65" s="39" t="s">
        <v>421</v>
      </c>
      <c r="B65" s="40">
        <v>45863.311638217594</v>
      </c>
      <c r="C65" s="41" t="s">
        <v>422</v>
      </c>
      <c r="D65" s="42" t="s">
        <v>423</v>
      </c>
      <c r="E65" s="41" t="s">
        <v>424</v>
      </c>
      <c r="F65" s="43" t="s">
        <v>421</v>
      </c>
      <c r="G65" s="44">
        <v>149.0</v>
      </c>
      <c r="H65" s="44">
        <v>5.0</v>
      </c>
      <c r="I65" s="44">
        <v>4.0</v>
      </c>
      <c r="J65" s="44">
        <v>7.0</v>
      </c>
      <c r="K65" s="45"/>
      <c r="L65" s="45"/>
      <c r="M65" s="45"/>
      <c r="N65" s="44">
        <v>8.0</v>
      </c>
      <c r="O65" s="45"/>
      <c r="P65" s="45"/>
      <c r="Q65" s="45"/>
      <c r="R65" s="45"/>
      <c r="S65" s="45"/>
      <c r="T65" s="45"/>
      <c r="U65" s="45"/>
      <c r="V65" s="46" t="s">
        <v>425</v>
      </c>
      <c r="W65" s="41" t="s">
        <v>197</v>
      </c>
      <c r="X65" s="45"/>
      <c r="Y65" s="45"/>
      <c r="Z65" s="41" t="s">
        <v>426</v>
      </c>
      <c r="AA65" s="44">
        <v>1.0</v>
      </c>
      <c r="AB65" s="45"/>
      <c r="AC65" s="44">
        <v>1.0</v>
      </c>
      <c r="AD65" s="47"/>
      <c r="AE65" s="47"/>
      <c r="AF65" s="47"/>
      <c r="AG65" s="47"/>
      <c r="AH65" s="47"/>
      <c r="AI65" s="38"/>
      <c r="AJ65" s="38"/>
      <c r="AK65" s="38"/>
      <c r="AL65" s="38"/>
      <c r="AM65" s="38"/>
      <c r="AN65" s="38"/>
      <c r="AO65" s="38"/>
      <c r="AP65" s="38"/>
      <c r="AQ65" s="38"/>
      <c r="AR65" s="38"/>
      <c r="AS65" s="38"/>
      <c r="AT65" s="38"/>
      <c r="AU65" s="38"/>
      <c r="AV65" s="38"/>
      <c r="AW65" s="38"/>
      <c r="AX65" s="38"/>
      <c r="AY65" s="38"/>
      <c r="AZ65" s="38"/>
      <c r="BA65" s="38"/>
      <c r="BB65" s="38"/>
      <c r="BC65" s="38"/>
    </row>
    <row r="66">
      <c r="A66" s="48" t="s">
        <v>427</v>
      </c>
      <c r="B66" s="30">
        <v>45863.31246894676</v>
      </c>
      <c r="C66" s="36" t="s">
        <v>428</v>
      </c>
      <c r="D66" s="32" t="s">
        <v>429</v>
      </c>
      <c r="E66" s="36" t="s">
        <v>430</v>
      </c>
      <c r="F66" s="33" t="s">
        <v>427</v>
      </c>
      <c r="G66" s="31">
        <v>39.0</v>
      </c>
      <c r="H66" s="31">
        <v>10.0</v>
      </c>
      <c r="I66" s="31">
        <v>10.0</v>
      </c>
      <c r="J66" s="51">
        <v>0.0</v>
      </c>
      <c r="K66" s="34"/>
      <c r="L66" s="34"/>
      <c r="M66" s="34"/>
      <c r="N66" s="31">
        <v>8.0</v>
      </c>
      <c r="O66" s="34"/>
      <c r="P66" s="34"/>
      <c r="Q66" s="34"/>
      <c r="R66" s="34"/>
      <c r="S66" s="34"/>
      <c r="T66" s="34"/>
      <c r="U66" s="34"/>
      <c r="V66" s="35" t="s">
        <v>431</v>
      </c>
      <c r="W66" s="34"/>
      <c r="X66" s="34"/>
      <c r="Y66" s="34"/>
      <c r="Z66" s="36" t="s">
        <v>432</v>
      </c>
      <c r="AA66" s="31">
        <v>1.0</v>
      </c>
      <c r="AB66" s="34"/>
      <c r="AC66" s="31">
        <v>1.0</v>
      </c>
      <c r="AD66" s="49"/>
      <c r="AE66" s="49"/>
      <c r="AF66" s="49"/>
      <c r="AG66" s="49"/>
      <c r="AH66" s="49"/>
      <c r="AI66" s="38"/>
      <c r="AJ66" s="38"/>
      <c r="AK66" s="38"/>
      <c r="AL66" s="38"/>
      <c r="AM66" s="38"/>
      <c r="AN66" s="38"/>
      <c r="AO66" s="38"/>
      <c r="AP66" s="38"/>
      <c r="AQ66" s="38"/>
      <c r="AR66" s="38"/>
      <c r="AS66" s="38"/>
      <c r="AT66" s="38"/>
      <c r="AU66" s="38"/>
      <c r="AV66" s="38"/>
      <c r="AW66" s="38"/>
      <c r="AX66" s="38"/>
      <c r="AY66" s="38"/>
      <c r="AZ66" s="38"/>
      <c r="BA66" s="38"/>
      <c r="BB66" s="38"/>
      <c r="BC66" s="38"/>
    </row>
    <row r="67">
      <c r="A67" s="39" t="s">
        <v>433</v>
      </c>
      <c r="B67" s="40">
        <v>45863.31627628472</v>
      </c>
      <c r="C67" s="41" t="s">
        <v>434</v>
      </c>
      <c r="D67" s="42" t="s">
        <v>429</v>
      </c>
      <c r="E67" s="41" t="s">
        <v>435</v>
      </c>
      <c r="F67" s="43" t="s">
        <v>433</v>
      </c>
      <c r="G67" s="44">
        <v>69.0</v>
      </c>
      <c r="H67" s="44">
        <v>10.0</v>
      </c>
      <c r="I67" s="44">
        <v>10.0</v>
      </c>
      <c r="J67" s="44">
        <v>1.0</v>
      </c>
      <c r="K67" s="45"/>
      <c r="L67" s="45"/>
      <c r="M67" s="45"/>
      <c r="N67" s="44">
        <v>10.0</v>
      </c>
      <c r="O67" s="45"/>
      <c r="P67" s="45"/>
      <c r="Q67" s="45"/>
      <c r="R67" s="45"/>
      <c r="S67" s="45"/>
      <c r="T67" s="45"/>
      <c r="U67" s="45"/>
      <c r="V67" s="46" t="s">
        <v>436</v>
      </c>
      <c r="W67" s="45"/>
      <c r="X67" s="45"/>
      <c r="Y67" s="45"/>
      <c r="Z67" s="41" t="s">
        <v>432</v>
      </c>
      <c r="AA67" s="44">
        <v>1.0</v>
      </c>
      <c r="AB67" s="45"/>
      <c r="AC67" s="44">
        <v>1.0</v>
      </c>
      <c r="AD67" s="47"/>
      <c r="AE67" s="47"/>
      <c r="AF67" s="47"/>
      <c r="AG67" s="47"/>
      <c r="AH67" s="47"/>
      <c r="AI67" s="38"/>
      <c r="AJ67" s="38"/>
      <c r="AK67" s="38"/>
      <c r="AL67" s="38"/>
      <c r="AM67" s="38"/>
      <c r="AN67" s="38"/>
      <c r="AO67" s="38"/>
      <c r="AP67" s="38"/>
      <c r="AQ67" s="38"/>
      <c r="AR67" s="38"/>
      <c r="AS67" s="38"/>
      <c r="AT67" s="38"/>
      <c r="AU67" s="38"/>
      <c r="AV67" s="38"/>
      <c r="AW67" s="38"/>
      <c r="AX67" s="38"/>
      <c r="AY67" s="38"/>
      <c r="AZ67" s="38"/>
      <c r="BA67" s="38"/>
      <c r="BB67" s="38"/>
      <c r="BC67" s="38"/>
    </row>
    <row r="68">
      <c r="A68" s="48" t="s">
        <v>437</v>
      </c>
      <c r="B68" s="30">
        <v>45863.335474120366</v>
      </c>
      <c r="C68" s="36" t="s">
        <v>438</v>
      </c>
      <c r="D68" s="32" t="s">
        <v>439</v>
      </c>
      <c r="E68" s="36" t="s">
        <v>440</v>
      </c>
      <c r="F68" s="33" t="s">
        <v>437</v>
      </c>
      <c r="G68" s="51">
        <v>188.0</v>
      </c>
      <c r="H68" s="31">
        <v>7.0</v>
      </c>
      <c r="I68" s="31">
        <v>7.0</v>
      </c>
      <c r="J68" s="31">
        <v>3.0</v>
      </c>
      <c r="K68" s="34"/>
      <c r="L68" s="34"/>
      <c r="M68" s="34"/>
      <c r="N68" s="31">
        <v>9.0</v>
      </c>
      <c r="O68" s="34"/>
      <c r="P68" s="34"/>
      <c r="Q68" s="34"/>
      <c r="R68" s="34"/>
      <c r="S68" s="34"/>
      <c r="T68" s="34"/>
      <c r="U68" s="34"/>
      <c r="V68" s="35" t="s">
        <v>441</v>
      </c>
      <c r="W68" s="34"/>
      <c r="X68" s="34"/>
      <c r="Y68" s="34"/>
      <c r="Z68" s="36" t="s">
        <v>442</v>
      </c>
      <c r="AA68" s="31">
        <v>1.0</v>
      </c>
      <c r="AB68" s="34"/>
      <c r="AC68" s="31">
        <v>1.0</v>
      </c>
      <c r="AD68" s="49"/>
      <c r="AE68" s="49"/>
      <c r="AF68" s="49"/>
      <c r="AG68" s="49"/>
      <c r="AH68" s="49"/>
      <c r="AI68" s="38"/>
      <c r="AJ68" s="38"/>
      <c r="AK68" s="38"/>
      <c r="AL68" s="38"/>
      <c r="AM68" s="38"/>
      <c r="AN68" s="38"/>
      <c r="AO68" s="38"/>
      <c r="AP68" s="38"/>
      <c r="AQ68" s="38"/>
      <c r="AR68" s="38"/>
      <c r="AS68" s="38"/>
      <c r="AT68" s="38"/>
      <c r="AU68" s="38"/>
      <c r="AV68" s="38"/>
      <c r="AW68" s="38"/>
      <c r="AX68" s="38"/>
      <c r="AY68" s="38"/>
      <c r="AZ68" s="38"/>
      <c r="BA68" s="38"/>
      <c r="BB68" s="38"/>
      <c r="BC68" s="38"/>
    </row>
    <row r="69">
      <c r="A69" s="39" t="s">
        <v>443</v>
      </c>
      <c r="B69" s="40">
        <v>45863.33698840278</v>
      </c>
      <c r="C69" s="41" t="s">
        <v>444</v>
      </c>
      <c r="D69" s="42" t="s">
        <v>445</v>
      </c>
      <c r="E69" s="41" t="s">
        <v>446</v>
      </c>
      <c r="F69" s="43" t="s">
        <v>443</v>
      </c>
      <c r="G69" s="44">
        <v>400.0</v>
      </c>
      <c r="H69" s="44">
        <v>7.0</v>
      </c>
      <c r="I69" s="44">
        <v>7.0</v>
      </c>
      <c r="J69" s="44">
        <v>0.0</v>
      </c>
      <c r="K69" s="45"/>
      <c r="L69" s="45"/>
      <c r="M69" s="45"/>
      <c r="N69" s="44">
        <v>7.0</v>
      </c>
      <c r="O69" s="45"/>
      <c r="P69" s="45"/>
      <c r="Q69" s="45"/>
      <c r="R69" s="45"/>
      <c r="S69" s="45"/>
      <c r="T69" s="45"/>
      <c r="U69" s="45"/>
      <c r="V69" s="46" t="s">
        <v>447</v>
      </c>
      <c r="W69" s="41" t="s">
        <v>275</v>
      </c>
      <c r="X69" s="45"/>
      <c r="Y69" s="45"/>
      <c r="Z69" s="41" t="s">
        <v>448</v>
      </c>
      <c r="AA69" s="44">
        <v>1.0</v>
      </c>
      <c r="AB69" s="45"/>
      <c r="AC69" s="44">
        <v>1.0</v>
      </c>
      <c r="AD69" s="47"/>
      <c r="AE69" s="47"/>
      <c r="AF69" s="47"/>
      <c r="AG69" s="47"/>
      <c r="AH69" s="47"/>
      <c r="AI69" s="38"/>
      <c r="AJ69" s="38"/>
      <c r="AK69" s="38"/>
      <c r="AL69" s="38"/>
      <c r="AM69" s="38"/>
      <c r="AN69" s="38"/>
      <c r="AO69" s="38"/>
      <c r="AP69" s="38"/>
      <c r="AQ69" s="38"/>
      <c r="AR69" s="38"/>
      <c r="AS69" s="38"/>
      <c r="AT69" s="38"/>
      <c r="AU69" s="38"/>
      <c r="AV69" s="38"/>
      <c r="AW69" s="38"/>
      <c r="AX69" s="38"/>
      <c r="AY69" s="38"/>
      <c r="AZ69" s="38"/>
      <c r="BA69" s="38"/>
      <c r="BB69" s="38"/>
      <c r="BC69" s="38"/>
    </row>
    <row r="70">
      <c r="A70" s="48" t="s">
        <v>449</v>
      </c>
      <c r="B70" s="30">
        <v>45863.35334923611</v>
      </c>
      <c r="C70" s="36" t="s">
        <v>450</v>
      </c>
      <c r="D70" s="32" t="s">
        <v>451</v>
      </c>
      <c r="E70" s="36" t="s">
        <v>452</v>
      </c>
      <c r="F70" s="33" t="s">
        <v>449</v>
      </c>
      <c r="G70" s="51">
        <v>199.0</v>
      </c>
      <c r="H70" s="31">
        <v>9.0</v>
      </c>
      <c r="I70" s="31">
        <v>9.0</v>
      </c>
      <c r="J70" s="36" t="s">
        <v>453</v>
      </c>
      <c r="K70" s="34"/>
      <c r="L70" s="34"/>
      <c r="M70" s="34"/>
      <c r="N70" s="31">
        <v>8.0</v>
      </c>
      <c r="O70" s="34"/>
      <c r="P70" s="34"/>
      <c r="Q70" s="34"/>
      <c r="R70" s="34"/>
      <c r="S70" s="34"/>
      <c r="T70" s="34"/>
      <c r="U70" s="34"/>
      <c r="V70" s="35" t="s">
        <v>454</v>
      </c>
      <c r="W70" s="34"/>
      <c r="X70" s="34"/>
      <c r="Y70" s="34"/>
      <c r="Z70" s="36" t="s">
        <v>455</v>
      </c>
      <c r="AA70" s="31">
        <v>1.0</v>
      </c>
      <c r="AB70" s="34"/>
      <c r="AC70" s="31">
        <v>1.0</v>
      </c>
      <c r="AD70" s="49"/>
      <c r="AE70" s="49"/>
      <c r="AF70" s="49"/>
      <c r="AG70" s="49"/>
      <c r="AH70" s="49"/>
      <c r="AI70" s="38"/>
      <c r="AJ70" s="38"/>
      <c r="AK70" s="38"/>
      <c r="AL70" s="38"/>
      <c r="AM70" s="38"/>
      <c r="AN70" s="38"/>
      <c r="AO70" s="38"/>
      <c r="AP70" s="38"/>
      <c r="AQ70" s="38"/>
      <c r="AR70" s="38"/>
      <c r="AS70" s="38"/>
      <c r="AT70" s="38"/>
      <c r="AU70" s="38"/>
      <c r="AV70" s="38"/>
      <c r="AW70" s="38"/>
      <c r="AX70" s="38"/>
      <c r="AY70" s="38"/>
      <c r="AZ70" s="38"/>
      <c r="BA70" s="38"/>
      <c r="BB70" s="38"/>
      <c r="BC70" s="38"/>
    </row>
    <row r="71">
      <c r="A71" s="39" t="s">
        <v>456</v>
      </c>
      <c r="B71" s="40">
        <v>45863.359878414354</v>
      </c>
      <c r="C71" s="41" t="s">
        <v>457</v>
      </c>
      <c r="D71" s="42" t="s">
        <v>458</v>
      </c>
      <c r="E71" s="41" t="s">
        <v>459</v>
      </c>
      <c r="F71" s="43" t="s">
        <v>456</v>
      </c>
      <c r="G71" s="41" t="s">
        <v>460</v>
      </c>
      <c r="H71" s="44">
        <v>8.0</v>
      </c>
      <c r="I71" s="50">
        <v>9.0</v>
      </c>
      <c r="J71" s="41" t="s">
        <v>453</v>
      </c>
      <c r="K71" s="45"/>
      <c r="L71" s="45"/>
      <c r="M71" s="45"/>
      <c r="N71" s="44">
        <v>8.0</v>
      </c>
      <c r="O71" s="45"/>
      <c r="P71" s="45"/>
      <c r="Q71" s="45"/>
      <c r="R71" s="45"/>
      <c r="S71" s="45"/>
      <c r="T71" s="45"/>
      <c r="U71" s="45"/>
      <c r="V71" s="46" t="s">
        <v>461</v>
      </c>
      <c r="W71" s="41" t="s">
        <v>197</v>
      </c>
      <c r="X71" s="45"/>
      <c r="Y71" s="45"/>
      <c r="Z71" s="41" t="s">
        <v>462</v>
      </c>
      <c r="AA71" s="44">
        <v>1.0</v>
      </c>
      <c r="AB71" s="45"/>
      <c r="AC71" s="44">
        <v>1.0</v>
      </c>
      <c r="AD71" s="47"/>
      <c r="AE71" s="47"/>
      <c r="AF71" s="47"/>
      <c r="AG71" s="47"/>
      <c r="AH71" s="47"/>
      <c r="AI71" s="38"/>
      <c r="AJ71" s="38"/>
      <c r="AK71" s="38"/>
      <c r="AL71" s="38"/>
      <c r="AM71" s="38"/>
      <c r="AN71" s="38"/>
      <c r="AO71" s="38"/>
      <c r="AP71" s="38"/>
      <c r="AQ71" s="38"/>
      <c r="AR71" s="38"/>
      <c r="AS71" s="38"/>
      <c r="AT71" s="38"/>
      <c r="AU71" s="38"/>
      <c r="AV71" s="38"/>
      <c r="AW71" s="38"/>
      <c r="AX71" s="38"/>
      <c r="AY71" s="38"/>
      <c r="AZ71" s="38"/>
      <c r="BA71" s="38"/>
      <c r="BB71" s="38"/>
      <c r="BC71" s="38"/>
    </row>
    <row r="72">
      <c r="A72" s="48" t="s">
        <v>463</v>
      </c>
      <c r="B72" s="30">
        <v>45863.374340462964</v>
      </c>
      <c r="C72" s="36" t="s">
        <v>464</v>
      </c>
      <c r="D72" s="32" t="s">
        <v>465</v>
      </c>
      <c r="E72" s="36" t="s">
        <v>466</v>
      </c>
      <c r="F72" s="33" t="s">
        <v>463</v>
      </c>
      <c r="G72" s="51">
        <v>101.0</v>
      </c>
      <c r="H72" s="31">
        <v>8.0</v>
      </c>
      <c r="I72" s="31">
        <v>7.0</v>
      </c>
      <c r="J72" s="36" t="s">
        <v>197</v>
      </c>
      <c r="K72" s="34"/>
      <c r="L72" s="34"/>
      <c r="M72" s="34"/>
      <c r="N72" s="31">
        <v>8.0</v>
      </c>
      <c r="O72" s="34"/>
      <c r="P72" s="34"/>
      <c r="Q72" s="34"/>
      <c r="R72" s="34"/>
      <c r="S72" s="34"/>
      <c r="T72" s="34"/>
      <c r="U72" s="34"/>
      <c r="V72" s="35" t="s">
        <v>467</v>
      </c>
      <c r="W72" s="36" t="s">
        <v>197</v>
      </c>
      <c r="X72" s="34"/>
      <c r="Y72" s="34"/>
      <c r="Z72" s="36" t="s">
        <v>468</v>
      </c>
      <c r="AA72" s="31">
        <v>1.0</v>
      </c>
      <c r="AB72" s="34"/>
      <c r="AC72" s="31">
        <v>1.0</v>
      </c>
      <c r="AD72" s="49"/>
      <c r="AE72" s="49"/>
      <c r="AF72" s="49"/>
      <c r="AG72" s="49"/>
      <c r="AH72" s="49"/>
      <c r="AI72" s="38"/>
      <c r="AJ72" s="38"/>
      <c r="AK72" s="38"/>
      <c r="AL72" s="38"/>
      <c r="AM72" s="38"/>
      <c r="AN72" s="38"/>
      <c r="AO72" s="38"/>
      <c r="AP72" s="38"/>
      <c r="AQ72" s="38"/>
      <c r="AR72" s="38"/>
      <c r="AS72" s="38"/>
      <c r="AT72" s="38"/>
      <c r="AU72" s="38"/>
      <c r="AV72" s="38"/>
      <c r="AW72" s="38"/>
      <c r="AX72" s="38"/>
      <c r="AY72" s="38"/>
      <c r="AZ72" s="38"/>
      <c r="BA72" s="38"/>
      <c r="BB72" s="38"/>
      <c r="BC72" s="38"/>
    </row>
    <row r="73">
      <c r="A73" s="39" t="s">
        <v>469</v>
      </c>
      <c r="B73" s="40">
        <v>45863.38687760416</v>
      </c>
      <c r="C73" s="41" t="s">
        <v>470</v>
      </c>
      <c r="D73" s="42" t="s">
        <v>471</v>
      </c>
      <c r="E73" s="41" t="s">
        <v>472</v>
      </c>
      <c r="F73" s="43" t="s">
        <v>469</v>
      </c>
      <c r="G73" s="44">
        <v>373.0</v>
      </c>
      <c r="H73" s="44">
        <v>2.0</v>
      </c>
      <c r="I73" s="44">
        <v>5.0</v>
      </c>
      <c r="J73" s="42" t="s">
        <v>473</v>
      </c>
      <c r="K73" s="45"/>
      <c r="L73" s="45"/>
      <c r="M73" s="45"/>
      <c r="N73" s="44">
        <v>4.0</v>
      </c>
      <c r="O73" s="45"/>
      <c r="P73" s="45"/>
      <c r="Q73" s="45"/>
      <c r="R73" s="45"/>
      <c r="S73" s="45"/>
      <c r="T73" s="45"/>
      <c r="U73" s="45"/>
      <c r="V73" s="45"/>
      <c r="W73" s="45"/>
      <c r="X73" s="45"/>
      <c r="Y73" s="45"/>
      <c r="Z73" s="41" t="s">
        <v>474</v>
      </c>
      <c r="AA73" s="41" t="s">
        <v>4</v>
      </c>
      <c r="AB73" s="45"/>
      <c r="AC73" s="45"/>
      <c r="AD73" s="54"/>
      <c r="AE73" s="54"/>
      <c r="AF73" s="54"/>
      <c r="AG73" s="54"/>
      <c r="AH73" s="54"/>
      <c r="AI73" s="38"/>
      <c r="AJ73" s="38"/>
      <c r="AK73" s="38"/>
      <c r="AL73" s="38"/>
      <c r="AM73" s="38"/>
      <c r="AN73" s="38"/>
      <c r="AO73" s="38"/>
      <c r="AP73" s="38"/>
      <c r="AQ73" s="38"/>
      <c r="AR73" s="38"/>
      <c r="AS73" s="38"/>
      <c r="AT73" s="38"/>
      <c r="AU73" s="38"/>
      <c r="AV73" s="38"/>
      <c r="AW73" s="38"/>
      <c r="AX73" s="38"/>
      <c r="AY73" s="38"/>
      <c r="AZ73" s="38"/>
      <c r="BA73" s="38"/>
      <c r="BB73" s="38"/>
      <c r="BC73" s="38"/>
    </row>
    <row r="74">
      <c r="A74" s="48" t="s">
        <v>475</v>
      </c>
      <c r="B74" s="30">
        <v>45863.393682939815</v>
      </c>
      <c r="C74" s="36" t="s">
        <v>476</v>
      </c>
      <c r="D74" s="32" t="s">
        <v>477</v>
      </c>
      <c r="E74" s="36" t="s">
        <v>478</v>
      </c>
      <c r="F74" s="33" t="s">
        <v>475</v>
      </c>
      <c r="G74" s="31">
        <v>147.0</v>
      </c>
      <c r="H74" s="31">
        <v>8.0</v>
      </c>
      <c r="I74" s="31">
        <v>7.0</v>
      </c>
      <c r="J74" s="31">
        <v>2.0</v>
      </c>
      <c r="K74" s="34"/>
      <c r="L74" s="34"/>
      <c r="M74" s="34"/>
      <c r="N74" s="31">
        <v>9.0</v>
      </c>
      <c r="O74" s="34"/>
      <c r="P74" s="34"/>
      <c r="Q74" s="34"/>
      <c r="R74" s="34"/>
      <c r="S74" s="34"/>
      <c r="T74" s="34"/>
      <c r="U74" s="34"/>
      <c r="V74" s="35" t="s">
        <v>479</v>
      </c>
      <c r="W74" s="36" t="s">
        <v>453</v>
      </c>
      <c r="X74" s="34"/>
      <c r="Y74" s="34"/>
      <c r="Z74" s="36" t="s">
        <v>480</v>
      </c>
      <c r="AA74" s="31">
        <v>1.0</v>
      </c>
      <c r="AB74" s="34"/>
      <c r="AC74" s="31">
        <v>1.0</v>
      </c>
      <c r="AD74" s="49"/>
      <c r="AE74" s="49"/>
      <c r="AF74" s="49"/>
      <c r="AG74" s="49"/>
      <c r="AH74" s="49"/>
      <c r="AI74" s="38"/>
      <c r="AJ74" s="38"/>
      <c r="AK74" s="38"/>
      <c r="AL74" s="38"/>
      <c r="AM74" s="38"/>
      <c r="AN74" s="38"/>
      <c r="AO74" s="38"/>
      <c r="AP74" s="38"/>
      <c r="AQ74" s="38"/>
      <c r="AR74" s="38"/>
      <c r="AS74" s="38"/>
      <c r="AT74" s="38"/>
      <c r="AU74" s="38"/>
      <c r="AV74" s="38"/>
      <c r="AW74" s="38"/>
      <c r="AX74" s="38"/>
      <c r="AY74" s="38"/>
      <c r="AZ74" s="38"/>
      <c r="BA74" s="38"/>
      <c r="BB74" s="38"/>
      <c r="BC74" s="38"/>
    </row>
    <row r="75">
      <c r="A75" s="39" t="s">
        <v>481</v>
      </c>
      <c r="B75" s="40">
        <v>45863.40107546296</v>
      </c>
      <c r="C75" s="41" t="s">
        <v>482</v>
      </c>
      <c r="D75" s="42" t="s">
        <v>483</v>
      </c>
      <c r="E75" s="41" t="s">
        <v>484</v>
      </c>
      <c r="F75" s="43" t="s">
        <v>481</v>
      </c>
      <c r="G75" s="44">
        <v>107.0</v>
      </c>
      <c r="H75" s="44">
        <v>8.0</v>
      </c>
      <c r="I75" s="44">
        <v>8.0</v>
      </c>
      <c r="J75" s="44">
        <v>3.0</v>
      </c>
      <c r="K75" s="45"/>
      <c r="L75" s="45"/>
      <c r="M75" s="45"/>
      <c r="N75" s="44">
        <v>10.0</v>
      </c>
      <c r="O75" s="45"/>
      <c r="P75" s="45"/>
      <c r="Q75" s="45"/>
      <c r="R75" s="45"/>
      <c r="S75" s="45"/>
      <c r="T75" s="45"/>
      <c r="U75" s="45"/>
      <c r="V75" s="46" t="s">
        <v>485</v>
      </c>
      <c r="W75" s="45"/>
      <c r="X75" s="45"/>
      <c r="Y75" s="45"/>
      <c r="Z75" s="41" t="s">
        <v>486</v>
      </c>
      <c r="AA75" s="44">
        <v>1.0</v>
      </c>
      <c r="AB75" s="45"/>
      <c r="AC75" s="44">
        <v>1.0</v>
      </c>
      <c r="AD75" s="47"/>
      <c r="AE75" s="47"/>
      <c r="AF75" s="47"/>
      <c r="AG75" s="47"/>
      <c r="AH75" s="47"/>
      <c r="AI75" s="38"/>
      <c r="AJ75" s="38"/>
      <c r="AK75" s="38"/>
      <c r="AL75" s="38"/>
      <c r="AM75" s="38"/>
      <c r="AN75" s="38"/>
      <c r="AO75" s="38"/>
      <c r="AP75" s="38"/>
      <c r="AQ75" s="38"/>
      <c r="AR75" s="38"/>
      <c r="AS75" s="38"/>
      <c r="AT75" s="38"/>
      <c r="AU75" s="38"/>
      <c r="AV75" s="38"/>
      <c r="AW75" s="38"/>
      <c r="AX75" s="38"/>
      <c r="AY75" s="38"/>
      <c r="AZ75" s="38"/>
      <c r="BA75" s="38"/>
      <c r="BB75" s="38"/>
      <c r="BC75" s="38"/>
    </row>
    <row r="76">
      <c r="A76" s="48" t="s">
        <v>487</v>
      </c>
      <c r="B76" s="30">
        <v>45863.41563513889</v>
      </c>
      <c r="C76" s="36" t="s">
        <v>488</v>
      </c>
      <c r="D76" s="32" t="s">
        <v>489</v>
      </c>
      <c r="E76" s="36" t="s">
        <v>490</v>
      </c>
      <c r="F76" s="33" t="s">
        <v>487</v>
      </c>
      <c r="G76" s="31">
        <v>614.0</v>
      </c>
      <c r="H76" s="31">
        <v>8.0</v>
      </c>
      <c r="I76" s="31">
        <v>7.0</v>
      </c>
      <c r="J76" s="31">
        <v>3.0</v>
      </c>
      <c r="K76" s="34"/>
      <c r="L76" s="34"/>
      <c r="M76" s="34"/>
      <c r="N76" s="31">
        <v>3.0</v>
      </c>
      <c r="O76" s="34"/>
      <c r="P76" s="34"/>
      <c r="Q76" s="34"/>
      <c r="R76" s="34"/>
      <c r="S76" s="34"/>
      <c r="T76" s="34"/>
      <c r="U76" s="34"/>
      <c r="V76" s="35" t="s">
        <v>491</v>
      </c>
      <c r="W76" s="34"/>
      <c r="X76" s="34"/>
      <c r="Y76" s="34"/>
      <c r="Z76" s="36" t="s">
        <v>237</v>
      </c>
      <c r="AA76" s="31">
        <v>1.0</v>
      </c>
      <c r="AB76" s="34"/>
      <c r="AC76" s="31">
        <v>1.0</v>
      </c>
      <c r="AD76" s="49"/>
      <c r="AE76" s="49"/>
      <c r="AF76" s="49"/>
      <c r="AG76" s="49"/>
      <c r="AH76" s="49"/>
      <c r="AI76" s="38"/>
      <c r="AJ76" s="38"/>
      <c r="AK76" s="38"/>
      <c r="AL76" s="38"/>
      <c r="AM76" s="38"/>
      <c r="AN76" s="38"/>
      <c r="AO76" s="38"/>
      <c r="AP76" s="38"/>
      <c r="AQ76" s="38"/>
      <c r="AR76" s="38"/>
      <c r="AS76" s="38"/>
      <c r="AT76" s="38"/>
      <c r="AU76" s="38"/>
      <c r="AV76" s="38"/>
      <c r="AW76" s="38"/>
      <c r="AX76" s="38"/>
      <c r="AY76" s="38"/>
      <c r="AZ76" s="38"/>
      <c r="BA76" s="38"/>
      <c r="BB76" s="38"/>
      <c r="BC76" s="38"/>
    </row>
    <row r="77">
      <c r="A77" s="39" t="s">
        <v>469</v>
      </c>
      <c r="B77" s="40">
        <v>45863.42517574074</v>
      </c>
      <c r="C77" s="41" t="s">
        <v>470</v>
      </c>
      <c r="D77" s="42" t="s">
        <v>471</v>
      </c>
      <c r="E77" s="41" t="s">
        <v>472</v>
      </c>
      <c r="F77" s="43" t="s">
        <v>469</v>
      </c>
      <c r="G77" s="44">
        <v>373.0</v>
      </c>
      <c r="H77" s="44">
        <v>6.0</v>
      </c>
      <c r="I77" s="44">
        <v>5.0</v>
      </c>
      <c r="J77" s="42" t="s">
        <v>473</v>
      </c>
      <c r="K77" s="45"/>
      <c r="L77" s="45"/>
      <c r="M77" s="45"/>
      <c r="N77" s="44">
        <v>4.0</v>
      </c>
      <c r="O77" s="45"/>
      <c r="P77" s="45"/>
      <c r="Q77" s="45"/>
      <c r="R77" s="45"/>
      <c r="S77" s="45"/>
      <c r="T77" s="45"/>
      <c r="U77" s="45"/>
      <c r="V77" s="46" t="s">
        <v>492</v>
      </c>
      <c r="W77" s="45"/>
      <c r="X77" s="45"/>
      <c r="Y77" s="45"/>
      <c r="Z77" s="41" t="s">
        <v>474</v>
      </c>
      <c r="AA77" s="44">
        <v>1.0</v>
      </c>
      <c r="AB77" s="45"/>
      <c r="AC77" s="44">
        <v>1.0</v>
      </c>
      <c r="AD77" s="47"/>
      <c r="AE77" s="47"/>
      <c r="AF77" s="47"/>
      <c r="AG77" s="47"/>
      <c r="AH77" s="47"/>
      <c r="AI77" s="38"/>
      <c r="AJ77" s="38"/>
      <c r="AK77" s="38"/>
      <c r="AL77" s="38"/>
      <c r="AM77" s="38"/>
      <c r="AN77" s="38"/>
      <c r="AO77" s="38"/>
      <c r="AP77" s="38"/>
      <c r="AQ77" s="38"/>
      <c r="AR77" s="38"/>
      <c r="AS77" s="38"/>
      <c r="AT77" s="38"/>
      <c r="AU77" s="38"/>
      <c r="AV77" s="38"/>
      <c r="AW77" s="38"/>
      <c r="AX77" s="38"/>
      <c r="AY77" s="38"/>
      <c r="AZ77" s="38"/>
      <c r="BA77" s="38"/>
      <c r="BB77" s="38"/>
      <c r="BC77" s="38"/>
    </row>
    <row r="78">
      <c r="A78" s="48" t="s">
        <v>493</v>
      </c>
      <c r="B78" s="30">
        <v>45863.474798923606</v>
      </c>
      <c r="C78" s="36" t="s">
        <v>494</v>
      </c>
      <c r="D78" s="32" t="s">
        <v>495</v>
      </c>
      <c r="E78" s="36" t="s">
        <v>496</v>
      </c>
      <c r="F78" s="33" t="s">
        <v>493</v>
      </c>
      <c r="G78" s="31">
        <v>450.0</v>
      </c>
      <c r="H78" s="31">
        <v>3.0</v>
      </c>
      <c r="I78" s="31">
        <v>3.0</v>
      </c>
      <c r="J78" s="31">
        <v>8.0</v>
      </c>
      <c r="K78" s="34"/>
      <c r="L78" s="34"/>
      <c r="M78" s="34"/>
      <c r="N78" s="31">
        <v>7.0</v>
      </c>
      <c r="O78" s="34"/>
      <c r="P78" s="34"/>
      <c r="Q78" s="34"/>
      <c r="R78" s="34"/>
      <c r="S78" s="34"/>
      <c r="T78" s="34"/>
      <c r="U78" s="34"/>
      <c r="V78" s="35" t="s">
        <v>497</v>
      </c>
      <c r="W78" s="36" t="s">
        <v>498</v>
      </c>
      <c r="X78" s="34"/>
      <c r="Y78" s="34"/>
      <c r="Z78" s="36" t="s">
        <v>499</v>
      </c>
      <c r="AA78" s="36" t="s">
        <v>9</v>
      </c>
      <c r="AB78" s="34"/>
      <c r="AC78" s="34"/>
      <c r="AD78" s="37"/>
      <c r="AE78" s="37"/>
      <c r="AF78" s="37"/>
      <c r="AG78" s="37"/>
      <c r="AH78" s="37"/>
      <c r="AI78" s="38"/>
      <c r="AJ78" s="38"/>
      <c r="AK78" s="38"/>
      <c r="AL78" s="38"/>
      <c r="AM78" s="38"/>
      <c r="AN78" s="38"/>
      <c r="AO78" s="38"/>
      <c r="AP78" s="38"/>
      <c r="AQ78" s="38"/>
      <c r="AR78" s="38"/>
      <c r="AS78" s="38"/>
      <c r="AT78" s="38"/>
      <c r="AU78" s="38"/>
      <c r="AV78" s="38"/>
      <c r="AW78" s="38"/>
      <c r="AX78" s="38"/>
      <c r="AY78" s="38"/>
      <c r="AZ78" s="38"/>
      <c r="BA78" s="38"/>
      <c r="BB78" s="38"/>
      <c r="BC78" s="38"/>
    </row>
    <row r="79">
      <c r="A79" s="39" t="s">
        <v>500</v>
      </c>
      <c r="B79" s="40">
        <v>45863.48579633102</v>
      </c>
      <c r="C79" s="41" t="s">
        <v>501</v>
      </c>
      <c r="D79" s="42" t="s">
        <v>502</v>
      </c>
      <c r="E79" s="41" t="s">
        <v>503</v>
      </c>
      <c r="F79" s="43" t="s">
        <v>500</v>
      </c>
      <c r="G79" s="44">
        <v>216.0</v>
      </c>
      <c r="H79" s="44">
        <v>8.0</v>
      </c>
      <c r="I79" s="44">
        <v>10.0</v>
      </c>
      <c r="J79" s="44">
        <v>2.0</v>
      </c>
      <c r="K79" s="45"/>
      <c r="L79" s="45"/>
      <c r="M79" s="45"/>
      <c r="N79" s="44">
        <v>9.0</v>
      </c>
      <c r="O79" s="45"/>
      <c r="P79" s="45"/>
      <c r="Q79" s="45"/>
      <c r="R79" s="45"/>
      <c r="S79" s="45"/>
      <c r="T79" s="45"/>
      <c r="U79" s="45"/>
      <c r="V79" s="46" t="s">
        <v>504</v>
      </c>
      <c r="W79" s="45"/>
      <c r="X79" s="45"/>
      <c r="Y79" s="45"/>
      <c r="Z79" s="41" t="s">
        <v>122</v>
      </c>
      <c r="AA79" s="44">
        <v>1.0</v>
      </c>
      <c r="AB79" s="45"/>
      <c r="AC79" s="44">
        <v>1.0</v>
      </c>
      <c r="AD79" s="47"/>
      <c r="AE79" s="47"/>
      <c r="AF79" s="47"/>
      <c r="AG79" s="47"/>
      <c r="AH79" s="47"/>
      <c r="AI79" s="38"/>
      <c r="AJ79" s="38"/>
      <c r="AK79" s="38"/>
      <c r="AL79" s="38"/>
      <c r="AM79" s="38"/>
      <c r="AN79" s="38"/>
      <c r="AO79" s="38"/>
      <c r="AP79" s="38"/>
      <c r="AQ79" s="38"/>
      <c r="AR79" s="38"/>
      <c r="AS79" s="38"/>
      <c r="AT79" s="38"/>
      <c r="AU79" s="38"/>
      <c r="AV79" s="38"/>
      <c r="AW79" s="38"/>
      <c r="AX79" s="38"/>
      <c r="AY79" s="38"/>
      <c r="AZ79" s="38"/>
      <c r="BA79" s="38"/>
      <c r="BB79" s="38"/>
      <c r="BC79" s="38"/>
    </row>
    <row r="80">
      <c r="A80" s="48" t="s">
        <v>505</v>
      </c>
      <c r="B80" s="30">
        <v>45863.505232662035</v>
      </c>
      <c r="C80" s="36" t="s">
        <v>506</v>
      </c>
      <c r="D80" s="32" t="s">
        <v>507</v>
      </c>
      <c r="E80" s="36" t="s">
        <v>508</v>
      </c>
      <c r="F80" s="33" t="s">
        <v>505</v>
      </c>
      <c r="G80" s="51">
        <v>139.0</v>
      </c>
      <c r="H80" s="31">
        <v>7.0</v>
      </c>
      <c r="I80" s="31">
        <v>6.0</v>
      </c>
      <c r="J80" s="31">
        <v>0.0</v>
      </c>
      <c r="K80" s="34"/>
      <c r="L80" s="34"/>
      <c r="M80" s="34"/>
      <c r="N80" s="31">
        <v>8.0</v>
      </c>
      <c r="O80" s="34"/>
      <c r="P80" s="34"/>
      <c r="Q80" s="34"/>
      <c r="R80" s="34"/>
      <c r="S80" s="34"/>
      <c r="T80" s="34"/>
      <c r="U80" s="34"/>
      <c r="V80" s="35" t="s">
        <v>509</v>
      </c>
      <c r="W80" s="36" t="s">
        <v>510</v>
      </c>
      <c r="X80" s="34"/>
      <c r="Y80" s="34"/>
      <c r="Z80" s="36" t="s">
        <v>511</v>
      </c>
      <c r="AA80" s="31">
        <v>1.0</v>
      </c>
      <c r="AB80" s="34"/>
      <c r="AC80" s="31">
        <v>1.0</v>
      </c>
      <c r="AD80" s="49"/>
      <c r="AE80" s="49"/>
      <c r="AF80" s="49"/>
      <c r="AG80" s="49"/>
      <c r="AH80" s="49"/>
      <c r="AI80" s="38"/>
      <c r="AJ80" s="38"/>
      <c r="AK80" s="38"/>
      <c r="AL80" s="38"/>
      <c r="AM80" s="38"/>
      <c r="AN80" s="38"/>
      <c r="AO80" s="38"/>
      <c r="AP80" s="38"/>
      <c r="AQ80" s="38"/>
      <c r="AR80" s="38"/>
      <c r="AS80" s="38"/>
      <c r="AT80" s="38"/>
      <c r="AU80" s="38"/>
      <c r="AV80" s="38"/>
      <c r="AW80" s="38"/>
      <c r="AX80" s="38"/>
      <c r="AY80" s="38"/>
      <c r="AZ80" s="38"/>
      <c r="BA80" s="38"/>
      <c r="BB80" s="38"/>
      <c r="BC80" s="38"/>
    </row>
    <row r="81">
      <c r="A81" s="39" t="s">
        <v>512</v>
      </c>
      <c r="B81" s="40">
        <v>45863.59195605324</v>
      </c>
      <c r="C81" s="41" t="s">
        <v>513</v>
      </c>
      <c r="D81" s="42" t="s">
        <v>514</v>
      </c>
      <c r="E81" s="41" t="s">
        <v>515</v>
      </c>
      <c r="F81" s="43" t="s">
        <v>512</v>
      </c>
      <c r="G81" s="44">
        <v>180.0</v>
      </c>
      <c r="H81" s="44">
        <v>7.0</v>
      </c>
      <c r="I81" s="44">
        <v>7.0</v>
      </c>
      <c r="J81" s="44">
        <v>0.0</v>
      </c>
      <c r="K81" s="45"/>
      <c r="L81" s="45"/>
      <c r="M81" s="45"/>
      <c r="N81" s="44">
        <v>9.0</v>
      </c>
      <c r="O81" s="45"/>
      <c r="P81" s="45"/>
      <c r="Q81" s="45"/>
      <c r="R81" s="45"/>
      <c r="S81" s="45"/>
      <c r="T81" s="45"/>
      <c r="U81" s="45"/>
      <c r="V81" s="46" t="s">
        <v>516</v>
      </c>
      <c r="W81" s="41" t="s">
        <v>275</v>
      </c>
      <c r="X81" s="45"/>
      <c r="Y81" s="45"/>
      <c r="Z81" s="41" t="s">
        <v>517</v>
      </c>
      <c r="AA81" s="44">
        <v>1.0</v>
      </c>
      <c r="AB81" s="45"/>
      <c r="AC81" s="44">
        <v>1.0</v>
      </c>
      <c r="AD81" s="47"/>
      <c r="AE81" s="47"/>
      <c r="AF81" s="47"/>
      <c r="AG81" s="47"/>
      <c r="AH81" s="47"/>
      <c r="AI81" s="38"/>
      <c r="AJ81" s="38"/>
      <c r="AK81" s="38"/>
      <c r="AL81" s="38"/>
      <c r="AM81" s="38"/>
      <c r="AN81" s="38"/>
      <c r="AO81" s="38"/>
      <c r="AP81" s="38"/>
      <c r="AQ81" s="38"/>
      <c r="AR81" s="38"/>
      <c r="AS81" s="38"/>
      <c r="AT81" s="38"/>
      <c r="AU81" s="38"/>
      <c r="AV81" s="38"/>
      <c r="AW81" s="38"/>
      <c r="AX81" s="38"/>
      <c r="AY81" s="38"/>
      <c r="AZ81" s="38"/>
      <c r="BA81" s="38"/>
      <c r="BB81" s="38"/>
      <c r="BC81" s="38"/>
    </row>
    <row r="82">
      <c r="A82" s="48" t="s">
        <v>518</v>
      </c>
      <c r="B82" s="30">
        <v>45863.59816271991</v>
      </c>
      <c r="C82" s="36" t="s">
        <v>519</v>
      </c>
      <c r="D82" s="32" t="s">
        <v>520</v>
      </c>
      <c r="E82" s="36" t="s">
        <v>521</v>
      </c>
      <c r="F82" s="33" t="s">
        <v>518</v>
      </c>
      <c r="G82" s="51">
        <v>155.0</v>
      </c>
      <c r="H82" s="31">
        <v>7.0</v>
      </c>
      <c r="I82" s="31">
        <v>7.0</v>
      </c>
      <c r="J82" s="31">
        <v>0.0</v>
      </c>
      <c r="K82" s="34"/>
      <c r="L82" s="34"/>
      <c r="M82" s="34"/>
      <c r="N82" s="31">
        <v>7.0</v>
      </c>
      <c r="O82" s="34"/>
      <c r="P82" s="34"/>
      <c r="Q82" s="34"/>
      <c r="R82" s="34"/>
      <c r="S82" s="34"/>
      <c r="T82" s="34"/>
      <c r="U82" s="34"/>
      <c r="V82" s="35" t="s">
        <v>522</v>
      </c>
      <c r="W82" s="34"/>
      <c r="X82" s="34"/>
      <c r="Y82" s="34"/>
      <c r="Z82" s="36" t="s">
        <v>523</v>
      </c>
      <c r="AA82" s="31">
        <v>1.0</v>
      </c>
      <c r="AB82" s="34"/>
      <c r="AC82" s="31">
        <v>1.0</v>
      </c>
      <c r="AD82" s="49"/>
      <c r="AE82" s="49"/>
      <c r="AF82" s="49"/>
      <c r="AG82" s="49"/>
      <c r="AH82" s="49"/>
      <c r="AI82" s="38"/>
      <c r="AJ82" s="38"/>
      <c r="AK82" s="38"/>
      <c r="AL82" s="38"/>
      <c r="AM82" s="38"/>
      <c r="AN82" s="38"/>
      <c r="AO82" s="38"/>
      <c r="AP82" s="38"/>
      <c r="AQ82" s="38"/>
      <c r="AR82" s="38"/>
      <c r="AS82" s="38"/>
      <c r="AT82" s="38"/>
      <c r="AU82" s="38"/>
      <c r="AV82" s="38"/>
      <c r="AW82" s="38"/>
      <c r="AX82" s="38"/>
      <c r="AY82" s="38"/>
      <c r="AZ82" s="38"/>
      <c r="BA82" s="38"/>
      <c r="BB82" s="38"/>
      <c r="BC82" s="38"/>
    </row>
    <row r="83">
      <c r="A83" s="39" t="s">
        <v>524</v>
      </c>
      <c r="B83" s="40">
        <v>45863.60089434028</v>
      </c>
      <c r="C83" s="41" t="s">
        <v>525</v>
      </c>
      <c r="D83" s="42" t="s">
        <v>526</v>
      </c>
      <c r="E83" s="41" t="s">
        <v>527</v>
      </c>
      <c r="F83" s="43" t="s">
        <v>524</v>
      </c>
      <c r="G83" s="50">
        <v>171.0</v>
      </c>
      <c r="H83" s="44">
        <v>7.0</v>
      </c>
      <c r="I83" s="44">
        <v>7.0</v>
      </c>
      <c r="J83" s="44">
        <v>1.0</v>
      </c>
      <c r="K83" s="45"/>
      <c r="L83" s="45"/>
      <c r="M83" s="45"/>
      <c r="N83" s="44">
        <v>7.0</v>
      </c>
      <c r="O83" s="45"/>
      <c r="P83" s="45"/>
      <c r="Q83" s="45"/>
      <c r="R83" s="45"/>
      <c r="S83" s="45"/>
      <c r="T83" s="45"/>
      <c r="U83" s="45"/>
      <c r="V83" s="46" t="s">
        <v>528</v>
      </c>
      <c r="W83" s="45"/>
      <c r="X83" s="45"/>
      <c r="Y83" s="45"/>
      <c r="Z83" s="41" t="s">
        <v>523</v>
      </c>
      <c r="AA83" s="44">
        <v>1.0</v>
      </c>
      <c r="AB83" s="45"/>
      <c r="AC83" s="44">
        <v>1.0</v>
      </c>
      <c r="AD83" s="47"/>
      <c r="AE83" s="47"/>
      <c r="AF83" s="47"/>
      <c r="AG83" s="47"/>
      <c r="AH83" s="47"/>
      <c r="AI83" s="38"/>
      <c r="AJ83" s="38"/>
      <c r="AK83" s="38"/>
      <c r="AL83" s="38"/>
      <c r="AM83" s="38"/>
      <c r="AN83" s="38"/>
      <c r="AO83" s="38"/>
      <c r="AP83" s="38"/>
      <c r="AQ83" s="38"/>
      <c r="AR83" s="38"/>
      <c r="AS83" s="38"/>
      <c r="AT83" s="38"/>
      <c r="AU83" s="38"/>
      <c r="AV83" s="38"/>
      <c r="AW83" s="38"/>
      <c r="AX83" s="38"/>
      <c r="AY83" s="38"/>
      <c r="AZ83" s="38"/>
      <c r="BA83" s="38"/>
      <c r="BB83" s="38"/>
      <c r="BC83" s="38"/>
    </row>
    <row r="84">
      <c r="A84" s="48" t="s">
        <v>529</v>
      </c>
      <c r="B84" s="30">
        <v>45863.60466167824</v>
      </c>
      <c r="C84" s="36" t="s">
        <v>530</v>
      </c>
      <c r="D84" s="32" t="s">
        <v>531</v>
      </c>
      <c r="E84" s="36" t="s">
        <v>532</v>
      </c>
      <c r="F84" s="33" t="s">
        <v>529</v>
      </c>
      <c r="G84" s="31">
        <v>450.0</v>
      </c>
      <c r="H84" s="31">
        <v>8.0</v>
      </c>
      <c r="I84" s="31">
        <v>8.0</v>
      </c>
      <c r="J84" s="31">
        <v>0.0</v>
      </c>
      <c r="K84" s="34"/>
      <c r="L84" s="34"/>
      <c r="M84" s="34"/>
      <c r="N84" s="31">
        <v>8.0</v>
      </c>
      <c r="O84" s="34"/>
      <c r="P84" s="34"/>
      <c r="Q84" s="34"/>
      <c r="R84" s="34"/>
      <c r="S84" s="34"/>
      <c r="T84" s="34"/>
      <c r="U84" s="34"/>
      <c r="V84" s="35" t="s">
        <v>533</v>
      </c>
      <c r="W84" s="34"/>
      <c r="X84" s="34"/>
      <c r="Y84" s="34"/>
      <c r="Z84" s="36" t="s">
        <v>523</v>
      </c>
      <c r="AA84" s="31">
        <v>1.0</v>
      </c>
      <c r="AB84" s="34"/>
      <c r="AC84" s="31">
        <v>1.0</v>
      </c>
      <c r="AD84" s="49"/>
      <c r="AE84" s="49"/>
      <c r="AF84" s="49"/>
      <c r="AG84" s="49"/>
      <c r="AH84" s="49"/>
      <c r="AI84" s="38"/>
      <c r="AJ84" s="38"/>
      <c r="AK84" s="38"/>
      <c r="AL84" s="38"/>
      <c r="AM84" s="38"/>
      <c r="AN84" s="38"/>
      <c r="AO84" s="38"/>
      <c r="AP84" s="38"/>
      <c r="AQ84" s="38"/>
      <c r="AR84" s="38"/>
      <c r="AS84" s="38"/>
      <c r="AT84" s="38"/>
      <c r="AU84" s="38"/>
      <c r="AV84" s="38"/>
      <c r="AW84" s="38"/>
      <c r="AX84" s="38"/>
      <c r="AY84" s="38"/>
      <c r="AZ84" s="38"/>
      <c r="BA84" s="38"/>
      <c r="BB84" s="38"/>
      <c r="BC84" s="38"/>
    </row>
    <row r="85">
      <c r="A85" s="39" t="s">
        <v>534</v>
      </c>
      <c r="B85" s="40">
        <v>45863.60959944445</v>
      </c>
      <c r="C85" s="41" t="s">
        <v>535</v>
      </c>
      <c r="D85" s="42" t="s">
        <v>536</v>
      </c>
      <c r="E85" s="41" t="s">
        <v>537</v>
      </c>
      <c r="F85" s="43" t="s">
        <v>534</v>
      </c>
      <c r="G85" s="44">
        <v>430.0</v>
      </c>
      <c r="H85" s="44">
        <v>7.0</v>
      </c>
      <c r="I85" s="44">
        <v>7.0</v>
      </c>
      <c r="J85" s="44">
        <v>0.0</v>
      </c>
      <c r="K85" s="45"/>
      <c r="L85" s="45"/>
      <c r="M85" s="45"/>
      <c r="N85" s="44">
        <v>8.0</v>
      </c>
      <c r="O85" s="45"/>
      <c r="P85" s="45"/>
      <c r="Q85" s="45"/>
      <c r="R85" s="45"/>
      <c r="S85" s="45"/>
      <c r="T85" s="45"/>
      <c r="U85" s="45"/>
      <c r="V85" s="46" t="s">
        <v>538</v>
      </c>
      <c r="W85" s="45"/>
      <c r="X85" s="45"/>
      <c r="Y85" s="45"/>
      <c r="Z85" s="41" t="s">
        <v>523</v>
      </c>
      <c r="AA85" s="44">
        <v>1.0</v>
      </c>
      <c r="AB85" s="45"/>
      <c r="AC85" s="44">
        <v>1.0</v>
      </c>
      <c r="AD85" s="47"/>
      <c r="AE85" s="47"/>
      <c r="AF85" s="47"/>
      <c r="AG85" s="47"/>
      <c r="AH85" s="47"/>
      <c r="AI85" s="38"/>
      <c r="AJ85" s="38"/>
      <c r="AK85" s="38"/>
      <c r="AL85" s="38"/>
      <c r="AM85" s="38"/>
      <c r="AN85" s="38"/>
      <c r="AO85" s="38"/>
      <c r="AP85" s="38"/>
      <c r="AQ85" s="38"/>
      <c r="AR85" s="38"/>
      <c r="AS85" s="38"/>
      <c r="AT85" s="38"/>
      <c r="AU85" s="38"/>
      <c r="AV85" s="38"/>
      <c r="AW85" s="38"/>
      <c r="AX85" s="38"/>
      <c r="AY85" s="38"/>
      <c r="AZ85" s="38"/>
      <c r="BA85" s="38"/>
      <c r="BB85" s="38"/>
      <c r="BC85" s="38"/>
    </row>
    <row r="86">
      <c r="A86" s="48" t="s">
        <v>539</v>
      </c>
      <c r="B86" s="30">
        <v>45863.61585495371</v>
      </c>
      <c r="C86" s="36" t="s">
        <v>540</v>
      </c>
      <c r="D86" s="32" t="s">
        <v>541</v>
      </c>
      <c r="E86" s="36" t="s">
        <v>542</v>
      </c>
      <c r="F86" s="33" t="s">
        <v>539</v>
      </c>
      <c r="G86" s="51">
        <v>299.0</v>
      </c>
      <c r="H86" s="31">
        <v>7.0</v>
      </c>
      <c r="I86" s="31">
        <v>7.0</v>
      </c>
      <c r="J86" s="31">
        <v>0.0</v>
      </c>
      <c r="K86" s="34"/>
      <c r="L86" s="34"/>
      <c r="M86" s="34"/>
      <c r="N86" s="31">
        <v>8.0</v>
      </c>
      <c r="O86" s="34"/>
      <c r="P86" s="34"/>
      <c r="Q86" s="34"/>
      <c r="R86" s="34"/>
      <c r="S86" s="34"/>
      <c r="T86" s="34"/>
      <c r="U86" s="34"/>
      <c r="V86" s="35" t="s">
        <v>543</v>
      </c>
      <c r="W86" s="34"/>
      <c r="X86" s="34"/>
      <c r="Y86" s="34"/>
      <c r="Z86" s="36" t="s">
        <v>523</v>
      </c>
      <c r="AA86" s="31">
        <v>1.0</v>
      </c>
      <c r="AB86" s="34"/>
      <c r="AC86" s="31">
        <v>1.0</v>
      </c>
      <c r="AD86" s="49"/>
      <c r="AE86" s="49"/>
      <c r="AF86" s="49"/>
      <c r="AG86" s="49"/>
      <c r="AH86" s="49"/>
      <c r="AI86" s="38"/>
      <c r="AJ86" s="38"/>
      <c r="AK86" s="38"/>
      <c r="AL86" s="38"/>
      <c r="AM86" s="38"/>
      <c r="AN86" s="38"/>
      <c r="AO86" s="38"/>
      <c r="AP86" s="38"/>
      <c r="AQ86" s="38"/>
      <c r="AR86" s="38"/>
      <c r="AS86" s="38"/>
      <c r="AT86" s="38"/>
      <c r="AU86" s="38"/>
      <c r="AV86" s="38"/>
      <c r="AW86" s="38"/>
      <c r="AX86" s="38"/>
      <c r="AY86" s="38"/>
      <c r="AZ86" s="38"/>
      <c r="BA86" s="38"/>
      <c r="BB86" s="38"/>
      <c r="BC86" s="38"/>
    </row>
    <row r="87">
      <c r="A87" s="39" t="s">
        <v>544</v>
      </c>
      <c r="B87" s="40">
        <v>45863.673459004625</v>
      </c>
      <c r="C87" s="41" t="s">
        <v>545</v>
      </c>
      <c r="D87" s="42" t="s">
        <v>546</v>
      </c>
      <c r="E87" s="41" t="s">
        <v>547</v>
      </c>
      <c r="F87" s="43" t="s">
        <v>544</v>
      </c>
      <c r="G87" s="50">
        <v>145.0</v>
      </c>
      <c r="H87" s="44">
        <v>9.0</v>
      </c>
      <c r="I87" s="44">
        <v>9.0</v>
      </c>
      <c r="J87" s="41" t="s">
        <v>548</v>
      </c>
      <c r="K87" s="45"/>
      <c r="L87" s="45"/>
      <c r="M87" s="45"/>
      <c r="N87" s="44">
        <v>8.0</v>
      </c>
      <c r="O87" s="45"/>
      <c r="P87" s="45"/>
      <c r="Q87" s="45"/>
      <c r="R87" s="45"/>
      <c r="S87" s="45"/>
      <c r="T87" s="45"/>
      <c r="U87" s="45"/>
      <c r="V87" s="46" t="s">
        <v>549</v>
      </c>
      <c r="W87" s="45"/>
      <c r="X87" s="45"/>
      <c r="Y87" s="45"/>
      <c r="Z87" s="41" t="s">
        <v>523</v>
      </c>
      <c r="AA87" s="44">
        <v>1.0</v>
      </c>
      <c r="AB87" s="45"/>
      <c r="AC87" s="44">
        <v>1.0</v>
      </c>
      <c r="AD87" s="47"/>
      <c r="AE87" s="47"/>
      <c r="AF87" s="47"/>
      <c r="AG87" s="47"/>
      <c r="AH87" s="47"/>
      <c r="AI87" s="38"/>
      <c r="AJ87" s="38"/>
      <c r="AK87" s="38"/>
      <c r="AL87" s="38"/>
      <c r="AM87" s="38"/>
      <c r="AN87" s="38"/>
      <c r="AO87" s="38"/>
      <c r="AP87" s="38"/>
      <c r="AQ87" s="38"/>
      <c r="AR87" s="38"/>
      <c r="AS87" s="38"/>
      <c r="AT87" s="38"/>
      <c r="AU87" s="38"/>
      <c r="AV87" s="38"/>
      <c r="AW87" s="38"/>
      <c r="AX87" s="38"/>
      <c r="AY87" s="38"/>
      <c r="AZ87" s="38"/>
      <c r="BA87" s="38"/>
      <c r="BB87" s="38"/>
      <c r="BC87" s="38"/>
    </row>
    <row r="88">
      <c r="A88" s="48" t="s">
        <v>277</v>
      </c>
      <c r="B88" s="30">
        <v>45863.957453587966</v>
      </c>
      <c r="C88" s="36" t="s">
        <v>278</v>
      </c>
      <c r="D88" s="32" t="s">
        <v>279</v>
      </c>
      <c r="E88" s="36" t="s">
        <v>550</v>
      </c>
      <c r="F88" s="33" t="s">
        <v>277</v>
      </c>
      <c r="G88" s="51">
        <v>309.0</v>
      </c>
      <c r="H88" s="31">
        <v>7.0</v>
      </c>
      <c r="I88" s="31">
        <v>7.0</v>
      </c>
      <c r="J88" s="31">
        <v>2.0</v>
      </c>
      <c r="K88" s="34"/>
      <c r="L88" s="34"/>
      <c r="M88" s="34"/>
      <c r="N88" s="31">
        <v>8.0</v>
      </c>
      <c r="O88" s="34"/>
      <c r="P88" s="34"/>
      <c r="Q88" s="34"/>
      <c r="R88" s="34"/>
      <c r="S88" s="34"/>
      <c r="T88" s="34"/>
      <c r="U88" s="34"/>
      <c r="V88" s="35" t="s">
        <v>551</v>
      </c>
      <c r="W88" s="36" t="s">
        <v>282</v>
      </c>
      <c r="X88" s="34"/>
      <c r="Y88" s="34"/>
      <c r="Z88" s="36" t="s">
        <v>283</v>
      </c>
      <c r="AA88" s="31">
        <v>1.0</v>
      </c>
      <c r="AB88" s="34"/>
      <c r="AC88" s="31">
        <v>1.0</v>
      </c>
      <c r="AD88" s="49"/>
      <c r="AE88" s="49"/>
      <c r="AF88" s="49"/>
      <c r="AG88" s="49"/>
      <c r="AH88" s="49"/>
      <c r="AI88" s="38"/>
      <c r="AJ88" s="38"/>
      <c r="AK88" s="38"/>
      <c r="AL88" s="38"/>
      <c r="AM88" s="38"/>
      <c r="AN88" s="38"/>
      <c r="AO88" s="38"/>
      <c r="AP88" s="38"/>
      <c r="AQ88" s="38"/>
      <c r="AR88" s="38"/>
      <c r="AS88" s="38"/>
      <c r="AT88" s="38"/>
      <c r="AU88" s="38"/>
      <c r="AV88" s="38"/>
      <c r="AW88" s="38"/>
      <c r="AX88" s="38"/>
      <c r="AY88" s="38"/>
      <c r="AZ88" s="38"/>
      <c r="BA88" s="38"/>
      <c r="BB88" s="38"/>
      <c r="BC88" s="38"/>
    </row>
    <row r="89">
      <c r="A89" s="39" t="s">
        <v>552</v>
      </c>
      <c r="B89" s="40">
        <v>45864.07780451389</v>
      </c>
      <c r="C89" s="41" t="s">
        <v>389</v>
      </c>
      <c r="D89" s="42" t="s">
        <v>390</v>
      </c>
      <c r="E89" s="41" t="s">
        <v>553</v>
      </c>
      <c r="F89" s="43" t="s">
        <v>552</v>
      </c>
      <c r="G89" s="50">
        <v>410.0</v>
      </c>
      <c r="H89" s="50">
        <v>8.0</v>
      </c>
      <c r="I89" s="44">
        <v>6.0</v>
      </c>
      <c r="J89" s="44">
        <v>0.0</v>
      </c>
      <c r="K89" s="45"/>
      <c r="L89" s="45"/>
      <c r="M89" s="45"/>
      <c r="N89" s="44">
        <v>4.0</v>
      </c>
      <c r="O89" s="45"/>
      <c r="P89" s="45"/>
      <c r="Q89" s="45"/>
      <c r="R89" s="45"/>
      <c r="S89" s="45"/>
      <c r="T89" s="45"/>
      <c r="U89" s="45"/>
      <c r="V89" s="46" t="s">
        <v>554</v>
      </c>
      <c r="W89" s="45"/>
      <c r="X89" s="45"/>
      <c r="Y89" s="45"/>
      <c r="Z89" s="41" t="s">
        <v>392</v>
      </c>
      <c r="AA89" s="44">
        <v>1.0</v>
      </c>
      <c r="AB89" s="45"/>
      <c r="AC89" s="44">
        <v>1.0</v>
      </c>
      <c r="AD89" s="47"/>
      <c r="AE89" s="47"/>
      <c r="AF89" s="47"/>
      <c r="AG89" s="47"/>
      <c r="AH89" s="47"/>
      <c r="AI89" s="38"/>
      <c r="AJ89" s="38"/>
      <c r="AK89" s="38"/>
      <c r="AL89" s="38"/>
      <c r="AM89" s="38"/>
      <c r="AN89" s="38"/>
      <c r="AO89" s="38"/>
      <c r="AP89" s="38"/>
      <c r="AQ89" s="38"/>
      <c r="AR89" s="38"/>
      <c r="AS89" s="38"/>
      <c r="AT89" s="38"/>
      <c r="AU89" s="38"/>
      <c r="AV89" s="38"/>
      <c r="AW89" s="38"/>
      <c r="AX89" s="38"/>
      <c r="AY89" s="38"/>
      <c r="AZ89" s="38"/>
      <c r="BA89" s="38"/>
      <c r="BB89" s="38"/>
      <c r="BC89" s="38"/>
    </row>
    <row r="90">
      <c r="A90" s="48" t="s">
        <v>555</v>
      </c>
      <c r="B90" s="30">
        <v>45864.09103195602</v>
      </c>
      <c r="C90" s="31" t="s">
        <v>42</v>
      </c>
      <c r="D90" s="32" t="s">
        <v>43</v>
      </c>
      <c r="E90" s="31" t="s">
        <v>556</v>
      </c>
      <c r="F90" s="33" t="s">
        <v>555</v>
      </c>
      <c r="G90" s="31">
        <v>413.0</v>
      </c>
      <c r="H90" s="31">
        <v>7.0</v>
      </c>
      <c r="I90" s="31">
        <v>6.0</v>
      </c>
      <c r="J90" s="31">
        <v>3.0</v>
      </c>
      <c r="K90" s="34"/>
      <c r="L90" s="34"/>
      <c r="M90" s="34"/>
      <c r="N90" s="31">
        <v>6.0</v>
      </c>
      <c r="O90" s="34"/>
      <c r="P90" s="34"/>
      <c r="Q90" s="34"/>
      <c r="R90" s="34"/>
      <c r="S90" s="34"/>
      <c r="T90" s="34"/>
      <c r="U90" s="34"/>
      <c r="V90" s="35" t="s">
        <v>557</v>
      </c>
      <c r="W90" s="34"/>
      <c r="X90" s="34"/>
      <c r="Y90" s="34"/>
      <c r="Z90" s="36" t="s">
        <v>47</v>
      </c>
      <c r="AA90" s="31">
        <v>1.0</v>
      </c>
      <c r="AB90" s="34"/>
      <c r="AC90" s="31">
        <v>1.0</v>
      </c>
      <c r="AD90" s="49"/>
      <c r="AE90" s="49"/>
      <c r="AF90" s="49"/>
      <c r="AG90" s="49"/>
      <c r="AH90" s="49"/>
      <c r="AI90" s="38"/>
      <c r="AJ90" s="38"/>
      <c r="AK90" s="38"/>
      <c r="AL90" s="38"/>
      <c r="AM90" s="38"/>
      <c r="AN90" s="38"/>
      <c r="AO90" s="38"/>
      <c r="AP90" s="38"/>
      <c r="AQ90" s="38"/>
      <c r="AR90" s="38"/>
      <c r="AS90" s="38"/>
      <c r="AT90" s="38"/>
      <c r="AU90" s="38"/>
      <c r="AV90" s="38"/>
      <c r="AW90" s="38"/>
      <c r="AX90" s="38"/>
      <c r="AY90" s="38"/>
      <c r="AZ90" s="38"/>
      <c r="BA90" s="38"/>
      <c r="BB90" s="38"/>
      <c r="BC90" s="38"/>
    </row>
    <row r="91">
      <c r="A91" s="39" t="s">
        <v>558</v>
      </c>
      <c r="B91" s="40">
        <v>45864.0981809375</v>
      </c>
      <c r="C91" s="41" t="s">
        <v>559</v>
      </c>
      <c r="D91" s="42" t="s">
        <v>560</v>
      </c>
      <c r="E91" s="41" t="s">
        <v>561</v>
      </c>
      <c r="F91" s="43" t="s">
        <v>558</v>
      </c>
      <c r="G91" s="44">
        <v>52.0</v>
      </c>
      <c r="H91" s="44">
        <v>7.0</v>
      </c>
      <c r="I91" s="44">
        <v>6.0</v>
      </c>
      <c r="J91" s="44">
        <v>7.0</v>
      </c>
      <c r="K91" s="45"/>
      <c r="L91" s="45"/>
      <c r="M91" s="45"/>
      <c r="N91" s="44">
        <v>6.0</v>
      </c>
      <c r="O91" s="45"/>
      <c r="P91" s="45"/>
      <c r="Q91" s="45"/>
      <c r="R91" s="45"/>
      <c r="S91" s="45"/>
      <c r="T91" s="45"/>
      <c r="U91" s="45"/>
      <c r="V91" s="46" t="s">
        <v>562</v>
      </c>
      <c r="W91" s="41" t="s">
        <v>563</v>
      </c>
      <c r="X91" s="45"/>
      <c r="Y91" s="45"/>
      <c r="Z91" s="41" t="s">
        <v>415</v>
      </c>
      <c r="AA91" s="44">
        <v>1.0</v>
      </c>
      <c r="AB91" s="45"/>
      <c r="AC91" s="44">
        <v>1.0</v>
      </c>
      <c r="AD91" s="47"/>
      <c r="AE91" s="47"/>
      <c r="AF91" s="47"/>
      <c r="AG91" s="47"/>
      <c r="AH91" s="47"/>
      <c r="AI91" s="38"/>
      <c r="AJ91" s="38"/>
      <c r="AK91" s="38"/>
      <c r="AL91" s="38"/>
      <c r="AM91" s="38"/>
      <c r="AN91" s="38"/>
      <c r="AO91" s="38"/>
      <c r="AP91" s="38"/>
      <c r="AQ91" s="38"/>
      <c r="AR91" s="38"/>
      <c r="AS91" s="38"/>
      <c r="AT91" s="38"/>
      <c r="AU91" s="38"/>
      <c r="AV91" s="38"/>
      <c r="AW91" s="38"/>
      <c r="AX91" s="38"/>
      <c r="AY91" s="38"/>
      <c r="AZ91" s="38"/>
      <c r="BA91" s="38"/>
      <c r="BB91" s="38"/>
      <c r="BC91" s="38"/>
    </row>
    <row r="92">
      <c r="A92" s="48" t="s">
        <v>564</v>
      </c>
      <c r="B92" s="30">
        <v>45864.11950289352</v>
      </c>
      <c r="C92" s="31" t="s">
        <v>565</v>
      </c>
      <c r="D92" s="32" t="s">
        <v>566</v>
      </c>
      <c r="E92" s="31" t="s">
        <v>567</v>
      </c>
      <c r="F92" s="33" t="s">
        <v>564</v>
      </c>
      <c r="G92" s="31">
        <v>78.0</v>
      </c>
      <c r="H92" s="51">
        <v>9.0</v>
      </c>
      <c r="I92" s="31">
        <v>9.0</v>
      </c>
      <c r="J92" s="31">
        <v>0.0</v>
      </c>
      <c r="K92" s="34"/>
      <c r="L92" s="34"/>
      <c r="M92" s="34"/>
      <c r="N92" s="31">
        <v>10.0</v>
      </c>
      <c r="O92" s="34"/>
      <c r="P92" s="34"/>
      <c r="Q92" s="34"/>
      <c r="R92" s="34"/>
      <c r="S92" s="34"/>
      <c r="T92" s="34"/>
      <c r="U92" s="34"/>
      <c r="V92" s="35" t="s">
        <v>568</v>
      </c>
      <c r="W92" s="31" t="s">
        <v>569</v>
      </c>
      <c r="X92" s="34"/>
      <c r="Y92" s="34"/>
      <c r="Z92" s="36" t="s">
        <v>570</v>
      </c>
      <c r="AA92" s="31">
        <v>1.0</v>
      </c>
      <c r="AB92" s="34"/>
      <c r="AC92" s="31">
        <v>1.0</v>
      </c>
      <c r="AD92" s="49"/>
      <c r="AE92" s="49"/>
      <c r="AF92" s="49"/>
      <c r="AG92" s="49"/>
      <c r="AH92" s="49"/>
      <c r="AI92" s="38"/>
      <c r="AJ92" s="38"/>
      <c r="AK92" s="38"/>
      <c r="AL92" s="38"/>
      <c r="AM92" s="38"/>
      <c r="AN92" s="38"/>
      <c r="AO92" s="38"/>
      <c r="AP92" s="38"/>
      <c r="AQ92" s="38"/>
      <c r="AR92" s="38"/>
      <c r="AS92" s="38"/>
      <c r="AT92" s="38"/>
      <c r="AU92" s="38"/>
      <c r="AV92" s="38"/>
      <c r="AW92" s="38"/>
      <c r="AX92" s="38"/>
      <c r="AY92" s="38"/>
      <c r="AZ92" s="38"/>
      <c r="BA92" s="38"/>
      <c r="BB92" s="38"/>
      <c r="BC92" s="38"/>
    </row>
    <row r="93">
      <c r="A93" s="39" t="s">
        <v>571</v>
      </c>
      <c r="B93" s="40">
        <v>45864.138103460646</v>
      </c>
      <c r="C93" s="41" t="s">
        <v>572</v>
      </c>
      <c r="D93" s="42" t="s">
        <v>573</v>
      </c>
      <c r="E93" s="41" t="s">
        <v>574</v>
      </c>
      <c r="F93" s="43" t="s">
        <v>571</v>
      </c>
      <c r="G93" s="44">
        <v>86.0</v>
      </c>
      <c r="H93" s="44">
        <v>7.0</v>
      </c>
      <c r="I93" s="44">
        <v>7.0</v>
      </c>
      <c r="J93" s="44">
        <v>3.0</v>
      </c>
      <c r="K93" s="45"/>
      <c r="L93" s="45"/>
      <c r="M93" s="45"/>
      <c r="N93" s="44">
        <v>7.0</v>
      </c>
      <c r="O93" s="45"/>
      <c r="P93" s="45"/>
      <c r="Q93" s="45"/>
      <c r="R93" s="45"/>
      <c r="S93" s="45"/>
      <c r="T93" s="45"/>
      <c r="U93" s="45"/>
      <c r="V93" s="46" t="s">
        <v>575</v>
      </c>
      <c r="W93" s="41" t="s">
        <v>576</v>
      </c>
      <c r="X93" s="45"/>
      <c r="Y93" s="45"/>
      <c r="Z93" s="41" t="s">
        <v>577</v>
      </c>
      <c r="AA93" s="44">
        <v>1.0</v>
      </c>
      <c r="AB93" s="45"/>
      <c r="AC93" s="44">
        <v>1.0</v>
      </c>
      <c r="AD93" s="47"/>
      <c r="AE93" s="47"/>
      <c r="AF93" s="47"/>
      <c r="AG93" s="47"/>
      <c r="AH93" s="47"/>
      <c r="AI93" s="38"/>
      <c r="AJ93" s="38"/>
      <c r="AK93" s="38"/>
      <c r="AL93" s="38"/>
      <c r="AM93" s="38"/>
      <c r="AN93" s="38"/>
      <c r="AO93" s="38"/>
      <c r="AP93" s="38"/>
      <c r="AQ93" s="38"/>
      <c r="AR93" s="38"/>
      <c r="AS93" s="38"/>
      <c r="AT93" s="38"/>
      <c r="AU93" s="38"/>
      <c r="AV93" s="38"/>
      <c r="AW93" s="38"/>
      <c r="AX93" s="38"/>
      <c r="AY93" s="38"/>
      <c r="AZ93" s="38"/>
      <c r="BA93" s="38"/>
      <c r="BB93" s="38"/>
      <c r="BC93" s="38"/>
    </row>
    <row r="94">
      <c r="A94" s="48" t="s">
        <v>578</v>
      </c>
      <c r="B94" s="30">
        <v>45864.21636090278</v>
      </c>
      <c r="C94" s="36" t="s">
        <v>579</v>
      </c>
      <c r="D94" s="32" t="s">
        <v>580</v>
      </c>
      <c r="E94" s="36" t="s">
        <v>581</v>
      </c>
      <c r="F94" s="33" t="s">
        <v>578</v>
      </c>
      <c r="G94" s="31">
        <v>196.0</v>
      </c>
      <c r="H94" s="31">
        <v>5.0</v>
      </c>
      <c r="I94" s="31">
        <v>6.0</v>
      </c>
      <c r="J94" s="31">
        <v>5.0</v>
      </c>
      <c r="K94" s="34"/>
      <c r="L94" s="34"/>
      <c r="M94" s="34"/>
      <c r="N94" s="31">
        <v>7.0</v>
      </c>
      <c r="O94" s="34"/>
      <c r="P94" s="34"/>
      <c r="Q94" s="34"/>
      <c r="R94" s="34"/>
      <c r="S94" s="34"/>
      <c r="T94" s="34"/>
      <c r="U94" s="34"/>
      <c r="V94" s="35" t="s">
        <v>582</v>
      </c>
      <c r="W94" s="36" t="s">
        <v>583</v>
      </c>
      <c r="X94" s="34"/>
      <c r="Y94" s="34"/>
      <c r="Z94" s="36" t="s">
        <v>179</v>
      </c>
      <c r="AA94" s="31">
        <v>1.0</v>
      </c>
      <c r="AB94" s="34"/>
      <c r="AC94" s="31">
        <v>1.0</v>
      </c>
      <c r="AD94" s="49"/>
      <c r="AE94" s="49"/>
      <c r="AF94" s="49"/>
      <c r="AG94" s="49"/>
      <c r="AH94" s="49"/>
      <c r="AI94" s="38"/>
      <c r="AJ94" s="38"/>
      <c r="AK94" s="38"/>
      <c r="AL94" s="38"/>
      <c r="AM94" s="38"/>
      <c r="AN94" s="38"/>
      <c r="AO94" s="38"/>
      <c r="AP94" s="38"/>
      <c r="AQ94" s="38"/>
      <c r="AR94" s="38"/>
      <c r="AS94" s="38"/>
      <c r="AT94" s="38"/>
      <c r="AU94" s="38"/>
      <c r="AV94" s="38"/>
      <c r="AW94" s="38"/>
      <c r="AX94" s="38"/>
      <c r="AY94" s="38"/>
      <c r="AZ94" s="38"/>
      <c r="BA94" s="38"/>
      <c r="BB94" s="38"/>
      <c r="BC94" s="38"/>
    </row>
    <row r="95">
      <c r="A95" s="39" t="s">
        <v>584</v>
      </c>
      <c r="B95" s="40">
        <v>45864.21680025463</v>
      </c>
      <c r="C95" s="41" t="s">
        <v>585</v>
      </c>
      <c r="D95" s="42" t="s">
        <v>586</v>
      </c>
      <c r="E95" s="41" t="s">
        <v>587</v>
      </c>
      <c r="F95" s="43" t="s">
        <v>584</v>
      </c>
      <c r="G95" s="50">
        <v>580.0</v>
      </c>
      <c r="H95" s="44">
        <v>3.0</v>
      </c>
      <c r="I95" s="44">
        <v>3.0</v>
      </c>
      <c r="J95" s="44">
        <v>11.0</v>
      </c>
      <c r="K95" s="45"/>
      <c r="L95" s="45"/>
      <c r="M95" s="45"/>
      <c r="N95" s="44">
        <v>5.0</v>
      </c>
      <c r="O95" s="45"/>
      <c r="P95" s="45"/>
      <c r="Q95" s="45"/>
      <c r="R95" s="45"/>
      <c r="S95" s="45"/>
      <c r="T95" s="45"/>
      <c r="U95" s="45"/>
      <c r="V95" s="46" t="s">
        <v>588</v>
      </c>
      <c r="W95" s="41" t="s">
        <v>197</v>
      </c>
      <c r="X95" s="45"/>
      <c r="Y95" s="45"/>
      <c r="Z95" s="41" t="s">
        <v>499</v>
      </c>
      <c r="AA95" s="44">
        <v>1.0</v>
      </c>
      <c r="AB95" s="45"/>
      <c r="AC95" s="44">
        <v>1.0</v>
      </c>
      <c r="AD95" s="47"/>
      <c r="AE95" s="47"/>
      <c r="AF95" s="47"/>
      <c r="AG95" s="47"/>
      <c r="AH95" s="47"/>
      <c r="AI95" s="38"/>
      <c r="AJ95" s="38"/>
      <c r="AK95" s="38"/>
      <c r="AL95" s="38"/>
      <c r="AM95" s="38"/>
      <c r="AN95" s="38"/>
      <c r="AO95" s="38"/>
      <c r="AP95" s="38"/>
      <c r="AQ95" s="38"/>
      <c r="AR95" s="38"/>
      <c r="AS95" s="38"/>
      <c r="AT95" s="38"/>
      <c r="AU95" s="38"/>
      <c r="AV95" s="38"/>
      <c r="AW95" s="38"/>
      <c r="AX95" s="38"/>
      <c r="AY95" s="38"/>
      <c r="AZ95" s="38"/>
      <c r="BA95" s="38"/>
      <c r="BB95" s="38"/>
      <c r="BC95" s="38"/>
    </row>
    <row r="96">
      <c r="A96" s="48" t="s">
        <v>589</v>
      </c>
      <c r="B96" s="30">
        <v>45864.409736354166</v>
      </c>
      <c r="C96" s="36" t="s">
        <v>590</v>
      </c>
      <c r="D96" s="32" t="s">
        <v>591</v>
      </c>
      <c r="E96" s="36" t="s">
        <v>592</v>
      </c>
      <c r="F96" s="33" t="s">
        <v>589</v>
      </c>
      <c r="G96" s="31">
        <v>356.0</v>
      </c>
      <c r="H96" s="31">
        <v>8.0</v>
      </c>
      <c r="I96" s="31">
        <v>8.0</v>
      </c>
      <c r="J96" s="31">
        <v>1.0</v>
      </c>
      <c r="K96" s="34"/>
      <c r="L96" s="34"/>
      <c r="M96" s="34"/>
      <c r="N96" s="31">
        <v>6.0</v>
      </c>
      <c r="O96" s="34"/>
      <c r="P96" s="34"/>
      <c r="Q96" s="34"/>
      <c r="R96" s="34"/>
      <c r="S96" s="34"/>
      <c r="T96" s="34"/>
      <c r="U96" s="34"/>
      <c r="V96" s="35" t="s">
        <v>593</v>
      </c>
      <c r="W96" s="34"/>
      <c r="X96" s="34"/>
      <c r="Y96" s="34"/>
      <c r="Z96" s="36" t="s">
        <v>594</v>
      </c>
      <c r="AA96" s="31">
        <v>1.0</v>
      </c>
      <c r="AB96" s="34"/>
      <c r="AC96" s="31">
        <v>1.0</v>
      </c>
      <c r="AD96" s="49"/>
      <c r="AE96" s="49"/>
      <c r="AF96" s="49"/>
      <c r="AG96" s="49"/>
      <c r="AH96" s="49"/>
      <c r="AI96" s="38"/>
      <c r="AJ96" s="38"/>
      <c r="AK96" s="38"/>
      <c r="AL96" s="38"/>
      <c r="AM96" s="38"/>
      <c r="AN96" s="38"/>
      <c r="AO96" s="38"/>
      <c r="AP96" s="38"/>
      <c r="AQ96" s="38"/>
      <c r="AR96" s="38"/>
      <c r="AS96" s="38"/>
      <c r="AT96" s="38"/>
      <c r="AU96" s="38"/>
      <c r="AV96" s="38"/>
      <c r="AW96" s="38"/>
      <c r="AX96" s="38"/>
      <c r="AY96" s="38"/>
      <c r="AZ96" s="38"/>
      <c r="BA96" s="38"/>
      <c r="BB96" s="38"/>
      <c r="BC96" s="38"/>
    </row>
    <row r="97">
      <c r="A97" s="39" t="s">
        <v>595</v>
      </c>
      <c r="B97" s="40">
        <v>45864.61954917824</v>
      </c>
      <c r="C97" s="41" t="s">
        <v>596</v>
      </c>
      <c r="D97" s="41" t="s">
        <v>597</v>
      </c>
      <c r="E97" s="41" t="s">
        <v>598</v>
      </c>
      <c r="F97" s="43" t="s">
        <v>595</v>
      </c>
      <c r="G97" s="50">
        <v>107.0</v>
      </c>
      <c r="H97" s="44">
        <v>8.0</v>
      </c>
      <c r="I97" s="44">
        <v>7.0</v>
      </c>
      <c r="J97" s="44">
        <v>0.0</v>
      </c>
      <c r="K97" s="45"/>
      <c r="L97" s="45"/>
      <c r="M97" s="45"/>
      <c r="N97" s="44">
        <v>8.0</v>
      </c>
      <c r="O97" s="45"/>
      <c r="P97" s="45"/>
      <c r="Q97" s="45"/>
      <c r="R97" s="45"/>
      <c r="S97" s="45"/>
      <c r="T97" s="45"/>
      <c r="U97" s="45"/>
      <c r="V97" s="46" t="s">
        <v>599</v>
      </c>
      <c r="W97" s="45"/>
      <c r="X97" s="45"/>
      <c r="Y97" s="45"/>
      <c r="Z97" s="41" t="s">
        <v>600</v>
      </c>
      <c r="AA97" s="44">
        <v>1.0</v>
      </c>
      <c r="AB97" s="45"/>
      <c r="AC97" s="44">
        <v>1.0</v>
      </c>
      <c r="AD97" s="47"/>
      <c r="AE97" s="47"/>
      <c r="AF97" s="47"/>
      <c r="AG97" s="47"/>
      <c r="AH97" s="47"/>
      <c r="AI97" s="38"/>
      <c r="AJ97" s="38"/>
      <c r="AK97" s="38"/>
      <c r="AL97" s="38"/>
      <c r="AM97" s="38"/>
      <c r="AN97" s="38"/>
      <c r="AO97" s="38"/>
      <c r="AP97" s="38"/>
      <c r="AQ97" s="38"/>
      <c r="AR97" s="38"/>
      <c r="AS97" s="38"/>
      <c r="AT97" s="38"/>
      <c r="AU97" s="38"/>
      <c r="AV97" s="38"/>
      <c r="AW97" s="38"/>
      <c r="AX97" s="38"/>
      <c r="AY97" s="38"/>
      <c r="AZ97" s="38"/>
      <c r="BA97" s="38"/>
      <c r="BB97" s="38"/>
      <c r="BC97" s="38"/>
    </row>
    <row r="98">
      <c r="A98" s="48" t="s">
        <v>601</v>
      </c>
      <c r="B98" s="30">
        <v>45870.14592084491</v>
      </c>
      <c r="C98" s="36" t="s">
        <v>602</v>
      </c>
      <c r="D98" s="31">
        <v>3.067728872E9</v>
      </c>
      <c r="E98" s="36" t="s">
        <v>603</v>
      </c>
      <c r="F98" s="33" t="s">
        <v>601</v>
      </c>
      <c r="G98" s="31">
        <v>458.0</v>
      </c>
      <c r="H98" s="31">
        <v>7.0</v>
      </c>
      <c r="I98" s="31">
        <v>8.0</v>
      </c>
      <c r="J98" s="31">
        <v>0.0</v>
      </c>
      <c r="K98" s="34"/>
      <c r="L98" s="34"/>
      <c r="M98" s="34"/>
      <c r="N98" s="31">
        <v>7.0</v>
      </c>
      <c r="O98" s="34"/>
      <c r="P98" s="34"/>
      <c r="Q98" s="34"/>
      <c r="R98" s="34"/>
      <c r="S98" s="34"/>
      <c r="T98" s="34"/>
      <c r="U98" s="34"/>
      <c r="V98" s="36" t="s">
        <v>604</v>
      </c>
      <c r="W98" s="36" t="s">
        <v>605</v>
      </c>
      <c r="X98" s="34"/>
      <c r="Y98" s="34"/>
      <c r="Z98" s="36" t="s">
        <v>600</v>
      </c>
      <c r="AA98" s="31">
        <v>1.0</v>
      </c>
      <c r="AB98" s="34"/>
      <c r="AC98" s="31">
        <v>1.0</v>
      </c>
      <c r="AD98" s="49"/>
      <c r="AE98" s="49"/>
      <c r="AF98" s="49"/>
      <c r="AG98" s="49"/>
      <c r="AH98" s="49"/>
      <c r="AI98" s="38"/>
      <c r="AJ98" s="38"/>
      <c r="AK98" s="38"/>
      <c r="AL98" s="38"/>
      <c r="AM98" s="38"/>
      <c r="AN98" s="38"/>
      <c r="AO98" s="38"/>
      <c r="AP98" s="38"/>
      <c r="AQ98" s="38"/>
      <c r="AR98" s="38"/>
      <c r="AS98" s="38"/>
      <c r="AT98" s="38"/>
      <c r="AU98" s="38"/>
      <c r="AV98" s="38"/>
      <c r="AW98" s="38"/>
      <c r="AX98" s="38"/>
      <c r="AY98" s="38"/>
      <c r="AZ98" s="38"/>
      <c r="BA98" s="38"/>
      <c r="BB98" s="38"/>
      <c r="BC98" s="38"/>
    </row>
    <row r="99">
      <c r="A99" s="39" t="s">
        <v>117</v>
      </c>
      <c r="B99" s="40">
        <v>45870.17706552084</v>
      </c>
      <c r="C99" s="41" t="s">
        <v>118</v>
      </c>
      <c r="D99" s="42" t="s">
        <v>119</v>
      </c>
      <c r="E99" s="41" t="s">
        <v>606</v>
      </c>
      <c r="F99" s="43" t="s">
        <v>117</v>
      </c>
      <c r="G99" s="44">
        <v>148.0</v>
      </c>
      <c r="H99" s="44">
        <v>9.0</v>
      </c>
      <c r="I99" s="44">
        <v>8.0</v>
      </c>
      <c r="J99" s="42" t="s">
        <v>133</v>
      </c>
      <c r="K99" s="45"/>
      <c r="L99" s="45"/>
      <c r="M99" s="45"/>
      <c r="N99" s="44">
        <v>10.0</v>
      </c>
      <c r="O99" s="45"/>
      <c r="P99" s="45"/>
      <c r="Q99" s="45"/>
      <c r="R99" s="45"/>
      <c r="S99" s="45"/>
      <c r="T99" s="45"/>
      <c r="U99" s="45"/>
      <c r="V99" s="46" t="s">
        <v>607</v>
      </c>
      <c r="W99" s="45"/>
      <c r="X99" s="45"/>
      <c r="Y99" s="45"/>
      <c r="Z99" s="41" t="s">
        <v>122</v>
      </c>
      <c r="AA99" s="44">
        <v>2.0</v>
      </c>
      <c r="AB99" s="45"/>
      <c r="AC99" s="44">
        <v>2.0</v>
      </c>
      <c r="AD99" s="47"/>
      <c r="AE99" s="47"/>
      <c r="AF99" s="47"/>
      <c r="AG99" s="47"/>
      <c r="AH99" s="47"/>
      <c r="AI99" s="38"/>
      <c r="AJ99" s="38"/>
      <c r="AK99" s="38"/>
      <c r="AL99" s="38"/>
      <c r="AM99" s="38"/>
      <c r="AN99" s="38"/>
      <c r="AO99" s="38"/>
      <c r="AP99" s="38"/>
      <c r="AQ99" s="38"/>
      <c r="AR99" s="38"/>
      <c r="AS99" s="38"/>
      <c r="AT99" s="38"/>
      <c r="AU99" s="38"/>
      <c r="AV99" s="38"/>
      <c r="AW99" s="38"/>
      <c r="AX99" s="38"/>
      <c r="AY99" s="38"/>
      <c r="AZ99" s="38"/>
      <c r="BA99" s="38"/>
      <c r="BB99" s="38"/>
      <c r="BC99" s="38"/>
    </row>
    <row r="100">
      <c r="A100" s="48" t="s">
        <v>555</v>
      </c>
      <c r="B100" s="30">
        <v>45870.20517695602</v>
      </c>
      <c r="C100" s="36" t="s">
        <v>608</v>
      </c>
      <c r="D100" s="32" t="s">
        <v>43</v>
      </c>
      <c r="E100" s="36" t="s">
        <v>609</v>
      </c>
      <c r="F100" s="33" t="s">
        <v>555</v>
      </c>
      <c r="G100" s="31">
        <v>456.0</v>
      </c>
      <c r="H100" s="31">
        <v>8.0</v>
      </c>
      <c r="I100" s="31">
        <v>7.0</v>
      </c>
      <c r="J100" s="51">
        <v>2.0</v>
      </c>
      <c r="K100" s="34"/>
      <c r="L100" s="34"/>
      <c r="M100" s="34"/>
      <c r="N100" s="31">
        <v>9.0</v>
      </c>
      <c r="O100" s="34"/>
      <c r="P100" s="34"/>
      <c r="Q100" s="34"/>
      <c r="R100" s="34"/>
      <c r="S100" s="34"/>
      <c r="T100" s="34"/>
      <c r="U100" s="34"/>
      <c r="V100" s="35" t="s">
        <v>610</v>
      </c>
      <c r="W100" s="34"/>
      <c r="X100" s="34"/>
      <c r="Y100" s="34"/>
      <c r="Z100" s="36" t="s">
        <v>611</v>
      </c>
      <c r="AA100" s="31">
        <v>2.0</v>
      </c>
      <c r="AB100" s="34"/>
      <c r="AC100" s="31">
        <v>2.0</v>
      </c>
      <c r="AD100" s="49"/>
      <c r="AE100" s="49"/>
      <c r="AF100" s="49"/>
      <c r="AG100" s="49"/>
      <c r="AH100" s="49"/>
      <c r="AI100" s="38"/>
      <c r="AJ100" s="38"/>
      <c r="AK100" s="38"/>
      <c r="AL100" s="38"/>
      <c r="AM100" s="38"/>
      <c r="AN100" s="38"/>
      <c r="AO100" s="38"/>
      <c r="AP100" s="38"/>
      <c r="AQ100" s="38"/>
      <c r="AR100" s="38"/>
      <c r="AS100" s="38"/>
      <c r="AT100" s="38"/>
      <c r="AU100" s="38"/>
      <c r="AV100" s="38"/>
      <c r="AW100" s="38"/>
      <c r="AX100" s="38"/>
      <c r="AY100" s="38"/>
      <c r="AZ100" s="38"/>
      <c r="BA100" s="38"/>
      <c r="BB100" s="38"/>
      <c r="BC100" s="38"/>
    </row>
    <row r="101">
      <c r="A101" s="39" t="s">
        <v>292</v>
      </c>
      <c r="B101" s="40">
        <v>45870.21229056713</v>
      </c>
      <c r="C101" s="41" t="s">
        <v>118</v>
      </c>
      <c r="D101" s="42" t="s">
        <v>119</v>
      </c>
      <c r="E101" s="41" t="s">
        <v>612</v>
      </c>
      <c r="F101" s="43" t="s">
        <v>292</v>
      </c>
      <c r="G101" s="44">
        <v>446.0</v>
      </c>
      <c r="H101" s="44">
        <v>9.0</v>
      </c>
      <c r="I101" s="44">
        <v>9.0</v>
      </c>
      <c r="J101" s="42" t="s">
        <v>133</v>
      </c>
      <c r="K101" s="45"/>
      <c r="L101" s="45"/>
      <c r="M101" s="45"/>
      <c r="N101" s="44">
        <v>10.0</v>
      </c>
      <c r="O101" s="45"/>
      <c r="P101" s="45"/>
      <c r="Q101" s="45"/>
      <c r="R101" s="45"/>
      <c r="S101" s="45"/>
      <c r="T101" s="45"/>
      <c r="U101" s="45"/>
      <c r="V101" s="46" t="s">
        <v>613</v>
      </c>
      <c r="W101" s="45"/>
      <c r="X101" s="45"/>
      <c r="Y101" s="45"/>
      <c r="Z101" s="41" t="s">
        <v>122</v>
      </c>
      <c r="AA101" s="44">
        <v>2.0</v>
      </c>
      <c r="AB101" s="45"/>
      <c r="AC101" s="44">
        <v>2.0</v>
      </c>
      <c r="AD101" s="47"/>
      <c r="AE101" s="47"/>
      <c r="AF101" s="47"/>
      <c r="AG101" s="47"/>
      <c r="AH101" s="47"/>
      <c r="AI101" s="38"/>
      <c r="AJ101" s="38"/>
      <c r="AK101" s="38"/>
      <c r="AL101" s="38"/>
      <c r="AM101" s="38"/>
      <c r="AN101" s="38"/>
      <c r="AO101" s="38"/>
      <c r="AP101" s="38"/>
      <c r="AQ101" s="38"/>
      <c r="AR101" s="38"/>
      <c r="AS101" s="38"/>
      <c r="AT101" s="38"/>
      <c r="AU101" s="38"/>
      <c r="AV101" s="38"/>
      <c r="AW101" s="38"/>
      <c r="AX101" s="38"/>
      <c r="AY101" s="38"/>
      <c r="AZ101" s="38"/>
      <c r="BA101" s="38"/>
      <c r="BB101" s="38"/>
      <c r="BC101" s="38"/>
    </row>
    <row r="102">
      <c r="A102" s="48" t="s">
        <v>614</v>
      </c>
      <c r="B102" s="30">
        <v>45870.21396208333</v>
      </c>
      <c r="C102" s="36" t="s">
        <v>615</v>
      </c>
      <c r="D102" s="32" t="s">
        <v>137</v>
      </c>
      <c r="E102" s="36" t="s">
        <v>616</v>
      </c>
      <c r="F102" s="33" t="s">
        <v>614</v>
      </c>
      <c r="G102" s="31">
        <v>825.0</v>
      </c>
      <c r="H102" s="31">
        <v>9.0</v>
      </c>
      <c r="I102" s="51">
        <v>7.0</v>
      </c>
      <c r="J102" s="51">
        <v>2.0</v>
      </c>
      <c r="K102" s="34"/>
      <c r="L102" s="34"/>
      <c r="M102" s="34"/>
      <c r="N102" s="31">
        <v>10.0</v>
      </c>
      <c r="O102" s="34"/>
      <c r="P102" s="34"/>
      <c r="Q102" s="34"/>
      <c r="R102" s="34"/>
      <c r="S102" s="34"/>
      <c r="T102" s="34"/>
      <c r="U102" s="34"/>
      <c r="V102" s="35" t="s">
        <v>617</v>
      </c>
      <c r="W102" s="34"/>
      <c r="X102" s="34"/>
      <c r="Y102" s="34"/>
      <c r="Z102" s="36" t="s">
        <v>139</v>
      </c>
      <c r="AA102" s="31">
        <v>1.0</v>
      </c>
      <c r="AB102" s="34"/>
      <c r="AC102" s="31">
        <v>1.0</v>
      </c>
      <c r="AD102" s="49"/>
      <c r="AE102" s="49"/>
      <c r="AF102" s="49"/>
      <c r="AG102" s="49"/>
      <c r="AH102" s="49"/>
      <c r="AI102" s="38"/>
      <c r="AJ102" s="38"/>
      <c r="AK102" s="38"/>
      <c r="AL102" s="38"/>
      <c r="AM102" s="38"/>
      <c r="AN102" s="38"/>
      <c r="AO102" s="38"/>
      <c r="AP102" s="38"/>
      <c r="AQ102" s="38"/>
      <c r="AR102" s="38"/>
      <c r="AS102" s="38"/>
      <c r="AT102" s="38"/>
      <c r="AU102" s="38"/>
      <c r="AV102" s="38"/>
      <c r="AW102" s="38"/>
      <c r="AX102" s="38"/>
      <c r="AY102" s="38"/>
      <c r="AZ102" s="38"/>
      <c r="BA102" s="38"/>
      <c r="BB102" s="38"/>
      <c r="BC102" s="38"/>
    </row>
    <row r="103">
      <c r="A103" s="39" t="s">
        <v>55</v>
      </c>
      <c r="B103" s="40">
        <v>45870.216827129625</v>
      </c>
      <c r="C103" s="41" t="s">
        <v>618</v>
      </c>
      <c r="D103" s="42" t="s">
        <v>57</v>
      </c>
      <c r="E103" s="41" t="s">
        <v>619</v>
      </c>
      <c r="F103" s="43" t="s">
        <v>55</v>
      </c>
      <c r="G103" s="44">
        <v>235.0</v>
      </c>
      <c r="H103" s="44">
        <v>9.0</v>
      </c>
      <c r="I103" s="44">
        <v>9.0</v>
      </c>
      <c r="J103" s="44">
        <v>1.0</v>
      </c>
      <c r="K103" s="45"/>
      <c r="L103" s="45"/>
      <c r="M103" s="45"/>
      <c r="N103" s="44">
        <v>10.0</v>
      </c>
      <c r="O103" s="45"/>
      <c r="P103" s="45"/>
      <c r="Q103" s="45"/>
      <c r="R103" s="45"/>
      <c r="S103" s="45"/>
      <c r="T103" s="45"/>
      <c r="U103" s="45"/>
      <c r="V103" s="46" t="s">
        <v>620</v>
      </c>
      <c r="W103" s="45"/>
      <c r="X103" s="45"/>
      <c r="Y103" s="45"/>
      <c r="Z103" s="41" t="s">
        <v>60</v>
      </c>
      <c r="AA103" s="44">
        <v>2.0</v>
      </c>
      <c r="AB103" s="45"/>
      <c r="AC103" s="44">
        <v>2.0</v>
      </c>
      <c r="AD103" s="47"/>
      <c r="AE103" s="47"/>
      <c r="AF103" s="47"/>
      <c r="AG103" s="47"/>
      <c r="AH103" s="47"/>
      <c r="AI103" s="38"/>
      <c r="AJ103" s="38"/>
      <c r="AK103" s="38"/>
      <c r="AL103" s="38"/>
      <c r="AM103" s="38"/>
      <c r="AN103" s="38"/>
      <c r="AO103" s="38"/>
      <c r="AP103" s="38"/>
      <c r="AQ103" s="38"/>
      <c r="AR103" s="38"/>
      <c r="AS103" s="38"/>
      <c r="AT103" s="38"/>
      <c r="AU103" s="38"/>
      <c r="AV103" s="38"/>
      <c r="AW103" s="38"/>
      <c r="AX103" s="38"/>
      <c r="AY103" s="38"/>
      <c r="AZ103" s="38"/>
      <c r="BA103" s="38"/>
      <c r="BB103" s="38"/>
      <c r="BC103" s="38"/>
    </row>
    <row r="104">
      <c r="A104" s="48" t="s">
        <v>393</v>
      </c>
      <c r="B104" s="30">
        <v>45870.2181234375</v>
      </c>
      <c r="C104" s="36" t="s">
        <v>118</v>
      </c>
      <c r="D104" s="32" t="s">
        <v>119</v>
      </c>
      <c r="E104" s="36" t="s">
        <v>621</v>
      </c>
      <c r="F104" s="33" t="s">
        <v>393</v>
      </c>
      <c r="G104" s="31">
        <v>407.0</v>
      </c>
      <c r="H104" s="31">
        <v>9.0</v>
      </c>
      <c r="I104" s="31">
        <v>8.0</v>
      </c>
      <c r="J104" s="31">
        <v>2.0</v>
      </c>
      <c r="K104" s="34"/>
      <c r="L104" s="34"/>
      <c r="M104" s="34"/>
      <c r="N104" s="31">
        <v>9.0</v>
      </c>
      <c r="O104" s="34"/>
      <c r="P104" s="34"/>
      <c r="Q104" s="34"/>
      <c r="R104" s="34"/>
      <c r="S104" s="34"/>
      <c r="T104" s="34"/>
      <c r="U104" s="34"/>
      <c r="V104" s="35" t="s">
        <v>622</v>
      </c>
      <c r="W104" s="34"/>
      <c r="X104" s="34"/>
      <c r="Y104" s="34"/>
      <c r="Z104" s="36" t="s">
        <v>122</v>
      </c>
      <c r="AA104" s="31">
        <v>2.0</v>
      </c>
      <c r="AB104" s="34"/>
      <c r="AC104" s="31">
        <v>2.0</v>
      </c>
      <c r="AD104" s="49"/>
      <c r="AE104" s="49"/>
      <c r="AF104" s="49"/>
      <c r="AG104" s="49"/>
      <c r="AH104" s="49"/>
      <c r="AI104" s="38"/>
      <c r="AJ104" s="38"/>
      <c r="AK104" s="38"/>
      <c r="AL104" s="38"/>
      <c r="AM104" s="38"/>
      <c r="AN104" s="38"/>
      <c r="AO104" s="38"/>
      <c r="AP104" s="38"/>
      <c r="AQ104" s="38"/>
      <c r="AR104" s="38"/>
      <c r="AS104" s="38"/>
      <c r="AT104" s="38"/>
      <c r="AU104" s="38"/>
      <c r="AV104" s="38"/>
      <c r="AW104" s="38"/>
      <c r="AX104" s="38"/>
      <c r="AY104" s="38"/>
      <c r="AZ104" s="38"/>
      <c r="BA104" s="38"/>
      <c r="BB104" s="38"/>
      <c r="BC104" s="38"/>
    </row>
    <row r="105">
      <c r="A105" s="39" t="s">
        <v>258</v>
      </c>
      <c r="B105" s="40">
        <v>45870.22129509259</v>
      </c>
      <c r="C105" s="41" t="s">
        <v>259</v>
      </c>
      <c r="D105" s="42" t="s">
        <v>260</v>
      </c>
      <c r="E105" s="41" t="s">
        <v>261</v>
      </c>
      <c r="F105" s="43" t="s">
        <v>258</v>
      </c>
      <c r="G105" s="44">
        <v>215.0</v>
      </c>
      <c r="H105" s="44">
        <v>7.0</v>
      </c>
      <c r="I105" s="44">
        <v>5.0</v>
      </c>
      <c r="J105" s="44">
        <v>4.0</v>
      </c>
      <c r="K105" s="45"/>
      <c r="L105" s="45"/>
      <c r="M105" s="45"/>
      <c r="N105" s="44">
        <v>9.0</v>
      </c>
      <c r="O105" s="45"/>
      <c r="P105" s="45"/>
      <c r="Q105" s="45"/>
      <c r="R105" s="45"/>
      <c r="S105" s="45"/>
      <c r="T105" s="45"/>
      <c r="U105" s="45"/>
      <c r="V105" s="46" t="s">
        <v>623</v>
      </c>
      <c r="W105" s="45"/>
      <c r="X105" s="45"/>
      <c r="Y105" s="45"/>
      <c r="Z105" s="41" t="s">
        <v>624</v>
      </c>
      <c r="AA105" s="44">
        <v>2.0</v>
      </c>
      <c r="AB105" s="45"/>
      <c r="AC105" s="44">
        <v>2.0</v>
      </c>
      <c r="AD105" s="47"/>
      <c r="AE105" s="47"/>
      <c r="AF105" s="47"/>
      <c r="AG105" s="47"/>
      <c r="AH105" s="47"/>
      <c r="AI105" s="38"/>
      <c r="AJ105" s="38"/>
      <c r="AK105" s="38"/>
      <c r="AL105" s="38"/>
      <c r="AM105" s="38"/>
      <c r="AN105" s="38"/>
      <c r="AO105" s="38"/>
      <c r="AP105" s="38"/>
      <c r="AQ105" s="38"/>
      <c r="AR105" s="38"/>
      <c r="AS105" s="38"/>
      <c r="AT105" s="38"/>
      <c r="AU105" s="38"/>
      <c r="AV105" s="38"/>
      <c r="AW105" s="38"/>
      <c r="AX105" s="38"/>
      <c r="AY105" s="38"/>
      <c r="AZ105" s="38"/>
      <c r="BA105" s="38"/>
      <c r="BB105" s="38"/>
      <c r="BC105" s="38"/>
    </row>
    <row r="106">
      <c r="A106" s="48" t="s">
        <v>625</v>
      </c>
      <c r="B106" s="30">
        <v>45870.22338108796</v>
      </c>
      <c r="C106" s="36" t="s">
        <v>278</v>
      </c>
      <c r="D106" s="32" t="s">
        <v>279</v>
      </c>
      <c r="E106" s="36" t="s">
        <v>626</v>
      </c>
      <c r="F106" s="33" t="s">
        <v>625</v>
      </c>
      <c r="G106" s="51">
        <v>380.0</v>
      </c>
      <c r="H106" s="31">
        <v>7.0</v>
      </c>
      <c r="I106" s="31">
        <v>7.0</v>
      </c>
      <c r="J106" s="31">
        <v>1.0</v>
      </c>
      <c r="K106" s="34"/>
      <c r="L106" s="34"/>
      <c r="M106" s="34"/>
      <c r="N106" s="31">
        <v>8.0</v>
      </c>
      <c r="O106" s="34"/>
      <c r="P106" s="34"/>
      <c r="Q106" s="34"/>
      <c r="R106" s="34"/>
      <c r="S106" s="34"/>
      <c r="T106" s="34"/>
      <c r="U106" s="34"/>
      <c r="V106" s="35" t="s">
        <v>627</v>
      </c>
      <c r="W106" s="34"/>
      <c r="X106" s="34"/>
      <c r="Y106" s="34"/>
      <c r="Z106" s="36" t="s">
        <v>283</v>
      </c>
      <c r="AA106" s="31">
        <v>2.0</v>
      </c>
      <c r="AB106" s="34"/>
      <c r="AC106" s="31">
        <v>2.0</v>
      </c>
      <c r="AD106" s="49"/>
      <c r="AE106" s="49"/>
      <c r="AF106" s="49"/>
      <c r="AG106" s="49"/>
      <c r="AH106" s="49"/>
      <c r="AI106" s="38"/>
      <c r="AJ106" s="38"/>
      <c r="AK106" s="38"/>
      <c r="AL106" s="38"/>
      <c r="AM106" s="38"/>
      <c r="AN106" s="38"/>
      <c r="AO106" s="38"/>
      <c r="AP106" s="38"/>
      <c r="AQ106" s="38"/>
      <c r="AR106" s="38"/>
      <c r="AS106" s="38"/>
      <c r="AT106" s="38"/>
      <c r="AU106" s="38"/>
      <c r="AV106" s="38"/>
      <c r="AW106" s="38"/>
      <c r="AX106" s="38"/>
      <c r="AY106" s="38"/>
      <c r="AZ106" s="38"/>
      <c r="BA106" s="38"/>
      <c r="BB106" s="38"/>
      <c r="BC106" s="38"/>
    </row>
    <row r="107">
      <c r="A107" s="39" t="s">
        <v>244</v>
      </c>
      <c r="B107" s="40">
        <v>45870.227030787035</v>
      </c>
      <c r="C107" s="41" t="s">
        <v>245</v>
      </c>
      <c r="D107" s="42" t="s">
        <v>246</v>
      </c>
      <c r="E107" s="44" t="s">
        <v>628</v>
      </c>
      <c r="F107" s="43" t="s">
        <v>244</v>
      </c>
      <c r="G107" s="44">
        <v>680.0</v>
      </c>
      <c r="H107" s="44">
        <v>8.0</v>
      </c>
      <c r="I107" s="44">
        <v>7.0</v>
      </c>
      <c r="J107" s="44">
        <v>2.0</v>
      </c>
      <c r="K107" s="45"/>
      <c r="L107" s="45"/>
      <c r="M107" s="45"/>
      <c r="N107" s="44">
        <v>8.0</v>
      </c>
      <c r="O107" s="45"/>
      <c r="P107" s="45"/>
      <c r="Q107" s="45"/>
      <c r="R107" s="45"/>
      <c r="S107" s="45"/>
      <c r="T107" s="45"/>
      <c r="U107" s="45"/>
      <c r="V107" s="46" t="s">
        <v>629</v>
      </c>
      <c r="W107" s="45"/>
      <c r="X107" s="45"/>
      <c r="Y107" s="45"/>
      <c r="Z107" s="41" t="s">
        <v>250</v>
      </c>
      <c r="AA107" s="44">
        <v>2.0</v>
      </c>
      <c r="AB107" s="45"/>
      <c r="AC107" s="44">
        <v>2.0</v>
      </c>
      <c r="AD107" s="47"/>
      <c r="AE107" s="47"/>
      <c r="AF107" s="47"/>
      <c r="AG107" s="47"/>
      <c r="AH107" s="47"/>
      <c r="AI107" s="38"/>
      <c r="AJ107" s="38"/>
      <c r="AK107" s="38"/>
      <c r="AL107" s="38"/>
      <c r="AM107" s="38"/>
      <c r="AN107" s="38"/>
      <c r="AO107" s="38"/>
      <c r="AP107" s="38"/>
      <c r="AQ107" s="38"/>
      <c r="AR107" s="38"/>
      <c r="AS107" s="38"/>
      <c r="AT107" s="38"/>
      <c r="AU107" s="38"/>
      <c r="AV107" s="38"/>
      <c r="AW107" s="38"/>
      <c r="AX107" s="38"/>
      <c r="AY107" s="38"/>
      <c r="AZ107" s="38"/>
      <c r="BA107" s="38"/>
      <c r="BB107" s="38"/>
      <c r="BC107" s="38"/>
    </row>
    <row r="108">
      <c r="A108" s="48" t="s">
        <v>48</v>
      </c>
      <c r="B108" s="30">
        <v>45870.228445995366</v>
      </c>
      <c r="C108" s="36" t="s">
        <v>630</v>
      </c>
      <c r="D108" s="32" t="s">
        <v>50</v>
      </c>
      <c r="E108" s="36" t="s">
        <v>51</v>
      </c>
      <c r="F108" s="33" t="s">
        <v>48</v>
      </c>
      <c r="G108" s="31">
        <v>140.0</v>
      </c>
      <c r="H108" s="31">
        <v>10.0</v>
      </c>
      <c r="I108" s="31">
        <v>10.0</v>
      </c>
      <c r="J108" s="31">
        <v>0.0</v>
      </c>
      <c r="K108" s="34"/>
      <c r="L108" s="34"/>
      <c r="M108" s="34"/>
      <c r="N108" s="31">
        <v>10.0</v>
      </c>
      <c r="O108" s="34"/>
      <c r="P108" s="34"/>
      <c r="Q108" s="34"/>
      <c r="R108" s="34"/>
      <c r="S108" s="34"/>
      <c r="T108" s="34"/>
      <c r="U108" s="34"/>
      <c r="V108" s="35" t="s">
        <v>631</v>
      </c>
      <c r="W108" s="34"/>
      <c r="X108" s="34"/>
      <c r="Y108" s="34"/>
      <c r="Z108" s="36" t="s">
        <v>54</v>
      </c>
      <c r="AA108" s="31">
        <v>2.0</v>
      </c>
      <c r="AB108" s="34"/>
      <c r="AC108" s="31">
        <v>2.0</v>
      </c>
      <c r="AD108" s="49"/>
      <c r="AE108" s="49"/>
      <c r="AF108" s="49"/>
      <c r="AG108" s="49"/>
      <c r="AH108" s="49"/>
      <c r="AI108" s="38"/>
      <c r="AJ108" s="38"/>
      <c r="AK108" s="38"/>
      <c r="AL108" s="38"/>
      <c r="AM108" s="38"/>
      <c r="AN108" s="38"/>
      <c r="AO108" s="38"/>
      <c r="AP108" s="38"/>
      <c r="AQ108" s="38"/>
      <c r="AR108" s="38"/>
      <c r="AS108" s="38"/>
      <c r="AT108" s="38"/>
      <c r="AU108" s="38"/>
      <c r="AV108" s="38"/>
      <c r="AW108" s="38"/>
      <c r="AX108" s="38"/>
      <c r="AY108" s="38"/>
      <c r="AZ108" s="38"/>
      <c r="BA108" s="38"/>
      <c r="BB108" s="38"/>
      <c r="BC108" s="38"/>
    </row>
    <row r="109">
      <c r="A109" s="39" t="s">
        <v>632</v>
      </c>
      <c r="B109" s="40">
        <v>45870.229562106484</v>
      </c>
      <c r="C109" s="41" t="s">
        <v>68</v>
      </c>
      <c r="D109" s="42" t="s">
        <v>69</v>
      </c>
      <c r="E109" s="41" t="s">
        <v>633</v>
      </c>
      <c r="F109" s="43" t="s">
        <v>632</v>
      </c>
      <c r="G109" s="44">
        <v>270.0</v>
      </c>
      <c r="H109" s="44">
        <v>10.0</v>
      </c>
      <c r="I109" s="44">
        <v>10.0</v>
      </c>
      <c r="J109" s="41" t="s">
        <v>197</v>
      </c>
      <c r="K109" s="45"/>
      <c r="L109" s="45"/>
      <c r="M109" s="45"/>
      <c r="N109" s="44">
        <v>10.0</v>
      </c>
      <c r="O109" s="45"/>
      <c r="P109" s="45"/>
      <c r="Q109" s="45"/>
      <c r="R109" s="45"/>
      <c r="S109" s="45"/>
      <c r="T109" s="45"/>
      <c r="U109" s="45"/>
      <c r="V109" s="46" t="s">
        <v>634</v>
      </c>
      <c r="W109" s="41" t="s">
        <v>197</v>
      </c>
      <c r="X109" s="45"/>
      <c r="Y109" s="45"/>
      <c r="Z109" s="41" t="s">
        <v>73</v>
      </c>
      <c r="AA109" s="44">
        <v>2.0</v>
      </c>
      <c r="AB109" s="45"/>
      <c r="AC109" s="44">
        <v>2.0</v>
      </c>
      <c r="AD109" s="47"/>
      <c r="AE109" s="47"/>
      <c r="AF109" s="47"/>
      <c r="AG109" s="47"/>
      <c r="AH109" s="47"/>
      <c r="AI109" s="38"/>
      <c r="AJ109" s="38"/>
      <c r="AK109" s="38"/>
      <c r="AL109" s="38"/>
      <c r="AM109" s="38"/>
      <c r="AN109" s="38"/>
      <c r="AO109" s="38"/>
      <c r="AP109" s="38"/>
      <c r="AQ109" s="38"/>
      <c r="AR109" s="38"/>
      <c r="AS109" s="38"/>
      <c r="AT109" s="38"/>
      <c r="AU109" s="38"/>
      <c r="AV109" s="38"/>
      <c r="AW109" s="38"/>
      <c r="AX109" s="38"/>
      <c r="AY109" s="38"/>
      <c r="AZ109" s="38"/>
      <c r="BA109" s="38"/>
      <c r="BB109" s="38"/>
      <c r="BC109" s="38"/>
    </row>
    <row r="110">
      <c r="A110" s="48" t="s">
        <v>505</v>
      </c>
      <c r="B110" s="30">
        <v>45870.23039895833</v>
      </c>
      <c r="C110" s="36" t="s">
        <v>130</v>
      </c>
      <c r="D110" s="32" t="s">
        <v>131</v>
      </c>
      <c r="E110" s="36" t="s">
        <v>635</v>
      </c>
      <c r="F110" s="33" t="s">
        <v>505</v>
      </c>
      <c r="G110" s="31">
        <v>120.0</v>
      </c>
      <c r="H110" s="31">
        <v>10.0</v>
      </c>
      <c r="I110" s="31">
        <v>9.0</v>
      </c>
      <c r="J110" s="31">
        <v>0.0</v>
      </c>
      <c r="K110" s="34"/>
      <c r="L110" s="34"/>
      <c r="M110" s="34"/>
      <c r="N110" s="31">
        <v>9.0</v>
      </c>
      <c r="O110" s="34"/>
      <c r="P110" s="34"/>
      <c r="Q110" s="34"/>
      <c r="R110" s="34"/>
      <c r="S110" s="34"/>
      <c r="T110" s="34"/>
      <c r="U110" s="34"/>
      <c r="V110" s="35" t="s">
        <v>636</v>
      </c>
      <c r="W110" s="36" t="s">
        <v>637</v>
      </c>
      <c r="X110" s="34"/>
      <c r="Y110" s="34"/>
      <c r="Z110" s="36" t="s">
        <v>638</v>
      </c>
      <c r="AA110" s="31">
        <v>2.0</v>
      </c>
      <c r="AB110" s="34"/>
      <c r="AC110" s="31">
        <v>2.0</v>
      </c>
      <c r="AD110" s="49"/>
      <c r="AE110" s="49"/>
      <c r="AF110" s="49"/>
      <c r="AG110" s="49"/>
      <c r="AH110" s="49"/>
      <c r="AI110" s="38"/>
      <c r="AJ110" s="38"/>
      <c r="AK110" s="38"/>
      <c r="AL110" s="38"/>
      <c r="AM110" s="38"/>
      <c r="AN110" s="38"/>
      <c r="AO110" s="38"/>
      <c r="AP110" s="38"/>
      <c r="AQ110" s="38"/>
      <c r="AR110" s="38"/>
      <c r="AS110" s="38"/>
      <c r="AT110" s="38"/>
      <c r="AU110" s="38"/>
      <c r="AV110" s="38"/>
      <c r="AW110" s="38"/>
      <c r="AX110" s="38"/>
      <c r="AY110" s="38"/>
      <c r="AZ110" s="38"/>
      <c r="BA110" s="38"/>
      <c r="BB110" s="38"/>
      <c r="BC110" s="38"/>
    </row>
    <row r="111">
      <c r="A111" s="39" t="s">
        <v>147</v>
      </c>
      <c r="B111" s="40">
        <v>45870.23085902778</v>
      </c>
      <c r="C111" s="41" t="s">
        <v>639</v>
      </c>
      <c r="D111" s="42" t="s">
        <v>149</v>
      </c>
      <c r="E111" s="41" t="s">
        <v>640</v>
      </c>
      <c r="F111" s="43" t="s">
        <v>147</v>
      </c>
      <c r="G111" s="44">
        <v>995.0</v>
      </c>
      <c r="H111" s="44">
        <v>7.0</v>
      </c>
      <c r="I111" s="44">
        <v>9.0</v>
      </c>
      <c r="J111" s="44">
        <v>1.0</v>
      </c>
      <c r="K111" s="45"/>
      <c r="L111" s="45"/>
      <c r="M111" s="45"/>
      <c r="N111" s="44">
        <v>9.0</v>
      </c>
      <c r="O111" s="45"/>
      <c r="P111" s="45"/>
      <c r="Q111" s="45"/>
      <c r="R111" s="45"/>
      <c r="S111" s="45"/>
      <c r="T111" s="45"/>
      <c r="U111" s="45"/>
      <c r="V111" s="46" t="s">
        <v>641</v>
      </c>
      <c r="W111" s="41" t="s">
        <v>453</v>
      </c>
      <c r="X111" s="45"/>
      <c r="Y111" s="45"/>
      <c r="Z111" s="41" t="s">
        <v>152</v>
      </c>
      <c r="AA111" s="44">
        <v>2.0</v>
      </c>
      <c r="AB111" s="45"/>
      <c r="AC111" s="44">
        <v>2.0</v>
      </c>
      <c r="AD111" s="47"/>
      <c r="AE111" s="47"/>
      <c r="AF111" s="47"/>
      <c r="AG111" s="47"/>
      <c r="AH111" s="47"/>
      <c r="AI111" s="38"/>
      <c r="AJ111" s="38"/>
      <c r="AK111" s="38"/>
      <c r="AL111" s="38"/>
      <c r="AM111" s="38"/>
      <c r="AN111" s="38"/>
      <c r="AO111" s="38"/>
      <c r="AP111" s="38"/>
      <c r="AQ111" s="38"/>
      <c r="AR111" s="38"/>
      <c r="AS111" s="38"/>
      <c r="AT111" s="38"/>
      <c r="AU111" s="38"/>
      <c r="AV111" s="38"/>
      <c r="AW111" s="38"/>
      <c r="AX111" s="38"/>
      <c r="AY111" s="38"/>
      <c r="AZ111" s="38"/>
      <c r="BA111" s="38"/>
      <c r="BB111" s="38"/>
      <c r="BC111" s="38"/>
    </row>
    <row r="112">
      <c r="A112" s="48" t="s">
        <v>427</v>
      </c>
      <c r="B112" s="30">
        <v>45870.235648263886</v>
      </c>
      <c r="C112" s="36" t="s">
        <v>434</v>
      </c>
      <c r="D112" s="32" t="s">
        <v>429</v>
      </c>
      <c r="E112" s="36" t="s">
        <v>642</v>
      </c>
      <c r="F112" s="33" t="s">
        <v>427</v>
      </c>
      <c r="G112" s="31">
        <v>38.0</v>
      </c>
      <c r="H112" s="31">
        <v>10.0</v>
      </c>
      <c r="I112" s="31">
        <v>10.0</v>
      </c>
      <c r="J112" s="51">
        <v>0.0</v>
      </c>
      <c r="K112" s="34"/>
      <c r="L112" s="34"/>
      <c r="M112" s="34"/>
      <c r="N112" s="31">
        <v>10.0</v>
      </c>
      <c r="O112" s="34"/>
      <c r="P112" s="34"/>
      <c r="Q112" s="34"/>
      <c r="R112" s="34"/>
      <c r="S112" s="34"/>
      <c r="T112" s="34"/>
      <c r="U112" s="34"/>
      <c r="V112" s="35" t="s">
        <v>643</v>
      </c>
      <c r="W112" s="34"/>
      <c r="X112" s="34"/>
      <c r="Y112" s="34"/>
      <c r="Z112" s="36" t="s">
        <v>432</v>
      </c>
      <c r="AA112" s="31">
        <v>2.0</v>
      </c>
      <c r="AB112" s="34"/>
      <c r="AC112" s="31">
        <v>2.0</v>
      </c>
      <c r="AD112" s="49"/>
      <c r="AE112" s="49"/>
      <c r="AF112" s="49"/>
      <c r="AG112" s="49"/>
      <c r="AH112" s="49"/>
      <c r="AI112" s="38"/>
      <c r="AJ112" s="38"/>
      <c r="AK112" s="38"/>
      <c r="AL112" s="38"/>
      <c r="AM112" s="38"/>
      <c r="AN112" s="38"/>
      <c r="AO112" s="38"/>
      <c r="AP112" s="38"/>
      <c r="AQ112" s="38"/>
      <c r="AR112" s="38"/>
      <c r="AS112" s="38"/>
      <c r="AT112" s="38"/>
      <c r="AU112" s="38"/>
      <c r="AV112" s="38"/>
      <c r="AW112" s="38"/>
      <c r="AX112" s="38"/>
      <c r="AY112" s="38"/>
      <c r="AZ112" s="38"/>
      <c r="BA112" s="38"/>
      <c r="BB112" s="38"/>
      <c r="BC112" s="38"/>
    </row>
    <row r="113">
      <c r="A113" s="39" t="s">
        <v>80</v>
      </c>
      <c r="B113" s="40">
        <v>45870.238488229166</v>
      </c>
      <c r="C113" s="41" t="s">
        <v>75</v>
      </c>
      <c r="D113" s="42" t="s">
        <v>76</v>
      </c>
      <c r="E113" s="41" t="s">
        <v>81</v>
      </c>
      <c r="F113" s="43" t="s">
        <v>80</v>
      </c>
      <c r="G113" s="44">
        <v>98.0</v>
      </c>
      <c r="H113" s="50">
        <v>7.0</v>
      </c>
      <c r="I113" s="50">
        <v>7.0</v>
      </c>
      <c r="J113" s="44">
        <v>2.0</v>
      </c>
      <c r="K113" s="45"/>
      <c r="L113" s="45"/>
      <c r="M113" s="45"/>
      <c r="N113" s="44">
        <v>8.0</v>
      </c>
      <c r="O113" s="45"/>
      <c r="P113" s="45"/>
      <c r="Q113" s="45"/>
      <c r="R113" s="45"/>
      <c r="S113" s="45"/>
      <c r="T113" s="45"/>
      <c r="U113" s="45"/>
      <c r="V113" s="46" t="s">
        <v>644</v>
      </c>
      <c r="W113" s="45"/>
      <c r="X113" s="45"/>
      <c r="Y113" s="45"/>
      <c r="Z113" s="41" t="s">
        <v>79</v>
      </c>
      <c r="AA113" s="44">
        <v>2.0</v>
      </c>
      <c r="AB113" s="45"/>
      <c r="AC113" s="44">
        <v>2.0</v>
      </c>
      <c r="AD113" s="47"/>
      <c r="AE113" s="47"/>
      <c r="AF113" s="47"/>
      <c r="AG113" s="47"/>
      <c r="AH113" s="47"/>
      <c r="AI113" s="38"/>
      <c r="AJ113" s="38"/>
      <c r="AK113" s="38"/>
      <c r="AL113" s="38"/>
      <c r="AM113" s="38"/>
      <c r="AN113" s="38"/>
      <c r="AO113" s="38"/>
      <c r="AP113" s="38"/>
      <c r="AQ113" s="38"/>
      <c r="AR113" s="38"/>
      <c r="AS113" s="38"/>
      <c r="AT113" s="38"/>
      <c r="AU113" s="38"/>
      <c r="AV113" s="38"/>
      <c r="AW113" s="38"/>
      <c r="AX113" s="38"/>
      <c r="AY113" s="38"/>
      <c r="AZ113" s="38"/>
      <c r="BA113" s="38"/>
      <c r="BB113" s="38"/>
      <c r="BC113" s="38"/>
    </row>
    <row r="114">
      <c r="A114" s="48" t="s">
        <v>595</v>
      </c>
      <c r="B114" s="30">
        <v>45870.24126435185</v>
      </c>
      <c r="C114" s="36" t="s">
        <v>645</v>
      </c>
      <c r="D114" s="32" t="s">
        <v>91</v>
      </c>
      <c r="E114" s="36" t="s">
        <v>646</v>
      </c>
      <c r="F114" s="33" t="s">
        <v>595</v>
      </c>
      <c r="G114" s="31">
        <v>113.0</v>
      </c>
      <c r="H114" s="31">
        <v>8.0</v>
      </c>
      <c r="I114" s="31">
        <v>8.0</v>
      </c>
      <c r="J114" s="31">
        <v>0.0</v>
      </c>
      <c r="K114" s="34"/>
      <c r="L114" s="34"/>
      <c r="M114" s="34"/>
      <c r="N114" s="31">
        <v>10.0</v>
      </c>
      <c r="O114" s="34"/>
      <c r="P114" s="34"/>
      <c r="Q114" s="34"/>
      <c r="R114" s="34"/>
      <c r="S114" s="34"/>
      <c r="T114" s="34"/>
      <c r="U114" s="34"/>
      <c r="V114" s="35" t="s">
        <v>647</v>
      </c>
      <c r="W114" s="36" t="s">
        <v>648</v>
      </c>
      <c r="X114" s="34"/>
      <c r="Y114" s="34"/>
      <c r="Z114" s="36" t="s">
        <v>94</v>
      </c>
      <c r="AA114" s="31">
        <v>2.0</v>
      </c>
      <c r="AB114" s="34"/>
      <c r="AC114" s="31">
        <v>2.0</v>
      </c>
      <c r="AD114" s="49"/>
      <c r="AE114" s="49"/>
      <c r="AF114" s="49"/>
      <c r="AG114" s="49"/>
      <c r="AH114" s="49"/>
      <c r="AI114" s="38"/>
      <c r="AJ114" s="38"/>
      <c r="AK114" s="38"/>
      <c r="AL114" s="38"/>
      <c r="AM114" s="38"/>
      <c r="AN114" s="38"/>
      <c r="AO114" s="38"/>
      <c r="AP114" s="38"/>
      <c r="AQ114" s="38"/>
      <c r="AR114" s="38"/>
      <c r="AS114" s="38"/>
      <c r="AT114" s="38"/>
      <c r="AU114" s="38"/>
      <c r="AV114" s="38"/>
      <c r="AW114" s="38"/>
      <c r="AX114" s="38"/>
      <c r="AY114" s="38"/>
      <c r="AZ114" s="38"/>
      <c r="BA114" s="38"/>
      <c r="BB114" s="38"/>
      <c r="BC114" s="38"/>
    </row>
    <row r="115">
      <c r="A115" s="39" t="s">
        <v>238</v>
      </c>
      <c r="B115" s="40">
        <v>45870.242042199076</v>
      </c>
      <c r="C115" s="41" t="s">
        <v>239</v>
      </c>
      <c r="D115" s="44">
        <v>3.006745467E9</v>
      </c>
      <c r="E115" s="41" t="s">
        <v>649</v>
      </c>
      <c r="F115" s="43" t="s">
        <v>238</v>
      </c>
      <c r="G115" s="50">
        <v>48.0</v>
      </c>
      <c r="H115" s="44">
        <v>5.0</v>
      </c>
      <c r="I115" s="44">
        <v>4.0</v>
      </c>
      <c r="J115" s="44">
        <v>3.0</v>
      </c>
      <c r="K115" s="45"/>
      <c r="L115" s="45"/>
      <c r="M115" s="45"/>
      <c r="N115" s="44">
        <v>6.0</v>
      </c>
      <c r="O115" s="45"/>
      <c r="P115" s="45"/>
      <c r="Q115" s="45"/>
      <c r="R115" s="45"/>
      <c r="S115" s="45"/>
      <c r="T115" s="45"/>
      <c r="U115" s="45"/>
      <c r="V115" s="46" t="s">
        <v>650</v>
      </c>
      <c r="W115" s="41" t="s">
        <v>651</v>
      </c>
      <c r="X115" s="45"/>
      <c r="Y115" s="45"/>
      <c r="Z115" s="41" t="s">
        <v>243</v>
      </c>
      <c r="AA115" s="44">
        <v>2.0</v>
      </c>
      <c r="AB115" s="45"/>
      <c r="AC115" s="44">
        <v>2.0</v>
      </c>
      <c r="AD115" s="47"/>
      <c r="AE115" s="47"/>
      <c r="AF115" s="47"/>
      <c r="AG115" s="47"/>
      <c r="AH115" s="47"/>
      <c r="AI115" s="38"/>
      <c r="AJ115" s="38"/>
      <c r="AK115" s="38"/>
      <c r="AL115" s="38"/>
      <c r="AM115" s="38"/>
      <c r="AN115" s="38"/>
      <c r="AO115" s="38"/>
      <c r="AP115" s="38"/>
      <c r="AQ115" s="38"/>
      <c r="AR115" s="38"/>
      <c r="AS115" s="38"/>
      <c r="AT115" s="38"/>
      <c r="AU115" s="38"/>
      <c r="AV115" s="38"/>
      <c r="AW115" s="38"/>
      <c r="AX115" s="38"/>
      <c r="AY115" s="38"/>
      <c r="AZ115" s="38"/>
      <c r="BA115" s="38"/>
      <c r="BB115" s="38"/>
      <c r="BC115" s="38"/>
    </row>
    <row r="116">
      <c r="A116" s="48" t="s">
        <v>652</v>
      </c>
      <c r="B116" s="30">
        <v>45870.24508979167</v>
      </c>
      <c r="C116" s="36" t="s">
        <v>286</v>
      </c>
      <c r="D116" s="32" t="s">
        <v>287</v>
      </c>
      <c r="E116" s="36" t="s">
        <v>288</v>
      </c>
      <c r="F116" s="33" t="s">
        <v>652</v>
      </c>
      <c r="G116" s="31">
        <v>120.0</v>
      </c>
      <c r="H116" s="31">
        <v>8.0</v>
      </c>
      <c r="I116" s="31">
        <v>7.0</v>
      </c>
      <c r="J116" s="31">
        <v>2.0</v>
      </c>
      <c r="K116" s="34"/>
      <c r="L116" s="34"/>
      <c r="M116" s="34"/>
      <c r="N116" s="31">
        <v>9.0</v>
      </c>
      <c r="O116" s="34"/>
      <c r="P116" s="34"/>
      <c r="Q116" s="34"/>
      <c r="R116" s="34"/>
      <c r="S116" s="34"/>
      <c r="T116" s="34"/>
      <c r="U116" s="34"/>
      <c r="V116" s="35" t="s">
        <v>653</v>
      </c>
      <c r="W116" s="36" t="s">
        <v>343</v>
      </c>
      <c r="X116" s="34"/>
      <c r="Y116" s="34"/>
      <c r="Z116" s="36" t="s">
        <v>291</v>
      </c>
      <c r="AA116" s="31">
        <v>2.0</v>
      </c>
      <c r="AB116" s="34"/>
      <c r="AC116" s="31">
        <v>2.0</v>
      </c>
      <c r="AD116" s="49"/>
      <c r="AE116" s="49"/>
      <c r="AF116" s="49"/>
      <c r="AG116" s="49"/>
      <c r="AH116" s="49"/>
      <c r="AI116" s="38"/>
      <c r="AJ116" s="38"/>
      <c r="AK116" s="38"/>
      <c r="AL116" s="38"/>
      <c r="AM116" s="38"/>
      <c r="AN116" s="38"/>
      <c r="AO116" s="38"/>
      <c r="AP116" s="38"/>
      <c r="AQ116" s="38"/>
      <c r="AR116" s="38"/>
      <c r="AS116" s="38"/>
      <c r="AT116" s="38"/>
      <c r="AU116" s="38"/>
      <c r="AV116" s="38"/>
      <c r="AW116" s="38"/>
      <c r="AX116" s="38"/>
      <c r="AY116" s="38"/>
      <c r="AZ116" s="38"/>
      <c r="BA116" s="38"/>
      <c r="BB116" s="38"/>
      <c r="BC116" s="38"/>
    </row>
    <row r="117">
      <c r="A117" s="39" t="s">
        <v>404</v>
      </c>
      <c r="B117" s="40">
        <v>45870.252719641205</v>
      </c>
      <c r="C117" s="41" t="s">
        <v>654</v>
      </c>
      <c r="D117" s="42" t="s">
        <v>406</v>
      </c>
      <c r="E117" s="41" t="s">
        <v>407</v>
      </c>
      <c r="F117" s="43" t="s">
        <v>404</v>
      </c>
      <c r="G117" s="44">
        <v>176.0</v>
      </c>
      <c r="H117" s="44">
        <v>9.0</v>
      </c>
      <c r="I117" s="44">
        <v>8.0</v>
      </c>
      <c r="J117" s="44">
        <v>1.0</v>
      </c>
      <c r="K117" s="45"/>
      <c r="L117" s="45"/>
      <c r="M117" s="45"/>
      <c r="N117" s="44">
        <v>10.0</v>
      </c>
      <c r="O117" s="45"/>
      <c r="P117" s="45"/>
      <c r="Q117" s="45"/>
      <c r="R117" s="45"/>
      <c r="S117" s="45"/>
      <c r="T117" s="45"/>
      <c r="U117" s="45"/>
      <c r="V117" s="46" t="s">
        <v>655</v>
      </c>
      <c r="W117" s="45"/>
      <c r="X117" s="45"/>
      <c r="Y117" s="45"/>
      <c r="Z117" s="41" t="s">
        <v>409</v>
      </c>
      <c r="AA117" s="44">
        <v>2.0</v>
      </c>
      <c r="AB117" s="45"/>
      <c r="AC117" s="44">
        <v>2.0</v>
      </c>
      <c r="AD117" s="47"/>
      <c r="AE117" s="47"/>
      <c r="AF117" s="47"/>
      <c r="AG117" s="47"/>
      <c r="AH117" s="47"/>
      <c r="AI117" s="38"/>
      <c r="AJ117" s="38"/>
      <c r="AK117" s="38"/>
      <c r="AL117" s="38"/>
      <c r="AM117" s="38"/>
      <c r="AN117" s="38"/>
      <c r="AO117" s="38"/>
      <c r="AP117" s="38"/>
      <c r="AQ117" s="38"/>
      <c r="AR117" s="38"/>
      <c r="AS117" s="38"/>
      <c r="AT117" s="38"/>
      <c r="AU117" s="38"/>
      <c r="AV117" s="38"/>
      <c r="AW117" s="38"/>
      <c r="AX117" s="38"/>
      <c r="AY117" s="38"/>
      <c r="AZ117" s="38"/>
      <c r="BA117" s="38"/>
      <c r="BB117" s="38"/>
      <c r="BC117" s="38"/>
    </row>
    <row r="118">
      <c r="A118" s="48" t="s">
        <v>656</v>
      </c>
      <c r="B118" s="30">
        <v>45870.25740199074</v>
      </c>
      <c r="C118" s="36" t="s">
        <v>227</v>
      </c>
      <c r="D118" s="32" t="s">
        <v>228</v>
      </c>
      <c r="E118" s="36" t="s">
        <v>657</v>
      </c>
      <c r="F118" s="33" t="s">
        <v>656</v>
      </c>
      <c r="G118" s="31">
        <v>92.0</v>
      </c>
      <c r="H118" s="31">
        <v>6.0</v>
      </c>
      <c r="I118" s="31">
        <v>5.0</v>
      </c>
      <c r="J118" s="51">
        <v>5.0</v>
      </c>
      <c r="K118" s="34"/>
      <c r="L118" s="34"/>
      <c r="M118" s="34"/>
      <c r="N118" s="31">
        <v>9.0</v>
      </c>
      <c r="O118" s="34"/>
      <c r="P118" s="34"/>
      <c r="Q118" s="34"/>
      <c r="R118" s="34"/>
      <c r="S118" s="34"/>
      <c r="T118" s="34"/>
      <c r="U118" s="34"/>
      <c r="V118" s="35" t="s">
        <v>658</v>
      </c>
      <c r="W118" s="34"/>
      <c r="X118" s="34"/>
      <c r="Y118" s="34"/>
      <c r="Z118" s="36" t="s">
        <v>232</v>
      </c>
      <c r="AA118" s="31">
        <v>2.0</v>
      </c>
      <c r="AB118" s="34"/>
      <c r="AC118" s="31">
        <v>2.0</v>
      </c>
      <c r="AD118" s="49"/>
      <c r="AE118" s="49"/>
      <c r="AF118" s="49"/>
      <c r="AG118" s="49"/>
      <c r="AH118" s="49"/>
      <c r="AI118" s="38"/>
      <c r="AJ118" s="38"/>
      <c r="AK118" s="38"/>
      <c r="AL118" s="38"/>
      <c r="AM118" s="38"/>
      <c r="AN118" s="38"/>
      <c r="AO118" s="38"/>
      <c r="AP118" s="38"/>
      <c r="AQ118" s="38"/>
      <c r="AR118" s="38"/>
      <c r="AS118" s="38"/>
      <c r="AT118" s="38"/>
      <c r="AU118" s="38"/>
      <c r="AV118" s="38"/>
      <c r="AW118" s="38"/>
      <c r="AX118" s="38"/>
      <c r="AY118" s="38"/>
      <c r="AZ118" s="38"/>
      <c r="BA118" s="38"/>
      <c r="BB118" s="38"/>
      <c r="BC118" s="38"/>
    </row>
    <row r="119">
      <c r="A119" s="39" t="s">
        <v>211</v>
      </c>
      <c r="B119" s="40">
        <v>45870.257647245366</v>
      </c>
      <c r="C119" s="41" t="s">
        <v>212</v>
      </c>
      <c r="D119" s="42" t="s">
        <v>213</v>
      </c>
      <c r="E119" s="44" t="s">
        <v>659</v>
      </c>
      <c r="F119" s="43" t="s">
        <v>211</v>
      </c>
      <c r="G119" s="44">
        <v>52.0</v>
      </c>
      <c r="H119" s="44">
        <v>9.0</v>
      </c>
      <c r="I119" s="44">
        <v>8.0</v>
      </c>
      <c r="J119" s="44" t="s">
        <v>660</v>
      </c>
      <c r="K119" s="45"/>
      <c r="L119" s="45"/>
      <c r="M119" s="45"/>
      <c r="N119" s="44">
        <v>8.0</v>
      </c>
      <c r="O119" s="45"/>
      <c r="P119" s="45"/>
      <c r="Q119" s="45"/>
      <c r="R119" s="45"/>
      <c r="S119" s="45"/>
      <c r="T119" s="45"/>
      <c r="U119" s="45"/>
      <c r="V119" s="46" t="s">
        <v>661</v>
      </c>
      <c r="W119" s="44" t="s">
        <v>662</v>
      </c>
      <c r="X119" s="45"/>
      <c r="Y119" s="45"/>
      <c r="Z119" s="41" t="s">
        <v>663</v>
      </c>
      <c r="AA119" s="44">
        <v>2.0</v>
      </c>
      <c r="AB119" s="45"/>
      <c r="AC119" s="44">
        <v>2.0</v>
      </c>
      <c r="AD119" s="47"/>
      <c r="AE119" s="47"/>
      <c r="AF119" s="47"/>
      <c r="AG119" s="47"/>
      <c r="AH119" s="47"/>
      <c r="AI119" s="38"/>
      <c r="AJ119" s="38"/>
      <c r="AK119" s="38"/>
      <c r="AL119" s="38"/>
      <c r="AM119" s="38"/>
      <c r="AN119" s="38"/>
      <c r="AO119" s="38"/>
      <c r="AP119" s="38"/>
      <c r="AQ119" s="38"/>
      <c r="AR119" s="38"/>
      <c r="AS119" s="38"/>
      <c r="AT119" s="38"/>
      <c r="AU119" s="38"/>
      <c r="AV119" s="38"/>
      <c r="AW119" s="38"/>
      <c r="AX119" s="38"/>
      <c r="AY119" s="38"/>
      <c r="AZ119" s="38"/>
      <c r="BA119" s="38"/>
      <c r="BB119" s="38"/>
      <c r="BC119" s="38"/>
    </row>
    <row r="120">
      <c r="A120" s="48" t="s">
        <v>664</v>
      </c>
      <c r="B120" s="30">
        <v>45870.258017615735</v>
      </c>
      <c r="C120" s="31" t="s">
        <v>665</v>
      </c>
      <c r="D120" s="32" t="s">
        <v>666</v>
      </c>
      <c r="E120" s="31" t="s">
        <v>667</v>
      </c>
      <c r="F120" s="33" t="s">
        <v>664</v>
      </c>
      <c r="G120" s="51">
        <v>181.0</v>
      </c>
      <c r="H120" s="31">
        <v>8.0</v>
      </c>
      <c r="I120" s="31">
        <v>5.0</v>
      </c>
      <c r="J120" s="31">
        <v>2.0</v>
      </c>
      <c r="K120" s="34"/>
      <c r="L120" s="34"/>
      <c r="M120" s="34"/>
      <c r="N120" s="31">
        <v>7.0</v>
      </c>
      <c r="O120" s="34"/>
      <c r="P120" s="34"/>
      <c r="Q120" s="34"/>
      <c r="R120" s="34"/>
      <c r="S120" s="34"/>
      <c r="T120" s="34"/>
      <c r="U120" s="34"/>
      <c r="V120" s="35" t="s">
        <v>668</v>
      </c>
      <c r="W120" s="31" t="s">
        <v>669</v>
      </c>
      <c r="X120" s="34"/>
      <c r="Y120" s="34"/>
      <c r="Z120" s="36" t="s">
        <v>109</v>
      </c>
      <c r="AA120" s="31">
        <v>2.0</v>
      </c>
      <c r="AB120" s="34"/>
      <c r="AC120" s="31">
        <v>2.0</v>
      </c>
      <c r="AD120" s="49"/>
      <c r="AE120" s="49"/>
      <c r="AF120" s="49"/>
      <c r="AG120" s="49"/>
      <c r="AH120" s="49"/>
      <c r="AI120" s="38"/>
      <c r="AJ120" s="38"/>
      <c r="AK120" s="38"/>
      <c r="AL120" s="38"/>
      <c r="AM120" s="38"/>
      <c r="AN120" s="38"/>
      <c r="AO120" s="38"/>
      <c r="AP120" s="38"/>
      <c r="AQ120" s="38"/>
      <c r="AR120" s="38"/>
      <c r="AS120" s="38"/>
      <c r="AT120" s="38"/>
      <c r="AU120" s="38"/>
      <c r="AV120" s="38"/>
      <c r="AW120" s="38"/>
      <c r="AX120" s="38"/>
      <c r="AY120" s="38"/>
      <c r="AZ120" s="38"/>
      <c r="BA120" s="38"/>
      <c r="BB120" s="38"/>
      <c r="BC120" s="38"/>
    </row>
    <row r="121">
      <c r="A121" s="39" t="s">
        <v>670</v>
      </c>
      <c r="B121" s="40">
        <v>45870.25808240741</v>
      </c>
      <c r="C121" s="41" t="s">
        <v>671</v>
      </c>
      <c r="D121" s="42" t="s">
        <v>672</v>
      </c>
      <c r="E121" s="41" t="s">
        <v>673</v>
      </c>
      <c r="F121" s="43" t="s">
        <v>670</v>
      </c>
      <c r="G121" s="50">
        <v>188.0</v>
      </c>
      <c r="H121" s="44">
        <v>8.0</v>
      </c>
      <c r="I121" s="44">
        <v>8.0</v>
      </c>
      <c r="J121" s="44">
        <v>1.0</v>
      </c>
      <c r="K121" s="45"/>
      <c r="L121" s="45"/>
      <c r="M121" s="45"/>
      <c r="N121" s="44">
        <v>8.0</v>
      </c>
      <c r="O121" s="45"/>
      <c r="P121" s="45"/>
      <c r="Q121" s="45"/>
      <c r="R121" s="45"/>
      <c r="S121" s="45"/>
      <c r="T121" s="45"/>
      <c r="U121" s="45"/>
      <c r="V121" s="46" t="s">
        <v>674</v>
      </c>
      <c r="W121" s="41" t="s">
        <v>675</v>
      </c>
      <c r="X121" s="45"/>
      <c r="Y121" s="45"/>
      <c r="Z121" s="41" t="s">
        <v>676</v>
      </c>
      <c r="AA121" s="44">
        <v>2.0</v>
      </c>
      <c r="AB121" s="45"/>
      <c r="AC121" s="44">
        <v>2.0</v>
      </c>
      <c r="AD121" s="47"/>
      <c r="AE121" s="47"/>
      <c r="AF121" s="47"/>
      <c r="AG121" s="47"/>
      <c r="AH121" s="47"/>
      <c r="AI121" s="38"/>
      <c r="AJ121" s="38"/>
      <c r="AK121" s="38"/>
      <c r="AL121" s="38"/>
      <c r="AM121" s="38"/>
      <c r="AN121" s="38"/>
      <c r="AO121" s="38"/>
      <c r="AP121" s="38"/>
      <c r="AQ121" s="38"/>
      <c r="AR121" s="38"/>
      <c r="AS121" s="38"/>
      <c r="AT121" s="38"/>
      <c r="AU121" s="38"/>
      <c r="AV121" s="38"/>
      <c r="AW121" s="38"/>
      <c r="AX121" s="38"/>
      <c r="AY121" s="38"/>
      <c r="AZ121" s="38"/>
      <c r="BA121" s="38"/>
      <c r="BB121" s="38"/>
      <c r="BC121" s="38"/>
    </row>
    <row r="122">
      <c r="A122" s="48" t="s">
        <v>186</v>
      </c>
      <c r="B122" s="30">
        <v>45870.258954675926</v>
      </c>
      <c r="C122" s="36" t="s">
        <v>677</v>
      </c>
      <c r="D122" s="32" t="s">
        <v>678</v>
      </c>
      <c r="E122" s="36" t="s">
        <v>679</v>
      </c>
      <c r="F122" s="33" t="s">
        <v>186</v>
      </c>
      <c r="G122" s="31">
        <v>354.0</v>
      </c>
      <c r="H122" s="31">
        <v>9.0</v>
      </c>
      <c r="I122" s="31">
        <v>8.0</v>
      </c>
      <c r="J122" s="31">
        <v>1.0</v>
      </c>
      <c r="K122" s="34"/>
      <c r="L122" s="34"/>
      <c r="M122" s="34"/>
      <c r="N122" s="31">
        <v>9.0</v>
      </c>
      <c r="O122" s="34"/>
      <c r="P122" s="34"/>
      <c r="Q122" s="34"/>
      <c r="R122" s="34"/>
      <c r="S122" s="34"/>
      <c r="T122" s="34"/>
      <c r="U122" s="34"/>
      <c r="V122" s="35" t="s">
        <v>680</v>
      </c>
      <c r="W122" s="34"/>
      <c r="X122" s="34"/>
      <c r="Y122" s="34"/>
      <c r="Z122" s="36" t="s">
        <v>191</v>
      </c>
      <c r="AA122" s="31">
        <v>2.0</v>
      </c>
      <c r="AB122" s="34"/>
      <c r="AC122" s="31">
        <v>2.0</v>
      </c>
      <c r="AD122" s="49"/>
      <c r="AE122" s="49"/>
      <c r="AF122" s="49"/>
      <c r="AG122" s="49"/>
      <c r="AH122" s="49"/>
      <c r="AI122" s="38"/>
      <c r="AJ122" s="38"/>
      <c r="AK122" s="38"/>
      <c r="AL122" s="38"/>
      <c r="AM122" s="38"/>
      <c r="AN122" s="38"/>
      <c r="AO122" s="38"/>
      <c r="AP122" s="38"/>
      <c r="AQ122" s="38"/>
      <c r="AR122" s="38"/>
      <c r="AS122" s="38"/>
      <c r="AT122" s="38"/>
      <c r="AU122" s="38"/>
      <c r="AV122" s="38"/>
      <c r="AW122" s="38"/>
      <c r="AX122" s="38"/>
      <c r="AY122" s="38"/>
      <c r="AZ122" s="38"/>
      <c r="BA122" s="38"/>
      <c r="BB122" s="38"/>
      <c r="BC122" s="38"/>
    </row>
    <row r="123">
      <c r="A123" s="39" t="s">
        <v>192</v>
      </c>
      <c r="B123" s="40">
        <v>45870.259784305556</v>
      </c>
      <c r="C123" s="41" t="s">
        <v>193</v>
      </c>
      <c r="D123" s="42" t="s">
        <v>194</v>
      </c>
      <c r="E123" s="41" t="s">
        <v>195</v>
      </c>
      <c r="F123" s="43" t="s">
        <v>192</v>
      </c>
      <c r="G123" s="50">
        <v>112.0</v>
      </c>
      <c r="H123" s="44">
        <v>6.0</v>
      </c>
      <c r="I123" s="50">
        <v>7.0</v>
      </c>
      <c r="J123" s="44">
        <v>0.0</v>
      </c>
      <c r="K123" s="45"/>
      <c r="L123" s="45"/>
      <c r="M123" s="45"/>
      <c r="N123" s="44">
        <v>8.0</v>
      </c>
      <c r="O123" s="45"/>
      <c r="P123" s="45"/>
      <c r="Q123" s="45"/>
      <c r="R123" s="45"/>
      <c r="S123" s="45"/>
      <c r="T123" s="45"/>
      <c r="U123" s="45"/>
      <c r="V123" s="46" t="s">
        <v>681</v>
      </c>
      <c r="W123" s="41" t="s">
        <v>197</v>
      </c>
      <c r="X123" s="45"/>
      <c r="Y123" s="45"/>
      <c r="Z123" s="41" t="s">
        <v>682</v>
      </c>
      <c r="AA123" s="44">
        <v>2.0</v>
      </c>
      <c r="AB123" s="45"/>
      <c r="AC123" s="44">
        <v>2.0</v>
      </c>
      <c r="AD123" s="47"/>
      <c r="AE123" s="47"/>
      <c r="AF123" s="47"/>
      <c r="AG123" s="47"/>
      <c r="AH123" s="47"/>
      <c r="AI123" s="38"/>
      <c r="AJ123" s="38"/>
      <c r="AK123" s="38"/>
      <c r="AL123" s="38"/>
      <c r="AM123" s="38"/>
      <c r="AN123" s="38"/>
      <c r="AO123" s="38"/>
      <c r="AP123" s="38"/>
      <c r="AQ123" s="38"/>
      <c r="AR123" s="38"/>
      <c r="AS123" s="38"/>
      <c r="AT123" s="38"/>
      <c r="AU123" s="38"/>
      <c r="AV123" s="38"/>
      <c r="AW123" s="38"/>
      <c r="AX123" s="38"/>
      <c r="AY123" s="38"/>
      <c r="AZ123" s="38"/>
      <c r="BA123" s="38"/>
      <c r="BB123" s="38"/>
      <c r="BC123" s="38"/>
    </row>
    <row r="124">
      <c r="A124" s="48" t="s">
        <v>270</v>
      </c>
      <c r="B124" s="30">
        <v>45870.26039107639</v>
      </c>
      <c r="C124" s="36" t="s">
        <v>271</v>
      </c>
      <c r="D124" s="36" t="s">
        <v>272</v>
      </c>
      <c r="E124" s="36" t="s">
        <v>683</v>
      </c>
      <c r="F124" s="33" t="s">
        <v>270</v>
      </c>
      <c r="G124" s="31">
        <v>179.0</v>
      </c>
      <c r="H124" s="31">
        <v>7.0</v>
      </c>
      <c r="I124" s="31">
        <v>7.0</v>
      </c>
      <c r="J124" s="31">
        <v>2.0</v>
      </c>
      <c r="K124" s="34"/>
      <c r="L124" s="34"/>
      <c r="M124" s="34"/>
      <c r="N124" s="31">
        <v>9.0</v>
      </c>
      <c r="O124" s="34"/>
      <c r="P124" s="34"/>
      <c r="Q124" s="34"/>
      <c r="R124" s="34"/>
      <c r="S124" s="34"/>
      <c r="T124" s="34"/>
      <c r="U124" s="34"/>
      <c r="V124" s="35" t="s">
        <v>684</v>
      </c>
      <c r="W124" s="34"/>
      <c r="X124" s="34"/>
      <c r="Y124" s="34"/>
      <c r="Z124" s="36" t="s">
        <v>276</v>
      </c>
      <c r="AA124" s="31">
        <v>2.0</v>
      </c>
      <c r="AB124" s="34"/>
      <c r="AC124" s="31">
        <v>2.0</v>
      </c>
      <c r="AD124" s="49"/>
      <c r="AE124" s="49"/>
      <c r="AF124" s="49"/>
      <c r="AG124" s="49"/>
      <c r="AH124" s="49"/>
      <c r="AI124" s="38"/>
      <c r="AJ124" s="38"/>
      <c r="AK124" s="38"/>
      <c r="AL124" s="38"/>
      <c r="AM124" s="38"/>
      <c r="AN124" s="38"/>
      <c r="AO124" s="38"/>
      <c r="AP124" s="38"/>
      <c r="AQ124" s="38"/>
      <c r="AR124" s="38"/>
      <c r="AS124" s="38"/>
      <c r="AT124" s="38"/>
      <c r="AU124" s="38"/>
      <c r="AV124" s="38"/>
      <c r="AW124" s="38"/>
      <c r="AX124" s="38"/>
      <c r="AY124" s="38"/>
      <c r="AZ124" s="38"/>
      <c r="BA124" s="38"/>
      <c r="BB124" s="38"/>
      <c r="BC124" s="38"/>
    </row>
    <row r="125">
      <c r="A125" s="39" t="s">
        <v>475</v>
      </c>
      <c r="B125" s="40">
        <v>45870.261751087965</v>
      </c>
      <c r="C125" s="41" t="s">
        <v>476</v>
      </c>
      <c r="D125" s="42" t="s">
        <v>477</v>
      </c>
      <c r="E125" s="41" t="s">
        <v>685</v>
      </c>
      <c r="F125" s="43" t="s">
        <v>475</v>
      </c>
      <c r="G125" s="44">
        <v>134.0</v>
      </c>
      <c r="H125" s="44">
        <v>8.0</v>
      </c>
      <c r="I125" s="44">
        <v>8.0</v>
      </c>
      <c r="J125" s="44">
        <v>2.0</v>
      </c>
      <c r="K125" s="45"/>
      <c r="L125" s="45"/>
      <c r="M125" s="45"/>
      <c r="N125" s="44">
        <v>9.0</v>
      </c>
      <c r="O125" s="45"/>
      <c r="P125" s="45"/>
      <c r="Q125" s="45"/>
      <c r="R125" s="45"/>
      <c r="S125" s="45"/>
      <c r="T125" s="45"/>
      <c r="U125" s="45"/>
      <c r="V125" s="46" t="s">
        <v>686</v>
      </c>
      <c r="W125" s="41" t="s">
        <v>453</v>
      </c>
      <c r="X125" s="45"/>
      <c r="Y125" s="45"/>
      <c r="Z125" s="41" t="s">
        <v>480</v>
      </c>
      <c r="AA125" s="44">
        <v>2.0</v>
      </c>
      <c r="AB125" s="45"/>
      <c r="AC125" s="44">
        <v>2.0</v>
      </c>
      <c r="AD125" s="47"/>
      <c r="AE125" s="47"/>
      <c r="AF125" s="47"/>
      <c r="AG125" s="47"/>
      <c r="AH125" s="47"/>
      <c r="AI125" s="38"/>
      <c r="AJ125" s="38"/>
      <c r="AK125" s="38"/>
      <c r="AL125" s="38"/>
      <c r="AM125" s="38"/>
      <c r="AN125" s="38"/>
      <c r="AO125" s="38"/>
      <c r="AP125" s="38"/>
      <c r="AQ125" s="38"/>
      <c r="AR125" s="38"/>
      <c r="AS125" s="38"/>
      <c r="AT125" s="38"/>
      <c r="AU125" s="38"/>
      <c r="AV125" s="38"/>
      <c r="AW125" s="38"/>
      <c r="AX125" s="38"/>
      <c r="AY125" s="38"/>
      <c r="AZ125" s="38"/>
      <c r="BA125" s="38"/>
      <c r="BB125" s="38"/>
      <c r="BC125" s="38"/>
    </row>
    <row r="126">
      <c r="A126" s="48" t="s">
        <v>687</v>
      </c>
      <c r="B126" s="30">
        <v>45870.262849328705</v>
      </c>
      <c r="C126" s="36" t="s">
        <v>688</v>
      </c>
      <c r="D126" s="32" t="s">
        <v>689</v>
      </c>
      <c r="E126" s="31" t="s">
        <v>690</v>
      </c>
      <c r="F126" s="33" t="s">
        <v>687</v>
      </c>
      <c r="G126" s="31">
        <v>200.0</v>
      </c>
      <c r="H126" s="31">
        <v>9.0</v>
      </c>
      <c r="I126" s="31">
        <v>8.0</v>
      </c>
      <c r="J126" s="31">
        <v>2.0</v>
      </c>
      <c r="K126" s="34"/>
      <c r="L126" s="34"/>
      <c r="M126" s="34"/>
      <c r="N126" s="31">
        <v>8.0</v>
      </c>
      <c r="O126" s="34"/>
      <c r="P126" s="34"/>
      <c r="Q126" s="34"/>
      <c r="R126" s="34"/>
      <c r="S126" s="34"/>
      <c r="T126" s="34"/>
      <c r="U126" s="34"/>
      <c r="V126" s="35" t="s">
        <v>691</v>
      </c>
      <c r="W126" s="36" t="s">
        <v>692</v>
      </c>
      <c r="X126" s="34"/>
      <c r="Y126" s="34"/>
      <c r="Z126" s="36" t="s">
        <v>693</v>
      </c>
      <c r="AA126" s="31">
        <v>2.0</v>
      </c>
      <c r="AB126" s="34"/>
      <c r="AC126" s="31">
        <v>2.0</v>
      </c>
      <c r="AD126" s="49"/>
      <c r="AE126" s="49"/>
      <c r="AF126" s="49"/>
      <c r="AG126" s="49"/>
      <c r="AH126" s="49"/>
      <c r="AI126" s="38"/>
      <c r="AJ126" s="38"/>
      <c r="AK126" s="38"/>
      <c r="AL126" s="38"/>
      <c r="AM126" s="38"/>
      <c r="AN126" s="38"/>
      <c r="AO126" s="38"/>
      <c r="AP126" s="38"/>
      <c r="AQ126" s="38"/>
      <c r="AR126" s="38"/>
      <c r="AS126" s="38"/>
      <c r="AT126" s="38"/>
      <c r="AU126" s="38"/>
      <c r="AV126" s="38"/>
      <c r="AW126" s="38"/>
      <c r="AX126" s="38"/>
      <c r="AY126" s="38"/>
      <c r="AZ126" s="38"/>
      <c r="BA126" s="38"/>
      <c r="BB126" s="38"/>
      <c r="BC126" s="38"/>
    </row>
    <row r="127">
      <c r="A127" s="39" t="s">
        <v>233</v>
      </c>
      <c r="B127" s="40">
        <v>45870.267287731476</v>
      </c>
      <c r="C127" s="41" t="s">
        <v>234</v>
      </c>
      <c r="D127" s="44">
        <v>3.017908088E9</v>
      </c>
      <c r="E127" s="41" t="s">
        <v>235</v>
      </c>
      <c r="F127" s="43" t="s">
        <v>233</v>
      </c>
      <c r="G127" s="44">
        <v>92.0</v>
      </c>
      <c r="H127" s="44">
        <v>9.0</v>
      </c>
      <c r="I127" s="44">
        <v>9.0</v>
      </c>
      <c r="J127" s="44">
        <v>1.0</v>
      </c>
      <c r="K127" s="45"/>
      <c r="L127" s="45"/>
      <c r="M127" s="45"/>
      <c r="N127" s="44">
        <v>4.0</v>
      </c>
      <c r="O127" s="45"/>
      <c r="P127" s="45"/>
      <c r="Q127" s="45"/>
      <c r="R127" s="45"/>
      <c r="S127" s="45"/>
      <c r="T127" s="45"/>
      <c r="U127" s="45"/>
      <c r="V127" s="46" t="s">
        <v>694</v>
      </c>
      <c r="W127" s="45"/>
      <c r="X127" s="45"/>
      <c r="Y127" s="45"/>
      <c r="Z127" s="41" t="s">
        <v>237</v>
      </c>
      <c r="AA127" s="44">
        <v>2.0</v>
      </c>
      <c r="AB127" s="45"/>
      <c r="AC127" s="44">
        <v>2.0</v>
      </c>
      <c r="AD127" s="47"/>
      <c r="AE127" s="47"/>
      <c r="AF127" s="47"/>
      <c r="AG127" s="47"/>
      <c r="AH127" s="47"/>
      <c r="AI127" s="38"/>
      <c r="AJ127" s="38"/>
      <c r="AK127" s="38"/>
      <c r="AL127" s="38"/>
      <c r="AM127" s="38"/>
      <c r="AN127" s="38"/>
      <c r="AO127" s="38"/>
      <c r="AP127" s="38"/>
      <c r="AQ127" s="38"/>
      <c r="AR127" s="38"/>
      <c r="AS127" s="38"/>
      <c r="AT127" s="38"/>
      <c r="AU127" s="38"/>
      <c r="AV127" s="38"/>
      <c r="AW127" s="38"/>
      <c r="AX127" s="38"/>
      <c r="AY127" s="38"/>
      <c r="AZ127" s="38"/>
      <c r="BA127" s="38"/>
      <c r="BB127" s="38"/>
      <c r="BC127" s="38"/>
    </row>
    <row r="128">
      <c r="A128" s="48" t="s">
        <v>695</v>
      </c>
      <c r="B128" s="30">
        <v>45870.269029641204</v>
      </c>
      <c r="C128" s="36" t="s">
        <v>696</v>
      </c>
      <c r="D128" s="32" t="s">
        <v>697</v>
      </c>
      <c r="E128" s="36" t="s">
        <v>698</v>
      </c>
      <c r="F128" s="33" t="s">
        <v>695</v>
      </c>
      <c r="G128" s="31">
        <v>1180.0</v>
      </c>
      <c r="H128" s="31">
        <v>7.0</v>
      </c>
      <c r="I128" s="31">
        <v>9.0</v>
      </c>
      <c r="J128" s="31">
        <v>1.0</v>
      </c>
      <c r="K128" s="34"/>
      <c r="L128" s="34"/>
      <c r="M128" s="34"/>
      <c r="N128" s="31">
        <v>9.0</v>
      </c>
      <c r="O128" s="34"/>
      <c r="P128" s="34"/>
      <c r="Q128" s="34"/>
      <c r="R128" s="34"/>
      <c r="S128" s="34"/>
      <c r="T128" s="34"/>
      <c r="U128" s="34"/>
      <c r="V128" s="35" t="s">
        <v>699</v>
      </c>
      <c r="W128" s="36" t="s">
        <v>197</v>
      </c>
      <c r="X128" s="34"/>
      <c r="Y128" s="34"/>
      <c r="Z128" s="36" t="s">
        <v>700</v>
      </c>
      <c r="AA128" s="31">
        <v>2.0</v>
      </c>
      <c r="AB128" s="34"/>
      <c r="AC128" s="31">
        <v>2.0</v>
      </c>
      <c r="AD128" s="49"/>
      <c r="AE128" s="49"/>
      <c r="AF128" s="49"/>
      <c r="AG128" s="49"/>
      <c r="AH128" s="49"/>
      <c r="AI128" s="38"/>
      <c r="AJ128" s="38"/>
      <c r="AK128" s="38"/>
      <c r="AL128" s="38"/>
      <c r="AM128" s="38"/>
      <c r="AN128" s="38"/>
      <c r="AO128" s="38"/>
      <c r="AP128" s="38"/>
      <c r="AQ128" s="38"/>
      <c r="AR128" s="38"/>
      <c r="AS128" s="38"/>
      <c r="AT128" s="38"/>
      <c r="AU128" s="38"/>
      <c r="AV128" s="38"/>
      <c r="AW128" s="38"/>
      <c r="AX128" s="38"/>
      <c r="AY128" s="38"/>
      <c r="AZ128" s="38"/>
      <c r="BA128" s="38"/>
      <c r="BB128" s="38"/>
      <c r="BC128" s="38"/>
    </row>
    <row r="129">
      <c r="A129" s="39" t="s">
        <v>251</v>
      </c>
      <c r="B129" s="40">
        <v>45870.26975959491</v>
      </c>
      <c r="C129" s="41" t="s">
        <v>701</v>
      </c>
      <c r="D129" s="42" t="s">
        <v>253</v>
      </c>
      <c r="E129" s="41" t="s">
        <v>702</v>
      </c>
      <c r="F129" s="43" t="s">
        <v>251</v>
      </c>
      <c r="G129" s="44">
        <v>173.0</v>
      </c>
      <c r="H129" s="44">
        <v>8.0</v>
      </c>
      <c r="I129" s="44">
        <v>8.0</v>
      </c>
      <c r="J129" s="41" t="s">
        <v>197</v>
      </c>
      <c r="K129" s="45"/>
      <c r="L129" s="45"/>
      <c r="M129" s="45"/>
      <c r="N129" s="44">
        <v>9.0</v>
      </c>
      <c r="O129" s="45"/>
      <c r="P129" s="45"/>
      <c r="Q129" s="45"/>
      <c r="R129" s="45"/>
      <c r="S129" s="45"/>
      <c r="T129" s="45"/>
      <c r="U129" s="45"/>
      <c r="V129" s="46" t="s">
        <v>703</v>
      </c>
      <c r="W129" s="45"/>
      <c r="X129" s="45"/>
      <c r="Y129" s="45"/>
      <c r="Z129" s="41" t="s">
        <v>257</v>
      </c>
      <c r="AA129" s="44">
        <v>2.0</v>
      </c>
      <c r="AB129" s="45"/>
      <c r="AC129" s="44">
        <v>2.0</v>
      </c>
      <c r="AD129" s="47"/>
      <c r="AE129" s="47"/>
      <c r="AF129" s="47"/>
      <c r="AG129" s="47"/>
      <c r="AH129" s="47"/>
      <c r="AI129" s="38"/>
      <c r="AJ129" s="38"/>
      <c r="AK129" s="38"/>
      <c r="AL129" s="38"/>
      <c r="AM129" s="38"/>
      <c r="AN129" s="38"/>
      <c r="AO129" s="38"/>
      <c r="AP129" s="38"/>
      <c r="AQ129" s="38"/>
      <c r="AR129" s="38"/>
      <c r="AS129" s="38"/>
      <c r="AT129" s="38"/>
      <c r="AU129" s="38"/>
      <c r="AV129" s="38"/>
      <c r="AW129" s="38"/>
      <c r="AX129" s="38"/>
      <c r="AY129" s="38"/>
      <c r="AZ129" s="38"/>
      <c r="BA129" s="38"/>
      <c r="BB129" s="38"/>
      <c r="BC129" s="38"/>
    </row>
    <row r="130">
      <c r="A130" s="48" t="s">
        <v>95</v>
      </c>
      <c r="B130" s="30">
        <v>45870.269874618054</v>
      </c>
      <c r="C130" s="36" t="s">
        <v>96</v>
      </c>
      <c r="D130" s="36" t="s">
        <v>704</v>
      </c>
      <c r="E130" s="36" t="s">
        <v>705</v>
      </c>
      <c r="F130" s="33" t="s">
        <v>95</v>
      </c>
      <c r="G130" s="31">
        <v>307.0</v>
      </c>
      <c r="H130" s="31">
        <v>8.0</v>
      </c>
      <c r="I130" s="31">
        <v>7.0</v>
      </c>
      <c r="J130" s="31">
        <v>2.0</v>
      </c>
      <c r="K130" s="34"/>
      <c r="L130" s="34"/>
      <c r="M130" s="34"/>
      <c r="N130" s="31">
        <v>8.0</v>
      </c>
      <c r="O130" s="34"/>
      <c r="P130" s="34"/>
      <c r="Q130" s="34"/>
      <c r="R130" s="34"/>
      <c r="S130" s="34"/>
      <c r="T130" s="34"/>
      <c r="U130" s="34"/>
      <c r="V130" s="35" t="s">
        <v>706</v>
      </c>
      <c r="W130" s="36" t="s">
        <v>707</v>
      </c>
      <c r="X130" s="34"/>
      <c r="Y130" s="34"/>
      <c r="Z130" s="36" t="s">
        <v>102</v>
      </c>
      <c r="AA130" s="31">
        <v>2.0</v>
      </c>
      <c r="AB130" s="34"/>
      <c r="AC130" s="31">
        <v>2.0</v>
      </c>
      <c r="AD130" s="49"/>
      <c r="AE130" s="49"/>
      <c r="AF130" s="49"/>
      <c r="AG130" s="49"/>
      <c r="AH130" s="49"/>
      <c r="AI130" s="38"/>
      <c r="AJ130" s="38"/>
      <c r="AK130" s="38"/>
      <c r="AL130" s="38"/>
      <c r="AM130" s="38"/>
      <c r="AN130" s="38"/>
      <c r="AO130" s="38"/>
      <c r="AP130" s="38"/>
      <c r="AQ130" s="38"/>
      <c r="AR130" s="38"/>
      <c r="AS130" s="38"/>
      <c r="AT130" s="38"/>
      <c r="AU130" s="38"/>
      <c r="AV130" s="38"/>
      <c r="AW130" s="38"/>
      <c r="AX130" s="38"/>
      <c r="AY130" s="38"/>
      <c r="AZ130" s="38"/>
      <c r="BA130" s="38"/>
      <c r="BB130" s="38"/>
      <c r="BC130" s="38"/>
    </row>
    <row r="131">
      <c r="A131" s="39" t="s">
        <v>199</v>
      </c>
      <c r="B131" s="40">
        <v>45870.27002945602</v>
      </c>
      <c r="C131" s="41" t="s">
        <v>708</v>
      </c>
      <c r="D131" s="42" t="s">
        <v>201</v>
      </c>
      <c r="E131" s="41" t="s">
        <v>709</v>
      </c>
      <c r="F131" s="43" t="s">
        <v>199</v>
      </c>
      <c r="G131" s="44">
        <v>160.0</v>
      </c>
      <c r="H131" s="44">
        <v>8.0</v>
      </c>
      <c r="I131" s="44">
        <v>8.0</v>
      </c>
      <c r="J131" s="50">
        <v>2.0</v>
      </c>
      <c r="K131" s="45"/>
      <c r="L131" s="45"/>
      <c r="M131" s="45"/>
      <c r="N131" s="44">
        <v>10.0</v>
      </c>
      <c r="O131" s="45"/>
      <c r="P131" s="45"/>
      <c r="Q131" s="45"/>
      <c r="R131" s="45"/>
      <c r="S131" s="45"/>
      <c r="T131" s="45"/>
      <c r="U131" s="45"/>
      <c r="V131" s="46" t="s">
        <v>710</v>
      </c>
      <c r="W131" s="41" t="s">
        <v>275</v>
      </c>
      <c r="X131" s="45"/>
      <c r="Y131" s="45"/>
      <c r="Z131" s="41" t="s">
        <v>204</v>
      </c>
      <c r="AA131" s="44">
        <v>2.0</v>
      </c>
      <c r="AB131" s="45"/>
      <c r="AC131" s="44">
        <v>2.0</v>
      </c>
      <c r="AD131" s="47"/>
      <c r="AE131" s="47"/>
      <c r="AF131" s="47"/>
      <c r="AG131" s="47"/>
      <c r="AH131" s="47"/>
      <c r="AI131" s="38"/>
      <c r="AJ131" s="38"/>
      <c r="AK131" s="38"/>
      <c r="AL131" s="38"/>
      <c r="AM131" s="38"/>
      <c r="AN131" s="38"/>
      <c r="AO131" s="38"/>
      <c r="AP131" s="38"/>
      <c r="AQ131" s="38"/>
      <c r="AR131" s="38"/>
      <c r="AS131" s="38"/>
      <c r="AT131" s="38"/>
      <c r="AU131" s="38"/>
      <c r="AV131" s="38"/>
      <c r="AW131" s="38"/>
      <c r="AX131" s="38"/>
      <c r="AY131" s="38"/>
      <c r="AZ131" s="38"/>
      <c r="BA131" s="38"/>
      <c r="BB131" s="38"/>
      <c r="BC131" s="38"/>
    </row>
    <row r="132">
      <c r="A132" s="48" t="s">
        <v>711</v>
      </c>
      <c r="B132" s="30">
        <v>45870.27124289352</v>
      </c>
      <c r="C132" s="36" t="s">
        <v>296</v>
      </c>
      <c r="D132" s="32" t="s">
        <v>712</v>
      </c>
      <c r="E132" s="36" t="s">
        <v>713</v>
      </c>
      <c r="F132" s="33" t="s">
        <v>711</v>
      </c>
      <c r="G132" s="51">
        <v>889.0</v>
      </c>
      <c r="H132" s="31">
        <v>8.0</v>
      </c>
      <c r="I132" s="31">
        <v>7.0</v>
      </c>
      <c r="J132" s="31">
        <v>2.0</v>
      </c>
      <c r="K132" s="34"/>
      <c r="L132" s="34"/>
      <c r="M132" s="34"/>
      <c r="N132" s="31">
        <v>10.0</v>
      </c>
      <c r="O132" s="34"/>
      <c r="P132" s="34"/>
      <c r="Q132" s="34"/>
      <c r="R132" s="34"/>
      <c r="S132" s="34"/>
      <c r="T132" s="34"/>
      <c r="U132" s="34"/>
      <c r="V132" s="35" t="s">
        <v>714</v>
      </c>
      <c r="W132" s="36" t="s">
        <v>197</v>
      </c>
      <c r="X132" s="34"/>
      <c r="Y132" s="34"/>
      <c r="Z132" s="36" t="s">
        <v>700</v>
      </c>
      <c r="AA132" s="31">
        <v>2.0</v>
      </c>
      <c r="AB132" s="34"/>
      <c r="AC132" s="31">
        <v>2.0</v>
      </c>
      <c r="AD132" s="49"/>
      <c r="AE132" s="49"/>
      <c r="AF132" s="49"/>
      <c r="AG132" s="49"/>
      <c r="AH132" s="49"/>
      <c r="AI132" s="38"/>
      <c r="AJ132" s="38"/>
      <c r="AK132" s="38"/>
      <c r="AL132" s="38"/>
      <c r="AM132" s="38"/>
      <c r="AN132" s="38"/>
      <c r="AO132" s="38"/>
      <c r="AP132" s="38"/>
      <c r="AQ132" s="38"/>
      <c r="AR132" s="38"/>
      <c r="AS132" s="38"/>
      <c r="AT132" s="38"/>
      <c r="AU132" s="38"/>
      <c r="AV132" s="38"/>
      <c r="AW132" s="38"/>
      <c r="AX132" s="38"/>
      <c r="AY132" s="38"/>
      <c r="AZ132" s="38"/>
      <c r="BA132" s="38"/>
      <c r="BB132" s="38"/>
      <c r="BC132" s="38"/>
    </row>
    <row r="133">
      <c r="A133" s="39" t="s">
        <v>219</v>
      </c>
      <c r="B133" s="40">
        <v>45870.27156340278</v>
      </c>
      <c r="C133" s="41" t="s">
        <v>220</v>
      </c>
      <c r="D133" s="41" t="s">
        <v>221</v>
      </c>
      <c r="E133" s="41" t="s">
        <v>715</v>
      </c>
      <c r="F133" s="43" t="s">
        <v>219</v>
      </c>
      <c r="G133" s="44">
        <v>181.0</v>
      </c>
      <c r="H133" s="44">
        <v>9.0</v>
      </c>
      <c r="I133" s="44">
        <v>7.0</v>
      </c>
      <c r="J133" s="44">
        <v>1.0</v>
      </c>
      <c r="K133" s="45"/>
      <c r="L133" s="45"/>
      <c r="M133" s="45"/>
      <c r="N133" s="44">
        <v>9.0</v>
      </c>
      <c r="O133" s="45"/>
      <c r="P133" s="45"/>
      <c r="Q133" s="45"/>
      <c r="R133" s="45"/>
      <c r="S133" s="45"/>
      <c r="T133" s="45"/>
      <c r="U133" s="45"/>
      <c r="V133" s="46" t="s">
        <v>716</v>
      </c>
      <c r="W133" s="41" t="s">
        <v>197</v>
      </c>
      <c r="X133" s="45"/>
      <c r="Y133" s="45"/>
      <c r="Z133" s="41" t="s">
        <v>225</v>
      </c>
      <c r="AA133" s="44">
        <v>2.0</v>
      </c>
      <c r="AB133" s="45"/>
      <c r="AC133" s="44">
        <v>2.0</v>
      </c>
      <c r="AD133" s="47"/>
      <c r="AE133" s="47"/>
      <c r="AF133" s="47"/>
      <c r="AG133" s="47"/>
      <c r="AH133" s="47"/>
      <c r="AI133" s="38"/>
      <c r="AJ133" s="38"/>
      <c r="AK133" s="38"/>
      <c r="AL133" s="38"/>
      <c r="AM133" s="38"/>
      <c r="AN133" s="38"/>
      <c r="AO133" s="38"/>
      <c r="AP133" s="38"/>
      <c r="AQ133" s="38"/>
      <c r="AR133" s="38"/>
      <c r="AS133" s="38"/>
      <c r="AT133" s="38"/>
      <c r="AU133" s="38"/>
      <c r="AV133" s="38"/>
      <c r="AW133" s="38"/>
      <c r="AX133" s="38"/>
      <c r="AY133" s="38"/>
      <c r="AZ133" s="38"/>
      <c r="BA133" s="38"/>
      <c r="BB133" s="38"/>
      <c r="BC133" s="38"/>
    </row>
    <row r="134">
      <c r="A134" s="48" t="s">
        <v>717</v>
      </c>
      <c r="B134" s="30">
        <v>45870.2720927662</v>
      </c>
      <c r="C134" s="36" t="s">
        <v>174</v>
      </c>
      <c r="D134" s="32" t="s">
        <v>175</v>
      </c>
      <c r="E134" s="36" t="s">
        <v>718</v>
      </c>
      <c r="F134" s="33" t="s">
        <v>717</v>
      </c>
      <c r="G134" s="51">
        <v>305.0</v>
      </c>
      <c r="H134" s="51">
        <v>4.0</v>
      </c>
      <c r="I134" s="31">
        <v>5.0</v>
      </c>
      <c r="J134" s="31">
        <v>10.0</v>
      </c>
      <c r="K134" s="34"/>
      <c r="L134" s="34"/>
      <c r="M134" s="34"/>
      <c r="N134" s="31">
        <v>5.0</v>
      </c>
      <c r="O134" s="34"/>
      <c r="P134" s="34"/>
      <c r="Q134" s="34"/>
      <c r="R134" s="34"/>
      <c r="S134" s="34"/>
      <c r="T134" s="34"/>
      <c r="U134" s="34"/>
      <c r="V134" s="35" t="s">
        <v>719</v>
      </c>
      <c r="W134" s="36" t="s">
        <v>453</v>
      </c>
      <c r="X134" s="34"/>
      <c r="Y134" s="34"/>
      <c r="Z134" s="36" t="s">
        <v>179</v>
      </c>
      <c r="AA134" s="31">
        <v>2.0</v>
      </c>
      <c r="AB134" s="34"/>
      <c r="AC134" s="31">
        <v>2.0</v>
      </c>
      <c r="AD134" s="49"/>
      <c r="AE134" s="49"/>
      <c r="AF134" s="49"/>
      <c r="AG134" s="49"/>
      <c r="AH134" s="49"/>
      <c r="AI134" s="38"/>
      <c r="AJ134" s="38"/>
      <c r="AK134" s="38"/>
      <c r="AL134" s="38"/>
      <c r="AM134" s="38"/>
      <c r="AN134" s="38"/>
      <c r="AO134" s="38"/>
      <c r="AP134" s="38"/>
      <c r="AQ134" s="38"/>
      <c r="AR134" s="38"/>
      <c r="AS134" s="38"/>
      <c r="AT134" s="38"/>
      <c r="AU134" s="38"/>
      <c r="AV134" s="38"/>
      <c r="AW134" s="38"/>
      <c r="AX134" s="38"/>
      <c r="AY134" s="38"/>
      <c r="AZ134" s="38"/>
      <c r="BA134" s="38"/>
      <c r="BB134" s="38"/>
      <c r="BC134" s="38"/>
    </row>
    <row r="135">
      <c r="A135" s="39" t="s">
        <v>720</v>
      </c>
      <c r="B135" s="40">
        <v>45870.27540052083</v>
      </c>
      <c r="C135" s="41" t="s">
        <v>411</v>
      </c>
      <c r="D135" s="41" t="s">
        <v>721</v>
      </c>
      <c r="E135" s="41" t="s">
        <v>722</v>
      </c>
      <c r="F135" s="43" t="s">
        <v>720</v>
      </c>
      <c r="G135" s="44">
        <v>344.0</v>
      </c>
      <c r="H135" s="44">
        <v>8.0</v>
      </c>
      <c r="I135" s="44">
        <v>8.0</v>
      </c>
      <c r="J135" s="44">
        <v>4.0</v>
      </c>
      <c r="K135" s="45"/>
      <c r="L135" s="45"/>
      <c r="M135" s="45"/>
      <c r="N135" s="44">
        <v>8.0</v>
      </c>
      <c r="O135" s="45"/>
      <c r="P135" s="45"/>
      <c r="Q135" s="45"/>
      <c r="R135" s="45"/>
      <c r="S135" s="45"/>
      <c r="T135" s="45"/>
      <c r="U135" s="45"/>
      <c r="V135" s="46" t="s">
        <v>723</v>
      </c>
      <c r="W135" s="45"/>
      <c r="X135" s="45"/>
      <c r="Y135" s="45"/>
      <c r="Z135" s="41" t="s">
        <v>415</v>
      </c>
      <c r="AA135" s="44">
        <v>2.0</v>
      </c>
      <c r="AB135" s="45"/>
      <c r="AC135" s="44">
        <v>2.0</v>
      </c>
      <c r="AD135" s="47"/>
      <c r="AE135" s="47"/>
      <c r="AF135" s="47"/>
      <c r="AG135" s="47"/>
      <c r="AH135" s="47"/>
      <c r="AI135" s="38"/>
      <c r="AJ135" s="38"/>
      <c r="AK135" s="38"/>
      <c r="AL135" s="38"/>
      <c r="AM135" s="38"/>
      <c r="AN135" s="38"/>
      <c r="AO135" s="38"/>
      <c r="AP135" s="38"/>
      <c r="AQ135" s="38"/>
      <c r="AR135" s="38"/>
      <c r="AS135" s="38"/>
      <c r="AT135" s="38"/>
      <c r="AU135" s="38"/>
      <c r="AV135" s="38"/>
      <c r="AW135" s="38"/>
      <c r="AX135" s="38"/>
      <c r="AY135" s="38"/>
      <c r="AZ135" s="38"/>
      <c r="BA135" s="38"/>
      <c r="BB135" s="38"/>
      <c r="BC135" s="38"/>
    </row>
    <row r="136">
      <c r="A136" s="48" t="s">
        <v>469</v>
      </c>
      <c r="B136" s="30">
        <v>45870.27919785879</v>
      </c>
      <c r="C136" s="36" t="s">
        <v>470</v>
      </c>
      <c r="D136" s="32" t="s">
        <v>471</v>
      </c>
      <c r="E136" s="36" t="s">
        <v>724</v>
      </c>
      <c r="F136" s="33" t="s">
        <v>469</v>
      </c>
      <c r="G136" s="31">
        <v>361.0</v>
      </c>
      <c r="H136" s="31">
        <v>8.0</v>
      </c>
      <c r="I136" s="51">
        <v>5.0</v>
      </c>
      <c r="J136" s="55">
        <v>5.0</v>
      </c>
      <c r="K136" s="34"/>
      <c r="L136" s="34"/>
      <c r="M136" s="34"/>
      <c r="N136" s="31">
        <v>9.0</v>
      </c>
      <c r="O136" s="34"/>
      <c r="P136" s="34"/>
      <c r="Q136" s="34"/>
      <c r="R136" s="34"/>
      <c r="S136" s="34"/>
      <c r="T136" s="34"/>
      <c r="U136" s="34"/>
      <c r="V136" s="35" t="s">
        <v>725</v>
      </c>
      <c r="W136" s="34"/>
      <c r="X136" s="34"/>
      <c r="Y136" s="34"/>
      <c r="Z136" s="36" t="s">
        <v>474</v>
      </c>
      <c r="AA136" s="31">
        <v>2.0</v>
      </c>
      <c r="AB136" s="34"/>
      <c r="AC136" s="31">
        <v>2.0</v>
      </c>
      <c r="AD136" s="49"/>
      <c r="AE136" s="49"/>
      <c r="AF136" s="49"/>
      <c r="AG136" s="49"/>
      <c r="AH136" s="49"/>
      <c r="AI136" s="38"/>
      <c r="AJ136" s="38"/>
      <c r="AK136" s="38"/>
      <c r="AL136" s="38"/>
      <c r="AM136" s="38"/>
      <c r="AN136" s="38"/>
      <c r="AO136" s="38"/>
      <c r="AP136" s="38"/>
      <c r="AQ136" s="38"/>
      <c r="AR136" s="38"/>
      <c r="AS136" s="38"/>
      <c r="AT136" s="38"/>
      <c r="AU136" s="38"/>
      <c r="AV136" s="38"/>
      <c r="AW136" s="38"/>
      <c r="AX136" s="38"/>
      <c r="AY136" s="38"/>
      <c r="AZ136" s="38"/>
      <c r="BA136" s="38"/>
      <c r="BB136" s="38"/>
      <c r="BC136" s="38"/>
    </row>
    <row r="137">
      <c r="A137" s="39" t="s">
        <v>726</v>
      </c>
      <c r="B137" s="40">
        <v>45870.2802599537</v>
      </c>
      <c r="C137" s="41" t="s">
        <v>727</v>
      </c>
      <c r="D137" s="42" t="s">
        <v>580</v>
      </c>
      <c r="E137" s="41" t="s">
        <v>728</v>
      </c>
      <c r="F137" s="43" t="s">
        <v>726</v>
      </c>
      <c r="G137" s="44">
        <v>85.0</v>
      </c>
      <c r="H137" s="44">
        <v>3.0</v>
      </c>
      <c r="I137" s="44">
        <v>6.0</v>
      </c>
      <c r="J137" s="44">
        <v>4.0</v>
      </c>
      <c r="K137" s="45"/>
      <c r="L137" s="45"/>
      <c r="M137" s="45"/>
      <c r="N137" s="44">
        <v>4.0</v>
      </c>
      <c r="O137" s="45"/>
      <c r="P137" s="45"/>
      <c r="Q137" s="45"/>
      <c r="R137" s="45"/>
      <c r="S137" s="45"/>
      <c r="T137" s="45"/>
      <c r="U137" s="45"/>
      <c r="V137" s="46" t="s">
        <v>729</v>
      </c>
      <c r="W137" s="41" t="s">
        <v>730</v>
      </c>
      <c r="X137" s="45"/>
      <c r="Y137" s="45"/>
      <c r="Z137" s="41" t="s">
        <v>731</v>
      </c>
      <c r="AA137" s="44">
        <v>2.0</v>
      </c>
      <c r="AB137" s="45"/>
      <c r="AC137" s="44">
        <v>2.0</v>
      </c>
      <c r="AD137" s="47"/>
      <c r="AE137" s="47"/>
      <c r="AF137" s="47"/>
      <c r="AG137" s="47"/>
      <c r="AH137" s="47"/>
      <c r="AI137" s="38"/>
      <c r="AJ137" s="38"/>
      <c r="AK137" s="38"/>
      <c r="AL137" s="38"/>
      <c r="AM137" s="38"/>
      <c r="AN137" s="38"/>
      <c r="AO137" s="38"/>
      <c r="AP137" s="38"/>
      <c r="AQ137" s="38"/>
      <c r="AR137" s="38"/>
      <c r="AS137" s="38"/>
      <c r="AT137" s="38"/>
      <c r="AU137" s="38"/>
      <c r="AV137" s="38"/>
      <c r="AW137" s="38"/>
      <c r="AX137" s="38"/>
      <c r="AY137" s="38"/>
      <c r="AZ137" s="38"/>
      <c r="BA137" s="38"/>
      <c r="BB137" s="38"/>
      <c r="BC137" s="38"/>
    </row>
    <row r="138">
      <c r="A138" s="48" t="s">
        <v>371</v>
      </c>
      <c r="B138" s="30">
        <v>45870.280418194445</v>
      </c>
      <c r="C138" s="36" t="s">
        <v>732</v>
      </c>
      <c r="D138" s="32" t="s">
        <v>373</v>
      </c>
      <c r="E138" s="36" t="s">
        <v>733</v>
      </c>
      <c r="F138" s="33" t="s">
        <v>371</v>
      </c>
      <c r="G138" s="31">
        <v>415.0</v>
      </c>
      <c r="H138" s="31">
        <v>9.0</v>
      </c>
      <c r="I138" s="31">
        <v>8.0</v>
      </c>
      <c r="J138" s="31">
        <v>2.0</v>
      </c>
      <c r="K138" s="34"/>
      <c r="L138" s="34"/>
      <c r="M138" s="34"/>
      <c r="N138" s="31">
        <v>3.0</v>
      </c>
      <c r="O138" s="34"/>
      <c r="P138" s="34"/>
      <c r="Q138" s="34"/>
      <c r="R138" s="34"/>
      <c r="S138" s="34"/>
      <c r="T138" s="34"/>
      <c r="U138" s="34"/>
      <c r="V138" s="35" t="s">
        <v>734</v>
      </c>
      <c r="W138" s="34"/>
      <c r="X138" s="34"/>
      <c r="Y138" s="34"/>
      <c r="Z138" s="36" t="s">
        <v>376</v>
      </c>
      <c r="AA138" s="31">
        <v>2.0</v>
      </c>
      <c r="AB138" s="34"/>
      <c r="AC138" s="31">
        <v>2.0</v>
      </c>
      <c r="AD138" s="49"/>
      <c r="AE138" s="49"/>
      <c r="AF138" s="49"/>
      <c r="AG138" s="49"/>
      <c r="AH138" s="49"/>
      <c r="AI138" s="38"/>
      <c r="AJ138" s="38"/>
      <c r="AK138" s="38"/>
      <c r="AL138" s="38"/>
      <c r="AM138" s="38"/>
      <c r="AN138" s="38"/>
      <c r="AO138" s="38"/>
      <c r="AP138" s="38"/>
      <c r="AQ138" s="38"/>
      <c r="AR138" s="38"/>
      <c r="AS138" s="38"/>
      <c r="AT138" s="38"/>
      <c r="AU138" s="38"/>
      <c r="AV138" s="38"/>
      <c r="AW138" s="38"/>
      <c r="AX138" s="38"/>
      <c r="AY138" s="38"/>
      <c r="AZ138" s="38"/>
      <c r="BA138" s="38"/>
      <c r="BB138" s="38"/>
      <c r="BC138" s="38"/>
    </row>
    <row r="139">
      <c r="A139" s="39" t="s">
        <v>463</v>
      </c>
      <c r="B139" s="40">
        <v>45870.28617061343</v>
      </c>
      <c r="C139" s="41" t="s">
        <v>464</v>
      </c>
      <c r="D139" s="42" t="s">
        <v>465</v>
      </c>
      <c r="E139" s="41" t="s">
        <v>735</v>
      </c>
      <c r="F139" s="43" t="s">
        <v>463</v>
      </c>
      <c r="G139" s="44">
        <v>105.0</v>
      </c>
      <c r="H139" s="50">
        <v>8.0</v>
      </c>
      <c r="I139" s="50">
        <v>8.0</v>
      </c>
      <c r="J139" s="56" t="s">
        <v>197</v>
      </c>
      <c r="K139" s="45"/>
      <c r="L139" s="45"/>
      <c r="M139" s="45"/>
      <c r="N139" s="50">
        <v>7.0</v>
      </c>
      <c r="O139" s="45"/>
      <c r="P139" s="45"/>
      <c r="Q139" s="45"/>
      <c r="R139" s="45"/>
      <c r="S139" s="45"/>
      <c r="T139" s="45"/>
      <c r="U139" s="45"/>
      <c r="V139" s="46" t="s">
        <v>736</v>
      </c>
      <c r="W139" s="45"/>
      <c r="X139" s="45"/>
      <c r="Y139" s="45"/>
      <c r="Z139" s="41" t="s">
        <v>468</v>
      </c>
      <c r="AA139" s="44">
        <v>2.0</v>
      </c>
      <c r="AB139" s="45"/>
      <c r="AC139" s="44">
        <v>2.0</v>
      </c>
      <c r="AD139" s="47"/>
      <c r="AE139" s="47"/>
      <c r="AF139" s="47"/>
      <c r="AG139" s="47"/>
      <c r="AH139" s="47"/>
      <c r="AI139" s="38"/>
      <c r="AJ139" s="38"/>
      <c r="AK139" s="38"/>
      <c r="AL139" s="38"/>
      <c r="AM139" s="38"/>
      <c r="AN139" s="38"/>
      <c r="AO139" s="38"/>
      <c r="AP139" s="38"/>
      <c r="AQ139" s="38"/>
      <c r="AR139" s="38"/>
      <c r="AS139" s="38"/>
      <c r="AT139" s="38"/>
      <c r="AU139" s="38"/>
      <c r="AV139" s="38"/>
      <c r="AW139" s="38"/>
      <c r="AX139" s="38"/>
      <c r="AY139" s="38"/>
      <c r="AZ139" s="38"/>
      <c r="BA139" s="38"/>
      <c r="BB139" s="38"/>
      <c r="BC139" s="38"/>
    </row>
    <row r="140">
      <c r="A140" s="48" t="s">
        <v>737</v>
      </c>
      <c r="B140" s="30">
        <v>45870.29025795139</v>
      </c>
      <c r="C140" s="36" t="s">
        <v>296</v>
      </c>
      <c r="D140" s="32" t="s">
        <v>297</v>
      </c>
      <c r="E140" s="36" t="s">
        <v>738</v>
      </c>
      <c r="F140" s="33" t="s">
        <v>737</v>
      </c>
      <c r="G140" s="31">
        <v>72.0</v>
      </c>
      <c r="H140" s="31">
        <v>7.0</v>
      </c>
      <c r="I140" s="31">
        <v>7.0</v>
      </c>
      <c r="J140" s="31">
        <v>5.0</v>
      </c>
      <c r="K140" s="34"/>
      <c r="L140" s="34"/>
      <c r="M140" s="34"/>
      <c r="N140" s="31">
        <v>4.0</v>
      </c>
      <c r="O140" s="34"/>
      <c r="P140" s="34"/>
      <c r="Q140" s="34"/>
      <c r="R140" s="34"/>
      <c r="S140" s="34"/>
      <c r="T140" s="34"/>
      <c r="U140" s="34"/>
      <c r="V140" s="35" t="s">
        <v>739</v>
      </c>
      <c r="W140" s="36" t="s">
        <v>275</v>
      </c>
      <c r="X140" s="34"/>
      <c r="Y140" s="34"/>
      <c r="Z140" s="36" t="s">
        <v>300</v>
      </c>
      <c r="AA140" s="31">
        <v>2.0</v>
      </c>
      <c r="AB140" s="34"/>
      <c r="AC140" s="31">
        <v>2.0</v>
      </c>
      <c r="AD140" s="49"/>
      <c r="AE140" s="49"/>
      <c r="AF140" s="49"/>
      <c r="AG140" s="49"/>
      <c r="AH140" s="49"/>
      <c r="AI140" s="38"/>
      <c r="AJ140" s="38"/>
      <c r="AK140" s="38"/>
      <c r="AL140" s="38"/>
      <c r="AM140" s="38"/>
      <c r="AN140" s="38"/>
      <c r="AO140" s="38"/>
      <c r="AP140" s="38"/>
      <c r="AQ140" s="38"/>
      <c r="AR140" s="38"/>
      <c r="AS140" s="38"/>
      <c r="AT140" s="38"/>
      <c r="AU140" s="38"/>
      <c r="AV140" s="38"/>
      <c r="AW140" s="38"/>
      <c r="AX140" s="38"/>
      <c r="AY140" s="38"/>
      <c r="AZ140" s="38"/>
      <c r="BA140" s="38"/>
      <c r="BB140" s="38"/>
      <c r="BC140" s="38"/>
    </row>
    <row r="141">
      <c r="A141" s="39" t="s">
        <v>740</v>
      </c>
      <c r="B141" s="40">
        <v>45870.29099594908</v>
      </c>
      <c r="C141" s="44" t="s">
        <v>160</v>
      </c>
      <c r="D141" s="42" t="s">
        <v>161</v>
      </c>
      <c r="E141" s="44" t="s">
        <v>741</v>
      </c>
      <c r="F141" s="43" t="s">
        <v>740</v>
      </c>
      <c r="G141" s="44">
        <v>98.0</v>
      </c>
      <c r="H141" s="44">
        <v>7.0</v>
      </c>
      <c r="I141" s="44">
        <v>7.0</v>
      </c>
      <c r="J141" s="44" t="s">
        <v>742</v>
      </c>
      <c r="K141" s="45"/>
      <c r="L141" s="45"/>
      <c r="M141" s="45"/>
      <c r="N141" s="44">
        <v>8.0</v>
      </c>
      <c r="O141" s="45"/>
      <c r="P141" s="45"/>
      <c r="Q141" s="45"/>
      <c r="R141" s="45"/>
      <c r="S141" s="45"/>
      <c r="T141" s="45"/>
      <c r="U141" s="45"/>
      <c r="V141" s="46" t="s">
        <v>743</v>
      </c>
      <c r="W141" s="44" t="s">
        <v>744</v>
      </c>
      <c r="X141" s="45"/>
      <c r="Y141" s="45"/>
      <c r="Z141" s="41" t="s">
        <v>165</v>
      </c>
      <c r="AA141" s="44">
        <v>2.0</v>
      </c>
      <c r="AB141" s="45"/>
      <c r="AC141" s="44">
        <v>2.0</v>
      </c>
      <c r="AD141" s="47"/>
      <c r="AE141" s="47"/>
      <c r="AF141" s="47"/>
      <c r="AG141" s="47"/>
      <c r="AH141" s="47"/>
      <c r="AI141" s="38"/>
      <c r="AJ141" s="38"/>
      <c r="AK141" s="38"/>
      <c r="AL141" s="38"/>
      <c r="AM141" s="38"/>
      <c r="AN141" s="38"/>
      <c r="AO141" s="38"/>
      <c r="AP141" s="38"/>
      <c r="AQ141" s="38"/>
      <c r="AR141" s="38"/>
      <c r="AS141" s="38"/>
      <c r="AT141" s="38"/>
      <c r="AU141" s="38"/>
      <c r="AV141" s="38"/>
      <c r="AW141" s="38"/>
      <c r="AX141" s="38"/>
      <c r="AY141" s="38"/>
      <c r="AZ141" s="38"/>
      <c r="BA141" s="38"/>
      <c r="BB141" s="38"/>
      <c r="BC141" s="38"/>
    </row>
    <row r="142">
      <c r="A142" s="48" t="s">
        <v>318</v>
      </c>
      <c r="B142" s="30">
        <v>45870.29273818287</v>
      </c>
      <c r="C142" s="36" t="s">
        <v>319</v>
      </c>
      <c r="D142" s="32" t="s">
        <v>320</v>
      </c>
      <c r="E142" s="31" t="s">
        <v>321</v>
      </c>
      <c r="F142" s="33" t="s">
        <v>318</v>
      </c>
      <c r="G142" s="31">
        <v>220.0</v>
      </c>
      <c r="H142" s="31">
        <v>5.0</v>
      </c>
      <c r="I142" s="31">
        <v>5.0</v>
      </c>
      <c r="J142" s="31">
        <v>2.0</v>
      </c>
      <c r="K142" s="34"/>
      <c r="L142" s="34"/>
      <c r="M142" s="34"/>
      <c r="N142" s="31">
        <v>8.0</v>
      </c>
      <c r="O142" s="34"/>
      <c r="P142" s="34"/>
      <c r="Q142" s="34"/>
      <c r="R142" s="34"/>
      <c r="S142" s="34"/>
      <c r="T142" s="34"/>
      <c r="U142" s="34"/>
      <c r="V142" s="35" t="s">
        <v>745</v>
      </c>
      <c r="W142" s="36" t="s">
        <v>275</v>
      </c>
      <c r="X142" s="34"/>
      <c r="Y142" s="34"/>
      <c r="Z142" s="36" t="s">
        <v>323</v>
      </c>
      <c r="AA142" s="31">
        <v>2.0</v>
      </c>
      <c r="AB142" s="34"/>
      <c r="AC142" s="31">
        <v>2.0</v>
      </c>
      <c r="AD142" s="49"/>
      <c r="AE142" s="49"/>
      <c r="AF142" s="49"/>
      <c r="AG142" s="49"/>
      <c r="AH142" s="49"/>
      <c r="AI142" s="38"/>
      <c r="AJ142" s="38"/>
      <c r="AK142" s="38"/>
      <c r="AL142" s="38"/>
      <c r="AM142" s="38"/>
      <c r="AN142" s="38"/>
      <c r="AO142" s="38"/>
      <c r="AP142" s="38"/>
      <c r="AQ142" s="38"/>
      <c r="AR142" s="38"/>
      <c r="AS142" s="38"/>
      <c r="AT142" s="38"/>
      <c r="AU142" s="38"/>
      <c r="AV142" s="38"/>
      <c r="AW142" s="38"/>
      <c r="AX142" s="38"/>
      <c r="AY142" s="38"/>
      <c r="AZ142" s="38"/>
      <c r="BA142" s="38"/>
      <c r="BB142" s="38"/>
      <c r="BC142" s="38"/>
    </row>
    <row r="143">
      <c r="A143" s="39" t="s">
        <v>365</v>
      </c>
      <c r="B143" s="40">
        <v>45870.303665370375</v>
      </c>
      <c r="C143" s="41" t="s">
        <v>366</v>
      </c>
      <c r="D143" s="42" t="s">
        <v>367</v>
      </c>
      <c r="E143" s="41" t="s">
        <v>746</v>
      </c>
      <c r="F143" s="43" t="s">
        <v>365</v>
      </c>
      <c r="G143" s="50">
        <v>385.0</v>
      </c>
      <c r="H143" s="44">
        <v>10.0</v>
      </c>
      <c r="I143" s="44">
        <v>10.0</v>
      </c>
      <c r="J143" s="44">
        <v>0.0</v>
      </c>
      <c r="K143" s="45"/>
      <c r="L143" s="45"/>
      <c r="M143" s="45"/>
      <c r="N143" s="44">
        <v>10.0</v>
      </c>
      <c r="O143" s="45"/>
      <c r="P143" s="45"/>
      <c r="Q143" s="45"/>
      <c r="R143" s="45"/>
      <c r="S143" s="45"/>
      <c r="T143" s="45"/>
      <c r="U143" s="45"/>
      <c r="V143" s="46" t="s">
        <v>747</v>
      </c>
      <c r="W143" s="45"/>
      <c r="X143" s="45"/>
      <c r="Y143" s="45"/>
      <c r="Z143" s="41" t="s">
        <v>370</v>
      </c>
      <c r="AA143" s="44">
        <v>2.0</v>
      </c>
      <c r="AB143" s="45"/>
      <c r="AC143" s="44">
        <v>2.0</v>
      </c>
      <c r="AD143" s="47"/>
      <c r="AE143" s="47"/>
      <c r="AF143" s="47"/>
      <c r="AG143" s="47"/>
      <c r="AH143" s="47"/>
      <c r="AI143" s="38"/>
      <c r="AJ143" s="38"/>
      <c r="AK143" s="38"/>
      <c r="AL143" s="38"/>
      <c r="AM143" s="38"/>
      <c r="AN143" s="38"/>
      <c r="AO143" s="38"/>
      <c r="AP143" s="38"/>
      <c r="AQ143" s="38"/>
      <c r="AR143" s="38"/>
      <c r="AS143" s="38"/>
      <c r="AT143" s="38"/>
      <c r="AU143" s="38"/>
      <c r="AV143" s="38"/>
      <c r="AW143" s="38"/>
      <c r="AX143" s="38"/>
      <c r="AY143" s="38"/>
      <c r="AZ143" s="38"/>
      <c r="BA143" s="38"/>
      <c r="BB143" s="38"/>
      <c r="BC143" s="38"/>
    </row>
    <row r="144">
      <c r="A144" s="48" t="s">
        <v>173</v>
      </c>
      <c r="B144" s="30">
        <v>45870.33002204861</v>
      </c>
      <c r="C144" s="36" t="s">
        <v>748</v>
      </c>
      <c r="D144" s="32" t="s">
        <v>175</v>
      </c>
      <c r="E144" s="36" t="s">
        <v>749</v>
      </c>
      <c r="F144" s="33" t="s">
        <v>173</v>
      </c>
      <c r="G144" s="31">
        <v>1125.0</v>
      </c>
      <c r="H144" s="31">
        <v>4.0</v>
      </c>
      <c r="I144" s="31">
        <v>5.0</v>
      </c>
      <c r="J144" s="31">
        <v>5.0</v>
      </c>
      <c r="K144" s="34"/>
      <c r="L144" s="34"/>
      <c r="M144" s="34"/>
      <c r="N144" s="31">
        <v>9.0</v>
      </c>
      <c r="O144" s="34"/>
      <c r="P144" s="34"/>
      <c r="Q144" s="34"/>
      <c r="R144" s="34"/>
      <c r="S144" s="34"/>
      <c r="T144" s="34"/>
      <c r="U144" s="34"/>
      <c r="V144" s="35" t="s">
        <v>750</v>
      </c>
      <c r="W144" s="36" t="s">
        <v>751</v>
      </c>
      <c r="X144" s="34"/>
      <c r="Y144" s="34"/>
      <c r="Z144" s="36" t="s">
        <v>179</v>
      </c>
      <c r="AA144" s="31">
        <v>2.0</v>
      </c>
      <c r="AB144" s="34"/>
      <c r="AC144" s="31">
        <v>2.0</v>
      </c>
      <c r="AD144" s="49"/>
      <c r="AE144" s="49"/>
      <c r="AF144" s="49"/>
      <c r="AG144" s="49"/>
      <c r="AH144" s="49"/>
      <c r="AI144" s="38"/>
      <c r="AJ144" s="38"/>
      <c r="AK144" s="38"/>
      <c r="AL144" s="38"/>
      <c r="AM144" s="38"/>
      <c r="AN144" s="38"/>
      <c r="AO144" s="38"/>
      <c r="AP144" s="38"/>
      <c r="AQ144" s="38"/>
      <c r="AR144" s="38"/>
      <c r="AS144" s="38"/>
      <c r="AT144" s="38"/>
      <c r="AU144" s="38"/>
      <c r="AV144" s="38"/>
      <c r="AW144" s="38"/>
      <c r="AX144" s="38"/>
      <c r="AY144" s="38"/>
      <c r="AZ144" s="38"/>
      <c r="BA144" s="38"/>
      <c r="BB144" s="38"/>
      <c r="BC144" s="38"/>
    </row>
    <row r="145">
      <c r="A145" s="39" t="s">
        <v>421</v>
      </c>
      <c r="B145" s="40">
        <v>45870.33176252314</v>
      </c>
      <c r="C145" s="41" t="s">
        <v>752</v>
      </c>
      <c r="D145" s="42" t="s">
        <v>753</v>
      </c>
      <c r="E145" s="41" t="s">
        <v>754</v>
      </c>
      <c r="F145" s="43" t="s">
        <v>421</v>
      </c>
      <c r="G145" s="44">
        <v>157.0</v>
      </c>
      <c r="H145" s="44">
        <v>5.0</v>
      </c>
      <c r="I145" s="44">
        <v>5.0</v>
      </c>
      <c r="J145" s="44">
        <v>7.0</v>
      </c>
      <c r="K145" s="45"/>
      <c r="L145" s="45"/>
      <c r="M145" s="45"/>
      <c r="N145" s="44">
        <v>7.0</v>
      </c>
      <c r="O145" s="45"/>
      <c r="P145" s="45"/>
      <c r="Q145" s="45"/>
      <c r="R145" s="45"/>
      <c r="S145" s="45"/>
      <c r="T145" s="45"/>
      <c r="U145" s="45"/>
      <c r="V145" s="46" t="s">
        <v>755</v>
      </c>
      <c r="W145" s="41" t="s">
        <v>197</v>
      </c>
      <c r="X145" s="45"/>
      <c r="Y145" s="45"/>
      <c r="Z145" s="41" t="s">
        <v>426</v>
      </c>
      <c r="AA145" s="44">
        <v>2.0</v>
      </c>
      <c r="AB145" s="45"/>
      <c r="AC145" s="44">
        <v>2.0</v>
      </c>
      <c r="AD145" s="47"/>
      <c r="AE145" s="47"/>
      <c r="AF145" s="47"/>
      <c r="AG145" s="47"/>
      <c r="AH145" s="47"/>
      <c r="AI145" s="38"/>
      <c r="AJ145" s="38"/>
      <c r="AK145" s="38"/>
      <c r="AL145" s="38"/>
      <c r="AM145" s="38"/>
      <c r="AN145" s="38"/>
      <c r="AO145" s="38"/>
      <c r="AP145" s="38"/>
      <c r="AQ145" s="38"/>
      <c r="AR145" s="38"/>
      <c r="AS145" s="38"/>
      <c r="AT145" s="38"/>
      <c r="AU145" s="38"/>
      <c r="AV145" s="38"/>
      <c r="AW145" s="38"/>
      <c r="AX145" s="38"/>
      <c r="AY145" s="38"/>
      <c r="AZ145" s="38"/>
      <c r="BA145" s="38"/>
      <c r="BB145" s="38"/>
      <c r="BC145" s="38"/>
    </row>
    <row r="146">
      <c r="A146" s="48" t="s">
        <v>153</v>
      </c>
      <c r="B146" s="30">
        <v>45870.33938337963</v>
      </c>
      <c r="C146" s="36" t="s">
        <v>708</v>
      </c>
      <c r="D146" s="32" t="s">
        <v>756</v>
      </c>
      <c r="E146" s="36" t="s">
        <v>757</v>
      </c>
      <c r="F146" s="33" t="s">
        <v>153</v>
      </c>
      <c r="G146" s="31">
        <v>177.0</v>
      </c>
      <c r="H146" s="31">
        <v>7.0</v>
      </c>
      <c r="I146" s="31">
        <v>7.0</v>
      </c>
      <c r="J146" s="31">
        <v>3.0</v>
      </c>
      <c r="K146" s="34"/>
      <c r="L146" s="34"/>
      <c r="M146" s="34"/>
      <c r="N146" s="31">
        <v>9.0</v>
      </c>
      <c r="O146" s="34"/>
      <c r="P146" s="34"/>
      <c r="Q146" s="34"/>
      <c r="R146" s="34"/>
      <c r="S146" s="34"/>
      <c r="T146" s="34"/>
      <c r="U146" s="34"/>
      <c r="V146" s="35" t="s">
        <v>758</v>
      </c>
      <c r="W146" s="36" t="s">
        <v>275</v>
      </c>
      <c r="X146" s="34"/>
      <c r="Y146" s="34"/>
      <c r="Z146" s="36" t="s">
        <v>759</v>
      </c>
      <c r="AA146" s="31">
        <v>2.0</v>
      </c>
      <c r="AB146" s="34"/>
      <c r="AC146" s="31">
        <v>2.0</v>
      </c>
      <c r="AD146" s="49"/>
      <c r="AE146" s="49"/>
      <c r="AF146" s="49"/>
      <c r="AG146" s="49"/>
      <c r="AH146" s="49"/>
      <c r="AI146" s="38"/>
      <c r="AJ146" s="38"/>
      <c r="AK146" s="38"/>
      <c r="AL146" s="38"/>
      <c r="AM146" s="38"/>
      <c r="AN146" s="38"/>
      <c r="AO146" s="38"/>
      <c r="AP146" s="38"/>
      <c r="AQ146" s="38"/>
      <c r="AR146" s="38"/>
      <c r="AS146" s="38"/>
      <c r="AT146" s="38"/>
      <c r="AU146" s="38"/>
      <c r="AV146" s="38"/>
      <c r="AW146" s="38"/>
      <c r="AX146" s="38"/>
      <c r="AY146" s="38"/>
      <c r="AZ146" s="38"/>
      <c r="BA146" s="38"/>
      <c r="BB146" s="38"/>
      <c r="BC146" s="38"/>
    </row>
    <row r="147">
      <c r="A147" s="39" t="s">
        <v>443</v>
      </c>
      <c r="B147" s="40">
        <v>45870.35554862268</v>
      </c>
      <c r="C147" s="41" t="s">
        <v>760</v>
      </c>
      <c r="D147" s="42" t="s">
        <v>445</v>
      </c>
      <c r="E147" s="41" t="s">
        <v>761</v>
      </c>
      <c r="F147" s="43" t="s">
        <v>443</v>
      </c>
      <c r="G147" s="50">
        <v>444.0</v>
      </c>
      <c r="H147" s="44">
        <v>7.0</v>
      </c>
      <c r="I147" s="44">
        <v>7.0</v>
      </c>
      <c r="J147" s="44">
        <v>0.0</v>
      </c>
      <c r="K147" s="45"/>
      <c r="L147" s="45"/>
      <c r="M147" s="45"/>
      <c r="N147" s="44">
        <v>8.0</v>
      </c>
      <c r="O147" s="45"/>
      <c r="P147" s="45"/>
      <c r="Q147" s="45"/>
      <c r="R147" s="45"/>
      <c r="S147" s="45"/>
      <c r="T147" s="45"/>
      <c r="U147" s="45"/>
      <c r="V147" s="46" t="s">
        <v>762</v>
      </c>
      <c r="W147" s="41" t="s">
        <v>197</v>
      </c>
      <c r="X147" s="45"/>
      <c r="Y147" s="45"/>
      <c r="Z147" s="41" t="s">
        <v>448</v>
      </c>
      <c r="AA147" s="44">
        <v>2.0</v>
      </c>
      <c r="AB147" s="45"/>
      <c r="AC147" s="44">
        <v>2.0</v>
      </c>
      <c r="AD147" s="47"/>
      <c r="AE147" s="47"/>
      <c r="AF147" s="47"/>
      <c r="AG147" s="47"/>
      <c r="AH147" s="47"/>
      <c r="AI147" s="38"/>
      <c r="AJ147" s="38"/>
      <c r="AK147" s="38"/>
      <c r="AL147" s="38"/>
      <c r="AM147" s="38"/>
      <c r="AN147" s="38"/>
      <c r="AO147" s="38"/>
      <c r="AP147" s="38"/>
      <c r="AQ147" s="38"/>
      <c r="AR147" s="38"/>
      <c r="AS147" s="38"/>
      <c r="AT147" s="38"/>
      <c r="AU147" s="38"/>
      <c r="AV147" s="38"/>
      <c r="AW147" s="38"/>
      <c r="AX147" s="38"/>
      <c r="AY147" s="38"/>
      <c r="AZ147" s="38"/>
      <c r="BA147" s="38"/>
      <c r="BB147" s="38"/>
      <c r="BC147" s="38"/>
    </row>
    <row r="148">
      <c r="A148" s="48" t="s">
        <v>632</v>
      </c>
      <c r="B148" s="30">
        <v>45870.359629074075</v>
      </c>
      <c r="C148" s="36" t="s">
        <v>68</v>
      </c>
      <c r="D148" s="32" t="s">
        <v>69</v>
      </c>
      <c r="E148" s="36" t="s">
        <v>763</v>
      </c>
      <c r="F148" s="33" t="s">
        <v>632</v>
      </c>
      <c r="G148" s="31">
        <v>270.0</v>
      </c>
      <c r="H148" s="31">
        <v>10.0</v>
      </c>
      <c r="I148" s="31">
        <v>10.0</v>
      </c>
      <c r="J148" s="36" t="s">
        <v>583</v>
      </c>
      <c r="K148" s="34"/>
      <c r="L148" s="34"/>
      <c r="M148" s="34"/>
      <c r="N148" s="31">
        <v>10.0</v>
      </c>
      <c r="O148" s="34"/>
      <c r="P148" s="34"/>
      <c r="Q148" s="34"/>
      <c r="R148" s="34"/>
      <c r="S148" s="34"/>
      <c r="T148" s="34"/>
      <c r="U148" s="34"/>
      <c r="V148" s="35" t="s">
        <v>764</v>
      </c>
      <c r="W148" s="36" t="s">
        <v>453</v>
      </c>
      <c r="X148" s="34"/>
      <c r="Y148" s="34"/>
      <c r="Z148" s="36" t="s">
        <v>73</v>
      </c>
      <c r="AA148" s="36" t="s">
        <v>8</v>
      </c>
      <c r="AB148" s="34"/>
      <c r="AC148" s="34"/>
      <c r="AD148" s="37"/>
      <c r="AE148" s="37"/>
      <c r="AF148" s="37"/>
      <c r="AG148" s="37"/>
      <c r="AH148" s="37"/>
      <c r="AI148" s="38"/>
      <c r="AJ148" s="38"/>
      <c r="AK148" s="38"/>
      <c r="AL148" s="38"/>
      <c r="AM148" s="38"/>
      <c r="AN148" s="38"/>
      <c r="AO148" s="38"/>
      <c r="AP148" s="38"/>
      <c r="AQ148" s="38"/>
      <c r="AR148" s="38"/>
      <c r="AS148" s="38"/>
      <c r="AT148" s="38"/>
      <c r="AU148" s="38"/>
      <c r="AV148" s="38"/>
      <c r="AW148" s="38"/>
      <c r="AX148" s="38"/>
      <c r="AY148" s="38"/>
      <c r="AZ148" s="38"/>
      <c r="BA148" s="38"/>
      <c r="BB148" s="38"/>
      <c r="BC148" s="38"/>
    </row>
    <row r="149">
      <c r="A149" s="39" t="s">
        <v>345</v>
      </c>
      <c r="B149" s="40">
        <v>45870.38039883102</v>
      </c>
      <c r="C149" s="41" t="s">
        <v>346</v>
      </c>
      <c r="D149" s="42" t="s">
        <v>347</v>
      </c>
      <c r="E149" s="41" t="s">
        <v>765</v>
      </c>
      <c r="F149" s="43" t="s">
        <v>345</v>
      </c>
      <c r="G149" s="50">
        <v>29.0</v>
      </c>
      <c r="H149" s="50">
        <v>5.0</v>
      </c>
      <c r="I149" s="44">
        <v>6.0</v>
      </c>
      <c r="J149" s="44">
        <v>3.0</v>
      </c>
      <c r="K149" s="45"/>
      <c r="L149" s="45"/>
      <c r="M149" s="45"/>
      <c r="N149" s="44">
        <v>10.0</v>
      </c>
      <c r="O149" s="45"/>
      <c r="P149" s="45"/>
      <c r="Q149" s="45"/>
      <c r="R149" s="45"/>
      <c r="S149" s="45"/>
      <c r="T149" s="45"/>
      <c r="U149" s="45"/>
      <c r="V149" s="46" t="s">
        <v>766</v>
      </c>
      <c r="W149" s="45"/>
      <c r="X149" s="45"/>
      <c r="Y149" s="45"/>
      <c r="Z149" s="41" t="s">
        <v>351</v>
      </c>
      <c r="AA149" s="44">
        <v>2.0</v>
      </c>
      <c r="AB149" s="45"/>
      <c r="AC149" s="44">
        <v>2.0</v>
      </c>
      <c r="AD149" s="47"/>
      <c r="AE149" s="47"/>
      <c r="AF149" s="47"/>
      <c r="AG149" s="47"/>
      <c r="AH149" s="47"/>
      <c r="AI149" s="38"/>
      <c r="AJ149" s="38"/>
      <c r="AK149" s="38"/>
      <c r="AL149" s="38"/>
      <c r="AM149" s="38"/>
      <c r="AN149" s="38"/>
      <c r="AO149" s="38"/>
      <c r="AP149" s="38"/>
      <c r="AQ149" s="38"/>
      <c r="AR149" s="38"/>
      <c r="AS149" s="38"/>
      <c r="AT149" s="38"/>
      <c r="AU149" s="38"/>
      <c r="AV149" s="38"/>
      <c r="AW149" s="38"/>
      <c r="AX149" s="38"/>
      <c r="AY149" s="38"/>
      <c r="AZ149" s="38"/>
      <c r="BA149" s="38"/>
      <c r="BB149" s="38"/>
      <c r="BC149" s="38"/>
    </row>
    <row r="150">
      <c r="A150" s="48" t="s">
        <v>767</v>
      </c>
      <c r="B150" s="30">
        <v>45870.40835517361</v>
      </c>
      <c r="C150" s="36" t="s">
        <v>768</v>
      </c>
      <c r="D150" s="32" t="s">
        <v>483</v>
      </c>
      <c r="E150" s="36" t="s">
        <v>769</v>
      </c>
      <c r="F150" s="33" t="s">
        <v>767</v>
      </c>
      <c r="G150" s="31">
        <v>105.0</v>
      </c>
      <c r="H150" s="31">
        <v>8.0</v>
      </c>
      <c r="I150" s="31">
        <v>8.0</v>
      </c>
      <c r="J150" s="31">
        <v>3.0</v>
      </c>
      <c r="K150" s="34"/>
      <c r="L150" s="34"/>
      <c r="M150" s="34"/>
      <c r="N150" s="31">
        <v>9.0</v>
      </c>
      <c r="O150" s="34"/>
      <c r="P150" s="34"/>
      <c r="Q150" s="34"/>
      <c r="R150" s="34"/>
      <c r="S150" s="34"/>
      <c r="T150" s="34"/>
      <c r="U150" s="34"/>
      <c r="V150" s="35" t="s">
        <v>770</v>
      </c>
      <c r="W150" s="34"/>
      <c r="X150" s="34"/>
      <c r="Y150" s="34"/>
      <c r="Z150" s="36" t="s">
        <v>486</v>
      </c>
      <c r="AA150" s="31">
        <v>2.0</v>
      </c>
      <c r="AB150" s="34"/>
      <c r="AC150" s="31">
        <v>2.0</v>
      </c>
      <c r="AD150" s="49"/>
      <c r="AE150" s="49"/>
      <c r="AF150" s="49"/>
      <c r="AG150" s="49"/>
      <c r="AH150" s="49"/>
      <c r="AI150" s="38"/>
      <c r="AJ150" s="38"/>
      <c r="AK150" s="38"/>
      <c r="AL150" s="38"/>
      <c r="AM150" s="38"/>
      <c r="AN150" s="38"/>
      <c r="AO150" s="38"/>
      <c r="AP150" s="38"/>
      <c r="AQ150" s="38"/>
      <c r="AR150" s="38"/>
      <c r="AS150" s="38"/>
      <c r="AT150" s="38"/>
      <c r="AU150" s="38"/>
      <c r="AV150" s="38"/>
      <c r="AW150" s="38"/>
      <c r="AX150" s="38"/>
      <c r="AY150" s="38"/>
      <c r="AZ150" s="38"/>
      <c r="BA150" s="38"/>
      <c r="BB150" s="38"/>
      <c r="BC150" s="38"/>
    </row>
    <row r="151">
      <c r="A151" s="39" t="s">
        <v>771</v>
      </c>
      <c r="B151" s="40">
        <v>45870.418995671294</v>
      </c>
      <c r="C151" s="41" t="s">
        <v>62</v>
      </c>
      <c r="D151" s="42" t="s">
        <v>63</v>
      </c>
      <c r="E151" s="41" t="s">
        <v>64</v>
      </c>
      <c r="F151" s="43" t="s">
        <v>771</v>
      </c>
      <c r="G151" s="44">
        <v>40.0</v>
      </c>
      <c r="H151" s="44">
        <v>8.0</v>
      </c>
      <c r="I151" s="50">
        <v>7.0</v>
      </c>
      <c r="J151" s="50">
        <v>1.0</v>
      </c>
      <c r="K151" s="45"/>
      <c r="L151" s="45"/>
      <c r="M151" s="45"/>
      <c r="N151" s="44">
        <v>7.0</v>
      </c>
      <c r="O151" s="45"/>
      <c r="P151" s="45"/>
      <c r="Q151" s="45"/>
      <c r="R151" s="45"/>
      <c r="S151" s="45"/>
      <c r="T151" s="45"/>
      <c r="U151" s="45"/>
      <c r="V151" s="46" t="s">
        <v>772</v>
      </c>
      <c r="W151" s="45"/>
      <c r="X151" s="45"/>
      <c r="Y151" s="45"/>
      <c r="Z151" s="41" t="s">
        <v>66</v>
      </c>
      <c r="AA151" s="44">
        <v>2.0</v>
      </c>
      <c r="AB151" s="45"/>
      <c r="AC151" s="44">
        <v>2.0</v>
      </c>
      <c r="AD151" s="47"/>
      <c r="AE151" s="47"/>
      <c r="AF151" s="47"/>
      <c r="AG151" s="47"/>
      <c r="AH151" s="47"/>
      <c r="AI151" s="38"/>
      <c r="AJ151" s="38"/>
      <c r="AK151" s="38"/>
      <c r="AL151" s="38"/>
      <c r="AM151" s="38"/>
      <c r="AN151" s="38"/>
      <c r="AO151" s="38"/>
      <c r="AP151" s="38"/>
      <c r="AQ151" s="38"/>
      <c r="AR151" s="38"/>
      <c r="AS151" s="38"/>
      <c r="AT151" s="38"/>
      <c r="AU151" s="38"/>
      <c r="AV151" s="38"/>
      <c r="AW151" s="38"/>
      <c r="AX151" s="38"/>
      <c r="AY151" s="38"/>
      <c r="AZ151" s="38"/>
      <c r="BA151" s="38"/>
      <c r="BB151" s="38"/>
      <c r="BC151" s="38"/>
    </row>
    <row r="152">
      <c r="A152" s="48" t="s">
        <v>301</v>
      </c>
      <c r="B152" s="30">
        <v>45870.43289125</v>
      </c>
      <c r="C152" s="36" t="s">
        <v>438</v>
      </c>
      <c r="D152" s="32" t="s">
        <v>439</v>
      </c>
      <c r="E152" s="36" t="s">
        <v>773</v>
      </c>
      <c r="F152" s="33" t="s">
        <v>301</v>
      </c>
      <c r="G152" s="31">
        <v>89.0</v>
      </c>
      <c r="H152" s="31">
        <v>7.0</v>
      </c>
      <c r="I152" s="31">
        <v>7.0</v>
      </c>
      <c r="J152" s="31">
        <v>2.0</v>
      </c>
      <c r="K152" s="34"/>
      <c r="L152" s="34"/>
      <c r="M152" s="34"/>
      <c r="N152" s="31">
        <v>8.0</v>
      </c>
      <c r="O152" s="34"/>
      <c r="P152" s="34"/>
      <c r="Q152" s="34"/>
      <c r="R152" s="34"/>
      <c r="S152" s="34"/>
      <c r="T152" s="34"/>
      <c r="U152" s="34"/>
      <c r="V152" s="35" t="s">
        <v>774</v>
      </c>
      <c r="W152" s="36" t="s">
        <v>197</v>
      </c>
      <c r="X152" s="34"/>
      <c r="Y152" s="34"/>
      <c r="Z152" s="36" t="s">
        <v>442</v>
      </c>
      <c r="AA152" s="31">
        <v>2.0</v>
      </c>
      <c r="AB152" s="34"/>
      <c r="AC152" s="31">
        <v>2.0</v>
      </c>
      <c r="AD152" s="49"/>
      <c r="AE152" s="49"/>
      <c r="AF152" s="49"/>
      <c r="AG152" s="49"/>
      <c r="AH152" s="49"/>
      <c r="AI152" s="38"/>
      <c r="AJ152" s="38"/>
      <c r="AK152" s="38"/>
      <c r="AL152" s="38"/>
      <c r="AM152" s="38"/>
      <c r="AN152" s="38"/>
      <c r="AO152" s="38"/>
      <c r="AP152" s="38"/>
      <c r="AQ152" s="38"/>
      <c r="AR152" s="38"/>
      <c r="AS152" s="38"/>
      <c r="AT152" s="38"/>
      <c r="AU152" s="38"/>
      <c r="AV152" s="38"/>
      <c r="AW152" s="38"/>
      <c r="AX152" s="38"/>
      <c r="AY152" s="38"/>
      <c r="AZ152" s="38"/>
      <c r="BA152" s="38"/>
      <c r="BB152" s="38"/>
      <c r="BC152" s="38"/>
    </row>
    <row r="153">
      <c r="A153" s="39" t="s">
        <v>330</v>
      </c>
      <c r="B153" s="40">
        <v>45870.43553876157</v>
      </c>
      <c r="C153" s="41" t="s">
        <v>438</v>
      </c>
      <c r="D153" s="42" t="s">
        <v>439</v>
      </c>
      <c r="E153" s="41" t="s">
        <v>775</v>
      </c>
      <c r="F153" s="43" t="s">
        <v>330</v>
      </c>
      <c r="G153" s="50">
        <v>141.0</v>
      </c>
      <c r="H153" s="44">
        <v>7.0</v>
      </c>
      <c r="I153" s="44">
        <v>8.0</v>
      </c>
      <c r="J153" s="41" t="s">
        <v>776</v>
      </c>
      <c r="K153" s="45"/>
      <c r="L153" s="45"/>
      <c r="M153" s="45"/>
      <c r="N153" s="44">
        <v>8.0</v>
      </c>
      <c r="O153" s="45"/>
      <c r="P153" s="45"/>
      <c r="Q153" s="45"/>
      <c r="R153" s="45"/>
      <c r="S153" s="45"/>
      <c r="T153" s="45"/>
      <c r="U153" s="45"/>
      <c r="V153" s="46" t="s">
        <v>777</v>
      </c>
      <c r="W153" s="41" t="s">
        <v>778</v>
      </c>
      <c r="X153" s="45"/>
      <c r="Y153" s="45"/>
      <c r="Z153" s="41" t="s">
        <v>442</v>
      </c>
      <c r="AA153" s="44">
        <v>2.0</v>
      </c>
      <c r="AB153" s="45"/>
      <c r="AC153" s="44">
        <v>2.0</v>
      </c>
      <c r="AD153" s="47"/>
      <c r="AE153" s="47"/>
      <c r="AF153" s="47"/>
      <c r="AG153" s="47"/>
      <c r="AH153" s="47"/>
      <c r="AI153" s="38"/>
      <c r="AJ153" s="38"/>
      <c r="AK153" s="38"/>
      <c r="AL153" s="38"/>
      <c r="AM153" s="38"/>
      <c r="AN153" s="38"/>
      <c r="AO153" s="38"/>
      <c r="AP153" s="38"/>
      <c r="AQ153" s="38"/>
      <c r="AR153" s="38"/>
      <c r="AS153" s="38"/>
      <c r="AT153" s="38"/>
      <c r="AU153" s="38"/>
      <c r="AV153" s="38"/>
      <c r="AW153" s="38"/>
      <c r="AX153" s="38"/>
      <c r="AY153" s="38"/>
      <c r="AZ153" s="38"/>
      <c r="BA153" s="38"/>
      <c r="BB153" s="38"/>
      <c r="BC153" s="38"/>
    </row>
    <row r="154">
      <c r="A154" s="48" t="s">
        <v>779</v>
      </c>
      <c r="B154" s="30">
        <v>45870.45864982639</v>
      </c>
      <c r="C154" s="36" t="s">
        <v>780</v>
      </c>
      <c r="D154" s="32" t="s">
        <v>514</v>
      </c>
      <c r="E154" s="36" t="s">
        <v>781</v>
      </c>
      <c r="F154" s="33" t="s">
        <v>779</v>
      </c>
      <c r="G154" s="31">
        <v>170.0</v>
      </c>
      <c r="H154" s="31">
        <v>7.0</v>
      </c>
      <c r="I154" s="31">
        <v>8.0</v>
      </c>
      <c r="J154" s="31">
        <v>0.0</v>
      </c>
      <c r="K154" s="34"/>
      <c r="L154" s="34"/>
      <c r="M154" s="34"/>
      <c r="N154" s="31">
        <v>9.0</v>
      </c>
      <c r="O154" s="34"/>
      <c r="P154" s="34"/>
      <c r="Q154" s="34"/>
      <c r="R154" s="34"/>
      <c r="S154" s="34"/>
      <c r="T154" s="34"/>
      <c r="U154" s="34"/>
      <c r="V154" s="36" t="s">
        <v>782</v>
      </c>
      <c r="W154" s="34"/>
      <c r="X154" s="34"/>
      <c r="Y154" s="34"/>
      <c r="Z154" s="36" t="s">
        <v>517</v>
      </c>
      <c r="AA154" s="31">
        <v>2.0</v>
      </c>
      <c r="AB154" s="34"/>
      <c r="AC154" s="31">
        <v>2.0</v>
      </c>
      <c r="AD154" s="49"/>
      <c r="AE154" s="49"/>
      <c r="AF154" s="49"/>
      <c r="AG154" s="49"/>
      <c r="AH154" s="49"/>
      <c r="AI154" s="38"/>
      <c r="AJ154" s="38"/>
      <c r="AK154" s="38"/>
      <c r="AL154" s="38"/>
      <c r="AM154" s="38"/>
      <c r="AN154" s="38"/>
      <c r="AO154" s="38"/>
      <c r="AP154" s="38"/>
      <c r="AQ154" s="38"/>
      <c r="AR154" s="38"/>
      <c r="AS154" s="38"/>
      <c r="AT154" s="38"/>
      <c r="AU154" s="38"/>
      <c r="AV154" s="38"/>
      <c r="AW154" s="38"/>
      <c r="AX154" s="38"/>
      <c r="AY154" s="38"/>
      <c r="AZ154" s="38"/>
      <c r="BA154" s="38"/>
      <c r="BB154" s="38"/>
      <c r="BC154" s="38"/>
    </row>
    <row r="155">
      <c r="A155" s="39" t="s">
        <v>83</v>
      </c>
      <c r="B155" s="40">
        <v>45870.48298179398</v>
      </c>
      <c r="C155" s="44" t="s">
        <v>783</v>
      </c>
      <c r="D155" s="42" t="s">
        <v>784</v>
      </c>
      <c r="E155" s="44" t="s">
        <v>86</v>
      </c>
      <c r="F155" s="43" t="s">
        <v>83</v>
      </c>
      <c r="G155" s="44">
        <v>874.0</v>
      </c>
      <c r="H155" s="44">
        <v>9.0</v>
      </c>
      <c r="I155" s="44">
        <v>7.0</v>
      </c>
      <c r="J155" s="44">
        <v>4.0</v>
      </c>
      <c r="K155" s="45"/>
      <c r="L155" s="45"/>
      <c r="M155" s="45"/>
      <c r="N155" s="44">
        <v>8.0</v>
      </c>
      <c r="O155" s="45"/>
      <c r="P155" s="45"/>
      <c r="Q155" s="45"/>
      <c r="R155" s="45"/>
      <c r="S155" s="45"/>
      <c r="T155" s="45"/>
      <c r="U155" s="45"/>
      <c r="V155" s="46" t="s">
        <v>785</v>
      </c>
      <c r="W155" s="45"/>
      <c r="X155" s="45"/>
      <c r="Y155" s="45"/>
      <c r="Z155" s="41" t="s">
        <v>786</v>
      </c>
      <c r="AA155" s="44">
        <v>2.0</v>
      </c>
      <c r="AB155" s="45"/>
      <c r="AC155" s="44">
        <v>2.0</v>
      </c>
      <c r="AD155" s="47"/>
      <c r="AE155" s="47"/>
      <c r="AF155" s="47"/>
      <c r="AG155" s="47"/>
      <c r="AH155" s="47"/>
      <c r="AI155" s="38"/>
      <c r="AJ155" s="38"/>
      <c r="AK155" s="38"/>
      <c r="AL155" s="38"/>
      <c r="AM155" s="38"/>
      <c r="AN155" s="38"/>
      <c r="AO155" s="38"/>
      <c r="AP155" s="38"/>
      <c r="AQ155" s="38"/>
      <c r="AR155" s="38"/>
      <c r="AS155" s="38"/>
      <c r="AT155" s="38"/>
      <c r="AU155" s="38"/>
      <c r="AV155" s="38"/>
      <c r="AW155" s="38"/>
      <c r="AX155" s="38"/>
      <c r="AY155" s="38"/>
      <c r="AZ155" s="38"/>
      <c r="BA155" s="38"/>
      <c r="BB155" s="38"/>
      <c r="BC155" s="38"/>
    </row>
    <row r="156">
      <c r="A156" s="48" t="s">
        <v>140</v>
      </c>
      <c r="B156" s="30">
        <v>45870.51305891204</v>
      </c>
      <c r="C156" s="36" t="s">
        <v>141</v>
      </c>
      <c r="D156" s="32" t="s">
        <v>142</v>
      </c>
      <c r="E156" s="36" t="s">
        <v>787</v>
      </c>
      <c r="F156" s="33" t="s">
        <v>140</v>
      </c>
      <c r="G156" s="51">
        <v>240.0</v>
      </c>
      <c r="H156" s="31">
        <v>7.0</v>
      </c>
      <c r="I156" s="31">
        <v>9.0</v>
      </c>
      <c r="J156" s="36" t="s">
        <v>788</v>
      </c>
      <c r="K156" s="34"/>
      <c r="L156" s="34"/>
      <c r="M156" s="34"/>
      <c r="N156" s="31">
        <v>6.0</v>
      </c>
      <c r="O156" s="34"/>
      <c r="P156" s="34"/>
      <c r="Q156" s="34"/>
      <c r="R156" s="34"/>
      <c r="S156" s="34"/>
      <c r="T156" s="34"/>
      <c r="U156" s="34"/>
      <c r="V156" s="35" t="s">
        <v>789</v>
      </c>
      <c r="W156" s="34"/>
      <c r="X156" s="34"/>
      <c r="Y156" s="34"/>
      <c r="Z156" s="36" t="s">
        <v>146</v>
      </c>
      <c r="AA156" s="31">
        <v>2.0</v>
      </c>
      <c r="AB156" s="34"/>
      <c r="AC156" s="31">
        <v>2.0</v>
      </c>
      <c r="AD156" s="49"/>
      <c r="AE156" s="49"/>
      <c r="AF156" s="49"/>
      <c r="AG156" s="49"/>
      <c r="AH156" s="49"/>
      <c r="AI156" s="38"/>
      <c r="AJ156" s="38"/>
      <c r="AK156" s="38"/>
      <c r="AL156" s="38"/>
      <c r="AM156" s="38"/>
      <c r="AN156" s="38"/>
      <c r="AO156" s="38"/>
      <c r="AP156" s="38"/>
      <c r="AQ156" s="38"/>
      <c r="AR156" s="38"/>
      <c r="AS156" s="38"/>
      <c r="AT156" s="38"/>
      <c r="AU156" s="38"/>
      <c r="AV156" s="38"/>
      <c r="AW156" s="38"/>
      <c r="AX156" s="38"/>
      <c r="AY156" s="38"/>
      <c r="AZ156" s="38"/>
      <c r="BA156" s="38"/>
      <c r="BB156" s="38"/>
      <c r="BC156" s="38"/>
    </row>
    <row r="157">
      <c r="A157" s="39" t="s">
        <v>790</v>
      </c>
      <c r="B157" s="40">
        <v>45870.631630185184</v>
      </c>
      <c r="C157" s="41" t="s">
        <v>791</v>
      </c>
      <c r="D157" s="42" t="s">
        <v>400</v>
      </c>
      <c r="E157" s="41" t="s">
        <v>792</v>
      </c>
      <c r="F157" s="43" t="s">
        <v>790</v>
      </c>
      <c r="G157" s="44">
        <v>825.0</v>
      </c>
      <c r="H157" s="44">
        <v>10.0</v>
      </c>
      <c r="I157" s="44">
        <v>10.0</v>
      </c>
      <c r="J157" s="41" t="s">
        <v>793</v>
      </c>
      <c r="K157" s="45"/>
      <c r="L157" s="45"/>
      <c r="M157" s="45"/>
      <c r="N157" s="44">
        <v>10.0</v>
      </c>
      <c r="O157" s="45"/>
      <c r="P157" s="45"/>
      <c r="Q157" s="45"/>
      <c r="R157" s="45"/>
      <c r="S157" s="45"/>
      <c r="T157" s="45"/>
      <c r="U157" s="45"/>
      <c r="V157" s="46" t="s">
        <v>794</v>
      </c>
      <c r="W157" s="45"/>
      <c r="X157" s="45"/>
      <c r="Y157" s="45"/>
      <c r="Z157" s="41" t="s">
        <v>403</v>
      </c>
      <c r="AA157" s="44">
        <v>2.0</v>
      </c>
      <c r="AB157" s="45"/>
      <c r="AC157" s="44">
        <v>2.0</v>
      </c>
      <c r="AD157" s="47"/>
      <c r="AE157" s="47"/>
      <c r="AF157" s="47"/>
      <c r="AG157" s="47"/>
      <c r="AH157" s="47"/>
      <c r="AI157" s="38"/>
      <c r="AJ157" s="38"/>
      <c r="AK157" s="38"/>
      <c r="AL157" s="38"/>
      <c r="AM157" s="38"/>
      <c r="AN157" s="38"/>
      <c r="AO157" s="38"/>
      <c r="AP157" s="38"/>
      <c r="AQ157" s="38"/>
      <c r="AR157" s="38"/>
      <c r="AS157" s="38"/>
      <c r="AT157" s="38"/>
      <c r="AU157" s="38"/>
      <c r="AV157" s="38"/>
      <c r="AW157" s="38"/>
      <c r="AX157" s="38"/>
      <c r="AY157" s="38"/>
      <c r="AZ157" s="38"/>
      <c r="BA157" s="38"/>
      <c r="BB157" s="38"/>
      <c r="BC157" s="38"/>
    </row>
    <row r="158">
      <c r="A158" s="48" t="s">
        <v>571</v>
      </c>
      <c r="B158" s="30">
        <v>45871.0528809838</v>
      </c>
      <c r="C158" s="36" t="s">
        <v>572</v>
      </c>
      <c r="D158" s="32" t="s">
        <v>573</v>
      </c>
      <c r="E158" s="36" t="s">
        <v>574</v>
      </c>
      <c r="F158" s="33" t="s">
        <v>571</v>
      </c>
      <c r="G158" s="31">
        <v>77.0</v>
      </c>
      <c r="H158" s="31">
        <v>8.0</v>
      </c>
      <c r="I158" s="31">
        <v>8.0</v>
      </c>
      <c r="J158" s="31">
        <v>2.0</v>
      </c>
      <c r="K158" s="34"/>
      <c r="L158" s="34"/>
      <c r="M158" s="34"/>
      <c r="N158" s="31">
        <v>6.0</v>
      </c>
      <c r="O158" s="34"/>
      <c r="P158" s="34"/>
      <c r="Q158" s="34"/>
      <c r="R158" s="34"/>
      <c r="S158" s="34"/>
      <c r="T158" s="34"/>
      <c r="U158" s="34"/>
      <c r="V158" s="35" t="s">
        <v>795</v>
      </c>
      <c r="W158" s="34"/>
      <c r="X158" s="34"/>
      <c r="Y158" s="34"/>
      <c r="Z158" s="36" t="s">
        <v>577</v>
      </c>
      <c r="AA158" s="31">
        <v>2.0</v>
      </c>
      <c r="AB158" s="34"/>
      <c r="AC158" s="31">
        <v>2.0</v>
      </c>
      <c r="AD158" s="49"/>
      <c r="AE158" s="49"/>
      <c r="AF158" s="49"/>
      <c r="AG158" s="49"/>
      <c r="AH158" s="49"/>
      <c r="AI158" s="38"/>
      <c r="AJ158" s="38"/>
      <c r="AK158" s="38"/>
      <c r="AL158" s="38"/>
      <c r="AM158" s="38"/>
      <c r="AN158" s="38"/>
      <c r="AO158" s="38"/>
      <c r="AP158" s="38"/>
      <c r="AQ158" s="38"/>
      <c r="AR158" s="38"/>
      <c r="AS158" s="38"/>
      <c r="AT158" s="38"/>
      <c r="AU158" s="38"/>
      <c r="AV158" s="38"/>
      <c r="AW158" s="38"/>
      <c r="AX158" s="38"/>
      <c r="AY158" s="38"/>
      <c r="AZ158" s="38"/>
      <c r="BA158" s="38"/>
      <c r="BB158" s="38"/>
      <c r="BC158" s="38"/>
    </row>
    <row r="159">
      <c r="A159" s="39" t="s">
        <v>796</v>
      </c>
      <c r="B159" s="40">
        <v>45871.17695628472</v>
      </c>
      <c r="C159" s="44" t="s">
        <v>565</v>
      </c>
      <c r="D159" s="42" t="s">
        <v>566</v>
      </c>
      <c r="E159" s="44" t="s">
        <v>797</v>
      </c>
      <c r="F159" s="43" t="s">
        <v>796</v>
      </c>
      <c r="G159" s="44">
        <v>76.0</v>
      </c>
      <c r="H159" s="50">
        <v>8.0</v>
      </c>
      <c r="I159" s="44">
        <v>9.0</v>
      </c>
      <c r="J159" s="44">
        <v>1.0</v>
      </c>
      <c r="K159" s="45"/>
      <c r="L159" s="45"/>
      <c r="M159" s="45"/>
      <c r="N159" s="44">
        <v>10.0</v>
      </c>
      <c r="O159" s="45"/>
      <c r="P159" s="45"/>
      <c r="Q159" s="45"/>
      <c r="R159" s="45"/>
      <c r="S159" s="45"/>
      <c r="T159" s="45"/>
      <c r="U159" s="45"/>
      <c r="V159" s="46" t="s">
        <v>798</v>
      </c>
      <c r="W159" s="44" t="s">
        <v>799</v>
      </c>
      <c r="X159" s="45"/>
      <c r="Y159" s="45"/>
      <c r="Z159" s="41" t="s">
        <v>570</v>
      </c>
      <c r="AA159" s="44">
        <v>2.0</v>
      </c>
      <c r="AB159" s="45"/>
      <c r="AC159" s="44">
        <v>2.0</v>
      </c>
      <c r="AD159" s="47"/>
      <c r="AE159" s="47"/>
      <c r="AF159" s="47"/>
      <c r="AG159" s="47"/>
      <c r="AH159" s="47"/>
      <c r="AI159" s="38"/>
      <c r="AJ159" s="38"/>
      <c r="AK159" s="38"/>
      <c r="AL159" s="38"/>
      <c r="AM159" s="38"/>
      <c r="AN159" s="38"/>
      <c r="AO159" s="38"/>
      <c r="AP159" s="38"/>
      <c r="AQ159" s="38"/>
      <c r="AR159" s="38"/>
      <c r="AS159" s="38"/>
      <c r="AT159" s="38"/>
      <c r="AU159" s="38"/>
      <c r="AV159" s="38"/>
      <c r="AW159" s="38"/>
      <c r="AX159" s="38"/>
      <c r="AY159" s="38"/>
      <c r="AZ159" s="38"/>
      <c r="BA159" s="38"/>
      <c r="BB159" s="38"/>
      <c r="BC159" s="38"/>
    </row>
    <row r="160">
      <c r="A160" s="48" t="s">
        <v>524</v>
      </c>
      <c r="B160" s="30">
        <v>45871.28260046296</v>
      </c>
      <c r="C160" s="36" t="s">
        <v>525</v>
      </c>
      <c r="D160" s="32" t="s">
        <v>526</v>
      </c>
      <c r="E160" s="36" t="s">
        <v>800</v>
      </c>
      <c r="F160" s="33" t="s">
        <v>524</v>
      </c>
      <c r="G160" s="31">
        <v>175.0</v>
      </c>
      <c r="H160" s="31">
        <v>8.0</v>
      </c>
      <c r="I160" s="31">
        <v>8.0</v>
      </c>
      <c r="J160" s="31">
        <v>0.0</v>
      </c>
      <c r="K160" s="34"/>
      <c r="L160" s="34"/>
      <c r="M160" s="34"/>
      <c r="N160" s="31">
        <v>8.0</v>
      </c>
      <c r="O160" s="34"/>
      <c r="P160" s="34"/>
      <c r="Q160" s="34"/>
      <c r="R160" s="34"/>
      <c r="S160" s="34"/>
      <c r="T160" s="34"/>
      <c r="U160" s="34"/>
      <c r="V160" s="35" t="s">
        <v>801</v>
      </c>
      <c r="W160" s="34"/>
      <c r="X160" s="34"/>
      <c r="Y160" s="34"/>
      <c r="Z160" s="36" t="s">
        <v>802</v>
      </c>
      <c r="AA160" s="31">
        <v>2.0</v>
      </c>
      <c r="AB160" s="34"/>
      <c r="AC160" s="31">
        <v>2.0</v>
      </c>
      <c r="AD160" s="49"/>
      <c r="AE160" s="49"/>
      <c r="AF160" s="49"/>
      <c r="AG160" s="49"/>
      <c r="AH160" s="49"/>
      <c r="AI160" s="38"/>
      <c r="AJ160" s="38"/>
      <c r="AK160" s="38"/>
      <c r="AL160" s="38"/>
      <c r="AM160" s="38"/>
      <c r="AN160" s="38"/>
      <c r="AO160" s="38"/>
      <c r="AP160" s="38"/>
      <c r="AQ160" s="38"/>
      <c r="AR160" s="38"/>
      <c r="AS160" s="38"/>
      <c r="AT160" s="38"/>
      <c r="AU160" s="38"/>
      <c r="AV160" s="38"/>
      <c r="AW160" s="38"/>
      <c r="AX160" s="38"/>
      <c r="AY160" s="38"/>
      <c r="AZ160" s="38"/>
      <c r="BA160" s="38"/>
      <c r="BB160" s="38"/>
      <c r="BC160" s="38"/>
    </row>
    <row r="161">
      <c r="A161" s="39" t="s">
        <v>544</v>
      </c>
      <c r="B161" s="40">
        <v>45871.28664737269</v>
      </c>
      <c r="C161" s="41" t="s">
        <v>545</v>
      </c>
      <c r="D161" s="42" t="s">
        <v>546</v>
      </c>
      <c r="E161" s="41" t="s">
        <v>803</v>
      </c>
      <c r="F161" s="43" t="s">
        <v>544</v>
      </c>
      <c r="G161" s="44">
        <v>160.0</v>
      </c>
      <c r="H161" s="44">
        <v>9.0</v>
      </c>
      <c r="I161" s="44">
        <v>9.0</v>
      </c>
      <c r="J161" s="44">
        <v>0.0</v>
      </c>
      <c r="K161" s="45"/>
      <c r="L161" s="45"/>
      <c r="M161" s="45"/>
      <c r="N161" s="44">
        <v>8.0</v>
      </c>
      <c r="O161" s="45"/>
      <c r="P161" s="45"/>
      <c r="Q161" s="45"/>
      <c r="R161" s="45"/>
      <c r="S161" s="45"/>
      <c r="T161" s="45"/>
      <c r="U161" s="45"/>
      <c r="V161" s="46" t="s">
        <v>804</v>
      </c>
      <c r="W161" s="45"/>
      <c r="X161" s="45"/>
      <c r="Y161" s="45"/>
      <c r="Z161" s="41" t="s">
        <v>802</v>
      </c>
      <c r="AA161" s="44">
        <v>2.0</v>
      </c>
      <c r="AB161" s="45"/>
      <c r="AC161" s="44">
        <v>2.0</v>
      </c>
      <c r="AD161" s="47"/>
      <c r="AE161" s="47"/>
      <c r="AF161" s="47"/>
      <c r="AG161" s="47"/>
      <c r="AH161" s="47"/>
      <c r="AI161" s="38"/>
      <c r="AJ161" s="38"/>
      <c r="AK161" s="38"/>
      <c r="AL161" s="38"/>
      <c r="AM161" s="38"/>
      <c r="AN161" s="38"/>
      <c r="AO161" s="38"/>
      <c r="AP161" s="38"/>
      <c r="AQ161" s="38"/>
      <c r="AR161" s="38"/>
      <c r="AS161" s="38"/>
      <c r="AT161" s="38"/>
      <c r="AU161" s="38"/>
      <c r="AV161" s="38"/>
      <c r="AW161" s="38"/>
      <c r="AX161" s="38"/>
      <c r="AY161" s="38"/>
      <c r="AZ161" s="38"/>
      <c r="BA161" s="38"/>
      <c r="BB161" s="38"/>
      <c r="BC161" s="38"/>
    </row>
    <row r="162">
      <c r="A162" s="48" t="s">
        <v>529</v>
      </c>
      <c r="B162" s="30">
        <v>45871.30604109954</v>
      </c>
      <c r="C162" s="36" t="s">
        <v>530</v>
      </c>
      <c r="D162" s="32" t="s">
        <v>805</v>
      </c>
      <c r="E162" s="36" t="s">
        <v>532</v>
      </c>
      <c r="F162" s="33" t="s">
        <v>529</v>
      </c>
      <c r="G162" s="31">
        <v>470.0</v>
      </c>
      <c r="H162" s="31">
        <v>7.0</v>
      </c>
      <c r="I162" s="31">
        <v>7.0</v>
      </c>
      <c r="J162" s="31">
        <v>0.0</v>
      </c>
      <c r="K162" s="34"/>
      <c r="L162" s="34"/>
      <c r="M162" s="34"/>
      <c r="N162" s="31">
        <v>8.0</v>
      </c>
      <c r="O162" s="34"/>
      <c r="P162" s="34"/>
      <c r="Q162" s="34"/>
      <c r="R162" s="34"/>
      <c r="S162" s="34"/>
      <c r="T162" s="34"/>
      <c r="U162" s="34"/>
      <c r="V162" s="35" t="s">
        <v>806</v>
      </c>
      <c r="W162" s="34"/>
      <c r="X162" s="34"/>
      <c r="Y162" s="34"/>
      <c r="Z162" s="36" t="s">
        <v>802</v>
      </c>
      <c r="AA162" s="31">
        <v>2.0</v>
      </c>
      <c r="AB162" s="34"/>
      <c r="AC162" s="31">
        <v>2.0</v>
      </c>
      <c r="AD162" s="49"/>
      <c r="AE162" s="49"/>
      <c r="AF162" s="49"/>
      <c r="AG162" s="49"/>
      <c r="AH162" s="49"/>
      <c r="AI162" s="38"/>
      <c r="AJ162" s="38"/>
      <c r="AK162" s="38"/>
      <c r="AL162" s="38"/>
      <c r="AM162" s="38"/>
      <c r="AN162" s="38"/>
      <c r="AO162" s="38"/>
      <c r="AP162" s="38"/>
      <c r="AQ162" s="38"/>
      <c r="AR162" s="38"/>
      <c r="AS162" s="38"/>
      <c r="AT162" s="38"/>
      <c r="AU162" s="38"/>
      <c r="AV162" s="38"/>
      <c r="AW162" s="38"/>
      <c r="AX162" s="38"/>
      <c r="AY162" s="38"/>
      <c r="AZ162" s="38"/>
      <c r="BA162" s="38"/>
      <c r="BB162" s="38"/>
      <c r="BC162" s="38"/>
    </row>
    <row r="163">
      <c r="A163" s="39" t="s">
        <v>601</v>
      </c>
      <c r="B163" s="40">
        <v>45871.31839655092</v>
      </c>
      <c r="C163" s="41" t="s">
        <v>807</v>
      </c>
      <c r="D163" s="42" t="s">
        <v>808</v>
      </c>
      <c r="E163" s="41" t="s">
        <v>809</v>
      </c>
      <c r="F163" s="43" t="s">
        <v>601</v>
      </c>
      <c r="G163" s="44">
        <v>425.0</v>
      </c>
      <c r="H163" s="44">
        <v>7.0</v>
      </c>
      <c r="I163" s="44">
        <v>7.0</v>
      </c>
      <c r="J163" s="44">
        <v>1.0</v>
      </c>
      <c r="K163" s="45"/>
      <c r="L163" s="45"/>
      <c r="M163" s="45"/>
      <c r="N163" s="44">
        <v>8.0</v>
      </c>
      <c r="O163" s="45"/>
      <c r="P163" s="45"/>
      <c r="Q163" s="45"/>
      <c r="R163" s="45"/>
      <c r="S163" s="45"/>
      <c r="T163" s="45"/>
      <c r="U163" s="45"/>
      <c r="V163" s="41" t="s">
        <v>810</v>
      </c>
      <c r="W163" s="45"/>
      <c r="X163" s="45"/>
      <c r="Y163" s="45"/>
      <c r="Z163" s="41" t="s">
        <v>802</v>
      </c>
      <c r="AA163" s="44">
        <v>2.0</v>
      </c>
      <c r="AB163" s="45"/>
      <c r="AC163" s="44">
        <v>2.0</v>
      </c>
      <c r="AD163" s="47"/>
      <c r="AE163" s="47"/>
      <c r="AF163" s="47"/>
      <c r="AG163" s="47"/>
      <c r="AH163" s="47"/>
      <c r="AI163" s="38"/>
      <c r="AJ163" s="38"/>
      <c r="AK163" s="38"/>
      <c r="AL163" s="38"/>
      <c r="AM163" s="38"/>
      <c r="AN163" s="38"/>
      <c r="AO163" s="38"/>
      <c r="AP163" s="38"/>
      <c r="AQ163" s="38"/>
      <c r="AR163" s="38"/>
      <c r="AS163" s="38"/>
      <c r="AT163" s="38"/>
      <c r="AU163" s="38"/>
      <c r="AV163" s="38"/>
      <c r="AW163" s="38"/>
      <c r="AX163" s="38"/>
      <c r="AY163" s="38"/>
      <c r="AZ163" s="38"/>
      <c r="BA163" s="38"/>
      <c r="BB163" s="38"/>
      <c r="BC163" s="38"/>
    </row>
    <row r="164">
      <c r="A164" s="48" t="s">
        <v>534</v>
      </c>
      <c r="B164" s="30">
        <v>45871.32438851852</v>
      </c>
      <c r="C164" s="36" t="s">
        <v>519</v>
      </c>
      <c r="D164" s="36" t="s">
        <v>811</v>
      </c>
      <c r="E164" s="36" t="s">
        <v>537</v>
      </c>
      <c r="F164" s="33" t="s">
        <v>534</v>
      </c>
      <c r="G164" s="31">
        <v>460.0</v>
      </c>
      <c r="H164" s="31">
        <v>7.0</v>
      </c>
      <c r="I164" s="31">
        <v>7.0</v>
      </c>
      <c r="J164" s="31">
        <v>1.0</v>
      </c>
      <c r="K164" s="34"/>
      <c r="L164" s="34"/>
      <c r="M164" s="34"/>
      <c r="N164" s="31">
        <v>8.0</v>
      </c>
      <c r="O164" s="34"/>
      <c r="P164" s="34"/>
      <c r="Q164" s="34"/>
      <c r="R164" s="34"/>
      <c r="S164" s="34"/>
      <c r="T164" s="34"/>
      <c r="U164" s="34"/>
      <c r="V164" s="35" t="s">
        <v>812</v>
      </c>
      <c r="W164" s="34"/>
      <c r="X164" s="34"/>
      <c r="Y164" s="34"/>
      <c r="Z164" s="36" t="s">
        <v>802</v>
      </c>
      <c r="AA164" s="31">
        <v>2.0</v>
      </c>
      <c r="AB164" s="34"/>
      <c r="AC164" s="31">
        <v>2.0</v>
      </c>
      <c r="AD164" s="49"/>
      <c r="AE164" s="49"/>
      <c r="AF164" s="49"/>
      <c r="AG164" s="49"/>
      <c r="AH164" s="49"/>
      <c r="AI164" s="38"/>
      <c r="AJ164" s="38"/>
      <c r="AK164" s="38"/>
      <c r="AL164" s="38"/>
      <c r="AM164" s="38"/>
      <c r="AN164" s="38"/>
      <c r="AO164" s="38"/>
      <c r="AP164" s="38"/>
      <c r="AQ164" s="38"/>
      <c r="AR164" s="38"/>
      <c r="AS164" s="38"/>
      <c r="AT164" s="38"/>
      <c r="AU164" s="38"/>
      <c r="AV164" s="38"/>
      <c r="AW164" s="38"/>
      <c r="AX164" s="38"/>
      <c r="AY164" s="38"/>
      <c r="AZ164" s="38"/>
      <c r="BA164" s="38"/>
      <c r="BB164" s="38"/>
      <c r="BC164" s="38"/>
    </row>
    <row r="165">
      <c r="A165" s="39" t="s">
        <v>117</v>
      </c>
      <c r="B165" s="40">
        <v>45877.18010391203</v>
      </c>
      <c r="C165" s="41" t="s">
        <v>118</v>
      </c>
      <c r="D165" s="42" t="s">
        <v>119</v>
      </c>
      <c r="E165" s="41" t="s">
        <v>813</v>
      </c>
      <c r="F165" s="43" t="s">
        <v>117</v>
      </c>
      <c r="G165" s="44">
        <v>137.0</v>
      </c>
      <c r="H165" s="44">
        <v>9.0</v>
      </c>
      <c r="I165" s="44">
        <v>9.0</v>
      </c>
      <c r="J165" s="44">
        <v>1.0</v>
      </c>
      <c r="K165" s="45"/>
      <c r="L165" s="45"/>
      <c r="M165" s="45"/>
      <c r="N165" s="44">
        <v>8.0</v>
      </c>
      <c r="O165" s="45"/>
      <c r="P165" s="45"/>
      <c r="Q165" s="45"/>
      <c r="R165" s="45"/>
      <c r="S165" s="45"/>
      <c r="T165" s="45"/>
      <c r="U165" s="45"/>
      <c r="V165" s="46" t="s">
        <v>814</v>
      </c>
      <c r="W165" s="45"/>
      <c r="X165" s="45"/>
      <c r="Y165" s="45"/>
      <c r="Z165" s="41" t="s">
        <v>122</v>
      </c>
      <c r="AA165" s="44">
        <v>3.0</v>
      </c>
      <c r="AB165" s="45"/>
      <c r="AC165" s="44">
        <v>3.0</v>
      </c>
      <c r="AD165" s="47"/>
      <c r="AE165" s="47"/>
      <c r="AF165" s="47"/>
      <c r="AG165" s="47"/>
      <c r="AH165" s="47"/>
      <c r="AI165" s="38"/>
      <c r="AJ165" s="38"/>
      <c r="AK165" s="38"/>
      <c r="AL165" s="38"/>
      <c r="AM165" s="38"/>
      <c r="AN165" s="38"/>
      <c r="AO165" s="38"/>
      <c r="AP165" s="38"/>
      <c r="AQ165" s="38"/>
      <c r="AR165" s="38"/>
      <c r="AS165" s="38"/>
      <c r="AT165" s="38"/>
      <c r="AU165" s="38"/>
      <c r="AV165" s="38"/>
      <c r="AW165" s="38"/>
      <c r="AX165" s="38"/>
      <c r="AY165" s="38"/>
      <c r="AZ165" s="38"/>
      <c r="BA165" s="38"/>
      <c r="BB165" s="38"/>
      <c r="BC165" s="38"/>
    </row>
    <row r="166">
      <c r="A166" s="48" t="s">
        <v>815</v>
      </c>
      <c r="B166" s="30">
        <v>45877.192761921295</v>
      </c>
      <c r="C166" s="36" t="s">
        <v>136</v>
      </c>
      <c r="D166" s="32" t="s">
        <v>137</v>
      </c>
      <c r="E166" s="36" t="s">
        <v>816</v>
      </c>
      <c r="F166" s="33" t="s">
        <v>815</v>
      </c>
      <c r="G166" s="31">
        <v>814.0</v>
      </c>
      <c r="H166" s="31">
        <v>7.0</v>
      </c>
      <c r="I166" s="31">
        <v>6.0</v>
      </c>
      <c r="J166" s="51">
        <v>3.0</v>
      </c>
      <c r="K166" s="34"/>
      <c r="L166" s="34"/>
      <c r="M166" s="34"/>
      <c r="N166" s="31">
        <v>10.0</v>
      </c>
      <c r="O166" s="34"/>
      <c r="P166" s="34"/>
      <c r="Q166" s="34"/>
      <c r="R166" s="34"/>
      <c r="S166" s="34"/>
      <c r="T166" s="34"/>
      <c r="U166" s="34"/>
      <c r="V166" s="35" t="s">
        <v>817</v>
      </c>
      <c r="W166" s="34"/>
      <c r="X166" s="34"/>
      <c r="Y166" s="34"/>
      <c r="Z166" s="36" t="s">
        <v>139</v>
      </c>
      <c r="AA166" s="31">
        <v>3.0</v>
      </c>
      <c r="AB166" s="34"/>
      <c r="AC166" s="31">
        <v>3.0</v>
      </c>
      <c r="AD166" s="49"/>
      <c r="AE166" s="49"/>
      <c r="AF166" s="49"/>
      <c r="AG166" s="49"/>
      <c r="AH166" s="49"/>
      <c r="AI166" s="38"/>
      <c r="AJ166" s="38"/>
      <c r="AK166" s="38"/>
      <c r="AL166" s="38"/>
      <c r="AM166" s="38"/>
      <c r="AN166" s="38"/>
      <c r="AO166" s="38"/>
      <c r="AP166" s="38"/>
      <c r="AQ166" s="38"/>
      <c r="AR166" s="38"/>
      <c r="AS166" s="38"/>
      <c r="AT166" s="38"/>
      <c r="AU166" s="38"/>
      <c r="AV166" s="38"/>
      <c r="AW166" s="38"/>
      <c r="AX166" s="38"/>
      <c r="AY166" s="38"/>
      <c r="AZ166" s="38"/>
      <c r="BA166" s="38"/>
      <c r="BB166" s="38"/>
      <c r="BC166" s="38"/>
    </row>
    <row r="167">
      <c r="A167" s="39" t="s">
        <v>818</v>
      </c>
      <c r="B167" s="40">
        <v>45877.192893125</v>
      </c>
      <c r="C167" s="41" t="s">
        <v>118</v>
      </c>
      <c r="D167" s="42" t="s">
        <v>119</v>
      </c>
      <c r="E167" s="41" t="s">
        <v>293</v>
      </c>
      <c r="F167" s="43" t="s">
        <v>818</v>
      </c>
      <c r="G167" s="44">
        <v>433.0</v>
      </c>
      <c r="H167" s="44">
        <v>9.0</v>
      </c>
      <c r="I167" s="44">
        <v>8.0</v>
      </c>
      <c r="J167" s="44">
        <v>1.0</v>
      </c>
      <c r="K167" s="45"/>
      <c r="L167" s="45"/>
      <c r="M167" s="45"/>
      <c r="N167" s="44">
        <v>9.0</v>
      </c>
      <c r="O167" s="45"/>
      <c r="P167" s="45"/>
      <c r="Q167" s="45"/>
      <c r="R167" s="45"/>
      <c r="S167" s="45"/>
      <c r="T167" s="45"/>
      <c r="U167" s="45"/>
      <c r="V167" s="46" t="s">
        <v>819</v>
      </c>
      <c r="W167" s="45"/>
      <c r="X167" s="45"/>
      <c r="Y167" s="45"/>
      <c r="Z167" s="41" t="s">
        <v>122</v>
      </c>
      <c r="AA167" s="44">
        <v>3.0</v>
      </c>
      <c r="AB167" s="45"/>
      <c r="AC167" s="44">
        <v>3.0</v>
      </c>
      <c r="AD167" s="47"/>
      <c r="AE167" s="47"/>
      <c r="AF167" s="47"/>
      <c r="AG167" s="47"/>
      <c r="AH167" s="47"/>
      <c r="AI167" s="38"/>
      <c r="AJ167" s="38"/>
      <c r="AK167" s="38"/>
      <c r="AL167" s="38"/>
      <c r="AM167" s="38"/>
      <c r="AN167" s="38"/>
      <c r="AO167" s="38"/>
      <c r="AP167" s="38"/>
      <c r="AQ167" s="38"/>
      <c r="AR167" s="38"/>
      <c r="AS167" s="38"/>
      <c r="AT167" s="38"/>
      <c r="AU167" s="38"/>
      <c r="AV167" s="38"/>
      <c r="AW167" s="38"/>
      <c r="AX167" s="38"/>
      <c r="AY167" s="38"/>
      <c r="AZ167" s="38"/>
      <c r="BA167" s="38"/>
      <c r="BB167" s="38"/>
      <c r="BC167" s="38"/>
    </row>
    <row r="168">
      <c r="A168" s="48" t="s">
        <v>166</v>
      </c>
      <c r="B168" s="30">
        <v>45877.21639163194</v>
      </c>
      <c r="C168" s="36" t="s">
        <v>167</v>
      </c>
      <c r="D168" s="32" t="s">
        <v>168</v>
      </c>
      <c r="E168" s="36" t="s">
        <v>169</v>
      </c>
      <c r="F168" s="33" t="s">
        <v>166</v>
      </c>
      <c r="G168" s="31">
        <v>303.0</v>
      </c>
      <c r="H168" s="31">
        <v>9.0</v>
      </c>
      <c r="I168" s="31">
        <v>9.0</v>
      </c>
      <c r="J168" s="31">
        <v>0.0</v>
      </c>
      <c r="K168" s="34"/>
      <c r="L168" s="34"/>
      <c r="M168" s="34"/>
      <c r="N168" s="31">
        <v>7.0</v>
      </c>
      <c r="O168" s="34"/>
      <c r="P168" s="34"/>
      <c r="Q168" s="34"/>
      <c r="R168" s="34"/>
      <c r="S168" s="34"/>
      <c r="T168" s="34"/>
      <c r="U168" s="34"/>
      <c r="V168" s="35" t="s">
        <v>820</v>
      </c>
      <c r="W168" s="34"/>
      <c r="X168" s="34"/>
      <c r="Y168" s="34"/>
      <c r="Z168" s="36" t="s">
        <v>172</v>
      </c>
      <c r="AA168" s="31">
        <v>3.0</v>
      </c>
      <c r="AB168" s="34"/>
      <c r="AC168" s="31">
        <v>3.0</v>
      </c>
      <c r="AD168" s="49"/>
      <c r="AE168" s="49"/>
      <c r="AF168" s="49"/>
      <c r="AG168" s="49"/>
      <c r="AH168" s="49"/>
      <c r="AI168" s="38"/>
      <c r="AJ168" s="38"/>
      <c r="AK168" s="38"/>
      <c r="AL168" s="38"/>
      <c r="AM168" s="38"/>
      <c r="AN168" s="38"/>
      <c r="AO168" s="38"/>
      <c r="AP168" s="38"/>
      <c r="AQ168" s="38"/>
      <c r="AR168" s="38"/>
      <c r="AS168" s="38"/>
      <c r="AT168" s="38"/>
      <c r="AU168" s="38"/>
      <c r="AV168" s="38"/>
      <c r="AW168" s="38"/>
      <c r="AX168" s="38"/>
      <c r="AY168" s="38"/>
      <c r="AZ168" s="38"/>
      <c r="BA168" s="38"/>
      <c r="BB168" s="38"/>
      <c r="BC168" s="38"/>
    </row>
    <row r="169">
      <c r="A169" s="39" t="s">
        <v>110</v>
      </c>
      <c r="B169" s="40">
        <v>45877.22193105324</v>
      </c>
      <c r="C169" s="41" t="s">
        <v>821</v>
      </c>
      <c r="D169" s="42" t="s">
        <v>112</v>
      </c>
      <c r="E169" s="44" t="s">
        <v>822</v>
      </c>
      <c r="F169" s="43" t="s">
        <v>110</v>
      </c>
      <c r="G169" s="44">
        <v>203.0</v>
      </c>
      <c r="H169" s="44">
        <v>9.0</v>
      </c>
      <c r="I169" s="44">
        <v>8.0</v>
      </c>
      <c r="J169" s="44">
        <v>0.0</v>
      </c>
      <c r="K169" s="45"/>
      <c r="L169" s="45"/>
      <c r="M169" s="45"/>
      <c r="N169" s="44">
        <v>8.0</v>
      </c>
      <c r="O169" s="45"/>
      <c r="P169" s="45"/>
      <c r="Q169" s="45"/>
      <c r="R169" s="45"/>
      <c r="S169" s="45"/>
      <c r="T169" s="45"/>
      <c r="U169" s="45"/>
      <c r="V169" s="46" t="s">
        <v>823</v>
      </c>
      <c r="W169" s="45"/>
      <c r="X169" s="45"/>
      <c r="Y169" s="45"/>
      <c r="Z169" s="41" t="s">
        <v>116</v>
      </c>
      <c r="AA169" s="44">
        <v>3.0</v>
      </c>
      <c r="AB169" s="45"/>
      <c r="AC169" s="44">
        <v>3.0</v>
      </c>
      <c r="AD169" s="47"/>
      <c r="AE169" s="47"/>
      <c r="AF169" s="47"/>
      <c r="AG169" s="47"/>
      <c r="AH169" s="47"/>
      <c r="AI169" s="38"/>
      <c r="AJ169" s="38"/>
      <c r="AK169" s="38"/>
      <c r="AL169" s="38"/>
      <c r="AM169" s="38"/>
      <c r="AN169" s="38"/>
      <c r="AO169" s="38"/>
      <c r="AP169" s="38"/>
      <c r="AQ169" s="38"/>
      <c r="AR169" s="38"/>
      <c r="AS169" s="38"/>
      <c r="AT169" s="38"/>
      <c r="AU169" s="38"/>
      <c r="AV169" s="38"/>
      <c r="AW169" s="38"/>
      <c r="AX169" s="38"/>
      <c r="AY169" s="38"/>
      <c r="AZ169" s="38"/>
      <c r="BA169" s="38"/>
      <c r="BB169" s="38"/>
      <c r="BC169" s="38"/>
    </row>
    <row r="170">
      <c r="A170" s="48" t="s">
        <v>404</v>
      </c>
      <c r="B170" s="30">
        <v>45877.228722581014</v>
      </c>
      <c r="C170" s="36" t="s">
        <v>405</v>
      </c>
      <c r="D170" s="32" t="s">
        <v>824</v>
      </c>
      <c r="E170" s="36" t="s">
        <v>825</v>
      </c>
      <c r="F170" s="33" t="s">
        <v>404</v>
      </c>
      <c r="G170" s="31">
        <v>173.0</v>
      </c>
      <c r="H170" s="31">
        <v>8.0</v>
      </c>
      <c r="I170" s="31">
        <v>8.0</v>
      </c>
      <c r="J170" s="31">
        <v>1.0</v>
      </c>
      <c r="K170" s="34"/>
      <c r="L170" s="34"/>
      <c r="M170" s="34"/>
      <c r="N170" s="31">
        <v>9.0</v>
      </c>
      <c r="O170" s="34"/>
      <c r="P170" s="34"/>
      <c r="Q170" s="34"/>
      <c r="R170" s="34"/>
      <c r="S170" s="34"/>
      <c r="T170" s="34"/>
      <c r="U170" s="34"/>
      <c r="V170" s="35" t="s">
        <v>826</v>
      </c>
      <c r="W170" s="34"/>
      <c r="X170" s="34"/>
      <c r="Y170" s="34"/>
      <c r="Z170" s="36" t="s">
        <v>409</v>
      </c>
      <c r="AA170" s="31">
        <v>3.0</v>
      </c>
      <c r="AB170" s="34"/>
      <c r="AC170" s="31">
        <v>3.0</v>
      </c>
      <c r="AD170" s="49"/>
      <c r="AE170" s="49"/>
      <c r="AF170" s="49"/>
      <c r="AG170" s="49"/>
      <c r="AH170" s="49"/>
      <c r="AI170" s="38"/>
      <c r="AJ170" s="38"/>
      <c r="AK170" s="38"/>
      <c r="AL170" s="38"/>
      <c r="AM170" s="38"/>
      <c r="AN170" s="38"/>
      <c r="AO170" s="38"/>
      <c r="AP170" s="38"/>
      <c r="AQ170" s="38"/>
      <c r="AR170" s="38"/>
      <c r="AS170" s="38"/>
      <c r="AT170" s="38"/>
      <c r="AU170" s="38"/>
      <c r="AV170" s="38"/>
      <c r="AW170" s="38"/>
      <c r="AX170" s="38"/>
      <c r="AY170" s="38"/>
      <c r="AZ170" s="38"/>
      <c r="BA170" s="38"/>
      <c r="BB170" s="38"/>
      <c r="BC170" s="38"/>
    </row>
    <row r="171">
      <c r="A171" s="39" t="s">
        <v>827</v>
      </c>
      <c r="B171" s="40">
        <v>45877.2292312037</v>
      </c>
      <c r="C171" s="41" t="s">
        <v>227</v>
      </c>
      <c r="D171" s="42" t="s">
        <v>228</v>
      </c>
      <c r="E171" s="41" t="s">
        <v>828</v>
      </c>
      <c r="F171" s="43" t="s">
        <v>827</v>
      </c>
      <c r="G171" s="44">
        <v>397.0</v>
      </c>
      <c r="H171" s="44">
        <v>5.0</v>
      </c>
      <c r="I171" s="44">
        <v>5.0</v>
      </c>
      <c r="J171" s="50">
        <v>4.0</v>
      </c>
      <c r="K171" s="45"/>
      <c r="L171" s="45"/>
      <c r="M171" s="45"/>
      <c r="N171" s="44">
        <v>9.0</v>
      </c>
      <c r="O171" s="45"/>
      <c r="P171" s="45"/>
      <c r="Q171" s="45"/>
      <c r="R171" s="45"/>
      <c r="S171" s="45"/>
      <c r="T171" s="45"/>
      <c r="U171" s="45"/>
      <c r="V171" s="46" t="s">
        <v>829</v>
      </c>
      <c r="W171" s="45"/>
      <c r="X171" s="45"/>
      <c r="Y171" s="45"/>
      <c r="Z171" s="41" t="s">
        <v>232</v>
      </c>
      <c r="AA171" s="44">
        <v>3.0</v>
      </c>
      <c r="AB171" s="45"/>
      <c r="AC171" s="44">
        <v>3.0</v>
      </c>
      <c r="AD171" s="47"/>
      <c r="AE171" s="47"/>
      <c r="AF171" s="47"/>
      <c r="AG171" s="47"/>
      <c r="AH171" s="47"/>
      <c r="AI171" s="38"/>
      <c r="AJ171" s="38"/>
      <c r="AK171" s="38"/>
      <c r="AL171" s="38"/>
      <c r="AM171" s="38"/>
      <c r="AN171" s="38"/>
      <c r="AO171" s="38"/>
      <c r="AP171" s="38"/>
      <c r="AQ171" s="38"/>
      <c r="AR171" s="38"/>
      <c r="AS171" s="38"/>
      <c r="AT171" s="38"/>
      <c r="AU171" s="38"/>
      <c r="AV171" s="38"/>
      <c r="AW171" s="38"/>
      <c r="AX171" s="38"/>
      <c r="AY171" s="38"/>
      <c r="AZ171" s="38"/>
      <c r="BA171" s="38"/>
      <c r="BB171" s="38"/>
      <c r="BC171" s="38"/>
    </row>
    <row r="172">
      <c r="A172" s="48" t="s">
        <v>564</v>
      </c>
      <c r="B172" s="30">
        <v>45877.23193865741</v>
      </c>
      <c r="C172" s="31" t="s">
        <v>565</v>
      </c>
      <c r="D172" s="32" t="s">
        <v>566</v>
      </c>
      <c r="E172" s="31" t="s">
        <v>830</v>
      </c>
      <c r="F172" s="33" t="s">
        <v>564</v>
      </c>
      <c r="G172" s="31">
        <v>72.0</v>
      </c>
      <c r="H172" s="31">
        <v>7.0</v>
      </c>
      <c r="I172" s="31">
        <v>5.0</v>
      </c>
      <c r="J172" s="31">
        <v>1.0</v>
      </c>
      <c r="K172" s="34"/>
      <c r="L172" s="34"/>
      <c r="M172" s="34"/>
      <c r="N172" s="31">
        <v>4.0</v>
      </c>
      <c r="O172" s="34"/>
      <c r="P172" s="34"/>
      <c r="Q172" s="34"/>
      <c r="R172" s="34"/>
      <c r="S172" s="34"/>
      <c r="T172" s="34"/>
      <c r="U172" s="34"/>
      <c r="V172" s="35" t="s">
        <v>831</v>
      </c>
      <c r="W172" s="31" t="s">
        <v>832</v>
      </c>
      <c r="X172" s="34"/>
      <c r="Y172" s="34"/>
      <c r="Z172" s="36" t="s">
        <v>570</v>
      </c>
      <c r="AA172" s="31">
        <v>3.0</v>
      </c>
      <c r="AB172" s="34"/>
      <c r="AC172" s="31">
        <v>3.0</v>
      </c>
      <c r="AD172" s="49"/>
      <c r="AE172" s="49"/>
      <c r="AF172" s="49"/>
      <c r="AG172" s="49"/>
      <c r="AH172" s="49"/>
      <c r="AI172" s="38"/>
      <c r="AJ172" s="38"/>
      <c r="AK172" s="38"/>
      <c r="AL172" s="38"/>
      <c r="AM172" s="38"/>
      <c r="AN172" s="38"/>
      <c r="AO172" s="38"/>
      <c r="AP172" s="38"/>
      <c r="AQ172" s="38"/>
      <c r="AR172" s="38"/>
      <c r="AS172" s="38"/>
      <c r="AT172" s="38"/>
      <c r="AU172" s="38"/>
      <c r="AV172" s="38"/>
      <c r="AW172" s="38"/>
      <c r="AX172" s="38"/>
      <c r="AY172" s="38"/>
      <c r="AZ172" s="38"/>
      <c r="BA172" s="38"/>
      <c r="BB172" s="38"/>
      <c r="BC172" s="38"/>
    </row>
    <row r="173">
      <c r="A173" s="39" t="s">
        <v>211</v>
      </c>
      <c r="B173" s="40">
        <v>45877.23203825232</v>
      </c>
      <c r="C173" s="41" t="s">
        <v>212</v>
      </c>
      <c r="D173" s="42" t="s">
        <v>213</v>
      </c>
      <c r="E173" s="41" t="s">
        <v>833</v>
      </c>
      <c r="F173" s="43" t="s">
        <v>211</v>
      </c>
      <c r="G173" s="50">
        <v>49.0</v>
      </c>
      <c r="H173" s="44">
        <v>9.0</v>
      </c>
      <c r="I173" s="44">
        <v>9.0</v>
      </c>
      <c r="J173" s="44">
        <v>1.0</v>
      </c>
      <c r="K173" s="45"/>
      <c r="L173" s="45"/>
      <c r="M173" s="45"/>
      <c r="N173" s="44">
        <v>7.0</v>
      </c>
      <c r="O173" s="45"/>
      <c r="P173" s="45"/>
      <c r="Q173" s="45"/>
      <c r="R173" s="45"/>
      <c r="S173" s="45"/>
      <c r="T173" s="45"/>
      <c r="U173" s="45"/>
      <c r="V173" s="46" t="s">
        <v>834</v>
      </c>
      <c r="W173" s="41" t="s">
        <v>835</v>
      </c>
      <c r="X173" s="45"/>
      <c r="Y173" s="45"/>
      <c r="Z173" s="41" t="s">
        <v>663</v>
      </c>
      <c r="AA173" s="44">
        <v>3.0</v>
      </c>
      <c r="AB173" s="45"/>
      <c r="AC173" s="44">
        <v>3.0</v>
      </c>
      <c r="AD173" s="47"/>
      <c r="AE173" s="47"/>
      <c r="AF173" s="47"/>
      <c r="AG173" s="47"/>
      <c r="AH173" s="47"/>
      <c r="AI173" s="38"/>
      <c r="AJ173" s="38"/>
      <c r="AK173" s="38"/>
      <c r="AL173" s="38"/>
      <c r="AM173" s="38"/>
      <c r="AN173" s="38"/>
      <c r="AO173" s="38"/>
      <c r="AP173" s="38"/>
      <c r="AQ173" s="38"/>
      <c r="AR173" s="38"/>
      <c r="AS173" s="38"/>
      <c r="AT173" s="38"/>
      <c r="AU173" s="38"/>
      <c r="AV173" s="38"/>
      <c r="AW173" s="38"/>
      <c r="AX173" s="38"/>
      <c r="AY173" s="38"/>
      <c r="AZ173" s="38"/>
      <c r="BA173" s="38"/>
      <c r="BB173" s="38"/>
      <c r="BC173" s="38"/>
    </row>
    <row r="174">
      <c r="A174" s="48" t="s">
        <v>632</v>
      </c>
      <c r="B174" s="30">
        <v>45877.235705</v>
      </c>
      <c r="C174" s="36" t="s">
        <v>836</v>
      </c>
      <c r="D174" s="32" t="s">
        <v>69</v>
      </c>
      <c r="E174" s="36" t="s">
        <v>837</v>
      </c>
      <c r="F174" s="33" t="s">
        <v>632</v>
      </c>
      <c r="G174" s="31">
        <v>280.0</v>
      </c>
      <c r="H174" s="31">
        <v>10.0</v>
      </c>
      <c r="I174" s="31">
        <v>10.0</v>
      </c>
      <c r="J174" s="36" t="s">
        <v>197</v>
      </c>
      <c r="K174" s="34"/>
      <c r="L174" s="34"/>
      <c r="M174" s="34"/>
      <c r="N174" s="31">
        <v>10.0</v>
      </c>
      <c r="O174" s="34"/>
      <c r="P174" s="34"/>
      <c r="Q174" s="34"/>
      <c r="R174" s="34"/>
      <c r="S174" s="34"/>
      <c r="T174" s="34"/>
      <c r="U174" s="34"/>
      <c r="V174" s="35" t="s">
        <v>838</v>
      </c>
      <c r="W174" s="36" t="s">
        <v>839</v>
      </c>
      <c r="X174" s="34"/>
      <c r="Y174" s="34"/>
      <c r="Z174" s="36" t="s">
        <v>73</v>
      </c>
      <c r="AA174" s="31">
        <v>3.0</v>
      </c>
      <c r="AB174" s="34"/>
      <c r="AC174" s="31">
        <v>3.0</v>
      </c>
      <c r="AD174" s="49"/>
      <c r="AE174" s="49"/>
      <c r="AF174" s="49"/>
      <c r="AG174" s="49"/>
      <c r="AH174" s="49"/>
      <c r="AI174" s="38"/>
      <c r="AJ174" s="38"/>
      <c r="AK174" s="38"/>
      <c r="AL174" s="38"/>
      <c r="AM174" s="38"/>
      <c r="AN174" s="38"/>
      <c r="AO174" s="38"/>
      <c r="AP174" s="38"/>
      <c r="AQ174" s="38"/>
      <c r="AR174" s="38"/>
      <c r="AS174" s="38"/>
      <c r="AT174" s="38"/>
      <c r="AU174" s="38"/>
      <c r="AV174" s="38"/>
      <c r="AW174" s="38"/>
      <c r="AX174" s="38"/>
      <c r="AY174" s="38"/>
      <c r="AZ174" s="38"/>
      <c r="BA174" s="38"/>
      <c r="BB174" s="38"/>
      <c r="BC174" s="38"/>
    </row>
    <row r="175">
      <c r="A175" s="39" t="s">
        <v>251</v>
      </c>
      <c r="B175" s="40">
        <v>45877.235733194444</v>
      </c>
      <c r="C175" s="41" t="s">
        <v>701</v>
      </c>
      <c r="D175" s="42" t="s">
        <v>253</v>
      </c>
      <c r="E175" s="41" t="s">
        <v>840</v>
      </c>
      <c r="F175" s="43" t="s">
        <v>251</v>
      </c>
      <c r="G175" s="44">
        <v>177.0</v>
      </c>
      <c r="H175" s="44">
        <v>8.0</v>
      </c>
      <c r="I175" s="44">
        <v>8.0</v>
      </c>
      <c r="J175" s="41" t="s">
        <v>197</v>
      </c>
      <c r="K175" s="45"/>
      <c r="L175" s="45"/>
      <c r="M175" s="45"/>
      <c r="N175" s="44">
        <v>8.0</v>
      </c>
      <c r="O175" s="45"/>
      <c r="P175" s="45"/>
      <c r="Q175" s="45"/>
      <c r="R175" s="45"/>
      <c r="S175" s="45"/>
      <c r="T175" s="45"/>
      <c r="U175" s="45"/>
      <c r="V175" s="46" t="s">
        <v>841</v>
      </c>
      <c r="W175" s="45"/>
      <c r="X175" s="45"/>
      <c r="Y175" s="45"/>
      <c r="Z175" s="41" t="s">
        <v>257</v>
      </c>
      <c r="AA175" s="44">
        <v>3.0</v>
      </c>
      <c r="AB175" s="45"/>
      <c r="AC175" s="44">
        <v>3.0</v>
      </c>
      <c r="AD175" s="47"/>
      <c r="AE175" s="47"/>
      <c r="AF175" s="47"/>
      <c r="AG175" s="47"/>
      <c r="AH175" s="47"/>
      <c r="AI175" s="38"/>
      <c r="AJ175" s="38"/>
      <c r="AK175" s="38"/>
      <c r="AL175" s="38"/>
      <c r="AM175" s="38"/>
      <c r="AN175" s="38"/>
      <c r="AO175" s="38"/>
      <c r="AP175" s="38"/>
      <c r="AQ175" s="38"/>
      <c r="AR175" s="38"/>
      <c r="AS175" s="38"/>
      <c r="AT175" s="38"/>
      <c r="AU175" s="38"/>
      <c r="AV175" s="38"/>
      <c r="AW175" s="38"/>
      <c r="AX175" s="38"/>
      <c r="AY175" s="38"/>
      <c r="AZ175" s="38"/>
      <c r="BA175" s="38"/>
      <c r="BB175" s="38"/>
      <c r="BC175" s="38"/>
    </row>
    <row r="176">
      <c r="A176" s="48" t="s">
        <v>180</v>
      </c>
      <c r="B176" s="30">
        <v>45877.23685513889</v>
      </c>
      <c r="C176" s="36" t="s">
        <v>181</v>
      </c>
      <c r="D176" s="32" t="s">
        <v>182</v>
      </c>
      <c r="E176" s="36" t="s">
        <v>842</v>
      </c>
      <c r="F176" s="33" t="s">
        <v>180</v>
      </c>
      <c r="G176" s="31">
        <v>433.0</v>
      </c>
      <c r="H176" s="31">
        <v>9.0</v>
      </c>
      <c r="I176" s="31">
        <v>8.0</v>
      </c>
      <c r="J176" s="55">
        <v>1.0</v>
      </c>
      <c r="K176" s="34"/>
      <c r="L176" s="34"/>
      <c r="M176" s="34"/>
      <c r="N176" s="31">
        <v>9.0</v>
      </c>
      <c r="O176" s="34"/>
      <c r="P176" s="34"/>
      <c r="Q176" s="34"/>
      <c r="R176" s="34"/>
      <c r="S176" s="34"/>
      <c r="T176" s="34"/>
      <c r="U176" s="34"/>
      <c r="V176" s="35" t="s">
        <v>843</v>
      </c>
      <c r="W176" s="34"/>
      <c r="X176" s="34"/>
      <c r="Y176" s="34"/>
      <c r="Z176" s="36" t="s">
        <v>185</v>
      </c>
      <c r="AA176" s="31">
        <v>3.0</v>
      </c>
      <c r="AB176" s="34"/>
      <c r="AC176" s="31">
        <v>3.0</v>
      </c>
      <c r="AD176" s="49"/>
      <c r="AE176" s="49"/>
      <c r="AF176" s="49"/>
      <c r="AG176" s="49"/>
      <c r="AH176" s="49"/>
      <c r="AI176" s="38"/>
      <c r="AJ176" s="38"/>
      <c r="AK176" s="38"/>
      <c r="AL176" s="38"/>
      <c r="AM176" s="38"/>
      <c r="AN176" s="38"/>
      <c r="AO176" s="38"/>
      <c r="AP176" s="38"/>
      <c r="AQ176" s="38"/>
      <c r="AR176" s="38"/>
      <c r="AS176" s="38"/>
      <c r="AT176" s="38"/>
      <c r="AU176" s="38"/>
      <c r="AV176" s="38"/>
      <c r="AW176" s="38"/>
      <c r="AX176" s="38"/>
      <c r="AY176" s="38"/>
      <c r="AZ176" s="38"/>
      <c r="BA176" s="38"/>
      <c r="BB176" s="38"/>
      <c r="BC176" s="38"/>
    </row>
    <row r="177">
      <c r="A177" s="39" t="s">
        <v>67</v>
      </c>
      <c r="B177" s="40">
        <v>45877.2377796875</v>
      </c>
      <c r="C177" s="41" t="s">
        <v>836</v>
      </c>
      <c r="D177" s="42" t="s">
        <v>69</v>
      </c>
      <c r="E177" s="41" t="s">
        <v>844</v>
      </c>
      <c r="F177" s="43" t="s">
        <v>67</v>
      </c>
      <c r="G177" s="44">
        <v>162.0</v>
      </c>
      <c r="H177" s="44">
        <v>9.0</v>
      </c>
      <c r="I177" s="44">
        <v>9.0</v>
      </c>
      <c r="J177" s="41" t="s">
        <v>197</v>
      </c>
      <c r="K177" s="45"/>
      <c r="L177" s="45"/>
      <c r="M177" s="45"/>
      <c r="N177" s="44">
        <v>9.0</v>
      </c>
      <c r="O177" s="45"/>
      <c r="P177" s="45"/>
      <c r="Q177" s="45"/>
      <c r="R177" s="45"/>
      <c r="S177" s="45"/>
      <c r="T177" s="45"/>
      <c r="U177" s="45"/>
      <c r="V177" s="46" t="s">
        <v>845</v>
      </c>
      <c r="W177" s="41" t="s">
        <v>453</v>
      </c>
      <c r="X177" s="45"/>
      <c r="Y177" s="45"/>
      <c r="Z177" s="41" t="s">
        <v>73</v>
      </c>
      <c r="AA177" s="44">
        <v>3.0</v>
      </c>
      <c r="AB177" s="45"/>
      <c r="AC177" s="44">
        <v>3.0</v>
      </c>
      <c r="AD177" s="47"/>
      <c r="AE177" s="47"/>
      <c r="AF177" s="47"/>
      <c r="AG177" s="47"/>
      <c r="AH177" s="47"/>
      <c r="AI177" s="38"/>
      <c r="AJ177" s="38"/>
      <c r="AK177" s="38"/>
      <c r="AL177" s="38"/>
      <c r="AM177" s="38"/>
      <c r="AN177" s="38"/>
      <c r="AO177" s="38"/>
      <c r="AP177" s="38"/>
      <c r="AQ177" s="38"/>
      <c r="AR177" s="38"/>
      <c r="AS177" s="38"/>
      <c r="AT177" s="38"/>
      <c r="AU177" s="38"/>
      <c r="AV177" s="38"/>
      <c r="AW177" s="38"/>
      <c r="AX177" s="38"/>
      <c r="AY177" s="38"/>
      <c r="AZ177" s="38"/>
      <c r="BA177" s="38"/>
      <c r="BB177" s="38"/>
      <c r="BC177" s="38"/>
    </row>
    <row r="178">
      <c r="A178" s="48" t="s">
        <v>147</v>
      </c>
      <c r="B178" s="30">
        <v>45877.23900646991</v>
      </c>
      <c r="C178" s="36" t="s">
        <v>148</v>
      </c>
      <c r="D178" s="32" t="s">
        <v>149</v>
      </c>
      <c r="E178" s="36" t="s">
        <v>846</v>
      </c>
      <c r="F178" s="33" t="s">
        <v>147</v>
      </c>
      <c r="G178" s="31">
        <v>1015.0</v>
      </c>
      <c r="H178" s="31">
        <v>8.0</v>
      </c>
      <c r="I178" s="31">
        <v>8.0</v>
      </c>
      <c r="J178" s="31">
        <v>0.0</v>
      </c>
      <c r="K178" s="34"/>
      <c r="L178" s="34"/>
      <c r="M178" s="34"/>
      <c r="N178" s="31">
        <v>8.0</v>
      </c>
      <c r="O178" s="34"/>
      <c r="P178" s="34"/>
      <c r="Q178" s="34"/>
      <c r="R178" s="34"/>
      <c r="S178" s="34"/>
      <c r="T178" s="34"/>
      <c r="U178" s="34"/>
      <c r="V178" s="35" t="s">
        <v>847</v>
      </c>
      <c r="W178" s="36" t="s">
        <v>178</v>
      </c>
      <c r="X178" s="34"/>
      <c r="Y178" s="34"/>
      <c r="Z178" s="36" t="s">
        <v>152</v>
      </c>
      <c r="AA178" s="31">
        <v>3.0</v>
      </c>
      <c r="AB178" s="34"/>
      <c r="AC178" s="31">
        <v>3.0</v>
      </c>
      <c r="AD178" s="49"/>
      <c r="AE178" s="49"/>
      <c r="AF178" s="49"/>
      <c r="AG178" s="49"/>
      <c r="AH178" s="49"/>
      <c r="AI178" s="38"/>
      <c r="AJ178" s="38"/>
      <c r="AK178" s="38"/>
      <c r="AL178" s="38"/>
      <c r="AM178" s="38"/>
      <c r="AN178" s="38"/>
      <c r="AO178" s="38"/>
      <c r="AP178" s="38"/>
      <c r="AQ178" s="38"/>
      <c r="AR178" s="38"/>
      <c r="AS178" s="38"/>
      <c r="AT178" s="38"/>
      <c r="AU178" s="38"/>
      <c r="AV178" s="38"/>
      <c r="AW178" s="38"/>
      <c r="AX178" s="38"/>
      <c r="AY178" s="38"/>
      <c r="AZ178" s="38"/>
      <c r="BA178" s="38"/>
      <c r="BB178" s="38"/>
      <c r="BC178" s="38"/>
    </row>
    <row r="179">
      <c r="A179" s="39" t="s">
        <v>848</v>
      </c>
      <c r="B179" s="40">
        <v>45877.23983150463</v>
      </c>
      <c r="C179" s="41" t="s">
        <v>849</v>
      </c>
      <c r="D179" s="42" t="s">
        <v>560</v>
      </c>
      <c r="E179" s="41" t="s">
        <v>850</v>
      </c>
      <c r="F179" s="43" t="s">
        <v>848</v>
      </c>
      <c r="G179" s="50">
        <v>48.0</v>
      </c>
      <c r="H179" s="44">
        <v>7.0</v>
      </c>
      <c r="I179" s="44">
        <v>5.0</v>
      </c>
      <c r="J179" s="44">
        <v>2.0</v>
      </c>
      <c r="K179" s="45"/>
      <c r="L179" s="45"/>
      <c r="M179" s="45"/>
      <c r="N179" s="44">
        <v>8.0</v>
      </c>
      <c r="O179" s="45"/>
      <c r="P179" s="45"/>
      <c r="Q179" s="45"/>
      <c r="R179" s="45"/>
      <c r="S179" s="45"/>
      <c r="T179" s="45"/>
      <c r="U179" s="45"/>
      <c r="V179" s="46" t="s">
        <v>851</v>
      </c>
      <c r="W179" s="41" t="s">
        <v>852</v>
      </c>
      <c r="X179" s="45"/>
      <c r="Y179" s="45"/>
      <c r="Z179" s="41" t="s">
        <v>853</v>
      </c>
      <c r="AA179" s="44">
        <v>3.0</v>
      </c>
      <c r="AB179" s="45"/>
      <c r="AC179" s="44">
        <v>3.0</v>
      </c>
      <c r="AD179" s="47"/>
      <c r="AE179" s="47"/>
      <c r="AF179" s="47"/>
      <c r="AG179" s="47"/>
      <c r="AH179" s="47"/>
      <c r="AI179" s="38"/>
      <c r="AJ179" s="38"/>
      <c r="AK179" s="38"/>
      <c r="AL179" s="38"/>
      <c r="AM179" s="38"/>
      <c r="AN179" s="38"/>
      <c r="AO179" s="38"/>
      <c r="AP179" s="38"/>
      <c r="AQ179" s="38"/>
      <c r="AR179" s="38"/>
      <c r="AS179" s="38"/>
      <c r="AT179" s="38"/>
      <c r="AU179" s="38"/>
      <c r="AV179" s="38"/>
      <c r="AW179" s="38"/>
      <c r="AX179" s="38"/>
      <c r="AY179" s="38"/>
      <c r="AZ179" s="38"/>
      <c r="BA179" s="38"/>
      <c r="BB179" s="38"/>
      <c r="BC179" s="38"/>
    </row>
    <row r="180">
      <c r="A180" s="48" t="s">
        <v>80</v>
      </c>
      <c r="B180" s="30">
        <v>45877.24165297454</v>
      </c>
      <c r="C180" s="36" t="s">
        <v>75</v>
      </c>
      <c r="D180" s="32" t="s">
        <v>76</v>
      </c>
      <c r="E180" s="36" t="s">
        <v>81</v>
      </c>
      <c r="F180" s="33" t="s">
        <v>80</v>
      </c>
      <c r="G180" s="31">
        <v>80.0</v>
      </c>
      <c r="H180" s="31">
        <v>5.0</v>
      </c>
      <c r="I180" s="31">
        <v>5.0</v>
      </c>
      <c r="J180" s="31">
        <v>3.0</v>
      </c>
      <c r="K180" s="34"/>
      <c r="L180" s="34"/>
      <c r="M180" s="34"/>
      <c r="N180" s="31">
        <v>7.0</v>
      </c>
      <c r="O180" s="34"/>
      <c r="P180" s="34"/>
      <c r="Q180" s="34"/>
      <c r="R180" s="34"/>
      <c r="S180" s="34"/>
      <c r="T180" s="34"/>
      <c r="U180" s="34"/>
      <c r="V180" s="35" t="s">
        <v>854</v>
      </c>
      <c r="W180" s="34"/>
      <c r="X180" s="34"/>
      <c r="Y180" s="34"/>
      <c r="Z180" s="36" t="s">
        <v>79</v>
      </c>
      <c r="AA180" s="31">
        <v>3.0</v>
      </c>
      <c r="AB180" s="34"/>
      <c r="AC180" s="31">
        <v>3.0</v>
      </c>
      <c r="AD180" s="49"/>
      <c r="AE180" s="49"/>
      <c r="AF180" s="49"/>
      <c r="AG180" s="49"/>
      <c r="AH180" s="49"/>
      <c r="AI180" s="38"/>
      <c r="AJ180" s="38"/>
      <c r="AK180" s="38"/>
      <c r="AL180" s="38"/>
      <c r="AM180" s="38"/>
      <c r="AN180" s="38"/>
      <c r="AO180" s="38"/>
      <c r="AP180" s="38"/>
      <c r="AQ180" s="38"/>
      <c r="AR180" s="38"/>
      <c r="AS180" s="38"/>
      <c r="AT180" s="38"/>
      <c r="AU180" s="38"/>
      <c r="AV180" s="38"/>
      <c r="AW180" s="38"/>
      <c r="AX180" s="38"/>
      <c r="AY180" s="38"/>
      <c r="AZ180" s="38"/>
      <c r="BA180" s="38"/>
      <c r="BB180" s="38"/>
      <c r="BC180" s="38"/>
    </row>
    <row r="181">
      <c r="A181" s="39" t="s">
        <v>186</v>
      </c>
      <c r="B181" s="40">
        <v>45877.2450046875</v>
      </c>
      <c r="C181" s="41" t="s">
        <v>677</v>
      </c>
      <c r="D181" s="42" t="s">
        <v>678</v>
      </c>
      <c r="E181" s="41" t="s">
        <v>855</v>
      </c>
      <c r="F181" s="43" t="s">
        <v>186</v>
      </c>
      <c r="G181" s="44">
        <v>321.0</v>
      </c>
      <c r="H181" s="44">
        <v>9.0</v>
      </c>
      <c r="I181" s="44">
        <v>9.0</v>
      </c>
      <c r="J181" s="44">
        <v>0.0</v>
      </c>
      <c r="K181" s="45"/>
      <c r="L181" s="45"/>
      <c r="M181" s="45"/>
      <c r="N181" s="44">
        <v>9.0</v>
      </c>
      <c r="O181" s="45"/>
      <c r="P181" s="45"/>
      <c r="Q181" s="45"/>
      <c r="R181" s="45"/>
      <c r="S181" s="45"/>
      <c r="T181" s="45"/>
      <c r="U181" s="45"/>
      <c r="V181" s="46" t="s">
        <v>856</v>
      </c>
      <c r="W181" s="45"/>
      <c r="X181" s="45"/>
      <c r="Y181" s="45"/>
      <c r="Z181" s="41" t="s">
        <v>191</v>
      </c>
      <c r="AA181" s="44">
        <v>3.0</v>
      </c>
      <c r="AB181" s="45"/>
      <c r="AC181" s="44">
        <v>3.0</v>
      </c>
      <c r="AD181" s="47"/>
      <c r="AE181" s="47"/>
      <c r="AF181" s="47"/>
      <c r="AG181" s="47"/>
      <c r="AH181" s="47"/>
      <c r="AI181" s="38"/>
      <c r="AJ181" s="38"/>
      <c r="AK181" s="38"/>
      <c r="AL181" s="38"/>
      <c r="AM181" s="38"/>
      <c r="AN181" s="38"/>
      <c r="AO181" s="38"/>
      <c r="AP181" s="38"/>
      <c r="AQ181" s="38"/>
      <c r="AR181" s="38"/>
      <c r="AS181" s="38"/>
      <c r="AT181" s="38"/>
      <c r="AU181" s="38"/>
      <c r="AV181" s="38"/>
      <c r="AW181" s="38"/>
      <c r="AX181" s="38"/>
      <c r="AY181" s="38"/>
      <c r="AZ181" s="38"/>
      <c r="BA181" s="38"/>
      <c r="BB181" s="38"/>
      <c r="BC181" s="38"/>
    </row>
    <row r="182">
      <c r="A182" s="48" t="s">
        <v>857</v>
      </c>
      <c r="B182" s="30">
        <v>45877.24846190972</v>
      </c>
      <c r="C182" s="36" t="s">
        <v>506</v>
      </c>
      <c r="D182" s="32" t="s">
        <v>858</v>
      </c>
      <c r="E182" s="36" t="s">
        <v>859</v>
      </c>
      <c r="F182" s="33" t="s">
        <v>857</v>
      </c>
      <c r="G182" s="31">
        <v>80.0</v>
      </c>
      <c r="H182" s="31">
        <v>8.0</v>
      </c>
      <c r="I182" s="31">
        <v>6.0</v>
      </c>
      <c r="J182" s="31">
        <v>3.0</v>
      </c>
      <c r="K182" s="34"/>
      <c r="L182" s="34"/>
      <c r="M182" s="34"/>
      <c r="N182" s="31">
        <v>7.0</v>
      </c>
      <c r="O182" s="34"/>
      <c r="P182" s="34"/>
      <c r="Q182" s="34"/>
      <c r="R182" s="34"/>
      <c r="S182" s="34"/>
      <c r="T182" s="34"/>
      <c r="U182" s="34"/>
      <c r="V182" s="35" t="s">
        <v>860</v>
      </c>
      <c r="W182" s="34"/>
      <c r="X182" s="34"/>
      <c r="Y182" s="34"/>
      <c r="Z182" s="36" t="s">
        <v>511</v>
      </c>
      <c r="AA182" s="31">
        <v>3.0</v>
      </c>
      <c r="AB182" s="34"/>
      <c r="AC182" s="31">
        <v>3.0</v>
      </c>
      <c r="AD182" s="49"/>
      <c r="AE182" s="49"/>
      <c r="AF182" s="49"/>
      <c r="AG182" s="49"/>
      <c r="AH182" s="49"/>
      <c r="AI182" s="38"/>
      <c r="AJ182" s="38"/>
      <c r="AK182" s="38"/>
      <c r="AL182" s="38"/>
      <c r="AM182" s="38"/>
      <c r="AN182" s="38"/>
      <c r="AO182" s="38"/>
      <c r="AP182" s="38"/>
      <c r="AQ182" s="38"/>
      <c r="AR182" s="38"/>
      <c r="AS182" s="38"/>
      <c r="AT182" s="38"/>
      <c r="AU182" s="38"/>
      <c r="AV182" s="38"/>
      <c r="AW182" s="38"/>
      <c r="AX182" s="38"/>
      <c r="AY182" s="38"/>
      <c r="AZ182" s="38"/>
      <c r="BA182" s="38"/>
      <c r="BB182" s="38"/>
      <c r="BC182" s="38"/>
    </row>
    <row r="183">
      <c r="A183" s="39" t="s">
        <v>55</v>
      </c>
      <c r="B183" s="40">
        <v>45877.250760625</v>
      </c>
      <c r="C183" s="41" t="s">
        <v>346</v>
      </c>
      <c r="D183" s="42" t="s">
        <v>347</v>
      </c>
      <c r="E183" s="41" t="s">
        <v>861</v>
      </c>
      <c r="F183" s="43" t="s">
        <v>55</v>
      </c>
      <c r="G183" s="44">
        <v>243.0</v>
      </c>
      <c r="H183" s="44">
        <v>9.0</v>
      </c>
      <c r="I183" s="44">
        <v>8.0</v>
      </c>
      <c r="J183" s="44">
        <v>0.0</v>
      </c>
      <c r="K183" s="45"/>
      <c r="L183" s="45"/>
      <c r="M183" s="45"/>
      <c r="N183" s="44">
        <v>10.0</v>
      </c>
      <c r="O183" s="45"/>
      <c r="P183" s="45"/>
      <c r="Q183" s="45"/>
      <c r="R183" s="45"/>
      <c r="S183" s="45"/>
      <c r="T183" s="45"/>
      <c r="U183" s="45"/>
      <c r="V183" s="46" t="s">
        <v>862</v>
      </c>
      <c r="W183" s="45"/>
      <c r="X183" s="45"/>
      <c r="Y183" s="45"/>
      <c r="Z183" s="41" t="s">
        <v>351</v>
      </c>
      <c r="AA183" s="44">
        <v>3.0</v>
      </c>
      <c r="AB183" s="45"/>
      <c r="AC183" s="44">
        <v>3.0</v>
      </c>
      <c r="AD183" s="47"/>
      <c r="AE183" s="47"/>
      <c r="AF183" s="47"/>
      <c r="AG183" s="47"/>
      <c r="AH183" s="47"/>
      <c r="AI183" s="38"/>
      <c r="AJ183" s="38"/>
      <c r="AK183" s="38"/>
      <c r="AL183" s="38"/>
      <c r="AM183" s="38"/>
      <c r="AN183" s="38"/>
      <c r="AO183" s="38"/>
      <c r="AP183" s="38"/>
      <c r="AQ183" s="38"/>
      <c r="AR183" s="38"/>
      <c r="AS183" s="38"/>
      <c r="AT183" s="38"/>
      <c r="AU183" s="38"/>
      <c r="AV183" s="38"/>
      <c r="AW183" s="38"/>
      <c r="AX183" s="38"/>
      <c r="AY183" s="38"/>
      <c r="AZ183" s="38"/>
      <c r="BA183" s="38"/>
      <c r="BB183" s="38"/>
      <c r="BC183" s="38"/>
    </row>
    <row r="184">
      <c r="A184" s="48" t="s">
        <v>48</v>
      </c>
      <c r="B184" s="30">
        <v>45877.252139062504</v>
      </c>
      <c r="C184" s="36" t="s">
        <v>863</v>
      </c>
      <c r="D184" s="32" t="s">
        <v>864</v>
      </c>
      <c r="E184" s="36" t="s">
        <v>865</v>
      </c>
      <c r="F184" s="33" t="s">
        <v>48</v>
      </c>
      <c r="G184" s="51">
        <v>133.0</v>
      </c>
      <c r="H184" s="31">
        <v>8.0</v>
      </c>
      <c r="I184" s="31">
        <v>9.0</v>
      </c>
      <c r="J184" s="31">
        <v>0.0</v>
      </c>
      <c r="K184" s="34"/>
      <c r="L184" s="34"/>
      <c r="M184" s="34"/>
      <c r="N184" s="31">
        <v>8.0</v>
      </c>
      <c r="O184" s="34"/>
      <c r="P184" s="34"/>
      <c r="Q184" s="34"/>
      <c r="R184" s="34"/>
      <c r="S184" s="34"/>
      <c r="T184" s="34"/>
      <c r="U184" s="34"/>
      <c r="V184" s="35" t="s">
        <v>866</v>
      </c>
      <c r="W184" s="36" t="s">
        <v>197</v>
      </c>
      <c r="X184" s="34"/>
      <c r="Y184" s="34"/>
      <c r="Z184" s="36" t="s">
        <v>867</v>
      </c>
      <c r="AA184" s="31">
        <v>3.0</v>
      </c>
      <c r="AB184" s="34"/>
      <c r="AC184" s="31">
        <v>3.0</v>
      </c>
      <c r="AD184" s="49"/>
      <c r="AE184" s="49"/>
      <c r="AF184" s="49"/>
      <c r="AG184" s="49"/>
      <c r="AH184" s="49"/>
      <c r="AI184" s="38"/>
      <c r="AJ184" s="38"/>
      <c r="AK184" s="38"/>
      <c r="AL184" s="38"/>
      <c r="AM184" s="38"/>
      <c r="AN184" s="38"/>
      <c r="AO184" s="38"/>
      <c r="AP184" s="38"/>
      <c r="AQ184" s="38"/>
      <c r="AR184" s="38"/>
      <c r="AS184" s="38"/>
      <c r="AT184" s="38"/>
      <c r="AU184" s="38"/>
      <c r="AV184" s="38"/>
      <c r="AW184" s="38"/>
      <c r="AX184" s="38"/>
      <c r="AY184" s="38"/>
      <c r="AZ184" s="38"/>
      <c r="BA184" s="38"/>
      <c r="BB184" s="38"/>
      <c r="BC184" s="38"/>
    </row>
    <row r="185">
      <c r="A185" s="39" t="s">
        <v>95</v>
      </c>
      <c r="B185" s="40">
        <v>45877.25221364583</v>
      </c>
      <c r="C185" s="41" t="s">
        <v>96</v>
      </c>
      <c r="D185" s="41" t="s">
        <v>704</v>
      </c>
      <c r="E185" s="41" t="s">
        <v>705</v>
      </c>
      <c r="F185" s="43" t="s">
        <v>95</v>
      </c>
      <c r="G185" s="50">
        <v>295.0</v>
      </c>
      <c r="H185" s="44">
        <v>7.0</v>
      </c>
      <c r="I185" s="44">
        <v>7.0</v>
      </c>
      <c r="J185" s="44">
        <v>3.0</v>
      </c>
      <c r="K185" s="45"/>
      <c r="L185" s="45"/>
      <c r="M185" s="45"/>
      <c r="N185" s="44">
        <v>8.0</v>
      </c>
      <c r="O185" s="45"/>
      <c r="P185" s="45"/>
      <c r="Q185" s="45"/>
      <c r="R185" s="45"/>
      <c r="S185" s="45"/>
      <c r="T185" s="45"/>
      <c r="U185" s="45"/>
      <c r="V185" s="46" t="s">
        <v>868</v>
      </c>
      <c r="W185" s="41" t="s">
        <v>869</v>
      </c>
      <c r="X185" s="45"/>
      <c r="Y185" s="45"/>
      <c r="Z185" s="41" t="s">
        <v>102</v>
      </c>
      <c r="AA185" s="44">
        <v>3.0</v>
      </c>
      <c r="AB185" s="45"/>
      <c r="AC185" s="44">
        <v>3.0</v>
      </c>
      <c r="AD185" s="47"/>
      <c r="AE185" s="47"/>
      <c r="AF185" s="47"/>
      <c r="AG185" s="47"/>
      <c r="AH185" s="47"/>
      <c r="AI185" s="38"/>
      <c r="AJ185" s="38"/>
      <c r="AK185" s="38"/>
      <c r="AL185" s="38"/>
      <c r="AM185" s="38"/>
      <c r="AN185" s="38"/>
      <c r="AO185" s="38"/>
      <c r="AP185" s="38"/>
      <c r="AQ185" s="38"/>
      <c r="AR185" s="38"/>
      <c r="AS185" s="38"/>
      <c r="AT185" s="38"/>
      <c r="AU185" s="38"/>
      <c r="AV185" s="38"/>
      <c r="AW185" s="38"/>
      <c r="AX185" s="38"/>
      <c r="AY185" s="38"/>
      <c r="AZ185" s="38"/>
      <c r="BA185" s="38"/>
      <c r="BB185" s="38"/>
      <c r="BC185" s="38"/>
    </row>
    <row r="186">
      <c r="A186" s="48" t="s">
        <v>505</v>
      </c>
      <c r="B186" s="30">
        <v>45877.25227878473</v>
      </c>
      <c r="C186" s="36" t="s">
        <v>130</v>
      </c>
      <c r="D186" s="32" t="s">
        <v>131</v>
      </c>
      <c r="E186" s="36" t="s">
        <v>635</v>
      </c>
      <c r="F186" s="33" t="s">
        <v>505</v>
      </c>
      <c r="G186" s="31">
        <v>123.0</v>
      </c>
      <c r="H186" s="31">
        <v>9.0</v>
      </c>
      <c r="I186" s="31">
        <v>10.0</v>
      </c>
      <c r="J186" s="36" t="s">
        <v>197</v>
      </c>
      <c r="K186" s="34"/>
      <c r="L186" s="34"/>
      <c r="M186" s="34"/>
      <c r="N186" s="31">
        <v>9.0</v>
      </c>
      <c r="O186" s="34"/>
      <c r="P186" s="34"/>
      <c r="Q186" s="34"/>
      <c r="R186" s="34"/>
      <c r="S186" s="34"/>
      <c r="T186" s="34"/>
      <c r="U186" s="34"/>
      <c r="V186" s="35" t="s">
        <v>870</v>
      </c>
      <c r="W186" s="34"/>
      <c r="X186" s="34"/>
      <c r="Y186" s="34"/>
      <c r="Z186" s="36" t="s">
        <v>135</v>
      </c>
      <c r="AA186" s="31">
        <v>3.0</v>
      </c>
      <c r="AB186" s="34"/>
      <c r="AC186" s="31">
        <v>3.0</v>
      </c>
      <c r="AD186" s="49"/>
      <c r="AE186" s="49"/>
      <c r="AF186" s="49"/>
      <c r="AG186" s="49"/>
      <c r="AH186" s="49"/>
      <c r="AI186" s="38"/>
      <c r="AJ186" s="38"/>
      <c r="AK186" s="38"/>
      <c r="AL186" s="38"/>
      <c r="AM186" s="38"/>
      <c r="AN186" s="38"/>
      <c r="AO186" s="38"/>
      <c r="AP186" s="38"/>
      <c r="AQ186" s="38"/>
      <c r="AR186" s="38"/>
      <c r="AS186" s="38"/>
      <c r="AT186" s="38"/>
      <c r="AU186" s="38"/>
      <c r="AV186" s="38"/>
      <c r="AW186" s="38"/>
      <c r="AX186" s="38"/>
      <c r="AY186" s="38"/>
      <c r="AZ186" s="38"/>
      <c r="BA186" s="38"/>
      <c r="BB186" s="38"/>
      <c r="BC186" s="38"/>
    </row>
    <row r="187">
      <c r="A187" s="39" t="s">
        <v>333</v>
      </c>
      <c r="B187" s="40">
        <v>45877.25450601852</v>
      </c>
      <c r="C187" s="41" t="s">
        <v>863</v>
      </c>
      <c r="D187" s="42" t="s">
        <v>303</v>
      </c>
      <c r="E187" s="41" t="s">
        <v>871</v>
      </c>
      <c r="F187" s="43" t="s">
        <v>333</v>
      </c>
      <c r="G187" s="44">
        <v>242.0</v>
      </c>
      <c r="H187" s="44">
        <v>8.0</v>
      </c>
      <c r="I187" s="44">
        <v>7.0</v>
      </c>
      <c r="J187" s="44">
        <v>0.0</v>
      </c>
      <c r="K187" s="45"/>
      <c r="L187" s="45"/>
      <c r="M187" s="45"/>
      <c r="N187" s="44">
        <v>1.0</v>
      </c>
      <c r="O187" s="45"/>
      <c r="P187" s="45"/>
      <c r="Q187" s="45"/>
      <c r="R187" s="45"/>
      <c r="S187" s="45"/>
      <c r="T187" s="45"/>
      <c r="U187" s="45"/>
      <c r="V187" s="46" t="s">
        <v>872</v>
      </c>
      <c r="W187" s="41" t="s">
        <v>873</v>
      </c>
      <c r="X187" s="45"/>
      <c r="Y187" s="45"/>
      <c r="Z187" s="41" t="s">
        <v>867</v>
      </c>
      <c r="AA187" s="44">
        <v>3.0</v>
      </c>
      <c r="AB187" s="45"/>
      <c r="AC187" s="44">
        <v>3.0</v>
      </c>
      <c r="AD187" s="47"/>
      <c r="AE187" s="47"/>
      <c r="AF187" s="47"/>
      <c r="AG187" s="47"/>
      <c r="AH187" s="47"/>
      <c r="AI187" s="38"/>
      <c r="AJ187" s="38"/>
      <c r="AK187" s="38"/>
      <c r="AL187" s="38"/>
      <c r="AM187" s="38"/>
      <c r="AN187" s="38"/>
      <c r="AO187" s="38"/>
      <c r="AP187" s="38"/>
      <c r="AQ187" s="38"/>
      <c r="AR187" s="38"/>
      <c r="AS187" s="38"/>
      <c r="AT187" s="38"/>
      <c r="AU187" s="38"/>
      <c r="AV187" s="38"/>
      <c r="AW187" s="38"/>
      <c r="AX187" s="38"/>
      <c r="AY187" s="38"/>
      <c r="AZ187" s="38"/>
      <c r="BA187" s="38"/>
      <c r="BB187" s="38"/>
      <c r="BC187" s="38"/>
    </row>
    <row r="188">
      <c r="A188" s="48" t="s">
        <v>393</v>
      </c>
      <c r="B188" s="30">
        <v>45877.257323530095</v>
      </c>
      <c r="C188" s="36" t="s">
        <v>118</v>
      </c>
      <c r="D188" s="32" t="s">
        <v>119</v>
      </c>
      <c r="E188" s="36" t="s">
        <v>874</v>
      </c>
      <c r="F188" s="33" t="s">
        <v>393</v>
      </c>
      <c r="G188" s="31">
        <v>416.0</v>
      </c>
      <c r="H188" s="31">
        <v>8.0</v>
      </c>
      <c r="I188" s="31">
        <v>9.0</v>
      </c>
      <c r="J188" s="31">
        <v>2.0</v>
      </c>
      <c r="K188" s="34"/>
      <c r="L188" s="34"/>
      <c r="M188" s="34"/>
      <c r="N188" s="31">
        <v>9.0</v>
      </c>
      <c r="O188" s="34"/>
      <c r="P188" s="34"/>
      <c r="Q188" s="34"/>
      <c r="R188" s="34"/>
      <c r="S188" s="34"/>
      <c r="T188" s="34"/>
      <c r="U188" s="34"/>
      <c r="V188" s="35" t="s">
        <v>875</v>
      </c>
      <c r="W188" s="34"/>
      <c r="X188" s="34"/>
      <c r="Y188" s="34"/>
      <c r="Z188" s="36" t="s">
        <v>122</v>
      </c>
      <c r="AA188" s="31">
        <v>3.0</v>
      </c>
      <c r="AB188" s="34"/>
      <c r="AC188" s="31">
        <v>3.0</v>
      </c>
      <c r="AD188" s="49"/>
      <c r="AE188" s="49"/>
      <c r="AF188" s="49"/>
      <c r="AG188" s="49"/>
      <c r="AH188" s="49"/>
      <c r="AI188" s="38"/>
      <c r="AJ188" s="38"/>
      <c r="AK188" s="38"/>
      <c r="AL188" s="38"/>
      <c r="AM188" s="38"/>
      <c r="AN188" s="38"/>
      <c r="AO188" s="38"/>
      <c r="AP188" s="38"/>
      <c r="AQ188" s="38"/>
      <c r="AR188" s="38"/>
      <c r="AS188" s="38"/>
      <c r="AT188" s="38"/>
      <c r="AU188" s="38"/>
      <c r="AV188" s="38"/>
      <c r="AW188" s="38"/>
      <c r="AX188" s="38"/>
      <c r="AY188" s="38"/>
      <c r="AZ188" s="38"/>
      <c r="BA188" s="38"/>
      <c r="BB188" s="38"/>
      <c r="BC188" s="38"/>
    </row>
    <row r="189">
      <c r="A189" s="39" t="s">
        <v>173</v>
      </c>
      <c r="B189" s="40">
        <v>45877.25813584491</v>
      </c>
      <c r="C189" s="41" t="s">
        <v>876</v>
      </c>
      <c r="D189" s="42" t="s">
        <v>175</v>
      </c>
      <c r="E189" s="41" t="s">
        <v>877</v>
      </c>
      <c r="F189" s="43" t="s">
        <v>173</v>
      </c>
      <c r="G189" s="44">
        <v>1306.0</v>
      </c>
      <c r="H189" s="44">
        <v>6.0</v>
      </c>
      <c r="I189" s="44">
        <v>4.0</v>
      </c>
      <c r="J189" s="44">
        <v>3.0</v>
      </c>
      <c r="K189" s="45"/>
      <c r="L189" s="45"/>
      <c r="M189" s="45"/>
      <c r="N189" s="44">
        <v>8.0</v>
      </c>
      <c r="O189" s="45"/>
      <c r="P189" s="45"/>
      <c r="Q189" s="45"/>
      <c r="R189" s="45"/>
      <c r="S189" s="45"/>
      <c r="T189" s="45"/>
      <c r="U189" s="45"/>
      <c r="V189" s="46" t="s">
        <v>878</v>
      </c>
      <c r="W189" s="41" t="s">
        <v>453</v>
      </c>
      <c r="X189" s="45"/>
      <c r="Y189" s="45"/>
      <c r="Z189" s="41" t="s">
        <v>179</v>
      </c>
      <c r="AA189" s="44">
        <v>3.0</v>
      </c>
      <c r="AB189" s="45"/>
      <c r="AC189" s="44">
        <v>3.0</v>
      </c>
      <c r="AD189" s="47"/>
      <c r="AE189" s="47"/>
      <c r="AF189" s="47"/>
      <c r="AG189" s="47"/>
      <c r="AH189" s="47"/>
      <c r="AI189" s="38"/>
      <c r="AJ189" s="38"/>
      <c r="AK189" s="38"/>
      <c r="AL189" s="38"/>
      <c r="AM189" s="38"/>
      <c r="AN189" s="38"/>
      <c r="AO189" s="38"/>
      <c r="AP189" s="38"/>
      <c r="AQ189" s="38"/>
      <c r="AR189" s="38"/>
      <c r="AS189" s="38"/>
      <c r="AT189" s="38"/>
      <c r="AU189" s="38"/>
      <c r="AV189" s="38"/>
      <c r="AW189" s="38"/>
      <c r="AX189" s="38"/>
      <c r="AY189" s="38"/>
      <c r="AZ189" s="38"/>
      <c r="BA189" s="38"/>
      <c r="BB189" s="38"/>
      <c r="BC189" s="38"/>
    </row>
    <row r="190">
      <c r="A190" s="48" t="s">
        <v>103</v>
      </c>
      <c r="B190" s="30">
        <v>45877.25884679398</v>
      </c>
      <c r="C190" s="31" t="s">
        <v>879</v>
      </c>
      <c r="D190" s="32" t="s">
        <v>666</v>
      </c>
      <c r="E190" s="31" t="s">
        <v>880</v>
      </c>
      <c r="F190" s="33" t="s">
        <v>103</v>
      </c>
      <c r="G190" s="31">
        <v>187.0</v>
      </c>
      <c r="H190" s="51">
        <v>7.0</v>
      </c>
      <c r="I190" s="31">
        <v>6.0</v>
      </c>
      <c r="J190" s="31">
        <v>2.0</v>
      </c>
      <c r="K190" s="34"/>
      <c r="L190" s="34"/>
      <c r="M190" s="34"/>
      <c r="N190" s="31">
        <v>7.0</v>
      </c>
      <c r="O190" s="34"/>
      <c r="P190" s="34"/>
      <c r="Q190" s="34"/>
      <c r="R190" s="34"/>
      <c r="S190" s="34"/>
      <c r="T190" s="34"/>
      <c r="U190" s="34"/>
      <c r="V190" s="35" t="s">
        <v>881</v>
      </c>
      <c r="W190" s="31" t="s">
        <v>882</v>
      </c>
      <c r="X190" s="34"/>
      <c r="Y190" s="34"/>
      <c r="Z190" s="36" t="s">
        <v>109</v>
      </c>
      <c r="AA190" s="31">
        <v>3.0</v>
      </c>
      <c r="AB190" s="34"/>
      <c r="AC190" s="31">
        <v>3.0</v>
      </c>
      <c r="AD190" s="49"/>
      <c r="AE190" s="49"/>
      <c r="AF190" s="49"/>
      <c r="AG190" s="49"/>
      <c r="AH190" s="49"/>
      <c r="AI190" s="38"/>
      <c r="AJ190" s="38"/>
      <c r="AK190" s="38"/>
      <c r="AL190" s="38"/>
      <c r="AM190" s="38"/>
      <c r="AN190" s="38"/>
      <c r="AO190" s="38"/>
      <c r="AP190" s="38"/>
      <c r="AQ190" s="38"/>
      <c r="AR190" s="38"/>
      <c r="AS190" s="38"/>
      <c r="AT190" s="38"/>
      <c r="AU190" s="38"/>
      <c r="AV190" s="38"/>
      <c r="AW190" s="38"/>
      <c r="AX190" s="38"/>
      <c r="AY190" s="38"/>
      <c r="AZ190" s="38"/>
      <c r="BA190" s="38"/>
      <c r="BB190" s="38"/>
      <c r="BC190" s="38"/>
    </row>
    <row r="191">
      <c r="A191" s="39" t="s">
        <v>356</v>
      </c>
      <c r="B191" s="40">
        <v>45877.26040775463</v>
      </c>
      <c r="C191" s="41" t="s">
        <v>883</v>
      </c>
      <c r="D191" s="42" t="s">
        <v>358</v>
      </c>
      <c r="E191" s="44" t="s">
        <v>884</v>
      </c>
      <c r="F191" s="43" t="s">
        <v>356</v>
      </c>
      <c r="G191" s="50">
        <v>830.0</v>
      </c>
      <c r="H191" s="44">
        <v>2.0</v>
      </c>
      <c r="I191" s="44">
        <v>2.0</v>
      </c>
      <c r="J191" s="44">
        <v>5.0</v>
      </c>
      <c r="K191" s="45"/>
      <c r="L191" s="45"/>
      <c r="M191" s="45"/>
      <c r="N191" s="44">
        <v>8.0</v>
      </c>
      <c r="O191" s="45"/>
      <c r="P191" s="45"/>
      <c r="Q191" s="45"/>
      <c r="R191" s="45"/>
      <c r="S191" s="45"/>
      <c r="T191" s="45"/>
      <c r="U191" s="45"/>
      <c r="V191" s="46" t="s">
        <v>885</v>
      </c>
      <c r="W191" s="45"/>
      <c r="X191" s="45"/>
      <c r="Y191" s="45"/>
      <c r="Z191" s="41" t="s">
        <v>362</v>
      </c>
      <c r="AA191" s="44">
        <v>3.0</v>
      </c>
      <c r="AB191" s="45"/>
      <c r="AC191" s="44">
        <v>3.0</v>
      </c>
      <c r="AD191" s="47"/>
      <c r="AE191" s="47"/>
      <c r="AF191" s="47"/>
      <c r="AG191" s="47"/>
      <c r="AH191" s="47"/>
      <c r="AI191" s="38"/>
      <c r="AJ191" s="38"/>
      <c r="AK191" s="38"/>
      <c r="AL191" s="38"/>
      <c r="AM191" s="38"/>
      <c r="AN191" s="38"/>
      <c r="AO191" s="38"/>
      <c r="AP191" s="38"/>
      <c r="AQ191" s="38"/>
      <c r="AR191" s="38"/>
      <c r="AS191" s="38"/>
      <c r="AT191" s="38"/>
      <c r="AU191" s="38"/>
      <c r="AV191" s="38"/>
      <c r="AW191" s="38"/>
      <c r="AX191" s="38"/>
      <c r="AY191" s="38"/>
      <c r="AZ191" s="38"/>
      <c r="BA191" s="38"/>
      <c r="BB191" s="38"/>
      <c r="BC191" s="38"/>
    </row>
    <row r="192">
      <c r="A192" s="48" t="s">
        <v>771</v>
      </c>
      <c r="B192" s="30">
        <v>45877.26051420139</v>
      </c>
      <c r="C192" s="36" t="s">
        <v>62</v>
      </c>
      <c r="D192" s="32" t="s">
        <v>63</v>
      </c>
      <c r="E192" s="36" t="s">
        <v>64</v>
      </c>
      <c r="F192" s="33" t="s">
        <v>771</v>
      </c>
      <c r="G192" s="31">
        <v>36.0</v>
      </c>
      <c r="H192" s="31">
        <v>9.0</v>
      </c>
      <c r="I192" s="31">
        <v>8.0</v>
      </c>
      <c r="J192" s="31">
        <v>1.0</v>
      </c>
      <c r="K192" s="34"/>
      <c r="L192" s="34"/>
      <c r="M192" s="34"/>
      <c r="N192" s="31">
        <v>9.0</v>
      </c>
      <c r="O192" s="34"/>
      <c r="P192" s="34"/>
      <c r="Q192" s="34"/>
      <c r="R192" s="34"/>
      <c r="S192" s="34"/>
      <c r="T192" s="34"/>
      <c r="U192" s="34"/>
      <c r="V192" s="35" t="s">
        <v>886</v>
      </c>
      <c r="W192" s="34"/>
      <c r="X192" s="34"/>
      <c r="Y192" s="34"/>
      <c r="Z192" s="36" t="s">
        <v>66</v>
      </c>
      <c r="AA192" s="31">
        <v>3.0</v>
      </c>
      <c r="AB192" s="34"/>
      <c r="AC192" s="31">
        <v>3.0</v>
      </c>
      <c r="AD192" s="49"/>
      <c r="AE192" s="49"/>
      <c r="AF192" s="49"/>
      <c r="AG192" s="49"/>
      <c r="AH192" s="49"/>
      <c r="AI192" s="38"/>
      <c r="AJ192" s="38"/>
      <c r="AK192" s="38"/>
      <c r="AL192" s="38"/>
      <c r="AM192" s="38"/>
      <c r="AN192" s="38"/>
      <c r="AO192" s="38"/>
      <c r="AP192" s="38"/>
      <c r="AQ192" s="38"/>
      <c r="AR192" s="38"/>
      <c r="AS192" s="38"/>
      <c r="AT192" s="38"/>
      <c r="AU192" s="38"/>
      <c r="AV192" s="38"/>
      <c r="AW192" s="38"/>
      <c r="AX192" s="38"/>
      <c r="AY192" s="38"/>
      <c r="AZ192" s="38"/>
      <c r="BA192" s="38"/>
      <c r="BB192" s="38"/>
      <c r="BC192" s="38"/>
    </row>
    <row r="193">
      <c r="A193" s="39" t="s">
        <v>192</v>
      </c>
      <c r="B193" s="40">
        <v>45877.26300171296</v>
      </c>
      <c r="C193" s="41" t="s">
        <v>193</v>
      </c>
      <c r="D193" s="42" t="s">
        <v>887</v>
      </c>
      <c r="E193" s="41" t="s">
        <v>195</v>
      </c>
      <c r="F193" s="43" t="s">
        <v>192</v>
      </c>
      <c r="G193" s="44">
        <v>116.0</v>
      </c>
      <c r="H193" s="44">
        <v>7.0</v>
      </c>
      <c r="I193" s="50">
        <v>7.0</v>
      </c>
      <c r="J193" s="44">
        <v>0.0</v>
      </c>
      <c r="K193" s="45"/>
      <c r="L193" s="45"/>
      <c r="M193" s="45"/>
      <c r="N193" s="44">
        <v>7.0</v>
      </c>
      <c r="O193" s="45"/>
      <c r="P193" s="45"/>
      <c r="Q193" s="45"/>
      <c r="R193" s="45"/>
      <c r="S193" s="45"/>
      <c r="T193" s="45"/>
      <c r="U193" s="45"/>
      <c r="V193" s="46" t="s">
        <v>888</v>
      </c>
      <c r="W193" s="41" t="s">
        <v>197</v>
      </c>
      <c r="X193" s="45"/>
      <c r="Y193" s="45"/>
      <c r="Z193" s="41" t="s">
        <v>198</v>
      </c>
      <c r="AA193" s="44">
        <v>3.0</v>
      </c>
      <c r="AB193" s="45"/>
      <c r="AC193" s="44">
        <v>3.0</v>
      </c>
      <c r="AD193" s="47"/>
      <c r="AE193" s="47"/>
      <c r="AF193" s="47"/>
      <c r="AG193" s="47"/>
      <c r="AH193" s="47"/>
      <c r="AI193" s="38"/>
      <c r="AJ193" s="38"/>
      <c r="AK193" s="38"/>
      <c r="AL193" s="38"/>
      <c r="AM193" s="38"/>
      <c r="AN193" s="38"/>
      <c r="AO193" s="38"/>
      <c r="AP193" s="38"/>
      <c r="AQ193" s="38"/>
      <c r="AR193" s="38"/>
      <c r="AS193" s="38"/>
      <c r="AT193" s="38"/>
      <c r="AU193" s="38"/>
      <c r="AV193" s="38"/>
      <c r="AW193" s="38"/>
      <c r="AX193" s="38"/>
      <c r="AY193" s="38"/>
      <c r="AZ193" s="38"/>
      <c r="BA193" s="38"/>
      <c r="BB193" s="38"/>
      <c r="BC193" s="38"/>
    </row>
    <row r="194">
      <c r="A194" s="48" t="s">
        <v>437</v>
      </c>
      <c r="B194" s="30">
        <v>45877.26366793981</v>
      </c>
      <c r="C194" s="31" t="s">
        <v>160</v>
      </c>
      <c r="D194" s="32" t="s">
        <v>161</v>
      </c>
      <c r="E194" s="31" t="s">
        <v>889</v>
      </c>
      <c r="F194" s="33" t="s">
        <v>437</v>
      </c>
      <c r="G194" s="31">
        <v>195.0</v>
      </c>
      <c r="H194" s="31">
        <v>7.0</v>
      </c>
      <c r="I194" s="31">
        <v>7.0</v>
      </c>
      <c r="J194" s="31">
        <v>2.0</v>
      </c>
      <c r="K194" s="34"/>
      <c r="L194" s="34"/>
      <c r="M194" s="34"/>
      <c r="N194" s="31">
        <v>8.0</v>
      </c>
      <c r="O194" s="34"/>
      <c r="P194" s="34"/>
      <c r="Q194" s="34"/>
      <c r="R194" s="34"/>
      <c r="S194" s="34"/>
      <c r="T194" s="34"/>
      <c r="U194" s="34"/>
      <c r="V194" s="35" t="s">
        <v>890</v>
      </c>
      <c r="W194" s="31" t="s">
        <v>164</v>
      </c>
      <c r="X194" s="34"/>
      <c r="Y194" s="34"/>
      <c r="Z194" s="36" t="s">
        <v>165</v>
      </c>
      <c r="AA194" s="31">
        <v>3.0</v>
      </c>
      <c r="AB194" s="34"/>
      <c r="AC194" s="31">
        <v>3.0</v>
      </c>
      <c r="AD194" s="49"/>
      <c r="AE194" s="49"/>
      <c r="AF194" s="49"/>
      <c r="AG194" s="49"/>
      <c r="AH194" s="49"/>
      <c r="AI194" s="38"/>
      <c r="AJ194" s="38"/>
      <c r="AK194" s="38"/>
      <c r="AL194" s="38"/>
      <c r="AM194" s="38"/>
      <c r="AN194" s="38"/>
      <c r="AO194" s="38"/>
      <c r="AP194" s="38"/>
      <c r="AQ194" s="38"/>
      <c r="AR194" s="38"/>
      <c r="AS194" s="38"/>
      <c r="AT194" s="38"/>
      <c r="AU194" s="38"/>
      <c r="AV194" s="38"/>
      <c r="AW194" s="38"/>
      <c r="AX194" s="38"/>
      <c r="AY194" s="38"/>
      <c r="AZ194" s="38"/>
      <c r="BA194" s="38"/>
      <c r="BB194" s="38"/>
      <c r="BC194" s="38"/>
    </row>
    <row r="195">
      <c r="A195" s="39" t="s">
        <v>500</v>
      </c>
      <c r="B195" s="40">
        <v>45877.26372452546</v>
      </c>
      <c r="C195" s="41" t="s">
        <v>891</v>
      </c>
      <c r="D195" s="42" t="s">
        <v>502</v>
      </c>
      <c r="E195" s="41" t="s">
        <v>892</v>
      </c>
      <c r="F195" s="43" t="s">
        <v>500</v>
      </c>
      <c r="G195" s="50">
        <v>225.0</v>
      </c>
      <c r="H195" s="44">
        <v>9.0</v>
      </c>
      <c r="I195" s="44">
        <v>8.0</v>
      </c>
      <c r="J195" s="44">
        <v>1.0</v>
      </c>
      <c r="K195" s="45"/>
      <c r="L195" s="45"/>
      <c r="M195" s="45"/>
      <c r="N195" s="44">
        <v>9.0</v>
      </c>
      <c r="O195" s="45"/>
      <c r="P195" s="45"/>
      <c r="Q195" s="45"/>
      <c r="R195" s="45"/>
      <c r="S195" s="45"/>
      <c r="T195" s="45"/>
      <c r="U195" s="45"/>
      <c r="V195" s="46" t="s">
        <v>893</v>
      </c>
      <c r="W195" s="45"/>
      <c r="X195" s="45"/>
      <c r="Y195" s="45"/>
      <c r="Z195" s="41" t="s">
        <v>122</v>
      </c>
      <c r="AA195" s="44">
        <v>3.0</v>
      </c>
      <c r="AB195" s="45"/>
      <c r="AC195" s="44">
        <v>3.0</v>
      </c>
      <c r="AD195" s="47"/>
      <c r="AE195" s="47"/>
      <c r="AF195" s="47"/>
      <c r="AG195" s="47"/>
      <c r="AH195" s="47"/>
      <c r="AI195" s="38"/>
      <c r="AJ195" s="38"/>
      <c r="AK195" s="38"/>
      <c r="AL195" s="38"/>
      <c r="AM195" s="38"/>
      <c r="AN195" s="38"/>
      <c r="AO195" s="38"/>
      <c r="AP195" s="38"/>
      <c r="AQ195" s="38"/>
      <c r="AR195" s="38"/>
      <c r="AS195" s="38"/>
      <c r="AT195" s="38"/>
      <c r="AU195" s="38"/>
      <c r="AV195" s="38"/>
      <c r="AW195" s="38"/>
      <c r="AX195" s="38"/>
      <c r="AY195" s="38"/>
      <c r="AZ195" s="38"/>
      <c r="BA195" s="38"/>
      <c r="BB195" s="38"/>
      <c r="BC195" s="38"/>
    </row>
    <row r="196">
      <c r="A196" s="48" t="s">
        <v>737</v>
      </c>
      <c r="B196" s="30">
        <v>45877.26406325231</v>
      </c>
      <c r="C196" s="36" t="s">
        <v>296</v>
      </c>
      <c r="D196" s="32" t="s">
        <v>297</v>
      </c>
      <c r="E196" s="36" t="s">
        <v>738</v>
      </c>
      <c r="F196" s="33" t="s">
        <v>737</v>
      </c>
      <c r="G196" s="31">
        <v>77.0</v>
      </c>
      <c r="H196" s="31">
        <v>8.0</v>
      </c>
      <c r="I196" s="31">
        <v>8.0</v>
      </c>
      <c r="J196" s="31">
        <v>3.0</v>
      </c>
      <c r="K196" s="34"/>
      <c r="L196" s="34"/>
      <c r="M196" s="34"/>
      <c r="N196" s="31">
        <v>9.0</v>
      </c>
      <c r="O196" s="34"/>
      <c r="P196" s="34"/>
      <c r="Q196" s="34"/>
      <c r="R196" s="34"/>
      <c r="S196" s="34"/>
      <c r="T196" s="34"/>
      <c r="U196" s="34"/>
      <c r="V196" s="35" t="s">
        <v>894</v>
      </c>
      <c r="W196" s="34"/>
      <c r="X196" s="34"/>
      <c r="Y196" s="34"/>
      <c r="Z196" s="36" t="s">
        <v>300</v>
      </c>
      <c r="AA196" s="31">
        <v>3.0</v>
      </c>
      <c r="AB196" s="34"/>
      <c r="AC196" s="31">
        <v>3.0</v>
      </c>
      <c r="AD196" s="49"/>
      <c r="AE196" s="49"/>
      <c r="AF196" s="49"/>
      <c r="AG196" s="49"/>
      <c r="AH196" s="49"/>
      <c r="AI196" s="38"/>
      <c r="AJ196" s="38"/>
      <c r="AK196" s="38"/>
      <c r="AL196" s="38"/>
      <c r="AM196" s="38"/>
      <c r="AN196" s="38"/>
      <c r="AO196" s="38"/>
      <c r="AP196" s="38"/>
      <c r="AQ196" s="38"/>
      <c r="AR196" s="38"/>
      <c r="AS196" s="38"/>
      <c r="AT196" s="38"/>
      <c r="AU196" s="38"/>
      <c r="AV196" s="38"/>
      <c r="AW196" s="38"/>
      <c r="AX196" s="38"/>
      <c r="AY196" s="38"/>
      <c r="AZ196" s="38"/>
      <c r="BA196" s="38"/>
      <c r="BB196" s="38"/>
      <c r="BC196" s="38"/>
    </row>
    <row r="197">
      <c r="A197" s="39" t="s">
        <v>318</v>
      </c>
      <c r="B197" s="40">
        <v>45877.2644605324</v>
      </c>
      <c r="C197" s="41" t="s">
        <v>319</v>
      </c>
      <c r="D197" s="42" t="s">
        <v>320</v>
      </c>
      <c r="E197" s="44" t="s">
        <v>321</v>
      </c>
      <c r="F197" s="43" t="s">
        <v>318</v>
      </c>
      <c r="G197" s="50">
        <v>202.0</v>
      </c>
      <c r="H197" s="50">
        <v>6.0</v>
      </c>
      <c r="I197" s="44">
        <v>6.0</v>
      </c>
      <c r="J197" s="44">
        <v>3.0</v>
      </c>
      <c r="K197" s="45"/>
      <c r="L197" s="45"/>
      <c r="M197" s="45"/>
      <c r="N197" s="44">
        <v>7.0</v>
      </c>
      <c r="O197" s="45"/>
      <c r="P197" s="45"/>
      <c r="Q197" s="45"/>
      <c r="R197" s="45"/>
      <c r="S197" s="45"/>
      <c r="T197" s="45"/>
      <c r="U197" s="45"/>
      <c r="V197" s="46" t="s">
        <v>895</v>
      </c>
      <c r="W197" s="41" t="s">
        <v>275</v>
      </c>
      <c r="X197" s="45"/>
      <c r="Y197" s="45"/>
      <c r="Z197" s="41" t="s">
        <v>323</v>
      </c>
      <c r="AA197" s="44">
        <v>3.0</v>
      </c>
      <c r="AB197" s="45"/>
      <c r="AC197" s="44">
        <v>3.0</v>
      </c>
      <c r="AD197" s="47"/>
      <c r="AE197" s="47"/>
      <c r="AF197" s="47"/>
      <c r="AG197" s="47"/>
      <c r="AH197" s="47"/>
      <c r="AI197" s="38"/>
      <c r="AJ197" s="38"/>
      <c r="AK197" s="38"/>
      <c r="AL197" s="38"/>
      <c r="AM197" s="38"/>
      <c r="AN197" s="38"/>
      <c r="AO197" s="38"/>
      <c r="AP197" s="38"/>
      <c r="AQ197" s="38"/>
      <c r="AR197" s="38"/>
      <c r="AS197" s="38"/>
      <c r="AT197" s="38"/>
      <c r="AU197" s="38"/>
      <c r="AV197" s="38"/>
      <c r="AW197" s="38"/>
      <c r="AX197" s="38"/>
      <c r="AY197" s="38"/>
      <c r="AZ197" s="38"/>
      <c r="BA197" s="38"/>
      <c r="BB197" s="38"/>
      <c r="BC197" s="38"/>
    </row>
    <row r="198">
      <c r="A198" s="48" t="s">
        <v>726</v>
      </c>
      <c r="B198" s="30">
        <v>45877.26499247685</v>
      </c>
      <c r="C198" s="36" t="s">
        <v>896</v>
      </c>
      <c r="D198" s="32" t="s">
        <v>580</v>
      </c>
      <c r="E198" s="36" t="s">
        <v>897</v>
      </c>
      <c r="F198" s="33" t="s">
        <v>726</v>
      </c>
      <c r="G198" s="31">
        <v>81.0</v>
      </c>
      <c r="H198" s="31">
        <v>5.0</v>
      </c>
      <c r="I198" s="31">
        <v>4.0</v>
      </c>
      <c r="J198" s="31">
        <v>5.0</v>
      </c>
      <c r="K198" s="34"/>
      <c r="L198" s="34"/>
      <c r="M198" s="34"/>
      <c r="N198" s="31">
        <v>4.0</v>
      </c>
      <c r="O198" s="34"/>
      <c r="P198" s="34"/>
      <c r="Q198" s="34"/>
      <c r="R198" s="34"/>
      <c r="S198" s="34"/>
      <c r="T198" s="34"/>
      <c r="U198" s="34"/>
      <c r="V198" s="35" t="s">
        <v>898</v>
      </c>
      <c r="W198" s="36" t="s">
        <v>453</v>
      </c>
      <c r="X198" s="34"/>
      <c r="Y198" s="34"/>
      <c r="Z198" s="36" t="s">
        <v>179</v>
      </c>
      <c r="AA198" s="31">
        <v>3.0</v>
      </c>
      <c r="AB198" s="34"/>
      <c r="AC198" s="31">
        <v>3.0</v>
      </c>
      <c r="AD198" s="49"/>
      <c r="AE198" s="49"/>
      <c r="AF198" s="49"/>
      <c r="AG198" s="49"/>
      <c r="AH198" s="49"/>
      <c r="AI198" s="38"/>
      <c r="AJ198" s="38"/>
      <c r="AK198" s="38"/>
      <c r="AL198" s="38"/>
      <c r="AM198" s="38"/>
      <c r="AN198" s="38"/>
      <c r="AO198" s="38"/>
      <c r="AP198" s="38"/>
      <c r="AQ198" s="38"/>
      <c r="AR198" s="38"/>
      <c r="AS198" s="38"/>
      <c r="AT198" s="38"/>
      <c r="AU198" s="38"/>
      <c r="AV198" s="38"/>
      <c r="AW198" s="38"/>
      <c r="AX198" s="38"/>
      <c r="AY198" s="38"/>
      <c r="AZ198" s="38"/>
      <c r="BA198" s="38"/>
      <c r="BB198" s="38"/>
      <c r="BC198" s="38"/>
    </row>
    <row r="199">
      <c r="A199" s="39" t="s">
        <v>238</v>
      </c>
      <c r="B199" s="40">
        <v>45877.26558021991</v>
      </c>
      <c r="C199" s="41" t="s">
        <v>239</v>
      </c>
      <c r="D199" s="44">
        <v>3.006745467E9</v>
      </c>
      <c r="E199" s="41" t="s">
        <v>899</v>
      </c>
      <c r="F199" s="43" t="s">
        <v>238</v>
      </c>
      <c r="G199" s="56">
        <v>58.0</v>
      </c>
      <c r="H199" s="44">
        <v>7.0</v>
      </c>
      <c r="I199" s="44">
        <v>5.0</v>
      </c>
      <c r="J199" s="44">
        <v>4.0</v>
      </c>
      <c r="K199" s="45"/>
      <c r="L199" s="45"/>
      <c r="M199" s="45"/>
      <c r="N199" s="44">
        <v>8.0</v>
      </c>
      <c r="O199" s="45"/>
      <c r="P199" s="45"/>
      <c r="Q199" s="45"/>
      <c r="R199" s="45"/>
      <c r="S199" s="45"/>
      <c r="T199" s="45"/>
      <c r="U199" s="45"/>
      <c r="V199" s="46" t="s">
        <v>900</v>
      </c>
      <c r="W199" s="41" t="s">
        <v>901</v>
      </c>
      <c r="X199" s="45"/>
      <c r="Y199" s="45"/>
      <c r="Z199" s="41" t="s">
        <v>243</v>
      </c>
      <c r="AA199" s="44">
        <v>3.0</v>
      </c>
      <c r="AB199" s="45"/>
      <c r="AC199" s="44">
        <v>3.0</v>
      </c>
      <c r="AD199" s="47"/>
      <c r="AE199" s="47"/>
      <c r="AF199" s="47"/>
      <c r="AG199" s="47"/>
      <c r="AH199" s="47"/>
      <c r="AI199" s="38"/>
      <c r="AJ199" s="38"/>
      <c r="AK199" s="38"/>
      <c r="AL199" s="38"/>
      <c r="AM199" s="38"/>
      <c r="AN199" s="38"/>
      <c r="AO199" s="38"/>
      <c r="AP199" s="38"/>
      <c r="AQ199" s="38"/>
      <c r="AR199" s="38"/>
      <c r="AS199" s="38"/>
      <c r="AT199" s="38"/>
      <c r="AU199" s="38"/>
      <c r="AV199" s="38"/>
      <c r="AW199" s="38"/>
      <c r="AX199" s="38"/>
      <c r="AY199" s="38"/>
      <c r="AZ199" s="38"/>
      <c r="BA199" s="38"/>
      <c r="BB199" s="38"/>
      <c r="BC199" s="38"/>
    </row>
    <row r="200">
      <c r="A200" s="48" t="s">
        <v>416</v>
      </c>
      <c r="B200" s="30">
        <v>45877.26655962963</v>
      </c>
      <c r="C200" s="36" t="s">
        <v>902</v>
      </c>
      <c r="D200" s="32" t="s">
        <v>418</v>
      </c>
      <c r="E200" s="36" t="s">
        <v>903</v>
      </c>
      <c r="F200" s="33" t="s">
        <v>416</v>
      </c>
      <c r="G200" s="51">
        <v>280.0</v>
      </c>
      <c r="H200" s="31">
        <v>8.0</v>
      </c>
      <c r="I200" s="31">
        <v>8.0</v>
      </c>
      <c r="J200" s="31">
        <v>2.0</v>
      </c>
      <c r="K200" s="34"/>
      <c r="L200" s="34"/>
      <c r="M200" s="34"/>
      <c r="N200" s="31">
        <v>9.0</v>
      </c>
      <c r="O200" s="34"/>
      <c r="P200" s="34"/>
      <c r="Q200" s="34"/>
      <c r="R200" s="34"/>
      <c r="S200" s="34"/>
      <c r="T200" s="34"/>
      <c r="U200" s="34"/>
      <c r="V200" s="35" t="s">
        <v>904</v>
      </c>
      <c r="W200" s="34"/>
      <c r="X200" s="34"/>
      <c r="Y200" s="34"/>
      <c r="Z200" s="36" t="s">
        <v>122</v>
      </c>
      <c r="AA200" s="31">
        <v>3.0</v>
      </c>
      <c r="AB200" s="34"/>
      <c r="AC200" s="31">
        <v>3.0</v>
      </c>
      <c r="AD200" s="49"/>
      <c r="AE200" s="49"/>
      <c r="AF200" s="49"/>
      <c r="AG200" s="49"/>
      <c r="AH200" s="49"/>
      <c r="AI200" s="38"/>
      <c r="AJ200" s="38"/>
      <c r="AK200" s="38"/>
      <c r="AL200" s="38"/>
      <c r="AM200" s="38"/>
      <c r="AN200" s="38"/>
      <c r="AO200" s="38"/>
      <c r="AP200" s="38"/>
      <c r="AQ200" s="38"/>
      <c r="AR200" s="38"/>
      <c r="AS200" s="38"/>
      <c r="AT200" s="38"/>
      <c r="AU200" s="38"/>
      <c r="AV200" s="38"/>
      <c r="AW200" s="38"/>
      <c r="AX200" s="38"/>
      <c r="AY200" s="38"/>
      <c r="AZ200" s="38"/>
      <c r="BA200" s="38"/>
      <c r="BB200" s="38"/>
      <c r="BC200" s="38"/>
    </row>
    <row r="201">
      <c r="A201" s="39" t="s">
        <v>129</v>
      </c>
      <c r="B201" s="40">
        <v>45877.26725696759</v>
      </c>
      <c r="C201" s="41" t="s">
        <v>905</v>
      </c>
      <c r="D201" s="42" t="s">
        <v>906</v>
      </c>
      <c r="E201" s="41" t="s">
        <v>907</v>
      </c>
      <c r="F201" s="43" t="s">
        <v>129</v>
      </c>
      <c r="G201" s="44">
        <v>52.0</v>
      </c>
      <c r="H201" s="44">
        <v>9.0</v>
      </c>
      <c r="I201" s="44">
        <v>8.0</v>
      </c>
      <c r="J201" s="41" t="s">
        <v>337</v>
      </c>
      <c r="K201" s="45"/>
      <c r="L201" s="45"/>
      <c r="M201" s="45"/>
      <c r="N201" s="44">
        <v>8.0</v>
      </c>
      <c r="O201" s="45"/>
      <c r="P201" s="45"/>
      <c r="Q201" s="45"/>
      <c r="R201" s="45"/>
      <c r="S201" s="45"/>
      <c r="T201" s="45"/>
      <c r="U201" s="45"/>
      <c r="V201" s="46" t="s">
        <v>908</v>
      </c>
      <c r="W201" s="45"/>
      <c r="X201" s="45"/>
      <c r="Y201" s="45"/>
      <c r="Z201" s="41" t="s">
        <v>909</v>
      </c>
      <c r="AA201" s="44">
        <v>3.0</v>
      </c>
      <c r="AB201" s="45"/>
      <c r="AC201" s="44">
        <v>3.0</v>
      </c>
      <c r="AD201" s="47"/>
      <c r="AE201" s="47"/>
      <c r="AF201" s="47"/>
      <c r="AG201" s="47"/>
      <c r="AH201" s="47"/>
      <c r="AI201" s="38"/>
      <c r="AJ201" s="38"/>
      <c r="AK201" s="38"/>
      <c r="AL201" s="38"/>
      <c r="AM201" s="38"/>
      <c r="AN201" s="38"/>
      <c r="AO201" s="38"/>
      <c r="AP201" s="38"/>
      <c r="AQ201" s="38"/>
      <c r="AR201" s="38"/>
      <c r="AS201" s="38"/>
      <c r="AT201" s="38"/>
      <c r="AU201" s="38"/>
      <c r="AV201" s="38"/>
      <c r="AW201" s="38"/>
      <c r="AX201" s="38"/>
      <c r="AY201" s="38"/>
      <c r="AZ201" s="38"/>
      <c r="BA201" s="38"/>
      <c r="BB201" s="38"/>
      <c r="BC201" s="38"/>
    </row>
    <row r="202">
      <c r="A202" s="48" t="s">
        <v>205</v>
      </c>
      <c r="B202" s="30">
        <v>45877.267388437496</v>
      </c>
      <c r="C202" s="36" t="s">
        <v>910</v>
      </c>
      <c r="D202" s="32" t="s">
        <v>207</v>
      </c>
      <c r="E202" s="36" t="s">
        <v>911</v>
      </c>
      <c r="F202" s="33" t="s">
        <v>205</v>
      </c>
      <c r="G202" s="51">
        <v>299.0</v>
      </c>
      <c r="H202" s="31">
        <v>5.0</v>
      </c>
      <c r="I202" s="31">
        <v>4.0</v>
      </c>
      <c r="J202" s="31">
        <v>11.0</v>
      </c>
      <c r="K202" s="34"/>
      <c r="L202" s="34"/>
      <c r="M202" s="34"/>
      <c r="N202" s="31">
        <v>4.0</v>
      </c>
      <c r="O202" s="34"/>
      <c r="P202" s="34"/>
      <c r="Q202" s="34"/>
      <c r="R202" s="34"/>
      <c r="S202" s="34"/>
      <c r="T202" s="34"/>
      <c r="U202" s="34"/>
      <c r="V202" s="35" t="s">
        <v>912</v>
      </c>
      <c r="W202" s="36" t="s">
        <v>453</v>
      </c>
      <c r="X202" s="34"/>
      <c r="Y202" s="34"/>
      <c r="Z202" s="36" t="s">
        <v>179</v>
      </c>
      <c r="AA202" s="31">
        <v>3.0</v>
      </c>
      <c r="AB202" s="34"/>
      <c r="AC202" s="31">
        <v>3.0</v>
      </c>
      <c r="AD202" s="49"/>
      <c r="AE202" s="49"/>
      <c r="AF202" s="49"/>
      <c r="AG202" s="49"/>
      <c r="AH202" s="49"/>
      <c r="AI202" s="38"/>
      <c r="AJ202" s="38"/>
      <c r="AK202" s="38"/>
      <c r="AL202" s="38"/>
      <c r="AM202" s="38"/>
      <c r="AN202" s="38"/>
      <c r="AO202" s="38"/>
      <c r="AP202" s="38"/>
      <c r="AQ202" s="38"/>
      <c r="AR202" s="38"/>
      <c r="AS202" s="38"/>
      <c r="AT202" s="38"/>
      <c r="AU202" s="38"/>
      <c r="AV202" s="38"/>
      <c r="AW202" s="38"/>
      <c r="AX202" s="38"/>
      <c r="AY202" s="38"/>
      <c r="AZ202" s="38"/>
      <c r="BA202" s="38"/>
      <c r="BB202" s="38"/>
      <c r="BC202" s="38"/>
    </row>
    <row r="203">
      <c r="A203" s="39" t="s">
        <v>338</v>
      </c>
      <c r="B203" s="40">
        <v>45877.270117175925</v>
      </c>
      <c r="C203" s="41" t="s">
        <v>913</v>
      </c>
      <c r="D203" s="41" t="s">
        <v>914</v>
      </c>
      <c r="E203" s="41" t="s">
        <v>915</v>
      </c>
      <c r="F203" s="43" t="s">
        <v>338</v>
      </c>
      <c r="G203" s="56">
        <v>650.0</v>
      </c>
      <c r="H203" s="44">
        <v>10.0</v>
      </c>
      <c r="I203" s="44">
        <v>9.0</v>
      </c>
      <c r="J203" s="44">
        <v>0.0</v>
      </c>
      <c r="K203" s="45"/>
      <c r="L203" s="45"/>
      <c r="M203" s="45"/>
      <c r="N203" s="44">
        <v>9.0</v>
      </c>
      <c r="O203" s="45"/>
      <c r="P203" s="45"/>
      <c r="Q203" s="45"/>
      <c r="R203" s="45"/>
      <c r="S203" s="45"/>
      <c r="T203" s="45"/>
      <c r="U203" s="45"/>
      <c r="V203" s="46" t="s">
        <v>916</v>
      </c>
      <c r="W203" s="44">
        <v>0.0</v>
      </c>
      <c r="X203" s="45"/>
      <c r="Y203" s="45"/>
      <c r="Z203" s="41" t="s">
        <v>917</v>
      </c>
      <c r="AA203" s="44">
        <v>3.0</v>
      </c>
      <c r="AB203" s="45"/>
      <c r="AC203" s="44">
        <v>3.0</v>
      </c>
      <c r="AD203" s="47"/>
      <c r="AE203" s="47"/>
      <c r="AF203" s="47"/>
      <c r="AG203" s="47"/>
      <c r="AH203" s="47"/>
      <c r="AI203" s="38"/>
      <c r="AJ203" s="38"/>
      <c r="AK203" s="38"/>
      <c r="AL203" s="38"/>
      <c r="AM203" s="38"/>
      <c r="AN203" s="38"/>
      <c r="AO203" s="38"/>
      <c r="AP203" s="38"/>
      <c r="AQ203" s="38"/>
      <c r="AR203" s="38"/>
      <c r="AS203" s="38"/>
      <c r="AT203" s="38"/>
      <c r="AU203" s="38"/>
      <c r="AV203" s="38"/>
      <c r="AW203" s="38"/>
      <c r="AX203" s="38"/>
      <c r="AY203" s="38"/>
      <c r="AZ203" s="38"/>
      <c r="BA203" s="38"/>
      <c r="BB203" s="38"/>
      <c r="BC203" s="38"/>
    </row>
    <row r="204">
      <c r="A204" s="48" t="s">
        <v>398</v>
      </c>
      <c r="B204" s="30">
        <v>45877.272826238426</v>
      </c>
      <c r="C204" s="36" t="s">
        <v>399</v>
      </c>
      <c r="D204" s="32" t="s">
        <v>400</v>
      </c>
      <c r="E204" s="36" t="s">
        <v>918</v>
      </c>
      <c r="F204" s="33" t="s">
        <v>398</v>
      </c>
      <c r="G204" s="31">
        <v>885.0</v>
      </c>
      <c r="H204" s="31">
        <v>10.0</v>
      </c>
      <c r="I204" s="31">
        <v>10.0</v>
      </c>
      <c r="J204" s="36" t="s">
        <v>197</v>
      </c>
      <c r="K204" s="34"/>
      <c r="L204" s="34"/>
      <c r="M204" s="34"/>
      <c r="N204" s="31">
        <v>10.0</v>
      </c>
      <c r="O204" s="34"/>
      <c r="P204" s="34"/>
      <c r="Q204" s="34"/>
      <c r="R204" s="34"/>
      <c r="S204" s="34"/>
      <c r="T204" s="34"/>
      <c r="U204" s="34"/>
      <c r="V204" s="35" t="s">
        <v>919</v>
      </c>
      <c r="W204" s="34"/>
      <c r="X204" s="34"/>
      <c r="Y204" s="34"/>
      <c r="Z204" s="36" t="s">
        <v>403</v>
      </c>
      <c r="AA204" s="31">
        <v>3.0</v>
      </c>
      <c r="AB204" s="34"/>
      <c r="AC204" s="31">
        <v>3.0</v>
      </c>
      <c r="AD204" s="49"/>
      <c r="AE204" s="49"/>
      <c r="AF204" s="49"/>
      <c r="AG204" s="49"/>
      <c r="AH204" s="49"/>
      <c r="AI204" s="38"/>
      <c r="AJ204" s="38"/>
      <c r="AK204" s="38"/>
      <c r="AL204" s="38"/>
      <c r="AM204" s="38"/>
      <c r="AN204" s="38"/>
      <c r="AO204" s="38"/>
      <c r="AP204" s="38"/>
      <c r="AQ204" s="38"/>
      <c r="AR204" s="38"/>
      <c r="AS204" s="38"/>
      <c r="AT204" s="38"/>
      <c r="AU204" s="38"/>
      <c r="AV204" s="38"/>
      <c r="AW204" s="38"/>
      <c r="AX204" s="38"/>
      <c r="AY204" s="38"/>
      <c r="AZ204" s="38"/>
      <c r="BA204" s="38"/>
      <c r="BB204" s="38"/>
      <c r="BC204" s="38"/>
    </row>
    <row r="205">
      <c r="A205" s="39" t="s">
        <v>469</v>
      </c>
      <c r="B205" s="40">
        <v>45877.27540109954</v>
      </c>
      <c r="C205" s="41" t="s">
        <v>470</v>
      </c>
      <c r="D205" s="42" t="s">
        <v>471</v>
      </c>
      <c r="E205" s="41" t="s">
        <v>920</v>
      </c>
      <c r="F205" s="43" t="s">
        <v>469</v>
      </c>
      <c r="G205" s="44">
        <v>367.0</v>
      </c>
      <c r="H205" s="44">
        <v>9.0</v>
      </c>
      <c r="I205" s="44">
        <v>6.0</v>
      </c>
      <c r="J205" s="42" t="s">
        <v>133</v>
      </c>
      <c r="K205" s="45"/>
      <c r="L205" s="45"/>
      <c r="M205" s="45"/>
      <c r="N205" s="44">
        <v>9.0</v>
      </c>
      <c r="O205" s="45"/>
      <c r="P205" s="45"/>
      <c r="Q205" s="45"/>
      <c r="R205" s="45"/>
      <c r="S205" s="45"/>
      <c r="T205" s="45"/>
      <c r="U205" s="45"/>
      <c r="V205" s="46" t="s">
        <v>921</v>
      </c>
      <c r="W205" s="45"/>
      <c r="X205" s="45"/>
      <c r="Y205" s="45"/>
      <c r="Z205" s="41" t="s">
        <v>474</v>
      </c>
      <c r="AA205" s="44">
        <v>3.0</v>
      </c>
      <c r="AB205" s="45"/>
      <c r="AC205" s="44">
        <v>3.0</v>
      </c>
      <c r="AD205" s="47"/>
      <c r="AE205" s="47"/>
      <c r="AF205" s="47"/>
      <c r="AG205" s="47"/>
      <c r="AH205" s="47"/>
      <c r="AI205" s="38"/>
      <c r="AJ205" s="38"/>
      <c r="AK205" s="38"/>
      <c r="AL205" s="38"/>
      <c r="AM205" s="38"/>
      <c r="AN205" s="38"/>
      <c r="AO205" s="38"/>
      <c r="AP205" s="38"/>
      <c r="AQ205" s="38"/>
      <c r="AR205" s="38"/>
      <c r="AS205" s="38"/>
      <c r="AT205" s="38"/>
      <c r="AU205" s="38"/>
      <c r="AV205" s="38"/>
      <c r="AW205" s="38"/>
      <c r="AX205" s="38"/>
      <c r="AY205" s="38"/>
      <c r="AZ205" s="38"/>
      <c r="BA205" s="38"/>
      <c r="BB205" s="38"/>
      <c r="BC205" s="38"/>
    </row>
    <row r="206">
      <c r="A206" s="48" t="s">
        <v>345</v>
      </c>
      <c r="B206" s="30">
        <v>45877.27604149305</v>
      </c>
      <c r="C206" s="36" t="s">
        <v>56</v>
      </c>
      <c r="D206" s="32" t="s">
        <v>57</v>
      </c>
      <c r="E206" s="36" t="s">
        <v>922</v>
      </c>
      <c r="F206" s="33" t="s">
        <v>345</v>
      </c>
      <c r="G206" s="31">
        <v>34.0</v>
      </c>
      <c r="H206" s="31">
        <v>6.0</v>
      </c>
      <c r="I206" s="31">
        <v>5.0</v>
      </c>
      <c r="J206" s="31">
        <v>3.0</v>
      </c>
      <c r="K206" s="34"/>
      <c r="L206" s="34"/>
      <c r="M206" s="34"/>
      <c r="N206" s="31">
        <v>8.0</v>
      </c>
      <c r="O206" s="34"/>
      <c r="P206" s="34"/>
      <c r="Q206" s="34"/>
      <c r="R206" s="34"/>
      <c r="S206" s="34"/>
      <c r="T206" s="34"/>
      <c r="U206" s="34"/>
      <c r="V206" s="35" t="s">
        <v>923</v>
      </c>
      <c r="W206" s="34"/>
      <c r="X206" s="34"/>
      <c r="Y206" s="34"/>
      <c r="Z206" s="36" t="s">
        <v>60</v>
      </c>
      <c r="AA206" s="31">
        <v>3.0</v>
      </c>
      <c r="AB206" s="34"/>
      <c r="AC206" s="31">
        <v>3.0</v>
      </c>
      <c r="AD206" s="49"/>
      <c r="AE206" s="49"/>
      <c r="AF206" s="49"/>
      <c r="AG206" s="49"/>
      <c r="AH206" s="49"/>
      <c r="AI206" s="38"/>
      <c r="AJ206" s="38"/>
      <c r="AK206" s="38"/>
      <c r="AL206" s="38"/>
      <c r="AM206" s="38"/>
      <c r="AN206" s="38"/>
      <c r="AO206" s="38"/>
      <c r="AP206" s="38"/>
      <c r="AQ206" s="38"/>
      <c r="AR206" s="38"/>
      <c r="AS206" s="38"/>
      <c r="AT206" s="38"/>
      <c r="AU206" s="38"/>
      <c r="AV206" s="38"/>
      <c r="AW206" s="38"/>
      <c r="AX206" s="38"/>
      <c r="AY206" s="38"/>
      <c r="AZ206" s="38"/>
      <c r="BA206" s="38"/>
      <c r="BB206" s="38"/>
      <c r="BC206" s="38"/>
    </row>
    <row r="207">
      <c r="A207" s="39" t="s">
        <v>924</v>
      </c>
      <c r="B207" s="40">
        <v>45877.27828945602</v>
      </c>
      <c r="C207" s="41" t="s">
        <v>220</v>
      </c>
      <c r="D207" s="41" t="s">
        <v>221</v>
      </c>
      <c r="E207" s="41" t="s">
        <v>925</v>
      </c>
      <c r="F207" s="43" t="s">
        <v>924</v>
      </c>
      <c r="G207" s="44">
        <v>175.0</v>
      </c>
      <c r="H207" s="44">
        <v>9.0</v>
      </c>
      <c r="I207" s="44">
        <v>7.0</v>
      </c>
      <c r="J207" s="42" t="s">
        <v>926</v>
      </c>
      <c r="K207" s="45"/>
      <c r="L207" s="45"/>
      <c r="M207" s="45"/>
      <c r="N207" s="44">
        <v>9.0</v>
      </c>
      <c r="O207" s="45"/>
      <c r="P207" s="45"/>
      <c r="Q207" s="45"/>
      <c r="R207" s="45"/>
      <c r="S207" s="45"/>
      <c r="T207" s="45"/>
      <c r="U207" s="45"/>
      <c r="V207" s="46" t="s">
        <v>927</v>
      </c>
      <c r="W207" s="45"/>
      <c r="X207" s="45"/>
      <c r="Y207" s="45"/>
      <c r="Z207" s="41" t="s">
        <v>225</v>
      </c>
      <c r="AA207" s="44">
        <v>3.0</v>
      </c>
      <c r="AB207" s="45"/>
      <c r="AC207" s="44">
        <v>3.0</v>
      </c>
      <c r="AD207" s="47"/>
      <c r="AE207" s="47"/>
      <c r="AF207" s="47"/>
      <c r="AG207" s="47"/>
      <c r="AH207" s="47"/>
      <c r="AI207" s="38"/>
      <c r="AJ207" s="38"/>
      <c r="AK207" s="38"/>
      <c r="AL207" s="38"/>
      <c r="AM207" s="38"/>
      <c r="AN207" s="38"/>
      <c r="AO207" s="38"/>
      <c r="AP207" s="38"/>
      <c r="AQ207" s="38"/>
      <c r="AR207" s="38"/>
      <c r="AS207" s="38"/>
      <c r="AT207" s="38"/>
      <c r="AU207" s="38"/>
      <c r="AV207" s="38"/>
      <c r="AW207" s="38"/>
      <c r="AX207" s="38"/>
      <c r="AY207" s="38"/>
      <c r="AZ207" s="38"/>
      <c r="BA207" s="38"/>
      <c r="BB207" s="38"/>
      <c r="BC207" s="38"/>
    </row>
    <row r="208">
      <c r="A208" s="48" t="s">
        <v>443</v>
      </c>
      <c r="B208" s="30">
        <v>45877.278920428245</v>
      </c>
      <c r="C208" s="36" t="s">
        <v>444</v>
      </c>
      <c r="D208" s="32" t="s">
        <v>445</v>
      </c>
      <c r="E208" s="36" t="s">
        <v>928</v>
      </c>
      <c r="F208" s="33" t="s">
        <v>443</v>
      </c>
      <c r="G208" s="31">
        <v>480.0</v>
      </c>
      <c r="H208" s="31">
        <v>8.0</v>
      </c>
      <c r="I208" s="31">
        <v>8.0</v>
      </c>
      <c r="J208" s="31">
        <v>0.0</v>
      </c>
      <c r="K208" s="34"/>
      <c r="L208" s="34"/>
      <c r="M208" s="34"/>
      <c r="N208" s="31">
        <v>9.0</v>
      </c>
      <c r="O208" s="34"/>
      <c r="P208" s="34"/>
      <c r="Q208" s="34"/>
      <c r="R208" s="34"/>
      <c r="S208" s="34"/>
      <c r="T208" s="34"/>
      <c r="U208" s="34"/>
      <c r="V208" s="35" t="s">
        <v>929</v>
      </c>
      <c r="W208" s="34"/>
      <c r="X208" s="34"/>
      <c r="Y208" s="34"/>
      <c r="Z208" s="36" t="s">
        <v>448</v>
      </c>
      <c r="AA208" s="31">
        <v>3.0</v>
      </c>
      <c r="AB208" s="34"/>
      <c r="AC208" s="31">
        <v>3.0</v>
      </c>
      <c r="AD208" s="49"/>
      <c r="AE208" s="49"/>
      <c r="AF208" s="49"/>
      <c r="AG208" s="49"/>
      <c r="AH208" s="49"/>
      <c r="AI208" s="38"/>
      <c r="AJ208" s="38"/>
      <c r="AK208" s="38"/>
      <c r="AL208" s="38"/>
      <c r="AM208" s="38"/>
      <c r="AN208" s="38"/>
      <c r="AO208" s="38"/>
      <c r="AP208" s="38"/>
      <c r="AQ208" s="38"/>
      <c r="AR208" s="38"/>
      <c r="AS208" s="38"/>
      <c r="AT208" s="38"/>
      <c r="AU208" s="38"/>
      <c r="AV208" s="38"/>
      <c r="AW208" s="38"/>
      <c r="AX208" s="38"/>
      <c r="AY208" s="38"/>
      <c r="AZ208" s="38"/>
      <c r="BA208" s="38"/>
      <c r="BB208" s="38"/>
      <c r="BC208" s="38"/>
    </row>
    <row r="209">
      <c r="A209" s="39" t="s">
        <v>720</v>
      </c>
      <c r="B209" s="40">
        <v>45877.279309502315</v>
      </c>
      <c r="C209" s="41" t="s">
        <v>930</v>
      </c>
      <c r="D209" s="41" t="s">
        <v>721</v>
      </c>
      <c r="E209" s="41" t="s">
        <v>722</v>
      </c>
      <c r="F209" s="43" t="s">
        <v>720</v>
      </c>
      <c r="G209" s="44">
        <v>326.0</v>
      </c>
      <c r="H209" s="44">
        <v>8.0</v>
      </c>
      <c r="I209" s="44">
        <v>8.0</v>
      </c>
      <c r="J209" s="44">
        <v>4.0</v>
      </c>
      <c r="K209" s="45"/>
      <c r="L209" s="45"/>
      <c r="M209" s="45"/>
      <c r="N209" s="44">
        <v>8.0</v>
      </c>
      <c r="O209" s="45"/>
      <c r="P209" s="45"/>
      <c r="Q209" s="45"/>
      <c r="R209" s="45"/>
      <c r="S209" s="45"/>
      <c r="T209" s="45"/>
      <c r="U209" s="45"/>
      <c r="V209" s="46" t="s">
        <v>931</v>
      </c>
      <c r="W209" s="45"/>
      <c r="X209" s="45"/>
      <c r="Y209" s="45"/>
      <c r="Z209" s="41" t="s">
        <v>415</v>
      </c>
      <c r="AA209" s="44">
        <v>3.0</v>
      </c>
      <c r="AB209" s="45"/>
      <c r="AC209" s="44">
        <v>3.0</v>
      </c>
      <c r="AD209" s="47"/>
      <c r="AE209" s="47"/>
      <c r="AF209" s="47"/>
      <c r="AG209" s="47"/>
      <c r="AH209" s="47"/>
      <c r="AI209" s="38"/>
      <c r="AJ209" s="38"/>
      <c r="AK209" s="38"/>
      <c r="AL209" s="38"/>
      <c r="AM209" s="38"/>
      <c r="AN209" s="38"/>
      <c r="AO209" s="38"/>
      <c r="AP209" s="38"/>
      <c r="AQ209" s="38"/>
      <c r="AR209" s="38"/>
      <c r="AS209" s="38"/>
      <c r="AT209" s="38"/>
      <c r="AU209" s="38"/>
      <c r="AV209" s="38"/>
      <c r="AW209" s="38"/>
      <c r="AX209" s="38"/>
      <c r="AY209" s="38"/>
      <c r="AZ209" s="38"/>
      <c r="BA209" s="38"/>
      <c r="BB209" s="38"/>
      <c r="BC209" s="38"/>
    </row>
    <row r="210">
      <c r="A210" s="48" t="s">
        <v>589</v>
      </c>
      <c r="B210" s="30">
        <v>45877.279989965275</v>
      </c>
      <c r="C210" s="36" t="s">
        <v>278</v>
      </c>
      <c r="D210" s="32" t="s">
        <v>279</v>
      </c>
      <c r="E210" s="36" t="s">
        <v>932</v>
      </c>
      <c r="F210" s="33" t="s">
        <v>589</v>
      </c>
      <c r="G210" s="31">
        <v>396.0</v>
      </c>
      <c r="H210" s="31">
        <v>9.0</v>
      </c>
      <c r="I210" s="31">
        <v>8.0</v>
      </c>
      <c r="J210" s="31">
        <v>1.0</v>
      </c>
      <c r="K210" s="34"/>
      <c r="L210" s="34"/>
      <c r="M210" s="34"/>
      <c r="N210" s="31">
        <v>8.0</v>
      </c>
      <c r="O210" s="34"/>
      <c r="P210" s="34"/>
      <c r="Q210" s="34"/>
      <c r="R210" s="34"/>
      <c r="S210" s="34"/>
      <c r="T210" s="34"/>
      <c r="U210" s="34"/>
      <c r="V210" s="35" t="s">
        <v>933</v>
      </c>
      <c r="W210" s="31">
        <v>0.0</v>
      </c>
      <c r="X210" s="34"/>
      <c r="Y210" s="34"/>
      <c r="Z210" s="36" t="s">
        <v>283</v>
      </c>
      <c r="AA210" s="31">
        <v>3.0</v>
      </c>
      <c r="AB210" s="34"/>
      <c r="AC210" s="31">
        <v>3.0</v>
      </c>
      <c r="AD210" s="49"/>
      <c r="AE210" s="49"/>
      <c r="AF210" s="49"/>
      <c r="AG210" s="49"/>
      <c r="AH210" s="49"/>
      <c r="AI210" s="38"/>
      <c r="AJ210" s="38"/>
      <c r="AK210" s="38"/>
      <c r="AL210" s="38"/>
      <c r="AM210" s="38"/>
      <c r="AN210" s="38"/>
      <c r="AO210" s="38"/>
      <c r="AP210" s="38"/>
      <c r="AQ210" s="38"/>
      <c r="AR210" s="38"/>
      <c r="AS210" s="38"/>
      <c r="AT210" s="38"/>
      <c r="AU210" s="38"/>
      <c r="AV210" s="38"/>
      <c r="AW210" s="38"/>
      <c r="AX210" s="38"/>
      <c r="AY210" s="38"/>
      <c r="AZ210" s="38"/>
      <c r="BA210" s="38"/>
      <c r="BB210" s="38"/>
      <c r="BC210" s="38"/>
    </row>
    <row r="211">
      <c r="A211" s="39" t="s">
        <v>475</v>
      </c>
      <c r="B211" s="40">
        <v>45877.28297832176</v>
      </c>
      <c r="C211" s="41" t="s">
        <v>476</v>
      </c>
      <c r="D211" s="42" t="s">
        <v>477</v>
      </c>
      <c r="E211" s="41" t="s">
        <v>934</v>
      </c>
      <c r="F211" s="43" t="s">
        <v>475</v>
      </c>
      <c r="G211" s="44">
        <v>140.0</v>
      </c>
      <c r="H211" s="44">
        <v>8.0</v>
      </c>
      <c r="I211" s="44">
        <v>7.0</v>
      </c>
      <c r="J211" s="50">
        <v>1.0</v>
      </c>
      <c r="K211" s="45"/>
      <c r="L211" s="45"/>
      <c r="M211" s="45"/>
      <c r="N211" s="44">
        <v>8.0</v>
      </c>
      <c r="O211" s="45"/>
      <c r="P211" s="45"/>
      <c r="Q211" s="45"/>
      <c r="R211" s="45"/>
      <c r="S211" s="45"/>
      <c r="T211" s="45"/>
      <c r="U211" s="45"/>
      <c r="V211" s="46" t="s">
        <v>935</v>
      </c>
      <c r="W211" s="45"/>
      <c r="X211" s="45"/>
      <c r="Y211" s="45"/>
      <c r="Z211" s="41" t="s">
        <v>480</v>
      </c>
      <c r="AA211" s="44">
        <v>3.0</v>
      </c>
      <c r="AB211" s="45"/>
      <c r="AC211" s="44">
        <v>3.0</v>
      </c>
      <c r="AD211" s="47"/>
      <c r="AE211" s="47"/>
      <c r="AF211" s="47"/>
      <c r="AG211" s="47"/>
      <c r="AH211" s="47"/>
      <c r="AI211" s="38"/>
      <c r="AJ211" s="38"/>
      <c r="AK211" s="38"/>
      <c r="AL211" s="38"/>
      <c r="AM211" s="38"/>
      <c r="AN211" s="38"/>
      <c r="AO211" s="38"/>
      <c r="AP211" s="38"/>
      <c r="AQ211" s="38"/>
      <c r="AR211" s="38"/>
      <c r="AS211" s="38"/>
      <c r="AT211" s="38"/>
      <c r="AU211" s="38"/>
      <c r="AV211" s="38"/>
      <c r="AW211" s="38"/>
      <c r="AX211" s="38"/>
      <c r="AY211" s="38"/>
      <c r="AZ211" s="38"/>
      <c r="BA211" s="38"/>
      <c r="BB211" s="38"/>
      <c r="BC211" s="38"/>
    </row>
    <row r="212">
      <c r="A212" s="48" t="s">
        <v>767</v>
      </c>
      <c r="B212" s="30">
        <v>45877.28339971065</v>
      </c>
      <c r="C212" s="36" t="s">
        <v>768</v>
      </c>
      <c r="D212" s="32" t="s">
        <v>483</v>
      </c>
      <c r="E212" s="36" t="s">
        <v>769</v>
      </c>
      <c r="F212" s="33" t="s">
        <v>767</v>
      </c>
      <c r="G212" s="31">
        <v>103.0</v>
      </c>
      <c r="H212" s="31">
        <v>9.0</v>
      </c>
      <c r="I212" s="31">
        <v>8.0</v>
      </c>
      <c r="J212" s="31">
        <v>3.0</v>
      </c>
      <c r="K212" s="34"/>
      <c r="L212" s="34"/>
      <c r="M212" s="34"/>
      <c r="N212" s="31">
        <v>10.0</v>
      </c>
      <c r="O212" s="34"/>
      <c r="P212" s="34"/>
      <c r="Q212" s="34"/>
      <c r="R212" s="34"/>
      <c r="S212" s="34"/>
      <c r="T212" s="34"/>
      <c r="U212" s="34"/>
      <c r="V212" s="35" t="s">
        <v>936</v>
      </c>
      <c r="W212" s="34"/>
      <c r="X212" s="34"/>
      <c r="Y212" s="34"/>
      <c r="Z212" s="36" t="s">
        <v>486</v>
      </c>
      <c r="AA212" s="31">
        <v>3.0</v>
      </c>
      <c r="AB212" s="34"/>
      <c r="AC212" s="31">
        <v>3.0</v>
      </c>
      <c r="AD212" s="49"/>
      <c r="AE212" s="49"/>
      <c r="AF212" s="49"/>
      <c r="AG212" s="49"/>
      <c r="AH212" s="49"/>
      <c r="AI212" s="38"/>
      <c r="AJ212" s="38"/>
      <c r="AK212" s="38"/>
      <c r="AL212" s="38"/>
      <c r="AM212" s="38"/>
      <c r="AN212" s="38"/>
      <c r="AO212" s="38"/>
      <c r="AP212" s="38"/>
      <c r="AQ212" s="38"/>
      <c r="AR212" s="38"/>
      <c r="AS212" s="38"/>
      <c r="AT212" s="38"/>
      <c r="AU212" s="38"/>
      <c r="AV212" s="38"/>
      <c r="AW212" s="38"/>
      <c r="AX212" s="38"/>
      <c r="AY212" s="38"/>
      <c r="AZ212" s="38"/>
      <c r="BA212" s="38"/>
      <c r="BB212" s="38"/>
      <c r="BC212" s="38"/>
    </row>
    <row r="213">
      <c r="A213" s="39" t="s">
        <v>324</v>
      </c>
      <c r="B213" s="40">
        <v>45877.28403725695</v>
      </c>
      <c r="C213" s="41" t="s">
        <v>937</v>
      </c>
      <c r="D213" s="42" t="s">
        <v>326</v>
      </c>
      <c r="E213" s="41" t="s">
        <v>938</v>
      </c>
      <c r="F213" s="43" t="s">
        <v>324</v>
      </c>
      <c r="G213" s="44">
        <v>768.0</v>
      </c>
      <c r="H213" s="50">
        <v>7.0</v>
      </c>
      <c r="I213" s="50">
        <v>6.0</v>
      </c>
      <c r="J213" s="50">
        <v>3.0</v>
      </c>
      <c r="K213" s="45"/>
      <c r="L213" s="45"/>
      <c r="M213" s="45"/>
      <c r="N213" s="44">
        <v>4.0</v>
      </c>
      <c r="O213" s="45"/>
      <c r="P213" s="45"/>
      <c r="Q213" s="45"/>
      <c r="R213" s="45"/>
      <c r="S213" s="45"/>
      <c r="T213" s="45"/>
      <c r="U213" s="45"/>
      <c r="V213" s="46" t="s">
        <v>939</v>
      </c>
      <c r="W213" s="45"/>
      <c r="X213" s="45"/>
      <c r="Y213" s="45"/>
      <c r="Z213" s="41" t="s">
        <v>329</v>
      </c>
      <c r="AA213" s="44">
        <v>3.0</v>
      </c>
      <c r="AB213" s="45"/>
      <c r="AC213" s="44">
        <v>3.0</v>
      </c>
      <c r="AD213" s="47"/>
      <c r="AE213" s="47"/>
      <c r="AF213" s="47"/>
      <c r="AG213" s="47"/>
      <c r="AH213" s="47"/>
      <c r="AI213" s="38"/>
      <c r="AJ213" s="38"/>
      <c r="AK213" s="38"/>
      <c r="AL213" s="38"/>
      <c r="AM213" s="38"/>
      <c r="AN213" s="38"/>
      <c r="AO213" s="38"/>
      <c r="AP213" s="38"/>
      <c r="AQ213" s="38"/>
      <c r="AR213" s="38"/>
      <c r="AS213" s="38"/>
      <c r="AT213" s="38"/>
      <c r="AU213" s="38"/>
      <c r="AV213" s="38"/>
      <c r="AW213" s="38"/>
      <c r="AX213" s="38"/>
      <c r="AY213" s="38"/>
      <c r="AZ213" s="38"/>
      <c r="BA213" s="38"/>
      <c r="BB213" s="38"/>
      <c r="BC213" s="38"/>
    </row>
    <row r="214">
      <c r="A214" s="48" t="s">
        <v>270</v>
      </c>
      <c r="B214" s="30">
        <v>45877.2851633449</v>
      </c>
      <c r="C214" s="36" t="s">
        <v>271</v>
      </c>
      <c r="D214" s="32" t="s">
        <v>940</v>
      </c>
      <c r="E214" s="36" t="s">
        <v>941</v>
      </c>
      <c r="F214" s="33" t="s">
        <v>270</v>
      </c>
      <c r="G214" s="51">
        <v>175.0</v>
      </c>
      <c r="H214" s="31">
        <v>8.0</v>
      </c>
      <c r="I214" s="31">
        <v>8.0</v>
      </c>
      <c r="J214" s="31">
        <v>1.0</v>
      </c>
      <c r="K214" s="34"/>
      <c r="L214" s="34"/>
      <c r="M214" s="34"/>
      <c r="N214" s="31">
        <v>8.0</v>
      </c>
      <c r="O214" s="34"/>
      <c r="P214" s="34"/>
      <c r="Q214" s="34"/>
      <c r="R214" s="34"/>
      <c r="S214" s="34"/>
      <c r="T214" s="34"/>
      <c r="U214" s="34"/>
      <c r="V214" s="35" t="s">
        <v>942</v>
      </c>
      <c r="W214" s="36" t="s">
        <v>275</v>
      </c>
      <c r="X214" s="34"/>
      <c r="Y214" s="34"/>
      <c r="Z214" s="36" t="s">
        <v>943</v>
      </c>
      <c r="AA214" s="31">
        <v>3.0</v>
      </c>
      <c r="AB214" s="34"/>
      <c r="AC214" s="31">
        <v>3.0</v>
      </c>
      <c r="AD214" s="49"/>
      <c r="AE214" s="49"/>
      <c r="AF214" s="49"/>
      <c r="AG214" s="49"/>
      <c r="AH214" s="49"/>
      <c r="AI214" s="38"/>
      <c r="AJ214" s="38"/>
      <c r="AK214" s="38"/>
      <c r="AL214" s="38"/>
      <c r="AM214" s="38"/>
      <c r="AN214" s="38"/>
      <c r="AO214" s="38"/>
      <c r="AP214" s="38"/>
      <c r="AQ214" s="38"/>
      <c r="AR214" s="38"/>
      <c r="AS214" s="38"/>
      <c r="AT214" s="38"/>
      <c r="AU214" s="38"/>
      <c r="AV214" s="38"/>
      <c r="AW214" s="38"/>
      <c r="AX214" s="38"/>
      <c r="AY214" s="38"/>
      <c r="AZ214" s="38"/>
      <c r="BA214" s="38"/>
      <c r="BB214" s="38"/>
      <c r="BC214" s="38"/>
    </row>
    <row r="215">
      <c r="A215" s="39" t="s">
        <v>258</v>
      </c>
      <c r="B215" s="40">
        <v>45877.29258891204</v>
      </c>
      <c r="C215" s="41" t="s">
        <v>259</v>
      </c>
      <c r="D215" s="42" t="s">
        <v>260</v>
      </c>
      <c r="E215" s="41" t="s">
        <v>261</v>
      </c>
      <c r="F215" s="43" t="s">
        <v>258</v>
      </c>
      <c r="G215" s="44">
        <v>204.0</v>
      </c>
      <c r="H215" s="44">
        <v>8.0</v>
      </c>
      <c r="I215" s="44">
        <v>9.0</v>
      </c>
      <c r="J215" s="44">
        <v>3.0</v>
      </c>
      <c r="K215" s="45"/>
      <c r="L215" s="45"/>
      <c r="M215" s="45"/>
      <c r="N215" s="44">
        <v>8.0</v>
      </c>
      <c r="O215" s="45"/>
      <c r="P215" s="45"/>
      <c r="Q215" s="45"/>
      <c r="R215" s="45"/>
      <c r="S215" s="45"/>
      <c r="T215" s="45"/>
      <c r="U215" s="45"/>
      <c r="V215" s="46" t="s">
        <v>944</v>
      </c>
      <c r="W215" s="45"/>
      <c r="X215" s="45"/>
      <c r="Y215" s="45"/>
      <c r="Z215" s="41" t="s">
        <v>263</v>
      </c>
      <c r="AA215" s="44">
        <v>3.0</v>
      </c>
      <c r="AB215" s="45"/>
      <c r="AC215" s="44">
        <v>3.0</v>
      </c>
      <c r="AD215" s="47"/>
      <c r="AE215" s="47"/>
      <c r="AF215" s="47"/>
      <c r="AG215" s="47"/>
      <c r="AH215" s="47"/>
      <c r="AI215" s="38"/>
      <c r="AJ215" s="38"/>
      <c r="AK215" s="38"/>
      <c r="AL215" s="38"/>
      <c r="AM215" s="38"/>
      <c r="AN215" s="38"/>
      <c r="AO215" s="38"/>
      <c r="AP215" s="38"/>
      <c r="AQ215" s="38"/>
      <c r="AR215" s="38"/>
      <c r="AS215" s="38"/>
      <c r="AT215" s="38"/>
      <c r="AU215" s="38"/>
      <c r="AV215" s="38"/>
      <c r="AW215" s="38"/>
      <c r="AX215" s="38"/>
      <c r="AY215" s="38"/>
      <c r="AZ215" s="38"/>
      <c r="BA215" s="38"/>
      <c r="BB215" s="38"/>
      <c r="BC215" s="38"/>
    </row>
    <row r="216">
      <c r="A216" s="48" t="s">
        <v>308</v>
      </c>
      <c r="B216" s="30">
        <v>45877.293204629634</v>
      </c>
      <c r="C216" s="36" t="s">
        <v>945</v>
      </c>
      <c r="D216" s="32" t="s">
        <v>310</v>
      </c>
      <c r="E216" s="36" t="s">
        <v>946</v>
      </c>
      <c r="F216" s="33" t="s">
        <v>308</v>
      </c>
      <c r="G216" s="51">
        <v>143.0</v>
      </c>
      <c r="H216" s="51">
        <v>5.0</v>
      </c>
      <c r="I216" s="31">
        <v>4.0</v>
      </c>
      <c r="J216" s="31">
        <v>2.0</v>
      </c>
      <c r="K216" s="34"/>
      <c r="L216" s="34"/>
      <c r="M216" s="34"/>
      <c r="N216" s="31">
        <v>4.0</v>
      </c>
      <c r="O216" s="34"/>
      <c r="P216" s="34"/>
      <c r="Q216" s="34"/>
      <c r="R216" s="34"/>
      <c r="S216" s="34"/>
      <c r="T216" s="34"/>
      <c r="U216" s="34"/>
      <c r="V216" s="35" t="s">
        <v>947</v>
      </c>
      <c r="W216" s="34"/>
      <c r="X216" s="34"/>
      <c r="Y216" s="34"/>
      <c r="Z216" s="36" t="s">
        <v>948</v>
      </c>
      <c r="AA216" s="31">
        <v>3.0</v>
      </c>
      <c r="AB216" s="34"/>
      <c r="AC216" s="31">
        <v>3.0</v>
      </c>
      <c r="AD216" s="49"/>
      <c r="AE216" s="49"/>
      <c r="AF216" s="49"/>
      <c r="AG216" s="49"/>
      <c r="AH216" s="49"/>
      <c r="AI216" s="38"/>
      <c r="AJ216" s="38"/>
      <c r="AK216" s="38"/>
      <c r="AL216" s="38"/>
      <c r="AM216" s="38"/>
      <c r="AN216" s="38"/>
      <c r="AO216" s="38"/>
      <c r="AP216" s="38"/>
      <c r="AQ216" s="38"/>
      <c r="AR216" s="38"/>
      <c r="AS216" s="38"/>
      <c r="AT216" s="38"/>
      <c r="AU216" s="38"/>
      <c r="AV216" s="38"/>
      <c r="AW216" s="38"/>
      <c r="AX216" s="38"/>
      <c r="AY216" s="38"/>
      <c r="AZ216" s="38"/>
      <c r="BA216" s="38"/>
      <c r="BB216" s="38"/>
      <c r="BC216" s="38"/>
    </row>
    <row r="217">
      <c r="A217" s="39" t="s">
        <v>233</v>
      </c>
      <c r="B217" s="40">
        <v>45877.293355625</v>
      </c>
      <c r="C217" s="41" t="s">
        <v>234</v>
      </c>
      <c r="D217" s="44">
        <v>3.017908088E9</v>
      </c>
      <c r="E217" s="41" t="s">
        <v>235</v>
      </c>
      <c r="F217" s="43" t="s">
        <v>233</v>
      </c>
      <c r="G217" s="44">
        <v>87.0</v>
      </c>
      <c r="H217" s="44">
        <v>9.0</v>
      </c>
      <c r="I217" s="44">
        <v>8.0</v>
      </c>
      <c r="J217" s="44">
        <v>1.0</v>
      </c>
      <c r="K217" s="45"/>
      <c r="L217" s="45"/>
      <c r="M217" s="45"/>
      <c r="N217" s="44">
        <v>3.0</v>
      </c>
      <c r="O217" s="45"/>
      <c r="P217" s="45"/>
      <c r="Q217" s="45"/>
      <c r="R217" s="45"/>
      <c r="S217" s="45"/>
      <c r="T217" s="45"/>
      <c r="U217" s="45"/>
      <c r="V217" s="46" t="s">
        <v>949</v>
      </c>
      <c r="W217" s="45"/>
      <c r="X217" s="45"/>
      <c r="Y217" s="45"/>
      <c r="Z217" s="41" t="s">
        <v>237</v>
      </c>
      <c r="AA217" s="44">
        <v>3.0</v>
      </c>
      <c r="AB217" s="45"/>
      <c r="AC217" s="44">
        <v>3.0</v>
      </c>
      <c r="AD217" s="47"/>
      <c r="AE217" s="47"/>
      <c r="AF217" s="47"/>
      <c r="AG217" s="47"/>
      <c r="AH217" s="47"/>
      <c r="AI217" s="38"/>
      <c r="AJ217" s="38"/>
      <c r="AK217" s="38"/>
      <c r="AL217" s="38"/>
      <c r="AM217" s="38"/>
      <c r="AN217" s="38"/>
      <c r="AO217" s="38"/>
      <c r="AP217" s="38"/>
      <c r="AQ217" s="38"/>
      <c r="AR217" s="38"/>
      <c r="AS217" s="38"/>
      <c r="AT217" s="38"/>
      <c r="AU217" s="38"/>
      <c r="AV217" s="38"/>
      <c r="AW217" s="38"/>
      <c r="AX217" s="38"/>
      <c r="AY217" s="38"/>
      <c r="AZ217" s="38"/>
      <c r="BA217" s="38"/>
      <c r="BB217" s="38"/>
      <c r="BC217" s="38"/>
    </row>
    <row r="218">
      <c r="A218" s="48" t="s">
        <v>371</v>
      </c>
      <c r="B218" s="30">
        <v>45877.30345936342</v>
      </c>
      <c r="C218" s="31" t="s">
        <v>950</v>
      </c>
      <c r="D218" s="32" t="s">
        <v>373</v>
      </c>
      <c r="E218" s="31" t="s">
        <v>951</v>
      </c>
      <c r="F218" s="33" t="s">
        <v>371</v>
      </c>
      <c r="G218" s="51">
        <v>408.0</v>
      </c>
      <c r="H218" s="31">
        <v>9.0</v>
      </c>
      <c r="I218" s="31">
        <v>9.0</v>
      </c>
      <c r="J218" s="31">
        <v>1.0</v>
      </c>
      <c r="K218" s="34"/>
      <c r="L218" s="34"/>
      <c r="M218" s="34"/>
      <c r="N218" s="31">
        <v>4.0</v>
      </c>
      <c r="O218" s="34"/>
      <c r="P218" s="34"/>
      <c r="Q218" s="34"/>
      <c r="R218" s="34"/>
      <c r="S218" s="34"/>
      <c r="T218" s="34"/>
      <c r="U218" s="34"/>
      <c r="V218" s="35" t="s">
        <v>952</v>
      </c>
      <c r="W218" s="34"/>
      <c r="X218" s="34"/>
      <c r="Y218" s="34"/>
      <c r="Z218" s="36" t="s">
        <v>376</v>
      </c>
      <c r="AA218" s="31">
        <v>3.0</v>
      </c>
      <c r="AB218" s="34"/>
      <c r="AC218" s="31">
        <v>3.0</v>
      </c>
      <c r="AD218" s="49"/>
      <c r="AE218" s="49"/>
      <c r="AF218" s="49"/>
      <c r="AG218" s="49"/>
      <c r="AH218" s="49"/>
      <c r="AI218" s="38"/>
      <c r="AJ218" s="38"/>
      <c r="AK218" s="38"/>
      <c r="AL218" s="38"/>
      <c r="AM218" s="38"/>
      <c r="AN218" s="38"/>
      <c r="AO218" s="38"/>
      <c r="AP218" s="38"/>
      <c r="AQ218" s="38"/>
      <c r="AR218" s="38"/>
      <c r="AS218" s="38"/>
      <c r="AT218" s="38"/>
      <c r="AU218" s="38"/>
      <c r="AV218" s="38"/>
      <c r="AW218" s="38"/>
      <c r="AX218" s="38"/>
      <c r="AY218" s="38"/>
      <c r="AZ218" s="38"/>
      <c r="BA218" s="38"/>
      <c r="BB218" s="38"/>
      <c r="BC218" s="38"/>
    </row>
    <row r="219">
      <c r="A219" s="39" t="s">
        <v>382</v>
      </c>
      <c r="B219" s="40">
        <v>45877.30925324074</v>
      </c>
      <c r="C219" s="41" t="s">
        <v>383</v>
      </c>
      <c r="D219" s="42" t="s">
        <v>384</v>
      </c>
      <c r="E219" s="41" t="s">
        <v>953</v>
      </c>
      <c r="F219" s="43" t="s">
        <v>382</v>
      </c>
      <c r="G219" s="44">
        <v>1749.0</v>
      </c>
      <c r="H219" s="44">
        <v>8.0</v>
      </c>
      <c r="I219" s="44">
        <v>9.0</v>
      </c>
      <c r="J219" s="44">
        <v>2.0</v>
      </c>
      <c r="K219" s="45"/>
      <c r="L219" s="45"/>
      <c r="M219" s="45"/>
      <c r="N219" s="44">
        <v>10.0</v>
      </c>
      <c r="O219" s="45"/>
      <c r="P219" s="45"/>
      <c r="Q219" s="45"/>
      <c r="R219" s="45"/>
      <c r="S219" s="45"/>
      <c r="T219" s="45"/>
      <c r="U219" s="45"/>
      <c r="V219" s="46" t="s">
        <v>954</v>
      </c>
      <c r="W219" s="41" t="s">
        <v>337</v>
      </c>
      <c r="X219" s="45"/>
      <c r="Y219" s="45"/>
      <c r="Z219" s="41" t="s">
        <v>955</v>
      </c>
      <c r="AA219" s="44">
        <v>3.0</v>
      </c>
      <c r="AB219" s="45"/>
      <c r="AC219" s="44">
        <v>3.0</v>
      </c>
      <c r="AD219" s="47"/>
      <c r="AE219" s="47"/>
      <c r="AF219" s="47"/>
      <c r="AG219" s="47"/>
      <c r="AH219" s="47"/>
      <c r="AI219" s="38"/>
      <c r="AJ219" s="38"/>
      <c r="AK219" s="38"/>
      <c r="AL219" s="38"/>
      <c r="AM219" s="38"/>
      <c r="AN219" s="38"/>
      <c r="AO219" s="38"/>
      <c r="AP219" s="38"/>
      <c r="AQ219" s="38"/>
      <c r="AR219" s="38"/>
      <c r="AS219" s="38"/>
      <c r="AT219" s="38"/>
      <c r="AU219" s="38"/>
      <c r="AV219" s="38"/>
      <c r="AW219" s="38"/>
      <c r="AX219" s="38"/>
      <c r="AY219" s="38"/>
      <c r="AZ219" s="38"/>
      <c r="BA219" s="38"/>
      <c r="BB219" s="38"/>
      <c r="BC219" s="38"/>
    </row>
    <row r="220">
      <c r="A220" s="48" t="s">
        <v>264</v>
      </c>
      <c r="B220" s="30">
        <v>45877.31365247685</v>
      </c>
      <c r="C220" s="36" t="s">
        <v>956</v>
      </c>
      <c r="D220" s="32" t="s">
        <v>266</v>
      </c>
      <c r="E220" s="36" t="s">
        <v>957</v>
      </c>
      <c r="F220" s="33" t="s">
        <v>264</v>
      </c>
      <c r="G220" s="51">
        <v>135.0</v>
      </c>
      <c r="H220" s="31">
        <v>10.0</v>
      </c>
      <c r="I220" s="31">
        <v>10.0</v>
      </c>
      <c r="J220" s="31">
        <v>0.0</v>
      </c>
      <c r="K220" s="34"/>
      <c r="L220" s="34"/>
      <c r="M220" s="34"/>
      <c r="N220" s="31">
        <v>10.0</v>
      </c>
      <c r="O220" s="34"/>
      <c r="P220" s="34"/>
      <c r="Q220" s="34"/>
      <c r="R220" s="34"/>
      <c r="S220" s="34"/>
      <c r="T220" s="34"/>
      <c r="U220" s="34"/>
      <c r="V220" s="35" t="s">
        <v>958</v>
      </c>
      <c r="W220" s="34"/>
      <c r="X220" s="34"/>
      <c r="Y220" s="34"/>
      <c r="Z220" s="36" t="s">
        <v>269</v>
      </c>
      <c r="AA220" s="31">
        <v>3.0</v>
      </c>
      <c r="AB220" s="34"/>
      <c r="AC220" s="31">
        <v>3.0</v>
      </c>
      <c r="AD220" s="49"/>
      <c r="AE220" s="49"/>
      <c r="AF220" s="49"/>
      <c r="AG220" s="49"/>
      <c r="AH220" s="49"/>
      <c r="AI220" s="38"/>
      <c r="AJ220" s="38"/>
      <c r="AK220" s="38"/>
      <c r="AL220" s="38"/>
      <c r="AM220" s="38"/>
      <c r="AN220" s="38"/>
      <c r="AO220" s="38"/>
      <c r="AP220" s="38"/>
      <c r="AQ220" s="38"/>
      <c r="AR220" s="38"/>
      <c r="AS220" s="38"/>
      <c r="AT220" s="38"/>
      <c r="AU220" s="38"/>
      <c r="AV220" s="38"/>
      <c r="AW220" s="38"/>
      <c r="AX220" s="38"/>
      <c r="AY220" s="38"/>
      <c r="AZ220" s="38"/>
      <c r="BA220" s="38"/>
      <c r="BB220" s="38"/>
      <c r="BC220" s="38"/>
    </row>
    <row r="221">
      <c r="A221" s="39" t="s">
        <v>277</v>
      </c>
      <c r="B221" s="40">
        <v>45877.3146895949</v>
      </c>
      <c r="C221" s="41" t="s">
        <v>959</v>
      </c>
      <c r="D221" s="42" t="s">
        <v>960</v>
      </c>
      <c r="E221" s="41" t="s">
        <v>961</v>
      </c>
      <c r="F221" s="43" t="s">
        <v>277</v>
      </c>
      <c r="G221" s="44">
        <v>320.0</v>
      </c>
      <c r="H221" s="44">
        <v>7.0</v>
      </c>
      <c r="I221" s="44">
        <v>7.0</v>
      </c>
      <c r="J221" s="44">
        <v>2.0</v>
      </c>
      <c r="K221" s="45"/>
      <c r="L221" s="45"/>
      <c r="M221" s="45"/>
      <c r="N221" s="44">
        <v>8.0</v>
      </c>
      <c r="O221" s="45"/>
      <c r="P221" s="45"/>
      <c r="Q221" s="45"/>
      <c r="R221" s="45"/>
      <c r="S221" s="45"/>
      <c r="T221" s="45"/>
      <c r="U221" s="45"/>
      <c r="V221" s="46" t="s">
        <v>962</v>
      </c>
      <c r="W221" s="44">
        <v>0.0</v>
      </c>
      <c r="X221" s="45"/>
      <c r="Y221" s="45"/>
      <c r="Z221" s="41" t="s">
        <v>594</v>
      </c>
      <c r="AA221" s="44">
        <v>3.0</v>
      </c>
      <c r="AB221" s="45"/>
      <c r="AC221" s="44">
        <v>3.0</v>
      </c>
      <c r="AD221" s="47"/>
      <c r="AE221" s="47"/>
      <c r="AF221" s="47"/>
      <c r="AG221" s="47"/>
      <c r="AH221" s="47"/>
      <c r="AI221" s="38"/>
      <c r="AJ221" s="38"/>
      <c r="AK221" s="38"/>
      <c r="AL221" s="38"/>
      <c r="AM221" s="38"/>
      <c r="AN221" s="38"/>
      <c r="AO221" s="38"/>
      <c r="AP221" s="38"/>
      <c r="AQ221" s="38"/>
      <c r="AR221" s="38"/>
      <c r="AS221" s="38"/>
      <c r="AT221" s="38"/>
      <c r="AU221" s="38"/>
      <c r="AV221" s="38"/>
      <c r="AW221" s="38"/>
      <c r="AX221" s="38"/>
      <c r="AY221" s="38"/>
      <c r="AZ221" s="38"/>
      <c r="BA221" s="38"/>
      <c r="BB221" s="38"/>
      <c r="BC221" s="38"/>
    </row>
    <row r="222">
      <c r="A222" s="48" t="s">
        <v>963</v>
      </c>
      <c r="B222" s="30">
        <v>45877.32400476852</v>
      </c>
      <c r="C222" s="36" t="s">
        <v>708</v>
      </c>
      <c r="D222" s="32" t="s">
        <v>756</v>
      </c>
      <c r="E222" s="36" t="s">
        <v>964</v>
      </c>
      <c r="F222" s="33" t="s">
        <v>963</v>
      </c>
      <c r="G222" s="31">
        <v>184.0</v>
      </c>
      <c r="H222" s="31">
        <v>8.0</v>
      </c>
      <c r="I222" s="31">
        <v>8.0</v>
      </c>
      <c r="J222" s="31">
        <v>3.0</v>
      </c>
      <c r="K222" s="34"/>
      <c r="L222" s="34"/>
      <c r="M222" s="34"/>
      <c r="N222" s="31">
        <v>9.0</v>
      </c>
      <c r="O222" s="34"/>
      <c r="P222" s="34"/>
      <c r="Q222" s="34"/>
      <c r="R222" s="34"/>
      <c r="S222" s="34"/>
      <c r="T222" s="34"/>
      <c r="U222" s="34"/>
      <c r="V222" s="35" t="s">
        <v>965</v>
      </c>
      <c r="W222" s="34"/>
      <c r="X222" s="34"/>
      <c r="Y222" s="34"/>
      <c r="Z222" s="36" t="s">
        <v>759</v>
      </c>
      <c r="AA222" s="31">
        <v>3.0</v>
      </c>
      <c r="AB222" s="34"/>
      <c r="AC222" s="31">
        <v>3.0</v>
      </c>
      <c r="AD222" s="49"/>
      <c r="AE222" s="49"/>
      <c r="AF222" s="49"/>
      <c r="AG222" s="49"/>
      <c r="AH222" s="49"/>
      <c r="AI222" s="38"/>
      <c r="AJ222" s="38"/>
      <c r="AK222" s="38"/>
      <c r="AL222" s="38"/>
      <c r="AM222" s="38"/>
      <c r="AN222" s="38"/>
      <c r="AO222" s="38"/>
      <c r="AP222" s="38"/>
      <c r="AQ222" s="38"/>
      <c r="AR222" s="38"/>
      <c r="AS222" s="38"/>
      <c r="AT222" s="38"/>
      <c r="AU222" s="38"/>
      <c r="AV222" s="38"/>
      <c r="AW222" s="38"/>
      <c r="AX222" s="38"/>
      <c r="AY222" s="38"/>
      <c r="AZ222" s="38"/>
      <c r="BA222" s="38"/>
      <c r="BB222" s="38"/>
      <c r="BC222" s="38"/>
    </row>
    <row r="223">
      <c r="A223" s="39" t="s">
        <v>365</v>
      </c>
      <c r="B223" s="40">
        <v>45877.32448539352</v>
      </c>
      <c r="C223" s="41" t="s">
        <v>366</v>
      </c>
      <c r="D223" s="42" t="s">
        <v>367</v>
      </c>
      <c r="E223" s="41" t="s">
        <v>966</v>
      </c>
      <c r="F223" s="43" t="s">
        <v>365</v>
      </c>
      <c r="G223" s="44">
        <v>357.0</v>
      </c>
      <c r="H223" s="44">
        <v>10.0</v>
      </c>
      <c r="I223" s="44">
        <v>10.0</v>
      </c>
      <c r="J223" s="44">
        <v>0.0</v>
      </c>
      <c r="K223" s="45"/>
      <c r="L223" s="45"/>
      <c r="M223" s="45"/>
      <c r="N223" s="44">
        <v>10.0</v>
      </c>
      <c r="O223" s="45"/>
      <c r="P223" s="45"/>
      <c r="Q223" s="45"/>
      <c r="R223" s="45"/>
      <c r="S223" s="45"/>
      <c r="T223" s="45"/>
      <c r="U223" s="45"/>
      <c r="V223" s="46" t="s">
        <v>967</v>
      </c>
      <c r="W223" s="41" t="s">
        <v>197</v>
      </c>
      <c r="X223" s="45"/>
      <c r="Y223" s="45"/>
      <c r="Z223" s="41" t="s">
        <v>370</v>
      </c>
      <c r="AA223" s="44">
        <v>3.0</v>
      </c>
      <c r="AB223" s="45"/>
      <c r="AC223" s="44">
        <v>3.0</v>
      </c>
      <c r="AD223" s="47"/>
      <c r="AE223" s="47"/>
      <c r="AF223" s="47"/>
      <c r="AG223" s="47"/>
      <c r="AH223" s="47"/>
      <c r="AI223" s="38"/>
      <c r="AJ223" s="38"/>
      <c r="AK223" s="38"/>
      <c r="AL223" s="38"/>
      <c r="AM223" s="38"/>
      <c r="AN223" s="38"/>
      <c r="AO223" s="38"/>
      <c r="AP223" s="38"/>
      <c r="AQ223" s="38"/>
      <c r="AR223" s="38"/>
      <c r="AS223" s="38"/>
      <c r="AT223" s="38"/>
      <c r="AU223" s="38"/>
      <c r="AV223" s="38"/>
      <c r="AW223" s="38"/>
      <c r="AX223" s="38"/>
      <c r="AY223" s="38"/>
      <c r="AZ223" s="38"/>
      <c r="BA223" s="38"/>
      <c r="BB223" s="38"/>
      <c r="BC223" s="38"/>
    </row>
    <row r="224">
      <c r="A224" s="48" t="s">
        <v>377</v>
      </c>
      <c r="B224" s="30">
        <v>45877.33930759259</v>
      </c>
      <c r="C224" s="36" t="s">
        <v>968</v>
      </c>
      <c r="D224" s="32" t="s">
        <v>379</v>
      </c>
      <c r="E224" s="36" t="s">
        <v>969</v>
      </c>
      <c r="F224" s="33" t="s">
        <v>377</v>
      </c>
      <c r="G224" s="31">
        <v>131.0</v>
      </c>
      <c r="H224" s="31">
        <v>9.0</v>
      </c>
      <c r="I224" s="31">
        <v>8.0</v>
      </c>
      <c r="J224" s="31">
        <v>1.0</v>
      </c>
      <c r="K224" s="34"/>
      <c r="L224" s="34"/>
      <c r="M224" s="34"/>
      <c r="N224" s="31">
        <v>9.0</v>
      </c>
      <c r="O224" s="34"/>
      <c r="P224" s="34"/>
      <c r="Q224" s="34"/>
      <c r="R224" s="34"/>
      <c r="S224" s="34"/>
      <c r="T224" s="34"/>
      <c r="U224" s="34"/>
      <c r="V224" s="35" t="s">
        <v>970</v>
      </c>
      <c r="W224" s="34"/>
      <c r="X224" s="34"/>
      <c r="Y224" s="34"/>
      <c r="Z224" s="36" t="s">
        <v>122</v>
      </c>
      <c r="AA224" s="31">
        <v>3.0</v>
      </c>
      <c r="AB224" s="34"/>
      <c r="AC224" s="31">
        <v>3.0</v>
      </c>
      <c r="AD224" s="49"/>
      <c r="AE224" s="49"/>
      <c r="AF224" s="49"/>
      <c r="AG224" s="49"/>
      <c r="AH224" s="49"/>
      <c r="AI224" s="38"/>
      <c r="AJ224" s="38"/>
      <c r="AK224" s="38"/>
      <c r="AL224" s="38"/>
      <c r="AM224" s="38"/>
      <c r="AN224" s="38"/>
      <c r="AO224" s="38"/>
      <c r="AP224" s="38"/>
      <c r="AQ224" s="38"/>
      <c r="AR224" s="38"/>
      <c r="AS224" s="38"/>
      <c r="AT224" s="38"/>
      <c r="AU224" s="38"/>
      <c r="AV224" s="38"/>
      <c r="AW224" s="38"/>
      <c r="AX224" s="38"/>
      <c r="AY224" s="38"/>
      <c r="AZ224" s="38"/>
      <c r="BA224" s="38"/>
      <c r="BB224" s="38"/>
      <c r="BC224" s="38"/>
    </row>
    <row r="225">
      <c r="A225" s="39" t="s">
        <v>199</v>
      </c>
      <c r="B225" s="40">
        <v>45877.35170493055</v>
      </c>
      <c r="C225" s="41" t="s">
        <v>708</v>
      </c>
      <c r="D225" s="42" t="s">
        <v>201</v>
      </c>
      <c r="E225" s="41" t="s">
        <v>971</v>
      </c>
      <c r="F225" s="43" t="s">
        <v>199</v>
      </c>
      <c r="G225" s="44">
        <v>155.0</v>
      </c>
      <c r="H225" s="44">
        <v>8.0</v>
      </c>
      <c r="I225" s="44">
        <v>8.0</v>
      </c>
      <c r="J225" s="56">
        <v>2.0</v>
      </c>
      <c r="K225" s="45"/>
      <c r="L225" s="45"/>
      <c r="M225" s="45"/>
      <c r="N225" s="44">
        <v>9.0</v>
      </c>
      <c r="O225" s="45"/>
      <c r="P225" s="45"/>
      <c r="Q225" s="45"/>
      <c r="R225" s="45"/>
      <c r="S225" s="45"/>
      <c r="T225" s="45"/>
      <c r="U225" s="45"/>
      <c r="V225" s="46" t="s">
        <v>972</v>
      </c>
      <c r="W225" s="41" t="s">
        <v>973</v>
      </c>
      <c r="X225" s="45"/>
      <c r="Y225" s="45"/>
      <c r="Z225" s="41" t="s">
        <v>204</v>
      </c>
      <c r="AA225" s="44">
        <v>3.0</v>
      </c>
      <c r="AB225" s="45"/>
      <c r="AC225" s="44">
        <v>3.0</v>
      </c>
      <c r="AD225" s="47"/>
      <c r="AE225" s="47"/>
      <c r="AF225" s="47"/>
      <c r="AG225" s="47"/>
      <c r="AH225" s="47"/>
      <c r="AI225" s="38"/>
      <c r="AJ225" s="38"/>
      <c r="AK225" s="38"/>
      <c r="AL225" s="38"/>
      <c r="AM225" s="38"/>
      <c r="AN225" s="38"/>
      <c r="AO225" s="38"/>
      <c r="AP225" s="38"/>
      <c r="AQ225" s="38"/>
      <c r="AR225" s="38"/>
      <c r="AS225" s="38"/>
      <c r="AT225" s="38"/>
      <c r="AU225" s="38"/>
      <c r="AV225" s="38"/>
      <c r="AW225" s="38"/>
      <c r="AX225" s="38"/>
      <c r="AY225" s="38"/>
      <c r="AZ225" s="38"/>
      <c r="BA225" s="38"/>
      <c r="BB225" s="38"/>
      <c r="BC225" s="38"/>
    </row>
    <row r="226">
      <c r="A226" s="48" t="s">
        <v>974</v>
      </c>
      <c r="B226" s="30">
        <v>45877.35219851852</v>
      </c>
      <c r="C226" s="36" t="s">
        <v>141</v>
      </c>
      <c r="D226" s="32" t="s">
        <v>142</v>
      </c>
      <c r="E226" s="36" t="s">
        <v>975</v>
      </c>
      <c r="F226" s="33" t="s">
        <v>974</v>
      </c>
      <c r="G226" s="31">
        <v>257.0</v>
      </c>
      <c r="H226" s="31">
        <v>9.0</v>
      </c>
      <c r="I226" s="31">
        <v>8.0</v>
      </c>
      <c r="J226" s="31">
        <v>0.0</v>
      </c>
      <c r="K226" s="34"/>
      <c r="L226" s="34"/>
      <c r="M226" s="34"/>
      <c r="N226" s="31">
        <v>8.0</v>
      </c>
      <c r="O226" s="34"/>
      <c r="P226" s="34"/>
      <c r="Q226" s="34"/>
      <c r="R226" s="34"/>
      <c r="S226" s="34"/>
      <c r="T226" s="34"/>
      <c r="U226" s="34"/>
      <c r="V226" s="35" t="s">
        <v>976</v>
      </c>
      <c r="W226" s="34"/>
      <c r="X226" s="34"/>
      <c r="Y226" s="34"/>
      <c r="Z226" s="36" t="s">
        <v>146</v>
      </c>
      <c r="AA226" s="31">
        <v>3.0</v>
      </c>
      <c r="AB226" s="34"/>
      <c r="AC226" s="31">
        <v>3.0</v>
      </c>
      <c r="AD226" s="49"/>
      <c r="AE226" s="49"/>
      <c r="AF226" s="49"/>
      <c r="AG226" s="49"/>
      <c r="AH226" s="49"/>
      <c r="AI226" s="38"/>
      <c r="AJ226" s="38"/>
      <c r="AK226" s="38"/>
      <c r="AL226" s="38"/>
      <c r="AM226" s="38"/>
      <c r="AN226" s="38"/>
      <c r="AO226" s="38"/>
      <c r="AP226" s="38"/>
      <c r="AQ226" s="38"/>
      <c r="AR226" s="38"/>
      <c r="AS226" s="38"/>
      <c r="AT226" s="38"/>
      <c r="AU226" s="38"/>
      <c r="AV226" s="38"/>
      <c r="AW226" s="38"/>
      <c r="AX226" s="38"/>
      <c r="AY226" s="38"/>
      <c r="AZ226" s="38"/>
      <c r="BA226" s="38"/>
      <c r="BB226" s="38"/>
      <c r="BC226" s="38"/>
    </row>
    <row r="227">
      <c r="A227" s="39" t="s">
        <v>977</v>
      </c>
      <c r="B227" s="40">
        <v>45877.354127071754</v>
      </c>
      <c r="C227" s="41" t="s">
        <v>696</v>
      </c>
      <c r="D227" s="42" t="s">
        <v>697</v>
      </c>
      <c r="E227" s="41" t="s">
        <v>698</v>
      </c>
      <c r="F227" s="43" t="s">
        <v>977</v>
      </c>
      <c r="G227" s="44">
        <v>1150.0</v>
      </c>
      <c r="H227" s="44">
        <v>8.0</v>
      </c>
      <c r="I227" s="44">
        <v>8.0</v>
      </c>
      <c r="J227" s="44">
        <v>1.0</v>
      </c>
      <c r="K227" s="45"/>
      <c r="L227" s="45"/>
      <c r="M227" s="45"/>
      <c r="N227" s="44">
        <v>9.0</v>
      </c>
      <c r="O227" s="45"/>
      <c r="P227" s="45"/>
      <c r="Q227" s="45"/>
      <c r="R227" s="45"/>
      <c r="S227" s="45"/>
      <c r="T227" s="45"/>
      <c r="U227" s="45"/>
      <c r="V227" s="46" t="s">
        <v>978</v>
      </c>
      <c r="W227" s="45"/>
      <c r="X227" s="45"/>
      <c r="Y227" s="45"/>
      <c r="Z227" s="41" t="s">
        <v>700</v>
      </c>
      <c r="AA227" s="44">
        <v>3.0</v>
      </c>
      <c r="AB227" s="45"/>
      <c r="AC227" s="44">
        <v>3.0</v>
      </c>
      <c r="AD227" s="47"/>
      <c r="AE227" s="47"/>
      <c r="AF227" s="47"/>
      <c r="AG227" s="47"/>
      <c r="AH227" s="47"/>
      <c r="AI227" s="38"/>
      <c r="AJ227" s="38"/>
      <c r="AK227" s="38"/>
      <c r="AL227" s="38"/>
      <c r="AM227" s="38"/>
      <c r="AN227" s="38"/>
      <c r="AO227" s="38"/>
      <c r="AP227" s="38"/>
      <c r="AQ227" s="38"/>
      <c r="AR227" s="38"/>
      <c r="AS227" s="38"/>
      <c r="AT227" s="38"/>
      <c r="AU227" s="38"/>
      <c r="AV227" s="38"/>
      <c r="AW227" s="38"/>
      <c r="AX227" s="38"/>
      <c r="AY227" s="38"/>
      <c r="AZ227" s="38"/>
      <c r="BA227" s="38"/>
      <c r="BB227" s="38"/>
      <c r="BC227" s="38"/>
    </row>
    <row r="228">
      <c r="A228" s="48" t="s">
        <v>456</v>
      </c>
      <c r="B228" s="30">
        <v>45877.35942129629</v>
      </c>
      <c r="C228" s="36" t="s">
        <v>450</v>
      </c>
      <c r="D228" s="32" t="s">
        <v>451</v>
      </c>
      <c r="E228" s="36" t="s">
        <v>979</v>
      </c>
      <c r="F228" s="33" t="s">
        <v>456</v>
      </c>
      <c r="G228" s="51">
        <v>280.0</v>
      </c>
      <c r="H228" s="31">
        <v>10.0</v>
      </c>
      <c r="I228" s="31">
        <v>10.0</v>
      </c>
      <c r="J228" s="36" t="s">
        <v>453</v>
      </c>
      <c r="K228" s="34"/>
      <c r="L228" s="34"/>
      <c r="M228" s="34"/>
      <c r="N228" s="31">
        <v>8.0</v>
      </c>
      <c r="O228" s="34"/>
      <c r="P228" s="34"/>
      <c r="Q228" s="34"/>
      <c r="R228" s="34"/>
      <c r="S228" s="34"/>
      <c r="T228" s="34"/>
      <c r="U228" s="34"/>
      <c r="V228" s="35" t="s">
        <v>980</v>
      </c>
      <c r="W228" s="34"/>
      <c r="X228" s="34"/>
      <c r="Y228" s="34"/>
      <c r="Z228" s="36" t="s">
        <v>455</v>
      </c>
      <c r="AA228" s="31">
        <v>3.0</v>
      </c>
      <c r="AB228" s="34"/>
      <c r="AC228" s="31">
        <v>3.0</v>
      </c>
      <c r="AD228" s="49"/>
      <c r="AE228" s="49"/>
      <c r="AF228" s="49"/>
      <c r="AG228" s="49"/>
      <c r="AH228" s="49"/>
      <c r="AI228" s="38"/>
      <c r="AJ228" s="38"/>
      <c r="AK228" s="38"/>
      <c r="AL228" s="38"/>
      <c r="AM228" s="38"/>
      <c r="AN228" s="38"/>
      <c r="AO228" s="38"/>
      <c r="AP228" s="38"/>
      <c r="AQ228" s="38"/>
      <c r="AR228" s="38"/>
      <c r="AS228" s="38"/>
      <c r="AT228" s="38"/>
      <c r="AU228" s="38"/>
      <c r="AV228" s="38"/>
      <c r="AW228" s="38"/>
      <c r="AX228" s="38"/>
      <c r="AY228" s="38"/>
      <c r="AZ228" s="38"/>
      <c r="BA228" s="38"/>
      <c r="BB228" s="38"/>
      <c r="BC228" s="38"/>
    </row>
    <row r="229">
      <c r="A229" s="39" t="s">
        <v>981</v>
      </c>
      <c r="B229" s="40">
        <v>45877.36332260417</v>
      </c>
      <c r="C229" s="41" t="s">
        <v>296</v>
      </c>
      <c r="D229" s="42" t="s">
        <v>712</v>
      </c>
      <c r="E229" s="41" t="s">
        <v>713</v>
      </c>
      <c r="F229" s="43" t="s">
        <v>981</v>
      </c>
      <c r="G229" s="44">
        <v>945.0</v>
      </c>
      <c r="H229" s="44">
        <v>9.0</v>
      </c>
      <c r="I229" s="44">
        <v>9.0</v>
      </c>
      <c r="J229" s="44">
        <v>1.0</v>
      </c>
      <c r="K229" s="45"/>
      <c r="L229" s="45"/>
      <c r="M229" s="45"/>
      <c r="N229" s="44">
        <v>9.0</v>
      </c>
      <c r="O229" s="45"/>
      <c r="P229" s="45"/>
      <c r="Q229" s="45"/>
      <c r="R229" s="45"/>
      <c r="S229" s="45"/>
      <c r="T229" s="45"/>
      <c r="U229" s="45"/>
      <c r="V229" s="46" t="s">
        <v>982</v>
      </c>
      <c r="W229" s="45"/>
      <c r="X229" s="45"/>
      <c r="Y229" s="45"/>
      <c r="Z229" s="41" t="s">
        <v>700</v>
      </c>
      <c r="AA229" s="44">
        <v>3.0</v>
      </c>
      <c r="AB229" s="45"/>
      <c r="AC229" s="44">
        <v>3.0</v>
      </c>
      <c r="AD229" s="47"/>
      <c r="AE229" s="47"/>
      <c r="AF229" s="47"/>
      <c r="AG229" s="47"/>
      <c r="AH229" s="47"/>
      <c r="AI229" s="38"/>
      <c r="AJ229" s="38"/>
      <c r="AK229" s="38"/>
      <c r="AL229" s="38"/>
      <c r="AM229" s="38"/>
      <c r="AN229" s="38"/>
      <c r="AO229" s="38"/>
      <c r="AP229" s="38"/>
      <c r="AQ229" s="38"/>
      <c r="AR229" s="38"/>
      <c r="AS229" s="38"/>
      <c r="AT229" s="38"/>
      <c r="AU229" s="38"/>
      <c r="AV229" s="38"/>
      <c r="AW229" s="38"/>
      <c r="AX229" s="38"/>
      <c r="AY229" s="38"/>
      <c r="AZ229" s="38"/>
      <c r="BA229" s="38"/>
      <c r="BB229" s="38"/>
      <c r="BC229" s="38"/>
    </row>
    <row r="230">
      <c r="A230" s="48" t="s">
        <v>83</v>
      </c>
      <c r="B230" s="30">
        <v>45877.397839212965</v>
      </c>
      <c r="C230" s="36" t="s">
        <v>983</v>
      </c>
      <c r="D230" s="36" t="s">
        <v>984</v>
      </c>
      <c r="E230" s="36" t="s">
        <v>985</v>
      </c>
      <c r="F230" s="33" t="s">
        <v>83</v>
      </c>
      <c r="G230" s="31">
        <v>814.0</v>
      </c>
      <c r="H230" s="31">
        <v>7.0</v>
      </c>
      <c r="I230" s="31">
        <v>8.0</v>
      </c>
      <c r="J230" s="31">
        <v>1.0</v>
      </c>
      <c r="K230" s="34"/>
      <c r="L230" s="34"/>
      <c r="M230" s="34"/>
      <c r="N230" s="31">
        <v>8.0</v>
      </c>
      <c r="O230" s="34"/>
      <c r="P230" s="34"/>
      <c r="Q230" s="34"/>
      <c r="R230" s="34"/>
      <c r="S230" s="34"/>
      <c r="T230" s="34"/>
      <c r="U230" s="34"/>
      <c r="V230" s="35" t="s">
        <v>986</v>
      </c>
      <c r="W230" s="34"/>
      <c r="X230" s="34"/>
      <c r="Y230" s="34"/>
      <c r="Z230" s="36" t="s">
        <v>987</v>
      </c>
      <c r="AA230" s="31">
        <v>3.0</v>
      </c>
      <c r="AB230" s="34"/>
      <c r="AC230" s="31">
        <v>3.0</v>
      </c>
      <c r="AD230" s="49"/>
      <c r="AE230" s="49"/>
      <c r="AF230" s="49"/>
      <c r="AG230" s="49"/>
      <c r="AH230" s="49"/>
      <c r="AI230" s="38"/>
      <c r="AJ230" s="38"/>
      <c r="AK230" s="38"/>
      <c r="AL230" s="38"/>
      <c r="AM230" s="38"/>
      <c r="AN230" s="38"/>
      <c r="AO230" s="38"/>
      <c r="AP230" s="38"/>
      <c r="AQ230" s="38"/>
      <c r="AR230" s="38"/>
      <c r="AS230" s="38"/>
      <c r="AT230" s="38"/>
      <c r="AU230" s="38"/>
      <c r="AV230" s="38"/>
      <c r="AW230" s="38"/>
      <c r="AX230" s="38"/>
      <c r="AY230" s="38"/>
      <c r="AZ230" s="38"/>
      <c r="BA230" s="38"/>
      <c r="BB230" s="38"/>
      <c r="BC230" s="38"/>
    </row>
    <row r="231">
      <c r="A231" s="39" t="s">
        <v>244</v>
      </c>
      <c r="B231" s="40">
        <v>45877.40259572917</v>
      </c>
      <c r="C231" s="41" t="s">
        <v>245</v>
      </c>
      <c r="D231" s="42" t="s">
        <v>246</v>
      </c>
      <c r="E231" s="44" t="s">
        <v>988</v>
      </c>
      <c r="F231" s="43" t="s">
        <v>244</v>
      </c>
      <c r="G231" s="44">
        <v>723.0</v>
      </c>
      <c r="H231" s="44">
        <v>8.0</v>
      </c>
      <c r="I231" s="44">
        <v>7.0</v>
      </c>
      <c r="J231" s="44">
        <v>2.0</v>
      </c>
      <c r="K231" s="45"/>
      <c r="L231" s="45"/>
      <c r="M231" s="45"/>
      <c r="N231" s="44">
        <v>8.0</v>
      </c>
      <c r="O231" s="45"/>
      <c r="P231" s="45"/>
      <c r="Q231" s="45"/>
      <c r="R231" s="45"/>
      <c r="S231" s="45"/>
      <c r="T231" s="45"/>
      <c r="U231" s="45"/>
      <c r="V231" s="46" t="s">
        <v>989</v>
      </c>
      <c r="W231" s="41" t="s">
        <v>197</v>
      </c>
      <c r="X231" s="45"/>
      <c r="Y231" s="45"/>
      <c r="Z231" s="41" t="s">
        <v>250</v>
      </c>
      <c r="AA231" s="44">
        <v>3.0</v>
      </c>
      <c r="AB231" s="45"/>
      <c r="AC231" s="44">
        <v>3.0</v>
      </c>
      <c r="AD231" s="47"/>
      <c r="AE231" s="47"/>
      <c r="AF231" s="47"/>
      <c r="AG231" s="47"/>
      <c r="AH231" s="47"/>
      <c r="AI231" s="38"/>
      <c r="AJ231" s="38"/>
      <c r="AK231" s="38"/>
      <c r="AL231" s="38"/>
      <c r="AM231" s="38"/>
      <c r="AN231" s="38"/>
      <c r="AO231" s="38"/>
      <c r="AP231" s="38"/>
      <c r="AQ231" s="38"/>
      <c r="AR231" s="38"/>
      <c r="AS231" s="38"/>
      <c r="AT231" s="38"/>
      <c r="AU231" s="38"/>
      <c r="AV231" s="38"/>
      <c r="AW231" s="38"/>
      <c r="AX231" s="38"/>
      <c r="AY231" s="38"/>
      <c r="AZ231" s="38"/>
      <c r="BA231" s="38"/>
      <c r="BB231" s="38"/>
      <c r="BC231" s="38"/>
    </row>
    <row r="232">
      <c r="A232" s="48" t="s">
        <v>552</v>
      </c>
      <c r="B232" s="30">
        <v>45877.42513684028</v>
      </c>
      <c r="C232" s="36" t="s">
        <v>990</v>
      </c>
      <c r="D232" s="32" t="s">
        <v>390</v>
      </c>
      <c r="E232" s="36" t="s">
        <v>991</v>
      </c>
      <c r="F232" s="33" t="s">
        <v>552</v>
      </c>
      <c r="G232" s="31">
        <v>390.0</v>
      </c>
      <c r="H232" s="31">
        <v>7.0</v>
      </c>
      <c r="I232" s="51">
        <v>6.0</v>
      </c>
      <c r="J232" s="31">
        <v>0.0</v>
      </c>
      <c r="K232" s="34"/>
      <c r="L232" s="34"/>
      <c r="M232" s="34"/>
      <c r="N232" s="31">
        <v>3.0</v>
      </c>
      <c r="O232" s="34"/>
      <c r="P232" s="34"/>
      <c r="Q232" s="34"/>
      <c r="R232" s="34"/>
      <c r="S232" s="34"/>
      <c r="T232" s="34"/>
      <c r="U232" s="34"/>
      <c r="V232" s="35" t="s">
        <v>992</v>
      </c>
      <c r="W232" s="34"/>
      <c r="X232" s="34"/>
      <c r="Y232" s="34"/>
      <c r="Z232" s="36" t="s">
        <v>392</v>
      </c>
      <c r="AA232" s="31">
        <v>3.0</v>
      </c>
      <c r="AB232" s="34"/>
      <c r="AC232" s="31">
        <v>3.0</v>
      </c>
      <c r="AD232" s="49"/>
      <c r="AE232" s="49"/>
      <c r="AF232" s="49"/>
      <c r="AG232" s="49"/>
      <c r="AH232" s="49"/>
      <c r="AI232" s="38"/>
      <c r="AJ232" s="38"/>
      <c r="AK232" s="38"/>
      <c r="AL232" s="38"/>
      <c r="AM232" s="38"/>
      <c r="AN232" s="38"/>
      <c r="AO232" s="38"/>
      <c r="AP232" s="38"/>
      <c r="AQ232" s="38"/>
      <c r="AR232" s="38"/>
      <c r="AS232" s="38"/>
      <c r="AT232" s="38"/>
      <c r="AU232" s="38"/>
      <c r="AV232" s="38"/>
      <c r="AW232" s="38"/>
      <c r="AX232" s="38"/>
      <c r="AY232" s="38"/>
      <c r="AZ232" s="38"/>
      <c r="BA232" s="38"/>
      <c r="BB232" s="38"/>
      <c r="BC232" s="38"/>
    </row>
    <row r="233">
      <c r="A233" s="39" t="s">
        <v>779</v>
      </c>
      <c r="B233" s="40">
        <v>45877.428249178236</v>
      </c>
      <c r="C233" s="41" t="s">
        <v>780</v>
      </c>
      <c r="D233" s="42" t="s">
        <v>514</v>
      </c>
      <c r="E233" s="41" t="s">
        <v>781</v>
      </c>
      <c r="F233" s="43" t="s">
        <v>779</v>
      </c>
      <c r="G233" s="50">
        <v>165.0</v>
      </c>
      <c r="H233" s="44">
        <v>8.0</v>
      </c>
      <c r="I233" s="44">
        <v>7.0</v>
      </c>
      <c r="J233" s="44">
        <v>0.0</v>
      </c>
      <c r="K233" s="45"/>
      <c r="L233" s="45"/>
      <c r="M233" s="45"/>
      <c r="N233" s="44">
        <v>8.0</v>
      </c>
      <c r="O233" s="45"/>
      <c r="P233" s="45"/>
      <c r="Q233" s="45"/>
      <c r="R233" s="45"/>
      <c r="S233" s="45"/>
      <c r="T233" s="45"/>
      <c r="U233" s="45"/>
      <c r="V233" s="41" t="s">
        <v>993</v>
      </c>
      <c r="W233" s="45"/>
      <c r="X233" s="45"/>
      <c r="Y233" s="45"/>
      <c r="Z233" s="41" t="s">
        <v>517</v>
      </c>
      <c r="AA233" s="44">
        <v>3.0</v>
      </c>
      <c r="AB233" s="45"/>
      <c r="AC233" s="44">
        <v>3.0</v>
      </c>
      <c r="AD233" s="47"/>
      <c r="AE233" s="47"/>
      <c r="AF233" s="47"/>
      <c r="AG233" s="47"/>
      <c r="AH233" s="47"/>
      <c r="AI233" s="38"/>
      <c r="AJ233" s="38"/>
      <c r="AK233" s="38"/>
      <c r="AL233" s="38"/>
      <c r="AM233" s="38"/>
      <c r="AN233" s="38"/>
      <c r="AO233" s="38"/>
      <c r="AP233" s="38"/>
      <c r="AQ233" s="38"/>
      <c r="AR233" s="38"/>
      <c r="AS233" s="38"/>
      <c r="AT233" s="38"/>
      <c r="AU233" s="38"/>
      <c r="AV233" s="38"/>
      <c r="AW233" s="38"/>
      <c r="AX233" s="38"/>
      <c r="AY233" s="38"/>
      <c r="AZ233" s="38"/>
      <c r="BA233" s="38"/>
      <c r="BB233" s="38"/>
      <c r="BC233" s="38"/>
    </row>
    <row r="234">
      <c r="A234" s="48" t="s">
        <v>578</v>
      </c>
      <c r="B234" s="30">
        <v>45877.48977479167</v>
      </c>
      <c r="C234" s="36" t="s">
        <v>994</v>
      </c>
      <c r="D234" s="32" t="s">
        <v>995</v>
      </c>
      <c r="E234" s="36" t="s">
        <v>996</v>
      </c>
      <c r="F234" s="33" t="s">
        <v>578</v>
      </c>
      <c r="G234" s="31">
        <v>208.0</v>
      </c>
      <c r="H234" s="31">
        <v>4.0</v>
      </c>
      <c r="I234" s="31">
        <v>5.0</v>
      </c>
      <c r="J234" s="31">
        <v>6.0</v>
      </c>
      <c r="K234" s="34"/>
      <c r="L234" s="34"/>
      <c r="M234" s="34"/>
      <c r="N234" s="31">
        <v>8.0</v>
      </c>
      <c r="O234" s="34"/>
      <c r="P234" s="34"/>
      <c r="Q234" s="34"/>
      <c r="R234" s="34"/>
      <c r="S234" s="34"/>
      <c r="T234" s="34"/>
      <c r="U234" s="34"/>
      <c r="V234" s="35" t="s">
        <v>997</v>
      </c>
      <c r="W234" s="36" t="s">
        <v>453</v>
      </c>
      <c r="X234" s="34"/>
      <c r="Y234" s="34"/>
      <c r="Z234" s="36" t="s">
        <v>179</v>
      </c>
      <c r="AA234" s="31">
        <v>3.0</v>
      </c>
      <c r="AB234" s="34"/>
      <c r="AC234" s="31">
        <v>3.0</v>
      </c>
      <c r="AD234" s="49"/>
      <c r="AE234" s="49"/>
      <c r="AF234" s="49"/>
      <c r="AG234" s="49"/>
      <c r="AH234" s="49"/>
      <c r="AI234" s="38"/>
      <c r="AJ234" s="38"/>
      <c r="AK234" s="38"/>
      <c r="AL234" s="38"/>
      <c r="AM234" s="38"/>
      <c r="AN234" s="38"/>
      <c r="AO234" s="38"/>
      <c r="AP234" s="38"/>
      <c r="AQ234" s="38"/>
      <c r="AR234" s="38"/>
      <c r="AS234" s="38"/>
      <c r="AT234" s="38"/>
      <c r="AU234" s="38"/>
      <c r="AV234" s="38"/>
      <c r="AW234" s="38"/>
      <c r="AX234" s="38"/>
      <c r="AY234" s="38"/>
      <c r="AZ234" s="38"/>
      <c r="BA234" s="38"/>
      <c r="BB234" s="38"/>
      <c r="BC234" s="38"/>
    </row>
    <row r="235">
      <c r="A235" s="39" t="s">
        <v>427</v>
      </c>
      <c r="B235" s="40">
        <v>45877.5272833912</v>
      </c>
      <c r="C235" s="41" t="s">
        <v>998</v>
      </c>
      <c r="D235" s="42" t="s">
        <v>784</v>
      </c>
      <c r="E235" s="41" t="s">
        <v>999</v>
      </c>
      <c r="F235" s="43" t="s">
        <v>427</v>
      </c>
      <c r="G235" s="44">
        <v>35.0</v>
      </c>
      <c r="H235" s="44">
        <v>8.0</v>
      </c>
      <c r="I235" s="44">
        <v>9.0</v>
      </c>
      <c r="J235" s="44">
        <v>0.0</v>
      </c>
      <c r="K235" s="45"/>
      <c r="L235" s="45"/>
      <c r="M235" s="45"/>
      <c r="N235" s="44">
        <v>8.0</v>
      </c>
      <c r="O235" s="45"/>
      <c r="P235" s="45"/>
      <c r="Q235" s="45"/>
      <c r="R235" s="45"/>
      <c r="S235" s="45"/>
      <c r="T235" s="45"/>
      <c r="U235" s="45"/>
      <c r="V235" s="46" t="s">
        <v>1000</v>
      </c>
      <c r="W235" s="45"/>
      <c r="X235" s="45"/>
      <c r="Y235" s="45"/>
      <c r="Z235" s="41" t="s">
        <v>786</v>
      </c>
      <c r="AA235" s="44">
        <v>3.0</v>
      </c>
      <c r="AB235" s="45"/>
      <c r="AC235" s="44">
        <v>3.0</v>
      </c>
      <c r="AD235" s="47"/>
      <c r="AE235" s="47"/>
      <c r="AF235" s="47"/>
      <c r="AG235" s="47"/>
      <c r="AH235" s="47"/>
      <c r="AI235" s="38"/>
      <c r="AJ235" s="38"/>
      <c r="AK235" s="38"/>
      <c r="AL235" s="38"/>
      <c r="AM235" s="38"/>
      <c r="AN235" s="38"/>
      <c r="AO235" s="38"/>
      <c r="AP235" s="38"/>
      <c r="AQ235" s="38"/>
      <c r="AR235" s="38"/>
      <c r="AS235" s="38"/>
      <c r="AT235" s="38"/>
      <c r="AU235" s="38"/>
      <c r="AV235" s="38"/>
      <c r="AW235" s="38"/>
      <c r="AX235" s="38"/>
      <c r="AY235" s="38"/>
      <c r="AZ235" s="38"/>
      <c r="BA235" s="38"/>
      <c r="BB235" s="38"/>
      <c r="BC235" s="38"/>
    </row>
    <row r="236">
      <c r="A236" s="48" t="s">
        <v>421</v>
      </c>
      <c r="B236" s="30">
        <v>45877.54599082176</v>
      </c>
      <c r="C236" s="36" t="s">
        <v>1001</v>
      </c>
      <c r="D236" s="32" t="s">
        <v>753</v>
      </c>
      <c r="E236" s="36" t="s">
        <v>1002</v>
      </c>
      <c r="F236" s="33" t="s">
        <v>421</v>
      </c>
      <c r="G236" s="31">
        <v>167.0</v>
      </c>
      <c r="H236" s="31">
        <v>4.0</v>
      </c>
      <c r="I236" s="31">
        <v>4.0</v>
      </c>
      <c r="J236" s="31">
        <v>9.0</v>
      </c>
      <c r="K236" s="34"/>
      <c r="L236" s="34"/>
      <c r="M236" s="34"/>
      <c r="N236" s="31">
        <v>8.0</v>
      </c>
      <c r="O236" s="34"/>
      <c r="P236" s="34"/>
      <c r="Q236" s="34"/>
      <c r="R236" s="34"/>
      <c r="S236" s="34"/>
      <c r="T236" s="34"/>
      <c r="U236" s="34"/>
      <c r="V236" s="35" t="s">
        <v>1003</v>
      </c>
      <c r="W236" s="34"/>
      <c r="X236" s="34"/>
      <c r="Y236" s="34"/>
      <c r="Z236" s="36" t="s">
        <v>426</v>
      </c>
      <c r="AA236" s="31">
        <v>3.0</v>
      </c>
      <c r="AB236" s="34"/>
      <c r="AC236" s="31">
        <v>3.0</v>
      </c>
      <c r="AD236" s="49"/>
      <c r="AE236" s="49"/>
      <c r="AF236" s="49"/>
      <c r="AG236" s="49"/>
      <c r="AH236" s="49"/>
      <c r="AI236" s="38"/>
      <c r="AJ236" s="38"/>
      <c r="AK236" s="38"/>
      <c r="AL236" s="38"/>
      <c r="AM236" s="38"/>
      <c r="AN236" s="38"/>
      <c r="AO236" s="38"/>
      <c r="AP236" s="38"/>
      <c r="AQ236" s="38"/>
      <c r="AR236" s="38"/>
      <c r="AS236" s="38"/>
      <c r="AT236" s="38"/>
      <c r="AU236" s="38"/>
      <c r="AV236" s="38"/>
      <c r="AW236" s="38"/>
      <c r="AX236" s="38"/>
      <c r="AY236" s="38"/>
      <c r="AZ236" s="38"/>
      <c r="BA236" s="38"/>
      <c r="BB236" s="38"/>
      <c r="BC236" s="38"/>
    </row>
    <row r="237">
      <c r="A237" s="39" t="s">
        <v>330</v>
      </c>
      <c r="B237" s="40">
        <v>45877.87121899305</v>
      </c>
      <c r="C237" s="41" t="s">
        <v>438</v>
      </c>
      <c r="D237" s="42" t="s">
        <v>439</v>
      </c>
      <c r="E237" s="41" t="s">
        <v>1004</v>
      </c>
      <c r="F237" s="43" t="s">
        <v>330</v>
      </c>
      <c r="G237" s="44">
        <v>137.0</v>
      </c>
      <c r="H237" s="44">
        <v>8.0</v>
      </c>
      <c r="I237" s="44">
        <v>9.0</v>
      </c>
      <c r="J237" s="50" t="s">
        <v>1005</v>
      </c>
      <c r="K237" s="45"/>
      <c r="L237" s="45"/>
      <c r="M237" s="45"/>
      <c r="N237" s="44">
        <v>8.0</v>
      </c>
      <c r="O237" s="45"/>
      <c r="P237" s="45"/>
      <c r="Q237" s="45"/>
      <c r="R237" s="45"/>
      <c r="S237" s="45"/>
      <c r="T237" s="45"/>
      <c r="U237" s="45"/>
      <c r="V237" s="46" t="s">
        <v>1006</v>
      </c>
      <c r="W237" s="45"/>
      <c r="X237" s="45"/>
      <c r="Y237" s="45"/>
      <c r="Z237" s="41" t="s">
        <v>442</v>
      </c>
      <c r="AA237" s="44">
        <v>3.0</v>
      </c>
      <c r="AB237" s="45"/>
      <c r="AC237" s="44">
        <v>3.0</v>
      </c>
      <c r="AD237" s="47"/>
      <c r="AE237" s="47"/>
      <c r="AF237" s="47"/>
      <c r="AG237" s="47"/>
      <c r="AH237" s="47"/>
      <c r="AI237" s="38"/>
      <c r="AJ237" s="38"/>
      <c r="AK237" s="38"/>
      <c r="AL237" s="38"/>
      <c r="AM237" s="38"/>
      <c r="AN237" s="38"/>
      <c r="AO237" s="38"/>
      <c r="AP237" s="38"/>
      <c r="AQ237" s="38"/>
      <c r="AR237" s="38"/>
      <c r="AS237" s="38"/>
      <c r="AT237" s="38"/>
      <c r="AU237" s="38"/>
      <c r="AV237" s="38"/>
      <c r="AW237" s="38"/>
      <c r="AX237" s="38"/>
      <c r="AY237" s="38"/>
      <c r="AZ237" s="38"/>
      <c r="BA237" s="38"/>
      <c r="BB237" s="38"/>
      <c r="BC237" s="38"/>
    </row>
    <row r="238">
      <c r="A238" s="48" t="s">
        <v>301</v>
      </c>
      <c r="B238" s="30">
        <v>45877.87624413194</v>
      </c>
      <c r="C238" s="36" t="s">
        <v>438</v>
      </c>
      <c r="D238" s="32" t="s">
        <v>439</v>
      </c>
      <c r="E238" s="36" t="s">
        <v>1007</v>
      </c>
      <c r="F238" s="33" t="s">
        <v>301</v>
      </c>
      <c r="G238" s="51">
        <v>81.0</v>
      </c>
      <c r="H238" s="31">
        <v>7.0</v>
      </c>
      <c r="I238" s="31">
        <v>7.0</v>
      </c>
      <c r="J238" s="31">
        <v>3.0</v>
      </c>
      <c r="K238" s="34"/>
      <c r="L238" s="34"/>
      <c r="M238" s="34"/>
      <c r="N238" s="31">
        <v>8.0</v>
      </c>
      <c r="O238" s="34"/>
      <c r="P238" s="34"/>
      <c r="Q238" s="34"/>
      <c r="R238" s="34"/>
      <c r="S238" s="34"/>
      <c r="T238" s="34"/>
      <c r="U238" s="34"/>
      <c r="V238" s="35" t="s">
        <v>1008</v>
      </c>
      <c r="W238" s="36" t="s">
        <v>197</v>
      </c>
      <c r="X238" s="34"/>
      <c r="Y238" s="34"/>
      <c r="Z238" s="36" t="s">
        <v>442</v>
      </c>
      <c r="AA238" s="31">
        <v>3.0</v>
      </c>
      <c r="AB238" s="34"/>
      <c r="AC238" s="31">
        <v>3.0</v>
      </c>
      <c r="AD238" s="49"/>
      <c r="AE238" s="49"/>
      <c r="AF238" s="49"/>
      <c r="AG238" s="49"/>
      <c r="AH238" s="49"/>
      <c r="AI238" s="38"/>
      <c r="AJ238" s="38"/>
      <c r="AK238" s="38"/>
      <c r="AL238" s="38"/>
      <c r="AM238" s="38"/>
      <c r="AN238" s="38"/>
      <c r="AO238" s="38"/>
      <c r="AP238" s="38"/>
      <c r="AQ238" s="38"/>
      <c r="AR238" s="38"/>
      <c r="AS238" s="38"/>
      <c r="AT238" s="38"/>
      <c r="AU238" s="38"/>
      <c r="AV238" s="38"/>
      <c r="AW238" s="38"/>
      <c r="AX238" s="38"/>
      <c r="AY238" s="38"/>
      <c r="AZ238" s="38"/>
      <c r="BA238" s="38"/>
      <c r="BB238" s="38"/>
      <c r="BC238" s="38"/>
    </row>
    <row r="239">
      <c r="A239" s="39" t="s">
        <v>433</v>
      </c>
      <c r="B239" s="40">
        <v>45878.188080023145</v>
      </c>
      <c r="C239" s="41" t="s">
        <v>1009</v>
      </c>
      <c r="D239" s="42" t="s">
        <v>429</v>
      </c>
      <c r="E239" s="41" t="s">
        <v>1010</v>
      </c>
      <c r="F239" s="43" t="s">
        <v>433</v>
      </c>
      <c r="G239" s="44">
        <v>85.0</v>
      </c>
      <c r="H239" s="44">
        <v>10.0</v>
      </c>
      <c r="I239" s="44">
        <v>10.0</v>
      </c>
      <c r="J239" s="44">
        <v>1.0</v>
      </c>
      <c r="K239" s="45"/>
      <c r="L239" s="45"/>
      <c r="M239" s="45"/>
      <c r="N239" s="44">
        <v>9.0</v>
      </c>
      <c r="O239" s="45"/>
      <c r="P239" s="45"/>
      <c r="Q239" s="45"/>
      <c r="R239" s="45"/>
      <c r="S239" s="45"/>
      <c r="T239" s="45"/>
      <c r="U239" s="45"/>
      <c r="V239" s="46" t="s">
        <v>1011</v>
      </c>
      <c r="W239" s="45"/>
      <c r="X239" s="45"/>
      <c r="Y239" s="45"/>
      <c r="Z239" s="41" t="s">
        <v>432</v>
      </c>
      <c r="AA239" s="44">
        <v>3.0</v>
      </c>
      <c r="AB239" s="45"/>
      <c r="AC239" s="44">
        <v>3.0</v>
      </c>
      <c r="AD239" s="47"/>
      <c r="AE239" s="47"/>
      <c r="AF239" s="47"/>
      <c r="AG239" s="47"/>
      <c r="AH239" s="47"/>
      <c r="AI239" s="38"/>
      <c r="AJ239" s="38"/>
      <c r="AK239" s="38"/>
      <c r="AL239" s="38"/>
      <c r="AM239" s="38"/>
      <c r="AN239" s="38"/>
      <c r="AO239" s="38"/>
      <c r="AP239" s="38"/>
      <c r="AQ239" s="38"/>
      <c r="AR239" s="38"/>
      <c r="AS239" s="38"/>
      <c r="AT239" s="38"/>
      <c r="AU239" s="38"/>
      <c r="AV239" s="38"/>
      <c r="AW239" s="38"/>
      <c r="AX239" s="38"/>
      <c r="AY239" s="38"/>
      <c r="AZ239" s="38"/>
      <c r="BA239" s="38"/>
      <c r="BB239" s="38"/>
      <c r="BC239" s="38"/>
    </row>
    <row r="240">
      <c r="A240" s="48" t="s">
        <v>584</v>
      </c>
      <c r="B240" s="30">
        <v>45878.46949971065</v>
      </c>
      <c r="C240" s="36" t="s">
        <v>494</v>
      </c>
      <c r="D240" s="32" t="s">
        <v>495</v>
      </c>
      <c r="E240" s="36" t="s">
        <v>1012</v>
      </c>
      <c r="F240" s="33" t="s">
        <v>584</v>
      </c>
      <c r="G240" s="51">
        <v>604.0</v>
      </c>
      <c r="H240" s="31">
        <v>4.0</v>
      </c>
      <c r="I240" s="31">
        <v>4.0</v>
      </c>
      <c r="J240" s="31">
        <v>10.0</v>
      </c>
      <c r="K240" s="34"/>
      <c r="L240" s="34"/>
      <c r="M240" s="34"/>
      <c r="N240" s="31">
        <v>7.0</v>
      </c>
      <c r="O240" s="34"/>
      <c r="P240" s="34"/>
      <c r="Q240" s="34"/>
      <c r="R240" s="34"/>
      <c r="S240" s="34"/>
      <c r="T240" s="34"/>
      <c r="U240" s="34"/>
      <c r="V240" s="35" t="s">
        <v>1013</v>
      </c>
      <c r="W240" s="34"/>
      <c r="X240" s="34"/>
      <c r="Y240" s="34"/>
      <c r="Z240" s="36" t="s">
        <v>499</v>
      </c>
      <c r="AA240" s="31">
        <v>3.0</v>
      </c>
      <c r="AB240" s="34"/>
      <c r="AC240" s="31">
        <v>3.0</v>
      </c>
      <c r="AD240" s="49"/>
      <c r="AE240" s="49"/>
      <c r="AF240" s="49"/>
      <c r="AG240" s="49"/>
      <c r="AH240" s="49"/>
      <c r="AI240" s="38"/>
      <c r="AJ240" s="38"/>
      <c r="AK240" s="38"/>
      <c r="AL240" s="38"/>
      <c r="AM240" s="38"/>
      <c r="AN240" s="38"/>
      <c r="AO240" s="38"/>
      <c r="AP240" s="38"/>
      <c r="AQ240" s="38"/>
      <c r="AR240" s="38"/>
      <c r="AS240" s="38"/>
      <c r="AT240" s="38"/>
      <c r="AU240" s="38"/>
      <c r="AV240" s="38"/>
      <c r="AW240" s="38"/>
      <c r="AX240" s="38"/>
      <c r="AY240" s="38"/>
      <c r="AZ240" s="38"/>
      <c r="BA240" s="38"/>
      <c r="BB240" s="38"/>
      <c r="BC240" s="38"/>
    </row>
    <row r="241">
      <c r="A241" s="39" t="s">
        <v>1014</v>
      </c>
      <c r="B241" s="40">
        <v>45878.482161458334</v>
      </c>
      <c r="C241" s="41" t="s">
        <v>464</v>
      </c>
      <c r="D241" s="42" t="s">
        <v>465</v>
      </c>
      <c r="E241" s="41" t="s">
        <v>1015</v>
      </c>
      <c r="F241" s="43" t="s">
        <v>1014</v>
      </c>
      <c r="G241" s="50">
        <v>110.0</v>
      </c>
      <c r="H241" s="44">
        <v>9.0</v>
      </c>
      <c r="I241" s="44">
        <v>9.0</v>
      </c>
      <c r="J241" s="41" t="s">
        <v>453</v>
      </c>
      <c r="K241" s="45"/>
      <c r="L241" s="45"/>
      <c r="M241" s="45"/>
      <c r="N241" s="44">
        <v>10.0</v>
      </c>
      <c r="O241" s="45"/>
      <c r="P241" s="45"/>
      <c r="Q241" s="45"/>
      <c r="R241" s="45"/>
      <c r="S241" s="45"/>
      <c r="T241" s="45"/>
      <c r="U241" s="45"/>
      <c r="V241" s="46" t="s">
        <v>1016</v>
      </c>
      <c r="W241" s="45"/>
      <c r="X241" s="45"/>
      <c r="Y241" s="45"/>
      <c r="Z241" s="41" t="s">
        <v>468</v>
      </c>
      <c r="AA241" s="44">
        <v>3.0</v>
      </c>
      <c r="AB241" s="45"/>
      <c r="AC241" s="44">
        <v>3.0</v>
      </c>
      <c r="AD241" s="47"/>
      <c r="AE241" s="47"/>
      <c r="AF241" s="47"/>
      <c r="AG241" s="47"/>
      <c r="AH241" s="47"/>
      <c r="AI241" s="38"/>
      <c r="AJ241" s="38"/>
      <c r="AK241" s="38"/>
      <c r="AL241" s="38"/>
      <c r="AM241" s="38"/>
      <c r="AN241" s="38"/>
      <c r="AO241" s="38"/>
      <c r="AP241" s="38"/>
      <c r="AQ241" s="38"/>
      <c r="AR241" s="38"/>
      <c r="AS241" s="38"/>
      <c r="AT241" s="38"/>
      <c r="AU241" s="38"/>
      <c r="AV241" s="38"/>
      <c r="AW241" s="38"/>
      <c r="AX241" s="38"/>
      <c r="AY241" s="38"/>
      <c r="AZ241" s="38"/>
      <c r="BA241" s="38"/>
      <c r="BB241" s="38"/>
      <c r="BC241" s="38"/>
    </row>
    <row r="242">
      <c r="A242" s="48" t="s">
        <v>1017</v>
      </c>
      <c r="B242" s="30">
        <v>45878.48562375</v>
      </c>
      <c r="C242" s="36" t="s">
        <v>572</v>
      </c>
      <c r="D242" s="32" t="s">
        <v>573</v>
      </c>
      <c r="E242" s="36" t="s">
        <v>1018</v>
      </c>
      <c r="F242" s="33" t="s">
        <v>1017</v>
      </c>
      <c r="G242" s="31">
        <v>147.0</v>
      </c>
      <c r="H242" s="31">
        <v>8.0</v>
      </c>
      <c r="I242" s="31">
        <v>7.0</v>
      </c>
      <c r="J242" s="31">
        <v>3.0</v>
      </c>
      <c r="K242" s="34"/>
      <c r="L242" s="34"/>
      <c r="M242" s="34"/>
      <c r="N242" s="31">
        <v>7.0</v>
      </c>
      <c r="O242" s="34"/>
      <c r="P242" s="34"/>
      <c r="Q242" s="34"/>
      <c r="R242" s="34"/>
      <c r="S242" s="34"/>
      <c r="T242" s="34"/>
      <c r="U242" s="34"/>
      <c r="V242" s="35" t="s">
        <v>1019</v>
      </c>
      <c r="W242" s="34"/>
      <c r="X242" s="34"/>
      <c r="Y242" s="34"/>
      <c r="Z242" s="36" t="s">
        <v>577</v>
      </c>
      <c r="AA242" s="31">
        <v>3.0</v>
      </c>
      <c r="AB242" s="34"/>
      <c r="AC242" s="31">
        <v>3.0</v>
      </c>
      <c r="AD242" s="49"/>
      <c r="AE242" s="49"/>
      <c r="AF242" s="49"/>
      <c r="AG242" s="49"/>
      <c r="AH242" s="49"/>
      <c r="AI242" s="38"/>
      <c r="AJ242" s="38"/>
      <c r="AK242" s="38"/>
      <c r="AL242" s="38"/>
      <c r="AM242" s="38"/>
      <c r="AN242" s="38"/>
      <c r="AO242" s="38"/>
      <c r="AP242" s="38"/>
      <c r="AQ242" s="38"/>
      <c r="AR242" s="38"/>
      <c r="AS242" s="38"/>
      <c r="AT242" s="38"/>
      <c r="AU242" s="38"/>
      <c r="AV242" s="38"/>
      <c r="AW242" s="38"/>
      <c r="AX242" s="38"/>
      <c r="AY242" s="38"/>
      <c r="AZ242" s="38"/>
      <c r="BA242" s="38"/>
      <c r="BB242" s="38"/>
      <c r="BC242" s="38"/>
    </row>
    <row r="243">
      <c r="A243" s="39" t="s">
        <v>1020</v>
      </c>
      <c r="B243" s="40">
        <v>45878.48792128472</v>
      </c>
      <c r="C243" s="41" t="s">
        <v>1021</v>
      </c>
      <c r="D243" s="42" t="s">
        <v>1022</v>
      </c>
      <c r="E243" s="41" t="s">
        <v>1023</v>
      </c>
      <c r="F243" s="43" t="s">
        <v>1020</v>
      </c>
      <c r="G243" s="44">
        <v>213.0</v>
      </c>
      <c r="H243" s="44">
        <v>8.0</v>
      </c>
      <c r="I243" s="44">
        <v>9.0</v>
      </c>
      <c r="J243" s="41" t="s">
        <v>1024</v>
      </c>
      <c r="K243" s="45"/>
      <c r="L243" s="45"/>
      <c r="M243" s="45"/>
      <c r="N243" s="44">
        <v>8.0</v>
      </c>
      <c r="O243" s="45"/>
      <c r="P243" s="45"/>
      <c r="Q243" s="45"/>
      <c r="R243" s="45"/>
      <c r="S243" s="45"/>
      <c r="T243" s="45"/>
      <c r="U243" s="45"/>
      <c r="V243" s="46" t="s">
        <v>1025</v>
      </c>
      <c r="W243" s="45"/>
      <c r="X243" s="45"/>
      <c r="Y243" s="45"/>
      <c r="Z243" s="41" t="s">
        <v>1026</v>
      </c>
      <c r="AA243" s="44">
        <v>3.0</v>
      </c>
      <c r="AB243" s="45"/>
      <c r="AC243" s="44">
        <v>3.0</v>
      </c>
      <c r="AD243" s="47"/>
      <c r="AE243" s="47"/>
      <c r="AF243" s="47"/>
      <c r="AG243" s="47"/>
      <c r="AH243" s="47"/>
      <c r="AI243" s="38"/>
      <c r="AJ243" s="38"/>
      <c r="AK243" s="38"/>
      <c r="AL243" s="38"/>
      <c r="AM243" s="38"/>
      <c r="AN243" s="38"/>
      <c r="AO243" s="38"/>
      <c r="AP243" s="38"/>
      <c r="AQ243" s="38"/>
      <c r="AR243" s="38"/>
      <c r="AS243" s="38"/>
      <c r="AT243" s="38"/>
      <c r="AU243" s="38"/>
      <c r="AV243" s="38"/>
      <c r="AW243" s="38"/>
      <c r="AX243" s="38"/>
      <c r="AY243" s="38"/>
      <c r="AZ243" s="38"/>
      <c r="BA243" s="38"/>
      <c r="BB243" s="38"/>
      <c r="BC243" s="38"/>
    </row>
    <row r="244">
      <c r="A244" s="48" t="s">
        <v>558</v>
      </c>
      <c r="B244" s="30">
        <v>45879.174564479166</v>
      </c>
      <c r="C244" s="36" t="s">
        <v>1027</v>
      </c>
      <c r="D244" s="32" t="s">
        <v>412</v>
      </c>
      <c r="E244" s="36" t="s">
        <v>1028</v>
      </c>
      <c r="F244" s="33" t="s">
        <v>558</v>
      </c>
      <c r="G244" s="31">
        <v>56.0</v>
      </c>
      <c r="H244" s="31">
        <v>5.0</v>
      </c>
      <c r="I244" s="31">
        <v>5.0</v>
      </c>
      <c r="J244" s="31">
        <v>5.0</v>
      </c>
      <c r="K244" s="34"/>
      <c r="L244" s="34"/>
      <c r="M244" s="34"/>
      <c r="N244" s="31">
        <v>7.0</v>
      </c>
      <c r="O244" s="34"/>
      <c r="P244" s="34"/>
      <c r="Q244" s="34"/>
      <c r="R244" s="34"/>
      <c r="S244" s="34"/>
      <c r="T244" s="34"/>
      <c r="U244" s="34"/>
      <c r="V244" s="36" t="s">
        <v>1029</v>
      </c>
      <c r="W244" s="36" t="s">
        <v>563</v>
      </c>
      <c r="X244" s="34"/>
      <c r="Y244" s="34"/>
      <c r="Z244" s="36" t="s">
        <v>415</v>
      </c>
      <c r="AA244" s="31">
        <v>3.0</v>
      </c>
      <c r="AB244" s="34"/>
      <c r="AC244" s="31">
        <v>3.0</v>
      </c>
      <c r="AD244" s="49"/>
      <c r="AE244" s="49"/>
      <c r="AF244" s="49"/>
      <c r="AG244" s="49"/>
      <c r="AH244" s="49"/>
      <c r="AI244" s="38"/>
      <c r="AJ244" s="38"/>
      <c r="AK244" s="38"/>
      <c r="AL244" s="38"/>
      <c r="AM244" s="38"/>
      <c r="AN244" s="38"/>
      <c r="AO244" s="38"/>
      <c r="AP244" s="38"/>
      <c r="AQ244" s="38"/>
      <c r="AR244" s="38"/>
      <c r="AS244" s="38"/>
      <c r="AT244" s="38"/>
      <c r="AU244" s="38"/>
      <c r="AV244" s="38"/>
      <c r="AW244" s="38"/>
      <c r="AX244" s="38"/>
      <c r="AY244" s="38"/>
      <c r="AZ244" s="38"/>
      <c r="BA244" s="38"/>
      <c r="BB244" s="38"/>
      <c r="BC244" s="38"/>
    </row>
    <row r="245">
      <c r="A245" s="39" t="s">
        <v>159</v>
      </c>
      <c r="B245" s="40">
        <v>45879.45005866898</v>
      </c>
      <c r="C245" s="44" t="s">
        <v>160</v>
      </c>
      <c r="D245" s="42" t="s">
        <v>161</v>
      </c>
      <c r="E245" s="44" t="s">
        <v>162</v>
      </c>
      <c r="F245" s="43" t="s">
        <v>159</v>
      </c>
      <c r="G245" s="50">
        <v>252.0</v>
      </c>
      <c r="H245" s="44">
        <v>9.0</v>
      </c>
      <c r="I245" s="44">
        <v>9.0</v>
      </c>
      <c r="J245" s="44" t="s">
        <v>46</v>
      </c>
      <c r="K245" s="45"/>
      <c r="L245" s="45"/>
      <c r="M245" s="45"/>
      <c r="N245" s="44">
        <v>8.0</v>
      </c>
      <c r="O245" s="45"/>
      <c r="P245" s="45"/>
      <c r="Q245" s="45"/>
      <c r="R245" s="45"/>
      <c r="S245" s="45"/>
      <c r="T245" s="45"/>
      <c r="U245" s="45"/>
      <c r="V245" s="46" t="s">
        <v>1030</v>
      </c>
      <c r="W245" s="45"/>
      <c r="X245" s="45"/>
      <c r="Y245" s="45"/>
      <c r="Z245" s="41" t="s">
        <v>165</v>
      </c>
      <c r="AA245" s="44">
        <v>3.0</v>
      </c>
      <c r="AB245" s="45"/>
      <c r="AC245" s="44">
        <v>3.0</v>
      </c>
      <c r="AD245" s="47"/>
      <c r="AE245" s="47"/>
      <c r="AF245" s="47"/>
      <c r="AG245" s="47"/>
      <c r="AH245" s="47"/>
      <c r="AI245" s="38"/>
      <c r="AJ245" s="38"/>
      <c r="AK245" s="38"/>
      <c r="AL245" s="38"/>
      <c r="AM245" s="38"/>
      <c r="AN245" s="38"/>
      <c r="AO245" s="38"/>
      <c r="AP245" s="38"/>
      <c r="AQ245" s="38"/>
      <c r="AR245" s="38"/>
      <c r="AS245" s="38"/>
      <c r="AT245" s="38"/>
      <c r="AU245" s="38"/>
      <c r="AV245" s="38"/>
      <c r="AW245" s="38"/>
      <c r="AX245" s="38"/>
      <c r="AY245" s="38"/>
      <c r="AZ245" s="38"/>
      <c r="BA245" s="38"/>
      <c r="BB245" s="38"/>
      <c r="BC245" s="38"/>
    </row>
    <row r="246">
      <c r="A246" s="48" t="s">
        <v>487</v>
      </c>
      <c r="B246" s="30">
        <v>45879.475055636576</v>
      </c>
      <c r="C246" s="36" t="s">
        <v>1031</v>
      </c>
      <c r="D246" s="32" t="s">
        <v>1032</v>
      </c>
      <c r="E246" s="36" t="s">
        <v>1033</v>
      </c>
      <c r="F246" s="33" t="s">
        <v>487</v>
      </c>
      <c r="G246" s="51">
        <v>598.0</v>
      </c>
      <c r="H246" s="31">
        <v>9.0</v>
      </c>
      <c r="I246" s="31">
        <v>7.0</v>
      </c>
      <c r="J246" s="31">
        <v>3.0</v>
      </c>
      <c r="K246" s="34"/>
      <c r="L246" s="34"/>
      <c r="M246" s="34"/>
      <c r="N246" s="31">
        <v>4.0</v>
      </c>
      <c r="O246" s="34"/>
      <c r="P246" s="34"/>
      <c r="Q246" s="34"/>
      <c r="R246" s="34"/>
      <c r="S246" s="34"/>
      <c r="T246" s="34"/>
      <c r="U246" s="34"/>
      <c r="V246" s="35" t="s">
        <v>1034</v>
      </c>
      <c r="W246" s="34"/>
      <c r="X246" s="34"/>
      <c r="Y246" s="34"/>
      <c r="Z246" s="36" t="s">
        <v>237</v>
      </c>
      <c r="AA246" s="31">
        <v>3.0</v>
      </c>
      <c r="AB246" s="34"/>
      <c r="AC246" s="31">
        <v>3.0</v>
      </c>
      <c r="AD246" s="49"/>
      <c r="AE246" s="49"/>
      <c r="AF246" s="49"/>
      <c r="AG246" s="49"/>
      <c r="AH246" s="49"/>
      <c r="AI246" s="38"/>
      <c r="AJ246" s="38"/>
      <c r="AK246" s="38"/>
      <c r="AL246" s="38"/>
      <c r="AM246" s="38"/>
      <c r="AN246" s="38"/>
      <c r="AO246" s="38"/>
      <c r="AP246" s="38"/>
      <c r="AQ246" s="38"/>
      <c r="AR246" s="38"/>
      <c r="AS246" s="38"/>
      <c r="AT246" s="38"/>
      <c r="AU246" s="38"/>
      <c r="AV246" s="38"/>
      <c r="AW246" s="38"/>
      <c r="AX246" s="38"/>
      <c r="AY246" s="38"/>
      <c r="AZ246" s="38"/>
      <c r="BA246" s="38"/>
      <c r="BB246" s="38"/>
      <c r="BC246" s="38"/>
    </row>
    <row r="247">
      <c r="A247" s="39" t="s">
        <v>1035</v>
      </c>
      <c r="B247" s="40">
        <v>45879.600056689815</v>
      </c>
      <c r="C247" s="41" t="s">
        <v>227</v>
      </c>
      <c r="D247" s="42" t="s">
        <v>228</v>
      </c>
      <c r="E247" s="41" t="s">
        <v>1036</v>
      </c>
      <c r="F247" s="43" t="s">
        <v>1035</v>
      </c>
      <c r="G247" s="44">
        <v>93.0</v>
      </c>
      <c r="H247" s="44">
        <v>6.0</v>
      </c>
      <c r="I247" s="44">
        <v>5.0</v>
      </c>
      <c r="J247" s="44">
        <v>6.0</v>
      </c>
      <c r="K247" s="45"/>
      <c r="L247" s="45"/>
      <c r="M247" s="45"/>
      <c r="N247" s="44">
        <v>9.0</v>
      </c>
      <c r="O247" s="45"/>
      <c r="P247" s="45"/>
      <c r="Q247" s="45"/>
      <c r="R247" s="45"/>
      <c r="S247" s="45"/>
      <c r="T247" s="45"/>
      <c r="U247" s="45"/>
      <c r="V247" s="46" t="s">
        <v>1037</v>
      </c>
      <c r="W247" s="41" t="s">
        <v>453</v>
      </c>
      <c r="X247" s="45"/>
      <c r="Y247" s="45"/>
      <c r="Z247" s="41" t="s">
        <v>232</v>
      </c>
      <c r="AA247" s="44">
        <v>3.0</v>
      </c>
      <c r="AB247" s="45"/>
      <c r="AC247" s="44">
        <v>3.0</v>
      </c>
      <c r="AD247" s="47"/>
      <c r="AE247" s="47"/>
      <c r="AF247" s="47"/>
      <c r="AG247" s="47"/>
      <c r="AH247" s="47"/>
      <c r="AI247" s="38"/>
      <c r="AJ247" s="38"/>
      <c r="AK247" s="38"/>
      <c r="AL247" s="38"/>
      <c r="AM247" s="38"/>
      <c r="AN247" s="38"/>
      <c r="AO247" s="38"/>
      <c r="AP247" s="38"/>
      <c r="AQ247" s="38"/>
      <c r="AR247" s="38"/>
      <c r="AS247" s="38"/>
      <c r="AT247" s="38"/>
      <c r="AU247" s="38"/>
      <c r="AV247" s="38"/>
      <c r="AW247" s="38"/>
      <c r="AX247" s="38"/>
      <c r="AY247" s="38"/>
      <c r="AZ247" s="38"/>
      <c r="BA247" s="38"/>
      <c r="BB247" s="38"/>
      <c r="BC247" s="38"/>
    </row>
    <row r="248">
      <c r="A248" s="48" t="s">
        <v>518</v>
      </c>
      <c r="B248" s="30">
        <v>45880.39918282407</v>
      </c>
      <c r="C248" s="36" t="s">
        <v>1038</v>
      </c>
      <c r="D248" s="32" t="s">
        <v>520</v>
      </c>
      <c r="E248" s="36" t="s">
        <v>1039</v>
      </c>
      <c r="F248" s="33" t="s">
        <v>518</v>
      </c>
      <c r="G248" s="31">
        <v>160.0</v>
      </c>
      <c r="H248" s="31">
        <v>7.0</v>
      </c>
      <c r="I248" s="31">
        <v>7.0</v>
      </c>
      <c r="J248" s="31">
        <v>1.0</v>
      </c>
      <c r="K248" s="34"/>
      <c r="L248" s="34"/>
      <c r="M248" s="34"/>
      <c r="N248" s="31">
        <v>8.0</v>
      </c>
      <c r="O248" s="34"/>
      <c r="P248" s="34"/>
      <c r="Q248" s="34"/>
      <c r="R248" s="34"/>
      <c r="S248" s="34"/>
      <c r="T248" s="34"/>
      <c r="U248" s="34"/>
      <c r="V248" s="35" t="s">
        <v>1040</v>
      </c>
      <c r="W248" s="34"/>
      <c r="X248" s="34"/>
      <c r="Y248" s="34"/>
      <c r="Z248" s="36" t="s">
        <v>523</v>
      </c>
      <c r="AA248" s="31">
        <v>3.0</v>
      </c>
      <c r="AB248" s="34"/>
      <c r="AC248" s="31">
        <v>3.0</v>
      </c>
      <c r="AD248" s="49"/>
      <c r="AE248" s="49"/>
      <c r="AF248" s="49"/>
      <c r="AG248" s="49"/>
      <c r="AH248" s="49"/>
      <c r="AI248" s="38"/>
      <c r="AJ248" s="38"/>
      <c r="AK248" s="38"/>
      <c r="AL248" s="38"/>
      <c r="AM248" s="38"/>
      <c r="AN248" s="38"/>
      <c r="AO248" s="38"/>
      <c r="AP248" s="38"/>
      <c r="AQ248" s="38"/>
      <c r="AR248" s="38"/>
      <c r="AS248" s="38"/>
      <c r="AT248" s="38"/>
      <c r="AU248" s="38"/>
      <c r="AV248" s="38"/>
      <c r="AW248" s="38"/>
      <c r="AX248" s="38"/>
      <c r="AY248" s="38"/>
      <c r="AZ248" s="38"/>
      <c r="BA248" s="38"/>
      <c r="BB248" s="38"/>
      <c r="BC248" s="38"/>
    </row>
    <row r="249">
      <c r="A249" s="39" t="s">
        <v>524</v>
      </c>
      <c r="B249" s="40">
        <v>45880.47105148148</v>
      </c>
      <c r="C249" s="41" t="s">
        <v>1038</v>
      </c>
      <c r="D249" s="42" t="s">
        <v>520</v>
      </c>
      <c r="E249" s="41" t="s">
        <v>1041</v>
      </c>
      <c r="F249" s="43" t="s">
        <v>524</v>
      </c>
      <c r="G249" s="44">
        <v>185.0</v>
      </c>
      <c r="H249" s="44">
        <v>7.0</v>
      </c>
      <c r="I249" s="44">
        <v>7.0</v>
      </c>
      <c r="J249" s="44">
        <v>1.0</v>
      </c>
      <c r="K249" s="45"/>
      <c r="L249" s="45"/>
      <c r="M249" s="45"/>
      <c r="N249" s="44">
        <v>8.0</v>
      </c>
      <c r="O249" s="45"/>
      <c r="P249" s="45"/>
      <c r="Q249" s="45"/>
      <c r="R249" s="45"/>
      <c r="S249" s="45"/>
      <c r="T249" s="45"/>
      <c r="U249" s="45"/>
      <c r="V249" s="46" t="s">
        <v>1042</v>
      </c>
      <c r="W249" s="45"/>
      <c r="X249" s="45"/>
      <c r="Y249" s="45"/>
      <c r="Z249" s="41" t="s">
        <v>523</v>
      </c>
      <c r="AA249" s="44">
        <v>3.0</v>
      </c>
      <c r="AB249" s="45"/>
      <c r="AC249" s="44">
        <v>3.0</v>
      </c>
      <c r="AD249" s="47"/>
      <c r="AE249" s="47"/>
      <c r="AF249" s="47"/>
      <c r="AG249" s="47"/>
      <c r="AH249" s="47"/>
      <c r="AI249" s="38"/>
      <c r="AJ249" s="38"/>
      <c r="AK249" s="38"/>
      <c r="AL249" s="38"/>
      <c r="AM249" s="38"/>
      <c r="AN249" s="38"/>
      <c r="AO249" s="38"/>
      <c r="AP249" s="38"/>
      <c r="AQ249" s="38"/>
      <c r="AR249" s="38"/>
      <c r="AS249" s="38"/>
      <c r="AT249" s="38"/>
      <c r="AU249" s="38"/>
      <c r="AV249" s="38"/>
      <c r="AW249" s="38"/>
      <c r="AX249" s="38"/>
      <c r="AY249" s="38"/>
      <c r="AZ249" s="38"/>
      <c r="BA249" s="38"/>
      <c r="BB249" s="38"/>
      <c r="BC249" s="38"/>
    </row>
    <row r="250">
      <c r="A250" s="48" t="s">
        <v>534</v>
      </c>
      <c r="B250" s="30">
        <v>45880.4725487963</v>
      </c>
      <c r="C250" s="36" t="s">
        <v>1038</v>
      </c>
      <c r="D250" s="32" t="s">
        <v>520</v>
      </c>
      <c r="E250" s="36" t="s">
        <v>1043</v>
      </c>
      <c r="F250" s="33" t="s">
        <v>534</v>
      </c>
      <c r="G250" s="51">
        <v>420.0</v>
      </c>
      <c r="H250" s="31">
        <v>8.0</v>
      </c>
      <c r="I250" s="31">
        <v>8.0</v>
      </c>
      <c r="J250" s="31">
        <v>1.0</v>
      </c>
      <c r="K250" s="34"/>
      <c r="L250" s="34"/>
      <c r="M250" s="34"/>
      <c r="N250" s="31">
        <v>8.0</v>
      </c>
      <c r="O250" s="34"/>
      <c r="P250" s="34"/>
      <c r="Q250" s="34"/>
      <c r="R250" s="34"/>
      <c r="S250" s="34"/>
      <c r="T250" s="34"/>
      <c r="U250" s="34"/>
      <c r="V250" s="35" t="s">
        <v>1044</v>
      </c>
      <c r="W250" s="34"/>
      <c r="X250" s="34"/>
      <c r="Y250" s="34"/>
      <c r="Z250" s="36" t="s">
        <v>523</v>
      </c>
      <c r="AA250" s="31">
        <v>3.0</v>
      </c>
      <c r="AB250" s="34"/>
      <c r="AC250" s="31">
        <v>3.0</v>
      </c>
      <c r="AD250" s="49"/>
      <c r="AE250" s="49"/>
      <c r="AF250" s="49"/>
      <c r="AG250" s="49"/>
      <c r="AH250" s="49"/>
      <c r="AI250" s="38"/>
      <c r="AJ250" s="38"/>
      <c r="AK250" s="38"/>
      <c r="AL250" s="38"/>
      <c r="AM250" s="38"/>
      <c r="AN250" s="38"/>
      <c r="AO250" s="38"/>
      <c r="AP250" s="38"/>
      <c r="AQ250" s="38"/>
      <c r="AR250" s="38"/>
      <c r="AS250" s="38"/>
      <c r="AT250" s="38"/>
      <c r="AU250" s="38"/>
      <c r="AV250" s="38"/>
      <c r="AW250" s="38"/>
      <c r="AX250" s="38"/>
      <c r="AY250" s="38"/>
      <c r="AZ250" s="38"/>
      <c r="BA250" s="38"/>
      <c r="BB250" s="38"/>
      <c r="BC250" s="38"/>
    </row>
    <row r="251">
      <c r="A251" s="39" t="s">
        <v>529</v>
      </c>
      <c r="B251" s="40">
        <v>45880.47423136574</v>
      </c>
      <c r="C251" s="41" t="s">
        <v>1038</v>
      </c>
      <c r="D251" s="42" t="s">
        <v>520</v>
      </c>
      <c r="E251" s="41" t="s">
        <v>1045</v>
      </c>
      <c r="F251" s="43" t="s">
        <v>529</v>
      </c>
      <c r="G251" s="44">
        <v>480.0</v>
      </c>
      <c r="H251" s="44">
        <v>7.0</v>
      </c>
      <c r="I251" s="44">
        <v>7.0</v>
      </c>
      <c r="J251" s="44">
        <v>1.0</v>
      </c>
      <c r="K251" s="45"/>
      <c r="L251" s="45"/>
      <c r="M251" s="45"/>
      <c r="N251" s="44">
        <v>8.0</v>
      </c>
      <c r="O251" s="45"/>
      <c r="P251" s="45"/>
      <c r="Q251" s="45"/>
      <c r="R251" s="45"/>
      <c r="S251" s="45"/>
      <c r="T251" s="45"/>
      <c r="U251" s="45"/>
      <c r="V251" s="41" t="s">
        <v>1046</v>
      </c>
      <c r="W251" s="45"/>
      <c r="X251" s="45"/>
      <c r="Y251" s="45"/>
      <c r="Z251" s="41" t="s">
        <v>523</v>
      </c>
      <c r="AA251" s="44">
        <v>3.0</v>
      </c>
      <c r="AB251" s="45"/>
      <c r="AC251" s="44">
        <v>3.0</v>
      </c>
      <c r="AD251" s="47"/>
      <c r="AE251" s="47"/>
      <c r="AF251" s="47"/>
      <c r="AG251" s="47"/>
      <c r="AH251" s="47"/>
      <c r="AI251" s="38"/>
      <c r="AJ251" s="38"/>
      <c r="AK251" s="38"/>
      <c r="AL251" s="38"/>
      <c r="AM251" s="38"/>
      <c r="AN251" s="38"/>
      <c r="AO251" s="38"/>
      <c r="AP251" s="38"/>
      <c r="AQ251" s="38"/>
      <c r="AR251" s="38"/>
      <c r="AS251" s="38"/>
      <c r="AT251" s="38"/>
      <c r="AU251" s="38"/>
      <c r="AV251" s="38"/>
      <c r="AW251" s="38"/>
      <c r="AX251" s="38"/>
      <c r="AY251" s="38"/>
      <c r="AZ251" s="38"/>
      <c r="BA251" s="38"/>
      <c r="BB251" s="38"/>
      <c r="BC251" s="38"/>
    </row>
    <row r="252">
      <c r="A252" s="48" t="s">
        <v>544</v>
      </c>
      <c r="B252" s="30">
        <v>45880.47559408565</v>
      </c>
      <c r="C252" s="36" t="s">
        <v>1038</v>
      </c>
      <c r="D252" s="32" t="s">
        <v>520</v>
      </c>
      <c r="E252" s="36" t="s">
        <v>1047</v>
      </c>
      <c r="F252" s="33" t="s">
        <v>544</v>
      </c>
      <c r="G252" s="31">
        <v>150.0</v>
      </c>
      <c r="H252" s="31">
        <v>8.0</v>
      </c>
      <c r="I252" s="31">
        <v>8.0</v>
      </c>
      <c r="J252" s="31">
        <v>1.0</v>
      </c>
      <c r="K252" s="34"/>
      <c r="L252" s="34"/>
      <c r="M252" s="34"/>
      <c r="N252" s="31">
        <v>8.0</v>
      </c>
      <c r="O252" s="34"/>
      <c r="P252" s="34"/>
      <c r="Q252" s="34"/>
      <c r="R252" s="34"/>
      <c r="S252" s="34"/>
      <c r="T252" s="34"/>
      <c r="U252" s="34"/>
      <c r="V252" s="35" t="s">
        <v>1048</v>
      </c>
      <c r="W252" s="34"/>
      <c r="X252" s="34"/>
      <c r="Y252" s="34"/>
      <c r="Z252" s="36" t="s">
        <v>523</v>
      </c>
      <c r="AA252" s="31">
        <v>3.0</v>
      </c>
      <c r="AB252" s="34"/>
      <c r="AC252" s="31">
        <v>3.0</v>
      </c>
      <c r="AD252" s="49"/>
      <c r="AE252" s="49"/>
      <c r="AF252" s="49"/>
      <c r="AG252" s="49"/>
      <c r="AH252" s="49"/>
      <c r="AI252" s="38"/>
      <c r="AJ252" s="38"/>
      <c r="AK252" s="38"/>
      <c r="AL252" s="38"/>
      <c r="AM252" s="38"/>
      <c r="AN252" s="38"/>
      <c r="AO252" s="38"/>
      <c r="AP252" s="38"/>
      <c r="AQ252" s="38"/>
      <c r="AR252" s="38"/>
      <c r="AS252" s="38"/>
      <c r="AT252" s="38"/>
      <c r="AU252" s="38"/>
      <c r="AV252" s="38"/>
      <c r="AW252" s="38"/>
      <c r="AX252" s="38"/>
      <c r="AY252" s="38"/>
      <c r="AZ252" s="38"/>
      <c r="BA252" s="38"/>
      <c r="BB252" s="38"/>
      <c r="BC252" s="38"/>
    </row>
    <row r="253">
      <c r="A253" s="39" t="s">
        <v>726</v>
      </c>
      <c r="B253" s="40">
        <v>45884.240039282406</v>
      </c>
      <c r="C253" s="41" t="s">
        <v>876</v>
      </c>
      <c r="D253" s="42" t="s">
        <v>1049</v>
      </c>
      <c r="E253" s="41" t="s">
        <v>1050</v>
      </c>
      <c r="F253" s="43" t="s">
        <v>726</v>
      </c>
      <c r="G253" s="44">
        <v>72.0</v>
      </c>
      <c r="H253" s="44">
        <v>4.0</v>
      </c>
      <c r="I253" s="44">
        <v>5.0</v>
      </c>
      <c r="J253" s="44">
        <v>6.0</v>
      </c>
      <c r="K253" s="45"/>
      <c r="L253" s="45"/>
      <c r="M253" s="45"/>
      <c r="N253" s="44">
        <v>4.0</v>
      </c>
      <c r="O253" s="45"/>
      <c r="P253" s="45"/>
      <c r="Q253" s="45"/>
      <c r="R253" s="45"/>
      <c r="S253" s="45"/>
      <c r="T253" s="45"/>
      <c r="U253" s="45"/>
      <c r="V253" s="46" t="s">
        <v>1051</v>
      </c>
      <c r="W253" s="41" t="s">
        <v>453</v>
      </c>
      <c r="X253" s="45"/>
      <c r="Y253" s="45"/>
      <c r="Z253" s="41" t="s">
        <v>179</v>
      </c>
      <c r="AA253" s="44">
        <v>4.0</v>
      </c>
      <c r="AB253" s="45"/>
      <c r="AC253" s="45"/>
      <c r="AD253" s="54"/>
      <c r="AE253" s="54"/>
      <c r="AF253" s="54"/>
      <c r="AG253" s="54"/>
      <c r="AH253" s="54"/>
      <c r="AI253" s="38"/>
      <c r="AJ253" s="38"/>
      <c r="AK253" s="38"/>
      <c r="AL253" s="38"/>
      <c r="AM253" s="38"/>
      <c r="AN253" s="38"/>
      <c r="AO253" s="38"/>
      <c r="AP253" s="38"/>
      <c r="AQ253" s="38"/>
      <c r="AR253" s="38"/>
      <c r="AS253" s="38"/>
      <c r="AT253" s="38"/>
      <c r="AU253" s="38"/>
      <c r="AV253" s="38"/>
      <c r="AW253" s="38"/>
      <c r="AX253" s="38"/>
      <c r="AY253" s="38"/>
      <c r="AZ253" s="38"/>
      <c r="BA253" s="38"/>
      <c r="BB253" s="38"/>
      <c r="BC253" s="38"/>
    </row>
    <row r="254">
      <c r="A254" s="48" t="s">
        <v>505</v>
      </c>
      <c r="B254" s="30">
        <v>45884.24517934027</v>
      </c>
      <c r="C254" s="36" t="s">
        <v>130</v>
      </c>
      <c r="D254" s="32" t="s">
        <v>131</v>
      </c>
      <c r="E254" s="36" t="s">
        <v>635</v>
      </c>
      <c r="F254" s="33" t="s">
        <v>505</v>
      </c>
      <c r="G254" s="31">
        <v>133.0</v>
      </c>
      <c r="H254" s="31">
        <v>9.0</v>
      </c>
      <c r="I254" s="31">
        <v>8.0</v>
      </c>
      <c r="J254" s="36" t="s">
        <v>197</v>
      </c>
      <c r="K254" s="34"/>
      <c r="L254" s="34"/>
      <c r="M254" s="34"/>
      <c r="N254" s="31">
        <v>10.0</v>
      </c>
      <c r="O254" s="34"/>
      <c r="P254" s="34"/>
      <c r="Q254" s="34"/>
      <c r="R254" s="34"/>
      <c r="S254" s="34"/>
      <c r="T254" s="34"/>
      <c r="U254" s="34"/>
      <c r="V254" s="35" t="s">
        <v>1052</v>
      </c>
      <c r="W254" s="34"/>
      <c r="X254" s="34"/>
      <c r="Y254" s="34"/>
      <c r="Z254" s="36" t="s">
        <v>135</v>
      </c>
      <c r="AA254" s="31">
        <v>4.0</v>
      </c>
      <c r="AB254" s="34"/>
      <c r="AC254" s="34"/>
      <c r="AD254" s="37"/>
      <c r="AE254" s="37"/>
      <c r="AF254" s="37"/>
      <c r="AG254" s="37"/>
      <c r="AH254" s="37"/>
      <c r="AI254" s="38"/>
      <c r="AJ254" s="38"/>
      <c r="AK254" s="38"/>
      <c r="AL254" s="38"/>
      <c r="AM254" s="38"/>
      <c r="AN254" s="38"/>
      <c r="AO254" s="38"/>
      <c r="AP254" s="38"/>
      <c r="AQ254" s="38"/>
      <c r="AR254" s="38"/>
      <c r="AS254" s="38"/>
      <c r="AT254" s="38"/>
      <c r="AU254" s="38"/>
      <c r="AV254" s="38"/>
      <c r="AW254" s="38"/>
      <c r="AX254" s="38"/>
      <c r="AY254" s="38"/>
      <c r="AZ254" s="38"/>
      <c r="BA254" s="38"/>
      <c r="BB254" s="38"/>
      <c r="BC254" s="38"/>
    </row>
    <row r="255">
      <c r="A255" s="39" t="s">
        <v>244</v>
      </c>
      <c r="B255" s="40">
        <v>45884.26604210648</v>
      </c>
      <c r="C255" s="41" t="s">
        <v>245</v>
      </c>
      <c r="D255" s="42" t="s">
        <v>246</v>
      </c>
      <c r="E255" s="44" t="s">
        <v>1053</v>
      </c>
      <c r="F255" s="43" t="s">
        <v>244</v>
      </c>
      <c r="G255" s="50">
        <v>655.0</v>
      </c>
      <c r="H255" s="44">
        <v>9.0</v>
      </c>
      <c r="I255" s="44">
        <v>8.0</v>
      </c>
      <c r="J255" s="44">
        <v>1.0</v>
      </c>
      <c r="K255" s="45"/>
      <c r="L255" s="45"/>
      <c r="M255" s="45"/>
      <c r="N255" s="44">
        <v>8.0</v>
      </c>
      <c r="O255" s="45"/>
      <c r="P255" s="45"/>
      <c r="Q255" s="45"/>
      <c r="R255" s="45"/>
      <c r="S255" s="45"/>
      <c r="T255" s="45"/>
      <c r="U255" s="45"/>
      <c r="V255" s="46" t="s">
        <v>1054</v>
      </c>
      <c r="W255" s="41" t="s">
        <v>197</v>
      </c>
      <c r="X255" s="45"/>
      <c r="Y255" s="45"/>
      <c r="Z255" s="41" t="s">
        <v>250</v>
      </c>
      <c r="AA255" s="44">
        <v>4.0</v>
      </c>
      <c r="AB255" s="45"/>
      <c r="AC255" s="45"/>
      <c r="AD255" s="54"/>
      <c r="AE255" s="54"/>
      <c r="AF255" s="54"/>
      <c r="AG255" s="54"/>
      <c r="AH255" s="54"/>
      <c r="AI255" s="38"/>
      <c r="AJ255" s="38"/>
      <c r="AK255" s="38"/>
      <c r="AL255" s="38"/>
      <c r="AM255" s="38"/>
      <c r="AN255" s="38"/>
      <c r="AO255" s="38"/>
      <c r="AP255" s="38"/>
      <c r="AQ255" s="38"/>
      <c r="AR255" s="38"/>
      <c r="AS255" s="38"/>
      <c r="AT255" s="38"/>
      <c r="AU255" s="38"/>
      <c r="AV255" s="38"/>
      <c r="AW255" s="38"/>
      <c r="AX255" s="38"/>
      <c r="AY255" s="38"/>
      <c r="AZ255" s="38"/>
      <c r="BA255" s="38"/>
      <c r="BB255" s="38"/>
      <c r="BC255" s="38"/>
    </row>
    <row r="256">
      <c r="A256" s="48" t="s">
        <v>365</v>
      </c>
      <c r="B256" s="30">
        <v>45884.30462271991</v>
      </c>
      <c r="C256" s="36" t="s">
        <v>366</v>
      </c>
      <c r="D256" s="32" t="s">
        <v>367</v>
      </c>
      <c r="E256" s="36" t="s">
        <v>1055</v>
      </c>
      <c r="F256" s="33" t="s">
        <v>365</v>
      </c>
      <c r="G256" s="31">
        <v>377.0</v>
      </c>
      <c r="H256" s="31">
        <v>10.0</v>
      </c>
      <c r="I256" s="31">
        <v>10.0</v>
      </c>
      <c r="J256" s="31">
        <v>0.0</v>
      </c>
      <c r="K256" s="34"/>
      <c r="L256" s="34"/>
      <c r="M256" s="34"/>
      <c r="N256" s="31">
        <v>10.0</v>
      </c>
      <c r="O256" s="34"/>
      <c r="P256" s="34"/>
      <c r="Q256" s="34"/>
      <c r="R256" s="34"/>
      <c r="S256" s="34"/>
      <c r="T256" s="34"/>
      <c r="U256" s="34"/>
      <c r="V256" s="35" t="s">
        <v>1056</v>
      </c>
      <c r="W256" s="34"/>
      <c r="X256" s="34"/>
      <c r="Y256" s="34"/>
      <c r="Z256" s="36" t="s">
        <v>370</v>
      </c>
      <c r="AA256" s="31">
        <v>4.0</v>
      </c>
      <c r="AB256" s="34"/>
      <c r="AC256" s="34"/>
      <c r="AD256" s="37"/>
      <c r="AE256" s="37"/>
      <c r="AF256" s="37"/>
      <c r="AG256" s="37"/>
      <c r="AH256" s="37"/>
      <c r="AI256" s="38"/>
      <c r="AJ256" s="38"/>
      <c r="AK256" s="38"/>
      <c r="AL256" s="38"/>
      <c r="AM256" s="38"/>
      <c r="AN256" s="38"/>
      <c r="AO256" s="38"/>
      <c r="AP256" s="38"/>
      <c r="AQ256" s="38"/>
      <c r="AR256" s="38"/>
      <c r="AS256" s="38"/>
      <c r="AT256" s="38"/>
      <c r="AU256" s="38"/>
      <c r="AV256" s="38"/>
      <c r="AW256" s="38"/>
      <c r="AX256" s="38"/>
      <c r="AY256" s="38"/>
      <c r="AZ256" s="38"/>
      <c r="BA256" s="38"/>
      <c r="BB256" s="38"/>
      <c r="BC256" s="38"/>
    </row>
    <row r="257">
      <c r="A257" s="39" t="s">
        <v>318</v>
      </c>
      <c r="B257" s="40">
        <v>45884.34308810185</v>
      </c>
      <c r="C257" s="41" t="s">
        <v>319</v>
      </c>
      <c r="D257" s="42" t="s">
        <v>320</v>
      </c>
      <c r="E257" s="44" t="s">
        <v>321</v>
      </c>
      <c r="F257" s="43" t="s">
        <v>318</v>
      </c>
      <c r="G257" s="50">
        <v>209.0</v>
      </c>
      <c r="H257" s="44">
        <v>6.0</v>
      </c>
      <c r="I257" s="44">
        <v>5.0</v>
      </c>
      <c r="J257" s="44">
        <v>3.0</v>
      </c>
      <c r="K257" s="45"/>
      <c r="L257" s="45"/>
      <c r="M257" s="45"/>
      <c r="N257" s="44">
        <v>7.0</v>
      </c>
      <c r="O257" s="45"/>
      <c r="P257" s="45"/>
      <c r="Q257" s="45"/>
      <c r="R257" s="45"/>
      <c r="S257" s="45"/>
      <c r="T257" s="45"/>
      <c r="U257" s="45"/>
      <c r="V257" s="46" t="s">
        <v>1057</v>
      </c>
      <c r="W257" s="45"/>
      <c r="X257" s="45"/>
      <c r="Y257" s="45"/>
      <c r="Z257" s="41" t="s">
        <v>323</v>
      </c>
      <c r="AA257" s="44">
        <v>4.0</v>
      </c>
      <c r="AB257" s="45"/>
      <c r="AC257" s="45"/>
      <c r="AD257" s="54"/>
      <c r="AE257" s="54"/>
      <c r="AF257" s="54"/>
      <c r="AG257" s="54"/>
      <c r="AH257" s="54"/>
      <c r="AI257" s="38"/>
      <c r="AJ257" s="38"/>
      <c r="AK257" s="38"/>
      <c r="AL257" s="38"/>
      <c r="AM257" s="38"/>
      <c r="AN257" s="38"/>
      <c r="AO257" s="38"/>
      <c r="AP257" s="38"/>
      <c r="AQ257" s="38"/>
      <c r="AR257" s="38"/>
      <c r="AS257" s="38"/>
      <c r="AT257" s="38"/>
      <c r="AU257" s="38"/>
      <c r="AV257" s="38"/>
      <c r="AW257" s="38"/>
      <c r="AX257" s="38"/>
      <c r="AY257" s="38"/>
      <c r="AZ257" s="38"/>
      <c r="BA257" s="38"/>
      <c r="BB257" s="38"/>
      <c r="BC257" s="38"/>
    </row>
    <row r="258">
      <c r="A258" s="48" t="s">
        <v>963</v>
      </c>
      <c r="B258" s="30">
        <v>45884.346418298606</v>
      </c>
      <c r="C258" s="36" t="s">
        <v>708</v>
      </c>
      <c r="D258" s="32" t="s">
        <v>756</v>
      </c>
      <c r="E258" s="36" t="s">
        <v>1058</v>
      </c>
      <c r="F258" s="33" t="s">
        <v>963</v>
      </c>
      <c r="G258" s="31">
        <v>174.0</v>
      </c>
      <c r="H258" s="31">
        <v>7.0</v>
      </c>
      <c r="I258" s="31">
        <v>7.0</v>
      </c>
      <c r="J258" s="51">
        <v>2.0</v>
      </c>
      <c r="K258" s="34"/>
      <c r="L258" s="34"/>
      <c r="M258" s="34"/>
      <c r="N258" s="31">
        <v>9.0</v>
      </c>
      <c r="O258" s="34"/>
      <c r="P258" s="34"/>
      <c r="Q258" s="34"/>
      <c r="R258" s="34"/>
      <c r="S258" s="34"/>
      <c r="T258" s="34"/>
      <c r="U258" s="34"/>
      <c r="V258" s="35" t="s">
        <v>1059</v>
      </c>
      <c r="W258" s="34"/>
      <c r="X258" s="34"/>
      <c r="Y258" s="34"/>
      <c r="Z258" s="36" t="s">
        <v>759</v>
      </c>
      <c r="AA258" s="31">
        <v>4.0</v>
      </c>
      <c r="AB258" s="34"/>
      <c r="AC258" s="34"/>
      <c r="AD258" s="37"/>
      <c r="AE258" s="37"/>
      <c r="AF258" s="37"/>
      <c r="AG258" s="37"/>
      <c r="AH258" s="37"/>
      <c r="AI258" s="38"/>
      <c r="AJ258" s="38"/>
      <c r="AK258" s="38"/>
      <c r="AL258" s="38"/>
      <c r="AM258" s="38"/>
      <c r="AN258" s="38"/>
      <c r="AO258" s="38"/>
      <c r="AP258" s="38"/>
      <c r="AQ258" s="38"/>
      <c r="AR258" s="38"/>
      <c r="AS258" s="38"/>
      <c r="AT258" s="38"/>
      <c r="AU258" s="38"/>
      <c r="AV258" s="38"/>
      <c r="AW258" s="38"/>
      <c r="AX258" s="38"/>
      <c r="AY258" s="38"/>
      <c r="AZ258" s="38"/>
      <c r="BA258" s="38"/>
      <c r="BB258" s="38"/>
      <c r="BC258" s="38"/>
    </row>
    <row r="259">
      <c r="A259" s="39" t="s">
        <v>481</v>
      </c>
      <c r="B259" s="40">
        <v>45886.33375347222</v>
      </c>
      <c r="C259" s="41" t="s">
        <v>482</v>
      </c>
      <c r="D259" s="42" t="s">
        <v>483</v>
      </c>
      <c r="E259" s="41" t="s">
        <v>1060</v>
      </c>
      <c r="F259" s="43" t="s">
        <v>481</v>
      </c>
      <c r="G259" s="44">
        <v>110.0</v>
      </c>
      <c r="H259" s="44">
        <v>8.0</v>
      </c>
      <c r="I259" s="44">
        <v>8.0</v>
      </c>
      <c r="J259" s="44">
        <v>3.0</v>
      </c>
      <c r="K259" s="45"/>
      <c r="L259" s="45"/>
      <c r="M259" s="45"/>
      <c r="N259" s="44">
        <v>9.0</v>
      </c>
      <c r="O259" s="45"/>
      <c r="P259" s="45"/>
      <c r="Q259" s="45"/>
      <c r="R259" s="45"/>
      <c r="S259" s="45"/>
      <c r="T259" s="45"/>
      <c r="U259" s="45"/>
      <c r="V259" s="41" t="s">
        <v>1061</v>
      </c>
      <c r="W259" s="45"/>
      <c r="X259" s="45"/>
      <c r="Y259" s="45"/>
      <c r="Z259" s="41" t="s">
        <v>486</v>
      </c>
      <c r="AA259" s="44">
        <v>4.0</v>
      </c>
      <c r="AB259" s="45"/>
      <c r="AC259" s="45"/>
      <c r="AD259" s="54"/>
      <c r="AE259" s="54"/>
      <c r="AF259" s="54"/>
      <c r="AG259" s="54"/>
      <c r="AH259" s="54"/>
      <c r="AI259" s="38"/>
      <c r="AJ259" s="38"/>
      <c r="AK259" s="38"/>
      <c r="AL259" s="38"/>
      <c r="AM259" s="38"/>
      <c r="AN259" s="38"/>
      <c r="AO259" s="38"/>
      <c r="AP259" s="38"/>
      <c r="AQ259" s="38"/>
      <c r="AR259" s="38"/>
      <c r="AS259" s="38"/>
      <c r="AT259" s="38"/>
      <c r="AU259" s="38"/>
      <c r="AV259" s="38"/>
      <c r="AW259" s="38"/>
      <c r="AX259" s="38"/>
      <c r="AY259" s="38"/>
      <c r="AZ259" s="38"/>
      <c r="BA259" s="38"/>
      <c r="BB259" s="38"/>
      <c r="BC259" s="38"/>
    </row>
    <row r="260">
      <c r="A260" s="48" t="s">
        <v>433</v>
      </c>
      <c r="B260" s="30">
        <v>45889.148776064816</v>
      </c>
      <c r="C260" s="36" t="s">
        <v>1062</v>
      </c>
      <c r="D260" s="32" t="s">
        <v>429</v>
      </c>
      <c r="E260" s="36" t="s">
        <v>1063</v>
      </c>
      <c r="F260" s="33" t="s">
        <v>433</v>
      </c>
      <c r="G260" s="51">
        <v>70.0</v>
      </c>
      <c r="H260" s="31">
        <v>10.0</v>
      </c>
      <c r="I260" s="31">
        <v>10.0</v>
      </c>
      <c r="J260" s="31">
        <v>1.0</v>
      </c>
      <c r="K260" s="34"/>
      <c r="L260" s="34"/>
      <c r="M260" s="34"/>
      <c r="N260" s="31">
        <v>10.0</v>
      </c>
      <c r="O260" s="34"/>
      <c r="P260" s="34"/>
      <c r="Q260" s="34"/>
      <c r="R260" s="34"/>
      <c r="S260" s="34"/>
      <c r="T260" s="34"/>
      <c r="U260" s="34"/>
      <c r="V260" s="35" t="s">
        <v>1064</v>
      </c>
      <c r="W260" s="34"/>
      <c r="X260" s="34"/>
      <c r="Y260" s="34"/>
      <c r="Z260" s="36" t="s">
        <v>432</v>
      </c>
      <c r="AA260" s="31">
        <v>4.0</v>
      </c>
      <c r="AB260" s="34"/>
      <c r="AC260" s="34"/>
      <c r="AD260" s="37"/>
      <c r="AE260" s="37"/>
      <c r="AF260" s="37"/>
      <c r="AG260" s="37"/>
      <c r="AH260" s="37"/>
      <c r="AI260" s="38"/>
      <c r="AJ260" s="38"/>
      <c r="AK260" s="38"/>
      <c r="AL260" s="38"/>
      <c r="AM260" s="38"/>
      <c r="AN260" s="38"/>
      <c r="AO260" s="38"/>
      <c r="AP260" s="38"/>
      <c r="AQ260" s="38"/>
      <c r="AR260" s="38"/>
      <c r="AS260" s="38"/>
      <c r="AT260" s="38"/>
      <c r="AU260" s="38"/>
      <c r="AV260" s="38"/>
      <c r="AW260" s="38"/>
      <c r="AX260" s="38"/>
      <c r="AY260" s="38"/>
      <c r="AZ260" s="38"/>
      <c r="BA260" s="38"/>
      <c r="BB260" s="38"/>
      <c r="BC260" s="38"/>
    </row>
    <row r="261">
      <c r="A261" s="39" t="s">
        <v>555</v>
      </c>
      <c r="B261" s="40">
        <v>45891.18894611111</v>
      </c>
      <c r="C261" s="44" t="s">
        <v>42</v>
      </c>
      <c r="D261" s="42" t="s">
        <v>43</v>
      </c>
      <c r="E261" s="44" t="s">
        <v>1065</v>
      </c>
      <c r="F261" s="43" t="s">
        <v>555</v>
      </c>
      <c r="G261" s="44">
        <v>408.0</v>
      </c>
      <c r="H261" s="44">
        <v>8.0</v>
      </c>
      <c r="I261" s="44">
        <v>7.0</v>
      </c>
      <c r="J261" s="44">
        <v>3.0</v>
      </c>
      <c r="K261" s="45"/>
      <c r="L261" s="45"/>
      <c r="M261" s="45"/>
      <c r="N261" s="44">
        <v>9.0</v>
      </c>
      <c r="O261" s="45"/>
      <c r="P261" s="45"/>
      <c r="Q261" s="45"/>
      <c r="R261" s="45"/>
      <c r="S261" s="45"/>
      <c r="T261" s="45"/>
      <c r="U261" s="45"/>
      <c r="V261" s="46" t="s">
        <v>1066</v>
      </c>
      <c r="W261" s="45"/>
      <c r="X261" s="45"/>
      <c r="Y261" s="45"/>
      <c r="Z261" s="41" t="s">
        <v>47</v>
      </c>
      <c r="AA261" s="44">
        <v>5.0</v>
      </c>
      <c r="AB261" s="45"/>
      <c r="AC261" s="45"/>
      <c r="AD261" s="54"/>
      <c r="AE261" s="54"/>
      <c r="AF261" s="54"/>
      <c r="AG261" s="54"/>
      <c r="AH261" s="54"/>
      <c r="AI261" s="38"/>
      <c r="AJ261" s="38"/>
      <c r="AK261" s="38"/>
      <c r="AL261" s="38"/>
      <c r="AM261" s="38"/>
      <c r="AN261" s="38"/>
      <c r="AO261" s="38"/>
      <c r="AP261" s="38"/>
      <c r="AQ261" s="38"/>
      <c r="AR261" s="38"/>
      <c r="AS261" s="38"/>
      <c r="AT261" s="38"/>
      <c r="AU261" s="38"/>
      <c r="AV261" s="38"/>
      <c r="AW261" s="38"/>
      <c r="AX261" s="38"/>
      <c r="AY261" s="38"/>
      <c r="AZ261" s="38"/>
      <c r="BA261" s="38"/>
      <c r="BB261" s="38"/>
      <c r="BC261" s="38"/>
    </row>
    <row r="262">
      <c r="A262" s="48" t="s">
        <v>147</v>
      </c>
      <c r="B262" s="30">
        <v>45891.208170972226</v>
      </c>
      <c r="C262" s="36" t="s">
        <v>239</v>
      </c>
      <c r="D262" s="32" t="s">
        <v>1067</v>
      </c>
      <c r="E262" s="36" t="s">
        <v>1068</v>
      </c>
      <c r="F262" s="33" t="s">
        <v>147</v>
      </c>
      <c r="G262" s="31">
        <v>950.0</v>
      </c>
      <c r="H262" s="31">
        <v>7.0</v>
      </c>
      <c r="I262" s="51">
        <v>8.0</v>
      </c>
      <c r="J262" s="36" t="s">
        <v>1069</v>
      </c>
      <c r="K262" s="34"/>
      <c r="L262" s="34"/>
      <c r="M262" s="34"/>
      <c r="N262" s="31">
        <v>8.0</v>
      </c>
      <c r="O262" s="34"/>
      <c r="P262" s="34"/>
      <c r="Q262" s="34"/>
      <c r="R262" s="34"/>
      <c r="S262" s="34"/>
      <c r="T262" s="34"/>
      <c r="U262" s="34"/>
      <c r="V262" s="35" t="s">
        <v>1070</v>
      </c>
      <c r="W262" s="36" t="s">
        <v>1071</v>
      </c>
      <c r="X262" s="34"/>
      <c r="Y262" s="34"/>
      <c r="Z262" s="36" t="s">
        <v>243</v>
      </c>
      <c r="AA262" s="31">
        <v>5.0</v>
      </c>
      <c r="AB262" s="34"/>
      <c r="AC262" s="34"/>
      <c r="AD262" s="37"/>
      <c r="AE262" s="37"/>
      <c r="AF262" s="37"/>
      <c r="AG262" s="37"/>
      <c r="AH262" s="37"/>
      <c r="AI262" s="38"/>
      <c r="AJ262" s="38"/>
      <c r="AK262" s="38"/>
      <c r="AL262" s="38"/>
      <c r="AM262" s="38"/>
      <c r="AN262" s="38"/>
      <c r="AO262" s="38"/>
      <c r="AP262" s="38"/>
      <c r="AQ262" s="38"/>
      <c r="AR262" s="38"/>
      <c r="AS262" s="38"/>
      <c r="AT262" s="38"/>
      <c r="AU262" s="38"/>
      <c r="AV262" s="38"/>
      <c r="AW262" s="38"/>
      <c r="AX262" s="38"/>
      <c r="AY262" s="38"/>
      <c r="AZ262" s="38"/>
      <c r="BA262" s="38"/>
      <c r="BB262" s="38"/>
      <c r="BC262" s="38"/>
    </row>
    <row r="263">
      <c r="A263" s="39" t="s">
        <v>1072</v>
      </c>
      <c r="B263" s="40">
        <v>45891.27384693287</v>
      </c>
      <c r="C263" s="41" t="s">
        <v>346</v>
      </c>
      <c r="D263" s="42" t="s">
        <v>347</v>
      </c>
      <c r="E263" s="41" t="s">
        <v>1073</v>
      </c>
      <c r="F263" s="43" t="s">
        <v>1072</v>
      </c>
      <c r="G263" s="44">
        <v>32.0</v>
      </c>
      <c r="H263" s="44">
        <v>5.0</v>
      </c>
      <c r="I263" s="44">
        <v>4.0</v>
      </c>
      <c r="J263" s="44">
        <v>2.0</v>
      </c>
      <c r="K263" s="45"/>
      <c r="L263" s="45"/>
      <c r="M263" s="45"/>
      <c r="N263" s="44">
        <v>10.0</v>
      </c>
      <c r="O263" s="45"/>
      <c r="P263" s="45"/>
      <c r="Q263" s="45"/>
      <c r="R263" s="45"/>
      <c r="S263" s="45"/>
      <c r="T263" s="45"/>
      <c r="U263" s="45"/>
      <c r="V263" s="46" t="s">
        <v>1074</v>
      </c>
      <c r="W263" s="45"/>
      <c r="X263" s="45"/>
      <c r="Y263" s="45"/>
      <c r="Z263" s="41" t="s">
        <v>351</v>
      </c>
      <c r="AA263" s="44">
        <v>5.0</v>
      </c>
      <c r="AB263" s="45"/>
      <c r="AC263" s="45"/>
      <c r="AD263" s="54"/>
      <c r="AE263" s="54"/>
      <c r="AF263" s="54"/>
      <c r="AG263" s="54"/>
      <c r="AH263" s="54"/>
      <c r="AI263" s="38"/>
      <c r="AJ263" s="38"/>
      <c r="AK263" s="38"/>
      <c r="AL263" s="38"/>
      <c r="AM263" s="38"/>
      <c r="AN263" s="38"/>
      <c r="AO263" s="38"/>
      <c r="AP263" s="38"/>
      <c r="AQ263" s="38"/>
      <c r="AR263" s="38"/>
      <c r="AS263" s="38"/>
      <c r="AT263" s="38"/>
      <c r="AU263" s="38"/>
      <c r="AV263" s="38"/>
      <c r="AW263" s="38"/>
      <c r="AX263" s="38"/>
      <c r="AY263" s="38"/>
      <c r="AZ263" s="38"/>
      <c r="BA263" s="38"/>
      <c r="BB263" s="38"/>
      <c r="BC263" s="38"/>
    </row>
    <row r="264">
      <c r="A264" s="48" t="s">
        <v>1075</v>
      </c>
      <c r="B264" s="30">
        <v>45891.395318020834</v>
      </c>
      <c r="C264" s="36" t="s">
        <v>671</v>
      </c>
      <c r="D264" s="32" t="s">
        <v>672</v>
      </c>
      <c r="E264" s="36" t="s">
        <v>673</v>
      </c>
      <c r="F264" s="33" t="s">
        <v>1075</v>
      </c>
      <c r="G264" s="31">
        <v>176.0</v>
      </c>
      <c r="H264" s="31">
        <v>9.0</v>
      </c>
      <c r="I264" s="31">
        <v>8.0</v>
      </c>
      <c r="J264" s="31">
        <v>1.0</v>
      </c>
      <c r="K264" s="34"/>
      <c r="L264" s="34"/>
      <c r="M264" s="34"/>
      <c r="N264" s="31">
        <v>9.0</v>
      </c>
      <c r="O264" s="34"/>
      <c r="P264" s="34"/>
      <c r="Q264" s="34"/>
      <c r="R264" s="34"/>
      <c r="S264" s="34"/>
      <c r="T264" s="34"/>
      <c r="U264" s="34"/>
      <c r="V264" s="35" t="s">
        <v>1076</v>
      </c>
      <c r="W264" s="36" t="s">
        <v>197</v>
      </c>
      <c r="X264" s="34"/>
      <c r="Y264" s="34"/>
      <c r="Z264" s="36" t="s">
        <v>1077</v>
      </c>
      <c r="AA264" s="31">
        <v>5.0</v>
      </c>
      <c r="AB264" s="34"/>
      <c r="AC264" s="34"/>
      <c r="AD264" s="37"/>
      <c r="AE264" s="37"/>
      <c r="AF264" s="37"/>
      <c r="AG264" s="37"/>
      <c r="AH264" s="37"/>
      <c r="AI264" s="38"/>
      <c r="AJ264" s="38"/>
      <c r="AK264" s="38"/>
      <c r="AL264" s="38"/>
      <c r="AM264" s="38"/>
      <c r="AN264" s="38"/>
      <c r="AO264" s="38"/>
      <c r="AP264" s="38"/>
      <c r="AQ264" s="38"/>
      <c r="AR264" s="38"/>
      <c r="AS264" s="38"/>
      <c r="AT264" s="38"/>
      <c r="AU264" s="38"/>
      <c r="AV264" s="38"/>
      <c r="AW264" s="38"/>
      <c r="AX264" s="38"/>
      <c r="AY264" s="38"/>
      <c r="AZ264" s="38"/>
      <c r="BA264" s="38"/>
      <c r="BB264" s="38"/>
      <c r="BC264" s="38"/>
    </row>
    <row r="265">
      <c r="A265" s="39" t="s">
        <v>539</v>
      </c>
      <c r="B265" s="40">
        <v>45891.40968285879</v>
      </c>
      <c r="C265" s="41" t="s">
        <v>1078</v>
      </c>
      <c r="D265" s="42" t="s">
        <v>1079</v>
      </c>
      <c r="E265" s="44" t="s">
        <v>1080</v>
      </c>
      <c r="F265" s="43" t="s">
        <v>539</v>
      </c>
      <c r="G265" s="44">
        <v>250.0</v>
      </c>
      <c r="H265" s="44">
        <v>8.0</v>
      </c>
      <c r="I265" s="44">
        <v>8.0</v>
      </c>
      <c r="J265" s="44">
        <v>2.0</v>
      </c>
      <c r="K265" s="45"/>
      <c r="L265" s="45"/>
      <c r="M265" s="45"/>
      <c r="N265" s="44">
        <v>9.0</v>
      </c>
      <c r="O265" s="45"/>
      <c r="P265" s="45"/>
      <c r="Q265" s="45"/>
      <c r="R265" s="45"/>
      <c r="S265" s="45"/>
      <c r="T265" s="45"/>
      <c r="U265" s="45"/>
      <c r="V265" s="45"/>
      <c r="W265" s="45"/>
      <c r="X265" s="45"/>
      <c r="Y265" s="45"/>
      <c r="Z265" s="41" t="s">
        <v>1081</v>
      </c>
      <c r="AA265" s="44">
        <v>5.0</v>
      </c>
      <c r="AB265" s="45"/>
      <c r="AC265" s="45"/>
      <c r="AD265" s="54"/>
      <c r="AE265" s="54"/>
      <c r="AF265" s="54"/>
      <c r="AG265" s="54"/>
      <c r="AH265" s="54"/>
      <c r="AI265" s="38"/>
      <c r="AJ265" s="38"/>
      <c r="AK265" s="38"/>
      <c r="AL265" s="38"/>
      <c r="AM265" s="38"/>
      <c r="AN265" s="38"/>
      <c r="AO265" s="38"/>
      <c r="AP265" s="38"/>
      <c r="AQ265" s="38"/>
      <c r="AR265" s="38"/>
      <c r="AS265" s="38"/>
      <c r="AT265" s="38"/>
      <c r="AU265" s="38"/>
      <c r="AV265" s="38"/>
      <c r="AW265" s="38"/>
      <c r="AX265" s="38"/>
      <c r="AY265" s="38"/>
      <c r="AZ265" s="38"/>
      <c r="BA265" s="38"/>
      <c r="BB265" s="38"/>
      <c r="BC265" s="38"/>
    </row>
    <row r="266">
      <c r="A266" s="48" t="s">
        <v>1082</v>
      </c>
      <c r="B266" s="30">
        <v>45891.45560357639</v>
      </c>
      <c r="C266" s="36" t="s">
        <v>227</v>
      </c>
      <c r="D266" s="32" t="s">
        <v>228</v>
      </c>
      <c r="E266" s="36" t="s">
        <v>1083</v>
      </c>
      <c r="F266" s="33" t="s">
        <v>1082</v>
      </c>
      <c r="G266" s="31">
        <v>377.0</v>
      </c>
      <c r="H266" s="51">
        <v>7.0</v>
      </c>
      <c r="I266" s="31">
        <v>6.0</v>
      </c>
      <c r="J266" s="51">
        <v>4.0</v>
      </c>
      <c r="K266" s="34"/>
      <c r="L266" s="34"/>
      <c r="M266" s="34"/>
      <c r="N266" s="31">
        <v>9.0</v>
      </c>
      <c r="O266" s="34"/>
      <c r="P266" s="34"/>
      <c r="Q266" s="34"/>
      <c r="R266" s="34"/>
      <c r="S266" s="34"/>
      <c r="T266" s="34"/>
      <c r="U266" s="34"/>
      <c r="V266" s="35" t="s">
        <v>1084</v>
      </c>
      <c r="W266" s="34"/>
      <c r="X266" s="34"/>
      <c r="Y266" s="34"/>
      <c r="Z266" s="36" t="s">
        <v>232</v>
      </c>
      <c r="AA266" s="31">
        <v>5.0</v>
      </c>
      <c r="AB266" s="34"/>
      <c r="AC266" s="34"/>
      <c r="AD266" s="37"/>
      <c r="AE266" s="37"/>
      <c r="AF266" s="37"/>
      <c r="AG266" s="37"/>
      <c r="AH266" s="37"/>
      <c r="AI266" s="38"/>
      <c r="AJ266" s="38"/>
      <c r="AK266" s="38"/>
      <c r="AL266" s="38"/>
      <c r="AM266" s="38"/>
      <c r="AN266" s="38"/>
      <c r="AO266" s="38"/>
      <c r="AP266" s="38"/>
      <c r="AQ266" s="38"/>
      <c r="AR266" s="38"/>
      <c r="AS266" s="38"/>
      <c r="AT266" s="38"/>
      <c r="AU266" s="38"/>
      <c r="AV266" s="38"/>
      <c r="AW266" s="38"/>
      <c r="AX266" s="38"/>
      <c r="AY266" s="38"/>
      <c r="AZ266" s="38"/>
      <c r="BA266" s="38"/>
      <c r="BB266" s="38"/>
      <c r="BC266" s="38"/>
    </row>
    <row r="267">
      <c r="A267" s="39" t="s">
        <v>83</v>
      </c>
      <c r="B267" s="40">
        <v>45892.06080152778</v>
      </c>
      <c r="C267" s="44" t="s">
        <v>783</v>
      </c>
      <c r="D267" s="42" t="s">
        <v>784</v>
      </c>
      <c r="E267" s="44" t="s">
        <v>86</v>
      </c>
      <c r="F267" s="43" t="s">
        <v>83</v>
      </c>
      <c r="G267" s="50">
        <v>778.0</v>
      </c>
      <c r="H267" s="44">
        <v>8.0</v>
      </c>
      <c r="I267" s="44">
        <v>8.0</v>
      </c>
      <c r="J267" s="44">
        <v>4.0</v>
      </c>
      <c r="K267" s="45"/>
      <c r="L267" s="45"/>
      <c r="M267" s="45"/>
      <c r="N267" s="44">
        <v>8.0</v>
      </c>
      <c r="O267" s="45"/>
      <c r="P267" s="45"/>
      <c r="Q267" s="45"/>
      <c r="R267" s="45"/>
      <c r="S267" s="45"/>
      <c r="T267" s="45"/>
      <c r="U267" s="45"/>
      <c r="V267" s="46" t="s">
        <v>1085</v>
      </c>
      <c r="W267" s="41" t="s">
        <v>197</v>
      </c>
      <c r="X267" s="45"/>
      <c r="Y267" s="45"/>
      <c r="Z267" s="41" t="s">
        <v>786</v>
      </c>
      <c r="AA267" s="44">
        <v>5.0</v>
      </c>
      <c r="AB267" s="45"/>
      <c r="AC267" s="45"/>
      <c r="AD267" s="54"/>
      <c r="AE267" s="54"/>
      <c r="AF267" s="54"/>
      <c r="AG267" s="54"/>
      <c r="AH267" s="54"/>
      <c r="AI267" s="38"/>
      <c r="AJ267" s="38"/>
      <c r="AK267" s="38"/>
      <c r="AL267" s="38"/>
      <c r="AM267" s="38"/>
      <c r="AN267" s="38"/>
      <c r="AO267" s="38"/>
      <c r="AP267" s="38"/>
      <c r="AQ267" s="38"/>
      <c r="AR267" s="38"/>
      <c r="AS267" s="38"/>
      <c r="AT267" s="38"/>
      <c r="AU267" s="38"/>
      <c r="AV267" s="38"/>
      <c r="AW267" s="38"/>
      <c r="AX267" s="38"/>
      <c r="AY267" s="38"/>
      <c r="AZ267" s="38"/>
      <c r="BA267" s="38"/>
      <c r="BB267" s="38"/>
      <c r="BC267" s="38"/>
    </row>
    <row r="268">
      <c r="A268" s="60" t="s">
        <v>1086</v>
      </c>
      <c r="B268" s="61">
        <v>45898.49990859954</v>
      </c>
      <c r="C268" s="62" t="s">
        <v>42</v>
      </c>
      <c r="D268" s="63" t="s">
        <v>43</v>
      </c>
      <c r="E268" s="62" t="s">
        <v>1065</v>
      </c>
      <c r="F268" s="64" t="s">
        <v>1086</v>
      </c>
      <c r="G268" s="65">
        <v>400.0</v>
      </c>
      <c r="H268" s="62">
        <v>8.0</v>
      </c>
      <c r="I268" s="62">
        <v>7.0</v>
      </c>
      <c r="J268" s="62">
        <v>3.0</v>
      </c>
      <c r="K268" s="66"/>
      <c r="L268" s="66"/>
      <c r="M268" s="66"/>
      <c r="N268" s="62">
        <v>9.0</v>
      </c>
      <c r="O268" s="66"/>
      <c r="P268" s="66"/>
      <c r="Q268" s="66"/>
      <c r="R268" s="66"/>
      <c r="S268" s="66"/>
      <c r="T268" s="66"/>
      <c r="U268" s="66"/>
      <c r="V268" s="67" t="s">
        <v>1087</v>
      </c>
      <c r="W268" s="66"/>
      <c r="X268" s="66"/>
      <c r="Y268" s="66"/>
      <c r="Z268" s="68" t="s">
        <v>47</v>
      </c>
      <c r="AA268" s="62">
        <v>6.0</v>
      </c>
      <c r="AB268" s="66"/>
      <c r="AC268" s="69"/>
      <c r="AD268" s="37"/>
      <c r="AE268" s="37"/>
      <c r="AF268" s="37"/>
      <c r="AG268" s="37"/>
      <c r="AH268" s="37"/>
      <c r="AI268" s="38"/>
      <c r="AJ268" s="38"/>
      <c r="AK268" s="38"/>
      <c r="AL268" s="38"/>
      <c r="AM268" s="38"/>
      <c r="AN268" s="38"/>
      <c r="AO268" s="38"/>
      <c r="AP268" s="38"/>
      <c r="AQ268" s="38"/>
      <c r="AR268" s="38"/>
      <c r="AS268" s="38"/>
      <c r="AT268" s="38"/>
      <c r="AU268" s="38"/>
      <c r="AV268" s="38"/>
      <c r="AW268" s="38"/>
      <c r="AX268" s="38"/>
      <c r="AY268" s="38"/>
      <c r="AZ268" s="38"/>
      <c r="BA268" s="38"/>
      <c r="BB268" s="38"/>
      <c r="BC268" s="38"/>
    </row>
    <row r="269">
      <c r="A269" s="70" t="s">
        <v>1082</v>
      </c>
      <c r="B269" s="71">
        <v>45899.2501466088</v>
      </c>
      <c r="C269" s="72" t="s">
        <v>227</v>
      </c>
      <c r="D269" s="73" t="s">
        <v>228</v>
      </c>
      <c r="E269" s="72" t="s">
        <v>1088</v>
      </c>
      <c r="F269" s="74" t="s">
        <v>1082</v>
      </c>
      <c r="G269" s="75">
        <v>366.0</v>
      </c>
      <c r="H269" s="76">
        <v>4.0</v>
      </c>
      <c r="I269" s="76">
        <v>6.0</v>
      </c>
      <c r="J269" s="76">
        <v>6.0</v>
      </c>
      <c r="K269" s="77"/>
      <c r="L269" s="77"/>
      <c r="M269" s="77"/>
      <c r="N269" s="76">
        <v>9.0</v>
      </c>
      <c r="O269" s="77"/>
      <c r="P269" s="77"/>
      <c r="Q269" s="77"/>
      <c r="R269" s="77"/>
      <c r="S269" s="77"/>
      <c r="T269" s="77"/>
      <c r="U269" s="77"/>
      <c r="V269" s="78" t="s">
        <v>1089</v>
      </c>
      <c r="W269" s="77"/>
      <c r="X269" s="77"/>
      <c r="Y269" s="77"/>
      <c r="Z269" s="72" t="s">
        <v>232</v>
      </c>
      <c r="AA269" s="76">
        <v>6.0</v>
      </c>
      <c r="AB269" s="77"/>
      <c r="AC269" s="79"/>
      <c r="AD269" s="54"/>
      <c r="AE269" s="54"/>
      <c r="AF269" s="54"/>
      <c r="AG269" s="54"/>
      <c r="AH269" s="54"/>
      <c r="AI269" s="38"/>
      <c r="AJ269" s="38"/>
      <c r="AK269" s="38"/>
      <c r="AL269" s="38"/>
      <c r="AM269" s="38"/>
      <c r="AN269" s="38"/>
      <c r="AO269" s="38"/>
      <c r="AP269" s="38"/>
      <c r="AQ269" s="38"/>
      <c r="AR269" s="38"/>
      <c r="AS269" s="38"/>
      <c r="AT269" s="38"/>
      <c r="AU269" s="38"/>
      <c r="AV269" s="38"/>
      <c r="AW269" s="38"/>
      <c r="AX269" s="38"/>
      <c r="AY269" s="38"/>
      <c r="AZ269" s="38"/>
      <c r="BA269" s="38"/>
      <c r="BB269" s="38"/>
      <c r="BC269" s="38"/>
    </row>
    <row r="270">
      <c r="A270" s="60" t="s">
        <v>632</v>
      </c>
      <c r="B270" s="61">
        <v>45899.25571612269</v>
      </c>
      <c r="C270" s="68" t="s">
        <v>1090</v>
      </c>
      <c r="D270" s="63" t="s">
        <v>1091</v>
      </c>
      <c r="E270" s="68" t="s">
        <v>1092</v>
      </c>
      <c r="F270" s="64" t="s">
        <v>632</v>
      </c>
      <c r="G270" s="65">
        <v>250.0</v>
      </c>
      <c r="H270" s="62">
        <v>9.0</v>
      </c>
      <c r="I270" s="62">
        <v>9.0</v>
      </c>
      <c r="J270" s="62">
        <v>0.0</v>
      </c>
      <c r="K270" s="66"/>
      <c r="L270" s="66"/>
      <c r="M270" s="66"/>
      <c r="N270" s="62">
        <v>10.0</v>
      </c>
      <c r="O270" s="66"/>
      <c r="P270" s="66"/>
      <c r="Q270" s="66"/>
      <c r="R270" s="66"/>
      <c r="S270" s="66"/>
      <c r="T270" s="66"/>
      <c r="U270" s="66"/>
      <c r="V270" s="80" t="s">
        <v>1093</v>
      </c>
      <c r="W270" s="66"/>
      <c r="X270" s="66"/>
      <c r="Y270" s="66"/>
      <c r="Z270" s="68" t="s">
        <v>1094</v>
      </c>
      <c r="AA270" s="62">
        <v>1.0</v>
      </c>
      <c r="AB270" s="66"/>
      <c r="AC270" s="69"/>
      <c r="AD270" s="37"/>
      <c r="AE270" s="37"/>
      <c r="AF270" s="37"/>
      <c r="AG270" s="37"/>
      <c r="AH270" s="37"/>
      <c r="AI270" s="38"/>
      <c r="AJ270" s="38"/>
      <c r="AK270" s="38"/>
      <c r="AL270" s="38"/>
      <c r="AM270" s="38"/>
      <c r="AN270" s="38"/>
      <c r="AO270" s="38"/>
      <c r="AP270" s="38"/>
      <c r="AQ270" s="38"/>
      <c r="AR270" s="38"/>
      <c r="AS270" s="38"/>
      <c r="AT270" s="38"/>
      <c r="AU270" s="38"/>
      <c r="AV270" s="38"/>
      <c r="AW270" s="38"/>
      <c r="AX270" s="38"/>
      <c r="AY270" s="38"/>
      <c r="AZ270" s="38"/>
      <c r="BA270" s="38"/>
      <c r="BB270" s="38"/>
      <c r="BC270" s="38"/>
    </row>
    <row r="271">
      <c r="A271" s="70" t="s">
        <v>1095</v>
      </c>
      <c r="B271" s="71">
        <v>45899.25848329861</v>
      </c>
      <c r="C271" s="72" t="s">
        <v>1090</v>
      </c>
      <c r="D271" s="73" t="s">
        <v>1091</v>
      </c>
      <c r="E271" s="72" t="s">
        <v>1096</v>
      </c>
      <c r="F271" s="74" t="s">
        <v>1095</v>
      </c>
      <c r="G271" s="81">
        <v>200.0</v>
      </c>
      <c r="H271" s="76">
        <v>10.0</v>
      </c>
      <c r="I271" s="76">
        <v>10.0</v>
      </c>
      <c r="J271" s="76">
        <v>0.0</v>
      </c>
      <c r="K271" s="77"/>
      <c r="L271" s="77"/>
      <c r="M271" s="77"/>
      <c r="N271" s="76">
        <v>10.0</v>
      </c>
      <c r="O271" s="77"/>
      <c r="P271" s="77"/>
      <c r="Q271" s="77"/>
      <c r="R271" s="77"/>
      <c r="S271" s="77"/>
      <c r="T271" s="77"/>
      <c r="U271" s="77"/>
      <c r="V271" s="82" t="s">
        <v>1093</v>
      </c>
      <c r="W271" s="77"/>
      <c r="X271" s="77"/>
      <c r="Y271" s="77"/>
      <c r="Z271" s="72" t="s">
        <v>1094</v>
      </c>
      <c r="AA271" s="76">
        <v>1.0</v>
      </c>
      <c r="AB271" s="77"/>
      <c r="AC271" s="79"/>
      <c r="AD271" s="54"/>
      <c r="AE271" s="54"/>
      <c r="AF271" s="54"/>
      <c r="AG271" s="54"/>
      <c r="AH271" s="54"/>
      <c r="AI271" s="38"/>
      <c r="AJ271" s="38"/>
      <c r="AK271" s="38"/>
      <c r="AL271" s="38"/>
      <c r="AM271" s="38"/>
      <c r="AN271" s="38"/>
      <c r="AO271" s="38"/>
      <c r="AP271" s="38"/>
      <c r="AQ271" s="38"/>
      <c r="AR271" s="38"/>
      <c r="AS271" s="38"/>
      <c r="AT271" s="38"/>
      <c r="AU271" s="38"/>
      <c r="AV271" s="38"/>
      <c r="AW271" s="38"/>
      <c r="AX271" s="38"/>
      <c r="AY271" s="38"/>
      <c r="AZ271" s="38"/>
      <c r="BA271" s="38"/>
      <c r="BB271" s="38"/>
      <c r="BC271" s="38"/>
    </row>
    <row r="272">
      <c r="A272" s="60" t="s">
        <v>539</v>
      </c>
      <c r="B272" s="61">
        <v>45900.23651806713</v>
      </c>
      <c r="C272" s="68" t="s">
        <v>1097</v>
      </c>
      <c r="D272" s="63" t="s">
        <v>1098</v>
      </c>
      <c r="E272" s="68" t="s">
        <v>1099</v>
      </c>
      <c r="F272" s="64" t="s">
        <v>539</v>
      </c>
      <c r="G272" s="65">
        <v>246.0</v>
      </c>
      <c r="H272" s="62">
        <v>7.0</v>
      </c>
      <c r="I272" s="62">
        <v>5.0</v>
      </c>
      <c r="J272" s="62">
        <v>4.0</v>
      </c>
      <c r="K272" s="66"/>
      <c r="L272" s="66"/>
      <c r="M272" s="66"/>
      <c r="N272" s="62">
        <v>7.0</v>
      </c>
      <c r="O272" s="66"/>
      <c r="P272" s="66"/>
      <c r="Q272" s="66"/>
      <c r="R272" s="66"/>
      <c r="S272" s="66"/>
      <c r="T272" s="66"/>
      <c r="U272" s="66"/>
      <c r="V272" s="67" t="s">
        <v>1100</v>
      </c>
      <c r="W272" s="66"/>
      <c r="X272" s="66"/>
      <c r="Y272" s="66"/>
      <c r="Z272" s="68" t="s">
        <v>1101</v>
      </c>
      <c r="AA272" s="62">
        <v>6.0</v>
      </c>
      <c r="AB272" s="66"/>
      <c r="AC272" s="69"/>
      <c r="AD272" s="37"/>
      <c r="AE272" s="37"/>
      <c r="AF272" s="37"/>
      <c r="AG272" s="37"/>
      <c r="AH272" s="37"/>
      <c r="AI272" s="38"/>
      <c r="AJ272" s="38"/>
      <c r="AK272" s="38"/>
      <c r="AL272" s="38"/>
      <c r="AM272" s="38"/>
      <c r="AN272" s="38"/>
      <c r="AO272" s="38"/>
      <c r="AP272" s="38"/>
      <c r="AQ272" s="38"/>
      <c r="AR272" s="38"/>
      <c r="AS272" s="38"/>
      <c r="AT272" s="38"/>
      <c r="AU272" s="38"/>
      <c r="AV272" s="38"/>
      <c r="AW272" s="38"/>
      <c r="AX272" s="38"/>
      <c r="AY272" s="38"/>
      <c r="AZ272" s="38"/>
      <c r="BA272" s="38"/>
      <c r="BB272" s="38"/>
      <c r="BC272" s="38"/>
    </row>
    <row r="273">
      <c r="A273" s="83" t="s">
        <v>1102</v>
      </c>
      <c r="B273" s="71">
        <v>45730.66801607639</v>
      </c>
      <c r="C273" s="72" t="s">
        <v>1103</v>
      </c>
      <c r="D273" s="72" t="s">
        <v>1104</v>
      </c>
      <c r="E273" s="72" t="s">
        <v>1105</v>
      </c>
      <c r="F273" s="84" t="s">
        <v>1102</v>
      </c>
      <c r="G273" s="76">
        <v>123.0</v>
      </c>
      <c r="H273" s="76">
        <v>10.0</v>
      </c>
      <c r="I273" s="76">
        <v>10.0</v>
      </c>
      <c r="J273" s="76">
        <v>10.0</v>
      </c>
      <c r="K273" s="76">
        <v>1900.0</v>
      </c>
      <c r="L273" s="72" t="s">
        <v>401</v>
      </c>
      <c r="M273" s="72" t="s">
        <v>1106</v>
      </c>
      <c r="N273" s="76">
        <v>10.0</v>
      </c>
      <c r="O273" s="72" t="s">
        <v>401</v>
      </c>
      <c r="P273" s="85">
        <v>1.0</v>
      </c>
      <c r="Q273" s="76">
        <v>10.0</v>
      </c>
      <c r="R273" s="76">
        <v>10.0</v>
      </c>
      <c r="S273" s="76">
        <v>10.0</v>
      </c>
      <c r="T273" s="78" t="s">
        <v>1107</v>
      </c>
      <c r="U273" s="78" t="s">
        <v>1108</v>
      </c>
      <c r="V273" s="72" t="s">
        <v>1109</v>
      </c>
      <c r="W273" s="72" t="s">
        <v>1110</v>
      </c>
      <c r="X273" s="77"/>
      <c r="Y273" s="77"/>
      <c r="Z273" s="77"/>
      <c r="AA273" s="72" t="s">
        <v>8</v>
      </c>
      <c r="AB273" s="77"/>
      <c r="AC273" s="79"/>
      <c r="AD273" s="54"/>
      <c r="AE273" s="54"/>
      <c r="AF273" s="54"/>
      <c r="AG273" s="54"/>
      <c r="AH273" s="54"/>
      <c r="AI273" s="38"/>
      <c r="AJ273" s="38"/>
      <c r="AK273" s="38"/>
      <c r="AL273" s="38"/>
      <c r="AM273" s="38"/>
      <c r="AN273" s="38"/>
      <c r="AO273" s="38"/>
      <c r="AP273" s="38"/>
      <c r="AQ273" s="38"/>
      <c r="AR273" s="38"/>
      <c r="AS273" s="38"/>
      <c r="AT273" s="38"/>
      <c r="AU273" s="38"/>
      <c r="AV273" s="38"/>
      <c r="AW273" s="38"/>
      <c r="AX273" s="38"/>
      <c r="AY273" s="38"/>
      <c r="AZ273" s="38"/>
      <c r="BA273" s="38"/>
      <c r="BB273" s="38"/>
      <c r="BC273" s="38"/>
    </row>
    <row r="274">
      <c r="A274" s="86">
        <v>12345.0</v>
      </c>
      <c r="B274" s="61">
        <v>45757.59020734954</v>
      </c>
      <c r="C274" s="68" t="s">
        <v>1111</v>
      </c>
      <c r="D274" s="63" t="s">
        <v>1112</v>
      </c>
      <c r="E274" s="68" t="s">
        <v>1113</v>
      </c>
      <c r="F274" s="87">
        <v>12345.0</v>
      </c>
      <c r="G274" s="62">
        <v>23.0</v>
      </c>
      <c r="H274" s="62">
        <v>10.0</v>
      </c>
      <c r="I274" s="62">
        <v>10.0</v>
      </c>
      <c r="J274" s="68" t="s">
        <v>1113</v>
      </c>
      <c r="K274" s="68" t="s">
        <v>1113</v>
      </c>
      <c r="L274" s="68" t="s">
        <v>401</v>
      </c>
      <c r="M274" s="68" t="s">
        <v>1113</v>
      </c>
      <c r="N274" s="62">
        <v>10.0</v>
      </c>
      <c r="O274" s="68" t="s">
        <v>197</v>
      </c>
      <c r="P274" s="66"/>
      <c r="Q274" s="66"/>
      <c r="R274" s="66"/>
      <c r="S274" s="66"/>
      <c r="T274" s="67" t="s">
        <v>1114</v>
      </c>
      <c r="U274" s="67" t="s">
        <v>1115</v>
      </c>
      <c r="V274" s="67" t="s">
        <v>1116</v>
      </c>
      <c r="W274" s="68" t="s">
        <v>1113</v>
      </c>
      <c r="X274" s="66"/>
      <c r="Y274" s="66"/>
      <c r="Z274" s="68" t="s">
        <v>600</v>
      </c>
      <c r="AA274" s="68" t="s">
        <v>8</v>
      </c>
      <c r="AB274" s="66"/>
      <c r="AC274" s="69"/>
      <c r="AD274" s="37"/>
      <c r="AE274" s="37"/>
      <c r="AF274" s="37"/>
      <c r="AG274" s="37"/>
      <c r="AH274" s="37"/>
      <c r="AI274" s="38"/>
      <c r="AJ274" s="38"/>
      <c r="AK274" s="38"/>
      <c r="AL274" s="38"/>
      <c r="AM274" s="38"/>
      <c r="AN274" s="38"/>
      <c r="AO274" s="38"/>
      <c r="AP274" s="38"/>
      <c r="AQ274" s="38"/>
      <c r="AR274" s="38"/>
      <c r="AS274" s="38"/>
      <c r="AT274" s="38"/>
      <c r="AU274" s="38"/>
      <c r="AV274" s="38"/>
      <c r="AW274" s="38"/>
      <c r="AX274" s="38"/>
      <c r="AY274" s="38"/>
      <c r="AZ274" s="38"/>
      <c r="BA274" s="38"/>
      <c r="BB274" s="38"/>
      <c r="BC274" s="38"/>
    </row>
    <row r="275">
      <c r="A275" s="88" t="s">
        <v>1117</v>
      </c>
      <c r="B275" s="71">
        <v>45758.207227997686</v>
      </c>
      <c r="C275" s="72" t="s">
        <v>1118</v>
      </c>
      <c r="D275" s="73" t="s">
        <v>1119</v>
      </c>
      <c r="E275" s="72" t="s">
        <v>1120</v>
      </c>
      <c r="F275" s="89" t="s">
        <v>1117</v>
      </c>
      <c r="G275" s="75">
        <v>120.0</v>
      </c>
      <c r="H275" s="76">
        <v>2.0</v>
      </c>
      <c r="I275" s="76">
        <v>1.0</v>
      </c>
      <c r="J275" s="76">
        <v>2.0</v>
      </c>
      <c r="K275" s="76">
        <v>1951.0</v>
      </c>
      <c r="L275" s="72" t="s">
        <v>197</v>
      </c>
      <c r="M275" s="72" t="s">
        <v>197</v>
      </c>
      <c r="N275" s="76">
        <v>10.0</v>
      </c>
      <c r="O275" s="72" t="s">
        <v>401</v>
      </c>
      <c r="P275" s="85">
        <v>1.0</v>
      </c>
      <c r="Q275" s="76">
        <v>10.0</v>
      </c>
      <c r="R275" s="76">
        <v>0.0</v>
      </c>
      <c r="S275" s="76">
        <v>10.0</v>
      </c>
      <c r="T275" s="77"/>
      <c r="U275" s="77"/>
      <c r="V275" s="78" t="s">
        <v>1121</v>
      </c>
      <c r="W275" s="77"/>
      <c r="X275" s="77"/>
      <c r="Y275" s="72" t="s">
        <v>401</v>
      </c>
      <c r="Z275" s="72" t="s">
        <v>1122</v>
      </c>
      <c r="AA275" s="76">
        <v>1.0</v>
      </c>
      <c r="AB275" s="77"/>
      <c r="AC275" s="79"/>
      <c r="AD275" s="54"/>
      <c r="AE275" s="54"/>
      <c r="AF275" s="54"/>
      <c r="AG275" s="54"/>
      <c r="AH275" s="54"/>
      <c r="AI275" s="38"/>
      <c r="AJ275" s="38"/>
      <c r="AK275" s="38"/>
      <c r="AL275" s="38"/>
      <c r="AM275" s="38"/>
      <c r="AN275" s="38"/>
      <c r="AO275" s="38"/>
      <c r="AP275" s="38"/>
      <c r="AQ275" s="38"/>
      <c r="AR275" s="38"/>
      <c r="AS275" s="38"/>
      <c r="AT275" s="38"/>
      <c r="AU275" s="38"/>
      <c r="AV275" s="38"/>
      <c r="AW275" s="38"/>
      <c r="AX275" s="38"/>
      <c r="AY275" s="38"/>
      <c r="AZ275" s="38"/>
      <c r="BA275" s="38"/>
      <c r="BB275" s="38"/>
      <c r="BC275" s="38"/>
    </row>
    <row r="276">
      <c r="A276" s="90" t="s">
        <v>1123</v>
      </c>
      <c r="B276" s="61">
        <v>45758.27708619213</v>
      </c>
      <c r="C276" s="68" t="s">
        <v>1124</v>
      </c>
      <c r="D276" s="63" t="s">
        <v>1125</v>
      </c>
      <c r="E276" s="68" t="s">
        <v>1126</v>
      </c>
      <c r="F276" s="87" t="s">
        <v>1123</v>
      </c>
      <c r="G276" s="62">
        <v>200.0</v>
      </c>
      <c r="H276" s="62">
        <v>8.0</v>
      </c>
      <c r="I276" s="62">
        <v>8.0</v>
      </c>
      <c r="J276" s="62">
        <v>0.0</v>
      </c>
      <c r="K276" s="62">
        <v>1900.0</v>
      </c>
      <c r="L276" s="68" t="s">
        <v>197</v>
      </c>
      <c r="M276" s="68" t="s">
        <v>1127</v>
      </c>
      <c r="N276" s="62">
        <v>8.0</v>
      </c>
      <c r="O276" s="68" t="s">
        <v>197</v>
      </c>
      <c r="P276" s="66"/>
      <c r="Q276" s="66"/>
      <c r="R276" s="66"/>
      <c r="S276" s="66"/>
      <c r="T276" s="67" t="s">
        <v>1128</v>
      </c>
      <c r="U276" s="67" t="s">
        <v>1129</v>
      </c>
      <c r="V276" s="67" t="s">
        <v>1130</v>
      </c>
      <c r="W276" s="66"/>
      <c r="X276" s="66"/>
      <c r="Y276" s="66"/>
      <c r="Z276" s="68" t="s">
        <v>1131</v>
      </c>
      <c r="AA276" s="62">
        <v>1.0</v>
      </c>
      <c r="AB276" s="66"/>
      <c r="AC276" s="69"/>
      <c r="AD276" s="37"/>
      <c r="AE276" s="37"/>
      <c r="AF276" s="37"/>
      <c r="AG276" s="37"/>
      <c r="AH276" s="37"/>
      <c r="AI276" s="38"/>
      <c r="AJ276" s="38"/>
      <c r="AK276" s="38"/>
      <c r="AL276" s="38"/>
      <c r="AM276" s="38"/>
      <c r="AN276" s="38"/>
      <c r="AO276" s="38"/>
      <c r="AP276" s="38"/>
      <c r="AQ276" s="38"/>
      <c r="AR276" s="38"/>
      <c r="AS276" s="38"/>
      <c r="AT276" s="38"/>
      <c r="AU276" s="38"/>
      <c r="AV276" s="38"/>
      <c r="AW276" s="38"/>
      <c r="AX276" s="38"/>
      <c r="AY276" s="38"/>
      <c r="AZ276" s="38"/>
      <c r="BA276" s="38"/>
      <c r="BB276" s="38"/>
      <c r="BC276" s="38"/>
    </row>
    <row r="277">
      <c r="A277" s="91" t="s">
        <v>1132</v>
      </c>
      <c r="B277" s="71">
        <v>45830.28673611111</v>
      </c>
      <c r="C277" s="72" t="s">
        <v>1090</v>
      </c>
      <c r="D277" s="76">
        <v>3.00948582E9</v>
      </c>
      <c r="E277" s="92" t="s">
        <v>1133</v>
      </c>
      <c r="F277" s="93" t="s">
        <v>1132</v>
      </c>
      <c r="G277" s="76">
        <v>180.0</v>
      </c>
      <c r="H277" s="76">
        <v>9.0</v>
      </c>
      <c r="I277" s="76">
        <v>9.0</v>
      </c>
      <c r="J277" s="76">
        <v>0.0</v>
      </c>
      <c r="K277" s="76">
        <v>0.0</v>
      </c>
      <c r="L277" s="72" t="s">
        <v>197</v>
      </c>
      <c r="M277" s="76">
        <v>0.0</v>
      </c>
      <c r="N277" s="76">
        <v>9.0</v>
      </c>
      <c r="O277" s="72" t="s">
        <v>401</v>
      </c>
      <c r="P277" s="85">
        <v>0.0</v>
      </c>
      <c r="Q277" s="76">
        <v>0.0</v>
      </c>
      <c r="R277" s="76">
        <v>0.0</v>
      </c>
      <c r="S277" s="76">
        <v>0.0</v>
      </c>
      <c r="T277" s="77"/>
      <c r="U277" s="77"/>
      <c r="V277" s="77"/>
      <c r="W277" s="77"/>
      <c r="X277" s="77"/>
      <c r="Y277" s="72" t="s">
        <v>401</v>
      </c>
      <c r="Z277" s="72" t="s">
        <v>1131</v>
      </c>
      <c r="AA277" s="76">
        <v>1.0</v>
      </c>
      <c r="AB277" s="77"/>
      <c r="AC277" s="79"/>
      <c r="AD277" s="54"/>
      <c r="AE277" s="54"/>
      <c r="AF277" s="54"/>
      <c r="AG277" s="54"/>
      <c r="AH277" s="54"/>
      <c r="AI277" s="38"/>
      <c r="AJ277" s="38"/>
      <c r="AK277" s="38"/>
      <c r="AL277" s="38"/>
      <c r="AM277" s="38"/>
      <c r="AN277" s="38"/>
      <c r="AO277" s="38"/>
      <c r="AP277" s="38"/>
      <c r="AQ277" s="38"/>
      <c r="AR277" s="38"/>
      <c r="AS277" s="38"/>
      <c r="AT277" s="38"/>
      <c r="AU277" s="38"/>
      <c r="AV277" s="38"/>
      <c r="AW277" s="38"/>
      <c r="AX277" s="38"/>
      <c r="AY277" s="38"/>
      <c r="AZ277" s="38"/>
      <c r="BA277" s="38"/>
      <c r="BB277" s="38"/>
      <c r="BC277" s="38"/>
    </row>
    <row r="278">
      <c r="A278" s="90" t="s">
        <v>1134</v>
      </c>
      <c r="B278" s="61">
        <v>45758.29171384259</v>
      </c>
      <c r="C278" s="68" t="s">
        <v>1124</v>
      </c>
      <c r="D278" s="63" t="s">
        <v>1125</v>
      </c>
      <c r="E278" s="68" t="s">
        <v>1135</v>
      </c>
      <c r="F278" s="87" t="s">
        <v>1134</v>
      </c>
      <c r="G278" s="94">
        <v>205.0</v>
      </c>
      <c r="H278" s="62">
        <v>9.0</v>
      </c>
      <c r="I278" s="62">
        <v>9.0</v>
      </c>
      <c r="J278" s="62">
        <v>0.0</v>
      </c>
      <c r="K278" s="62">
        <v>1957.0</v>
      </c>
      <c r="L278" s="68" t="s">
        <v>197</v>
      </c>
      <c r="M278" s="68" t="s">
        <v>197</v>
      </c>
      <c r="N278" s="62">
        <v>9.0</v>
      </c>
      <c r="O278" s="68" t="s">
        <v>401</v>
      </c>
      <c r="P278" s="95">
        <v>1.0</v>
      </c>
      <c r="Q278" s="62">
        <v>10.0</v>
      </c>
      <c r="R278" s="62">
        <v>0.0</v>
      </c>
      <c r="S278" s="62">
        <v>10.0</v>
      </c>
      <c r="T278" s="67" t="s">
        <v>1136</v>
      </c>
      <c r="U278" s="68" t="s">
        <v>1137</v>
      </c>
      <c r="V278" s="67" t="s">
        <v>1138</v>
      </c>
      <c r="W278" s="68" t="s">
        <v>197</v>
      </c>
      <c r="X278" s="66"/>
      <c r="Y278" s="68" t="s">
        <v>401</v>
      </c>
      <c r="Z278" s="68" t="s">
        <v>1131</v>
      </c>
      <c r="AA278" s="62">
        <v>1.0</v>
      </c>
      <c r="AB278" s="66"/>
      <c r="AC278" s="69"/>
      <c r="AD278" s="37"/>
      <c r="AE278" s="37"/>
      <c r="AF278" s="37"/>
      <c r="AG278" s="37"/>
      <c r="AH278" s="37"/>
      <c r="AI278" s="38"/>
      <c r="AJ278" s="38"/>
      <c r="AK278" s="38"/>
      <c r="AL278" s="38"/>
      <c r="AM278" s="38"/>
      <c r="AN278" s="38"/>
      <c r="AO278" s="38"/>
      <c r="AP278" s="38"/>
      <c r="AQ278" s="38"/>
      <c r="AR278" s="38"/>
      <c r="AS278" s="38"/>
      <c r="AT278" s="38"/>
      <c r="AU278" s="38"/>
      <c r="AV278" s="38"/>
      <c r="AW278" s="38"/>
      <c r="AX278" s="38"/>
      <c r="AY278" s="38"/>
      <c r="AZ278" s="38"/>
      <c r="BA278" s="38"/>
      <c r="BB278" s="38"/>
      <c r="BC278" s="38"/>
    </row>
    <row r="279">
      <c r="A279" s="88" t="s">
        <v>1139</v>
      </c>
      <c r="B279" s="71">
        <v>45758.29278894676</v>
      </c>
      <c r="C279" s="72" t="s">
        <v>1140</v>
      </c>
      <c r="D279" s="73" t="s">
        <v>1141</v>
      </c>
      <c r="E279" s="72" t="s">
        <v>1142</v>
      </c>
      <c r="F279" s="89" t="s">
        <v>1139</v>
      </c>
      <c r="G279" s="75">
        <v>2080.0</v>
      </c>
      <c r="H279" s="76">
        <v>4.0</v>
      </c>
      <c r="I279" s="76">
        <v>6.0</v>
      </c>
      <c r="J279" s="76">
        <v>2.0</v>
      </c>
      <c r="K279" s="76">
        <v>1925.0</v>
      </c>
      <c r="L279" s="72" t="s">
        <v>197</v>
      </c>
      <c r="M279" s="72" t="s">
        <v>197</v>
      </c>
      <c r="N279" s="76">
        <v>7.0</v>
      </c>
      <c r="O279" s="72" t="s">
        <v>197</v>
      </c>
      <c r="P279" s="77"/>
      <c r="Q279" s="77"/>
      <c r="R279" s="77"/>
      <c r="S279" s="77"/>
      <c r="T279" s="78" t="s">
        <v>1143</v>
      </c>
      <c r="U279" s="78" t="s">
        <v>1144</v>
      </c>
      <c r="V279" s="78" t="s">
        <v>1145</v>
      </c>
      <c r="W279" s="72" t="s">
        <v>197</v>
      </c>
      <c r="X279" s="77"/>
      <c r="Y279" s="77"/>
      <c r="Z279" s="72" t="s">
        <v>1146</v>
      </c>
      <c r="AA279" s="76">
        <v>1.0</v>
      </c>
      <c r="AB279" s="77"/>
      <c r="AC279" s="79"/>
      <c r="AD279" s="54"/>
      <c r="AE279" s="54"/>
      <c r="AF279" s="54"/>
      <c r="AG279" s="54"/>
      <c r="AH279" s="54"/>
      <c r="AI279" s="38"/>
      <c r="AJ279" s="38"/>
      <c r="AK279" s="38"/>
      <c r="AL279" s="38"/>
      <c r="AM279" s="38"/>
      <c r="AN279" s="38"/>
      <c r="AO279" s="38"/>
      <c r="AP279" s="38"/>
      <c r="AQ279" s="38"/>
      <c r="AR279" s="38"/>
      <c r="AS279" s="38"/>
      <c r="AT279" s="38"/>
      <c r="AU279" s="38"/>
      <c r="AV279" s="38"/>
      <c r="AW279" s="38"/>
      <c r="AX279" s="38"/>
      <c r="AY279" s="38"/>
      <c r="AZ279" s="38"/>
      <c r="BA279" s="38"/>
      <c r="BB279" s="38"/>
      <c r="BC279" s="38"/>
    </row>
    <row r="280">
      <c r="A280" s="90" t="s">
        <v>1147</v>
      </c>
      <c r="B280" s="61">
        <v>45758.32369863426</v>
      </c>
      <c r="C280" s="68" t="s">
        <v>1148</v>
      </c>
      <c r="D280" s="63" t="s">
        <v>1149</v>
      </c>
      <c r="E280" s="68" t="s">
        <v>1150</v>
      </c>
      <c r="F280" s="87" t="s">
        <v>1147</v>
      </c>
      <c r="G280" s="94">
        <v>143.0</v>
      </c>
      <c r="H280" s="62">
        <v>10.0</v>
      </c>
      <c r="I280" s="62">
        <v>10.0</v>
      </c>
      <c r="J280" s="62">
        <v>0.0</v>
      </c>
      <c r="K280" s="62">
        <v>1980.0</v>
      </c>
      <c r="L280" s="68" t="s">
        <v>197</v>
      </c>
      <c r="M280" s="68" t="s">
        <v>197</v>
      </c>
      <c r="N280" s="62">
        <v>10.0</v>
      </c>
      <c r="O280" s="68" t="s">
        <v>401</v>
      </c>
      <c r="P280" s="95">
        <v>1.0</v>
      </c>
      <c r="Q280" s="62">
        <v>10.0</v>
      </c>
      <c r="R280" s="62">
        <v>0.0</v>
      </c>
      <c r="S280" s="62">
        <v>10.0</v>
      </c>
      <c r="T280" s="67" t="s">
        <v>1151</v>
      </c>
      <c r="U280" s="67" t="s">
        <v>1152</v>
      </c>
      <c r="V280" s="67" t="s">
        <v>1153</v>
      </c>
      <c r="W280" s="68" t="s">
        <v>197</v>
      </c>
      <c r="X280" s="66"/>
      <c r="Y280" s="68" t="s">
        <v>401</v>
      </c>
      <c r="Z280" s="68" t="s">
        <v>1154</v>
      </c>
      <c r="AA280" s="62">
        <v>1.0</v>
      </c>
      <c r="AB280" s="66"/>
      <c r="AC280" s="69"/>
      <c r="AD280" s="37"/>
      <c r="AE280" s="37"/>
      <c r="AF280" s="37"/>
      <c r="AG280" s="37"/>
      <c r="AH280" s="37"/>
      <c r="AI280" s="38"/>
      <c r="AJ280" s="38"/>
      <c r="AK280" s="38"/>
      <c r="AL280" s="38"/>
      <c r="AM280" s="38"/>
      <c r="AN280" s="38"/>
      <c r="AO280" s="38"/>
      <c r="AP280" s="38"/>
      <c r="AQ280" s="38"/>
      <c r="AR280" s="38"/>
      <c r="AS280" s="38"/>
      <c r="AT280" s="38"/>
      <c r="AU280" s="38"/>
      <c r="AV280" s="38"/>
      <c r="AW280" s="38"/>
      <c r="AX280" s="38"/>
      <c r="AY280" s="38"/>
      <c r="AZ280" s="38"/>
      <c r="BA280" s="38"/>
      <c r="BB280" s="38"/>
      <c r="BC280" s="38"/>
    </row>
    <row r="281">
      <c r="A281" s="88" t="s">
        <v>1155</v>
      </c>
      <c r="B281" s="71">
        <v>45758.33148238426</v>
      </c>
      <c r="C281" s="72" t="s">
        <v>1156</v>
      </c>
      <c r="D281" s="73" t="s">
        <v>1157</v>
      </c>
      <c r="E281" s="72" t="s">
        <v>1158</v>
      </c>
      <c r="F281" s="89" t="s">
        <v>1155</v>
      </c>
      <c r="G281" s="75">
        <v>440.0</v>
      </c>
      <c r="H281" s="76">
        <v>9.0</v>
      </c>
      <c r="I281" s="76">
        <v>10.0</v>
      </c>
      <c r="J281" s="76">
        <v>0.0</v>
      </c>
      <c r="K281" s="73" t="s">
        <v>388</v>
      </c>
      <c r="L281" s="72" t="s">
        <v>197</v>
      </c>
      <c r="M281" s="72" t="s">
        <v>197</v>
      </c>
      <c r="N281" s="76">
        <v>8.0</v>
      </c>
      <c r="O281" s="72" t="s">
        <v>401</v>
      </c>
      <c r="P281" s="85">
        <v>0.9</v>
      </c>
      <c r="Q281" s="76">
        <v>9.0</v>
      </c>
      <c r="R281" s="76">
        <v>2.0</v>
      </c>
      <c r="S281" s="76">
        <v>9.0</v>
      </c>
      <c r="T281" s="78" t="s">
        <v>1159</v>
      </c>
      <c r="U281" s="78" t="s">
        <v>1160</v>
      </c>
      <c r="V281" s="78" t="s">
        <v>1161</v>
      </c>
      <c r="W281" s="77"/>
      <c r="X281" s="77"/>
      <c r="Y281" s="72" t="s">
        <v>401</v>
      </c>
      <c r="Z281" s="72" t="s">
        <v>1162</v>
      </c>
      <c r="AA281" s="76">
        <v>1.0</v>
      </c>
      <c r="AB281" s="77"/>
      <c r="AC281" s="79"/>
      <c r="AD281" s="54"/>
      <c r="AE281" s="54"/>
      <c r="AF281" s="54"/>
      <c r="AG281" s="54"/>
      <c r="AH281" s="54"/>
      <c r="AI281" s="38"/>
      <c r="AJ281" s="38"/>
      <c r="AK281" s="38"/>
      <c r="AL281" s="38"/>
      <c r="AM281" s="38"/>
      <c r="AN281" s="38"/>
      <c r="AO281" s="38"/>
      <c r="AP281" s="38"/>
      <c r="AQ281" s="38"/>
      <c r="AR281" s="38"/>
      <c r="AS281" s="38"/>
      <c r="AT281" s="38"/>
      <c r="AU281" s="38"/>
      <c r="AV281" s="38"/>
      <c r="AW281" s="38"/>
      <c r="AX281" s="38"/>
      <c r="AY281" s="38"/>
      <c r="AZ281" s="38"/>
      <c r="BA281" s="38"/>
      <c r="BB281" s="38"/>
      <c r="BC281" s="38"/>
    </row>
    <row r="282">
      <c r="A282" s="90" t="s">
        <v>1163</v>
      </c>
      <c r="B282" s="61">
        <v>45758.337581608794</v>
      </c>
      <c r="C282" s="68" t="s">
        <v>1164</v>
      </c>
      <c r="D282" s="63" t="s">
        <v>1165</v>
      </c>
      <c r="E282" s="68" t="s">
        <v>1166</v>
      </c>
      <c r="F282" s="87" t="s">
        <v>1163</v>
      </c>
      <c r="G282" s="62">
        <v>520.0</v>
      </c>
      <c r="H282" s="62">
        <v>10.0</v>
      </c>
      <c r="I282" s="62">
        <v>9.0</v>
      </c>
      <c r="J282" s="62">
        <v>1.0</v>
      </c>
      <c r="K282" s="62">
        <v>1950.0</v>
      </c>
      <c r="L282" s="68" t="s">
        <v>401</v>
      </c>
      <c r="M282" s="68" t="s">
        <v>1167</v>
      </c>
      <c r="N282" s="62">
        <v>7.0</v>
      </c>
      <c r="O282" s="68" t="s">
        <v>401</v>
      </c>
      <c r="P282" s="95">
        <v>0.9</v>
      </c>
      <c r="Q282" s="62">
        <v>9.0</v>
      </c>
      <c r="R282" s="62">
        <v>5.0</v>
      </c>
      <c r="S282" s="62">
        <v>9.0</v>
      </c>
      <c r="T282" s="67" t="s">
        <v>1168</v>
      </c>
      <c r="U282" s="67" t="s">
        <v>1169</v>
      </c>
      <c r="V282" s="67" t="s">
        <v>1170</v>
      </c>
      <c r="W282" s="66"/>
      <c r="X282" s="66"/>
      <c r="Y282" s="68" t="s">
        <v>401</v>
      </c>
      <c r="Z282" s="68" t="s">
        <v>1171</v>
      </c>
      <c r="AA282" s="62">
        <v>1.0</v>
      </c>
      <c r="AB282" s="66"/>
      <c r="AC282" s="69"/>
      <c r="AD282" s="37"/>
      <c r="AE282" s="37"/>
      <c r="AF282" s="37"/>
      <c r="AG282" s="37"/>
      <c r="AH282" s="37"/>
      <c r="AI282" s="38"/>
      <c r="AJ282" s="38"/>
      <c r="AK282" s="38"/>
      <c r="AL282" s="38"/>
      <c r="AM282" s="38"/>
      <c r="AN282" s="38"/>
      <c r="AO282" s="38"/>
      <c r="AP282" s="38"/>
      <c r="AQ282" s="38"/>
      <c r="AR282" s="38"/>
      <c r="AS282" s="38"/>
      <c r="AT282" s="38"/>
      <c r="AU282" s="38"/>
      <c r="AV282" s="38"/>
      <c r="AW282" s="38"/>
      <c r="AX282" s="38"/>
      <c r="AY282" s="38"/>
      <c r="AZ282" s="38"/>
      <c r="BA282" s="38"/>
      <c r="BB282" s="38"/>
      <c r="BC282" s="38"/>
    </row>
    <row r="283">
      <c r="A283" s="88" t="s">
        <v>1172</v>
      </c>
      <c r="B283" s="71">
        <v>45758.33779734954</v>
      </c>
      <c r="C283" s="72" t="s">
        <v>671</v>
      </c>
      <c r="D283" s="73" t="s">
        <v>672</v>
      </c>
      <c r="E283" s="72" t="s">
        <v>1173</v>
      </c>
      <c r="F283" s="89" t="s">
        <v>1172</v>
      </c>
      <c r="G283" s="75">
        <v>665.0</v>
      </c>
      <c r="H283" s="76">
        <v>8.0</v>
      </c>
      <c r="I283" s="76">
        <v>9.0</v>
      </c>
      <c r="J283" s="76">
        <v>0.0</v>
      </c>
      <c r="K283" s="76">
        <v>1955.0</v>
      </c>
      <c r="L283" s="72" t="s">
        <v>401</v>
      </c>
      <c r="M283" s="76">
        <v>0.0</v>
      </c>
      <c r="N283" s="76">
        <v>9.0</v>
      </c>
      <c r="O283" s="72" t="s">
        <v>197</v>
      </c>
      <c r="P283" s="77"/>
      <c r="Q283" s="77"/>
      <c r="R283" s="77"/>
      <c r="S283" s="77"/>
      <c r="T283" s="78" t="s">
        <v>1174</v>
      </c>
      <c r="U283" s="78" t="s">
        <v>1175</v>
      </c>
      <c r="V283" s="78" t="s">
        <v>1176</v>
      </c>
      <c r="W283" s="72" t="s">
        <v>1177</v>
      </c>
      <c r="X283" s="77"/>
      <c r="Y283" s="77"/>
      <c r="Z283" s="72" t="s">
        <v>676</v>
      </c>
      <c r="AA283" s="76">
        <v>1.0</v>
      </c>
      <c r="AB283" s="77"/>
      <c r="AC283" s="79"/>
      <c r="AD283" s="54"/>
      <c r="AE283" s="54"/>
      <c r="AF283" s="54"/>
      <c r="AG283" s="54"/>
      <c r="AH283" s="54"/>
      <c r="AI283" s="38"/>
      <c r="AJ283" s="38"/>
      <c r="AK283" s="38"/>
      <c r="AL283" s="38"/>
      <c r="AM283" s="38"/>
      <c r="AN283" s="38"/>
      <c r="AO283" s="38"/>
      <c r="AP283" s="38"/>
      <c r="AQ283" s="38"/>
      <c r="AR283" s="38"/>
      <c r="AS283" s="38"/>
      <c r="AT283" s="38"/>
      <c r="AU283" s="38"/>
      <c r="AV283" s="38"/>
      <c r="AW283" s="38"/>
      <c r="AX283" s="38"/>
      <c r="AY283" s="38"/>
      <c r="AZ283" s="38"/>
      <c r="BA283" s="38"/>
      <c r="BB283" s="38"/>
      <c r="BC283" s="38"/>
    </row>
    <row r="284">
      <c r="A284" s="90" t="s">
        <v>1178</v>
      </c>
      <c r="B284" s="61">
        <v>45758.35824976852</v>
      </c>
      <c r="C284" s="68" t="s">
        <v>1179</v>
      </c>
      <c r="D284" s="63" t="s">
        <v>1180</v>
      </c>
      <c r="E284" s="68" t="s">
        <v>1181</v>
      </c>
      <c r="F284" s="87" t="s">
        <v>1178</v>
      </c>
      <c r="G284" s="94">
        <v>466.0</v>
      </c>
      <c r="H284" s="62">
        <v>4.0</v>
      </c>
      <c r="I284" s="62">
        <v>7.0</v>
      </c>
      <c r="J284" s="62">
        <v>2.0</v>
      </c>
      <c r="K284" s="62">
        <v>1955.0</v>
      </c>
      <c r="L284" s="68" t="s">
        <v>197</v>
      </c>
      <c r="M284" s="68" t="s">
        <v>197</v>
      </c>
      <c r="N284" s="62">
        <v>7.0</v>
      </c>
      <c r="O284" s="68" t="s">
        <v>401</v>
      </c>
      <c r="P284" s="95">
        <v>1.0</v>
      </c>
      <c r="Q284" s="62">
        <v>9.0</v>
      </c>
      <c r="R284" s="62">
        <v>1.0</v>
      </c>
      <c r="S284" s="62">
        <v>9.0</v>
      </c>
      <c r="T284" s="67" t="s">
        <v>1182</v>
      </c>
      <c r="U284" s="67" t="s">
        <v>1183</v>
      </c>
      <c r="V284" s="67" t="s">
        <v>1184</v>
      </c>
      <c r="W284" s="66"/>
      <c r="X284" s="66"/>
      <c r="Y284" s="68" t="s">
        <v>401</v>
      </c>
      <c r="Z284" s="68" t="s">
        <v>1185</v>
      </c>
      <c r="AA284" s="62">
        <v>1.0</v>
      </c>
      <c r="AB284" s="66"/>
      <c r="AC284" s="69"/>
      <c r="AD284" s="37"/>
      <c r="AE284" s="37"/>
      <c r="AF284" s="37"/>
      <c r="AG284" s="37"/>
      <c r="AH284" s="37"/>
      <c r="AI284" s="38"/>
      <c r="AJ284" s="38"/>
      <c r="AK284" s="38"/>
      <c r="AL284" s="38"/>
      <c r="AM284" s="38"/>
      <c r="AN284" s="38"/>
      <c r="AO284" s="38"/>
      <c r="AP284" s="38"/>
      <c r="AQ284" s="38"/>
      <c r="AR284" s="38"/>
      <c r="AS284" s="38"/>
      <c r="AT284" s="38"/>
      <c r="AU284" s="38"/>
      <c r="AV284" s="38"/>
      <c r="AW284" s="38"/>
      <c r="AX284" s="38"/>
      <c r="AY284" s="38"/>
      <c r="AZ284" s="38"/>
      <c r="BA284" s="38"/>
      <c r="BB284" s="38"/>
      <c r="BC284" s="38"/>
    </row>
    <row r="285">
      <c r="A285" s="88" t="s">
        <v>1186</v>
      </c>
      <c r="B285" s="71">
        <v>45758.3610125</v>
      </c>
      <c r="C285" s="72" t="s">
        <v>1187</v>
      </c>
      <c r="D285" s="73" t="s">
        <v>1188</v>
      </c>
      <c r="E285" s="72" t="s">
        <v>1189</v>
      </c>
      <c r="F285" s="89" t="s">
        <v>1186</v>
      </c>
      <c r="G285" s="75">
        <v>190.0</v>
      </c>
      <c r="H285" s="76">
        <v>8.0</v>
      </c>
      <c r="I285" s="76">
        <v>8.0</v>
      </c>
      <c r="J285" s="76">
        <v>0.0</v>
      </c>
      <c r="K285" s="76">
        <v>2000.0</v>
      </c>
      <c r="L285" s="72" t="s">
        <v>197</v>
      </c>
      <c r="M285" s="72" t="s">
        <v>197</v>
      </c>
      <c r="N285" s="76">
        <v>10.0</v>
      </c>
      <c r="O285" s="72" t="s">
        <v>401</v>
      </c>
      <c r="P285" s="85">
        <v>0.2</v>
      </c>
      <c r="Q285" s="76">
        <v>2.0</v>
      </c>
      <c r="R285" s="76">
        <v>8.0</v>
      </c>
      <c r="S285" s="76">
        <v>2.0</v>
      </c>
      <c r="T285" s="72" t="s">
        <v>1190</v>
      </c>
      <c r="U285" s="72" t="s">
        <v>1191</v>
      </c>
      <c r="V285" s="72" t="s">
        <v>1192</v>
      </c>
      <c r="W285" s="72" t="s">
        <v>197</v>
      </c>
      <c r="X285" s="77"/>
      <c r="Y285" s="72" t="s">
        <v>401</v>
      </c>
      <c r="Z285" s="72" t="s">
        <v>1193</v>
      </c>
      <c r="AA285" s="76">
        <v>1.0</v>
      </c>
      <c r="AB285" s="77"/>
      <c r="AC285" s="79"/>
      <c r="AD285" s="54"/>
      <c r="AE285" s="54"/>
      <c r="AF285" s="54"/>
      <c r="AG285" s="54"/>
      <c r="AH285" s="54"/>
      <c r="AI285" s="38"/>
      <c r="AJ285" s="38"/>
      <c r="AK285" s="38"/>
      <c r="AL285" s="38"/>
      <c r="AM285" s="38"/>
      <c r="AN285" s="38"/>
      <c r="AO285" s="38"/>
      <c r="AP285" s="38"/>
      <c r="AQ285" s="38"/>
      <c r="AR285" s="38"/>
      <c r="AS285" s="38"/>
      <c r="AT285" s="38"/>
      <c r="AU285" s="38"/>
      <c r="AV285" s="38"/>
      <c r="AW285" s="38"/>
      <c r="AX285" s="38"/>
      <c r="AY285" s="38"/>
      <c r="AZ285" s="38"/>
      <c r="BA285" s="38"/>
      <c r="BB285" s="38"/>
      <c r="BC285" s="38"/>
    </row>
    <row r="286">
      <c r="A286" s="90" t="s">
        <v>1194</v>
      </c>
      <c r="B286" s="61">
        <v>45758.37217475694</v>
      </c>
      <c r="C286" s="68" t="s">
        <v>1195</v>
      </c>
      <c r="D286" s="63" t="s">
        <v>1196</v>
      </c>
      <c r="E286" s="68" t="s">
        <v>1197</v>
      </c>
      <c r="F286" s="87" t="s">
        <v>1194</v>
      </c>
      <c r="G286" s="62">
        <v>93.0</v>
      </c>
      <c r="H286" s="62">
        <v>7.0</v>
      </c>
      <c r="I286" s="62">
        <v>7.0</v>
      </c>
      <c r="J286" s="62">
        <v>0.0</v>
      </c>
      <c r="K286" s="62">
        <v>1990.0</v>
      </c>
      <c r="L286" s="68" t="s">
        <v>197</v>
      </c>
      <c r="M286" s="68" t="s">
        <v>197</v>
      </c>
      <c r="N286" s="62">
        <v>9.0</v>
      </c>
      <c r="O286" s="68" t="s">
        <v>401</v>
      </c>
      <c r="P286" s="95">
        <v>0.0</v>
      </c>
      <c r="Q286" s="62">
        <v>0.0</v>
      </c>
      <c r="R286" s="62">
        <v>10.0</v>
      </c>
      <c r="S286" s="62">
        <v>10.0</v>
      </c>
      <c r="T286" s="67" t="s">
        <v>1198</v>
      </c>
      <c r="U286" s="68" t="s">
        <v>1199</v>
      </c>
      <c r="V286" s="67" t="s">
        <v>1200</v>
      </c>
      <c r="W286" s="66"/>
      <c r="X286" s="66"/>
      <c r="Y286" s="68" t="s">
        <v>401</v>
      </c>
      <c r="Z286" s="68" t="s">
        <v>1201</v>
      </c>
      <c r="AA286" s="62">
        <v>1.0</v>
      </c>
      <c r="AB286" s="66"/>
      <c r="AC286" s="69"/>
      <c r="AD286" s="37"/>
      <c r="AE286" s="37"/>
      <c r="AF286" s="37"/>
      <c r="AG286" s="37"/>
      <c r="AH286" s="37"/>
      <c r="AI286" s="38"/>
      <c r="AJ286" s="38"/>
      <c r="AK286" s="38"/>
      <c r="AL286" s="38"/>
      <c r="AM286" s="38"/>
      <c r="AN286" s="38"/>
      <c r="AO286" s="38"/>
      <c r="AP286" s="38"/>
      <c r="AQ286" s="38"/>
      <c r="AR286" s="38"/>
      <c r="AS286" s="38"/>
      <c r="AT286" s="38"/>
      <c r="AU286" s="38"/>
      <c r="AV286" s="38"/>
      <c r="AW286" s="38"/>
      <c r="AX286" s="38"/>
      <c r="AY286" s="38"/>
      <c r="AZ286" s="38"/>
      <c r="BA286" s="38"/>
      <c r="BB286" s="38"/>
      <c r="BC286" s="38"/>
    </row>
    <row r="287">
      <c r="A287" s="88" t="s">
        <v>1202</v>
      </c>
      <c r="B287" s="71">
        <v>45758.38760018519</v>
      </c>
      <c r="C287" s="72" t="s">
        <v>1203</v>
      </c>
      <c r="D287" s="73" t="s">
        <v>1204</v>
      </c>
      <c r="E287" s="72" t="s">
        <v>1205</v>
      </c>
      <c r="F287" s="89" t="s">
        <v>1202</v>
      </c>
      <c r="G287" s="76">
        <v>432.0</v>
      </c>
      <c r="H287" s="76">
        <v>4.0</v>
      </c>
      <c r="I287" s="76">
        <v>6.0</v>
      </c>
      <c r="J287" s="76">
        <v>2.0</v>
      </c>
      <c r="K287" s="76">
        <v>1937.0</v>
      </c>
      <c r="L287" s="72" t="s">
        <v>197</v>
      </c>
      <c r="M287" s="72" t="s">
        <v>197</v>
      </c>
      <c r="N287" s="76">
        <v>7.0</v>
      </c>
      <c r="O287" s="72" t="s">
        <v>401</v>
      </c>
      <c r="P287" s="85">
        <v>0.0</v>
      </c>
      <c r="Q287" s="76">
        <v>0.0</v>
      </c>
      <c r="R287" s="76">
        <v>10.0</v>
      </c>
      <c r="S287" s="76">
        <v>0.0</v>
      </c>
      <c r="T287" s="78" t="s">
        <v>1206</v>
      </c>
      <c r="U287" s="78" t="s">
        <v>1207</v>
      </c>
      <c r="V287" s="78" t="s">
        <v>1208</v>
      </c>
      <c r="W287" s="72" t="s">
        <v>1209</v>
      </c>
      <c r="X287" s="77"/>
      <c r="Y287" s="72" t="s">
        <v>401</v>
      </c>
      <c r="Z287" s="72" t="s">
        <v>1210</v>
      </c>
      <c r="AA287" s="76">
        <v>1.0</v>
      </c>
      <c r="AB287" s="77"/>
      <c r="AC287" s="79"/>
      <c r="AD287" s="54"/>
      <c r="AE287" s="54"/>
      <c r="AF287" s="54"/>
      <c r="AG287" s="54"/>
      <c r="AH287" s="54"/>
      <c r="AI287" s="38"/>
      <c r="AJ287" s="38"/>
      <c r="AK287" s="38"/>
      <c r="AL287" s="38"/>
      <c r="AM287" s="38"/>
      <c r="AN287" s="38"/>
      <c r="AO287" s="38"/>
      <c r="AP287" s="38"/>
      <c r="AQ287" s="38"/>
      <c r="AR287" s="38"/>
      <c r="AS287" s="38"/>
      <c r="AT287" s="38"/>
      <c r="AU287" s="38"/>
      <c r="AV287" s="38"/>
      <c r="AW287" s="38"/>
      <c r="AX287" s="38"/>
      <c r="AY287" s="38"/>
      <c r="AZ287" s="38"/>
      <c r="BA287" s="38"/>
      <c r="BB287" s="38"/>
      <c r="BC287" s="38"/>
    </row>
    <row r="288">
      <c r="A288" s="90" t="s">
        <v>1211</v>
      </c>
      <c r="B288" s="61">
        <v>45758.39980881945</v>
      </c>
      <c r="C288" s="68" t="s">
        <v>1212</v>
      </c>
      <c r="D288" s="63" t="s">
        <v>1213</v>
      </c>
      <c r="E288" s="62" t="s">
        <v>1214</v>
      </c>
      <c r="F288" s="87" t="s">
        <v>1211</v>
      </c>
      <c r="G288" s="62">
        <v>230.0</v>
      </c>
      <c r="H288" s="62">
        <v>0.0</v>
      </c>
      <c r="I288" s="62">
        <v>0.0</v>
      </c>
      <c r="J288" s="62" t="s">
        <v>1215</v>
      </c>
      <c r="K288" s="62">
        <v>2003.0</v>
      </c>
      <c r="L288" s="68" t="s">
        <v>197</v>
      </c>
      <c r="M288" s="62" t="s">
        <v>799</v>
      </c>
      <c r="N288" s="62">
        <v>10.0</v>
      </c>
      <c r="O288" s="68" t="s">
        <v>197</v>
      </c>
      <c r="P288" s="66"/>
      <c r="Q288" s="66"/>
      <c r="R288" s="66"/>
      <c r="S288" s="66"/>
      <c r="T288" s="68" t="s">
        <v>1216</v>
      </c>
      <c r="U288" s="68" t="s">
        <v>1217</v>
      </c>
      <c r="V288" s="67" t="s">
        <v>1218</v>
      </c>
      <c r="W288" s="62" t="s">
        <v>799</v>
      </c>
      <c r="X288" s="66"/>
      <c r="Y288" s="66"/>
      <c r="Z288" s="68" t="s">
        <v>1219</v>
      </c>
      <c r="AA288" s="62">
        <v>1.0</v>
      </c>
      <c r="AB288" s="66"/>
      <c r="AC288" s="69"/>
      <c r="AD288" s="37"/>
      <c r="AE288" s="37"/>
      <c r="AF288" s="37"/>
      <c r="AG288" s="37"/>
      <c r="AH288" s="37"/>
      <c r="AI288" s="38"/>
      <c r="AJ288" s="38"/>
      <c r="AK288" s="38"/>
      <c r="AL288" s="38"/>
      <c r="AM288" s="38"/>
      <c r="AN288" s="38"/>
      <c r="AO288" s="38"/>
      <c r="AP288" s="38"/>
      <c r="AQ288" s="38"/>
      <c r="AR288" s="38"/>
      <c r="AS288" s="38"/>
      <c r="AT288" s="38"/>
      <c r="AU288" s="38"/>
      <c r="AV288" s="38"/>
      <c r="AW288" s="38"/>
      <c r="AX288" s="38"/>
      <c r="AY288" s="38"/>
      <c r="AZ288" s="38"/>
      <c r="BA288" s="38"/>
      <c r="BB288" s="38"/>
      <c r="BC288" s="38"/>
    </row>
    <row r="289">
      <c r="A289" s="83" t="s">
        <v>1220</v>
      </c>
      <c r="B289" s="71">
        <v>45758.42763039352</v>
      </c>
      <c r="C289" s="72" t="s">
        <v>1221</v>
      </c>
      <c r="D289" s="73" t="s">
        <v>1222</v>
      </c>
      <c r="E289" s="72" t="s">
        <v>1223</v>
      </c>
      <c r="F289" s="84" t="s">
        <v>1220</v>
      </c>
      <c r="G289" s="76">
        <v>350.0</v>
      </c>
      <c r="H289" s="76">
        <v>9.0</v>
      </c>
      <c r="I289" s="76">
        <v>8.0</v>
      </c>
      <c r="J289" s="76">
        <v>0.0</v>
      </c>
      <c r="K289" s="76">
        <v>1925.0</v>
      </c>
      <c r="L289" s="72" t="s">
        <v>197</v>
      </c>
      <c r="M289" s="72" t="s">
        <v>1224</v>
      </c>
      <c r="N289" s="76">
        <v>8.0</v>
      </c>
      <c r="O289" s="72" t="s">
        <v>401</v>
      </c>
      <c r="P289" s="85">
        <v>0.8</v>
      </c>
      <c r="Q289" s="76">
        <v>10.0</v>
      </c>
      <c r="R289" s="76">
        <v>3.0</v>
      </c>
      <c r="S289" s="76">
        <v>9.0</v>
      </c>
      <c r="T289" s="96" t="s">
        <v>1225</v>
      </c>
      <c r="U289" s="72" t="s">
        <v>1226</v>
      </c>
      <c r="V289" s="78" t="s">
        <v>1227</v>
      </c>
      <c r="W289" s="72" t="s">
        <v>1228</v>
      </c>
      <c r="X289" s="77"/>
      <c r="Y289" s="72" t="s">
        <v>401</v>
      </c>
      <c r="Z289" s="72" t="s">
        <v>1229</v>
      </c>
      <c r="AA289" s="76">
        <v>1.0</v>
      </c>
      <c r="AB289" s="77"/>
      <c r="AC289" s="79"/>
      <c r="AD289" s="54"/>
      <c r="AE289" s="54"/>
      <c r="AF289" s="54"/>
      <c r="AG289" s="54"/>
      <c r="AH289" s="54"/>
      <c r="AI289" s="38"/>
      <c r="AJ289" s="38"/>
      <c r="AK289" s="38"/>
      <c r="AL289" s="38"/>
      <c r="AM289" s="38"/>
      <c r="AN289" s="38"/>
      <c r="AO289" s="38"/>
      <c r="AP289" s="38"/>
      <c r="AQ289" s="38"/>
      <c r="AR289" s="38"/>
      <c r="AS289" s="38"/>
      <c r="AT289" s="38"/>
      <c r="AU289" s="38"/>
      <c r="AV289" s="38"/>
      <c r="AW289" s="38"/>
      <c r="AX289" s="38"/>
      <c r="AY289" s="38"/>
      <c r="AZ289" s="38"/>
      <c r="BA289" s="38"/>
      <c r="BB289" s="38"/>
      <c r="BC289" s="38"/>
    </row>
    <row r="290">
      <c r="A290" s="86">
        <v>12345.0</v>
      </c>
      <c r="B290" s="61">
        <v>45758.4294015625</v>
      </c>
      <c r="C290" s="68" t="s">
        <v>1090</v>
      </c>
      <c r="D290" s="62">
        <v>3.0948582E8</v>
      </c>
      <c r="E290" s="68" t="s">
        <v>1230</v>
      </c>
      <c r="F290" s="87">
        <v>12345.0</v>
      </c>
      <c r="G290" s="62">
        <v>120.0</v>
      </c>
      <c r="H290" s="62">
        <v>5.0</v>
      </c>
      <c r="I290" s="62">
        <v>6.0</v>
      </c>
      <c r="J290" s="62">
        <v>0.0</v>
      </c>
      <c r="K290" s="63" t="s">
        <v>388</v>
      </c>
      <c r="L290" s="68" t="s">
        <v>197</v>
      </c>
      <c r="M290" s="68" t="s">
        <v>1231</v>
      </c>
      <c r="N290" s="62">
        <v>7.0</v>
      </c>
      <c r="O290" s="68" t="s">
        <v>197</v>
      </c>
      <c r="P290" s="66"/>
      <c r="Q290" s="66"/>
      <c r="R290" s="66"/>
      <c r="S290" s="66"/>
      <c r="T290" s="67" t="s">
        <v>1232</v>
      </c>
      <c r="U290" s="67" t="s">
        <v>1233</v>
      </c>
      <c r="V290" s="67" t="s">
        <v>1234</v>
      </c>
      <c r="W290" s="66"/>
      <c r="X290" s="66"/>
      <c r="Y290" s="66"/>
      <c r="Z290" s="68" t="s">
        <v>1094</v>
      </c>
      <c r="AA290" s="68" t="s">
        <v>8</v>
      </c>
      <c r="AB290" s="66"/>
      <c r="AC290" s="69"/>
      <c r="AD290" s="37"/>
      <c r="AE290" s="37"/>
      <c r="AF290" s="37"/>
      <c r="AG290" s="37"/>
      <c r="AH290" s="37"/>
      <c r="AI290" s="38"/>
      <c r="AJ290" s="38"/>
      <c r="AK290" s="38"/>
      <c r="AL290" s="38"/>
      <c r="AM290" s="38"/>
      <c r="AN290" s="38"/>
      <c r="AO290" s="38"/>
      <c r="AP290" s="38"/>
      <c r="AQ290" s="38"/>
      <c r="AR290" s="38"/>
      <c r="AS290" s="38"/>
      <c r="AT290" s="38"/>
      <c r="AU290" s="38"/>
      <c r="AV290" s="38"/>
      <c r="AW290" s="38"/>
      <c r="AX290" s="38"/>
      <c r="AY290" s="38"/>
      <c r="AZ290" s="38"/>
      <c r="BA290" s="38"/>
      <c r="BB290" s="38"/>
      <c r="BC290" s="38"/>
    </row>
    <row r="291">
      <c r="A291" s="88" t="s">
        <v>1113</v>
      </c>
      <c r="B291" s="71">
        <v>45758.435905</v>
      </c>
      <c r="C291" s="72" t="s">
        <v>1113</v>
      </c>
      <c r="D291" s="72" t="s">
        <v>1113</v>
      </c>
      <c r="E291" s="72" t="s">
        <v>1113</v>
      </c>
      <c r="F291" s="89" t="s">
        <v>1113</v>
      </c>
      <c r="G291" s="72" t="s">
        <v>1113</v>
      </c>
      <c r="H291" s="76">
        <v>10.0</v>
      </c>
      <c r="I291" s="76">
        <v>10.0</v>
      </c>
      <c r="J291" s="72" t="s">
        <v>1113</v>
      </c>
      <c r="K291" s="72" t="s">
        <v>1113</v>
      </c>
      <c r="L291" s="72" t="s">
        <v>197</v>
      </c>
      <c r="M291" s="72" t="s">
        <v>1113</v>
      </c>
      <c r="N291" s="76">
        <v>10.0</v>
      </c>
      <c r="O291" s="72" t="s">
        <v>401</v>
      </c>
      <c r="P291" s="85">
        <v>0.7</v>
      </c>
      <c r="Q291" s="76">
        <v>10.0</v>
      </c>
      <c r="R291" s="76">
        <v>10.0</v>
      </c>
      <c r="S291" s="76">
        <v>10.0</v>
      </c>
      <c r="T291" s="78" t="s">
        <v>1235</v>
      </c>
      <c r="U291" s="78" t="s">
        <v>1236</v>
      </c>
      <c r="V291" s="78" t="s">
        <v>1237</v>
      </c>
      <c r="W291" s="72" t="s">
        <v>1113</v>
      </c>
      <c r="X291" s="77"/>
      <c r="Y291" s="72" t="s">
        <v>401</v>
      </c>
      <c r="Z291" s="72" t="s">
        <v>600</v>
      </c>
      <c r="AA291" s="72" t="s">
        <v>8</v>
      </c>
      <c r="AB291" s="77"/>
      <c r="AC291" s="79"/>
      <c r="AD291" s="54"/>
      <c r="AE291" s="54"/>
      <c r="AF291" s="54"/>
      <c r="AG291" s="54"/>
      <c r="AH291" s="54"/>
      <c r="AI291" s="38"/>
      <c r="AJ291" s="38"/>
      <c r="AK291" s="38"/>
      <c r="AL291" s="38"/>
      <c r="AM291" s="38"/>
      <c r="AN291" s="38"/>
      <c r="AO291" s="38"/>
      <c r="AP291" s="38"/>
      <c r="AQ291" s="38"/>
      <c r="AR291" s="38"/>
      <c r="AS291" s="38"/>
      <c r="AT291" s="38"/>
      <c r="AU291" s="38"/>
      <c r="AV291" s="38"/>
      <c r="AW291" s="38"/>
      <c r="AX291" s="38"/>
      <c r="AY291" s="38"/>
      <c r="AZ291" s="38"/>
      <c r="BA291" s="38"/>
      <c r="BB291" s="38"/>
      <c r="BC291" s="38"/>
    </row>
    <row r="292">
      <c r="A292" s="90" t="s">
        <v>1238</v>
      </c>
      <c r="B292" s="61">
        <v>45758.437214571764</v>
      </c>
      <c r="C292" s="68" t="s">
        <v>1239</v>
      </c>
      <c r="D292" s="63" t="s">
        <v>1240</v>
      </c>
      <c r="E292" s="68" t="s">
        <v>1241</v>
      </c>
      <c r="F292" s="87" t="s">
        <v>1238</v>
      </c>
      <c r="G292" s="94">
        <v>390.0</v>
      </c>
      <c r="H292" s="62">
        <v>8.0</v>
      </c>
      <c r="I292" s="62">
        <v>8.0</v>
      </c>
      <c r="J292" s="63" t="s">
        <v>1242</v>
      </c>
      <c r="K292" s="68" t="s">
        <v>1243</v>
      </c>
      <c r="L292" s="68" t="s">
        <v>197</v>
      </c>
      <c r="M292" s="68" t="s">
        <v>197</v>
      </c>
      <c r="N292" s="62">
        <v>9.0</v>
      </c>
      <c r="O292" s="68" t="s">
        <v>197</v>
      </c>
      <c r="P292" s="66"/>
      <c r="Q292" s="66"/>
      <c r="R292" s="66"/>
      <c r="S292" s="66"/>
      <c r="T292" s="67" t="s">
        <v>1244</v>
      </c>
      <c r="U292" s="67" t="s">
        <v>1245</v>
      </c>
      <c r="V292" s="67" t="s">
        <v>1246</v>
      </c>
      <c r="W292" s="66"/>
      <c r="X292" s="66"/>
      <c r="Y292" s="66"/>
      <c r="Z292" s="68" t="s">
        <v>1247</v>
      </c>
      <c r="AA292" s="62">
        <v>1.0</v>
      </c>
      <c r="AB292" s="66"/>
      <c r="AC292" s="69"/>
      <c r="AD292" s="37"/>
      <c r="AE292" s="37"/>
      <c r="AF292" s="37"/>
      <c r="AG292" s="37"/>
      <c r="AH292" s="37"/>
      <c r="AI292" s="38"/>
      <c r="AJ292" s="38"/>
      <c r="AK292" s="38"/>
      <c r="AL292" s="38"/>
      <c r="AM292" s="38"/>
      <c r="AN292" s="38"/>
      <c r="AO292" s="38"/>
      <c r="AP292" s="38"/>
      <c r="AQ292" s="38"/>
      <c r="AR292" s="38"/>
      <c r="AS292" s="38"/>
      <c r="AT292" s="38"/>
      <c r="AU292" s="38"/>
      <c r="AV292" s="38"/>
      <c r="AW292" s="38"/>
      <c r="AX292" s="38"/>
      <c r="AY292" s="38"/>
      <c r="AZ292" s="38"/>
      <c r="BA292" s="38"/>
      <c r="BB292" s="38"/>
      <c r="BC292" s="38"/>
    </row>
    <row r="293">
      <c r="A293" s="88" t="s">
        <v>1248</v>
      </c>
      <c r="B293" s="71">
        <v>45758.43899299769</v>
      </c>
      <c r="C293" s="72" t="s">
        <v>1249</v>
      </c>
      <c r="D293" s="73" t="s">
        <v>1250</v>
      </c>
      <c r="E293" s="72" t="s">
        <v>1251</v>
      </c>
      <c r="F293" s="89" t="s">
        <v>1248</v>
      </c>
      <c r="G293" s="75">
        <v>140.0</v>
      </c>
      <c r="H293" s="76">
        <v>8.0</v>
      </c>
      <c r="I293" s="76">
        <v>8.0</v>
      </c>
      <c r="J293" s="76">
        <v>0.0</v>
      </c>
      <c r="K293" s="76">
        <v>1938.0</v>
      </c>
      <c r="L293" s="72" t="s">
        <v>197</v>
      </c>
      <c r="M293" s="72" t="s">
        <v>1252</v>
      </c>
      <c r="N293" s="76">
        <v>8.0</v>
      </c>
      <c r="O293" s="72" t="s">
        <v>401</v>
      </c>
      <c r="P293" s="85">
        <v>0.8</v>
      </c>
      <c r="Q293" s="76">
        <v>8.0</v>
      </c>
      <c r="R293" s="76">
        <v>4.0</v>
      </c>
      <c r="S293" s="76">
        <v>7.0</v>
      </c>
      <c r="T293" s="72" t="s">
        <v>1253</v>
      </c>
      <c r="U293" s="72" t="s">
        <v>1254</v>
      </c>
      <c r="V293" s="78" t="s">
        <v>1255</v>
      </c>
      <c r="W293" s="72" t="s">
        <v>1228</v>
      </c>
      <c r="X293" s="77"/>
      <c r="Y293" s="72" t="s">
        <v>401</v>
      </c>
      <c r="Z293" s="72" t="s">
        <v>1256</v>
      </c>
      <c r="AA293" s="76">
        <v>1.0</v>
      </c>
      <c r="AB293" s="77"/>
      <c r="AC293" s="79"/>
      <c r="AD293" s="54"/>
      <c r="AE293" s="54"/>
      <c r="AF293" s="54"/>
      <c r="AG293" s="54"/>
      <c r="AH293" s="54"/>
      <c r="AI293" s="38"/>
      <c r="AJ293" s="38"/>
      <c r="AK293" s="38"/>
      <c r="AL293" s="38"/>
      <c r="AM293" s="38"/>
      <c r="AN293" s="38"/>
      <c r="AO293" s="38"/>
      <c r="AP293" s="38"/>
      <c r="AQ293" s="38"/>
      <c r="AR293" s="38"/>
      <c r="AS293" s="38"/>
      <c r="AT293" s="38"/>
      <c r="AU293" s="38"/>
      <c r="AV293" s="38"/>
      <c r="AW293" s="38"/>
      <c r="AX293" s="38"/>
      <c r="AY293" s="38"/>
      <c r="AZ293" s="38"/>
      <c r="BA293" s="38"/>
      <c r="BB293" s="38"/>
      <c r="BC293" s="38"/>
    </row>
    <row r="294">
      <c r="A294" s="90" t="s">
        <v>1257</v>
      </c>
      <c r="B294" s="61">
        <v>45758.47174201389</v>
      </c>
      <c r="C294" s="68" t="s">
        <v>1258</v>
      </c>
      <c r="D294" s="63" t="s">
        <v>1259</v>
      </c>
      <c r="E294" s="68" t="s">
        <v>1260</v>
      </c>
      <c r="F294" s="87" t="s">
        <v>1257</v>
      </c>
      <c r="G294" s="94">
        <v>340.0</v>
      </c>
      <c r="H294" s="62">
        <v>10.0</v>
      </c>
      <c r="I294" s="62">
        <v>8.0</v>
      </c>
      <c r="J294" s="62">
        <v>0.0</v>
      </c>
      <c r="K294" s="62">
        <v>1939.0</v>
      </c>
      <c r="L294" s="68" t="s">
        <v>197</v>
      </c>
      <c r="M294" s="68" t="s">
        <v>1261</v>
      </c>
      <c r="N294" s="62">
        <v>9.0</v>
      </c>
      <c r="O294" s="68" t="s">
        <v>401</v>
      </c>
      <c r="P294" s="95">
        <v>0.6</v>
      </c>
      <c r="Q294" s="62">
        <v>8.0</v>
      </c>
      <c r="R294" s="62">
        <v>6.0</v>
      </c>
      <c r="S294" s="62">
        <v>6.0</v>
      </c>
      <c r="T294" s="67" t="s">
        <v>1262</v>
      </c>
      <c r="U294" s="68" t="s">
        <v>1263</v>
      </c>
      <c r="V294" s="67" t="s">
        <v>1264</v>
      </c>
      <c r="W294" s="68" t="s">
        <v>1228</v>
      </c>
      <c r="X294" s="66"/>
      <c r="Y294" s="68" t="s">
        <v>401</v>
      </c>
      <c r="Z294" s="68" t="s">
        <v>1265</v>
      </c>
      <c r="AA294" s="62">
        <v>1.0</v>
      </c>
      <c r="AB294" s="66"/>
      <c r="AC294" s="69"/>
      <c r="AD294" s="37"/>
      <c r="AE294" s="37"/>
      <c r="AF294" s="37"/>
      <c r="AG294" s="37"/>
      <c r="AH294" s="37"/>
      <c r="AI294" s="38"/>
      <c r="AJ294" s="38"/>
      <c r="AK294" s="38"/>
      <c r="AL294" s="38"/>
      <c r="AM294" s="38"/>
      <c r="AN294" s="38"/>
      <c r="AO294" s="38"/>
      <c r="AP294" s="38"/>
      <c r="AQ294" s="38"/>
      <c r="AR294" s="38"/>
      <c r="AS294" s="38"/>
      <c r="AT294" s="38"/>
      <c r="AU294" s="38"/>
      <c r="AV294" s="38"/>
      <c r="AW294" s="38"/>
      <c r="AX294" s="38"/>
      <c r="AY294" s="38"/>
      <c r="AZ294" s="38"/>
      <c r="BA294" s="38"/>
      <c r="BB294" s="38"/>
      <c r="BC294" s="38"/>
    </row>
    <row r="295">
      <c r="A295" s="88" t="s">
        <v>1266</v>
      </c>
      <c r="B295" s="71">
        <v>45758.494417939815</v>
      </c>
      <c r="C295" s="72" t="s">
        <v>1267</v>
      </c>
      <c r="D295" s="73" t="s">
        <v>1268</v>
      </c>
      <c r="E295" s="72" t="s">
        <v>1269</v>
      </c>
      <c r="F295" s="89" t="s">
        <v>1266</v>
      </c>
      <c r="G295" s="76">
        <v>220.0</v>
      </c>
      <c r="H295" s="76">
        <v>8.0</v>
      </c>
      <c r="I295" s="76">
        <v>7.0</v>
      </c>
      <c r="J295" s="76">
        <v>2.0</v>
      </c>
      <c r="K295" s="73" t="s">
        <v>388</v>
      </c>
      <c r="L295" s="72" t="s">
        <v>197</v>
      </c>
      <c r="M295" s="72" t="s">
        <v>282</v>
      </c>
      <c r="N295" s="76">
        <v>10.0</v>
      </c>
      <c r="O295" s="72" t="s">
        <v>401</v>
      </c>
      <c r="P295" s="85">
        <v>1.0</v>
      </c>
      <c r="Q295" s="76">
        <v>10.0</v>
      </c>
      <c r="R295" s="76">
        <v>1.0</v>
      </c>
      <c r="S295" s="76">
        <v>10.0</v>
      </c>
      <c r="T295" s="78" t="s">
        <v>1270</v>
      </c>
      <c r="U295" s="78" t="s">
        <v>1271</v>
      </c>
      <c r="V295" s="78" t="s">
        <v>1272</v>
      </c>
      <c r="W295" s="72" t="s">
        <v>197</v>
      </c>
      <c r="X295" s="77"/>
      <c r="Y295" s="72" t="s">
        <v>401</v>
      </c>
      <c r="Z295" s="72" t="s">
        <v>1273</v>
      </c>
      <c r="AA295" s="76">
        <v>1.0</v>
      </c>
      <c r="AB295" s="77"/>
      <c r="AC295" s="79"/>
      <c r="AD295" s="54"/>
      <c r="AE295" s="54"/>
      <c r="AF295" s="54"/>
      <c r="AG295" s="54"/>
      <c r="AH295" s="54"/>
      <c r="AI295" s="38"/>
      <c r="AJ295" s="38"/>
      <c r="AK295" s="38"/>
      <c r="AL295" s="38"/>
      <c r="AM295" s="38"/>
      <c r="AN295" s="38"/>
      <c r="AO295" s="38"/>
      <c r="AP295" s="38"/>
      <c r="AQ295" s="38"/>
      <c r="AR295" s="38"/>
      <c r="AS295" s="38"/>
      <c r="AT295" s="38"/>
      <c r="AU295" s="38"/>
      <c r="AV295" s="38"/>
      <c r="AW295" s="38"/>
      <c r="AX295" s="38"/>
      <c r="AY295" s="38"/>
      <c r="AZ295" s="38"/>
      <c r="BA295" s="38"/>
      <c r="BB295" s="38"/>
      <c r="BC295" s="38"/>
    </row>
    <row r="296">
      <c r="A296" s="90" t="s">
        <v>1274</v>
      </c>
      <c r="B296" s="61">
        <v>45758.505855497686</v>
      </c>
      <c r="C296" s="68" t="s">
        <v>1275</v>
      </c>
      <c r="D296" s="63" t="s">
        <v>1276</v>
      </c>
      <c r="E296" s="68" t="s">
        <v>1277</v>
      </c>
      <c r="F296" s="87" t="s">
        <v>1274</v>
      </c>
      <c r="G296" s="94">
        <v>448.0</v>
      </c>
      <c r="H296" s="62">
        <v>5.0</v>
      </c>
      <c r="I296" s="62">
        <v>3.0</v>
      </c>
      <c r="J296" s="62">
        <v>2.0</v>
      </c>
      <c r="K296" s="62">
        <v>2001.0</v>
      </c>
      <c r="L296" s="68" t="s">
        <v>401</v>
      </c>
      <c r="M296" s="68" t="s">
        <v>197</v>
      </c>
      <c r="N296" s="62">
        <v>8.0</v>
      </c>
      <c r="O296" s="68" t="s">
        <v>401</v>
      </c>
      <c r="P296" s="95">
        <v>1.0</v>
      </c>
      <c r="Q296" s="62">
        <v>10.0</v>
      </c>
      <c r="R296" s="62">
        <v>0.0</v>
      </c>
      <c r="S296" s="62">
        <v>10.0</v>
      </c>
      <c r="T296" s="67" t="s">
        <v>1278</v>
      </c>
      <c r="U296" s="67" t="s">
        <v>1279</v>
      </c>
      <c r="V296" s="67" t="s">
        <v>1280</v>
      </c>
      <c r="W296" s="68" t="s">
        <v>1281</v>
      </c>
      <c r="X296" s="66"/>
      <c r="Y296" s="68" t="s">
        <v>401</v>
      </c>
      <c r="Z296" s="68" t="s">
        <v>1282</v>
      </c>
      <c r="AA296" s="62">
        <v>1.0</v>
      </c>
      <c r="AB296" s="66"/>
      <c r="AC296" s="69"/>
      <c r="AD296" s="37"/>
      <c r="AE296" s="37"/>
      <c r="AF296" s="37"/>
      <c r="AG296" s="37"/>
      <c r="AH296" s="37"/>
      <c r="AI296" s="38"/>
      <c r="AJ296" s="38"/>
      <c r="AK296" s="38"/>
      <c r="AL296" s="38"/>
      <c r="AM296" s="38"/>
      <c r="AN296" s="38"/>
      <c r="AO296" s="38"/>
      <c r="AP296" s="38"/>
      <c r="AQ296" s="38"/>
      <c r="AR296" s="38"/>
      <c r="AS296" s="38"/>
      <c r="AT296" s="38"/>
      <c r="AU296" s="38"/>
      <c r="AV296" s="38"/>
      <c r="AW296" s="38"/>
      <c r="AX296" s="38"/>
      <c r="AY296" s="38"/>
      <c r="AZ296" s="38"/>
      <c r="BA296" s="38"/>
      <c r="BB296" s="38"/>
      <c r="BC296" s="38"/>
    </row>
    <row r="297">
      <c r="A297" s="88" t="s">
        <v>670</v>
      </c>
      <c r="B297" s="71">
        <v>45758.511524201385</v>
      </c>
      <c r="C297" s="72" t="s">
        <v>1283</v>
      </c>
      <c r="D297" s="73" t="s">
        <v>1284</v>
      </c>
      <c r="E297" s="72" t="s">
        <v>1285</v>
      </c>
      <c r="F297" s="89" t="s">
        <v>670</v>
      </c>
      <c r="G297" s="76">
        <v>200.0</v>
      </c>
      <c r="H297" s="76">
        <v>4.0</v>
      </c>
      <c r="I297" s="76">
        <v>4.0</v>
      </c>
      <c r="J297" s="76">
        <v>2.0</v>
      </c>
      <c r="K297" s="76">
        <v>1965.0</v>
      </c>
      <c r="L297" s="72" t="s">
        <v>197</v>
      </c>
      <c r="M297" s="72" t="s">
        <v>1286</v>
      </c>
      <c r="N297" s="76">
        <v>10.0</v>
      </c>
      <c r="O297" s="72" t="s">
        <v>197</v>
      </c>
      <c r="P297" s="77"/>
      <c r="Q297" s="77"/>
      <c r="R297" s="77"/>
      <c r="S297" s="77"/>
      <c r="T297" s="78" t="s">
        <v>1287</v>
      </c>
      <c r="U297" s="77"/>
      <c r="V297" s="78" t="s">
        <v>1288</v>
      </c>
      <c r="W297" s="77"/>
      <c r="X297" s="77"/>
      <c r="Y297" s="77"/>
      <c r="Z297" s="72" t="s">
        <v>1289</v>
      </c>
      <c r="AA297" s="76">
        <v>1.0</v>
      </c>
      <c r="AB297" s="77"/>
      <c r="AC297" s="79"/>
      <c r="AD297" s="54"/>
      <c r="AE297" s="54"/>
      <c r="AF297" s="54"/>
      <c r="AG297" s="54"/>
      <c r="AH297" s="54"/>
      <c r="AI297" s="38"/>
      <c r="AJ297" s="38"/>
      <c r="AK297" s="38"/>
      <c r="AL297" s="38"/>
      <c r="AM297" s="38"/>
      <c r="AN297" s="38"/>
      <c r="AO297" s="38"/>
      <c r="AP297" s="38"/>
      <c r="AQ297" s="38"/>
      <c r="AR297" s="38"/>
      <c r="AS297" s="38"/>
      <c r="AT297" s="38"/>
      <c r="AU297" s="38"/>
      <c r="AV297" s="38"/>
      <c r="AW297" s="38"/>
      <c r="AX297" s="38"/>
      <c r="AY297" s="38"/>
      <c r="AZ297" s="38"/>
      <c r="BA297" s="38"/>
      <c r="BB297" s="38"/>
      <c r="BC297" s="38"/>
    </row>
    <row r="298">
      <c r="A298" s="90" t="s">
        <v>1290</v>
      </c>
      <c r="B298" s="61">
        <v>45758.550546886574</v>
      </c>
      <c r="C298" s="68" t="s">
        <v>1291</v>
      </c>
      <c r="D298" s="63" t="s">
        <v>1292</v>
      </c>
      <c r="E298" s="68" t="s">
        <v>1293</v>
      </c>
      <c r="F298" s="87" t="s">
        <v>1290</v>
      </c>
      <c r="G298" s="94">
        <v>390.0</v>
      </c>
      <c r="H298" s="62">
        <v>8.0</v>
      </c>
      <c r="I298" s="62">
        <v>8.0</v>
      </c>
      <c r="J298" s="62">
        <v>1.0</v>
      </c>
      <c r="K298" s="62">
        <v>1975.0</v>
      </c>
      <c r="L298" s="68" t="s">
        <v>197</v>
      </c>
      <c r="M298" s="68" t="s">
        <v>197</v>
      </c>
      <c r="N298" s="62">
        <v>8.0</v>
      </c>
      <c r="O298" s="68" t="s">
        <v>401</v>
      </c>
      <c r="P298" s="95">
        <v>0.0</v>
      </c>
      <c r="Q298" s="62">
        <v>0.0</v>
      </c>
      <c r="R298" s="62">
        <v>0.0</v>
      </c>
      <c r="S298" s="62">
        <v>0.0</v>
      </c>
      <c r="T298" s="67" t="s">
        <v>1294</v>
      </c>
      <c r="U298" s="67" t="s">
        <v>1295</v>
      </c>
      <c r="V298" s="67" t="s">
        <v>1296</v>
      </c>
      <c r="W298" s="66"/>
      <c r="X298" s="66"/>
      <c r="Y298" s="68" t="s">
        <v>401</v>
      </c>
      <c r="Z298" s="68" t="s">
        <v>1297</v>
      </c>
      <c r="AA298" s="62">
        <v>1.0</v>
      </c>
      <c r="AB298" s="66"/>
      <c r="AC298" s="69"/>
      <c r="AD298" s="37"/>
      <c r="AE298" s="37"/>
      <c r="AF298" s="37"/>
      <c r="AG298" s="37"/>
      <c r="AH298" s="37"/>
      <c r="AI298" s="38"/>
      <c r="AJ298" s="38"/>
      <c r="AK298" s="38"/>
      <c r="AL298" s="38"/>
      <c r="AM298" s="38"/>
      <c r="AN298" s="38"/>
      <c r="AO298" s="38"/>
      <c r="AP298" s="38"/>
      <c r="AQ298" s="38"/>
      <c r="AR298" s="38"/>
      <c r="AS298" s="38"/>
      <c r="AT298" s="38"/>
      <c r="AU298" s="38"/>
      <c r="AV298" s="38"/>
      <c r="AW298" s="38"/>
      <c r="AX298" s="38"/>
      <c r="AY298" s="38"/>
      <c r="AZ298" s="38"/>
      <c r="BA298" s="38"/>
      <c r="BB298" s="38"/>
      <c r="BC298" s="38"/>
    </row>
    <row r="299">
      <c r="A299" s="88" t="s">
        <v>1298</v>
      </c>
      <c r="B299" s="71">
        <v>45758.58404274305</v>
      </c>
      <c r="C299" s="72" t="s">
        <v>296</v>
      </c>
      <c r="D299" s="72" t="s">
        <v>1299</v>
      </c>
      <c r="E299" s="72" t="s">
        <v>1300</v>
      </c>
      <c r="F299" s="89" t="s">
        <v>1298</v>
      </c>
      <c r="G299" s="76">
        <v>200.0</v>
      </c>
      <c r="H299" s="76">
        <v>5.0</v>
      </c>
      <c r="I299" s="76">
        <v>5.0</v>
      </c>
      <c r="J299" s="72" t="s">
        <v>197</v>
      </c>
      <c r="K299" s="75">
        <v>1965.0</v>
      </c>
      <c r="L299" s="72" t="s">
        <v>197</v>
      </c>
      <c r="M299" s="72" t="s">
        <v>197</v>
      </c>
      <c r="N299" s="76">
        <v>8.0</v>
      </c>
      <c r="O299" s="72" t="s">
        <v>197</v>
      </c>
      <c r="P299" s="77"/>
      <c r="Q299" s="77"/>
      <c r="R299" s="77"/>
      <c r="S299" s="77"/>
      <c r="T299" s="78" t="s">
        <v>1301</v>
      </c>
      <c r="U299" s="78" t="s">
        <v>1302</v>
      </c>
      <c r="V299" s="78" t="s">
        <v>1303</v>
      </c>
      <c r="W299" s="72" t="s">
        <v>1304</v>
      </c>
      <c r="X299" s="77"/>
      <c r="Y299" s="77"/>
      <c r="Z299" s="72" t="s">
        <v>1305</v>
      </c>
      <c r="AA299" s="76">
        <v>1.0</v>
      </c>
      <c r="AB299" s="77"/>
      <c r="AC299" s="79"/>
      <c r="AD299" s="54"/>
      <c r="AE299" s="54"/>
      <c r="AF299" s="54"/>
      <c r="AG299" s="54"/>
      <c r="AH299" s="54"/>
      <c r="AI299" s="38"/>
      <c r="AJ299" s="38"/>
      <c r="AK299" s="38"/>
      <c r="AL299" s="38"/>
      <c r="AM299" s="38"/>
      <c r="AN299" s="38"/>
      <c r="AO299" s="38"/>
      <c r="AP299" s="38"/>
      <c r="AQ299" s="38"/>
      <c r="AR299" s="38"/>
      <c r="AS299" s="38"/>
      <c r="AT299" s="38"/>
      <c r="AU299" s="38"/>
      <c r="AV299" s="38"/>
      <c r="AW299" s="38"/>
      <c r="AX299" s="38"/>
      <c r="AY299" s="38"/>
      <c r="AZ299" s="38"/>
      <c r="BA299" s="38"/>
      <c r="BB299" s="38"/>
      <c r="BC299" s="38"/>
    </row>
    <row r="300">
      <c r="A300" s="90" t="s">
        <v>1306</v>
      </c>
      <c r="B300" s="61">
        <v>45759.132374768524</v>
      </c>
      <c r="C300" s="68" t="s">
        <v>1307</v>
      </c>
      <c r="D300" s="63" t="s">
        <v>1308</v>
      </c>
      <c r="E300" s="68" t="s">
        <v>1309</v>
      </c>
      <c r="F300" s="87" t="s">
        <v>1306</v>
      </c>
      <c r="G300" s="62">
        <v>180.0</v>
      </c>
      <c r="H300" s="62">
        <v>9.0</v>
      </c>
      <c r="I300" s="62">
        <v>9.0</v>
      </c>
      <c r="J300" s="62">
        <v>0.0</v>
      </c>
      <c r="K300" s="62">
        <v>1945.0</v>
      </c>
      <c r="L300" s="68" t="s">
        <v>197</v>
      </c>
      <c r="M300" s="68" t="s">
        <v>1310</v>
      </c>
      <c r="N300" s="62">
        <v>9.0</v>
      </c>
      <c r="O300" s="68" t="s">
        <v>401</v>
      </c>
      <c r="P300" s="95">
        <v>0.0</v>
      </c>
      <c r="Q300" s="62">
        <v>0.0</v>
      </c>
      <c r="R300" s="62">
        <v>0.0</v>
      </c>
      <c r="S300" s="62">
        <v>0.0</v>
      </c>
      <c r="T300" s="67" t="s">
        <v>1311</v>
      </c>
      <c r="U300" s="67" t="s">
        <v>1312</v>
      </c>
      <c r="V300" s="67" t="s">
        <v>1313</v>
      </c>
      <c r="W300" s="66"/>
      <c r="X300" s="66"/>
      <c r="Y300" s="68" t="s">
        <v>401</v>
      </c>
      <c r="Z300" s="68" t="s">
        <v>1077</v>
      </c>
      <c r="AA300" s="62">
        <v>1.0</v>
      </c>
      <c r="AB300" s="66"/>
      <c r="AC300" s="69"/>
      <c r="AD300" s="37"/>
      <c r="AE300" s="37"/>
      <c r="AF300" s="37"/>
      <c r="AG300" s="37"/>
      <c r="AH300" s="37"/>
      <c r="AI300" s="38"/>
      <c r="AJ300" s="38"/>
      <c r="AK300" s="38"/>
      <c r="AL300" s="38"/>
      <c r="AM300" s="38"/>
      <c r="AN300" s="38"/>
      <c r="AO300" s="38"/>
      <c r="AP300" s="38"/>
      <c r="AQ300" s="38"/>
      <c r="AR300" s="38"/>
      <c r="AS300" s="38"/>
      <c r="AT300" s="38"/>
      <c r="AU300" s="38"/>
      <c r="AV300" s="38"/>
      <c r="AW300" s="38"/>
      <c r="AX300" s="38"/>
      <c r="AY300" s="38"/>
      <c r="AZ300" s="38"/>
      <c r="BA300" s="38"/>
      <c r="BB300" s="38"/>
      <c r="BC300" s="38"/>
    </row>
    <row r="301">
      <c r="A301" s="88" t="s">
        <v>1314</v>
      </c>
      <c r="B301" s="71">
        <v>45759.2396681713</v>
      </c>
      <c r="C301" s="72" t="s">
        <v>1315</v>
      </c>
      <c r="D301" s="73" t="s">
        <v>1308</v>
      </c>
      <c r="E301" s="72" t="s">
        <v>1316</v>
      </c>
      <c r="F301" s="89" t="s">
        <v>1314</v>
      </c>
      <c r="G301" s="76">
        <v>110.0</v>
      </c>
      <c r="H301" s="76">
        <v>8.0</v>
      </c>
      <c r="I301" s="76">
        <v>7.0</v>
      </c>
      <c r="J301" s="76">
        <v>2.0</v>
      </c>
      <c r="K301" s="76">
        <v>1940.0</v>
      </c>
      <c r="L301" s="72" t="s">
        <v>197</v>
      </c>
      <c r="M301" s="72" t="s">
        <v>197</v>
      </c>
      <c r="N301" s="76">
        <v>8.0</v>
      </c>
      <c r="O301" s="72" t="s">
        <v>401</v>
      </c>
      <c r="P301" s="85">
        <v>0.9</v>
      </c>
      <c r="Q301" s="76">
        <v>8.0</v>
      </c>
      <c r="R301" s="76">
        <v>2.0</v>
      </c>
      <c r="S301" s="76">
        <v>9.0</v>
      </c>
      <c r="T301" s="78" t="s">
        <v>1317</v>
      </c>
      <c r="U301" s="78" t="s">
        <v>1318</v>
      </c>
      <c r="V301" s="78" t="s">
        <v>1319</v>
      </c>
      <c r="W301" s="77"/>
      <c r="X301" s="77"/>
      <c r="Y301" s="72" t="s">
        <v>401</v>
      </c>
      <c r="Z301" s="72" t="s">
        <v>676</v>
      </c>
      <c r="AA301" s="76">
        <v>1.0</v>
      </c>
      <c r="AB301" s="77"/>
      <c r="AC301" s="79"/>
      <c r="AD301" s="54"/>
      <c r="AE301" s="54"/>
      <c r="AF301" s="54"/>
      <c r="AG301" s="54"/>
      <c r="AH301" s="54"/>
      <c r="AI301" s="38"/>
      <c r="AJ301" s="38"/>
      <c r="AK301" s="38"/>
      <c r="AL301" s="38"/>
      <c r="AM301" s="38"/>
      <c r="AN301" s="38"/>
      <c r="AO301" s="38"/>
      <c r="AP301" s="38"/>
      <c r="AQ301" s="38"/>
      <c r="AR301" s="38"/>
      <c r="AS301" s="38"/>
      <c r="AT301" s="38"/>
      <c r="AU301" s="38"/>
      <c r="AV301" s="38"/>
      <c r="AW301" s="38"/>
      <c r="AX301" s="38"/>
      <c r="AY301" s="38"/>
      <c r="AZ301" s="38"/>
      <c r="BA301" s="38"/>
      <c r="BB301" s="38"/>
      <c r="BC301" s="38"/>
    </row>
    <row r="302">
      <c r="A302" s="90" t="s">
        <v>1320</v>
      </c>
      <c r="B302" s="61">
        <v>45759.41300778935</v>
      </c>
      <c r="C302" s="68" t="s">
        <v>1321</v>
      </c>
      <c r="D302" s="63" t="s">
        <v>1322</v>
      </c>
      <c r="E302" s="68" t="s">
        <v>1323</v>
      </c>
      <c r="F302" s="87" t="s">
        <v>1320</v>
      </c>
      <c r="G302" s="94">
        <v>730.0</v>
      </c>
      <c r="H302" s="62">
        <v>9.0</v>
      </c>
      <c r="I302" s="62">
        <v>9.0</v>
      </c>
      <c r="J302" s="62">
        <v>0.0</v>
      </c>
      <c r="K302" s="63" t="s">
        <v>388</v>
      </c>
      <c r="L302" s="68" t="s">
        <v>197</v>
      </c>
      <c r="M302" s="68" t="s">
        <v>1005</v>
      </c>
      <c r="N302" s="62">
        <v>10.0</v>
      </c>
      <c r="O302" s="68" t="s">
        <v>401</v>
      </c>
      <c r="P302" s="95">
        <v>0.0</v>
      </c>
      <c r="Q302" s="62">
        <v>0.0</v>
      </c>
      <c r="R302" s="62">
        <v>10.0</v>
      </c>
      <c r="S302" s="62">
        <v>0.0</v>
      </c>
      <c r="T302" s="67" t="s">
        <v>1324</v>
      </c>
      <c r="U302" s="67" t="s">
        <v>1325</v>
      </c>
      <c r="V302" s="67" t="s">
        <v>1326</v>
      </c>
      <c r="W302" s="66"/>
      <c r="X302" s="66"/>
      <c r="Y302" s="68" t="s">
        <v>401</v>
      </c>
      <c r="Z302" s="68" t="s">
        <v>1327</v>
      </c>
      <c r="AA302" s="62">
        <v>1.0</v>
      </c>
      <c r="AB302" s="66"/>
      <c r="AC302" s="69"/>
      <c r="AD302" s="37"/>
      <c r="AE302" s="37"/>
      <c r="AF302" s="37"/>
      <c r="AG302" s="37"/>
      <c r="AH302" s="37"/>
      <c r="AI302" s="38"/>
      <c r="AJ302" s="38"/>
      <c r="AK302" s="38"/>
      <c r="AL302" s="38"/>
      <c r="AM302" s="38"/>
      <c r="AN302" s="38"/>
      <c r="AO302" s="38"/>
      <c r="AP302" s="38"/>
      <c r="AQ302" s="38"/>
      <c r="AR302" s="38"/>
      <c r="AS302" s="38"/>
      <c r="AT302" s="38"/>
      <c r="AU302" s="38"/>
      <c r="AV302" s="38"/>
      <c r="AW302" s="38"/>
      <c r="AX302" s="38"/>
      <c r="AY302" s="38"/>
      <c r="AZ302" s="38"/>
      <c r="BA302" s="38"/>
      <c r="BB302" s="38"/>
      <c r="BC302" s="38"/>
    </row>
    <row r="303">
      <c r="A303" s="88" t="s">
        <v>1328</v>
      </c>
      <c r="B303" s="71">
        <v>45763.09993462963</v>
      </c>
      <c r="C303" s="72" t="s">
        <v>1140</v>
      </c>
      <c r="D303" s="73" t="s">
        <v>1141</v>
      </c>
      <c r="E303" s="72" t="s">
        <v>1329</v>
      </c>
      <c r="F303" s="89" t="s">
        <v>1328</v>
      </c>
      <c r="G303" s="76">
        <v>95.0</v>
      </c>
      <c r="H303" s="76">
        <v>6.0</v>
      </c>
      <c r="I303" s="76">
        <v>8.0</v>
      </c>
      <c r="J303" s="76">
        <v>2.0</v>
      </c>
      <c r="K303" s="72" t="s">
        <v>197</v>
      </c>
      <c r="L303" s="72" t="s">
        <v>197</v>
      </c>
      <c r="M303" s="72" t="s">
        <v>1330</v>
      </c>
      <c r="N303" s="76">
        <v>8.0</v>
      </c>
      <c r="O303" s="72" t="s">
        <v>197</v>
      </c>
      <c r="P303" s="77"/>
      <c r="Q303" s="77"/>
      <c r="R303" s="77"/>
      <c r="S303" s="77"/>
      <c r="T303" s="78" t="s">
        <v>1331</v>
      </c>
      <c r="U303" s="78" t="s">
        <v>1332</v>
      </c>
      <c r="V303" s="78" t="s">
        <v>1333</v>
      </c>
      <c r="W303" s="72" t="s">
        <v>197</v>
      </c>
      <c r="X303" s="77"/>
      <c r="Y303" s="77"/>
      <c r="Z303" s="72" t="s">
        <v>1146</v>
      </c>
      <c r="AA303" s="76">
        <v>1.0</v>
      </c>
      <c r="AB303" s="77"/>
      <c r="AC303" s="79"/>
      <c r="AD303" s="54"/>
      <c r="AE303" s="54"/>
      <c r="AF303" s="54"/>
      <c r="AG303" s="54"/>
      <c r="AH303" s="54"/>
      <c r="AI303" s="38"/>
      <c r="AJ303" s="38"/>
      <c r="AK303" s="38"/>
      <c r="AL303" s="38"/>
      <c r="AM303" s="38"/>
      <c r="AN303" s="38"/>
      <c r="AO303" s="38"/>
      <c r="AP303" s="38"/>
      <c r="AQ303" s="38"/>
      <c r="AR303" s="38"/>
      <c r="AS303" s="38"/>
      <c r="AT303" s="38"/>
      <c r="AU303" s="38"/>
      <c r="AV303" s="38"/>
      <c r="AW303" s="38"/>
      <c r="AX303" s="38"/>
      <c r="AY303" s="38"/>
      <c r="AZ303" s="38"/>
      <c r="BA303" s="38"/>
      <c r="BB303" s="38"/>
      <c r="BC303" s="38"/>
    </row>
    <row r="304">
      <c r="A304" s="97" t="s">
        <v>1334</v>
      </c>
      <c r="B304" s="61">
        <v>45763.29058378472</v>
      </c>
      <c r="C304" s="68" t="s">
        <v>1335</v>
      </c>
      <c r="D304" s="63" t="s">
        <v>1276</v>
      </c>
      <c r="E304" s="68" t="s">
        <v>1334</v>
      </c>
      <c r="F304" s="98" t="s">
        <v>1334</v>
      </c>
      <c r="G304" s="62">
        <v>470.0</v>
      </c>
      <c r="H304" s="62">
        <v>4.0</v>
      </c>
      <c r="I304" s="62">
        <v>3.0</v>
      </c>
      <c r="J304" s="62">
        <v>1.0</v>
      </c>
      <c r="K304" s="62">
        <v>2004.0</v>
      </c>
      <c r="L304" s="68" t="s">
        <v>197</v>
      </c>
      <c r="M304" s="68" t="s">
        <v>197</v>
      </c>
      <c r="N304" s="62">
        <v>9.0</v>
      </c>
      <c r="O304" s="68" t="s">
        <v>401</v>
      </c>
      <c r="P304" s="95">
        <v>0.0</v>
      </c>
      <c r="Q304" s="62">
        <v>0.0</v>
      </c>
      <c r="R304" s="62">
        <v>0.0</v>
      </c>
      <c r="S304" s="62">
        <v>0.0</v>
      </c>
      <c r="T304" s="67" t="s">
        <v>1336</v>
      </c>
      <c r="U304" s="67" t="s">
        <v>1337</v>
      </c>
      <c r="V304" s="66"/>
      <c r="W304" s="62">
        <v>0.0</v>
      </c>
      <c r="X304" s="66"/>
      <c r="Y304" s="68" t="s">
        <v>197</v>
      </c>
      <c r="Z304" s="68" t="s">
        <v>1338</v>
      </c>
      <c r="AA304" s="68" t="s">
        <v>8</v>
      </c>
      <c r="AB304" s="66"/>
      <c r="AC304" s="69"/>
      <c r="AD304" s="37"/>
      <c r="AE304" s="37"/>
      <c r="AF304" s="37"/>
      <c r="AG304" s="37"/>
      <c r="AH304" s="37"/>
      <c r="AI304" s="38"/>
      <c r="AJ304" s="38"/>
      <c r="AK304" s="38"/>
      <c r="AL304" s="38"/>
      <c r="AM304" s="38"/>
      <c r="AN304" s="38"/>
      <c r="AO304" s="38"/>
      <c r="AP304" s="38"/>
      <c r="AQ304" s="38"/>
      <c r="AR304" s="38"/>
      <c r="AS304" s="38"/>
      <c r="AT304" s="38"/>
      <c r="AU304" s="38"/>
      <c r="AV304" s="38"/>
      <c r="AW304" s="38"/>
      <c r="AX304" s="38"/>
      <c r="AY304" s="38"/>
      <c r="AZ304" s="38"/>
      <c r="BA304" s="38"/>
      <c r="BB304" s="38"/>
      <c r="BC304" s="38"/>
    </row>
    <row r="305">
      <c r="A305" s="88" t="s">
        <v>1339</v>
      </c>
      <c r="B305" s="71">
        <v>45763.297098599534</v>
      </c>
      <c r="C305" s="72" t="s">
        <v>1335</v>
      </c>
      <c r="D305" s="73" t="s">
        <v>1276</v>
      </c>
      <c r="E305" s="72" t="s">
        <v>1340</v>
      </c>
      <c r="F305" s="89" t="s">
        <v>1339</v>
      </c>
      <c r="G305" s="75">
        <v>329.0</v>
      </c>
      <c r="H305" s="76">
        <v>5.0</v>
      </c>
      <c r="I305" s="76">
        <v>4.0</v>
      </c>
      <c r="J305" s="76">
        <v>1.0</v>
      </c>
      <c r="K305" s="76">
        <v>2005.0</v>
      </c>
      <c r="L305" s="72" t="s">
        <v>197</v>
      </c>
      <c r="M305" s="72" t="s">
        <v>197</v>
      </c>
      <c r="N305" s="76">
        <v>9.0</v>
      </c>
      <c r="O305" s="72" t="s">
        <v>197</v>
      </c>
      <c r="P305" s="77"/>
      <c r="Q305" s="77"/>
      <c r="R305" s="77"/>
      <c r="S305" s="77"/>
      <c r="T305" s="78" t="s">
        <v>1341</v>
      </c>
      <c r="U305" s="72" t="s">
        <v>1342</v>
      </c>
      <c r="V305" s="78" t="s">
        <v>1343</v>
      </c>
      <c r="W305" s="72" t="s">
        <v>1344</v>
      </c>
      <c r="X305" s="77"/>
      <c r="Y305" s="77"/>
      <c r="Z305" s="72" t="s">
        <v>1345</v>
      </c>
      <c r="AA305" s="76">
        <v>1.0</v>
      </c>
      <c r="AB305" s="77"/>
      <c r="AC305" s="79"/>
      <c r="AD305" s="54"/>
      <c r="AE305" s="54"/>
      <c r="AF305" s="54"/>
      <c r="AG305" s="54"/>
      <c r="AH305" s="54"/>
      <c r="AI305" s="38"/>
      <c r="AJ305" s="38"/>
      <c r="AK305" s="38"/>
      <c r="AL305" s="38"/>
      <c r="AM305" s="38"/>
      <c r="AN305" s="38"/>
      <c r="AO305" s="38"/>
      <c r="AP305" s="38"/>
      <c r="AQ305" s="38"/>
      <c r="AR305" s="38"/>
      <c r="AS305" s="38"/>
      <c r="AT305" s="38"/>
      <c r="AU305" s="38"/>
      <c r="AV305" s="38"/>
      <c r="AW305" s="38"/>
      <c r="AX305" s="38"/>
      <c r="AY305" s="38"/>
      <c r="AZ305" s="38"/>
      <c r="BA305" s="38"/>
      <c r="BB305" s="38"/>
      <c r="BC305" s="38"/>
    </row>
    <row r="306">
      <c r="A306" s="90" t="s">
        <v>1346</v>
      </c>
      <c r="B306" s="61">
        <v>45763.537478819446</v>
      </c>
      <c r="C306" s="68" t="s">
        <v>671</v>
      </c>
      <c r="D306" s="63" t="s">
        <v>672</v>
      </c>
      <c r="E306" s="68" t="s">
        <v>1347</v>
      </c>
      <c r="F306" s="87" t="s">
        <v>1346</v>
      </c>
      <c r="G306" s="62">
        <v>190.0</v>
      </c>
      <c r="H306" s="62">
        <v>10.0</v>
      </c>
      <c r="I306" s="62">
        <v>9.0</v>
      </c>
      <c r="J306" s="62">
        <v>0.0</v>
      </c>
      <c r="K306" s="62">
        <v>1970.0</v>
      </c>
      <c r="L306" s="68" t="s">
        <v>197</v>
      </c>
      <c r="M306" s="68" t="s">
        <v>1348</v>
      </c>
      <c r="N306" s="62">
        <v>9.0</v>
      </c>
      <c r="O306" s="68" t="s">
        <v>197</v>
      </c>
      <c r="P306" s="66"/>
      <c r="Q306" s="66"/>
      <c r="R306" s="66"/>
      <c r="S306" s="66"/>
      <c r="T306" s="67" t="s">
        <v>1349</v>
      </c>
      <c r="U306" s="67" t="s">
        <v>1350</v>
      </c>
      <c r="V306" s="67" t="s">
        <v>1351</v>
      </c>
      <c r="W306" s="66"/>
      <c r="X306" s="66"/>
      <c r="Y306" s="66"/>
      <c r="Z306" s="68" t="s">
        <v>676</v>
      </c>
      <c r="AA306" s="62">
        <v>1.0</v>
      </c>
      <c r="AB306" s="66"/>
      <c r="AC306" s="69"/>
      <c r="AD306" s="37"/>
      <c r="AE306" s="37"/>
      <c r="AF306" s="37"/>
      <c r="AG306" s="37"/>
      <c r="AH306" s="37"/>
      <c r="AI306" s="38"/>
      <c r="AJ306" s="38"/>
      <c r="AK306" s="38"/>
      <c r="AL306" s="38"/>
      <c r="AM306" s="38"/>
      <c r="AN306" s="38"/>
      <c r="AO306" s="38"/>
      <c r="AP306" s="38"/>
      <c r="AQ306" s="38"/>
      <c r="AR306" s="38"/>
      <c r="AS306" s="38"/>
      <c r="AT306" s="38"/>
      <c r="AU306" s="38"/>
      <c r="AV306" s="38"/>
      <c r="AW306" s="38"/>
      <c r="AX306" s="38"/>
      <c r="AY306" s="38"/>
      <c r="AZ306" s="38"/>
      <c r="BA306" s="38"/>
      <c r="BB306" s="38"/>
      <c r="BC306" s="38"/>
    </row>
    <row r="307">
      <c r="A307" s="88" t="s">
        <v>1352</v>
      </c>
      <c r="B307" s="71">
        <v>45763.54494114583</v>
      </c>
      <c r="C307" s="72" t="s">
        <v>1353</v>
      </c>
      <c r="D307" s="73" t="s">
        <v>1354</v>
      </c>
      <c r="E307" s="72" t="s">
        <v>1355</v>
      </c>
      <c r="F307" s="89" t="s">
        <v>1352</v>
      </c>
      <c r="G307" s="76">
        <v>350.0</v>
      </c>
      <c r="H307" s="76">
        <v>8.0</v>
      </c>
      <c r="I307" s="76">
        <v>7.0</v>
      </c>
      <c r="J307" s="76">
        <v>1.0</v>
      </c>
      <c r="K307" s="73" t="s">
        <v>388</v>
      </c>
      <c r="L307" s="72" t="s">
        <v>197</v>
      </c>
      <c r="M307" s="72" t="s">
        <v>1356</v>
      </c>
      <c r="N307" s="76">
        <v>8.0</v>
      </c>
      <c r="O307" s="72" t="s">
        <v>197</v>
      </c>
      <c r="P307" s="77"/>
      <c r="Q307" s="77"/>
      <c r="R307" s="77"/>
      <c r="S307" s="77"/>
      <c r="T307" s="78" t="s">
        <v>1357</v>
      </c>
      <c r="U307" s="78" t="s">
        <v>1358</v>
      </c>
      <c r="V307" s="78" t="s">
        <v>1359</v>
      </c>
      <c r="W307" s="77"/>
      <c r="X307" s="77"/>
      <c r="Y307" s="77"/>
      <c r="Z307" s="72" t="s">
        <v>676</v>
      </c>
      <c r="AA307" s="76">
        <v>1.0</v>
      </c>
      <c r="AB307" s="77"/>
      <c r="AC307" s="79"/>
      <c r="AD307" s="54"/>
      <c r="AE307" s="54"/>
      <c r="AF307" s="54"/>
      <c r="AG307" s="54"/>
      <c r="AH307" s="54"/>
      <c r="AI307" s="38"/>
      <c r="AJ307" s="38"/>
      <c r="AK307" s="38"/>
      <c r="AL307" s="38"/>
      <c r="AM307" s="38"/>
      <c r="AN307" s="38"/>
      <c r="AO307" s="38"/>
      <c r="AP307" s="38"/>
      <c r="AQ307" s="38"/>
      <c r="AR307" s="38"/>
      <c r="AS307" s="38"/>
      <c r="AT307" s="38"/>
      <c r="AU307" s="38"/>
      <c r="AV307" s="38"/>
      <c r="AW307" s="38"/>
      <c r="AX307" s="38"/>
      <c r="AY307" s="38"/>
      <c r="AZ307" s="38"/>
      <c r="BA307" s="38"/>
      <c r="BB307" s="38"/>
      <c r="BC307" s="38"/>
    </row>
    <row r="308">
      <c r="A308" s="90" t="s">
        <v>1360</v>
      </c>
      <c r="B308" s="61">
        <v>45763.551626863424</v>
      </c>
      <c r="C308" s="68" t="s">
        <v>1361</v>
      </c>
      <c r="D308" s="63" t="s">
        <v>1362</v>
      </c>
      <c r="E308" s="68" t="s">
        <v>1363</v>
      </c>
      <c r="F308" s="87" t="s">
        <v>1360</v>
      </c>
      <c r="G308" s="94">
        <v>120.0</v>
      </c>
      <c r="H308" s="62">
        <v>9.0</v>
      </c>
      <c r="I308" s="62">
        <v>8.0</v>
      </c>
      <c r="J308" s="62">
        <v>1.0</v>
      </c>
      <c r="K308" s="63" t="s">
        <v>388</v>
      </c>
      <c r="L308" s="68" t="s">
        <v>197</v>
      </c>
      <c r="M308" s="68" t="s">
        <v>1364</v>
      </c>
      <c r="N308" s="62">
        <v>8.0</v>
      </c>
      <c r="O308" s="68" t="s">
        <v>197</v>
      </c>
      <c r="P308" s="66"/>
      <c r="Q308" s="66"/>
      <c r="R308" s="66"/>
      <c r="S308" s="66"/>
      <c r="T308" s="67" t="s">
        <v>1365</v>
      </c>
      <c r="U308" s="67" t="s">
        <v>1366</v>
      </c>
      <c r="V308" s="67" t="s">
        <v>1367</v>
      </c>
      <c r="W308" s="66"/>
      <c r="X308" s="66"/>
      <c r="Y308" s="66"/>
      <c r="Z308" s="68" t="s">
        <v>676</v>
      </c>
      <c r="AA308" s="62">
        <v>1.0</v>
      </c>
      <c r="AB308" s="66"/>
      <c r="AC308" s="69"/>
      <c r="AD308" s="37"/>
      <c r="AE308" s="37"/>
      <c r="AF308" s="37"/>
      <c r="AG308" s="37"/>
      <c r="AH308" s="37"/>
      <c r="AI308" s="38"/>
      <c r="AJ308" s="38"/>
      <c r="AK308" s="38"/>
      <c r="AL308" s="38"/>
      <c r="AM308" s="38"/>
      <c r="AN308" s="38"/>
      <c r="AO308" s="38"/>
      <c r="AP308" s="38"/>
      <c r="AQ308" s="38"/>
      <c r="AR308" s="38"/>
      <c r="AS308" s="38"/>
      <c r="AT308" s="38"/>
      <c r="AU308" s="38"/>
      <c r="AV308" s="38"/>
      <c r="AW308" s="38"/>
      <c r="AX308" s="38"/>
      <c r="AY308" s="38"/>
      <c r="AZ308" s="38"/>
      <c r="BA308" s="38"/>
      <c r="BB308" s="38"/>
      <c r="BC308" s="38"/>
    </row>
    <row r="309">
      <c r="A309" s="88" t="s">
        <v>1368</v>
      </c>
      <c r="B309" s="71">
        <v>45763.55455153935</v>
      </c>
      <c r="C309" s="72" t="s">
        <v>1307</v>
      </c>
      <c r="D309" s="73" t="s">
        <v>1308</v>
      </c>
      <c r="E309" s="72" t="s">
        <v>1369</v>
      </c>
      <c r="F309" s="89" t="s">
        <v>1368</v>
      </c>
      <c r="G309" s="75">
        <v>205.0</v>
      </c>
      <c r="H309" s="76">
        <v>8.0</v>
      </c>
      <c r="I309" s="76">
        <v>7.0</v>
      </c>
      <c r="J309" s="76">
        <v>2.0</v>
      </c>
      <c r="K309" s="73" t="s">
        <v>388</v>
      </c>
      <c r="L309" s="72" t="s">
        <v>197</v>
      </c>
      <c r="M309" s="72" t="s">
        <v>197</v>
      </c>
      <c r="N309" s="76">
        <v>8.0</v>
      </c>
      <c r="O309" s="72" t="s">
        <v>197</v>
      </c>
      <c r="P309" s="77"/>
      <c r="Q309" s="77"/>
      <c r="R309" s="77"/>
      <c r="S309" s="77"/>
      <c r="T309" s="78" t="s">
        <v>1370</v>
      </c>
      <c r="U309" s="78" t="s">
        <v>1371</v>
      </c>
      <c r="V309" s="78" t="s">
        <v>1372</v>
      </c>
      <c r="W309" s="77"/>
      <c r="X309" s="77"/>
      <c r="Y309" s="77"/>
      <c r="Z309" s="72" t="s">
        <v>676</v>
      </c>
      <c r="AA309" s="76">
        <v>1.0</v>
      </c>
      <c r="AB309" s="77"/>
      <c r="AC309" s="79"/>
      <c r="AD309" s="54"/>
      <c r="AE309" s="54"/>
      <c r="AF309" s="54"/>
      <c r="AG309" s="54"/>
      <c r="AH309" s="54"/>
      <c r="AI309" s="38"/>
      <c r="AJ309" s="38"/>
      <c r="AK309" s="38"/>
      <c r="AL309" s="38"/>
      <c r="AM309" s="38"/>
      <c r="AN309" s="38"/>
      <c r="AO309" s="38"/>
      <c r="AP309" s="38"/>
      <c r="AQ309" s="38"/>
      <c r="AR309" s="38"/>
      <c r="AS309" s="38"/>
      <c r="AT309" s="38"/>
      <c r="AU309" s="38"/>
      <c r="AV309" s="38"/>
      <c r="AW309" s="38"/>
      <c r="AX309" s="38"/>
      <c r="AY309" s="38"/>
      <c r="AZ309" s="38"/>
      <c r="BA309" s="38"/>
      <c r="BB309" s="38"/>
      <c r="BC309" s="38"/>
    </row>
    <row r="310">
      <c r="A310" s="90" t="s">
        <v>1373</v>
      </c>
      <c r="B310" s="61">
        <v>45764.697658819445</v>
      </c>
      <c r="C310" s="68" t="s">
        <v>1374</v>
      </c>
      <c r="D310" s="63" t="s">
        <v>1375</v>
      </c>
      <c r="E310" s="99" t="s">
        <v>1376</v>
      </c>
      <c r="F310" s="87" t="s">
        <v>1373</v>
      </c>
      <c r="G310" s="62">
        <v>230.0</v>
      </c>
      <c r="H310" s="62">
        <v>6.0</v>
      </c>
      <c r="I310" s="62">
        <v>4.0</v>
      </c>
      <c r="J310" s="68" t="s">
        <v>197</v>
      </c>
      <c r="K310" s="68" t="s">
        <v>197</v>
      </c>
      <c r="L310" s="68" t="s">
        <v>197</v>
      </c>
      <c r="M310" s="68" t="s">
        <v>1377</v>
      </c>
      <c r="N310" s="62">
        <v>7.0</v>
      </c>
      <c r="O310" s="68" t="s">
        <v>197</v>
      </c>
      <c r="P310" s="66"/>
      <c r="Q310" s="66"/>
      <c r="R310" s="66"/>
      <c r="S310" s="66"/>
      <c r="T310" s="67" t="s">
        <v>1378</v>
      </c>
      <c r="U310" s="67" t="s">
        <v>1379</v>
      </c>
      <c r="V310" s="67" t="s">
        <v>1380</v>
      </c>
      <c r="W310" s="66"/>
      <c r="X310" s="66"/>
      <c r="Y310" s="66"/>
      <c r="Z310" s="68" t="s">
        <v>1381</v>
      </c>
      <c r="AA310" s="62">
        <v>1.0</v>
      </c>
      <c r="AB310" s="66"/>
      <c r="AC310" s="69"/>
      <c r="AD310" s="37"/>
      <c r="AE310" s="37"/>
      <c r="AF310" s="37"/>
      <c r="AG310" s="37"/>
      <c r="AH310" s="37"/>
      <c r="AI310" s="38"/>
      <c r="AJ310" s="38"/>
      <c r="AK310" s="38"/>
      <c r="AL310" s="38"/>
      <c r="AM310" s="38"/>
      <c r="AN310" s="38"/>
      <c r="AO310" s="38"/>
      <c r="AP310" s="38"/>
      <c r="AQ310" s="38"/>
      <c r="AR310" s="38"/>
      <c r="AS310" s="38"/>
      <c r="AT310" s="38"/>
      <c r="AU310" s="38"/>
      <c r="AV310" s="38"/>
      <c r="AW310" s="38"/>
      <c r="AX310" s="38"/>
      <c r="AY310" s="38"/>
      <c r="AZ310" s="38"/>
      <c r="BA310" s="38"/>
      <c r="BB310" s="38"/>
      <c r="BC310" s="38"/>
    </row>
    <row r="311">
      <c r="A311" s="88" t="s">
        <v>197</v>
      </c>
      <c r="B311" s="71">
        <v>45764.70432429398</v>
      </c>
      <c r="C311" s="72" t="s">
        <v>1374</v>
      </c>
      <c r="D311" s="73" t="s">
        <v>1375</v>
      </c>
      <c r="E311" s="73" t="s">
        <v>1382</v>
      </c>
      <c r="F311" s="89" t="s">
        <v>197</v>
      </c>
      <c r="G311" s="76">
        <v>480.0</v>
      </c>
      <c r="H311" s="76">
        <v>8.0</v>
      </c>
      <c r="I311" s="76">
        <v>5.0</v>
      </c>
      <c r="J311" s="72" t="s">
        <v>197</v>
      </c>
      <c r="K311" s="72" t="s">
        <v>197</v>
      </c>
      <c r="L311" s="72" t="s">
        <v>197</v>
      </c>
      <c r="M311" s="72" t="s">
        <v>197</v>
      </c>
      <c r="N311" s="76">
        <v>8.0</v>
      </c>
      <c r="O311" s="72" t="s">
        <v>197</v>
      </c>
      <c r="P311" s="77"/>
      <c r="Q311" s="77"/>
      <c r="R311" s="77"/>
      <c r="S311" s="77"/>
      <c r="T311" s="78" t="s">
        <v>1383</v>
      </c>
      <c r="U311" s="78" t="s">
        <v>1384</v>
      </c>
      <c r="V311" s="78" t="s">
        <v>1385</v>
      </c>
      <c r="W311" s="77"/>
      <c r="X311" s="77"/>
      <c r="Y311" s="77"/>
      <c r="Z311" s="72" t="s">
        <v>1386</v>
      </c>
      <c r="AA311" s="72" t="s">
        <v>8</v>
      </c>
      <c r="AB311" s="77"/>
      <c r="AC311" s="79"/>
      <c r="AD311" s="54"/>
      <c r="AE311" s="54"/>
      <c r="AF311" s="54"/>
      <c r="AG311" s="54"/>
      <c r="AH311" s="54"/>
      <c r="AI311" s="38"/>
      <c r="AJ311" s="38"/>
      <c r="AK311" s="38"/>
      <c r="AL311" s="38"/>
      <c r="AM311" s="38"/>
      <c r="AN311" s="38"/>
      <c r="AO311" s="38"/>
      <c r="AP311" s="38"/>
      <c r="AQ311" s="38"/>
      <c r="AR311" s="38"/>
      <c r="AS311" s="38"/>
      <c r="AT311" s="38"/>
      <c r="AU311" s="38"/>
      <c r="AV311" s="38"/>
      <c r="AW311" s="38"/>
      <c r="AX311" s="38"/>
      <c r="AY311" s="38"/>
      <c r="AZ311" s="38"/>
      <c r="BA311" s="38"/>
      <c r="BB311" s="38"/>
      <c r="BC311" s="38"/>
    </row>
    <row r="312">
      <c r="A312" s="90" t="s">
        <v>1387</v>
      </c>
      <c r="B312" s="61">
        <v>45765.20720903935</v>
      </c>
      <c r="C312" s="68" t="s">
        <v>1118</v>
      </c>
      <c r="D312" s="63" t="s">
        <v>1119</v>
      </c>
      <c r="E312" s="68" t="s">
        <v>1388</v>
      </c>
      <c r="F312" s="87" t="s">
        <v>1387</v>
      </c>
      <c r="G312" s="62">
        <v>105.0</v>
      </c>
      <c r="H312" s="62">
        <v>9.0</v>
      </c>
      <c r="I312" s="62">
        <v>8.0</v>
      </c>
      <c r="J312" s="62">
        <v>6.0</v>
      </c>
      <c r="K312" s="62">
        <v>1951.0</v>
      </c>
      <c r="L312" s="68" t="s">
        <v>197</v>
      </c>
      <c r="M312" s="68" t="s">
        <v>275</v>
      </c>
      <c r="N312" s="62">
        <v>10.0</v>
      </c>
      <c r="O312" s="68" t="s">
        <v>401</v>
      </c>
      <c r="P312" s="95">
        <v>1.0</v>
      </c>
      <c r="Q312" s="62">
        <v>10.0</v>
      </c>
      <c r="R312" s="62">
        <v>0.0</v>
      </c>
      <c r="S312" s="62">
        <v>10.0</v>
      </c>
      <c r="T312" s="67" t="s">
        <v>1389</v>
      </c>
      <c r="U312" s="67" t="s">
        <v>1390</v>
      </c>
      <c r="V312" s="67" t="s">
        <v>1391</v>
      </c>
      <c r="W312" s="68" t="s">
        <v>197</v>
      </c>
      <c r="X312" s="66"/>
      <c r="Y312" s="68" t="s">
        <v>401</v>
      </c>
      <c r="Z312" s="68" t="s">
        <v>1122</v>
      </c>
      <c r="AA312" s="62">
        <v>2.0</v>
      </c>
      <c r="AB312" s="66"/>
      <c r="AC312" s="69"/>
      <c r="AD312" s="37"/>
      <c r="AE312" s="37"/>
      <c r="AF312" s="37"/>
      <c r="AG312" s="37"/>
      <c r="AH312" s="37"/>
      <c r="AI312" s="38"/>
      <c r="AJ312" s="38"/>
      <c r="AK312" s="38"/>
      <c r="AL312" s="38"/>
      <c r="AM312" s="38"/>
      <c r="AN312" s="38"/>
      <c r="AO312" s="38"/>
      <c r="AP312" s="38"/>
      <c r="AQ312" s="38"/>
      <c r="AR312" s="38"/>
      <c r="AS312" s="38"/>
      <c r="AT312" s="38"/>
      <c r="AU312" s="38"/>
      <c r="AV312" s="38"/>
      <c r="AW312" s="38"/>
      <c r="AX312" s="38"/>
      <c r="AY312" s="38"/>
      <c r="AZ312" s="38"/>
      <c r="BA312" s="38"/>
      <c r="BB312" s="38"/>
      <c r="BC312" s="38"/>
    </row>
    <row r="313">
      <c r="A313" s="88" t="s">
        <v>1147</v>
      </c>
      <c r="B313" s="71">
        <v>45765.22541865741</v>
      </c>
      <c r="C313" s="72" t="s">
        <v>1392</v>
      </c>
      <c r="D313" s="73" t="s">
        <v>1393</v>
      </c>
      <c r="E313" s="72" t="s">
        <v>1394</v>
      </c>
      <c r="F313" s="89" t="s">
        <v>1147</v>
      </c>
      <c r="G313" s="75">
        <v>144.0</v>
      </c>
      <c r="H313" s="76">
        <v>10.0</v>
      </c>
      <c r="I313" s="76">
        <v>9.0</v>
      </c>
      <c r="J313" s="76">
        <v>0.0</v>
      </c>
      <c r="K313" s="76">
        <v>1980.0</v>
      </c>
      <c r="L313" s="72" t="s">
        <v>197</v>
      </c>
      <c r="M313" s="72" t="s">
        <v>197</v>
      </c>
      <c r="N313" s="76">
        <v>10.0</v>
      </c>
      <c r="O313" s="72" t="s">
        <v>401</v>
      </c>
      <c r="P313" s="85">
        <v>1.0</v>
      </c>
      <c r="Q313" s="76">
        <v>10.0</v>
      </c>
      <c r="R313" s="76">
        <v>4.0</v>
      </c>
      <c r="S313" s="76">
        <v>10.0</v>
      </c>
      <c r="T313" s="78" t="s">
        <v>1395</v>
      </c>
      <c r="U313" s="72" t="s">
        <v>1396</v>
      </c>
      <c r="V313" s="78" t="s">
        <v>1397</v>
      </c>
      <c r="W313" s="77"/>
      <c r="X313" s="77"/>
      <c r="Y313" s="72" t="s">
        <v>401</v>
      </c>
      <c r="Z313" s="72" t="s">
        <v>1398</v>
      </c>
      <c r="AA313" s="76">
        <v>2.0</v>
      </c>
      <c r="AB313" s="77"/>
      <c r="AC313" s="79"/>
      <c r="AD313" s="54"/>
      <c r="AE313" s="54"/>
      <c r="AF313" s="54"/>
      <c r="AG313" s="54"/>
      <c r="AH313" s="54"/>
      <c r="AI313" s="38"/>
      <c r="AJ313" s="38"/>
      <c r="AK313" s="38"/>
      <c r="AL313" s="38"/>
      <c r="AM313" s="38"/>
      <c r="AN313" s="38"/>
      <c r="AO313" s="38"/>
      <c r="AP313" s="38"/>
      <c r="AQ313" s="38"/>
      <c r="AR313" s="38"/>
      <c r="AS313" s="38"/>
      <c r="AT313" s="38"/>
      <c r="AU313" s="38"/>
      <c r="AV313" s="38"/>
      <c r="AW313" s="38"/>
      <c r="AX313" s="38"/>
      <c r="AY313" s="38"/>
      <c r="AZ313" s="38"/>
      <c r="BA313" s="38"/>
      <c r="BB313" s="38"/>
      <c r="BC313" s="38"/>
    </row>
    <row r="314">
      <c r="A314" s="97" t="s">
        <v>1399</v>
      </c>
      <c r="B314" s="61">
        <v>45765.24068737269</v>
      </c>
      <c r="C314" s="68" t="s">
        <v>1140</v>
      </c>
      <c r="D314" s="63" t="s">
        <v>1141</v>
      </c>
      <c r="E314" s="68" t="s">
        <v>1142</v>
      </c>
      <c r="F314" s="98" t="s">
        <v>1399</v>
      </c>
      <c r="G314" s="94">
        <v>2050.0</v>
      </c>
      <c r="H314" s="62">
        <v>6.0</v>
      </c>
      <c r="I314" s="62">
        <v>5.0</v>
      </c>
      <c r="J314" s="62">
        <v>2.0</v>
      </c>
      <c r="K314" s="62">
        <v>1925.0</v>
      </c>
      <c r="L314" s="68" t="s">
        <v>197</v>
      </c>
      <c r="M314" s="68" t="s">
        <v>197</v>
      </c>
      <c r="N314" s="62">
        <v>7.0</v>
      </c>
      <c r="O314" s="68" t="s">
        <v>197</v>
      </c>
      <c r="P314" s="66"/>
      <c r="Q314" s="66"/>
      <c r="R314" s="66"/>
      <c r="S314" s="66"/>
      <c r="T314" s="67" t="s">
        <v>1400</v>
      </c>
      <c r="U314" s="67" t="s">
        <v>1401</v>
      </c>
      <c r="V314" s="67" t="s">
        <v>1402</v>
      </c>
      <c r="W314" s="66"/>
      <c r="X314" s="66"/>
      <c r="Y314" s="66"/>
      <c r="Z314" s="68" t="s">
        <v>1146</v>
      </c>
      <c r="AA314" s="62">
        <v>2.0</v>
      </c>
      <c r="AB314" s="66"/>
      <c r="AC314" s="69"/>
      <c r="AD314" s="37"/>
      <c r="AE314" s="37"/>
      <c r="AF314" s="37"/>
      <c r="AG314" s="37"/>
      <c r="AH314" s="37"/>
      <c r="AI314" s="38"/>
      <c r="AJ314" s="38"/>
      <c r="AK314" s="38"/>
      <c r="AL314" s="38"/>
      <c r="AM314" s="38"/>
      <c r="AN314" s="38"/>
      <c r="AO314" s="38"/>
      <c r="AP314" s="38"/>
      <c r="AQ314" s="38"/>
      <c r="AR314" s="38"/>
      <c r="AS314" s="38"/>
      <c r="AT314" s="38"/>
      <c r="AU314" s="38"/>
      <c r="AV314" s="38"/>
      <c r="AW314" s="38"/>
      <c r="AX314" s="38"/>
      <c r="AY314" s="38"/>
      <c r="AZ314" s="38"/>
      <c r="BA314" s="38"/>
      <c r="BB314" s="38"/>
      <c r="BC314" s="38"/>
    </row>
    <row r="315">
      <c r="A315" s="83" t="s">
        <v>1403</v>
      </c>
      <c r="B315" s="71">
        <v>45765.24366771991</v>
      </c>
      <c r="C315" s="72" t="s">
        <v>1187</v>
      </c>
      <c r="D315" s="73" t="s">
        <v>1188</v>
      </c>
      <c r="E315" s="72" t="s">
        <v>1404</v>
      </c>
      <c r="F315" s="84" t="s">
        <v>1403</v>
      </c>
      <c r="G315" s="76">
        <v>200.0</v>
      </c>
      <c r="H315" s="76">
        <v>5.0</v>
      </c>
      <c r="I315" s="76">
        <v>5.0</v>
      </c>
      <c r="J315" s="76">
        <v>0.0</v>
      </c>
      <c r="K315" s="76">
        <v>2000.0</v>
      </c>
      <c r="L315" s="72" t="s">
        <v>197</v>
      </c>
      <c r="M315" s="72" t="s">
        <v>1405</v>
      </c>
      <c r="N315" s="76">
        <v>10.0</v>
      </c>
      <c r="O315" s="72" t="s">
        <v>401</v>
      </c>
      <c r="P315" s="85">
        <v>0.0</v>
      </c>
      <c r="Q315" s="76">
        <v>0.0</v>
      </c>
      <c r="R315" s="76">
        <v>0.0</v>
      </c>
      <c r="S315" s="76">
        <v>0.0</v>
      </c>
      <c r="T315" s="72" t="s">
        <v>1406</v>
      </c>
      <c r="U315" s="72" t="s">
        <v>1407</v>
      </c>
      <c r="V315" s="78" t="s">
        <v>1408</v>
      </c>
      <c r="W315" s="72" t="s">
        <v>1409</v>
      </c>
      <c r="X315" s="77"/>
      <c r="Y315" s="72" t="s">
        <v>401</v>
      </c>
      <c r="Z315" s="72" t="s">
        <v>1193</v>
      </c>
      <c r="AA315" s="76">
        <v>2.0</v>
      </c>
      <c r="AB315" s="77"/>
      <c r="AC315" s="79"/>
      <c r="AD315" s="54"/>
      <c r="AE315" s="54"/>
      <c r="AF315" s="54"/>
      <c r="AG315" s="54"/>
      <c r="AH315" s="54"/>
      <c r="AI315" s="38"/>
      <c r="AJ315" s="38"/>
      <c r="AK315" s="38"/>
      <c r="AL315" s="38"/>
      <c r="AM315" s="38"/>
      <c r="AN315" s="38"/>
      <c r="AO315" s="38"/>
      <c r="AP315" s="38"/>
      <c r="AQ315" s="38"/>
      <c r="AR315" s="38"/>
      <c r="AS315" s="38"/>
      <c r="AT315" s="38"/>
      <c r="AU315" s="38"/>
      <c r="AV315" s="38"/>
      <c r="AW315" s="38"/>
      <c r="AX315" s="38"/>
      <c r="AY315" s="38"/>
      <c r="AZ315" s="38"/>
      <c r="BA315" s="38"/>
      <c r="BB315" s="38"/>
      <c r="BC315" s="38"/>
    </row>
    <row r="316">
      <c r="A316" s="90" t="s">
        <v>1410</v>
      </c>
      <c r="B316" s="61">
        <v>45765.26706987269</v>
      </c>
      <c r="C316" s="68" t="s">
        <v>1411</v>
      </c>
      <c r="D316" s="63" t="s">
        <v>1412</v>
      </c>
      <c r="E316" s="68" t="s">
        <v>1413</v>
      </c>
      <c r="F316" s="87" t="s">
        <v>1410</v>
      </c>
      <c r="G316" s="94">
        <v>190.0</v>
      </c>
      <c r="H316" s="62">
        <v>9.0</v>
      </c>
      <c r="I316" s="62">
        <v>8.0</v>
      </c>
      <c r="J316" s="62">
        <v>1.0</v>
      </c>
      <c r="K316" s="62">
        <v>2007.0</v>
      </c>
      <c r="L316" s="68" t="s">
        <v>197</v>
      </c>
      <c r="M316" s="68" t="s">
        <v>197</v>
      </c>
      <c r="N316" s="62">
        <v>7.0</v>
      </c>
      <c r="O316" s="68" t="s">
        <v>401</v>
      </c>
      <c r="P316" s="95">
        <v>0.7</v>
      </c>
      <c r="Q316" s="62">
        <v>7.0</v>
      </c>
      <c r="R316" s="62">
        <v>4.0</v>
      </c>
      <c r="S316" s="62">
        <v>6.0</v>
      </c>
      <c r="T316" s="66"/>
      <c r="U316" s="66"/>
      <c r="V316" s="67" t="s">
        <v>1414</v>
      </c>
      <c r="W316" s="66"/>
      <c r="X316" s="66"/>
      <c r="Y316" s="68" t="s">
        <v>401</v>
      </c>
      <c r="Z316" s="68" t="s">
        <v>1415</v>
      </c>
      <c r="AA316" s="62">
        <v>1.0</v>
      </c>
      <c r="AB316" s="66"/>
      <c r="AC316" s="69"/>
      <c r="AD316" s="37"/>
      <c r="AE316" s="37"/>
      <c r="AF316" s="37"/>
      <c r="AG316" s="37"/>
      <c r="AH316" s="37"/>
      <c r="AI316" s="38"/>
      <c r="AJ316" s="38"/>
      <c r="AK316" s="38"/>
      <c r="AL316" s="38"/>
      <c r="AM316" s="38"/>
      <c r="AN316" s="38"/>
      <c r="AO316" s="38"/>
      <c r="AP316" s="38"/>
      <c r="AQ316" s="38"/>
      <c r="AR316" s="38"/>
      <c r="AS316" s="38"/>
      <c r="AT316" s="38"/>
      <c r="AU316" s="38"/>
      <c r="AV316" s="38"/>
      <c r="AW316" s="38"/>
      <c r="AX316" s="38"/>
      <c r="AY316" s="38"/>
      <c r="AZ316" s="38"/>
      <c r="BA316" s="38"/>
      <c r="BB316" s="38"/>
      <c r="BC316" s="38"/>
    </row>
    <row r="317">
      <c r="A317" s="88" t="s">
        <v>1416</v>
      </c>
      <c r="B317" s="71">
        <v>45765.26844167824</v>
      </c>
      <c r="C317" s="72" t="s">
        <v>1417</v>
      </c>
      <c r="D317" s="73" t="s">
        <v>1240</v>
      </c>
      <c r="E317" s="72" t="s">
        <v>1418</v>
      </c>
      <c r="F317" s="89" t="s">
        <v>1416</v>
      </c>
      <c r="G317" s="76">
        <v>300.0</v>
      </c>
      <c r="H317" s="76">
        <v>8.0</v>
      </c>
      <c r="I317" s="76">
        <v>8.0</v>
      </c>
      <c r="J317" s="72" t="s">
        <v>1419</v>
      </c>
      <c r="K317" s="72" t="s">
        <v>1243</v>
      </c>
      <c r="L317" s="72" t="s">
        <v>197</v>
      </c>
      <c r="M317" s="72" t="s">
        <v>197</v>
      </c>
      <c r="N317" s="76">
        <v>8.0</v>
      </c>
      <c r="O317" s="72" t="s">
        <v>197</v>
      </c>
      <c r="P317" s="77"/>
      <c r="Q317" s="77"/>
      <c r="R317" s="77"/>
      <c r="S317" s="77"/>
      <c r="T317" s="78" t="s">
        <v>1420</v>
      </c>
      <c r="U317" s="78" t="s">
        <v>1421</v>
      </c>
      <c r="V317" s="78" t="s">
        <v>1422</v>
      </c>
      <c r="W317" s="77"/>
      <c r="X317" s="77"/>
      <c r="Y317" s="77"/>
      <c r="Z317" s="72" t="s">
        <v>1247</v>
      </c>
      <c r="AA317" s="76">
        <v>1.0</v>
      </c>
      <c r="AB317" s="77"/>
      <c r="AC317" s="79"/>
      <c r="AD317" s="54"/>
      <c r="AE317" s="54"/>
      <c r="AF317" s="54"/>
      <c r="AG317" s="54"/>
      <c r="AH317" s="54"/>
      <c r="AI317" s="38"/>
      <c r="AJ317" s="38"/>
      <c r="AK317" s="38"/>
      <c r="AL317" s="38"/>
      <c r="AM317" s="38"/>
      <c r="AN317" s="38"/>
      <c r="AO317" s="38"/>
      <c r="AP317" s="38"/>
      <c r="AQ317" s="38"/>
      <c r="AR317" s="38"/>
      <c r="AS317" s="38"/>
      <c r="AT317" s="38"/>
      <c r="AU317" s="38"/>
      <c r="AV317" s="38"/>
      <c r="AW317" s="38"/>
      <c r="AX317" s="38"/>
      <c r="AY317" s="38"/>
      <c r="AZ317" s="38"/>
      <c r="BA317" s="38"/>
      <c r="BB317" s="38"/>
      <c r="BC317" s="38"/>
    </row>
    <row r="318">
      <c r="A318" s="90" t="s">
        <v>1423</v>
      </c>
      <c r="B318" s="61">
        <v>45765.27145194444</v>
      </c>
      <c r="C318" s="68" t="s">
        <v>1424</v>
      </c>
      <c r="D318" s="63" t="s">
        <v>1425</v>
      </c>
      <c r="E318" s="68" t="s">
        <v>1426</v>
      </c>
      <c r="F318" s="87" t="s">
        <v>1423</v>
      </c>
      <c r="G318" s="62">
        <v>230.0</v>
      </c>
      <c r="H318" s="94">
        <v>7.0</v>
      </c>
      <c r="I318" s="62">
        <v>8.0</v>
      </c>
      <c r="J318" s="68" t="s">
        <v>197</v>
      </c>
      <c r="K318" s="68" t="s">
        <v>1427</v>
      </c>
      <c r="L318" s="68" t="s">
        <v>401</v>
      </c>
      <c r="M318" s="68" t="s">
        <v>197</v>
      </c>
      <c r="N318" s="62">
        <v>8.0</v>
      </c>
      <c r="O318" s="68" t="s">
        <v>197</v>
      </c>
      <c r="P318" s="66"/>
      <c r="Q318" s="66"/>
      <c r="R318" s="66"/>
      <c r="S318" s="66"/>
      <c r="T318" s="67" t="s">
        <v>1428</v>
      </c>
      <c r="U318" s="67" t="s">
        <v>1429</v>
      </c>
      <c r="V318" s="67" t="s">
        <v>1430</v>
      </c>
      <c r="W318" s="66"/>
      <c r="X318" s="66"/>
      <c r="Y318" s="66"/>
      <c r="Z318" s="68" t="s">
        <v>1431</v>
      </c>
      <c r="AA318" s="62">
        <v>1.0</v>
      </c>
      <c r="AB318" s="66"/>
      <c r="AC318" s="69"/>
      <c r="AD318" s="37"/>
      <c r="AE318" s="37"/>
      <c r="AF318" s="37"/>
      <c r="AG318" s="37"/>
      <c r="AH318" s="37"/>
      <c r="AI318" s="38"/>
      <c r="AJ318" s="38"/>
      <c r="AK318" s="38"/>
      <c r="AL318" s="38"/>
      <c r="AM318" s="38"/>
      <c r="AN318" s="38"/>
      <c r="AO318" s="38"/>
      <c r="AP318" s="38"/>
      <c r="AQ318" s="38"/>
      <c r="AR318" s="38"/>
      <c r="AS318" s="38"/>
      <c r="AT318" s="38"/>
      <c r="AU318" s="38"/>
      <c r="AV318" s="38"/>
      <c r="AW318" s="38"/>
      <c r="AX318" s="38"/>
      <c r="AY318" s="38"/>
      <c r="AZ318" s="38"/>
      <c r="BA318" s="38"/>
      <c r="BB318" s="38"/>
      <c r="BC318" s="38"/>
    </row>
    <row r="319">
      <c r="A319" s="88" t="s">
        <v>1202</v>
      </c>
      <c r="B319" s="71">
        <v>45765.27224668981</v>
      </c>
      <c r="C319" s="72" t="s">
        <v>1432</v>
      </c>
      <c r="D319" s="73" t="s">
        <v>1204</v>
      </c>
      <c r="E319" s="72" t="s">
        <v>1205</v>
      </c>
      <c r="F319" s="89" t="s">
        <v>1202</v>
      </c>
      <c r="G319" s="76">
        <v>429.0</v>
      </c>
      <c r="H319" s="76">
        <v>8.0</v>
      </c>
      <c r="I319" s="76">
        <v>7.0</v>
      </c>
      <c r="J319" s="76">
        <v>1.0</v>
      </c>
      <c r="K319" s="76">
        <v>1938.0</v>
      </c>
      <c r="L319" s="72" t="s">
        <v>197</v>
      </c>
      <c r="M319" s="72" t="s">
        <v>197</v>
      </c>
      <c r="N319" s="76">
        <v>6.0</v>
      </c>
      <c r="O319" s="72" t="s">
        <v>401</v>
      </c>
      <c r="P319" s="85">
        <v>0.8</v>
      </c>
      <c r="Q319" s="76">
        <v>8.0</v>
      </c>
      <c r="R319" s="76">
        <v>3.0</v>
      </c>
      <c r="S319" s="76">
        <v>8.0</v>
      </c>
      <c r="T319" s="78" t="s">
        <v>1433</v>
      </c>
      <c r="U319" s="78" t="s">
        <v>1434</v>
      </c>
      <c r="V319" s="78" t="s">
        <v>1435</v>
      </c>
      <c r="W319" s="72" t="s">
        <v>1436</v>
      </c>
      <c r="X319" s="77"/>
      <c r="Y319" s="72" t="s">
        <v>401</v>
      </c>
      <c r="Z319" s="72" t="s">
        <v>1437</v>
      </c>
      <c r="AA319" s="76">
        <v>2.0</v>
      </c>
      <c r="AB319" s="77"/>
      <c r="AC319" s="79"/>
      <c r="AD319" s="54"/>
      <c r="AE319" s="54"/>
      <c r="AF319" s="54"/>
      <c r="AG319" s="54"/>
      <c r="AH319" s="54"/>
      <c r="AI319" s="38"/>
      <c r="AJ319" s="38"/>
      <c r="AK319" s="38"/>
      <c r="AL319" s="38"/>
      <c r="AM319" s="38"/>
      <c r="AN319" s="38"/>
      <c r="AO319" s="38"/>
      <c r="AP319" s="38"/>
      <c r="AQ319" s="38"/>
      <c r="AR319" s="38"/>
      <c r="AS319" s="38"/>
      <c r="AT319" s="38"/>
      <c r="AU319" s="38"/>
      <c r="AV319" s="38"/>
      <c r="AW319" s="38"/>
      <c r="AX319" s="38"/>
      <c r="AY319" s="38"/>
      <c r="AZ319" s="38"/>
      <c r="BA319" s="38"/>
      <c r="BB319" s="38"/>
      <c r="BC319" s="38"/>
    </row>
    <row r="320">
      <c r="A320" s="90" t="s">
        <v>1438</v>
      </c>
      <c r="B320" s="61">
        <v>45765.27748586806</v>
      </c>
      <c r="C320" s="68" t="s">
        <v>1439</v>
      </c>
      <c r="D320" s="63" t="s">
        <v>1440</v>
      </c>
      <c r="E320" s="68" t="s">
        <v>1441</v>
      </c>
      <c r="F320" s="87" t="s">
        <v>1438</v>
      </c>
      <c r="G320" s="94">
        <v>418.0</v>
      </c>
      <c r="H320" s="62">
        <v>6.0</v>
      </c>
      <c r="I320" s="62">
        <v>6.0</v>
      </c>
      <c r="J320" s="62">
        <v>0.0</v>
      </c>
      <c r="K320" s="62">
        <v>1976.0</v>
      </c>
      <c r="L320" s="68" t="s">
        <v>197</v>
      </c>
      <c r="M320" s="68" t="s">
        <v>197</v>
      </c>
      <c r="N320" s="62">
        <v>7.0</v>
      </c>
      <c r="O320" s="68" t="s">
        <v>197</v>
      </c>
      <c r="P320" s="66"/>
      <c r="Q320" s="66"/>
      <c r="R320" s="66"/>
      <c r="S320" s="66"/>
      <c r="T320" s="67" t="s">
        <v>1442</v>
      </c>
      <c r="U320" s="67" t="s">
        <v>1443</v>
      </c>
      <c r="V320" s="67" t="s">
        <v>1444</v>
      </c>
      <c r="W320" s="68" t="s">
        <v>197</v>
      </c>
      <c r="X320" s="66"/>
      <c r="Y320" s="66"/>
      <c r="Z320" s="68" t="s">
        <v>1445</v>
      </c>
      <c r="AA320" s="62">
        <v>1.0</v>
      </c>
      <c r="AB320" s="66"/>
      <c r="AC320" s="69"/>
      <c r="AD320" s="37"/>
      <c r="AE320" s="37"/>
      <c r="AF320" s="37"/>
      <c r="AG320" s="37"/>
      <c r="AH320" s="37"/>
      <c r="AI320" s="38"/>
      <c r="AJ320" s="38"/>
      <c r="AK320" s="38"/>
      <c r="AL320" s="38"/>
      <c r="AM320" s="38"/>
      <c r="AN320" s="38"/>
      <c r="AO320" s="38"/>
      <c r="AP320" s="38"/>
      <c r="AQ320" s="38"/>
      <c r="AR320" s="38"/>
      <c r="AS320" s="38"/>
      <c r="AT320" s="38"/>
      <c r="AU320" s="38"/>
      <c r="AV320" s="38"/>
      <c r="AW320" s="38"/>
      <c r="AX320" s="38"/>
      <c r="AY320" s="38"/>
      <c r="AZ320" s="38"/>
      <c r="BA320" s="38"/>
      <c r="BB320" s="38"/>
      <c r="BC320" s="38"/>
    </row>
    <row r="321">
      <c r="A321" s="83" t="s">
        <v>1446</v>
      </c>
      <c r="B321" s="71">
        <v>45765.286586145834</v>
      </c>
      <c r="C321" s="76" t="s">
        <v>1447</v>
      </c>
      <c r="D321" s="73" t="s">
        <v>1448</v>
      </c>
      <c r="E321" s="76" t="s">
        <v>1449</v>
      </c>
      <c r="F321" s="84" t="s">
        <v>1446</v>
      </c>
      <c r="G321" s="76">
        <v>173.0</v>
      </c>
      <c r="H321" s="76">
        <v>10.0</v>
      </c>
      <c r="I321" s="76">
        <v>10.0</v>
      </c>
      <c r="J321" s="76" t="s">
        <v>1450</v>
      </c>
      <c r="K321" s="76">
        <v>1925.0</v>
      </c>
      <c r="L321" s="72" t="s">
        <v>197</v>
      </c>
      <c r="M321" s="76" t="s">
        <v>799</v>
      </c>
      <c r="N321" s="76">
        <v>10.0</v>
      </c>
      <c r="O321" s="72" t="s">
        <v>197</v>
      </c>
      <c r="P321" s="77"/>
      <c r="Q321" s="77"/>
      <c r="R321" s="77"/>
      <c r="S321" s="77"/>
      <c r="T321" s="78" t="s">
        <v>1451</v>
      </c>
      <c r="U321" s="78" t="s">
        <v>1452</v>
      </c>
      <c r="V321" s="78" t="s">
        <v>1453</v>
      </c>
      <c r="W321" s="77"/>
      <c r="X321" s="77"/>
      <c r="Y321" s="77"/>
      <c r="Z321" s="72" t="s">
        <v>1454</v>
      </c>
      <c r="AA321" s="72" t="s">
        <v>8</v>
      </c>
      <c r="AB321" s="77"/>
      <c r="AC321" s="79"/>
      <c r="AD321" s="54"/>
      <c r="AE321" s="54"/>
      <c r="AF321" s="54"/>
      <c r="AG321" s="54"/>
      <c r="AH321" s="54"/>
      <c r="AI321" s="38"/>
      <c r="AJ321" s="38"/>
      <c r="AK321" s="38"/>
      <c r="AL321" s="38"/>
      <c r="AM321" s="38"/>
      <c r="AN321" s="38"/>
      <c r="AO321" s="38"/>
      <c r="AP321" s="38"/>
      <c r="AQ321" s="38"/>
      <c r="AR321" s="38"/>
      <c r="AS321" s="38"/>
      <c r="AT321" s="38"/>
      <c r="AU321" s="38"/>
      <c r="AV321" s="38"/>
      <c r="AW321" s="38"/>
      <c r="AX321" s="38"/>
      <c r="AY321" s="38"/>
      <c r="AZ321" s="38"/>
      <c r="BA321" s="38"/>
      <c r="BB321" s="38"/>
      <c r="BC321" s="38"/>
    </row>
    <row r="322">
      <c r="A322" s="90" t="s">
        <v>1211</v>
      </c>
      <c r="B322" s="61">
        <v>45765.288355173616</v>
      </c>
      <c r="C322" s="68" t="s">
        <v>1455</v>
      </c>
      <c r="D322" s="63" t="s">
        <v>1213</v>
      </c>
      <c r="E322" s="62" t="s">
        <v>1456</v>
      </c>
      <c r="F322" s="87" t="s">
        <v>1211</v>
      </c>
      <c r="G322" s="62">
        <v>260.0</v>
      </c>
      <c r="H322" s="62">
        <v>0.0</v>
      </c>
      <c r="I322" s="62">
        <v>0.0</v>
      </c>
      <c r="J322" s="62" t="s">
        <v>1457</v>
      </c>
      <c r="K322" s="62">
        <v>1973.0</v>
      </c>
      <c r="L322" s="68" t="s">
        <v>197</v>
      </c>
      <c r="M322" s="62" t="s">
        <v>799</v>
      </c>
      <c r="N322" s="62">
        <v>10.0</v>
      </c>
      <c r="O322" s="68" t="s">
        <v>197</v>
      </c>
      <c r="P322" s="66"/>
      <c r="Q322" s="66"/>
      <c r="R322" s="66"/>
      <c r="S322" s="66"/>
      <c r="T322" s="68" t="s">
        <v>1458</v>
      </c>
      <c r="U322" s="68" t="s">
        <v>1459</v>
      </c>
      <c r="V322" s="67" t="s">
        <v>1460</v>
      </c>
      <c r="W322" s="62" t="s">
        <v>799</v>
      </c>
      <c r="X322" s="66"/>
      <c r="Y322" s="66"/>
      <c r="Z322" s="68" t="s">
        <v>1219</v>
      </c>
      <c r="AA322" s="62">
        <v>2.0</v>
      </c>
      <c r="AB322" s="66"/>
      <c r="AC322" s="69"/>
      <c r="AD322" s="37"/>
      <c r="AE322" s="37"/>
      <c r="AF322" s="37"/>
      <c r="AG322" s="37"/>
      <c r="AH322" s="37"/>
      <c r="AI322" s="38"/>
      <c r="AJ322" s="38"/>
      <c r="AK322" s="38"/>
      <c r="AL322" s="38"/>
      <c r="AM322" s="38"/>
      <c r="AN322" s="38"/>
      <c r="AO322" s="38"/>
      <c r="AP322" s="38"/>
      <c r="AQ322" s="38"/>
      <c r="AR322" s="38"/>
      <c r="AS322" s="38"/>
      <c r="AT322" s="38"/>
      <c r="AU322" s="38"/>
      <c r="AV322" s="38"/>
      <c r="AW322" s="38"/>
      <c r="AX322" s="38"/>
      <c r="AY322" s="38"/>
      <c r="AZ322" s="38"/>
      <c r="BA322" s="38"/>
      <c r="BB322" s="38"/>
      <c r="BC322" s="38"/>
    </row>
    <row r="323">
      <c r="A323" s="88" t="s">
        <v>1461</v>
      </c>
      <c r="B323" s="71">
        <v>45765.293347997685</v>
      </c>
      <c r="C323" s="72" t="s">
        <v>286</v>
      </c>
      <c r="D323" s="73" t="s">
        <v>1462</v>
      </c>
      <c r="E323" s="76" t="s">
        <v>1463</v>
      </c>
      <c r="F323" s="89" t="s">
        <v>1461</v>
      </c>
      <c r="G323" s="76">
        <v>400.0</v>
      </c>
      <c r="H323" s="76">
        <v>9.0</v>
      </c>
      <c r="I323" s="76">
        <v>7.0</v>
      </c>
      <c r="J323" s="76">
        <v>2.0</v>
      </c>
      <c r="K323" s="76">
        <v>1964.0</v>
      </c>
      <c r="L323" s="72" t="s">
        <v>197</v>
      </c>
      <c r="M323" s="76">
        <v>0.0</v>
      </c>
      <c r="N323" s="76">
        <v>10.0</v>
      </c>
      <c r="O323" s="72" t="s">
        <v>401</v>
      </c>
      <c r="P323" s="85">
        <v>0.9</v>
      </c>
      <c r="Q323" s="76">
        <v>9.0</v>
      </c>
      <c r="R323" s="76">
        <v>1.0</v>
      </c>
      <c r="S323" s="76">
        <v>9.0</v>
      </c>
      <c r="T323" s="72" t="s">
        <v>1464</v>
      </c>
      <c r="U323" s="72" t="s">
        <v>1465</v>
      </c>
      <c r="V323" s="78" t="s">
        <v>1466</v>
      </c>
      <c r="W323" s="77"/>
      <c r="X323" s="77"/>
      <c r="Y323" s="72" t="s">
        <v>401</v>
      </c>
      <c r="Z323" s="72" t="s">
        <v>1467</v>
      </c>
      <c r="AA323" s="76">
        <v>2.0</v>
      </c>
      <c r="AB323" s="77"/>
      <c r="AC323" s="79"/>
      <c r="AD323" s="54"/>
      <c r="AE323" s="54"/>
      <c r="AF323" s="54"/>
      <c r="AG323" s="54"/>
      <c r="AH323" s="54"/>
      <c r="AI323" s="38"/>
      <c r="AJ323" s="38"/>
      <c r="AK323" s="38"/>
      <c r="AL323" s="38"/>
      <c r="AM323" s="38"/>
      <c r="AN323" s="38"/>
      <c r="AO323" s="38"/>
      <c r="AP323" s="38"/>
      <c r="AQ323" s="38"/>
      <c r="AR323" s="38"/>
      <c r="AS323" s="38"/>
      <c r="AT323" s="38"/>
      <c r="AU323" s="38"/>
      <c r="AV323" s="38"/>
      <c r="AW323" s="38"/>
      <c r="AX323" s="38"/>
      <c r="AY323" s="38"/>
      <c r="AZ323" s="38"/>
      <c r="BA323" s="38"/>
      <c r="BB323" s="38"/>
      <c r="BC323" s="38"/>
    </row>
    <row r="324">
      <c r="A324" s="90" t="s">
        <v>1468</v>
      </c>
      <c r="B324" s="61">
        <v>45765.29788865741</v>
      </c>
      <c r="C324" s="68" t="s">
        <v>1469</v>
      </c>
      <c r="D324" s="63" t="s">
        <v>1470</v>
      </c>
      <c r="E324" s="68" t="s">
        <v>1471</v>
      </c>
      <c r="F324" s="87" t="s">
        <v>1468</v>
      </c>
      <c r="G324" s="62">
        <v>200.0</v>
      </c>
      <c r="H324" s="62">
        <v>8.0</v>
      </c>
      <c r="I324" s="62">
        <v>7.0</v>
      </c>
      <c r="J324" s="62">
        <v>2.0</v>
      </c>
      <c r="K324" s="62">
        <v>1950.0</v>
      </c>
      <c r="L324" s="68" t="s">
        <v>197</v>
      </c>
      <c r="M324" s="68" t="s">
        <v>1472</v>
      </c>
      <c r="N324" s="62">
        <v>10.0</v>
      </c>
      <c r="O324" s="68" t="s">
        <v>197</v>
      </c>
      <c r="P324" s="66"/>
      <c r="Q324" s="66"/>
      <c r="R324" s="66"/>
      <c r="S324" s="66"/>
      <c r="T324" s="67" t="s">
        <v>1473</v>
      </c>
      <c r="U324" s="67" t="s">
        <v>1474</v>
      </c>
      <c r="V324" s="67" t="s">
        <v>1475</v>
      </c>
      <c r="W324" s="68" t="s">
        <v>197</v>
      </c>
      <c r="X324" s="66"/>
      <c r="Y324" s="66"/>
      <c r="Z324" s="68" t="s">
        <v>1476</v>
      </c>
      <c r="AA324" s="62">
        <v>1.0</v>
      </c>
      <c r="AB324" s="66"/>
      <c r="AC324" s="69"/>
      <c r="AD324" s="37"/>
      <c r="AE324" s="37"/>
      <c r="AF324" s="37"/>
      <c r="AG324" s="37"/>
      <c r="AH324" s="37"/>
      <c r="AI324" s="38"/>
      <c r="AJ324" s="38"/>
      <c r="AK324" s="38"/>
      <c r="AL324" s="38"/>
      <c r="AM324" s="38"/>
      <c r="AN324" s="38"/>
      <c r="AO324" s="38"/>
      <c r="AP324" s="38"/>
      <c r="AQ324" s="38"/>
      <c r="AR324" s="38"/>
      <c r="AS324" s="38"/>
      <c r="AT324" s="38"/>
      <c r="AU324" s="38"/>
      <c r="AV324" s="38"/>
      <c r="AW324" s="38"/>
      <c r="AX324" s="38"/>
      <c r="AY324" s="38"/>
      <c r="AZ324" s="38"/>
      <c r="BA324" s="38"/>
      <c r="BB324" s="38"/>
      <c r="BC324" s="38"/>
    </row>
    <row r="325">
      <c r="A325" s="88" t="s">
        <v>1178</v>
      </c>
      <c r="B325" s="71">
        <v>45765.302992997684</v>
      </c>
      <c r="C325" s="72" t="s">
        <v>1179</v>
      </c>
      <c r="D325" s="73" t="s">
        <v>1180</v>
      </c>
      <c r="E325" s="72" t="s">
        <v>1181</v>
      </c>
      <c r="F325" s="89" t="s">
        <v>1178</v>
      </c>
      <c r="G325" s="76">
        <v>430.0</v>
      </c>
      <c r="H325" s="76">
        <v>7.0</v>
      </c>
      <c r="I325" s="76">
        <v>7.0</v>
      </c>
      <c r="J325" s="76">
        <v>2.0</v>
      </c>
      <c r="K325" s="76">
        <v>1960.0</v>
      </c>
      <c r="L325" s="72" t="s">
        <v>197</v>
      </c>
      <c r="M325" s="72" t="s">
        <v>197</v>
      </c>
      <c r="N325" s="76">
        <v>7.0</v>
      </c>
      <c r="O325" s="72" t="s">
        <v>401</v>
      </c>
      <c r="P325" s="85">
        <v>1.0</v>
      </c>
      <c r="Q325" s="76">
        <v>7.0</v>
      </c>
      <c r="R325" s="76">
        <v>3.0</v>
      </c>
      <c r="S325" s="76">
        <v>7.0</v>
      </c>
      <c r="T325" s="78" t="s">
        <v>1477</v>
      </c>
      <c r="U325" s="78" t="s">
        <v>1478</v>
      </c>
      <c r="V325" s="78" t="s">
        <v>1479</v>
      </c>
      <c r="W325" s="77"/>
      <c r="X325" s="77"/>
      <c r="Y325" s="72" t="s">
        <v>401</v>
      </c>
      <c r="Z325" s="72" t="s">
        <v>1185</v>
      </c>
      <c r="AA325" s="76">
        <v>2.0</v>
      </c>
      <c r="AB325" s="77"/>
      <c r="AC325" s="79"/>
      <c r="AD325" s="54"/>
      <c r="AE325" s="54"/>
      <c r="AF325" s="54"/>
      <c r="AG325" s="54"/>
      <c r="AH325" s="54"/>
      <c r="AI325" s="38"/>
      <c r="AJ325" s="38"/>
      <c r="AK325" s="38"/>
      <c r="AL325" s="38"/>
      <c r="AM325" s="38"/>
      <c r="AN325" s="38"/>
      <c r="AO325" s="38"/>
      <c r="AP325" s="38"/>
      <c r="AQ325" s="38"/>
      <c r="AR325" s="38"/>
      <c r="AS325" s="38"/>
      <c r="AT325" s="38"/>
      <c r="AU325" s="38"/>
      <c r="AV325" s="38"/>
      <c r="AW325" s="38"/>
      <c r="AX325" s="38"/>
      <c r="AY325" s="38"/>
      <c r="AZ325" s="38"/>
      <c r="BA325" s="38"/>
      <c r="BB325" s="38"/>
      <c r="BC325" s="38"/>
    </row>
    <row r="326">
      <c r="A326" s="90" t="s">
        <v>1480</v>
      </c>
      <c r="B326" s="61">
        <v>45765.30406753472</v>
      </c>
      <c r="C326" s="68" t="s">
        <v>1221</v>
      </c>
      <c r="D326" s="63" t="s">
        <v>1222</v>
      </c>
      <c r="E326" s="68" t="s">
        <v>1481</v>
      </c>
      <c r="F326" s="87" t="s">
        <v>1480</v>
      </c>
      <c r="G326" s="94">
        <v>345.0</v>
      </c>
      <c r="H326" s="62">
        <v>9.0</v>
      </c>
      <c r="I326" s="62">
        <v>10.0</v>
      </c>
      <c r="J326" s="62">
        <v>0.0</v>
      </c>
      <c r="K326" s="62">
        <v>1935.0</v>
      </c>
      <c r="L326" s="68" t="s">
        <v>197</v>
      </c>
      <c r="M326" s="68" t="s">
        <v>1482</v>
      </c>
      <c r="N326" s="62">
        <v>8.0</v>
      </c>
      <c r="O326" s="68" t="s">
        <v>401</v>
      </c>
      <c r="P326" s="95">
        <v>0.5</v>
      </c>
      <c r="Q326" s="62">
        <v>5.0</v>
      </c>
      <c r="R326" s="62">
        <v>6.0</v>
      </c>
      <c r="S326" s="62">
        <v>5.0</v>
      </c>
      <c r="T326" s="66"/>
      <c r="U326" s="68" t="s">
        <v>1483</v>
      </c>
      <c r="V326" s="67" t="s">
        <v>1484</v>
      </c>
      <c r="W326" s="68" t="s">
        <v>1228</v>
      </c>
      <c r="X326" s="66"/>
      <c r="Y326" s="68" t="s">
        <v>401</v>
      </c>
      <c r="Z326" s="68" t="s">
        <v>1229</v>
      </c>
      <c r="AA326" s="62">
        <v>2.0</v>
      </c>
      <c r="AB326" s="66"/>
      <c r="AC326" s="69"/>
      <c r="AD326" s="37"/>
      <c r="AE326" s="37"/>
      <c r="AF326" s="37"/>
      <c r="AG326" s="37"/>
      <c r="AH326" s="37"/>
      <c r="AI326" s="38"/>
      <c r="AJ326" s="38"/>
      <c r="AK326" s="38"/>
      <c r="AL326" s="38"/>
      <c r="AM326" s="38"/>
      <c r="AN326" s="38"/>
      <c r="AO326" s="38"/>
      <c r="AP326" s="38"/>
      <c r="AQ326" s="38"/>
      <c r="AR326" s="38"/>
      <c r="AS326" s="38"/>
      <c r="AT326" s="38"/>
      <c r="AU326" s="38"/>
      <c r="AV326" s="38"/>
      <c r="AW326" s="38"/>
      <c r="AX326" s="38"/>
      <c r="AY326" s="38"/>
      <c r="AZ326" s="38"/>
      <c r="BA326" s="38"/>
      <c r="BB326" s="38"/>
      <c r="BC326" s="38"/>
    </row>
    <row r="327">
      <c r="A327" s="88" t="s">
        <v>1485</v>
      </c>
      <c r="B327" s="71">
        <v>45765.31811795139</v>
      </c>
      <c r="C327" s="72" t="s">
        <v>296</v>
      </c>
      <c r="D327" s="72" t="s">
        <v>1299</v>
      </c>
      <c r="E327" s="72" t="s">
        <v>1486</v>
      </c>
      <c r="F327" s="89" t="s">
        <v>1485</v>
      </c>
      <c r="G327" s="76">
        <v>150.0</v>
      </c>
      <c r="H327" s="76">
        <v>5.0</v>
      </c>
      <c r="I327" s="76">
        <v>5.0</v>
      </c>
      <c r="J327" s="76">
        <v>0.0</v>
      </c>
      <c r="K327" s="76">
        <v>1960.0</v>
      </c>
      <c r="L327" s="72" t="s">
        <v>197</v>
      </c>
      <c r="M327" s="72" t="s">
        <v>1487</v>
      </c>
      <c r="N327" s="76">
        <v>10.0</v>
      </c>
      <c r="O327" s="72" t="s">
        <v>401</v>
      </c>
      <c r="P327" s="85">
        <v>1.0</v>
      </c>
      <c r="Q327" s="76">
        <v>9.0</v>
      </c>
      <c r="R327" s="76">
        <v>3.0</v>
      </c>
      <c r="S327" s="76">
        <v>9.0</v>
      </c>
      <c r="T327" s="78" t="s">
        <v>1488</v>
      </c>
      <c r="U327" s="78" t="s">
        <v>1489</v>
      </c>
      <c r="V327" s="78" t="s">
        <v>1490</v>
      </c>
      <c r="W327" s="72" t="s">
        <v>1304</v>
      </c>
      <c r="X327" s="77"/>
      <c r="Y327" s="72" t="s">
        <v>401</v>
      </c>
      <c r="Z327" s="72" t="s">
        <v>1305</v>
      </c>
      <c r="AA327" s="76">
        <v>2.0</v>
      </c>
      <c r="AB327" s="77"/>
      <c r="AC327" s="79"/>
      <c r="AD327" s="54"/>
      <c r="AE327" s="54"/>
      <c r="AF327" s="54"/>
      <c r="AG327" s="54"/>
      <c r="AH327" s="54"/>
      <c r="AI327" s="38"/>
      <c r="AJ327" s="38"/>
      <c r="AK327" s="38"/>
      <c r="AL327" s="38"/>
      <c r="AM327" s="38"/>
      <c r="AN327" s="38"/>
      <c r="AO327" s="38"/>
      <c r="AP327" s="38"/>
      <c r="AQ327" s="38"/>
      <c r="AR327" s="38"/>
      <c r="AS327" s="38"/>
      <c r="AT327" s="38"/>
      <c r="AU327" s="38"/>
      <c r="AV327" s="38"/>
      <c r="AW327" s="38"/>
      <c r="AX327" s="38"/>
      <c r="AY327" s="38"/>
      <c r="AZ327" s="38"/>
      <c r="BA327" s="38"/>
      <c r="BB327" s="38"/>
      <c r="BC327" s="38"/>
    </row>
    <row r="328">
      <c r="A328" s="100" t="s">
        <v>1491</v>
      </c>
      <c r="B328" s="101">
        <v>45765.31900956019</v>
      </c>
      <c r="C328" s="102" t="s">
        <v>1492</v>
      </c>
      <c r="D328" s="103" t="s">
        <v>1493</v>
      </c>
      <c r="E328" s="102" t="s">
        <v>1494</v>
      </c>
      <c r="F328" s="104" t="s">
        <v>1491</v>
      </c>
      <c r="G328" s="105">
        <v>370.0</v>
      </c>
      <c r="H328" s="105">
        <v>10.0</v>
      </c>
      <c r="I328" s="105">
        <v>10.0</v>
      </c>
      <c r="J328" s="105">
        <v>0.0</v>
      </c>
      <c r="K328" s="105">
        <v>1956.0</v>
      </c>
      <c r="L328" s="102" t="s">
        <v>197</v>
      </c>
      <c r="M328" s="102" t="s">
        <v>197</v>
      </c>
      <c r="N328" s="105">
        <v>10.0</v>
      </c>
      <c r="O328" s="102" t="s">
        <v>197</v>
      </c>
      <c r="P328" s="106"/>
      <c r="Q328" s="106"/>
      <c r="R328" s="106"/>
      <c r="S328" s="106"/>
      <c r="T328" s="107" t="s">
        <v>1495</v>
      </c>
      <c r="U328" s="107" t="s">
        <v>1496</v>
      </c>
      <c r="V328" s="107" t="s">
        <v>1497</v>
      </c>
      <c r="W328" s="102" t="s">
        <v>197</v>
      </c>
      <c r="X328" s="106"/>
      <c r="Y328" s="106"/>
      <c r="Z328" s="102" t="s">
        <v>1498</v>
      </c>
      <c r="AA328" s="105">
        <v>1.0</v>
      </c>
      <c r="AB328" s="106"/>
      <c r="AC328" s="10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row>
    <row r="329">
      <c r="A329" s="100" t="s">
        <v>1499</v>
      </c>
      <c r="B329" s="109">
        <v>45765.325127268516</v>
      </c>
      <c r="C329" s="110" t="s">
        <v>1500</v>
      </c>
      <c r="D329" s="110" t="s">
        <v>1501</v>
      </c>
      <c r="E329" s="110" t="s">
        <v>1293</v>
      </c>
      <c r="F329" s="104" t="s">
        <v>1499</v>
      </c>
      <c r="G329" s="111">
        <v>410.0</v>
      </c>
      <c r="H329" s="112">
        <v>8.0</v>
      </c>
      <c r="I329" s="112">
        <v>7.0</v>
      </c>
      <c r="J329" s="112">
        <v>0.0</v>
      </c>
      <c r="K329" s="112">
        <v>1960.0</v>
      </c>
      <c r="L329" s="110" t="s">
        <v>197</v>
      </c>
      <c r="M329" s="110" t="s">
        <v>1261</v>
      </c>
      <c r="N329" s="112">
        <v>7.0</v>
      </c>
      <c r="O329" s="110" t="s">
        <v>401</v>
      </c>
      <c r="P329" s="113">
        <v>0.2</v>
      </c>
      <c r="Q329" s="112">
        <v>2.0</v>
      </c>
      <c r="R329" s="112">
        <v>9.0</v>
      </c>
      <c r="S329" s="112">
        <v>2.0</v>
      </c>
      <c r="T329" s="110" t="s">
        <v>1502</v>
      </c>
      <c r="U329" s="110" t="s">
        <v>1503</v>
      </c>
      <c r="V329" s="114" t="s">
        <v>1504</v>
      </c>
      <c r="W329" s="115"/>
      <c r="X329" s="115"/>
      <c r="Y329" s="110" t="s">
        <v>401</v>
      </c>
      <c r="Z329" s="110" t="s">
        <v>1265</v>
      </c>
      <c r="AA329" s="112">
        <v>2.0</v>
      </c>
      <c r="AB329" s="115"/>
      <c r="AC329" s="116"/>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row>
    <row r="330">
      <c r="A330" s="100" t="s">
        <v>1505</v>
      </c>
      <c r="B330" s="101">
        <v>45765.32821920139</v>
      </c>
      <c r="C330" s="102" t="s">
        <v>1506</v>
      </c>
      <c r="D330" s="103" t="s">
        <v>1507</v>
      </c>
      <c r="E330" s="102" t="s">
        <v>1508</v>
      </c>
      <c r="F330" s="104" t="s">
        <v>1505</v>
      </c>
      <c r="G330" s="117">
        <v>190.0</v>
      </c>
      <c r="H330" s="105">
        <v>10.0</v>
      </c>
      <c r="I330" s="105">
        <v>9.0</v>
      </c>
      <c r="J330" s="105">
        <v>0.0</v>
      </c>
      <c r="K330" s="105">
        <v>1948.0</v>
      </c>
      <c r="L330" s="102" t="s">
        <v>197</v>
      </c>
      <c r="M330" s="102" t="s">
        <v>197</v>
      </c>
      <c r="N330" s="105">
        <v>8.0</v>
      </c>
      <c r="O330" s="102" t="s">
        <v>197</v>
      </c>
      <c r="P330" s="106"/>
      <c r="Q330" s="106"/>
      <c r="R330" s="106"/>
      <c r="S330" s="106"/>
      <c r="T330" s="107" t="s">
        <v>1509</v>
      </c>
      <c r="U330" s="107" t="s">
        <v>1510</v>
      </c>
      <c r="V330" s="107" t="s">
        <v>1511</v>
      </c>
      <c r="W330" s="106"/>
      <c r="X330" s="106"/>
      <c r="Y330" s="106"/>
      <c r="Z330" s="102" t="s">
        <v>1512</v>
      </c>
      <c r="AA330" s="105">
        <v>1.0</v>
      </c>
      <c r="AB330" s="106"/>
      <c r="AC330" s="10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row>
    <row r="331">
      <c r="A331" s="118" t="s">
        <v>1257</v>
      </c>
      <c r="B331" s="119"/>
      <c r="C331" s="110" t="s">
        <v>1513</v>
      </c>
      <c r="D331" s="120" t="s">
        <v>1514</v>
      </c>
      <c r="E331" s="110" t="s">
        <v>1515</v>
      </c>
      <c r="F331" s="104" t="s">
        <v>1257</v>
      </c>
      <c r="G331" s="112">
        <v>350.0</v>
      </c>
      <c r="H331" s="112">
        <v>8.0</v>
      </c>
      <c r="I331" s="112">
        <v>7.0</v>
      </c>
      <c r="J331" s="112">
        <v>0.0</v>
      </c>
      <c r="K331" s="112">
        <v>1927.0</v>
      </c>
      <c r="L331" s="110" t="s">
        <v>197</v>
      </c>
      <c r="M331" s="110" t="s">
        <v>1516</v>
      </c>
      <c r="N331" s="112">
        <v>9.0</v>
      </c>
      <c r="O331" s="110" t="s">
        <v>401</v>
      </c>
      <c r="P331" s="113">
        <v>0.6</v>
      </c>
      <c r="Q331" s="112">
        <v>6.0</v>
      </c>
      <c r="R331" s="112">
        <v>7.0</v>
      </c>
      <c r="S331" s="112">
        <v>5.0</v>
      </c>
      <c r="T331" s="110" t="s">
        <v>1517</v>
      </c>
      <c r="U331" s="110" t="s">
        <v>1518</v>
      </c>
      <c r="V331" s="114" t="s">
        <v>1519</v>
      </c>
      <c r="W331" s="115"/>
      <c r="X331" s="115"/>
      <c r="Y331" s="110" t="s">
        <v>401</v>
      </c>
      <c r="Z331" s="110" t="s">
        <v>1520</v>
      </c>
      <c r="AA331" s="112">
        <v>2.0</v>
      </c>
      <c r="AB331" s="115"/>
      <c r="AC331" s="116"/>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row>
    <row r="332">
      <c r="A332" s="100" t="s">
        <v>1248</v>
      </c>
      <c r="B332" s="101">
        <v>45765.34146784722</v>
      </c>
      <c r="C332" s="102" t="s">
        <v>1249</v>
      </c>
      <c r="D332" s="102" t="s">
        <v>1521</v>
      </c>
      <c r="E332" s="102" t="s">
        <v>1251</v>
      </c>
      <c r="F332" s="104" t="s">
        <v>1248</v>
      </c>
      <c r="G332" s="105">
        <v>130.0</v>
      </c>
      <c r="H332" s="105">
        <v>8.0</v>
      </c>
      <c r="I332" s="105">
        <v>7.0</v>
      </c>
      <c r="J332" s="105">
        <v>1.0</v>
      </c>
      <c r="K332" s="105">
        <v>1935.0</v>
      </c>
      <c r="L332" s="102" t="s">
        <v>197</v>
      </c>
      <c r="M332" s="102" t="s">
        <v>1522</v>
      </c>
      <c r="N332" s="105">
        <v>7.0</v>
      </c>
      <c r="O332" s="102" t="s">
        <v>401</v>
      </c>
      <c r="P332" s="121">
        <v>0.8</v>
      </c>
      <c r="Q332" s="105">
        <v>7.0</v>
      </c>
      <c r="R332" s="105">
        <v>4.0</v>
      </c>
      <c r="S332" s="105">
        <v>6.0</v>
      </c>
      <c r="T332" s="102" t="s">
        <v>1523</v>
      </c>
      <c r="U332" s="102" t="s">
        <v>1524</v>
      </c>
      <c r="V332" s="107" t="s">
        <v>1525</v>
      </c>
      <c r="W332" s="106"/>
      <c r="X332" s="106"/>
      <c r="Y332" s="102" t="s">
        <v>401</v>
      </c>
      <c r="Z332" s="102" t="s">
        <v>1265</v>
      </c>
      <c r="AA332" s="105">
        <v>2.0</v>
      </c>
      <c r="AB332" s="106"/>
      <c r="AC332" s="10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row>
    <row r="333">
      <c r="A333" s="100" t="s">
        <v>1134</v>
      </c>
      <c r="B333" s="109">
        <v>45765.34164532408</v>
      </c>
      <c r="C333" s="110" t="s">
        <v>1526</v>
      </c>
      <c r="D333" s="120" t="s">
        <v>1125</v>
      </c>
      <c r="E333" s="110" t="s">
        <v>1527</v>
      </c>
      <c r="F333" s="104" t="s">
        <v>1134</v>
      </c>
      <c r="G333" s="112">
        <v>220.0</v>
      </c>
      <c r="H333" s="112">
        <v>9.0</v>
      </c>
      <c r="I333" s="112">
        <v>9.0</v>
      </c>
      <c r="J333" s="112">
        <v>0.0</v>
      </c>
      <c r="K333" s="112">
        <v>1985.0</v>
      </c>
      <c r="L333" s="110" t="s">
        <v>197</v>
      </c>
      <c r="M333" s="110" t="s">
        <v>197</v>
      </c>
      <c r="N333" s="112">
        <v>7.0</v>
      </c>
      <c r="O333" s="110" t="s">
        <v>401</v>
      </c>
      <c r="P333" s="113">
        <v>1.0</v>
      </c>
      <c r="Q333" s="112">
        <v>10.0</v>
      </c>
      <c r="R333" s="112">
        <v>1.0</v>
      </c>
      <c r="S333" s="112">
        <v>10.0</v>
      </c>
      <c r="T333" s="114" t="s">
        <v>1528</v>
      </c>
      <c r="U333" s="114" t="s">
        <v>1529</v>
      </c>
      <c r="V333" s="114" t="s">
        <v>1530</v>
      </c>
      <c r="W333" s="115"/>
      <c r="X333" s="115"/>
      <c r="Y333" s="110" t="s">
        <v>401</v>
      </c>
      <c r="Z333" s="110" t="s">
        <v>1131</v>
      </c>
      <c r="AA333" s="112">
        <v>2.0</v>
      </c>
      <c r="AB333" s="115"/>
      <c r="AC333" s="116"/>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row>
    <row r="334">
      <c r="A334" s="100" t="s">
        <v>1531</v>
      </c>
      <c r="B334" s="101">
        <v>45765.36696467592</v>
      </c>
      <c r="C334" s="102" t="s">
        <v>1315</v>
      </c>
      <c r="D334" s="103" t="s">
        <v>1308</v>
      </c>
      <c r="E334" s="102" t="s">
        <v>1532</v>
      </c>
      <c r="F334" s="104" t="s">
        <v>1531</v>
      </c>
      <c r="G334" s="117">
        <v>115.0</v>
      </c>
      <c r="H334" s="105">
        <v>9.0</v>
      </c>
      <c r="I334" s="105">
        <v>8.0</v>
      </c>
      <c r="J334" s="105">
        <v>0.0</v>
      </c>
      <c r="K334" s="105">
        <v>1940.0</v>
      </c>
      <c r="L334" s="102" t="s">
        <v>197</v>
      </c>
      <c r="M334" s="102" t="s">
        <v>197</v>
      </c>
      <c r="N334" s="105">
        <v>9.0</v>
      </c>
      <c r="O334" s="102" t="s">
        <v>401</v>
      </c>
      <c r="P334" s="121">
        <v>0.9</v>
      </c>
      <c r="Q334" s="105">
        <v>9.0</v>
      </c>
      <c r="R334" s="105">
        <v>1.0</v>
      </c>
      <c r="S334" s="105">
        <v>9.0</v>
      </c>
      <c r="T334" s="107" t="s">
        <v>1533</v>
      </c>
      <c r="U334" s="107" t="s">
        <v>1534</v>
      </c>
      <c r="V334" s="107" t="s">
        <v>1535</v>
      </c>
      <c r="W334" s="106"/>
      <c r="X334" s="106"/>
      <c r="Y334" s="102" t="s">
        <v>401</v>
      </c>
      <c r="Z334" s="102" t="s">
        <v>1077</v>
      </c>
      <c r="AA334" s="105">
        <v>2.0</v>
      </c>
      <c r="AB334" s="106"/>
      <c r="AC334" s="10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row>
    <row r="335">
      <c r="A335" s="100" t="s">
        <v>1306</v>
      </c>
      <c r="B335" s="109">
        <v>45765.37154917824</v>
      </c>
      <c r="C335" s="110" t="s">
        <v>1307</v>
      </c>
      <c r="D335" s="120" t="s">
        <v>1308</v>
      </c>
      <c r="E335" s="110" t="s">
        <v>1536</v>
      </c>
      <c r="F335" s="104" t="s">
        <v>1306</v>
      </c>
      <c r="G335" s="111">
        <v>195.0</v>
      </c>
      <c r="H335" s="112">
        <v>8.0</v>
      </c>
      <c r="I335" s="112">
        <v>7.0</v>
      </c>
      <c r="J335" s="112">
        <v>1.0</v>
      </c>
      <c r="K335" s="120" t="s">
        <v>388</v>
      </c>
      <c r="L335" s="110" t="s">
        <v>197</v>
      </c>
      <c r="M335" s="110" t="s">
        <v>1310</v>
      </c>
      <c r="N335" s="112">
        <v>9.0</v>
      </c>
      <c r="O335" s="110" t="s">
        <v>401</v>
      </c>
      <c r="P335" s="113">
        <v>0.2</v>
      </c>
      <c r="Q335" s="112">
        <v>2.0</v>
      </c>
      <c r="R335" s="112">
        <v>7.0</v>
      </c>
      <c r="S335" s="112">
        <v>2.0</v>
      </c>
      <c r="T335" s="114" t="s">
        <v>1537</v>
      </c>
      <c r="U335" s="114" t="s">
        <v>1538</v>
      </c>
      <c r="V335" s="114" t="s">
        <v>1539</v>
      </c>
      <c r="W335" s="110" t="s">
        <v>1540</v>
      </c>
      <c r="X335" s="115"/>
      <c r="Y335" s="110" t="s">
        <v>401</v>
      </c>
      <c r="Z335" s="110" t="s">
        <v>1077</v>
      </c>
      <c r="AA335" s="112">
        <v>1.0</v>
      </c>
      <c r="AB335" s="115"/>
      <c r="AC335" s="116"/>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row>
    <row r="336">
      <c r="A336" s="100" t="s">
        <v>1541</v>
      </c>
      <c r="B336" s="101">
        <v>45765.37548393519</v>
      </c>
      <c r="C336" s="102" t="s">
        <v>671</v>
      </c>
      <c r="D336" s="103" t="s">
        <v>672</v>
      </c>
      <c r="E336" s="102" t="s">
        <v>1542</v>
      </c>
      <c r="F336" s="104" t="s">
        <v>1541</v>
      </c>
      <c r="G336" s="105">
        <v>680.0</v>
      </c>
      <c r="H336" s="105">
        <v>9.0</v>
      </c>
      <c r="I336" s="105">
        <v>9.0</v>
      </c>
      <c r="J336" s="105">
        <v>0.0</v>
      </c>
      <c r="K336" s="105">
        <v>1955.0</v>
      </c>
      <c r="L336" s="102" t="s">
        <v>401</v>
      </c>
      <c r="M336" s="102" t="s">
        <v>197</v>
      </c>
      <c r="N336" s="105">
        <v>8.0</v>
      </c>
      <c r="O336" s="102" t="s">
        <v>401</v>
      </c>
      <c r="P336" s="121">
        <v>1.0</v>
      </c>
      <c r="Q336" s="105">
        <v>7.0</v>
      </c>
      <c r="R336" s="105">
        <v>3.0</v>
      </c>
      <c r="S336" s="105">
        <v>10.0</v>
      </c>
      <c r="T336" s="107" t="s">
        <v>1543</v>
      </c>
      <c r="U336" s="107" t="s">
        <v>1544</v>
      </c>
      <c r="V336" s="107" t="s">
        <v>1545</v>
      </c>
      <c r="W336" s="102" t="s">
        <v>1546</v>
      </c>
      <c r="X336" s="106"/>
      <c r="Y336" s="102" t="s">
        <v>401</v>
      </c>
      <c r="Z336" s="102" t="s">
        <v>676</v>
      </c>
      <c r="AA336" s="105">
        <v>2.0</v>
      </c>
      <c r="AB336" s="106"/>
      <c r="AC336" s="10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row>
    <row r="337">
      <c r="A337" s="100" t="s">
        <v>1547</v>
      </c>
      <c r="B337" s="109">
        <v>45765.40450071759</v>
      </c>
      <c r="C337" s="110" t="s">
        <v>1548</v>
      </c>
      <c r="D337" s="120" t="s">
        <v>1549</v>
      </c>
      <c r="E337" s="110" t="s">
        <v>1550</v>
      </c>
      <c r="F337" s="104" t="s">
        <v>1547</v>
      </c>
      <c r="G337" s="111">
        <v>620.0</v>
      </c>
      <c r="H337" s="112">
        <v>8.0</v>
      </c>
      <c r="I337" s="112">
        <v>7.0</v>
      </c>
      <c r="J337" s="112">
        <v>2.0</v>
      </c>
      <c r="K337" s="120" t="s">
        <v>388</v>
      </c>
      <c r="L337" s="110" t="s">
        <v>401</v>
      </c>
      <c r="M337" s="110" t="s">
        <v>1551</v>
      </c>
      <c r="N337" s="112">
        <v>8.0</v>
      </c>
      <c r="O337" s="110" t="s">
        <v>401</v>
      </c>
      <c r="P337" s="113">
        <v>1.0</v>
      </c>
      <c r="Q337" s="112">
        <v>9.0</v>
      </c>
      <c r="R337" s="112">
        <v>1.0</v>
      </c>
      <c r="S337" s="112">
        <v>9.0</v>
      </c>
      <c r="T337" s="114" t="s">
        <v>1552</v>
      </c>
      <c r="U337" s="114" t="s">
        <v>1553</v>
      </c>
      <c r="V337" s="114" t="s">
        <v>1554</v>
      </c>
      <c r="W337" s="115"/>
      <c r="X337" s="115"/>
      <c r="Y337" s="110" t="s">
        <v>401</v>
      </c>
      <c r="Z337" s="110" t="s">
        <v>1555</v>
      </c>
      <c r="AA337" s="112">
        <v>2.0</v>
      </c>
      <c r="AB337" s="115"/>
      <c r="AC337" s="116"/>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row>
    <row r="338">
      <c r="A338" s="100" t="s">
        <v>1266</v>
      </c>
      <c r="B338" s="101">
        <v>45765.42709622685</v>
      </c>
      <c r="C338" s="102" t="s">
        <v>1267</v>
      </c>
      <c r="D338" s="103" t="s">
        <v>1268</v>
      </c>
      <c r="E338" s="102" t="s">
        <v>1556</v>
      </c>
      <c r="F338" s="104" t="s">
        <v>1266</v>
      </c>
      <c r="G338" s="117">
        <v>225.0</v>
      </c>
      <c r="H338" s="105">
        <v>8.0</v>
      </c>
      <c r="I338" s="105">
        <v>6.0</v>
      </c>
      <c r="J338" s="105">
        <v>2.0</v>
      </c>
      <c r="K338" s="103" t="s">
        <v>388</v>
      </c>
      <c r="L338" s="102" t="s">
        <v>197</v>
      </c>
      <c r="M338" s="102" t="s">
        <v>197</v>
      </c>
      <c r="N338" s="105">
        <v>10.0</v>
      </c>
      <c r="O338" s="102" t="s">
        <v>401</v>
      </c>
      <c r="P338" s="121">
        <v>0.8</v>
      </c>
      <c r="Q338" s="105">
        <v>8.0</v>
      </c>
      <c r="R338" s="105">
        <v>1.0</v>
      </c>
      <c r="S338" s="105">
        <v>9.0</v>
      </c>
      <c r="T338" s="107" t="s">
        <v>1557</v>
      </c>
      <c r="U338" s="107" t="s">
        <v>1558</v>
      </c>
      <c r="V338" s="107" t="s">
        <v>1559</v>
      </c>
      <c r="W338" s="102" t="s">
        <v>1560</v>
      </c>
      <c r="X338" s="106"/>
      <c r="Y338" s="102" t="s">
        <v>401</v>
      </c>
      <c r="Z338" s="102" t="s">
        <v>1273</v>
      </c>
      <c r="AA338" s="105">
        <v>2.0</v>
      </c>
      <c r="AB338" s="106"/>
      <c r="AC338" s="10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row>
    <row r="339">
      <c r="A339" s="100" t="s">
        <v>1346</v>
      </c>
      <c r="B339" s="109">
        <v>45765.42733194445</v>
      </c>
      <c r="C339" s="110" t="s">
        <v>1561</v>
      </c>
      <c r="D339" s="120" t="s">
        <v>1549</v>
      </c>
      <c r="E339" s="110" t="s">
        <v>1347</v>
      </c>
      <c r="F339" s="104" t="s">
        <v>1346</v>
      </c>
      <c r="G339" s="111">
        <v>210.0</v>
      </c>
      <c r="H339" s="112">
        <v>9.0</v>
      </c>
      <c r="I339" s="112">
        <v>8.0</v>
      </c>
      <c r="J339" s="112">
        <v>0.0</v>
      </c>
      <c r="K339" s="120" t="s">
        <v>388</v>
      </c>
      <c r="L339" s="110" t="s">
        <v>197</v>
      </c>
      <c r="M339" s="110" t="s">
        <v>1348</v>
      </c>
      <c r="N339" s="112">
        <v>9.0</v>
      </c>
      <c r="O339" s="110" t="s">
        <v>197</v>
      </c>
      <c r="P339" s="115"/>
      <c r="Q339" s="115"/>
      <c r="R339" s="115"/>
      <c r="S339" s="115"/>
      <c r="T339" s="114" t="s">
        <v>1562</v>
      </c>
      <c r="U339" s="114" t="s">
        <v>1563</v>
      </c>
      <c r="V339" s="110" t="s">
        <v>1564</v>
      </c>
      <c r="W339" s="115"/>
      <c r="X339" s="115"/>
      <c r="Y339" s="115"/>
      <c r="Z339" s="110" t="s">
        <v>1565</v>
      </c>
      <c r="AA339" s="112">
        <v>3.0</v>
      </c>
      <c r="AB339" s="115"/>
      <c r="AC339" s="116"/>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row>
    <row r="340">
      <c r="A340" s="83" t="s">
        <v>1566</v>
      </c>
      <c r="B340" s="101">
        <v>45765.50562511574</v>
      </c>
      <c r="C340" s="102" t="s">
        <v>1164</v>
      </c>
      <c r="D340" s="103" t="s">
        <v>1165</v>
      </c>
      <c r="E340" s="102" t="s">
        <v>1567</v>
      </c>
      <c r="F340" s="122" t="s">
        <v>1566</v>
      </c>
      <c r="G340" s="105">
        <v>540.0</v>
      </c>
      <c r="H340" s="105">
        <v>8.0</v>
      </c>
      <c r="I340" s="105">
        <v>9.0</v>
      </c>
      <c r="J340" s="105">
        <v>1.0</v>
      </c>
      <c r="K340" s="105">
        <v>1945.0</v>
      </c>
      <c r="L340" s="102" t="s">
        <v>401</v>
      </c>
      <c r="M340" s="102" t="s">
        <v>1568</v>
      </c>
      <c r="N340" s="105">
        <v>9.0</v>
      </c>
      <c r="O340" s="102" t="s">
        <v>401</v>
      </c>
      <c r="P340" s="121">
        <v>0.9</v>
      </c>
      <c r="Q340" s="105">
        <v>3.0</v>
      </c>
      <c r="R340" s="105">
        <v>7.0</v>
      </c>
      <c r="S340" s="105">
        <v>8.0</v>
      </c>
      <c r="T340" s="107" t="s">
        <v>1569</v>
      </c>
      <c r="U340" s="102" t="s">
        <v>1570</v>
      </c>
      <c r="V340" s="107" t="s">
        <v>1571</v>
      </c>
      <c r="W340" s="102" t="s">
        <v>197</v>
      </c>
      <c r="X340" s="106"/>
      <c r="Y340" s="102" t="s">
        <v>401</v>
      </c>
      <c r="Z340" s="102" t="s">
        <v>1171</v>
      </c>
      <c r="AA340" s="105">
        <v>2.0</v>
      </c>
      <c r="AB340" s="106"/>
      <c r="AC340" s="10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row>
    <row r="341">
      <c r="A341" s="100" t="s">
        <v>1572</v>
      </c>
      <c r="B341" s="109">
        <v>45765.55420304398</v>
      </c>
      <c r="C341" s="110" t="s">
        <v>1573</v>
      </c>
      <c r="D341" s="120" t="s">
        <v>1375</v>
      </c>
      <c r="E341" s="110" t="s">
        <v>1574</v>
      </c>
      <c r="F341" s="104" t="s">
        <v>1572</v>
      </c>
      <c r="G341" s="111">
        <v>320.0</v>
      </c>
      <c r="H341" s="112">
        <v>7.0</v>
      </c>
      <c r="I341" s="112">
        <v>2.0</v>
      </c>
      <c r="J341" s="110" t="s">
        <v>197</v>
      </c>
      <c r="K341" s="112">
        <v>1960.0</v>
      </c>
      <c r="L341" s="110" t="s">
        <v>197</v>
      </c>
      <c r="M341" s="110" t="s">
        <v>197</v>
      </c>
      <c r="N341" s="112">
        <v>7.0</v>
      </c>
      <c r="O341" s="110" t="s">
        <v>401</v>
      </c>
      <c r="P341" s="113">
        <v>0.4</v>
      </c>
      <c r="Q341" s="112">
        <v>4.0</v>
      </c>
      <c r="R341" s="112">
        <v>6.0</v>
      </c>
      <c r="S341" s="112">
        <v>4.0</v>
      </c>
      <c r="T341" s="114" t="s">
        <v>1575</v>
      </c>
      <c r="U341" s="114" t="s">
        <v>1576</v>
      </c>
      <c r="V341" s="114" t="s">
        <v>1577</v>
      </c>
      <c r="W341" s="115"/>
      <c r="X341" s="115"/>
      <c r="Y341" s="110" t="s">
        <v>401</v>
      </c>
      <c r="Z341" s="110" t="s">
        <v>1381</v>
      </c>
      <c r="AA341" s="112">
        <v>2.0</v>
      </c>
      <c r="AB341" s="115"/>
      <c r="AC341" s="116"/>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row>
    <row r="342">
      <c r="A342" s="100" t="s">
        <v>1194</v>
      </c>
      <c r="B342" s="101">
        <v>45765.606923113424</v>
      </c>
      <c r="C342" s="102" t="s">
        <v>1578</v>
      </c>
      <c r="D342" s="103" t="s">
        <v>1196</v>
      </c>
      <c r="E342" s="102" t="s">
        <v>1579</v>
      </c>
      <c r="F342" s="104" t="s">
        <v>1194</v>
      </c>
      <c r="G342" s="105">
        <v>97.0</v>
      </c>
      <c r="H342" s="105">
        <v>7.0</v>
      </c>
      <c r="I342" s="105">
        <v>7.0</v>
      </c>
      <c r="J342" s="105">
        <v>1.0</v>
      </c>
      <c r="K342" s="105">
        <v>1990.0</v>
      </c>
      <c r="L342" s="102" t="s">
        <v>197</v>
      </c>
      <c r="M342" s="102" t="s">
        <v>197</v>
      </c>
      <c r="N342" s="105">
        <v>9.0</v>
      </c>
      <c r="O342" s="102" t="s">
        <v>401</v>
      </c>
      <c r="P342" s="121">
        <v>0.0</v>
      </c>
      <c r="Q342" s="105">
        <v>0.0</v>
      </c>
      <c r="R342" s="105">
        <v>10.0</v>
      </c>
      <c r="S342" s="105">
        <v>0.0</v>
      </c>
      <c r="T342" s="102" t="s">
        <v>1580</v>
      </c>
      <c r="U342" s="102" t="s">
        <v>1581</v>
      </c>
      <c r="V342" s="107" t="s">
        <v>1582</v>
      </c>
      <c r="W342" s="106"/>
      <c r="X342" s="106"/>
      <c r="Y342" s="102" t="s">
        <v>401</v>
      </c>
      <c r="Z342" s="102" t="s">
        <v>1201</v>
      </c>
      <c r="AA342" s="105">
        <v>2.0</v>
      </c>
      <c r="AB342" s="106"/>
      <c r="AC342" s="10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row>
    <row r="343">
      <c r="A343" s="100" t="s">
        <v>1274</v>
      </c>
      <c r="B343" s="109">
        <v>45765.66132565972</v>
      </c>
      <c r="C343" s="110" t="s">
        <v>1335</v>
      </c>
      <c r="D343" s="120" t="s">
        <v>1276</v>
      </c>
      <c r="E343" s="110" t="s">
        <v>1583</v>
      </c>
      <c r="F343" s="104" t="s">
        <v>1274</v>
      </c>
      <c r="G343" s="112">
        <v>420.0</v>
      </c>
      <c r="H343" s="112">
        <v>7.0</v>
      </c>
      <c r="I343" s="112">
        <v>6.0</v>
      </c>
      <c r="J343" s="112">
        <v>1.0</v>
      </c>
      <c r="K343" s="112">
        <v>2004.0</v>
      </c>
      <c r="L343" s="110" t="s">
        <v>197</v>
      </c>
      <c r="M343" s="110" t="s">
        <v>197</v>
      </c>
      <c r="N343" s="112">
        <v>9.0</v>
      </c>
      <c r="O343" s="110" t="s">
        <v>401</v>
      </c>
      <c r="P343" s="113">
        <v>0.8</v>
      </c>
      <c r="Q343" s="112">
        <v>8.0</v>
      </c>
      <c r="R343" s="112">
        <v>2.0</v>
      </c>
      <c r="S343" s="112">
        <v>10.0</v>
      </c>
      <c r="T343" s="114" t="s">
        <v>1584</v>
      </c>
      <c r="U343" s="114" t="s">
        <v>1585</v>
      </c>
      <c r="V343" s="114" t="s">
        <v>1586</v>
      </c>
      <c r="W343" s="115"/>
      <c r="X343" s="115"/>
      <c r="Y343" s="110" t="s">
        <v>401</v>
      </c>
      <c r="Z343" s="110" t="s">
        <v>1282</v>
      </c>
      <c r="AA343" s="112">
        <v>2.0</v>
      </c>
      <c r="AB343" s="115"/>
      <c r="AC343" s="116"/>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row>
    <row r="344">
      <c r="A344" s="100" t="s">
        <v>1587</v>
      </c>
      <c r="B344" s="101">
        <v>45765.7644121412</v>
      </c>
      <c r="C344" s="102" t="s">
        <v>1353</v>
      </c>
      <c r="D344" s="103" t="s">
        <v>1354</v>
      </c>
      <c r="E344" s="102" t="s">
        <v>1588</v>
      </c>
      <c r="F344" s="104" t="s">
        <v>1587</v>
      </c>
      <c r="G344" s="105">
        <v>360.0</v>
      </c>
      <c r="H344" s="105">
        <v>8.0</v>
      </c>
      <c r="I344" s="105">
        <v>7.0</v>
      </c>
      <c r="J344" s="105">
        <v>1.0</v>
      </c>
      <c r="K344" s="103" t="s">
        <v>388</v>
      </c>
      <c r="L344" s="102" t="s">
        <v>197</v>
      </c>
      <c r="M344" s="102" t="s">
        <v>1589</v>
      </c>
      <c r="N344" s="105">
        <v>8.0</v>
      </c>
      <c r="O344" s="102" t="s">
        <v>197</v>
      </c>
      <c r="P344" s="106"/>
      <c r="Q344" s="106"/>
      <c r="R344" s="106"/>
      <c r="S344" s="106"/>
      <c r="T344" s="107" t="s">
        <v>1590</v>
      </c>
      <c r="U344" s="107" t="s">
        <v>1591</v>
      </c>
      <c r="V344" s="107" t="s">
        <v>1592</v>
      </c>
      <c r="W344" s="106"/>
      <c r="X344" s="106"/>
      <c r="Y344" s="106"/>
      <c r="Z344" s="102" t="s">
        <v>1297</v>
      </c>
      <c r="AA344" s="105">
        <v>3.0</v>
      </c>
      <c r="AB344" s="106"/>
      <c r="AC344" s="10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row>
    <row r="345">
      <c r="A345" s="100" t="s">
        <v>1593</v>
      </c>
      <c r="B345" s="109">
        <v>45765.779690219904</v>
      </c>
      <c r="C345" s="110" t="s">
        <v>1594</v>
      </c>
      <c r="D345" s="120" t="s">
        <v>1595</v>
      </c>
      <c r="E345" s="110" t="s">
        <v>1596</v>
      </c>
      <c r="F345" s="104" t="s">
        <v>1593</v>
      </c>
      <c r="G345" s="112">
        <v>130.0</v>
      </c>
      <c r="H345" s="112">
        <v>9.0</v>
      </c>
      <c r="I345" s="112">
        <v>7.0</v>
      </c>
      <c r="J345" s="112">
        <v>0.0</v>
      </c>
      <c r="K345" s="120" t="s">
        <v>388</v>
      </c>
      <c r="L345" s="110" t="s">
        <v>197</v>
      </c>
      <c r="M345" s="110" t="s">
        <v>1597</v>
      </c>
      <c r="N345" s="112">
        <v>8.0</v>
      </c>
      <c r="O345" s="110" t="s">
        <v>197</v>
      </c>
      <c r="P345" s="115"/>
      <c r="Q345" s="115"/>
      <c r="R345" s="115"/>
      <c r="S345" s="115"/>
      <c r="T345" s="114" t="s">
        <v>1598</v>
      </c>
      <c r="U345" s="114" t="s">
        <v>1599</v>
      </c>
      <c r="V345" s="114" t="s">
        <v>1600</v>
      </c>
      <c r="W345" s="115"/>
      <c r="X345" s="115"/>
      <c r="Y345" s="115"/>
      <c r="Z345" s="110" t="s">
        <v>1297</v>
      </c>
      <c r="AA345" s="112">
        <v>3.0</v>
      </c>
      <c r="AB345" s="115"/>
      <c r="AC345" s="116"/>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row>
    <row r="346">
      <c r="A346" s="100" t="s">
        <v>670</v>
      </c>
      <c r="B346" s="101">
        <v>45766.02726503472</v>
      </c>
      <c r="C346" s="102" t="s">
        <v>1283</v>
      </c>
      <c r="D346" s="103" t="s">
        <v>1601</v>
      </c>
      <c r="E346" s="102" t="s">
        <v>1602</v>
      </c>
      <c r="F346" s="104" t="s">
        <v>670</v>
      </c>
      <c r="G346" s="105">
        <v>200.0</v>
      </c>
      <c r="H346" s="105">
        <v>3.0</v>
      </c>
      <c r="I346" s="105">
        <v>8.0</v>
      </c>
      <c r="J346" s="105">
        <v>2.0</v>
      </c>
      <c r="K346" s="105">
        <v>1966.0</v>
      </c>
      <c r="L346" s="102" t="s">
        <v>197</v>
      </c>
      <c r="M346" s="102" t="s">
        <v>1603</v>
      </c>
      <c r="N346" s="105">
        <v>8.0</v>
      </c>
      <c r="O346" s="102" t="s">
        <v>197</v>
      </c>
      <c r="P346" s="106"/>
      <c r="Q346" s="106"/>
      <c r="R346" s="106"/>
      <c r="S346" s="106"/>
      <c r="T346" s="107" t="s">
        <v>1604</v>
      </c>
      <c r="U346" s="102" t="s">
        <v>1605</v>
      </c>
      <c r="V346" s="107" t="s">
        <v>1606</v>
      </c>
      <c r="W346" s="102" t="s">
        <v>1607</v>
      </c>
      <c r="X346" s="106"/>
      <c r="Y346" s="106"/>
      <c r="Z346" s="102" t="s">
        <v>1289</v>
      </c>
      <c r="AA346" s="105">
        <v>2.0</v>
      </c>
      <c r="AB346" s="106"/>
      <c r="AC346" s="10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row>
    <row r="347">
      <c r="A347" s="100" t="s">
        <v>1608</v>
      </c>
      <c r="B347" s="109">
        <v>45766.04123366898</v>
      </c>
      <c r="C347" s="110" t="s">
        <v>1609</v>
      </c>
      <c r="D347" s="110" t="s">
        <v>1610</v>
      </c>
      <c r="E347" s="110" t="s">
        <v>1611</v>
      </c>
      <c r="F347" s="104" t="s">
        <v>1608</v>
      </c>
      <c r="G347" s="111">
        <v>450.0</v>
      </c>
      <c r="H347" s="112">
        <v>10.0</v>
      </c>
      <c r="I347" s="112">
        <v>10.0</v>
      </c>
      <c r="J347" s="112">
        <v>0.0</v>
      </c>
      <c r="K347" s="112">
        <v>1988.0</v>
      </c>
      <c r="L347" s="110" t="s">
        <v>197</v>
      </c>
      <c r="M347" s="110" t="s">
        <v>1612</v>
      </c>
      <c r="N347" s="112">
        <v>10.0</v>
      </c>
      <c r="O347" s="110" t="s">
        <v>197</v>
      </c>
      <c r="P347" s="115"/>
      <c r="Q347" s="115"/>
      <c r="R347" s="115"/>
      <c r="S347" s="115"/>
      <c r="T347" s="114" t="s">
        <v>1613</v>
      </c>
      <c r="U347" s="114" t="s">
        <v>1614</v>
      </c>
      <c r="V347" s="114" t="s">
        <v>1615</v>
      </c>
      <c r="W347" s="110" t="s">
        <v>197</v>
      </c>
      <c r="X347" s="115"/>
      <c r="Y347" s="115"/>
      <c r="Z347" s="110" t="s">
        <v>1616</v>
      </c>
      <c r="AA347" s="112">
        <v>1.0</v>
      </c>
      <c r="AB347" s="115"/>
      <c r="AC347" s="116"/>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row>
    <row r="348">
      <c r="A348" s="100" t="s">
        <v>1117</v>
      </c>
      <c r="B348" s="101">
        <v>45766.536087280096</v>
      </c>
      <c r="C348" s="102" t="s">
        <v>1118</v>
      </c>
      <c r="D348" s="103" t="s">
        <v>1119</v>
      </c>
      <c r="E348" s="102" t="s">
        <v>1388</v>
      </c>
      <c r="F348" s="104" t="s">
        <v>1117</v>
      </c>
      <c r="G348" s="105">
        <v>120.0</v>
      </c>
      <c r="H348" s="105">
        <v>7.0</v>
      </c>
      <c r="I348" s="105">
        <v>9.0</v>
      </c>
      <c r="J348" s="105">
        <v>2.0</v>
      </c>
      <c r="K348" s="105">
        <v>1951.0</v>
      </c>
      <c r="L348" s="102" t="s">
        <v>197</v>
      </c>
      <c r="M348" s="102" t="s">
        <v>197</v>
      </c>
      <c r="N348" s="105">
        <v>10.0</v>
      </c>
      <c r="O348" s="102" t="s">
        <v>401</v>
      </c>
      <c r="P348" s="121">
        <v>1.0</v>
      </c>
      <c r="Q348" s="105">
        <v>10.0</v>
      </c>
      <c r="R348" s="105">
        <v>10.0</v>
      </c>
      <c r="S348" s="105">
        <v>10.0</v>
      </c>
      <c r="T348" s="106"/>
      <c r="U348" s="106"/>
      <c r="V348" s="107" t="s">
        <v>1617</v>
      </c>
      <c r="W348" s="102" t="s">
        <v>197</v>
      </c>
      <c r="X348" s="106"/>
      <c r="Y348" s="102" t="s">
        <v>401</v>
      </c>
      <c r="Z348" s="102" t="s">
        <v>1122</v>
      </c>
      <c r="AA348" s="105">
        <v>2.0</v>
      </c>
      <c r="AB348" s="106"/>
      <c r="AC348" s="10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row>
    <row r="349">
      <c r="A349" s="83" t="s">
        <v>1618</v>
      </c>
      <c r="B349" s="109">
        <v>45766.95615084491</v>
      </c>
      <c r="C349" s="110" t="s">
        <v>1321</v>
      </c>
      <c r="D349" s="120" t="s">
        <v>1322</v>
      </c>
      <c r="E349" s="110" t="s">
        <v>1619</v>
      </c>
      <c r="F349" s="122" t="s">
        <v>1618</v>
      </c>
      <c r="G349" s="111">
        <v>745.0</v>
      </c>
      <c r="H349" s="112">
        <v>8.0</v>
      </c>
      <c r="I349" s="112">
        <v>8.0</v>
      </c>
      <c r="J349" s="112">
        <v>3.0</v>
      </c>
      <c r="K349" s="120" t="s">
        <v>388</v>
      </c>
      <c r="L349" s="110" t="s">
        <v>197</v>
      </c>
      <c r="M349" s="110" t="s">
        <v>1620</v>
      </c>
      <c r="N349" s="112">
        <v>9.0</v>
      </c>
      <c r="O349" s="110" t="s">
        <v>401</v>
      </c>
      <c r="P349" s="113">
        <v>1.0</v>
      </c>
      <c r="Q349" s="112">
        <v>10.0</v>
      </c>
      <c r="R349" s="112">
        <v>4.0</v>
      </c>
      <c r="S349" s="112">
        <v>10.0</v>
      </c>
      <c r="T349" s="114" t="s">
        <v>1621</v>
      </c>
      <c r="U349" s="114" t="s">
        <v>1622</v>
      </c>
      <c r="V349" s="114" t="s">
        <v>1623</v>
      </c>
      <c r="W349" s="115"/>
      <c r="X349" s="115"/>
      <c r="Y349" s="110" t="s">
        <v>401</v>
      </c>
      <c r="Z349" s="110" t="s">
        <v>1327</v>
      </c>
      <c r="AA349" s="112">
        <v>2.0</v>
      </c>
      <c r="AB349" s="115"/>
      <c r="AC349" s="116"/>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row>
    <row r="350">
      <c r="A350" s="100" t="s">
        <v>1624</v>
      </c>
      <c r="B350" s="101">
        <v>45767.55502630787</v>
      </c>
      <c r="C350" s="102" t="s">
        <v>1625</v>
      </c>
      <c r="D350" s="103" t="s">
        <v>1157</v>
      </c>
      <c r="E350" s="102" t="s">
        <v>1626</v>
      </c>
      <c r="F350" s="104" t="s">
        <v>1624</v>
      </c>
      <c r="G350" s="105">
        <v>600.0</v>
      </c>
      <c r="H350" s="105">
        <v>9.0</v>
      </c>
      <c r="I350" s="105">
        <v>9.0</v>
      </c>
      <c r="J350" s="105">
        <v>0.0</v>
      </c>
      <c r="K350" s="103" t="s">
        <v>1627</v>
      </c>
      <c r="L350" s="102" t="s">
        <v>197</v>
      </c>
      <c r="M350" s="102" t="s">
        <v>1005</v>
      </c>
      <c r="N350" s="105">
        <v>8.0</v>
      </c>
      <c r="O350" s="102" t="s">
        <v>401</v>
      </c>
      <c r="P350" s="121">
        <v>0.8</v>
      </c>
      <c r="Q350" s="105">
        <v>7.0</v>
      </c>
      <c r="R350" s="105">
        <v>7.0</v>
      </c>
      <c r="S350" s="105">
        <v>6.0</v>
      </c>
      <c r="T350" s="107" t="s">
        <v>1628</v>
      </c>
      <c r="U350" s="107" t="s">
        <v>1629</v>
      </c>
      <c r="V350" s="107" t="s">
        <v>1630</v>
      </c>
      <c r="W350" s="106"/>
      <c r="X350" s="106"/>
      <c r="Y350" s="102" t="s">
        <v>401</v>
      </c>
      <c r="Z350" s="102" t="s">
        <v>1162</v>
      </c>
      <c r="AA350" s="105">
        <v>1.0</v>
      </c>
      <c r="AB350" s="106"/>
      <c r="AC350" s="10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row>
    <row r="351">
      <c r="A351" s="100" t="s">
        <v>1155</v>
      </c>
      <c r="B351" s="109">
        <v>45767.56051009259</v>
      </c>
      <c r="C351" s="110" t="s">
        <v>1625</v>
      </c>
      <c r="D351" s="120" t="s">
        <v>1157</v>
      </c>
      <c r="E351" s="110" t="s">
        <v>1158</v>
      </c>
      <c r="F351" s="104" t="s">
        <v>1155</v>
      </c>
      <c r="G351" s="112">
        <v>478.0</v>
      </c>
      <c r="H351" s="112">
        <v>9.0</v>
      </c>
      <c r="I351" s="112">
        <v>9.0</v>
      </c>
      <c r="J351" s="112">
        <v>0.0</v>
      </c>
      <c r="K351" s="120" t="s">
        <v>388</v>
      </c>
      <c r="L351" s="110" t="s">
        <v>197</v>
      </c>
      <c r="M351" s="110" t="s">
        <v>1631</v>
      </c>
      <c r="N351" s="112">
        <v>10.0</v>
      </c>
      <c r="O351" s="110" t="s">
        <v>401</v>
      </c>
      <c r="P351" s="113">
        <v>1.0</v>
      </c>
      <c r="Q351" s="112">
        <v>10.0</v>
      </c>
      <c r="R351" s="112">
        <v>0.0</v>
      </c>
      <c r="S351" s="112">
        <v>10.0</v>
      </c>
      <c r="T351" s="110" t="s">
        <v>1632</v>
      </c>
      <c r="U351" s="110" t="s">
        <v>1633</v>
      </c>
      <c r="V351" s="114" t="s">
        <v>1634</v>
      </c>
      <c r="W351" s="115"/>
      <c r="X351" s="115"/>
      <c r="Y351" s="110" t="s">
        <v>401</v>
      </c>
      <c r="Z351" s="110" t="s">
        <v>1162</v>
      </c>
      <c r="AA351" s="112">
        <v>2.0</v>
      </c>
      <c r="AB351" s="115"/>
      <c r="AC351" s="116"/>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row>
    <row r="352">
      <c r="A352" s="100" t="s">
        <v>1635</v>
      </c>
      <c r="B352" s="101">
        <v>45767.626410509256</v>
      </c>
      <c r="C352" s="102" t="s">
        <v>1636</v>
      </c>
      <c r="D352" s="103" t="s">
        <v>1637</v>
      </c>
      <c r="E352" s="102" t="s">
        <v>1638</v>
      </c>
      <c r="F352" s="104" t="s">
        <v>1635</v>
      </c>
      <c r="G352" s="117">
        <v>230.0</v>
      </c>
      <c r="H352" s="105">
        <v>9.0</v>
      </c>
      <c r="I352" s="105">
        <v>9.0</v>
      </c>
      <c r="J352" s="105">
        <v>1.0</v>
      </c>
      <c r="K352" s="105">
        <v>1990.0</v>
      </c>
      <c r="L352" s="102" t="s">
        <v>197</v>
      </c>
      <c r="M352" s="102" t="s">
        <v>197</v>
      </c>
      <c r="N352" s="105">
        <v>8.0</v>
      </c>
      <c r="O352" s="102" t="s">
        <v>401</v>
      </c>
      <c r="P352" s="121">
        <v>0.8</v>
      </c>
      <c r="Q352" s="105">
        <v>8.0</v>
      </c>
      <c r="R352" s="105">
        <v>2.0</v>
      </c>
      <c r="S352" s="105">
        <v>8.0</v>
      </c>
      <c r="T352" s="107" t="s">
        <v>1639</v>
      </c>
      <c r="U352" s="107" t="s">
        <v>1640</v>
      </c>
      <c r="V352" s="107" t="s">
        <v>1641</v>
      </c>
      <c r="W352" s="106"/>
      <c r="X352" s="106"/>
      <c r="Y352" s="102" t="s">
        <v>401</v>
      </c>
      <c r="Z352" s="102" t="s">
        <v>1642</v>
      </c>
      <c r="AA352" s="105">
        <v>1.0</v>
      </c>
      <c r="AB352" s="106"/>
      <c r="AC352" s="10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row>
    <row r="353">
      <c r="A353" s="100" t="s">
        <v>1643</v>
      </c>
      <c r="B353" s="109">
        <v>45768.99848940972</v>
      </c>
      <c r="C353" s="110" t="s">
        <v>1644</v>
      </c>
      <c r="D353" s="120" t="s">
        <v>1448</v>
      </c>
      <c r="E353" s="110" t="s">
        <v>1645</v>
      </c>
      <c r="F353" s="104" t="s">
        <v>1643</v>
      </c>
      <c r="G353" s="111">
        <v>990.0</v>
      </c>
      <c r="H353" s="112">
        <v>10.0</v>
      </c>
      <c r="I353" s="112">
        <v>10.0</v>
      </c>
      <c r="J353" s="110" t="s">
        <v>1646</v>
      </c>
      <c r="K353" s="112">
        <v>1925.0</v>
      </c>
      <c r="L353" s="110" t="s">
        <v>197</v>
      </c>
      <c r="M353" s="110" t="s">
        <v>197</v>
      </c>
      <c r="N353" s="112">
        <v>10.0</v>
      </c>
      <c r="O353" s="110" t="s">
        <v>197</v>
      </c>
      <c r="P353" s="115"/>
      <c r="Q353" s="115"/>
      <c r="R353" s="115"/>
      <c r="S353" s="115"/>
      <c r="T353" s="114" t="s">
        <v>1647</v>
      </c>
      <c r="U353" s="114" t="s">
        <v>1648</v>
      </c>
      <c r="V353" s="114" t="s">
        <v>1649</v>
      </c>
      <c r="W353" s="115"/>
      <c r="X353" s="115"/>
      <c r="Y353" s="115"/>
      <c r="Z353" s="110" t="s">
        <v>1454</v>
      </c>
      <c r="AA353" s="112">
        <v>1.0</v>
      </c>
      <c r="AB353" s="115"/>
      <c r="AC353" s="116"/>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row>
    <row r="354">
      <c r="A354" s="100" t="s">
        <v>1650</v>
      </c>
      <c r="B354" s="101">
        <v>45769.2611016088</v>
      </c>
      <c r="C354" s="102" t="s">
        <v>1651</v>
      </c>
      <c r="D354" s="103" t="s">
        <v>1652</v>
      </c>
      <c r="E354" s="102" t="s">
        <v>1653</v>
      </c>
      <c r="F354" s="104" t="s">
        <v>1650</v>
      </c>
      <c r="G354" s="105">
        <v>155.0</v>
      </c>
      <c r="H354" s="105">
        <v>10.0</v>
      </c>
      <c r="I354" s="105">
        <v>8.0</v>
      </c>
      <c r="J354" s="102" t="s">
        <v>197</v>
      </c>
      <c r="K354" s="103" t="s">
        <v>388</v>
      </c>
      <c r="L354" s="102" t="s">
        <v>401</v>
      </c>
      <c r="M354" s="102" t="s">
        <v>197</v>
      </c>
      <c r="N354" s="105">
        <v>10.0</v>
      </c>
      <c r="O354" s="102" t="s">
        <v>401</v>
      </c>
      <c r="P354" s="121">
        <v>0.8</v>
      </c>
      <c r="Q354" s="105">
        <v>8.0</v>
      </c>
      <c r="R354" s="105">
        <v>5.0</v>
      </c>
      <c r="S354" s="105">
        <v>5.0</v>
      </c>
      <c r="T354" s="106"/>
      <c r="U354" s="106"/>
      <c r="V354" s="107" t="s">
        <v>1654</v>
      </c>
      <c r="W354" s="106"/>
      <c r="X354" s="106"/>
      <c r="Y354" s="102" t="s">
        <v>197</v>
      </c>
      <c r="Z354" s="102" t="s">
        <v>1655</v>
      </c>
      <c r="AA354" s="105">
        <v>1.0</v>
      </c>
      <c r="AB354" s="106"/>
      <c r="AC354" s="10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row>
    <row r="355">
      <c r="A355" s="100" t="s">
        <v>197</v>
      </c>
      <c r="B355" s="109">
        <v>45771.605569861116</v>
      </c>
      <c r="C355" s="110" t="s">
        <v>1656</v>
      </c>
      <c r="D355" s="120" t="s">
        <v>1375</v>
      </c>
      <c r="E355" s="110" t="s">
        <v>1657</v>
      </c>
      <c r="F355" s="104" t="s">
        <v>197</v>
      </c>
      <c r="G355" s="112">
        <v>240.0</v>
      </c>
      <c r="H355" s="112">
        <v>4.0</v>
      </c>
      <c r="I355" s="112">
        <v>4.0</v>
      </c>
      <c r="J355" s="110" t="s">
        <v>197</v>
      </c>
      <c r="K355" s="112">
        <v>1960.0</v>
      </c>
      <c r="L355" s="110" t="s">
        <v>197</v>
      </c>
      <c r="M355" s="110" t="s">
        <v>1658</v>
      </c>
      <c r="N355" s="112">
        <v>6.0</v>
      </c>
      <c r="O355" s="110" t="s">
        <v>197</v>
      </c>
      <c r="P355" s="115"/>
      <c r="Q355" s="115"/>
      <c r="R355" s="115"/>
      <c r="S355" s="115"/>
      <c r="T355" s="114" t="s">
        <v>1659</v>
      </c>
      <c r="U355" s="114" t="s">
        <v>1660</v>
      </c>
      <c r="V355" s="114" t="s">
        <v>1661</v>
      </c>
      <c r="W355" s="115"/>
      <c r="X355" s="115"/>
      <c r="Y355" s="115"/>
      <c r="Z355" s="110" t="s">
        <v>1381</v>
      </c>
      <c r="AA355" s="112">
        <v>1.0</v>
      </c>
      <c r="AB355" s="115"/>
      <c r="AC355" s="116"/>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row>
    <row r="356">
      <c r="A356" s="100" t="s">
        <v>197</v>
      </c>
      <c r="B356" s="101">
        <v>45771.61334226852</v>
      </c>
      <c r="C356" s="110" t="s">
        <v>1374</v>
      </c>
      <c r="D356" s="120" t="s">
        <v>1375</v>
      </c>
      <c r="E356" s="110" t="s">
        <v>1662</v>
      </c>
      <c r="F356" s="104" t="s">
        <v>197</v>
      </c>
      <c r="G356" s="112">
        <v>420.0</v>
      </c>
      <c r="H356" s="105">
        <v>8.0</v>
      </c>
      <c r="I356" s="105">
        <v>7.0</v>
      </c>
      <c r="J356" s="102" t="s">
        <v>197</v>
      </c>
      <c r="K356" s="102" t="s">
        <v>1663</v>
      </c>
      <c r="L356" s="102" t="s">
        <v>197</v>
      </c>
      <c r="M356" s="102" t="s">
        <v>197</v>
      </c>
      <c r="N356" s="105">
        <v>9.0</v>
      </c>
      <c r="O356" s="102" t="s">
        <v>401</v>
      </c>
      <c r="P356" s="121">
        <v>0.4</v>
      </c>
      <c r="Q356" s="105">
        <v>4.0</v>
      </c>
      <c r="R356" s="105">
        <v>6.0</v>
      </c>
      <c r="S356" s="105">
        <v>4.0</v>
      </c>
      <c r="T356" s="107" t="s">
        <v>1664</v>
      </c>
      <c r="U356" s="107" t="s">
        <v>1665</v>
      </c>
      <c r="V356" s="107" t="s">
        <v>1666</v>
      </c>
      <c r="W356" s="106"/>
      <c r="X356" s="106"/>
      <c r="Y356" s="102" t="s">
        <v>401</v>
      </c>
      <c r="Z356" s="102" t="s">
        <v>1386</v>
      </c>
      <c r="AA356" s="105">
        <v>1.0</v>
      </c>
      <c r="AB356" s="106"/>
      <c r="AC356" s="10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row>
    <row r="357">
      <c r="A357" s="100" t="s">
        <v>1117</v>
      </c>
      <c r="B357" s="109">
        <v>45772.20650971065</v>
      </c>
      <c r="C357" s="110" t="s">
        <v>1118</v>
      </c>
      <c r="D357" s="120" t="s">
        <v>1119</v>
      </c>
      <c r="E357" s="110" t="s">
        <v>1388</v>
      </c>
      <c r="F357" s="104" t="s">
        <v>1117</v>
      </c>
      <c r="G357" s="112">
        <v>116.0</v>
      </c>
      <c r="H357" s="112">
        <v>10.0</v>
      </c>
      <c r="I357" s="112">
        <v>10.0</v>
      </c>
      <c r="J357" s="112">
        <v>1.0</v>
      </c>
      <c r="K357" s="112">
        <v>1951.0</v>
      </c>
      <c r="L357" s="110" t="s">
        <v>197</v>
      </c>
      <c r="M357" s="110" t="s">
        <v>197</v>
      </c>
      <c r="N357" s="112">
        <v>10.0</v>
      </c>
      <c r="O357" s="110" t="s">
        <v>197</v>
      </c>
      <c r="P357" s="115"/>
      <c r="Q357" s="115"/>
      <c r="R357" s="115"/>
      <c r="S357" s="115"/>
      <c r="T357" s="114" t="s">
        <v>1667</v>
      </c>
      <c r="U357" s="114" t="s">
        <v>1668</v>
      </c>
      <c r="V357" s="114" t="s">
        <v>1669</v>
      </c>
      <c r="W357" s="110" t="s">
        <v>197</v>
      </c>
      <c r="X357" s="115"/>
      <c r="Y357" s="115"/>
      <c r="Z357" s="110" t="s">
        <v>1122</v>
      </c>
      <c r="AA357" s="112">
        <v>3.0</v>
      </c>
      <c r="AB357" s="115"/>
      <c r="AC357" s="116"/>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row>
    <row r="358">
      <c r="A358" s="100" t="s">
        <v>1670</v>
      </c>
      <c r="B358" s="101">
        <v>45772.22496927083</v>
      </c>
      <c r="C358" s="110" t="s">
        <v>1671</v>
      </c>
      <c r="D358" s="120" t="s">
        <v>1672</v>
      </c>
      <c r="E358" s="110" t="s">
        <v>1673</v>
      </c>
      <c r="F358" s="104" t="s">
        <v>1670</v>
      </c>
      <c r="G358" s="111">
        <v>150.0</v>
      </c>
      <c r="H358" s="105">
        <v>9.0</v>
      </c>
      <c r="I358" s="105">
        <v>8.0</v>
      </c>
      <c r="J358" s="105">
        <v>1.0</v>
      </c>
      <c r="K358" s="105">
        <v>1934.0</v>
      </c>
      <c r="L358" s="102" t="s">
        <v>197</v>
      </c>
      <c r="M358" s="102" t="s">
        <v>1674</v>
      </c>
      <c r="N358" s="105">
        <v>10.0</v>
      </c>
      <c r="O358" s="102" t="s">
        <v>401</v>
      </c>
      <c r="P358" s="121">
        <v>0.8</v>
      </c>
      <c r="Q358" s="105">
        <v>9.0</v>
      </c>
      <c r="R358" s="105">
        <v>3.0</v>
      </c>
      <c r="S358" s="105">
        <v>8.0</v>
      </c>
      <c r="T358" s="107" t="s">
        <v>1675</v>
      </c>
      <c r="U358" s="107" t="s">
        <v>1676</v>
      </c>
      <c r="V358" s="107" t="s">
        <v>1677</v>
      </c>
      <c r="W358" s="102" t="s">
        <v>1678</v>
      </c>
      <c r="X358" s="106"/>
      <c r="Y358" s="102" t="s">
        <v>401</v>
      </c>
      <c r="Z358" s="102" t="s">
        <v>1679</v>
      </c>
      <c r="AA358" s="105">
        <v>1.0</v>
      </c>
      <c r="AB358" s="106"/>
      <c r="AC358" s="10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row>
    <row r="359">
      <c r="A359" s="123" t="s">
        <v>1680</v>
      </c>
      <c r="B359" s="109">
        <v>45772.22874730324</v>
      </c>
      <c r="C359" s="110" t="s">
        <v>1140</v>
      </c>
      <c r="D359" s="120" t="s">
        <v>1141</v>
      </c>
      <c r="E359" s="110" t="s">
        <v>1142</v>
      </c>
      <c r="F359" s="124" t="s">
        <v>1680</v>
      </c>
      <c r="G359" s="112">
        <v>2150.0</v>
      </c>
      <c r="H359" s="112">
        <v>6.0</v>
      </c>
      <c r="I359" s="112">
        <v>6.0</v>
      </c>
      <c r="J359" s="112">
        <v>2.0</v>
      </c>
      <c r="K359" s="112">
        <v>1925.0</v>
      </c>
      <c r="L359" s="110" t="s">
        <v>197</v>
      </c>
      <c r="M359" s="110" t="s">
        <v>197</v>
      </c>
      <c r="N359" s="112">
        <v>7.0</v>
      </c>
      <c r="O359" s="110" t="s">
        <v>197</v>
      </c>
      <c r="P359" s="115"/>
      <c r="Q359" s="115"/>
      <c r="R359" s="115"/>
      <c r="S359" s="115"/>
      <c r="T359" s="114" t="s">
        <v>1681</v>
      </c>
      <c r="U359" s="114" t="s">
        <v>1682</v>
      </c>
      <c r="V359" s="114" t="s">
        <v>1683</v>
      </c>
      <c r="W359" s="110" t="s">
        <v>197</v>
      </c>
      <c r="X359" s="115"/>
      <c r="Y359" s="115"/>
      <c r="Z359" s="110" t="s">
        <v>1146</v>
      </c>
      <c r="AA359" s="112">
        <v>3.0</v>
      </c>
      <c r="AB359" s="115"/>
      <c r="AC359" s="116"/>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row>
    <row r="360">
      <c r="A360" s="100" t="s">
        <v>1684</v>
      </c>
      <c r="B360" s="101">
        <v>45772.22911355324</v>
      </c>
      <c r="C360" s="110" t="s">
        <v>1526</v>
      </c>
      <c r="D360" s="120" t="s">
        <v>1685</v>
      </c>
      <c r="E360" s="110" t="s">
        <v>1686</v>
      </c>
      <c r="F360" s="104" t="s">
        <v>1684</v>
      </c>
      <c r="G360" s="112">
        <v>370.0</v>
      </c>
      <c r="H360" s="105">
        <v>7.0</v>
      </c>
      <c r="I360" s="105">
        <v>8.0</v>
      </c>
      <c r="J360" s="105">
        <v>0.0</v>
      </c>
      <c r="K360" s="105">
        <v>1987.0</v>
      </c>
      <c r="L360" s="102" t="s">
        <v>401</v>
      </c>
      <c r="M360" s="102" t="s">
        <v>401</v>
      </c>
      <c r="N360" s="105">
        <v>6.0</v>
      </c>
      <c r="O360" s="102" t="s">
        <v>401</v>
      </c>
      <c r="P360" s="121">
        <v>0.9</v>
      </c>
      <c r="Q360" s="105">
        <v>8.0</v>
      </c>
      <c r="R360" s="105">
        <v>8.0</v>
      </c>
      <c r="S360" s="105">
        <v>9.0</v>
      </c>
      <c r="T360" s="107" t="s">
        <v>1687</v>
      </c>
      <c r="U360" s="107" t="s">
        <v>1688</v>
      </c>
      <c r="V360" s="107" t="s">
        <v>1689</v>
      </c>
      <c r="W360" s="102" t="s">
        <v>1690</v>
      </c>
      <c r="X360" s="106"/>
      <c r="Y360" s="102" t="s">
        <v>401</v>
      </c>
      <c r="Z360" s="102" t="s">
        <v>1691</v>
      </c>
      <c r="AA360" s="105">
        <v>1.0</v>
      </c>
      <c r="AB360" s="106"/>
      <c r="AC360" s="10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row>
    <row r="361">
      <c r="A361" s="123" t="s">
        <v>1186</v>
      </c>
      <c r="B361" s="109">
        <v>45772.23440454861</v>
      </c>
      <c r="C361" s="110" t="s">
        <v>1187</v>
      </c>
      <c r="D361" s="120" t="s">
        <v>1188</v>
      </c>
      <c r="E361" s="110" t="s">
        <v>1404</v>
      </c>
      <c r="F361" s="124" t="s">
        <v>1186</v>
      </c>
      <c r="G361" s="112">
        <v>200.0</v>
      </c>
      <c r="H361" s="112">
        <v>0.0</v>
      </c>
      <c r="I361" s="112">
        <v>2.0</v>
      </c>
      <c r="J361" s="112">
        <v>1.0</v>
      </c>
      <c r="K361" s="112">
        <v>2000.0</v>
      </c>
      <c r="L361" s="110" t="s">
        <v>197</v>
      </c>
      <c r="M361" s="110" t="s">
        <v>1692</v>
      </c>
      <c r="N361" s="112">
        <v>10.0</v>
      </c>
      <c r="O361" s="110" t="s">
        <v>401</v>
      </c>
      <c r="P361" s="113">
        <v>0.0</v>
      </c>
      <c r="Q361" s="112">
        <v>0.0</v>
      </c>
      <c r="R361" s="112">
        <v>0.0</v>
      </c>
      <c r="S361" s="112">
        <v>0.0</v>
      </c>
      <c r="T361" s="110" t="s">
        <v>1693</v>
      </c>
      <c r="U361" s="110" t="s">
        <v>1694</v>
      </c>
      <c r="V361" s="110" t="s">
        <v>1695</v>
      </c>
      <c r="W361" s="110" t="s">
        <v>1696</v>
      </c>
      <c r="X361" s="115"/>
      <c r="Y361" s="110" t="s">
        <v>401</v>
      </c>
      <c r="Z361" s="110" t="s">
        <v>1193</v>
      </c>
      <c r="AA361" s="112">
        <v>3.0</v>
      </c>
      <c r="AB361" s="115"/>
      <c r="AC361" s="116"/>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row>
    <row r="362">
      <c r="A362" s="100" t="s">
        <v>1697</v>
      </c>
      <c r="B362" s="101">
        <v>45772.235586712966</v>
      </c>
      <c r="C362" s="110" t="s">
        <v>1698</v>
      </c>
      <c r="D362" s="120" t="s">
        <v>1699</v>
      </c>
      <c r="E362" s="110" t="s">
        <v>1700</v>
      </c>
      <c r="F362" s="104" t="s">
        <v>1697</v>
      </c>
      <c r="G362" s="112">
        <v>2100.0</v>
      </c>
      <c r="H362" s="105">
        <v>10.0</v>
      </c>
      <c r="I362" s="105">
        <v>10.0</v>
      </c>
      <c r="J362" s="105">
        <v>0.0</v>
      </c>
      <c r="K362" s="105">
        <v>1940.0</v>
      </c>
      <c r="L362" s="102" t="s">
        <v>197</v>
      </c>
      <c r="M362" s="102" t="s">
        <v>337</v>
      </c>
      <c r="N362" s="105">
        <v>10.0</v>
      </c>
      <c r="O362" s="102" t="s">
        <v>401</v>
      </c>
      <c r="P362" s="121">
        <v>0.8</v>
      </c>
      <c r="Q362" s="105">
        <v>8.0</v>
      </c>
      <c r="R362" s="105">
        <v>1.0</v>
      </c>
      <c r="S362" s="105">
        <v>8.0</v>
      </c>
      <c r="T362" s="107" t="s">
        <v>1701</v>
      </c>
      <c r="U362" s="107" t="s">
        <v>1702</v>
      </c>
      <c r="V362" s="107" t="s">
        <v>1703</v>
      </c>
      <c r="W362" s="102" t="s">
        <v>453</v>
      </c>
      <c r="X362" s="106"/>
      <c r="Y362" s="102" t="s">
        <v>401</v>
      </c>
      <c r="Z362" s="102" t="s">
        <v>1704</v>
      </c>
      <c r="AA362" s="105">
        <v>1.0</v>
      </c>
      <c r="AB362" s="106"/>
      <c r="AC362" s="10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row>
    <row r="363">
      <c r="A363" s="100" t="s">
        <v>1705</v>
      </c>
      <c r="B363" s="109">
        <v>45772.24331423611</v>
      </c>
      <c r="C363" s="112" t="s">
        <v>1706</v>
      </c>
      <c r="D363" s="120" t="s">
        <v>1707</v>
      </c>
      <c r="E363" s="112" t="s">
        <v>1708</v>
      </c>
      <c r="F363" s="104" t="s">
        <v>1705</v>
      </c>
      <c r="G363" s="112">
        <v>300.0</v>
      </c>
      <c r="H363" s="112">
        <v>9.0</v>
      </c>
      <c r="I363" s="112">
        <v>9.0</v>
      </c>
      <c r="J363" s="112">
        <v>1.0</v>
      </c>
      <c r="K363" s="112">
        <v>1992.0</v>
      </c>
      <c r="L363" s="110" t="s">
        <v>197</v>
      </c>
      <c r="M363" s="112" t="s">
        <v>1709</v>
      </c>
      <c r="N363" s="112">
        <v>8.0</v>
      </c>
      <c r="O363" s="110" t="s">
        <v>197</v>
      </c>
      <c r="P363" s="115"/>
      <c r="Q363" s="115"/>
      <c r="R363" s="115"/>
      <c r="S363" s="115"/>
      <c r="T363" s="114" t="s">
        <v>1710</v>
      </c>
      <c r="U363" s="114" t="s">
        <v>1711</v>
      </c>
      <c r="V363" s="114" t="s">
        <v>1712</v>
      </c>
      <c r="W363" s="115"/>
      <c r="X363" s="115"/>
      <c r="Y363" s="115"/>
      <c r="Z363" s="110" t="s">
        <v>1713</v>
      </c>
      <c r="AA363" s="112">
        <v>1.0</v>
      </c>
      <c r="AB363" s="115"/>
      <c r="AC363" s="116"/>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row>
    <row r="364">
      <c r="A364" s="100" t="s">
        <v>1714</v>
      </c>
      <c r="B364" s="101">
        <v>45772.24582561343</v>
      </c>
      <c r="C364" s="110" t="s">
        <v>1411</v>
      </c>
      <c r="D364" s="120" t="s">
        <v>1412</v>
      </c>
      <c r="E364" s="110" t="s">
        <v>1715</v>
      </c>
      <c r="F364" s="104" t="s">
        <v>1714</v>
      </c>
      <c r="G364" s="112">
        <v>170.0</v>
      </c>
      <c r="H364" s="105">
        <v>8.0</v>
      </c>
      <c r="I364" s="105">
        <v>8.0</v>
      </c>
      <c r="J364" s="105">
        <v>1.0</v>
      </c>
      <c r="K364" s="105">
        <v>2007.0</v>
      </c>
      <c r="L364" s="102" t="s">
        <v>197</v>
      </c>
      <c r="M364" s="102" t="s">
        <v>197</v>
      </c>
      <c r="N364" s="105">
        <v>10.0</v>
      </c>
      <c r="O364" s="102" t="s">
        <v>197</v>
      </c>
      <c r="P364" s="106"/>
      <c r="Q364" s="106"/>
      <c r="R364" s="106"/>
      <c r="S364" s="106"/>
      <c r="T364" s="107" t="s">
        <v>1716</v>
      </c>
      <c r="U364" s="107" t="s">
        <v>1717</v>
      </c>
      <c r="V364" s="102" t="s">
        <v>1718</v>
      </c>
      <c r="W364" s="106"/>
      <c r="X364" s="106"/>
      <c r="Y364" s="106"/>
      <c r="Z364" s="102" t="s">
        <v>1415</v>
      </c>
      <c r="AA364" s="102" t="s">
        <v>8</v>
      </c>
      <c r="AB364" s="106"/>
      <c r="AC364" s="10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row>
    <row r="365">
      <c r="A365" s="100" t="s">
        <v>1298</v>
      </c>
      <c r="B365" s="109">
        <v>45772.24625429398</v>
      </c>
      <c r="C365" s="110" t="s">
        <v>296</v>
      </c>
      <c r="D365" s="110" t="s">
        <v>1299</v>
      </c>
      <c r="E365" s="110" t="s">
        <v>1719</v>
      </c>
      <c r="F365" s="104" t="s">
        <v>1298</v>
      </c>
      <c r="G365" s="112">
        <v>200.0</v>
      </c>
      <c r="H365" s="112">
        <v>10.0</v>
      </c>
      <c r="I365" s="112">
        <v>5.0</v>
      </c>
      <c r="J365" s="112">
        <v>0.0</v>
      </c>
      <c r="K365" s="112">
        <v>1965.0</v>
      </c>
      <c r="L365" s="110" t="s">
        <v>197</v>
      </c>
      <c r="M365" s="110" t="s">
        <v>1304</v>
      </c>
      <c r="N365" s="112">
        <v>10.0</v>
      </c>
      <c r="O365" s="110" t="s">
        <v>401</v>
      </c>
      <c r="P365" s="113">
        <v>0.0</v>
      </c>
      <c r="Q365" s="112">
        <v>5.0</v>
      </c>
      <c r="R365" s="112">
        <v>5.0</v>
      </c>
      <c r="S365" s="112">
        <v>5.0</v>
      </c>
      <c r="T365" s="114" t="s">
        <v>1720</v>
      </c>
      <c r="U365" s="110" t="s">
        <v>1721</v>
      </c>
      <c r="V365" s="114" t="s">
        <v>1722</v>
      </c>
      <c r="W365" s="110" t="s">
        <v>1304</v>
      </c>
      <c r="X365" s="115"/>
      <c r="Y365" s="110" t="s">
        <v>197</v>
      </c>
      <c r="Z365" s="110" t="s">
        <v>1305</v>
      </c>
      <c r="AA365" s="112">
        <v>1.0</v>
      </c>
      <c r="AB365" s="115"/>
      <c r="AC365" s="116"/>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row>
    <row r="366">
      <c r="A366" s="100" t="s">
        <v>1723</v>
      </c>
      <c r="B366" s="101">
        <v>45772.24630456018</v>
      </c>
      <c r="C366" s="110" t="s">
        <v>1724</v>
      </c>
      <c r="D366" s="120" t="s">
        <v>1725</v>
      </c>
      <c r="E366" s="110" t="s">
        <v>1726</v>
      </c>
      <c r="F366" s="104" t="s">
        <v>1723</v>
      </c>
      <c r="G366" s="112">
        <v>200.0</v>
      </c>
      <c r="H366" s="105">
        <v>9.0</v>
      </c>
      <c r="I366" s="105">
        <v>8.0</v>
      </c>
      <c r="J366" s="105">
        <v>0.0</v>
      </c>
      <c r="K366" s="105">
        <v>35.0</v>
      </c>
      <c r="L366" s="102" t="s">
        <v>197</v>
      </c>
      <c r="M366" s="102" t="s">
        <v>1727</v>
      </c>
      <c r="N366" s="105">
        <v>8.0</v>
      </c>
      <c r="O366" s="102" t="s">
        <v>197</v>
      </c>
      <c r="P366" s="106"/>
      <c r="Q366" s="106"/>
      <c r="R366" s="106"/>
      <c r="S366" s="106"/>
      <c r="T366" s="107" t="s">
        <v>1728</v>
      </c>
      <c r="U366" s="107" t="s">
        <v>1729</v>
      </c>
      <c r="V366" s="107" t="s">
        <v>1730</v>
      </c>
      <c r="W366" s="106"/>
      <c r="X366" s="106"/>
      <c r="Y366" s="106"/>
      <c r="Z366" s="102" t="s">
        <v>1731</v>
      </c>
      <c r="AA366" s="105">
        <v>1.0</v>
      </c>
      <c r="AB366" s="106"/>
      <c r="AC366" s="10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row>
    <row r="367">
      <c r="A367" s="100" t="s">
        <v>1714</v>
      </c>
      <c r="B367" s="109">
        <v>45772.246940578705</v>
      </c>
      <c r="C367" s="110" t="s">
        <v>1411</v>
      </c>
      <c r="D367" s="120" t="s">
        <v>1412</v>
      </c>
      <c r="E367" s="110" t="s">
        <v>1715</v>
      </c>
      <c r="F367" s="104" t="s">
        <v>1714</v>
      </c>
      <c r="G367" s="112">
        <v>170.0</v>
      </c>
      <c r="H367" s="112">
        <v>8.0</v>
      </c>
      <c r="I367" s="112">
        <v>8.0</v>
      </c>
      <c r="J367" s="112">
        <v>1.0</v>
      </c>
      <c r="K367" s="105">
        <v>2007.0</v>
      </c>
      <c r="L367" s="110" t="s">
        <v>197</v>
      </c>
      <c r="M367" s="110" t="s">
        <v>197</v>
      </c>
      <c r="N367" s="112">
        <v>10.0</v>
      </c>
      <c r="O367" s="110" t="s">
        <v>197</v>
      </c>
      <c r="P367" s="115"/>
      <c r="Q367" s="115"/>
      <c r="R367" s="115"/>
      <c r="S367" s="115"/>
      <c r="T367" s="114" t="s">
        <v>1732</v>
      </c>
      <c r="U367" s="114" t="s">
        <v>1733</v>
      </c>
      <c r="V367" s="114" t="s">
        <v>1718</v>
      </c>
      <c r="W367" s="115"/>
      <c r="X367" s="115"/>
      <c r="Y367" s="115"/>
      <c r="Z367" s="110" t="s">
        <v>1415</v>
      </c>
      <c r="AA367" s="111">
        <v>3.0</v>
      </c>
      <c r="AB367" s="115"/>
      <c r="AC367" s="116"/>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row>
    <row r="368">
      <c r="A368" s="100" t="s">
        <v>1734</v>
      </c>
      <c r="B368" s="101">
        <v>45772.248431875</v>
      </c>
      <c r="C368" s="110" t="s">
        <v>1735</v>
      </c>
      <c r="D368" s="120" t="s">
        <v>1736</v>
      </c>
      <c r="E368" s="110" t="s">
        <v>1737</v>
      </c>
      <c r="F368" s="104" t="s">
        <v>1734</v>
      </c>
      <c r="G368" s="111">
        <v>980.0</v>
      </c>
      <c r="H368" s="105">
        <v>9.0</v>
      </c>
      <c r="I368" s="105">
        <v>5.0</v>
      </c>
      <c r="J368" s="105">
        <v>6.0</v>
      </c>
      <c r="K368" s="105">
        <v>2005.0</v>
      </c>
      <c r="L368" s="102" t="s">
        <v>197</v>
      </c>
      <c r="M368" s="102" t="s">
        <v>197</v>
      </c>
      <c r="N368" s="105">
        <v>8.0</v>
      </c>
      <c r="O368" s="102" t="s">
        <v>197</v>
      </c>
      <c r="P368" s="106"/>
      <c r="Q368" s="106"/>
      <c r="R368" s="106"/>
      <c r="S368" s="106"/>
      <c r="T368" s="107" t="s">
        <v>1738</v>
      </c>
      <c r="U368" s="107" t="s">
        <v>1739</v>
      </c>
      <c r="V368" s="107" t="s">
        <v>1740</v>
      </c>
      <c r="W368" s="106"/>
      <c r="X368" s="106"/>
      <c r="Y368" s="106"/>
      <c r="Z368" s="102" t="s">
        <v>1741</v>
      </c>
      <c r="AA368" s="105">
        <v>1.0</v>
      </c>
      <c r="AB368" s="106"/>
      <c r="AC368" s="10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row>
    <row r="369">
      <c r="A369" s="100" t="s">
        <v>1742</v>
      </c>
      <c r="B369" s="109">
        <v>45772.249630289356</v>
      </c>
      <c r="C369" s="110" t="s">
        <v>1743</v>
      </c>
      <c r="D369" s="120" t="s">
        <v>1744</v>
      </c>
      <c r="E369" s="110" t="s">
        <v>1745</v>
      </c>
      <c r="F369" s="104" t="s">
        <v>1742</v>
      </c>
      <c r="G369" s="111">
        <v>320.0</v>
      </c>
      <c r="H369" s="112">
        <v>7.0</v>
      </c>
      <c r="I369" s="112">
        <v>6.0</v>
      </c>
      <c r="J369" s="112">
        <v>1.0</v>
      </c>
      <c r="K369" s="112">
        <v>1800.0</v>
      </c>
      <c r="L369" s="110" t="s">
        <v>401</v>
      </c>
      <c r="M369" s="110" t="s">
        <v>1746</v>
      </c>
      <c r="N369" s="112">
        <v>9.0</v>
      </c>
      <c r="O369" s="110" t="s">
        <v>197</v>
      </c>
      <c r="P369" s="115"/>
      <c r="Q369" s="115"/>
      <c r="R369" s="115"/>
      <c r="S369" s="115"/>
      <c r="T369" s="114" t="s">
        <v>1747</v>
      </c>
      <c r="U369" s="114" t="s">
        <v>1748</v>
      </c>
      <c r="V369" s="114" t="s">
        <v>1749</v>
      </c>
      <c r="W369" s="115"/>
      <c r="X369" s="115"/>
      <c r="Y369" s="115"/>
      <c r="Z369" s="110" t="s">
        <v>1750</v>
      </c>
      <c r="AA369" s="112">
        <v>1.0</v>
      </c>
      <c r="AB369" s="115"/>
      <c r="AC369" s="116"/>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row>
    <row r="370">
      <c r="A370" s="100" t="s">
        <v>1202</v>
      </c>
      <c r="B370" s="101">
        <v>45772.25170628472</v>
      </c>
      <c r="C370" s="110" t="s">
        <v>1432</v>
      </c>
      <c r="D370" s="120" t="s">
        <v>1204</v>
      </c>
      <c r="E370" s="110" t="s">
        <v>1205</v>
      </c>
      <c r="F370" s="104" t="s">
        <v>1202</v>
      </c>
      <c r="G370" s="112">
        <v>437.0</v>
      </c>
      <c r="H370" s="105">
        <v>7.0</v>
      </c>
      <c r="I370" s="105">
        <v>8.0</v>
      </c>
      <c r="J370" s="105">
        <v>1.0</v>
      </c>
      <c r="K370" s="105">
        <v>1938.0</v>
      </c>
      <c r="L370" s="102" t="s">
        <v>197</v>
      </c>
      <c r="M370" s="102" t="s">
        <v>197</v>
      </c>
      <c r="N370" s="105">
        <v>9.0</v>
      </c>
      <c r="O370" s="102" t="s">
        <v>401</v>
      </c>
      <c r="P370" s="121">
        <v>0.6</v>
      </c>
      <c r="Q370" s="105">
        <v>6.0</v>
      </c>
      <c r="R370" s="105">
        <v>4.0</v>
      </c>
      <c r="S370" s="105">
        <v>6.0</v>
      </c>
      <c r="T370" s="107" t="s">
        <v>1751</v>
      </c>
      <c r="U370" s="107" t="s">
        <v>1752</v>
      </c>
      <c r="V370" s="107" t="s">
        <v>1753</v>
      </c>
      <c r="W370" s="102" t="s">
        <v>1436</v>
      </c>
      <c r="X370" s="106"/>
      <c r="Y370" s="102" t="s">
        <v>401</v>
      </c>
      <c r="Z370" s="102" t="s">
        <v>1210</v>
      </c>
      <c r="AA370" s="105">
        <v>3.0</v>
      </c>
      <c r="AB370" s="106"/>
      <c r="AC370" s="10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row>
    <row r="371">
      <c r="A371" s="123" t="s">
        <v>1147</v>
      </c>
      <c r="B371" s="109">
        <v>45772.253551539354</v>
      </c>
      <c r="C371" s="110" t="s">
        <v>1148</v>
      </c>
      <c r="D371" s="120" t="s">
        <v>1393</v>
      </c>
      <c r="E371" s="110" t="s">
        <v>1754</v>
      </c>
      <c r="F371" s="124" t="s">
        <v>1147</v>
      </c>
      <c r="G371" s="112">
        <v>150.0</v>
      </c>
      <c r="H371" s="112">
        <v>10.0</v>
      </c>
      <c r="I371" s="112">
        <v>10.0</v>
      </c>
      <c r="J371" s="112">
        <v>0.0</v>
      </c>
      <c r="K371" s="112">
        <v>1980.0</v>
      </c>
      <c r="L371" s="110" t="s">
        <v>197</v>
      </c>
      <c r="M371" s="110" t="s">
        <v>197</v>
      </c>
      <c r="N371" s="112">
        <v>10.0</v>
      </c>
      <c r="O371" s="110" t="s">
        <v>197</v>
      </c>
      <c r="P371" s="115"/>
      <c r="Q371" s="115"/>
      <c r="R371" s="115"/>
      <c r="S371" s="115"/>
      <c r="T371" s="114" t="s">
        <v>1755</v>
      </c>
      <c r="U371" s="114" t="s">
        <v>1756</v>
      </c>
      <c r="V371" s="114" t="s">
        <v>1757</v>
      </c>
      <c r="W371" s="110" t="s">
        <v>197</v>
      </c>
      <c r="X371" s="115"/>
      <c r="Y371" s="115"/>
      <c r="Z371" s="110" t="s">
        <v>1154</v>
      </c>
      <c r="AA371" s="112">
        <v>3.0</v>
      </c>
      <c r="AB371" s="115"/>
      <c r="AC371" s="116"/>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row>
    <row r="372">
      <c r="A372" s="100" t="s">
        <v>1194</v>
      </c>
      <c r="B372" s="101">
        <v>45772.25359414352</v>
      </c>
      <c r="C372" s="110" t="s">
        <v>1195</v>
      </c>
      <c r="D372" s="120" t="s">
        <v>1196</v>
      </c>
      <c r="E372" s="110" t="s">
        <v>1758</v>
      </c>
      <c r="F372" s="104" t="s">
        <v>1194</v>
      </c>
      <c r="G372" s="112">
        <v>97.0</v>
      </c>
      <c r="H372" s="105">
        <v>8.0</v>
      </c>
      <c r="I372" s="105">
        <v>8.0</v>
      </c>
      <c r="J372" s="105">
        <v>0.0</v>
      </c>
      <c r="K372" s="105">
        <v>1990.0</v>
      </c>
      <c r="L372" s="102" t="s">
        <v>197</v>
      </c>
      <c r="M372" s="102" t="s">
        <v>197</v>
      </c>
      <c r="N372" s="105">
        <v>9.0</v>
      </c>
      <c r="O372" s="102" t="s">
        <v>401</v>
      </c>
      <c r="P372" s="121">
        <v>0.7</v>
      </c>
      <c r="Q372" s="105">
        <v>7.0</v>
      </c>
      <c r="R372" s="105">
        <v>3.0</v>
      </c>
      <c r="S372" s="105">
        <v>8.0</v>
      </c>
      <c r="T372" s="107" t="s">
        <v>1759</v>
      </c>
      <c r="U372" s="107" t="s">
        <v>1760</v>
      </c>
      <c r="V372" s="107" t="s">
        <v>1761</v>
      </c>
      <c r="W372" s="106"/>
      <c r="X372" s="106"/>
      <c r="Y372" s="102" t="s">
        <v>401</v>
      </c>
      <c r="Z372" s="102" t="s">
        <v>1201</v>
      </c>
      <c r="AA372" s="105">
        <v>3.0</v>
      </c>
      <c r="AB372" s="106"/>
      <c r="AC372" s="10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row>
    <row r="373">
      <c r="A373" s="100" t="s">
        <v>1762</v>
      </c>
      <c r="B373" s="109">
        <v>45772.254900671294</v>
      </c>
      <c r="C373" s="110" t="s">
        <v>1763</v>
      </c>
      <c r="D373" s="120" t="s">
        <v>1764</v>
      </c>
      <c r="E373" s="110" t="s">
        <v>1765</v>
      </c>
      <c r="F373" s="104" t="s">
        <v>1762</v>
      </c>
      <c r="G373" s="112">
        <v>215.0</v>
      </c>
      <c r="H373" s="112">
        <v>8.0</v>
      </c>
      <c r="I373" s="112">
        <v>8.0</v>
      </c>
      <c r="J373" s="112">
        <v>0.0</v>
      </c>
      <c r="K373" s="112">
        <v>1982.0</v>
      </c>
      <c r="L373" s="110" t="s">
        <v>197</v>
      </c>
      <c r="M373" s="110" t="s">
        <v>401</v>
      </c>
      <c r="N373" s="112">
        <v>6.0</v>
      </c>
      <c r="O373" s="110" t="s">
        <v>401</v>
      </c>
      <c r="P373" s="113">
        <v>0.0</v>
      </c>
      <c r="Q373" s="112">
        <v>0.0</v>
      </c>
      <c r="R373" s="112">
        <v>0.0</v>
      </c>
      <c r="S373" s="112">
        <v>0.0</v>
      </c>
      <c r="T373" s="114" t="s">
        <v>1766</v>
      </c>
      <c r="U373" s="114" t="s">
        <v>1767</v>
      </c>
      <c r="V373" s="114" t="s">
        <v>1768</v>
      </c>
      <c r="W373" s="110" t="s">
        <v>1769</v>
      </c>
      <c r="X373" s="115"/>
      <c r="Y373" s="110" t="s">
        <v>401</v>
      </c>
      <c r="Z373" s="110" t="s">
        <v>1770</v>
      </c>
      <c r="AA373" s="112">
        <v>1.0</v>
      </c>
      <c r="AB373" s="115"/>
      <c r="AC373" s="116"/>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row>
    <row r="374">
      <c r="A374" s="123" t="s">
        <v>1771</v>
      </c>
      <c r="B374" s="101">
        <v>45772.258129131944</v>
      </c>
      <c r="C374" s="112" t="s">
        <v>1772</v>
      </c>
      <c r="D374" s="120" t="s">
        <v>1773</v>
      </c>
      <c r="E374" s="112" t="s">
        <v>1774</v>
      </c>
      <c r="F374" s="124" t="s">
        <v>1771</v>
      </c>
      <c r="G374" s="111">
        <v>210.0</v>
      </c>
      <c r="H374" s="105">
        <v>7.0</v>
      </c>
      <c r="I374" s="105">
        <v>7.0</v>
      </c>
      <c r="J374" s="105">
        <v>0.0</v>
      </c>
      <c r="K374" s="117">
        <v>1063.0</v>
      </c>
      <c r="L374" s="102" t="s">
        <v>197</v>
      </c>
      <c r="M374" s="102" t="s">
        <v>197</v>
      </c>
      <c r="N374" s="105">
        <v>8.0</v>
      </c>
      <c r="O374" s="102" t="s">
        <v>197</v>
      </c>
      <c r="P374" s="106"/>
      <c r="Q374" s="106"/>
      <c r="R374" s="106"/>
      <c r="S374" s="106"/>
      <c r="T374" s="107" t="s">
        <v>1775</v>
      </c>
      <c r="U374" s="107" t="s">
        <v>1776</v>
      </c>
      <c r="V374" s="107" t="s">
        <v>1777</v>
      </c>
      <c r="W374" s="106"/>
      <c r="X374" s="106"/>
      <c r="Y374" s="106"/>
      <c r="Z374" s="102" t="s">
        <v>1778</v>
      </c>
      <c r="AA374" s="105">
        <v>1.0</v>
      </c>
      <c r="AB374" s="106"/>
      <c r="AC374" s="10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row>
    <row r="375">
      <c r="A375" s="100" t="s">
        <v>1461</v>
      </c>
      <c r="B375" s="109">
        <v>45772.25851100695</v>
      </c>
      <c r="C375" s="110" t="s">
        <v>286</v>
      </c>
      <c r="D375" s="120" t="s">
        <v>1462</v>
      </c>
      <c r="E375" s="110" t="s">
        <v>1779</v>
      </c>
      <c r="F375" s="104" t="s">
        <v>1461</v>
      </c>
      <c r="G375" s="111">
        <v>385.0</v>
      </c>
      <c r="H375" s="112">
        <v>8.0</v>
      </c>
      <c r="I375" s="112">
        <v>7.0</v>
      </c>
      <c r="J375" s="112">
        <v>2.0</v>
      </c>
      <c r="K375" s="112">
        <v>1964.0</v>
      </c>
      <c r="L375" s="110" t="s">
        <v>197</v>
      </c>
      <c r="M375" s="110" t="s">
        <v>1780</v>
      </c>
      <c r="N375" s="112">
        <v>10.0</v>
      </c>
      <c r="O375" s="110" t="s">
        <v>401</v>
      </c>
      <c r="P375" s="113">
        <v>0.3</v>
      </c>
      <c r="Q375" s="112">
        <v>3.0</v>
      </c>
      <c r="R375" s="112">
        <v>7.0</v>
      </c>
      <c r="S375" s="112">
        <v>4.0</v>
      </c>
      <c r="T375" s="110" t="s">
        <v>1781</v>
      </c>
      <c r="U375" s="110" t="s">
        <v>1782</v>
      </c>
      <c r="V375" s="114" t="s">
        <v>1783</v>
      </c>
      <c r="W375" s="115"/>
      <c r="X375" s="115"/>
      <c r="Y375" s="110" t="s">
        <v>401</v>
      </c>
      <c r="Z375" s="110" t="s">
        <v>1467</v>
      </c>
      <c r="AA375" s="112">
        <v>3.0</v>
      </c>
      <c r="AB375" s="115"/>
      <c r="AC375" s="116"/>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row>
    <row r="376">
      <c r="A376" s="100" t="s">
        <v>1784</v>
      </c>
      <c r="B376" s="101">
        <v>45772.25963377315</v>
      </c>
      <c r="C376" s="110" t="s">
        <v>1785</v>
      </c>
      <c r="D376" s="120" t="s">
        <v>1786</v>
      </c>
      <c r="E376" s="110" t="s">
        <v>1787</v>
      </c>
      <c r="F376" s="104" t="s">
        <v>1784</v>
      </c>
      <c r="G376" s="112">
        <v>214.0</v>
      </c>
      <c r="H376" s="105">
        <v>6.0</v>
      </c>
      <c r="I376" s="105">
        <v>7.0</v>
      </c>
      <c r="J376" s="105">
        <v>1.0</v>
      </c>
      <c r="K376" s="105">
        <v>2005.0</v>
      </c>
      <c r="L376" s="102" t="s">
        <v>197</v>
      </c>
      <c r="M376" s="102" t="s">
        <v>1788</v>
      </c>
      <c r="N376" s="105">
        <v>8.0</v>
      </c>
      <c r="O376" s="102" t="s">
        <v>401</v>
      </c>
      <c r="P376" s="121">
        <v>0.0</v>
      </c>
      <c r="Q376" s="105">
        <v>2.0</v>
      </c>
      <c r="R376" s="105">
        <v>9.0</v>
      </c>
      <c r="S376" s="105">
        <v>1.0</v>
      </c>
      <c r="T376" s="102" t="s">
        <v>1789</v>
      </c>
      <c r="U376" s="102" t="s">
        <v>1790</v>
      </c>
      <c r="V376" s="107" t="s">
        <v>1791</v>
      </c>
      <c r="W376" s="106"/>
      <c r="X376" s="106"/>
      <c r="Y376" s="102" t="s">
        <v>401</v>
      </c>
      <c r="Z376" s="102" t="s">
        <v>1792</v>
      </c>
      <c r="AA376" s="105">
        <v>1.0</v>
      </c>
      <c r="AB376" s="106"/>
      <c r="AC376" s="10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row>
    <row r="377">
      <c r="A377" s="100" t="s">
        <v>1793</v>
      </c>
      <c r="B377" s="101">
        <v>45772.261630243054</v>
      </c>
      <c r="C377" s="110" t="s">
        <v>1794</v>
      </c>
      <c r="D377" s="120" t="s">
        <v>1795</v>
      </c>
      <c r="E377" s="110" t="s">
        <v>1796</v>
      </c>
      <c r="F377" s="104" t="s">
        <v>1793</v>
      </c>
      <c r="G377" s="112">
        <v>700.0</v>
      </c>
      <c r="H377" s="105">
        <v>10.0</v>
      </c>
      <c r="I377" s="105">
        <v>10.0</v>
      </c>
      <c r="J377" s="105">
        <v>0.0</v>
      </c>
      <c r="K377" s="105">
        <v>1995.0</v>
      </c>
      <c r="L377" s="102" t="s">
        <v>401</v>
      </c>
      <c r="M377" s="102" t="s">
        <v>197</v>
      </c>
      <c r="N377" s="105">
        <v>10.0</v>
      </c>
      <c r="O377" s="102" t="s">
        <v>401</v>
      </c>
      <c r="P377" s="121">
        <v>1.0</v>
      </c>
      <c r="Q377" s="105">
        <v>10.0</v>
      </c>
      <c r="R377" s="105">
        <v>5.0</v>
      </c>
      <c r="S377" s="105">
        <v>10.0</v>
      </c>
      <c r="T377" s="102" t="s">
        <v>1797</v>
      </c>
      <c r="U377" s="107" t="s">
        <v>1798</v>
      </c>
      <c r="V377" s="107" t="s">
        <v>1799</v>
      </c>
      <c r="W377" s="106"/>
      <c r="X377" s="106"/>
      <c r="Y377" s="102" t="s">
        <v>401</v>
      </c>
      <c r="Z377" s="102" t="s">
        <v>1800</v>
      </c>
      <c r="AA377" s="105">
        <v>1.0</v>
      </c>
      <c r="AB377" s="106"/>
      <c r="AC377" s="10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row>
    <row r="378">
      <c r="A378" s="100" t="s">
        <v>1438</v>
      </c>
      <c r="B378" s="109">
        <v>45772.26666916667</v>
      </c>
      <c r="C378" s="110" t="s">
        <v>1439</v>
      </c>
      <c r="D378" s="120" t="s">
        <v>1440</v>
      </c>
      <c r="E378" s="110" t="s">
        <v>1801</v>
      </c>
      <c r="F378" s="104" t="s">
        <v>1438</v>
      </c>
      <c r="G378" s="112">
        <v>450.0</v>
      </c>
      <c r="H378" s="112">
        <v>8.0</v>
      </c>
      <c r="I378" s="112">
        <v>8.0</v>
      </c>
      <c r="J378" s="112">
        <v>0.0</v>
      </c>
      <c r="K378" s="112">
        <v>1976.0</v>
      </c>
      <c r="L378" s="110" t="s">
        <v>197</v>
      </c>
      <c r="M378" s="110" t="s">
        <v>973</v>
      </c>
      <c r="N378" s="112">
        <v>7.0</v>
      </c>
      <c r="O378" s="110" t="s">
        <v>197</v>
      </c>
      <c r="P378" s="115"/>
      <c r="Q378" s="115"/>
      <c r="R378" s="115"/>
      <c r="S378" s="115"/>
      <c r="T378" s="114" t="s">
        <v>1802</v>
      </c>
      <c r="U378" s="114" t="s">
        <v>1803</v>
      </c>
      <c r="V378" s="114" t="s">
        <v>1804</v>
      </c>
      <c r="W378" s="115"/>
      <c r="X378" s="115"/>
      <c r="Y378" s="115"/>
      <c r="Z378" s="110" t="s">
        <v>1445</v>
      </c>
      <c r="AA378" s="112">
        <v>2.0</v>
      </c>
      <c r="AB378" s="115"/>
      <c r="AC378" s="116"/>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row>
    <row r="379">
      <c r="A379" s="125">
        <v>3.5102796239E10</v>
      </c>
      <c r="B379" s="101">
        <v>45772.27187020834</v>
      </c>
      <c r="C379" s="110" t="s">
        <v>1805</v>
      </c>
      <c r="D379" s="120" t="s">
        <v>1806</v>
      </c>
      <c r="E379" s="110" t="s">
        <v>1807</v>
      </c>
      <c r="F379" s="122">
        <v>3.5102796239E10</v>
      </c>
      <c r="G379" s="112">
        <v>35.0</v>
      </c>
      <c r="H379" s="105">
        <v>8.0</v>
      </c>
      <c r="I379" s="105">
        <v>8.0</v>
      </c>
      <c r="J379" s="102" t="s">
        <v>197</v>
      </c>
      <c r="K379" s="105">
        <v>0.0</v>
      </c>
      <c r="L379" s="102" t="s">
        <v>197</v>
      </c>
      <c r="M379" s="102" t="s">
        <v>1005</v>
      </c>
      <c r="N379" s="105">
        <v>7.0</v>
      </c>
      <c r="O379" s="102" t="s">
        <v>197</v>
      </c>
      <c r="P379" s="106"/>
      <c r="Q379" s="106"/>
      <c r="R379" s="106"/>
      <c r="S379" s="106"/>
      <c r="T379" s="106"/>
      <c r="U379" s="106"/>
      <c r="V379" s="106"/>
      <c r="W379" s="102" t="s">
        <v>337</v>
      </c>
      <c r="X379" s="106"/>
      <c r="Y379" s="106"/>
      <c r="Z379" s="102" t="s">
        <v>1808</v>
      </c>
      <c r="AA379" s="102" t="s">
        <v>8</v>
      </c>
      <c r="AB379" s="106"/>
      <c r="AC379" s="10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row>
    <row r="380">
      <c r="A380" s="83" t="s">
        <v>1809</v>
      </c>
      <c r="B380" s="109">
        <v>45772.27192211806</v>
      </c>
      <c r="C380" s="110" t="s">
        <v>1810</v>
      </c>
      <c r="D380" s="110" t="s">
        <v>1811</v>
      </c>
      <c r="E380" s="110" t="s">
        <v>1812</v>
      </c>
      <c r="F380" s="122" t="s">
        <v>1809</v>
      </c>
      <c r="G380" s="112">
        <v>180.0</v>
      </c>
      <c r="H380" s="112">
        <v>7.0</v>
      </c>
      <c r="I380" s="112">
        <v>8.0</v>
      </c>
      <c r="J380" s="112">
        <v>1.0</v>
      </c>
      <c r="K380" s="120" t="s">
        <v>388</v>
      </c>
      <c r="L380" s="110" t="s">
        <v>197</v>
      </c>
      <c r="M380" s="110" t="s">
        <v>197</v>
      </c>
      <c r="N380" s="112">
        <v>10.0</v>
      </c>
      <c r="O380" s="110" t="s">
        <v>197</v>
      </c>
      <c r="P380" s="115"/>
      <c r="Q380" s="115"/>
      <c r="R380" s="115"/>
      <c r="S380" s="115"/>
      <c r="T380" s="114" t="s">
        <v>1813</v>
      </c>
      <c r="U380" s="114" t="s">
        <v>1814</v>
      </c>
      <c r="V380" s="114" t="s">
        <v>1815</v>
      </c>
      <c r="W380" s="110" t="s">
        <v>197</v>
      </c>
      <c r="X380" s="115"/>
      <c r="Y380" s="115"/>
      <c r="Z380" s="110" t="s">
        <v>1816</v>
      </c>
      <c r="AA380" s="112">
        <v>3.0</v>
      </c>
      <c r="AB380" s="115"/>
      <c r="AC380" s="116"/>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row>
    <row r="381">
      <c r="A381" s="100" t="s">
        <v>1817</v>
      </c>
      <c r="B381" s="101">
        <v>45772.27287916667</v>
      </c>
      <c r="C381" s="110" t="s">
        <v>1818</v>
      </c>
      <c r="D381" s="120" t="s">
        <v>1819</v>
      </c>
      <c r="E381" s="110" t="s">
        <v>1820</v>
      </c>
      <c r="F381" s="104" t="s">
        <v>1817</v>
      </c>
      <c r="G381" s="111">
        <v>165.0</v>
      </c>
      <c r="H381" s="105">
        <v>10.0</v>
      </c>
      <c r="I381" s="105">
        <v>10.0</v>
      </c>
      <c r="J381" s="105">
        <v>0.0</v>
      </c>
      <c r="K381" s="105">
        <v>1965.0</v>
      </c>
      <c r="L381" s="102" t="s">
        <v>197</v>
      </c>
      <c r="M381" s="102" t="s">
        <v>337</v>
      </c>
      <c r="N381" s="105">
        <v>10.0</v>
      </c>
      <c r="O381" s="102" t="s">
        <v>197</v>
      </c>
      <c r="P381" s="106"/>
      <c r="Q381" s="106"/>
      <c r="R381" s="106"/>
      <c r="S381" s="106"/>
      <c r="T381" s="107" t="s">
        <v>1821</v>
      </c>
      <c r="U381" s="107" t="s">
        <v>1822</v>
      </c>
      <c r="V381" s="107" t="s">
        <v>1823</v>
      </c>
      <c r="W381" s="106"/>
      <c r="X381" s="106"/>
      <c r="Y381" s="106"/>
      <c r="Z381" s="102" t="s">
        <v>1824</v>
      </c>
      <c r="AA381" s="105">
        <v>1.0</v>
      </c>
      <c r="AB381" s="106"/>
      <c r="AC381" s="10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row>
    <row r="382">
      <c r="A382" s="100" t="s">
        <v>1825</v>
      </c>
      <c r="B382" s="109">
        <v>45772.27745043981</v>
      </c>
      <c r="C382" s="112" t="s">
        <v>1826</v>
      </c>
      <c r="D382" s="120" t="s">
        <v>1827</v>
      </c>
      <c r="E382" s="112" t="s">
        <v>1828</v>
      </c>
      <c r="F382" s="104" t="s">
        <v>1825</v>
      </c>
      <c r="G382" s="112">
        <v>700.0</v>
      </c>
      <c r="H382" s="112">
        <v>8.0</v>
      </c>
      <c r="I382" s="112">
        <v>8.0</v>
      </c>
      <c r="J382" s="112">
        <v>0.0</v>
      </c>
      <c r="K382" s="112">
        <v>1985.0</v>
      </c>
      <c r="L382" s="110" t="s">
        <v>197</v>
      </c>
      <c r="M382" s="112" t="s">
        <v>1829</v>
      </c>
      <c r="N382" s="112">
        <v>9.0</v>
      </c>
      <c r="O382" s="110" t="s">
        <v>401</v>
      </c>
      <c r="P382" s="113">
        <v>1.0</v>
      </c>
      <c r="Q382" s="112">
        <v>10.0</v>
      </c>
      <c r="R382" s="112">
        <v>4.0</v>
      </c>
      <c r="S382" s="112">
        <v>9.0</v>
      </c>
      <c r="T382" s="114" t="s">
        <v>1830</v>
      </c>
      <c r="U382" s="114" t="s">
        <v>1831</v>
      </c>
      <c r="V382" s="114" t="s">
        <v>1832</v>
      </c>
      <c r="W382" s="112" t="s">
        <v>1450</v>
      </c>
      <c r="X382" s="115"/>
      <c r="Y382" s="110" t="s">
        <v>401</v>
      </c>
      <c r="Z382" s="110" t="s">
        <v>1833</v>
      </c>
      <c r="AA382" s="112">
        <v>1.0</v>
      </c>
      <c r="AB382" s="115"/>
      <c r="AC382" s="116"/>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row>
    <row r="383">
      <c r="A383" s="100" t="s">
        <v>1178</v>
      </c>
      <c r="B383" s="101">
        <v>45772.27747545139</v>
      </c>
      <c r="C383" s="110" t="s">
        <v>1834</v>
      </c>
      <c r="D383" s="120" t="s">
        <v>1180</v>
      </c>
      <c r="E383" s="110" t="s">
        <v>1835</v>
      </c>
      <c r="F383" s="104" t="s">
        <v>1178</v>
      </c>
      <c r="G383" s="112">
        <v>470.0</v>
      </c>
      <c r="H383" s="105">
        <v>7.0</v>
      </c>
      <c r="I383" s="105">
        <v>7.0</v>
      </c>
      <c r="J383" s="105">
        <v>2.0</v>
      </c>
      <c r="K383" s="105">
        <v>1960.0</v>
      </c>
      <c r="L383" s="102" t="s">
        <v>197</v>
      </c>
      <c r="M383" s="102" t="s">
        <v>197</v>
      </c>
      <c r="N383" s="105">
        <v>7.0</v>
      </c>
      <c r="O383" s="102" t="s">
        <v>197</v>
      </c>
      <c r="P383" s="106"/>
      <c r="Q383" s="106"/>
      <c r="R383" s="106"/>
      <c r="S383" s="106"/>
      <c r="T383" s="107" t="s">
        <v>1836</v>
      </c>
      <c r="U383" s="107" t="s">
        <v>1837</v>
      </c>
      <c r="V383" s="107" t="s">
        <v>1838</v>
      </c>
      <c r="W383" s="106"/>
      <c r="X383" s="106"/>
      <c r="Y383" s="106"/>
      <c r="Z383" s="102" t="s">
        <v>1185</v>
      </c>
      <c r="AA383" s="105">
        <v>3.0</v>
      </c>
      <c r="AB383" s="106"/>
      <c r="AC383" s="10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row>
    <row r="384">
      <c r="A384" s="100" t="s">
        <v>1839</v>
      </c>
      <c r="B384" s="109">
        <v>45772.278381516204</v>
      </c>
      <c r="C384" s="110" t="s">
        <v>1267</v>
      </c>
      <c r="D384" s="120" t="s">
        <v>1840</v>
      </c>
      <c r="E384" s="110" t="s">
        <v>1841</v>
      </c>
      <c r="F384" s="104" t="s">
        <v>1839</v>
      </c>
      <c r="G384" s="112">
        <v>330.0</v>
      </c>
      <c r="H384" s="112">
        <v>6.0</v>
      </c>
      <c r="I384" s="112">
        <v>7.0</v>
      </c>
      <c r="J384" s="112">
        <v>0.0</v>
      </c>
      <c r="K384" s="112">
        <v>1874.0</v>
      </c>
      <c r="L384" s="110" t="s">
        <v>197</v>
      </c>
      <c r="M384" s="110" t="s">
        <v>1560</v>
      </c>
      <c r="N384" s="112">
        <v>8.0</v>
      </c>
      <c r="O384" s="110" t="s">
        <v>401</v>
      </c>
      <c r="P384" s="113">
        <v>0.6</v>
      </c>
      <c r="Q384" s="112">
        <v>8.0</v>
      </c>
      <c r="R384" s="112">
        <v>2.0</v>
      </c>
      <c r="S384" s="112">
        <v>5.0</v>
      </c>
      <c r="T384" s="110" t="s">
        <v>1842</v>
      </c>
      <c r="U384" s="114" t="s">
        <v>1843</v>
      </c>
      <c r="V384" s="114" t="s">
        <v>1844</v>
      </c>
      <c r="W384" s="110" t="s">
        <v>1845</v>
      </c>
      <c r="X384" s="115"/>
      <c r="Y384" s="110" t="s">
        <v>401</v>
      </c>
      <c r="Z384" s="110" t="s">
        <v>1846</v>
      </c>
      <c r="AA384" s="112">
        <v>1.0</v>
      </c>
      <c r="AB384" s="115"/>
      <c r="AC384" s="116"/>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row>
    <row r="385">
      <c r="A385" s="100" t="s">
        <v>1485</v>
      </c>
      <c r="B385" s="101">
        <v>45772.27956739583</v>
      </c>
      <c r="C385" s="110" t="s">
        <v>296</v>
      </c>
      <c r="D385" s="110" t="s">
        <v>1299</v>
      </c>
      <c r="E385" s="110" t="s">
        <v>1847</v>
      </c>
      <c r="F385" s="104" t="s">
        <v>1485</v>
      </c>
      <c r="G385" s="112">
        <v>150.0</v>
      </c>
      <c r="H385" s="105">
        <v>5.0</v>
      </c>
      <c r="I385" s="105">
        <v>5.0</v>
      </c>
      <c r="J385" s="105">
        <v>0.0</v>
      </c>
      <c r="K385" s="105">
        <v>1960.0</v>
      </c>
      <c r="L385" s="102" t="s">
        <v>197</v>
      </c>
      <c r="M385" s="102" t="s">
        <v>1304</v>
      </c>
      <c r="N385" s="105">
        <v>5.0</v>
      </c>
      <c r="O385" s="102" t="s">
        <v>197</v>
      </c>
      <c r="P385" s="106"/>
      <c r="Q385" s="106"/>
      <c r="R385" s="106"/>
      <c r="S385" s="106"/>
      <c r="T385" s="107" t="s">
        <v>1848</v>
      </c>
      <c r="U385" s="107" t="s">
        <v>1849</v>
      </c>
      <c r="V385" s="107" t="s">
        <v>1850</v>
      </c>
      <c r="W385" s="102" t="s">
        <v>1304</v>
      </c>
      <c r="X385" s="106"/>
      <c r="Y385" s="106"/>
      <c r="Z385" s="102" t="s">
        <v>1305</v>
      </c>
      <c r="AA385" s="105">
        <v>3.0</v>
      </c>
      <c r="AB385" s="106"/>
      <c r="AC385" s="10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row>
    <row r="386">
      <c r="A386" s="100" t="s">
        <v>1851</v>
      </c>
      <c r="B386" s="109">
        <v>45772.27961038194</v>
      </c>
      <c r="C386" s="110" t="s">
        <v>1852</v>
      </c>
      <c r="D386" s="120" t="s">
        <v>1853</v>
      </c>
      <c r="E386" s="110" t="s">
        <v>1854</v>
      </c>
      <c r="F386" s="104" t="s">
        <v>1851</v>
      </c>
      <c r="G386" s="112">
        <v>500.0</v>
      </c>
      <c r="H386" s="112">
        <v>9.0</v>
      </c>
      <c r="I386" s="112">
        <v>0.0</v>
      </c>
      <c r="J386" s="112">
        <v>2.0</v>
      </c>
      <c r="K386" s="112">
        <v>1931.0</v>
      </c>
      <c r="L386" s="110" t="s">
        <v>197</v>
      </c>
      <c r="M386" s="110" t="s">
        <v>197</v>
      </c>
      <c r="N386" s="112">
        <v>9.0</v>
      </c>
      <c r="O386" s="110" t="s">
        <v>401</v>
      </c>
      <c r="P386" s="113">
        <v>0.9</v>
      </c>
      <c r="Q386" s="112">
        <v>10.0</v>
      </c>
      <c r="R386" s="112">
        <v>0.0</v>
      </c>
      <c r="S386" s="112">
        <v>7.0</v>
      </c>
      <c r="T386" s="114" t="s">
        <v>1855</v>
      </c>
      <c r="U386" s="114" t="s">
        <v>1856</v>
      </c>
      <c r="V386" s="114" t="s">
        <v>1857</v>
      </c>
      <c r="W386" s="115"/>
      <c r="X386" s="115"/>
      <c r="Y386" s="110" t="s">
        <v>401</v>
      </c>
      <c r="Z386" s="110" t="s">
        <v>1858</v>
      </c>
      <c r="AA386" s="112">
        <v>1.0</v>
      </c>
      <c r="AB386" s="115"/>
      <c r="AC386" s="116"/>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c r="BC386" s="38"/>
    </row>
    <row r="387">
      <c r="A387" s="100" t="s">
        <v>1859</v>
      </c>
      <c r="B387" s="101">
        <v>45772.281431979165</v>
      </c>
      <c r="C387" s="110" t="s">
        <v>1860</v>
      </c>
      <c r="D387" s="120" t="s">
        <v>1861</v>
      </c>
      <c r="E387" s="110" t="s">
        <v>1862</v>
      </c>
      <c r="F387" s="104" t="s">
        <v>1859</v>
      </c>
      <c r="G387" s="111">
        <v>92.0</v>
      </c>
      <c r="H387" s="105">
        <v>8.0</v>
      </c>
      <c r="I387" s="105">
        <v>8.0</v>
      </c>
      <c r="J387" s="102" t="s">
        <v>197</v>
      </c>
      <c r="K387" s="105">
        <v>2000.0</v>
      </c>
      <c r="L387" s="102" t="s">
        <v>197</v>
      </c>
      <c r="M387" s="102" t="s">
        <v>1863</v>
      </c>
      <c r="N387" s="105">
        <v>10.0</v>
      </c>
      <c r="O387" s="102" t="s">
        <v>197</v>
      </c>
      <c r="P387" s="106"/>
      <c r="Q387" s="106"/>
      <c r="R387" s="106"/>
      <c r="S387" s="106"/>
      <c r="T387" s="107" t="s">
        <v>1864</v>
      </c>
      <c r="U387" s="107" t="s">
        <v>1865</v>
      </c>
      <c r="V387" s="107" t="s">
        <v>1866</v>
      </c>
      <c r="W387" s="106"/>
      <c r="X387" s="106"/>
      <c r="Y387" s="106"/>
      <c r="Z387" s="102" t="s">
        <v>1867</v>
      </c>
      <c r="AA387" s="105">
        <v>3.0</v>
      </c>
      <c r="AB387" s="106"/>
      <c r="AC387" s="10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c r="BC387" s="38"/>
    </row>
    <row r="388">
      <c r="A388" s="100" t="s">
        <v>1868</v>
      </c>
      <c r="B388" s="109">
        <v>45772.282610069444</v>
      </c>
      <c r="C388" s="110" t="s">
        <v>1869</v>
      </c>
      <c r="D388" s="120" t="s">
        <v>1870</v>
      </c>
      <c r="E388" s="110" t="s">
        <v>1871</v>
      </c>
      <c r="F388" s="104" t="s">
        <v>1868</v>
      </c>
      <c r="G388" s="111">
        <v>775.0</v>
      </c>
      <c r="H388" s="112">
        <v>8.0</v>
      </c>
      <c r="I388" s="112">
        <v>6.0</v>
      </c>
      <c r="J388" s="112">
        <v>4.0</v>
      </c>
      <c r="K388" s="112">
        <v>1930.0</v>
      </c>
      <c r="L388" s="110" t="s">
        <v>197</v>
      </c>
      <c r="M388" s="110" t="s">
        <v>1872</v>
      </c>
      <c r="N388" s="112">
        <v>8.0</v>
      </c>
      <c r="O388" s="110" t="s">
        <v>401</v>
      </c>
      <c r="P388" s="113">
        <v>0.6</v>
      </c>
      <c r="Q388" s="112">
        <v>7.0</v>
      </c>
      <c r="R388" s="112">
        <v>4.0</v>
      </c>
      <c r="S388" s="112">
        <v>8.0</v>
      </c>
      <c r="T388" s="114" t="s">
        <v>1873</v>
      </c>
      <c r="U388" s="114" t="s">
        <v>1874</v>
      </c>
      <c r="V388" s="114" t="s">
        <v>1875</v>
      </c>
      <c r="W388" s="110" t="s">
        <v>197</v>
      </c>
      <c r="X388" s="115"/>
      <c r="Y388" s="110" t="s">
        <v>401</v>
      </c>
      <c r="Z388" s="110" t="s">
        <v>1876</v>
      </c>
      <c r="AA388" s="112">
        <v>1.0</v>
      </c>
      <c r="AB388" s="115"/>
      <c r="AC388" s="116"/>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c r="BC388" s="38"/>
    </row>
    <row r="389">
      <c r="A389" s="100" t="s">
        <v>1877</v>
      </c>
      <c r="B389" s="101">
        <v>45772.28289587963</v>
      </c>
      <c r="C389" s="110" t="s">
        <v>1878</v>
      </c>
      <c r="D389" s="120" t="s">
        <v>1879</v>
      </c>
      <c r="E389" s="110" t="s">
        <v>1880</v>
      </c>
      <c r="F389" s="104" t="s">
        <v>1877</v>
      </c>
      <c r="G389" s="111">
        <v>850.0</v>
      </c>
      <c r="H389" s="105">
        <v>9.0</v>
      </c>
      <c r="I389" s="105">
        <v>5.0</v>
      </c>
      <c r="J389" s="105">
        <v>2.0</v>
      </c>
      <c r="K389" s="105">
        <v>1323.0</v>
      </c>
      <c r="L389" s="102" t="s">
        <v>197</v>
      </c>
      <c r="M389" s="102" t="s">
        <v>197</v>
      </c>
      <c r="N389" s="105">
        <v>7.0</v>
      </c>
      <c r="O389" s="102" t="s">
        <v>401</v>
      </c>
      <c r="P389" s="121">
        <v>0.7</v>
      </c>
      <c r="Q389" s="105">
        <v>8.0</v>
      </c>
      <c r="R389" s="105">
        <v>2.0</v>
      </c>
      <c r="S389" s="105">
        <v>5.0</v>
      </c>
      <c r="T389" s="107" t="s">
        <v>1881</v>
      </c>
      <c r="U389" s="107" t="s">
        <v>1882</v>
      </c>
      <c r="V389" s="107" t="s">
        <v>1883</v>
      </c>
      <c r="W389" s="102" t="s">
        <v>197</v>
      </c>
      <c r="X389" s="106"/>
      <c r="Y389" s="102" t="s">
        <v>401</v>
      </c>
      <c r="Z389" s="102" t="s">
        <v>1884</v>
      </c>
      <c r="AA389" s="105">
        <v>1.0</v>
      </c>
      <c r="AB389" s="106"/>
      <c r="AC389" s="10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c r="BC389" s="38"/>
    </row>
    <row r="390">
      <c r="A390" s="100" t="s">
        <v>1885</v>
      </c>
      <c r="B390" s="109">
        <v>45772.284500381946</v>
      </c>
      <c r="C390" s="110" t="s">
        <v>1886</v>
      </c>
      <c r="D390" s="120" t="s">
        <v>1887</v>
      </c>
      <c r="E390" s="110" t="s">
        <v>1888</v>
      </c>
      <c r="F390" s="104" t="s">
        <v>1885</v>
      </c>
      <c r="G390" s="111">
        <v>190.0</v>
      </c>
      <c r="H390" s="112">
        <v>8.0</v>
      </c>
      <c r="I390" s="112">
        <v>7.0</v>
      </c>
      <c r="J390" s="112">
        <v>3.0</v>
      </c>
      <c r="K390" s="112">
        <v>1970.0</v>
      </c>
      <c r="L390" s="110" t="s">
        <v>401</v>
      </c>
      <c r="M390" s="110" t="s">
        <v>197</v>
      </c>
      <c r="N390" s="112">
        <v>10.0</v>
      </c>
      <c r="O390" s="110" t="s">
        <v>197</v>
      </c>
      <c r="P390" s="115"/>
      <c r="Q390" s="115"/>
      <c r="R390" s="115"/>
      <c r="S390" s="115"/>
      <c r="T390" s="115"/>
      <c r="U390" s="115"/>
      <c r="V390" s="114" t="s">
        <v>1889</v>
      </c>
      <c r="W390" s="115"/>
      <c r="X390" s="115"/>
      <c r="Y390" s="115"/>
      <c r="Z390" s="110" t="s">
        <v>1890</v>
      </c>
      <c r="AA390" s="112">
        <v>1.0</v>
      </c>
      <c r="AB390" s="115"/>
      <c r="AC390" s="116"/>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row>
    <row r="391">
      <c r="A391" s="100" t="s">
        <v>1172</v>
      </c>
      <c r="B391" s="101">
        <v>45772.28526711806</v>
      </c>
      <c r="C391" s="110" t="s">
        <v>1891</v>
      </c>
      <c r="D391" s="120" t="s">
        <v>672</v>
      </c>
      <c r="E391" s="110" t="s">
        <v>1542</v>
      </c>
      <c r="F391" s="104" t="s">
        <v>1172</v>
      </c>
      <c r="G391" s="112">
        <v>645.0</v>
      </c>
      <c r="H391" s="105">
        <v>9.0</v>
      </c>
      <c r="I391" s="105">
        <v>8.0</v>
      </c>
      <c r="J391" s="105">
        <v>0.0</v>
      </c>
      <c r="K391" s="105">
        <v>1955.0</v>
      </c>
      <c r="L391" s="102" t="s">
        <v>401</v>
      </c>
      <c r="M391" s="102" t="s">
        <v>197</v>
      </c>
      <c r="N391" s="105">
        <v>9.0</v>
      </c>
      <c r="O391" s="102" t="s">
        <v>401</v>
      </c>
      <c r="P391" s="121">
        <v>0.0</v>
      </c>
      <c r="Q391" s="105">
        <v>0.0</v>
      </c>
      <c r="R391" s="105">
        <v>0.0</v>
      </c>
      <c r="S391" s="105">
        <v>0.0</v>
      </c>
      <c r="T391" s="107" t="s">
        <v>1892</v>
      </c>
      <c r="U391" s="107" t="s">
        <v>1893</v>
      </c>
      <c r="V391" s="107" t="s">
        <v>1894</v>
      </c>
      <c r="W391" s="106"/>
      <c r="X391" s="106"/>
      <c r="Y391" s="102" t="s">
        <v>401</v>
      </c>
      <c r="Z391" s="102" t="s">
        <v>676</v>
      </c>
      <c r="AA391" s="105">
        <v>3.0</v>
      </c>
      <c r="AB391" s="106"/>
      <c r="AC391" s="10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c r="BC391" s="38"/>
    </row>
    <row r="392">
      <c r="A392" s="100" t="s">
        <v>1416</v>
      </c>
      <c r="B392" s="109">
        <v>45772.28611648148</v>
      </c>
      <c r="C392" s="110" t="s">
        <v>1417</v>
      </c>
      <c r="D392" s="120" t="s">
        <v>1240</v>
      </c>
      <c r="E392" s="110" t="s">
        <v>1895</v>
      </c>
      <c r="F392" s="104" t="s">
        <v>1416</v>
      </c>
      <c r="G392" s="111">
        <v>320.0</v>
      </c>
      <c r="H392" s="112">
        <v>8.0</v>
      </c>
      <c r="I392" s="112">
        <v>8.0</v>
      </c>
      <c r="J392" s="120" t="s">
        <v>1896</v>
      </c>
      <c r="K392" s="110" t="s">
        <v>1243</v>
      </c>
      <c r="L392" s="110" t="s">
        <v>197</v>
      </c>
      <c r="M392" s="110" t="s">
        <v>197</v>
      </c>
      <c r="N392" s="112">
        <v>9.0</v>
      </c>
      <c r="O392" s="110" t="s">
        <v>197</v>
      </c>
      <c r="P392" s="115"/>
      <c r="Q392" s="115"/>
      <c r="R392" s="115"/>
      <c r="S392" s="115"/>
      <c r="T392" s="114" t="s">
        <v>1897</v>
      </c>
      <c r="U392" s="114" t="s">
        <v>1898</v>
      </c>
      <c r="V392" s="114" t="s">
        <v>1899</v>
      </c>
      <c r="W392" s="115"/>
      <c r="X392" s="115"/>
      <c r="Y392" s="115"/>
      <c r="Z392" s="110" t="s">
        <v>1247</v>
      </c>
      <c r="AA392" s="112">
        <v>3.0</v>
      </c>
      <c r="AB392" s="115"/>
      <c r="AC392" s="116"/>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c r="BC392" s="38"/>
    </row>
    <row r="393">
      <c r="A393" s="123" t="s">
        <v>1900</v>
      </c>
      <c r="B393" s="101">
        <v>45772.292012314814</v>
      </c>
      <c r="C393" s="110" t="s">
        <v>1164</v>
      </c>
      <c r="D393" s="120" t="s">
        <v>1165</v>
      </c>
      <c r="E393" s="110" t="s">
        <v>1901</v>
      </c>
      <c r="F393" s="124" t="s">
        <v>1900</v>
      </c>
      <c r="G393" s="111">
        <v>521.0</v>
      </c>
      <c r="H393" s="105">
        <v>7.0</v>
      </c>
      <c r="I393" s="105">
        <v>7.0</v>
      </c>
      <c r="J393" s="105">
        <v>2.0</v>
      </c>
      <c r="K393" s="105">
        <v>1945.0</v>
      </c>
      <c r="L393" s="102" t="s">
        <v>401</v>
      </c>
      <c r="M393" s="102" t="s">
        <v>1902</v>
      </c>
      <c r="N393" s="105">
        <v>8.0</v>
      </c>
      <c r="O393" s="102" t="s">
        <v>197</v>
      </c>
      <c r="P393" s="106"/>
      <c r="Q393" s="106"/>
      <c r="R393" s="106"/>
      <c r="S393" s="106"/>
      <c r="T393" s="107" t="s">
        <v>1903</v>
      </c>
      <c r="U393" s="107" t="s">
        <v>1904</v>
      </c>
      <c r="V393" s="107" t="s">
        <v>1905</v>
      </c>
      <c r="W393" s="106"/>
      <c r="X393" s="106"/>
      <c r="Y393" s="106"/>
      <c r="Z393" s="102" t="s">
        <v>1171</v>
      </c>
      <c r="AA393" s="105">
        <v>3.0</v>
      </c>
      <c r="AB393" s="106"/>
      <c r="AC393" s="10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c r="BC393" s="38"/>
    </row>
    <row r="394">
      <c r="A394" s="100" t="s">
        <v>1266</v>
      </c>
      <c r="B394" s="109">
        <v>45772.29243267361</v>
      </c>
      <c r="C394" s="110" t="s">
        <v>1267</v>
      </c>
      <c r="D394" s="120" t="s">
        <v>1268</v>
      </c>
      <c r="E394" s="110" t="s">
        <v>1906</v>
      </c>
      <c r="F394" s="104" t="s">
        <v>1266</v>
      </c>
      <c r="G394" s="112">
        <v>220.0</v>
      </c>
      <c r="H394" s="112">
        <v>8.0</v>
      </c>
      <c r="I394" s="112">
        <v>5.0</v>
      </c>
      <c r="J394" s="112">
        <v>5.0</v>
      </c>
      <c r="K394" s="120" t="s">
        <v>388</v>
      </c>
      <c r="L394" s="110" t="s">
        <v>197</v>
      </c>
      <c r="M394" s="110" t="s">
        <v>197</v>
      </c>
      <c r="N394" s="112">
        <v>9.0</v>
      </c>
      <c r="O394" s="110" t="s">
        <v>401</v>
      </c>
      <c r="P394" s="113">
        <v>0.9</v>
      </c>
      <c r="Q394" s="112">
        <v>9.0</v>
      </c>
      <c r="R394" s="112">
        <v>2.0</v>
      </c>
      <c r="S394" s="112">
        <v>8.0</v>
      </c>
      <c r="T394" s="114" t="s">
        <v>1907</v>
      </c>
      <c r="U394" s="114" t="s">
        <v>1908</v>
      </c>
      <c r="V394" s="114" t="s">
        <v>1909</v>
      </c>
      <c r="W394" s="115"/>
      <c r="X394" s="115"/>
      <c r="Y394" s="110" t="s">
        <v>401</v>
      </c>
      <c r="Z394" s="110" t="s">
        <v>1910</v>
      </c>
      <c r="AA394" s="112">
        <v>3.0</v>
      </c>
      <c r="AB394" s="115"/>
      <c r="AC394" s="116"/>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c r="BC394" s="38"/>
    </row>
    <row r="395">
      <c r="A395" s="100" t="s">
        <v>1314</v>
      </c>
      <c r="B395" s="101">
        <v>45772.293630520835</v>
      </c>
      <c r="C395" s="110" t="s">
        <v>1911</v>
      </c>
      <c r="D395" s="120" t="s">
        <v>1308</v>
      </c>
      <c r="E395" s="110" t="s">
        <v>1912</v>
      </c>
      <c r="F395" s="104" t="s">
        <v>1314</v>
      </c>
      <c r="G395" s="111">
        <v>122.0</v>
      </c>
      <c r="H395" s="105">
        <v>9.0</v>
      </c>
      <c r="I395" s="105">
        <v>8.0</v>
      </c>
      <c r="J395" s="105">
        <v>0.0</v>
      </c>
      <c r="K395" s="105">
        <v>1940.0</v>
      </c>
      <c r="L395" s="102" t="s">
        <v>197</v>
      </c>
      <c r="M395" s="102" t="s">
        <v>197</v>
      </c>
      <c r="N395" s="105">
        <v>9.0</v>
      </c>
      <c r="O395" s="102" t="s">
        <v>197</v>
      </c>
      <c r="P395" s="106"/>
      <c r="Q395" s="106"/>
      <c r="R395" s="106"/>
      <c r="S395" s="106"/>
      <c r="T395" s="107" t="s">
        <v>1913</v>
      </c>
      <c r="U395" s="107" t="s">
        <v>1914</v>
      </c>
      <c r="V395" s="107" t="s">
        <v>1915</v>
      </c>
      <c r="W395" s="106"/>
      <c r="X395" s="106"/>
      <c r="Y395" s="106"/>
      <c r="Z395" s="102" t="s">
        <v>1077</v>
      </c>
      <c r="AA395" s="105">
        <v>3.0</v>
      </c>
      <c r="AB395" s="106"/>
      <c r="AC395" s="10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c r="BC395" s="38"/>
    </row>
    <row r="396">
      <c r="A396" s="100" t="s">
        <v>1211</v>
      </c>
      <c r="B396" s="109">
        <v>45772.29573373843</v>
      </c>
      <c r="C396" s="110" t="s">
        <v>1212</v>
      </c>
      <c r="D396" s="120" t="s">
        <v>1213</v>
      </c>
      <c r="E396" s="112" t="s">
        <v>1916</v>
      </c>
      <c r="F396" s="104" t="s">
        <v>1211</v>
      </c>
      <c r="G396" s="112">
        <v>265.0</v>
      </c>
      <c r="H396" s="112">
        <v>0.0</v>
      </c>
      <c r="I396" s="112">
        <v>0.0</v>
      </c>
      <c r="J396" s="112" t="s">
        <v>1917</v>
      </c>
      <c r="K396" s="112">
        <v>1973.0</v>
      </c>
      <c r="L396" s="110" t="s">
        <v>197</v>
      </c>
      <c r="M396" s="112" t="s">
        <v>799</v>
      </c>
      <c r="N396" s="112">
        <v>10.0</v>
      </c>
      <c r="O396" s="110" t="s">
        <v>197</v>
      </c>
      <c r="P396" s="115"/>
      <c r="Q396" s="115"/>
      <c r="R396" s="115"/>
      <c r="S396" s="115"/>
      <c r="T396" s="110" t="s">
        <v>1918</v>
      </c>
      <c r="U396" s="110" t="s">
        <v>1919</v>
      </c>
      <c r="V396" s="114" t="s">
        <v>1920</v>
      </c>
      <c r="W396" s="112" t="s">
        <v>799</v>
      </c>
      <c r="X396" s="115"/>
      <c r="Y396" s="115"/>
      <c r="Z396" s="110" t="s">
        <v>1219</v>
      </c>
      <c r="AA396" s="112">
        <v>3.0</v>
      </c>
      <c r="AB396" s="115"/>
      <c r="AC396" s="116"/>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c r="BC396" s="38"/>
    </row>
    <row r="397">
      <c r="A397" s="100" t="s">
        <v>1921</v>
      </c>
      <c r="B397" s="101">
        <v>45772.29811903935</v>
      </c>
      <c r="C397" s="110" t="s">
        <v>1922</v>
      </c>
      <c r="D397" s="120" t="s">
        <v>1923</v>
      </c>
      <c r="E397" s="110" t="s">
        <v>1924</v>
      </c>
      <c r="F397" s="104" t="s">
        <v>1921</v>
      </c>
      <c r="G397" s="112">
        <v>250.0</v>
      </c>
      <c r="H397" s="105">
        <v>5.0</v>
      </c>
      <c r="I397" s="105">
        <v>5.0</v>
      </c>
      <c r="J397" s="105">
        <v>3.0</v>
      </c>
      <c r="K397" s="105">
        <v>1970.0</v>
      </c>
      <c r="L397" s="102" t="s">
        <v>197</v>
      </c>
      <c r="M397" s="102" t="s">
        <v>1925</v>
      </c>
      <c r="N397" s="105">
        <v>6.0</v>
      </c>
      <c r="O397" s="102" t="s">
        <v>197</v>
      </c>
      <c r="P397" s="106"/>
      <c r="Q397" s="106"/>
      <c r="R397" s="106"/>
      <c r="S397" s="106"/>
      <c r="T397" s="107" t="s">
        <v>1926</v>
      </c>
      <c r="U397" s="107" t="s">
        <v>1927</v>
      </c>
      <c r="V397" s="107" t="s">
        <v>1928</v>
      </c>
      <c r="W397" s="106"/>
      <c r="X397" s="106"/>
      <c r="Y397" s="106"/>
      <c r="Z397" s="102" t="s">
        <v>1929</v>
      </c>
      <c r="AA397" s="105">
        <v>1.0</v>
      </c>
      <c r="AB397" s="106"/>
      <c r="AC397" s="10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c r="BC397" s="38"/>
    </row>
    <row r="398">
      <c r="A398" s="100" t="s">
        <v>1930</v>
      </c>
      <c r="B398" s="109">
        <v>45772.298148946764</v>
      </c>
      <c r="C398" s="110" t="s">
        <v>1931</v>
      </c>
      <c r="D398" s="110" t="s">
        <v>1932</v>
      </c>
      <c r="E398" s="110" t="s">
        <v>1933</v>
      </c>
      <c r="F398" s="104" t="s">
        <v>1930</v>
      </c>
      <c r="G398" s="111">
        <v>255.0</v>
      </c>
      <c r="H398" s="112">
        <v>7.0</v>
      </c>
      <c r="I398" s="112">
        <v>6.0</v>
      </c>
      <c r="J398" s="112">
        <v>3.0</v>
      </c>
      <c r="K398" s="112">
        <v>1951.0</v>
      </c>
      <c r="L398" s="110" t="s">
        <v>197</v>
      </c>
      <c r="M398" s="110" t="s">
        <v>197</v>
      </c>
      <c r="N398" s="112">
        <v>8.0</v>
      </c>
      <c r="O398" s="110" t="s">
        <v>197</v>
      </c>
      <c r="P398" s="115"/>
      <c r="Q398" s="115"/>
      <c r="R398" s="115"/>
      <c r="S398" s="115"/>
      <c r="T398" s="114" t="s">
        <v>1934</v>
      </c>
      <c r="U398" s="114" t="s">
        <v>1935</v>
      </c>
      <c r="V398" s="114" t="s">
        <v>1936</v>
      </c>
      <c r="W398" s="115"/>
      <c r="X398" s="115"/>
      <c r="Y398" s="115"/>
      <c r="Z398" s="110" t="s">
        <v>1937</v>
      </c>
      <c r="AA398" s="112">
        <v>3.0</v>
      </c>
      <c r="AB398" s="115"/>
      <c r="AC398" s="116"/>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c r="BC398" s="38"/>
    </row>
    <row r="399">
      <c r="A399" s="123" t="s">
        <v>1306</v>
      </c>
      <c r="B399" s="101">
        <v>45772.299532488425</v>
      </c>
      <c r="C399" s="110" t="s">
        <v>1307</v>
      </c>
      <c r="D399" s="120" t="s">
        <v>1308</v>
      </c>
      <c r="E399" s="110" t="s">
        <v>1309</v>
      </c>
      <c r="F399" s="124" t="s">
        <v>1306</v>
      </c>
      <c r="G399" s="112">
        <v>173.0</v>
      </c>
      <c r="H399" s="105">
        <v>8.0</v>
      </c>
      <c r="I399" s="105">
        <v>7.0</v>
      </c>
      <c r="J399" s="105">
        <v>2.0</v>
      </c>
      <c r="K399" s="105">
        <v>1945.0</v>
      </c>
      <c r="L399" s="102" t="s">
        <v>197</v>
      </c>
      <c r="M399" s="102" t="s">
        <v>1310</v>
      </c>
      <c r="N399" s="105">
        <v>10.0</v>
      </c>
      <c r="O399" s="102" t="s">
        <v>401</v>
      </c>
      <c r="P399" s="121">
        <v>0.0</v>
      </c>
      <c r="Q399" s="105">
        <v>0.0</v>
      </c>
      <c r="R399" s="105">
        <v>0.0</v>
      </c>
      <c r="S399" s="105">
        <v>0.0</v>
      </c>
      <c r="T399" s="107" t="s">
        <v>1938</v>
      </c>
      <c r="U399" s="107" t="s">
        <v>1939</v>
      </c>
      <c r="V399" s="107" t="s">
        <v>1940</v>
      </c>
      <c r="W399" s="106"/>
      <c r="X399" s="106"/>
      <c r="Y399" s="102" t="s">
        <v>401</v>
      </c>
      <c r="Z399" s="102" t="s">
        <v>1077</v>
      </c>
      <c r="AA399" s="105">
        <v>3.0</v>
      </c>
      <c r="AB399" s="106"/>
      <c r="AC399" s="10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c r="BC399" s="38"/>
    </row>
    <row r="400">
      <c r="A400" s="100" t="s">
        <v>1941</v>
      </c>
      <c r="B400" s="109">
        <v>45772.30100652778</v>
      </c>
      <c r="C400" s="110" t="s">
        <v>994</v>
      </c>
      <c r="D400" s="120" t="s">
        <v>1942</v>
      </c>
      <c r="E400" s="110" t="s">
        <v>1943</v>
      </c>
      <c r="F400" s="104" t="s">
        <v>1941</v>
      </c>
      <c r="G400" s="112">
        <v>185.0</v>
      </c>
      <c r="H400" s="112">
        <v>8.0</v>
      </c>
      <c r="I400" s="112">
        <v>8.0</v>
      </c>
      <c r="J400" s="112">
        <v>0.0</v>
      </c>
      <c r="K400" s="112">
        <v>1989.0</v>
      </c>
      <c r="L400" s="110" t="s">
        <v>197</v>
      </c>
      <c r="M400" s="110" t="s">
        <v>197</v>
      </c>
      <c r="N400" s="112">
        <v>7.0</v>
      </c>
      <c r="O400" s="110" t="s">
        <v>401</v>
      </c>
      <c r="P400" s="113">
        <v>0.9</v>
      </c>
      <c r="Q400" s="112">
        <v>9.0</v>
      </c>
      <c r="R400" s="112">
        <v>1.0</v>
      </c>
      <c r="S400" s="112">
        <v>9.0</v>
      </c>
      <c r="T400" s="114" t="s">
        <v>1944</v>
      </c>
      <c r="U400" s="114" t="s">
        <v>1945</v>
      </c>
      <c r="V400" s="114" t="s">
        <v>1946</v>
      </c>
      <c r="W400" s="115"/>
      <c r="X400" s="115"/>
      <c r="Y400" s="110" t="s">
        <v>401</v>
      </c>
      <c r="Z400" s="110" t="s">
        <v>1947</v>
      </c>
      <c r="AA400" s="112">
        <v>1.0</v>
      </c>
      <c r="AB400" s="115"/>
      <c r="AC400" s="116"/>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c r="BC400" s="38"/>
    </row>
    <row r="401">
      <c r="A401" s="123" t="s">
        <v>1320</v>
      </c>
      <c r="B401" s="101">
        <v>45772.30774936343</v>
      </c>
      <c r="C401" s="110" t="s">
        <v>1321</v>
      </c>
      <c r="D401" s="120" t="s">
        <v>1322</v>
      </c>
      <c r="E401" s="110" t="s">
        <v>1948</v>
      </c>
      <c r="F401" s="124" t="s">
        <v>1320</v>
      </c>
      <c r="G401" s="112">
        <v>710.0</v>
      </c>
      <c r="H401" s="105">
        <v>8.0</v>
      </c>
      <c r="I401" s="105">
        <v>8.0</v>
      </c>
      <c r="J401" s="105">
        <v>2.0</v>
      </c>
      <c r="K401" s="103" t="s">
        <v>388</v>
      </c>
      <c r="L401" s="102" t="s">
        <v>197</v>
      </c>
      <c r="M401" s="102" t="s">
        <v>1949</v>
      </c>
      <c r="N401" s="105">
        <v>10.0</v>
      </c>
      <c r="O401" s="102" t="s">
        <v>197</v>
      </c>
      <c r="P401" s="106"/>
      <c r="Q401" s="106"/>
      <c r="R401" s="106"/>
      <c r="S401" s="106"/>
      <c r="T401" s="107" t="s">
        <v>1950</v>
      </c>
      <c r="U401" s="107" t="s">
        <v>1951</v>
      </c>
      <c r="V401" s="107" t="s">
        <v>1952</v>
      </c>
      <c r="W401" s="102" t="s">
        <v>1953</v>
      </c>
      <c r="X401" s="106"/>
      <c r="Y401" s="106"/>
      <c r="Z401" s="102" t="s">
        <v>1327</v>
      </c>
      <c r="AA401" s="105">
        <v>3.0</v>
      </c>
      <c r="AB401" s="106"/>
      <c r="AC401" s="10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c r="BC401" s="38"/>
    </row>
    <row r="402">
      <c r="A402" s="126" t="s">
        <v>1954</v>
      </c>
      <c r="B402" s="109">
        <v>45772.31242598379</v>
      </c>
      <c r="C402" s="110" t="s">
        <v>1955</v>
      </c>
      <c r="D402" s="120" t="s">
        <v>1956</v>
      </c>
      <c r="E402" s="110" t="s">
        <v>1957</v>
      </c>
      <c r="F402" s="124" t="s">
        <v>1954</v>
      </c>
      <c r="G402" s="112">
        <v>600.0</v>
      </c>
      <c r="H402" s="112">
        <v>9.0</v>
      </c>
      <c r="I402" s="112">
        <v>7.0</v>
      </c>
      <c r="J402" s="110" t="s">
        <v>1958</v>
      </c>
      <c r="K402" s="112">
        <v>1933.0</v>
      </c>
      <c r="L402" s="110" t="s">
        <v>197</v>
      </c>
      <c r="M402" s="110" t="s">
        <v>197</v>
      </c>
      <c r="N402" s="112">
        <v>10.0</v>
      </c>
      <c r="O402" s="110" t="s">
        <v>197</v>
      </c>
      <c r="P402" s="115"/>
      <c r="Q402" s="115"/>
      <c r="R402" s="115"/>
      <c r="S402" s="115"/>
      <c r="T402" s="114" t="s">
        <v>1959</v>
      </c>
      <c r="U402" s="110" t="s">
        <v>1960</v>
      </c>
      <c r="V402" s="114" t="s">
        <v>1961</v>
      </c>
      <c r="W402" s="115"/>
      <c r="X402" s="115"/>
      <c r="Y402" s="115"/>
      <c r="Z402" s="110" t="s">
        <v>1962</v>
      </c>
      <c r="AA402" s="112">
        <v>1.0</v>
      </c>
      <c r="AB402" s="115"/>
      <c r="AC402" s="116"/>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c r="BC402" s="38"/>
    </row>
    <row r="403">
      <c r="A403" s="100" t="s">
        <v>1423</v>
      </c>
      <c r="B403" s="101">
        <v>45772.32520446759</v>
      </c>
      <c r="C403" s="110" t="s">
        <v>1963</v>
      </c>
      <c r="D403" s="120" t="s">
        <v>1425</v>
      </c>
      <c r="E403" s="110" t="s">
        <v>1964</v>
      </c>
      <c r="F403" s="104" t="s">
        <v>1423</v>
      </c>
      <c r="G403" s="112">
        <v>220.0</v>
      </c>
      <c r="H403" s="105">
        <v>5.0</v>
      </c>
      <c r="I403" s="105">
        <v>5.0</v>
      </c>
      <c r="J403" s="105">
        <v>2.0</v>
      </c>
      <c r="K403" s="105" t="s">
        <v>1965</v>
      </c>
      <c r="L403" s="102" t="s">
        <v>401</v>
      </c>
      <c r="M403" s="102" t="s">
        <v>197</v>
      </c>
      <c r="N403" s="105">
        <v>5.0</v>
      </c>
      <c r="O403" s="102" t="s">
        <v>401</v>
      </c>
      <c r="P403" s="121">
        <v>0.5</v>
      </c>
      <c r="Q403" s="105">
        <v>5.0</v>
      </c>
      <c r="R403" s="105">
        <v>5.0</v>
      </c>
      <c r="S403" s="105">
        <v>5.0</v>
      </c>
      <c r="T403" s="107" t="s">
        <v>1966</v>
      </c>
      <c r="U403" s="107" t="s">
        <v>1967</v>
      </c>
      <c r="V403" s="107" t="s">
        <v>1968</v>
      </c>
      <c r="W403" s="106"/>
      <c r="X403" s="106"/>
      <c r="Y403" s="102" t="s">
        <v>401</v>
      </c>
      <c r="Z403" s="102" t="s">
        <v>1431</v>
      </c>
      <c r="AA403" s="105">
        <v>2.0</v>
      </c>
      <c r="AB403" s="106"/>
      <c r="AC403" s="10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c r="BC403" s="38"/>
    </row>
    <row r="404">
      <c r="A404" s="100" t="s">
        <v>1969</v>
      </c>
      <c r="B404" s="109">
        <v>45772.33371269676</v>
      </c>
      <c r="C404" s="110" t="s">
        <v>1970</v>
      </c>
      <c r="D404" s="120" t="s">
        <v>1971</v>
      </c>
      <c r="E404" s="110" t="s">
        <v>1972</v>
      </c>
      <c r="F404" s="104" t="s">
        <v>1969</v>
      </c>
      <c r="G404" s="111">
        <v>88.0</v>
      </c>
      <c r="H404" s="112">
        <v>10.0</v>
      </c>
      <c r="I404" s="112">
        <v>10.0</v>
      </c>
      <c r="J404" s="112">
        <v>1.0</v>
      </c>
      <c r="K404" s="112">
        <v>2000.0</v>
      </c>
      <c r="L404" s="110" t="s">
        <v>197</v>
      </c>
      <c r="M404" s="110" t="s">
        <v>1973</v>
      </c>
      <c r="N404" s="112">
        <v>9.0</v>
      </c>
      <c r="O404" s="110" t="s">
        <v>401</v>
      </c>
      <c r="P404" s="113">
        <v>1.0</v>
      </c>
      <c r="Q404" s="112">
        <v>10.0</v>
      </c>
      <c r="R404" s="112">
        <v>1.0</v>
      </c>
      <c r="S404" s="112">
        <v>10.0</v>
      </c>
      <c r="T404" s="114" t="s">
        <v>1974</v>
      </c>
      <c r="U404" s="114" t="s">
        <v>1975</v>
      </c>
      <c r="V404" s="114" t="s">
        <v>1976</v>
      </c>
      <c r="W404" s="115"/>
      <c r="X404" s="115"/>
      <c r="Y404" s="110" t="s">
        <v>401</v>
      </c>
      <c r="Z404" s="110" t="s">
        <v>1977</v>
      </c>
      <c r="AA404" s="112">
        <v>1.0</v>
      </c>
      <c r="AB404" s="115"/>
      <c r="AC404" s="116"/>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c r="BC404" s="38"/>
    </row>
    <row r="405">
      <c r="A405" s="100" t="s">
        <v>1978</v>
      </c>
      <c r="B405" s="101">
        <v>45772.33454122685</v>
      </c>
      <c r="C405" s="110" t="s">
        <v>1979</v>
      </c>
      <c r="D405" s="120" t="s">
        <v>1806</v>
      </c>
      <c r="E405" s="110" t="s">
        <v>1980</v>
      </c>
      <c r="F405" s="104" t="s">
        <v>1978</v>
      </c>
      <c r="G405" s="112">
        <v>70.0</v>
      </c>
      <c r="H405" s="105">
        <v>9.0</v>
      </c>
      <c r="I405" s="105">
        <v>9.0</v>
      </c>
      <c r="J405" s="102" t="s">
        <v>197</v>
      </c>
      <c r="K405" s="105">
        <v>70.0</v>
      </c>
      <c r="L405" s="102" t="s">
        <v>197</v>
      </c>
      <c r="M405" s="102" t="s">
        <v>197</v>
      </c>
      <c r="N405" s="105">
        <v>9.0</v>
      </c>
      <c r="O405" s="102" t="s">
        <v>197</v>
      </c>
      <c r="P405" s="106"/>
      <c r="Q405" s="106"/>
      <c r="R405" s="106"/>
      <c r="S405" s="106"/>
      <c r="T405" s="107" t="s">
        <v>1981</v>
      </c>
      <c r="U405" s="107" t="s">
        <v>1982</v>
      </c>
      <c r="V405" s="106"/>
      <c r="W405" s="102" t="s">
        <v>197</v>
      </c>
      <c r="X405" s="106"/>
      <c r="Y405" s="106"/>
      <c r="Z405" s="102" t="s">
        <v>1808</v>
      </c>
      <c r="AA405" s="102" t="s">
        <v>8</v>
      </c>
      <c r="AB405" s="106"/>
      <c r="AC405" s="10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c r="BC405" s="38"/>
    </row>
    <row r="406">
      <c r="A406" s="100" t="s">
        <v>1983</v>
      </c>
      <c r="B406" s="109">
        <v>45772.3357322338</v>
      </c>
      <c r="C406" s="110" t="s">
        <v>1984</v>
      </c>
      <c r="D406" s="120" t="s">
        <v>1985</v>
      </c>
      <c r="E406" s="110" t="s">
        <v>1986</v>
      </c>
      <c r="F406" s="104" t="s">
        <v>1983</v>
      </c>
      <c r="G406" s="111">
        <v>225.0</v>
      </c>
      <c r="H406" s="112">
        <v>5.0</v>
      </c>
      <c r="I406" s="112">
        <v>5.0</v>
      </c>
      <c r="J406" s="112">
        <v>0.0</v>
      </c>
      <c r="K406" s="105">
        <v>1925.0</v>
      </c>
      <c r="L406" s="110" t="s">
        <v>197</v>
      </c>
      <c r="M406" s="110" t="s">
        <v>197</v>
      </c>
      <c r="N406" s="112">
        <v>7.0</v>
      </c>
      <c r="O406" s="110" t="s">
        <v>401</v>
      </c>
      <c r="P406" s="113">
        <v>0.5</v>
      </c>
      <c r="Q406" s="112">
        <v>7.0</v>
      </c>
      <c r="R406" s="112">
        <v>3.0</v>
      </c>
      <c r="S406" s="112">
        <v>5.0</v>
      </c>
      <c r="T406" s="114" t="s">
        <v>1987</v>
      </c>
      <c r="U406" s="114" t="s">
        <v>1988</v>
      </c>
      <c r="V406" s="114" t="s">
        <v>1989</v>
      </c>
      <c r="W406" s="110" t="s">
        <v>197</v>
      </c>
      <c r="X406" s="115"/>
      <c r="Y406" s="110" t="s">
        <v>401</v>
      </c>
      <c r="Z406" s="110" t="s">
        <v>1990</v>
      </c>
      <c r="AA406" s="112">
        <v>1.0</v>
      </c>
      <c r="AB406" s="115"/>
      <c r="AC406" s="116"/>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c r="BC406" s="38"/>
    </row>
    <row r="407">
      <c r="A407" s="100" t="s">
        <v>1505</v>
      </c>
      <c r="B407" s="101">
        <v>45772.33587820602</v>
      </c>
      <c r="C407" s="110" t="s">
        <v>1991</v>
      </c>
      <c r="D407" s="120" t="s">
        <v>1507</v>
      </c>
      <c r="E407" s="110" t="s">
        <v>1992</v>
      </c>
      <c r="F407" s="104" t="s">
        <v>1505</v>
      </c>
      <c r="G407" s="111">
        <v>205.0</v>
      </c>
      <c r="H407" s="105">
        <v>10.0</v>
      </c>
      <c r="I407" s="105">
        <v>9.0</v>
      </c>
      <c r="J407" s="105">
        <v>0.0</v>
      </c>
      <c r="K407" s="105">
        <v>1948.0</v>
      </c>
      <c r="L407" s="102" t="s">
        <v>197</v>
      </c>
      <c r="M407" s="102" t="s">
        <v>197</v>
      </c>
      <c r="N407" s="105">
        <v>8.0</v>
      </c>
      <c r="O407" s="102" t="s">
        <v>401</v>
      </c>
      <c r="P407" s="121">
        <v>0.5</v>
      </c>
      <c r="Q407" s="105">
        <v>9.0</v>
      </c>
      <c r="R407" s="105">
        <v>3.0</v>
      </c>
      <c r="S407" s="105">
        <v>9.0</v>
      </c>
      <c r="T407" s="102" t="s">
        <v>1993</v>
      </c>
      <c r="U407" s="107" t="s">
        <v>1994</v>
      </c>
      <c r="V407" s="107" t="s">
        <v>1995</v>
      </c>
      <c r="W407" s="106"/>
      <c r="X407" s="106"/>
      <c r="Y407" s="102" t="s">
        <v>401</v>
      </c>
      <c r="Z407" s="102" t="s">
        <v>1512</v>
      </c>
      <c r="AA407" s="105">
        <v>2.0</v>
      </c>
      <c r="AB407" s="106"/>
      <c r="AC407" s="10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c r="BC407" s="38"/>
    </row>
    <row r="408">
      <c r="A408" s="100" t="s">
        <v>1996</v>
      </c>
      <c r="B408" s="109">
        <v>45772.340415416664</v>
      </c>
      <c r="C408" s="110" t="s">
        <v>1997</v>
      </c>
      <c r="D408" s="120" t="s">
        <v>1998</v>
      </c>
      <c r="E408" s="112" t="s">
        <v>1999</v>
      </c>
      <c r="F408" s="104" t="s">
        <v>1996</v>
      </c>
      <c r="G408" s="112">
        <v>200.0</v>
      </c>
      <c r="H408" s="111">
        <v>8.0</v>
      </c>
      <c r="I408" s="111">
        <v>7.0</v>
      </c>
      <c r="J408" s="112">
        <v>2.0</v>
      </c>
      <c r="K408" s="110" t="s">
        <v>2000</v>
      </c>
      <c r="L408" s="110" t="s">
        <v>197</v>
      </c>
      <c r="M408" s="110" t="s">
        <v>1005</v>
      </c>
      <c r="N408" s="112">
        <v>8.0</v>
      </c>
      <c r="O408" s="110" t="s">
        <v>401</v>
      </c>
      <c r="P408" s="113">
        <v>0.7</v>
      </c>
      <c r="Q408" s="112">
        <v>8.0</v>
      </c>
      <c r="R408" s="112">
        <v>1.0</v>
      </c>
      <c r="S408" s="112">
        <v>8.0</v>
      </c>
      <c r="T408" s="114" t="s">
        <v>2001</v>
      </c>
      <c r="U408" s="114" t="s">
        <v>2002</v>
      </c>
      <c r="V408" s="114" t="s">
        <v>2003</v>
      </c>
      <c r="W408" s="115"/>
      <c r="X408" s="115"/>
      <c r="Y408" s="110" t="s">
        <v>401</v>
      </c>
      <c r="Z408" s="110" t="s">
        <v>2004</v>
      </c>
      <c r="AA408" s="112">
        <v>1.0</v>
      </c>
      <c r="AB408" s="115"/>
      <c r="AC408" s="116"/>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row>
    <row r="409">
      <c r="A409" s="100" t="s">
        <v>1468</v>
      </c>
      <c r="B409" s="101">
        <v>45772.34248651621</v>
      </c>
      <c r="C409" s="110" t="s">
        <v>1469</v>
      </c>
      <c r="D409" s="120" t="s">
        <v>1470</v>
      </c>
      <c r="E409" s="110" t="s">
        <v>1471</v>
      </c>
      <c r="F409" s="104" t="s">
        <v>1468</v>
      </c>
      <c r="G409" s="112">
        <v>247.0</v>
      </c>
      <c r="H409" s="105">
        <v>8.0</v>
      </c>
      <c r="I409" s="105">
        <v>8.0</v>
      </c>
      <c r="J409" s="105">
        <v>1.0</v>
      </c>
      <c r="K409" s="105">
        <v>1951.0</v>
      </c>
      <c r="L409" s="102" t="s">
        <v>197</v>
      </c>
      <c r="M409" s="102" t="s">
        <v>2005</v>
      </c>
      <c r="N409" s="105">
        <v>10.0</v>
      </c>
      <c r="O409" s="102" t="s">
        <v>197</v>
      </c>
      <c r="P409" s="106"/>
      <c r="Q409" s="106"/>
      <c r="R409" s="106"/>
      <c r="S409" s="106"/>
      <c r="T409" s="107" t="s">
        <v>2006</v>
      </c>
      <c r="U409" s="107" t="s">
        <v>2007</v>
      </c>
      <c r="V409" s="107" t="s">
        <v>2008</v>
      </c>
      <c r="W409" s="102" t="s">
        <v>197</v>
      </c>
      <c r="X409" s="106"/>
      <c r="Y409" s="106"/>
      <c r="Z409" s="102" t="s">
        <v>2009</v>
      </c>
      <c r="AA409" s="105">
        <v>2.0</v>
      </c>
      <c r="AB409" s="106"/>
      <c r="AC409" s="10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c r="BC409" s="38"/>
    </row>
    <row r="410">
      <c r="A410" s="100" t="s">
        <v>1643</v>
      </c>
      <c r="B410" s="109">
        <v>45772.34793725694</v>
      </c>
      <c r="C410" s="110" t="s">
        <v>1644</v>
      </c>
      <c r="D410" s="120" t="s">
        <v>1448</v>
      </c>
      <c r="E410" s="110" t="s">
        <v>1645</v>
      </c>
      <c r="F410" s="104" t="s">
        <v>1643</v>
      </c>
      <c r="G410" s="112">
        <v>1050.0</v>
      </c>
      <c r="H410" s="112">
        <v>7.0</v>
      </c>
      <c r="I410" s="112">
        <v>5.0</v>
      </c>
      <c r="J410" s="112" t="s">
        <v>2010</v>
      </c>
      <c r="K410" s="112">
        <v>1925.0</v>
      </c>
      <c r="L410" s="110" t="s">
        <v>197</v>
      </c>
      <c r="M410" s="110" t="s">
        <v>2011</v>
      </c>
      <c r="N410" s="112">
        <v>10.0</v>
      </c>
      <c r="O410" s="110" t="s">
        <v>401</v>
      </c>
      <c r="P410" s="113">
        <v>1.0</v>
      </c>
      <c r="Q410" s="112">
        <v>10.0</v>
      </c>
      <c r="R410" s="112">
        <v>10.0</v>
      </c>
      <c r="S410" s="112">
        <v>10.0</v>
      </c>
      <c r="T410" s="110" t="s">
        <v>2012</v>
      </c>
      <c r="U410" s="114" t="s">
        <v>2013</v>
      </c>
      <c r="V410" s="114" t="s">
        <v>2014</v>
      </c>
      <c r="W410" s="115"/>
      <c r="X410" s="115"/>
      <c r="Y410" s="110" t="s">
        <v>401</v>
      </c>
      <c r="Z410" s="110" t="s">
        <v>1454</v>
      </c>
      <c r="AA410" s="112">
        <v>2.0</v>
      </c>
      <c r="AB410" s="115"/>
      <c r="AC410" s="116"/>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c r="BC410" s="38"/>
    </row>
    <row r="411">
      <c r="A411" s="100" t="s">
        <v>2015</v>
      </c>
      <c r="B411" s="101">
        <v>45772.36035416667</v>
      </c>
      <c r="C411" s="110" t="s">
        <v>2016</v>
      </c>
      <c r="D411" s="120" t="s">
        <v>2017</v>
      </c>
      <c r="E411" s="110" t="s">
        <v>2018</v>
      </c>
      <c r="F411" s="104" t="s">
        <v>2015</v>
      </c>
      <c r="G411" s="112">
        <v>180.0</v>
      </c>
      <c r="H411" s="105">
        <v>8.0</v>
      </c>
      <c r="I411" s="105">
        <v>8.0</v>
      </c>
      <c r="J411" s="105">
        <v>1.0</v>
      </c>
      <c r="K411" s="105">
        <v>1925.0</v>
      </c>
      <c r="L411" s="102" t="s">
        <v>197</v>
      </c>
      <c r="M411" s="102" t="s">
        <v>2019</v>
      </c>
      <c r="N411" s="105">
        <v>10.0</v>
      </c>
      <c r="O411" s="102" t="s">
        <v>197</v>
      </c>
      <c r="P411" s="106"/>
      <c r="Q411" s="106"/>
      <c r="R411" s="106"/>
      <c r="S411" s="106"/>
      <c r="T411" s="107" t="s">
        <v>2020</v>
      </c>
      <c r="U411" s="107" t="s">
        <v>2021</v>
      </c>
      <c r="V411" s="107" t="s">
        <v>2022</v>
      </c>
      <c r="W411" s="102" t="s">
        <v>197</v>
      </c>
      <c r="X411" s="106"/>
      <c r="Y411" s="106"/>
      <c r="Z411" s="102" t="s">
        <v>2023</v>
      </c>
      <c r="AA411" s="105">
        <v>1.0</v>
      </c>
      <c r="AB411" s="106"/>
      <c r="AC411" s="10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c r="BC411" s="38"/>
    </row>
    <row r="412">
      <c r="A412" s="100" t="s">
        <v>2024</v>
      </c>
      <c r="B412" s="109">
        <v>45772.363128321755</v>
      </c>
      <c r="C412" s="110" t="s">
        <v>1526</v>
      </c>
      <c r="D412" s="120" t="s">
        <v>1125</v>
      </c>
      <c r="E412" s="110" t="s">
        <v>2025</v>
      </c>
      <c r="F412" s="104" t="s">
        <v>2024</v>
      </c>
      <c r="G412" s="112">
        <v>200.0</v>
      </c>
      <c r="H412" s="112">
        <v>9.0</v>
      </c>
      <c r="I412" s="112">
        <v>8.0</v>
      </c>
      <c r="J412" s="112">
        <v>0.0</v>
      </c>
      <c r="K412" s="112">
        <v>1985.0</v>
      </c>
      <c r="L412" s="110" t="s">
        <v>197</v>
      </c>
      <c r="M412" s="110" t="s">
        <v>197</v>
      </c>
      <c r="N412" s="112">
        <v>10.0</v>
      </c>
      <c r="O412" s="110" t="s">
        <v>197</v>
      </c>
      <c r="P412" s="115"/>
      <c r="Q412" s="115"/>
      <c r="R412" s="115"/>
      <c r="S412" s="115"/>
      <c r="T412" s="114" t="s">
        <v>2026</v>
      </c>
      <c r="U412" s="114" t="s">
        <v>2027</v>
      </c>
      <c r="V412" s="114" t="s">
        <v>2028</v>
      </c>
      <c r="W412" s="115"/>
      <c r="X412" s="115"/>
      <c r="Y412" s="115"/>
      <c r="Z412" s="110" t="s">
        <v>1131</v>
      </c>
      <c r="AA412" s="112">
        <v>3.0</v>
      </c>
      <c r="AB412" s="115"/>
      <c r="AC412" s="116"/>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c r="BC412" s="38"/>
    </row>
    <row r="413">
      <c r="A413" s="100" t="s">
        <v>1491</v>
      </c>
      <c r="B413" s="101">
        <v>45772.368591921295</v>
      </c>
      <c r="C413" s="110" t="s">
        <v>2029</v>
      </c>
      <c r="D413" s="120" t="s">
        <v>1493</v>
      </c>
      <c r="E413" s="110" t="s">
        <v>2030</v>
      </c>
      <c r="F413" s="104" t="s">
        <v>1491</v>
      </c>
      <c r="G413" s="112">
        <v>380.0</v>
      </c>
      <c r="H413" s="105">
        <v>10.0</v>
      </c>
      <c r="I413" s="105">
        <v>10.0</v>
      </c>
      <c r="J413" s="105">
        <v>0.0</v>
      </c>
      <c r="K413" s="105">
        <v>1956.0</v>
      </c>
      <c r="L413" s="102" t="s">
        <v>197</v>
      </c>
      <c r="M413" s="102" t="s">
        <v>197</v>
      </c>
      <c r="N413" s="105">
        <v>9.0</v>
      </c>
      <c r="O413" s="102" t="s">
        <v>401</v>
      </c>
      <c r="P413" s="121">
        <v>0.9</v>
      </c>
      <c r="Q413" s="105">
        <v>9.0</v>
      </c>
      <c r="R413" s="105">
        <v>1.0</v>
      </c>
      <c r="S413" s="105">
        <v>9.0</v>
      </c>
      <c r="T413" s="107" t="s">
        <v>2031</v>
      </c>
      <c r="U413" s="107" t="s">
        <v>2032</v>
      </c>
      <c r="V413" s="107" t="s">
        <v>2033</v>
      </c>
      <c r="W413" s="106"/>
      <c r="X413" s="106"/>
      <c r="Y413" s="102" t="s">
        <v>401</v>
      </c>
      <c r="Z413" s="102" t="s">
        <v>1498</v>
      </c>
      <c r="AA413" s="105">
        <v>2.0</v>
      </c>
      <c r="AB413" s="106"/>
      <c r="AC413" s="10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c r="BC413" s="38"/>
    </row>
    <row r="414">
      <c r="A414" s="123" t="s">
        <v>1480</v>
      </c>
      <c r="B414" s="109">
        <v>45772.371565706024</v>
      </c>
      <c r="C414" s="110" t="s">
        <v>2034</v>
      </c>
      <c r="D414" s="120" t="s">
        <v>1222</v>
      </c>
      <c r="E414" s="110" t="s">
        <v>2035</v>
      </c>
      <c r="F414" s="124" t="s">
        <v>1480</v>
      </c>
      <c r="G414" s="112">
        <v>350.0</v>
      </c>
      <c r="H414" s="112">
        <v>8.0</v>
      </c>
      <c r="I414" s="112">
        <v>7.0</v>
      </c>
      <c r="J414" s="112">
        <v>0.0</v>
      </c>
      <c r="K414" s="112">
        <v>1935.0</v>
      </c>
      <c r="L414" s="110" t="s">
        <v>197</v>
      </c>
      <c r="M414" s="110" t="s">
        <v>1228</v>
      </c>
      <c r="N414" s="112">
        <v>8.0</v>
      </c>
      <c r="O414" s="110" t="s">
        <v>401</v>
      </c>
      <c r="P414" s="113">
        <v>0.1</v>
      </c>
      <c r="Q414" s="112">
        <v>1.0</v>
      </c>
      <c r="R414" s="112">
        <v>9.0</v>
      </c>
      <c r="S414" s="112">
        <v>1.0</v>
      </c>
      <c r="T414" s="110" t="s">
        <v>2036</v>
      </c>
      <c r="U414" s="110" t="s">
        <v>2037</v>
      </c>
      <c r="V414" s="114" t="s">
        <v>2038</v>
      </c>
      <c r="W414" s="115"/>
      <c r="X414" s="115"/>
      <c r="Y414" s="110" t="s">
        <v>401</v>
      </c>
      <c r="Z414" s="110" t="s">
        <v>1229</v>
      </c>
      <c r="AA414" s="112">
        <v>3.0</v>
      </c>
      <c r="AB414" s="115"/>
      <c r="AC414" s="116"/>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c r="BC414" s="38"/>
    </row>
    <row r="415">
      <c r="A415" s="100" t="s">
        <v>2039</v>
      </c>
      <c r="B415" s="101">
        <v>45772.37203226852</v>
      </c>
      <c r="C415" s="110" t="s">
        <v>2040</v>
      </c>
      <c r="D415" s="120" t="s">
        <v>2041</v>
      </c>
      <c r="E415" s="110" t="s">
        <v>2042</v>
      </c>
      <c r="F415" s="104" t="s">
        <v>2039</v>
      </c>
      <c r="G415" s="112">
        <v>183.0</v>
      </c>
      <c r="H415" s="105">
        <v>7.0</v>
      </c>
      <c r="I415" s="105">
        <v>7.0</v>
      </c>
      <c r="J415" s="105">
        <v>0.0</v>
      </c>
      <c r="K415" s="105">
        <v>1980.0</v>
      </c>
      <c r="L415" s="102" t="s">
        <v>197</v>
      </c>
      <c r="M415" s="102" t="s">
        <v>197</v>
      </c>
      <c r="N415" s="105">
        <v>7.0</v>
      </c>
      <c r="O415" s="102" t="s">
        <v>197</v>
      </c>
      <c r="P415" s="106"/>
      <c r="Q415" s="106"/>
      <c r="R415" s="106"/>
      <c r="S415" s="106"/>
      <c r="T415" s="107" t="s">
        <v>2043</v>
      </c>
      <c r="U415" s="107" t="s">
        <v>2044</v>
      </c>
      <c r="V415" s="107" t="s">
        <v>2045</v>
      </c>
      <c r="W415" s="102" t="s">
        <v>2046</v>
      </c>
      <c r="X415" s="106"/>
      <c r="Y415" s="106"/>
      <c r="Z415" s="102" t="s">
        <v>2047</v>
      </c>
      <c r="AA415" s="105">
        <v>1.0</v>
      </c>
      <c r="AB415" s="106"/>
      <c r="AC415" s="10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c r="BC415" s="38"/>
    </row>
    <row r="416">
      <c r="A416" s="100" t="s">
        <v>1248</v>
      </c>
      <c r="B416" s="109">
        <v>45772.37763449074</v>
      </c>
      <c r="C416" s="110" t="s">
        <v>1249</v>
      </c>
      <c r="D416" s="110" t="s">
        <v>1521</v>
      </c>
      <c r="E416" s="110" t="s">
        <v>1251</v>
      </c>
      <c r="F416" s="104" t="s">
        <v>1248</v>
      </c>
      <c r="G416" s="112">
        <v>165.0</v>
      </c>
      <c r="H416" s="112">
        <v>7.0</v>
      </c>
      <c r="I416" s="112">
        <v>9.0</v>
      </c>
      <c r="J416" s="110" t="s">
        <v>1228</v>
      </c>
      <c r="K416" s="112">
        <v>1928.0</v>
      </c>
      <c r="L416" s="110" t="s">
        <v>197</v>
      </c>
      <c r="M416" s="110" t="s">
        <v>1261</v>
      </c>
      <c r="N416" s="112">
        <v>9.0</v>
      </c>
      <c r="O416" s="110" t="s">
        <v>401</v>
      </c>
      <c r="P416" s="113">
        <v>0.4</v>
      </c>
      <c r="Q416" s="112">
        <v>4.0</v>
      </c>
      <c r="R416" s="112">
        <v>7.0</v>
      </c>
      <c r="S416" s="112">
        <v>3.0</v>
      </c>
      <c r="T416" s="114" t="s">
        <v>2048</v>
      </c>
      <c r="U416" s="110" t="s">
        <v>2049</v>
      </c>
      <c r="V416" s="114" t="s">
        <v>2050</v>
      </c>
      <c r="W416" s="115"/>
      <c r="X416" s="115"/>
      <c r="Y416" s="110" t="s">
        <v>401</v>
      </c>
      <c r="Z416" s="110" t="s">
        <v>1265</v>
      </c>
      <c r="AA416" s="112">
        <v>3.0</v>
      </c>
      <c r="AB416" s="115"/>
      <c r="AC416" s="116"/>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c r="BC416" s="38"/>
    </row>
    <row r="417">
      <c r="A417" s="100" t="s">
        <v>1499</v>
      </c>
      <c r="B417" s="101">
        <v>45772.38498083333</v>
      </c>
      <c r="C417" s="110" t="s">
        <v>1500</v>
      </c>
      <c r="D417" s="120" t="s">
        <v>1259</v>
      </c>
      <c r="E417" s="110" t="s">
        <v>2051</v>
      </c>
      <c r="F417" s="104" t="s">
        <v>1499</v>
      </c>
      <c r="G417" s="112">
        <v>380.0</v>
      </c>
      <c r="H417" s="105">
        <v>8.0</v>
      </c>
      <c r="I417" s="105">
        <v>9.0</v>
      </c>
      <c r="J417" s="105">
        <v>0.0</v>
      </c>
      <c r="K417" s="105">
        <v>1938.0</v>
      </c>
      <c r="L417" s="102" t="s">
        <v>197</v>
      </c>
      <c r="M417" s="102" t="s">
        <v>1228</v>
      </c>
      <c r="N417" s="105">
        <v>9.0</v>
      </c>
      <c r="O417" s="102" t="s">
        <v>401</v>
      </c>
      <c r="P417" s="121">
        <v>0.1</v>
      </c>
      <c r="Q417" s="105">
        <v>1.0</v>
      </c>
      <c r="R417" s="105">
        <v>9.0</v>
      </c>
      <c r="S417" s="105">
        <v>1.0</v>
      </c>
      <c r="T417" s="102" t="s">
        <v>2052</v>
      </c>
      <c r="U417" s="102" t="s">
        <v>2053</v>
      </c>
      <c r="V417" s="107" t="s">
        <v>2054</v>
      </c>
      <c r="W417" s="106"/>
      <c r="X417" s="106"/>
      <c r="Y417" s="102" t="s">
        <v>401</v>
      </c>
      <c r="Z417" s="102" t="s">
        <v>1256</v>
      </c>
      <c r="AA417" s="105">
        <v>3.0</v>
      </c>
      <c r="AB417" s="106"/>
      <c r="AC417" s="10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c r="BC417" s="38"/>
    </row>
    <row r="418">
      <c r="A418" s="123" t="s">
        <v>2055</v>
      </c>
      <c r="B418" s="109">
        <v>45772.389485844906</v>
      </c>
      <c r="C418" s="110" t="s">
        <v>1513</v>
      </c>
      <c r="D418" s="110" t="s">
        <v>2056</v>
      </c>
      <c r="E418" s="110" t="s">
        <v>2057</v>
      </c>
      <c r="F418" s="124" t="s">
        <v>2055</v>
      </c>
      <c r="G418" s="112">
        <v>345.0</v>
      </c>
      <c r="H418" s="112">
        <v>4.0</v>
      </c>
      <c r="I418" s="112">
        <v>7.0</v>
      </c>
      <c r="J418" s="112">
        <v>2.0</v>
      </c>
      <c r="K418" s="112">
        <v>1345.0</v>
      </c>
      <c r="L418" s="110" t="s">
        <v>197</v>
      </c>
      <c r="M418" s="110" t="s">
        <v>1261</v>
      </c>
      <c r="N418" s="112">
        <v>8.0</v>
      </c>
      <c r="O418" s="110" t="s">
        <v>401</v>
      </c>
      <c r="P418" s="113">
        <v>0.2</v>
      </c>
      <c r="Q418" s="112">
        <v>3.0</v>
      </c>
      <c r="R418" s="112">
        <v>7.0</v>
      </c>
      <c r="S418" s="112">
        <v>2.0</v>
      </c>
      <c r="T418" s="110" t="s">
        <v>2058</v>
      </c>
      <c r="U418" s="110" t="s">
        <v>2059</v>
      </c>
      <c r="V418" s="114" t="s">
        <v>2060</v>
      </c>
      <c r="W418" s="115"/>
      <c r="X418" s="115"/>
      <c r="Y418" s="110" t="s">
        <v>401</v>
      </c>
      <c r="Z418" s="110" t="s">
        <v>1265</v>
      </c>
      <c r="AA418" s="112">
        <v>3.0</v>
      </c>
      <c r="AB418" s="115"/>
      <c r="AC418" s="116"/>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c r="BC418" s="38"/>
    </row>
    <row r="419">
      <c r="A419" s="100" t="s">
        <v>2061</v>
      </c>
      <c r="B419" s="101">
        <v>45772.391848645835</v>
      </c>
      <c r="C419" s="110" t="s">
        <v>2062</v>
      </c>
      <c r="D419" s="120" t="s">
        <v>2063</v>
      </c>
      <c r="E419" s="110" t="s">
        <v>2064</v>
      </c>
      <c r="F419" s="104" t="s">
        <v>2061</v>
      </c>
      <c r="G419" s="111">
        <v>290.0</v>
      </c>
      <c r="H419" s="105">
        <v>7.0</v>
      </c>
      <c r="I419" s="105">
        <v>3.0</v>
      </c>
      <c r="J419" s="105">
        <v>2.0</v>
      </c>
      <c r="K419" s="102" t="s">
        <v>197</v>
      </c>
      <c r="L419" s="102" t="s">
        <v>401</v>
      </c>
      <c r="M419" s="102" t="s">
        <v>2065</v>
      </c>
      <c r="N419" s="105">
        <v>7.0</v>
      </c>
      <c r="O419" s="102" t="s">
        <v>401</v>
      </c>
      <c r="P419" s="121">
        <v>0.7</v>
      </c>
      <c r="Q419" s="105">
        <v>7.0</v>
      </c>
      <c r="R419" s="105">
        <v>3.0</v>
      </c>
      <c r="S419" s="105">
        <v>3.0</v>
      </c>
      <c r="T419" s="107" t="s">
        <v>2066</v>
      </c>
      <c r="U419" s="107" t="s">
        <v>2067</v>
      </c>
      <c r="V419" s="107" t="s">
        <v>2068</v>
      </c>
      <c r="W419" s="106"/>
      <c r="X419" s="106"/>
      <c r="Y419" s="102" t="s">
        <v>401</v>
      </c>
      <c r="Z419" s="102" t="s">
        <v>2069</v>
      </c>
      <c r="AA419" s="105">
        <v>1.0</v>
      </c>
      <c r="AB419" s="106"/>
      <c r="AC419" s="10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c r="BC419" s="38"/>
    </row>
    <row r="420">
      <c r="A420" s="100" t="s">
        <v>2070</v>
      </c>
      <c r="B420" s="109">
        <v>45772.39479334491</v>
      </c>
      <c r="C420" s="110" t="s">
        <v>2071</v>
      </c>
      <c r="D420" s="120" t="s">
        <v>2072</v>
      </c>
      <c r="E420" s="110" t="s">
        <v>2073</v>
      </c>
      <c r="F420" s="104" t="s">
        <v>2070</v>
      </c>
      <c r="G420" s="111">
        <v>145.0</v>
      </c>
      <c r="H420" s="112">
        <v>5.0</v>
      </c>
      <c r="I420" s="112">
        <v>4.0</v>
      </c>
      <c r="J420" s="112">
        <v>2.0</v>
      </c>
      <c r="K420" s="110" t="s">
        <v>197</v>
      </c>
      <c r="L420" s="110" t="s">
        <v>197</v>
      </c>
      <c r="M420" s="110" t="s">
        <v>197</v>
      </c>
      <c r="N420" s="112">
        <v>8.0</v>
      </c>
      <c r="O420" s="110" t="s">
        <v>401</v>
      </c>
      <c r="P420" s="113">
        <v>0.6</v>
      </c>
      <c r="Q420" s="112">
        <v>8.0</v>
      </c>
      <c r="R420" s="112">
        <v>3.0</v>
      </c>
      <c r="S420" s="112">
        <v>8.0</v>
      </c>
      <c r="T420" s="114" t="s">
        <v>2074</v>
      </c>
      <c r="U420" s="114" t="s">
        <v>2075</v>
      </c>
      <c r="V420" s="114" t="s">
        <v>2076</v>
      </c>
      <c r="W420" s="110" t="s">
        <v>197</v>
      </c>
      <c r="X420" s="115"/>
      <c r="Y420" s="110" t="s">
        <v>401</v>
      </c>
      <c r="Z420" s="110" t="s">
        <v>2077</v>
      </c>
      <c r="AA420" s="112">
        <v>1.0</v>
      </c>
      <c r="AB420" s="115"/>
      <c r="AC420" s="116"/>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c r="BC420" s="38"/>
    </row>
    <row r="421">
      <c r="A421" s="100" t="s">
        <v>2078</v>
      </c>
      <c r="B421" s="101">
        <v>45772.40108800926</v>
      </c>
      <c r="C421" s="110" t="s">
        <v>2079</v>
      </c>
      <c r="D421" s="120" t="s">
        <v>1549</v>
      </c>
      <c r="E421" s="110" t="s">
        <v>2080</v>
      </c>
      <c r="F421" s="104" t="s">
        <v>2078</v>
      </c>
      <c r="G421" s="112">
        <v>640.0</v>
      </c>
      <c r="H421" s="105">
        <v>9.0</v>
      </c>
      <c r="I421" s="105">
        <v>8.0</v>
      </c>
      <c r="J421" s="105">
        <v>0.0</v>
      </c>
      <c r="K421" s="103" t="s">
        <v>388</v>
      </c>
      <c r="L421" s="102" t="s">
        <v>197</v>
      </c>
      <c r="M421" s="102" t="s">
        <v>1551</v>
      </c>
      <c r="N421" s="105">
        <v>9.0</v>
      </c>
      <c r="O421" s="102" t="s">
        <v>401</v>
      </c>
      <c r="P421" s="121">
        <v>0.8</v>
      </c>
      <c r="Q421" s="105">
        <v>8.0</v>
      </c>
      <c r="R421" s="105">
        <v>2.0</v>
      </c>
      <c r="S421" s="105">
        <v>6.0</v>
      </c>
      <c r="T421" s="107" t="s">
        <v>2081</v>
      </c>
      <c r="U421" s="107" t="s">
        <v>2082</v>
      </c>
      <c r="V421" s="107" t="s">
        <v>2083</v>
      </c>
      <c r="W421" s="106"/>
      <c r="X421" s="106"/>
      <c r="Y421" s="102" t="s">
        <v>401</v>
      </c>
      <c r="Z421" s="102" t="s">
        <v>1555</v>
      </c>
      <c r="AA421" s="105">
        <v>3.0</v>
      </c>
      <c r="AB421" s="106"/>
      <c r="AC421" s="10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c r="BC421" s="38"/>
    </row>
    <row r="422">
      <c r="A422" s="100" t="s">
        <v>2084</v>
      </c>
      <c r="B422" s="109">
        <v>45772.40777755787</v>
      </c>
      <c r="C422" s="110" t="s">
        <v>2085</v>
      </c>
      <c r="D422" s="120" t="s">
        <v>2086</v>
      </c>
      <c r="E422" s="110" t="s">
        <v>2087</v>
      </c>
      <c r="F422" s="104" t="s">
        <v>2084</v>
      </c>
      <c r="G422" s="112">
        <v>115.0</v>
      </c>
      <c r="H422" s="112">
        <v>9.0</v>
      </c>
      <c r="I422" s="112">
        <v>8.0</v>
      </c>
      <c r="J422" s="112">
        <v>1.0</v>
      </c>
      <c r="K422" s="112">
        <v>1995.0</v>
      </c>
      <c r="L422" s="110" t="s">
        <v>197</v>
      </c>
      <c r="M422" s="110" t="s">
        <v>197</v>
      </c>
      <c r="N422" s="112">
        <v>9.0</v>
      </c>
      <c r="O422" s="110" t="s">
        <v>197</v>
      </c>
      <c r="P422" s="115"/>
      <c r="Q422" s="115"/>
      <c r="R422" s="115"/>
      <c r="S422" s="115"/>
      <c r="T422" s="110" t="s">
        <v>2088</v>
      </c>
      <c r="U422" s="110" t="s">
        <v>2089</v>
      </c>
      <c r="V422" s="114" t="s">
        <v>2090</v>
      </c>
      <c r="W422" s="115"/>
      <c r="X422" s="115"/>
      <c r="Y422" s="115"/>
      <c r="Z422" s="110" t="s">
        <v>2091</v>
      </c>
      <c r="AA422" s="112">
        <v>1.0</v>
      </c>
      <c r="AB422" s="115"/>
      <c r="AC422" s="116"/>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c r="BC422" s="38"/>
    </row>
    <row r="423">
      <c r="A423" s="126" t="s">
        <v>2092</v>
      </c>
      <c r="B423" s="101">
        <v>45772.4185924537</v>
      </c>
      <c r="C423" s="110" t="s">
        <v>2093</v>
      </c>
      <c r="D423" s="120" t="s">
        <v>2094</v>
      </c>
      <c r="E423" s="110" t="s">
        <v>2095</v>
      </c>
      <c r="F423" s="124" t="s">
        <v>2092</v>
      </c>
      <c r="G423" s="112">
        <v>895.0</v>
      </c>
      <c r="H423" s="105">
        <v>8.0</v>
      </c>
      <c r="I423" s="105">
        <v>8.0</v>
      </c>
      <c r="J423" s="105">
        <v>0.0</v>
      </c>
      <c r="K423" s="105">
        <v>1965.0</v>
      </c>
      <c r="L423" s="102" t="s">
        <v>197</v>
      </c>
      <c r="M423" s="102" t="s">
        <v>197</v>
      </c>
      <c r="N423" s="105">
        <v>10.0</v>
      </c>
      <c r="O423" s="102" t="s">
        <v>401</v>
      </c>
      <c r="P423" s="121">
        <v>0.8</v>
      </c>
      <c r="Q423" s="105">
        <v>8.0</v>
      </c>
      <c r="R423" s="105">
        <v>2.0</v>
      </c>
      <c r="S423" s="105">
        <v>9.0</v>
      </c>
      <c r="T423" s="107" t="s">
        <v>2096</v>
      </c>
      <c r="U423" s="107" t="s">
        <v>2097</v>
      </c>
      <c r="V423" s="107" t="s">
        <v>2098</v>
      </c>
      <c r="W423" s="106"/>
      <c r="X423" s="106"/>
      <c r="Y423" s="102" t="s">
        <v>401</v>
      </c>
      <c r="Z423" s="102" t="s">
        <v>2099</v>
      </c>
      <c r="AA423" s="105">
        <v>1.0</v>
      </c>
      <c r="AB423" s="106"/>
      <c r="AC423" s="10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c r="BC423" s="38"/>
    </row>
    <row r="424">
      <c r="A424" s="100" t="s">
        <v>2100</v>
      </c>
      <c r="B424" s="109">
        <v>45772.4372637037</v>
      </c>
      <c r="C424" s="110" t="s">
        <v>2101</v>
      </c>
      <c r="D424" s="120" t="s">
        <v>2102</v>
      </c>
      <c r="E424" s="110" t="s">
        <v>2103</v>
      </c>
      <c r="F424" s="104" t="s">
        <v>2100</v>
      </c>
      <c r="G424" s="111">
        <v>265.0</v>
      </c>
      <c r="H424" s="112">
        <v>10.0</v>
      </c>
      <c r="I424" s="112">
        <v>10.0</v>
      </c>
      <c r="J424" s="112">
        <v>0.0</v>
      </c>
      <c r="K424" s="112">
        <v>1980.0</v>
      </c>
      <c r="L424" s="110" t="s">
        <v>197</v>
      </c>
      <c r="M424" s="110" t="s">
        <v>197</v>
      </c>
      <c r="N424" s="112">
        <v>10.0</v>
      </c>
      <c r="O424" s="110" t="s">
        <v>197</v>
      </c>
      <c r="P424" s="115"/>
      <c r="Q424" s="115"/>
      <c r="R424" s="115"/>
      <c r="S424" s="115"/>
      <c r="T424" s="114" t="s">
        <v>2104</v>
      </c>
      <c r="U424" s="114" t="s">
        <v>2105</v>
      </c>
      <c r="V424" s="114" t="s">
        <v>2106</v>
      </c>
      <c r="W424" s="115"/>
      <c r="X424" s="115"/>
      <c r="Y424" s="115"/>
      <c r="Z424" s="110" t="s">
        <v>1824</v>
      </c>
      <c r="AA424" s="112">
        <v>1.0</v>
      </c>
      <c r="AB424" s="115"/>
      <c r="AC424" s="116"/>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c r="BC424" s="38"/>
    </row>
    <row r="425">
      <c r="A425" s="123" t="s">
        <v>1635</v>
      </c>
      <c r="B425" s="101">
        <v>45772.44100803241</v>
      </c>
      <c r="C425" s="110" t="s">
        <v>1353</v>
      </c>
      <c r="D425" s="120" t="s">
        <v>1354</v>
      </c>
      <c r="E425" s="110" t="s">
        <v>2107</v>
      </c>
      <c r="F425" s="124" t="s">
        <v>1635</v>
      </c>
      <c r="G425" s="111">
        <v>255.0</v>
      </c>
      <c r="H425" s="105">
        <v>10.0</v>
      </c>
      <c r="I425" s="105">
        <v>10.0</v>
      </c>
      <c r="J425" s="105">
        <v>0.0</v>
      </c>
      <c r="K425" s="103" t="s">
        <v>388</v>
      </c>
      <c r="L425" s="102" t="s">
        <v>197</v>
      </c>
      <c r="M425" s="102" t="s">
        <v>197</v>
      </c>
      <c r="N425" s="105">
        <v>10.0</v>
      </c>
      <c r="O425" s="102" t="s">
        <v>197</v>
      </c>
      <c r="P425" s="106"/>
      <c r="Q425" s="106"/>
      <c r="R425" s="106"/>
      <c r="S425" s="106"/>
      <c r="T425" s="107" t="s">
        <v>2108</v>
      </c>
      <c r="U425" s="107" t="s">
        <v>2109</v>
      </c>
      <c r="V425" s="107" t="s">
        <v>2110</v>
      </c>
      <c r="W425" s="106"/>
      <c r="X425" s="106"/>
      <c r="Y425" s="106"/>
      <c r="Z425" s="102" t="s">
        <v>1297</v>
      </c>
      <c r="AA425" s="105">
        <v>3.0</v>
      </c>
      <c r="AB425" s="106"/>
      <c r="AC425" s="10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c r="BC425" s="38"/>
    </row>
    <row r="426">
      <c r="A426" s="123" t="s">
        <v>1624</v>
      </c>
      <c r="B426" s="109">
        <v>45772.44462707176</v>
      </c>
      <c r="C426" s="110" t="s">
        <v>1625</v>
      </c>
      <c r="D426" s="110" t="s">
        <v>2111</v>
      </c>
      <c r="E426" s="110" t="s">
        <v>1626</v>
      </c>
      <c r="F426" s="124" t="s">
        <v>1624</v>
      </c>
      <c r="G426" s="111">
        <v>630.0</v>
      </c>
      <c r="H426" s="112">
        <v>9.0</v>
      </c>
      <c r="I426" s="112">
        <v>9.0</v>
      </c>
      <c r="J426" s="112">
        <v>0.0</v>
      </c>
      <c r="K426" s="120" t="s">
        <v>388</v>
      </c>
      <c r="L426" s="110" t="s">
        <v>197</v>
      </c>
      <c r="M426" s="110" t="s">
        <v>1005</v>
      </c>
      <c r="N426" s="112">
        <v>9.0</v>
      </c>
      <c r="O426" s="110" t="s">
        <v>197</v>
      </c>
      <c r="P426" s="115"/>
      <c r="Q426" s="115"/>
      <c r="R426" s="115"/>
      <c r="S426" s="115"/>
      <c r="T426" s="114" t="s">
        <v>2112</v>
      </c>
      <c r="U426" s="114" t="s">
        <v>2113</v>
      </c>
      <c r="V426" s="114" t="s">
        <v>2114</v>
      </c>
      <c r="W426" s="115"/>
      <c r="X426" s="115"/>
      <c r="Y426" s="115"/>
      <c r="Z426" s="110" t="s">
        <v>1162</v>
      </c>
      <c r="AA426" s="112">
        <v>3.0</v>
      </c>
      <c r="AB426" s="115"/>
      <c r="AC426" s="116"/>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c r="BC426" s="38"/>
    </row>
    <row r="427">
      <c r="A427" s="123" t="s">
        <v>1155</v>
      </c>
      <c r="B427" s="101">
        <v>45772.44683435185</v>
      </c>
      <c r="C427" s="110" t="s">
        <v>2115</v>
      </c>
      <c r="D427" s="110" t="s">
        <v>2111</v>
      </c>
      <c r="E427" s="110" t="s">
        <v>1158</v>
      </c>
      <c r="F427" s="124" t="s">
        <v>1155</v>
      </c>
      <c r="G427" s="112">
        <v>455.0</v>
      </c>
      <c r="H427" s="105">
        <v>10.0</v>
      </c>
      <c r="I427" s="105">
        <v>8.0</v>
      </c>
      <c r="J427" s="105">
        <v>0.0</v>
      </c>
      <c r="K427" s="103" t="s">
        <v>388</v>
      </c>
      <c r="L427" s="102" t="s">
        <v>197</v>
      </c>
      <c r="M427" s="102" t="s">
        <v>1631</v>
      </c>
      <c r="N427" s="105">
        <v>10.0</v>
      </c>
      <c r="O427" s="102" t="s">
        <v>197</v>
      </c>
      <c r="P427" s="106"/>
      <c r="Q427" s="106"/>
      <c r="R427" s="106"/>
      <c r="S427" s="106"/>
      <c r="T427" s="107" t="s">
        <v>2116</v>
      </c>
      <c r="U427" s="107" t="s">
        <v>2117</v>
      </c>
      <c r="V427" s="107" t="s">
        <v>2118</v>
      </c>
      <c r="W427" s="106"/>
      <c r="X427" s="106"/>
      <c r="Y427" s="106"/>
      <c r="Z427" s="102" t="s">
        <v>1162</v>
      </c>
      <c r="AA427" s="105">
        <v>3.0</v>
      </c>
      <c r="AB427" s="106"/>
      <c r="AC427" s="10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c r="BC427" s="38"/>
    </row>
    <row r="428">
      <c r="A428" s="100" t="s">
        <v>2119</v>
      </c>
      <c r="B428" s="109">
        <v>45772.45208545139</v>
      </c>
      <c r="C428" s="110" t="s">
        <v>2120</v>
      </c>
      <c r="D428" s="120" t="s">
        <v>2121</v>
      </c>
      <c r="E428" s="110" t="s">
        <v>2122</v>
      </c>
      <c r="F428" s="104" t="s">
        <v>2119</v>
      </c>
      <c r="G428" s="112">
        <v>110.0</v>
      </c>
      <c r="H428" s="112">
        <v>10.0</v>
      </c>
      <c r="I428" s="112">
        <v>10.0</v>
      </c>
      <c r="J428" s="110" t="s">
        <v>197</v>
      </c>
      <c r="K428" s="112">
        <v>1945.0</v>
      </c>
      <c r="L428" s="110" t="s">
        <v>197</v>
      </c>
      <c r="M428" s="110" t="s">
        <v>2123</v>
      </c>
      <c r="N428" s="112">
        <v>7.0</v>
      </c>
      <c r="O428" s="110" t="s">
        <v>197</v>
      </c>
      <c r="P428" s="115"/>
      <c r="Q428" s="115"/>
      <c r="R428" s="115"/>
      <c r="S428" s="115"/>
      <c r="T428" s="114" t="s">
        <v>2124</v>
      </c>
      <c r="U428" s="114" t="s">
        <v>2125</v>
      </c>
      <c r="V428" s="114" t="s">
        <v>2126</v>
      </c>
      <c r="W428" s="115"/>
      <c r="X428" s="115"/>
      <c r="Y428" s="115"/>
      <c r="Z428" s="110" t="s">
        <v>2127</v>
      </c>
      <c r="AA428" s="112">
        <v>1.0</v>
      </c>
      <c r="AB428" s="115"/>
      <c r="AC428" s="116"/>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c r="BC428" s="38"/>
    </row>
    <row r="429">
      <c r="A429" s="100" t="s">
        <v>2128</v>
      </c>
      <c r="B429" s="101">
        <v>45772.45410912037</v>
      </c>
      <c r="C429" s="112" t="s">
        <v>2129</v>
      </c>
      <c r="D429" s="112">
        <v>3.098691205E9</v>
      </c>
      <c r="E429" s="110" t="s">
        <v>2130</v>
      </c>
      <c r="F429" s="104" t="s">
        <v>2128</v>
      </c>
      <c r="G429" s="112">
        <v>230.0</v>
      </c>
      <c r="H429" s="105">
        <v>9.0</v>
      </c>
      <c r="I429" s="105">
        <v>9.0</v>
      </c>
      <c r="J429" s="105">
        <v>1.0</v>
      </c>
      <c r="K429" s="103" t="s">
        <v>388</v>
      </c>
      <c r="L429" s="102" t="s">
        <v>197</v>
      </c>
      <c r="M429" s="102" t="s">
        <v>2131</v>
      </c>
      <c r="N429" s="105">
        <v>8.0</v>
      </c>
      <c r="O429" s="102" t="s">
        <v>197</v>
      </c>
      <c r="P429" s="106"/>
      <c r="Q429" s="106"/>
      <c r="R429" s="106"/>
      <c r="S429" s="106"/>
      <c r="T429" s="107" t="s">
        <v>2132</v>
      </c>
      <c r="U429" s="107" t="s">
        <v>2133</v>
      </c>
      <c r="V429" s="107" t="s">
        <v>2134</v>
      </c>
      <c r="W429" s="106"/>
      <c r="X429" s="106"/>
      <c r="Y429" s="106"/>
      <c r="Z429" s="102" t="s">
        <v>1081</v>
      </c>
      <c r="AA429" s="105">
        <v>1.0</v>
      </c>
      <c r="AB429" s="106"/>
      <c r="AC429" s="10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c r="BC429" s="38"/>
    </row>
    <row r="430">
      <c r="A430" s="100" t="s">
        <v>1368</v>
      </c>
      <c r="B430" s="109">
        <v>45772.457328819444</v>
      </c>
      <c r="C430" s="110" t="s">
        <v>2135</v>
      </c>
      <c r="D430" s="120" t="s">
        <v>1595</v>
      </c>
      <c r="E430" s="110" t="s">
        <v>2136</v>
      </c>
      <c r="F430" s="104" t="s">
        <v>1368</v>
      </c>
      <c r="G430" s="112">
        <v>215.0</v>
      </c>
      <c r="H430" s="112">
        <v>9.0</v>
      </c>
      <c r="I430" s="112">
        <v>9.0</v>
      </c>
      <c r="J430" s="112">
        <v>0.0</v>
      </c>
      <c r="K430" s="120" t="s">
        <v>388</v>
      </c>
      <c r="L430" s="110" t="s">
        <v>197</v>
      </c>
      <c r="M430" s="110" t="s">
        <v>197</v>
      </c>
      <c r="N430" s="112">
        <v>10.0</v>
      </c>
      <c r="O430" s="110" t="s">
        <v>197</v>
      </c>
      <c r="P430" s="115"/>
      <c r="Q430" s="115"/>
      <c r="R430" s="115"/>
      <c r="S430" s="115"/>
      <c r="T430" s="114" t="s">
        <v>2137</v>
      </c>
      <c r="U430" s="114" t="s">
        <v>2138</v>
      </c>
      <c r="V430" s="114" t="s">
        <v>2139</v>
      </c>
      <c r="W430" s="115"/>
      <c r="X430" s="115"/>
      <c r="Y430" s="115"/>
      <c r="Z430" s="110" t="s">
        <v>1077</v>
      </c>
      <c r="AA430" s="112">
        <v>3.0</v>
      </c>
      <c r="AB430" s="115"/>
      <c r="AC430" s="116"/>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c r="BC430" s="38"/>
    </row>
    <row r="431">
      <c r="A431" s="123" t="s">
        <v>1274</v>
      </c>
      <c r="B431" s="101">
        <v>45772.46448671297</v>
      </c>
      <c r="C431" s="110" t="s">
        <v>1335</v>
      </c>
      <c r="D431" s="120" t="s">
        <v>1276</v>
      </c>
      <c r="E431" s="110" t="s">
        <v>2140</v>
      </c>
      <c r="F431" s="124" t="s">
        <v>1274</v>
      </c>
      <c r="G431" s="112">
        <v>490.0</v>
      </c>
      <c r="H431" s="105">
        <v>6.0</v>
      </c>
      <c r="I431" s="105">
        <v>6.0</v>
      </c>
      <c r="J431" s="105">
        <v>2.0</v>
      </c>
      <c r="K431" s="105">
        <v>2004.0</v>
      </c>
      <c r="L431" s="102" t="s">
        <v>197</v>
      </c>
      <c r="M431" s="102" t="s">
        <v>197</v>
      </c>
      <c r="N431" s="105">
        <v>10.0</v>
      </c>
      <c r="O431" s="102" t="s">
        <v>197</v>
      </c>
      <c r="P431" s="106"/>
      <c r="Q431" s="106"/>
      <c r="R431" s="106"/>
      <c r="S431" s="106"/>
      <c r="T431" s="107" t="s">
        <v>2141</v>
      </c>
      <c r="U431" s="107" t="s">
        <v>2142</v>
      </c>
      <c r="V431" s="107" t="s">
        <v>2143</v>
      </c>
      <c r="W431" s="106"/>
      <c r="X431" s="106"/>
      <c r="Y431" s="106"/>
      <c r="Z431" s="102" t="s">
        <v>1282</v>
      </c>
      <c r="AA431" s="105">
        <v>3.0</v>
      </c>
      <c r="AB431" s="106"/>
      <c r="AC431" s="10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c r="BC431" s="38"/>
    </row>
    <row r="432">
      <c r="A432" s="100" t="s">
        <v>1650</v>
      </c>
      <c r="B432" s="109">
        <v>45772.477764270836</v>
      </c>
      <c r="C432" s="110" t="s">
        <v>1651</v>
      </c>
      <c r="D432" s="120" t="s">
        <v>1652</v>
      </c>
      <c r="E432" s="110" t="s">
        <v>1653</v>
      </c>
      <c r="F432" s="104" t="s">
        <v>1650</v>
      </c>
      <c r="G432" s="111">
        <v>160.0</v>
      </c>
      <c r="H432" s="112">
        <v>10.0</v>
      </c>
      <c r="I432" s="112">
        <v>8.0</v>
      </c>
      <c r="J432" s="110" t="s">
        <v>337</v>
      </c>
      <c r="K432" s="120" t="s">
        <v>388</v>
      </c>
      <c r="L432" s="110" t="s">
        <v>401</v>
      </c>
      <c r="M432" s="110" t="s">
        <v>197</v>
      </c>
      <c r="N432" s="112">
        <v>10.0</v>
      </c>
      <c r="O432" s="110" t="s">
        <v>401</v>
      </c>
      <c r="P432" s="113">
        <v>0.9</v>
      </c>
      <c r="Q432" s="112">
        <v>7.0</v>
      </c>
      <c r="R432" s="112">
        <v>1.0</v>
      </c>
      <c r="S432" s="112">
        <v>7.0</v>
      </c>
      <c r="T432" s="115"/>
      <c r="U432" s="115"/>
      <c r="V432" s="110" t="s">
        <v>2144</v>
      </c>
      <c r="W432" s="115"/>
      <c r="X432" s="115"/>
      <c r="Y432" s="110" t="s">
        <v>401</v>
      </c>
      <c r="Z432" s="110" t="s">
        <v>1655</v>
      </c>
      <c r="AA432" s="112">
        <v>3.0</v>
      </c>
      <c r="AB432" s="115"/>
      <c r="AC432" s="116"/>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row>
    <row r="433">
      <c r="A433" s="100" t="s">
        <v>2145</v>
      </c>
      <c r="B433" s="101">
        <v>45772.49482471065</v>
      </c>
      <c r="C433" s="110" t="s">
        <v>2146</v>
      </c>
      <c r="D433" s="120" t="s">
        <v>2147</v>
      </c>
      <c r="E433" s="110" t="s">
        <v>2148</v>
      </c>
      <c r="F433" s="104" t="s">
        <v>2145</v>
      </c>
      <c r="G433" s="112">
        <v>300.0</v>
      </c>
      <c r="H433" s="105">
        <v>10.0</v>
      </c>
      <c r="I433" s="105">
        <v>10.0</v>
      </c>
      <c r="J433" s="105">
        <v>0.0</v>
      </c>
      <c r="K433" s="105">
        <v>1955.0</v>
      </c>
      <c r="L433" s="102" t="s">
        <v>197</v>
      </c>
      <c r="M433" s="102" t="s">
        <v>2149</v>
      </c>
      <c r="N433" s="105">
        <v>10.0</v>
      </c>
      <c r="O433" s="102" t="s">
        <v>197</v>
      </c>
      <c r="P433" s="106"/>
      <c r="Q433" s="106"/>
      <c r="R433" s="106"/>
      <c r="S433" s="106"/>
      <c r="T433" s="107" t="s">
        <v>2150</v>
      </c>
      <c r="U433" s="107" t="s">
        <v>2151</v>
      </c>
      <c r="V433" s="107" t="s">
        <v>2152</v>
      </c>
      <c r="W433" s="106"/>
      <c r="X433" s="106"/>
      <c r="Y433" s="106"/>
      <c r="Z433" s="102" t="s">
        <v>2153</v>
      </c>
      <c r="AA433" s="105">
        <v>1.0</v>
      </c>
      <c r="AB433" s="106"/>
      <c r="AC433" s="10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c r="BC433" s="38"/>
    </row>
    <row r="434">
      <c r="A434" s="100" t="s">
        <v>2154</v>
      </c>
      <c r="B434" s="109">
        <v>45772.49631427083</v>
      </c>
      <c r="C434" s="110" t="s">
        <v>2155</v>
      </c>
      <c r="D434" s="120" t="s">
        <v>2156</v>
      </c>
      <c r="E434" s="110" t="s">
        <v>2157</v>
      </c>
      <c r="F434" s="104" t="s">
        <v>2154</v>
      </c>
      <c r="G434" s="111">
        <v>182.0</v>
      </c>
      <c r="H434" s="112">
        <v>10.0</v>
      </c>
      <c r="I434" s="112">
        <v>10.0</v>
      </c>
      <c r="J434" s="110" t="s">
        <v>197</v>
      </c>
      <c r="K434" s="112">
        <v>1980.0</v>
      </c>
      <c r="L434" s="110" t="s">
        <v>197</v>
      </c>
      <c r="M434" s="110" t="s">
        <v>197</v>
      </c>
      <c r="N434" s="112">
        <v>9.0</v>
      </c>
      <c r="O434" s="110" t="s">
        <v>401</v>
      </c>
      <c r="P434" s="113">
        <v>0.0</v>
      </c>
      <c r="Q434" s="112">
        <v>0.0</v>
      </c>
      <c r="R434" s="112">
        <v>10.0</v>
      </c>
      <c r="S434" s="112">
        <v>0.0</v>
      </c>
      <c r="T434" s="114" t="s">
        <v>2158</v>
      </c>
      <c r="U434" s="114" t="s">
        <v>2159</v>
      </c>
      <c r="V434" s="114" t="s">
        <v>2160</v>
      </c>
      <c r="W434" s="115"/>
      <c r="X434" s="115"/>
      <c r="Y434" s="110" t="s">
        <v>401</v>
      </c>
      <c r="Z434" s="110" t="s">
        <v>2161</v>
      </c>
      <c r="AA434" s="112">
        <v>1.0</v>
      </c>
      <c r="AB434" s="115"/>
      <c r="AC434" s="116"/>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c r="BC434" s="38"/>
    </row>
    <row r="435">
      <c r="A435" s="123" t="s">
        <v>1339</v>
      </c>
      <c r="B435" s="101">
        <v>45772.49813694444</v>
      </c>
      <c r="C435" s="110" t="s">
        <v>2162</v>
      </c>
      <c r="D435" s="120" t="s">
        <v>1284</v>
      </c>
      <c r="E435" s="110" t="s">
        <v>2163</v>
      </c>
      <c r="F435" s="124" t="s">
        <v>1339</v>
      </c>
      <c r="G435" s="112">
        <v>300.0</v>
      </c>
      <c r="H435" s="105">
        <v>10.0</v>
      </c>
      <c r="I435" s="105">
        <v>10.0</v>
      </c>
      <c r="J435" s="105">
        <v>0.0</v>
      </c>
      <c r="K435" s="105">
        <v>1975.0</v>
      </c>
      <c r="L435" s="102" t="s">
        <v>197</v>
      </c>
      <c r="M435" s="102" t="s">
        <v>197</v>
      </c>
      <c r="N435" s="105">
        <v>10.0</v>
      </c>
      <c r="O435" s="102" t="s">
        <v>197</v>
      </c>
      <c r="P435" s="106"/>
      <c r="Q435" s="106"/>
      <c r="R435" s="106"/>
      <c r="S435" s="106"/>
      <c r="T435" s="107" t="s">
        <v>2164</v>
      </c>
      <c r="U435" s="107" t="s">
        <v>2165</v>
      </c>
      <c r="V435" s="107" t="s">
        <v>2166</v>
      </c>
      <c r="W435" s="102" t="s">
        <v>197</v>
      </c>
      <c r="X435" s="106"/>
      <c r="Y435" s="106"/>
      <c r="Z435" s="102" t="s">
        <v>1289</v>
      </c>
      <c r="AA435" s="105">
        <v>3.0</v>
      </c>
      <c r="AB435" s="106"/>
      <c r="AC435" s="10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row>
    <row r="436">
      <c r="A436" s="126" t="s">
        <v>2167</v>
      </c>
      <c r="B436" s="109">
        <v>45772.52364190972</v>
      </c>
      <c r="C436" s="110" t="s">
        <v>2168</v>
      </c>
      <c r="D436" s="120" t="s">
        <v>2169</v>
      </c>
      <c r="E436" s="127" t="s">
        <v>2170</v>
      </c>
      <c r="F436" s="124" t="s">
        <v>2167</v>
      </c>
      <c r="G436" s="112">
        <v>150.0</v>
      </c>
      <c r="H436" s="112">
        <v>8.0</v>
      </c>
      <c r="I436" s="112">
        <v>8.0</v>
      </c>
      <c r="J436" s="112">
        <v>2.0</v>
      </c>
      <c r="K436" s="112">
        <v>0.0</v>
      </c>
      <c r="L436" s="110" t="s">
        <v>197</v>
      </c>
      <c r="M436" s="110" t="s">
        <v>2171</v>
      </c>
      <c r="N436" s="112">
        <v>6.0</v>
      </c>
      <c r="O436" s="110" t="s">
        <v>401</v>
      </c>
      <c r="P436" s="113">
        <v>0.0</v>
      </c>
      <c r="Q436" s="112">
        <v>0.0</v>
      </c>
      <c r="R436" s="112">
        <v>10.0</v>
      </c>
      <c r="S436" s="112">
        <v>0.0</v>
      </c>
      <c r="T436" s="114" t="s">
        <v>2172</v>
      </c>
      <c r="U436" s="115"/>
      <c r="V436" s="114" t="s">
        <v>2173</v>
      </c>
      <c r="W436" s="115"/>
      <c r="X436" s="115"/>
      <c r="Y436" s="110" t="s">
        <v>401</v>
      </c>
      <c r="Z436" s="110" t="s">
        <v>2174</v>
      </c>
      <c r="AA436" s="112">
        <v>1.0</v>
      </c>
      <c r="AB436" s="115"/>
      <c r="AC436" s="116"/>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c r="BC436" s="38"/>
    </row>
    <row r="437">
      <c r="A437" s="123" t="s">
        <v>1608</v>
      </c>
      <c r="B437" s="101">
        <v>45772.56400590278</v>
      </c>
      <c r="C437" s="110" t="s">
        <v>2175</v>
      </c>
      <c r="D437" s="120" t="s">
        <v>2176</v>
      </c>
      <c r="E437" s="110" t="s">
        <v>2177</v>
      </c>
      <c r="F437" s="124" t="s">
        <v>1608</v>
      </c>
      <c r="G437" s="111">
        <v>420.0</v>
      </c>
      <c r="H437" s="105">
        <v>10.0</v>
      </c>
      <c r="I437" s="105">
        <v>10.0</v>
      </c>
      <c r="J437" s="105">
        <v>0.0</v>
      </c>
      <c r="K437" s="105">
        <v>1920.0</v>
      </c>
      <c r="L437" s="102" t="s">
        <v>197</v>
      </c>
      <c r="M437" s="102" t="s">
        <v>197</v>
      </c>
      <c r="N437" s="105">
        <v>10.0</v>
      </c>
      <c r="O437" s="102" t="s">
        <v>197</v>
      </c>
      <c r="P437" s="106"/>
      <c r="Q437" s="106"/>
      <c r="R437" s="106"/>
      <c r="S437" s="106"/>
      <c r="T437" s="107" t="s">
        <v>2178</v>
      </c>
      <c r="U437" s="102" t="s">
        <v>2179</v>
      </c>
      <c r="V437" s="107" t="s">
        <v>2180</v>
      </c>
      <c r="W437" s="102" t="s">
        <v>197</v>
      </c>
      <c r="X437" s="106"/>
      <c r="Y437" s="106"/>
      <c r="Z437" s="102" t="s">
        <v>1616</v>
      </c>
      <c r="AA437" s="105">
        <v>3.0</v>
      </c>
      <c r="AB437" s="106"/>
      <c r="AC437" s="10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8"/>
    </row>
    <row r="438">
      <c r="A438" s="100" t="s">
        <v>1274</v>
      </c>
      <c r="B438" s="109">
        <v>45772.64743633102</v>
      </c>
      <c r="C438" s="110" t="s">
        <v>1335</v>
      </c>
      <c r="D438" s="120" t="s">
        <v>1276</v>
      </c>
      <c r="E438" s="110" t="s">
        <v>2181</v>
      </c>
      <c r="F438" s="104" t="s">
        <v>1274</v>
      </c>
      <c r="G438" s="111">
        <v>477.0</v>
      </c>
      <c r="H438" s="112">
        <v>5.0</v>
      </c>
      <c r="I438" s="112">
        <v>6.0</v>
      </c>
      <c r="J438" s="112">
        <v>2.0</v>
      </c>
      <c r="K438" s="112">
        <v>2004.0</v>
      </c>
      <c r="L438" s="110" t="s">
        <v>197</v>
      </c>
      <c r="M438" s="110" t="s">
        <v>197</v>
      </c>
      <c r="N438" s="112">
        <v>10.0</v>
      </c>
      <c r="O438" s="110" t="s">
        <v>197</v>
      </c>
      <c r="P438" s="115"/>
      <c r="Q438" s="115"/>
      <c r="R438" s="115"/>
      <c r="S438" s="115"/>
      <c r="T438" s="114" t="s">
        <v>2182</v>
      </c>
      <c r="U438" s="110" t="s">
        <v>2183</v>
      </c>
      <c r="V438" s="114" t="s">
        <v>2184</v>
      </c>
      <c r="W438" s="115"/>
      <c r="X438" s="115"/>
      <c r="Y438" s="115"/>
      <c r="Z438" s="110" t="s">
        <v>1282</v>
      </c>
      <c r="AA438" s="110" t="s">
        <v>8</v>
      </c>
      <c r="AB438" s="115"/>
      <c r="AC438" s="116"/>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c r="BC438" s="38"/>
    </row>
    <row r="439">
      <c r="A439" s="100" t="s">
        <v>2185</v>
      </c>
      <c r="B439" s="101">
        <v>45773.12786743055</v>
      </c>
      <c r="C439" s="110" t="s">
        <v>2186</v>
      </c>
      <c r="D439" s="120" t="s">
        <v>2187</v>
      </c>
      <c r="E439" s="110" t="s">
        <v>2188</v>
      </c>
      <c r="F439" s="104" t="s">
        <v>2185</v>
      </c>
      <c r="G439" s="112">
        <v>587.0</v>
      </c>
      <c r="H439" s="105">
        <v>9.0</v>
      </c>
      <c r="I439" s="105">
        <v>8.0</v>
      </c>
      <c r="J439" s="105">
        <v>0.0</v>
      </c>
      <c r="K439" s="105">
        <v>2003.0</v>
      </c>
      <c r="L439" s="102" t="s">
        <v>197</v>
      </c>
      <c r="M439" s="102" t="s">
        <v>2189</v>
      </c>
      <c r="N439" s="105">
        <v>9.0</v>
      </c>
      <c r="O439" s="102" t="s">
        <v>401</v>
      </c>
      <c r="P439" s="121">
        <v>0.8</v>
      </c>
      <c r="Q439" s="105">
        <v>9.0</v>
      </c>
      <c r="R439" s="105">
        <v>2.0</v>
      </c>
      <c r="S439" s="105">
        <v>10.0</v>
      </c>
      <c r="T439" s="107" t="s">
        <v>2190</v>
      </c>
      <c r="U439" s="107" t="s">
        <v>2191</v>
      </c>
      <c r="V439" s="107" t="s">
        <v>2192</v>
      </c>
      <c r="W439" s="102" t="s">
        <v>2193</v>
      </c>
      <c r="X439" s="106"/>
      <c r="Y439" s="102" t="s">
        <v>401</v>
      </c>
      <c r="Z439" s="102" t="s">
        <v>2194</v>
      </c>
      <c r="AA439" s="105">
        <v>1.0</v>
      </c>
      <c r="AB439" s="106"/>
      <c r="AC439" s="10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c r="BC439" s="38"/>
    </row>
    <row r="440">
      <c r="A440" s="100" t="s">
        <v>2195</v>
      </c>
      <c r="B440" s="109">
        <v>45773.15180439815</v>
      </c>
      <c r="C440" s="110" t="s">
        <v>2196</v>
      </c>
      <c r="D440" s="120" t="s">
        <v>2197</v>
      </c>
      <c r="E440" s="110" t="s">
        <v>2198</v>
      </c>
      <c r="F440" s="104" t="s">
        <v>2195</v>
      </c>
      <c r="G440" s="112">
        <v>250.0</v>
      </c>
      <c r="H440" s="112">
        <v>10.0</v>
      </c>
      <c r="I440" s="112">
        <v>7.0</v>
      </c>
      <c r="J440" s="112">
        <v>0.0</v>
      </c>
      <c r="K440" s="110" t="s">
        <v>197</v>
      </c>
      <c r="L440" s="110" t="s">
        <v>197</v>
      </c>
      <c r="M440" s="110" t="s">
        <v>197</v>
      </c>
      <c r="N440" s="112">
        <v>10.0</v>
      </c>
      <c r="O440" s="110" t="s">
        <v>401</v>
      </c>
      <c r="P440" s="113">
        <v>0.5</v>
      </c>
      <c r="Q440" s="112">
        <v>5.0</v>
      </c>
      <c r="R440" s="112">
        <v>5.0</v>
      </c>
      <c r="S440" s="112">
        <v>5.0</v>
      </c>
      <c r="T440" s="114" t="s">
        <v>2199</v>
      </c>
      <c r="U440" s="114" t="s">
        <v>2200</v>
      </c>
      <c r="V440" s="114" t="s">
        <v>2201</v>
      </c>
      <c r="W440" s="110" t="s">
        <v>197</v>
      </c>
      <c r="X440" s="115"/>
      <c r="Y440" s="110" t="s">
        <v>401</v>
      </c>
      <c r="Z440" s="110" t="s">
        <v>2202</v>
      </c>
      <c r="AA440" s="112">
        <v>1.0</v>
      </c>
      <c r="AB440" s="115"/>
      <c r="AC440" s="116"/>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c r="BC440" s="38"/>
    </row>
    <row r="441">
      <c r="A441" s="100" t="s">
        <v>2203</v>
      </c>
      <c r="B441" s="101">
        <v>45773.20089609954</v>
      </c>
      <c r="C441" s="110" t="s">
        <v>2204</v>
      </c>
      <c r="D441" s="120" t="s">
        <v>1079</v>
      </c>
      <c r="E441" s="110" t="s">
        <v>2205</v>
      </c>
      <c r="F441" s="104" t="s">
        <v>2203</v>
      </c>
      <c r="G441" s="111">
        <v>370.0</v>
      </c>
      <c r="H441" s="105">
        <v>9.0</v>
      </c>
      <c r="I441" s="105">
        <v>8.0</v>
      </c>
      <c r="J441" s="105">
        <v>2.0</v>
      </c>
      <c r="K441" s="105">
        <v>1957.0</v>
      </c>
      <c r="L441" s="102" t="s">
        <v>197</v>
      </c>
      <c r="M441" s="102" t="s">
        <v>197</v>
      </c>
      <c r="N441" s="105">
        <v>6.0</v>
      </c>
      <c r="O441" s="102" t="s">
        <v>401</v>
      </c>
      <c r="P441" s="121">
        <v>1.0</v>
      </c>
      <c r="Q441" s="105">
        <v>9.0</v>
      </c>
      <c r="R441" s="105">
        <v>6.0</v>
      </c>
      <c r="S441" s="105">
        <v>9.0</v>
      </c>
      <c r="T441" s="107" t="s">
        <v>2206</v>
      </c>
      <c r="U441" s="107" t="s">
        <v>2207</v>
      </c>
      <c r="V441" s="107" t="s">
        <v>2208</v>
      </c>
      <c r="W441" s="105" t="s">
        <v>2209</v>
      </c>
      <c r="X441" s="106"/>
      <c r="Y441" s="102" t="s">
        <v>401</v>
      </c>
      <c r="Z441" s="102" t="s">
        <v>1081</v>
      </c>
      <c r="AA441" s="105">
        <v>1.0</v>
      </c>
      <c r="AB441" s="106"/>
      <c r="AC441" s="10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c r="BC441" s="38"/>
    </row>
    <row r="442">
      <c r="A442" s="123" t="s">
        <v>1572</v>
      </c>
      <c r="B442" s="109">
        <v>45773.34033496528</v>
      </c>
      <c r="C442" s="110" t="s">
        <v>2210</v>
      </c>
      <c r="D442" s="120" t="s">
        <v>1375</v>
      </c>
      <c r="E442" s="110" t="s">
        <v>2211</v>
      </c>
      <c r="F442" s="124" t="s">
        <v>1572</v>
      </c>
      <c r="G442" s="112">
        <v>370.0</v>
      </c>
      <c r="H442" s="112">
        <v>7.0</v>
      </c>
      <c r="I442" s="112">
        <v>4.0</v>
      </c>
      <c r="J442" s="112">
        <v>0.0</v>
      </c>
      <c r="K442" s="112">
        <v>1960.0</v>
      </c>
      <c r="L442" s="110" t="s">
        <v>197</v>
      </c>
      <c r="M442" s="110" t="s">
        <v>197</v>
      </c>
      <c r="N442" s="112">
        <v>5.0</v>
      </c>
      <c r="O442" s="110" t="s">
        <v>197</v>
      </c>
      <c r="P442" s="115"/>
      <c r="Q442" s="115"/>
      <c r="R442" s="115"/>
      <c r="S442" s="115"/>
      <c r="T442" s="115"/>
      <c r="U442" s="115"/>
      <c r="V442" s="115"/>
      <c r="W442" s="115"/>
      <c r="X442" s="115"/>
      <c r="Y442" s="115"/>
      <c r="Z442" s="110" t="s">
        <v>1381</v>
      </c>
      <c r="AA442" s="110" t="s">
        <v>8</v>
      </c>
      <c r="AB442" s="115"/>
      <c r="AC442" s="116"/>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c r="BC442" s="38"/>
    </row>
    <row r="443">
      <c r="A443" s="100" t="s">
        <v>2212</v>
      </c>
      <c r="B443" s="101">
        <v>45773.42722493055</v>
      </c>
      <c r="C443" s="110" t="s">
        <v>2213</v>
      </c>
      <c r="D443" s="120" t="s">
        <v>2214</v>
      </c>
      <c r="E443" s="110" t="s">
        <v>2215</v>
      </c>
      <c r="F443" s="104" t="s">
        <v>2212</v>
      </c>
      <c r="G443" s="112">
        <v>140.0</v>
      </c>
      <c r="H443" s="105">
        <v>8.0</v>
      </c>
      <c r="I443" s="105">
        <v>7.0</v>
      </c>
      <c r="J443" s="105">
        <v>0.0</v>
      </c>
      <c r="K443" s="105">
        <v>1960.0</v>
      </c>
      <c r="L443" s="102" t="s">
        <v>197</v>
      </c>
      <c r="M443" s="102" t="s">
        <v>197</v>
      </c>
      <c r="N443" s="105">
        <v>7.0</v>
      </c>
      <c r="O443" s="102" t="s">
        <v>401</v>
      </c>
      <c r="P443" s="121">
        <v>0.9</v>
      </c>
      <c r="Q443" s="105">
        <v>9.0</v>
      </c>
      <c r="R443" s="105">
        <v>8.0</v>
      </c>
      <c r="S443" s="105">
        <v>9.0</v>
      </c>
      <c r="T443" s="107" t="s">
        <v>2216</v>
      </c>
      <c r="U443" s="107" t="s">
        <v>2217</v>
      </c>
      <c r="V443" s="107" t="s">
        <v>2218</v>
      </c>
      <c r="W443" s="106"/>
      <c r="X443" s="106"/>
      <c r="Y443" s="102" t="s">
        <v>401</v>
      </c>
      <c r="Z443" s="102" t="s">
        <v>2219</v>
      </c>
      <c r="AA443" s="105">
        <v>1.0</v>
      </c>
      <c r="AB443" s="106"/>
      <c r="AC443" s="10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c r="BC443" s="38"/>
    </row>
    <row r="444">
      <c r="A444" s="123" t="s">
        <v>1572</v>
      </c>
      <c r="B444" s="109">
        <v>45773.47334175926</v>
      </c>
      <c r="C444" s="110" t="s">
        <v>2220</v>
      </c>
      <c r="D444" s="120" t="s">
        <v>1375</v>
      </c>
      <c r="E444" s="110" t="s">
        <v>2221</v>
      </c>
      <c r="F444" s="124" t="s">
        <v>1572</v>
      </c>
      <c r="G444" s="112">
        <v>370.0</v>
      </c>
      <c r="H444" s="112">
        <v>4.0</v>
      </c>
      <c r="I444" s="112">
        <v>4.0</v>
      </c>
      <c r="J444" s="110" t="s">
        <v>197</v>
      </c>
      <c r="K444" s="112">
        <v>1960.0</v>
      </c>
      <c r="L444" s="110" t="s">
        <v>197</v>
      </c>
      <c r="M444" s="110" t="s">
        <v>197</v>
      </c>
      <c r="N444" s="112">
        <v>5.0</v>
      </c>
      <c r="O444" s="110" t="s">
        <v>401</v>
      </c>
      <c r="P444" s="113">
        <v>0.4</v>
      </c>
      <c r="Q444" s="112">
        <v>4.0</v>
      </c>
      <c r="R444" s="112">
        <v>6.0</v>
      </c>
      <c r="S444" s="112">
        <v>4.0</v>
      </c>
      <c r="T444" s="114" t="s">
        <v>2222</v>
      </c>
      <c r="U444" s="114" t="s">
        <v>2223</v>
      </c>
      <c r="V444" s="114" t="s">
        <v>2224</v>
      </c>
      <c r="W444" s="115"/>
      <c r="X444" s="115"/>
      <c r="Y444" s="110" t="s">
        <v>401</v>
      </c>
      <c r="Z444" s="110" t="s">
        <v>1381</v>
      </c>
      <c r="AA444" s="112">
        <v>3.0</v>
      </c>
      <c r="AB444" s="115"/>
      <c r="AC444" s="116"/>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c r="BC444" s="38"/>
    </row>
    <row r="445">
      <c r="A445" s="100" t="s">
        <v>2225</v>
      </c>
      <c r="B445" s="101">
        <v>45773.48186175926</v>
      </c>
      <c r="C445" s="110" t="s">
        <v>2226</v>
      </c>
      <c r="D445" s="120" t="s">
        <v>2227</v>
      </c>
      <c r="E445" s="110" t="s">
        <v>2228</v>
      </c>
      <c r="F445" s="104" t="s">
        <v>2225</v>
      </c>
      <c r="G445" s="111">
        <v>170.0</v>
      </c>
      <c r="H445" s="105">
        <v>7.0</v>
      </c>
      <c r="I445" s="105">
        <v>6.0</v>
      </c>
      <c r="J445" s="105">
        <v>3.0</v>
      </c>
      <c r="K445" s="103" t="s">
        <v>388</v>
      </c>
      <c r="L445" s="102" t="s">
        <v>197</v>
      </c>
      <c r="M445" s="102" t="s">
        <v>197</v>
      </c>
      <c r="N445" s="105">
        <v>8.0</v>
      </c>
      <c r="O445" s="102" t="s">
        <v>197</v>
      </c>
      <c r="P445" s="106"/>
      <c r="Q445" s="106"/>
      <c r="R445" s="106"/>
      <c r="S445" s="106"/>
      <c r="T445" s="107" t="s">
        <v>2229</v>
      </c>
      <c r="U445" s="107" t="s">
        <v>2230</v>
      </c>
      <c r="V445" s="107" t="s">
        <v>2231</v>
      </c>
      <c r="W445" s="106"/>
      <c r="X445" s="106"/>
      <c r="Y445" s="106"/>
      <c r="Z445" s="102" t="s">
        <v>2232</v>
      </c>
      <c r="AA445" s="105">
        <v>1.0</v>
      </c>
      <c r="AB445" s="106"/>
      <c r="AC445" s="10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c r="BC445" s="38"/>
    </row>
    <row r="446">
      <c r="A446" s="100" t="s">
        <v>1723</v>
      </c>
      <c r="B446" s="109">
        <v>45779.21774910879</v>
      </c>
      <c r="C446" s="110" t="s">
        <v>1724</v>
      </c>
      <c r="D446" s="120" t="s">
        <v>1725</v>
      </c>
      <c r="E446" s="110" t="s">
        <v>2233</v>
      </c>
      <c r="F446" s="104" t="s">
        <v>1723</v>
      </c>
      <c r="G446" s="111">
        <v>185.0</v>
      </c>
      <c r="H446" s="112">
        <v>8.0</v>
      </c>
      <c r="I446" s="112">
        <v>8.0</v>
      </c>
      <c r="J446" s="112">
        <v>0.0</v>
      </c>
      <c r="K446" s="112">
        <v>35.0</v>
      </c>
      <c r="L446" s="110" t="s">
        <v>197</v>
      </c>
      <c r="M446" s="110" t="s">
        <v>197</v>
      </c>
      <c r="N446" s="112">
        <v>7.0</v>
      </c>
      <c r="O446" s="110" t="s">
        <v>197</v>
      </c>
      <c r="P446" s="115"/>
      <c r="Q446" s="115"/>
      <c r="R446" s="115"/>
      <c r="S446" s="115"/>
      <c r="T446" s="114" t="s">
        <v>2234</v>
      </c>
      <c r="U446" s="114" t="s">
        <v>2235</v>
      </c>
      <c r="V446" s="114" t="s">
        <v>2236</v>
      </c>
      <c r="W446" s="115"/>
      <c r="X446" s="115"/>
      <c r="Y446" s="115"/>
      <c r="Z446" s="110" t="s">
        <v>1731</v>
      </c>
      <c r="AA446" s="112">
        <v>3.0</v>
      </c>
      <c r="AB446" s="115"/>
      <c r="AC446" s="116"/>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c r="BC446" s="38"/>
    </row>
    <row r="447">
      <c r="A447" s="100" t="s">
        <v>2237</v>
      </c>
      <c r="B447" s="101">
        <v>45779.22266513889</v>
      </c>
      <c r="C447" s="110" t="s">
        <v>2238</v>
      </c>
      <c r="D447" s="120" t="s">
        <v>1685</v>
      </c>
      <c r="E447" s="110" t="s">
        <v>2239</v>
      </c>
      <c r="F447" s="104" t="s">
        <v>2237</v>
      </c>
      <c r="G447" s="111">
        <v>390.0</v>
      </c>
      <c r="H447" s="105">
        <v>7.0</v>
      </c>
      <c r="I447" s="105">
        <v>7.0</v>
      </c>
      <c r="J447" s="105">
        <v>0.0</v>
      </c>
      <c r="K447" s="105">
        <v>1983.0</v>
      </c>
      <c r="L447" s="102" t="s">
        <v>401</v>
      </c>
      <c r="M447" s="102" t="s">
        <v>2240</v>
      </c>
      <c r="N447" s="105">
        <v>6.0</v>
      </c>
      <c r="O447" s="102" t="s">
        <v>401</v>
      </c>
      <c r="P447" s="121">
        <v>0.3</v>
      </c>
      <c r="Q447" s="105">
        <v>3.0</v>
      </c>
      <c r="R447" s="105">
        <v>7.0</v>
      </c>
      <c r="S447" s="105">
        <v>3.0</v>
      </c>
      <c r="T447" s="107" t="s">
        <v>2241</v>
      </c>
      <c r="U447" s="107" t="s">
        <v>2242</v>
      </c>
      <c r="V447" s="107" t="s">
        <v>2243</v>
      </c>
      <c r="W447" s="106"/>
      <c r="X447" s="106"/>
      <c r="Y447" s="102" t="s">
        <v>401</v>
      </c>
      <c r="Z447" s="102" t="s">
        <v>2047</v>
      </c>
      <c r="AA447" s="105">
        <v>2.0</v>
      </c>
      <c r="AB447" s="106"/>
      <c r="AC447" s="10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c r="BC447" s="38"/>
    </row>
    <row r="448">
      <c r="A448" s="100" t="s">
        <v>2244</v>
      </c>
      <c r="B448" s="109">
        <v>45779.22908913194</v>
      </c>
      <c r="C448" s="110" t="s">
        <v>2245</v>
      </c>
      <c r="D448" s="120" t="s">
        <v>1707</v>
      </c>
      <c r="E448" s="110" t="s">
        <v>2246</v>
      </c>
      <c r="F448" s="104" t="s">
        <v>2244</v>
      </c>
      <c r="G448" s="112">
        <v>350.0</v>
      </c>
      <c r="H448" s="112">
        <v>9.0</v>
      </c>
      <c r="I448" s="112">
        <v>9.0</v>
      </c>
      <c r="J448" s="110" t="s">
        <v>2247</v>
      </c>
      <c r="K448" s="112">
        <v>1992.0</v>
      </c>
      <c r="L448" s="110" t="s">
        <v>197</v>
      </c>
      <c r="M448" s="110" t="s">
        <v>2248</v>
      </c>
      <c r="N448" s="112">
        <v>8.0</v>
      </c>
      <c r="O448" s="110" t="s">
        <v>197</v>
      </c>
      <c r="P448" s="115"/>
      <c r="Q448" s="115"/>
      <c r="R448" s="115"/>
      <c r="S448" s="115"/>
      <c r="T448" s="114" t="s">
        <v>2249</v>
      </c>
      <c r="U448" s="114" t="s">
        <v>2250</v>
      </c>
      <c r="V448" s="114" t="s">
        <v>2251</v>
      </c>
      <c r="W448" s="110" t="s">
        <v>1005</v>
      </c>
      <c r="X448" s="115"/>
      <c r="Y448" s="115"/>
      <c r="Z448" s="110" t="s">
        <v>1713</v>
      </c>
      <c r="AA448" s="111">
        <v>3.0</v>
      </c>
      <c r="AB448" s="115"/>
      <c r="AC448" s="116"/>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c r="BC448" s="38"/>
    </row>
    <row r="449">
      <c r="A449" s="100" t="s">
        <v>1885</v>
      </c>
      <c r="B449" s="101">
        <v>45779.22925296296</v>
      </c>
      <c r="C449" s="110" t="s">
        <v>1886</v>
      </c>
      <c r="D449" s="120" t="s">
        <v>1887</v>
      </c>
      <c r="E449" s="110" t="s">
        <v>1888</v>
      </c>
      <c r="F449" s="104" t="s">
        <v>1885</v>
      </c>
      <c r="G449" s="112">
        <v>200.0</v>
      </c>
      <c r="H449" s="105">
        <v>7.0</v>
      </c>
      <c r="I449" s="105">
        <v>7.0</v>
      </c>
      <c r="J449" s="105">
        <v>2.0</v>
      </c>
      <c r="K449" s="105">
        <v>1970.0</v>
      </c>
      <c r="L449" s="102" t="s">
        <v>401</v>
      </c>
      <c r="M449" s="102" t="s">
        <v>197</v>
      </c>
      <c r="N449" s="105">
        <v>8.0</v>
      </c>
      <c r="O449" s="102" t="s">
        <v>197</v>
      </c>
      <c r="P449" s="106"/>
      <c r="Q449" s="106"/>
      <c r="R449" s="106"/>
      <c r="S449" s="106"/>
      <c r="T449" s="106"/>
      <c r="U449" s="106"/>
      <c r="V449" s="107" t="s">
        <v>2252</v>
      </c>
      <c r="W449" s="106"/>
      <c r="X449" s="106"/>
      <c r="Y449" s="106"/>
      <c r="Z449" s="102" t="s">
        <v>1890</v>
      </c>
      <c r="AA449" s="105">
        <v>3.0</v>
      </c>
      <c r="AB449" s="106"/>
      <c r="AC449" s="10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c r="BC449" s="38"/>
    </row>
    <row r="450">
      <c r="A450" s="126" t="s">
        <v>1954</v>
      </c>
      <c r="B450" s="109">
        <v>45779.24657552083</v>
      </c>
      <c r="C450" s="110" t="s">
        <v>2253</v>
      </c>
      <c r="D450" s="120" t="s">
        <v>1956</v>
      </c>
      <c r="E450" s="110" t="s">
        <v>2254</v>
      </c>
      <c r="F450" s="124" t="s">
        <v>1954</v>
      </c>
      <c r="G450" s="112">
        <v>550.0</v>
      </c>
      <c r="H450" s="112">
        <v>9.0</v>
      </c>
      <c r="I450" s="112">
        <v>8.0</v>
      </c>
      <c r="J450" s="112">
        <v>1.0</v>
      </c>
      <c r="K450" s="112">
        <v>1933.0</v>
      </c>
      <c r="L450" s="110" t="s">
        <v>401</v>
      </c>
      <c r="M450" s="110" t="s">
        <v>197</v>
      </c>
      <c r="N450" s="112">
        <v>9.0</v>
      </c>
      <c r="O450" s="110" t="s">
        <v>197</v>
      </c>
      <c r="P450" s="115"/>
      <c r="Q450" s="115"/>
      <c r="R450" s="115"/>
      <c r="S450" s="115"/>
      <c r="T450" s="114" t="s">
        <v>2255</v>
      </c>
      <c r="U450" s="110" t="s">
        <v>2256</v>
      </c>
      <c r="V450" s="114" t="s">
        <v>2257</v>
      </c>
      <c r="W450" s="115"/>
      <c r="X450" s="115"/>
      <c r="Y450" s="115"/>
      <c r="Z450" s="110" t="s">
        <v>2258</v>
      </c>
      <c r="AA450" s="112">
        <v>3.0</v>
      </c>
      <c r="AB450" s="115"/>
      <c r="AC450" s="116"/>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c r="BC450" s="38"/>
    </row>
    <row r="451">
      <c r="A451" s="100" t="s">
        <v>1762</v>
      </c>
      <c r="B451" s="101">
        <v>45779.24981277778</v>
      </c>
      <c r="C451" s="110" t="s">
        <v>1763</v>
      </c>
      <c r="D451" s="120" t="s">
        <v>1764</v>
      </c>
      <c r="E451" s="110" t="s">
        <v>2259</v>
      </c>
      <c r="F451" s="104" t="s">
        <v>1762</v>
      </c>
      <c r="G451" s="111">
        <v>220.0</v>
      </c>
      <c r="H451" s="105">
        <v>8.0</v>
      </c>
      <c r="I451" s="105">
        <v>8.0</v>
      </c>
      <c r="J451" s="105">
        <v>0.0</v>
      </c>
      <c r="K451" s="105">
        <v>1982.0</v>
      </c>
      <c r="L451" s="102" t="s">
        <v>197</v>
      </c>
      <c r="M451" s="102" t="s">
        <v>2260</v>
      </c>
      <c r="N451" s="105">
        <v>8.0</v>
      </c>
      <c r="O451" s="102" t="s">
        <v>401</v>
      </c>
      <c r="P451" s="121">
        <v>0.0</v>
      </c>
      <c r="Q451" s="105">
        <v>0.0</v>
      </c>
      <c r="R451" s="105">
        <v>0.0</v>
      </c>
      <c r="S451" s="105">
        <v>0.0</v>
      </c>
      <c r="T451" s="107" t="s">
        <v>2261</v>
      </c>
      <c r="U451" s="107" t="s">
        <v>2262</v>
      </c>
      <c r="V451" s="107" t="s">
        <v>2263</v>
      </c>
      <c r="W451" s="102" t="s">
        <v>2264</v>
      </c>
      <c r="X451" s="106"/>
      <c r="Y451" s="102" t="s">
        <v>401</v>
      </c>
      <c r="Z451" s="102" t="s">
        <v>1770</v>
      </c>
      <c r="AA451" s="105">
        <v>4.0</v>
      </c>
      <c r="AB451" s="106"/>
      <c r="AC451" s="10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c r="BC451" s="38"/>
    </row>
    <row r="452">
      <c r="A452" s="100" t="s">
        <v>2265</v>
      </c>
      <c r="B452" s="109">
        <v>45779.25214833333</v>
      </c>
      <c r="C452" s="112" t="s">
        <v>2266</v>
      </c>
      <c r="D452" s="120" t="s">
        <v>1079</v>
      </c>
      <c r="E452" s="112" t="s">
        <v>2267</v>
      </c>
      <c r="F452" s="104" t="s">
        <v>2265</v>
      </c>
      <c r="G452" s="111">
        <v>210.0</v>
      </c>
      <c r="H452" s="112">
        <v>9.0</v>
      </c>
      <c r="I452" s="112">
        <v>9.0</v>
      </c>
      <c r="J452" s="112">
        <v>1.0</v>
      </c>
      <c r="K452" s="112" t="s">
        <v>2268</v>
      </c>
      <c r="L452" s="110" t="s">
        <v>401</v>
      </c>
      <c r="M452" s="112" t="s">
        <v>2269</v>
      </c>
      <c r="N452" s="112">
        <v>8.0</v>
      </c>
      <c r="O452" s="110" t="s">
        <v>197</v>
      </c>
      <c r="P452" s="115"/>
      <c r="Q452" s="115"/>
      <c r="R452" s="115"/>
      <c r="S452" s="115"/>
      <c r="T452" s="114" t="s">
        <v>2270</v>
      </c>
      <c r="U452" s="114" t="s">
        <v>2271</v>
      </c>
      <c r="V452" s="114" t="s">
        <v>2272</v>
      </c>
      <c r="W452" s="115"/>
      <c r="X452" s="115"/>
      <c r="Y452" s="115"/>
      <c r="Z452" s="110" t="s">
        <v>1081</v>
      </c>
      <c r="AA452" s="112">
        <v>3.0</v>
      </c>
      <c r="AB452" s="115"/>
      <c r="AC452" s="116"/>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c r="BC452" s="38"/>
    </row>
    <row r="453">
      <c r="A453" s="100" t="s">
        <v>2273</v>
      </c>
      <c r="B453" s="101">
        <v>45779.261106666665</v>
      </c>
      <c r="C453" s="110" t="s">
        <v>2274</v>
      </c>
      <c r="D453" s="120" t="s">
        <v>2275</v>
      </c>
      <c r="E453" s="112" t="s">
        <v>2276</v>
      </c>
      <c r="F453" s="104" t="s">
        <v>2273</v>
      </c>
      <c r="G453" s="111">
        <v>480.0</v>
      </c>
      <c r="H453" s="105">
        <v>10.0</v>
      </c>
      <c r="I453" s="105">
        <v>9.0</v>
      </c>
      <c r="J453" s="105">
        <v>0.0</v>
      </c>
      <c r="K453" s="105">
        <v>1892.0</v>
      </c>
      <c r="L453" s="102" t="s">
        <v>197</v>
      </c>
      <c r="M453" s="105" t="s">
        <v>2277</v>
      </c>
      <c r="N453" s="105">
        <v>10.0</v>
      </c>
      <c r="O453" s="102" t="s">
        <v>401</v>
      </c>
      <c r="P453" s="121">
        <v>1.0</v>
      </c>
      <c r="Q453" s="105">
        <v>10.0</v>
      </c>
      <c r="R453" s="105">
        <v>3.0</v>
      </c>
      <c r="S453" s="105">
        <v>9.0</v>
      </c>
      <c r="T453" s="107" t="s">
        <v>2278</v>
      </c>
      <c r="U453" s="107" t="s">
        <v>2279</v>
      </c>
      <c r="V453" s="107" t="s">
        <v>2280</v>
      </c>
      <c r="W453" s="106"/>
      <c r="X453" s="106"/>
      <c r="Y453" s="102" t="s">
        <v>401</v>
      </c>
      <c r="Z453" s="102" t="s">
        <v>2281</v>
      </c>
      <c r="AA453" s="105">
        <v>2.0</v>
      </c>
      <c r="AB453" s="106"/>
      <c r="AC453" s="10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c r="BC453" s="38"/>
    </row>
    <row r="454">
      <c r="A454" s="100" t="s">
        <v>1423</v>
      </c>
      <c r="B454" s="109">
        <v>45779.26158491898</v>
      </c>
      <c r="C454" s="110" t="s">
        <v>1963</v>
      </c>
      <c r="D454" s="120" t="s">
        <v>1425</v>
      </c>
      <c r="E454" s="110" t="s">
        <v>1964</v>
      </c>
      <c r="F454" s="104" t="s">
        <v>1423</v>
      </c>
      <c r="G454" s="112">
        <v>210.0</v>
      </c>
      <c r="H454" s="112">
        <v>5.0</v>
      </c>
      <c r="I454" s="112">
        <v>7.0</v>
      </c>
      <c r="J454" s="112">
        <v>2.0</v>
      </c>
      <c r="K454" s="112" t="s">
        <v>2282</v>
      </c>
      <c r="L454" s="110" t="s">
        <v>401</v>
      </c>
      <c r="M454" s="110" t="s">
        <v>197</v>
      </c>
      <c r="N454" s="112">
        <v>8.0</v>
      </c>
      <c r="O454" s="110" t="s">
        <v>197</v>
      </c>
      <c r="P454" s="115"/>
      <c r="Q454" s="115"/>
      <c r="R454" s="115"/>
      <c r="S454" s="115"/>
      <c r="T454" s="114" t="s">
        <v>2283</v>
      </c>
      <c r="U454" s="114" t="s">
        <v>2284</v>
      </c>
      <c r="V454" s="114" t="s">
        <v>2285</v>
      </c>
      <c r="W454" s="115"/>
      <c r="X454" s="115"/>
      <c r="Y454" s="115"/>
      <c r="Z454" s="110" t="s">
        <v>1431</v>
      </c>
      <c r="AA454" s="112">
        <v>3.0</v>
      </c>
      <c r="AB454" s="115"/>
      <c r="AC454" s="116"/>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c r="BC454" s="38"/>
    </row>
    <row r="455">
      <c r="A455" s="100" t="s">
        <v>1697</v>
      </c>
      <c r="B455" s="101">
        <v>45779.271431851856</v>
      </c>
      <c r="C455" s="110" t="s">
        <v>1698</v>
      </c>
      <c r="D455" s="120" t="s">
        <v>1699</v>
      </c>
      <c r="E455" s="110" t="s">
        <v>2286</v>
      </c>
      <c r="F455" s="104" t="s">
        <v>1697</v>
      </c>
      <c r="G455" s="112">
        <v>2150.0</v>
      </c>
      <c r="H455" s="105">
        <v>8.0</v>
      </c>
      <c r="I455" s="105">
        <v>8.0</v>
      </c>
      <c r="J455" s="105">
        <v>0.0</v>
      </c>
      <c r="K455" s="105">
        <v>1940.0</v>
      </c>
      <c r="L455" s="102" t="s">
        <v>197</v>
      </c>
      <c r="M455" s="102" t="s">
        <v>197</v>
      </c>
      <c r="N455" s="105">
        <v>10.0</v>
      </c>
      <c r="O455" s="102" t="s">
        <v>401</v>
      </c>
      <c r="P455" s="121">
        <v>0.8</v>
      </c>
      <c r="Q455" s="105">
        <v>8.0</v>
      </c>
      <c r="R455" s="105">
        <v>3.0</v>
      </c>
      <c r="S455" s="105">
        <v>8.0</v>
      </c>
      <c r="T455" s="107" t="s">
        <v>2287</v>
      </c>
      <c r="U455" s="107" t="s">
        <v>2288</v>
      </c>
      <c r="V455" s="107" t="s">
        <v>2289</v>
      </c>
      <c r="W455" s="102" t="s">
        <v>453</v>
      </c>
      <c r="X455" s="106"/>
      <c r="Y455" s="102" t="s">
        <v>401</v>
      </c>
      <c r="Z455" s="102" t="s">
        <v>1704</v>
      </c>
      <c r="AA455" s="117">
        <v>3.0</v>
      </c>
      <c r="AB455" s="106"/>
      <c r="AC455" s="10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c r="BC455" s="38"/>
    </row>
    <row r="456">
      <c r="A456" s="100" t="s">
        <v>1742</v>
      </c>
      <c r="B456" s="109">
        <v>45779.28071040509</v>
      </c>
      <c r="C456" s="110" t="s">
        <v>2290</v>
      </c>
      <c r="D456" s="120" t="s">
        <v>1744</v>
      </c>
      <c r="E456" s="110" t="s">
        <v>2291</v>
      </c>
      <c r="F456" s="104" t="s">
        <v>1742</v>
      </c>
      <c r="G456" s="112">
        <v>350.0</v>
      </c>
      <c r="H456" s="112">
        <v>6.0</v>
      </c>
      <c r="I456" s="112">
        <v>4.0</v>
      </c>
      <c r="J456" s="112">
        <v>1.0</v>
      </c>
      <c r="K456" s="112">
        <v>1800.0</v>
      </c>
      <c r="L456" s="110" t="s">
        <v>401</v>
      </c>
      <c r="M456" s="110" t="s">
        <v>1746</v>
      </c>
      <c r="N456" s="112">
        <v>9.0</v>
      </c>
      <c r="O456" s="110" t="s">
        <v>197</v>
      </c>
      <c r="P456" s="115"/>
      <c r="Q456" s="115"/>
      <c r="R456" s="115"/>
      <c r="S456" s="115"/>
      <c r="T456" s="114" t="s">
        <v>2292</v>
      </c>
      <c r="U456" s="114" t="s">
        <v>2293</v>
      </c>
      <c r="V456" s="114" t="s">
        <v>2294</v>
      </c>
      <c r="W456" s="115"/>
      <c r="X456" s="115"/>
      <c r="Y456" s="115"/>
      <c r="Z456" s="110" t="s">
        <v>1750</v>
      </c>
      <c r="AA456" s="112">
        <v>2.0</v>
      </c>
      <c r="AB456" s="115"/>
      <c r="AC456" s="116"/>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row>
    <row r="457">
      <c r="A457" s="100" t="s">
        <v>1941</v>
      </c>
      <c r="B457" s="101">
        <v>45779.28083239583</v>
      </c>
      <c r="C457" s="110" t="s">
        <v>994</v>
      </c>
      <c r="D457" s="120" t="s">
        <v>1942</v>
      </c>
      <c r="E457" s="110" t="s">
        <v>2295</v>
      </c>
      <c r="F457" s="104" t="s">
        <v>1941</v>
      </c>
      <c r="G457" s="111">
        <v>177.0</v>
      </c>
      <c r="H457" s="105">
        <v>8.0</v>
      </c>
      <c r="I457" s="105">
        <v>8.0</v>
      </c>
      <c r="J457" s="105">
        <v>0.0</v>
      </c>
      <c r="K457" s="105">
        <v>1992.0</v>
      </c>
      <c r="L457" s="102" t="s">
        <v>197</v>
      </c>
      <c r="M457" s="102" t="s">
        <v>197</v>
      </c>
      <c r="N457" s="105">
        <v>9.0</v>
      </c>
      <c r="O457" s="102" t="s">
        <v>401</v>
      </c>
      <c r="P457" s="121">
        <v>0.9</v>
      </c>
      <c r="Q457" s="105">
        <v>9.0</v>
      </c>
      <c r="R457" s="105">
        <v>1.0</v>
      </c>
      <c r="S457" s="105">
        <v>9.0</v>
      </c>
      <c r="T457" s="107" t="s">
        <v>2296</v>
      </c>
      <c r="U457" s="107" t="s">
        <v>2297</v>
      </c>
      <c r="V457" s="107" t="s">
        <v>2298</v>
      </c>
      <c r="W457" s="106"/>
      <c r="X457" s="106"/>
      <c r="Y457" s="102" t="s">
        <v>401</v>
      </c>
      <c r="Z457" s="102" t="s">
        <v>2047</v>
      </c>
      <c r="AA457" s="105">
        <v>2.0</v>
      </c>
      <c r="AB457" s="106"/>
      <c r="AC457" s="10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c r="BC457" s="38"/>
    </row>
    <row r="458">
      <c r="A458" s="100" t="s">
        <v>1643</v>
      </c>
      <c r="B458" s="109">
        <v>45779.28148741898</v>
      </c>
      <c r="C458" s="110" t="s">
        <v>1644</v>
      </c>
      <c r="D458" s="120" t="s">
        <v>1448</v>
      </c>
      <c r="E458" s="110" t="s">
        <v>1645</v>
      </c>
      <c r="F458" s="104" t="s">
        <v>1643</v>
      </c>
      <c r="G458" s="112">
        <v>1100.0</v>
      </c>
      <c r="H458" s="112">
        <v>5.0</v>
      </c>
      <c r="I458" s="112">
        <v>5.0</v>
      </c>
      <c r="J458" s="112" t="s">
        <v>2299</v>
      </c>
      <c r="K458" s="112">
        <v>1925.0</v>
      </c>
      <c r="L458" s="110" t="s">
        <v>197</v>
      </c>
      <c r="M458" s="112" t="s">
        <v>1450</v>
      </c>
      <c r="N458" s="112">
        <v>10.0</v>
      </c>
      <c r="O458" s="110" t="s">
        <v>197</v>
      </c>
      <c r="P458" s="115"/>
      <c r="Q458" s="115"/>
      <c r="R458" s="115"/>
      <c r="S458" s="115"/>
      <c r="T458" s="110" t="s">
        <v>2300</v>
      </c>
      <c r="U458" s="114" t="s">
        <v>2301</v>
      </c>
      <c r="V458" s="114" t="s">
        <v>2302</v>
      </c>
      <c r="W458" s="115"/>
      <c r="X458" s="115"/>
      <c r="Y458" s="115"/>
      <c r="Z458" s="110" t="s">
        <v>1454</v>
      </c>
      <c r="AA458" s="112">
        <v>3.0</v>
      </c>
      <c r="AB458" s="115"/>
      <c r="AC458" s="116"/>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row>
    <row r="459">
      <c r="A459" s="100" t="s">
        <v>1468</v>
      </c>
      <c r="B459" s="101">
        <v>45779.28443545139</v>
      </c>
      <c r="C459" s="110" t="s">
        <v>2016</v>
      </c>
      <c r="D459" s="120" t="s">
        <v>2017</v>
      </c>
      <c r="E459" s="110" t="s">
        <v>2303</v>
      </c>
      <c r="F459" s="104" t="s">
        <v>1468</v>
      </c>
      <c r="G459" s="111">
        <v>220.0</v>
      </c>
      <c r="H459" s="105">
        <v>8.0</v>
      </c>
      <c r="I459" s="105">
        <v>8.0</v>
      </c>
      <c r="J459" s="105">
        <v>1.0</v>
      </c>
      <c r="K459" s="105">
        <v>1951.0</v>
      </c>
      <c r="L459" s="102" t="s">
        <v>197</v>
      </c>
      <c r="M459" s="102" t="s">
        <v>2304</v>
      </c>
      <c r="N459" s="105">
        <v>10.0</v>
      </c>
      <c r="O459" s="102" t="s">
        <v>197</v>
      </c>
      <c r="P459" s="106"/>
      <c r="Q459" s="106"/>
      <c r="R459" s="106"/>
      <c r="S459" s="106"/>
      <c r="T459" s="107" t="s">
        <v>2305</v>
      </c>
      <c r="U459" s="107" t="s">
        <v>2306</v>
      </c>
      <c r="V459" s="107" t="s">
        <v>2307</v>
      </c>
      <c r="W459" s="106"/>
      <c r="X459" s="106"/>
      <c r="Y459" s="106"/>
      <c r="Z459" s="102" t="s">
        <v>2023</v>
      </c>
      <c r="AA459" s="105">
        <v>3.0</v>
      </c>
      <c r="AB459" s="106"/>
      <c r="AC459" s="10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c r="BC459" s="38"/>
    </row>
    <row r="460">
      <c r="A460" s="100" t="s">
        <v>1438</v>
      </c>
      <c r="B460" s="109">
        <v>45779.29907390046</v>
      </c>
      <c r="C460" s="110" t="s">
        <v>1439</v>
      </c>
      <c r="D460" s="120" t="s">
        <v>1440</v>
      </c>
      <c r="E460" s="110" t="s">
        <v>1801</v>
      </c>
      <c r="F460" s="104" t="s">
        <v>1438</v>
      </c>
      <c r="G460" s="112">
        <v>430.0</v>
      </c>
      <c r="H460" s="112">
        <v>8.0</v>
      </c>
      <c r="I460" s="112">
        <v>8.0</v>
      </c>
      <c r="J460" s="112">
        <v>0.0</v>
      </c>
      <c r="K460" s="112">
        <v>1976.0</v>
      </c>
      <c r="L460" s="110" t="s">
        <v>197</v>
      </c>
      <c r="M460" s="110" t="s">
        <v>197</v>
      </c>
      <c r="N460" s="112">
        <v>6.0</v>
      </c>
      <c r="O460" s="110" t="s">
        <v>197</v>
      </c>
      <c r="P460" s="115"/>
      <c r="Q460" s="115"/>
      <c r="R460" s="115"/>
      <c r="S460" s="115"/>
      <c r="T460" s="114" t="s">
        <v>2308</v>
      </c>
      <c r="U460" s="114" t="s">
        <v>2309</v>
      </c>
      <c r="V460" s="114" t="s">
        <v>2310</v>
      </c>
      <c r="W460" s="115"/>
      <c r="X460" s="115"/>
      <c r="Y460" s="115"/>
      <c r="Z460" s="110" t="s">
        <v>1445</v>
      </c>
      <c r="AA460" s="112">
        <v>3.0</v>
      </c>
      <c r="AB460" s="115"/>
      <c r="AC460" s="116"/>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c r="BC460" s="38"/>
    </row>
    <row r="461">
      <c r="A461" s="123" t="s">
        <v>2311</v>
      </c>
      <c r="B461" s="101">
        <v>45779.29992023148</v>
      </c>
      <c r="C461" s="110" t="s">
        <v>1315</v>
      </c>
      <c r="D461" s="120" t="s">
        <v>1308</v>
      </c>
      <c r="E461" s="110" t="s">
        <v>2312</v>
      </c>
      <c r="F461" s="124" t="s">
        <v>2311</v>
      </c>
      <c r="G461" s="112">
        <v>680.0</v>
      </c>
      <c r="H461" s="105">
        <v>9.0</v>
      </c>
      <c r="I461" s="105">
        <v>9.0</v>
      </c>
      <c r="J461" s="105">
        <v>0.0</v>
      </c>
      <c r="K461" s="103" t="s">
        <v>388</v>
      </c>
      <c r="L461" s="102" t="s">
        <v>197</v>
      </c>
      <c r="M461" s="102" t="s">
        <v>1551</v>
      </c>
      <c r="N461" s="105">
        <v>8.0</v>
      </c>
      <c r="O461" s="102" t="s">
        <v>197</v>
      </c>
      <c r="P461" s="106"/>
      <c r="Q461" s="106"/>
      <c r="R461" s="106"/>
      <c r="S461" s="106"/>
      <c r="T461" s="107" t="s">
        <v>2313</v>
      </c>
      <c r="U461" s="107" t="s">
        <v>2314</v>
      </c>
      <c r="V461" s="107" t="s">
        <v>2315</v>
      </c>
      <c r="W461" s="106"/>
      <c r="X461" s="106"/>
      <c r="Y461" s="106"/>
      <c r="Z461" s="102" t="s">
        <v>1565</v>
      </c>
      <c r="AA461" s="105">
        <v>4.0</v>
      </c>
      <c r="AB461" s="106"/>
      <c r="AC461" s="10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c r="BC461" s="38"/>
    </row>
    <row r="462">
      <c r="A462" s="100" t="s">
        <v>1505</v>
      </c>
      <c r="B462" s="109">
        <v>45779.32253949074</v>
      </c>
      <c r="C462" s="110" t="s">
        <v>1506</v>
      </c>
      <c r="D462" s="120" t="s">
        <v>1507</v>
      </c>
      <c r="E462" s="110" t="s">
        <v>2316</v>
      </c>
      <c r="F462" s="104" t="s">
        <v>1505</v>
      </c>
      <c r="G462" s="112">
        <v>180.0</v>
      </c>
      <c r="H462" s="112">
        <v>10.0</v>
      </c>
      <c r="I462" s="112">
        <v>9.0</v>
      </c>
      <c r="J462" s="112">
        <v>0.0</v>
      </c>
      <c r="K462" s="112">
        <v>1948.0</v>
      </c>
      <c r="L462" s="110" t="s">
        <v>197</v>
      </c>
      <c r="M462" s="110" t="s">
        <v>197</v>
      </c>
      <c r="N462" s="112">
        <v>8.0</v>
      </c>
      <c r="O462" s="110" t="s">
        <v>197</v>
      </c>
      <c r="P462" s="115"/>
      <c r="Q462" s="115"/>
      <c r="R462" s="115"/>
      <c r="S462" s="115"/>
      <c r="T462" s="114" t="s">
        <v>2317</v>
      </c>
      <c r="U462" s="114" t="s">
        <v>2318</v>
      </c>
      <c r="V462" s="114" t="s">
        <v>2319</v>
      </c>
      <c r="W462" s="115"/>
      <c r="X462" s="115"/>
      <c r="Y462" s="115"/>
      <c r="Z462" s="110" t="s">
        <v>1512</v>
      </c>
      <c r="AA462" s="112">
        <v>3.0</v>
      </c>
      <c r="AB462" s="115"/>
      <c r="AC462" s="116"/>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c r="BC462" s="38"/>
    </row>
    <row r="463">
      <c r="A463" s="100" t="s">
        <v>1969</v>
      </c>
      <c r="B463" s="101">
        <v>45779.32632199074</v>
      </c>
      <c r="C463" s="110" t="s">
        <v>1970</v>
      </c>
      <c r="D463" s="120" t="s">
        <v>1971</v>
      </c>
      <c r="E463" s="110" t="s">
        <v>2320</v>
      </c>
      <c r="F463" s="104" t="s">
        <v>1969</v>
      </c>
      <c r="G463" s="112">
        <v>82.0</v>
      </c>
      <c r="H463" s="105">
        <v>9.0</v>
      </c>
      <c r="I463" s="105">
        <v>9.0</v>
      </c>
      <c r="J463" s="105">
        <v>2.0</v>
      </c>
      <c r="K463" s="105">
        <v>2000.0</v>
      </c>
      <c r="L463" s="102" t="s">
        <v>197</v>
      </c>
      <c r="M463" s="102" t="s">
        <v>1973</v>
      </c>
      <c r="N463" s="105">
        <v>8.0</v>
      </c>
      <c r="O463" s="102" t="s">
        <v>401</v>
      </c>
      <c r="P463" s="121">
        <v>0.9</v>
      </c>
      <c r="Q463" s="105">
        <v>9.0</v>
      </c>
      <c r="R463" s="105">
        <v>1.0</v>
      </c>
      <c r="S463" s="105">
        <v>9.0</v>
      </c>
      <c r="T463" s="107" t="s">
        <v>2321</v>
      </c>
      <c r="U463" s="107" t="s">
        <v>2322</v>
      </c>
      <c r="V463" s="102" t="s">
        <v>2323</v>
      </c>
      <c r="W463" s="102" t="s">
        <v>197</v>
      </c>
      <c r="X463" s="106"/>
      <c r="Y463" s="102" t="s">
        <v>401</v>
      </c>
      <c r="Z463" s="102" t="s">
        <v>1977</v>
      </c>
      <c r="AA463" s="105">
        <v>2.0</v>
      </c>
      <c r="AB463" s="106"/>
      <c r="AC463" s="10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c r="BC463" s="38"/>
    </row>
    <row r="464">
      <c r="A464" s="100" t="s">
        <v>2324</v>
      </c>
      <c r="B464" s="109">
        <v>45779.32723940972</v>
      </c>
      <c r="C464" s="110" t="s">
        <v>2325</v>
      </c>
      <c r="D464" s="120" t="s">
        <v>2326</v>
      </c>
      <c r="E464" s="110" t="s">
        <v>2327</v>
      </c>
      <c r="F464" s="104" t="s">
        <v>2324</v>
      </c>
      <c r="G464" s="111">
        <v>210.0</v>
      </c>
      <c r="H464" s="112">
        <v>7.0</v>
      </c>
      <c r="I464" s="112">
        <v>5.0</v>
      </c>
      <c r="J464" s="112">
        <v>2.0</v>
      </c>
      <c r="K464" s="112">
        <v>1992.0</v>
      </c>
      <c r="L464" s="110" t="s">
        <v>197</v>
      </c>
      <c r="M464" s="110" t="s">
        <v>197</v>
      </c>
      <c r="N464" s="112">
        <v>7.0</v>
      </c>
      <c r="O464" s="110" t="s">
        <v>401</v>
      </c>
      <c r="P464" s="113">
        <v>0.7</v>
      </c>
      <c r="Q464" s="112">
        <v>7.0</v>
      </c>
      <c r="R464" s="112">
        <v>3.0</v>
      </c>
      <c r="S464" s="112">
        <v>7.0</v>
      </c>
      <c r="T464" s="114" t="s">
        <v>2328</v>
      </c>
      <c r="U464" s="114" t="s">
        <v>2329</v>
      </c>
      <c r="V464" s="114" t="s">
        <v>2330</v>
      </c>
      <c r="W464" s="110" t="s">
        <v>197</v>
      </c>
      <c r="X464" s="115"/>
      <c r="Y464" s="110" t="s">
        <v>401</v>
      </c>
      <c r="Z464" s="110" t="s">
        <v>2331</v>
      </c>
      <c r="AA464" s="112">
        <v>2.0</v>
      </c>
      <c r="AB464" s="115"/>
      <c r="AC464" s="116"/>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c r="BC464" s="38"/>
    </row>
    <row r="465">
      <c r="A465" s="100" t="s">
        <v>1491</v>
      </c>
      <c r="B465" s="101">
        <v>45779.3315983912</v>
      </c>
      <c r="C465" s="110" t="s">
        <v>1492</v>
      </c>
      <c r="D465" s="120" t="s">
        <v>1493</v>
      </c>
      <c r="E465" s="110" t="s">
        <v>2332</v>
      </c>
      <c r="F465" s="104" t="s">
        <v>1491</v>
      </c>
      <c r="G465" s="111">
        <v>340.0</v>
      </c>
      <c r="H465" s="105">
        <v>10.0</v>
      </c>
      <c r="I465" s="105">
        <v>10.0</v>
      </c>
      <c r="J465" s="105">
        <v>0.0</v>
      </c>
      <c r="K465" s="105">
        <v>1956.0</v>
      </c>
      <c r="L465" s="102" t="s">
        <v>197</v>
      </c>
      <c r="M465" s="102" t="s">
        <v>197</v>
      </c>
      <c r="N465" s="105">
        <v>10.0</v>
      </c>
      <c r="O465" s="102" t="s">
        <v>197</v>
      </c>
      <c r="P465" s="106"/>
      <c r="Q465" s="106"/>
      <c r="R465" s="106"/>
      <c r="S465" s="106"/>
      <c r="T465" s="107" t="s">
        <v>2333</v>
      </c>
      <c r="U465" s="107" t="s">
        <v>2334</v>
      </c>
      <c r="V465" s="107" t="s">
        <v>2335</v>
      </c>
      <c r="W465" s="102" t="s">
        <v>197</v>
      </c>
      <c r="X465" s="106"/>
      <c r="Y465" s="106"/>
      <c r="Z465" s="102" t="s">
        <v>1498</v>
      </c>
      <c r="AA465" s="105">
        <v>3.0</v>
      </c>
      <c r="AB465" s="106"/>
      <c r="AC465" s="10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c r="BC465" s="38"/>
    </row>
    <row r="466">
      <c r="A466" s="100" t="s">
        <v>2092</v>
      </c>
      <c r="B466" s="109">
        <v>45779.332748877314</v>
      </c>
      <c r="C466" s="110" t="s">
        <v>2093</v>
      </c>
      <c r="D466" s="120" t="s">
        <v>2094</v>
      </c>
      <c r="E466" s="110" t="s">
        <v>2336</v>
      </c>
      <c r="F466" s="104" t="s">
        <v>2092</v>
      </c>
      <c r="G466" s="112">
        <v>905.0</v>
      </c>
      <c r="H466" s="112">
        <v>8.0</v>
      </c>
      <c r="I466" s="112">
        <v>8.0</v>
      </c>
      <c r="J466" s="112">
        <v>0.0</v>
      </c>
      <c r="K466" s="112">
        <v>1965.0</v>
      </c>
      <c r="L466" s="110" t="s">
        <v>197</v>
      </c>
      <c r="M466" s="110" t="s">
        <v>197</v>
      </c>
      <c r="N466" s="112">
        <v>9.0</v>
      </c>
      <c r="O466" s="110" t="s">
        <v>197</v>
      </c>
      <c r="P466" s="115"/>
      <c r="Q466" s="115"/>
      <c r="R466" s="115"/>
      <c r="S466" s="115"/>
      <c r="T466" s="114" t="s">
        <v>2337</v>
      </c>
      <c r="U466" s="114" t="s">
        <v>2338</v>
      </c>
      <c r="V466" s="114" t="s">
        <v>2339</v>
      </c>
      <c r="W466" s="115"/>
      <c r="X466" s="115"/>
      <c r="Y466" s="115"/>
      <c r="Z466" s="110" t="s">
        <v>2340</v>
      </c>
      <c r="AA466" s="112">
        <v>2.0</v>
      </c>
      <c r="AB466" s="115"/>
      <c r="AC466" s="116"/>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c r="BC466" s="38"/>
    </row>
    <row r="467">
      <c r="A467" s="100" t="s">
        <v>1139</v>
      </c>
      <c r="B467" s="101">
        <v>45779.33282082176</v>
      </c>
      <c r="C467" s="110" t="s">
        <v>1140</v>
      </c>
      <c r="D467" s="120" t="s">
        <v>1141</v>
      </c>
      <c r="E467" s="110" t="s">
        <v>1142</v>
      </c>
      <c r="F467" s="104" t="s">
        <v>1139</v>
      </c>
      <c r="G467" s="111">
        <v>2210.0</v>
      </c>
      <c r="H467" s="105">
        <v>7.0</v>
      </c>
      <c r="I467" s="105">
        <v>7.0</v>
      </c>
      <c r="J467" s="105">
        <v>2.0</v>
      </c>
      <c r="K467" s="105">
        <v>1925.0</v>
      </c>
      <c r="L467" s="102" t="s">
        <v>197</v>
      </c>
      <c r="M467" s="102" t="s">
        <v>197</v>
      </c>
      <c r="N467" s="105">
        <v>8.0</v>
      </c>
      <c r="O467" s="102" t="s">
        <v>197</v>
      </c>
      <c r="P467" s="106"/>
      <c r="Q467" s="106"/>
      <c r="R467" s="106"/>
      <c r="S467" s="106"/>
      <c r="T467" s="107" t="s">
        <v>2341</v>
      </c>
      <c r="U467" s="107" t="s">
        <v>2342</v>
      </c>
      <c r="V467" s="107" t="s">
        <v>2343</v>
      </c>
      <c r="W467" s="102" t="s">
        <v>197</v>
      </c>
      <c r="X467" s="106"/>
      <c r="Y467" s="106"/>
      <c r="Z467" s="102" t="s">
        <v>1146</v>
      </c>
      <c r="AA467" s="105">
        <v>4.0</v>
      </c>
      <c r="AB467" s="106"/>
      <c r="AC467" s="10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c r="BC467" s="38"/>
    </row>
    <row r="468">
      <c r="A468" s="100" t="s">
        <v>1877</v>
      </c>
      <c r="B468" s="109">
        <v>45779.33411520833</v>
      </c>
      <c r="C468" s="110" t="s">
        <v>2344</v>
      </c>
      <c r="D468" s="120" t="s">
        <v>1879</v>
      </c>
      <c r="E468" s="110" t="s">
        <v>2345</v>
      </c>
      <c r="F468" s="104" t="s">
        <v>1877</v>
      </c>
      <c r="G468" s="112">
        <v>900.0</v>
      </c>
      <c r="H468" s="112">
        <v>7.0</v>
      </c>
      <c r="I468" s="112">
        <v>5.0</v>
      </c>
      <c r="J468" s="112">
        <v>4.0</v>
      </c>
      <c r="K468" s="112">
        <v>1323.0</v>
      </c>
      <c r="L468" s="110" t="s">
        <v>197</v>
      </c>
      <c r="M468" s="110" t="s">
        <v>197</v>
      </c>
      <c r="N468" s="112">
        <v>8.0</v>
      </c>
      <c r="O468" s="110" t="s">
        <v>401</v>
      </c>
      <c r="P468" s="113">
        <v>0.0</v>
      </c>
      <c r="Q468" s="112">
        <v>0.0</v>
      </c>
      <c r="R468" s="112">
        <v>10.0</v>
      </c>
      <c r="S468" s="112">
        <v>0.0</v>
      </c>
      <c r="T468" s="114" t="s">
        <v>2346</v>
      </c>
      <c r="U468" s="114" t="s">
        <v>2347</v>
      </c>
      <c r="V468" s="114" t="s">
        <v>2348</v>
      </c>
      <c r="W468" s="110" t="s">
        <v>197</v>
      </c>
      <c r="X468" s="115"/>
      <c r="Y468" s="110" t="s">
        <v>401</v>
      </c>
      <c r="Z468" s="110" t="s">
        <v>1884</v>
      </c>
      <c r="AA468" s="112">
        <v>2.0</v>
      </c>
      <c r="AB468" s="115"/>
      <c r="AC468" s="116"/>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row>
    <row r="469">
      <c r="A469" s="100" t="s">
        <v>1839</v>
      </c>
      <c r="B469" s="101">
        <v>45779.33552315972</v>
      </c>
      <c r="C469" s="110" t="s">
        <v>2349</v>
      </c>
      <c r="D469" s="120" t="s">
        <v>1840</v>
      </c>
      <c r="E469" s="110" t="s">
        <v>2350</v>
      </c>
      <c r="F469" s="104" t="s">
        <v>1839</v>
      </c>
      <c r="G469" s="111">
        <v>307.0</v>
      </c>
      <c r="H469" s="105">
        <v>7.0</v>
      </c>
      <c r="I469" s="105">
        <v>7.0</v>
      </c>
      <c r="J469" s="102" t="s">
        <v>197</v>
      </c>
      <c r="K469" s="105">
        <v>1874.0</v>
      </c>
      <c r="L469" s="102" t="s">
        <v>197</v>
      </c>
      <c r="M469" s="102" t="s">
        <v>197</v>
      </c>
      <c r="N469" s="105">
        <v>6.0</v>
      </c>
      <c r="O469" s="102" t="s">
        <v>401</v>
      </c>
      <c r="P469" s="121">
        <v>0.7</v>
      </c>
      <c r="Q469" s="105">
        <v>7.0</v>
      </c>
      <c r="R469" s="105">
        <v>2.0</v>
      </c>
      <c r="S469" s="105">
        <v>7.0</v>
      </c>
      <c r="T469" s="107" t="s">
        <v>2351</v>
      </c>
      <c r="U469" s="107" t="s">
        <v>2352</v>
      </c>
      <c r="V469" s="107" t="s">
        <v>2353</v>
      </c>
      <c r="W469" s="102" t="s">
        <v>197</v>
      </c>
      <c r="X469" s="106"/>
      <c r="Y469" s="102" t="s">
        <v>401</v>
      </c>
      <c r="Z469" s="102" t="s">
        <v>1846</v>
      </c>
      <c r="AA469" s="105">
        <v>2.0</v>
      </c>
      <c r="AB469" s="106"/>
      <c r="AC469" s="10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c r="BC469" s="38"/>
    </row>
    <row r="470">
      <c r="A470" s="100" t="s">
        <v>1851</v>
      </c>
      <c r="B470" s="109">
        <v>45779.33599503472</v>
      </c>
      <c r="C470" s="110" t="s">
        <v>2354</v>
      </c>
      <c r="D470" s="120" t="s">
        <v>2355</v>
      </c>
      <c r="E470" s="110" t="s">
        <v>2356</v>
      </c>
      <c r="F470" s="104" t="s">
        <v>1851</v>
      </c>
      <c r="G470" s="111">
        <v>450.0</v>
      </c>
      <c r="H470" s="112">
        <v>1.0</v>
      </c>
      <c r="I470" s="112">
        <v>3.0</v>
      </c>
      <c r="J470" s="110" t="s">
        <v>197</v>
      </c>
      <c r="K470" s="112">
        <v>1863.0</v>
      </c>
      <c r="L470" s="110" t="s">
        <v>197</v>
      </c>
      <c r="M470" s="110" t="s">
        <v>197</v>
      </c>
      <c r="N470" s="112">
        <v>5.0</v>
      </c>
      <c r="O470" s="110" t="s">
        <v>401</v>
      </c>
      <c r="P470" s="113">
        <v>0.7</v>
      </c>
      <c r="Q470" s="112">
        <v>7.0</v>
      </c>
      <c r="R470" s="112">
        <v>2.0</v>
      </c>
      <c r="S470" s="112">
        <v>7.0</v>
      </c>
      <c r="T470" s="114" t="s">
        <v>2357</v>
      </c>
      <c r="U470" s="114" t="s">
        <v>2358</v>
      </c>
      <c r="V470" s="114" t="s">
        <v>2359</v>
      </c>
      <c r="W470" s="110" t="s">
        <v>197</v>
      </c>
      <c r="X470" s="115"/>
      <c r="Y470" s="110" t="s">
        <v>401</v>
      </c>
      <c r="Z470" s="110" t="s">
        <v>2360</v>
      </c>
      <c r="AA470" s="112">
        <v>2.0</v>
      </c>
      <c r="AB470" s="115"/>
      <c r="AC470" s="116"/>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c r="BC470" s="38"/>
    </row>
    <row r="471">
      <c r="A471" s="100" t="s">
        <v>1172</v>
      </c>
      <c r="B471" s="101">
        <v>45779.34895221065</v>
      </c>
      <c r="C471" s="110" t="s">
        <v>671</v>
      </c>
      <c r="D471" s="120" t="s">
        <v>672</v>
      </c>
      <c r="E471" s="110" t="s">
        <v>1542</v>
      </c>
      <c r="F471" s="104" t="s">
        <v>1172</v>
      </c>
      <c r="G471" s="111">
        <v>610.0</v>
      </c>
      <c r="H471" s="105">
        <v>9.0</v>
      </c>
      <c r="I471" s="105">
        <v>8.0</v>
      </c>
      <c r="J471" s="105">
        <v>1.0</v>
      </c>
      <c r="K471" s="105">
        <v>1955.0</v>
      </c>
      <c r="L471" s="102" t="s">
        <v>401</v>
      </c>
      <c r="M471" s="102" t="s">
        <v>197</v>
      </c>
      <c r="N471" s="105">
        <v>9.0</v>
      </c>
      <c r="O471" s="102" t="s">
        <v>401</v>
      </c>
      <c r="P471" s="121">
        <v>0.0</v>
      </c>
      <c r="Q471" s="105">
        <v>0.0</v>
      </c>
      <c r="R471" s="105">
        <v>0.0</v>
      </c>
      <c r="S471" s="105">
        <v>2.0</v>
      </c>
      <c r="T471" s="107" t="s">
        <v>2361</v>
      </c>
      <c r="U471" s="107" t="s">
        <v>2362</v>
      </c>
      <c r="V471" s="107" t="s">
        <v>2363</v>
      </c>
      <c r="W471" s="102" t="s">
        <v>2364</v>
      </c>
      <c r="X471" s="106"/>
      <c r="Y471" s="102" t="s">
        <v>197</v>
      </c>
      <c r="Z471" s="102" t="s">
        <v>676</v>
      </c>
      <c r="AA471" s="105">
        <v>4.0</v>
      </c>
      <c r="AB471" s="106"/>
      <c r="AC471" s="10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c r="BC471" s="38"/>
    </row>
    <row r="472">
      <c r="A472" s="100" t="s">
        <v>2365</v>
      </c>
      <c r="B472" s="109">
        <v>45779.35392983796</v>
      </c>
      <c r="C472" s="110" t="s">
        <v>1221</v>
      </c>
      <c r="D472" s="120" t="s">
        <v>1222</v>
      </c>
      <c r="E472" s="110" t="s">
        <v>2366</v>
      </c>
      <c r="F472" s="104" t="s">
        <v>2365</v>
      </c>
      <c r="G472" s="112">
        <v>245.0</v>
      </c>
      <c r="H472" s="112">
        <v>8.0</v>
      </c>
      <c r="I472" s="112">
        <v>9.0</v>
      </c>
      <c r="J472" s="112">
        <v>0.0</v>
      </c>
      <c r="K472" s="112">
        <v>1965.0</v>
      </c>
      <c r="L472" s="110" t="s">
        <v>197</v>
      </c>
      <c r="M472" s="110" t="s">
        <v>1228</v>
      </c>
      <c r="N472" s="112">
        <v>8.0</v>
      </c>
      <c r="O472" s="110" t="s">
        <v>401</v>
      </c>
      <c r="P472" s="113">
        <v>0.1</v>
      </c>
      <c r="Q472" s="112">
        <v>1.0</v>
      </c>
      <c r="R472" s="112">
        <v>9.0</v>
      </c>
      <c r="S472" s="112">
        <v>0.0</v>
      </c>
      <c r="T472" s="110" t="s">
        <v>2367</v>
      </c>
      <c r="U472" s="110" t="s">
        <v>2368</v>
      </c>
      <c r="V472" s="114" t="s">
        <v>2369</v>
      </c>
      <c r="W472" s="115"/>
      <c r="X472" s="115"/>
      <c r="Y472" s="110" t="s">
        <v>401</v>
      </c>
      <c r="Z472" s="110" t="s">
        <v>1229</v>
      </c>
      <c r="AA472" s="112">
        <v>3.0</v>
      </c>
      <c r="AB472" s="115"/>
      <c r="AC472" s="116"/>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c r="BC472" s="38"/>
    </row>
    <row r="473">
      <c r="A473" s="100" t="s">
        <v>2370</v>
      </c>
      <c r="B473" s="109">
        <v>45779.356410740744</v>
      </c>
      <c r="C473" s="110" t="s">
        <v>2371</v>
      </c>
      <c r="D473" s="120" t="s">
        <v>1079</v>
      </c>
      <c r="E473" s="110" t="s">
        <v>2372</v>
      </c>
      <c r="F473" s="104" t="s">
        <v>2370</v>
      </c>
      <c r="G473" s="112">
        <v>150.0</v>
      </c>
      <c r="H473" s="112">
        <v>8.0</v>
      </c>
      <c r="I473" s="112">
        <v>8.0</v>
      </c>
      <c r="J473" s="112">
        <v>3.0</v>
      </c>
      <c r="K473" s="112">
        <v>1651.0</v>
      </c>
      <c r="L473" s="110" t="s">
        <v>197</v>
      </c>
      <c r="M473" s="112" t="s">
        <v>2373</v>
      </c>
      <c r="N473" s="112">
        <v>7.0</v>
      </c>
      <c r="O473" s="110" t="s">
        <v>401</v>
      </c>
      <c r="P473" s="113">
        <v>0.9</v>
      </c>
      <c r="Q473" s="112">
        <v>9.0</v>
      </c>
      <c r="R473" s="112">
        <v>1.0</v>
      </c>
      <c r="S473" s="112">
        <v>8.0</v>
      </c>
      <c r="T473" s="114" t="s">
        <v>2374</v>
      </c>
      <c r="U473" s="114" t="s">
        <v>2375</v>
      </c>
      <c r="V473" s="128" t="s">
        <v>2376</v>
      </c>
      <c r="W473" s="115"/>
      <c r="X473" s="115"/>
      <c r="Y473" s="110" t="s">
        <v>401</v>
      </c>
      <c r="Z473" s="110" t="s">
        <v>1081</v>
      </c>
      <c r="AA473" s="112">
        <v>2.0</v>
      </c>
      <c r="AB473" s="115"/>
      <c r="AC473" s="116"/>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c r="BC473" s="38"/>
    </row>
    <row r="474">
      <c r="A474" s="100" t="s">
        <v>1983</v>
      </c>
      <c r="B474" s="101">
        <v>45779.35813866898</v>
      </c>
      <c r="C474" s="110" t="s">
        <v>2377</v>
      </c>
      <c r="D474" s="120" t="s">
        <v>1985</v>
      </c>
      <c r="E474" s="110" t="s">
        <v>2378</v>
      </c>
      <c r="F474" s="104" t="s">
        <v>1983</v>
      </c>
      <c r="G474" s="112">
        <v>250.0</v>
      </c>
      <c r="H474" s="105">
        <v>5.0</v>
      </c>
      <c r="I474" s="105">
        <v>4.0</v>
      </c>
      <c r="J474" s="102" t="s">
        <v>197</v>
      </c>
      <c r="K474" s="105">
        <v>1925.0</v>
      </c>
      <c r="L474" s="102" t="s">
        <v>197</v>
      </c>
      <c r="M474" s="102" t="s">
        <v>197</v>
      </c>
      <c r="N474" s="105">
        <v>7.0</v>
      </c>
      <c r="O474" s="102" t="s">
        <v>401</v>
      </c>
      <c r="P474" s="121">
        <v>1.0</v>
      </c>
      <c r="Q474" s="105">
        <v>7.0</v>
      </c>
      <c r="R474" s="105">
        <v>2.0</v>
      </c>
      <c r="S474" s="105">
        <v>7.0</v>
      </c>
      <c r="T474" s="107" t="s">
        <v>2379</v>
      </c>
      <c r="U474" s="107" t="s">
        <v>2380</v>
      </c>
      <c r="V474" s="107" t="s">
        <v>2381</v>
      </c>
      <c r="W474" s="102" t="s">
        <v>197</v>
      </c>
      <c r="X474" s="106"/>
      <c r="Y474" s="102" t="s">
        <v>401</v>
      </c>
      <c r="Z474" s="102" t="s">
        <v>1990</v>
      </c>
      <c r="AA474" s="105">
        <v>2.0</v>
      </c>
      <c r="AB474" s="106"/>
      <c r="AC474" s="10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c r="BC474" s="38"/>
    </row>
    <row r="475">
      <c r="A475" s="100" t="s">
        <v>1996</v>
      </c>
      <c r="B475" s="109">
        <v>45779.35910446759</v>
      </c>
      <c r="C475" s="110" t="s">
        <v>2382</v>
      </c>
      <c r="D475" s="120" t="s">
        <v>1998</v>
      </c>
      <c r="E475" s="110" t="s">
        <v>2383</v>
      </c>
      <c r="F475" s="104" t="s">
        <v>1996</v>
      </c>
      <c r="G475" s="111">
        <v>220.0</v>
      </c>
      <c r="H475" s="112">
        <v>9.0</v>
      </c>
      <c r="I475" s="112">
        <v>8.0</v>
      </c>
      <c r="J475" s="112">
        <v>1.0</v>
      </c>
      <c r="K475" s="112">
        <v>1985.0</v>
      </c>
      <c r="L475" s="110" t="s">
        <v>197</v>
      </c>
      <c r="M475" s="110" t="s">
        <v>197</v>
      </c>
      <c r="N475" s="112">
        <v>8.0</v>
      </c>
      <c r="O475" s="110" t="s">
        <v>401</v>
      </c>
      <c r="P475" s="113">
        <v>0.9</v>
      </c>
      <c r="Q475" s="112">
        <v>9.0</v>
      </c>
      <c r="R475" s="112">
        <v>1.0</v>
      </c>
      <c r="S475" s="112">
        <v>9.0</v>
      </c>
      <c r="T475" s="114" t="s">
        <v>2384</v>
      </c>
      <c r="U475" s="114" t="s">
        <v>2385</v>
      </c>
      <c r="V475" s="114" t="s">
        <v>2386</v>
      </c>
      <c r="W475" s="110" t="s">
        <v>197</v>
      </c>
      <c r="X475" s="115"/>
      <c r="Y475" s="110" t="s">
        <v>401</v>
      </c>
      <c r="Z475" s="110" t="s">
        <v>2004</v>
      </c>
      <c r="AA475" s="112">
        <v>2.0</v>
      </c>
      <c r="AB475" s="115"/>
      <c r="AC475" s="116"/>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c r="BC475" s="38"/>
    </row>
    <row r="476">
      <c r="A476" s="100" t="s">
        <v>2387</v>
      </c>
      <c r="B476" s="101">
        <v>45779.36627431713</v>
      </c>
      <c r="C476" s="110" t="s">
        <v>2388</v>
      </c>
      <c r="D476" s="120" t="s">
        <v>1773</v>
      </c>
      <c r="E476" s="112" t="s">
        <v>1774</v>
      </c>
      <c r="F476" s="104" t="s">
        <v>2387</v>
      </c>
      <c r="G476" s="112">
        <v>244.0</v>
      </c>
      <c r="H476" s="105">
        <v>7.0</v>
      </c>
      <c r="I476" s="105">
        <v>8.0</v>
      </c>
      <c r="J476" s="105">
        <v>0.0</v>
      </c>
      <c r="K476" s="105" t="s">
        <v>2389</v>
      </c>
      <c r="L476" s="102" t="s">
        <v>197</v>
      </c>
      <c r="M476" s="102" t="s">
        <v>197</v>
      </c>
      <c r="N476" s="105">
        <v>8.0</v>
      </c>
      <c r="O476" s="102" t="s">
        <v>197</v>
      </c>
      <c r="P476" s="106"/>
      <c r="Q476" s="106"/>
      <c r="R476" s="106"/>
      <c r="S476" s="106"/>
      <c r="T476" s="107" t="s">
        <v>2390</v>
      </c>
      <c r="U476" s="107" t="s">
        <v>2391</v>
      </c>
      <c r="V476" s="107" t="s">
        <v>2392</v>
      </c>
      <c r="W476" s="105" t="s">
        <v>2393</v>
      </c>
      <c r="X476" s="106"/>
      <c r="Y476" s="106"/>
      <c r="Z476" s="102" t="s">
        <v>1778</v>
      </c>
      <c r="AA476" s="105">
        <v>2.0</v>
      </c>
      <c r="AB476" s="106"/>
      <c r="AC476" s="10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c r="BC476" s="38"/>
    </row>
    <row r="477">
      <c r="A477" s="100" t="s">
        <v>2061</v>
      </c>
      <c r="B477" s="109">
        <v>45779.37093578704</v>
      </c>
      <c r="C477" s="110" t="s">
        <v>2062</v>
      </c>
      <c r="D477" s="120" t="s">
        <v>2063</v>
      </c>
      <c r="E477" s="110" t="s">
        <v>2394</v>
      </c>
      <c r="F477" s="104" t="s">
        <v>2061</v>
      </c>
      <c r="G477" s="112">
        <v>300.0</v>
      </c>
      <c r="H477" s="112">
        <v>7.0</v>
      </c>
      <c r="I477" s="112">
        <v>5.0</v>
      </c>
      <c r="J477" s="112">
        <v>1.0</v>
      </c>
      <c r="K477" s="112">
        <v>1982.0</v>
      </c>
      <c r="L477" s="110" t="s">
        <v>197</v>
      </c>
      <c r="M477" s="110" t="s">
        <v>2395</v>
      </c>
      <c r="N477" s="112">
        <v>7.0</v>
      </c>
      <c r="O477" s="110" t="s">
        <v>401</v>
      </c>
      <c r="P477" s="113">
        <v>0.7</v>
      </c>
      <c r="Q477" s="112">
        <v>7.0</v>
      </c>
      <c r="R477" s="112">
        <v>4.0</v>
      </c>
      <c r="S477" s="112">
        <v>7.0</v>
      </c>
      <c r="T477" s="114" t="s">
        <v>2396</v>
      </c>
      <c r="U477" s="114" t="s">
        <v>2397</v>
      </c>
      <c r="V477" s="114" t="s">
        <v>2398</v>
      </c>
      <c r="W477" s="110" t="s">
        <v>197</v>
      </c>
      <c r="X477" s="115"/>
      <c r="Y477" s="110" t="s">
        <v>401</v>
      </c>
      <c r="Z477" s="110" t="s">
        <v>2399</v>
      </c>
      <c r="AA477" s="111">
        <v>3.0</v>
      </c>
      <c r="AB477" s="115"/>
      <c r="AC477" s="116"/>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c r="BC477" s="38"/>
    </row>
    <row r="478">
      <c r="A478" s="100" t="s">
        <v>2055</v>
      </c>
      <c r="B478" s="101">
        <v>45779.37104854167</v>
      </c>
      <c r="C478" s="112" t="s">
        <v>2400</v>
      </c>
      <c r="D478" s="120" t="s">
        <v>1213</v>
      </c>
      <c r="E478" s="112" t="s">
        <v>2401</v>
      </c>
      <c r="F478" s="104" t="s">
        <v>2055</v>
      </c>
      <c r="G478" s="111">
        <v>320.0</v>
      </c>
      <c r="H478" s="105">
        <v>0.0</v>
      </c>
      <c r="I478" s="105">
        <v>0.0</v>
      </c>
      <c r="J478" s="105" t="s">
        <v>2402</v>
      </c>
      <c r="K478" s="105" t="s">
        <v>2403</v>
      </c>
      <c r="L478" s="102" t="s">
        <v>197</v>
      </c>
      <c r="M478" s="105" t="s">
        <v>2404</v>
      </c>
      <c r="N478" s="105">
        <v>9.0</v>
      </c>
      <c r="O478" s="102" t="s">
        <v>197</v>
      </c>
      <c r="P478" s="106"/>
      <c r="Q478" s="106"/>
      <c r="R478" s="106"/>
      <c r="S478" s="106"/>
      <c r="T478" s="102" t="s">
        <v>2405</v>
      </c>
      <c r="U478" s="102" t="s">
        <v>2406</v>
      </c>
      <c r="V478" s="107" t="s">
        <v>2407</v>
      </c>
      <c r="W478" s="106"/>
      <c r="X478" s="106"/>
      <c r="Y478" s="106"/>
      <c r="Z478" s="102" t="s">
        <v>1219</v>
      </c>
      <c r="AA478" s="105">
        <v>4.0</v>
      </c>
      <c r="AB478" s="106"/>
      <c r="AC478" s="10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c r="BC478" s="38"/>
    </row>
    <row r="479">
      <c r="A479" s="100" t="s">
        <v>2408</v>
      </c>
      <c r="B479" s="109">
        <v>45779.38634141204</v>
      </c>
      <c r="C479" s="110" t="s">
        <v>1869</v>
      </c>
      <c r="D479" s="120" t="s">
        <v>1870</v>
      </c>
      <c r="E479" s="110" t="s">
        <v>2409</v>
      </c>
      <c r="F479" s="104" t="s">
        <v>2408</v>
      </c>
      <c r="G479" s="111">
        <v>790.0</v>
      </c>
      <c r="H479" s="112">
        <v>6.0</v>
      </c>
      <c r="I479" s="112">
        <v>6.0</v>
      </c>
      <c r="J479" s="112">
        <v>3.0</v>
      </c>
      <c r="K479" s="112">
        <v>1930.0</v>
      </c>
      <c r="L479" s="110" t="s">
        <v>197</v>
      </c>
      <c r="M479" s="110" t="s">
        <v>197</v>
      </c>
      <c r="N479" s="112">
        <v>6.0</v>
      </c>
      <c r="O479" s="110" t="s">
        <v>197</v>
      </c>
      <c r="P479" s="115"/>
      <c r="Q479" s="115"/>
      <c r="R479" s="115"/>
      <c r="S479" s="115"/>
      <c r="T479" s="114" t="s">
        <v>2410</v>
      </c>
      <c r="U479" s="114" t="s">
        <v>2411</v>
      </c>
      <c r="V479" s="114" t="s">
        <v>2412</v>
      </c>
      <c r="W479" s="110" t="s">
        <v>197</v>
      </c>
      <c r="X479" s="115"/>
      <c r="Y479" s="115"/>
      <c r="Z479" s="110" t="s">
        <v>1876</v>
      </c>
      <c r="AA479" s="112">
        <v>2.0</v>
      </c>
      <c r="AB479" s="115"/>
      <c r="AC479" s="116"/>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c r="BC479" s="38"/>
    </row>
    <row r="480">
      <c r="A480" s="100" t="s">
        <v>1320</v>
      </c>
      <c r="B480" s="101">
        <v>45779.40060474537</v>
      </c>
      <c r="C480" s="110" t="s">
        <v>1321</v>
      </c>
      <c r="D480" s="120" t="s">
        <v>1322</v>
      </c>
      <c r="E480" s="110" t="s">
        <v>2413</v>
      </c>
      <c r="F480" s="104" t="s">
        <v>1320</v>
      </c>
      <c r="G480" s="112">
        <v>735.0</v>
      </c>
      <c r="H480" s="105">
        <v>8.0</v>
      </c>
      <c r="I480" s="105">
        <v>8.0</v>
      </c>
      <c r="J480" s="105">
        <v>1.0</v>
      </c>
      <c r="K480" s="103" t="s">
        <v>388</v>
      </c>
      <c r="L480" s="102" t="s">
        <v>197</v>
      </c>
      <c r="M480" s="102" t="s">
        <v>401</v>
      </c>
      <c r="N480" s="105">
        <v>9.0</v>
      </c>
      <c r="O480" s="102" t="s">
        <v>401</v>
      </c>
      <c r="P480" s="121">
        <v>1.0</v>
      </c>
      <c r="Q480" s="105">
        <v>10.0</v>
      </c>
      <c r="R480" s="105">
        <v>4.0</v>
      </c>
      <c r="S480" s="105">
        <v>10.0</v>
      </c>
      <c r="T480" s="107" t="s">
        <v>2414</v>
      </c>
      <c r="U480" s="107" t="s">
        <v>2415</v>
      </c>
      <c r="V480" s="107" t="s">
        <v>2416</v>
      </c>
      <c r="W480" s="106"/>
      <c r="X480" s="106"/>
      <c r="Y480" s="102" t="s">
        <v>401</v>
      </c>
      <c r="Z480" s="102" t="s">
        <v>1327</v>
      </c>
      <c r="AA480" s="105">
        <v>4.0</v>
      </c>
      <c r="AB480" s="106"/>
      <c r="AC480" s="10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c r="BC480" s="38"/>
    </row>
    <row r="481">
      <c r="A481" s="100" t="s">
        <v>2195</v>
      </c>
      <c r="B481" s="109">
        <v>45779.401893229166</v>
      </c>
      <c r="C481" s="110" t="s">
        <v>2417</v>
      </c>
      <c r="D481" s="120" t="s">
        <v>2197</v>
      </c>
      <c r="E481" s="110" t="s">
        <v>2418</v>
      </c>
      <c r="F481" s="104" t="s">
        <v>2195</v>
      </c>
      <c r="G481" s="111">
        <v>270.0</v>
      </c>
      <c r="H481" s="112">
        <v>10.0</v>
      </c>
      <c r="I481" s="112">
        <v>7.0</v>
      </c>
      <c r="J481" s="112">
        <v>0.0</v>
      </c>
      <c r="K481" s="110" t="s">
        <v>197</v>
      </c>
      <c r="L481" s="110" t="s">
        <v>197</v>
      </c>
      <c r="M481" s="110" t="s">
        <v>197</v>
      </c>
      <c r="N481" s="112">
        <v>7.0</v>
      </c>
      <c r="O481" s="110" t="s">
        <v>401</v>
      </c>
      <c r="P481" s="113">
        <v>1.0</v>
      </c>
      <c r="Q481" s="112">
        <v>9.0</v>
      </c>
      <c r="R481" s="112">
        <v>1.0</v>
      </c>
      <c r="S481" s="112">
        <v>8.0</v>
      </c>
      <c r="T481" s="114" t="s">
        <v>2419</v>
      </c>
      <c r="U481" s="114" t="s">
        <v>2420</v>
      </c>
      <c r="V481" s="114" t="s">
        <v>2421</v>
      </c>
      <c r="W481" s="110" t="s">
        <v>197</v>
      </c>
      <c r="X481" s="115"/>
      <c r="Y481" s="110" t="s">
        <v>401</v>
      </c>
      <c r="Z481" s="110" t="s">
        <v>2202</v>
      </c>
      <c r="AA481" s="112">
        <v>2.0</v>
      </c>
      <c r="AB481" s="115"/>
      <c r="AC481" s="116"/>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c r="BC481" s="38"/>
    </row>
    <row r="482">
      <c r="A482" s="100" t="s">
        <v>2422</v>
      </c>
      <c r="B482" s="101">
        <v>45779.40331479166</v>
      </c>
      <c r="C482" s="110" t="s">
        <v>2423</v>
      </c>
      <c r="D482" s="120" t="s">
        <v>2072</v>
      </c>
      <c r="E482" s="110" t="s">
        <v>2424</v>
      </c>
      <c r="F482" s="104" t="s">
        <v>2422</v>
      </c>
      <c r="G482" s="112">
        <v>150.0</v>
      </c>
      <c r="H482" s="105">
        <v>5.0</v>
      </c>
      <c r="I482" s="105">
        <v>5.0</v>
      </c>
      <c r="J482" s="102" t="s">
        <v>197</v>
      </c>
      <c r="K482" s="105">
        <v>1940.0</v>
      </c>
      <c r="L482" s="102" t="s">
        <v>197</v>
      </c>
      <c r="M482" s="102" t="s">
        <v>197</v>
      </c>
      <c r="N482" s="105">
        <v>7.0</v>
      </c>
      <c r="O482" s="102" t="s">
        <v>401</v>
      </c>
      <c r="P482" s="121">
        <v>0.7</v>
      </c>
      <c r="Q482" s="105">
        <v>7.0</v>
      </c>
      <c r="R482" s="105">
        <v>1.0</v>
      </c>
      <c r="S482" s="105">
        <v>9.0</v>
      </c>
      <c r="T482" s="107" t="s">
        <v>2425</v>
      </c>
      <c r="U482" s="107" t="s">
        <v>2426</v>
      </c>
      <c r="V482" s="107" t="s">
        <v>2427</v>
      </c>
      <c r="W482" s="102" t="s">
        <v>197</v>
      </c>
      <c r="X482" s="106"/>
      <c r="Y482" s="102" t="s">
        <v>401</v>
      </c>
      <c r="Z482" s="102" t="s">
        <v>2077</v>
      </c>
      <c r="AA482" s="105">
        <v>2.0</v>
      </c>
      <c r="AB482" s="106"/>
      <c r="AC482" s="10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c r="BC482" s="38"/>
    </row>
    <row r="483">
      <c r="A483" s="100" t="s">
        <v>2428</v>
      </c>
      <c r="B483" s="109">
        <v>45779.408369571756</v>
      </c>
      <c r="C483" s="110" t="s">
        <v>296</v>
      </c>
      <c r="D483" s="110" t="s">
        <v>1299</v>
      </c>
      <c r="E483" s="110" t="s">
        <v>2429</v>
      </c>
      <c r="F483" s="104" t="s">
        <v>2428</v>
      </c>
      <c r="G483" s="111">
        <v>170.0</v>
      </c>
      <c r="H483" s="112">
        <v>6.0</v>
      </c>
      <c r="I483" s="112">
        <v>6.0</v>
      </c>
      <c r="J483" s="112">
        <v>0.0</v>
      </c>
      <c r="K483" s="112">
        <v>1960.0</v>
      </c>
      <c r="L483" s="110" t="s">
        <v>197</v>
      </c>
      <c r="M483" s="110" t="s">
        <v>1304</v>
      </c>
      <c r="N483" s="112">
        <v>8.0</v>
      </c>
      <c r="O483" s="110" t="s">
        <v>197</v>
      </c>
      <c r="P483" s="115"/>
      <c r="Q483" s="115"/>
      <c r="R483" s="115"/>
      <c r="S483" s="115"/>
      <c r="T483" s="114" t="s">
        <v>2430</v>
      </c>
      <c r="U483" s="114" t="s">
        <v>2431</v>
      </c>
      <c r="V483" s="114" t="s">
        <v>2432</v>
      </c>
      <c r="W483" s="110" t="s">
        <v>1304</v>
      </c>
      <c r="X483" s="115"/>
      <c r="Y483" s="115"/>
      <c r="Z483" s="110" t="s">
        <v>1305</v>
      </c>
      <c r="AA483" s="112">
        <v>4.0</v>
      </c>
      <c r="AB483" s="115"/>
      <c r="AC483" s="116"/>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c r="BC483" s="38"/>
    </row>
    <row r="484">
      <c r="A484" s="100" t="s">
        <v>2203</v>
      </c>
      <c r="B484" s="101">
        <v>45779.42160540509</v>
      </c>
      <c r="C484" s="110" t="s">
        <v>2433</v>
      </c>
      <c r="D484" s="120" t="s">
        <v>1079</v>
      </c>
      <c r="E484" s="110" t="s">
        <v>2434</v>
      </c>
      <c r="F484" s="104" t="s">
        <v>2203</v>
      </c>
      <c r="G484" s="112">
        <v>350.0</v>
      </c>
      <c r="H484" s="105">
        <v>9.0</v>
      </c>
      <c r="I484" s="105">
        <v>8.0</v>
      </c>
      <c r="J484" s="105">
        <v>2.0</v>
      </c>
      <c r="K484" s="105">
        <v>1993.0</v>
      </c>
      <c r="L484" s="102" t="s">
        <v>197</v>
      </c>
      <c r="M484" s="105" t="s">
        <v>2435</v>
      </c>
      <c r="N484" s="105">
        <v>8.0</v>
      </c>
      <c r="O484" s="102" t="s">
        <v>401</v>
      </c>
      <c r="P484" s="121">
        <v>0.9</v>
      </c>
      <c r="Q484" s="105">
        <v>9.0</v>
      </c>
      <c r="R484" s="105">
        <v>1.0</v>
      </c>
      <c r="S484" s="105">
        <v>9.0</v>
      </c>
      <c r="T484" s="106"/>
      <c r="U484" s="106"/>
      <c r="V484" s="102" t="s">
        <v>2436</v>
      </c>
      <c r="W484" s="106"/>
      <c r="X484" s="106"/>
      <c r="Y484" s="102" t="s">
        <v>401</v>
      </c>
      <c r="Z484" s="102" t="s">
        <v>2174</v>
      </c>
      <c r="AA484" s="105">
        <v>2.0</v>
      </c>
      <c r="AB484" s="106"/>
      <c r="AC484" s="10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c r="BC484" s="38"/>
    </row>
    <row r="485">
      <c r="A485" s="100" t="s">
        <v>2039</v>
      </c>
      <c r="B485" s="109">
        <v>45779.45795921296</v>
      </c>
      <c r="C485" s="110" t="s">
        <v>2437</v>
      </c>
      <c r="D485" s="120" t="s">
        <v>2041</v>
      </c>
      <c r="E485" s="110" t="s">
        <v>2438</v>
      </c>
      <c r="F485" s="104" t="s">
        <v>2039</v>
      </c>
      <c r="G485" s="111">
        <v>177.0</v>
      </c>
      <c r="H485" s="112">
        <v>9.0</v>
      </c>
      <c r="I485" s="112">
        <v>9.0</v>
      </c>
      <c r="J485" s="112">
        <v>0.0</v>
      </c>
      <c r="K485" s="112">
        <v>1983.0</v>
      </c>
      <c r="L485" s="110" t="s">
        <v>197</v>
      </c>
      <c r="M485" s="110" t="s">
        <v>1005</v>
      </c>
      <c r="N485" s="112">
        <v>6.0</v>
      </c>
      <c r="O485" s="110" t="s">
        <v>197</v>
      </c>
      <c r="P485" s="115"/>
      <c r="Q485" s="115"/>
      <c r="R485" s="115"/>
      <c r="S485" s="115"/>
      <c r="T485" s="114" t="s">
        <v>2439</v>
      </c>
      <c r="U485" s="114" t="s">
        <v>2440</v>
      </c>
      <c r="V485" s="114" t="s">
        <v>2441</v>
      </c>
      <c r="W485" s="115"/>
      <c r="X485" s="115"/>
      <c r="Y485" s="115"/>
      <c r="Z485" s="110" t="s">
        <v>1947</v>
      </c>
      <c r="AA485" s="112">
        <v>3.0</v>
      </c>
      <c r="AB485" s="115"/>
      <c r="AC485" s="116"/>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c r="BC485" s="38"/>
    </row>
    <row r="486">
      <c r="A486" s="100" t="s">
        <v>1978</v>
      </c>
      <c r="B486" s="101">
        <v>45779.459646006944</v>
      </c>
      <c r="C486" s="110" t="s">
        <v>2442</v>
      </c>
      <c r="D486" s="120" t="s">
        <v>1806</v>
      </c>
      <c r="E486" s="110" t="s">
        <v>2443</v>
      </c>
      <c r="F486" s="104" t="s">
        <v>1978</v>
      </c>
      <c r="G486" s="112">
        <v>80.0</v>
      </c>
      <c r="H486" s="105">
        <v>9.0</v>
      </c>
      <c r="I486" s="105">
        <v>8.0</v>
      </c>
      <c r="J486" s="102" t="s">
        <v>197</v>
      </c>
      <c r="K486" s="102" t="s">
        <v>2444</v>
      </c>
      <c r="L486" s="102" t="s">
        <v>197</v>
      </c>
      <c r="M486" s="102" t="s">
        <v>197</v>
      </c>
      <c r="N486" s="105">
        <v>9.0</v>
      </c>
      <c r="O486" s="102" t="s">
        <v>401</v>
      </c>
      <c r="P486" s="121">
        <v>0.9</v>
      </c>
      <c r="Q486" s="105">
        <v>9.0</v>
      </c>
      <c r="R486" s="105">
        <v>2.0</v>
      </c>
      <c r="S486" s="105">
        <v>9.0</v>
      </c>
      <c r="T486" s="107" t="s">
        <v>2445</v>
      </c>
      <c r="U486" s="107" t="s">
        <v>2446</v>
      </c>
      <c r="V486" s="107" t="s">
        <v>2447</v>
      </c>
      <c r="W486" s="106"/>
      <c r="X486" s="106"/>
      <c r="Y486" s="102" t="s">
        <v>401</v>
      </c>
      <c r="Z486" s="102" t="s">
        <v>1808</v>
      </c>
      <c r="AA486" s="102" t="s">
        <v>4</v>
      </c>
      <c r="AB486" s="106"/>
      <c r="AC486" s="10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c r="BC486" s="38"/>
    </row>
    <row r="487">
      <c r="A487" s="83" t="s">
        <v>2448</v>
      </c>
      <c r="B487" s="109">
        <v>45779.46606414352</v>
      </c>
      <c r="C487" s="110" t="s">
        <v>2449</v>
      </c>
      <c r="D487" s="120" t="s">
        <v>1806</v>
      </c>
      <c r="E487" s="110" t="s">
        <v>2450</v>
      </c>
      <c r="F487" s="122" t="s">
        <v>2448</v>
      </c>
      <c r="G487" s="112">
        <v>75.0</v>
      </c>
      <c r="H487" s="112">
        <v>9.0</v>
      </c>
      <c r="I487" s="112">
        <v>9.0</v>
      </c>
      <c r="J487" s="110" t="s">
        <v>197</v>
      </c>
      <c r="K487" s="112">
        <v>1960.0</v>
      </c>
      <c r="L487" s="110" t="s">
        <v>197</v>
      </c>
      <c r="M487" s="110" t="s">
        <v>197</v>
      </c>
      <c r="N487" s="112">
        <v>9.0</v>
      </c>
      <c r="O487" s="110" t="s">
        <v>401</v>
      </c>
      <c r="P487" s="113">
        <v>0.8</v>
      </c>
      <c r="Q487" s="112">
        <v>8.0</v>
      </c>
      <c r="R487" s="112">
        <v>2.0</v>
      </c>
      <c r="S487" s="112">
        <v>9.0</v>
      </c>
      <c r="T487" s="114" t="s">
        <v>2451</v>
      </c>
      <c r="U487" s="114" t="s">
        <v>2452</v>
      </c>
      <c r="V487" s="114" t="s">
        <v>2453</v>
      </c>
      <c r="W487" s="110" t="s">
        <v>197</v>
      </c>
      <c r="X487" s="115"/>
      <c r="Y487" s="110" t="s">
        <v>401</v>
      </c>
      <c r="Z487" s="110" t="s">
        <v>1808</v>
      </c>
      <c r="AA487" s="112">
        <v>2.0</v>
      </c>
      <c r="AB487" s="115"/>
      <c r="AC487" s="116"/>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c r="BC487" s="38"/>
    </row>
    <row r="488">
      <c r="A488" s="100" t="s">
        <v>2454</v>
      </c>
      <c r="B488" s="101">
        <v>45779.48274346065</v>
      </c>
      <c r="C488" s="110" t="s">
        <v>2455</v>
      </c>
      <c r="D488" s="120" t="s">
        <v>2456</v>
      </c>
      <c r="E488" s="110" t="s">
        <v>2457</v>
      </c>
      <c r="F488" s="104" t="s">
        <v>2454</v>
      </c>
      <c r="G488" s="111">
        <v>990.0</v>
      </c>
      <c r="H488" s="105">
        <v>10.0</v>
      </c>
      <c r="I488" s="105">
        <v>8.0</v>
      </c>
      <c r="J488" s="105">
        <v>0.0</v>
      </c>
      <c r="K488" s="102" t="s">
        <v>197</v>
      </c>
      <c r="L488" s="102" t="s">
        <v>197</v>
      </c>
      <c r="M488" s="102" t="s">
        <v>2458</v>
      </c>
      <c r="N488" s="105">
        <v>8.0</v>
      </c>
      <c r="O488" s="102" t="s">
        <v>197</v>
      </c>
      <c r="P488" s="106"/>
      <c r="Q488" s="106"/>
      <c r="R488" s="106"/>
      <c r="S488" s="106"/>
      <c r="T488" s="107" t="s">
        <v>2459</v>
      </c>
      <c r="U488" s="107" t="s">
        <v>2460</v>
      </c>
      <c r="V488" s="107" t="s">
        <v>2461</v>
      </c>
      <c r="W488" s="102" t="s">
        <v>197</v>
      </c>
      <c r="X488" s="106"/>
      <c r="Y488" s="106"/>
      <c r="Z488" s="102" t="s">
        <v>2462</v>
      </c>
      <c r="AA488" s="117">
        <v>1.0</v>
      </c>
      <c r="AB488" s="106"/>
      <c r="AC488" s="10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c r="BC488" s="38"/>
    </row>
    <row r="489">
      <c r="A489" s="100" t="s">
        <v>2463</v>
      </c>
      <c r="B489" s="109">
        <v>45779.48297557871</v>
      </c>
      <c r="C489" s="110" t="s">
        <v>2464</v>
      </c>
      <c r="D489" s="120" t="s">
        <v>2465</v>
      </c>
      <c r="E489" s="110" t="s">
        <v>2466</v>
      </c>
      <c r="F489" s="104" t="s">
        <v>2463</v>
      </c>
      <c r="G489" s="112">
        <v>27.0</v>
      </c>
      <c r="H489" s="112">
        <v>5.0</v>
      </c>
      <c r="I489" s="112">
        <v>5.0</v>
      </c>
      <c r="J489" s="112">
        <v>3.0</v>
      </c>
      <c r="K489" s="110" t="s">
        <v>197</v>
      </c>
      <c r="L489" s="110" t="s">
        <v>197</v>
      </c>
      <c r="M489" s="110" t="s">
        <v>2467</v>
      </c>
      <c r="N489" s="112">
        <v>9.0</v>
      </c>
      <c r="O489" s="110" t="s">
        <v>401</v>
      </c>
      <c r="P489" s="113">
        <v>1.0</v>
      </c>
      <c r="Q489" s="112">
        <v>10.0</v>
      </c>
      <c r="R489" s="112">
        <v>2.0</v>
      </c>
      <c r="S489" s="112">
        <v>10.0</v>
      </c>
      <c r="T489" s="114" t="s">
        <v>2468</v>
      </c>
      <c r="U489" s="114" t="s">
        <v>2469</v>
      </c>
      <c r="V489" s="114" t="s">
        <v>2470</v>
      </c>
      <c r="W489" s="110" t="s">
        <v>197</v>
      </c>
      <c r="X489" s="115"/>
      <c r="Y489" s="110" t="s">
        <v>401</v>
      </c>
      <c r="Z489" s="110" t="s">
        <v>2219</v>
      </c>
      <c r="AA489" s="112">
        <v>2.0</v>
      </c>
      <c r="AB489" s="115"/>
      <c r="AC489" s="116"/>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c r="BC489" s="38"/>
    </row>
    <row r="490">
      <c r="A490" s="126" t="s">
        <v>2471</v>
      </c>
      <c r="B490" s="101">
        <v>45779.48841571759</v>
      </c>
      <c r="C490" s="110" t="s">
        <v>2213</v>
      </c>
      <c r="D490" s="120" t="s">
        <v>2472</v>
      </c>
      <c r="E490" s="110" t="s">
        <v>2215</v>
      </c>
      <c r="F490" s="124" t="s">
        <v>2471</v>
      </c>
      <c r="G490" s="111">
        <v>144.0</v>
      </c>
      <c r="H490" s="105">
        <v>9.0</v>
      </c>
      <c r="I490" s="105">
        <v>9.0</v>
      </c>
      <c r="J490" s="105">
        <v>0.0</v>
      </c>
      <c r="K490" s="102" t="s">
        <v>197</v>
      </c>
      <c r="L490" s="102" t="s">
        <v>197</v>
      </c>
      <c r="M490" s="102" t="s">
        <v>197</v>
      </c>
      <c r="N490" s="105">
        <v>10.0</v>
      </c>
      <c r="O490" s="102" t="s">
        <v>401</v>
      </c>
      <c r="P490" s="121">
        <v>1.0</v>
      </c>
      <c r="Q490" s="105">
        <v>3.0</v>
      </c>
      <c r="R490" s="105">
        <v>10.0</v>
      </c>
      <c r="S490" s="105">
        <v>10.0</v>
      </c>
      <c r="T490" s="107" t="s">
        <v>2473</v>
      </c>
      <c r="U490" s="107" t="s">
        <v>2474</v>
      </c>
      <c r="V490" s="107" t="s">
        <v>2475</v>
      </c>
      <c r="W490" s="102" t="s">
        <v>197</v>
      </c>
      <c r="X490" s="106"/>
      <c r="Y490" s="102" t="s">
        <v>401</v>
      </c>
      <c r="Z490" s="102" t="s">
        <v>2476</v>
      </c>
      <c r="AA490" s="105">
        <v>2.0</v>
      </c>
      <c r="AB490" s="106"/>
      <c r="AC490" s="10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c r="BC490" s="38"/>
    </row>
    <row r="491">
      <c r="A491" s="126" t="s">
        <v>2477</v>
      </c>
      <c r="B491" s="109">
        <v>45779.49305704861</v>
      </c>
      <c r="C491" s="110" t="s">
        <v>2464</v>
      </c>
      <c r="D491" s="120" t="s">
        <v>2214</v>
      </c>
      <c r="E491" s="110" t="s">
        <v>2478</v>
      </c>
      <c r="F491" s="124" t="s">
        <v>2477</v>
      </c>
      <c r="G491" s="111">
        <v>108.0</v>
      </c>
      <c r="H491" s="112">
        <v>9.0</v>
      </c>
      <c r="I491" s="112">
        <v>9.0</v>
      </c>
      <c r="J491" s="112">
        <v>0.0</v>
      </c>
      <c r="K491" s="110" t="s">
        <v>197</v>
      </c>
      <c r="L491" s="110" t="s">
        <v>197</v>
      </c>
      <c r="M491" s="110" t="s">
        <v>2479</v>
      </c>
      <c r="N491" s="112">
        <v>9.0</v>
      </c>
      <c r="O491" s="110" t="s">
        <v>401</v>
      </c>
      <c r="P491" s="113">
        <v>1.0</v>
      </c>
      <c r="Q491" s="112">
        <v>9.0</v>
      </c>
      <c r="R491" s="112">
        <v>10.0</v>
      </c>
      <c r="S491" s="112">
        <v>10.0</v>
      </c>
      <c r="T491" s="114" t="s">
        <v>2480</v>
      </c>
      <c r="U491" s="114" t="s">
        <v>2481</v>
      </c>
      <c r="V491" s="114" t="s">
        <v>2482</v>
      </c>
      <c r="W491" s="110" t="s">
        <v>197</v>
      </c>
      <c r="X491" s="115"/>
      <c r="Y491" s="110" t="s">
        <v>401</v>
      </c>
      <c r="Z491" s="110" t="s">
        <v>2476</v>
      </c>
      <c r="AA491" s="111">
        <v>3.0</v>
      </c>
      <c r="AB491" s="115"/>
      <c r="AC491" s="116"/>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c r="BC491" s="38"/>
    </row>
    <row r="492">
      <c r="A492" s="100" t="s">
        <v>1298</v>
      </c>
      <c r="B492" s="101">
        <v>45779.50741276621</v>
      </c>
      <c r="C492" s="110" t="s">
        <v>296</v>
      </c>
      <c r="D492" s="110" t="s">
        <v>1299</v>
      </c>
      <c r="E492" s="110" t="s">
        <v>2483</v>
      </c>
      <c r="F492" s="104" t="s">
        <v>1298</v>
      </c>
      <c r="G492" s="112">
        <v>250.0</v>
      </c>
      <c r="H492" s="105">
        <v>7.0</v>
      </c>
      <c r="I492" s="105">
        <v>8.0</v>
      </c>
      <c r="J492" s="105">
        <v>0.0</v>
      </c>
      <c r="K492" s="105">
        <v>1965.0</v>
      </c>
      <c r="L492" s="102" t="s">
        <v>197</v>
      </c>
      <c r="M492" s="102" t="s">
        <v>1487</v>
      </c>
      <c r="N492" s="105">
        <v>10.0</v>
      </c>
      <c r="O492" s="102" t="s">
        <v>197</v>
      </c>
      <c r="P492" s="106"/>
      <c r="Q492" s="106"/>
      <c r="R492" s="106"/>
      <c r="S492" s="106"/>
      <c r="T492" s="107" t="s">
        <v>2484</v>
      </c>
      <c r="U492" s="102" t="s">
        <v>2485</v>
      </c>
      <c r="V492" s="107" t="s">
        <v>2486</v>
      </c>
      <c r="W492" s="102" t="s">
        <v>1304</v>
      </c>
      <c r="X492" s="106"/>
      <c r="Y492" s="106"/>
      <c r="Z492" s="102" t="s">
        <v>1305</v>
      </c>
      <c r="AA492" s="105">
        <v>3.0</v>
      </c>
      <c r="AB492" s="106"/>
      <c r="AC492" s="10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c r="BC492" s="38"/>
    </row>
    <row r="493">
      <c r="A493" s="126" t="s">
        <v>2100</v>
      </c>
      <c r="B493" s="109">
        <v>45779.52970396991</v>
      </c>
      <c r="C493" s="110" t="s">
        <v>2487</v>
      </c>
      <c r="D493" s="120" t="s">
        <v>2156</v>
      </c>
      <c r="E493" s="110" t="s">
        <v>2103</v>
      </c>
      <c r="F493" s="124" t="s">
        <v>2100</v>
      </c>
      <c r="G493" s="112">
        <v>270.0</v>
      </c>
      <c r="H493" s="112">
        <v>10.0</v>
      </c>
      <c r="I493" s="112">
        <v>10.0</v>
      </c>
      <c r="J493" s="110" t="s">
        <v>197</v>
      </c>
      <c r="K493" s="112">
        <v>1970.0</v>
      </c>
      <c r="L493" s="110" t="s">
        <v>197</v>
      </c>
      <c r="M493" s="110" t="s">
        <v>197</v>
      </c>
      <c r="N493" s="112">
        <v>8.0</v>
      </c>
      <c r="O493" s="110" t="s">
        <v>401</v>
      </c>
      <c r="P493" s="113">
        <v>0.8</v>
      </c>
      <c r="Q493" s="112">
        <v>6.0</v>
      </c>
      <c r="R493" s="112">
        <v>3.0</v>
      </c>
      <c r="S493" s="112">
        <v>8.0</v>
      </c>
      <c r="T493" s="114" t="s">
        <v>2488</v>
      </c>
      <c r="U493" s="114" t="s">
        <v>2489</v>
      </c>
      <c r="V493" s="114" t="s">
        <v>2490</v>
      </c>
      <c r="W493" s="115"/>
      <c r="X493" s="115"/>
      <c r="Y493" s="110" t="s">
        <v>401</v>
      </c>
      <c r="Z493" s="110" t="s">
        <v>2161</v>
      </c>
      <c r="AA493" s="112">
        <v>3.0</v>
      </c>
      <c r="AB493" s="115"/>
      <c r="AC493" s="116"/>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c r="BC493" s="38"/>
    </row>
    <row r="494">
      <c r="A494" s="100" t="s">
        <v>1461</v>
      </c>
      <c r="B494" s="101">
        <v>45779.64016420139</v>
      </c>
      <c r="C494" s="110" t="s">
        <v>1179</v>
      </c>
      <c r="D494" s="120" t="s">
        <v>1180</v>
      </c>
      <c r="E494" s="110" t="s">
        <v>2491</v>
      </c>
      <c r="F494" s="104" t="s">
        <v>1461</v>
      </c>
      <c r="G494" s="112">
        <v>345.0</v>
      </c>
      <c r="H494" s="105">
        <v>7.0</v>
      </c>
      <c r="I494" s="105">
        <v>6.0</v>
      </c>
      <c r="J494" s="105">
        <v>3.0</v>
      </c>
      <c r="K494" s="105">
        <v>1964.0</v>
      </c>
      <c r="L494" s="102" t="s">
        <v>197</v>
      </c>
      <c r="M494" s="102" t="s">
        <v>197</v>
      </c>
      <c r="N494" s="105">
        <v>8.0</v>
      </c>
      <c r="O494" s="102" t="s">
        <v>197</v>
      </c>
      <c r="P494" s="106"/>
      <c r="Q494" s="106"/>
      <c r="R494" s="106"/>
      <c r="S494" s="106"/>
      <c r="T494" s="107" t="s">
        <v>2492</v>
      </c>
      <c r="U494" s="107" t="s">
        <v>2493</v>
      </c>
      <c r="V494" s="107" t="s">
        <v>2494</v>
      </c>
      <c r="W494" s="106"/>
      <c r="X494" s="106"/>
      <c r="Y494" s="106"/>
      <c r="Z494" s="102" t="s">
        <v>1185</v>
      </c>
      <c r="AA494" s="105">
        <v>4.0</v>
      </c>
      <c r="AB494" s="106"/>
      <c r="AC494" s="10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c r="BC494" s="38"/>
    </row>
    <row r="495">
      <c r="A495" s="100" t="s">
        <v>1734</v>
      </c>
      <c r="B495" s="109">
        <v>45779.64016946759</v>
      </c>
      <c r="C495" s="110" t="s">
        <v>1735</v>
      </c>
      <c r="D495" s="120" t="s">
        <v>1736</v>
      </c>
      <c r="E495" s="110" t="s">
        <v>2495</v>
      </c>
      <c r="F495" s="104" t="s">
        <v>1734</v>
      </c>
      <c r="G495" s="111">
        <v>950.0</v>
      </c>
      <c r="H495" s="112">
        <v>5.0</v>
      </c>
      <c r="I495" s="112">
        <v>5.0</v>
      </c>
      <c r="J495" s="112">
        <v>6.0</v>
      </c>
      <c r="K495" s="112">
        <v>2005.0</v>
      </c>
      <c r="L495" s="110" t="s">
        <v>197</v>
      </c>
      <c r="M495" s="110" t="s">
        <v>197</v>
      </c>
      <c r="N495" s="112">
        <v>10.0</v>
      </c>
      <c r="O495" s="110" t="s">
        <v>197</v>
      </c>
      <c r="P495" s="115"/>
      <c r="Q495" s="115"/>
      <c r="R495" s="115"/>
      <c r="S495" s="115"/>
      <c r="T495" s="114" t="s">
        <v>2496</v>
      </c>
      <c r="U495" s="114" t="s">
        <v>2497</v>
      </c>
      <c r="V495" s="114" t="s">
        <v>2498</v>
      </c>
      <c r="W495" s="115"/>
      <c r="X495" s="115"/>
      <c r="Y495" s="115"/>
      <c r="Z495" s="110" t="s">
        <v>1741</v>
      </c>
      <c r="AA495" s="111">
        <v>3.0</v>
      </c>
      <c r="AB495" s="115"/>
      <c r="AC495" s="116"/>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c r="BC495" s="38"/>
    </row>
    <row r="496">
      <c r="A496" s="100" t="s">
        <v>1817</v>
      </c>
      <c r="B496" s="101">
        <v>45780.157650231486</v>
      </c>
      <c r="C496" s="110" t="s">
        <v>1267</v>
      </c>
      <c r="D496" s="120" t="s">
        <v>2499</v>
      </c>
      <c r="E496" s="110" t="s">
        <v>2500</v>
      </c>
      <c r="F496" s="104" t="s">
        <v>1817</v>
      </c>
      <c r="G496" s="112">
        <v>170.0</v>
      </c>
      <c r="H496" s="105">
        <v>10.0</v>
      </c>
      <c r="I496" s="105">
        <v>10.0</v>
      </c>
      <c r="J496" s="105">
        <v>0.0</v>
      </c>
      <c r="K496" s="105">
        <v>1955.0</v>
      </c>
      <c r="L496" s="102" t="s">
        <v>197</v>
      </c>
      <c r="M496" s="102" t="s">
        <v>197</v>
      </c>
      <c r="N496" s="105">
        <v>7.0</v>
      </c>
      <c r="O496" s="102" t="s">
        <v>401</v>
      </c>
      <c r="P496" s="121">
        <v>0.7</v>
      </c>
      <c r="Q496" s="105">
        <v>7.0</v>
      </c>
      <c r="R496" s="105">
        <v>3.0</v>
      </c>
      <c r="S496" s="105">
        <v>5.0</v>
      </c>
      <c r="T496" s="107" t="s">
        <v>2501</v>
      </c>
      <c r="U496" s="107" t="s">
        <v>2502</v>
      </c>
      <c r="V496" s="107" t="s">
        <v>2503</v>
      </c>
      <c r="W496" s="106"/>
      <c r="X496" s="106"/>
      <c r="Y496" s="102" t="s">
        <v>401</v>
      </c>
      <c r="Z496" s="102" t="s">
        <v>2504</v>
      </c>
      <c r="AA496" s="105">
        <v>2.0</v>
      </c>
      <c r="AB496" s="106"/>
      <c r="AC496" s="10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c r="BC496" s="38"/>
    </row>
    <row r="497">
      <c r="A497" s="100" t="s">
        <v>2154</v>
      </c>
      <c r="B497" s="109">
        <v>45780.165507592596</v>
      </c>
      <c r="C497" s="110" t="s">
        <v>1267</v>
      </c>
      <c r="D497" s="120" t="s">
        <v>1819</v>
      </c>
      <c r="E497" s="110" t="s">
        <v>2505</v>
      </c>
      <c r="F497" s="104" t="s">
        <v>2154</v>
      </c>
      <c r="G497" s="112">
        <v>180.0</v>
      </c>
      <c r="H497" s="112">
        <v>7.0</v>
      </c>
      <c r="I497" s="112">
        <v>7.0</v>
      </c>
      <c r="J497" s="112">
        <v>1.0</v>
      </c>
      <c r="K497" s="112">
        <v>1965.0</v>
      </c>
      <c r="L497" s="110" t="s">
        <v>197</v>
      </c>
      <c r="M497" s="110" t="s">
        <v>197</v>
      </c>
      <c r="N497" s="112">
        <v>6.0</v>
      </c>
      <c r="O497" s="110" t="s">
        <v>401</v>
      </c>
      <c r="P497" s="113">
        <v>1.0</v>
      </c>
      <c r="Q497" s="112">
        <v>10.0</v>
      </c>
      <c r="R497" s="112">
        <v>0.0</v>
      </c>
      <c r="S497" s="112">
        <v>10.0</v>
      </c>
      <c r="T497" s="114" t="s">
        <v>2506</v>
      </c>
      <c r="U497" s="114" t="s">
        <v>2507</v>
      </c>
      <c r="V497" s="114" t="s">
        <v>2508</v>
      </c>
      <c r="W497" s="115"/>
      <c r="X497" s="115"/>
      <c r="Y497" s="110" t="s">
        <v>401</v>
      </c>
      <c r="Z497" s="110" t="s">
        <v>2504</v>
      </c>
      <c r="AA497" s="112">
        <v>2.0</v>
      </c>
      <c r="AB497" s="115"/>
      <c r="AC497" s="116"/>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c r="BC497" s="38"/>
    </row>
    <row r="498">
      <c r="A498" s="100" t="s">
        <v>2509</v>
      </c>
      <c r="B498" s="101">
        <v>45780.2304650463</v>
      </c>
      <c r="C498" s="110" t="s">
        <v>1078</v>
      </c>
      <c r="D498" s="120" t="s">
        <v>1079</v>
      </c>
      <c r="E498" s="110" t="s">
        <v>2510</v>
      </c>
      <c r="F498" s="104" t="s">
        <v>2509</v>
      </c>
      <c r="G498" s="112">
        <v>140.0</v>
      </c>
      <c r="H498" s="105">
        <v>8.0</v>
      </c>
      <c r="I498" s="105">
        <v>3.0</v>
      </c>
      <c r="J498" s="105">
        <v>1.0</v>
      </c>
      <c r="K498" s="103" t="s">
        <v>388</v>
      </c>
      <c r="L498" s="102" t="s">
        <v>197</v>
      </c>
      <c r="M498" s="105" t="s">
        <v>2511</v>
      </c>
      <c r="N498" s="105">
        <v>7.0</v>
      </c>
      <c r="O498" s="102" t="s">
        <v>401</v>
      </c>
      <c r="P498" s="121">
        <v>0.1</v>
      </c>
      <c r="Q498" s="105">
        <v>0.0</v>
      </c>
      <c r="R498" s="105">
        <v>10.0</v>
      </c>
      <c r="S498" s="105">
        <v>1.0</v>
      </c>
      <c r="T498" s="106"/>
      <c r="U498" s="106"/>
      <c r="V498" s="107" t="s">
        <v>2512</v>
      </c>
      <c r="W498" s="105" t="s">
        <v>2513</v>
      </c>
      <c r="X498" s="106"/>
      <c r="Y498" s="102" t="s">
        <v>401</v>
      </c>
      <c r="Z498" s="102" t="s">
        <v>1081</v>
      </c>
      <c r="AA498" s="105">
        <v>2.0</v>
      </c>
      <c r="AB498" s="106"/>
      <c r="AC498" s="10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row>
    <row r="499">
      <c r="A499" s="126" t="s">
        <v>2119</v>
      </c>
      <c r="B499" s="109">
        <v>45780.28048335648</v>
      </c>
      <c r="C499" s="110" t="s">
        <v>2514</v>
      </c>
      <c r="D499" s="120" t="s">
        <v>2515</v>
      </c>
      <c r="E499" s="110" t="s">
        <v>2516</v>
      </c>
      <c r="F499" s="124" t="s">
        <v>2119</v>
      </c>
      <c r="G499" s="111">
        <v>105.0</v>
      </c>
      <c r="H499" s="112">
        <v>10.0</v>
      </c>
      <c r="I499" s="112">
        <v>10.0</v>
      </c>
      <c r="J499" s="112">
        <v>0.0</v>
      </c>
      <c r="K499" s="112">
        <v>1965.0</v>
      </c>
      <c r="L499" s="110" t="s">
        <v>197</v>
      </c>
      <c r="M499" s="110" t="s">
        <v>2123</v>
      </c>
      <c r="N499" s="112">
        <v>8.0</v>
      </c>
      <c r="O499" s="110" t="s">
        <v>197</v>
      </c>
      <c r="P499" s="115"/>
      <c r="Q499" s="115"/>
      <c r="R499" s="115"/>
      <c r="S499" s="115"/>
      <c r="T499" s="114" t="s">
        <v>2517</v>
      </c>
      <c r="U499" s="114" t="s">
        <v>2518</v>
      </c>
      <c r="V499" s="114" t="s">
        <v>2519</v>
      </c>
      <c r="W499" s="115"/>
      <c r="X499" s="115"/>
      <c r="Y499" s="115"/>
      <c r="Z499" s="110" t="s">
        <v>2504</v>
      </c>
      <c r="AA499" s="110" t="s">
        <v>8</v>
      </c>
      <c r="AB499" s="115"/>
      <c r="AC499" s="116"/>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row>
    <row r="500">
      <c r="A500" s="100" t="s">
        <v>1921</v>
      </c>
      <c r="B500" s="101">
        <v>45780.28674603009</v>
      </c>
      <c r="C500" s="110" t="s">
        <v>2520</v>
      </c>
      <c r="D500" s="120" t="s">
        <v>1923</v>
      </c>
      <c r="E500" s="110" t="s">
        <v>2521</v>
      </c>
      <c r="F500" s="104" t="s">
        <v>1921</v>
      </c>
      <c r="G500" s="111">
        <v>270.0</v>
      </c>
      <c r="H500" s="105">
        <v>8.0</v>
      </c>
      <c r="I500" s="105">
        <v>8.0</v>
      </c>
      <c r="J500" s="105">
        <v>2.0</v>
      </c>
      <c r="K500" s="105">
        <v>1970.0</v>
      </c>
      <c r="L500" s="102" t="s">
        <v>197</v>
      </c>
      <c r="M500" s="102" t="s">
        <v>2522</v>
      </c>
      <c r="N500" s="105">
        <v>8.0</v>
      </c>
      <c r="O500" s="102" t="s">
        <v>197</v>
      </c>
      <c r="P500" s="106"/>
      <c r="Q500" s="106"/>
      <c r="R500" s="106"/>
      <c r="S500" s="106"/>
      <c r="T500" s="107" t="s">
        <v>2523</v>
      </c>
      <c r="U500" s="107" t="s">
        <v>2524</v>
      </c>
      <c r="V500" s="107" t="s">
        <v>2525</v>
      </c>
      <c r="W500" s="106"/>
      <c r="X500" s="106"/>
      <c r="Y500" s="106"/>
      <c r="Z500" s="102" t="s">
        <v>2526</v>
      </c>
      <c r="AA500" s="105">
        <v>3.0</v>
      </c>
      <c r="AB500" s="106"/>
      <c r="AC500" s="10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c r="BC500" s="38"/>
    </row>
    <row r="501">
      <c r="A501" s="100" t="s">
        <v>2119</v>
      </c>
      <c r="B501" s="109">
        <v>45780.292645243055</v>
      </c>
      <c r="C501" s="110" t="s">
        <v>2514</v>
      </c>
      <c r="D501" s="120" t="s">
        <v>2515</v>
      </c>
      <c r="E501" s="110" t="s">
        <v>2527</v>
      </c>
      <c r="F501" s="104" t="s">
        <v>2119</v>
      </c>
      <c r="G501" s="111">
        <v>99.0</v>
      </c>
      <c r="H501" s="112">
        <v>10.0</v>
      </c>
      <c r="I501" s="112">
        <v>10.0</v>
      </c>
      <c r="J501" s="112">
        <v>0.0</v>
      </c>
      <c r="K501" s="112">
        <v>1965.0</v>
      </c>
      <c r="L501" s="110" t="s">
        <v>197</v>
      </c>
      <c r="M501" s="110" t="s">
        <v>2528</v>
      </c>
      <c r="N501" s="112">
        <v>7.0</v>
      </c>
      <c r="O501" s="110" t="s">
        <v>197</v>
      </c>
      <c r="P501" s="115"/>
      <c r="Q501" s="115"/>
      <c r="R501" s="115"/>
      <c r="S501" s="115"/>
      <c r="T501" s="114" t="s">
        <v>2529</v>
      </c>
      <c r="U501" s="114" t="s">
        <v>2530</v>
      </c>
      <c r="V501" s="114" t="s">
        <v>2519</v>
      </c>
      <c r="W501" s="115"/>
      <c r="X501" s="115"/>
      <c r="Y501" s="115"/>
      <c r="Z501" s="110" t="s">
        <v>2504</v>
      </c>
      <c r="AA501" s="112">
        <v>3.0</v>
      </c>
      <c r="AB501" s="115"/>
      <c r="AC501" s="116"/>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row>
    <row r="502">
      <c r="A502" s="100" t="s">
        <v>2531</v>
      </c>
      <c r="B502" s="101">
        <v>45780.29648197917</v>
      </c>
      <c r="C502" s="102" t="s">
        <v>2532</v>
      </c>
      <c r="D502" s="103" t="s">
        <v>2533</v>
      </c>
      <c r="E502" s="102" t="s">
        <v>2534</v>
      </c>
      <c r="F502" s="104" t="s">
        <v>2531</v>
      </c>
      <c r="G502" s="105">
        <v>257.0</v>
      </c>
      <c r="H502" s="105">
        <v>10.0</v>
      </c>
      <c r="I502" s="105">
        <v>5.0</v>
      </c>
      <c r="J502" s="102" t="s">
        <v>197</v>
      </c>
      <c r="K502" s="103" t="s">
        <v>388</v>
      </c>
      <c r="L502" s="102" t="s">
        <v>401</v>
      </c>
      <c r="M502" s="102" t="s">
        <v>197</v>
      </c>
      <c r="N502" s="105">
        <v>8.0</v>
      </c>
      <c r="O502" s="102" t="s">
        <v>401</v>
      </c>
      <c r="P502" s="121">
        <v>0.9</v>
      </c>
      <c r="Q502" s="105">
        <v>7.0</v>
      </c>
      <c r="R502" s="105">
        <v>2.0</v>
      </c>
      <c r="S502" s="105">
        <v>8.0</v>
      </c>
      <c r="T502" s="106"/>
      <c r="U502" s="106"/>
      <c r="V502" s="107" t="s">
        <v>2535</v>
      </c>
      <c r="W502" s="102" t="s">
        <v>197</v>
      </c>
      <c r="X502" s="106"/>
      <c r="Y502" s="106"/>
      <c r="Z502" s="102" t="s">
        <v>2536</v>
      </c>
      <c r="AA502" s="105">
        <v>1.0</v>
      </c>
      <c r="AB502" s="106"/>
      <c r="AC502" s="10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row>
    <row r="503">
      <c r="A503" s="100" t="s">
        <v>2537</v>
      </c>
      <c r="B503" s="109">
        <v>45780.31123075231</v>
      </c>
      <c r="C503" s="110" t="s">
        <v>2538</v>
      </c>
      <c r="D503" s="120" t="s">
        <v>2187</v>
      </c>
      <c r="E503" s="110" t="s">
        <v>2539</v>
      </c>
      <c r="F503" s="104" t="s">
        <v>2537</v>
      </c>
      <c r="G503" s="112">
        <v>614.0</v>
      </c>
      <c r="H503" s="112">
        <v>8.0</v>
      </c>
      <c r="I503" s="112">
        <v>8.0</v>
      </c>
      <c r="J503" s="112">
        <v>0.0</v>
      </c>
      <c r="K503" s="112">
        <v>2003.0</v>
      </c>
      <c r="L503" s="110" t="s">
        <v>197</v>
      </c>
      <c r="M503" s="110" t="s">
        <v>2540</v>
      </c>
      <c r="N503" s="112">
        <v>8.0</v>
      </c>
      <c r="O503" s="110" t="s">
        <v>401</v>
      </c>
      <c r="P503" s="113">
        <v>0.8</v>
      </c>
      <c r="Q503" s="112">
        <v>8.0</v>
      </c>
      <c r="R503" s="112">
        <v>2.0</v>
      </c>
      <c r="S503" s="112">
        <v>8.0</v>
      </c>
      <c r="T503" s="114" t="s">
        <v>2541</v>
      </c>
      <c r="U503" s="114" t="s">
        <v>2542</v>
      </c>
      <c r="V503" s="114" t="s">
        <v>2543</v>
      </c>
      <c r="W503" s="115"/>
      <c r="X503" s="115"/>
      <c r="Y503" s="110" t="s">
        <v>401</v>
      </c>
      <c r="Z503" s="110" t="s">
        <v>2194</v>
      </c>
      <c r="AA503" s="112">
        <v>2.0</v>
      </c>
      <c r="AB503" s="115"/>
      <c r="AC503" s="116"/>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row>
    <row r="504">
      <c r="A504" s="126" t="s">
        <v>2544</v>
      </c>
      <c r="B504" s="101">
        <v>45780.638893194446</v>
      </c>
      <c r="C504" s="102" t="s">
        <v>2545</v>
      </c>
      <c r="D504" s="103" t="s">
        <v>2227</v>
      </c>
      <c r="E504" s="102" t="s">
        <v>2546</v>
      </c>
      <c r="F504" s="124" t="s">
        <v>2544</v>
      </c>
      <c r="G504" s="105">
        <v>180.0</v>
      </c>
      <c r="H504" s="105">
        <v>8.0</v>
      </c>
      <c r="I504" s="105">
        <v>7.0</v>
      </c>
      <c r="J504" s="105">
        <v>1.0</v>
      </c>
      <c r="K504" s="103" t="s">
        <v>388</v>
      </c>
      <c r="L504" s="102" t="s">
        <v>197</v>
      </c>
      <c r="M504" s="102" t="s">
        <v>197</v>
      </c>
      <c r="N504" s="105">
        <v>8.0</v>
      </c>
      <c r="O504" s="102" t="s">
        <v>197</v>
      </c>
      <c r="P504" s="106"/>
      <c r="Q504" s="106"/>
      <c r="R504" s="106"/>
      <c r="S504" s="106"/>
      <c r="T504" s="107" t="s">
        <v>2547</v>
      </c>
      <c r="U504" s="107" t="s">
        <v>2548</v>
      </c>
      <c r="V504" s="107" t="s">
        <v>2549</v>
      </c>
      <c r="W504" s="102" t="s">
        <v>2550</v>
      </c>
      <c r="X504" s="106"/>
      <c r="Y504" s="106"/>
      <c r="Z504" s="102" t="s">
        <v>2232</v>
      </c>
      <c r="AA504" s="105">
        <v>3.0</v>
      </c>
      <c r="AB504" s="106"/>
      <c r="AC504" s="10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row>
    <row r="505">
      <c r="A505" s="100" t="s">
        <v>2551</v>
      </c>
      <c r="B505" s="109">
        <v>45780.65001215278</v>
      </c>
      <c r="C505" s="110" t="s">
        <v>2552</v>
      </c>
      <c r="D505" s="120" t="s">
        <v>2227</v>
      </c>
      <c r="E505" s="110" t="s">
        <v>2553</v>
      </c>
      <c r="F505" s="104" t="s">
        <v>2551</v>
      </c>
      <c r="G505" s="111">
        <v>162.0</v>
      </c>
      <c r="H505" s="112">
        <v>8.0</v>
      </c>
      <c r="I505" s="112">
        <v>7.0</v>
      </c>
      <c r="J505" s="112">
        <v>2.0</v>
      </c>
      <c r="K505" s="120" t="s">
        <v>388</v>
      </c>
      <c r="L505" s="110" t="s">
        <v>197</v>
      </c>
      <c r="M505" s="110" t="s">
        <v>197</v>
      </c>
      <c r="N505" s="112">
        <v>9.0</v>
      </c>
      <c r="O505" s="110" t="s">
        <v>197</v>
      </c>
      <c r="P505" s="115"/>
      <c r="Q505" s="115"/>
      <c r="R505" s="115"/>
      <c r="S505" s="115"/>
      <c r="T505" s="114" t="s">
        <v>2554</v>
      </c>
      <c r="U505" s="114" t="s">
        <v>2555</v>
      </c>
      <c r="V505" s="114" t="s">
        <v>2556</v>
      </c>
      <c r="W505" s="110" t="s">
        <v>2557</v>
      </c>
      <c r="X505" s="115"/>
      <c r="Y505" s="115"/>
      <c r="Z505" s="110" t="s">
        <v>2558</v>
      </c>
      <c r="AA505" s="112">
        <v>1.0</v>
      </c>
      <c r="AB505" s="115"/>
      <c r="AC505" s="116"/>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row>
    <row r="506">
      <c r="A506" s="100" t="s">
        <v>2559</v>
      </c>
      <c r="B506" s="101">
        <v>45783.175838634255</v>
      </c>
      <c r="C506" s="102" t="s">
        <v>1651</v>
      </c>
      <c r="D506" s="103" t="s">
        <v>1652</v>
      </c>
      <c r="E506" s="102" t="s">
        <v>2560</v>
      </c>
      <c r="F506" s="104" t="s">
        <v>2559</v>
      </c>
      <c r="G506" s="117">
        <v>92.0</v>
      </c>
      <c r="H506" s="117">
        <v>9.0</v>
      </c>
      <c r="I506" s="117">
        <v>8.0</v>
      </c>
      <c r="J506" s="102" t="s">
        <v>197</v>
      </c>
      <c r="K506" s="129">
        <v>1990.0</v>
      </c>
      <c r="L506" s="102" t="s">
        <v>401</v>
      </c>
      <c r="M506" s="102" t="s">
        <v>197</v>
      </c>
      <c r="N506" s="105">
        <v>10.0</v>
      </c>
      <c r="O506" s="102" t="s">
        <v>1005</v>
      </c>
      <c r="P506" s="121">
        <v>0.0</v>
      </c>
      <c r="Q506" s="105">
        <v>0.0</v>
      </c>
      <c r="R506" s="105">
        <v>0.0</v>
      </c>
      <c r="S506" s="105">
        <v>0.0</v>
      </c>
      <c r="T506" s="105">
        <v>0.0</v>
      </c>
      <c r="U506" s="106"/>
      <c r="V506" s="107" t="s">
        <v>2561</v>
      </c>
      <c r="W506" s="102" t="s">
        <v>197</v>
      </c>
      <c r="X506" s="106"/>
      <c r="Y506" s="102" t="s">
        <v>401</v>
      </c>
      <c r="Z506" s="102" t="s">
        <v>1655</v>
      </c>
      <c r="AA506" s="105">
        <v>4.0</v>
      </c>
      <c r="AB506" s="106"/>
      <c r="AC506" s="10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row>
    <row r="507">
      <c r="A507" s="123" t="s">
        <v>1572</v>
      </c>
      <c r="B507" s="109">
        <v>45783.43379274306</v>
      </c>
      <c r="C507" s="110" t="s">
        <v>1374</v>
      </c>
      <c r="D507" s="120" t="s">
        <v>1375</v>
      </c>
      <c r="E507" s="110" t="s">
        <v>2562</v>
      </c>
      <c r="F507" s="124" t="s">
        <v>1572</v>
      </c>
      <c r="G507" s="112">
        <v>320.0</v>
      </c>
      <c r="H507" s="112">
        <v>3.0</v>
      </c>
      <c r="I507" s="112">
        <v>4.0</v>
      </c>
      <c r="J507" s="110" t="s">
        <v>197</v>
      </c>
      <c r="K507" s="112">
        <v>1960.0</v>
      </c>
      <c r="L507" s="110" t="s">
        <v>197</v>
      </c>
      <c r="M507" s="110" t="s">
        <v>197</v>
      </c>
      <c r="N507" s="112">
        <v>7.0</v>
      </c>
      <c r="O507" s="110" t="s">
        <v>401</v>
      </c>
      <c r="P507" s="113">
        <v>0.6</v>
      </c>
      <c r="Q507" s="112">
        <v>6.0</v>
      </c>
      <c r="R507" s="112">
        <v>4.0</v>
      </c>
      <c r="S507" s="112">
        <v>4.0</v>
      </c>
      <c r="T507" s="114" t="s">
        <v>2563</v>
      </c>
      <c r="U507" s="114" t="s">
        <v>2564</v>
      </c>
      <c r="V507" s="114" t="s">
        <v>2565</v>
      </c>
      <c r="W507" s="115"/>
      <c r="X507" s="115"/>
      <c r="Y507" s="110" t="s">
        <v>401</v>
      </c>
      <c r="Z507" s="110" t="s">
        <v>1381</v>
      </c>
      <c r="AA507" s="112">
        <v>4.0</v>
      </c>
      <c r="AB507" s="115"/>
      <c r="AC507" s="116"/>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row>
    <row r="508">
      <c r="A508" s="100" t="s">
        <v>1793</v>
      </c>
      <c r="B508" s="101">
        <v>45791.58357472222</v>
      </c>
      <c r="C508" s="102" t="s">
        <v>1794</v>
      </c>
      <c r="D508" s="103" t="s">
        <v>1795</v>
      </c>
      <c r="E508" s="102" t="s">
        <v>2566</v>
      </c>
      <c r="F508" s="104" t="s">
        <v>1793</v>
      </c>
      <c r="G508" s="105">
        <v>700.0</v>
      </c>
      <c r="H508" s="105">
        <v>10.0</v>
      </c>
      <c r="I508" s="105">
        <v>10.0</v>
      </c>
      <c r="J508" s="105">
        <v>0.0</v>
      </c>
      <c r="K508" s="105">
        <v>1995.0</v>
      </c>
      <c r="L508" s="102" t="s">
        <v>197</v>
      </c>
      <c r="M508" s="102" t="s">
        <v>197</v>
      </c>
      <c r="N508" s="105">
        <v>9.0</v>
      </c>
      <c r="O508" s="102" t="s">
        <v>401</v>
      </c>
      <c r="P508" s="121">
        <v>1.0</v>
      </c>
      <c r="Q508" s="105">
        <v>10.0</v>
      </c>
      <c r="R508" s="105">
        <v>4.0</v>
      </c>
      <c r="S508" s="105">
        <v>10.0</v>
      </c>
      <c r="T508" s="107" t="s">
        <v>2567</v>
      </c>
      <c r="U508" s="107" t="s">
        <v>2568</v>
      </c>
      <c r="V508" s="107" t="s">
        <v>2569</v>
      </c>
      <c r="W508" s="106"/>
      <c r="X508" s="106"/>
      <c r="Y508" s="102" t="s">
        <v>401</v>
      </c>
      <c r="Z508" s="102" t="s">
        <v>2570</v>
      </c>
      <c r="AA508" s="105">
        <v>2.0</v>
      </c>
      <c r="AB508" s="106"/>
      <c r="AC508" s="10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row>
    <row r="509">
      <c r="A509" s="100" t="s">
        <v>1306</v>
      </c>
      <c r="B509" s="109">
        <v>45793.194313252316</v>
      </c>
      <c r="C509" s="110" t="s">
        <v>1315</v>
      </c>
      <c r="D509" s="120" t="s">
        <v>1308</v>
      </c>
      <c r="E509" s="110" t="s">
        <v>1309</v>
      </c>
      <c r="F509" s="104" t="s">
        <v>1306</v>
      </c>
      <c r="G509" s="111">
        <v>188.0</v>
      </c>
      <c r="H509" s="112">
        <v>8.0</v>
      </c>
      <c r="I509" s="112">
        <v>7.0</v>
      </c>
      <c r="J509" s="112">
        <v>1.0</v>
      </c>
      <c r="K509" s="112">
        <v>1925.0</v>
      </c>
      <c r="L509" s="110" t="s">
        <v>197</v>
      </c>
      <c r="M509" s="110" t="s">
        <v>1310</v>
      </c>
      <c r="N509" s="112">
        <v>9.0</v>
      </c>
      <c r="O509" s="110" t="s">
        <v>401</v>
      </c>
      <c r="P509" s="113">
        <v>0.0</v>
      </c>
      <c r="Q509" s="112">
        <v>0.0</v>
      </c>
      <c r="R509" s="112">
        <v>10.0</v>
      </c>
      <c r="S509" s="112">
        <v>0.0</v>
      </c>
      <c r="T509" s="114" t="s">
        <v>2571</v>
      </c>
      <c r="U509" s="114" t="s">
        <v>2572</v>
      </c>
      <c r="V509" s="114" t="s">
        <v>2573</v>
      </c>
      <c r="W509" s="115"/>
      <c r="X509" s="115"/>
      <c r="Y509" s="110" t="s">
        <v>401</v>
      </c>
      <c r="Z509" s="110" t="s">
        <v>1077</v>
      </c>
      <c r="AA509" s="112">
        <v>4.0</v>
      </c>
      <c r="AB509" s="115"/>
      <c r="AC509" s="116"/>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row>
    <row r="510">
      <c r="A510" s="100" t="s">
        <v>1147</v>
      </c>
      <c r="B510" s="101">
        <v>45793.20812938658</v>
      </c>
      <c r="C510" s="102" t="s">
        <v>2574</v>
      </c>
      <c r="D510" s="103" t="s">
        <v>1549</v>
      </c>
      <c r="E510" s="102" t="s">
        <v>2575</v>
      </c>
      <c r="F510" s="104" t="s">
        <v>1147</v>
      </c>
      <c r="G510" s="117">
        <v>154.0</v>
      </c>
      <c r="H510" s="105">
        <v>9.0</v>
      </c>
      <c r="I510" s="105">
        <v>8.0</v>
      </c>
      <c r="J510" s="105">
        <v>0.0</v>
      </c>
      <c r="K510" s="103" t="s">
        <v>388</v>
      </c>
      <c r="L510" s="102" t="s">
        <v>197</v>
      </c>
      <c r="M510" s="102" t="s">
        <v>2576</v>
      </c>
      <c r="N510" s="105">
        <v>9.0</v>
      </c>
      <c r="O510" s="102" t="s">
        <v>197</v>
      </c>
      <c r="P510" s="106"/>
      <c r="Q510" s="106"/>
      <c r="R510" s="106"/>
      <c r="S510" s="106"/>
      <c r="T510" s="107" t="s">
        <v>2577</v>
      </c>
      <c r="U510" s="107" t="s">
        <v>2578</v>
      </c>
      <c r="V510" s="107" t="s">
        <v>2579</v>
      </c>
      <c r="W510" s="106"/>
      <c r="X510" s="106"/>
      <c r="Y510" s="106"/>
      <c r="Z510" s="102" t="s">
        <v>1555</v>
      </c>
      <c r="AA510" s="105">
        <v>4.0</v>
      </c>
      <c r="AB510" s="106"/>
      <c r="AC510" s="10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row>
    <row r="511">
      <c r="A511" s="100" t="s">
        <v>2237</v>
      </c>
      <c r="B511" s="109">
        <v>45793.21968368055</v>
      </c>
      <c r="C511" s="110" t="s">
        <v>2238</v>
      </c>
      <c r="D511" s="120" t="s">
        <v>1685</v>
      </c>
      <c r="E511" s="110" t="s">
        <v>2580</v>
      </c>
      <c r="F511" s="104" t="s">
        <v>2237</v>
      </c>
      <c r="G511" s="112">
        <v>360.0</v>
      </c>
      <c r="H511" s="112">
        <v>8.0</v>
      </c>
      <c r="I511" s="112">
        <v>8.0</v>
      </c>
      <c r="J511" s="112">
        <v>0.0</v>
      </c>
      <c r="K511" s="112">
        <v>1983.0</v>
      </c>
      <c r="L511" s="110" t="s">
        <v>197</v>
      </c>
      <c r="M511" s="110" t="s">
        <v>401</v>
      </c>
      <c r="N511" s="112">
        <v>7.0</v>
      </c>
      <c r="O511" s="110" t="s">
        <v>197</v>
      </c>
      <c r="P511" s="115"/>
      <c r="Q511" s="115"/>
      <c r="R511" s="115"/>
      <c r="S511" s="115"/>
      <c r="T511" s="114" t="s">
        <v>2581</v>
      </c>
      <c r="U511" s="114" t="s">
        <v>2582</v>
      </c>
      <c r="V511" s="114" t="s">
        <v>2583</v>
      </c>
      <c r="W511" s="115"/>
      <c r="X511" s="115"/>
      <c r="Y511" s="115"/>
      <c r="Z511" s="110" t="s">
        <v>2584</v>
      </c>
      <c r="AA511" s="112">
        <v>3.0</v>
      </c>
      <c r="AB511" s="115"/>
      <c r="AC511" s="116"/>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row>
    <row r="512">
      <c r="A512" s="100" t="s">
        <v>1978</v>
      </c>
      <c r="B512" s="101">
        <v>45793.2401015625</v>
      </c>
      <c r="C512" s="102" t="s">
        <v>2585</v>
      </c>
      <c r="D512" s="103" t="s">
        <v>1956</v>
      </c>
      <c r="E512" s="102" t="s">
        <v>2586</v>
      </c>
      <c r="F512" s="104" t="s">
        <v>1978</v>
      </c>
      <c r="G512" s="117">
        <v>80.0</v>
      </c>
      <c r="H512" s="105">
        <v>8.0</v>
      </c>
      <c r="I512" s="105">
        <v>8.0</v>
      </c>
      <c r="J512" s="102" t="s">
        <v>197</v>
      </c>
      <c r="K512" s="105">
        <v>1945.0</v>
      </c>
      <c r="L512" s="102" t="s">
        <v>197</v>
      </c>
      <c r="M512" s="102" t="s">
        <v>197</v>
      </c>
      <c r="N512" s="105">
        <v>9.0</v>
      </c>
      <c r="O512" s="102" t="s">
        <v>197</v>
      </c>
      <c r="P512" s="106"/>
      <c r="Q512" s="106"/>
      <c r="R512" s="106"/>
      <c r="S512" s="106"/>
      <c r="T512" s="106"/>
      <c r="U512" s="106"/>
      <c r="V512" s="107" t="s">
        <v>2587</v>
      </c>
      <c r="W512" s="106"/>
      <c r="X512" s="106"/>
      <c r="Y512" s="106"/>
      <c r="Z512" s="102" t="s">
        <v>1962</v>
      </c>
      <c r="AA512" s="105">
        <v>3.0</v>
      </c>
      <c r="AB512" s="106"/>
      <c r="AC512" s="10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row>
    <row r="513">
      <c r="A513" s="100" t="s">
        <v>1978</v>
      </c>
      <c r="B513" s="109">
        <v>45793.24444958333</v>
      </c>
      <c r="C513" s="110" t="s">
        <v>1955</v>
      </c>
      <c r="D513" s="120" t="s">
        <v>1956</v>
      </c>
      <c r="E513" s="110" t="s">
        <v>2588</v>
      </c>
      <c r="F513" s="104" t="s">
        <v>1978</v>
      </c>
      <c r="G513" s="111">
        <v>80.0</v>
      </c>
      <c r="H513" s="112">
        <v>8.0</v>
      </c>
      <c r="I513" s="112">
        <v>8.0</v>
      </c>
      <c r="J513" s="110" t="s">
        <v>197</v>
      </c>
      <c r="K513" s="112">
        <v>1945.0</v>
      </c>
      <c r="L513" s="110" t="s">
        <v>197</v>
      </c>
      <c r="M513" s="110" t="s">
        <v>197</v>
      </c>
      <c r="N513" s="112">
        <v>8.0</v>
      </c>
      <c r="O513" s="110" t="s">
        <v>197</v>
      </c>
      <c r="P513" s="115"/>
      <c r="Q513" s="115"/>
      <c r="R513" s="115"/>
      <c r="S513" s="115"/>
      <c r="T513" s="115"/>
      <c r="U513" s="114" t="s">
        <v>2589</v>
      </c>
      <c r="V513" s="114" t="s">
        <v>2590</v>
      </c>
      <c r="W513" s="115"/>
      <c r="X513" s="115"/>
      <c r="Y513" s="115"/>
      <c r="Z513" s="110" t="s">
        <v>1962</v>
      </c>
      <c r="AA513" s="110" t="s">
        <v>8</v>
      </c>
      <c r="AB513" s="115"/>
      <c r="AC513" s="116"/>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row>
    <row r="514">
      <c r="A514" s="100" t="s">
        <v>1572</v>
      </c>
      <c r="B514" s="101">
        <v>45793.245813368056</v>
      </c>
      <c r="C514" s="102" t="s">
        <v>1221</v>
      </c>
      <c r="D514" s="103" t="s">
        <v>1222</v>
      </c>
      <c r="E514" s="102" t="s">
        <v>2591</v>
      </c>
      <c r="F514" s="104" t="s">
        <v>1572</v>
      </c>
      <c r="G514" s="117">
        <v>360.0</v>
      </c>
      <c r="H514" s="105">
        <v>5.0</v>
      </c>
      <c r="I514" s="105">
        <v>4.0</v>
      </c>
      <c r="J514" s="105">
        <v>3.0</v>
      </c>
      <c r="K514" s="105">
        <v>1966.0</v>
      </c>
      <c r="L514" s="102" t="s">
        <v>197</v>
      </c>
      <c r="M514" s="102" t="s">
        <v>1228</v>
      </c>
      <c r="N514" s="105">
        <v>7.0</v>
      </c>
      <c r="O514" s="102" t="s">
        <v>401</v>
      </c>
      <c r="P514" s="121">
        <v>0.1</v>
      </c>
      <c r="Q514" s="105">
        <v>2.0</v>
      </c>
      <c r="R514" s="105">
        <v>9.0</v>
      </c>
      <c r="S514" s="105">
        <v>1.0</v>
      </c>
      <c r="T514" s="107" t="s">
        <v>2592</v>
      </c>
      <c r="U514" s="107" t="s">
        <v>2593</v>
      </c>
      <c r="V514" s="107" t="s">
        <v>2594</v>
      </c>
      <c r="W514" s="106"/>
      <c r="X514" s="106"/>
      <c r="Y514" s="102" t="s">
        <v>401</v>
      </c>
      <c r="Z514" s="102" t="s">
        <v>1229</v>
      </c>
      <c r="AA514" s="105">
        <v>5.0</v>
      </c>
      <c r="AB514" s="106"/>
      <c r="AC514" s="10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row>
    <row r="515">
      <c r="A515" s="100" t="s">
        <v>2595</v>
      </c>
      <c r="B515" s="109">
        <v>45793.24910586806</v>
      </c>
      <c r="C515" s="110" t="s">
        <v>2290</v>
      </c>
      <c r="D515" s="120" t="s">
        <v>1744</v>
      </c>
      <c r="E515" s="110" t="s">
        <v>2291</v>
      </c>
      <c r="F515" s="104" t="s">
        <v>2595</v>
      </c>
      <c r="G515" s="112">
        <v>370.0</v>
      </c>
      <c r="H515" s="112">
        <v>5.0</v>
      </c>
      <c r="I515" s="112">
        <v>5.0</v>
      </c>
      <c r="J515" s="112">
        <v>1.0</v>
      </c>
      <c r="K515" s="112">
        <v>1800.0</v>
      </c>
      <c r="L515" s="110" t="s">
        <v>401</v>
      </c>
      <c r="M515" s="110" t="s">
        <v>2596</v>
      </c>
      <c r="N515" s="112">
        <v>9.0</v>
      </c>
      <c r="O515" s="110" t="s">
        <v>197</v>
      </c>
      <c r="P515" s="115"/>
      <c r="Q515" s="115"/>
      <c r="R515" s="115"/>
      <c r="S515" s="115"/>
      <c r="T515" s="114" t="s">
        <v>2597</v>
      </c>
      <c r="U515" s="114" t="s">
        <v>2598</v>
      </c>
      <c r="V515" s="114" t="s">
        <v>2599</v>
      </c>
      <c r="W515" s="115"/>
      <c r="X515" s="115"/>
      <c r="Y515" s="115"/>
      <c r="Z515" s="110" t="s">
        <v>1750</v>
      </c>
      <c r="AA515" s="112">
        <v>3.0</v>
      </c>
      <c r="AB515" s="115"/>
      <c r="AC515" s="116"/>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row>
    <row r="516">
      <c r="A516" s="100" t="s">
        <v>2509</v>
      </c>
      <c r="B516" s="101">
        <v>45793.25067804398</v>
      </c>
      <c r="C516" s="102" t="s">
        <v>1078</v>
      </c>
      <c r="D516" s="103" t="s">
        <v>1079</v>
      </c>
      <c r="E516" s="105" t="s">
        <v>2600</v>
      </c>
      <c r="F516" s="104" t="s">
        <v>2509</v>
      </c>
      <c r="G516" s="105">
        <v>145.0</v>
      </c>
      <c r="H516" s="105">
        <v>8.0</v>
      </c>
      <c r="I516" s="105">
        <v>7.0</v>
      </c>
      <c r="J516" s="105">
        <v>2.0</v>
      </c>
      <c r="K516" s="103" t="s">
        <v>388</v>
      </c>
      <c r="L516" s="102" t="s">
        <v>197</v>
      </c>
      <c r="M516" s="105" t="s">
        <v>2601</v>
      </c>
      <c r="N516" s="105">
        <v>8.0</v>
      </c>
      <c r="O516" s="102" t="s">
        <v>401</v>
      </c>
      <c r="P516" s="121">
        <v>0.8</v>
      </c>
      <c r="Q516" s="105">
        <v>8.0</v>
      </c>
      <c r="R516" s="105">
        <v>1.0</v>
      </c>
      <c r="S516" s="105">
        <v>9.0</v>
      </c>
      <c r="T516" s="106"/>
      <c r="U516" s="106"/>
      <c r="V516" s="107" t="s">
        <v>2602</v>
      </c>
      <c r="W516" s="106"/>
      <c r="X516" s="106"/>
      <c r="Y516" s="102" t="s">
        <v>401</v>
      </c>
      <c r="Z516" s="102" t="s">
        <v>1081</v>
      </c>
      <c r="AA516" s="105">
        <v>3.0</v>
      </c>
      <c r="AB516" s="106"/>
      <c r="AC516" s="10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row>
    <row r="517">
      <c r="A517" s="100" t="s">
        <v>2408</v>
      </c>
      <c r="B517" s="109">
        <v>45793.25282248843</v>
      </c>
      <c r="C517" s="110" t="s">
        <v>1869</v>
      </c>
      <c r="D517" s="120" t="s">
        <v>1870</v>
      </c>
      <c r="E517" s="110" t="s">
        <v>2603</v>
      </c>
      <c r="F517" s="104" t="s">
        <v>2408</v>
      </c>
      <c r="G517" s="112">
        <v>830.0</v>
      </c>
      <c r="H517" s="112">
        <v>8.0</v>
      </c>
      <c r="I517" s="112">
        <v>7.0</v>
      </c>
      <c r="J517" s="112">
        <v>3.0</v>
      </c>
      <c r="K517" s="112">
        <v>1930.0</v>
      </c>
      <c r="L517" s="110" t="s">
        <v>197</v>
      </c>
      <c r="M517" s="110" t="s">
        <v>197</v>
      </c>
      <c r="N517" s="112">
        <v>10.0</v>
      </c>
      <c r="O517" s="110" t="s">
        <v>197</v>
      </c>
      <c r="P517" s="115"/>
      <c r="Q517" s="115"/>
      <c r="R517" s="115"/>
      <c r="S517" s="115"/>
      <c r="T517" s="114" t="s">
        <v>2604</v>
      </c>
      <c r="U517" s="114" t="s">
        <v>2605</v>
      </c>
      <c r="V517" s="114" t="s">
        <v>2606</v>
      </c>
      <c r="W517" s="110" t="s">
        <v>197</v>
      </c>
      <c r="X517" s="115"/>
      <c r="Y517" s="115"/>
      <c r="Z517" s="110" t="s">
        <v>1876</v>
      </c>
      <c r="AA517" s="112">
        <v>3.0</v>
      </c>
      <c r="AB517" s="115"/>
      <c r="AC517" s="116"/>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row>
    <row r="518">
      <c r="A518" s="100" t="s">
        <v>1996</v>
      </c>
      <c r="B518" s="101">
        <v>45793.2839666088</v>
      </c>
      <c r="C518" s="102" t="s">
        <v>2382</v>
      </c>
      <c r="D518" s="103" t="s">
        <v>1998</v>
      </c>
      <c r="E518" s="102" t="s">
        <v>2607</v>
      </c>
      <c r="F518" s="104" t="s">
        <v>1996</v>
      </c>
      <c r="G518" s="105">
        <v>250.0</v>
      </c>
      <c r="H518" s="105">
        <v>9.0</v>
      </c>
      <c r="I518" s="105">
        <v>8.0</v>
      </c>
      <c r="J518" s="105">
        <v>1.0</v>
      </c>
      <c r="K518" s="105">
        <v>1925.0</v>
      </c>
      <c r="L518" s="102" t="s">
        <v>197</v>
      </c>
      <c r="M518" s="102" t="s">
        <v>1005</v>
      </c>
      <c r="N518" s="105">
        <v>9.0</v>
      </c>
      <c r="O518" s="102" t="s">
        <v>401</v>
      </c>
      <c r="P518" s="121">
        <v>0.9</v>
      </c>
      <c r="Q518" s="105">
        <v>9.0</v>
      </c>
      <c r="R518" s="105">
        <v>1.0</v>
      </c>
      <c r="S518" s="105">
        <v>9.0</v>
      </c>
      <c r="T518" s="107" t="s">
        <v>2608</v>
      </c>
      <c r="U518" s="107" t="s">
        <v>2609</v>
      </c>
      <c r="V518" s="107" t="s">
        <v>2610</v>
      </c>
      <c r="W518" s="102" t="s">
        <v>197</v>
      </c>
      <c r="X518" s="106"/>
      <c r="Y518" s="102" t="s">
        <v>401</v>
      </c>
      <c r="Z518" s="102" t="s">
        <v>2004</v>
      </c>
      <c r="AA518" s="105">
        <v>3.0</v>
      </c>
      <c r="AB518" s="106"/>
      <c r="AC518" s="10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row>
    <row r="519">
      <c r="A519" s="100" t="s">
        <v>1290</v>
      </c>
      <c r="B519" s="109">
        <v>45793.29377831018</v>
      </c>
      <c r="C519" s="110" t="s">
        <v>1307</v>
      </c>
      <c r="D519" s="120" t="s">
        <v>2611</v>
      </c>
      <c r="E519" s="110" t="s">
        <v>2612</v>
      </c>
      <c r="F519" s="104" t="s">
        <v>1290</v>
      </c>
      <c r="G519" s="111">
        <v>385.0</v>
      </c>
      <c r="H519" s="112">
        <v>8.0</v>
      </c>
      <c r="I519" s="112">
        <v>7.0</v>
      </c>
      <c r="J519" s="112">
        <v>2.0</v>
      </c>
      <c r="K519" s="120" t="s">
        <v>388</v>
      </c>
      <c r="L519" s="110" t="s">
        <v>197</v>
      </c>
      <c r="M519" s="110" t="s">
        <v>197</v>
      </c>
      <c r="N519" s="112">
        <v>8.0</v>
      </c>
      <c r="O519" s="110" t="s">
        <v>401</v>
      </c>
      <c r="P519" s="113">
        <v>0.0</v>
      </c>
      <c r="Q519" s="112">
        <v>0.0</v>
      </c>
      <c r="R519" s="112">
        <v>10.0</v>
      </c>
      <c r="S519" s="112">
        <v>0.0</v>
      </c>
      <c r="T519" s="114" t="s">
        <v>2613</v>
      </c>
      <c r="U519" s="114" t="s">
        <v>2614</v>
      </c>
      <c r="V519" s="114" t="s">
        <v>2615</v>
      </c>
      <c r="W519" s="115"/>
      <c r="X519" s="115"/>
      <c r="Y519" s="110" t="s">
        <v>401</v>
      </c>
      <c r="Z519" s="110" t="s">
        <v>1077</v>
      </c>
      <c r="AA519" s="112">
        <v>4.0</v>
      </c>
      <c r="AB519" s="115"/>
      <c r="AC519" s="116"/>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row>
    <row r="520">
      <c r="A520" s="100" t="s">
        <v>2273</v>
      </c>
      <c r="B520" s="101">
        <v>45793.32515662037</v>
      </c>
      <c r="C520" s="102" t="s">
        <v>2616</v>
      </c>
      <c r="D520" s="103" t="s">
        <v>2275</v>
      </c>
      <c r="E520" s="102" t="s">
        <v>2617</v>
      </c>
      <c r="F520" s="104" t="s">
        <v>2273</v>
      </c>
      <c r="G520" s="117">
        <v>450.0</v>
      </c>
      <c r="H520" s="105">
        <v>10.0</v>
      </c>
      <c r="I520" s="105">
        <v>9.0</v>
      </c>
      <c r="J520" s="105">
        <v>0.0</v>
      </c>
      <c r="K520" s="105">
        <v>1892.0</v>
      </c>
      <c r="L520" s="102" t="s">
        <v>197</v>
      </c>
      <c r="M520" s="105" t="s">
        <v>2618</v>
      </c>
      <c r="N520" s="105">
        <v>10.0</v>
      </c>
      <c r="O520" s="102" t="s">
        <v>401</v>
      </c>
      <c r="P520" s="121">
        <v>0.0</v>
      </c>
      <c r="Q520" s="105">
        <v>0.0</v>
      </c>
      <c r="R520" s="105">
        <v>0.0</v>
      </c>
      <c r="S520" s="105">
        <v>0.0</v>
      </c>
      <c r="T520" s="107" t="s">
        <v>2619</v>
      </c>
      <c r="U520" s="107" t="s">
        <v>2620</v>
      </c>
      <c r="V520" s="107" t="s">
        <v>2621</v>
      </c>
      <c r="W520" s="106"/>
      <c r="X520" s="106"/>
      <c r="Y520" s="102" t="s">
        <v>401</v>
      </c>
      <c r="Z520" s="102" t="s">
        <v>2281</v>
      </c>
      <c r="AA520" s="105">
        <v>3.0</v>
      </c>
      <c r="AB520" s="106"/>
      <c r="AC520" s="10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row>
    <row r="521">
      <c r="A521" s="100" t="s">
        <v>2531</v>
      </c>
      <c r="B521" s="109">
        <v>45793.34475234954</v>
      </c>
      <c r="C521" s="110" t="s">
        <v>2622</v>
      </c>
      <c r="D521" s="120" t="s">
        <v>1652</v>
      </c>
      <c r="E521" s="110" t="s">
        <v>2623</v>
      </c>
      <c r="F521" s="104" t="s">
        <v>2531</v>
      </c>
      <c r="G521" s="112">
        <v>268.0</v>
      </c>
      <c r="H521" s="112">
        <v>10.0</v>
      </c>
      <c r="I521" s="112">
        <v>8.0</v>
      </c>
      <c r="J521" s="110" t="s">
        <v>197</v>
      </c>
      <c r="K521" s="120" t="s">
        <v>388</v>
      </c>
      <c r="L521" s="110" t="s">
        <v>401</v>
      </c>
      <c r="M521" s="110" t="s">
        <v>197</v>
      </c>
      <c r="N521" s="112">
        <v>7.0</v>
      </c>
      <c r="O521" s="110" t="s">
        <v>401</v>
      </c>
      <c r="P521" s="113">
        <v>0.8</v>
      </c>
      <c r="Q521" s="112">
        <v>9.0</v>
      </c>
      <c r="R521" s="112">
        <v>8.0</v>
      </c>
      <c r="S521" s="112">
        <v>8.0</v>
      </c>
      <c r="T521" s="115"/>
      <c r="U521" s="115"/>
      <c r="V521" s="114" t="s">
        <v>2624</v>
      </c>
      <c r="W521" s="110" t="s">
        <v>197</v>
      </c>
      <c r="X521" s="115"/>
      <c r="Y521" s="110" t="s">
        <v>401</v>
      </c>
      <c r="Z521" s="110" t="s">
        <v>2625</v>
      </c>
      <c r="AA521" s="112">
        <v>3.0</v>
      </c>
      <c r="AB521" s="115"/>
      <c r="AC521" s="116"/>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row>
    <row r="522">
      <c r="A522" s="100" t="s">
        <v>1851</v>
      </c>
      <c r="B522" s="101">
        <v>45793.35190409722</v>
      </c>
      <c r="C522" s="102" t="s">
        <v>2354</v>
      </c>
      <c r="D522" s="103" t="s">
        <v>2626</v>
      </c>
      <c r="E522" s="102" t="s">
        <v>2627</v>
      </c>
      <c r="F522" s="104" t="s">
        <v>1851</v>
      </c>
      <c r="G522" s="117">
        <v>430.0</v>
      </c>
      <c r="H522" s="105">
        <v>8.0</v>
      </c>
      <c r="I522" s="105">
        <v>6.0</v>
      </c>
      <c r="J522" s="105">
        <v>0.0</v>
      </c>
      <c r="K522" s="105">
        <v>1930.0</v>
      </c>
      <c r="L522" s="102" t="s">
        <v>197</v>
      </c>
      <c r="M522" s="102" t="s">
        <v>197</v>
      </c>
      <c r="N522" s="105">
        <v>7.0</v>
      </c>
      <c r="O522" s="102" t="s">
        <v>197</v>
      </c>
      <c r="P522" s="106"/>
      <c r="Q522" s="106"/>
      <c r="R522" s="106"/>
      <c r="S522" s="106"/>
      <c r="T522" s="107" t="s">
        <v>2628</v>
      </c>
      <c r="U522" s="107" t="s">
        <v>2629</v>
      </c>
      <c r="V522" s="107" t="s">
        <v>2630</v>
      </c>
      <c r="W522" s="102" t="s">
        <v>197</v>
      </c>
      <c r="X522" s="106"/>
      <c r="Y522" s="106"/>
      <c r="Z522" s="102" t="s">
        <v>2360</v>
      </c>
      <c r="AA522" s="105">
        <v>3.0</v>
      </c>
      <c r="AB522" s="106"/>
      <c r="AC522" s="10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row>
    <row r="523">
      <c r="A523" s="100" t="s">
        <v>1771</v>
      </c>
      <c r="B523" s="109">
        <v>45793.38736226852</v>
      </c>
      <c r="C523" s="112" t="s">
        <v>1772</v>
      </c>
      <c r="D523" s="120" t="s">
        <v>1773</v>
      </c>
      <c r="E523" s="112" t="s">
        <v>2631</v>
      </c>
      <c r="F523" s="104" t="s">
        <v>1771</v>
      </c>
      <c r="G523" s="112">
        <v>223.0</v>
      </c>
      <c r="H523" s="112">
        <v>8.0</v>
      </c>
      <c r="I523" s="112">
        <v>8.0</v>
      </c>
      <c r="J523" s="112">
        <v>0.0</v>
      </c>
      <c r="K523" s="112" t="s">
        <v>2632</v>
      </c>
      <c r="L523" s="110" t="s">
        <v>197</v>
      </c>
      <c r="M523" s="112" t="s">
        <v>2633</v>
      </c>
      <c r="N523" s="112">
        <v>7.0</v>
      </c>
      <c r="O523" s="110" t="s">
        <v>197</v>
      </c>
      <c r="P523" s="115"/>
      <c r="Q523" s="115"/>
      <c r="R523" s="115"/>
      <c r="S523" s="115"/>
      <c r="T523" s="114" t="s">
        <v>2634</v>
      </c>
      <c r="U523" s="114" t="s">
        <v>2635</v>
      </c>
      <c r="V523" s="114" t="s">
        <v>2636</v>
      </c>
      <c r="W523" s="112" t="s">
        <v>2637</v>
      </c>
      <c r="X523" s="115"/>
      <c r="Y523" s="115"/>
      <c r="Z523" s="110" t="s">
        <v>2638</v>
      </c>
      <c r="AA523" s="112">
        <v>3.0</v>
      </c>
      <c r="AB523" s="115"/>
      <c r="AC523" s="116"/>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row>
    <row r="524">
      <c r="A524" s="100" t="s">
        <v>2070</v>
      </c>
      <c r="B524" s="101">
        <v>45793.39869929398</v>
      </c>
      <c r="C524" s="102" t="s">
        <v>2639</v>
      </c>
      <c r="D524" s="103" t="s">
        <v>2072</v>
      </c>
      <c r="E524" s="102" t="s">
        <v>2640</v>
      </c>
      <c r="F524" s="104" t="s">
        <v>2070</v>
      </c>
      <c r="G524" s="117">
        <v>148.0</v>
      </c>
      <c r="H524" s="105">
        <v>8.0</v>
      </c>
      <c r="I524" s="105">
        <v>5.0</v>
      </c>
      <c r="J524" s="102" t="s">
        <v>197</v>
      </c>
      <c r="K524" s="102" t="s">
        <v>197</v>
      </c>
      <c r="L524" s="102" t="s">
        <v>197</v>
      </c>
      <c r="M524" s="102" t="s">
        <v>197</v>
      </c>
      <c r="N524" s="105">
        <v>7.0</v>
      </c>
      <c r="O524" s="102" t="s">
        <v>401</v>
      </c>
      <c r="P524" s="121">
        <v>0.0</v>
      </c>
      <c r="Q524" s="105">
        <v>0.0</v>
      </c>
      <c r="R524" s="105">
        <v>10.0</v>
      </c>
      <c r="S524" s="105">
        <v>0.0</v>
      </c>
      <c r="T524" s="107" t="s">
        <v>2641</v>
      </c>
      <c r="U524" s="107" t="s">
        <v>2642</v>
      </c>
      <c r="V524" s="107" t="s">
        <v>2643</v>
      </c>
      <c r="W524" s="106"/>
      <c r="X524" s="106"/>
      <c r="Y524" s="102" t="s">
        <v>401</v>
      </c>
      <c r="Z524" s="102" t="s">
        <v>2077</v>
      </c>
      <c r="AA524" s="105">
        <v>3.0</v>
      </c>
      <c r="AB524" s="106"/>
      <c r="AC524" s="10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row>
    <row r="525">
      <c r="A525" s="100" t="s">
        <v>1762</v>
      </c>
      <c r="B525" s="109">
        <v>45793.41914046297</v>
      </c>
      <c r="C525" s="110" t="s">
        <v>1763</v>
      </c>
      <c r="D525" s="120" t="s">
        <v>1764</v>
      </c>
      <c r="E525" s="110" t="s">
        <v>2644</v>
      </c>
      <c r="F525" s="104" t="s">
        <v>1762</v>
      </c>
      <c r="G525" s="112">
        <v>250.0</v>
      </c>
      <c r="H525" s="112">
        <v>6.0</v>
      </c>
      <c r="I525" s="112">
        <v>6.0</v>
      </c>
      <c r="J525" s="112">
        <v>1.0</v>
      </c>
      <c r="K525" s="112">
        <v>1982.0</v>
      </c>
      <c r="L525" s="110" t="s">
        <v>197</v>
      </c>
      <c r="M525" s="110" t="s">
        <v>2645</v>
      </c>
      <c r="N525" s="112">
        <v>7.0</v>
      </c>
      <c r="O525" s="110" t="s">
        <v>197</v>
      </c>
      <c r="P525" s="115"/>
      <c r="Q525" s="115"/>
      <c r="R525" s="115"/>
      <c r="S525" s="115"/>
      <c r="T525" s="114" t="s">
        <v>2646</v>
      </c>
      <c r="U525" s="114" t="s">
        <v>2647</v>
      </c>
      <c r="V525" s="114" t="s">
        <v>2648</v>
      </c>
      <c r="W525" s="110" t="s">
        <v>197</v>
      </c>
      <c r="X525" s="115"/>
      <c r="Y525" s="115"/>
      <c r="Z525" s="110" t="s">
        <v>1770</v>
      </c>
      <c r="AA525" s="112">
        <v>3.0</v>
      </c>
      <c r="AB525" s="115"/>
      <c r="AC525" s="116"/>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row>
    <row r="526">
      <c r="A526" s="100" t="s">
        <v>2454</v>
      </c>
      <c r="B526" s="101">
        <v>45793.42522958333</v>
      </c>
      <c r="C526" s="102" t="s">
        <v>2649</v>
      </c>
      <c r="D526" s="103" t="s">
        <v>2456</v>
      </c>
      <c r="E526" s="102" t="s">
        <v>2650</v>
      </c>
      <c r="F526" s="104" t="s">
        <v>2454</v>
      </c>
      <c r="G526" s="105">
        <v>950.0</v>
      </c>
      <c r="H526" s="105">
        <v>7.0</v>
      </c>
      <c r="I526" s="105">
        <v>9.0</v>
      </c>
      <c r="J526" s="105">
        <v>0.0</v>
      </c>
      <c r="K526" s="102" t="s">
        <v>1005</v>
      </c>
      <c r="L526" s="102" t="s">
        <v>197</v>
      </c>
      <c r="M526" s="102" t="s">
        <v>2651</v>
      </c>
      <c r="N526" s="105">
        <v>9.0</v>
      </c>
      <c r="O526" s="102" t="s">
        <v>197</v>
      </c>
      <c r="P526" s="106"/>
      <c r="Q526" s="106"/>
      <c r="R526" s="106"/>
      <c r="S526" s="106"/>
      <c r="T526" s="107" t="s">
        <v>2652</v>
      </c>
      <c r="U526" s="107" t="s">
        <v>2653</v>
      </c>
      <c r="V526" s="107" t="s">
        <v>2654</v>
      </c>
      <c r="W526" s="106"/>
      <c r="X526" s="106"/>
      <c r="Y526" s="106"/>
      <c r="Z526" s="102" t="s">
        <v>2655</v>
      </c>
      <c r="AA526" s="105">
        <v>3.0</v>
      </c>
      <c r="AB526" s="106"/>
      <c r="AC526" s="10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row>
    <row r="527">
      <c r="A527" s="100" t="s">
        <v>1839</v>
      </c>
      <c r="B527" s="109">
        <v>45793.43377777778</v>
      </c>
      <c r="C527" s="110" t="s">
        <v>2349</v>
      </c>
      <c r="D527" s="120" t="s">
        <v>1840</v>
      </c>
      <c r="E527" s="110" t="s">
        <v>2350</v>
      </c>
      <c r="F527" s="104" t="s">
        <v>1839</v>
      </c>
      <c r="G527" s="112">
        <v>343.0</v>
      </c>
      <c r="H527" s="112">
        <v>8.0</v>
      </c>
      <c r="I527" s="112">
        <v>6.0</v>
      </c>
      <c r="J527" s="112">
        <v>0.0</v>
      </c>
      <c r="K527" s="112">
        <v>1874.0</v>
      </c>
      <c r="L527" s="110" t="s">
        <v>197</v>
      </c>
      <c r="M527" s="110" t="s">
        <v>197</v>
      </c>
      <c r="N527" s="112">
        <v>7.0</v>
      </c>
      <c r="O527" s="110" t="s">
        <v>197</v>
      </c>
      <c r="P527" s="115"/>
      <c r="Q527" s="115"/>
      <c r="R527" s="115"/>
      <c r="S527" s="115"/>
      <c r="T527" s="114" t="s">
        <v>2656</v>
      </c>
      <c r="U527" s="114" t="s">
        <v>2657</v>
      </c>
      <c r="V527" s="114" t="s">
        <v>2658</v>
      </c>
      <c r="W527" s="110" t="s">
        <v>2659</v>
      </c>
      <c r="X527" s="115"/>
      <c r="Y527" s="115"/>
      <c r="Z527" s="110" t="s">
        <v>1846</v>
      </c>
      <c r="AA527" s="112">
        <v>3.0</v>
      </c>
      <c r="AB527" s="115"/>
      <c r="AC527" s="116"/>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row>
    <row r="528">
      <c r="A528" s="100" t="s">
        <v>2660</v>
      </c>
      <c r="B528" s="101">
        <v>45793.444740439816</v>
      </c>
      <c r="C528" s="102" t="s">
        <v>1878</v>
      </c>
      <c r="D528" s="103" t="s">
        <v>2661</v>
      </c>
      <c r="E528" s="102" t="s">
        <v>2345</v>
      </c>
      <c r="F528" s="104" t="s">
        <v>2660</v>
      </c>
      <c r="G528" s="117">
        <v>820.0</v>
      </c>
      <c r="H528" s="105">
        <v>5.0</v>
      </c>
      <c r="I528" s="105">
        <v>5.0</v>
      </c>
      <c r="J528" s="105">
        <v>2.0</v>
      </c>
      <c r="K528" s="105">
        <v>1323.0</v>
      </c>
      <c r="L528" s="102" t="s">
        <v>197</v>
      </c>
      <c r="M528" s="102" t="s">
        <v>197</v>
      </c>
      <c r="N528" s="105">
        <v>7.0</v>
      </c>
      <c r="O528" s="102" t="s">
        <v>197</v>
      </c>
      <c r="P528" s="106"/>
      <c r="Q528" s="106"/>
      <c r="R528" s="106"/>
      <c r="S528" s="106"/>
      <c r="T528" s="107" t="s">
        <v>2662</v>
      </c>
      <c r="U528" s="107" t="s">
        <v>2663</v>
      </c>
      <c r="V528" s="107" t="s">
        <v>2664</v>
      </c>
      <c r="W528" s="102" t="s">
        <v>197</v>
      </c>
      <c r="X528" s="106"/>
      <c r="Y528" s="106"/>
      <c r="Z528" s="102" t="s">
        <v>2665</v>
      </c>
      <c r="AA528" s="105">
        <v>3.0</v>
      </c>
      <c r="AB528" s="106"/>
      <c r="AC528" s="10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row>
    <row r="529">
      <c r="A529" s="100" t="s">
        <v>2324</v>
      </c>
      <c r="B529" s="109">
        <v>45793.449796388886</v>
      </c>
      <c r="C529" s="110" t="s">
        <v>2325</v>
      </c>
      <c r="D529" s="120" t="s">
        <v>2666</v>
      </c>
      <c r="E529" s="110" t="s">
        <v>2667</v>
      </c>
      <c r="F529" s="104" t="s">
        <v>2324</v>
      </c>
      <c r="G529" s="112">
        <v>200.0</v>
      </c>
      <c r="H529" s="112">
        <v>5.0</v>
      </c>
      <c r="I529" s="112">
        <v>5.0</v>
      </c>
      <c r="J529" s="112">
        <v>3.0</v>
      </c>
      <c r="K529" s="110" t="s">
        <v>197</v>
      </c>
      <c r="L529" s="110" t="s">
        <v>197</v>
      </c>
      <c r="M529" s="110" t="s">
        <v>197</v>
      </c>
      <c r="N529" s="112">
        <v>7.0</v>
      </c>
      <c r="O529" s="110" t="s">
        <v>197</v>
      </c>
      <c r="P529" s="115"/>
      <c r="Q529" s="115"/>
      <c r="R529" s="115"/>
      <c r="S529" s="115"/>
      <c r="T529" s="114" t="s">
        <v>2668</v>
      </c>
      <c r="U529" s="114" t="s">
        <v>2669</v>
      </c>
      <c r="V529" s="114" t="s">
        <v>2670</v>
      </c>
      <c r="W529" s="110" t="s">
        <v>197</v>
      </c>
      <c r="X529" s="115"/>
      <c r="Y529" s="115"/>
      <c r="Z529" s="110" t="s">
        <v>2671</v>
      </c>
      <c r="AA529" s="112">
        <v>3.0</v>
      </c>
      <c r="AB529" s="115"/>
      <c r="AC529" s="116"/>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row>
    <row r="530">
      <c r="A530" s="100" t="s">
        <v>2672</v>
      </c>
      <c r="B530" s="101">
        <v>45793.48611016203</v>
      </c>
      <c r="C530" s="102" t="s">
        <v>2673</v>
      </c>
      <c r="D530" s="103" t="s">
        <v>2094</v>
      </c>
      <c r="E530" s="102" t="s">
        <v>2674</v>
      </c>
      <c r="F530" s="104" t="s">
        <v>2672</v>
      </c>
      <c r="G530" s="105">
        <v>917.0</v>
      </c>
      <c r="H530" s="105">
        <v>9.0</v>
      </c>
      <c r="I530" s="105">
        <v>8.0</v>
      </c>
      <c r="J530" s="105">
        <v>0.0</v>
      </c>
      <c r="K530" s="105">
        <v>1965.0</v>
      </c>
      <c r="L530" s="102" t="s">
        <v>197</v>
      </c>
      <c r="M530" s="102" t="s">
        <v>197</v>
      </c>
      <c r="N530" s="105">
        <v>9.0</v>
      </c>
      <c r="O530" s="102" t="s">
        <v>197</v>
      </c>
      <c r="P530" s="106"/>
      <c r="Q530" s="106"/>
      <c r="R530" s="106"/>
      <c r="S530" s="106"/>
      <c r="T530" s="107" t="s">
        <v>2675</v>
      </c>
      <c r="U530" s="107" t="s">
        <v>2676</v>
      </c>
      <c r="V530" s="107" t="s">
        <v>2677</v>
      </c>
      <c r="W530" s="106"/>
      <c r="X530" s="106"/>
      <c r="Y530" s="106"/>
      <c r="Z530" s="102" t="s">
        <v>2099</v>
      </c>
      <c r="AA530" s="105">
        <v>3.0</v>
      </c>
      <c r="AB530" s="106"/>
      <c r="AC530" s="10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row>
    <row r="531">
      <c r="A531" s="100" t="s">
        <v>2678</v>
      </c>
      <c r="B531" s="109">
        <v>45793.52408819445</v>
      </c>
      <c r="C531" s="110" t="s">
        <v>2679</v>
      </c>
      <c r="D531" s="120" t="s">
        <v>1942</v>
      </c>
      <c r="E531" s="110" t="s">
        <v>2680</v>
      </c>
      <c r="F531" s="104" t="s">
        <v>2678</v>
      </c>
      <c r="G531" s="111">
        <v>170.0</v>
      </c>
      <c r="H531" s="112">
        <v>8.0</v>
      </c>
      <c r="I531" s="112">
        <v>8.0</v>
      </c>
      <c r="J531" s="112">
        <v>0.0</v>
      </c>
      <c r="K531" s="112">
        <v>1989.0</v>
      </c>
      <c r="L531" s="110" t="s">
        <v>197</v>
      </c>
      <c r="M531" s="110" t="s">
        <v>1005</v>
      </c>
      <c r="N531" s="112">
        <v>7.0</v>
      </c>
      <c r="O531" s="110" t="s">
        <v>197</v>
      </c>
      <c r="P531" s="115"/>
      <c r="Q531" s="115"/>
      <c r="R531" s="115"/>
      <c r="S531" s="115"/>
      <c r="T531" s="114" t="s">
        <v>2681</v>
      </c>
      <c r="U531" s="114" t="s">
        <v>2682</v>
      </c>
      <c r="V531" s="114" t="s">
        <v>2683</v>
      </c>
      <c r="W531" s="115"/>
      <c r="X531" s="115"/>
      <c r="Y531" s="115"/>
      <c r="Z531" s="110" t="s">
        <v>1691</v>
      </c>
      <c r="AA531" s="112">
        <v>3.0</v>
      </c>
      <c r="AB531" s="115"/>
      <c r="AC531" s="116"/>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row>
    <row r="532">
      <c r="A532" s="100" t="s">
        <v>2684</v>
      </c>
      <c r="B532" s="101">
        <v>45793.54167306713</v>
      </c>
      <c r="C532" s="102" t="s">
        <v>1081</v>
      </c>
      <c r="D532" s="103" t="s">
        <v>1079</v>
      </c>
      <c r="E532" s="102" t="s">
        <v>2685</v>
      </c>
      <c r="F532" s="104" t="s">
        <v>2684</v>
      </c>
      <c r="G532" s="105">
        <v>160.0</v>
      </c>
      <c r="H532" s="105">
        <v>8.0</v>
      </c>
      <c r="I532" s="105">
        <v>8.0</v>
      </c>
      <c r="J532" s="105">
        <v>3.0</v>
      </c>
      <c r="K532" s="105">
        <v>1651.0</v>
      </c>
      <c r="L532" s="102" t="s">
        <v>197</v>
      </c>
      <c r="M532" s="102" t="s">
        <v>2686</v>
      </c>
      <c r="N532" s="105">
        <v>8.0</v>
      </c>
      <c r="O532" s="102" t="s">
        <v>197</v>
      </c>
      <c r="P532" s="106"/>
      <c r="Q532" s="106"/>
      <c r="R532" s="106"/>
      <c r="S532" s="106"/>
      <c r="T532" s="107" t="s">
        <v>2687</v>
      </c>
      <c r="U532" s="107" t="s">
        <v>2688</v>
      </c>
      <c r="V532" s="107" t="s">
        <v>2689</v>
      </c>
      <c r="W532" s="105" t="s">
        <v>2690</v>
      </c>
      <c r="X532" s="106"/>
      <c r="Y532" s="106"/>
      <c r="Z532" s="102" t="s">
        <v>1081</v>
      </c>
      <c r="AA532" s="105">
        <v>3.0</v>
      </c>
      <c r="AB532" s="106"/>
      <c r="AC532" s="10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row>
    <row r="533">
      <c r="A533" s="100" t="s">
        <v>1817</v>
      </c>
      <c r="B533" s="109">
        <v>45794.09148631945</v>
      </c>
      <c r="C533" s="110" t="s">
        <v>1818</v>
      </c>
      <c r="D533" s="120" t="s">
        <v>2499</v>
      </c>
      <c r="E533" s="110" t="s">
        <v>2691</v>
      </c>
      <c r="F533" s="104" t="s">
        <v>1817</v>
      </c>
      <c r="G533" s="112">
        <v>180.0</v>
      </c>
      <c r="H533" s="112">
        <v>10.0</v>
      </c>
      <c r="I533" s="112">
        <v>10.0</v>
      </c>
      <c r="J533" s="112">
        <v>0.0</v>
      </c>
      <c r="K533" s="112">
        <v>1955.0</v>
      </c>
      <c r="L533" s="110" t="s">
        <v>197</v>
      </c>
      <c r="M533" s="110" t="s">
        <v>197</v>
      </c>
      <c r="N533" s="112">
        <v>10.0</v>
      </c>
      <c r="O533" s="110" t="s">
        <v>401</v>
      </c>
      <c r="P533" s="113">
        <v>1.0</v>
      </c>
      <c r="Q533" s="112">
        <v>10.0</v>
      </c>
      <c r="R533" s="112">
        <v>0.0</v>
      </c>
      <c r="S533" s="112">
        <v>8.0</v>
      </c>
      <c r="T533" s="114" t="s">
        <v>2692</v>
      </c>
      <c r="U533" s="114" t="s">
        <v>2693</v>
      </c>
      <c r="V533" s="114" t="s">
        <v>2694</v>
      </c>
      <c r="W533" s="115"/>
      <c r="X533" s="115"/>
      <c r="Y533" s="110" t="s">
        <v>401</v>
      </c>
      <c r="Z533" s="110" t="s">
        <v>2504</v>
      </c>
      <c r="AA533" s="112">
        <v>3.0</v>
      </c>
      <c r="AB533" s="115"/>
      <c r="AC533" s="116"/>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row>
    <row r="534">
      <c r="A534" s="100" t="s">
        <v>2154</v>
      </c>
      <c r="B534" s="101">
        <v>45794.09671896991</v>
      </c>
      <c r="C534" s="102" t="s">
        <v>1818</v>
      </c>
      <c r="D534" s="103" t="s">
        <v>2499</v>
      </c>
      <c r="E534" s="102" t="s">
        <v>2505</v>
      </c>
      <c r="F534" s="104" t="s">
        <v>2154</v>
      </c>
      <c r="G534" s="117">
        <v>168.0</v>
      </c>
      <c r="H534" s="105">
        <v>7.0</v>
      </c>
      <c r="I534" s="105">
        <v>7.0</v>
      </c>
      <c r="J534" s="105">
        <v>2.0</v>
      </c>
      <c r="K534" s="105">
        <v>1965.0</v>
      </c>
      <c r="L534" s="102" t="s">
        <v>197</v>
      </c>
      <c r="M534" s="102" t="s">
        <v>197</v>
      </c>
      <c r="N534" s="105">
        <v>7.0</v>
      </c>
      <c r="O534" s="102" t="s">
        <v>401</v>
      </c>
      <c r="P534" s="121">
        <v>0.5</v>
      </c>
      <c r="Q534" s="105">
        <v>5.0</v>
      </c>
      <c r="R534" s="105">
        <v>5.0</v>
      </c>
      <c r="S534" s="105">
        <v>5.0</v>
      </c>
      <c r="T534" s="107" t="s">
        <v>2695</v>
      </c>
      <c r="U534" s="107" t="s">
        <v>2696</v>
      </c>
      <c r="V534" s="107" t="s">
        <v>2697</v>
      </c>
      <c r="W534" s="106"/>
      <c r="X534" s="106"/>
      <c r="Y534" s="102" t="s">
        <v>401</v>
      </c>
      <c r="Z534" s="102" t="s">
        <v>2504</v>
      </c>
      <c r="AA534" s="105">
        <v>3.0</v>
      </c>
      <c r="AB534" s="106"/>
      <c r="AC534" s="10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row>
    <row r="535">
      <c r="A535" s="126" t="s">
        <v>2537</v>
      </c>
      <c r="B535" s="109">
        <v>45794.145495324075</v>
      </c>
      <c r="C535" s="110" t="s">
        <v>2698</v>
      </c>
      <c r="D535" s="120" t="s">
        <v>2187</v>
      </c>
      <c r="E535" s="110" t="s">
        <v>2699</v>
      </c>
      <c r="F535" s="124" t="s">
        <v>2537</v>
      </c>
      <c r="G535" s="112">
        <v>685.0</v>
      </c>
      <c r="H535" s="112">
        <v>10.0</v>
      </c>
      <c r="I535" s="112">
        <v>8.0</v>
      </c>
      <c r="J535" s="112">
        <v>0.0</v>
      </c>
      <c r="K535" s="112">
        <v>2003.0</v>
      </c>
      <c r="L535" s="110" t="s">
        <v>197</v>
      </c>
      <c r="M535" s="110" t="s">
        <v>2700</v>
      </c>
      <c r="N535" s="112">
        <v>9.0</v>
      </c>
      <c r="O535" s="110" t="s">
        <v>197</v>
      </c>
      <c r="P535" s="115"/>
      <c r="Q535" s="115"/>
      <c r="R535" s="115"/>
      <c r="S535" s="115"/>
      <c r="T535" s="114" t="s">
        <v>2701</v>
      </c>
      <c r="U535" s="114" t="s">
        <v>2702</v>
      </c>
      <c r="V535" s="114" t="s">
        <v>2703</v>
      </c>
      <c r="W535" s="115"/>
      <c r="X535" s="115"/>
      <c r="Y535" s="115"/>
      <c r="Z535" s="110" t="s">
        <v>2704</v>
      </c>
      <c r="AA535" s="112">
        <v>3.0</v>
      </c>
      <c r="AB535" s="115"/>
      <c r="AC535" s="116"/>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row>
    <row r="536">
      <c r="A536" s="100" t="s">
        <v>2195</v>
      </c>
      <c r="B536" s="109">
        <v>45794.26381862268</v>
      </c>
      <c r="C536" s="110" t="s">
        <v>2705</v>
      </c>
      <c r="D536" s="120" t="s">
        <v>2197</v>
      </c>
      <c r="E536" s="110" t="s">
        <v>2706</v>
      </c>
      <c r="F536" s="104" t="s">
        <v>2195</v>
      </c>
      <c r="G536" s="112">
        <v>250.0</v>
      </c>
      <c r="H536" s="112">
        <v>8.0</v>
      </c>
      <c r="I536" s="112">
        <v>7.0</v>
      </c>
      <c r="J536" s="112">
        <v>0.0</v>
      </c>
      <c r="K536" s="110" t="s">
        <v>197</v>
      </c>
      <c r="L536" s="110" t="s">
        <v>197</v>
      </c>
      <c r="M536" s="110" t="s">
        <v>197</v>
      </c>
      <c r="N536" s="112">
        <v>7.0</v>
      </c>
      <c r="O536" s="110" t="s">
        <v>401</v>
      </c>
      <c r="P536" s="113">
        <v>0.7</v>
      </c>
      <c r="Q536" s="112">
        <v>7.0</v>
      </c>
      <c r="R536" s="112">
        <v>3.0</v>
      </c>
      <c r="S536" s="112">
        <v>7.0</v>
      </c>
      <c r="T536" s="114" t="s">
        <v>2707</v>
      </c>
      <c r="U536" s="114" t="s">
        <v>2708</v>
      </c>
      <c r="V536" s="114" t="s">
        <v>2709</v>
      </c>
      <c r="W536" s="110" t="s">
        <v>197</v>
      </c>
      <c r="X536" s="115"/>
      <c r="Y536" s="110" t="s">
        <v>401</v>
      </c>
      <c r="Z536" s="110" t="s">
        <v>2202</v>
      </c>
      <c r="AA536" s="112">
        <v>3.0</v>
      </c>
      <c r="AB536" s="115"/>
      <c r="AC536" s="116"/>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row>
    <row r="537">
      <c r="A537" s="126" t="s">
        <v>1969</v>
      </c>
      <c r="B537" s="101">
        <v>45794.364506921294</v>
      </c>
      <c r="C537" s="102" t="s">
        <v>2710</v>
      </c>
      <c r="D537" s="103" t="s">
        <v>1971</v>
      </c>
      <c r="E537" s="102" t="s">
        <v>2711</v>
      </c>
      <c r="F537" s="124" t="s">
        <v>1969</v>
      </c>
      <c r="G537" s="117">
        <v>78.0</v>
      </c>
      <c r="H537" s="105">
        <v>8.0</v>
      </c>
      <c r="I537" s="105">
        <v>7.0</v>
      </c>
      <c r="J537" s="105">
        <v>1.0</v>
      </c>
      <c r="K537" s="105">
        <v>2002.0</v>
      </c>
      <c r="L537" s="102" t="s">
        <v>197</v>
      </c>
      <c r="M537" s="102" t="s">
        <v>2712</v>
      </c>
      <c r="N537" s="105">
        <v>8.0</v>
      </c>
      <c r="O537" s="102" t="s">
        <v>197</v>
      </c>
      <c r="P537" s="106"/>
      <c r="Q537" s="106"/>
      <c r="R537" s="106"/>
      <c r="S537" s="106"/>
      <c r="T537" s="107" t="s">
        <v>2713</v>
      </c>
      <c r="U537" s="107" t="s">
        <v>2714</v>
      </c>
      <c r="V537" s="107" t="s">
        <v>2715</v>
      </c>
      <c r="W537" s="102" t="s">
        <v>2716</v>
      </c>
      <c r="X537" s="106"/>
      <c r="Y537" s="106"/>
      <c r="Z537" s="102" t="s">
        <v>2099</v>
      </c>
      <c r="AA537" s="105">
        <v>3.0</v>
      </c>
      <c r="AB537" s="106"/>
      <c r="AC537" s="10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row>
    <row r="538">
      <c r="A538" s="100" t="s">
        <v>2203</v>
      </c>
      <c r="B538" s="109">
        <v>45794.55507232639</v>
      </c>
      <c r="C538" s="110" t="s">
        <v>2204</v>
      </c>
      <c r="D538" s="120" t="s">
        <v>1079</v>
      </c>
      <c r="E538" s="112" t="s">
        <v>2717</v>
      </c>
      <c r="F538" s="104" t="s">
        <v>2203</v>
      </c>
      <c r="G538" s="112">
        <v>300.0</v>
      </c>
      <c r="H538" s="112">
        <v>9.0</v>
      </c>
      <c r="I538" s="112">
        <v>7.0</v>
      </c>
      <c r="J538" s="112">
        <v>2.0</v>
      </c>
      <c r="K538" s="120" t="s">
        <v>388</v>
      </c>
      <c r="L538" s="110" t="s">
        <v>197</v>
      </c>
      <c r="M538" s="112" t="s">
        <v>2435</v>
      </c>
      <c r="N538" s="112">
        <v>9.0</v>
      </c>
      <c r="O538" s="110" t="s">
        <v>401</v>
      </c>
      <c r="P538" s="113">
        <v>0.0</v>
      </c>
      <c r="Q538" s="112">
        <v>0.0</v>
      </c>
      <c r="R538" s="112">
        <v>10.0</v>
      </c>
      <c r="S538" s="112">
        <v>0.0</v>
      </c>
      <c r="T538" s="115"/>
      <c r="U538" s="115"/>
      <c r="V538" s="114" t="s">
        <v>2718</v>
      </c>
      <c r="W538" s="115"/>
      <c r="X538" s="115"/>
      <c r="Y538" s="110" t="s">
        <v>401</v>
      </c>
      <c r="Z538" s="110" t="s">
        <v>1081</v>
      </c>
      <c r="AA538" s="112">
        <v>3.0</v>
      </c>
      <c r="AB538" s="115"/>
      <c r="AC538" s="116"/>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row>
    <row r="539">
      <c r="A539" s="100" t="s">
        <v>1211</v>
      </c>
      <c r="B539" s="101">
        <v>45794.56076620371</v>
      </c>
      <c r="C539" s="102" t="s">
        <v>2719</v>
      </c>
      <c r="D539" s="103" t="s">
        <v>2720</v>
      </c>
      <c r="E539" s="102" t="s">
        <v>2721</v>
      </c>
      <c r="F539" s="104" t="s">
        <v>1211</v>
      </c>
      <c r="G539" s="117">
        <v>277.0</v>
      </c>
      <c r="H539" s="105">
        <v>7.0</v>
      </c>
      <c r="I539" s="105">
        <v>7.0</v>
      </c>
      <c r="J539" s="105">
        <v>2.0</v>
      </c>
      <c r="K539" s="103" t="s">
        <v>388</v>
      </c>
      <c r="L539" s="102" t="s">
        <v>197</v>
      </c>
      <c r="M539" s="102" t="s">
        <v>197</v>
      </c>
      <c r="N539" s="105">
        <v>9.0</v>
      </c>
      <c r="O539" s="102" t="s">
        <v>401</v>
      </c>
      <c r="P539" s="121">
        <v>0.0</v>
      </c>
      <c r="Q539" s="105">
        <v>0.0</v>
      </c>
      <c r="R539" s="105">
        <v>10.0</v>
      </c>
      <c r="S539" s="105">
        <v>0.0</v>
      </c>
      <c r="T539" s="107" t="s">
        <v>2722</v>
      </c>
      <c r="U539" s="107" t="s">
        <v>2723</v>
      </c>
      <c r="V539" s="107" t="s">
        <v>2724</v>
      </c>
      <c r="W539" s="105">
        <v>0.0</v>
      </c>
      <c r="X539" s="106"/>
      <c r="Y539" s="102" t="s">
        <v>401</v>
      </c>
      <c r="Z539" s="102" t="s">
        <v>1297</v>
      </c>
      <c r="AA539" s="105">
        <v>4.0</v>
      </c>
      <c r="AB539" s="106"/>
      <c r="AC539" s="10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row>
    <row r="540">
      <c r="A540" s="100" t="s">
        <v>1784</v>
      </c>
      <c r="B540" s="109">
        <v>45794.5644896875</v>
      </c>
      <c r="C540" s="110" t="s">
        <v>2725</v>
      </c>
      <c r="D540" s="120" t="s">
        <v>1079</v>
      </c>
      <c r="E540" s="112" t="s">
        <v>2726</v>
      </c>
      <c r="F540" s="104" t="s">
        <v>1784</v>
      </c>
      <c r="G540" s="112">
        <v>200.0</v>
      </c>
      <c r="H540" s="112">
        <v>8.0</v>
      </c>
      <c r="I540" s="112">
        <v>6.0</v>
      </c>
      <c r="J540" s="112">
        <v>3.0</v>
      </c>
      <c r="K540" s="120" t="s">
        <v>388</v>
      </c>
      <c r="L540" s="110" t="s">
        <v>197</v>
      </c>
      <c r="M540" s="112" t="s">
        <v>2727</v>
      </c>
      <c r="N540" s="112">
        <v>8.0</v>
      </c>
      <c r="O540" s="110" t="s">
        <v>401</v>
      </c>
      <c r="P540" s="113">
        <v>0.0</v>
      </c>
      <c r="Q540" s="112">
        <v>0.0</v>
      </c>
      <c r="R540" s="112">
        <v>10.0</v>
      </c>
      <c r="S540" s="112">
        <v>0.0</v>
      </c>
      <c r="T540" s="110" t="s">
        <v>2728</v>
      </c>
      <c r="U540" s="114" t="s">
        <v>2729</v>
      </c>
      <c r="V540" s="114" t="s">
        <v>2730</v>
      </c>
      <c r="W540" s="115"/>
      <c r="X540" s="115"/>
      <c r="Y540" s="110" t="s">
        <v>401</v>
      </c>
      <c r="Z540" s="110" t="s">
        <v>1081</v>
      </c>
      <c r="AA540" s="112">
        <v>3.0</v>
      </c>
      <c r="AB540" s="115"/>
      <c r="AC540" s="116"/>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row>
    <row r="541">
      <c r="A541" s="100" t="s">
        <v>2731</v>
      </c>
      <c r="B541" s="101">
        <v>45794.984598634255</v>
      </c>
      <c r="C541" s="102" t="s">
        <v>1671</v>
      </c>
      <c r="D541" s="103" t="s">
        <v>1672</v>
      </c>
      <c r="E541" s="102" t="s">
        <v>2732</v>
      </c>
      <c r="F541" s="104" t="s">
        <v>2731</v>
      </c>
      <c r="G541" s="105">
        <v>210.0</v>
      </c>
      <c r="H541" s="105">
        <v>8.0</v>
      </c>
      <c r="I541" s="105">
        <v>9.0</v>
      </c>
      <c r="J541" s="105">
        <v>0.0</v>
      </c>
      <c r="K541" s="105">
        <v>1892.0</v>
      </c>
      <c r="L541" s="102" t="s">
        <v>197</v>
      </c>
      <c r="M541" s="102" t="s">
        <v>2733</v>
      </c>
      <c r="N541" s="105">
        <v>9.0</v>
      </c>
      <c r="O541" s="102" t="s">
        <v>197</v>
      </c>
      <c r="P541" s="106"/>
      <c r="Q541" s="106"/>
      <c r="R541" s="106"/>
      <c r="S541" s="106"/>
      <c r="T541" s="107" t="s">
        <v>2734</v>
      </c>
      <c r="U541" s="107" t="s">
        <v>2735</v>
      </c>
      <c r="V541" s="107" t="s">
        <v>2736</v>
      </c>
      <c r="W541" s="102" t="s">
        <v>2737</v>
      </c>
      <c r="X541" s="106"/>
      <c r="Y541" s="106"/>
      <c r="Z541" s="102" t="s">
        <v>1679</v>
      </c>
      <c r="AA541" s="105">
        <v>3.0</v>
      </c>
      <c r="AB541" s="106"/>
      <c r="AC541" s="10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row>
    <row r="542">
      <c r="A542" s="100" t="s">
        <v>2738</v>
      </c>
      <c r="B542" s="109">
        <v>45795.84866934028</v>
      </c>
      <c r="C542" s="110" t="s">
        <v>2739</v>
      </c>
      <c r="D542" s="120" t="s">
        <v>2214</v>
      </c>
      <c r="E542" s="110" t="s">
        <v>2740</v>
      </c>
      <c r="F542" s="104" t="s">
        <v>2738</v>
      </c>
      <c r="G542" s="111">
        <v>135.0</v>
      </c>
      <c r="H542" s="112">
        <v>8.0</v>
      </c>
      <c r="I542" s="112">
        <v>9.0</v>
      </c>
      <c r="J542" s="120" t="s">
        <v>2741</v>
      </c>
      <c r="K542" s="120" t="s">
        <v>473</v>
      </c>
      <c r="L542" s="110" t="s">
        <v>197</v>
      </c>
      <c r="M542" s="110" t="s">
        <v>1607</v>
      </c>
      <c r="N542" s="112">
        <v>9.0</v>
      </c>
      <c r="O542" s="110" t="s">
        <v>401</v>
      </c>
      <c r="P542" s="113">
        <v>0.9</v>
      </c>
      <c r="Q542" s="112">
        <v>8.0</v>
      </c>
      <c r="R542" s="112">
        <v>2.0</v>
      </c>
      <c r="S542" s="112">
        <v>7.0</v>
      </c>
      <c r="T542" s="114" t="s">
        <v>2742</v>
      </c>
      <c r="U542" s="114" t="s">
        <v>2743</v>
      </c>
      <c r="V542" s="110" t="s">
        <v>2744</v>
      </c>
      <c r="W542" s="110" t="s">
        <v>197</v>
      </c>
      <c r="X542" s="115"/>
      <c r="Y542" s="110" t="s">
        <v>401</v>
      </c>
      <c r="Z542" s="110" t="s">
        <v>2476</v>
      </c>
      <c r="AA542" s="112">
        <v>3.0</v>
      </c>
      <c r="AB542" s="115"/>
      <c r="AC542" s="116"/>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row>
    <row r="543">
      <c r="A543" s="100" t="s">
        <v>2463</v>
      </c>
      <c r="B543" s="101">
        <v>45795.85139244213</v>
      </c>
      <c r="C543" s="102" t="s">
        <v>2464</v>
      </c>
      <c r="D543" s="103" t="s">
        <v>2472</v>
      </c>
      <c r="E543" s="102" t="s">
        <v>2467</v>
      </c>
      <c r="F543" s="104" t="s">
        <v>2463</v>
      </c>
      <c r="G543" s="105">
        <v>22.0</v>
      </c>
      <c r="H543" s="105">
        <v>6.0</v>
      </c>
      <c r="I543" s="105">
        <v>8.0</v>
      </c>
      <c r="J543" s="105">
        <v>1.0</v>
      </c>
      <c r="K543" s="102" t="s">
        <v>197</v>
      </c>
      <c r="L543" s="102" t="s">
        <v>197</v>
      </c>
      <c r="M543" s="102" t="s">
        <v>2745</v>
      </c>
      <c r="N543" s="105">
        <v>9.0</v>
      </c>
      <c r="O543" s="102" t="s">
        <v>401</v>
      </c>
      <c r="P543" s="121">
        <v>1.0</v>
      </c>
      <c r="Q543" s="105">
        <v>9.0</v>
      </c>
      <c r="R543" s="105">
        <v>0.0</v>
      </c>
      <c r="S543" s="105">
        <v>10.0</v>
      </c>
      <c r="T543" s="107" t="s">
        <v>2746</v>
      </c>
      <c r="U543" s="107" t="s">
        <v>2747</v>
      </c>
      <c r="V543" s="107" t="s">
        <v>2748</v>
      </c>
      <c r="W543" s="102" t="s">
        <v>197</v>
      </c>
      <c r="X543" s="106"/>
      <c r="Y543" s="102" t="s">
        <v>401</v>
      </c>
      <c r="Z543" s="102" t="s">
        <v>2219</v>
      </c>
      <c r="AA543" s="105">
        <v>3.0</v>
      </c>
      <c r="AB543" s="106"/>
      <c r="AC543" s="10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row>
    <row r="544">
      <c r="A544" s="100" t="s">
        <v>2084</v>
      </c>
      <c r="B544" s="109">
        <v>45795.8539794213</v>
      </c>
      <c r="C544" s="110" t="s">
        <v>2739</v>
      </c>
      <c r="D544" s="110" t="s">
        <v>2749</v>
      </c>
      <c r="E544" s="110" t="s">
        <v>2750</v>
      </c>
      <c r="F544" s="104" t="s">
        <v>2084</v>
      </c>
      <c r="G544" s="111">
        <v>110.0</v>
      </c>
      <c r="H544" s="112">
        <v>9.0</v>
      </c>
      <c r="I544" s="112">
        <v>9.0</v>
      </c>
      <c r="J544" s="112">
        <v>0.0</v>
      </c>
      <c r="K544" s="110" t="s">
        <v>197</v>
      </c>
      <c r="L544" s="110" t="s">
        <v>197</v>
      </c>
      <c r="M544" s="110" t="s">
        <v>197</v>
      </c>
      <c r="N544" s="112">
        <v>9.0</v>
      </c>
      <c r="O544" s="110" t="s">
        <v>401</v>
      </c>
      <c r="P544" s="113">
        <v>0.9</v>
      </c>
      <c r="Q544" s="112">
        <v>7.0</v>
      </c>
      <c r="R544" s="112">
        <v>9.0</v>
      </c>
      <c r="S544" s="112">
        <v>7.0</v>
      </c>
      <c r="T544" s="114" t="s">
        <v>2751</v>
      </c>
      <c r="U544" s="114" t="s">
        <v>2752</v>
      </c>
      <c r="V544" s="114" t="s">
        <v>2753</v>
      </c>
      <c r="W544" s="110" t="s">
        <v>197</v>
      </c>
      <c r="X544" s="115"/>
      <c r="Y544" s="110" t="s">
        <v>401</v>
      </c>
      <c r="Z544" s="110" t="s">
        <v>2476</v>
      </c>
      <c r="AA544" s="112">
        <v>3.0</v>
      </c>
      <c r="AB544" s="115"/>
      <c r="AC544" s="116"/>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row>
    <row r="545">
      <c r="A545" s="100" t="s">
        <v>2273</v>
      </c>
      <c r="B545" s="101">
        <v>45800.50311790509</v>
      </c>
      <c r="C545" s="105" t="s">
        <v>2754</v>
      </c>
      <c r="D545" s="103" t="s">
        <v>2755</v>
      </c>
      <c r="E545" s="105" t="s">
        <v>2756</v>
      </c>
      <c r="F545" s="104" t="s">
        <v>2273</v>
      </c>
      <c r="G545" s="105">
        <v>403.0</v>
      </c>
      <c r="H545" s="105">
        <v>10.0</v>
      </c>
      <c r="I545" s="105">
        <v>10.0</v>
      </c>
      <c r="J545" s="105">
        <v>0.0</v>
      </c>
      <c r="K545" s="105">
        <v>1892.0</v>
      </c>
      <c r="L545" s="102" t="s">
        <v>197</v>
      </c>
      <c r="M545" s="105" t="s">
        <v>2757</v>
      </c>
      <c r="N545" s="105">
        <v>9.0</v>
      </c>
      <c r="O545" s="102" t="s">
        <v>401</v>
      </c>
      <c r="P545" s="121">
        <v>0.0</v>
      </c>
      <c r="Q545" s="105">
        <v>0.0</v>
      </c>
      <c r="R545" s="105">
        <v>0.0</v>
      </c>
      <c r="S545" s="105">
        <v>0.0</v>
      </c>
      <c r="T545" s="107" t="s">
        <v>2758</v>
      </c>
      <c r="U545" s="107" t="s">
        <v>2759</v>
      </c>
      <c r="V545" s="107" t="s">
        <v>2760</v>
      </c>
      <c r="W545" s="106"/>
      <c r="X545" s="106"/>
      <c r="Y545" s="102" t="s">
        <v>401</v>
      </c>
      <c r="Z545" s="102" t="s">
        <v>2281</v>
      </c>
      <c r="AA545" s="105">
        <v>4.0</v>
      </c>
      <c r="AB545" s="106"/>
      <c r="AC545" s="10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row>
    <row r="546">
      <c r="A546" s="100" t="s">
        <v>1784</v>
      </c>
      <c r="B546" s="109">
        <v>45801.057928842594</v>
      </c>
      <c r="C546" s="110" t="s">
        <v>2725</v>
      </c>
      <c r="D546" s="120" t="s">
        <v>1079</v>
      </c>
      <c r="E546" s="110" t="s">
        <v>2761</v>
      </c>
      <c r="F546" s="104" t="s">
        <v>1784</v>
      </c>
      <c r="G546" s="111">
        <v>190.0</v>
      </c>
      <c r="H546" s="112">
        <v>7.0</v>
      </c>
      <c r="I546" s="112">
        <v>7.0</v>
      </c>
      <c r="J546" s="112">
        <v>3.0</v>
      </c>
      <c r="K546" s="120" t="s">
        <v>388</v>
      </c>
      <c r="L546" s="110" t="s">
        <v>197</v>
      </c>
      <c r="M546" s="112" t="s">
        <v>2727</v>
      </c>
      <c r="N546" s="112">
        <v>8.0</v>
      </c>
      <c r="O546" s="110" t="s">
        <v>401</v>
      </c>
      <c r="P546" s="113">
        <v>0.9</v>
      </c>
      <c r="Q546" s="112">
        <v>9.0</v>
      </c>
      <c r="R546" s="112">
        <v>1.0</v>
      </c>
      <c r="S546" s="112">
        <v>9.0</v>
      </c>
      <c r="T546" s="110" t="s">
        <v>2762</v>
      </c>
      <c r="U546" s="114" t="s">
        <v>2763</v>
      </c>
      <c r="V546" s="114" t="s">
        <v>2764</v>
      </c>
      <c r="W546" s="115"/>
      <c r="X546" s="115"/>
      <c r="Y546" s="110" t="s">
        <v>401</v>
      </c>
      <c r="Z546" s="110" t="s">
        <v>1081</v>
      </c>
      <c r="AA546" s="112">
        <v>4.0</v>
      </c>
      <c r="AB546" s="115"/>
      <c r="AC546" s="116"/>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row>
    <row r="547">
      <c r="A547" s="100" t="s">
        <v>2765</v>
      </c>
      <c r="B547" s="101">
        <v>45801.22455266204</v>
      </c>
      <c r="C547" s="102" t="s">
        <v>2766</v>
      </c>
      <c r="D547" s="103" t="s">
        <v>2499</v>
      </c>
      <c r="E547" s="102" t="s">
        <v>2767</v>
      </c>
      <c r="F547" s="104" t="s">
        <v>2765</v>
      </c>
      <c r="G547" s="117">
        <v>290.0</v>
      </c>
      <c r="H547" s="105">
        <v>10.0</v>
      </c>
      <c r="I547" s="105">
        <v>8.0</v>
      </c>
      <c r="J547" s="105">
        <v>0.0</v>
      </c>
      <c r="K547" s="105">
        <v>1945.0</v>
      </c>
      <c r="L547" s="102" t="s">
        <v>197</v>
      </c>
      <c r="M547" s="102" t="s">
        <v>2767</v>
      </c>
      <c r="N547" s="105">
        <v>8.0</v>
      </c>
      <c r="O547" s="102" t="s">
        <v>197</v>
      </c>
      <c r="P547" s="106"/>
      <c r="Q547" s="106"/>
      <c r="R547" s="106"/>
      <c r="S547" s="106"/>
      <c r="T547" s="107" t="s">
        <v>2768</v>
      </c>
      <c r="U547" s="107" t="s">
        <v>2769</v>
      </c>
      <c r="V547" s="107" t="s">
        <v>2770</v>
      </c>
      <c r="W547" s="106"/>
      <c r="X547" s="106"/>
      <c r="Y547" s="106"/>
      <c r="Z547" s="102" t="s">
        <v>1824</v>
      </c>
      <c r="AA547" s="105">
        <v>3.0</v>
      </c>
      <c r="AB547" s="106"/>
      <c r="AC547" s="10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row>
    <row r="548">
      <c r="A548" s="100" t="s">
        <v>2551</v>
      </c>
      <c r="B548" s="109">
        <v>45801.43310944445</v>
      </c>
      <c r="C548" s="110" t="s">
        <v>1651</v>
      </c>
      <c r="D548" s="120" t="s">
        <v>1652</v>
      </c>
      <c r="E548" s="110" t="s">
        <v>2553</v>
      </c>
      <c r="F548" s="104" t="s">
        <v>2551</v>
      </c>
      <c r="G548" s="112">
        <v>166.0</v>
      </c>
      <c r="H548" s="112">
        <v>10.0</v>
      </c>
      <c r="I548" s="112">
        <v>7.0</v>
      </c>
      <c r="J548" s="110" t="s">
        <v>197</v>
      </c>
      <c r="K548" s="120" t="s">
        <v>388</v>
      </c>
      <c r="L548" s="110" t="s">
        <v>401</v>
      </c>
      <c r="M548" s="110" t="s">
        <v>197</v>
      </c>
      <c r="N548" s="112">
        <v>8.0</v>
      </c>
      <c r="O548" s="110" t="s">
        <v>197</v>
      </c>
      <c r="P548" s="115"/>
      <c r="Q548" s="115"/>
      <c r="R548" s="115"/>
      <c r="S548" s="115"/>
      <c r="T548" s="115"/>
      <c r="U548" s="115"/>
      <c r="V548" s="114" t="s">
        <v>2771</v>
      </c>
      <c r="W548" s="110" t="s">
        <v>197</v>
      </c>
      <c r="X548" s="115"/>
      <c r="Y548" s="115"/>
      <c r="Z548" s="110" t="s">
        <v>1655</v>
      </c>
      <c r="AA548" s="112">
        <v>3.0</v>
      </c>
      <c r="AB548" s="115"/>
      <c r="AC548" s="116"/>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row>
    <row r="549">
      <c r="A549" s="100" t="s">
        <v>2772</v>
      </c>
      <c r="B549" s="101">
        <v>45806.314576273144</v>
      </c>
      <c r="C549" s="102" t="s">
        <v>2773</v>
      </c>
      <c r="D549" s="103" t="s">
        <v>672</v>
      </c>
      <c r="E549" s="102" t="s">
        <v>2774</v>
      </c>
      <c r="F549" s="104" t="s">
        <v>2772</v>
      </c>
      <c r="G549" s="105">
        <v>195.0</v>
      </c>
      <c r="H549" s="105">
        <v>8.0</v>
      </c>
      <c r="I549" s="105">
        <v>7.0</v>
      </c>
      <c r="J549" s="105">
        <v>1.0</v>
      </c>
      <c r="K549" s="105">
        <v>1925.0</v>
      </c>
      <c r="L549" s="102" t="s">
        <v>197</v>
      </c>
      <c r="M549" s="102" t="s">
        <v>2775</v>
      </c>
      <c r="N549" s="105">
        <v>10.0</v>
      </c>
      <c r="O549" s="102" t="s">
        <v>197</v>
      </c>
      <c r="P549" s="106"/>
      <c r="Q549" s="106"/>
      <c r="R549" s="106"/>
      <c r="S549" s="106"/>
      <c r="T549" s="106"/>
      <c r="U549" s="106"/>
      <c r="V549" s="107" t="s">
        <v>2776</v>
      </c>
      <c r="W549" s="102" t="s">
        <v>2777</v>
      </c>
      <c r="X549" s="106"/>
      <c r="Y549" s="106"/>
      <c r="Z549" s="102" t="s">
        <v>676</v>
      </c>
      <c r="AA549" s="105">
        <v>3.0</v>
      </c>
      <c r="AB549" s="106"/>
      <c r="AC549" s="10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row>
    <row r="550">
      <c r="A550" s="130" t="s">
        <v>1809</v>
      </c>
      <c r="B550" s="71">
        <v>45806.32277943287</v>
      </c>
      <c r="C550" s="72" t="s">
        <v>2778</v>
      </c>
      <c r="D550" s="73" t="s">
        <v>672</v>
      </c>
      <c r="E550" s="72" t="s">
        <v>1812</v>
      </c>
      <c r="F550" s="89" t="s">
        <v>1809</v>
      </c>
      <c r="G550" s="76">
        <v>165.0</v>
      </c>
      <c r="H550" s="76">
        <v>8.0</v>
      </c>
      <c r="I550" s="76">
        <v>7.0</v>
      </c>
      <c r="J550" s="76">
        <v>0.0</v>
      </c>
      <c r="K550" s="76">
        <v>1985.0</v>
      </c>
      <c r="L550" s="72" t="s">
        <v>197</v>
      </c>
      <c r="M550" s="72" t="s">
        <v>2779</v>
      </c>
      <c r="N550" s="76">
        <v>9.0</v>
      </c>
      <c r="O550" s="72" t="s">
        <v>401</v>
      </c>
      <c r="P550" s="85">
        <v>0.0</v>
      </c>
      <c r="Q550" s="76">
        <v>0.0</v>
      </c>
      <c r="R550" s="76">
        <v>3.0</v>
      </c>
      <c r="S550" s="76">
        <v>7.0</v>
      </c>
      <c r="T550" s="77"/>
      <c r="U550" s="77"/>
      <c r="V550" s="131" t="s">
        <v>2780</v>
      </c>
      <c r="W550" s="72" t="s">
        <v>2781</v>
      </c>
      <c r="X550" s="77"/>
      <c r="Y550" s="72" t="s">
        <v>401</v>
      </c>
      <c r="Z550" s="72" t="s">
        <v>676</v>
      </c>
      <c r="AA550" s="76">
        <v>1.0</v>
      </c>
      <c r="AB550" s="77"/>
      <c r="AC550" s="79"/>
      <c r="AD550" s="54"/>
      <c r="AE550" s="54"/>
      <c r="AF550" s="54"/>
      <c r="AG550" s="54"/>
      <c r="AH550" s="54"/>
      <c r="AI550" s="38"/>
      <c r="AJ550" s="38"/>
      <c r="AK550" s="38"/>
      <c r="AL550" s="38"/>
      <c r="AM550" s="38"/>
      <c r="AN550" s="38"/>
      <c r="AO550" s="38"/>
      <c r="AP550" s="38"/>
      <c r="AQ550" s="38"/>
      <c r="AR550" s="38"/>
      <c r="AS550" s="38"/>
      <c r="AT550" s="38"/>
      <c r="AU550" s="38"/>
      <c r="AV550" s="38"/>
      <c r="AW550" s="38"/>
      <c r="AX550" s="38"/>
      <c r="AY550" s="38"/>
      <c r="AZ550" s="38"/>
      <c r="BA550" s="38"/>
      <c r="BB550" s="38"/>
      <c r="BC550" s="38"/>
    </row>
    <row r="551">
      <c r="A551" s="110" t="s">
        <v>2782</v>
      </c>
      <c r="B551" s="61">
        <v>45806.325069224535</v>
      </c>
      <c r="C551" s="68" t="s">
        <v>2773</v>
      </c>
      <c r="D551" s="63" t="s">
        <v>672</v>
      </c>
      <c r="E551" s="68" t="s">
        <v>2783</v>
      </c>
      <c r="F551" s="98" t="s">
        <v>2782</v>
      </c>
      <c r="G551" s="62">
        <v>680.0</v>
      </c>
      <c r="H551" s="62">
        <v>8.0</v>
      </c>
      <c r="I551" s="62">
        <v>7.0</v>
      </c>
      <c r="J551" s="62">
        <v>0.0</v>
      </c>
      <c r="K551" s="62">
        <v>1985.0</v>
      </c>
      <c r="L551" s="68" t="s">
        <v>197</v>
      </c>
      <c r="M551" s="68" t="s">
        <v>2784</v>
      </c>
      <c r="N551" s="62">
        <v>9.0</v>
      </c>
      <c r="O551" s="68" t="s">
        <v>197</v>
      </c>
      <c r="P551" s="132"/>
      <c r="Q551" s="66"/>
      <c r="R551" s="66"/>
      <c r="S551" s="66"/>
      <c r="T551" s="66"/>
      <c r="U551" s="66"/>
      <c r="V551" s="67" t="s">
        <v>2785</v>
      </c>
      <c r="W551" s="68" t="s">
        <v>2777</v>
      </c>
      <c r="X551" s="66"/>
      <c r="Y551" s="68" t="s">
        <v>401</v>
      </c>
      <c r="Z551" s="68" t="s">
        <v>676</v>
      </c>
      <c r="AA551" s="62">
        <v>3.0</v>
      </c>
      <c r="AB551" s="66"/>
      <c r="AC551" s="69"/>
      <c r="AD551" s="37"/>
      <c r="AE551" s="37"/>
      <c r="AF551" s="37"/>
      <c r="AG551" s="37"/>
      <c r="AH551" s="37"/>
      <c r="AI551" s="38"/>
      <c r="AJ551" s="38"/>
      <c r="AK551" s="38"/>
      <c r="AL551" s="38"/>
      <c r="AM551" s="38"/>
      <c r="AN551" s="38"/>
      <c r="AO551" s="38"/>
      <c r="AP551" s="38"/>
      <c r="AQ551" s="38"/>
      <c r="AR551" s="38"/>
      <c r="AS551" s="38"/>
      <c r="AT551" s="38"/>
      <c r="AU551" s="38"/>
      <c r="AV551" s="38"/>
      <c r="AW551" s="38"/>
      <c r="AX551" s="38"/>
      <c r="AY551" s="38"/>
      <c r="AZ551" s="38"/>
      <c r="BA551" s="38"/>
      <c r="BB551" s="38"/>
      <c r="BC551" s="38"/>
    </row>
    <row r="552">
      <c r="A552" s="100" t="s">
        <v>2786</v>
      </c>
      <c r="B552" s="109">
        <v>45806.32877944445</v>
      </c>
      <c r="C552" s="110" t="s">
        <v>2773</v>
      </c>
      <c r="D552" s="120" t="s">
        <v>672</v>
      </c>
      <c r="E552" s="110" t="s">
        <v>2787</v>
      </c>
      <c r="F552" s="104" t="s">
        <v>2786</v>
      </c>
      <c r="G552" s="112">
        <v>685.0</v>
      </c>
      <c r="H552" s="112">
        <v>8.0</v>
      </c>
      <c r="I552" s="112">
        <v>7.0</v>
      </c>
      <c r="J552" s="112">
        <v>0.0</v>
      </c>
      <c r="K552" s="112">
        <v>1995.0</v>
      </c>
      <c r="L552" s="110" t="s">
        <v>197</v>
      </c>
      <c r="M552" s="110" t="s">
        <v>197</v>
      </c>
      <c r="N552" s="112">
        <v>9.0</v>
      </c>
      <c r="O552" s="110" t="s">
        <v>401</v>
      </c>
      <c r="P552" s="113">
        <v>0.7</v>
      </c>
      <c r="Q552" s="112">
        <v>7.0</v>
      </c>
      <c r="R552" s="112">
        <v>3.0</v>
      </c>
      <c r="S552" s="112">
        <v>7.0</v>
      </c>
      <c r="T552" s="115"/>
      <c r="U552" s="115"/>
      <c r="V552" s="114" t="s">
        <v>2788</v>
      </c>
      <c r="W552" s="110" t="s">
        <v>2789</v>
      </c>
      <c r="X552" s="115"/>
      <c r="Y552" s="110" t="s">
        <v>401</v>
      </c>
      <c r="Z552" s="110" t="s">
        <v>676</v>
      </c>
      <c r="AA552" s="112">
        <v>3.0</v>
      </c>
      <c r="AB552" s="115"/>
      <c r="AC552" s="116"/>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row>
    <row r="553">
      <c r="A553" s="100" t="s">
        <v>2084</v>
      </c>
      <c r="B553" s="101">
        <v>45809.72509620371</v>
      </c>
      <c r="C553" s="102" t="s">
        <v>671</v>
      </c>
      <c r="D553" s="103" t="s">
        <v>672</v>
      </c>
      <c r="E553" s="102" t="s">
        <v>2790</v>
      </c>
      <c r="F553" s="104" t="s">
        <v>2084</v>
      </c>
      <c r="G553" s="105">
        <v>120.0</v>
      </c>
      <c r="H553" s="105">
        <v>9.0</v>
      </c>
      <c r="I553" s="105">
        <v>8.0</v>
      </c>
      <c r="J553" s="105">
        <v>0.0</v>
      </c>
      <c r="K553" s="105">
        <v>1995.0</v>
      </c>
      <c r="L553" s="102" t="s">
        <v>197</v>
      </c>
      <c r="M553" s="102" t="s">
        <v>197</v>
      </c>
      <c r="N553" s="105">
        <v>9.0</v>
      </c>
      <c r="O553" s="102" t="s">
        <v>401</v>
      </c>
      <c r="P553" s="121">
        <v>0.7</v>
      </c>
      <c r="Q553" s="105">
        <v>7.0</v>
      </c>
      <c r="R553" s="105">
        <v>3.0</v>
      </c>
      <c r="S553" s="105">
        <v>7.0</v>
      </c>
      <c r="T553" s="106"/>
      <c r="U553" s="106"/>
      <c r="V553" s="107" t="s">
        <v>2791</v>
      </c>
      <c r="W553" s="102" t="s">
        <v>2781</v>
      </c>
      <c r="X553" s="106"/>
      <c r="Y553" s="102" t="s">
        <v>401</v>
      </c>
      <c r="Z553" s="102" t="s">
        <v>676</v>
      </c>
      <c r="AA553" s="105">
        <v>2.0</v>
      </c>
      <c r="AB553" s="106"/>
      <c r="AC553" s="10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row>
    <row r="554">
      <c r="A554" s="100" t="s">
        <v>2731</v>
      </c>
      <c r="B554" s="101">
        <v>45809.72971230324</v>
      </c>
      <c r="C554" s="102" t="s">
        <v>671</v>
      </c>
      <c r="D554" s="103" t="s">
        <v>672</v>
      </c>
      <c r="E554" s="102" t="s">
        <v>2792</v>
      </c>
      <c r="F554" s="104" t="s">
        <v>2731</v>
      </c>
      <c r="G554" s="105">
        <v>225.0</v>
      </c>
      <c r="H554" s="105">
        <v>9.0</v>
      </c>
      <c r="I554" s="105">
        <v>8.0</v>
      </c>
      <c r="J554" s="105">
        <v>0.0</v>
      </c>
      <c r="K554" s="105">
        <v>1892.0</v>
      </c>
      <c r="L554" s="102" t="s">
        <v>197</v>
      </c>
      <c r="M554" s="102" t="s">
        <v>2733</v>
      </c>
      <c r="N554" s="105">
        <v>8.0</v>
      </c>
      <c r="O554" s="102" t="s">
        <v>197</v>
      </c>
      <c r="P554" s="106"/>
      <c r="Q554" s="106"/>
      <c r="R554" s="106"/>
      <c r="S554" s="106"/>
      <c r="T554" s="106"/>
      <c r="U554" s="106"/>
      <c r="V554" s="107" t="s">
        <v>2793</v>
      </c>
      <c r="W554" s="102" t="s">
        <v>2794</v>
      </c>
      <c r="X554" s="106"/>
      <c r="Y554" s="106"/>
      <c r="Z554" s="102" t="s">
        <v>676</v>
      </c>
      <c r="AA554" s="105">
        <v>1.0</v>
      </c>
      <c r="AB554" s="106"/>
      <c r="AC554" s="10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row>
    <row r="555">
      <c r="A555" s="100" t="s">
        <v>2795</v>
      </c>
      <c r="B555" s="109">
        <v>45809.734644745375</v>
      </c>
      <c r="C555" s="110" t="s">
        <v>671</v>
      </c>
      <c r="D555" s="120" t="s">
        <v>672</v>
      </c>
      <c r="E555" s="110" t="s">
        <v>2796</v>
      </c>
      <c r="F555" s="104" t="s">
        <v>2795</v>
      </c>
      <c r="G555" s="112">
        <v>167.0</v>
      </c>
      <c r="H555" s="112">
        <v>9.0</v>
      </c>
      <c r="I555" s="112">
        <v>9.0</v>
      </c>
      <c r="J555" s="112">
        <v>0.0</v>
      </c>
      <c r="K555" s="112">
        <v>1984.0</v>
      </c>
      <c r="L555" s="110" t="s">
        <v>197</v>
      </c>
      <c r="M555" s="110" t="s">
        <v>197</v>
      </c>
      <c r="N555" s="112">
        <v>8.0</v>
      </c>
      <c r="O555" s="110" t="s">
        <v>197</v>
      </c>
      <c r="P555" s="115"/>
      <c r="Q555" s="115"/>
      <c r="R555" s="115"/>
      <c r="S555" s="115"/>
      <c r="T555" s="115"/>
      <c r="U555" s="115"/>
      <c r="V555" s="114" t="s">
        <v>2797</v>
      </c>
      <c r="W555" s="110" t="s">
        <v>2794</v>
      </c>
      <c r="X555" s="115"/>
      <c r="Y555" s="115"/>
      <c r="Z555" s="110" t="s">
        <v>676</v>
      </c>
      <c r="AA555" s="112">
        <v>1.0</v>
      </c>
      <c r="AB555" s="115"/>
      <c r="AC555" s="116"/>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row>
    <row r="556">
      <c r="A556" s="100" t="s">
        <v>2795</v>
      </c>
      <c r="B556" s="101">
        <v>45809.73574883102</v>
      </c>
      <c r="C556" s="102" t="s">
        <v>671</v>
      </c>
      <c r="D556" s="103" t="s">
        <v>672</v>
      </c>
      <c r="E556" s="102" t="s">
        <v>2796</v>
      </c>
      <c r="F556" s="104" t="s">
        <v>2795</v>
      </c>
      <c r="G556" s="105">
        <v>180.0</v>
      </c>
      <c r="H556" s="105">
        <v>9.0</v>
      </c>
      <c r="I556" s="105">
        <v>9.0</v>
      </c>
      <c r="J556" s="105">
        <v>0.0</v>
      </c>
      <c r="K556" s="105">
        <v>1984.0</v>
      </c>
      <c r="L556" s="102" t="s">
        <v>197</v>
      </c>
      <c r="M556" s="102" t="s">
        <v>197</v>
      </c>
      <c r="N556" s="105">
        <v>8.0</v>
      </c>
      <c r="O556" s="102" t="s">
        <v>197</v>
      </c>
      <c r="P556" s="106"/>
      <c r="Q556" s="106"/>
      <c r="R556" s="106"/>
      <c r="S556" s="106"/>
      <c r="T556" s="106"/>
      <c r="U556" s="106"/>
      <c r="V556" s="107" t="s">
        <v>2798</v>
      </c>
      <c r="W556" s="102" t="s">
        <v>2781</v>
      </c>
      <c r="X556" s="106"/>
      <c r="Y556" s="106"/>
      <c r="Z556" s="102" t="s">
        <v>676</v>
      </c>
      <c r="AA556" s="117">
        <v>3.0</v>
      </c>
      <c r="AB556" s="106"/>
      <c r="AC556" s="10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row>
    <row r="557">
      <c r="A557" s="100" t="s">
        <v>2477</v>
      </c>
      <c r="B557" s="109">
        <v>45812.748352256946</v>
      </c>
      <c r="C557" s="110" t="s">
        <v>671</v>
      </c>
      <c r="D557" s="120" t="s">
        <v>672</v>
      </c>
      <c r="E557" s="110" t="s">
        <v>2799</v>
      </c>
      <c r="F557" s="104" t="s">
        <v>2477</v>
      </c>
      <c r="G557" s="112">
        <v>105.0</v>
      </c>
      <c r="H557" s="112">
        <v>9.0</v>
      </c>
      <c r="I557" s="112">
        <v>8.0</v>
      </c>
      <c r="J557" s="112">
        <v>0.0</v>
      </c>
      <c r="K557" s="120" t="s">
        <v>388</v>
      </c>
      <c r="L557" s="110" t="s">
        <v>197</v>
      </c>
      <c r="M557" s="110" t="s">
        <v>2800</v>
      </c>
      <c r="N557" s="112">
        <v>8.0</v>
      </c>
      <c r="O557" s="110" t="s">
        <v>197</v>
      </c>
      <c r="P557" s="115"/>
      <c r="Q557" s="115"/>
      <c r="R557" s="115"/>
      <c r="S557" s="115"/>
      <c r="T557" s="115"/>
      <c r="U557" s="115"/>
      <c r="V557" s="114" t="s">
        <v>2801</v>
      </c>
      <c r="W557" s="110" t="s">
        <v>2794</v>
      </c>
      <c r="X557" s="115"/>
      <c r="Y557" s="115"/>
      <c r="Z557" s="110" t="s">
        <v>676</v>
      </c>
      <c r="AA557" s="112">
        <v>1.0</v>
      </c>
      <c r="AB557" s="115"/>
      <c r="AC557" s="116"/>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row>
    <row r="558">
      <c r="A558" s="100" t="s">
        <v>2802</v>
      </c>
      <c r="B558" s="101">
        <v>45823.82175354166</v>
      </c>
      <c r="C558" s="102" t="s">
        <v>2325</v>
      </c>
      <c r="D558" s="133" t="s">
        <v>2803</v>
      </c>
      <c r="E558" s="102" t="s">
        <v>2804</v>
      </c>
      <c r="F558" s="104" t="s">
        <v>2802</v>
      </c>
      <c r="G558" s="105">
        <v>190.0</v>
      </c>
      <c r="H558" s="105">
        <v>9.0</v>
      </c>
      <c r="I558" s="105">
        <v>8.0</v>
      </c>
      <c r="J558" s="105">
        <v>0.0</v>
      </c>
      <c r="K558" s="103" t="s">
        <v>388</v>
      </c>
      <c r="L558" s="102" t="s">
        <v>197</v>
      </c>
      <c r="M558" s="102" t="s">
        <v>197</v>
      </c>
      <c r="N558" s="105">
        <v>8.0</v>
      </c>
      <c r="O558" s="102" t="s">
        <v>197</v>
      </c>
      <c r="P558" s="106"/>
      <c r="Q558" s="106"/>
      <c r="R558" s="106"/>
      <c r="S558" s="106"/>
      <c r="T558" s="106"/>
      <c r="U558" s="106"/>
      <c r="V558" s="107" t="s">
        <v>2805</v>
      </c>
      <c r="W558" s="102" t="s">
        <v>2794</v>
      </c>
      <c r="X558" s="106"/>
      <c r="Y558" s="106"/>
      <c r="Z558" s="102" t="s">
        <v>676</v>
      </c>
      <c r="AA558" s="105">
        <v>1.0</v>
      </c>
      <c r="AB558" s="106"/>
      <c r="AC558" s="10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row>
    <row r="559">
      <c r="A559" s="100" t="s">
        <v>1762</v>
      </c>
      <c r="B559" s="109">
        <v>45829.88904969908</v>
      </c>
      <c r="C559" s="110" t="s">
        <v>2806</v>
      </c>
      <c r="D559" s="120" t="s">
        <v>1764</v>
      </c>
      <c r="E559" s="110" t="s">
        <v>2807</v>
      </c>
      <c r="F559" s="104" t="s">
        <v>1762</v>
      </c>
      <c r="G559" s="112">
        <v>210.0</v>
      </c>
      <c r="H559" s="112">
        <v>8.0</v>
      </c>
      <c r="I559" s="112">
        <v>8.0</v>
      </c>
      <c r="J559" s="112">
        <v>1.0</v>
      </c>
      <c r="K559" s="112">
        <v>1982.0</v>
      </c>
      <c r="L559" s="110" t="s">
        <v>197</v>
      </c>
      <c r="M559" s="110" t="s">
        <v>2808</v>
      </c>
      <c r="N559" s="112">
        <v>8.0</v>
      </c>
      <c r="O559" s="110" t="s">
        <v>401</v>
      </c>
      <c r="P559" s="113">
        <v>0.6</v>
      </c>
      <c r="Q559" s="112">
        <v>6.0</v>
      </c>
      <c r="R559" s="112">
        <v>4.0</v>
      </c>
      <c r="S559" s="112">
        <v>6.0</v>
      </c>
      <c r="T559" s="115"/>
      <c r="U559" s="115"/>
      <c r="V559" s="114" t="s">
        <v>2809</v>
      </c>
      <c r="W559" s="115"/>
      <c r="X559" s="115"/>
      <c r="Y559" s="110" t="s">
        <v>401</v>
      </c>
      <c r="Z559" s="110" t="s">
        <v>1770</v>
      </c>
      <c r="AA559" s="112">
        <v>2.0</v>
      </c>
      <c r="AB559" s="115"/>
      <c r="AC559" s="116"/>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row>
    <row r="560">
      <c r="A560" s="83" t="s">
        <v>2810</v>
      </c>
      <c r="B560" s="101">
        <v>45830.052454537035</v>
      </c>
      <c r="C560" s="102" t="s">
        <v>2811</v>
      </c>
      <c r="D560" s="103" t="s">
        <v>1091</v>
      </c>
      <c r="E560" s="102" t="s">
        <v>2812</v>
      </c>
      <c r="F560" s="122" t="s">
        <v>2810</v>
      </c>
      <c r="G560" s="117">
        <v>220.0</v>
      </c>
      <c r="H560" s="105">
        <v>8.0</v>
      </c>
      <c r="I560" s="105">
        <v>8.0</v>
      </c>
      <c r="J560" s="105">
        <v>1.0</v>
      </c>
      <c r="K560" s="103" t="s">
        <v>388</v>
      </c>
      <c r="L560" s="102" t="s">
        <v>197</v>
      </c>
      <c r="M560" s="102" t="s">
        <v>337</v>
      </c>
      <c r="N560" s="105">
        <v>7.0</v>
      </c>
      <c r="O560" s="102" t="s">
        <v>197</v>
      </c>
      <c r="P560" s="106"/>
      <c r="Q560" s="106"/>
      <c r="R560" s="106"/>
      <c r="S560" s="106"/>
      <c r="T560" s="106"/>
      <c r="U560" s="106"/>
      <c r="V560" s="107" t="s">
        <v>2813</v>
      </c>
      <c r="W560" s="106"/>
      <c r="X560" s="106"/>
      <c r="Y560" s="106"/>
      <c r="Z560" s="102" t="s">
        <v>1094</v>
      </c>
      <c r="AA560" s="105">
        <v>1.0</v>
      </c>
      <c r="AB560" s="106"/>
      <c r="AC560" s="10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row>
    <row r="561">
      <c r="A561" s="100" t="s">
        <v>1784</v>
      </c>
      <c r="B561" s="109">
        <v>45830.06272011574</v>
      </c>
      <c r="C561" s="110" t="s">
        <v>2814</v>
      </c>
      <c r="D561" s="120" t="s">
        <v>1091</v>
      </c>
      <c r="E561" s="110" t="s">
        <v>2815</v>
      </c>
      <c r="F561" s="104" t="s">
        <v>1784</v>
      </c>
      <c r="G561" s="111">
        <v>185.0</v>
      </c>
      <c r="H561" s="112">
        <v>7.0</v>
      </c>
      <c r="I561" s="112">
        <v>7.0</v>
      </c>
      <c r="J561" s="112">
        <v>0.0</v>
      </c>
      <c r="K561" s="120" t="s">
        <v>388</v>
      </c>
      <c r="L561" s="110" t="s">
        <v>197</v>
      </c>
      <c r="M561" s="110" t="s">
        <v>2816</v>
      </c>
      <c r="N561" s="112">
        <v>7.0</v>
      </c>
      <c r="O561" s="110" t="s">
        <v>197</v>
      </c>
      <c r="P561" s="115"/>
      <c r="Q561" s="115"/>
      <c r="R561" s="115"/>
      <c r="S561" s="115"/>
      <c r="T561" s="115"/>
      <c r="U561" s="115"/>
      <c r="V561" s="114" t="s">
        <v>2817</v>
      </c>
      <c r="W561" s="115"/>
      <c r="X561" s="115"/>
      <c r="Y561" s="115"/>
      <c r="Z561" s="110" t="s">
        <v>1094</v>
      </c>
      <c r="AA561" s="112">
        <v>5.0</v>
      </c>
      <c r="AB561" s="115"/>
      <c r="AC561" s="116"/>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row>
    <row r="562">
      <c r="A562" s="100" t="s">
        <v>1132</v>
      </c>
      <c r="B562" s="101">
        <v>45832.1315421412</v>
      </c>
      <c r="C562" s="102" t="s">
        <v>2814</v>
      </c>
      <c r="D562" s="103" t="s">
        <v>1091</v>
      </c>
      <c r="E562" s="102" t="s">
        <v>1133</v>
      </c>
      <c r="F562" s="104" t="s">
        <v>1132</v>
      </c>
      <c r="G562" s="105">
        <v>180.0</v>
      </c>
      <c r="H562" s="105">
        <v>7.0</v>
      </c>
      <c r="I562" s="105">
        <v>7.0</v>
      </c>
      <c r="J562" s="105">
        <v>1.0</v>
      </c>
      <c r="K562" s="103" t="s">
        <v>388</v>
      </c>
      <c r="L562" s="102" t="s">
        <v>197</v>
      </c>
      <c r="M562" s="102" t="s">
        <v>1005</v>
      </c>
      <c r="N562" s="105">
        <v>7.0</v>
      </c>
      <c r="O562" s="102" t="s">
        <v>197</v>
      </c>
      <c r="P562" s="134"/>
      <c r="Q562" s="106"/>
      <c r="R562" s="106"/>
      <c r="S562" s="106"/>
      <c r="T562" s="106"/>
      <c r="U562" s="106"/>
      <c r="V562" s="107" t="s">
        <v>2818</v>
      </c>
      <c r="W562" s="106"/>
      <c r="X562" s="106"/>
      <c r="Y562" s="102" t="s">
        <v>401</v>
      </c>
      <c r="Z562" s="102" t="s">
        <v>1094</v>
      </c>
      <c r="AA562" s="105">
        <v>1.0</v>
      </c>
      <c r="AB562" s="106"/>
      <c r="AC562" s="10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row>
    <row r="563">
      <c r="A563" s="100" t="s">
        <v>1825</v>
      </c>
      <c r="B563" s="109">
        <v>45832.140238865744</v>
      </c>
      <c r="C563" s="110" t="s">
        <v>2819</v>
      </c>
      <c r="D563" s="112">
        <v>3.095906728E9</v>
      </c>
      <c r="E563" s="110" t="s">
        <v>2820</v>
      </c>
      <c r="F563" s="104" t="s">
        <v>1825</v>
      </c>
      <c r="G563" s="111">
        <v>740.0</v>
      </c>
      <c r="H563" s="112">
        <v>6.0</v>
      </c>
      <c r="I563" s="112">
        <v>6.0</v>
      </c>
      <c r="J563" s="112">
        <v>1.0</v>
      </c>
      <c r="K563" s="120" t="s">
        <v>388</v>
      </c>
      <c r="L563" s="110" t="s">
        <v>197</v>
      </c>
      <c r="M563" s="110" t="s">
        <v>2821</v>
      </c>
      <c r="N563" s="112">
        <v>7.0</v>
      </c>
      <c r="O563" s="110" t="s">
        <v>401</v>
      </c>
      <c r="P563" s="113">
        <v>0.7</v>
      </c>
      <c r="Q563" s="112">
        <v>7.0</v>
      </c>
      <c r="R563" s="112">
        <v>2.0</v>
      </c>
      <c r="S563" s="112">
        <v>8.0</v>
      </c>
      <c r="T563" s="115"/>
      <c r="U563" s="115"/>
      <c r="V563" s="114" t="s">
        <v>2822</v>
      </c>
      <c r="W563" s="115"/>
      <c r="X563" s="115"/>
      <c r="Y563" s="110" t="s">
        <v>401</v>
      </c>
      <c r="Z563" s="110" t="s">
        <v>1094</v>
      </c>
      <c r="AA563" s="112">
        <v>2.0</v>
      </c>
      <c r="AB563" s="115"/>
      <c r="AC563" s="116"/>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row>
    <row r="564">
      <c r="A564" s="100" t="s">
        <v>2463</v>
      </c>
      <c r="B564" s="101">
        <v>45836.138403969904</v>
      </c>
      <c r="C564" s="102" t="s">
        <v>1090</v>
      </c>
      <c r="D564" s="103" t="s">
        <v>1091</v>
      </c>
      <c r="E564" s="102" t="s">
        <v>2823</v>
      </c>
      <c r="F564" s="104" t="s">
        <v>2463</v>
      </c>
      <c r="G564" s="117">
        <v>35.0</v>
      </c>
      <c r="H564" s="105">
        <v>7.0</v>
      </c>
      <c r="I564" s="105">
        <v>6.0</v>
      </c>
      <c r="J564" s="105">
        <v>1.0</v>
      </c>
      <c r="K564" s="103" t="s">
        <v>473</v>
      </c>
      <c r="L564" s="102" t="s">
        <v>197</v>
      </c>
      <c r="M564" s="102" t="s">
        <v>2824</v>
      </c>
      <c r="N564" s="105">
        <v>8.0</v>
      </c>
      <c r="O564" s="102" t="s">
        <v>401</v>
      </c>
      <c r="P564" s="121">
        <v>0.9</v>
      </c>
      <c r="Q564" s="105">
        <v>7.0</v>
      </c>
      <c r="R564" s="105">
        <v>2.0</v>
      </c>
      <c r="S564" s="105">
        <v>8.0</v>
      </c>
      <c r="T564" s="106"/>
      <c r="U564" s="106"/>
      <c r="V564" s="107" t="s">
        <v>2825</v>
      </c>
      <c r="W564" s="106"/>
      <c r="X564" s="106"/>
      <c r="Y564" s="102" t="s">
        <v>401</v>
      </c>
      <c r="Z564" s="102" t="s">
        <v>1094</v>
      </c>
      <c r="AA564" s="129">
        <v>1.0</v>
      </c>
      <c r="AB564" s="106"/>
      <c r="AC564" s="10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row>
    <row r="565">
      <c r="A565" s="97" t="s">
        <v>2826</v>
      </c>
      <c r="B565" s="135">
        <v>45687.12856733796</v>
      </c>
      <c r="C565" s="136" t="s">
        <v>2827</v>
      </c>
      <c r="D565" s="137" t="s">
        <v>2828</v>
      </c>
      <c r="E565" s="136" t="s">
        <v>2829</v>
      </c>
      <c r="F565" s="98" t="s">
        <v>2826</v>
      </c>
      <c r="G565" s="138">
        <v>177.0</v>
      </c>
      <c r="H565" s="139">
        <v>7.0</v>
      </c>
      <c r="I565" s="139">
        <v>6.0</v>
      </c>
      <c r="J565" s="139">
        <v>2.0</v>
      </c>
      <c r="K565" s="136" t="s">
        <v>401</v>
      </c>
      <c r="L565" s="140">
        <v>8.0</v>
      </c>
      <c r="M565" s="139">
        <v>6.0</v>
      </c>
      <c r="N565" s="139">
        <v>7.0</v>
      </c>
      <c r="O565" s="139">
        <v>6.0</v>
      </c>
      <c r="P565" s="139">
        <v>7.0</v>
      </c>
      <c r="Q565" s="139">
        <v>8.0</v>
      </c>
      <c r="R565" s="139">
        <v>7.0</v>
      </c>
      <c r="S565" s="139">
        <v>7.0</v>
      </c>
      <c r="T565" s="139">
        <v>6.0</v>
      </c>
      <c r="U565" s="136" t="s">
        <v>401</v>
      </c>
      <c r="V565" s="136" t="s">
        <v>401</v>
      </c>
      <c r="W565" s="136" t="s">
        <v>197</v>
      </c>
      <c r="X565" s="136" t="s">
        <v>2830</v>
      </c>
      <c r="Y565" s="136" t="s">
        <v>2831</v>
      </c>
      <c r="Z565" s="139">
        <v>6.0</v>
      </c>
      <c r="AA565" s="141" t="s">
        <v>4</v>
      </c>
      <c r="AB565" s="142" t="s">
        <v>2832</v>
      </c>
      <c r="AC565" s="142" t="s">
        <v>2833</v>
      </c>
      <c r="AD565" s="142" t="s">
        <v>2834</v>
      </c>
      <c r="AE565" s="136" t="s">
        <v>197</v>
      </c>
      <c r="AF565" s="139">
        <v>1.0</v>
      </c>
      <c r="AG565" s="139">
        <v>0.0</v>
      </c>
      <c r="AH565" s="139">
        <v>8.0</v>
      </c>
      <c r="AI565" s="139">
        <v>2.0</v>
      </c>
      <c r="AJ565" s="139">
        <v>5.0</v>
      </c>
      <c r="AK565" s="139">
        <v>8.0</v>
      </c>
      <c r="AL565" s="139">
        <v>7.0</v>
      </c>
      <c r="AM565" s="139">
        <v>6.0</v>
      </c>
      <c r="AN565" s="139">
        <v>7.0</v>
      </c>
      <c r="AO565" s="139">
        <v>6.0</v>
      </c>
      <c r="AP565" s="139">
        <v>7.0</v>
      </c>
      <c r="AQ565" s="139">
        <v>4.0</v>
      </c>
      <c r="AR565" s="139">
        <v>7.0</v>
      </c>
      <c r="AS565" s="139">
        <v>1995.0</v>
      </c>
      <c r="AT565" s="136" t="s">
        <v>197</v>
      </c>
      <c r="AU565" s="136" t="s">
        <v>197</v>
      </c>
      <c r="AV565" s="143"/>
      <c r="AW565" s="141" t="s">
        <v>4</v>
      </c>
      <c r="AX565" s="144"/>
      <c r="AY565" s="38"/>
      <c r="AZ565" s="38"/>
      <c r="BA565" s="38"/>
      <c r="BB565" s="38"/>
      <c r="BC565" s="38"/>
    </row>
    <row r="566">
      <c r="A566" s="145" t="s">
        <v>2835</v>
      </c>
      <c r="B566" s="146">
        <v>45687.13905092593</v>
      </c>
      <c r="C566" s="147" t="s">
        <v>2836</v>
      </c>
      <c r="D566" s="148" t="s">
        <v>2837</v>
      </c>
      <c r="E566" s="147" t="s">
        <v>2838</v>
      </c>
      <c r="F566" s="149" t="s">
        <v>2835</v>
      </c>
      <c r="G566" s="150">
        <v>120.0</v>
      </c>
      <c r="H566" s="150">
        <v>5.0</v>
      </c>
      <c r="I566" s="150">
        <v>5.0</v>
      </c>
      <c r="J566" s="150">
        <v>2.0</v>
      </c>
      <c r="K566" s="147" t="s">
        <v>197</v>
      </c>
      <c r="L566" s="151"/>
      <c r="M566" s="152"/>
      <c r="N566" s="152"/>
      <c r="O566" s="150">
        <v>4.0</v>
      </c>
      <c r="P566" s="150">
        <v>6.0</v>
      </c>
      <c r="Q566" s="150">
        <v>4.0</v>
      </c>
      <c r="R566" s="150">
        <v>6.0</v>
      </c>
      <c r="S566" s="150">
        <v>4.0</v>
      </c>
      <c r="T566" s="150">
        <v>7.0</v>
      </c>
      <c r="U566" s="147" t="s">
        <v>197</v>
      </c>
      <c r="V566" s="147" t="s">
        <v>401</v>
      </c>
      <c r="W566" s="147" t="s">
        <v>401</v>
      </c>
      <c r="X566" s="147" t="s">
        <v>2835</v>
      </c>
      <c r="Y566" s="147" t="s">
        <v>2839</v>
      </c>
      <c r="Z566" s="150">
        <v>7.0</v>
      </c>
      <c r="AA566" s="153" t="s">
        <v>4</v>
      </c>
      <c r="AB566" s="154" t="s">
        <v>2840</v>
      </c>
      <c r="AC566" s="154" t="s">
        <v>2841</v>
      </c>
      <c r="AD566" s="154" t="s">
        <v>2842</v>
      </c>
      <c r="AE566" s="147" t="s">
        <v>1005</v>
      </c>
      <c r="AF566" s="150">
        <v>4.0</v>
      </c>
      <c r="AG566" s="150">
        <v>4.0</v>
      </c>
      <c r="AH566" s="150">
        <v>7.0</v>
      </c>
      <c r="AI566" s="150">
        <v>3.0</v>
      </c>
      <c r="AJ566" s="150">
        <v>3.0</v>
      </c>
      <c r="AK566" s="150">
        <v>7.0</v>
      </c>
      <c r="AL566" s="150">
        <v>8.0</v>
      </c>
      <c r="AM566" s="150">
        <v>5.0</v>
      </c>
      <c r="AN566" s="150">
        <v>6.0</v>
      </c>
      <c r="AO566" s="150">
        <v>5.0</v>
      </c>
      <c r="AP566" s="150">
        <v>5.0</v>
      </c>
      <c r="AQ566" s="150">
        <v>4.0</v>
      </c>
      <c r="AR566" s="150">
        <v>6.0</v>
      </c>
      <c r="AS566" s="150">
        <v>1995.0</v>
      </c>
      <c r="AT566" s="147" t="s">
        <v>197</v>
      </c>
      <c r="AU566" s="147" t="s">
        <v>1005</v>
      </c>
      <c r="AV566" s="152"/>
      <c r="AW566" s="153" t="s">
        <v>4</v>
      </c>
      <c r="AX566" s="155"/>
      <c r="AY566" s="38"/>
      <c r="AZ566" s="38"/>
      <c r="BA566" s="38"/>
      <c r="BB566" s="38"/>
      <c r="BC566" s="38"/>
    </row>
    <row r="567">
      <c r="A567" s="156">
        <v>1112555.0</v>
      </c>
      <c r="B567" s="135">
        <v>45687.68713741898</v>
      </c>
      <c r="C567" s="136" t="s">
        <v>2843</v>
      </c>
      <c r="D567" s="137" t="s">
        <v>2844</v>
      </c>
      <c r="E567" s="136" t="s">
        <v>2845</v>
      </c>
      <c r="F567" s="98">
        <v>1112555.0</v>
      </c>
      <c r="G567" s="139">
        <v>124.0</v>
      </c>
      <c r="H567" s="139">
        <v>6.0</v>
      </c>
      <c r="I567" s="139">
        <v>4.0</v>
      </c>
      <c r="J567" s="139">
        <v>1.0</v>
      </c>
      <c r="K567" s="136" t="s">
        <v>401</v>
      </c>
      <c r="L567" s="140">
        <v>4.0</v>
      </c>
      <c r="M567" s="139">
        <v>5.0</v>
      </c>
      <c r="N567" s="139">
        <v>8.0</v>
      </c>
      <c r="O567" s="139">
        <v>8.0</v>
      </c>
      <c r="P567" s="139">
        <v>9.0</v>
      </c>
      <c r="Q567" s="139">
        <v>9.0</v>
      </c>
      <c r="R567" s="139">
        <v>9.0</v>
      </c>
      <c r="S567" s="139">
        <v>8.0</v>
      </c>
      <c r="T567" s="139">
        <v>8.0</v>
      </c>
      <c r="U567" s="136" t="s">
        <v>401</v>
      </c>
      <c r="V567" s="136" t="s">
        <v>401</v>
      </c>
      <c r="W567" s="136" t="s">
        <v>401</v>
      </c>
      <c r="X567" s="136" t="s">
        <v>2846</v>
      </c>
      <c r="Y567" s="136" t="s">
        <v>2847</v>
      </c>
      <c r="Z567" s="139">
        <v>10.0</v>
      </c>
      <c r="AA567" s="141" t="s">
        <v>4</v>
      </c>
      <c r="AB567" s="142" t="s">
        <v>2848</v>
      </c>
      <c r="AC567" s="142" t="s">
        <v>2849</v>
      </c>
      <c r="AD567" s="142" t="s">
        <v>2850</v>
      </c>
      <c r="AE567" s="136" t="s">
        <v>2851</v>
      </c>
      <c r="AF567" s="139">
        <v>8.0</v>
      </c>
      <c r="AG567" s="139">
        <v>9.0</v>
      </c>
      <c r="AH567" s="139">
        <v>10.0</v>
      </c>
      <c r="AI567" s="139">
        <v>6.0</v>
      </c>
      <c r="AJ567" s="139">
        <v>9.0</v>
      </c>
      <c r="AK567" s="139">
        <v>8.0</v>
      </c>
      <c r="AL567" s="139">
        <v>9.0</v>
      </c>
      <c r="AM567" s="139">
        <v>8.0</v>
      </c>
      <c r="AN567" s="139">
        <v>8.0</v>
      </c>
      <c r="AO567" s="139">
        <v>9.0</v>
      </c>
      <c r="AP567" s="139">
        <v>8.0</v>
      </c>
      <c r="AQ567" s="139">
        <v>7.0</v>
      </c>
      <c r="AR567" s="139">
        <v>8.0</v>
      </c>
      <c r="AS567" s="139">
        <v>1992.0</v>
      </c>
      <c r="AT567" s="136" t="s">
        <v>197</v>
      </c>
      <c r="AU567" s="136" t="s">
        <v>2852</v>
      </c>
      <c r="AV567" s="143"/>
      <c r="AW567" s="141" t="s">
        <v>4</v>
      </c>
      <c r="AX567" s="144"/>
      <c r="AY567" s="38"/>
      <c r="AZ567" s="38"/>
      <c r="BA567" s="38"/>
      <c r="BB567" s="38"/>
      <c r="BC567" s="38"/>
    </row>
    <row r="568">
      <c r="A568" s="145" t="s">
        <v>2853</v>
      </c>
      <c r="B568" s="146">
        <v>45688.090206354165</v>
      </c>
      <c r="C568" s="147" t="s">
        <v>1230</v>
      </c>
      <c r="D568" s="150">
        <v>1.2345678901E10</v>
      </c>
      <c r="E568" s="147" t="s">
        <v>2854</v>
      </c>
      <c r="F568" s="149" t="s">
        <v>2853</v>
      </c>
      <c r="G568" s="150">
        <v>200.0</v>
      </c>
      <c r="H568" s="150">
        <v>5.0</v>
      </c>
      <c r="I568" s="150">
        <v>7.0</v>
      </c>
      <c r="J568" s="150">
        <v>2.0</v>
      </c>
      <c r="K568" s="147" t="s">
        <v>401</v>
      </c>
      <c r="L568" s="157">
        <v>6.0</v>
      </c>
      <c r="M568" s="150">
        <v>5.0</v>
      </c>
      <c r="N568" s="150">
        <v>8.0</v>
      </c>
      <c r="O568" s="150">
        <v>8.0</v>
      </c>
      <c r="P568" s="150">
        <v>5.0</v>
      </c>
      <c r="Q568" s="150">
        <v>5.0</v>
      </c>
      <c r="R568" s="150">
        <v>8.0</v>
      </c>
      <c r="S568" s="150">
        <v>6.0</v>
      </c>
      <c r="T568" s="150">
        <v>9.0</v>
      </c>
      <c r="U568" s="147" t="s">
        <v>401</v>
      </c>
      <c r="V568" s="147" t="s">
        <v>401</v>
      </c>
      <c r="W568" s="147" t="s">
        <v>401</v>
      </c>
      <c r="X568" s="147" t="s">
        <v>2855</v>
      </c>
      <c r="Y568" s="147" t="s">
        <v>2856</v>
      </c>
      <c r="Z568" s="150">
        <v>1.0</v>
      </c>
      <c r="AA568" s="153" t="s">
        <v>4</v>
      </c>
      <c r="AB568" s="154" t="s">
        <v>2857</v>
      </c>
      <c r="AC568" s="154" t="s">
        <v>2858</v>
      </c>
      <c r="AD568" s="154" t="s">
        <v>2859</v>
      </c>
      <c r="AE568" s="147" t="s">
        <v>197</v>
      </c>
      <c r="AF568" s="150">
        <v>6.0</v>
      </c>
      <c r="AG568" s="150">
        <v>5.0</v>
      </c>
      <c r="AH568" s="150">
        <v>6.0</v>
      </c>
      <c r="AI568" s="150">
        <v>3.0</v>
      </c>
      <c r="AJ568" s="150">
        <v>3.0</v>
      </c>
      <c r="AK568" s="150">
        <v>6.0</v>
      </c>
      <c r="AL568" s="150">
        <v>6.0</v>
      </c>
      <c r="AM568" s="150">
        <v>3.0</v>
      </c>
      <c r="AN568" s="150">
        <v>3.0</v>
      </c>
      <c r="AO568" s="150">
        <v>4.0</v>
      </c>
      <c r="AP568" s="150">
        <v>3.0</v>
      </c>
      <c r="AQ568" s="150">
        <v>5.0</v>
      </c>
      <c r="AR568" s="150">
        <v>7.0</v>
      </c>
      <c r="AS568" s="150">
        <v>1990.0</v>
      </c>
      <c r="AT568" s="147" t="s">
        <v>197</v>
      </c>
      <c r="AU568" s="147" t="s">
        <v>197</v>
      </c>
      <c r="AV568" s="152"/>
      <c r="AW568" s="153" t="s">
        <v>4</v>
      </c>
      <c r="AX568" s="155"/>
      <c r="AY568" s="38"/>
      <c r="AZ568" s="38"/>
      <c r="BA568" s="38"/>
      <c r="BB568" s="38"/>
      <c r="BC568" s="38"/>
    </row>
    <row r="569">
      <c r="A569" s="97" t="s">
        <v>2860</v>
      </c>
      <c r="B569" s="135">
        <v>45688.170184525465</v>
      </c>
      <c r="C569" s="136" t="s">
        <v>2861</v>
      </c>
      <c r="D569" s="137" t="s">
        <v>2862</v>
      </c>
      <c r="E569" s="136" t="s">
        <v>2863</v>
      </c>
      <c r="F569" s="98" t="s">
        <v>2860</v>
      </c>
      <c r="G569" s="138">
        <v>380.0</v>
      </c>
      <c r="H569" s="139">
        <v>8.0</v>
      </c>
      <c r="I569" s="139">
        <v>7.0</v>
      </c>
      <c r="J569" s="139">
        <v>0.0</v>
      </c>
      <c r="K569" s="136" t="s">
        <v>197</v>
      </c>
      <c r="L569" s="158"/>
      <c r="M569" s="143"/>
      <c r="N569" s="143"/>
      <c r="O569" s="139">
        <v>0.0</v>
      </c>
      <c r="P569" s="139">
        <v>0.0</v>
      </c>
      <c r="Q569" s="139">
        <v>0.0</v>
      </c>
      <c r="R569" s="139">
        <v>0.0</v>
      </c>
      <c r="S569" s="139">
        <v>0.0</v>
      </c>
      <c r="T569" s="139">
        <v>2.0</v>
      </c>
      <c r="U569" s="136" t="s">
        <v>197</v>
      </c>
      <c r="V569" s="136" t="s">
        <v>197</v>
      </c>
      <c r="W569" s="136" t="s">
        <v>197</v>
      </c>
      <c r="X569" s="139" t="s">
        <v>2864</v>
      </c>
      <c r="Y569" s="139" t="s">
        <v>2865</v>
      </c>
      <c r="Z569" s="139">
        <v>5.0</v>
      </c>
      <c r="AA569" s="138">
        <v>1.0</v>
      </c>
      <c r="AB569" s="142" t="s">
        <v>2866</v>
      </c>
      <c r="AC569" s="142" t="s">
        <v>2867</v>
      </c>
      <c r="AD569" s="142" t="s">
        <v>2868</v>
      </c>
      <c r="AE569" s="143"/>
      <c r="AF569" s="139">
        <v>0.0</v>
      </c>
      <c r="AG569" s="139">
        <v>0.0</v>
      </c>
      <c r="AH569" s="139">
        <v>0.0</v>
      </c>
      <c r="AI569" s="139">
        <v>0.0</v>
      </c>
      <c r="AJ569" s="139">
        <v>0.0</v>
      </c>
      <c r="AK569" s="139">
        <v>7.0</v>
      </c>
      <c r="AL569" s="139">
        <v>7.0</v>
      </c>
      <c r="AM569" s="139">
        <v>10.0</v>
      </c>
      <c r="AN569" s="139">
        <v>4.0</v>
      </c>
      <c r="AO569" s="139">
        <v>2.0</v>
      </c>
      <c r="AP569" s="139">
        <v>10.0</v>
      </c>
      <c r="AQ569" s="139">
        <v>0.0</v>
      </c>
      <c r="AR569" s="139">
        <v>6.0</v>
      </c>
      <c r="AS569" s="139">
        <v>1985.0</v>
      </c>
      <c r="AT569" s="136" t="s">
        <v>197</v>
      </c>
      <c r="AU569" s="136" t="s">
        <v>2869</v>
      </c>
      <c r="AV569" s="143"/>
      <c r="AW569" s="159">
        <v>1.0</v>
      </c>
      <c r="AX569" s="144"/>
      <c r="AY569" s="38"/>
      <c r="AZ569" s="38"/>
      <c r="BA569" s="38"/>
      <c r="BB569" s="38"/>
      <c r="BC569" s="38"/>
    </row>
    <row r="570">
      <c r="A570" s="145" t="s">
        <v>2870</v>
      </c>
      <c r="B570" s="146">
        <v>45688.183861921294</v>
      </c>
      <c r="C570" s="147" t="s">
        <v>2871</v>
      </c>
      <c r="D570" s="147" t="s">
        <v>1521</v>
      </c>
      <c r="E570" s="150" t="s">
        <v>2872</v>
      </c>
      <c r="F570" s="149" t="s">
        <v>2870</v>
      </c>
      <c r="G570" s="150">
        <v>65.0</v>
      </c>
      <c r="H570" s="150">
        <v>9.0</v>
      </c>
      <c r="I570" s="150">
        <v>9.0</v>
      </c>
      <c r="J570" s="147" t="s">
        <v>1228</v>
      </c>
      <c r="K570" s="147" t="s">
        <v>401</v>
      </c>
      <c r="L570" s="157">
        <v>8.0</v>
      </c>
      <c r="M570" s="150">
        <v>5.0</v>
      </c>
      <c r="N570" s="150">
        <v>9.0</v>
      </c>
      <c r="O570" s="150">
        <v>10.0</v>
      </c>
      <c r="P570" s="150">
        <v>8.0</v>
      </c>
      <c r="Q570" s="150">
        <v>10.0</v>
      </c>
      <c r="R570" s="150">
        <v>10.0</v>
      </c>
      <c r="S570" s="150">
        <v>8.0</v>
      </c>
      <c r="T570" s="150">
        <v>9.0</v>
      </c>
      <c r="U570" s="147" t="s">
        <v>401</v>
      </c>
      <c r="V570" s="147" t="s">
        <v>401</v>
      </c>
      <c r="W570" s="147" t="s">
        <v>401</v>
      </c>
      <c r="X570" s="150" t="s">
        <v>2873</v>
      </c>
      <c r="Y570" s="150" t="s">
        <v>2874</v>
      </c>
      <c r="Z570" s="150">
        <v>10.0</v>
      </c>
      <c r="AA570" s="160">
        <v>1.0</v>
      </c>
      <c r="AB570" s="147" t="s">
        <v>2875</v>
      </c>
      <c r="AC570" s="147" t="s">
        <v>2876</v>
      </c>
      <c r="AD570" s="154" t="s">
        <v>2877</v>
      </c>
      <c r="AE570" s="147" t="s">
        <v>1228</v>
      </c>
      <c r="AF570" s="150">
        <v>8.0</v>
      </c>
      <c r="AG570" s="150">
        <v>9.0</v>
      </c>
      <c r="AH570" s="150">
        <v>10.0</v>
      </c>
      <c r="AI570" s="150">
        <v>3.0</v>
      </c>
      <c r="AJ570" s="150">
        <v>5.0</v>
      </c>
      <c r="AK570" s="150">
        <v>9.0</v>
      </c>
      <c r="AL570" s="150">
        <v>9.0</v>
      </c>
      <c r="AM570" s="150">
        <v>8.0</v>
      </c>
      <c r="AN570" s="150">
        <v>9.0</v>
      </c>
      <c r="AO570" s="150">
        <v>9.0</v>
      </c>
      <c r="AP570" s="150">
        <v>10.0</v>
      </c>
      <c r="AQ570" s="150">
        <v>5.0</v>
      </c>
      <c r="AR570" s="150">
        <v>9.0</v>
      </c>
      <c r="AS570" s="150">
        <v>1659.0</v>
      </c>
      <c r="AT570" s="147" t="s">
        <v>197</v>
      </c>
      <c r="AU570" s="147" t="s">
        <v>1261</v>
      </c>
      <c r="AV570" s="152"/>
      <c r="AW570" s="161">
        <v>1.0</v>
      </c>
      <c r="AX570" s="155"/>
      <c r="AY570" s="38"/>
      <c r="AZ570" s="38"/>
      <c r="BA570" s="38"/>
      <c r="BB570" s="38"/>
      <c r="BC570" s="38"/>
    </row>
    <row r="571">
      <c r="A571" s="97" t="s">
        <v>2878</v>
      </c>
      <c r="B571" s="135">
        <v>45688.21232532407</v>
      </c>
      <c r="C571" s="136" t="s">
        <v>2827</v>
      </c>
      <c r="D571" s="137" t="s">
        <v>2828</v>
      </c>
      <c r="E571" s="136" t="s">
        <v>2879</v>
      </c>
      <c r="F571" s="98" t="s">
        <v>2878</v>
      </c>
      <c r="G571" s="139">
        <v>75.0</v>
      </c>
      <c r="H571" s="139">
        <v>7.0</v>
      </c>
      <c r="I571" s="139">
        <v>6.0</v>
      </c>
      <c r="J571" s="139">
        <v>1.0</v>
      </c>
      <c r="K571" s="136" t="s">
        <v>401</v>
      </c>
      <c r="L571" s="140">
        <v>9.0</v>
      </c>
      <c r="M571" s="139">
        <v>3.0</v>
      </c>
      <c r="N571" s="139">
        <v>8.0</v>
      </c>
      <c r="O571" s="139">
        <v>9.0</v>
      </c>
      <c r="P571" s="139">
        <v>6.0</v>
      </c>
      <c r="Q571" s="139">
        <v>7.0</v>
      </c>
      <c r="R571" s="139">
        <v>6.0</v>
      </c>
      <c r="S571" s="139">
        <v>8.0</v>
      </c>
      <c r="T571" s="139">
        <v>6.0</v>
      </c>
      <c r="U571" s="136" t="s">
        <v>401</v>
      </c>
      <c r="V571" s="136" t="s">
        <v>401</v>
      </c>
      <c r="W571" s="136" t="s">
        <v>401</v>
      </c>
      <c r="X571" s="136" t="s">
        <v>2880</v>
      </c>
      <c r="Y571" s="136" t="s">
        <v>2881</v>
      </c>
      <c r="Z571" s="139">
        <v>5.0</v>
      </c>
      <c r="AA571" s="138">
        <v>1.0</v>
      </c>
      <c r="AB571" s="142" t="s">
        <v>2882</v>
      </c>
      <c r="AC571" s="142" t="s">
        <v>2883</v>
      </c>
      <c r="AD571" s="142" t="s">
        <v>2884</v>
      </c>
      <c r="AE571" s="136" t="s">
        <v>197</v>
      </c>
      <c r="AF571" s="139">
        <v>0.0</v>
      </c>
      <c r="AG571" s="139">
        <v>0.0</v>
      </c>
      <c r="AH571" s="139">
        <v>0.0</v>
      </c>
      <c r="AI571" s="139">
        <v>0.0</v>
      </c>
      <c r="AJ571" s="139">
        <v>0.0</v>
      </c>
      <c r="AK571" s="139">
        <v>8.0</v>
      </c>
      <c r="AL571" s="139">
        <v>8.0</v>
      </c>
      <c r="AM571" s="139">
        <v>3.0</v>
      </c>
      <c r="AN571" s="139">
        <v>1.0</v>
      </c>
      <c r="AO571" s="139">
        <v>0.0</v>
      </c>
      <c r="AP571" s="139">
        <v>0.0</v>
      </c>
      <c r="AQ571" s="139">
        <v>0.0</v>
      </c>
      <c r="AR571" s="139">
        <v>8.0</v>
      </c>
      <c r="AS571" s="139">
        <v>1939.0</v>
      </c>
      <c r="AT571" s="136" t="s">
        <v>197</v>
      </c>
      <c r="AU571" s="136" t="s">
        <v>197</v>
      </c>
      <c r="AV571" s="143"/>
      <c r="AW571" s="159">
        <v>1.0</v>
      </c>
      <c r="AX571" s="144"/>
      <c r="AY571" s="38"/>
      <c r="AZ571" s="38"/>
      <c r="BA571" s="38"/>
      <c r="BB571" s="38"/>
      <c r="BC571" s="38"/>
    </row>
    <row r="572">
      <c r="A572" s="145" t="s">
        <v>2885</v>
      </c>
      <c r="B572" s="146">
        <v>45688.2186787963</v>
      </c>
      <c r="C572" s="147" t="s">
        <v>2886</v>
      </c>
      <c r="D572" s="148" t="s">
        <v>1276</v>
      </c>
      <c r="E572" s="147" t="s">
        <v>2887</v>
      </c>
      <c r="F572" s="149" t="s">
        <v>2885</v>
      </c>
      <c r="G572" s="150">
        <v>357.0</v>
      </c>
      <c r="H572" s="150">
        <v>6.0</v>
      </c>
      <c r="I572" s="150">
        <v>6.0</v>
      </c>
      <c r="J572" s="150">
        <v>1.0</v>
      </c>
      <c r="K572" s="147" t="s">
        <v>401</v>
      </c>
      <c r="L572" s="157">
        <v>5.0</v>
      </c>
      <c r="M572" s="150">
        <v>8.0</v>
      </c>
      <c r="N572" s="150">
        <v>7.0</v>
      </c>
      <c r="O572" s="150">
        <v>7.0</v>
      </c>
      <c r="P572" s="150">
        <v>6.0</v>
      </c>
      <c r="Q572" s="150">
        <v>5.0</v>
      </c>
      <c r="R572" s="150">
        <v>6.0</v>
      </c>
      <c r="S572" s="150">
        <v>4.0</v>
      </c>
      <c r="T572" s="150">
        <v>2.0</v>
      </c>
      <c r="U572" s="147" t="s">
        <v>197</v>
      </c>
      <c r="V572" s="147" t="s">
        <v>197</v>
      </c>
      <c r="W572" s="147" t="s">
        <v>197</v>
      </c>
      <c r="X572" s="147" t="s">
        <v>2888</v>
      </c>
      <c r="Y572" s="147" t="s">
        <v>2889</v>
      </c>
      <c r="Z572" s="150">
        <v>5.0</v>
      </c>
      <c r="AA572" s="160">
        <v>1.0</v>
      </c>
      <c r="AB572" s="154" t="s">
        <v>2890</v>
      </c>
      <c r="AC572" s="147" t="s">
        <v>2891</v>
      </c>
      <c r="AD572" s="154" t="s">
        <v>2892</v>
      </c>
      <c r="AE572" s="147" t="s">
        <v>197</v>
      </c>
      <c r="AF572" s="150">
        <v>6.0</v>
      </c>
      <c r="AG572" s="150">
        <v>2.0</v>
      </c>
      <c r="AH572" s="150">
        <v>3.0</v>
      </c>
      <c r="AI572" s="150">
        <v>0.0</v>
      </c>
      <c r="AJ572" s="150">
        <v>1.0</v>
      </c>
      <c r="AK572" s="150">
        <v>6.0</v>
      </c>
      <c r="AL572" s="150">
        <v>9.0</v>
      </c>
      <c r="AM572" s="150">
        <v>3.0</v>
      </c>
      <c r="AN572" s="150">
        <v>4.0</v>
      </c>
      <c r="AO572" s="150">
        <v>8.0</v>
      </c>
      <c r="AP572" s="150">
        <v>6.0</v>
      </c>
      <c r="AQ572" s="150">
        <v>1.0</v>
      </c>
      <c r="AR572" s="150">
        <v>7.0</v>
      </c>
      <c r="AS572" s="150">
        <v>2003.0</v>
      </c>
      <c r="AT572" s="147" t="s">
        <v>197</v>
      </c>
      <c r="AU572" s="147" t="s">
        <v>197</v>
      </c>
      <c r="AV572" s="152"/>
      <c r="AW572" s="161">
        <v>1.0</v>
      </c>
      <c r="AX572" s="155"/>
      <c r="AY572" s="38"/>
      <c r="AZ572" s="38"/>
      <c r="BA572" s="38"/>
      <c r="BB572" s="38"/>
      <c r="BC572" s="38"/>
    </row>
    <row r="573">
      <c r="A573" s="97" t="s">
        <v>2826</v>
      </c>
      <c r="B573" s="135">
        <v>45688.26103271991</v>
      </c>
      <c r="C573" s="136" t="s">
        <v>1321</v>
      </c>
      <c r="D573" s="137" t="s">
        <v>1322</v>
      </c>
      <c r="E573" s="136" t="s">
        <v>2893</v>
      </c>
      <c r="F573" s="98" t="s">
        <v>2826</v>
      </c>
      <c r="G573" s="139">
        <v>164.0</v>
      </c>
      <c r="H573" s="139">
        <v>8.0</v>
      </c>
      <c r="I573" s="139">
        <v>7.0</v>
      </c>
      <c r="J573" s="139">
        <v>2.0</v>
      </c>
      <c r="K573" s="136" t="s">
        <v>401</v>
      </c>
      <c r="L573" s="140">
        <v>10.0</v>
      </c>
      <c r="M573" s="139">
        <v>1.0</v>
      </c>
      <c r="N573" s="139">
        <v>10.0</v>
      </c>
      <c r="O573" s="139">
        <v>0.0</v>
      </c>
      <c r="P573" s="139">
        <v>10.0</v>
      </c>
      <c r="Q573" s="139">
        <v>0.0</v>
      </c>
      <c r="R573" s="139">
        <v>10.0</v>
      </c>
      <c r="S573" s="139">
        <v>0.0</v>
      </c>
      <c r="T573" s="139">
        <v>6.0</v>
      </c>
      <c r="U573" s="136" t="s">
        <v>197</v>
      </c>
      <c r="V573" s="136" t="s">
        <v>197</v>
      </c>
      <c r="W573" s="136" t="s">
        <v>197</v>
      </c>
      <c r="X573" s="136" t="s">
        <v>2894</v>
      </c>
      <c r="Y573" s="136" t="s">
        <v>2895</v>
      </c>
      <c r="Z573" s="139">
        <v>9.0</v>
      </c>
      <c r="AA573" s="138">
        <v>1.0</v>
      </c>
      <c r="AB573" s="142" t="s">
        <v>2896</v>
      </c>
      <c r="AC573" s="142" t="s">
        <v>2897</v>
      </c>
      <c r="AD573" s="142" t="s">
        <v>2898</v>
      </c>
      <c r="AE573" s="143"/>
      <c r="AF573" s="139">
        <v>0.0</v>
      </c>
      <c r="AG573" s="139">
        <v>0.0</v>
      </c>
      <c r="AH573" s="139">
        <v>0.0</v>
      </c>
      <c r="AI573" s="139">
        <v>0.0</v>
      </c>
      <c r="AJ573" s="139">
        <v>0.0</v>
      </c>
      <c r="AK573" s="139">
        <v>9.0</v>
      </c>
      <c r="AL573" s="139">
        <v>9.0</v>
      </c>
      <c r="AM573" s="139">
        <v>0.0</v>
      </c>
      <c r="AN573" s="139">
        <v>10.0</v>
      </c>
      <c r="AO573" s="139">
        <v>2.0</v>
      </c>
      <c r="AP573" s="139">
        <v>10.0</v>
      </c>
      <c r="AQ573" s="139">
        <v>0.0</v>
      </c>
      <c r="AR573" s="139">
        <v>9.0</v>
      </c>
      <c r="AS573" s="137" t="s">
        <v>388</v>
      </c>
      <c r="AT573" s="136" t="s">
        <v>197</v>
      </c>
      <c r="AU573" s="136" t="s">
        <v>197</v>
      </c>
      <c r="AV573" s="143"/>
      <c r="AW573" s="159">
        <v>1.0</v>
      </c>
      <c r="AX573" s="144"/>
      <c r="AY573" s="38"/>
      <c r="AZ573" s="38"/>
      <c r="BA573" s="38"/>
      <c r="BB573" s="38"/>
      <c r="BC573" s="38"/>
    </row>
    <row r="574">
      <c r="A574" s="145" t="s">
        <v>2899</v>
      </c>
      <c r="B574" s="146">
        <v>45688.261352245376</v>
      </c>
      <c r="C574" s="147" t="s">
        <v>2900</v>
      </c>
      <c r="D574" s="148" t="s">
        <v>1165</v>
      </c>
      <c r="E574" s="147" t="s">
        <v>2901</v>
      </c>
      <c r="F574" s="149" t="s">
        <v>2899</v>
      </c>
      <c r="G574" s="160">
        <v>630.0</v>
      </c>
      <c r="H574" s="150">
        <v>9.0</v>
      </c>
      <c r="I574" s="150">
        <v>5.0</v>
      </c>
      <c r="J574" s="150">
        <v>1.0</v>
      </c>
      <c r="K574" s="147" t="s">
        <v>401</v>
      </c>
      <c r="L574" s="157">
        <v>3.0</v>
      </c>
      <c r="M574" s="150">
        <v>8.0</v>
      </c>
      <c r="N574" s="150">
        <v>3.0</v>
      </c>
      <c r="O574" s="150">
        <v>1.0</v>
      </c>
      <c r="P574" s="150">
        <v>2.0</v>
      </c>
      <c r="Q574" s="150">
        <v>1.0</v>
      </c>
      <c r="R574" s="150">
        <v>2.0</v>
      </c>
      <c r="S574" s="150">
        <v>0.0</v>
      </c>
      <c r="T574" s="150">
        <v>1.0</v>
      </c>
      <c r="U574" s="147" t="s">
        <v>197</v>
      </c>
      <c r="V574" s="147" t="s">
        <v>197</v>
      </c>
      <c r="W574" s="147" t="s">
        <v>197</v>
      </c>
      <c r="X574" s="147" t="s">
        <v>2902</v>
      </c>
      <c r="Y574" s="147" t="s">
        <v>2903</v>
      </c>
      <c r="Z574" s="150">
        <v>4.0</v>
      </c>
      <c r="AA574" s="160">
        <v>1.0</v>
      </c>
      <c r="AB574" s="147" t="s">
        <v>2904</v>
      </c>
      <c r="AC574" s="147" t="s">
        <v>2905</v>
      </c>
      <c r="AD574" s="154" t="s">
        <v>2906</v>
      </c>
      <c r="AE574" s="147" t="s">
        <v>197</v>
      </c>
      <c r="AF574" s="150">
        <v>2.0</v>
      </c>
      <c r="AG574" s="150">
        <v>1.0</v>
      </c>
      <c r="AH574" s="150">
        <v>8.0</v>
      </c>
      <c r="AI574" s="150">
        <v>0.0</v>
      </c>
      <c r="AJ574" s="150">
        <v>5.0</v>
      </c>
      <c r="AK574" s="150">
        <v>8.0</v>
      </c>
      <c r="AL574" s="150">
        <v>9.0</v>
      </c>
      <c r="AM574" s="150">
        <v>2.0</v>
      </c>
      <c r="AN574" s="150">
        <v>5.0</v>
      </c>
      <c r="AO574" s="150">
        <v>4.0</v>
      </c>
      <c r="AP574" s="150">
        <v>5.0</v>
      </c>
      <c r="AQ574" s="150">
        <v>2.0</v>
      </c>
      <c r="AR574" s="150">
        <v>8.0</v>
      </c>
      <c r="AS574" s="150">
        <v>1944.0</v>
      </c>
      <c r="AT574" s="147" t="s">
        <v>401</v>
      </c>
      <c r="AU574" s="147" t="s">
        <v>2907</v>
      </c>
      <c r="AV574" s="152"/>
      <c r="AW574" s="161">
        <v>1.0</v>
      </c>
      <c r="AX574" s="155"/>
      <c r="AY574" s="38"/>
      <c r="AZ574" s="38"/>
      <c r="BA574" s="38"/>
      <c r="BB574" s="38"/>
      <c r="BC574" s="38"/>
    </row>
    <row r="575">
      <c r="A575" s="97" t="s">
        <v>2908</v>
      </c>
      <c r="B575" s="135">
        <v>45688.26839103009</v>
      </c>
      <c r="C575" s="136" t="s">
        <v>2909</v>
      </c>
      <c r="D575" s="137" t="s">
        <v>1141</v>
      </c>
      <c r="E575" s="139" t="s">
        <v>2910</v>
      </c>
      <c r="F575" s="98" t="s">
        <v>2908</v>
      </c>
      <c r="G575" s="139">
        <v>1250.0</v>
      </c>
      <c r="H575" s="139">
        <v>4.0</v>
      </c>
      <c r="I575" s="139">
        <v>5.0</v>
      </c>
      <c r="J575" s="139">
        <v>2.0</v>
      </c>
      <c r="K575" s="136" t="s">
        <v>197</v>
      </c>
      <c r="L575" s="158"/>
      <c r="M575" s="143"/>
      <c r="N575" s="143"/>
      <c r="O575" s="139">
        <v>10.0</v>
      </c>
      <c r="P575" s="139">
        <v>0.0</v>
      </c>
      <c r="Q575" s="139">
        <v>9.0</v>
      </c>
      <c r="R575" s="139">
        <v>0.0</v>
      </c>
      <c r="S575" s="139">
        <v>8.0</v>
      </c>
      <c r="T575" s="139">
        <v>0.0</v>
      </c>
      <c r="U575" s="136" t="s">
        <v>197</v>
      </c>
      <c r="V575" s="136" t="s">
        <v>197</v>
      </c>
      <c r="W575" s="136" t="s">
        <v>197</v>
      </c>
      <c r="X575" s="139" t="s">
        <v>2911</v>
      </c>
      <c r="Y575" s="139" t="s">
        <v>2912</v>
      </c>
      <c r="Z575" s="139">
        <v>3.0</v>
      </c>
      <c r="AA575" s="138">
        <v>1.0</v>
      </c>
      <c r="AB575" s="142" t="s">
        <v>2913</v>
      </c>
      <c r="AC575" s="142" t="s">
        <v>2914</v>
      </c>
      <c r="AD575" s="142" t="s">
        <v>2915</v>
      </c>
      <c r="AE575" s="143"/>
      <c r="AF575" s="139">
        <v>0.0</v>
      </c>
      <c r="AG575" s="139">
        <v>0.0</v>
      </c>
      <c r="AH575" s="139">
        <v>0.0</v>
      </c>
      <c r="AI575" s="139">
        <v>0.0</v>
      </c>
      <c r="AJ575" s="139">
        <v>0.0</v>
      </c>
      <c r="AK575" s="139">
        <v>9.0</v>
      </c>
      <c r="AL575" s="139">
        <v>8.0</v>
      </c>
      <c r="AM575" s="139">
        <v>0.0</v>
      </c>
      <c r="AN575" s="139">
        <v>9.0</v>
      </c>
      <c r="AO575" s="139">
        <v>5.0</v>
      </c>
      <c r="AP575" s="139">
        <v>5.0</v>
      </c>
      <c r="AQ575" s="139">
        <v>0.0</v>
      </c>
      <c r="AR575" s="139">
        <v>9.0</v>
      </c>
      <c r="AS575" s="139">
        <v>1974.0</v>
      </c>
      <c r="AT575" s="136" t="s">
        <v>197</v>
      </c>
      <c r="AU575" s="136" t="s">
        <v>197</v>
      </c>
      <c r="AV575" s="143"/>
      <c r="AW575" s="159">
        <v>1.0</v>
      </c>
      <c r="AX575" s="144"/>
      <c r="AY575" s="38"/>
      <c r="AZ575" s="38"/>
      <c r="BA575" s="38"/>
      <c r="BB575" s="38"/>
      <c r="BC575" s="38"/>
    </row>
    <row r="576">
      <c r="A576" s="162" t="s">
        <v>2916</v>
      </c>
      <c r="B576" s="146">
        <v>45688.27228737269</v>
      </c>
      <c r="C576" s="147" t="s">
        <v>2917</v>
      </c>
      <c r="D576" s="148" t="s">
        <v>1125</v>
      </c>
      <c r="E576" s="147" t="s">
        <v>2918</v>
      </c>
      <c r="F576" s="163" t="s">
        <v>2916</v>
      </c>
      <c r="G576" s="150">
        <v>235.0</v>
      </c>
      <c r="H576" s="150">
        <v>7.0</v>
      </c>
      <c r="I576" s="150">
        <v>7.0</v>
      </c>
      <c r="J576" s="150">
        <v>2.0</v>
      </c>
      <c r="K576" s="147" t="s">
        <v>197</v>
      </c>
      <c r="L576" s="151"/>
      <c r="M576" s="152"/>
      <c r="N576" s="152"/>
      <c r="O576" s="150">
        <v>0.0</v>
      </c>
      <c r="P576" s="150">
        <v>0.0</v>
      </c>
      <c r="Q576" s="150">
        <v>0.0</v>
      </c>
      <c r="R576" s="150">
        <v>0.0</v>
      </c>
      <c r="S576" s="150">
        <v>0.0</v>
      </c>
      <c r="T576" s="150">
        <v>0.0</v>
      </c>
      <c r="U576" s="147" t="s">
        <v>197</v>
      </c>
      <c r="V576" s="147" t="s">
        <v>401</v>
      </c>
      <c r="W576" s="147" t="s">
        <v>197</v>
      </c>
      <c r="X576" s="147" t="s">
        <v>2919</v>
      </c>
      <c r="Y576" s="147" t="s">
        <v>2920</v>
      </c>
      <c r="Z576" s="150">
        <v>0.0</v>
      </c>
      <c r="AA576" s="160">
        <v>1.0</v>
      </c>
      <c r="AB576" s="154" t="s">
        <v>2921</v>
      </c>
      <c r="AC576" s="154" t="s">
        <v>2922</v>
      </c>
      <c r="AD576" s="154" t="s">
        <v>2923</v>
      </c>
      <c r="AE576" s="152"/>
      <c r="AF576" s="150">
        <v>0.0</v>
      </c>
      <c r="AG576" s="150">
        <v>4.0</v>
      </c>
      <c r="AH576" s="150">
        <v>3.0</v>
      </c>
      <c r="AI576" s="150">
        <v>1.0</v>
      </c>
      <c r="AJ576" s="150">
        <v>0.0</v>
      </c>
      <c r="AK576" s="150">
        <v>10.0</v>
      </c>
      <c r="AL576" s="150">
        <v>10.0</v>
      </c>
      <c r="AM576" s="150">
        <v>4.0</v>
      </c>
      <c r="AN576" s="150">
        <v>1.0</v>
      </c>
      <c r="AO576" s="150">
        <v>3.0</v>
      </c>
      <c r="AP576" s="150">
        <v>7.0</v>
      </c>
      <c r="AQ576" s="150">
        <v>0.0</v>
      </c>
      <c r="AR576" s="150">
        <v>9.0</v>
      </c>
      <c r="AS576" s="150">
        <v>1954.0</v>
      </c>
      <c r="AT576" s="147" t="s">
        <v>197</v>
      </c>
      <c r="AU576" s="147" t="s">
        <v>2924</v>
      </c>
      <c r="AV576" s="152"/>
      <c r="AW576" s="161">
        <v>1.0</v>
      </c>
      <c r="AX576" s="155"/>
      <c r="AY576" s="38"/>
      <c r="AZ576" s="38"/>
      <c r="BA576" s="38"/>
      <c r="BB576" s="38"/>
      <c r="BC576" s="38"/>
    </row>
    <row r="577">
      <c r="A577" s="97" t="s">
        <v>2925</v>
      </c>
      <c r="B577" s="135">
        <v>45688.30285150463</v>
      </c>
      <c r="C577" s="136" t="s">
        <v>2926</v>
      </c>
      <c r="D577" s="136" t="s">
        <v>1299</v>
      </c>
      <c r="E577" s="136" t="s">
        <v>2927</v>
      </c>
      <c r="F577" s="98" t="s">
        <v>2925</v>
      </c>
      <c r="G577" s="138">
        <v>220.0</v>
      </c>
      <c r="H577" s="139">
        <v>10.0</v>
      </c>
      <c r="I577" s="139">
        <v>10.0</v>
      </c>
      <c r="J577" s="139">
        <v>0.0</v>
      </c>
      <c r="K577" s="136" t="s">
        <v>401</v>
      </c>
      <c r="L577" s="140">
        <v>10.0</v>
      </c>
      <c r="M577" s="139">
        <v>7.0</v>
      </c>
      <c r="N577" s="139">
        <v>8.0</v>
      </c>
      <c r="O577" s="139">
        <v>10.0</v>
      </c>
      <c r="P577" s="139">
        <v>10.0</v>
      </c>
      <c r="Q577" s="139">
        <v>10.0</v>
      </c>
      <c r="R577" s="139">
        <v>10.0</v>
      </c>
      <c r="S577" s="139">
        <v>10.0</v>
      </c>
      <c r="T577" s="139">
        <v>7.0</v>
      </c>
      <c r="U577" s="136" t="s">
        <v>401</v>
      </c>
      <c r="V577" s="136" t="s">
        <v>401</v>
      </c>
      <c r="W577" s="136" t="s">
        <v>401</v>
      </c>
      <c r="X577" s="136" t="s">
        <v>2928</v>
      </c>
      <c r="Y577" s="136" t="s">
        <v>2929</v>
      </c>
      <c r="Z577" s="139">
        <v>7.0</v>
      </c>
      <c r="AA577" s="138">
        <v>1.0</v>
      </c>
      <c r="AB577" s="136" t="s">
        <v>2930</v>
      </c>
      <c r="AC577" s="136" t="s">
        <v>2931</v>
      </c>
      <c r="AD577" s="142" t="s">
        <v>2932</v>
      </c>
      <c r="AE577" s="136" t="s">
        <v>1304</v>
      </c>
      <c r="AF577" s="139">
        <v>10.0</v>
      </c>
      <c r="AG577" s="139">
        <v>10.0</v>
      </c>
      <c r="AH577" s="139">
        <v>10.0</v>
      </c>
      <c r="AI577" s="139">
        <v>0.0</v>
      </c>
      <c r="AJ577" s="139">
        <v>0.0</v>
      </c>
      <c r="AK577" s="139">
        <v>8.0</v>
      </c>
      <c r="AL577" s="139">
        <v>8.0</v>
      </c>
      <c r="AM577" s="139">
        <v>10.0</v>
      </c>
      <c r="AN577" s="139">
        <v>10.0</v>
      </c>
      <c r="AO577" s="139">
        <v>10.0</v>
      </c>
      <c r="AP577" s="139">
        <v>10.0</v>
      </c>
      <c r="AQ577" s="139">
        <v>0.0</v>
      </c>
      <c r="AR577" s="139">
        <v>10.0</v>
      </c>
      <c r="AS577" s="139">
        <v>1965.0</v>
      </c>
      <c r="AT577" s="136" t="s">
        <v>401</v>
      </c>
      <c r="AU577" s="136" t="s">
        <v>1304</v>
      </c>
      <c r="AV577" s="143"/>
      <c r="AW577" s="159">
        <v>1.0</v>
      </c>
      <c r="AX577" s="144"/>
      <c r="AY577" s="38"/>
      <c r="AZ577" s="38"/>
      <c r="BA577" s="38"/>
      <c r="BB577" s="38"/>
      <c r="BC577" s="38"/>
    </row>
    <row r="578">
      <c r="A578" s="145" t="s">
        <v>2933</v>
      </c>
      <c r="B578" s="146">
        <v>45688.31514851852</v>
      </c>
      <c r="C578" s="147" t="s">
        <v>1195</v>
      </c>
      <c r="D578" s="148" t="s">
        <v>1196</v>
      </c>
      <c r="E578" s="147" t="s">
        <v>2934</v>
      </c>
      <c r="F578" s="149" t="s">
        <v>2933</v>
      </c>
      <c r="G578" s="150">
        <v>112.0</v>
      </c>
      <c r="H578" s="150">
        <v>7.0</v>
      </c>
      <c r="I578" s="150">
        <v>7.0</v>
      </c>
      <c r="J578" s="150">
        <v>0.0</v>
      </c>
      <c r="K578" s="147" t="s">
        <v>401</v>
      </c>
      <c r="L578" s="157">
        <v>9.0</v>
      </c>
      <c r="M578" s="150">
        <v>2.0</v>
      </c>
      <c r="N578" s="150">
        <v>9.0</v>
      </c>
      <c r="O578" s="150">
        <v>0.0</v>
      </c>
      <c r="P578" s="150">
        <v>0.0</v>
      </c>
      <c r="Q578" s="150">
        <v>7.0</v>
      </c>
      <c r="R578" s="150">
        <v>0.0</v>
      </c>
      <c r="S578" s="150">
        <v>8.0</v>
      </c>
      <c r="T578" s="150">
        <v>0.0</v>
      </c>
      <c r="U578" s="147" t="s">
        <v>401</v>
      </c>
      <c r="V578" s="147" t="s">
        <v>197</v>
      </c>
      <c r="W578" s="147" t="s">
        <v>197</v>
      </c>
      <c r="X578" s="147" t="s">
        <v>2935</v>
      </c>
      <c r="Y578" s="147" t="s">
        <v>2936</v>
      </c>
      <c r="Z578" s="150">
        <v>2.0</v>
      </c>
      <c r="AA578" s="160">
        <v>1.0</v>
      </c>
      <c r="AB578" s="154" t="s">
        <v>2937</v>
      </c>
      <c r="AC578" s="147" t="s">
        <v>2938</v>
      </c>
      <c r="AD578" s="154" t="s">
        <v>2939</v>
      </c>
      <c r="AE578" s="152"/>
      <c r="AF578" s="150">
        <v>0.0</v>
      </c>
      <c r="AG578" s="150">
        <v>0.0</v>
      </c>
      <c r="AH578" s="150">
        <v>0.0</v>
      </c>
      <c r="AI578" s="150">
        <v>0.0</v>
      </c>
      <c r="AJ578" s="150">
        <v>0.0</v>
      </c>
      <c r="AK578" s="150">
        <v>9.0</v>
      </c>
      <c r="AL578" s="150">
        <v>9.0</v>
      </c>
      <c r="AM578" s="150">
        <v>3.0</v>
      </c>
      <c r="AN578" s="150">
        <v>2.0</v>
      </c>
      <c r="AO578" s="150">
        <v>0.0</v>
      </c>
      <c r="AP578" s="150">
        <v>0.0</v>
      </c>
      <c r="AQ578" s="150">
        <v>0.0</v>
      </c>
      <c r="AR578" s="150">
        <v>9.0</v>
      </c>
      <c r="AS578" s="150">
        <v>1980.0</v>
      </c>
      <c r="AT578" s="147" t="s">
        <v>197</v>
      </c>
      <c r="AU578" s="147" t="s">
        <v>197</v>
      </c>
      <c r="AV578" s="152"/>
      <c r="AW578" s="161">
        <v>1.0</v>
      </c>
      <c r="AX578" s="155"/>
      <c r="AY578" s="38"/>
      <c r="AZ578" s="38"/>
      <c r="BA578" s="38"/>
      <c r="BB578" s="38"/>
      <c r="BC578" s="38"/>
    </row>
    <row r="579">
      <c r="A579" s="97" t="s">
        <v>2940</v>
      </c>
      <c r="B579" s="135">
        <v>45688.31544358796</v>
      </c>
      <c r="C579" s="136" t="s">
        <v>1179</v>
      </c>
      <c r="D579" s="137" t="s">
        <v>1180</v>
      </c>
      <c r="E579" s="136" t="s">
        <v>2941</v>
      </c>
      <c r="F579" s="98" t="s">
        <v>2940</v>
      </c>
      <c r="G579" s="139">
        <v>280.0</v>
      </c>
      <c r="H579" s="139">
        <v>8.0</v>
      </c>
      <c r="I579" s="139">
        <v>7.0</v>
      </c>
      <c r="J579" s="139">
        <v>0.0</v>
      </c>
      <c r="K579" s="136" t="s">
        <v>401</v>
      </c>
      <c r="L579" s="140">
        <v>9.0</v>
      </c>
      <c r="M579" s="139">
        <v>1.0</v>
      </c>
      <c r="N579" s="139">
        <v>9.0</v>
      </c>
      <c r="O579" s="139">
        <v>9.0</v>
      </c>
      <c r="P579" s="139">
        <v>0.0</v>
      </c>
      <c r="Q579" s="139">
        <v>9.0</v>
      </c>
      <c r="R579" s="139">
        <v>0.0</v>
      </c>
      <c r="S579" s="139">
        <v>8.0</v>
      </c>
      <c r="T579" s="139">
        <v>0.0</v>
      </c>
      <c r="U579" s="136" t="s">
        <v>401</v>
      </c>
      <c r="V579" s="136" t="s">
        <v>197</v>
      </c>
      <c r="W579" s="136" t="s">
        <v>401</v>
      </c>
      <c r="X579" s="136" t="s">
        <v>2942</v>
      </c>
      <c r="Y579" s="136" t="s">
        <v>2943</v>
      </c>
      <c r="Z579" s="139">
        <v>8.0</v>
      </c>
      <c r="AA579" s="138">
        <v>1.0</v>
      </c>
      <c r="AB579" s="142" t="s">
        <v>2944</v>
      </c>
      <c r="AC579" s="142" t="s">
        <v>2945</v>
      </c>
      <c r="AD579" s="142" t="s">
        <v>2946</v>
      </c>
      <c r="AE579" s="143"/>
      <c r="AF579" s="139">
        <v>0.0</v>
      </c>
      <c r="AG579" s="139">
        <v>0.0</v>
      </c>
      <c r="AH579" s="139">
        <v>0.0</v>
      </c>
      <c r="AI579" s="139">
        <v>1.0</v>
      </c>
      <c r="AJ579" s="139">
        <v>0.0</v>
      </c>
      <c r="AK579" s="139">
        <v>8.0</v>
      </c>
      <c r="AL579" s="139">
        <v>7.0</v>
      </c>
      <c r="AM579" s="139">
        <v>0.0</v>
      </c>
      <c r="AN579" s="139">
        <v>0.0</v>
      </c>
      <c r="AO579" s="139">
        <v>1.0</v>
      </c>
      <c r="AP579" s="139">
        <v>0.0</v>
      </c>
      <c r="AQ579" s="139">
        <v>0.0</v>
      </c>
      <c r="AR579" s="139">
        <v>9.0</v>
      </c>
      <c r="AS579" s="139">
        <v>1980.0</v>
      </c>
      <c r="AT579" s="136" t="s">
        <v>197</v>
      </c>
      <c r="AU579" s="136" t="s">
        <v>2947</v>
      </c>
      <c r="AV579" s="143"/>
      <c r="AW579" s="159">
        <v>1.0</v>
      </c>
      <c r="AX579" s="144"/>
      <c r="AY579" s="38"/>
      <c r="AZ579" s="38"/>
      <c r="BA579" s="38"/>
      <c r="BB579" s="38"/>
      <c r="BC579" s="38"/>
    </row>
    <row r="580">
      <c r="A580" s="145" t="s">
        <v>2948</v>
      </c>
      <c r="B580" s="146">
        <v>45688.321343275464</v>
      </c>
      <c r="C580" s="147" t="s">
        <v>1931</v>
      </c>
      <c r="D580" s="148" t="s">
        <v>2949</v>
      </c>
      <c r="E580" s="150" t="s">
        <v>2950</v>
      </c>
      <c r="F580" s="149" t="s">
        <v>2948</v>
      </c>
      <c r="G580" s="150">
        <v>117.0</v>
      </c>
      <c r="H580" s="150">
        <v>8.0</v>
      </c>
      <c r="I580" s="150">
        <v>7.0</v>
      </c>
      <c r="J580" s="150">
        <v>1.0</v>
      </c>
      <c r="K580" s="147" t="s">
        <v>401</v>
      </c>
      <c r="L580" s="157">
        <v>9.0</v>
      </c>
      <c r="M580" s="150">
        <v>2.0</v>
      </c>
      <c r="N580" s="150">
        <v>9.0</v>
      </c>
      <c r="O580" s="150">
        <v>8.0</v>
      </c>
      <c r="P580" s="150">
        <v>0.0</v>
      </c>
      <c r="Q580" s="150">
        <v>9.0</v>
      </c>
      <c r="R580" s="150">
        <v>0.0</v>
      </c>
      <c r="S580" s="150">
        <v>8.0</v>
      </c>
      <c r="T580" s="150">
        <v>5.0</v>
      </c>
      <c r="U580" s="147" t="s">
        <v>401</v>
      </c>
      <c r="V580" s="147" t="s">
        <v>197</v>
      </c>
      <c r="W580" s="147" t="s">
        <v>197</v>
      </c>
      <c r="X580" s="147" t="s">
        <v>2951</v>
      </c>
      <c r="Y580" s="150" t="s">
        <v>2952</v>
      </c>
      <c r="Z580" s="150">
        <v>8.0</v>
      </c>
      <c r="AA580" s="160">
        <v>1.0</v>
      </c>
      <c r="AB580" s="154" t="s">
        <v>2953</v>
      </c>
      <c r="AC580" s="154" t="s">
        <v>2954</v>
      </c>
      <c r="AD580" s="154" t="s">
        <v>2955</v>
      </c>
      <c r="AE580" s="152"/>
      <c r="AF580" s="150">
        <v>8.0</v>
      </c>
      <c r="AG580" s="150">
        <v>0.0</v>
      </c>
      <c r="AH580" s="150">
        <v>0.0</v>
      </c>
      <c r="AI580" s="150">
        <v>0.0</v>
      </c>
      <c r="AJ580" s="150">
        <v>0.0</v>
      </c>
      <c r="AK580" s="150">
        <v>7.0</v>
      </c>
      <c r="AL580" s="150">
        <v>9.0</v>
      </c>
      <c r="AM580" s="150">
        <v>0.0</v>
      </c>
      <c r="AN580" s="150">
        <v>0.0</v>
      </c>
      <c r="AO580" s="150">
        <v>2.0</v>
      </c>
      <c r="AP580" s="150">
        <v>0.0</v>
      </c>
      <c r="AQ580" s="150">
        <v>0.0</v>
      </c>
      <c r="AR580" s="150">
        <v>9.0</v>
      </c>
      <c r="AS580" s="150">
        <v>1988.0</v>
      </c>
      <c r="AT580" s="147" t="s">
        <v>197</v>
      </c>
      <c r="AU580" s="147" t="s">
        <v>197</v>
      </c>
      <c r="AV580" s="152"/>
      <c r="AW580" s="161">
        <v>1.0</v>
      </c>
      <c r="AX580" s="155"/>
      <c r="AY580" s="38"/>
      <c r="AZ580" s="38"/>
      <c r="BA580" s="38"/>
      <c r="BB580" s="38"/>
      <c r="BC580" s="38"/>
    </row>
    <row r="581">
      <c r="A581" s="97" t="s">
        <v>2956</v>
      </c>
      <c r="B581" s="135">
        <v>45688.35163314815</v>
      </c>
      <c r="C581" s="136" t="s">
        <v>2957</v>
      </c>
      <c r="D581" s="137" t="s">
        <v>2958</v>
      </c>
      <c r="E581" s="136" t="s">
        <v>2959</v>
      </c>
      <c r="F581" s="98" t="s">
        <v>2956</v>
      </c>
      <c r="G581" s="139">
        <v>500.0</v>
      </c>
      <c r="H581" s="139">
        <v>8.0</v>
      </c>
      <c r="I581" s="139">
        <v>6.0</v>
      </c>
      <c r="J581" s="139">
        <v>2.0</v>
      </c>
      <c r="K581" s="136" t="s">
        <v>197</v>
      </c>
      <c r="L581" s="158"/>
      <c r="M581" s="143"/>
      <c r="N581" s="143"/>
      <c r="O581" s="139">
        <v>0.0</v>
      </c>
      <c r="P581" s="139">
        <v>0.0</v>
      </c>
      <c r="Q581" s="139">
        <v>0.0</v>
      </c>
      <c r="R581" s="139">
        <v>0.0</v>
      </c>
      <c r="S581" s="139">
        <v>0.0</v>
      </c>
      <c r="T581" s="139">
        <v>0.0</v>
      </c>
      <c r="U581" s="136" t="s">
        <v>197</v>
      </c>
      <c r="V581" s="136" t="s">
        <v>197</v>
      </c>
      <c r="W581" s="136" t="s">
        <v>197</v>
      </c>
      <c r="X581" s="139" t="s">
        <v>2960</v>
      </c>
      <c r="Y581" s="139" t="s">
        <v>2961</v>
      </c>
      <c r="Z581" s="139">
        <v>10.0</v>
      </c>
      <c r="AA581" s="138">
        <v>1.0</v>
      </c>
      <c r="AB581" s="143"/>
      <c r="AC581" s="136" t="s">
        <v>2962</v>
      </c>
      <c r="AD581" s="142" t="s">
        <v>2963</v>
      </c>
      <c r="AE581" s="143"/>
      <c r="AF581" s="139">
        <v>0.0</v>
      </c>
      <c r="AG581" s="139">
        <v>0.0</v>
      </c>
      <c r="AH581" s="139">
        <v>0.0</v>
      </c>
      <c r="AI581" s="139">
        <v>0.0</v>
      </c>
      <c r="AJ581" s="139">
        <v>0.0</v>
      </c>
      <c r="AK581" s="139">
        <v>10.0</v>
      </c>
      <c r="AL581" s="139">
        <v>9.0</v>
      </c>
      <c r="AM581" s="139">
        <v>10.0</v>
      </c>
      <c r="AN581" s="139">
        <v>0.0</v>
      </c>
      <c r="AO581" s="139">
        <v>0.0</v>
      </c>
      <c r="AP581" s="139">
        <v>10.0</v>
      </c>
      <c r="AQ581" s="139">
        <v>0.0</v>
      </c>
      <c r="AR581" s="139">
        <v>10.0</v>
      </c>
      <c r="AS581" s="139">
        <v>2000.0</v>
      </c>
      <c r="AT581" s="136" t="s">
        <v>197</v>
      </c>
      <c r="AU581" s="136" t="s">
        <v>2000</v>
      </c>
      <c r="AV581" s="143"/>
      <c r="AW581" s="159">
        <v>1.0</v>
      </c>
      <c r="AX581" s="144"/>
      <c r="AY581" s="38"/>
      <c r="AZ581" s="38"/>
      <c r="BA581" s="38"/>
      <c r="BB581" s="38"/>
      <c r="BC581" s="38"/>
    </row>
    <row r="582">
      <c r="A582" s="145" t="s">
        <v>2964</v>
      </c>
      <c r="B582" s="146">
        <v>45688.377795520835</v>
      </c>
      <c r="C582" s="147" t="s">
        <v>1417</v>
      </c>
      <c r="D582" s="148" t="s">
        <v>1240</v>
      </c>
      <c r="E582" s="147" t="s">
        <v>2965</v>
      </c>
      <c r="F582" s="149" t="s">
        <v>2964</v>
      </c>
      <c r="G582" s="160">
        <v>190.0</v>
      </c>
      <c r="H582" s="150">
        <v>5.0</v>
      </c>
      <c r="I582" s="150">
        <v>5.0</v>
      </c>
      <c r="J582" s="150">
        <v>10.0</v>
      </c>
      <c r="K582" s="164" t="s">
        <v>197</v>
      </c>
      <c r="L582" s="151"/>
      <c r="M582" s="152"/>
      <c r="N582" s="152"/>
      <c r="O582" s="150">
        <v>10.0</v>
      </c>
      <c r="P582" s="150">
        <v>0.0</v>
      </c>
      <c r="Q582" s="165">
        <v>0.0</v>
      </c>
      <c r="R582" s="165">
        <v>10.0</v>
      </c>
      <c r="S582" s="150">
        <v>10.0</v>
      </c>
      <c r="T582" s="150">
        <v>0.0</v>
      </c>
      <c r="U582" s="147" t="s">
        <v>401</v>
      </c>
      <c r="V582" s="147" t="s">
        <v>197</v>
      </c>
      <c r="W582" s="164" t="s">
        <v>401</v>
      </c>
      <c r="X582" s="150" t="s">
        <v>2966</v>
      </c>
      <c r="Y582" s="150" t="s">
        <v>2967</v>
      </c>
      <c r="Z582" s="165">
        <v>9.0</v>
      </c>
      <c r="AA582" s="160">
        <v>1.0</v>
      </c>
      <c r="AB582" s="147" t="s">
        <v>2968</v>
      </c>
      <c r="AC582" s="154" t="s">
        <v>2969</v>
      </c>
      <c r="AD582" s="154" t="s">
        <v>2970</v>
      </c>
      <c r="AE582" s="152"/>
      <c r="AF582" s="165">
        <v>5.0</v>
      </c>
      <c r="AG582" s="150">
        <v>0.0</v>
      </c>
      <c r="AH582" s="150">
        <v>1.0</v>
      </c>
      <c r="AI582" s="150">
        <v>1.0</v>
      </c>
      <c r="AJ582" s="150">
        <v>1.0</v>
      </c>
      <c r="AK582" s="150">
        <v>10.0</v>
      </c>
      <c r="AL582" s="150">
        <v>8.0</v>
      </c>
      <c r="AM582" s="150">
        <v>1.0</v>
      </c>
      <c r="AN582" s="165">
        <v>1.0</v>
      </c>
      <c r="AO582" s="150">
        <v>1.0</v>
      </c>
      <c r="AP582" s="150">
        <v>1.0</v>
      </c>
      <c r="AQ582" s="150">
        <v>1.0</v>
      </c>
      <c r="AR582" s="150">
        <v>10.0</v>
      </c>
      <c r="AS582" s="147" t="s">
        <v>2971</v>
      </c>
      <c r="AT582" s="147" t="s">
        <v>197</v>
      </c>
      <c r="AU582" s="147" t="s">
        <v>2972</v>
      </c>
      <c r="AV582" s="152"/>
      <c r="AW582" s="161">
        <v>1.0</v>
      </c>
      <c r="AX582" s="166" t="s">
        <v>2973</v>
      </c>
      <c r="AY582" s="38"/>
      <c r="AZ582" s="38"/>
      <c r="BA582" s="38"/>
      <c r="BB582" s="38"/>
      <c r="BC582" s="38"/>
    </row>
    <row r="583">
      <c r="A583" s="97" t="s">
        <v>2974</v>
      </c>
      <c r="B583" s="135">
        <v>45688.38240927084</v>
      </c>
      <c r="C583" s="136" t="s">
        <v>2975</v>
      </c>
      <c r="D583" s="136" t="s">
        <v>2976</v>
      </c>
      <c r="E583" s="136" t="s">
        <v>2977</v>
      </c>
      <c r="F583" s="98" t="s">
        <v>2974</v>
      </c>
      <c r="G583" s="138">
        <v>145.0</v>
      </c>
      <c r="H583" s="139">
        <v>10.0</v>
      </c>
      <c r="I583" s="139">
        <v>6.0</v>
      </c>
      <c r="J583" s="139">
        <v>0.0</v>
      </c>
      <c r="K583" s="136" t="s">
        <v>401</v>
      </c>
      <c r="L583" s="140">
        <v>10.0</v>
      </c>
      <c r="M583" s="139">
        <v>0.0</v>
      </c>
      <c r="N583" s="139">
        <v>10.0</v>
      </c>
      <c r="O583" s="139">
        <v>10.0</v>
      </c>
      <c r="P583" s="139">
        <v>0.0</v>
      </c>
      <c r="Q583" s="139">
        <v>10.0</v>
      </c>
      <c r="R583" s="139">
        <v>0.0</v>
      </c>
      <c r="S583" s="139">
        <v>10.0</v>
      </c>
      <c r="T583" s="139">
        <v>0.0</v>
      </c>
      <c r="U583" s="136" t="s">
        <v>401</v>
      </c>
      <c r="V583" s="136" t="s">
        <v>197</v>
      </c>
      <c r="W583" s="167" t="s">
        <v>401</v>
      </c>
      <c r="X583" s="136" t="s">
        <v>2978</v>
      </c>
      <c r="Y583" s="136" t="s">
        <v>2978</v>
      </c>
      <c r="Z583" s="168">
        <v>10.0</v>
      </c>
      <c r="AA583" s="138">
        <v>1.0</v>
      </c>
      <c r="AB583" s="136" t="s">
        <v>2979</v>
      </c>
      <c r="AC583" s="142" t="s">
        <v>2980</v>
      </c>
      <c r="AD583" s="142" t="s">
        <v>2981</v>
      </c>
      <c r="AE583" s="143"/>
      <c r="AF583" s="168">
        <v>10.0</v>
      </c>
      <c r="AG583" s="139">
        <v>0.0</v>
      </c>
      <c r="AH583" s="139">
        <v>5.0</v>
      </c>
      <c r="AI583" s="139">
        <v>0.0</v>
      </c>
      <c r="AJ583" s="139">
        <v>1.0</v>
      </c>
      <c r="AK583" s="139">
        <v>10.0</v>
      </c>
      <c r="AL583" s="139">
        <v>10.0</v>
      </c>
      <c r="AM583" s="139">
        <v>5.0</v>
      </c>
      <c r="AN583" s="139">
        <v>10.0</v>
      </c>
      <c r="AO583" s="139">
        <v>10.0</v>
      </c>
      <c r="AP583" s="139">
        <v>10.0</v>
      </c>
      <c r="AQ583" s="139">
        <v>5.0</v>
      </c>
      <c r="AR583" s="139">
        <v>10.0</v>
      </c>
      <c r="AS583" s="168">
        <v>0.0</v>
      </c>
      <c r="AT583" s="136" t="s">
        <v>197</v>
      </c>
      <c r="AU583" s="136" t="s">
        <v>197</v>
      </c>
      <c r="AV583" s="143"/>
      <c r="AW583" s="159">
        <v>1.0</v>
      </c>
      <c r="AX583" s="169" t="s">
        <v>2982</v>
      </c>
      <c r="AY583" s="38"/>
      <c r="AZ583" s="38"/>
      <c r="BA583" s="38"/>
      <c r="BB583" s="38"/>
      <c r="BC583" s="38"/>
    </row>
    <row r="584">
      <c r="A584" s="145" t="s">
        <v>2983</v>
      </c>
      <c r="B584" s="146">
        <v>45688.42041236111</v>
      </c>
      <c r="C584" s="147" t="s">
        <v>2984</v>
      </c>
      <c r="D584" s="148" t="s">
        <v>2985</v>
      </c>
      <c r="E584" s="147" t="s">
        <v>2986</v>
      </c>
      <c r="F584" s="149" t="s">
        <v>2983</v>
      </c>
      <c r="G584" s="160">
        <v>110.0</v>
      </c>
      <c r="H584" s="150">
        <v>9.0</v>
      </c>
      <c r="I584" s="150">
        <v>10.0</v>
      </c>
      <c r="J584" s="150">
        <v>1.0</v>
      </c>
      <c r="K584" s="147" t="s">
        <v>401</v>
      </c>
      <c r="L584" s="157">
        <v>10.0</v>
      </c>
      <c r="M584" s="165">
        <v>9.0</v>
      </c>
      <c r="N584" s="150">
        <v>9.0</v>
      </c>
      <c r="O584" s="165">
        <v>5.0</v>
      </c>
      <c r="P584" s="150">
        <v>10.0</v>
      </c>
      <c r="Q584" s="165">
        <v>10.0</v>
      </c>
      <c r="R584" s="150">
        <v>10.0</v>
      </c>
      <c r="S584" s="165">
        <v>5.0</v>
      </c>
      <c r="T584" s="150">
        <v>9.0</v>
      </c>
      <c r="U584" s="147" t="s">
        <v>197</v>
      </c>
      <c r="V584" s="147" t="s">
        <v>401</v>
      </c>
      <c r="W584" s="147" t="s">
        <v>197</v>
      </c>
      <c r="X584" s="147" t="s">
        <v>2987</v>
      </c>
      <c r="Y584" s="147" t="s">
        <v>2988</v>
      </c>
      <c r="Z584" s="150">
        <v>8.0</v>
      </c>
      <c r="AA584" s="160">
        <v>1.0</v>
      </c>
      <c r="AB584" s="154" t="s">
        <v>2989</v>
      </c>
      <c r="AC584" s="147" t="s">
        <v>2990</v>
      </c>
      <c r="AD584" s="154" t="s">
        <v>2991</v>
      </c>
      <c r="AE584" s="147" t="s">
        <v>1228</v>
      </c>
      <c r="AF584" s="150">
        <v>0.0</v>
      </c>
      <c r="AG584" s="150">
        <v>0.0</v>
      </c>
      <c r="AH584" s="150">
        <v>10.0</v>
      </c>
      <c r="AI584" s="150">
        <v>5.0</v>
      </c>
      <c r="AJ584" s="150">
        <v>8.0</v>
      </c>
      <c r="AK584" s="150">
        <v>10.0</v>
      </c>
      <c r="AL584" s="150">
        <v>9.0</v>
      </c>
      <c r="AM584" s="150">
        <v>8.0</v>
      </c>
      <c r="AN584" s="150">
        <v>10.0</v>
      </c>
      <c r="AO584" s="150">
        <v>8.0</v>
      </c>
      <c r="AP584" s="150">
        <v>10.0</v>
      </c>
      <c r="AQ584" s="150">
        <v>3.0</v>
      </c>
      <c r="AR584" s="150">
        <v>9.0</v>
      </c>
      <c r="AS584" s="150">
        <v>1760.0</v>
      </c>
      <c r="AT584" s="147" t="s">
        <v>197</v>
      </c>
      <c r="AU584" s="147" t="s">
        <v>1228</v>
      </c>
      <c r="AV584" s="152"/>
      <c r="AW584" s="161">
        <v>1.0</v>
      </c>
      <c r="AX584" s="166" t="s">
        <v>2992</v>
      </c>
      <c r="AY584" s="38"/>
      <c r="AZ584" s="38"/>
      <c r="BA584" s="38"/>
      <c r="BB584" s="38"/>
      <c r="BC584" s="38"/>
    </row>
    <row r="585">
      <c r="A585" s="97" t="s">
        <v>2993</v>
      </c>
      <c r="B585" s="135">
        <v>45688.42898201389</v>
      </c>
      <c r="C585" s="136" t="s">
        <v>2220</v>
      </c>
      <c r="D585" s="136" t="s">
        <v>2994</v>
      </c>
      <c r="E585" s="136" t="s">
        <v>2995</v>
      </c>
      <c r="F585" s="98" t="s">
        <v>2993</v>
      </c>
      <c r="G585" s="139">
        <v>230.0</v>
      </c>
      <c r="H585" s="139">
        <v>8.0</v>
      </c>
      <c r="I585" s="139">
        <v>6.0</v>
      </c>
      <c r="J585" s="136" t="s">
        <v>197</v>
      </c>
      <c r="K585" s="136" t="s">
        <v>401</v>
      </c>
      <c r="L585" s="140">
        <v>9.0</v>
      </c>
      <c r="M585" s="139">
        <v>2.0</v>
      </c>
      <c r="N585" s="139">
        <v>10.0</v>
      </c>
      <c r="O585" s="168">
        <v>3.0</v>
      </c>
      <c r="P585" s="139">
        <v>10.0</v>
      </c>
      <c r="Q585" s="168">
        <v>4.0</v>
      </c>
      <c r="R585" s="139">
        <v>10.0</v>
      </c>
      <c r="S585" s="168">
        <v>3.0</v>
      </c>
      <c r="T585" s="139">
        <v>10.0</v>
      </c>
      <c r="U585" s="136" t="s">
        <v>197</v>
      </c>
      <c r="V585" s="136" t="s">
        <v>197</v>
      </c>
      <c r="W585" s="136" t="s">
        <v>197</v>
      </c>
      <c r="X585" s="136" t="s">
        <v>2996</v>
      </c>
      <c r="Y585" s="136" t="s">
        <v>2997</v>
      </c>
      <c r="Z585" s="168">
        <v>8.0</v>
      </c>
      <c r="AA585" s="138">
        <v>1.0</v>
      </c>
      <c r="AB585" s="142" t="s">
        <v>2998</v>
      </c>
      <c r="AC585" s="142" t="s">
        <v>2999</v>
      </c>
      <c r="AD585" s="142" t="s">
        <v>3000</v>
      </c>
      <c r="AE585" s="143"/>
      <c r="AF585" s="139">
        <v>0.0</v>
      </c>
      <c r="AG585" s="139">
        <v>0.0</v>
      </c>
      <c r="AH585" s="139">
        <v>1.0</v>
      </c>
      <c r="AI585" s="139">
        <v>0.0</v>
      </c>
      <c r="AJ585" s="139">
        <v>6.0</v>
      </c>
      <c r="AK585" s="139">
        <v>8.0</v>
      </c>
      <c r="AL585" s="139">
        <v>9.0</v>
      </c>
      <c r="AM585" s="139">
        <v>1.0</v>
      </c>
      <c r="AN585" s="139">
        <v>7.0</v>
      </c>
      <c r="AO585" s="139">
        <v>7.0</v>
      </c>
      <c r="AP585" s="139">
        <v>8.0</v>
      </c>
      <c r="AQ585" s="139">
        <v>0.0</v>
      </c>
      <c r="AR585" s="139">
        <v>9.0</v>
      </c>
      <c r="AS585" s="139">
        <v>1940.0</v>
      </c>
      <c r="AT585" s="136" t="s">
        <v>197</v>
      </c>
      <c r="AU585" s="136" t="s">
        <v>197</v>
      </c>
      <c r="AV585" s="143"/>
      <c r="AW585" s="159">
        <v>1.0</v>
      </c>
      <c r="AX585" s="169" t="s">
        <v>3001</v>
      </c>
      <c r="AY585" s="38"/>
      <c r="AZ585" s="38"/>
      <c r="BA585" s="38"/>
      <c r="BB585" s="38"/>
      <c r="BC585" s="38"/>
    </row>
    <row r="586">
      <c r="A586" s="145" t="s">
        <v>3002</v>
      </c>
      <c r="B586" s="146">
        <v>45688.4367258912</v>
      </c>
      <c r="C586" s="147" t="s">
        <v>3003</v>
      </c>
      <c r="D586" s="148" t="s">
        <v>3004</v>
      </c>
      <c r="E586" s="147" t="s">
        <v>3005</v>
      </c>
      <c r="F586" s="149" t="s">
        <v>3002</v>
      </c>
      <c r="G586" s="160">
        <v>247.0</v>
      </c>
      <c r="H586" s="150">
        <v>7.0</v>
      </c>
      <c r="I586" s="150">
        <v>7.0</v>
      </c>
      <c r="J586" s="150">
        <v>2.0</v>
      </c>
      <c r="K586" s="147" t="s">
        <v>401</v>
      </c>
      <c r="L586" s="157">
        <v>10.0</v>
      </c>
      <c r="M586" s="150">
        <v>2.0</v>
      </c>
      <c r="N586" s="150">
        <v>10.0</v>
      </c>
      <c r="O586" s="165">
        <v>7.0</v>
      </c>
      <c r="P586" s="150">
        <v>10.0</v>
      </c>
      <c r="Q586" s="150">
        <v>0.0</v>
      </c>
      <c r="R586" s="150">
        <v>8.0</v>
      </c>
      <c r="S586" s="150">
        <v>0.0</v>
      </c>
      <c r="T586" s="150">
        <v>10.0</v>
      </c>
      <c r="U586" s="147" t="s">
        <v>197</v>
      </c>
      <c r="V586" s="147" t="s">
        <v>197</v>
      </c>
      <c r="W586" s="147" t="s">
        <v>197</v>
      </c>
      <c r="X586" s="147" t="s">
        <v>3006</v>
      </c>
      <c r="Y586" s="147" t="s">
        <v>3007</v>
      </c>
      <c r="Z586" s="150">
        <v>0.0</v>
      </c>
      <c r="AA586" s="160">
        <v>1.0</v>
      </c>
      <c r="AB586" s="154" t="s">
        <v>3008</v>
      </c>
      <c r="AC586" s="154" t="s">
        <v>3009</v>
      </c>
      <c r="AD586" s="154" t="s">
        <v>3010</v>
      </c>
      <c r="AE586" s="152"/>
      <c r="AF586" s="150">
        <v>0.0</v>
      </c>
      <c r="AG586" s="150">
        <v>0.0</v>
      </c>
      <c r="AH586" s="150">
        <v>0.0</v>
      </c>
      <c r="AI586" s="150">
        <v>0.0</v>
      </c>
      <c r="AJ586" s="150">
        <v>0.0</v>
      </c>
      <c r="AK586" s="150">
        <v>8.0</v>
      </c>
      <c r="AL586" s="150">
        <v>5.0</v>
      </c>
      <c r="AM586" s="150">
        <v>6.0</v>
      </c>
      <c r="AN586" s="150">
        <v>10.0</v>
      </c>
      <c r="AO586" s="150">
        <v>5.0</v>
      </c>
      <c r="AP586" s="150">
        <v>5.0</v>
      </c>
      <c r="AQ586" s="150">
        <v>0.0</v>
      </c>
      <c r="AR586" s="150">
        <v>7.0</v>
      </c>
      <c r="AS586" s="164" t="s">
        <v>1678</v>
      </c>
      <c r="AT586" s="147" t="s">
        <v>197</v>
      </c>
      <c r="AU586" s="147" t="s">
        <v>3011</v>
      </c>
      <c r="AV586" s="152"/>
      <c r="AW586" s="76">
        <v>1.0</v>
      </c>
      <c r="AX586" s="170" t="s">
        <v>2992</v>
      </c>
      <c r="AY586" s="38"/>
      <c r="AZ586" s="38"/>
      <c r="BA586" s="38"/>
      <c r="BB586" s="38"/>
      <c r="BC586" s="38"/>
    </row>
    <row r="587">
      <c r="A587" s="97" t="s">
        <v>3012</v>
      </c>
      <c r="B587" s="135">
        <v>45688.45902174768</v>
      </c>
      <c r="C587" s="136" t="s">
        <v>1636</v>
      </c>
      <c r="D587" s="137" t="s">
        <v>3013</v>
      </c>
      <c r="E587" s="136" t="s">
        <v>3014</v>
      </c>
      <c r="F587" s="98" t="s">
        <v>3012</v>
      </c>
      <c r="G587" s="138">
        <v>60.0</v>
      </c>
      <c r="H587" s="139">
        <v>10.0</v>
      </c>
      <c r="I587" s="139">
        <v>7.0</v>
      </c>
      <c r="J587" s="139">
        <v>2.0</v>
      </c>
      <c r="K587" s="136" t="s">
        <v>401</v>
      </c>
      <c r="L587" s="140">
        <v>8.0</v>
      </c>
      <c r="M587" s="139">
        <v>4.0</v>
      </c>
      <c r="N587" s="139">
        <v>8.0</v>
      </c>
      <c r="O587" s="139">
        <v>9.0</v>
      </c>
      <c r="P587" s="168">
        <v>3.0</v>
      </c>
      <c r="Q587" s="139">
        <v>9.0</v>
      </c>
      <c r="R587" s="168">
        <v>7.0</v>
      </c>
      <c r="S587" s="139">
        <v>7.0</v>
      </c>
      <c r="T587" s="168">
        <v>4.0</v>
      </c>
      <c r="U587" s="136" t="s">
        <v>401</v>
      </c>
      <c r="V587" s="136" t="s">
        <v>197</v>
      </c>
      <c r="W587" s="167" t="s">
        <v>401</v>
      </c>
      <c r="X587" s="136" t="s">
        <v>3015</v>
      </c>
      <c r="Y587" s="136" t="s">
        <v>3016</v>
      </c>
      <c r="Z587" s="168">
        <v>10.0</v>
      </c>
      <c r="AA587" s="138">
        <v>1.0</v>
      </c>
      <c r="AB587" s="142" t="s">
        <v>3017</v>
      </c>
      <c r="AC587" s="142" t="s">
        <v>3018</v>
      </c>
      <c r="AD587" s="142" t="s">
        <v>3019</v>
      </c>
      <c r="AE587" s="143"/>
      <c r="AF587" s="139">
        <v>1.0</v>
      </c>
      <c r="AG587" s="139">
        <v>0.0</v>
      </c>
      <c r="AH587" s="139">
        <v>5.0</v>
      </c>
      <c r="AI587" s="139">
        <v>7.0</v>
      </c>
      <c r="AJ587" s="139">
        <v>0.0</v>
      </c>
      <c r="AK587" s="139">
        <v>10.0</v>
      </c>
      <c r="AL587" s="139">
        <v>7.0</v>
      </c>
      <c r="AM587" s="139">
        <v>9.0</v>
      </c>
      <c r="AN587" s="139">
        <v>10.0</v>
      </c>
      <c r="AO587" s="139">
        <v>9.0</v>
      </c>
      <c r="AP587" s="139">
        <v>0.0</v>
      </c>
      <c r="AQ587" s="139">
        <v>5.0</v>
      </c>
      <c r="AR587" s="139">
        <v>10.0</v>
      </c>
      <c r="AS587" s="139">
        <v>1981.0</v>
      </c>
      <c r="AT587" s="136" t="s">
        <v>197</v>
      </c>
      <c r="AU587" s="136" t="s">
        <v>197</v>
      </c>
      <c r="AV587" s="143"/>
      <c r="AW587" s="159">
        <v>1.0</v>
      </c>
      <c r="AX587" s="169" t="s">
        <v>3020</v>
      </c>
      <c r="AY587" s="38"/>
      <c r="AZ587" s="38"/>
      <c r="BA587" s="38"/>
      <c r="BB587" s="38"/>
      <c r="BC587" s="38"/>
    </row>
    <row r="588">
      <c r="A588" s="145" t="s">
        <v>3021</v>
      </c>
      <c r="B588" s="146">
        <v>45688.532743171294</v>
      </c>
      <c r="C588" s="147" t="s">
        <v>1156</v>
      </c>
      <c r="D588" s="148" t="s">
        <v>1157</v>
      </c>
      <c r="E588" s="165" t="s">
        <v>3022</v>
      </c>
      <c r="F588" s="149" t="s">
        <v>3021</v>
      </c>
      <c r="G588" s="160">
        <v>198.0</v>
      </c>
      <c r="H588" s="150">
        <v>8.0</v>
      </c>
      <c r="I588" s="150">
        <v>7.0</v>
      </c>
      <c r="J588" s="148" t="s">
        <v>3023</v>
      </c>
      <c r="K588" s="147" t="s">
        <v>197</v>
      </c>
      <c r="L588" s="151"/>
      <c r="M588" s="152"/>
      <c r="N588" s="152"/>
      <c r="O588" s="150">
        <v>0.0</v>
      </c>
      <c r="P588" s="150">
        <v>0.0</v>
      </c>
      <c r="Q588" s="150">
        <v>0.0</v>
      </c>
      <c r="R588" s="150">
        <v>0.0</v>
      </c>
      <c r="S588" s="150">
        <v>0.0</v>
      </c>
      <c r="T588" s="150">
        <v>0.0</v>
      </c>
      <c r="U588" s="147" t="s">
        <v>197</v>
      </c>
      <c r="V588" s="147" t="s">
        <v>197</v>
      </c>
      <c r="W588" s="147" t="s">
        <v>197</v>
      </c>
      <c r="X588" s="150" t="s">
        <v>3024</v>
      </c>
      <c r="Y588" s="150" t="s">
        <v>3025</v>
      </c>
      <c r="Z588" s="165">
        <v>0.0</v>
      </c>
      <c r="AA588" s="160">
        <v>1.0</v>
      </c>
      <c r="AB588" s="154" t="s">
        <v>3026</v>
      </c>
      <c r="AC588" s="154" t="s">
        <v>3027</v>
      </c>
      <c r="AD588" s="154" t="s">
        <v>3028</v>
      </c>
      <c r="AE588" s="150" t="s">
        <v>3029</v>
      </c>
      <c r="AF588" s="150">
        <v>0.0</v>
      </c>
      <c r="AG588" s="150">
        <v>0.0</v>
      </c>
      <c r="AH588" s="150">
        <v>0.0</v>
      </c>
      <c r="AI588" s="150">
        <v>2.0</v>
      </c>
      <c r="AJ588" s="150">
        <v>1.0</v>
      </c>
      <c r="AK588" s="150">
        <v>7.0</v>
      </c>
      <c r="AL588" s="150">
        <v>8.0</v>
      </c>
      <c r="AM588" s="150">
        <v>5.0</v>
      </c>
      <c r="AN588" s="150">
        <v>0.0</v>
      </c>
      <c r="AO588" s="150">
        <v>4.0</v>
      </c>
      <c r="AP588" s="150">
        <v>3.0</v>
      </c>
      <c r="AQ588" s="150">
        <v>0.0</v>
      </c>
      <c r="AR588" s="150">
        <v>8.0</v>
      </c>
      <c r="AS588" s="171" t="s">
        <v>388</v>
      </c>
      <c r="AT588" s="147" t="s">
        <v>401</v>
      </c>
      <c r="AU588" s="150" t="s">
        <v>3022</v>
      </c>
      <c r="AV588" s="152"/>
      <c r="AW588" s="161">
        <v>1.0</v>
      </c>
      <c r="AX588" s="166" t="s">
        <v>3030</v>
      </c>
      <c r="AY588" s="38"/>
      <c r="AZ588" s="38"/>
      <c r="BA588" s="38"/>
      <c r="BB588" s="38"/>
      <c r="BC588" s="38"/>
    </row>
    <row r="589">
      <c r="A589" s="97" t="s">
        <v>3031</v>
      </c>
      <c r="B589" s="135">
        <v>45688.55190702547</v>
      </c>
      <c r="C589" s="136" t="s">
        <v>1283</v>
      </c>
      <c r="D589" s="137" t="s">
        <v>1284</v>
      </c>
      <c r="E589" s="136" t="s">
        <v>3032</v>
      </c>
      <c r="F589" s="98" t="s">
        <v>3031</v>
      </c>
      <c r="G589" s="139">
        <v>850.0</v>
      </c>
      <c r="H589" s="139">
        <v>4.0</v>
      </c>
      <c r="I589" s="139">
        <v>3.0</v>
      </c>
      <c r="J589" s="139">
        <v>1.0</v>
      </c>
      <c r="K589" s="136" t="s">
        <v>401</v>
      </c>
      <c r="L589" s="140">
        <v>8.0</v>
      </c>
      <c r="M589" s="139">
        <v>6.0</v>
      </c>
      <c r="N589" s="139">
        <v>8.0</v>
      </c>
      <c r="O589" s="168">
        <v>7.0</v>
      </c>
      <c r="P589" s="139">
        <v>8.0</v>
      </c>
      <c r="Q589" s="168">
        <v>7.0</v>
      </c>
      <c r="R589" s="168">
        <v>5.0</v>
      </c>
      <c r="S589" s="168">
        <v>7.0</v>
      </c>
      <c r="T589" s="139">
        <v>8.0</v>
      </c>
      <c r="U589" s="167" t="s">
        <v>401</v>
      </c>
      <c r="V589" s="136" t="s">
        <v>401</v>
      </c>
      <c r="W589" s="167" t="s">
        <v>401</v>
      </c>
      <c r="X589" s="136" t="s">
        <v>3033</v>
      </c>
      <c r="Y589" s="136" t="s">
        <v>3034</v>
      </c>
      <c r="Z589" s="139">
        <v>0.0</v>
      </c>
      <c r="AA589" s="138">
        <v>1.0</v>
      </c>
      <c r="AB589" s="142" t="s">
        <v>3035</v>
      </c>
      <c r="AC589" s="142" t="s">
        <v>3036</v>
      </c>
      <c r="AD589" s="142" t="s">
        <v>3037</v>
      </c>
      <c r="AE589" s="136" t="s">
        <v>197</v>
      </c>
      <c r="AF589" s="139">
        <v>0.0</v>
      </c>
      <c r="AG589" s="139">
        <v>0.0</v>
      </c>
      <c r="AH589" s="139">
        <v>2.0</v>
      </c>
      <c r="AI589" s="139">
        <v>0.0</v>
      </c>
      <c r="AJ589" s="139">
        <v>0.0</v>
      </c>
      <c r="AK589" s="139">
        <v>8.0</v>
      </c>
      <c r="AL589" s="139">
        <v>7.0</v>
      </c>
      <c r="AM589" s="139">
        <v>4.0</v>
      </c>
      <c r="AN589" s="168">
        <v>2.0</v>
      </c>
      <c r="AO589" s="139">
        <v>1.0</v>
      </c>
      <c r="AP589" s="168">
        <v>3.0</v>
      </c>
      <c r="AQ589" s="139">
        <v>0.0</v>
      </c>
      <c r="AR589" s="139">
        <v>7.0</v>
      </c>
      <c r="AS589" s="139">
        <v>1987.0</v>
      </c>
      <c r="AT589" s="136" t="s">
        <v>197</v>
      </c>
      <c r="AU589" s="136" t="s">
        <v>197</v>
      </c>
      <c r="AV589" s="143"/>
      <c r="AW589" s="159">
        <v>1.0</v>
      </c>
      <c r="AX589" s="169" t="s">
        <v>3038</v>
      </c>
      <c r="AY589" s="38"/>
      <c r="AZ589" s="38"/>
      <c r="BA589" s="38"/>
      <c r="BB589" s="38"/>
      <c r="BC589" s="38"/>
    </row>
    <row r="590">
      <c r="A590" s="145" t="s">
        <v>3039</v>
      </c>
      <c r="B590" s="146">
        <v>45688.56626099537</v>
      </c>
      <c r="C590" s="147" t="s">
        <v>3040</v>
      </c>
      <c r="D590" s="148" t="s">
        <v>3041</v>
      </c>
      <c r="E590" s="147" t="s">
        <v>3042</v>
      </c>
      <c r="F590" s="149" t="s">
        <v>3039</v>
      </c>
      <c r="G590" s="150">
        <v>140.0</v>
      </c>
      <c r="H590" s="150">
        <v>7.0</v>
      </c>
      <c r="I590" s="150">
        <v>7.0</v>
      </c>
      <c r="J590" s="150">
        <v>2.0</v>
      </c>
      <c r="K590" s="147" t="s">
        <v>401</v>
      </c>
      <c r="L590" s="157">
        <v>8.0</v>
      </c>
      <c r="M590" s="150">
        <v>4.0</v>
      </c>
      <c r="N590" s="150">
        <v>8.0</v>
      </c>
      <c r="O590" s="165">
        <v>2.0</v>
      </c>
      <c r="P590" s="150">
        <v>10.0</v>
      </c>
      <c r="Q590" s="165">
        <v>3.0</v>
      </c>
      <c r="R590" s="150">
        <v>10.0</v>
      </c>
      <c r="S590" s="150">
        <v>0.0</v>
      </c>
      <c r="T590" s="150">
        <v>10.0</v>
      </c>
      <c r="U590" s="147" t="s">
        <v>197</v>
      </c>
      <c r="V590" s="147" t="s">
        <v>401</v>
      </c>
      <c r="W590" s="147" t="s">
        <v>197</v>
      </c>
      <c r="X590" s="147" t="s">
        <v>3043</v>
      </c>
      <c r="Y590" s="147" t="s">
        <v>3044</v>
      </c>
      <c r="Z590" s="150">
        <v>7.0</v>
      </c>
      <c r="AA590" s="160">
        <v>1.0</v>
      </c>
      <c r="AB590" s="172" t="s">
        <v>3045</v>
      </c>
      <c r="AC590" s="172" t="s">
        <v>3046</v>
      </c>
      <c r="AD590" s="154" t="s">
        <v>3047</v>
      </c>
      <c r="AE590" s="147" t="s">
        <v>1005</v>
      </c>
      <c r="AF590" s="150">
        <v>0.0</v>
      </c>
      <c r="AG590" s="165">
        <v>10.0</v>
      </c>
      <c r="AH590" s="150">
        <v>10.0</v>
      </c>
      <c r="AI590" s="150">
        <v>0.0</v>
      </c>
      <c r="AJ590" s="150">
        <v>0.0</v>
      </c>
      <c r="AK590" s="150">
        <v>9.0</v>
      </c>
      <c r="AL590" s="150">
        <v>10.0</v>
      </c>
      <c r="AM590" s="150">
        <v>0.0</v>
      </c>
      <c r="AN590" s="150">
        <v>7.0</v>
      </c>
      <c r="AO590" s="150">
        <v>0.0</v>
      </c>
      <c r="AP590" s="150">
        <v>8.0</v>
      </c>
      <c r="AQ590" s="150">
        <v>0.0</v>
      </c>
      <c r="AR590" s="150">
        <v>9.0</v>
      </c>
      <c r="AS590" s="150">
        <v>1980.0</v>
      </c>
      <c r="AT590" s="147" t="s">
        <v>197</v>
      </c>
      <c r="AU590" s="147" t="s">
        <v>3048</v>
      </c>
      <c r="AV590" s="152"/>
      <c r="AW590" s="161">
        <v>1.0</v>
      </c>
      <c r="AX590" s="166" t="s">
        <v>3049</v>
      </c>
      <c r="AY590" s="38"/>
      <c r="AZ590" s="38"/>
      <c r="BA590" s="38"/>
      <c r="BB590" s="38"/>
      <c r="BC590" s="38"/>
    </row>
    <row r="591">
      <c r="A591" s="97" t="s">
        <v>3050</v>
      </c>
      <c r="B591" s="135">
        <v>45689.33399035879</v>
      </c>
      <c r="C591" s="136" t="s">
        <v>1148</v>
      </c>
      <c r="D591" s="137" t="s">
        <v>1393</v>
      </c>
      <c r="E591" s="136" t="s">
        <v>3051</v>
      </c>
      <c r="F591" s="98" t="s">
        <v>3050</v>
      </c>
      <c r="G591" s="139">
        <v>310.0</v>
      </c>
      <c r="H591" s="139">
        <v>10.0</v>
      </c>
      <c r="I591" s="139">
        <v>10.0</v>
      </c>
      <c r="J591" s="139">
        <v>0.0</v>
      </c>
      <c r="K591" s="136" t="s">
        <v>401</v>
      </c>
      <c r="L591" s="168">
        <v>8.0</v>
      </c>
      <c r="M591" s="139">
        <v>5.0</v>
      </c>
      <c r="N591" s="168">
        <v>4.0</v>
      </c>
      <c r="O591" s="168">
        <v>7.0</v>
      </c>
      <c r="P591" s="139">
        <v>9.0</v>
      </c>
      <c r="Q591" s="168">
        <v>9.0</v>
      </c>
      <c r="R591" s="139">
        <v>10.0</v>
      </c>
      <c r="S591" s="168">
        <v>5.0</v>
      </c>
      <c r="T591" s="139">
        <v>4.0</v>
      </c>
      <c r="U591" s="167" t="s">
        <v>401</v>
      </c>
      <c r="V591" s="136" t="s">
        <v>197</v>
      </c>
      <c r="W591" s="136" t="s">
        <v>197</v>
      </c>
      <c r="X591" s="136" t="s">
        <v>3052</v>
      </c>
      <c r="Y591" s="167" t="s">
        <v>3053</v>
      </c>
      <c r="Z591" s="139">
        <v>2.0</v>
      </c>
      <c r="AA591" s="173">
        <v>1.0</v>
      </c>
      <c r="AB591" s="142" t="s">
        <v>3054</v>
      </c>
      <c r="AC591" s="142" t="s">
        <v>3055</v>
      </c>
      <c r="AD591" s="142" t="s">
        <v>3056</v>
      </c>
      <c r="AE591" s="136" t="s">
        <v>197</v>
      </c>
      <c r="AF591" s="139">
        <v>0.0</v>
      </c>
      <c r="AG591" s="139">
        <v>0.0</v>
      </c>
      <c r="AH591" s="139">
        <v>5.0</v>
      </c>
      <c r="AI591" s="139">
        <v>1.0</v>
      </c>
      <c r="AJ591" s="139">
        <v>2.0</v>
      </c>
      <c r="AK591" s="139">
        <v>4.0</v>
      </c>
      <c r="AL591" s="139">
        <v>5.0</v>
      </c>
      <c r="AM591" s="139">
        <v>4.0</v>
      </c>
      <c r="AN591" s="139">
        <v>8.0</v>
      </c>
      <c r="AO591" s="139">
        <v>8.0</v>
      </c>
      <c r="AP591" s="139">
        <v>9.0</v>
      </c>
      <c r="AQ591" s="139">
        <v>2.0</v>
      </c>
      <c r="AR591" s="139">
        <v>7.0</v>
      </c>
      <c r="AS591" s="139">
        <v>1990.0</v>
      </c>
      <c r="AT591" s="136" t="s">
        <v>197</v>
      </c>
      <c r="AU591" s="136" t="s">
        <v>197</v>
      </c>
      <c r="AV591" s="143"/>
      <c r="AW591" s="159">
        <v>1.0</v>
      </c>
      <c r="AX591" s="169" t="s">
        <v>3057</v>
      </c>
      <c r="AY591" s="38"/>
      <c r="AZ591" s="38"/>
      <c r="BA591" s="38"/>
      <c r="BB591" s="38"/>
      <c r="BC591" s="38"/>
    </row>
    <row r="592">
      <c r="A592" s="145" t="s">
        <v>3058</v>
      </c>
      <c r="B592" s="146">
        <v>45695.20419975695</v>
      </c>
      <c r="C592" s="147" t="s">
        <v>1249</v>
      </c>
      <c r="D592" s="147" t="s">
        <v>1521</v>
      </c>
      <c r="E592" s="150" t="s">
        <v>2872</v>
      </c>
      <c r="F592" s="149" t="s">
        <v>3058</v>
      </c>
      <c r="G592" s="150">
        <v>65.0</v>
      </c>
      <c r="H592" s="150">
        <v>10.0</v>
      </c>
      <c r="I592" s="150">
        <v>9.0</v>
      </c>
      <c r="J592" s="147" t="s">
        <v>3059</v>
      </c>
      <c r="K592" s="147" t="s">
        <v>401</v>
      </c>
      <c r="L592" s="150">
        <v>7.0</v>
      </c>
      <c r="M592" s="150">
        <v>8.0</v>
      </c>
      <c r="N592" s="150">
        <v>8.0</v>
      </c>
      <c r="O592" s="150">
        <v>8.0</v>
      </c>
      <c r="P592" s="150">
        <v>6.0</v>
      </c>
      <c r="Q592" s="150">
        <v>7.0</v>
      </c>
      <c r="R592" s="150">
        <v>9.0</v>
      </c>
      <c r="S592" s="150">
        <v>6.0</v>
      </c>
      <c r="T592" s="150">
        <v>9.0</v>
      </c>
      <c r="U592" s="147" t="s">
        <v>401</v>
      </c>
      <c r="V592" s="147" t="s">
        <v>401</v>
      </c>
      <c r="W592" s="147" t="s">
        <v>197</v>
      </c>
      <c r="X592" s="150" t="s">
        <v>3060</v>
      </c>
      <c r="Y592" s="150" t="s">
        <v>3061</v>
      </c>
      <c r="Z592" s="150">
        <v>9.0</v>
      </c>
      <c r="AA592" s="160">
        <v>2.0</v>
      </c>
      <c r="AB592" s="147" t="s">
        <v>3062</v>
      </c>
      <c r="AC592" s="147" t="s">
        <v>3063</v>
      </c>
      <c r="AD592" s="154" t="s">
        <v>3064</v>
      </c>
      <c r="AE592" s="147" t="s">
        <v>1261</v>
      </c>
      <c r="AF592" s="150">
        <v>1.0</v>
      </c>
      <c r="AG592" s="150">
        <v>0.0</v>
      </c>
      <c r="AH592" s="150">
        <v>9.0</v>
      </c>
      <c r="AI592" s="150">
        <v>3.0</v>
      </c>
      <c r="AJ592" s="150">
        <v>1.0</v>
      </c>
      <c r="AK592" s="150">
        <v>0.0</v>
      </c>
      <c r="AL592" s="150">
        <v>8.0</v>
      </c>
      <c r="AM592" s="150">
        <v>3.0</v>
      </c>
      <c r="AN592" s="150">
        <v>8.0</v>
      </c>
      <c r="AO592" s="150">
        <v>5.0</v>
      </c>
      <c r="AP592" s="150">
        <v>7.0</v>
      </c>
      <c r="AQ592" s="150">
        <v>4.0</v>
      </c>
      <c r="AR592" s="150">
        <v>8.0</v>
      </c>
      <c r="AS592" s="150">
        <v>1659.0</v>
      </c>
      <c r="AT592" s="147" t="s">
        <v>197</v>
      </c>
      <c r="AU592" s="147" t="s">
        <v>3059</v>
      </c>
      <c r="AV592" s="152"/>
      <c r="AW592" s="76">
        <v>2.0</v>
      </c>
      <c r="AX592" s="155"/>
      <c r="AY592" s="38"/>
      <c r="AZ592" s="38"/>
      <c r="BA592" s="38"/>
      <c r="BB592" s="38"/>
      <c r="BC592" s="38"/>
    </row>
    <row r="593">
      <c r="A593" s="97" t="s">
        <v>3021</v>
      </c>
      <c r="B593" s="135">
        <v>45695.24532086805</v>
      </c>
      <c r="C593" s="136" t="s">
        <v>1156</v>
      </c>
      <c r="D593" s="137" t="s">
        <v>1157</v>
      </c>
      <c r="E593" s="139" t="s">
        <v>3065</v>
      </c>
      <c r="F593" s="98" t="s">
        <v>3021</v>
      </c>
      <c r="G593" s="139">
        <v>180.0</v>
      </c>
      <c r="H593" s="139">
        <v>9.0</v>
      </c>
      <c r="I593" s="139">
        <v>7.0</v>
      </c>
      <c r="J593" s="139">
        <v>0.0</v>
      </c>
      <c r="K593" s="136" t="s">
        <v>401</v>
      </c>
      <c r="L593" s="139">
        <v>9.0</v>
      </c>
      <c r="M593" s="139">
        <v>2.0</v>
      </c>
      <c r="N593" s="139">
        <v>8.0</v>
      </c>
      <c r="O593" s="139">
        <v>7.0</v>
      </c>
      <c r="P593" s="139">
        <v>7.0</v>
      </c>
      <c r="Q593" s="139">
        <v>9.0</v>
      </c>
      <c r="R593" s="139">
        <v>10.0</v>
      </c>
      <c r="S593" s="139">
        <v>5.0</v>
      </c>
      <c r="T593" s="139">
        <v>9.0</v>
      </c>
      <c r="U593" s="136" t="s">
        <v>197</v>
      </c>
      <c r="V593" s="136" t="s">
        <v>401</v>
      </c>
      <c r="W593" s="136" t="s">
        <v>401</v>
      </c>
      <c r="X593" s="136" t="s">
        <v>3066</v>
      </c>
      <c r="Y593" s="136" t="s">
        <v>3067</v>
      </c>
      <c r="Z593" s="139">
        <v>6.0</v>
      </c>
      <c r="AA593" s="138">
        <v>2.0</v>
      </c>
      <c r="AB593" s="136" t="s">
        <v>3068</v>
      </c>
      <c r="AC593" s="136" t="s">
        <v>3069</v>
      </c>
      <c r="AD593" s="142" t="s">
        <v>3070</v>
      </c>
      <c r="AE593" s="143"/>
      <c r="AF593" s="139">
        <v>0.0</v>
      </c>
      <c r="AG593" s="139">
        <v>0.0</v>
      </c>
      <c r="AH593" s="139">
        <v>1.0</v>
      </c>
      <c r="AI593" s="139">
        <v>0.0</v>
      </c>
      <c r="AJ593" s="139">
        <v>0.0</v>
      </c>
      <c r="AK593" s="139">
        <v>8.0</v>
      </c>
      <c r="AL593" s="139">
        <v>10.0</v>
      </c>
      <c r="AM593" s="139">
        <v>0.0</v>
      </c>
      <c r="AN593" s="139">
        <v>6.0</v>
      </c>
      <c r="AO593" s="139">
        <v>6.0</v>
      </c>
      <c r="AP593" s="139">
        <v>7.0</v>
      </c>
      <c r="AQ593" s="139">
        <v>0.0</v>
      </c>
      <c r="AR593" s="139">
        <v>9.0</v>
      </c>
      <c r="AS593" s="137" t="s">
        <v>1627</v>
      </c>
      <c r="AT593" s="136" t="s">
        <v>197</v>
      </c>
      <c r="AU593" s="139" t="s">
        <v>3071</v>
      </c>
      <c r="AV593" s="143"/>
      <c r="AW593" s="139">
        <v>2.0</v>
      </c>
      <c r="AX593" s="144"/>
      <c r="AY593" s="38"/>
      <c r="AZ593" s="38"/>
      <c r="BA593" s="38"/>
      <c r="BB593" s="38"/>
      <c r="BC593" s="38"/>
    </row>
    <row r="594">
      <c r="A594" s="145" t="s">
        <v>3072</v>
      </c>
      <c r="B594" s="146">
        <v>45695.253268182874</v>
      </c>
      <c r="C594" s="147" t="s">
        <v>3073</v>
      </c>
      <c r="D594" s="148" t="s">
        <v>3004</v>
      </c>
      <c r="E594" s="147" t="s">
        <v>3074</v>
      </c>
      <c r="F594" s="149" t="s">
        <v>3072</v>
      </c>
      <c r="G594" s="150">
        <v>250.0</v>
      </c>
      <c r="H594" s="150">
        <v>7.0</v>
      </c>
      <c r="I594" s="150">
        <v>8.0</v>
      </c>
      <c r="J594" s="150">
        <v>0.0</v>
      </c>
      <c r="K594" s="147" t="s">
        <v>401</v>
      </c>
      <c r="L594" s="150">
        <v>9.0</v>
      </c>
      <c r="M594" s="150">
        <v>2.0</v>
      </c>
      <c r="N594" s="150">
        <v>10.0</v>
      </c>
      <c r="O594" s="150">
        <v>3.0</v>
      </c>
      <c r="P594" s="150">
        <v>10.0</v>
      </c>
      <c r="Q594" s="150">
        <v>2.0</v>
      </c>
      <c r="R594" s="150">
        <v>9.0</v>
      </c>
      <c r="S594" s="150">
        <v>1.0</v>
      </c>
      <c r="T594" s="150">
        <v>9.0</v>
      </c>
      <c r="U594" s="147" t="s">
        <v>197</v>
      </c>
      <c r="V594" s="147" t="s">
        <v>401</v>
      </c>
      <c r="W594" s="147" t="s">
        <v>197</v>
      </c>
      <c r="X594" s="147" t="s">
        <v>3006</v>
      </c>
      <c r="Y594" s="147" t="s">
        <v>3075</v>
      </c>
      <c r="Z594" s="150">
        <v>0.0</v>
      </c>
      <c r="AA594" s="160">
        <v>2.0</v>
      </c>
      <c r="AB594" s="147" t="s">
        <v>3076</v>
      </c>
      <c r="AC594" s="147" t="s">
        <v>3077</v>
      </c>
      <c r="AD594" s="154" t="s">
        <v>3078</v>
      </c>
      <c r="AE594" s="147" t="s">
        <v>197</v>
      </c>
      <c r="AF594" s="150">
        <v>0.0</v>
      </c>
      <c r="AG594" s="150">
        <v>0.0</v>
      </c>
      <c r="AH594" s="150">
        <v>4.0</v>
      </c>
      <c r="AI594" s="150">
        <v>0.0</v>
      </c>
      <c r="AJ594" s="150">
        <v>0.0</v>
      </c>
      <c r="AK594" s="150">
        <v>8.0</v>
      </c>
      <c r="AL594" s="150">
        <v>5.0</v>
      </c>
      <c r="AM594" s="150">
        <v>3.0</v>
      </c>
      <c r="AN594" s="150">
        <v>9.0</v>
      </c>
      <c r="AO594" s="150">
        <v>6.0</v>
      </c>
      <c r="AP594" s="150">
        <v>5.0</v>
      </c>
      <c r="AQ594" s="150">
        <v>0.0</v>
      </c>
      <c r="AR594" s="150">
        <v>8.0</v>
      </c>
      <c r="AS594" s="147" t="s">
        <v>3079</v>
      </c>
      <c r="AT594" s="147" t="s">
        <v>197</v>
      </c>
      <c r="AU594" s="147" t="s">
        <v>3080</v>
      </c>
      <c r="AV594" s="152"/>
      <c r="AW594" s="76">
        <v>2.0</v>
      </c>
      <c r="AX594" s="155"/>
      <c r="AY594" s="38"/>
      <c r="AZ594" s="38"/>
      <c r="BA594" s="38"/>
      <c r="BB594" s="38"/>
      <c r="BC594" s="38"/>
    </row>
    <row r="595">
      <c r="A595" s="97" t="s">
        <v>2878</v>
      </c>
      <c r="B595" s="135">
        <v>45695.265578182865</v>
      </c>
      <c r="C595" s="136" t="s">
        <v>2827</v>
      </c>
      <c r="D595" s="137" t="s">
        <v>2828</v>
      </c>
      <c r="E595" s="136" t="s">
        <v>2879</v>
      </c>
      <c r="F595" s="98" t="s">
        <v>2878</v>
      </c>
      <c r="G595" s="139">
        <v>94.0</v>
      </c>
      <c r="H595" s="139">
        <v>7.0</v>
      </c>
      <c r="I595" s="139">
        <v>6.0</v>
      </c>
      <c r="J595" s="139">
        <v>1.0</v>
      </c>
      <c r="K595" s="136" t="s">
        <v>401</v>
      </c>
      <c r="L595" s="139">
        <v>10.0</v>
      </c>
      <c r="M595" s="139">
        <v>1.0</v>
      </c>
      <c r="N595" s="139">
        <v>10.0</v>
      </c>
      <c r="O595" s="139">
        <v>9.0</v>
      </c>
      <c r="P595" s="139">
        <v>0.0</v>
      </c>
      <c r="Q595" s="139">
        <v>8.0</v>
      </c>
      <c r="R595" s="139">
        <v>0.0</v>
      </c>
      <c r="S595" s="139">
        <v>9.0</v>
      </c>
      <c r="T595" s="139">
        <v>0.0</v>
      </c>
      <c r="U595" s="136" t="s">
        <v>401</v>
      </c>
      <c r="V595" s="136" t="s">
        <v>197</v>
      </c>
      <c r="W595" s="136" t="s">
        <v>401</v>
      </c>
      <c r="X595" s="136" t="s">
        <v>3081</v>
      </c>
      <c r="Y595" s="136" t="s">
        <v>3082</v>
      </c>
      <c r="Z595" s="139">
        <v>0.0</v>
      </c>
      <c r="AA595" s="138">
        <v>2.0</v>
      </c>
      <c r="AB595" s="136" t="s">
        <v>3083</v>
      </c>
      <c r="AC595" s="136" t="s">
        <v>3084</v>
      </c>
      <c r="AD595" s="142" t="s">
        <v>3085</v>
      </c>
      <c r="AE595" s="136" t="s">
        <v>197</v>
      </c>
      <c r="AF595" s="139">
        <v>0.0</v>
      </c>
      <c r="AG595" s="139">
        <v>0.0</v>
      </c>
      <c r="AH595" s="139">
        <v>0.0</v>
      </c>
      <c r="AI595" s="139">
        <v>0.0</v>
      </c>
      <c r="AJ595" s="139">
        <v>0.0</v>
      </c>
      <c r="AK595" s="139">
        <v>9.0</v>
      </c>
      <c r="AL595" s="139">
        <v>8.0</v>
      </c>
      <c r="AM595" s="139">
        <v>2.0</v>
      </c>
      <c r="AN595" s="139">
        <v>0.0</v>
      </c>
      <c r="AO595" s="139">
        <v>1.0</v>
      </c>
      <c r="AP595" s="139">
        <v>0.0</v>
      </c>
      <c r="AQ595" s="139">
        <v>3.0</v>
      </c>
      <c r="AR595" s="139">
        <v>8.0</v>
      </c>
      <c r="AS595" s="139">
        <v>1939.0</v>
      </c>
      <c r="AT595" s="136" t="s">
        <v>197</v>
      </c>
      <c r="AU595" s="136" t="s">
        <v>197</v>
      </c>
      <c r="AV595" s="143"/>
      <c r="AW595" s="139">
        <v>2.0</v>
      </c>
      <c r="AX595" s="144"/>
      <c r="AY595" s="38"/>
      <c r="AZ595" s="38"/>
      <c r="BA595" s="38"/>
      <c r="BB595" s="38"/>
      <c r="BC595" s="38"/>
    </row>
    <row r="596">
      <c r="A596" s="145" t="s">
        <v>3086</v>
      </c>
      <c r="B596" s="146">
        <v>45695.26763402778</v>
      </c>
      <c r="C596" s="147" t="s">
        <v>2917</v>
      </c>
      <c r="D596" s="148" t="s">
        <v>1125</v>
      </c>
      <c r="E596" s="147" t="s">
        <v>3087</v>
      </c>
      <c r="F596" s="149" t="s">
        <v>3086</v>
      </c>
      <c r="G596" s="150">
        <v>1200.0</v>
      </c>
      <c r="H596" s="150">
        <v>7.0</v>
      </c>
      <c r="I596" s="150">
        <v>7.0</v>
      </c>
      <c r="J596" s="150">
        <v>0.0</v>
      </c>
      <c r="K596" s="147" t="s">
        <v>197</v>
      </c>
      <c r="L596" s="152"/>
      <c r="M596" s="152"/>
      <c r="N596" s="152"/>
      <c r="O596" s="150">
        <v>0.0</v>
      </c>
      <c r="P596" s="150">
        <v>0.0</v>
      </c>
      <c r="Q596" s="150">
        <v>0.0</v>
      </c>
      <c r="R596" s="150">
        <v>0.0</v>
      </c>
      <c r="S596" s="150">
        <v>0.0</v>
      </c>
      <c r="T596" s="150">
        <v>0.0</v>
      </c>
      <c r="U596" s="147" t="s">
        <v>197</v>
      </c>
      <c r="V596" s="147" t="s">
        <v>197</v>
      </c>
      <c r="W596" s="147" t="s">
        <v>197</v>
      </c>
      <c r="X596" s="147" t="s">
        <v>3088</v>
      </c>
      <c r="Y596" s="147" t="s">
        <v>3089</v>
      </c>
      <c r="Z596" s="150">
        <v>5.0</v>
      </c>
      <c r="AA596" s="160">
        <v>1.0</v>
      </c>
      <c r="AB596" s="147" t="s">
        <v>3090</v>
      </c>
      <c r="AC596" s="147" t="s">
        <v>3091</v>
      </c>
      <c r="AD596" s="154" t="s">
        <v>3092</v>
      </c>
      <c r="AE596" s="152"/>
      <c r="AF596" s="150">
        <v>0.0</v>
      </c>
      <c r="AG596" s="150">
        <v>0.0</v>
      </c>
      <c r="AH596" s="150">
        <v>9.0</v>
      </c>
      <c r="AI596" s="150">
        <v>0.0</v>
      </c>
      <c r="AJ596" s="150">
        <v>0.0</v>
      </c>
      <c r="AK596" s="150">
        <v>9.0</v>
      </c>
      <c r="AL596" s="150">
        <v>10.0</v>
      </c>
      <c r="AM596" s="150">
        <v>7.0</v>
      </c>
      <c r="AN596" s="150">
        <v>0.0</v>
      </c>
      <c r="AO596" s="150">
        <v>0.0</v>
      </c>
      <c r="AP596" s="150">
        <v>7.0</v>
      </c>
      <c r="AQ596" s="150">
        <v>0.0</v>
      </c>
      <c r="AR596" s="150">
        <v>7.0</v>
      </c>
      <c r="AS596" s="150">
        <v>1900.0</v>
      </c>
      <c r="AT596" s="147" t="s">
        <v>197</v>
      </c>
      <c r="AU596" s="147" t="s">
        <v>3093</v>
      </c>
      <c r="AV596" s="152"/>
      <c r="AW596" s="76">
        <v>1.0</v>
      </c>
      <c r="AX596" s="155"/>
      <c r="AY596" s="38"/>
      <c r="AZ596" s="38"/>
      <c r="BA596" s="38"/>
      <c r="BB596" s="38"/>
      <c r="BC596" s="38"/>
    </row>
    <row r="597">
      <c r="A597" s="97" t="s">
        <v>3050</v>
      </c>
      <c r="B597" s="135">
        <v>45695.27128828704</v>
      </c>
      <c r="C597" s="136" t="s">
        <v>1148</v>
      </c>
      <c r="D597" s="137" t="s">
        <v>1393</v>
      </c>
      <c r="E597" s="136" t="s">
        <v>3094</v>
      </c>
      <c r="F597" s="98" t="s">
        <v>3050</v>
      </c>
      <c r="G597" s="139">
        <v>300.0</v>
      </c>
      <c r="H597" s="139">
        <v>10.0</v>
      </c>
      <c r="I597" s="139">
        <v>10.0</v>
      </c>
      <c r="J597" s="139">
        <v>0.0</v>
      </c>
      <c r="K597" s="136" t="s">
        <v>401</v>
      </c>
      <c r="L597" s="139">
        <v>8.0</v>
      </c>
      <c r="M597" s="139">
        <v>10.0</v>
      </c>
      <c r="N597" s="139">
        <v>10.0</v>
      </c>
      <c r="O597" s="139">
        <v>0.0</v>
      </c>
      <c r="P597" s="139">
        <v>0.0</v>
      </c>
      <c r="Q597" s="139">
        <v>10.0</v>
      </c>
      <c r="R597" s="139">
        <v>0.0</v>
      </c>
      <c r="S597" s="139">
        <v>0.0</v>
      </c>
      <c r="T597" s="139">
        <v>10.0</v>
      </c>
      <c r="U597" s="136" t="s">
        <v>197</v>
      </c>
      <c r="V597" s="136" t="s">
        <v>401</v>
      </c>
      <c r="W597" s="136" t="s">
        <v>401</v>
      </c>
      <c r="X597" s="139" t="s">
        <v>3095</v>
      </c>
      <c r="Y597" s="139" t="s">
        <v>3096</v>
      </c>
      <c r="Z597" s="139">
        <v>0.0</v>
      </c>
      <c r="AA597" s="138">
        <v>2.0</v>
      </c>
      <c r="AB597" s="142" t="s">
        <v>3097</v>
      </c>
      <c r="AC597" s="136" t="s">
        <v>3098</v>
      </c>
      <c r="AD597" s="142" t="s">
        <v>3099</v>
      </c>
      <c r="AE597" s="136" t="s">
        <v>197</v>
      </c>
      <c r="AF597" s="139">
        <v>0.0</v>
      </c>
      <c r="AG597" s="139">
        <v>0.0</v>
      </c>
      <c r="AH597" s="139">
        <v>10.0</v>
      </c>
      <c r="AI597" s="139">
        <v>0.0</v>
      </c>
      <c r="AJ597" s="139">
        <v>0.0</v>
      </c>
      <c r="AK597" s="139">
        <v>10.0</v>
      </c>
      <c r="AL597" s="139">
        <v>10.0</v>
      </c>
      <c r="AM597" s="139">
        <v>10.0</v>
      </c>
      <c r="AN597" s="139">
        <v>3.0</v>
      </c>
      <c r="AO597" s="139">
        <v>10.0</v>
      </c>
      <c r="AP597" s="139">
        <v>5.0</v>
      </c>
      <c r="AQ597" s="139">
        <v>0.0</v>
      </c>
      <c r="AR597" s="139">
        <v>10.0</v>
      </c>
      <c r="AS597" s="139">
        <v>1980.0</v>
      </c>
      <c r="AT597" s="136" t="s">
        <v>197</v>
      </c>
      <c r="AU597" s="136" t="s">
        <v>197</v>
      </c>
      <c r="AV597" s="143"/>
      <c r="AW597" s="139">
        <v>2.0</v>
      </c>
      <c r="AX597" s="144"/>
      <c r="AY597" s="38"/>
      <c r="AZ597" s="38"/>
      <c r="BA597" s="38"/>
      <c r="BB597" s="38"/>
      <c r="BC597" s="38"/>
    </row>
    <row r="598">
      <c r="A598" s="145" t="s">
        <v>3100</v>
      </c>
      <c r="B598" s="146">
        <v>45695.277264143515</v>
      </c>
      <c r="C598" s="147" t="s">
        <v>3101</v>
      </c>
      <c r="D598" s="148" t="s">
        <v>1204</v>
      </c>
      <c r="E598" s="147" t="s">
        <v>3102</v>
      </c>
      <c r="F598" s="149" t="s">
        <v>3100</v>
      </c>
      <c r="G598" s="150">
        <v>483.0</v>
      </c>
      <c r="H598" s="150">
        <v>8.0</v>
      </c>
      <c r="I598" s="150">
        <v>7.0</v>
      </c>
      <c r="J598" s="148" t="s">
        <v>473</v>
      </c>
      <c r="K598" s="147" t="s">
        <v>197</v>
      </c>
      <c r="L598" s="152"/>
      <c r="M598" s="152"/>
      <c r="N598" s="152"/>
      <c r="O598" s="150">
        <v>0.0</v>
      </c>
      <c r="P598" s="150">
        <v>0.0</v>
      </c>
      <c r="Q598" s="150">
        <v>1.0</v>
      </c>
      <c r="R598" s="150">
        <v>0.0</v>
      </c>
      <c r="S598" s="150">
        <v>0.0</v>
      </c>
      <c r="T598" s="150">
        <v>0.0</v>
      </c>
      <c r="U598" s="147" t="s">
        <v>197</v>
      </c>
      <c r="V598" s="147" t="s">
        <v>197</v>
      </c>
      <c r="W598" s="147" t="s">
        <v>197</v>
      </c>
      <c r="X598" s="147" t="s">
        <v>3103</v>
      </c>
      <c r="Y598" s="147" t="s">
        <v>3104</v>
      </c>
      <c r="Z598" s="150">
        <v>2.0</v>
      </c>
      <c r="AA598" s="150">
        <v>2.0</v>
      </c>
      <c r="AB598" s="154" t="s">
        <v>3105</v>
      </c>
      <c r="AC598" s="154" t="s">
        <v>3106</v>
      </c>
      <c r="AD598" s="154" t="s">
        <v>3107</v>
      </c>
      <c r="AE598" s="147" t="s">
        <v>3108</v>
      </c>
      <c r="AF598" s="150">
        <v>0.0</v>
      </c>
      <c r="AG598" s="150">
        <v>0.0</v>
      </c>
      <c r="AH598" s="150">
        <v>3.0</v>
      </c>
      <c r="AI598" s="150">
        <v>7.0</v>
      </c>
      <c r="AJ598" s="150">
        <v>0.0</v>
      </c>
      <c r="AK598" s="150">
        <v>3.0</v>
      </c>
      <c r="AL598" s="150">
        <v>6.0</v>
      </c>
      <c r="AM598" s="150">
        <v>0.0</v>
      </c>
      <c r="AN598" s="150">
        <v>4.0</v>
      </c>
      <c r="AO598" s="150">
        <v>0.0</v>
      </c>
      <c r="AP598" s="150">
        <v>7.0</v>
      </c>
      <c r="AQ598" s="150">
        <v>0.0</v>
      </c>
      <c r="AR598" s="150">
        <v>4.0</v>
      </c>
      <c r="AS598" s="150">
        <v>1962.0</v>
      </c>
      <c r="AT598" s="147" t="s">
        <v>197</v>
      </c>
      <c r="AU598" s="147" t="s">
        <v>197</v>
      </c>
      <c r="AV598" s="152"/>
      <c r="AW598" s="76">
        <v>2.0</v>
      </c>
      <c r="AX598" s="155"/>
      <c r="AY598" s="38"/>
      <c r="AZ598" s="38"/>
      <c r="BA598" s="38"/>
      <c r="BB598" s="38"/>
      <c r="BC598" s="38"/>
    </row>
    <row r="599">
      <c r="A599" s="97" t="s">
        <v>3109</v>
      </c>
      <c r="B599" s="135">
        <v>45695.28586128472</v>
      </c>
      <c r="C599" s="136" t="s">
        <v>1500</v>
      </c>
      <c r="D599" s="137" t="s">
        <v>1259</v>
      </c>
      <c r="E599" s="136" t="s">
        <v>3110</v>
      </c>
      <c r="F599" s="98" t="s">
        <v>3109</v>
      </c>
      <c r="G599" s="138">
        <v>139.0</v>
      </c>
      <c r="H599" s="139">
        <v>9.0</v>
      </c>
      <c r="I599" s="139">
        <v>8.0</v>
      </c>
      <c r="J599" s="136" t="s">
        <v>1228</v>
      </c>
      <c r="K599" s="136" t="s">
        <v>401</v>
      </c>
      <c r="L599" s="139">
        <v>4.0</v>
      </c>
      <c r="M599" s="139">
        <v>6.0</v>
      </c>
      <c r="N599" s="139">
        <v>4.0</v>
      </c>
      <c r="O599" s="139">
        <v>4.0</v>
      </c>
      <c r="P599" s="139">
        <v>3.0</v>
      </c>
      <c r="Q599" s="139">
        <v>5.0</v>
      </c>
      <c r="R599" s="139">
        <v>6.0</v>
      </c>
      <c r="S599" s="139">
        <v>6.0</v>
      </c>
      <c r="T599" s="139">
        <v>7.0</v>
      </c>
      <c r="U599" s="136" t="s">
        <v>401</v>
      </c>
      <c r="V599" s="136" t="s">
        <v>197</v>
      </c>
      <c r="W599" s="136" t="s">
        <v>197</v>
      </c>
      <c r="X599" s="136" t="s">
        <v>3111</v>
      </c>
      <c r="Y599" s="136" t="s">
        <v>3112</v>
      </c>
      <c r="Z599" s="139">
        <v>5.0</v>
      </c>
      <c r="AA599" s="138">
        <v>1.0</v>
      </c>
      <c r="AB599" s="142" t="s">
        <v>3113</v>
      </c>
      <c r="AC599" s="136" t="s">
        <v>3114</v>
      </c>
      <c r="AD599" s="142" t="s">
        <v>3115</v>
      </c>
      <c r="AE599" s="136" t="s">
        <v>1228</v>
      </c>
      <c r="AF599" s="139">
        <v>3.0</v>
      </c>
      <c r="AG599" s="139">
        <v>4.0</v>
      </c>
      <c r="AH599" s="139">
        <v>10.0</v>
      </c>
      <c r="AI599" s="139">
        <v>7.0</v>
      </c>
      <c r="AJ599" s="139">
        <v>4.0</v>
      </c>
      <c r="AK599" s="139">
        <v>7.0</v>
      </c>
      <c r="AL599" s="139">
        <v>7.0</v>
      </c>
      <c r="AM599" s="139">
        <v>3.0</v>
      </c>
      <c r="AN599" s="139">
        <v>7.0</v>
      </c>
      <c r="AO599" s="139">
        <v>5.0</v>
      </c>
      <c r="AP599" s="139">
        <v>7.0</v>
      </c>
      <c r="AQ599" s="139">
        <v>2.0</v>
      </c>
      <c r="AR599" s="139">
        <v>4.0</v>
      </c>
      <c r="AS599" s="139">
        <v>1990.0</v>
      </c>
      <c r="AT599" s="136" t="s">
        <v>197</v>
      </c>
      <c r="AU599" s="136" t="s">
        <v>1228</v>
      </c>
      <c r="AV599" s="143"/>
      <c r="AW599" s="139">
        <v>1.0</v>
      </c>
      <c r="AX599" s="144"/>
      <c r="AY599" s="38"/>
      <c r="AZ599" s="38"/>
      <c r="BA599" s="38"/>
      <c r="BB599" s="38"/>
      <c r="BC599" s="38"/>
    </row>
    <row r="600">
      <c r="A600" s="145" t="s">
        <v>2899</v>
      </c>
      <c r="B600" s="146">
        <v>45695.299749768514</v>
      </c>
      <c r="C600" s="147" t="s">
        <v>1164</v>
      </c>
      <c r="D600" s="148" t="s">
        <v>1165</v>
      </c>
      <c r="E600" s="147" t="s">
        <v>3116</v>
      </c>
      <c r="F600" s="149" t="s">
        <v>2899</v>
      </c>
      <c r="G600" s="150">
        <v>654.0</v>
      </c>
      <c r="H600" s="150">
        <v>8.0</v>
      </c>
      <c r="I600" s="150">
        <v>7.0</v>
      </c>
      <c r="J600" s="150">
        <v>2.0</v>
      </c>
      <c r="K600" s="147" t="s">
        <v>401</v>
      </c>
      <c r="L600" s="150">
        <v>4.0</v>
      </c>
      <c r="M600" s="150">
        <v>6.0</v>
      </c>
      <c r="N600" s="150">
        <v>5.0</v>
      </c>
      <c r="O600" s="150">
        <v>5.0</v>
      </c>
      <c r="P600" s="150">
        <v>5.0</v>
      </c>
      <c r="Q600" s="150">
        <v>1.0</v>
      </c>
      <c r="R600" s="150">
        <v>4.0</v>
      </c>
      <c r="S600" s="150">
        <v>2.0</v>
      </c>
      <c r="T600" s="150">
        <v>1.0</v>
      </c>
      <c r="U600" s="147" t="s">
        <v>197</v>
      </c>
      <c r="V600" s="147" t="s">
        <v>197</v>
      </c>
      <c r="W600" s="147" t="s">
        <v>197</v>
      </c>
      <c r="X600" s="147" t="s">
        <v>3117</v>
      </c>
      <c r="Y600" s="147" t="s">
        <v>3118</v>
      </c>
      <c r="Z600" s="150">
        <v>5.0</v>
      </c>
      <c r="AA600" s="160">
        <v>2.0</v>
      </c>
      <c r="AB600" s="154" t="s">
        <v>3119</v>
      </c>
      <c r="AC600" s="147" t="s">
        <v>3120</v>
      </c>
      <c r="AD600" s="154" t="s">
        <v>3121</v>
      </c>
      <c r="AE600" s="147" t="s">
        <v>197</v>
      </c>
      <c r="AF600" s="150">
        <v>1.0</v>
      </c>
      <c r="AG600" s="150">
        <v>4.0</v>
      </c>
      <c r="AH600" s="150">
        <v>2.0</v>
      </c>
      <c r="AI600" s="150">
        <v>1.0</v>
      </c>
      <c r="AJ600" s="150">
        <v>3.0</v>
      </c>
      <c r="AK600" s="150">
        <v>8.0</v>
      </c>
      <c r="AL600" s="150">
        <v>9.0</v>
      </c>
      <c r="AM600" s="150">
        <v>2.0</v>
      </c>
      <c r="AN600" s="150">
        <v>5.0</v>
      </c>
      <c r="AO600" s="150">
        <v>5.0</v>
      </c>
      <c r="AP600" s="150">
        <v>7.0</v>
      </c>
      <c r="AQ600" s="150">
        <v>4.0</v>
      </c>
      <c r="AR600" s="150">
        <v>7.0</v>
      </c>
      <c r="AS600" s="150">
        <v>1954.0</v>
      </c>
      <c r="AT600" s="147" t="s">
        <v>401</v>
      </c>
      <c r="AU600" s="147" t="s">
        <v>401</v>
      </c>
      <c r="AV600" s="152"/>
      <c r="AW600" s="76">
        <v>2.0</v>
      </c>
      <c r="AX600" s="155"/>
      <c r="AY600" s="38"/>
      <c r="AZ600" s="38"/>
      <c r="BA600" s="38"/>
      <c r="BB600" s="38"/>
      <c r="BC600" s="38"/>
    </row>
    <row r="601">
      <c r="A601" s="97" t="s">
        <v>2940</v>
      </c>
      <c r="B601" s="135">
        <v>45695.32671158564</v>
      </c>
      <c r="C601" s="136" t="s">
        <v>1179</v>
      </c>
      <c r="D601" s="137" t="s">
        <v>1180</v>
      </c>
      <c r="E601" s="136" t="s">
        <v>3122</v>
      </c>
      <c r="F601" s="98" t="s">
        <v>2940</v>
      </c>
      <c r="G601" s="138">
        <v>249.0</v>
      </c>
      <c r="H601" s="139">
        <v>7.0</v>
      </c>
      <c r="I601" s="139">
        <v>6.0</v>
      </c>
      <c r="J601" s="139">
        <v>1.0</v>
      </c>
      <c r="K601" s="136" t="s">
        <v>401</v>
      </c>
      <c r="L601" s="139">
        <v>9.0</v>
      </c>
      <c r="M601" s="139">
        <v>3.0</v>
      </c>
      <c r="N601" s="139">
        <v>8.0</v>
      </c>
      <c r="O601" s="139">
        <v>8.0</v>
      </c>
      <c r="P601" s="139">
        <v>0.0</v>
      </c>
      <c r="Q601" s="139">
        <v>8.0</v>
      </c>
      <c r="R601" s="139">
        <v>0.0</v>
      </c>
      <c r="S601" s="139">
        <v>7.0</v>
      </c>
      <c r="T601" s="139">
        <v>0.0</v>
      </c>
      <c r="U601" s="136" t="s">
        <v>401</v>
      </c>
      <c r="V601" s="136" t="s">
        <v>197</v>
      </c>
      <c r="W601" s="136" t="s">
        <v>401</v>
      </c>
      <c r="X601" s="139" t="s">
        <v>3123</v>
      </c>
      <c r="Y601" s="139" t="s">
        <v>3124</v>
      </c>
      <c r="Z601" s="139">
        <v>8.0</v>
      </c>
      <c r="AA601" s="138">
        <v>2.0</v>
      </c>
      <c r="AB601" s="142" t="s">
        <v>3125</v>
      </c>
      <c r="AC601" s="142" t="s">
        <v>3126</v>
      </c>
      <c r="AD601" s="142" t="s">
        <v>3127</v>
      </c>
      <c r="AE601" s="143"/>
      <c r="AF601" s="139">
        <v>0.0</v>
      </c>
      <c r="AG601" s="139">
        <v>0.0</v>
      </c>
      <c r="AH601" s="139">
        <v>0.0</v>
      </c>
      <c r="AI601" s="139">
        <v>0.0</v>
      </c>
      <c r="AJ601" s="139">
        <v>0.0</v>
      </c>
      <c r="AK601" s="139">
        <v>7.0</v>
      </c>
      <c r="AL601" s="139">
        <v>7.0</v>
      </c>
      <c r="AM601" s="139">
        <v>0.0</v>
      </c>
      <c r="AN601" s="139">
        <v>0.0</v>
      </c>
      <c r="AO601" s="139">
        <v>2.0</v>
      </c>
      <c r="AP601" s="139">
        <v>0.0</v>
      </c>
      <c r="AQ601" s="139">
        <v>0.0</v>
      </c>
      <c r="AR601" s="139">
        <v>7.0</v>
      </c>
      <c r="AS601" s="139">
        <v>1980.0</v>
      </c>
      <c r="AT601" s="136" t="s">
        <v>197</v>
      </c>
      <c r="AU601" s="136" t="s">
        <v>2947</v>
      </c>
      <c r="AV601" s="143"/>
      <c r="AW601" s="139">
        <v>2.0</v>
      </c>
      <c r="AX601" s="144"/>
      <c r="AY601" s="38"/>
      <c r="AZ601" s="38"/>
      <c r="BA601" s="38"/>
      <c r="BB601" s="38"/>
      <c r="BC601" s="38"/>
    </row>
    <row r="602">
      <c r="A602" s="145" t="s">
        <v>2948</v>
      </c>
      <c r="B602" s="146">
        <v>45695.331550057876</v>
      </c>
      <c r="C602" s="147" t="s">
        <v>1931</v>
      </c>
      <c r="D602" s="148" t="s">
        <v>2949</v>
      </c>
      <c r="E602" s="147" t="s">
        <v>3128</v>
      </c>
      <c r="F602" s="149" t="s">
        <v>2948</v>
      </c>
      <c r="G602" s="150">
        <v>105.0</v>
      </c>
      <c r="H602" s="150">
        <v>7.0</v>
      </c>
      <c r="I602" s="150">
        <v>6.0</v>
      </c>
      <c r="J602" s="150">
        <v>1.0</v>
      </c>
      <c r="K602" s="147" t="s">
        <v>401</v>
      </c>
      <c r="L602" s="150">
        <v>4.0</v>
      </c>
      <c r="M602" s="150">
        <v>6.0</v>
      </c>
      <c r="N602" s="150">
        <v>4.0</v>
      </c>
      <c r="O602" s="150">
        <v>5.0</v>
      </c>
      <c r="P602" s="150">
        <v>0.0</v>
      </c>
      <c r="Q602" s="150">
        <v>5.0</v>
      </c>
      <c r="R602" s="150">
        <v>0.0</v>
      </c>
      <c r="S602" s="150">
        <v>7.0</v>
      </c>
      <c r="T602" s="150">
        <v>0.0</v>
      </c>
      <c r="U602" s="147" t="s">
        <v>401</v>
      </c>
      <c r="V602" s="147" t="s">
        <v>197</v>
      </c>
      <c r="W602" s="147" t="s">
        <v>197</v>
      </c>
      <c r="X602" s="150" t="s">
        <v>3129</v>
      </c>
      <c r="Y602" s="150" t="s">
        <v>3124</v>
      </c>
      <c r="Z602" s="150">
        <v>7.0</v>
      </c>
      <c r="AA602" s="160">
        <v>2.0</v>
      </c>
      <c r="AB602" s="154" t="s">
        <v>3130</v>
      </c>
      <c r="AC602" s="154" t="s">
        <v>3131</v>
      </c>
      <c r="AD602" s="154" t="s">
        <v>3132</v>
      </c>
      <c r="AE602" s="152"/>
      <c r="AF602" s="150">
        <v>0.0</v>
      </c>
      <c r="AG602" s="150">
        <v>0.0</v>
      </c>
      <c r="AH602" s="150">
        <v>0.0</v>
      </c>
      <c r="AI602" s="150">
        <v>0.0</v>
      </c>
      <c r="AJ602" s="150">
        <v>0.0</v>
      </c>
      <c r="AK602" s="150">
        <v>6.0</v>
      </c>
      <c r="AL602" s="150">
        <v>9.0</v>
      </c>
      <c r="AM602" s="150">
        <v>0.0</v>
      </c>
      <c r="AN602" s="150">
        <v>0.0</v>
      </c>
      <c r="AO602" s="150">
        <v>0.0</v>
      </c>
      <c r="AP602" s="150">
        <v>3.0</v>
      </c>
      <c r="AQ602" s="150">
        <v>0.0</v>
      </c>
      <c r="AR602" s="150">
        <v>7.0</v>
      </c>
      <c r="AS602" s="150">
        <v>1988.0</v>
      </c>
      <c r="AT602" s="147" t="s">
        <v>197</v>
      </c>
      <c r="AU602" s="147" t="s">
        <v>197</v>
      </c>
      <c r="AV602" s="152"/>
      <c r="AW602" s="76">
        <v>2.0</v>
      </c>
      <c r="AX602" s="155"/>
      <c r="AY602" s="38"/>
      <c r="AZ602" s="38"/>
      <c r="BA602" s="38"/>
      <c r="BB602" s="38"/>
      <c r="BC602" s="38"/>
    </row>
    <row r="603">
      <c r="A603" s="97" t="s">
        <v>3133</v>
      </c>
      <c r="B603" s="135">
        <v>45695.34001383102</v>
      </c>
      <c r="C603" s="136" t="s">
        <v>2909</v>
      </c>
      <c r="D603" s="137" t="s">
        <v>1141</v>
      </c>
      <c r="E603" s="139" t="s">
        <v>3134</v>
      </c>
      <c r="F603" s="98" t="s">
        <v>3133</v>
      </c>
      <c r="G603" s="174">
        <v>1245.0</v>
      </c>
      <c r="H603" s="139">
        <v>7.0</v>
      </c>
      <c r="I603" s="139">
        <v>5.0</v>
      </c>
      <c r="J603" s="139">
        <v>2.0</v>
      </c>
      <c r="K603" s="136" t="s">
        <v>197</v>
      </c>
      <c r="L603" s="143"/>
      <c r="M603" s="143"/>
      <c r="N603" s="143"/>
      <c r="O603" s="139">
        <v>10.0</v>
      </c>
      <c r="P603" s="139">
        <v>0.0</v>
      </c>
      <c r="Q603" s="139">
        <v>10.0</v>
      </c>
      <c r="R603" s="139">
        <v>0.0</v>
      </c>
      <c r="S603" s="139">
        <v>9.0</v>
      </c>
      <c r="T603" s="139">
        <v>0.0</v>
      </c>
      <c r="U603" s="136" t="s">
        <v>401</v>
      </c>
      <c r="V603" s="136" t="s">
        <v>197</v>
      </c>
      <c r="W603" s="136" t="s">
        <v>401</v>
      </c>
      <c r="X603" s="139" t="s">
        <v>3135</v>
      </c>
      <c r="Y603" s="139" t="s">
        <v>3136</v>
      </c>
      <c r="Z603" s="139">
        <v>0.0</v>
      </c>
      <c r="AA603" s="138">
        <v>2.0</v>
      </c>
      <c r="AB603" s="136" t="s">
        <v>3137</v>
      </c>
      <c r="AC603" s="136" t="s">
        <v>3138</v>
      </c>
      <c r="AD603" s="142" t="s">
        <v>3139</v>
      </c>
      <c r="AE603" s="143"/>
      <c r="AF603" s="139">
        <v>0.0</v>
      </c>
      <c r="AG603" s="139">
        <v>0.0</v>
      </c>
      <c r="AH603" s="139">
        <v>0.0</v>
      </c>
      <c r="AI603" s="139">
        <v>0.0</v>
      </c>
      <c r="AJ603" s="139">
        <v>0.0</v>
      </c>
      <c r="AK603" s="139">
        <v>8.0</v>
      </c>
      <c r="AL603" s="139">
        <v>7.0</v>
      </c>
      <c r="AM603" s="139">
        <v>0.0</v>
      </c>
      <c r="AN603" s="139">
        <v>0.0</v>
      </c>
      <c r="AO603" s="139">
        <v>0.0</v>
      </c>
      <c r="AP603" s="139">
        <v>0.0</v>
      </c>
      <c r="AQ603" s="139">
        <v>0.0</v>
      </c>
      <c r="AR603" s="139">
        <v>7.0</v>
      </c>
      <c r="AS603" s="139">
        <v>1974.0</v>
      </c>
      <c r="AT603" s="136" t="s">
        <v>197</v>
      </c>
      <c r="AU603" s="136" t="s">
        <v>197</v>
      </c>
      <c r="AV603" s="143"/>
      <c r="AW603" s="139">
        <v>2.0</v>
      </c>
      <c r="AX603" s="144"/>
      <c r="AY603" s="38"/>
      <c r="AZ603" s="38"/>
      <c r="BA603" s="38"/>
      <c r="BB603" s="38"/>
      <c r="BC603" s="38"/>
    </row>
    <row r="604">
      <c r="A604" s="145" t="s">
        <v>3140</v>
      </c>
      <c r="B604" s="146">
        <v>45695.35892712963</v>
      </c>
      <c r="C604" s="147" t="s">
        <v>1187</v>
      </c>
      <c r="D604" s="148" t="s">
        <v>3141</v>
      </c>
      <c r="E604" s="147" t="s">
        <v>3142</v>
      </c>
      <c r="F604" s="149" t="s">
        <v>3140</v>
      </c>
      <c r="G604" s="150">
        <v>130.0</v>
      </c>
      <c r="H604" s="150">
        <v>5.0</v>
      </c>
      <c r="I604" s="150">
        <v>3.0</v>
      </c>
      <c r="J604" s="150">
        <v>2.0</v>
      </c>
      <c r="K604" s="147" t="s">
        <v>401</v>
      </c>
      <c r="L604" s="150">
        <v>10.0</v>
      </c>
      <c r="M604" s="150">
        <v>4.0</v>
      </c>
      <c r="N604" s="150">
        <v>8.0</v>
      </c>
      <c r="O604" s="150">
        <v>5.0</v>
      </c>
      <c r="P604" s="150">
        <v>10.0</v>
      </c>
      <c r="Q604" s="150">
        <v>5.0</v>
      </c>
      <c r="R604" s="150">
        <v>10.0</v>
      </c>
      <c r="S604" s="150">
        <v>5.0</v>
      </c>
      <c r="T604" s="150">
        <v>10.0</v>
      </c>
      <c r="U604" s="147" t="s">
        <v>197</v>
      </c>
      <c r="V604" s="147" t="s">
        <v>401</v>
      </c>
      <c r="W604" s="147" t="s">
        <v>197</v>
      </c>
      <c r="X604" s="147" t="s">
        <v>3143</v>
      </c>
      <c r="Y604" s="147" t="s">
        <v>3144</v>
      </c>
      <c r="Z604" s="150">
        <v>7.0</v>
      </c>
      <c r="AA604" s="160">
        <v>2.0</v>
      </c>
      <c r="AB604" s="147" t="s">
        <v>3145</v>
      </c>
      <c r="AC604" s="147" t="s">
        <v>3146</v>
      </c>
      <c r="AD604" s="154" t="s">
        <v>3147</v>
      </c>
      <c r="AE604" s="152"/>
      <c r="AF604" s="150">
        <v>0.0</v>
      </c>
      <c r="AG604" s="150">
        <v>0.0</v>
      </c>
      <c r="AH604" s="150">
        <v>2.0</v>
      </c>
      <c r="AI604" s="150">
        <v>2.0</v>
      </c>
      <c r="AJ604" s="150">
        <v>2.0</v>
      </c>
      <c r="AK604" s="150">
        <v>10.0</v>
      </c>
      <c r="AL604" s="150">
        <v>10.0</v>
      </c>
      <c r="AM604" s="150">
        <v>3.0</v>
      </c>
      <c r="AN604" s="150">
        <v>10.0</v>
      </c>
      <c r="AO604" s="150">
        <v>8.0</v>
      </c>
      <c r="AP604" s="150">
        <v>6.0</v>
      </c>
      <c r="AQ604" s="150">
        <v>2.0</v>
      </c>
      <c r="AR604" s="150">
        <v>10.0</v>
      </c>
      <c r="AS604" s="150">
        <v>1980.0</v>
      </c>
      <c r="AT604" s="147" t="s">
        <v>197</v>
      </c>
      <c r="AU604" s="147" t="s">
        <v>3148</v>
      </c>
      <c r="AV604" s="152"/>
      <c r="AW604" s="76">
        <v>2.0</v>
      </c>
      <c r="AX604" s="155"/>
      <c r="AY604" s="38"/>
      <c r="AZ604" s="38"/>
      <c r="BA604" s="38"/>
      <c r="BB604" s="38"/>
      <c r="BC604" s="38"/>
    </row>
    <row r="605">
      <c r="A605" s="97" t="s">
        <v>2826</v>
      </c>
      <c r="B605" s="135">
        <v>45695.38540975694</v>
      </c>
      <c r="C605" s="136" t="s">
        <v>1321</v>
      </c>
      <c r="D605" s="137" t="s">
        <v>1322</v>
      </c>
      <c r="E605" s="136" t="s">
        <v>2893</v>
      </c>
      <c r="F605" s="98" t="s">
        <v>2826</v>
      </c>
      <c r="G605" s="138">
        <v>162.0</v>
      </c>
      <c r="H605" s="139">
        <v>9.0</v>
      </c>
      <c r="I605" s="139">
        <v>8.0</v>
      </c>
      <c r="J605" s="139">
        <v>2.0</v>
      </c>
      <c r="K605" s="136" t="s">
        <v>401</v>
      </c>
      <c r="L605" s="139">
        <v>10.0</v>
      </c>
      <c r="M605" s="139">
        <v>0.0</v>
      </c>
      <c r="N605" s="139">
        <v>10.0</v>
      </c>
      <c r="O605" s="139">
        <v>0.0</v>
      </c>
      <c r="P605" s="139">
        <v>10.0</v>
      </c>
      <c r="Q605" s="139">
        <v>0.0</v>
      </c>
      <c r="R605" s="139">
        <v>10.0</v>
      </c>
      <c r="S605" s="139">
        <v>0.0</v>
      </c>
      <c r="T605" s="139">
        <v>0.0</v>
      </c>
      <c r="U605" s="136" t="s">
        <v>197</v>
      </c>
      <c r="V605" s="136" t="s">
        <v>197</v>
      </c>
      <c r="W605" s="136" t="s">
        <v>197</v>
      </c>
      <c r="X605" s="136" t="s">
        <v>2894</v>
      </c>
      <c r="Y605" s="136" t="s">
        <v>3149</v>
      </c>
      <c r="Z605" s="139">
        <v>8.0</v>
      </c>
      <c r="AA605" s="138">
        <v>2.0</v>
      </c>
      <c r="AB605" s="142" t="s">
        <v>3150</v>
      </c>
      <c r="AC605" s="142" t="s">
        <v>3151</v>
      </c>
      <c r="AD605" s="142" t="s">
        <v>3152</v>
      </c>
      <c r="AE605" s="143"/>
      <c r="AF605" s="139">
        <v>0.0</v>
      </c>
      <c r="AG605" s="139">
        <v>0.0</v>
      </c>
      <c r="AH605" s="139">
        <v>0.0</v>
      </c>
      <c r="AI605" s="139">
        <v>0.0</v>
      </c>
      <c r="AJ605" s="139">
        <v>0.0</v>
      </c>
      <c r="AK605" s="139">
        <v>9.0</v>
      </c>
      <c r="AL605" s="139">
        <v>9.0</v>
      </c>
      <c r="AM605" s="139">
        <v>0.0</v>
      </c>
      <c r="AN605" s="139">
        <v>10.0</v>
      </c>
      <c r="AO605" s="139">
        <v>0.0</v>
      </c>
      <c r="AP605" s="139">
        <v>10.0</v>
      </c>
      <c r="AQ605" s="139">
        <v>0.0</v>
      </c>
      <c r="AR605" s="139">
        <v>9.0</v>
      </c>
      <c r="AS605" s="137" t="s">
        <v>388</v>
      </c>
      <c r="AT605" s="136" t="s">
        <v>197</v>
      </c>
      <c r="AU605" s="136" t="s">
        <v>197</v>
      </c>
      <c r="AV605" s="143"/>
      <c r="AW605" s="139">
        <v>2.0</v>
      </c>
      <c r="AX605" s="144"/>
      <c r="AY605" s="38"/>
      <c r="AZ605" s="38"/>
      <c r="BA605" s="38"/>
      <c r="BB605" s="38"/>
      <c r="BC605" s="38"/>
    </row>
    <row r="606">
      <c r="A606" s="145" t="s">
        <v>2925</v>
      </c>
      <c r="B606" s="146">
        <v>45695.395868356485</v>
      </c>
      <c r="C606" s="147" t="s">
        <v>296</v>
      </c>
      <c r="D606" s="147" t="s">
        <v>1299</v>
      </c>
      <c r="E606" s="147" t="s">
        <v>3153</v>
      </c>
      <c r="F606" s="149" t="s">
        <v>2925</v>
      </c>
      <c r="G606" s="150">
        <v>200.0</v>
      </c>
      <c r="H606" s="150">
        <v>10.0</v>
      </c>
      <c r="I606" s="150">
        <v>10.0</v>
      </c>
      <c r="J606" s="150">
        <v>0.0</v>
      </c>
      <c r="K606" s="147" t="s">
        <v>401</v>
      </c>
      <c r="L606" s="150">
        <v>9.0</v>
      </c>
      <c r="M606" s="150">
        <v>6.0</v>
      </c>
      <c r="N606" s="150">
        <v>9.0</v>
      </c>
      <c r="O606" s="150">
        <v>9.0</v>
      </c>
      <c r="P606" s="150">
        <v>8.0</v>
      </c>
      <c r="Q606" s="150">
        <v>8.0</v>
      </c>
      <c r="R606" s="150">
        <v>7.0</v>
      </c>
      <c r="S606" s="150">
        <v>8.0</v>
      </c>
      <c r="T606" s="150">
        <v>2.0</v>
      </c>
      <c r="U606" s="147" t="s">
        <v>401</v>
      </c>
      <c r="V606" s="147" t="s">
        <v>197</v>
      </c>
      <c r="W606" s="147" t="s">
        <v>401</v>
      </c>
      <c r="X606" s="147" t="s">
        <v>3154</v>
      </c>
      <c r="Y606" s="147" t="s">
        <v>3155</v>
      </c>
      <c r="Z606" s="150">
        <v>5.0</v>
      </c>
      <c r="AA606" s="160">
        <v>2.0</v>
      </c>
      <c r="AB606" s="147" t="s">
        <v>3156</v>
      </c>
      <c r="AC606" s="147" t="s">
        <v>3157</v>
      </c>
      <c r="AD606" s="154" t="s">
        <v>3158</v>
      </c>
      <c r="AE606" s="147" t="s">
        <v>1304</v>
      </c>
      <c r="AF606" s="150">
        <v>0.0</v>
      </c>
      <c r="AG606" s="150">
        <v>3.0</v>
      </c>
      <c r="AH606" s="150">
        <v>10.0</v>
      </c>
      <c r="AI606" s="150">
        <v>10.0</v>
      </c>
      <c r="AJ606" s="150">
        <v>5.0</v>
      </c>
      <c r="AK606" s="150">
        <v>10.0</v>
      </c>
      <c r="AL606" s="150">
        <v>7.0</v>
      </c>
      <c r="AM606" s="150">
        <v>8.0</v>
      </c>
      <c r="AN606" s="150">
        <v>8.0</v>
      </c>
      <c r="AO606" s="150">
        <v>6.0</v>
      </c>
      <c r="AP606" s="150">
        <v>10.0</v>
      </c>
      <c r="AQ606" s="150">
        <v>10.0</v>
      </c>
      <c r="AR606" s="150">
        <v>10.0</v>
      </c>
      <c r="AS606" s="150">
        <v>1965.0</v>
      </c>
      <c r="AT606" s="147" t="s">
        <v>401</v>
      </c>
      <c r="AU606" s="147" t="s">
        <v>197</v>
      </c>
      <c r="AV606" s="152"/>
      <c r="AW606" s="76">
        <v>2.0</v>
      </c>
      <c r="AX606" s="155"/>
      <c r="AY606" s="38"/>
      <c r="AZ606" s="38"/>
      <c r="BA606" s="38"/>
      <c r="BB606" s="38"/>
      <c r="BC606" s="38"/>
    </row>
    <row r="607">
      <c r="A607" s="97" t="s">
        <v>3159</v>
      </c>
      <c r="B607" s="135">
        <v>45695.42589384259</v>
      </c>
      <c r="C607" s="136" t="s">
        <v>671</v>
      </c>
      <c r="D607" s="136" t="s">
        <v>3160</v>
      </c>
      <c r="E607" s="136" t="s">
        <v>3161</v>
      </c>
      <c r="F607" s="98" t="s">
        <v>3159</v>
      </c>
      <c r="G607" s="139">
        <v>67.0</v>
      </c>
      <c r="H607" s="139">
        <v>8.0</v>
      </c>
      <c r="I607" s="139">
        <v>6.0</v>
      </c>
      <c r="J607" s="139">
        <v>3.0</v>
      </c>
      <c r="K607" s="136" t="s">
        <v>197</v>
      </c>
      <c r="L607" s="143"/>
      <c r="M607" s="143"/>
      <c r="N607" s="143"/>
      <c r="O607" s="139">
        <v>0.0</v>
      </c>
      <c r="P607" s="139">
        <v>0.0</v>
      </c>
      <c r="Q607" s="139">
        <v>0.0</v>
      </c>
      <c r="R607" s="139">
        <v>0.0</v>
      </c>
      <c r="S607" s="139">
        <v>0.0</v>
      </c>
      <c r="T607" s="139">
        <v>0.0</v>
      </c>
      <c r="U607" s="136" t="s">
        <v>197</v>
      </c>
      <c r="V607" s="136" t="s">
        <v>197</v>
      </c>
      <c r="W607" s="136" t="s">
        <v>197</v>
      </c>
      <c r="X607" s="136" t="s">
        <v>3162</v>
      </c>
      <c r="Y607" s="136" t="s">
        <v>3163</v>
      </c>
      <c r="Z607" s="139">
        <v>10.0</v>
      </c>
      <c r="AA607" s="138">
        <v>1.0</v>
      </c>
      <c r="AB607" s="142" t="s">
        <v>3164</v>
      </c>
      <c r="AC607" s="142" t="s">
        <v>3165</v>
      </c>
      <c r="AD607" s="142" t="s">
        <v>3166</v>
      </c>
      <c r="AE607" s="143"/>
      <c r="AF607" s="139">
        <v>0.0</v>
      </c>
      <c r="AG607" s="139">
        <v>0.0</v>
      </c>
      <c r="AH607" s="139">
        <v>10.0</v>
      </c>
      <c r="AI607" s="139">
        <v>0.0</v>
      </c>
      <c r="AJ607" s="139">
        <v>0.0</v>
      </c>
      <c r="AK607" s="139">
        <v>10.0</v>
      </c>
      <c r="AL607" s="139">
        <v>9.0</v>
      </c>
      <c r="AM607" s="139">
        <v>7.0</v>
      </c>
      <c r="AN607" s="139">
        <v>0.0</v>
      </c>
      <c r="AO607" s="139">
        <v>0.0</v>
      </c>
      <c r="AP607" s="139">
        <v>7.0</v>
      </c>
      <c r="AQ607" s="139">
        <v>0.0</v>
      </c>
      <c r="AR607" s="139">
        <v>10.0</v>
      </c>
      <c r="AS607" s="139">
        <v>1975.0</v>
      </c>
      <c r="AT607" s="136" t="s">
        <v>197</v>
      </c>
      <c r="AU607" s="136" t="s">
        <v>3167</v>
      </c>
      <c r="AV607" s="143"/>
      <c r="AW607" s="139">
        <v>1.0</v>
      </c>
      <c r="AX607" s="144"/>
      <c r="AY607" s="38"/>
      <c r="AZ607" s="38"/>
      <c r="BA607" s="38"/>
      <c r="BB607" s="38"/>
      <c r="BC607" s="38"/>
    </row>
    <row r="608">
      <c r="A608" s="145" t="s">
        <v>3168</v>
      </c>
      <c r="B608" s="146">
        <v>45695.45539328703</v>
      </c>
      <c r="C608" s="147" t="s">
        <v>2034</v>
      </c>
      <c r="D608" s="148" t="s">
        <v>1222</v>
      </c>
      <c r="E608" s="150" t="s">
        <v>3169</v>
      </c>
      <c r="F608" s="149" t="s">
        <v>3168</v>
      </c>
      <c r="G608" s="150">
        <v>160.0</v>
      </c>
      <c r="H608" s="150">
        <v>10.0</v>
      </c>
      <c r="I608" s="150">
        <v>9.0</v>
      </c>
      <c r="J608" s="147" t="s">
        <v>1228</v>
      </c>
      <c r="K608" s="147" t="s">
        <v>401</v>
      </c>
      <c r="L608" s="150">
        <v>7.0</v>
      </c>
      <c r="M608" s="150">
        <v>9.0</v>
      </c>
      <c r="N608" s="150">
        <v>8.0</v>
      </c>
      <c r="O608" s="150">
        <v>10.0</v>
      </c>
      <c r="P608" s="150">
        <v>3.0</v>
      </c>
      <c r="Q608" s="150">
        <v>10.0</v>
      </c>
      <c r="R608" s="150">
        <v>4.0</v>
      </c>
      <c r="S608" s="150">
        <v>9.0</v>
      </c>
      <c r="T608" s="150">
        <v>7.0</v>
      </c>
      <c r="U608" s="147" t="s">
        <v>401</v>
      </c>
      <c r="V608" s="147" t="s">
        <v>401</v>
      </c>
      <c r="W608" s="147" t="s">
        <v>401</v>
      </c>
      <c r="X608" s="147" t="s">
        <v>3170</v>
      </c>
      <c r="Y608" s="147" t="s">
        <v>3171</v>
      </c>
      <c r="Z608" s="150">
        <v>10.0</v>
      </c>
      <c r="AA608" s="160">
        <v>2.0</v>
      </c>
      <c r="AB608" s="154" t="s">
        <v>3172</v>
      </c>
      <c r="AC608" s="147" t="s">
        <v>3173</v>
      </c>
      <c r="AD608" s="154" t="s">
        <v>3174</v>
      </c>
      <c r="AE608" s="147" t="s">
        <v>197</v>
      </c>
      <c r="AF608" s="150">
        <v>0.0</v>
      </c>
      <c r="AG608" s="150">
        <v>0.0</v>
      </c>
      <c r="AH608" s="150">
        <v>5.0</v>
      </c>
      <c r="AI608" s="150">
        <v>4.0</v>
      </c>
      <c r="AJ608" s="150">
        <v>3.0</v>
      </c>
      <c r="AK608" s="150">
        <v>9.0</v>
      </c>
      <c r="AL608" s="150">
        <v>9.0</v>
      </c>
      <c r="AM608" s="150">
        <v>7.0</v>
      </c>
      <c r="AN608" s="150">
        <v>3.0</v>
      </c>
      <c r="AO608" s="150">
        <v>8.0</v>
      </c>
      <c r="AP608" s="150">
        <v>8.0</v>
      </c>
      <c r="AQ608" s="150">
        <v>5.0</v>
      </c>
      <c r="AR608" s="150">
        <v>10.0</v>
      </c>
      <c r="AS608" s="150">
        <v>1960.0</v>
      </c>
      <c r="AT608" s="147" t="s">
        <v>197</v>
      </c>
      <c r="AU608" s="147" t="s">
        <v>1261</v>
      </c>
      <c r="AV608" s="152"/>
      <c r="AW608" s="76">
        <v>2.0</v>
      </c>
      <c r="AX608" s="155"/>
      <c r="AY608" s="38"/>
      <c r="AZ608" s="38"/>
      <c r="BA608" s="38"/>
      <c r="BB608" s="38"/>
      <c r="BC608" s="38"/>
    </row>
    <row r="609">
      <c r="A609" s="97" t="s">
        <v>2933</v>
      </c>
      <c r="B609" s="135">
        <v>45695.50043331018</v>
      </c>
      <c r="C609" s="136" t="s">
        <v>1195</v>
      </c>
      <c r="D609" s="137" t="s">
        <v>1196</v>
      </c>
      <c r="E609" s="136" t="s">
        <v>3175</v>
      </c>
      <c r="F609" s="98" t="s">
        <v>2933</v>
      </c>
      <c r="G609" s="138">
        <v>105.0</v>
      </c>
      <c r="H609" s="139">
        <v>8.0</v>
      </c>
      <c r="I609" s="139">
        <v>8.0</v>
      </c>
      <c r="J609" s="139">
        <v>0.0</v>
      </c>
      <c r="K609" s="136" t="s">
        <v>401</v>
      </c>
      <c r="L609" s="139">
        <v>8.0</v>
      </c>
      <c r="M609" s="139">
        <v>2.0</v>
      </c>
      <c r="N609" s="139">
        <v>8.0</v>
      </c>
      <c r="O609" s="139">
        <v>10.0</v>
      </c>
      <c r="P609" s="139">
        <v>0.0</v>
      </c>
      <c r="Q609" s="139">
        <v>7.0</v>
      </c>
      <c r="R609" s="139">
        <v>0.0</v>
      </c>
      <c r="S609" s="139">
        <v>9.0</v>
      </c>
      <c r="T609" s="139">
        <v>0.0</v>
      </c>
      <c r="U609" s="136" t="s">
        <v>197</v>
      </c>
      <c r="V609" s="136" t="s">
        <v>197</v>
      </c>
      <c r="W609" s="136" t="s">
        <v>197</v>
      </c>
      <c r="X609" s="136" t="s">
        <v>3176</v>
      </c>
      <c r="Y609" s="136" t="s">
        <v>3177</v>
      </c>
      <c r="Z609" s="139">
        <v>0.0</v>
      </c>
      <c r="AA609" s="138">
        <v>2.0</v>
      </c>
      <c r="AB609" s="136" t="s">
        <v>3178</v>
      </c>
      <c r="AC609" s="136" t="s">
        <v>3179</v>
      </c>
      <c r="AD609" s="142" t="s">
        <v>3180</v>
      </c>
      <c r="AE609" s="136" t="s">
        <v>3181</v>
      </c>
      <c r="AF609" s="139">
        <v>0.0</v>
      </c>
      <c r="AG609" s="139">
        <v>0.0</v>
      </c>
      <c r="AH609" s="139">
        <v>0.0</v>
      </c>
      <c r="AI609" s="139">
        <v>0.0</v>
      </c>
      <c r="AJ609" s="139">
        <v>0.0</v>
      </c>
      <c r="AK609" s="139">
        <v>6.0</v>
      </c>
      <c r="AL609" s="139">
        <v>7.0</v>
      </c>
      <c r="AM609" s="139">
        <v>3.0</v>
      </c>
      <c r="AN609" s="139">
        <v>0.0</v>
      </c>
      <c r="AO609" s="139">
        <v>1.0</v>
      </c>
      <c r="AP609" s="139">
        <v>0.0</v>
      </c>
      <c r="AQ609" s="139">
        <v>0.0</v>
      </c>
      <c r="AR609" s="139">
        <v>7.0</v>
      </c>
      <c r="AS609" s="139">
        <v>1980.0</v>
      </c>
      <c r="AT609" s="136" t="s">
        <v>197</v>
      </c>
      <c r="AU609" s="136" t="s">
        <v>197</v>
      </c>
      <c r="AV609" s="143"/>
      <c r="AW609" s="139">
        <v>2.0</v>
      </c>
      <c r="AX609" s="144"/>
      <c r="AY609" s="38"/>
      <c r="AZ609" s="38"/>
      <c r="BA609" s="38"/>
      <c r="BB609" s="38"/>
      <c r="BC609" s="38"/>
    </row>
    <row r="610">
      <c r="A610" s="145" t="s">
        <v>3031</v>
      </c>
      <c r="B610" s="146">
        <v>45695.51935133102</v>
      </c>
      <c r="C610" s="147" t="s">
        <v>1283</v>
      </c>
      <c r="D610" s="148" t="s">
        <v>1284</v>
      </c>
      <c r="E610" s="147" t="s">
        <v>3182</v>
      </c>
      <c r="F610" s="149" t="s">
        <v>3031</v>
      </c>
      <c r="G610" s="160">
        <v>778.0</v>
      </c>
      <c r="H610" s="150">
        <v>9.0</v>
      </c>
      <c r="I610" s="150">
        <v>6.0</v>
      </c>
      <c r="J610" s="150">
        <v>4.0</v>
      </c>
      <c r="K610" s="147" t="s">
        <v>197</v>
      </c>
      <c r="L610" s="152"/>
      <c r="M610" s="152"/>
      <c r="N610" s="152"/>
      <c r="O610" s="150">
        <v>8.0</v>
      </c>
      <c r="P610" s="150">
        <v>8.0</v>
      </c>
      <c r="Q610" s="150">
        <v>9.0</v>
      </c>
      <c r="R610" s="150">
        <v>10.0</v>
      </c>
      <c r="S610" s="150">
        <v>8.0</v>
      </c>
      <c r="T610" s="150">
        <v>8.0</v>
      </c>
      <c r="U610" s="147" t="s">
        <v>401</v>
      </c>
      <c r="V610" s="147" t="s">
        <v>401</v>
      </c>
      <c r="W610" s="147" t="s">
        <v>401</v>
      </c>
      <c r="X610" s="147" t="s">
        <v>3183</v>
      </c>
      <c r="Y610" s="147" t="s">
        <v>3184</v>
      </c>
      <c r="Z610" s="150">
        <v>10.0</v>
      </c>
      <c r="AA610" s="160">
        <v>2.0</v>
      </c>
      <c r="AB610" s="147" t="s">
        <v>3185</v>
      </c>
      <c r="AC610" s="147" t="s">
        <v>3186</v>
      </c>
      <c r="AD610" s="154" t="s">
        <v>3187</v>
      </c>
      <c r="AE610" s="147" t="s">
        <v>1607</v>
      </c>
      <c r="AF610" s="150">
        <v>7.0</v>
      </c>
      <c r="AG610" s="150">
        <v>9.0</v>
      </c>
      <c r="AH610" s="150">
        <v>8.0</v>
      </c>
      <c r="AI610" s="150">
        <v>4.0</v>
      </c>
      <c r="AJ610" s="150">
        <v>10.0</v>
      </c>
      <c r="AK610" s="150">
        <v>8.0</v>
      </c>
      <c r="AL610" s="150">
        <v>10.0</v>
      </c>
      <c r="AM610" s="150">
        <v>9.0</v>
      </c>
      <c r="AN610" s="150">
        <v>9.0</v>
      </c>
      <c r="AO610" s="150">
        <v>6.0</v>
      </c>
      <c r="AP610" s="150">
        <v>7.0</v>
      </c>
      <c r="AQ610" s="150">
        <v>6.0</v>
      </c>
      <c r="AR610" s="150">
        <v>9.0</v>
      </c>
      <c r="AS610" s="150">
        <v>1980.0</v>
      </c>
      <c r="AT610" s="147" t="s">
        <v>401</v>
      </c>
      <c r="AU610" s="147" t="s">
        <v>1607</v>
      </c>
      <c r="AV610" s="152"/>
      <c r="AW610" s="76">
        <v>2.0</v>
      </c>
      <c r="AX610" s="155"/>
      <c r="AY610" s="38"/>
      <c r="AZ610" s="38"/>
      <c r="BA610" s="38"/>
      <c r="BB610" s="38"/>
      <c r="BC610" s="38"/>
    </row>
    <row r="611">
      <c r="A611" s="97" t="s">
        <v>3012</v>
      </c>
      <c r="B611" s="135">
        <v>45695.59754913194</v>
      </c>
      <c r="C611" s="136" t="s">
        <v>3188</v>
      </c>
      <c r="D611" s="137" t="s">
        <v>1637</v>
      </c>
      <c r="E611" s="136" t="s">
        <v>3189</v>
      </c>
      <c r="F611" s="98" t="s">
        <v>3012</v>
      </c>
      <c r="G611" s="139">
        <v>65.0</v>
      </c>
      <c r="H611" s="139">
        <v>10.0</v>
      </c>
      <c r="I611" s="139">
        <v>10.0</v>
      </c>
      <c r="J611" s="139">
        <v>0.0</v>
      </c>
      <c r="K611" s="136" t="s">
        <v>401</v>
      </c>
      <c r="L611" s="139">
        <v>8.0</v>
      </c>
      <c r="M611" s="139">
        <v>2.0</v>
      </c>
      <c r="N611" s="139">
        <v>8.0</v>
      </c>
      <c r="O611" s="139">
        <v>9.0</v>
      </c>
      <c r="P611" s="139">
        <v>0.0</v>
      </c>
      <c r="Q611" s="139">
        <v>10.0</v>
      </c>
      <c r="R611" s="139">
        <v>0.0</v>
      </c>
      <c r="S611" s="139">
        <v>10.0</v>
      </c>
      <c r="T611" s="139">
        <v>0.0</v>
      </c>
      <c r="U611" s="136" t="s">
        <v>401</v>
      </c>
      <c r="V611" s="136" t="s">
        <v>197</v>
      </c>
      <c r="W611" s="136" t="s">
        <v>401</v>
      </c>
      <c r="X611" s="136" t="s">
        <v>3190</v>
      </c>
      <c r="Y611" s="136" t="s">
        <v>3191</v>
      </c>
      <c r="Z611" s="139">
        <v>0.0</v>
      </c>
      <c r="AA611" s="138">
        <v>2.0</v>
      </c>
      <c r="AB611" s="142" t="s">
        <v>3192</v>
      </c>
      <c r="AC611" s="142" t="s">
        <v>3193</v>
      </c>
      <c r="AD611" s="142" t="s">
        <v>3194</v>
      </c>
      <c r="AE611" s="143"/>
      <c r="AF611" s="139">
        <v>0.0</v>
      </c>
      <c r="AG611" s="139">
        <v>0.0</v>
      </c>
      <c r="AH611" s="139">
        <v>0.0</v>
      </c>
      <c r="AI611" s="139">
        <v>10.0</v>
      </c>
      <c r="AJ611" s="139">
        <v>0.0</v>
      </c>
      <c r="AK611" s="139">
        <v>10.0</v>
      </c>
      <c r="AL611" s="139">
        <v>10.0</v>
      </c>
      <c r="AM611" s="139">
        <v>9.0</v>
      </c>
      <c r="AN611" s="139">
        <v>8.0</v>
      </c>
      <c r="AO611" s="139">
        <v>2.0</v>
      </c>
      <c r="AP611" s="139">
        <v>0.0</v>
      </c>
      <c r="AQ611" s="139">
        <v>1.0</v>
      </c>
      <c r="AR611" s="139">
        <v>10.0</v>
      </c>
      <c r="AS611" s="139">
        <v>1981.0</v>
      </c>
      <c r="AT611" s="136" t="s">
        <v>197</v>
      </c>
      <c r="AU611" s="136" t="s">
        <v>197</v>
      </c>
      <c r="AV611" s="143"/>
      <c r="AW611" s="139">
        <v>2.0</v>
      </c>
      <c r="AX611" s="144"/>
      <c r="AY611" s="38"/>
      <c r="AZ611" s="38"/>
      <c r="BA611" s="38"/>
      <c r="BB611" s="38"/>
      <c r="BC611" s="38"/>
    </row>
    <row r="612">
      <c r="A612" s="145" t="s">
        <v>2885</v>
      </c>
      <c r="B612" s="146">
        <v>45695.71170962963</v>
      </c>
      <c r="C612" s="147" t="s">
        <v>1275</v>
      </c>
      <c r="D612" s="148" t="s">
        <v>1276</v>
      </c>
      <c r="E612" s="150" t="s">
        <v>3195</v>
      </c>
      <c r="F612" s="149" t="s">
        <v>2885</v>
      </c>
      <c r="G612" s="160">
        <v>365.0</v>
      </c>
      <c r="H612" s="150">
        <v>6.0</v>
      </c>
      <c r="I612" s="150">
        <v>7.0</v>
      </c>
      <c r="J612" s="147" t="s">
        <v>197</v>
      </c>
      <c r="K612" s="147" t="s">
        <v>401</v>
      </c>
      <c r="L612" s="150">
        <v>1.0</v>
      </c>
      <c r="M612" s="150">
        <v>9.0</v>
      </c>
      <c r="N612" s="150">
        <v>2.0</v>
      </c>
      <c r="O612" s="150">
        <v>6.0</v>
      </c>
      <c r="P612" s="150">
        <v>2.0</v>
      </c>
      <c r="Q612" s="150">
        <v>4.0</v>
      </c>
      <c r="R612" s="150">
        <v>0.0</v>
      </c>
      <c r="S612" s="150">
        <v>1.0</v>
      </c>
      <c r="T612" s="150">
        <v>0.0</v>
      </c>
      <c r="U612" s="147" t="s">
        <v>197</v>
      </c>
      <c r="V612" s="147" t="s">
        <v>197</v>
      </c>
      <c r="W612" s="147" t="s">
        <v>197</v>
      </c>
      <c r="X612" s="147" t="s">
        <v>3196</v>
      </c>
      <c r="Y612" s="147" t="s">
        <v>3197</v>
      </c>
      <c r="Z612" s="150">
        <v>5.0</v>
      </c>
      <c r="AA612" s="160">
        <v>2.0</v>
      </c>
      <c r="AB612" s="154" t="s">
        <v>3198</v>
      </c>
      <c r="AC612" s="154" t="s">
        <v>3199</v>
      </c>
      <c r="AD612" s="154" t="s">
        <v>3200</v>
      </c>
      <c r="AE612" s="152"/>
      <c r="AF612" s="150">
        <v>0.0</v>
      </c>
      <c r="AG612" s="150">
        <v>0.0</v>
      </c>
      <c r="AH612" s="150">
        <v>3.0</v>
      </c>
      <c r="AI612" s="150">
        <v>0.0</v>
      </c>
      <c r="AJ612" s="150">
        <v>0.0</v>
      </c>
      <c r="AK612" s="150">
        <v>4.0</v>
      </c>
      <c r="AL612" s="150">
        <v>9.0</v>
      </c>
      <c r="AM612" s="150">
        <v>6.0</v>
      </c>
      <c r="AN612" s="150">
        <v>2.0</v>
      </c>
      <c r="AO612" s="150">
        <v>0.0</v>
      </c>
      <c r="AP612" s="150">
        <v>5.0</v>
      </c>
      <c r="AQ612" s="150">
        <v>0.0</v>
      </c>
      <c r="AR612" s="150">
        <v>5.0</v>
      </c>
      <c r="AS612" s="150">
        <v>2003.0</v>
      </c>
      <c r="AT612" s="147" t="s">
        <v>197</v>
      </c>
      <c r="AU612" s="147" t="s">
        <v>197</v>
      </c>
      <c r="AV612" s="152"/>
      <c r="AW612" s="76">
        <v>2.0</v>
      </c>
      <c r="AX612" s="155"/>
      <c r="AY612" s="38"/>
      <c r="AZ612" s="38"/>
      <c r="BA612" s="38"/>
      <c r="BB612" s="38"/>
      <c r="BC612" s="38"/>
    </row>
    <row r="613">
      <c r="A613" s="97" t="s">
        <v>3201</v>
      </c>
      <c r="B613" s="135">
        <v>45696.114312418984</v>
      </c>
      <c r="C613" s="136" t="s">
        <v>3202</v>
      </c>
      <c r="D613" s="137" t="s">
        <v>3203</v>
      </c>
      <c r="E613" s="136" t="s">
        <v>3204</v>
      </c>
      <c r="F613" s="98" t="s">
        <v>3201</v>
      </c>
      <c r="G613" s="138">
        <v>86.0</v>
      </c>
      <c r="H613" s="139">
        <v>9.0</v>
      </c>
      <c r="I613" s="139">
        <v>10.0</v>
      </c>
      <c r="J613" s="139">
        <v>1.0</v>
      </c>
      <c r="K613" s="136" t="s">
        <v>197</v>
      </c>
      <c r="L613" s="143"/>
      <c r="M613" s="143"/>
      <c r="N613" s="143"/>
      <c r="O613" s="139">
        <v>0.0</v>
      </c>
      <c r="P613" s="139">
        <v>0.0</v>
      </c>
      <c r="Q613" s="139">
        <v>0.0</v>
      </c>
      <c r="R613" s="139">
        <v>0.0</v>
      </c>
      <c r="S613" s="139">
        <v>0.0</v>
      </c>
      <c r="T613" s="139">
        <v>0.0</v>
      </c>
      <c r="U613" s="136" t="s">
        <v>197</v>
      </c>
      <c r="V613" s="136" t="s">
        <v>197</v>
      </c>
      <c r="W613" s="136" t="s">
        <v>197</v>
      </c>
      <c r="X613" s="136" t="s">
        <v>3205</v>
      </c>
      <c r="Y613" s="136" t="s">
        <v>3206</v>
      </c>
      <c r="Z613" s="139">
        <v>8.0</v>
      </c>
      <c r="AA613" s="138">
        <v>1.0</v>
      </c>
      <c r="AB613" s="136" t="s">
        <v>3207</v>
      </c>
      <c r="AC613" s="142" t="s">
        <v>3208</v>
      </c>
      <c r="AD613" s="142" t="s">
        <v>3209</v>
      </c>
      <c r="AE613" s="143"/>
      <c r="AF613" s="139">
        <v>0.0</v>
      </c>
      <c r="AG613" s="139">
        <v>0.0</v>
      </c>
      <c r="AH613" s="139">
        <v>9.0</v>
      </c>
      <c r="AI613" s="139">
        <v>0.0</v>
      </c>
      <c r="AJ613" s="139">
        <v>0.0</v>
      </c>
      <c r="AK613" s="139">
        <v>9.0</v>
      </c>
      <c r="AL613" s="139">
        <v>5.0</v>
      </c>
      <c r="AM613" s="139">
        <v>5.0</v>
      </c>
      <c r="AN613" s="139">
        <v>0.0</v>
      </c>
      <c r="AO613" s="139">
        <v>0.0</v>
      </c>
      <c r="AP613" s="139">
        <v>10.0</v>
      </c>
      <c r="AQ613" s="139">
        <v>0.0</v>
      </c>
      <c r="AR613" s="139">
        <v>7.0</v>
      </c>
      <c r="AS613" s="139">
        <v>1955.0</v>
      </c>
      <c r="AT613" s="136" t="s">
        <v>197</v>
      </c>
      <c r="AU613" s="136" t="s">
        <v>3210</v>
      </c>
      <c r="AV613" s="143"/>
      <c r="AW613" s="139">
        <v>1.0</v>
      </c>
      <c r="AX613" s="144"/>
      <c r="AY613" s="38"/>
      <c r="AZ613" s="38"/>
      <c r="BA613" s="38"/>
      <c r="BB613" s="38"/>
      <c r="BC613" s="38"/>
    </row>
    <row r="614">
      <c r="A614" s="145" t="s">
        <v>2993</v>
      </c>
      <c r="B614" s="146">
        <v>45698.22963410879</v>
      </c>
      <c r="C614" s="147" t="s">
        <v>3211</v>
      </c>
      <c r="D614" s="148" t="s">
        <v>1375</v>
      </c>
      <c r="E614" s="147" t="s">
        <v>3212</v>
      </c>
      <c r="F614" s="149" t="s">
        <v>2993</v>
      </c>
      <c r="G614" s="150">
        <v>220.0</v>
      </c>
      <c r="H614" s="150">
        <v>7.0</v>
      </c>
      <c r="I614" s="150">
        <v>7.0</v>
      </c>
      <c r="J614" s="147" t="s">
        <v>197</v>
      </c>
      <c r="K614" s="147" t="s">
        <v>401</v>
      </c>
      <c r="L614" s="150">
        <v>8.0</v>
      </c>
      <c r="M614" s="150">
        <v>3.0</v>
      </c>
      <c r="N614" s="150">
        <v>9.0</v>
      </c>
      <c r="O614" s="150">
        <v>0.0</v>
      </c>
      <c r="P614" s="150">
        <v>0.0</v>
      </c>
      <c r="Q614" s="150">
        <v>1.0</v>
      </c>
      <c r="R614" s="150">
        <v>9.0</v>
      </c>
      <c r="S614" s="150">
        <v>0.0</v>
      </c>
      <c r="T614" s="150">
        <v>9.0</v>
      </c>
      <c r="U614" s="147" t="s">
        <v>197</v>
      </c>
      <c r="V614" s="147" t="s">
        <v>401</v>
      </c>
      <c r="W614" s="147" t="s">
        <v>197</v>
      </c>
      <c r="X614" s="147" t="s">
        <v>3213</v>
      </c>
      <c r="Y614" s="147" t="s">
        <v>3214</v>
      </c>
      <c r="Z614" s="150">
        <v>8.0</v>
      </c>
      <c r="AA614" s="160">
        <v>2.0</v>
      </c>
      <c r="AB614" s="154" t="s">
        <v>3215</v>
      </c>
      <c r="AC614" s="154" t="s">
        <v>3216</v>
      </c>
      <c r="AD614" s="154" t="s">
        <v>3217</v>
      </c>
      <c r="AE614" s="147" t="s">
        <v>197</v>
      </c>
      <c r="AF614" s="150">
        <v>0.0</v>
      </c>
      <c r="AG614" s="150">
        <v>0.0</v>
      </c>
      <c r="AH614" s="150">
        <v>3.0</v>
      </c>
      <c r="AI614" s="150">
        <v>0.0</v>
      </c>
      <c r="AJ614" s="150">
        <v>5.0</v>
      </c>
      <c r="AK614" s="150">
        <v>8.0</v>
      </c>
      <c r="AL614" s="150">
        <v>7.0</v>
      </c>
      <c r="AM614" s="150">
        <v>3.0</v>
      </c>
      <c r="AN614" s="150">
        <v>9.0</v>
      </c>
      <c r="AO614" s="150">
        <v>7.0</v>
      </c>
      <c r="AP614" s="150">
        <v>10.0</v>
      </c>
      <c r="AQ614" s="150">
        <v>6.0</v>
      </c>
      <c r="AR614" s="150">
        <v>9.0</v>
      </c>
      <c r="AS614" s="150">
        <v>1947.0</v>
      </c>
      <c r="AT614" s="147" t="s">
        <v>197</v>
      </c>
      <c r="AU614" s="147" t="s">
        <v>197</v>
      </c>
      <c r="AV614" s="152"/>
      <c r="AW614" s="76">
        <v>2.0</v>
      </c>
      <c r="AX614" s="155"/>
      <c r="AY614" s="38"/>
      <c r="AZ614" s="38"/>
      <c r="BA614" s="38"/>
      <c r="BB614" s="38"/>
      <c r="BC614" s="38"/>
    </row>
    <row r="615">
      <c r="A615" s="97" t="s">
        <v>3218</v>
      </c>
      <c r="B615" s="135">
        <v>45702.20223793981</v>
      </c>
      <c r="C615" s="136" t="s">
        <v>2034</v>
      </c>
      <c r="D615" s="137" t="s">
        <v>1222</v>
      </c>
      <c r="E615" s="136" t="s">
        <v>3219</v>
      </c>
      <c r="F615" s="98" t="s">
        <v>3218</v>
      </c>
      <c r="G615" s="138">
        <v>222.0</v>
      </c>
      <c r="H615" s="139">
        <v>4.0</v>
      </c>
      <c r="I615" s="139">
        <v>7.0</v>
      </c>
      <c r="J615" s="136" t="s">
        <v>3220</v>
      </c>
      <c r="K615" s="136" t="s">
        <v>401</v>
      </c>
      <c r="L615" s="139">
        <v>0.0</v>
      </c>
      <c r="M615" s="139">
        <v>10.0</v>
      </c>
      <c r="N615" s="139">
        <v>0.0</v>
      </c>
      <c r="O615" s="139">
        <v>0.0</v>
      </c>
      <c r="P615" s="139">
        <v>6.0</v>
      </c>
      <c r="Q615" s="139">
        <v>2.0</v>
      </c>
      <c r="R615" s="139">
        <v>10.0</v>
      </c>
      <c r="S615" s="139">
        <v>0.0</v>
      </c>
      <c r="T615" s="139">
        <v>8.0</v>
      </c>
      <c r="U615" s="136" t="s">
        <v>197</v>
      </c>
      <c r="V615" s="136" t="s">
        <v>197</v>
      </c>
      <c r="W615" s="136" t="s">
        <v>197</v>
      </c>
      <c r="X615" s="139" t="s">
        <v>3221</v>
      </c>
      <c r="Y615" s="139" t="s">
        <v>3222</v>
      </c>
      <c r="Z615" s="139">
        <v>6.0</v>
      </c>
      <c r="AA615" s="138">
        <v>3.0</v>
      </c>
      <c r="AB615" s="136" t="s">
        <v>3223</v>
      </c>
      <c r="AC615" s="136" t="s">
        <v>3224</v>
      </c>
      <c r="AD615" s="142" t="s">
        <v>3225</v>
      </c>
      <c r="AE615" s="136" t="s">
        <v>1228</v>
      </c>
      <c r="AF615" s="139">
        <v>0.0</v>
      </c>
      <c r="AG615" s="139">
        <v>5.0</v>
      </c>
      <c r="AH615" s="139">
        <v>10.0</v>
      </c>
      <c r="AI615" s="139">
        <v>3.0</v>
      </c>
      <c r="AJ615" s="139">
        <v>0.0</v>
      </c>
      <c r="AK615" s="139">
        <v>5.0</v>
      </c>
      <c r="AL615" s="139">
        <v>8.0</v>
      </c>
      <c r="AM615" s="139">
        <v>3.0</v>
      </c>
      <c r="AN615" s="139">
        <v>8.0</v>
      </c>
      <c r="AO615" s="139">
        <v>7.0</v>
      </c>
      <c r="AP615" s="139">
        <v>10.0</v>
      </c>
      <c r="AQ615" s="139">
        <v>4.0</v>
      </c>
      <c r="AR615" s="139">
        <v>8.0</v>
      </c>
      <c r="AS615" s="139">
        <v>1837.0</v>
      </c>
      <c r="AT615" s="136" t="s">
        <v>197</v>
      </c>
      <c r="AU615" s="136" t="s">
        <v>3226</v>
      </c>
      <c r="AV615" s="143"/>
      <c r="AW615" s="139">
        <v>3.0</v>
      </c>
      <c r="AX615" s="144"/>
      <c r="AY615" s="38"/>
      <c r="AZ615" s="38"/>
      <c r="BA615" s="38"/>
      <c r="BB615" s="38"/>
      <c r="BC615" s="38"/>
    </row>
    <row r="616">
      <c r="A616" s="145" t="s">
        <v>3227</v>
      </c>
      <c r="B616" s="146">
        <v>45702.21886530092</v>
      </c>
      <c r="C616" s="147" t="s">
        <v>3101</v>
      </c>
      <c r="D616" s="148" t="s">
        <v>1204</v>
      </c>
      <c r="E616" s="147" t="s">
        <v>3228</v>
      </c>
      <c r="F616" s="149" t="s">
        <v>3227</v>
      </c>
      <c r="G616" s="150">
        <v>513.0</v>
      </c>
      <c r="H616" s="150">
        <v>7.0</v>
      </c>
      <c r="I616" s="150">
        <v>8.0</v>
      </c>
      <c r="J616" s="148" t="s">
        <v>473</v>
      </c>
      <c r="K616" s="147" t="s">
        <v>401</v>
      </c>
      <c r="L616" s="150">
        <v>7.0</v>
      </c>
      <c r="M616" s="150">
        <v>5.0</v>
      </c>
      <c r="N616" s="150">
        <v>4.0</v>
      </c>
      <c r="O616" s="150">
        <v>0.0</v>
      </c>
      <c r="P616" s="150">
        <v>9.0</v>
      </c>
      <c r="Q616" s="150">
        <v>0.0</v>
      </c>
      <c r="R616" s="150">
        <v>10.0</v>
      </c>
      <c r="S616" s="150">
        <v>0.0</v>
      </c>
      <c r="T616" s="150">
        <v>7.0</v>
      </c>
      <c r="U616" s="147" t="s">
        <v>197</v>
      </c>
      <c r="V616" s="147" t="s">
        <v>197</v>
      </c>
      <c r="W616" s="147" t="s">
        <v>197</v>
      </c>
      <c r="X616" s="147" t="s">
        <v>3229</v>
      </c>
      <c r="Y616" s="147" t="s">
        <v>3230</v>
      </c>
      <c r="Z616" s="150">
        <v>0.0</v>
      </c>
      <c r="AA616" s="160">
        <v>3.0</v>
      </c>
      <c r="AB616" s="154" t="s">
        <v>3231</v>
      </c>
      <c r="AC616" s="154" t="s">
        <v>3232</v>
      </c>
      <c r="AD616" s="154" t="s">
        <v>3233</v>
      </c>
      <c r="AE616" s="147" t="s">
        <v>3079</v>
      </c>
      <c r="AF616" s="150">
        <v>0.0</v>
      </c>
      <c r="AG616" s="150">
        <v>9.0</v>
      </c>
      <c r="AH616" s="150">
        <v>7.0</v>
      </c>
      <c r="AI616" s="150">
        <v>0.0</v>
      </c>
      <c r="AJ616" s="150">
        <v>0.0</v>
      </c>
      <c r="AK616" s="150">
        <v>8.0</v>
      </c>
      <c r="AL616" s="150">
        <v>9.0</v>
      </c>
      <c r="AM616" s="150">
        <v>3.0</v>
      </c>
      <c r="AN616" s="150">
        <v>8.0</v>
      </c>
      <c r="AO616" s="150">
        <v>0.0</v>
      </c>
      <c r="AP616" s="150">
        <v>9.0</v>
      </c>
      <c r="AQ616" s="150">
        <v>0.0</v>
      </c>
      <c r="AR616" s="150">
        <v>7.0</v>
      </c>
      <c r="AS616" s="150">
        <v>1962.0</v>
      </c>
      <c r="AT616" s="147" t="s">
        <v>197</v>
      </c>
      <c r="AU616" s="147" t="s">
        <v>197</v>
      </c>
      <c r="AV616" s="152"/>
      <c r="AW616" s="76">
        <v>3.0</v>
      </c>
      <c r="AX616" s="155"/>
      <c r="AY616" s="38"/>
      <c r="AZ616" s="38"/>
      <c r="BA616" s="38"/>
      <c r="BB616" s="38"/>
      <c r="BC616" s="38"/>
    </row>
    <row r="617">
      <c r="A617" s="97" t="s">
        <v>3168</v>
      </c>
      <c r="B617" s="135">
        <v>45702.22283059028</v>
      </c>
      <c r="C617" s="136" t="s">
        <v>3234</v>
      </c>
      <c r="D617" s="137" t="s">
        <v>3235</v>
      </c>
      <c r="E617" s="139" t="s">
        <v>3169</v>
      </c>
      <c r="F617" s="98" t="s">
        <v>3168</v>
      </c>
      <c r="G617" s="138">
        <v>135.0</v>
      </c>
      <c r="H617" s="139">
        <v>6.0</v>
      </c>
      <c r="I617" s="139">
        <v>8.0</v>
      </c>
      <c r="J617" s="136" t="s">
        <v>3059</v>
      </c>
      <c r="K617" s="136" t="s">
        <v>401</v>
      </c>
      <c r="L617" s="139">
        <v>5.0</v>
      </c>
      <c r="M617" s="139">
        <v>8.0</v>
      </c>
      <c r="N617" s="139">
        <v>3.0</v>
      </c>
      <c r="O617" s="139">
        <v>7.0</v>
      </c>
      <c r="P617" s="139">
        <v>7.0</v>
      </c>
      <c r="Q617" s="139">
        <v>9.0</v>
      </c>
      <c r="R617" s="139">
        <v>8.0</v>
      </c>
      <c r="S617" s="139">
        <v>3.0</v>
      </c>
      <c r="T617" s="139">
        <v>4.0</v>
      </c>
      <c r="U617" s="136" t="s">
        <v>197</v>
      </c>
      <c r="V617" s="136" t="s">
        <v>197</v>
      </c>
      <c r="W617" s="136" t="s">
        <v>197</v>
      </c>
      <c r="X617" s="139" t="s">
        <v>3236</v>
      </c>
      <c r="Y617" s="139" t="s">
        <v>3237</v>
      </c>
      <c r="Z617" s="139">
        <v>9.0</v>
      </c>
      <c r="AA617" s="138">
        <v>3.0</v>
      </c>
      <c r="AB617" s="136" t="s">
        <v>3238</v>
      </c>
      <c r="AC617" s="136" t="s">
        <v>3239</v>
      </c>
      <c r="AD617" s="142" t="s">
        <v>3240</v>
      </c>
      <c r="AE617" s="136" t="s">
        <v>1261</v>
      </c>
      <c r="AF617" s="139">
        <v>0.0</v>
      </c>
      <c r="AG617" s="139">
        <v>0.0</v>
      </c>
      <c r="AH617" s="139">
        <v>10.0</v>
      </c>
      <c r="AI617" s="139">
        <v>3.0</v>
      </c>
      <c r="AJ617" s="139">
        <v>0.0</v>
      </c>
      <c r="AK617" s="139">
        <v>8.0</v>
      </c>
      <c r="AL617" s="139">
        <v>10.0</v>
      </c>
      <c r="AM617" s="139">
        <v>5.0</v>
      </c>
      <c r="AN617" s="139">
        <v>8.0</v>
      </c>
      <c r="AO617" s="139">
        <v>5.0</v>
      </c>
      <c r="AP617" s="139">
        <v>8.0</v>
      </c>
      <c r="AQ617" s="139">
        <v>2.0</v>
      </c>
      <c r="AR617" s="139">
        <v>10.0</v>
      </c>
      <c r="AS617" s="139">
        <v>1760.0</v>
      </c>
      <c r="AT617" s="136" t="s">
        <v>197</v>
      </c>
      <c r="AU617" s="136" t="s">
        <v>1261</v>
      </c>
      <c r="AV617" s="143"/>
      <c r="AW617" s="139">
        <v>3.0</v>
      </c>
      <c r="AX617" s="144"/>
      <c r="AY617" s="38"/>
      <c r="AZ617" s="38"/>
      <c r="BA617" s="38"/>
      <c r="BB617" s="38"/>
      <c r="BC617" s="38"/>
    </row>
    <row r="618">
      <c r="A618" s="145" t="s">
        <v>3241</v>
      </c>
      <c r="B618" s="146">
        <v>45702.25880461806</v>
      </c>
      <c r="C618" s="147" t="s">
        <v>3242</v>
      </c>
      <c r="D618" s="148" t="s">
        <v>3243</v>
      </c>
      <c r="E618" s="147" t="s">
        <v>3244</v>
      </c>
      <c r="F618" s="149" t="s">
        <v>3241</v>
      </c>
      <c r="G618" s="147" t="s">
        <v>3245</v>
      </c>
      <c r="H618" s="150">
        <v>4.0</v>
      </c>
      <c r="I618" s="150">
        <v>7.0</v>
      </c>
      <c r="J618" s="148" t="s">
        <v>3023</v>
      </c>
      <c r="K618" s="147" t="s">
        <v>197</v>
      </c>
      <c r="L618" s="152"/>
      <c r="M618" s="152"/>
      <c r="N618" s="152"/>
      <c r="O618" s="150">
        <v>3.0</v>
      </c>
      <c r="P618" s="150">
        <v>0.0</v>
      </c>
      <c r="Q618" s="150">
        <v>0.0</v>
      </c>
      <c r="R618" s="150">
        <v>0.0</v>
      </c>
      <c r="S618" s="150">
        <v>0.0</v>
      </c>
      <c r="T618" s="150">
        <v>0.0</v>
      </c>
      <c r="U618" s="147" t="s">
        <v>197</v>
      </c>
      <c r="V618" s="147" t="s">
        <v>197</v>
      </c>
      <c r="W618" s="147" t="s">
        <v>401</v>
      </c>
      <c r="X618" s="147" t="s">
        <v>3246</v>
      </c>
      <c r="Y618" s="147" t="s">
        <v>3246</v>
      </c>
      <c r="Z618" s="150">
        <v>0.0</v>
      </c>
      <c r="AA618" s="160">
        <v>3.0</v>
      </c>
      <c r="AB618" s="147" t="s">
        <v>3247</v>
      </c>
      <c r="AC618" s="147" t="s">
        <v>3248</v>
      </c>
      <c r="AD618" s="154" t="s">
        <v>3249</v>
      </c>
      <c r="AE618" s="152"/>
      <c r="AF618" s="150">
        <v>0.0</v>
      </c>
      <c r="AG618" s="150">
        <v>0.0</v>
      </c>
      <c r="AH618" s="150">
        <v>5.0</v>
      </c>
      <c r="AI618" s="150">
        <v>0.0</v>
      </c>
      <c r="AJ618" s="150">
        <v>0.0</v>
      </c>
      <c r="AK618" s="150">
        <v>6.0</v>
      </c>
      <c r="AL618" s="150">
        <v>5.0</v>
      </c>
      <c r="AM618" s="150">
        <v>8.0</v>
      </c>
      <c r="AN618" s="150">
        <v>6.0</v>
      </c>
      <c r="AO618" s="150">
        <v>6.0</v>
      </c>
      <c r="AP618" s="150">
        <v>7.0</v>
      </c>
      <c r="AQ618" s="150">
        <v>0.0</v>
      </c>
      <c r="AR618" s="150">
        <v>9.0</v>
      </c>
      <c r="AS618" s="147" t="s">
        <v>3250</v>
      </c>
      <c r="AT618" s="147" t="s">
        <v>197</v>
      </c>
      <c r="AU618" s="147" t="s">
        <v>3251</v>
      </c>
      <c r="AV618" s="152"/>
      <c r="AW618" s="76">
        <v>3.0</v>
      </c>
      <c r="AX618" s="155"/>
      <c r="AY618" s="38"/>
      <c r="AZ618" s="38"/>
      <c r="BA618" s="38"/>
      <c r="BB618" s="38"/>
      <c r="BC618" s="38"/>
    </row>
    <row r="619">
      <c r="A619" s="97" t="s">
        <v>3252</v>
      </c>
      <c r="B619" s="135">
        <v>45702.26303902778</v>
      </c>
      <c r="C619" s="136" t="s">
        <v>2917</v>
      </c>
      <c r="D619" s="137" t="s">
        <v>1125</v>
      </c>
      <c r="E619" s="136" t="s">
        <v>3253</v>
      </c>
      <c r="F619" s="98" t="s">
        <v>3252</v>
      </c>
      <c r="G619" s="139">
        <v>1350.0</v>
      </c>
      <c r="H619" s="139">
        <v>6.0</v>
      </c>
      <c r="I619" s="139">
        <v>7.0</v>
      </c>
      <c r="J619" s="139">
        <v>0.0</v>
      </c>
      <c r="K619" s="136" t="s">
        <v>197</v>
      </c>
      <c r="L619" s="143"/>
      <c r="M619" s="143"/>
      <c r="N619" s="143"/>
      <c r="O619" s="139">
        <v>0.0</v>
      </c>
      <c r="P619" s="139">
        <v>0.0</v>
      </c>
      <c r="Q619" s="139">
        <v>0.0</v>
      </c>
      <c r="R619" s="139">
        <v>0.0</v>
      </c>
      <c r="S619" s="139">
        <v>0.0</v>
      </c>
      <c r="T619" s="139">
        <v>0.0</v>
      </c>
      <c r="U619" s="136" t="s">
        <v>197</v>
      </c>
      <c r="V619" s="136" t="s">
        <v>197</v>
      </c>
      <c r="W619" s="136" t="s">
        <v>197</v>
      </c>
      <c r="X619" s="136" t="s">
        <v>3254</v>
      </c>
      <c r="Y619" s="136" t="s">
        <v>3255</v>
      </c>
      <c r="Z619" s="139">
        <v>4.0</v>
      </c>
      <c r="AA619" s="138">
        <v>3.0</v>
      </c>
      <c r="AB619" s="136" t="s">
        <v>3256</v>
      </c>
      <c r="AC619" s="136" t="s">
        <v>3257</v>
      </c>
      <c r="AD619" s="142" t="s">
        <v>3258</v>
      </c>
      <c r="AE619" s="143"/>
      <c r="AF619" s="139">
        <v>0.0</v>
      </c>
      <c r="AG619" s="139">
        <v>0.0</v>
      </c>
      <c r="AH619" s="139">
        <v>6.0</v>
      </c>
      <c r="AI619" s="139">
        <v>0.0</v>
      </c>
      <c r="AJ619" s="139">
        <v>0.0</v>
      </c>
      <c r="AK619" s="139">
        <v>8.0</v>
      </c>
      <c r="AL619" s="139">
        <v>8.0</v>
      </c>
      <c r="AM619" s="139">
        <v>4.0</v>
      </c>
      <c r="AN619" s="139">
        <v>5.0</v>
      </c>
      <c r="AO619" s="139">
        <v>0.0</v>
      </c>
      <c r="AP619" s="139">
        <v>8.0</v>
      </c>
      <c r="AQ619" s="139">
        <v>0.0</v>
      </c>
      <c r="AR619" s="139">
        <v>8.0</v>
      </c>
      <c r="AS619" s="139">
        <v>1900.0</v>
      </c>
      <c r="AT619" s="136" t="s">
        <v>197</v>
      </c>
      <c r="AU619" s="136" t="s">
        <v>3259</v>
      </c>
      <c r="AV619" s="143"/>
      <c r="AW619" s="139">
        <v>3.0</v>
      </c>
      <c r="AX619" s="144"/>
      <c r="AY619" s="38"/>
      <c r="AZ619" s="38"/>
      <c r="BA619" s="38"/>
      <c r="BB619" s="38"/>
      <c r="BC619" s="38"/>
    </row>
    <row r="620">
      <c r="A620" s="145" t="s">
        <v>3201</v>
      </c>
      <c r="B620" s="146">
        <v>45702.27002167824</v>
      </c>
      <c r="C620" s="147" t="s">
        <v>3202</v>
      </c>
      <c r="D620" s="148" t="s">
        <v>3203</v>
      </c>
      <c r="E620" s="147" t="s">
        <v>3260</v>
      </c>
      <c r="F620" s="149" t="s">
        <v>3201</v>
      </c>
      <c r="G620" s="150">
        <v>90.0</v>
      </c>
      <c r="H620" s="150">
        <v>9.0</v>
      </c>
      <c r="I620" s="150">
        <v>8.0</v>
      </c>
      <c r="J620" s="150">
        <v>2.0</v>
      </c>
      <c r="K620" s="147" t="s">
        <v>197</v>
      </c>
      <c r="L620" s="152"/>
      <c r="M620" s="152"/>
      <c r="N620" s="152"/>
      <c r="O620" s="150">
        <v>0.0</v>
      </c>
      <c r="P620" s="150">
        <v>0.0</v>
      </c>
      <c r="Q620" s="150">
        <v>0.0</v>
      </c>
      <c r="R620" s="150">
        <v>0.0</v>
      </c>
      <c r="S620" s="150">
        <v>0.0</v>
      </c>
      <c r="T620" s="150">
        <v>0.0</v>
      </c>
      <c r="U620" s="147" t="s">
        <v>197</v>
      </c>
      <c r="V620" s="147" t="s">
        <v>197</v>
      </c>
      <c r="W620" s="147" t="s">
        <v>197</v>
      </c>
      <c r="X620" s="147" t="s">
        <v>3261</v>
      </c>
      <c r="Y620" s="147" t="s">
        <v>3262</v>
      </c>
      <c r="Z620" s="150">
        <v>7.0</v>
      </c>
      <c r="AA620" s="160">
        <v>3.0</v>
      </c>
      <c r="AB620" s="147" t="s">
        <v>3263</v>
      </c>
      <c r="AC620" s="147" t="s">
        <v>3264</v>
      </c>
      <c r="AD620" s="154" t="s">
        <v>3265</v>
      </c>
      <c r="AE620" s="152"/>
      <c r="AF620" s="150">
        <v>0.0</v>
      </c>
      <c r="AG620" s="150">
        <v>0.0</v>
      </c>
      <c r="AH620" s="150">
        <v>8.0</v>
      </c>
      <c r="AI620" s="150">
        <v>0.0</v>
      </c>
      <c r="AJ620" s="150">
        <v>0.0</v>
      </c>
      <c r="AK620" s="150">
        <v>7.0</v>
      </c>
      <c r="AL620" s="150">
        <v>6.0</v>
      </c>
      <c r="AM620" s="150">
        <v>5.0</v>
      </c>
      <c r="AN620" s="150">
        <v>0.0</v>
      </c>
      <c r="AO620" s="150">
        <v>0.0</v>
      </c>
      <c r="AP620" s="150">
        <v>5.0</v>
      </c>
      <c r="AQ620" s="150">
        <v>0.0</v>
      </c>
      <c r="AR620" s="150">
        <v>8.0</v>
      </c>
      <c r="AS620" s="150">
        <v>1970.0</v>
      </c>
      <c r="AT620" s="147" t="s">
        <v>197</v>
      </c>
      <c r="AU620" s="147" t="s">
        <v>3266</v>
      </c>
      <c r="AV620" s="152"/>
      <c r="AW620" s="76">
        <v>3.0</v>
      </c>
      <c r="AX620" s="155"/>
      <c r="AY620" s="38"/>
      <c r="AZ620" s="38"/>
      <c r="BA620" s="38"/>
      <c r="BB620" s="38"/>
      <c r="BC620" s="38"/>
    </row>
    <row r="621">
      <c r="A621" s="97" t="s">
        <v>2956</v>
      </c>
      <c r="B621" s="135">
        <v>45702.271231192135</v>
      </c>
      <c r="C621" s="136" t="s">
        <v>3267</v>
      </c>
      <c r="D621" s="137" t="s">
        <v>2958</v>
      </c>
      <c r="E621" s="136" t="s">
        <v>3268</v>
      </c>
      <c r="F621" s="98" t="s">
        <v>2956</v>
      </c>
      <c r="G621" s="174">
        <v>540.0</v>
      </c>
      <c r="H621" s="139">
        <v>6.0</v>
      </c>
      <c r="I621" s="139">
        <v>7.0</v>
      </c>
      <c r="J621" s="136" t="s">
        <v>3269</v>
      </c>
      <c r="K621" s="136" t="s">
        <v>197</v>
      </c>
      <c r="L621" s="143"/>
      <c r="M621" s="143"/>
      <c r="N621" s="143"/>
      <c r="O621" s="139">
        <v>7.0</v>
      </c>
      <c r="P621" s="139">
        <v>0.0</v>
      </c>
      <c r="Q621" s="139">
        <v>8.0</v>
      </c>
      <c r="R621" s="139">
        <v>0.0</v>
      </c>
      <c r="S621" s="139">
        <v>6.0</v>
      </c>
      <c r="T621" s="139">
        <v>0.0</v>
      </c>
      <c r="U621" s="136" t="s">
        <v>197</v>
      </c>
      <c r="V621" s="136" t="s">
        <v>197</v>
      </c>
      <c r="W621" s="136" t="s">
        <v>197</v>
      </c>
      <c r="X621" s="136" t="s">
        <v>3270</v>
      </c>
      <c r="Y621" s="139" t="s">
        <v>3271</v>
      </c>
      <c r="Z621" s="139">
        <v>9.0</v>
      </c>
      <c r="AA621" s="138">
        <v>3.0</v>
      </c>
      <c r="AB621" s="136" t="s">
        <v>3272</v>
      </c>
      <c r="AC621" s="136" t="s">
        <v>3273</v>
      </c>
      <c r="AD621" s="142" t="s">
        <v>3274</v>
      </c>
      <c r="AE621" s="143"/>
      <c r="AF621" s="139">
        <v>0.0</v>
      </c>
      <c r="AG621" s="139">
        <v>0.0</v>
      </c>
      <c r="AH621" s="139">
        <v>7.0</v>
      </c>
      <c r="AI621" s="139">
        <v>0.0</v>
      </c>
      <c r="AJ621" s="139">
        <v>0.0</v>
      </c>
      <c r="AK621" s="139">
        <v>10.0</v>
      </c>
      <c r="AL621" s="139">
        <v>10.0</v>
      </c>
      <c r="AM621" s="139">
        <v>9.0</v>
      </c>
      <c r="AN621" s="139">
        <v>5.0</v>
      </c>
      <c r="AO621" s="139">
        <v>6.0</v>
      </c>
      <c r="AP621" s="139">
        <v>9.0</v>
      </c>
      <c r="AQ621" s="139">
        <v>0.0</v>
      </c>
      <c r="AR621" s="139">
        <v>9.0</v>
      </c>
      <c r="AS621" s="139">
        <v>1990.0</v>
      </c>
      <c r="AT621" s="136" t="s">
        <v>401</v>
      </c>
      <c r="AU621" s="136" t="s">
        <v>197</v>
      </c>
      <c r="AV621" s="143"/>
      <c r="AW621" s="139">
        <v>3.0</v>
      </c>
      <c r="AX621" s="144"/>
      <c r="AY621" s="38"/>
      <c r="AZ621" s="38"/>
      <c r="BA621" s="38"/>
      <c r="BB621" s="38"/>
      <c r="BC621" s="38"/>
    </row>
    <row r="622">
      <c r="A622" s="145" t="s">
        <v>2899</v>
      </c>
      <c r="B622" s="146">
        <v>45702.30971486111</v>
      </c>
      <c r="C622" s="147" t="s">
        <v>1164</v>
      </c>
      <c r="D622" s="148" t="s">
        <v>1165</v>
      </c>
      <c r="E622" s="147" t="s">
        <v>3275</v>
      </c>
      <c r="F622" s="149" t="s">
        <v>2899</v>
      </c>
      <c r="G622" s="150">
        <v>620.0</v>
      </c>
      <c r="H622" s="150">
        <v>9.0</v>
      </c>
      <c r="I622" s="150">
        <v>7.0</v>
      </c>
      <c r="J622" s="150">
        <v>1.0</v>
      </c>
      <c r="K622" s="147" t="s">
        <v>197</v>
      </c>
      <c r="L622" s="152"/>
      <c r="M622" s="152"/>
      <c r="N622" s="152"/>
      <c r="O622" s="150">
        <v>0.0</v>
      </c>
      <c r="P622" s="150">
        <v>1.0</v>
      </c>
      <c r="Q622" s="150">
        <v>2.0</v>
      </c>
      <c r="R622" s="150">
        <v>2.0</v>
      </c>
      <c r="S622" s="150">
        <v>0.0</v>
      </c>
      <c r="T622" s="150">
        <v>0.0</v>
      </c>
      <c r="U622" s="147" t="s">
        <v>197</v>
      </c>
      <c r="V622" s="147" t="s">
        <v>197</v>
      </c>
      <c r="W622" s="147" t="s">
        <v>197</v>
      </c>
      <c r="X622" s="147" t="s">
        <v>3276</v>
      </c>
      <c r="Y622" s="147" t="s">
        <v>3277</v>
      </c>
      <c r="Z622" s="150">
        <v>6.0</v>
      </c>
      <c r="AA622" s="160">
        <v>3.0</v>
      </c>
      <c r="AB622" s="154" t="s">
        <v>3278</v>
      </c>
      <c r="AC622" s="154" t="s">
        <v>3279</v>
      </c>
      <c r="AD622" s="154" t="s">
        <v>3280</v>
      </c>
      <c r="AE622" s="147" t="s">
        <v>197</v>
      </c>
      <c r="AF622" s="150">
        <v>1.0</v>
      </c>
      <c r="AG622" s="150">
        <v>1.0</v>
      </c>
      <c r="AH622" s="150">
        <v>1.0</v>
      </c>
      <c r="AI622" s="150">
        <v>1.0</v>
      </c>
      <c r="AJ622" s="150">
        <v>1.0</v>
      </c>
      <c r="AK622" s="150">
        <v>8.0</v>
      </c>
      <c r="AL622" s="150">
        <v>9.0</v>
      </c>
      <c r="AM622" s="150">
        <v>8.0</v>
      </c>
      <c r="AN622" s="150">
        <v>2.0</v>
      </c>
      <c r="AO622" s="150">
        <v>1.0</v>
      </c>
      <c r="AP622" s="150">
        <v>4.0</v>
      </c>
      <c r="AQ622" s="150">
        <v>0.0</v>
      </c>
      <c r="AR622" s="150">
        <v>8.0</v>
      </c>
      <c r="AS622" s="150">
        <v>1945.0</v>
      </c>
      <c r="AT622" s="147" t="s">
        <v>401</v>
      </c>
      <c r="AU622" s="147" t="s">
        <v>3281</v>
      </c>
      <c r="AV622" s="152"/>
      <c r="AW622" s="76">
        <v>3.0</v>
      </c>
      <c r="AX622" s="155"/>
      <c r="AY622" s="38"/>
      <c r="AZ622" s="38"/>
      <c r="BA622" s="38"/>
      <c r="BB622" s="38"/>
      <c r="BC622" s="38"/>
    </row>
    <row r="623">
      <c r="A623" s="97" t="s">
        <v>3282</v>
      </c>
      <c r="B623" s="135">
        <v>45702.32279575232</v>
      </c>
      <c r="C623" s="136" t="s">
        <v>671</v>
      </c>
      <c r="D623" s="137" t="s">
        <v>672</v>
      </c>
      <c r="E623" s="136" t="s">
        <v>3283</v>
      </c>
      <c r="F623" s="98" t="s">
        <v>3282</v>
      </c>
      <c r="G623" s="139">
        <v>65.0</v>
      </c>
      <c r="H623" s="139">
        <v>8.0</v>
      </c>
      <c r="I623" s="139">
        <v>7.0</v>
      </c>
      <c r="J623" s="139">
        <v>2.0</v>
      </c>
      <c r="K623" s="136" t="s">
        <v>197</v>
      </c>
      <c r="L623" s="143"/>
      <c r="M623" s="143"/>
      <c r="N623" s="143"/>
      <c r="O623" s="139">
        <v>0.0</v>
      </c>
      <c r="P623" s="139">
        <v>0.0</v>
      </c>
      <c r="Q623" s="139">
        <v>0.0</v>
      </c>
      <c r="R623" s="139">
        <v>0.0</v>
      </c>
      <c r="S623" s="139">
        <v>0.0</v>
      </c>
      <c r="T623" s="139">
        <v>0.0</v>
      </c>
      <c r="U623" s="136" t="s">
        <v>197</v>
      </c>
      <c r="V623" s="136" t="s">
        <v>197</v>
      </c>
      <c r="W623" s="136" t="s">
        <v>197</v>
      </c>
      <c r="X623" s="136" t="s">
        <v>3284</v>
      </c>
      <c r="Y623" s="136" t="s">
        <v>3285</v>
      </c>
      <c r="Z623" s="139">
        <v>10.0</v>
      </c>
      <c r="AA623" s="138">
        <v>3.0</v>
      </c>
      <c r="AB623" s="142" t="s">
        <v>3286</v>
      </c>
      <c r="AC623" s="142" t="s">
        <v>3287</v>
      </c>
      <c r="AD623" s="142" t="s">
        <v>3288</v>
      </c>
      <c r="AE623" s="136" t="s">
        <v>197</v>
      </c>
      <c r="AF623" s="139">
        <v>0.0</v>
      </c>
      <c r="AG623" s="139">
        <v>0.0</v>
      </c>
      <c r="AH623" s="139">
        <v>10.0</v>
      </c>
      <c r="AI623" s="139">
        <v>0.0</v>
      </c>
      <c r="AJ623" s="139">
        <v>0.0</v>
      </c>
      <c r="AK623" s="139">
        <v>10.0</v>
      </c>
      <c r="AL623" s="139">
        <v>9.0</v>
      </c>
      <c r="AM623" s="139">
        <v>8.0</v>
      </c>
      <c r="AN623" s="139">
        <v>0.0</v>
      </c>
      <c r="AO623" s="139">
        <v>0.0</v>
      </c>
      <c r="AP623" s="139">
        <v>10.0</v>
      </c>
      <c r="AQ623" s="139">
        <v>0.0</v>
      </c>
      <c r="AR623" s="139">
        <v>10.0</v>
      </c>
      <c r="AS623" s="139">
        <v>1970.0</v>
      </c>
      <c r="AT623" s="136" t="s">
        <v>197</v>
      </c>
      <c r="AU623" s="136" t="s">
        <v>3289</v>
      </c>
      <c r="AV623" s="143"/>
      <c r="AW623" s="139">
        <v>3.0</v>
      </c>
      <c r="AX623" s="144"/>
      <c r="AY623" s="38"/>
      <c r="AZ623" s="38"/>
      <c r="BA623" s="38"/>
      <c r="BB623" s="38"/>
      <c r="BC623" s="38"/>
    </row>
    <row r="624">
      <c r="A624" s="145" t="s">
        <v>3290</v>
      </c>
      <c r="B624" s="146">
        <v>45702.34831105324</v>
      </c>
      <c r="C624" s="147" t="s">
        <v>3291</v>
      </c>
      <c r="D624" s="148" t="s">
        <v>1393</v>
      </c>
      <c r="E624" s="147" t="s">
        <v>3292</v>
      </c>
      <c r="F624" s="149" t="s">
        <v>3290</v>
      </c>
      <c r="G624" s="150">
        <v>290.0</v>
      </c>
      <c r="H624" s="150">
        <v>10.0</v>
      </c>
      <c r="I624" s="150">
        <v>10.0</v>
      </c>
      <c r="J624" s="150">
        <v>0.0</v>
      </c>
      <c r="K624" s="147" t="s">
        <v>197</v>
      </c>
      <c r="L624" s="152"/>
      <c r="M624" s="152"/>
      <c r="N624" s="152"/>
      <c r="O624" s="150">
        <v>0.0</v>
      </c>
      <c r="P624" s="150">
        <v>0.0</v>
      </c>
      <c r="Q624" s="150">
        <v>0.0</v>
      </c>
      <c r="R624" s="150">
        <v>0.0</v>
      </c>
      <c r="S624" s="150">
        <v>0.0</v>
      </c>
      <c r="T624" s="150">
        <v>0.0</v>
      </c>
      <c r="U624" s="147" t="s">
        <v>197</v>
      </c>
      <c r="V624" s="147" t="s">
        <v>197</v>
      </c>
      <c r="W624" s="147" t="s">
        <v>197</v>
      </c>
      <c r="X624" s="147" t="s">
        <v>3293</v>
      </c>
      <c r="Y624" s="147" t="s">
        <v>3294</v>
      </c>
      <c r="Z624" s="150">
        <v>0.0</v>
      </c>
      <c r="AA624" s="160">
        <v>3.0</v>
      </c>
      <c r="AB624" s="147" t="s">
        <v>3295</v>
      </c>
      <c r="AC624" s="154" t="s">
        <v>3296</v>
      </c>
      <c r="AD624" s="154" t="s">
        <v>3297</v>
      </c>
      <c r="AE624" s="147" t="s">
        <v>197</v>
      </c>
      <c r="AF624" s="150">
        <v>0.0</v>
      </c>
      <c r="AG624" s="150">
        <v>0.0</v>
      </c>
      <c r="AH624" s="150">
        <v>5.0</v>
      </c>
      <c r="AI624" s="150">
        <v>0.0</v>
      </c>
      <c r="AJ624" s="150">
        <v>0.0</v>
      </c>
      <c r="AK624" s="150">
        <v>10.0</v>
      </c>
      <c r="AL624" s="150">
        <v>10.0</v>
      </c>
      <c r="AM624" s="150">
        <v>0.0</v>
      </c>
      <c r="AN624" s="150">
        <v>0.0</v>
      </c>
      <c r="AO624" s="150">
        <v>0.0</v>
      </c>
      <c r="AP624" s="150">
        <v>0.0</v>
      </c>
      <c r="AQ624" s="150">
        <v>0.0</v>
      </c>
      <c r="AR624" s="150">
        <v>10.0</v>
      </c>
      <c r="AS624" s="150">
        <v>1980.0</v>
      </c>
      <c r="AT624" s="147" t="s">
        <v>197</v>
      </c>
      <c r="AU624" s="147" t="s">
        <v>197</v>
      </c>
      <c r="AV624" s="152"/>
      <c r="AW624" s="76">
        <v>3.0</v>
      </c>
      <c r="AX624" s="155"/>
      <c r="AY624" s="38"/>
      <c r="AZ624" s="38"/>
      <c r="BA624" s="38"/>
      <c r="BB624" s="38"/>
      <c r="BC624" s="38"/>
    </row>
    <row r="625">
      <c r="A625" s="97" t="s">
        <v>3058</v>
      </c>
      <c r="B625" s="135">
        <v>45702.351196435186</v>
      </c>
      <c r="C625" s="136" t="s">
        <v>1249</v>
      </c>
      <c r="D625" s="136" t="s">
        <v>3298</v>
      </c>
      <c r="E625" s="139" t="s">
        <v>2872</v>
      </c>
      <c r="F625" s="98" t="s">
        <v>3058</v>
      </c>
      <c r="G625" s="138">
        <v>70.0</v>
      </c>
      <c r="H625" s="139">
        <v>8.0</v>
      </c>
      <c r="I625" s="139">
        <v>8.0</v>
      </c>
      <c r="J625" s="136" t="s">
        <v>3059</v>
      </c>
      <c r="K625" s="136" t="s">
        <v>401</v>
      </c>
      <c r="L625" s="139">
        <v>5.0</v>
      </c>
      <c r="M625" s="139">
        <v>9.0</v>
      </c>
      <c r="N625" s="139">
        <v>3.0</v>
      </c>
      <c r="O625" s="139">
        <v>3.0</v>
      </c>
      <c r="P625" s="139">
        <v>5.0</v>
      </c>
      <c r="Q625" s="139">
        <v>2.0</v>
      </c>
      <c r="R625" s="139">
        <v>5.0</v>
      </c>
      <c r="S625" s="139">
        <v>3.0</v>
      </c>
      <c r="T625" s="139">
        <v>6.0</v>
      </c>
      <c r="U625" s="136" t="s">
        <v>197</v>
      </c>
      <c r="V625" s="136" t="s">
        <v>401</v>
      </c>
      <c r="W625" s="136" t="s">
        <v>197</v>
      </c>
      <c r="X625" s="139" t="s">
        <v>3299</v>
      </c>
      <c r="Y625" s="139" t="s">
        <v>3300</v>
      </c>
      <c r="Z625" s="139">
        <v>9.0</v>
      </c>
      <c r="AA625" s="138">
        <v>3.0</v>
      </c>
      <c r="AB625" s="136" t="s">
        <v>3301</v>
      </c>
      <c r="AC625" s="136" t="s">
        <v>3302</v>
      </c>
      <c r="AD625" s="142" t="s">
        <v>3303</v>
      </c>
      <c r="AE625" s="143"/>
      <c r="AF625" s="139">
        <v>0.0</v>
      </c>
      <c r="AG625" s="139">
        <v>0.0</v>
      </c>
      <c r="AH625" s="139">
        <v>10.0</v>
      </c>
      <c r="AI625" s="139">
        <v>4.0</v>
      </c>
      <c r="AJ625" s="139">
        <v>2.0</v>
      </c>
      <c r="AK625" s="139">
        <v>8.0</v>
      </c>
      <c r="AL625" s="139">
        <v>8.0</v>
      </c>
      <c r="AM625" s="139">
        <v>8.0</v>
      </c>
      <c r="AN625" s="139">
        <v>9.0</v>
      </c>
      <c r="AO625" s="139">
        <v>7.0</v>
      </c>
      <c r="AP625" s="139">
        <v>10.0</v>
      </c>
      <c r="AQ625" s="139">
        <v>3.0</v>
      </c>
      <c r="AR625" s="139">
        <v>8.0</v>
      </c>
      <c r="AS625" s="139">
        <v>1659.0</v>
      </c>
      <c r="AT625" s="136" t="s">
        <v>197</v>
      </c>
      <c r="AU625" s="136" t="s">
        <v>1228</v>
      </c>
      <c r="AV625" s="143"/>
      <c r="AW625" s="139">
        <v>3.0</v>
      </c>
      <c r="AX625" s="144"/>
      <c r="AY625" s="38"/>
      <c r="AZ625" s="38"/>
      <c r="BA625" s="38"/>
      <c r="BB625" s="38"/>
      <c r="BC625" s="38"/>
    </row>
    <row r="626">
      <c r="A626" s="145" t="s">
        <v>3304</v>
      </c>
      <c r="B626" s="146">
        <v>45702.377066562505</v>
      </c>
      <c r="C626" s="147" t="s">
        <v>1500</v>
      </c>
      <c r="D626" s="148" t="s">
        <v>1259</v>
      </c>
      <c r="E626" s="147" t="s">
        <v>3305</v>
      </c>
      <c r="F626" s="149" t="s">
        <v>3304</v>
      </c>
      <c r="G626" s="150">
        <v>145.0</v>
      </c>
      <c r="H626" s="150">
        <v>9.0</v>
      </c>
      <c r="I626" s="150">
        <v>8.0</v>
      </c>
      <c r="J626" s="147" t="s">
        <v>1261</v>
      </c>
      <c r="K626" s="147" t="s">
        <v>401</v>
      </c>
      <c r="L626" s="150">
        <v>1.0</v>
      </c>
      <c r="M626" s="150">
        <v>9.0</v>
      </c>
      <c r="N626" s="150">
        <v>5.0</v>
      </c>
      <c r="O626" s="150">
        <v>4.0</v>
      </c>
      <c r="P626" s="150">
        <v>5.0</v>
      </c>
      <c r="Q626" s="150">
        <v>8.0</v>
      </c>
      <c r="R626" s="150">
        <v>6.0</v>
      </c>
      <c r="S626" s="150">
        <v>1.0</v>
      </c>
      <c r="T626" s="150">
        <v>5.0</v>
      </c>
      <c r="U626" s="147" t="s">
        <v>197</v>
      </c>
      <c r="V626" s="147" t="s">
        <v>401</v>
      </c>
      <c r="W626" s="147" t="s">
        <v>197</v>
      </c>
      <c r="X626" s="150" t="s">
        <v>3306</v>
      </c>
      <c r="Y626" s="150" t="s">
        <v>3307</v>
      </c>
      <c r="Z626" s="150">
        <v>8.0</v>
      </c>
      <c r="AA626" s="160">
        <v>3.0</v>
      </c>
      <c r="AB626" s="154" t="s">
        <v>3308</v>
      </c>
      <c r="AC626" s="147" t="s">
        <v>3309</v>
      </c>
      <c r="AD626" s="154" t="s">
        <v>3310</v>
      </c>
      <c r="AE626" s="152"/>
      <c r="AF626" s="150">
        <v>0.0</v>
      </c>
      <c r="AG626" s="150">
        <v>0.0</v>
      </c>
      <c r="AH626" s="150">
        <v>10.0</v>
      </c>
      <c r="AI626" s="150">
        <v>4.0</v>
      </c>
      <c r="AJ626" s="150">
        <v>1.0</v>
      </c>
      <c r="AK626" s="150">
        <v>8.0</v>
      </c>
      <c r="AL626" s="150">
        <v>8.0</v>
      </c>
      <c r="AM626" s="150">
        <v>5.0</v>
      </c>
      <c r="AN626" s="150">
        <v>9.0</v>
      </c>
      <c r="AO626" s="150">
        <v>4.0</v>
      </c>
      <c r="AP626" s="150">
        <v>10.0</v>
      </c>
      <c r="AQ626" s="150">
        <v>2.0</v>
      </c>
      <c r="AR626" s="150">
        <v>9.0</v>
      </c>
      <c r="AS626" s="147" t="s">
        <v>3311</v>
      </c>
      <c r="AT626" s="147" t="s">
        <v>197</v>
      </c>
      <c r="AU626" s="147" t="s">
        <v>1261</v>
      </c>
      <c r="AV626" s="152"/>
      <c r="AW626" s="76">
        <v>3.0</v>
      </c>
      <c r="AX626" s="155"/>
      <c r="AY626" s="38"/>
      <c r="AZ626" s="38"/>
      <c r="BA626" s="38"/>
      <c r="BB626" s="38"/>
      <c r="BC626" s="38"/>
    </row>
    <row r="627">
      <c r="A627" s="97" t="s">
        <v>3312</v>
      </c>
      <c r="B627" s="135">
        <v>45702.45081945602</v>
      </c>
      <c r="C627" s="136" t="s">
        <v>3313</v>
      </c>
      <c r="D627" s="137" t="s">
        <v>2949</v>
      </c>
      <c r="E627" s="136" t="s">
        <v>3314</v>
      </c>
      <c r="F627" s="98" t="s">
        <v>3312</v>
      </c>
      <c r="G627" s="139">
        <v>108.0</v>
      </c>
      <c r="H627" s="139">
        <v>8.0</v>
      </c>
      <c r="I627" s="139">
        <v>6.0</v>
      </c>
      <c r="J627" s="139">
        <v>2.0</v>
      </c>
      <c r="K627" s="136" t="s">
        <v>197</v>
      </c>
      <c r="L627" s="143"/>
      <c r="M627" s="143"/>
      <c r="N627" s="143"/>
      <c r="O627" s="139">
        <v>0.0</v>
      </c>
      <c r="P627" s="139">
        <v>0.0</v>
      </c>
      <c r="Q627" s="139">
        <v>0.0</v>
      </c>
      <c r="R627" s="139">
        <v>0.0</v>
      </c>
      <c r="S627" s="139">
        <v>0.0</v>
      </c>
      <c r="T627" s="139">
        <v>0.0</v>
      </c>
      <c r="U627" s="136" t="s">
        <v>197</v>
      </c>
      <c r="V627" s="136" t="s">
        <v>197</v>
      </c>
      <c r="W627" s="136" t="s">
        <v>197</v>
      </c>
      <c r="X627" s="139" t="s">
        <v>3315</v>
      </c>
      <c r="Y627" s="139" t="s">
        <v>3316</v>
      </c>
      <c r="Z627" s="139">
        <v>6.0</v>
      </c>
      <c r="AA627" s="138">
        <v>3.0</v>
      </c>
      <c r="AB627" s="142" t="s">
        <v>3317</v>
      </c>
      <c r="AC627" s="142" t="s">
        <v>3318</v>
      </c>
      <c r="AD627" s="142" t="s">
        <v>3319</v>
      </c>
      <c r="AE627" s="143"/>
      <c r="AF627" s="139">
        <v>0.0</v>
      </c>
      <c r="AG627" s="139">
        <v>0.0</v>
      </c>
      <c r="AH627" s="139">
        <v>4.0</v>
      </c>
      <c r="AI627" s="139">
        <v>0.0</v>
      </c>
      <c r="AJ627" s="139">
        <v>0.0</v>
      </c>
      <c r="AK627" s="139">
        <v>7.0</v>
      </c>
      <c r="AL627" s="139">
        <v>8.0</v>
      </c>
      <c r="AM627" s="139">
        <v>0.0</v>
      </c>
      <c r="AN627" s="139">
        <v>3.0</v>
      </c>
      <c r="AO627" s="139">
        <v>2.0</v>
      </c>
      <c r="AP627" s="139">
        <v>6.0</v>
      </c>
      <c r="AQ627" s="139">
        <v>0.0</v>
      </c>
      <c r="AR627" s="139">
        <v>7.0</v>
      </c>
      <c r="AS627" s="139">
        <v>1988.0</v>
      </c>
      <c r="AT627" s="136" t="s">
        <v>197</v>
      </c>
      <c r="AU627" s="136" t="s">
        <v>197</v>
      </c>
      <c r="AV627" s="143"/>
      <c r="AW627" s="139">
        <v>3.0</v>
      </c>
      <c r="AX627" s="144"/>
      <c r="AY627" s="38"/>
      <c r="AZ627" s="38"/>
      <c r="BA627" s="38"/>
      <c r="BB627" s="38"/>
      <c r="BC627" s="38"/>
    </row>
    <row r="628">
      <c r="A628" s="145" t="s">
        <v>3072</v>
      </c>
      <c r="B628" s="146">
        <v>45702.46204077546</v>
      </c>
      <c r="C628" s="147" t="s">
        <v>3003</v>
      </c>
      <c r="D628" s="148" t="s">
        <v>3320</v>
      </c>
      <c r="E628" s="147" t="s">
        <v>3074</v>
      </c>
      <c r="F628" s="149" t="s">
        <v>3072</v>
      </c>
      <c r="G628" s="150">
        <v>240.0</v>
      </c>
      <c r="H628" s="150">
        <v>6.0</v>
      </c>
      <c r="I628" s="150">
        <v>6.0</v>
      </c>
      <c r="J628" s="150">
        <v>0.0</v>
      </c>
      <c r="K628" s="147" t="s">
        <v>197</v>
      </c>
      <c r="L628" s="152"/>
      <c r="M628" s="152"/>
      <c r="N628" s="152"/>
      <c r="O628" s="150">
        <v>0.0</v>
      </c>
      <c r="P628" s="150">
        <v>0.0</v>
      </c>
      <c r="Q628" s="150">
        <v>0.0</v>
      </c>
      <c r="R628" s="150">
        <v>0.0</v>
      </c>
      <c r="S628" s="150">
        <v>0.0</v>
      </c>
      <c r="T628" s="150">
        <v>0.0</v>
      </c>
      <c r="U628" s="147" t="s">
        <v>197</v>
      </c>
      <c r="V628" s="147" t="s">
        <v>197</v>
      </c>
      <c r="W628" s="147" t="s">
        <v>197</v>
      </c>
      <c r="X628" s="147" t="s">
        <v>3321</v>
      </c>
      <c r="Y628" s="147" t="s">
        <v>3322</v>
      </c>
      <c r="Z628" s="150">
        <v>0.0</v>
      </c>
      <c r="AA628" s="160">
        <v>3.0</v>
      </c>
      <c r="AB628" s="147" t="s">
        <v>3323</v>
      </c>
      <c r="AC628" s="147" t="s">
        <v>3324</v>
      </c>
      <c r="AD628" s="154" t="s">
        <v>3325</v>
      </c>
      <c r="AE628" s="152"/>
      <c r="AF628" s="150">
        <v>0.0</v>
      </c>
      <c r="AG628" s="150">
        <v>0.0</v>
      </c>
      <c r="AH628" s="150">
        <v>9.0</v>
      </c>
      <c r="AI628" s="150">
        <v>0.0</v>
      </c>
      <c r="AJ628" s="150">
        <v>0.0</v>
      </c>
      <c r="AK628" s="150">
        <v>8.0</v>
      </c>
      <c r="AL628" s="150">
        <v>7.0</v>
      </c>
      <c r="AM628" s="150">
        <v>5.0</v>
      </c>
      <c r="AN628" s="150">
        <v>0.0</v>
      </c>
      <c r="AO628" s="150">
        <v>0.0</v>
      </c>
      <c r="AP628" s="150">
        <v>10.0</v>
      </c>
      <c r="AQ628" s="150">
        <v>0.0</v>
      </c>
      <c r="AR628" s="150">
        <v>8.0</v>
      </c>
      <c r="AS628" s="147" t="s">
        <v>3326</v>
      </c>
      <c r="AT628" s="147" t="s">
        <v>197</v>
      </c>
      <c r="AU628" s="147" t="s">
        <v>3074</v>
      </c>
      <c r="AV628" s="152"/>
      <c r="AW628" s="76">
        <v>3.0</v>
      </c>
      <c r="AX628" s="155"/>
      <c r="AY628" s="38"/>
      <c r="AZ628" s="38"/>
      <c r="BA628" s="38"/>
      <c r="BB628" s="38"/>
      <c r="BC628" s="38"/>
    </row>
    <row r="629">
      <c r="A629" s="97" t="s">
        <v>3133</v>
      </c>
      <c r="B629" s="135">
        <v>45702.47203921297</v>
      </c>
      <c r="C629" s="136" t="s">
        <v>1140</v>
      </c>
      <c r="D629" s="137" t="s">
        <v>1141</v>
      </c>
      <c r="E629" s="139" t="s">
        <v>3134</v>
      </c>
      <c r="F629" s="98" t="s">
        <v>3133</v>
      </c>
      <c r="G629" s="138">
        <v>1170.0</v>
      </c>
      <c r="H629" s="139">
        <v>8.0</v>
      </c>
      <c r="I629" s="139">
        <v>7.0</v>
      </c>
      <c r="J629" s="139">
        <v>2.0</v>
      </c>
      <c r="K629" s="136" t="s">
        <v>197</v>
      </c>
      <c r="L629" s="143"/>
      <c r="M629" s="143"/>
      <c r="N629" s="143"/>
      <c r="O629" s="139">
        <v>2.0</v>
      </c>
      <c r="P629" s="139">
        <v>0.0</v>
      </c>
      <c r="Q629" s="139">
        <v>0.0</v>
      </c>
      <c r="R629" s="139">
        <v>0.0</v>
      </c>
      <c r="S629" s="139">
        <v>0.0</v>
      </c>
      <c r="T629" s="139">
        <v>0.0</v>
      </c>
      <c r="U629" s="136" t="s">
        <v>197</v>
      </c>
      <c r="V629" s="136" t="s">
        <v>197</v>
      </c>
      <c r="W629" s="136" t="s">
        <v>197</v>
      </c>
      <c r="X629" s="139" t="s">
        <v>3327</v>
      </c>
      <c r="Y629" s="139" t="s">
        <v>3328</v>
      </c>
      <c r="Z629" s="139">
        <v>0.0</v>
      </c>
      <c r="AA629" s="138">
        <v>3.0</v>
      </c>
      <c r="AB629" s="136" t="s">
        <v>3329</v>
      </c>
      <c r="AC629" s="136" t="s">
        <v>3330</v>
      </c>
      <c r="AD629" s="142" t="s">
        <v>3331</v>
      </c>
      <c r="AE629" s="143"/>
      <c r="AF629" s="139">
        <v>0.0</v>
      </c>
      <c r="AG629" s="139">
        <v>0.0</v>
      </c>
      <c r="AH629" s="139">
        <v>0.0</v>
      </c>
      <c r="AI629" s="139">
        <v>0.0</v>
      </c>
      <c r="AJ629" s="139">
        <v>0.0</v>
      </c>
      <c r="AK629" s="139">
        <v>8.0</v>
      </c>
      <c r="AL629" s="139">
        <v>7.0</v>
      </c>
      <c r="AM629" s="139">
        <v>3.0</v>
      </c>
      <c r="AN629" s="139">
        <v>0.0</v>
      </c>
      <c r="AO629" s="139">
        <v>5.0</v>
      </c>
      <c r="AP629" s="139">
        <v>0.0</v>
      </c>
      <c r="AQ629" s="139">
        <v>0.0</v>
      </c>
      <c r="AR629" s="139">
        <v>8.0</v>
      </c>
      <c r="AS629" s="139">
        <v>1974.0</v>
      </c>
      <c r="AT629" s="136" t="s">
        <v>197</v>
      </c>
      <c r="AU629" s="136" t="s">
        <v>197</v>
      </c>
      <c r="AV629" s="143"/>
      <c r="AW629" s="139">
        <v>3.0</v>
      </c>
      <c r="AX629" s="144"/>
      <c r="AY629" s="38"/>
      <c r="AZ629" s="38"/>
      <c r="BA629" s="38"/>
      <c r="BB629" s="38"/>
      <c r="BC629" s="38"/>
    </row>
    <row r="630">
      <c r="A630" s="145" t="s">
        <v>2885</v>
      </c>
      <c r="B630" s="146">
        <v>45702.49238362268</v>
      </c>
      <c r="C630" s="147" t="s">
        <v>3332</v>
      </c>
      <c r="D630" s="148" t="s">
        <v>3333</v>
      </c>
      <c r="E630" s="147" t="s">
        <v>3334</v>
      </c>
      <c r="F630" s="149" t="s">
        <v>2885</v>
      </c>
      <c r="G630" s="160">
        <v>366.0</v>
      </c>
      <c r="H630" s="150">
        <v>10.0</v>
      </c>
      <c r="I630" s="150">
        <v>10.0</v>
      </c>
      <c r="J630" s="150">
        <v>0.0</v>
      </c>
      <c r="K630" s="147" t="s">
        <v>197</v>
      </c>
      <c r="L630" s="152"/>
      <c r="M630" s="152"/>
      <c r="N630" s="152"/>
      <c r="O630" s="150">
        <v>0.0</v>
      </c>
      <c r="P630" s="150">
        <v>5.0</v>
      </c>
      <c r="Q630" s="150">
        <v>4.0</v>
      </c>
      <c r="R630" s="150">
        <v>6.0</v>
      </c>
      <c r="S630" s="150">
        <v>0.0</v>
      </c>
      <c r="T630" s="150">
        <v>0.0</v>
      </c>
      <c r="U630" s="147" t="s">
        <v>197</v>
      </c>
      <c r="V630" s="147" t="s">
        <v>197</v>
      </c>
      <c r="W630" s="147" t="s">
        <v>197</v>
      </c>
      <c r="X630" s="147" t="s">
        <v>3335</v>
      </c>
      <c r="Y630" s="147" t="s">
        <v>3335</v>
      </c>
      <c r="Z630" s="150">
        <v>9.0</v>
      </c>
      <c r="AA630" s="160">
        <v>3.0</v>
      </c>
      <c r="AB630" s="154" t="s">
        <v>3336</v>
      </c>
      <c r="AC630" s="154" t="s">
        <v>3337</v>
      </c>
      <c r="AD630" s="154" t="s">
        <v>3338</v>
      </c>
      <c r="AE630" s="147" t="s">
        <v>197</v>
      </c>
      <c r="AF630" s="150">
        <v>0.0</v>
      </c>
      <c r="AG630" s="150">
        <v>0.0</v>
      </c>
      <c r="AH630" s="150">
        <v>10.0</v>
      </c>
      <c r="AI630" s="150">
        <v>0.0</v>
      </c>
      <c r="AJ630" s="150">
        <v>0.0</v>
      </c>
      <c r="AK630" s="150">
        <v>10.0</v>
      </c>
      <c r="AL630" s="150">
        <v>10.0</v>
      </c>
      <c r="AM630" s="150">
        <v>0.0</v>
      </c>
      <c r="AN630" s="150">
        <v>10.0</v>
      </c>
      <c r="AO630" s="150">
        <v>0.0</v>
      </c>
      <c r="AP630" s="150">
        <v>0.0</v>
      </c>
      <c r="AQ630" s="150">
        <v>0.0</v>
      </c>
      <c r="AR630" s="150">
        <v>10.0</v>
      </c>
      <c r="AS630" s="150">
        <v>1980.0</v>
      </c>
      <c r="AT630" s="147" t="s">
        <v>197</v>
      </c>
      <c r="AU630" s="147" t="s">
        <v>197</v>
      </c>
      <c r="AV630" s="152"/>
      <c r="AW630" s="76">
        <v>3.0</v>
      </c>
      <c r="AX630" s="155"/>
      <c r="AY630" s="38"/>
      <c r="AZ630" s="38"/>
      <c r="BA630" s="38"/>
      <c r="BB630" s="38"/>
      <c r="BC630" s="38"/>
    </row>
    <row r="631">
      <c r="A631" s="97" t="s">
        <v>2878</v>
      </c>
      <c r="B631" s="135">
        <v>45702.54574141203</v>
      </c>
      <c r="C631" s="136" t="s">
        <v>2827</v>
      </c>
      <c r="D631" s="137" t="s">
        <v>2828</v>
      </c>
      <c r="E631" s="136" t="s">
        <v>3339</v>
      </c>
      <c r="F631" s="98" t="s">
        <v>2878</v>
      </c>
      <c r="G631" s="139">
        <v>94.0</v>
      </c>
      <c r="H631" s="139">
        <v>8.0</v>
      </c>
      <c r="I631" s="139">
        <v>7.0</v>
      </c>
      <c r="J631" s="139">
        <v>0.0</v>
      </c>
      <c r="K631" s="136" t="s">
        <v>197</v>
      </c>
      <c r="L631" s="143"/>
      <c r="M631" s="143"/>
      <c r="N631" s="143"/>
      <c r="O631" s="139">
        <v>0.0</v>
      </c>
      <c r="P631" s="139">
        <v>0.0</v>
      </c>
      <c r="Q631" s="139">
        <v>0.0</v>
      </c>
      <c r="R631" s="139">
        <v>0.0</v>
      </c>
      <c r="S631" s="139">
        <v>0.0</v>
      </c>
      <c r="T631" s="139">
        <v>0.0</v>
      </c>
      <c r="U631" s="136" t="s">
        <v>197</v>
      </c>
      <c r="V631" s="136" t="s">
        <v>197</v>
      </c>
      <c r="W631" s="136" t="s">
        <v>197</v>
      </c>
      <c r="X631" s="136" t="s">
        <v>3340</v>
      </c>
      <c r="Y631" s="136" t="s">
        <v>3341</v>
      </c>
      <c r="Z631" s="139">
        <v>0.0</v>
      </c>
      <c r="AA631" s="138">
        <v>3.0</v>
      </c>
      <c r="AB631" s="136" t="s">
        <v>3342</v>
      </c>
      <c r="AC631" s="136" t="s">
        <v>3343</v>
      </c>
      <c r="AD631" s="142" t="s">
        <v>3344</v>
      </c>
      <c r="AE631" s="136" t="s">
        <v>197</v>
      </c>
      <c r="AF631" s="139">
        <v>0.0</v>
      </c>
      <c r="AG631" s="139">
        <v>0.0</v>
      </c>
      <c r="AH631" s="139">
        <v>6.0</v>
      </c>
      <c r="AI631" s="139">
        <v>0.0</v>
      </c>
      <c r="AJ631" s="139">
        <v>0.0</v>
      </c>
      <c r="AK631" s="139">
        <v>9.0</v>
      </c>
      <c r="AL631" s="139">
        <v>9.0</v>
      </c>
      <c r="AM631" s="139">
        <v>5.0</v>
      </c>
      <c r="AN631" s="139">
        <v>0.0</v>
      </c>
      <c r="AO631" s="139">
        <v>0.0</v>
      </c>
      <c r="AP631" s="139">
        <v>6.0</v>
      </c>
      <c r="AQ631" s="139">
        <v>0.0</v>
      </c>
      <c r="AR631" s="139">
        <v>8.0</v>
      </c>
      <c r="AS631" s="139">
        <v>1939.0</v>
      </c>
      <c r="AT631" s="136" t="s">
        <v>197</v>
      </c>
      <c r="AU631" s="136" t="s">
        <v>197</v>
      </c>
      <c r="AV631" s="143"/>
      <c r="AW631" s="139">
        <v>3.0</v>
      </c>
      <c r="AX631" s="144"/>
      <c r="AY631" s="38"/>
      <c r="AZ631" s="38"/>
      <c r="BA631" s="38"/>
      <c r="BB631" s="38"/>
      <c r="BC631" s="38"/>
    </row>
    <row r="632">
      <c r="A632" s="145" t="s">
        <v>2925</v>
      </c>
      <c r="B632" s="146">
        <v>45702.569057465276</v>
      </c>
      <c r="C632" s="147" t="s">
        <v>296</v>
      </c>
      <c r="D632" s="147" t="s">
        <v>1299</v>
      </c>
      <c r="E632" s="147" t="s">
        <v>3345</v>
      </c>
      <c r="F632" s="149" t="s">
        <v>2925</v>
      </c>
      <c r="G632" s="150">
        <v>200.0</v>
      </c>
      <c r="H632" s="150">
        <v>10.0</v>
      </c>
      <c r="I632" s="150">
        <v>10.0</v>
      </c>
      <c r="J632" s="150">
        <v>0.0</v>
      </c>
      <c r="K632" s="147" t="s">
        <v>401</v>
      </c>
      <c r="L632" s="150">
        <v>10.0</v>
      </c>
      <c r="M632" s="150">
        <v>5.0</v>
      </c>
      <c r="N632" s="150">
        <v>7.0</v>
      </c>
      <c r="O632" s="150">
        <v>0.0</v>
      </c>
      <c r="P632" s="150">
        <v>5.0</v>
      </c>
      <c r="Q632" s="150">
        <v>4.0</v>
      </c>
      <c r="R632" s="150">
        <v>5.0</v>
      </c>
      <c r="S632" s="150">
        <v>0.0</v>
      </c>
      <c r="T632" s="150">
        <v>0.0</v>
      </c>
      <c r="U632" s="147" t="s">
        <v>197</v>
      </c>
      <c r="V632" s="147" t="s">
        <v>197</v>
      </c>
      <c r="W632" s="147" t="s">
        <v>197</v>
      </c>
      <c r="X632" s="147" t="s">
        <v>3346</v>
      </c>
      <c r="Y632" s="147" t="s">
        <v>3347</v>
      </c>
      <c r="Z632" s="150">
        <v>8.0</v>
      </c>
      <c r="AA632" s="160">
        <v>3.0</v>
      </c>
      <c r="AB632" s="147" t="s">
        <v>3348</v>
      </c>
      <c r="AC632" s="147" t="s">
        <v>3349</v>
      </c>
      <c r="AD632" s="154" t="s">
        <v>3350</v>
      </c>
      <c r="AE632" s="147" t="s">
        <v>1304</v>
      </c>
      <c r="AF632" s="150">
        <v>0.0</v>
      </c>
      <c r="AG632" s="150">
        <v>0.0</v>
      </c>
      <c r="AH632" s="150">
        <v>8.0</v>
      </c>
      <c r="AI632" s="150">
        <v>0.0</v>
      </c>
      <c r="AJ632" s="150">
        <v>0.0</v>
      </c>
      <c r="AK632" s="150">
        <v>10.0</v>
      </c>
      <c r="AL632" s="150">
        <v>10.0</v>
      </c>
      <c r="AM632" s="150">
        <v>7.0</v>
      </c>
      <c r="AN632" s="150">
        <v>6.0</v>
      </c>
      <c r="AO632" s="150">
        <v>10.0</v>
      </c>
      <c r="AP632" s="150">
        <v>10.0</v>
      </c>
      <c r="AQ632" s="150">
        <v>0.0</v>
      </c>
      <c r="AR632" s="150">
        <v>8.0</v>
      </c>
      <c r="AS632" s="150">
        <v>1965.0</v>
      </c>
      <c r="AT632" s="147" t="s">
        <v>401</v>
      </c>
      <c r="AU632" s="147" t="s">
        <v>1304</v>
      </c>
      <c r="AV632" s="152"/>
      <c r="AW632" s="76">
        <v>3.0</v>
      </c>
      <c r="AX632" s="155"/>
      <c r="AY632" s="38"/>
      <c r="AZ632" s="38"/>
      <c r="BA632" s="38"/>
      <c r="BB632" s="38"/>
      <c r="BC632" s="38"/>
    </row>
    <row r="633">
      <c r="A633" s="97" t="s">
        <v>2933</v>
      </c>
      <c r="B633" s="135">
        <v>45702.57343719907</v>
      </c>
      <c r="C633" s="136" t="s">
        <v>1195</v>
      </c>
      <c r="D633" s="137" t="s">
        <v>1196</v>
      </c>
      <c r="E633" s="136" t="s">
        <v>3175</v>
      </c>
      <c r="F633" s="98" t="s">
        <v>2933</v>
      </c>
      <c r="G633" s="138">
        <v>102.0</v>
      </c>
      <c r="H633" s="139">
        <v>8.0</v>
      </c>
      <c r="I633" s="139">
        <v>8.0</v>
      </c>
      <c r="J633" s="139">
        <v>0.0</v>
      </c>
      <c r="K633" s="136" t="s">
        <v>197</v>
      </c>
      <c r="L633" s="143"/>
      <c r="M633" s="143"/>
      <c r="N633" s="143"/>
      <c r="O633" s="139">
        <v>0.0</v>
      </c>
      <c r="P633" s="139">
        <v>0.0</v>
      </c>
      <c r="Q633" s="139">
        <v>0.0</v>
      </c>
      <c r="R633" s="139">
        <v>0.0</v>
      </c>
      <c r="S633" s="139">
        <v>0.0</v>
      </c>
      <c r="T633" s="139">
        <v>0.0</v>
      </c>
      <c r="U633" s="136" t="s">
        <v>197</v>
      </c>
      <c r="V633" s="136" t="s">
        <v>197</v>
      </c>
      <c r="W633" s="136" t="s">
        <v>197</v>
      </c>
      <c r="X633" s="139" t="s">
        <v>3351</v>
      </c>
      <c r="Y633" s="136" t="s">
        <v>3352</v>
      </c>
      <c r="Z633" s="139">
        <v>0.0</v>
      </c>
      <c r="AA633" s="138">
        <v>3.0</v>
      </c>
      <c r="AB633" s="136" t="s">
        <v>3353</v>
      </c>
      <c r="AC633" s="136" t="s">
        <v>3354</v>
      </c>
      <c r="AD633" s="142" t="s">
        <v>3355</v>
      </c>
      <c r="AE633" s="136" t="s">
        <v>197</v>
      </c>
      <c r="AF633" s="139">
        <v>0.0</v>
      </c>
      <c r="AG633" s="139">
        <v>0.0</v>
      </c>
      <c r="AH633" s="139">
        <v>2.0</v>
      </c>
      <c r="AI633" s="139">
        <v>0.0</v>
      </c>
      <c r="AJ633" s="139">
        <v>0.0</v>
      </c>
      <c r="AK633" s="139">
        <v>8.0</v>
      </c>
      <c r="AL633" s="139">
        <v>10.0</v>
      </c>
      <c r="AM633" s="139">
        <v>1.0</v>
      </c>
      <c r="AN633" s="139">
        <v>0.0</v>
      </c>
      <c r="AO633" s="139">
        <v>0.0</v>
      </c>
      <c r="AP633" s="139">
        <v>9.0</v>
      </c>
      <c r="AQ633" s="139">
        <v>0.0</v>
      </c>
      <c r="AR633" s="139">
        <v>7.0</v>
      </c>
      <c r="AS633" s="139">
        <v>1980.0</v>
      </c>
      <c r="AT633" s="136" t="s">
        <v>197</v>
      </c>
      <c r="AU633" s="136" t="s">
        <v>197</v>
      </c>
      <c r="AV633" s="143"/>
      <c r="AW633" s="139">
        <v>3.0</v>
      </c>
      <c r="AX633" s="144"/>
      <c r="AY633" s="38"/>
      <c r="AZ633" s="38"/>
      <c r="BA633" s="38"/>
      <c r="BB633" s="38"/>
      <c r="BC633" s="38"/>
    </row>
    <row r="634">
      <c r="A634" s="145" t="s">
        <v>3356</v>
      </c>
      <c r="B634" s="146">
        <v>45702.60260975694</v>
      </c>
      <c r="C634" s="147" t="s">
        <v>2220</v>
      </c>
      <c r="D634" s="148" t="s">
        <v>1375</v>
      </c>
      <c r="E634" s="147" t="s">
        <v>3357</v>
      </c>
      <c r="F634" s="149" t="s">
        <v>3356</v>
      </c>
      <c r="G634" s="160">
        <v>215.0</v>
      </c>
      <c r="H634" s="150">
        <v>7.0</v>
      </c>
      <c r="I634" s="150">
        <v>6.0</v>
      </c>
      <c r="J634" s="147" t="s">
        <v>197</v>
      </c>
      <c r="K634" s="147" t="s">
        <v>197</v>
      </c>
      <c r="L634" s="152"/>
      <c r="M634" s="152"/>
      <c r="N634" s="152"/>
      <c r="O634" s="150">
        <v>0.0</v>
      </c>
      <c r="P634" s="150">
        <v>0.0</v>
      </c>
      <c r="Q634" s="150">
        <v>0.0</v>
      </c>
      <c r="R634" s="150">
        <v>0.0</v>
      </c>
      <c r="S634" s="150">
        <v>0.0</v>
      </c>
      <c r="T634" s="150">
        <v>0.0</v>
      </c>
      <c r="U634" s="147" t="s">
        <v>197</v>
      </c>
      <c r="V634" s="147" t="s">
        <v>197</v>
      </c>
      <c r="W634" s="147" t="s">
        <v>197</v>
      </c>
      <c r="X634" s="147" t="s">
        <v>3358</v>
      </c>
      <c r="Y634" s="147" t="s">
        <v>3359</v>
      </c>
      <c r="Z634" s="150">
        <v>5.0</v>
      </c>
      <c r="AA634" s="160">
        <v>3.0</v>
      </c>
      <c r="AB634" s="154" t="s">
        <v>3360</v>
      </c>
      <c r="AC634" s="154" t="s">
        <v>3361</v>
      </c>
      <c r="AD634" s="154" t="s">
        <v>3362</v>
      </c>
      <c r="AE634" s="152"/>
      <c r="AF634" s="150">
        <v>0.0</v>
      </c>
      <c r="AG634" s="150">
        <v>0.0</v>
      </c>
      <c r="AH634" s="150">
        <v>0.0</v>
      </c>
      <c r="AI634" s="150">
        <v>0.0</v>
      </c>
      <c r="AJ634" s="150">
        <v>0.0</v>
      </c>
      <c r="AK634" s="150">
        <v>4.0</v>
      </c>
      <c r="AL634" s="150">
        <v>5.0</v>
      </c>
      <c r="AM634" s="150">
        <v>0.0</v>
      </c>
      <c r="AN634" s="150">
        <v>0.0</v>
      </c>
      <c r="AO634" s="150">
        <v>0.0</v>
      </c>
      <c r="AP634" s="150">
        <v>0.0</v>
      </c>
      <c r="AQ634" s="150">
        <v>0.0</v>
      </c>
      <c r="AR634" s="150">
        <v>5.0</v>
      </c>
      <c r="AS634" s="150">
        <v>1947.0</v>
      </c>
      <c r="AT634" s="147" t="s">
        <v>197</v>
      </c>
      <c r="AU634" s="147" t="s">
        <v>197</v>
      </c>
      <c r="AV634" s="152"/>
      <c r="AW634" s="76">
        <v>3.0</v>
      </c>
      <c r="AX634" s="155"/>
      <c r="AY634" s="38"/>
      <c r="AZ634" s="38"/>
      <c r="BA634" s="38"/>
      <c r="BB634" s="38"/>
      <c r="BC634" s="38"/>
    </row>
    <row r="635">
      <c r="A635" s="97" t="s">
        <v>2964</v>
      </c>
      <c r="B635" s="135">
        <v>45702.70382804398</v>
      </c>
      <c r="C635" s="139" t="s">
        <v>3363</v>
      </c>
      <c r="D635" s="137" t="s">
        <v>1240</v>
      </c>
      <c r="E635" s="139" t="s">
        <v>3364</v>
      </c>
      <c r="F635" s="98" t="s">
        <v>2964</v>
      </c>
      <c r="G635" s="139">
        <v>200.0</v>
      </c>
      <c r="H635" s="139">
        <v>5.0</v>
      </c>
      <c r="I635" s="139">
        <v>5.0</v>
      </c>
      <c r="J635" s="137" t="s">
        <v>3365</v>
      </c>
      <c r="K635" s="136" t="s">
        <v>197</v>
      </c>
      <c r="L635" s="143"/>
      <c r="M635" s="143"/>
      <c r="N635" s="143"/>
      <c r="O635" s="139">
        <v>8.0</v>
      </c>
      <c r="P635" s="139">
        <v>2.0</v>
      </c>
      <c r="Q635" s="139">
        <v>8.0</v>
      </c>
      <c r="R635" s="139">
        <v>2.0</v>
      </c>
      <c r="S635" s="139">
        <v>0.0</v>
      </c>
      <c r="T635" s="139">
        <v>0.0</v>
      </c>
      <c r="U635" s="136" t="s">
        <v>401</v>
      </c>
      <c r="V635" s="136" t="s">
        <v>197</v>
      </c>
      <c r="W635" s="136" t="s">
        <v>401</v>
      </c>
      <c r="X635" s="139" t="s">
        <v>3366</v>
      </c>
      <c r="Y635" s="139" t="s">
        <v>3367</v>
      </c>
      <c r="Z635" s="139">
        <v>10.0</v>
      </c>
      <c r="AA635" s="138">
        <v>3.0</v>
      </c>
      <c r="AB635" s="142" t="s">
        <v>3368</v>
      </c>
      <c r="AC635" s="142" t="s">
        <v>3369</v>
      </c>
      <c r="AD635" s="142" t="s">
        <v>3370</v>
      </c>
      <c r="AE635" s="143"/>
      <c r="AF635" s="139">
        <v>0.0</v>
      </c>
      <c r="AG635" s="139">
        <v>0.0</v>
      </c>
      <c r="AH635" s="139">
        <v>0.0</v>
      </c>
      <c r="AI635" s="139">
        <v>0.0</v>
      </c>
      <c r="AJ635" s="139">
        <v>0.0</v>
      </c>
      <c r="AK635" s="139">
        <v>10.0</v>
      </c>
      <c r="AL635" s="139">
        <v>9.0</v>
      </c>
      <c r="AM635" s="139">
        <v>2.0</v>
      </c>
      <c r="AN635" s="139">
        <v>5.0</v>
      </c>
      <c r="AO635" s="139">
        <v>2.0</v>
      </c>
      <c r="AP635" s="139">
        <v>5.0</v>
      </c>
      <c r="AQ635" s="139">
        <v>0.0</v>
      </c>
      <c r="AR635" s="139">
        <v>10.0</v>
      </c>
      <c r="AS635" s="136" t="s">
        <v>3371</v>
      </c>
      <c r="AT635" s="136" t="s">
        <v>401</v>
      </c>
      <c r="AU635" s="139" t="s">
        <v>3372</v>
      </c>
      <c r="AV635" s="143"/>
      <c r="AW635" s="139">
        <v>3.0</v>
      </c>
      <c r="AX635" s="144"/>
      <c r="AY635" s="38"/>
      <c r="AZ635" s="38"/>
      <c r="BA635" s="38"/>
      <c r="BB635" s="38"/>
      <c r="BC635" s="38"/>
    </row>
    <row r="636">
      <c r="A636" s="145" t="s">
        <v>3012</v>
      </c>
      <c r="B636" s="146">
        <v>45702.730968715274</v>
      </c>
      <c r="C636" s="147" t="s">
        <v>3188</v>
      </c>
      <c r="D636" s="148" t="s">
        <v>1637</v>
      </c>
      <c r="E636" s="147" t="s">
        <v>3373</v>
      </c>
      <c r="F636" s="149" t="s">
        <v>3012</v>
      </c>
      <c r="G636" s="150">
        <v>64.0</v>
      </c>
      <c r="H636" s="150">
        <v>10.0</v>
      </c>
      <c r="I636" s="150">
        <v>10.0</v>
      </c>
      <c r="J636" s="150">
        <v>0.0</v>
      </c>
      <c r="K636" s="147" t="s">
        <v>197</v>
      </c>
      <c r="L636" s="152"/>
      <c r="M636" s="152"/>
      <c r="N636" s="152"/>
      <c r="O636" s="150">
        <v>0.0</v>
      </c>
      <c r="P636" s="150">
        <v>0.0</v>
      </c>
      <c r="Q636" s="150">
        <v>0.0</v>
      </c>
      <c r="R636" s="150">
        <v>0.0</v>
      </c>
      <c r="S636" s="150">
        <v>0.0</v>
      </c>
      <c r="T636" s="150">
        <v>0.0</v>
      </c>
      <c r="U636" s="147" t="s">
        <v>197</v>
      </c>
      <c r="V636" s="147" t="s">
        <v>197</v>
      </c>
      <c r="W636" s="147" t="s">
        <v>401</v>
      </c>
      <c r="X636" s="147" t="s">
        <v>3374</v>
      </c>
      <c r="Y636" s="147" t="s">
        <v>3375</v>
      </c>
      <c r="Z636" s="150">
        <v>10.0</v>
      </c>
      <c r="AA636" s="160">
        <v>3.0</v>
      </c>
      <c r="AB636" s="154" t="s">
        <v>3376</v>
      </c>
      <c r="AC636" s="154" t="s">
        <v>3377</v>
      </c>
      <c r="AD636" s="154" t="s">
        <v>3378</v>
      </c>
      <c r="AE636" s="152"/>
      <c r="AF636" s="150">
        <v>0.0</v>
      </c>
      <c r="AG636" s="150">
        <v>0.0</v>
      </c>
      <c r="AH636" s="150">
        <v>10.0</v>
      </c>
      <c r="AI636" s="150">
        <v>0.0</v>
      </c>
      <c r="AJ636" s="150">
        <v>0.0</v>
      </c>
      <c r="AK636" s="150">
        <v>10.0</v>
      </c>
      <c r="AL636" s="150">
        <v>8.0</v>
      </c>
      <c r="AM636" s="150">
        <v>0.0</v>
      </c>
      <c r="AN636" s="150">
        <v>0.0</v>
      </c>
      <c r="AO636" s="150">
        <v>0.0</v>
      </c>
      <c r="AP636" s="150">
        <v>0.0</v>
      </c>
      <c r="AQ636" s="150">
        <v>0.0</v>
      </c>
      <c r="AR636" s="150">
        <v>10.0</v>
      </c>
      <c r="AS636" s="150">
        <v>1981.0</v>
      </c>
      <c r="AT636" s="147" t="s">
        <v>197</v>
      </c>
      <c r="AU636" s="147" t="s">
        <v>197</v>
      </c>
      <c r="AV636" s="152"/>
      <c r="AW636" s="76">
        <v>3.0</v>
      </c>
      <c r="AX636" s="155"/>
      <c r="AY636" s="38"/>
      <c r="AZ636" s="38"/>
      <c r="BA636" s="38"/>
      <c r="BB636" s="38"/>
      <c r="BC636" s="38"/>
    </row>
    <row r="637">
      <c r="A637" s="97" t="s">
        <v>3379</v>
      </c>
      <c r="B637" s="135">
        <v>45702.953994826385</v>
      </c>
      <c r="C637" s="136" t="s">
        <v>3234</v>
      </c>
      <c r="D637" s="137" t="s">
        <v>1222</v>
      </c>
      <c r="E637" s="136" t="s">
        <v>3380</v>
      </c>
      <c r="F637" s="98" t="s">
        <v>3379</v>
      </c>
      <c r="G637" s="174">
        <v>175.0</v>
      </c>
      <c r="H637" s="139">
        <v>9.0</v>
      </c>
      <c r="I637" s="139">
        <v>10.0</v>
      </c>
      <c r="J637" s="136" t="s">
        <v>3059</v>
      </c>
      <c r="K637" s="136" t="s">
        <v>401</v>
      </c>
      <c r="L637" s="139">
        <v>3.0</v>
      </c>
      <c r="M637" s="139">
        <v>8.0</v>
      </c>
      <c r="N637" s="139">
        <v>2.0</v>
      </c>
      <c r="O637" s="139">
        <v>2.0</v>
      </c>
      <c r="P637" s="139">
        <v>4.0</v>
      </c>
      <c r="Q637" s="139">
        <v>3.0</v>
      </c>
      <c r="R637" s="139">
        <v>7.0</v>
      </c>
      <c r="S637" s="139">
        <v>3.0</v>
      </c>
      <c r="T637" s="139">
        <v>7.0</v>
      </c>
      <c r="U637" s="136" t="s">
        <v>197</v>
      </c>
      <c r="V637" s="136" t="s">
        <v>401</v>
      </c>
      <c r="W637" s="136" t="s">
        <v>197</v>
      </c>
      <c r="X637" s="139" t="s">
        <v>3381</v>
      </c>
      <c r="Y637" s="139" t="s">
        <v>3382</v>
      </c>
      <c r="Z637" s="139">
        <v>7.0</v>
      </c>
      <c r="AA637" s="138">
        <v>3.0</v>
      </c>
      <c r="AB637" s="136" t="s">
        <v>3383</v>
      </c>
      <c r="AC637" s="136" t="s">
        <v>3384</v>
      </c>
      <c r="AD637" s="142" t="s">
        <v>3385</v>
      </c>
      <c r="AE637" s="143"/>
      <c r="AF637" s="139">
        <v>0.0</v>
      </c>
      <c r="AG637" s="139">
        <v>0.0</v>
      </c>
      <c r="AH637" s="139">
        <v>9.0</v>
      </c>
      <c r="AI637" s="139">
        <v>3.0</v>
      </c>
      <c r="AJ637" s="139">
        <v>1.0</v>
      </c>
      <c r="AK637" s="139">
        <v>8.0</v>
      </c>
      <c r="AL637" s="139">
        <v>9.0</v>
      </c>
      <c r="AM637" s="139">
        <v>5.0</v>
      </c>
      <c r="AN637" s="139">
        <v>7.0</v>
      </c>
      <c r="AO637" s="139">
        <v>5.0</v>
      </c>
      <c r="AP637" s="139">
        <v>4.0</v>
      </c>
      <c r="AQ637" s="139">
        <v>2.0</v>
      </c>
      <c r="AR637" s="139">
        <v>9.0</v>
      </c>
      <c r="AS637" s="136" t="s">
        <v>3386</v>
      </c>
      <c r="AT637" s="136" t="s">
        <v>197</v>
      </c>
      <c r="AU637" s="136" t="s">
        <v>1261</v>
      </c>
      <c r="AV637" s="143"/>
      <c r="AW637" s="139">
        <v>3.0</v>
      </c>
      <c r="AX637" s="144"/>
      <c r="AY637" s="38"/>
      <c r="AZ637" s="38"/>
      <c r="BA637" s="38"/>
      <c r="BB637" s="38"/>
      <c r="BC637" s="38"/>
    </row>
    <row r="638">
      <c r="A638" s="145" t="s">
        <v>3021</v>
      </c>
      <c r="B638" s="146">
        <v>45703.08727615741</v>
      </c>
      <c r="C638" s="147" t="s">
        <v>1156</v>
      </c>
      <c r="D638" s="148" t="s">
        <v>1157</v>
      </c>
      <c r="E638" s="150" t="s">
        <v>3387</v>
      </c>
      <c r="F638" s="149" t="s">
        <v>3021</v>
      </c>
      <c r="G638" s="150">
        <v>200.0</v>
      </c>
      <c r="H638" s="150">
        <v>10.0</v>
      </c>
      <c r="I638" s="150">
        <v>8.0</v>
      </c>
      <c r="J638" s="150">
        <v>0.0</v>
      </c>
      <c r="K638" s="147" t="s">
        <v>197</v>
      </c>
      <c r="L638" s="152"/>
      <c r="M638" s="152"/>
      <c r="N638" s="152"/>
      <c r="O638" s="150">
        <v>7.0</v>
      </c>
      <c r="P638" s="150">
        <v>5.0</v>
      </c>
      <c r="Q638" s="150">
        <v>7.0</v>
      </c>
      <c r="R638" s="150">
        <v>6.0</v>
      </c>
      <c r="S638" s="150">
        <v>1.0</v>
      </c>
      <c r="T638" s="150">
        <v>6.0</v>
      </c>
      <c r="U638" s="147" t="s">
        <v>197</v>
      </c>
      <c r="V638" s="147" t="s">
        <v>197</v>
      </c>
      <c r="W638" s="147" t="s">
        <v>197</v>
      </c>
      <c r="X638" s="147" t="s">
        <v>3388</v>
      </c>
      <c r="Y638" s="147" t="s">
        <v>3389</v>
      </c>
      <c r="Z638" s="150">
        <v>8.0</v>
      </c>
      <c r="AA638" s="160">
        <v>3.0</v>
      </c>
      <c r="AB638" s="154" t="s">
        <v>3390</v>
      </c>
      <c r="AC638" s="154" t="s">
        <v>3391</v>
      </c>
      <c r="AD638" s="154" t="s">
        <v>3392</v>
      </c>
      <c r="AE638" s="152"/>
      <c r="AF638" s="150">
        <v>3.0</v>
      </c>
      <c r="AG638" s="150">
        <v>0.0</v>
      </c>
      <c r="AH638" s="150">
        <v>9.0</v>
      </c>
      <c r="AI638" s="150">
        <v>1.0</v>
      </c>
      <c r="AJ638" s="150">
        <v>7.0</v>
      </c>
      <c r="AK638" s="150">
        <v>9.0</v>
      </c>
      <c r="AL638" s="150">
        <v>9.0</v>
      </c>
      <c r="AM638" s="150">
        <v>3.0</v>
      </c>
      <c r="AN638" s="150">
        <v>6.0</v>
      </c>
      <c r="AO638" s="150">
        <v>7.0</v>
      </c>
      <c r="AP638" s="150">
        <v>7.0</v>
      </c>
      <c r="AQ638" s="150">
        <v>0.0</v>
      </c>
      <c r="AR638" s="150">
        <v>8.0</v>
      </c>
      <c r="AS638" s="148" t="s">
        <v>3393</v>
      </c>
      <c r="AT638" s="147" t="s">
        <v>197</v>
      </c>
      <c r="AU638" s="150" t="s">
        <v>3394</v>
      </c>
      <c r="AV638" s="152"/>
      <c r="AW638" s="76">
        <v>3.0</v>
      </c>
      <c r="AX638" s="155"/>
      <c r="AY638" s="38"/>
      <c r="AZ638" s="38"/>
      <c r="BA638" s="38"/>
      <c r="BB638" s="38"/>
      <c r="BC638" s="38"/>
    </row>
    <row r="639">
      <c r="A639" s="97" t="s">
        <v>2940</v>
      </c>
      <c r="B639" s="135">
        <v>45703.155165034725</v>
      </c>
      <c r="C639" s="136" t="s">
        <v>1179</v>
      </c>
      <c r="D639" s="137" t="s">
        <v>1180</v>
      </c>
      <c r="E639" s="136" t="s">
        <v>3122</v>
      </c>
      <c r="F639" s="98" t="s">
        <v>2940</v>
      </c>
      <c r="G639" s="139">
        <v>240.0</v>
      </c>
      <c r="H639" s="139">
        <v>7.0</v>
      </c>
      <c r="I639" s="139">
        <v>7.0</v>
      </c>
      <c r="J639" s="139">
        <v>1.0</v>
      </c>
      <c r="K639" s="136" t="s">
        <v>197</v>
      </c>
      <c r="L639" s="143"/>
      <c r="M639" s="143"/>
      <c r="N639" s="143"/>
      <c r="O639" s="139">
        <v>4.0</v>
      </c>
      <c r="P639" s="139">
        <v>0.0</v>
      </c>
      <c r="Q639" s="139">
        <v>3.0</v>
      </c>
      <c r="R639" s="139">
        <v>0.0</v>
      </c>
      <c r="S639" s="139">
        <v>2.0</v>
      </c>
      <c r="T639" s="139">
        <v>0.0</v>
      </c>
      <c r="U639" s="136" t="s">
        <v>197</v>
      </c>
      <c r="V639" s="136" t="s">
        <v>197</v>
      </c>
      <c r="W639" s="136" t="s">
        <v>197</v>
      </c>
      <c r="X639" s="136" t="s">
        <v>3395</v>
      </c>
      <c r="Y639" s="139" t="s">
        <v>3396</v>
      </c>
      <c r="Z639" s="139">
        <v>7.0</v>
      </c>
      <c r="AA639" s="138">
        <v>3.0</v>
      </c>
      <c r="AB639" s="142" t="s">
        <v>3397</v>
      </c>
      <c r="AC639" s="142" t="s">
        <v>3398</v>
      </c>
      <c r="AD639" s="142" t="s">
        <v>3399</v>
      </c>
      <c r="AE639" s="143"/>
      <c r="AF639" s="139">
        <v>0.0</v>
      </c>
      <c r="AG639" s="139">
        <v>0.0</v>
      </c>
      <c r="AH639" s="139">
        <v>0.0</v>
      </c>
      <c r="AI639" s="139">
        <v>0.0</v>
      </c>
      <c r="AJ639" s="139">
        <v>0.0</v>
      </c>
      <c r="AK639" s="139">
        <v>7.0</v>
      </c>
      <c r="AL639" s="139">
        <v>6.0</v>
      </c>
      <c r="AM639" s="139">
        <v>6.0</v>
      </c>
      <c r="AN639" s="139">
        <v>6.0</v>
      </c>
      <c r="AO639" s="139">
        <v>3.0</v>
      </c>
      <c r="AP639" s="139">
        <v>0.0</v>
      </c>
      <c r="AQ639" s="139">
        <v>0.0</v>
      </c>
      <c r="AR639" s="139">
        <v>7.0</v>
      </c>
      <c r="AS639" s="139">
        <v>1980.0</v>
      </c>
      <c r="AT639" s="136" t="s">
        <v>197</v>
      </c>
      <c r="AU639" s="136" t="s">
        <v>3400</v>
      </c>
      <c r="AV639" s="143"/>
      <c r="AW639" s="139">
        <v>3.0</v>
      </c>
      <c r="AX639" s="144"/>
      <c r="AY639" s="38"/>
      <c r="AZ639" s="38"/>
      <c r="BA639" s="38"/>
      <c r="BB639" s="38"/>
      <c r="BC639" s="38"/>
    </row>
    <row r="640">
      <c r="A640" s="145" t="s">
        <v>2826</v>
      </c>
      <c r="B640" s="146">
        <v>45703.155699641204</v>
      </c>
      <c r="C640" s="147" t="s">
        <v>1321</v>
      </c>
      <c r="D640" s="148" t="s">
        <v>1322</v>
      </c>
      <c r="E640" s="147" t="s">
        <v>3401</v>
      </c>
      <c r="F640" s="149" t="s">
        <v>2826</v>
      </c>
      <c r="G640" s="150">
        <v>172.0</v>
      </c>
      <c r="H640" s="150">
        <v>9.0</v>
      </c>
      <c r="I640" s="150">
        <v>8.0</v>
      </c>
      <c r="J640" s="150">
        <v>1.0</v>
      </c>
      <c r="K640" s="147" t="s">
        <v>197</v>
      </c>
      <c r="L640" s="152"/>
      <c r="M640" s="152"/>
      <c r="N640" s="152"/>
      <c r="O640" s="150">
        <v>3.0</v>
      </c>
      <c r="P640" s="150">
        <v>0.0</v>
      </c>
      <c r="Q640" s="150">
        <v>0.0</v>
      </c>
      <c r="R640" s="150">
        <v>0.0</v>
      </c>
      <c r="S640" s="150">
        <v>0.0</v>
      </c>
      <c r="T640" s="150">
        <v>0.0</v>
      </c>
      <c r="U640" s="147" t="s">
        <v>197</v>
      </c>
      <c r="V640" s="147" t="s">
        <v>197</v>
      </c>
      <c r="W640" s="147" t="s">
        <v>197</v>
      </c>
      <c r="X640" s="147" t="s">
        <v>3402</v>
      </c>
      <c r="Y640" s="147" t="s">
        <v>3402</v>
      </c>
      <c r="Z640" s="150">
        <v>9.0</v>
      </c>
      <c r="AA640" s="160">
        <v>3.0</v>
      </c>
      <c r="AB640" s="154" t="s">
        <v>3403</v>
      </c>
      <c r="AC640" s="154" t="s">
        <v>3404</v>
      </c>
      <c r="AD640" s="154" t="s">
        <v>3405</v>
      </c>
      <c r="AE640" s="152"/>
      <c r="AF640" s="150">
        <v>0.0</v>
      </c>
      <c r="AG640" s="150">
        <v>0.0</v>
      </c>
      <c r="AH640" s="150">
        <v>0.0</v>
      </c>
      <c r="AI640" s="150">
        <v>0.0</v>
      </c>
      <c r="AJ640" s="150">
        <v>0.0</v>
      </c>
      <c r="AK640" s="150">
        <v>9.0</v>
      </c>
      <c r="AL640" s="150">
        <v>9.0</v>
      </c>
      <c r="AM640" s="150">
        <v>0.0</v>
      </c>
      <c r="AN640" s="150">
        <v>0.0</v>
      </c>
      <c r="AO640" s="150">
        <v>0.0</v>
      </c>
      <c r="AP640" s="150">
        <v>10.0</v>
      </c>
      <c r="AQ640" s="150">
        <v>0.0</v>
      </c>
      <c r="AR640" s="150">
        <v>9.0</v>
      </c>
      <c r="AS640" s="148" t="s">
        <v>388</v>
      </c>
      <c r="AT640" s="147" t="s">
        <v>197</v>
      </c>
      <c r="AU640" s="147" t="s">
        <v>197</v>
      </c>
      <c r="AV640" s="152"/>
      <c r="AW640" s="76">
        <v>3.0</v>
      </c>
      <c r="AX640" s="155"/>
      <c r="AY640" s="38"/>
      <c r="AZ640" s="38"/>
      <c r="BA640" s="38"/>
      <c r="BB640" s="38"/>
      <c r="BC640" s="38"/>
    </row>
    <row r="641">
      <c r="A641" s="175" t="s">
        <v>3031</v>
      </c>
      <c r="B641" s="61">
        <v>45703.19442799769</v>
      </c>
      <c r="C641" s="68" t="s">
        <v>1283</v>
      </c>
      <c r="D641" s="63" t="s">
        <v>1284</v>
      </c>
      <c r="E641" s="68" t="s">
        <v>3182</v>
      </c>
      <c r="F641" s="176" t="s">
        <v>3031</v>
      </c>
      <c r="G641" s="62">
        <v>800.0</v>
      </c>
      <c r="H641" s="62">
        <v>2.0</v>
      </c>
      <c r="I641" s="62">
        <v>6.0</v>
      </c>
      <c r="J641" s="62">
        <v>4.0</v>
      </c>
      <c r="K641" s="68" t="s">
        <v>197</v>
      </c>
      <c r="L641" s="66"/>
      <c r="M641" s="66"/>
      <c r="N641" s="66"/>
      <c r="O641" s="62">
        <v>6.0</v>
      </c>
      <c r="P641" s="62">
        <v>1.0</v>
      </c>
      <c r="Q641" s="62">
        <v>9.0</v>
      </c>
      <c r="R641" s="62">
        <v>8.0</v>
      </c>
      <c r="S641" s="62">
        <v>6.0</v>
      </c>
      <c r="T641" s="62">
        <v>6.0</v>
      </c>
      <c r="U641" s="68" t="s">
        <v>401</v>
      </c>
      <c r="V641" s="68" t="s">
        <v>401</v>
      </c>
      <c r="W641" s="68" t="s">
        <v>197</v>
      </c>
      <c r="X641" s="68" t="s">
        <v>3406</v>
      </c>
      <c r="Y641" s="68" t="s">
        <v>3407</v>
      </c>
      <c r="Z641" s="62">
        <v>10.0</v>
      </c>
      <c r="AA641" s="94">
        <v>3.0</v>
      </c>
      <c r="AB641" s="68" t="s">
        <v>3408</v>
      </c>
      <c r="AC641" s="67" t="s">
        <v>3409</v>
      </c>
      <c r="AD641" s="67" t="s">
        <v>3410</v>
      </c>
      <c r="AE641" s="68" t="s">
        <v>197</v>
      </c>
      <c r="AF641" s="62">
        <v>8.0</v>
      </c>
      <c r="AG641" s="62">
        <v>0.0</v>
      </c>
      <c r="AH641" s="62">
        <v>9.0</v>
      </c>
      <c r="AI641" s="62">
        <v>8.0</v>
      </c>
      <c r="AJ641" s="62">
        <v>9.0</v>
      </c>
      <c r="AK641" s="62">
        <v>9.0</v>
      </c>
      <c r="AL641" s="62">
        <v>9.0</v>
      </c>
      <c r="AM641" s="62">
        <v>9.0</v>
      </c>
      <c r="AN641" s="62">
        <v>9.0</v>
      </c>
      <c r="AO641" s="62">
        <v>8.0</v>
      </c>
      <c r="AP641" s="62">
        <v>9.0</v>
      </c>
      <c r="AQ641" s="62">
        <v>10.0</v>
      </c>
      <c r="AR641" s="62">
        <v>8.0</v>
      </c>
      <c r="AS641" s="62">
        <v>1985.0</v>
      </c>
      <c r="AT641" s="68" t="s">
        <v>197</v>
      </c>
      <c r="AU641" s="68" t="s">
        <v>1607</v>
      </c>
      <c r="AV641" s="66"/>
      <c r="AW641" s="139">
        <v>3.0</v>
      </c>
      <c r="AX641" s="69"/>
      <c r="AY641" s="38"/>
      <c r="AZ641" s="38"/>
      <c r="BA641" s="38"/>
      <c r="BB641" s="38"/>
      <c r="BC641" s="38"/>
    </row>
    <row r="642">
      <c r="A642" s="83" t="s">
        <v>3411</v>
      </c>
      <c r="B642" s="71">
        <v>45703.19717550926</v>
      </c>
      <c r="C642" s="72" t="s">
        <v>3412</v>
      </c>
      <c r="D642" s="73" t="s">
        <v>1652</v>
      </c>
      <c r="E642" s="72" t="s">
        <v>2812</v>
      </c>
      <c r="F642" s="84" t="s">
        <v>3411</v>
      </c>
      <c r="G642" s="76">
        <v>261.0</v>
      </c>
      <c r="H642" s="76">
        <v>10.0</v>
      </c>
      <c r="I642" s="76">
        <v>8.0</v>
      </c>
      <c r="J642" s="72" t="s">
        <v>197</v>
      </c>
      <c r="K642" s="72" t="s">
        <v>401</v>
      </c>
      <c r="L642" s="76">
        <v>7.0</v>
      </c>
      <c r="M642" s="76">
        <v>5.0</v>
      </c>
      <c r="N642" s="76">
        <v>5.0</v>
      </c>
      <c r="O642" s="76">
        <v>8.0</v>
      </c>
      <c r="P642" s="76">
        <v>5.0</v>
      </c>
      <c r="Q642" s="76">
        <v>6.0</v>
      </c>
      <c r="R642" s="76">
        <v>9.0</v>
      </c>
      <c r="S642" s="76">
        <v>0.0</v>
      </c>
      <c r="T642" s="76">
        <v>5.0</v>
      </c>
      <c r="U642" s="72" t="s">
        <v>197</v>
      </c>
      <c r="V642" s="72" t="s">
        <v>197</v>
      </c>
      <c r="W642" s="72" t="s">
        <v>197</v>
      </c>
      <c r="X642" s="72" t="s">
        <v>401</v>
      </c>
      <c r="Y642" s="72" t="s">
        <v>3413</v>
      </c>
      <c r="Z642" s="76">
        <v>10.0</v>
      </c>
      <c r="AA642" s="72" t="s">
        <v>4</v>
      </c>
      <c r="AB642" s="78" t="s">
        <v>3414</v>
      </c>
      <c r="AC642" s="78" t="s">
        <v>3415</v>
      </c>
      <c r="AD642" s="78" t="s">
        <v>3416</v>
      </c>
      <c r="AE642" s="72" t="s">
        <v>197</v>
      </c>
      <c r="AF642" s="76">
        <v>0.0</v>
      </c>
      <c r="AG642" s="76">
        <v>5.0</v>
      </c>
      <c r="AH642" s="76">
        <v>8.0</v>
      </c>
      <c r="AI642" s="76">
        <v>0.0</v>
      </c>
      <c r="AJ642" s="76">
        <v>0.0</v>
      </c>
      <c r="AK642" s="76">
        <v>10.0</v>
      </c>
      <c r="AL642" s="76">
        <v>10.0</v>
      </c>
      <c r="AM642" s="76">
        <v>3.0</v>
      </c>
      <c r="AN642" s="76">
        <v>5.0</v>
      </c>
      <c r="AO642" s="76">
        <v>5.0</v>
      </c>
      <c r="AP642" s="76">
        <v>8.0</v>
      </c>
      <c r="AQ642" s="76">
        <v>5.0</v>
      </c>
      <c r="AR642" s="76">
        <v>10.0</v>
      </c>
      <c r="AS642" s="76">
        <v>1930.0</v>
      </c>
      <c r="AT642" s="72" t="s">
        <v>401</v>
      </c>
      <c r="AU642" s="72" t="s">
        <v>197</v>
      </c>
      <c r="AV642" s="77"/>
      <c r="AW642" s="72" t="s">
        <v>4</v>
      </c>
      <c r="AX642" s="79"/>
      <c r="AY642" s="38"/>
      <c r="AZ642" s="38"/>
      <c r="BA642" s="38"/>
      <c r="BB642" s="38"/>
      <c r="BC642" s="38"/>
    </row>
    <row r="643">
      <c r="A643" s="175" t="s">
        <v>3411</v>
      </c>
      <c r="B643" s="61">
        <v>45703.208804699076</v>
      </c>
      <c r="C643" s="68" t="s">
        <v>3412</v>
      </c>
      <c r="D643" s="63" t="s">
        <v>1652</v>
      </c>
      <c r="E643" s="68" t="s">
        <v>3417</v>
      </c>
      <c r="F643" s="176" t="s">
        <v>3411</v>
      </c>
      <c r="G643" s="94">
        <v>255.0</v>
      </c>
      <c r="H643" s="62">
        <v>10.0</v>
      </c>
      <c r="I643" s="62">
        <v>5.0</v>
      </c>
      <c r="J643" s="68" t="s">
        <v>197</v>
      </c>
      <c r="K643" s="68" t="s">
        <v>401</v>
      </c>
      <c r="L643" s="62">
        <v>6.0</v>
      </c>
      <c r="M643" s="62">
        <v>8.0</v>
      </c>
      <c r="N643" s="62">
        <v>5.0</v>
      </c>
      <c r="O643" s="62">
        <v>5.0</v>
      </c>
      <c r="P643" s="62">
        <v>5.0</v>
      </c>
      <c r="Q643" s="62">
        <v>5.0</v>
      </c>
      <c r="R643" s="62">
        <v>10.0</v>
      </c>
      <c r="S643" s="62">
        <v>0.0</v>
      </c>
      <c r="T643" s="62">
        <v>5.0</v>
      </c>
      <c r="U643" s="68" t="s">
        <v>197</v>
      </c>
      <c r="V643" s="68" t="s">
        <v>197</v>
      </c>
      <c r="W643" s="68" t="s">
        <v>401</v>
      </c>
      <c r="X643" s="68" t="s">
        <v>3418</v>
      </c>
      <c r="Y643" s="68" t="s">
        <v>3419</v>
      </c>
      <c r="Z643" s="62">
        <v>10.0</v>
      </c>
      <c r="AA643" s="94">
        <v>3.0</v>
      </c>
      <c r="AB643" s="67" t="s">
        <v>3420</v>
      </c>
      <c r="AC643" s="67" t="s">
        <v>3421</v>
      </c>
      <c r="AD643" s="67" t="s">
        <v>3422</v>
      </c>
      <c r="AE643" s="66"/>
      <c r="AF643" s="62">
        <v>5.0</v>
      </c>
      <c r="AG643" s="62">
        <v>5.0</v>
      </c>
      <c r="AH643" s="62">
        <v>7.0</v>
      </c>
      <c r="AI643" s="62">
        <v>0.0</v>
      </c>
      <c r="AJ643" s="62">
        <v>0.0</v>
      </c>
      <c r="AK643" s="62">
        <v>6.0</v>
      </c>
      <c r="AL643" s="62">
        <v>10.0</v>
      </c>
      <c r="AM643" s="62">
        <v>5.0</v>
      </c>
      <c r="AN643" s="62">
        <v>8.0</v>
      </c>
      <c r="AO643" s="62">
        <v>5.0</v>
      </c>
      <c r="AP643" s="62">
        <v>7.0</v>
      </c>
      <c r="AQ643" s="62">
        <v>7.0</v>
      </c>
      <c r="AR643" s="62">
        <v>10.0</v>
      </c>
      <c r="AS643" s="62">
        <v>1930.0</v>
      </c>
      <c r="AT643" s="68" t="s">
        <v>401</v>
      </c>
      <c r="AU643" s="68" t="s">
        <v>197</v>
      </c>
      <c r="AV643" s="66"/>
      <c r="AW643" s="139">
        <v>3.0</v>
      </c>
      <c r="AX643" s="69"/>
      <c r="AY643" s="38"/>
      <c r="AZ643" s="38"/>
      <c r="BA643" s="38"/>
      <c r="BB643" s="38"/>
      <c r="BC643" s="38"/>
    </row>
    <row r="644">
      <c r="A644" s="83" t="s">
        <v>2983</v>
      </c>
      <c r="B644" s="71">
        <v>45704.52392636574</v>
      </c>
      <c r="C644" s="72" t="s">
        <v>1283</v>
      </c>
      <c r="D644" s="73" t="s">
        <v>1284</v>
      </c>
      <c r="E644" s="72" t="s">
        <v>3423</v>
      </c>
      <c r="F644" s="84" t="s">
        <v>2983</v>
      </c>
      <c r="G644" s="75">
        <v>133.0</v>
      </c>
      <c r="H644" s="76">
        <v>8.0</v>
      </c>
      <c r="I644" s="76">
        <v>8.0</v>
      </c>
      <c r="J644" s="76">
        <v>1.0</v>
      </c>
      <c r="K644" s="72" t="s">
        <v>401</v>
      </c>
      <c r="L644" s="76">
        <v>10.0</v>
      </c>
      <c r="M644" s="76">
        <v>9.0</v>
      </c>
      <c r="N644" s="76">
        <v>8.0</v>
      </c>
      <c r="O644" s="76">
        <v>2.0</v>
      </c>
      <c r="P644" s="76">
        <v>2.0</v>
      </c>
      <c r="Q644" s="76">
        <v>8.0</v>
      </c>
      <c r="R644" s="76">
        <v>2.0</v>
      </c>
      <c r="S644" s="76">
        <v>8.0</v>
      </c>
      <c r="T644" s="76">
        <v>6.0</v>
      </c>
      <c r="U644" s="72" t="s">
        <v>197</v>
      </c>
      <c r="V644" s="72" t="s">
        <v>401</v>
      </c>
      <c r="W644" s="72" t="s">
        <v>401</v>
      </c>
      <c r="X644" s="72" t="s">
        <v>3424</v>
      </c>
      <c r="Y644" s="72" t="s">
        <v>3425</v>
      </c>
      <c r="Z644" s="76">
        <v>10.0</v>
      </c>
      <c r="AA644" s="75">
        <v>3.0</v>
      </c>
      <c r="AB644" s="78" t="s">
        <v>3426</v>
      </c>
      <c r="AC644" s="78" t="s">
        <v>3427</v>
      </c>
      <c r="AD644" s="78" t="s">
        <v>3428</v>
      </c>
      <c r="AE644" s="72" t="s">
        <v>692</v>
      </c>
      <c r="AF644" s="76">
        <v>0.0</v>
      </c>
      <c r="AG644" s="76">
        <v>0.0</v>
      </c>
      <c r="AH644" s="76">
        <v>10.0</v>
      </c>
      <c r="AI644" s="76">
        <v>0.0</v>
      </c>
      <c r="AJ644" s="76">
        <v>1.0</v>
      </c>
      <c r="AK644" s="76">
        <v>9.0</v>
      </c>
      <c r="AL644" s="76">
        <v>8.0</v>
      </c>
      <c r="AM644" s="76">
        <v>8.0</v>
      </c>
      <c r="AN644" s="76">
        <v>10.0</v>
      </c>
      <c r="AO644" s="76">
        <v>4.0</v>
      </c>
      <c r="AP644" s="76">
        <v>9.0</v>
      </c>
      <c r="AQ644" s="76">
        <v>4.0</v>
      </c>
      <c r="AR644" s="76">
        <v>10.0</v>
      </c>
      <c r="AS644" s="76">
        <v>1943.0</v>
      </c>
      <c r="AT644" s="72" t="s">
        <v>197</v>
      </c>
      <c r="AU644" s="76">
        <v>1.0</v>
      </c>
      <c r="AV644" s="77"/>
      <c r="AW644" s="76">
        <v>3.0</v>
      </c>
      <c r="AX644" s="79"/>
      <c r="AY644" s="38"/>
      <c r="AZ644" s="38"/>
      <c r="BA644" s="38"/>
      <c r="BB644" s="38"/>
      <c r="BC644" s="38"/>
    </row>
    <row r="645">
      <c r="A645" s="175" t="s">
        <v>3429</v>
      </c>
      <c r="B645" s="61">
        <v>45707.05920043981</v>
      </c>
      <c r="C645" s="68" t="s">
        <v>3430</v>
      </c>
      <c r="D645" s="63" t="s">
        <v>672</v>
      </c>
      <c r="E645" s="68" t="s">
        <v>3431</v>
      </c>
      <c r="F645" s="176" t="s">
        <v>3429</v>
      </c>
      <c r="G645" s="62">
        <v>128.0</v>
      </c>
      <c r="H645" s="62">
        <v>9.0</v>
      </c>
      <c r="I645" s="62">
        <v>8.0</v>
      </c>
      <c r="J645" s="62">
        <v>0.0</v>
      </c>
      <c r="K645" s="68" t="s">
        <v>197</v>
      </c>
      <c r="L645" s="66"/>
      <c r="M645" s="66"/>
      <c r="N645" s="66"/>
      <c r="O645" s="62">
        <v>0.0</v>
      </c>
      <c r="P645" s="62">
        <v>0.0</v>
      </c>
      <c r="Q645" s="62">
        <v>0.0</v>
      </c>
      <c r="R645" s="62">
        <v>0.0</v>
      </c>
      <c r="S645" s="62">
        <v>0.0</v>
      </c>
      <c r="T645" s="62">
        <v>0.0</v>
      </c>
      <c r="U645" s="68" t="s">
        <v>197</v>
      </c>
      <c r="V645" s="68" t="s">
        <v>197</v>
      </c>
      <c r="W645" s="68" t="s">
        <v>197</v>
      </c>
      <c r="X645" s="68" t="s">
        <v>3432</v>
      </c>
      <c r="Y645" s="68" t="s">
        <v>3433</v>
      </c>
      <c r="Z645" s="62">
        <v>6.0</v>
      </c>
      <c r="AA645" s="94">
        <v>3.0</v>
      </c>
      <c r="AB645" s="67" t="s">
        <v>3434</v>
      </c>
      <c r="AC645" s="67" t="s">
        <v>3435</v>
      </c>
      <c r="AD645" s="67" t="s">
        <v>3436</v>
      </c>
      <c r="AE645" s="66"/>
      <c r="AF645" s="62">
        <v>0.0</v>
      </c>
      <c r="AG645" s="62">
        <v>0.0</v>
      </c>
      <c r="AH645" s="62">
        <v>3.0</v>
      </c>
      <c r="AI645" s="62">
        <v>5.0</v>
      </c>
      <c r="AJ645" s="62">
        <v>0.0</v>
      </c>
      <c r="AK645" s="62">
        <v>9.0</v>
      </c>
      <c r="AL645" s="62">
        <v>8.0</v>
      </c>
      <c r="AM645" s="62">
        <v>4.0</v>
      </c>
      <c r="AN645" s="62">
        <v>0.0</v>
      </c>
      <c r="AO645" s="62">
        <v>0.0</v>
      </c>
      <c r="AP645" s="62">
        <v>6.0</v>
      </c>
      <c r="AQ645" s="62">
        <v>3.0</v>
      </c>
      <c r="AR645" s="62">
        <v>8.0</v>
      </c>
      <c r="AS645" s="63" t="s">
        <v>388</v>
      </c>
      <c r="AT645" s="68" t="s">
        <v>197</v>
      </c>
      <c r="AU645" s="68" t="s">
        <v>401</v>
      </c>
      <c r="AV645" s="66"/>
      <c r="AW645" s="139">
        <v>3.0</v>
      </c>
      <c r="AX645" s="69"/>
      <c r="AY645" s="38"/>
      <c r="AZ645" s="38"/>
      <c r="BA645" s="38"/>
      <c r="BB645" s="38"/>
      <c r="BC645" s="38"/>
    </row>
    <row r="646">
      <c r="A646" s="83" t="s">
        <v>3031</v>
      </c>
      <c r="B646" s="71">
        <v>45709.22239912037</v>
      </c>
      <c r="C646" s="72" t="s">
        <v>1179</v>
      </c>
      <c r="D646" s="73" t="s">
        <v>1180</v>
      </c>
      <c r="E646" s="72" t="s">
        <v>3437</v>
      </c>
      <c r="F646" s="84" t="s">
        <v>3031</v>
      </c>
      <c r="G646" s="75">
        <v>790.0</v>
      </c>
      <c r="H646" s="76">
        <v>7.0</v>
      </c>
      <c r="I646" s="76">
        <v>6.0</v>
      </c>
      <c r="J646" s="76">
        <v>4.0</v>
      </c>
      <c r="K646" s="72" t="s">
        <v>197</v>
      </c>
      <c r="L646" s="77"/>
      <c r="M646" s="77"/>
      <c r="N646" s="77"/>
      <c r="O646" s="76">
        <v>0.0</v>
      </c>
      <c r="P646" s="76">
        <v>6.0</v>
      </c>
      <c r="Q646" s="76">
        <v>0.0</v>
      </c>
      <c r="R646" s="76">
        <v>6.0</v>
      </c>
      <c r="S646" s="76">
        <v>0.0</v>
      </c>
      <c r="T646" s="76">
        <v>5.0</v>
      </c>
      <c r="U646" s="72" t="s">
        <v>197</v>
      </c>
      <c r="V646" s="72" t="s">
        <v>197</v>
      </c>
      <c r="W646" s="72" t="s">
        <v>197</v>
      </c>
      <c r="X646" s="76" t="s">
        <v>3438</v>
      </c>
      <c r="Y646" s="76" t="s">
        <v>3439</v>
      </c>
      <c r="Z646" s="76">
        <v>8.0</v>
      </c>
      <c r="AA646" s="75">
        <v>4.0</v>
      </c>
      <c r="AB646" s="78" t="s">
        <v>3440</v>
      </c>
      <c r="AC646" s="78" t="s">
        <v>3441</v>
      </c>
      <c r="AD646" s="78" t="s">
        <v>3442</v>
      </c>
      <c r="AE646" s="77"/>
      <c r="AF646" s="76">
        <v>0.0</v>
      </c>
      <c r="AG646" s="76">
        <v>0.0</v>
      </c>
      <c r="AH646" s="76">
        <v>8.0</v>
      </c>
      <c r="AI646" s="76">
        <v>0.0</v>
      </c>
      <c r="AJ646" s="76">
        <v>0.0</v>
      </c>
      <c r="AK646" s="76">
        <v>7.0</v>
      </c>
      <c r="AL646" s="76">
        <v>8.0</v>
      </c>
      <c r="AM646" s="76">
        <v>0.0</v>
      </c>
      <c r="AN646" s="76">
        <v>6.0</v>
      </c>
      <c r="AO646" s="76">
        <v>2.0</v>
      </c>
      <c r="AP646" s="76">
        <v>8.0</v>
      </c>
      <c r="AQ646" s="76">
        <v>3.0</v>
      </c>
      <c r="AR646" s="76">
        <v>8.0</v>
      </c>
      <c r="AS646" s="72" t="s">
        <v>3443</v>
      </c>
      <c r="AT646" s="72" t="s">
        <v>197</v>
      </c>
      <c r="AU646" s="72" t="s">
        <v>197</v>
      </c>
      <c r="AV646" s="77"/>
      <c r="AW646" s="76">
        <v>4.0</v>
      </c>
      <c r="AX646" s="79"/>
      <c r="AY646" s="38"/>
      <c r="AZ646" s="38"/>
      <c r="BA646" s="38"/>
      <c r="BB646" s="38"/>
      <c r="BC646" s="38"/>
    </row>
    <row r="647">
      <c r="A647" s="175" t="s">
        <v>3444</v>
      </c>
      <c r="B647" s="61">
        <v>45709.242138217596</v>
      </c>
      <c r="C647" s="68" t="s">
        <v>2917</v>
      </c>
      <c r="D647" s="63" t="s">
        <v>1125</v>
      </c>
      <c r="E647" s="68" t="s">
        <v>3445</v>
      </c>
      <c r="F647" s="176" t="s">
        <v>3444</v>
      </c>
      <c r="G647" s="94">
        <v>188.0</v>
      </c>
      <c r="H647" s="62">
        <v>4.0</v>
      </c>
      <c r="I647" s="62">
        <v>4.0</v>
      </c>
      <c r="J647" s="62">
        <v>0.0</v>
      </c>
      <c r="K647" s="68" t="s">
        <v>197</v>
      </c>
      <c r="L647" s="66"/>
      <c r="M647" s="66"/>
      <c r="N647" s="66"/>
      <c r="O647" s="62">
        <v>9.0</v>
      </c>
      <c r="P647" s="62">
        <v>9.0</v>
      </c>
      <c r="Q647" s="62">
        <v>10.0</v>
      </c>
      <c r="R647" s="62">
        <v>10.0</v>
      </c>
      <c r="S647" s="62">
        <v>0.0</v>
      </c>
      <c r="T647" s="62">
        <v>10.0</v>
      </c>
      <c r="U647" s="68" t="s">
        <v>197</v>
      </c>
      <c r="V647" s="68" t="s">
        <v>401</v>
      </c>
      <c r="W647" s="68" t="s">
        <v>197</v>
      </c>
      <c r="X647" s="68" t="s">
        <v>3446</v>
      </c>
      <c r="Y647" s="68" t="s">
        <v>3447</v>
      </c>
      <c r="Z647" s="62">
        <v>0.0</v>
      </c>
      <c r="AA647" s="94">
        <v>4.0</v>
      </c>
      <c r="AB647" s="68" t="s">
        <v>3448</v>
      </c>
      <c r="AC647" s="68" t="s">
        <v>3449</v>
      </c>
      <c r="AD647" s="67" t="s">
        <v>3450</v>
      </c>
      <c r="AE647" s="66"/>
      <c r="AF647" s="62">
        <v>0.0</v>
      </c>
      <c r="AG647" s="62">
        <v>10.0</v>
      </c>
      <c r="AH647" s="62">
        <v>1.0</v>
      </c>
      <c r="AI647" s="62">
        <v>0.0</v>
      </c>
      <c r="AJ647" s="62">
        <v>0.0</v>
      </c>
      <c r="AK647" s="62">
        <v>6.0</v>
      </c>
      <c r="AL647" s="62">
        <v>8.0</v>
      </c>
      <c r="AM647" s="62">
        <v>0.0</v>
      </c>
      <c r="AN647" s="62">
        <v>0.0</v>
      </c>
      <c r="AO647" s="62">
        <v>5.0</v>
      </c>
      <c r="AP647" s="62">
        <v>1.0</v>
      </c>
      <c r="AQ647" s="62">
        <v>0.0</v>
      </c>
      <c r="AR647" s="62">
        <v>5.0</v>
      </c>
      <c r="AS647" s="62">
        <v>1857.0</v>
      </c>
      <c r="AT647" s="68" t="s">
        <v>197</v>
      </c>
      <c r="AU647" s="68" t="s">
        <v>3451</v>
      </c>
      <c r="AV647" s="66"/>
      <c r="AW647" s="139">
        <v>4.0</v>
      </c>
      <c r="AX647" s="69"/>
      <c r="AY647" s="38"/>
      <c r="AZ647" s="38"/>
      <c r="BA647" s="38"/>
      <c r="BB647" s="38"/>
      <c r="BC647" s="38"/>
    </row>
    <row r="648">
      <c r="A648" s="83" t="s">
        <v>3452</v>
      </c>
      <c r="B648" s="71">
        <v>45709.26180833334</v>
      </c>
      <c r="C648" s="76" t="s">
        <v>3453</v>
      </c>
      <c r="D648" s="73" t="s">
        <v>1204</v>
      </c>
      <c r="E648" s="76" t="s">
        <v>3454</v>
      </c>
      <c r="F648" s="84" t="s">
        <v>3452</v>
      </c>
      <c r="G648" s="76">
        <v>508.0</v>
      </c>
      <c r="H648" s="76">
        <v>8.0</v>
      </c>
      <c r="I648" s="76">
        <v>7.0</v>
      </c>
      <c r="J648" s="76" t="s">
        <v>1450</v>
      </c>
      <c r="K648" s="72" t="s">
        <v>401</v>
      </c>
      <c r="L648" s="76">
        <v>10.0</v>
      </c>
      <c r="M648" s="76">
        <v>4.0</v>
      </c>
      <c r="N648" s="76">
        <v>10.0</v>
      </c>
      <c r="O648" s="76">
        <v>2.0</v>
      </c>
      <c r="P648" s="76">
        <v>10.0</v>
      </c>
      <c r="Q648" s="76">
        <v>2.0</v>
      </c>
      <c r="R648" s="76">
        <v>10.0</v>
      </c>
      <c r="S648" s="76">
        <v>0.0</v>
      </c>
      <c r="T648" s="76">
        <v>10.0</v>
      </c>
      <c r="U648" s="72" t="s">
        <v>197</v>
      </c>
      <c r="V648" s="72" t="s">
        <v>401</v>
      </c>
      <c r="W648" s="72" t="s">
        <v>197</v>
      </c>
      <c r="X648" s="76" t="s">
        <v>3096</v>
      </c>
      <c r="Y648" s="76" t="s">
        <v>3455</v>
      </c>
      <c r="Z648" s="76">
        <v>5.0</v>
      </c>
      <c r="AA648" s="75">
        <v>4.0</v>
      </c>
      <c r="AB648" s="78" t="s">
        <v>3456</v>
      </c>
      <c r="AC648" s="78" t="s">
        <v>3457</v>
      </c>
      <c r="AD648" s="78" t="s">
        <v>3458</v>
      </c>
      <c r="AE648" s="77"/>
      <c r="AF648" s="76">
        <v>0.0</v>
      </c>
      <c r="AG648" s="76">
        <v>0.0</v>
      </c>
      <c r="AH648" s="76">
        <v>0.0</v>
      </c>
      <c r="AI648" s="76">
        <v>0.0</v>
      </c>
      <c r="AJ648" s="76">
        <v>2.0</v>
      </c>
      <c r="AK648" s="76">
        <v>8.0</v>
      </c>
      <c r="AL648" s="76">
        <v>9.0</v>
      </c>
      <c r="AM648" s="76">
        <v>2.0</v>
      </c>
      <c r="AN648" s="76">
        <v>2.0</v>
      </c>
      <c r="AO648" s="76">
        <v>0.0</v>
      </c>
      <c r="AP648" s="76">
        <v>4.0</v>
      </c>
      <c r="AQ648" s="76">
        <v>0.0</v>
      </c>
      <c r="AR648" s="76">
        <v>10.0</v>
      </c>
      <c r="AS648" s="76">
        <v>1962.0</v>
      </c>
      <c r="AT648" s="72" t="s">
        <v>197</v>
      </c>
      <c r="AU648" s="76" t="s">
        <v>1450</v>
      </c>
      <c r="AV648" s="77"/>
      <c r="AW648" s="76">
        <v>4.0</v>
      </c>
      <c r="AX648" s="79"/>
      <c r="AY648" s="38"/>
      <c r="AZ648" s="38"/>
      <c r="BA648" s="38"/>
      <c r="BB648" s="38"/>
      <c r="BC648" s="38"/>
    </row>
    <row r="649">
      <c r="A649" s="175" t="s">
        <v>2899</v>
      </c>
      <c r="B649" s="61">
        <v>45709.385485335646</v>
      </c>
      <c r="C649" s="68" t="s">
        <v>1164</v>
      </c>
      <c r="D649" s="63" t="s">
        <v>1165</v>
      </c>
      <c r="E649" s="68" t="s">
        <v>3459</v>
      </c>
      <c r="F649" s="176" t="s">
        <v>2899</v>
      </c>
      <c r="G649" s="94">
        <v>590.0</v>
      </c>
      <c r="H649" s="62">
        <v>9.0</v>
      </c>
      <c r="I649" s="62">
        <v>7.0</v>
      </c>
      <c r="J649" s="62">
        <v>1.0</v>
      </c>
      <c r="K649" s="68" t="s">
        <v>197</v>
      </c>
      <c r="L649" s="66"/>
      <c r="M649" s="66"/>
      <c r="N649" s="66"/>
      <c r="O649" s="62">
        <v>1.0</v>
      </c>
      <c r="P649" s="62">
        <v>1.0</v>
      </c>
      <c r="Q649" s="62">
        <v>1.0</v>
      </c>
      <c r="R649" s="62">
        <v>3.0</v>
      </c>
      <c r="S649" s="62">
        <v>0.0</v>
      </c>
      <c r="T649" s="62">
        <v>1.0</v>
      </c>
      <c r="U649" s="68" t="s">
        <v>197</v>
      </c>
      <c r="V649" s="68" t="s">
        <v>197</v>
      </c>
      <c r="W649" s="68" t="s">
        <v>197</v>
      </c>
      <c r="X649" s="68" t="s">
        <v>3460</v>
      </c>
      <c r="Y649" s="68" t="s">
        <v>3461</v>
      </c>
      <c r="Z649" s="62">
        <v>7.0</v>
      </c>
      <c r="AA649" s="94">
        <v>4.0</v>
      </c>
      <c r="AB649" s="67" t="s">
        <v>3462</v>
      </c>
      <c r="AC649" s="68" t="s">
        <v>3463</v>
      </c>
      <c r="AD649" s="67" t="s">
        <v>3464</v>
      </c>
      <c r="AE649" s="66"/>
      <c r="AF649" s="62">
        <v>1.0</v>
      </c>
      <c r="AG649" s="62">
        <v>1.0</v>
      </c>
      <c r="AH649" s="62">
        <v>10.0</v>
      </c>
      <c r="AI649" s="62">
        <v>1.0</v>
      </c>
      <c r="AJ649" s="62">
        <v>1.0</v>
      </c>
      <c r="AK649" s="62">
        <v>9.0</v>
      </c>
      <c r="AL649" s="62">
        <v>9.0</v>
      </c>
      <c r="AM649" s="62">
        <v>4.0</v>
      </c>
      <c r="AN649" s="62">
        <v>3.0</v>
      </c>
      <c r="AO649" s="62">
        <v>2.0</v>
      </c>
      <c r="AP649" s="62">
        <v>8.0</v>
      </c>
      <c r="AQ649" s="62">
        <v>1.0</v>
      </c>
      <c r="AR649" s="62">
        <v>7.0</v>
      </c>
      <c r="AS649" s="62">
        <v>1945.0</v>
      </c>
      <c r="AT649" s="68" t="s">
        <v>401</v>
      </c>
      <c r="AU649" s="68" t="s">
        <v>2907</v>
      </c>
      <c r="AV649" s="66"/>
      <c r="AW649" s="139">
        <v>4.0</v>
      </c>
      <c r="AX649" s="69"/>
      <c r="AY649" s="38"/>
      <c r="AZ649" s="38"/>
      <c r="BA649" s="38"/>
      <c r="BB649" s="38"/>
      <c r="BC649" s="38"/>
    </row>
    <row r="650">
      <c r="A650" s="83" t="s">
        <v>2983</v>
      </c>
      <c r="B650" s="71">
        <v>45709.465387268516</v>
      </c>
      <c r="C650" s="72" t="s">
        <v>671</v>
      </c>
      <c r="D650" s="73" t="s">
        <v>672</v>
      </c>
      <c r="E650" s="72" t="s">
        <v>3465</v>
      </c>
      <c r="F650" s="84" t="s">
        <v>2983</v>
      </c>
      <c r="G650" s="76">
        <v>134.0</v>
      </c>
      <c r="H650" s="76">
        <v>8.0</v>
      </c>
      <c r="I650" s="76">
        <v>6.0</v>
      </c>
      <c r="J650" s="76">
        <v>3.0</v>
      </c>
      <c r="K650" s="72" t="s">
        <v>401</v>
      </c>
      <c r="L650" s="76">
        <v>8.0</v>
      </c>
      <c r="M650" s="76">
        <v>2.0</v>
      </c>
      <c r="N650" s="76">
        <v>8.0</v>
      </c>
      <c r="O650" s="76">
        <v>3.0</v>
      </c>
      <c r="P650" s="76">
        <v>7.0</v>
      </c>
      <c r="Q650" s="76">
        <v>8.0</v>
      </c>
      <c r="R650" s="76">
        <v>10.0</v>
      </c>
      <c r="S650" s="76">
        <v>2.0</v>
      </c>
      <c r="T650" s="76">
        <v>10.0</v>
      </c>
      <c r="U650" s="72" t="s">
        <v>197</v>
      </c>
      <c r="V650" s="72" t="s">
        <v>197</v>
      </c>
      <c r="W650" s="72" t="s">
        <v>197</v>
      </c>
      <c r="X650" s="72" t="s">
        <v>3466</v>
      </c>
      <c r="Y650" s="72" t="s">
        <v>3467</v>
      </c>
      <c r="Z650" s="76">
        <v>9.0</v>
      </c>
      <c r="AA650" s="75">
        <v>4.0</v>
      </c>
      <c r="AB650" s="78" t="s">
        <v>3468</v>
      </c>
      <c r="AC650" s="78" t="s">
        <v>3469</v>
      </c>
      <c r="AD650" s="78" t="s">
        <v>3470</v>
      </c>
      <c r="AE650" s="72" t="s">
        <v>197</v>
      </c>
      <c r="AF650" s="76">
        <v>0.0</v>
      </c>
      <c r="AG650" s="76">
        <v>0.0</v>
      </c>
      <c r="AH650" s="76">
        <v>10.0</v>
      </c>
      <c r="AI650" s="76">
        <v>2.0</v>
      </c>
      <c r="AJ650" s="76">
        <v>1.0</v>
      </c>
      <c r="AK650" s="76">
        <v>10.0</v>
      </c>
      <c r="AL650" s="76">
        <v>8.0</v>
      </c>
      <c r="AM650" s="76">
        <v>2.0</v>
      </c>
      <c r="AN650" s="76">
        <v>10.0</v>
      </c>
      <c r="AO650" s="76">
        <v>10.0</v>
      </c>
      <c r="AP650" s="76">
        <v>5.0</v>
      </c>
      <c r="AQ650" s="76">
        <v>2.0</v>
      </c>
      <c r="AR650" s="76">
        <v>9.0</v>
      </c>
      <c r="AS650" s="76">
        <v>1920.0</v>
      </c>
      <c r="AT650" s="72" t="s">
        <v>197</v>
      </c>
      <c r="AU650" s="72" t="s">
        <v>3471</v>
      </c>
      <c r="AV650" s="77"/>
      <c r="AW650" s="76">
        <v>4.0</v>
      </c>
      <c r="AX650" s="79"/>
      <c r="AY650" s="38"/>
      <c r="AZ650" s="38"/>
      <c r="BA650" s="38"/>
      <c r="BB650" s="38"/>
      <c r="BC650" s="38"/>
    </row>
    <row r="651">
      <c r="A651" s="177" t="s">
        <v>3472</v>
      </c>
      <c r="B651" s="178">
        <v>45709.4874928125</v>
      </c>
      <c r="C651" s="179" t="s">
        <v>3473</v>
      </c>
      <c r="D651" s="180" t="s">
        <v>1375</v>
      </c>
      <c r="E651" s="179" t="s">
        <v>3474</v>
      </c>
      <c r="F651" s="181" t="s">
        <v>3472</v>
      </c>
      <c r="G651" s="182">
        <v>210.0</v>
      </c>
      <c r="H651" s="183">
        <v>7.0</v>
      </c>
      <c r="I651" s="183">
        <v>7.0</v>
      </c>
      <c r="J651" s="179" t="s">
        <v>197</v>
      </c>
      <c r="K651" s="179" t="s">
        <v>197</v>
      </c>
      <c r="L651" s="184"/>
      <c r="M651" s="184"/>
      <c r="N651" s="184"/>
      <c r="O651" s="183">
        <v>0.0</v>
      </c>
      <c r="P651" s="183">
        <v>0.0</v>
      </c>
      <c r="Q651" s="183">
        <v>0.0</v>
      </c>
      <c r="R651" s="183">
        <v>0.0</v>
      </c>
      <c r="S651" s="183">
        <v>0.0</v>
      </c>
      <c r="T651" s="183">
        <v>0.0</v>
      </c>
      <c r="U651" s="179" t="s">
        <v>197</v>
      </c>
      <c r="V651" s="179" t="s">
        <v>197</v>
      </c>
      <c r="W651" s="179" t="s">
        <v>197</v>
      </c>
      <c r="X651" s="179" t="s">
        <v>3475</v>
      </c>
      <c r="Y651" s="179" t="s">
        <v>3476</v>
      </c>
      <c r="Z651" s="183">
        <v>6.0</v>
      </c>
      <c r="AA651" s="182">
        <v>4.0</v>
      </c>
      <c r="AB651" s="185" t="s">
        <v>3477</v>
      </c>
      <c r="AC651" s="185" t="s">
        <v>3478</v>
      </c>
      <c r="AD651" s="185" t="s">
        <v>3479</v>
      </c>
      <c r="AE651" s="184"/>
      <c r="AF651" s="183">
        <v>0.0</v>
      </c>
      <c r="AG651" s="183">
        <v>0.0</v>
      </c>
      <c r="AH651" s="183">
        <v>8.0</v>
      </c>
      <c r="AI651" s="183">
        <v>0.0</v>
      </c>
      <c r="AJ651" s="183">
        <v>0.0</v>
      </c>
      <c r="AK651" s="183">
        <v>8.0</v>
      </c>
      <c r="AL651" s="183">
        <v>7.0</v>
      </c>
      <c r="AM651" s="183">
        <v>0.0</v>
      </c>
      <c r="AN651" s="183">
        <v>0.0</v>
      </c>
      <c r="AO651" s="183">
        <v>0.0</v>
      </c>
      <c r="AP651" s="183">
        <v>8.0</v>
      </c>
      <c r="AQ651" s="183">
        <v>0.0</v>
      </c>
      <c r="AR651" s="183">
        <v>7.0</v>
      </c>
      <c r="AS651" s="183">
        <v>1947.0</v>
      </c>
      <c r="AT651" s="179" t="s">
        <v>401</v>
      </c>
      <c r="AU651" s="179" t="s">
        <v>197</v>
      </c>
      <c r="AV651" s="184"/>
      <c r="AW651" s="186">
        <v>4.0</v>
      </c>
      <c r="AX651" s="187"/>
      <c r="AY651" s="38"/>
      <c r="AZ651" s="38"/>
      <c r="BA651" s="38"/>
      <c r="BB651" s="38"/>
      <c r="BC651" s="38"/>
    </row>
    <row r="652">
      <c r="A652" s="70" t="s">
        <v>3480</v>
      </c>
      <c r="B652" s="71">
        <v>45919.215473599535</v>
      </c>
      <c r="C652" s="72" t="s">
        <v>3481</v>
      </c>
      <c r="D652" s="73" t="s">
        <v>3482</v>
      </c>
      <c r="E652" s="72" t="s">
        <v>3483</v>
      </c>
      <c r="F652" s="74" t="s">
        <v>3480</v>
      </c>
      <c r="G652" s="76">
        <v>470.0</v>
      </c>
      <c r="H652" s="76">
        <v>6.0</v>
      </c>
      <c r="I652" s="76">
        <v>2.0</v>
      </c>
      <c r="J652" s="76">
        <v>4.0</v>
      </c>
      <c r="K652" s="77"/>
      <c r="L652" s="77"/>
      <c r="M652" s="77"/>
      <c r="N652" s="76">
        <v>10.0</v>
      </c>
      <c r="O652" s="77"/>
      <c r="P652" s="77"/>
      <c r="Q652" s="77"/>
      <c r="R652" s="77"/>
      <c r="S652" s="77"/>
      <c r="T652" s="77"/>
      <c r="U652" s="77"/>
      <c r="V652" s="78" t="s">
        <v>3484</v>
      </c>
      <c r="W652" s="77"/>
      <c r="X652" s="77"/>
      <c r="Y652" s="77"/>
      <c r="Z652" s="72" t="s">
        <v>3485</v>
      </c>
      <c r="AA652" s="76">
        <v>1.0</v>
      </c>
      <c r="AB652" s="77"/>
      <c r="AC652" s="79"/>
      <c r="AD652" s="54"/>
      <c r="AE652" s="54"/>
      <c r="AF652" s="54"/>
      <c r="AG652" s="54"/>
      <c r="AH652" s="54"/>
      <c r="AI652" s="44"/>
      <c r="AJ652" s="44"/>
      <c r="AK652" s="44"/>
      <c r="AL652" s="44"/>
      <c r="AM652" s="44"/>
      <c r="AN652" s="44"/>
      <c r="AO652" s="44"/>
      <c r="AP652" s="44"/>
      <c r="AQ652" s="44"/>
      <c r="AR652" s="44"/>
      <c r="AS652" s="44"/>
      <c r="AT652" s="41"/>
      <c r="AU652" s="41"/>
      <c r="AV652" s="45"/>
      <c r="AW652" s="44"/>
      <c r="AX652" s="45"/>
    </row>
    <row r="653">
      <c r="A653" s="60" t="s">
        <v>3486</v>
      </c>
      <c r="B653" s="61">
        <v>45919.22276927083</v>
      </c>
      <c r="C653" s="68" t="s">
        <v>3487</v>
      </c>
      <c r="D653" s="63" t="s">
        <v>3488</v>
      </c>
      <c r="E653" s="68" t="s">
        <v>3489</v>
      </c>
      <c r="F653" s="64" t="s">
        <v>3486</v>
      </c>
      <c r="G653" s="62">
        <v>29.0</v>
      </c>
      <c r="H653" s="62">
        <v>9.0</v>
      </c>
      <c r="I653" s="62">
        <v>9.0</v>
      </c>
      <c r="J653" s="62">
        <v>0.0</v>
      </c>
      <c r="K653" s="66"/>
      <c r="L653" s="66"/>
      <c r="M653" s="66"/>
      <c r="N653" s="62">
        <v>9.0</v>
      </c>
      <c r="O653" s="66"/>
      <c r="P653" s="66"/>
      <c r="Q653" s="66"/>
      <c r="R653" s="66"/>
      <c r="S653" s="66"/>
      <c r="T653" s="66"/>
      <c r="U653" s="66"/>
      <c r="V653" s="67" t="s">
        <v>3490</v>
      </c>
      <c r="W653" s="66"/>
      <c r="X653" s="66"/>
      <c r="Y653" s="66"/>
      <c r="Z653" s="68" t="s">
        <v>3491</v>
      </c>
      <c r="AA653" s="62">
        <v>1.0</v>
      </c>
      <c r="AB653" s="66"/>
      <c r="AC653" s="69"/>
      <c r="AD653" s="37"/>
      <c r="AE653" s="37"/>
      <c r="AF653" s="37"/>
      <c r="AG653" s="37"/>
      <c r="AH653" s="37"/>
      <c r="AI653" s="31"/>
      <c r="AJ653" s="31"/>
      <c r="AK653" s="31"/>
      <c r="AL653" s="31"/>
      <c r="AM653" s="31"/>
      <c r="AN653" s="31"/>
      <c r="AO653" s="31"/>
      <c r="AP653" s="31"/>
      <c r="AQ653" s="31"/>
      <c r="AR653" s="31"/>
      <c r="AS653" s="31"/>
      <c r="AT653" s="36"/>
      <c r="AU653" s="36"/>
      <c r="AV653" s="34"/>
      <c r="AW653" s="31"/>
      <c r="AX653" s="34"/>
    </row>
    <row r="654">
      <c r="A654" s="70" t="s">
        <v>3492</v>
      </c>
      <c r="B654" s="71">
        <v>45919.224526273145</v>
      </c>
      <c r="C654" s="72" t="s">
        <v>3493</v>
      </c>
      <c r="D654" s="73" t="s">
        <v>3494</v>
      </c>
      <c r="E654" s="72" t="s">
        <v>3495</v>
      </c>
      <c r="F654" s="74" t="s">
        <v>3492</v>
      </c>
      <c r="G654" s="76">
        <v>242.0</v>
      </c>
      <c r="H654" s="76">
        <v>8.0</v>
      </c>
      <c r="I654" s="76">
        <v>8.0</v>
      </c>
      <c r="J654" s="76">
        <v>1.0</v>
      </c>
      <c r="K654" s="77"/>
      <c r="L654" s="77"/>
      <c r="M654" s="77"/>
      <c r="N654" s="76">
        <v>8.0</v>
      </c>
      <c r="O654" s="77"/>
      <c r="P654" s="77"/>
      <c r="Q654" s="77"/>
      <c r="R654" s="77"/>
      <c r="S654" s="77"/>
      <c r="T654" s="77"/>
      <c r="U654" s="77"/>
      <c r="V654" s="78" t="s">
        <v>3496</v>
      </c>
      <c r="W654" s="72" t="s">
        <v>3497</v>
      </c>
      <c r="X654" s="77"/>
      <c r="Y654" s="77"/>
      <c r="Z654" s="72" t="s">
        <v>3498</v>
      </c>
      <c r="AA654" s="76">
        <v>1.0</v>
      </c>
      <c r="AB654" s="77"/>
      <c r="AC654" s="79"/>
      <c r="AD654" s="54"/>
      <c r="AE654" s="54"/>
      <c r="AF654" s="54"/>
      <c r="AG654" s="54"/>
      <c r="AH654" s="54"/>
      <c r="AI654" s="44"/>
      <c r="AJ654" s="44"/>
      <c r="AK654" s="44"/>
      <c r="AL654" s="44"/>
      <c r="AM654" s="44"/>
      <c r="AN654" s="44"/>
      <c r="AO654" s="44"/>
      <c r="AP654" s="44"/>
      <c r="AQ654" s="44"/>
      <c r="AR654" s="44"/>
      <c r="AS654" s="44"/>
      <c r="AT654" s="41"/>
      <c r="AU654" s="41"/>
      <c r="AV654" s="45"/>
      <c r="AW654" s="44"/>
      <c r="AX654" s="45"/>
    </row>
    <row r="655">
      <c r="A655" s="60" t="s">
        <v>3499</v>
      </c>
      <c r="B655" s="61">
        <v>45919.232124699076</v>
      </c>
      <c r="C655" s="62" t="s">
        <v>3500</v>
      </c>
      <c r="D655" s="68" t="s">
        <v>3501</v>
      </c>
      <c r="E655" s="62" t="s">
        <v>3502</v>
      </c>
      <c r="F655" s="64" t="s">
        <v>3499</v>
      </c>
      <c r="G655" s="62">
        <v>320.0</v>
      </c>
      <c r="H655" s="62">
        <v>9.0</v>
      </c>
      <c r="I655" s="62">
        <v>6.0</v>
      </c>
      <c r="J655" s="62" t="s">
        <v>3503</v>
      </c>
      <c r="K655" s="66"/>
      <c r="L655" s="66"/>
      <c r="M655" s="66"/>
      <c r="N655" s="62">
        <v>8.0</v>
      </c>
      <c r="O655" s="66"/>
      <c r="P655" s="66"/>
      <c r="Q655" s="66"/>
      <c r="R655" s="66"/>
      <c r="S655" s="66"/>
      <c r="T655" s="66"/>
      <c r="U655" s="66"/>
      <c r="V655" s="67" t="s">
        <v>3504</v>
      </c>
      <c r="W655" s="62" t="s">
        <v>2435</v>
      </c>
      <c r="X655" s="66"/>
      <c r="Y655" s="66"/>
      <c r="Z655" s="68" t="s">
        <v>3505</v>
      </c>
      <c r="AA655" s="62">
        <v>1.0</v>
      </c>
      <c r="AB655" s="66"/>
      <c r="AC655" s="69"/>
      <c r="AD655" s="37"/>
      <c r="AE655" s="37"/>
      <c r="AF655" s="37"/>
      <c r="AG655" s="37"/>
      <c r="AH655" s="37"/>
      <c r="AI655" s="31"/>
      <c r="AJ655" s="31"/>
      <c r="AK655" s="31"/>
      <c r="AL655" s="31"/>
      <c r="AM655" s="31"/>
      <c r="AN655" s="31"/>
      <c r="AO655" s="31"/>
      <c r="AP655" s="31"/>
      <c r="AQ655" s="31"/>
      <c r="AR655" s="31"/>
      <c r="AS655" s="31"/>
      <c r="AT655" s="36"/>
      <c r="AU655" s="36"/>
      <c r="AV655" s="34"/>
      <c r="AW655" s="31"/>
      <c r="AX655" s="34"/>
    </row>
    <row r="656">
      <c r="A656" s="72" t="s">
        <v>3506</v>
      </c>
      <c r="B656" s="71">
        <v>45919.240612546295</v>
      </c>
      <c r="C656" s="72" t="s">
        <v>3507</v>
      </c>
      <c r="D656" s="73" t="s">
        <v>3508</v>
      </c>
      <c r="E656" s="72" t="s">
        <v>3509</v>
      </c>
      <c r="F656" s="84" t="s">
        <v>3506</v>
      </c>
      <c r="G656" s="76">
        <v>267.0</v>
      </c>
      <c r="H656" s="76">
        <v>10.0</v>
      </c>
      <c r="I656" s="76">
        <v>10.0</v>
      </c>
      <c r="J656" s="76">
        <v>0.0</v>
      </c>
      <c r="K656" s="77"/>
      <c r="L656" s="77"/>
      <c r="M656" s="77"/>
      <c r="N656" s="76">
        <v>10.0</v>
      </c>
      <c r="O656" s="77"/>
      <c r="P656" s="77"/>
      <c r="Q656" s="77"/>
      <c r="R656" s="77"/>
      <c r="S656" s="77"/>
      <c r="T656" s="77"/>
      <c r="U656" s="77"/>
      <c r="V656" s="78" t="s">
        <v>3510</v>
      </c>
      <c r="W656" s="77"/>
      <c r="X656" s="77"/>
      <c r="Y656" s="77"/>
      <c r="Z656" s="72" t="s">
        <v>3511</v>
      </c>
      <c r="AA656" s="76">
        <v>1.0</v>
      </c>
      <c r="AB656" s="77"/>
      <c r="AC656" s="79"/>
      <c r="AD656" s="54"/>
      <c r="AE656" s="54"/>
      <c r="AF656" s="54"/>
      <c r="AG656" s="54"/>
      <c r="AH656" s="54"/>
      <c r="AI656" s="44"/>
      <c r="AJ656" s="44"/>
      <c r="AK656" s="44"/>
      <c r="AL656" s="44"/>
      <c r="AM656" s="44"/>
      <c r="AN656" s="44"/>
      <c r="AO656" s="44"/>
      <c r="AP656" s="44"/>
      <c r="AQ656" s="44"/>
      <c r="AR656" s="44"/>
      <c r="AS656" s="44"/>
      <c r="AT656" s="41"/>
      <c r="AU656" s="41"/>
      <c r="AV656" s="45"/>
      <c r="AW656" s="44"/>
      <c r="AX656" s="45"/>
    </row>
    <row r="657">
      <c r="A657" s="68" t="s">
        <v>3512</v>
      </c>
      <c r="B657" s="61">
        <v>45919.25056291667</v>
      </c>
      <c r="C657" s="68" t="s">
        <v>3513</v>
      </c>
      <c r="D657" s="63" t="s">
        <v>3514</v>
      </c>
      <c r="E657" s="68" t="s">
        <v>3515</v>
      </c>
      <c r="F657" s="176" t="s">
        <v>3512</v>
      </c>
      <c r="G657" s="62">
        <v>600.0</v>
      </c>
      <c r="H657" s="62">
        <v>6.0</v>
      </c>
      <c r="I657" s="62">
        <v>6.0</v>
      </c>
      <c r="J657" s="68" t="s">
        <v>197</v>
      </c>
      <c r="K657" s="66"/>
      <c r="L657" s="66"/>
      <c r="M657" s="66"/>
      <c r="N657" s="62">
        <v>7.0</v>
      </c>
      <c r="O657" s="66"/>
      <c r="P657" s="66"/>
      <c r="Q657" s="66"/>
      <c r="R657" s="66"/>
      <c r="S657" s="66"/>
      <c r="T657" s="66"/>
      <c r="U657" s="66"/>
      <c r="V657" s="67" t="s">
        <v>3516</v>
      </c>
      <c r="W657" s="66"/>
      <c r="X657" s="66"/>
      <c r="Y657" s="66"/>
      <c r="Z657" s="68" t="s">
        <v>3517</v>
      </c>
      <c r="AA657" s="62">
        <v>1.0</v>
      </c>
      <c r="AB657" s="66"/>
      <c r="AC657" s="69"/>
      <c r="AD657" s="37"/>
      <c r="AE657" s="37"/>
      <c r="AF657" s="37"/>
      <c r="AG657" s="37"/>
      <c r="AH657" s="37"/>
      <c r="AI657" s="31"/>
      <c r="AJ657" s="31"/>
      <c r="AK657" s="31"/>
      <c r="AL657" s="31"/>
      <c r="AM657" s="31"/>
      <c r="AN657" s="31"/>
      <c r="AO657" s="31"/>
      <c r="AP657" s="31"/>
      <c r="AQ657" s="31"/>
      <c r="AR657" s="31"/>
      <c r="AS657" s="31"/>
      <c r="AT657" s="36"/>
      <c r="AU657" s="36"/>
      <c r="AV657" s="34"/>
      <c r="AW657" s="31"/>
      <c r="AX657" s="34"/>
    </row>
    <row r="658">
      <c r="A658" s="70" t="s">
        <v>3518</v>
      </c>
      <c r="B658" s="71">
        <v>45919.25292092592</v>
      </c>
      <c r="C658" s="72" t="s">
        <v>3519</v>
      </c>
      <c r="D658" s="73" t="s">
        <v>3520</v>
      </c>
      <c r="E658" s="72" t="s">
        <v>3521</v>
      </c>
      <c r="F658" s="74" t="s">
        <v>3518</v>
      </c>
      <c r="G658" s="76">
        <v>820.0</v>
      </c>
      <c r="H658" s="76">
        <v>8.0</v>
      </c>
      <c r="I658" s="76">
        <v>8.0</v>
      </c>
      <c r="J658" s="76">
        <v>1.0</v>
      </c>
      <c r="K658" s="77"/>
      <c r="L658" s="77"/>
      <c r="M658" s="77"/>
      <c r="N658" s="76">
        <v>9.0</v>
      </c>
      <c r="O658" s="77"/>
      <c r="P658" s="77"/>
      <c r="Q658" s="77"/>
      <c r="R658" s="77"/>
      <c r="S658" s="77"/>
      <c r="T658" s="77"/>
      <c r="U658" s="77"/>
      <c r="V658" s="78" t="s">
        <v>3522</v>
      </c>
      <c r="W658" s="77"/>
      <c r="X658" s="77"/>
      <c r="Y658" s="77"/>
      <c r="Z658" s="72" t="s">
        <v>3523</v>
      </c>
      <c r="AA658" s="76">
        <v>1.0</v>
      </c>
      <c r="AB658" s="77"/>
      <c r="AC658" s="79"/>
      <c r="AD658" s="54"/>
      <c r="AE658" s="54"/>
      <c r="AF658" s="54"/>
      <c r="AG658" s="54"/>
      <c r="AH658" s="54"/>
      <c r="AI658" s="44"/>
      <c r="AJ658" s="44"/>
      <c r="AK658" s="44"/>
      <c r="AL658" s="44"/>
      <c r="AM658" s="44"/>
      <c r="AN658" s="44"/>
      <c r="AO658" s="44"/>
      <c r="AP658" s="44"/>
      <c r="AQ658" s="44"/>
      <c r="AR658" s="44"/>
      <c r="AS658" s="44"/>
      <c r="AT658" s="41"/>
      <c r="AU658" s="41"/>
      <c r="AV658" s="45"/>
      <c r="AW658" s="44"/>
      <c r="AX658" s="45"/>
    </row>
    <row r="659">
      <c r="A659" s="60" t="s">
        <v>3524</v>
      </c>
      <c r="B659" s="61">
        <v>45919.253400625</v>
      </c>
      <c r="C659" s="68" t="s">
        <v>3525</v>
      </c>
      <c r="D659" s="63" t="s">
        <v>3526</v>
      </c>
      <c r="E659" s="68" t="s">
        <v>3527</v>
      </c>
      <c r="F659" s="64" t="s">
        <v>3524</v>
      </c>
      <c r="G659" s="62">
        <v>1300.0</v>
      </c>
      <c r="H659" s="62">
        <v>9.0</v>
      </c>
      <c r="I659" s="62">
        <v>7.0</v>
      </c>
      <c r="J659" s="68" t="s">
        <v>3528</v>
      </c>
      <c r="K659" s="66"/>
      <c r="L659" s="66"/>
      <c r="M659" s="66"/>
      <c r="N659" s="62">
        <v>9.0</v>
      </c>
      <c r="O659" s="66"/>
      <c r="P659" s="66"/>
      <c r="Q659" s="66"/>
      <c r="R659" s="66"/>
      <c r="S659" s="66"/>
      <c r="T659" s="66"/>
      <c r="U659" s="66"/>
      <c r="V659" s="67" t="s">
        <v>3529</v>
      </c>
      <c r="W659" s="66"/>
      <c r="X659" s="66"/>
      <c r="Y659" s="66"/>
      <c r="Z659" s="68" t="s">
        <v>3530</v>
      </c>
      <c r="AA659" s="62">
        <v>1.0</v>
      </c>
      <c r="AB659" s="66"/>
      <c r="AC659" s="69"/>
      <c r="AD659" s="37"/>
      <c r="AE659" s="37"/>
      <c r="AF659" s="37"/>
      <c r="AG659" s="37"/>
      <c r="AH659" s="37"/>
      <c r="AI659" s="31"/>
      <c r="AJ659" s="31"/>
      <c r="AK659" s="31"/>
      <c r="AL659" s="31"/>
      <c r="AM659" s="31"/>
      <c r="AN659" s="31"/>
      <c r="AO659" s="31"/>
      <c r="AP659" s="31"/>
      <c r="AQ659" s="31"/>
      <c r="AR659" s="31"/>
      <c r="AS659" s="31"/>
      <c r="AT659" s="36"/>
      <c r="AU659" s="36"/>
      <c r="AV659" s="34"/>
      <c r="AW659" s="31"/>
      <c r="AX659" s="34"/>
    </row>
    <row r="660">
      <c r="A660" s="70" t="s">
        <v>3531</v>
      </c>
      <c r="B660" s="71">
        <v>45919.25600969908</v>
      </c>
      <c r="C660" s="72" t="s">
        <v>3532</v>
      </c>
      <c r="D660" s="73" t="s">
        <v>3533</v>
      </c>
      <c r="E660" s="72" t="s">
        <v>3534</v>
      </c>
      <c r="F660" s="74" t="s">
        <v>3531</v>
      </c>
      <c r="G660" s="76">
        <v>90.0</v>
      </c>
      <c r="H660" s="76">
        <v>7.0</v>
      </c>
      <c r="I660" s="76">
        <v>8.0</v>
      </c>
      <c r="J660" s="76">
        <v>0.0</v>
      </c>
      <c r="K660" s="77"/>
      <c r="L660" s="77"/>
      <c r="M660" s="77"/>
      <c r="N660" s="76">
        <v>9.0</v>
      </c>
      <c r="O660" s="77"/>
      <c r="P660" s="77"/>
      <c r="Q660" s="77"/>
      <c r="R660" s="77"/>
      <c r="S660" s="77"/>
      <c r="T660" s="77"/>
      <c r="U660" s="77"/>
      <c r="V660" s="78" t="s">
        <v>3535</v>
      </c>
      <c r="W660" s="77"/>
      <c r="X660" s="77"/>
      <c r="Y660" s="77"/>
      <c r="Z660" s="72" t="s">
        <v>3536</v>
      </c>
      <c r="AA660" s="76">
        <v>1.0</v>
      </c>
      <c r="AB660" s="77"/>
      <c r="AC660" s="79"/>
      <c r="AD660" s="54"/>
      <c r="AE660" s="54"/>
      <c r="AF660" s="54"/>
      <c r="AG660" s="54"/>
      <c r="AH660" s="54"/>
      <c r="AI660" s="44"/>
      <c r="AJ660" s="44"/>
      <c r="AK660" s="44"/>
      <c r="AL660" s="44"/>
      <c r="AM660" s="44"/>
      <c r="AN660" s="44"/>
      <c r="AO660" s="44"/>
      <c r="AP660" s="44"/>
      <c r="AQ660" s="44"/>
      <c r="AR660" s="44"/>
      <c r="AS660" s="44"/>
      <c r="AT660" s="41"/>
      <c r="AU660" s="41"/>
      <c r="AV660" s="45"/>
      <c r="AW660" s="44"/>
      <c r="AX660" s="45"/>
    </row>
    <row r="661">
      <c r="A661" s="68" t="s">
        <v>3537</v>
      </c>
      <c r="B661" s="61">
        <v>45919.26875765046</v>
      </c>
      <c r="C661" s="68" t="s">
        <v>3538</v>
      </c>
      <c r="D661" s="63" t="s">
        <v>3539</v>
      </c>
      <c r="E661" s="68" t="s">
        <v>3540</v>
      </c>
      <c r="F661" s="176" t="s">
        <v>3537</v>
      </c>
      <c r="G661" s="62">
        <v>550.0</v>
      </c>
      <c r="H661" s="62">
        <v>8.0</v>
      </c>
      <c r="I661" s="62">
        <v>8.0</v>
      </c>
      <c r="J661" s="62">
        <v>1.0</v>
      </c>
      <c r="K661" s="66"/>
      <c r="L661" s="66"/>
      <c r="M661" s="66"/>
      <c r="N661" s="62">
        <v>9.0</v>
      </c>
      <c r="O661" s="66"/>
      <c r="P661" s="66"/>
      <c r="Q661" s="66"/>
      <c r="R661" s="66"/>
      <c r="S661" s="66"/>
      <c r="T661" s="66"/>
      <c r="U661" s="66"/>
      <c r="V661" s="67" t="s">
        <v>3541</v>
      </c>
      <c r="W661" s="66"/>
      <c r="X661" s="66"/>
      <c r="Y661" s="66"/>
      <c r="Z661" s="68" t="s">
        <v>3542</v>
      </c>
      <c r="AA661" s="62">
        <v>1.0</v>
      </c>
      <c r="AB661" s="66"/>
      <c r="AC661" s="69"/>
      <c r="AD661" s="37"/>
      <c r="AE661" s="37"/>
      <c r="AF661" s="37"/>
      <c r="AG661" s="37"/>
      <c r="AH661" s="37"/>
      <c r="AI661" s="31"/>
      <c r="AJ661" s="31"/>
      <c r="AK661" s="31"/>
      <c r="AL661" s="31"/>
      <c r="AM661" s="31"/>
      <c r="AN661" s="31"/>
      <c r="AO661" s="31"/>
      <c r="AP661" s="31"/>
      <c r="AQ661" s="31"/>
      <c r="AR661" s="31"/>
      <c r="AS661" s="31"/>
      <c r="AT661" s="36"/>
      <c r="AU661" s="36"/>
      <c r="AV661" s="34"/>
      <c r="AW661" s="31"/>
      <c r="AX661" s="34"/>
    </row>
    <row r="662">
      <c r="A662" s="70" t="s">
        <v>3543</v>
      </c>
      <c r="B662" s="71">
        <v>45919.282919097226</v>
      </c>
      <c r="C662" s="72" t="s">
        <v>3544</v>
      </c>
      <c r="D662" s="73" t="s">
        <v>3545</v>
      </c>
      <c r="E662" s="72" t="s">
        <v>3546</v>
      </c>
      <c r="F662" s="74" t="s">
        <v>3543</v>
      </c>
      <c r="G662" s="76">
        <v>1300.0</v>
      </c>
      <c r="H662" s="76">
        <v>9.0</v>
      </c>
      <c r="I662" s="76">
        <v>9.0</v>
      </c>
      <c r="J662" s="76">
        <v>0.0</v>
      </c>
      <c r="K662" s="77"/>
      <c r="L662" s="77"/>
      <c r="M662" s="77"/>
      <c r="N662" s="76">
        <v>9.0</v>
      </c>
      <c r="O662" s="77"/>
      <c r="P662" s="77"/>
      <c r="Q662" s="77"/>
      <c r="R662" s="77"/>
      <c r="S662" s="77"/>
      <c r="T662" s="77"/>
      <c r="U662" s="77"/>
      <c r="V662" s="78" t="s">
        <v>3547</v>
      </c>
      <c r="W662" s="72" t="s">
        <v>197</v>
      </c>
      <c r="X662" s="77"/>
      <c r="Y662" s="77"/>
      <c r="Z662" s="72" t="s">
        <v>3548</v>
      </c>
      <c r="AA662" s="72" t="s">
        <v>4</v>
      </c>
      <c r="AB662" s="77"/>
      <c r="AC662" s="79"/>
      <c r="AD662" s="54"/>
      <c r="AE662" s="54"/>
      <c r="AF662" s="54"/>
      <c r="AG662" s="54"/>
      <c r="AH662" s="54"/>
      <c r="AI662" s="44"/>
      <c r="AJ662" s="44"/>
      <c r="AK662" s="44"/>
      <c r="AL662" s="44"/>
      <c r="AM662" s="44"/>
      <c r="AN662" s="44"/>
      <c r="AO662" s="44"/>
      <c r="AP662" s="44"/>
      <c r="AQ662" s="44"/>
      <c r="AR662" s="44"/>
      <c r="AS662" s="44"/>
      <c r="AT662" s="41"/>
      <c r="AU662" s="41"/>
      <c r="AV662" s="45"/>
      <c r="AW662" s="44"/>
      <c r="AX662" s="45"/>
    </row>
    <row r="663">
      <c r="A663" s="60" t="s">
        <v>3549</v>
      </c>
      <c r="B663" s="61">
        <v>45919.28531320602</v>
      </c>
      <c r="C663" s="68" t="s">
        <v>3550</v>
      </c>
      <c r="D663" s="63" t="s">
        <v>3551</v>
      </c>
      <c r="E663" s="68" t="s">
        <v>3552</v>
      </c>
      <c r="F663" s="64" t="s">
        <v>3549</v>
      </c>
      <c r="G663" s="62">
        <v>300.0</v>
      </c>
      <c r="H663" s="62">
        <v>10.0</v>
      </c>
      <c r="I663" s="62">
        <v>10.0</v>
      </c>
      <c r="J663" s="68" t="s">
        <v>583</v>
      </c>
      <c r="K663" s="66"/>
      <c r="L663" s="66"/>
      <c r="M663" s="66"/>
      <c r="N663" s="62">
        <v>10.0</v>
      </c>
      <c r="O663" s="66"/>
      <c r="P663" s="66"/>
      <c r="Q663" s="66"/>
      <c r="R663" s="66"/>
      <c r="S663" s="66"/>
      <c r="T663" s="66"/>
      <c r="U663" s="66"/>
      <c r="V663" s="67" t="s">
        <v>3553</v>
      </c>
      <c r="W663" s="68" t="s">
        <v>583</v>
      </c>
      <c r="X663" s="66"/>
      <c r="Y663" s="66"/>
      <c r="Z663" s="68" t="s">
        <v>3554</v>
      </c>
      <c r="AA663" s="62">
        <v>1.0</v>
      </c>
      <c r="AB663" s="66"/>
      <c r="AC663" s="69"/>
      <c r="AD663" s="37"/>
      <c r="AE663" s="37"/>
      <c r="AF663" s="37"/>
      <c r="AG663" s="37"/>
      <c r="AH663" s="37"/>
      <c r="AI663" s="31"/>
      <c r="AJ663" s="31"/>
      <c r="AK663" s="31"/>
      <c r="AL663" s="31"/>
      <c r="AM663" s="31"/>
      <c r="AN663" s="31"/>
      <c r="AO663" s="31"/>
      <c r="AP663" s="31"/>
      <c r="AQ663" s="31"/>
      <c r="AR663" s="31"/>
      <c r="AS663" s="31"/>
      <c r="AT663" s="36"/>
      <c r="AU663" s="36"/>
      <c r="AV663" s="34"/>
      <c r="AW663" s="31"/>
      <c r="AX663" s="34"/>
    </row>
    <row r="664">
      <c r="A664" s="70" t="s">
        <v>3555</v>
      </c>
      <c r="B664" s="71">
        <v>45919.29692209491</v>
      </c>
      <c r="C664" s="72" t="s">
        <v>3556</v>
      </c>
      <c r="D664" s="73" t="s">
        <v>3557</v>
      </c>
      <c r="E664" s="72" t="s">
        <v>3558</v>
      </c>
      <c r="F664" s="74" t="s">
        <v>3555</v>
      </c>
      <c r="G664" s="76">
        <v>3500.0</v>
      </c>
      <c r="H664" s="76">
        <v>10.0</v>
      </c>
      <c r="I664" s="76">
        <v>7.0</v>
      </c>
      <c r="J664" s="76">
        <v>0.0</v>
      </c>
      <c r="K664" s="77"/>
      <c r="L664" s="77"/>
      <c r="M664" s="77"/>
      <c r="N664" s="76">
        <v>10.0</v>
      </c>
      <c r="O664" s="77"/>
      <c r="P664" s="77"/>
      <c r="Q664" s="77"/>
      <c r="R664" s="77"/>
      <c r="S664" s="77"/>
      <c r="T664" s="77"/>
      <c r="U664" s="77"/>
      <c r="V664" s="78" t="s">
        <v>3559</v>
      </c>
      <c r="W664" s="72" t="s">
        <v>197</v>
      </c>
      <c r="X664" s="77"/>
      <c r="Y664" s="77"/>
      <c r="Z664" s="72" t="s">
        <v>3560</v>
      </c>
      <c r="AA664" s="76">
        <v>1.0</v>
      </c>
      <c r="AB664" s="77"/>
      <c r="AC664" s="79"/>
      <c r="AD664" s="54"/>
      <c r="AE664" s="54"/>
      <c r="AF664" s="54"/>
      <c r="AG664" s="54"/>
      <c r="AH664" s="54"/>
      <c r="AI664" s="44"/>
      <c r="AJ664" s="44"/>
      <c r="AK664" s="44"/>
      <c r="AL664" s="44"/>
      <c r="AM664" s="44"/>
      <c r="AN664" s="44"/>
      <c r="AO664" s="44"/>
      <c r="AP664" s="44"/>
      <c r="AQ664" s="44"/>
      <c r="AR664" s="44"/>
      <c r="AS664" s="44"/>
      <c r="AT664" s="41"/>
      <c r="AU664" s="41"/>
      <c r="AV664" s="45"/>
      <c r="AW664" s="44"/>
      <c r="AX664" s="45"/>
    </row>
    <row r="665">
      <c r="A665" s="60" t="s">
        <v>3561</v>
      </c>
      <c r="B665" s="61">
        <v>45919.30527293982</v>
      </c>
      <c r="C665" s="68" t="s">
        <v>3562</v>
      </c>
      <c r="D665" s="63" t="s">
        <v>3563</v>
      </c>
      <c r="E665" s="68" t="s">
        <v>3564</v>
      </c>
      <c r="F665" s="64" t="s">
        <v>3561</v>
      </c>
      <c r="G665" s="62">
        <v>168.0</v>
      </c>
      <c r="H665" s="62">
        <v>3.0</v>
      </c>
      <c r="I665" s="62">
        <v>3.0</v>
      </c>
      <c r="J665" s="62">
        <v>4.0</v>
      </c>
      <c r="K665" s="66"/>
      <c r="L665" s="66"/>
      <c r="M665" s="66"/>
      <c r="N665" s="62">
        <v>7.0</v>
      </c>
      <c r="O665" s="66"/>
      <c r="P665" s="66"/>
      <c r="Q665" s="66"/>
      <c r="R665" s="66"/>
      <c r="S665" s="66"/>
      <c r="T665" s="66"/>
      <c r="U665" s="66"/>
      <c r="V665" s="67" t="s">
        <v>3565</v>
      </c>
      <c r="W665" s="66"/>
      <c r="X665" s="66"/>
      <c r="Y665" s="66"/>
      <c r="Z665" s="68" t="s">
        <v>3566</v>
      </c>
      <c r="AA665" s="62">
        <v>1.0</v>
      </c>
      <c r="AB665" s="66"/>
      <c r="AC665" s="69"/>
      <c r="AD665" s="37"/>
      <c r="AE665" s="37"/>
      <c r="AF665" s="37"/>
      <c r="AG665" s="37"/>
      <c r="AH665" s="37"/>
      <c r="AI665" s="31"/>
      <c r="AJ665" s="31"/>
      <c r="AK665" s="31"/>
      <c r="AL665" s="31"/>
      <c r="AM665" s="31"/>
      <c r="AN665" s="31"/>
      <c r="AO665" s="31"/>
      <c r="AP665" s="31"/>
      <c r="AQ665" s="31"/>
      <c r="AR665" s="31"/>
      <c r="AS665" s="31"/>
      <c r="AT665" s="36"/>
      <c r="AU665" s="36"/>
      <c r="AV665" s="34"/>
      <c r="AW665" s="31"/>
      <c r="AX665" s="34"/>
    </row>
    <row r="666">
      <c r="A666" s="70" t="s">
        <v>3567</v>
      </c>
      <c r="B666" s="71">
        <v>45919.30543864583</v>
      </c>
      <c r="C666" s="72" t="s">
        <v>3568</v>
      </c>
      <c r="D666" s="72" t="s">
        <v>3569</v>
      </c>
      <c r="E666" s="72" t="s">
        <v>3570</v>
      </c>
      <c r="F666" s="74" t="s">
        <v>3567</v>
      </c>
      <c r="G666" s="76">
        <v>178.0</v>
      </c>
      <c r="H666" s="76">
        <v>3.0</v>
      </c>
      <c r="I666" s="76">
        <v>3.0</v>
      </c>
      <c r="J666" s="76">
        <v>4.0</v>
      </c>
      <c r="K666" s="77"/>
      <c r="L666" s="77"/>
      <c r="M666" s="77"/>
      <c r="N666" s="76">
        <v>10.0</v>
      </c>
      <c r="O666" s="77"/>
      <c r="P666" s="77"/>
      <c r="Q666" s="77"/>
      <c r="R666" s="77"/>
      <c r="S666" s="77"/>
      <c r="T666" s="77"/>
      <c r="U666" s="77"/>
      <c r="V666" s="78" t="s">
        <v>3571</v>
      </c>
      <c r="W666" s="77"/>
      <c r="X666" s="77"/>
      <c r="Y666" s="77"/>
      <c r="Z666" s="72" t="s">
        <v>3572</v>
      </c>
      <c r="AA666" s="76">
        <v>1.0</v>
      </c>
      <c r="AB666" s="77"/>
      <c r="AC666" s="79"/>
      <c r="AD666" s="54"/>
      <c r="AE666" s="54"/>
      <c r="AF666" s="54"/>
      <c r="AG666" s="54"/>
      <c r="AH666" s="54"/>
      <c r="AI666" s="44"/>
      <c r="AJ666" s="44"/>
      <c r="AK666" s="44"/>
      <c r="AL666" s="44"/>
      <c r="AM666" s="44"/>
      <c r="AN666" s="44"/>
      <c r="AO666" s="44"/>
      <c r="AP666" s="44"/>
      <c r="AQ666" s="44"/>
      <c r="AR666" s="44"/>
      <c r="AS666" s="44"/>
      <c r="AT666" s="41"/>
      <c r="AU666" s="41"/>
      <c r="AV666" s="45"/>
      <c r="AW666" s="44"/>
      <c r="AX666" s="45"/>
    </row>
    <row r="667">
      <c r="A667" s="68" t="s">
        <v>3573</v>
      </c>
      <c r="B667" s="61">
        <v>45919.31237119213</v>
      </c>
      <c r="C667" s="68" t="s">
        <v>3574</v>
      </c>
      <c r="D667" s="63" t="s">
        <v>3575</v>
      </c>
      <c r="E667" s="68" t="s">
        <v>3576</v>
      </c>
      <c r="F667" s="176" t="s">
        <v>3573</v>
      </c>
      <c r="G667" s="62">
        <v>1500.0</v>
      </c>
      <c r="H667" s="62">
        <v>10.0</v>
      </c>
      <c r="I667" s="62">
        <v>9.0</v>
      </c>
      <c r="J667" s="62">
        <v>0.0</v>
      </c>
      <c r="K667" s="66"/>
      <c r="L667" s="66"/>
      <c r="M667" s="66"/>
      <c r="N667" s="62">
        <v>10.0</v>
      </c>
      <c r="O667" s="66"/>
      <c r="P667" s="66"/>
      <c r="Q667" s="66"/>
      <c r="R667" s="66"/>
      <c r="S667" s="66"/>
      <c r="T667" s="66"/>
      <c r="U667" s="66"/>
      <c r="V667" s="67" t="s">
        <v>3577</v>
      </c>
      <c r="W667" s="66"/>
      <c r="X667" s="66"/>
      <c r="Y667" s="66"/>
      <c r="Z667" s="68" t="s">
        <v>3578</v>
      </c>
      <c r="AA667" s="62">
        <v>1.0</v>
      </c>
      <c r="AB667" s="66"/>
      <c r="AC667" s="69"/>
      <c r="AD667" s="37"/>
      <c r="AE667" s="37"/>
      <c r="AF667" s="37"/>
      <c r="AG667" s="37"/>
      <c r="AH667" s="37"/>
      <c r="AI667" s="31"/>
      <c r="AJ667" s="31"/>
      <c r="AK667" s="31"/>
      <c r="AL667" s="31"/>
      <c r="AM667" s="31"/>
      <c r="AN667" s="31"/>
      <c r="AO667" s="31"/>
      <c r="AP667" s="31"/>
      <c r="AQ667" s="31"/>
      <c r="AR667" s="31"/>
      <c r="AS667" s="31"/>
      <c r="AT667" s="36"/>
      <c r="AU667" s="36"/>
      <c r="AV667" s="34"/>
      <c r="AW667" s="31"/>
      <c r="AX667" s="34"/>
    </row>
    <row r="668">
      <c r="A668" s="70" t="s">
        <v>3579</v>
      </c>
      <c r="B668" s="71">
        <v>45919.32261496528</v>
      </c>
      <c r="C668" s="72" t="s">
        <v>3580</v>
      </c>
      <c r="D668" s="73" t="s">
        <v>3581</v>
      </c>
      <c r="E668" s="72" t="s">
        <v>3582</v>
      </c>
      <c r="F668" s="74" t="s">
        <v>3579</v>
      </c>
      <c r="G668" s="76">
        <v>380.0</v>
      </c>
      <c r="H668" s="76">
        <v>6.0</v>
      </c>
      <c r="I668" s="76">
        <v>5.0</v>
      </c>
      <c r="J668" s="72" t="s">
        <v>401</v>
      </c>
      <c r="K668" s="77"/>
      <c r="L668" s="77"/>
      <c r="M668" s="77"/>
      <c r="N668" s="76">
        <v>8.0</v>
      </c>
      <c r="O668" s="77"/>
      <c r="P668" s="77"/>
      <c r="Q668" s="77"/>
      <c r="R668" s="77"/>
      <c r="S668" s="77"/>
      <c r="T668" s="77"/>
      <c r="U668" s="77"/>
      <c r="V668" s="78" t="s">
        <v>3583</v>
      </c>
      <c r="W668" s="72" t="s">
        <v>197</v>
      </c>
      <c r="X668" s="77"/>
      <c r="Y668" s="77"/>
      <c r="Z668" s="72" t="s">
        <v>3584</v>
      </c>
      <c r="AA668" s="76">
        <v>1.0</v>
      </c>
      <c r="AB668" s="77"/>
      <c r="AC668" s="79"/>
      <c r="AD668" s="54"/>
      <c r="AE668" s="54"/>
      <c r="AF668" s="54"/>
      <c r="AG668" s="54"/>
      <c r="AH668" s="54"/>
      <c r="AI668" s="44"/>
      <c r="AJ668" s="44"/>
      <c r="AK668" s="44"/>
      <c r="AL668" s="44"/>
      <c r="AM668" s="44"/>
      <c r="AN668" s="44"/>
      <c r="AO668" s="44"/>
      <c r="AP668" s="44"/>
      <c r="AQ668" s="44"/>
      <c r="AR668" s="44"/>
      <c r="AS668" s="44"/>
      <c r="AT668" s="41"/>
      <c r="AU668" s="41"/>
      <c r="AV668" s="45"/>
      <c r="AW668" s="44"/>
      <c r="AX668" s="45"/>
    </row>
    <row r="669">
      <c r="A669" s="60" t="s">
        <v>3585</v>
      </c>
      <c r="B669" s="61">
        <v>45919.335415231486</v>
      </c>
      <c r="C669" s="68" t="s">
        <v>3586</v>
      </c>
      <c r="D669" s="63" t="s">
        <v>3587</v>
      </c>
      <c r="E669" s="68" t="s">
        <v>3588</v>
      </c>
      <c r="F669" s="64" t="s">
        <v>3585</v>
      </c>
      <c r="G669" s="62">
        <v>3000.0</v>
      </c>
      <c r="H669" s="62">
        <v>9.0</v>
      </c>
      <c r="I669" s="62">
        <v>9.0</v>
      </c>
      <c r="J669" s="62">
        <v>1.0</v>
      </c>
      <c r="K669" s="66"/>
      <c r="L669" s="66"/>
      <c r="M669" s="66"/>
      <c r="N669" s="62">
        <v>9.0</v>
      </c>
      <c r="O669" s="66"/>
      <c r="P669" s="66"/>
      <c r="Q669" s="66"/>
      <c r="R669" s="66"/>
      <c r="S669" s="66"/>
      <c r="T669" s="66"/>
      <c r="U669" s="66"/>
      <c r="V669" s="67" t="s">
        <v>3589</v>
      </c>
      <c r="W669" s="66"/>
      <c r="X669" s="66"/>
      <c r="Y669" s="66"/>
      <c r="Z669" s="68" t="s">
        <v>3590</v>
      </c>
      <c r="AA669" s="62">
        <v>1.0</v>
      </c>
      <c r="AB669" s="66"/>
      <c r="AC669" s="69"/>
      <c r="AD669" s="37"/>
      <c r="AE669" s="37"/>
      <c r="AF669" s="37"/>
      <c r="AG669" s="37"/>
      <c r="AH669" s="37"/>
      <c r="AI669" s="31"/>
      <c r="AJ669" s="31"/>
      <c r="AK669" s="31"/>
      <c r="AL669" s="31"/>
      <c r="AM669" s="31"/>
      <c r="AN669" s="31"/>
      <c r="AO669" s="31"/>
      <c r="AP669" s="31"/>
      <c r="AQ669" s="31"/>
      <c r="AR669" s="31"/>
      <c r="AS669" s="31"/>
      <c r="AT669" s="36"/>
      <c r="AU669" s="36"/>
      <c r="AV669" s="34"/>
      <c r="AW669" s="31"/>
      <c r="AX669" s="34"/>
    </row>
    <row r="670">
      <c r="A670" s="70" t="s">
        <v>3591</v>
      </c>
      <c r="B670" s="71">
        <v>45919.35759681713</v>
      </c>
      <c r="C670" s="72" t="s">
        <v>3592</v>
      </c>
      <c r="D670" s="73" t="s">
        <v>3593</v>
      </c>
      <c r="E670" s="72" t="s">
        <v>3594</v>
      </c>
      <c r="F670" s="74" t="s">
        <v>3591</v>
      </c>
      <c r="G670" s="76">
        <v>550.0</v>
      </c>
      <c r="H670" s="76">
        <v>2.0</v>
      </c>
      <c r="I670" s="76">
        <v>2.0</v>
      </c>
      <c r="J670" s="76">
        <v>2.0</v>
      </c>
      <c r="K670" s="77"/>
      <c r="L670" s="77"/>
      <c r="M670" s="77"/>
      <c r="N670" s="76">
        <v>10.0</v>
      </c>
      <c r="O670" s="77"/>
      <c r="P670" s="77"/>
      <c r="Q670" s="77"/>
      <c r="R670" s="77"/>
      <c r="S670" s="77"/>
      <c r="T670" s="77"/>
      <c r="U670" s="77"/>
      <c r="V670" s="78" t="s">
        <v>3595</v>
      </c>
      <c r="W670" s="72" t="s">
        <v>197</v>
      </c>
      <c r="X670" s="77"/>
      <c r="Y670" s="77"/>
      <c r="Z670" s="72" t="s">
        <v>3596</v>
      </c>
      <c r="AA670" s="76">
        <v>1.0</v>
      </c>
      <c r="AB670" s="77"/>
      <c r="AC670" s="79"/>
      <c r="AD670" s="54"/>
      <c r="AE670" s="54"/>
      <c r="AF670" s="54"/>
      <c r="AG670" s="54"/>
      <c r="AH670" s="54"/>
      <c r="AI670" s="44"/>
      <c r="AJ670" s="44"/>
      <c r="AK670" s="44"/>
      <c r="AL670" s="44"/>
      <c r="AM670" s="44"/>
      <c r="AN670" s="44"/>
      <c r="AO670" s="44"/>
      <c r="AP670" s="44"/>
      <c r="AQ670" s="44"/>
      <c r="AR670" s="44"/>
      <c r="AS670" s="44"/>
      <c r="AT670" s="41"/>
      <c r="AU670" s="41"/>
      <c r="AV670" s="45"/>
      <c r="AW670" s="44"/>
      <c r="AX670" s="45"/>
    </row>
    <row r="671">
      <c r="A671" s="60" t="s">
        <v>3597</v>
      </c>
      <c r="B671" s="61">
        <v>45919.40997443287</v>
      </c>
      <c r="C671" s="68" t="s">
        <v>3598</v>
      </c>
      <c r="D671" s="63" t="s">
        <v>3599</v>
      </c>
      <c r="E671" s="68" t="s">
        <v>3600</v>
      </c>
      <c r="F671" s="64" t="s">
        <v>3597</v>
      </c>
      <c r="G671" s="62">
        <v>860.0</v>
      </c>
      <c r="H671" s="62">
        <v>8.0</v>
      </c>
      <c r="I671" s="62">
        <v>9.0</v>
      </c>
      <c r="J671" s="62">
        <v>0.0</v>
      </c>
      <c r="K671" s="66"/>
      <c r="L671" s="66"/>
      <c r="M671" s="66"/>
      <c r="N671" s="62">
        <v>7.0</v>
      </c>
      <c r="O671" s="66"/>
      <c r="P671" s="66"/>
      <c r="Q671" s="66"/>
      <c r="R671" s="66"/>
      <c r="S671" s="66"/>
      <c r="T671" s="66"/>
      <c r="U671" s="66"/>
      <c r="V671" s="67" t="s">
        <v>3601</v>
      </c>
      <c r="W671" s="66"/>
      <c r="X671" s="66"/>
      <c r="Y671" s="66"/>
      <c r="Z671" s="68" t="s">
        <v>3602</v>
      </c>
      <c r="AA671" s="62">
        <v>1.0</v>
      </c>
      <c r="AB671" s="66"/>
      <c r="AC671" s="69"/>
      <c r="AD671" s="37"/>
      <c r="AE671" s="37"/>
      <c r="AF671" s="37"/>
      <c r="AG671" s="37"/>
      <c r="AH671" s="37"/>
      <c r="AI671" s="31"/>
      <c r="AJ671" s="31"/>
      <c r="AK671" s="31"/>
      <c r="AL671" s="31"/>
      <c r="AM671" s="31"/>
      <c r="AN671" s="31"/>
      <c r="AO671" s="31"/>
      <c r="AP671" s="31"/>
      <c r="AQ671" s="31"/>
      <c r="AR671" s="31"/>
      <c r="AS671" s="31"/>
      <c r="AT671" s="36"/>
      <c r="AU671" s="36"/>
      <c r="AV671" s="34"/>
      <c r="AW671" s="31"/>
      <c r="AX671" s="34"/>
    </row>
    <row r="672">
      <c r="A672" s="70" t="s">
        <v>3603</v>
      </c>
      <c r="B672" s="71">
        <v>45919.420779340275</v>
      </c>
      <c r="C672" s="72" t="s">
        <v>3604</v>
      </c>
      <c r="D672" s="73" t="s">
        <v>3605</v>
      </c>
      <c r="E672" s="72" t="s">
        <v>3606</v>
      </c>
      <c r="F672" s="74" t="s">
        <v>3603</v>
      </c>
      <c r="G672" s="76">
        <v>200.0</v>
      </c>
      <c r="H672" s="76">
        <v>10.0</v>
      </c>
      <c r="I672" s="76">
        <v>10.0</v>
      </c>
      <c r="J672" s="76">
        <v>1.0</v>
      </c>
      <c r="K672" s="77"/>
      <c r="L672" s="77"/>
      <c r="M672" s="77"/>
      <c r="N672" s="76">
        <v>10.0</v>
      </c>
      <c r="O672" s="77"/>
      <c r="P672" s="77"/>
      <c r="Q672" s="77"/>
      <c r="R672" s="77"/>
      <c r="S672" s="77"/>
      <c r="T672" s="77"/>
      <c r="U672" s="77"/>
      <c r="V672" s="72" t="s">
        <v>3607</v>
      </c>
      <c r="W672" s="77"/>
      <c r="X672" s="77"/>
      <c r="Y672" s="77"/>
      <c r="Z672" s="72" t="s">
        <v>3608</v>
      </c>
      <c r="AA672" s="76">
        <v>1.0</v>
      </c>
      <c r="AB672" s="77"/>
      <c r="AC672" s="79"/>
      <c r="AD672" s="54"/>
      <c r="AE672" s="54"/>
      <c r="AF672" s="54"/>
      <c r="AG672" s="54"/>
      <c r="AH672" s="54"/>
      <c r="AI672" s="44"/>
      <c r="AJ672" s="44"/>
      <c r="AK672" s="44"/>
      <c r="AL672" s="44"/>
      <c r="AM672" s="44"/>
      <c r="AN672" s="44"/>
      <c r="AO672" s="44"/>
      <c r="AP672" s="44"/>
      <c r="AQ672" s="44"/>
      <c r="AR672" s="44"/>
      <c r="AS672" s="44"/>
      <c r="AT672" s="41"/>
      <c r="AU672" s="41"/>
      <c r="AV672" s="45"/>
      <c r="AW672" s="44"/>
      <c r="AX672" s="45"/>
    </row>
    <row r="673">
      <c r="A673" s="60" t="s">
        <v>3609</v>
      </c>
      <c r="B673" s="61">
        <v>45919.425350590274</v>
      </c>
      <c r="C673" s="68" t="s">
        <v>3610</v>
      </c>
      <c r="D673" s="63" t="s">
        <v>3611</v>
      </c>
      <c r="E673" s="68" t="s">
        <v>3600</v>
      </c>
      <c r="F673" s="64" t="s">
        <v>3609</v>
      </c>
      <c r="G673" s="62">
        <v>609.0</v>
      </c>
      <c r="H673" s="62">
        <v>9.0</v>
      </c>
      <c r="I673" s="62">
        <v>8.0</v>
      </c>
      <c r="J673" s="62">
        <v>0.0</v>
      </c>
      <c r="K673" s="66"/>
      <c r="L673" s="66"/>
      <c r="M673" s="66"/>
      <c r="N673" s="62">
        <v>8.0</v>
      </c>
      <c r="O673" s="66"/>
      <c r="P673" s="66"/>
      <c r="Q673" s="66"/>
      <c r="R673" s="66"/>
      <c r="S673" s="66"/>
      <c r="T673" s="66"/>
      <c r="U673" s="66"/>
      <c r="V673" s="67" t="s">
        <v>3612</v>
      </c>
      <c r="W673" s="66"/>
      <c r="X673" s="66"/>
      <c r="Y673" s="66"/>
      <c r="Z673" s="68" t="s">
        <v>3602</v>
      </c>
      <c r="AA673" s="62">
        <v>1.0</v>
      </c>
      <c r="AB673" s="66"/>
      <c r="AC673" s="69"/>
      <c r="AD673" s="37"/>
      <c r="AE673" s="37"/>
      <c r="AF673" s="37"/>
      <c r="AG673" s="37"/>
      <c r="AH673" s="37"/>
      <c r="AI673" s="31"/>
      <c r="AJ673" s="31"/>
      <c r="AK673" s="31"/>
      <c r="AL673" s="31"/>
      <c r="AM673" s="31"/>
      <c r="AN673" s="31"/>
      <c r="AO673" s="31"/>
      <c r="AP673" s="31"/>
      <c r="AQ673" s="31"/>
      <c r="AR673" s="31"/>
      <c r="AS673" s="31"/>
      <c r="AT673" s="36"/>
      <c r="AU673" s="36"/>
      <c r="AV673" s="34"/>
      <c r="AW673" s="31"/>
      <c r="AX673" s="34"/>
    </row>
    <row r="674">
      <c r="A674" s="70" t="s">
        <v>3613</v>
      </c>
      <c r="B674" s="71">
        <v>45919.42625438658</v>
      </c>
      <c r="C674" s="72" t="s">
        <v>3614</v>
      </c>
      <c r="D674" s="73" t="s">
        <v>3615</v>
      </c>
      <c r="E674" s="72" t="s">
        <v>3616</v>
      </c>
      <c r="F674" s="74" t="s">
        <v>3613</v>
      </c>
      <c r="G674" s="76">
        <v>100.0</v>
      </c>
      <c r="H674" s="76">
        <v>10.0</v>
      </c>
      <c r="I674" s="76">
        <v>10.0</v>
      </c>
      <c r="J674" s="76">
        <v>0.0</v>
      </c>
      <c r="K674" s="77"/>
      <c r="L674" s="77"/>
      <c r="M674" s="77"/>
      <c r="N674" s="76">
        <v>10.0</v>
      </c>
      <c r="O674" s="77"/>
      <c r="P674" s="77"/>
      <c r="Q674" s="77"/>
      <c r="R674" s="77"/>
      <c r="S674" s="77"/>
      <c r="T674" s="77"/>
      <c r="U674" s="77"/>
      <c r="V674" s="78" t="s">
        <v>3617</v>
      </c>
      <c r="W674" s="77"/>
      <c r="X674" s="77"/>
      <c r="Y674" s="77"/>
      <c r="Z674" s="72" t="s">
        <v>3618</v>
      </c>
      <c r="AA674" s="76">
        <v>1.0</v>
      </c>
      <c r="AB674" s="77"/>
      <c r="AC674" s="79"/>
      <c r="AD674" s="54"/>
      <c r="AE674" s="54"/>
      <c r="AF674" s="54"/>
      <c r="AG674" s="54"/>
      <c r="AH674" s="54"/>
      <c r="AI674" s="44"/>
      <c r="AJ674" s="44"/>
      <c r="AK674" s="44"/>
      <c r="AL674" s="44"/>
      <c r="AM674" s="44"/>
      <c r="AN674" s="44"/>
      <c r="AO674" s="44"/>
      <c r="AP674" s="44"/>
      <c r="AQ674" s="44"/>
      <c r="AR674" s="44"/>
      <c r="AS674" s="44"/>
      <c r="AT674" s="41"/>
      <c r="AU674" s="41"/>
      <c r="AV674" s="45"/>
      <c r="AW674" s="44"/>
      <c r="AX674" s="45"/>
    </row>
    <row r="675">
      <c r="A675" s="60" t="s">
        <v>3619</v>
      </c>
      <c r="B675" s="61">
        <v>45919.896082708336</v>
      </c>
      <c r="C675" s="68" t="s">
        <v>3620</v>
      </c>
      <c r="D675" s="63" t="s">
        <v>3621</v>
      </c>
      <c r="E675" s="68" t="s">
        <v>3622</v>
      </c>
      <c r="F675" s="64" t="s">
        <v>3619</v>
      </c>
      <c r="G675" s="62">
        <v>380.0</v>
      </c>
      <c r="H675" s="62">
        <v>9.0</v>
      </c>
      <c r="I675" s="62">
        <v>8.0</v>
      </c>
      <c r="J675" s="62">
        <v>1.0</v>
      </c>
      <c r="K675" s="66"/>
      <c r="L675" s="66"/>
      <c r="M675" s="66"/>
      <c r="N675" s="62">
        <v>10.0</v>
      </c>
      <c r="O675" s="66"/>
      <c r="P675" s="66"/>
      <c r="Q675" s="66"/>
      <c r="R675" s="66"/>
      <c r="S675" s="66"/>
      <c r="T675" s="66"/>
      <c r="U675" s="66"/>
      <c r="V675" s="67" t="s">
        <v>3623</v>
      </c>
      <c r="W675" s="66"/>
      <c r="X675" s="66"/>
      <c r="Y675" s="66"/>
      <c r="Z675" s="68" t="s">
        <v>3624</v>
      </c>
      <c r="AA675" s="62">
        <v>1.0</v>
      </c>
      <c r="AB675" s="66"/>
      <c r="AC675" s="69"/>
      <c r="AD675" s="37"/>
      <c r="AE675" s="37"/>
      <c r="AF675" s="37"/>
      <c r="AG675" s="37"/>
      <c r="AH675" s="37"/>
      <c r="AI675" s="31"/>
      <c r="AJ675" s="31"/>
      <c r="AK675" s="31"/>
      <c r="AL675" s="31"/>
      <c r="AM675" s="31"/>
      <c r="AN675" s="31"/>
      <c r="AO675" s="31"/>
      <c r="AP675" s="31"/>
      <c r="AQ675" s="31"/>
      <c r="AR675" s="31"/>
      <c r="AS675" s="31"/>
      <c r="AT675" s="36"/>
      <c r="AU675" s="36"/>
      <c r="AV675" s="34"/>
      <c r="AW675" s="31"/>
      <c r="AX675" s="34"/>
    </row>
    <row r="676">
      <c r="A676" s="188" t="s">
        <v>3625</v>
      </c>
      <c r="B676" s="71">
        <v>45920.03288734954</v>
      </c>
      <c r="C676" s="72" t="s">
        <v>3626</v>
      </c>
      <c r="D676" s="73" t="s">
        <v>3627</v>
      </c>
      <c r="E676" s="72" t="s">
        <v>3628</v>
      </c>
      <c r="F676" s="189" t="s">
        <v>3625</v>
      </c>
      <c r="G676" s="76">
        <v>345.0</v>
      </c>
      <c r="H676" s="76">
        <v>6.0</v>
      </c>
      <c r="I676" s="76">
        <v>5.0</v>
      </c>
      <c r="J676" s="76">
        <v>3.0</v>
      </c>
      <c r="K676" s="77"/>
      <c r="L676" s="77"/>
      <c r="M676" s="77"/>
      <c r="N676" s="76">
        <v>7.0</v>
      </c>
      <c r="O676" s="77"/>
      <c r="P676" s="77"/>
      <c r="Q676" s="77"/>
      <c r="R676" s="77"/>
      <c r="S676" s="77"/>
      <c r="T676" s="77"/>
      <c r="U676" s="77"/>
      <c r="V676" s="78" t="s">
        <v>3629</v>
      </c>
      <c r="W676" s="77"/>
      <c r="X676" s="77"/>
      <c r="Y676" s="77"/>
      <c r="Z676" s="72" t="s">
        <v>3630</v>
      </c>
      <c r="AA676" s="76">
        <v>1.0</v>
      </c>
      <c r="AB676" s="77"/>
      <c r="AC676" s="79"/>
      <c r="AD676" s="54"/>
      <c r="AE676" s="54"/>
      <c r="AF676" s="54"/>
      <c r="AG676" s="54"/>
      <c r="AH676" s="54"/>
      <c r="AI676" s="44"/>
      <c r="AJ676" s="44"/>
      <c r="AK676" s="44"/>
      <c r="AL676" s="44"/>
      <c r="AM676" s="44"/>
      <c r="AN676" s="44"/>
      <c r="AO676" s="44"/>
      <c r="AP676" s="44"/>
      <c r="AQ676" s="44"/>
      <c r="AR676" s="44"/>
      <c r="AS676" s="44"/>
      <c r="AT676" s="41"/>
      <c r="AU676" s="41"/>
      <c r="AV676" s="45"/>
      <c r="AW676" s="44"/>
      <c r="AX676" s="45"/>
    </row>
    <row r="677">
      <c r="A677" s="60" t="s">
        <v>3543</v>
      </c>
      <c r="B677" s="61">
        <v>45920.33422103009</v>
      </c>
      <c r="C677" s="68" t="s">
        <v>3544</v>
      </c>
      <c r="D677" s="63" t="s">
        <v>3545</v>
      </c>
      <c r="E677" s="68" t="s">
        <v>3631</v>
      </c>
      <c r="F677" s="64" t="s">
        <v>3543</v>
      </c>
      <c r="G677" s="62">
        <v>1300.0</v>
      </c>
      <c r="H677" s="62">
        <v>9.0</v>
      </c>
      <c r="I677" s="62">
        <v>9.0</v>
      </c>
      <c r="J677" s="62">
        <v>0.0</v>
      </c>
      <c r="K677" s="66"/>
      <c r="L677" s="66"/>
      <c r="M677" s="66"/>
      <c r="N677" s="62">
        <v>9.0</v>
      </c>
      <c r="O677" s="66"/>
      <c r="P677" s="66"/>
      <c r="Q677" s="66"/>
      <c r="R677" s="66"/>
      <c r="S677" s="66"/>
      <c r="T677" s="66"/>
      <c r="U677" s="66"/>
      <c r="V677" s="67" t="s">
        <v>3632</v>
      </c>
      <c r="W677" s="68" t="s">
        <v>197</v>
      </c>
      <c r="X677" s="66"/>
      <c r="Y677" s="66"/>
      <c r="Z677" s="68" t="s">
        <v>3548</v>
      </c>
      <c r="AA677" s="62">
        <v>1.0</v>
      </c>
      <c r="AB677" s="66"/>
      <c r="AC677" s="69"/>
      <c r="AD677" s="37"/>
      <c r="AE677" s="37"/>
      <c r="AF677" s="37"/>
      <c r="AG677" s="37"/>
      <c r="AH677" s="37"/>
      <c r="AI677" s="31"/>
      <c r="AJ677" s="31"/>
      <c r="AK677" s="31"/>
      <c r="AL677" s="31"/>
      <c r="AM677" s="31"/>
      <c r="AN677" s="31"/>
      <c r="AO677" s="31"/>
      <c r="AP677" s="31"/>
      <c r="AQ677" s="31"/>
      <c r="AR677" s="31"/>
      <c r="AS677" s="31"/>
      <c r="AT677" s="36"/>
      <c r="AU677" s="36"/>
      <c r="AV677" s="34"/>
      <c r="AW677" s="31"/>
      <c r="AX677" s="34"/>
    </row>
    <row r="678">
      <c r="A678" s="188" t="s">
        <v>3625</v>
      </c>
      <c r="B678" s="71">
        <v>45926.20453149306</v>
      </c>
      <c r="C678" s="72" t="s">
        <v>3626</v>
      </c>
      <c r="D678" s="73" t="s">
        <v>3627</v>
      </c>
      <c r="E678" s="72" t="s">
        <v>3633</v>
      </c>
      <c r="F678" s="189" t="s">
        <v>3625</v>
      </c>
      <c r="G678" s="76">
        <v>375.0</v>
      </c>
      <c r="H678" s="76">
        <v>6.0</v>
      </c>
      <c r="I678" s="76">
        <v>6.0</v>
      </c>
      <c r="J678" s="76">
        <v>3.0</v>
      </c>
      <c r="K678" s="77"/>
      <c r="L678" s="77"/>
      <c r="M678" s="77"/>
      <c r="N678" s="76">
        <v>7.0</v>
      </c>
      <c r="O678" s="77"/>
      <c r="P678" s="77"/>
      <c r="Q678" s="77"/>
      <c r="R678" s="77"/>
      <c r="S678" s="77"/>
      <c r="T678" s="77"/>
      <c r="U678" s="77"/>
      <c r="V678" s="78" t="s">
        <v>3634</v>
      </c>
      <c r="W678" s="72" t="s">
        <v>1607</v>
      </c>
      <c r="X678" s="77"/>
      <c r="Y678" s="77"/>
      <c r="Z678" s="72" t="s">
        <v>3630</v>
      </c>
      <c r="AA678" s="76">
        <v>2.0</v>
      </c>
      <c r="AB678" s="77"/>
      <c r="AC678" s="79"/>
      <c r="AD678" s="54"/>
      <c r="AE678" s="54"/>
      <c r="AF678" s="54"/>
      <c r="AG678" s="54"/>
      <c r="AH678" s="54"/>
      <c r="AI678" s="44"/>
      <c r="AJ678" s="44"/>
      <c r="AK678" s="44"/>
      <c r="AL678" s="44"/>
      <c r="AM678" s="44"/>
      <c r="AN678" s="44"/>
      <c r="AO678" s="44"/>
      <c r="AP678" s="44"/>
      <c r="AQ678" s="44"/>
      <c r="AR678" s="44"/>
      <c r="AS678" s="44"/>
      <c r="AT678" s="41"/>
      <c r="AU678" s="41"/>
      <c r="AV678" s="45"/>
      <c r="AW678" s="44"/>
      <c r="AX678" s="45"/>
    </row>
    <row r="679">
      <c r="A679" s="60" t="s">
        <v>3486</v>
      </c>
      <c r="B679" s="61">
        <v>45926.21706653935</v>
      </c>
      <c r="C679" s="68" t="s">
        <v>3635</v>
      </c>
      <c r="D679" s="63" t="s">
        <v>3488</v>
      </c>
      <c r="E679" s="68" t="s">
        <v>3636</v>
      </c>
      <c r="F679" s="64" t="s">
        <v>3486</v>
      </c>
      <c r="G679" s="62">
        <v>42.0</v>
      </c>
      <c r="H679" s="62">
        <v>9.0</v>
      </c>
      <c r="I679" s="62">
        <v>9.0</v>
      </c>
      <c r="J679" s="62">
        <v>0.0</v>
      </c>
      <c r="K679" s="66"/>
      <c r="L679" s="66"/>
      <c r="M679" s="66"/>
      <c r="N679" s="62">
        <v>9.0</v>
      </c>
      <c r="O679" s="66"/>
      <c r="P679" s="66"/>
      <c r="Q679" s="66"/>
      <c r="R679" s="66"/>
      <c r="S679" s="66"/>
      <c r="T679" s="66"/>
      <c r="U679" s="66"/>
      <c r="V679" s="67" t="s">
        <v>3637</v>
      </c>
      <c r="W679" s="66"/>
      <c r="X679" s="66"/>
      <c r="Y679" s="66"/>
      <c r="Z679" s="68" t="s">
        <v>3491</v>
      </c>
      <c r="AA679" s="62">
        <v>2.0</v>
      </c>
      <c r="AB679" s="66"/>
      <c r="AC679" s="69"/>
      <c r="AD679" s="37"/>
      <c r="AE679" s="37"/>
      <c r="AF679" s="37"/>
      <c r="AG679" s="37"/>
      <c r="AH679" s="37"/>
      <c r="AI679" s="31"/>
      <c r="AJ679" s="31"/>
      <c r="AK679" s="31"/>
      <c r="AL679" s="31"/>
      <c r="AM679" s="31"/>
      <c r="AN679" s="31"/>
      <c r="AO679" s="31"/>
      <c r="AP679" s="31"/>
      <c r="AQ679" s="31"/>
      <c r="AR679" s="31"/>
      <c r="AS679" s="31"/>
      <c r="AT679" s="36"/>
      <c r="AU679" s="36"/>
      <c r="AV679" s="34"/>
      <c r="AW679" s="31"/>
      <c r="AX679" s="34"/>
    </row>
    <row r="680">
      <c r="A680" s="72" t="s">
        <v>3638</v>
      </c>
      <c r="B680" s="71">
        <v>45926.21941399305</v>
      </c>
      <c r="C680" s="72" t="s">
        <v>3481</v>
      </c>
      <c r="D680" s="73" t="s">
        <v>3482</v>
      </c>
      <c r="E680" s="72" t="s">
        <v>3639</v>
      </c>
      <c r="F680" s="84" t="s">
        <v>3638</v>
      </c>
      <c r="G680" s="76">
        <v>620.0</v>
      </c>
      <c r="H680" s="76">
        <v>3.0</v>
      </c>
      <c r="I680" s="76">
        <v>3.0</v>
      </c>
      <c r="J680" s="76">
        <v>4.0</v>
      </c>
      <c r="K680" s="77"/>
      <c r="L680" s="77"/>
      <c r="M680" s="77"/>
      <c r="N680" s="76">
        <v>10.0</v>
      </c>
      <c r="O680" s="77"/>
      <c r="P680" s="77"/>
      <c r="Q680" s="77"/>
      <c r="R680" s="77"/>
      <c r="S680" s="77"/>
      <c r="T680" s="77"/>
      <c r="U680" s="77"/>
      <c r="V680" s="78" t="s">
        <v>3640</v>
      </c>
      <c r="W680" s="77"/>
      <c r="X680" s="77"/>
      <c r="Y680" s="77"/>
      <c r="Z680" s="72" t="s">
        <v>3485</v>
      </c>
      <c r="AA680" s="76">
        <v>2.0</v>
      </c>
      <c r="AB680" s="77"/>
      <c r="AC680" s="79"/>
      <c r="AD680" s="54"/>
      <c r="AE680" s="54"/>
      <c r="AF680" s="54"/>
      <c r="AG680" s="54"/>
      <c r="AH680" s="54"/>
      <c r="AI680" s="44"/>
      <c r="AJ680" s="44"/>
      <c r="AK680" s="44"/>
      <c r="AL680" s="44"/>
      <c r="AM680" s="44"/>
      <c r="AN680" s="44"/>
      <c r="AO680" s="44"/>
      <c r="AP680" s="44"/>
      <c r="AQ680" s="44"/>
      <c r="AR680" s="44"/>
      <c r="AS680" s="44"/>
      <c r="AT680" s="41"/>
      <c r="AU680" s="41"/>
      <c r="AV680" s="45"/>
      <c r="AW680" s="44"/>
      <c r="AX680" s="45"/>
    </row>
    <row r="681">
      <c r="A681" s="60" t="s">
        <v>3492</v>
      </c>
      <c r="B681" s="61">
        <v>45926.22180423611</v>
      </c>
      <c r="C681" s="68" t="s">
        <v>3641</v>
      </c>
      <c r="D681" s="63" t="s">
        <v>3494</v>
      </c>
      <c r="E681" s="68" t="s">
        <v>3642</v>
      </c>
      <c r="F681" s="64" t="s">
        <v>3492</v>
      </c>
      <c r="G681" s="62">
        <v>228.0</v>
      </c>
      <c r="H681" s="62">
        <v>8.0</v>
      </c>
      <c r="I681" s="62">
        <v>8.0</v>
      </c>
      <c r="J681" s="62">
        <v>1.0</v>
      </c>
      <c r="K681" s="66"/>
      <c r="L681" s="66"/>
      <c r="M681" s="66"/>
      <c r="N681" s="62">
        <v>7.0</v>
      </c>
      <c r="O681" s="66"/>
      <c r="P681" s="66"/>
      <c r="Q681" s="66"/>
      <c r="R681" s="66"/>
      <c r="S681" s="66"/>
      <c r="T681" s="66"/>
      <c r="U681" s="66"/>
      <c r="V681" s="66"/>
      <c r="W681" s="66"/>
      <c r="X681" s="66"/>
      <c r="Y681" s="66"/>
      <c r="Z681" s="68" t="s">
        <v>3643</v>
      </c>
      <c r="AA681" s="68" t="s">
        <v>4</v>
      </c>
      <c r="AB681" s="66"/>
      <c r="AC681" s="69"/>
      <c r="AD681" s="37"/>
      <c r="AE681" s="37"/>
      <c r="AF681" s="37"/>
      <c r="AG681" s="37"/>
      <c r="AH681" s="37"/>
      <c r="AI681" s="31"/>
      <c r="AJ681" s="31"/>
      <c r="AK681" s="31"/>
      <c r="AL681" s="31"/>
      <c r="AM681" s="31"/>
      <c r="AN681" s="31"/>
      <c r="AO681" s="31"/>
      <c r="AP681" s="31"/>
      <c r="AQ681" s="31"/>
      <c r="AR681" s="31"/>
      <c r="AS681" s="31"/>
      <c r="AT681" s="36"/>
      <c r="AU681" s="36"/>
      <c r="AV681" s="34"/>
      <c r="AW681" s="31"/>
      <c r="AX681" s="34"/>
    </row>
    <row r="682">
      <c r="A682" s="70" t="s">
        <v>3531</v>
      </c>
      <c r="B682" s="71">
        <v>45926.23993784722</v>
      </c>
      <c r="C682" s="72" t="s">
        <v>3532</v>
      </c>
      <c r="D682" s="73" t="s">
        <v>3533</v>
      </c>
      <c r="E682" s="72" t="s">
        <v>3534</v>
      </c>
      <c r="F682" s="74" t="s">
        <v>3531</v>
      </c>
      <c r="G682" s="76">
        <v>103.0</v>
      </c>
      <c r="H682" s="76">
        <v>8.0</v>
      </c>
      <c r="I682" s="76">
        <v>8.0</v>
      </c>
      <c r="J682" s="76">
        <v>0.0</v>
      </c>
      <c r="K682" s="77"/>
      <c r="L682" s="77"/>
      <c r="M682" s="77"/>
      <c r="N682" s="76">
        <v>9.0</v>
      </c>
      <c r="O682" s="77"/>
      <c r="P682" s="77"/>
      <c r="Q682" s="77"/>
      <c r="R682" s="77"/>
      <c r="S682" s="77"/>
      <c r="T682" s="77"/>
      <c r="U682" s="77"/>
      <c r="V682" s="78" t="s">
        <v>3644</v>
      </c>
      <c r="W682" s="72" t="s">
        <v>197</v>
      </c>
      <c r="X682" s="77"/>
      <c r="Y682" s="77"/>
      <c r="Z682" s="72" t="s">
        <v>3536</v>
      </c>
      <c r="AA682" s="76">
        <v>2.0</v>
      </c>
      <c r="AB682" s="77"/>
      <c r="AC682" s="79"/>
      <c r="AD682" s="54"/>
      <c r="AE682" s="54"/>
      <c r="AF682" s="54"/>
      <c r="AG682" s="54"/>
      <c r="AH682" s="54"/>
      <c r="AI682" s="44"/>
      <c r="AJ682" s="44"/>
      <c r="AK682" s="44"/>
      <c r="AL682" s="44"/>
      <c r="AM682" s="44"/>
      <c r="AN682" s="44"/>
      <c r="AO682" s="44"/>
      <c r="AP682" s="44"/>
      <c r="AQ682" s="44"/>
      <c r="AR682" s="44"/>
      <c r="AS682" s="44"/>
      <c r="AT682" s="41"/>
      <c r="AU682" s="41"/>
      <c r="AV682" s="45"/>
      <c r="AW682" s="44"/>
      <c r="AX682" s="45"/>
    </row>
    <row r="683">
      <c r="A683" s="60" t="s">
        <v>3518</v>
      </c>
      <c r="B683" s="61">
        <v>45926.241894942126</v>
      </c>
      <c r="C683" s="68" t="s">
        <v>3519</v>
      </c>
      <c r="D683" s="63" t="s">
        <v>3520</v>
      </c>
      <c r="E683" s="68" t="s">
        <v>3645</v>
      </c>
      <c r="F683" s="64" t="s">
        <v>3518</v>
      </c>
      <c r="G683" s="62">
        <v>820.0</v>
      </c>
      <c r="H683" s="62">
        <v>9.0</v>
      </c>
      <c r="I683" s="62">
        <v>9.0</v>
      </c>
      <c r="J683" s="62">
        <v>1.0</v>
      </c>
      <c r="K683" s="66"/>
      <c r="L683" s="66"/>
      <c r="M683" s="66"/>
      <c r="N683" s="62">
        <v>9.0</v>
      </c>
      <c r="O683" s="66"/>
      <c r="P683" s="66"/>
      <c r="Q683" s="66"/>
      <c r="R683" s="66"/>
      <c r="S683" s="66"/>
      <c r="T683" s="66"/>
      <c r="U683" s="66"/>
      <c r="V683" s="67" t="s">
        <v>3646</v>
      </c>
      <c r="W683" s="66"/>
      <c r="X683" s="66"/>
      <c r="Y683" s="66"/>
      <c r="Z683" s="68" t="s">
        <v>3523</v>
      </c>
      <c r="AA683" s="62">
        <v>2.0</v>
      </c>
      <c r="AB683" s="66"/>
      <c r="AC683" s="69"/>
      <c r="AD683" s="37"/>
      <c r="AE683" s="37"/>
      <c r="AF683" s="37"/>
      <c r="AG683" s="37"/>
      <c r="AH683" s="37"/>
      <c r="AI683" s="31"/>
      <c r="AJ683" s="31"/>
      <c r="AK683" s="31"/>
      <c r="AL683" s="31"/>
      <c r="AM683" s="31"/>
      <c r="AN683" s="31"/>
      <c r="AO683" s="31"/>
      <c r="AP683" s="31"/>
      <c r="AQ683" s="31"/>
      <c r="AR683" s="31"/>
      <c r="AS683" s="31"/>
      <c r="AT683" s="36"/>
      <c r="AU683" s="36"/>
      <c r="AV683" s="34"/>
      <c r="AW683" s="31"/>
      <c r="AX683" s="34"/>
    </row>
    <row r="684">
      <c r="A684" s="70" t="s">
        <v>3524</v>
      </c>
      <c r="B684" s="71">
        <v>45926.247869513885</v>
      </c>
      <c r="C684" s="72" t="s">
        <v>3647</v>
      </c>
      <c r="D684" s="73" t="s">
        <v>3648</v>
      </c>
      <c r="E684" s="72" t="s">
        <v>3649</v>
      </c>
      <c r="F684" s="74" t="s">
        <v>3524</v>
      </c>
      <c r="G684" s="76">
        <v>1053.0</v>
      </c>
      <c r="H684" s="76">
        <v>10.0</v>
      </c>
      <c r="I684" s="76">
        <v>10.0</v>
      </c>
      <c r="J684" s="72" t="s">
        <v>3650</v>
      </c>
      <c r="K684" s="77"/>
      <c r="L684" s="77"/>
      <c r="M684" s="77"/>
      <c r="N684" s="76">
        <v>10.0</v>
      </c>
      <c r="O684" s="77"/>
      <c r="P684" s="77"/>
      <c r="Q684" s="77"/>
      <c r="R684" s="77"/>
      <c r="S684" s="77"/>
      <c r="T684" s="77"/>
      <c r="U684" s="77"/>
      <c r="V684" s="78" t="s">
        <v>3651</v>
      </c>
      <c r="W684" s="77"/>
      <c r="X684" s="77"/>
      <c r="Y684" s="77"/>
      <c r="Z684" s="72" t="s">
        <v>3530</v>
      </c>
      <c r="AA684" s="76">
        <v>2.0</v>
      </c>
      <c r="AB684" s="77"/>
      <c r="AC684" s="79"/>
      <c r="AD684" s="54"/>
      <c r="AE684" s="54"/>
      <c r="AF684" s="54"/>
      <c r="AG684" s="54"/>
      <c r="AH684" s="54"/>
      <c r="AI684" s="44"/>
      <c r="AJ684" s="44"/>
      <c r="AK684" s="44"/>
      <c r="AL684" s="44"/>
      <c r="AM684" s="44"/>
      <c r="AN684" s="44"/>
      <c r="AO684" s="44"/>
      <c r="AP684" s="44"/>
      <c r="AQ684" s="44"/>
      <c r="AR684" s="44"/>
      <c r="AS684" s="44"/>
      <c r="AT684" s="41"/>
      <c r="AU684" s="41"/>
      <c r="AV684" s="45"/>
      <c r="AW684" s="44"/>
      <c r="AX684" s="45"/>
    </row>
    <row r="685">
      <c r="A685" s="60" t="s">
        <v>3652</v>
      </c>
      <c r="B685" s="61">
        <v>45926.252160902775</v>
      </c>
      <c r="C685" s="68" t="s">
        <v>3513</v>
      </c>
      <c r="D685" s="63" t="s">
        <v>3514</v>
      </c>
      <c r="E685" s="68" t="s">
        <v>3653</v>
      </c>
      <c r="F685" s="64" t="s">
        <v>3652</v>
      </c>
      <c r="G685" s="62">
        <v>500.0</v>
      </c>
      <c r="H685" s="62">
        <v>6.0</v>
      </c>
      <c r="I685" s="62">
        <v>5.0</v>
      </c>
      <c r="J685" s="68" t="s">
        <v>197</v>
      </c>
      <c r="K685" s="66"/>
      <c r="L685" s="66"/>
      <c r="M685" s="66"/>
      <c r="N685" s="62">
        <v>6.0</v>
      </c>
      <c r="O685" s="66"/>
      <c r="P685" s="66"/>
      <c r="Q685" s="66"/>
      <c r="R685" s="66"/>
      <c r="S685" s="66"/>
      <c r="T685" s="66"/>
      <c r="U685" s="66"/>
      <c r="V685" s="66"/>
      <c r="W685" s="66"/>
      <c r="X685" s="66"/>
      <c r="Y685" s="66"/>
      <c r="Z685" s="68" t="s">
        <v>3517</v>
      </c>
      <c r="AA685" s="68" t="s">
        <v>4</v>
      </c>
      <c r="AB685" s="66"/>
      <c r="AC685" s="69"/>
      <c r="AD685" s="37"/>
      <c r="AE685" s="37"/>
      <c r="AF685" s="37"/>
      <c r="AG685" s="37"/>
      <c r="AH685" s="37"/>
      <c r="AI685" s="31"/>
      <c r="AJ685" s="31"/>
      <c r="AK685" s="31"/>
      <c r="AL685" s="31"/>
      <c r="AM685" s="31"/>
      <c r="AN685" s="31"/>
      <c r="AO685" s="31"/>
      <c r="AP685" s="31"/>
      <c r="AQ685" s="31"/>
      <c r="AR685" s="31"/>
      <c r="AS685" s="31"/>
      <c r="AT685" s="36"/>
      <c r="AU685" s="36"/>
      <c r="AV685" s="34"/>
      <c r="AW685" s="31"/>
      <c r="AX685" s="34"/>
    </row>
    <row r="686">
      <c r="A686" s="70" t="s">
        <v>3555</v>
      </c>
      <c r="B686" s="71">
        <v>45926.25934872685</v>
      </c>
      <c r="C686" s="72" t="s">
        <v>3654</v>
      </c>
      <c r="D686" s="73" t="s">
        <v>3557</v>
      </c>
      <c r="E686" s="72" t="s">
        <v>3655</v>
      </c>
      <c r="F686" s="74" t="s">
        <v>3555</v>
      </c>
      <c r="G686" s="76">
        <v>4500.0</v>
      </c>
      <c r="H686" s="76">
        <v>10.0</v>
      </c>
      <c r="I686" s="76">
        <v>9.0</v>
      </c>
      <c r="J686" s="76">
        <v>0.0</v>
      </c>
      <c r="K686" s="77"/>
      <c r="L686" s="77"/>
      <c r="M686" s="77"/>
      <c r="N686" s="76">
        <v>9.0</v>
      </c>
      <c r="O686" s="77"/>
      <c r="P686" s="77"/>
      <c r="Q686" s="77"/>
      <c r="R686" s="77"/>
      <c r="S686" s="77"/>
      <c r="T686" s="77"/>
      <c r="U686" s="77"/>
      <c r="V686" s="78" t="s">
        <v>3656</v>
      </c>
      <c r="W686" s="72" t="s">
        <v>2000</v>
      </c>
      <c r="X686" s="77"/>
      <c r="Y686" s="77"/>
      <c r="Z686" s="72" t="s">
        <v>3560</v>
      </c>
      <c r="AA686" s="72" t="s">
        <v>4</v>
      </c>
      <c r="AB686" s="77"/>
      <c r="AC686" s="79"/>
      <c r="AD686" s="54"/>
      <c r="AE686" s="54"/>
      <c r="AF686" s="54"/>
      <c r="AG686" s="54"/>
      <c r="AH686" s="54"/>
      <c r="AI686" s="44"/>
      <c r="AJ686" s="44"/>
      <c r="AK686" s="44"/>
      <c r="AL686" s="44"/>
      <c r="AM686" s="44"/>
      <c r="AN686" s="44"/>
      <c r="AO686" s="44"/>
      <c r="AP686" s="44"/>
      <c r="AQ686" s="44"/>
      <c r="AR686" s="44"/>
      <c r="AS686" s="44"/>
      <c r="AT686" s="41"/>
      <c r="AU686" s="41"/>
      <c r="AV686" s="45"/>
      <c r="AW686" s="44"/>
      <c r="AX686" s="45"/>
    </row>
    <row r="687">
      <c r="A687" s="60" t="s">
        <v>3567</v>
      </c>
      <c r="B687" s="61">
        <v>45926.28370777778</v>
      </c>
      <c r="C687" s="68" t="s">
        <v>3568</v>
      </c>
      <c r="D687" s="63" t="s">
        <v>3657</v>
      </c>
      <c r="E687" s="68" t="s">
        <v>3570</v>
      </c>
      <c r="F687" s="64" t="s">
        <v>3567</v>
      </c>
      <c r="G687" s="62">
        <v>160.0</v>
      </c>
      <c r="H687" s="62">
        <v>5.0</v>
      </c>
      <c r="I687" s="62">
        <v>3.0</v>
      </c>
      <c r="J687" s="62">
        <v>3.0</v>
      </c>
      <c r="K687" s="66"/>
      <c r="L687" s="66"/>
      <c r="M687" s="66"/>
      <c r="N687" s="62">
        <v>8.0</v>
      </c>
      <c r="O687" s="66"/>
      <c r="P687" s="66"/>
      <c r="Q687" s="66"/>
      <c r="R687" s="66"/>
      <c r="S687" s="66"/>
      <c r="T687" s="66"/>
      <c r="U687" s="66"/>
      <c r="V687" s="67" t="s">
        <v>3658</v>
      </c>
      <c r="W687" s="66"/>
      <c r="X687" s="66"/>
      <c r="Y687" s="66"/>
      <c r="Z687" s="68" t="s">
        <v>3572</v>
      </c>
      <c r="AA687" s="62">
        <v>2.0</v>
      </c>
      <c r="AB687" s="66"/>
      <c r="AC687" s="69"/>
      <c r="AD687" s="37"/>
      <c r="AE687" s="37"/>
      <c r="AF687" s="37"/>
      <c r="AG687" s="37"/>
      <c r="AH687" s="37"/>
      <c r="AI687" s="31"/>
      <c r="AJ687" s="31"/>
      <c r="AK687" s="31"/>
      <c r="AL687" s="31"/>
      <c r="AM687" s="31"/>
      <c r="AN687" s="31"/>
      <c r="AO687" s="31"/>
      <c r="AP687" s="31"/>
      <c r="AQ687" s="31"/>
      <c r="AR687" s="31"/>
      <c r="AS687" s="31"/>
      <c r="AT687" s="36"/>
      <c r="AU687" s="36"/>
      <c r="AV687" s="34"/>
      <c r="AW687" s="31"/>
      <c r="AX687" s="34"/>
    </row>
    <row r="688">
      <c r="A688" s="70" t="s">
        <v>3561</v>
      </c>
      <c r="B688" s="71">
        <v>45926.28656877315</v>
      </c>
      <c r="C688" s="72" t="s">
        <v>3562</v>
      </c>
      <c r="D688" s="73" t="s">
        <v>3563</v>
      </c>
      <c r="E688" s="72" t="s">
        <v>3659</v>
      </c>
      <c r="F688" s="74" t="s">
        <v>3561</v>
      </c>
      <c r="G688" s="76">
        <v>120.0</v>
      </c>
      <c r="H688" s="76">
        <v>4.0</v>
      </c>
      <c r="I688" s="76">
        <v>3.0</v>
      </c>
      <c r="J688" s="76">
        <v>3.0</v>
      </c>
      <c r="K688" s="77"/>
      <c r="L688" s="77"/>
      <c r="M688" s="77"/>
      <c r="N688" s="76">
        <v>8.0</v>
      </c>
      <c r="O688" s="77"/>
      <c r="P688" s="77"/>
      <c r="Q688" s="77"/>
      <c r="R688" s="77"/>
      <c r="S688" s="77"/>
      <c r="T688" s="77"/>
      <c r="U688" s="77"/>
      <c r="V688" s="78" t="s">
        <v>3660</v>
      </c>
      <c r="W688" s="77"/>
      <c r="X688" s="77"/>
      <c r="Y688" s="77"/>
      <c r="Z688" s="72" t="s">
        <v>3566</v>
      </c>
      <c r="AA688" s="76">
        <v>2.0</v>
      </c>
      <c r="AB688" s="77"/>
      <c r="AC688" s="79"/>
      <c r="AD688" s="54"/>
      <c r="AE688" s="54"/>
      <c r="AF688" s="54"/>
      <c r="AG688" s="54"/>
      <c r="AH688" s="54"/>
      <c r="AI688" s="44"/>
      <c r="AJ688" s="44"/>
      <c r="AK688" s="44"/>
      <c r="AL688" s="44"/>
      <c r="AM688" s="44"/>
      <c r="AN688" s="44"/>
      <c r="AO688" s="44"/>
      <c r="AP688" s="44"/>
      <c r="AQ688" s="44"/>
      <c r="AR688" s="44"/>
      <c r="AS688" s="44"/>
      <c r="AT688" s="41"/>
      <c r="AU688" s="41"/>
      <c r="AV688" s="45"/>
      <c r="AW688" s="44"/>
      <c r="AX688" s="45"/>
    </row>
    <row r="689">
      <c r="A689" s="60" t="s">
        <v>3661</v>
      </c>
      <c r="B689" s="61">
        <v>45926.28932938658</v>
      </c>
      <c r="C689" s="68" t="s">
        <v>3662</v>
      </c>
      <c r="D689" s="63" t="s">
        <v>3663</v>
      </c>
      <c r="E689" s="62" t="s">
        <v>3664</v>
      </c>
      <c r="F689" s="64" t="s">
        <v>3661</v>
      </c>
      <c r="G689" s="62">
        <v>260.0</v>
      </c>
      <c r="H689" s="62">
        <v>8.0</v>
      </c>
      <c r="I689" s="62">
        <v>7.0</v>
      </c>
      <c r="J689" s="62">
        <v>0.0</v>
      </c>
      <c r="K689" s="66"/>
      <c r="L689" s="66"/>
      <c r="M689" s="66"/>
      <c r="N689" s="62">
        <v>9.0</v>
      </c>
      <c r="O689" s="66"/>
      <c r="P689" s="66"/>
      <c r="Q689" s="66"/>
      <c r="R689" s="66"/>
      <c r="S689" s="66"/>
      <c r="T689" s="66"/>
      <c r="U689" s="66"/>
      <c r="V689" s="67" t="s">
        <v>3665</v>
      </c>
      <c r="W689" s="66"/>
      <c r="X689" s="66"/>
      <c r="Y689" s="66"/>
      <c r="Z689" s="68" t="s">
        <v>3666</v>
      </c>
      <c r="AA689" s="62">
        <v>2.0</v>
      </c>
      <c r="AB689" s="66"/>
      <c r="AC689" s="69"/>
      <c r="AD689" s="37"/>
      <c r="AE689" s="37"/>
      <c r="AF689" s="37"/>
      <c r="AG689" s="37"/>
      <c r="AH689" s="37"/>
      <c r="AI689" s="31"/>
      <c r="AJ689" s="31"/>
      <c r="AK689" s="31"/>
      <c r="AL689" s="31"/>
      <c r="AM689" s="31"/>
      <c r="AN689" s="31"/>
      <c r="AO689" s="31"/>
      <c r="AP689" s="31"/>
      <c r="AQ689" s="31"/>
      <c r="AR689" s="31"/>
      <c r="AS689" s="31"/>
      <c r="AT689" s="36"/>
      <c r="AU689" s="36"/>
      <c r="AV689" s="34"/>
      <c r="AW689" s="31"/>
      <c r="AX689" s="34"/>
    </row>
    <row r="690">
      <c r="A690" s="70" t="s">
        <v>3667</v>
      </c>
      <c r="B690" s="71">
        <v>45926.29068070602</v>
      </c>
      <c r="C690" s="72" t="s">
        <v>3668</v>
      </c>
      <c r="D690" s="73" t="s">
        <v>3587</v>
      </c>
      <c r="E690" s="72" t="s">
        <v>3669</v>
      </c>
      <c r="F690" s="74" t="s">
        <v>3667</v>
      </c>
      <c r="G690" s="76">
        <v>550.0</v>
      </c>
      <c r="H690" s="76">
        <v>8.0</v>
      </c>
      <c r="I690" s="76">
        <v>8.0</v>
      </c>
      <c r="J690" s="76">
        <v>0.0</v>
      </c>
      <c r="K690" s="77"/>
      <c r="L690" s="77"/>
      <c r="M690" s="77"/>
      <c r="N690" s="76">
        <v>9.0</v>
      </c>
      <c r="O690" s="77"/>
      <c r="P690" s="77"/>
      <c r="Q690" s="77"/>
      <c r="R690" s="77"/>
      <c r="S690" s="77"/>
      <c r="T690" s="77"/>
      <c r="U690" s="77"/>
      <c r="V690" s="77"/>
      <c r="W690" s="72" t="s">
        <v>197</v>
      </c>
      <c r="X690" s="77"/>
      <c r="Y690" s="77"/>
      <c r="Z690" s="72" t="s">
        <v>3670</v>
      </c>
      <c r="AA690" s="72" t="s">
        <v>4</v>
      </c>
      <c r="AB690" s="77"/>
      <c r="AC690" s="79"/>
      <c r="AD690" s="54"/>
      <c r="AE690" s="54"/>
      <c r="AF690" s="54"/>
      <c r="AG690" s="54"/>
      <c r="AH690" s="54"/>
      <c r="AI690" s="44"/>
      <c r="AJ690" s="44"/>
      <c r="AK690" s="44"/>
      <c r="AL690" s="44"/>
      <c r="AM690" s="44"/>
      <c r="AN690" s="44"/>
      <c r="AO690" s="44"/>
      <c r="AP690" s="44"/>
      <c r="AQ690" s="44"/>
      <c r="AR690" s="44"/>
      <c r="AS690" s="44"/>
      <c r="AT690" s="41"/>
      <c r="AU690" s="41"/>
      <c r="AV690" s="45"/>
      <c r="AW690" s="44"/>
      <c r="AX690" s="45"/>
    </row>
    <row r="691">
      <c r="A691" s="60" t="s">
        <v>3585</v>
      </c>
      <c r="B691" s="61">
        <v>45926.293362094904</v>
      </c>
      <c r="C691" s="68" t="s">
        <v>3671</v>
      </c>
      <c r="D691" s="63" t="s">
        <v>3539</v>
      </c>
      <c r="E691" s="68" t="s">
        <v>3672</v>
      </c>
      <c r="F691" s="64" t="s">
        <v>3585</v>
      </c>
      <c r="G691" s="62">
        <v>3000.0</v>
      </c>
      <c r="H691" s="62">
        <v>8.0</v>
      </c>
      <c r="I691" s="62">
        <v>8.0</v>
      </c>
      <c r="J691" s="62">
        <v>1.0</v>
      </c>
      <c r="K691" s="66"/>
      <c r="L691" s="66"/>
      <c r="M691" s="66"/>
      <c r="N691" s="62">
        <v>9.0</v>
      </c>
      <c r="O691" s="66"/>
      <c r="P691" s="66"/>
      <c r="Q691" s="66"/>
      <c r="R691" s="66"/>
      <c r="S691" s="66"/>
      <c r="T691" s="66"/>
      <c r="U691" s="66"/>
      <c r="V691" s="67" t="s">
        <v>3673</v>
      </c>
      <c r="W691" s="68" t="s">
        <v>197</v>
      </c>
      <c r="X691" s="66"/>
      <c r="Y691" s="66"/>
      <c r="Z691" s="68" t="s">
        <v>3674</v>
      </c>
      <c r="AA691" s="62">
        <v>2.0</v>
      </c>
      <c r="AB691" s="66"/>
      <c r="AC691" s="69"/>
      <c r="AD691" s="37"/>
      <c r="AE691" s="37"/>
      <c r="AF691" s="37"/>
      <c r="AG691" s="37"/>
      <c r="AH691" s="37"/>
      <c r="AI691" s="31"/>
      <c r="AJ691" s="31"/>
      <c r="AK691" s="31"/>
      <c r="AL691" s="31"/>
      <c r="AM691" s="31"/>
      <c r="AN691" s="31"/>
      <c r="AO691" s="31"/>
      <c r="AP691" s="31"/>
      <c r="AQ691" s="31"/>
      <c r="AR691" s="31"/>
      <c r="AS691" s="31"/>
      <c r="AT691" s="36"/>
      <c r="AU691" s="36"/>
      <c r="AV691" s="34"/>
      <c r="AW691" s="31"/>
      <c r="AX691" s="34"/>
    </row>
    <row r="692">
      <c r="A692" s="70" t="s">
        <v>3675</v>
      </c>
      <c r="B692" s="71">
        <v>45926.30049324074</v>
      </c>
      <c r="C692" s="72" t="s">
        <v>3574</v>
      </c>
      <c r="D692" s="73" t="s">
        <v>3575</v>
      </c>
      <c r="E692" s="72" t="s">
        <v>3676</v>
      </c>
      <c r="F692" s="74" t="s">
        <v>3675</v>
      </c>
      <c r="G692" s="76">
        <v>1600.0</v>
      </c>
      <c r="H692" s="76">
        <v>10.0</v>
      </c>
      <c r="I692" s="76">
        <v>9.0</v>
      </c>
      <c r="J692" s="76">
        <v>0.0</v>
      </c>
      <c r="K692" s="77"/>
      <c r="L692" s="77"/>
      <c r="M692" s="77"/>
      <c r="N692" s="76">
        <v>10.0</v>
      </c>
      <c r="O692" s="77"/>
      <c r="P692" s="77"/>
      <c r="Q692" s="77"/>
      <c r="R692" s="77"/>
      <c r="S692" s="77"/>
      <c r="T692" s="77"/>
      <c r="U692" s="77"/>
      <c r="V692" s="78" t="s">
        <v>3677</v>
      </c>
      <c r="W692" s="77"/>
      <c r="X692" s="77"/>
      <c r="Y692" s="77"/>
      <c r="Z692" s="72" t="s">
        <v>3578</v>
      </c>
      <c r="AA692" s="76">
        <v>2.0</v>
      </c>
      <c r="AB692" s="77"/>
      <c r="AC692" s="79"/>
      <c r="AD692" s="54"/>
      <c r="AE692" s="54"/>
      <c r="AF692" s="54"/>
      <c r="AG692" s="54"/>
      <c r="AH692" s="54"/>
      <c r="AI692" s="44"/>
      <c r="AJ692" s="44"/>
      <c r="AK692" s="44"/>
      <c r="AL692" s="44"/>
      <c r="AM692" s="44"/>
      <c r="AN692" s="44"/>
      <c r="AO692" s="44"/>
      <c r="AP692" s="44"/>
      <c r="AQ692" s="44"/>
      <c r="AR692" s="44"/>
      <c r="AS692" s="44"/>
      <c r="AT692" s="41"/>
      <c r="AU692" s="41"/>
      <c r="AV692" s="45"/>
      <c r="AW692" s="44"/>
      <c r="AX692" s="45"/>
    </row>
    <row r="693">
      <c r="A693" s="60" t="s">
        <v>3678</v>
      </c>
      <c r="B693" s="61">
        <v>45926.30897892361</v>
      </c>
      <c r="C693" s="68" t="s">
        <v>3679</v>
      </c>
      <c r="D693" s="63" t="s">
        <v>3680</v>
      </c>
      <c r="E693" s="68" t="s">
        <v>3681</v>
      </c>
      <c r="F693" s="64" t="s">
        <v>3678</v>
      </c>
      <c r="G693" s="62">
        <v>595.0</v>
      </c>
      <c r="H693" s="62">
        <v>9.0</v>
      </c>
      <c r="I693" s="62">
        <v>9.0</v>
      </c>
      <c r="J693" s="62">
        <v>0.0</v>
      </c>
      <c r="K693" s="66"/>
      <c r="L693" s="66"/>
      <c r="M693" s="66"/>
      <c r="N693" s="62">
        <v>9.0</v>
      </c>
      <c r="O693" s="66"/>
      <c r="P693" s="66"/>
      <c r="Q693" s="66"/>
      <c r="R693" s="66"/>
      <c r="S693" s="66"/>
      <c r="T693" s="66"/>
      <c r="U693" s="66"/>
      <c r="V693" s="67" t="s">
        <v>3682</v>
      </c>
      <c r="W693" s="68" t="s">
        <v>1304</v>
      </c>
      <c r="X693" s="66"/>
      <c r="Y693" s="66"/>
      <c r="Z693" s="68" t="s">
        <v>3683</v>
      </c>
      <c r="AA693" s="62">
        <v>2.0</v>
      </c>
      <c r="AB693" s="66"/>
      <c r="AC693" s="69"/>
      <c r="AD693" s="37"/>
      <c r="AE693" s="37"/>
      <c r="AF693" s="37"/>
      <c r="AG693" s="37"/>
      <c r="AH693" s="37"/>
      <c r="AI693" s="31"/>
      <c r="AJ693" s="31"/>
      <c r="AK693" s="31"/>
      <c r="AL693" s="31"/>
      <c r="AM693" s="31"/>
      <c r="AN693" s="31"/>
      <c r="AO693" s="31"/>
      <c r="AP693" s="31"/>
      <c r="AQ693" s="31"/>
      <c r="AR693" s="31"/>
      <c r="AS693" s="31"/>
      <c r="AT693" s="36"/>
      <c r="AU693" s="36"/>
      <c r="AV693" s="34"/>
      <c r="AW693" s="31"/>
      <c r="AX693" s="34"/>
    </row>
    <row r="694">
      <c r="A694" s="70" t="s">
        <v>3579</v>
      </c>
      <c r="B694" s="71">
        <v>45926.309168865744</v>
      </c>
      <c r="C694" s="72" t="s">
        <v>3580</v>
      </c>
      <c r="D694" s="73" t="s">
        <v>3581</v>
      </c>
      <c r="E694" s="72" t="s">
        <v>3684</v>
      </c>
      <c r="F694" s="74" t="s">
        <v>3579</v>
      </c>
      <c r="G694" s="76">
        <v>380.0</v>
      </c>
      <c r="H694" s="76">
        <v>5.0</v>
      </c>
      <c r="I694" s="76">
        <v>5.0</v>
      </c>
      <c r="J694" s="76">
        <v>5.0</v>
      </c>
      <c r="K694" s="77"/>
      <c r="L694" s="77"/>
      <c r="M694" s="77"/>
      <c r="N694" s="76">
        <v>8.0</v>
      </c>
      <c r="O694" s="77"/>
      <c r="P694" s="77"/>
      <c r="Q694" s="77"/>
      <c r="R694" s="77"/>
      <c r="S694" s="77"/>
      <c r="T694" s="77"/>
      <c r="U694" s="77"/>
      <c r="V694" s="77"/>
      <c r="W694" s="77"/>
      <c r="X694" s="77"/>
      <c r="Y694" s="77"/>
      <c r="Z694" s="72" t="s">
        <v>3584</v>
      </c>
      <c r="AA694" s="72" t="s">
        <v>4</v>
      </c>
      <c r="AB694" s="77"/>
      <c r="AC694" s="79"/>
      <c r="AD694" s="54"/>
      <c r="AE694" s="54"/>
      <c r="AF694" s="54"/>
      <c r="AG694" s="54"/>
      <c r="AH694" s="54"/>
      <c r="AI694" s="44"/>
      <c r="AJ694" s="44"/>
      <c r="AK694" s="44"/>
      <c r="AL694" s="44"/>
      <c r="AM694" s="44"/>
      <c r="AN694" s="44"/>
      <c r="AO694" s="44"/>
      <c r="AP694" s="44"/>
      <c r="AQ694" s="44"/>
      <c r="AR694" s="44"/>
      <c r="AS694" s="44"/>
      <c r="AT694" s="41"/>
      <c r="AU694" s="41"/>
      <c r="AV694" s="45"/>
      <c r="AW694" s="44"/>
      <c r="AX694" s="45"/>
    </row>
    <row r="695">
      <c r="A695" s="60" t="s">
        <v>3685</v>
      </c>
      <c r="B695" s="61">
        <v>45926.31326895833</v>
      </c>
      <c r="C695" s="68" t="s">
        <v>3686</v>
      </c>
      <c r="D695" s="63" t="s">
        <v>3680</v>
      </c>
      <c r="E695" s="68" t="s">
        <v>3687</v>
      </c>
      <c r="F695" s="64" t="s">
        <v>3685</v>
      </c>
      <c r="G695" s="62">
        <v>436.0</v>
      </c>
      <c r="H695" s="62">
        <v>10.0</v>
      </c>
      <c r="I695" s="62">
        <v>10.0</v>
      </c>
      <c r="J695" s="62">
        <v>0.0</v>
      </c>
      <c r="K695" s="66"/>
      <c r="L695" s="66"/>
      <c r="M695" s="66"/>
      <c r="N695" s="62">
        <v>10.0</v>
      </c>
      <c r="O695" s="66"/>
      <c r="P695" s="66"/>
      <c r="Q695" s="66"/>
      <c r="R695" s="66"/>
      <c r="S695" s="66"/>
      <c r="T695" s="66"/>
      <c r="U695" s="66"/>
      <c r="V695" s="67" t="s">
        <v>3688</v>
      </c>
      <c r="W695" s="68" t="s">
        <v>1304</v>
      </c>
      <c r="X695" s="66"/>
      <c r="Y695" s="66"/>
      <c r="Z695" s="68" t="s">
        <v>3683</v>
      </c>
      <c r="AA695" s="62">
        <v>2.0</v>
      </c>
      <c r="AB695" s="66"/>
      <c r="AC695" s="69"/>
      <c r="AD695" s="37"/>
      <c r="AE695" s="37"/>
      <c r="AF695" s="37"/>
      <c r="AG695" s="37"/>
      <c r="AH695" s="37"/>
      <c r="AI695" s="31"/>
      <c r="AJ695" s="31"/>
      <c r="AK695" s="31"/>
      <c r="AL695" s="31"/>
      <c r="AM695" s="31"/>
      <c r="AN695" s="31"/>
      <c r="AO695" s="31"/>
      <c r="AP695" s="31"/>
      <c r="AQ695" s="31"/>
      <c r="AR695" s="31"/>
      <c r="AS695" s="31"/>
      <c r="AT695" s="36"/>
      <c r="AU695" s="36"/>
      <c r="AV695" s="34"/>
      <c r="AW695" s="31"/>
      <c r="AX695" s="34"/>
    </row>
    <row r="696">
      <c r="A696" s="70" t="s">
        <v>3613</v>
      </c>
      <c r="B696" s="71">
        <v>45926.369931168985</v>
      </c>
      <c r="C696" s="72" t="s">
        <v>3689</v>
      </c>
      <c r="D696" s="73" t="s">
        <v>3615</v>
      </c>
      <c r="E696" s="72" t="s">
        <v>3690</v>
      </c>
      <c r="F696" s="74" t="s">
        <v>3613</v>
      </c>
      <c r="G696" s="76">
        <v>150.0</v>
      </c>
      <c r="H696" s="76">
        <v>10.0</v>
      </c>
      <c r="I696" s="76">
        <v>10.0</v>
      </c>
      <c r="J696" s="76">
        <v>0.0</v>
      </c>
      <c r="K696" s="77"/>
      <c r="L696" s="77"/>
      <c r="M696" s="77"/>
      <c r="N696" s="76">
        <v>10.0</v>
      </c>
      <c r="O696" s="77"/>
      <c r="P696" s="77"/>
      <c r="Q696" s="77"/>
      <c r="R696" s="77"/>
      <c r="S696" s="77"/>
      <c r="T696" s="77"/>
      <c r="U696" s="77"/>
      <c r="V696" s="78" t="s">
        <v>3691</v>
      </c>
      <c r="W696" s="77"/>
      <c r="X696" s="77"/>
      <c r="Y696" s="77"/>
      <c r="Z696" s="72" t="s">
        <v>3692</v>
      </c>
      <c r="AA696" s="76">
        <v>2.0</v>
      </c>
      <c r="AB696" s="77"/>
      <c r="AC696" s="79"/>
      <c r="AD696" s="54"/>
      <c r="AE696" s="54"/>
      <c r="AF696" s="54"/>
      <c r="AG696" s="54"/>
      <c r="AH696" s="54"/>
      <c r="AI696" s="44"/>
      <c r="AJ696" s="44"/>
      <c r="AK696" s="44"/>
      <c r="AL696" s="44"/>
      <c r="AM696" s="44"/>
      <c r="AN696" s="44"/>
      <c r="AO696" s="44"/>
      <c r="AP696" s="44"/>
      <c r="AQ696" s="44"/>
      <c r="AR696" s="44"/>
      <c r="AS696" s="44"/>
      <c r="AT696" s="41"/>
      <c r="AU696" s="41"/>
      <c r="AV696" s="45"/>
      <c r="AW696" s="44"/>
      <c r="AX696" s="45"/>
    </row>
    <row r="697">
      <c r="A697" s="60" t="s">
        <v>3603</v>
      </c>
      <c r="B697" s="61">
        <v>45926.388283831024</v>
      </c>
      <c r="C697" s="68" t="s">
        <v>3693</v>
      </c>
      <c r="D697" s="63" t="s">
        <v>3605</v>
      </c>
      <c r="E697" s="68" t="s">
        <v>3694</v>
      </c>
      <c r="F697" s="64" t="s">
        <v>3603</v>
      </c>
      <c r="G697" s="62">
        <v>500.0</v>
      </c>
      <c r="H697" s="62">
        <v>10.0</v>
      </c>
      <c r="I697" s="62">
        <v>10.0</v>
      </c>
      <c r="J697" s="62">
        <v>0.0</v>
      </c>
      <c r="K697" s="66"/>
      <c r="L697" s="66"/>
      <c r="M697" s="66"/>
      <c r="N697" s="62">
        <v>10.0</v>
      </c>
      <c r="O697" s="66"/>
      <c r="P697" s="66"/>
      <c r="Q697" s="66"/>
      <c r="R697" s="66"/>
      <c r="S697" s="66"/>
      <c r="T697" s="66"/>
      <c r="U697" s="66"/>
      <c r="V697" s="67" t="s">
        <v>3695</v>
      </c>
      <c r="W697" s="66"/>
      <c r="X697" s="66"/>
      <c r="Y697" s="66"/>
      <c r="Z697" s="68" t="s">
        <v>3692</v>
      </c>
      <c r="AA697" s="62">
        <v>2.0</v>
      </c>
      <c r="AB697" s="66"/>
      <c r="AC697" s="69"/>
      <c r="AD697" s="37"/>
      <c r="AE697" s="37"/>
      <c r="AF697" s="37"/>
      <c r="AG697" s="37"/>
      <c r="AH697" s="37"/>
      <c r="AI697" s="31"/>
      <c r="AJ697" s="31"/>
      <c r="AK697" s="31"/>
      <c r="AL697" s="31"/>
      <c r="AM697" s="31"/>
      <c r="AN697" s="31"/>
      <c r="AO697" s="31"/>
      <c r="AP697" s="31"/>
      <c r="AQ697" s="31"/>
      <c r="AR697" s="31"/>
      <c r="AS697" s="31"/>
      <c r="AT697" s="36"/>
      <c r="AU697" s="36"/>
      <c r="AV697" s="34"/>
      <c r="AW697" s="31"/>
      <c r="AX697" s="34"/>
    </row>
    <row r="698">
      <c r="A698" s="70" t="s">
        <v>3609</v>
      </c>
      <c r="B698" s="71">
        <v>45926.43674682871</v>
      </c>
      <c r="C698" s="72" t="s">
        <v>3696</v>
      </c>
      <c r="D698" s="73" t="s">
        <v>3611</v>
      </c>
      <c r="E698" s="72" t="s">
        <v>3697</v>
      </c>
      <c r="F698" s="74" t="s">
        <v>3609</v>
      </c>
      <c r="G698" s="76">
        <v>634.0</v>
      </c>
      <c r="H698" s="76">
        <v>9.0</v>
      </c>
      <c r="I698" s="76">
        <v>9.0</v>
      </c>
      <c r="J698" s="76">
        <v>0.0</v>
      </c>
      <c r="K698" s="77"/>
      <c r="L698" s="77"/>
      <c r="M698" s="77"/>
      <c r="N698" s="76">
        <v>8.0</v>
      </c>
      <c r="O698" s="77"/>
      <c r="P698" s="77"/>
      <c r="Q698" s="77"/>
      <c r="R698" s="77"/>
      <c r="S698" s="77"/>
      <c r="T698" s="77"/>
      <c r="U698" s="77"/>
      <c r="V698" s="78" t="s">
        <v>3698</v>
      </c>
      <c r="W698" s="77"/>
      <c r="X698" s="77"/>
      <c r="Y698" s="77"/>
      <c r="Z698" s="72" t="s">
        <v>3602</v>
      </c>
      <c r="AA698" s="76">
        <v>2.0</v>
      </c>
      <c r="AB698" s="77"/>
      <c r="AC698" s="79"/>
      <c r="AD698" s="54"/>
      <c r="AE698" s="54"/>
      <c r="AF698" s="54"/>
      <c r="AG698" s="54"/>
      <c r="AH698" s="54"/>
      <c r="AI698" s="44"/>
      <c r="AJ698" s="44"/>
      <c r="AK698" s="44"/>
      <c r="AL698" s="44"/>
      <c r="AM698" s="44"/>
      <c r="AN698" s="44"/>
      <c r="AO698" s="44"/>
      <c r="AP698" s="44"/>
      <c r="AQ698" s="44"/>
      <c r="AR698" s="44"/>
      <c r="AS698" s="44"/>
      <c r="AT698" s="41"/>
      <c r="AU698" s="41"/>
      <c r="AV698" s="45"/>
      <c r="AW698" s="44"/>
      <c r="AX698" s="45"/>
    </row>
    <row r="699">
      <c r="A699" s="60" t="s">
        <v>3597</v>
      </c>
      <c r="B699" s="61">
        <v>45926.4423553125</v>
      </c>
      <c r="C699" s="68" t="s">
        <v>3598</v>
      </c>
      <c r="D699" s="63" t="s">
        <v>3599</v>
      </c>
      <c r="E699" s="68" t="s">
        <v>3699</v>
      </c>
      <c r="F699" s="64" t="s">
        <v>3597</v>
      </c>
      <c r="G699" s="62">
        <v>888.0</v>
      </c>
      <c r="H699" s="62">
        <v>8.0</v>
      </c>
      <c r="I699" s="62">
        <v>8.0</v>
      </c>
      <c r="J699" s="62">
        <v>0.0</v>
      </c>
      <c r="K699" s="66"/>
      <c r="L699" s="66"/>
      <c r="M699" s="66"/>
      <c r="N699" s="62">
        <v>9.0</v>
      </c>
      <c r="O699" s="66"/>
      <c r="P699" s="66"/>
      <c r="Q699" s="66"/>
      <c r="R699" s="66"/>
      <c r="S699" s="66"/>
      <c r="T699" s="66"/>
      <c r="U699" s="66"/>
      <c r="V699" s="67" t="s">
        <v>3700</v>
      </c>
      <c r="W699" s="66"/>
      <c r="X699" s="66"/>
      <c r="Y699" s="66"/>
      <c r="Z699" s="68" t="s">
        <v>3602</v>
      </c>
      <c r="AA699" s="62">
        <v>2.0</v>
      </c>
      <c r="AB699" s="66"/>
      <c r="AC699" s="69"/>
      <c r="AD699" s="37"/>
      <c r="AE699" s="37"/>
      <c r="AF699" s="37"/>
      <c r="AG699" s="37"/>
      <c r="AH699" s="37"/>
      <c r="AI699" s="31"/>
      <c r="AJ699" s="31"/>
      <c r="AK699" s="31"/>
      <c r="AL699" s="31"/>
      <c r="AM699" s="31"/>
      <c r="AN699" s="31"/>
      <c r="AO699" s="31"/>
      <c r="AP699" s="31"/>
      <c r="AQ699" s="31"/>
      <c r="AR699" s="31"/>
      <c r="AS699" s="31"/>
      <c r="AT699" s="36"/>
      <c r="AU699" s="36"/>
      <c r="AV699" s="34"/>
      <c r="AW699" s="31"/>
      <c r="AX699" s="34"/>
    </row>
    <row r="700">
      <c r="A700" s="70" t="s">
        <v>3591</v>
      </c>
      <c r="B700" s="71">
        <v>45927.397810208335</v>
      </c>
      <c r="C700" s="72" t="s">
        <v>3701</v>
      </c>
      <c r="D700" s="73" t="s">
        <v>3702</v>
      </c>
      <c r="E700" s="72" t="s">
        <v>3703</v>
      </c>
      <c r="F700" s="74" t="s">
        <v>3591</v>
      </c>
      <c r="G700" s="76">
        <v>550.0</v>
      </c>
      <c r="H700" s="76">
        <v>9.0</v>
      </c>
      <c r="I700" s="76">
        <v>9.0</v>
      </c>
      <c r="J700" s="76">
        <v>0.0</v>
      </c>
      <c r="K700" s="77"/>
      <c r="L700" s="77"/>
      <c r="M700" s="77"/>
      <c r="N700" s="76">
        <v>8.0</v>
      </c>
      <c r="O700" s="77"/>
      <c r="P700" s="77"/>
      <c r="Q700" s="77"/>
      <c r="R700" s="77"/>
      <c r="S700" s="77"/>
      <c r="T700" s="77"/>
      <c r="U700" s="77"/>
      <c r="V700" s="78" t="s">
        <v>3704</v>
      </c>
      <c r="W700" s="77"/>
      <c r="X700" s="77"/>
      <c r="Y700" s="77"/>
      <c r="Z700" s="72" t="s">
        <v>3705</v>
      </c>
      <c r="AA700" s="76">
        <v>2.0</v>
      </c>
      <c r="AB700" s="77"/>
      <c r="AC700" s="79"/>
      <c r="AD700" s="54"/>
      <c r="AE700" s="54"/>
      <c r="AF700" s="54"/>
      <c r="AG700" s="54"/>
      <c r="AH700" s="54"/>
      <c r="AI700" s="44"/>
      <c r="AJ700" s="44"/>
      <c r="AK700" s="44"/>
      <c r="AL700" s="44"/>
      <c r="AM700" s="44"/>
      <c r="AN700" s="44"/>
      <c r="AO700" s="44"/>
      <c r="AP700" s="44"/>
      <c r="AQ700" s="44"/>
      <c r="AR700" s="44"/>
      <c r="AS700" s="44"/>
      <c r="AT700" s="41"/>
      <c r="AU700" s="41"/>
      <c r="AV700" s="45"/>
      <c r="AW700" s="44"/>
      <c r="AX700" s="45"/>
    </row>
    <row r="701">
      <c r="A701" s="60" t="s">
        <v>3706</v>
      </c>
      <c r="B701" s="61">
        <v>45927.64794048612</v>
      </c>
      <c r="C701" s="68" t="s">
        <v>3707</v>
      </c>
      <c r="D701" s="63" t="s">
        <v>3708</v>
      </c>
      <c r="E701" s="68" t="s">
        <v>3709</v>
      </c>
      <c r="F701" s="64" t="s">
        <v>3706</v>
      </c>
      <c r="G701" s="62">
        <v>213.0</v>
      </c>
      <c r="H701" s="62">
        <v>9.0</v>
      </c>
      <c r="I701" s="62">
        <v>8.0</v>
      </c>
      <c r="J701" s="62">
        <v>1.0</v>
      </c>
      <c r="K701" s="66"/>
      <c r="L701" s="66"/>
      <c r="M701" s="66"/>
      <c r="N701" s="62">
        <v>8.0</v>
      </c>
      <c r="O701" s="66"/>
      <c r="P701" s="66"/>
      <c r="Q701" s="66"/>
      <c r="R701" s="66"/>
      <c r="S701" s="66"/>
      <c r="T701" s="66"/>
      <c r="U701" s="66"/>
      <c r="V701" s="67" t="s">
        <v>3710</v>
      </c>
      <c r="W701" s="66"/>
      <c r="X701" s="66"/>
      <c r="Y701" s="66"/>
      <c r="Z701" s="68" t="s">
        <v>3711</v>
      </c>
      <c r="AA701" s="62">
        <v>3.0</v>
      </c>
      <c r="AB701" s="66"/>
      <c r="AC701" s="69"/>
      <c r="AD701" s="37"/>
      <c r="AE701" s="37"/>
      <c r="AF701" s="37"/>
      <c r="AG701" s="37"/>
      <c r="AH701" s="37"/>
      <c r="AI701" s="31"/>
      <c r="AJ701" s="31"/>
      <c r="AK701" s="31"/>
      <c r="AL701" s="31"/>
      <c r="AM701" s="31"/>
      <c r="AN701" s="31"/>
      <c r="AO701" s="31"/>
      <c r="AP701" s="31"/>
      <c r="AQ701" s="31"/>
      <c r="AR701" s="31"/>
      <c r="AS701" s="31"/>
      <c r="AT701" s="36"/>
      <c r="AU701" s="36"/>
      <c r="AV701" s="34"/>
      <c r="AW701" s="31"/>
      <c r="AX701" s="34"/>
    </row>
    <row r="702">
      <c r="A702" s="70" t="s">
        <v>3712</v>
      </c>
      <c r="B702" s="71">
        <v>45927.68492609954</v>
      </c>
      <c r="C702" s="72" t="s">
        <v>3713</v>
      </c>
      <c r="D702" s="73" t="s">
        <v>3714</v>
      </c>
      <c r="E702" s="72" t="s">
        <v>3715</v>
      </c>
      <c r="F702" s="74" t="s">
        <v>3712</v>
      </c>
      <c r="G702" s="76">
        <v>354.0</v>
      </c>
      <c r="H702" s="76">
        <v>8.0</v>
      </c>
      <c r="I702" s="76">
        <v>8.0</v>
      </c>
      <c r="J702" s="76">
        <v>0.0</v>
      </c>
      <c r="K702" s="77"/>
      <c r="L702" s="77"/>
      <c r="M702" s="77"/>
      <c r="N702" s="76">
        <v>9.0</v>
      </c>
      <c r="O702" s="77"/>
      <c r="P702" s="77"/>
      <c r="Q702" s="77"/>
      <c r="R702" s="77"/>
      <c r="S702" s="77"/>
      <c r="T702" s="77"/>
      <c r="U702" s="77"/>
      <c r="V702" s="78" t="s">
        <v>3716</v>
      </c>
      <c r="W702" s="77"/>
      <c r="X702" s="77"/>
      <c r="Y702" s="77"/>
      <c r="Z702" s="72" t="s">
        <v>3717</v>
      </c>
      <c r="AA702" s="76">
        <v>2.0</v>
      </c>
      <c r="AB702" s="77"/>
      <c r="AC702" s="79"/>
      <c r="AD702" s="54"/>
      <c r="AE702" s="54"/>
      <c r="AF702" s="54"/>
      <c r="AG702" s="54"/>
      <c r="AH702" s="54"/>
      <c r="AI702" s="44"/>
      <c r="AJ702" s="44"/>
      <c r="AK702" s="44"/>
      <c r="AL702" s="44"/>
      <c r="AM702" s="44"/>
      <c r="AN702" s="44"/>
      <c r="AO702" s="44"/>
      <c r="AP702" s="44"/>
      <c r="AQ702" s="44"/>
      <c r="AR702" s="44"/>
      <c r="AS702" s="44"/>
      <c r="AT702" s="41"/>
      <c r="AU702" s="41"/>
      <c r="AV702" s="45"/>
      <c r="AW702" s="44"/>
      <c r="AX702" s="45"/>
    </row>
    <row r="703">
      <c r="A703" s="60" t="s">
        <v>3718</v>
      </c>
      <c r="B703" s="61">
        <v>45927.6872399537</v>
      </c>
      <c r="C703" s="68" t="s">
        <v>3719</v>
      </c>
      <c r="D703" s="63" t="s">
        <v>3720</v>
      </c>
      <c r="E703" s="68" t="s">
        <v>3721</v>
      </c>
      <c r="F703" s="64" t="s">
        <v>3718</v>
      </c>
      <c r="G703" s="62">
        <v>103.0</v>
      </c>
      <c r="H703" s="62">
        <v>9.0</v>
      </c>
      <c r="I703" s="62">
        <v>9.0</v>
      </c>
      <c r="J703" s="62">
        <v>0.0</v>
      </c>
      <c r="K703" s="66"/>
      <c r="L703" s="66"/>
      <c r="M703" s="66"/>
      <c r="N703" s="62">
        <v>9.0</v>
      </c>
      <c r="O703" s="66"/>
      <c r="P703" s="66"/>
      <c r="Q703" s="66"/>
      <c r="R703" s="66"/>
      <c r="S703" s="66"/>
      <c r="T703" s="66"/>
      <c r="U703" s="66"/>
      <c r="V703" s="67" t="s">
        <v>3722</v>
      </c>
      <c r="W703" s="66"/>
      <c r="X703" s="66"/>
      <c r="Y703" s="66"/>
      <c r="Z703" s="68" t="s">
        <v>3723</v>
      </c>
      <c r="AA703" s="62">
        <v>3.0</v>
      </c>
      <c r="AB703" s="66"/>
      <c r="AC703" s="190">
        <v>3.0</v>
      </c>
      <c r="AD703" s="37"/>
      <c r="AE703" s="37"/>
      <c r="AF703" s="37"/>
      <c r="AG703" s="37"/>
      <c r="AH703" s="37"/>
      <c r="AI703" s="31"/>
      <c r="AJ703" s="31"/>
      <c r="AK703" s="31"/>
      <c r="AL703" s="31"/>
      <c r="AM703" s="31"/>
      <c r="AN703" s="31"/>
      <c r="AO703" s="31"/>
      <c r="AP703" s="31"/>
      <c r="AQ703" s="31"/>
      <c r="AR703" s="31"/>
      <c r="AS703" s="31"/>
      <c r="AT703" s="36"/>
      <c r="AU703" s="36"/>
      <c r="AV703" s="34"/>
      <c r="AW703" s="31"/>
      <c r="AX703" s="34"/>
    </row>
    <row r="704">
      <c r="A704" s="70" t="s">
        <v>3555</v>
      </c>
      <c r="B704" s="71">
        <v>45928.23609521991</v>
      </c>
      <c r="C704" s="72" t="s">
        <v>3556</v>
      </c>
      <c r="D704" s="73" t="s">
        <v>3557</v>
      </c>
      <c r="E704" s="72" t="s">
        <v>3724</v>
      </c>
      <c r="F704" s="74" t="s">
        <v>3555</v>
      </c>
      <c r="G704" s="76">
        <v>4500.0</v>
      </c>
      <c r="H704" s="76">
        <v>10.0</v>
      </c>
      <c r="I704" s="76">
        <v>10.0</v>
      </c>
      <c r="J704" s="76">
        <v>0.0</v>
      </c>
      <c r="K704" s="77"/>
      <c r="L704" s="77"/>
      <c r="M704" s="77"/>
      <c r="N704" s="76">
        <v>9.0</v>
      </c>
      <c r="O704" s="77"/>
      <c r="P704" s="77"/>
      <c r="Q704" s="77"/>
      <c r="R704" s="77"/>
      <c r="S704" s="77"/>
      <c r="T704" s="77"/>
      <c r="U704" s="77"/>
      <c r="V704" s="78" t="s">
        <v>3725</v>
      </c>
      <c r="W704" s="72" t="s">
        <v>197</v>
      </c>
      <c r="X704" s="77"/>
      <c r="Y704" s="77"/>
      <c r="Z704" s="72" t="s">
        <v>3560</v>
      </c>
      <c r="AA704" s="76">
        <v>2.0</v>
      </c>
      <c r="AB704" s="77"/>
      <c r="AC704" s="79"/>
      <c r="AD704" s="54"/>
      <c r="AE704" s="54"/>
      <c r="AF704" s="54"/>
      <c r="AG704" s="54"/>
      <c r="AH704" s="54"/>
      <c r="AI704" s="44"/>
      <c r="AJ704" s="44"/>
      <c r="AK704" s="44"/>
      <c r="AL704" s="44"/>
      <c r="AM704" s="44"/>
      <c r="AN704" s="44"/>
      <c r="AO704" s="44"/>
      <c r="AP704" s="44"/>
      <c r="AQ704" s="44"/>
      <c r="AR704" s="44"/>
      <c r="AS704" s="44"/>
      <c r="AT704" s="41"/>
      <c r="AU704" s="41"/>
      <c r="AV704" s="45"/>
      <c r="AW704" s="44"/>
      <c r="AX704" s="45"/>
    </row>
    <row r="705">
      <c r="A705" s="60" t="s">
        <v>670</v>
      </c>
      <c r="B705" s="61">
        <v>45928.25027846065</v>
      </c>
      <c r="C705" s="68" t="s">
        <v>671</v>
      </c>
      <c r="D705" s="63" t="s">
        <v>672</v>
      </c>
      <c r="E705" s="68" t="s">
        <v>3726</v>
      </c>
      <c r="F705" s="64" t="s">
        <v>670</v>
      </c>
      <c r="G705" s="62">
        <v>178.0</v>
      </c>
      <c r="H705" s="62">
        <v>8.0</v>
      </c>
      <c r="I705" s="62">
        <v>9.0</v>
      </c>
      <c r="J705" s="62">
        <v>0.0</v>
      </c>
      <c r="K705" s="66"/>
      <c r="L705" s="66"/>
      <c r="M705" s="66"/>
      <c r="N705" s="62">
        <v>9.0</v>
      </c>
      <c r="O705" s="66"/>
      <c r="P705" s="66"/>
      <c r="Q705" s="66"/>
      <c r="R705" s="66"/>
      <c r="S705" s="66"/>
      <c r="T705" s="66"/>
      <c r="U705" s="66"/>
      <c r="V705" s="67" t="s">
        <v>3727</v>
      </c>
      <c r="W705" s="66"/>
      <c r="X705" s="66"/>
      <c r="Y705" s="66"/>
      <c r="Z705" s="68" t="s">
        <v>1077</v>
      </c>
      <c r="AA705" s="62">
        <v>5.0</v>
      </c>
      <c r="AB705" s="66"/>
      <c r="AC705" s="69"/>
      <c r="AD705" s="37"/>
      <c r="AE705" s="37"/>
      <c r="AF705" s="37"/>
      <c r="AG705" s="37"/>
      <c r="AH705" s="37"/>
      <c r="AI705" s="31"/>
      <c r="AJ705" s="31"/>
      <c r="AK705" s="31"/>
      <c r="AL705" s="31"/>
      <c r="AM705" s="31"/>
      <c r="AN705" s="31"/>
      <c r="AO705" s="31"/>
      <c r="AP705" s="31"/>
      <c r="AQ705" s="31"/>
      <c r="AR705" s="31"/>
      <c r="AS705" s="31"/>
      <c r="AT705" s="36"/>
      <c r="AU705" s="36"/>
      <c r="AV705" s="34"/>
      <c r="AW705" s="31"/>
      <c r="AX705" s="34"/>
    </row>
    <row r="706">
      <c r="A706" s="70" t="s">
        <v>1075</v>
      </c>
      <c r="B706" s="71">
        <v>45928.25166496528</v>
      </c>
      <c r="C706" s="72" t="s">
        <v>671</v>
      </c>
      <c r="D706" s="73" t="s">
        <v>672</v>
      </c>
      <c r="E706" s="72" t="s">
        <v>673</v>
      </c>
      <c r="F706" s="74" t="s">
        <v>1075</v>
      </c>
      <c r="G706" s="76">
        <v>189.0</v>
      </c>
      <c r="H706" s="76">
        <v>9.0</v>
      </c>
      <c r="I706" s="76">
        <v>8.0</v>
      </c>
      <c r="J706" s="76">
        <v>0.0</v>
      </c>
      <c r="K706" s="77"/>
      <c r="L706" s="77"/>
      <c r="M706" s="77"/>
      <c r="N706" s="76">
        <v>9.0</v>
      </c>
      <c r="O706" s="77"/>
      <c r="P706" s="77"/>
      <c r="Q706" s="77"/>
      <c r="R706" s="77"/>
      <c r="S706" s="77"/>
      <c r="T706" s="77"/>
      <c r="U706" s="77"/>
      <c r="V706" s="78" t="s">
        <v>3728</v>
      </c>
      <c r="W706" s="77"/>
      <c r="X706" s="77"/>
      <c r="Y706" s="77"/>
      <c r="Z706" s="72" t="s">
        <v>1077</v>
      </c>
      <c r="AA706" s="76">
        <v>6.0</v>
      </c>
      <c r="AB706" s="77"/>
      <c r="AC706" s="79"/>
      <c r="AD706" s="54"/>
      <c r="AE706" s="54"/>
      <c r="AF706" s="54"/>
      <c r="AG706" s="54"/>
      <c r="AH706" s="54"/>
      <c r="AI706" s="44"/>
      <c r="AJ706" s="44"/>
      <c r="AK706" s="44"/>
      <c r="AL706" s="44"/>
      <c r="AM706" s="44"/>
      <c r="AN706" s="44"/>
      <c r="AO706" s="44"/>
      <c r="AP706" s="44"/>
      <c r="AQ706" s="44"/>
      <c r="AR706" s="44"/>
      <c r="AS706" s="44"/>
      <c r="AT706" s="41"/>
      <c r="AU706" s="41"/>
      <c r="AV706" s="45"/>
      <c r="AW706" s="44"/>
      <c r="AX706" s="45"/>
    </row>
    <row r="707">
      <c r="A707" s="60" t="s">
        <v>3549</v>
      </c>
      <c r="B707" s="61">
        <v>45929.08618525463</v>
      </c>
      <c r="C707" s="68" t="s">
        <v>3729</v>
      </c>
      <c r="D707" s="63" t="s">
        <v>3730</v>
      </c>
      <c r="E707" s="68" t="s">
        <v>3731</v>
      </c>
      <c r="F707" s="64" t="s">
        <v>3549</v>
      </c>
      <c r="G707" s="62">
        <v>159.0</v>
      </c>
      <c r="H707" s="62">
        <v>5.0</v>
      </c>
      <c r="I707" s="62">
        <v>0.0</v>
      </c>
      <c r="J707" s="62">
        <v>4.0</v>
      </c>
      <c r="K707" s="66"/>
      <c r="L707" s="66"/>
      <c r="M707" s="66"/>
      <c r="N707" s="62">
        <v>10.0</v>
      </c>
      <c r="O707" s="66"/>
      <c r="P707" s="66"/>
      <c r="Q707" s="66"/>
      <c r="R707" s="66"/>
      <c r="S707" s="66"/>
      <c r="T707" s="66"/>
      <c r="U707" s="66"/>
      <c r="V707" s="67" t="s">
        <v>3732</v>
      </c>
      <c r="W707" s="66"/>
      <c r="X707" s="66"/>
      <c r="Y707" s="66"/>
      <c r="Z707" s="68" t="s">
        <v>3733</v>
      </c>
      <c r="AA707" s="62">
        <v>3.0</v>
      </c>
      <c r="AB707" s="66"/>
      <c r="AC707" s="69"/>
      <c r="AD707" s="37"/>
      <c r="AE707" s="37"/>
      <c r="AF707" s="37"/>
      <c r="AG707" s="37"/>
      <c r="AH707" s="37"/>
      <c r="AI707" s="31"/>
      <c r="AJ707" s="31"/>
      <c r="AK707" s="31"/>
      <c r="AL707" s="31"/>
      <c r="AM707" s="31"/>
      <c r="AN707" s="31"/>
      <c r="AO707" s="31"/>
      <c r="AP707" s="31"/>
      <c r="AQ707" s="31"/>
      <c r="AR707" s="31"/>
      <c r="AS707" s="31"/>
      <c r="AT707" s="36"/>
      <c r="AU707" s="36"/>
      <c r="AV707" s="34"/>
      <c r="AW707" s="31"/>
      <c r="AX707" s="34"/>
    </row>
    <row r="708">
      <c r="A708" s="70" t="s">
        <v>3734</v>
      </c>
      <c r="B708" s="71">
        <v>45933.18271212963</v>
      </c>
      <c r="C708" s="72" t="s">
        <v>3507</v>
      </c>
      <c r="D708" s="73" t="s">
        <v>3508</v>
      </c>
      <c r="E708" s="72" t="s">
        <v>3735</v>
      </c>
      <c r="F708" s="74" t="s">
        <v>3734</v>
      </c>
      <c r="G708" s="76">
        <v>447.0</v>
      </c>
      <c r="H708" s="76">
        <v>10.0</v>
      </c>
      <c r="I708" s="76">
        <v>10.0</v>
      </c>
      <c r="J708" s="76">
        <v>0.0</v>
      </c>
      <c r="K708" s="77"/>
      <c r="L708" s="77"/>
      <c r="M708" s="77"/>
      <c r="N708" s="76">
        <v>10.0</v>
      </c>
      <c r="O708" s="77"/>
      <c r="P708" s="77"/>
      <c r="Q708" s="77"/>
      <c r="R708" s="77"/>
      <c r="S708" s="77"/>
      <c r="T708" s="77"/>
      <c r="U708" s="77"/>
      <c r="V708" s="78" t="s">
        <v>3736</v>
      </c>
      <c r="W708" s="77"/>
      <c r="X708" s="77"/>
      <c r="Y708" s="77"/>
      <c r="Z708" s="72" t="s">
        <v>3511</v>
      </c>
      <c r="AA708" s="76">
        <v>3.0</v>
      </c>
      <c r="AB708" s="77"/>
      <c r="AC708" s="79"/>
      <c r="AD708" s="54"/>
      <c r="AE708" s="54"/>
      <c r="AF708" s="54"/>
      <c r="AG708" s="54"/>
      <c r="AH708" s="54"/>
      <c r="AI708" s="44"/>
      <c r="AJ708" s="44"/>
      <c r="AK708" s="44"/>
      <c r="AL708" s="44"/>
      <c r="AM708" s="44"/>
      <c r="AN708" s="44"/>
      <c r="AO708" s="44"/>
      <c r="AP708" s="44"/>
      <c r="AQ708" s="44"/>
      <c r="AR708" s="44"/>
      <c r="AS708" s="44"/>
      <c r="AT708" s="41"/>
      <c r="AU708" s="41"/>
      <c r="AV708" s="45"/>
      <c r="AW708" s="44"/>
      <c r="AX708" s="45"/>
    </row>
    <row r="709">
      <c r="A709" s="60" t="s">
        <v>3499</v>
      </c>
      <c r="B709" s="61">
        <v>45933.22402854166</v>
      </c>
      <c r="C709" s="68" t="s">
        <v>3737</v>
      </c>
      <c r="D709" s="63" t="s">
        <v>3738</v>
      </c>
      <c r="E709" s="62" t="s">
        <v>3739</v>
      </c>
      <c r="F709" s="64" t="s">
        <v>3499</v>
      </c>
      <c r="G709" s="68" t="s">
        <v>3740</v>
      </c>
      <c r="H709" s="62">
        <v>8.0</v>
      </c>
      <c r="I709" s="62">
        <v>7.0</v>
      </c>
      <c r="J709" s="68" t="s">
        <v>197</v>
      </c>
      <c r="K709" s="66"/>
      <c r="L709" s="66"/>
      <c r="M709" s="66"/>
      <c r="N709" s="62">
        <v>6.0</v>
      </c>
      <c r="O709" s="66"/>
      <c r="P709" s="66"/>
      <c r="Q709" s="66"/>
      <c r="R709" s="66"/>
      <c r="S709" s="66"/>
      <c r="T709" s="66"/>
      <c r="U709" s="66"/>
      <c r="V709" s="67" t="s">
        <v>3741</v>
      </c>
      <c r="W709" s="62" t="s">
        <v>3742</v>
      </c>
      <c r="X709" s="66"/>
      <c r="Y709" s="66"/>
      <c r="Z709" s="68" t="s">
        <v>3505</v>
      </c>
      <c r="AA709" s="62">
        <v>3.0</v>
      </c>
      <c r="AB709" s="66"/>
      <c r="AC709" s="69"/>
      <c r="AD709" s="37"/>
      <c r="AE709" s="37"/>
      <c r="AF709" s="37"/>
      <c r="AG709" s="37"/>
      <c r="AH709" s="37"/>
      <c r="AI709" s="31"/>
      <c r="AJ709" s="31"/>
      <c r="AK709" s="31"/>
      <c r="AL709" s="31"/>
      <c r="AM709" s="31"/>
      <c r="AN709" s="31"/>
      <c r="AO709" s="31"/>
      <c r="AP709" s="31"/>
      <c r="AQ709" s="31"/>
      <c r="AR709" s="31"/>
      <c r="AS709" s="31"/>
      <c r="AT709" s="36"/>
      <c r="AU709" s="36"/>
      <c r="AV709" s="34"/>
      <c r="AW709" s="31"/>
      <c r="AX709" s="34"/>
    </row>
    <row r="710">
      <c r="A710" s="70" t="s">
        <v>3555</v>
      </c>
      <c r="B710" s="71">
        <v>45933.237424293984</v>
      </c>
      <c r="C710" s="72" t="s">
        <v>3556</v>
      </c>
      <c r="D710" s="73" t="s">
        <v>3557</v>
      </c>
      <c r="E710" s="72" t="s">
        <v>3743</v>
      </c>
      <c r="F710" s="74" t="s">
        <v>3555</v>
      </c>
      <c r="G710" s="76">
        <v>5500.0</v>
      </c>
      <c r="H710" s="76">
        <v>9.0</v>
      </c>
      <c r="I710" s="76">
        <v>10.0</v>
      </c>
      <c r="J710" s="76">
        <v>0.0</v>
      </c>
      <c r="K710" s="77"/>
      <c r="L710" s="77"/>
      <c r="M710" s="77"/>
      <c r="N710" s="76">
        <v>9.0</v>
      </c>
      <c r="O710" s="77"/>
      <c r="P710" s="77"/>
      <c r="Q710" s="77"/>
      <c r="R710" s="77"/>
      <c r="S710" s="77"/>
      <c r="T710" s="77"/>
      <c r="U710" s="77"/>
      <c r="V710" s="78" t="s">
        <v>3744</v>
      </c>
      <c r="W710" s="72" t="s">
        <v>197</v>
      </c>
      <c r="X710" s="77"/>
      <c r="Y710" s="77"/>
      <c r="Z710" s="72" t="s">
        <v>3560</v>
      </c>
      <c r="AA710" s="76">
        <v>3.0</v>
      </c>
      <c r="AB710" s="77"/>
      <c r="AC710" s="79"/>
      <c r="AD710" s="54"/>
      <c r="AE710" s="54"/>
      <c r="AF710" s="54"/>
      <c r="AG710" s="54"/>
      <c r="AH710" s="54"/>
      <c r="AI710" s="44"/>
      <c r="AJ710" s="44"/>
      <c r="AK710" s="44"/>
      <c r="AL710" s="44"/>
      <c r="AM710" s="44"/>
      <c r="AN710" s="44"/>
      <c r="AO710" s="44"/>
      <c r="AP710" s="44"/>
      <c r="AQ710" s="44"/>
      <c r="AR710" s="44"/>
      <c r="AS710" s="44"/>
      <c r="AT710" s="41"/>
      <c r="AU710" s="41"/>
      <c r="AV710" s="45"/>
      <c r="AW710" s="44"/>
      <c r="AX710" s="45"/>
    </row>
    <row r="711">
      <c r="A711" s="60" t="s">
        <v>3518</v>
      </c>
      <c r="B711" s="61">
        <v>45933.241231990745</v>
      </c>
      <c r="C711" s="68" t="s">
        <v>3519</v>
      </c>
      <c r="D711" s="63" t="s">
        <v>3520</v>
      </c>
      <c r="E711" s="68" t="s">
        <v>3745</v>
      </c>
      <c r="F711" s="64" t="s">
        <v>3518</v>
      </c>
      <c r="G711" s="62">
        <v>800.0</v>
      </c>
      <c r="H711" s="62">
        <v>8.0</v>
      </c>
      <c r="I711" s="62">
        <v>8.0</v>
      </c>
      <c r="J711" s="62">
        <v>1.0</v>
      </c>
      <c r="K711" s="66"/>
      <c r="L711" s="66"/>
      <c r="M711" s="66"/>
      <c r="N711" s="62">
        <v>8.0</v>
      </c>
      <c r="O711" s="66"/>
      <c r="P711" s="66"/>
      <c r="Q711" s="66"/>
      <c r="R711" s="66"/>
      <c r="S711" s="66"/>
      <c r="T711" s="66"/>
      <c r="U711" s="66"/>
      <c r="V711" s="67" t="s">
        <v>3746</v>
      </c>
      <c r="W711" s="68" t="s">
        <v>197</v>
      </c>
      <c r="X711" s="66"/>
      <c r="Y711" s="66"/>
      <c r="Z711" s="68" t="s">
        <v>3523</v>
      </c>
      <c r="AA711" s="62">
        <v>3.0</v>
      </c>
      <c r="AB711" s="66"/>
      <c r="AC711" s="69"/>
      <c r="AD711" s="37"/>
      <c r="AE711" s="37"/>
      <c r="AF711" s="37"/>
      <c r="AG711" s="37"/>
      <c r="AH711" s="37"/>
      <c r="AI711" s="31"/>
      <c r="AJ711" s="31"/>
      <c r="AK711" s="31"/>
      <c r="AL711" s="31"/>
      <c r="AM711" s="31"/>
      <c r="AN711" s="31"/>
      <c r="AO711" s="31"/>
      <c r="AP711" s="31"/>
      <c r="AQ711" s="31"/>
      <c r="AR711" s="31"/>
      <c r="AS711" s="31"/>
      <c r="AT711" s="36"/>
      <c r="AU711" s="36"/>
      <c r="AV711" s="34"/>
      <c r="AW711" s="31"/>
      <c r="AX711" s="34"/>
    </row>
    <row r="712">
      <c r="A712" s="70" t="s">
        <v>3524</v>
      </c>
      <c r="B712" s="71">
        <v>45933.24414541667</v>
      </c>
      <c r="C712" s="72" t="s">
        <v>3525</v>
      </c>
      <c r="D712" s="73" t="s">
        <v>3648</v>
      </c>
      <c r="E712" s="72" t="s">
        <v>3747</v>
      </c>
      <c r="F712" s="74" t="s">
        <v>3524</v>
      </c>
      <c r="G712" s="76">
        <v>1154.0</v>
      </c>
      <c r="H712" s="76">
        <v>10.0</v>
      </c>
      <c r="I712" s="76">
        <v>9.0</v>
      </c>
      <c r="J712" s="72" t="s">
        <v>3748</v>
      </c>
      <c r="K712" s="77"/>
      <c r="L712" s="77"/>
      <c r="M712" s="77"/>
      <c r="N712" s="76">
        <v>8.0</v>
      </c>
      <c r="O712" s="77"/>
      <c r="P712" s="77"/>
      <c r="Q712" s="77"/>
      <c r="R712" s="77"/>
      <c r="S712" s="77"/>
      <c r="T712" s="77"/>
      <c r="U712" s="77"/>
      <c r="V712" s="78" t="s">
        <v>3749</v>
      </c>
      <c r="W712" s="77"/>
      <c r="X712" s="77"/>
      <c r="Y712" s="77"/>
      <c r="Z712" s="72" t="s">
        <v>3530</v>
      </c>
      <c r="AA712" s="76">
        <v>3.0</v>
      </c>
      <c r="AB712" s="77"/>
      <c r="AC712" s="79"/>
      <c r="AD712" s="54"/>
      <c r="AE712" s="54"/>
      <c r="AF712" s="54"/>
      <c r="AG712" s="54"/>
      <c r="AH712" s="54"/>
      <c r="AI712" s="44"/>
      <c r="AJ712" s="44"/>
      <c r="AK712" s="44"/>
      <c r="AL712" s="44"/>
      <c r="AM712" s="44"/>
      <c r="AN712" s="44"/>
      <c r="AO712" s="44"/>
      <c r="AP712" s="44"/>
      <c r="AQ712" s="44"/>
      <c r="AR712" s="44"/>
      <c r="AS712" s="44"/>
      <c r="AT712" s="41"/>
      <c r="AU712" s="41"/>
      <c r="AV712" s="45"/>
      <c r="AW712" s="44"/>
      <c r="AX712" s="45"/>
    </row>
    <row r="713">
      <c r="A713" s="136" t="s">
        <v>3667</v>
      </c>
      <c r="B713" s="61">
        <v>45933.24414541667</v>
      </c>
      <c r="C713" s="136" t="s">
        <v>3668</v>
      </c>
      <c r="D713" s="137" t="s">
        <v>3587</v>
      </c>
      <c r="E713" s="136" t="s">
        <v>3669</v>
      </c>
      <c r="F713" s="98" t="s">
        <v>3667</v>
      </c>
      <c r="G713" s="139">
        <v>550.0</v>
      </c>
      <c r="H713" s="139">
        <v>8.0</v>
      </c>
      <c r="I713" s="139">
        <v>8.0</v>
      </c>
      <c r="J713" s="139">
        <v>0.0</v>
      </c>
      <c r="K713" s="143"/>
      <c r="L713" s="143"/>
      <c r="M713" s="143"/>
      <c r="N713" s="139">
        <v>9.0</v>
      </c>
      <c r="O713" s="143"/>
      <c r="P713" s="143"/>
      <c r="Q713" s="143"/>
      <c r="R713" s="143"/>
      <c r="S713" s="143"/>
      <c r="T713" s="143"/>
      <c r="U713" s="143"/>
      <c r="V713" s="191" t="s">
        <v>3750</v>
      </c>
      <c r="W713" s="136" t="s">
        <v>197</v>
      </c>
      <c r="X713" s="143"/>
      <c r="Y713" s="143"/>
      <c r="Z713" s="136" t="s">
        <v>3670</v>
      </c>
      <c r="AA713" s="139">
        <v>3.0</v>
      </c>
      <c r="AB713" s="143"/>
      <c r="AC713" s="144"/>
      <c r="AD713" s="37"/>
      <c r="AE713" s="37"/>
      <c r="AF713" s="37"/>
      <c r="AG713" s="37"/>
      <c r="AH713" s="37"/>
      <c r="AI713" s="31"/>
      <c r="AJ713" s="31"/>
      <c r="AK713" s="31"/>
      <c r="AL713" s="31"/>
      <c r="AM713" s="31"/>
      <c r="AN713" s="31"/>
      <c r="AO713" s="31"/>
      <c r="AP713" s="31"/>
      <c r="AQ713" s="31"/>
      <c r="AR713" s="31"/>
      <c r="AS713" s="31"/>
      <c r="AT713" s="36"/>
      <c r="AU713" s="36"/>
      <c r="AV713" s="34"/>
      <c r="AW713" s="31"/>
      <c r="AX713" s="34"/>
    </row>
    <row r="714">
      <c r="A714" s="70" t="s">
        <v>3531</v>
      </c>
      <c r="B714" s="71">
        <v>45933.25291538195</v>
      </c>
      <c r="C714" s="72" t="s">
        <v>3532</v>
      </c>
      <c r="D714" s="73" t="s">
        <v>3533</v>
      </c>
      <c r="E714" s="72" t="s">
        <v>3534</v>
      </c>
      <c r="F714" s="74" t="s">
        <v>3531</v>
      </c>
      <c r="G714" s="76">
        <v>125.0</v>
      </c>
      <c r="H714" s="76">
        <v>9.0</v>
      </c>
      <c r="I714" s="76">
        <v>9.0</v>
      </c>
      <c r="J714" s="76">
        <v>0.0</v>
      </c>
      <c r="K714" s="77"/>
      <c r="L714" s="77"/>
      <c r="M714" s="77"/>
      <c r="N714" s="76">
        <v>8.0</v>
      </c>
      <c r="O714" s="77"/>
      <c r="P714" s="77"/>
      <c r="Q714" s="77"/>
      <c r="R714" s="77"/>
      <c r="S714" s="77"/>
      <c r="T714" s="77"/>
      <c r="U714" s="77"/>
      <c r="V714" s="78" t="s">
        <v>3751</v>
      </c>
      <c r="W714" s="77"/>
      <c r="X714" s="77"/>
      <c r="Y714" s="77"/>
      <c r="Z714" s="72" t="s">
        <v>3536</v>
      </c>
      <c r="AA714" s="76">
        <v>3.0</v>
      </c>
      <c r="AB714" s="77"/>
      <c r="AC714" s="79"/>
      <c r="AD714" s="54"/>
      <c r="AE714" s="54"/>
      <c r="AF714" s="54"/>
      <c r="AG714" s="54"/>
      <c r="AH714" s="54"/>
      <c r="AI714" s="44"/>
      <c r="AJ714" s="44"/>
      <c r="AK714" s="44"/>
      <c r="AL714" s="44"/>
      <c r="AM714" s="44"/>
      <c r="AN714" s="44"/>
      <c r="AO714" s="44"/>
      <c r="AP714" s="44"/>
      <c r="AQ714" s="44"/>
      <c r="AR714" s="44"/>
      <c r="AS714" s="44"/>
      <c r="AT714" s="41"/>
      <c r="AU714" s="41"/>
      <c r="AV714" s="45"/>
      <c r="AW714" s="44"/>
      <c r="AX714" s="45"/>
    </row>
    <row r="715">
      <c r="A715" s="60" t="s">
        <v>3486</v>
      </c>
      <c r="B715" s="61">
        <v>45933.259781064815</v>
      </c>
      <c r="C715" s="68" t="s">
        <v>3635</v>
      </c>
      <c r="D715" s="63" t="s">
        <v>3488</v>
      </c>
      <c r="E715" s="68" t="s">
        <v>3752</v>
      </c>
      <c r="F715" s="64" t="s">
        <v>3486</v>
      </c>
      <c r="G715" s="62">
        <v>32.0</v>
      </c>
      <c r="H715" s="62">
        <v>9.0</v>
      </c>
      <c r="I715" s="62">
        <v>8.0</v>
      </c>
      <c r="J715" s="62">
        <v>0.0</v>
      </c>
      <c r="K715" s="66"/>
      <c r="L715" s="66"/>
      <c r="M715" s="66"/>
      <c r="N715" s="62">
        <v>9.0</v>
      </c>
      <c r="O715" s="66"/>
      <c r="P715" s="66"/>
      <c r="Q715" s="66"/>
      <c r="R715" s="66"/>
      <c r="S715" s="66"/>
      <c r="T715" s="66"/>
      <c r="U715" s="66"/>
      <c r="V715" s="67" t="s">
        <v>3753</v>
      </c>
      <c r="W715" s="66"/>
      <c r="X715" s="66"/>
      <c r="Y715" s="66"/>
      <c r="Z715" s="68" t="s">
        <v>3491</v>
      </c>
      <c r="AA715" s="62">
        <v>3.0</v>
      </c>
      <c r="AB715" s="66"/>
      <c r="AC715" s="69"/>
      <c r="AD715" s="37"/>
      <c r="AE715" s="37"/>
      <c r="AF715" s="37"/>
      <c r="AG715" s="37"/>
      <c r="AH715" s="37"/>
      <c r="AI715" s="31"/>
      <c r="AJ715" s="31"/>
      <c r="AK715" s="31"/>
      <c r="AL715" s="31"/>
      <c r="AM715" s="31"/>
      <c r="AN715" s="31"/>
      <c r="AO715" s="31"/>
      <c r="AP715" s="31"/>
      <c r="AQ715" s="31"/>
      <c r="AR715" s="31"/>
      <c r="AS715" s="31"/>
      <c r="AT715" s="36"/>
      <c r="AU715" s="36"/>
      <c r="AV715" s="34"/>
      <c r="AW715" s="31"/>
      <c r="AX715" s="34"/>
    </row>
    <row r="716">
      <c r="A716" s="70" t="s">
        <v>670</v>
      </c>
      <c r="B716" s="71">
        <v>45933.26429741898</v>
      </c>
      <c r="C716" s="72" t="s">
        <v>671</v>
      </c>
      <c r="D716" s="73" t="s">
        <v>672</v>
      </c>
      <c r="E716" s="72" t="s">
        <v>673</v>
      </c>
      <c r="F716" s="74" t="s">
        <v>670</v>
      </c>
      <c r="G716" s="76">
        <v>197.0</v>
      </c>
      <c r="H716" s="76">
        <v>9.0</v>
      </c>
      <c r="I716" s="76">
        <v>8.0</v>
      </c>
      <c r="J716" s="76">
        <v>1.0</v>
      </c>
      <c r="K716" s="77"/>
      <c r="L716" s="77"/>
      <c r="M716" s="77"/>
      <c r="N716" s="76">
        <v>9.0</v>
      </c>
      <c r="O716" s="77"/>
      <c r="P716" s="77"/>
      <c r="Q716" s="77"/>
      <c r="R716" s="77"/>
      <c r="S716" s="77"/>
      <c r="T716" s="77"/>
      <c r="U716" s="77"/>
      <c r="V716" s="78" t="s">
        <v>3754</v>
      </c>
      <c r="W716" s="77"/>
      <c r="X716" s="77"/>
      <c r="Y716" s="77"/>
      <c r="Z716" s="72" t="s">
        <v>1077</v>
      </c>
      <c r="AA716" s="76">
        <v>7.0</v>
      </c>
      <c r="AB716" s="77"/>
      <c r="AC716" s="79"/>
      <c r="AD716" s="54"/>
      <c r="AE716" s="54"/>
      <c r="AF716" s="54"/>
      <c r="AG716" s="54"/>
      <c r="AH716" s="54"/>
      <c r="AI716" s="44"/>
      <c r="AJ716" s="44"/>
      <c r="AK716" s="44"/>
      <c r="AL716" s="44"/>
      <c r="AM716" s="44"/>
      <c r="AN716" s="44"/>
      <c r="AO716" s="44"/>
      <c r="AP716" s="44"/>
      <c r="AQ716" s="44"/>
      <c r="AR716" s="44"/>
      <c r="AS716" s="44"/>
      <c r="AT716" s="41"/>
      <c r="AU716" s="41"/>
      <c r="AV716" s="45"/>
      <c r="AW716" s="44"/>
      <c r="AX716" s="45"/>
    </row>
    <row r="717">
      <c r="A717" s="60" t="s">
        <v>3561</v>
      </c>
      <c r="B717" s="61">
        <v>45933.264421597225</v>
      </c>
      <c r="C717" s="68" t="s">
        <v>3562</v>
      </c>
      <c r="D717" s="68" t="s">
        <v>3755</v>
      </c>
      <c r="E717" s="68" t="s">
        <v>3756</v>
      </c>
      <c r="F717" s="64" t="s">
        <v>3561</v>
      </c>
      <c r="G717" s="62">
        <v>145.0</v>
      </c>
      <c r="H717" s="62">
        <v>4.0</v>
      </c>
      <c r="I717" s="62">
        <v>4.0</v>
      </c>
      <c r="J717" s="68" t="s">
        <v>3757</v>
      </c>
      <c r="K717" s="66"/>
      <c r="L717" s="66"/>
      <c r="M717" s="66"/>
      <c r="N717" s="62">
        <v>7.0</v>
      </c>
      <c r="O717" s="66"/>
      <c r="P717" s="66"/>
      <c r="Q717" s="66"/>
      <c r="R717" s="66"/>
      <c r="S717" s="66"/>
      <c r="T717" s="66"/>
      <c r="U717" s="66"/>
      <c r="V717" s="67" t="s">
        <v>3758</v>
      </c>
      <c r="W717" s="66"/>
      <c r="X717" s="66"/>
      <c r="Y717" s="66"/>
      <c r="Z717" s="68" t="s">
        <v>3566</v>
      </c>
      <c r="AA717" s="62">
        <v>3.0</v>
      </c>
      <c r="AB717" s="66"/>
      <c r="AC717" s="69"/>
      <c r="AD717" s="37"/>
      <c r="AE717" s="37"/>
      <c r="AF717" s="37"/>
      <c r="AG717" s="37"/>
      <c r="AH717" s="37"/>
      <c r="AI717" s="31"/>
      <c r="AJ717" s="31"/>
      <c r="AK717" s="31"/>
      <c r="AL717" s="31"/>
      <c r="AM717" s="31"/>
      <c r="AN717" s="31"/>
      <c r="AO717" s="31"/>
      <c r="AP717" s="31"/>
      <c r="AQ717" s="31"/>
      <c r="AR717" s="31"/>
      <c r="AS717" s="31"/>
      <c r="AT717" s="36"/>
      <c r="AU717" s="36"/>
      <c r="AV717" s="34"/>
      <c r="AW717" s="31"/>
      <c r="AX717" s="34"/>
    </row>
    <row r="718">
      <c r="A718" s="70" t="s">
        <v>3492</v>
      </c>
      <c r="B718" s="71">
        <v>45933.26488425926</v>
      </c>
      <c r="C718" s="147" t="s">
        <v>3641</v>
      </c>
      <c r="D718" s="148" t="s">
        <v>3494</v>
      </c>
      <c r="E718" s="147" t="s">
        <v>3642</v>
      </c>
      <c r="F718" s="74" t="s">
        <v>3492</v>
      </c>
      <c r="G718" s="150">
        <v>228.0</v>
      </c>
      <c r="H718" s="150">
        <v>8.0</v>
      </c>
      <c r="I718" s="150">
        <v>8.0</v>
      </c>
      <c r="J718" s="150">
        <v>1.0</v>
      </c>
      <c r="K718" s="152"/>
      <c r="L718" s="152"/>
      <c r="M718" s="152"/>
      <c r="N718" s="150">
        <v>7.0</v>
      </c>
      <c r="O718" s="152"/>
      <c r="P718" s="152"/>
      <c r="Q718" s="152"/>
      <c r="R718" s="152"/>
      <c r="S718" s="152"/>
      <c r="T718" s="152"/>
      <c r="U718" s="152"/>
      <c r="V718" s="192" t="s">
        <v>3759</v>
      </c>
      <c r="W718" s="152"/>
      <c r="X718" s="152"/>
      <c r="Y718" s="152"/>
      <c r="Z718" s="147" t="s">
        <v>3643</v>
      </c>
      <c r="AA718" s="150">
        <v>3.0</v>
      </c>
      <c r="AB718" s="152"/>
      <c r="AC718" s="155"/>
      <c r="AD718" s="54"/>
      <c r="AE718" s="54"/>
      <c r="AF718" s="54"/>
      <c r="AG718" s="54"/>
      <c r="AH718" s="54"/>
      <c r="AI718" s="44"/>
      <c r="AJ718" s="44"/>
      <c r="AK718" s="44"/>
      <c r="AL718" s="44"/>
      <c r="AM718" s="44"/>
      <c r="AN718" s="44"/>
      <c r="AO718" s="44"/>
      <c r="AP718" s="44"/>
      <c r="AQ718" s="44"/>
      <c r="AR718" s="44"/>
      <c r="AS718" s="44"/>
      <c r="AT718" s="41"/>
      <c r="AU718" s="41"/>
      <c r="AV718" s="45"/>
      <c r="AW718" s="44"/>
      <c r="AX718" s="45"/>
    </row>
    <row r="719">
      <c r="A719" s="60" t="s">
        <v>3685</v>
      </c>
      <c r="B719" s="61">
        <v>45933.289368067126</v>
      </c>
      <c r="C719" s="68" t="s">
        <v>3760</v>
      </c>
      <c r="D719" s="63" t="s">
        <v>3680</v>
      </c>
      <c r="E719" s="68" t="s">
        <v>3687</v>
      </c>
      <c r="F719" s="64" t="s">
        <v>3685</v>
      </c>
      <c r="G719" s="62">
        <v>495.0</v>
      </c>
      <c r="H719" s="62">
        <v>10.0</v>
      </c>
      <c r="I719" s="62">
        <v>10.0</v>
      </c>
      <c r="J719" s="62">
        <v>0.0</v>
      </c>
      <c r="K719" s="66"/>
      <c r="L719" s="66"/>
      <c r="M719" s="66"/>
      <c r="N719" s="62">
        <v>10.0</v>
      </c>
      <c r="O719" s="66"/>
      <c r="P719" s="66"/>
      <c r="Q719" s="66"/>
      <c r="R719" s="66"/>
      <c r="S719" s="66"/>
      <c r="T719" s="66"/>
      <c r="U719" s="66"/>
      <c r="V719" s="67" t="s">
        <v>3761</v>
      </c>
      <c r="W719" s="68" t="s">
        <v>1304</v>
      </c>
      <c r="X719" s="66"/>
      <c r="Y719" s="66"/>
      <c r="Z719" s="68" t="s">
        <v>3683</v>
      </c>
      <c r="AA719" s="62">
        <v>3.0</v>
      </c>
      <c r="AB719" s="66"/>
      <c r="AC719" s="69"/>
      <c r="AD719" s="37"/>
      <c r="AE719" s="37"/>
      <c r="AF719" s="37"/>
      <c r="AG719" s="37"/>
      <c r="AH719" s="37"/>
      <c r="AI719" s="31"/>
      <c r="AJ719" s="31"/>
      <c r="AK719" s="31"/>
      <c r="AL719" s="31"/>
      <c r="AM719" s="31"/>
      <c r="AN719" s="31"/>
      <c r="AO719" s="31"/>
      <c r="AP719" s="31"/>
      <c r="AQ719" s="31"/>
      <c r="AR719" s="31"/>
      <c r="AS719" s="31"/>
      <c r="AT719" s="36"/>
      <c r="AU719" s="36"/>
      <c r="AV719" s="34"/>
      <c r="AW719" s="31"/>
      <c r="AX719" s="34"/>
    </row>
    <row r="720">
      <c r="A720" s="70" t="s">
        <v>3762</v>
      </c>
      <c r="B720" s="71">
        <v>45933.29514598379</v>
      </c>
      <c r="C720" s="72" t="s">
        <v>3763</v>
      </c>
      <c r="D720" s="73" t="s">
        <v>3680</v>
      </c>
      <c r="E720" s="72" t="s">
        <v>3764</v>
      </c>
      <c r="F720" s="74" t="s">
        <v>3762</v>
      </c>
      <c r="G720" s="76">
        <v>987.0</v>
      </c>
      <c r="H720" s="76">
        <v>10.0</v>
      </c>
      <c r="I720" s="76">
        <v>10.0</v>
      </c>
      <c r="J720" s="76">
        <v>0.0</v>
      </c>
      <c r="K720" s="77"/>
      <c r="L720" s="77"/>
      <c r="M720" s="77"/>
      <c r="N720" s="76">
        <v>10.0</v>
      </c>
      <c r="O720" s="77"/>
      <c r="P720" s="77"/>
      <c r="Q720" s="77"/>
      <c r="R720" s="77"/>
      <c r="S720" s="77"/>
      <c r="T720" s="77"/>
      <c r="U720" s="77"/>
      <c r="V720" s="78" t="s">
        <v>3765</v>
      </c>
      <c r="W720" s="72" t="s">
        <v>1304</v>
      </c>
      <c r="X720" s="77"/>
      <c r="Y720" s="77"/>
      <c r="Z720" s="72" t="s">
        <v>3683</v>
      </c>
      <c r="AA720" s="76">
        <v>3.0</v>
      </c>
      <c r="AB720" s="77"/>
      <c r="AC720" s="79"/>
      <c r="AD720" s="54"/>
      <c r="AE720" s="54"/>
      <c r="AF720" s="54"/>
      <c r="AG720" s="54"/>
      <c r="AH720" s="54"/>
      <c r="AI720" s="44"/>
      <c r="AJ720" s="44"/>
      <c r="AK720" s="44"/>
      <c r="AL720" s="44"/>
      <c r="AM720" s="44"/>
      <c r="AN720" s="44"/>
      <c r="AO720" s="44"/>
      <c r="AP720" s="44"/>
      <c r="AQ720" s="44"/>
      <c r="AR720" s="44"/>
      <c r="AS720" s="44"/>
      <c r="AT720" s="41"/>
      <c r="AU720" s="41"/>
      <c r="AV720" s="45"/>
      <c r="AW720" s="44"/>
      <c r="AX720" s="45"/>
    </row>
    <row r="721">
      <c r="A721" s="60" t="s">
        <v>3579</v>
      </c>
      <c r="B721" s="61">
        <v>45933.29584490741</v>
      </c>
      <c r="C721" s="68" t="s">
        <v>3580</v>
      </c>
      <c r="D721" s="63" t="s">
        <v>3581</v>
      </c>
      <c r="E721" s="68" t="s">
        <v>3684</v>
      </c>
      <c r="F721" s="64" t="s">
        <v>3579</v>
      </c>
      <c r="G721" s="62">
        <v>380.0</v>
      </c>
      <c r="H721" s="62">
        <v>5.0</v>
      </c>
      <c r="I721" s="62">
        <v>5.0</v>
      </c>
      <c r="J721" s="62">
        <v>5.0</v>
      </c>
      <c r="K721" s="66"/>
      <c r="L721" s="66"/>
      <c r="M721" s="66"/>
      <c r="N721" s="62">
        <v>8.0</v>
      </c>
      <c r="O721" s="66"/>
      <c r="P721" s="66"/>
      <c r="Q721" s="66"/>
      <c r="R721" s="66"/>
      <c r="S721" s="66"/>
      <c r="T721" s="66"/>
      <c r="U721" s="66"/>
      <c r="V721" s="67" t="s">
        <v>3766</v>
      </c>
      <c r="W721" s="66"/>
      <c r="X721" s="66"/>
      <c r="Y721" s="66"/>
      <c r="Z721" s="68" t="s">
        <v>3584</v>
      </c>
      <c r="AA721" s="62">
        <v>3.0</v>
      </c>
      <c r="AB721" s="66"/>
      <c r="AC721" s="69"/>
      <c r="AD721" s="37"/>
      <c r="AE721" s="37"/>
      <c r="AF721" s="37"/>
      <c r="AG721" s="37"/>
      <c r="AH721" s="37"/>
      <c r="AI721" s="31"/>
      <c r="AJ721" s="31"/>
      <c r="AK721" s="31"/>
      <c r="AL721" s="31"/>
      <c r="AM721" s="31"/>
      <c r="AN721" s="31"/>
      <c r="AO721" s="31"/>
      <c r="AP721" s="31"/>
      <c r="AQ721" s="31"/>
      <c r="AR721" s="31"/>
      <c r="AS721" s="31"/>
      <c r="AT721" s="36"/>
      <c r="AU721" s="36"/>
      <c r="AV721" s="34"/>
      <c r="AW721" s="31"/>
      <c r="AX721" s="34"/>
    </row>
    <row r="722">
      <c r="A722" s="70" t="s">
        <v>3480</v>
      </c>
      <c r="B722" s="71">
        <v>45933.29984252315</v>
      </c>
      <c r="C722" s="72" t="s">
        <v>3481</v>
      </c>
      <c r="D722" s="73" t="s">
        <v>3482</v>
      </c>
      <c r="E722" s="72" t="s">
        <v>3767</v>
      </c>
      <c r="F722" s="74" t="s">
        <v>3480</v>
      </c>
      <c r="G722" s="76">
        <v>620.0</v>
      </c>
      <c r="H722" s="76">
        <v>3.0</v>
      </c>
      <c r="I722" s="76">
        <v>4.0</v>
      </c>
      <c r="J722" s="76">
        <v>4.0</v>
      </c>
      <c r="K722" s="77"/>
      <c r="L722" s="77"/>
      <c r="M722" s="77"/>
      <c r="N722" s="76">
        <v>10.0</v>
      </c>
      <c r="O722" s="77"/>
      <c r="P722" s="77"/>
      <c r="Q722" s="77"/>
      <c r="R722" s="77"/>
      <c r="S722" s="77"/>
      <c r="T722" s="77"/>
      <c r="U722" s="77"/>
      <c r="V722" s="78" t="s">
        <v>3768</v>
      </c>
      <c r="W722" s="77"/>
      <c r="X722" s="77"/>
      <c r="Y722" s="77"/>
      <c r="Z722" s="72" t="s">
        <v>3485</v>
      </c>
      <c r="AA722" s="76">
        <v>3.0</v>
      </c>
      <c r="AB722" s="77"/>
      <c r="AC722" s="79"/>
      <c r="AD722" s="54"/>
      <c r="AE722" s="54"/>
      <c r="AF722" s="54"/>
      <c r="AG722" s="54"/>
      <c r="AH722" s="54"/>
      <c r="AI722" s="44"/>
      <c r="AJ722" s="44"/>
      <c r="AK722" s="44"/>
      <c r="AL722" s="44"/>
      <c r="AM722" s="44"/>
      <c r="AN722" s="44"/>
      <c r="AO722" s="44"/>
      <c r="AP722" s="44"/>
      <c r="AQ722" s="44"/>
      <c r="AR722" s="44"/>
      <c r="AS722" s="44"/>
      <c r="AT722" s="41"/>
      <c r="AU722" s="41"/>
      <c r="AV722" s="45"/>
      <c r="AW722" s="44"/>
      <c r="AX722" s="45"/>
    </row>
    <row r="723">
      <c r="A723" s="60" t="s">
        <v>3585</v>
      </c>
      <c r="B723" s="61">
        <v>45933.30983699074</v>
      </c>
      <c r="C723" s="68" t="s">
        <v>3769</v>
      </c>
      <c r="D723" s="63" t="s">
        <v>3539</v>
      </c>
      <c r="E723" s="68" t="s">
        <v>3770</v>
      </c>
      <c r="F723" s="64" t="s">
        <v>3585</v>
      </c>
      <c r="G723" s="62">
        <v>3000.0</v>
      </c>
      <c r="H723" s="62">
        <v>8.0</v>
      </c>
      <c r="I723" s="62">
        <v>8.0</v>
      </c>
      <c r="J723" s="62">
        <v>1.0</v>
      </c>
      <c r="K723" s="66"/>
      <c r="L723" s="66"/>
      <c r="M723" s="66"/>
      <c r="N723" s="62">
        <v>9.0</v>
      </c>
      <c r="O723" s="66"/>
      <c r="P723" s="66"/>
      <c r="Q723" s="66"/>
      <c r="R723" s="66"/>
      <c r="S723" s="66"/>
      <c r="T723" s="66"/>
      <c r="U723" s="66"/>
      <c r="V723" s="67" t="s">
        <v>3771</v>
      </c>
      <c r="W723" s="68" t="s">
        <v>197</v>
      </c>
      <c r="X723" s="66"/>
      <c r="Y723" s="66"/>
      <c r="Z723" s="68" t="s">
        <v>3542</v>
      </c>
      <c r="AA723" s="62">
        <v>3.0</v>
      </c>
      <c r="AB723" s="66"/>
      <c r="AC723" s="69"/>
      <c r="AD723" s="37"/>
      <c r="AE723" s="37"/>
      <c r="AF723" s="37"/>
      <c r="AG723" s="37"/>
      <c r="AH723" s="37"/>
      <c r="AI723" s="31"/>
      <c r="AJ723" s="31"/>
      <c r="AK723" s="31"/>
      <c r="AL723" s="31"/>
      <c r="AM723" s="31"/>
      <c r="AN723" s="31"/>
      <c r="AO723" s="31"/>
      <c r="AP723" s="31"/>
      <c r="AQ723" s="31"/>
      <c r="AR723" s="31"/>
      <c r="AS723" s="31"/>
      <c r="AT723" s="36"/>
      <c r="AU723" s="36"/>
      <c r="AV723" s="34"/>
      <c r="AW723" s="31"/>
      <c r="AX723" s="34"/>
    </row>
    <row r="724">
      <c r="A724" s="72" t="s">
        <v>3772</v>
      </c>
      <c r="B724" s="71">
        <v>45933.31730630787</v>
      </c>
      <c r="C724" s="72" t="s">
        <v>3598</v>
      </c>
      <c r="D724" s="73" t="s">
        <v>3599</v>
      </c>
      <c r="E724" s="72" t="s">
        <v>3773</v>
      </c>
      <c r="F724" s="84" t="s">
        <v>3772</v>
      </c>
      <c r="G724" s="76">
        <v>860.0</v>
      </c>
      <c r="H724" s="76">
        <v>9.0</v>
      </c>
      <c r="I724" s="76">
        <v>9.0</v>
      </c>
      <c r="J724" s="76">
        <v>0.0</v>
      </c>
      <c r="K724" s="77"/>
      <c r="L724" s="77"/>
      <c r="M724" s="77"/>
      <c r="N724" s="76">
        <v>8.0</v>
      </c>
      <c r="O724" s="77"/>
      <c r="P724" s="77"/>
      <c r="Q724" s="77"/>
      <c r="R724" s="77"/>
      <c r="S724" s="77"/>
      <c r="T724" s="77"/>
      <c r="U724" s="77"/>
      <c r="V724" s="78" t="s">
        <v>3774</v>
      </c>
      <c r="W724" s="72" t="s">
        <v>197</v>
      </c>
      <c r="X724" s="77"/>
      <c r="Y724" s="77"/>
      <c r="Z724" s="72" t="s">
        <v>3602</v>
      </c>
      <c r="AA724" s="76">
        <v>3.0</v>
      </c>
      <c r="AB724" s="77"/>
      <c r="AC724" s="79"/>
      <c r="AD724" s="54"/>
      <c r="AE724" s="54"/>
      <c r="AF724" s="54"/>
      <c r="AG724" s="54"/>
      <c r="AH724" s="54"/>
      <c r="AI724" s="44"/>
      <c r="AJ724" s="44"/>
      <c r="AK724" s="44"/>
      <c r="AL724" s="44"/>
      <c r="AM724" s="44"/>
      <c r="AN724" s="44"/>
      <c r="AO724" s="44"/>
      <c r="AP724" s="44"/>
      <c r="AQ724" s="44"/>
      <c r="AR724" s="44"/>
      <c r="AS724" s="44"/>
      <c r="AT724" s="41"/>
      <c r="AU724" s="41"/>
      <c r="AV724" s="45"/>
      <c r="AW724" s="44"/>
      <c r="AX724" s="45"/>
    </row>
    <row r="725">
      <c r="A725" s="60" t="s">
        <v>3567</v>
      </c>
      <c r="B725" s="61">
        <v>45933.33295321759</v>
      </c>
      <c r="C725" s="68" t="s">
        <v>3513</v>
      </c>
      <c r="D725" s="63" t="s">
        <v>3514</v>
      </c>
      <c r="E725" s="68" t="s">
        <v>3775</v>
      </c>
      <c r="F725" s="64" t="s">
        <v>3567</v>
      </c>
      <c r="G725" s="62">
        <v>350.0</v>
      </c>
      <c r="H725" s="62">
        <v>6.0</v>
      </c>
      <c r="I725" s="62">
        <v>6.0</v>
      </c>
      <c r="J725" s="62">
        <v>2.0</v>
      </c>
      <c r="K725" s="66"/>
      <c r="L725" s="66"/>
      <c r="M725" s="66"/>
      <c r="N725" s="62">
        <v>7.0</v>
      </c>
      <c r="O725" s="66"/>
      <c r="P725" s="66"/>
      <c r="Q725" s="66"/>
      <c r="R725" s="66"/>
      <c r="S725" s="66"/>
      <c r="T725" s="66"/>
      <c r="U725" s="66"/>
      <c r="V725" s="67" t="s">
        <v>3776</v>
      </c>
      <c r="W725" s="68" t="s">
        <v>197</v>
      </c>
      <c r="X725" s="66"/>
      <c r="Y725" s="66"/>
      <c r="Z725" s="68" t="s">
        <v>3517</v>
      </c>
      <c r="AA725" s="62">
        <v>3.0</v>
      </c>
      <c r="AB725" s="66"/>
      <c r="AC725" s="69"/>
      <c r="AD725" s="37"/>
      <c r="AE725" s="37"/>
      <c r="AF725" s="37"/>
      <c r="AG725" s="37"/>
      <c r="AH725" s="37"/>
      <c r="AI725" s="31"/>
      <c r="AJ725" s="31"/>
      <c r="AK725" s="31"/>
      <c r="AL725" s="31"/>
      <c r="AM725" s="31"/>
      <c r="AN725" s="31"/>
      <c r="AO725" s="31"/>
      <c r="AP725" s="31"/>
      <c r="AQ725" s="31"/>
      <c r="AR725" s="31"/>
      <c r="AS725" s="31"/>
      <c r="AT725" s="36"/>
      <c r="AU725" s="36"/>
      <c r="AV725" s="34"/>
      <c r="AW725" s="31"/>
      <c r="AX725" s="34"/>
    </row>
    <row r="726">
      <c r="A726" s="70" t="s">
        <v>3706</v>
      </c>
      <c r="B726" s="71">
        <v>45933.34856997685</v>
      </c>
      <c r="C726" s="72" t="s">
        <v>3777</v>
      </c>
      <c r="D726" s="73" t="s">
        <v>3708</v>
      </c>
      <c r="E726" s="72" t="s">
        <v>3778</v>
      </c>
      <c r="F726" s="74" t="s">
        <v>3706</v>
      </c>
      <c r="G726" s="76">
        <v>214.0</v>
      </c>
      <c r="H726" s="76">
        <v>9.0</v>
      </c>
      <c r="I726" s="76">
        <v>9.0</v>
      </c>
      <c r="J726" s="76">
        <v>0.0</v>
      </c>
      <c r="K726" s="77"/>
      <c r="L726" s="77"/>
      <c r="M726" s="77"/>
      <c r="N726" s="76">
        <v>9.0</v>
      </c>
      <c r="O726" s="77"/>
      <c r="P726" s="77"/>
      <c r="Q726" s="77"/>
      <c r="R726" s="77"/>
      <c r="S726" s="77"/>
      <c r="T726" s="77"/>
      <c r="U726" s="77"/>
      <c r="V726" s="78" t="s">
        <v>3779</v>
      </c>
      <c r="W726" s="77"/>
      <c r="X726" s="77"/>
      <c r="Y726" s="77"/>
      <c r="Z726" s="72" t="s">
        <v>3780</v>
      </c>
      <c r="AA726" s="76">
        <v>4.0</v>
      </c>
      <c r="AB726" s="77"/>
      <c r="AC726" s="79"/>
      <c r="AD726" s="54"/>
      <c r="AE726" s="54"/>
      <c r="AF726" s="54"/>
      <c r="AG726" s="54"/>
      <c r="AH726" s="54"/>
      <c r="AI726" s="44"/>
      <c r="AJ726" s="44"/>
      <c r="AK726" s="44"/>
      <c r="AL726" s="44"/>
      <c r="AM726" s="44"/>
      <c r="AN726" s="44"/>
      <c r="AO726" s="44"/>
      <c r="AP726" s="44"/>
      <c r="AQ726" s="44"/>
      <c r="AR726" s="44"/>
      <c r="AS726" s="44"/>
      <c r="AT726" s="41"/>
      <c r="AU726" s="41"/>
      <c r="AV726" s="45"/>
      <c r="AW726" s="44"/>
      <c r="AX726" s="45"/>
    </row>
    <row r="727">
      <c r="A727" s="60" t="s">
        <v>3613</v>
      </c>
      <c r="B727" s="61">
        <v>45933.3896409375</v>
      </c>
      <c r="C727" s="68" t="s">
        <v>3689</v>
      </c>
      <c r="D727" s="63" t="s">
        <v>3615</v>
      </c>
      <c r="E727" s="68" t="s">
        <v>3781</v>
      </c>
      <c r="F727" s="64" t="s">
        <v>3613</v>
      </c>
      <c r="G727" s="62">
        <v>100.0</v>
      </c>
      <c r="H727" s="62">
        <v>10.0</v>
      </c>
      <c r="I727" s="62">
        <v>10.0</v>
      </c>
      <c r="J727" s="62">
        <v>1.0</v>
      </c>
      <c r="K727" s="66"/>
      <c r="L727" s="66"/>
      <c r="M727" s="66"/>
      <c r="N727" s="62">
        <v>10.0</v>
      </c>
      <c r="O727" s="66"/>
      <c r="P727" s="66"/>
      <c r="Q727" s="66"/>
      <c r="R727" s="66"/>
      <c r="S727" s="66"/>
      <c r="T727" s="66"/>
      <c r="U727" s="66"/>
      <c r="V727" s="67" t="s">
        <v>3782</v>
      </c>
      <c r="W727" s="66"/>
      <c r="X727" s="66"/>
      <c r="Y727" s="66"/>
      <c r="Z727" s="68" t="s">
        <v>3618</v>
      </c>
      <c r="AA727" s="62">
        <v>3.0</v>
      </c>
      <c r="AB727" s="66"/>
      <c r="AC727" s="69"/>
      <c r="AD727" s="37"/>
      <c r="AE727" s="37"/>
      <c r="AF727" s="37"/>
      <c r="AG727" s="37"/>
      <c r="AH727" s="37"/>
      <c r="AI727" s="31"/>
      <c r="AJ727" s="31"/>
      <c r="AK727" s="31"/>
      <c r="AL727" s="31"/>
      <c r="AM727" s="31"/>
      <c r="AN727" s="31"/>
      <c r="AO727" s="31"/>
      <c r="AP727" s="31"/>
      <c r="AQ727" s="31"/>
      <c r="AR727" s="31"/>
      <c r="AS727" s="31"/>
      <c r="AT727" s="36"/>
      <c r="AU727" s="36"/>
      <c r="AV727" s="34"/>
      <c r="AW727" s="31"/>
      <c r="AX727" s="34"/>
    </row>
    <row r="728">
      <c r="A728" s="70" t="s">
        <v>3603</v>
      </c>
      <c r="B728" s="71">
        <v>45933.405565775465</v>
      </c>
      <c r="C728" s="72" t="s">
        <v>3693</v>
      </c>
      <c r="D728" s="73" t="s">
        <v>3605</v>
      </c>
      <c r="E728" s="72" t="s">
        <v>3783</v>
      </c>
      <c r="F728" s="74" t="s">
        <v>3603</v>
      </c>
      <c r="G728" s="76">
        <v>400.0</v>
      </c>
      <c r="H728" s="76">
        <v>10.0</v>
      </c>
      <c r="I728" s="76">
        <v>10.0</v>
      </c>
      <c r="J728" s="76">
        <v>0.0</v>
      </c>
      <c r="K728" s="77"/>
      <c r="L728" s="77"/>
      <c r="M728" s="77"/>
      <c r="N728" s="76">
        <v>10.0</v>
      </c>
      <c r="O728" s="77"/>
      <c r="P728" s="77"/>
      <c r="Q728" s="77"/>
      <c r="R728" s="77"/>
      <c r="S728" s="77"/>
      <c r="T728" s="77"/>
      <c r="U728" s="77"/>
      <c r="V728" s="78" t="s">
        <v>3784</v>
      </c>
      <c r="W728" s="77"/>
      <c r="X728" s="77"/>
      <c r="Y728" s="77"/>
      <c r="Z728" s="72" t="s">
        <v>3618</v>
      </c>
      <c r="AA728" s="76">
        <v>3.0</v>
      </c>
      <c r="AB728" s="77"/>
      <c r="AC728" s="79"/>
      <c r="AD728" s="54"/>
      <c r="AE728" s="54"/>
      <c r="AF728" s="54"/>
      <c r="AG728" s="54"/>
      <c r="AH728" s="54"/>
      <c r="AI728" s="44"/>
      <c r="AJ728" s="44"/>
      <c r="AK728" s="44"/>
      <c r="AL728" s="44"/>
      <c r="AM728" s="44"/>
      <c r="AN728" s="44"/>
      <c r="AO728" s="44"/>
      <c r="AP728" s="44"/>
      <c r="AQ728" s="44"/>
      <c r="AR728" s="44"/>
      <c r="AS728" s="44"/>
      <c r="AT728" s="41"/>
      <c r="AU728" s="41"/>
      <c r="AV728" s="45"/>
      <c r="AW728" s="44"/>
      <c r="AX728" s="45"/>
    </row>
    <row r="729">
      <c r="A729" s="60" t="s">
        <v>3652</v>
      </c>
      <c r="B729" s="61">
        <v>45933.40626157408</v>
      </c>
      <c r="C729" s="68" t="s">
        <v>3513</v>
      </c>
      <c r="D729" s="63" t="s">
        <v>3514</v>
      </c>
      <c r="E729" s="68" t="s">
        <v>3653</v>
      </c>
      <c r="F729" s="64" t="s">
        <v>3652</v>
      </c>
      <c r="G729" s="62">
        <v>500.0</v>
      </c>
      <c r="H729" s="62">
        <v>6.0</v>
      </c>
      <c r="I729" s="62">
        <v>5.0</v>
      </c>
      <c r="J729" s="68" t="s">
        <v>197</v>
      </c>
      <c r="K729" s="66"/>
      <c r="L729" s="66"/>
      <c r="M729" s="66"/>
      <c r="N729" s="62">
        <v>6.0</v>
      </c>
      <c r="O729" s="66"/>
      <c r="P729" s="66"/>
      <c r="Q729" s="66"/>
      <c r="R729" s="66"/>
      <c r="S729" s="66"/>
      <c r="T729" s="66"/>
      <c r="U729" s="66"/>
      <c r="V729" s="67" t="s">
        <v>3785</v>
      </c>
      <c r="W729" s="66"/>
      <c r="X729" s="66"/>
      <c r="Y729" s="66"/>
      <c r="Z729" s="68" t="s">
        <v>3517</v>
      </c>
      <c r="AA729" s="62">
        <v>3.0</v>
      </c>
      <c r="AB729" s="66"/>
      <c r="AC729" s="69"/>
      <c r="AD729" s="37"/>
      <c r="AE729" s="37"/>
      <c r="AF729" s="37"/>
      <c r="AG729" s="37"/>
      <c r="AH729" s="37"/>
      <c r="AI729" s="31"/>
      <c r="AJ729" s="31"/>
      <c r="AK729" s="31"/>
      <c r="AL729" s="31"/>
      <c r="AM729" s="31"/>
      <c r="AN729" s="31"/>
      <c r="AO729" s="31"/>
      <c r="AP729" s="31"/>
      <c r="AQ729" s="31"/>
      <c r="AR729" s="31"/>
      <c r="AS729" s="31"/>
      <c r="AT729" s="36"/>
      <c r="AU729" s="36"/>
      <c r="AV729" s="34"/>
      <c r="AW729" s="31"/>
      <c r="AX729" s="34"/>
    </row>
    <row r="730">
      <c r="A730" s="188" t="s">
        <v>3625</v>
      </c>
      <c r="B730" s="71">
        <v>45933.42703935185</v>
      </c>
      <c r="C730" s="72" t="s">
        <v>3626</v>
      </c>
      <c r="D730" s="73" t="s">
        <v>3627</v>
      </c>
      <c r="E730" s="72" t="s">
        <v>3633</v>
      </c>
      <c r="F730" s="189" t="s">
        <v>3625</v>
      </c>
      <c r="G730" s="76">
        <v>395.0</v>
      </c>
      <c r="H730" s="76">
        <v>6.0</v>
      </c>
      <c r="I730" s="76">
        <v>5.0</v>
      </c>
      <c r="J730" s="76">
        <v>2.0</v>
      </c>
      <c r="K730" s="77"/>
      <c r="L730" s="77"/>
      <c r="M730" s="77"/>
      <c r="N730" s="76">
        <v>6.0</v>
      </c>
      <c r="O730" s="77"/>
      <c r="P730" s="77"/>
      <c r="Q730" s="77"/>
      <c r="R730" s="77"/>
      <c r="S730" s="77"/>
      <c r="T730" s="77"/>
      <c r="U730" s="77"/>
      <c r="V730" s="78" t="s">
        <v>3786</v>
      </c>
      <c r="W730" s="72" t="s">
        <v>1607</v>
      </c>
      <c r="X730" s="77"/>
      <c r="Y730" s="77"/>
      <c r="Z730" s="72" t="s">
        <v>3787</v>
      </c>
      <c r="AA730" s="76">
        <v>3.0</v>
      </c>
      <c r="AB730" s="77"/>
      <c r="AC730" s="79"/>
      <c r="AD730" s="54"/>
      <c r="AE730" s="54"/>
      <c r="AF730" s="54"/>
      <c r="AG730" s="54"/>
      <c r="AH730" s="54"/>
      <c r="AI730" s="44"/>
      <c r="AJ730" s="44"/>
      <c r="AK730" s="44"/>
      <c r="AL730" s="44"/>
      <c r="AM730" s="44"/>
      <c r="AN730" s="44"/>
      <c r="AO730" s="44"/>
      <c r="AP730" s="44"/>
      <c r="AQ730" s="44"/>
      <c r="AR730" s="44"/>
      <c r="AS730" s="44"/>
      <c r="AT730" s="41"/>
      <c r="AU730" s="41"/>
      <c r="AV730" s="45"/>
      <c r="AW730" s="44"/>
      <c r="AX730" s="45"/>
    </row>
    <row r="731">
      <c r="A731" s="60" t="s">
        <v>3609</v>
      </c>
      <c r="B731" s="61">
        <v>45933.461357928245</v>
      </c>
      <c r="C731" s="68" t="s">
        <v>3610</v>
      </c>
      <c r="D731" s="63" t="s">
        <v>3611</v>
      </c>
      <c r="E731" s="68" t="s">
        <v>3600</v>
      </c>
      <c r="F731" s="64" t="s">
        <v>3609</v>
      </c>
      <c r="G731" s="62">
        <v>600.0</v>
      </c>
      <c r="H731" s="62">
        <v>9.0</v>
      </c>
      <c r="I731" s="62">
        <v>8.0</v>
      </c>
      <c r="J731" s="62">
        <v>0.0</v>
      </c>
      <c r="K731" s="66"/>
      <c r="L731" s="66"/>
      <c r="M731" s="66"/>
      <c r="N731" s="62">
        <v>9.0</v>
      </c>
      <c r="O731" s="66"/>
      <c r="P731" s="66"/>
      <c r="Q731" s="66"/>
      <c r="R731" s="66"/>
      <c r="S731" s="66"/>
      <c r="T731" s="66"/>
      <c r="U731" s="66"/>
      <c r="V731" s="67" t="s">
        <v>3788</v>
      </c>
      <c r="W731" s="68" t="s">
        <v>197</v>
      </c>
      <c r="X731" s="66"/>
      <c r="Y731" s="66"/>
      <c r="Z731" s="68" t="s">
        <v>3602</v>
      </c>
      <c r="AA731" s="62">
        <v>3.0</v>
      </c>
      <c r="AB731" s="66"/>
      <c r="AC731" s="69"/>
      <c r="AD731" s="37"/>
      <c r="AE731" s="37"/>
      <c r="AF731" s="37"/>
      <c r="AG731" s="37"/>
      <c r="AH731" s="37"/>
      <c r="AI731" s="31"/>
      <c r="AJ731" s="31"/>
      <c r="AK731" s="31"/>
      <c r="AL731" s="31"/>
      <c r="AM731" s="31"/>
      <c r="AN731" s="31"/>
      <c r="AO731" s="31"/>
      <c r="AP731" s="31"/>
      <c r="AQ731" s="31"/>
      <c r="AR731" s="31"/>
      <c r="AS731" s="31"/>
      <c r="AT731" s="36"/>
      <c r="AU731" s="36"/>
      <c r="AV731" s="34"/>
      <c r="AW731" s="31"/>
      <c r="AX731" s="34"/>
    </row>
    <row r="732">
      <c r="A732" s="70" t="s">
        <v>3543</v>
      </c>
      <c r="B732" s="71">
        <v>45933.49193413195</v>
      </c>
      <c r="C732" s="72" t="s">
        <v>3544</v>
      </c>
      <c r="D732" s="73" t="s">
        <v>3545</v>
      </c>
      <c r="E732" s="72" t="s">
        <v>3789</v>
      </c>
      <c r="F732" s="74" t="s">
        <v>3543</v>
      </c>
      <c r="G732" s="76">
        <v>1400.0</v>
      </c>
      <c r="H732" s="76">
        <v>9.0</v>
      </c>
      <c r="I732" s="76">
        <v>9.0</v>
      </c>
      <c r="J732" s="76">
        <v>0.0</v>
      </c>
      <c r="K732" s="77"/>
      <c r="L732" s="77"/>
      <c r="M732" s="77"/>
      <c r="N732" s="76">
        <v>9.0</v>
      </c>
      <c r="O732" s="77"/>
      <c r="P732" s="77"/>
      <c r="Q732" s="77"/>
      <c r="R732" s="77"/>
      <c r="S732" s="77"/>
      <c r="T732" s="77"/>
      <c r="U732" s="77"/>
      <c r="V732" s="78" t="s">
        <v>3790</v>
      </c>
      <c r="W732" s="77"/>
      <c r="X732" s="77"/>
      <c r="Y732" s="77"/>
      <c r="Z732" s="72" t="s">
        <v>3548</v>
      </c>
      <c r="AA732" s="76">
        <v>3.0</v>
      </c>
      <c r="AB732" s="77"/>
      <c r="AC732" s="79"/>
      <c r="AD732" s="54"/>
      <c r="AE732" s="54"/>
      <c r="AF732" s="54"/>
      <c r="AG732" s="54"/>
      <c r="AH732" s="54"/>
      <c r="AI732" s="44"/>
      <c r="AJ732" s="44"/>
      <c r="AK732" s="44"/>
      <c r="AL732" s="44"/>
      <c r="AM732" s="44"/>
      <c r="AN732" s="44"/>
      <c r="AO732" s="44"/>
      <c r="AP732" s="44"/>
      <c r="AQ732" s="44"/>
      <c r="AR732" s="44"/>
      <c r="AS732" s="44"/>
      <c r="AT732" s="41"/>
      <c r="AU732" s="41"/>
      <c r="AV732" s="45"/>
      <c r="AW732" s="44"/>
      <c r="AX732" s="45"/>
    </row>
    <row r="733">
      <c r="A733" s="60" t="s">
        <v>3712</v>
      </c>
      <c r="B733" s="61">
        <v>45934.40420351852</v>
      </c>
      <c r="C733" s="68" t="s">
        <v>3713</v>
      </c>
      <c r="D733" s="63" t="s">
        <v>3714</v>
      </c>
      <c r="E733" s="68" t="s">
        <v>3791</v>
      </c>
      <c r="F733" s="64" t="s">
        <v>3712</v>
      </c>
      <c r="G733" s="62">
        <v>178.0</v>
      </c>
      <c r="H733" s="62">
        <v>8.0</v>
      </c>
      <c r="I733" s="62">
        <v>8.0</v>
      </c>
      <c r="J733" s="62">
        <v>2.0</v>
      </c>
      <c r="K733" s="66"/>
      <c r="L733" s="66"/>
      <c r="M733" s="66"/>
      <c r="N733" s="62">
        <v>8.0</v>
      </c>
      <c r="O733" s="66"/>
      <c r="P733" s="66"/>
      <c r="Q733" s="66"/>
      <c r="R733" s="66"/>
      <c r="S733" s="66"/>
      <c r="T733" s="66"/>
      <c r="U733" s="66"/>
      <c r="V733" s="67" t="s">
        <v>3792</v>
      </c>
      <c r="W733" s="66"/>
      <c r="X733" s="66"/>
      <c r="Y733" s="66"/>
      <c r="Z733" s="68" t="s">
        <v>3793</v>
      </c>
      <c r="AA733" s="62">
        <v>3.0</v>
      </c>
      <c r="AB733" s="66"/>
      <c r="AC733" s="69"/>
      <c r="AD733" s="37"/>
      <c r="AE733" s="37"/>
      <c r="AF733" s="37"/>
      <c r="AG733" s="37"/>
      <c r="AH733" s="37"/>
      <c r="AI733" s="31"/>
      <c r="AJ733" s="31"/>
      <c r="AK733" s="31"/>
      <c r="AL733" s="31"/>
      <c r="AM733" s="31"/>
      <c r="AN733" s="31"/>
      <c r="AO733" s="31"/>
      <c r="AP733" s="31"/>
      <c r="AQ733" s="31"/>
      <c r="AR733" s="31"/>
      <c r="AS733" s="31"/>
      <c r="AT733" s="36"/>
      <c r="AU733" s="36"/>
      <c r="AV733" s="34"/>
      <c r="AW733" s="31"/>
      <c r="AX733" s="34"/>
    </row>
    <row r="734">
      <c r="A734" s="188" t="s">
        <v>3619</v>
      </c>
      <c r="B734" s="71">
        <v>45935.05720386574</v>
      </c>
      <c r="C734" s="72" t="s">
        <v>3574</v>
      </c>
      <c r="D734" s="73" t="s">
        <v>3621</v>
      </c>
      <c r="E734" s="72" t="s">
        <v>3794</v>
      </c>
      <c r="F734" s="189" t="s">
        <v>3619</v>
      </c>
      <c r="G734" s="76">
        <v>400.0</v>
      </c>
      <c r="H734" s="76">
        <v>10.0</v>
      </c>
      <c r="I734" s="76">
        <v>9.0</v>
      </c>
      <c r="J734" s="76">
        <v>0.0</v>
      </c>
      <c r="K734" s="77"/>
      <c r="L734" s="77"/>
      <c r="M734" s="77"/>
      <c r="N734" s="76">
        <v>10.0</v>
      </c>
      <c r="O734" s="77"/>
      <c r="P734" s="77"/>
      <c r="Q734" s="77"/>
      <c r="R734" s="77"/>
      <c r="S734" s="77"/>
      <c r="T734" s="77"/>
      <c r="U734" s="77"/>
      <c r="V734" s="78" t="s">
        <v>3795</v>
      </c>
      <c r="W734" s="77"/>
      <c r="X734" s="77"/>
      <c r="Y734" s="77"/>
      <c r="Z734" s="72" t="s">
        <v>3578</v>
      </c>
      <c r="AA734" s="76">
        <v>2.0</v>
      </c>
      <c r="AB734" s="77"/>
      <c r="AC734" s="79"/>
      <c r="AD734" s="54"/>
      <c r="AE734" s="54"/>
      <c r="AF734" s="54"/>
      <c r="AG734" s="54"/>
      <c r="AH734" s="54"/>
      <c r="AI734" s="44"/>
      <c r="AJ734" s="44"/>
      <c r="AK734" s="44"/>
      <c r="AL734" s="44"/>
      <c r="AM734" s="44"/>
      <c r="AN734" s="44"/>
      <c r="AO734" s="44"/>
      <c r="AP734" s="44"/>
      <c r="AQ734" s="44"/>
      <c r="AR734" s="44"/>
      <c r="AS734" s="44"/>
      <c r="AT734" s="41"/>
      <c r="AU734" s="41"/>
      <c r="AV734" s="45"/>
      <c r="AW734" s="44"/>
      <c r="AX734" s="45"/>
    </row>
    <row r="735">
      <c r="A735" s="60" t="s">
        <v>3661</v>
      </c>
      <c r="B735" s="61">
        <v>45935.20720887731</v>
      </c>
      <c r="C735" s="68" t="s">
        <v>3796</v>
      </c>
      <c r="D735" s="63" t="s">
        <v>3663</v>
      </c>
      <c r="E735" s="68" t="s">
        <v>3797</v>
      </c>
      <c r="F735" s="64" t="s">
        <v>3661</v>
      </c>
      <c r="G735" s="62">
        <v>160.0</v>
      </c>
      <c r="H735" s="62">
        <v>8.0</v>
      </c>
      <c r="I735" s="62">
        <v>9.0</v>
      </c>
      <c r="J735" s="62">
        <v>0.0</v>
      </c>
      <c r="K735" s="66"/>
      <c r="L735" s="66"/>
      <c r="M735" s="66"/>
      <c r="N735" s="62">
        <v>9.0</v>
      </c>
      <c r="O735" s="66"/>
      <c r="P735" s="66"/>
      <c r="Q735" s="66"/>
      <c r="R735" s="66"/>
      <c r="S735" s="66"/>
      <c r="T735" s="66"/>
      <c r="U735" s="66"/>
      <c r="V735" s="67" t="s">
        <v>3798</v>
      </c>
      <c r="W735" s="66"/>
      <c r="X735" s="66"/>
      <c r="Y735" s="66"/>
      <c r="Z735" s="68" t="s">
        <v>3666</v>
      </c>
      <c r="AA735" s="62">
        <v>3.0</v>
      </c>
      <c r="AB735" s="66"/>
      <c r="AC735" s="69"/>
      <c r="AD735" s="37"/>
      <c r="AE735" s="37"/>
      <c r="AF735" s="37"/>
      <c r="AG735" s="37"/>
      <c r="AH735" s="37"/>
      <c r="AI735" s="31"/>
      <c r="AJ735" s="31"/>
      <c r="AK735" s="31"/>
      <c r="AL735" s="31"/>
      <c r="AM735" s="31"/>
      <c r="AN735" s="31"/>
      <c r="AO735" s="31"/>
      <c r="AP735" s="31"/>
      <c r="AQ735" s="31"/>
      <c r="AR735" s="31"/>
      <c r="AS735" s="31"/>
      <c r="AT735" s="36"/>
      <c r="AU735" s="36"/>
      <c r="AV735" s="34"/>
      <c r="AW735" s="31"/>
      <c r="AX735" s="34"/>
    </row>
    <row r="736">
      <c r="A736" s="70" t="s">
        <v>3718</v>
      </c>
      <c r="B736" s="71">
        <v>45935.28971827547</v>
      </c>
      <c r="C736" s="72" t="s">
        <v>3799</v>
      </c>
      <c r="D736" s="73" t="s">
        <v>3720</v>
      </c>
      <c r="E736" s="72" t="s">
        <v>3800</v>
      </c>
      <c r="F736" s="74" t="s">
        <v>3718</v>
      </c>
      <c r="G736" s="76">
        <v>198.0</v>
      </c>
      <c r="H736" s="76">
        <v>9.0</v>
      </c>
      <c r="I736" s="76">
        <v>9.0</v>
      </c>
      <c r="J736" s="76">
        <v>0.0</v>
      </c>
      <c r="K736" s="77"/>
      <c r="L736" s="77"/>
      <c r="M736" s="77"/>
      <c r="N736" s="76">
        <v>9.0</v>
      </c>
      <c r="O736" s="77"/>
      <c r="P736" s="77"/>
      <c r="Q736" s="77"/>
      <c r="R736" s="77"/>
      <c r="S736" s="77"/>
      <c r="T736" s="77"/>
      <c r="U736" s="77"/>
      <c r="V736" s="78" t="s">
        <v>3801</v>
      </c>
      <c r="W736" s="77"/>
      <c r="X736" s="77"/>
      <c r="Y736" s="77"/>
      <c r="Z736" s="72" t="s">
        <v>3802</v>
      </c>
      <c r="AA736" s="76">
        <v>4.0</v>
      </c>
      <c r="AB736" s="77"/>
      <c r="AC736" s="193">
        <v>4.0</v>
      </c>
      <c r="AD736" s="54"/>
      <c r="AE736" s="54"/>
      <c r="AF736" s="54"/>
      <c r="AG736" s="54"/>
      <c r="AH736" s="54"/>
      <c r="AI736" s="44"/>
      <c r="AJ736" s="44"/>
      <c r="AK736" s="44"/>
      <c r="AL736" s="44"/>
      <c r="AM736" s="44"/>
      <c r="AN736" s="44"/>
      <c r="AO736" s="44"/>
      <c r="AP736" s="44"/>
      <c r="AQ736" s="44"/>
      <c r="AR736" s="44"/>
      <c r="AS736" s="44"/>
      <c r="AT736" s="41"/>
      <c r="AU736" s="41"/>
      <c r="AV736" s="45"/>
      <c r="AW736" s="44"/>
      <c r="AX736" s="45"/>
    </row>
    <row r="737">
      <c r="A737" s="60" t="s">
        <v>3675</v>
      </c>
      <c r="B737" s="61">
        <v>45935.52901827546</v>
      </c>
      <c r="C737" s="68" t="s">
        <v>3803</v>
      </c>
      <c r="D737" s="63" t="s">
        <v>3621</v>
      </c>
      <c r="E737" s="68" t="s">
        <v>3804</v>
      </c>
      <c r="F737" s="64" t="s">
        <v>3675</v>
      </c>
      <c r="G737" s="62">
        <v>400.0</v>
      </c>
      <c r="H737" s="62">
        <v>10.0</v>
      </c>
      <c r="I737" s="62">
        <v>9.0</v>
      </c>
      <c r="J737" s="62">
        <v>0.0</v>
      </c>
      <c r="K737" s="66"/>
      <c r="L737" s="66"/>
      <c r="M737" s="66"/>
      <c r="N737" s="62">
        <v>10.0</v>
      </c>
      <c r="O737" s="66"/>
      <c r="P737" s="66"/>
      <c r="Q737" s="66"/>
      <c r="R737" s="66"/>
      <c r="S737" s="66"/>
      <c r="T737" s="66"/>
      <c r="U737" s="66"/>
      <c r="V737" s="67" t="s">
        <v>3805</v>
      </c>
      <c r="W737" s="66"/>
      <c r="X737" s="66"/>
      <c r="Y737" s="66"/>
      <c r="Z737" s="68" t="s">
        <v>3806</v>
      </c>
      <c r="AA737" s="68" t="s">
        <v>4</v>
      </c>
      <c r="AB737" s="66"/>
      <c r="AC737" s="69"/>
      <c r="AD737" s="37"/>
      <c r="AE737" s="37"/>
      <c r="AF737" s="37"/>
      <c r="AG737" s="37"/>
      <c r="AH737" s="37"/>
      <c r="AI737" s="31"/>
      <c r="AJ737" s="31"/>
      <c r="AK737" s="31"/>
      <c r="AL737" s="31"/>
      <c r="AM737" s="31"/>
      <c r="AN737" s="31"/>
      <c r="AO737" s="31"/>
      <c r="AP737" s="31"/>
      <c r="AQ737" s="31"/>
      <c r="AR737" s="31"/>
      <c r="AS737" s="31"/>
      <c r="AT737" s="36"/>
      <c r="AU737" s="36"/>
      <c r="AV737" s="34"/>
      <c r="AW737" s="31"/>
      <c r="AX737" s="34"/>
    </row>
    <row r="738">
      <c r="A738" s="188" t="s">
        <v>3591</v>
      </c>
      <c r="B738" s="71">
        <v>45936.21708671296</v>
      </c>
      <c r="C738" s="72" t="s">
        <v>3807</v>
      </c>
      <c r="D738" s="73" t="s">
        <v>3593</v>
      </c>
      <c r="E738" s="72" t="s">
        <v>3808</v>
      </c>
      <c r="F738" s="189" t="s">
        <v>3591</v>
      </c>
      <c r="G738" s="76">
        <v>550.0</v>
      </c>
      <c r="H738" s="76">
        <v>10.0</v>
      </c>
      <c r="I738" s="76">
        <v>10.0</v>
      </c>
      <c r="J738" s="76">
        <v>2.0</v>
      </c>
      <c r="K738" s="77"/>
      <c r="L738" s="77"/>
      <c r="M738" s="77"/>
      <c r="N738" s="76">
        <v>10.0</v>
      </c>
      <c r="O738" s="77"/>
      <c r="P738" s="77"/>
      <c r="Q738" s="77"/>
      <c r="R738" s="77"/>
      <c r="S738" s="77"/>
      <c r="T738" s="77"/>
      <c r="U738" s="77"/>
      <c r="V738" s="78" t="s">
        <v>3809</v>
      </c>
      <c r="W738" s="72" t="s">
        <v>1607</v>
      </c>
      <c r="X738" s="77"/>
      <c r="Y738" s="77"/>
      <c r="Z738" s="72" t="s">
        <v>3705</v>
      </c>
      <c r="AA738" s="76">
        <v>3.0</v>
      </c>
      <c r="AB738" s="77"/>
      <c r="AC738" s="79"/>
      <c r="AD738" s="54"/>
      <c r="AE738" s="54"/>
      <c r="AF738" s="54"/>
      <c r="AG738" s="54"/>
      <c r="AH738" s="54"/>
      <c r="AI738" s="44"/>
      <c r="AJ738" s="44"/>
      <c r="AK738" s="44"/>
      <c r="AL738" s="44"/>
      <c r="AM738" s="44"/>
      <c r="AN738" s="44"/>
      <c r="AO738" s="44"/>
      <c r="AP738" s="44"/>
      <c r="AQ738" s="44"/>
      <c r="AR738" s="44"/>
      <c r="AS738" s="44"/>
      <c r="AT738" s="41"/>
      <c r="AU738" s="41"/>
      <c r="AV738" s="45"/>
      <c r="AW738" s="44"/>
      <c r="AX738" s="45"/>
    </row>
    <row r="739">
      <c r="A739" s="194" t="s">
        <v>3619</v>
      </c>
      <c r="B739" s="61">
        <v>45938.24302199074</v>
      </c>
      <c r="C739" s="68" t="s">
        <v>3574</v>
      </c>
      <c r="D739" s="63" t="s">
        <v>3575</v>
      </c>
      <c r="E739" s="68" t="s">
        <v>3794</v>
      </c>
      <c r="F739" s="195" t="s">
        <v>3619</v>
      </c>
      <c r="G739" s="62">
        <v>450.0</v>
      </c>
      <c r="H739" s="62">
        <v>9.0</v>
      </c>
      <c r="I739" s="62">
        <v>10.0</v>
      </c>
      <c r="J739" s="62">
        <v>0.0</v>
      </c>
      <c r="K739" s="66"/>
      <c r="L739" s="66"/>
      <c r="M739" s="66"/>
      <c r="N739" s="62">
        <v>10.0</v>
      </c>
      <c r="O739" s="66"/>
      <c r="P739" s="66"/>
      <c r="Q739" s="66"/>
      <c r="R739" s="66"/>
      <c r="S739" s="66"/>
      <c r="T739" s="66"/>
      <c r="U739" s="66"/>
      <c r="V739" s="67" t="s">
        <v>3810</v>
      </c>
      <c r="W739" s="66"/>
      <c r="X739" s="66"/>
      <c r="Y739" s="66"/>
      <c r="Z739" s="68" t="s">
        <v>3578</v>
      </c>
      <c r="AA739" s="62">
        <v>3.0</v>
      </c>
      <c r="AB739" s="66"/>
      <c r="AC739" s="69"/>
      <c r="AD739" s="37"/>
      <c r="AE739" s="37"/>
      <c r="AF739" s="37"/>
      <c r="AG739" s="37"/>
      <c r="AH739" s="37"/>
      <c r="AI739" s="31"/>
      <c r="AJ739" s="31"/>
      <c r="AK739" s="31"/>
      <c r="AL739" s="31"/>
      <c r="AM739" s="31"/>
      <c r="AN739" s="31"/>
      <c r="AO739" s="31"/>
      <c r="AP739" s="31"/>
      <c r="AQ739" s="31"/>
      <c r="AR739" s="31"/>
      <c r="AS739" s="31"/>
      <c r="AT739" s="36"/>
      <c r="AU739" s="36"/>
      <c r="AV739" s="34"/>
      <c r="AW739" s="31"/>
      <c r="AX739" s="34"/>
    </row>
    <row r="740">
      <c r="A740" s="70" t="s">
        <v>3597</v>
      </c>
      <c r="B740" s="71">
        <v>45940.203581828704</v>
      </c>
      <c r="C740" s="72" t="s">
        <v>3598</v>
      </c>
      <c r="D740" s="73" t="s">
        <v>3599</v>
      </c>
      <c r="E740" s="72" t="s">
        <v>3699</v>
      </c>
      <c r="F740" s="74" t="s">
        <v>3597</v>
      </c>
      <c r="G740" s="76">
        <v>955.0</v>
      </c>
      <c r="H740" s="76">
        <v>6.0</v>
      </c>
      <c r="I740" s="76">
        <v>6.0</v>
      </c>
      <c r="J740" s="76">
        <v>1.0</v>
      </c>
      <c r="K740" s="77"/>
      <c r="L740" s="77"/>
      <c r="M740" s="77"/>
      <c r="N740" s="76">
        <v>8.0</v>
      </c>
      <c r="O740" s="77"/>
      <c r="P740" s="77"/>
      <c r="Q740" s="77"/>
      <c r="R740" s="77"/>
      <c r="S740" s="77"/>
      <c r="T740" s="77"/>
      <c r="U740" s="77"/>
      <c r="V740" s="78" t="s">
        <v>3811</v>
      </c>
      <c r="W740" s="72" t="s">
        <v>197</v>
      </c>
      <c r="X740" s="77"/>
      <c r="Y740" s="77"/>
      <c r="Z740" s="72" t="s">
        <v>3602</v>
      </c>
      <c r="AA740" s="76">
        <v>4.0</v>
      </c>
      <c r="AB740" s="77"/>
      <c r="AC740" s="79"/>
      <c r="AD740" s="54"/>
      <c r="AE740" s="54"/>
      <c r="AF740" s="54"/>
      <c r="AG740" s="54"/>
      <c r="AH740" s="54"/>
      <c r="AI740" s="44"/>
      <c r="AJ740" s="44"/>
      <c r="AK740" s="44"/>
      <c r="AL740" s="44"/>
      <c r="AM740" s="44"/>
      <c r="AN740" s="44"/>
      <c r="AO740" s="44"/>
      <c r="AP740" s="44"/>
      <c r="AQ740" s="44"/>
      <c r="AR740" s="44"/>
      <c r="AS740" s="44"/>
      <c r="AT740" s="41"/>
      <c r="AU740" s="41"/>
      <c r="AV740" s="45"/>
      <c r="AW740" s="44"/>
      <c r="AX740" s="45"/>
    </row>
    <row r="741">
      <c r="A741" s="60" t="s">
        <v>3518</v>
      </c>
      <c r="B741" s="61">
        <v>45940.238821736115</v>
      </c>
      <c r="C741" s="68" t="s">
        <v>3519</v>
      </c>
      <c r="D741" s="63" t="s">
        <v>3520</v>
      </c>
      <c r="E741" s="68" t="s">
        <v>3745</v>
      </c>
      <c r="F741" s="64" t="s">
        <v>3518</v>
      </c>
      <c r="G741" s="62">
        <v>900.0</v>
      </c>
      <c r="H741" s="62">
        <v>9.0</v>
      </c>
      <c r="I741" s="62">
        <v>9.0</v>
      </c>
      <c r="J741" s="62">
        <v>1.0</v>
      </c>
      <c r="K741" s="66"/>
      <c r="L741" s="66"/>
      <c r="M741" s="66"/>
      <c r="N741" s="62">
        <v>9.0</v>
      </c>
      <c r="O741" s="66"/>
      <c r="P741" s="66"/>
      <c r="Q741" s="66"/>
      <c r="R741" s="66"/>
      <c r="S741" s="66"/>
      <c r="T741" s="66"/>
      <c r="U741" s="66"/>
      <c r="V741" s="67" t="s">
        <v>3812</v>
      </c>
      <c r="W741" s="66"/>
      <c r="X741" s="66"/>
      <c r="Y741" s="66"/>
      <c r="Z741" s="68" t="s">
        <v>3523</v>
      </c>
      <c r="AA741" s="62">
        <v>4.0</v>
      </c>
      <c r="AB741" s="66"/>
      <c r="AC741" s="69"/>
      <c r="AD741" s="37"/>
      <c r="AE741" s="37"/>
      <c r="AF741" s="37"/>
      <c r="AG741" s="37"/>
      <c r="AH741" s="37"/>
      <c r="AI741" s="31"/>
      <c r="AJ741" s="31"/>
      <c r="AK741" s="31"/>
      <c r="AL741" s="31"/>
      <c r="AM741" s="31"/>
      <c r="AN741" s="31"/>
      <c r="AO741" s="31"/>
      <c r="AP741" s="31"/>
      <c r="AQ741" s="31"/>
      <c r="AR741" s="31"/>
      <c r="AS741" s="31"/>
      <c r="AT741" s="36"/>
      <c r="AU741" s="36"/>
      <c r="AV741" s="34"/>
      <c r="AW741" s="31"/>
      <c r="AX741" s="34"/>
    </row>
    <row r="742">
      <c r="A742" s="70" t="s">
        <v>3480</v>
      </c>
      <c r="B742" s="71">
        <v>45940.25895880787</v>
      </c>
      <c r="C742" s="72" t="s">
        <v>3481</v>
      </c>
      <c r="D742" s="73" t="s">
        <v>3482</v>
      </c>
      <c r="E742" s="72" t="s">
        <v>3813</v>
      </c>
      <c r="F742" s="74" t="s">
        <v>3480</v>
      </c>
      <c r="G742" s="76">
        <v>580.0</v>
      </c>
      <c r="H742" s="76">
        <v>5.0</v>
      </c>
      <c r="I742" s="76">
        <v>5.0</v>
      </c>
      <c r="J742" s="76">
        <v>2.0</v>
      </c>
      <c r="K742" s="77"/>
      <c r="L742" s="77"/>
      <c r="M742" s="77"/>
      <c r="N742" s="76">
        <v>10.0</v>
      </c>
      <c r="O742" s="77"/>
      <c r="P742" s="77"/>
      <c r="Q742" s="77"/>
      <c r="R742" s="77"/>
      <c r="S742" s="77"/>
      <c r="T742" s="77"/>
      <c r="U742" s="77"/>
      <c r="V742" s="78" t="s">
        <v>3814</v>
      </c>
      <c r="W742" s="77"/>
      <c r="X742" s="77"/>
      <c r="Y742" s="77"/>
      <c r="Z742" s="72" t="s">
        <v>3485</v>
      </c>
      <c r="AA742" s="76">
        <v>4.0</v>
      </c>
      <c r="AB742" s="77"/>
      <c r="AC742" s="79"/>
      <c r="AD742" s="54"/>
      <c r="AE742" s="54"/>
      <c r="AF742" s="54"/>
      <c r="AG742" s="54"/>
      <c r="AH742" s="54"/>
      <c r="AI742" s="44"/>
      <c r="AJ742" s="44"/>
      <c r="AK742" s="44"/>
      <c r="AL742" s="44"/>
      <c r="AM742" s="44"/>
      <c r="AN742" s="44"/>
      <c r="AO742" s="44"/>
      <c r="AP742" s="44"/>
      <c r="AQ742" s="44"/>
      <c r="AR742" s="44"/>
      <c r="AS742" s="44"/>
      <c r="AT742" s="41"/>
      <c r="AU742" s="41"/>
      <c r="AV742" s="45"/>
      <c r="AW742" s="44"/>
      <c r="AX742" s="45"/>
    </row>
    <row r="743">
      <c r="A743" s="60" t="s">
        <v>3531</v>
      </c>
      <c r="B743" s="61">
        <v>45940.26026270833</v>
      </c>
      <c r="C743" s="68" t="s">
        <v>3635</v>
      </c>
      <c r="D743" s="63" t="s">
        <v>3488</v>
      </c>
      <c r="E743" s="68" t="s">
        <v>3815</v>
      </c>
      <c r="F743" s="64" t="s">
        <v>3531</v>
      </c>
      <c r="G743" s="62">
        <v>91.0</v>
      </c>
      <c r="H743" s="62">
        <v>9.0</v>
      </c>
      <c r="I743" s="62">
        <v>9.0</v>
      </c>
      <c r="J743" s="62">
        <v>0.0</v>
      </c>
      <c r="K743" s="66"/>
      <c r="L743" s="66"/>
      <c r="M743" s="66"/>
      <c r="N743" s="62">
        <v>9.0</v>
      </c>
      <c r="O743" s="66"/>
      <c r="P743" s="66"/>
      <c r="Q743" s="66"/>
      <c r="R743" s="66"/>
      <c r="S743" s="66"/>
      <c r="T743" s="66"/>
      <c r="U743" s="66"/>
      <c r="V743" s="67" t="s">
        <v>3816</v>
      </c>
      <c r="W743" s="66"/>
      <c r="X743" s="66"/>
      <c r="Y743" s="66"/>
      <c r="Z743" s="68" t="s">
        <v>3491</v>
      </c>
      <c r="AA743" s="62">
        <v>4.0</v>
      </c>
      <c r="AB743" s="66"/>
      <c r="AC743" s="69"/>
      <c r="AD743" s="37"/>
      <c r="AE743" s="37"/>
      <c r="AF743" s="37"/>
      <c r="AG743" s="37"/>
      <c r="AH743" s="37"/>
      <c r="AI743" s="31"/>
      <c r="AJ743" s="31"/>
      <c r="AK743" s="31"/>
      <c r="AL743" s="31"/>
      <c r="AM743" s="31"/>
      <c r="AN743" s="31"/>
      <c r="AO743" s="31"/>
      <c r="AP743" s="31"/>
      <c r="AQ743" s="31"/>
      <c r="AR743" s="31"/>
      <c r="AS743" s="31"/>
      <c r="AT743" s="36"/>
      <c r="AU743" s="36"/>
      <c r="AV743" s="34"/>
      <c r="AW743" s="31"/>
      <c r="AX743" s="34"/>
    </row>
    <row r="744">
      <c r="A744" s="70" t="s">
        <v>3524</v>
      </c>
      <c r="B744" s="71">
        <v>45940.28097474537</v>
      </c>
      <c r="C744" s="72" t="s">
        <v>3525</v>
      </c>
      <c r="D744" s="73" t="s">
        <v>3648</v>
      </c>
      <c r="E744" s="72" t="s">
        <v>3817</v>
      </c>
      <c r="F744" s="74" t="s">
        <v>3524</v>
      </c>
      <c r="G744" s="76">
        <v>1124.0</v>
      </c>
      <c r="H744" s="76">
        <v>10.0</v>
      </c>
      <c r="I744" s="76">
        <v>10.0</v>
      </c>
      <c r="J744" s="72" t="s">
        <v>1228</v>
      </c>
      <c r="K744" s="77"/>
      <c r="L744" s="77"/>
      <c r="M744" s="77"/>
      <c r="N744" s="76">
        <v>10.0</v>
      </c>
      <c r="O744" s="77"/>
      <c r="P744" s="77"/>
      <c r="Q744" s="77"/>
      <c r="R744" s="77"/>
      <c r="S744" s="77"/>
      <c r="T744" s="77"/>
      <c r="U744" s="77"/>
      <c r="V744" s="78" t="s">
        <v>3818</v>
      </c>
      <c r="W744" s="77"/>
      <c r="X744" s="77"/>
      <c r="Y744" s="77"/>
      <c r="Z744" s="72" t="s">
        <v>3530</v>
      </c>
      <c r="AA744" s="76">
        <v>4.0</v>
      </c>
      <c r="AB744" s="77"/>
      <c r="AC744" s="79"/>
      <c r="AD744" s="54"/>
      <c r="AE744" s="54"/>
      <c r="AF744" s="54"/>
      <c r="AG744" s="54"/>
      <c r="AH744" s="54"/>
      <c r="AI744" s="44"/>
      <c r="AJ744" s="44"/>
      <c r="AK744" s="44"/>
      <c r="AL744" s="44"/>
      <c r="AM744" s="44"/>
      <c r="AN744" s="44"/>
      <c r="AO744" s="44"/>
      <c r="AP744" s="44"/>
      <c r="AQ744" s="44"/>
      <c r="AR744" s="44"/>
      <c r="AS744" s="44"/>
      <c r="AT744" s="41"/>
      <c r="AU744" s="41"/>
      <c r="AV744" s="45"/>
      <c r="AW744" s="44"/>
      <c r="AX744" s="45"/>
    </row>
    <row r="745">
      <c r="A745" s="60" t="s">
        <v>3762</v>
      </c>
      <c r="B745" s="61">
        <v>45940.28398936342</v>
      </c>
      <c r="C745" s="68" t="s">
        <v>3763</v>
      </c>
      <c r="D745" s="63" t="s">
        <v>3680</v>
      </c>
      <c r="E745" s="68" t="s">
        <v>3764</v>
      </c>
      <c r="F745" s="64" t="s">
        <v>3762</v>
      </c>
      <c r="G745" s="62">
        <v>752.0</v>
      </c>
      <c r="H745" s="62">
        <v>9.0</v>
      </c>
      <c r="I745" s="62">
        <v>9.0</v>
      </c>
      <c r="J745" s="62">
        <v>0.0</v>
      </c>
      <c r="K745" s="66"/>
      <c r="L745" s="66"/>
      <c r="M745" s="66"/>
      <c r="N745" s="62">
        <v>10.0</v>
      </c>
      <c r="O745" s="66"/>
      <c r="P745" s="66"/>
      <c r="Q745" s="66"/>
      <c r="R745" s="66"/>
      <c r="S745" s="66"/>
      <c r="T745" s="66"/>
      <c r="U745" s="66"/>
      <c r="V745" s="67" t="s">
        <v>3819</v>
      </c>
      <c r="W745" s="68" t="s">
        <v>1304</v>
      </c>
      <c r="X745" s="66"/>
      <c r="Y745" s="66"/>
      <c r="Z745" s="68" t="s">
        <v>3683</v>
      </c>
      <c r="AA745" s="62">
        <v>4.0</v>
      </c>
      <c r="AB745" s="66"/>
      <c r="AC745" s="69"/>
      <c r="AD745" s="37"/>
      <c r="AE745" s="37"/>
      <c r="AF745" s="37"/>
      <c r="AG745" s="37"/>
      <c r="AH745" s="37"/>
      <c r="AI745" s="31"/>
      <c r="AJ745" s="31"/>
      <c r="AK745" s="31"/>
      <c r="AL745" s="31"/>
      <c r="AM745" s="31"/>
      <c r="AN745" s="31"/>
      <c r="AO745" s="31"/>
      <c r="AP745" s="31"/>
      <c r="AQ745" s="31"/>
      <c r="AR745" s="31"/>
      <c r="AS745" s="31"/>
      <c r="AT745" s="36"/>
      <c r="AU745" s="36"/>
      <c r="AV745" s="34"/>
      <c r="AW745" s="31"/>
      <c r="AX745" s="34"/>
    </row>
    <row r="746">
      <c r="A746" s="70" t="s">
        <v>3820</v>
      </c>
      <c r="B746" s="71">
        <v>45940.285727546296</v>
      </c>
      <c r="C746" s="72" t="s">
        <v>3760</v>
      </c>
      <c r="D746" s="73" t="s">
        <v>3680</v>
      </c>
      <c r="E746" s="153" t="s">
        <v>3687</v>
      </c>
      <c r="F746" s="74" t="s">
        <v>3820</v>
      </c>
      <c r="G746" s="76">
        <v>467.0</v>
      </c>
      <c r="H746" s="76">
        <v>10.0</v>
      </c>
      <c r="I746" s="76">
        <v>10.0</v>
      </c>
      <c r="J746" s="76">
        <v>0.0</v>
      </c>
      <c r="K746" s="77"/>
      <c r="L746" s="77"/>
      <c r="M746" s="77"/>
      <c r="N746" s="76">
        <v>10.0</v>
      </c>
      <c r="O746" s="77"/>
      <c r="P746" s="77"/>
      <c r="Q746" s="77"/>
      <c r="R746" s="77"/>
      <c r="S746" s="77"/>
      <c r="T746" s="77"/>
      <c r="U746" s="77"/>
      <c r="V746" s="78" t="s">
        <v>3821</v>
      </c>
      <c r="W746" s="72" t="s">
        <v>3822</v>
      </c>
      <c r="X746" s="77"/>
      <c r="Y746" s="77"/>
      <c r="Z746" s="72" t="s">
        <v>3683</v>
      </c>
      <c r="AA746" s="76">
        <v>4.0</v>
      </c>
      <c r="AB746" s="77"/>
      <c r="AC746" s="79"/>
      <c r="AD746" s="54"/>
      <c r="AE746" s="54"/>
      <c r="AF746" s="54"/>
      <c r="AG746" s="54"/>
      <c r="AH746" s="54"/>
      <c r="AI746" s="44"/>
      <c r="AJ746" s="44"/>
      <c r="AK746" s="44"/>
      <c r="AL746" s="44"/>
      <c r="AM746" s="44"/>
      <c r="AN746" s="44"/>
      <c r="AO746" s="44"/>
      <c r="AP746" s="44"/>
      <c r="AQ746" s="44"/>
      <c r="AR746" s="44"/>
      <c r="AS746" s="44"/>
      <c r="AT746" s="41"/>
      <c r="AU746" s="41"/>
      <c r="AV746" s="45"/>
      <c r="AW746" s="44"/>
      <c r="AX746" s="45"/>
    </row>
    <row r="747">
      <c r="A747" s="60" t="s">
        <v>3734</v>
      </c>
      <c r="B747" s="61">
        <v>45940.350924756945</v>
      </c>
      <c r="C747" s="68" t="s">
        <v>3823</v>
      </c>
      <c r="D747" s="63" t="s">
        <v>3508</v>
      </c>
      <c r="E747" s="68" t="s">
        <v>3824</v>
      </c>
      <c r="F747" s="64" t="s">
        <v>3734</v>
      </c>
      <c r="G747" s="62">
        <v>475.0</v>
      </c>
      <c r="H747" s="62">
        <v>10.0</v>
      </c>
      <c r="I747" s="62">
        <v>10.0</v>
      </c>
      <c r="J747" s="62">
        <v>10.0</v>
      </c>
      <c r="K747" s="66"/>
      <c r="L747" s="66"/>
      <c r="M747" s="66"/>
      <c r="N747" s="62">
        <v>10.0</v>
      </c>
      <c r="O747" s="66"/>
      <c r="P747" s="66"/>
      <c r="Q747" s="66"/>
      <c r="R747" s="66"/>
      <c r="S747" s="66"/>
      <c r="T747" s="66"/>
      <c r="U747" s="66"/>
      <c r="V747" s="66"/>
      <c r="W747" s="66"/>
      <c r="X747" s="66"/>
      <c r="Y747" s="66"/>
      <c r="Z747" s="68" t="s">
        <v>3511</v>
      </c>
      <c r="AA747" s="68" t="s">
        <v>4</v>
      </c>
      <c r="AB747" s="66"/>
      <c r="AC747" s="69"/>
      <c r="AD747" s="37"/>
      <c r="AE747" s="37"/>
      <c r="AF747" s="37"/>
      <c r="AG747" s="37"/>
      <c r="AH747" s="37"/>
      <c r="AI747" s="31"/>
      <c r="AJ747" s="31"/>
      <c r="AK747" s="31"/>
      <c r="AL747" s="31"/>
      <c r="AM747" s="31"/>
      <c r="AN747" s="31"/>
      <c r="AO747" s="31"/>
      <c r="AP747" s="31"/>
      <c r="AQ747" s="31"/>
      <c r="AR747" s="31"/>
      <c r="AS747" s="31"/>
      <c r="AT747" s="36"/>
      <c r="AU747" s="36"/>
      <c r="AV747" s="34"/>
      <c r="AW747" s="31"/>
      <c r="AX747" s="34"/>
    </row>
    <row r="748">
      <c r="A748" s="72" t="s">
        <v>3825</v>
      </c>
      <c r="B748" s="71">
        <v>45940.72233664352</v>
      </c>
      <c r="C748" s="72" t="s">
        <v>3707</v>
      </c>
      <c r="D748" s="73" t="s">
        <v>3708</v>
      </c>
      <c r="E748" s="72" t="s">
        <v>3826</v>
      </c>
      <c r="F748" s="84" t="s">
        <v>3825</v>
      </c>
      <c r="G748" s="76">
        <v>186.0</v>
      </c>
      <c r="H748" s="76">
        <v>9.0</v>
      </c>
      <c r="I748" s="76">
        <v>8.0</v>
      </c>
      <c r="J748" s="76">
        <v>1.0</v>
      </c>
      <c r="K748" s="77"/>
      <c r="L748" s="77"/>
      <c r="M748" s="77"/>
      <c r="N748" s="76">
        <v>9.0</v>
      </c>
      <c r="O748" s="77"/>
      <c r="P748" s="77"/>
      <c r="Q748" s="77"/>
      <c r="R748" s="77"/>
      <c r="S748" s="77"/>
      <c r="T748" s="77"/>
      <c r="U748" s="77"/>
      <c r="V748" s="78" t="s">
        <v>3827</v>
      </c>
      <c r="W748" s="77"/>
      <c r="X748" s="77"/>
      <c r="Y748" s="77"/>
      <c r="Z748" s="72" t="s">
        <v>3828</v>
      </c>
      <c r="AA748" s="76">
        <v>5.0</v>
      </c>
      <c r="AB748" s="77"/>
      <c r="AC748" s="79"/>
      <c r="AD748" s="54"/>
      <c r="AE748" s="54"/>
      <c r="AF748" s="54"/>
      <c r="AG748" s="54"/>
      <c r="AH748" s="54"/>
      <c r="AI748" s="44"/>
      <c r="AJ748" s="44"/>
      <c r="AK748" s="44"/>
      <c r="AL748" s="44"/>
      <c r="AM748" s="44"/>
      <c r="AN748" s="44"/>
      <c r="AO748" s="44"/>
      <c r="AP748" s="44"/>
      <c r="AQ748" s="44"/>
      <c r="AR748" s="44"/>
      <c r="AS748" s="44"/>
      <c r="AT748" s="41"/>
      <c r="AU748" s="41"/>
      <c r="AV748" s="45"/>
      <c r="AW748" s="44"/>
      <c r="AX748" s="45"/>
    </row>
    <row r="749">
      <c r="A749" s="60" t="s">
        <v>3712</v>
      </c>
      <c r="B749" s="61">
        <v>45940.72670180556</v>
      </c>
      <c r="C749" s="68" t="s">
        <v>3713</v>
      </c>
      <c r="D749" s="63" t="s">
        <v>3714</v>
      </c>
      <c r="E749" s="68" t="s">
        <v>3791</v>
      </c>
      <c r="F749" s="64" t="s">
        <v>3712</v>
      </c>
      <c r="G749" s="62">
        <v>197.0</v>
      </c>
      <c r="H749" s="62">
        <v>9.0</v>
      </c>
      <c r="I749" s="62">
        <v>9.0</v>
      </c>
      <c r="J749" s="62">
        <v>0.0</v>
      </c>
      <c r="K749" s="66"/>
      <c r="L749" s="66"/>
      <c r="M749" s="66"/>
      <c r="N749" s="62">
        <v>8.0</v>
      </c>
      <c r="O749" s="66"/>
      <c r="P749" s="66"/>
      <c r="Q749" s="66"/>
      <c r="R749" s="66"/>
      <c r="S749" s="66"/>
      <c r="T749" s="66"/>
      <c r="U749" s="66"/>
      <c r="V749" s="67" t="s">
        <v>3829</v>
      </c>
      <c r="W749" s="66"/>
      <c r="X749" s="66"/>
      <c r="Y749" s="66"/>
      <c r="Z749" s="68" t="s">
        <v>3830</v>
      </c>
      <c r="AA749" s="62">
        <v>4.0</v>
      </c>
      <c r="AB749" s="66"/>
      <c r="AC749" s="69"/>
      <c r="AD749" s="37"/>
      <c r="AE749" s="37"/>
      <c r="AF749" s="37"/>
      <c r="AG749" s="37"/>
      <c r="AH749" s="37"/>
      <c r="AI749" s="31"/>
      <c r="AJ749" s="31"/>
      <c r="AK749" s="31"/>
      <c r="AL749" s="31"/>
      <c r="AM749" s="31"/>
      <c r="AN749" s="31"/>
      <c r="AO749" s="31"/>
      <c r="AP749" s="31"/>
      <c r="AQ749" s="31"/>
      <c r="AR749" s="31"/>
      <c r="AS749" s="31"/>
      <c r="AT749" s="36"/>
      <c r="AU749" s="36"/>
      <c r="AV749" s="34"/>
      <c r="AW749" s="31"/>
      <c r="AX749" s="34"/>
    </row>
    <row r="750">
      <c r="A750" s="70" t="s">
        <v>3567</v>
      </c>
      <c r="B750" s="71">
        <v>45941.03143366898</v>
      </c>
      <c r="C750" s="72" t="s">
        <v>3831</v>
      </c>
      <c r="D750" s="73" t="s">
        <v>3514</v>
      </c>
      <c r="E750" s="72" t="s">
        <v>3832</v>
      </c>
      <c r="F750" s="74" t="s">
        <v>3567</v>
      </c>
      <c r="G750" s="76">
        <v>370.0</v>
      </c>
      <c r="H750" s="76">
        <v>8.0</v>
      </c>
      <c r="I750" s="76">
        <v>8.0</v>
      </c>
      <c r="J750" s="76">
        <v>1.0</v>
      </c>
      <c r="K750" s="77"/>
      <c r="L750" s="77"/>
      <c r="M750" s="77"/>
      <c r="N750" s="76">
        <v>7.0</v>
      </c>
      <c r="O750" s="77"/>
      <c r="P750" s="77"/>
      <c r="Q750" s="77"/>
      <c r="R750" s="77"/>
      <c r="S750" s="77"/>
      <c r="T750" s="77"/>
      <c r="U750" s="77"/>
      <c r="V750" s="78" t="s">
        <v>3833</v>
      </c>
      <c r="W750" s="77"/>
      <c r="X750" s="77"/>
      <c r="Y750" s="77"/>
      <c r="Z750" s="72" t="s">
        <v>1094</v>
      </c>
      <c r="AA750" s="76">
        <v>3.0</v>
      </c>
      <c r="AB750" s="77"/>
      <c r="AC750" s="79"/>
      <c r="AD750" s="54"/>
      <c r="AE750" s="54"/>
      <c r="AF750" s="54"/>
      <c r="AG750" s="54"/>
      <c r="AH750" s="54"/>
      <c r="AI750" s="44"/>
      <c r="AJ750" s="44"/>
      <c r="AK750" s="44"/>
      <c r="AL750" s="44"/>
      <c r="AM750" s="44"/>
      <c r="AN750" s="44"/>
      <c r="AO750" s="44"/>
      <c r="AP750" s="44"/>
      <c r="AQ750" s="44"/>
      <c r="AR750" s="44"/>
      <c r="AS750" s="44"/>
      <c r="AT750" s="41"/>
      <c r="AU750" s="41"/>
      <c r="AV750" s="45"/>
      <c r="AW750" s="44"/>
      <c r="AX750" s="45"/>
    </row>
    <row r="751">
      <c r="A751" s="60" t="s">
        <v>3834</v>
      </c>
      <c r="B751" s="61">
        <v>45941.037427511576</v>
      </c>
      <c r="C751" s="68" t="s">
        <v>3835</v>
      </c>
      <c r="D751" s="63" t="s">
        <v>3563</v>
      </c>
      <c r="E751" s="68" t="s">
        <v>3836</v>
      </c>
      <c r="F751" s="64" t="s">
        <v>3834</v>
      </c>
      <c r="G751" s="62">
        <v>175.0</v>
      </c>
      <c r="H751" s="62">
        <v>5.0</v>
      </c>
      <c r="I751" s="62">
        <v>4.0</v>
      </c>
      <c r="J751" s="62">
        <v>4.0</v>
      </c>
      <c r="K751" s="66"/>
      <c r="L751" s="66"/>
      <c r="M751" s="66"/>
      <c r="N751" s="62">
        <v>6.0</v>
      </c>
      <c r="O751" s="66"/>
      <c r="P751" s="66"/>
      <c r="Q751" s="66"/>
      <c r="R751" s="66"/>
      <c r="S751" s="66"/>
      <c r="T751" s="66"/>
      <c r="U751" s="66"/>
      <c r="V751" s="67" t="s">
        <v>3837</v>
      </c>
      <c r="W751" s="66"/>
      <c r="X751" s="66"/>
      <c r="Y751" s="66"/>
      <c r="Z751" s="68" t="s">
        <v>3566</v>
      </c>
      <c r="AA751" s="62">
        <v>3.0</v>
      </c>
      <c r="AB751" s="66"/>
      <c r="AC751" s="69"/>
      <c r="AD751" s="37"/>
      <c r="AE751" s="37"/>
      <c r="AF751" s="37"/>
      <c r="AG751" s="37"/>
      <c r="AH751" s="37"/>
      <c r="AI751" s="31"/>
      <c r="AJ751" s="31"/>
      <c r="AK751" s="31"/>
      <c r="AL751" s="31"/>
      <c r="AM751" s="31"/>
      <c r="AN751" s="31"/>
      <c r="AO751" s="31"/>
      <c r="AP751" s="31"/>
      <c r="AQ751" s="31"/>
      <c r="AR751" s="31"/>
      <c r="AS751" s="31"/>
      <c r="AT751" s="36"/>
      <c r="AU751" s="36"/>
      <c r="AV751" s="34"/>
      <c r="AW751" s="31"/>
      <c r="AX751" s="34"/>
    </row>
    <row r="752">
      <c r="A752" s="70" t="s">
        <v>3838</v>
      </c>
      <c r="B752" s="71">
        <v>45941.038547118056</v>
      </c>
      <c r="C752" s="72" t="s">
        <v>3839</v>
      </c>
      <c r="D752" s="73" t="s">
        <v>3605</v>
      </c>
      <c r="E752" s="72" t="s">
        <v>3840</v>
      </c>
      <c r="F752" s="74" t="s">
        <v>3838</v>
      </c>
      <c r="G752" s="76">
        <v>210.0</v>
      </c>
      <c r="H752" s="76">
        <v>10.0</v>
      </c>
      <c r="I752" s="76">
        <v>9.0</v>
      </c>
      <c r="J752" s="76">
        <v>0.0</v>
      </c>
      <c r="K752" s="77"/>
      <c r="L752" s="77"/>
      <c r="M752" s="77"/>
      <c r="N752" s="76">
        <v>10.0</v>
      </c>
      <c r="O752" s="77"/>
      <c r="P752" s="77"/>
      <c r="Q752" s="77"/>
      <c r="R752" s="77"/>
      <c r="S752" s="77"/>
      <c r="T752" s="77"/>
      <c r="U752" s="77"/>
      <c r="V752" s="77"/>
      <c r="W752" s="77"/>
      <c r="X752" s="77"/>
      <c r="Y752" s="77"/>
      <c r="Z752" s="72" t="s">
        <v>3608</v>
      </c>
      <c r="AA752" s="72" t="s">
        <v>4</v>
      </c>
      <c r="AB752" s="77"/>
      <c r="AC752" s="79"/>
      <c r="AD752" s="54"/>
      <c r="AE752" s="54"/>
      <c r="AF752" s="54"/>
      <c r="AG752" s="54"/>
      <c r="AH752" s="54"/>
      <c r="AI752" s="44"/>
      <c r="AJ752" s="44"/>
      <c r="AK752" s="44"/>
      <c r="AL752" s="44"/>
      <c r="AM752" s="44"/>
      <c r="AN752" s="44"/>
      <c r="AO752" s="44"/>
      <c r="AP752" s="44"/>
      <c r="AQ752" s="44"/>
      <c r="AR752" s="44"/>
      <c r="AS752" s="44"/>
      <c r="AT752" s="41"/>
      <c r="AU752" s="41"/>
      <c r="AV752" s="45"/>
      <c r="AW752" s="44"/>
      <c r="AX752" s="45"/>
    </row>
    <row r="753">
      <c r="A753" s="60" t="s">
        <v>3718</v>
      </c>
      <c r="B753" s="61">
        <v>45943.416153819446</v>
      </c>
      <c r="C753" s="68" t="s">
        <v>3799</v>
      </c>
      <c r="D753" s="63" t="s">
        <v>3720</v>
      </c>
      <c r="E753" s="68" t="s">
        <v>3841</v>
      </c>
      <c r="F753" s="64" t="s">
        <v>3718</v>
      </c>
      <c r="G753" s="62">
        <v>182.0</v>
      </c>
      <c r="H753" s="62">
        <v>8.0</v>
      </c>
      <c r="I753" s="62">
        <v>8.0</v>
      </c>
      <c r="J753" s="62">
        <v>2.0</v>
      </c>
      <c r="K753" s="66"/>
      <c r="L753" s="66"/>
      <c r="M753" s="66"/>
      <c r="N753" s="62">
        <v>9.0</v>
      </c>
      <c r="O753" s="66"/>
      <c r="P753" s="66"/>
      <c r="Q753" s="66"/>
      <c r="R753" s="66"/>
      <c r="S753" s="66"/>
      <c r="T753" s="66"/>
      <c r="U753" s="66"/>
      <c r="V753" s="67" t="s">
        <v>3842</v>
      </c>
      <c r="W753" s="66"/>
      <c r="X753" s="66"/>
      <c r="Y753" s="66"/>
      <c r="Z753" s="68" t="s">
        <v>3843</v>
      </c>
      <c r="AA753" s="62">
        <v>5.0</v>
      </c>
      <c r="AB753" s="66"/>
      <c r="AC753" s="190">
        <v>5.0</v>
      </c>
      <c r="AD753" s="37"/>
      <c r="AE753" s="37"/>
      <c r="AF753" s="37"/>
      <c r="AG753" s="37"/>
      <c r="AH753" s="37"/>
      <c r="AI753" s="31"/>
      <c r="AJ753" s="31"/>
      <c r="AK753" s="31"/>
      <c r="AL753" s="31"/>
      <c r="AM753" s="31"/>
      <c r="AN753" s="31"/>
      <c r="AO753" s="31"/>
      <c r="AP753" s="31"/>
      <c r="AQ753" s="31"/>
      <c r="AR753" s="31"/>
      <c r="AS753" s="31"/>
      <c r="AT753" s="36"/>
      <c r="AU753" s="36"/>
      <c r="AV753" s="34"/>
      <c r="AW753" s="31"/>
      <c r="AX753" s="34"/>
    </row>
    <row r="754">
      <c r="A754" s="70" t="s">
        <v>3844</v>
      </c>
      <c r="B754" s="71">
        <v>45947.21899325232</v>
      </c>
      <c r="C754" s="72" t="s">
        <v>3845</v>
      </c>
      <c r="D754" s="73" t="s">
        <v>3846</v>
      </c>
      <c r="E754" s="76" t="s">
        <v>3847</v>
      </c>
      <c r="F754" s="74" t="s">
        <v>3844</v>
      </c>
      <c r="G754" s="76">
        <v>103.0</v>
      </c>
      <c r="H754" s="76">
        <v>7.0</v>
      </c>
      <c r="I754" s="76">
        <v>5.0</v>
      </c>
      <c r="J754" s="76">
        <v>1.0</v>
      </c>
      <c r="K754" s="77"/>
      <c r="L754" s="77"/>
      <c r="M754" s="77"/>
      <c r="N754" s="76">
        <v>6.0</v>
      </c>
      <c r="O754" s="77"/>
      <c r="P754" s="77"/>
      <c r="Q754" s="77"/>
      <c r="R754" s="77"/>
      <c r="S754" s="77"/>
      <c r="T754" s="77"/>
      <c r="U754" s="77"/>
      <c r="V754" s="78" t="s">
        <v>3848</v>
      </c>
      <c r="W754" s="72" t="s">
        <v>563</v>
      </c>
      <c r="X754" s="77"/>
      <c r="Y754" s="77"/>
      <c r="Z754" s="72" t="s">
        <v>3849</v>
      </c>
      <c r="AA754" s="76">
        <v>1.0</v>
      </c>
      <c r="AB754" s="77"/>
      <c r="AC754" s="79"/>
      <c r="AD754" s="54"/>
      <c r="AE754" s="54"/>
      <c r="AF754" s="54"/>
      <c r="AG754" s="54"/>
      <c r="AH754" s="54"/>
      <c r="AI754" s="44"/>
      <c r="AJ754" s="44"/>
      <c r="AK754" s="44"/>
      <c r="AL754" s="44"/>
      <c r="AM754" s="44"/>
      <c r="AN754" s="44"/>
      <c r="AO754" s="44"/>
      <c r="AP754" s="44"/>
      <c r="AQ754" s="44"/>
      <c r="AR754" s="44"/>
      <c r="AS754" s="44"/>
      <c r="AT754" s="41"/>
      <c r="AU754" s="41"/>
      <c r="AV754" s="45"/>
      <c r="AW754" s="44"/>
      <c r="AX754" s="45"/>
    </row>
    <row r="755">
      <c r="A755" s="60" t="s">
        <v>3850</v>
      </c>
      <c r="B755" s="61">
        <v>45947.22983545139</v>
      </c>
      <c r="C755" s="68" t="s">
        <v>3851</v>
      </c>
      <c r="D755" s="63" t="s">
        <v>3852</v>
      </c>
      <c r="E755" s="68" t="s">
        <v>3853</v>
      </c>
      <c r="F755" s="64" t="s">
        <v>3850</v>
      </c>
      <c r="G755" s="62">
        <v>188.0</v>
      </c>
      <c r="H755" s="62">
        <v>8.0</v>
      </c>
      <c r="I755" s="62">
        <v>6.0</v>
      </c>
      <c r="J755" s="68" t="s">
        <v>1024</v>
      </c>
      <c r="K755" s="66"/>
      <c r="L755" s="66"/>
      <c r="M755" s="66"/>
      <c r="N755" s="62">
        <v>6.0</v>
      </c>
      <c r="O755" s="66"/>
      <c r="P755" s="66"/>
      <c r="Q755" s="66"/>
      <c r="R755" s="66"/>
      <c r="S755" s="66"/>
      <c r="T755" s="66"/>
      <c r="U755" s="66"/>
      <c r="V755" s="67" t="s">
        <v>3854</v>
      </c>
      <c r="W755" s="68" t="s">
        <v>3855</v>
      </c>
      <c r="X755" s="66"/>
      <c r="Y755" s="66"/>
      <c r="Z755" s="68" t="s">
        <v>3856</v>
      </c>
      <c r="AA755" s="62">
        <v>1.0</v>
      </c>
      <c r="AB755" s="66"/>
      <c r="AC755" s="69"/>
      <c r="AD755" s="37"/>
      <c r="AE755" s="37"/>
      <c r="AF755" s="37"/>
      <c r="AG755" s="37"/>
      <c r="AH755" s="37"/>
      <c r="AI755" s="31"/>
      <c r="AJ755" s="31"/>
      <c r="AK755" s="31"/>
      <c r="AL755" s="31"/>
      <c r="AM755" s="31"/>
      <c r="AN755" s="31"/>
      <c r="AO755" s="31"/>
      <c r="AP755" s="31"/>
      <c r="AQ755" s="31"/>
      <c r="AR755" s="31"/>
      <c r="AS755" s="31"/>
      <c r="AT755" s="36"/>
      <c r="AU755" s="36"/>
      <c r="AV755" s="34"/>
      <c r="AW755" s="31"/>
      <c r="AX755" s="34"/>
    </row>
    <row r="756">
      <c r="A756" s="70" t="s">
        <v>3857</v>
      </c>
      <c r="B756" s="71">
        <v>45947.233071574075</v>
      </c>
      <c r="C756" s="72" t="s">
        <v>3858</v>
      </c>
      <c r="D756" s="73" t="s">
        <v>3859</v>
      </c>
      <c r="E756" s="76" t="s">
        <v>3860</v>
      </c>
      <c r="F756" s="74" t="s">
        <v>3857</v>
      </c>
      <c r="G756" s="76">
        <v>950.0</v>
      </c>
      <c r="H756" s="76">
        <v>9.0</v>
      </c>
      <c r="I756" s="76">
        <v>9.0</v>
      </c>
      <c r="J756" s="76">
        <v>0.0</v>
      </c>
      <c r="K756" s="77"/>
      <c r="L756" s="77"/>
      <c r="M756" s="77"/>
      <c r="N756" s="76">
        <v>7.0</v>
      </c>
      <c r="O756" s="77"/>
      <c r="P756" s="77"/>
      <c r="Q756" s="77"/>
      <c r="R756" s="77"/>
      <c r="S756" s="77"/>
      <c r="T756" s="77"/>
      <c r="U756" s="77"/>
      <c r="V756" s="78" t="s">
        <v>3861</v>
      </c>
      <c r="W756" s="72" t="s">
        <v>197</v>
      </c>
      <c r="X756" s="77"/>
      <c r="Y756" s="77"/>
      <c r="Z756" s="72" t="s">
        <v>3862</v>
      </c>
      <c r="AA756" s="76">
        <v>1.0</v>
      </c>
      <c r="AB756" s="77"/>
      <c r="AC756" s="79"/>
      <c r="AD756" s="54"/>
      <c r="AE756" s="54"/>
      <c r="AF756" s="54"/>
      <c r="AG756" s="54"/>
      <c r="AH756" s="54"/>
      <c r="AI756" s="44"/>
      <c r="AJ756" s="44"/>
      <c r="AK756" s="44"/>
      <c r="AL756" s="44"/>
      <c r="AM756" s="44"/>
      <c r="AN756" s="44"/>
      <c r="AO756" s="44"/>
      <c r="AP756" s="44"/>
      <c r="AQ756" s="44"/>
      <c r="AR756" s="44"/>
      <c r="AS756" s="44"/>
      <c r="AT756" s="41"/>
      <c r="AU756" s="41"/>
      <c r="AV756" s="45"/>
      <c r="AW756" s="44"/>
      <c r="AX756" s="45"/>
    </row>
    <row r="757">
      <c r="A757" s="60" t="s">
        <v>3863</v>
      </c>
      <c r="B757" s="61">
        <v>45947.238618958334</v>
      </c>
      <c r="C757" s="68" t="s">
        <v>3864</v>
      </c>
      <c r="D757" s="62">
        <v>3.044801331E9</v>
      </c>
      <c r="E757" s="68" t="s">
        <v>3865</v>
      </c>
      <c r="F757" s="64" t="s">
        <v>3863</v>
      </c>
      <c r="G757" s="62">
        <v>500.0</v>
      </c>
      <c r="H757" s="62">
        <v>9.0</v>
      </c>
      <c r="I757" s="62">
        <v>8.0</v>
      </c>
      <c r="J757" s="62">
        <v>20.0</v>
      </c>
      <c r="K757" s="66"/>
      <c r="L757" s="66"/>
      <c r="M757" s="66"/>
      <c r="N757" s="62">
        <v>5.0</v>
      </c>
      <c r="O757" s="66"/>
      <c r="P757" s="66"/>
      <c r="Q757" s="66"/>
      <c r="R757" s="66"/>
      <c r="S757" s="66"/>
      <c r="T757" s="66"/>
      <c r="U757" s="66"/>
      <c r="V757" s="68" t="s">
        <v>3866</v>
      </c>
      <c r="W757" s="66"/>
      <c r="X757" s="66"/>
      <c r="Y757" s="66"/>
      <c r="Z757" s="68" t="s">
        <v>3867</v>
      </c>
      <c r="AA757" s="62">
        <v>1.0</v>
      </c>
      <c r="AB757" s="66"/>
      <c r="AC757" s="69"/>
      <c r="AD757" s="37"/>
      <c r="AE757" s="37"/>
      <c r="AF757" s="37"/>
      <c r="AG757" s="37"/>
      <c r="AH757" s="37"/>
      <c r="AI757" s="31"/>
      <c r="AJ757" s="31"/>
      <c r="AK757" s="31"/>
      <c r="AL757" s="31"/>
      <c r="AM757" s="31"/>
      <c r="AN757" s="31"/>
      <c r="AO757" s="31"/>
      <c r="AP757" s="31"/>
      <c r="AQ757" s="31"/>
      <c r="AR757" s="31"/>
      <c r="AS757" s="31"/>
      <c r="AT757" s="36"/>
      <c r="AU757" s="36"/>
      <c r="AV757" s="34"/>
      <c r="AW757" s="31"/>
      <c r="AX757" s="34"/>
    </row>
    <row r="758">
      <c r="A758" s="70" t="s">
        <v>3868</v>
      </c>
      <c r="B758" s="71">
        <v>45947.24097409722</v>
      </c>
      <c r="C758" s="72" t="s">
        <v>3869</v>
      </c>
      <c r="D758" s="73" t="s">
        <v>1440</v>
      </c>
      <c r="E758" s="72" t="s">
        <v>3870</v>
      </c>
      <c r="F758" s="74" t="s">
        <v>3868</v>
      </c>
      <c r="G758" s="76">
        <v>270.0</v>
      </c>
      <c r="H758" s="76">
        <v>5.0</v>
      </c>
      <c r="I758" s="76">
        <v>4.0</v>
      </c>
      <c r="J758" s="76">
        <v>0.0</v>
      </c>
      <c r="K758" s="77"/>
      <c r="L758" s="77"/>
      <c r="M758" s="77"/>
      <c r="N758" s="76">
        <v>9.0</v>
      </c>
      <c r="O758" s="77"/>
      <c r="P758" s="77"/>
      <c r="Q758" s="77"/>
      <c r="R758" s="77"/>
      <c r="S758" s="77"/>
      <c r="T758" s="77"/>
      <c r="U758" s="77"/>
      <c r="V758" s="78" t="s">
        <v>3871</v>
      </c>
      <c r="W758" s="72" t="s">
        <v>3872</v>
      </c>
      <c r="X758" s="77"/>
      <c r="Y758" s="77"/>
      <c r="Z758" s="72" t="s">
        <v>1445</v>
      </c>
      <c r="AA758" s="76">
        <v>1.0</v>
      </c>
      <c r="AB758" s="77"/>
      <c r="AC758" s="79"/>
      <c r="AD758" s="54"/>
      <c r="AE758" s="54"/>
      <c r="AF758" s="54"/>
      <c r="AG758" s="54"/>
      <c r="AH758" s="54"/>
      <c r="AI758" s="44"/>
      <c r="AJ758" s="44"/>
      <c r="AK758" s="44"/>
      <c r="AL758" s="44"/>
      <c r="AM758" s="44"/>
      <c r="AN758" s="44"/>
      <c r="AO758" s="44"/>
      <c r="AP758" s="44"/>
      <c r="AQ758" s="44"/>
      <c r="AR758" s="44"/>
      <c r="AS758" s="44"/>
      <c r="AT758" s="41"/>
      <c r="AU758" s="41"/>
      <c r="AV758" s="45"/>
      <c r="AW758" s="44"/>
      <c r="AX758" s="45"/>
    </row>
    <row r="759">
      <c r="A759" s="60" t="s">
        <v>3873</v>
      </c>
      <c r="B759" s="61">
        <v>45947.25131954861</v>
      </c>
      <c r="C759" s="68" t="s">
        <v>3874</v>
      </c>
      <c r="D759" s="63" t="s">
        <v>3875</v>
      </c>
      <c r="E759" s="68" t="s">
        <v>3876</v>
      </c>
      <c r="F759" s="64" t="s">
        <v>3873</v>
      </c>
      <c r="G759" s="62">
        <v>331.0</v>
      </c>
      <c r="H759" s="62">
        <v>8.0</v>
      </c>
      <c r="I759" s="62">
        <v>9.0</v>
      </c>
      <c r="J759" s="68" t="s">
        <v>197</v>
      </c>
      <c r="K759" s="66"/>
      <c r="L759" s="66"/>
      <c r="M759" s="66"/>
      <c r="N759" s="62">
        <v>10.0</v>
      </c>
      <c r="O759" s="66"/>
      <c r="P759" s="66"/>
      <c r="Q759" s="66"/>
      <c r="R759" s="66"/>
      <c r="S759" s="66"/>
      <c r="T759" s="66"/>
      <c r="U759" s="66"/>
      <c r="V759" s="67" t="s">
        <v>3877</v>
      </c>
      <c r="W759" s="66"/>
      <c r="X759" s="66"/>
      <c r="Y759" s="66"/>
      <c r="Z759" s="68" t="s">
        <v>3878</v>
      </c>
      <c r="AA759" s="62">
        <v>1.0</v>
      </c>
      <c r="AB759" s="66"/>
      <c r="AC759" s="69"/>
      <c r="AD759" s="37"/>
      <c r="AE759" s="37"/>
      <c r="AF759" s="37"/>
      <c r="AG759" s="37"/>
      <c r="AH759" s="37"/>
      <c r="AI759" s="31"/>
      <c r="AJ759" s="31"/>
      <c r="AK759" s="31"/>
      <c r="AL759" s="31"/>
      <c r="AM759" s="31"/>
      <c r="AN759" s="31"/>
      <c r="AO759" s="31"/>
      <c r="AP759" s="31"/>
      <c r="AQ759" s="31"/>
      <c r="AR759" s="31"/>
      <c r="AS759" s="31"/>
      <c r="AT759" s="36"/>
      <c r="AU759" s="36"/>
      <c r="AV759" s="34"/>
      <c r="AW759" s="31"/>
      <c r="AX759" s="34"/>
    </row>
    <row r="760">
      <c r="A760" s="70" t="s">
        <v>3879</v>
      </c>
      <c r="B760" s="71">
        <v>45947.25376836806</v>
      </c>
      <c r="C760" s="72" t="s">
        <v>3481</v>
      </c>
      <c r="D760" s="73" t="s">
        <v>3482</v>
      </c>
      <c r="E760" s="72" t="s">
        <v>3813</v>
      </c>
      <c r="F760" s="74" t="s">
        <v>3879</v>
      </c>
      <c r="G760" s="76">
        <v>520.0</v>
      </c>
      <c r="H760" s="76">
        <v>5.0</v>
      </c>
      <c r="I760" s="76">
        <v>5.0</v>
      </c>
      <c r="J760" s="76">
        <v>2.0</v>
      </c>
      <c r="K760" s="77"/>
      <c r="L760" s="77"/>
      <c r="M760" s="77"/>
      <c r="N760" s="76">
        <v>10.0</v>
      </c>
      <c r="O760" s="77"/>
      <c r="P760" s="77"/>
      <c r="Q760" s="77"/>
      <c r="R760" s="77"/>
      <c r="S760" s="77"/>
      <c r="T760" s="77"/>
      <c r="U760" s="77"/>
      <c r="V760" s="78" t="s">
        <v>3880</v>
      </c>
      <c r="W760" s="77"/>
      <c r="X760" s="77"/>
      <c r="Y760" s="77"/>
      <c r="Z760" s="72" t="s">
        <v>3485</v>
      </c>
      <c r="AA760" s="72" t="s">
        <v>4</v>
      </c>
      <c r="AB760" s="77"/>
      <c r="AC760" s="79"/>
      <c r="AD760" s="54"/>
      <c r="AE760" s="54"/>
      <c r="AF760" s="54"/>
      <c r="AG760" s="54"/>
      <c r="AH760" s="54"/>
      <c r="AI760" s="44"/>
      <c r="AJ760" s="44"/>
      <c r="AK760" s="44"/>
      <c r="AL760" s="44"/>
      <c r="AM760" s="44"/>
      <c r="AN760" s="44"/>
      <c r="AO760" s="44"/>
      <c r="AP760" s="44"/>
      <c r="AQ760" s="44"/>
      <c r="AR760" s="44"/>
      <c r="AS760" s="44"/>
      <c r="AT760" s="41"/>
      <c r="AU760" s="41"/>
      <c r="AV760" s="45"/>
      <c r="AW760" s="44"/>
      <c r="AX760" s="45"/>
    </row>
    <row r="761">
      <c r="A761" s="60" t="s">
        <v>3881</v>
      </c>
      <c r="B761" s="61">
        <v>45947.25474203704</v>
      </c>
      <c r="C761" s="68" t="s">
        <v>3882</v>
      </c>
      <c r="D761" s="63" t="s">
        <v>1425</v>
      </c>
      <c r="E761" s="68" t="s">
        <v>3883</v>
      </c>
      <c r="F761" s="64" t="s">
        <v>3881</v>
      </c>
      <c r="G761" s="62">
        <v>76.0</v>
      </c>
      <c r="H761" s="62">
        <v>5.0</v>
      </c>
      <c r="I761" s="62">
        <v>3.0</v>
      </c>
      <c r="J761" s="68" t="s">
        <v>197</v>
      </c>
      <c r="K761" s="66"/>
      <c r="L761" s="66"/>
      <c r="M761" s="66"/>
      <c r="N761" s="62">
        <v>6.0</v>
      </c>
      <c r="O761" s="66"/>
      <c r="P761" s="66"/>
      <c r="Q761" s="66"/>
      <c r="R761" s="66"/>
      <c r="S761" s="66"/>
      <c r="T761" s="66"/>
      <c r="U761" s="66"/>
      <c r="V761" s="67" t="s">
        <v>3884</v>
      </c>
      <c r="W761" s="68" t="s">
        <v>3885</v>
      </c>
      <c r="X761" s="66"/>
      <c r="Y761" s="66"/>
      <c r="Z761" s="68" t="s">
        <v>3886</v>
      </c>
      <c r="AA761" s="62">
        <v>1.0</v>
      </c>
      <c r="AB761" s="66"/>
      <c r="AC761" s="69"/>
      <c r="AD761" s="37"/>
      <c r="AE761" s="37"/>
      <c r="AF761" s="37"/>
      <c r="AG761" s="37"/>
      <c r="AH761" s="37"/>
      <c r="AI761" s="31"/>
      <c r="AJ761" s="31"/>
      <c r="AK761" s="31"/>
      <c r="AL761" s="31"/>
      <c r="AM761" s="31"/>
      <c r="AN761" s="31"/>
      <c r="AO761" s="31"/>
      <c r="AP761" s="31"/>
      <c r="AQ761" s="31"/>
      <c r="AR761" s="31"/>
      <c r="AS761" s="31"/>
      <c r="AT761" s="36"/>
      <c r="AU761" s="36"/>
      <c r="AV761" s="34"/>
      <c r="AW761" s="31"/>
      <c r="AX761" s="34"/>
    </row>
    <row r="762">
      <c r="A762" s="72" t="s">
        <v>3887</v>
      </c>
      <c r="B762" s="71">
        <v>45947.2554987037</v>
      </c>
      <c r="C762" s="72" t="s">
        <v>3888</v>
      </c>
      <c r="D762" s="73" t="s">
        <v>3889</v>
      </c>
      <c r="E762" s="76" t="s">
        <v>3890</v>
      </c>
      <c r="F762" s="84" t="s">
        <v>3887</v>
      </c>
      <c r="G762" s="76">
        <v>300.0</v>
      </c>
      <c r="H762" s="76">
        <v>9.0</v>
      </c>
      <c r="I762" s="76">
        <v>10.0</v>
      </c>
      <c r="J762" s="76">
        <v>0.0</v>
      </c>
      <c r="K762" s="77"/>
      <c r="L762" s="77"/>
      <c r="M762" s="77"/>
      <c r="N762" s="76">
        <v>9.0</v>
      </c>
      <c r="O762" s="77"/>
      <c r="P762" s="77"/>
      <c r="Q762" s="77"/>
      <c r="R762" s="77"/>
      <c r="S762" s="77"/>
      <c r="T762" s="77"/>
      <c r="U762" s="77"/>
      <c r="V762" s="78" t="s">
        <v>3891</v>
      </c>
      <c r="W762" s="77"/>
      <c r="X762" s="77"/>
      <c r="Y762" s="77"/>
      <c r="Z762" s="72" t="s">
        <v>3892</v>
      </c>
      <c r="AA762" s="76">
        <v>1.0</v>
      </c>
      <c r="AB762" s="77"/>
      <c r="AC762" s="79"/>
      <c r="AD762" s="54"/>
      <c r="AE762" s="54"/>
      <c r="AF762" s="54"/>
      <c r="AG762" s="54"/>
      <c r="AH762" s="54"/>
      <c r="AI762" s="44"/>
      <c r="AJ762" s="44"/>
      <c r="AK762" s="44"/>
      <c r="AL762" s="44"/>
      <c r="AM762" s="44"/>
      <c r="AN762" s="44"/>
      <c r="AO762" s="44"/>
      <c r="AP762" s="44"/>
      <c r="AQ762" s="44"/>
      <c r="AR762" s="44"/>
      <c r="AS762" s="44"/>
      <c r="AT762" s="41"/>
      <c r="AU762" s="41"/>
      <c r="AV762" s="45"/>
      <c r="AW762" s="44"/>
      <c r="AX762" s="45"/>
    </row>
    <row r="763">
      <c r="A763" s="60" t="s">
        <v>3893</v>
      </c>
      <c r="B763" s="61">
        <v>45947.25752185185</v>
      </c>
      <c r="C763" s="68" t="s">
        <v>3894</v>
      </c>
      <c r="D763" s="63" t="s">
        <v>3895</v>
      </c>
      <c r="E763" s="68" t="s">
        <v>3896</v>
      </c>
      <c r="F763" s="64" t="s">
        <v>3893</v>
      </c>
      <c r="G763" s="62">
        <v>328.0</v>
      </c>
      <c r="H763" s="62">
        <v>8.0</v>
      </c>
      <c r="I763" s="62">
        <v>8.0</v>
      </c>
      <c r="J763" s="68" t="s">
        <v>3897</v>
      </c>
      <c r="K763" s="66"/>
      <c r="L763" s="66"/>
      <c r="M763" s="66"/>
      <c r="N763" s="62">
        <v>9.0</v>
      </c>
      <c r="O763" s="66"/>
      <c r="P763" s="66"/>
      <c r="Q763" s="66"/>
      <c r="R763" s="66"/>
      <c r="S763" s="66"/>
      <c r="T763" s="66"/>
      <c r="U763" s="66"/>
      <c r="V763" s="67" t="s">
        <v>3898</v>
      </c>
      <c r="W763" s="68" t="s">
        <v>3899</v>
      </c>
      <c r="X763" s="66"/>
      <c r="Y763" s="66"/>
      <c r="Z763" s="68" t="s">
        <v>3900</v>
      </c>
      <c r="AA763" s="62">
        <v>1.0</v>
      </c>
      <c r="AB763" s="66"/>
      <c r="AC763" s="69"/>
      <c r="AD763" s="37"/>
      <c r="AE763" s="37"/>
      <c r="AF763" s="37"/>
      <c r="AG763" s="37"/>
      <c r="AH763" s="37"/>
      <c r="AI763" s="31"/>
      <c r="AJ763" s="31"/>
      <c r="AK763" s="31"/>
      <c r="AL763" s="31"/>
      <c r="AM763" s="31"/>
      <c r="AN763" s="31"/>
      <c r="AO763" s="31"/>
      <c r="AP763" s="31"/>
      <c r="AQ763" s="31"/>
      <c r="AR763" s="31"/>
      <c r="AS763" s="31"/>
      <c r="AT763" s="36"/>
      <c r="AU763" s="36"/>
      <c r="AV763" s="34"/>
      <c r="AW763" s="31"/>
      <c r="AX763" s="34"/>
    </row>
    <row r="764">
      <c r="A764" s="70" t="s">
        <v>3518</v>
      </c>
      <c r="B764" s="71">
        <v>45947.26067340278</v>
      </c>
      <c r="C764" s="72" t="s">
        <v>3519</v>
      </c>
      <c r="D764" s="73" t="s">
        <v>3520</v>
      </c>
      <c r="E764" s="72" t="s">
        <v>3745</v>
      </c>
      <c r="F764" s="74" t="s">
        <v>3518</v>
      </c>
      <c r="G764" s="76">
        <v>800.0</v>
      </c>
      <c r="H764" s="76">
        <v>8.0</v>
      </c>
      <c r="I764" s="76">
        <v>8.0</v>
      </c>
      <c r="J764" s="76">
        <v>1.0</v>
      </c>
      <c r="K764" s="77"/>
      <c r="L764" s="77"/>
      <c r="M764" s="77"/>
      <c r="N764" s="76">
        <v>8.0</v>
      </c>
      <c r="O764" s="77"/>
      <c r="P764" s="77"/>
      <c r="Q764" s="77"/>
      <c r="R764" s="77"/>
      <c r="S764" s="77"/>
      <c r="T764" s="77"/>
      <c r="U764" s="77"/>
      <c r="V764" s="154" t="s">
        <v>3901</v>
      </c>
      <c r="W764" s="77"/>
      <c r="X764" s="77"/>
      <c r="Y764" s="77"/>
      <c r="Z764" s="72" t="s">
        <v>3523</v>
      </c>
      <c r="AA764" s="76">
        <v>5.0</v>
      </c>
      <c r="AB764" s="77"/>
      <c r="AC764" s="79"/>
      <c r="AD764" s="54"/>
      <c r="AE764" s="54"/>
      <c r="AF764" s="54"/>
      <c r="AG764" s="54"/>
      <c r="AH764" s="54"/>
      <c r="AI764" s="44"/>
      <c r="AJ764" s="44"/>
      <c r="AK764" s="44"/>
      <c r="AL764" s="44"/>
      <c r="AM764" s="44"/>
      <c r="AN764" s="44"/>
      <c r="AO764" s="44"/>
      <c r="AP764" s="44"/>
      <c r="AQ764" s="44"/>
      <c r="AR764" s="44"/>
      <c r="AS764" s="44"/>
      <c r="AT764" s="41"/>
      <c r="AU764" s="41"/>
      <c r="AV764" s="45"/>
      <c r="AW764" s="44"/>
      <c r="AX764" s="45"/>
    </row>
    <row r="765">
      <c r="A765" s="68" t="s">
        <v>3902</v>
      </c>
      <c r="B765" s="61">
        <v>45947.267479918984</v>
      </c>
      <c r="C765" s="68" t="s">
        <v>3903</v>
      </c>
      <c r="D765" s="63" t="s">
        <v>3904</v>
      </c>
      <c r="E765" s="68" t="s">
        <v>3905</v>
      </c>
      <c r="F765" s="176" t="s">
        <v>3902</v>
      </c>
      <c r="G765" s="62">
        <v>325.0</v>
      </c>
      <c r="H765" s="62">
        <v>10.0</v>
      </c>
      <c r="I765" s="62">
        <v>10.0</v>
      </c>
      <c r="J765" s="68" t="s">
        <v>3906</v>
      </c>
      <c r="K765" s="66"/>
      <c r="L765" s="66"/>
      <c r="M765" s="66"/>
      <c r="N765" s="62">
        <v>10.0</v>
      </c>
      <c r="O765" s="66"/>
      <c r="P765" s="66"/>
      <c r="Q765" s="66"/>
      <c r="R765" s="66"/>
      <c r="S765" s="66"/>
      <c r="T765" s="66"/>
      <c r="U765" s="66"/>
      <c r="V765" s="67" t="s">
        <v>3907</v>
      </c>
      <c r="W765" s="66"/>
      <c r="X765" s="66"/>
      <c r="Y765" s="66"/>
      <c r="Z765" s="68" t="s">
        <v>3908</v>
      </c>
      <c r="AA765" s="62">
        <v>1.0</v>
      </c>
      <c r="AB765" s="66"/>
      <c r="AC765" s="69"/>
      <c r="AD765" s="37"/>
      <c r="AE765" s="37"/>
      <c r="AF765" s="37"/>
      <c r="AG765" s="37"/>
      <c r="AH765" s="37"/>
      <c r="AI765" s="31"/>
      <c r="AJ765" s="31"/>
      <c r="AK765" s="31"/>
      <c r="AL765" s="31"/>
      <c r="AM765" s="31"/>
      <c r="AN765" s="31"/>
      <c r="AO765" s="31"/>
      <c r="AP765" s="31"/>
      <c r="AQ765" s="31"/>
      <c r="AR765" s="31"/>
      <c r="AS765" s="31"/>
      <c r="AT765" s="36"/>
      <c r="AU765" s="36"/>
      <c r="AV765" s="34"/>
      <c r="AW765" s="31"/>
      <c r="AX765" s="34"/>
    </row>
    <row r="766">
      <c r="A766" s="70" t="s">
        <v>3909</v>
      </c>
      <c r="B766" s="71">
        <v>45947.27120560185</v>
      </c>
      <c r="C766" s="76" t="s">
        <v>3910</v>
      </c>
      <c r="D766" s="73" t="s">
        <v>3911</v>
      </c>
      <c r="E766" s="76" t="s">
        <v>3912</v>
      </c>
      <c r="F766" s="74" t="s">
        <v>3909</v>
      </c>
      <c r="G766" s="76">
        <v>153.0</v>
      </c>
      <c r="H766" s="76">
        <v>7.0</v>
      </c>
      <c r="I766" s="76">
        <v>9.0</v>
      </c>
      <c r="J766" s="76">
        <v>2.0</v>
      </c>
      <c r="K766" s="77"/>
      <c r="L766" s="77"/>
      <c r="M766" s="77"/>
      <c r="N766" s="76">
        <v>8.0</v>
      </c>
      <c r="O766" s="77"/>
      <c r="P766" s="77"/>
      <c r="Q766" s="77"/>
      <c r="R766" s="77"/>
      <c r="S766" s="77"/>
      <c r="T766" s="77"/>
      <c r="U766" s="77"/>
      <c r="V766" s="78" t="s">
        <v>3913</v>
      </c>
      <c r="W766" s="77"/>
      <c r="X766" s="77"/>
      <c r="Y766" s="77"/>
      <c r="Z766" s="72" t="s">
        <v>3914</v>
      </c>
      <c r="AA766" s="76">
        <v>1.0</v>
      </c>
      <c r="AB766" s="77"/>
      <c r="AC766" s="79"/>
      <c r="AD766" s="54"/>
      <c r="AE766" s="54"/>
      <c r="AF766" s="54"/>
      <c r="AG766" s="54"/>
      <c r="AH766" s="54"/>
      <c r="AI766" s="44"/>
      <c r="AJ766" s="44"/>
      <c r="AK766" s="44"/>
      <c r="AL766" s="44"/>
      <c r="AM766" s="44"/>
      <c r="AN766" s="44"/>
      <c r="AO766" s="44"/>
      <c r="AP766" s="44"/>
      <c r="AQ766" s="44"/>
      <c r="AR766" s="44"/>
      <c r="AS766" s="44"/>
      <c r="AT766" s="41"/>
      <c r="AU766" s="41"/>
      <c r="AV766" s="45"/>
      <c r="AW766" s="44"/>
      <c r="AX766" s="45"/>
    </row>
    <row r="767">
      <c r="A767" s="60" t="s">
        <v>3915</v>
      </c>
      <c r="B767" s="61">
        <v>45947.27299648148</v>
      </c>
      <c r="C767" s="68" t="s">
        <v>3903</v>
      </c>
      <c r="D767" s="63" t="s">
        <v>3904</v>
      </c>
      <c r="E767" s="68" t="s">
        <v>3916</v>
      </c>
      <c r="F767" s="64" t="s">
        <v>3915</v>
      </c>
      <c r="G767" s="62">
        <v>325.0</v>
      </c>
      <c r="H767" s="62">
        <v>10.0</v>
      </c>
      <c r="I767" s="62">
        <v>10.0</v>
      </c>
      <c r="J767" s="68" t="s">
        <v>3917</v>
      </c>
      <c r="K767" s="66"/>
      <c r="L767" s="66"/>
      <c r="M767" s="66"/>
      <c r="N767" s="62">
        <v>10.0</v>
      </c>
      <c r="O767" s="66"/>
      <c r="P767" s="66"/>
      <c r="Q767" s="66"/>
      <c r="R767" s="66"/>
      <c r="S767" s="66"/>
      <c r="T767" s="66"/>
      <c r="U767" s="66"/>
      <c r="V767" s="67" t="s">
        <v>3918</v>
      </c>
      <c r="W767" s="66"/>
      <c r="X767" s="66"/>
      <c r="Y767" s="66"/>
      <c r="Z767" s="68" t="s">
        <v>3919</v>
      </c>
      <c r="AA767" s="62">
        <v>1.0</v>
      </c>
      <c r="AB767" s="66"/>
      <c r="AC767" s="69"/>
      <c r="AD767" s="37"/>
      <c r="AE767" s="37"/>
      <c r="AF767" s="37"/>
      <c r="AG767" s="37"/>
      <c r="AH767" s="37"/>
      <c r="AI767" s="31"/>
      <c r="AJ767" s="31"/>
      <c r="AK767" s="31"/>
      <c r="AL767" s="31"/>
      <c r="AM767" s="31"/>
      <c r="AN767" s="31"/>
      <c r="AO767" s="31"/>
      <c r="AP767" s="31"/>
      <c r="AQ767" s="31"/>
      <c r="AR767" s="31"/>
      <c r="AS767" s="31"/>
      <c r="AT767" s="36"/>
      <c r="AU767" s="36"/>
      <c r="AV767" s="34"/>
      <c r="AW767" s="31"/>
      <c r="AX767" s="34"/>
    </row>
    <row r="768">
      <c r="A768" s="70" t="s">
        <v>3920</v>
      </c>
      <c r="B768" s="71">
        <v>45947.27318842593</v>
      </c>
      <c r="C768" s="72" t="s">
        <v>3921</v>
      </c>
      <c r="D768" s="73" t="s">
        <v>3922</v>
      </c>
      <c r="E768" s="72" t="s">
        <v>3923</v>
      </c>
      <c r="F768" s="74" t="s">
        <v>3920</v>
      </c>
      <c r="G768" s="76">
        <v>188.0</v>
      </c>
      <c r="H768" s="76">
        <v>7.0</v>
      </c>
      <c r="I768" s="76">
        <v>6.0</v>
      </c>
      <c r="J768" s="76">
        <v>8.0</v>
      </c>
      <c r="K768" s="77"/>
      <c r="L768" s="77"/>
      <c r="M768" s="77"/>
      <c r="N768" s="76">
        <v>9.0</v>
      </c>
      <c r="O768" s="77"/>
      <c r="P768" s="77"/>
      <c r="Q768" s="77"/>
      <c r="R768" s="77"/>
      <c r="S768" s="77"/>
      <c r="T768" s="77"/>
      <c r="U768" s="77"/>
      <c r="V768" s="78" t="s">
        <v>3924</v>
      </c>
      <c r="W768" s="77"/>
      <c r="X768" s="77"/>
      <c r="Y768" s="77"/>
      <c r="Z768" s="72" t="s">
        <v>3925</v>
      </c>
      <c r="AA768" s="76">
        <v>1.0</v>
      </c>
      <c r="AB768" s="77"/>
      <c r="AC768" s="79"/>
      <c r="AD768" s="54"/>
      <c r="AE768" s="54"/>
      <c r="AF768" s="54"/>
      <c r="AG768" s="54"/>
      <c r="AH768" s="54"/>
      <c r="AI768" s="44"/>
      <c r="AJ768" s="44"/>
      <c r="AK768" s="44"/>
      <c r="AL768" s="44"/>
      <c r="AM768" s="44"/>
      <c r="AN768" s="44"/>
      <c r="AO768" s="44"/>
      <c r="AP768" s="44"/>
      <c r="AQ768" s="44"/>
      <c r="AR768" s="44"/>
      <c r="AS768" s="44"/>
      <c r="AT768" s="41"/>
      <c r="AU768" s="41"/>
      <c r="AV768" s="45"/>
      <c r="AW768" s="44"/>
      <c r="AX768" s="45"/>
    </row>
    <row r="769">
      <c r="A769" s="60" t="s">
        <v>3926</v>
      </c>
      <c r="B769" s="61">
        <v>45947.278458761575</v>
      </c>
      <c r="C769" s="68" t="s">
        <v>3927</v>
      </c>
      <c r="D769" s="63" t="s">
        <v>3928</v>
      </c>
      <c r="E769" s="68" t="s">
        <v>3929</v>
      </c>
      <c r="F769" s="64" t="s">
        <v>3926</v>
      </c>
      <c r="G769" s="62">
        <v>400.0</v>
      </c>
      <c r="H769" s="62">
        <v>10.0</v>
      </c>
      <c r="I769" s="62">
        <v>10.0</v>
      </c>
      <c r="J769" s="68" t="s">
        <v>197</v>
      </c>
      <c r="K769" s="66"/>
      <c r="L769" s="66"/>
      <c r="M769" s="66"/>
      <c r="N769" s="62">
        <v>9.0</v>
      </c>
      <c r="O769" s="66"/>
      <c r="P769" s="66"/>
      <c r="Q769" s="66"/>
      <c r="R769" s="66"/>
      <c r="S769" s="66"/>
      <c r="T769" s="66"/>
      <c r="U769" s="66"/>
      <c r="V769" s="67" t="s">
        <v>3930</v>
      </c>
      <c r="W769" s="66"/>
      <c r="X769" s="66"/>
      <c r="Y769" s="66"/>
      <c r="Z769" s="68" t="s">
        <v>3931</v>
      </c>
      <c r="AA769" s="62">
        <v>1.0</v>
      </c>
      <c r="AB769" s="66"/>
      <c r="AC769" s="69"/>
      <c r="AD769" s="37"/>
      <c r="AE769" s="37"/>
      <c r="AF769" s="37"/>
      <c r="AG769" s="37"/>
      <c r="AH769" s="37"/>
      <c r="AI769" s="31"/>
      <c r="AJ769" s="31"/>
      <c r="AK769" s="31"/>
      <c r="AL769" s="31"/>
      <c r="AM769" s="31"/>
      <c r="AN769" s="31"/>
      <c r="AO769" s="31"/>
      <c r="AP769" s="31"/>
      <c r="AQ769" s="31"/>
      <c r="AR769" s="31"/>
      <c r="AS769" s="31"/>
      <c r="AT769" s="36"/>
      <c r="AU769" s="36"/>
      <c r="AV769" s="34"/>
      <c r="AW769" s="31"/>
      <c r="AX769" s="34"/>
    </row>
    <row r="770">
      <c r="A770" s="72" t="s">
        <v>3932</v>
      </c>
      <c r="B770" s="71">
        <v>45947.28015958333</v>
      </c>
      <c r="C770" s="72" t="s">
        <v>3933</v>
      </c>
      <c r="D770" s="73" t="s">
        <v>3934</v>
      </c>
      <c r="E770" s="72" t="s">
        <v>3935</v>
      </c>
      <c r="F770" s="84" t="s">
        <v>3932</v>
      </c>
      <c r="G770" s="76">
        <v>410.0</v>
      </c>
      <c r="H770" s="76">
        <v>9.0</v>
      </c>
      <c r="I770" s="76">
        <v>9.0</v>
      </c>
      <c r="J770" s="76">
        <v>0.0</v>
      </c>
      <c r="K770" s="77"/>
      <c r="L770" s="77"/>
      <c r="M770" s="77"/>
      <c r="N770" s="76">
        <v>8.0</v>
      </c>
      <c r="O770" s="77"/>
      <c r="P770" s="77"/>
      <c r="Q770" s="77"/>
      <c r="R770" s="77"/>
      <c r="S770" s="77"/>
      <c r="T770" s="77"/>
      <c r="U770" s="77"/>
      <c r="V770" s="78" t="s">
        <v>3936</v>
      </c>
      <c r="W770" s="72" t="s">
        <v>3937</v>
      </c>
      <c r="X770" s="77"/>
      <c r="Y770" s="77"/>
      <c r="Z770" s="72" t="s">
        <v>3938</v>
      </c>
      <c r="AA770" s="76">
        <v>1.0</v>
      </c>
      <c r="AB770" s="77"/>
      <c r="AC770" s="79"/>
      <c r="AD770" s="54"/>
      <c r="AE770" s="54"/>
      <c r="AF770" s="54"/>
      <c r="AG770" s="54"/>
      <c r="AH770" s="54"/>
      <c r="AI770" s="44"/>
      <c r="AJ770" s="44"/>
      <c r="AK770" s="44"/>
      <c r="AL770" s="44"/>
      <c r="AM770" s="44"/>
      <c r="AN770" s="44"/>
      <c r="AO770" s="44"/>
      <c r="AP770" s="44"/>
      <c r="AQ770" s="44"/>
      <c r="AR770" s="44"/>
      <c r="AS770" s="44"/>
      <c r="AT770" s="41"/>
      <c r="AU770" s="41"/>
      <c r="AV770" s="45"/>
      <c r="AW770" s="44"/>
      <c r="AX770" s="45"/>
    </row>
    <row r="771">
      <c r="A771" s="68" t="s">
        <v>3939</v>
      </c>
      <c r="B771" s="61">
        <v>45947.289260694444</v>
      </c>
      <c r="C771" s="68" t="s">
        <v>1886</v>
      </c>
      <c r="D771" s="62">
        <v>3.453811243E9</v>
      </c>
      <c r="E771" s="68" t="s">
        <v>3940</v>
      </c>
      <c r="F771" s="176" t="s">
        <v>3939</v>
      </c>
      <c r="G771" s="62">
        <v>400.0</v>
      </c>
      <c r="H771" s="62">
        <v>7.0</v>
      </c>
      <c r="I771" s="62">
        <v>6.0</v>
      </c>
      <c r="J771" s="68" t="s">
        <v>3941</v>
      </c>
      <c r="K771" s="66"/>
      <c r="L771" s="66"/>
      <c r="M771" s="66"/>
      <c r="N771" s="62">
        <v>8.0</v>
      </c>
      <c r="O771" s="66"/>
      <c r="P771" s="66"/>
      <c r="Q771" s="66"/>
      <c r="R771" s="66"/>
      <c r="S771" s="66"/>
      <c r="T771" s="66"/>
      <c r="U771" s="66"/>
      <c r="V771" s="67" t="s">
        <v>3942</v>
      </c>
      <c r="W771" s="66"/>
      <c r="X771" s="66"/>
      <c r="Y771" s="66"/>
      <c r="Z771" s="68" t="s">
        <v>3943</v>
      </c>
      <c r="AA771" s="62">
        <v>1.0</v>
      </c>
      <c r="AB771" s="66"/>
      <c r="AC771" s="69"/>
      <c r="AD771" s="37"/>
      <c r="AE771" s="37"/>
      <c r="AF771" s="37"/>
      <c r="AG771" s="37"/>
      <c r="AH771" s="37"/>
      <c r="AI771" s="31"/>
      <c r="AJ771" s="31"/>
      <c r="AK771" s="31"/>
      <c r="AL771" s="31"/>
      <c r="AM771" s="31"/>
      <c r="AN771" s="31"/>
      <c r="AO771" s="31"/>
      <c r="AP771" s="31"/>
      <c r="AQ771" s="31"/>
      <c r="AR771" s="31"/>
      <c r="AS771" s="31"/>
      <c r="AT771" s="36"/>
      <c r="AU771" s="36"/>
      <c r="AV771" s="34"/>
      <c r="AW771" s="31"/>
      <c r="AX771" s="34"/>
    </row>
    <row r="772">
      <c r="A772" s="70" t="s">
        <v>3944</v>
      </c>
      <c r="B772" s="71">
        <v>45947.29332491898</v>
      </c>
      <c r="C772" s="76" t="s">
        <v>3945</v>
      </c>
      <c r="D772" s="73" t="s">
        <v>3946</v>
      </c>
      <c r="E772" s="76" t="s">
        <v>3947</v>
      </c>
      <c r="F772" s="74" t="s">
        <v>3944</v>
      </c>
      <c r="G772" s="76">
        <v>327.0</v>
      </c>
      <c r="H772" s="76">
        <v>7.0</v>
      </c>
      <c r="I772" s="76">
        <v>7.0</v>
      </c>
      <c r="J772" s="76">
        <v>3.0</v>
      </c>
      <c r="K772" s="77"/>
      <c r="L772" s="77"/>
      <c r="M772" s="77"/>
      <c r="N772" s="76">
        <v>8.0</v>
      </c>
      <c r="O772" s="77"/>
      <c r="P772" s="77"/>
      <c r="Q772" s="77"/>
      <c r="R772" s="77"/>
      <c r="S772" s="77"/>
      <c r="T772" s="77"/>
      <c r="U772" s="77"/>
      <c r="V772" s="78" t="s">
        <v>3948</v>
      </c>
      <c r="W772" s="76" t="s">
        <v>3949</v>
      </c>
      <c r="X772" s="77"/>
      <c r="Y772" s="77"/>
      <c r="Z772" s="72" t="s">
        <v>3950</v>
      </c>
      <c r="AA772" s="76">
        <v>1.0</v>
      </c>
      <c r="AB772" s="77"/>
      <c r="AC772" s="79"/>
      <c r="AD772" s="54"/>
      <c r="AE772" s="54"/>
      <c r="AF772" s="54"/>
      <c r="AG772" s="54"/>
      <c r="AH772" s="54"/>
      <c r="AI772" s="44"/>
      <c r="AJ772" s="44"/>
      <c r="AK772" s="44"/>
      <c r="AL772" s="44"/>
      <c r="AM772" s="44"/>
      <c r="AN772" s="44"/>
      <c r="AO772" s="44"/>
      <c r="AP772" s="44"/>
      <c r="AQ772" s="44"/>
      <c r="AR772" s="44"/>
      <c r="AS772" s="44"/>
      <c r="AT772" s="41"/>
      <c r="AU772" s="41"/>
      <c r="AV772" s="45"/>
      <c r="AW772" s="44"/>
      <c r="AX772" s="45"/>
    </row>
    <row r="773">
      <c r="A773" s="60" t="s">
        <v>3944</v>
      </c>
      <c r="B773" s="61">
        <v>45947.29607398148</v>
      </c>
      <c r="C773" s="62" t="s">
        <v>3951</v>
      </c>
      <c r="D773" s="63" t="s">
        <v>3946</v>
      </c>
      <c r="E773" s="62" t="s">
        <v>3952</v>
      </c>
      <c r="F773" s="64" t="s">
        <v>3944</v>
      </c>
      <c r="G773" s="62">
        <v>327.0</v>
      </c>
      <c r="H773" s="62">
        <v>7.0</v>
      </c>
      <c r="I773" s="62">
        <v>7.0</v>
      </c>
      <c r="J773" s="62">
        <v>3.0</v>
      </c>
      <c r="K773" s="66"/>
      <c r="L773" s="66"/>
      <c r="M773" s="66"/>
      <c r="N773" s="62">
        <v>8.0</v>
      </c>
      <c r="O773" s="66"/>
      <c r="P773" s="66"/>
      <c r="Q773" s="66"/>
      <c r="R773" s="66"/>
      <c r="S773" s="66"/>
      <c r="T773" s="66"/>
      <c r="U773" s="66"/>
      <c r="V773" s="67" t="s">
        <v>3953</v>
      </c>
      <c r="W773" s="66"/>
      <c r="X773" s="66"/>
      <c r="Y773" s="66"/>
      <c r="Z773" s="68" t="s">
        <v>3950</v>
      </c>
      <c r="AA773" s="62">
        <v>1.0</v>
      </c>
      <c r="AB773" s="66"/>
      <c r="AC773" s="69"/>
      <c r="AD773" s="37"/>
      <c r="AE773" s="37"/>
      <c r="AF773" s="37"/>
      <c r="AG773" s="37"/>
      <c r="AH773" s="37"/>
      <c r="AI773" s="31"/>
      <c r="AJ773" s="31"/>
      <c r="AK773" s="31"/>
      <c r="AL773" s="31"/>
      <c r="AM773" s="31"/>
      <c r="AN773" s="31"/>
      <c r="AO773" s="31"/>
      <c r="AP773" s="31"/>
      <c r="AQ773" s="31"/>
      <c r="AR773" s="31"/>
      <c r="AS773" s="31"/>
      <c r="AT773" s="36"/>
      <c r="AU773" s="36"/>
      <c r="AV773" s="34"/>
      <c r="AW773" s="31"/>
      <c r="AX773" s="34"/>
    </row>
    <row r="774">
      <c r="A774" s="70" t="s">
        <v>3531</v>
      </c>
      <c r="B774" s="71">
        <v>45947.29749606481</v>
      </c>
      <c r="C774" s="72" t="s">
        <v>3635</v>
      </c>
      <c r="D774" s="73" t="s">
        <v>3488</v>
      </c>
      <c r="E774" s="72" t="s">
        <v>3815</v>
      </c>
      <c r="F774" s="74" t="s">
        <v>3531</v>
      </c>
      <c r="G774" s="76">
        <v>98.0</v>
      </c>
      <c r="H774" s="76">
        <v>10.0</v>
      </c>
      <c r="I774" s="76">
        <v>9.0</v>
      </c>
      <c r="J774" s="76">
        <v>0.0</v>
      </c>
      <c r="K774" s="77"/>
      <c r="L774" s="77"/>
      <c r="M774" s="77"/>
      <c r="N774" s="76">
        <v>10.0</v>
      </c>
      <c r="O774" s="77"/>
      <c r="P774" s="77"/>
      <c r="Q774" s="77"/>
      <c r="R774" s="77"/>
      <c r="S774" s="77"/>
      <c r="T774" s="77"/>
      <c r="U774" s="77"/>
      <c r="V774" s="78" t="s">
        <v>3954</v>
      </c>
      <c r="W774" s="77"/>
      <c r="X774" s="77"/>
      <c r="Y774" s="77"/>
      <c r="Z774" s="72" t="s">
        <v>3491</v>
      </c>
      <c r="AA774" s="76">
        <v>5.0</v>
      </c>
      <c r="AB774" s="77"/>
      <c r="AC774" s="79"/>
      <c r="AD774" s="54"/>
      <c r="AE774" s="54"/>
      <c r="AF774" s="54"/>
      <c r="AG774" s="54"/>
      <c r="AH774" s="54"/>
      <c r="AI774" s="44"/>
      <c r="AJ774" s="44"/>
      <c r="AK774" s="44"/>
      <c r="AL774" s="44"/>
      <c r="AM774" s="44"/>
      <c r="AN774" s="44"/>
      <c r="AO774" s="44"/>
      <c r="AP774" s="44"/>
      <c r="AQ774" s="44"/>
      <c r="AR774" s="44"/>
      <c r="AS774" s="44"/>
      <c r="AT774" s="41"/>
      <c r="AU774" s="41"/>
      <c r="AV774" s="45"/>
      <c r="AW774" s="44"/>
      <c r="AX774" s="45"/>
    </row>
    <row r="775">
      <c r="A775" s="68" t="s">
        <v>3955</v>
      </c>
      <c r="B775" s="61">
        <v>45947.30640427083</v>
      </c>
      <c r="C775" s="68" t="s">
        <v>3956</v>
      </c>
      <c r="D775" s="63" t="s">
        <v>3957</v>
      </c>
      <c r="E775" s="62" t="s">
        <v>3958</v>
      </c>
      <c r="F775" s="176" t="s">
        <v>3955</v>
      </c>
      <c r="G775" s="62">
        <v>270.0</v>
      </c>
      <c r="H775" s="62">
        <v>9.0</v>
      </c>
      <c r="I775" s="62">
        <v>9.0</v>
      </c>
      <c r="J775" s="62">
        <v>0.0</v>
      </c>
      <c r="K775" s="66"/>
      <c r="L775" s="66"/>
      <c r="M775" s="66"/>
      <c r="N775" s="62">
        <v>9.0</v>
      </c>
      <c r="O775" s="66"/>
      <c r="P775" s="66"/>
      <c r="Q775" s="66"/>
      <c r="R775" s="66"/>
      <c r="S775" s="66"/>
      <c r="T775" s="66"/>
      <c r="U775" s="66"/>
      <c r="V775" s="68" t="s">
        <v>3959</v>
      </c>
      <c r="W775" s="66"/>
      <c r="X775" s="66"/>
      <c r="Y775" s="66"/>
      <c r="Z775" s="68" t="s">
        <v>3960</v>
      </c>
      <c r="AA775" s="62">
        <v>1.0</v>
      </c>
      <c r="AB775" s="66"/>
      <c r="AC775" s="69"/>
      <c r="AD775" s="37"/>
      <c r="AE775" s="37"/>
      <c r="AF775" s="37"/>
      <c r="AG775" s="37"/>
      <c r="AH775" s="37"/>
      <c r="AI775" s="31"/>
      <c r="AJ775" s="31"/>
      <c r="AK775" s="31"/>
      <c r="AL775" s="31"/>
      <c r="AM775" s="31"/>
      <c r="AN775" s="31"/>
      <c r="AO775" s="31"/>
      <c r="AP775" s="31"/>
      <c r="AQ775" s="31"/>
      <c r="AR775" s="31"/>
      <c r="AS775" s="31"/>
      <c r="AT775" s="36"/>
      <c r="AU775" s="36"/>
      <c r="AV775" s="34"/>
      <c r="AW775" s="31"/>
      <c r="AX775" s="34"/>
    </row>
    <row r="776">
      <c r="A776" s="70" t="s">
        <v>3961</v>
      </c>
      <c r="B776" s="71">
        <v>45947.35600994213</v>
      </c>
      <c r="C776" s="72" t="s">
        <v>3962</v>
      </c>
      <c r="D776" s="73" t="s">
        <v>3963</v>
      </c>
      <c r="E776" s="72" t="s">
        <v>3964</v>
      </c>
      <c r="F776" s="74" t="s">
        <v>3961</v>
      </c>
      <c r="G776" s="76">
        <v>500.0</v>
      </c>
      <c r="H776" s="76">
        <v>7.0</v>
      </c>
      <c r="I776" s="76">
        <v>6.0</v>
      </c>
      <c r="J776" s="76">
        <v>30.0</v>
      </c>
      <c r="K776" s="77"/>
      <c r="L776" s="77"/>
      <c r="M776" s="77"/>
      <c r="N776" s="76">
        <v>8.0</v>
      </c>
      <c r="O776" s="77"/>
      <c r="P776" s="77"/>
      <c r="Q776" s="77"/>
      <c r="R776" s="77"/>
      <c r="S776" s="77"/>
      <c r="T776" s="77"/>
      <c r="U776" s="77"/>
      <c r="V776" s="78" t="s">
        <v>3965</v>
      </c>
      <c r="W776" s="77"/>
      <c r="X776" s="77"/>
      <c r="Y776" s="77"/>
      <c r="Z776" s="72" t="s">
        <v>3966</v>
      </c>
      <c r="AA776" s="76">
        <v>1.0</v>
      </c>
      <c r="AB776" s="77"/>
      <c r="AC776" s="79"/>
      <c r="AD776" s="54"/>
      <c r="AE776" s="54"/>
      <c r="AF776" s="54"/>
      <c r="AG776" s="54"/>
      <c r="AH776" s="54"/>
      <c r="AI776" s="44"/>
      <c r="AJ776" s="44"/>
      <c r="AK776" s="44"/>
      <c r="AL776" s="44"/>
      <c r="AM776" s="44"/>
      <c r="AN776" s="44"/>
      <c r="AO776" s="44"/>
      <c r="AP776" s="44"/>
      <c r="AQ776" s="44"/>
      <c r="AR776" s="44"/>
      <c r="AS776" s="44"/>
      <c r="AT776" s="41"/>
      <c r="AU776" s="41"/>
      <c r="AV776" s="45"/>
      <c r="AW776" s="44"/>
      <c r="AX776" s="45"/>
    </row>
    <row r="777">
      <c r="A777" s="60" t="s">
        <v>3967</v>
      </c>
      <c r="B777" s="61">
        <v>45947.3920844213</v>
      </c>
      <c r="C777" s="68" t="s">
        <v>3968</v>
      </c>
      <c r="D777" s="63" t="s">
        <v>3969</v>
      </c>
      <c r="E777" s="62" t="s">
        <v>3970</v>
      </c>
      <c r="F777" s="64" t="s">
        <v>3967</v>
      </c>
      <c r="G777" s="62">
        <v>147.0</v>
      </c>
      <c r="H777" s="62">
        <v>9.0</v>
      </c>
      <c r="I777" s="62">
        <v>8.0</v>
      </c>
      <c r="J777" s="62">
        <v>0.0</v>
      </c>
      <c r="K777" s="66"/>
      <c r="L777" s="66"/>
      <c r="M777" s="66"/>
      <c r="N777" s="62">
        <v>8.0</v>
      </c>
      <c r="O777" s="66"/>
      <c r="P777" s="66"/>
      <c r="Q777" s="66"/>
      <c r="R777" s="66"/>
      <c r="S777" s="66"/>
      <c r="T777" s="66"/>
      <c r="U777" s="66"/>
      <c r="V777" s="67" t="s">
        <v>3971</v>
      </c>
      <c r="W777" s="66"/>
      <c r="X777" s="66"/>
      <c r="Y777" s="66"/>
      <c r="Z777" s="68" t="s">
        <v>3972</v>
      </c>
      <c r="AA777" s="62">
        <v>1.0</v>
      </c>
      <c r="AB777" s="66"/>
      <c r="AC777" s="69"/>
      <c r="AD777" s="37"/>
      <c r="AE777" s="37"/>
      <c r="AF777" s="37"/>
      <c r="AG777" s="37"/>
      <c r="AH777" s="37"/>
      <c r="AI777" s="31"/>
      <c r="AJ777" s="31"/>
      <c r="AK777" s="31"/>
      <c r="AL777" s="31"/>
      <c r="AM777" s="31"/>
      <c r="AN777" s="31"/>
      <c r="AO777" s="31"/>
      <c r="AP777" s="31"/>
      <c r="AQ777" s="31"/>
      <c r="AR777" s="31"/>
      <c r="AS777" s="31"/>
      <c r="AT777" s="36"/>
      <c r="AU777" s="36"/>
      <c r="AV777" s="34"/>
      <c r="AW777" s="31"/>
      <c r="AX777" s="34"/>
    </row>
    <row r="778">
      <c r="A778" s="70" t="s">
        <v>3879</v>
      </c>
      <c r="B778" s="71">
        <v>45947.42332741898</v>
      </c>
      <c r="C778" s="72" t="s">
        <v>3481</v>
      </c>
      <c r="D778" s="73" t="s">
        <v>3482</v>
      </c>
      <c r="E778" s="72" t="s">
        <v>3813</v>
      </c>
      <c r="F778" s="74" t="s">
        <v>3879</v>
      </c>
      <c r="G778" s="76">
        <v>520.0</v>
      </c>
      <c r="H778" s="76">
        <v>5.0</v>
      </c>
      <c r="I778" s="76">
        <v>5.0</v>
      </c>
      <c r="J778" s="76">
        <v>2.0</v>
      </c>
      <c r="K778" s="77"/>
      <c r="L778" s="77"/>
      <c r="M778" s="77"/>
      <c r="N778" s="76">
        <v>10.0</v>
      </c>
      <c r="O778" s="77"/>
      <c r="P778" s="77"/>
      <c r="Q778" s="77"/>
      <c r="R778" s="77"/>
      <c r="S778" s="77"/>
      <c r="T778" s="77"/>
      <c r="U778" s="77"/>
      <c r="V778" s="78" t="s">
        <v>3973</v>
      </c>
      <c r="W778" s="77"/>
      <c r="X778" s="77"/>
      <c r="Y778" s="77"/>
      <c r="Z778" s="72" t="s">
        <v>3485</v>
      </c>
      <c r="AA778" s="76">
        <v>5.0</v>
      </c>
      <c r="AB778" s="77"/>
      <c r="AC778" s="79"/>
      <c r="AD778" s="54"/>
      <c r="AE778" s="54"/>
      <c r="AF778" s="54"/>
      <c r="AG778" s="54"/>
      <c r="AH778" s="54"/>
      <c r="AI778" s="44"/>
      <c r="AJ778" s="44"/>
      <c r="AK778" s="44"/>
      <c r="AL778" s="44"/>
      <c r="AM778" s="44"/>
      <c r="AN778" s="44"/>
      <c r="AO778" s="44"/>
      <c r="AP778" s="44"/>
      <c r="AQ778" s="44"/>
      <c r="AR778" s="44"/>
      <c r="AS778" s="44"/>
      <c r="AT778" s="41"/>
      <c r="AU778" s="41"/>
      <c r="AV778" s="45"/>
      <c r="AW778" s="44"/>
      <c r="AX778" s="45"/>
    </row>
    <row r="779">
      <c r="A779" s="60" t="s">
        <v>3524</v>
      </c>
      <c r="B779" s="61">
        <v>45947.42509386574</v>
      </c>
      <c r="C779" s="68" t="s">
        <v>3525</v>
      </c>
      <c r="D779" s="63" t="s">
        <v>3648</v>
      </c>
      <c r="E779" s="68" t="s">
        <v>3974</v>
      </c>
      <c r="F779" s="64" t="s">
        <v>3524</v>
      </c>
      <c r="G779" s="62">
        <v>1300.0</v>
      </c>
      <c r="H779" s="62">
        <v>10.0</v>
      </c>
      <c r="I779" s="62">
        <v>9.0</v>
      </c>
      <c r="J779" s="68" t="s">
        <v>3748</v>
      </c>
      <c r="K779" s="66"/>
      <c r="L779" s="66"/>
      <c r="M779" s="66"/>
      <c r="N779" s="62">
        <v>9.0</v>
      </c>
      <c r="O779" s="66"/>
      <c r="P779" s="66"/>
      <c r="Q779" s="66"/>
      <c r="R779" s="66"/>
      <c r="S779" s="66"/>
      <c r="T779" s="66"/>
      <c r="U779" s="66"/>
      <c r="V779" s="67" t="s">
        <v>3975</v>
      </c>
      <c r="W779" s="66"/>
      <c r="X779" s="66"/>
      <c r="Y779" s="66"/>
      <c r="Z779" s="68" t="s">
        <v>3530</v>
      </c>
      <c r="AA779" s="62">
        <v>5.0</v>
      </c>
      <c r="AB779" s="66"/>
      <c r="AC779" s="69"/>
      <c r="AD779" s="37"/>
      <c r="AE779" s="37"/>
      <c r="AF779" s="37"/>
      <c r="AG779" s="37"/>
      <c r="AH779" s="37"/>
      <c r="AI779" s="31"/>
      <c r="AJ779" s="31"/>
      <c r="AK779" s="31"/>
      <c r="AL779" s="31"/>
      <c r="AM779" s="31"/>
      <c r="AN779" s="31"/>
      <c r="AO779" s="31"/>
      <c r="AP779" s="31"/>
      <c r="AQ779" s="31"/>
      <c r="AR779" s="31"/>
      <c r="AS779" s="31"/>
      <c r="AT779" s="36"/>
      <c r="AU779" s="36"/>
      <c r="AV779" s="34"/>
      <c r="AW779" s="31"/>
      <c r="AX779" s="34"/>
    </row>
    <row r="780">
      <c r="A780" s="70" t="s">
        <v>3762</v>
      </c>
      <c r="B780" s="71">
        <v>45947.43021917824</v>
      </c>
      <c r="C780" s="72" t="s">
        <v>3763</v>
      </c>
      <c r="D780" s="73" t="s">
        <v>3680</v>
      </c>
      <c r="E780" s="72" t="s">
        <v>3764</v>
      </c>
      <c r="F780" s="74" t="s">
        <v>3762</v>
      </c>
      <c r="G780" s="76">
        <v>595.0</v>
      </c>
      <c r="H780" s="76">
        <v>10.0</v>
      </c>
      <c r="I780" s="76">
        <v>10.0</v>
      </c>
      <c r="J780" s="76">
        <v>0.0</v>
      </c>
      <c r="K780" s="77"/>
      <c r="L780" s="77"/>
      <c r="M780" s="77"/>
      <c r="N780" s="76">
        <v>10.0</v>
      </c>
      <c r="O780" s="77"/>
      <c r="P780" s="77"/>
      <c r="Q780" s="77"/>
      <c r="R780" s="77"/>
      <c r="S780" s="77"/>
      <c r="T780" s="77"/>
      <c r="U780" s="77"/>
      <c r="V780" s="78" t="s">
        <v>3976</v>
      </c>
      <c r="W780" s="72" t="s">
        <v>1304</v>
      </c>
      <c r="X780" s="77"/>
      <c r="Y780" s="77"/>
      <c r="Z780" s="72" t="s">
        <v>3683</v>
      </c>
      <c r="AA780" s="76">
        <v>5.0</v>
      </c>
      <c r="AB780" s="77"/>
      <c r="AC780" s="79"/>
      <c r="AD780" s="54"/>
      <c r="AE780" s="54"/>
      <c r="AF780" s="54"/>
      <c r="AG780" s="54"/>
      <c r="AH780" s="54"/>
      <c r="AI780" s="44"/>
      <c r="AJ780" s="44"/>
      <c r="AK780" s="44"/>
      <c r="AL780" s="44"/>
      <c r="AM780" s="44"/>
      <c r="AN780" s="44"/>
      <c r="AO780" s="44"/>
      <c r="AP780" s="44"/>
      <c r="AQ780" s="44"/>
      <c r="AR780" s="44"/>
      <c r="AS780" s="44"/>
      <c r="AT780" s="41"/>
      <c r="AU780" s="41"/>
      <c r="AV780" s="45"/>
      <c r="AW780" s="44"/>
      <c r="AX780" s="45"/>
    </row>
    <row r="781">
      <c r="A781" s="60" t="s">
        <v>3977</v>
      </c>
      <c r="B781" s="61">
        <v>45947.43271900463</v>
      </c>
      <c r="C781" s="68" t="s">
        <v>3978</v>
      </c>
      <c r="D781" s="63" t="s">
        <v>3979</v>
      </c>
      <c r="E781" s="68" t="s">
        <v>3980</v>
      </c>
      <c r="F781" s="64" t="s">
        <v>3977</v>
      </c>
      <c r="G781" s="62">
        <v>120.0</v>
      </c>
      <c r="H781" s="62">
        <v>9.0</v>
      </c>
      <c r="I781" s="62">
        <v>9.0</v>
      </c>
      <c r="J781" s="62">
        <v>1.0</v>
      </c>
      <c r="K781" s="66"/>
      <c r="L781" s="66"/>
      <c r="M781" s="66"/>
      <c r="N781" s="62">
        <v>7.0</v>
      </c>
      <c r="O781" s="66"/>
      <c r="P781" s="66"/>
      <c r="Q781" s="66"/>
      <c r="R781" s="66"/>
      <c r="S781" s="66"/>
      <c r="T781" s="66"/>
      <c r="U781" s="66"/>
      <c r="V781" s="67" t="s">
        <v>3981</v>
      </c>
      <c r="W781" s="68" t="s">
        <v>1005</v>
      </c>
      <c r="X781" s="66"/>
      <c r="Y781" s="66"/>
      <c r="Z781" s="68" t="s">
        <v>3982</v>
      </c>
      <c r="AA781" s="62">
        <v>1.0</v>
      </c>
      <c r="AB781" s="66"/>
      <c r="AC781" s="69"/>
      <c r="AD781" s="37"/>
      <c r="AE781" s="37"/>
      <c r="AF781" s="37"/>
      <c r="AG781" s="37"/>
      <c r="AH781" s="37"/>
      <c r="AI781" s="31"/>
      <c r="AJ781" s="31"/>
      <c r="AK781" s="31"/>
      <c r="AL781" s="31"/>
      <c r="AM781" s="31"/>
      <c r="AN781" s="31"/>
      <c r="AO781" s="31"/>
      <c r="AP781" s="31"/>
      <c r="AQ781" s="31"/>
      <c r="AR781" s="31"/>
      <c r="AS781" s="31"/>
      <c r="AT781" s="36"/>
      <c r="AU781" s="36"/>
      <c r="AV781" s="34"/>
      <c r="AW781" s="31"/>
      <c r="AX781" s="34"/>
    </row>
    <row r="782">
      <c r="A782" s="70" t="s">
        <v>3983</v>
      </c>
      <c r="B782" s="71">
        <v>45947.43783633102</v>
      </c>
      <c r="C782" s="72" t="s">
        <v>2085</v>
      </c>
      <c r="D782" s="73" t="s">
        <v>3984</v>
      </c>
      <c r="E782" s="72" t="s">
        <v>3985</v>
      </c>
      <c r="F782" s="74" t="s">
        <v>3983</v>
      </c>
      <c r="G782" s="76">
        <v>319.0</v>
      </c>
      <c r="H782" s="76">
        <v>7.0</v>
      </c>
      <c r="I782" s="76">
        <v>8.0</v>
      </c>
      <c r="J782" s="76">
        <v>1.0</v>
      </c>
      <c r="K782" s="77"/>
      <c r="L782" s="77"/>
      <c r="M782" s="77"/>
      <c r="N782" s="76">
        <v>6.0</v>
      </c>
      <c r="O782" s="77"/>
      <c r="P782" s="77"/>
      <c r="Q782" s="77"/>
      <c r="R782" s="77"/>
      <c r="S782" s="77"/>
      <c r="T782" s="77"/>
      <c r="U782" s="77"/>
      <c r="V782" s="78" t="s">
        <v>3986</v>
      </c>
      <c r="W782" s="72" t="s">
        <v>197</v>
      </c>
      <c r="X782" s="77"/>
      <c r="Y782" s="77"/>
      <c r="Z782" s="72" t="s">
        <v>3987</v>
      </c>
      <c r="AA782" s="76">
        <v>1.0</v>
      </c>
      <c r="AB782" s="77"/>
      <c r="AC782" s="79"/>
      <c r="AD782" s="54"/>
      <c r="AE782" s="54"/>
      <c r="AF782" s="54"/>
      <c r="AG782" s="54"/>
      <c r="AH782" s="54"/>
      <c r="AI782" s="44"/>
      <c r="AJ782" s="44"/>
      <c r="AK782" s="44"/>
      <c r="AL782" s="44"/>
      <c r="AM782" s="44"/>
      <c r="AN782" s="44"/>
      <c r="AO782" s="44"/>
      <c r="AP782" s="44"/>
      <c r="AQ782" s="44"/>
      <c r="AR782" s="44"/>
      <c r="AS782" s="44"/>
      <c r="AT782" s="41"/>
      <c r="AU782" s="41"/>
      <c r="AV782" s="45"/>
      <c r="AW782" s="44"/>
      <c r="AX782" s="45"/>
    </row>
    <row r="783">
      <c r="A783" s="62">
        <v>400.0</v>
      </c>
      <c r="B783" s="61">
        <v>45947.490255069446</v>
      </c>
      <c r="C783" s="68" t="s">
        <v>3927</v>
      </c>
      <c r="D783" s="63" t="s">
        <v>3928</v>
      </c>
      <c r="E783" s="68" t="s">
        <v>3988</v>
      </c>
      <c r="F783" s="176">
        <v>400.0</v>
      </c>
      <c r="G783" s="62">
        <v>400.0</v>
      </c>
      <c r="H783" s="62">
        <v>9.0</v>
      </c>
      <c r="I783" s="62">
        <v>8.0</v>
      </c>
      <c r="J783" s="62">
        <v>8.0</v>
      </c>
      <c r="K783" s="66"/>
      <c r="L783" s="66"/>
      <c r="M783" s="66"/>
      <c r="N783" s="62">
        <v>9.0</v>
      </c>
      <c r="O783" s="66"/>
      <c r="P783" s="66"/>
      <c r="Q783" s="66"/>
      <c r="R783" s="66"/>
      <c r="S783" s="66"/>
      <c r="T783" s="66"/>
      <c r="U783" s="66"/>
      <c r="V783" s="67" t="s">
        <v>3989</v>
      </c>
      <c r="W783" s="68" t="s">
        <v>197</v>
      </c>
      <c r="X783" s="66"/>
      <c r="Y783" s="66"/>
      <c r="Z783" s="68" t="s">
        <v>3931</v>
      </c>
      <c r="AA783" s="68" t="s">
        <v>4</v>
      </c>
      <c r="AB783" s="66"/>
      <c r="AC783" s="69"/>
      <c r="AD783" s="37"/>
      <c r="AE783" s="37"/>
      <c r="AF783" s="37"/>
      <c r="AG783" s="37"/>
      <c r="AH783" s="37"/>
      <c r="AI783" s="31"/>
      <c r="AJ783" s="31"/>
      <c r="AK783" s="31"/>
      <c r="AL783" s="31"/>
      <c r="AM783" s="31"/>
      <c r="AN783" s="31"/>
      <c r="AO783" s="31"/>
      <c r="AP783" s="31"/>
      <c r="AQ783" s="31"/>
      <c r="AR783" s="31"/>
      <c r="AS783" s="31"/>
      <c r="AT783" s="36"/>
      <c r="AU783" s="36"/>
      <c r="AV783" s="34"/>
      <c r="AW783" s="31"/>
      <c r="AX783" s="34"/>
    </row>
    <row r="784">
      <c r="A784" s="70" t="s">
        <v>3926</v>
      </c>
      <c r="B784" s="71">
        <v>45947.49269909722</v>
      </c>
      <c r="C784" s="72" t="s">
        <v>3927</v>
      </c>
      <c r="D784" s="73" t="s">
        <v>3928</v>
      </c>
      <c r="E784" s="72" t="s">
        <v>3988</v>
      </c>
      <c r="F784" s="74" t="s">
        <v>3926</v>
      </c>
      <c r="G784" s="76">
        <v>400.0</v>
      </c>
      <c r="H784" s="76">
        <v>10.0</v>
      </c>
      <c r="I784" s="76">
        <v>9.0</v>
      </c>
      <c r="J784" s="76">
        <v>9.0</v>
      </c>
      <c r="K784" s="77"/>
      <c r="L784" s="77"/>
      <c r="M784" s="77"/>
      <c r="N784" s="76">
        <v>9.0</v>
      </c>
      <c r="O784" s="77"/>
      <c r="P784" s="77"/>
      <c r="Q784" s="77"/>
      <c r="R784" s="77"/>
      <c r="S784" s="77"/>
      <c r="T784" s="77"/>
      <c r="U784" s="77"/>
      <c r="V784" s="78" t="s">
        <v>3990</v>
      </c>
      <c r="W784" s="72" t="s">
        <v>197</v>
      </c>
      <c r="X784" s="77"/>
      <c r="Y784" s="77"/>
      <c r="Z784" s="72" t="s">
        <v>3931</v>
      </c>
      <c r="AA784" s="72" t="s">
        <v>4</v>
      </c>
      <c r="AB784" s="77"/>
      <c r="AC784" s="79"/>
      <c r="AD784" s="54"/>
      <c r="AE784" s="54"/>
      <c r="AF784" s="54"/>
      <c r="AG784" s="54"/>
      <c r="AH784" s="54"/>
      <c r="AI784" s="44"/>
      <c r="AJ784" s="44"/>
      <c r="AK784" s="44"/>
      <c r="AL784" s="44"/>
      <c r="AM784" s="44"/>
      <c r="AN784" s="44"/>
      <c r="AO784" s="44"/>
      <c r="AP784" s="44"/>
      <c r="AQ784" s="44"/>
      <c r="AR784" s="44"/>
      <c r="AS784" s="44"/>
      <c r="AT784" s="41"/>
      <c r="AU784" s="41"/>
      <c r="AV784" s="45"/>
      <c r="AW784" s="44"/>
      <c r="AX784" s="45"/>
    </row>
    <row r="785">
      <c r="A785" s="68" t="s">
        <v>3991</v>
      </c>
      <c r="B785" s="61">
        <v>45947.50003549768</v>
      </c>
      <c r="C785" s="68" t="s">
        <v>3927</v>
      </c>
      <c r="D785" s="63" t="s">
        <v>3928</v>
      </c>
      <c r="E785" s="68" t="s">
        <v>3988</v>
      </c>
      <c r="F785" s="176" t="s">
        <v>3991</v>
      </c>
      <c r="G785" s="62">
        <v>400.0</v>
      </c>
      <c r="H785" s="62">
        <v>9.0</v>
      </c>
      <c r="I785" s="62">
        <v>9.0</v>
      </c>
      <c r="J785" s="62">
        <v>9.0</v>
      </c>
      <c r="K785" s="66"/>
      <c r="L785" s="66"/>
      <c r="M785" s="66"/>
      <c r="N785" s="62">
        <v>9.0</v>
      </c>
      <c r="O785" s="66"/>
      <c r="P785" s="66"/>
      <c r="Q785" s="66"/>
      <c r="R785" s="66"/>
      <c r="S785" s="66"/>
      <c r="T785" s="66"/>
      <c r="U785" s="66"/>
      <c r="V785" s="67" t="s">
        <v>3992</v>
      </c>
      <c r="W785" s="68" t="s">
        <v>197</v>
      </c>
      <c r="X785" s="66"/>
      <c r="Y785" s="66"/>
      <c r="Z785" s="68" t="s">
        <v>3931</v>
      </c>
      <c r="AA785" s="62">
        <v>1.0</v>
      </c>
      <c r="AB785" s="66"/>
      <c r="AC785" s="69"/>
      <c r="AD785" s="37"/>
      <c r="AE785" s="37"/>
      <c r="AF785" s="37"/>
      <c r="AG785" s="37"/>
      <c r="AH785" s="37"/>
      <c r="AI785" s="31"/>
      <c r="AJ785" s="31"/>
      <c r="AK785" s="31"/>
      <c r="AL785" s="31"/>
      <c r="AM785" s="31"/>
      <c r="AN785" s="31"/>
      <c r="AO785" s="31"/>
      <c r="AP785" s="31"/>
      <c r="AQ785" s="31"/>
      <c r="AR785" s="31"/>
      <c r="AS785" s="31"/>
      <c r="AT785" s="36"/>
      <c r="AU785" s="36"/>
      <c r="AV785" s="34"/>
      <c r="AW785" s="31"/>
      <c r="AX785" s="34"/>
    </row>
    <row r="786">
      <c r="A786" s="70" t="s">
        <v>3820</v>
      </c>
      <c r="B786" s="71">
        <v>45947.556089895836</v>
      </c>
      <c r="C786" s="72" t="s">
        <v>3760</v>
      </c>
      <c r="D786" s="73" t="s">
        <v>3680</v>
      </c>
      <c r="E786" s="72" t="s">
        <v>3993</v>
      </c>
      <c r="F786" s="74" t="s">
        <v>3820</v>
      </c>
      <c r="G786" s="76">
        <v>465.0</v>
      </c>
      <c r="H786" s="76">
        <v>10.0</v>
      </c>
      <c r="I786" s="76">
        <v>10.0</v>
      </c>
      <c r="J786" s="76">
        <v>0.0</v>
      </c>
      <c r="K786" s="77"/>
      <c r="L786" s="77"/>
      <c r="M786" s="77"/>
      <c r="N786" s="76">
        <v>10.0</v>
      </c>
      <c r="O786" s="77"/>
      <c r="P786" s="77"/>
      <c r="Q786" s="77"/>
      <c r="R786" s="77"/>
      <c r="S786" s="77"/>
      <c r="T786" s="77"/>
      <c r="U786" s="77"/>
      <c r="V786" s="78" t="s">
        <v>3994</v>
      </c>
      <c r="W786" s="72" t="s">
        <v>1304</v>
      </c>
      <c r="X786" s="77"/>
      <c r="Y786" s="77"/>
      <c r="Z786" s="72" t="s">
        <v>3683</v>
      </c>
      <c r="AA786" s="76">
        <v>5.0</v>
      </c>
      <c r="AB786" s="77"/>
      <c r="AC786" s="79"/>
      <c r="AD786" s="54"/>
      <c r="AE786" s="54"/>
      <c r="AF786" s="54"/>
      <c r="AG786" s="54"/>
      <c r="AH786" s="54"/>
      <c r="AI786" s="44"/>
      <c r="AJ786" s="44"/>
      <c r="AK786" s="44"/>
      <c r="AL786" s="44"/>
      <c r="AM786" s="44"/>
      <c r="AN786" s="44"/>
      <c r="AO786" s="44"/>
      <c r="AP786" s="44"/>
      <c r="AQ786" s="44"/>
      <c r="AR786" s="44"/>
      <c r="AS786" s="44"/>
      <c r="AT786" s="41"/>
      <c r="AU786" s="41"/>
      <c r="AV786" s="45"/>
      <c r="AW786" s="44"/>
      <c r="AX786" s="45"/>
    </row>
    <row r="787">
      <c r="A787" s="60" t="s">
        <v>3995</v>
      </c>
      <c r="B787" s="61">
        <v>45947.80738425926</v>
      </c>
      <c r="C787" s="68" t="s">
        <v>3996</v>
      </c>
      <c r="D787" s="63" t="s">
        <v>3997</v>
      </c>
      <c r="E787" s="68" t="s">
        <v>3998</v>
      </c>
      <c r="F787" s="64" t="s">
        <v>3995</v>
      </c>
      <c r="G787" s="62">
        <v>200.0</v>
      </c>
      <c r="H787" s="62">
        <v>10.0</v>
      </c>
      <c r="I787" s="62">
        <v>10.0</v>
      </c>
      <c r="J787" s="62">
        <v>0.0</v>
      </c>
      <c r="K787" s="66"/>
      <c r="L787" s="66"/>
      <c r="M787" s="66"/>
      <c r="N787" s="62">
        <v>10.0</v>
      </c>
      <c r="O787" s="66"/>
      <c r="P787" s="66"/>
      <c r="Q787" s="66"/>
      <c r="R787" s="66"/>
      <c r="S787" s="66"/>
      <c r="T787" s="66"/>
      <c r="U787" s="66"/>
      <c r="V787" s="196" t="s">
        <v>3999</v>
      </c>
      <c r="W787" s="68" t="s">
        <v>197</v>
      </c>
      <c r="X787" s="66"/>
      <c r="Y787" s="66"/>
      <c r="Z787" s="68" t="s">
        <v>4000</v>
      </c>
      <c r="AA787" s="62">
        <v>1.0</v>
      </c>
      <c r="AB787" s="66"/>
      <c r="AC787" s="69"/>
      <c r="AD787" s="37"/>
      <c r="AE787" s="37"/>
      <c r="AF787" s="37"/>
      <c r="AG787" s="37"/>
      <c r="AH787" s="37"/>
      <c r="AI787" s="31"/>
      <c r="AJ787" s="31"/>
      <c r="AK787" s="31"/>
      <c r="AL787" s="31"/>
      <c r="AM787" s="31"/>
      <c r="AN787" s="31"/>
      <c r="AO787" s="31"/>
      <c r="AP787" s="31"/>
      <c r="AQ787" s="31"/>
      <c r="AR787" s="31"/>
      <c r="AS787" s="31"/>
      <c r="AT787" s="36"/>
      <c r="AU787" s="36"/>
      <c r="AV787" s="34"/>
      <c r="AW787" s="31"/>
      <c r="AX787" s="34"/>
    </row>
    <row r="788">
      <c r="A788" s="70" t="s">
        <v>3597</v>
      </c>
      <c r="B788" s="71">
        <v>45947.81988265047</v>
      </c>
      <c r="C788" s="72" t="s">
        <v>3598</v>
      </c>
      <c r="D788" s="73" t="s">
        <v>3599</v>
      </c>
      <c r="E788" s="72" t="s">
        <v>3773</v>
      </c>
      <c r="F788" s="74" t="s">
        <v>3597</v>
      </c>
      <c r="G788" s="76">
        <v>860.0</v>
      </c>
      <c r="H788" s="76">
        <v>7.0</v>
      </c>
      <c r="I788" s="76">
        <v>9.0</v>
      </c>
      <c r="J788" s="76">
        <v>0.0</v>
      </c>
      <c r="K788" s="77"/>
      <c r="L788" s="77"/>
      <c r="M788" s="77"/>
      <c r="N788" s="76">
        <v>8.0</v>
      </c>
      <c r="O788" s="77"/>
      <c r="P788" s="77"/>
      <c r="Q788" s="77"/>
      <c r="R788" s="77"/>
      <c r="S788" s="77"/>
      <c r="T788" s="77"/>
      <c r="U788" s="77"/>
      <c r="V788" s="78" t="s">
        <v>4001</v>
      </c>
      <c r="W788" s="72" t="s">
        <v>197</v>
      </c>
      <c r="X788" s="77"/>
      <c r="Y788" s="77"/>
      <c r="Z788" s="72" t="s">
        <v>3602</v>
      </c>
      <c r="AA788" s="76">
        <v>5.0</v>
      </c>
      <c r="AB788" s="77"/>
      <c r="AC788" s="79"/>
      <c r="AD788" s="54"/>
      <c r="AE788" s="54"/>
      <c r="AF788" s="54"/>
      <c r="AG788" s="54"/>
      <c r="AH788" s="54"/>
      <c r="AI788" s="44"/>
      <c r="AJ788" s="44"/>
      <c r="AK788" s="44"/>
      <c r="AL788" s="44"/>
      <c r="AM788" s="44"/>
      <c r="AN788" s="44"/>
      <c r="AO788" s="44"/>
      <c r="AP788" s="44"/>
      <c r="AQ788" s="44"/>
      <c r="AR788" s="44"/>
      <c r="AS788" s="44"/>
      <c r="AT788" s="41"/>
      <c r="AU788" s="41"/>
      <c r="AV788" s="45"/>
      <c r="AW788" s="44"/>
      <c r="AX788" s="45"/>
    </row>
    <row r="789">
      <c r="A789" s="60" t="s">
        <v>4002</v>
      </c>
      <c r="B789" s="61">
        <v>45948.0501421875</v>
      </c>
      <c r="C789" s="68" t="s">
        <v>3996</v>
      </c>
      <c r="D789" s="63" t="s">
        <v>3997</v>
      </c>
      <c r="E789" s="68" t="s">
        <v>4003</v>
      </c>
      <c r="F789" s="64" t="s">
        <v>4002</v>
      </c>
      <c r="G789" s="62">
        <v>100.0</v>
      </c>
      <c r="H789" s="62">
        <v>10.0</v>
      </c>
      <c r="I789" s="62">
        <v>10.0</v>
      </c>
      <c r="J789" s="62">
        <v>0.0</v>
      </c>
      <c r="K789" s="66"/>
      <c r="L789" s="66"/>
      <c r="M789" s="66"/>
      <c r="N789" s="62">
        <v>10.0</v>
      </c>
      <c r="O789" s="66"/>
      <c r="P789" s="66"/>
      <c r="Q789" s="66"/>
      <c r="R789" s="66"/>
      <c r="S789" s="66"/>
      <c r="T789" s="66"/>
      <c r="U789" s="66"/>
      <c r="V789" s="67" t="s">
        <v>4004</v>
      </c>
      <c r="W789" s="66"/>
      <c r="X789" s="66"/>
      <c r="Y789" s="66"/>
      <c r="Z789" s="68" t="s">
        <v>4000</v>
      </c>
      <c r="AA789" s="62">
        <v>1.0</v>
      </c>
      <c r="AB789" s="66"/>
      <c r="AC789" s="69"/>
      <c r="AD789" s="37"/>
      <c r="AE789" s="37"/>
      <c r="AF789" s="37"/>
      <c r="AG789" s="37"/>
      <c r="AH789" s="37"/>
      <c r="AI789" s="31"/>
      <c r="AJ789" s="31"/>
      <c r="AK789" s="31"/>
      <c r="AL789" s="31"/>
      <c r="AM789" s="31"/>
      <c r="AN789" s="31"/>
      <c r="AO789" s="31"/>
      <c r="AP789" s="31"/>
      <c r="AQ789" s="31"/>
      <c r="AR789" s="31"/>
      <c r="AS789" s="31"/>
      <c r="AT789" s="36"/>
      <c r="AU789" s="36"/>
      <c r="AV789" s="34"/>
      <c r="AW789" s="31"/>
      <c r="AX789" s="34"/>
    </row>
    <row r="790">
      <c r="A790" s="70" t="s">
        <v>4005</v>
      </c>
      <c r="B790" s="71">
        <v>45948.17148082176</v>
      </c>
      <c r="C790" s="72" t="s">
        <v>4006</v>
      </c>
      <c r="D790" s="72" t="s">
        <v>4007</v>
      </c>
      <c r="E790" s="72" t="s">
        <v>4008</v>
      </c>
      <c r="F790" s="74" t="s">
        <v>4005</v>
      </c>
      <c r="G790" s="76">
        <v>114.0</v>
      </c>
      <c r="H790" s="76">
        <v>5.0</v>
      </c>
      <c r="I790" s="76">
        <v>5.0</v>
      </c>
      <c r="J790" s="76">
        <v>1.0</v>
      </c>
      <c r="K790" s="77"/>
      <c r="L790" s="77"/>
      <c r="M790" s="77"/>
      <c r="N790" s="76">
        <v>8.0</v>
      </c>
      <c r="O790" s="77"/>
      <c r="P790" s="77"/>
      <c r="Q790" s="77"/>
      <c r="R790" s="77"/>
      <c r="S790" s="77"/>
      <c r="T790" s="77"/>
      <c r="U790" s="77"/>
      <c r="V790" s="78" t="s">
        <v>4009</v>
      </c>
      <c r="W790" s="77"/>
      <c r="X790" s="77"/>
      <c r="Y790" s="77"/>
      <c r="Z790" s="72" t="s">
        <v>4010</v>
      </c>
      <c r="AA790" s="76">
        <v>1.0</v>
      </c>
      <c r="AB790" s="77"/>
      <c r="AC790" s="79"/>
      <c r="AD790" s="54"/>
      <c r="AE790" s="54"/>
      <c r="AF790" s="54"/>
      <c r="AG790" s="54"/>
      <c r="AH790" s="54"/>
      <c r="AI790" s="44"/>
      <c r="AJ790" s="44"/>
      <c r="AK790" s="44"/>
      <c r="AL790" s="44"/>
      <c r="AM790" s="44"/>
      <c r="AN790" s="44"/>
      <c r="AO790" s="44"/>
      <c r="AP790" s="44"/>
      <c r="AQ790" s="44"/>
      <c r="AR790" s="44"/>
      <c r="AS790" s="44"/>
      <c r="AT790" s="41"/>
      <c r="AU790" s="41"/>
      <c r="AV790" s="45"/>
      <c r="AW790" s="44"/>
      <c r="AX790" s="45"/>
    </row>
    <row r="791">
      <c r="A791" s="60" t="s">
        <v>4011</v>
      </c>
      <c r="B791" s="61">
        <v>45949.082543136574</v>
      </c>
      <c r="C791" s="68" t="s">
        <v>4012</v>
      </c>
      <c r="D791" s="63" t="s">
        <v>4013</v>
      </c>
      <c r="E791" s="68" t="s">
        <v>4014</v>
      </c>
      <c r="F791" s="64" t="s">
        <v>4011</v>
      </c>
      <c r="G791" s="62">
        <v>750.0</v>
      </c>
      <c r="H791" s="62">
        <v>9.0</v>
      </c>
      <c r="I791" s="62">
        <v>8.0</v>
      </c>
      <c r="J791" s="68" t="s">
        <v>4015</v>
      </c>
      <c r="K791" s="66"/>
      <c r="L791" s="66"/>
      <c r="M791" s="66"/>
      <c r="N791" s="62">
        <v>9.0</v>
      </c>
      <c r="O791" s="66"/>
      <c r="P791" s="66"/>
      <c r="Q791" s="66"/>
      <c r="R791" s="66"/>
      <c r="S791" s="66"/>
      <c r="T791" s="66"/>
      <c r="U791" s="66"/>
      <c r="V791" s="67" t="s">
        <v>4016</v>
      </c>
      <c r="W791" s="68" t="s">
        <v>4017</v>
      </c>
      <c r="X791" s="66"/>
      <c r="Y791" s="66"/>
      <c r="Z791" s="68" t="s">
        <v>4018</v>
      </c>
      <c r="AA791" s="62">
        <v>1.0</v>
      </c>
      <c r="AB791" s="66"/>
      <c r="AC791" s="69"/>
      <c r="AD791" s="37"/>
      <c r="AE791" s="37"/>
      <c r="AF791" s="37"/>
      <c r="AG791" s="37"/>
      <c r="AH791" s="37"/>
      <c r="AI791" s="31"/>
      <c r="AJ791" s="31"/>
      <c r="AK791" s="31"/>
      <c r="AL791" s="31"/>
      <c r="AM791" s="31"/>
      <c r="AN791" s="31"/>
      <c r="AO791" s="31"/>
      <c r="AP791" s="31"/>
      <c r="AQ791" s="31"/>
      <c r="AR791" s="31"/>
      <c r="AS791" s="31"/>
      <c r="AT791" s="36"/>
      <c r="AU791" s="36"/>
      <c r="AV791" s="34"/>
      <c r="AW791" s="31"/>
      <c r="AX791" s="34"/>
    </row>
    <row r="792">
      <c r="A792" s="70" t="s">
        <v>4019</v>
      </c>
      <c r="B792" s="71">
        <v>45949.456822569446</v>
      </c>
      <c r="C792" s="72" t="s">
        <v>3996</v>
      </c>
      <c r="D792" s="73" t="s">
        <v>3997</v>
      </c>
      <c r="E792" s="72" t="s">
        <v>4020</v>
      </c>
      <c r="F792" s="74" t="s">
        <v>4019</v>
      </c>
      <c r="G792" s="76">
        <v>150.0</v>
      </c>
      <c r="H792" s="76">
        <v>10.0</v>
      </c>
      <c r="I792" s="76">
        <v>9.0</v>
      </c>
      <c r="J792" s="76">
        <v>1.0</v>
      </c>
      <c r="K792" s="77"/>
      <c r="L792" s="77"/>
      <c r="M792" s="77"/>
      <c r="N792" s="76">
        <v>10.0</v>
      </c>
      <c r="O792" s="77"/>
      <c r="P792" s="77"/>
      <c r="Q792" s="77"/>
      <c r="R792" s="77"/>
      <c r="S792" s="77"/>
      <c r="T792" s="77"/>
      <c r="U792" s="77"/>
      <c r="V792" s="78" t="s">
        <v>4021</v>
      </c>
      <c r="W792" s="77"/>
      <c r="X792" s="77"/>
      <c r="Y792" s="77"/>
      <c r="Z792" s="72" t="s">
        <v>4000</v>
      </c>
      <c r="AA792" s="76">
        <v>1.0</v>
      </c>
      <c r="AB792" s="77"/>
      <c r="AC792" s="79"/>
      <c r="AD792" s="54"/>
      <c r="AE792" s="54"/>
      <c r="AF792" s="54"/>
      <c r="AG792" s="54"/>
      <c r="AH792" s="54"/>
      <c r="AI792" s="44"/>
      <c r="AJ792" s="44"/>
      <c r="AK792" s="44"/>
      <c r="AL792" s="44"/>
      <c r="AM792" s="44"/>
      <c r="AN792" s="44"/>
      <c r="AO792" s="44"/>
      <c r="AP792" s="44"/>
      <c r="AQ792" s="44"/>
      <c r="AR792" s="44"/>
      <c r="AS792" s="44"/>
      <c r="AT792" s="41"/>
      <c r="AU792" s="41"/>
      <c r="AV792" s="45"/>
      <c r="AW792" s="44"/>
      <c r="AX792" s="45"/>
    </row>
    <row r="793">
      <c r="A793" s="60" t="s">
        <v>4022</v>
      </c>
      <c r="B793" s="61">
        <v>45953.92492148148</v>
      </c>
      <c r="C793" s="68" t="s">
        <v>4023</v>
      </c>
      <c r="D793" s="63" t="s">
        <v>4024</v>
      </c>
      <c r="E793" s="68" t="s">
        <v>4025</v>
      </c>
      <c r="F793" s="64" t="s">
        <v>4022</v>
      </c>
      <c r="G793" s="62">
        <v>60.0</v>
      </c>
      <c r="H793" s="62">
        <v>7.0</v>
      </c>
      <c r="I793" s="62">
        <v>7.0</v>
      </c>
      <c r="J793" s="62">
        <v>1.0</v>
      </c>
      <c r="K793" s="66"/>
      <c r="L793" s="66"/>
      <c r="M793" s="66"/>
      <c r="N793" s="62">
        <v>7.0</v>
      </c>
      <c r="O793" s="66"/>
      <c r="P793" s="66"/>
      <c r="Q793" s="66"/>
      <c r="R793" s="66"/>
      <c r="S793" s="66"/>
      <c r="T793" s="66"/>
      <c r="U793" s="66"/>
      <c r="V793" s="67" t="s">
        <v>4026</v>
      </c>
      <c r="W793" s="66"/>
      <c r="X793" s="66"/>
      <c r="Y793" s="66"/>
      <c r="Z793" s="68" t="s">
        <v>4027</v>
      </c>
      <c r="AA793" s="62">
        <v>1.0</v>
      </c>
      <c r="AB793" s="66"/>
      <c r="AC793" s="69"/>
      <c r="AD793" s="37"/>
      <c r="AE793" s="37"/>
      <c r="AF793" s="37"/>
      <c r="AG793" s="37"/>
      <c r="AH793" s="37"/>
      <c r="AI793" s="31"/>
      <c r="AJ793" s="31"/>
      <c r="AK793" s="31"/>
      <c r="AL793" s="31"/>
      <c r="AM793" s="31"/>
      <c r="AN793" s="31"/>
      <c r="AO793" s="31"/>
      <c r="AP793" s="31"/>
      <c r="AQ793" s="31"/>
      <c r="AR793" s="31"/>
      <c r="AS793" s="31"/>
      <c r="AT793" s="36"/>
      <c r="AU793" s="36"/>
      <c r="AV793" s="34"/>
      <c r="AW793" s="31"/>
      <c r="AX793" s="34"/>
    </row>
    <row r="794">
      <c r="A794" s="70" t="s">
        <v>3850</v>
      </c>
      <c r="B794" s="71">
        <v>45954.20778024306</v>
      </c>
      <c r="C794" s="72" t="s">
        <v>3851</v>
      </c>
      <c r="D794" s="73" t="s">
        <v>3852</v>
      </c>
      <c r="E794" s="72" t="s">
        <v>4028</v>
      </c>
      <c r="F794" s="74" t="s">
        <v>3850</v>
      </c>
      <c r="G794" s="76">
        <v>207.0</v>
      </c>
      <c r="H794" s="76">
        <v>8.0</v>
      </c>
      <c r="I794" s="76">
        <v>8.0</v>
      </c>
      <c r="J794" s="72" t="s">
        <v>1024</v>
      </c>
      <c r="K794" s="77"/>
      <c r="L794" s="77"/>
      <c r="M794" s="77"/>
      <c r="N794" s="76">
        <v>8.0</v>
      </c>
      <c r="O794" s="77"/>
      <c r="P794" s="77"/>
      <c r="Q794" s="77"/>
      <c r="R794" s="77"/>
      <c r="S794" s="77"/>
      <c r="T794" s="77"/>
      <c r="U794" s="77"/>
      <c r="V794" s="78" t="s">
        <v>4029</v>
      </c>
      <c r="W794" s="72" t="s">
        <v>4030</v>
      </c>
      <c r="X794" s="77"/>
      <c r="Y794" s="77"/>
      <c r="Z794" s="72" t="s">
        <v>3856</v>
      </c>
      <c r="AA794" s="76">
        <v>3.0</v>
      </c>
      <c r="AB794" s="77"/>
      <c r="AC794" s="79"/>
      <c r="AD794" s="54"/>
      <c r="AE794" s="54"/>
      <c r="AF794" s="54"/>
      <c r="AG794" s="54"/>
      <c r="AH794" s="54"/>
      <c r="AI794" s="44"/>
      <c r="AJ794" s="44"/>
      <c r="AK794" s="44"/>
      <c r="AL794" s="44"/>
      <c r="AM794" s="44"/>
      <c r="AN794" s="44"/>
      <c r="AO794" s="44"/>
      <c r="AP794" s="44"/>
      <c r="AQ794" s="44"/>
      <c r="AR794" s="44"/>
      <c r="AS794" s="44"/>
      <c r="AT794" s="41"/>
      <c r="AU794" s="41"/>
      <c r="AV794" s="45"/>
      <c r="AW794" s="44"/>
      <c r="AX794" s="45"/>
    </row>
    <row r="795">
      <c r="A795" s="68" t="s">
        <v>4031</v>
      </c>
      <c r="B795" s="61">
        <v>45954.210655138886</v>
      </c>
      <c r="C795" s="62" t="s">
        <v>4032</v>
      </c>
      <c r="D795" s="63" t="s">
        <v>3957</v>
      </c>
      <c r="E795" s="62" t="s">
        <v>4033</v>
      </c>
      <c r="F795" s="176" t="s">
        <v>4031</v>
      </c>
      <c r="G795" s="62">
        <v>270.0</v>
      </c>
      <c r="H795" s="62">
        <v>9.0</v>
      </c>
      <c r="I795" s="62">
        <v>9.0</v>
      </c>
      <c r="J795" s="62">
        <v>0.0</v>
      </c>
      <c r="K795" s="66"/>
      <c r="L795" s="66"/>
      <c r="M795" s="66"/>
      <c r="N795" s="62">
        <v>9.0</v>
      </c>
      <c r="O795" s="66"/>
      <c r="P795" s="66"/>
      <c r="Q795" s="66"/>
      <c r="R795" s="66"/>
      <c r="S795" s="66"/>
      <c r="T795" s="66"/>
      <c r="U795" s="66"/>
      <c r="V795" s="67" t="s">
        <v>4034</v>
      </c>
      <c r="W795" s="66"/>
      <c r="X795" s="66"/>
      <c r="Y795" s="66"/>
      <c r="Z795" s="68" t="s">
        <v>3960</v>
      </c>
      <c r="AA795" s="62">
        <v>3.0</v>
      </c>
      <c r="AB795" s="66"/>
      <c r="AC795" s="69"/>
      <c r="AD795" s="37"/>
      <c r="AE795" s="37"/>
      <c r="AF795" s="37"/>
      <c r="AG795" s="37"/>
      <c r="AH795" s="37"/>
      <c r="AI795" s="31"/>
      <c r="AJ795" s="31"/>
      <c r="AK795" s="31"/>
      <c r="AL795" s="31"/>
      <c r="AM795" s="31"/>
      <c r="AN795" s="31"/>
      <c r="AO795" s="31"/>
      <c r="AP795" s="31"/>
      <c r="AQ795" s="31"/>
      <c r="AR795" s="31"/>
      <c r="AS795" s="31"/>
      <c r="AT795" s="36"/>
      <c r="AU795" s="36"/>
      <c r="AV795" s="34"/>
      <c r="AW795" s="31"/>
      <c r="AX795" s="34"/>
    </row>
    <row r="796">
      <c r="A796" s="70" t="s">
        <v>4035</v>
      </c>
      <c r="B796" s="71">
        <v>45954.213408194446</v>
      </c>
      <c r="C796" s="72" t="s">
        <v>4036</v>
      </c>
      <c r="D796" s="73" t="s">
        <v>3889</v>
      </c>
      <c r="E796" s="72" t="s">
        <v>4037</v>
      </c>
      <c r="F796" s="74" t="s">
        <v>4035</v>
      </c>
      <c r="G796" s="76">
        <v>300.0</v>
      </c>
      <c r="H796" s="76">
        <v>9.0</v>
      </c>
      <c r="I796" s="76">
        <v>9.0</v>
      </c>
      <c r="J796" s="76">
        <v>0.0</v>
      </c>
      <c r="K796" s="77"/>
      <c r="L796" s="77"/>
      <c r="M796" s="77"/>
      <c r="N796" s="76">
        <v>9.0</v>
      </c>
      <c r="O796" s="77"/>
      <c r="P796" s="77"/>
      <c r="Q796" s="77"/>
      <c r="R796" s="77"/>
      <c r="S796" s="77"/>
      <c r="T796" s="77"/>
      <c r="U796" s="77"/>
      <c r="V796" s="78" t="s">
        <v>4038</v>
      </c>
      <c r="W796" s="77"/>
      <c r="X796" s="77"/>
      <c r="Y796" s="77"/>
      <c r="Z796" s="72" t="s">
        <v>3892</v>
      </c>
      <c r="AA796" s="76">
        <v>2.0</v>
      </c>
      <c r="AB796" s="77"/>
      <c r="AC796" s="79"/>
      <c r="AD796" s="54"/>
      <c r="AE796" s="54"/>
      <c r="AF796" s="54"/>
      <c r="AG796" s="54"/>
      <c r="AH796" s="54"/>
      <c r="AI796" s="44"/>
      <c r="AJ796" s="44"/>
      <c r="AK796" s="44"/>
      <c r="AL796" s="44"/>
      <c r="AM796" s="44"/>
      <c r="AN796" s="44"/>
      <c r="AO796" s="44"/>
      <c r="AP796" s="44"/>
      <c r="AQ796" s="44"/>
      <c r="AR796" s="44"/>
      <c r="AS796" s="44"/>
      <c r="AT796" s="41"/>
      <c r="AU796" s="41"/>
      <c r="AV796" s="45"/>
      <c r="AW796" s="44"/>
      <c r="AX796" s="45"/>
    </row>
    <row r="797">
      <c r="A797" s="60" t="s">
        <v>3967</v>
      </c>
      <c r="B797" s="61">
        <v>45954.21776655092</v>
      </c>
      <c r="C797" s="68" t="s">
        <v>3968</v>
      </c>
      <c r="D797" s="63" t="s">
        <v>3969</v>
      </c>
      <c r="E797" s="62" t="s">
        <v>4039</v>
      </c>
      <c r="F797" s="64" t="s">
        <v>3967</v>
      </c>
      <c r="G797" s="62">
        <v>152.0</v>
      </c>
      <c r="H797" s="62">
        <v>9.0</v>
      </c>
      <c r="I797" s="62">
        <v>9.0</v>
      </c>
      <c r="J797" s="62">
        <v>0.0</v>
      </c>
      <c r="K797" s="66"/>
      <c r="L797" s="66"/>
      <c r="M797" s="66"/>
      <c r="N797" s="62">
        <v>9.0</v>
      </c>
      <c r="O797" s="66"/>
      <c r="P797" s="66"/>
      <c r="Q797" s="66"/>
      <c r="R797" s="66"/>
      <c r="S797" s="66"/>
      <c r="T797" s="66"/>
      <c r="U797" s="66"/>
      <c r="V797" s="67" t="s">
        <v>4040</v>
      </c>
      <c r="W797" s="68" t="s">
        <v>4041</v>
      </c>
      <c r="X797" s="66"/>
      <c r="Y797" s="66"/>
      <c r="Z797" s="68" t="s">
        <v>3972</v>
      </c>
      <c r="AA797" s="62">
        <v>2.0</v>
      </c>
      <c r="AB797" s="66"/>
      <c r="AC797" s="69"/>
      <c r="AD797" s="37"/>
      <c r="AE797" s="37"/>
      <c r="AF797" s="37"/>
      <c r="AG797" s="37"/>
      <c r="AH797" s="37"/>
      <c r="AI797" s="31"/>
      <c r="AJ797" s="31"/>
      <c r="AK797" s="31"/>
      <c r="AL797" s="31"/>
      <c r="AM797" s="31"/>
      <c r="AN797" s="31"/>
      <c r="AO797" s="31"/>
      <c r="AP797" s="31"/>
      <c r="AQ797" s="31"/>
      <c r="AR797" s="31"/>
      <c r="AS797" s="31"/>
      <c r="AT797" s="36"/>
      <c r="AU797" s="36"/>
      <c r="AV797" s="34"/>
      <c r="AW797" s="31"/>
      <c r="AX797" s="34"/>
    </row>
    <row r="798">
      <c r="A798" s="70" t="s">
        <v>4042</v>
      </c>
      <c r="B798" s="71">
        <v>45954.23380394676</v>
      </c>
      <c r="C798" s="72" t="s">
        <v>3921</v>
      </c>
      <c r="D798" s="73" t="s">
        <v>3922</v>
      </c>
      <c r="E798" s="72" t="s">
        <v>4043</v>
      </c>
      <c r="F798" s="74" t="s">
        <v>4042</v>
      </c>
      <c r="G798" s="76">
        <v>160.0</v>
      </c>
      <c r="H798" s="76">
        <v>8.0</v>
      </c>
      <c r="I798" s="76">
        <v>9.0</v>
      </c>
      <c r="J798" s="72" t="s">
        <v>563</v>
      </c>
      <c r="K798" s="77"/>
      <c r="L798" s="77"/>
      <c r="M798" s="77"/>
      <c r="N798" s="76">
        <v>9.0</v>
      </c>
      <c r="O798" s="77"/>
      <c r="P798" s="77"/>
      <c r="Q798" s="77"/>
      <c r="R798" s="77"/>
      <c r="S798" s="77"/>
      <c r="T798" s="77"/>
      <c r="U798" s="77"/>
      <c r="V798" s="78" t="s">
        <v>4044</v>
      </c>
      <c r="W798" s="76" t="s">
        <v>4045</v>
      </c>
      <c r="X798" s="77"/>
      <c r="Y798" s="77"/>
      <c r="Z798" s="72" t="s">
        <v>3925</v>
      </c>
      <c r="AA798" s="76">
        <v>2.0</v>
      </c>
      <c r="AB798" s="77"/>
      <c r="AC798" s="79"/>
      <c r="AD798" s="54"/>
      <c r="AE798" s="54"/>
      <c r="AF798" s="54"/>
      <c r="AG798" s="54"/>
      <c r="AH798" s="54"/>
      <c r="AI798" s="44"/>
      <c r="AJ798" s="44"/>
      <c r="AK798" s="44"/>
      <c r="AL798" s="44"/>
      <c r="AM798" s="44"/>
      <c r="AN798" s="44"/>
      <c r="AO798" s="44"/>
      <c r="AP798" s="44"/>
      <c r="AQ798" s="44"/>
      <c r="AR798" s="44"/>
      <c r="AS798" s="44"/>
      <c r="AT798" s="41"/>
      <c r="AU798" s="41"/>
      <c r="AV798" s="45"/>
      <c r="AW798" s="44"/>
      <c r="AX798" s="45"/>
    </row>
    <row r="799">
      <c r="A799" s="60" t="s">
        <v>3881</v>
      </c>
      <c r="B799" s="61">
        <v>45954.23396253472</v>
      </c>
      <c r="C799" s="68" t="s">
        <v>1963</v>
      </c>
      <c r="D799" s="63" t="s">
        <v>1425</v>
      </c>
      <c r="E799" s="68" t="s">
        <v>4046</v>
      </c>
      <c r="F799" s="64" t="s">
        <v>3881</v>
      </c>
      <c r="G799" s="62">
        <v>76.0</v>
      </c>
      <c r="H799" s="62">
        <v>7.0</v>
      </c>
      <c r="I799" s="62">
        <v>6.0</v>
      </c>
      <c r="J799" s="62">
        <v>0.0</v>
      </c>
      <c r="K799" s="66"/>
      <c r="L799" s="66"/>
      <c r="M799" s="66"/>
      <c r="N799" s="62">
        <v>6.0</v>
      </c>
      <c r="O799" s="66"/>
      <c r="P799" s="66"/>
      <c r="Q799" s="66"/>
      <c r="R799" s="66"/>
      <c r="S799" s="66"/>
      <c r="T799" s="66"/>
      <c r="U799" s="66"/>
      <c r="V799" s="67" t="s">
        <v>4047</v>
      </c>
      <c r="W799" s="68" t="s">
        <v>4048</v>
      </c>
      <c r="X799" s="66"/>
      <c r="Y799" s="66"/>
      <c r="Z799" s="68" t="s">
        <v>3886</v>
      </c>
      <c r="AA799" s="62">
        <v>2.0</v>
      </c>
      <c r="AB799" s="66"/>
      <c r="AC799" s="69"/>
      <c r="AD799" s="37"/>
      <c r="AE799" s="37"/>
      <c r="AF799" s="37"/>
      <c r="AG799" s="37"/>
      <c r="AH799" s="37"/>
      <c r="AI799" s="31"/>
      <c r="AJ799" s="31"/>
      <c r="AK799" s="31"/>
      <c r="AL799" s="31"/>
      <c r="AM799" s="31"/>
      <c r="AN799" s="31"/>
      <c r="AO799" s="31"/>
      <c r="AP799" s="31"/>
      <c r="AQ799" s="31"/>
      <c r="AR799" s="31"/>
      <c r="AS799" s="31"/>
      <c r="AT799" s="36"/>
      <c r="AU799" s="36"/>
      <c r="AV799" s="34"/>
      <c r="AW799" s="31"/>
      <c r="AX799" s="34"/>
    </row>
    <row r="800">
      <c r="A800" s="70" t="s">
        <v>4049</v>
      </c>
      <c r="B800" s="71">
        <v>45954.234169097224</v>
      </c>
      <c r="C800" s="72" t="s">
        <v>4050</v>
      </c>
      <c r="D800" s="73" t="s">
        <v>4051</v>
      </c>
      <c r="E800" s="72" t="s">
        <v>4052</v>
      </c>
      <c r="F800" s="74" t="s">
        <v>4049</v>
      </c>
      <c r="G800" s="76">
        <v>215.0</v>
      </c>
      <c r="H800" s="76">
        <v>10.0</v>
      </c>
      <c r="I800" s="76">
        <v>10.0</v>
      </c>
      <c r="J800" s="76">
        <v>0.0</v>
      </c>
      <c r="K800" s="77"/>
      <c r="L800" s="77"/>
      <c r="M800" s="77"/>
      <c r="N800" s="76">
        <v>9.0</v>
      </c>
      <c r="O800" s="77"/>
      <c r="P800" s="77"/>
      <c r="Q800" s="77"/>
      <c r="R800" s="77"/>
      <c r="S800" s="77"/>
      <c r="T800" s="77"/>
      <c r="U800" s="77"/>
      <c r="V800" s="78" t="s">
        <v>4053</v>
      </c>
      <c r="W800" s="72" t="s">
        <v>4054</v>
      </c>
      <c r="X800" s="77"/>
      <c r="Y800" s="77"/>
      <c r="Z800" s="72" t="s">
        <v>4055</v>
      </c>
      <c r="AA800" s="76">
        <v>2.0</v>
      </c>
      <c r="AB800" s="77"/>
      <c r="AC800" s="79"/>
      <c r="AD800" s="54"/>
      <c r="AE800" s="54"/>
      <c r="AF800" s="54"/>
      <c r="AG800" s="54"/>
      <c r="AH800" s="54"/>
      <c r="AI800" s="44"/>
      <c r="AJ800" s="44"/>
      <c r="AK800" s="44"/>
      <c r="AL800" s="44"/>
      <c r="AM800" s="44"/>
      <c r="AN800" s="44"/>
      <c r="AO800" s="44"/>
      <c r="AP800" s="44"/>
      <c r="AQ800" s="44"/>
      <c r="AR800" s="44"/>
      <c r="AS800" s="44"/>
      <c r="AT800" s="41"/>
      <c r="AU800" s="41"/>
      <c r="AV800" s="45"/>
      <c r="AW800" s="44"/>
      <c r="AX800" s="45"/>
    </row>
    <row r="801">
      <c r="A801" s="60" t="s">
        <v>3844</v>
      </c>
      <c r="B801" s="61">
        <v>45954.23510077546</v>
      </c>
      <c r="C801" s="68" t="s">
        <v>4056</v>
      </c>
      <c r="D801" s="63" t="s">
        <v>3846</v>
      </c>
      <c r="E801" s="62" t="s">
        <v>4057</v>
      </c>
      <c r="F801" s="64" t="s">
        <v>3844</v>
      </c>
      <c r="G801" s="62">
        <v>121.0</v>
      </c>
      <c r="H801" s="62">
        <v>7.0</v>
      </c>
      <c r="I801" s="62">
        <v>5.0</v>
      </c>
      <c r="J801" s="62">
        <v>1.0</v>
      </c>
      <c r="K801" s="66"/>
      <c r="L801" s="66"/>
      <c r="M801" s="66"/>
      <c r="N801" s="62">
        <v>8.0</v>
      </c>
      <c r="O801" s="66"/>
      <c r="P801" s="66"/>
      <c r="Q801" s="66"/>
      <c r="R801" s="66"/>
      <c r="S801" s="66"/>
      <c r="T801" s="66"/>
      <c r="U801" s="66"/>
      <c r="V801" s="66"/>
      <c r="W801" s="66"/>
      <c r="X801" s="66"/>
      <c r="Y801" s="66"/>
      <c r="Z801" s="68" t="s">
        <v>3849</v>
      </c>
      <c r="AA801" s="68" t="s">
        <v>4</v>
      </c>
      <c r="AB801" s="66"/>
      <c r="AC801" s="69"/>
      <c r="AD801" s="37"/>
      <c r="AE801" s="37"/>
      <c r="AF801" s="37"/>
      <c r="AG801" s="37"/>
      <c r="AH801" s="37"/>
      <c r="AI801" s="31"/>
      <c r="AJ801" s="31"/>
      <c r="AK801" s="31"/>
      <c r="AL801" s="31"/>
      <c r="AM801" s="31"/>
      <c r="AN801" s="31"/>
      <c r="AO801" s="31"/>
      <c r="AP801" s="31"/>
      <c r="AQ801" s="31"/>
      <c r="AR801" s="31"/>
      <c r="AS801" s="31"/>
      <c r="AT801" s="36"/>
      <c r="AU801" s="36"/>
      <c r="AV801" s="34"/>
      <c r="AW801" s="31"/>
      <c r="AX801" s="34"/>
    </row>
    <row r="802">
      <c r="A802" s="70" t="s">
        <v>3518</v>
      </c>
      <c r="B802" s="71">
        <v>45954.235569930555</v>
      </c>
      <c r="C802" s="72" t="s">
        <v>3519</v>
      </c>
      <c r="D802" s="73" t="s">
        <v>3520</v>
      </c>
      <c r="E802" s="72" t="s">
        <v>3745</v>
      </c>
      <c r="F802" s="74" t="s">
        <v>3518</v>
      </c>
      <c r="G802" s="76">
        <v>820.0</v>
      </c>
      <c r="H802" s="76">
        <v>9.0</v>
      </c>
      <c r="I802" s="76">
        <v>9.0</v>
      </c>
      <c r="J802" s="76">
        <v>1.0</v>
      </c>
      <c r="K802" s="77"/>
      <c r="L802" s="77"/>
      <c r="M802" s="77"/>
      <c r="N802" s="76">
        <v>9.0</v>
      </c>
      <c r="O802" s="77"/>
      <c r="P802" s="77"/>
      <c r="Q802" s="77"/>
      <c r="R802" s="77"/>
      <c r="S802" s="77"/>
      <c r="T802" s="77"/>
      <c r="U802" s="77"/>
      <c r="V802" s="78" t="s">
        <v>4058</v>
      </c>
      <c r="W802" s="77"/>
      <c r="X802" s="77"/>
      <c r="Y802" s="77"/>
      <c r="Z802" s="72" t="s">
        <v>3523</v>
      </c>
      <c r="AA802" s="76">
        <v>6.0</v>
      </c>
      <c r="AB802" s="77"/>
      <c r="AC802" s="79"/>
      <c r="AD802" s="54"/>
      <c r="AE802" s="54"/>
      <c r="AF802" s="54"/>
      <c r="AG802" s="54"/>
      <c r="AH802" s="54"/>
      <c r="AI802" s="44"/>
      <c r="AJ802" s="44"/>
      <c r="AK802" s="44"/>
      <c r="AL802" s="44"/>
      <c r="AM802" s="44"/>
      <c r="AN802" s="44"/>
      <c r="AO802" s="44"/>
      <c r="AP802" s="44"/>
      <c r="AQ802" s="44"/>
      <c r="AR802" s="44"/>
      <c r="AS802" s="44"/>
      <c r="AT802" s="41"/>
      <c r="AU802" s="41"/>
      <c r="AV802" s="45"/>
      <c r="AW802" s="44"/>
      <c r="AX802" s="45"/>
    </row>
    <row r="803">
      <c r="A803" s="60" t="s">
        <v>3857</v>
      </c>
      <c r="B803" s="61">
        <v>45954.23710568287</v>
      </c>
      <c r="C803" s="68" t="s">
        <v>3858</v>
      </c>
      <c r="D803" s="63" t="s">
        <v>3859</v>
      </c>
      <c r="E803" s="62" t="s">
        <v>4059</v>
      </c>
      <c r="F803" s="64" t="s">
        <v>3857</v>
      </c>
      <c r="G803" s="62">
        <v>950.0</v>
      </c>
      <c r="H803" s="62">
        <v>10.0</v>
      </c>
      <c r="I803" s="62">
        <v>10.0</v>
      </c>
      <c r="J803" s="62">
        <v>0.0</v>
      </c>
      <c r="K803" s="66"/>
      <c r="L803" s="66"/>
      <c r="M803" s="66"/>
      <c r="N803" s="62">
        <v>9.0</v>
      </c>
      <c r="O803" s="66"/>
      <c r="P803" s="66"/>
      <c r="Q803" s="66"/>
      <c r="R803" s="66"/>
      <c r="S803" s="66"/>
      <c r="T803" s="66"/>
      <c r="U803" s="66"/>
      <c r="V803" s="67" t="s">
        <v>4060</v>
      </c>
      <c r="W803" s="68" t="s">
        <v>4061</v>
      </c>
      <c r="X803" s="66"/>
      <c r="Y803" s="66"/>
      <c r="Z803" s="68" t="s">
        <v>3862</v>
      </c>
      <c r="AA803" s="62">
        <v>2.0</v>
      </c>
      <c r="AB803" s="66"/>
      <c r="AC803" s="69"/>
      <c r="AD803" s="37"/>
      <c r="AE803" s="37"/>
      <c r="AF803" s="37"/>
      <c r="AG803" s="37"/>
      <c r="AH803" s="37"/>
      <c r="AI803" s="31"/>
      <c r="AJ803" s="31"/>
      <c r="AK803" s="31"/>
      <c r="AL803" s="31"/>
      <c r="AM803" s="31"/>
      <c r="AN803" s="31"/>
      <c r="AO803" s="31"/>
      <c r="AP803" s="31"/>
      <c r="AQ803" s="31"/>
      <c r="AR803" s="31"/>
      <c r="AS803" s="31"/>
      <c r="AT803" s="36"/>
      <c r="AU803" s="36"/>
      <c r="AV803" s="34"/>
      <c r="AW803" s="31"/>
      <c r="AX803" s="34"/>
    </row>
    <row r="804">
      <c r="A804" s="70" t="s">
        <v>4005</v>
      </c>
      <c r="B804" s="71">
        <v>45954.237154560185</v>
      </c>
      <c r="C804" s="72" t="s">
        <v>4006</v>
      </c>
      <c r="D804" s="72" t="s">
        <v>4007</v>
      </c>
      <c r="E804" s="72" t="s">
        <v>4062</v>
      </c>
      <c r="F804" s="74" t="s">
        <v>4005</v>
      </c>
      <c r="G804" s="76">
        <v>125.0</v>
      </c>
      <c r="H804" s="76">
        <v>7.0</v>
      </c>
      <c r="I804" s="76">
        <v>6.0</v>
      </c>
      <c r="J804" s="76">
        <v>1.0</v>
      </c>
      <c r="K804" s="77"/>
      <c r="L804" s="77"/>
      <c r="M804" s="77"/>
      <c r="N804" s="76">
        <v>9.0</v>
      </c>
      <c r="O804" s="77"/>
      <c r="P804" s="77"/>
      <c r="Q804" s="77"/>
      <c r="R804" s="77"/>
      <c r="S804" s="77"/>
      <c r="T804" s="77"/>
      <c r="U804" s="77"/>
      <c r="V804" s="78" t="s">
        <v>4063</v>
      </c>
      <c r="W804" s="77"/>
      <c r="X804" s="77"/>
      <c r="Y804" s="77"/>
      <c r="Z804" s="72" t="s">
        <v>4010</v>
      </c>
      <c r="AA804" s="76">
        <v>2.0</v>
      </c>
      <c r="AB804" s="77"/>
      <c r="AC804" s="79"/>
      <c r="AD804" s="54"/>
      <c r="AE804" s="54"/>
      <c r="AF804" s="54"/>
      <c r="AG804" s="54"/>
      <c r="AH804" s="54"/>
      <c r="AI804" s="44"/>
      <c r="AJ804" s="44"/>
      <c r="AK804" s="44"/>
      <c r="AL804" s="44"/>
      <c r="AM804" s="44"/>
      <c r="AN804" s="44"/>
      <c r="AO804" s="44"/>
      <c r="AP804" s="44"/>
      <c r="AQ804" s="44"/>
      <c r="AR804" s="44"/>
      <c r="AS804" s="44"/>
      <c r="AT804" s="41"/>
      <c r="AU804" s="41"/>
      <c r="AV804" s="45"/>
      <c r="AW804" s="44"/>
      <c r="AX804" s="45"/>
    </row>
    <row r="805">
      <c r="A805" s="60" t="s">
        <v>4064</v>
      </c>
      <c r="B805" s="61">
        <v>45954.239041504625</v>
      </c>
      <c r="C805" s="68" t="s">
        <v>3864</v>
      </c>
      <c r="D805" s="63" t="s">
        <v>4065</v>
      </c>
      <c r="E805" s="68" t="s">
        <v>4066</v>
      </c>
      <c r="F805" s="64" t="s">
        <v>4064</v>
      </c>
      <c r="G805" s="62">
        <v>400.0</v>
      </c>
      <c r="H805" s="62">
        <v>8.0</v>
      </c>
      <c r="I805" s="62">
        <v>9.0</v>
      </c>
      <c r="J805" s="62">
        <v>40.0</v>
      </c>
      <c r="K805" s="66"/>
      <c r="L805" s="66"/>
      <c r="M805" s="66"/>
      <c r="N805" s="62">
        <v>8.0</v>
      </c>
      <c r="O805" s="66"/>
      <c r="P805" s="66"/>
      <c r="Q805" s="66"/>
      <c r="R805" s="66"/>
      <c r="S805" s="66"/>
      <c r="T805" s="66"/>
      <c r="U805" s="66"/>
      <c r="V805" s="68" t="s">
        <v>4067</v>
      </c>
      <c r="W805" s="68" t="s">
        <v>4068</v>
      </c>
      <c r="X805" s="66"/>
      <c r="Y805" s="66"/>
      <c r="Z805" s="68" t="s">
        <v>3867</v>
      </c>
      <c r="AA805" s="62">
        <v>2.0</v>
      </c>
      <c r="AB805" s="66"/>
      <c r="AC805" s="69"/>
      <c r="AD805" s="37"/>
      <c r="AE805" s="37"/>
      <c r="AF805" s="37"/>
      <c r="AG805" s="37"/>
      <c r="AH805" s="37"/>
      <c r="AI805" s="31"/>
      <c r="AJ805" s="31"/>
      <c r="AK805" s="31"/>
      <c r="AL805" s="31"/>
      <c r="AM805" s="31"/>
      <c r="AN805" s="31"/>
      <c r="AO805" s="31"/>
      <c r="AP805" s="31"/>
      <c r="AQ805" s="31"/>
      <c r="AR805" s="31"/>
      <c r="AS805" s="31"/>
      <c r="AT805" s="36"/>
      <c r="AU805" s="36"/>
      <c r="AV805" s="34"/>
      <c r="AW805" s="31"/>
      <c r="AX805" s="34"/>
    </row>
    <row r="806">
      <c r="A806" s="70" t="s">
        <v>4069</v>
      </c>
      <c r="B806" s="71">
        <v>45954.25457740741</v>
      </c>
      <c r="C806" s="72" t="s">
        <v>4012</v>
      </c>
      <c r="D806" s="73" t="s">
        <v>4013</v>
      </c>
      <c r="E806" s="72" t="s">
        <v>4070</v>
      </c>
      <c r="F806" s="74" t="s">
        <v>4069</v>
      </c>
      <c r="G806" s="76">
        <v>700.0</v>
      </c>
      <c r="H806" s="76">
        <v>8.0</v>
      </c>
      <c r="I806" s="76">
        <v>9.0</v>
      </c>
      <c r="J806" s="76">
        <v>0.0</v>
      </c>
      <c r="K806" s="77"/>
      <c r="L806" s="77"/>
      <c r="M806" s="77"/>
      <c r="N806" s="76">
        <v>9.0</v>
      </c>
      <c r="O806" s="77"/>
      <c r="P806" s="77"/>
      <c r="Q806" s="77"/>
      <c r="R806" s="77"/>
      <c r="S806" s="77"/>
      <c r="T806" s="77"/>
      <c r="U806" s="77"/>
      <c r="V806" s="78" t="s">
        <v>4071</v>
      </c>
      <c r="W806" s="72" t="s">
        <v>1487</v>
      </c>
      <c r="X806" s="77"/>
      <c r="Y806" s="77"/>
      <c r="Z806" s="72" t="s">
        <v>4018</v>
      </c>
      <c r="AA806" s="76">
        <v>2.0</v>
      </c>
      <c r="AB806" s="77"/>
      <c r="AC806" s="79"/>
      <c r="AD806" s="54"/>
      <c r="AE806" s="54"/>
      <c r="AF806" s="54"/>
      <c r="AG806" s="54"/>
      <c r="AH806" s="54"/>
      <c r="AI806" s="44"/>
      <c r="AJ806" s="44"/>
      <c r="AK806" s="44"/>
      <c r="AL806" s="44"/>
      <c r="AM806" s="44"/>
      <c r="AN806" s="44"/>
      <c r="AO806" s="44"/>
      <c r="AP806" s="44"/>
      <c r="AQ806" s="44"/>
      <c r="AR806" s="44"/>
      <c r="AS806" s="44"/>
      <c r="AT806" s="41"/>
      <c r="AU806" s="41"/>
      <c r="AV806" s="45"/>
      <c r="AW806" s="44"/>
      <c r="AX806" s="45"/>
    </row>
    <row r="807">
      <c r="A807" s="60" t="s">
        <v>4072</v>
      </c>
      <c r="B807" s="61">
        <v>45954.262886400466</v>
      </c>
      <c r="C807" s="68" t="s">
        <v>3933</v>
      </c>
      <c r="D807" s="63" t="s">
        <v>3934</v>
      </c>
      <c r="E807" s="68" t="s">
        <v>4073</v>
      </c>
      <c r="F807" s="64" t="s">
        <v>4072</v>
      </c>
      <c r="G807" s="62">
        <v>383.0</v>
      </c>
      <c r="H807" s="62">
        <v>9.0</v>
      </c>
      <c r="I807" s="62">
        <v>9.0</v>
      </c>
      <c r="J807" s="62">
        <v>0.0</v>
      </c>
      <c r="K807" s="66"/>
      <c r="L807" s="66"/>
      <c r="M807" s="66"/>
      <c r="N807" s="62">
        <v>7.0</v>
      </c>
      <c r="O807" s="66"/>
      <c r="P807" s="66"/>
      <c r="Q807" s="66"/>
      <c r="R807" s="66"/>
      <c r="S807" s="66"/>
      <c r="T807" s="66"/>
      <c r="U807" s="66"/>
      <c r="V807" s="67" t="s">
        <v>4074</v>
      </c>
      <c r="W807" s="68" t="s">
        <v>4075</v>
      </c>
      <c r="X807" s="66"/>
      <c r="Y807" s="66"/>
      <c r="Z807" s="68" t="s">
        <v>3938</v>
      </c>
      <c r="AA807" s="62">
        <v>2.0</v>
      </c>
      <c r="AB807" s="66"/>
      <c r="AC807" s="69"/>
      <c r="AD807" s="37"/>
      <c r="AE807" s="37"/>
      <c r="AF807" s="37"/>
      <c r="AG807" s="37"/>
      <c r="AH807" s="37"/>
      <c r="AI807" s="31"/>
      <c r="AJ807" s="31"/>
      <c r="AK807" s="31"/>
      <c r="AL807" s="31"/>
      <c r="AM807" s="31"/>
      <c r="AN807" s="31"/>
      <c r="AO807" s="31"/>
      <c r="AP807" s="31"/>
      <c r="AQ807" s="31"/>
      <c r="AR807" s="31"/>
      <c r="AS807" s="31"/>
      <c r="AT807" s="36"/>
      <c r="AU807" s="36"/>
      <c r="AV807" s="34"/>
      <c r="AW807" s="31"/>
      <c r="AX807" s="34"/>
    </row>
    <row r="808">
      <c r="A808" s="70" t="s">
        <v>4076</v>
      </c>
      <c r="B808" s="71">
        <v>45954.26812064815</v>
      </c>
      <c r="C808" s="72" t="s">
        <v>3874</v>
      </c>
      <c r="D808" s="73" t="s">
        <v>3875</v>
      </c>
      <c r="E808" s="72" t="s">
        <v>4077</v>
      </c>
      <c r="F808" s="74" t="s">
        <v>4076</v>
      </c>
      <c r="G808" s="76">
        <v>339.0</v>
      </c>
      <c r="H808" s="76">
        <v>9.0</v>
      </c>
      <c r="I808" s="76">
        <v>8.0</v>
      </c>
      <c r="J808" s="72" t="s">
        <v>583</v>
      </c>
      <c r="K808" s="77"/>
      <c r="L808" s="77"/>
      <c r="M808" s="77"/>
      <c r="N808" s="76">
        <v>10.0</v>
      </c>
      <c r="O808" s="77"/>
      <c r="P808" s="77"/>
      <c r="Q808" s="77"/>
      <c r="R808" s="77"/>
      <c r="S808" s="77"/>
      <c r="T808" s="77"/>
      <c r="U808" s="77"/>
      <c r="V808" s="78" t="s">
        <v>4078</v>
      </c>
      <c r="W808" s="77"/>
      <c r="X808" s="77"/>
      <c r="Y808" s="77"/>
      <c r="Z808" s="72" t="s">
        <v>3878</v>
      </c>
      <c r="AA808" s="72" t="s">
        <v>4</v>
      </c>
      <c r="AB808" s="77"/>
      <c r="AC808" s="79"/>
      <c r="AD808" s="54"/>
      <c r="AE808" s="54"/>
      <c r="AF808" s="54"/>
      <c r="AG808" s="54"/>
      <c r="AH808" s="54"/>
      <c r="AI808" s="44"/>
      <c r="AJ808" s="44"/>
      <c r="AK808" s="44"/>
      <c r="AL808" s="44"/>
      <c r="AM808" s="44"/>
      <c r="AN808" s="44"/>
      <c r="AO808" s="44"/>
      <c r="AP808" s="44"/>
      <c r="AQ808" s="44"/>
      <c r="AR808" s="44"/>
      <c r="AS808" s="44"/>
      <c r="AT808" s="41"/>
      <c r="AU808" s="41"/>
      <c r="AV808" s="45"/>
      <c r="AW808" s="44"/>
      <c r="AX808" s="45"/>
    </row>
    <row r="809">
      <c r="A809" s="60" t="s">
        <v>3893</v>
      </c>
      <c r="B809" s="61">
        <v>45954.26880913194</v>
      </c>
      <c r="C809" s="68" t="s">
        <v>3894</v>
      </c>
      <c r="D809" s="63" t="s">
        <v>3895</v>
      </c>
      <c r="E809" s="68" t="s">
        <v>3896</v>
      </c>
      <c r="F809" s="64" t="s">
        <v>3893</v>
      </c>
      <c r="G809" s="62">
        <v>315.0</v>
      </c>
      <c r="H809" s="62">
        <v>9.0</v>
      </c>
      <c r="I809" s="62">
        <v>9.0</v>
      </c>
      <c r="J809" s="68" t="s">
        <v>4079</v>
      </c>
      <c r="K809" s="66"/>
      <c r="L809" s="66"/>
      <c r="M809" s="66"/>
      <c r="N809" s="62">
        <v>10.0</v>
      </c>
      <c r="O809" s="66"/>
      <c r="P809" s="66"/>
      <c r="Q809" s="66"/>
      <c r="R809" s="66"/>
      <c r="S809" s="66"/>
      <c r="T809" s="66"/>
      <c r="U809" s="66"/>
      <c r="V809" s="67" t="s">
        <v>4080</v>
      </c>
      <c r="W809" s="68" t="s">
        <v>4081</v>
      </c>
      <c r="X809" s="66"/>
      <c r="Y809" s="66"/>
      <c r="Z809" s="68" t="s">
        <v>3900</v>
      </c>
      <c r="AA809" s="62">
        <v>2.0</v>
      </c>
      <c r="AB809" s="66"/>
      <c r="AC809" s="69"/>
      <c r="AD809" s="37"/>
      <c r="AE809" s="37"/>
      <c r="AF809" s="37"/>
      <c r="AG809" s="37"/>
      <c r="AH809" s="37"/>
      <c r="AI809" s="31"/>
      <c r="AJ809" s="31"/>
      <c r="AK809" s="31"/>
      <c r="AL809" s="31"/>
      <c r="AM809" s="31"/>
      <c r="AN809" s="31"/>
      <c r="AO809" s="31"/>
      <c r="AP809" s="31"/>
      <c r="AQ809" s="31"/>
      <c r="AR809" s="31"/>
      <c r="AS809" s="31"/>
      <c r="AT809" s="36"/>
      <c r="AU809" s="36"/>
      <c r="AV809" s="34"/>
      <c r="AW809" s="31"/>
      <c r="AX809" s="34"/>
    </row>
    <row r="810">
      <c r="A810" s="70" t="s">
        <v>3944</v>
      </c>
      <c r="B810" s="71">
        <v>45954.27430347222</v>
      </c>
      <c r="C810" s="76" t="s">
        <v>3945</v>
      </c>
      <c r="D810" s="73" t="s">
        <v>3946</v>
      </c>
      <c r="E810" s="76" t="s">
        <v>4082</v>
      </c>
      <c r="F810" s="74" t="s">
        <v>3944</v>
      </c>
      <c r="G810" s="76">
        <v>308.0</v>
      </c>
      <c r="H810" s="76">
        <v>6.0</v>
      </c>
      <c r="I810" s="76">
        <v>6.0</v>
      </c>
      <c r="J810" s="76">
        <v>2.0</v>
      </c>
      <c r="K810" s="77"/>
      <c r="L810" s="77"/>
      <c r="M810" s="77"/>
      <c r="N810" s="76">
        <v>7.0</v>
      </c>
      <c r="O810" s="77"/>
      <c r="P810" s="77"/>
      <c r="Q810" s="77"/>
      <c r="R810" s="77"/>
      <c r="S810" s="77"/>
      <c r="T810" s="77"/>
      <c r="U810" s="77"/>
      <c r="V810" s="78" t="s">
        <v>4083</v>
      </c>
      <c r="W810" s="77"/>
      <c r="X810" s="77"/>
      <c r="Y810" s="77"/>
      <c r="Z810" s="72" t="s">
        <v>3950</v>
      </c>
      <c r="AA810" s="76">
        <v>2.0</v>
      </c>
      <c r="AB810" s="77"/>
      <c r="AC810" s="79"/>
      <c r="AD810" s="54"/>
      <c r="AE810" s="54"/>
      <c r="AF810" s="54"/>
      <c r="AG810" s="54"/>
      <c r="AH810" s="54"/>
      <c r="AI810" s="44"/>
      <c r="AJ810" s="44"/>
      <c r="AK810" s="44"/>
      <c r="AL810" s="44"/>
      <c r="AM810" s="44"/>
      <c r="AN810" s="44"/>
      <c r="AO810" s="44"/>
      <c r="AP810" s="44"/>
      <c r="AQ810" s="44"/>
      <c r="AR810" s="44"/>
      <c r="AS810" s="44"/>
      <c r="AT810" s="41"/>
      <c r="AU810" s="41"/>
      <c r="AV810" s="45"/>
      <c r="AW810" s="44"/>
      <c r="AX810" s="45"/>
    </row>
    <row r="811">
      <c r="A811" s="60" t="s">
        <v>3915</v>
      </c>
      <c r="B811" s="61">
        <v>45954.27882065972</v>
      </c>
      <c r="C811" s="68" t="s">
        <v>3903</v>
      </c>
      <c r="D811" s="63" t="s">
        <v>3904</v>
      </c>
      <c r="E811" s="68" t="s">
        <v>4084</v>
      </c>
      <c r="F811" s="64" t="s">
        <v>3915</v>
      </c>
      <c r="G811" s="62">
        <v>331.0</v>
      </c>
      <c r="H811" s="62">
        <v>10.0</v>
      </c>
      <c r="I811" s="62">
        <v>10.0</v>
      </c>
      <c r="J811" s="68" t="s">
        <v>4085</v>
      </c>
      <c r="K811" s="66"/>
      <c r="L811" s="66"/>
      <c r="M811" s="66"/>
      <c r="N811" s="62">
        <v>10.0</v>
      </c>
      <c r="O811" s="66"/>
      <c r="P811" s="66"/>
      <c r="Q811" s="66"/>
      <c r="R811" s="66"/>
      <c r="S811" s="66"/>
      <c r="T811" s="66"/>
      <c r="U811" s="66"/>
      <c r="V811" s="67" t="s">
        <v>4086</v>
      </c>
      <c r="W811" s="66"/>
      <c r="X811" s="66"/>
      <c r="Y811" s="66"/>
      <c r="Z811" s="68" t="s">
        <v>3919</v>
      </c>
      <c r="AA811" s="62">
        <v>2.0</v>
      </c>
      <c r="AB811" s="66"/>
      <c r="AC811" s="69"/>
      <c r="AD811" s="37"/>
      <c r="AE811" s="37"/>
      <c r="AF811" s="37"/>
      <c r="AG811" s="37"/>
      <c r="AH811" s="37"/>
      <c r="AI811" s="31"/>
      <c r="AJ811" s="31"/>
      <c r="AK811" s="31"/>
      <c r="AL811" s="31"/>
      <c r="AM811" s="31"/>
      <c r="AN811" s="31"/>
      <c r="AO811" s="31"/>
      <c r="AP811" s="31"/>
      <c r="AQ811" s="31"/>
      <c r="AR811" s="31"/>
      <c r="AS811" s="31"/>
      <c r="AT811" s="36"/>
      <c r="AU811" s="36"/>
      <c r="AV811" s="34"/>
      <c r="AW811" s="31"/>
      <c r="AX811" s="34"/>
    </row>
    <row r="812">
      <c r="A812" s="70" t="s">
        <v>3909</v>
      </c>
      <c r="B812" s="71">
        <v>45954.28979520833</v>
      </c>
      <c r="C812" s="76" t="s">
        <v>3910</v>
      </c>
      <c r="D812" s="73" t="s">
        <v>3911</v>
      </c>
      <c r="E812" s="76" t="s">
        <v>4087</v>
      </c>
      <c r="F812" s="74" t="s">
        <v>3909</v>
      </c>
      <c r="G812" s="76">
        <v>300.0</v>
      </c>
      <c r="H812" s="76">
        <v>7.0</v>
      </c>
      <c r="I812" s="76">
        <v>8.0</v>
      </c>
      <c r="J812" s="76">
        <v>2.0</v>
      </c>
      <c r="K812" s="77"/>
      <c r="L812" s="77"/>
      <c r="M812" s="77"/>
      <c r="N812" s="76">
        <v>9.0</v>
      </c>
      <c r="O812" s="77"/>
      <c r="P812" s="77"/>
      <c r="Q812" s="77"/>
      <c r="R812" s="77"/>
      <c r="S812" s="77"/>
      <c r="T812" s="77"/>
      <c r="U812" s="77"/>
      <c r="V812" s="78" t="s">
        <v>4088</v>
      </c>
      <c r="W812" s="76" t="s">
        <v>2435</v>
      </c>
      <c r="X812" s="77"/>
      <c r="Y812" s="77"/>
      <c r="Z812" s="72" t="s">
        <v>4089</v>
      </c>
      <c r="AA812" s="72" t="s">
        <v>4</v>
      </c>
      <c r="AB812" s="77"/>
      <c r="AC812" s="79"/>
      <c r="AD812" s="54"/>
      <c r="AE812" s="54"/>
      <c r="AF812" s="54"/>
      <c r="AG812" s="54"/>
      <c r="AH812" s="54"/>
      <c r="AI812" s="44"/>
      <c r="AJ812" s="44"/>
      <c r="AK812" s="44"/>
      <c r="AL812" s="44"/>
      <c r="AM812" s="44"/>
      <c r="AN812" s="44"/>
      <c r="AO812" s="44"/>
      <c r="AP812" s="44"/>
      <c r="AQ812" s="44"/>
      <c r="AR812" s="44"/>
      <c r="AS812" s="44"/>
      <c r="AT812" s="41"/>
      <c r="AU812" s="41"/>
      <c r="AV812" s="45"/>
      <c r="AW812" s="44"/>
      <c r="AX812" s="45"/>
    </row>
    <row r="813">
      <c r="A813" s="60" t="s">
        <v>4090</v>
      </c>
      <c r="B813" s="61">
        <v>45954.33004393519</v>
      </c>
      <c r="C813" s="68" t="s">
        <v>1886</v>
      </c>
      <c r="D813" s="62">
        <v>3.453811243E9</v>
      </c>
      <c r="E813" s="68" t="s">
        <v>4091</v>
      </c>
      <c r="F813" s="64" t="s">
        <v>4090</v>
      </c>
      <c r="G813" s="62">
        <v>400.0</v>
      </c>
      <c r="H813" s="62">
        <v>8.0</v>
      </c>
      <c r="I813" s="62">
        <v>7.0</v>
      </c>
      <c r="J813" s="68" t="s">
        <v>4092</v>
      </c>
      <c r="K813" s="66"/>
      <c r="L813" s="66"/>
      <c r="M813" s="66"/>
      <c r="N813" s="62">
        <v>9.0</v>
      </c>
      <c r="O813" s="66"/>
      <c r="P813" s="66"/>
      <c r="Q813" s="66"/>
      <c r="R813" s="66"/>
      <c r="S813" s="66"/>
      <c r="T813" s="66"/>
      <c r="U813" s="66"/>
      <c r="V813" s="67" t="s">
        <v>4093</v>
      </c>
      <c r="W813" s="66"/>
      <c r="X813" s="66"/>
      <c r="Y813" s="66"/>
      <c r="Z813" s="68" t="s">
        <v>3943</v>
      </c>
      <c r="AA813" s="62">
        <v>2.0</v>
      </c>
      <c r="AB813" s="66"/>
      <c r="AC813" s="69"/>
      <c r="AD813" s="37"/>
      <c r="AE813" s="37"/>
      <c r="AF813" s="37"/>
      <c r="AG813" s="37"/>
      <c r="AH813" s="37"/>
      <c r="AI813" s="31"/>
      <c r="AJ813" s="31"/>
      <c r="AK813" s="31"/>
      <c r="AL813" s="31"/>
      <c r="AM813" s="31"/>
      <c r="AN813" s="31"/>
      <c r="AO813" s="31"/>
      <c r="AP813" s="31"/>
      <c r="AQ813" s="31"/>
      <c r="AR813" s="31"/>
      <c r="AS813" s="31"/>
      <c r="AT813" s="36"/>
      <c r="AU813" s="36"/>
      <c r="AV813" s="34"/>
      <c r="AW813" s="31"/>
      <c r="AX813" s="34"/>
    </row>
    <row r="814">
      <c r="A814" s="70" t="s">
        <v>3762</v>
      </c>
      <c r="B814" s="71">
        <v>45954.33054304398</v>
      </c>
      <c r="C814" s="72" t="s">
        <v>4094</v>
      </c>
      <c r="D814" s="73" t="s">
        <v>3680</v>
      </c>
      <c r="E814" s="72" t="s">
        <v>3764</v>
      </c>
      <c r="F814" s="74" t="s">
        <v>3762</v>
      </c>
      <c r="G814" s="76">
        <v>755.0</v>
      </c>
      <c r="H814" s="76">
        <v>10.0</v>
      </c>
      <c r="I814" s="76">
        <v>10.0</v>
      </c>
      <c r="J814" s="76">
        <v>0.0</v>
      </c>
      <c r="K814" s="77"/>
      <c r="L814" s="77"/>
      <c r="M814" s="77"/>
      <c r="N814" s="76">
        <v>10.0</v>
      </c>
      <c r="O814" s="77"/>
      <c r="P814" s="77"/>
      <c r="Q814" s="77"/>
      <c r="R814" s="77"/>
      <c r="S814" s="77"/>
      <c r="T814" s="77"/>
      <c r="U814" s="77"/>
      <c r="V814" s="78" t="s">
        <v>4095</v>
      </c>
      <c r="W814" s="77"/>
      <c r="X814" s="77"/>
      <c r="Y814" s="77"/>
      <c r="Z814" s="72" t="s">
        <v>3683</v>
      </c>
      <c r="AA814" s="76">
        <v>6.0</v>
      </c>
      <c r="AB814" s="77"/>
      <c r="AC814" s="79"/>
      <c r="AD814" s="54"/>
      <c r="AE814" s="54"/>
      <c r="AF814" s="54"/>
      <c r="AG814" s="54"/>
      <c r="AH814" s="54"/>
      <c r="AI814" s="44"/>
      <c r="AJ814" s="44"/>
      <c r="AK814" s="44"/>
      <c r="AL814" s="44"/>
      <c r="AM814" s="44"/>
      <c r="AN814" s="44"/>
      <c r="AO814" s="44"/>
      <c r="AP814" s="44"/>
      <c r="AQ814" s="44"/>
      <c r="AR814" s="44"/>
      <c r="AS814" s="44"/>
      <c r="AT814" s="41"/>
      <c r="AU814" s="41"/>
      <c r="AV814" s="45"/>
      <c r="AW814" s="44"/>
      <c r="AX814" s="45"/>
    </row>
    <row r="815">
      <c r="A815" s="60" t="s">
        <v>3977</v>
      </c>
      <c r="B815" s="61">
        <v>45954.334993055556</v>
      </c>
      <c r="C815" s="68" t="s">
        <v>4096</v>
      </c>
      <c r="D815" s="63" t="s">
        <v>3979</v>
      </c>
      <c r="E815" s="68" t="s">
        <v>3980</v>
      </c>
      <c r="F815" s="64" t="s">
        <v>3977</v>
      </c>
      <c r="G815" s="62">
        <v>125.0</v>
      </c>
      <c r="H815" s="62">
        <v>9.0</v>
      </c>
      <c r="I815" s="62">
        <v>5.0</v>
      </c>
      <c r="J815" s="62">
        <v>1.0</v>
      </c>
      <c r="K815" s="66"/>
      <c r="L815" s="66"/>
      <c r="M815" s="66"/>
      <c r="N815" s="62">
        <v>7.0</v>
      </c>
      <c r="O815" s="66"/>
      <c r="P815" s="66"/>
      <c r="Q815" s="66"/>
      <c r="R815" s="66"/>
      <c r="S815" s="66"/>
      <c r="T815" s="66"/>
      <c r="U815" s="66"/>
      <c r="V815" s="67" t="s">
        <v>3913</v>
      </c>
      <c r="W815" s="68" t="s">
        <v>1005</v>
      </c>
      <c r="X815" s="66"/>
      <c r="Y815" s="66"/>
      <c r="Z815" s="68" t="s">
        <v>3982</v>
      </c>
      <c r="AA815" s="68" t="s">
        <v>4</v>
      </c>
      <c r="AB815" s="66"/>
      <c r="AC815" s="69"/>
      <c r="AD815" s="37"/>
      <c r="AE815" s="37"/>
      <c r="AF815" s="37"/>
      <c r="AG815" s="37"/>
      <c r="AH815" s="37"/>
      <c r="AI815" s="31"/>
      <c r="AJ815" s="31"/>
      <c r="AK815" s="31"/>
      <c r="AL815" s="31"/>
      <c r="AM815" s="31"/>
      <c r="AN815" s="31"/>
      <c r="AO815" s="31"/>
      <c r="AP815" s="31"/>
      <c r="AQ815" s="31"/>
      <c r="AR815" s="31"/>
      <c r="AS815" s="31"/>
      <c r="AT815" s="36"/>
      <c r="AU815" s="36"/>
      <c r="AV815" s="34"/>
      <c r="AW815" s="31"/>
      <c r="AX815" s="34"/>
    </row>
    <row r="816">
      <c r="A816" s="70" t="s">
        <v>3926</v>
      </c>
      <c r="B816" s="71">
        <v>45954.402309074074</v>
      </c>
      <c r="C816" s="72" t="s">
        <v>3927</v>
      </c>
      <c r="D816" s="73" t="s">
        <v>3928</v>
      </c>
      <c r="E816" s="72" t="s">
        <v>3988</v>
      </c>
      <c r="F816" s="74" t="s">
        <v>3926</v>
      </c>
      <c r="G816" s="76">
        <v>500.0</v>
      </c>
      <c r="H816" s="76">
        <v>9.0</v>
      </c>
      <c r="I816" s="76">
        <v>9.0</v>
      </c>
      <c r="J816" s="72" t="s">
        <v>197</v>
      </c>
      <c r="K816" s="77"/>
      <c r="L816" s="77"/>
      <c r="M816" s="77"/>
      <c r="N816" s="76">
        <v>9.0</v>
      </c>
      <c r="O816" s="77"/>
      <c r="P816" s="77"/>
      <c r="Q816" s="77"/>
      <c r="R816" s="77"/>
      <c r="S816" s="77"/>
      <c r="T816" s="77"/>
      <c r="U816" s="77"/>
      <c r="V816" s="77"/>
      <c r="W816" s="72" t="s">
        <v>197</v>
      </c>
      <c r="X816" s="77"/>
      <c r="Y816" s="77"/>
      <c r="Z816" s="72" t="s">
        <v>3931</v>
      </c>
      <c r="AA816" s="72" t="s">
        <v>4</v>
      </c>
      <c r="AB816" s="77"/>
      <c r="AC816" s="79"/>
      <c r="AD816" s="54"/>
      <c r="AE816" s="54"/>
      <c r="AF816" s="54"/>
      <c r="AG816" s="54"/>
      <c r="AH816" s="54"/>
      <c r="AI816" s="44"/>
      <c r="AJ816" s="44"/>
      <c r="AK816" s="44"/>
      <c r="AL816" s="44"/>
      <c r="AM816" s="44"/>
      <c r="AN816" s="44"/>
      <c r="AO816" s="44"/>
      <c r="AP816" s="44"/>
      <c r="AQ816" s="44"/>
      <c r="AR816" s="44"/>
      <c r="AS816" s="44"/>
      <c r="AT816" s="41"/>
      <c r="AU816" s="41"/>
      <c r="AV816" s="45"/>
      <c r="AW816" s="44"/>
      <c r="AX816" s="45"/>
    </row>
    <row r="817">
      <c r="A817" s="60" t="s">
        <v>3983</v>
      </c>
      <c r="B817" s="61">
        <v>45954.42963480324</v>
      </c>
      <c r="C817" s="62" t="s">
        <v>4097</v>
      </c>
      <c r="D817" s="63" t="s">
        <v>3984</v>
      </c>
      <c r="E817" s="62" t="s">
        <v>4098</v>
      </c>
      <c r="F817" s="64" t="s">
        <v>3983</v>
      </c>
      <c r="G817" s="62">
        <v>261.0</v>
      </c>
      <c r="H817" s="62">
        <v>9.0</v>
      </c>
      <c r="I817" s="62">
        <v>9.0</v>
      </c>
      <c r="J817" s="62" t="s">
        <v>4099</v>
      </c>
      <c r="K817" s="66"/>
      <c r="L817" s="66"/>
      <c r="M817" s="66"/>
      <c r="N817" s="62">
        <v>9.0</v>
      </c>
      <c r="O817" s="66"/>
      <c r="P817" s="66"/>
      <c r="Q817" s="66"/>
      <c r="R817" s="66"/>
      <c r="S817" s="66"/>
      <c r="T817" s="66"/>
      <c r="U817" s="66"/>
      <c r="V817" s="67" t="s">
        <v>4100</v>
      </c>
      <c r="W817" s="62" t="s">
        <v>4101</v>
      </c>
      <c r="X817" s="66"/>
      <c r="Y817" s="66"/>
      <c r="Z817" s="68" t="s">
        <v>3987</v>
      </c>
      <c r="AA817" s="62">
        <v>2.0</v>
      </c>
      <c r="AB817" s="66"/>
      <c r="AC817" s="69"/>
      <c r="AD817" s="37"/>
      <c r="AE817" s="37"/>
      <c r="AF817" s="37"/>
      <c r="AG817" s="37"/>
      <c r="AH817" s="37"/>
      <c r="AI817" s="31"/>
      <c r="AJ817" s="31"/>
      <c r="AK817" s="31"/>
      <c r="AL817" s="31"/>
      <c r="AM817" s="31"/>
      <c r="AN817" s="31"/>
      <c r="AO817" s="31"/>
      <c r="AP817" s="31"/>
      <c r="AQ817" s="31"/>
      <c r="AR817" s="31"/>
      <c r="AS817" s="31"/>
      <c r="AT817" s="36"/>
      <c r="AU817" s="36"/>
      <c r="AV817" s="34"/>
      <c r="AW817" s="31"/>
      <c r="AX817" s="34"/>
    </row>
    <row r="818">
      <c r="A818" s="70" t="s">
        <v>3961</v>
      </c>
      <c r="B818" s="71">
        <v>45954.47707976852</v>
      </c>
      <c r="C818" s="72" t="s">
        <v>3962</v>
      </c>
      <c r="D818" s="73" t="s">
        <v>3963</v>
      </c>
      <c r="E818" s="72" t="s">
        <v>4102</v>
      </c>
      <c r="F818" s="74" t="s">
        <v>3961</v>
      </c>
      <c r="G818" s="76">
        <v>550.0</v>
      </c>
      <c r="H818" s="76">
        <v>1.0</v>
      </c>
      <c r="I818" s="76">
        <v>7.0</v>
      </c>
      <c r="J818" s="76">
        <v>5.0</v>
      </c>
      <c r="K818" s="77"/>
      <c r="L818" s="77"/>
      <c r="M818" s="77"/>
      <c r="N818" s="76">
        <v>5.0</v>
      </c>
      <c r="O818" s="77"/>
      <c r="P818" s="77"/>
      <c r="Q818" s="77"/>
      <c r="R818" s="77"/>
      <c r="S818" s="77"/>
      <c r="T818" s="77"/>
      <c r="U818" s="77"/>
      <c r="V818" s="78" t="s">
        <v>4103</v>
      </c>
      <c r="W818" s="77"/>
      <c r="X818" s="77"/>
      <c r="Y818" s="77"/>
      <c r="Z818" s="72" t="s">
        <v>3966</v>
      </c>
      <c r="AA818" s="76">
        <v>2.0</v>
      </c>
      <c r="AB818" s="77"/>
      <c r="AC818" s="79"/>
      <c r="AD818" s="54"/>
      <c r="AE818" s="54"/>
      <c r="AF818" s="54"/>
      <c r="AG818" s="54"/>
      <c r="AH818" s="54"/>
      <c r="AI818" s="44"/>
      <c r="AJ818" s="44"/>
      <c r="AK818" s="44"/>
      <c r="AL818" s="44"/>
      <c r="AM818" s="44"/>
      <c r="AN818" s="44"/>
      <c r="AO818" s="44"/>
      <c r="AP818" s="44"/>
      <c r="AQ818" s="44"/>
      <c r="AR818" s="44"/>
      <c r="AS818" s="44"/>
      <c r="AT818" s="41"/>
      <c r="AU818" s="41"/>
      <c r="AV818" s="45"/>
      <c r="AW818" s="44"/>
      <c r="AX818" s="45"/>
    </row>
    <row r="819">
      <c r="A819" s="60" t="s">
        <v>4022</v>
      </c>
      <c r="B819" s="61">
        <v>45954.48686366898</v>
      </c>
      <c r="C819" s="68" t="s">
        <v>4023</v>
      </c>
      <c r="D819" s="63" t="s">
        <v>4024</v>
      </c>
      <c r="E819" s="68" t="s">
        <v>4104</v>
      </c>
      <c r="F819" s="64" t="s">
        <v>4022</v>
      </c>
      <c r="G819" s="62">
        <v>63.0</v>
      </c>
      <c r="H819" s="62">
        <v>9.0</v>
      </c>
      <c r="I819" s="62">
        <v>7.0</v>
      </c>
      <c r="J819" s="62">
        <v>2.0</v>
      </c>
      <c r="K819" s="66"/>
      <c r="L819" s="66"/>
      <c r="M819" s="66"/>
      <c r="N819" s="62">
        <v>9.0</v>
      </c>
      <c r="O819" s="66"/>
      <c r="P819" s="66"/>
      <c r="Q819" s="66"/>
      <c r="R819" s="66"/>
      <c r="S819" s="66"/>
      <c r="T819" s="66"/>
      <c r="U819" s="66"/>
      <c r="V819" s="67" t="s">
        <v>4105</v>
      </c>
      <c r="W819" s="66"/>
      <c r="X819" s="66"/>
      <c r="Y819" s="66"/>
      <c r="Z819" s="68" t="s">
        <v>4027</v>
      </c>
      <c r="AA819" s="62">
        <v>2.0</v>
      </c>
      <c r="AB819" s="66"/>
      <c r="AC819" s="69"/>
      <c r="AD819" s="37"/>
      <c r="AE819" s="37"/>
      <c r="AF819" s="37"/>
      <c r="AG819" s="37"/>
      <c r="AH819" s="37"/>
      <c r="AI819" s="31"/>
      <c r="AJ819" s="31"/>
      <c r="AK819" s="31"/>
      <c r="AL819" s="31"/>
      <c r="AM819" s="31"/>
      <c r="AN819" s="31"/>
      <c r="AO819" s="31"/>
      <c r="AP819" s="31"/>
      <c r="AQ819" s="31"/>
      <c r="AR819" s="31"/>
      <c r="AS819" s="31"/>
      <c r="AT819" s="36"/>
      <c r="AU819" s="36"/>
      <c r="AV819" s="34"/>
      <c r="AW819" s="31"/>
      <c r="AX819" s="34"/>
    </row>
    <row r="820">
      <c r="A820" s="70" t="s">
        <v>3868</v>
      </c>
      <c r="B820" s="71">
        <v>45954.50290472222</v>
      </c>
      <c r="C820" s="72" t="s">
        <v>708</v>
      </c>
      <c r="D820" s="73" t="s">
        <v>1440</v>
      </c>
      <c r="E820" s="72" t="s">
        <v>3870</v>
      </c>
      <c r="F820" s="74" t="s">
        <v>3868</v>
      </c>
      <c r="G820" s="76">
        <v>290.0</v>
      </c>
      <c r="H820" s="76">
        <v>5.0</v>
      </c>
      <c r="I820" s="76">
        <v>3.0</v>
      </c>
      <c r="J820" s="76">
        <v>0.0</v>
      </c>
      <c r="K820" s="77"/>
      <c r="L820" s="77"/>
      <c r="M820" s="77"/>
      <c r="N820" s="76">
        <v>7.0</v>
      </c>
      <c r="O820" s="77"/>
      <c r="P820" s="77"/>
      <c r="Q820" s="77"/>
      <c r="R820" s="77"/>
      <c r="S820" s="77"/>
      <c r="T820" s="77"/>
      <c r="U820" s="77"/>
      <c r="V820" s="78" t="s">
        <v>4106</v>
      </c>
      <c r="W820" s="72" t="s">
        <v>197</v>
      </c>
      <c r="X820" s="77"/>
      <c r="Y820" s="77"/>
      <c r="Z820" s="72" t="s">
        <v>1445</v>
      </c>
      <c r="AA820" s="76">
        <v>2.0</v>
      </c>
      <c r="AB820" s="77"/>
      <c r="AC820" s="79"/>
      <c r="AD820" s="54"/>
      <c r="AE820" s="54"/>
      <c r="AF820" s="54"/>
      <c r="AG820" s="54"/>
      <c r="AH820" s="54"/>
      <c r="AI820" s="44"/>
      <c r="AJ820" s="44"/>
      <c r="AK820" s="44"/>
      <c r="AL820" s="44"/>
      <c r="AM820" s="44"/>
      <c r="AN820" s="44"/>
      <c r="AO820" s="44"/>
      <c r="AP820" s="44"/>
      <c r="AQ820" s="44"/>
      <c r="AR820" s="44"/>
      <c r="AS820" s="44"/>
      <c r="AT820" s="41"/>
      <c r="AU820" s="41"/>
      <c r="AV820" s="45"/>
      <c r="AW820" s="44"/>
      <c r="AX820" s="45"/>
    </row>
    <row r="821">
      <c r="A821" s="60" t="s">
        <v>3524</v>
      </c>
      <c r="B821" s="61">
        <v>45954.608701087964</v>
      </c>
      <c r="C821" s="68" t="s">
        <v>3525</v>
      </c>
      <c r="D821" s="63" t="s">
        <v>3648</v>
      </c>
      <c r="E821" s="68" t="s">
        <v>4107</v>
      </c>
      <c r="F821" s="64" t="s">
        <v>3524</v>
      </c>
      <c r="G821" s="62">
        <v>1100.0</v>
      </c>
      <c r="H821" s="62">
        <v>10.0</v>
      </c>
      <c r="I821" s="62">
        <v>10.0</v>
      </c>
      <c r="J821" s="68" t="s">
        <v>3748</v>
      </c>
      <c r="K821" s="66"/>
      <c r="L821" s="66"/>
      <c r="M821" s="66"/>
      <c r="N821" s="62">
        <v>6.0</v>
      </c>
      <c r="O821" s="66"/>
      <c r="P821" s="66"/>
      <c r="Q821" s="66"/>
      <c r="R821" s="66"/>
      <c r="S821" s="66"/>
      <c r="T821" s="66"/>
      <c r="U821" s="66"/>
      <c r="V821" s="67" t="s">
        <v>4108</v>
      </c>
      <c r="W821" s="66"/>
      <c r="X821" s="66"/>
      <c r="Y821" s="66"/>
      <c r="Z821" s="68" t="s">
        <v>3530</v>
      </c>
      <c r="AA821" s="62">
        <v>6.0</v>
      </c>
      <c r="AB821" s="66"/>
      <c r="AC821" s="69"/>
      <c r="AD821" s="37"/>
      <c r="AE821" s="37"/>
      <c r="AF821" s="37"/>
      <c r="AG821" s="37"/>
      <c r="AH821" s="37"/>
      <c r="AI821" s="31"/>
      <c r="AJ821" s="31"/>
      <c r="AK821" s="31"/>
      <c r="AL821" s="31"/>
      <c r="AM821" s="31"/>
      <c r="AN821" s="31"/>
      <c r="AO821" s="31"/>
      <c r="AP821" s="31"/>
      <c r="AQ821" s="31"/>
      <c r="AR821" s="31"/>
      <c r="AS821" s="31"/>
      <c r="AT821" s="36"/>
      <c r="AU821" s="36"/>
      <c r="AV821" s="34"/>
      <c r="AW821" s="31"/>
      <c r="AX821" s="34"/>
    </row>
    <row r="822">
      <c r="A822" s="70" t="s">
        <v>4109</v>
      </c>
      <c r="B822" s="71">
        <v>45955.17411849537</v>
      </c>
      <c r="C822" s="72" t="s">
        <v>4110</v>
      </c>
      <c r="D822" s="73" t="s">
        <v>4111</v>
      </c>
      <c r="E822" s="72" t="s">
        <v>4112</v>
      </c>
      <c r="F822" s="74" t="s">
        <v>4109</v>
      </c>
      <c r="G822" s="76">
        <v>300.0</v>
      </c>
      <c r="H822" s="76">
        <v>8.0</v>
      </c>
      <c r="I822" s="76">
        <v>10.0</v>
      </c>
      <c r="J822" s="76">
        <v>1.0</v>
      </c>
      <c r="K822" s="77"/>
      <c r="L822" s="77"/>
      <c r="M822" s="77"/>
      <c r="N822" s="76">
        <v>7.0</v>
      </c>
      <c r="O822" s="77"/>
      <c r="P822" s="77"/>
      <c r="Q822" s="77"/>
      <c r="R822" s="77"/>
      <c r="S822" s="77"/>
      <c r="T822" s="77"/>
      <c r="U822" s="77"/>
      <c r="V822" s="78" t="s">
        <v>4113</v>
      </c>
      <c r="W822" s="76" t="s">
        <v>1450</v>
      </c>
      <c r="X822" s="77"/>
      <c r="Y822" s="77"/>
      <c r="Z822" s="72" t="s">
        <v>4114</v>
      </c>
      <c r="AA822" s="76">
        <v>1.0</v>
      </c>
      <c r="AB822" s="77"/>
      <c r="AC822" s="79"/>
      <c r="AD822" s="54"/>
      <c r="AE822" s="54"/>
      <c r="AF822" s="54"/>
      <c r="AG822" s="54"/>
      <c r="AH822" s="54"/>
      <c r="AI822" s="44"/>
      <c r="AJ822" s="44"/>
      <c r="AK822" s="44"/>
      <c r="AL822" s="44"/>
      <c r="AM822" s="44"/>
      <c r="AN822" s="44"/>
      <c r="AO822" s="44"/>
      <c r="AP822" s="44"/>
      <c r="AQ822" s="44"/>
      <c r="AR822" s="44"/>
      <c r="AS822" s="44"/>
      <c r="AT822" s="41"/>
      <c r="AU822" s="41"/>
      <c r="AV822" s="45"/>
      <c r="AW822" s="44"/>
      <c r="AX822" s="45"/>
    </row>
    <row r="823">
      <c r="A823" s="68" t="s">
        <v>4115</v>
      </c>
      <c r="B823" s="61">
        <v>45955.368388194445</v>
      </c>
      <c r="C823" s="68" t="s">
        <v>3996</v>
      </c>
      <c r="D823" s="63" t="s">
        <v>3997</v>
      </c>
      <c r="E823" s="68" t="s">
        <v>4116</v>
      </c>
      <c r="F823" s="176" t="s">
        <v>4115</v>
      </c>
      <c r="G823" s="62">
        <v>200.0</v>
      </c>
      <c r="H823" s="62">
        <v>10.0</v>
      </c>
      <c r="I823" s="62">
        <v>10.0</v>
      </c>
      <c r="J823" s="62">
        <v>0.0</v>
      </c>
      <c r="K823" s="66"/>
      <c r="L823" s="66"/>
      <c r="M823" s="66"/>
      <c r="N823" s="62">
        <v>10.0</v>
      </c>
      <c r="O823" s="66"/>
      <c r="P823" s="66"/>
      <c r="Q823" s="66"/>
      <c r="R823" s="66"/>
      <c r="S823" s="66"/>
      <c r="T823" s="66"/>
      <c r="U823" s="66"/>
      <c r="V823" s="66"/>
      <c r="W823" s="68" t="s">
        <v>197</v>
      </c>
      <c r="X823" s="66"/>
      <c r="Y823" s="66"/>
      <c r="Z823" s="68" t="s">
        <v>4000</v>
      </c>
      <c r="AA823" s="68" t="s">
        <v>4</v>
      </c>
      <c r="AB823" s="66"/>
      <c r="AC823" s="69"/>
      <c r="AD823" s="37"/>
      <c r="AE823" s="37"/>
      <c r="AF823" s="37"/>
      <c r="AG823" s="37"/>
      <c r="AH823" s="37"/>
      <c r="AI823" s="31"/>
      <c r="AJ823" s="31"/>
      <c r="AK823" s="31"/>
      <c r="AL823" s="31"/>
      <c r="AM823" s="31"/>
      <c r="AN823" s="31"/>
      <c r="AO823" s="31"/>
      <c r="AP823" s="31"/>
      <c r="AQ823" s="31"/>
      <c r="AR823" s="31"/>
      <c r="AS823" s="31"/>
      <c r="AT823" s="36"/>
      <c r="AU823" s="36"/>
      <c r="AV823" s="34"/>
      <c r="AW823" s="31"/>
      <c r="AX823" s="34"/>
    </row>
    <row r="824">
      <c r="A824" s="70" t="s">
        <v>4002</v>
      </c>
      <c r="B824" s="71">
        <v>45955.372319490736</v>
      </c>
      <c r="C824" s="72" t="s">
        <v>3996</v>
      </c>
      <c r="D824" s="73" t="s">
        <v>3997</v>
      </c>
      <c r="E824" s="72" t="s">
        <v>4117</v>
      </c>
      <c r="F824" s="74" t="s">
        <v>4002</v>
      </c>
      <c r="G824" s="76">
        <v>200.0</v>
      </c>
      <c r="H824" s="76">
        <v>10.0</v>
      </c>
      <c r="I824" s="76">
        <v>10.0</v>
      </c>
      <c r="J824" s="76">
        <v>0.0</v>
      </c>
      <c r="K824" s="77"/>
      <c r="L824" s="77"/>
      <c r="M824" s="77"/>
      <c r="N824" s="76">
        <v>10.0</v>
      </c>
      <c r="O824" s="77"/>
      <c r="P824" s="77"/>
      <c r="Q824" s="77"/>
      <c r="R824" s="77"/>
      <c r="S824" s="77"/>
      <c r="T824" s="77"/>
      <c r="U824" s="77"/>
      <c r="V824" s="78" t="s">
        <v>4118</v>
      </c>
      <c r="W824" s="72" t="s">
        <v>197</v>
      </c>
      <c r="X824" s="77"/>
      <c r="Y824" s="77"/>
      <c r="Z824" s="72" t="s">
        <v>4000</v>
      </c>
      <c r="AA824" s="76">
        <v>2.0</v>
      </c>
      <c r="AB824" s="77"/>
      <c r="AC824" s="79"/>
      <c r="AD824" s="54"/>
      <c r="AE824" s="54"/>
      <c r="AF824" s="54"/>
      <c r="AG824" s="54"/>
      <c r="AH824" s="54"/>
      <c r="AI824" s="44"/>
      <c r="AJ824" s="44"/>
      <c r="AK824" s="44"/>
      <c r="AL824" s="44"/>
      <c r="AM824" s="44"/>
      <c r="AN824" s="44"/>
      <c r="AO824" s="44"/>
      <c r="AP824" s="44"/>
      <c r="AQ824" s="44"/>
      <c r="AR824" s="44"/>
      <c r="AS824" s="44"/>
      <c r="AT824" s="41"/>
      <c r="AU824" s="41"/>
      <c r="AV824" s="45"/>
      <c r="AW824" s="44"/>
      <c r="AX824" s="45"/>
    </row>
    <row r="825">
      <c r="A825" s="60" t="s">
        <v>4119</v>
      </c>
      <c r="B825" s="61">
        <v>45955.48043815972</v>
      </c>
      <c r="C825" s="68" t="s">
        <v>4120</v>
      </c>
      <c r="D825" s="68" t="s">
        <v>4121</v>
      </c>
      <c r="E825" s="68" t="s">
        <v>4122</v>
      </c>
      <c r="F825" s="64" t="s">
        <v>4119</v>
      </c>
      <c r="G825" s="62">
        <v>274.0</v>
      </c>
      <c r="H825" s="62">
        <v>9.0</v>
      </c>
      <c r="I825" s="62">
        <v>8.0</v>
      </c>
      <c r="J825" s="62">
        <v>1.0</v>
      </c>
      <c r="K825" s="66"/>
      <c r="L825" s="66"/>
      <c r="M825" s="66"/>
      <c r="N825" s="62">
        <v>9.0</v>
      </c>
      <c r="O825" s="66"/>
      <c r="P825" s="66"/>
      <c r="Q825" s="66"/>
      <c r="R825" s="66"/>
      <c r="S825" s="66"/>
      <c r="T825" s="66"/>
      <c r="U825" s="66"/>
      <c r="V825" s="67" t="s">
        <v>4123</v>
      </c>
      <c r="W825" s="66"/>
      <c r="X825" s="66"/>
      <c r="Y825" s="66"/>
      <c r="Z825" s="68" t="s">
        <v>1077</v>
      </c>
      <c r="AA825" s="62">
        <v>3.0</v>
      </c>
      <c r="AB825" s="66"/>
      <c r="AC825" s="69"/>
      <c r="AD825" s="37"/>
      <c r="AE825" s="37"/>
      <c r="AF825" s="37"/>
      <c r="AG825" s="37"/>
      <c r="AH825" s="37"/>
      <c r="AI825" s="31"/>
      <c r="AJ825" s="31"/>
      <c r="AK825" s="31"/>
      <c r="AL825" s="31"/>
      <c r="AM825" s="31"/>
      <c r="AN825" s="31"/>
      <c r="AO825" s="31"/>
      <c r="AP825" s="31"/>
      <c r="AQ825" s="31"/>
      <c r="AR825" s="31"/>
      <c r="AS825" s="31"/>
      <c r="AT825" s="36"/>
      <c r="AU825" s="36"/>
      <c r="AV825" s="34"/>
      <c r="AW825" s="31"/>
      <c r="AX825" s="34"/>
    </row>
    <row r="826">
      <c r="A826" s="70" t="s">
        <v>4124</v>
      </c>
      <c r="B826" s="71">
        <v>45955.48534400463</v>
      </c>
      <c r="C826" s="72" t="s">
        <v>4125</v>
      </c>
      <c r="D826" s="72" t="s">
        <v>4126</v>
      </c>
      <c r="E826" s="72" t="s">
        <v>598</v>
      </c>
      <c r="F826" s="74" t="s">
        <v>4124</v>
      </c>
      <c r="G826" s="76">
        <v>112.0</v>
      </c>
      <c r="H826" s="76">
        <v>9.0</v>
      </c>
      <c r="I826" s="76">
        <v>9.0</v>
      </c>
      <c r="J826" s="76">
        <v>0.0</v>
      </c>
      <c r="K826" s="77"/>
      <c r="L826" s="77"/>
      <c r="M826" s="77"/>
      <c r="N826" s="76">
        <v>8.0</v>
      </c>
      <c r="O826" s="77"/>
      <c r="P826" s="77"/>
      <c r="Q826" s="77"/>
      <c r="R826" s="77"/>
      <c r="S826" s="77"/>
      <c r="T826" s="77"/>
      <c r="U826" s="77"/>
      <c r="V826" s="78" t="s">
        <v>4127</v>
      </c>
      <c r="W826" s="77"/>
      <c r="X826" s="77"/>
      <c r="Y826" s="77"/>
      <c r="Z826" s="72" t="s">
        <v>1077</v>
      </c>
      <c r="AA826" s="76">
        <v>3.0</v>
      </c>
      <c r="AB826" s="77"/>
      <c r="AC826" s="79"/>
      <c r="AD826" s="54"/>
      <c r="AE826" s="54"/>
      <c r="AF826" s="54"/>
      <c r="AG826" s="54"/>
      <c r="AH826" s="54"/>
      <c r="AI826" s="44"/>
      <c r="AJ826" s="44"/>
      <c r="AK826" s="44"/>
      <c r="AL826" s="44"/>
      <c r="AM826" s="44"/>
      <c r="AN826" s="44"/>
      <c r="AO826" s="44"/>
      <c r="AP826" s="44"/>
      <c r="AQ826" s="44"/>
      <c r="AR826" s="44"/>
      <c r="AS826" s="44"/>
      <c r="AT826" s="41"/>
      <c r="AU826" s="41"/>
      <c r="AV826" s="45"/>
      <c r="AW826" s="44"/>
      <c r="AX826" s="45"/>
    </row>
    <row r="827">
      <c r="A827" s="60" t="s">
        <v>4128</v>
      </c>
      <c r="B827" s="61">
        <v>45956.36602961806</v>
      </c>
      <c r="C827" s="68" t="s">
        <v>4129</v>
      </c>
      <c r="D827" s="63" t="s">
        <v>4130</v>
      </c>
      <c r="E827" s="68" t="s">
        <v>4131</v>
      </c>
      <c r="F827" s="64" t="s">
        <v>4128</v>
      </c>
      <c r="G827" s="62">
        <v>350.0</v>
      </c>
      <c r="H827" s="62">
        <v>8.0</v>
      </c>
      <c r="I827" s="62">
        <v>7.0</v>
      </c>
      <c r="J827" s="62">
        <v>1.0</v>
      </c>
      <c r="K827" s="66"/>
      <c r="L827" s="66"/>
      <c r="M827" s="66"/>
      <c r="N827" s="62">
        <v>8.0</v>
      </c>
      <c r="O827" s="66"/>
      <c r="P827" s="66"/>
      <c r="Q827" s="66"/>
      <c r="R827" s="66"/>
      <c r="S827" s="66"/>
      <c r="T827" s="66"/>
      <c r="U827" s="66"/>
      <c r="V827" s="67" t="s">
        <v>4132</v>
      </c>
      <c r="W827" s="66"/>
      <c r="X827" s="66"/>
      <c r="Y827" s="66"/>
      <c r="Z827" s="68" t="s">
        <v>4133</v>
      </c>
      <c r="AA827" s="62">
        <v>2.0</v>
      </c>
      <c r="AB827" s="66"/>
      <c r="AC827" s="69"/>
      <c r="AD827" s="37"/>
      <c r="AE827" s="37"/>
      <c r="AF827" s="37"/>
      <c r="AG827" s="37"/>
      <c r="AH827" s="37"/>
      <c r="AI827" s="31"/>
      <c r="AJ827" s="31"/>
      <c r="AK827" s="31"/>
      <c r="AL827" s="31"/>
      <c r="AM827" s="31"/>
      <c r="AN827" s="31"/>
      <c r="AO827" s="31"/>
      <c r="AP827" s="31"/>
      <c r="AQ827" s="31"/>
      <c r="AR827" s="31"/>
      <c r="AS827" s="31"/>
      <c r="AT827" s="36"/>
      <c r="AU827" s="36"/>
      <c r="AV827" s="34"/>
      <c r="AW827" s="31"/>
      <c r="AX827" s="34"/>
    </row>
    <row r="828">
      <c r="A828" s="70" t="s">
        <v>4134</v>
      </c>
      <c r="B828" s="71">
        <v>45958.36820789352</v>
      </c>
      <c r="C828" s="72" t="s">
        <v>4135</v>
      </c>
      <c r="D828" s="72" t="s">
        <v>4136</v>
      </c>
      <c r="E828" s="72" t="s">
        <v>4137</v>
      </c>
      <c r="F828" s="74" t="s">
        <v>4134</v>
      </c>
      <c r="G828" s="76">
        <v>234.0</v>
      </c>
      <c r="H828" s="76">
        <v>9.0</v>
      </c>
      <c r="I828" s="76">
        <v>8.0</v>
      </c>
      <c r="J828" s="76">
        <v>1.0</v>
      </c>
      <c r="K828" s="77"/>
      <c r="L828" s="77"/>
      <c r="M828" s="77"/>
      <c r="N828" s="76">
        <v>9.0</v>
      </c>
      <c r="O828" s="77"/>
      <c r="P828" s="77"/>
      <c r="Q828" s="77"/>
      <c r="R828" s="77"/>
      <c r="S828" s="77"/>
      <c r="T828" s="77"/>
      <c r="U828" s="77"/>
      <c r="V828" s="78" t="s">
        <v>4138</v>
      </c>
      <c r="W828" s="77"/>
      <c r="X828" s="77"/>
      <c r="Y828" s="77"/>
      <c r="Z828" s="72" t="s">
        <v>1077</v>
      </c>
      <c r="AA828" s="76">
        <v>2.0</v>
      </c>
      <c r="AB828" s="77"/>
      <c r="AC828" s="79"/>
      <c r="AD828" s="54"/>
      <c r="AE828" s="54"/>
      <c r="AF828" s="54"/>
      <c r="AG828" s="54"/>
      <c r="AH828" s="54"/>
      <c r="AI828" s="44"/>
      <c r="AJ828" s="44"/>
      <c r="AK828" s="44"/>
      <c r="AL828" s="44"/>
      <c r="AM828" s="44"/>
      <c r="AN828" s="44"/>
      <c r="AO828" s="44"/>
      <c r="AP828" s="44"/>
      <c r="AQ828" s="44"/>
      <c r="AR828" s="44"/>
      <c r="AS828" s="44"/>
      <c r="AT828" s="41"/>
      <c r="AU828" s="41"/>
      <c r="AV828" s="45"/>
      <c r="AW828" s="44"/>
      <c r="AX828" s="45"/>
    </row>
    <row r="829">
      <c r="A829" s="60" t="s">
        <v>3967</v>
      </c>
      <c r="B829" s="61">
        <v>45961.19732173611</v>
      </c>
      <c r="C829" s="68" t="s">
        <v>3968</v>
      </c>
      <c r="D829" s="63" t="s">
        <v>3969</v>
      </c>
      <c r="E829" s="62" t="s">
        <v>4139</v>
      </c>
      <c r="F829" s="64" t="s">
        <v>3967</v>
      </c>
      <c r="G829" s="62">
        <v>145.0</v>
      </c>
      <c r="H829" s="62">
        <v>9.0</v>
      </c>
      <c r="I829" s="62">
        <v>9.0</v>
      </c>
      <c r="J829" s="62">
        <v>0.0</v>
      </c>
      <c r="K829" s="66"/>
      <c r="L829" s="66"/>
      <c r="M829" s="66"/>
      <c r="N829" s="62">
        <v>9.0</v>
      </c>
      <c r="O829" s="66"/>
      <c r="P829" s="66"/>
      <c r="Q829" s="66"/>
      <c r="R829" s="66"/>
      <c r="S829" s="66"/>
      <c r="T829" s="66"/>
      <c r="U829" s="66"/>
      <c r="V829" s="67" t="s">
        <v>4140</v>
      </c>
      <c r="W829" s="68" t="s">
        <v>4041</v>
      </c>
      <c r="X829" s="66"/>
      <c r="Y829" s="66"/>
      <c r="Z829" s="68" t="s">
        <v>3972</v>
      </c>
      <c r="AA829" s="62">
        <v>3.0</v>
      </c>
      <c r="AB829" s="66"/>
      <c r="AC829" s="69"/>
      <c r="AD829" s="37"/>
      <c r="AE829" s="37"/>
      <c r="AF829" s="37"/>
      <c r="AG829" s="37"/>
      <c r="AH829" s="37"/>
      <c r="AI829" s="31"/>
      <c r="AJ829" s="31"/>
      <c r="AK829" s="31"/>
      <c r="AL829" s="31"/>
      <c r="AM829" s="31"/>
      <c r="AN829" s="31"/>
      <c r="AO829" s="31"/>
      <c r="AP829" s="31"/>
      <c r="AQ829" s="31"/>
      <c r="AR829" s="31"/>
      <c r="AS829" s="31"/>
      <c r="AT829" s="36"/>
      <c r="AU829" s="36"/>
      <c r="AV829" s="34"/>
      <c r="AW829" s="31"/>
      <c r="AX829" s="34"/>
    </row>
    <row r="830">
      <c r="A830" s="70" t="s">
        <v>4035</v>
      </c>
      <c r="B830" s="71">
        <v>45961.208059282406</v>
      </c>
      <c r="C830" s="72" t="s">
        <v>4036</v>
      </c>
      <c r="D830" s="73" t="s">
        <v>3889</v>
      </c>
      <c r="E830" s="72" t="s">
        <v>4141</v>
      </c>
      <c r="F830" s="74" t="s">
        <v>4035</v>
      </c>
      <c r="G830" s="76">
        <v>400.0</v>
      </c>
      <c r="H830" s="76">
        <v>9.0</v>
      </c>
      <c r="I830" s="76">
        <v>9.0</v>
      </c>
      <c r="J830" s="72" t="s">
        <v>197</v>
      </c>
      <c r="K830" s="77"/>
      <c r="L830" s="77"/>
      <c r="M830" s="77"/>
      <c r="N830" s="76">
        <v>9.0</v>
      </c>
      <c r="O830" s="77"/>
      <c r="P830" s="77"/>
      <c r="Q830" s="77"/>
      <c r="R830" s="77"/>
      <c r="S830" s="77"/>
      <c r="T830" s="77"/>
      <c r="U830" s="77"/>
      <c r="V830" s="78" t="s">
        <v>4142</v>
      </c>
      <c r="W830" s="77"/>
      <c r="X830" s="77"/>
      <c r="Y830" s="77"/>
      <c r="Z830" s="72" t="s">
        <v>3892</v>
      </c>
      <c r="AA830" s="76">
        <v>3.0</v>
      </c>
      <c r="AB830" s="77"/>
      <c r="AC830" s="79"/>
      <c r="AD830" s="54"/>
      <c r="AE830" s="54"/>
      <c r="AF830" s="54"/>
      <c r="AG830" s="54"/>
      <c r="AH830" s="54"/>
      <c r="AI830" s="44"/>
      <c r="AJ830" s="44"/>
      <c r="AK830" s="44"/>
      <c r="AL830" s="44"/>
      <c r="AM830" s="44"/>
      <c r="AN830" s="44"/>
      <c r="AO830" s="44"/>
      <c r="AP830" s="44"/>
      <c r="AQ830" s="44"/>
      <c r="AR830" s="44"/>
      <c r="AS830" s="44"/>
      <c r="AT830" s="41"/>
      <c r="AU830" s="41"/>
      <c r="AV830" s="45"/>
      <c r="AW830" s="44"/>
      <c r="AX830" s="45"/>
    </row>
    <row r="831">
      <c r="A831" s="60" t="s">
        <v>4042</v>
      </c>
      <c r="B831" s="61">
        <v>45961.21443136574</v>
      </c>
      <c r="C831" s="68" t="s">
        <v>3921</v>
      </c>
      <c r="D831" s="63" t="s">
        <v>3922</v>
      </c>
      <c r="E831" s="68" t="s">
        <v>4143</v>
      </c>
      <c r="F831" s="64" t="s">
        <v>4042</v>
      </c>
      <c r="G831" s="62">
        <v>190.0</v>
      </c>
      <c r="H831" s="62">
        <v>10.0</v>
      </c>
      <c r="I831" s="62">
        <v>9.0</v>
      </c>
      <c r="J831" s="68" t="s">
        <v>563</v>
      </c>
      <c r="K831" s="66"/>
      <c r="L831" s="66"/>
      <c r="M831" s="66"/>
      <c r="N831" s="62">
        <v>9.0</v>
      </c>
      <c r="O831" s="66"/>
      <c r="P831" s="66"/>
      <c r="Q831" s="66"/>
      <c r="R831" s="66"/>
      <c r="S831" s="66"/>
      <c r="T831" s="66"/>
      <c r="U831" s="66"/>
      <c r="V831" s="67" t="s">
        <v>4144</v>
      </c>
      <c r="W831" s="66"/>
      <c r="X831" s="66"/>
      <c r="Y831" s="66"/>
      <c r="Z831" s="68" t="s">
        <v>3925</v>
      </c>
      <c r="AA831" s="62">
        <v>3.0</v>
      </c>
      <c r="AB831" s="66"/>
      <c r="AC831" s="69"/>
      <c r="AD831" s="37"/>
      <c r="AE831" s="37"/>
      <c r="AF831" s="37"/>
      <c r="AG831" s="37"/>
      <c r="AH831" s="37"/>
      <c r="AI831" s="31"/>
      <c r="AJ831" s="31"/>
      <c r="AK831" s="31"/>
      <c r="AL831" s="31"/>
      <c r="AM831" s="31"/>
      <c r="AN831" s="31"/>
      <c r="AO831" s="31"/>
      <c r="AP831" s="31"/>
      <c r="AQ831" s="31"/>
      <c r="AR831" s="31"/>
      <c r="AS831" s="31"/>
      <c r="AT831" s="36"/>
      <c r="AU831" s="36"/>
      <c r="AV831" s="34"/>
      <c r="AW831" s="31"/>
      <c r="AX831" s="34"/>
    </row>
    <row r="832">
      <c r="A832" s="70" t="s">
        <v>3844</v>
      </c>
      <c r="B832" s="71">
        <v>45961.22619931713</v>
      </c>
      <c r="C832" s="72" t="s">
        <v>4056</v>
      </c>
      <c r="D832" s="73" t="s">
        <v>3846</v>
      </c>
      <c r="E832" s="76" t="s">
        <v>4145</v>
      </c>
      <c r="F832" s="74" t="s">
        <v>3844</v>
      </c>
      <c r="G832" s="76">
        <v>117.0</v>
      </c>
      <c r="H832" s="76">
        <v>6.0</v>
      </c>
      <c r="I832" s="76">
        <v>5.0</v>
      </c>
      <c r="J832" s="76">
        <v>1.0</v>
      </c>
      <c r="K832" s="77"/>
      <c r="L832" s="77"/>
      <c r="M832" s="77"/>
      <c r="N832" s="76">
        <v>7.0</v>
      </c>
      <c r="O832" s="77"/>
      <c r="P832" s="77"/>
      <c r="Q832" s="77"/>
      <c r="R832" s="77"/>
      <c r="S832" s="77"/>
      <c r="T832" s="77"/>
      <c r="U832" s="77"/>
      <c r="V832" s="78" t="s">
        <v>4146</v>
      </c>
      <c r="W832" s="77"/>
      <c r="X832" s="77"/>
      <c r="Y832" s="77"/>
      <c r="Z832" s="72" t="s">
        <v>3849</v>
      </c>
      <c r="AA832" s="76">
        <v>3.0</v>
      </c>
      <c r="AB832" s="77"/>
      <c r="AC832" s="79"/>
      <c r="AD832" s="54"/>
      <c r="AE832" s="54"/>
      <c r="AF832" s="54"/>
      <c r="AG832" s="54"/>
      <c r="AH832" s="54"/>
      <c r="AI832" s="44"/>
      <c r="AJ832" s="44"/>
      <c r="AK832" s="44"/>
      <c r="AL832" s="44"/>
      <c r="AM832" s="44"/>
      <c r="AN832" s="44"/>
      <c r="AO832" s="44"/>
      <c r="AP832" s="44"/>
      <c r="AQ832" s="44"/>
      <c r="AR832" s="44"/>
      <c r="AS832" s="44"/>
      <c r="AT832" s="41"/>
      <c r="AU832" s="41"/>
      <c r="AV832" s="45"/>
      <c r="AW832" s="44"/>
      <c r="AX832" s="45"/>
    </row>
    <row r="833">
      <c r="A833" s="60" t="s">
        <v>3893</v>
      </c>
      <c r="B833" s="61">
        <v>45961.226447905094</v>
      </c>
      <c r="C833" s="68" t="s">
        <v>3894</v>
      </c>
      <c r="D833" s="63" t="s">
        <v>3895</v>
      </c>
      <c r="E833" s="68" t="s">
        <v>3896</v>
      </c>
      <c r="F833" s="64" t="s">
        <v>3893</v>
      </c>
      <c r="G833" s="62">
        <v>265.0</v>
      </c>
      <c r="H833" s="62">
        <v>9.0</v>
      </c>
      <c r="I833" s="62">
        <v>9.0</v>
      </c>
      <c r="J833" s="68" t="s">
        <v>4147</v>
      </c>
      <c r="K833" s="66"/>
      <c r="L833" s="66"/>
      <c r="M833" s="66"/>
      <c r="N833" s="62">
        <v>10.0</v>
      </c>
      <c r="O833" s="66"/>
      <c r="P833" s="66"/>
      <c r="Q833" s="66"/>
      <c r="R833" s="66"/>
      <c r="S833" s="66"/>
      <c r="T833" s="66"/>
      <c r="U833" s="66"/>
      <c r="V833" s="67" t="s">
        <v>4148</v>
      </c>
      <c r="W833" s="66"/>
      <c r="X833" s="66"/>
      <c r="Y833" s="66"/>
      <c r="Z833" s="68" t="s">
        <v>3900</v>
      </c>
      <c r="AA833" s="62">
        <v>3.0</v>
      </c>
      <c r="AB833" s="66"/>
      <c r="AC833" s="69"/>
      <c r="AD833" s="37"/>
      <c r="AE833" s="37"/>
      <c r="AF833" s="37"/>
      <c r="AG833" s="37"/>
      <c r="AH833" s="37"/>
      <c r="AI833" s="31"/>
      <c r="AJ833" s="31"/>
      <c r="AK833" s="31"/>
      <c r="AL833" s="31"/>
      <c r="AM833" s="31"/>
      <c r="AN833" s="31"/>
      <c r="AO833" s="31"/>
      <c r="AP833" s="31"/>
      <c r="AQ833" s="31"/>
      <c r="AR833" s="31"/>
      <c r="AS833" s="31"/>
      <c r="AT833" s="36"/>
      <c r="AU833" s="36"/>
      <c r="AV833" s="34"/>
      <c r="AW833" s="31"/>
      <c r="AX833" s="34"/>
    </row>
    <row r="834">
      <c r="A834" s="70" t="s">
        <v>4064</v>
      </c>
      <c r="B834" s="71">
        <v>45961.23762675926</v>
      </c>
      <c r="C834" s="72" t="s">
        <v>3864</v>
      </c>
      <c r="D834" s="73" t="s">
        <v>4065</v>
      </c>
      <c r="E834" s="72" t="s">
        <v>4149</v>
      </c>
      <c r="F834" s="74" t="s">
        <v>4064</v>
      </c>
      <c r="G834" s="76">
        <v>400.0</v>
      </c>
      <c r="H834" s="76">
        <v>8.0</v>
      </c>
      <c r="I834" s="76">
        <v>8.0</v>
      </c>
      <c r="J834" s="76">
        <v>30.0</v>
      </c>
      <c r="K834" s="77"/>
      <c r="L834" s="77"/>
      <c r="M834" s="77"/>
      <c r="N834" s="76">
        <v>9.0</v>
      </c>
      <c r="O834" s="77"/>
      <c r="P834" s="77"/>
      <c r="Q834" s="77"/>
      <c r="R834" s="77"/>
      <c r="S834" s="77"/>
      <c r="T834" s="77"/>
      <c r="U834" s="77"/>
      <c r="V834" s="78" t="s">
        <v>4150</v>
      </c>
      <c r="W834" s="72" t="s">
        <v>197</v>
      </c>
      <c r="X834" s="77"/>
      <c r="Y834" s="77"/>
      <c r="Z834" s="72" t="s">
        <v>3867</v>
      </c>
      <c r="AA834" s="76">
        <v>3.0</v>
      </c>
      <c r="AB834" s="77"/>
      <c r="AC834" s="79"/>
      <c r="AD834" s="54"/>
      <c r="AE834" s="54"/>
      <c r="AF834" s="54"/>
      <c r="AG834" s="54"/>
      <c r="AH834" s="54"/>
      <c r="AI834" s="44"/>
      <c r="AJ834" s="44"/>
      <c r="AK834" s="44"/>
      <c r="AL834" s="44"/>
      <c r="AM834" s="44"/>
      <c r="AN834" s="44"/>
      <c r="AO834" s="44"/>
      <c r="AP834" s="44"/>
      <c r="AQ834" s="44"/>
      <c r="AR834" s="44"/>
      <c r="AS834" s="44"/>
      <c r="AT834" s="41"/>
      <c r="AU834" s="41"/>
      <c r="AV834" s="45"/>
      <c r="AW834" s="44"/>
      <c r="AX834" s="45"/>
    </row>
    <row r="835">
      <c r="A835" s="60" t="s">
        <v>3909</v>
      </c>
      <c r="B835" s="61">
        <v>45961.23956799768</v>
      </c>
      <c r="C835" s="62" t="s">
        <v>3910</v>
      </c>
      <c r="D835" s="63" t="s">
        <v>3911</v>
      </c>
      <c r="E835" s="62" t="s">
        <v>4087</v>
      </c>
      <c r="F835" s="64" t="s">
        <v>3909</v>
      </c>
      <c r="G835" s="62">
        <v>346.0</v>
      </c>
      <c r="H835" s="62">
        <v>8.0</v>
      </c>
      <c r="I835" s="62">
        <v>10.0</v>
      </c>
      <c r="J835" s="62">
        <v>0.0</v>
      </c>
      <c r="K835" s="66"/>
      <c r="L835" s="66"/>
      <c r="M835" s="66"/>
      <c r="N835" s="62">
        <v>9.0</v>
      </c>
      <c r="O835" s="66"/>
      <c r="P835" s="66"/>
      <c r="Q835" s="66"/>
      <c r="R835" s="66"/>
      <c r="S835" s="66"/>
      <c r="T835" s="66"/>
      <c r="U835" s="66"/>
      <c r="V835" s="67" t="s">
        <v>4151</v>
      </c>
      <c r="W835" s="66"/>
      <c r="X835" s="66"/>
      <c r="Y835" s="66"/>
      <c r="Z835" s="68" t="s">
        <v>4089</v>
      </c>
      <c r="AA835" s="62">
        <v>3.0</v>
      </c>
      <c r="AB835" s="66"/>
      <c r="AC835" s="69"/>
      <c r="AD835" s="37"/>
      <c r="AE835" s="37"/>
      <c r="AF835" s="37"/>
      <c r="AG835" s="37"/>
      <c r="AH835" s="37"/>
      <c r="AI835" s="31"/>
      <c r="AJ835" s="31"/>
      <c r="AK835" s="31"/>
      <c r="AL835" s="31"/>
      <c r="AM835" s="31"/>
      <c r="AN835" s="31"/>
      <c r="AO835" s="31"/>
      <c r="AP835" s="31"/>
      <c r="AQ835" s="31"/>
      <c r="AR835" s="31"/>
      <c r="AS835" s="31"/>
      <c r="AT835" s="36"/>
      <c r="AU835" s="36"/>
      <c r="AV835" s="34"/>
      <c r="AW835" s="31"/>
      <c r="AX835" s="34"/>
    </row>
    <row r="836">
      <c r="A836" s="70" t="s">
        <v>3926</v>
      </c>
      <c r="B836" s="71">
        <v>45961.24190466435</v>
      </c>
      <c r="C836" s="72" t="s">
        <v>3927</v>
      </c>
      <c r="D836" s="73" t="s">
        <v>3928</v>
      </c>
      <c r="E836" s="72" t="s">
        <v>3988</v>
      </c>
      <c r="F836" s="74" t="s">
        <v>3926</v>
      </c>
      <c r="G836" s="76">
        <v>600.0</v>
      </c>
      <c r="H836" s="76">
        <v>9.0</v>
      </c>
      <c r="I836" s="76">
        <v>9.0</v>
      </c>
      <c r="J836" s="72" t="s">
        <v>197</v>
      </c>
      <c r="K836" s="77"/>
      <c r="L836" s="77"/>
      <c r="M836" s="77"/>
      <c r="N836" s="76">
        <v>9.0</v>
      </c>
      <c r="O836" s="77"/>
      <c r="P836" s="77"/>
      <c r="Q836" s="77"/>
      <c r="R836" s="77"/>
      <c r="S836" s="77"/>
      <c r="T836" s="77"/>
      <c r="U836" s="77"/>
      <c r="V836" s="78" t="s">
        <v>4152</v>
      </c>
      <c r="W836" s="72" t="s">
        <v>197</v>
      </c>
      <c r="X836" s="77"/>
      <c r="Y836" s="77"/>
      <c r="Z836" s="72" t="s">
        <v>3931</v>
      </c>
      <c r="AA836" s="76">
        <v>3.0</v>
      </c>
      <c r="AB836" s="77"/>
      <c r="AC836" s="79"/>
      <c r="AD836" s="54"/>
      <c r="AE836" s="54"/>
      <c r="AF836" s="54"/>
      <c r="AG836" s="54"/>
      <c r="AH836" s="54"/>
      <c r="AI836" s="44"/>
      <c r="AJ836" s="44"/>
      <c r="AK836" s="44"/>
      <c r="AL836" s="44"/>
      <c r="AM836" s="44"/>
      <c r="AN836" s="44"/>
      <c r="AO836" s="44"/>
      <c r="AP836" s="44"/>
      <c r="AQ836" s="44"/>
      <c r="AR836" s="44"/>
      <c r="AS836" s="44"/>
      <c r="AT836" s="41"/>
      <c r="AU836" s="41"/>
      <c r="AV836" s="45"/>
      <c r="AW836" s="44"/>
      <c r="AX836" s="45"/>
    </row>
    <row r="837">
      <c r="A837" s="60" t="s">
        <v>3961</v>
      </c>
      <c r="B837" s="61">
        <v>45961.24325922454</v>
      </c>
      <c r="C837" s="68" t="s">
        <v>4153</v>
      </c>
      <c r="D837" s="63" t="s">
        <v>4154</v>
      </c>
      <c r="E837" s="68" t="s">
        <v>4155</v>
      </c>
      <c r="F837" s="64" t="s">
        <v>3961</v>
      </c>
      <c r="G837" s="62">
        <v>600.0</v>
      </c>
      <c r="H837" s="62">
        <v>9.0</v>
      </c>
      <c r="I837" s="62">
        <v>7.0</v>
      </c>
      <c r="J837" s="62">
        <v>2.0</v>
      </c>
      <c r="K837" s="66"/>
      <c r="L837" s="66"/>
      <c r="M837" s="66"/>
      <c r="N837" s="62">
        <v>10.0</v>
      </c>
      <c r="O837" s="66"/>
      <c r="P837" s="66"/>
      <c r="Q837" s="66"/>
      <c r="R837" s="66"/>
      <c r="S837" s="66"/>
      <c r="T837" s="66"/>
      <c r="U837" s="66"/>
      <c r="V837" s="67" t="s">
        <v>4156</v>
      </c>
      <c r="W837" s="66"/>
      <c r="X837" s="66"/>
      <c r="Y837" s="66"/>
      <c r="Z837" s="68" t="s">
        <v>4157</v>
      </c>
      <c r="AA837" s="62">
        <v>3.0</v>
      </c>
      <c r="AB837" s="66"/>
      <c r="AC837" s="69"/>
      <c r="AD837" s="37"/>
      <c r="AE837" s="37"/>
      <c r="AF837" s="37"/>
      <c r="AG837" s="37"/>
      <c r="AH837" s="37"/>
      <c r="AI837" s="31"/>
      <c r="AJ837" s="31"/>
      <c r="AK837" s="31"/>
      <c r="AL837" s="31"/>
      <c r="AM837" s="31"/>
      <c r="AN837" s="31"/>
      <c r="AO837" s="31"/>
      <c r="AP837" s="31"/>
      <c r="AQ837" s="31"/>
      <c r="AR837" s="31"/>
      <c r="AS837" s="31"/>
      <c r="AT837" s="36"/>
      <c r="AU837" s="36"/>
      <c r="AV837" s="34"/>
      <c r="AW837" s="31"/>
      <c r="AX837" s="34"/>
    </row>
    <row r="838">
      <c r="A838" s="70" t="s">
        <v>3926</v>
      </c>
      <c r="B838" s="71">
        <v>45961.24332902778</v>
      </c>
      <c r="C838" s="72" t="s">
        <v>3927</v>
      </c>
      <c r="D838" s="73" t="s">
        <v>3928</v>
      </c>
      <c r="E838" s="72" t="s">
        <v>3988</v>
      </c>
      <c r="F838" s="74" t="s">
        <v>3926</v>
      </c>
      <c r="G838" s="76">
        <v>600.0</v>
      </c>
      <c r="H838" s="76">
        <v>9.0</v>
      </c>
      <c r="I838" s="76">
        <v>9.0</v>
      </c>
      <c r="J838" s="72" t="s">
        <v>4158</v>
      </c>
      <c r="K838" s="77"/>
      <c r="L838" s="77"/>
      <c r="M838" s="77"/>
      <c r="N838" s="76">
        <v>9.0</v>
      </c>
      <c r="O838" s="77"/>
      <c r="P838" s="77"/>
      <c r="Q838" s="77"/>
      <c r="R838" s="77"/>
      <c r="S838" s="77"/>
      <c r="T838" s="77"/>
      <c r="U838" s="77"/>
      <c r="V838" s="78" t="s">
        <v>4159</v>
      </c>
      <c r="W838" s="72" t="s">
        <v>197</v>
      </c>
      <c r="X838" s="77"/>
      <c r="Y838" s="77"/>
      <c r="Z838" s="72" t="s">
        <v>3931</v>
      </c>
      <c r="AA838" s="76">
        <v>3.0</v>
      </c>
      <c r="AB838" s="77"/>
      <c r="AC838" s="79"/>
      <c r="AD838" s="54"/>
      <c r="AE838" s="54"/>
      <c r="AF838" s="54"/>
      <c r="AG838" s="54"/>
      <c r="AH838" s="54"/>
      <c r="AI838" s="44"/>
      <c r="AJ838" s="44"/>
      <c r="AK838" s="44"/>
      <c r="AL838" s="44"/>
      <c r="AM838" s="44"/>
      <c r="AN838" s="44"/>
      <c r="AO838" s="44"/>
      <c r="AP838" s="44"/>
      <c r="AQ838" s="44"/>
      <c r="AR838" s="44"/>
      <c r="AS838" s="44"/>
      <c r="AT838" s="41"/>
      <c r="AU838" s="41"/>
      <c r="AV838" s="45"/>
      <c r="AW838" s="44"/>
      <c r="AX838" s="45"/>
    </row>
    <row r="839">
      <c r="A839" s="60" t="s">
        <v>4005</v>
      </c>
      <c r="B839" s="61">
        <v>45961.24485971065</v>
      </c>
      <c r="C839" s="68" t="s">
        <v>4006</v>
      </c>
      <c r="D839" s="68" t="s">
        <v>4007</v>
      </c>
      <c r="E839" s="68" t="s">
        <v>4160</v>
      </c>
      <c r="F839" s="64" t="s">
        <v>4005</v>
      </c>
      <c r="G839" s="62">
        <v>126.0</v>
      </c>
      <c r="H839" s="62">
        <v>6.0</v>
      </c>
      <c r="I839" s="62">
        <v>7.0</v>
      </c>
      <c r="J839" s="62">
        <v>1.0</v>
      </c>
      <c r="K839" s="66"/>
      <c r="L839" s="66"/>
      <c r="M839" s="66"/>
      <c r="N839" s="62">
        <v>8.0</v>
      </c>
      <c r="O839" s="66"/>
      <c r="P839" s="66"/>
      <c r="Q839" s="66"/>
      <c r="R839" s="66"/>
      <c r="S839" s="66"/>
      <c r="T839" s="66"/>
      <c r="U839" s="66"/>
      <c r="V839" s="67" t="s">
        <v>4161</v>
      </c>
      <c r="W839" s="68" t="s">
        <v>4162</v>
      </c>
      <c r="X839" s="66"/>
      <c r="Y839" s="66"/>
      <c r="Z839" s="68" t="s">
        <v>4010</v>
      </c>
      <c r="AA839" s="62">
        <v>3.0</v>
      </c>
      <c r="AB839" s="66"/>
      <c r="AC839" s="69"/>
      <c r="AD839" s="37"/>
      <c r="AE839" s="37"/>
      <c r="AF839" s="37"/>
      <c r="AG839" s="37"/>
      <c r="AH839" s="37"/>
      <c r="AI839" s="31"/>
      <c r="AJ839" s="31"/>
      <c r="AK839" s="31"/>
      <c r="AL839" s="31"/>
      <c r="AM839" s="31"/>
      <c r="AN839" s="31"/>
      <c r="AO839" s="31"/>
      <c r="AP839" s="31"/>
      <c r="AQ839" s="31"/>
      <c r="AR839" s="31"/>
      <c r="AS839" s="31"/>
      <c r="AT839" s="36"/>
      <c r="AU839" s="36"/>
      <c r="AV839" s="34"/>
      <c r="AW839" s="31"/>
      <c r="AX839" s="34"/>
    </row>
    <row r="840">
      <c r="A840" s="70" t="s">
        <v>3868</v>
      </c>
      <c r="B840" s="71">
        <v>45961.25271428241</v>
      </c>
      <c r="C840" s="72" t="s">
        <v>1439</v>
      </c>
      <c r="D840" s="73" t="s">
        <v>1440</v>
      </c>
      <c r="E840" s="72" t="s">
        <v>4163</v>
      </c>
      <c r="F840" s="74" t="s">
        <v>3868</v>
      </c>
      <c r="G840" s="76">
        <v>320.0</v>
      </c>
      <c r="H840" s="76">
        <v>5.0</v>
      </c>
      <c r="I840" s="76">
        <v>5.0</v>
      </c>
      <c r="J840" s="76">
        <v>0.0</v>
      </c>
      <c r="K840" s="77"/>
      <c r="L840" s="77"/>
      <c r="M840" s="77"/>
      <c r="N840" s="76">
        <v>7.0</v>
      </c>
      <c r="O840" s="77"/>
      <c r="P840" s="77"/>
      <c r="Q840" s="77"/>
      <c r="R840" s="77"/>
      <c r="S840" s="77"/>
      <c r="T840" s="77"/>
      <c r="U840" s="77"/>
      <c r="V840" s="78" t="s">
        <v>4164</v>
      </c>
      <c r="W840" s="72" t="s">
        <v>197</v>
      </c>
      <c r="X840" s="77"/>
      <c r="Y840" s="77"/>
      <c r="Z840" s="72" t="s">
        <v>1445</v>
      </c>
      <c r="AA840" s="76">
        <v>3.0</v>
      </c>
      <c r="AB840" s="77"/>
      <c r="AC840" s="79"/>
      <c r="AD840" s="54"/>
      <c r="AE840" s="54"/>
      <c r="AF840" s="54"/>
      <c r="AG840" s="54"/>
      <c r="AH840" s="54"/>
      <c r="AI840" s="44"/>
      <c r="AJ840" s="44"/>
      <c r="AK840" s="44"/>
      <c r="AL840" s="44"/>
      <c r="AM840" s="44"/>
      <c r="AN840" s="44"/>
      <c r="AO840" s="44"/>
      <c r="AP840" s="44"/>
      <c r="AQ840" s="44"/>
      <c r="AR840" s="44"/>
      <c r="AS840" s="44"/>
      <c r="AT840" s="41"/>
      <c r="AU840" s="41"/>
      <c r="AV840" s="45"/>
      <c r="AW840" s="44"/>
      <c r="AX840" s="45"/>
    </row>
    <row r="841">
      <c r="A841" s="60" t="s">
        <v>3881</v>
      </c>
      <c r="B841" s="61">
        <v>45961.256425625004</v>
      </c>
      <c r="C841" s="68" t="s">
        <v>1439</v>
      </c>
      <c r="D841" s="63" t="s">
        <v>1440</v>
      </c>
      <c r="E841" s="68" t="s">
        <v>3883</v>
      </c>
      <c r="F841" s="64" t="s">
        <v>3881</v>
      </c>
      <c r="G841" s="62">
        <v>220.0</v>
      </c>
      <c r="H841" s="62">
        <v>4.0</v>
      </c>
      <c r="I841" s="62">
        <v>4.0</v>
      </c>
      <c r="J841" s="62">
        <v>0.0</v>
      </c>
      <c r="K841" s="66"/>
      <c r="L841" s="66"/>
      <c r="M841" s="66"/>
      <c r="N841" s="62">
        <v>5.0</v>
      </c>
      <c r="O841" s="66"/>
      <c r="P841" s="66"/>
      <c r="Q841" s="66"/>
      <c r="R841" s="66"/>
      <c r="S841" s="66"/>
      <c r="T841" s="66"/>
      <c r="U841" s="66"/>
      <c r="V841" s="67" t="s">
        <v>4165</v>
      </c>
      <c r="W841" s="68" t="s">
        <v>197</v>
      </c>
      <c r="X841" s="66"/>
      <c r="Y841" s="66"/>
      <c r="Z841" s="68" t="s">
        <v>1445</v>
      </c>
      <c r="AA841" s="62">
        <v>3.0</v>
      </c>
      <c r="AB841" s="66"/>
      <c r="AC841" s="69"/>
      <c r="AD841" s="37"/>
      <c r="AE841" s="37"/>
      <c r="AF841" s="37"/>
      <c r="AG841" s="37"/>
      <c r="AH841" s="37"/>
      <c r="AI841" s="31"/>
      <c r="AJ841" s="31"/>
      <c r="AK841" s="31"/>
      <c r="AL841" s="31"/>
      <c r="AM841" s="31"/>
      <c r="AN841" s="31"/>
      <c r="AO841" s="31"/>
      <c r="AP841" s="31"/>
      <c r="AQ841" s="31"/>
      <c r="AR841" s="31"/>
      <c r="AS841" s="31"/>
      <c r="AT841" s="36"/>
      <c r="AU841" s="36"/>
      <c r="AV841" s="34"/>
      <c r="AW841" s="31"/>
      <c r="AX841" s="34"/>
    </row>
    <row r="842">
      <c r="A842" s="70" t="s">
        <v>3915</v>
      </c>
      <c r="B842" s="71">
        <v>45961.260883738425</v>
      </c>
      <c r="C842" s="72" t="s">
        <v>3903</v>
      </c>
      <c r="D842" s="73" t="s">
        <v>3904</v>
      </c>
      <c r="E842" s="72" t="s">
        <v>4166</v>
      </c>
      <c r="F842" s="74" t="s">
        <v>3915</v>
      </c>
      <c r="G842" s="76">
        <v>317.0</v>
      </c>
      <c r="H842" s="76">
        <v>10.0</v>
      </c>
      <c r="I842" s="76">
        <v>10.0</v>
      </c>
      <c r="J842" s="72" t="s">
        <v>4167</v>
      </c>
      <c r="K842" s="77"/>
      <c r="L842" s="77"/>
      <c r="M842" s="77"/>
      <c r="N842" s="76">
        <v>10.0</v>
      </c>
      <c r="O842" s="77"/>
      <c r="P842" s="77"/>
      <c r="Q842" s="77"/>
      <c r="R842" s="77"/>
      <c r="S842" s="77"/>
      <c r="T842" s="77"/>
      <c r="U842" s="77"/>
      <c r="V842" s="78" t="s">
        <v>4168</v>
      </c>
      <c r="W842" s="77"/>
      <c r="X842" s="77"/>
      <c r="Y842" s="77"/>
      <c r="Z842" s="72" t="s">
        <v>3919</v>
      </c>
      <c r="AA842" s="76">
        <v>3.0</v>
      </c>
      <c r="AB842" s="77"/>
      <c r="AC842" s="79"/>
      <c r="AD842" s="54"/>
      <c r="AE842" s="54"/>
      <c r="AF842" s="54"/>
      <c r="AG842" s="54"/>
      <c r="AH842" s="54"/>
      <c r="AI842" s="44"/>
      <c r="AJ842" s="44"/>
      <c r="AK842" s="44"/>
      <c r="AL842" s="44"/>
      <c r="AM842" s="44"/>
      <c r="AN842" s="44"/>
      <c r="AO842" s="44"/>
      <c r="AP842" s="44"/>
      <c r="AQ842" s="44"/>
      <c r="AR842" s="44"/>
      <c r="AS842" s="44"/>
      <c r="AT842" s="41"/>
      <c r="AU842" s="41"/>
      <c r="AV842" s="45"/>
      <c r="AW842" s="44"/>
      <c r="AX842" s="45"/>
    </row>
    <row r="843">
      <c r="A843" s="60" t="s">
        <v>4169</v>
      </c>
      <c r="B843" s="61">
        <v>45961.262290162034</v>
      </c>
      <c r="C843" s="68" t="s">
        <v>3933</v>
      </c>
      <c r="D843" s="63" t="s">
        <v>3934</v>
      </c>
      <c r="E843" s="68" t="s">
        <v>4170</v>
      </c>
      <c r="F843" s="64" t="s">
        <v>4169</v>
      </c>
      <c r="G843" s="62">
        <v>565.0</v>
      </c>
      <c r="H843" s="62">
        <v>9.0</v>
      </c>
      <c r="I843" s="62">
        <v>9.0</v>
      </c>
      <c r="J843" s="62">
        <v>0.0</v>
      </c>
      <c r="K843" s="66"/>
      <c r="L843" s="66"/>
      <c r="M843" s="66"/>
      <c r="N843" s="62">
        <v>8.0</v>
      </c>
      <c r="O843" s="66"/>
      <c r="P843" s="66"/>
      <c r="Q843" s="66"/>
      <c r="R843" s="66"/>
      <c r="S843" s="66"/>
      <c r="T843" s="66"/>
      <c r="U843" s="66"/>
      <c r="V843" s="67" t="s">
        <v>4171</v>
      </c>
      <c r="W843" s="68" t="s">
        <v>4172</v>
      </c>
      <c r="X843" s="66"/>
      <c r="Y843" s="66"/>
      <c r="Z843" s="68" t="s">
        <v>3938</v>
      </c>
      <c r="AA843" s="62">
        <v>3.0</v>
      </c>
      <c r="AB843" s="66"/>
      <c r="AC843" s="69"/>
      <c r="AD843" s="37"/>
      <c r="AE843" s="37"/>
      <c r="AF843" s="37"/>
      <c r="AG843" s="37"/>
      <c r="AH843" s="37"/>
      <c r="AI843" s="31"/>
      <c r="AJ843" s="31"/>
      <c r="AK843" s="31"/>
      <c r="AL843" s="31"/>
      <c r="AM843" s="31"/>
      <c r="AN843" s="31"/>
      <c r="AO843" s="31"/>
      <c r="AP843" s="31"/>
      <c r="AQ843" s="31"/>
      <c r="AR843" s="31"/>
      <c r="AS843" s="31"/>
      <c r="AT843" s="36"/>
      <c r="AU843" s="36"/>
      <c r="AV843" s="34"/>
      <c r="AW843" s="31"/>
      <c r="AX843" s="34"/>
    </row>
    <row r="844">
      <c r="A844" s="70" t="s">
        <v>4090</v>
      </c>
      <c r="B844" s="71">
        <v>45961.265139421295</v>
      </c>
      <c r="C844" s="72" t="s">
        <v>1886</v>
      </c>
      <c r="D844" s="76">
        <v>3.453811243E9</v>
      </c>
      <c r="E844" s="72" t="s">
        <v>4173</v>
      </c>
      <c r="F844" s="74" t="s">
        <v>4090</v>
      </c>
      <c r="G844" s="76">
        <v>400.0</v>
      </c>
      <c r="H844" s="76">
        <v>8.0</v>
      </c>
      <c r="I844" s="76">
        <v>7.0</v>
      </c>
      <c r="J844" s="76">
        <v>5.0</v>
      </c>
      <c r="K844" s="77"/>
      <c r="L844" s="77"/>
      <c r="M844" s="77"/>
      <c r="N844" s="76">
        <v>8.0</v>
      </c>
      <c r="O844" s="77"/>
      <c r="P844" s="77"/>
      <c r="Q844" s="77"/>
      <c r="R844" s="77"/>
      <c r="S844" s="77"/>
      <c r="T844" s="77"/>
      <c r="U844" s="77"/>
      <c r="V844" s="78" t="s">
        <v>4174</v>
      </c>
      <c r="W844" s="76" t="s">
        <v>799</v>
      </c>
      <c r="X844" s="77"/>
      <c r="Y844" s="77"/>
      <c r="Z844" s="72" t="s">
        <v>3943</v>
      </c>
      <c r="AA844" s="76">
        <v>3.0</v>
      </c>
      <c r="AB844" s="77"/>
      <c r="AC844" s="79"/>
      <c r="AD844" s="54"/>
      <c r="AE844" s="54"/>
      <c r="AF844" s="54"/>
      <c r="AG844" s="54"/>
      <c r="AH844" s="54"/>
      <c r="AI844" s="44"/>
      <c r="AJ844" s="44"/>
      <c r="AK844" s="44"/>
      <c r="AL844" s="44"/>
      <c r="AM844" s="44"/>
      <c r="AN844" s="44"/>
      <c r="AO844" s="44"/>
      <c r="AP844" s="44"/>
      <c r="AQ844" s="44"/>
      <c r="AR844" s="44"/>
      <c r="AS844" s="44"/>
      <c r="AT844" s="41"/>
      <c r="AU844" s="41"/>
      <c r="AV844" s="45"/>
      <c r="AW844" s="44"/>
      <c r="AX844" s="45"/>
    </row>
    <row r="845">
      <c r="A845" s="60" t="s">
        <v>3944</v>
      </c>
      <c r="B845" s="61">
        <v>45961.274738622684</v>
      </c>
      <c r="C845" s="62" t="s">
        <v>4175</v>
      </c>
      <c r="D845" s="63" t="s">
        <v>4176</v>
      </c>
      <c r="E845" s="62" t="s">
        <v>4177</v>
      </c>
      <c r="F845" s="64" t="s">
        <v>3944</v>
      </c>
      <c r="G845" s="62">
        <v>335.0</v>
      </c>
      <c r="H845" s="62">
        <v>7.0</v>
      </c>
      <c r="I845" s="62">
        <v>7.0</v>
      </c>
      <c r="J845" s="62">
        <v>3.0</v>
      </c>
      <c r="K845" s="66"/>
      <c r="L845" s="66"/>
      <c r="M845" s="66"/>
      <c r="N845" s="62">
        <v>8.0</v>
      </c>
      <c r="O845" s="66"/>
      <c r="P845" s="66"/>
      <c r="Q845" s="66"/>
      <c r="R845" s="66"/>
      <c r="S845" s="66"/>
      <c r="T845" s="66"/>
      <c r="U845" s="66"/>
      <c r="V845" s="67" t="s">
        <v>4178</v>
      </c>
      <c r="W845" s="66"/>
      <c r="X845" s="66"/>
      <c r="Y845" s="66"/>
      <c r="Z845" s="68" t="s">
        <v>4179</v>
      </c>
      <c r="AA845" s="62">
        <v>3.0</v>
      </c>
      <c r="AB845" s="66"/>
      <c r="AC845" s="69"/>
      <c r="AD845" s="37"/>
      <c r="AE845" s="37"/>
      <c r="AF845" s="37"/>
      <c r="AG845" s="37"/>
      <c r="AH845" s="37"/>
      <c r="AI845" s="31"/>
      <c r="AJ845" s="31"/>
      <c r="AK845" s="31"/>
      <c r="AL845" s="31"/>
      <c r="AM845" s="31"/>
      <c r="AN845" s="31"/>
      <c r="AO845" s="31"/>
      <c r="AP845" s="31"/>
      <c r="AQ845" s="31"/>
      <c r="AR845" s="31"/>
      <c r="AS845" s="31"/>
      <c r="AT845" s="36"/>
      <c r="AU845" s="36"/>
      <c r="AV845" s="34"/>
      <c r="AW845" s="31"/>
      <c r="AX845" s="34"/>
    </row>
    <row r="846">
      <c r="A846" s="70" t="s">
        <v>3961</v>
      </c>
      <c r="B846" s="71">
        <v>45961.27722094908</v>
      </c>
      <c r="C846" s="72" t="s">
        <v>4180</v>
      </c>
      <c r="D846" s="73" t="s">
        <v>3963</v>
      </c>
      <c r="E846" s="72" t="s">
        <v>4181</v>
      </c>
      <c r="F846" s="74" t="s">
        <v>3961</v>
      </c>
      <c r="G846" s="76">
        <v>500.0</v>
      </c>
      <c r="H846" s="76">
        <v>8.0</v>
      </c>
      <c r="I846" s="76">
        <v>8.0</v>
      </c>
      <c r="J846" s="72" t="s">
        <v>3497</v>
      </c>
      <c r="K846" s="77"/>
      <c r="L846" s="77"/>
      <c r="M846" s="77"/>
      <c r="N846" s="76">
        <v>10.0</v>
      </c>
      <c r="O846" s="77"/>
      <c r="P846" s="77"/>
      <c r="Q846" s="77"/>
      <c r="R846" s="77"/>
      <c r="S846" s="77"/>
      <c r="T846" s="77"/>
      <c r="U846" s="77"/>
      <c r="V846" s="78" t="s">
        <v>4182</v>
      </c>
      <c r="W846" s="77"/>
      <c r="X846" s="77"/>
      <c r="Y846" s="77"/>
      <c r="Z846" s="72" t="s">
        <v>3966</v>
      </c>
      <c r="AA846" s="76">
        <v>3.0</v>
      </c>
      <c r="AB846" s="77"/>
      <c r="AC846" s="79"/>
      <c r="AD846" s="54"/>
      <c r="AE846" s="54"/>
      <c r="AF846" s="54"/>
      <c r="AG846" s="54"/>
      <c r="AH846" s="54"/>
      <c r="AI846" s="44"/>
      <c r="AJ846" s="44"/>
      <c r="AK846" s="44"/>
      <c r="AL846" s="44"/>
      <c r="AM846" s="44"/>
      <c r="AN846" s="44"/>
      <c r="AO846" s="44"/>
      <c r="AP846" s="44"/>
      <c r="AQ846" s="44"/>
      <c r="AR846" s="44"/>
      <c r="AS846" s="44"/>
      <c r="AT846" s="41"/>
      <c r="AU846" s="41"/>
      <c r="AV846" s="45"/>
      <c r="AW846" s="44"/>
      <c r="AX846" s="45"/>
    </row>
    <row r="847">
      <c r="A847" s="60" t="s">
        <v>4076</v>
      </c>
      <c r="B847" s="61">
        <v>45961.30043903935</v>
      </c>
      <c r="C847" s="68" t="s">
        <v>3874</v>
      </c>
      <c r="D847" s="63" t="s">
        <v>3875</v>
      </c>
      <c r="E847" s="68" t="s">
        <v>4183</v>
      </c>
      <c r="F847" s="64" t="s">
        <v>4076</v>
      </c>
      <c r="G847" s="62">
        <v>335.0</v>
      </c>
      <c r="H847" s="62">
        <v>10.0</v>
      </c>
      <c r="I847" s="62">
        <v>9.0</v>
      </c>
      <c r="J847" s="68" t="s">
        <v>453</v>
      </c>
      <c r="K847" s="66"/>
      <c r="L847" s="66"/>
      <c r="M847" s="66"/>
      <c r="N847" s="62">
        <v>10.0</v>
      </c>
      <c r="O847" s="66"/>
      <c r="P847" s="66"/>
      <c r="Q847" s="66"/>
      <c r="R847" s="66"/>
      <c r="S847" s="66"/>
      <c r="T847" s="66"/>
      <c r="U847" s="66"/>
      <c r="V847" s="67" t="s">
        <v>4184</v>
      </c>
      <c r="W847" s="68" t="s">
        <v>453</v>
      </c>
      <c r="X847" s="66"/>
      <c r="Y847" s="66"/>
      <c r="Z847" s="68" t="s">
        <v>3878</v>
      </c>
      <c r="AA847" s="62">
        <v>3.0</v>
      </c>
      <c r="AB847" s="66"/>
      <c r="AC847" s="69"/>
      <c r="AD847" s="37"/>
      <c r="AE847" s="37"/>
      <c r="AF847" s="37"/>
      <c r="AG847" s="37"/>
      <c r="AH847" s="37"/>
      <c r="AI847" s="31"/>
      <c r="AJ847" s="31"/>
      <c r="AK847" s="31"/>
      <c r="AL847" s="31"/>
      <c r="AM847" s="31"/>
      <c r="AN847" s="31"/>
      <c r="AO847" s="31"/>
      <c r="AP847" s="31"/>
      <c r="AQ847" s="31"/>
      <c r="AR847" s="31"/>
      <c r="AS847" s="31"/>
      <c r="AT847" s="36"/>
      <c r="AU847" s="36"/>
      <c r="AV847" s="34"/>
      <c r="AW847" s="31"/>
      <c r="AX847" s="34"/>
    </row>
    <row r="848">
      <c r="A848" s="70" t="s">
        <v>3983</v>
      </c>
      <c r="B848" s="71">
        <v>45961.30667315972</v>
      </c>
      <c r="C848" s="76" t="s">
        <v>4097</v>
      </c>
      <c r="D848" s="73" t="s">
        <v>3984</v>
      </c>
      <c r="E848" s="76" t="s">
        <v>4185</v>
      </c>
      <c r="F848" s="74" t="s">
        <v>3983</v>
      </c>
      <c r="G848" s="76">
        <v>255.0</v>
      </c>
      <c r="H848" s="76">
        <v>9.0</v>
      </c>
      <c r="I848" s="76">
        <v>9.0</v>
      </c>
      <c r="J848" s="76" t="s">
        <v>1450</v>
      </c>
      <c r="K848" s="77"/>
      <c r="L848" s="77"/>
      <c r="M848" s="77"/>
      <c r="N848" s="76">
        <v>9.0</v>
      </c>
      <c r="O848" s="77"/>
      <c r="P848" s="77"/>
      <c r="Q848" s="77"/>
      <c r="R848" s="77"/>
      <c r="S848" s="77"/>
      <c r="T848" s="77"/>
      <c r="U848" s="77"/>
      <c r="V848" s="78" t="s">
        <v>4186</v>
      </c>
      <c r="W848" s="76" t="s">
        <v>799</v>
      </c>
      <c r="X848" s="77"/>
      <c r="Y848" s="77"/>
      <c r="Z848" s="72" t="s">
        <v>3987</v>
      </c>
      <c r="AA848" s="76">
        <v>3.0</v>
      </c>
      <c r="AB848" s="77"/>
      <c r="AC848" s="79"/>
      <c r="AD848" s="54"/>
      <c r="AE848" s="54"/>
      <c r="AF848" s="54"/>
      <c r="AG848" s="54"/>
      <c r="AH848" s="54"/>
      <c r="AI848" s="44"/>
      <c r="AJ848" s="44"/>
      <c r="AK848" s="44"/>
      <c r="AL848" s="44"/>
      <c r="AM848" s="44"/>
      <c r="AN848" s="44"/>
      <c r="AO848" s="44"/>
      <c r="AP848" s="44"/>
      <c r="AQ848" s="44"/>
      <c r="AR848" s="44"/>
      <c r="AS848" s="44"/>
      <c r="AT848" s="41"/>
      <c r="AU848" s="41"/>
      <c r="AV848" s="45"/>
      <c r="AW848" s="44"/>
      <c r="AX848" s="45"/>
    </row>
    <row r="849">
      <c r="A849" s="68" t="s">
        <v>4187</v>
      </c>
      <c r="B849" s="61">
        <v>45961.33486097222</v>
      </c>
      <c r="C849" s="68" t="s">
        <v>3858</v>
      </c>
      <c r="D849" s="63" t="s">
        <v>3859</v>
      </c>
      <c r="E849" s="62" t="s">
        <v>4059</v>
      </c>
      <c r="F849" s="176" t="s">
        <v>4187</v>
      </c>
      <c r="G849" s="62">
        <v>925.0</v>
      </c>
      <c r="H849" s="62">
        <v>9.0</v>
      </c>
      <c r="I849" s="62">
        <v>9.0</v>
      </c>
      <c r="J849" s="62">
        <v>0.0</v>
      </c>
      <c r="K849" s="66"/>
      <c r="L849" s="66"/>
      <c r="M849" s="66"/>
      <c r="N849" s="62">
        <v>8.0</v>
      </c>
      <c r="O849" s="66"/>
      <c r="P849" s="66"/>
      <c r="Q849" s="66"/>
      <c r="R849" s="66"/>
      <c r="S849" s="66"/>
      <c r="T849" s="66"/>
      <c r="U849" s="66"/>
      <c r="V849" s="67" t="s">
        <v>4188</v>
      </c>
      <c r="W849" s="68" t="s">
        <v>197</v>
      </c>
      <c r="X849" s="66"/>
      <c r="Y849" s="66"/>
      <c r="Z849" s="68" t="s">
        <v>3862</v>
      </c>
      <c r="AA849" s="62">
        <v>3.0</v>
      </c>
      <c r="AB849" s="66"/>
      <c r="AC849" s="69"/>
      <c r="AD849" s="37"/>
      <c r="AE849" s="37"/>
      <c r="AF849" s="37"/>
      <c r="AG849" s="37"/>
      <c r="AH849" s="37"/>
      <c r="AI849" s="31"/>
      <c r="AJ849" s="31"/>
      <c r="AK849" s="31"/>
      <c r="AL849" s="31"/>
      <c r="AM849" s="31"/>
      <c r="AN849" s="31"/>
      <c r="AO849" s="31"/>
      <c r="AP849" s="31"/>
      <c r="AQ849" s="31"/>
      <c r="AR849" s="31"/>
      <c r="AS849" s="31"/>
      <c r="AT849" s="36"/>
      <c r="AU849" s="36"/>
      <c r="AV849" s="34"/>
      <c r="AW849" s="31"/>
      <c r="AX849" s="34"/>
    </row>
    <row r="850">
      <c r="A850" s="72" t="s">
        <v>4189</v>
      </c>
      <c r="B850" s="71">
        <v>45961.39764054398</v>
      </c>
      <c r="C850" s="72" t="s">
        <v>3996</v>
      </c>
      <c r="D850" s="73" t="s">
        <v>3997</v>
      </c>
      <c r="E850" s="72" t="s">
        <v>3998</v>
      </c>
      <c r="F850" s="84" t="s">
        <v>4189</v>
      </c>
      <c r="G850" s="76">
        <v>200.0</v>
      </c>
      <c r="H850" s="76">
        <v>10.0</v>
      </c>
      <c r="I850" s="76">
        <v>10.0</v>
      </c>
      <c r="J850" s="76">
        <v>0.0</v>
      </c>
      <c r="K850" s="77"/>
      <c r="L850" s="77"/>
      <c r="M850" s="77"/>
      <c r="N850" s="76">
        <v>10.0</v>
      </c>
      <c r="O850" s="77"/>
      <c r="P850" s="77"/>
      <c r="Q850" s="77"/>
      <c r="R850" s="77"/>
      <c r="S850" s="77"/>
      <c r="T850" s="77"/>
      <c r="U850" s="77"/>
      <c r="V850" s="77"/>
      <c r="W850" s="72" t="s">
        <v>197</v>
      </c>
      <c r="X850" s="77"/>
      <c r="Y850" s="77"/>
      <c r="Z850" s="72" t="s">
        <v>4000</v>
      </c>
      <c r="AA850" s="76">
        <v>3.0</v>
      </c>
      <c r="AB850" s="77"/>
      <c r="AC850" s="79"/>
      <c r="AD850" s="54"/>
      <c r="AE850" s="54"/>
      <c r="AF850" s="54"/>
      <c r="AG850" s="54"/>
      <c r="AH850" s="54"/>
      <c r="AI850" s="44"/>
      <c r="AJ850" s="44"/>
      <c r="AK850" s="44"/>
      <c r="AL850" s="44"/>
      <c r="AM850" s="44"/>
      <c r="AN850" s="44"/>
      <c r="AO850" s="44"/>
      <c r="AP850" s="44"/>
      <c r="AQ850" s="44"/>
      <c r="AR850" s="44"/>
      <c r="AS850" s="44"/>
      <c r="AT850" s="41"/>
      <c r="AU850" s="41"/>
      <c r="AV850" s="45"/>
      <c r="AW850" s="44"/>
      <c r="AX850" s="45"/>
    </row>
    <row r="851">
      <c r="A851" s="60" t="s">
        <v>4190</v>
      </c>
      <c r="B851" s="61">
        <v>45962.2184146875</v>
      </c>
      <c r="C851" s="68" t="s">
        <v>4050</v>
      </c>
      <c r="D851" s="63" t="s">
        <v>4051</v>
      </c>
      <c r="E851" s="68" t="s">
        <v>3161</v>
      </c>
      <c r="F851" s="64" t="s">
        <v>4190</v>
      </c>
      <c r="G851" s="62">
        <v>268.0</v>
      </c>
      <c r="H851" s="62">
        <v>10.0</v>
      </c>
      <c r="I851" s="62">
        <v>9.0</v>
      </c>
      <c r="J851" s="62">
        <v>0.0</v>
      </c>
      <c r="K851" s="66"/>
      <c r="L851" s="66"/>
      <c r="M851" s="66"/>
      <c r="N851" s="62">
        <v>8.0</v>
      </c>
      <c r="O851" s="66"/>
      <c r="P851" s="66"/>
      <c r="Q851" s="66"/>
      <c r="R851" s="66"/>
      <c r="S851" s="66"/>
      <c r="T851" s="66"/>
      <c r="U851" s="66"/>
      <c r="V851" s="67" t="s">
        <v>4191</v>
      </c>
      <c r="W851" s="68" t="s">
        <v>4192</v>
      </c>
      <c r="X851" s="66"/>
      <c r="Y851" s="66"/>
      <c r="Z851" s="68" t="s">
        <v>4055</v>
      </c>
      <c r="AA851" s="62">
        <v>3.0</v>
      </c>
      <c r="AB851" s="66"/>
      <c r="AC851" s="69"/>
      <c r="AD851" s="37"/>
      <c r="AE851" s="37"/>
      <c r="AF851" s="37"/>
      <c r="AG851" s="37"/>
      <c r="AH851" s="37"/>
      <c r="AI851" s="31"/>
      <c r="AJ851" s="31"/>
      <c r="AK851" s="31"/>
      <c r="AL851" s="31"/>
      <c r="AM851" s="31"/>
      <c r="AN851" s="31"/>
      <c r="AO851" s="31"/>
      <c r="AP851" s="31"/>
      <c r="AQ851" s="31"/>
      <c r="AR851" s="31"/>
      <c r="AS851" s="31"/>
      <c r="AT851" s="36"/>
      <c r="AU851" s="36"/>
      <c r="AV851" s="34"/>
      <c r="AW851" s="31"/>
      <c r="AX851" s="34"/>
    </row>
    <row r="852">
      <c r="A852" s="72" t="s">
        <v>4193</v>
      </c>
      <c r="B852" s="71">
        <v>45962.22416087963</v>
      </c>
      <c r="C852" s="72" t="s">
        <v>4194</v>
      </c>
      <c r="D852" s="73" t="s">
        <v>4013</v>
      </c>
      <c r="E852" s="72" t="s">
        <v>4195</v>
      </c>
      <c r="F852" s="84" t="s">
        <v>4193</v>
      </c>
      <c r="G852" s="76">
        <v>700.0</v>
      </c>
      <c r="H852" s="76">
        <v>9.0</v>
      </c>
      <c r="I852" s="76">
        <v>9.0</v>
      </c>
      <c r="J852" s="72" t="s">
        <v>197</v>
      </c>
      <c r="K852" s="77"/>
      <c r="L852" s="77"/>
      <c r="M852" s="77"/>
      <c r="N852" s="76">
        <v>9.0</v>
      </c>
      <c r="O852" s="77"/>
      <c r="P852" s="77"/>
      <c r="Q852" s="77"/>
      <c r="R852" s="77"/>
      <c r="S852" s="77"/>
      <c r="T852" s="77"/>
      <c r="U852" s="77"/>
      <c r="V852" s="78" t="s">
        <v>4196</v>
      </c>
      <c r="W852" s="72" t="s">
        <v>197</v>
      </c>
      <c r="X852" s="77"/>
      <c r="Y852" s="77"/>
      <c r="Z852" s="72" t="s">
        <v>4018</v>
      </c>
      <c r="AA852" s="76">
        <v>3.0</v>
      </c>
      <c r="AB852" s="77"/>
      <c r="AC852" s="79"/>
      <c r="AD852" s="54"/>
      <c r="AE852" s="54"/>
      <c r="AF852" s="54"/>
      <c r="AG852" s="54"/>
      <c r="AH852" s="54"/>
      <c r="AI852" s="44"/>
      <c r="AJ852" s="44"/>
      <c r="AK852" s="44"/>
      <c r="AL852" s="44"/>
      <c r="AM852" s="44"/>
      <c r="AN852" s="44"/>
      <c r="AO852" s="44"/>
      <c r="AP852" s="44"/>
      <c r="AQ852" s="44"/>
      <c r="AR852" s="44"/>
      <c r="AS852" s="44"/>
      <c r="AT852" s="41"/>
      <c r="AU852" s="41"/>
      <c r="AV852" s="45"/>
      <c r="AW852" s="44"/>
      <c r="AX852" s="45"/>
    </row>
    <row r="853">
      <c r="A853" s="60" t="s">
        <v>4049</v>
      </c>
      <c r="B853" s="61">
        <v>45962.2323756713</v>
      </c>
      <c r="C853" s="68" t="s">
        <v>4050</v>
      </c>
      <c r="D853" s="63" t="s">
        <v>4051</v>
      </c>
      <c r="E853" s="68" t="s">
        <v>4197</v>
      </c>
      <c r="F853" s="64" t="s">
        <v>4049</v>
      </c>
      <c r="G853" s="62">
        <v>268.0</v>
      </c>
      <c r="H853" s="62">
        <v>10.0</v>
      </c>
      <c r="I853" s="62">
        <v>9.0</v>
      </c>
      <c r="J853" s="62">
        <v>0.0</v>
      </c>
      <c r="K853" s="66"/>
      <c r="L853" s="66"/>
      <c r="M853" s="66"/>
      <c r="N853" s="62">
        <v>8.0</v>
      </c>
      <c r="O853" s="66"/>
      <c r="P853" s="66"/>
      <c r="Q853" s="66"/>
      <c r="R853" s="66"/>
      <c r="S853" s="66"/>
      <c r="T853" s="66"/>
      <c r="U853" s="66"/>
      <c r="V853" s="66"/>
      <c r="W853" s="68" t="s">
        <v>4198</v>
      </c>
      <c r="X853" s="66"/>
      <c r="Y853" s="66"/>
      <c r="Z853" s="68" t="s">
        <v>4055</v>
      </c>
      <c r="AA853" s="68" t="s">
        <v>4</v>
      </c>
      <c r="AB853" s="66"/>
      <c r="AC853" s="69"/>
      <c r="AD853" s="37"/>
      <c r="AE853" s="37"/>
      <c r="AF853" s="37"/>
      <c r="AG853" s="37"/>
      <c r="AH853" s="37"/>
      <c r="AI853" s="31"/>
      <c r="AJ853" s="31"/>
      <c r="AK853" s="31"/>
      <c r="AL853" s="31"/>
      <c r="AM853" s="31"/>
      <c r="AN853" s="31"/>
      <c r="AO853" s="31"/>
      <c r="AP853" s="31"/>
      <c r="AQ853" s="31"/>
      <c r="AR853" s="31"/>
      <c r="AS853" s="31"/>
      <c r="AT853" s="36"/>
      <c r="AU853" s="36"/>
      <c r="AV853" s="34"/>
      <c r="AW853" s="31"/>
      <c r="AX853" s="34"/>
    </row>
    <row r="854">
      <c r="A854" s="70" t="s">
        <v>4119</v>
      </c>
      <c r="B854" s="71">
        <v>45962.41459163194</v>
      </c>
      <c r="C854" s="72" t="s">
        <v>4199</v>
      </c>
      <c r="D854" s="73" t="s">
        <v>4200</v>
      </c>
      <c r="E854" s="72" t="s">
        <v>4122</v>
      </c>
      <c r="F854" s="74" t="s">
        <v>4119</v>
      </c>
      <c r="G854" s="76">
        <v>217.0</v>
      </c>
      <c r="H854" s="76">
        <v>9.0</v>
      </c>
      <c r="I854" s="76">
        <v>8.0</v>
      </c>
      <c r="J854" s="76">
        <v>1.0</v>
      </c>
      <c r="K854" s="77"/>
      <c r="L854" s="77"/>
      <c r="M854" s="77"/>
      <c r="N854" s="76">
        <v>8.0</v>
      </c>
      <c r="O854" s="77"/>
      <c r="P854" s="77"/>
      <c r="Q854" s="77"/>
      <c r="R854" s="77"/>
      <c r="S854" s="77"/>
      <c r="T854" s="77"/>
      <c r="U854" s="77"/>
      <c r="V854" s="78" t="s">
        <v>4201</v>
      </c>
      <c r="W854" s="77"/>
      <c r="X854" s="77"/>
      <c r="Y854" s="77"/>
      <c r="Z854" s="72" t="s">
        <v>1077</v>
      </c>
      <c r="AA854" s="76">
        <v>4.0</v>
      </c>
      <c r="AB854" s="77"/>
      <c r="AC854" s="79"/>
      <c r="AD854" s="54"/>
      <c r="AE854" s="54"/>
      <c r="AF854" s="54"/>
      <c r="AG854" s="54"/>
      <c r="AH854" s="54"/>
      <c r="AI854" s="44"/>
      <c r="AJ854" s="44"/>
      <c r="AK854" s="44"/>
      <c r="AL854" s="44"/>
      <c r="AM854" s="44"/>
      <c r="AN854" s="44"/>
      <c r="AO854" s="44"/>
      <c r="AP854" s="44"/>
      <c r="AQ854" s="44"/>
      <c r="AR854" s="44"/>
      <c r="AS854" s="44"/>
      <c r="AT854" s="41"/>
      <c r="AU854" s="41"/>
      <c r="AV854" s="45"/>
      <c r="AW854" s="44"/>
      <c r="AX854" s="45"/>
    </row>
    <row r="855">
      <c r="A855" s="60" t="s">
        <v>4202</v>
      </c>
      <c r="B855" s="61">
        <v>45965.56702295139</v>
      </c>
      <c r="C855" s="68" t="s">
        <v>4203</v>
      </c>
      <c r="D855" s="63" t="s">
        <v>4204</v>
      </c>
      <c r="E855" s="68" t="s">
        <v>4205</v>
      </c>
      <c r="F855" s="64" t="s">
        <v>4202</v>
      </c>
      <c r="G855" s="62">
        <v>75.0</v>
      </c>
      <c r="H855" s="62">
        <v>9.0</v>
      </c>
      <c r="I855" s="62">
        <v>9.0</v>
      </c>
      <c r="J855" s="62">
        <v>0.0</v>
      </c>
      <c r="K855" s="66"/>
      <c r="L855" s="66"/>
      <c r="M855" s="66"/>
      <c r="N855" s="62">
        <v>9.0</v>
      </c>
      <c r="O855" s="66"/>
      <c r="P855" s="66"/>
      <c r="Q855" s="66"/>
      <c r="R855" s="66"/>
      <c r="S855" s="66"/>
      <c r="T855" s="66"/>
      <c r="U855" s="66"/>
      <c r="V855" s="67" t="s">
        <v>4206</v>
      </c>
      <c r="W855" s="66"/>
      <c r="X855" s="66"/>
      <c r="Y855" s="66"/>
      <c r="Z855" s="68" t="s">
        <v>1077</v>
      </c>
      <c r="AA855" s="62">
        <v>3.0</v>
      </c>
      <c r="AB855" s="66"/>
      <c r="AC855" s="69"/>
      <c r="AD855" s="37"/>
      <c r="AE855" s="37"/>
      <c r="AF855" s="37"/>
      <c r="AG855" s="37"/>
      <c r="AH855" s="37"/>
      <c r="AI855" s="31"/>
      <c r="AJ855" s="31"/>
      <c r="AK855" s="31"/>
      <c r="AL855" s="31"/>
      <c r="AM855" s="31"/>
      <c r="AN855" s="31"/>
      <c r="AO855" s="31"/>
      <c r="AP855" s="31"/>
      <c r="AQ855" s="31"/>
      <c r="AR855" s="31"/>
      <c r="AS855" s="31"/>
      <c r="AT855" s="36"/>
      <c r="AU855" s="36"/>
      <c r="AV855" s="34"/>
      <c r="AW855" s="31"/>
      <c r="AX855" s="34"/>
    </row>
    <row r="856">
      <c r="A856" s="70" t="s">
        <v>4128</v>
      </c>
      <c r="B856" s="71">
        <v>45965.57543902777</v>
      </c>
      <c r="C856" s="72" t="s">
        <v>4207</v>
      </c>
      <c r="D856" s="73" t="s">
        <v>4130</v>
      </c>
      <c r="E856" s="72" t="s">
        <v>4208</v>
      </c>
      <c r="F856" s="74" t="s">
        <v>4128</v>
      </c>
      <c r="G856" s="76">
        <v>234.0</v>
      </c>
      <c r="H856" s="76">
        <v>8.0</v>
      </c>
      <c r="I856" s="76">
        <v>7.0</v>
      </c>
      <c r="J856" s="76">
        <v>1.0</v>
      </c>
      <c r="K856" s="77"/>
      <c r="L856" s="77"/>
      <c r="M856" s="77"/>
      <c r="N856" s="76">
        <v>8.0</v>
      </c>
      <c r="O856" s="77"/>
      <c r="P856" s="77"/>
      <c r="Q856" s="77"/>
      <c r="R856" s="77"/>
      <c r="S856" s="77"/>
      <c r="T856" s="77"/>
      <c r="U856" s="77"/>
      <c r="V856" s="78" t="s">
        <v>4209</v>
      </c>
      <c r="W856" s="77"/>
      <c r="X856" s="77"/>
      <c r="Y856" s="77"/>
      <c r="Z856" s="72" t="s">
        <v>4210</v>
      </c>
      <c r="AA856" s="76">
        <v>3.0</v>
      </c>
      <c r="AB856" s="77"/>
      <c r="AC856" s="79"/>
      <c r="AD856" s="54"/>
      <c r="AE856" s="54"/>
      <c r="AF856" s="54"/>
      <c r="AG856" s="54"/>
      <c r="AH856" s="54"/>
      <c r="AI856" s="44"/>
      <c r="AJ856" s="44"/>
      <c r="AK856" s="44"/>
      <c r="AL856" s="44"/>
      <c r="AM856" s="44"/>
      <c r="AN856" s="44"/>
      <c r="AO856" s="44"/>
      <c r="AP856" s="44"/>
      <c r="AQ856" s="44"/>
      <c r="AR856" s="44"/>
      <c r="AS856" s="44"/>
      <c r="AT856" s="41"/>
      <c r="AU856" s="41"/>
      <c r="AV856" s="45"/>
      <c r="AW856" s="44"/>
      <c r="AX856" s="45"/>
    </row>
    <row r="857">
      <c r="A857" s="60" t="s">
        <v>4134</v>
      </c>
      <c r="B857" s="61">
        <v>45965.62468601852</v>
      </c>
      <c r="C857" s="68" t="s">
        <v>4211</v>
      </c>
      <c r="D857" s="63" t="s">
        <v>4212</v>
      </c>
      <c r="E857" s="68" t="s">
        <v>4137</v>
      </c>
      <c r="F857" s="64" t="s">
        <v>4134</v>
      </c>
      <c r="G857" s="62">
        <v>194.0</v>
      </c>
      <c r="H857" s="62">
        <v>9.0</v>
      </c>
      <c r="I857" s="62">
        <v>8.0</v>
      </c>
      <c r="J857" s="62">
        <v>1.0</v>
      </c>
      <c r="K857" s="66"/>
      <c r="L857" s="66"/>
      <c r="M857" s="66"/>
      <c r="N857" s="62">
        <v>9.0</v>
      </c>
      <c r="O857" s="66"/>
      <c r="P857" s="66"/>
      <c r="Q857" s="66"/>
      <c r="R857" s="66"/>
      <c r="S857" s="66"/>
      <c r="T857" s="66"/>
      <c r="U857" s="66"/>
      <c r="V857" s="67" t="s">
        <v>4213</v>
      </c>
      <c r="W857" s="66"/>
      <c r="X857" s="66"/>
      <c r="Y857" s="66"/>
      <c r="Z857" s="68" t="s">
        <v>1077</v>
      </c>
      <c r="AA857" s="62">
        <v>3.0</v>
      </c>
      <c r="AB857" s="66"/>
      <c r="AC857" s="69"/>
      <c r="AD857" s="37"/>
      <c r="AE857" s="37"/>
      <c r="AF857" s="37"/>
      <c r="AG857" s="37"/>
      <c r="AH857" s="37"/>
      <c r="AI857" s="31"/>
      <c r="AJ857" s="31"/>
      <c r="AK857" s="31"/>
      <c r="AL857" s="31"/>
      <c r="AM857" s="31"/>
      <c r="AN857" s="31"/>
      <c r="AO857" s="31"/>
      <c r="AP857" s="31"/>
      <c r="AQ857" s="31"/>
      <c r="AR857" s="31"/>
      <c r="AS857" s="31"/>
      <c r="AT857" s="36"/>
      <c r="AU857" s="36"/>
      <c r="AV857" s="34"/>
      <c r="AW857" s="31"/>
      <c r="AX857" s="34"/>
    </row>
    <row r="858">
      <c r="A858" s="70" t="s">
        <v>4214</v>
      </c>
      <c r="B858" s="71">
        <v>45968.17845922454</v>
      </c>
      <c r="C858" s="72" t="s">
        <v>3921</v>
      </c>
      <c r="D858" s="73" t="s">
        <v>3922</v>
      </c>
      <c r="E858" s="72" t="s">
        <v>4215</v>
      </c>
      <c r="F858" s="74" t="s">
        <v>4214</v>
      </c>
      <c r="G858" s="76">
        <v>210.0</v>
      </c>
      <c r="H858" s="76">
        <v>10.0</v>
      </c>
      <c r="I858" s="76">
        <v>7.0</v>
      </c>
      <c r="J858" s="72" t="s">
        <v>563</v>
      </c>
      <c r="K858" s="77"/>
      <c r="L858" s="77"/>
      <c r="M858" s="77"/>
      <c r="N858" s="76">
        <v>10.0</v>
      </c>
      <c r="O858" s="77"/>
      <c r="P858" s="77"/>
      <c r="Q858" s="77"/>
      <c r="R858" s="77"/>
      <c r="S858" s="77"/>
      <c r="T858" s="77"/>
      <c r="U858" s="77"/>
      <c r="V858" s="78" t="s">
        <v>4216</v>
      </c>
      <c r="W858" s="77"/>
      <c r="X858" s="77"/>
      <c r="Y858" s="77"/>
      <c r="Z858" s="72" t="s">
        <v>3925</v>
      </c>
      <c r="AA858" s="76">
        <v>4.0</v>
      </c>
      <c r="AB858" s="77"/>
      <c r="AC858" s="79"/>
      <c r="AD858" s="54"/>
      <c r="AE858" s="54"/>
      <c r="AF858" s="54"/>
      <c r="AG858" s="54"/>
      <c r="AH858" s="54"/>
      <c r="AI858" s="44"/>
      <c r="AJ858" s="44"/>
      <c r="AK858" s="44"/>
      <c r="AL858" s="44"/>
      <c r="AM858" s="44"/>
      <c r="AN858" s="44"/>
      <c r="AO858" s="44"/>
      <c r="AP858" s="44"/>
      <c r="AQ858" s="44"/>
      <c r="AR858" s="44"/>
      <c r="AS858" s="44"/>
      <c r="AT858" s="41"/>
      <c r="AU858" s="41"/>
      <c r="AV858" s="45"/>
      <c r="AW858" s="44"/>
      <c r="AX858" s="45"/>
    </row>
    <row r="859">
      <c r="A859" s="60" t="s">
        <v>4217</v>
      </c>
      <c r="B859" s="61">
        <v>45968.190559097224</v>
      </c>
      <c r="C859" s="68" t="s">
        <v>4218</v>
      </c>
      <c r="D859" s="63" t="s">
        <v>3895</v>
      </c>
      <c r="E859" s="68" t="s">
        <v>3896</v>
      </c>
      <c r="F859" s="64" t="s">
        <v>4217</v>
      </c>
      <c r="G859" s="62">
        <v>300.0</v>
      </c>
      <c r="H859" s="62">
        <v>7.0</v>
      </c>
      <c r="I859" s="62">
        <v>8.0</v>
      </c>
      <c r="J859" s="68" t="s">
        <v>4219</v>
      </c>
      <c r="K859" s="66"/>
      <c r="L859" s="66"/>
      <c r="M859" s="66"/>
      <c r="N859" s="62">
        <v>10.0</v>
      </c>
      <c r="O859" s="66"/>
      <c r="P859" s="66"/>
      <c r="Q859" s="66"/>
      <c r="R859" s="66"/>
      <c r="S859" s="66"/>
      <c r="T859" s="66"/>
      <c r="U859" s="66"/>
      <c r="V859" s="67" t="s">
        <v>4220</v>
      </c>
      <c r="W859" s="68" t="s">
        <v>4221</v>
      </c>
      <c r="X859" s="66"/>
      <c r="Y859" s="66"/>
      <c r="Z859" s="68" t="s">
        <v>3900</v>
      </c>
      <c r="AA859" s="62">
        <v>4.0</v>
      </c>
      <c r="AB859" s="66"/>
      <c r="AC859" s="69"/>
      <c r="AD859" s="37"/>
      <c r="AE859" s="37"/>
      <c r="AF859" s="37"/>
      <c r="AG859" s="37"/>
      <c r="AH859" s="37"/>
      <c r="AI859" s="31"/>
      <c r="AJ859" s="31"/>
      <c r="AK859" s="31"/>
      <c r="AL859" s="31"/>
      <c r="AM859" s="31"/>
      <c r="AN859" s="31"/>
      <c r="AO859" s="31"/>
      <c r="AP859" s="31"/>
      <c r="AQ859" s="31"/>
      <c r="AR859" s="31"/>
      <c r="AS859" s="31"/>
      <c r="AT859" s="36"/>
      <c r="AU859" s="36"/>
      <c r="AV859" s="34"/>
      <c r="AW859" s="31"/>
      <c r="AX859" s="34"/>
    </row>
    <row r="860">
      <c r="A860" s="70" t="s">
        <v>3915</v>
      </c>
      <c r="B860" s="71">
        <v>45968.19930420139</v>
      </c>
      <c r="C860" s="72" t="s">
        <v>3903</v>
      </c>
      <c r="D860" s="73" t="s">
        <v>3904</v>
      </c>
      <c r="E860" s="72" t="s">
        <v>4222</v>
      </c>
      <c r="F860" s="74" t="s">
        <v>3915</v>
      </c>
      <c r="G860" s="76">
        <v>311.0</v>
      </c>
      <c r="H860" s="76">
        <v>10.0</v>
      </c>
      <c r="I860" s="76">
        <v>10.0</v>
      </c>
      <c r="J860" s="72" t="s">
        <v>4167</v>
      </c>
      <c r="K860" s="77"/>
      <c r="L860" s="77"/>
      <c r="M860" s="77"/>
      <c r="N860" s="76">
        <v>10.0</v>
      </c>
      <c r="O860" s="77"/>
      <c r="P860" s="77"/>
      <c r="Q860" s="77"/>
      <c r="R860" s="77"/>
      <c r="S860" s="77"/>
      <c r="T860" s="77"/>
      <c r="U860" s="77"/>
      <c r="V860" s="78" t="s">
        <v>4223</v>
      </c>
      <c r="W860" s="77"/>
      <c r="X860" s="77"/>
      <c r="Y860" s="77"/>
      <c r="Z860" s="72" t="s">
        <v>4224</v>
      </c>
      <c r="AA860" s="76">
        <v>4.0</v>
      </c>
      <c r="AB860" s="77"/>
      <c r="AC860" s="79"/>
      <c r="AD860" s="54"/>
      <c r="AE860" s="54"/>
      <c r="AF860" s="54"/>
      <c r="AG860" s="54"/>
      <c r="AH860" s="54"/>
      <c r="AI860" s="44"/>
      <c r="AJ860" s="44"/>
      <c r="AK860" s="44"/>
      <c r="AL860" s="44"/>
      <c r="AM860" s="44"/>
      <c r="AN860" s="44"/>
      <c r="AO860" s="44"/>
      <c r="AP860" s="44"/>
      <c r="AQ860" s="44"/>
      <c r="AR860" s="44"/>
      <c r="AS860" s="44"/>
      <c r="AT860" s="41"/>
      <c r="AU860" s="41"/>
      <c r="AV860" s="45"/>
      <c r="AW860" s="44"/>
      <c r="AX860" s="45"/>
    </row>
    <row r="861">
      <c r="A861" s="60" t="s">
        <v>4049</v>
      </c>
      <c r="B861" s="61">
        <v>45968.20408946759</v>
      </c>
      <c r="C861" s="68" t="s">
        <v>4050</v>
      </c>
      <c r="D861" s="63" t="s">
        <v>4051</v>
      </c>
      <c r="E861" s="68" t="s">
        <v>4225</v>
      </c>
      <c r="F861" s="64" t="s">
        <v>4049</v>
      </c>
      <c r="G861" s="62">
        <v>251.0</v>
      </c>
      <c r="H861" s="62">
        <v>10.0</v>
      </c>
      <c r="I861" s="62">
        <v>9.0</v>
      </c>
      <c r="J861" s="62">
        <v>0.0</v>
      </c>
      <c r="K861" s="66"/>
      <c r="L861" s="66"/>
      <c r="M861" s="66"/>
      <c r="N861" s="62">
        <v>10.0</v>
      </c>
      <c r="O861" s="66"/>
      <c r="P861" s="66"/>
      <c r="Q861" s="66"/>
      <c r="R861" s="66"/>
      <c r="S861" s="66"/>
      <c r="T861" s="66"/>
      <c r="U861" s="66"/>
      <c r="V861" s="67" t="s">
        <v>4226</v>
      </c>
      <c r="W861" s="68" t="s">
        <v>197</v>
      </c>
      <c r="X861" s="66"/>
      <c r="Y861" s="66"/>
      <c r="Z861" s="68" t="s">
        <v>4055</v>
      </c>
      <c r="AA861" s="62">
        <v>4.0</v>
      </c>
      <c r="AB861" s="66"/>
      <c r="AC861" s="69"/>
      <c r="AD861" s="37"/>
      <c r="AE861" s="37"/>
      <c r="AF861" s="37"/>
      <c r="AG861" s="37"/>
      <c r="AH861" s="37"/>
      <c r="AI861" s="31"/>
      <c r="AJ861" s="31"/>
      <c r="AK861" s="31"/>
      <c r="AL861" s="31"/>
      <c r="AM861" s="31"/>
      <c r="AN861" s="31"/>
      <c r="AO861" s="31"/>
      <c r="AP861" s="31"/>
      <c r="AQ861" s="31"/>
      <c r="AR861" s="31"/>
      <c r="AS861" s="31"/>
      <c r="AT861" s="36"/>
      <c r="AU861" s="36"/>
      <c r="AV861" s="34"/>
      <c r="AW861" s="31"/>
      <c r="AX861" s="34"/>
    </row>
    <row r="862">
      <c r="A862" s="70" t="s">
        <v>3961</v>
      </c>
      <c r="B862" s="71">
        <v>45968.23159717592</v>
      </c>
      <c r="C862" s="72" t="s">
        <v>3962</v>
      </c>
      <c r="D862" s="73" t="s">
        <v>3963</v>
      </c>
      <c r="E862" s="72" t="s">
        <v>4102</v>
      </c>
      <c r="F862" s="74" t="s">
        <v>3961</v>
      </c>
      <c r="G862" s="76">
        <v>500.0</v>
      </c>
      <c r="H862" s="76">
        <v>4.0</v>
      </c>
      <c r="I862" s="76">
        <v>5.0</v>
      </c>
      <c r="J862" s="76">
        <v>6.0</v>
      </c>
      <c r="K862" s="77"/>
      <c r="L862" s="77"/>
      <c r="M862" s="77"/>
      <c r="N862" s="76">
        <v>5.0</v>
      </c>
      <c r="O862" s="77"/>
      <c r="P862" s="77"/>
      <c r="Q862" s="77"/>
      <c r="R862" s="77"/>
      <c r="S862" s="77"/>
      <c r="T862" s="77"/>
      <c r="U862" s="77"/>
      <c r="V862" s="78" t="s">
        <v>4227</v>
      </c>
      <c r="W862" s="77"/>
      <c r="X862" s="77"/>
      <c r="Y862" s="77"/>
      <c r="Z862" s="72" t="s">
        <v>3966</v>
      </c>
      <c r="AA862" s="76">
        <v>4.0</v>
      </c>
      <c r="AB862" s="77"/>
      <c r="AC862" s="79"/>
      <c r="AD862" s="54"/>
      <c r="AE862" s="54"/>
      <c r="AF862" s="54"/>
      <c r="AG862" s="54"/>
      <c r="AH862" s="54"/>
      <c r="AI862" s="44"/>
      <c r="AJ862" s="44"/>
      <c r="AK862" s="44"/>
      <c r="AL862" s="44"/>
      <c r="AM862" s="44"/>
      <c r="AN862" s="44"/>
      <c r="AO862" s="44"/>
      <c r="AP862" s="44"/>
      <c r="AQ862" s="44"/>
      <c r="AR862" s="44"/>
      <c r="AS862" s="44"/>
      <c r="AT862" s="41"/>
      <c r="AU862" s="41"/>
      <c r="AV862" s="45"/>
      <c r="AW862" s="44"/>
      <c r="AX862" s="45"/>
    </row>
    <row r="863">
      <c r="A863" s="60" t="s">
        <v>4072</v>
      </c>
      <c r="B863" s="61">
        <v>45968.23731439815</v>
      </c>
      <c r="C863" s="68" t="s">
        <v>3933</v>
      </c>
      <c r="D863" s="63" t="s">
        <v>3934</v>
      </c>
      <c r="E863" s="68" t="s">
        <v>4228</v>
      </c>
      <c r="F863" s="64" t="s">
        <v>4072</v>
      </c>
      <c r="G863" s="62">
        <v>372.0</v>
      </c>
      <c r="H863" s="62">
        <v>9.0</v>
      </c>
      <c r="I863" s="62">
        <v>9.0</v>
      </c>
      <c r="J863" s="62">
        <v>0.0</v>
      </c>
      <c r="K863" s="66"/>
      <c r="L863" s="66"/>
      <c r="M863" s="66"/>
      <c r="N863" s="62">
        <v>8.0</v>
      </c>
      <c r="O863" s="66"/>
      <c r="P863" s="66"/>
      <c r="Q863" s="66"/>
      <c r="R863" s="66"/>
      <c r="S863" s="66"/>
      <c r="T863" s="66"/>
      <c r="U863" s="66"/>
      <c r="V863" s="67" t="s">
        <v>4229</v>
      </c>
      <c r="W863" s="66"/>
      <c r="X863" s="66"/>
      <c r="Y863" s="66"/>
      <c r="Z863" s="68" t="s">
        <v>3938</v>
      </c>
      <c r="AA863" s="62">
        <v>3.0</v>
      </c>
      <c r="AB863" s="66"/>
      <c r="AC863" s="69"/>
      <c r="AD863" s="37"/>
      <c r="AE863" s="37"/>
      <c r="AF863" s="37"/>
      <c r="AG863" s="37"/>
      <c r="AH863" s="37"/>
      <c r="AI863" s="31"/>
      <c r="AJ863" s="31"/>
      <c r="AK863" s="31"/>
      <c r="AL863" s="31"/>
      <c r="AM863" s="31"/>
      <c r="AN863" s="31"/>
      <c r="AO863" s="31"/>
      <c r="AP863" s="31"/>
      <c r="AQ863" s="31"/>
      <c r="AR863" s="31"/>
      <c r="AS863" s="31"/>
      <c r="AT863" s="36"/>
      <c r="AU863" s="36"/>
      <c r="AV863" s="34"/>
      <c r="AW863" s="31"/>
      <c r="AX863" s="34"/>
    </row>
    <row r="864">
      <c r="A864" s="70" t="s">
        <v>3983</v>
      </c>
      <c r="B864" s="71">
        <v>45968.26018777778</v>
      </c>
      <c r="C864" s="72" t="s">
        <v>2085</v>
      </c>
      <c r="D864" s="73" t="s">
        <v>3984</v>
      </c>
      <c r="E864" s="76" t="s">
        <v>4230</v>
      </c>
      <c r="F864" s="74" t="s">
        <v>3983</v>
      </c>
      <c r="G864" s="76">
        <v>278.0</v>
      </c>
      <c r="H864" s="76">
        <v>9.0</v>
      </c>
      <c r="I864" s="76">
        <v>9.0</v>
      </c>
      <c r="J864" s="76" t="s">
        <v>1450</v>
      </c>
      <c r="K864" s="77"/>
      <c r="L864" s="77"/>
      <c r="M864" s="77"/>
      <c r="N864" s="76">
        <v>9.0</v>
      </c>
      <c r="O864" s="77"/>
      <c r="P864" s="77"/>
      <c r="Q864" s="77"/>
      <c r="R864" s="77"/>
      <c r="S864" s="77"/>
      <c r="T864" s="77"/>
      <c r="U864" s="77"/>
      <c r="V864" s="78" t="s">
        <v>4231</v>
      </c>
      <c r="W864" s="76" t="s">
        <v>1450</v>
      </c>
      <c r="X864" s="77"/>
      <c r="Y864" s="77"/>
      <c r="Z864" s="72" t="s">
        <v>3987</v>
      </c>
      <c r="AA864" s="76">
        <v>4.0</v>
      </c>
      <c r="AB864" s="77"/>
      <c r="AC864" s="79"/>
      <c r="AD864" s="54"/>
      <c r="AE864" s="54"/>
      <c r="AF864" s="54"/>
      <c r="AG864" s="54"/>
      <c r="AH864" s="54"/>
      <c r="AI864" s="44"/>
      <c r="AJ864" s="44"/>
      <c r="AK864" s="44"/>
      <c r="AL864" s="44"/>
      <c r="AM864" s="44"/>
      <c r="AN864" s="44"/>
      <c r="AO864" s="44"/>
      <c r="AP864" s="44"/>
      <c r="AQ864" s="44"/>
      <c r="AR864" s="44"/>
      <c r="AS864" s="44"/>
      <c r="AT864" s="41"/>
      <c r="AU864" s="41"/>
      <c r="AV864" s="45"/>
      <c r="AW864" s="44"/>
      <c r="AX864" s="45"/>
    </row>
    <row r="865">
      <c r="A865" s="60" t="s">
        <v>4002</v>
      </c>
      <c r="B865" s="61">
        <v>45968.27086837963</v>
      </c>
      <c r="C865" s="68" t="s">
        <v>4232</v>
      </c>
      <c r="D865" s="63" t="s">
        <v>4176</v>
      </c>
      <c r="E865" s="62" t="s">
        <v>4233</v>
      </c>
      <c r="F865" s="64" t="s">
        <v>4002</v>
      </c>
      <c r="G865" s="62">
        <v>380.0</v>
      </c>
      <c r="H865" s="62">
        <v>4.0</v>
      </c>
      <c r="I865" s="62">
        <v>3.0</v>
      </c>
      <c r="J865" s="62">
        <v>10.0</v>
      </c>
      <c r="K865" s="66"/>
      <c r="L865" s="66"/>
      <c r="M865" s="66"/>
      <c r="N865" s="62">
        <v>5.0</v>
      </c>
      <c r="O865" s="66"/>
      <c r="P865" s="66"/>
      <c r="Q865" s="66"/>
      <c r="R865" s="66"/>
      <c r="S865" s="66"/>
      <c r="T865" s="66"/>
      <c r="U865" s="66"/>
      <c r="V865" s="67" t="s">
        <v>4234</v>
      </c>
      <c r="W865" s="66"/>
      <c r="X865" s="66"/>
      <c r="Y865" s="66"/>
      <c r="Z865" s="68" t="s">
        <v>4179</v>
      </c>
      <c r="AA865" s="62">
        <v>3.0</v>
      </c>
      <c r="AB865" s="66"/>
      <c r="AC865" s="69"/>
      <c r="AD865" s="37"/>
      <c r="AE865" s="37"/>
      <c r="AF865" s="37"/>
      <c r="AG865" s="37"/>
      <c r="AH865" s="37"/>
      <c r="AI865" s="31"/>
      <c r="AJ865" s="31"/>
      <c r="AK865" s="31"/>
      <c r="AL865" s="31"/>
      <c r="AM865" s="31"/>
      <c r="AN865" s="31"/>
      <c r="AO865" s="31"/>
      <c r="AP865" s="31"/>
      <c r="AQ865" s="31"/>
      <c r="AR865" s="31"/>
      <c r="AS865" s="31"/>
      <c r="AT865" s="36"/>
      <c r="AU865" s="36"/>
      <c r="AV865" s="34"/>
      <c r="AW865" s="31"/>
      <c r="AX865" s="34"/>
    </row>
    <row r="866">
      <c r="A866" s="70" t="s">
        <v>3857</v>
      </c>
      <c r="B866" s="71">
        <v>45968.288007407406</v>
      </c>
      <c r="C866" s="72" t="s">
        <v>4235</v>
      </c>
      <c r="D866" s="73" t="s">
        <v>3859</v>
      </c>
      <c r="E866" s="72" t="s">
        <v>4236</v>
      </c>
      <c r="F866" s="74" t="s">
        <v>3857</v>
      </c>
      <c r="G866" s="76">
        <v>950.0</v>
      </c>
      <c r="H866" s="76">
        <v>10.0</v>
      </c>
      <c r="I866" s="76">
        <v>9.0</v>
      </c>
      <c r="J866" s="76">
        <v>0.0</v>
      </c>
      <c r="K866" s="77"/>
      <c r="L866" s="77"/>
      <c r="M866" s="77"/>
      <c r="N866" s="76">
        <v>9.0</v>
      </c>
      <c r="O866" s="77"/>
      <c r="P866" s="77"/>
      <c r="Q866" s="77"/>
      <c r="R866" s="77"/>
      <c r="S866" s="77"/>
      <c r="T866" s="77"/>
      <c r="U866" s="77"/>
      <c r="V866" s="78" t="s">
        <v>4237</v>
      </c>
      <c r="W866" s="77"/>
      <c r="X866" s="77"/>
      <c r="Y866" s="77"/>
      <c r="Z866" s="72" t="s">
        <v>3862</v>
      </c>
      <c r="AA866" s="72" t="s">
        <v>4</v>
      </c>
      <c r="AB866" s="77"/>
      <c r="AC866" s="79"/>
      <c r="AD866" s="54"/>
      <c r="AE866" s="54"/>
      <c r="AF866" s="54"/>
      <c r="AG866" s="54"/>
      <c r="AH866" s="54"/>
      <c r="AI866" s="44"/>
      <c r="AJ866" s="44"/>
      <c r="AK866" s="44"/>
      <c r="AL866" s="44"/>
      <c r="AM866" s="44"/>
      <c r="AN866" s="44"/>
      <c r="AO866" s="44"/>
      <c r="AP866" s="44"/>
      <c r="AQ866" s="44"/>
      <c r="AR866" s="44"/>
      <c r="AS866" s="44"/>
      <c r="AT866" s="41"/>
      <c r="AU866" s="41"/>
      <c r="AV866" s="45"/>
      <c r="AW866" s="44"/>
      <c r="AX866" s="45"/>
    </row>
    <row r="867">
      <c r="A867" s="60" t="s">
        <v>3977</v>
      </c>
      <c r="B867" s="61">
        <v>45968.36213982639</v>
      </c>
      <c r="C867" s="68" t="s">
        <v>4238</v>
      </c>
      <c r="D867" s="63" t="s">
        <v>3979</v>
      </c>
      <c r="E867" s="68" t="s">
        <v>3980</v>
      </c>
      <c r="F867" s="64" t="s">
        <v>3977</v>
      </c>
      <c r="G867" s="62">
        <v>105.0</v>
      </c>
      <c r="H867" s="62">
        <v>9.0</v>
      </c>
      <c r="I867" s="62">
        <v>8.0</v>
      </c>
      <c r="J867" s="62">
        <v>1.0</v>
      </c>
      <c r="K867" s="66"/>
      <c r="L867" s="66"/>
      <c r="M867" s="66"/>
      <c r="N867" s="62">
        <v>9.0</v>
      </c>
      <c r="O867" s="66"/>
      <c r="P867" s="66"/>
      <c r="Q867" s="66"/>
      <c r="R867" s="66"/>
      <c r="S867" s="66"/>
      <c r="T867" s="66"/>
      <c r="U867" s="66"/>
      <c r="V867" s="67" t="s">
        <v>4239</v>
      </c>
      <c r="W867" s="68" t="s">
        <v>197</v>
      </c>
      <c r="X867" s="66"/>
      <c r="Y867" s="66"/>
      <c r="Z867" s="68" t="s">
        <v>3982</v>
      </c>
      <c r="AA867" s="62">
        <v>3.0</v>
      </c>
      <c r="AB867" s="66"/>
      <c r="AC867" s="69"/>
      <c r="AD867" s="37"/>
      <c r="AE867" s="37"/>
      <c r="AF867" s="37"/>
      <c r="AG867" s="37"/>
      <c r="AH867" s="37"/>
      <c r="AI867" s="31"/>
      <c r="AJ867" s="31"/>
      <c r="AK867" s="31"/>
      <c r="AL867" s="31"/>
      <c r="AM867" s="31"/>
      <c r="AN867" s="31"/>
      <c r="AO867" s="31"/>
      <c r="AP867" s="31"/>
      <c r="AQ867" s="31"/>
      <c r="AR867" s="31"/>
      <c r="AS867" s="31"/>
      <c r="AT867" s="36"/>
      <c r="AU867" s="36"/>
      <c r="AV867" s="34"/>
      <c r="AW867" s="31"/>
      <c r="AX867" s="34"/>
    </row>
    <row r="868">
      <c r="A868" s="70" t="s">
        <v>3868</v>
      </c>
      <c r="B868" s="71">
        <v>45968.36929287037</v>
      </c>
      <c r="C868" s="72" t="s">
        <v>4240</v>
      </c>
      <c r="D868" s="73" t="s">
        <v>1440</v>
      </c>
      <c r="E868" s="72" t="s">
        <v>4241</v>
      </c>
      <c r="F868" s="74" t="s">
        <v>3868</v>
      </c>
      <c r="G868" s="76">
        <v>220.0</v>
      </c>
      <c r="H868" s="76">
        <v>4.0</v>
      </c>
      <c r="I868" s="76">
        <v>5.0</v>
      </c>
      <c r="J868" s="76">
        <v>0.0</v>
      </c>
      <c r="K868" s="77"/>
      <c r="L868" s="77"/>
      <c r="M868" s="77"/>
      <c r="N868" s="76">
        <v>8.0</v>
      </c>
      <c r="O868" s="77"/>
      <c r="P868" s="77"/>
      <c r="Q868" s="77"/>
      <c r="R868" s="77"/>
      <c r="S868" s="77"/>
      <c r="T868" s="77"/>
      <c r="U868" s="77"/>
      <c r="V868" s="78" t="s">
        <v>4242</v>
      </c>
      <c r="W868" s="72" t="s">
        <v>197</v>
      </c>
      <c r="X868" s="77"/>
      <c r="Y868" s="77"/>
      <c r="Z868" s="72" t="s">
        <v>1445</v>
      </c>
      <c r="AA868" s="76">
        <v>4.0</v>
      </c>
      <c r="AB868" s="77"/>
      <c r="AC868" s="79"/>
      <c r="AD868" s="54"/>
      <c r="AE868" s="54"/>
      <c r="AF868" s="54"/>
      <c r="AG868" s="54"/>
      <c r="AH868" s="54"/>
      <c r="AI868" s="44"/>
      <c r="AJ868" s="44"/>
      <c r="AK868" s="44"/>
      <c r="AL868" s="44"/>
      <c r="AM868" s="44"/>
      <c r="AN868" s="44"/>
      <c r="AO868" s="44"/>
      <c r="AP868" s="44"/>
      <c r="AQ868" s="44"/>
      <c r="AR868" s="44"/>
      <c r="AS868" s="44"/>
      <c r="AT868" s="41"/>
      <c r="AU868" s="41"/>
      <c r="AV868" s="45"/>
      <c r="AW868" s="44"/>
      <c r="AX868" s="45"/>
    </row>
    <row r="869">
      <c r="A869" s="60" t="s">
        <v>3995</v>
      </c>
      <c r="B869" s="61">
        <v>45968.88213302083</v>
      </c>
      <c r="C869" s="68" t="s">
        <v>4243</v>
      </c>
      <c r="D869" s="63" t="s">
        <v>3997</v>
      </c>
      <c r="E869" s="68" t="s">
        <v>4244</v>
      </c>
      <c r="F869" s="64" t="s">
        <v>3995</v>
      </c>
      <c r="G869" s="62">
        <v>150.0</v>
      </c>
      <c r="H869" s="62">
        <v>7.0</v>
      </c>
      <c r="I869" s="62">
        <v>8.0</v>
      </c>
      <c r="J869" s="62">
        <v>0.0</v>
      </c>
      <c r="K869" s="66"/>
      <c r="L869" s="66"/>
      <c r="M869" s="66"/>
      <c r="N869" s="62">
        <v>9.0</v>
      </c>
      <c r="O869" s="66"/>
      <c r="P869" s="66"/>
      <c r="Q869" s="66"/>
      <c r="R869" s="66"/>
      <c r="S869" s="66"/>
      <c r="T869" s="66"/>
      <c r="U869" s="66"/>
      <c r="V869" s="66"/>
      <c r="W869" s="68" t="s">
        <v>197</v>
      </c>
      <c r="X869" s="66"/>
      <c r="Y869" s="66"/>
      <c r="Z869" s="68" t="s">
        <v>4245</v>
      </c>
      <c r="AA869" s="68" t="s">
        <v>4</v>
      </c>
      <c r="AB869" s="66"/>
      <c r="AC869" s="69"/>
      <c r="AD869" s="37"/>
      <c r="AE869" s="37"/>
      <c r="AF869" s="37"/>
      <c r="AG869" s="37"/>
      <c r="AH869" s="37"/>
      <c r="AI869" s="31"/>
      <c r="AJ869" s="31"/>
      <c r="AK869" s="31"/>
      <c r="AL869" s="31"/>
      <c r="AM869" s="31"/>
      <c r="AN869" s="31"/>
      <c r="AO869" s="31"/>
      <c r="AP869" s="31"/>
      <c r="AQ869" s="31"/>
      <c r="AR869" s="31"/>
      <c r="AS869" s="31"/>
      <c r="AT869" s="36"/>
      <c r="AU869" s="36"/>
      <c r="AV869" s="34"/>
      <c r="AW869" s="31"/>
      <c r="AX869" s="34"/>
    </row>
    <row r="870">
      <c r="A870" s="70" t="s">
        <v>4246</v>
      </c>
      <c r="B870" s="71">
        <v>45969.03689142361</v>
      </c>
      <c r="C870" s="72" t="s">
        <v>4247</v>
      </c>
      <c r="D870" s="73" t="s">
        <v>4212</v>
      </c>
      <c r="E870" s="72" t="s">
        <v>4248</v>
      </c>
      <c r="F870" s="74" t="s">
        <v>4246</v>
      </c>
      <c r="G870" s="76">
        <v>300.0</v>
      </c>
      <c r="H870" s="76">
        <v>10.0</v>
      </c>
      <c r="I870" s="76">
        <v>10.0</v>
      </c>
      <c r="J870" s="76">
        <v>8.0</v>
      </c>
      <c r="K870" s="77"/>
      <c r="L870" s="77"/>
      <c r="M870" s="77"/>
      <c r="N870" s="76">
        <v>10.0</v>
      </c>
      <c r="O870" s="77"/>
      <c r="P870" s="77"/>
      <c r="Q870" s="77"/>
      <c r="R870" s="77"/>
      <c r="S870" s="77"/>
      <c r="T870" s="77"/>
      <c r="U870" s="77"/>
      <c r="V870" s="78" t="s">
        <v>4249</v>
      </c>
      <c r="W870" s="72" t="s">
        <v>197</v>
      </c>
      <c r="X870" s="77"/>
      <c r="Y870" s="77"/>
      <c r="Z870" s="72" t="s">
        <v>4250</v>
      </c>
      <c r="AA870" s="76">
        <v>4.0</v>
      </c>
      <c r="AB870" s="77"/>
      <c r="AC870" s="79"/>
      <c r="AD870" s="54"/>
      <c r="AE870" s="54"/>
      <c r="AF870" s="54"/>
      <c r="AG870" s="54"/>
      <c r="AH870" s="54"/>
      <c r="AI870" s="44"/>
      <c r="AJ870" s="44"/>
      <c r="AK870" s="44"/>
      <c r="AL870" s="44"/>
      <c r="AM870" s="44"/>
      <c r="AN870" s="44"/>
      <c r="AO870" s="44"/>
      <c r="AP870" s="44"/>
      <c r="AQ870" s="44"/>
      <c r="AR870" s="44"/>
      <c r="AS870" s="44"/>
      <c r="AT870" s="41"/>
      <c r="AU870" s="41"/>
      <c r="AV870" s="45"/>
      <c r="AW870" s="44"/>
      <c r="AX870" s="45"/>
    </row>
    <row r="871">
      <c r="A871" s="60" t="s">
        <v>4251</v>
      </c>
      <c r="B871" s="61">
        <v>45969.13167673611</v>
      </c>
      <c r="C871" s="68" t="s">
        <v>3927</v>
      </c>
      <c r="D871" s="63" t="s">
        <v>3928</v>
      </c>
      <c r="E871" s="68" t="s">
        <v>4252</v>
      </c>
      <c r="F871" s="64" t="s">
        <v>4251</v>
      </c>
      <c r="G871" s="62">
        <v>400.0</v>
      </c>
      <c r="H871" s="62">
        <v>9.0</v>
      </c>
      <c r="I871" s="62">
        <v>9.0</v>
      </c>
      <c r="J871" s="68" t="s">
        <v>197</v>
      </c>
      <c r="K871" s="66"/>
      <c r="L871" s="66"/>
      <c r="M871" s="66"/>
      <c r="N871" s="62">
        <v>9.0</v>
      </c>
      <c r="O871" s="66"/>
      <c r="P871" s="66"/>
      <c r="Q871" s="66"/>
      <c r="R871" s="66"/>
      <c r="S871" s="66"/>
      <c r="T871" s="66"/>
      <c r="U871" s="66"/>
      <c r="V871" s="67" t="s">
        <v>4253</v>
      </c>
      <c r="W871" s="68" t="s">
        <v>1228</v>
      </c>
      <c r="X871" s="66"/>
      <c r="Y871" s="66"/>
      <c r="Z871" s="68" t="s">
        <v>3931</v>
      </c>
      <c r="AA871" s="62">
        <v>5.0</v>
      </c>
      <c r="AB871" s="66"/>
      <c r="AC871" s="69"/>
      <c r="AD871" s="37"/>
      <c r="AE871" s="37"/>
      <c r="AF871" s="37"/>
      <c r="AG871" s="37"/>
      <c r="AH871" s="37"/>
      <c r="AI871" s="31"/>
      <c r="AJ871" s="31"/>
      <c r="AK871" s="31"/>
      <c r="AL871" s="31"/>
      <c r="AM871" s="31"/>
      <c r="AN871" s="31"/>
      <c r="AO871" s="31"/>
      <c r="AP871" s="31"/>
      <c r="AQ871" s="31"/>
      <c r="AR871" s="31"/>
      <c r="AS871" s="31"/>
      <c r="AT871" s="36"/>
      <c r="AU871" s="36"/>
      <c r="AV871" s="34"/>
      <c r="AW871" s="31"/>
      <c r="AX871" s="34"/>
    </row>
    <row r="872">
      <c r="A872" s="70" t="s">
        <v>4202</v>
      </c>
      <c r="B872" s="71">
        <v>45969.31407532407</v>
      </c>
      <c r="C872" s="72" t="s">
        <v>4254</v>
      </c>
      <c r="D872" s="73" t="s">
        <v>4255</v>
      </c>
      <c r="E872" s="72" t="s">
        <v>4256</v>
      </c>
      <c r="F872" s="74" t="s">
        <v>4202</v>
      </c>
      <c r="G872" s="76">
        <v>118.0</v>
      </c>
      <c r="H872" s="76">
        <v>9.0</v>
      </c>
      <c r="I872" s="76">
        <v>9.0</v>
      </c>
      <c r="J872" s="76">
        <v>0.0</v>
      </c>
      <c r="K872" s="77"/>
      <c r="L872" s="77"/>
      <c r="M872" s="77"/>
      <c r="N872" s="76">
        <v>8.0</v>
      </c>
      <c r="O872" s="77"/>
      <c r="P872" s="77"/>
      <c r="Q872" s="77"/>
      <c r="R872" s="77"/>
      <c r="S872" s="77"/>
      <c r="T872" s="77"/>
      <c r="U872" s="77"/>
      <c r="V872" s="78" t="s">
        <v>4257</v>
      </c>
      <c r="W872" s="77"/>
      <c r="X872" s="77"/>
      <c r="Y872" s="77"/>
      <c r="Z872" s="72" t="s">
        <v>1077</v>
      </c>
      <c r="AA872" s="76">
        <v>4.0</v>
      </c>
      <c r="AB872" s="77"/>
      <c r="AC872" s="79"/>
      <c r="AD872" s="54"/>
      <c r="AE872" s="54"/>
      <c r="AF872" s="54"/>
      <c r="AG872" s="54"/>
      <c r="AH872" s="54"/>
      <c r="AI872" s="44"/>
      <c r="AJ872" s="44"/>
      <c r="AK872" s="44"/>
      <c r="AL872" s="44"/>
      <c r="AM872" s="44"/>
      <c r="AN872" s="44"/>
      <c r="AO872" s="44"/>
      <c r="AP872" s="44"/>
      <c r="AQ872" s="44"/>
      <c r="AR872" s="44"/>
      <c r="AS872" s="44"/>
      <c r="AT872" s="41"/>
      <c r="AU872" s="41"/>
      <c r="AV872" s="45"/>
      <c r="AW872" s="44"/>
      <c r="AX872" s="45"/>
    </row>
    <row r="873">
      <c r="A873" s="60" t="s">
        <v>4124</v>
      </c>
      <c r="B873" s="61">
        <v>45971.817837083334</v>
      </c>
      <c r="C873" s="68" t="s">
        <v>4258</v>
      </c>
      <c r="D873" s="63" t="s">
        <v>4259</v>
      </c>
      <c r="E873" s="68" t="s">
        <v>598</v>
      </c>
      <c r="F873" s="64" t="s">
        <v>4124</v>
      </c>
      <c r="G873" s="62">
        <v>106.0</v>
      </c>
      <c r="H873" s="62">
        <v>9.0</v>
      </c>
      <c r="I873" s="62">
        <v>8.0</v>
      </c>
      <c r="J873" s="62">
        <v>1.0</v>
      </c>
      <c r="K873" s="66"/>
      <c r="L873" s="66"/>
      <c r="M873" s="66"/>
      <c r="N873" s="62">
        <v>8.0</v>
      </c>
      <c r="O873" s="66"/>
      <c r="P873" s="66"/>
      <c r="Q873" s="66"/>
      <c r="R873" s="66"/>
      <c r="S873" s="66"/>
      <c r="T873" s="66"/>
      <c r="U873" s="66"/>
      <c r="V873" s="67" t="s">
        <v>4260</v>
      </c>
      <c r="W873" s="66"/>
      <c r="X873" s="66"/>
      <c r="Y873" s="66"/>
      <c r="Z873" s="68" t="s">
        <v>1077</v>
      </c>
      <c r="AA873" s="62">
        <v>4.0</v>
      </c>
      <c r="AB873" s="66"/>
      <c r="AC873" s="69"/>
      <c r="AD873" s="37"/>
      <c r="AE873" s="37"/>
      <c r="AF873" s="37"/>
      <c r="AG873" s="37"/>
      <c r="AH873" s="37"/>
      <c r="AI873" s="31"/>
      <c r="AJ873" s="31"/>
      <c r="AK873" s="31"/>
      <c r="AL873" s="31"/>
      <c r="AM873" s="31"/>
      <c r="AN873" s="31"/>
      <c r="AO873" s="31"/>
      <c r="AP873" s="31"/>
      <c r="AQ873" s="31"/>
      <c r="AR873" s="31"/>
      <c r="AS873" s="31"/>
      <c r="AT873" s="36"/>
      <c r="AU873" s="36"/>
      <c r="AV873" s="34"/>
      <c r="AW873" s="31"/>
      <c r="AX873" s="34"/>
    </row>
    <row r="874">
      <c r="A874" s="70" t="s">
        <v>4169</v>
      </c>
      <c r="B874" s="71">
        <v>45975.21345668982</v>
      </c>
      <c r="C874" s="72" t="s">
        <v>3933</v>
      </c>
      <c r="D874" s="73" t="s">
        <v>3934</v>
      </c>
      <c r="E874" s="72" t="s">
        <v>4170</v>
      </c>
      <c r="F874" s="74" t="s">
        <v>4169</v>
      </c>
      <c r="G874" s="76">
        <v>542.0</v>
      </c>
      <c r="H874" s="76">
        <v>9.0</v>
      </c>
      <c r="I874" s="76">
        <v>8.0</v>
      </c>
      <c r="J874" s="76">
        <v>0.0</v>
      </c>
      <c r="K874" s="77"/>
      <c r="L874" s="77"/>
      <c r="M874" s="77"/>
      <c r="N874" s="76">
        <v>7.0</v>
      </c>
      <c r="O874" s="77"/>
      <c r="P874" s="77"/>
      <c r="Q874" s="77"/>
      <c r="R874" s="77"/>
      <c r="S874" s="77"/>
      <c r="T874" s="77"/>
      <c r="U874" s="77"/>
      <c r="V874" s="78" t="s">
        <v>4261</v>
      </c>
      <c r="W874" s="77"/>
      <c r="X874" s="77"/>
      <c r="Y874" s="77"/>
      <c r="Z874" s="72" t="s">
        <v>3938</v>
      </c>
      <c r="AA874" s="76">
        <v>5.0</v>
      </c>
      <c r="AB874" s="77"/>
      <c r="AC874" s="79"/>
      <c r="AD874" s="54"/>
      <c r="AE874" s="54"/>
      <c r="AF874" s="54"/>
      <c r="AG874" s="54"/>
      <c r="AH874" s="54"/>
      <c r="AI874" s="44"/>
      <c r="AJ874" s="44"/>
      <c r="AK874" s="44"/>
      <c r="AL874" s="44"/>
      <c r="AM874" s="44"/>
      <c r="AN874" s="44"/>
      <c r="AO874" s="44"/>
      <c r="AP874" s="44"/>
      <c r="AQ874" s="44"/>
      <c r="AR874" s="44"/>
      <c r="AS874" s="44"/>
      <c r="AT874" s="41"/>
      <c r="AU874" s="41"/>
      <c r="AV874" s="45"/>
      <c r="AW874" s="44"/>
      <c r="AX874" s="45"/>
    </row>
    <row r="875">
      <c r="A875" s="60" t="s">
        <v>3983</v>
      </c>
      <c r="B875" s="61">
        <v>45975.562215972226</v>
      </c>
      <c r="C875" s="62" t="s">
        <v>4097</v>
      </c>
      <c r="D875" s="63" t="s">
        <v>3984</v>
      </c>
      <c r="E875" s="62" t="s">
        <v>4262</v>
      </c>
      <c r="F875" s="64" t="s">
        <v>3983</v>
      </c>
      <c r="G875" s="62">
        <v>287.0</v>
      </c>
      <c r="H875" s="62">
        <v>9.0</v>
      </c>
      <c r="I875" s="62">
        <v>9.0</v>
      </c>
      <c r="J875" s="62" t="s">
        <v>1450</v>
      </c>
      <c r="K875" s="66"/>
      <c r="L875" s="66"/>
      <c r="M875" s="66"/>
      <c r="N875" s="62">
        <v>9.0</v>
      </c>
      <c r="O875" s="66"/>
      <c r="P875" s="66"/>
      <c r="Q875" s="66"/>
      <c r="R875" s="66"/>
      <c r="S875" s="66"/>
      <c r="T875" s="66"/>
      <c r="U875" s="66"/>
      <c r="V875" s="67" t="s">
        <v>4263</v>
      </c>
      <c r="W875" s="62" t="s">
        <v>799</v>
      </c>
      <c r="X875" s="66"/>
      <c r="Y875" s="66"/>
      <c r="Z875" s="68" t="s">
        <v>3987</v>
      </c>
      <c r="AA875" s="62">
        <v>5.0</v>
      </c>
      <c r="AB875" s="66"/>
      <c r="AC875" s="69"/>
      <c r="AD875" s="37"/>
      <c r="AE875" s="37"/>
      <c r="AF875" s="37"/>
      <c r="AG875" s="37"/>
      <c r="AH875" s="37"/>
      <c r="AI875" s="31"/>
      <c r="AJ875" s="31"/>
      <c r="AK875" s="31"/>
      <c r="AL875" s="31"/>
      <c r="AM875" s="31"/>
      <c r="AN875" s="31"/>
      <c r="AO875" s="31"/>
      <c r="AP875" s="31"/>
      <c r="AQ875" s="31"/>
      <c r="AR875" s="31"/>
      <c r="AS875" s="31"/>
      <c r="AT875" s="36"/>
      <c r="AU875" s="36"/>
      <c r="AV875" s="34"/>
      <c r="AW875" s="31"/>
      <c r="AX875" s="34"/>
    </row>
    <row r="876">
      <c r="A876" s="70" t="s">
        <v>4128</v>
      </c>
      <c r="B876" s="71">
        <v>45975.56632084491</v>
      </c>
      <c r="C876" s="72" t="s">
        <v>4207</v>
      </c>
      <c r="D876" s="73" t="s">
        <v>4130</v>
      </c>
      <c r="E876" s="72" t="s">
        <v>4264</v>
      </c>
      <c r="F876" s="74" t="s">
        <v>4128</v>
      </c>
      <c r="G876" s="76">
        <v>243.0</v>
      </c>
      <c r="H876" s="76">
        <v>6.0</v>
      </c>
      <c r="I876" s="76">
        <v>7.0</v>
      </c>
      <c r="J876" s="76">
        <v>2.0</v>
      </c>
      <c r="K876" s="77"/>
      <c r="L876" s="77"/>
      <c r="M876" s="77"/>
      <c r="N876" s="76">
        <v>8.0</v>
      </c>
      <c r="O876" s="77"/>
      <c r="P876" s="77"/>
      <c r="Q876" s="77"/>
      <c r="R876" s="77"/>
      <c r="S876" s="77"/>
      <c r="T876" s="77"/>
      <c r="U876" s="77"/>
      <c r="V876" s="78" t="s">
        <v>4265</v>
      </c>
      <c r="W876" s="77"/>
      <c r="X876" s="77"/>
      <c r="Y876" s="77"/>
      <c r="Z876" s="72" t="s">
        <v>4210</v>
      </c>
      <c r="AA876" s="76">
        <v>5.0</v>
      </c>
      <c r="AB876" s="77"/>
      <c r="AC876" s="79"/>
      <c r="AD876" s="54"/>
      <c r="AE876" s="54"/>
      <c r="AF876" s="54"/>
      <c r="AG876" s="54"/>
      <c r="AH876" s="54"/>
      <c r="AI876" s="44"/>
      <c r="AJ876" s="44"/>
      <c r="AK876" s="44"/>
      <c r="AL876" s="44"/>
      <c r="AM876" s="44"/>
      <c r="AN876" s="44"/>
      <c r="AO876" s="44"/>
      <c r="AP876" s="44"/>
      <c r="AQ876" s="44"/>
      <c r="AR876" s="44"/>
      <c r="AS876" s="44"/>
      <c r="AT876" s="41"/>
      <c r="AU876" s="41"/>
      <c r="AV876" s="45"/>
      <c r="AW876" s="44"/>
      <c r="AX876" s="45"/>
    </row>
    <row r="877">
      <c r="A877" s="60" t="s">
        <v>3961</v>
      </c>
      <c r="B877" s="61">
        <v>45975.573347453705</v>
      </c>
      <c r="C877" s="68" t="s">
        <v>3962</v>
      </c>
      <c r="D877" s="63" t="s">
        <v>3963</v>
      </c>
      <c r="E877" s="68" t="s">
        <v>4102</v>
      </c>
      <c r="F877" s="64" t="s">
        <v>3961</v>
      </c>
      <c r="G877" s="62">
        <v>500.0</v>
      </c>
      <c r="H877" s="62">
        <v>7.0</v>
      </c>
      <c r="I877" s="62">
        <v>7.0</v>
      </c>
      <c r="J877" s="62">
        <v>7.0</v>
      </c>
      <c r="K877" s="66"/>
      <c r="L877" s="66"/>
      <c r="M877" s="66"/>
      <c r="N877" s="62">
        <v>7.0</v>
      </c>
      <c r="O877" s="66"/>
      <c r="P877" s="66"/>
      <c r="Q877" s="66"/>
      <c r="R877" s="66"/>
      <c r="S877" s="66"/>
      <c r="T877" s="66"/>
      <c r="U877" s="66"/>
      <c r="V877" s="67" t="s">
        <v>4266</v>
      </c>
      <c r="W877" s="66"/>
      <c r="X877" s="66"/>
      <c r="Y877" s="66"/>
      <c r="Z877" s="68" t="s">
        <v>3966</v>
      </c>
      <c r="AA877" s="62">
        <v>5.0</v>
      </c>
      <c r="AB877" s="66"/>
      <c r="AC877" s="69"/>
      <c r="AD877" s="37"/>
      <c r="AE877" s="37"/>
      <c r="AF877" s="37"/>
      <c r="AG877" s="37"/>
      <c r="AH877" s="37"/>
      <c r="AI877" s="31"/>
      <c r="AJ877" s="31"/>
      <c r="AK877" s="31"/>
      <c r="AL877" s="31"/>
      <c r="AM877" s="31"/>
      <c r="AN877" s="31"/>
      <c r="AO877" s="31"/>
      <c r="AP877" s="31"/>
      <c r="AQ877" s="31"/>
      <c r="AR877" s="31"/>
      <c r="AS877" s="31"/>
      <c r="AT877" s="36"/>
      <c r="AU877" s="36"/>
      <c r="AV877" s="34"/>
      <c r="AW877" s="31"/>
      <c r="AX877" s="34"/>
    </row>
    <row r="878">
      <c r="A878" s="70" t="s">
        <v>4019</v>
      </c>
      <c r="B878" s="71">
        <v>45975.66373726852</v>
      </c>
      <c r="C878" s="72" t="s">
        <v>3996</v>
      </c>
      <c r="D878" s="73" t="s">
        <v>3997</v>
      </c>
      <c r="E878" s="72" t="s">
        <v>4267</v>
      </c>
      <c r="F878" s="74" t="s">
        <v>4019</v>
      </c>
      <c r="G878" s="76">
        <v>100.0</v>
      </c>
      <c r="H878" s="76">
        <v>9.0</v>
      </c>
      <c r="I878" s="76">
        <v>8.0</v>
      </c>
      <c r="J878" s="76">
        <v>0.0</v>
      </c>
      <c r="K878" s="77"/>
      <c r="L878" s="77"/>
      <c r="M878" s="77"/>
      <c r="N878" s="76">
        <v>9.0</v>
      </c>
      <c r="O878" s="77"/>
      <c r="P878" s="77"/>
      <c r="Q878" s="77"/>
      <c r="R878" s="77"/>
      <c r="S878" s="77"/>
      <c r="T878" s="77"/>
      <c r="U878" s="77"/>
      <c r="V878" s="78" t="s">
        <v>4268</v>
      </c>
      <c r="W878" s="72" t="s">
        <v>197</v>
      </c>
      <c r="X878" s="77"/>
      <c r="Y878" s="77"/>
      <c r="Z878" s="72" t="s">
        <v>4269</v>
      </c>
      <c r="AA878" s="76">
        <v>3.0</v>
      </c>
      <c r="AB878" s="77"/>
      <c r="AC878" s="79"/>
      <c r="AD878" s="54"/>
      <c r="AE878" s="54"/>
      <c r="AF878" s="54"/>
      <c r="AG878" s="54"/>
      <c r="AH878" s="54"/>
      <c r="AI878" s="44"/>
      <c r="AJ878" s="44"/>
      <c r="AK878" s="44"/>
      <c r="AL878" s="44"/>
      <c r="AM878" s="44"/>
      <c r="AN878" s="44"/>
      <c r="AO878" s="44"/>
      <c r="AP878" s="44"/>
      <c r="AQ878" s="44"/>
      <c r="AR878" s="44"/>
      <c r="AS878" s="44"/>
      <c r="AT878" s="41"/>
      <c r="AU878" s="41"/>
      <c r="AV878" s="45"/>
      <c r="AW878" s="44"/>
      <c r="AX878" s="45"/>
    </row>
    <row r="879">
      <c r="A879" s="60" t="s">
        <v>3995</v>
      </c>
      <c r="B879" s="61">
        <v>45975.673035671294</v>
      </c>
      <c r="C879" s="68" t="s">
        <v>3996</v>
      </c>
      <c r="D879" s="63" t="s">
        <v>3997</v>
      </c>
      <c r="E879" s="68" t="s">
        <v>4270</v>
      </c>
      <c r="F879" s="64" t="s">
        <v>3995</v>
      </c>
      <c r="G879" s="62">
        <v>150.0</v>
      </c>
      <c r="H879" s="62">
        <v>8.0</v>
      </c>
      <c r="I879" s="62">
        <v>10.0</v>
      </c>
      <c r="J879" s="62">
        <v>1.0</v>
      </c>
      <c r="K879" s="66"/>
      <c r="L879" s="66"/>
      <c r="M879" s="66"/>
      <c r="N879" s="62">
        <v>9.0</v>
      </c>
      <c r="O879" s="66"/>
      <c r="P879" s="66"/>
      <c r="Q879" s="66"/>
      <c r="R879" s="66"/>
      <c r="S879" s="66"/>
      <c r="T879" s="66"/>
      <c r="U879" s="66"/>
      <c r="V879" s="67" t="s">
        <v>4271</v>
      </c>
      <c r="W879" s="68" t="s">
        <v>197</v>
      </c>
      <c r="X879" s="66"/>
      <c r="Y879" s="66"/>
      <c r="Z879" s="68" t="s">
        <v>4269</v>
      </c>
      <c r="AA879" s="62">
        <v>3.0</v>
      </c>
      <c r="AB879" s="66"/>
      <c r="AC879" s="69"/>
      <c r="AD879" s="37"/>
      <c r="AE879" s="37"/>
      <c r="AF879" s="37"/>
      <c r="AG879" s="37"/>
      <c r="AH879" s="37"/>
      <c r="AI879" s="31"/>
      <c r="AJ879" s="31"/>
      <c r="AK879" s="31"/>
      <c r="AL879" s="31"/>
      <c r="AM879" s="31"/>
      <c r="AN879" s="31"/>
      <c r="AO879" s="31"/>
      <c r="AP879" s="31"/>
      <c r="AQ879" s="31"/>
      <c r="AR879" s="31"/>
      <c r="AS879" s="31"/>
      <c r="AT879" s="36"/>
      <c r="AU879" s="36"/>
      <c r="AV879" s="34"/>
      <c r="AW879" s="31"/>
      <c r="AX879" s="34"/>
    </row>
    <row r="880">
      <c r="A880" s="70" t="s">
        <v>4109</v>
      </c>
      <c r="B880" s="71">
        <v>45976.00374972222</v>
      </c>
      <c r="C880" s="72" t="s">
        <v>525</v>
      </c>
      <c r="D880" s="73" t="s">
        <v>4111</v>
      </c>
      <c r="E880" s="72" t="s">
        <v>4112</v>
      </c>
      <c r="F880" s="74" t="s">
        <v>4109</v>
      </c>
      <c r="G880" s="76">
        <v>290.0</v>
      </c>
      <c r="H880" s="76">
        <v>9.0</v>
      </c>
      <c r="I880" s="76">
        <v>8.0</v>
      </c>
      <c r="J880" s="76">
        <v>1.0</v>
      </c>
      <c r="K880" s="77"/>
      <c r="L880" s="77"/>
      <c r="M880" s="77"/>
      <c r="N880" s="76">
        <v>9.0</v>
      </c>
      <c r="O880" s="77"/>
      <c r="P880" s="77"/>
      <c r="Q880" s="77"/>
      <c r="R880" s="77"/>
      <c r="S880" s="77"/>
      <c r="T880" s="77"/>
      <c r="U880" s="77"/>
      <c r="V880" s="78" t="s">
        <v>4272</v>
      </c>
      <c r="W880" s="77"/>
      <c r="X880" s="77"/>
      <c r="Y880" s="77"/>
      <c r="Z880" s="72" t="s">
        <v>1077</v>
      </c>
      <c r="AA880" s="76">
        <v>3.0</v>
      </c>
      <c r="AB880" s="77"/>
      <c r="AC880" s="79"/>
      <c r="AD880" s="54"/>
      <c r="AE880" s="54"/>
      <c r="AF880" s="54"/>
      <c r="AG880" s="54"/>
      <c r="AH880" s="54"/>
      <c r="AI880" s="44"/>
      <c r="AJ880" s="44"/>
      <c r="AK880" s="44"/>
      <c r="AL880" s="44"/>
      <c r="AM880" s="44"/>
      <c r="AN880" s="44"/>
      <c r="AO880" s="44"/>
      <c r="AP880" s="44"/>
      <c r="AQ880" s="44"/>
      <c r="AR880" s="44"/>
      <c r="AS880" s="44"/>
      <c r="AT880" s="41"/>
      <c r="AU880" s="41"/>
      <c r="AV880" s="45"/>
      <c r="AW880" s="44"/>
      <c r="AX880" s="45"/>
    </row>
    <row r="881">
      <c r="A881" s="60" t="s">
        <v>4124</v>
      </c>
      <c r="B881" s="61">
        <v>45976.33453302083</v>
      </c>
      <c r="C881" s="68" t="s">
        <v>4273</v>
      </c>
      <c r="D881" s="63" t="s">
        <v>4274</v>
      </c>
      <c r="E881" s="68" t="s">
        <v>598</v>
      </c>
      <c r="F881" s="64" t="s">
        <v>4124</v>
      </c>
      <c r="G881" s="62">
        <v>115.0</v>
      </c>
      <c r="H881" s="62">
        <v>8.0</v>
      </c>
      <c r="I881" s="62">
        <v>8.0</v>
      </c>
      <c r="J881" s="62">
        <v>2.0</v>
      </c>
      <c r="K881" s="66"/>
      <c r="L881" s="66"/>
      <c r="M881" s="66"/>
      <c r="N881" s="62">
        <v>8.0</v>
      </c>
      <c r="O881" s="66"/>
      <c r="P881" s="66"/>
      <c r="Q881" s="66"/>
      <c r="R881" s="66"/>
      <c r="S881" s="66"/>
      <c r="T881" s="66"/>
      <c r="U881" s="66"/>
      <c r="V881" s="67" t="s">
        <v>4275</v>
      </c>
      <c r="W881" s="66"/>
      <c r="X881" s="66"/>
      <c r="Y881" s="66"/>
      <c r="Z881" s="68" t="s">
        <v>1077</v>
      </c>
      <c r="AA881" s="62">
        <v>5.0</v>
      </c>
      <c r="AB881" s="66"/>
      <c r="AC881" s="69"/>
      <c r="AD881" s="37"/>
      <c r="AE881" s="37"/>
      <c r="AF881" s="37"/>
      <c r="AG881" s="37"/>
      <c r="AH881" s="37"/>
      <c r="AI881" s="31"/>
      <c r="AJ881" s="31"/>
      <c r="AK881" s="31"/>
      <c r="AL881" s="31"/>
      <c r="AM881" s="31"/>
      <c r="AN881" s="31"/>
      <c r="AO881" s="31"/>
      <c r="AP881" s="31"/>
      <c r="AQ881" s="31"/>
      <c r="AR881" s="31"/>
      <c r="AS881" s="31"/>
      <c r="AT881" s="36"/>
      <c r="AU881" s="36"/>
      <c r="AV881" s="34"/>
      <c r="AW881" s="31"/>
      <c r="AX881" s="34"/>
    </row>
    <row r="882">
      <c r="A882" s="70" t="s">
        <v>4276</v>
      </c>
      <c r="B882" s="71">
        <v>45982.188813368055</v>
      </c>
      <c r="C882" s="72" t="s">
        <v>3933</v>
      </c>
      <c r="D882" s="73" t="s">
        <v>3934</v>
      </c>
      <c r="E882" s="72" t="s">
        <v>4277</v>
      </c>
      <c r="F882" s="74" t="s">
        <v>4276</v>
      </c>
      <c r="G882" s="76">
        <v>562.0</v>
      </c>
      <c r="H882" s="76">
        <v>9.0</v>
      </c>
      <c r="I882" s="76">
        <v>8.0</v>
      </c>
      <c r="J882" s="76">
        <v>0.0</v>
      </c>
      <c r="K882" s="77"/>
      <c r="L882" s="77"/>
      <c r="M882" s="77"/>
      <c r="N882" s="76">
        <v>8.0</v>
      </c>
      <c r="O882" s="77"/>
      <c r="P882" s="77"/>
      <c r="Q882" s="77"/>
      <c r="R882" s="77"/>
      <c r="S882" s="77"/>
      <c r="T882" s="77"/>
      <c r="U882" s="77"/>
      <c r="V882" s="78" t="s">
        <v>4278</v>
      </c>
      <c r="W882" s="77"/>
      <c r="X882" s="77"/>
      <c r="Y882" s="77"/>
      <c r="Z882" s="72" t="s">
        <v>3938</v>
      </c>
      <c r="AA882" s="76">
        <v>6.0</v>
      </c>
      <c r="AB882" s="77"/>
      <c r="AC882" s="79"/>
      <c r="AD882" s="54"/>
      <c r="AE882" s="54"/>
      <c r="AF882" s="54"/>
      <c r="AG882" s="54"/>
      <c r="AH882" s="54"/>
      <c r="AI882" s="44"/>
      <c r="AJ882" s="44"/>
      <c r="AK882" s="44"/>
      <c r="AL882" s="44"/>
      <c r="AM882" s="44"/>
      <c r="AN882" s="44"/>
      <c r="AO882" s="44"/>
      <c r="AP882" s="44"/>
      <c r="AQ882" s="44"/>
      <c r="AR882" s="44"/>
      <c r="AS882" s="44"/>
      <c r="AT882" s="41"/>
      <c r="AU882" s="41"/>
      <c r="AV882" s="45"/>
      <c r="AW882" s="44"/>
      <c r="AX882" s="45"/>
    </row>
    <row r="883">
      <c r="A883" s="136" t="s">
        <v>4279</v>
      </c>
      <c r="B883" s="61">
        <v>45982.1890963426</v>
      </c>
      <c r="C883" s="68" t="s">
        <v>3864</v>
      </c>
      <c r="D883" s="63" t="s">
        <v>4065</v>
      </c>
      <c r="E883" s="68" t="s">
        <v>4280</v>
      </c>
      <c r="F883" s="98" t="s">
        <v>4279</v>
      </c>
      <c r="G883" s="62">
        <v>300.0</v>
      </c>
      <c r="H883" s="62">
        <v>8.0</v>
      </c>
      <c r="I883" s="62">
        <v>9.0</v>
      </c>
      <c r="J883" s="62">
        <v>20.0</v>
      </c>
      <c r="K883" s="66"/>
      <c r="L883" s="66"/>
      <c r="M883" s="66"/>
      <c r="N883" s="62">
        <v>9.0</v>
      </c>
      <c r="O883" s="66"/>
      <c r="P883" s="66"/>
      <c r="Q883" s="66"/>
      <c r="R883" s="66"/>
      <c r="S883" s="66"/>
      <c r="T883" s="66"/>
      <c r="U883" s="66"/>
      <c r="V883" s="67" t="s">
        <v>4281</v>
      </c>
      <c r="W883" s="68" t="s">
        <v>197</v>
      </c>
      <c r="X883" s="66"/>
      <c r="Y883" s="66"/>
      <c r="Z883" s="68" t="s">
        <v>3867</v>
      </c>
      <c r="AA883" s="62">
        <v>4.0</v>
      </c>
      <c r="AB883" s="66"/>
      <c r="AC883" s="69"/>
      <c r="AD883" s="37"/>
      <c r="AE883" s="37"/>
      <c r="AF883" s="37"/>
      <c r="AG883" s="37"/>
      <c r="AH883" s="37"/>
      <c r="AI883" s="31"/>
      <c r="AJ883" s="31"/>
      <c r="AK883" s="31"/>
      <c r="AL883" s="31"/>
      <c r="AM883" s="31"/>
      <c r="AN883" s="31"/>
      <c r="AO883" s="31"/>
      <c r="AP883" s="31"/>
      <c r="AQ883" s="31"/>
      <c r="AR883" s="31"/>
      <c r="AS883" s="31"/>
      <c r="AT883" s="36"/>
      <c r="AU883" s="36"/>
      <c r="AV883" s="34"/>
      <c r="AW883" s="31"/>
      <c r="AX883" s="34"/>
    </row>
    <row r="884">
      <c r="A884" s="70" t="s">
        <v>3868</v>
      </c>
      <c r="B884" s="71">
        <v>45982.350619467594</v>
      </c>
      <c r="C884" s="72" t="s">
        <v>3869</v>
      </c>
      <c r="D884" s="73" t="s">
        <v>1440</v>
      </c>
      <c r="E884" s="72" t="s">
        <v>4241</v>
      </c>
      <c r="F884" s="74" t="s">
        <v>3868</v>
      </c>
      <c r="G884" s="76">
        <v>330.0</v>
      </c>
      <c r="H884" s="76">
        <v>5.0</v>
      </c>
      <c r="I884" s="76">
        <v>5.0</v>
      </c>
      <c r="J884" s="76">
        <v>0.0</v>
      </c>
      <c r="K884" s="77"/>
      <c r="L884" s="77"/>
      <c r="M884" s="77"/>
      <c r="N884" s="76">
        <v>8.0</v>
      </c>
      <c r="O884" s="77"/>
      <c r="P884" s="77"/>
      <c r="Q884" s="77"/>
      <c r="R884" s="77"/>
      <c r="S884" s="77"/>
      <c r="T884" s="77"/>
      <c r="U884" s="77"/>
      <c r="V884" s="78" t="s">
        <v>4282</v>
      </c>
      <c r="W884" s="72" t="s">
        <v>197</v>
      </c>
      <c r="X884" s="77"/>
      <c r="Y884" s="77"/>
      <c r="Z884" s="72" t="s">
        <v>1445</v>
      </c>
      <c r="AA884" s="76">
        <v>5.0</v>
      </c>
      <c r="AB884" s="77"/>
      <c r="AC884" s="79"/>
      <c r="AD884" s="54"/>
      <c r="AE884" s="54"/>
      <c r="AF884" s="54"/>
      <c r="AG884" s="54"/>
      <c r="AH884" s="54"/>
      <c r="AI884" s="44"/>
      <c r="AJ884" s="44"/>
      <c r="AK884" s="44"/>
      <c r="AL884" s="44"/>
      <c r="AM884" s="44"/>
      <c r="AN884" s="44"/>
      <c r="AO884" s="44"/>
      <c r="AP884" s="44"/>
      <c r="AQ884" s="44"/>
      <c r="AR884" s="44"/>
      <c r="AS884" s="44"/>
      <c r="AT884" s="41"/>
      <c r="AU884" s="41"/>
      <c r="AV884" s="45"/>
      <c r="AW884" s="44"/>
      <c r="AX884" s="45"/>
    </row>
    <row r="885">
      <c r="A885" s="60" t="s">
        <v>4128</v>
      </c>
      <c r="B885" s="61">
        <v>45984.00228369213</v>
      </c>
      <c r="C885" s="68" t="s">
        <v>4283</v>
      </c>
      <c r="D885" s="63" t="s">
        <v>4130</v>
      </c>
      <c r="E885" s="68" t="s">
        <v>4284</v>
      </c>
      <c r="F885" s="64" t="s">
        <v>4128</v>
      </c>
      <c r="G885" s="62">
        <v>310.0</v>
      </c>
      <c r="H885" s="62">
        <v>6.0</v>
      </c>
      <c r="I885" s="62">
        <v>6.0</v>
      </c>
      <c r="J885" s="62">
        <v>4.0</v>
      </c>
      <c r="K885" s="66"/>
      <c r="L885" s="66"/>
      <c r="M885" s="66"/>
      <c r="N885" s="62">
        <v>8.0</v>
      </c>
      <c r="O885" s="66"/>
      <c r="P885" s="66"/>
      <c r="Q885" s="66"/>
      <c r="R885" s="66"/>
      <c r="S885" s="66"/>
      <c r="T885" s="66"/>
      <c r="U885" s="66"/>
      <c r="V885" s="67" t="s">
        <v>4285</v>
      </c>
      <c r="W885" s="66"/>
      <c r="X885" s="66"/>
      <c r="Y885" s="66"/>
      <c r="Z885" s="68" t="s">
        <v>4210</v>
      </c>
      <c r="AA885" s="62">
        <v>6.0</v>
      </c>
      <c r="AB885" s="66"/>
      <c r="AC885" s="69"/>
      <c r="AD885" s="37"/>
      <c r="AE885" s="37"/>
      <c r="AF885" s="37"/>
      <c r="AG885" s="37"/>
      <c r="AH885" s="37"/>
      <c r="AI885" s="31"/>
      <c r="AJ885" s="31"/>
      <c r="AK885" s="31"/>
      <c r="AL885" s="31"/>
      <c r="AM885" s="31"/>
      <c r="AN885" s="31"/>
      <c r="AO885" s="31"/>
      <c r="AP885" s="31"/>
      <c r="AQ885" s="31"/>
      <c r="AR885" s="31"/>
      <c r="AS885" s="31"/>
      <c r="AT885" s="36"/>
      <c r="AU885" s="36"/>
      <c r="AV885" s="34"/>
      <c r="AW885" s="31"/>
      <c r="AX885" s="34"/>
    </row>
    <row r="886">
      <c r="A886" s="197" t="s">
        <v>4202</v>
      </c>
      <c r="B886" s="198">
        <v>45984.29169712963</v>
      </c>
      <c r="C886" s="199" t="s">
        <v>572</v>
      </c>
      <c r="D886" s="200" t="s">
        <v>573</v>
      </c>
      <c r="E886" s="199" t="s">
        <v>4205</v>
      </c>
      <c r="F886" s="201" t="s">
        <v>4202</v>
      </c>
      <c r="G886" s="202">
        <v>95.0</v>
      </c>
      <c r="H886" s="202">
        <v>9.0</v>
      </c>
      <c r="I886" s="202">
        <v>9.0</v>
      </c>
      <c r="J886" s="202">
        <v>0.0</v>
      </c>
      <c r="K886" s="203"/>
      <c r="L886" s="203"/>
      <c r="M886" s="203"/>
      <c r="N886" s="202">
        <v>9.0</v>
      </c>
      <c r="O886" s="203"/>
      <c r="P886" s="203"/>
      <c r="Q886" s="203"/>
      <c r="R886" s="203"/>
      <c r="S886" s="203"/>
      <c r="T886" s="203"/>
      <c r="U886" s="203"/>
      <c r="V886" s="204" t="s">
        <v>4286</v>
      </c>
      <c r="W886" s="203"/>
      <c r="X886" s="203"/>
      <c r="Y886" s="203"/>
      <c r="Z886" s="199" t="s">
        <v>1077</v>
      </c>
      <c r="AA886" s="202">
        <v>5.0</v>
      </c>
      <c r="AB886" s="203"/>
      <c r="AC886" s="205"/>
      <c r="AD886" s="206"/>
      <c r="AE886" s="206"/>
      <c r="AF886" s="206"/>
      <c r="AG886" s="206"/>
      <c r="AH886" s="206"/>
      <c r="AI886" s="207"/>
      <c r="AJ886" s="207"/>
      <c r="AK886" s="207"/>
      <c r="AL886" s="207"/>
      <c r="AM886" s="207"/>
      <c r="AN886" s="207"/>
      <c r="AO886" s="207"/>
      <c r="AP886" s="207"/>
      <c r="AQ886" s="207"/>
      <c r="AR886" s="207"/>
      <c r="AS886" s="207"/>
      <c r="AT886" s="208"/>
      <c r="AU886" s="208"/>
      <c r="AV886" s="209"/>
      <c r="AW886" s="207"/>
      <c r="AX886" s="209"/>
      <c r="AY886" s="210"/>
      <c r="AZ886" s="210"/>
      <c r="BA886" s="210"/>
      <c r="BB886" s="210"/>
      <c r="BC886" s="210"/>
    </row>
    <row r="887">
      <c r="A887" s="211" t="s">
        <v>4169</v>
      </c>
      <c r="B887" s="212" t="s">
        <v>4287</v>
      </c>
      <c r="C887" s="213" t="s">
        <v>4288</v>
      </c>
      <c r="D887" s="213">
        <v>3.006623984E9</v>
      </c>
      <c r="E887" s="213" t="s">
        <v>4289</v>
      </c>
      <c r="F887" s="214" t="s">
        <v>4169</v>
      </c>
      <c r="G887" s="213">
        <v>578.0</v>
      </c>
      <c r="H887" s="213">
        <v>8.0</v>
      </c>
      <c r="I887" s="213">
        <v>9.0</v>
      </c>
      <c r="J887" s="213">
        <v>0.0</v>
      </c>
      <c r="K887" s="66"/>
      <c r="L887" s="66"/>
      <c r="M887" s="66"/>
      <c r="N887" s="213">
        <v>7.0</v>
      </c>
      <c r="O887" s="66"/>
      <c r="P887" s="66"/>
      <c r="Q887" s="66"/>
      <c r="R887" s="66"/>
      <c r="S887" s="66"/>
      <c r="T887" s="66"/>
      <c r="U887" s="66"/>
      <c r="V887" s="215" t="s">
        <v>4290</v>
      </c>
      <c r="W887" s="213" t="s">
        <v>4291</v>
      </c>
      <c r="X887" s="66"/>
      <c r="Y887" s="66"/>
      <c r="Z887" s="213" t="s">
        <v>3938</v>
      </c>
      <c r="AA887" s="213">
        <v>6.0</v>
      </c>
      <c r="AB887" s="66"/>
      <c r="AC887" s="69"/>
      <c r="AD887" s="37"/>
      <c r="AE887" s="37"/>
      <c r="AF887" s="37"/>
      <c r="AG887" s="37"/>
      <c r="AH887" s="37"/>
      <c r="AI887" s="31"/>
      <c r="AJ887" s="31"/>
      <c r="AK887" s="31"/>
      <c r="AL887" s="31"/>
      <c r="AM887" s="31"/>
      <c r="AN887" s="31"/>
      <c r="AO887" s="31"/>
      <c r="AP887" s="31"/>
      <c r="AQ887" s="31"/>
      <c r="AR887" s="31"/>
      <c r="AS887" s="31"/>
      <c r="AT887" s="36"/>
      <c r="AU887" s="36"/>
      <c r="AV887" s="34"/>
      <c r="AW887" s="31"/>
      <c r="AX887" s="34"/>
    </row>
    <row r="888">
      <c r="A888" s="216" t="s">
        <v>4279</v>
      </c>
      <c r="B888" s="217">
        <v>45669.4165625</v>
      </c>
      <c r="C888" s="218" t="s">
        <v>4292</v>
      </c>
      <c r="D888" s="218">
        <v>3.044801331E9</v>
      </c>
      <c r="E888" s="218" t="s">
        <v>4293</v>
      </c>
      <c r="F888" s="219" t="s">
        <v>4279</v>
      </c>
      <c r="G888" s="218">
        <v>284.0</v>
      </c>
      <c r="H888" s="218">
        <v>9.0</v>
      </c>
      <c r="I888" s="218">
        <v>9.0</v>
      </c>
      <c r="J888" s="218">
        <v>0.0</v>
      </c>
      <c r="K888" s="77"/>
      <c r="L888" s="77"/>
      <c r="M888" s="77"/>
      <c r="N888" s="218">
        <v>9.0</v>
      </c>
      <c r="O888" s="77"/>
      <c r="P888" s="77"/>
      <c r="Q888" s="77"/>
      <c r="R888" s="77"/>
      <c r="S888" s="77"/>
      <c r="T888" s="77"/>
      <c r="U888" s="77"/>
      <c r="V888" s="220" t="s">
        <v>4294</v>
      </c>
      <c r="W888" s="77"/>
      <c r="X888" s="77"/>
      <c r="Y888" s="77"/>
      <c r="Z888" s="218" t="s">
        <v>1077</v>
      </c>
      <c r="AA888" s="218">
        <v>5.0</v>
      </c>
      <c r="AB888" s="77"/>
      <c r="AC888" s="79"/>
      <c r="AD888" s="54"/>
      <c r="AE888" s="54"/>
      <c r="AF888" s="54"/>
      <c r="AG888" s="54"/>
      <c r="AH888" s="54"/>
      <c r="AI888" s="44"/>
      <c r="AJ888" s="44"/>
      <c r="AK888" s="44"/>
      <c r="AL888" s="44"/>
      <c r="AM888" s="44"/>
      <c r="AN888" s="44"/>
      <c r="AO888" s="44"/>
      <c r="AP888" s="44"/>
      <c r="AQ888" s="44"/>
      <c r="AR888" s="44"/>
      <c r="AS888" s="44"/>
      <c r="AT888" s="41"/>
      <c r="AU888" s="41"/>
      <c r="AV888" s="45"/>
      <c r="AW888" s="44"/>
      <c r="AX888" s="45"/>
    </row>
    <row r="889">
      <c r="A889" s="211" t="s">
        <v>4022</v>
      </c>
      <c r="B889" s="212" t="s">
        <v>4295</v>
      </c>
      <c r="C889" s="213" t="s">
        <v>4296</v>
      </c>
      <c r="D889" s="213">
        <v>3.176143982E9</v>
      </c>
      <c r="E889" s="213" t="s">
        <v>4297</v>
      </c>
      <c r="F889" s="214" t="s">
        <v>4022</v>
      </c>
      <c r="G889" s="213">
        <v>70.0</v>
      </c>
      <c r="H889" s="213">
        <v>9.0</v>
      </c>
      <c r="I889" s="213">
        <v>8.0</v>
      </c>
      <c r="J889" s="213">
        <v>1.0</v>
      </c>
      <c r="K889" s="66"/>
      <c r="L889" s="66"/>
      <c r="M889" s="66"/>
      <c r="N889" s="213">
        <v>8.0</v>
      </c>
      <c r="O889" s="66"/>
      <c r="P889" s="66"/>
      <c r="Q889" s="66"/>
      <c r="R889" s="66"/>
      <c r="S889" s="66"/>
      <c r="T889" s="66"/>
      <c r="U889" s="66"/>
      <c r="V889" s="215" t="s">
        <v>4298</v>
      </c>
      <c r="W889" s="66"/>
      <c r="X889" s="66"/>
      <c r="Y889" s="66"/>
      <c r="Z889" s="213" t="s">
        <v>1077</v>
      </c>
      <c r="AA889" s="213">
        <v>3.0</v>
      </c>
      <c r="AB889" s="66"/>
      <c r="AC889" s="69"/>
      <c r="AD889" s="37"/>
      <c r="AE889" s="37"/>
      <c r="AF889" s="37"/>
      <c r="AG889" s="37"/>
      <c r="AH889" s="37"/>
      <c r="AI889" s="31"/>
      <c r="AJ889" s="31"/>
      <c r="AK889" s="31"/>
      <c r="AL889" s="31"/>
      <c r="AM889" s="31"/>
      <c r="AN889" s="31"/>
      <c r="AO889" s="31"/>
      <c r="AP889" s="31"/>
      <c r="AQ889" s="31"/>
      <c r="AR889" s="31"/>
      <c r="AS889" s="31"/>
      <c r="AT889" s="36"/>
      <c r="AU889" s="36"/>
      <c r="AV889" s="34"/>
      <c r="AW889" s="31"/>
      <c r="AX889" s="34"/>
    </row>
    <row r="890">
      <c r="A890" s="216" t="s">
        <v>4299</v>
      </c>
      <c r="B890" s="221" t="s">
        <v>4300</v>
      </c>
      <c r="C890" s="218" t="s">
        <v>4301</v>
      </c>
      <c r="D890" s="218">
        <v>3.088148872E9</v>
      </c>
      <c r="E890" s="218" t="s">
        <v>4302</v>
      </c>
      <c r="F890" s="219" t="s">
        <v>4299</v>
      </c>
      <c r="G890" s="218">
        <v>232.0</v>
      </c>
      <c r="H890" s="218">
        <v>9.0</v>
      </c>
      <c r="I890" s="218">
        <v>8.0</v>
      </c>
      <c r="J890" s="218">
        <v>1.0</v>
      </c>
      <c r="K890" s="77"/>
      <c r="L890" s="77"/>
      <c r="M890" s="77"/>
      <c r="N890" s="218">
        <v>9.0</v>
      </c>
      <c r="O890" s="77"/>
      <c r="P890" s="77"/>
      <c r="Q890" s="77"/>
      <c r="R890" s="77"/>
      <c r="S890" s="77"/>
      <c r="T890" s="77"/>
      <c r="U890" s="77"/>
      <c r="V890" s="220" t="s">
        <v>4303</v>
      </c>
      <c r="W890" s="218" t="s">
        <v>144</v>
      </c>
      <c r="X890" s="77"/>
      <c r="Y890" s="77"/>
      <c r="Z890" s="218" t="s">
        <v>4304</v>
      </c>
      <c r="AA890" s="218">
        <v>1.0</v>
      </c>
      <c r="AB890" s="77"/>
      <c r="AC890" s="79"/>
      <c r="AD890" s="54"/>
      <c r="AE890" s="54"/>
      <c r="AF890" s="54"/>
      <c r="AG890" s="54"/>
      <c r="AH890" s="54"/>
      <c r="AI890" s="44"/>
      <c r="AJ890" s="44"/>
      <c r="AK890" s="44"/>
      <c r="AL890" s="44"/>
      <c r="AM890" s="44"/>
      <c r="AN890" s="44"/>
      <c r="AO890" s="44"/>
      <c r="AP890" s="44"/>
      <c r="AQ890" s="44"/>
      <c r="AR890" s="44"/>
      <c r="AS890" s="44"/>
      <c r="AT890" s="41"/>
      <c r="AU890" s="41"/>
      <c r="AV890" s="45"/>
      <c r="AW890" s="44"/>
      <c r="AX890" s="45"/>
    </row>
    <row r="891">
      <c r="A891" s="211" t="s">
        <v>4305</v>
      </c>
      <c r="B891" s="212" t="s">
        <v>4306</v>
      </c>
      <c r="C891" s="213" t="s">
        <v>4307</v>
      </c>
      <c r="D891" s="213">
        <v>3.315563595E9</v>
      </c>
      <c r="E891" s="213" t="s">
        <v>4308</v>
      </c>
      <c r="F891" s="214" t="s">
        <v>4305</v>
      </c>
      <c r="G891" s="213">
        <v>290.0</v>
      </c>
      <c r="H891" s="213">
        <v>2.0</v>
      </c>
      <c r="I891" s="213">
        <v>8.0</v>
      </c>
      <c r="J891" s="213">
        <v>1.0</v>
      </c>
      <c r="K891" s="66"/>
      <c r="L891" s="66"/>
      <c r="M891" s="66"/>
      <c r="N891" s="213">
        <v>8.0</v>
      </c>
      <c r="O891" s="66"/>
      <c r="P891" s="66"/>
      <c r="Q891" s="66"/>
      <c r="R891" s="66"/>
      <c r="S891" s="66"/>
      <c r="T891" s="66"/>
      <c r="U891" s="66"/>
      <c r="V891" s="215" t="s">
        <v>4309</v>
      </c>
      <c r="W891" s="66"/>
      <c r="X891" s="66"/>
      <c r="Y891" s="66"/>
      <c r="Z891" s="213" t="s">
        <v>4310</v>
      </c>
      <c r="AA891" s="213">
        <v>1.0</v>
      </c>
      <c r="AB891" s="66"/>
      <c r="AC891" s="69"/>
      <c r="AD891" s="37"/>
      <c r="AE891" s="37"/>
      <c r="AF891" s="37"/>
      <c r="AG891" s="37"/>
      <c r="AH891" s="37"/>
      <c r="AI891" s="31"/>
      <c r="AJ891" s="31"/>
      <c r="AK891" s="31"/>
      <c r="AL891" s="31"/>
      <c r="AM891" s="31"/>
      <c r="AN891" s="31"/>
      <c r="AO891" s="31"/>
      <c r="AP891" s="31"/>
      <c r="AQ891" s="31"/>
      <c r="AR891" s="31"/>
      <c r="AS891" s="31"/>
      <c r="AT891" s="36"/>
      <c r="AU891" s="36"/>
      <c r="AV891" s="34"/>
      <c r="AW891" s="31"/>
      <c r="AX891" s="34"/>
    </row>
    <row r="892">
      <c r="A892" s="216" t="s">
        <v>4311</v>
      </c>
      <c r="B892" s="221" t="s">
        <v>4312</v>
      </c>
      <c r="C892" s="218" t="s">
        <v>4313</v>
      </c>
      <c r="D892" s="218">
        <v>3.080008833E9</v>
      </c>
      <c r="E892" s="218" t="s">
        <v>4314</v>
      </c>
      <c r="F892" s="219" t="s">
        <v>4311</v>
      </c>
      <c r="G892" s="218">
        <v>70.0</v>
      </c>
      <c r="H892" s="218">
        <v>4.0</v>
      </c>
      <c r="I892" s="218">
        <v>6.0</v>
      </c>
      <c r="J892" s="218">
        <v>0.0</v>
      </c>
      <c r="K892" s="77"/>
      <c r="L892" s="77"/>
      <c r="M892" s="77"/>
      <c r="N892" s="218">
        <v>5.0</v>
      </c>
      <c r="O892" s="77"/>
      <c r="P892" s="77"/>
      <c r="Q892" s="77"/>
      <c r="R892" s="77"/>
      <c r="S892" s="77"/>
      <c r="T892" s="77"/>
      <c r="U892" s="77"/>
      <c r="V892" s="220" t="s">
        <v>4315</v>
      </c>
      <c r="W892" s="218" t="s">
        <v>1487</v>
      </c>
      <c r="X892" s="77"/>
      <c r="Y892" s="77"/>
      <c r="Z892" s="218" t="s">
        <v>4316</v>
      </c>
      <c r="AA892" s="218">
        <v>1.0</v>
      </c>
      <c r="AB892" s="77"/>
      <c r="AC892" s="79"/>
      <c r="AD892" s="54"/>
      <c r="AE892" s="54"/>
      <c r="AF892" s="54"/>
      <c r="AG892" s="54"/>
      <c r="AH892" s="54"/>
      <c r="AI892" s="44"/>
      <c r="AJ892" s="44"/>
      <c r="AK892" s="44"/>
      <c r="AL892" s="44"/>
      <c r="AM892" s="44"/>
      <c r="AN892" s="44"/>
      <c r="AO892" s="44"/>
      <c r="AP892" s="44"/>
      <c r="AQ892" s="44"/>
      <c r="AR892" s="44"/>
      <c r="AS892" s="44"/>
      <c r="AT892" s="41"/>
      <c r="AU892" s="41"/>
      <c r="AV892" s="45"/>
      <c r="AW892" s="44"/>
      <c r="AX892" s="45"/>
    </row>
    <row r="893">
      <c r="A893" s="211" t="s">
        <v>4317</v>
      </c>
      <c r="B893" s="212" t="s">
        <v>4318</v>
      </c>
      <c r="C893" s="213" t="s">
        <v>4319</v>
      </c>
      <c r="D893" s="213">
        <v>3.165641906E9</v>
      </c>
      <c r="E893" s="213" t="s">
        <v>4320</v>
      </c>
      <c r="F893" s="214" t="s">
        <v>4317</v>
      </c>
      <c r="G893" s="213">
        <v>371.0</v>
      </c>
      <c r="H893" s="213">
        <v>7.0</v>
      </c>
      <c r="I893" s="213">
        <v>8.0</v>
      </c>
      <c r="J893" s="213">
        <v>33.0</v>
      </c>
      <c r="K893" s="66"/>
      <c r="L893" s="66"/>
      <c r="M893" s="66"/>
      <c r="N893" s="213">
        <v>9.0</v>
      </c>
      <c r="O893" s="66"/>
      <c r="P893" s="66"/>
      <c r="Q893" s="66"/>
      <c r="R893" s="66"/>
      <c r="S893" s="66"/>
      <c r="T893" s="66"/>
      <c r="U893" s="66"/>
      <c r="V893" s="215" t="s">
        <v>4321</v>
      </c>
      <c r="W893" s="213" t="s">
        <v>4322</v>
      </c>
      <c r="X893" s="66"/>
      <c r="Y893" s="66"/>
      <c r="Z893" s="213" t="s">
        <v>4323</v>
      </c>
      <c r="AA893" s="213">
        <v>1.0</v>
      </c>
      <c r="AB893" s="66"/>
      <c r="AC893" s="69"/>
      <c r="AD893" s="37"/>
      <c r="AE893" s="37"/>
      <c r="AF893" s="37"/>
      <c r="AG893" s="37"/>
      <c r="AH893" s="37"/>
      <c r="AI893" s="31"/>
      <c r="AJ893" s="31"/>
      <c r="AK893" s="31"/>
      <c r="AL893" s="31"/>
      <c r="AM893" s="31"/>
      <c r="AN893" s="31"/>
      <c r="AO893" s="31"/>
      <c r="AP893" s="31"/>
      <c r="AQ893" s="31"/>
      <c r="AR893" s="31"/>
      <c r="AS893" s="31"/>
      <c r="AT893" s="36"/>
      <c r="AU893" s="36"/>
      <c r="AV893" s="34"/>
      <c r="AW893" s="31"/>
      <c r="AX893" s="34"/>
    </row>
    <row r="894">
      <c r="A894" s="216" t="s">
        <v>4324</v>
      </c>
      <c r="B894" s="221" t="s">
        <v>4325</v>
      </c>
      <c r="C894" s="218" t="s">
        <v>4326</v>
      </c>
      <c r="D894" s="218">
        <v>3.1352004E9</v>
      </c>
      <c r="E894" s="218" t="s">
        <v>4327</v>
      </c>
      <c r="F894" s="219" t="s">
        <v>4324</v>
      </c>
      <c r="G894" s="218">
        <v>347.0</v>
      </c>
      <c r="H894" s="218">
        <v>9.0</v>
      </c>
      <c r="I894" s="218">
        <v>7.0</v>
      </c>
      <c r="J894" s="218">
        <v>1.0</v>
      </c>
      <c r="K894" s="77"/>
      <c r="L894" s="77"/>
      <c r="M894" s="77"/>
      <c r="N894" s="218">
        <v>9.0</v>
      </c>
      <c r="O894" s="77"/>
      <c r="P894" s="77"/>
      <c r="Q894" s="77"/>
      <c r="R894" s="77"/>
      <c r="S894" s="77"/>
      <c r="T894" s="77"/>
      <c r="U894" s="77"/>
      <c r="V894" s="220" t="s">
        <v>4328</v>
      </c>
      <c r="W894" s="218" t="s">
        <v>4329</v>
      </c>
      <c r="X894" s="77"/>
      <c r="Y894" s="77"/>
      <c r="Z894" s="218" t="s">
        <v>4330</v>
      </c>
      <c r="AA894" s="218">
        <v>1.0</v>
      </c>
      <c r="AB894" s="77"/>
      <c r="AC894" s="79"/>
      <c r="AD894" s="54"/>
      <c r="AE894" s="54"/>
      <c r="AF894" s="54"/>
      <c r="AG894" s="54"/>
      <c r="AH894" s="54"/>
      <c r="AI894" s="44"/>
      <c r="AJ894" s="44"/>
      <c r="AK894" s="44"/>
      <c r="AL894" s="44"/>
      <c r="AM894" s="44"/>
      <c r="AN894" s="44"/>
      <c r="AO894" s="44"/>
      <c r="AP894" s="44"/>
      <c r="AQ894" s="44"/>
      <c r="AR894" s="44"/>
      <c r="AS894" s="44"/>
      <c r="AT894" s="41"/>
      <c r="AU894" s="41"/>
      <c r="AV894" s="45"/>
      <c r="AW894" s="44"/>
      <c r="AX894" s="45"/>
    </row>
    <row r="895">
      <c r="A895" s="211" t="s">
        <v>4331</v>
      </c>
      <c r="B895" s="212" t="s">
        <v>4332</v>
      </c>
      <c r="C895" s="213" t="s">
        <v>4333</v>
      </c>
      <c r="D895" s="213">
        <v>3.33511978E9</v>
      </c>
      <c r="E895" s="213" t="s">
        <v>4334</v>
      </c>
      <c r="F895" s="214" t="s">
        <v>4331</v>
      </c>
      <c r="G895" s="213">
        <v>244.0</v>
      </c>
      <c r="H895" s="213">
        <v>7.0</v>
      </c>
      <c r="I895" s="213">
        <v>6.0</v>
      </c>
      <c r="J895" s="213">
        <v>1.0</v>
      </c>
      <c r="K895" s="66"/>
      <c r="L895" s="66"/>
      <c r="M895" s="66"/>
      <c r="N895" s="213">
        <v>8.0</v>
      </c>
      <c r="O895" s="66"/>
      <c r="P895" s="66"/>
      <c r="Q895" s="66"/>
      <c r="R895" s="66"/>
      <c r="S895" s="66"/>
      <c r="T895" s="66"/>
      <c r="U895" s="66"/>
      <c r="V895" s="215" t="s">
        <v>4335</v>
      </c>
      <c r="W895" s="213" t="s">
        <v>4329</v>
      </c>
      <c r="X895" s="66"/>
      <c r="Y895" s="66"/>
      <c r="Z895" s="213" t="s">
        <v>4336</v>
      </c>
      <c r="AA895" s="213">
        <v>1.0</v>
      </c>
      <c r="AB895" s="66"/>
      <c r="AC895" s="69"/>
      <c r="AD895" s="37"/>
      <c r="AE895" s="37"/>
      <c r="AF895" s="37"/>
      <c r="AG895" s="37"/>
      <c r="AH895" s="37"/>
      <c r="AI895" s="31"/>
      <c r="AJ895" s="31"/>
      <c r="AK895" s="31"/>
      <c r="AL895" s="31"/>
      <c r="AM895" s="31"/>
      <c r="AN895" s="31"/>
      <c r="AO895" s="31"/>
      <c r="AP895" s="31"/>
      <c r="AQ895" s="31"/>
      <c r="AR895" s="31"/>
      <c r="AS895" s="31"/>
      <c r="AT895" s="36"/>
      <c r="AU895" s="36"/>
      <c r="AV895" s="34"/>
      <c r="AW895" s="31"/>
      <c r="AX895" s="34"/>
    </row>
    <row r="896">
      <c r="A896" s="216" t="s">
        <v>4337</v>
      </c>
      <c r="B896" s="221" t="s">
        <v>4338</v>
      </c>
      <c r="C896" s="218" t="s">
        <v>4339</v>
      </c>
      <c r="D896" s="218">
        <v>3.34490701E9</v>
      </c>
      <c r="E896" s="218" t="s">
        <v>4340</v>
      </c>
      <c r="F896" s="219" t="s">
        <v>4337</v>
      </c>
      <c r="G896" s="218">
        <v>950.0</v>
      </c>
      <c r="H896" s="218">
        <v>8.0</v>
      </c>
      <c r="I896" s="218">
        <v>8.0</v>
      </c>
      <c r="J896" s="218">
        <v>3.0</v>
      </c>
      <c r="K896" s="77"/>
      <c r="L896" s="77"/>
      <c r="M896" s="77"/>
      <c r="N896" s="218">
        <v>7.0</v>
      </c>
      <c r="O896" s="77"/>
      <c r="P896" s="77"/>
      <c r="Q896" s="77"/>
      <c r="R896" s="77"/>
      <c r="S896" s="77"/>
      <c r="T896" s="77"/>
      <c r="U896" s="77"/>
      <c r="V896" s="220" t="s">
        <v>4341</v>
      </c>
      <c r="W896" s="218" t="s">
        <v>583</v>
      </c>
      <c r="X896" s="77"/>
      <c r="Y896" s="77"/>
      <c r="Z896" s="218" t="s">
        <v>4342</v>
      </c>
      <c r="AA896" s="218">
        <v>1.0</v>
      </c>
      <c r="AB896" s="77"/>
      <c r="AC896" s="79"/>
      <c r="AD896" s="54"/>
      <c r="AE896" s="54"/>
      <c r="AF896" s="54"/>
      <c r="AG896" s="54"/>
      <c r="AH896" s="54"/>
      <c r="AI896" s="44"/>
      <c r="AJ896" s="44"/>
      <c r="AK896" s="44"/>
      <c r="AL896" s="44"/>
      <c r="AM896" s="44"/>
      <c r="AN896" s="44"/>
      <c r="AO896" s="44"/>
      <c r="AP896" s="44"/>
      <c r="AQ896" s="44"/>
      <c r="AR896" s="44"/>
      <c r="AS896" s="44"/>
      <c r="AT896" s="41"/>
      <c r="AU896" s="41"/>
      <c r="AV896" s="45"/>
      <c r="AW896" s="44"/>
      <c r="AX896" s="45"/>
    </row>
    <row r="897">
      <c r="A897" s="211" t="s">
        <v>4343</v>
      </c>
      <c r="B897" s="212" t="s">
        <v>4344</v>
      </c>
      <c r="C897" s="213" t="s">
        <v>4345</v>
      </c>
      <c r="D897" s="213">
        <v>3.105875099E9</v>
      </c>
      <c r="E897" s="213" t="s">
        <v>4346</v>
      </c>
      <c r="F897" s="214" t="s">
        <v>4343</v>
      </c>
      <c r="G897" s="213">
        <v>200.0</v>
      </c>
      <c r="H897" s="213">
        <v>10.0</v>
      </c>
      <c r="I897" s="213">
        <v>10.0</v>
      </c>
      <c r="J897" s="213">
        <v>0.0</v>
      </c>
      <c r="K897" s="66"/>
      <c r="L897" s="66"/>
      <c r="M897" s="66"/>
      <c r="N897" s="213">
        <v>9.0</v>
      </c>
      <c r="O897" s="66"/>
      <c r="P897" s="66"/>
      <c r="Q897" s="66"/>
      <c r="R897" s="66"/>
      <c r="S897" s="66"/>
      <c r="T897" s="66"/>
      <c r="U897" s="66"/>
      <c r="V897" s="215" t="s">
        <v>4347</v>
      </c>
      <c r="W897" s="222" t="s">
        <v>4348</v>
      </c>
      <c r="X897" s="66"/>
      <c r="Y897" s="66"/>
      <c r="Z897" s="213" t="s">
        <v>4349</v>
      </c>
      <c r="AA897" s="213">
        <v>1.0</v>
      </c>
      <c r="AB897" s="66"/>
      <c r="AC897" s="69"/>
      <c r="AD897" s="37"/>
      <c r="AE897" s="37"/>
      <c r="AF897" s="37"/>
      <c r="AG897" s="37"/>
      <c r="AH897" s="37"/>
      <c r="AI897" s="31"/>
      <c r="AJ897" s="31"/>
      <c r="AK897" s="31"/>
      <c r="AL897" s="31"/>
      <c r="AM897" s="31"/>
      <c r="AN897" s="31"/>
      <c r="AO897" s="31"/>
      <c r="AP897" s="31"/>
      <c r="AQ897" s="31"/>
      <c r="AR897" s="31"/>
      <c r="AS897" s="31"/>
      <c r="AT897" s="36"/>
      <c r="AU897" s="36"/>
      <c r="AV897" s="34"/>
      <c r="AW897" s="31"/>
      <c r="AX897" s="34"/>
    </row>
    <row r="898">
      <c r="A898" s="216" t="s">
        <v>4350</v>
      </c>
      <c r="B898" s="221" t="s">
        <v>4351</v>
      </c>
      <c r="C898" s="218" t="s">
        <v>4345</v>
      </c>
      <c r="D898" s="218">
        <v>3.105875099E9</v>
      </c>
      <c r="E898" s="218" t="s">
        <v>4352</v>
      </c>
      <c r="F898" s="219" t="s">
        <v>4350</v>
      </c>
      <c r="G898" s="218">
        <v>500.0</v>
      </c>
      <c r="H898" s="218">
        <v>3.0</v>
      </c>
      <c r="I898" s="218">
        <v>3.0</v>
      </c>
      <c r="J898" s="218">
        <v>3.0</v>
      </c>
      <c r="K898" s="77"/>
      <c r="L898" s="77"/>
      <c r="M898" s="77"/>
      <c r="N898" s="218">
        <v>9.0</v>
      </c>
      <c r="O898" s="77"/>
      <c r="P898" s="77"/>
      <c r="Q898" s="77"/>
      <c r="R898" s="77"/>
      <c r="S898" s="77"/>
      <c r="T898" s="77"/>
      <c r="U898" s="77"/>
      <c r="V898" s="220" t="s">
        <v>4353</v>
      </c>
      <c r="W898" s="77"/>
      <c r="X898" s="77"/>
      <c r="Y898" s="77"/>
      <c r="Z898" s="218" t="s">
        <v>4349</v>
      </c>
      <c r="AA898" s="218">
        <v>1.0</v>
      </c>
      <c r="AB898" s="77"/>
      <c r="AC898" s="79"/>
      <c r="AD898" s="54"/>
      <c r="AE898" s="54"/>
      <c r="AF898" s="54"/>
      <c r="AG898" s="54"/>
      <c r="AH898" s="54"/>
      <c r="AI898" s="44"/>
      <c r="AJ898" s="44"/>
      <c r="AK898" s="44"/>
      <c r="AL898" s="44"/>
      <c r="AM898" s="44"/>
      <c r="AN898" s="44"/>
      <c r="AO898" s="44"/>
      <c r="AP898" s="44"/>
      <c r="AQ898" s="44"/>
      <c r="AR898" s="44"/>
      <c r="AS898" s="44"/>
      <c r="AT898" s="41"/>
      <c r="AU898" s="41"/>
      <c r="AV898" s="45"/>
      <c r="AW898" s="44"/>
      <c r="AX898" s="45"/>
    </row>
    <row r="899">
      <c r="A899" s="211" t="s">
        <v>4354</v>
      </c>
      <c r="B899" s="212" t="s">
        <v>4355</v>
      </c>
      <c r="C899" s="213" t="s">
        <v>4356</v>
      </c>
      <c r="D899" s="213">
        <v>3.055863729E9</v>
      </c>
      <c r="E899" s="213" t="s">
        <v>4357</v>
      </c>
      <c r="F899" s="214" t="s">
        <v>4354</v>
      </c>
      <c r="G899" s="213">
        <v>254.0</v>
      </c>
      <c r="H899" s="213">
        <v>8.0</v>
      </c>
      <c r="I899" s="213">
        <v>5.0</v>
      </c>
      <c r="J899" s="213">
        <v>2.0</v>
      </c>
      <c r="K899" s="66"/>
      <c r="L899" s="66"/>
      <c r="M899" s="66"/>
      <c r="N899" s="213">
        <v>9.0</v>
      </c>
      <c r="O899" s="66"/>
      <c r="P899" s="66"/>
      <c r="Q899" s="66"/>
      <c r="R899" s="66"/>
      <c r="S899" s="66"/>
      <c r="T899" s="66"/>
      <c r="U899" s="66"/>
      <c r="V899" s="215" t="s">
        <v>4358</v>
      </c>
      <c r="W899" s="66"/>
      <c r="X899" s="66"/>
      <c r="Y899" s="66"/>
      <c r="Z899" s="213" t="s">
        <v>4359</v>
      </c>
      <c r="AA899" s="213">
        <v>1.0</v>
      </c>
      <c r="AB899" s="66"/>
      <c r="AC899" s="69"/>
      <c r="AD899" s="37"/>
      <c r="AE899" s="37"/>
      <c r="AF899" s="37"/>
      <c r="AG899" s="37"/>
      <c r="AH899" s="37"/>
      <c r="AI899" s="31"/>
      <c r="AJ899" s="31"/>
      <c r="AK899" s="31"/>
      <c r="AL899" s="31"/>
      <c r="AM899" s="31"/>
      <c r="AN899" s="31"/>
      <c r="AO899" s="31"/>
      <c r="AP899" s="31"/>
      <c r="AQ899" s="31"/>
      <c r="AR899" s="31"/>
      <c r="AS899" s="31"/>
      <c r="AT899" s="36"/>
      <c r="AU899" s="36"/>
      <c r="AV899" s="34"/>
      <c r="AW899" s="31"/>
      <c r="AX899" s="34"/>
    </row>
    <row r="900">
      <c r="A900" s="216" t="s">
        <v>4360</v>
      </c>
      <c r="B900" s="221" t="s">
        <v>4361</v>
      </c>
      <c r="C900" s="218" t="s">
        <v>4362</v>
      </c>
      <c r="D900" s="218">
        <v>3.304798598E9</v>
      </c>
      <c r="E900" s="218" t="s">
        <v>4363</v>
      </c>
      <c r="F900" s="219" t="s">
        <v>4360</v>
      </c>
      <c r="G900" s="218">
        <v>850.0</v>
      </c>
      <c r="H900" s="218">
        <v>8.0</v>
      </c>
      <c r="I900" s="218">
        <v>8.0</v>
      </c>
      <c r="J900" s="218">
        <v>1.0</v>
      </c>
      <c r="K900" s="77"/>
      <c r="L900" s="77"/>
      <c r="M900" s="77"/>
      <c r="N900" s="218">
        <v>10.0</v>
      </c>
      <c r="O900" s="77"/>
      <c r="P900" s="77"/>
      <c r="Q900" s="77"/>
      <c r="R900" s="77"/>
      <c r="S900" s="77"/>
      <c r="T900" s="77"/>
      <c r="U900" s="77"/>
      <c r="V900" s="220" t="s">
        <v>4364</v>
      </c>
      <c r="W900" s="77"/>
      <c r="X900" s="77"/>
      <c r="Y900" s="77"/>
      <c r="Z900" s="218" t="s">
        <v>4365</v>
      </c>
      <c r="AA900" s="218">
        <v>1.0</v>
      </c>
      <c r="AB900" s="77"/>
      <c r="AC900" s="79"/>
      <c r="AD900" s="54"/>
      <c r="AE900" s="54"/>
      <c r="AF900" s="54"/>
      <c r="AG900" s="54"/>
      <c r="AH900" s="54"/>
      <c r="AI900" s="44"/>
      <c r="AJ900" s="44"/>
      <c r="AK900" s="44"/>
      <c r="AL900" s="44"/>
      <c r="AM900" s="44"/>
      <c r="AN900" s="44"/>
      <c r="AO900" s="44"/>
      <c r="AP900" s="44"/>
      <c r="AQ900" s="44"/>
      <c r="AR900" s="44"/>
      <c r="AS900" s="44"/>
      <c r="AT900" s="41"/>
      <c r="AU900" s="41"/>
      <c r="AV900" s="45"/>
      <c r="AW900" s="44"/>
      <c r="AX900" s="45"/>
    </row>
    <row r="901">
      <c r="A901" s="211" t="s">
        <v>4366</v>
      </c>
      <c r="B901" s="212" t="s">
        <v>4367</v>
      </c>
      <c r="C901" s="213" t="s">
        <v>4368</v>
      </c>
      <c r="D901" s="213">
        <v>3.425309047E9</v>
      </c>
      <c r="E901" s="213" t="s">
        <v>4369</v>
      </c>
      <c r="F901" s="214" t="s">
        <v>4366</v>
      </c>
      <c r="G901" s="213">
        <v>950.0</v>
      </c>
      <c r="H901" s="213">
        <v>9.0</v>
      </c>
      <c r="I901" s="213">
        <v>9.0</v>
      </c>
      <c r="J901" s="213">
        <v>0.0</v>
      </c>
      <c r="K901" s="66"/>
      <c r="L901" s="66"/>
      <c r="M901" s="66"/>
      <c r="N901" s="213">
        <v>7.0</v>
      </c>
      <c r="O901" s="66"/>
      <c r="P901" s="66"/>
      <c r="Q901" s="66"/>
      <c r="R901" s="66"/>
      <c r="S901" s="66"/>
      <c r="T901" s="66"/>
      <c r="U901" s="66"/>
      <c r="V901" s="215" t="s">
        <v>4370</v>
      </c>
      <c r="W901" s="66"/>
      <c r="X901" s="66"/>
      <c r="Y901" s="66"/>
      <c r="Z901" s="213" t="s">
        <v>4371</v>
      </c>
      <c r="AA901" s="213">
        <v>1.0</v>
      </c>
      <c r="AB901" s="66"/>
      <c r="AC901" s="69"/>
      <c r="AD901" s="37"/>
      <c r="AE901" s="37"/>
      <c r="AF901" s="37"/>
      <c r="AG901" s="37"/>
      <c r="AH901" s="37"/>
      <c r="AI901" s="31"/>
      <c r="AJ901" s="31"/>
      <c r="AK901" s="31"/>
      <c r="AL901" s="31"/>
      <c r="AM901" s="31"/>
      <c r="AN901" s="31"/>
      <c r="AO901" s="31"/>
      <c r="AP901" s="31"/>
      <c r="AQ901" s="31"/>
      <c r="AR901" s="31"/>
      <c r="AS901" s="31"/>
      <c r="AT901" s="36"/>
      <c r="AU901" s="36"/>
      <c r="AV901" s="34"/>
      <c r="AW901" s="31"/>
      <c r="AX901" s="34"/>
    </row>
    <row r="902">
      <c r="A902" s="216" t="s">
        <v>4372</v>
      </c>
      <c r="B902" s="221" t="s">
        <v>4373</v>
      </c>
      <c r="C902" s="218" t="s">
        <v>4374</v>
      </c>
      <c r="D902" s="218">
        <v>3.049821471E9</v>
      </c>
      <c r="E902" s="218" t="s">
        <v>4375</v>
      </c>
      <c r="F902" s="219" t="s">
        <v>4372</v>
      </c>
      <c r="G902" s="218">
        <v>203.0</v>
      </c>
      <c r="H902" s="218">
        <v>9.0</v>
      </c>
      <c r="I902" s="218">
        <v>9.0</v>
      </c>
      <c r="J902" s="218">
        <v>0.0</v>
      </c>
      <c r="K902" s="77"/>
      <c r="L902" s="77"/>
      <c r="M902" s="77"/>
      <c r="N902" s="218">
        <v>9.0</v>
      </c>
      <c r="O902" s="77"/>
      <c r="P902" s="77"/>
      <c r="Q902" s="77"/>
      <c r="R902" s="77"/>
      <c r="S902" s="77"/>
      <c r="T902" s="77"/>
      <c r="U902" s="77"/>
      <c r="V902" s="220" t="s">
        <v>4376</v>
      </c>
      <c r="W902" s="77"/>
      <c r="X902" s="77"/>
      <c r="Y902" s="77"/>
      <c r="Z902" s="218" t="s">
        <v>4377</v>
      </c>
      <c r="AA902" s="218">
        <v>1.0</v>
      </c>
      <c r="AB902" s="77"/>
      <c r="AC902" s="79"/>
      <c r="AD902" s="54"/>
      <c r="AE902" s="54"/>
      <c r="AF902" s="54"/>
      <c r="AG902" s="54"/>
      <c r="AH902" s="54"/>
      <c r="AI902" s="44"/>
      <c r="AJ902" s="44"/>
      <c r="AK902" s="44"/>
      <c r="AL902" s="44"/>
      <c r="AM902" s="44"/>
      <c r="AN902" s="44"/>
      <c r="AO902" s="44"/>
      <c r="AP902" s="44"/>
      <c r="AQ902" s="44"/>
      <c r="AR902" s="44"/>
      <c r="AS902" s="44"/>
      <c r="AT902" s="41"/>
      <c r="AU902" s="41"/>
      <c r="AV902" s="45"/>
      <c r="AW902" s="44"/>
      <c r="AX902" s="45"/>
    </row>
    <row r="903">
      <c r="A903" s="211" t="s">
        <v>4378</v>
      </c>
      <c r="B903" s="212" t="s">
        <v>4379</v>
      </c>
      <c r="C903" s="213" t="s">
        <v>4380</v>
      </c>
      <c r="D903" s="213">
        <v>3.157681452E9</v>
      </c>
      <c r="E903" s="213" t="s">
        <v>4381</v>
      </c>
      <c r="F903" s="214" t="s">
        <v>4378</v>
      </c>
      <c r="G903" s="213">
        <v>350.0</v>
      </c>
      <c r="H903" s="213">
        <v>8.0</v>
      </c>
      <c r="I903" s="213">
        <v>8.0</v>
      </c>
      <c r="J903" s="213">
        <v>1.0</v>
      </c>
      <c r="K903" s="66"/>
      <c r="L903" s="66"/>
      <c r="M903" s="66"/>
      <c r="N903" s="213">
        <v>9.0</v>
      </c>
      <c r="O903" s="66"/>
      <c r="P903" s="66"/>
      <c r="Q903" s="66"/>
      <c r="R903" s="66"/>
      <c r="S903" s="66"/>
      <c r="T903" s="66"/>
      <c r="U903" s="66"/>
      <c r="V903" s="215" t="s">
        <v>4382</v>
      </c>
      <c r="W903" s="213" t="s">
        <v>563</v>
      </c>
      <c r="X903" s="66"/>
      <c r="Y903" s="66"/>
      <c r="Z903" s="213" t="s">
        <v>4383</v>
      </c>
      <c r="AA903" s="213">
        <v>1.0</v>
      </c>
      <c r="AB903" s="66"/>
      <c r="AC903" s="69"/>
      <c r="AD903" s="37"/>
      <c r="AE903" s="37"/>
      <c r="AF903" s="37"/>
      <c r="AG903" s="37"/>
      <c r="AH903" s="37"/>
      <c r="AI903" s="31"/>
      <c r="AJ903" s="31"/>
      <c r="AK903" s="31"/>
      <c r="AL903" s="31"/>
      <c r="AM903" s="31"/>
      <c r="AN903" s="31"/>
      <c r="AO903" s="31"/>
      <c r="AP903" s="31"/>
      <c r="AQ903" s="31"/>
      <c r="AR903" s="31"/>
      <c r="AS903" s="31"/>
      <c r="AT903" s="36"/>
      <c r="AU903" s="36"/>
      <c r="AV903" s="34"/>
      <c r="AW903" s="31"/>
      <c r="AX903" s="34"/>
    </row>
    <row r="904">
      <c r="A904" s="216" t="s">
        <v>4384</v>
      </c>
      <c r="B904" s="221" t="s">
        <v>4385</v>
      </c>
      <c r="C904" s="218" t="s">
        <v>4386</v>
      </c>
      <c r="D904" s="218">
        <v>3.157681452E9</v>
      </c>
      <c r="E904" s="218" t="s">
        <v>4387</v>
      </c>
      <c r="F904" s="219" t="s">
        <v>4384</v>
      </c>
      <c r="G904" s="218">
        <v>380.0</v>
      </c>
      <c r="H904" s="218">
        <v>9.0</v>
      </c>
      <c r="I904" s="218">
        <v>9.0</v>
      </c>
      <c r="J904" s="218">
        <v>1.0</v>
      </c>
      <c r="K904" s="77"/>
      <c r="L904" s="77"/>
      <c r="M904" s="77"/>
      <c r="N904" s="218">
        <v>10.0</v>
      </c>
      <c r="O904" s="77"/>
      <c r="P904" s="77"/>
      <c r="Q904" s="77"/>
      <c r="R904" s="77"/>
      <c r="S904" s="77"/>
      <c r="T904" s="77"/>
      <c r="U904" s="77"/>
      <c r="V904" s="220" t="s">
        <v>4388</v>
      </c>
      <c r="W904" s="218" t="s">
        <v>563</v>
      </c>
      <c r="X904" s="77"/>
      <c r="Y904" s="77"/>
      <c r="Z904" s="218" t="s">
        <v>4383</v>
      </c>
      <c r="AA904" s="218">
        <v>1.0</v>
      </c>
      <c r="AB904" s="77"/>
      <c r="AC904" s="79"/>
      <c r="AD904" s="54"/>
      <c r="AE904" s="54"/>
      <c r="AF904" s="54"/>
      <c r="AG904" s="54"/>
      <c r="AH904" s="54"/>
      <c r="AI904" s="44"/>
      <c r="AJ904" s="44"/>
      <c r="AK904" s="44"/>
      <c r="AL904" s="44"/>
      <c r="AM904" s="44"/>
      <c r="AN904" s="44"/>
      <c r="AO904" s="44"/>
      <c r="AP904" s="44"/>
      <c r="AQ904" s="44"/>
      <c r="AR904" s="44"/>
      <c r="AS904" s="44"/>
      <c r="AT904" s="41"/>
      <c r="AU904" s="41"/>
      <c r="AV904" s="45"/>
      <c r="AW904" s="44"/>
      <c r="AX904" s="45"/>
    </row>
    <row r="905">
      <c r="A905" s="211" t="s">
        <v>4389</v>
      </c>
      <c r="B905" s="212" t="s">
        <v>4390</v>
      </c>
      <c r="C905" s="213" t="s">
        <v>4391</v>
      </c>
      <c r="D905" s="213">
        <v>3.157681452E9</v>
      </c>
      <c r="E905" s="213" t="s">
        <v>4392</v>
      </c>
      <c r="F905" s="214" t="s">
        <v>4389</v>
      </c>
      <c r="G905" s="213">
        <v>410.0</v>
      </c>
      <c r="H905" s="213">
        <v>7.0</v>
      </c>
      <c r="I905" s="213">
        <v>7.0</v>
      </c>
      <c r="J905" s="213">
        <v>2.0</v>
      </c>
      <c r="K905" s="66"/>
      <c r="L905" s="66"/>
      <c r="M905" s="66"/>
      <c r="N905" s="213">
        <v>8.0</v>
      </c>
      <c r="O905" s="66"/>
      <c r="P905" s="66"/>
      <c r="Q905" s="66"/>
      <c r="R905" s="66"/>
      <c r="S905" s="66"/>
      <c r="T905" s="66"/>
      <c r="U905" s="66"/>
      <c r="V905" s="215" t="s">
        <v>4393</v>
      </c>
      <c r="W905" s="213" t="s">
        <v>563</v>
      </c>
      <c r="X905" s="66"/>
      <c r="Y905" s="66"/>
      <c r="Z905" s="213" t="s">
        <v>4383</v>
      </c>
      <c r="AA905" s="213">
        <v>1.0</v>
      </c>
      <c r="AB905" s="66"/>
      <c r="AC905" s="69"/>
      <c r="AD905" s="37"/>
      <c r="AE905" s="37"/>
      <c r="AF905" s="37"/>
      <c r="AG905" s="37"/>
      <c r="AH905" s="37"/>
      <c r="AI905" s="31"/>
      <c r="AJ905" s="31"/>
      <c r="AK905" s="31"/>
      <c r="AL905" s="31"/>
      <c r="AM905" s="31"/>
      <c r="AN905" s="31"/>
      <c r="AO905" s="31"/>
      <c r="AP905" s="31"/>
      <c r="AQ905" s="31"/>
      <c r="AR905" s="31"/>
      <c r="AS905" s="31"/>
      <c r="AT905" s="36"/>
      <c r="AU905" s="36"/>
      <c r="AV905" s="34"/>
      <c r="AW905" s="31"/>
      <c r="AX905" s="34"/>
    </row>
    <row r="906">
      <c r="A906" s="216" t="s">
        <v>4360</v>
      </c>
      <c r="B906" s="221" t="s">
        <v>4394</v>
      </c>
      <c r="C906" s="218" t="s">
        <v>4362</v>
      </c>
      <c r="D906" s="218">
        <v>3.304798598E9</v>
      </c>
      <c r="E906" s="218" t="s">
        <v>4363</v>
      </c>
      <c r="F906" s="219" t="s">
        <v>4360</v>
      </c>
      <c r="G906" s="218">
        <v>850.0</v>
      </c>
      <c r="H906" s="218">
        <v>8.0</v>
      </c>
      <c r="I906" s="218">
        <v>8.0</v>
      </c>
      <c r="J906" s="218">
        <v>0.0</v>
      </c>
      <c r="K906" s="77"/>
      <c r="L906" s="77"/>
      <c r="M906" s="77"/>
      <c r="N906" s="218">
        <v>10.0</v>
      </c>
      <c r="O906" s="77"/>
      <c r="P906" s="77"/>
      <c r="Q906" s="77"/>
      <c r="R906" s="77"/>
      <c r="S906" s="77"/>
      <c r="T906" s="77"/>
      <c r="U906" s="77"/>
      <c r="V906" s="220" t="s">
        <v>4395</v>
      </c>
      <c r="W906" s="218" t="s">
        <v>4396</v>
      </c>
      <c r="X906" s="77"/>
      <c r="Y906" s="77"/>
      <c r="Z906" s="218" t="s">
        <v>4365</v>
      </c>
      <c r="AA906" s="218">
        <v>2.0</v>
      </c>
      <c r="AB906" s="77"/>
      <c r="AC906" s="79"/>
      <c r="AD906" s="54"/>
      <c r="AE906" s="54"/>
      <c r="AF906" s="54"/>
      <c r="AG906" s="54"/>
      <c r="AH906" s="54"/>
      <c r="AI906" s="44"/>
      <c r="AJ906" s="44"/>
      <c r="AK906" s="44"/>
      <c r="AL906" s="44"/>
      <c r="AM906" s="44"/>
      <c r="AN906" s="44"/>
      <c r="AO906" s="44"/>
      <c r="AP906" s="44"/>
      <c r="AQ906" s="44"/>
      <c r="AR906" s="44"/>
      <c r="AS906" s="44"/>
      <c r="AT906" s="41"/>
      <c r="AU906" s="41"/>
      <c r="AV906" s="45"/>
      <c r="AW906" s="44"/>
      <c r="AX906" s="45"/>
    </row>
    <row r="907">
      <c r="A907" s="211" t="s">
        <v>4397</v>
      </c>
      <c r="B907" s="212" t="s">
        <v>4398</v>
      </c>
      <c r="C907" s="213" t="s">
        <v>4399</v>
      </c>
      <c r="D907" s="213">
        <v>3.175702106E9</v>
      </c>
      <c r="E907" s="213" t="s">
        <v>4400</v>
      </c>
      <c r="F907" s="214" t="s">
        <v>4397</v>
      </c>
      <c r="G907" s="213">
        <v>805.0</v>
      </c>
      <c r="H907" s="213">
        <v>8.0</v>
      </c>
      <c r="I907" s="213">
        <v>8.0</v>
      </c>
      <c r="J907" s="213">
        <v>0.0</v>
      </c>
      <c r="K907" s="66"/>
      <c r="L907" s="66"/>
      <c r="M907" s="66"/>
      <c r="N907" s="213">
        <v>9.0</v>
      </c>
      <c r="O907" s="66"/>
      <c r="P907" s="66"/>
      <c r="Q907" s="66"/>
      <c r="R907" s="66"/>
      <c r="S907" s="66"/>
      <c r="T907" s="66"/>
      <c r="U907" s="66"/>
      <c r="V907" s="215" t="s">
        <v>4401</v>
      </c>
      <c r="W907" s="222" t="s">
        <v>4402</v>
      </c>
      <c r="X907" s="66"/>
      <c r="Y907" s="66"/>
      <c r="Z907" s="213" t="s">
        <v>4403</v>
      </c>
      <c r="AA907" s="213">
        <v>2.0</v>
      </c>
      <c r="AB907" s="66"/>
      <c r="AC907" s="69"/>
      <c r="AD907" s="37"/>
      <c r="AE907" s="37"/>
      <c r="AF907" s="37"/>
      <c r="AG907" s="37"/>
      <c r="AH907" s="37"/>
      <c r="AI907" s="31"/>
      <c r="AJ907" s="31"/>
      <c r="AK907" s="31"/>
      <c r="AL907" s="31"/>
      <c r="AM907" s="31"/>
      <c r="AN907" s="31"/>
      <c r="AO907" s="31"/>
      <c r="AP907" s="31"/>
      <c r="AQ907" s="31"/>
      <c r="AR907" s="31"/>
      <c r="AS907" s="31"/>
      <c r="AT907" s="36"/>
      <c r="AU907" s="36"/>
      <c r="AV907" s="34"/>
      <c r="AW907" s="31"/>
      <c r="AX907" s="34"/>
    </row>
    <row r="908">
      <c r="A908" s="216" t="s">
        <v>4404</v>
      </c>
      <c r="B908" s="221" t="s">
        <v>4405</v>
      </c>
      <c r="C908" s="218" t="s">
        <v>4368</v>
      </c>
      <c r="D908" s="218">
        <v>3.425309047E9</v>
      </c>
      <c r="E908" s="218" t="s">
        <v>4406</v>
      </c>
      <c r="F908" s="219" t="s">
        <v>4404</v>
      </c>
      <c r="G908" s="218">
        <v>1000.0</v>
      </c>
      <c r="H908" s="218">
        <v>10.0</v>
      </c>
      <c r="I908" s="218">
        <v>10.0</v>
      </c>
      <c r="J908" s="218">
        <v>0.0</v>
      </c>
      <c r="K908" s="77"/>
      <c r="L908" s="77"/>
      <c r="M908" s="77"/>
      <c r="N908" s="218">
        <v>10.0</v>
      </c>
      <c r="O908" s="77"/>
      <c r="P908" s="77"/>
      <c r="Q908" s="77"/>
      <c r="R908" s="77"/>
      <c r="S908" s="77"/>
      <c r="T908" s="77"/>
      <c r="U908" s="77"/>
      <c r="V908" s="220" t="s">
        <v>4407</v>
      </c>
      <c r="W908" s="218" t="s">
        <v>4408</v>
      </c>
      <c r="X908" s="77"/>
      <c r="Y908" s="77"/>
      <c r="Z908" s="218" t="s">
        <v>4371</v>
      </c>
      <c r="AA908" s="218">
        <v>2.0</v>
      </c>
      <c r="AB908" s="77"/>
      <c r="AC908" s="79"/>
      <c r="AD908" s="54"/>
      <c r="AE908" s="54"/>
      <c r="AF908" s="54"/>
      <c r="AG908" s="54"/>
      <c r="AH908" s="54"/>
      <c r="AI908" s="44"/>
      <c r="AJ908" s="44"/>
      <c r="AK908" s="44"/>
      <c r="AL908" s="44"/>
      <c r="AM908" s="44"/>
      <c r="AN908" s="44"/>
      <c r="AO908" s="44"/>
      <c r="AP908" s="44"/>
      <c r="AQ908" s="44"/>
      <c r="AR908" s="44"/>
      <c r="AS908" s="44"/>
      <c r="AT908" s="41"/>
      <c r="AU908" s="41"/>
      <c r="AV908" s="45"/>
      <c r="AW908" s="44"/>
      <c r="AX908" s="45"/>
    </row>
    <row r="909">
      <c r="A909" s="211" t="s">
        <v>4317</v>
      </c>
      <c r="B909" s="212" t="s">
        <v>4409</v>
      </c>
      <c r="C909" s="213" t="s">
        <v>4319</v>
      </c>
      <c r="D909" s="213">
        <v>3.165641906E9</v>
      </c>
      <c r="E909" s="213" t="s">
        <v>4410</v>
      </c>
      <c r="F909" s="214" t="s">
        <v>4317</v>
      </c>
      <c r="G909" s="213">
        <v>367.0</v>
      </c>
      <c r="H909" s="213">
        <v>7.0</v>
      </c>
      <c r="I909" s="213">
        <v>7.0</v>
      </c>
      <c r="J909" s="213">
        <v>73.0</v>
      </c>
      <c r="K909" s="66"/>
      <c r="L909" s="66"/>
      <c r="M909" s="66"/>
      <c r="N909" s="213">
        <v>9.0</v>
      </c>
      <c r="O909" s="66"/>
      <c r="P909" s="66"/>
      <c r="Q909" s="66"/>
      <c r="R909" s="66"/>
      <c r="S909" s="66"/>
      <c r="T909" s="66"/>
      <c r="U909" s="66"/>
      <c r="V909" s="215" t="s">
        <v>4411</v>
      </c>
      <c r="W909" s="66"/>
      <c r="X909" s="66"/>
      <c r="Y909" s="66"/>
      <c r="Z909" s="213" t="s">
        <v>4323</v>
      </c>
      <c r="AA909" s="213">
        <v>2.0</v>
      </c>
      <c r="AB909" s="66"/>
      <c r="AC909" s="69"/>
      <c r="AD909" s="37"/>
      <c r="AE909" s="37"/>
      <c r="AF909" s="37"/>
      <c r="AG909" s="37"/>
      <c r="AH909" s="37"/>
      <c r="AI909" s="31"/>
      <c r="AJ909" s="31"/>
      <c r="AK909" s="31"/>
      <c r="AL909" s="31"/>
      <c r="AM909" s="31"/>
      <c r="AN909" s="31"/>
      <c r="AO909" s="31"/>
      <c r="AP909" s="31"/>
      <c r="AQ909" s="31"/>
      <c r="AR909" s="31"/>
      <c r="AS909" s="31"/>
      <c r="AT909" s="36"/>
      <c r="AU909" s="36"/>
      <c r="AV909" s="34"/>
      <c r="AW909" s="31"/>
      <c r="AX909" s="34"/>
    </row>
    <row r="910">
      <c r="A910" s="216" t="s">
        <v>4412</v>
      </c>
      <c r="B910" s="221" t="s">
        <v>4413</v>
      </c>
      <c r="C910" s="218" t="s">
        <v>4414</v>
      </c>
      <c r="D910" s="218">
        <v>3.405995157E9</v>
      </c>
      <c r="E910" s="218" t="s">
        <v>4415</v>
      </c>
      <c r="F910" s="219" t="s">
        <v>4412</v>
      </c>
      <c r="G910" s="218">
        <v>147.0</v>
      </c>
      <c r="H910" s="218">
        <v>4.0</v>
      </c>
      <c r="I910" s="218">
        <v>5.0</v>
      </c>
      <c r="J910" s="218" t="s">
        <v>4416</v>
      </c>
      <c r="K910" s="77"/>
      <c r="L910" s="77"/>
      <c r="M910" s="77"/>
      <c r="N910" s="218">
        <v>5.0</v>
      </c>
      <c r="O910" s="77"/>
      <c r="P910" s="77"/>
      <c r="Q910" s="77"/>
      <c r="R910" s="77"/>
      <c r="S910" s="77"/>
      <c r="T910" s="77"/>
      <c r="U910" s="77"/>
      <c r="V910" s="220" t="s">
        <v>4417</v>
      </c>
      <c r="W910" s="77"/>
      <c r="X910" s="77"/>
      <c r="Y910" s="77"/>
      <c r="Z910" s="218" t="s">
        <v>4418</v>
      </c>
      <c r="AA910" s="218">
        <v>2.0</v>
      </c>
      <c r="AB910" s="77"/>
      <c r="AC910" s="79"/>
      <c r="AD910" s="54"/>
      <c r="AE910" s="54"/>
      <c r="AF910" s="54"/>
      <c r="AG910" s="54"/>
      <c r="AH910" s="54"/>
      <c r="AI910" s="44"/>
      <c r="AJ910" s="44"/>
      <c r="AK910" s="44"/>
      <c r="AL910" s="44"/>
      <c r="AM910" s="44"/>
      <c r="AN910" s="44"/>
      <c r="AO910" s="44"/>
      <c r="AP910" s="44"/>
      <c r="AQ910" s="44"/>
      <c r="AR910" s="44"/>
      <c r="AS910" s="44"/>
      <c r="AT910" s="41"/>
      <c r="AU910" s="41"/>
      <c r="AV910" s="45"/>
      <c r="AW910" s="44"/>
      <c r="AX910" s="45"/>
    </row>
    <row r="911">
      <c r="A911" s="211" t="s">
        <v>4331</v>
      </c>
      <c r="B911" s="212" t="s">
        <v>4419</v>
      </c>
      <c r="C911" s="213" t="s">
        <v>4326</v>
      </c>
      <c r="D911" s="213">
        <v>3.1352004E9</v>
      </c>
      <c r="E911" s="213" t="s">
        <v>4334</v>
      </c>
      <c r="F911" s="214" t="s">
        <v>4331</v>
      </c>
      <c r="G911" s="213">
        <v>317.0</v>
      </c>
      <c r="H911" s="213">
        <v>8.0</v>
      </c>
      <c r="I911" s="213">
        <v>8.0</v>
      </c>
      <c r="J911" s="213">
        <v>1.0</v>
      </c>
      <c r="K911" s="66"/>
      <c r="L911" s="66"/>
      <c r="M911" s="66"/>
      <c r="N911" s="213">
        <v>9.0</v>
      </c>
      <c r="O911" s="66"/>
      <c r="P911" s="66"/>
      <c r="Q911" s="66"/>
      <c r="R911" s="66"/>
      <c r="S911" s="66"/>
      <c r="T911" s="66"/>
      <c r="U911" s="66"/>
      <c r="V911" s="215" t="s">
        <v>4420</v>
      </c>
      <c r="W911" s="213" t="s">
        <v>4329</v>
      </c>
      <c r="X911" s="66"/>
      <c r="Y911" s="66"/>
      <c r="Z911" s="213" t="s">
        <v>4330</v>
      </c>
      <c r="AA911" s="213">
        <v>2.0</v>
      </c>
      <c r="AB911" s="66"/>
      <c r="AC911" s="69"/>
      <c r="AD911" s="37"/>
      <c r="AE911" s="37"/>
      <c r="AF911" s="37"/>
      <c r="AG911" s="37"/>
      <c r="AH911" s="37"/>
      <c r="AI911" s="31"/>
      <c r="AJ911" s="31"/>
      <c r="AK911" s="31"/>
      <c r="AL911" s="31"/>
      <c r="AM911" s="31"/>
      <c r="AN911" s="31"/>
      <c r="AO911" s="31"/>
      <c r="AP911" s="31"/>
      <c r="AQ911" s="31"/>
      <c r="AR911" s="31"/>
      <c r="AS911" s="31"/>
      <c r="AT911" s="36"/>
      <c r="AU911" s="36"/>
      <c r="AV911" s="34"/>
      <c r="AW911" s="31"/>
      <c r="AX911" s="34"/>
    </row>
    <row r="912">
      <c r="A912" s="216" t="s">
        <v>4421</v>
      </c>
      <c r="B912" s="221" t="s">
        <v>4422</v>
      </c>
      <c r="C912" s="218" t="s">
        <v>4423</v>
      </c>
      <c r="D912" s="218">
        <v>3.088148872E9</v>
      </c>
      <c r="E912" s="218" t="s">
        <v>4424</v>
      </c>
      <c r="F912" s="219" t="s">
        <v>4421</v>
      </c>
      <c r="G912" s="218">
        <v>150.0</v>
      </c>
      <c r="H912" s="218">
        <v>8.0</v>
      </c>
      <c r="I912" s="218">
        <v>9.0</v>
      </c>
      <c r="J912" s="218">
        <v>0.0</v>
      </c>
      <c r="K912" s="77"/>
      <c r="L912" s="77"/>
      <c r="M912" s="77"/>
      <c r="N912" s="218">
        <v>9.0</v>
      </c>
      <c r="O912" s="77"/>
      <c r="P912" s="77"/>
      <c r="Q912" s="77"/>
      <c r="R912" s="77"/>
      <c r="S912" s="77"/>
      <c r="T912" s="77"/>
      <c r="U912" s="77"/>
      <c r="V912" s="220" t="s">
        <v>4425</v>
      </c>
      <c r="W912" s="218" t="s">
        <v>144</v>
      </c>
      <c r="X912" s="77"/>
      <c r="Y912" s="77"/>
      <c r="Z912" s="218" t="s">
        <v>4426</v>
      </c>
      <c r="AA912" s="218">
        <v>2.0</v>
      </c>
      <c r="AB912" s="77"/>
      <c r="AC912" s="79"/>
      <c r="AD912" s="54"/>
      <c r="AE912" s="54"/>
      <c r="AF912" s="54"/>
      <c r="AG912" s="54"/>
      <c r="AH912" s="54"/>
      <c r="AI912" s="44"/>
      <c r="AJ912" s="44"/>
      <c r="AK912" s="44"/>
      <c r="AL912" s="44"/>
      <c r="AM912" s="44"/>
      <c r="AN912" s="44"/>
      <c r="AO912" s="44"/>
      <c r="AP912" s="44"/>
      <c r="AQ912" s="44"/>
      <c r="AR912" s="44"/>
      <c r="AS912" s="44"/>
      <c r="AT912" s="41"/>
      <c r="AU912" s="41"/>
      <c r="AV912" s="45"/>
      <c r="AW912" s="44"/>
      <c r="AX912" s="45"/>
    </row>
    <row r="913">
      <c r="A913" s="211" t="s">
        <v>4324</v>
      </c>
      <c r="B913" s="212" t="s">
        <v>4427</v>
      </c>
      <c r="C913" s="213" t="s">
        <v>4428</v>
      </c>
      <c r="D913" s="213">
        <v>3.345244952E9</v>
      </c>
      <c r="E913" s="213" t="s">
        <v>4429</v>
      </c>
      <c r="F913" s="214" t="s">
        <v>4324</v>
      </c>
      <c r="G913" s="213">
        <v>403.0</v>
      </c>
      <c r="H913" s="213">
        <v>8.0</v>
      </c>
      <c r="I913" s="213">
        <v>7.0</v>
      </c>
      <c r="J913" s="213">
        <v>1.0</v>
      </c>
      <c r="K913" s="66"/>
      <c r="L913" s="66"/>
      <c r="M913" s="66"/>
      <c r="N913" s="213">
        <v>8.0</v>
      </c>
      <c r="O913" s="66"/>
      <c r="P913" s="66"/>
      <c r="Q913" s="66"/>
      <c r="R913" s="66"/>
      <c r="S913" s="66"/>
      <c r="T913" s="66"/>
      <c r="U913" s="66"/>
      <c r="V913" s="215" t="s">
        <v>4430</v>
      </c>
      <c r="W913" s="213" t="s">
        <v>4329</v>
      </c>
      <c r="X913" s="66"/>
      <c r="Y913" s="66"/>
      <c r="Z913" s="213" t="s">
        <v>4431</v>
      </c>
      <c r="AA913" s="213">
        <v>2.0</v>
      </c>
      <c r="AB913" s="66"/>
      <c r="AC913" s="69"/>
      <c r="AD913" s="37"/>
      <c r="AE913" s="37"/>
      <c r="AF913" s="37"/>
      <c r="AG913" s="37"/>
      <c r="AH913" s="37"/>
      <c r="AI913" s="31"/>
      <c r="AJ913" s="31"/>
      <c r="AK913" s="31"/>
      <c r="AL913" s="31"/>
      <c r="AM913" s="31"/>
      <c r="AN913" s="31"/>
      <c r="AO913" s="31"/>
      <c r="AP913" s="31"/>
      <c r="AQ913" s="31"/>
      <c r="AR913" s="31"/>
      <c r="AS913" s="31"/>
      <c r="AT913" s="36"/>
      <c r="AU913" s="36"/>
      <c r="AV913" s="34"/>
      <c r="AW913" s="31"/>
      <c r="AX913" s="34"/>
    </row>
    <row r="914">
      <c r="A914" s="216" t="s">
        <v>4350</v>
      </c>
      <c r="B914" s="221" t="s">
        <v>4432</v>
      </c>
      <c r="C914" s="218" t="s">
        <v>4345</v>
      </c>
      <c r="D914" s="218">
        <v>3.105875099E9</v>
      </c>
      <c r="E914" s="218" t="s">
        <v>4433</v>
      </c>
      <c r="F914" s="219" t="s">
        <v>4350</v>
      </c>
      <c r="G914" s="218">
        <v>511.0</v>
      </c>
      <c r="H914" s="218">
        <v>2.0</v>
      </c>
      <c r="I914" s="218">
        <v>2.0</v>
      </c>
      <c r="J914" s="218">
        <v>4.0</v>
      </c>
      <c r="K914" s="77"/>
      <c r="L914" s="77"/>
      <c r="M914" s="77"/>
      <c r="N914" s="218">
        <v>9.0</v>
      </c>
      <c r="O914" s="77"/>
      <c r="P914" s="77"/>
      <c r="Q914" s="77"/>
      <c r="R914" s="77"/>
      <c r="S914" s="77"/>
      <c r="T914" s="77"/>
      <c r="U914" s="77"/>
      <c r="V914" s="220" t="s">
        <v>4434</v>
      </c>
      <c r="W914" s="77"/>
      <c r="X914" s="77"/>
      <c r="Y914" s="77"/>
      <c r="Z914" s="218" t="s">
        <v>4349</v>
      </c>
      <c r="AA914" s="218">
        <v>2.0</v>
      </c>
      <c r="AB914" s="77"/>
      <c r="AC914" s="79"/>
      <c r="AD914" s="54"/>
      <c r="AE914" s="54"/>
      <c r="AF914" s="54"/>
      <c r="AG914" s="54"/>
      <c r="AH914" s="54"/>
      <c r="AI914" s="44"/>
      <c r="AJ914" s="44"/>
      <c r="AK914" s="44"/>
      <c r="AL914" s="44"/>
      <c r="AM914" s="44"/>
      <c r="AN914" s="44"/>
      <c r="AO914" s="44"/>
      <c r="AP914" s="44"/>
      <c r="AQ914" s="44"/>
      <c r="AR914" s="44"/>
      <c r="AS914" s="44"/>
      <c r="AT914" s="41"/>
      <c r="AU914" s="41"/>
      <c r="AV914" s="45"/>
      <c r="AW914" s="44"/>
      <c r="AX914" s="45"/>
    </row>
    <row r="915">
      <c r="A915" s="211" t="s">
        <v>4305</v>
      </c>
      <c r="B915" s="212" t="s">
        <v>4435</v>
      </c>
      <c r="C915" s="213" t="s">
        <v>4436</v>
      </c>
      <c r="D915" s="213">
        <v>3.125796355E9</v>
      </c>
      <c r="E915" s="213" t="s">
        <v>4437</v>
      </c>
      <c r="F915" s="214" t="s">
        <v>4305</v>
      </c>
      <c r="G915" s="213">
        <v>290.0</v>
      </c>
      <c r="H915" s="213">
        <v>7.0</v>
      </c>
      <c r="I915" s="213">
        <v>8.0</v>
      </c>
      <c r="J915" s="213">
        <v>7.0</v>
      </c>
      <c r="K915" s="66"/>
      <c r="L915" s="66"/>
      <c r="M915" s="66"/>
      <c r="N915" s="213">
        <v>8.0</v>
      </c>
      <c r="O915" s="66"/>
      <c r="P915" s="66"/>
      <c r="Q915" s="66"/>
      <c r="R915" s="66"/>
      <c r="S915" s="66"/>
      <c r="T915" s="66"/>
      <c r="U915" s="66"/>
      <c r="V915" s="215" t="s">
        <v>4438</v>
      </c>
      <c r="W915" s="213" t="s">
        <v>4439</v>
      </c>
      <c r="X915" s="66"/>
      <c r="Y915" s="66"/>
      <c r="Z915" s="213" t="s">
        <v>4440</v>
      </c>
      <c r="AA915" s="213">
        <v>2.0</v>
      </c>
      <c r="AB915" s="66"/>
      <c r="AC915" s="69"/>
      <c r="AD915" s="37"/>
      <c r="AE915" s="37"/>
      <c r="AF915" s="37"/>
      <c r="AG915" s="37"/>
      <c r="AH915" s="37"/>
      <c r="AI915" s="31"/>
      <c r="AJ915" s="31"/>
      <c r="AK915" s="31"/>
      <c r="AL915" s="31"/>
      <c r="AM915" s="31"/>
      <c r="AN915" s="31"/>
      <c r="AO915" s="31"/>
      <c r="AP915" s="31"/>
      <c r="AQ915" s="31"/>
      <c r="AR915" s="31"/>
      <c r="AS915" s="31"/>
      <c r="AT915" s="36"/>
      <c r="AU915" s="36"/>
      <c r="AV915" s="34"/>
      <c r="AW915" s="31"/>
      <c r="AX915" s="34"/>
    </row>
    <row r="916">
      <c r="A916" s="216" t="s">
        <v>4354</v>
      </c>
      <c r="B916" s="221" t="s">
        <v>4441</v>
      </c>
      <c r="C916" s="218" t="s">
        <v>4356</v>
      </c>
      <c r="D916" s="218">
        <v>3.055863729E9</v>
      </c>
      <c r="E916" s="218" t="s">
        <v>4357</v>
      </c>
      <c r="F916" s="219" t="s">
        <v>4354</v>
      </c>
      <c r="G916" s="218">
        <v>327.0</v>
      </c>
      <c r="H916" s="218">
        <v>9.0</v>
      </c>
      <c r="I916" s="218">
        <v>8.0</v>
      </c>
      <c r="J916" s="218">
        <v>1.0</v>
      </c>
      <c r="K916" s="77"/>
      <c r="L916" s="77"/>
      <c r="M916" s="77"/>
      <c r="N916" s="218">
        <v>9.0</v>
      </c>
      <c r="O916" s="77"/>
      <c r="P916" s="77"/>
      <c r="Q916" s="77"/>
      <c r="R916" s="77"/>
      <c r="S916" s="77"/>
      <c r="T916" s="77"/>
      <c r="U916" s="77"/>
      <c r="V916" s="220" t="s">
        <v>4442</v>
      </c>
      <c r="W916" s="77"/>
      <c r="X916" s="77"/>
      <c r="Y916" s="77"/>
      <c r="Z916" s="218" t="s">
        <v>4359</v>
      </c>
      <c r="AA916" s="218">
        <v>2.0</v>
      </c>
      <c r="AB916" s="77"/>
      <c r="AC916" s="79"/>
      <c r="AD916" s="54"/>
      <c r="AE916" s="54"/>
      <c r="AF916" s="54"/>
      <c r="AG916" s="54"/>
      <c r="AH916" s="54"/>
      <c r="AI916" s="44"/>
      <c r="AJ916" s="44"/>
      <c r="AK916" s="44"/>
      <c r="AL916" s="44"/>
      <c r="AM916" s="44"/>
      <c r="AN916" s="44"/>
      <c r="AO916" s="44"/>
      <c r="AP916" s="44"/>
      <c r="AQ916" s="44"/>
      <c r="AR916" s="44"/>
      <c r="AS916" s="44"/>
      <c r="AT916" s="41"/>
      <c r="AU916" s="41"/>
      <c r="AV916" s="45"/>
      <c r="AW916" s="44"/>
      <c r="AX916" s="45"/>
    </row>
    <row r="917">
      <c r="A917" s="211" t="s">
        <v>4311</v>
      </c>
      <c r="B917" s="212" t="s">
        <v>4443</v>
      </c>
      <c r="C917" s="213" t="s">
        <v>4444</v>
      </c>
      <c r="D917" s="213">
        <v>3.080008833E9</v>
      </c>
      <c r="E917" s="213" t="s">
        <v>4445</v>
      </c>
      <c r="F917" s="214" t="s">
        <v>4311</v>
      </c>
      <c r="G917" s="213">
        <v>70.0</v>
      </c>
      <c r="H917" s="213">
        <v>7.0</v>
      </c>
      <c r="I917" s="213">
        <v>5.0</v>
      </c>
      <c r="J917" s="213">
        <v>1.0</v>
      </c>
      <c r="K917" s="66"/>
      <c r="L917" s="66"/>
      <c r="M917" s="66"/>
      <c r="N917" s="213">
        <v>4.0</v>
      </c>
      <c r="O917" s="66"/>
      <c r="P917" s="66"/>
      <c r="Q917" s="66"/>
      <c r="R917" s="66"/>
      <c r="S917" s="66"/>
      <c r="T917" s="66"/>
      <c r="U917" s="66"/>
      <c r="V917" s="215" t="s">
        <v>4446</v>
      </c>
      <c r="W917" s="66"/>
      <c r="X917" s="66"/>
      <c r="Y917" s="66"/>
      <c r="Z917" s="213" t="s">
        <v>4316</v>
      </c>
      <c r="AA917" s="213">
        <v>2.0</v>
      </c>
      <c r="AB917" s="66"/>
      <c r="AC917" s="69"/>
      <c r="AD917" s="37"/>
      <c r="AE917" s="37"/>
      <c r="AF917" s="37"/>
      <c r="AG917" s="37"/>
      <c r="AH917" s="37"/>
      <c r="AI917" s="31"/>
      <c r="AJ917" s="31"/>
      <c r="AK917" s="31"/>
      <c r="AL917" s="31"/>
      <c r="AM917" s="31"/>
      <c r="AN917" s="31"/>
      <c r="AO917" s="31"/>
      <c r="AP917" s="31"/>
      <c r="AQ917" s="31"/>
      <c r="AR917" s="31"/>
      <c r="AS917" s="31"/>
      <c r="AT917" s="36"/>
      <c r="AU917" s="36"/>
      <c r="AV917" s="34"/>
      <c r="AW917" s="31"/>
      <c r="AX917" s="34"/>
    </row>
    <row r="918">
      <c r="A918" s="216" t="s">
        <v>4447</v>
      </c>
      <c r="B918" s="221" t="s">
        <v>4448</v>
      </c>
      <c r="C918" s="218" t="s">
        <v>4449</v>
      </c>
      <c r="D918" s="218">
        <v>3.105875099E9</v>
      </c>
      <c r="E918" s="218" t="s">
        <v>4450</v>
      </c>
      <c r="F918" s="219" t="s">
        <v>4447</v>
      </c>
      <c r="G918" s="218">
        <v>130.0</v>
      </c>
      <c r="H918" s="218">
        <v>10.0</v>
      </c>
      <c r="I918" s="218">
        <v>10.0</v>
      </c>
      <c r="J918" s="218">
        <v>0.0</v>
      </c>
      <c r="K918" s="77"/>
      <c r="L918" s="77"/>
      <c r="M918" s="77"/>
      <c r="N918" s="218">
        <v>10.0</v>
      </c>
      <c r="O918" s="77"/>
      <c r="P918" s="77"/>
      <c r="Q918" s="77"/>
      <c r="R918" s="77"/>
      <c r="S918" s="77"/>
      <c r="T918" s="77"/>
      <c r="U918" s="77"/>
      <c r="V918" s="220" t="s">
        <v>4451</v>
      </c>
      <c r="W918" s="223" t="s">
        <v>4452</v>
      </c>
      <c r="X918" s="77"/>
      <c r="Y918" s="77"/>
      <c r="Z918" s="218" t="s">
        <v>4349</v>
      </c>
      <c r="AA918" s="218">
        <v>2.0</v>
      </c>
      <c r="AB918" s="77"/>
      <c r="AC918" s="79"/>
      <c r="AD918" s="54"/>
      <c r="AE918" s="54"/>
      <c r="AF918" s="54"/>
      <c r="AG918" s="54"/>
      <c r="AH918" s="54"/>
      <c r="AI918" s="44"/>
      <c r="AJ918" s="44"/>
      <c r="AK918" s="44"/>
      <c r="AL918" s="44"/>
      <c r="AM918" s="44"/>
      <c r="AN918" s="44"/>
      <c r="AO918" s="44"/>
      <c r="AP918" s="44"/>
      <c r="AQ918" s="44"/>
      <c r="AR918" s="44"/>
      <c r="AS918" s="44"/>
      <c r="AT918" s="41"/>
      <c r="AU918" s="41"/>
      <c r="AV918" s="45"/>
      <c r="AW918" s="44"/>
      <c r="AX918" s="45"/>
    </row>
    <row r="919">
      <c r="A919" s="211" t="s">
        <v>4453</v>
      </c>
      <c r="B919" s="224" t="s">
        <v>4454</v>
      </c>
      <c r="C919" s="224" t="s">
        <v>4455</v>
      </c>
      <c r="D919" s="224">
        <v>3.215042836E9</v>
      </c>
      <c r="E919" s="224" t="s">
        <v>4456</v>
      </c>
      <c r="F919" s="225" t="s">
        <v>4453</v>
      </c>
      <c r="G919" s="224">
        <v>300.0</v>
      </c>
      <c r="H919" s="224">
        <v>8.0</v>
      </c>
      <c r="I919" s="224">
        <v>6.0</v>
      </c>
      <c r="J919" s="224">
        <v>2.0</v>
      </c>
      <c r="K919" s="34"/>
      <c r="L919" s="34"/>
      <c r="M919" s="34"/>
      <c r="N919" s="224">
        <v>8.0</v>
      </c>
      <c r="O919" s="34"/>
      <c r="P919" s="34"/>
      <c r="Q919" s="34"/>
      <c r="R919" s="34"/>
      <c r="S919" s="34"/>
      <c r="T919" s="34"/>
      <c r="U919" s="34"/>
      <c r="V919" s="226" t="s">
        <v>4457</v>
      </c>
      <c r="W919" s="34"/>
      <c r="X919" s="34"/>
      <c r="Y919" s="34"/>
      <c r="Z919" s="224" t="s">
        <v>4458</v>
      </c>
      <c r="AA919" s="224">
        <v>2.0</v>
      </c>
      <c r="AB919" s="34"/>
      <c r="AC919" s="34"/>
      <c r="AD919" s="37"/>
      <c r="AE919" s="37"/>
      <c r="AF919" s="37"/>
      <c r="AG919" s="37"/>
      <c r="AH919" s="37"/>
      <c r="AI919" s="31"/>
      <c r="AJ919" s="31"/>
      <c r="AK919" s="31"/>
      <c r="AL919" s="31"/>
      <c r="AM919" s="31"/>
      <c r="AN919" s="31"/>
      <c r="AO919" s="31"/>
      <c r="AP919" s="31"/>
      <c r="AQ919" s="31"/>
      <c r="AR919" s="31"/>
      <c r="AS919" s="31"/>
      <c r="AT919" s="36"/>
      <c r="AU919" s="36"/>
      <c r="AV919" s="34"/>
      <c r="AW919" s="31"/>
      <c r="AX919" s="34"/>
    </row>
    <row r="920">
      <c r="A920" s="216" t="s">
        <v>4378</v>
      </c>
      <c r="B920" s="227" t="s">
        <v>4459</v>
      </c>
      <c r="C920" s="227" t="s">
        <v>4380</v>
      </c>
      <c r="D920" s="227">
        <v>3.157681452E9</v>
      </c>
      <c r="E920" s="227" t="s">
        <v>4460</v>
      </c>
      <c r="F920" s="228" t="s">
        <v>4378</v>
      </c>
      <c r="G920" s="227">
        <v>360.0</v>
      </c>
      <c r="H920" s="227">
        <v>8.0</v>
      </c>
      <c r="I920" s="227">
        <v>8.0</v>
      </c>
      <c r="J920" s="227">
        <v>1.0</v>
      </c>
      <c r="K920" s="45"/>
      <c r="L920" s="45"/>
      <c r="M920" s="45"/>
      <c r="N920" s="227">
        <v>8.0</v>
      </c>
      <c r="O920" s="45"/>
      <c r="P920" s="45"/>
      <c r="Q920" s="45"/>
      <c r="R920" s="45"/>
      <c r="S920" s="45"/>
      <c r="T920" s="45"/>
      <c r="U920" s="45"/>
      <c r="V920" s="229" t="s">
        <v>4461</v>
      </c>
      <c r="W920" s="227" t="s">
        <v>563</v>
      </c>
      <c r="X920" s="45"/>
      <c r="Y920" s="45"/>
      <c r="Z920" s="227" t="s">
        <v>4383</v>
      </c>
      <c r="AA920" s="227">
        <v>2.0</v>
      </c>
      <c r="AB920" s="45"/>
      <c r="AC920" s="45"/>
      <c r="AD920" s="54"/>
      <c r="AE920" s="54"/>
      <c r="AF920" s="54"/>
      <c r="AG920" s="54"/>
      <c r="AH920" s="54"/>
      <c r="AI920" s="44"/>
      <c r="AJ920" s="44"/>
      <c r="AK920" s="44"/>
      <c r="AL920" s="44"/>
      <c r="AM920" s="44"/>
      <c r="AN920" s="44"/>
      <c r="AO920" s="44"/>
      <c r="AP920" s="44"/>
      <c r="AQ920" s="44"/>
      <c r="AR920" s="44"/>
      <c r="AS920" s="44"/>
      <c r="AT920" s="41"/>
      <c r="AU920" s="41"/>
      <c r="AV920" s="45"/>
      <c r="AW920" s="44"/>
      <c r="AX920" s="45"/>
    </row>
    <row r="921">
      <c r="A921" s="211" t="s">
        <v>4389</v>
      </c>
      <c r="B921" s="224" t="s">
        <v>4462</v>
      </c>
      <c r="C921" s="224" t="s">
        <v>4391</v>
      </c>
      <c r="D921" s="224">
        <v>3.157681452E9</v>
      </c>
      <c r="E921" s="224" t="s">
        <v>4392</v>
      </c>
      <c r="F921" s="225" t="s">
        <v>4389</v>
      </c>
      <c r="G921" s="224">
        <v>430.0</v>
      </c>
      <c r="H921" s="224">
        <v>9.0</v>
      </c>
      <c r="I921" s="224">
        <v>9.0</v>
      </c>
      <c r="J921" s="224">
        <v>2.0</v>
      </c>
      <c r="K921" s="34"/>
      <c r="L921" s="34"/>
      <c r="M921" s="34"/>
      <c r="N921" s="224">
        <v>9.0</v>
      </c>
      <c r="O921" s="34"/>
      <c r="P921" s="34"/>
      <c r="Q921" s="34"/>
      <c r="R921" s="34"/>
      <c r="S921" s="34"/>
      <c r="T921" s="34"/>
      <c r="U921" s="34"/>
      <c r="V921" s="226" t="s">
        <v>4463</v>
      </c>
      <c r="W921" s="224" t="s">
        <v>563</v>
      </c>
      <c r="X921" s="34"/>
      <c r="Y921" s="34"/>
      <c r="Z921" s="224" t="s">
        <v>4383</v>
      </c>
      <c r="AA921" s="224">
        <v>2.0</v>
      </c>
      <c r="AB921" s="34"/>
      <c r="AC921" s="34"/>
      <c r="AD921" s="37"/>
      <c r="AE921" s="37"/>
      <c r="AF921" s="37"/>
      <c r="AG921" s="37"/>
      <c r="AH921" s="37"/>
      <c r="AI921" s="31"/>
      <c r="AJ921" s="31"/>
      <c r="AK921" s="31"/>
      <c r="AL921" s="31"/>
      <c r="AM921" s="31"/>
      <c r="AN921" s="31"/>
      <c r="AO921" s="31"/>
      <c r="AP921" s="31"/>
      <c r="AQ921" s="31"/>
      <c r="AR921" s="31"/>
      <c r="AS921" s="31"/>
      <c r="AT921" s="36"/>
      <c r="AU921" s="36"/>
      <c r="AV921" s="34"/>
      <c r="AW921" s="31"/>
      <c r="AX921" s="34"/>
    </row>
    <row r="922">
      <c r="A922" s="216" t="s">
        <v>4384</v>
      </c>
      <c r="B922" s="227" t="s">
        <v>4464</v>
      </c>
      <c r="C922" s="227" t="s">
        <v>4386</v>
      </c>
      <c r="D922" s="227">
        <v>3.157681452E9</v>
      </c>
      <c r="E922" s="227" t="s">
        <v>4387</v>
      </c>
      <c r="F922" s="228" t="s">
        <v>4384</v>
      </c>
      <c r="G922" s="227">
        <v>410.0</v>
      </c>
      <c r="H922" s="227">
        <v>9.0</v>
      </c>
      <c r="I922" s="227">
        <v>9.0</v>
      </c>
      <c r="J922" s="227">
        <v>1.0</v>
      </c>
      <c r="K922" s="45"/>
      <c r="L922" s="45"/>
      <c r="M922" s="45"/>
      <c r="N922" s="227">
        <v>9.0</v>
      </c>
      <c r="O922" s="45"/>
      <c r="P922" s="45"/>
      <c r="Q922" s="45"/>
      <c r="R922" s="45"/>
      <c r="S922" s="45"/>
      <c r="T922" s="45"/>
      <c r="U922" s="45"/>
      <c r="V922" s="229" t="s">
        <v>4465</v>
      </c>
      <c r="W922" s="227" t="s">
        <v>563</v>
      </c>
      <c r="X922" s="45"/>
      <c r="Y922" s="45"/>
      <c r="Z922" s="227" t="s">
        <v>4383</v>
      </c>
      <c r="AA922" s="227">
        <v>2.0</v>
      </c>
      <c r="AB922" s="45"/>
      <c r="AC922" s="45"/>
      <c r="AD922" s="54"/>
      <c r="AE922" s="54"/>
      <c r="AF922" s="54"/>
      <c r="AG922" s="54"/>
      <c r="AH922" s="54"/>
      <c r="AI922" s="44"/>
      <c r="AJ922" s="44"/>
      <c r="AK922" s="44"/>
      <c r="AL922" s="44"/>
      <c r="AM922" s="44"/>
      <c r="AN922" s="44"/>
      <c r="AO922" s="44"/>
      <c r="AP922" s="44"/>
      <c r="AQ922" s="44"/>
      <c r="AR922" s="44"/>
      <c r="AS922" s="44"/>
      <c r="AT922" s="41"/>
      <c r="AU922" s="41"/>
      <c r="AV922" s="45"/>
      <c r="AW922" s="44"/>
      <c r="AX922" s="45"/>
    </row>
    <row r="923">
      <c r="A923" s="211" t="s">
        <v>4397</v>
      </c>
      <c r="B923" s="224" t="s">
        <v>4466</v>
      </c>
      <c r="C923" s="224" t="s">
        <v>4399</v>
      </c>
      <c r="D923" s="224">
        <v>3.175702106E9</v>
      </c>
      <c r="E923" s="224" t="s">
        <v>4400</v>
      </c>
      <c r="F923" s="225" t="s">
        <v>4397</v>
      </c>
      <c r="G923" s="224">
        <v>850.0</v>
      </c>
      <c r="H923" s="224">
        <v>9.0</v>
      </c>
      <c r="I923" s="224">
        <v>9.0</v>
      </c>
      <c r="J923" s="224">
        <v>1.0</v>
      </c>
      <c r="K923" s="34"/>
      <c r="L923" s="34"/>
      <c r="M923" s="34"/>
      <c r="N923" s="224">
        <v>9.0</v>
      </c>
      <c r="O923" s="34"/>
      <c r="P923" s="34"/>
      <c r="Q923" s="34"/>
      <c r="R923" s="34"/>
      <c r="S923" s="34"/>
      <c r="T923" s="34"/>
      <c r="U923" s="34"/>
      <c r="V923" s="226" t="s">
        <v>4467</v>
      </c>
      <c r="W923" s="224" t="s">
        <v>4468</v>
      </c>
      <c r="X923" s="34"/>
      <c r="Y923" s="34"/>
      <c r="Z923" s="224" t="s">
        <v>4469</v>
      </c>
      <c r="AA923" s="224">
        <v>1.0</v>
      </c>
      <c r="AB923" s="34"/>
      <c r="AC923" s="34"/>
      <c r="AD923" s="37"/>
      <c r="AE923" s="37"/>
      <c r="AF923" s="37"/>
      <c r="AG923" s="37"/>
      <c r="AH923" s="37"/>
      <c r="AI923" s="31"/>
      <c r="AJ923" s="31"/>
      <c r="AK923" s="31"/>
      <c r="AL923" s="31"/>
      <c r="AM923" s="31"/>
      <c r="AN923" s="31"/>
      <c r="AO923" s="31"/>
      <c r="AP923" s="31"/>
      <c r="AQ923" s="31"/>
      <c r="AR923" s="31"/>
      <c r="AS923" s="31"/>
      <c r="AT923" s="36"/>
      <c r="AU923" s="36"/>
      <c r="AV923" s="34"/>
      <c r="AW923" s="31"/>
      <c r="AX923" s="34"/>
    </row>
    <row r="924">
      <c r="A924" s="38"/>
      <c r="F924" s="230"/>
    </row>
    <row r="925">
      <c r="A925" s="38"/>
      <c r="F925" s="230"/>
    </row>
    <row r="926">
      <c r="A926" s="38"/>
      <c r="F926" s="230"/>
    </row>
    <row r="927">
      <c r="A927" s="38"/>
      <c r="F927" s="230"/>
    </row>
    <row r="928">
      <c r="A928" s="38"/>
      <c r="F928" s="230"/>
    </row>
    <row r="929">
      <c r="A929" s="38"/>
      <c r="F929" s="230"/>
    </row>
    <row r="930">
      <c r="A930" s="38"/>
      <c r="F930" s="230"/>
    </row>
    <row r="931">
      <c r="A931" s="38"/>
      <c r="F931" s="230"/>
    </row>
    <row r="932">
      <c r="A932" s="38"/>
      <c r="F932" s="230"/>
    </row>
    <row r="933">
      <c r="A933" s="38"/>
      <c r="F933" s="230"/>
    </row>
    <row r="934">
      <c r="A934" s="38"/>
      <c r="F934" s="230"/>
    </row>
    <row r="935">
      <c r="A935" s="38"/>
      <c r="F935" s="230"/>
    </row>
    <row r="936">
      <c r="A936" s="38"/>
      <c r="F936" s="230"/>
    </row>
    <row r="937">
      <c r="A937" s="38"/>
      <c r="F937" s="230"/>
    </row>
    <row r="938">
      <c r="A938" s="38"/>
      <c r="F938" s="230"/>
    </row>
    <row r="939">
      <c r="A939" s="38"/>
      <c r="F939" s="230"/>
    </row>
    <row r="940">
      <c r="A940" s="38"/>
      <c r="F940" s="230"/>
    </row>
    <row r="941">
      <c r="A941" s="38"/>
      <c r="F941" s="230"/>
    </row>
    <row r="942">
      <c r="A942" s="38"/>
      <c r="F942" s="230"/>
    </row>
    <row r="943">
      <c r="A943" s="38"/>
      <c r="F943" s="230"/>
    </row>
    <row r="944">
      <c r="A944" s="38"/>
      <c r="F944" s="230"/>
    </row>
    <row r="945">
      <c r="A945" s="38"/>
      <c r="F945" s="230"/>
    </row>
    <row r="946">
      <c r="A946" s="38"/>
      <c r="F946" s="230"/>
    </row>
    <row r="947">
      <c r="A947" s="38"/>
      <c r="F947" s="230"/>
    </row>
    <row r="948">
      <c r="A948" s="38"/>
      <c r="F948" s="230"/>
    </row>
    <row r="949">
      <c r="A949" s="38"/>
      <c r="F949" s="230"/>
    </row>
    <row r="950">
      <c r="A950" s="38"/>
      <c r="F950" s="230"/>
    </row>
    <row r="951">
      <c r="A951" s="38"/>
      <c r="F951" s="230"/>
    </row>
    <row r="952">
      <c r="A952" s="38"/>
      <c r="F952" s="230"/>
    </row>
    <row r="953">
      <c r="A953" s="38"/>
      <c r="F953" s="230"/>
    </row>
    <row r="954">
      <c r="A954" s="38"/>
      <c r="F954" s="230"/>
    </row>
    <row r="955">
      <c r="A955" s="38"/>
      <c r="F955" s="230"/>
    </row>
    <row r="956">
      <c r="A956" s="38"/>
      <c r="F956" s="230"/>
    </row>
    <row r="957">
      <c r="A957" s="38"/>
      <c r="F957" s="230"/>
    </row>
    <row r="958">
      <c r="A958" s="38"/>
      <c r="F958" s="230"/>
    </row>
    <row r="959">
      <c r="A959" s="38"/>
      <c r="F959" s="230"/>
    </row>
    <row r="960">
      <c r="A960" s="38"/>
      <c r="F960" s="230"/>
    </row>
    <row r="961">
      <c r="A961" s="38"/>
      <c r="F961" s="230"/>
    </row>
    <row r="962">
      <c r="A962" s="38"/>
      <c r="F962" s="230"/>
    </row>
    <row r="963">
      <c r="A963" s="38"/>
      <c r="F963" s="230"/>
    </row>
    <row r="964">
      <c r="A964" s="38"/>
      <c r="F964" s="230"/>
    </row>
    <row r="965">
      <c r="A965" s="38"/>
      <c r="F965" s="230"/>
    </row>
    <row r="966">
      <c r="A966" s="38"/>
      <c r="F966" s="230"/>
    </row>
    <row r="967">
      <c r="A967" s="38"/>
      <c r="F967" s="230"/>
    </row>
    <row r="968">
      <c r="A968" s="38"/>
      <c r="F968" s="230"/>
    </row>
    <row r="969">
      <c r="A969" s="38"/>
      <c r="F969" s="230"/>
    </row>
    <row r="970">
      <c r="A970" s="38"/>
      <c r="F970" s="230"/>
    </row>
    <row r="971">
      <c r="A971" s="38"/>
      <c r="F971" s="230"/>
    </row>
    <row r="972">
      <c r="A972" s="38"/>
      <c r="F972" s="230"/>
    </row>
    <row r="973">
      <c r="A973" s="38"/>
      <c r="F973" s="230"/>
    </row>
    <row r="974">
      <c r="A974" s="38"/>
      <c r="F974" s="230"/>
    </row>
    <row r="975">
      <c r="A975" s="38"/>
      <c r="F975" s="230"/>
    </row>
    <row r="976">
      <c r="A976" s="38"/>
      <c r="F976" s="230"/>
    </row>
    <row r="977">
      <c r="A977" s="38"/>
      <c r="F977" s="230"/>
    </row>
    <row r="978">
      <c r="A978" s="38"/>
      <c r="F978" s="230"/>
    </row>
    <row r="979">
      <c r="A979" s="38"/>
      <c r="F979" s="230"/>
    </row>
    <row r="980">
      <c r="A980" s="38"/>
      <c r="F980" s="230"/>
    </row>
    <row r="981">
      <c r="A981" s="38"/>
      <c r="F981" s="230"/>
    </row>
    <row r="982">
      <c r="A982" s="38"/>
      <c r="F982" s="230"/>
    </row>
    <row r="983">
      <c r="A983" s="38"/>
      <c r="F983" s="230"/>
    </row>
    <row r="984">
      <c r="A984" s="38"/>
      <c r="F984" s="230"/>
    </row>
    <row r="985">
      <c r="A985" s="38"/>
      <c r="F985" s="230"/>
    </row>
    <row r="986">
      <c r="A986" s="38"/>
      <c r="F986" s="230"/>
    </row>
  </sheetData>
  <autoFilter ref="$A$1:$BC$923"/>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8"/>
    <hyperlink r:id="rId17" ref="V19"/>
    <hyperlink r:id="rId18" ref="V20"/>
    <hyperlink r:id="rId19" ref="V21"/>
    <hyperlink r:id="rId20" ref="V22"/>
    <hyperlink r:id="rId21" ref="V23"/>
    <hyperlink r:id="rId22" ref="V24"/>
    <hyperlink r:id="rId23" ref="V25"/>
    <hyperlink r:id="rId24" ref="V26"/>
    <hyperlink r:id="rId25" ref="V27"/>
    <hyperlink r:id="rId26" ref="V28"/>
    <hyperlink r:id="rId27" ref="V29"/>
    <hyperlink r:id="rId28" ref="V30"/>
    <hyperlink r:id="rId29" ref="V32"/>
    <hyperlink r:id="rId30" ref="V33"/>
    <hyperlink r:id="rId31" ref="V34"/>
    <hyperlink r:id="rId32" ref="V35"/>
    <hyperlink r:id="rId33" ref="V36"/>
    <hyperlink r:id="rId34" ref="V37"/>
    <hyperlink r:id="rId35" ref="V38"/>
    <hyperlink r:id="rId36" ref="V39"/>
    <hyperlink r:id="rId37" ref="V40"/>
    <hyperlink r:id="rId38" ref="V41"/>
    <hyperlink r:id="rId39" ref="V42"/>
    <hyperlink r:id="rId40" ref="V43"/>
    <hyperlink r:id="rId41" ref="V44"/>
    <hyperlink r:id="rId42" ref="V46"/>
    <hyperlink r:id="rId43" ref="V47"/>
    <hyperlink r:id="rId44" ref="V48"/>
    <hyperlink r:id="rId45" ref="V49"/>
    <hyperlink r:id="rId46" ref="V50"/>
    <hyperlink r:id="rId47" ref="V51"/>
    <hyperlink r:id="rId48" ref="V52"/>
    <hyperlink r:id="rId49" ref="V53"/>
    <hyperlink r:id="rId50" ref="V54"/>
    <hyperlink r:id="rId51" ref="V55"/>
    <hyperlink r:id="rId52" ref="V56"/>
    <hyperlink r:id="rId53" ref="V57"/>
    <hyperlink r:id="rId54" ref="V58"/>
    <hyperlink r:id="rId55" ref="V60"/>
    <hyperlink r:id="rId56" ref="V61"/>
    <hyperlink r:id="rId57" ref="V62"/>
    <hyperlink r:id="rId58" ref="V63"/>
    <hyperlink r:id="rId59" ref="V64"/>
    <hyperlink r:id="rId60" ref="V65"/>
    <hyperlink r:id="rId61" ref="V66"/>
    <hyperlink r:id="rId62" ref="V67"/>
    <hyperlink r:id="rId63" ref="V68"/>
    <hyperlink r:id="rId64" ref="V69"/>
    <hyperlink r:id="rId65" ref="V70"/>
    <hyperlink r:id="rId66" ref="V71"/>
    <hyperlink r:id="rId67" ref="V72"/>
    <hyperlink r:id="rId68" ref="V74"/>
    <hyperlink r:id="rId69" ref="V75"/>
    <hyperlink r:id="rId70" ref="V76"/>
    <hyperlink r:id="rId71" ref="V77"/>
    <hyperlink r:id="rId72" ref="V78"/>
    <hyperlink r:id="rId73" ref="V79"/>
    <hyperlink r:id="rId74" ref="V80"/>
    <hyperlink r:id="rId75" ref="V81"/>
    <hyperlink r:id="rId76" ref="V82"/>
    <hyperlink r:id="rId77" ref="V83"/>
    <hyperlink r:id="rId78" ref="V84"/>
    <hyperlink r:id="rId79" ref="V85"/>
    <hyperlink r:id="rId80" ref="V86"/>
    <hyperlink r:id="rId81" ref="V87"/>
    <hyperlink r:id="rId82" ref="V88"/>
    <hyperlink r:id="rId83" ref="V89"/>
    <hyperlink r:id="rId84" ref="V90"/>
    <hyperlink r:id="rId85" ref="V91"/>
    <hyperlink r:id="rId86" ref="V92"/>
    <hyperlink r:id="rId87" ref="V93"/>
    <hyperlink r:id="rId88" ref="V94"/>
    <hyperlink r:id="rId89" ref="V95"/>
    <hyperlink r:id="rId90" ref="V96"/>
    <hyperlink r:id="rId91" ref="V97"/>
    <hyperlink r:id="rId92" ref="V99"/>
    <hyperlink r:id="rId93" ref="V100"/>
    <hyperlink r:id="rId94" ref="V101"/>
    <hyperlink r:id="rId95" ref="V102"/>
    <hyperlink r:id="rId96" ref="V103"/>
    <hyperlink r:id="rId97" ref="V104"/>
    <hyperlink r:id="rId98" ref="V105"/>
    <hyperlink r:id="rId99" ref="V106"/>
    <hyperlink r:id="rId100" ref="V107"/>
    <hyperlink r:id="rId101" ref="V108"/>
    <hyperlink r:id="rId102" ref="V109"/>
    <hyperlink r:id="rId103" ref="V110"/>
    <hyperlink r:id="rId104" ref="V111"/>
    <hyperlink r:id="rId105" ref="V112"/>
    <hyperlink r:id="rId106" ref="V113"/>
    <hyperlink r:id="rId107" ref="V114"/>
    <hyperlink r:id="rId108" ref="V115"/>
    <hyperlink r:id="rId109" ref="V116"/>
    <hyperlink r:id="rId110" ref="V117"/>
    <hyperlink r:id="rId111" ref="V118"/>
    <hyperlink r:id="rId112" ref="V119"/>
    <hyperlink r:id="rId113" ref="V120"/>
    <hyperlink r:id="rId114" ref="V121"/>
    <hyperlink r:id="rId115" ref="V122"/>
    <hyperlink r:id="rId116" ref="V123"/>
    <hyperlink r:id="rId117" ref="V124"/>
    <hyperlink r:id="rId118" ref="V125"/>
    <hyperlink r:id="rId119" ref="V126"/>
    <hyperlink r:id="rId120" ref="V127"/>
    <hyperlink r:id="rId121" ref="V128"/>
    <hyperlink r:id="rId122" ref="V129"/>
    <hyperlink r:id="rId123" ref="V130"/>
    <hyperlink r:id="rId124" ref="V131"/>
    <hyperlink r:id="rId125" ref="V132"/>
    <hyperlink r:id="rId126" ref="V133"/>
    <hyperlink r:id="rId127" ref="V134"/>
    <hyperlink r:id="rId128" ref="V135"/>
    <hyperlink r:id="rId129" ref="V136"/>
    <hyperlink r:id="rId130" ref="V137"/>
    <hyperlink r:id="rId131" ref="V138"/>
    <hyperlink r:id="rId132" ref="V139"/>
    <hyperlink r:id="rId133" ref="V140"/>
    <hyperlink r:id="rId134" ref="V141"/>
    <hyperlink r:id="rId135" ref="V142"/>
    <hyperlink r:id="rId136" ref="V143"/>
    <hyperlink r:id="rId137" ref="V144"/>
    <hyperlink r:id="rId138" ref="V145"/>
    <hyperlink r:id="rId139" ref="V146"/>
    <hyperlink r:id="rId140" ref="V147"/>
    <hyperlink r:id="rId141" ref="V148"/>
    <hyperlink r:id="rId142" ref="V149"/>
    <hyperlink r:id="rId143" ref="V150"/>
    <hyperlink r:id="rId144" ref="V151"/>
    <hyperlink r:id="rId145" ref="V152"/>
    <hyperlink r:id="rId146" ref="V153"/>
    <hyperlink r:id="rId147" ref="V155"/>
    <hyperlink r:id="rId148" ref="V156"/>
    <hyperlink r:id="rId149" ref="V157"/>
    <hyperlink r:id="rId150" ref="V158"/>
    <hyperlink r:id="rId151" ref="V159"/>
    <hyperlink r:id="rId152" ref="V160"/>
    <hyperlink r:id="rId153" ref="V161"/>
    <hyperlink r:id="rId154" ref="V162"/>
    <hyperlink r:id="rId155" ref="V164"/>
    <hyperlink r:id="rId156" ref="V165"/>
    <hyperlink r:id="rId157" ref="V166"/>
    <hyperlink r:id="rId158" ref="V167"/>
    <hyperlink r:id="rId159" ref="V168"/>
    <hyperlink r:id="rId160" ref="V169"/>
    <hyperlink r:id="rId161" ref="V170"/>
    <hyperlink r:id="rId162" ref="V171"/>
    <hyperlink r:id="rId163" ref="V172"/>
    <hyperlink r:id="rId164" ref="V173"/>
    <hyperlink r:id="rId165" ref="V174"/>
    <hyperlink r:id="rId166" ref="V175"/>
    <hyperlink r:id="rId167" ref="V176"/>
    <hyperlink r:id="rId168" ref="V177"/>
    <hyperlink r:id="rId169" ref="V178"/>
    <hyperlink r:id="rId170" ref="V179"/>
    <hyperlink r:id="rId171" ref="V180"/>
    <hyperlink r:id="rId172" ref="V181"/>
    <hyperlink r:id="rId173" ref="V182"/>
    <hyperlink r:id="rId174" ref="V183"/>
    <hyperlink r:id="rId175" ref="V184"/>
    <hyperlink r:id="rId176" ref="V185"/>
    <hyperlink r:id="rId177" ref="V186"/>
    <hyperlink r:id="rId178" ref="V187"/>
    <hyperlink r:id="rId179" ref="V188"/>
    <hyperlink r:id="rId180" ref="V189"/>
    <hyperlink r:id="rId181" ref="V190"/>
    <hyperlink r:id="rId182" ref="V191"/>
    <hyperlink r:id="rId183" ref="V192"/>
    <hyperlink r:id="rId184" ref="V193"/>
    <hyperlink r:id="rId185" ref="V194"/>
    <hyperlink r:id="rId186" ref="V195"/>
    <hyperlink r:id="rId187" ref="V196"/>
    <hyperlink r:id="rId188" ref="V197"/>
    <hyperlink r:id="rId189" ref="V198"/>
    <hyperlink r:id="rId190" ref="V199"/>
    <hyperlink r:id="rId191" ref="V200"/>
    <hyperlink r:id="rId192" ref="V201"/>
    <hyperlink r:id="rId193" ref="V202"/>
    <hyperlink r:id="rId194" ref="V203"/>
    <hyperlink r:id="rId195" ref="V204"/>
    <hyperlink r:id="rId196" ref="V205"/>
    <hyperlink r:id="rId197" ref="V206"/>
    <hyperlink r:id="rId198" ref="V207"/>
    <hyperlink r:id="rId199" ref="V208"/>
    <hyperlink r:id="rId200" ref="V209"/>
    <hyperlink r:id="rId201" ref="V210"/>
    <hyperlink r:id="rId202" ref="V211"/>
    <hyperlink r:id="rId203" ref="V212"/>
    <hyperlink r:id="rId204" ref="V213"/>
    <hyperlink r:id="rId205" ref="V214"/>
    <hyperlink r:id="rId206" ref="V215"/>
    <hyperlink r:id="rId207" ref="V216"/>
    <hyperlink r:id="rId208" ref="V217"/>
    <hyperlink r:id="rId209" ref="V218"/>
    <hyperlink r:id="rId210" ref="V219"/>
    <hyperlink r:id="rId211" ref="V220"/>
    <hyperlink r:id="rId212" ref="V221"/>
    <hyperlink r:id="rId213" ref="V222"/>
    <hyperlink r:id="rId214" ref="V223"/>
    <hyperlink r:id="rId215" ref="V224"/>
    <hyperlink r:id="rId216" ref="V225"/>
    <hyperlink r:id="rId217" ref="V226"/>
    <hyperlink r:id="rId218" ref="V227"/>
    <hyperlink r:id="rId219" ref="V228"/>
    <hyperlink r:id="rId220" ref="V229"/>
    <hyperlink r:id="rId221" ref="V230"/>
    <hyperlink r:id="rId222" ref="V231"/>
    <hyperlink r:id="rId223" ref="V232"/>
    <hyperlink r:id="rId224" ref="V234"/>
    <hyperlink r:id="rId225" ref="V235"/>
    <hyperlink r:id="rId226" ref="V236"/>
    <hyperlink r:id="rId227" ref="V237"/>
    <hyperlink r:id="rId228" ref="V238"/>
    <hyperlink r:id="rId229" ref="V239"/>
    <hyperlink r:id="rId230" ref="V240"/>
    <hyperlink r:id="rId231" ref="V241"/>
    <hyperlink r:id="rId232" ref="V242"/>
    <hyperlink r:id="rId233" ref="V243"/>
    <hyperlink r:id="rId234" ref="V245"/>
    <hyperlink r:id="rId235" ref="V246"/>
    <hyperlink r:id="rId236" ref="V247"/>
    <hyperlink r:id="rId237" ref="V248"/>
    <hyperlink r:id="rId238" ref="V249"/>
    <hyperlink r:id="rId239" ref="V250"/>
    <hyperlink r:id="rId240" ref="V252"/>
    <hyperlink r:id="rId241" ref="V253"/>
    <hyperlink r:id="rId242" ref="V254"/>
    <hyperlink r:id="rId243" ref="V255"/>
    <hyperlink r:id="rId244" ref="V256"/>
    <hyperlink r:id="rId245" ref="V257"/>
    <hyperlink r:id="rId246" ref="V258"/>
    <hyperlink r:id="rId247" ref="V260"/>
    <hyperlink r:id="rId248" ref="V261"/>
    <hyperlink r:id="rId249" ref="V262"/>
    <hyperlink r:id="rId250" ref="V263"/>
    <hyperlink r:id="rId251" ref="V264"/>
    <hyperlink r:id="rId252" ref="V266"/>
    <hyperlink r:id="rId253" ref="V267"/>
    <hyperlink r:id="rId254" ref="V268"/>
    <hyperlink r:id="rId255" ref="V269"/>
    <hyperlink r:id="rId256" ref="V272"/>
    <hyperlink r:id="rId257" ref="T273"/>
    <hyperlink r:id="rId258" ref="U273"/>
    <hyperlink r:id="rId259" ref="T274"/>
    <hyperlink r:id="rId260" ref="U274"/>
    <hyperlink r:id="rId261" ref="V274"/>
    <hyperlink r:id="rId262" ref="V275"/>
    <hyperlink r:id="rId263" ref="T276"/>
    <hyperlink r:id="rId264" ref="U276"/>
    <hyperlink r:id="rId265" ref="V276"/>
    <hyperlink r:id="rId266" ref="T278"/>
    <hyperlink r:id="rId267" ref="V278"/>
    <hyperlink r:id="rId268" ref="T279"/>
    <hyperlink r:id="rId269" ref="U279"/>
    <hyperlink r:id="rId270" ref="V279"/>
    <hyperlink r:id="rId271" ref="T280"/>
    <hyperlink r:id="rId272" ref="U280"/>
    <hyperlink r:id="rId273" ref="V280"/>
    <hyperlink r:id="rId274" ref="T281"/>
    <hyperlink r:id="rId275" ref="U281"/>
    <hyperlink r:id="rId276" ref="V281"/>
    <hyperlink r:id="rId277" ref="T282"/>
    <hyperlink r:id="rId278" ref="U282"/>
    <hyperlink r:id="rId279" ref="V282"/>
    <hyperlink r:id="rId280" ref="T283"/>
    <hyperlink r:id="rId281" ref="U283"/>
    <hyperlink r:id="rId282" ref="V283"/>
    <hyperlink r:id="rId283" ref="T284"/>
    <hyperlink r:id="rId284" ref="U284"/>
    <hyperlink r:id="rId285" ref="V284"/>
    <hyperlink r:id="rId286" ref="T286"/>
    <hyperlink r:id="rId287" ref="V286"/>
    <hyperlink r:id="rId288" ref="T287"/>
    <hyperlink r:id="rId289" ref="U287"/>
    <hyperlink r:id="rId290" ref="V287"/>
    <hyperlink r:id="rId291" ref="V288"/>
    <hyperlink r:id="rId292" ref="T289"/>
    <hyperlink r:id="rId293" ref="V289"/>
    <hyperlink r:id="rId294" ref="T290"/>
    <hyperlink r:id="rId295" ref="U290"/>
    <hyperlink r:id="rId296" ref="V290"/>
    <hyperlink r:id="rId297" ref="T291"/>
    <hyperlink r:id="rId298" ref="U291"/>
    <hyperlink r:id="rId299" ref="V291"/>
    <hyperlink r:id="rId300" ref="T292"/>
    <hyperlink r:id="rId301" ref="U292"/>
    <hyperlink r:id="rId302" ref="V292"/>
    <hyperlink r:id="rId303" ref="V293"/>
    <hyperlink r:id="rId304" ref="T294"/>
    <hyperlink r:id="rId305" ref="V294"/>
    <hyperlink r:id="rId306" ref="T295"/>
    <hyperlink r:id="rId307" ref="U295"/>
    <hyperlink r:id="rId308" ref="V295"/>
    <hyperlink r:id="rId309" ref="T296"/>
    <hyperlink r:id="rId310" ref="U296"/>
    <hyperlink r:id="rId311" ref="V296"/>
    <hyperlink r:id="rId312" ref="T297"/>
    <hyperlink r:id="rId313" ref="V297"/>
    <hyperlink r:id="rId314" ref="T298"/>
    <hyperlink r:id="rId315" ref="U298"/>
    <hyperlink r:id="rId316" ref="V298"/>
    <hyperlink r:id="rId317" ref="T299"/>
    <hyperlink r:id="rId318" ref="U299"/>
    <hyperlink r:id="rId319" ref="V299"/>
    <hyperlink r:id="rId320" ref="T300"/>
    <hyperlink r:id="rId321" ref="U300"/>
    <hyperlink r:id="rId322" ref="V300"/>
    <hyperlink r:id="rId323" ref="T301"/>
    <hyperlink r:id="rId324" ref="U301"/>
    <hyperlink r:id="rId325" ref="V301"/>
    <hyperlink r:id="rId326" ref="T302"/>
    <hyperlink r:id="rId327" ref="U302"/>
    <hyperlink r:id="rId328" ref="V302"/>
    <hyperlink r:id="rId329" ref="T303"/>
    <hyperlink r:id="rId330" ref="U303"/>
    <hyperlink r:id="rId331" ref="V303"/>
    <hyperlink r:id="rId332" ref="T304"/>
    <hyperlink r:id="rId333" ref="U304"/>
    <hyperlink r:id="rId334" ref="T305"/>
    <hyperlink r:id="rId335" ref="V305"/>
    <hyperlink r:id="rId336" ref="T306"/>
    <hyperlink r:id="rId337" ref="U306"/>
    <hyperlink r:id="rId338" ref="V306"/>
    <hyperlink r:id="rId339" ref="T307"/>
    <hyperlink r:id="rId340" ref="U307"/>
    <hyperlink r:id="rId341" ref="V307"/>
    <hyperlink r:id="rId342" ref="T308"/>
    <hyperlink r:id="rId343" ref="U308"/>
    <hyperlink r:id="rId344" ref="V308"/>
    <hyperlink r:id="rId345" ref="T309"/>
    <hyperlink r:id="rId346" ref="U309"/>
    <hyperlink r:id="rId347" ref="V309"/>
    <hyperlink r:id="rId348" ref="T310"/>
    <hyperlink r:id="rId349" ref="U310"/>
    <hyperlink r:id="rId350" ref="V310"/>
    <hyperlink r:id="rId351" ref="T311"/>
    <hyperlink r:id="rId352" ref="U311"/>
    <hyperlink r:id="rId353" ref="V311"/>
    <hyperlink r:id="rId354" ref="T312"/>
    <hyperlink r:id="rId355" ref="U312"/>
    <hyperlink r:id="rId356" ref="V312"/>
    <hyperlink r:id="rId357" ref="T313"/>
    <hyperlink r:id="rId358" ref="V313"/>
    <hyperlink r:id="rId359" ref="T314"/>
    <hyperlink r:id="rId360" ref="U314"/>
    <hyperlink r:id="rId361" ref="V314"/>
    <hyperlink r:id="rId362" ref="V315"/>
    <hyperlink r:id="rId363" ref="V316"/>
    <hyperlink r:id="rId364" ref="T317"/>
    <hyperlink r:id="rId365" ref="U317"/>
    <hyperlink r:id="rId366" ref="V317"/>
    <hyperlink r:id="rId367" ref="T318"/>
    <hyperlink r:id="rId368" ref="U318"/>
    <hyperlink r:id="rId369" ref="V318"/>
    <hyperlink r:id="rId370" ref="T319"/>
    <hyperlink r:id="rId371" ref="U319"/>
    <hyperlink r:id="rId372" ref="V319"/>
    <hyperlink r:id="rId373" ref="T320"/>
    <hyperlink r:id="rId374" ref="U320"/>
    <hyperlink r:id="rId375" ref="V320"/>
    <hyperlink r:id="rId376" ref="T321"/>
    <hyperlink r:id="rId377" ref="U321"/>
    <hyperlink r:id="rId378" ref="V321"/>
    <hyperlink r:id="rId379" ref="V322"/>
    <hyperlink r:id="rId380" ref="V323"/>
    <hyperlink r:id="rId381" ref="T324"/>
    <hyperlink r:id="rId382" ref="U324"/>
    <hyperlink r:id="rId383" ref="V324"/>
    <hyperlink r:id="rId384" ref="T325"/>
    <hyperlink r:id="rId385" ref="U325"/>
    <hyperlink r:id="rId386" ref="V325"/>
    <hyperlink r:id="rId387" ref="V326"/>
    <hyperlink r:id="rId388" ref="T327"/>
    <hyperlink r:id="rId389" ref="U327"/>
    <hyperlink r:id="rId390" ref="V327"/>
    <hyperlink r:id="rId391" ref="T328"/>
    <hyperlink r:id="rId392" ref="U328"/>
    <hyperlink r:id="rId393" ref="V328"/>
    <hyperlink r:id="rId394" ref="V329"/>
    <hyperlink r:id="rId395" ref="T330"/>
    <hyperlink r:id="rId396" ref="U330"/>
    <hyperlink r:id="rId397" ref="V330"/>
    <hyperlink r:id="rId398" ref="V331"/>
    <hyperlink r:id="rId399" ref="V332"/>
    <hyperlink r:id="rId400" ref="T333"/>
    <hyperlink r:id="rId401" ref="U333"/>
    <hyperlink r:id="rId402" ref="V333"/>
    <hyperlink r:id="rId403" ref="T334"/>
    <hyperlink r:id="rId404" ref="U334"/>
    <hyperlink r:id="rId405" ref="V334"/>
    <hyperlink r:id="rId406" ref="T335"/>
    <hyperlink r:id="rId407" ref="U335"/>
    <hyperlink r:id="rId408" ref="V335"/>
    <hyperlink r:id="rId409" ref="T336"/>
    <hyperlink r:id="rId410" ref="U336"/>
    <hyperlink r:id="rId411" ref="V336"/>
    <hyperlink r:id="rId412" ref="T337"/>
    <hyperlink r:id="rId413" ref="U337"/>
    <hyperlink r:id="rId414" ref="V337"/>
    <hyperlink r:id="rId415" ref="T338"/>
    <hyperlink r:id="rId416" ref="U338"/>
    <hyperlink r:id="rId417" ref="V338"/>
    <hyperlink r:id="rId418" ref="T339"/>
    <hyperlink r:id="rId419" ref="U339"/>
    <hyperlink r:id="rId420" ref="T340"/>
    <hyperlink r:id="rId421" ref="V340"/>
    <hyperlink r:id="rId422" ref="T341"/>
    <hyperlink r:id="rId423" ref="U341"/>
    <hyperlink r:id="rId424" ref="V341"/>
    <hyperlink r:id="rId425" ref="V342"/>
    <hyperlink r:id="rId426" ref="T343"/>
    <hyperlink r:id="rId427" ref="U343"/>
    <hyperlink r:id="rId428" ref="V343"/>
    <hyperlink r:id="rId429" ref="T344"/>
    <hyperlink r:id="rId430" ref="U344"/>
    <hyperlink r:id="rId431" ref="V344"/>
    <hyperlink r:id="rId432" ref="T345"/>
    <hyperlink r:id="rId433" ref="U345"/>
    <hyperlink r:id="rId434" ref="V345"/>
    <hyperlink r:id="rId435" ref="T346"/>
    <hyperlink r:id="rId436" ref="V346"/>
    <hyperlink r:id="rId437" ref="T347"/>
    <hyperlink r:id="rId438" ref="U347"/>
    <hyperlink r:id="rId439" ref="V347"/>
    <hyperlink r:id="rId440" ref="V348"/>
    <hyperlink r:id="rId441" ref="T349"/>
    <hyperlink r:id="rId442" ref="U349"/>
    <hyperlink r:id="rId443" ref="V349"/>
    <hyperlink r:id="rId444" ref="T350"/>
    <hyperlink r:id="rId445" ref="U350"/>
    <hyperlink r:id="rId446" ref="V350"/>
    <hyperlink r:id="rId447" ref="V351"/>
    <hyperlink r:id="rId448" ref="T352"/>
    <hyperlink r:id="rId449" ref="U352"/>
    <hyperlink r:id="rId450" ref="V352"/>
    <hyperlink r:id="rId451" ref="T353"/>
    <hyperlink r:id="rId452" ref="U353"/>
    <hyperlink r:id="rId453" ref="V353"/>
    <hyperlink r:id="rId454" ref="V354"/>
    <hyperlink r:id="rId455" ref="T355"/>
    <hyperlink r:id="rId456" ref="U355"/>
    <hyperlink r:id="rId457" ref="V355"/>
    <hyperlink r:id="rId458" ref="T356"/>
    <hyperlink r:id="rId459" ref="U356"/>
    <hyperlink r:id="rId460" ref="V356"/>
    <hyperlink r:id="rId461" ref="T357"/>
    <hyperlink r:id="rId462" ref="U357"/>
    <hyperlink r:id="rId463" ref="V357"/>
    <hyperlink r:id="rId464" ref="T358"/>
    <hyperlink r:id="rId465" ref="U358"/>
    <hyperlink r:id="rId466" ref="V358"/>
    <hyperlink r:id="rId467" ref="T359"/>
    <hyperlink r:id="rId468" ref="U359"/>
    <hyperlink r:id="rId469" ref="V359"/>
    <hyperlink r:id="rId470" ref="T360"/>
    <hyperlink r:id="rId471" ref="U360"/>
    <hyperlink r:id="rId472" ref="V360"/>
    <hyperlink r:id="rId473" ref="T362"/>
    <hyperlink r:id="rId474" ref="U362"/>
    <hyperlink r:id="rId475" ref="V362"/>
    <hyperlink r:id="rId476" ref="T363"/>
    <hyperlink r:id="rId477" ref="U363"/>
    <hyperlink r:id="rId478" ref="V363"/>
    <hyperlink r:id="rId479" ref="T364"/>
    <hyperlink r:id="rId480" ref="U364"/>
    <hyperlink r:id="rId481" ref="T365"/>
    <hyperlink r:id="rId482" ref="V365"/>
    <hyperlink r:id="rId483" ref="T366"/>
    <hyperlink r:id="rId484" ref="U366"/>
    <hyperlink r:id="rId485" ref="V366"/>
    <hyperlink r:id="rId486" ref="T367"/>
    <hyperlink r:id="rId487" ref="U367"/>
    <hyperlink r:id="rId488" ref="V367"/>
    <hyperlink r:id="rId489" ref="T368"/>
    <hyperlink r:id="rId490" ref="U368"/>
    <hyperlink r:id="rId491" ref="V368"/>
    <hyperlink r:id="rId492" ref="T369"/>
    <hyperlink r:id="rId493" ref="U369"/>
    <hyperlink r:id="rId494" ref="V369"/>
    <hyperlink r:id="rId495" ref="T370"/>
    <hyperlink r:id="rId496" ref="U370"/>
    <hyperlink r:id="rId497" ref="V370"/>
    <hyperlink r:id="rId498" ref="T371"/>
    <hyperlink r:id="rId499" ref="U371"/>
    <hyperlink r:id="rId500" ref="V371"/>
    <hyperlink r:id="rId501" ref="T372"/>
    <hyperlink r:id="rId502" ref="U372"/>
    <hyperlink r:id="rId503" ref="V372"/>
    <hyperlink r:id="rId504" ref="T373"/>
    <hyperlink r:id="rId505" ref="U373"/>
    <hyperlink r:id="rId506" ref="V373"/>
    <hyperlink r:id="rId507" ref="T374"/>
    <hyperlink r:id="rId508" ref="U374"/>
    <hyperlink r:id="rId509" ref="V374"/>
    <hyperlink r:id="rId510" ref="V375"/>
    <hyperlink r:id="rId511" ref="V376"/>
    <hyperlink r:id="rId512" ref="U377"/>
    <hyperlink r:id="rId513" ref="V377"/>
    <hyperlink r:id="rId514" ref="T378"/>
    <hyperlink r:id="rId515" ref="U378"/>
    <hyperlink r:id="rId516" ref="V378"/>
    <hyperlink r:id="rId517" ref="T380"/>
    <hyperlink r:id="rId518" ref="U380"/>
    <hyperlink r:id="rId519" ref="V380"/>
    <hyperlink r:id="rId520" ref="T381"/>
    <hyperlink r:id="rId521" ref="U381"/>
    <hyperlink r:id="rId522" ref="V381"/>
    <hyperlink r:id="rId523" ref="T382"/>
    <hyperlink r:id="rId524" ref="U382"/>
    <hyperlink r:id="rId525" ref="V382"/>
    <hyperlink r:id="rId526" ref="T383"/>
    <hyperlink r:id="rId527" ref="U383"/>
    <hyperlink r:id="rId528" ref="V383"/>
    <hyperlink r:id="rId529" ref="U384"/>
    <hyperlink r:id="rId530" ref="V384"/>
    <hyperlink r:id="rId531" ref="T385"/>
    <hyperlink r:id="rId532" ref="U385"/>
    <hyperlink r:id="rId533" ref="V385"/>
    <hyperlink r:id="rId534" ref="T386"/>
    <hyperlink r:id="rId535" ref="U386"/>
    <hyperlink r:id="rId536" ref="V386"/>
    <hyperlink r:id="rId537" ref="T387"/>
    <hyperlink r:id="rId538" ref="U387"/>
    <hyperlink r:id="rId539" ref="V387"/>
    <hyperlink r:id="rId540" ref="T388"/>
    <hyperlink r:id="rId541" ref="U388"/>
    <hyperlink r:id="rId542" ref="V388"/>
    <hyperlink r:id="rId543" ref="T389"/>
    <hyperlink r:id="rId544" ref="U389"/>
    <hyperlink r:id="rId545" ref="V389"/>
    <hyperlink r:id="rId546" ref="V390"/>
    <hyperlink r:id="rId547" ref="T391"/>
    <hyperlink r:id="rId548" ref="U391"/>
    <hyperlink r:id="rId549" ref="V391"/>
    <hyperlink r:id="rId550" ref="T392"/>
    <hyperlink r:id="rId551" ref="U392"/>
    <hyperlink r:id="rId552" ref="V392"/>
    <hyperlink r:id="rId553" ref="T393"/>
    <hyperlink r:id="rId554" ref="U393"/>
    <hyperlink r:id="rId555" ref="V393"/>
    <hyperlink r:id="rId556" ref="T394"/>
    <hyperlink r:id="rId557" ref="U394"/>
    <hyperlink r:id="rId558" ref="V394"/>
    <hyperlink r:id="rId559" ref="T395"/>
    <hyperlink r:id="rId560" ref="U395"/>
    <hyperlink r:id="rId561" ref="V395"/>
    <hyperlink r:id="rId562" ref="V396"/>
    <hyperlink r:id="rId563" ref="T397"/>
    <hyperlink r:id="rId564" ref="U397"/>
    <hyperlink r:id="rId565" ref="V397"/>
    <hyperlink r:id="rId566" ref="T398"/>
    <hyperlink r:id="rId567" ref="U398"/>
    <hyperlink r:id="rId568" ref="V398"/>
    <hyperlink r:id="rId569" ref="T399"/>
    <hyperlink r:id="rId570" ref="U399"/>
    <hyperlink r:id="rId571" ref="V399"/>
    <hyperlink r:id="rId572" ref="T400"/>
    <hyperlink r:id="rId573" ref="U400"/>
    <hyperlink r:id="rId574" ref="V400"/>
    <hyperlink r:id="rId575" ref="T401"/>
    <hyperlink r:id="rId576" ref="U401"/>
    <hyperlink r:id="rId577" ref="V401"/>
    <hyperlink r:id="rId578" ref="T402"/>
    <hyperlink r:id="rId579" ref="V402"/>
    <hyperlink r:id="rId580" ref="T403"/>
    <hyperlink r:id="rId581" ref="U403"/>
    <hyperlink r:id="rId582" ref="V403"/>
    <hyperlink r:id="rId583" ref="T404"/>
    <hyperlink r:id="rId584" ref="U404"/>
    <hyperlink r:id="rId585" ref="V404"/>
    <hyperlink r:id="rId586" ref="T405"/>
    <hyperlink r:id="rId587" ref="U405"/>
    <hyperlink r:id="rId588" ref="T406"/>
    <hyperlink r:id="rId589" ref="U406"/>
    <hyperlink r:id="rId590" ref="V406"/>
    <hyperlink r:id="rId591" ref="U407"/>
    <hyperlink r:id="rId592" ref="V407"/>
    <hyperlink r:id="rId593" ref="T408"/>
    <hyperlink r:id="rId594" ref="U408"/>
    <hyperlink r:id="rId595" ref="V408"/>
    <hyperlink r:id="rId596" ref="T409"/>
    <hyperlink r:id="rId597" ref="U409"/>
    <hyperlink r:id="rId598" ref="V409"/>
    <hyperlink r:id="rId599" ref="U410"/>
    <hyperlink r:id="rId600" ref="V410"/>
    <hyperlink r:id="rId601" ref="T411"/>
    <hyperlink r:id="rId602" ref="U411"/>
    <hyperlink r:id="rId603" ref="V411"/>
    <hyperlink r:id="rId604" ref="T412"/>
    <hyperlink r:id="rId605" ref="U412"/>
    <hyperlink r:id="rId606" ref="V412"/>
    <hyperlink r:id="rId607" ref="T413"/>
    <hyperlink r:id="rId608" ref="U413"/>
    <hyperlink r:id="rId609" ref="V413"/>
    <hyperlink r:id="rId610" ref="V414"/>
    <hyperlink r:id="rId611" ref="T415"/>
    <hyperlink r:id="rId612" ref="U415"/>
    <hyperlink r:id="rId613" ref="V415"/>
    <hyperlink r:id="rId614" ref="T416"/>
    <hyperlink r:id="rId615" ref="V416"/>
    <hyperlink r:id="rId616" ref="V417"/>
    <hyperlink r:id="rId617" ref="V418"/>
    <hyperlink r:id="rId618" ref="T419"/>
    <hyperlink r:id="rId619" ref="U419"/>
    <hyperlink r:id="rId620" ref="V419"/>
    <hyperlink r:id="rId621" ref="T420"/>
    <hyperlink r:id="rId622" ref="U420"/>
    <hyperlink r:id="rId623" ref="V420"/>
    <hyperlink r:id="rId624" ref="T421"/>
    <hyperlink r:id="rId625" ref="U421"/>
    <hyperlink r:id="rId626" ref="V421"/>
    <hyperlink r:id="rId627" ref="V422"/>
    <hyperlink r:id="rId628" ref="T423"/>
    <hyperlink r:id="rId629" ref="U423"/>
    <hyperlink r:id="rId630" ref="V423"/>
    <hyperlink r:id="rId631" ref="T424"/>
    <hyperlink r:id="rId632" ref="U424"/>
    <hyperlink r:id="rId633" ref="V424"/>
    <hyperlink r:id="rId634" ref="T425"/>
    <hyperlink r:id="rId635" ref="U425"/>
    <hyperlink r:id="rId636" ref="V425"/>
    <hyperlink r:id="rId637" ref="T426"/>
    <hyperlink r:id="rId638" ref="U426"/>
    <hyperlink r:id="rId639" ref="V426"/>
    <hyperlink r:id="rId640" ref="T427"/>
    <hyperlink r:id="rId641" ref="U427"/>
    <hyperlink r:id="rId642" ref="V427"/>
    <hyperlink r:id="rId643" ref="T428"/>
    <hyperlink r:id="rId644" ref="U428"/>
    <hyperlink r:id="rId645" ref="V428"/>
    <hyperlink r:id="rId646" ref="T429"/>
    <hyperlink r:id="rId647" ref="U429"/>
    <hyperlink r:id="rId648" ref="V429"/>
    <hyperlink r:id="rId649" ref="T430"/>
    <hyperlink r:id="rId650" ref="U430"/>
    <hyperlink r:id="rId651" ref="V430"/>
    <hyperlink r:id="rId652" ref="T431"/>
    <hyperlink r:id="rId653" ref="U431"/>
    <hyperlink r:id="rId654" ref="V431"/>
    <hyperlink r:id="rId655" ref="T433"/>
    <hyperlink r:id="rId656" ref="U433"/>
    <hyperlink r:id="rId657" ref="V433"/>
    <hyperlink r:id="rId658" ref="T434"/>
    <hyperlink r:id="rId659" ref="U434"/>
    <hyperlink r:id="rId660" ref="V434"/>
    <hyperlink r:id="rId661" ref="T435"/>
    <hyperlink r:id="rId662" ref="U435"/>
    <hyperlink r:id="rId663" ref="V435"/>
    <hyperlink r:id="rId664" ref="T436"/>
    <hyperlink r:id="rId665" ref="V436"/>
    <hyperlink r:id="rId666" ref="T437"/>
    <hyperlink r:id="rId667" ref="V437"/>
    <hyperlink r:id="rId668" ref="T438"/>
    <hyperlink r:id="rId669" ref="V438"/>
    <hyperlink r:id="rId670" ref="T439"/>
    <hyperlink r:id="rId671" ref="U439"/>
    <hyperlink r:id="rId672" ref="V439"/>
    <hyperlink r:id="rId673" ref="T440"/>
    <hyperlink r:id="rId674" ref="U440"/>
    <hyperlink r:id="rId675" ref="V440"/>
    <hyperlink r:id="rId676" ref="T441"/>
    <hyperlink r:id="rId677" ref="U441"/>
    <hyperlink r:id="rId678" ref="V441"/>
    <hyperlink r:id="rId679" ref="T443"/>
    <hyperlink r:id="rId680" ref="U443"/>
    <hyperlink r:id="rId681" ref="V443"/>
    <hyperlink r:id="rId682" ref="T444"/>
    <hyperlink r:id="rId683" ref="U444"/>
    <hyperlink r:id="rId684" ref="V444"/>
    <hyperlink r:id="rId685" ref="T445"/>
    <hyperlink r:id="rId686" ref="U445"/>
    <hyperlink r:id="rId687" ref="V445"/>
    <hyperlink r:id="rId688" ref="T446"/>
    <hyperlink r:id="rId689" ref="U446"/>
    <hyperlink r:id="rId690" ref="V446"/>
    <hyperlink r:id="rId691" ref="T447"/>
    <hyperlink r:id="rId692" ref="U447"/>
    <hyperlink r:id="rId693" ref="V447"/>
    <hyperlink r:id="rId694" ref="T448"/>
    <hyperlink r:id="rId695" ref="U448"/>
    <hyperlink r:id="rId696" ref="V448"/>
    <hyperlink r:id="rId697" ref="V449"/>
    <hyperlink r:id="rId698" ref="T450"/>
    <hyperlink r:id="rId699" ref="V450"/>
    <hyperlink r:id="rId700" ref="T451"/>
    <hyperlink r:id="rId701" ref="U451"/>
    <hyperlink r:id="rId702" ref="V451"/>
    <hyperlink r:id="rId703" ref="T452"/>
    <hyperlink r:id="rId704" ref="U452"/>
    <hyperlink r:id="rId705" ref="V452"/>
    <hyperlink r:id="rId706" ref="T453"/>
    <hyperlink r:id="rId707" ref="U453"/>
    <hyperlink r:id="rId708" ref="V453"/>
    <hyperlink r:id="rId709" ref="T454"/>
    <hyperlink r:id="rId710" ref="U454"/>
    <hyperlink r:id="rId711" ref="V454"/>
    <hyperlink r:id="rId712" ref="T455"/>
    <hyperlink r:id="rId713" ref="U455"/>
    <hyperlink r:id="rId714" ref="V455"/>
    <hyperlink r:id="rId715" ref="T456"/>
    <hyperlink r:id="rId716" ref="U456"/>
    <hyperlink r:id="rId717" ref="V456"/>
    <hyperlink r:id="rId718" ref="T457"/>
    <hyperlink r:id="rId719" ref="U457"/>
    <hyperlink r:id="rId720" ref="V457"/>
    <hyperlink r:id="rId721" ref="U458"/>
    <hyperlink r:id="rId722" ref="V458"/>
    <hyperlink r:id="rId723" ref="T459"/>
    <hyperlink r:id="rId724" ref="U459"/>
    <hyperlink r:id="rId725" ref="V459"/>
    <hyperlink r:id="rId726" ref="T460"/>
    <hyperlink r:id="rId727" ref="U460"/>
    <hyperlink r:id="rId728" ref="V460"/>
    <hyperlink r:id="rId729" ref="T461"/>
    <hyperlink r:id="rId730" ref="U461"/>
    <hyperlink r:id="rId731" ref="V461"/>
    <hyperlink r:id="rId732" ref="T462"/>
    <hyperlink r:id="rId733" ref="U462"/>
    <hyperlink r:id="rId734" ref="V462"/>
    <hyperlink r:id="rId735" ref="T463"/>
    <hyperlink r:id="rId736" ref="U463"/>
    <hyperlink r:id="rId737" ref="T464"/>
    <hyperlink r:id="rId738" ref="U464"/>
    <hyperlink r:id="rId739" ref="V464"/>
    <hyperlink r:id="rId740" ref="T465"/>
    <hyperlink r:id="rId741" ref="U465"/>
    <hyperlink r:id="rId742" ref="V465"/>
    <hyperlink r:id="rId743" ref="T466"/>
    <hyperlink r:id="rId744" ref="U466"/>
    <hyperlink r:id="rId745" ref="V466"/>
    <hyperlink r:id="rId746" ref="T467"/>
    <hyperlink r:id="rId747" ref="U467"/>
    <hyperlink r:id="rId748" ref="V467"/>
    <hyperlink r:id="rId749" ref="T468"/>
    <hyperlink r:id="rId750" ref="U468"/>
    <hyperlink r:id="rId751" ref="V468"/>
    <hyperlink r:id="rId752" ref="T469"/>
    <hyperlink r:id="rId753" ref="U469"/>
    <hyperlink r:id="rId754" ref="V469"/>
    <hyperlink r:id="rId755" ref="T470"/>
    <hyperlink r:id="rId756" ref="U470"/>
    <hyperlink r:id="rId757" ref="V470"/>
    <hyperlink r:id="rId758" ref="T471"/>
    <hyperlink r:id="rId759" ref="U471"/>
    <hyperlink r:id="rId760" ref="V471"/>
    <hyperlink r:id="rId761" ref="V472"/>
    <hyperlink r:id="rId762" ref="T473"/>
    <hyperlink r:id="rId763" ref="U473"/>
    <hyperlink r:id="rId764" ref="V473"/>
    <hyperlink r:id="rId765" ref="T474"/>
    <hyperlink r:id="rId766" ref="U474"/>
    <hyperlink r:id="rId767" ref="V474"/>
    <hyperlink r:id="rId768" ref="T475"/>
    <hyperlink r:id="rId769" ref="U475"/>
    <hyperlink r:id="rId770" ref="V475"/>
    <hyperlink r:id="rId771" ref="T476"/>
    <hyperlink r:id="rId772" ref="U476"/>
    <hyperlink r:id="rId773" ref="V476"/>
    <hyperlink r:id="rId774" ref="T477"/>
    <hyperlink r:id="rId775" ref="U477"/>
    <hyperlink r:id="rId776" ref="V477"/>
    <hyperlink r:id="rId777" ref="V478"/>
    <hyperlink r:id="rId778" ref="T479"/>
    <hyperlink r:id="rId779" ref="U479"/>
    <hyperlink r:id="rId780" ref="V479"/>
    <hyperlink r:id="rId781" ref="T480"/>
    <hyperlink r:id="rId782" ref="U480"/>
    <hyperlink r:id="rId783" ref="V480"/>
    <hyperlink r:id="rId784" ref="T481"/>
    <hyperlink r:id="rId785" ref="U481"/>
    <hyperlink r:id="rId786" ref="V481"/>
    <hyperlink r:id="rId787" ref="T482"/>
    <hyperlink r:id="rId788" ref="U482"/>
    <hyperlink r:id="rId789" ref="V482"/>
    <hyperlink r:id="rId790" ref="T483"/>
    <hyperlink r:id="rId791" ref="U483"/>
    <hyperlink r:id="rId792" ref="V483"/>
    <hyperlink r:id="rId793" ref="T485"/>
    <hyperlink r:id="rId794" ref="U485"/>
    <hyperlink r:id="rId795" ref="V485"/>
    <hyperlink r:id="rId796" ref="T486"/>
    <hyperlink r:id="rId797" ref="U486"/>
    <hyperlink r:id="rId798" ref="V486"/>
    <hyperlink r:id="rId799" ref="T487"/>
    <hyperlink r:id="rId800" ref="U487"/>
    <hyperlink r:id="rId801" ref="V487"/>
    <hyperlink r:id="rId802" ref="T488"/>
    <hyperlink r:id="rId803" ref="U488"/>
    <hyperlink r:id="rId804" ref="V488"/>
    <hyperlink r:id="rId805" ref="T489"/>
    <hyperlink r:id="rId806" ref="U489"/>
    <hyperlink r:id="rId807" ref="V489"/>
    <hyperlink r:id="rId808" ref="T490"/>
    <hyperlink r:id="rId809" ref="U490"/>
    <hyperlink r:id="rId810" ref="V490"/>
    <hyperlink r:id="rId811" ref="T491"/>
    <hyperlink r:id="rId812" ref="U491"/>
    <hyperlink r:id="rId813" ref="V491"/>
    <hyperlink r:id="rId814" ref="T492"/>
    <hyperlink r:id="rId815" ref="V492"/>
    <hyperlink r:id="rId816" ref="T493"/>
    <hyperlink r:id="rId817" ref="U493"/>
    <hyperlink r:id="rId818" ref="V493"/>
    <hyperlink r:id="rId819" ref="T494"/>
    <hyperlink r:id="rId820" ref="U494"/>
    <hyperlink r:id="rId821" ref="V494"/>
    <hyperlink r:id="rId822" ref="T495"/>
    <hyperlink r:id="rId823" ref="U495"/>
    <hyperlink r:id="rId824" ref="V495"/>
    <hyperlink r:id="rId825" ref="T496"/>
    <hyperlink r:id="rId826" ref="U496"/>
    <hyperlink r:id="rId827" ref="V496"/>
    <hyperlink r:id="rId828" ref="T497"/>
    <hyperlink r:id="rId829" ref="U497"/>
    <hyperlink r:id="rId830" ref="V497"/>
    <hyperlink r:id="rId831" ref="V498"/>
    <hyperlink r:id="rId832" ref="T499"/>
    <hyperlink r:id="rId833" ref="U499"/>
    <hyperlink r:id="rId834" ref="V499"/>
    <hyperlink r:id="rId835" ref="T500"/>
    <hyperlink r:id="rId836" ref="U500"/>
    <hyperlink r:id="rId837" ref="V500"/>
    <hyperlink r:id="rId838" ref="T501"/>
    <hyperlink r:id="rId839" ref="U501"/>
    <hyperlink r:id="rId840" ref="V501"/>
    <hyperlink r:id="rId841" ref="V502"/>
    <hyperlink r:id="rId842" ref="T503"/>
    <hyperlink r:id="rId843" ref="U503"/>
    <hyperlink r:id="rId844" ref="V503"/>
    <hyperlink r:id="rId845" ref="T504"/>
    <hyperlink r:id="rId846" ref="U504"/>
    <hyperlink r:id="rId847" ref="V504"/>
    <hyperlink r:id="rId848" ref="T505"/>
    <hyperlink r:id="rId849" ref="U505"/>
    <hyperlink r:id="rId850" ref="V505"/>
    <hyperlink r:id="rId851" ref="V506"/>
    <hyperlink r:id="rId852" ref="T507"/>
    <hyperlink r:id="rId853" ref="U507"/>
    <hyperlink r:id="rId854" ref="V507"/>
    <hyperlink r:id="rId855" ref="T508"/>
    <hyperlink r:id="rId856" ref="U508"/>
    <hyperlink r:id="rId857" ref="V508"/>
    <hyperlink r:id="rId858" ref="T509"/>
    <hyperlink r:id="rId859" ref="U509"/>
    <hyperlink r:id="rId860" ref="V509"/>
    <hyperlink r:id="rId861" ref="T510"/>
    <hyperlink r:id="rId862" ref="U510"/>
    <hyperlink r:id="rId863" ref="V510"/>
    <hyperlink r:id="rId864" ref="T511"/>
    <hyperlink r:id="rId865" ref="U511"/>
    <hyperlink r:id="rId866" ref="V511"/>
    <hyperlink r:id="rId867" ref="V512"/>
    <hyperlink r:id="rId868" ref="U513"/>
    <hyperlink r:id="rId869" ref="V513"/>
    <hyperlink r:id="rId870" ref="T514"/>
    <hyperlink r:id="rId871" ref="U514"/>
    <hyperlink r:id="rId872" ref="V514"/>
    <hyperlink r:id="rId873" ref="T515"/>
    <hyperlink r:id="rId874" ref="U515"/>
    <hyperlink r:id="rId875" ref="V515"/>
    <hyperlink r:id="rId876" ref="V516"/>
    <hyperlink r:id="rId877" ref="T517"/>
    <hyperlink r:id="rId878" ref="U517"/>
    <hyperlink r:id="rId879" ref="V517"/>
    <hyperlink r:id="rId880" ref="T518"/>
    <hyperlink r:id="rId881" ref="U518"/>
    <hyperlink r:id="rId882" ref="V518"/>
    <hyperlink r:id="rId883" ref="T519"/>
    <hyperlink r:id="rId884" ref="U519"/>
    <hyperlink r:id="rId885" ref="V519"/>
    <hyperlink r:id="rId886" ref="T520"/>
    <hyperlink r:id="rId887" ref="U520"/>
    <hyperlink r:id="rId888" ref="V520"/>
    <hyperlink r:id="rId889" ref="V521"/>
    <hyperlink r:id="rId890" ref="T522"/>
    <hyperlink r:id="rId891" ref="U522"/>
    <hyperlink r:id="rId892" ref="V522"/>
    <hyperlink r:id="rId893" ref="T523"/>
    <hyperlink r:id="rId894" ref="U523"/>
    <hyperlink r:id="rId895" ref="V523"/>
    <hyperlink r:id="rId896" ref="T524"/>
    <hyperlink r:id="rId897" ref="U524"/>
    <hyperlink r:id="rId898" ref="V524"/>
    <hyperlink r:id="rId899" ref="T525"/>
    <hyperlink r:id="rId900" ref="U525"/>
    <hyperlink r:id="rId901" ref="V525"/>
    <hyperlink r:id="rId902" ref="T526"/>
    <hyperlink r:id="rId903" ref="U526"/>
    <hyperlink r:id="rId904" ref="V526"/>
    <hyperlink r:id="rId905" ref="T527"/>
    <hyperlink r:id="rId906" ref="U527"/>
    <hyperlink r:id="rId907" ref="V527"/>
    <hyperlink r:id="rId908" ref="T528"/>
    <hyperlink r:id="rId909" ref="U528"/>
    <hyperlink r:id="rId910" ref="V528"/>
    <hyperlink r:id="rId911" ref="T529"/>
    <hyperlink r:id="rId912" ref="U529"/>
    <hyperlink r:id="rId913" ref="V529"/>
    <hyperlink r:id="rId914" ref="T530"/>
    <hyperlink r:id="rId915" ref="U530"/>
    <hyperlink r:id="rId916" ref="V530"/>
    <hyperlink r:id="rId917" ref="T531"/>
    <hyperlink r:id="rId918" ref="U531"/>
    <hyperlink r:id="rId919" ref="V531"/>
    <hyperlink r:id="rId920" ref="T532"/>
    <hyperlink r:id="rId921" ref="U532"/>
    <hyperlink r:id="rId922" ref="V532"/>
    <hyperlink r:id="rId923" ref="T533"/>
    <hyperlink r:id="rId924" ref="U533"/>
    <hyperlink r:id="rId925" ref="V533"/>
    <hyperlink r:id="rId926" ref="T534"/>
    <hyperlink r:id="rId927" ref="U534"/>
    <hyperlink r:id="rId928" ref="V534"/>
    <hyperlink r:id="rId929" ref="T535"/>
    <hyperlink r:id="rId930" ref="U535"/>
    <hyperlink r:id="rId931" ref="V535"/>
    <hyperlink r:id="rId932" ref="T536"/>
    <hyperlink r:id="rId933" ref="U536"/>
    <hyperlink r:id="rId934" ref="V536"/>
    <hyperlink r:id="rId935" ref="T537"/>
    <hyperlink r:id="rId936" ref="U537"/>
    <hyperlink r:id="rId937" ref="V537"/>
    <hyperlink r:id="rId938" ref="V538"/>
    <hyperlink r:id="rId939" ref="T539"/>
    <hyperlink r:id="rId940" ref="U539"/>
    <hyperlink r:id="rId941" ref="V539"/>
    <hyperlink r:id="rId942" ref="U540"/>
    <hyperlink r:id="rId943" ref="V540"/>
    <hyperlink r:id="rId944" ref="T541"/>
    <hyperlink r:id="rId945" ref="U541"/>
    <hyperlink r:id="rId946" ref="V541"/>
    <hyperlink r:id="rId947" ref="T542"/>
    <hyperlink r:id="rId948" ref="U542"/>
    <hyperlink r:id="rId949" ref="T543"/>
    <hyperlink r:id="rId950" ref="U543"/>
    <hyperlink r:id="rId951" ref="V543"/>
    <hyperlink r:id="rId952" ref="T544"/>
    <hyperlink r:id="rId953" ref="U544"/>
    <hyperlink r:id="rId954" ref="V544"/>
    <hyperlink r:id="rId955" ref="T545"/>
    <hyperlink r:id="rId956" ref="U545"/>
    <hyperlink r:id="rId957" ref="V545"/>
    <hyperlink r:id="rId958" ref="U546"/>
    <hyperlink r:id="rId959" ref="V546"/>
    <hyperlink r:id="rId960" ref="T547"/>
    <hyperlink r:id="rId961" ref="U547"/>
    <hyperlink r:id="rId962" ref="V547"/>
    <hyperlink r:id="rId963" ref="V548"/>
    <hyperlink r:id="rId964" ref="V549"/>
    <hyperlink r:id="rId965" ref="V550"/>
    <hyperlink r:id="rId966" ref="V551"/>
    <hyperlink r:id="rId967" ref="V552"/>
    <hyperlink r:id="rId968" ref="V553"/>
    <hyperlink r:id="rId969" ref="V554"/>
    <hyperlink r:id="rId970" ref="V555"/>
    <hyperlink r:id="rId971" ref="V556"/>
    <hyperlink r:id="rId972" ref="V557"/>
    <hyperlink r:id="rId973" ref="V558"/>
    <hyperlink r:id="rId974" ref="V559"/>
    <hyperlink r:id="rId975" ref="V560"/>
    <hyperlink r:id="rId976" ref="V561"/>
    <hyperlink r:id="rId977" ref="V562"/>
    <hyperlink r:id="rId978" ref="V563"/>
    <hyperlink r:id="rId979" ref="V564"/>
    <hyperlink r:id="rId980" ref="AB565"/>
    <hyperlink r:id="rId981" ref="AC565"/>
    <hyperlink r:id="rId982" ref="AD565"/>
    <hyperlink r:id="rId983" ref="AB566"/>
    <hyperlink r:id="rId984" ref="AC566"/>
    <hyperlink r:id="rId985" ref="AD566"/>
    <hyperlink r:id="rId986" ref="AB567"/>
    <hyperlink r:id="rId987" ref="AC567"/>
    <hyperlink r:id="rId988" ref="AD567"/>
    <hyperlink r:id="rId989" ref="AB568"/>
    <hyperlink r:id="rId990" ref="AC568"/>
    <hyperlink r:id="rId991" ref="AD568"/>
    <hyperlink r:id="rId992" ref="AB569"/>
    <hyperlink r:id="rId993" ref="AC569"/>
    <hyperlink r:id="rId994" ref="AD569"/>
    <hyperlink r:id="rId995" ref="AD570"/>
    <hyperlink r:id="rId996" ref="AB571"/>
    <hyperlink r:id="rId997" ref="AC571"/>
    <hyperlink r:id="rId998" ref="AD571"/>
    <hyperlink r:id="rId999" ref="AB572"/>
    <hyperlink r:id="rId1000" ref="AD572"/>
    <hyperlink r:id="rId1001" ref="AB573"/>
    <hyperlink r:id="rId1002" ref="AC573"/>
    <hyperlink r:id="rId1003" ref="AD573"/>
    <hyperlink r:id="rId1004" ref="AD574"/>
    <hyperlink r:id="rId1005" ref="AB575"/>
    <hyperlink r:id="rId1006" ref="AC575"/>
    <hyperlink r:id="rId1007" ref="AD575"/>
    <hyperlink r:id="rId1008" ref="AB576"/>
    <hyperlink r:id="rId1009" ref="AC576"/>
    <hyperlink r:id="rId1010" ref="AD576"/>
    <hyperlink r:id="rId1011" ref="AD577"/>
    <hyperlink r:id="rId1012" ref="AB578"/>
    <hyperlink r:id="rId1013" ref="AD578"/>
    <hyperlink r:id="rId1014" ref="AB579"/>
    <hyperlink r:id="rId1015" ref="AC579"/>
    <hyperlink r:id="rId1016" ref="AD579"/>
    <hyperlink r:id="rId1017" ref="AB580"/>
    <hyperlink r:id="rId1018" ref="AC580"/>
    <hyperlink r:id="rId1019" ref="AD580"/>
    <hyperlink r:id="rId1020" ref="AD581"/>
    <hyperlink r:id="rId1021" ref="AC582"/>
    <hyperlink r:id="rId1022" ref="AD582"/>
    <hyperlink r:id="rId1023" ref="AC583"/>
    <hyperlink r:id="rId1024" ref="AD583"/>
    <hyperlink r:id="rId1025" ref="AB584"/>
    <hyperlink r:id="rId1026" ref="AD584"/>
    <hyperlink r:id="rId1027" ref="AB585"/>
    <hyperlink r:id="rId1028" ref="AC585"/>
    <hyperlink r:id="rId1029" ref="AD585"/>
    <hyperlink r:id="rId1030" ref="AB586"/>
    <hyperlink r:id="rId1031" ref="AC586"/>
    <hyperlink r:id="rId1032" ref="AD586"/>
    <hyperlink r:id="rId1033" ref="AB587"/>
    <hyperlink r:id="rId1034" ref="AC587"/>
    <hyperlink r:id="rId1035" ref="AD587"/>
    <hyperlink r:id="rId1036" ref="AB588"/>
    <hyperlink r:id="rId1037" ref="AC588"/>
    <hyperlink r:id="rId1038" ref="AD588"/>
    <hyperlink r:id="rId1039" ref="AB589"/>
    <hyperlink r:id="rId1040" ref="AC589"/>
    <hyperlink r:id="rId1041" ref="AD589"/>
    <hyperlink r:id="rId1042" ref="AB590"/>
    <hyperlink r:id="rId1043" ref="AC590"/>
    <hyperlink r:id="rId1044" ref="AD590"/>
    <hyperlink r:id="rId1045" ref="AB591"/>
    <hyperlink r:id="rId1046" ref="AC591"/>
    <hyperlink r:id="rId1047" ref="AD591"/>
    <hyperlink r:id="rId1048" ref="AD592"/>
    <hyperlink r:id="rId1049" ref="AD593"/>
    <hyperlink r:id="rId1050" ref="AD594"/>
    <hyperlink r:id="rId1051" ref="AD595"/>
    <hyperlink r:id="rId1052" ref="AD596"/>
    <hyperlink r:id="rId1053" ref="AB597"/>
    <hyperlink r:id="rId1054" ref="AD597"/>
    <hyperlink r:id="rId1055" ref="AB598"/>
    <hyperlink r:id="rId1056" ref="AC598"/>
    <hyperlink r:id="rId1057" ref="AD598"/>
    <hyperlink r:id="rId1058" ref="AB599"/>
    <hyperlink r:id="rId1059" ref="AD599"/>
    <hyperlink r:id="rId1060" ref="AB600"/>
    <hyperlink r:id="rId1061" ref="AD600"/>
    <hyperlink r:id="rId1062" ref="AB601"/>
    <hyperlink r:id="rId1063" ref="AC601"/>
    <hyperlink r:id="rId1064" ref="AD601"/>
    <hyperlink r:id="rId1065" ref="AB602"/>
    <hyperlink r:id="rId1066" ref="AC602"/>
    <hyperlink r:id="rId1067" ref="AD602"/>
    <hyperlink r:id="rId1068" ref="AD603"/>
    <hyperlink r:id="rId1069" ref="AD604"/>
    <hyperlink r:id="rId1070" ref="AB605"/>
    <hyperlink r:id="rId1071" ref="AC605"/>
    <hyperlink r:id="rId1072" ref="AD605"/>
    <hyperlink r:id="rId1073" ref="AD606"/>
    <hyperlink r:id="rId1074" ref="AB607"/>
    <hyperlink r:id="rId1075" ref="AC607"/>
    <hyperlink r:id="rId1076" ref="AD607"/>
    <hyperlink r:id="rId1077" ref="AB608"/>
    <hyperlink r:id="rId1078" ref="AD608"/>
    <hyperlink r:id="rId1079" ref="AD609"/>
    <hyperlink r:id="rId1080" ref="AD610"/>
    <hyperlink r:id="rId1081" ref="AB611"/>
    <hyperlink r:id="rId1082" ref="AC611"/>
    <hyperlink r:id="rId1083" ref="AD611"/>
    <hyperlink r:id="rId1084" ref="AB612"/>
    <hyperlink r:id="rId1085" ref="AC612"/>
    <hyperlink r:id="rId1086" ref="AD612"/>
    <hyperlink r:id="rId1087" ref="AC613"/>
    <hyperlink r:id="rId1088" ref="AD613"/>
    <hyperlink r:id="rId1089" ref="AB614"/>
    <hyperlink r:id="rId1090" ref="AC614"/>
    <hyperlink r:id="rId1091" ref="AD614"/>
    <hyperlink r:id="rId1092" ref="AD615"/>
    <hyperlink r:id="rId1093" ref="AB616"/>
    <hyperlink r:id="rId1094" ref="AC616"/>
    <hyperlink r:id="rId1095" ref="AD616"/>
    <hyperlink r:id="rId1096" ref="AD617"/>
    <hyperlink r:id="rId1097" ref="AD618"/>
    <hyperlink r:id="rId1098" ref="AD619"/>
    <hyperlink r:id="rId1099" ref="AD620"/>
    <hyperlink r:id="rId1100" ref="AD621"/>
    <hyperlink r:id="rId1101" ref="AB622"/>
    <hyperlink r:id="rId1102" ref="AC622"/>
    <hyperlink r:id="rId1103" ref="AD622"/>
    <hyperlink r:id="rId1104" ref="AB623"/>
    <hyperlink r:id="rId1105" ref="AC623"/>
    <hyperlink r:id="rId1106" ref="AD623"/>
    <hyperlink r:id="rId1107" ref="AC624"/>
    <hyperlink r:id="rId1108" ref="AD624"/>
    <hyperlink r:id="rId1109" ref="AD625"/>
    <hyperlink r:id="rId1110" ref="AB626"/>
    <hyperlink r:id="rId1111" ref="AD626"/>
    <hyperlink r:id="rId1112" ref="AB627"/>
    <hyperlink r:id="rId1113" ref="AC627"/>
    <hyperlink r:id="rId1114" ref="AD627"/>
    <hyperlink r:id="rId1115" ref="AD628"/>
    <hyperlink r:id="rId1116" ref="AD629"/>
    <hyperlink r:id="rId1117" ref="AB630"/>
    <hyperlink r:id="rId1118" ref="AC630"/>
    <hyperlink r:id="rId1119" ref="AD630"/>
    <hyperlink r:id="rId1120" ref="AD631"/>
    <hyperlink r:id="rId1121" ref="AD632"/>
    <hyperlink r:id="rId1122" ref="AD633"/>
    <hyperlink r:id="rId1123" ref="AB634"/>
    <hyperlink r:id="rId1124" ref="AC634"/>
    <hyperlink r:id="rId1125" ref="AD634"/>
    <hyperlink r:id="rId1126" ref="AB635"/>
    <hyperlink r:id="rId1127" ref="AC635"/>
    <hyperlink r:id="rId1128" ref="AD635"/>
    <hyperlink r:id="rId1129" ref="AB636"/>
    <hyperlink r:id="rId1130" ref="AC636"/>
    <hyperlink r:id="rId1131" ref="AD636"/>
    <hyperlink r:id="rId1132" ref="AD637"/>
    <hyperlink r:id="rId1133" ref="AB638"/>
    <hyperlink r:id="rId1134" ref="AC638"/>
    <hyperlink r:id="rId1135" ref="AD638"/>
    <hyperlink r:id="rId1136" ref="AB639"/>
    <hyperlink r:id="rId1137" ref="AC639"/>
    <hyperlink r:id="rId1138" ref="AD639"/>
    <hyperlink r:id="rId1139" ref="AB640"/>
    <hyperlink r:id="rId1140" ref="AC640"/>
    <hyperlink r:id="rId1141" ref="AD640"/>
    <hyperlink r:id="rId1142" ref="AC641"/>
    <hyperlink r:id="rId1143" ref="AD641"/>
    <hyperlink r:id="rId1144" ref="AB642"/>
    <hyperlink r:id="rId1145" ref="AC642"/>
    <hyperlink r:id="rId1146" ref="AD642"/>
    <hyperlink r:id="rId1147" ref="AB643"/>
    <hyperlink r:id="rId1148" ref="AC643"/>
    <hyperlink r:id="rId1149" ref="AD643"/>
    <hyperlink r:id="rId1150" ref="AB644"/>
    <hyperlink r:id="rId1151" ref="AC644"/>
    <hyperlink r:id="rId1152" ref="AD644"/>
    <hyperlink r:id="rId1153" ref="AB645"/>
    <hyperlink r:id="rId1154" ref="AC645"/>
    <hyperlink r:id="rId1155" ref="AD645"/>
    <hyperlink r:id="rId1156" ref="AB646"/>
    <hyperlink r:id="rId1157" ref="AC646"/>
    <hyperlink r:id="rId1158" ref="AD646"/>
    <hyperlink r:id="rId1159" ref="AD647"/>
    <hyperlink r:id="rId1160" ref="AB648"/>
    <hyperlink r:id="rId1161" ref="AC648"/>
    <hyperlink r:id="rId1162" ref="AD648"/>
    <hyperlink r:id="rId1163" ref="AB649"/>
    <hyperlink r:id="rId1164" ref="AD649"/>
    <hyperlink r:id="rId1165" ref="AB650"/>
    <hyperlink r:id="rId1166" ref="AC650"/>
    <hyperlink r:id="rId1167" ref="AD650"/>
    <hyperlink r:id="rId1168" ref="AB651"/>
    <hyperlink r:id="rId1169" ref="AC651"/>
    <hyperlink r:id="rId1170" ref="AD651"/>
    <hyperlink r:id="rId1171" ref="V652"/>
    <hyperlink r:id="rId1172" ref="V653"/>
    <hyperlink r:id="rId1173" ref="V654"/>
    <hyperlink r:id="rId1174" ref="V655"/>
    <hyperlink r:id="rId1175" ref="V656"/>
    <hyperlink r:id="rId1176" ref="V657"/>
    <hyperlink r:id="rId1177" ref="V658"/>
    <hyperlink r:id="rId1178" ref="V659"/>
    <hyperlink r:id="rId1179" ref="V660"/>
    <hyperlink r:id="rId1180" ref="V661"/>
    <hyperlink r:id="rId1181" ref="V662"/>
    <hyperlink r:id="rId1182" ref="V663"/>
    <hyperlink r:id="rId1183" ref="V664"/>
    <hyperlink r:id="rId1184" ref="V665"/>
    <hyperlink r:id="rId1185" ref="V666"/>
    <hyperlink r:id="rId1186" ref="V667"/>
    <hyperlink r:id="rId1187" ref="V668"/>
    <hyperlink r:id="rId1188" ref="V669"/>
    <hyperlink r:id="rId1189" ref="V670"/>
    <hyperlink r:id="rId1190" ref="V671"/>
    <hyperlink r:id="rId1191" ref="V673"/>
    <hyperlink r:id="rId1192" ref="V674"/>
    <hyperlink r:id="rId1193" ref="V675"/>
    <hyperlink r:id="rId1194" ref="V676"/>
    <hyperlink r:id="rId1195" ref="V677"/>
    <hyperlink r:id="rId1196" ref="V678"/>
    <hyperlink r:id="rId1197" ref="V679"/>
    <hyperlink r:id="rId1198" ref="V680"/>
    <hyperlink r:id="rId1199" ref="V682"/>
    <hyperlink r:id="rId1200" ref="V683"/>
    <hyperlink r:id="rId1201" ref="V684"/>
    <hyperlink r:id="rId1202" ref="V686"/>
    <hyperlink r:id="rId1203" ref="V687"/>
    <hyperlink r:id="rId1204" ref="V688"/>
    <hyperlink r:id="rId1205" ref="V689"/>
    <hyperlink r:id="rId1206" ref="V691"/>
    <hyperlink r:id="rId1207" ref="V692"/>
    <hyperlink r:id="rId1208" ref="V693"/>
    <hyperlink r:id="rId1209" ref="V695"/>
    <hyperlink r:id="rId1210" ref="V696"/>
    <hyperlink r:id="rId1211" ref="V697"/>
    <hyperlink r:id="rId1212" ref="V698"/>
    <hyperlink r:id="rId1213" ref="V699"/>
    <hyperlink r:id="rId1214" ref="V700"/>
    <hyperlink r:id="rId1215" ref="V701"/>
    <hyperlink r:id="rId1216" ref="V702"/>
    <hyperlink r:id="rId1217" ref="V703"/>
    <hyperlink r:id="rId1218" ref="V704"/>
    <hyperlink r:id="rId1219" ref="V705"/>
    <hyperlink r:id="rId1220" ref="V706"/>
    <hyperlink r:id="rId1221" ref="V707"/>
    <hyperlink r:id="rId1222" ref="V708"/>
    <hyperlink r:id="rId1223" ref="V709"/>
    <hyperlink r:id="rId1224" ref="V710"/>
    <hyperlink r:id="rId1225" ref="V711"/>
    <hyperlink r:id="rId1226" ref="V712"/>
    <hyperlink r:id="rId1227" ref="V713"/>
    <hyperlink r:id="rId1228" ref="V714"/>
    <hyperlink r:id="rId1229" ref="V715"/>
    <hyperlink r:id="rId1230" ref="V716"/>
    <hyperlink r:id="rId1231" ref="V717"/>
    <hyperlink r:id="rId1232" ref="V718"/>
    <hyperlink r:id="rId1233" ref="V719"/>
    <hyperlink r:id="rId1234" ref="V720"/>
    <hyperlink r:id="rId1235" ref="V721"/>
    <hyperlink r:id="rId1236" ref="V722"/>
    <hyperlink r:id="rId1237" ref="V723"/>
    <hyperlink r:id="rId1238" ref="V724"/>
    <hyperlink r:id="rId1239" ref="V725"/>
    <hyperlink r:id="rId1240" ref="V726"/>
    <hyperlink r:id="rId1241" ref="V727"/>
    <hyperlink r:id="rId1242" ref="V728"/>
    <hyperlink r:id="rId1243" ref="V729"/>
    <hyperlink r:id="rId1244" ref="V730"/>
    <hyperlink r:id="rId1245" ref="V731"/>
    <hyperlink r:id="rId1246" ref="V732"/>
    <hyperlink r:id="rId1247" ref="V733"/>
    <hyperlink r:id="rId1248" ref="V734"/>
    <hyperlink r:id="rId1249" ref="V735"/>
    <hyperlink r:id="rId1250" ref="V736"/>
    <hyperlink r:id="rId1251" ref="V737"/>
    <hyperlink r:id="rId1252" ref="V738"/>
    <hyperlink r:id="rId1253" ref="V739"/>
    <hyperlink r:id="rId1254" ref="V740"/>
    <hyperlink r:id="rId1255" ref="V741"/>
    <hyperlink r:id="rId1256" ref="V742"/>
    <hyperlink r:id="rId1257" ref="V743"/>
    <hyperlink r:id="rId1258" ref="V744"/>
    <hyperlink r:id="rId1259" ref="V745"/>
    <hyperlink r:id="rId1260" ref="V746"/>
    <hyperlink r:id="rId1261" ref="V748"/>
    <hyperlink r:id="rId1262" ref="V749"/>
    <hyperlink r:id="rId1263" ref="V750"/>
    <hyperlink r:id="rId1264" ref="V751"/>
    <hyperlink r:id="rId1265" ref="V753"/>
    <hyperlink r:id="rId1266" ref="V754"/>
    <hyperlink r:id="rId1267" ref="V755"/>
    <hyperlink r:id="rId1268" ref="V756"/>
    <hyperlink r:id="rId1269" ref="V758"/>
    <hyperlink r:id="rId1270" ref="V759"/>
    <hyperlink r:id="rId1271" ref="V760"/>
    <hyperlink r:id="rId1272" ref="V761"/>
    <hyperlink r:id="rId1273" ref="V762"/>
    <hyperlink r:id="rId1274" ref="V763"/>
    <hyperlink r:id="rId1275" ref="V764"/>
    <hyperlink r:id="rId1276" ref="V765"/>
    <hyperlink r:id="rId1277" ref="V766"/>
    <hyperlink r:id="rId1278" ref="V767"/>
    <hyperlink r:id="rId1279" ref="V768"/>
    <hyperlink r:id="rId1280" ref="V769"/>
    <hyperlink r:id="rId1281" ref="V770"/>
    <hyperlink r:id="rId1282" ref="V771"/>
    <hyperlink r:id="rId1283" ref="V772"/>
    <hyperlink r:id="rId1284" ref="V773"/>
    <hyperlink r:id="rId1285" ref="V774"/>
    <hyperlink r:id="rId1286" ref="V776"/>
    <hyperlink r:id="rId1287" ref="V777"/>
    <hyperlink r:id="rId1288" ref="V778"/>
    <hyperlink r:id="rId1289" ref="V779"/>
    <hyperlink r:id="rId1290" ref="V780"/>
    <hyperlink r:id="rId1291" ref="V781"/>
    <hyperlink r:id="rId1292" ref="V782"/>
    <hyperlink r:id="rId1293" ref="V783"/>
    <hyperlink r:id="rId1294" ref="V784"/>
    <hyperlink r:id="rId1295" ref="V785"/>
    <hyperlink r:id="rId1296" ref="V786"/>
    <hyperlink r:id="rId1297" ref="V787"/>
    <hyperlink r:id="rId1298" ref="V788"/>
    <hyperlink r:id="rId1299" ref="V789"/>
    <hyperlink r:id="rId1300" ref="V790"/>
    <hyperlink r:id="rId1301" ref="V791"/>
    <hyperlink r:id="rId1302" ref="V792"/>
    <hyperlink r:id="rId1303" ref="V793"/>
    <hyperlink r:id="rId1304" ref="V794"/>
    <hyperlink r:id="rId1305" ref="V795"/>
    <hyperlink r:id="rId1306" ref="V796"/>
    <hyperlink r:id="rId1307" ref="V797"/>
    <hyperlink r:id="rId1308" ref="V798"/>
    <hyperlink r:id="rId1309" ref="V799"/>
    <hyperlink r:id="rId1310" ref="V800"/>
    <hyperlink r:id="rId1311" ref="V802"/>
    <hyperlink r:id="rId1312" ref="V803"/>
    <hyperlink r:id="rId1313" ref="V804"/>
    <hyperlink r:id="rId1314" ref="V806"/>
    <hyperlink r:id="rId1315" ref="V807"/>
    <hyperlink r:id="rId1316" ref="V808"/>
    <hyperlink r:id="rId1317" ref="V809"/>
    <hyperlink r:id="rId1318" ref="V810"/>
    <hyperlink r:id="rId1319" ref="V811"/>
    <hyperlink r:id="rId1320" ref="V812"/>
    <hyperlink r:id="rId1321" ref="V813"/>
    <hyperlink r:id="rId1322" ref="V814"/>
    <hyperlink r:id="rId1323" ref="V815"/>
    <hyperlink r:id="rId1324" ref="V817"/>
    <hyperlink r:id="rId1325" ref="V818"/>
    <hyperlink r:id="rId1326" ref="V819"/>
    <hyperlink r:id="rId1327" ref="V820"/>
    <hyperlink r:id="rId1328" ref="V821"/>
    <hyperlink r:id="rId1329" ref="V822"/>
    <hyperlink r:id="rId1330" ref="V824"/>
    <hyperlink r:id="rId1331" ref="V825"/>
    <hyperlink r:id="rId1332" ref="V826"/>
    <hyperlink r:id="rId1333" ref="V827"/>
    <hyperlink r:id="rId1334" ref="V828"/>
    <hyperlink r:id="rId1335" ref="V829"/>
    <hyperlink r:id="rId1336" ref="V830"/>
    <hyperlink r:id="rId1337" ref="V831"/>
    <hyperlink r:id="rId1338" ref="V832"/>
    <hyperlink r:id="rId1339" ref="V833"/>
    <hyperlink r:id="rId1340" ref="V834"/>
    <hyperlink r:id="rId1341" ref="V835"/>
    <hyperlink r:id="rId1342" ref="V836"/>
    <hyperlink r:id="rId1343" ref="V837"/>
    <hyperlink r:id="rId1344" ref="V838"/>
    <hyperlink r:id="rId1345" ref="V839"/>
    <hyperlink r:id="rId1346" ref="V840"/>
    <hyperlink r:id="rId1347" ref="V841"/>
    <hyperlink r:id="rId1348" ref="V842"/>
    <hyperlink r:id="rId1349" ref="V843"/>
    <hyperlink r:id="rId1350" ref="V844"/>
    <hyperlink r:id="rId1351" ref="V845"/>
    <hyperlink r:id="rId1352" ref="V846"/>
    <hyperlink r:id="rId1353" ref="V847"/>
    <hyperlink r:id="rId1354" ref="V848"/>
    <hyperlink r:id="rId1355" ref="V849"/>
    <hyperlink r:id="rId1356" ref="V851"/>
    <hyperlink r:id="rId1357" ref="V852"/>
    <hyperlink r:id="rId1358" ref="V854"/>
    <hyperlink r:id="rId1359" ref="V855"/>
    <hyperlink r:id="rId1360" ref="V856"/>
    <hyperlink r:id="rId1361" ref="V857"/>
    <hyperlink r:id="rId1362" ref="V858"/>
    <hyperlink r:id="rId1363" ref="V859"/>
    <hyperlink r:id="rId1364" ref="V860"/>
    <hyperlink r:id="rId1365" ref="V861"/>
    <hyperlink r:id="rId1366" ref="V862"/>
    <hyperlink r:id="rId1367" ref="V863"/>
    <hyperlink r:id="rId1368" ref="V864"/>
    <hyperlink r:id="rId1369" ref="V865"/>
    <hyperlink r:id="rId1370" ref="V866"/>
    <hyperlink r:id="rId1371" ref="V867"/>
    <hyperlink r:id="rId1372" ref="V868"/>
    <hyperlink r:id="rId1373" ref="V870"/>
    <hyperlink r:id="rId1374" ref="V871"/>
    <hyperlink r:id="rId1375" ref="V872"/>
    <hyperlink r:id="rId1376" ref="V873"/>
    <hyperlink r:id="rId1377" ref="V874"/>
    <hyperlink r:id="rId1378" ref="V875"/>
    <hyperlink r:id="rId1379" ref="V876"/>
    <hyperlink r:id="rId1380" ref="V877"/>
    <hyperlink r:id="rId1381" ref="V878"/>
    <hyperlink r:id="rId1382" ref="V879"/>
    <hyperlink r:id="rId1383" ref="V880"/>
    <hyperlink r:id="rId1384" ref="V881"/>
    <hyperlink r:id="rId1385" ref="V882"/>
    <hyperlink r:id="rId1386" ref="V883"/>
    <hyperlink r:id="rId1387" ref="V884"/>
    <hyperlink r:id="rId1388" ref="V885"/>
    <hyperlink r:id="rId1389" ref="V886"/>
    <hyperlink r:id="rId1390" ref="V887"/>
    <hyperlink r:id="rId1391" ref="V888"/>
    <hyperlink r:id="rId1392" ref="V889"/>
    <hyperlink r:id="rId1393" ref="V890"/>
    <hyperlink r:id="rId1394" ref="V891"/>
    <hyperlink r:id="rId1395" ref="V892"/>
    <hyperlink r:id="rId1396" ref="V893"/>
    <hyperlink r:id="rId1397" ref="V894"/>
    <hyperlink r:id="rId1398" ref="V895"/>
    <hyperlink r:id="rId1399" ref="V896"/>
    <hyperlink r:id="rId1400" ref="V897"/>
    <hyperlink r:id="rId1401" ref="V898"/>
    <hyperlink r:id="rId1402" ref="V899"/>
    <hyperlink r:id="rId1403" ref="V900"/>
    <hyperlink r:id="rId1404" ref="V901"/>
    <hyperlink r:id="rId1405" ref="V902"/>
    <hyperlink r:id="rId1406" ref="V903"/>
    <hyperlink r:id="rId1407" ref="V904"/>
    <hyperlink r:id="rId1408" ref="V905"/>
    <hyperlink r:id="rId1409" ref="V906"/>
    <hyperlink r:id="rId1410" ref="V907"/>
    <hyperlink r:id="rId1411" ref="V908"/>
    <hyperlink r:id="rId1412" ref="V909"/>
    <hyperlink r:id="rId1413" ref="V910"/>
    <hyperlink r:id="rId1414" ref="V911"/>
    <hyperlink r:id="rId1415" ref="V912"/>
    <hyperlink r:id="rId1416" ref="V913"/>
    <hyperlink r:id="rId1417" ref="V914"/>
    <hyperlink r:id="rId1418" ref="V915"/>
    <hyperlink r:id="rId1419" ref="V916"/>
    <hyperlink r:id="rId1420" ref="V917"/>
    <hyperlink r:id="rId1421" ref="V918"/>
    <hyperlink r:id="rId1422" ref="V919"/>
    <hyperlink r:id="rId1423" ref="V920"/>
    <hyperlink r:id="rId1424" ref="V921"/>
    <hyperlink r:id="rId1425" ref="V922"/>
    <hyperlink r:id="rId1426" ref="V923"/>
  </hyperlinks>
  <drawing r:id="rId14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88"/>
    <col customWidth="1" min="2" max="2" width="9.13"/>
    <col customWidth="1" min="3" max="3" width="8.38"/>
    <col customWidth="1" min="4" max="4" width="7.13"/>
    <col customWidth="1" min="5" max="5" width="12.88"/>
    <col customWidth="1" min="6" max="6" width="9.75"/>
    <col customWidth="1" min="7" max="7" width="14.88"/>
    <col customWidth="1" min="8" max="8" width="11.25"/>
    <col customWidth="1" min="9" max="9" width="10.75"/>
    <col customWidth="1" min="10" max="10" width="14.88"/>
    <col customWidth="1" min="11" max="11" width="11.75"/>
    <col customWidth="1" min="12" max="12" width="9.63"/>
    <col customWidth="1" min="13" max="13" width="15.0"/>
    <col customWidth="1" min="14" max="14" width="9.75"/>
    <col customWidth="1" min="15" max="17" width="9.5"/>
    <col customWidth="1" min="18" max="19" width="9.63"/>
    <col customWidth="1" min="20" max="20" width="8.75"/>
    <col customWidth="1" min="21" max="22" width="10.0"/>
    <col customWidth="1" min="24" max="24" width="14.5"/>
    <col customWidth="1" min="25" max="25" width="10.5"/>
  </cols>
  <sheetData>
    <row r="1">
      <c r="A1" s="231"/>
      <c r="B1" s="232"/>
      <c r="C1" s="8">
        <f>SUM(C4:C312)</f>
        <v>890</v>
      </c>
      <c r="D1" s="8">
        <v>1.0</v>
      </c>
      <c r="E1" s="233">
        <v>2.0</v>
      </c>
      <c r="F1" s="233">
        <v>3.0</v>
      </c>
      <c r="G1" s="8">
        <v>4.0</v>
      </c>
      <c r="H1" s="233">
        <v>5.0</v>
      </c>
      <c r="I1" s="233">
        <v>6.0</v>
      </c>
      <c r="J1" s="8">
        <v>7.0</v>
      </c>
      <c r="K1" s="233">
        <v>8.0</v>
      </c>
      <c r="L1" s="233">
        <v>9.0</v>
      </c>
      <c r="M1" s="8">
        <v>10.0</v>
      </c>
      <c r="N1" s="233">
        <v>11.0</v>
      </c>
      <c r="O1" s="233">
        <v>12.0</v>
      </c>
      <c r="P1" s="8">
        <v>13.0</v>
      </c>
      <c r="Q1" s="233">
        <v>14.0</v>
      </c>
      <c r="R1" s="233">
        <v>15.0</v>
      </c>
      <c r="S1" s="8">
        <v>16.0</v>
      </c>
      <c r="T1" s="233">
        <v>17.0</v>
      </c>
      <c r="U1" s="233">
        <v>18.0</v>
      </c>
      <c r="V1" s="8">
        <v>19.0</v>
      </c>
      <c r="W1" s="8"/>
      <c r="Z1" s="10">
        <f>SUM(Z4:Z312)</f>
        <v>824</v>
      </c>
    </row>
    <row r="2">
      <c r="A2" s="8"/>
      <c r="B2" s="232"/>
      <c r="C2" s="8"/>
      <c r="D2" s="8"/>
      <c r="E2" s="233" t="s">
        <v>4470</v>
      </c>
      <c r="H2" s="233" t="s">
        <v>2781</v>
      </c>
      <c r="K2" s="233" t="s">
        <v>2777</v>
      </c>
      <c r="N2" s="233" t="s">
        <v>4471</v>
      </c>
      <c r="Q2" s="233" t="s">
        <v>4472</v>
      </c>
      <c r="T2" s="233" t="s">
        <v>4473</v>
      </c>
      <c r="W2" s="8"/>
    </row>
    <row r="3">
      <c r="A3" s="234" t="s">
        <v>4474</v>
      </c>
      <c r="B3" s="232" t="s">
        <v>4475</v>
      </c>
      <c r="C3" s="234" t="s">
        <v>4476</v>
      </c>
      <c r="D3" s="234" t="s">
        <v>4477</v>
      </c>
      <c r="E3" s="235" t="s">
        <v>4478</v>
      </c>
      <c r="F3" s="236" t="s">
        <v>4479</v>
      </c>
      <c r="G3" s="237" t="s">
        <v>4480</v>
      </c>
      <c r="H3" s="235" t="s">
        <v>4481</v>
      </c>
      <c r="I3" s="236" t="s">
        <v>4482</v>
      </c>
      <c r="J3" s="237" t="s">
        <v>4483</v>
      </c>
      <c r="K3" s="235" t="s">
        <v>4484</v>
      </c>
      <c r="L3" s="236" t="s">
        <v>4485</v>
      </c>
      <c r="M3" s="237" t="s">
        <v>4486</v>
      </c>
      <c r="N3" s="235" t="s">
        <v>4487</v>
      </c>
      <c r="O3" s="236" t="s">
        <v>4488</v>
      </c>
      <c r="P3" s="237" t="s">
        <v>4489</v>
      </c>
      <c r="Q3" s="235" t="s">
        <v>4490</v>
      </c>
      <c r="R3" s="236" t="s">
        <v>4491</v>
      </c>
      <c r="S3" s="237" t="s">
        <v>4492</v>
      </c>
      <c r="T3" s="235" t="s">
        <v>4493</v>
      </c>
      <c r="U3" s="236" t="s">
        <v>4494</v>
      </c>
      <c r="V3" s="237" t="s">
        <v>4495</v>
      </c>
      <c r="W3" s="234" t="s">
        <v>4496</v>
      </c>
      <c r="X3" s="234" t="s">
        <v>4497</v>
      </c>
      <c r="Y3" s="234" t="s">
        <v>4498</v>
      </c>
      <c r="Z3" s="238"/>
      <c r="AA3" s="234" t="s">
        <v>4499</v>
      </c>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c r="BB3" s="238"/>
      <c r="BC3" s="238"/>
      <c r="BD3" s="238"/>
      <c r="BE3" s="238"/>
      <c r="BF3" s="238"/>
      <c r="BG3" s="238"/>
      <c r="BH3" s="238"/>
      <c r="BI3" s="238"/>
      <c r="BJ3" s="238"/>
      <c r="BK3" s="238"/>
      <c r="BL3" s="238"/>
      <c r="BM3" s="238"/>
    </row>
    <row r="4">
      <c r="A4" s="8" t="str">
        <f>VLOOKUP($D4,Sheet6!$B:$G,5,FALSE)</f>
        <v>Lahore</v>
      </c>
      <c r="B4" s="232" t="str">
        <f>VLOOKUP($D4,Sheet6!$B:$G,4,FALSE)</f>
        <v>Women Religious Info Share</v>
      </c>
      <c r="C4" s="8">
        <v>3.0</v>
      </c>
      <c r="D4" s="8" t="s">
        <v>1274</v>
      </c>
      <c r="E4" s="239" t="str">
        <f>IFERROR(__xludf.DUMMYFUNCTION("IFERROR(
  INDEX(
    FILTER(
      Recording!$U:$U,
      TRIM(CLEAN(TEXT(Recording!$E:$E, ""@""))) = TRIM(CLEAN(TEXT($D4, ""@""))),
      Recording!$AA:$AA = 1
    ),
    1
  ),
  ""Not Found""
)
"),"https://drive.google.com/open?id=1VL0Zqf8wXGt4tdaLBxJacFsZxlFn_mjy")</f>
        <v>https://drive.google.com/open?id=1VL0Zqf8wXGt4tdaLBxJacFsZxlFn_mjy</v>
      </c>
      <c r="F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 *
        (IMPORTRANGE(""https://docs.google.com/spreadsheets/d/161aHT6vVT3SLneTKD19N5qVWtnj_jIT8CSsOmUVKmaA/e"&amp;"dit?gid=1761053510"",
          ""Haris_Form responses 1!$AQ:$AQ"")=1)
      ),
      1
    ),
    ""0""
  ),
  ""Form not found""
)
"),"1")</f>
        <v>1</v>
      </c>
      <c r="G4" s="241" t="str">
        <f>IFERROR(__xludf.DUMMYFUNCTION("IFERROR(
  INDEX(
    FILTER(
      Transcription!$AJ:$AJ,
      TRIM(CLEAN(TEXT(Transcription!$F:$F, ""@""))) = TRIM(CLEAN(TEXT($D4, ""@""))),
      Transcription!$AO:$AO = 1
    ),
    1
  ),
  ""Not Found""
)
"),"https://drive.google.com/open?id=1ns2YtbbOJyreAUER_MSBz-YGsv2IgZYw")</f>
        <v>https://drive.google.com/open?id=1ns2YtbbOJyreAUER_MSBz-YGsv2IgZYw</v>
      </c>
      <c r="H4" s="239" t="str">
        <f>IFERROR(__xludf.DUMMYFUNCTION("IFERROR(
  INDEX(
    FILTER(
      Recording!$U:$U,
      TRIM(CLEAN(TEXT(Recording!$E:$E, ""@""))) = TRIM(CLEAN(TEXT($D4, ""@""))),
      Recording!$AA:$AA = 2
    ),
    1
  ),
  ""Not Found""
)
"),"https://drive.google.com/open?id=1IbLr7uhuNkb1eCBCmaa2HZoHrxZ5AuY0")</f>
        <v>https://drive.google.com/open?id=1IbLr7uhuNkb1eCBCmaa2HZoHrxZ5AuY0</v>
      </c>
      <c r="I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 *
        (IMPORTRANGE(""https://docs.google.com/spreadsheets/d/161aHT6vVT3SLneTKD19N5qVWtnj_jIT8CSsOmUVKmaA/e"&amp;"dit?gid=1761053510"",
          ""Haris_Form responses 1!$AQ:$AQ"")=2)
      ),
      1
    ),
    ""0""
  ),
  ""Form not found""
)
"),"2")</f>
        <v>2</v>
      </c>
      <c r="J4" s="241" t="str">
        <f>IFERROR(__xludf.DUMMYFUNCTION("IFERROR(
  INDEX(
    FILTER(
      Transcription!$AJ:$AJ,
      TRIM(CLEAN(TEXT(Transcription!$F:$F, ""@""))) = TRIM(CLEAN(TEXT($D4, ""@""))),
      Transcription!$AO:$AO = 2
    ),
    1
  ),
  ""Not Found""
)
"),"https://drive.google.com/open?id=1iFiJ-_kR4AZmmaPpzNfZNecY3g6aFUPc")</f>
        <v>https://drive.google.com/open?id=1iFiJ-_kR4AZmmaPpzNfZNecY3g6aFUPc</v>
      </c>
      <c r="K4" s="239" t="str">
        <f>IFERROR(__xludf.DUMMYFUNCTION("IFERROR(
  INDEX(
    FILTER(
      Recording!$U:$U,
      TRIM(CLEAN(TEXT(Recording!$E:$E, ""@""))) = TRIM(CLEAN(TEXT($D4, ""@""))),
      Recording!$AA:$AA = 3
    ),
    1
  ),
  ""Not Found""
)
"),"https://drive.google.com/open?id=1Zc4gwY5jGyX1W4gpeh8pYagIFjo7kMmB")</f>
        <v>https://drive.google.com/open?id=1Zc4gwY5jGyX1W4gpeh8pYagIFjo7kMmB</v>
      </c>
      <c r="L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 *
        (IMPORTRANGE(""https://docs.google.com/spreadsheets/d/161aHT6vVT3SLneTKD19N5qVWtnj_jIT8CSsOmUVKmaA/e"&amp;"dit?gid=1761053510"",
          ""Haris_Form responses 1!$AQ:$AQ"")=3)
      ),
      1
    ),
    ""0""
  ),
  ""Form not found""
)
"),"3")</f>
        <v>3</v>
      </c>
      <c r="M4" s="241" t="str">
        <f>IFERROR(__xludf.DUMMYFUNCTION("IFERROR(
  INDEX(
    FILTER(
      Transcription!$AJ:$AJ,
      TRIM(CLEAN(TEXT(Transcription!$F:$F, ""@""))) = TRIM(CLEAN(TEXT($D4, ""@""))),
      Transcription!$AO:$AO = 3
    ),
    1
  ),
  ""Not Found""
)
"),"https://drive.google.com/open?id=1rR3Mk0AidOQRV76-iPE8y_MfFIB6swKX")</f>
        <v>https://drive.google.com/open?id=1rR3Mk0AidOQRV76-iPE8y_MfFIB6swKX</v>
      </c>
      <c r="N4" s="242" t="str">
        <f>IFERROR(__xludf.DUMMYFUNCTION("IFERROR(
  INDEX(
    FILTER(
      Recording!$U:$U,
      TRIM(CLEAN(TEXT(Recording!$E:$E, ""@""))) = TRIM(CLEAN(TEXT($D4, ""@""))),
      Recording!$AA:$AA = 4
    ),
    1
  ),
  ""Not Found""
)
"),"Not Found")</f>
        <v>Not Found</v>
      </c>
      <c r="O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 *
        (IMPORTRANGE(""https://docs.google.com/spreadsheets/d/161aHT6vVT3SLneTKD19N5qVWtnj_jIT8CSsOmUVKmaA/e"&amp;"dit?gid=1761053510"",
          ""Haris_Form responses 1!$AQ:$AQ"")=4)
      ),
      1
    ),
    ""0""
  ),
  ""Form not found""
)
"),"Form not found")</f>
        <v>Form not found</v>
      </c>
      <c r="P4" s="243" t="str">
        <f>IFERROR(__xludf.DUMMYFUNCTION("IFERROR(
  INDEX(
    FILTER(
      Transcription!$AJ:$AJ,
      TRIM(CLEAN(TEXT(Transcription!$F:$F, ""@""))) = TRIM(CLEAN(TEXT($D4, ""@""))),
      Transcription!$AO:$AO = 4
    ),
    1
  ),
  ""Not Found""
)
"),"Not Found")</f>
        <v>Not Found</v>
      </c>
      <c r="Q4" s="242" t="str">
        <f>IFERROR(__xludf.DUMMYFUNCTION("IFERROR(
  INDEX(
    FILTER(
      Recording!$U:$U,
      TRIM(CLEAN(TEXT(Recording!$E:$E, ""@""))) = TRIM(CLEAN(TEXT($D4, ""@""))),
      Recording!$AA:$AA = 5
    ),
    1
  ),
  ""Not Found""
)
"),"Not Found")</f>
        <v>Not Found</v>
      </c>
      <c r="R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 *
        (IMPORTRANGE(""https://docs.google.com/spreadsheets/d/161aHT6vVT3SLneTKD19N5qVWtnj_jIT8CSsOmUVKmaA/e"&amp;"dit?gid=1761053510"",
          ""Haris_Form responses 1!$AQ:$AQ"")=5)
      ),
      1
    ),
    ""0""
  ),
  ""Form not found""
)
"),"Form not found")</f>
        <v>Form not found</v>
      </c>
      <c r="S4" s="243" t="str">
        <f>IFERROR(__xludf.DUMMYFUNCTION("IFERROR(
  INDEX(
    FILTER(
      Transcription!$AJ:$AJ,
      TRIM(CLEAN(TEXT(Transcription!$F:$F, ""@""))) = TRIM(CLEAN(TEXT($D4, ""@""))),
      Transcription!$AO:$AO = 5
    ),
    1
  ),
  ""Not Found""
)
"),"Not Found")</f>
        <v>Not Found</v>
      </c>
      <c r="T4" s="240" t="str">
        <f>IFERROR(__xludf.DUMMYFUNCTION("IFERROR(
  INDEX(
    FILTER(
      Recording!$U:$U,
      TRIM(CLEAN(TEXT(Recording!$E:$E, ""@""))) = TRIM(CLEAN(TEXT($D4, ""@""))),
      Recording!$AA:$AA = 6
    ),
    1
  ),
  ""Not Found""
)
"),"Not Found")</f>
        <v>Not Found</v>
      </c>
      <c r="U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 *
        (IMPORTRANGE(""https://docs.google.com/spreadsheets/d/161aHT6vVT3SLneTKD19N5qVWtnj_jIT8CSsOmUVKmaA/e"&amp;"dit?gid=1761053510"",
          ""Haris_Form responses 1!$AQ:$AQ"")=6)
      ),
      1
    ),
    ""0""
  ),
  ""Form not found""
)
"),"Form not found")</f>
        <v>Form not found</v>
      </c>
      <c r="V4" s="243" t="str">
        <f>IFERROR(__xludf.DUMMYFUNCTION("IFERROR(
  INDEX(
    FILTER(
      Transcription!$AJ:$AJ,
      TRIM(CLEAN(TEXT(Transcription!$F:$F, ""@""))) = TRIM(CLEAN(TEXT($D4, ""@""))),
      Transcription!$AO:$AO = 6
    ),
    1
  ),
  ""Not Found""
)
"),"Not Found")</f>
        <v>Not Found</v>
      </c>
      <c r="X4" s="8" t="s">
        <v>4500</v>
      </c>
      <c r="Z4" s="10">
        <f t="shared" ref="Z4:Z292" si="1">COUNTIF(E4,"*http*")
+COUNTIF(H4,"*http*")
+COUNTIF(K4,"*http*")
+COUNTIF(N4,"*http*")
+COUNTIF(Q4,"*http*")
+COUNTIF(T4,"*http*")
</f>
        <v>3</v>
      </c>
      <c r="AA4" s="10">
        <f t="shared" ref="AA4:AA312" si="2">Z4-C4</f>
        <v>0</v>
      </c>
    </row>
    <row r="5">
      <c r="A5" s="8" t="str">
        <f>VLOOKUP($D5,Sheet6!$B:$G,5,FALSE)</f>
        <v>Lahore</v>
      </c>
      <c r="B5" s="232" t="str">
        <f>VLOOKUP($D5,Sheet6!$B:$G,4,FALSE)</f>
        <v>Community Religious Info Share</v>
      </c>
      <c r="C5" s="8">
        <v>3.0</v>
      </c>
      <c r="D5" s="8" t="s">
        <v>4501</v>
      </c>
      <c r="E5" s="244" t="str">
        <f>IFERROR(__xludf.DUMMYFUNCTION("IFERROR(
  INDEX(
    FILTER(
      Recording!$U:$U,
      TRIM(CLEAN(TEXT(Recording!$E:$E, ""@""))) = TRIM(CLEAN(TEXT($D5, ""@""))),
      Recording!$AA:$AA = 1
    ),
    1
  ),
  ""Not Found""
)
"),"https://drive.google.com/open?id=1L7wX4_HQWYqVKifBsaF9rGJuiTqSpFh3")</f>
        <v>https://drive.google.com/open?id=1L7wX4_HQWYqVKifBsaF9rGJuiTqSpFh3</v>
      </c>
      <c r="F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 *
        (IMPORTRANGE(""https://docs.google.com/spreadsheets/d/161aHT6vVT3SLneTKD19N5qVWtnj_jIT8CSsOmUVKmaA/e"&amp;"dit?gid=1761053510"",
          ""Haris_Form responses 1!$AQ:$AQ"")=1)
      ),
      1
    ),
    ""0""
  ),
  ""Form not found""
)
"),"1")</f>
        <v>1</v>
      </c>
      <c r="G5" s="245" t="str">
        <f>IFERROR(__xludf.DUMMYFUNCTION("IFERROR(
  INDEX(
    FILTER(
      Transcription!$AJ:$AJ,
      TRIM(CLEAN(TEXT(Transcription!$F:$F, ""@""))) = TRIM(CLEAN(TEXT($D5, ""@""))),
      Transcription!$AO:$AO = 1
    ),
    1
  ),
  ""Not Found""
)
"),"https://drive.google.com/open?id=1nHvEtwO7qgTGX4k8iwxCjvoxFPfcmvzx")</f>
        <v>https://drive.google.com/open?id=1nHvEtwO7qgTGX4k8iwxCjvoxFPfcmvzx</v>
      </c>
      <c r="H5" s="244" t="str">
        <f>IFERROR(__xludf.DUMMYFUNCTION("IFERROR(
  INDEX(
    FILTER(
      Recording!$U:$U,
      TRIM(CLEAN(TEXT(Recording!$E:$E, ""@""))) = TRIM(CLEAN(TEXT($D5, ""@""))),
      Recording!$AA:$AA = 2
    ),
    1
  ),
  ""Not Found""
)
"),"https://drive.google.com/open?id=1iSBYCO7Vcul7mApUbalVju-7IQ_O-XVm")</f>
        <v>https://drive.google.com/open?id=1iSBYCO7Vcul7mApUbalVju-7IQ_O-XVm</v>
      </c>
      <c r="I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 *
        (IMPORTRANGE(""https://docs.google.com/spreadsheets/d/161aHT6vVT3SLneTKD19N5qVWtnj_jIT8CSsOmUVKmaA/e"&amp;"dit?gid=1761053510"",
          ""Haris_Form responses 1!$AQ:$AQ"")=2)
      ),
      1
    ),
    ""0""
  ),
  ""Form not found""
)
"),"2")</f>
        <v>2</v>
      </c>
      <c r="J5" s="245" t="str">
        <f>IFERROR(__xludf.DUMMYFUNCTION("IFERROR(
  INDEX(
    FILTER(
      Transcription!$AJ:$AJ,
      TRIM(CLEAN(TEXT(Transcription!$F:$F, ""@""))) = TRIM(CLEAN(TEXT($D5, ""@""))),
      Transcription!$AO:$AO = 2
    ),
    1
  ),
  ""Not Found""
)
"),"https://drive.google.com/open?id=1yEMuLrycHklyiqRqTixGGMTyKUIQwfi0")</f>
        <v>https://drive.google.com/open?id=1yEMuLrycHklyiqRqTixGGMTyKUIQwfi0</v>
      </c>
      <c r="K5" s="244" t="str">
        <f>IFERROR(__xludf.DUMMYFUNCTION("IFERROR(
  INDEX(
    FILTER(
      Recording!$U:$U,
      TRIM(CLEAN(TEXT(Recording!$E:$E, ""@""))) = TRIM(CLEAN(TEXT($D5, ""@""))),
      Recording!$AA:$AA = 3
    ),
    1
  ),
  ""Not Found""
)
"),"https://drive.google.com/open?id=1BqXzbxVRL7RAEj8StbNN7A6FYYOpG5-m")</f>
        <v>https://drive.google.com/open?id=1BqXzbxVRL7RAEj8StbNN7A6FYYOpG5-m</v>
      </c>
      <c r="L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 *
        (IMPORTRANGE(""https://docs.google.com/spreadsheets/d/161aHT6vVT3SLneTKD19N5qVWtnj_jIT8CSsOmUVKmaA/e"&amp;"dit?gid=1761053510"",
          ""Haris_Form responses 1!$AQ:$AQ"")=3)
      ),
      1
    ),
    ""0""
  ),
  ""Form not found""
)
"),"3")</f>
        <v>3</v>
      </c>
      <c r="M5" s="245" t="str">
        <f>IFERROR(__xludf.DUMMYFUNCTION("IFERROR(
  INDEX(
    FILTER(
      Transcription!$AJ:$AJ,
      TRIM(CLEAN(TEXT(Transcription!$F:$F, ""@""))) = TRIM(CLEAN(TEXT($D5, ""@""))),
      Transcription!$AO:$AO = 3
    ),
    1
  ),
  ""Not Found""
)
"),"https://drive.google.com/open?id=1sncYxqQEqDaNZyd6kbB4hrAUCzVJrsa7")</f>
        <v>https://drive.google.com/open?id=1sncYxqQEqDaNZyd6kbB4hrAUCzVJrsa7</v>
      </c>
      <c r="N5" s="246" t="str">
        <f>IFERROR(__xludf.DUMMYFUNCTION("IFERROR(
  INDEX(
    FILTER(
      Recording!$U:$U,
      TRIM(CLEAN(TEXT(Recording!$E:$E, ""@""))) = TRIM(CLEAN(TEXT($D5, ""@""))),
      Recording!$AA:$AA = 4
    ),
    1
  ),
  ""Not Found""
)
"),"Not Found")</f>
        <v>Not Found</v>
      </c>
      <c r="O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 *
        (IMPORTRANGE(""https://docs.google.com/spreadsheets/d/161aHT6vVT3SLneTKD19N5qVWtnj_jIT8CSsOmUVKmaA/e"&amp;"dit?gid=1761053510"",
          ""Haris_Form responses 1!$AQ:$AQ"")=4)
      ),
      1
    ),
    ""0""
  ),
  ""Form not found""
)
"),"Form not found")</f>
        <v>Form not found</v>
      </c>
      <c r="P5" s="247" t="str">
        <f>IFERROR(__xludf.DUMMYFUNCTION("IFERROR(
  INDEX(
    FILTER(
      Transcription!$AJ:$AJ,
      TRIM(CLEAN(TEXT(Transcription!$F:$F, ""@""))) = TRIM(CLEAN(TEXT($D5, ""@""))),
      Transcription!$AO:$AO = 4
    ),
    1
  ),
  ""Not Found""
)
"),"Not Found")</f>
        <v>Not Found</v>
      </c>
      <c r="Q5" s="246" t="str">
        <f>IFERROR(__xludf.DUMMYFUNCTION("IFERROR(
  INDEX(
    FILTER(
      Recording!$U:$U,
      TRIM(CLEAN(TEXT(Recording!$E:$E, ""@""))) = TRIM(CLEAN(TEXT($D5, ""@""))),
      Recording!$AA:$AA = 5
    ),
    1
  ),
  ""Not Found""
)
"),"Not Found")</f>
        <v>Not Found</v>
      </c>
      <c r="R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 *
        (IMPORTRANGE(""https://docs.google.com/spreadsheets/d/161aHT6vVT3SLneTKD19N5qVWtnj_jIT8CSsOmUVKmaA/e"&amp;"dit?gid=1761053510"",
          ""Haris_Form responses 1!$AQ:$AQ"")=5)
      ),
      1
    ),
    ""0""
  ),
  ""Form not found""
)
"),"Form not found")</f>
        <v>Form not found</v>
      </c>
      <c r="S5" s="247" t="str">
        <f>IFERROR(__xludf.DUMMYFUNCTION("IFERROR(
  INDEX(
    FILTER(
      Transcription!$AJ:$AJ,
      TRIM(CLEAN(TEXT(Transcription!$F:$F, ""@""))) = TRIM(CLEAN(TEXT($D5, ""@""))),
      Transcription!$AO:$AO = 5
    ),
    1
  ),
  ""Not Found""
)
"),"Not Found")</f>
        <v>Not Found</v>
      </c>
      <c r="T5" s="248" t="str">
        <f>IFERROR(__xludf.DUMMYFUNCTION("IFERROR(
  INDEX(
    FILTER(
      Recording!$U:$U,
      TRIM(CLEAN(TEXT(Recording!$E:$E, ""@""))) = TRIM(CLEAN(TEXT($D5, ""@""))),
      Recording!$AA:$AA = 6
    ),
    1
  ),
  ""Not Found""
)
"),"Not Found")</f>
        <v>Not Found</v>
      </c>
      <c r="U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 *
        (IMPORTRANGE(""https://docs.google.com/spreadsheets/d/161aHT6vVT3SLneTKD19N5qVWtnj_jIT8CSsOmUVKmaA/e"&amp;"dit?gid=1761053510"",
          ""Haris_Form responses 1!$AQ:$AQ"")=6)
      ),
      1
    ),
    ""0""
  ),
  ""Form not found""
)
"),"Form not found")</f>
        <v>Form not found</v>
      </c>
      <c r="V5" s="247" t="str">
        <f>IFERROR(__xludf.DUMMYFUNCTION("IFERROR(
  INDEX(
    FILTER(
      Transcription!$AJ:$AJ,
      TRIM(CLEAN(TEXT(Transcription!$F:$F, ""@""))) = TRIM(CLEAN(TEXT($D5, ""@""))),
      Transcription!$AO:$AO = 6
    ),
    1
  ),
  ""Not Found""
)
"),"Not Found")</f>
        <v>Not Found</v>
      </c>
      <c r="Z5" s="10">
        <f t="shared" si="1"/>
        <v>3</v>
      </c>
      <c r="AA5" s="10">
        <f t="shared" si="2"/>
        <v>0</v>
      </c>
    </row>
    <row r="6">
      <c r="A6" s="8" t="str">
        <f>VLOOKUP($D6,Sheet6!$B:$G,5,FALSE)</f>
        <v>Lahore</v>
      </c>
      <c r="B6" s="232" t="str">
        <f>VLOOKUP($D6,Sheet6!$B:$G,4,FALSE)</f>
        <v>Control</v>
      </c>
      <c r="C6" s="8">
        <v>2.0</v>
      </c>
      <c r="D6" s="8" t="s">
        <v>1339</v>
      </c>
      <c r="E6" s="244" t="str">
        <f>IFERROR(__xludf.DUMMYFUNCTION("IFERROR(
  INDEX(
    FILTER(
      Recording!$U:$U,
      TRIM(CLEAN(TEXT(Recording!$E:$E, ""@""))) = TRIM(CLEAN(TEXT($D6, ""@""))),
      Recording!$AA:$AA = 1
    ),
    1
  ),
  ""Not Found""
)
"),"https://drive.google.com/open?id=1RcW7-oCuoZ7r0-TavCG2R-Srtk6WIv2w")</f>
        <v>https://drive.google.com/open?id=1RcW7-oCuoZ7r0-TavCG2R-Srtk6WIv2w</v>
      </c>
      <c r="F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 *
        (IMPORTRANGE(""https://docs.google.com/spreadsheets/d/161aHT6vVT3SLneTKD19N5qVWtnj_jIT8CSsOmUVKmaA/e"&amp;"dit?gid=1761053510"",
          ""Haris_Form responses 1!$AQ:$AQ"")=1)
      ),
      1
    ),
    ""0""
  ),
  ""Form not found""
)
"),"1")</f>
        <v>1</v>
      </c>
      <c r="G6" s="245" t="str">
        <f>IFERROR(__xludf.DUMMYFUNCTION("IFERROR(
  INDEX(
    FILTER(
      Transcription!$AJ:$AJ,
      TRIM(CLEAN(TEXT(Transcription!$F:$F, ""@""))) = TRIM(CLEAN(TEXT($D6, ""@""))),
      Transcription!$AO:$AO = 1
    ),
    1
  ),
  ""Not Found""
)
"),"https://drive.google.com/open?id=1gqKo-0j9qJLx7zLlA_Ae_8BfQt4CUhpT")</f>
        <v>https://drive.google.com/open?id=1gqKo-0j9qJLx7zLlA_Ae_8BfQt4CUhpT</v>
      </c>
      <c r="H6" s="246" t="str">
        <f>IFERROR(__xludf.DUMMYFUNCTION("IFERROR(
  INDEX(
    FILTER(
      Recording!$U:$U,
      TRIM(CLEAN(TEXT(Recording!$E:$E, ""@""))) = TRIM(CLEAN(TEXT($D6, ""@""))),
      Recording!$AA:$AA = 2
    ),
    1
  ),
  ""Not Found""
)
"),"Not Found")</f>
        <v>Not Found</v>
      </c>
      <c r="I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 *
        (IMPORTRANGE(""https://docs.google.com/spreadsheets/d/161aHT6vVT3SLneTKD19N5qVWtnj_jIT8CSsOmUVKmaA/e"&amp;"dit?gid=1761053510"",
          ""Haris_Form responses 1!$AQ:$AQ"")=2)
      ),
      1
    ),
    ""0""
  ),
  ""Form not found""
)
"),"Form not found")</f>
        <v>Form not found</v>
      </c>
      <c r="J6" s="247" t="str">
        <f>IFERROR(__xludf.DUMMYFUNCTION("IFERROR(
  INDEX(
    FILTER(
      Transcription!$AJ:$AJ,
      TRIM(CLEAN(TEXT(Transcription!$F:$F, ""@""))) = TRIM(CLEAN(TEXT($D6, ""@""))),
      Transcription!$AO:$AO = 2
    ),
    1
  ),
  ""Not Found""
)
"),"Not Found")</f>
        <v>Not Found</v>
      </c>
      <c r="K6" s="244" t="str">
        <f>IFERROR(__xludf.DUMMYFUNCTION("IFERROR(
  INDEX(
    FILTER(
      Recording!$U:$U,
      TRIM(CLEAN(TEXT(Recording!$E:$E, ""@""))) = TRIM(CLEAN(TEXT($D6, ""@""))),
      Recording!$AA:$AA = 3
    ),
    1
  ),
  ""Not Found""
)
"),"https://drive.google.com/open?id=15qd3A3eppIx9uk8Rlku9ZcL765ru7Ji6")</f>
        <v>https://drive.google.com/open?id=15qd3A3eppIx9uk8Rlku9ZcL765ru7Ji6</v>
      </c>
      <c r="L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 *
        (IMPORTRANGE(""https://docs.google.com/spreadsheets/d/161aHT6vVT3SLneTKD19N5qVWtnj_jIT8CSsOmUVKmaA/e"&amp;"dit?gid=1761053510"",
          ""Haris_Form responses 1!$AQ:$AQ"")=3)
      ),
      1
    ),
    ""0""
  ),
  ""Form not found""
)
"),"3")</f>
        <v>3</v>
      </c>
      <c r="M6" s="245" t="str">
        <f>IFERROR(__xludf.DUMMYFUNCTION("IFERROR(
  INDEX(
    FILTER(
      Transcription!$AJ:$AJ,
      TRIM(CLEAN(TEXT(Transcription!$F:$F, ""@""))) = TRIM(CLEAN(TEXT($D6, ""@""))),
      Transcription!$AO:$AO = 3
    ),
    1
  ),
  ""Not Found""
)
"),"https://drive.google.com/open?id=1tejVE87sSmdlnvWvwkPhc3qCuZdYG3cD")</f>
        <v>https://drive.google.com/open?id=1tejVE87sSmdlnvWvwkPhc3qCuZdYG3cD</v>
      </c>
      <c r="N6" s="246" t="str">
        <f>IFERROR(__xludf.DUMMYFUNCTION("IFERROR(
  INDEX(
    FILTER(
      Recording!$U:$U,
      TRIM(CLEAN(TEXT(Recording!$E:$E, ""@""))) = TRIM(CLEAN(TEXT($D6, ""@""))),
      Recording!$AA:$AA = 4
    ),
    1
  ),
  ""Not Found""
)
"),"Not Found")</f>
        <v>Not Found</v>
      </c>
      <c r="O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 *
        (IMPORTRANGE(""https://docs.google.com/spreadsheets/d/161aHT6vVT3SLneTKD19N5qVWtnj_jIT8CSsOmUVKmaA/e"&amp;"dit?gid=1761053510"",
          ""Haris_Form responses 1!$AQ:$AQ"")=4)
      ),
      1
    ),
    ""0""
  ),
  ""Form not found""
)
"),"Form not found")</f>
        <v>Form not found</v>
      </c>
      <c r="P6" s="247" t="str">
        <f>IFERROR(__xludf.DUMMYFUNCTION("IFERROR(
  INDEX(
    FILTER(
      Transcription!$AJ:$AJ,
      TRIM(CLEAN(TEXT(Transcription!$F:$F, ""@""))) = TRIM(CLEAN(TEXT($D6, ""@""))),
      Transcription!$AO:$AO = 4
    ),
    1
  ),
  ""Not Found""
)
"),"Not Found")</f>
        <v>Not Found</v>
      </c>
      <c r="Q6" s="246" t="str">
        <f>IFERROR(__xludf.DUMMYFUNCTION("IFERROR(
  INDEX(
    FILTER(
      Recording!$U:$U,
      TRIM(CLEAN(TEXT(Recording!$E:$E, ""@""))) = TRIM(CLEAN(TEXT($D6, ""@""))),
      Recording!$AA:$AA = 5
    ),
    1
  ),
  ""Not Found""
)
"),"Not Found")</f>
        <v>Not Found</v>
      </c>
      <c r="R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 *
        (IMPORTRANGE(""https://docs.google.com/spreadsheets/d/161aHT6vVT3SLneTKD19N5qVWtnj_jIT8CSsOmUVKmaA/e"&amp;"dit?gid=1761053510"",
          ""Haris_Form responses 1!$AQ:$AQ"")=5)
      ),
      1
    ),
    ""0""
  ),
  ""Form not found""
)
"),"Form not found")</f>
        <v>Form not found</v>
      </c>
      <c r="S6" s="247" t="str">
        <f>IFERROR(__xludf.DUMMYFUNCTION("IFERROR(
  INDEX(
    FILTER(
      Transcription!$AJ:$AJ,
      TRIM(CLEAN(TEXT(Transcription!$F:$F, ""@""))) = TRIM(CLEAN(TEXT($D6, ""@""))),
      Transcription!$AO:$AO = 5
    ),
    1
  ),
  ""Not Found""
)
"),"Not Found")</f>
        <v>Not Found</v>
      </c>
      <c r="T6" s="246" t="str">
        <f>IFERROR(__xludf.DUMMYFUNCTION("IFERROR(
  INDEX(
    FILTER(
      Recording!$U:$U,
      TRIM(CLEAN(TEXT(Recording!$E:$E, ""@""))) = TRIM(CLEAN(TEXT($D6, ""@""))),
      Recording!$AA:$AA = 6
    ),
    1
  ),
  ""Not Found""
)
"),"Not Found")</f>
        <v>Not Found</v>
      </c>
      <c r="U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 *
        (IMPORTRANGE(""https://docs.google.com/spreadsheets/d/161aHT6vVT3SLneTKD19N5qVWtnj_jIT8CSsOmUVKmaA/e"&amp;"dit?gid=1761053510"",
          ""Haris_Form responses 1!$AQ:$AQ"")=6)
      ),
      1
    ),
    ""0""
  ),
  ""Form not found""
)
"),"Form not found")</f>
        <v>Form not found</v>
      </c>
      <c r="V6" s="247" t="str">
        <f>IFERROR(__xludf.DUMMYFUNCTION("IFERROR(
  INDEX(
    FILTER(
      Transcription!$AJ:$AJ,
      TRIM(CLEAN(TEXT(Transcription!$F:$F, ""@""))) = TRIM(CLEAN(TEXT($D6, ""@""))),
      Transcription!$AO:$AO = 6
    ),
    1
  ),
  ""Not Found""
)
"),"Not Found")</f>
        <v>Not Found</v>
      </c>
      <c r="X6" s="8" t="s">
        <v>4502</v>
      </c>
      <c r="Z6" s="10">
        <f t="shared" si="1"/>
        <v>2</v>
      </c>
      <c r="AA6" s="10">
        <f t="shared" si="2"/>
        <v>0</v>
      </c>
    </row>
    <row r="7">
      <c r="A7" s="8" t="str">
        <f>VLOOKUP($D7,Sheet6!$B:$G,5,FALSE)</f>
        <v>Lahore</v>
      </c>
      <c r="B7" s="232" t="str">
        <f>VLOOKUP($D7,Sheet6!$B:$G,4,FALSE)</f>
        <v>Community Religious No Info Share</v>
      </c>
      <c r="C7" s="8">
        <v>3.0</v>
      </c>
      <c r="D7" s="8" t="s">
        <v>4503</v>
      </c>
      <c r="E7" s="244" t="str">
        <f>IFERROR(__xludf.DUMMYFUNCTION("IFERROR(
  INDEX(
    FILTER(
      Recording!$U:$U,
      TRIM(CLEAN(TEXT(Recording!$E:$E, ""@""))) = TRIM(CLEAN(TEXT($D7, ""@""))),
      Recording!$AA:$AA = 1
    ),
    1
  ),
  ""Not Found""
)
"),"https://drive.google.com/file/d/1lwUmi7qlZtrpKXjJtQgE0-IKd8Wwldlj/view?usp=drive_link")</f>
        <v>https://drive.google.com/file/d/1lwUmi7qlZtrpKXjJtQgE0-IKd8Wwldlj/view?usp=drive_link</v>
      </c>
      <c r="F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 *
        (IMPORTRANGE(""https://docs.google.com/spreadsheets/d/161aHT6vVT3SLneTKD19N5qVWtnj_jIT8CSsOmUVKmaA/e"&amp;"dit?gid=1761053510"",
          ""Haris_Form responses 1!$AQ:$AQ"")=1)
      ),
      1
    ),
    ""0""
  ),
  ""Form not found""
)
"),"1")</f>
        <v>1</v>
      </c>
      <c r="G7" s="245" t="str">
        <f>IFERROR(__xludf.DUMMYFUNCTION("IFERROR(
  INDEX(
    FILTER(
      Transcription!$AJ:$AJ,
      TRIM(CLEAN(TEXT(Transcription!$F:$F, ""@""))) = TRIM(CLEAN(TEXT($D7, ""@""))),
      Transcription!$AO:$AO = 1
    ),
    1
  ),
  ""Not Found""
)
"),"https://drive.google.com/open?id=1I3bgwYp0ObX2ibU_KzVeTr74c2GqBekG")</f>
        <v>https://drive.google.com/open?id=1I3bgwYp0ObX2ibU_KzVeTr74c2GqBekG</v>
      </c>
      <c r="H7" s="244" t="str">
        <f>IFERROR(__xludf.DUMMYFUNCTION("IFERROR(
  INDEX(
    FILTER(
      Recording!$U:$U,
      TRIM(CLEAN(TEXT(Recording!$E:$E, ""@""))) = TRIM(CLEAN(TEXT($D7, ""@""))),
      Recording!$AA:$AA = 2
    ),
    1
  ),
  ""Not Found""
)
"),"https://drive.google.com/file/d/1JinnoD2-Bb_UH8mJIti3TQUiFHlQBKPR/view?usp=drive_link")</f>
        <v>https://drive.google.com/file/d/1JinnoD2-Bb_UH8mJIti3TQUiFHlQBKPR/view?usp=drive_link</v>
      </c>
      <c r="I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 *
        (IMPORTRANGE(""https://docs.google.com/spreadsheets/d/161aHT6vVT3SLneTKD19N5qVWtnj_jIT8CSsOmUVKmaA/e"&amp;"dit?gid=1761053510"",
          ""Haris_Form responses 1!$AQ:$AQ"")=2)
      ),
      1
    ),
    ""0""
  ),
  ""Form not found""
)
"),"2")</f>
        <v>2</v>
      </c>
      <c r="J7" s="245" t="str">
        <f>IFERROR(__xludf.DUMMYFUNCTION("IFERROR(
  INDEX(
    FILTER(
      Transcription!$AJ:$AJ,
      TRIM(CLEAN(TEXT(Transcription!$F:$F, ""@""))) = TRIM(CLEAN(TEXT($D7, ""@""))),
      Transcription!$AO:$AO = 2
    ),
    1
  ),
  ""Not Found""
)
"),"https://drive.google.com/open?id=1MGA9NFAiUv-7BuUE-znOELBki2JQ6k2V")</f>
        <v>https://drive.google.com/open?id=1MGA9NFAiUv-7BuUE-znOELBki2JQ6k2V</v>
      </c>
      <c r="K7" s="244" t="str">
        <f>IFERROR(__xludf.DUMMYFUNCTION("IFERROR(
  INDEX(
    FILTER(
      Recording!$U:$U,
      TRIM(CLEAN(TEXT(Recording!$E:$E, ""@""))) = TRIM(CLEAN(TEXT($D7, ""@""))),
      Recording!$AA:$AA = 3
    ),
    1
  ),
  ""Not Found""
)
"),"https://drive.google.com/file/d/1rBfJYIww--HNLCpMqHiOkWsYlQK27CdJ/view?usp=sharing")</f>
        <v>https://drive.google.com/file/d/1rBfJYIww--HNLCpMqHiOkWsYlQK27CdJ/view?usp=sharing</v>
      </c>
      <c r="L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 *
        (IMPORTRANGE(""https://docs.google.com/spreadsheets/d/161aHT6vVT3SLneTKD19N5qVWtnj_jIT8CSsOmUVKmaA/e"&amp;"dit?gid=1761053510"",
          ""Haris_Form responses 1!$AQ:$AQ"")=3)
      ),
      1
    ),
    ""0""
  ),
  ""Form not found""
)
"),"3")</f>
        <v>3</v>
      </c>
      <c r="M7" s="245" t="str">
        <f>IFERROR(__xludf.DUMMYFUNCTION("IFERROR(
  INDEX(
    FILTER(
      Transcription!$AJ:$AJ,
      TRIM(CLEAN(TEXT(Transcription!$F:$F, ""@""))) = TRIM(CLEAN(TEXT($D7, ""@""))),
      Transcription!$AO:$AO = 3
    ),
    1
  ),
  ""Not Found""
)
"),"https://drive.google.com/open?id=1NXUit1DsznvMZ5LDr78bcATe6p42KwhH")</f>
        <v>https://drive.google.com/open?id=1NXUit1DsznvMZ5LDr78bcATe6p42KwhH</v>
      </c>
      <c r="N7" s="246" t="str">
        <f>IFERROR(__xludf.DUMMYFUNCTION("IFERROR(
  INDEX(
    FILTER(
      Recording!$U:$U,
      TRIM(CLEAN(TEXT(Recording!$E:$E, ""@""))) = TRIM(CLEAN(TEXT($D7, ""@""))),
      Recording!$AA:$AA = 4
    ),
    1
  ),
  ""Not Found""
)
"),"Not Found")</f>
        <v>Not Found</v>
      </c>
      <c r="O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 *
        (IMPORTRANGE(""https://docs.google.com/spreadsheets/d/161aHT6vVT3SLneTKD19N5qVWtnj_jIT8CSsOmUVKmaA/e"&amp;"dit?gid=1761053510"",
          ""Haris_Form responses 1!$AQ:$AQ"")=4)
      ),
      1
    ),
    ""0""
  ),
  ""Form not found""
)
"),"Form not found")</f>
        <v>Form not found</v>
      </c>
      <c r="P7" s="247" t="str">
        <f>IFERROR(__xludf.DUMMYFUNCTION("IFERROR(
  INDEX(
    FILTER(
      Transcription!$AJ:$AJ,
      TRIM(CLEAN(TEXT(Transcription!$F:$F, ""@""))) = TRIM(CLEAN(TEXT($D7, ""@""))),
      Transcription!$AO:$AO = 4
    ),
    1
  ),
  ""Not Found""
)
"),"Not Found")</f>
        <v>Not Found</v>
      </c>
      <c r="Q7" s="246" t="str">
        <f>IFERROR(__xludf.DUMMYFUNCTION("IFERROR(
  INDEX(
    FILTER(
      Recording!$U:$U,
      TRIM(CLEAN(TEXT(Recording!$E:$E, ""@""))) = TRIM(CLEAN(TEXT($D7, ""@""))),
      Recording!$AA:$AA = 5
    ),
    1
  ),
  ""Not Found""
)
"),"Not Found")</f>
        <v>Not Found</v>
      </c>
      <c r="R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 *
        (IMPORTRANGE(""https://docs.google.com/spreadsheets/d/161aHT6vVT3SLneTKD19N5qVWtnj_jIT8CSsOmUVKmaA/e"&amp;"dit?gid=1761053510"",
          ""Haris_Form responses 1!$AQ:$AQ"")=5)
      ),
      1
    ),
    ""0""
  ),
  ""Form not found""
)
"),"Form not found")</f>
        <v>Form not found</v>
      </c>
      <c r="S7" s="247" t="str">
        <f>IFERROR(__xludf.DUMMYFUNCTION("IFERROR(
  INDEX(
    FILTER(
      Transcription!$AJ:$AJ,
      TRIM(CLEAN(TEXT(Transcription!$F:$F, ""@""))) = TRIM(CLEAN(TEXT($D7, ""@""))),
      Transcription!$AO:$AO = 5
    ),
    1
  ),
  ""Not Found""
)
"),"Not Found")</f>
        <v>Not Found</v>
      </c>
      <c r="T7" s="249" t="str">
        <f>IFERROR(__xludf.DUMMYFUNCTION("IFERROR(
  INDEX(
    FILTER(
      Recording!$U:$U,
      TRIM(CLEAN(TEXT(Recording!$E:$E, ""@""))) = TRIM(CLEAN(TEXT($D7, ""@""))),
      Recording!$AA:$AA = 6
    ),
    1
  ),
  ""Not Found""
)
"),"Not Found")</f>
        <v>Not Found</v>
      </c>
      <c r="U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 *
        (IMPORTRANGE(""https://docs.google.com/spreadsheets/d/161aHT6vVT3SLneTKD19N5qVWtnj_jIT8CSsOmUVKmaA/e"&amp;"dit?gid=1761053510"",
          ""Haris_Form responses 1!$AQ:$AQ"")=6)
      ),
      1
    ),
    ""0""
  ),
  ""Form not found""
)
"),"Form not found")</f>
        <v>Form not found</v>
      </c>
      <c r="V7" s="247" t="str">
        <f>IFERROR(__xludf.DUMMYFUNCTION("IFERROR(
  INDEX(
    FILTER(
      Transcription!$AJ:$AJ,
      TRIM(CLEAN(TEXT(Transcription!$F:$F, ""@""))) = TRIM(CLEAN(TEXT($D7, ""@""))),
      Transcription!$AO:$AO = 6
    ),
    1
  ),
  ""Not Found""
)
"),"Not Found")</f>
        <v>Not Found</v>
      </c>
      <c r="X7" s="8" t="s">
        <v>4504</v>
      </c>
      <c r="Z7" s="10">
        <f t="shared" si="1"/>
        <v>3</v>
      </c>
      <c r="AA7" s="10">
        <f t="shared" si="2"/>
        <v>0</v>
      </c>
    </row>
    <row r="8">
      <c r="A8" s="8" t="str">
        <f>VLOOKUP($D8,Sheet6!$B:$G,5,FALSE)</f>
        <v>Lahore</v>
      </c>
      <c r="B8" s="232" t="str">
        <f>VLOOKUP($D8,Sheet6!$B:$G,4,FALSE)</f>
        <v>Women Secular Info Share</v>
      </c>
      <c r="C8" s="8">
        <v>3.0</v>
      </c>
      <c r="D8" s="8" t="s">
        <v>1314</v>
      </c>
      <c r="E8" s="244" t="str">
        <f>IFERROR(__xludf.DUMMYFUNCTION("IFERROR(
  INDEX(
    FILTER(
      Recording!$U:$U,
      TRIM(CLEAN(TEXT(Recording!$E:$E, ""@""))) = TRIM(CLEAN(TEXT($D8, ""@""))),
      Recording!$AA:$AA = 1
    ),
    1
  ),
  ""Not Found""
)
"),"https://drive.google.com/open?id=1WSY6RHhHBCdPG7x3BBGuAsgoVOOQ5jwy")</f>
        <v>https://drive.google.com/open?id=1WSY6RHhHBCdPG7x3BBGuAsgoVOOQ5jwy</v>
      </c>
      <c r="F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 *
        (IMPORTRANGE(""https://docs.google.com/spreadsheets/d/161aHT6vVT3SLneTKD19N5qVWtnj_jIT8CSsOmUVKmaA/e"&amp;"dit?gid=1761053510"",
          ""Haris_Form responses 1!$AQ:$AQ"")=1)
      ),
      1
    ),
    ""0""
  ),
  ""Form not found""
)
"),"1")</f>
        <v>1</v>
      </c>
      <c r="G8" s="245" t="str">
        <f>IFERROR(__xludf.DUMMYFUNCTION("IFERROR(
  INDEX(
    FILTER(
      Transcription!$AJ:$AJ,
      TRIM(CLEAN(TEXT(Transcription!$F:$F, ""@""))) = TRIM(CLEAN(TEXT($D8, ""@""))),
      Transcription!$AO:$AO = 1
    ),
    1
  ),
  ""Not Found""
)
"),"https://drive.google.com/open?id=11jtIA617Sw5GZbL-UTcVx7EqDNhI-_8n")</f>
        <v>https://drive.google.com/open?id=11jtIA617Sw5GZbL-UTcVx7EqDNhI-_8n</v>
      </c>
      <c r="H8" s="244" t="str">
        <f>IFERROR(__xludf.DUMMYFUNCTION("IFERROR(
  INDEX(
    FILTER(
      Recording!$U:$U,
      TRIM(CLEAN(TEXT(Recording!$E:$E, ""@""))) = TRIM(CLEAN(TEXT($D8, ""@""))),
      Recording!$AA:$AA = 2
    ),
    1
  ),
  ""Not Found""
)
"),"https://drive.google.com/open?id=1TC2WjqZKV9lBde8amtMEmAd7EvG31gsq")</f>
        <v>https://drive.google.com/open?id=1TC2WjqZKV9lBde8amtMEmAd7EvG31gsq</v>
      </c>
      <c r="I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 *
        (IMPORTRANGE(""https://docs.google.com/spreadsheets/d/161aHT6vVT3SLneTKD19N5qVWtnj_jIT8CSsOmUVKmaA/e"&amp;"dit?gid=1761053510"",
          ""Haris_Form responses 1!$AQ:$AQ"")=2)
      ),
      1
    ),
    ""0""
  ),
  ""Form not found""
)
"),"2")</f>
        <v>2</v>
      </c>
      <c r="J8" s="245" t="str">
        <f>IFERROR(__xludf.DUMMYFUNCTION("IFERROR(
  INDEX(
    FILTER(
      Transcription!$AJ:$AJ,
      TRIM(CLEAN(TEXT(Transcription!$F:$F, ""@""))) = TRIM(CLEAN(TEXT($D8, ""@""))),
      Transcription!$AO:$AO = 2
    ),
    1
  ),
  ""Not Found""
)
"),"https://drive.google.com/open?id=1lcVBlohMDVJPHuldW-ky0OZPTRQwTITs")</f>
        <v>https://drive.google.com/open?id=1lcVBlohMDVJPHuldW-ky0OZPTRQwTITs</v>
      </c>
      <c r="K8" s="244" t="str">
        <f>IFERROR(__xludf.DUMMYFUNCTION("IFERROR(
  INDEX(
    FILTER(
      Recording!$U:$U,
      TRIM(CLEAN(TEXT(Recording!$E:$E, ""@""))) = TRIM(CLEAN(TEXT($D8, ""@""))),
      Recording!$AA:$AA = 3
    ),
    1
  ),
  ""Not Found""
)
"),"https://drive.google.com/open?id=12qDw6sDi_pMHu6Daknb3eJtz0sT1qZ4Z")</f>
        <v>https://drive.google.com/open?id=12qDw6sDi_pMHu6Daknb3eJtz0sT1qZ4Z</v>
      </c>
      <c r="L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 *
        (IMPORTRANGE(""https://docs.google.com/spreadsheets/d/161aHT6vVT3SLneTKD19N5qVWtnj_jIT8CSsOmUVKmaA/e"&amp;"dit?gid=1761053510"",
          ""Haris_Form responses 1!$AQ:$AQ"")=3)
      ),
      1
    ),
    ""0""
  ),
  ""Form not found""
)
"),"3")</f>
        <v>3</v>
      </c>
      <c r="M8" s="245" t="str">
        <f>IFERROR(__xludf.DUMMYFUNCTION("IFERROR(
  INDEX(
    FILTER(
      Transcription!$AJ:$AJ,
      TRIM(CLEAN(TEXT(Transcription!$F:$F, ""@""))) = TRIM(CLEAN(TEXT($D8, ""@""))),
      Transcription!$AO:$AO = 3
    ),
    1
  ),
  ""Not Found""
)
"),"https://drive.google.com/open?id=1h2TRnBRnD7Ed2iXQgDo3nEqHsqvyymk8")</f>
        <v>https://drive.google.com/open?id=1h2TRnBRnD7Ed2iXQgDo3nEqHsqvyymk8</v>
      </c>
      <c r="N8" s="246" t="str">
        <f>IFERROR(__xludf.DUMMYFUNCTION("IFERROR(
  INDEX(
    FILTER(
      Recording!$U:$U,
      TRIM(CLEAN(TEXT(Recording!$E:$E, ""@""))) = TRIM(CLEAN(TEXT($D8, ""@""))),
      Recording!$AA:$AA = 4
    ),
    1
  ),
  ""Not Found""
)
"),"Not Found")</f>
        <v>Not Found</v>
      </c>
      <c r="O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 *
        (IMPORTRANGE(""https://docs.google.com/spreadsheets/d/161aHT6vVT3SLneTKD19N5qVWtnj_jIT8CSsOmUVKmaA/e"&amp;"dit?gid=1761053510"",
          ""Haris_Form responses 1!$AQ:$AQ"")=4)
      ),
      1
    ),
    ""0""
  ),
  ""Form not found""
)
"),"Form not found")</f>
        <v>Form not found</v>
      </c>
      <c r="P8" s="247" t="str">
        <f>IFERROR(__xludf.DUMMYFUNCTION("IFERROR(
  INDEX(
    FILTER(
      Transcription!$AJ:$AJ,
      TRIM(CLEAN(TEXT(Transcription!$F:$F, ""@""))) = TRIM(CLEAN(TEXT($D8, ""@""))),
      Transcription!$AO:$AO = 4
    ),
    1
  ),
  ""Not Found""
)
"),"Not Found")</f>
        <v>Not Found</v>
      </c>
      <c r="Q8" s="246" t="str">
        <f>IFERROR(__xludf.DUMMYFUNCTION("IFERROR(
  INDEX(
    FILTER(
      Recording!$U:$U,
      TRIM(CLEAN(TEXT(Recording!$E:$E, ""@""))) = TRIM(CLEAN(TEXT($D8, ""@""))),
      Recording!$AA:$AA = 5
    ),
    1
  ),
  ""Not Found""
)
"),"Not Found")</f>
        <v>Not Found</v>
      </c>
      <c r="R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 *
        (IMPORTRANGE(""https://docs.google.com/spreadsheets/d/161aHT6vVT3SLneTKD19N5qVWtnj_jIT8CSsOmUVKmaA/e"&amp;"dit?gid=1761053510"",
          ""Haris_Form responses 1!$AQ:$AQ"")=5)
      ),
      1
    ),
    ""0""
  ),
  ""Form not found""
)
"),"Form not found")</f>
        <v>Form not found</v>
      </c>
      <c r="S8" s="247" t="str">
        <f>IFERROR(__xludf.DUMMYFUNCTION("IFERROR(
  INDEX(
    FILTER(
      Transcription!$AJ:$AJ,
      TRIM(CLEAN(TEXT(Transcription!$F:$F, ""@""))) = TRIM(CLEAN(TEXT($D8, ""@""))),
      Transcription!$AO:$AO = 5
    ),
    1
  ),
  ""Not Found""
)
"),"Not Found")</f>
        <v>Not Found</v>
      </c>
      <c r="T8" s="249" t="str">
        <f>IFERROR(__xludf.DUMMYFUNCTION("IFERROR(
  INDEX(
    FILTER(
      Recording!$U:$U,
      TRIM(CLEAN(TEXT(Recording!$E:$E, ""@""))) = TRIM(CLEAN(TEXT($D8, ""@""))),
      Recording!$AA:$AA = 6
    ),
    1
  ),
  ""Not Found""
)
"),"Not Found")</f>
        <v>Not Found</v>
      </c>
      <c r="U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 *
        (IMPORTRANGE(""https://docs.google.com/spreadsheets/d/161aHT6vVT3SLneTKD19N5qVWtnj_jIT8CSsOmUVKmaA/e"&amp;"dit?gid=1761053510"",
          ""Haris_Form responses 1!$AQ:$AQ"")=6)
      ),
      1
    ),
    ""0""
  ),
  ""Form not found""
)
"),"Form not found")</f>
        <v>Form not found</v>
      </c>
      <c r="V8" s="247" t="str">
        <f>IFERROR(__xludf.DUMMYFUNCTION("IFERROR(
  INDEX(
    FILTER(
      Transcription!$AJ:$AJ,
      TRIM(CLEAN(TEXT(Transcription!$F:$F, ""@""))) = TRIM(CLEAN(TEXT($D8, ""@""))),
      Transcription!$AO:$AO = 6
    ),
    1
  ),
  ""Not Found""
)
"),"Not Found")</f>
        <v>Not Found</v>
      </c>
      <c r="Z8" s="10">
        <f t="shared" si="1"/>
        <v>3</v>
      </c>
      <c r="AA8" s="10">
        <f t="shared" si="2"/>
        <v>0</v>
      </c>
    </row>
    <row r="9">
      <c r="A9" s="8" t="str">
        <f>VLOOKUP($D9,Sheet6!$B:$G,5,FALSE)</f>
        <v>Lahore</v>
      </c>
      <c r="B9" s="232" t="str">
        <f>VLOOKUP($D9,Sheet6!$B:$G,4,FALSE)</f>
        <v>Control</v>
      </c>
      <c r="C9" s="8">
        <v>2.0</v>
      </c>
      <c r="D9" s="8" t="s">
        <v>4505</v>
      </c>
      <c r="E9" s="244" t="str">
        <f>IFERROR(__xludf.DUMMYFUNCTION("IFERROR(
  INDEX(
    FILTER(
      Recording!$U:$U,
      TRIM(CLEAN(TEXT(Recording!$E:$E, ""@""))) = TRIM(CLEAN(TEXT($D9, ""@""))),
      Recording!$AA:$AA = 1
    ),
    1
  ),
  ""Not Found""
)
"),"https://drive.google.com/open?id=1R39GHkipONP0TJ15WsxscBRWTl5vchoO")</f>
        <v>https://drive.google.com/open?id=1R39GHkipONP0TJ15WsxscBRWTl5vchoO</v>
      </c>
      <c r="F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 *
        (IMPORTRANGE(""https://docs.google.com/spreadsheets/d/161aHT6vVT3SLneTKD19N5qVWtnj_jIT8CSsOmUVKmaA/e"&amp;"dit?gid=1761053510"",
          ""Haris_Form responses 1!$AQ:$AQ"")=1)
      ),
      1
    ),
    ""0""
  ),
  ""Form not found""
)
"),"1")</f>
        <v>1</v>
      </c>
      <c r="G9" s="245" t="str">
        <f>IFERROR(__xludf.DUMMYFUNCTION("IFERROR(
  INDEX(
    FILTER(
      Transcription!$AJ:$AJ,
      TRIM(CLEAN(TEXT(Transcription!$F:$F, ""@""))) = TRIM(CLEAN(TEXT($D9, ""@""))),
      Transcription!$AO:$AO = 1
    ),
    1
  ),
  ""Not Found""
)
"),"https://drive.google.com/file/d/1QGBivu8hqfeJU9bpIjockJkIwES9QHWJ/view?usp=drive_link")</f>
        <v>https://drive.google.com/file/d/1QGBivu8hqfeJU9bpIjockJkIwES9QHWJ/view?usp=drive_link</v>
      </c>
      <c r="H9" s="246" t="str">
        <f>IFERROR(__xludf.DUMMYFUNCTION("IFERROR(
  INDEX(
    FILTER(
      Recording!$U:$U,
      TRIM(CLEAN(TEXT(Recording!$E:$E, ""@""))) = TRIM(CLEAN(TEXT($D9, ""@""))),
      Recording!$AA:$AA = 2
    ),
    1
  ),
  ""Not Found""
)
"),"Not Found")</f>
        <v>Not Found</v>
      </c>
      <c r="I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 *
        (IMPORTRANGE(""https://docs.google.com/spreadsheets/d/161aHT6vVT3SLneTKD19N5qVWtnj_jIT8CSsOmUVKmaA/e"&amp;"dit?gid=1761053510"",
          ""Haris_Form responses 1!$AQ:$AQ"")=2)
      ),
      1
    ),
    ""0""
  ),
  ""Form not found""
)
"),"Form not found")</f>
        <v>Form not found</v>
      </c>
      <c r="J9" s="247" t="str">
        <f>IFERROR(__xludf.DUMMYFUNCTION("IFERROR(
  INDEX(
    FILTER(
      Transcription!$AJ:$AJ,
      TRIM(CLEAN(TEXT(Transcription!$F:$F, ""@""))) = TRIM(CLEAN(TEXT($D9, ""@""))),
      Transcription!$AO:$AO = 2
    ),
    1
  ),
  ""Not Found""
)
"),"Not Found")</f>
        <v>Not Found</v>
      </c>
      <c r="K9" s="244" t="str">
        <f>IFERROR(__xludf.DUMMYFUNCTION("IFERROR(
  INDEX(
    FILTER(
      Recording!$U:$U,
      TRIM(CLEAN(TEXT(Recording!$E:$E, ""@""))) = TRIM(CLEAN(TEXT($D9, ""@""))),
      Recording!$AA:$AA = 3
    ),
    1
  ),
  ""Not Found""
)
"),"https://drive.google.com/open?id=1Ty3sHgkycx2xu8aL6BHuhUMOcnV5DUpR")</f>
        <v>https://drive.google.com/open?id=1Ty3sHgkycx2xu8aL6BHuhUMOcnV5DUpR</v>
      </c>
      <c r="L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 *
        (IMPORTRANGE(""https://docs.google.com/spreadsheets/d/161aHT6vVT3SLneTKD19N5qVWtnj_jIT8CSsOmUVKmaA/e"&amp;"dit?gid=1761053510"",
          ""Haris_Form responses 1!$AQ:$AQ"")=3)
      ),
      1
    ),
    ""0""
  ),
  ""Form not found""
)
"),"3")</f>
        <v>3</v>
      </c>
      <c r="M9" s="245" t="str">
        <f>IFERROR(__xludf.DUMMYFUNCTION("IFERROR(
  INDEX(
    FILTER(
      Transcription!$AJ:$AJ,
      TRIM(CLEAN(TEXT(Transcription!$F:$F, ""@""))) = TRIM(CLEAN(TEXT($D9, ""@""))),
      Transcription!$AO:$AO = 3
    ),
    1
  ),
  ""Not Found""
)
"),"https://drive.google.com/file/d/12kauSy_tAhsdVObkZFh6a94WFPV_4jDo/view?usp=drive_link")</f>
        <v>https://drive.google.com/file/d/12kauSy_tAhsdVObkZFh6a94WFPV_4jDo/view?usp=drive_link</v>
      </c>
      <c r="N9" s="246" t="str">
        <f>IFERROR(__xludf.DUMMYFUNCTION("IFERROR(
  INDEX(
    FILTER(
      Recording!$U:$U,
      TRIM(CLEAN(TEXT(Recording!$E:$E, ""@""))) = TRIM(CLEAN(TEXT($D9, ""@""))),
      Recording!$AA:$AA = 4
    ),
    1
  ),
  ""Not Found""
)
"),"Not Found")</f>
        <v>Not Found</v>
      </c>
      <c r="O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 *
        (IMPORTRANGE(""https://docs.google.com/spreadsheets/d/161aHT6vVT3SLneTKD19N5qVWtnj_jIT8CSsOmUVKmaA/e"&amp;"dit?gid=1761053510"",
          ""Haris_Form responses 1!$AQ:$AQ"")=4)
      ),
      1
    ),
    ""0""
  ),
  ""Form not found""
)
"),"Form not found")</f>
        <v>Form not found</v>
      </c>
      <c r="P9" s="247" t="str">
        <f>IFERROR(__xludf.DUMMYFUNCTION("IFERROR(
  INDEX(
    FILTER(
      Transcription!$AJ:$AJ,
      TRIM(CLEAN(TEXT(Transcription!$F:$F, ""@""))) = TRIM(CLEAN(TEXT($D9, ""@""))),
      Transcription!$AO:$AO = 4
    ),
    1
  ),
  ""Not Found""
)
"),"Not Found")</f>
        <v>Not Found</v>
      </c>
      <c r="Q9" s="246" t="str">
        <f>IFERROR(__xludf.DUMMYFUNCTION("IFERROR(
  INDEX(
    FILTER(
      Recording!$U:$U,
      TRIM(CLEAN(TEXT(Recording!$E:$E, ""@""))) = TRIM(CLEAN(TEXT($D9, ""@""))),
      Recording!$AA:$AA = 5
    ),
    1
  ),
  ""Not Found""
)
"),"Not Found")</f>
        <v>Not Found</v>
      </c>
      <c r="R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 *
        (IMPORTRANGE(""https://docs.google.com/spreadsheets/d/161aHT6vVT3SLneTKD19N5qVWtnj_jIT8CSsOmUVKmaA/e"&amp;"dit?gid=1761053510"",
          ""Haris_Form responses 1!$AQ:$AQ"")=5)
      ),
      1
    ),
    ""0""
  ),
  ""Form not found""
)
"),"Form not found")</f>
        <v>Form not found</v>
      </c>
      <c r="S9" s="247" t="str">
        <f>IFERROR(__xludf.DUMMYFUNCTION("IFERROR(
  INDEX(
    FILTER(
      Transcription!$AJ:$AJ,
      TRIM(CLEAN(TEXT(Transcription!$F:$F, ""@""))) = TRIM(CLEAN(TEXT($D9, ""@""))),
      Transcription!$AO:$AO = 5
    ),
    1
  ),
  ""Not Found""
)
"),"Not Found")</f>
        <v>Not Found</v>
      </c>
      <c r="T9" s="246" t="str">
        <f>IFERROR(__xludf.DUMMYFUNCTION("IFERROR(
  INDEX(
    FILTER(
      Recording!$U:$U,
      TRIM(CLEAN(TEXT(Recording!$E:$E, ""@""))) = TRIM(CLEAN(TEXT($D9, ""@""))),
      Recording!$AA:$AA = 6
    ),
    1
  ),
  ""Not Found""
)
"),"Not Found")</f>
        <v>Not Found</v>
      </c>
      <c r="U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 *
        (IMPORTRANGE(""https://docs.google.com/spreadsheets/d/161aHT6vVT3SLneTKD19N5qVWtnj_jIT8CSsOmUVKmaA/e"&amp;"dit?gid=1761053510"",
          ""Haris_Form responses 1!$AQ:$AQ"")=6)
      ),
      1
    ),
    ""0""
  ),
  ""Form not found""
)
"),"Form not found")</f>
        <v>Form not found</v>
      </c>
      <c r="V9" s="247" t="str">
        <f>IFERROR(__xludf.DUMMYFUNCTION("IFERROR(
  INDEX(
    FILTER(
      Transcription!$AJ:$AJ,
      TRIM(CLEAN(TEXT(Transcription!$F:$F, ""@""))) = TRIM(CLEAN(TEXT($D9, ""@""))),
      Transcription!$AO:$AO = 6
    ),
    1
  ),
  ""Not Found""
)
"),"Not Found")</f>
        <v>Not Found</v>
      </c>
      <c r="X9" s="8" t="s">
        <v>4506</v>
      </c>
      <c r="Z9" s="10">
        <f t="shared" si="1"/>
        <v>2</v>
      </c>
      <c r="AA9" s="10">
        <f t="shared" si="2"/>
        <v>0</v>
      </c>
    </row>
    <row r="10">
      <c r="A10" s="8" t="str">
        <f>VLOOKUP($D10,Sheet6!$B:$G,5,FALSE)</f>
        <v>Lahore</v>
      </c>
      <c r="B10" s="232" t="str">
        <f>VLOOKUP($D10,Sheet6!$B:$G,4,FALSE)</f>
        <v>Control</v>
      </c>
      <c r="C10" s="8">
        <v>2.0</v>
      </c>
      <c r="D10" s="8" t="s">
        <v>1368</v>
      </c>
      <c r="E10" s="244" t="str">
        <f>IFERROR(__xludf.DUMMYFUNCTION("IFERROR(
  INDEX(
    FILTER(
      Recording!$U:$U,
      TRIM(CLEAN(TEXT(Recording!$E:$E, ""@""))) = TRIM(CLEAN(TEXT($D10, ""@""))),
      Recording!$AA:$AA = 1
    ),
    1
  ),
  ""Not Found""
)
"),"https://drive.google.com/open?id=1AnkmZeeNFxYh3KJ-iXmc-TeysuTSS74y")</f>
        <v>https://drive.google.com/open?id=1AnkmZeeNFxYh3KJ-iXmc-TeysuTSS74y</v>
      </c>
      <c r="F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 *
        (IMPORTRANGE(""https://docs.google.com/spreadsheets/d/161aHT6vVT3SLneTKD19N5qVWtnj_jIT8CSsOmUVKmaA/"&amp;"edit?gid=1761053510"",
          ""Haris_Form responses 1!$AQ:$AQ"")=1)
      ),
      1
    ),
    ""0""
  ),
  ""Form not found""
)
"),"1")</f>
        <v>1</v>
      </c>
      <c r="G10" s="245" t="str">
        <f>IFERROR(__xludf.DUMMYFUNCTION("IFERROR(
  INDEX(
    FILTER(
      Transcription!$AJ:$AJ,
      TRIM(CLEAN(TEXT(Transcription!$F:$F, ""@""))) = TRIM(CLEAN(TEXT($D10, ""@""))),
      Transcription!$AO:$AO = 1
    ),
    1
  ),
  ""Not Found""
)
"),"https://drive.google.com/open?id=1WDmH039tU-WuEwPwuYNPzHXIoCmuFdJc")</f>
        <v>https://drive.google.com/open?id=1WDmH039tU-WuEwPwuYNPzHXIoCmuFdJc</v>
      </c>
      <c r="H10" s="246" t="str">
        <f>IFERROR(__xludf.DUMMYFUNCTION("IFERROR(
  INDEX(
    FILTER(
      Recording!$U:$U,
      TRIM(CLEAN(TEXT(Recording!$E:$E, ""@""))) = TRIM(CLEAN(TEXT($D10, ""@""))),
      Recording!$AA:$AA = 2
    ),
    1
  ),
  ""Not Found""
)
"),"Not Found")</f>
        <v>Not Found</v>
      </c>
      <c r="I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 *
        (IMPORTRANGE(""https://docs.google.com/spreadsheets/d/161aHT6vVT3SLneTKD19N5qVWtnj_jIT8CSsOmUVKmaA/"&amp;"edit?gid=1761053510"",
          ""Haris_Form responses 1!$AQ:$AQ"")=2)
      ),
      1
    ),
    ""0""
  ),
  ""Form not found""
)
"),"Form not found")</f>
        <v>Form not found</v>
      </c>
      <c r="J10" s="247" t="str">
        <f>IFERROR(__xludf.DUMMYFUNCTION("IFERROR(
  INDEX(
    FILTER(
      Transcription!$AJ:$AJ,
      TRIM(CLEAN(TEXT(Transcription!$F:$F, ""@""))) = TRIM(CLEAN(TEXT($D10, ""@""))),
      Transcription!$AO:$AO = 2
    ),
    1
  ),
  ""Not Found""
)
"),"Not Found")</f>
        <v>Not Found</v>
      </c>
      <c r="K10" s="244" t="str">
        <f>IFERROR(__xludf.DUMMYFUNCTION("IFERROR(
  INDEX(
    FILTER(
      Recording!$U:$U,
      TRIM(CLEAN(TEXT(Recording!$E:$E, ""@""))) = TRIM(CLEAN(TEXT($D10, ""@""))),
      Recording!$AA:$AA = 3
    ),
    1
  ),
  ""Not Found""
)
"),"https://drive.google.com/open?id=1NLdjUUqbODtbnYvK7WLMWw5z9l1WKbzp")</f>
        <v>https://drive.google.com/open?id=1NLdjUUqbODtbnYvK7WLMWw5z9l1WKbzp</v>
      </c>
      <c r="L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 *
        (IMPORTRANGE(""https://docs.google.com/spreadsheets/d/161aHT6vVT3SLneTKD19N5qVWtnj_jIT8CSsOmUVKmaA/"&amp;"edit?gid=1761053510"",
          ""Haris_Form responses 1!$AQ:$AQ"")=3)
      ),
      1
    ),
    ""0""
  ),
  ""Form not found""
)
"),"3")</f>
        <v>3</v>
      </c>
      <c r="M10" s="245" t="str">
        <f>IFERROR(__xludf.DUMMYFUNCTION("IFERROR(
  INDEX(
    FILTER(
      Transcription!$AJ:$AJ,
      TRIM(CLEAN(TEXT(Transcription!$F:$F, ""@""))) = TRIM(CLEAN(TEXT($D10, ""@""))),
      Transcription!$AO:$AO = 3
    ),
    1
  ),
  ""Not Found""
)
"),"https://drive.google.com/open?id=1yCdiwV_r_j-D0yUQd7m2jDu5njl5ZyP9")</f>
        <v>https://drive.google.com/open?id=1yCdiwV_r_j-D0yUQd7m2jDu5njl5ZyP9</v>
      </c>
      <c r="N10" s="246" t="str">
        <f>IFERROR(__xludf.DUMMYFUNCTION("IFERROR(
  INDEX(
    FILTER(
      Recording!$U:$U,
      TRIM(CLEAN(TEXT(Recording!$E:$E, ""@""))) = TRIM(CLEAN(TEXT($D10, ""@""))),
      Recording!$AA:$AA = 4
    ),
    1
  ),
  ""Not Found""
)
"),"Not Found")</f>
        <v>Not Found</v>
      </c>
      <c r="O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 *
        (IMPORTRANGE(""https://docs.google.com/spreadsheets/d/161aHT6vVT3SLneTKD19N5qVWtnj_jIT8CSsOmUVKmaA/"&amp;"edit?gid=1761053510"",
          ""Haris_Form responses 1!$AQ:$AQ"")=4)
      ),
      1
    ),
    ""0""
  ),
  ""Form not found""
)
"),"Form not found")</f>
        <v>Form not found</v>
      </c>
      <c r="P10" s="247" t="str">
        <f>IFERROR(__xludf.DUMMYFUNCTION("IFERROR(
  INDEX(
    FILTER(
      Transcription!$AJ:$AJ,
      TRIM(CLEAN(TEXT(Transcription!$F:$F, ""@""))) = TRIM(CLEAN(TEXT($D10, ""@""))),
      Transcription!$AO:$AO = 4
    ),
    1
  ),
  ""Not Found""
)
"),"Not Found")</f>
        <v>Not Found</v>
      </c>
      <c r="Q10" s="246" t="str">
        <f>IFERROR(__xludf.DUMMYFUNCTION("IFERROR(
  INDEX(
    FILTER(
      Recording!$U:$U,
      TRIM(CLEAN(TEXT(Recording!$E:$E, ""@""))) = TRIM(CLEAN(TEXT($D10, ""@""))),
      Recording!$AA:$AA = 5
    ),
    1
  ),
  ""Not Found""
)
"),"Not Found")</f>
        <v>Not Found</v>
      </c>
      <c r="R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 *
        (IMPORTRANGE(""https://docs.google.com/spreadsheets/d/161aHT6vVT3SLneTKD19N5qVWtnj_jIT8CSsOmUVKmaA/"&amp;"edit?gid=1761053510"",
          ""Haris_Form responses 1!$AQ:$AQ"")=5)
      ),
      1
    ),
    ""0""
  ),
  ""Form not found""
)
"),"Form not found")</f>
        <v>Form not found</v>
      </c>
      <c r="S10" s="247" t="str">
        <f>IFERROR(__xludf.DUMMYFUNCTION("IFERROR(
  INDEX(
    FILTER(
      Transcription!$AJ:$AJ,
      TRIM(CLEAN(TEXT(Transcription!$F:$F, ""@""))) = TRIM(CLEAN(TEXT($D10, ""@""))),
      Transcription!$AO:$AO = 5
    ),
    1
  ),
  ""Not Found""
)
"),"Not Found")</f>
        <v>Not Found</v>
      </c>
      <c r="T10" s="246" t="str">
        <f>IFERROR(__xludf.DUMMYFUNCTION("IFERROR(
  INDEX(
    FILTER(
      Recording!$U:$U,
      TRIM(CLEAN(TEXT(Recording!$E:$E, ""@""))) = TRIM(CLEAN(TEXT($D10, ""@""))),
      Recording!$AA:$AA = 6
    ),
    1
  ),
  ""Not Found""
)
"),"Not Found")</f>
        <v>Not Found</v>
      </c>
      <c r="U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 *
        (IMPORTRANGE(""https://docs.google.com/spreadsheets/d/161aHT6vVT3SLneTKD19N5qVWtnj_jIT8CSsOmUVKmaA/"&amp;"edit?gid=1761053510"",
          ""Haris_Form responses 1!$AQ:$AQ"")=6)
      ),
      1
    ),
    ""0""
  ),
  ""Form not found""
)
"),"Form not found")</f>
        <v>Form not found</v>
      </c>
      <c r="V10" s="247" t="str">
        <f>IFERROR(__xludf.DUMMYFUNCTION("IFERROR(
  INDEX(
    FILTER(
      Transcription!$AJ:$AJ,
      TRIM(CLEAN(TEXT(Transcription!$F:$F, ""@""))) = TRIM(CLEAN(TEXT($D10, ""@""))),
      Transcription!$AO:$AO = 6
    ),
    1
  ),
  ""Not Found""
)
"),"Not Found")</f>
        <v>Not Found</v>
      </c>
      <c r="Z10" s="10">
        <f t="shared" si="1"/>
        <v>2</v>
      </c>
      <c r="AA10" s="10">
        <f t="shared" si="2"/>
        <v>0</v>
      </c>
    </row>
    <row r="11">
      <c r="A11" s="250" t="str">
        <f>VLOOKUP($D11,Sheet6!$B:$G,5,FALSE)</f>
        <v>Lahore</v>
      </c>
      <c r="B11" s="251" t="str">
        <f>VLOOKUP($D11,Sheet6!$B:$G,4,FALSE)</f>
        <v>Women Secular Info Share</v>
      </c>
      <c r="C11" s="250">
        <v>3.0</v>
      </c>
      <c r="D11" s="250" t="s">
        <v>1186</v>
      </c>
      <c r="E11" s="248" t="str">
        <f>IFERROR(__xludf.DUMMYFUNCTION("IFERROR(
  INDEX(
    FILTER(
      Recording!$U:$U,
      TRIM(CLEAN(TEXT(Recording!$E:$E, ""@""))) = TRIM(CLEAN(TEXT($D11, ""@""))),
      Recording!$AA:$AA = 1
    ),
    1
  ),
  ""Not Found""
)
"),"https://drive.google.com/open?id=1yzwYTfRT2T2jBCL1WiElUqqcHeBWfYSb, https://drive.google.com/open?id=11n-V8KrTVvX42kSw9hm_pcbVEMxc7Fu9")</f>
        <v>https://drive.google.com/open?id=1yzwYTfRT2T2jBCL1WiElUqqcHeBWfYSb, https://drive.google.com/open?id=11n-V8KrTVvX42kSw9hm_pcbVEMxc7Fu9</v>
      </c>
      <c r="F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 *
        (IMPORTRANGE(""https://docs.google.com/spreadsheets/d/161aHT6vVT3SLneTKD19N5qVWtnj_jIT8CSsOmUVKmaA/"&amp;"edit?gid=1761053510"",
          ""Haris_Form responses 1!$AQ:$AQ"")=1)
      ),
      1
    ),
    ""0""
  ),
  ""Form not found""
)
"),"1")</f>
        <v>1</v>
      </c>
      <c r="G11" s="252" t="str">
        <f>IFERROR(__xludf.DUMMYFUNCTION("IFERROR(
  INDEX(
    FILTER(
      Transcription!$AJ:$AJ,
      TRIM(CLEAN(TEXT(Transcription!$F:$F, ""@""))) = TRIM(CLEAN(TEXT($D11, ""@""))),
      Transcription!$AO:$AO = 1
    ),
    1
  ),
  ""Not Found""
)
"),"https://drive.google.com/open?id=1pfGJ-RzkIV8jWpr1910c0v2P0L1c9TVg")</f>
        <v>https://drive.google.com/open?id=1pfGJ-RzkIV8jWpr1910c0v2P0L1c9TVg</v>
      </c>
      <c r="H11" s="252" t="str">
        <f>IFERROR(__xludf.DUMMYFUNCTION("IFERROR(
  INDEX(
    FILTER(
      Recording!$U:$U,
      TRIM(CLEAN(TEXT(Recording!$E:$E, ""@""))) = TRIM(CLEAN(TEXT($D11, ""@""))),
      Recording!$AA:$AA = 2
    ),
    1
  ),
  ""Not Found""
)
"),"https://drive.google.com/file/d/1OOULq03OADBmQwn7vae42nITrSABHYWA/view?usp=drive_link")</f>
        <v>https://drive.google.com/file/d/1OOULq03OADBmQwn7vae42nITrSABHYWA/view?usp=drive_link</v>
      </c>
      <c r="I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 *
        (IMPORTRANGE(""https://docs.google.com/spreadsheets/d/161aHT6vVT3SLneTKD19N5qVWtnj_jIT8CSsOmUVKmaA/"&amp;"edit?gid=1761053510"",
          ""Haris_Form responses 1!$AQ:$AQ"")=2)
      ),
      1
    ),
    ""0""
  ),
  ""Form not found""
)
"),"2")</f>
        <v>2</v>
      </c>
      <c r="J11" s="252" t="str">
        <f>IFERROR(__xludf.DUMMYFUNCTION("IFERROR(
  INDEX(
    FILTER(
      Transcription!$AJ:$AJ,
      TRIM(CLEAN(TEXT(Transcription!$F:$F, ""@""))) = TRIM(CLEAN(TEXT($D11, ""@""))),
      Transcription!$AO:$AO = 2
    ),
    1
  ),
  ""Not Found""
)
"),"https://docs.google.com/document/d/1PFEKaOjmr2c78NdCk07OX0A8o-EUvUsq/edit?usp=drive_link&amp;ouid=117122465010506134151&amp;rtpof=true&amp;sd=true")</f>
        <v>https://docs.google.com/document/d/1PFEKaOjmr2c78NdCk07OX0A8o-EUvUsq/edit?usp=drive_link&amp;ouid=117122465010506134151&amp;rtpof=true&amp;sd=true</v>
      </c>
      <c r="K11" s="248" t="str">
        <f>IFERROR(__xludf.DUMMYFUNCTION("IFERROR(
  INDEX(
    FILTER(
      Recording!$U:$U,
      TRIM(CLEAN(TEXT(Recording!$E:$E, ""@""))) = TRIM(CLEAN(TEXT($D11, ""@""))),
      Recording!$AA:$AA = 3
    ),
    1
  ),
  ""Not Found""
)
"),"https://drive.google.com/open?id=1HrvzLinb1OnQr2TiUe1XTOXhJNNRP8Sp, https://drive.google.com/open?id=1fyE2sQNR3ttm3WATCfIIQFBClFtZn5v1")</f>
        <v>https://drive.google.com/open?id=1HrvzLinb1OnQr2TiUe1XTOXhJNNRP8Sp, https://drive.google.com/open?id=1fyE2sQNR3ttm3WATCfIIQFBClFtZn5v1</v>
      </c>
      <c r="L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 *
        (IMPORTRANGE(""https://docs.google.com/spreadsheets/d/161aHT6vVT3SLneTKD19N5qVWtnj_jIT8CSsOmUVKmaA/"&amp;"edit?gid=1761053510"",
          ""Haris_Form responses 1!$AQ:$AQ"")=3)
      ),
      1
    ),
    ""0""
  ),
  ""Form not found""
)
"),"3")</f>
        <v>3</v>
      </c>
      <c r="M11" s="252" t="str">
        <f>IFERROR(__xludf.DUMMYFUNCTION("IFERROR(
  INDEX(
    FILTER(
      Transcription!$AJ:$AJ,
      TRIM(CLEAN(TEXT(Transcription!$F:$F, ""@""))) = TRIM(CLEAN(TEXT($D11, ""@""))),
      Transcription!$AO:$AO = 3
    ),
    1
  ),
  ""Not Found""
)
"),"https://docs.google.com/document/d/1o48mLLrRZX7GAYZji39gCWnhkiVtg2VmIIPaDY5AeWw/edit?tab=t.0")</f>
        <v>https://docs.google.com/document/d/1o48mLLrRZX7GAYZji39gCWnhkiVtg2VmIIPaDY5AeWw/edit?tab=t.0</v>
      </c>
      <c r="N11" s="248" t="str">
        <f>IFERROR(__xludf.DUMMYFUNCTION("IFERROR(
  INDEX(
    FILTER(
      Recording!$U:$U,
      TRIM(CLEAN(TEXT(Recording!$E:$E, ""@""))) = TRIM(CLEAN(TEXT($D11, ""@""))),
      Recording!$AA:$AA = 4
    ),
    1
  ),
  ""Not Found""
)
"),"Not Found")</f>
        <v>Not Found</v>
      </c>
      <c r="O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 *
        (IMPORTRANGE(""https://docs.google.com/spreadsheets/d/161aHT6vVT3SLneTKD19N5qVWtnj_jIT8CSsOmUVKmaA/"&amp;"edit?gid=1761053510"",
          ""Haris_Form responses 1!$AQ:$AQ"")=4)
      ),
      1
    ),
    ""0""
  ),
  ""Form not found""
)
"),"Form not found")</f>
        <v>Form not found</v>
      </c>
      <c r="P11" s="248" t="str">
        <f>IFERROR(__xludf.DUMMYFUNCTION("IFERROR(
  INDEX(
    FILTER(
      Transcription!$AJ:$AJ,
      TRIM(CLEAN(TEXT(Transcription!$F:$F, ""@""))) = TRIM(CLEAN(TEXT($D11, ""@""))),
      Transcription!$AO:$AO = 4
    ),
    1
  ),
  ""Not Found""
)
"),"Not Found")</f>
        <v>Not Found</v>
      </c>
      <c r="Q11" s="248" t="str">
        <f>IFERROR(__xludf.DUMMYFUNCTION("IFERROR(
  INDEX(
    FILTER(
      Recording!$U:$U,
      TRIM(CLEAN(TEXT(Recording!$E:$E, ""@""))) = TRIM(CLEAN(TEXT($D11, ""@""))),
      Recording!$AA:$AA = 5
    ),
    1
  ),
  ""Not Found""
)
"),"Not Found")</f>
        <v>Not Found</v>
      </c>
      <c r="R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 *
        (IMPORTRANGE(""https://docs.google.com/spreadsheets/d/161aHT6vVT3SLneTKD19N5qVWtnj_jIT8CSsOmUVKmaA/"&amp;"edit?gid=1761053510"",
          ""Haris_Form responses 1!$AQ:$AQ"")=5)
      ),
      1
    ),
    ""0""
  ),
  ""Form not found""
)
"),"Form not found")</f>
        <v>Form not found</v>
      </c>
      <c r="S11" s="248" t="str">
        <f>IFERROR(__xludf.DUMMYFUNCTION("IFERROR(
  INDEX(
    FILTER(
      Transcription!$AJ:$AJ,
      TRIM(CLEAN(TEXT(Transcription!$F:$F, ""@""))) = TRIM(CLEAN(TEXT($D11, ""@""))),
      Transcription!$AO:$AO = 5
    ),
    1
  ),
  ""Not Found""
)
"),"Not Found")</f>
        <v>Not Found</v>
      </c>
      <c r="T11" s="248" t="str">
        <f>IFERROR(__xludf.DUMMYFUNCTION("IFERROR(
  INDEX(
    FILTER(
      Recording!$U:$U,
      TRIM(CLEAN(TEXT(Recording!$E:$E, ""@""))) = TRIM(CLEAN(TEXT($D11, ""@""))),
      Recording!$AA:$AA = 6
    ),
    1
  ),
  ""Not Found""
)
"),"Not Found")</f>
        <v>Not Found</v>
      </c>
      <c r="U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 *
        (IMPORTRANGE(""https://docs.google.com/spreadsheets/d/161aHT6vVT3SLneTKD19N5qVWtnj_jIT8CSsOmUVKmaA/"&amp;"edit?gid=1761053510"",
          ""Haris_Form responses 1!$AQ:$AQ"")=6)
      ),
      1
    ),
    ""0""
  ),
  ""Form not found""
)
"),"Form not found")</f>
        <v>Form not found</v>
      </c>
      <c r="V11" s="248" t="str">
        <f>IFERROR(__xludf.DUMMYFUNCTION("IFERROR(
  INDEX(
    FILTER(
      Transcription!$AJ:$AJ,
      TRIM(CLEAN(TEXT(Transcription!$F:$F, ""@""))) = TRIM(CLEAN(TEXT($D11, ""@""))),
      Transcription!$AO:$AO = 6
    ),
    1
  ),
  ""Not Found""
)
"),"Not Found")</f>
        <v>Not Found</v>
      </c>
      <c r="W11" s="250" t="s">
        <v>4507</v>
      </c>
      <c r="X11" s="250" t="s">
        <v>4508</v>
      </c>
      <c r="Y11" s="253"/>
      <c r="Z11" s="10">
        <f t="shared" si="1"/>
        <v>3</v>
      </c>
      <c r="AA11" s="10">
        <f t="shared" si="2"/>
        <v>0</v>
      </c>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row>
    <row r="12">
      <c r="A12" s="8" t="str">
        <f>VLOOKUP($D12,Sheet6!$B:$G,5,FALSE)</f>
        <v>Lahore</v>
      </c>
      <c r="B12" s="232" t="str">
        <f>VLOOKUP($D12,Sheet6!$B:$G,4,FALSE)</f>
        <v>Community Secular No Info Share</v>
      </c>
      <c r="C12" s="8">
        <v>4.0</v>
      </c>
      <c r="D12" s="8" t="s">
        <v>1320</v>
      </c>
      <c r="E12" s="244" t="str">
        <f>IFERROR(__xludf.DUMMYFUNCTION("IFERROR(
  INDEX(
    FILTER(
      Recording!$U:$U,
      TRIM(CLEAN(TEXT(Recording!$E:$E, ""@""))) = TRIM(CLEAN(TEXT($D12, ""@""))),
      Recording!$AA:$AA = 1
    ),
    1
  ),
  ""Not Found""
)
"),"https://drive.google.com/open?id=1peG0mo2kdOukoA4FY4kbpIKR51AKGAC7")</f>
        <v>https://drive.google.com/open?id=1peG0mo2kdOukoA4FY4kbpIKR51AKGAC7</v>
      </c>
      <c r="F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 *
        (IMPORTRANGE(""https://docs.google.com/spreadsheets/d/161aHT6vVT3SLneTKD19N5qVWtnj_jIT8CSsOmUVKmaA/"&amp;"edit?gid=1761053510"",
          ""Haris_Form responses 1!$AQ:$AQ"")=1)
      ),
      1
    ),
    ""0""
  ),
  ""Form not found""
)
"),"1")</f>
        <v>1</v>
      </c>
      <c r="G12" s="245" t="str">
        <f>IFERROR(__xludf.DUMMYFUNCTION("IFERROR(
  INDEX(
    FILTER(
      Transcription!$AJ:$AJ,
      TRIM(CLEAN(TEXT(Transcription!$F:$F, ""@""))) = TRIM(CLEAN(TEXT($D12, ""@""))),
      Transcription!$AO:$AO = 1
    ),
    1
  ),
  ""Not Found""
)
"),"https://drive.google.com/open?id=1vlOcECUuUqwfh9VNUJ9BLBcN6mka85dZ")</f>
        <v>https://drive.google.com/open?id=1vlOcECUuUqwfh9VNUJ9BLBcN6mka85dZ</v>
      </c>
      <c r="H12" s="244" t="str">
        <f>IFERROR(__xludf.DUMMYFUNCTION("IFERROR(
  INDEX(
    FILTER(
      Recording!$U:$U,
      TRIM(CLEAN(TEXT(Recording!$E:$E, ""@""))) = TRIM(CLEAN(TEXT($D12, ""@""))),
      Recording!$AA:$AA = 2
    ),
    1
  ),
  ""Not Found""
)
"),"https://drive.google.com/open?id=1e6MLpEvXEcYJxDEk0rH59lrv2XuEaP9T")</f>
        <v>https://drive.google.com/open?id=1e6MLpEvXEcYJxDEk0rH59lrv2XuEaP9T</v>
      </c>
      <c r="I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 *
        (IMPORTRANGE(""https://docs.google.com/spreadsheets/d/161aHT6vVT3SLneTKD19N5qVWtnj_jIT8CSsOmUVKmaA/"&amp;"edit?gid=1761053510"",
          ""Haris_Form responses 1!$AQ:$AQ"")=2)
      ),
      1
    ),
    ""0""
  ),
  ""Form not found""
)
"),"2")</f>
        <v>2</v>
      </c>
      <c r="J12" s="245" t="str">
        <f>IFERROR(__xludf.DUMMYFUNCTION("IFERROR(
  INDEX(
    FILTER(
      Transcription!$AJ:$AJ,
      TRIM(CLEAN(TEXT(Transcription!$F:$F, ""@""))) = TRIM(CLEAN(TEXT($D12, ""@""))),
      Transcription!$AO:$AO = 2
    ),
    1
  ),
  ""Not Found""
)
"),"https://drive.google.com/open?id=1tGITvqp9OU-zcEpWFhZTgGG05IzmPFpi")</f>
        <v>https://drive.google.com/open?id=1tGITvqp9OU-zcEpWFhZTgGG05IzmPFpi</v>
      </c>
      <c r="K12" s="244" t="str">
        <f>IFERROR(__xludf.DUMMYFUNCTION("IFERROR(
  INDEX(
    FILTER(
      Recording!$U:$U,
      TRIM(CLEAN(TEXT(Recording!$E:$E, ""@""))) = TRIM(CLEAN(TEXT($D12, ""@""))),
      Recording!$AA:$AA = 3
    ),
    1
  ),
  ""Not Found""
)
"),"https://drive.google.com/open?id=1jPo9Fgose9IPb34EDwrkXK9q8wJkk4UX")</f>
        <v>https://drive.google.com/open?id=1jPo9Fgose9IPb34EDwrkXK9q8wJkk4UX</v>
      </c>
      <c r="L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 *
        (IMPORTRANGE(""https://docs.google.com/spreadsheets/d/161aHT6vVT3SLneTKD19N5qVWtnj_jIT8CSsOmUVKmaA/"&amp;"edit?gid=1761053510"",
          ""Haris_Form responses 1!$AQ:$AQ"")=3)
      ),
      1
    ),
    ""0""
  ),
  ""Form not found""
)
"),"3")</f>
        <v>3</v>
      </c>
      <c r="M12" s="245" t="str">
        <f>IFERROR(__xludf.DUMMYFUNCTION("IFERROR(
  INDEX(
    FILTER(
      Transcription!$AJ:$AJ,
      TRIM(CLEAN(TEXT(Transcription!$F:$F, ""@""))) = TRIM(CLEAN(TEXT($D12, ""@""))),
      Transcription!$AO:$AO = 3
    ),
    1
  ),
  ""Not Found""
)
"),"https://docs.google.com/document/d/1NR2vhN6PwOyAxBTKX-lUyLXEIMUgBXmT/edit?usp=drive_link&amp;ouid=114985145944407922695&amp;rtpof=true&amp;sd=true")</f>
        <v>https://docs.google.com/document/d/1NR2vhN6PwOyAxBTKX-lUyLXEIMUgBXmT/edit?usp=drive_link&amp;ouid=114985145944407922695&amp;rtpof=true&amp;sd=true</v>
      </c>
      <c r="N12" s="244" t="str">
        <f>IFERROR(__xludf.DUMMYFUNCTION("IFERROR(
  INDEX(
    FILTER(
      Recording!$U:$U,
      TRIM(CLEAN(TEXT(Recording!$E:$E, ""@""))) = TRIM(CLEAN(TEXT($D12, ""@""))),
      Recording!$AA:$AA = 4
    ),
    1
  ),
  ""Not Found""
)
"),"https://drive.google.com/open?id=1ItZmACpKFuKweVLmqVfnP7k_h0FEw7qR")</f>
        <v>https://drive.google.com/open?id=1ItZmACpKFuKweVLmqVfnP7k_h0FEw7qR</v>
      </c>
      <c r="O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 *
        (IMPORTRANGE(""https://docs.google.com/spreadsheets/d/161aHT6vVT3SLneTKD19N5qVWtnj_jIT8CSsOmUVKmaA/"&amp;"edit?gid=1761053510"",
          ""Haris_Form responses 1!$AQ:$AQ"")=4)
      ),
      1
    ),
    ""0""
  ),
  ""Form not found""
)
"),"4")</f>
        <v>4</v>
      </c>
      <c r="P12" s="245" t="str">
        <f>IFERROR(__xludf.DUMMYFUNCTION("IFERROR(
  INDEX(
    FILTER(
      Transcription!$AJ:$AJ,
      TRIM(CLEAN(TEXT(Transcription!$F:$F, ""@""))) = TRIM(CLEAN(TEXT($D12, ""@""))),
      Transcription!$AO:$AO = 4
    ),
    1
  ),
  ""Not Found""
)
"),"https://drive.google.com/open?id=1wvDsQ5a8ISLw_V0BB2RpqI6x9xAqTJgBCVyu68F40q0")</f>
        <v>https://drive.google.com/open?id=1wvDsQ5a8ISLw_V0BB2RpqI6x9xAqTJgBCVyu68F40q0</v>
      </c>
      <c r="Q12" s="246" t="str">
        <f>IFERROR(__xludf.DUMMYFUNCTION("IFERROR(
  INDEX(
    FILTER(
      Recording!$U:$U,
      TRIM(CLEAN(TEXT(Recording!$E:$E, ""@""))) = TRIM(CLEAN(TEXT($D12, ""@""))),
      Recording!$AA:$AA = 5
    ),
    1
  ),
  ""Not Found""
)
"),"Not Found")</f>
        <v>Not Found</v>
      </c>
      <c r="R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 *
        (IMPORTRANGE(""https://docs.google.com/spreadsheets/d/161aHT6vVT3SLneTKD19N5qVWtnj_jIT8CSsOmUVKmaA/"&amp;"edit?gid=1761053510"",
          ""Haris_Form responses 1!$AQ:$AQ"")=5)
      ),
      1
    ),
    ""0""
  ),
  ""Form not found""
)
"),"Form not found")</f>
        <v>Form not found</v>
      </c>
      <c r="S12" s="247" t="str">
        <f>IFERROR(__xludf.DUMMYFUNCTION("IFERROR(
  INDEX(
    FILTER(
      Transcription!$AJ:$AJ,
      TRIM(CLEAN(TEXT(Transcription!$F:$F, ""@""))) = TRIM(CLEAN(TEXT($D12, ""@""))),
      Transcription!$AO:$AO = 5
    ),
    1
  ),
  ""Not Found""
)
"),"Not Found")</f>
        <v>Not Found</v>
      </c>
      <c r="T12" s="248" t="str">
        <f>IFERROR(__xludf.DUMMYFUNCTION("IFERROR(
  INDEX(
    FILTER(
      Recording!$U:$U,
      TRIM(CLEAN(TEXT(Recording!$E:$E, ""@""))) = TRIM(CLEAN(TEXT($D12, ""@""))),
      Recording!$AA:$AA = 6
    ),
    1
  ),
  ""Not Found""
)
"),"Not Found")</f>
        <v>Not Found</v>
      </c>
      <c r="U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 *
        (IMPORTRANGE(""https://docs.google.com/spreadsheets/d/161aHT6vVT3SLneTKD19N5qVWtnj_jIT8CSsOmUVKmaA/"&amp;"edit?gid=1761053510"",
          ""Haris_Form responses 1!$AQ:$AQ"")=6)
      ),
      1
    ),
    ""0""
  ),
  ""Form not found""
)
"),"Form not found")</f>
        <v>Form not found</v>
      </c>
      <c r="V12" s="247" t="str">
        <f>IFERROR(__xludf.DUMMYFUNCTION("IFERROR(
  INDEX(
    FILTER(
      Transcription!$AJ:$AJ,
      TRIM(CLEAN(TEXT(Transcription!$F:$F, ""@""))) = TRIM(CLEAN(TEXT($D12, ""@""))),
      Transcription!$AO:$AO = 6
    ),
    1
  ),
  ""Not Found""
)
"),"Not Found")</f>
        <v>Not Found</v>
      </c>
      <c r="Z12" s="10">
        <f t="shared" si="1"/>
        <v>4</v>
      </c>
      <c r="AA12" s="10">
        <f t="shared" si="2"/>
        <v>0</v>
      </c>
    </row>
    <row r="13">
      <c r="A13" s="8" t="str">
        <f>VLOOKUP($D13,Sheet6!$B:$G,5,FALSE)</f>
        <v>Lahore</v>
      </c>
      <c r="B13" s="232" t="str">
        <f>VLOOKUP($D13,Sheet6!$B:$G,4,FALSE)</f>
        <v>Control</v>
      </c>
      <c r="C13" s="8">
        <v>2.0</v>
      </c>
      <c r="D13" s="8" t="s">
        <v>1123</v>
      </c>
      <c r="E13" s="244" t="str">
        <f>IFERROR(__xludf.DUMMYFUNCTION("IFERROR(
  INDEX(
    FILTER(
      Recording!$U:$U,
      TRIM(CLEAN(TEXT(Recording!$E:$E, ""@""))) = TRIM(CLEAN(TEXT($D13, ""@""))),
      Recording!$AA:$AA = 1
    ),
    1
  ),
  ""Not Found""
)
"),"https://drive.google.com/open?id=1WjAQVPgXlATxKte7gb59tvuyd8xHsF1b")</f>
        <v>https://drive.google.com/open?id=1WjAQVPgXlATxKte7gb59tvuyd8xHsF1b</v>
      </c>
      <c r="F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 *
        (IMPORTRANGE(""https://docs.google.com/spreadsheets/d/161aHT6vVT3SLneTKD19N5qVWtnj_jIT8CSsOmUVKmaA/"&amp;"edit?gid=1761053510"",
          ""Haris_Form responses 1!$AQ:$AQ"")=1)
      ),
      1
    ),
    ""0""
  ),
  ""Form not found""
)
"),"1")</f>
        <v>1</v>
      </c>
      <c r="G13" s="245" t="str">
        <f>IFERROR(__xludf.DUMMYFUNCTION("IFERROR(
  INDEX(
    FILTER(
      Transcription!$AJ:$AJ,
      TRIM(CLEAN(TEXT(Transcription!$F:$F, ""@""))) = TRIM(CLEAN(TEXT($D13, ""@""))),
      Transcription!$AO:$AO = 1
    ),
    1
  ),
  ""Not Found""
)
"),"https://drive.google.com/open?id=1THXCDuENZb6NZQvHiUew_VFm0aP03RDg")</f>
        <v>https://drive.google.com/open?id=1THXCDuENZb6NZQvHiUew_VFm0aP03RDg</v>
      </c>
      <c r="H13" s="246" t="str">
        <f>IFERROR(__xludf.DUMMYFUNCTION("IFERROR(
  INDEX(
    FILTER(
      Recording!$U:$U,
      TRIM(CLEAN(TEXT(Recording!$E:$E, ""@""))) = TRIM(CLEAN(TEXT($D13, ""@""))),
      Recording!$AA:$AA = 2
    ),
    1
  ),
  ""Not Found""
)
"),"Not Found")</f>
        <v>Not Found</v>
      </c>
      <c r="I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 *
        (IMPORTRANGE(""https://docs.google.com/spreadsheets/d/161aHT6vVT3SLneTKD19N5qVWtnj_jIT8CSsOmUVKmaA/"&amp;"edit?gid=1761053510"",
          ""Haris_Form responses 1!$AQ:$AQ"")=2)
      ),
      1
    ),
    ""0""
  ),
  ""Form not found""
)
"),"Form not found")</f>
        <v>Form not found</v>
      </c>
      <c r="J13" s="247" t="str">
        <f>IFERROR(__xludf.DUMMYFUNCTION("IFERROR(
  INDEX(
    FILTER(
      Transcription!$AJ:$AJ,
      TRIM(CLEAN(TEXT(Transcription!$F:$F, ""@""))) = TRIM(CLEAN(TEXT($D13, ""@""))),
      Transcription!$AO:$AO = 2
    ),
    1
  ),
  ""Not Found""
)
"),"Not Found")</f>
        <v>Not Found</v>
      </c>
      <c r="K13" s="244" t="str">
        <f>IFERROR(__xludf.DUMMYFUNCTION("IFERROR(
  INDEX(
    FILTER(
      Recording!$U:$U,
      TRIM(CLEAN(TEXT(Recording!$E:$E, ""@""))) = TRIM(CLEAN(TEXT($D13, ""@""))),
      Recording!$AA:$AA = 3
    ),
    1
  ),
  ""Not Found""
)
"),"https://drive.google.com/open?id=1da9m8LMMlGOTpICfFZFuYWjRZM9-6N0A")</f>
        <v>https://drive.google.com/open?id=1da9m8LMMlGOTpICfFZFuYWjRZM9-6N0A</v>
      </c>
      <c r="L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 *
        (IMPORTRANGE(""https://docs.google.com/spreadsheets/d/161aHT6vVT3SLneTKD19N5qVWtnj_jIT8CSsOmUVKmaA/"&amp;"edit?gid=1761053510"",
          ""Haris_Form responses 1!$AQ:$AQ"")=3)
      ),
      1
    ),
    ""0""
  ),
  ""Form not found""
)
"),"3")</f>
        <v>3</v>
      </c>
      <c r="M13" s="245" t="str">
        <f>IFERROR(__xludf.DUMMYFUNCTION("IFERROR(
  INDEX(
    FILTER(
      Transcription!$AJ:$AJ,
      TRIM(CLEAN(TEXT(Transcription!$F:$F, ""@""))) = TRIM(CLEAN(TEXT($D13, ""@""))),
      Transcription!$AO:$AO = 3
    ),
    1
  ),
  ""Not Found""
)
"),"https://drive.google.com/open?id=1gla039sz-fHKAeeM_o95bQxaTFnab2r6")</f>
        <v>https://drive.google.com/open?id=1gla039sz-fHKAeeM_o95bQxaTFnab2r6</v>
      </c>
      <c r="N13" s="246" t="str">
        <f>IFERROR(__xludf.DUMMYFUNCTION("IFERROR(
  INDEX(
    FILTER(
      Recording!$U:$U,
      TRIM(CLEAN(TEXT(Recording!$E:$E, ""@""))) = TRIM(CLEAN(TEXT($D13, ""@""))),
      Recording!$AA:$AA = 4
    ),
    1
  ),
  ""Not Found""
)
"),"Not Found")</f>
        <v>Not Found</v>
      </c>
      <c r="O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 *
        (IMPORTRANGE(""https://docs.google.com/spreadsheets/d/161aHT6vVT3SLneTKD19N5qVWtnj_jIT8CSsOmUVKmaA/"&amp;"edit?gid=1761053510"",
          ""Haris_Form responses 1!$AQ:$AQ"")=4)
      ),
      1
    ),
    ""0""
  ),
  ""Form not found""
)
"),"Form not found")</f>
        <v>Form not found</v>
      </c>
      <c r="P13" s="247" t="str">
        <f>IFERROR(__xludf.DUMMYFUNCTION("IFERROR(
  INDEX(
    FILTER(
      Transcription!$AJ:$AJ,
      TRIM(CLEAN(TEXT(Transcription!$F:$F, ""@""))) = TRIM(CLEAN(TEXT($D13, ""@""))),
      Transcription!$AO:$AO = 4
    ),
    1
  ),
  ""Not Found""
)
"),"Not Found")</f>
        <v>Not Found</v>
      </c>
      <c r="Q13" s="246" t="str">
        <f>IFERROR(__xludf.DUMMYFUNCTION("IFERROR(
  INDEX(
    FILTER(
      Recording!$U:$U,
      TRIM(CLEAN(TEXT(Recording!$E:$E, ""@""))) = TRIM(CLEAN(TEXT($D13, ""@""))),
      Recording!$AA:$AA = 5
    ),
    1
  ),
  ""Not Found""
)
"),"Not Found")</f>
        <v>Not Found</v>
      </c>
      <c r="R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 *
        (IMPORTRANGE(""https://docs.google.com/spreadsheets/d/161aHT6vVT3SLneTKD19N5qVWtnj_jIT8CSsOmUVKmaA/"&amp;"edit?gid=1761053510"",
          ""Haris_Form responses 1!$AQ:$AQ"")=5)
      ),
      1
    ),
    ""0""
  ),
  ""Form not found""
)
"),"Form not found")</f>
        <v>Form not found</v>
      </c>
      <c r="S13" s="247" t="str">
        <f>IFERROR(__xludf.DUMMYFUNCTION("IFERROR(
  INDEX(
    FILTER(
      Transcription!$AJ:$AJ,
      TRIM(CLEAN(TEXT(Transcription!$F:$F, ""@""))) = TRIM(CLEAN(TEXT($D13, ""@""))),
      Transcription!$AO:$AO = 5
    ),
    1
  ),
  ""Not Found""
)
"),"Not Found")</f>
        <v>Not Found</v>
      </c>
      <c r="T13" s="246" t="str">
        <f>IFERROR(__xludf.DUMMYFUNCTION("IFERROR(
  INDEX(
    FILTER(
      Recording!$U:$U,
      TRIM(CLEAN(TEXT(Recording!$E:$E, ""@""))) = TRIM(CLEAN(TEXT($D13, ""@""))),
      Recording!$AA:$AA = 6
    ),
    1
  ),
  ""Not Found""
)
"),"Not Found")</f>
        <v>Not Found</v>
      </c>
      <c r="U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 *
        (IMPORTRANGE(""https://docs.google.com/spreadsheets/d/161aHT6vVT3SLneTKD19N5qVWtnj_jIT8CSsOmUVKmaA/"&amp;"edit?gid=1761053510"",
          ""Haris_Form responses 1!$AQ:$AQ"")=6)
      ),
      1
    ),
    ""0""
  ),
  ""Form not found""
)
"),"Form not found")</f>
        <v>Form not found</v>
      </c>
      <c r="V13" s="247" t="str">
        <f>IFERROR(__xludf.DUMMYFUNCTION("IFERROR(
  INDEX(
    FILTER(
      Transcription!$AJ:$AJ,
      TRIM(CLEAN(TEXT(Transcription!$F:$F, ""@""))) = TRIM(CLEAN(TEXT($D13, ""@""))),
      Transcription!$AO:$AO = 6
    ),
    1
  ),
  ""Not Found""
)
"),"Not Found")</f>
        <v>Not Found</v>
      </c>
      <c r="Z13" s="10">
        <f t="shared" si="1"/>
        <v>2</v>
      </c>
      <c r="AA13" s="10">
        <f t="shared" si="2"/>
        <v>0</v>
      </c>
    </row>
    <row r="14">
      <c r="A14" s="8" t="str">
        <f>VLOOKUP($D14,Sheet6!$B:$G,5,FALSE)</f>
        <v>Lahore</v>
      </c>
      <c r="B14" s="232" t="str">
        <f>VLOOKUP($D14,Sheet6!$B:$G,4,FALSE)</f>
        <v>Women Religious Info Share</v>
      </c>
      <c r="C14" s="8">
        <v>6.0</v>
      </c>
      <c r="D14" s="8" t="s">
        <v>670</v>
      </c>
      <c r="E14" s="244" t="str">
        <f>IFERROR(__xludf.DUMMYFUNCTION("IFERROR(
  INDEX(
    FILTER(
      Recording!$U:$U,
      TRIM(CLEAN(TEXT(Recording!$E:$E, ""@""))) = TRIM(CLEAN(TEXT($D14, ""@""))),
      Recording!$AA:$AA = 1
    ),
    1
  ),
  ""Not Found""
)
"),"https://drive.google.com/open?id=1fwweJfdEGZcJmnnrKsLBjpNn-6wnrJB_")</f>
        <v>https://drive.google.com/open?id=1fwweJfdEGZcJmnnrKsLBjpNn-6wnrJB_</v>
      </c>
      <c r="F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 *
        (IMPORTRANGE(""https://docs.google.com/spreadsheets/d/161aHT6vVT3SLneTKD19N5qVWtnj_jIT8CSsOmUVKmaA/"&amp;"edit?gid=1761053510"",
          ""Haris_Form responses 1!$AQ:$AQ"")=1)
      ),
      1
    ),
    ""0""
  ),
  ""Form not found""
)
"),"1")</f>
        <v>1</v>
      </c>
      <c r="G14" s="245" t="str">
        <f>IFERROR(__xludf.DUMMYFUNCTION("IFERROR(
  INDEX(
    FILTER(
      Transcription!$AJ:$AJ,
      TRIM(CLEAN(TEXT(Transcription!$F:$F, ""@""))) = TRIM(CLEAN(TEXT($D14, ""@""))),
      Transcription!$AO:$AO = 1
    ),
    1
  ),
  ""Not Found""
)
"),"https://drive.google.com/open?id=1HNfsmY8nusCBntaHFo4hIDU6d90fxrGU")</f>
        <v>https://drive.google.com/open?id=1HNfsmY8nusCBntaHFo4hIDU6d90fxrGU</v>
      </c>
      <c r="H14" s="244" t="str">
        <f>IFERROR(__xludf.DUMMYFUNCTION("IFERROR(
  INDEX(
    FILTER(
      Recording!$U:$U,
      TRIM(CLEAN(TEXT(Recording!$E:$E, ""@""))) = TRIM(CLEAN(TEXT($D14, ""@""))),
      Recording!$AA:$AA = 2
    ),
    1
  ),
  ""Not Found""
)
"),"https://drive.google.com/open?id=16O1JUFkR4Mev64TMmZlriBveLKpjVstA")</f>
        <v>https://drive.google.com/open?id=16O1JUFkR4Mev64TMmZlriBveLKpjVstA</v>
      </c>
      <c r="I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 *
        (IMPORTRANGE(""https://docs.google.com/spreadsheets/d/161aHT6vVT3SLneTKD19N5qVWtnj_jIT8CSsOmUVKmaA/"&amp;"edit?gid=1761053510"",
          ""Haris_Form responses 1!$AQ:$AQ"")=2)
      ),
      1
    ),
    ""0""
  ),
  ""Form not found""
)
"),"2")</f>
        <v>2</v>
      </c>
      <c r="J14" s="245" t="str">
        <f>IFERROR(__xludf.DUMMYFUNCTION("IFERROR(
  INDEX(
    FILTER(
      Transcription!$AJ:$AJ,
      TRIM(CLEAN(TEXT(Transcription!$F:$F, ""@""))) = TRIM(CLEAN(TEXT($D14, ""@""))),
      Transcription!$AO:$AO = 2
    ),
    1
  ),
  ""Not Found""
)
"),"https://drive.google.com/open?id=1ndenLttbML2V3rEMt_nzOnq-Hfg4Z3lm")</f>
        <v>https://drive.google.com/open?id=1ndenLttbML2V3rEMt_nzOnq-Hfg4Z3lm</v>
      </c>
      <c r="K14" s="244" t="str">
        <f>IFERROR(__xludf.DUMMYFUNCTION("IFERROR(
  INDEX(
    FILTER(
      Recording!$U:$U,
      TRIM(CLEAN(TEXT(Recording!$E:$E, ""@""))) = TRIM(CLEAN(TEXT($D14, ""@""))),
      Recording!$AA:$AA = 3
    ),
    1
  ),
  ""Not Found""
)
"),"https://drive.google.com/open?id=1FTokLh63CMcpmK4WsTW0_WvMXBODsiM_")</f>
        <v>https://drive.google.com/open?id=1FTokLh63CMcpmK4WsTW0_WvMXBODsiM_</v>
      </c>
      <c r="L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 *
        (IMPORTRANGE(""https://docs.google.com/spreadsheets/d/161aHT6vVT3SLneTKD19N5qVWtnj_jIT8CSsOmUVKmaA/"&amp;"edit?gid=1761053510"",
          ""Haris_Form responses 1!$AQ:$AQ"")=3)
      ),
      1
    ),
    ""0""
  ),
  ""Form not found""
)
"),"3")</f>
        <v>3</v>
      </c>
      <c r="M14" s="245" t="str">
        <f>IFERROR(__xludf.DUMMYFUNCTION("IFERROR(
  INDEX(
    FILTER(
      Transcription!$AJ:$AJ,
      TRIM(CLEAN(TEXT(Transcription!$F:$F, ""@""))) = TRIM(CLEAN(TEXT($D14, ""@""))),
      Transcription!$AO:$AO = 3
    ),
    1
  ),
  ""Not Found""
)
"),"https://drive.google.com/open?id=1RBM_fLwrmA2QzIUL0oi2No0CEcYad_xH")</f>
        <v>https://drive.google.com/open?id=1RBM_fLwrmA2QzIUL0oi2No0CEcYad_xH</v>
      </c>
      <c r="N14" s="244" t="str">
        <f>IFERROR(__xludf.DUMMYFUNCTION("IFERROR(
  INDEX(
    FILTER(
      Recording!$U:$U,
      TRIM(CLEAN(TEXT(Recording!$E:$E, ""@""))) = TRIM(CLEAN(TEXT($D14, ""@""))),
      Recording!$AA:$AA = 4
    ),
    1
  ),
  ""Not Found""
)
"),"https://drive.google.com/open?id=1_RDda9LwN5GN_fFSzELQZTCoumsbnjVj")</f>
        <v>https://drive.google.com/open?id=1_RDda9LwN5GN_fFSzELQZTCoumsbnjVj</v>
      </c>
      <c r="O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 *
        (IMPORTRANGE(""https://docs.google.com/spreadsheets/d/161aHT6vVT3SLneTKD19N5qVWtnj_jIT8CSsOmUVKmaA/"&amp;"edit?gid=1761053510"",
          ""Haris_Form responses 1!$AQ:$AQ"")=4)
      ),
      1
    ),
    ""0""
  ),
  ""Form not found""
)
"),"4")</f>
        <v>4</v>
      </c>
      <c r="P14" s="245" t="str">
        <f>IFERROR(__xludf.DUMMYFUNCTION("IFERROR(
  INDEX(
    FILTER(
      Transcription!$AJ:$AJ,
      TRIM(CLEAN(TEXT(Transcription!$F:$F, ""@""))) = TRIM(CLEAN(TEXT($D14, ""@""))),
      Transcription!$AO:$AO = 4
    ),
    1
  ),
  ""Not Found""
)
"),"https://drive.google.com/open?id=1n_YF7WJA2iBKSIOm2HAHhnqkeyrrTZI8")</f>
        <v>https://drive.google.com/open?id=1n_YF7WJA2iBKSIOm2HAHhnqkeyrrTZI8</v>
      </c>
      <c r="Q14" s="244" t="str">
        <f>IFERROR(__xludf.DUMMYFUNCTION("IFERROR(
  INDEX(
    FILTER(
      Recording!$U:$U,
      TRIM(CLEAN(TEXT(Recording!$E:$E, ""@""))) = TRIM(CLEAN(TEXT($D14, ""@""))),
      Recording!$AA:$AA = 5
    ),
    1
  ),
  ""Not Found""
)
"),"https://drive.google.com/open?id=1GTaYN_65bVCDWhUJDME9Wn8tgzBSjyJq")</f>
        <v>https://drive.google.com/open?id=1GTaYN_65bVCDWhUJDME9Wn8tgzBSjyJq</v>
      </c>
      <c r="R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 *
        (IMPORTRANGE(""https://docs.google.com/spreadsheets/d/161aHT6vVT3SLneTKD19N5qVWtnj_jIT8CSsOmUVKmaA/"&amp;"edit?gid=1761053510"",
          ""Haris_Form responses 1!$AQ:$AQ"")=5)
      ),
      1
    ),
    ""0""
  ),
  ""Form not found""
)
"),"5")</f>
        <v>5</v>
      </c>
      <c r="S14" s="245" t="str">
        <f>IFERROR(__xludf.DUMMYFUNCTION("IFERROR(
  INDEX(
    FILTER(
      Transcription!$AJ:$AJ,
      TRIM(CLEAN(TEXT(Transcription!$F:$F, ""@""))) = TRIM(CLEAN(TEXT($D14, ""@""))),
      Transcription!$AO:$AO = 5
    ),
    1
  ),
  ""Not Found""
)
"),"https://drive.google.com/open?id=1A19PweIHe-ltS9bh1OAf9LzxotwX3WiA")</f>
        <v>https://drive.google.com/open?id=1A19PweIHe-ltS9bh1OAf9LzxotwX3WiA</v>
      </c>
      <c r="T14" s="254" t="str">
        <f>IFERROR(__xludf.DUMMYFUNCTION("IFERROR(
  INDEX(
    FILTER(
      Recording!$U:$U,
      TRIM(CLEAN(TEXT(Recording!$E:$E, ""@""))) = TRIM(CLEAN(TEXT($D14, ""@""))),
      Recording!$AA:$AA = 6
    ),
    1
  ),
  ""Not Found""
)
"),"https://drive.google.com/open?id=12IxK8T9AF9e8TWnOEiBRV-tlSXgDhC-E")</f>
        <v>https://drive.google.com/open?id=12IxK8T9AF9e8TWnOEiBRV-tlSXgDhC-E</v>
      </c>
      <c r="U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 *
        (IMPORTRANGE(""https://docs.google.com/spreadsheets/d/161aHT6vVT3SLneTKD19N5qVWtnj_jIT8CSsOmUVKmaA/"&amp;"edit?gid=1761053510"",
          ""Haris_Form responses 1!$AQ:$AQ"")=6)
      ),
      1
    ),
    ""0""
  ),
  ""Form not found""
)
"),"6")</f>
        <v>6</v>
      </c>
      <c r="V14" s="245" t="str">
        <f>IFERROR(__xludf.DUMMYFUNCTION("IFERROR(
  INDEX(
    FILTER(
      Transcription!$AJ:$AJ,
      TRIM(CLEAN(TEXT(Transcription!$F:$F, ""@""))) = TRIM(CLEAN(TEXT($D14, ""@""))),
      Transcription!$AO:$AO = 6
    ),
    1
  ),
  ""Not Found""
)
"),"https://drive.google.com/open?id=1206zr9eLigalQaKSEitjgxQFFg464SD_")</f>
        <v>https://drive.google.com/open?id=1206zr9eLigalQaKSEitjgxQFFg464SD_</v>
      </c>
      <c r="W14" s="8" t="s">
        <v>4509</v>
      </c>
      <c r="X14" s="8" t="s">
        <v>4510</v>
      </c>
      <c r="Z14" s="10">
        <f t="shared" si="1"/>
        <v>6</v>
      </c>
      <c r="AA14" s="10">
        <f t="shared" si="2"/>
        <v>0</v>
      </c>
    </row>
    <row r="15">
      <c r="A15" s="8" t="str">
        <f>VLOOKUP($D15,Sheet6!$B:$G,5,FALSE)</f>
        <v>Lahore</v>
      </c>
      <c r="B15" s="232" t="str">
        <f>VLOOKUP($D15,Sheet6!$B:$G,4,FALSE)</f>
        <v>Community Religious Info Share</v>
      </c>
      <c r="C15" s="8">
        <v>4.0</v>
      </c>
      <c r="D15" s="8" t="s">
        <v>1680</v>
      </c>
      <c r="E15" s="244" t="str">
        <f>IFERROR(__xludf.DUMMYFUNCTION("IFERROR(
  INDEX(
    FILTER(
      Recording!$U:$U,
      TRIM(CLEAN(TEXT(Recording!$E:$E, ""@""))) = TRIM(CLEAN(TEXT($D15, ""@""))),
      Recording!$AA:$AA = 1
    ),
    1
  ),
  ""Not Found""
)
"),"https://drive.google.com/open?id=1Kniam6Czmn2Cc9493GXJd4iAFRXf_z4n")</f>
        <v>https://drive.google.com/open?id=1Kniam6Czmn2Cc9493GXJd4iAFRXf_z4n</v>
      </c>
      <c r="F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 *
        (IMPORTRANGE(""https://docs.google.com/spreadsheets/d/161aHT6vVT3SLneTKD19N5qVWtnj_jIT8CSsOmUVKmaA/"&amp;"edit?gid=1761053510"",
          ""Haris_Form responses 1!$AQ:$AQ"")=1)
      ),
      1
    ),
    ""0""
  ),
  ""Form not found""
)
"),"1")</f>
        <v>1</v>
      </c>
      <c r="G15" s="245" t="str">
        <f>IFERROR(__xludf.DUMMYFUNCTION("IFERROR(
  INDEX(
    FILTER(
      Transcription!$AJ:$AJ,
      TRIM(CLEAN(TEXT(Transcription!$F:$F, ""@""))) = TRIM(CLEAN(TEXT($D15, ""@""))),
      Transcription!$AO:$AO = 1
    ),
    1
  ),
  ""Not Found""
)
"),"https://drive.google.com/open?id=1J34zeyDiFzj_NJf6nhMjn-VJZRcD5cgZ")</f>
        <v>https://drive.google.com/open?id=1J34zeyDiFzj_NJf6nhMjn-VJZRcD5cgZ</v>
      </c>
      <c r="H15" s="244" t="str">
        <f>IFERROR(__xludf.DUMMYFUNCTION("IFERROR(
  INDEX(
    FILTER(
      Recording!$U:$U,
      TRIM(CLEAN(TEXT(Recording!$E:$E, ""@""))) = TRIM(CLEAN(TEXT($D15, ""@""))),
      Recording!$AA:$AA = 2
    ),
    1
  ),
  ""Not Found""
)
"),"https://drive.google.com/open?id=1NHvCxlJulyMVu8rr0_9h3cfGPvzKyMA3")</f>
        <v>https://drive.google.com/open?id=1NHvCxlJulyMVu8rr0_9h3cfGPvzKyMA3</v>
      </c>
      <c r="I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 *
        (IMPORTRANGE(""https://docs.google.com/spreadsheets/d/161aHT6vVT3SLneTKD19N5qVWtnj_jIT8CSsOmUVKmaA/"&amp;"edit?gid=1761053510"",
          ""Haris_Form responses 1!$AQ:$AQ"")=2)
      ),
      1
    ),
    ""0""
  ),
  ""Form not found""
)
"),"2")</f>
        <v>2</v>
      </c>
      <c r="J15" s="245" t="str">
        <f>IFERROR(__xludf.DUMMYFUNCTION("IFERROR(
  INDEX(
    FILTER(
      Transcription!$AJ:$AJ,
      TRIM(CLEAN(TEXT(Transcription!$F:$F, ""@""))) = TRIM(CLEAN(TEXT($D15, ""@""))),
      Transcription!$AO:$AO = 2
    ),
    1
  ),
  ""Not Found""
)
"),"https://drive.google.com/open?id=1E1Q2x04Zyox5w-L9KMtDoNqQSpo3-JZ3")</f>
        <v>https://drive.google.com/open?id=1E1Q2x04Zyox5w-L9KMtDoNqQSpo3-JZ3</v>
      </c>
      <c r="K15" s="244" t="str">
        <f>IFERROR(__xludf.DUMMYFUNCTION("IFERROR(
  INDEX(
    FILTER(
      Recording!$U:$U,
      TRIM(CLEAN(TEXT(Recording!$E:$E, ""@""))) = TRIM(CLEAN(TEXT($D15, ""@""))),
      Recording!$AA:$AA = 3
    ),
    1
  ),
  ""Not Found""
)
"),"https://drive.google.com/open?id=1zmKm6su4u2NNqCEEpBIl-lfdcAc-cnkv")</f>
        <v>https://drive.google.com/open?id=1zmKm6su4u2NNqCEEpBIl-lfdcAc-cnkv</v>
      </c>
      <c r="L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 *
        (IMPORTRANGE(""https://docs.google.com/spreadsheets/d/161aHT6vVT3SLneTKD19N5qVWtnj_jIT8CSsOmUVKmaA/"&amp;"edit?gid=1761053510"",
          ""Haris_Form responses 1!$AQ:$AQ"")=3)
      ),
      1
    ),
    ""0""
  ),
  ""Form not found""
)
"),"3")</f>
        <v>3</v>
      </c>
      <c r="M15" s="245" t="str">
        <f>IFERROR(__xludf.DUMMYFUNCTION("IFERROR(
  INDEX(
    FILTER(
      Transcription!$AJ:$AJ,
      TRIM(CLEAN(TEXT(Transcription!$F:$F, ""@""))) = TRIM(CLEAN(TEXT($D15, ""@""))),
      Transcription!$AO:$AO = 3
    ),
    1
  ),
  ""Not Found""
)
"),"https://drive.google.com/open?id=1h-nV5eX6kblc6Cj7L2gUd824gemcpSsW")</f>
        <v>https://drive.google.com/open?id=1h-nV5eX6kblc6Cj7L2gUd824gemcpSsW</v>
      </c>
      <c r="N15" s="244" t="str">
        <f>IFERROR(__xludf.DUMMYFUNCTION("IFERROR(
  INDEX(
    FILTER(
      Recording!$U:$U,
      TRIM(CLEAN(TEXT(Recording!$E:$E, ""@""))) = TRIM(CLEAN(TEXT($D15, ""@""))),
      Recording!$AA:$AA = 4
    ),
    1
  ),
  ""Not Found""
)
"),"https://drive.google.com/open?id=1LWNokqgHxJH1saY1YDbkPCrR6iLd-Qls")</f>
        <v>https://drive.google.com/open?id=1LWNokqgHxJH1saY1YDbkPCrR6iLd-Qls</v>
      </c>
      <c r="O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 *
        (IMPORTRANGE(""https://docs.google.com/spreadsheets/d/161aHT6vVT3SLneTKD19N5qVWtnj_jIT8CSsOmUVKmaA/"&amp;"edit?gid=1761053510"",
          ""Haris_Form responses 1!$AQ:$AQ"")=4)
      ),
      1
    ),
    ""0""
  ),
  ""Form not found""
)
"),"4")</f>
        <v>4</v>
      </c>
      <c r="P15" s="245" t="str">
        <f>IFERROR(__xludf.DUMMYFUNCTION("IFERROR(
  INDEX(
    FILTER(
      Transcription!$AJ:$AJ,
      TRIM(CLEAN(TEXT(Transcription!$F:$F, ""@""))) = TRIM(CLEAN(TEXT($D15, ""@""))),
      Transcription!$AO:$AO = 4
    ),
    1
  ),
  ""Not Found""
)
"),"https://drive.google.com/open?id=1omvi7fM6kW-XYLVKK8POcmU1f6X1l3Eh")</f>
        <v>https://drive.google.com/open?id=1omvi7fM6kW-XYLVKK8POcmU1f6X1l3Eh</v>
      </c>
      <c r="Q15" s="246" t="str">
        <f>IFERROR(__xludf.DUMMYFUNCTION("IFERROR(
  INDEX(
    FILTER(
      Recording!$U:$U,
      TRIM(CLEAN(TEXT(Recording!$E:$E, ""@""))) = TRIM(CLEAN(TEXT($D15, ""@""))),
      Recording!$AA:$AA = 5
    ),
    1
  ),
  ""Not Found""
)
"),"Not Found")</f>
        <v>Not Found</v>
      </c>
      <c r="R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 *
        (IMPORTRANGE(""https://docs.google.com/spreadsheets/d/161aHT6vVT3SLneTKD19N5qVWtnj_jIT8CSsOmUVKmaA/"&amp;"edit?gid=1761053510"",
          ""Haris_Form responses 1!$AQ:$AQ"")=5)
      ),
      1
    ),
    ""0""
  ),
  ""Form not found""
)
"),"Form not found")</f>
        <v>Form not found</v>
      </c>
      <c r="S15" s="247" t="str">
        <f>IFERROR(__xludf.DUMMYFUNCTION("IFERROR(
  INDEX(
    FILTER(
      Transcription!$AJ:$AJ,
      TRIM(CLEAN(TEXT(Transcription!$F:$F, ""@""))) = TRIM(CLEAN(TEXT($D15, ""@""))),
      Transcription!$AO:$AO = 5
    ),
    1
  ),
  ""Not Found""
)
"),"Not Found")</f>
        <v>Not Found</v>
      </c>
      <c r="T15" s="248" t="str">
        <f>IFERROR(__xludf.DUMMYFUNCTION("IFERROR(
  INDEX(
    FILTER(
      Recording!$U:$U,
      TRIM(CLEAN(TEXT(Recording!$E:$E, ""@""))) = TRIM(CLEAN(TEXT($D15, ""@""))),
      Recording!$AA:$AA = 6
    ),
    1
  ),
  ""Not Found""
)
"),"Not Found")</f>
        <v>Not Found</v>
      </c>
      <c r="U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 *
        (IMPORTRANGE(""https://docs.google.com/spreadsheets/d/161aHT6vVT3SLneTKD19N5qVWtnj_jIT8CSsOmUVKmaA/"&amp;"edit?gid=1761053510"",
          ""Haris_Form responses 1!$AQ:$AQ"")=6)
      ),
      1
    ),
    ""0""
  ),
  ""Form not found""
)
"),"Form not found")</f>
        <v>Form not found</v>
      </c>
      <c r="V15" s="247" t="str">
        <f>IFERROR(__xludf.DUMMYFUNCTION("IFERROR(
  INDEX(
    FILTER(
      Transcription!$AJ:$AJ,
      TRIM(CLEAN(TEXT(Transcription!$F:$F, ""@""))) = TRIM(CLEAN(TEXT($D15, ""@""))),
      Transcription!$AO:$AO = 6
    ),
    1
  ),
  ""Not Found""
)
"),"Not Found")</f>
        <v>Not Found</v>
      </c>
      <c r="Z15" s="10">
        <f t="shared" si="1"/>
        <v>4</v>
      </c>
      <c r="AA15" s="10">
        <f t="shared" si="2"/>
        <v>0</v>
      </c>
    </row>
    <row r="16">
      <c r="A16" s="8" t="str">
        <f>VLOOKUP($D16,Sheet6!$B:$G,5,FALSE)</f>
        <v>Lahore</v>
      </c>
      <c r="B16" s="232" t="str">
        <f>VLOOKUP($D16,Sheet6!$B:$G,4,FALSE)</f>
        <v>Community Secular Info Share</v>
      </c>
      <c r="C16" s="8">
        <v>4.0</v>
      </c>
      <c r="D16" s="8" t="s">
        <v>1147</v>
      </c>
      <c r="E16" s="244" t="str">
        <f>IFERROR(__xludf.DUMMYFUNCTION("IFERROR(
  INDEX(
    FILTER(
      Recording!$U:$U,
      TRIM(CLEAN(TEXT(Recording!$E:$E, ""@""))) = TRIM(CLEAN(TEXT($D16, ""@""))),
      Recording!$AA:$AA = 1
    ),
    1
  ),
  ""Not Found""
)
"),"https://drive.google.com/open?id=1pXgXrGaG0bTvVmClhccpP7w3OiEynF0m")</f>
        <v>https://drive.google.com/open?id=1pXgXrGaG0bTvVmClhccpP7w3OiEynF0m</v>
      </c>
      <c r="F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 *
        (IMPORTRANGE(""https://docs.google.com/spreadsheets/d/161aHT6vVT3SLneTKD19N5qVWtnj_jIT8CSsOmUVKmaA/"&amp;"edit?gid=1761053510"",
          ""Haris_Form responses 1!$AQ:$AQ"")=1)
      ),
      1
    ),
    ""0""
  ),
  ""Form not found""
)
"),"1")</f>
        <v>1</v>
      </c>
      <c r="G16" s="245" t="str">
        <f>IFERROR(__xludf.DUMMYFUNCTION("IFERROR(
  INDEX(
    FILTER(
      Transcription!$AJ:$AJ,
      TRIM(CLEAN(TEXT(Transcription!$F:$F, ""@""))) = TRIM(CLEAN(TEXT($D16, ""@""))),
      Transcription!$AO:$AO = 1
    ),
    1
  ),
  ""Not Found""
)
"),"https://drive.google.com/open?id=1o8EFoMPLaDXYXQayfZCSvql00rRyfgqE")</f>
        <v>https://drive.google.com/open?id=1o8EFoMPLaDXYXQayfZCSvql00rRyfgqE</v>
      </c>
      <c r="H16" s="244" t="str">
        <f>IFERROR(__xludf.DUMMYFUNCTION("IFERROR(
  INDEX(
    FILTER(
      Recording!$U:$U,
      TRIM(CLEAN(TEXT(Recording!$E:$E, ""@""))) = TRIM(CLEAN(TEXT($D16, ""@""))),
      Recording!$AA:$AA = 2
    ),
    1
  ),
  ""Not Found""
)
"),"https://drive.google.com/open?id=1teRxO8T2SXJk7o7qNZ_gO1aGJidB6TVF")</f>
        <v>https://drive.google.com/open?id=1teRxO8T2SXJk7o7qNZ_gO1aGJidB6TVF</v>
      </c>
      <c r="I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 *
        (IMPORTRANGE(""https://docs.google.com/spreadsheets/d/161aHT6vVT3SLneTKD19N5qVWtnj_jIT8CSsOmUVKmaA/"&amp;"edit?gid=1761053510"",
          ""Haris_Form responses 1!$AQ:$AQ"")=2)
      ),
      1
    ),
    ""0""
  ),
  ""Form not found""
)
"),"2")</f>
        <v>2</v>
      </c>
      <c r="J16" s="245" t="str">
        <f>IFERROR(__xludf.DUMMYFUNCTION("IFERROR(
  INDEX(
    FILTER(
      Transcription!$AJ:$AJ,
      TRIM(CLEAN(TEXT(Transcription!$F:$F, ""@""))) = TRIM(CLEAN(TEXT($D16, ""@""))),
      Transcription!$AO:$AO = 2
    ),
    1
  ),
  ""Not Found""
)
"),"https://drive.google.com/open?id=11eUklKQBXkrlLJBTWiGY5EPYYfxRB2Vt")</f>
        <v>https://drive.google.com/open?id=11eUklKQBXkrlLJBTWiGY5EPYYfxRB2Vt</v>
      </c>
      <c r="K16" s="244" t="str">
        <f>IFERROR(__xludf.DUMMYFUNCTION("IFERROR(
  INDEX(
    FILTER(
      Recording!$U:$U,
      TRIM(CLEAN(TEXT(Recording!$E:$E, ""@""))) = TRIM(CLEAN(TEXT($D16, ""@""))),
      Recording!$AA:$AA = 3
    ),
    1
  ),
  ""Not Found""
)
"),"https://drive.google.com/open?id=1_exkS--n8ZhIoNB46myakyF-OGZrqgp7")</f>
        <v>https://drive.google.com/open?id=1_exkS--n8ZhIoNB46myakyF-OGZrqgp7</v>
      </c>
      <c r="L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 *
        (IMPORTRANGE(""https://docs.google.com/spreadsheets/d/161aHT6vVT3SLneTKD19N5qVWtnj_jIT8CSsOmUVKmaA/"&amp;"edit?gid=1761053510"",
          ""Haris_Form responses 1!$AQ:$AQ"")=3)
      ),
      1
    ),
    ""0""
  ),
  ""Form not found""
)
"),"3")</f>
        <v>3</v>
      </c>
      <c r="M16" s="245" t="str">
        <f>IFERROR(__xludf.DUMMYFUNCTION("IFERROR(
  INDEX(
    FILTER(
      Transcription!$AJ:$AJ,
      TRIM(CLEAN(TEXT(Transcription!$F:$F, ""@""))) = TRIM(CLEAN(TEXT($D16, ""@""))),
      Transcription!$AO:$AO = 3
    ),
    1
  ),
  ""Not Found""
)
"),"https://drive.google.com/open?id=1SwQZDy53oq7YCA4DzRaFYpgb-qixCZv-")</f>
        <v>https://drive.google.com/open?id=1SwQZDy53oq7YCA4DzRaFYpgb-qixCZv-</v>
      </c>
      <c r="N16" s="244" t="str">
        <f>IFERROR(__xludf.DUMMYFUNCTION("IFERROR(
  INDEX(
    FILTER(
      Recording!$U:$U,
      TRIM(CLEAN(TEXT(Recording!$E:$E, ""@""))) = TRIM(CLEAN(TEXT($D16, ""@""))),
      Recording!$AA:$AA = 4
    ),
    1
  ),
  ""Not Found""
)
"),"https://drive.google.com/open?id=1cPJswgGP0xJ3tQ_D7xdoSijsuph3oqSg")</f>
        <v>https://drive.google.com/open?id=1cPJswgGP0xJ3tQ_D7xdoSijsuph3oqSg</v>
      </c>
      <c r="O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 *
        (IMPORTRANGE(""https://docs.google.com/spreadsheets/d/161aHT6vVT3SLneTKD19N5qVWtnj_jIT8CSsOmUVKmaA/"&amp;"edit?gid=1761053510"",
          ""Haris_Form responses 1!$AQ:$AQ"")=4)
      ),
      1
    ),
    ""0""
  ),
  ""Form not found""
)
"),"4")</f>
        <v>4</v>
      </c>
      <c r="P16" s="245" t="str">
        <f>IFERROR(__xludf.DUMMYFUNCTION("IFERROR(
  INDEX(
    FILTER(
      Transcription!$AJ:$AJ,
      TRIM(CLEAN(TEXT(Transcription!$F:$F, ""@""))) = TRIM(CLEAN(TEXT($D16, ""@""))),
      Transcription!$AO:$AO = 4
    ),
    1
  ),
  ""Not Found""
)
"),"https://drive.google.com/open?id=1gm_Gvqe7dhDcvZP2u4Leg-N7YK4lKiF9")</f>
        <v>https://drive.google.com/open?id=1gm_Gvqe7dhDcvZP2u4Leg-N7YK4lKiF9</v>
      </c>
      <c r="Q16" s="246" t="str">
        <f>IFERROR(__xludf.DUMMYFUNCTION("IFERROR(
  INDEX(
    FILTER(
      Recording!$U:$U,
      TRIM(CLEAN(TEXT(Recording!$E:$E, ""@""))) = TRIM(CLEAN(TEXT($D16, ""@""))),
      Recording!$AA:$AA = 5
    ),
    1
  ),
  ""Not Found""
)
"),"Not Found")</f>
        <v>Not Found</v>
      </c>
      <c r="R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 *
        (IMPORTRANGE(""https://docs.google.com/spreadsheets/d/161aHT6vVT3SLneTKD19N5qVWtnj_jIT8CSsOmUVKmaA/"&amp;"edit?gid=1761053510"",
          ""Haris_Form responses 1!$AQ:$AQ"")=5)
      ),
      1
    ),
    ""0""
  ),
  ""Form not found""
)
"),"Form not found")</f>
        <v>Form not found</v>
      </c>
      <c r="S16" s="247" t="str">
        <f>IFERROR(__xludf.DUMMYFUNCTION("IFERROR(
  INDEX(
    FILTER(
      Transcription!$AJ:$AJ,
      TRIM(CLEAN(TEXT(Transcription!$F:$F, ""@""))) = TRIM(CLEAN(TEXT($D16, ""@""))),
      Transcription!$AO:$AO = 5
    ),
    1
  ),
  ""Not Found""
)
"),"Not Found")</f>
        <v>Not Found</v>
      </c>
      <c r="T16" s="248" t="str">
        <f>IFERROR(__xludf.DUMMYFUNCTION("IFERROR(
  INDEX(
    FILTER(
      Recording!$U:$U,
      TRIM(CLEAN(TEXT(Recording!$E:$E, ""@""))) = TRIM(CLEAN(TEXT($D16, ""@""))),
      Recording!$AA:$AA = 6
    ),
    1
  ),
  ""Not Found""
)
"),"Not Found")</f>
        <v>Not Found</v>
      </c>
      <c r="U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 *
        (IMPORTRANGE(""https://docs.google.com/spreadsheets/d/161aHT6vVT3SLneTKD19N5qVWtnj_jIT8CSsOmUVKmaA/"&amp;"edit?gid=1761053510"",
          ""Haris_Form responses 1!$AQ:$AQ"")=6)
      ),
      1
    ),
    ""0""
  ),
  ""Form not found""
)
"),"Form not found")</f>
        <v>Form not found</v>
      </c>
      <c r="V16" s="247" t="str">
        <f>IFERROR(__xludf.DUMMYFUNCTION("IFERROR(
  INDEX(
    FILTER(
      Transcription!$AJ:$AJ,
      TRIM(CLEAN(TEXT(Transcription!$F:$F, ""@""))) = TRIM(CLEAN(TEXT($D16, ""@""))),
      Transcription!$AO:$AO = 6
    ),
    1
  ),
  ""Not Found""
)
"),"Not Found")</f>
        <v>Not Found</v>
      </c>
      <c r="X16" s="8" t="s">
        <v>4511</v>
      </c>
      <c r="Z16" s="10">
        <f t="shared" si="1"/>
        <v>4</v>
      </c>
      <c r="AA16" s="10">
        <f t="shared" si="2"/>
        <v>0</v>
      </c>
    </row>
    <row r="17">
      <c r="A17" s="8" t="str">
        <f>VLOOKUP($D17,Sheet6!$B:$G,5,FALSE)</f>
        <v>Lahore</v>
      </c>
      <c r="B17" s="232" t="str">
        <f>VLOOKUP($D17,Sheet6!$B:$G,4,FALSE)</f>
        <v>Women Religious Info Share</v>
      </c>
      <c r="C17" s="8">
        <v>3.0</v>
      </c>
      <c r="D17" s="8" t="s">
        <v>1485</v>
      </c>
      <c r="E17" s="255" t="s">
        <v>4512</v>
      </c>
      <c r="F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 *
        (IMPORTRANGE(""https://docs.google.com/spreadsheets/d/161aHT6vVT3SLneTKD19N5qVWtnj_jIT8CSsOmUVKmaA/"&amp;"edit?gid=1761053510"",
          ""Haris_Form responses 1!$AQ:$AQ"")=1)
      ),
      1
    ),
    ""0""
  ),
  ""Form not found""
)
"),"Form not found")</f>
        <v>Form not found</v>
      </c>
      <c r="G17" s="247" t="str">
        <f>IFERROR(__xludf.DUMMYFUNCTION("IFERROR(
  INDEX(
    FILTER(
      Transcription!$AJ:$AJ,
      TRIM(CLEAN(TEXT(Transcription!$F:$F, ""@""))) = TRIM(CLEAN(TEXT($D17, ""@""))),
      Transcription!$AO:$AO = 1
    ),
    1
  ),
  ""Not Found""
)
"),"Not Found")</f>
        <v>Not Found</v>
      </c>
      <c r="H17" s="244" t="str">
        <f>IFERROR(__xludf.DUMMYFUNCTION("IFERROR(
  INDEX(
    FILTER(
      Recording!$U:$U,
      TRIM(CLEAN(TEXT(Recording!$E:$E, ""@""))) = TRIM(CLEAN(TEXT($D17, ""@""))),
      Recording!$AA:$AA = 2
    ),
    1
  ),
  ""Not Found""
)
"),"https://drive.google.com/open?id=1s13hgqYE3w1sNIyBqZcw3y4YRuBwd5ls")</f>
        <v>https://drive.google.com/open?id=1s13hgqYE3w1sNIyBqZcw3y4YRuBwd5ls</v>
      </c>
      <c r="I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 *
        (IMPORTRANGE(""https://docs.google.com/spreadsheets/d/161aHT6vVT3SLneTKD19N5qVWtnj_jIT8CSsOmUVKmaA/"&amp;"edit?gid=1761053510"",
          ""Haris_Form responses 1!$AQ:$AQ"")=2)
      ),
      1
    ),
    ""0""
  ),
  ""Form not found""
)
"),"2")</f>
        <v>2</v>
      </c>
      <c r="J17" s="245" t="str">
        <f>IFERROR(__xludf.DUMMYFUNCTION("IFERROR(
  INDEX(
    FILTER(
      Transcription!$AJ:$AJ,
      TRIM(CLEAN(TEXT(Transcription!$F:$F, ""@""))) = TRIM(CLEAN(TEXT($D17, ""@""))),
      Transcription!$AO:$AO = 2
    ),
    1
  ),
  ""Not Found""
)
"),"https://drive.google.com/open?id=1ghA7xZDVSS5NbPsi3PULp4RSHglo7TJs")</f>
        <v>https://drive.google.com/open?id=1ghA7xZDVSS5NbPsi3PULp4RSHglo7TJs</v>
      </c>
      <c r="K17" s="244" t="str">
        <f>IFERROR(__xludf.DUMMYFUNCTION("IFERROR(
  INDEX(
    FILTER(
      Recording!$U:$U,
      TRIM(CLEAN(TEXT(Recording!$E:$E, ""@""))) = TRIM(CLEAN(TEXT($D17, ""@""))),
      Recording!$AA:$AA = 3
    ),
    1
  ),
  ""Not Found""
)
"),"https://drive.google.com/open?id=1YwDtR46yEUP6HXfVdFoy7PvumqpEf9g1")</f>
        <v>https://drive.google.com/open?id=1YwDtR46yEUP6HXfVdFoy7PvumqpEf9g1</v>
      </c>
      <c r="L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 *
        (IMPORTRANGE(""https://docs.google.com/spreadsheets/d/161aHT6vVT3SLneTKD19N5qVWtnj_jIT8CSsOmUVKmaA/"&amp;"edit?gid=1761053510"",
          ""Haris_Form responses 1!$AQ:$AQ"")=3)
      ),
      1
    ),
    ""0""
  ),
  ""Form not found""
)
"),"3")</f>
        <v>3</v>
      </c>
      <c r="M17" s="245" t="str">
        <f>IFERROR(__xludf.DUMMYFUNCTION("IFERROR(
  INDEX(
    FILTER(
      Transcription!$AJ:$AJ,
      TRIM(CLEAN(TEXT(Transcription!$F:$F, ""@""))) = TRIM(CLEAN(TEXT($D17, ""@""))),
      Transcription!$AO:$AO = 3
    ),
    1
  ),
  ""Not Found""
)
"),"https://drive.google.com/open?id=1VvQUZ_OfIsYuxn58dXh6vUJuNfozVBdR")</f>
        <v>https://drive.google.com/open?id=1VvQUZ_OfIsYuxn58dXh6vUJuNfozVBdR</v>
      </c>
      <c r="N17" s="244" t="str">
        <f>IFERROR(__xludf.DUMMYFUNCTION("IFERROR(
  INDEX(
    FILTER(
      Recording!$U:$U,
      TRIM(CLEAN(TEXT(Recording!$E:$E, ""@""))) = TRIM(CLEAN(TEXT($D17, ""@""))),
      Recording!$AA:$AA = 4
    ),
    1
  ),
  ""Not Found""
)
"),"https://drive.google.com/open?id=1Gi9w74SvJhR-w7JnJUR1xvvzRIHySmR6")</f>
        <v>https://drive.google.com/open?id=1Gi9w74SvJhR-w7JnJUR1xvvzRIHySmR6</v>
      </c>
      <c r="O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 *
        (IMPORTRANGE(""https://docs.google.com/spreadsheets/d/161aHT6vVT3SLneTKD19N5qVWtnj_jIT8CSsOmUVKmaA/"&amp;"edit?gid=1761053510"",
          ""Haris_Form responses 1!$AQ:$AQ"")=4)
      ),
      1
    ),
    ""0""
  ),
  ""Form not found""
)
"),"4")</f>
        <v>4</v>
      </c>
      <c r="P17" s="245" t="str">
        <f>IFERROR(__xludf.DUMMYFUNCTION("IFERROR(
  INDEX(
    FILTER(
      Transcription!$AJ:$AJ,
      TRIM(CLEAN(TEXT(Transcription!$F:$F, ""@""))) = TRIM(CLEAN(TEXT($D17, ""@""))),
      Transcription!$AO:$AO = 4
    ),
    1
  ),
  ""Not Found""
)
"),"https://drive.google.com/open?id=1u-9NUNkk3LuekH6_nYXuXSET6EI1CLvb")</f>
        <v>https://drive.google.com/open?id=1u-9NUNkk3LuekH6_nYXuXSET6EI1CLvb</v>
      </c>
      <c r="Q17" s="246" t="str">
        <f>IFERROR(__xludf.DUMMYFUNCTION("IFERROR(
  INDEX(
    FILTER(
      Recording!$U:$U,
      TRIM(CLEAN(TEXT(Recording!$E:$E, ""@""))) = TRIM(CLEAN(TEXT($D17, ""@""))),
      Recording!$AA:$AA = 5
    ),
    1
  ),
  ""Not Found""
)
"),"Not Found")</f>
        <v>Not Found</v>
      </c>
      <c r="R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 *
        (IMPORTRANGE(""https://docs.google.com/spreadsheets/d/161aHT6vVT3SLneTKD19N5qVWtnj_jIT8CSsOmUVKmaA/"&amp;"edit?gid=1761053510"",
          ""Haris_Form responses 1!$AQ:$AQ"")=5)
      ),
      1
    ),
    ""0""
  ),
  ""Form not found""
)
"),"Form not found")</f>
        <v>Form not found</v>
      </c>
      <c r="S17" s="247" t="str">
        <f>IFERROR(__xludf.DUMMYFUNCTION("IFERROR(
  INDEX(
    FILTER(
      Transcription!$AJ:$AJ,
      TRIM(CLEAN(TEXT(Transcription!$F:$F, ""@""))) = TRIM(CLEAN(TEXT($D17, ""@""))),
      Transcription!$AO:$AO = 5
    ),
    1
  ),
  ""Not Found""
)
"),"Not Found")</f>
        <v>Not Found</v>
      </c>
      <c r="T17" s="248" t="str">
        <f>IFERROR(__xludf.DUMMYFUNCTION("IFERROR(
  INDEX(
    FILTER(
      Recording!$U:$U,
      TRIM(CLEAN(TEXT(Recording!$E:$E, ""@""))) = TRIM(CLEAN(TEXT($D17, ""@""))),
      Recording!$AA:$AA = 6
    ),
    1
  ),
  ""Not Found""
)
"),"Not Found")</f>
        <v>Not Found</v>
      </c>
      <c r="U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 *
        (IMPORTRANGE(""https://docs.google.com/spreadsheets/d/161aHT6vVT3SLneTKD19N5qVWtnj_jIT8CSsOmUVKmaA/"&amp;"edit?gid=1761053510"",
          ""Haris_Form responses 1!$AQ:$AQ"")=6)
      ),
      1
    ),
    ""0""
  ),
  ""Form not found""
)
"),"Form not found")</f>
        <v>Form not found</v>
      </c>
      <c r="V17" s="247" t="str">
        <f>IFERROR(__xludf.DUMMYFUNCTION("IFERROR(
  INDEX(
    FILTER(
      Transcription!$AJ:$AJ,
      TRIM(CLEAN(TEXT(Transcription!$F:$F, ""@""))) = TRIM(CLEAN(TEXT($D17, ""@""))),
      Transcription!$AO:$AO = 6
    ),
    1
  ),
  ""Not Found""
)
"),"Not Found")</f>
        <v>Not Found</v>
      </c>
      <c r="Z17" s="10">
        <f t="shared" si="1"/>
        <v>3</v>
      </c>
      <c r="AA17" s="10">
        <f t="shared" si="2"/>
        <v>0</v>
      </c>
    </row>
    <row r="18">
      <c r="A18" s="8" t="str">
        <f>VLOOKUP($D18,Sheet6!$B:$G,5,FALSE)</f>
        <v>Lahore</v>
      </c>
      <c r="B18" s="232" t="str">
        <f>VLOOKUP($D18,Sheet6!$B:$G,4,FALSE)</f>
        <v>Control</v>
      </c>
      <c r="C18" s="8">
        <v>2.0</v>
      </c>
      <c r="D18" s="8" t="s">
        <v>1328</v>
      </c>
      <c r="E18" s="244" t="str">
        <f>IFERROR(__xludf.DUMMYFUNCTION("IFERROR(
  INDEX(
    FILTER(
      Recording!$U:$U,
      TRIM(CLEAN(TEXT(Recording!$E:$E, ""@""))) = TRIM(CLEAN(TEXT($D18, ""@""))),
      Recording!$AA:$AA = 1
    ),
    1
  ),
  ""Not Found""
)
"),"https://drive.google.com/open?id=1B1t76Ga60ld94Y1IQ_DulkO8hdUnlfxq")</f>
        <v>https://drive.google.com/open?id=1B1t76Ga60ld94Y1IQ_DulkO8hdUnlfxq</v>
      </c>
      <c r="F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 *
        (IMPORTRANGE(""https://docs.google.com/spreadsheets/d/161aHT6vVT3SLneTKD19N5qVWtnj_jIT8CSsOmUVKmaA/"&amp;"edit?gid=1761053510"",
          ""Haris_Form responses 1!$AQ:$AQ"")=1)
      ),
      1
    ),
    ""0""
  ),
  ""Form not found""
)
"),"1")</f>
        <v>1</v>
      </c>
      <c r="G18" s="245" t="str">
        <f>IFERROR(__xludf.DUMMYFUNCTION("IFERROR(
  INDEX(
    FILTER(
      Transcription!$AJ:$AJ,
      TRIM(CLEAN(TEXT(Transcription!$F:$F, ""@""))) = TRIM(CLEAN(TEXT($D18, ""@""))),
      Transcription!$AO:$AO = 1
    ),
    1
  ),
  ""Not Found""
)
"),"https://drive.google.com/open?id=1HGG9WXpilL888EoLqp-mWcMvBFNV2LR4")</f>
        <v>https://drive.google.com/open?id=1HGG9WXpilL888EoLqp-mWcMvBFNV2LR4</v>
      </c>
      <c r="H18" s="246" t="str">
        <f>IFERROR(__xludf.DUMMYFUNCTION("IFERROR(
  INDEX(
    FILTER(
      Recording!$U:$U,
      TRIM(CLEAN(TEXT(Recording!$E:$E, ""@""))) = TRIM(CLEAN(TEXT($D18, ""@""))),
      Recording!$AA:$AA = 2
    ),
    1
  ),
  ""Not Found""
)
"),"Not Found")</f>
        <v>Not Found</v>
      </c>
      <c r="I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 *
        (IMPORTRANGE(""https://docs.google.com/spreadsheets/d/161aHT6vVT3SLneTKD19N5qVWtnj_jIT8CSsOmUVKmaA/"&amp;"edit?gid=1761053510"",
          ""Haris_Form responses 1!$AQ:$AQ"")=2)
      ),
      1
    ),
    ""0""
  ),
  ""Form not found""
)
"),"Form not found")</f>
        <v>Form not found</v>
      </c>
      <c r="J18" s="247" t="str">
        <f>IFERROR(__xludf.DUMMYFUNCTION("IFERROR(
  INDEX(
    FILTER(
      Transcription!$AJ:$AJ,
      TRIM(CLEAN(TEXT(Transcription!$F:$F, ""@""))) = TRIM(CLEAN(TEXT($D18, ""@""))),
      Transcription!$AO:$AO = 2
    ),
    1
  ),
  ""Not Found""
)
"),"Not Found")</f>
        <v>Not Found</v>
      </c>
      <c r="K18" s="244" t="str">
        <f>IFERROR(__xludf.DUMMYFUNCTION("IFERROR(
  INDEX(
    FILTER(
      Recording!$U:$U,
      TRIM(CLEAN(TEXT(Recording!$E:$E, ""@""))) = TRIM(CLEAN(TEXT($D18, ""@""))),
      Recording!$AA:$AA = 3
    ),
    1
  ),
  ""Not Found""
)
"),"https://drive.google.com/open?id=16GwmzVRw-adnS8j1_LVDt-UbPQ80wqdm")</f>
        <v>https://drive.google.com/open?id=16GwmzVRw-adnS8j1_LVDt-UbPQ80wqdm</v>
      </c>
      <c r="L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 *
        (IMPORTRANGE(""https://docs.google.com/spreadsheets/d/161aHT6vVT3SLneTKD19N5qVWtnj_jIT8CSsOmUVKmaA/"&amp;"edit?gid=1761053510"",
          ""Haris_Form responses 1!$AQ:$AQ"")=3)
      ),
      1
    ),
    ""0""
  ),
  ""Form not found""
)
"),"3")</f>
        <v>3</v>
      </c>
      <c r="M18" s="245" t="str">
        <f>IFERROR(__xludf.DUMMYFUNCTION("IFERROR(
  INDEX(
    FILTER(
      Transcription!$AJ:$AJ,
      TRIM(CLEAN(TEXT(Transcription!$F:$F, ""@""))) = TRIM(CLEAN(TEXT($D18, ""@""))),
      Transcription!$AO:$AO = 3
    ),
    1
  ),
  ""Not Found""
)
"),"https://drive.google.com/open?id=1r1t4dTo4TXoKaIhQyczqd02NKYLfGFFE")</f>
        <v>https://drive.google.com/open?id=1r1t4dTo4TXoKaIhQyczqd02NKYLfGFFE</v>
      </c>
      <c r="N18" s="246" t="str">
        <f>IFERROR(__xludf.DUMMYFUNCTION("IFERROR(
  INDEX(
    FILTER(
      Recording!$U:$U,
      TRIM(CLEAN(TEXT(Recording!$E:$E, ""@""))) = TRIM(CLEAN(TEXT($D18, ""@""))),
      Recording!$AA:$AA = 4
    ),
    1
  ),
  ""Not Found""
)
"),"Not Found")</f>
        <v>Not Found</v>
      </c>
      <c r="O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 *
        (IMPORTRANGE(""https://docs.google.com/spreadsheets/d/161aHT6vVT3SLneTKD19N5qVWtnj_jIT8CSsOmUVKmaA/"&amp;"edit?gid=1761053510"",
          ""Haris_Form responses 1!$AQ:$AQ"")=4)
      ),
      1
    ),
    ""0""
  ),
  ""Form not found""
)
"),"Form not found")</f>
        <v>Form not found</v>
      </c>
      <c r="P18" s="247" t="str">
        <f>IFERROR(__xludf.DUMMYFUNCTION("IFERROR(
  INDEX(
    FILTER(
      Transcription!$AJ:$AJ,
      TRIM(CLEAN(TEXT(Transcription!$F:$F, ""@""))) = TRIM(CLEAN(TEXT($D18, ""@""))),
      Transcription!$AO:$AO = 4
    ),
    1
  ),
  ""Not Found""
)
"),"Not Found")</f>
        <v>Not Found</v>
      </c>
      <c r="Q18" s="246" t="str">
        <f>IFERROR(__xludf.DUMMYFUNCTION("IFERROR(
  INDEX(
    FILTER(
      Recording!$U:$U,
      TRIM(CLEAN(TEXT(Recording!$E:$E, ""@""))) = TRIM(CLEAN(TEXT($D18, ""@""))),
      Recording!$AA:$AA = 5
    ),
    1
  ),
  ""Not Found""
)
"),"Not Found")</f>
        <v>Not Found</v>
      </c>
      <c r="R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 *
        (IMPORTRANGE(""https://docs.google.com/spreadsheets/d/161aHT6vVT3SLneTKD19N5qVWtnj_jIT8CSsOmUVKmaA/"&amp;"edit?gid=1761053510"",
          ""Haris_Form responses 1!$AQ:$AQ"")=5)
      ),
      1
    ),
    ""0""
  ),
  ""Form not found""
)
"),"Form not found")</f>
        <v>Form not found</v>
      </c>
      <c r="S18" s="247" t="str">
        <f>IFERROR(__xludf.DUMMYFUNCTION("IFERROR(
  INDEX(
    FILTER(
      Transcription!$AJ:$AJ,
      TRIM(CLEAN(TEXT(Transcription!$F:$F, ""@""))) = TRIM(CLEAN(TEXT($D18, ""@""))),
      Transcription!$AO:$AO = 5
    ),
    1
  ),
  ""Not Found""
)
"),"Not Found")</f>
        <v>Not Found</v>
      </c>
      <c r="T18" s="246" t="str">
        <f>IFERROR(__xludf.DUMMYFUNCTION("IFERROR(
  INDEX(
    FILTER(
      Recording!$U:$U,
      TRIM(CLEAN(TEXT(Recording!$E:$E, ""@""))) = TRIM(CLEAN(TEXT($D18, ""@""))),
      Recording!$AA:$AA = 6
    ),
    1
  ),
  ""Not Found""
)
"),"Not Found")</f>
        <v>Not Found</v>
      </c>
      <c r="U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 *
        (IMPORTRANGE(""https://docs.google.com/spreadsheets/d/161aHT6vVT3SLneTKD19N5qVWtnj_jIT8CSsOmUVKmaA/"&amp;"edit?gid=1761053510"",
          ""Haris_Form responses 1!$AQ:$AQ"")=6)
      ),
      1
    ),
    ""0""
  ),
  ""Form not found""
)
"),"Form not found")</f>
        <v>Form not found</v>
      </c>
      <c r="V18" s="247" t="str">
        <f>IFERROR(__xludf.DUMMYFUNCTION("IFERROR(
  INDEX(
    FILTER(
      Transcription!$AJ:$AJ,
      TRIM(CLEAN(TEXT(Transcription!$F:$F, ""@""))) = TRIM(CLEAN(TEXT($D18, ""@""))),
      Transcription!$AO:$AO = 6
    ),
    1
  ),
  ""Not Found""
)
"),"Not Found")</f>
        <v>Not Found</v>
      </c>
      <c r="X18" s="8" t="s">
        <v>4513</v>
      </c>
      <c r="Z18" s="10">
        <f t="shared" si="1"/>
        <v>2</v>
      </c>
      <c r="AA18" s="10">
        <f t="shared" si="2"/>
        <v>0</v>
      </c>
    </row>
    <row r="19">
      <c r="A19" s="8" t="str">
        <f>VLOOKUP($D19,Sheet6!$B:$G,5,FALSE)</f>
        <v>Lahore</v>
      </c>
      <c r="B19" s="232" t="str">
        <f>VLOOKUP($D19,Sheet6!$B:$G,4,FALSE)</f>
        <v>Women Secular Info Share</v>
      </c>
      <c r="C19" s="8">
        <v>4.0</v>
      </c>
      <c r="D19" s="8" t="s">
        <v>1499</v>
      </c>
      <c r="E19" s="244" t="str">
        <f>IFERROR(__xludf.DUMMYFUNCTION("IFERROR(
  INDEX(
    FILTER(
      Recording!$U:$U,
      TRIM(CLEAN(TEXT(Recording!$E:$E, ""@""))) = TRIM(CLEAN(TEXT($D19, ""@""))),
      Recording!$AA:$AA = 1
    ),
    1
  ),
  ""Not Found""
)
"),"https://drive.google.com/open?id=1aE8FMoMOs4oIeK0LRThhO-jpE7Ptm3b4")</f>
        <v>https://drive.google.com/open?id=1aE8FMoMOs4oIeK0LRThhO-jpE7Ptm3b4</v>
      </c>
      <c r="F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 *
        (IMPORTRANGE(""https://docs.google.com/spreadsheets/d/161aHT6vVT3SLneTKD19N5qVWtnj_jIT8CSsOmUVKmaA/"&amp;"edit?gid=1761053510"",
          ""Haris_Form responses 1!$AQ:$AQ"")=1)
      ),
      1
    ),
    ""0""
  ),
  ""Form not found""
)
"),"1")</f>
        <v>1</v>
      </c>
      <c r="G19" s="245" t="str">
        <f>IFERROR(__xludf.DUMMYFUNCTION("IFERROR(
  INDEX(
    FILTER(
      Transcription!$AJ:$AJ,
      TRIM(CLEAN(TEXT(Transcription!$F:$F, ""@""))) = TRIM(CLEAN(TEXT($D19, ""@""))),
      Transcription!$AO:$AO = 1
    ),
    1
  ),
  ""Not Found""
)
"),"https://drive.google.com/open?id=1oV81VlGI-RzB36Yz2ty0IreqaOmUbBW3")</f>
        <v>https://drive.google.com/open?id=1oV81VlGI-RzB36Yz2ty0IreqaOmUbBW3</v>
      </c>
      <c r="H19" s="244" t="str">
        <f>IFERROR(__xludf.DUMMYFUNCTION("IFERROR(
  INDEX(
    FILTER(
      Recording!$U:$U,
      TRIM(CLEAN(TEXT(Recording!$E:$E, ""@""))) = TRIM(CLEAN(TEXT($D19, ""@""))),
      Recording!$AA:$AA = 2
    ),
    1
  ),
  ""Not Found""
)
"),"https://drive.google.com/open?id=1UrzgFv_fjkkDkuA04F0kBPlldeIKh-qV")</f>
        <v>https://drive.google.com/open?id=1UrzgFv_fjkkDkuA04F0kBPlldeIKh-qV</v>
      </c>
      <c r="I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 *
        (IMPORTRANGE(""https://docs.google.com/spreadsheets/d/161aHT6vVT3SLneTKD19N5qVWtnj_jIT8CSsOmUVKmaA/"&amp;"edit?gid=1761053510"",
          ""Haris_Form responses 1!$AQ:$AQ"")=2)
      ),
      1
    ),
    ""0""
  ),
  ""Form not found""
)
"),"2")</f>
        <v>2</v>
      </c>
      <c r="J19" s="245" t="str">
        <f>IFERROR(__xludf.DUMMYFUNCTION("IFERROR(
  INDEX(
    FILTER(
      Transcription!$AJ:$AJ,
      TRIM(CLEAN(TEXT(Transcription!$F:$F, ""@""))) = TRIM(CLEAN(TEXT($D19, ""@""))),
      Transcription!$AO:$AO = 2
    ),
    1
  ),
  ""Not Found""
)
"),"https://drive.google.com/open?id=1LBL5F3Y1qgPx2SA03jKT5RJ66b-gZ_41")</f>
        <v>https://drive.google.com/open?id=1LBL5F3Y1qgPx2SA03jKT5RJ66b-gZ_41</v>
      </c>
      <c r="K19" s="244" t="str">
        <f>IFERROR(__xludf.DUMMYFUNCTION("IFERROR(
  INDEX(
    FILTER(
      Recording!$U:$U,
      TRIM(CLEAN(TEXT(Recording!$E:$E, ""@""))) = TRIM(CLEAN(TEXT($D19, ""@""))),
      Recording!$AA:$AA = 3
    ),
    1
  ),
  ""Not Found""
)
"),"https://drive.google.com/open?id=1g7_grmFRdbxr6QenbCNNxj-nCgU8Du_z")</f>
        <v>https://drive.google.com/open?id=1g7_grmFRdbxr6QenbCNNxj-nCgU8Du_z</v>
      </c>
      <c r="L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 *
        (IMPORTRANGE(""https://docs.google.com/spreadsheets/d/161aHT6vVT3SLneTKD19N5qVWtnj_jIT8CSsOmUVKmaA/"&amp;"edit?gid=1761053510"",
          ""Haris_Form responses 1!$AQ:$AQ"")=3)
      ),
      1
    ),
    ""0""
  ),
  ""Form not found""
)
"),"3")</f>
        <v>3</v>
      </c>
      <c r="M19" s="245" t="str">
        <f>IFERROR(__xludf.DUMMYFUNCTION("IFERROR(
  INDEX(
    FILTER(
      Transcription!$AJ:$AJ,
      TRIM(CLEAN(TEXT(Transcription!$F:$F, ""@""))) = TRIM(CLEAN(TEXT($D19, ""@""))),
      Transcription!$AO:$AO = 3
    ),
    1
  ),
  ""Not Found""
)
"),"https://drive.google.com/open?id=1AGYglcUrUzITYZT_P0xQ-jx745cq3zz1")</f>
        <v>https://drive.google.com/open?id=1AGYglcUrUzITYZT_P0xQ-jx745cq3zz1</v>
      </c>
      <c r="N19" s="244" t="str">
        <f>IFERROR(__xludf.DUMMYFUNCTION("IFERROR(
  INDEX(
    FILTER(
      Recording!$U:$U,
      TRIM(CLEAN(TEXT(Recording!$E:$E, ""@""))) = TRIM(CLEAN(TEXT($D19, ""@""))),
      Recording!$AA:$AA = 4
    ),
    1
  ),
  ""Not Found""
)
"),"https://drive.google.com/open?id=106ZBaIwZixMXQXNfnwxk6ogYmHF3uvMN")</f>
        <v>https://drive.google.com/open?id=106ZBaIwZixMXQXNfnwxk6ogYmHF3uvMN</v>
      </c>
      <c r="O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 *
        (IMPORTRANGE(""https://docs.google.com/spreadsheets/d/161aHT6vVT3SLneTKD19N5qVWtnj_jIT8CSsOmUVKmaA/"&amp;"edit?gid=1761053510"",
          ""Haris_Form responses 1!$AQ:$AQ"")=4)
      ),
      1
    ),
    ""0""
  ),
  ""Form not found""
)
"),"4")</f>
        <v>4</v>
      </c>
      <c r="P19" s="245" t="str">
        <f>IFERROR(__xludf.DUMMYFUNCTION("IFERROR(
  INDEX(
    FILTER(
      Transcription!$AJ:$AJ,
      TRIM(CLEAN(TEXT(Transcription!$F:$F, ""@""))) = TRIM(CLEAN(TEXT($D19, ""@""))),
      Transcription!$AO:$AO = 4
    ),
    1
  ),
  ""Not Found""
)
"),"https://drive.google.com/open?id=1pXc6e2KSlhax2blaYK_aVanzK5WNcI9e")</f>
        <v>https://drive.google.com/open?id=1pXc6e2KSlhax2blaYK_aVanzK5WNcI9e</v>
      </c>
      <c r="Q19" s="246" t="str">
        <f>IFERROR(__xludf.DUMMYFUNCTION("IFERROR(
  INDEX(
    FILTER(
      Recording!$U:$U,
      TRIM(CLEAN(TEXT(Recording!$E:$E, ""@""))) = TRIM(CLEAN(TEXT($D19, ""@""))),
      Recording!$AA:$AA = 5
    ),
    1
  ),
  ""Not Found""
)
"),"Not Found")</f>
        <v>Not Found</v>
      </c>
      <c r="R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 *
        (IMPORTRANGE(""https://docs.google.com/spreadsheets/d/161aHT6vVT3SLneTKD19N5qVWtnj_jIT8CSsOmUVKmaA/"&amp;"edit?gid=1761053510"",
          ""Haris_Form responses 1!$AQ:$AQ"")=5)
      ),
      1
    ),
    ""0""
  ),
  ""Form not found""
)
"),"Form not found")</f>
        <v>Form not found</v>
      </c>
      <c r="S19" s="247" t="str">
        <f>IFERROR(__xludf.DUMMYFUNCTION("IFERROR(
  INDEX(
    FILTER(
      Transcription!$AJ:$AJ,
      TRIM(CLEAN(TEXT(Transcription!$F:$F, ""@""))) = TRIM(CLEAN(TEXT($D19, ""@""))),
      Transcription!$AO:$AO = 5
    ),
    1
  ),
  ""Not Found""
)
"),"Not Found")</f>
        <v>Not Found</v>
      </c>
      <c r="T19" s="248" t="str">
        <f>IFERROR(__xludf.DUMMYFUNCTION("IFERROR(
  INDEX(
    FILTER(
      Recording!$U:$U,
      TRIM(CLEAN(TEXT(Recording!$E:$E, ""@""))) = TRIM(CLEAN(TEXT($D19, ""@""))),
      Recording!$AA:$AA = 6
    ),
    1
  ),
  ""Not Found""
)
"),"Not Found")</f>
        <v>Not Found</v>
      </c>
      <c r="U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 *
        (IMPORTRANGE(""https://docs.google.com/spreadsheets/d/161aHT6vVT3SLneTKD19N5qVWtnj_jIT8CSsOmUVKmaA/"&amp;"edit?gid=1761053510"",
          ""Haris_Form responses 1!$AQ:$AQ"")=6)
      ),
      1
    ),
    ""0""
  ),
  ""Form not found""
)
"),"Form not found")</f>
        <v>Form not found</v>
      </c>
      <c r="V19" s="247" t="str">
        <f>IFERROR(__xludf.DUMMYFUNCTION("IFERROR(
  INDEX(
    FILTER(
      Transcription!$AJ:$AJ,
      TRIM(CLEAN(TEXT(Transcription!$F:$F, ""@""))) = TRIM(CLEAN(TEXT($D19, ""@""))),
      Transcription!$AO:$AO = 6
    ),
    1
  ),
  ""Not Found""
)
"),"Not Found")</f>
        <v>Not Found</v>
      </c>
      <c r="Z19" s="10">
        <f t="shared" si="1"/>
        <v>4</v>
      </c>
      <c r="AA19" s="10">
        <f t="shared" si="2"/>
        <v>0</v>
      </c>
    </row>
    <row r="20">
      <c r="A20" s="8" t="str">
        <f>VLOOKUP($D20,Sheet6!$B:$G,5,FALSE)</f>
        <v>Lahore</v>
      </c>
      <c r="B20" s="232" t="str">
        <f>VLOOKUP($D20,Sheet6!$B:$G,4,FALSE)</f>
        <v>Control</v>
      </c>
      <c r="C20" s="8">
        <v>2.0</v>
      </c>
      <c r="D20" s="8" t="s">
        <v>1624</v>
      </c>
      <c r="E20" s="244" t="str">
        <f>IFERROR(__xludf.DUMMYFUNCTION("IFERROR(
  INDEX(
    FILTER(
      Recording!$U:$U,
      TRIM(CLEAN(TEXT(Recording!$E:$E, ""@""))) = TRIM(CLEAN(TEXT($D20, ""@""))),
      Recording!$AA:$AA = 1
    ),
    1
  ),
  ""Not Found""
)
"),"https://drive.google.com/open?id=1-2Eh4bcLrPaRU29snlyWpok9d5Z9kSnE")</f>
        <v>https://drive.google.com/open?id=1-2Eh4bcLrPaRU29snlyWpok9d5Z9kSnE</v>
      </c>
      <c r="F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 *
        (IMPORTRANGE(""https://docs.google.com/spreadsheets/d/161aHT6vVT3SLneTKD19N5qVWtnj_jIT8CSsOmUVKmaA/"&amp;"edit?gid=1761053510"",
          ""Haris_Form responses 1!$AQ:$AQ"")=1)
      ),
      1
    ),
    ""0""
  ),
  ""Form not found""
)
"),"1")</f>
        <v>1</v>
      </c>
      <c r="G20" s="245" t="str">
        <f>IFERROR(__xludf.DUMMYFUNCTION("IFERROR(
  INDEX(
    FILTER(
      Transcription!$AJ:$AJ,
      TRIM(CLEAN(TEXT(Transcription!$F:$F, ""@""))) = TRIM(CLEAN(TEXT($D20, ""@""))),
      Transcription!$AO:$AO = 1
    ),
    1
  ),
  ""Not Found""
)
"),"https://drive.google.com/open?id=1LiOfHglLiIIL7gqo_Hi1E6CgNHqkNUDH")</f>
        <v>https://drive.google.com/open?id=1LiOfHglLiIIL7gqo_Hi1E6CgNHqkNUDH</v>
      </c>
      <c r="H20" s="246" t="str">
        <f>IFERROR(__xludf.DUMMYFUNCTION("IFERROR(
  INDEX(
    FILTER(
      Recording!$U:$U,
      TRIM(CLEAN(TEXT(Recording!$E:$E, ""@""))) = TRIM(CLEAN(TEXT($D20, ""@""))),
      Recording!$AA:$AA = 2
    ),
    1
  ),
  ""Not Found""
)
"),"Not Found")</f>
        <v>Not Found</v>
      </c>
      <c r="I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 *
        (IMPORTRANGE(""https://docs.google.com/spreadsheets/d/161aHT6vVT3SLneTKD19N5qVWtnj_jIT8CSsOmUVKmaA/"&amp;"edit?gid=1761053510"",
          ""Haris_Form responses 1!$AQ:$AQ"")=2)
      ),
      1
    ),
    ""0""
  ),
  ""Form not found""
)
"),"Form not found")</f>
        <v>Form not found</v>
      </c>
      <c r="J20" s="247" t="str">
        <f>IFERROR(__xludf.DUMMYFUNCTION("IFERROR(
  INDEX(
    FILTER(
      Transcription!$AJ:$AJ,
      TRIM(CLEAN(TEXT(Transcription!$F:$F, ""@""))) = TRIM(CLEAN(TEXT($D20, ""@""))),
      Transcription!$AO:$AO = 2
    ),
    1
  ),
  ""Not Found""
)
"),"Not Found")</f>
        <v>Not Found</v>
      </c>
      <c r="K20" s="244" t="str">
        <f>IFERROR(__xludf.DUMMYFUNCTION("IFERROR(
  INDEX(
    FILTER(
      Recording!$U:$U,
      TRIM(CLEAN(TEXT(Recording!$E:$E, ""@""))) = TRIM(CLEAN(TEXT($D20, ""@""))),
      Recording!$AA:$AA = 3
    ),
    1
  ),
  ""Not Found""
)
"),"https://drive.google.com/open?id=1Ocug-wCRf-GoMWs9kKlNjdiKTu5Z06VJ")</f>
        <v>https://drive.google.com/open?id=1Ocug-wCRf-GoMWs9kKlNjdiKTu5Z06VJ</v>
      </c>
      <c r="L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 *
        (IMPORTRANGE(""https://docs.google.com/spreadsheets/d/161aHT6vVT3SLneTKD19N5qVWtnj_jIT8CSsOmUVKmaA/"&amp;"edit?gid=1761053510"",
          ""Haris_Form responses 1!$AQ:$AQ"")=3)
      ),
      1
    ),
    ""0""
  ),
  ""Form not found""
)
"),"3")</f>
        <v>3</v>
      </c>
      <c r="M20" s="245" t="str">
        <f>IFERROR(__xludf.DUMMYFUNCTION("IFERROR(
  INDEX(
    FILTER(
      Transcription!$AJ:$AJ,
      TRIM(CLEAN(TEXT(Transcription!$F:$F, ""@""))) = TRIM(CLEAN(TEXT($D20, ""@""))),
      Transcription!$AO:$AO = 3
    ),
    1
  ),
  ""Not Found""
)
"),"https://drive.google.com/open?id=1JqW0bqKBRzr1RstP1xNiP2bogrWXzRLY")</f>
        <v>https://drive.google.com/open?id=1JqW0bqKBRzr1RstP1xNiP2bogrWXzRLY</v>
      </c>
      <c r="N20" s="246" t="str">
        <f>IFERROR(__xludf.DUMMYFUNCTION("IFERROR(
  INDEX(
    FILTER(
      Recording!$U:$U,
      TRIM(CLEAN(TEXT(Recording!$E:$E, ""@""))) = TRIM(CLEAN(TEXT($D20, ""@""))),
      Recording!$AA:$AA = 4
    ),
    1
  ),
  ""Not Found""
)
"),"Not Found")</f>
        <v>Not Found</v>
      </c>
      <c r="O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 *
        (IMPORTRANGE(""https://docs.google.com/spreadsheets/d/161aHT6vVT3SLneTKD19N5qVWtnj_jIT8CSsOmUVKmaA/"&amp;"edit?gid=1761053510"",
          ""Haris_Form responses 1!$AQ:$AQ"")=4)
      ),
      1
    ),
    ""0""
  ),
  ""Form not found""
)
"),"Form not found")</f>
        <v>Form not found</v>
      </c>
      <c r="P20" s="247" t="str">
        <f>IFERROR(__xludf.DUMMYFUNCTION("IFERROR(
  INDEX(
    FILTER(
      Transcription!$AJ:$AJ,
      TRIM(CLEAN(TEXT(Transcription!$F:$F, ""@""))) = TRIM(CLEAN(TEXT($D20, ""@""))),
      Transcription!$AO:$AO = 4
    ),
    1
  ),
  ""Not Found""
)
"),"Not Found")</f>
        <v>Not Found</v>
      </c>
      <c r="Q20" s="246" t="str">
        <f>IFERROR(__xludf.DUMMYFUNCTION("IFERROR(
  INDEX(
    FILTER(
      Recording!$U:$U,
      TRIM(CLEAN(TEXT(Recording!$E:$E, ""@""))) = TRIM(CLEAN(TEXT($D20, ""@""))),
      Recording!$AA:$AA = 5
    ),
    1
  ),
  ""Not Found""
)
"),"Not Found")</f>
        <v>Not Found</v>
      </c>
      <c r="R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 *
        (IMPORTRANGE(""https://docs.google.com/spreadsheets/d/161aHT6vVT3SLneTKD19N5qVWtnj_jIT8CSsOmUVKmaA/"&amp;"edit?gid=1761053510"",
          ""Haris_Form responses 1!$AQ:$AQ"")=5)
      ),
      1
    ),
    ""0""
  ),
  ""Form not found""
)
"),"Form not found")</f>
        <v>Form not found</v>
      </c>
      <c r="S20" s="247" t="str">
        <f>IFERROR(__xludf.DUMMYFUNCTION("IFERROR(
  INDEX(
    FILTER(
      Transcription!$AJ:$AJ,
      TRIM(CLEAN(TEXT(Transcription!$F:$F, ""@""))) = TRIM(CLEAN(TEXT($D20, ""@""))),
      Transcription!$AO:$AO = 5
    ),
    1
  ),
  ""Not Found""
)
"),"Not Found")</f>
        <v>Not Found</v>
      </c>
      <c r="T20" s="246" t="str">
        <f>IFERROR(__xludf.DUMMYFUNCTION("IFERROR(
  INDEX(
    FILTER(
      Recording!$U:$U,
      TRIM(CLEAN(TEXT(Recording!$E:$E, ""@""))) = TRIM(CLEAN(TEXT($D20, ""@""))),
      Recording!$AA:$AA = 6
    ),
    1
  ),
  ""Not Found""
)
"),"Not Found")</f>
        <v>Not Found</v>
      </c>
      <c r="U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 *
        (IMPORTRANGE(""https://docs.google.com/spreadsheets/d/161aHT6vVT3SLneTKD19N5qVWtnj_jIT8CSsOmUVKmaA/"&amp;"edit?gid=1761053510"",
          ""Haris_Form responses 1!$AQ:$AQ"")=6)
      ),
      1
    ),
    ""0""
  ),
  ""Form not found""
)
"),"Form not found")</f>
        <v>Form not found</v>
      </c>
      <c r="V20" s="247" t="str">
        <f>IFERROR(__xludf.DUMMYFUNCTION("IFERROR(
  INDEX(
    FILTER(
      Transcription!$AJ:$AJ,
      TRIM(CLEAN(TEXT(Transcription!$F:$F, ""@""))) = TRIM(CLEAN(TEXT($D20, ""@""))),
      Transcription!$AO:$AO = 6
    ),
    1
  ),
  ""Not Found""
)
"),"Not Found")</f>
        <v>Not Found</v>
      </c>
      <c r="Z20" s="10">
        <f t="shared" si="1"/>
        <v>2</v>
      </c>
      <c r="AA20" s="10">
        <f t="shared" si="2"/>
        <v>0</v>
      </c>
    </row>
    <row r="21">
      <c r="A21" s="8" t="str">
        <f>VLOOKUP($D21,Sheet6!$B:$G,5,FALSE)</f>
        <v>Lahore</v>
      </c>
      <c r="B21" s="232" t="str">
        <f>VLOOKUP($D21,Sheet6!$B:$G,4,FALSE)</f>
        <v>Control</v>
      </c>
      <c r="C21" s="8">
        <v>2.0</v>
      </c>
      <c r="D21" s="8" t="s">
        <v>1650</v>
      </c>
      <c r="E21" s="244" t="str">
        <f>IFERROR(__xludf.DUMMYFUNCTION("IFERROR(
  INDEX(
    FILTER(
      Recording!$U:$U,
      TRIM(CLEAN(TEXT(Recording!$E:$E, ""@""))) = TRIM(CLEAN(TEXT($D21, ""@""))),
      Recording!$AA:$AA = 1
    ),
    1
  ),
  ""Not Found""
)
"),"https://drive.google.com/open?id=1xoK_W2JlOQyG1S7a2PZYXy15TT0lVKTL")</f>
        <v>https://drive.google.com/open?id=1xoK_W2JlOQyG1S7a2PZYXy15TT0lVKTL</v>
      </c>
      <c r="F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 *
        (IMPORTRANGE(""https://docs.google.com/spreadsheets/d/161aHT6vVT3SLneTKD19N5qVWtnj_jIT8CSsOmUVKmaA/"&amp;"edit?gid=1761053510"",
          ""Haris_Form responses 1!$AQ:$AQ"")=1)
      ),
      1
    ),
    ""0""
  ),
  ""Form not found""
)
"),"1")</f>
        <v>1</v>
      </c>
      <c r="G21" s="245" t="str">
        <f>IFERROR(__xludf.DUMMYFUNCTION("IFERROR(
  INDEX(
    FILTER(
      Transcription!$AJ:$AJ,
      TRIM(CLEAN(TEXT(Transcription!$F:$F, ""@""))) = TRIM(CLEAN(TEXT($D21, ""@""))),
      Transcription!$AO:$AO = 1
    ),
    1
  ),
  ""Not Found""
)
"),"https://drive.google.com/open?id=1KFhXwXpPD9AWjFvoNHKN0KP6PcChOMq4")</f>
        <v>https://drive.google.com/open?id=1KFhXwXpPD9AWjFvoNHKN0KP6PcChOMq4</v>
      </c>
      <c r="H21" s="246" t="str">
        <f>IFERROR(__xludf.DUMMYFUNCTION("IFERROR(
  INDEX(
    FILTER(
      Recording!$U:$U,
      TRIM(CLEAN(TEXT(Recording!$E:$E, ""@""))) = TRIM(CLEAN(TEXT($D21, ""@""))),
      Recording!$AA:$AA = 2
    ),
    1
  ),
  ""Not Found""
)
"),"Not Found")</f>
        <v>Not Found</v>
      </c>
      <c r="I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 *
        (IMPORTRANGE(""https://docs.google.com/spreadsheets/d/161aHT6vVT3SLneTKD19N5qVWtnj_jIT8CSsOmUVKmaA/"&amp;"edit?gid=1761053510"",
          ""Haris_Form responses 1!$AQ:$AQ"")=2)
      ),
      1
    ),
    ""0""
  ),
  ""Form not found""
)
"),"Form not found")</f>
        <v>Form not found</v>
      </c>
      <c r="J21" s="247" t="str">
        <f>IFERROR(__xludf.DUMMYFUNCTION("IFERROR(
  INDEX(
    FILTER(
      Transcription!$AJ:$AJ,
      TRIM(CLEAN(TEXT(Transcription!$F:$F, ""@""))) = TRIM(CLEAN(TEXT($D21, ""@""))),
      Transcription!$AO:$AO = 2
    ),
    1
  ),
  ""Not Found""
)
"),"Not Found")</f>
        <v>Not Found</v>
      </c>
      <c r="K21" s="246" t="str">
        <f>IFERROR(__xludf.DUMMYFUNCTION("IFERROR(
  INDEX(
    FILTER(
      Recording!$U:$U,
      TRIM(CLEAN(TEXT(Recording!$E:$E, ""@""))) = TRIM(CLEAN(TEXT($D21, ""@""))),
      Recording!$AA:$AA = 3
    ),
    1
  ),
  ""Not Found""
)
"),"https://drive.google.com/open?id=10pBDS9LuusDrHPUNAzAlUMjT77ks8NrV, https://drive.google.com/open?id=1kc74Awqt2wp5auBXwZsPkPr3ltHUDR70")</f>
        <v>https://drive.google.com/open?id=10pBDS9LuusDrHPUNAzAlUMjT77ks8NrV, https://drive.google.com/open?id=1kc74Awqt2wp5auBXwZsPkPr3ltHUDR70</v>
      </c>
      <c r="L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 *
        (IMPORTRANGE(""https://docs.google.com/spreadsheets/d/161aHT6vVT3SLneTKD19N5qVWtnj_jIT8CSsOmUVKmaA/"&amp;"edit?gid=1761053510"",
          ""Haris_Form responses 1!$AQ:$AQ"")=3)
      ),
      1
    ),
    ""0""
  ),
  ""Form not found""
)
"),"3")</f>
        <v>3</v>
      </c>
      <c r="M21" s="245" t="str">
        <f>IFERROR(__xludf.DUMMYFUNCTION("IFERROR(
  INDEX(
    FILTER(
      Transcription!$AJ:$AJ,
      TRIM(CLEAN(TEXT(Transcription!$F:$F, ""@""))) = TRIM(CLEAN(TEXT($D21, ""@""))),
      Transcription!$AO:$AO = 3
    ),
    1
  ),
  ""Not Found""
)
"),"https://drive.google.com/open?id=1taA2gdtcS5Whf2W1-LzHf3BNL3b844Ld")</f>
        <v>https://drive.google.com/open?id=1taA2gdtcS5Whf2W1-LzHf3BNL3b844Ld</v>
      </c>
      <c r="N21" s="246" t="str">
        <f>IFERROR(__xludf.DUMMYFUNCTION("IFERROR(
  INDEX(
    FILTER(
      Recording!$U:$U,
      TRIM(CLEAN(TEXT(Recording!$E:$E, ""@""))) = TRIM(CLEAN(TEXT($D21, ""@""))),
      Recording!$AA:$AA = 4
    ),
    1
  ),
  ""Not Found""
)
"),"Not Found")</f>
        <v>Not Found</v>
      </c>
      <c r="O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 *
        (IMPORTRANGE(""https://docs.google.com/spreadsheets/d/161aHT6vVT3SLneTKD19N5qVWtnj_jIT8CSsOmUVKmaA/"&amp;"edit?gid=1761053510"",
          ""Haris_Form responses 1!$AQ:$AQ"")=4)
      ),
      1
    ),
    ""0""
  ),
  ""Form not found""
)
"),"Form not found")</f>
        <v>Form not found</v>
      </c>
      <c r="P21" s="247" t="str">
        <f>IFERROR(__xludf.DUMMYFUNCTION("IFERROR(
  INDEX(
    FILTER(
      Transcription!$AJ:$AJ,
      TRIM(CLEAN(TEXT(Transcription!$F:$F, ""@""))) = TRIM(CLEAN(TEXT($D21, ""@""))),
      Transcription!$AO:$AO = 4
    ),
    1
  ),
  ""Not Found""
)
"),"Not Found")</f>
        <v>Not Found</v>
      </c>
      <c r="Q21" s="246" t="str">
        <f>IFERROR(__xludf.DUMMYFUNCTION("IFERROR(
  INDEX(
    FILTER(
      Recording!$U:$U,
      TRIM(CLEAN(TEXT(Recording!$E:$E, ""@""))) = TRIM(CLEAN(TEXT($D21, ""@""))),
      Recording!$AA:$AA = 5
    ),
    1
  ),
  ""Not Found""
)
"),"Not Found")</f>
        <v>Not Found</v>
      </c>
      <c r="R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 *
        (IMPORTRANGE(""https://docs.google.com/spreadsheets/d/161aHT6vVT3SLneTKD19N5qVWtnj_jIT8CSsOmUVKmaA/"&amp;"edit?gid=1761053510"",
          ""Haris_Form responses 1!$AQ:$AQ"")=5)
      ),
      1
    ),
    ""0""
  ),
  ""Form not found""
)
"),"Form not found")</f>
        <v>Form not found</v>
      </c>
      <c r="S21" s="247" t="str">
        <f>IFERROR(__xludf.DUMMYFUNCTION("IFERROR(
  INDEX(
    FILTER(
      Transcription!$AJ:$AJ,
      TRIM(CLEAN(TEXT(Transcription!$F:$F, ""@""))) = TRIM(CLEAN(TEXT($D21, ""@""))),
      Transcription!$AO:$AO = 5
    ),
    1
  ),
  ""Not Found""
)
"),"Not Found")</f>
        <v>Not Found</v>
      </c>
      <c r="T21" s="246" t="str">
        <f>IFERROR(__xludf.DUMMYFUNCTION("IFERROR(
  INDEX(
    FILTER(
      Recording!$U:$U,
      TRIM(CLEAN(TEXT(Recording!$E:$E, ""@""))) = TRIM(CLEAN(TEXT($D21, ""@""))),
      Recording!$AA:$AA = 6
    ),
    1
  ),
  ""Not Found""
)
"),"Not Found")</f>
        <v>Not Found</v>
      </c>
      <c r="U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 *
        (IMPORTRANGE(""https://docs.google.com/spreadsheets/d/161aHT6vVT3SLneTKD19N5qVWtnj_jIT8CSsOmUVKmaA/"&amp;"edit?gid=1761053510"",
          ""Haris_Form responses 1!$AQ:$AQ"")=6)
      ),
      1
    ),
    ""0""
  ),
  ""Form not found""
)
"),"Form not found")</f>
        <v>Form not found</v>
      </c>
      <c r="V21" s="247" t="str">
        <f>IFERROR(__xludf.DUMMYFUNCTION("IFERROR(
  INDEX(
    FILTER(
      Transcription!$AJ:$AJ,
      TRIM(CLEAN(TEXT(Transcription!$F:$F, ""@""))) = TRIM(CLEAN(TEXT($D21, ""@""))),
      Transcription!$AO:$AO = 6
    ),
    1
  ),
  ""Not Found""
)
"),"Not Found")</f>
        <v>Not Found</v>
      </c>
      <c r="Z21" s="10">
        <f t="shared" si="1"/>
        <v>2</v>
      </c>
      <c r="AA21" s="10">
        <f t="shared" si="2"/>
        <v>0</v>
      </c>
    </row>
    <row r="22">
      <c r="A22" s="8" t="str">
        <f>VLOOKUP($D22,Sheet6!$B:$G,5,FALSE)</f>
        <v>Lahore</v>
      </c>
      <c r="B22" s="232" t="str">
        <f>VLOOKUP($D22,Sheet6!$B:$G,4,FALSE)</f>
        <v>Control</v>
      </c>
      <c r="C22" s="8">
        <v>2.0</v>
      </c>
      <c r="D22" s="8" t="s">
        <v>1608</v>
      </c>
      <c r="E22" s="244" t="str">
        <f>IFERROR(__xludf.DUMMYFUNCTION("IFERROR(
  INDEX(
    FILTER(
      Recording!$U:$U,
      TRIM(CLEAN(TEXT(Recording!$E:$E, ""@""))) = TRIM(CLEAN(TEXT($D22, ""@""))),
      Recording!$AA:$AA = 1
    ),
    1
  ),
  ""Not Found""
)
"),"https://drive.google.com/open?id=1cvIqk8lDUB7l-xaAalD6V_snORVOSeFQ")</f>
        <v>https://drive.google.com/open?id=1cvIqk8lDUB7l-xaAalD6V_snORVOSeFQ</v>
      </c>
      <c r="F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 *
        (IMPORTRANGE(""https://docs.google.com/spreadsheets/d/161aHT6vVT3SLneTKD19N5qVWtnj_jIT8CSsOmUVKmaA/"&amp;"edit?gid=1761053510"",
          ""Haris_Form responses 1!$AQ:$AQ"")=1)
      ),
      1
    ),
    ""0""
  ),
  ""Form not found""
)
"),"1")</f>
        <v>1</v>
      </c>
      <c r="G22" s="245" t="str">
        <f>IFERROR(__xludf.DUMMYFUNCTION("IFERROR(
  INDEX(
    FILTER(
      Transcription!$AJ:$AJ,
      TRIM(CLEAN(TEXT(Transcription!$F:$F, ""@""))) = TRIM(CLEAN(TEXT($D22, ""@""))),
      Transcription!$AO:$AO = 1
    ),
    1
  ),
  ""Not Found""
)
"),"https://drive.google.com/open?id=1GxtipGQZALfZfxUNmp_e1UxX-t8etcqH")</f>
        <v>https://drive.google.com/open?id=1GxtipGQZALfZfxUNmp_e1UxX-t8etcqH</v>
      </c>
      <c r="H22" s="246" t="str">
        <f>IFERROR(__xludf.DUMMYFUNCTION("IFERROR(
  INDEX(
    FILTER(
      Recording!$U:$U,
      TRIM(CLEAN(TEXT(Recording!$E:$E, ""@""))) = TRIM(CLEAN(TEXT($D22, ""@""))),
      Recording!$AA:$AA = 2
    ),
    1
  ),
  ""Not Found""
)
"),"Not Found")</f>
        <v>Not Found</v>
      </c>
      <c r="I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 *
        (IMPORTRANGE(""https://docs.google.com/spreadsheets/d/161aHT6vVT3SLneTKD19N5qVWtnj_jIT8CSsOmUVKmaA/"&amp;"edit?gid=1761053510"",
          ""Haris_Form responses 1!$AQ:$AQ"")=2)
      ),
      1
    ),
    ""0""
  ),
  ""Form not found""
)
"),"Form not found")</f>
        <v>Form not found</v>
      </c>
      <c r="J22" s="247" t="str">
        <f>IFERROR(__xludf.DUMMYFUNCTION("IFERROR(
  INDEX(
    FILTER(
      Transcription!$AJ:$AJ,
      TRIM(CLEAN(TEXT(Transcription!$F:$F, ""@""))) = TRIM(CLEAN(TEXT($D22, ""@""))),
      Transcription!$AO:$AO = 2
    ),
    1
  ),
  ""Not Found""
)
"),"Not Found")</f>
        <v>Not Found</v>
      </c>
      <c r="K22" s="244" t="str">
        <f>IFERROR(__xludf.DUMMYFUNCTION("IFERROR(
  INDEX(
    FILTER(
      Recording!$U:$U,
      TRIM(CLEAN(TEXT(Recording!$E:$E, ""@""))) = TRIM(CLEAN(TEXT($D22, ""@""))),
      Recording!$AA:$AA = 3
    ),
    1
  ),
  ""Not Found""
)
"),"https://drive.google.com/open?id=1_wU7gzAJJWj7llvS6C4CPHhVYA0SQst5")</f>
        <v>https://drive.google.com/open?id=1_wU7gzAJJWj7llvS6C4CPHhVYA0SQst5</v>
      </c>
      <c r="L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 *
        (IMPORTRANGE(""https://docs.google.com/spreadsheets/d/161aHT6vVT3SLneTKD19N5qVWtnj_jIT8CSsOmUVKmaA/"&amp;"edit?gid=1761053510"",
          ""Haris_Form responses 1!$AQ:$AQ"")=3)
      ),
      1
    ),
    ""0""
  ),
  ""Form not found""
)
"),"3")</f>
        <v>3</v>
      </c>
      <c r="M22" s="245" t="str">
        <f>IFERROR(__xludf.DUMMYFUNCTION("IFERROR(
  INDEX(
    FILTER(
      Transcription!$AJ:$AJ,
      TRIM(CLEAN(TEXT(Transcription!$F:$F, ""@""))) = TRIM(CLEAN(TEXT($D22, ""@""))),
      Transcription!$AO:$AO = 3
    ),
    1
  ),
  ""Not Found""
)
"),"https://drive.google.com/open?id=1AboayjPgAb3WK_AxSilQU8iXbpR-xHnn")</f>
        <v>https://drive.google.com/open?id=1AboayjPgAb3WK_AxSilQU8iXbpR-xHnn</v>
      </c>
      <c r="N22" s="246" t="str">
        <f>IFERROR(__xludf.DUMMYFUNCTION("IFERROR(
  INDEX(
    FILTER(
      Recording!$U:$U,
      TRIM(CLEAN(TEXT(Recording!$E:$E, ""@""))) = TRIM(CLEAN(TEXT($D22, ""@""))),
      Recording!$AA:$AA = 4
    ),
    1
  ),
  ""Not Found""
)
"),"Not Found")</f>
        <v>Not Found</v>
      </c>
      <c r="O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 *
        (IMPORTRANGE(""https://docs.google.com/spreadsheets/d/161aHT6vVT3SLneTKD19N5qVWtnj_jIT8CSsOmUVKmaA/"&amp;"edit?gid=1761053510"",
          ""Haris_Form responses 1!$AQ:$AQ"")=4)
      ),
      1
    ),
    ""0""
  ),
  ""Form not found""
)
"),"Form not found")</f>
        <v>Form not found</v>
      </c>
      <c r="P22" s="247" t="str">
        <f>IFERROR(__xludf.DUMMYFUNCTION("IFERROR(
  INDEX(
    FILTER(
      Transcription!$AJ:$AJ,
      TRIM(CLEAN(TEXT(Transcription!$F:$F, ""@""))) = TRIM(CLEAN(TEXT($D22, ""@""))),
      Transcription!$AO:$AO = 4
    ),
    1
  ),
  ""Not Found""
)
"),"Not Found")</f>
        <v>Not Found</v>
      </c>
      <c r="Q22" s="246" t="str">
        <f>IFERROR(__xludf.DUMMYFUNCTION("IFERROR(
  INDEX(
    FILTER(
      Recording!$U:$U,
      TRIM(CLEAN(TEXT(Recording!$E:$E, ""@""))) = TRIM(CLEAN(TEXT($D22, ""@""))),
      Recording!$AA:$AA = 5
    ),
    1
  ),
  ""Not Found""
)
"),"Not Found")</f>
        <v>Not Found</v>
      </c>
      <c r="R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 *
        (IMPORTRANGE(""https://docs.google.com/spreadsheets/d/161aHT6vVT3SLneTKD19N5qVWtnj_jIT8CSsOmUVKmaA/"&amp;"edit?gid=1761053510"",
          ""Haris_Form responses 1!$AQ:$AQ"")=5)
      ),
      1
    ),
    ""0""
  ),
  ""Form not found""
)
"),"Form not found")</f>
        <v>Form not found</v>
      </c>
      <c r="S22" s="247" t="str">
        <f>IFERROR(__xludf.DUMMYFUNCTION("IFERROR(
  INDEX(
    FILTER(
      Transcription!$AJ:$AJ,
      TRIM(CLEAN(TEXT(Transcription!$F:$F, ""@""))) = TRIM(CLEAN(TEXT($D22, ""@""))),
      Transcription!$AO:$AO = 5
    ),
    1
  ),
  ""Not Found""
)
"),"Not Found")</f>
        <v>Not Found</v>
      </c>
      <c r="T22" s="246" t="str">
        <f>IFERROR(__xludf.DUMMYFUNCTION("IFERROR(
  INDEX(
    FILTER(
      Recording!$U:$U,
      TRIM(CLEAN(TEXT(Recording!$E:$E, ""@""))) = TRIM(CLEAN(TEXT($D22, ""@""))),
      Recording!$AA:$AA = 6
    ),
    1
  ),
  ""Not Found""
)
"),"Not Found")</f>
        <v>Not Found</v>
      </c>
      <c r="U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 *
        (IMPORTRANGE(""https://docs.google.com/spreadsheets/d/161aHT6vVT3SLneTKD19N5qVWtnj_jIT8CSsOmUVKmaA/"&amp;"edit?gid=1761053510"",
          ""Haris_Form responses 1!$AQ:$AQ"")=6)
      ),
      1
    ),
    ""0""
  ),
  ""Form not found""
)
"),"Form not found")</f>
        <v>Form not found</v>
      </c>
      <c r="V22" s="247" t="str">
        <f>IFERROR(__xludf.DUMMYFUNCTION("IFERROR(
  INDEX(
    FILTER(
      Transcription!$AJ:$AJ,
      TRIM(CLEAN(TEXT(Transcription!$F:$F, ""@""))) = TRIM(CLEAN(TEXT($D22, ""@""))),
      Transcription!$AO:$AO = 6
    ),
    1
  ),
  ""Not Found""
)
"),"Not Found")</f>
        <v>Not Found</v>
      </c>
      <c r="Z22" s="10">
        <f t="shared" si="1"/>
        <v>2</v>
      </c>
      <c r="AA22" s="10">
        <f t="shared" si="2"/>
        <v>0</v>
      </c>
    </row>
    <row r="23">
      <c r="A23" s="8" t="str">
        <f>VLOOKUP($D23,Sheet6!$B:$G,5,FALSE)</f>
        <v>Lahore</v>
      </c>
      <c r="B23" s="232" t="str">
        <f>VLOOKUP($D23,Sheet6!$B:$G,4,FALSE)</f>
        <v>Control</v>
      </c>
      <c r="C23" s="8">
        <v>2.0</v>
      </c>
      <c r="D23" s="8" t="s">
        <v>1373</v>
      </c>
      <c r="E23" s="244" t="str">
        <f>IFERROR(__xludf.DUMMYFUNCTION("IFERROR(
  INDEX(
    FILTER(
      Recording!$U:$U,
      TRIM(CLEAN(TEXT(Recording!$E:$E, ""@""))) = TRIM(CLEAN(TEXT($D23, ""@""))),
      Recording!$AA:$AA = 1
    ),
    1
  ),
  ""Not Found""
)
"),"https://drive.google.com/open?id=1YWdhcNOdYO5YlBIGaQ5AHwEunrz_Aw9Q")</f>
        <v>https://drive.google.com/open?id=1YWdhcNOdYO5YlBIGaQ5AHwEunrz_Aw9Q</v>
      </c>
      <c r="F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 *
        (IMPORTRANGE(""https://docs.google.com/spreadsheets/d/161aHT6vVT3SLneTKD19N5qVWtnj_jIT8CSsOmUVKmaA/"&amp;"edit?gid=1761053510"",
          ""Haris_Form responses 1!$AQ:$AQ"")=1)
      ),
      1
    ),
    ""0""
  ),
  ""Form not found""
)
"),"1")</f>
        <v>1</v>
      </c>
      <c r="G23" s="245" t="str">
        <f>IFERROR(__xludf.DUMMYFUNCTION("IFERROR(
  INDEX(
    FILTER(
      Transcription!$AJ:$AJ,
      TRIM(CLEAN(TEXT(Transcription!$F:$F, ""@""))) = TRIM(CLEAN(TEXT($D23, ""@""))),
      Transcription!$AO:$AO = 1
    ),
    1
  ),
  ""Not Found""
)
"),"https://drive.google.com/open?id=10_GsRL5PMmbvyvAOOqWjNTDBjymhVjrE")</f>
        <v>https://drive.google.com/open?id=10_GsRL5PMmbvyvAOOqWjNTDBjymhVjrE</v>
      </c>
      <c r="H23" s="246" t="str">
        <f>IFERROR(__xludf.DUMMYFUNCTION("IFERROR(
  INDEX(
    FILTER(
      Recording!$U:$U,
      TRIM(CLEAN(TEXT(Recording!$E:$E, ""@""))) = TRIM(CLEAN(TEXT($D23, ""@""))),
      Recording!$AA:$AA = 2
    ),
    1
  ),
  ""Not Found""
)
"),"Not Found")</f>
        <v>Not Found</v>
      </c>
      <c r="I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 *
        (IMPORTRANGE(""https://docs.google.com/spreadsheets/d/161aHT6vVT3SLneTKD19N5qVWtnj_jIT8CSsOmUVKmaA/"&amp;"edit?gid=1761053510"",
          ""Haris_Form responses 1!$AQ:$AQ"")=2)
      ),
      1
    ),
    ""0""
  ),
  ""Form not found""
)
"),"Form not found")</f>
        <v>Form not found</v>
      </c>
      <c r="J23" s="247" t="str">
        <f>IFERROR(__xludf.DUMMYFUNCTION("IFERROR(
  INDEX(
    FILTER(
      Transcription!$AJ:$AJ,
      TRIM(CLEAN(TEXT(Transcription!$F:$F, ""@""))) = TRIM(CLEAN(TEXT($D23, ""@""))),
      Transcription!$AO:$AO = 2
    ),
    1
  ),
  ""Not Found""
)
"),"Not Found")</f>
        <v>Not Found</v>
      </c>
      <c r="K23" s="244" t="str">
        <f>IFERROR(__xludf.DUMMYFUNCTION("IFERROR(
  INDEX(
    FILTER(
      Recording!$U:$U,
      TRIM(CLEAN(TEXT(Recording!$E:$E, ""@""))) = TRIM(CLEAN(TEXT($D23, ""@""))),
      Recording!$AA:$AA = 3
    ),
    1
  ),
  ""Not Found""
)
"),"https://drive.google.com/open?id=1hr6Soq_WEJi6-FyAp7kO38ijuRyv3Pxx")</f>
        <v>https://drive.google.com/open?id=1hr6Soq_WEJi6-FyAp7kO38ijuRyv3Pxx</v>
      </c>
      <c r="L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 *
        (IMPORTRANGE(""https://docs.google.com/spreadsheets/d/161aHT6vVT3SLneTKD19N5qVWtnj_jIT8CSsOmUVKmaA/"&amp;"edit?gid=1761053510"",
          ""Haris_Form responses 1!$AQ:$AQ"")=3)
      ),
      1
    ),
    ""0""
  ),
  ""Form not found""
)
"),"3")</f>
        <v>3</v>
      </c>
      <c r="M23" s="245" t="str">
        <f>IFERROR(__xludf.DUMMYFUNCTION("IFERROR(
  INDEX(
    FILTER(
      Transcription!$AJ:$AJ,
      TRIM(CLEAN(TEXT(Transcription!$F:$F, ""@""))) = TRIM(CLEAN(TEXT($D23, ""@""))),
      Transcription!$AO:$AO = 3
    ),
    1
  ),
  ""Not Found""
)
"),"https://drive.google.com/open?id=1NHodf9jf5qc_ZV4V0yalreH0bxVd8cye")</f>
        <v>https://drive.google.com/open?id=1NHodf9jf5qc_ZV4V0yalreH0bxVd8cye</v>
      </c>
      <c r="N23" s="246" t="str">
        <f>IFERROR(__xludf.DUMMYFUNCTION("IFERROR(
  INDEX(
    FILTER(
      Recording!$U:$U,
      TRIM(CLEAN(TEXT(Recording!$E:$E, ""@""))) = TRIM(CLEAN(TEXT($D23, ""@""))),
      Recording!$AA:$AA = 4
    ),
    1
  ),
  ""Not Found""
)
"),"Not Found")</f>
        <v>Not Found</v>
      </c>
      <c r="O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 *
        (IMPORTRANGE(""https://docs.google.com/spreadsheets/d/161aHT6vVT3SLneTKD19N5qVWtnj_jIT8CSsOmUVKmaA/"&amp;"edit?gid=1761053510"",
          ""Haris_Form responses 1!$AQ:$AQ"")=4)
      ),
      1
    ),
    ""0""
  ),
  ""Form not found""
)
"),"Form not found")</f>
        <v>Form not found</v>
      </c>
      <c r="P23" s="247" t="str">
        <f>IFERROR(__xludf.DUMMYFUNCTION("IFERROR(
  INDEX(
    FILTER(
      Transcription!$AJ:$AJ,
      TRIM(CLEAN(TEXT(Transcription!$F:$F, ""@""))) = TRIM(CLEAN(TEXT($D23, ""@""))),
      Transcription!$AO:$AO = 4
    ),
    1
  ),
  ""Not Found""
)
"),"Not Found")</f>
        <v>Not Found</v>
      </c>
      <c r="Q23" s="246" t="str">
        <f>IFERROR(__xludf.DUMMYFUNCTION("IFERROR(
  INDEX(
    FILTER(
      Recording!$U:$U,
      TRIM(CLEAN(TEXT(Recording!$E:$E, ""@""))) = TRIM(CLEAN(TEXT($D23, ""@""))),
      Recording!$AA:$AA = 5
    ),
    1
  ),
  ""Not Found""
)
"),"Not Found")</f>
        <v>Not Found</v>
      </c>
      <c r="R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 *
        (IMPORTRANGE(""https://docs.google.com/spreadsheets/d/161aHT6vVT3SLneTKD19N5qVWtnj_jIT8CSsOmUVKmaA/"&amp;"edit?gid=1761053510"",
          ""Haris_Form responses 1!$AQ:$AQ"")=5)
      ),
      1
    ),
    ""0""
  ),
  ""Form not found""
)
"),"Form not found")</f>
        <v>Form not found</v>
      </c>
      <c r="S23" s="247" t="str">
        <f>IFERROR(__xludf.DUMMYFUNCTION("IFERROR(
  INDEX(
    FILTER(
      Transcription!$AJ:$AJ,
      TRIM(CLEAN(TEXT(Transcription!$F:$F, ""@""))) = TRIM(CLEAN(TEXT($D23, ""@""))),
      Transcription!$AO:$AO = 5
    ),
    1
  ),
  ""Not Found""
)
"),"Not Found")</f>
        <v>Not Found</v>
      </c>
      <c r="T23" s="246" t="str">
        <f>IFERROR(__xludf.DUMMYFUNCTION("IFERROR(
  INDEX(
    FILTER(
      Recording!$U:$U,
      TRIM(CLEAN(TEXT(Recording!$E:$E, ""@""))) = TRIM(CLEAN(TEXT($D23, ""@""))),
      Recording!$AA:$AA = 6
    ),
    1
  ),
  ""Not Found""
)
"),"Not Found")</f>
        <v>Not Found</v>
      </c>
      <c r="U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 *
        (IMPORTRANGE(""https://docs.google.com/spreadsheets/d/161aHT6vVT3SLneTKD19N5qVWtnj_jIT8CSsOmUVKmaA/"&amp;"edit?gid=1761053510"",
          ""Haris_Form responses 1!$AQ:$AQ"")=6)
      ),
      1
    ),
    ""0""
  ),
  ""Form not found""
)
"),"Form not found")</f>
        <v>Form not found</v>
      </c>
      <c r="V23" s="247" t="str">
        <f>IFERROR(__xludf.DUMMYFUNCTION("IFERROR(
  INDEX(
    FILTER(
      Transcription!$AJ:$AJ,
      TRIM(CLEAN(TEXT(Transcription!$F:$F, ""@""))) = TRIM(CLEAN(TEXT($D23, ""@""))),
      Transcription!$AO:$AO = 6
    ),
    1
  ),
  ""Not Found""
)
"),"Not Found")</f>
        <v>Not Found</v>
      </c>
      <c r="Z23" s="10">
        <f t="shared" si="1"/>
        <v>2</v>
      </c>
      <c r="AA23" s="10">
        <f t="shared" si="2"/>
        <v>0</v>
      </c>
    </row>
    <row r="24">
      <c r="A24" s="8" t="str">
        <f>VLOOKUP($D24,Sheet6!$B:$G,5,FALSE)</f>
        <v>Lahore</v>
      </c>
      <c r="B24" s="232" t="str">
        <f>VLOOKUP($D24,Sheet6!$B:$G,4,FALSE)</f>
        <v>Control</v>
      </c>
      <c r="C24" s="8">
        <v>2.0</v>
      </c>
      <c r="D24" s="8" t="s">
        <v>1298</v>
      </c>
      <c r="E24" s="244" t="str">
        <f>IFERROR(__xludf.DUMMYFUNCTION("IFERROR(
  INDEX(
    FILTER(
      Recording!$U:$U,
      TRIM(CLEAN(TEXT(Recording!$E:$E, ""@""))) = TRIM(CLEAN(TEXT($D24, ""@""))),
      Recording!$AA:$AA = 1
    ),
    1
  ),
  ""Not Found""
)
"),"https://drive.google.com/open?id=1OIuzy2QqiuVNDwPueEXxpO7o9WwTXCze")</f>
        <v>https://drive.google.com/open?id=1OIuzy2QqiuVNDwPueEXxpO7o9WwTXCze</v>
      </c>
      <c r="F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 *
        (IMPORTRANGE(""https://docs.google.com/spreadsheets/d/161aHT6vVT3SLneTKD19N5qVWtnj_jIT8CSsOmUVKmaA/"&amp;"edit?gid=1761053510"",
          ""Haris_Form responses 1!$AQ:$AQ"")=1)
      ),
      1
    ),
    ""0""
  ),
  ""Form not found""
)
"),"1")</f>
        <v>1</v>
      </c>
      <c r="G24" s="245" t="str">
        <f>IFERROR(__xludf.DUMMYFUNCTION("IFERROR(
  INDEX(
    FILTER(
      Transcription!$AJ:$AJ,
      TRIM(CLEAN(TEXT(Transcription!$F:$F, ""@""))) = TRIM(CLEAN(TEXT($D24, ""@""))),
      Transcription!$AO:$AO = 1
    ),
    1
  ),
  ""Not Found""
)
"),"https://drive.google.com/open?id=1TkPSg-mRz9bPNQVg0ryNaT75unsbR8D1")</f>
        <v>https://drive.google.com/open?id=1TkPSg-mRz9bPNQVg0ryNaT75unsbR8D1</v>
      </c>
      <c r="H24" s="246" t="str">
        <f>IFERROR(__xludf.DUMMYFUNCTION("IFERROR(
  INDEX(
    FILTER(
      Recording!$U:$U,
      TRIM(CLEAN(TEXT(Recording!$E:$E, ""@""))) = TRIM(CLEAN(TEXT($D24, ""@""))),
      Recording!$AA:$AA = 2
    ),
    1
  ),
  ""Not Found""
)
"),"Not Found")</f>
        <v>Not Found</v>
      </c>
      <c r="I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 *
        (IMPORTRANGE(""https://docs.google.com/spreadsheets/d/161aHT6vVT3SLneTKD19N5qVWtnj_jIT8CSsOmUVKmaA/"&amp;"edit?gid=1761053510"",
          ""Haris_Form responses 1!$AQ:$AQ"")=2)
      ),
      1
    ),
    ""0""
  ),
  ""Form not found""
)
"),"Form not found")</f>
        <v>Form not found</v>
      </c>
      <c r="J24" s="247" t="str">
        <f>IFERROR(__xludf.DUMMYFUNCTION("IFERROR(
  INDEX(
    FILTER(
      Transcription!$AJ:$AJ,
      TRIM(CLEAN(TEXT(Transcription!$F:$F, ""@""))) = TRIM(CLEAN(TEXT($D24, ""@""))),
      Transcription!$AO:$AO = 2
    ),
    1
  ),
  ""Not Found""
)
"),"Not Found")</f>
        <v>Not Found</v>
      </c>
      <c r="K24" s="244" t="str">
        <f>IFERROR(__xludf.DUMMYFUNCTION("IFERROR(
  INDEX(
    FILTER(
      Recording!$U:$U,
      TRIM(CLEAN(TEXT(Recording!$E:$E, ""@""))) = TRIM(CLEAN(TEXT($D24, ""@""))),
      Recording!$AA:$AA = 3
    ),
    1
  ),
  ""Not Found""
)
"),"https://drive.google.com/open?id=1weynkTrBVdWY2Y-gJehrckdGd9AJ8iz6")</f>
        <v>https://drive.google.com/open?id=1weynkTrBVdWY2Y-gJehrckdGd9AJ8iz6</v>
      </c>
      <c r="L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 *
        (IMPORTRANGE(""https://docs.google.com/spreadsheets/d/161aHT6vVT3SLneTKD19N5qVWtnj_jIT8CSsOmUVKmaA/"&amp;"edit?gid=1761053510"",
          ""Haris_Form responses 1!$AQ:$AQ"")=3)
      ),
      1
    ),
    ""0""
  ),
  ""Form not found""
)
"),"3")</f>
        <v>3</v>
      </c>
      <c r="M24" s="245" t="str">
        <f>IFERROR(__xludf.DUMMYFUNCTION("IFERROR(
  INDEX(
    FILTER(
      Transcription!$AJ:$AJ,
      TRIM(CLEAN(TEXT(Transcription!$F:$F, ""@""))) = TRIM(CLEAN(TEXT($D24, ""@""))),
      Transcription!$AO:$AO = 3
    ),
    1
  ),
  ""Not Found""
)
"),"https://drive.google.com/open?id=1VHMnJTUWuOUWnJUJBLeo_ryzZqrrVkp5")</f>
        <v>https://drive.google.com/open?id=1VHMnJTUWuOUWnJUJBLeo_ryzZqrrVkp5</v>
      </c>
      <c r="N24" s="246" t="str">
        <f>IFERROR(__xludf.DUMMYFUNCTION("IFERROR(
  INDEX(
    FILTER(
      Recording!$U:$U,
      TRIM(CLEAN(TEXT(Recording!$E:$E, ""@""))) = TRIM(CLEAN(TEXT($D24, ""@""))),
      Recording!$AA:$AA = 4
    ),
    1
  ),
  ""Not Found""
)
"),"Not Found")</f>
        <v>Not Found</v>
      </c>
      <c r="O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 *
        (IMPORTRANGE(""https://docs.google.com/spreadsheets/d/161aHT6vVT3SLneTKD19N5qVWtnj_jIT8CSsOmUVKmaA/"&amp;"edit?gid=1761053510"",
          ""Haris_Form responses 1!$AQ:$AQ"")=4)
      ),
      1
    ),
    ""0""
  ),
  ""Form not found""
)
"),"Form not found")</f>
        <v>Form not found</v>
      </c>
      <c r="P24" s="247" t="str">
        <f>IFERROR(__xludf.DUMMYFUNCTION("IFERROR(
  INDEX(
    FILTER(
      Transcription!$AJ:$AJ,
      TRIM(CLEAN(TEXT(Transcription!$F:$F, ""@""))) = TRIM(CLEAN(TEXT($D24, ""@""))),
      Transcription!$AO:$AO = 4
    ),
    1
  ),
  ""Not Found""
)
"),"Not Found")</f>
        <v>Not Found</v>
      </c>
      <c r="Q24" s="246" t="str">
        <f>IFERROR(__xludf.DUMMYFUNCTION("IFERROR(
  INDEX(
    FILTER(
      Recording!$U:$U,
      TRIM(CLEAN(TEXT(Recording!$E:$E, ""@""))) = TRIM(CLEAN(TEXT($D24, ""@""))),
      Recording!$AA:$AA = 5
    ),
    1
  ),
  ""Not Found""
)
"),"Not Found")</f>
        <v>Not Found</v>
      </c>
      <c r="R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 *
        (IMPORTRANGE(""https://docs.google.com/spreadsheets/d/161aHT6vVT3SLneTKD19N5qVWtnj_jIT8CSsOmUVKmaA/"&amp;"edit?gid=1761053510"",
          ""Haris_Form responses 1!$AQ:$AQ"")=5)
      ),
      1
    ),
    ""0""
  ),
  ""Form not found""
)
"),"Form not found")</f>
        <v>Form not found</v>
      </c>
      <c r="S24" s="247" t="str">
        <f>IFERROR(__xludf.DUMMYFUNCTION("IFERROR(
  INDEX(
    FILTER(
      Transcription!$AJ:$AJ,
      TRIM(CLEAN(TEXT(Transcription!$F:$F, ""@""))) = TRIM(CLEAN(TEXT($D24, ""@""))),
      Transcription!$AO:$AO = 5
    ),
    1
  ),
  ""Not Found""
)
"),"Not Found")</f>
        <v>Not Found</v>
      </c>
      <c r="T24" s="246" t="str">
        <f>IFERROR(__xludf.DUMMYFUNCTION("IFERROR(
  INDEX(
    FILTER(
      Recording!$U:$U,
      TRIM(CLEAN(TEXT(Recording!$E:$E, ""@""))) = TRIM(CLEAN(TEXT($D24, ""@""))),
      Recording!$AA:$AA = 6
    ),
    1
  ),
  ""Not Found""
)
"),"Not Found")</f>
        <v>Not Found</v>
      </c>
      <c r="U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 *
        (IMPORTRANGE(""https://docs.google.com/spreadsheets/d/161aHT6vVT3SLneTKD19N5qVWtnj_jIT8CSsOmUVKmaA/"&amp;"edit?gid=1761053510"",
          ""Haris_Form responses 1!$AQ:$AQ"")=6)
      ),
      1
    ),
    ""0""
  ),
  ""Form not found""
)
"),"Form not found")</f>
        <v>Form not found</v>
      </c>
      <c r="V24" s="247" t="str">
        <f>IFERROR(__xludf.DUMMYFUNCTION("IFERROR(
  INDEX(
    FILTER(
      Transcription!$AJ:$AJ,
      TRIM(CLEAN(TEXT(Transcription!$F:$F, ""@""))) = TRIM(CLEAN(TEXT($D24, ""@""))),
      Transcription!$AO:$AO = 6
    ),
    1
  ),
  ""Not Found""
)
"),"Not Found")</f>
        <v>Not Found</v>
      </c>
      <c r="Z24" s="10">
        <f t="shared" si="1"/>
        <v>2</v>
      </c>
      <c r="AA24" s="10">
        <f t="shared" si="2"/>
        <v>0</v>
      </c>
    </row>
    <row r="25">
      <c r="A25" s="8" t="str">
        <f>VLOOKUP($D25,Sheet6!$B:$G,5,FALSE)</f>
        <v>Lahore</v>
      </c>
      <c r="B25" s="232" t="str">
        <f>VLOOKUP($D25,Sheet6!$B:$G,4,FALSE)</f>
        <v>Community Religious Info Share</v>
      </c>
      <c r="C25" s="8">
        <v>3.0</v>
      </c>
      <c r="D25" s="8" t="s">
        <v>1155</v>
      </c>
      <c r="E25" s="244" t="str">
        <f>IFERROR(__xludf.DUMMYFUNCTION("IFERROR(
  INDEX(
    FILTER(
      Recording!$U:$U,
      TRIM(CLEAN(TEXT(Recording!$E:$E, ""@""))) = TRIM(CLEAN(TEXT($D25, ""@""))),
      Recording!$AA:$AA = 1
    ),
    1
  ),
  ""Not Found""
)
"),"https://drive.google.com/open?id=1pbvV0wfvf_PcOhC28q0zN6KKOWQP1HQm")</f>
        <v>https://drive.google.com/open?id=1pbvV0wfvf_PcOhC28q0zN6KKOWQP1HQm</v>
      </c>
      <c r="F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 *
        (IMPORTRANGE(""https://docs.google.com/spreadsheets/d/161aHT6vVT3SLneTKD19N5qVWtnj_jIT8CSsOmUVKmaA/"&amp;"edit?gid=1761053510"",
          ""Haris_Form responses 1!$AQ:$AQ"")=1)
      ),
      1
    ),
    ""0""
  ),
  ""Form not found""
)
"),"1")</f>
        <v>1</v>
      </c>
      <c r="G25" s="245" t="str">
        <f>IFERROR(__xludf.DUMMYFUNCTION("IFERROR(
  INDEX(
    FILTER(
      Transcription!$AJ:$AJ,
      TRIM(CLEAN(TEXT(Transcription!$F:$F, ""@""))) = TRIM(CLEAN(TEXT($D25, ""@""))),
      Transcription!$AO:$AO = 1
    ),
    1
  ),
  ""Not Found""
)
"),"https://drive.google.com/open?id=11_sVNMsLVXLfuly7KPEUpm2Z-5Z8Qdwt")</f>
        <v>https://drive.google.com/open?id=11_sVNMsLVXLfuly7KPEUpm2Z-5Z8Qdwt</v>
      </c>
      <c r="H25" s="244" t="str">
        <f>IFERROR(__xludf.DUMMYFUNCTION("IFERROR(
  INDEX(
    FILTER(
      Recording!$U:$U,
      TRIM(CLEAN(TEXT(Recording!$E:$E, ""@""))) = TRIM(CLEAN(TEXT($D25, ""@""))),
      Recording!$AA:$AA = 2
    ),
    1
  ),
  ""Not Found""
)
"),"https://drive.google.com/open?id=1MdjdFqxkn5wff15D8ksjid99cZz-gkR4")</f>
        <v>https://drive.google.com/open?id=1MdjdFqxkn5wff15D8ksjid99cZz-gkR4</v>
      </c>
      <c r="I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 *
        (IMPORTRANGE(""https://docs.google.com/spreadsheets/d/161aHT6vVT3SLneTKD19N5qVWtnj_jIT8CSsOmUVKmaA/"&amp;"edit?gid=1761053510"",
          ""Haris_Form responses 1!$AQ:$AQ"")=2)
      ),
      1
    ),
    ""0""
  ),
  ""Form not found""
)
"),"2")</f>
        <v>2</v>
      </c>
      <c r="J25" s="245" t="str">
        <f>IFERROR(__xludf.DUMMYFUNCTION("IFERROR(
  INDEX(
    FILTER(
      Transcription!$AJ:$AJ,
      TRIM(CLEAN(TEXT(Transcription!$F:$F, ""@""))) = TRIM(CLEAN(TEXT($D25, ""@""))),
      Transcription!$AO:$AO = 2
    ),
    1
  ),
  ""Not Found""
)
"),"https://drive.google.com/open?id=1f6AwixGaN3W8eov0rluxYbVx0OSWdpOR")</f>
        <v>https://drive.google.com/open?id=1f6AwixGaN3W8eov0rluxYbVx0OSWdpOR</v>
      </c>
      <c r="K25" s="244" t="str">
        <f>IFERROR(__xludf.DUMMYFUNCTION("IFERROR(
  INDEX(
    FILTER(
      Recording!$U:$U,
      TRIM(CLEAN(TEXT(Recording!$E:$E, ""@""))) = TRIM(CLEAN(TEXT($D25, ""@""))),
      Recording!$AA:$AA = 3
    ),
    1
  ),
  ""Not Found""
)
"),"https://drive.google.com/open?id=1oFCst-zhCdKB8ctPgZ0wSQVtIKt9ZKB-")</f>
        <v>https://drive.google.com/open?id=1oFCst-zhCdKB8ctPgZ0wSQVtIKt9ZKB-</v>
      </c>
      <c r="L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 *
        (IMPORTRANGE(""https://docs.google.com/spreadsheets/d/161aHT6vVT3SLneTKD19N5qVWtnj_jIT8CSsOmUVKmaA/"&amp;"edit?gid=1761053510"",
          ""Haris_Form responses 1!$AQ:$AQ"")=3)
      ),
      1
    ),
    ""0""
  ),
  ""Form not found""
)
"),"3")</f>
        <v>3</v>
      </c>
      <c r="M25" s="245" t="str">
        <f>IFERROR(__xludf.DUMMYFUNCTION("IFERROR(
  INDEX(
    FILTER(
      Transcription!$AJ:$AJ,
      TRIM(CLEAN(TEXT(Transcription!$F:$F, ""@""))) = TRIM(CLEAN(TEXT($D25, ""@""))),
      Transcription!$AO:$AO = 3
    ),
    1
  ),
  ""Not Found""
)
"),"https://drive.google.com/open?id=1fHd8ESr_GA0708aRHwMPS0KgnmRP0c4g")</f>
        <v>https://drive.google.com/open?id=1fHd8ESr_GA0708aRHwMPS0KgnmRP0c4g</v>
      </c>
      <c r="N25" s="246" t="str">
        <f>IFERROR(__xludf.DUMMYFUNCTION("IFERROR(
  INDEX(
    FILTER(
      Recording!$U:$U,
      TRIM(CLEAN(TEXT(Recording!$E:$E, ""@""))) = TRIM(CLEAN(TEXT($D25, ""@""))),
      Recording!$AA:$AA = 4
    ),
    1
  ),
  ""Not Found""
)
"),"Not Found")</f>
        <v>Not Found</v>
      </c>
      <c r="O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 *
        (IMPORTRANGE(""https://docs.google.com/spreadsheets/d/161aHT6vVT3SLneTKD19N5qVWtnj_jIT8CSsOmUVKmaA/"&amp;"edit?gid=1761053510"",
          ""Haris_Form responses 1!$AQ:$AQ"")=4)
      ),
      1
    ),
    ""0""
  ),
  ""Form not found""
)
"),"Form not found")</f>
        <v>Form not found</v>
      </c>
      <c r="P25" s="247" t="str">
        <f>IFERROR(__xludf.DUMMYFUNCTION("IFERROR(
  INDEX(
    FILTER(
      Transcription!$AJ:$AJ,
      TRIM(CLEAN(TEXT(Transcription!$F:$F, ""@""))) = TRIM(CLEAN(TEXT($D25, ""@""))),
      Transcription!$AO:$AO = 4
    ),
    1
  ),
  ""Not Found""
)
"),"Not Found")</f>
        <v>Not Found</v>
      </c>
      <c r="Q25" s="246" t="str">
        <f>IFERROR(__xludf.DUMMYFUNCTION("IFERROR(
  INDEX(
    FILTER(
      Recording!$U:$U,
      TRIM(CLEAN(TEXT(Recording!$E:$E, ""@""))) = TRIM(CLEAN(TEXT($D25, ""@""))),
      Recording!$AA:$AA = 5
    ),
    1
  ),
  ""Not Found""
)
"),"Not Found")</f>
        <v>Not Found</v>
      </c>
      <c r="R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 *
        (IMPORTRANGE(""https://docs.google.com/spreadsheets/d/161aHT6vVT3SLneTKD19N5qVWtnj_jIT8CSsOmUVKmaA/"&amp;"edit?gid=1761053510"",
          ""Haris_Form responses 1!$AQ:$AQ"")=5)
      ),
      1
    ),
    ""0""
  ),
  ""Form not found""
)
"),"Form not found")</f>
        <v>Form not found</v>
      </c>
      <c r="S25" s="247" t="str">
        <f>IFERROR(__xludf.DUMMYFUNCTION("IFERROR(
  INDEX(
    FILTER(
      Transcription!$AJ:$AJ,
      TRIM(CLEAN(TEXT(Transcription!$F:$F, ""@""))) = TRIM(CLEAN(TEXT($D25, ""@""))),
      Transcription!$AO:$AO = 5
    ),
    1
  ),
  ""Not Found""
)
"),"Not Found")</f>
        <v>Not Found</v>
      </c>
      <c r="T25" s="248" t="str">
        <f>IFERROR(__xludf.DUMMYFUNCTION("IFERROR(
  INDEX(
    FILTER(
      Recording!$U:$U,
      TRIM(CLEAN(TEXT(Recording!$E:$E, ""@""))) = TRIM(CLEAN(TEXT($D25, ""@""))),
      Recording!$AA:$AA = 6
    ),
    1
  ),
  ""Not Found""
)
"),"Not Found")</f>
        <v>Not Found</v>
      </c>
      <c r="U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 *
        (IMPORTRANGE(""https://docs.google.com/spreadsheets/d/161aHT6vVT3SLneTKD19N5qVWtnj_jIT8CSsOmUVKmaA/"&amp;"edit?gid=1761053510"",
          ""Haris_Form responses 1!$AQ:$AQ"")=6)
      ),
      1
    ),
    ""0""
  ),
  ""Form not found""
)
"),"Form not found")</f>
        <v>Form not found</v>
      </c>
      <c r="V25" s="247" t="str">
        <f>IFERROR(__xludf.DUMMYFUNCTION("IFERROR(
  INDEX(
    FILTER(
      Transcription!$AJ:$AJ,
      TRIM(CLEAN(TEXT(Transcription!$F:$F, ""@""))) = TRIM(CLEAN(TEXT($D25, ""@""))),
      Transcription!$AO:$AO = 6
    ),
    1
  ),
  ""Not Found""
)
"),"Not Found")</f>
        <v>Not Found</v>
      </c>
      <c r="Z25" s="10">
        <f t="shared" si="1"/>
        <v>3</v>
      </c>
      <c r="AA25" s="10">
        <f t="shared" si="2"/>
        <v>0</v>
      </c>
    </row>
    <row r="26">
      <c r="A26" s="8" t="str">
        <f>VLOOKUP($D26,Sheet6!$B:$G,5,FALSE)</f>
        <v>Lahore</v>
      </c>
      <c r="B26" s="232" t="str">
        <f>VLOOKUP($D26,Sheet6!$B:$G,4,FALSE)</f>
        <v>Community Religious No Info Share</v>
      </c>
      <c r="C26" s="8">
        <v>3.0</v>
      </c>
      <c r="D26" s="8" t="s">
        <v>1572</v>
      </c>
      <c r="E26" s="255" t="s">
        <v>4514</v>
      </c>
      <c r="F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 *
        (IMPORTRANGE(""https://docs.google.com/spreadsheets/d/161aHT6vVT3SLneTKD19N5qVWtnj_jIT8CSsOmUVKmaA/"&amp;"edit?gid=1761053510"",
          ""Haris_Form responses 1!$AQ:$AQ"")=1)
      ),
      1
    ),
    ""0""
  ),
  ""Form not found""
)
"),"Form not found")</f>
        <v>Form not found</v>
      </c>
      <c r="G26" s="247" t="str">
        <f>IFERROR(__xludf.DUMMYFUNCTION("IFERROR(
  INDEX(
    FILTER(
      Transcription!$AJ:$AJ,
      TRIM(CLEAN(TEXT(Transcription!$F:$F, ""@""))) = TRIM(CLEAN(TEXT($D26, ""@""))),
      Transcription!$AO:$AO = 1
    ),
    1
  ),
  ""Not Found""
)
"),"Not Found")</f>
        <v>Not Found</v>
      </c>
      <c r="H26" s="244" t="str">
        <f>IFERROR(__xludf.DUMMYFUNCTION("IFERROR(
  INDEX(
    FILTER(
      Recording!$U:$U,
      TRIM(CLEAN(TEXT(Recording!$E:$E, ""@""))) = TRIM(CLEAN(TEXT($D26, ""@""))),
      Recording!$AA:$AA = 2
    ),
    1
  ),
  ""Not Found""
)
"),"https://drive.google.com/open?id=1qAxiHQa_-28MKa5mlldT9_LF6tPE411m")</f>
        <v>https://drive.google.com/open?id=1qAxiHQa_-28MKa5mlldT9_LF6tPE411m</v>
      </c>
      <c r="I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 *
        (IMPORTRANGE(""https://docs.google.com/spreadsheets/d/161aHT6vVT3SLneTKD19N5qVWtnj_jIT8CSsOmUVKmaA/"&amp;"edit?gid=1761053510"",
          ""Haris_Form responses 1!$AQ:$AQ"")=2)
      ),
      1
    ),
    ""0""
  ),
  ""Form not found""
)
"),"2")</f>
        <v>2</v>
      </c>
      <c r="J26" s="245" t="str">
        <f>IFERROR(__xludf.DUMMYFUNCTION("IFERROR(
  INDEX(
    FILTER(
      Transcription!$AJ:$AJ,
      TRIM(CLEAN(TEXT(Transcription!$F:$F, ""@""))) = TRIM(CLEAN(TEXT($D26, ""@""))),
      Transcription!$AO:$AO = 2
    ),
    1
  ),
  ""Not Found""
)
"),"https://drive.google.com/open?id=16x1ey0tVhnd_FKbygJqMXAQlj-ndl7VR")</f>
        <v>https://drive.google.com/open?id=16x1ey0tVhnd_FKbygJqMXAQlj-ndl7VR</v>
      </c>
      <c r="K26" s="244" t="str">
        <f>IFERROR(__xludf.DUMMYFUNCTION("IFERROR(
  INDEX(
    FILTER(
      Recording!$U:$U,
      TRIM(CLEAN(TEXT(Recording!$E:$E, ""@""))) = TRIM(CLEAN(TEXT($D26, ""@""))),
      Recording!$AA:$AA = 3
    ),
    1
  ),
  ""Not Found""
)
"),"https://drive.google.com/open?id=1PKeUCt8QFKq71ufGzjrxvwpEQS0bpoux")</f>
        <v>https://drive.google.com/open?id=1PKeUCt8QFKq71ufGzjrxvwpEQS0bpoux</v>
      </c>
      <c r="L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 *
        (IMPORTRANGE(""https://docs.google.com/spreadsheets/d/161aHT6vVT3SLneTKD19N5qVWtnj_jIT8CSsOmUVKmaA/"&amp;"edit?gid=1761053510"",
          ""Haris_Form responses 1!$AQ:$AQ"")=3)
      ),
      1
    ),
    ""0""
  ),
  ""Form not found""
)
"),"3")</f>
        <v>3</v>
      </c>
      <c r="M26" s="245" t="str">
        <f>IFERROR(__xludf.DUMMYFUNCTION("IFERROR(
  INDEX(
    FILTER(
      Transcription!$AJ:$AJ,
      TRIM(CLEAN(TEXT(Transcription!$F:$F, ""@""))) = TRIM(CLEAN(TEXT($D26, ""@""))),
      Transcription!$AO:$AO = 3
    ),
    1
  ),
  ""Not Found""
)
"),"https://drive.google.com/open?id=1jLDIMt3OlETNQ2yBJvULkkgqiuZzEpTA")</f>
        <v>https://drive.google.com/open?id=1jLDIMt3OlETNQ2yBJvULkkgqiuZzEpTA</v>
      </c>
      <c r="N26" s="255" t="s">
        <v>4515</v>
      </c>
      <c r="O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 *
        (IMPORTRANGE(""https://docs.google.com/spreadsheets/d/161aHT6vVT3SLneTKD19N5qVWtnj_jIT8CSsOmUVKmaA/"&amp;"edit?gid=1761053510"",
          ""Haris_Form responses 1!$AQ:$AQ"")=4)
      ),
      1
    ),
    ""0""
  ),
  ""Form not found""
)
"),"Form not found")</f>
        <v>Form not found</v>
      </c>
      <c r="P26" s="247" t="str">
        <f>IFERROR(__xludf.DUMMYFUNCTION("IFERROR(
  INDEX(
    FILTER(
      Transcription!$AJ:$AJ,
      TRIM(CLEAN(TEXT(Transcription!$F:$F, ""@""))) = TRIM(CLEAN(TEXT($D26, ""@""))),
      Transcription!$AO:$AO = 4
    ),
    1
  ),
  ""Not Found""
)
"),"Not Found")</f>
        <v>Not Found</v>
      </c>
      <c r="Q26" s="244" t="str">
        <f>IFERROR(__xludf.DUMMYFUNCTION("IFERROR(
  INDEX(
    FILTER(
      Recording!$U:$U,
      TRIM(CLEAN(TEXT(Recording!$E:$E, ""@""))) = TRIM(CLEAN(TEXT($D26, ""@""))),
      Recording!$AA:$AA = 5
    ),
    1
  ),
  ""Not Found""
)
"),"https://drive.google.com/open?id=1XRaAJrZVyyZax-zPYQuPBs1CWBKL-Qwe")</f>
        <v>https://drive.google.com/open?id=1XRaAJrZVyyZax-zPYQuPBs1CWBKL-Qwe</v>
      </c>
      <c r="R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 *
        (IMPORTRANGE(""https://docs.google.com/spreadsheets/d/161aHT6vVT3SLneTKD19N5qVWtnj_jIT8CSsOmUVKmaA/"&amp;"edit?gid=1761053510"",
          ""Haris_Form responses 1!$AQ:$AQ"")=5)
      ),
      1
    ),
    ""0""
  ),
  ""Form not found""
)
"),"5")</f>
        <v>5</v>
      </c>
      <c r="S26" s="245" t="str">
        <f>IFERROR(__xludf.DUMMYFUNCTION("IFERROR(
  INDEX(
    FILTER(
      Transcription!$AJ:$AJ,
      TRIM(CLEAN(TEXT(Transcription!$F:$F, ""@""))) = TRIM(CLEAN(TEXT($D26, ""@""))),
      Transcription!$AO:$AO = 5
    ),
    1
  ),
  ""Not Found""
)
"),"https://drive.google.com/open?id=1WbAu82LKqLJHcasXKQBNZjOFWdiM-ARP")</f>
        <v>https://drive.google.com/open?id=1WbAu82LKqLJHcasXKQBNZjOFWdiM-ARP</v>
      </c>
      <c r="T26" s="248" t="str">
        <f>IFERROR(__xludf.DUMMYFUNCTION("IFERROR(
  INDEX(
    FILTER(
      Recording!$U:$U,
      TRIM(CLEAN(TEXT(Recording!$E:$E, ""@""))) = TRIM(CLEAN(TEXT($D26, ""@""))),
      Recording!$AA:$AA = 6
    ),
    1
  ),
  ""Not Found""
)
"),"Not Found")</f>
        <v>Not Found</v>
      </c>
      <c r="U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 *
        (IMPORTRANGE(""https://docs.google.com/spreadsheets/d/161aHT6vVT3SLneTKD19N5qVWtnj_jIT8CSsOmUVKmaA/"&amp;"edit?gid=1761053510"",
          ""Haris_Form responses 1!$AQ:$AQ"")=6)
      ),
      1
    ),
    ""0""
  ),
  ""Form not found""
)
"),"Form not found")</f>
        <v>Form not found</v>
      </c>
      <c r="V26" s="247" t="str">
        <f>IFERROR(__xludf.DUMMYFUNCTION("IFERROR(
  INDEX(
    FILTER(
      Transcription!$AJ:$AJ,
      TRIM(CLEAN(TEXT(Transcription!$F:$F, ""@""))) = TRIM(CLEAN(TEXT($D26, ""@""))),
      Transcription!$AO:$AO = 6
    ),
    1
  ),
  ""Not Found""
)
"),"Not Found")</f>
        <v>Not Found</v>
      </c>
      <c r="X26" s="8" t="s">
        <v>4516</v>
      </c>
      <c r="Z26" s="10">
        <f t="shared" si="1"/>
        <v>3</v>
      </c>
      <c r="AA26" s="10">
        <f t="shared" si="2"/>
        <v>0</v>
      </c>
    </row>
    <row r="27">
      <c r="A27" s="8" t="str">
        <f>VLOOKUP($D27,Sheet6!$B:$G,5,FALSE)</f>
        <v>Lahore</v>
      </c>
      <c r="B27" s="232" t="str">
        <f>VLOOKUP($D27,Sheet6!$B:$G,4,FALSE)</f>
        <v>Women Religious No Info Share</v>
      </c>
      <c r="C27" s="8">
        <v>3.0</v>
      </c>
      <c r="D27" s="8" t="s">
        <v>1134</v>
      </c>
      <c r="E27" s="244" t="str">
        <f>IFERROR(__xludf.DUMMYFUNCTION("IFERROR(
  INDEX(
    FILTER(
      Recording!$U:$U,
      TRIM(CLEAN(TEXT(Recording!$E:$E, ""@""))) = TRIM(CLEAN(TEXT($D27, ""@""))),
      Recording!$AA:$AA = 1
    ),
    1
  ),
  ""Not Found""
)
"),"https://drive.google.com/open?id=1auIwHPYeeWqcq_6b2EtZom9fLuON1gYi")</f>
        <v>https://drive.google.com/open?id=1auIwHPYeeWqcq_6b2EtZom9fLuON1gYi</v>
      </c>
      <c r="F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 *
        (IMPORTRANGE(""https://docs.google.com/spreadsheets/d/161aHT6vVT3SLneTKD19N5qVWtnj_jIT8CSsOmUVKmaA/"&amp;"edit?gid=1761053510"",
          ""Haris_Form responses 1!$AQ:$AQ"")=1)
      ),
      1
    ),
    ""0""
  ),
  ""Form not found""
)
"),"1")</f>
        <v>1</v>
      </c>
      <c r="G27" s="245" t="str">
        <f>IFERROR(__xludf.DUMMYFUNCTION("IFERROR(
  INDEX(
    FILTER(
      Transcription!$AJ:$AJ,
      TRIM(CLEAN(TEXT(Transcription!$F:$F, ""@""))) = TRIM(CLEAN(TEXT($D27, ""@""))),
      Transcription!$AO:$AO = 1
    ),
    1
  ),
  ""Not Found""
)
"),"https://drive.google.com/open?id=1_-5vnWszRPTCqEbt7_qNSahjEgd5eaqA")</f>
        <v>https://drive.google.com/open?id=1_-5vnWszRPTCqEbt7_qNSahjEgd5eaqA</v>
      </c>
      <c r="H27" s="244" t="str">
        <f>IFERROR(__xludf.DUMMYFUNCTION("IFERROR(
  INDEX(
    FILTER(
      Recording!$U:$U,
      TRIM(CLEAN(TEXT(Recording!$E:$E, ""@""))) = TRIM(CLEAN(TEXT($D27, ""@""))),
      Recording!$AA:$AA = 2
    ),
    1
  ),
  ""Not Found""
)
"),"https://drive.google.com/open?id=1P063TMlPFMvsBsQPB7rBBz3M4YD55DPU")</f>
        <v>https://drive.google.com/open?id=1P063TMlPFMvsBsQPB7rBBz3M4YD55DPU</v>
      </c>
      <c r="I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 *
        (IMPORTRANGE(""https://docs.google.com/spreadsheets/d/161aHT6vVT3SLneTKD19N5qVWtnj_jIT8CSsOmUVKmaA/"&amp;"edit?gid=1761053510"",
          ""Haris_Form responses 1!$AQ:$AQ"")=2)
      ),
      1
    ),
    ""0""
  ),
  ""Form not found""
)
"),"2")</f>
        <v>2</v>
      </c>
      <c r="J27" s="245" t="str">
        <f>IFERROR(__xludf.DUMMYFUNCTION("IFERROR(
  INDEX(
    FILTER(
      Transcription!$AJ:$AJ,
      TRIM(CLEAN(TEXT(Transcription!$F:$F, ""@""))) = TRIM(CLEAN(TEXT($D27, ""@""))),
      Transcription!$AO:$AO = 2
    ),
    1
  ),
  ""Not Found""
)
"),"https://drive.google.com/open?id=1WTJs1mYvgHpDNTqArxSn55STKBWWnpv8")</f>
        <v>https://drive.google.com/open?id=1WTJs1mYvgHpDNTqArxSn55STKBWWnpv8</v>
      </c>
      <c r="K27" s="244" t="str">
        <f>IFERROR(__xludf.DUMMYFUNCTION("IFERROR(
  INDEX(
    FILTER(
      Recording!$U:$U,
      TRIM(CLEAN(TEXT(Recording!$E:$E, ""@""))) = TRIM(CLEAN(TEXT($D27, ""@""))),
      Recording!$AA:$AA = 3
    ),
    1
  ),
  ""Not Found""
)
"),"https://drive.google.com/open?id=1uYMjMoLu7eJCNZlRLVSVDyrHLOOKrm7d")</f>
        <v>https://drive.google.com/open?id=1uYMjMoLu7eJCNZlRLVSVDyrHLOOKrm7d</v>
      </c>
      <c r="L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 *
        (IMPORTRANGE(""https://docs.google.com/spreadsheets/d/161aHT6vVT3SLneTKD19N5qVWtnj_jIT8CSsOmUVKmaA/"&amp;"edit?gid=1761053510"",
          ""Haris_Form responses 1!$AQ:$AQ"")=3)
      ),
      1
    ),
    ""0""
  ),
  ""Form not found""
)
"),"3")</f>
        <v>3</v>
      </c>
      <c r="M27" s="245" t="str">
        <f>IFERROR(__xludf.DUMMYFUNCTION("IFERROR(
  INDEX(
    FILTER(
      Transcription!$AJ:$AJ,
      TRIM(CLEAN(TEXT(Transcription!$F:$F, ""@""))) = TRIM(CLEAN(TEXT($D27, ""@""))),
      Transcription!$AO:$AO = 3
    ),
    1
  ),
  ""Not Found""
)
"),"https://drive.google.com/open?id=19T1gmW62F-7DpvlMmFhI63LCaqDy9wQ0")</f>
        <v>https://drive.google.com/open?id=19T1gmW62F-7DpvlMmFhI63LCaqDy9wQ0</v>
      </c>
      <c r="N27" s="246" t="str">
        <f>IFERROR(__xludf.DUMMYFUNCTION("IFERROR(
  INDEX(
    FILTER(
      Recording!$U:$U,
      TRIM(CLEAN(TEXT(Recording!$E:$E, ""@""))) = TRIM(CLEAN(TEXT($D27, ""@""))),
      Recording!$AA:$AA = 4
    ),
    1
  ),
  ""Not Found""
)
"),"Not Found")</f>
        <v>Not Found</v>
      </c>
      <c r="O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 *
        (IMPORTRANGE(""https://docs.google.com/spreadsheets/d/161aHT6vVT3SLneTKD19N5qVWtnj_jIT8CSsOmUVKmaA/"&amp;"edit?gid=1761053510"",
          ""Haris_Form responses 1!$AQ:$AQ"")=4)
      ),
      1
    ),
    ""0""
  ),
  ""Form not found""
)
"),"Form not found")</f>
        <v>Form not found</v>
      </c>
      <c r="P27" s="247" t="str">
        <f>IFERROR(__xludf.DUMMYFUNCTION("IFERROR(
  INDEX(
    FILTER(
      Transcription!$AJ:$AJ,
      TRIM(CLEAN(TEXT(Transcription!$F:$F, ""@""))) = TRIM(CLEAN(TEXT($D27, ""@""))),
      Transcription!$AO:$AO = 4
    ),
    1
  ),
  ""Not Found""
)
"),"Not Found")</f>
        <v>Not Found</v>
      </c>
      <c r="Q27" s="246" t="str">
        <f>IFERROR(__xludf.DUMMYFUNCTION("IFERROR(
  INDEX(
    FILTER(
      Recording!$U:$U,
      TRIM(CLEAN(TEXT(Recording!$E:$E, ""@""))) = TRIM(CLEAN(TEXT($D27, ""@""))),
      Recording!$AA:$AA = 5
    ),
    1
  ),
  ""Not Found""
)
"),"Not Found")</f>
        <v>Not Found</v>
      </c>
      <c r="R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 *
        (IMPORTRANGE(""https://docs.google.com/spreadsheets/d/161aHT6vVT3SLneTKD19N5qVWtnj_jIT8CSsOmUVKmaA/"&amp;"edit?gid=1761053510"",
          ""Haris_Form responses 1!$AQ:$AQ"")=5)
      ),
      1
    ),
    ""0""
  ),
  ""Form not found""
)
"),"Form not found")</f>
        <v>Form not found</v>
      </c>
      <c r="S27" s="247" t="str">
        <f>IFERROR(__xludf.DUMMYFUNCTION("IFERROR(
  INDEX(
    FILTER(
      Transcription!$AJ:$AJ,
      TRIM(CLEAN(TEXT(Transcription!$F:$F, ""@""))) = TRIM(CLEAN(TEXT($D27, ""@""))),
      Transcription!$AO:$AO = 5
    ),
    1
  ),
  ""Not Found""
)
"),"Not Found")</f>
        <v>Not Found</v>
      </c>
      <c r="T27" s="248" t="str">
        <f>IFERROR(__xludf.DUMMYFUNCTION("IFERROR(
  INDEX(
    FILTER(
      Recording!$U:$U,
      TRIM(CLEAN(TEXT(Recording!$E:$E, ""@""))) = TRIM(CLEAN(TEXT($D27, ""@""))),
      Recording!$AA:$AA = 6
    ),
    1
  ),
  ""Not Found""
)
"),"Not Found")</f>
        <v>Not Found</v>
      </c>
      <c r="U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 *
        (IMPORTRANGE(""https://docs.google.com/spreadsheets/d/161aHT6vVT3SLneTKD19N5qVWtnj_jIT8CSsOmUVKmaA/"&amp;"edit?gid=1761053510"",
          ""Haris_Form responses 1!$AQ:$AQ"")=6)
      ),
      1
    ),
    ""0""
  ),
  ""Form not found""
)
"),"Form not found")</f>
        <v>Form not found</v>
      </c>
      <c r="V27" s="247" t="str">
        <f>IFERROR(__xludf.DUMMYFUNCTION("IFERROR(
  INDEX(
    FILTER(
      Transcription!$AJ:$AJ,
      TRIM(CLEAN(TEXT(Transcription!$F:$F, ""@""))) = TRIM(CLEAN(TEXT($D27, ""@""))),
      Transcription!$AO:$AO = 6
    ),
    1
  ),
  ""Not Found""
)
"),"Not Found")</f>
        <v>Not Found</v>
      </c>
      <c r="Z27" s="10">
        <f t="shared" si="1"/>
        <v>3</v>
      </c>
      <c r="AA27" s="10">
        <f t="shared" si="2"/>
        <v>0</v>
      </c>
    </row>
    <row r="28">
      <c r="A28" s="8" t="str">
        <f>VLOOKUP($D28,Sheet6!$B:$G,5,FALSE)</f>
        <v>Lahore</v>
      </c>
      <c r="B28" s="232" t="str">
        <f>VLOOKUP($D28,Sheet6!$B:$G,4,FALSE)</f>
        <v>Community Secular Info Share</v>
      </c>
      <c r="C28" s="8">
        <v>3.0</v>
      </c>
      <c r="D28" s="8" t="s">
        <v>1306</v>
      </c>
      <c r="E28" s="244" t="str">
        <f>IFERROR(__xludf.DUMMYFUNCTION("IFERROR(
  INDEX(
    FILTER(
      Recording!$U:$U,
      TRIM(CLEAN(TEXT(Recording!$E:$E, ""@""))) = TRIM(CLEAN(TEXT($D28, ""@""))),
      Recording!$AA:$AA = 1
    ),
    1
  ),
  ""Not Found""
)
"),"https://drive.google.com/open?id=1sVzmpmCZYJPWcXKbOEV1ltgPkQFvs_Jg")</f>
        <v>https://drive.google.com/open?id=1sVzmpmCZYJPWcXKbOEV1ltgPkQFvs_Jg</v>
      </c>
      <c r="F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 *
        (IMPORTRANGE(""https://docs.google.com/spreadsheets/d/161aHT6vVT3SLneTKD19N5qVWtnj_jIT8CSsOmUVKmaA/"&amp;"edit?gid=1761053510"",
          ""Haris_Form responses 1!$AQ:$AQ"")=1)
      ),
      1
    ),
    ""0""
  ),
  ""Form not found""
)
"),"1")</f>
        <v>1</v>
      </c>
      <c r="G28" s="245" t="str">
        <f>IFERROR(__xludf.DUMMYFUNCTION("IFERROR(
  INDEX(
    FILTER(
      Transcription!$AJ:$AJ,
      TRIM(CLEAN(TEXT(Transcription!$F:$F, ""@""))) = TRIM(CLEAN(TEXT($D28, ""@""))),
      Transcription!$AO:$AO = 1
    ),
    1
  ),
  ""Not Found""
)
"),"https://drive.google.com/open?id=1doKo4nrIPdwwCoddL2NE6HnU5Uv0E7z3")</f>
        <v>https://drive.google.com/open?id=1doKo4nrIPdwwCoddL2NE6HnU5Uv0E7z3</v>
      </c>
      <c r="H28" s="255" t="s">
        <v>4515</v>
      </c>
      <c r="I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 *
        (IMPORTRANGE(""https://docs.google.com/spreadsheets/d/161aHT6vVT3SLneTKD19N5qVWtnj_jIT8CSsOmUVKmaA/"&amp;"edit?gid=1761053510"",
          ""Haris_Form responses 1!$AQ:$AQ"")=2)
      ),
      1
    ),
    ""0""
  ),
  ""Form not found""
)
"),"Form not found")</f>
        <v>Form not found</v>
      </c>
      <c r="J28" s="247" t="str">
        <f>IFERROR(__xludf.DUMMYFUNCTION("IFERROR(
  INDEX(
    FILTER(
      Transcription!$AJ:$AJ,
      TRIM(CLEAN(TEXT(Transcription!$F:$F, ""@""))) = TRIM(CLEAN(TEXT($D28, ""@""))),
      Transcription!$AO:$AO = 2
    ),
    1
  ),
  ""Not Found""
)
"),"Not Found")</f>
        <v>Not Found</v>
      </c>
      <c r="K28" s="244" t="str">
        <f>IFERROR(__xludf.DUMMYFUNCTION("IFERROR(
  INDEX(
    FILTER(
      Recording!$U:$U,
      TRIM(CLEAN(TEXT(Recording!$E:$E, ""@""))) = TRIM(CLEAN(TEXT($D28, ""@""))),
      Recording!$AA:$AA = 3
    ),
    1
  ),
  ""Not Found""
)
"),"https://drive.google.com/open?id=14inJVTTs-ua6lQ3fD2Jmvd3bAwyMW800")</f>
        <v>https://drive.google.com/open?id=14inJVTTs-ua6lQ3fD2Jmvd3bAwyMW800</v>
      </c>
      <c r="L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 *
        (IMPORTRANGE(""https://docs.google.com/spreadsheets/d/161aHT6vVT3SLneTKD19N5qVWtnj_jIT8CSsOmUVKmaA/"&amp;"edit?gid=1761053510"",
          ""Haris_Form responses 1!$AQ:$AQ"")=3)
      ),
      1
    ),
    ""0""
  ),
  ""Form not found""
)
"),"3")</f>
        <v>3</v>
      </c>
      <c r="M28" s="245" t="str">
        <f>IFERROR(__xludf.DUMMYFUNCTION("IFERROR(
  INDEX(
    FILTER(
      Transcription!$AJ:$AJ,
      TRIM(CLEAN(TEXT(Transcription!$F:$F, ""@""))) = TRIM(CLEAN(TEXT($D28, ""@""))),
      Transcription!$AO:$AO = 3
    ),
    1
  ),
  ""Not Found""
)
"),"https://drive.google.com/open?id=14fqqW1DvWT0_vp1hhL8hFSMxBWc4Hm30")</f>
        <v>https://drive.google.com/open?id=14fqqW1DvWT0_vp1hhL8hFSMxBWc4Hm30</v>
      </c>
      <c r="N28" s="244" t="str">
        <f>IFERROR(__xludf.DUMMYFUNCTION("IFERROR(
  INDEX(
    FILTER(
      Recording!$U:$U,
      TRIM(CLEAN(TEXT(Recording!$E:$E, ""@""))) = TRIM(CLEAN(TEXT($D28, ""@""))),
      Recording!$AA:$AA = 4
    ),
    1
  ),
  ""Not Found""
)
"),"https://drive.google.com/open?id=1XWMWFUQrgIgzJV8sOCBNMlfiSwFYmX-2")</f>
        <v>https://drive.google.com/open?id=1XWMWFUQrgIgzJV8sOCBNMlfiSwFYmX-2</v>
      </c>
      <c r="O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 *
        (IMPORTRANGE(""https://docs.google.com/spreadsheets/d/161aHT6vVT3SLneTKD19N5qVWtnj_jIT8CSsOmUVKmaA/"&amp;"edit?gid=1761053510"",
          ""Haris_Form responses 1!$AQ:$AQ"")=4)
      ),
      1
    ),
    ""0""
  ),
  ""Form not found""
)
"),"4")</f>
        <v>4</v>
      </c>
      <c r="P28" s="245" t="str">
        <f>IFERROR(__xludf.DUMMYFUNCTION("IFERROR(
  INDEX(
    FILTER(
      Transcription!$AJ:$AJ,
      TRIM(CLEAN(TEXT(Transcription!$F:$F, ""@""))) = TRIM(CLEAN(TEXT($D28, ""@""))),
      Transcription!$AO:$AO = 4
    ),
    1
  ),
  ""Not Found""
)
"),"https://drive.google.com/open?id=1s9LcQ3nsdNW-wR3M9dFD2tGpqOslvTY-")</f>
        <v>https://drive.google.com/open?id=1s9LcQ3nsdNW-wR3M9dFD2tGpqOslvTY-</v>
      </c>
      <c r="Q28" s="246" t="str">
        <f>IFERROR(__xludf.DUMMYFUNCTION("IFERROR(
  INDEX(
    FILTER(
      Recording!$U:$U,
      TRIM(CLEAN(TEXT(Recording!$E:$E, ""@""))) = TRIM(CLEAN(TEXT($D28, ""@""))),
      Recording!$AA:$AA = 5
    ),
    1
  ),
  ""Not Found""
)
"),"Not Found")</f>
        <v>Not Found</v>
      </c>
      <c r="R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 *
        (IMPORTRANGE(""https://docs.google.com/spreadsheets/d/161aHT6vVT3SLneTKD19N5qVWtnj_jIT8CSsOmUVKmaA/"&amp;"edit?gid=1761053510"",
          ""Haris_Form responses 1!$AQ:$AQ"")=5)
      ),
      1
    ),
    ""0""
  ),
  ""Form not found""
)
"),"Form not found")</f>
        <v>Form not found</v>
      </c>
      <c r="S28" s="247" t="str">
        <f>IFERROR(__xludf.DUMMYFUNCTION("IFERROR(
  INDEX(
    FILTER(
      Transcription!$AJ:$AJ,
      TRIM(CLEAN(TEXT(Transcription!$F:$F, ""@""))) = TRIM(CLEAN(TEXT($D28, ""@""))),
      Transcription!$AO:$AO = 5
    ),
    1
  ),
  ""Not Found""
)
"),"Not Found")</f>
        <v>Not Found</v>
      </c>
      <c r="T28" s="248" t="str">
        <f>IFERROR(__xludf.DUMMYFUNCTION("IFERROR(
  INDEX(
    FILTER(
      Recording!$U:$U,
      TRIM(CLEAN(TEXT(Recording!$E:$E, ""@""))) = TRIM(CLEAN(TEXT($D28, ""@""))),
      Recording!$AA:$AA = 6
    ),
    1
  ),
  ""Not Found""
)
"),"Not Found")</f>
        <v>Not Found</v>
      </c>
      <c r="U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 *
        (IMPORTRANGE(""https://docs.google.com/spreadsheets/d/161aHT6vVT3SLneTKD19N5qVWtnj_jIT8CSsOmUVKmaA/"&amp;"edit?gid=1761053510"",
          ""Haris_Form responses 1!$AQ:$AQ"")=6)
      ),
      1
    ),
    ""0""
  ),
  ""Form not found""
)
"),"Form not found")</f>
        <v>Form not found</v>
      </c>
      <c r="V28" s="247" t="str">
        <f>IFERROR(__xludf.DUMMYFUNCTION("IFERROR(
  INDEX(
    FILTER(
      Transcription!$AJ:$AJ,
      TRIM(CLEAN(TEXT(Transcription!$F:$F, ""@""))) = TRIM(CLEAN(TEXT($D28, ""@""))),
      Transcription!$AO:$AO = 6
    ),
    1
  ),
  ""Not Found""
)
"),"Not Found")</f>
        <v>Not Found</v>
      </c>
      <c r="Z28" s="10">
        <f t="shared" si="1"/>
        <v>3</v>
      </c>
      <c r="AA28" s="10">
        <f t="shared" si="2"/>
        <v>0</v>
      </c>
    </row>
    <row r="29">
      <c r="A29" s="8" t="str">
        <f>VLOOKUP($D29,Sheet6!$B:$G,5,FALSE)</f>
        <v>Lahore</v>
      </c>
      <c r="B29" s="232" t="str">
        <f>VLOOKUP($D29,Sheet6!$B:$G,4,FALSE)</f>
        <v>Community Religious Info Share</v>
      </c>
      <c r="C29" s="8">
        <v>3.0</v>
      </c>
      <c r="D29" s="8" t="s">
        <v>1900</v>
      </c>
      <c r="E29" s="244" t="str">
        <f>IFERROR(__xludf.DUMMYFUNCTION("IFERROR(
  INDEX(
    FILTER(
      Recording!$U:$U,
      TRIM(CLEAN(TEXT(Recording!$E:$E, ""@""))) = TRIM(CLEAN(TEXT($D29, ""@""))),
      Recording!$AA:$AA = 1
    ),
    1
  ),
  ""Not Found""
)
"),"https://drive.google.com/open?id=1lvKLw2_cOGoRc39eLYc2buzqm7rdQtD0")</f>
        <v>https://drive.google.com/open?id=1lvKLw2_cOGoRc39eLYc2buzqm7rdQtD0</v>
      </c>
      <c r="F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 *
        (IMPORTRANGE(""https://docs.google.com/spreadsheets/d/161aHT6vVT3SLneTKD19N5qVWtnj_jIT8CSsOmUVKmaA/"&amp;"edit?gid=1761053510"",
          ""Haris_Form responses 1!$AQ:$AQ"")=1)
      ),
      1
    ),
    ""0""
  ),
  ""Form not found""
)
"),"1")</f>
        <v>1</v>
      </c>
      <c r="G29" s="245" t="str">
        <f>IFERROR(__xludf.DUMMYFUNCTION("IFERROR(
  INDEX(
    FILTER(
      Transcription!$AJ:$AJ,
      TRIM(CLEAN(TEXT(Transcription!$F:$F, ""@""))) = TRIM(CLEAN(TEXT($D29, ""@""))),
      Transcription!$AO:$AO = 1
    ),
    1
  ),
  ""Not Found""
)
"),"https://drive.google.com/open?id=1VjppDLZGyaV3WxzZBbodubZuVqmRP4Do")</f>
        <v>https://drive.google.com/open?id=1VjppDLZGyaV3WxzZBbodubZuVqmRP4Do</v>
      </c>
      <c r="H29" s="244" t="str">
        <f>IFERROR(__xludf.DUMMYFUNCTION("IFERROR(
  INDEX(
    FILTER(
      Recording!$U:$U,
      TRIM(CLEAN(TEXT(Recording!$E:$E, ""@""))) = TRIM(CLEAN(TEXT($D29, ""@""))),
      Recording!$AA:$AA = 2
    ),
    1
  ),
  ""Not Found""
)
"),"https://drive.google.com/open?id=1y7CD9ikF4b3sIfwq9imC_0KMQjm7Xlii")</f>
        <v>https://drive.google.com/open?id=1y7CD9ikF4b3sIfwq9imC_0KMQjm7Xlii</v>
      </c>
      <c r="I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 *
        (IMPORTRANGE(""https://docs.google.com/spreadsheets/d/161aHT6vVT3SLneTKD19N5qVWtnj_jIT8CSsOmUVKmaA/"&amp;"edit?gid=1761053510"",
          ""Haris_Form responses 1!$AQ:$AQ"")=2)
      ),
      1
    ),
    ""0""
  ),
  ""Form not found""
)
"),"2")</f>
        <v>2</v>
      </c>
      <c r="J29" s="245" t="str">
        <f>IFERROR(__xludf.DUMMYFUNCTION("IFERROR(
  INDEX(
    FILTER(
      Transcription!$AJ:$AJ,
      TRIM(CLEAN(TEXT(Transcription!$F:$F, ""@""))) = TRIM(CLEAN(TEXT($D29, ""@""))),
      Transcription!$AO:$AO = 2
    ),
    1
  ),
  ""Not Found""
)
"),"https://drive.google.com/open?id=1xMJM_TGgwYhokNDF1RqkRbfkIdyIisK2")</f>
        <v>https://drive.google.com/open?id=1xMJM_TGgwYhokNDF1RqkRbfkIdyIisK2</v>
      </c>
      <c r="K29" s="244" t="str">
        <f>IFERROR(__xludf.DUMMYFUNCTION("IFERROR(
  INDEX(
    FILTER(
      Recording!$U:$U,
      TRIM(CLEAN(TEXT(Recording!$E:$E, ""@""))) = TRIM(CLEAN(TEXT($D29, ""@""))),
      Recording!$AA:$AA = 3
    ),
    1
  ),
  ""Not Found""
)
"),"https://drive.google.com/open?id=1vYnsO4R2DAYT_0WlYOI4TGC3nljQRlYr")</f>
        <v>https://drive.google.com/open?id=1vYnsO4R2DAYT_0WlYOI4TGC3nljQRlYr</v>
      </c>
      <c r="L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 *
        (IMPORTRANGE(""https://docs.google.com/spreadsheets/d/161aHT6vVT3SLneTKD19N5qVWtnj_jIT8CSsOmUVKmaA/"&amp;"edit?gid=1761053510"",
          ""Haris_Form responses 1!$AQ:$AQ"")=3)
      ),
      1
    ),
    ""0""
  ),
  ""Form not found""
)
"),"3")</f>
        <v>3</v>
      </c>
      <c r="M29" s="245" t="str">
        <f>IFERROR(__xludf.DUMMYFUNCTION("IFERROR(
  INDEX(
    FILTER(
      Transcription!$AJ:$AJ,
      TRIM(CLEAN(TEXT(Transcription!$F:$F, ""@""))) = TRIM(CLEAN(TEXT($D29, ""@""))),
      Transcription!$AO:$AO = 3
    ),
    1
  ),
  ""Not Found""
)
"),"https://drive.google.com/open?id=1Soqxuq_sAUHRJkuDF8hmJCMXlO2cWhf5")</f>
        <v>https://drive.google.com/open?id=1Soqxuq_sAUHRJkuDF8hmJCMXlO2cWhf5</v>
      </c>
      <c r="N29" s="246" t="str">
        <f>IFERROR(__xludf.DUMMYFUNCTION("IFERROR(
  INDEX(
    FILTER(
      Recording!$U:$U,
      TRIM(CLEAN(TEXT(Recording!$E:$E, ""@""))) = TRIM(CLEAN(TEXT($D29, ""@""))),
      Recording!$AA:$AA = 4
    ),
    1
  ),
  ""Not Found""
)
"),"Not Found")</f>
        <v>Not Found</v>
      </c>
      <c r="O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 *
        (IMPORTRANGE(""https://docs.google.com/spreadsheets/d/161aHT6vVT3SLneTKD19N5qVWtnj_jIT8CSsOmUVKmaA/"&amp;"edit?gid=1761053510"",
          ""Haris_Form responses 1!$AQ:$AQ"")=4)
      ),
      1
    ),
    ""0""
  ),
  ""Form not found""
)
"),"Form not found")</f>
        <v>Form not found</v>
      </c>
      <c r="P29" s="247" t="str">
        <f>IFERROR(__xludf.DUMMYFUNCTION("IFERROR(
  INDEX(
    FILTER(
      Transcription!$AJ:$AJ,
      TRIM(CLEAN(TEXT(Transcription!$F:$F, ""@""))) = TRIM(CLEAN(TEXT($D29, ""@""))),
      Transcription!$AO:$AO = 4
    ),
    1
  ),
  ""Not Found""
)
"),"Not Found")</f>
        <v>Not Found</v>
      </c>
      <c r="Q29" s="246" t="str">
        <f>IFERROR(__xludf.DUMMYFUNCTION("IFERROR(
  INDEX(
    FILTER(
      Recording!$U:$U,
      TRIM(CLEAN(TEXT(Recording!$E:$E, ""@""))) = TRIM(CLEAN(TEXT($D29, ""@""))),
      Recording!$AA:$AA = 5
    ),
    1
  ),
  ""Not Found""
)
"),"Not Found")</f>
        <v>Not Found</v>
      </c>
      <c r="R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 *
        (IMPORTRANGE(""https://docs.google.com/spreadsheets/d/161aHT6vVT3SLneTKD19N5qVWtnj_jIT8CSsOmUVKmaA/"&amp;"edit?gid=1761053510"",
          ""Haris_Form responses 1!$AQ:$AQ"")=5)
      ),
      1
    ),
    ""0""
  ),
  ""Form not found""
)
"),"Form not found")</f>
        <v>Form not found</v>
      </c>
      <c r="S29" s="247" t="str">
        <f>IFERROR(__xludf.DUMMYFUNCTION("IFERROR(
  INDEX(
    FILTER(
      Transcription!$AJ:$AJ,
      TRIM(CLEAN(TEXT(Transcription!$F:$F, ""@""))) = TRIM(CLEAN(TEXT($D29, ""@""))),
      Transcription!$AO:$AO = 5
    ),
    1
  ),
  ""Not Found""
)
"),"Not Found")</f>
        <v>Not Found</v>
      </c>
      <c r="T29" s="249" t="str">
        <f>IFERROR(__xludf.DUMMYFUNCTION("IFERROR(
  INDEX(
    FILTER(
      Recording!$U:$U,
      TRIM(CLEAN(TEXT(Recording!$E:$E, ""@""))) = TRIM(CLEAN(TEXT($D29, ""@""))),
      Recording!$AA:$AA = 6
    ),
    1
  ),
  ""Not Found""
)
"),"Not Found")</f>
        <v>Not Found</v>
      </c>
      <c r="U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 *
        (IMPORTRANGE(""https://docs.google.com/spreadsheets/d/161aHT6vVT3SLneTKD19N5qVWtnj_jIT8CSsOmUVKmaA/"&amp;"edit?gid=1761053510"",
          ""Haris_Form responses 1!$AQ:$AQ"")=6)
      ),
      1
    ),
    ""0""
  ),
  ""Form not found""
)
"),"Form not found")</f>
        <v>Form not found</v>
      </c>
      <c r="V29" s="247" t="str">
        <f>IFERROR(__xludf.DUMMYFUNCTION("IFERROR(
  INDEX(
    FILTER(
      Transcription!$AJ:$AJ,
      TRIM(CLEAN(TEXT(Transcription!$F:$F, ""@""))) = TRIM(CLEAN(TEXT($D29, ""@""))),
      Transcription!$AO:$AO = 6
    ),
    1
  ),
  ""Not Found""
)
"),"Not Found")</f>
        <v>Not Found</v>
      </c>
      <c r="X29" s="8" t="s">
        <v>4517</v>
      </c>
      <c r="Z29" s="10">
        <f t="shared" si="1"/>
        <v>3</v>
      </c>
      <c r="AA29" s="10">
        <f t="shared" si="2"/>
        <v>0</v>
      </c>
    </row>
    <row r="30">
      <c r="A30" s="8" t="str">
        <f>VLOOKUP($D30,Sheet6!$B:$G,5,FALSE)</f>
        <v>Lahore</v>
      </c>
      <c r="B30" s="232" t="str">
        <f>VLOOKUP($D30,Sheet6!$B:$G,4,FALSE)</f>
        <v>Control</v>
      </c>
      <c r="C30" s="8">
        <v>2.0</v>
      </c>
      <c r="D30" s="8" t="s">
        <v>1635</v>
      </c>
      <c r="E30" s="244" t="str">
        <f>IFERROR(__xludf.DUMMYFUNCTION("IFERROR(
  INDEX(
    FILTER(
      Recording!$U:$U,
      TRIM(CLEAN(TEXT(Recording!$E:$E, ""@""))) = TRIM(CLEAN(TEXT($D30, ""@""))),
      Recording!$AA:$AA = 1
    ),
    1
  ),
  ""Not Found""
)
"),"https://drive.google.com/open?id=1xdMC6hVCECPqpRPuffotCq4iGWcT_FH_")</f>
        <v>https://drive.google.com/open?id=1xdMC6hVCECPqpRPuffotCq4iGWcT_FH_</v>
      </c>
      <c r="F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 *
        (IMPORTRANGE(""https://docs.google.com/spreadsheets/d/161aHT6vVT3SLneTKD19N5qVWtnj_jIT8CSsOmUVKmaA/"&amp;"edit?gid=1761053510"",
          ""Haris_Form responses 1!$AQ:$AQ"")=1)
      ),
      1
    ),
    ""0""
  ),
  ""Form not found""
)
"),"1")</f>
        <v>1</v>
      </c>
      <c r="G30" s="245" t="str">
        <f>IFERROR(__xludf.DUMMYFUNCTION("IFERROR(
  INDEX(
    FILTER(
      Transcription!$AJ:$AJ,
      TRIM(CLEAN(TEXT(Transcription!$F:$F, ""@""))) = TRIM(CLEAN(TEXT($D30, ""@""))),
      Transcription!$AO:$AO = 1
    ),
    1
  ),
  ""Not Found""
)
"),"https://drive.google.com/open?id=1XbMLD__VB60mqF8wT-oFedt05wiJIKbo")</f>
        <v>https://drive.google.com/open?id=1XbMLD__VB60mqF8wT-oFedt05wiJIKbo</v>
      </c>
      <c r="H30" s="246" t="str">
        <f>IFERROR(__xludf.DUMMYFUNCTION("IFERROR(
  INDEX(
    FILTER(
      Recording!$U:$U,
      TRIM(CLEAN(TEXT(Recording!$E:$E, ""@""))) = TRIM(CLEAN(TEXT($D30, ""@""))),
      Recording!$AA:$AA = 2
    ),
    1
  ),
  ""Not Found""
)
"),"Not Found")</f>
        <v>Not Found</v>
      </c>
      <c r="I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 *
        (IMPORTRANGE(""https://docs.google.com/spreadsheets/d/161aHT6vVT3SLneTKD19N5qVWtnj_jIT8CSsOmUVKmaA/"&amp;"edit?gid=1761053510"",
          ""Haris_Form responses 1!$AQ:$AQ"")=2)
      ),
      1
    ),
    ""0""
  ),
  ""Form not found""
)
"),"Form not found")</f>
        <v>Form not found</v>
      </c>
      <c r="J30" s="247" t="str">
        <f>IFERROR(__xludf.DUMMYFUNCTION("IFERROR(
  INDEX(
    FILTER(
      Transcription!$AJ:$AJ,
      TRIM(CLEAN(TEXT(Transcription!$F:$F, ""@""))) = TRIM(CLEAN(TEXT($D30, ""@""))),
      Transcription!$AO:$AO = 2
    ),
    1
  ),
  ""Not Found""
)
"),"Not Found")</f>
        <v>Not Found</v>
      </c>
      <c r="K30" s="244" t="str">
        <f>IFERROR(__xludf.DUMMYFUNCTION("IFERROR(
  INDEX(
    FILTER(
      Recording!$U:$U,
      TRIM(CLEAN(TEXT(Recording!$E:$E, ""@""))) = TRIM(CLEAN(TEXT($D30, ""@""))),
      Recording!$AA:$AA = 3
    ),
    1
  ),
  ""Not Found""
)
"),"https://drive.google.com/open?id=1Zm36mkMdwUDbm9e8x7xaqiXgzvjbiMqO")</f>
        <v>https://drive.google.com/open?id=1Zm36mkMdwUDbm9e8x7xaqiXgzvjbiMqO</v>
      </c>
      <c r="L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 *
        (IMPORTRANGE(""https://docs.google.com/spreadsheets/d/161aHT6vVT3SLneTKD19N5qVWtnj_jIT8CSsOmUVKmaA/"&amp;"edit?gid=1761053510"",
          ""Haris_Form responses 1!$AQ:$AQ"")=3)
      ),
      1
    ),
    ""0""
  ),
  ""Form not found""
)
"),"3")</f>
        <v>3</v>
      </c>
      <c r="M30" s="245" t="str">
        <f>IFERROR(__xludf.DUMMYFUNCTION("IFERROR(
  INDEX(
    FILTER(
      Transcription!$AJ:$AJ,
      TRIM(CLEAN(TEXT(Transcription!$F:$F, ""@""))) = TRIM(CLEAN(TEXT($D30, ""@""))),
      Transcription!$AO:$AO = 3
    ),
    1
  ),
  ""Not Found""
)
"),"https://drive.google.com/open?id=1AV5uiEOVaySroryGxzNCyHGrW2bDUItl")</f>
        <v>https://drive.google.com/open?id=1AV5uiEOVaySroryGxzNCyHGrW2bDUItl</v>
      </c>
      <c r="N30" s="246" t="str">
        <f>IFERROR(__xludf.DUMMYFUNCTION("IFERROR(
  INDEX(
    FILTER(
      Recording!$U:$U,
      TRIM(CLEAN(TEXT(Recording!$E:$E, ""@""))) = TRIM(CLEAN(TEXT($D30, ""@""))),
      Recording!$AA:$AA = 4
    ),
    1
  ),
  ""Not Found""
)
"),"Not Found")</f>
        <v>Not Found</v>
      </c>
      <c r="O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 *
        (IMPORTRANGE(""https://docs.google.com/spreadsheets/d/161aHT6vVT3SLneTKD19N5qVWtnj_jIT8CSsOmUVKmaA/"&amp;"edit?gid=1761053510"",
          ""Haris_Form responses 1!$AQ:$AQ"")=4)
      ),
      1
    ),
    ""0""
  ),
  ""Form not found""
)
"),"Form not found")</f>
        <v>Form not found</v>
      </c>
      <c r="P30" s="247" t="str">
        <f>IFERROR(__xludf.DUMMYFUNCTION("IFERROR(
  INDEX(
    FILTER(
      Transcription!$AJ:$AJ,
      TRIM(CLEAN(TEXT(Transcription!$F:$F, ""@""))) = TRIM(CLEAN(TEXT($D30, ""@""))),
      Transcription!$AO:$AO = 4
    ),
    1
  ),
  ""Not Found""
)
"),"Not Found")</f>
        <v>Not Found</v>
      </c>
      <c r="Q30" s="246" t="str">
        <f>IFERROR(__xludf.DUMMYFUNCTION("IFERROR(
  INDEX(
    FILTER(
      Recording!$U:$U,
      TRIM(CLEAN(TEXT(Recording!$E:$E, ""@""))) = TRIM(CLEAN(TEXT($D30, ""@""))),
      Recording!$AA:$AA = 5
    ),
    1
  ),
  ""Not Found""
)
"),"Not Found")</f>
        <v>Not Found</v>
      </c>
      <c r="R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 *
        (IMPORTRANGE(""https://docs.google.com/spreadsheets/d/161aHT6vVT3SLneTKD19N5qVWtnj_jIT8CSsOmUVKmaA/"&amp;"edit?gid=1761053510"",
          ""Haris_Form responses 1!$AQ:$AQ"")=5)
      ),
      1
    ),
    ""0""
  ),
  ""Form not found""
)
"),"Form not found")</f>
        <v>Form not found</v>
      </c>
      <c r="S30" s="247" t="str">
        <f>IFERROR(__xludf.DUMMYFUNCTION("IFERROR(
  INDEX(
    FILTER(
      Transcription!$AJ:$AJ,
      TRIM(CLEAN(TEXT(Transcription!$F:$F, ""@""))) = TRIM(CLEAN(TEXT($D30, ""@""))),
      Transcription!$AO:$AO = 5
    ),
    1
  ),
  ""Not Found""
)
"),"Not Found")</f>
        <v>Not Found</v>
      </c>
      <c r="T30" s="246" t="str">
        <f>IFERROR(__xludf.DUMMYFUNCTION("IFERROR(
  INDEX(
    FILTER(
      Recording!$U:$U,
      TRIM(CLEAN(TEXT(Recording!$E:$E, ""@""))) = TRIM(CLEAN(TEXT($D30, ""@""))),
      Recording!$AA:$AA = 6
    ),
    1
  ),
  ""Not Found""
)
"),"Not Found")</f>
        <v>Not Found</v>
      </c>
      <c r="U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 *
        (IMPORTRANGE(""https://docs.google.com/spreadsheets/d/161aHT6vVT3SLneTKD19N5qVWtnj_jIT8CSsOmUVKmaA/"&amp;"edit?gid=1761053510"",
          ""Haris_Form responses 1!$AQ:$AQ"")=6)
      ),
      1
    ),
    ""0""
  ),
  ""Form not found""
)
"),"Form not found")</f>
        <v>Form not found</v>
      </c>
      <c r="V30" s="247" t="str">
        <f>IFERROR(__xludf.DUMMYFUNCTION("IFERROR(
  INDEX(
    FILTER(
      Transcription!$AJ:$AJ,
      TRIM(CLEAN(TEXT(Transcription!$F:$F, ""@""))) = TRIM(CLEAN(TEXT($D30, ""@""))),
      Transcription!$AO:$AO = 6
    ),
    1
  ),
  ""Not Found""
)
"),"Not Found")</f>
        <v>Not Found</v>
      </c>
      <c r="Z30" s="10">
        <f t="shared" si="1"/>
        <v>2</v>
      </c>
      <c r="AA30" s="10">
        <f t="shared" si="2"/>
        <v>0</v>
      </c>
    </row>
    <row r="31">
      <c r="A31" s="8" t="str">
        <f>VLOOKUP($D31,Sheet6!$B:$G,5,FALSE)</f>
        <v>Lahore</v>
      </c>
      <c r="B31" s="232" t="str">
        <f>VLOOKUP($D31,Sheet6!$B:$G,4,FALSE)</f>
        <v>Community Secular Info Share</v>
      </c>
      <c r="C31" s="8">
        <v>4.0</v>
      </c>
      <c r="D31" s="8" t="s">
        <v>2055</v>
      </c>
      <c r="E31" s="244" t="str">
        <f>IFERROR(__xludf.DUMMYFUNCTION("IFERROR(
  INDEX(
    FILTER(
      Recording!$U:$U,
      TRIM(CLEAN(TEXT(Recording!$E:$E, ""@""))) = TRIM(CLEAN(TEXT($D31, ""@""))),
      Recording!$AA:$AA = 1
    ),
    1
  ),
  ""Not Found""
)
"),"https://drive.google.com/open?id=10nGn9fxzNLp--BcYN6GqfQ_XaHa9XnXa")</f>
        <v>https://drive.google.com/open?id=10nGn9fxzNLp--BcYN6GqfQ_XaHa9XnXa</v>
      </c>
      <c r="F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 *
        (IMPORTRANGE(""https://docs.google.com/spreadsheets/d/161aHT6vVT3SLneTKD19N5qVWtnj_jIT8CSsOmUVKmaA/"&amp;"edit?gid=1761053510"",
          ""Haris_Form responses 1!$AQ:$AQ"")=1)
      ),
      1
    ),
    ""0""
  ),
  ""Form not found""
)
"),"1")</f>
        <v>1</v>
      </c>
      <c r="G31" s="245" t="str">
        <f>IFERROR(__xludf.DUMMYFUNCTION("IFERROR(
  INDEX(
    FILTER(
      Transcription!$AJ:$AJ,
      TRIM(CLEAN(TEXT(Transcription!$F:$F, ""@""))) = TRIM(CLEAN(TEXT($D31, ""@""))),
      Transcription!$AO:$AO = 1
    ),
    1
  ),
  ""Not Found""
)
"),"https://drive.google.com/open?id=1_wN0aUkIwRzYQt-MwpKAm2qS4iSBU3eB")</f>
        <v>https://drive.google.com/open?id=1_wN0aUkIwRzYQt-MwpKAm2qS4iSBU3eB</v>
      </c>
      <c r="H31" s="244" t="str">
        <f>IFERROR(__xludf.DUMMYFUNCTION("IFERROR(
  INDEX(
    FILTER(
      Recording!$U:$U,
      TRIM(CLEAN(TEXT(Recording!$E:$E, ""@""))) = TRIM(CLEAN(TEXT($D31, ""@""))),
      Recording!$AA:$AA = 2
    ),
    1
  ),
  ""Not Found""
)
"),"https://drive.google.com/open?id=1mEJ51F4C0fh2D0JdwZp-eVEAmTOMss5F")</f>
        <v>https://drive.google.com/open?id=1mEJ51F4C0fh2D0JdwZp-eVEAmTOMss5F</v>
      </c>
      <c r="I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 *
        (IMPORTRANGE(""https://docs.google.com/spreadsheets/d/161aHT6vVT3SLneTKD19N5qVWtnj_jIT8CSsOmUVKmaA/"&amp;"edit?gid=1761053510"",
          ""Haris_Form responses 1!$AQ:$AQ"")=2)
      ),
      1
    ),
    ""0""
  ),
  ""Form not found""
)
"),"2")</f>
        <v>2</v>
      </c>
      <c r="J31" s="245" t="str">
        <f>IFERROR(__xludf.DUMMYFUNCTION("IFERROR(
  INDEX(
    FILTER(
      Transcription!$AJ:$AJ,
      TRIM(CLEAN(TEXT(Transcription!$F:$F, ""@""))) = TRIM(CLEAN(TEXT($D31, ""@""))),
      Transcription!$AO:$AO = 2
    ),
    1
  ),
  ""Not Found""
)
"),"https://drive.google.com/open?id=1DKMieTLEVkYw2ZpFOqK28tsVlfURcxjC")</f>
        <v>https://drive.google.com/open?id=1DKMieTLEVkYw2ZpFOqK28tsVlfURcxjC</v>
      </c>
      <c r="K31" s="244" t="str">
        <f>IFERROR(__xludf.DUMMYFUNCTION("IFERROR(
  INDEX(
    FILTER(
      Recording!$U:$U,
      TRIM(CLEAN(TEXT(Recording!$E:$E, ""@""))) = TRIM(CLEAN(TEXT($D31, ""@""))),
      Recording!$AA:$AA = 3
    ),
    1
  ),
  ""Not Found""
)
"),"https://drive.google.com/open?id=1PiP70_blk6Y2azs1Asfim0EOrri1X4FV")</f>
        <v>https://drive.google.com/open?id=1PiP70_blk6Y2azs1Asfim0EOrri1X4FV</v>
      </c>
      <c r="L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 *
        (IMPORTRANGE(""https://docs.google.com/spreadsheets/d/161aHT6vVT3SLneTKD19N5qVWtnj_jIT8CSsOmUVKmaA/"&amp;"edit?gid=1761053510"",
          ""Haris_Form responses 1!$AQ:$AQ"")=3)
      ),
      1
    ),
    ""0""
  ),
  ""Form not found""
)
"),"3")</f>
        <v>3</v>
      </c>
      <c r="M31" s="245" t="str">
        <f>IFERROR(__xludf.DUMMYFUNCTION("IFERROR(
  INDEX(
    FILTER(
      Transcription!$AJ:$AJ,
      TRIM(CLEAN(TEXT(Transcription!$F:$F, ""@""))) = TRIM(CLEAN(TEXT($D31, ""@""))),
      Transcription!$AO:$AO = 3
    ),
    1
  ),
  ""Not Found""
)
"),"https://drive.google.com/open?id=1OIzIsMoetYvw5gygHnEPXf1vLqFLC88q")</f>
        <v>https://drive.google.com/open?id=1OIzIsMoetYvw5gygHnEPXf1vLqFLC88q</v>
      </c>
      <c r="N31" s="244" t="str">
        <f>IFERROR(__xludf.DUMMYFUNCTION("IFERROR(
  INDEX(
    FILTER(
      Recording!$U:$U,
      TRIM(CLEAN(TEXT(Recording!$E:$E, ""@""))) = TRIM(CLEAN(TEXT($D31, ""@""))),
      Recording!$AA:$AA = 4
    ),
    1
  ),
  ""Not Found""
)
"),"https://drive.google.com/open?id=17PScrfLWCy6sYiNxLWUDCyCdBLM6Mwxy")</f>
        <v>https://drive.google.com/open?id=17PScrfLWCy6sYiNxLWUDCyCdBLM6Mwxy</v>
      </c>
      <c r="O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 *
        (IMPORTRANGE(""https://docs.google.com/spreadsheets/d/161aHT6vVT3SLneTKD19N5qVWtnj_jIT8CSsOmUVKmaA/"&amp;"edit?gid=1761053510"",
          ""Haris_Form responses 1!$AQ:$AQ"")=4)
      ),
      1
    ),
    ""0""
  ),
  ""Form not found""
)
"),"4")</f>
        <v>4</v>
      </c>
      <c r="P31" s="245" t="str">
        <f>IFERROR(__xludf.DUMMYFUNCTION("IFERROR(
  INDEX(
    FILTER(
      Transcription!$AJ:$AJ,
      TRIM(CLEAN(TEXT(Transcription!$F:$F, ""@""))) = TRIM(CLEAN(TEXT($D31, ""@""))),
      Transcription!$AO:$AO = 4
    ),
    1
  ),
  ""Not Found""
)
"),"https://drive.google.com/open?id=1M0plmwqzLNohcYP360bzsXn29UTQSO7R")</f>
        <v>https://drive.google.com/open?id=1M0plmwqzLNohcYP360bzsXn29UTQSO7R</v>
      </c>
      <c r="Q31" s="246" t="str">
        <f>IFERROR(__xludf.DUMMYFUNCTION("IFERROR(
  INDEX(
    FILTER(
      Recording!$U:$U,
      TRIM(CLEAN(TEXT(Recording!$E:$E, ""@""))) = TRIM(CLEAN(TEXT($D31, ""@""))),
      Recording!$AA:$AA = 5
    ),
    1
  ),
  ""Not Found""
)
"),"Not Found")</f>
        <v>Not Found</v>
      </c>
      <c r="R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 *
        (IMPORTRANGE(""https://docs.google.com/spreadsheets/d/161aHT6vVT3SLneTKD19N5qVWtnj_jIT8CSsOmUVKmaA/"&amp;"edit?gid=1761053510"",
          ""Haris_Form responses 1!$AQ:$AQ"")=5)
      ),
      1
    ),
    ""0""
  ),
  ""Form not found""
)
"),"Form not found")</f>
        <v>Form not found</v>
      </c>
      <c r="S31" s="247" t="str">
        <f>IFERROR(__xludf.DUMMYFUNCTION("IFERROR(
  INDEX(
    FILTER(
      Transcription!$AJ:$AJ,
      TRIM(CLEAN(TEXT(Transcription!$F:$F, ""@""))) = TRIM(CLEAN(TEXT($D31, ""@""))),
      Transcription!$AO:$AO = 5
    ),
    1
  ),
  ""Not Found""
)
"),"Not Found")</f>
        <v>Not Found</v>
      </c>
      <c r="T31" s="248" t="str">
        <f>IFERROR(__xludf.DUMMYFUNCTION("IFERROR(
  INDEX(
    FILTER(
      Recording!$U:$U,
      TRIM(CLEAN(TEXT(Recording!$E:$E, ""@""))) = TRIM(CLEAN(TEXT($D31, ""@""))),
      Recording!$AA:$AA = 6
    ),
    1
  ),
  ""Not Found""
)
"),"Not Found")</f>
        <v>Not Found</v>
      </c>
      <c r="U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 *
        (IMPORTRANGE(""https://docs.google.com/spreadsheets/d/161aHT6vVT3SLneTKD19N5qVWtnj_jIT8CSsOmUVKmaA/"&amp;"edit?gid=1761053510"",
          ""Haris_Form responses 1!$AQ:$AQ"")=6)
      ),
      1
    ),
    ""0""
  ),
  ""Form not found""
)
"),"Form not found")</f>
        <v>Form not found</v>
      </c>
      <c r="V31" s="247" t="str">
        <f>IFERROR(__xludf.DUMMYFUNCTION("IFERROR(
  INDEX(
    FILTER(
      Transcription!$AJ:$AJ,
      TRIM(CLEAN(TEXT(Transcription!$F:$F, ""@""))) = TRIM(CLEAN(TEXT($D31, ""@""))),
      Transcription!$AO:$AO = 6
    ),
    1
  ),
  ""Not Found""
)
"),"Not Found")</f>
        <v>Not Found</v>
      </c>
      <c r="Z31" s="10">
        <f t="shared" si="1"/>
        <v>4</v>
      </c>
      <c r="AA31" s="10">
        <f t="shared" si="2"/>
        <v>0</v>
      </c>
    </row>
    <row r="32">
      <c r="A32" s="8" t="str">
        <f>VLOOKUP($D32,Sheet6!$B:$G,5,FALSE)</f>
        <v>Lahore</v>
      </c>
      <c r="B32" s="232" t="str">
        <f>VLOOKUP($D32,Sheet6!$B:$G,4,FALSE)</f>
        <v>Community Religious Info Share</v>
      </c>
      <c r="C32" s="8">
        <v>3.0</v>
      </c>
      <c r="D32" s="8" t="s">
        <v>1480</v>
      </c>
      <c r="E32" s="244" t="str">
        <f>IFERROR(__xludf.DUMMYFUNCTION("IFERROR(
  INDEX(
    FILTER(
      Recording!$U:$U,
      TRIM(CLEAN(TEXT(Recording!$E:$E, ""@""))) = TRIM(CLEAN(TEXT($D32, ""@""))),
      Recording!$AA:$AA = 1
    ),
    1
  ),
  ""Not Found""
)
"),"https://drive.google.com/open?id=14XRkcbypigP8gEuE1QQzaSFoCdg_LzxJ")</f>
        <v>https://drive.google.com/open?id=14XRkcbypigP8gEuE1QQzaSFoCdg_LzxJ</v>
      </c>
      <c r="F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1!$E:$E"")=$D32) *
        (IMPORTRANGE(""https://docs.google.com/spreadsheets/d/161aHT6vVT3SLneTKD19N5qVWtnj_jIT8CSsOmUVKmaA/"&amp;"edit?gid=1761053510"",
          ""Haris_Form responses 1!$AQ:$AQ"")=1)
      ),
      1
    ),
    ""0""
  ),
  ""Form not found""
)
"),"1")</f>
        <v>1</v>
      </c>
      <c r="G32" s="245" t="str">
        <f>IFERROR(__xludf.DUMMYFUNCTION("IFERROR(
  INDEX(
    FILTER(
      Transcription!$AJ:$AJ,
      TRIM(CLEAN(TEXT(Transcription!$F:$F, ""@""))) = TRIM(CLEAN(TEXT($D32, ""@""))),
      Transcription!$AO:$AO = 1
    ),
    1
  ),
  ""Not Found""
)
"),"https://drive.google.com/open?id=1kn-c0frbRNLN4gUg77EivyI-4Tea0DTZ")</f>
        <v>https://drive.google.com/open?id=1kn-c0frbRNLN4gUg77EivyI-4Tea0DTZ</v>
      </c>
      <c r="H32" s="244" t="str">
        <f>IFERROR(__xludf.DUMMYFUNCTION("IFERROR(
  INDEX(
    FILTER(
      Recording!$U:$U,
      TRIM(CLEAN(TEXT(Recording!$E:$E, ""@""))) = TRIM(CLEAN(TEXT($D32, ""@""))),
      Recording!$AA:$AA = 2
    ),
    1
  ),
  ""Not Found""
)
"),"https://drive.google.com/open?id=1Ur-pf15KR3B_bClJXx1mHMcEos7tIbVd")</f>
        <v>https://drive.google.com/open?id=1Ur-pf15KR3B_bClJXx1mHMcEos7tIbVd</v>
      </c>
      <c r="I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1!$E:$E"")=$D32) *
        (IMPORTRANGE(""https://docs.google.com/spreadsheets/d/161aHT6vVT3SLneTKD19N5qVWtnj_jIT8CSsOmUVKmaA/"&amp;"edit?gid=1761053510"",
          ""Haris_Form responses 1!$AQ:$AQ"")=2)
      ),
      1
    ),
    ""0""
  ),
  ""Form not found""
)
"),"2")</f>
        <v>2</v>
      </c>
      <c r="J32" s="245" t="str">
        <f>IFERROR(__xludf.DUMMYFUNCTION("IFERROR(
  INDEX(
    FILTER(
      Transcription!$AJ:$AJ,
      TRIM(CLEAN(TEXT(Transcription!$F:$F, ""@""))) = TRIM(CLEAN(TEXT($D32, ""@""))),
      Transcription!$AO:$AO = 2
    ),
    1
  ),
  ""Not Found""
)
"),"https://drive.google.com/open?id=1cDoPiEb-sCimcictySGPkmuZoL0Bpplg")</f>
        <v>https://drive.google.com/open?id=1cDoPiEb-sCimcictySGPkmuZoL0Bpplg</v>
      </c>
      <c r="K32" s="244" t="str">
        <f>IFERROR(__xludf.DUMMYFUNCTION("IFERROR(
  INDEX(
    FILTER(
      Recording!$U:$U,
      TRIM(CLEAN(TEXT(Recording!$E:$E, ""@""))) = TRIM(CLEAN(TEXT($D32, ""@""))),
      Recording!$AA:$AA = 3
    ),
    1
  ),
  ""Not Found""
)
"),"https://drive.google.com/open?id=1HPg-fxdADyJzVSk6bbPjDRLfJ1_YSoy1")</f>
        <v>https://drive.google.com/open?id=1HPg-fxdADyJzVSk6bbPjDRLfJ1_YSoy1</v>
      </c>
      <c r="L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1!$E:$E"")=$D32) *
        (IMPORTRANGE(""https://docs.google.com/spreadsheets/d/161aHT6vVT3SLneTKD19N5qVWtnj_jIT8CSsOmUVKmaA/"&amp;"edit?gid=1761053510"",
          ""Haris_Form responses 1!$AQ:$AQ"")=3)
      ),
      1
    ),
    ""0""
  ),
  ""Form not found""
)
"),"3")</f>
        <v>3</v>
      </c>
      <c r="M32" s="245" t="str">
        <f>IFERROR(__xludf.DUMMYFUNCTION("IFERROR(
  INDEX(
    FILTER(
      Transcription!$AJ:$AJ,
      TRIM(CLEAN(TEXT(Transcription!$F:$F, ""@""))) = TRIM(CLEAN(TEXT($D32, ""@""))),
      Transcription!$AO:$AO = 3
    ),
    1
  ),
  ""Not Found""
)
"),"https://drive.google.com/open?id=19vQBsfdHcS2gMneQij4Ih551AMxVrDVo")</f>
        <v>https://drive.google.com/open?id=19vQBsfdHcS2gMneQij4Ih551AMxVrDVo</v>
      </c>
      <c r="N32" s="246" t="str">
        <f>IFERROR(__xludf.DUMMYFUNCTION("IFERROR(
  INDEX(
    FILTER(
      Recording!$U:$U,
      TRIM(CLEAN(TEXT(Recording!$E:$E, ""@""))) = TRIM(CLEAN(TEXT($D32, ""@""))),
      Recording!$AA:$AA = 4
    ),
    1
  ),
  ""Not Found""
)
"),"Not Found")</f>
        <v>Not Found</v>
      </c>
      <c r="O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1!$E:$E"")=$D32) *
        (IMPORTRANGE(""https://docs.google.com/spreadsheets/d/161aHT6vVT3SLneTKD19N5qVWtnj_jIT8CSsOmUVKmaA/"&amp;"edit?gid=1761053510"",
          ""Haris_Form responses 1!$AQ:$AQ"")=4)
      ),
      1
    ),
    ""0""
  ),
  ""Form not found""
)
"),"Form not found")</f>
        <v>Form not found</v>
      </c>
      <c r="P32" s="247" t="str">
        <f>IFERROR(__xludf.DUMMYFUNCTION("IFERROR(
  INDEX(
    FILTER(
      Transcription!$AJ:$AJ,
      TRIM(CLEAN(TEXT(Transcription!$F:$F, ""@""))) = TRIM(CLEAN(TEXT($D32, ""@""))),
      Transcription!$AO:$AO = 4
    ),
    1
  ),
  ""Not Found""
)
"),"Not Found")</f>
        <v>Not Found</v>
      </c>
      <c r="Q32" s="246" t="str">
        <f>IFERROR(__xludf.DUMMYFUNCTION("IFERROR(
  INDEX(
    FILTER(
      Recording!$U:$U,
      TRIM(CLEAN(TEXT(Recording!$E:$E, ""@""))) = TRIM(CLEAN(TEXT($D32, ""@""))),
      Recording!$AA:$AA = 5
    ),
    1
  ),
  ""Not Found""
)
"),"Not Found")</f>
        <v>Not Found</v>
      </c>
      <c r="R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1!$E:$E"")=$D32) *
        (IMPORTRANGE(""https://docs.google.com/spreadsheets/d/161aHT6vVT3SLneTKD19N5qVWtnj_jIT8CSsOmUVKmaA/"&amp;"edit?gid=1761053510"",
          ""Haris_Form responses 1!$AQ:$AQ"")=5)
      ),
      1
    ),
    ""0""
  ),
  ""Form not found""
)
"),"Form not found")</f>
        <v>Form not found</v>
      </c>
      <c r="S32" s="247" t="str">
        <f>IFERROR(__xludf.DUMMYFUNCTION("IFERROR(
  INDEX(
    FILTER(
      Transcription!$AJ:$AJ,
      TRIM(CLEAN(TEXT(Transcription!$F:$F, ""@""))) = TRIM(CLEAN(TEXT($D32, ""@""))),
      Transcription!$AO:$AO = 5
    ),
    1
  ),
  ""Not Found""
)
"),"Not Found")</f>
        <v>Not Found</v>
      </c>
      <c r="T32" s="249" t="str">
        <f>IFERROR(__xludf.DUMMYFUNCTION("IFERROR(
  INDEX(
    FILTER(
      Recording!$U:$U,
      TRIM(CLEAN(TEXT(Recording!$E:$E, ""@""))) = TRIM(CLEAN(TEXT($D32, ""@""))),
      Recording!$AA:$AA = 6
    ),
    1
  ),
  ""Not Found""
)
"),"Not Found")</f>
        <v>Not Found</v>
      </c>
      <c r="U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1!$E:$E"")=$D32) *
        (IMPORTRANGE(""https://docs.google.com/spreadsheets/d/161aHT6vVT3SLneTKD19N5qVWtnj_jIT8CSsOmUVKmaA/"&amp;"edit?gid=1761053510"",
          ""Haris_Form responses 1!$AQ:$AQ"")=6)
      ),
      1
    ),
    ""0""
  ),
  ""Form not found""
)
"),"Form not found")</f>
        <v>Form not found</v>
      </c>
      <c r="V32" s="247" t="str">
        <f>IFERROR(__xludf.DUMMYFUNCTION("IFERROR(
  INDEX(
    FILTER(
      Transcription!$AJ:$AJ,
      TRIM(CLEAN(TEXT(Transcription!$F:$F, ""@""))) = TRIM(CLEAN(TEXT($D32, ""@""))),
      Transcription!$AO:$AO = 6
    ),
    1
  ),
  ""Not Found""
)
"),"Not Found")</f>
        <v>Not Found</v>
      </c>
      <c r="Z32" s="10">
        <f t="shared" si="1"/>
        <v>3</v>
      </c>
      <c r="AA32" s="10">
        <f t="shared" si="2"/>
        <v>0</v>
      </c>
    </row>
    <row r="33">
      <c r="A33" s="8" t="str">
        <f>VLOOKUP($D33,Sheet6!$B:$G,5,FALSE)</f>
        <v>Lahore</v>
      </c>
      <c r="B33" s="232" t="str">
        <f>VLOOKUP($D33,Sheet6!$B:$G,4,FALSE)</f>
        <v>Control</v>
      </c>
      <c r="C33" s="8">
        <v>2.0</v>
      </c>
      <c r="D33" s="8" t="s">
        <v>1360</v>
      </c>
      <c r="E33" s="244" t="str">
        <f>IFERROR(__xludf.DUMMYFUNCTION("IFERROR(
  INDEX(
    FILTER(
      Recording!$U:$U,
      TRIM(CLEAN(TEXT(Recording!$E:$E, ""@""))) = TRIM(CLEAN(TEXT($D33, ""@""))),
      Recording!$AA:$AA = 1
    ),
    1
  ),
  ""Not Found""
)
"),"https://drive.google.com/open?id=1nAY21rV52-XfQmP8ZMgUw78KA-rl9zsi")</f>
        <v>https://drive.google.com/open?id=1nAY21rV52-XfQmP8ZMgUw78KA-rl9zsi</v>
      </c>
      <c r="F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1!$E:$E"")=$D33) *
        (IMPORTRANGE(""https://docs.google.com/spreadsheets/d/161aHT6vVT3SLneTKD19N5qVWtnj_jIT8CSsOmUVKmaA/"&amp;"edit?gid=1761053510"",
          ""Haris_Form responses 1!$AQ:$AQ"")=1)
      ),
      1
    ),
    ""0""
  ),
  ""Form not found""
)
"),"1")</f>
        <v>1</v>
      </c>
      <c r="G33" s="245" t="str">
        <f>IFERROR(__xludf.DUMMYFUNCTION("IFERROR(
  INDEX(
    FILTER(
      Transcription!$AJ:$AJ,
      TRIM(CLEAN(TEXT(Transcription!$F:$F, ""@""))) = TRIM(CLEAN(TEXT($D33, ""@""))),
      Transcription!$AO:$AO = 1
    ),
    1
  ),
  ""Not Found""
)
"),"https://drive.google.com/open?id=1osfKJTVeNekXLi320hwwXj6avqVD0sDI")</f>
        <v>https://drive.google.com/open?id=1osfKJTVeNekXLi320hwwXj6avqVD0sDI</v>
      </c>
      <c r="H33" s="246" t="str">
        <f>IFERROR(__xludf.DUMMYFUNCTION("IFERROR(
  INDEX(
    FILTER(
      Recording!$U:$U,
      TRIM(CLEAN(TEXT(Recording!$E:$E, ""@""))) = TRIM(CLEAN(TEXT($D33, ""@""))),
      Recording!$AA:$AA = 2
    ),
    1
  ),
  ""Not Found""
)
"),"Not Found")</f>
        <v>Not Found</v>
      </c>
      <c r="I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1!$E:$E"")=$D33) *
        (IMPORTRANGE(""https://docs.google.com/spreadsheets/d/161aHT6vVT3SLneTKD19N5qVWtnj_jIT8CSsOmUVKmaA/"&amp;"edit?gid=1761053510"",
          ""Haris_Form responses 1!$AQ:$AQ"")=2)
      ),
      1
    ),
    ""0""
  ),
  ""Form not found""
)
"),"Form not found")</f>
        <v>Form not found</v>
      </c>
      <c r="J33" s="247" t="str">
        <f>IFERROR(__xludf.DUMMYFUNCTION("IFERROR(
  INDEX(
    FILTER(
      Transcription!$AJ:$AJ,
      TRIM(CLEAN(TEXT(Transcription!$F:$F, ""@""))) = TRIM(CLEAN(TEXT($D33, ""@""))),
      Transcription!$AO:$AO = 2
    ),
    1
  ),
  ""Not Found""
)
"),"Not Found")</f>
        <v>Not Found</v>
      </c>
      <c r="K33" s="244" t="str">
        <f>IFERROR(__xludf.DUMMYFUNCTION("IFERROR(
  INDEX(
    FILTER(
      Recording!$U:$U,
      TRIM(CLEAN(TEXT(Recording!$E:$E, ""@""))) = TRIM(CLEAN(TEXT($D33, ""@""))),
      Recording!$AA:$AA = 3
    ),
    1
  ),
  ""Not Found""
)
"),"https://drive.google.com/open?id=1ElibYT8yZUnQZ-ksmskqtl56Wo93UjcN")</f>
        <v>https://drive.google.com/open?id=1ElibYT8yZUnQZ-ksmskqtl56Wo93UjcN</v>
      </c>
      <c r="L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1!$E:$E"")=$D33) *
        (IMPORTRANGE(""https://docs.google.com/spreadsheets/d/161aHT6vVT3SLneTKD19N5qVWtnj_jIT8CSsOmUVKmaA/"&amp;"edit?gid=1761053510"",
          ""Haris_Form responses 1!$AQ:$AQ"")=3)
      ),
      1
    ),
    ""0""
  ),
  ""Form not found""
)
"),"3")</f>
        <v>3</v>
      </c>
      <c r="M33" s="245" t="str">
        <f>IFERROR(__xludf.DUMMYFUNCTION("IFERROR(
  INDEX(
    FILTER(
      Transcription!$AJ:$AJ,
      TRIM(CLEAN(TEXT(Transcription!$F:$F, ""@""))) = TRIM(CLEAN(TEXT($D33, ""@""))),
      Transcription!$AO:$AO = 3
    ),
    1
  ),
  ""Not Found""
)
"),"https://drive.google.com/open?id=13xgyvi3qYOHflDOKhadcwjRY-EYWdqSb")</f>
        <v>https://drive.google.com/open?id=13xgyvi3qYOHflDOKhadcwjRY-EYWdqSb</v>
      </c>
      <c r="N33" s="246" t="str">
        <f>IFERROR(__xludf.DUMMYFUNCTION("IFERROR(
  INDEX(
    FILTER(
      Recording!$U:$U,
      TRIM(CLEAN(TEXT(Recording!$E:$E, ""@""))) = TRIM(CLEAN(TEXT($D33, ""@""))),
      Recording!$AA:$AA = 4
    ),
    1
  ),
  ""Not Found""
)
"),"Not Found")</f>
        <v>Not Found</v>
      </c>
      <c r="O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1!$E:$E"")=$D33) *
        (IMPORTRANGE(""https://docs.google.com/spreadsheets/d/161aHT6vVT3SLneTKD19N5qVWtnj_jIT8CSsOmUVKmaA/"&amp;"edit?gid=1761053510"",
          ""Haris_Form responses 1!$AQ:$AQ"")=4)
      ),
      1
    ),
    ""0""
  ),
  ""Form not found""
)
"),"Form not found")</f>
        <v>Form not found</v>
      </c>
      <c r="P33" s="247" t="str">
        <f>IFERROR(__xludf.DUMMYFUNCTION("IFERROR(
  INDEX(
    FILTER(
      Transcription!$AJ:$AJ,
      TRIM(CLEAN(TEXT(Transcription!$F:$F, ""@""))) = TRIM(CLEAN(TEXT($D33, ""@""))),
      Transcription!$AO:$AO = 4
    ),
    1
  ),
  ""Not Found""
)
"),"Not Found")</f>
        <v>Not Found</v>
      </c>
      <c r="Q33" s="246" t="str">
        <f>IFERROR(__xludf.DUMMYFUNCTION("IFERROR(
  INDEX(
    FILTER(
      Recording!$U:$U,
      TRIM(CLEAN(TEXT(Recording!$E:$E, ""@""))) = TRIM(CLEAN(TEXT($D33, ""@""))),
      Recording!$AA:$AA = 5
    ),
    1
  ),
  ""Not Found""
)
"),"Not Found")</f>
        <v>Not Found</v>
      </c>
      <c r="R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1!$E:$E"")=$D33) *
        (IMPORTRANGE(""https://docs.google.com/spreadsheets/d/161aHT6vVT3SLneTKD19N5qVWtnj_jIT8CSsOmUVKmaA/"&amp;"edit?gid=1761053510"",
          ""Haris_Form responses 1!$AQ:$AQ"")=5)
      ),
      1
    ),
    ""0""
  ),
  ""Form not found""
)
"),"Form not found")</f>
        <v>Form not found</v>
      </c>
      <c r="S33" s="247" t="str">
        <f>IFERROR(__xludf.DUMMYFUNCTION("IFERROR(
  INDEX(
    FILTER(
      Transcription!$AJ:$AJ,
      TRIM(CLEAN(TEXT(Transcription!$F:$F, ""@""))) = TRIM(CLEAN(TEXT($D33, ""@""))),
      Transcription!$AO:$AO = 5
    ),
    1
  ),
  ""Not Found""
)
"),"Not Found")</f>
        <v>Not Found</v>
      </c>
      <c r="T33" s="246" t="str">
        <f>IFERROR(__xludf.DUMMYFUNCTION("IFERROR(
  INDEX(
    FILTER(
      Recording!$U:$U,
      TRIM(CLEAN(TEXT(Recording!$E:$E, ""@""))) = TRIM(CLEAN(TEXT($D33, ""@""))),
      Recording!$AA:$AA = 6
    ),
    1
  ),
  ""Not Found""
)
"),"Not Found")</f>
        <v>Not Found</v>
      </c>
      <c r="U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1!$E:$E"")=$D33) *
        (IMPORTRANGE(""https://docs.google.com/spreadsheets/d/161aHT6vVT3SLneTKD19N5qVWtnj_jIT8CSsOmUVKmaA/"&amp;"edit?gid=1761053510"",
          ""Haris_Form responses 1!$AQ:$AQ"")=6)
      ),
      1
    ),
    ""0""
  ),
  ""Form not found""
)
"),"Form not found")</f>
        <v>Form not found</v>
      </c>
      <c r="V33" s="247" t="str">
        <f>IFERROR(__xludf.DUMMYFUNCTION("IFERROR(
  INDEX(
    FILTER(
      Transcription!$AJ:$AJ,
      TRIM(CLEAN(TEXT(Transcription!$F:$F, ""@""))) = TRIM(CLEAN(TEXT($D33, ""@""))),
      Transcription!$AO:$AO = 6
    ),
    1
  ),
  ""Not Found""
)
"),"Not Found")</f>
        <v>Not Found</v>
      </c>
      <c r="Z33" s="10">
        <f t="shared" si="1"/>
        <v>2</v>
      </c>
      <c r="AA33" s="10">
        <f t="shared" si="2"/>
        <v>0</v>
      </c>
    </row>
    <row r="34">
      <c r="A34" s="8" t="str">
        <f>VLOOKUP($D34,Sheet6!$B:$G,5,FALSE)</f>
        <v>Lahore</v>
      </c>
      <c r="B34" s="232" t="str">
        <f>VLOOKUP($D34,Sheet6!$B:$G,4,FALSE)</f>
        <v>Women Religious Info Share</v>
      </c>
      <c r="C34" s="8">
        <v>3.0</v>
      </c>
      <c r="D34" s="8" t="s">
        <v>4518</v>
      </c>
      <c r="E34" s="244" t="str">
        <f>IFERROR(__xludf.DUMMYFUNCTION("IFERROR(
  INDEX(
    FILTER(
      Recording!$U:$U,
      TRIM(CLEAN(TEXT(Recording!$E:$E, ""@""))) = TRIM(CLEAN(TEXT($D34, ""@""))),
      Recording!$AA:$AA = 1
    ),
    1
  ),
  ""Not Found""
)
"),"https://drive.google.com/open?id=1sA0rzef59Gh1VSSQg0mKdH6vFXEg5Ixs")</f>
        <v>https://drive.google.com/open?id=1sA0rzef59Gh1VSSQg0mKdH6vFXEg5Ixs</v>
      </c>
      <c r="F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1!$E:$E"")=$D34) *
        (IMPORTRANGE(""https://docs.google.com/spreadsheets/d/161aHT6vVT3SLneTKD19N5qVWtnj_jIT8CSsOmUVKmaA/"&amp;"edit?gid=1761053510"",
          ""Haris_Form responses 1!$AQ:$AQ"")=1)
      ),
      1
    ),
    ""0""
  ),
  ""Form not found""
)
"),"1")</f>
        <v>1</v>
      </c>
      <c r="G34" s="245" t="str">
        <f>IFERROR(__xludf.DUMMYFUNCTION("IFERROR(
  INDEX(
    FILTER(
      Transcription!$AJ:$AJ,
      TRIM(CLEAN(TEXT(Transcription!$F:$F, ""@""))) = TRIM(CLEAN(TEXT($D34, ""@""))),
      Transcription!$AO:$AO = 1
    ),
    1
  ),
  ""Not Found""
)
"),"https://drive.google.com/open?id=1yBi7ylRGYnl20fRBdN1yj33AfLL3fUc9")</f>
        <v>https://drive.google.com/open?id=1yBi7ylRGYnl20fRBdN1yj33AfLL3fUc9</v>
      </c>
      <c r="H34" s="244" t="str">
        <f>IFERROR(__xludf.DUMMYFUNCTION("IFERROR(
  INDEX(
    FILTER(
      Recording!$U:$U,
      TRIM(CLEAN(TEXT(Recording!$E:$E, ""@""))) = TRIM(CLEAN(TEXT($D34, ""@""))),
      Recording!$AA:$AA = 2
    ),
    1
  ),
  ""Not Found""
)
"),"https://drive.google.com/open?id=1SVcV4e9R2f6o0MtoDuY6E8rEF17q8VyH")</f>
        <v>https://drive.google.com/open?id=1SVcV4e9R2f6o0MtoDuY6E8rEF17q8VyH</v>
      </c>
      <c r="I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1!$E:$E"")=$D34) *
        (IMPORTRANGE(""https://docs.google.com/spreadsheets/d/161aHT6vVT3SLneTKD19N5qVWtnj_jIT8CSsOmUVKmaA/"&amp;"edit?gid=1761053510"",
          ""Haris_Form responses 1!$AQ:$AQ"")=2)
      ),
      1
    ),
    ""0""
  ),
  ""Form not found""
)
"),"2")</f>
        <v>2</v>
      </c>
      <c r="J34" s="245" t="str">
        <f>IFERROR(__xludf.DUMMYFUNCTION("IFERROR(
  INDEX(
    FILTER(
      Transcription!$AJ:$AJ,
      TRIM(CLEAN(TEXT(Transcription!$F:$F, ""@""))) = TRIM(CLEAN(TEXT($D34, ""@""))),
      Transcription!$AO:$AO = 2
    ),
    1
  ),
  ""Not Found""
)
"),"https://drive.google.com/open?id=1KXcnbLoieVN-GfhWDn5zdBZnogTt4HS3")</f>
        <v>https://drive.google.com/open?id=1KXcnbLoieVN-GfhWDn5zdBZnogTt4HS3</v>
      </c>
      <c r="K34" s="244" t="str">
        <f>IFERROR(__xludf.DUMMYFUNCTION("IFERROR(
  INDEX(
    FILTER(
      Recording!$U:$U,
      TRIM(CLEAN(TEXT(Recording!$E:$E, ""@""))) = TRIM(CLEAN(TEXT($D34, ""@""))),
      Recording!$AA:$AA = 3
    ),
    1
  ),
  ""Not Found""
)
"),"https://drive.google.com/open?id=1fKV3SMdp5FxSn84-kTa7U7k4DqLXH7Dy")</f>
        <v>https://drive.google.com/open?id=1fKV3SMdp5FxSn84-kTa7U7k4DqLXH7Dy</v>
      </c>
      <c r="L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1!$E:$E"")=$D34) *
        (IMPORTRANGE(""https://docs.google.com/spreadsheets/d/161aHT6vVT3SLneTKD19N5qVWtnj_jIT8CSsOmUVKmaA/"&amp;"edit?gid=1761053510"",
          ""Haris_Form responses 1!$AQ:$AQ"")=3)
      ),
      1
    ),
    ""0""
  ),
  ""Form not found""
)
"),"3")</f>
        <v>3</v>
      </c>
      <c r="M34" s="245" t="str">
        <f>IFERROR(__xludf.DUMMYFUNCTION("IFERROR(
  INDEX(
    FILTER(
      Transcription!$AJ:$AJ,
      TRIM(CLEAN(TEXT(Transcription!$F:$F, ""@""))) = TRIM(CLEAN(TEXT($D34, ""@""))),
      Transcription!$AO:$AO = 3
    ),
    1
  ),
  ""Not Found""
)
"),"https://drive.google.com/open?id=1asVtJ8kD-9mckkgasbHxECSg-zWlddPL")</f>
        <v>https://drive.google.com/open?id=1asVtJ8kD-9mckkgasbHxECSg-zWlddPL</v>
      </c>
      <c r="N34" s="246" t="str">
        <f>IFERROR(__xludf.DUMMYFUNCTION("IFERROR(
  INDEX(
    FILTER(
      Recording!$U:$U,
      TRIM(CLEAN(TEXT(Recording!$E:$E, ""@""))) = TRIM(CLEAN(TEXT($D34, ""@""))),
      Recording!$AA:$AA = 4
    ),
    1
  ),
  ""Not Found""
)
"),"Not Found")</f>
        <v>Not Found</v>
      </c>
      <c r="O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1!$E:$E"")=$D34) *
        (IMPORTRANGE(""https://docs.google.com/spreadsheets/d/161aHT6vVT3SLneTKD19N5qVWtnj_jIT8CSsOmUVKmaA/"&amp;"edit?gid=1761053510"",
          ""Haris_Form responses 1!$AQ:$AQ"")=4)
      ),
      1
    ),
    ""0""
  ),
  ""Form not found""
)
"),"Form not found")</f>
        <v>Form not found</v>
      </c>
      <c r="P34" s="247" t="str">
        <f>IFERROR(__xludf.DUMMYFUNCTION("IFERROR(
  INDEX(
    FILTER(
      Transcription!$AJ:$AJ,
      TRIM(CLEAN(TEXT(Transcription!$F:$F, ""@""))) = TRIM(CLEAN(TEXT($D34, ""@""))),
      Transcription!$AO:$AO = 4
    ),
    1
  ),
  ""Not Found""
)
"),"Not Found")</f>
        <v>Not Found</v>
      </c>
      <c r="Q34" s="246" t="str">
        <f>IFERROR(__xludf.DUMMYFUNCTION("IFERROR(
  INDEX(
    FILTER(
      Recording!$U:$U,
      TRIM(CLEAN(TEXT(Recording!$E:$E, ""@""))) = TRIM(CLEAN(TEXT($D34, ""@""))),
      Recording!$AA:$AA = 5
    ),
    1
  ),
  ""Not Found""
)
"),"Not Found")</f>
        <v>Not Found</v>
      </c>
      <c r="R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1!$E:$E"")=$D34) *
        (IMPORTRANGE(""https://docs.google.com/spreadsheets/d/161aHT6vVT3SLneTKD19N5qVWtnj_jIT8CSsOmUVKmaA/"&amp;"edit?gid=1761053510"",
          ""Haris_Form responses 1!$AQ:$AQ"")=5)
      ),
      1
    ),
    ""0""
  ),
  ""Form not found""
)
"),"Form not found")</f>
        <v>Form not found</v>
      </c>
      <c r="S34" s="247" t="str">
        <f>IFERROR(__xludf.DUMMYFUNCTION("IFERROR(
  INDEX(
    FILTER(
      Transcription!$AJ:$AJ,
      TRIM(CLEAN(TEXT(Transcription!$F:$F, ""@""))) = TRIM(CLEAN(TEXT($D34, ""@""))),
      Transcription!$AO:$AO = 5
    ),
    1
  ),
  ""Not Found""
)
"),"Not Found")</f>
        <v>Not Found</v>
      </c>
      <c r="T34" s="249" t="str">
        <f>IFERROR(__xludf.DUMMYFUNCTION("IFERROR(
  INDEX(
    FILTER(
      Recording!$U:$U,
      TRIM(CLEAN(TEXT(Recording!$E:$E, ""@""))) = TRIM(CLEAN(TEXT($D34, ""@""))),
      Recording!$AA:$AA = 6
    ),
    1
  ),
  ""Not Found""
)
"),"Not Found")</f>
        <v>Not Found</v>
      </c>
      <c r="U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1!$E:$E"")=$D34) *
        (IMPORTRANGE(""https://docs.google.com/spreadsheets/d/161aHT6vVT3SLneTKD19N5qVWtnj_jIT8CSsOmUVKmaA/"&amp;"edit?gid=1761053510"",
          ""Haris_Form responses 1!$AQ:$AQ"")=6)
      ),
      1
    ),
    ""0""
  ),
  ""Form not found""
)
"),"Form not found")</f>
        <v>Form not found</v>
      </c>
      <c r="V34" s="247" t="str">
        <f>IFERROR(__xludf.DUMMYFUNCTION("IFERROR(
  INDEX(
    FILTER(
      Transcription!$AJ:$AJ,
      TRIM(CLEAN(TEXT(Transcription!$F:$F, ""@""))) = TRIM(CLEAN(TEXT($D34, ""@""))),
      Transcription!$AO:$AO = 6
    ),
    1
  ),
  ""Not Found""
)
"),"Not Found")</f>
        <v>Not Found</v>
      </c>
      <c r="Z34" s="10">
        <f t="shared" si="1"/>
        <v>3</v>
      </c>
      <c r="AA34" s="10">
        <f t="shared" si="2"/>
        <v>0</v>
      </c>
    </row>
    <row r="35">
      <c r="A35" s="8" t="str">
        <f>VLOOKUP($D35,Sheet6!$B:$G,5,FALSE)</f>
        <v>Lahore</v>
      </c>
      <c r="B35" s="232" t="str">
        <f>VLOOKUP($D35,Sheet6!$B:$G,4,FALSE)</f>
        <v>Community Secular No Info Share</v>
      </c>
      <c r="C35" s="8">
        <v>4.0</v>
      </c>
      <c r="D35" s="8" t="s">
        <v>1541</v>
      </c>
      <c r="E35" s="244" t="str">
        <f>IFERROR(__xludf.DUMMYFUNCTION("IFERROR(
  INDEX(
    FILTER(
      Recording!$U:$U,
      TRIM(CLEAN(TEXT(Recording!$E:$E, ""@""))) = TRIM(CLEAN(TEXT($D35, ""@""))),
      Recording!$AA:$AA = 1
    ),
    1
  ),
  ""Not Found""
)
"),"https://drive.google.com/open?id=10ekFBlqlvCwt-hJG1XhzTtrZ9QtL3NsA")</f>
        <v>https://drive.google.com/open?id=10ekFBlqlvCwt-hJG1XhzTtrZ9QtL3NsA</v>
      </c>
      <c r="F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1!$E:$E"")=$D35) *
        (IMPORTRANGE(""https://docs.google.com/spreadsheets/d/161aHT6vVT3SLneTKD19N5qVWtnj_jIT8CSsOmUVKmaA/"&amp;"edit?gid=1761053510"",
          ""Haris_Form responses 1!$AQ:$AQ"")=1)
      ),
      1
    ),
    ""0""
  ),
  ""Form not found""
)
"),"1")</f>
        <v>1</v>
      </c>
      <c r="G35" s="245" t="str">
        <f>IFERROR(__xludf.DUMMYFUNCTION("IFERROR(
  INDEX(
    FILTER(
      Transcription!$AJ:$AJ,
      TRIM(CLEAN(TEXT(Transcription!$F:$F, ""@""))) = TRIM(CLEAN(TEXT($D35, ""@""))),
      Transcription!$AO:$AO = 1
    ),
    1
  ),
  ""Not Found""
)
"),"https://drive.google.com/open?id=1es3OoYKVAlj5tLPXgcOC8Bo6ioM0JV82")</f>
        <v>https://drive.google.com/open?id=1es3OoYKVAlj5tLPXgcOC8Bo6ioM0JV82</v>
      </c>
      <c r="H35" s="244" t="str">
        <f>IFERROR(__xludf.DUMMYFUNCTION("IFERROR(
  INDEX(
    FILTER(
      Recording!$U:$U,
      TRIM(CLEAN(TEXT(Recording!$E:$E, ""@""))) = TRIM(CLEAN(TEXT($D35, ""@""))),
      Recording!$AA:$AA = 2
    ),
    1
  ),
  ""Not Found""
)
"),"https://drive.google.com/open?id=1RPbf1bZ7_VzntBnTXLC1vw9NFRnrkVIJ")</f>
        <v>https://drive.google.com/open?id=1RPbf1bZ7_VzntBnTXLC1vw9NFRnrkVIJ</v>
      </c>
      <c r="I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1!$E:$E"")=$D35) *
        (IMPORTRANGE(""https://docs.google.com/spreadsheets/d/161aHT6vVT3SLneTKD19N5qVWtnj_jIT8CSsOmUVKmaA/"&amp;"edit?gid=1761053510"",
          ""Haris_Form responses 1!$AQ:$AQ"")=2)
      ),
      1
    ),
    ""0""
  ),
  ""Form not found""
)
"),"2")</f>
        <v>2</v>
      </c>
      <c r="J35" s="245" t="str">
        <f>IFERROR(__xludf.DUMMYFUNCTION("IFERROR(
  INDEX(
    FILTER(
      Transcription!$AJ:$AJ,
      TRIM(CLEAN(TEXT(Transcription!$F:$F, ""@""))) = TRIM(CLEAN(TEXT($D35, ""@""))),
      Transcription!$AO:$AO = 2
    ),
    1
  ),
  ""Not Found""
)
"),"https://drive.google.com/open?id=1LTlvonKkPHsed0PG2_OIzYBU0wYHYx1n")</f>
        <v>https://drive.google.com/open?id=1LTlvonKkPHsed0PG2_OIzYBU0wYHYx1n</v>
      </c>
      <c r="K35" s="244" t="str">
        <f>IFERROR(__xludf.DUMMYFUNCTION("IFERROR(
  INDEX(
    FILTER(
      Recording!$U:$U,
      TRIM(CLEAN(TEXT(Recording!$E:$E, ""@""))) = TRIM(CLEAN(TEXT($D35, ""@""))),
      Recording!$AA:$AA = 3
    ),
    1
  ),
  ""Not Found""
)
"),"https://drive.google.com/open?id=1r8QJykvHA7s_VKJr8kPOGLw7gxL-6cs5")</f>
        <v>https://drive.google.com/open?id=1r8QJykvHA7s_VKJr8kPOGLw7gxL-6cs5</v>
      </c>
      <c r="L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1!$E:$E"")=$D35) *
        (IMPORTRANGE(""https://docs.google.com/spreadsheets/d/161aHT6vVT3SLneTKD19N5qVWtnj_jIT8CSsOmUVKmaA/"&amp;"edit?gid=1761053510"",
          ""Haris_Form responses 1!$AQ:$AQ"")=3)
      ),
      1
    ),
    ""0""
  ),
  ""Form not found""
)
"),"3")</f>
        <v>3</v>
      </c>
      <c r="M35" s="245" t="str">
        <f>IFERROR(__xludf.DUMMYFUNCTION("IFERROR(
  INDEX(
    FILTER(
      Transcription!$AJ:$AJ,
      TRIM(CLEAN(TEXT(Transcription!$F:$F, ""@""))) = TRIM(CLEAN(TEXT($D35, ""@""))),
      Transcription!$AO:$AO = 3
    ),
    1
  ),
  ""Not Found""
)
"),"https://drive.google.com/open?id=1II6ttXBLGbckOP1XBXmDGo34jZFVe48V")</f>
        <v>https://drive.google.com/open?id=1II6ttXBLGbckOP1XBXmDGo34jZFVe48V</v>
      </c>
      <c r="N35" s="244" t="str">
        <f>IFERROR(__xludf.DUMMYFUNCTION("IFERROR(
  INDEX(
    FILTER(
      Recording!$U:$U,
      TRIM(CLEAN(TEXT(Recording!$E:$E, ""@""))) = TRIM(CLEAN(TEXT($D35, ""@""))),
      Recording!$AA:$AA = 4
    ),
    1
  ),
  ""Not Found""
)
"),"https://drive.google.com/open?id=1A7Z68n4hVUhrDPejiGR58Nfffn2Pe5ar")</f>
        <v>https://drive.google.com/open?id=1A7Z68n4hVUhrDPejiGR58Nfffn2Pe5ar</v>
      </c>
      <c r="O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1!$E:$E"")=$D35) *
        (IMPORTRANGE(""https://docs.google.com/spreadsheets/d/161aHT6vVT3SLneTKD19N5qVWtnj_jIT8CSsOmUVKmaA/"&amp;"edit?gid=1761053510"",
          ""Haris_Form responses 1!$AQ:$AQ"")=4)
      ),
      1
    ),
    ""0""
  ),
  ""Form not found""
)
"),"4")</f>
        <v>4</v>
      </c>
      <c r="P35" s="245" t="str">
        <f>IFERROR(__xludf.DUMMYFUNCTION("IFERROR(
  INDEX(
    FILTER(
      Transcription!$AJ:$AJ,
      TRIM(CLEAN(TEXT(Transcription!$F:$F, ""@""))) = TRIM(CLEAN(TEXT($D35, ""@""))),
      Transcription!$AO:$AO = 4
    ),
    1
  ),
  ""Not Found""
)
"),"https://drive.google.com/open?id=1tM75_FduDOfZMzEK2Qcszmyb8otSTSRD")</f>
        <v>https://drive.google.com/open?id=1tM75_FduDOfZMzEK2Qcszmyb8otSTSRD</v>
      </c>
      <c r="Q35" s="246" t="str">
        <f>IFERROR(__xludf.DUMMYFUNCTION("IFERROR(
  INDEX(
    FILTER(
      Recording!$U:$U,
      TRIM(CLEAN(TEXT(Recording!$E:$E, ""@""))) = TRIM(CLEAN(TEXT($D35, ""@""))),
      Recording!$AA:$AA = 5
    ),
    1
  ),
  ""Not Found""
)
"),"Not Found")</f>
        <v>Not Found</v>
      </c>
      <c r="R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1!$E:$E"")=$D35) *
        (IMPORTRANGE(""https://docs.google.com/spreadsheets/d/161aHT6vVT3SLneTKD19N5qVWtnj_jIT8CSsOmUVKmaA/"&amp;"edit?gid=1761053510"",
          ""Haris_Form responses 1!$AQ:$AQ"")=5)
      ),
      1
    ),
    ""0""
  ),
  ""Form not found""
)
"),"Form not found")</f>
        <v>Form not found</v>
      </c>
      <c r="S35" s="247" t="str">
        <f>IFERROR(__xludf.DUMMYFUNCTION("IFERROR(
  INDEX(
    FILTER(
      Transcription!$AJ:$AJ,
      TRIM(CLEAN(TEXT(Transcription!$F:$F, ""@""))) = TRIM(CLEAN(TEXT($D35, ""@""))),
      Transcription!$AO:$AO = 5
    ),
    1
  ),
  ""Not Found""
)
"),"Not Found")</f>
        <v>Not Found</v>
      </c>
      <c r="T35" s="248" t="str">
        <f>IFERROR(__xludf.DUMMYFUNCTION("IFERROR(
  INDEX(
    FILTER(
      Recording!$U:$U,
      TRIM(CLEAN(TEXT(Recording!$E:$E, ""@""))) = TRIM(CLEAN(TEXT($D35, ""@""))),
      Recording!$AA:$AA = 6
    ),
    1
  ),
  ""Not Found""
)
"),"Not Found")</f>
        <v>Not Found</v>
      </c>
      <c r="U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1!$E:$E"")=$D35) *
        (IMPORTRANGE(""https://docs.google.com/spreadsheets/d/161aHT6vVT3SLneTKD19N5qVWtnj_jIT8CSsOmUVKmaA/"&amp;"edit?gid=1761053510"",
          ""Haris_Form responses 1!$AQ:$AQ"")=6)
      ),
      1
    ),
    ""0""
  ),
  ""Form not found""
)
"),"Form not found")</f>
        <v>Form not found</v>
      </c>
      <c r="V35" s="247" t="str">
        <f>IFERROR(__xludf.DUMMYFUNCTION("IFERROR(
  INDEX(
    FILTER(
      Transcription!$AJ:$AJ,
      TRIM(CLEAN(TEXT(Transcription!$F:$F, ""@""))) = TRIM(CLEAN(TEXT($D35, ""@""))),
      Transcription!$AO:$AO = 6
    ),
    1
  ),
  ""Not Found""
)
"),"Not Found")</f>
        <v>Not Found</v>
      </c>
      <c r="Z35" s="10">
        <f t="shared" si="1"/>
        <v>4</v>
      </c>
      <c r="AA35" s="10">
        <f t="shared" si="2"/>
        <v>0</v>
      </c>
    </row>
    <row r="36">
      <c r="A36" s="8" t="str">
        <f>VLOOKUP($D36,Sheet6!$B:$G,5,FALSE)</f>
        <v>Lahore</v>
      </c>
      <c r="B36" s="232" t="str">
        <f>VLOOKUP($D36,Sheet6!$B:$G,4,FALSE)</f>
        <v>Community Secular Info Share</v>
      </c>
      <c r="C36" s="8">
        <v>4.0</v>
      </c>
      <c r="D36" s="8" t="s">
        <v>1211</v>
      </c>
      <c r="E36" s="244" t="str">
        <f>IFERROR(__xludf.DUMMYFUNCTION("IFERROR(
  INDEX(
    FILTER(
      Recording!$U:$U,
      TRIM(CLEAN(TEXT(Recording!$E:$E, ""@""))) = TRIM(CLEAN(TEXT($D36, ""@""))),
      Recording!$AA:$AA = 1
    ),
    1
  ),
  ""Not Found""
)
"),"https://drive.google.com/open?id=1a4ox4sDxspprphXzSgyXEBric3ic4frP")</f>
        <v>https://drive.google.com/open?id=1a4ox4sDxspprphXzSgyXEBric3ic4frP</v>
      </c>
      <c r="F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1!$E:$E"")=$D36) *
        (IMPORTRANGE(""https://docs.google.com/spreadsheets/d/161aHT6vVT3SLneTKD19N5qVWtnj_jIT8CSsOmUVKmaA/"&amp;"edit?gid=1761053510"",
          ""Haris_Form responses 1!$AQ:$AQ"")=1)
      ),
      1
    ),
    ""0""
  ),
  ""Form not found""
)
"),"1")</f>
        <v>1</v>
      </c>
      <c r="G36" s="245" t="str">
        <f>IFERROR(__xludf.DUMMYFUNCTION("IFERROR(
  INDEX(
    FILTER(
      Transcription!$AJ:$AJ,
      TRIM(CLEAN(TEXT(Transcription!$F:$F, ""@""))) = TRIM(CLEAN(TEXT($D36, ""@""))),
      Transcription!$AO:$AO = 1
    ),
    1
  ),
  ""Not Found""
)
"),"https://drive.google.com/open?id=1ZPrItpxCu7yb5L_iOmIzm69ja-xoFH2R")</f>
        <v>https://drive.google.com/open?id=1ZPrItpxCu7yb5L_iOmIzm69ja-xoFH2R</v>
      </c>
      <c r="H36" s="244" t="str">
        <f>IFERROR(__xludf.DUMMYFUNCTION("IFERROR(
  INDEX(
    FILTER(
      Recording!$U:$U,
      TRIM(CLEAN(TEXT(Recording!$E:$E, ""@""))) = TRIM(CLEAN(TEXT($D36, ""@""))),
      Recording!$AA:$AA = 2
    ),
    1
  ),
  ""Not Found""
)
"),"https://drive.google.com/open?id=1bcOfjJcJ1rqA_z_IR3L_vY3U4oU58MKB")</f>
        <v>https://drive.google.com/open?id=1bcOfjJcJ1rqA_z_IR3L_vY3U4oU58MKB</v>
      </c>
      <c r="I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1!$E:$E"")=$D36) *
        (IMPORTRANGE(""https://docs.google.com/spreadsheets/d/161aHT6vVT3SLneTKD19N5qVWtnj_jIT8CSsOmUVKmaA/"&amp;"edit?gid=1761053510"",
          ""Haris_Form responses 1!$AQ:$AQ"")=2)
      ),
      1
    ),
    ""0""
  ),
  ""Form not found""
)
"),"2")</f>
        <v>2</v>
      </c>
      <c r="J36" s="245" t="str">
        <f>IFERROR(__xludf.DUMMYFUNCTION("IFERROR(
  INDEX(
    FILTER(
      Transcription!$AJ:$AJ,
      TRIM(CLEAN(TEXT(Transcription!$F:$F, ""@""))) = TRIM(CLEAN(TEXT($D36, ""@""))),
      Transcription!$AO:$AO = 2
    ),
    1
  ),
  ""Not Found""
)
"),"https://drive.google.com/open?id=1Fft1er_k-8eslzrwjyHGLPFHdRRed7B3")</f>
        <v>https://drive.google.com/open?id=1Fft1er_k-8eslzrwjyHGLPFHdRRed7B3</v>
      </c>
      <c r="K36" s="244" t="str">
        <f>IFERROR(__xludf.DUMMYFUNCTION("IFERROR(
  INDEX(
    FILTER(
      Recording!$U:$U,
      TRIM(CLEAN(TEXT(Recording!$E:$E, ""@""))) = TRIM(CLEAN(TEXT($D36, ""@""))),
      Recording!$AA:$AA = 3
    ),
    1
  ),
  ""Not Found""
)
"),"https://drive.google.com/open?id=1Y9o6WCHjga1aHzc8FmEAiBCWhloMZySK")</f>
        <v>https://drive.google.com/open?id=1Y9o6WCHjga1aHzc8FmEAiBCWhloMZySK</v>
      </c>
      <c r="L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1!$E:$E"")=$D36) *
        (IMPORTRANGE(""https://docs.google.com/spreadsheets/d/161aHT6vVT3SLneTKD19N5qVWtnj_jIT8CSsOmUVKmaA/"&amp;"edit?gid=1761053510"",
          ""Haris_Form responses 1!$AQ:$AQ"")=3)
      ),
      1
    ),
    ""0""
  ),
  ""Form not found""
)
"),"3")</f>
        <v>3</v>
      </c>
      <c r="M36" s="245" t="str">
        <f>IFERROR(__xludf.DUMMYFUNCTION("IFERROR(
  INDEX(
    FILTER(
      Transcription!$AJ:$AJ,
      TRIM(CLEAN(TEXT(Transcription!$F:$F, ""@""))) = TRIM(CLEAN(TEXT($D36, ""@""))),
      Transcription!$AO:$AO = 3
    ),
    1
  ),
  ""Not Found""
)
"),"https://drive.google.com/open?id=1rDtQ1P5sbhEkOcCchFQjagdd5JBqYYQD")</f>
        <v>https://drive.google.com/open?id=1rDtQ1P5sbhEkOcCchFQjagdd5JBqYYQD</v>
      </c>
      <c r="N36" s="244" t="str">
        <f>IFERROR(__xludf.DUMMYFUNCTION("IFERROR(
  INDEX(
    FILTER(
      Recording!$U:$U,
      TRIM(CLEAN(TEXT(Recording!$E:$E, ""@""))) = TRIM(CLEAN(TEXT($D36, ""@""))),
      Recording!$AA:$AA = 4
    ),
    1
  ),
  ""Not Found""
)
"),"https://drive.google.com/open?id=1MXM1sl6TEKCqcmAtJO5lGU2Z5WVMRP3W")</f>
        <v>https://drive.google.com/open?id=1MXM1sl6TEKCqcmAtJO5lGU2Z5WVMRP3W</v>
      </c>
      <c r="O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1!$E:$E"")=$D36) *
        (IMPORTRANGE(""https://docs.google.com/spreadsheets/d/161aHT6vVT3SLneTKD19N5qVWtnj_jIT8CSsOmUVKmaA/"&amp;"edit?gid=1761053510"",
          ""Haris_Form responses 1!$AQ:$AQ"")=4)
      ),
      1
    ),
    ""0""
  ),
  ""Form not found""
)
"),"4")</f>
        <v>4</v>
      </c>
      <c r="P36" s="245" t="str">
        <f>IFERROR(__xludf.DUMMYFUNCTION("IFERROR(
  INDEX(
    FILTER(
      Transcription!$AJ:$AJ,
      TRIM(CLEAN(TEXT(Transcription!$F:$F, ""@""))) = TRIM(CLEAN(TEXT($D36, ""@""))),
      Transcription!$AO:$AO = 4
    ),
    1
  ),
  ""Not Found""
)
"),"https://drive.google.com/open?id=1g1h1sGwfxElJlyCiv552pMG619gp9nfv")</f>
        <v>https://drive.google.com/open?id=1g1h1sGwfxElJlyCiv552pMG619gp9nfv</v>
      </c>
      <c r="Q36" s="246" t="str">
        <f>IFERROR(__xludf.DUMMYFUNCTION("IFERROR(
  INDEX(
    FILTER(
      Recording!$U:$U,
      TRIM(CLEAN(TEXT(Recording!$E:$E, ""@""))) = TRIM(CLEAN(TEXT($D36, ""@""))),
      Recording!$AA:$AA = 5
    ),
    1
  ),
  ""Not Found""
)
"),"Not Found")</f>
        <v>Not Found</v>
      </c>
      <c r="R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1!$E:$E"")=$D36) *
        (IMPORTRANGE(""https://docs.google.com/spreadsheets/d/161aHT6vVT3SLneTKD19N5qVWtnj_jIT8CSsOmUVKmaA/"&amp;"edit?gid=1761053510"",
          ""Haris_Form responses 1!$AQ:$AQ"")=5)
      ),
      1
    ),
    ""0""
  ),
  ""Form not found""
)
"),"Form not found")</f>
        <v>Form not found</v>
      </c>
      <c r="S36" s="247" t="str">
        <f>IFERROR(__xludf.DUMMYFUNCTION("IFERROR(
  INDEX(
    FILTER(
      Transcription!$AJ:$AJ,
      TRIM(CLEAN(TEXT(Transcription!$F:$F, ""@""))) = TRIM(CLEAN(TEXT($D36, ""@""))),
      Transcription!$AO:$AO = 5
    ),
    1
  ),
  ""Not Found""
)
"),"Not Found")</f>
        <v>Not Found</v>
      </c>
      <c r="T36" s="248" t="str">
        <f>IFERROR(__xludf.DUMMYFUNCTION("IFERROR(
  INDEX(
    FILTER(
      Recording!$U:$U,
      TRIM(CLEAN(TEXT(Recording!$E:$E, ""@""))) = TRIM(CLEAN(TEXT($D36, ""@""))),
      Recording!$AA:$AA = 6
    ),
    1
  ),
  ""Not Found""
)
"),"Not Found")</f>
        <v>Not Found</v>
      </c>
      <c r="U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1!$E:$E"")=$D36) *
        (IMPORTRANGE(""https://docs.google.com/spreadsheets/d/161aHT6vVT3SLneTKD19N5qVWtnj_jIT8CSsOmUVKmaA/"&amp;"edit?gid=1761053510"",
          ""Haris_Form responses 1!$AQ:$AQ"")=6)
      ),
      1
    ),
    ""0""
  ),
  ""Form not found""
)
"),"Form not found")</f>
        <v>Form not found</v>
      </c>
      <c r="V36" s="247" t="str">
        <f>IFERROR(__xludf.DUMMYFUNCTION("IFERROR(
  INDEX(
    FILTER(
      Transcription!$AJ:$AJ,
      TRIM(CLEAN(TEXT(Transcription!$F:$F, ""@""))) = TRIM(CLEAN(TEXT($D36, ""@""))),
      Transcription!$AO:$AO = 6
    ),
    1
  ),
  ""Not Found""
)
"),"Not Found")</f>
        <v>Not Found</v>
      </c>
      <c r="Z36" s="10">
        <f t="shared" si="1"/>
        <v>4</v>
      </c>
      <c r="AA36" s="10">
        <f t="shared" si="2"/>
        <v>0</v>
      </c>
    </row>
    <row r="37">
      <c r="A37" s="8" t="str">
        <f>VLOOKUP($D37,Sheet6!$B:$G,5,FALSE)</f>
        <v>Lahore</v>
      </c>
      <c r="B37" s="232" t="str">
        <f>VLOOKUP($D37,Sheet6!$B:$G,4,FALSE)</f>
        <v>Women Religious Info Share</v>
      </c>
      <c r="C37" s="8">
        <v>3.0</v>
      </c>
      <c r="D37" s="8" t="s">
        <v>4519</v>
      </c>
      <c r="E37" s="244" t="str">
        <f>IFERROR(__xludf.DUMMYFUNCTION("IFERROR(
  INDEX(
    FILTER(
      Recording!$U:$U,
      TRIM(CLEAN(TEXT(Recording!$E:$E, ""@""))) = TRIM(CLEAN(TEXT($D37, ""@""))),
      Recording!$AA:$AA = 1
    ),
    1
  ),
  ""Not Found""
)
"),"https://drive.google.com/open?id=1qL5pNc0cGybPR3eQUic6MzwuRa3-KZ3j")</f>
        <v>https://drive.google.com/open?id=1qL5pNc0cGybPR3eQUic6MzwuRa3-KZ3j</v>
      </c>
      <c r="F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1!$E:$E"")=$D37) *
        (IMPORTRANGE(""https://docs.google.com/spreadsheets/d/161aHT6vVT3SLneTKD19N5qVWtnj_jIT8CSsOmUVKmaA/"&amp;"edit?gid=1761053510"",
          ""Haris_Form responses 1!$AQ:$AQ"")=1)
      ),
      1
    ),
    ""0""
  ),
  ""Form not found""
)
"),"1")</f>
        <v>1</v>
      </c>
      <c r="G37" s="245" t="str">
        <f>IFERROR(__xludf.DUMMYFUNCTION("IFERROR(
  INDEX(
    FILTER(
      Transcription!$AJ:$AJ,
      TRIM(CLEAN(TEXT(Transcription!$F:$F, ""@""))) = TRIM(CLEAN(TEXT($D37, ""@""))),
      Transcription!$AO:$AO = 1
    ),
    1
  ),
  ""Not Found""
)
"),"https://drive.google.com/open?id=1kGSPtzr8t7cSB6RC4V5kAM91WiutqjBT")</f>
        <v>https://drive.google.com/open?id=1kGSPtzr8t7cSB6RC4V5kAM91WiutqjBT</v>
      </c>
      <c r="H37" s="244" t="str">
        <f>IFERROR(__xludf.DUMMYFUNCTION("IFERROR(
  INDEX(
    FILTER(
      Recording!$U:$U,
      TRIM(CLEAN(TEXT(Recording!$E:$E, ""@""))) = TRIM(CLEAN(TEXT($D37, ""@""))),
      Recording!$AA:$AA = 2
    ),
    1
  ),
  ""Not Found""
)
"),"https://drive.google.com/open?id=1YYIY1HQu7CPeZNNeq32z_XX53G9DmIPq")</f>
        <v>https://drive.google.com/open?id=1YYIY1HQu7CPeZNNeq32z_XX53G9DmIPq</v>
      </c>
      <c r="I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1!$E:$E"")=$D37) *
        (IMPORTRANGE(""https://docs.google.com/spreadsheets/d/161aHT6vVT3SLneTKD19N5qVWtnj_jIT8CSsOmUVKmaA/"&amp;"edit?gid=1761053510"",
          ""Haris_Form responses 1!$AQ:$AQ"")=2)
      ),
      1
    ),
    ""0""
  ),
  ""Form not found""
)
"),"2")</f>
        <v>2</v>
      </c>
      <c r="J37" s="245" t="str">
        <f>IFERROR(__xludf.DUMMYFUNCTION("IFERROR(
  INDEX(
    FILTER(
      Transcription!$AJ:$AJ,
      TRIM(CLEAN(TEXT(Transcription!$F:$F, ""@""))) = TRIM(CLEAN(TEXT($D37, ""@""))),
      Transcription!$AO:$AO = 2
    ),
    1
  ),
  ""Not Found""
)
"),"https://drive.google.com/open?id=1aFo5rGCRUmkIfgbNoE4uVl3RWL4lg2pC")</f>
        <v>https://drive.google.com/open?id=1aFo5rGCRUmkIfgbNoE4uVl3RWL4lg2pC</v>
      </c>
      <c r="K37" s="244" t="str">
        <f>IFERROR(__xludf.DUMMYFUNCTION("IFERROR(
  INDEX(
    FILTER(
      Recording!$U:$U,
      TRIM(CLEAN(TEXT(Recording!$E:$E, ""@""))) = TRIM(CLEAN(TEXT($D37, ""@""))),
      Recording!$AA:$AA = 3
    ),
    1
  ),
  ""Not Found""
)
"),"https://drive.google.com/open?id=18V_uQoQbhgtJ9-sK2wZZcswokMK5WktS")</f>
        <v>https://drive.google.com/open?id=18V_uQoQbhgtJ9-sK2wZZcswokMK5WktS</v>
      </c>
      <c r="L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1!$E:$E"")=$D37) *
        (IMPORTRANGE(""https://docs.google.com/spreadsheets/d/161aHT6vVT3SLneTKD19N5qVWtnj_jIT8CSsOmUVKmaA/"&amp;"edit?gid=1761053510"",
          ""Haris_Form responses 1!$AQ:$AQ"")=3)
      ),
      1
    ),
    ""0""
  ),
  ""Form not found""
)
"),"3")</f>
        <v>3</v>
      </c>
      <c r="M37" s="245" t="str">
        <f>IFERROR(__xludf.DUMMYFUNCTION("IFERROR(
  INDEX(
    FILTER(
      Transcription!$AJ:$AJ,
      TRIM(CLEAN(TEXT(Transcription!$F:$F, ""@""))) = TRIM(CLEAN(TEXT($D37, ""@""))),
      Transcription!$AO:$AO = 3
    ),
    1
  ),
  ""Not Found""
)
"),"https://drive.google.com/open?id=1cdjafLq7HCnxQ-FTgfsiFk5-uBvZEzre")</f>
        <v>https://drive.google.com/open?id=1cdjafLq7HCnxQ-FTgfsiFk5-uBvZEzre</v>
      </c>
      <c r="N37" s="246" t="str">
        <f>IFERROR(__xludf.DUMMYFUNCTION("IFERROR(
  INDEX(
    FILTER(
      Recording!$U:$U,
      TRIM(CLEAN(TEXT(Recording!$E:$E, ""@""))) = TRIM(CLEAN(TEXT($D37, ""@""))),
      Recording!$AA:$AA = 4
    ),
    1
  ),
  ""Not Found""
)
"),"Not Found")</f>
        <v>Not Found</v>
      </c>
      <c r="O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1!$E:$E"")=$D37) *
        (IMPORTRANGE(""https://docs.google.com/spreadsheets/d/161aHT6vVT3SLneTKD19N5qVWtnj_jIT8CSsOmUVKmaA/"&amp;"edit?gid=1761053510"",
          ""Haris_Form responses 1!$AQ:$AQ"")=4)
      ),
      1
    ),
    ""0""
  ),
  ""Form not found""
)
"),"Form not found")</f>
        <v>Form not found</v>
      </c>
      <c r="P37" s="247" t="str">
        <f>IFERROR(__xludf.DUMMYFUNCTION("IFERROR(
  INDEX(
    FILTER(
      Transcription!$AJ:$AJ,
      TRIM(CLEAN(TEXT(Transcription!$F:$F, ""@""))) = TRIM(CLEAN(TEXT($D37, ""@""))),
      Transcription!$AO:$AO = 4
    ),
    1
  ),
  ""Not Found""
)
"),"Not Found")</f>
        <v>Not Found</v>
      </c>
      <c r="Q37" s="246" t="str">
        <f>IFERROR(__xludf.DUMMYFUNCTION("IFERROR(
  INDEX(
    FILTER(
      Recording!$U:$U,
      TRIM(CLEAN(TEXT(Recording!$E:$E, ""@""))) = TRIM(CLEAN(TEXT($D37, ""@""))),
      Recording!$AA:$AA = 5
    ),
    1
  ),
  ""Not Found""
)
"),"Not Found")</f>
        <v>Not Found</v>
      </c>
      <c r="R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1!$E:$E"")=$D37) *
        (IMPORTRANGE(""https://docs.google.com/spreadsheets/d/161aHT6vVT3SLneTKD19N5qVWtnj_jIT8CSsOmUVKmaA/"&amp;"edit?gid=1761053510"",
          ""Haris_Form responses 1!$AQ:$AQ"")=5)
      ),
      1
    ),
    ""0""
  ),
  ""Form not found""
)
"),"Form not found")</f>
        <v>Form not found</v>
      </c>
      <c r="S37" s="247" t="str">
        <f>IFERROR(__xludf.DUMMYFUNCTION("IFERROR(
  INDEX(
    FILTER(
      Transcription!$AJ:$AJ,
      TRIM(CLEAN(TEXT(Transcription!$F:$F, ""@""))) = TRIM(CLEAN(TEXT($D37, ""@""))),
      Transcription!$AO:$AO = 5
    ),
    1
  ),
  ""Not Found""
)
"),"Not Found")</f>
        <v>Not Found</v>
      </c>
      <c r="T37" s="249" t="str">
        <f>IFERROR(__xludf.DUMMYFUNCTION("IFERROR(
  INDEX(
    FILTER(
      Recording!$U:$U,
      TRIM(CLEAN(TEXT(Recording!$E:$E, ""@""))) = TRIM(CLEAN(TEXT($D37, ""@""))),
      Recording!$AA:$AA = 6
    ),
    1
  ),
  ""Not Found""
)
"),"Not Found")</f>
        <v>Not Found</v>
      </c>
      <c r="U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1!$E:$E"")=$D37) *
        (IMPORTRANGE(""https://docs.google.com/spreadsheets/d/161aHT6vVT3SLneTKD19N5qVWtnj_jIT8CSsOmUVKmaA/"&amp;"edit?gid=1761053510"",
          ""Haris_Form responses 1!$AQ:$AQ"")=6)
      ),
      1
    ),
    ""0""
  ),
  ""Form not found""
)
"),"Form not found")</f>
        <v>Form not found</v>
      </c>
      <c r="V37" s="247" t="str">
        <f>IFERROR(__xludf.DUMMYFUNCTION("IFERROR(
  INDEX(
    FILTER(
      Transcription!$AJ:$AJ,
      TRIM(CLEAN(TEXT(Transcription!$F:$F, ""@""))) = TRIM(CLEAN(TEXT($D37, ""@""))),
      Transcription!$AO:$AO = 6
    ),
    1
  ),
  ""Not Found""
)
"),"Not Found")</f>
        <v>Not Found</v>
      </c>
      <c r="X37" s="8" t="s">
        <v>4520</v>
      </c>
      <c r="Z37" s="10">
        <f t="shared" si="1"/>
        <v>3</v>
      </c>
      <c r="AA37" s="10">
        <f t="shared" si="2"/>
        <v>0</v>
      </c>
    </row>
    <row r="38">
      <c r="A38" s="8" t="str">
        <f>VLOOKUP($D38,Sheet6!$B:$G,5,FALSE)</f>
        <v>Lahore</v>
      </c>
      <c r="B38" s="232" t="str">
        <f>VLOOKUP($D38,Sheet6!$B:$G,4,FALSE)</f>
        <v>Community Religious Info Share</v>
      </c>
      <c r="C38" s="8">
        <v>3.0</v>
      </c>
      <c r="D38" s="8" t="s">
        <v>1248</v>
      </c>
      <c r="E38" s="244" t="str">
        <f>IFERROR(__xludf.DUMMYFUNCTION("IFERROR(
  INDEX(
    FILTER(
      Recording!$U:$U,
      TRIM(CLEAN(TEXT(Recording!$E:$E, ""@""))) = TRIM(CLEAN(TEXT($D38, ""@""))),
      Recording!$AA:$AA = 1
    ),
    1
  ),
  ""Not Found""
)
"),"https://drive.google.com/open?id=1PRSMEqDe9sYxRIeoCCTFoc5hvHIx24KS")</f>
        <v>https://drive.google.com/open?id=1PRSMEqDe9sYxRIeoCCTFoc5hvHIx24KS</v>
      </c>
      <c r="F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1!$E:$E"")=$D38) *
        (IMPORTRANGE(""https://docs.google.com/spreadsheets/d/161aHT6vVT3SLneTKD19N5qVWtnj_jIT8CSsOmUVKmaA/"&amp;"edit?gid=1761053510"",
          ""Haris_Form responses 1!$AQ:$AQ"")=1)
      ),
      1
    ),
    ""0""
  ),
  ""Form not found""
)
"),"1")</f>
        <v>1</v>
      </c>
      <c r="G38" s="245" t="str">
        <f>IFERROR(__xludf.DUMMYFUNCTION("IFERROR(
  INDEX(
    FILTER(
      Transcription!$AJ:$AJ,
      TRIM(CLEAN(TEXT(Transcription!$F:$F, ""@""))) = TRIM(CLEAN(TEXT($D38, ""@""))),
      Transcription!$AO:$AO = 1
    ),
    1
  ),
  ""Not Found""
)
"),"https://drive.google.com/open?id=1NMzrLihuOtKPnV79JOY2jlhgGs-W746x")</f>
        <v>https://drive.google.com/open?id=1NMzrLihuOtKPnV79JOY2jlhgGs-W746x</v>
      </c>
      <c r="H38" s="244" t="str">
        <f>IFERROR(__xludf.DUMMYFUNCTION("IFERROR(
  INDEX(
    FILTER(
      Recording!$U:$U,
      TRIM(CLEAN(TEXT(Recording!$E:$E, ""@""))) = TRIM(CLEAN(TEXT($D38, ""@""))),
      Recording!$AA:$AA = 2
    ),
    1
  ),
  ""Not Found""
)
"),"https://drive.google.com/open?id=1kebdCI1z2x3Hg-hFHkRIwU9ARDmzSC7f")</f>
        <v>https://drive.google.com/open?id=1kebdCI1z2x3Hg-hFHkRIwU9ARDmzSC7f</v>
      </c>
      <c r="I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1!$E:$E"")=$D38) *
        (IMPORTRANGE(""https://docs.google.com/spreadsheets/d/161aHT6vVT3SLneTKD19N5qVWtnj_jIT8CSsOmUVKmaA/"&amp;"edit?gid=1761053510"",
          ""Haris_Form responses 1!$AQ:$AQ"")=2)
      ),
      1
    ),
    ""0""
  ),
  ""Form not found""
)
"),"2")</f>
        <v>2</v>
      </c>
      <c r="J38" s="245" t="str">
        <f>IFERROR(__xludf.DUMMYFUNCTION("IFERROR(
  INDEX(
    FILTER(
      Transcription!$AJ:$AJ,
      TRIM(CLEAN(TEXT(Transcription!$F:$F, ""@""))) = TRIM(CLEAN(TEXT($D38, ""@""))),
      Transcription!$AO:$AO = 2
    ),
    1
  ),
  ""Not Found""
)
"),"https://drive.google.com/open?id=1nBW4wYdL6VcYO5XfKImoQfAdaDbU2ic_")</f>
        <v>https://drive.google.com/open?id=1nBW4wYdL6VcYO5XfKImoQfAdaDbU2ic_</v>
      </c>
      <c r="K38" s="244" t="str">
        <f>IFERROR(__xludf.DUMMYFUNCTION("IFERROR(
  INDEX(
    FILTER(
      Recording!$U:$U,
      TRIM(CLEAN(TEXT(Recording!$E:$E, ""@""))) = TRIM(CLEAN(TEXT($D38, ""@""))),
      Recording!$AA:$AA = 3
    ),
    1
  ),
  ""Not Found""
)
"),"https://drive.google.com/open?id=1u3CMxlGOsXBKu1SCOi6cEEpsCu11EtcV")</f>
        <v>https://drive.google.com/open?id=1u3CMxlGOsXBKu1SCOi6cEEpsCu11EtcV</v>
      </c>
      <c r="L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1!$E:$E"")=$D38) *
        (IMPORTRANGE(""https://docs.google.com/spreadsheets/d/161aHT6vVT3SLneTKD19N5qVWtnj_jIT8CSsOmUVKmaA/"&amp;"edit?gid=1761053510"",
          ""Haris_Form responses 1!$AQ:$AQ"")=3)
      ),
      1
    ),
    ""0""
  ),
  ""Form not found""
)
"),"3")</f>
        <v>3</v>
      </c>
      <c r="M38" s="245" t="str">
        <f>IFERROR(__xludf.DUMMYFUNCTION("IFERROR(
  INDEX(
    FILTER(
      Transcription!$AJ:$AJ,
      TRIM(CLEAN(TEXT(Transcription!$F:$F, ""@""))) = TRIM(CLEAN(TEXT($D38, ""@""))),
      Transcription!$AO:$AO = 3
    ),
    1
  ),
  ""Not Found""
)
"),"https://drive.google.com/open?id=1nvfBpZgn3XIIu_bhVh81vdmt4Wlw7Dr8")</f>
        <v>https://drive.google.com/open?id=1nvfBpZgn3XIIu_bhVh81vdmt4Wlw7Dr8</v>
      </c>
      <c r="N38" s="246" t="str">
        <f>IFERROR(__xludf.DUMMYFUNCTION("IFERROR(
  INDEX(
    FILTER(
      Recording!$U:$U,
      TRIM(CLEAN(TEXT(Recording!$E:$E, ""@""))) = TRIM(CLEAN(TEXT($D38, ""@""))),
      Recording!$AA:$AA = 4
    ),
    1
  ),
  ""Not Found""
)
"),"Not Found")</f>
        <v>Not Found</v>
      </c>
      <c r="O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1!$E:$E"")=$D38) *
        (IMPORTRANGE(""https://docs.google.com/spreadsheets/d/161aHT6vVT3SLneTKD19N5qVWtnj_jIT8CSsOmUVKmaA/"&amp;"edit?gid=1761053510"",
          ""Haris_Form responses 1!$AQ:$AQ"")=4)
      ),
      1
    ),
    ""0""
  ),
  ""Form not found""
)
"),"Form not found")</f>
        <v>Form not found</v>
      </c>
      <c r="P38" s="247" t="str">
        <f>IFERROR(__xludf.DUMMYFUNCTION("IFERROR(
  INDEX(
    FILTER(
      Transcription!$AJ:$AJ,
      TRIM(CLEAN(TEXT(Transcription!$F:$F, ""@""))) = TRIM(CLEAN(TEXT($D38, ""@""))),
      Transcription!$AO:$AO = 4
    ),
    1
  ),
  ""Not Found""
)
"),"Not Found")</f>
        <v>Not Found</v>
      </c>
      <c r="Q38" s="246" t="str">
        <f>IFERROR(__xludf.DUMMYFUNCTION("IFERROR(
  INDEX(
    FILTER(
      Recording!$U:$U,
      TRIM(CLEAN(TEXT(Recording!$E:$E, ""@""))) = TRIM(CLEAN(TEXT($D38, ""@""))),
      Recording!$AA:$AA = 5
    ),
    1
  ),
  ""Not Found""
)
"),"Not Found")</f>
        <v>Not Found</v>
      </c>
      <c r="R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1!$E:$E"")=$D38) *
        (IMPORTRANGE(""https://docs.google.com/spreadsheets/d/161aHT6vVT3SLneTKD19N5qVWtnj_jIT8CSsOmUVKmaA/"&amp;"edit?gid=1761053510"",
          ""Haris_Form responses 1!$AQ:$AQ"")=5)
      ),
      1
    ),
    ""0""
  ),
  ""Form not found""
)
"),"Form not found")</f>
        <v>Form not found</v>
      </c>
      <c r="S38" s="247" t="str">
        <f>IFERROR(__xludf.DUMMYFUNCTION("IFERROR(
  INDEX(
    FILTER(
      Transcription!$AJ:$AJ,
      TRIM(CLEAN(TEXT(Transcription!$F:$F, ""@""))) = TRIM(CLEAN(TEXT($D38, ""@""))),
      Transcription!$AO:$AO = 5
    ),
    1
  ),
  ""Not Found""
)
"),"Not Found")</f>
        <v>Not Found</v>
      </c>
      <c r="T38" s="248" t="str">
        <f>IFERROR(__xludf.DUMMYFUNCTION("IFERROR(
  INDEX(
    FILTER(
      Recording!$U:$U,
      TRIM(CLEAN(TEXT(Recording!$E:$E, ""@""))) = TRIM(CLEAN(TEXT($D38, ""@""))),
      Recording!$AA:$AA = 6
    ),
    1
  ),
  ""Not Found""
)
"),"Not Found")</f>
        <v>Not Found</v>
      </c>
      <c r="U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1!$E:$E"")=$D38) *
        (IMPORTRANGE(""https://docs.google.com/spreadsheets/d/161aHT6vVT3SLneTKD19N5qVWtnj_jIT8CSsOmUVKmaA/"&amp;"edit?gid=1761053510"",
          ""Haris_Form responses 1!$AQ:$AQ"")=6)
      ),
      1
    ),
    ""0""
  ),
  ""Form not found""
)
"),"Form not found")</f>
        <v>Form not found</v>
      </c>
      <c r="V38" s="247" t="str">
        <f>IFERROR(__xludf.DUMMYFUNCTION("IFERROR(
  INDEX(
    FILTER(
      Transcription!$AJ:$AJ,
      TRIM(CLEAN(TEXT(Transcription!$F:$F, ""@""))) = TRIM(CLEAN(TEXT($D38, ""@""))),
      Transcription!$AO:$AO = 6
    ),
    1
  ),
  ""Not Found""
)
"),"Not Found")</f>
        <v>Not Found</v>
      </c>
      <c r="Z38" s="10">
        <f t="shared" si="1"/>
        <v>3</v>
      </c>
      <c r="AA38" s="10">
        <f t="shared" si="2"/>
        <v>0</v>
      </c>
    </row>
    <row r="39">
      <c r="A39" s="8" t="str">
        <f>VLOOKUP($D39,Sheet6!$B:$G,5,FALSE)</f>
        <v>Lahore</v>
      </c>
      <c r="B39" s="232" t="str">
        <f>VLOOKUP($D39,Sheet6!$B:$G,4,FALSE)</f>
        <v>Women Religious No Info Share</v>
      </c>
      <c r="C39" s="8">
        <v>4.0</v>
      </c>
      <c r="D39" s="8" t="s">
        <v>2559</v>
      </c>
      <c r="E39" s="244" t="str">
        <f>IFERROR(__xludf.DUMMYFUNCTION("IFERROR(
  INDEX(
    FILTER(
      Recording!$U:$U,
      TRIM(CLEAN(TEXT(Recording!$E:$E, ""@""))) = TRIM(CLEAN(TEXT($D39, ""@""))),
      Recording!$AA:$AA = 1
    ),
    1
  ),
  ""Not Found""
)
"),"https://drive.google.com/open?id=1mJbDNYlkHSJWfb_1vLE6XDAqeVHe6j3e")</f>
        <v>https://drive.google.com/open?id=1mJbDNYlkHSJWfb_1vLE6XDAqeVHe6j3e</v>
      </c>
      <c r="F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1!$E:$E"")=$D39) *
        (IMPORTRANGE(""https://docs.google.com/spreadsheets/d/161aHT6vVT3SLneTKD19N5qVWtnj_jIT8CSsOmUVKmaA/"&amp;"edit?gid=1761053510"",
          ""Haris_Form responses 1!$AQ:$AQ"")=1)
      ),
      1
    ),
    ""0""
  ),
  ""Form not found""
)
"),"1")</f>
        <v>1</v>
      </c>
      <c r="G39" s="245" t="str">
        <f>IFERROR(__xludf.DUMMYFUNCTION("IFERROR(
  INDEX(
    FILTER(
      Transcription!$AJ:$AJ,
      TRIM(CLEAN(TEXT(Transcription!$F:$F, ""@""))) = TRIM(CLEAN(TEXT($D39, ""@""))),
      Transcription!$AO:$AO = 1
    ),
    1
  ),
  ""Not Found""
)
"),"https://drive.google.com/open?id=1sriZAgkpS-Jo825Fu2WUIT37wXpGhBsY")</f>
        <v>https://drive.google.com/open?id=1sriZAgkpS-Jo825Fu2WUIT37wXpGhBsY</v>
      </c>
      <c r="H39" s="244" t="str">
        <f>IFERROR(__xludf.DUMMYFUNCTION("IFERROR(
  INDEX(
    FILTER(
      Recording!$U:$U,
      TRIM(CLEAN(TEXT(Recording!$E:$E, ""@""))) = TRIM(CLEAN(TEXT($D39, ""@""))),
      Recording!$AA:$AA = 2
    ),
    1
  ),
  ""Not Found""
)
"),"https://drive.google.com/open?id=1h0CmlQPJme3hIEMkKNoeU5mnnvOBp97p")</f>
        <v>https://drive.google.com/open?id=1h0CmlQPJme3hIEMkKNoeU5mnnvOBp97p</v>
      </c>
      <c r="I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1!$E:$E"")=$D39) *
        (IMPORTRANGE(""https://docs.google.com/spreadsheets/d/161aHT6vVT3SLneTKD19N5qVWtnj_jIT8CSsOmUVKmaA/"&amp;"edit?gid=1761053510"",
          ""Haris_Form responses 1!$AQ:$AQ"")=2)
      ),
      1
    ),
    ""0""
  ),
  ""Form not found""
)
"),"2")</f>
        <v>2</v>
      </c>
      <c r="J39" s="245" t="str">
        <f>IFERROR(__xludf.DUMMYFUNCTION("IFERROR(
  INDEX(
    FILTER(
      Transcription!$AJ:$AJ,
      TRIM(CLEAN(TEXT(Transcription!$F:$F, ""@""))) = TRIM(CLEAN(TEXT($D39, ""@""))),
      Transcription!$AO:$AO = 2
    ),
    1
  ),
  ""Not Found""
)
"),"https://drive.google.com/open?id=1uZvbBBuXbhAlijca2704oXUbxei4Kipd")</f>
        <v>https://drive.google.com/open?id=1uZvbBBuXbhAlijca2704oXUbxei4Kipd</v>
      </c>
      <c r="K39" s="244" t="str">
        <f>IFERROR(__xludf.DUMMYFUNCTION("IFERROR(
  INDEX(
    FILTER(
      Recording!$U:$U,
      TRIM(CLEAN(TEXT(Recording!$E:$E, ""@""))) = TRIM(CLEAN(TEXT($D39, ""@""))),
      Recording!$AA:$AA = 3
    ),
    1
  ),
  ""Not Found""
)
"),"https://drive.google.com/open?id=1CR9Cq3iFEcntYoD27a0mRFPWDXyKKLPx")</f>
        <v>https://drive.google.com/open?id=1CR9Cq3iFEcntYoD27a0mRFPWDXyKKLPx</v>
      </c>
      <c r="L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1!$E:$E"")=$D39) *
        (IMPORTRANGE(""https://docs.google.com/spreadsheets/d/161aHT6vVT3SLneTKD19N5qVWtnj_jIT8CSsOmUVKmaA/"&amp;"edit?gid=1761053510"",
          ""Haris_Form responses 1!$AQ:$AQ"")=3)
      ),
      1
    ),
    ""0""
  ),
  ""Form not found""
)
"),"3")</f>
        <v>3</v>
      </c>
      <c r="M39" s="245" t="str">
        <f>IFERROR(__xludf.DUMMYFUNCTION("IFERROR(
  INDEX(
    FILTER(
      Transcription!$AJ:$AJ,
      TRIM(CLEAN(TEXT(Transcription!$F:$F, ""@""))) = TRIM(CLEAN(TEXT($D39, ""@""))),
      Transcription!$AO:$AO = 3
    ),
    1
  ),
  ""Not Found""
)
"),"https://drive.google.com/open?id=1S2DK-KiufFLxqgIYd8dGrwbvnmhcfL09")</f>
        <v>https://drive.google.com/open?id=1S2DK-KiufFLxqgIYd8dGrwbvnmhcfL09</v>
      </c>
      <c r="N39" s="244" t="str">
        <f>IFERROR(__xludf.DUMMYFUNCTION("IFERROR(
  INDEX(
    FILTER(
      Recording!$U:$U,
      TRIM(CLEAN(TEXT(Recording!$E:$E, ""@""))) = TRIM(CLEAN(TEXT($D39, ""@""))),
      Recording!$AA:$AA = 4
    ),
    1
  ),
  ""Not Found""
)
"),"https://drive.google.com/open?id=1uUAu7vXdzuxneWAVRBBP_fAA3bSn1Gen")</f>
        <v>https://drive.google.com/open?id=1uUAu7vXdzuxneWAVRBBP_fAA3bSn1Gen</v>
      </c>
      <c r="O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1!$E:$E"")=$D39) *
        (IMPORTRANGE(""https://docs.google.com/spreadsheets/d/161aHT6vVT3SLneTKD19N5qVWtnj_jIT8CSsOmUVKmaA/"&amp;"edit?gid=1761053510"",
          ""Haris_Form responses 1!$AQ:$AQ"")=4)
      ),
      1
    ),
    ""0""
  ),
  ""Form not found""
)
"),"4")</f>
        <v>4</v>
      </c>
      <c r="P39" s="245" t="str">
        <f>IFERROR(__xludf.DUMMYFUNCTION("IFERROR(
  INDEX(
    FILTER(
      Transcription!$AJ:$AJ,
      TRIM(CLEAN(TEXT(Transcription!$F:$F, ""@""))) = TRIM(CLEAN(TEXT($D39, ""@""))),
      Transcription!$AO:$AO = 4
    ),
    1
  ),
  ""Not Found""
)
"),"https://drive.google.com/open?id=1LCSsaZBoNjyIycgEL5JrJ6fS-1CmK7m_")</f>
        <v>https://drive.google.com/open?id=1LCSsaZBoNjyIycgEL5JrJ6fS-1CmK7m_</v>
      </c>
      <c r="Q39" s="246" t="str">
        <f>IFERROR(__xludf.DUMMYFUNCTION("IFERROR(
  INDEX(
    FILTER(
      Recording!$U:$U,
      TRIM(CLEAN(TEXT(Recording!$E:$E, ""@""))) = TRIM(CLEAN(TEXT($D39, ""@""))),
      Recording!$AA:$AA = 5
    ),
    1
  ),
  ""Not Found""
)
"),"Not Found")</f>
        <v>Not Found</v>
      </c>
      <c r="R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1!$E:$E"")=$D39) *
        (IMPORTRANGE(""https://docs.google.com/spreadsheets/d/161aHT6vVT3SLneTKD19N5qVWtnj_jIT8CSsOmUVKmaA/"&amp;"edit?gid=1761053510"",
          ""Haris_Form responses 1!$AQ:$AQ"")=5)
      ),
      1
    ),
    ""0""
  ),
  ""Form not found""
)
"),"Form not found")</f>
        <v>Form not found</v>
      </c>
      <c r="S39" s="247" t="str">
        <f>IFERROR(__xludf.DUMMYFUNCTION("IFERROR(
  INDEX(
    FILTER(
      Transcription!$AJ:$AJ,
      TRIM(CLEAN(TEXT(Transcription!$F:$F, ""@""))) = TRIM(CLEAN(TEXT($D39, ""@""))),
      Transcription!$AO:$AO = 5
    ),
    1
  ),
  ""Not Found""
)
"),"Not Found")</f>
        <v>Not Found</v>
      </c>
      <c r="T39" s="249" t="str">
        <f>IFERROR(__xludf.DUMMYFUNCTION("IFERROR(
  INDEX(
    FILTER(
      Recording!$U:$U,
      TRIM(CLEAN(TEXT(Recording!$E:$E, ""@""))) = TRIM(CLEAN(TEXT($D39, ""@""))),
      Recording!$AA:$AA = 6
    ),
    1
  ),
  ""Not Found""
)
"),"Not Found")</f>
        <v>Not Found</v>
      </c>
      <c r="U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1!$E:$E"")=$D39) *
        (IMPORTRANGE(""https://docs.google.com/spreadsheets/d/161aHT6vVT3SLneTKD19N5qVWtnj_jIT8CSsOmUVKmaA/"&amp;"edit?gid=1761053510"",
          ""Haris_Form responses 1!$AQ:$AQ"")=6)
      ),
      1
    ),
    ""0""
  ),
  ""Form not found""
)
"),"Form not found")</f>
        <v>Form not found</v>
      </c>
      <c r="V39" s="247" t="str">
        <f>IFERROR(__xludf.DUMMYFUNCTION("IFERROR(
  INDEX(
    FILTER(
      Transcription!$AJ:$AJ,
      TRIM(CLEAN(TEXT(Transcription!$F:$F, ""@""))) = TRIM(CLEAN(TEXT($D39, ""@""))),
      Transcription!$AO:$AO = 6
    ),
    1
  ),
  ""Not Found""
)
"),"Not Found")</f>
        <v>Not Found</v>
      </c>
      <c r="Z39" s="10">
        <f t="shared" si="1"/>
        <v>4</v>
      </c>
      <c r="AA39" s="10">
        <f t="shared" si="2"/>
        <v>0</v>
      </c>
    </row>
    <row r="40">
      <c r="A40" s="8" t="str">
        <f>VLOOKUP($D40,Sheet6!$B:$G,5,FALSE)</f>
        <v>Lahore</v>
      </c>
      <c r="B40" s="232" t="str">
        <f>VLOOKUP($D40,Sheet6!$B:$G,4,FALSE)</f>
        <v>Control</v>
      </c>
      <c r="C40" s="8">
        <v>2.0</v>
      </c>
      <c r="D40" s="8" t="s">
        <v>1352</v>
      </c>
      <c r="E40" s="244" t="str">
        <f>IFERROR(__xludf.DUMMYFUNCTION("IFERROR(
  INDEX(
    FILTER(
      Recording!$U:$U,
      TRIM(CLEAN(TEXT(Recording!$E:$E, ""@""))) = TRIM(CLEAN(TEXT($D40, ""@""))),
      Recording!$AA:$AA = 1
    ),
    1
  ),
  ""Not Found""
)
"),"https://drive.google.com/open?id=1yfgpu58wKMSdGbg3cEeXHU5S80thzp6D")</f>
        <v>https://drive.google.com/open?id=1yfgpu58wKMSdGbg3cEeXHU5S80thzp6D</v>
      </c>
      <c r="F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1!$E:$E"")=$D40) *
        (IMPORTRANGE(""https://docs.google.com/spreadsheets/d/161aHT6vVT3SLneTKD19N5qVWtnj_jIT8CSsOmUVKmaA/"&amp;"edit?gid=1761053510"",
          ""Haris_Form responses 1!$AQ:$AQ"")=1)
      ),
      1
    ),
    ""0""
  ),
  ""Form not found""
)
"),"1")</f>
        <v>1</v>
      </c>
      <c r="G40" s="245" t="str">
        <f>IFERROR(__xludf.DUMMYFUNCTION("IFERROR(
  INDEX(
    FILTER(
      Transcription!$AJ:$AJ,
      TRIM(CLEAN(TEXT(Transcription!$F:$F, ""@""))) = TRIM(CLEAN(TEXT($D40, ""@""))),
      Transcription!$AO:$AO = 1
    ),
    1
  ),
  ""Not Found""
)
"),"https://drive.google.com/open?id=1-lX5x7ZsAkaX9fP7x7V7M_kbq0yQRAtb")</f>
        <v>https://drive.google.com/open?id=1-lX5x7ZsAkaX9fP7x7V7M_kbq0yQRAtb</v>
      </c>
      <c r="H40" s="246" t="str">
        <f>IFERROR(__xludf.DUMMYFUNCTION("IFERROR(
  INDEX(
    FILTER(
      Recording!$U:$U,
      TRIM(CLEAN(TEXT(Recording!$E:$E, ""@""))) = TRIM(CLEAN(TEXT($D40, ""@""))),
      Recording!$AA:$AA = 2
    ),
    1
  ),
  ""Not Found""
)
"),"Not Found")</f>
        <v>Not Found</v>
      </c>
      <c r="I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1!$E:$E"")=$D40) *
        (IMPORTRANGE(""https://docs.google.com/spreadsheets/d/161aHT6vVT3SLneTKD19N5qVWtnj_jIT8CSsOmUVKmaA/"&amp;"edit?gid=1761053510"",
          ""Haris_Form responses 1!$AQ:$AQ"")=2)
      ),
      1
    ),
    ""0""
  ),
  ""Form not found""
)
"),"Form not found")</f>
        <v>Form not found</v>
      </c>
      <c r="J40" s="247" t="str">
        <f>IFERROR(__xludf.DUMMYFUNCTION("IFERROR(
  INDEX(
    FILTER(
      Transcription!$AJ:$AJ,
      TRIM(CLEAN(TEXT(Transcription!$F:$F, ""@""))) = TRIM(CLEAN(TEXT($D40, ""@""))),
      Transcription!$AO:$AO = 2
    ),
    1
  ),
  ""Not Found""
)
"),"Not Found")</f>
        <v>Not Found</v>
      </c>
      <c r="K40" s="244" t="str">
        <f>IFERROR(__xludf.DUMMYFUNCTION("IFERROR(
  INDEX(
    FILTER(
      Recording!$U:$U,
      TRIM(CLEAN(TEXT(Recording!$E:$E, ""@""))) = TRIM(CLEAN(TEXT($D40, ""@""))),
      Recording!$AA:$AA = 3
    ),
    1
  ),
  ""Not Found""
)
"),"https://drive.google.com/open?id=1Jtet982nrjyc3_gFoXM5WqIyQ54Ehbc3")</f>
        <v>https://drive.google.com/open?id=1Jtet982nrjyc3_gFoXM5WqIyQ54Ehbc3</v>
      </c>
      <c r="L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1!$E:$E"")=$D40) *
        (IMPORTRANGE(""https://docs.google.com/spreadsheets/d/161aHT6vVT3SLneTKD19N5qVWtnj_jIT8CSsOmUVKmaA/"&amp;"edit?gid=1761053510"",
          ""Haris_Form responses 1!$AQ:$AQ"")=3)
      ),
      1
    ),
    ""0""
  ),
  ""Form not found""
)
"),"3")</f>
        <v>3</v>
      </c>
      <c r="M40" s="245" t="str">
        <f>IFERROR(__xludf.DUMMYFUNCTION("IFERROR(
  INDEX(
    FILTER(
      Transcription!$AJ:$AJ,
      TRIM(CLEAN(TEXT(Transcription!$F:$F, ""@""))) = TRIM(CLEAN(TEXT($D40, ""@""))),
      Transcription!$AO:$AO = 3
    ),
    1
  ),
  ""Not Found""
)
"),"https://drive.google.com/open?id=1nO4vLvFIMR0fJYgKOXV7gzLpN5EGO-4P")</f>
        <v>https://drive.google.com/open?id=1nO4vLvFIMR0fJYgKOXV7gzLpN5EGO-4P</v>
      </c>
      <c r="N40" s="246" t="str">
        <f>IFERROR(__xludf.DUMMYFUNCTION("IFERROR(
  INDEX(
    FILTER(
      Recording!$U:$U,
      TRIM(CLEAN(TEXT(Recording!$E:$E, ""@""))) = TRIM(CLEAN(TEXT($D40, ""@""))),
      Recording!$AA:$AA = 4
    ),
    1
  ),
  ""Not Found""
)
"),"Not Found")</f>
        <v>Not Found</v>
      </c>
      <c r="O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1!$E:$E"")=$D40) *
        (IMPORTRANGE(""https://docs.google.com/spreadsheets/d/161aHT6vVT3SLneTKD19N5qVWtnj_jIT8CSsOmUVKmaA/"&amp;"edit?gid=1761053510"",
          ""Haris_Form responses 1!$AQ:$AQ"")=4)
      ),
      1
    ),
    ""0""
  ),
  ""Form not found""
)
"),"Form not found")</f>
        <v>Form not found</v>
      </c>
      <c r="P40" s="247" t="str">
        <f>IFERROR(__xludf.DUMMYFUNCTION("IFERROR(
  INDEX(
    FILTER(
      Transcription!$AJ:$AJ,
      TRIM(CLEAN(TEXT(Transcription!$F:$F, ""@""))) = TRIM(CLEAN(TEXT($D40, ""@""))),
      Transcription!$AO:$AO = 4
    ),
    1
  ),
  ""Not Found""
)
"),"Not Found")</f>
        <v>Not Found</v>
      </c>
      <c r="Q40" s="246" t="str">
        <f>IFERROR(__xludf.DUMMYFUNCTION("IFERROR(
  INDEX(
    FILTER(
      Recording!$U:$U,
      TRIM(CLEAN(TEXT(Recording!$E:$E, ""@""))) = TRIM(CLEAN(TEXT($D40, ""@""))),
      Recording!$AA:$AA = 5
    ),
    1
  ),
  ""Not Found""
)
"),"Not Found")</f>
        <v>Not Found</v>
      </c>
      <c r="R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1!$E:$E"")=$D40) *
        (IMPORTRANGE(""https://docs.google.com/spreadsheets/d/161aHT6vVT3SLneTKD19N5qVWtnj_jIT8CSsOmUVKmaA/"&amp;"edit?gid=1761053510"",
          ""Haris_Form responses 1!$AQ:$AQ"")=5)
      ),
      1
    ),
    ""0""
  ),
  ""Form not found""
)
"),"Form not found")</f>
        <v>Form not found</v>
      </c>
      <c r="S40" s="247" t="str">
        <f>IFERROR(__xludf.DUMMYFUNCTION("IFERROR(
  INDEX(
    FILTER(
      Transcription!$AJ:$AJ,
      TRIM(CLEAN(TEXT(Transcription!$F:$F, ""@""))) = TRIM(CLEAN(TEXT($D40, ""@""))),
      Transcription!$AO:$AO = 5
    ),
    1
  ),
  ""Not Found""
)
"),"Not Found")</f>
        <v>Not Found</v>
      </c>
      <c r="T40" s="246" t="str">
        <f>IFERROR(__xludf.DUMMYFUNCTION("IFERROR(
  INDEX(
    FILTER(
      Recording!$U:$U,
      TRIM(CLEAN(TEXT(Recording!$E:$E, ""@""))) = TRIM(CLEAN(TEXT($D40, ""@""))),
      Recording!$AA:$AA = 6
    ),
    1
  ),
  ""Not Found""
)
"),"Not Found")</f>
        <v>Not Found</v>
      </c>
      <c r="U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1!$E:$E"")=$D40) *
        (IMPORTRANGE(""https://docs.google.com/spreadsheets/d/161aHT6vVT3SLneTKD19N5qVWtnj_jIT8CSsOmUVKmaA/"&amp;"edit?gid=1761053510"",
          ""Haris_Form responses 1!$AQ:$AQ"")=6)
      ),
      1
    ),
    ""0""
  ),
  ""Form not found""
)
"),"Form not found")</f>
        <v>Form not found</v>
      </c>
      <c r="V40" s="247" t="str">
        <f>IFERROR(__xludf.DUMMYFUNCTION("IFERROR(
  INDEX(
    FILTER(
      Transcription!$AJ:$AJ,
      TRIM(CLEAN(TEXT(Transcription!$F:$F, ""@""))) = TRIM(CLEAN(TEXT($D40, ""@""))),
      Transcription!$AO:$AO = 6
    ),
    1
  ),
  ""Not Found""
)
"),"Not Found")</f>
        <v>Not Found</v>
      </c>
      <c r="Z40" s="10">
        <f t="shared" si="1"/>
        <v>2</v>
      </c>
      <c r="AA40" s="10">
        <f t="shared" si="2"/>
        <v>0</v>
      </c>
    </row>
    <row r="41">
      <c r="A41" s="8" t="str">
        <f>VLOOKUP($D41,Sheet6!$B:$G,5,FALSE)</f>
        <v>Lahore</v>
      </c>
      <c r="B41" s="232" t="str">
        <f>VLOOKUP($D41,Sheet6!$B:$G,4,FALSE)</f>
        <v>Women Secular Info Share</v>
      </c>
      <c r="C41" s="8">
        <v>3.0</v>
      </c>
      <c r="D41" s="8" t="s">
        <v>2311</v>
      </c>
      <c r="E41" s="255" t="s">
        <v>4515</v>
      </c>
      <c r="F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1!$E:$E"")=$D41) *
        (IMPORTRANGE(""https://docs.google.com/spreadsheets/d/161aHT6vVT3SLneTKD19N5qVWtnj_jIT8CSsOmUVKmaA/"&amp;"edit?gid=1761053510"",
          ""Haris_Form responses 1!$AQ:$AQ"")=1)
      ),
      1
    ),
    ""0""
  ),
  ""Form not found""
)
"),"Form not found")</f>
        <v>Form not found</v>
      </c>
      <c r="G41" s="247" t="str">
        <f>IFERROR(__xludf.DUMMYFUNCTION("IFERROR(
  INDEX(
    FILTER(
      Transcription!$AJ:$AJ,
      TRIM(CLEAN(TEXT(Transcription!$F:$F, ""@""))) = TRIM(CLEAN(TEXT($D41, ""@""))),
      Transcription!$AO:$AO = 1
    ),
    1
  ),
  ""Not Found""
)
"),"Not Found")</f>
        <v>Not Found</v>
      </c>
      <c r="H41" s="244" t="str">
        <f>IFERROR(__xludf.DUMMYFUNCTION("IFERROR(
  INDEX(
    FILTER(
      Recording!$U:$U,
      TRIM(CLEAN(TEXT(Recording!$E:$E, ""@""))) = TRIM(CLEAN(TEXT($D41, ""@""))),
      Recording!$AA:$AA = 2
    ),
    1
  ),
  ""Not Found""
)
"),"https://drive.google.com/open?id=1ZzrcTeOidPtfIDnrBfHbmjIQexw5Ox7Y")</f>
        <v>https://drive.google.com/open?id=1ZzrcTeOidPtfIDnrBfHbmjIQexw5Ox7Y</v>
      </c>
      <c r="I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1!$E:$E"")=$D41) *
        (IMPORTRANGE(""https://docs.google.com/spreadsheets/d/161aHT6vVT3SLneTKD19N5qVWtnj_jIT8CSsOmUVKmaA/"&amp;"edit?gid=1761053510"",
          ""Haris_Form responses 1!$AQ:$AQ"")=2)
      ),
      1
    ),
    ""0""
  ),
  ""Form not found""
)
"),"2")</f>
        <v>2</v>
      </c>
      <c r="J41" s="245" t="str">
        <f>IFERROR(__xludf.DUMMYFUNCTION("IFERROR(
  INDEX(
    FILTER(
      Transcription!$AJ:$AJ,
      TRIM(CLEAN(TEXT(Transcription!$F:$F, ""@""))) = TRIM(CLEAN(TEXT($D41, ""@""))),
      Transcription!$AO:$AO = 2
    ),
    1
  ),
  ""Not Found""
)
"),"https://drive.google.com/open?id=1tJi5qntb5jqbIFqMp7SCpHoi5uXuPWBc")</f>
        <v>https://drive.google.com/open?id=1tJi5qntb5jqbIFqMp7SCpHoi5uXuPWBc</v>
      </c>
      <c r="K41" s="244" t="str">
        <f>IFERROR(__xludf.DUMMYFUNCTION("IFERROR(
  INDEX(
    FILTER(
      Recording!$U:$U,
      TRIM(CLEAN(TEXT(Recording!$E:$E, ""@""))) = TRIM(CLEAN(TEXT($D41, ""@""))),
      Recording!$AA:$AA = 3
    ),
    1
  ),
  ""Not Found""
)
"),"https://drive.google.com/open?id=1b4ROcWLTkFo9wz14FvoPPxYUhwwwBVdK")</f>
        <v>https://drive.google.com/open?id=1b4ROcWLTkFo9wz14FvoPPxYUhwwwBVdK</v>
      </c>
      <c r="L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1!$E:$E"")=$D41) *
        (IMPORTRANGE(""https://docs.google.com/spreadsheets/d/161aHT6vVT3SLneTKD19N5qVWtnj_jIT8CSsOmUVKmaA/"&amp;"edit?gid=1761053510"",
          ""Haris_Form responses 1!$AQ:$AQ"")=3)
      ),
      1
    ),
    ""0""
  ),
  ""Form not found""
)
"),"3")</f>
        <v>3</v>
      </c>
      <c r="M41" s="245" t="str">
        <f>IFERROR(__xludf.DUMMYFUNCTION("IFERROR(
  INDEX(
    FILTER(
      Transcription!$AJ:$AJ,
      TRIM(CLEAN(TEXT(Transcription!$F:$F, ""@""))) = TRIM(CLEAN(TEXT($D41, ""@""))),
      Transcription!$AO:$AO = 3
    ),
    1
  ),
  ""Not Found""
)
"),"https://docs.google.com/document/d/1KA2tMyHqxv6H73QYm9C6vaWmfEkyY3NB/edit?usp=drivesdk&amp;ouid=109063318554935188656&amp;rtpof=true&amp;sd=true")</f>
        <v>https://docs.google.com/document/d/1KA2tMyHqxv6H73QYm9C6vaWmfEkyY3NB/edit?usp=drivesdk&amp;ouid=109063318554935188656&amp;rtpof=true&amp;sd=true</v>
      </c>
      <c r="N41" s="244" t="str">
        <f>IFERROR(__xludf.DUMMYFUNCTION("IFERROR(
  INDEX(
    FILTER(
      Recording!$U:$U,
      TRIM(CLEAN(TEXT(Recording!$E:$E, ""@""))) = TRIM(CLEAN(TEXT($D41, ""@""))),
      Recording!$AA:$AA = 4
    ),
    1
  ),
  ""Not Found""
)
"),"https://drive.google.com/open?id=1cLw96iCvYktrXAiEVYNUGSqT0FXkul0e")</f>
        <v>https://drive.google.com/open?id=1cLw96iCvYktrXAiEVYNUGSqT0FXkul0e</v>
      </c>
      <c r="O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1!$E:$E"")=$D41) *
        (IMPORTRANGE(""https://docs.google.com/spreadsheets/d/161aHT6vVT3SLneTKD19N5qVWtnj_jIT8CSsOmUVKmaA/"&amp;"edit?gid=1761053510"",
          ""Haris_Form responses 1!$AQ:$AQ"")=4)
      ),
      1
    ),
    ""0""
  ),
  ""Form not found""
)
"),"4")</f>
        <v>4</v>
      </c>
      <c r="P41" s="245" t="str">
        <f>IFERROR(__xludf.DUMMYFUNCTION("IFERROR(
  INDEX(
    FILTER(
      Transcription!$AJ:$AJ,
      TRIM(CLEAN(TEXT(Transcription!$F:$F, ""@""))) = TRIM(CLEAN(TEXT($D41, ""@""))),
      Transcription!$AO:$AO = 4
    ),
    1
  ),
  ""Not Found""
)
"),"https://drive.google.com/open?id=1bP1qQkYb5PEmwUnxQZmkTL5UJ0F0mgUz")</f>
        <v>https://drive.google.com/open?id=1bP1qQkYb5PEmwUnxQZmkTL5UJ0F0mgUz</v>
      </c>
      <c r="Q41" s="246" t="str">
        <f>IFERROR(__xludf.DUMMYFUNCTION("IFERROR(
  INDEX(
    FILTER(
      Recording!$U:$U,
      TRIM(CLEAN(TEXT(Recording!$E:$E, ""@""))) = TRIM(CLEAN(TEXT($D41, ""@""))),
      Recording!$AA:$AA = 5
    ),
    1
  ),
  ""Not Found""
)
"),"Not Found")</f>
        <v>Not Found</v>
      </c>
      <c r="R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1!$E:$E"")=$D41) *
        (IMPORTRANGE(""https://docs.google.com/spreadsheets/d/161aHT6vVT3SLneTKD19N5qVWtnj_jIT8CSsOmUVKmaA/"&amp;"edit?gid=1761053510"",
          ""Haris_Form responses 1!$AQ:$AQ"")=5)
      ),
      1
    ),
    ""0""
  ),
  ""Form not found""
)
"),"Form not found")</f>
        <v>Form not found</v>
      </c>
      <c r="S41" s="247" t="str">
        <f>IFERROR(__xludf.DUMMYFUNCTION("IFERROR(
  INDEX(
    FILTER(
      Transcription!$AJ:$AJ,
      TRIM(CLEAN(TEXT(Transcription!$F:$F, ""@""))) = TRIM(CLEAN(TEXT($D41, ""@""))),
      Transcription!$AO:$AO = 5
    ),
    1
  ),
  ""Not Found""
)
"),"Not Found")</f>
        <v>Not Found</v>
      </c>
      <c r="T41" s="248" t="str">
        <f>IFERROR(__xludf.DUMMYFUNCTION("IFERROR(
  INDEX(
    FILTER(
      Recording!$U:$U,
      TRIM(CLEAN(TEXT(Recording!$E:$E, ""@""))) = TRIM(CLEAN(TEXT($D41, ""@""))),
      Recording!$AA:$AA = 6
    ),
    1
  ),
  ""Not Found""
)
"),"Not Found")</f>
        <v>Not Found</v>
      </c>
      <c r="U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1!$E:$E"")=$D41) *
        (IMPORTRANGE(""https://docs.google.com/spreadsheets/d/161aHT6vVT3SLneTKD19N5qVWtnj_jIT8CSsOmUVKmaA/"&amp;"edit?gid=1761053510"",
          ""Haris_Form responses 1!$AQ:$AQ"")=6)
      ),
      1
    ),
    ""0""
  ),
  ""Form not found""
)
"),"Form not found")</f>
        <v>Form not found</v>
      </c>
      <c r="V41" s="247" t="str">
        <f>IFERROR(__xludf.DUMMYFUNCTION("IFERROR(
  INDEX(
    FILTER(
      Transcription!$AJ:$AJ,
      TRIM(CLEAN(TEXT(Transcription!$F:$F, ""@""))) = TRIM(CLEAN(TEXT($D41, ""@""))),
      Transcription!$AO:$AO = 6
    ),
    1
  ),
  ""Not Found""
)
"),"Not Found")</f>
        <v>Not Found</v>
      </c>
      <c r="Z41" s="10">
        <f t="shared" si="1"/>
        <v>3</v>
      </c>
      <c r="AA41" s="10">
        <f t="shared" si="2"/>
        <v>0</v>
      </c>
    </row>
    <row r="42">
      <c r="A42" s="8" t="str">
        <f>VLOOKUP($D42,Sheet6!$B:$G,5,FALSE)</f>
        <v>Lahore</v>
      </c>
      <c r="B42" s="232" t="str">
        <f>VLOOKUP($D42,Sheet6!$B:$G,4,FALSE)</f>
        <v>Control</v>
      </c>
      <c r="C42" s="8">
        <v>2.0</v>
      </c>
      <c r="D42" s="8" t="s">
        <v>1809</v>
      </c>
      <c r="E42" s="244" t="str">
        <f>IFERROR(__xludf.DUMMYFUNCTION("IFERROR(
  INDEX(
    FILTER(
      Recording!$U:$U,
      TRIM(CLEAN(TEXT(Recording!$E:$E, ""@""))) = TRIM(CLEAN(TEXT($D42, ""@""))),
      Recording!$AA:$AA = 1
    ),
    1
  ),
  ""Not Found""
)
"),"https://drive.google.com/file/d/1linZt5zkTNX_BYSbs6uz1rqFJpZqb9fV/view?usp=drive_link")</f>
        <v>https://drive.google.com/file/d/1linZt5zkTNX_BYSbs6uz1rqFJpZqb9fV/view?usp=drive_link</v>
      </c>
      <c r="F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1!$E:$E"")=$D42) *
        (IMPORTRANGE(""https://docs.google.com/spreadsheets/d/161aHT6vVT3SLneTKD19N5qVWtnj_jIT8CSsOmUVKmaA/"&amp;"edit?gid=1761053510"",
          ""Haris_Form responses 1!$AQ:$AQ"")=1)
      ),
      1
    ),
    ""0""
  ),
  ""Form not found""
)
"),"1")</f>
        <v>1</v>
      </c>
      <c r="G42" s="245" t="str">
        <f>IFERROR(__xludf.DUMMYFUNCTION("IFERROR(
  INDEX(
    FILTER(
      Transcription!$AJ:$AJ,
      TRIM(CLEAN(TEXT(Transcription!$F:$F, ""@""))) = TRIM(CLEAN(TEXT($D42, ""@""))),
      Transcription!$AO:$AO = 1
    ),
    1
  ),
  ""Not Found""
)
"),"https://drive.google.com/open?id=1lgliwNu_DkDwTCoPSDn3wT7bkRFXTzxz")</f>
        <v>https://drive.google.com/open?id=1lgliwNu_DkDwTCoPSDn3wT7bkRFXTzxz</v>
      </c>
      <c r="H42" s="246" t="str">
        <f>IFERROR(__xludf.DUMMYFUNCTION("IFERROR(
  INDEX(
    FILTER(
      Recording!$U:$U,
      TRIM(CLEAN(TEXT(Recording!$E:$E, ""@""))) = TRIM(CLEAN(TEXT($D42, ""@""))),
      Recording!$AA:$AA = 2
    ),
    1
  ),
  ""Not Found""
)
"),"Not Found")</f>
        <v>Not Found</v>
      </c>
      <c r="I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1!$E:$E"")=$D42) *
        (IMPORTRANGE(""https://docs.google.com/spreadsheets/d/161aHT6vVT3SLneTKD19N5qVWtnj_jIT8CSsOmUVKmaA/"&amp;"edit?gid=1761053510"",
          ""Haris_Form responses 1!$AQ:$AQ"")=2)
      ),
      1
    ),
    ""0""
  ),
  ""Form not found""
)
"),"Form not found")</f>
        <v>Form not found</v>
      </c>
      <c r="J42" s="247" t="str">
        <f>IFERROR(__xludf.DUMMYFUNCTION("IFERROR(
  INDEX(
    FILTER(
      Transcription!$AJ:$AJ,
      TRIM(CLEAN(TEXT(Transcription!$F:$F, ""@""))) = TRIM(CLEAN(TEXT($D42, ""@""))),
      Transcription!$AO:$AO = 2
    ),
    1
  ),
  ""Not Found""
)
"),"Not Found")</f>
        <v>Not Found</v>
      </c>
      <c r="K42" s="244" t="str">
        <f>IFERROR(__xludf.DUMMYFUNCTION("IFERROR(
  INDEX(
    FILTER(
      Recording!$U:$U,
      TRIM(CLEAN(TEXT(Recording!$E:$E, ""@""))) = TRIM(CLEAN(TEXT($D42, ""@""))),
      Recording!$AA:$AA = 3
    ),
    1
  ),
  ""Not Found""
)
"),"https://drive.google.com/open?id=1HW9q0BtiI_cLBRHkdwpteSFwDgrljlAN")</f>
        <v>https://drive.google.com/open?id=1HW9q0BtiI_cLBRHkdwpteSFwDgrljlAN</v>
      </c>
      <c r="L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1!$E:$E"")=$D42) *
        (IMPORTRANGE(""https://docs.google.com/spreadsheets/d/161aHT6vVT3SLneTKD19N5qVWtnj_jIT8CSsOmUVKmaA/"&amp;"edit?gid=1761053510"",
          ""Haris_Form responses 1!$AQ:$AQ"")=3)
      ),
      1
    ),
    ""0""
  ),
  ""Form not found""
)
"),"3")</f>
        <v>3</v>
      </c>
      <c r="M42" s="245" t="str">
        <f>IFERROR(__xludf.DUMMYFUNCTION("IFERROR(
  INDEX(
    FILTER(
      Transcription!$AJ:$AJ,
      TRIM(CLEAN(TEXT(Transcription!$F:$F, ""@""))) = TRIM(CLEAN(TEXT($D42, ""@""))),
      Transcription!$AO:$AO = 3
    ),
    1
  ),
  ""Not Found""
)
"),"https://drive.google.com/open?id=153DedlwyZSZk_XNECoggINfCeN718EyU")</f>
        <v>https://drive.google.com/open?id=153DedlwyZSZk_XNECoggINfCeN718EyU</v>
      </c>
      <c r="N42" s="246" t="str">
        <f>IFERROR(__xludf.DUMMYFUNCTION("IFERROR(
  INDEX(
    FILTER(
      Recording!$U:$U,
      TRIM(CLEAN(TEXT(Recording!$E:$E, ""@""))) = TRIM(CLEAN(TEXT($D42, ""@""))),
      Recording!$AA:$AA = 4
    ),
    1
  ),
  ""Not Found""
)
"),"Not Found")</f>
        <v>Not Found</v>
      </c>
      <c r="O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1!$E:$E"")=$D42) *
        (IMPORTRANGE(""https://docs.google.com/spreadsheets/d/161aHT6vVT3SLneTKD19N5qVWtnj_jIT8CSsOmUVKmaA/"&amp;"edit?gid=1761053510"",
          ""Haris_Form responses 1!$AQ:$AQ"")=4)
      ),
      1
    ),
    ""0""
  ),
  ""Form not found""
)
"),"Form not found")</f>
        <v>Form not found</v>
      </c>
      <c r="P42" s="247" t="str">
        <f>IFERROR(__xludf.DUMMYFUNCTION("IFERROR(
  INDEX(
    FILTER(
      Transcription!$AJ:$AJ,
      TRIM(CLEAN(TEXT(Transcription!$F:$F, ""@""))) = TRIM(CLEAN(TEXT($D42, ""@""))),
      Transcription!$AO:$AO = 4
    ),
    1
  ),
  ""Not Found""
)
"),"Not Found")</f>
        <v>Not Found</v>
      </c>
      <c r="Q42" s="246" t="str">
        <f>IFERROR(__xludf.DUMMYFUNCTION("IFERROR(
  INDEX(
    FILTER(
      Recording!$U:$U,
      TRIM(CLEAN(TEXT(Recording!$E:$E, ""@""))) = TRIM(CLEAN(TEXT($D42, ""@""))),
      Recording!$AA:$AA = 5
    ),
    1
  ),
  ""Not Found""
)
"),"Not Found")</f>
        <v>Not Found</v>
      </c>
      <c r="R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1!$E:$E"")=$D42) *
        (IMPORTRANGE(""https://docs.google.com/spreadsheets/d/161aHT6vVT3SLneTKD19N5qVWtnj_jIT8CSsOmUVKmaA/"&amp;"edit?gid=1761053510"",
          ""Haris_Form responses 1!$AQ:$AQ"")=5)
      ),
      1
    ),
    ""0""
  ),
  ""Form not found""
)
"),"Form not found")</f>
        <v>Form not found</v>
      </c>
      <c r="S42" s="247" t="str">
        <f>IFERROR(__xludf.DUMMYFUNCTION("IFERROR(
  INDEX(
    FILTER(
      Transcription!$AJ:$AJ,
      TRIM(CLEAN(TEXT(Transcription!$F:$F, ""@""))) = TRIM(CLEAN(TEXT($D42, ""@""))),
      Transcription!$AO:$AO = 5
    ),
    1
  ),
  ""Not Found""
)
"),"Not Found")</f>
        <v>Not Found</v>
      </c>
      <c r="T42" s="246" t="str">
        <f>IFERROR(__xludf.DUMMYFUNCTION("IFERROR(
  INDEX(
    FILTER(
      Recording!$U:$U,
      TRIM(CLEAN(TEXT(Recording!$E:$E, ""@""))) = TRIM(CLEAN(TEXT($D42, ""@""))),
      Recording!$AA:$AA = 6
    ),
    1
  ),
  ""Not Found""
)
"),"Not Found")</f>
        <v>Not Found</v>
      </c>
      <c r="U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1!$E:$E"")=$D42) *
        (IMPORTRANGE(""https://docs.google.com/spreadsheets/d/161aHT6vVT3SLneTKD19N5qVWtnj_jIT8CSsOmUVKmaA/"&amp;"edit?gid=1761053510"",
          ""Haris_Form responses 1!$AQ:$AQ"")=6)
      ),
      1
    ),
    ""0""
  ),
  ""Form not found""
)
"),"Form not found")</f>
        <v>Form not found</v>
      </c>
      <c r="V42" s="247" t="str">
        <f>IFERROR(__xludf.DUMMYFUNCTION("IFERROR(
  INDEX(
    FILTER(
      Transcription!$AJ:$AJ,
      TRIM(CLEAN(TEXT(Transcription!$F:$F, ""@""))) = TRIM(CLEAN(TEXT($D42, ""@""))),
      Transcription!$AO:$AO = 6
    ),
    1
  ),
  ""Not Found""
)
"),"Not Found")</f>
        <v>Not Found</v>
      </c>
      <c r="Z42" s="10">
        <f t="shared" si="1"/>
        <v>2</v>
      </c>
      <c r="AA42" s="10">
        <f t="shared" si="2"/>
        <v>0</v>
      </c>
    </row>
    <row r="43">
      <c r="A43" s="8" t="str">
        <f>VLOOKUP($D43,Sheet6!$B:$G,5,FALSE)</f>
        <v>Lahore</v>
      </c>
      <c r="B43" s="232" t="str">
        <f>VLOOKUP($D43,Sheet6!$B:$G,4,FALSE)</f>
        <v>Control</v>
      </c>
      <c r="C43" s="8">
        <v>2.0</v>
      </c>
      <c r="D43" s="8" t="s">
        <v>1346</v>
      </c>
      <c r="E43" s="244" t="str">
        <f>IFERROR(__xludf.DUMMYFUNCTION("IFERROR(
  INDEX(
    FILTER(
      Recording!$U:$U,
      TRIM(CLEAN(TEXT(Recording!$E:$E, ""@""))) = TRIM(CLEAN(TEXT($D43, ""@""))),
      Recording!$AA:$AA = 1
    ),
    1
  ),
  ""Not Found""
)
"),"https://drive.google.com/open?id=12vsiCJ7XNWBQwEpOeF4JSoa2IAohh1AB")</f>
        <v>https://drive.google.com/open?id=12vsiCJ7XNWBQwEpOeF4JSoa2IAohh1AB</v>
      </c>
      <c r="F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1!$E:$E"")=$D43) *
        (IMPORTRANGE(""https://docs.google.com/spreadsheets/d/161aHT6vVT3SLneTKD19N5qVWtnj_jIT8CSsOmUVKmaA/"&amp;"edit?gid=1761053510"",
          ""Haris_Form responses 1!$AQ:$AQ"")=1)
      ),
      1
    ),
    ""0""
  ),
  ""Form not found""
)
"),"1")</f>
        <v>1</v>
      </c>
      <c r="G43" s="245" t="str">
        <f>IFERROR(__xludf.DUMMYFUNCTION("IFERROR(
  INDEX(
    FILTER(
      Transcription!$AJ:$AJ,
      TRIM(CLEAN(TEXT(Transcription!$F:$F, ""@""))) = TRIM(CLEAN(TEXT($D43, ""@""))),
      Transcription!$AO:$AO = 1
    ),
    1
  ),
  ""Not Found""
)
"),"https://drive.google.com/open?id=19zU4n52kLeSzwrXTxg7jsVYKNybQhKCK")</f>
        <v>https://drive.google.com/open?id=19zU4n52kLeSzwrXTxg7jsVYKNybQhKCK</v>
      </c>
      <c r="H43" s="246" t="str">
        <f>IFERROR(__xludf.DUMMYFUNCTION("IFERROR(
  INDEX(
    FILTER(
      Recording!$U:$U,
      TRIM(CLEAN(TEXT(Recording!$E:$E, ""@""))) = TRIM(CLEAN(TEXT($D43, ""@""))),
      Recording!$AA:$AA = 2
    ),
    1
  ),
  ""Not Found""
)
"),"Not Found")</f>
        <v>Not Found</v>
      </c>
      <c r="I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1!$E:$E"")=$D43) *
        (IMPORTRANGE(""https://docs.google.com/spreadsheets/d/161aHT6vVT3SLneTKD19N5qVWtnj_jIT8CSsOmUVKmaA/"&amp;"edit?gid=1761053510"",
          ""Haris_Form responses 1!$AQ:$AQ"")=2)
      ),
      1
    ),
    ""0""
  ),
  ""Form not found""
)
"),"Form not found")</f>
        <v>Form not found</v>
      </c>
      <c r="J43" s="247" t="str">
        <f>IFERROR(__xludf.DUMMYFUNCTION("IFERROR(
  INDEX(
    FILTER(
      Transcription!$AJ:$AJ,
      TRIM(CLEAN(TEXT(Transcription!$F:$F, ""@""))) = TRIM(CLEAN(TEXT($D43, ""@""))),
      Transcription!$AO:$AO = 2
    ),
    1
  ),
  ""Not Found""
)
"),"Not Found")</f>
        <v>Not Found</v>
      </c>
      <c r="K43" s="246" t="str">
        <f>IFERROR(__xludf.DUMMYFUNCTION("IFERROR(
  INDEX(
    FILTER(
      Recording!$U:$U,
      TRIM(CLEAN(TEXT(Recording!$E:$E, ""@""))) = TRIM(CLEAN(TEXT($D43, ""@""))),
      Recording!$AA:$AA = 3
    ),
    1
  ),
  ""Not Found""
)
"),"https://drive.google.com/open?id=1Vf3E66eV1dwir-8erQOEouErFxbdrsux, https://drive.google.com/open?id=1jxSbFG8UaR2Z57yNr0NMQDGJfJ5fQIso")</f>
        <v>https://drive.google.com/open?id=1Vf3E66eV1dwir-8erQOEouErFxbdrsux, https://drive.google.com/open?id=1jxSbFG8UaR2Z57yNr0NMQDGJfJ5fQIso</v>
      </c>
      <c r="L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1!$E:$E"")=$D43) *
        (IMPORTRANGE(""https://docs.google.com/spreadsheets/d/161aHT6vVT3SLneTKD19N5qVWtnj_jIT8CSsOmUVKmaA/"&amp;"edit?gid=1761053510"",
          ""Haris_Form responses 1!$AQ:$AQ"")=3)
      ),
      1
    ),
    ""0""
  ),
  ""Form not found""
)
"),"3")</f>
        <v>3</v>
      </c>
      <c r="M43" s="245" t="str">
        <f>IFERROR(__xludf.DUMMYFUNCTION("IFERROR(
  INDEX(
    FILTER(
      Transcription!$AJ:$AJ,
      TRIM(CLEAN(TEXT(Transcription!$F:$F, ""@""))) = TRIM(CLEAN(TEXT($D43, ""@""))),
      Transcription!$AO:$AO = 3
    ),
    1
  ),
  ""Not Found""
)
"),"https://drive.google.com/open?id=1MrJEylDKFSjTsacre8Zkwpj0tGoBRiAu")</f>
        <v>https://drive.google.com/open?id=1MrJEylDKFSjTsacre8Zkwpj0tGoBRiAu</v>
      </c>
      <c r="N43" s="246" t="str">
        <f>IFERROR(__xludf.DUMMYFUNCTION("IFERROR(
  INDEX(
    FILTER(
      Recording!$U:$U,
      TRIM(CLEAN(TEXT(Recording!$E:$E, ""@""))) = TRIM(CLEAN(TEXT($D43, ""@""))),
      Recording!$AA:$AA = 4
    ),
    1
  ),
  ""Not Found""
)
"),"Not Found")</f>
        <v>Not Found</v>
      </c>
      <c r="O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1!$E:$E"")=$D43) *
        (IMPORTRANGE(""https://docs.google.com/spreadsheets/d/161aHT6vVT3SLneTKD19N5qVWtnj_jIT8CSsOmUVKmaA/"&amp;"edit?gid=1761053510"",
          ""Haris_Form responses 1!$AQ:$AQ"")=4)
      ),
      1
    ),
    ""0""
  ),
  ""Form not found""
)
"),"Form not found")</f>
        <v>Form not found</v>
      </c>
      <c r="P43" s="247" t="str">
        <f>IFERROR(__xludf.DUMMYFUNCTION("IFERROR(
  INDEX(
    FILTER(
      Transcription!$AJ:$AJ,
      TRIM(CLEAN(TEXT(Transcription!$F:$F, ""@""))) = TRIM(CLEAN(TEXT($D43, ""@""))),
      Transcription!$AO:$AO = 4
    ),
    1
  ),
  ""Not Found""
)
"),"Not Found")</f>
        <v>Not Found</v>
      </c>
      <c r="Q43" s="246" t="str">
        <f>IFERROR(__xludf.DUMMYFUNCTION("IFERROR(
  INDEX(
    FILTER(
      Recording!$U:$U,
      TRIM(CLEAN(TEXT(Recording!$E:$E, ""@""))) = TRIM(CLEAN(TEXT($D43, ""@""))),
      Recording!$AA:$AA = 5
    ),
    1
  ),
  ""Not Found""
)
"),"Not Found")</f>
        <v>Not Found</v>
      </c>
      <c r="R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1!$E:$E"")=$D43) *
        (IMPORTRANGE(""https://docs.google.com/spreadsheets/d/161aHT6vVT3SLneTKD19N5qVWtnj_jIT8CSsOmUVKmaA/"&amp;"edit?gid=1761053510"",
          ""Haris_Form responses 1!$AQ:$AQ"")=5)
      ),
      1
    ),
    ""0""
  ),
  ""Form not found""
)
"),"Form not found")</f>
        <v>Form not found</v>
      </c>
      <c r="S43" s="247" t="str">
        <f>IFERROR(__xludf.DUMMYFUNCTION("IFERROR(
  INDEX(
    FILTER(
      Transcription!$AJ:$AJ,
      TRIM(CLEAN(TEXT(Transcription!$F:$F, ""@""))) = TRIM(CLEAN(TEXT($D43, ""@""))),
      Transcription!$AO:$AO = 5
    ),
    1
  ),
  ""Not Found""
)
"),"Not Found")</f>
        <v>Not Found</v>
      </c>
      <c r="T43" s="246" t="str">
        <f>IFERROR(__xludf.DUMMYFUNCTION("IFERROR(
  INDEX(
    FILTER(
      Recording!$U:$U,
      TRIM(CLEAN(TEXT(Recording!$E:$E, ""@""))) = TRIM(CLEAN(TEXT($D43, ""@""))),
      Recording!$AA:$AA = 6
    ),
    1
  ),
  ""Not Found""
)
"),"Not Found")</f>
        <v>Not Found</v>
      </c>
      <c r="U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1!$E:$E"")=$D43) *
        (IMPORTRANGE(""https://docs.google.com/spreadsheets/d/161aHT6vVT3SLneTKD19N5qVWtnj_jIT8CSsOmUVKmaA/"&amp;"edit?gid=1761053510"",
          ""Haris_Form responses 1!$AQ:$AQ"")=6)
      ),
      1
    ),
    ""0""
  ),
  ""Form not found""
)
"),"Form not found")</f>
        <v>Form not found</v>
      </c>
      <c r="V43" s="247" t="str">
        <f>IFERROR(__xludf.DUMMYFUNCTION("IFERROR(
  INDEX(
    FILTER(
      Transcription!$AJ:$AJ,
      TRIM(CLEAN(TEXT(Transcription!$F:$F, ""@""))) = TRIM(CLEAN(TEXT($D43, ""@""))),
      Transcription!$AO:$AO = 6
    ),
    1
  ),
  ""Not Found""
)
"),"Not Found")</f>
        <v>Not Found</v>
      </c>
      <c r="Z43" s="10">
        <f t="shared" si="1"/>
        <v>2</v>
      </c>
      <c r="AA43" s="10">
        <f t="shared" si="2"/>
        <v>0</v>
      </c>
    </row>
    <row r="44">
      <c r="A44" s="8" t="str">
        <f>VLOOKUP($D44,Sheet6!$B:$G,5,FALSE)</f>
        <v>Lahore</v>
      </c>
      <c r="B44" s="232" t="str">
        <f>VLOOKUP($D44,Sheet6!$B:$G,4,FALSE)</f>
        <v>Community Religious No Info Share</v>
      </c>
      <c r="C44" s="8">
        <v>4.0</v>
      </c>
      <c r="D44" s="8" t="s">
        <v>1461</v>
      </c>
      <c r="E44" s="244" t="str">
        <f>IFERROR(__xludf.DUMMYFUNCTION("IFERROR(
  INDEX(
    FILTER(
      Recording!$U:$U,
      TRIM(CLEAN(TEXT(Recording!$E:$E, ""@""))) = TRIM(CLEAN(TEXT($D44, ""@""))),
      Recording!$AA:$AA = 1
    ),
    1
  ),
  ""Not Found""
)
"),"https://drive.google.com/open?id=1OqbJFz-b6N44O91q7bIxAEuEeAe_0mKh")</f>
        <v>https://drive.google.com/open?id=1OqbJFz-b6N44O91q7bIxAEuEeAe_0mKh</v>
      </c>
      <c r="F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1!$E:$E"")=$D44) *
        (IMPORTRANGE(""https://docs.google.com/spreadsheets/d/161aHT6vVT3SLneTKD19N5qVWtnj_jIT8CSsOmUVKmaA/"&amp;"edit?gid=1761053510"",
          ""Haris_Form responses 1!$AQ:$AQ"")=1)
      ),
      1
    ),
    ""0""
  ),
  ""Form not found""
)
"),"1")</f>
        <v>1</v>
      </c>
      <c r="G44" s="245" t="str">
        <f>IFERROR(__xludf.DUMMYFUNCTION("IFERROR(
  INDEX(
    FILTER(
      Transcription!$AJ:$AJ,
      TRIM(CLEAN(TEXT(Transcription!$F:$F, ""@""))) = TRIM(CLEAN(TEXT($D44, ""@""))),
      Transcription!$AO:$AO = 1
    ),
    1
  ),
  ""Not Found""
)
"),"https://drive.google.com/open?id=14CRaZReg7B0ONCigQGUBjg9U-fHNCBhA")</f>
        <v>https://drive.google.com/open?id=14CRaZReg7B0ONCigQGUBjg9U-fHNCBhA</v>
      </c>
      <c r="H44" s="244" t="str">
        <f>IFERROR(__xludf.DUMMYFUNCTION("IFERROR(
  INDEX(
    FILTER(
      Recording!$U:$U,
      TRIM(CLEAN(TEXT(Recording!$E:$E, ""@""))) = TRIM(CLEAN(TEXT($D44, ""@""))),
      Recording!$AA:$AA = 2
    ),
    1
  ),
  ""Not Found""
)
"),"https://drive.google.com/open?id=1EVoQyHNuBQMcNaHDQL2sLlQ1UFY2rA-N, https://drive.google.com/open?id=1EPAWYm6_De3_c7sAfWjkWXHuOrJK5xz7")</f>
        <v>https://drive.google.com/open?id=1EVoQyHNuBQMcNaHDQL2sLlQ1UFY2rA-N, https://drive.google.com/open?id=1EPAWYm6_De3_c7sAfWjkWXHuOrJK5xz7</v>
      </c>
      <c r="I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1!$E:$E"")=$D44) *
        (IMPORTRANGE(""https://docs.google.com/spreadsheets/d/161aHT6vVT3SLneTKD19N5qVWtnj_jIT8CSsOmUVKmaA/"&amp;"edit?gid=1761053510"",
          ""Haris_Form responses 1!$AQ:$AQ"")=2)
      ),
      1
    ),
    ""0""
  ),
  ""Form not found""
)
"),"2")</f>
        <v>2</v>
      </c>
      <c r="J44" s="245" t="str">
        <f>IFERROR(__xludf.DUMMYFUNCTION("IFERROR(
  INDEX(
    FILTER(
      Transcription!$AJ:$AJ,
      TRIM(CLEAN(TEXT(Transcription!$F:$F, ""@""))) = TRIM(CLEAN(TEXT($D44, ""@""))),
      Transcription!$AO:$AO = 2
    ),
    1
  ),
  ""Not Found""
)
"),"https://drive.google.com/open?id=1_lp0GhAoS4v1qS108R77TArEbAHLm1RJ")</f>
        <v>https://drive.google.com/open?id=1_lp0GhAoS4v1qS108R77TArEbAHLm1RJ</v>
      </c>
      <c r="K44" s="244" t="str">
        <f>IFERROR(__xludf.DUMMYFUNCTION("IFERROR(
  INDEX(
    FILTER(
      Recording!$U:$U,
      TRIM(CLEAN(TEXT(Recording!$E:$E, ""@""))) = TRIM(CLEAN(TEXT($D44, ""@""))),
      Recording!$AA:$AA = 3
    ),
    1
  ),
  ""Not Found""
)
"),"https://drive.google.com/open?id=17Omk1xU_6g4J2WKpyLrIMEAljHH-zjUr")</f>
        <v>https://drive.google.com/open?id=17Omk1xU_6g4J2WKpyLrIMEAljHH-zjUr</v>
      </c>
      <c r="L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1!$E:$E"")=$D44) *
        (IMPORTRANGE(""https://docs.google.com/spreadsheets/d/161aHT6vVT3SLneTKD19N5qVWtnj_jIT8CSsOmUVKmaA/"&amp;"edit?gid=1761053510"",
          ""Haris_Form responses 1!$AQ:$AQ"")=3)
      ),
      1
    ),
    ""0""
  ),
  ""Form not found""
)
"),"3")</f>
        <v>3</v>
      </c>
      <c r="M44" s="245" t="str">
        <f>IFERROR(__xludf.DUMMYFUNCTION("IFERROR(
  INDEX(
    FILTER(
      Transcription!$AJ:$AJ,
      TRIM(CLEAN(TEXT(Transcription!$F:$F, ""@""))) = TRIM(CLEAN(TEXT($D44, ""@""))),
      Transcription!$AO:$AO = 3
    ),
    1
  ),
  ""Not Found""
)
"),"https://drive.google.com/open?id=1elQZA4uP3z1Vuvtu8xVO3anQ1nxvk8eq")</f>
        <v>https://drive.google.com/open?id=1elQZA4uP3z1Vuvtu8xVO3anQ1nxvk8eq</v>
      </c>
      <c r="N44" s="244" t="str">
        <f>IFERROR(__xludf.DUMMYFUNCTION("IFERROR(
  INDEX(
    FILTER(
      Recording!$U:$U,
      TRIM(CLEAN(TEXT(Recording!$E:$E, ""@""))) = TRIM(CLEAN(TEXT($D44, ""@""))),
      Recording!$AA:$AA = 4
    ),
    1
  ),
  ""Not Found""
)
"),"https://drive.google.com/open?id=1q0pdsVdKS5CmiD_IdmjItf1JSpuRlYRr")</f>
        <v>https://drive.google.com/open?id=1q0pdsVdKS5CmiD_IdmjItf1JSpuRlYRr</v>
      </c>
      <c r="O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1!$E:$E"")=$D44) *
        (IMPORTRANGE(""https://docs.google.com/spreadsheets/d/161aHT6vVT3SLneTKD19N5qVWtnj_jIT8CSsOmUVKmaA/"&amp;"edit?gid=1761053510"",
          ""Haris_Form responses 1!$AQ:$AQ"")=4)
      ),
      1
    ),
    ""0""
  ),
  ""Form not found""
)
"),"4")</f>
        <v>4</v>
      </c>
      <c r="P44" s="245" t="str">
        <f>IFERROR(__xludf.DUMMYFUNCTION("IFERROR(
  INDEX(
    FILTER(
      Transcription!$AJ:$AJ,
      TRIM(CLEAN(TEXT(Transcription!$F:$F, ""@""))) = TRIM(CLEAN(TEXT($D44, ""@""))),
      Transcription!$AO:$AO = 4
    ),
    1
  ),
  ""Not Found""
)
"),"https://drive.google.com/open?id=1Jt7NvwRUl4sGdEC4X3Mb-sJc2E-cZ1hw")</f>
        <v>https://drive.google.com/open?id=1Jt7NvwRUl4sGdEC4X3Mb-sJc2E-cZ1hw</v>
      </c>
      <c r="Q44" s="246" t="str">
        <f>IFERROR(__xludf.DUMMYFUNCTION("IFERROR(
  INDEX(
    FILTER(
      Recording!$U:$U,
      TRIM(CLEAN(TEXT(Recording!$E:$E, ""@""))) = TRIM(CLEAN(TEXT($D44, ""@""))),
      Recording!$AA:$AA = 5
    ),
    1
  ),
  ""Not Found""
)
"),"Not Found")</f>
        <v>Not Found</v>
      </c>
      <c r="R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1!$E:$E"")=$D44) *
        (IMPORTRANGE(""https://docs.google.com/spreadsheets/d/161aHT6vVT3SLneTKD19N5qVWtnj_jIT8CSsOmUVKmaA/"&amp;"edit?gid=1761053510"",
          ""Haris_Form responses 1!$AQ:$AQ"")=5)
      ),
      1
    ),
    ""0""
  ),
  ""Form not found""
)
"),"Form not found")</f>
        <v>Form not found</v>
      </c>
      <c r="S44" s="247" t="str">
        <f>IFERROR(__xludf.DUMMYFUNCTION("IFERROR(
  INDEX(
    FILTER(
      Transcription!$AJ:$AJ,
      TRIM(CLEAN(TEXT(Transcription!$F:$F, ""@""))) = TRIM(CLEAN(TEXT($D44, ""@""))),
      Transcription!$AO:$AO = 5
    ),
    1
  ),
  ""Not Found""
)
"),"Not Found")</f>
        <v>Not Found</v>
      </c>
      <c r="T44" s="248" t="str">
        <f>IFERROR(__xludf.DUMMYFUNCTION("IFERROR(
  INDEX(
    FILTER(
      Recording!$U:$U,
      TRIM(CLEAN(TEXT(Recording!$E:$E, ""@""))) = TRIM(CLEAN(TEXT($D44, ""@""))),
      Recording!$AA:$AA = 6
    ),
    1
  ),
  ""Not Found""
)
"),"Not Found")</f>
        <v>Not Found</v>
      </c>
      <c r="U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1!$E:$E"")=$D44) *
        (IMPORTRANGE(""https://docs.google.com/spreadsheets/d/161aHT6vVT3SLneTKD19N5qVWtnj_jIT8CSsOmUVKmaA/"&amp;"edit?gid=1761053510"",
          ""Haris_Form responses 1!$AQ:$AQ"")=6)
      ),
      1
    ),
    ""0""
  ),
  ""Form not found""
)
"),"Form not found")</f>
        <v>Form not found</v>
      </c>
      <c r="V44" s="247" t="str">
        <f>IFERROR(__xludf.DUMMYFUNCTION("IFERROR(
  INDEX(
    FILTER(
      Transcription!$AJ:$AJ,
      TRIM(CLEAN(TEXT(Transcription!$F:$F, ""@""))) = TRIM(CLEAN(TEXT($D44, ""@""))),
      Transcription!$AO:$AO = 6
    ),
    1
  ),
  ""Not Found""
)
"),"Not Found")</f>
        <v>Not Found</v>
      </c>
      <c r="X44" s="250" t="s">
        <v>4521</v>
      </c>
      <c r="Z44" s="10">
        <f t="shared" si="1"/>
        <v>4</v>
      </c>
      <c r="AA44" s="10">
        <f t="shared" si="2"/>
        <v>0</v>
      </c>
    </row>
    <row r="45">
      <c r="A45" s="8" t="str">
        <f>VLOOKUP($D45,Sheet6!$B:$G,5,FALSE)</f>
        <v>Lahore</v>
      </c>
      <c r="B45" s="232" t="str">
        <f>VLOOKUP($D45,Sheet6!$B:$G,4,FALSE)</f>
        <v>Community Religious No Info Share</v>
      </c>
      <c r="C45" s="8">
        <v>4.0</v>
      </c>
      <c r="D45" s="8" t="s">
        <v>4522</v>
      </c>
      <c r="E4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TRIM(CLEAN(TEXT($D45, ""@""))),
      IMPORTRANGE(""https://docs.google.com/spreadsheets/d/1SnQ_YxUmBUYKsKc82GyPP"&amp;"ovLO-EPrfZxsJ0V0UbhezI/edit?gid=590869320#gid=590869320"", ""Form responses 1!$AV:$AV"") = 1
    ),
    1
  ),
  ""Not Found""
)
"),"https://drive.google.com/open?id=13h1tCoNige3OfFolXUEVxscEwwG-KsUE")</f>
        <v>https://drive.google.com/open?id=13h1tCoNige3OfFolXUEVxscEwwG-KsUE</v>
      </c>
      <c r="F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1!$E:$E"")=$D45) *
        (IMPORTRANGE(""https://docs.google.com/spreadsheets/d/161aHT6vVT3SLneTKD19N5qVWtnj_jIT8CSsOmUVKmaA/"&amp;"edit?gid=1761053510"",
          ""Haris_Form responses 1!$AQ:$AQ"")=1)
      ),
      1
    ),
    ""0""
  ),
  ""Form not found""
)
"),"1")</f>
        <v>1</v>
      </c>
      <c r="G45" s="245" t="str">
        <f>IFERROR(__xludf.DUMMYFUNCTION("IFERROR(
  INDEX(
    FILTER(
      Transcription!$AJ:$AJ,
      TRIM(CLEAN(TEXT(Transcription!$F:$F, ""@""))) = TRIM(CLEAN(TEXT($D45, ""@""))),
      Transcription!$AO:$AO = 1
    ),
    1
  ),
  ""Not Found""
)
"),"https://drive.google.com/open?id=15WbhlARN4Y3XFA7StPTASakDWlk0VyEl")</f>
        <v>https://drive.google.com/open?id=15WbhlARN4Y3XFA7StPTASakDWlk0VyEl</v>
      </c>
      <c r="H4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TRIM(CLEAN(TEXT($D45, ""@""))),
      IMPORTRANGE(""https://docs.google.com/spreadsheets/d/1SnQ_YxUmBUYKsKc82GyPP"&amp;"ovLO-EPrfZxsJ0V0UbhezI/edit?gid=590869320#gid=590869320"", ""Form responses 1!$AV:$AV"") = 2
    ),
    1
  ),
  ""Not Found""
)
"),"https://drive.google.com/open?id=1CpApQO9KEI7-Ha6NSJovw1ClU57zdGQZ")</f>
        <v>https://drive.google.com/open?id=1CpApQO9KEI7-Ha6NSJovw1ClU57zdGQZ</v>
      </c>
      <c r="I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1!$E:$E"")=$D45) *
        (IMPORTRANGE(""https://docs.google.com/spreadsheets/d/161aHT6vVT3SLneTKD19N5qVWtnj_jIT8CSsOmUVKmaA/"&amp;"edit?gid=1761053510"",
          ""Haris_Form responses 1!$AQ:$AQ"")=2)
      ),
      1
    ),
    ""0""
  ),
  ""Form not found""
)
"),"2")</f>
        <v>2</v>
      </c>
      <c r="J45" s="245" t="str">
        <f>IFERROR(__xludf.DUMMYFUNCTION("IFERROR(
  INDEX(
    FILTER(
      Transcription!$AJ:$AJ,
      TRIM(CLEAN(TEXT(Transcription!$F:$F, ""@""))) = TRIM(CLEAN(TEXT($D45, ""@""))),
      Transcription!$AO:$AO = 2
    ),
    1
  ),
  ""Not Found""
)
"),"https://drive.google.com/open?id=1HENc2nTnl-UUtKcSR-pbTAR_1cRa6dGJ")</f>
        <v>https://drive.google.com/open?id=1HENc2nTnl-UUtKcSR-pbTAR_1cRa6dGJ</v>
      </c>
      <c r="K4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TRIM(CLEAN(TEXT($D45, ""@""))),
      IMPORTRANGE(""https://docs.google.com/spreadsheets/d/1SnQ_YxUmBUYKsKc82GyPP"&amp;"ovLO-EPrfZxsJ0V0UbhezI/edit?gid=590869320#gid=590869320"", ""Form responses 1!$AV:$AV"") = 3
    ),
    1
  ),
  ""Not Found""
)
"),"https://drive.google.com/open?id=14QAcZ3_TFLA3gF-9eoV1NvM0VHfrYKtV")</f>
        <v>https://drive.google.com/open?id=14QAcZ3_TFLA3gF-9eoV1NvM0VHfrYKtV</v>
      </c>
      <c r="L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1!$E:$E"")=$D45) *
        (IMPORTRANGE(""https://docs.google.com/spreadsheets/d/161aHT6vVT3SLneTKD19N5qVWtnj_jIT8CSsOmUVKmaA/"&amp;"edit?gid=1761053510"",
          ""Haris_Form responses 1!$AQ:$AQ"")=3)
      ),
      1
    ),
    ""0""
  ),
  ""Form not found""
)
"),"3")</f>
        <v>3</v>
      </c>
      <c r="M45" s="245" t="str">
        <f>IFERROR(__xludf.DUMMYFUNCTION("IFERROR(
  INDEX(
    FILTER(
      Transcription!$AJ:$AJ,
      TRIM(CLEAN(TEXT(Transcription!$F:$F, ""@""))) = TRIM(CLEAN(TEXT($D45, ""@""))),
      Transcription!$AO:$AO = 3
    ),
    1
  ),
  ""Not Found""
)
"),"https://drive.google.com/open?id=1jJTqMTPKCyYHLXz17UdqgOn7EabV5YQZ")</f>
        <v>https://drive.google.com/open?id=1jJTqMTPKCyYHLXz17UdqgOn7EabV5YQZ</v>
      </c>
      <c r="N4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TRIM(CLEAN(TEXT($D45, ""@""))),
      IMPORTRANGE(""https://docs.google.com/spreadsheets/d/1SnQ_YxUmBUYKsKc82GyPP"&amp;"ovLO-EPrfZxsJ0V0UbhezI/edit?gid=590869320#gid=590869320"", ""Form responses 1!$AV:$AV"") = 4
    ),
    1
  ),
  ""Not Found""
)
"),"https://drive.google.com/open?id=1ykS-HZnFyDnsk746xm0NyhbtbPNKfyPN")</f>
        <v>https://drive.google.com/open?id=1ykS-HZnFyDnsk746xm0NyhbtbPNKfyPN</v>
      </c>
      <c r="O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1!$E:$E"")=$D45) *
        (IMPORTRANGE(""https://docs.google.com/spreadsheets/d/161aHT6vVT3SLneTKD19N5qVWtnj_jIT8CSsOmUVKmaA/"&amp;"edit?gid=1761053510"",
          ""Haris_Form responses 1!$AQ:$AQ"")=4)
      ),
      1
    ),
    ""0""
  ),
  ""Form not found""
)
"),"4")</f>
        <v>4</v>
      </c>
      <c r="P45" s="245" t="str">
        <f>IFERROR(__xludf.DUMMYFUNCTION("IFERROR(
  INDEX(
    FILTER(
      Transcription!$AJ:$AJ,
      TRIM(CLEAN(TEXT(Transcription!$F:$F, ""@""))) = TRIM(CLEAN(TEXT($D45, ""@""))),
      Transcription!$AO:$AO = 4
    ),
    1
  ),
  ""Not Found""
)
"),"https://drive.google.com/open?id=19Z4aqsXzFkNJTF99CZJKozIKfouW6xUa")</f>
        <v>https://drive.google.com/open?id=19Z4aqsXzFkNJTF99CZJKozIKfouW6xUa</v>
      </c>
      <c r="Q45"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TRIM(CLEAN(TEXT($D45, ""@""))),
      IMPORTRANGE(""https://docs.google.com/spreadsheets/d/1SnQ_YxUmBUYKsKc82GyPP"&amp;"ovLO-EPrfZxsJ0V0UbhezI/edit?gid=590869320#gid=590869320"", ""Form responses 1!$AV:$AV"") = 5
    ),
    1
  ),
  ""Not Found""
)
"),"Not Found")</f>
        <v>Not Found</v>
      </c>
      <c r="R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1!$E:$E"")=$D45) *
        (IMPORTRANGE(""https://docs.google.com/spreadsheets/d/161aHT6vVT3SLneTKD19N5qVWtnj_jIT8CSsOmUVKmaA/"&amp;"edit?gid=1761053510"",
          ""Haris_Form responses 1!$AQ:$AQ"")=5)
      ),
      1
    ),
    ""0""
  ),
  ""Form not found""
)
"),"Form not found")</f>
        <v>Form not found</v>
      </c>
      <c r="S45" s="247" t="str">
        <f>IFERROR(__xludf.DUMMYFUNCTION("IFERROR(
  INDEX(
    FILTER(
      Transcription!$AJ:$AJ,
      TRIM(CLEAN(TEXT(Transcription!$F:$F, ""@""))) = TRIM(CLEAN(TEXT($D45, ""@""))),
      Transcription!$AO:$AO = 5
    ),
    1
  ),
  ""Not Found""
)
"),"Not Found")</f>
        <v>Not Found</v>
      </c>
      <c r="T45"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TRIM(CLEAN(TEXT($D45, ""@""))),
      IMPORTRANGE(""https://docs.google.com/spreadsheets/d/1SnQ_YxUmBUYKsKc82GyPP"&amp;"ovLO-EPrfZxsJ0V0UbhezI/edit?gid=590869320#gid=590869320"", ""Form responses 1!$AV:$AV"") = 6
    ),
    1
  ),
  ""Not Found""
)
"),"Not Found")</f>
        <v>Not Found</v>
      </c>
      <c r="U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1!$E:$E"")=$D45) *
        (IMPORTRANGE(""https://docs.google.com/spreadsheets/d/161aHT6vVT3SLneTKD19N5qVWtnj_jIT8CSsOmUVKmaA/"&amp;"edit?gid=1761053510"",
          ""Haris_Form responses 1!$AQ:$AQ"")=6)
      ),
      1
    ),
    ""0""
  ),
  ""Form not found""
)
"),"Form not found")</f>
        <v>Form not found</v>
      </c>
      <c r="V45" s="247" t="str">
        <f>IFERROR(__xludf.DUMMYFUNCTION("IFERROR(
  INDEX(
    FILTER(
      Transcription!$AJ:$AJ,
      TRIM(CLEAN(TEXT(Transcription!$F:$F, ""@""))) = TRIM(CLEAN(TEXT($D45, ""@""))),
      Transcription!$AO:$AO = 6
    ),
    1
  ),
  ""Not Found""
)
"),"Not Found")</f>
        <v>Not Found</v>
      </c>
      <c r="Y45" s="8" t="s">
        <v>4523</v>
      </c>
      <c r="Z45" s="10">
        <f t="shared" si="1"/>
        <v>4</v>
      </c>
      <c r="AA45" s="10">
        <f t="shared" si="2"/>
        <v>0</v>
      </c>
    </row>
    <row r="46">
      <c r="A46" s="8" t="str">
        <f>VLOOKUP($D46,Sheet6!$B:$G,5,FALSE)</f>
        <v>Lahore</v>
      </c>
      <c r="B46" s="232" t="str">
        <f>VLOOKUP($D46,Sheet6!$B:$G,4,FALSE)</f>
        <v>Control</v>
      </c>
      <c r="C46" s="8">
        <v>2.0</v>
      </c>
      <c r="D46" s="8" t="s">
        <v>4524</v>
      </c>
      <c r="E4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TRIM(CLEAN(TEXT($D46, ""@""))),
      IMPORTRANGE(""https://docs.google.com/spreadsheets/d/1SnQ_YxUmBUYKsKc82GyPP"&amp;"ovLO-EPrfZxsJ0V0UbhezI/edit?gid=590869320#gid=590869320"", ""Form responses 1!$AV:$AV"") = 1
    ),
    1
  ),
  ""Not Found""
)
"),"https://drive.google.com/open?id=1BMmZxOPRsi5AyIluw6qXijL78PhmuixY")</f>
        <v>https://drive.google.com/open?id=1BMmZxOPRsi5AyIluw6qXijL78PhmuixY</v>
      </c>
      <c r="F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1!$E:$E"")=$D46) *
        (IMPORTRANGE(""https://docs.google.com/spreadsheets/d/161aHT6vVT3SLneTKD19N5qVWtnj_jIT8CSsOmUVKmaA/"&amp;"edit?gid=1761053510"",
          ""Haris_Form responses 1!$AQ:$AQ"")=1)
      ),
      1
    ),
    ""0""
  ),
  ""Form not found""
)
"),"1")</f>
        <v>1</v>
      </c>
      <c r="G46" s="245" t="str">
        <f>IFERROR(__xludf.DUMMYFUNCTION("IFERROR(
  INDEX(
    FILTER(
      Transcription!$AJ:$AJ,
      TRIM(CLEAN(TEXT(Transcription!$F:$F, ""@""))) = TRIM(CLEAN(TEXT($D46, ""@""))),
      Transcription!$AO:$AO = 1
    ),
    1
  ),
  ""Not Found""
)
"),"https://drive.google.com/open?id=1TieWik7eBWsqSJmQCoqlcgObRxUkJj1w")</f>
        <v>https://drive.google.com/open?id=1TieWik7eBWsqSJmQCoqlcgObRxUkJj1w</v>
      </c>
      <c r="H4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TRIM(CLEAN(TEXT($D46, ""@""))),
      IMPORTRANGE(""https://docs.google.com/spreadsheets/d/1SnQ_YxUmBUYKsKc82GyPP"&amp;"ovLO-EPrfZxsJ0V0UbhezI/edit?gid=590869320#gid=590869320"", ""Form responses 1!$AV:$AV"") = 2
    ),
    1
  ),
  ""Not Found""
)
"),"Not Found")</f>
        <v>Not Found</v>
      </c>
      <c r="I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1!$E:$E"")=$D46) *
        (IMPORTRANGE(""https://docs.google.com/spreadsheets/d/161aHT6vVT3SLneTKD19N5qVWtnj_jIT8CSsOmUVKmaA/"&amp;"edit?gid=1761053510"",
          ""Haris_Form responses 1!$AQ:$AQ"")=2)
      ),
      1
    ),
    ""0""
  ),
  ""Form not found""
)
"),"Form not found")</f>
        <v>Form not found</v>
      </c>
      <c r="J46" s="247" t="str">
        <f>IFERROR(__xludf.DUMMYFUNCTION("IFERROR(
  INDEX(
    FILTER(
      Transcription!$AJ:$AJ,
      TRIM(CLEAN(TEXT(Transcription!$F:$F, ""@""))) = TRIM(CLEAN(TEXT($D46, ""@""))),
      Transcription!$AO:$AO = 2
    ),
    1
  ),
  ""Not Found""
)
"),"Not Found")</f>
        <v>Not Found</v>
      </c>
      <c r="K4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TRIM(CLEAN(TEXT($D46, ""@""))),
      IMPORTRANGE(""https://docs.google.com/spreadsheets/d/1SnQ_YxUmBUYKsKc82GyPP"&amp;"ovLO-EPrfZxsJ0V0UbhezI/edit?gid=590869320#gid=590869320"", ""Form responses 1!$AV:$AV"") = 3
    ),
    1
  ),
  ""Not Found""
)
"),"https://drive.google.com/open?id=190uB9gtbyeZSCipDErf3rhOnnG8SHww3")</f>
        <v>https://drive.google.com/open?id=190uB9gtbyeZSCipDErf3rhOnnG8SHww3</v>
      </c>
      <c r="L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1!$E:$E"")=$D46) *
        (IMPORTRANGE(""https://docs.google.com/spreadsheets/d/161aHT6vVT3SLneTKD19N5qVWtnj_jIT8CSsOmUVKmaA/"&amp;"edit?gid=1761053510"",
          ""Haris_Form responses 1!$AQ:$AQ"")=3)
      ),
      1
    ),
    ""0""
  ),
  ""Form not found""
)
"),"3")</f>
        <v>3</v>
      </c>
      <c r="M46" s="245" t="str">
        <f>IFERROR(__xludf.DUMMYFUNCTION("IFERROR(
  INDEX(
    FILTER(
      Transcription!$AJ:$AJ,
      TRIM(CLEAN(TEXT(Transcription!$F:$F, ""@""))) = TRIM(CLEAN(TEXT($D46, ""@""))),
      Transcription!$AO:$AO = 3
    ),
    1
  ),
  ""Not Found""
)
"),"https://drive.google.com/open?id=16eKfwTo225F-ON0s6cQhEVYica6FpSyq")</f>
        <v>https://drive.google.com/open?id=16eKfwTo225F-ON0s6cQhEVYica6FpSyq</v>
      </c>
      <c r="N4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TRIM(CLEAN(TEXT($D46, ""@""))),
      IMPORTRANGE(""https://docs.google.com/spreadsheets/d/1SnQ_YxUmBUYKsKc82GyPP"&amp;"ovLO-EPrfZxsJ0V0UbhezI/edit?gid=590869320#gid=590869320"", ""Form responses 1!$AV:$AV"") = 4
    ),
    1
  ),
  ""Not Found""
)
"),"Not Found")</f>
        <v>Not Found</v>
      </c>
      <c r="O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1!$E:$E"")=$D46) *
        (IMPORTRANGE(""https://docs.google.com/spreadsheets/d/161aHT6vVT3SLneTKD19N5qVWtnj_jIT8CSsOmUVKmaA/"&amp;"edit?gid=1761053510"",
          ""Haris_Form responses 1!$AQ:$AQ"")=4)
      ),
      1
    ),
    ""0""
  ),
  ""Form not found""
)
"),"Form not found")</f>
        <v>Form not found</v>
      </c>
      <c r="P46" s="247" t="str">
        <f>IFERROR(__xludf.DUMMYFUNCTION("IFERROR(
  INDEX(
    FILTER(
      Transcription!$AJ:$AJ,
      TRIM(CLEAN(TEXT(Transcription!$F:$F, ""@""))) = TRIM(CLEAN(TEXT($D46, ""@""))),
      Transcription!$AO:$AO = 4
    ),
    1
  ),
  ""Not Found""
)
"),"Not Found")</f>
        <v>Not Found</v>
      </c>
      <c r="Q4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TRIM(CLEAN(TEXT($D46, ""@""))),
      IMPORTRANGE(""https://docs.google.com/spreadsheets/d/1SnQ_YxUmBUYKsKc82GyPP"&amp;"ovLO-EPrfZxsJ0V0UbhezI/edit?gid=590869320#gid=590869320"", ""Form responses 1!$AV:$AV"") = 5
    ),
    1
  ),
  ""Not Found""
)
"),"Not Found")</f>
        <v>Not Found</v>
      </c>
      <c r="R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1!$E:$E"")=$D46) *
        (IMPORTRANGE(""https://docs.google.com/spreadsheets/d/161aHT6vVT3SLneTKD19N5qVWtnj_jIT8CSsOmUVKmaA/"&amp;"edit?gid=1761053510"",
          ""Haris_Form responses 1!$AQ:$AQ"")=5)
      ),
      1
    ),
    ""0""
  ),
  ""Form not found""
)
"),"Form not found")</f>
        <v>Form not found</v>
      </c>
      <c r="S46" s="247" t="str">
        <f>IFERROR(__xludf.DUMMYFUNCTION("IFERROR(
  INDEX(
    FILTER(
      Transcription!$AJ:$AJ,
      TRIM(CLEAN(TEXT(Transcription!$F:$F, ""@""))) = TRIM(CLEAN(TEXT($D46, ""@""))),
      Transcription!$AO:$AO = 5
    ),
    1
  ),
  ""Not Found""
)
"),"Not Found")</f>
        <v>Not Found</v>
      </c>
      <c r="T46"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TRIM(CLEAN(TEXT($D46, ""@""))),
      IMPORTRANGE(""https://docs.google.com/spreadsheets/d/1SnQ_YxUmBUYKsKc82GyPP"&amp;"ovLO-EPrfZxsJ0V0UbhezI/edit?gid=590869320#gid=590869320"", ""Form responses 1!$AV:$AV"") = 6
    ),
    1
  ),
  ""Not Found""
)
"),"Not Found")</f>
        <v>Not Found</v>
      </c>
      <c r="U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1!$E:$E"")=$D46) *
        (IMPORTRANGE(""https://docs.google.com/spreadsheets/d/161aHT6vVT3SLneTKD19N5qVWtnj_jIT8CSsOmUVKmaA/"&amp;"edit?gid=1761053510"",
          ""Haris_Form responses 1!$AQ:$AQ"")=6)
      ),
      1
    ),
    ""0""
  ),
  ""Form not found""
)
"),"Form not found")</f>
        <v>Form not found</v>
      </c>
      <c r="V46" s="247" t="str">
        <f>IFERROR(__xludf.DUMMYFUNCTION("IFERROR(
  INDEX(
    FILTER(
      Transcription!$AJ:$AJ,
      TRIM(CLEAN(TEXT(Transcription!$F:$F, ""@""))) = TRIM(CLEAN(TEXT($D46, ""@""))),
      Transcription!$AO:$AO = 6
    ),
    1
  ),
  ""Not Found""
)
"),"Not Found")</f>
        <v>Not Found</v>
      </c>
      <c r="X46" s="8" t="s">
        <v>4525</v>
      </c>
      <c r="Y46" s="8" t="s">
        <v>4523</v>
      </c>
      <c r="Z46" s="10">
        <f t="shared" si="1"/>
        <v>2</v>
      </c>
      <c r="AA46" s="10">
        <f t="shared" si="2"/>
        <v>0</v>
      </c>
    </row>
    <row r="47">
      <c r="A47" s="8" t="str">
        <f>VLOOKUP($D47,Sheet6!$B:$G,5,FALSE)</f>
        <v>Lahore</v>
      </c>
      <c r="B47" s="232" t="str">
        <f>VLOOKUP($D47,Sheet6!$B:$G,4,FALSE)</f>
        <v>Women Religious No Info Share</v>
      </c>
      <c r="C47" s="8">
        <v>3.0</v>
      </c>
      <c r="D47" s="8" t="s">
        <v>4526</v>
      </c>
      <c r="E4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TRIM(CLEAN(TEXT($D47, ""@""))),
      IMPORTRANGE(""https://docs.google.com/spreadsheets/d/1SnQ_YxUmBUYKsKc82GyPP"&amp;"ovLO-EPrfZxsJ0V0UbhezI/edit?gid=590869320#gid=590869320"", ""Form responses 1!$AV:$AV"") = 1
    ),
    1
  ),
  ""Not Found""
)
"),"https://drive.google.com/open?id=1f9S6l913TiomJgIVIQmiSHHH9Gw0Jre9")</f>
        <v>https://drive.google.com/open?id=1f9S6l913TiomJgIVIQmiSHHH9Gw0Jre9</v>
      </c>
      <c r="F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1!$E:$E"")=$D47) *
        (IMPORTRANGE(""https://docs.google.com/spreadsheets/d/161aHT6vVT3SLneTKD19N5qVWtnj_jIT8CSsOmUVKmaA/"&amp;"edit?gid=1761053510"",
          ""Haris_Form responses 1!$AQ:$AQ"")=1)
      ),
      1
    ),
    ""0""
  ),
  ""Form not found""
)
"),"1")</f>
        <v>1</v>
      </c>
      <c r="G47" s="245" t="str">
        <f>IFERROR(__xludf.DUMMYFUNCTION("IFERROR(
  INDEX(
    FILTER(
      Transcription!$AJ:$AJ,
      TRIM(CLEAN(TEXT(Transcription!$F:$F, ""@""))) = TRIM(CLEAN(TEXT($D47, ""@""))),
      Transcription!$AO:$AO = 1
    ),
    1
  ),
  ""Not Found""
)
"),"https://drive.google.com/open?id=132T7Gtw7hWXGyB3cpT9M5p4rVFtCvsb-")</f>
        <v>https://drive.google.com/open?id=132T7Gtw7hWXGyB3cpT9M5p4rVFtCvsb-</v>
      </c>
      <c r="H4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TRIM(CLEAN(TEXT($D47, ""@""))),
      IMPORTRANGE(""https://docs.google.com/spreadsheets/d/1SnQ_YxUmBUYKsKc82GyPP"&amp;"ovLO-EPrfZxsJ0V0UbhezI/edit?gid=590869320#gid=590869320"", ""Form responses 1!$AV:$AV"") = 2
    ),
    1
  ),
  ""Not Found""
)
"),"https://drive.google.com/open?id=17ZxIxqlMo4D4LkCaH_7YQZD9NKtUVqJQ")</f>
        <v>https://drive.google.com/open?id=17ZxIxqlMo4D4LkCaH_7YQZD9NKtUVqJQ</v>
      </c>
      <c r="I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1!$E:$E"")=$D47) *
        (IMPORTRANGE(""https://docs.google.com/spreadsheets/d/161aHT6vVT3SLneTKD19N5qVWtnj_jIT8CSsOmUVKmaA/"&amp;"edit?gid=1761053510"",
          ""Haris_Form responses 1!$AQ:$AQ"")=2)
      ),
      1
    ),
    ""0""
  ),
  ""Form not found""
)
"),"2")</f>
        <v>2</v>
      </c>
      <c r="J47" s="245" t="str">
        <f>IFERROR(__xludf.DUMMYFUNCTION("IFERROR(
  INDEX(
    FILTER(
      Transcription!$AJ:$AJ,
      TRIM(CLEAN(TEXT(Transcription!$F:$F, ""@""))) = TRIM(CLEAN(TEXT($D47, ""@""))),
      Transcription!$AO:$AO = 2
    ),
    1
  ),
  ""Not Found""
)
"),"https://drive.google.com/open?id=1l1gLrD1ebqmWkOxz9K4UZvZlNVT3vZ0a")</f>
        <v>https://drive.google.com/open?id=1l1gLrD1ebqmWkOxz9K4UZvZlNVT3vZ0a</v>
      </c>
      <c r="K4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TRIM(CLEAN(TEXT($D47, ""@""))),
      IMPORTRANGE(""https://docs.google.com/spreadsheets/d/1SnQ_YxUmBUYKsKc82GyPP"&amp;"ovLO-EPrfZxsJ0V0UbhezI/edit?gid=590869320#gid=590869320"", ""Form responses 1!$AV:$AV"") = 3
    ),
    1
  ),
  ""Not Found""
)
"),"https://drive.google.com/open?id=1FZWz3As8oaVI6CLFNnL9sPIcS7O0ClqF")</f>
        <v>https://drive.google.com/open?id=1FZWz3As8oaVI6CLFNnL9sPIcS7O0ClqF</v>
      </c>
      <c r="L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1!$E:$E"")=$D47) *
        (IMPORTRANGE(""https://docs.google.com/spreadsheets/d/161aHT6vVT3SLneTKD19N5qVWtnj_jIT8CSsOmUVKmaA/"&amp;"edit?gid=1761053510"",
          ""Haris_Form responses 1!$AQ:$AQ"")=3)
      ),
      1
    ),
    ""0""
  ),
  ""Form not found""
)
"),"3")</f>
        <v>3</v>
      </c>
      <c r="M47" s="245" t="str">
        <f>IFERROR(__xludf.DUMMYFUNCTION("IFERROR(
  INDEX(
    FILTER(
      Transcription!$AJ:$AJ,
      TRIM(CLEAN(TEXT(Transcription!$F:$F, ""@""))) = TRIM(CLEAN(TEXT($D47, ""@""))),
      Transcription!$AO:$AO = 3
    ),
    1
  ),
  ""Not Found""
)
"),"https://drive.google.com/open?id=1abeb3M3Hbxrveh_qXsT_goMdrVc921Ce")</f>
        <v>https://drive.google.com/open?id=1abeb3M3Hbxrveh_qXsT_goMdrVc921Ce</v>
      </c>
      <c r="N4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TRIM(CLEAN(TEXT($D47, ""@""))),
      IMPORTRANGE(""https://docs.google.com/spreadsheets/d/1SnQ_YxUmBUYKsKc82GyPP"&amp;"ovLO-EPrfZxsJ0V0UbhezI/edit?gid=590869320#gid=590869320"", ""Form responses 1!$AV:$AV"") = 4
    ),
    1
  ),
  ""Not Found""
)
"),"Not Found")</f>
        <v>Not Found</v>
      </c>
      <c r="O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1!$E:$E"")=$D47) *
        (IMPORTRANGE(""https://docs.google.com/spreadsheets/d/161aHT6vVT3SLneTKD19N5qVWtnj_jIT8CSsOmUVKmaA/"&amp;"edit?gid=1761053510"",
          ""Haris_Form responses 1!$AQ:$AQ"")=4)
      ),
      1
    ),
    ""0""
  ),
  ""Form not found""
)
"),"Form not found")</f>
        <v>Form not found</v>
      </c>
      <c r="P47" s="247" t="str">
        <f>IFERROR(__xludf.DUMMYFUNCTION("IFERROR(
  INDEX(
    FILTER(
      Transcription!$AJ:$AJ,
      TRIM(CLEAN(TEXT(Transcription!$F:$F, ""@""))) = TRIM(CLEAN(TEXT($D47, ""@""))),
      Transcription!$AO:$AO = 4
    ),
    1
  ),
  ""Not Found""
)
"),"Not Found")</f>
        <v>Not Found</v>
      </c>
      <c r="Q4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TRIM(CLEAN(TEXT($D47, ""@""))),
      IMPORTRANGE(""https://docs.google.com/spreadsheets/d/1SnQ_YxUmBUYKsKc82GyPP"&amp;"ovLO-EPrfZxsJ0V0UbhezI/edit?gid=590869320#gid=590869320"", ""Form responses 1!$AV:$AV"") = 5
    ),
    1
  ),
  ""Not Found""
)
"),"Not Found")</f>
        <v>Not Found</v>
      </c>
      <c r="R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1!$E:$E"")=$D47) *
        (IMPORTRANGE(""https://docs.google.com/spreadsheets/d/161aHT6vVT3SLneTKD19N5qVWtnj_jIT8CSsOmUVKmaA/"&amp;"edit?gid=1761053510"",
          ""Haris_Form responses 1!$AQ:$AQ"")=5)
      ),
      1
    ),
    ""0""
  ),
  ""Form not found""
)
"),"Form not found")</f>
        <v>Form not found</v>
      </c>
      <c r="S47" s="247" t="str">
        <f>IFERROR(__xludf.DUMMYFUNCTION("IFERROR(
  INDEX(
    FILTER(
      Transcription!$AJ:$AJ,
      TRIM(CLEAN(TEXT(Transcription!$F:$F, ""@""))) = TRIM(CLEAN(TEXT($D47, ""@""))),
      Transcription!$AO:$AO = 5
    ),
    1
  ),
  ""Not Found""
)
"),"Not Found")</f>
        <v>Not Found</v>
      </c>
      <c r="T47"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TRIM(CLEAN(TEXT($D47, ""@""))),
      IMPORTRANGE(""https://docs.google.com/spreadsheets/d/1SnQ_YxUmBUYKsKc82GyPP"&amp;"ovLO-EPrfZxsJ0V0UbhezI/edit?gid=590869320#gid=590869320"", ""Form responses 1!$AV:$AV"") = 6
    ),
    1
  ),
  ""Not Found""
)
"),"Not Found")</f>
        <v>Not Found</v>
      </c>
      <c r="U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1!$E:$E"")=$D47) *
        (IMPORTRANGE(""https://docs.google.com/spreadsheets/d/161aHT6vVT3SLneTKD19N5qVWtnj_jIT8CSsOmUVKmaA/"&amp;"edit?gid=1761053510"",
          ""Haris_Form responses 1!$AQ:$AQ"")=6)
      ),
      1
    ),
    ""0""
  ),
  ""Form not found""
)
"),"Form not found")</f>
        <v>Form not found</v>
      </c>
      <c r="V47" s="247" t="str">
        <f>IFERROR(__xludf.DUMMYFUNCTION("IFERROR(
  INDEX(
    FILTER(
      Transcription!$AJ:$AJ,
      TRIM(CLEAN(TEXT(Transcription!$F:$F, ""@""))) = TRIM(CLEAN(TEXT($D47, ""@""))),
      Transcription!$AO:$AO = 6
    ),
    1
  ),
  ""Not Found""
)
"),"Not Found")</f>
        <v>Not Found</v>
      </c>
      <c r="Y47" s="8" t="s">
        <v>4523</v>
      </c>
      <c r="Z47" s="10">
        <f t="shared" si="1"/>
        <v>3</v>
      </c>
      <c r="AA47" s="10">
        <f t="shared" si="2"/>
        <v>0</v>
      </c>
    </row>
    <row r="48">
      <c r="A48" s="8" t="str">
        <f>VLOOKUP($D48,Sheet6!$B:$G,5,FALSE)</f>
        <v>Lahore</v>
      </c>
      <c r="B48" s="232" t="str">
        <f>VLOOKUP($D48,Sheet6!$B:$G,4,FALSE)</f>
        <v>Women Religious No Info Share</v>
      </c>
      <c r="C48" s="8">
        <v>3.0</v>
      </c>
      <c r="D48" s="8" t="s">
        <v>4527</v>
      </c>
      <c r="E4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TRIM(CLEAN(TEXT($D48, ""@""))),
      IMPORTRANGE(""https://docs.google.com/spreadsheets/d/1SnQ_YxUmBUYKsKc82GyPP"&amp;"ovLO-EPrfZxsJ0V0UbhezI/edit?gid=590869320#gid=590869320"", ""Form responses 1!$AV:$AV"") = 1
    ),
    1
  ),
  ""Not Found""
)
"),"https://drive.google.com/open?id=1vszGO_p_HH7SiA_Aqk1RkMg2T8CbvWTw")</f>
        <v>https://drive.google.com/open?id=1vszGO_p_HH7SiA_Aqk1RkMg2T8CbvWTw</v>
      </c>
      <c r="F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1!$E:$E"")=$D48) *
        (IMPORTRANGE(""https://docs.google.com/spreadsheets/d/161aHT6vVT3SLneTKD19N5qVWtnj_jIT8CSsOmUVKmaA/"&amp;"edit?gid=1761053510"",
          ""Haris_Form responses 1!$AQ:$AQ"")=1)
      ),
      1
    ),
    ""0""
  ),
  ""Form not found""
)
"),"1")</f>
        <v>1</v>
      </c>
      <c r="G48" s="245" t="str">
        <f>IFERROR(__xludf.DUMMYFUNCTION("IFERROR(
  INDEX(
    FILTER(
      Transcription!$AJ:$AJ,
      TRIM(CLEAN(TEXT(Transcription!$F:$F, ""@""))) = TRIM(CLEAN(TEXT($D48, ""@""))),
      Transcription!$AO:$AO = 1
    ),
    1
  ),
  ""Not Found""
)
"),"https://drive.google.com/open?id=1ubCkhJxE1iai3Tl-6L7lTiEzGPlY8LDz")</f>
        <v>https://drive.google.com/open?id=1ubCkhJxE1iai3Tl-6L7lTiEzGPlY8LDz</v>
      </c>
      <c r="H4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TRIM(CLEAN(TEXT($D48, ""@""))),
      IMPORTRANGE(""https://docs.google.com/spreadsheets/d/1SnQ_YxUmBUYKsKc82GyPP"&amp;"ovLO-EPrfZxsJ0V0UbhezI/edit?gid=590869320#gid=590869320"", ""Form responses 1!$AV:$AV"") = 2
    ),
    1
  ),
  ""Not Found""
)
"),"https://drive.google.com/open?id=1rSbj8PRpevn1nT0sKg-5JHxLxJr_Qcls")</f>
        <v>https://drive.google.com/open?id=1rSbj8PRpevn1nT0sKg-5JHxLxJr_Qcls</v>
      </c>
      <c r="I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1!$E:$E"")=$D48) *
        (IMPORTRANGE(""https://docs.google.com/spreadsheets/d/161aHT6vVT3SLneTKD19N5qVWtnj_jIT8CSsOmUVKmaA/"&amp;"edit?gid=1761053510"",
          ""Haris_Form responses 1!$AQ:$AQ"")=2)
      ),
      1
    ),
    ""0""
  ),
  ""Form not found""
)
"),"2")</f>
        <v>2</v>
      </c>
      <c r="J48" s="245" t="str">
        <f>IFERROR(__xludf.DUMMYFUNCTION("IFERROR(
  INDEX(
    FILTER(
      Transcription!$AJ:$AJ,
      TRIM(CLEAN(TEXT(Transcription!$F:$F, ""@""))) = TRIM(CLEAN(TEXT($D48, ""@""))),
      Transcription!$AO:$AO = 2
    ),
    1
  ),
  ""Not Found""
)
"),"https://drive.google.com/open?id=1rU5FSiyoLNqB2BYbIashm7K1E_1xOG5T")</f>
        <v>https://drive.google.com/open?id=1rU5FSiyoLNqB2BYbIashm7K1E_1xOG5T</v>
      </c>
      <c r="K4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TRIM(CLEAN(TEXT($D48, ""@""))),
      IMPORTRANGE(""https://docs.google.com/spreadsheets/d/1SnQ_YxUmBUYKsKc82GyPP"&amp;"ovLO-EPrfZxsJ0V0UbhezI/edit?gid=590869320#gid=590869320"", ""Form responses 1!$AV:$AV"") = 3
    ),
    1
  ),
  ""Not Found""
)
"),"https://drive.google.com/open?id=1FpAopcaW_zkHrizISu0eS2EJf90MOBk6")</f>
        <v>https://drive.google.com/open?id=1FpAopcaW_zkHrizISu0eS2EJf90MOBk6</v>
      </c>
      <c r="L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1!$E:$E"")=$D48) *
        (IMPORTRANGE(""https://docs.google.com/spreadsheets/d/161aHT6vVT3SLneTKD19N5qVWtnj_jIT8CSsOmUVKmaA/"&amp;"edit?gid=1761053510"",
          ""Haris_Form responses 1!$AQ:$AQ"")=3)
      ),
      1
    ),
    ""0""
  ),
  ""Form not found""
)
"),"3")</f>
        <v>3</v>
      </c>
      <c r="M48" s="245" t="str">
        <f>IFERROR(__xludf.DUMMYFUNCTION("IFERROR(
  INDEX(
    FILTER(
      Transcription!$AJ:$AJ,
      TRIM(CLEAN(TEXT(Transcription!$F:$F, ""@""))) = TRIM(CLEAN(TEXT($D48, ""@""))),
      Transcription!$AO:$AO = 3
    ),
    1
  ),
  ""Not Found""
)
"),"https://drive.google.com/open?id=1QMnYyuhMDK8FjGFxoxzgjXVuUG7H7l3U")</f>
        <v>https://drive.google.com/open?id=1QMnYyuhMDK8FjGFxoxzgjXVuUG7H7l3U</v>
      </c>
      <c r="N4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TRIM(CLEAN(TEXT($D48, ""@""))),
      IMPORTRANGE(""https://docs.google.com/spreadsheets/d/1SnQ_YxUmBUYKsKc82GyPP"&amp;"ovLO-EPrfZxsJ0V0UbhezI/edit?gid=590869320#gid=590869320"", ""Form responses 1!$AV:$AV"") = 4
    ),
    1
  ),
  ""Not Found""
)
"),"Not Found")</f>
        <v>Not Found</v>
      </c>
      <c r="O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1!$E:$E"")=$D48) *
        (IMPORTRANGE(""https://docs.google.com/spreadsheets/d/161aHT6vVT3SLneTKD19N5qVWtnj_jIT8CSsOmUVKmaA/"&amp;"edit?gid=1761053510"",
          ""Haris_Form responses 1!$AQ:$AQ"")=4)
      ),
      1
    ),
    ""0""
  ),
  ""Form not found""
)
"),"Form not found")</f>
        <v>Form not found</v>
      </c>
      <c r="P48" s="247" t="str">
        <f>IFERROR(__xludf.DUMMYFUNCTION("IFERROR(
  INDEX(
    FILTER(
      Transcription!$AJ:$AJ,
      TRIM(CLEAN(TEXT(Transcription!$F:$F, ""@""))) = TRIM(CLEAN(TEXT($D48, ""@""))),
      Transcription!$AO:$AO = 4
    ),
    1
  ),
  ""Not Found""
)
"),"Not Found")</f>
        <v>Not Found</v>
      </c>
      <c r="Q4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TRIM(CLEAN(TEXT($D48, ""@""))),
      IMPORTRANGE(""https://docs.google.com/spreadsheets/d/1SnQ_YxUmBUYKsKc82GyPP"&amp;"ovLO-EPrfZxsJ0V0UbhezI/edit?gid=590869320#gid=590869320"", ""Form responses 1!$AV:$AV"") = 5
    ),
    1
  ),
  ""Not Found""
)
"),"Not Found")</f>
        <v>Not Found</v>
      </c>
      <c r="R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1!$E:$E"")=$D48) *
        (IMPORTRANGE(""https://docs.google.com/spreadsheets/d/161aHT6vVT3SLneTKD19N5qVWtnj_jIT8CSsOmUVKmaA/"&amp;"edit?gid=1761053510"",
          ""Haris_Form responses 1!$AQ:$AQ"")=5)
      ),
      1
    ),
    ""0""
  ),
  ""Form not found""
)
"),"Form not found")</f>
        <v>Form not found</v>
      </c>
      <c r="S48" s="247" t="str">
        <f>IFERROR(__xludf.DUMMYFUNCTION("IFERROR(
  INDEX(
    FILTER(
      Transcription!$AJ:$AJ,
      TRIM(CLEAN(TEXT(Transcription!$F:$F, ""@""))) = TRIM(CLEAN(TEXT($D48, ""@""))),
      Transcription!$AO:$AO = 5
    ),
    1
  ),
  ""Not Found""
)
"),"Not Found")</f>
        <v>Not Found</v>
      </c>
      <c r="T48"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TRIM(CLEAN(TEXT($D48, ""@""))),
      IMPORTRANGE(""https://docs.google.com/spreadsheets/d/1SnQ_YxUmBUYKsKc82GyPP"&amp;"ovLO-EPrfZxsJ0V0UbhezI/edit?gid=590869320#gid=590869320"", ""Form responses 1!$AV:$AV"") = 6
    ),
    1
  ),
  ""Not Found""
)
"),"Not Found")</f>
        <v>Not Found</v>
      </c>
      <c r="U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1!$E:$E"")=$D48) *
        (IMPORTRANGE(""https://docs.google.com/spreadsheets/d/161aHT6vVT3SLneTKD19N5qVWtnj_jIT8CSsOmUVKmaA/"&amp;"edit?gid=1761053510"",
          ""Haris_Form responses 1!$AQ:$AQ"")=6)
      ),
      1
    ),
    ""0""
  ),
  ""Form not found""
)
"),"Form not found")</f>
        <v>Form not found</v>
      </c>
      <c r="V48" s="247" t="str">
        <f>IFERROR(__xludf.DUMMYFUNCTION("IFERROR(
  INDEX(
    FILTER(
      Transcription!$AJ:$AJ,
      TRIM(CLEAN(TEXT(Transcription!$F:$F, ""@""))) = TRIM(CLEAN(TEXT($D48, ""@""))),
      Transcription!$AO:$AO = 6
    ),
    1
  ),
  ""Not Found""
)
"),"Not Found")</f>
        <v>Not Found</v>
      </c>
      <c r="Y48" s="8" t="s">
        <v>4523</v>
      </c>
      <c r="Z48" s="10">
        <f t="shared" si="1"/>
        <v>3</v>
      </c>
      <c r="AA48" s="10">
        <f t="shared" si="2"/>
        <v>0</v>
      </c>
    </row>
    <row r="49">
      <c r="A49" s="8" t="str">
        <f>VLOOKUP($D49,Sheet6!$B:$G,5,FALSE)</f>
        <v>Lahore</v>
      </c>
      <c r="B49" s="232" t="str">
        <f>VLOOKUP($D49,Sheet6!$B:$G,4,FALSE)</f>
        <v>Community Secular No Info Share</v>
      </c>
      <c r="C49" s="8">
        <v>2.0</v>
      </c>
      <c r="D49" s="8" t="s">
        <v>4528</v>
      </c>
      <c r="E4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TRIM(CLEAN(TEXT($D49, ""@""))),
      IMPORTRANGE(""https://docs.google.com/spreadsheets/d/1SnQ_YxUmBUYKsKc82GyPP"&amp;"ovLO-EPrfZxsJ0V0UbhezI/edit?gid=590869320#gid=590869320"", ""Form responses 1!$AV:$AV"") = 1
    ),
    1
  ),
  ""Not Found""
)
"),"https://drive.google.com/open?id=1-xBKrEDz7WSqvmommp3t-HXpY5vMGLcW")</f>
        <v>https://drive.google.com/open?id=1-xBKrEDz7WSqvmommp3t-HXpY5vMGLcW</v>
      </c>
      <c r="F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1!$E:$E"")=$D49) *
        (IMPORTRANGE(""https://docs.google.com/spreadsheets/d/161aHT6vVT3SLneTKD19N5qVWtnj_jIT8CSsOmUVKmaA/"&amp;"edit?gid=1761053510"",
          ""Haris_Form responses 1!$AQ:$AQ"")=1)
      ),
      1
    ),
    ""0""
  ),
  ""Form not found""
)
"),"1")</f>
        <v>1</v>
      </c>
      <c r="G49" s="245" t="str">
        <f>IFERROR(__xludf.DUMMYFUNCTION("IFERROR(
  INDEX(
    FILTER(
      Transcription!$AJ:$AJ,
      TRIM(CLEAN(TEXT(Transcription!$F:$F, ""@""))) = TRIM(CLEAN(TEXT($D49, ""@""))),
      Transcription!$AO:$AO = 1
    ),
    1
  ),
  ""Not Found""
)
"),"https://drive.google.com/open?id=1pwTTh8nYh-5XgO4SoBQ1W5nOK4oz4PuO")</f>
        <v>https://drive.google.com/open?id=1pwTTh8nYh-5XgO4SoBQ1W5nOK4oz4PuO</v>
      </c>
      <c r="H49"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TRIM(CLEAN(TEXT($D49, ""@""))),
      IMPORTRANGE(""https://docs.google.com/spreadsheets/d/1SnQ_YxUmBUYKsKc82GyPP"&amp;"ovLO-EPrfZxsJ0V0UbhezI/edit?gid=590869320#gid=590869320"", ""Form responses 1!$AV:$AV"") = 2
    ),
    1
  ),
  ""Not Found""
)
"),"Not Found")</f>
        <v>Not Found</v>
      </c>
      <c r="I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1!$E:$E"")=$D49) *
        (IMPORTRANGE(""https://docs.google.com/spreadsheets/d/161aHT6vVT3SLneTKD19N5qVWtnj_jIT8CSsOmUVKmaA/"&amp;"edit?gid=1761053510"",
          ""Haris_Form responses 1!$AQ:$AQ"")=2)
      ),
      1
    ),
    ""0""
  ),
  ""Form not found""
)
"),"Form not found")</f>
        <v>Form not found</v>
      </c>
      <c r="J49" s="247" t="str">
        <f>IFERROR(__xludf.DUMMYFUNCTION("IFERROR(
  INDEX(
    FILTER(
      Transcription!$AJ:$AJ,
      TRIM(CLEAN(TEXT(Transcription!$F:$F, ""@""))) = TRIM(CLEAN(TEXT($D49, ""@""))),
      Transcription!$AO:$AO = 2
    ),
    1
  ),
  ""Not Found""
)
"),"Not Found")</f>
        <v>Not Found</v>
      </c>
      <c r="K4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TRIM(CLEAN(TEXT($D49, ""@""))),
      IMPORTRANGE(""https://docs.google.com/spreadsheets/d/1SnQ_YxUmBUYKsKc82GyPP"&amp;"ovLO-EPrfZxsJ0V0UbhezI/edit?gid=590869320#gid=590869320"", ""Form responses 1!$AV:$AV"") = 3
    ),
    1
  ),
  ""Not Found""
)
"),"https://drive.google.com/open?id=1w198BMvMurve52I-sXCaz7TEVS8vKVbt")</f>
        <v>https://drive.google.com/open?id=1w198BMvMurve52I-sXCaz7TEVS8vKVbt</v>
      </c>
      <c r="L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1!$E:$E"")=$D49) *
        (IMPORTRANGE(""https://docs.google.com/spreadsheets/d/161aHT6vVT3SLneTKD19N5qVWtnj_jIT8CSsOmUVKmaA/"&amp;"edit?gid=1761053510"",
          ""Haris_Form responses 1!$AQ:$AQ"")=3)
      ),
      1
    ),
    ""0""
  ),
  ""Form not found""
)
"),"3")</f>
        <v>3</v>
      </c>
      <c r="M49" s="245" t="str">
        <f>IFERROR(__xludf.DUMMYFUNCTION("IFERROR(
  INDEX(
    FILTER(
      Transcription!$AJ:$AJ,
      TRIM(CLEAN(TEXT(Transcription!$F:$F, ""@""))) = TRIM(CLEAN(TEXT($D49, ""@""))),
      Transcription!$AO:$AO = 3
    ),
    1
  ),
  ""Not Found""
)
"),"https://drive.google.com/open?id=1ydib4UtsFy1-dtAHV6tqmvug4fAuV4nq")</f>
        <v>https://drive.google.com/open?id=1ydib4UtsFy1-dtAHV6tqmvug4fAuV4nq</v>
      </c>
      <c r="N49"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TRIM(CLEAN(TEXT($D49, ""@""))),
      IMPORTRANGE(""https://docs.google.com/spreadsheets/d/1SnQ_YxUmBUYKsKc82GyPP"&amp;"ovLO-EPrfZxsJ0V0UbhezI/edit?gid=590869320#gid=590869320"", ""Form responses 1!$AV:$AV"") = 4
    ),
    1
  ),
  ""Not Found""
)
"),"Not Found")</f>
        <v>Not Found</v>
      </c>
      <c r="O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1!$E:$E"")=$D49) *
        (IMPORTRANGE(""https://docs.google.com/spreadsheets/d/161aHT6vVT3SLneTKD19N5qVWtnj_jIT8CSsOmUVKmaA/"&amp;"edit?gid=1761053510"",
          ""Haris_Form responses 1!$AQ:$AQ"")=4)
      ),
      1
    ),
    ""0""
  ),
  ""Form not found""
)
"),"Form not found")</f>
        <v>Form not found</v>
      </c>
      <c r="P49" s="247" t="str">
        <f>IFERROR(__xludf.DUMMYFUNCTION("IFERROR(
  INDEX(
    FILTER(
      Transcription!$AJ:$AJ,
      TRIM(CLEAN(TEXT(Transcription!$F:$F, ""@""))) = TRIM(CLEAN(TEXT($D49, ""@""))),
      Transcription!$AO:$AO = 4
    ),
    1
  ),
  ""Not Found""
)
"),"Not Found")</f>
        <v>Not Found</v>
      </c>
      <c r="Q49"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TRIM(CLEAN(TEXT($D49, ""@""))),
      IMPORTRANGE(""https://docs.google.com/spreadsheets/d/1SnQ_YxUmBUYKsKc82GyPP"&amp;"ovLO-EPrfZxsJ0V0UbhezI/edit?gid=590869320#gid=590869320"", ""Form responses 1!$AV:$AV"") = 5
    ),
    1
  ),
  ""Not Found""
)
"),"Not Found")</f>
        <v>Not Found</v>
      </c>
      <c r="R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1!$E:$E"")=$D49) *
        (IMPORTRANGE(""https://docs.google.com/spreadsheets/d/161aHT6vVT3SLneTKD19N5qVWtnj_jIT8CSsOmUVKmaA/"&amp;"edit?gid=1761053510"",
          ""Haris_Form responses 1!$AQ:$AQ"")=5)
      ),
      1
    ),
    ""0""
  ),
  ""Form not found""
)
"),"Form not found")</f>
        <v>Form not found</v>
      </c>
      <c r="S49" s="247" t="str">
        <f>IFERROR(__xludf.DUMMYFUNCTION("IFERROR(
  INDEX(
    FILTER(
      Transcription!$AJ:$AJ,
      TRIM(CLEAN(TEXT(Transcription!$F:$F, ""@""))) = TRIM(CLEAN(TEXT($D49, ""@""))),
      Transcription!$AO:$AO = 5
    ),
    1
  ),
  ""Not Found""
)
"),"Not Found")</f>
        <v>Not Found</v>
      </c>
      <c r="T49"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TRIM(CLEAN(TEXT($D49, ""@""))),
      IMPORTRANGE(""https://docs.google.com/spreadsheets/d/1SnQ_YxUmBUYKsKc82GyPP"&amp;"ovLO-EPrfZxsJ0V0UbhezI/edit?gid=590869320#gid=590869320"", ""Form responses 1!$AV:$AV"") = 6
    ),
    1
  ),
  ""Not Found""
)
"),"Not Found")</f>
        <v>Not Found</v>
      </c>
      <c r="U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1!$E:$E"")=$D49) *
        (IMPORTRANGE(""https://docs.google.com/spreadsheets/d/161aHT6vVT3SLneTKD19N5qVWtnj_jIT8CSsOmUVKmaA/"&amp;"edit?gid=1761053510"",
          ""Haris_Form responses 1!$AQ:$AQ"")=6)
      ),
      1
    ),
    ""0""
  ),
  ""Form not found""
)
"),"Form not found")</f>
        <v>Form not found</v>
      </c>
      <c r="V49" s="247" t="str">
        <f>IFERROR(__xludf.DUMMYFUNCTION("IFERROR(
  INDEX(
    FILTER(
      Transcription!$AJ:$AJ,
      TRIM(CLEAN(TEXT(Transcription!$F:$F, ""@""))) = TRIM(CLEAN(TEXT($D49, ""@""))),
      Transcription!$AO:$AO = 6
    ),
    1
  ),
  ""Not Found""
)
"),"Not Found")</f>
        <v>Not Found</v>
      </c>
      <c r="X49" s="234" t="s">
        <v>4529</v>
      </c>
      <c r="Y49" s="8" t="s">
        <v>4523</v>
      </c>
      <c r="Z49" s="10">
        <f t="shared" si="1"/>
        <v>2</v>
      </c>
      <c r="AA49" s="10">
        <f t="shared" si="2"/>
        <v>0</v>
      </c>
    </row>
    <row r="50">
      <c r="A50" s="8" t="str">
        <f>VLOOKUP($D50,Sheet6!$B:$G,5,FALSE)</f>
        <v>Lahore</v>
      </c>
      <c r="B50" s="232" t="str">
        <f>VLOOKUP($D50,Sheet6!$B:$G,4,FALSE)</f>
        <v>Community Religious No Info Share</v>
      </c>
      <c r="C50" s="8">
        <v>3.0</v>
      </c>
      <c r="D50" s="8" t="s">
        <v>4530</v>
      </c>
      <c r="E5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TRIM(CLEAN(TEXT($D50, ""@""))),
      IMPORTRANGE(""https://docs.google.com/spreadsheets/d/1SnQ_YxUmBUYKsKc82GyPP"&amp;"ovLO-EPrfZxsJ0V0UbhezI/edit?gid=590869320#gid=590869320"", ""Form responses 1!$AV:$AV"") = 1
    ),
    1
  ),
  ""Not Found""
)
"),"https://drive.google.com/open?id=13TCvSMBFW_bqgdYX8zsdblb32U0XgOSj")</f>
        <v>https://drive.google.com/open?id=13TCvSMBFW_bqgdYX8zsdblb32U0XgOSj</v>
      </c>
      <c r="F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1!$E:$E"")=$D50) *
        (IMPORTRANGE(""https://docs.google.com/spreadsheets/d/161aHT6vVT3SLneTKD19N5qVWtnj_jIT8CSsOmUVKmaA/"&amp;"edit?gid=1761053510"",
          ""Haris_Form responses 1!$AQ:$AQ"")=1)
      ),
      1
    ),
    ""0""
  ),
  ""Form not found""
)
"),"1")</f>
        <v>1</v>
      </c>
      <c r="G50" s="245" t="str">
        <f>IFERROR(__xludf.DUMMYFUNCTION("IFERROR(
  INDEX(
    FILTER(
      Transcription!$AJ:$AJ,
      TRIM(CLEAN(TEXT(Transcription!$F:$F, ""@""))) = TRIM(CLEAN(TEXT($D50, ""@""))),
      Transcription!$AO:$AO = 1
    ),
    1
  ),
  ""Not Found""
)
"),"https://drive.google.com/open?id=1KmOUD75NssVwphApVq7SZE-meTsh3bTJ")</f>
        <v>https://drive.google.com/open?id=1KmOUD75NssVwphApVq7SZE-meTsh3bTJ</v>
      </c>
      <c r="H5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TRIM(CLEAN(TEXT($D50, ""@""))),
      IMPORTRANGE(""https://docs.google.com/spreadsheets/d/1SnQ_YxUmBUYKsKc82GyPP"&amp;"ovLO-EPrfZxsJ0V0UbhezI/edit?gid=590869320#gid=590869320"", ""Form responses 1!$AV:$AV"") = 2
    ),
    1
  ),
  ""Not Found""
)
"),"https://drive.google.com/open?id=1r-REydTm7F_NXO1_7uM6xTuE7cm49NyQ")</f>
        <v>https://drive.google.com/open?id=1r-REydTm7F_NXO1_7uM6xTuE7cm49NyQ</v>
      </c>
      <c r="I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1!$E:$E"")=$D50) *
        (IMPORTRANGE(""https://docs.google.com/spreadsheets/d/161aHT6vVT3SLneTKD19N5qVWtnj_jIT8CSsOmUVKmaA/"&amp;"edit?gid=1761053510"",
          ""Haris_Form responses 1!$AQ:$AQ"")=2)
      ),
      1
    ),
    ""0""
  ),
  ""Form not found""
)
"),"2")</f>
        <v>2</v>
      </c>
      <c r="J50" s="245" t="str">
        <f>IFERROR(__xludf.DUMMYFUNCTION("IFERROR(
  INDEX(
    FILTER(
      Transcription!$AJ:$AJ,
      TRIM(CLEAN(TEXT(Transcription!$F:$F, ""@""))) = TRIM(CLEAN(TEXT($D50, ""@""))),
      Transcription!$AO:$AO = 2
    ),
    1
  ),
  ""Not Found""
)
"),"https://drive.google.com/open?id=1A6Pmgj2WTd-f5v7ME11KvpdcdmRpry-a")</f>
        <v>https://drive.google.com/open?id=1A6Pmgj2WTd-f5v7ME11KvpdcdmRpry-a</v>
      </c>
      <c r="K5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TRIM(CLEAN(TEXT($D50, ""@""))),
      IMPORTRANGE(""https://docs.google.com/spreadsheets/d/1SnQ_YxUmBUYKsKc82GyPP"&amp;"ovLO-EPrfZxsJ0V0UbhezI/edit?gid=590869320#gid=590869320"", ""Form responses 1!$AV:$AV"") = 3
    ),
    1
  ),
  ""Not Found""
)
"),"https://drive.google.com/open?id=1M7ts-bvYaSWsF0pRNcAyvJbEguTo5Kg7")</f>
        <v>https://drive.google.com/open?id=1M7ts-bvYaSWsF0pRNcAyvJbEguTo5Kg7</v>
      </c>
      <c r="L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1!$E:$E"")=$D50) *
        (IMPORTRANGE(""https://docs.google.com/spreadsheets/d/161aHT6vVT3SLneTKD19N5qVWtnj_jIT8CSsOmUVKmaA/"&amp;"edit?gid=1761053510"",
          ""Haris_Form responses 1!$AQ:$AQ"")=3)
      ),
      1
    ),
    ""0""
  ),
  ""Form not found""
)
"),"3")</f>
        <v>3</v>
      </c>
      <c r="M50" s="245" t="str">
        <f>IFERROR(__xludf.DUMMYFUNCTION("IFERROR(
  INDEX(
    FILTER(
      Transcription!$AJ:$AJ,
      TRIM(CLEAN(TEXT(Transcription!$F:$F, ""@""))) = TRIM(CLEAN(TEXT($D50, ""@""))),
      Transcription!$AO:$AO = 3
    ),
    1
  ),
  ""Not Found""
)
"),"https://drive.google.com/open?id=1CTOTa6yACncISJa68605b5jeJHde7UPh")</f>
        <v>https://drive.google.com/open?id=1CTOTa6yACncISJa68605b5jeJHde7UPh</v>
      </c>
      <c r="N50"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TRIM(CLEAN(TEXT($D50, ""@""))),
      IMPORTRANGE(""https://docs.google.com/spreadsheets/d/1SnQ_YxUmBUYKsKc82GyPP"&amp;"ovLO-EPrfZxsJ0V0UbhezI/edit?gid=590869320#gid=590869320"", ""Form responses 1!$AV:$AV"") = 4
    ),
    1
  ),
  ""Not Found""
)
"),"Not Found")</f>
        <v>Not Found</v>
      </c>
      <c r="O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1!$E:$E"")=$D50) *
        (IMPORTRANGE(""https://docs.google.com/spreadsheets/d/161aHT6vVT3SLneTKD19N5qVWtnj_jIT8CSsOmUVKmaA/"&amp;"edit?gid=1761053510"",
          ""Haris_Form responses 1!$AQ:$AQ"")=4)
      ),
      1
    ),
    ""0""
  ),
  ""Form not found""
)
"),"Form not found")</f>
        <v>Form not found</v>
      </c>
      <c r="P50" s="247" t="str">
        <f>IFERROR(__xludf.DUMMYFUNCTION("IFERROR(
  INDEX(
    FILTER(
      Transcription!$AJ:$AJ,
      TRIM(CLEAN(TEXT(Transcription!$F:$F, ""@""))) = TRIM(CLEAN(TEXT($D50, ""@""))),
      Transcription!$AO:$AO = 4
    ),
    1
  ),
  ""Not Found""
)
"),"Not Found")</f>
        <v>Not Found</v>
      </c>
      <c r="Q50"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TRIM(CLEAN(TEXT($D50, ""@""))),
      IMPORTRANGE(""https://docs.google.com/spreadsheets/d/1SnQ_YxUmBUYKsKc82GyPP"&amp;"ovLO-EPrfZxsJ0V0UbhezI/edit?gid=590869320#gid=590869320"", ""Form responses 1!$AV:$AV"") = 5
    ),
    1
  ),
  ""Not Found""
)
"),"Not Found")</f>
        <v>Not Found</v>
      </c>
      <c r="R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1!$E:$E"")=$D50) *
        (IMPORTRANGE(""https://docs.google.com/spreadsheets/d/161aHT6vVT3SLneTKD19N5qVWtnj_jIT8CSsOmUVKmaA/"&amp;"edit?gid=1761053510"",
          ""Haris_Form responses 1!$AQ:$AQ"")=5)
      ),
      1
    ),
    ""0""
  ),
  ""Form not found""
)
"),"Form not found")</f>
        <v>Form not found</v>
      </c>
      <c r="S50" s="247" t="str">
        <f>IFERROR(__xludf.DUMMYFUNCTION("IFERROR(
  INDEX(
    FILTER(
      Transcription!$AJ:$AJ,
      TRIM(CLEAN(TEXT(Transcription!$F:$F, ""@""))) = TRIM(CLEAN(TEXT($D50, ""@""))),
      Transcription!$AO:$AO = 5
    ),
    1
  ),
  ""Not Found""
)
"),"Not Found")</f>
        <v>Not Found</v>
      </c>
      <c r="T50"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TRIM(CLEAN(TEXT($D50, ""@""))),
      IMPORTRANGE(""https://docs.google.com/spreadsheets/d/1SnQ_YxUmBUYKsKc82GyPP"&amp;"ovLO-EPrfZxsJ0V0UbhezI/edit?gid=590869320#gid=590869320"", ""Form responses 1!$AV:$AV"") = 6
    ),
    1
  ),
  ""Not Found""
)
"),"Not Found")</f>
        <v>Not Found</v>
      </c>
      <c r="U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1!$E:$E"")=$D50) *
        (IMPORTRANGE(""https://docs.google.com/spreadsheets/d/161aHT6vVT3SLneTKD19N5qVWtnj_jIT8CSsOmUVKmaA/"&amp;"edit?gid=1761053510"",
          ""Haris_Form responses 1!$AQ:$AQ"")=6)
      ),
      1
    ),
    ""0""
  ),
  ""Form not found""
)
"),"Form not found")</f>
        <v>Form not found</v>
      </c>
      <c r="V50" s="247" t="str">
        <f>IFERROR(__xludf.DUMMYFUNCTION("IFERROR(
  INDEX(
    FILTER(
      Transcription!$AJ:$AJ,
      TRIM(CLEAN(TEXT(Transcription!$F:$F, ""@""))) = TRIM(CLEAN(TEXT($D50, ""@""))),
      Transcription!$AO:$AO = 6
    ),
    1
  ),
  ""Not Found""
)
"),"Not Found")</f>
        <v>Not Found</v>
      </c>
      <c r="Y50" s="8" t="s">
        <v>4523</v>
      </c>
      <c r="Z50" s="10">
        <f t="shared" si="1"/>
        <v>3</v>
      </c>
      <c r="AA50" s="10">
        <f t="shared" si="2"/>
        <v>0</v>
      </c>
    </row>
    <row r="51">
      <c r="A51" s="8" t="str">
        <f>VLOOKUP($D51,Sheet6!$B:$G,5,FALSE)</f>
        <v>Lahore</v>
      </c>
      <c r="B51" s="232" t="str">
        <f>VLOOKUP($D51,Sheet6!$B:$G,4,FALSE)</f>
        <v>Women Religious No Info Share</v>
      </c>
      <c r="C51" s="8">
        <v>3.0</v>
      </c>
      <c r="D51" s="8" t="s">
        <v>3058</v>
      </c>
      <c r="E5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TRIM(CLEAN(TEXT($D51, ""@""))),
      IMPORTRANGE(""https://docs.google.com/spreadsheets/d/1SnQ_YxUmBUYKsKc82GyPP"&amp;"ovLO-EPrfZxsJ0V0UbhezI/edit?gid=590869320#gid=590869320"", ""Form responses 1!$AV:$AV"") = 1
    ),
    1
  ),
  ""Not Found""
)
"),"https://drive.google.com/open?id=1gicFTcQk-_QdH2yU9UA0vD0lSq0Gwfgc")</f>
        <v>https://drive.google.com/open?id=1gicFTcQk-_QdH2yU9UA0vD0lSq0Gwfgc</v>
      </c>
      <c r="F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1!$E:$E"")=$D51) *
        (IMPORTRANGE(""https://docs.google.com/spreadsheets/d/161aHT6vVT3SLneTKD19N5qVWtnj_jIT8CSsOmUVKmaA/"&amp;"edit?gid=1761053510"",
          ""Haris_Form responses 1!$AQ:$AQ"")=1)
      ),
      1
    ),
    ""0""
  ),
  ""Form not found""
)
"),"1")</f>
        <v>1</v>
      </c>
      <c r="G51" s="256" t="s">
        <v>4531</v>
      </c>
      <c r="H5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TRIM(CLEAN(TEXT($D51, ""@""))),
      IMPORTRANGE(""https://docs.google.com/spreadsheets/d/1SnQ_YxUmBUYKsKc82GyPP"&amp;"ovLO-EPrfZxsJ0V0UbhezI/edit?gid=590869320#gid=590869320"", ""Form responses 1!$AV:$AV"") = 2
    ),
    1
  ),
  ""Not Found""
)
"),"https://drive.google.com/open?id=1T1q_XIYgKwu3_ElbddsMYCxHDcEJObdl")</f>
        <v>https://drive.google.com/open?id=1T1q_XIYgKwu3_ElbddsMYCxHDcEJObdl</v>
      </c>
      <c r="I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1!$E:$E"")=$D51) *
        (IMPORTRANGE(""https://docs.google.com/spreadsheets/d/161aHT6vVT3SLneTKD19N5qVWtnj_jIT8CSsOmUVKmaA/"&amp;"edit?gid=1761053510"",
          ""Haris_Form responses 1!$AQ:$AQ"")=2)
      ),
      1
    ),
    ""0""
  ),
  ""Form not found""
)
"),"2")</f>
        <v>2</v>
      </c>
      <c r="J51" s="245" t="str">
        <f>IFERROR(__xludf.DUMMYFUNCTION("IFERROR(
  INDEX(
    FILTER(
      Transcription!$AJ:$AJ,
      TRIM(CLEAN(TEXT(Transcription!$F:$F, ""@""))) = TRIM(CLEAN(TEXT($D51, ""@""))),
      Transcription!$AO:$AO = 2
    ),
    1
  ),
  ""Not Found""
)
"),"https://drive.google.com/open?id=1d_1tspO0x_TvJwQHQbsnE0BFmDjXLtO3")</f>
        <v>https://drive.google.com/open?id=1d_1tspO0x_TvJwQHQbsnE0BFmDjXLtO3</v>
      </c>
      <c r="K5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TRIM(CLEAN(TEXT($D51, ""@""))),
      IMPORTRANGE(""https://docs.google.com/spreadsheets/d/1SnQ_YxUmBUYKsKc82GyPP"&amp;"ovLO-EPrfZxsJ0V0UbhezI/edit?gid=590869320#gid=590869320"", ""Form responses 1!$AV:$AV"") = 3
    ),
    1
  ),
  ""Not Found""
)
"),"https://drive.google.com/open?id=1_xII8cy5N_UWbbJBcE2mVq-0lUwiLD47")</f>
        <v>https://drive.google.com/open?id=1_xII8cy5N_UWbbJBcE2mVq-0lUwiLD47</v>
      </c>
      <c r="L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1!$E:$E"")=$D51) *
        (IMPORTRANGE(""https://docs.google.com/spreadsheets/d/161aHT6vVT3SLneTKD19N5qVWtnj_jIT8CSsOmUVKmaA/"&amp;"edit?gid=1761053510"",
          ""Haris_Form responses 1!$AQ:$AQ"")=3)
      ),
      1
    ),
    ""0""
  ),
  ""Form not found""
)
"),"3")</f>
        <v>3</v>
      </c>
      <c r="M51" s="245" t="str">
        <f>IFERROR(__xludf.DUMMYFUNCTION("IFERROR(
  INDEX(
    FILTER(
      Transcription!$AJ:$AJ,
      TRIM(CLEAN(TEXT(Transcription!$F:$F, ""@""))) = TRIM(CLEAN(TEXT($D51, ""@""))),
      Transcription!$AO:$AO = 3
    ),
    1
  ),
  ""Not Found""
)
"),"https://drive.google.com/open?id=14Dk_UOciQGEXLDmYPO9pvMz9hP1F2zAK")</f>
        <v>https://drive.google.com/open?id=14Dk_UOciQGEXLDmYPO9pvMz9hP1F2zAK</v>
      </c>
      <c r="N5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TRIM(CLEAN(TEXT($D51, ""@""))),
      IMPORTRANGE(""https://docs.google.com/spreadsheets/d/1SnQ_YxUmBUYKsKc82GyPP"&amp;"ovLO-EPrfZxsJ0V0UbhezI/edit?gid=590869320#gid=590869320"", ""Form responses 1!$AV:$AV"") = 4
    ),
    1
  ),
  ""Not Found""
)
"),"Not Found")</f>
        <v>Not Found</v>
      </c>
      <c r="O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1!$E:$E"")=$D51) *
        (IMPORTRANGE(""https://docs.google.com/spreadsheets/d/161aHT6vVT3SLneTKD19N5qVWtnj_jIT8CSsOmUVKmaA/"&amp;"edit?gid=1761053510"",
          ""Haris_Form responses 1!$AQ:$AQ"")=4)
      ),
      1
    ),
    ""0""
  ),
  ""Form not found""
)
"),"Form not found")</f>
        <v>Form not found</v>
      </c>
      <c r="P51" s="247" t="str">
        <f>IFERROR(__xludf.DUMMYFUNCTION("IFERROR(
  INDEX(
    FILTER(
      Transcription!$AJ:$AJ,
      TRIM(CLEAN(TEXT(Transcription!$F:$F, ""@""))) = TRIM(CLEAN(TEXT($D51, ""@""))),
      Transcription!$AO:$AO = 4
    ),
    1
  ),
  ""Not Found""
)
"),"Not Found")</f>
        <v>Not Found</v>
      </c>
      <c r="Q5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TRIM(CLEAN(TEXT($D51, ""@""))),
      IMPORTRANGE(""https://docs.google.com/spreadsheets/d/1SnQ_YxUmBUYKsKc82GyPP"&amp;"ovLO-EPrfZxsJ0V0UbhezI/edit?gid=590869320#gid=590869320"", ""Form responses 1!$AV:$AV"") = 5
    ),
    1
  ),
  ""Not Found""
)
"),"Not Found")</f>
        <v>Not Found</v>
      </c>
      <c r="R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1!$E:$E"")=$D51) *
        (IMPORTRANGE(""https://docs.google.com/spreadsheets/d/161aHT6vVT3SLneTKD19N5qVWtnj_jIT8CSsOmUVKmaA/"&amp;"edit?gid=1761053510"",
          ""Haris_Form responses 1!$AQ:$AQ"")=5)
      ),
      1
    ),
    ""0""
  ),
  ""Form not found""
)
"),"Form not found")</f>
        <v>Form not found</v>
      </c>
      <c r="S51" s="247" t="str">
        <f>IFERROR(__xludf.DUMMYFUNCTION("IFERROR(
  INDEX(
    FILTER(
      Transcription!$AJ:$AJ,
      TRIM(CLEAN(TEXT(Transcription!$F:$F, ""@""))) = TRIM(CLEAN(TEXT($D51, ""@""))),
      Transcription!$AO:$AO = 5
    ),
    1
  ),
  ""Not Found""
)
"),"Not Found")</f>
        <v>Not Found</v>
      </c>
      <c r="T51"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TRIM(CLEAN(TEXT($D51, ""@""))),
      IMPORTRANGE(""https://docs.google.com/spreadsheets/d/1SnQ_YxUmBUYKsKc82GyPP"&amp;"ovLO-EPrfZxsJ0V0UbhezI/edit?gid=590869320#gid=590869320"", ""Form responses 1!$AV:$AV"") = 6
    ),
    1
  ),
  ""Not Found""
)
"),"Not Found")</f>
        <v>Not Found</v>
      </c>
      <c r="U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1!$E:$E"")=$D51) *
        (IMPORTRANGE(""https://docs.google.com/spreadsheets/d/161aHT6vVT3SLneTKD19N5qVWtnj_jIT8CSsOmUVKmaA/"&amp;"edit?gid=1761053510"",
          ""Haris_Form responses 1!$AQ:$AQ"")=6)
      ),
      1
    ),
    ""0""
  ),
  ""Form not found""
)
"),"Form not found")</f>
        <v>Form not found</v>
      </c>
      <c r="V51" s="247" t="str">
        <f>IFERROR(__xludf.DUMMYFUNCTION("IFERROR(
  INDEX(
    FILTER(
      Transcription!$AJ:$AJ,
      TRIM(CLEAN(TEXT(Transcription!$F:$F, ""@""))) = TRIM(CLEAN(TEXT($D51, ""@""))),
      Transcription!$AO:$AO = 6
    ),
    1
  ),
  ""Not Found""
)
"),"Not Found")</f>
        <v>Not Found</v>
      </c>
      <c r="Y51" s="8" t="s">
        <v>4523</v>
      </c>
      <c r="Z51" s="10">
        <f t="shared" si="1"/>
        <v>3</v>
      </c>
      <c r="AA51" s="10">
        <f t="shared" si="2"/>
        <v>0</v>
      </c>
    </row>
    <row r="52">
      <c r="A52" s="8" t="str">
        <f>VLOOKUP($D52,Sheet6!$B:$G,5,FALSE)</f>
        <v>Lahore</v>
      </c>
      <c r="B52" s="232" t="str">
        <f>VLOOKUP($D52,Sheet6!$B:$G,4,FALSE)</f>
        <v>Community Secular Info Share</v>
      </c>
      <c r="C52" s="8">
        <v>3.0</v>
      </c>
      <c r="D52" s="8" t="s">
        <v>3050</v>
      </c>
      <c r="E5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TRIM(CLEAN(TEXT($D52, ""@""))),
      IMPORTRANGE(""https://docs.google.com/spreadsheets/d/1SnQ_YxUmBUYKsKc82GyPP"&amp;"ovLO-EPrfZxsJ0V0UbhezI/edit?gid=590869320#gid=590869320"", ""Form responses 1!$AV:$AV"") = 1
    ),
    1
  ),
  ""Not Found""
)
"),"https://drive.google.com/open?id=1lY0Nh6eGClNmRUr0qSNxxtfCvKa8xp0k")</f>
        <v>https://drive.google.com/open?id=1lY0Nh6eGClNmRUr0qSNxxtfCvKa8xp0k</v>
      </c>
      <c r="F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1!$E:$E"")=$D52) *
        (IMPORTRANGE(""https://docs.google.com/spreadsheets/d/161aHT6vVT3SLneTKD19N5qVWtnj_jIT8CSsOmUVKmaA/"&amp;"edit?gid=1761053510"",
          ""Haris_Form responses 1!$AQ:$AQ"")=1)
      ),
      1
    ),
    ""0""
  ),
  ""Form not found""
)
"),"1")</f>
        <v>1</v>
      </c>
      <c r="G52" s="245" t="str">
        <f>IFERROR(__xludf.DUMMYFUNCTION("IFERROR(
  INDEX(
    FILTER(
      Transcription!$AJ:$AJ,
      TRIM(CLEAN(TEXT(Transcription!$F:$F, ""@""))) = TRIM(CLEAN(TEXT($D52, ""@""))),
      Transcription!$AO:$AO = 1
    ),
    1
  ),
  ""Not Found""
)
"),"https://drive.google.com/open?id=1rAX0n3LUlDU_Um53O6ie9-wPvZE-Ubyj")</f>
        <v>https://drive.google.com/open?id=1rAX0n3LUlDU_Um53O6ie9-wPvZE-Ubyj</v>
      </c>
      <c r="H5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TRIM(CLEAN(TEXT($D52, ""@""))),
      IMPORTRANGE(""https://docs.google.com/spreadsheets/d/1SnQ_YxUmBUYKsKc82GyPP"&amp;"ovLO-EPrfZxsJ0V0UbhezI/edit?gid=590869320#gid=590869320"", ""Form responses 1!$AV:$AV"") = 2
    ),
    1
  ),
  ""Not Found""
)
"),"https://drive.google.com/open?id=1NGMwYqpWMWATWTucq3sFrdpCl9K_5v8w")</f>
        <v>https://drive.google.com/open?id=1NGMwYqpWMWATWTucq3sFrdpCl9K_5v8w</v>
      </c>
      <c r="I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1!$E:$E"")=$D52) *
        (IMPORTRANGE(""https://docs.google.com/spreadsheets/d/161aHT6vVT3SLneTKD19N5qVWtnj_jIT8CSsOmUVKmaA/"&amp;"edit?gid=1761053510"",
          ""Haris_Form responses 1!$AQ:$AQ"")=2)
      ),
      1
    ),
    ""0""
  ),
  ""Form not found""
)
"),"2")</f>
        <v>2</v>
      </c>
      <c r="J52" s="245" t="str">
        <f>IFERROR(__xludf.DUMMYFUNCTION("IFERROR(
  INDEX(
    FILTER(
      Transcription!$AJ:$AJ,
      TRIM(CLEAN(TEXT(Transcription!$F:$F, ""@""))) = TRIM(CLEAN(TEXT($D52, ""@""))),
      Transcription!$AO:$AO = 2
    ),
    1
  ),
  ""Not Found""
)
"),"https://drive.google.com/open?id=1-B-LE23gtDIabp76cwDES8uVNbWHEd2r")</f>
        <v>https://drive.google.com/open?id=1-B-LE23gtDIabp76cwDES8uVNbWHEd2r</v>
      </c>
      <c r="K5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TRIM(CLEAN(TEXT($D52, ""@""))),
      IMPORTRANGE(""https://docs.google.com/spreadsheets/d/1SnQ_YxUmBUYKsKc82GyPP"&amp;"ovLO-EPrfZxsJ0V0UbhezI/edit?gid=590869320#gid=590869320"", ""Form responses 1!$AV:$AV"") = 3
    ),
    1
  ),
  ""Not Found""
)
"),"https://drive.google.com/open?id=1b3LTQASZsJHic1F_aly23JVfU2nR_e9i")</f>
        <v>https://drive.google.com/open?id=1b3LTQASZsJHic1F_aly23JVfU2nR_e9i</v>
      </c>
      <c r="L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1!$E:$E"")=$D52) *
        (IMPORTRANGE(""https://docs.google.com/spreadsheets/d/161aHT6vVT3SLneTKD19N5qVWtnj_jIT8CSsOmUVKmaA/"&amp;"edit?gid=1761053510"",
          ""Haris_Form responses 1!$AQ:$AQ"")=3)
      ),
      1
    ),
    ""0""
  ),
  ""Form not found""
)
"),"3")</f>
        <v>3</v>
      </c>
      <c r="M52" s="245" t="str">
        <f>IFERROR(__xludf.DUMMYFUNCTION("IFERROR(
  INDEX(
    FILTER(
      Transcription!$AJ:$AJ,
      TRIM(CLEAN(TEXT(Transcription!$F:$F, ""@""))) = TRIM(CLEAN(TEXT($D52, ""@""))),
      Transcription!$AO:$AO = 3
    ),
    1
  ),
  ""Not Found""
)
"),"https://drive.google.com/open?id=12L1ejTiAh8HHG9xqc-sD5RHI2Zu5tAYn")</f>
        <v>https://drive.google.com/open?id=12L1ejTiAh8HHG9xqc-sD5RHI2Zu5tAYn</v>
      </c>
      <c r="N52"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TRIM(CLEAN(TEXT($D52, ""@""))),
      IMPORTRANGE(""https://docs.google.com/spreadsheets/d/1SnQ_YxUmBUYKsKc82GyPP"&amp;"ovLO-EPrfZxsJ0V0UbhezI/edit?gid=590869320#gid=590869320"", ""Form responses 1!$AV:$AV"") = 4
    ),
    1
  ),
  ""Not Found""
)
"),"Not Found")</f>
        <v>Not Found</v>
      </c>
      <c r="O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1!$E:$E"")=$D52) *
        (IMPORTRANGE(""https://docs.google.com/spreadsheets/d/161aHT6vVT3SLneTKD19N5qVWtnj_jIT8CSsOmUVKmaA/"&amp;"edit?gid=1761053510"",
          ""Haris_Form responses 1!$AQ:$AQ"")=4)
      ),
      1
    ),
    ""0""
  ),
  ""Form not found""
)
"),"Form not found")</f>
        <v>Form not found</v>
      </c>
      <c r="P52" s="247" t="str">
        <f>IFERROR(__xludf.DUMMYFUNCTION("IFERROR(
  INDEX(
    FILTER(
      Transcription!$AJ:$AJ,
      TRIM(CLEAN(TEXT(Transcription!$F:$F, ""@""))) = TRIM(CLEAN(TEXT($D52, ""@""))),
      Transcription!$AO:$AO = 4
    ),
    1
  ),
  ""Not Found""
)
"),"Not Found")</f>
        <v>Not Found</v>
      </c>
      <c r="Q52"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TRIM(CLEAN(TEXT($D52, ""@""))),
      IMPORTRANGE(""https://docs.google.com/spreadsheets/d/1SnQ_YxUmBUYKsKc82GyPP"&amp;"ovLO-EPrfZxsJ0V0UbhezI/edit?gid=590869320#gid=590869320"", ""Form responses 1!$AV:$AV"") = 5
    ),
    1
  ),
  ""Not Found""
)
"),"Not Found")</f>
        <v>Not Found</v>
      </c>
      <c r="R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1!$E:$E"")=$D52) *
        (IMPORTRANGE(""https://docs.google.com/spreadsheets/d/161aHT6vVT3SLneTKD19N5qVWtnj_jIT8CSsOmUVKmaA/"&amp;"edit?gid=1761053510"",
          ""Haris_Form responses 1!$AQ:$AQ"")=5)
      ),
      1
    ),
    ""0""
  ),
  ""Form not found""
)
"),"Form not found")</f>
        <v>Form not found</v>
      </c>
      <c r="S52" s="247" t="str">
        <f>IFERROR(__xludf.DUMMYFUNCTION("IFERROR(
  INDEX(
    FILTER(
      Transcription!$AJ:$AJ,
      TRIM(CLEAN(TEXT(Transcription!$F:$F, ""@""))) = TRIM(CLEAN(TEXT($D52, ""@""))),
      Transcription!$AO:$AO = 5
    ),
    1
  ),
  ""Not Found""
)
"),"Not Found")</f>
        <v>Not Found</v>
      </c>
      <c r="T52"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TRIM(CLEAN(TEXT($D52, ""@""))),
      IMPORTRANGE(""https://docs.google.com/spreadsheets/d/1SnQ_YxUmBUYKsKc82GyPP"&amp;"ovLO-EPrfZxsJ0V0UbhezI/edit?gid=590869320#gid=590869320"", ""Form responses 1!$AV:$AV"") = 6
    ),
    1
  ),
  ""Not Found""
)
"),"Not Found")</f>
        <v>Not Found</v>
      </c>
      <c r="U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1!$E:$E"")=$D52) *
        (IMPORTRANGE(""https://docs.google.com/spreadsheets/d/161aHT6vVT3SLneTKD19N5qVWtnj_jIT8CSsOmUVKmaA/"&amp;"edit?gid=1761053510"",
          ""Haris_Form responses 1!$AQ:$AQ"")=6)
      ),
      1
    ),
    ""0""
  ),
  ""Form not found""
)
"),"Form not found")</f>
        <v>Form not found</v>
      </c>
      <c r="V52" s="247" t="str">
        <f>IFERROR(__xludf.DUMMYFUNCTION("IFERROR(
  INDEX(
    FILTER(
      Transcription!$AJ:$AJ,
      TRIM(CLEAN(TEXT(Transcription!$F:$F, ""@""))) = TRIM(CLEAN(TEXT($D52, ""@""))),
      Transcription!$AO:$AO = 6
    ),
    1
  ),
  ""Not Found""
)
"),"Not Found")</f>
        <v>Not Found</v>
      </c>
      <c r="X52" s="8" t="s">
        <v>4521</v>
      </c>
      <c r="Y52" s="8" t="s">
        <v>4523</v>
      </c>
      <c r="Z52" s="10">
        <f t="shared" si="1"/>
        <v>3</v>
      </c>
      <c r="AA52" s="10">
        <f t="shared" si="2"/>
        <v>0</v>
      </c>
    </row>
    <row r="53">
      <c r="A53" s="8" t="str">
        <f>VLOOKUP($D53,Sheet6!$B:$G,5,FALSE)</f>
        <v>Lahore</v>
      </c>
      <c r="B53" s="232" t="str">
        <f>VLOOKUP($D53,Sheet6!$B:$G,4,FALSE)</f>
        <v>Control</v>
      </c>
      <c r="C53" s="8">
        <v>2.0</v>
      </c>
      <c r="D53" s="8" t="s">
        <v>1132</v>
      </c>
      <c r="E5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TRIM(CLEAN(TEXT($D53, ""@""))),
      IMPORTRANGE(""https://docs.google.com/spreadsheets/d/1SnQ_YxUmBUYKsKc82GyPP"&amp;"ovLO-EPrfZxsJ0V0UbhezI/edit?gid=590869320#gid=590869320"", ""Form responses 1!$AV:$AV"") = 1
    ),
    1
  ),
  ""Not Found""
)
"),"https://drive.google.com/file/d/10t5dEi-iadyBUES3Xt9I0YDO3RreLvLn/view?usp=drive_link")</f>
        <v>https://drive.google.com/file/d/10t5dEi-iadyBUES3Xt9I0YDO3RreLvLn/view?usp=drive_link</v>
      </c>
      <c r="F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1!$E:$E"")=$D53) *
        (IMPORTRANGE(""https://docs.google.com/spreadsheets/d/161aHT6vVT3SLneTKD19N5qVWtnj_jIT8CSsOmUVKmaA/"&amp;"edit?gid=1761053510"",
          ""Haris_Form responses 1!$AQ:$AQ"")=1)
      ),
      1
    ),
    ""0""
  ),
  ""Form not found""
)
"),"1")</f>
        <v>1</v>
      </c>
      <c r="G53" s="245" t="str">
        <f>IFERROR(__xludf.DUMMYFUNCTION("IFERROR(
  INDEX(
    FILTER(
      Transcription!$AJ:$AJ,
      TRIM(CLEAN(TEXT(Transcription!$F:$F, ""@""))) = TRIM(CLEAN(TEXT($D53, ""@""))),
      Transcription!$AO:$AO = 1
    ),
    1
  ),
  ""Not Found""
)
"),"https://drive.google.com/open?id=1G5BZOT-IGJHK--PASd_eGs4ZIR4_Ij6d")</f>
        <v>https://drive.google.com/open?id=1G5BZOT-IGJHK--PASd_eGs4ZIR4_Ij6d</v>
      </c>
      <c r="H53"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TRIM(CLEAN(TEXT($D53, ""@""))),
      IMPORTRANGE(""https://docs.google.com/spreadsheets/d/1SnQ_YxUmBUYKsKc82GyPP"&amp;"ovLO-EPrfZxsJ0V0UbhezI/edit?gid=590869320#gid=590869320"", ""Form responses 1!$AV:$AV"") = 2
    ),
    1
  ),
  ""Not Found""
)
"),"Not Found")</f>
        <v>Not Found</v>
      </c>
      <c r="I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1!$E:$E"")=$D53) *
        (IMPORTRANGE(""https://docs.google.com/spreadsheets/d/161aHT6vVT3SLneTKD19N5qVWtnj_jIT8CSsOmUVKmaA/"&amp;"edit?gid=1761053510"",
          ""Haris_Form responses 1!$AQ:$AQ"")=2)
      ),
      1
    ),
    ""0""
  ),
  ""Form not found""
)
"),"Form not found")</f>
        <v>Form not found</v>
      </c>
      <c r="J53" s="247" t="str">
        <f>IFERROR(__xludf.DUMMYFUNCTION("IFERROR(
  INDEX(
    FILTER(
      Transcription!$AJ:$AJ,
      TRIM(CLEAN(TEXT(Transcription!$F:$F, ""@""))) = TRIM(CLEAN(TEXT($D53, ""@""))),
      Transcription!$AO:$AO = 2
    ),
    1
  ),
  ""Not Found""
)
"),"Not Found")</f>
        <v>Not Found</v>
      </c>
      <c r="K5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TRIM(CLEAN(TEXT($D53, ""@""))),
      IMPORTRANGE(""https://docs.google.com/spreadsheets/d/1SnQ_YxUmBUYKsKc82GyPP"&amp;"ovLO-EPrfZxsJ0V0UbhezI/edit?gid=590869320#gid=590869320"", ""Form responses 1!$AV:$AV"") = 3
    ),
    1
  ),
  ""Not Found""
)
"),"https://drive.google.com/open?id=1QOvOPJhmZky9b-jN9akyFd5_h8L1FadB")</f>
        <v>https://drive.google.com/open?id=1QOvOPJhmZky9b-jN9akyFd5_h8L1FadB</v>
      </c>
      <c r="L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1!$E:$E"")=$D53) *
        (IMPORTRANGE(""https://docs.google.com/spreadsheets/d/161aHT6vVT3SLneTKD19N5qVWtnj_jIT8CSsOmUVKmaA/"&amp;"edit?gid=1761053510"",
          ""Haris_Form responses 1!$AQ:$AQ"")=3)
      ),
      1
    ),
    ""0""
  ),
  ""Form not found""
)
"),"3")</f>
        <v>3</v>
      </c>
      <c r="M53" s="245" t="str">
        <f>IFERROR(__xludf.DUMMYFUNCTION("IFERROR(
  INDEX(
    FILTER(
      Transcription!$AJ:$AJ,
      TRIM(CLEAN(TEXT(Transcription!$F:$F, ""@""))) = TRIM(CLEAN(TEXT($D53, ""@""))),
      Transcription!$AO:$AO = 3
    ),
    1
  ),
  ""Not Found""
)
"),"https://drive.google.com/open?id=1dAMeMnxBS_hj-ujumPptLJdN9d9HWjcb")</f>
        <v>https://drive.google.com/open?id=1dAMeMnxBS_hj-ujumPptLJdN9d9HWjcb</v>
      </c>
      <c r="N53"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TRIM(CLEAN(TEXT($D53, ""@""))),
      IMPORTRANGE(""https://docs.google.com/spreadsheets/d/1SnQ_YxUmBUYKsKc82GyPP"&amp;"ovLO-EPrfZxsJ0V0UbhezI/edit?gid=590869320#gid=590869320"", ""Form responses 1!$AV:$AV"") = 4
    ),
    1
  ),
  ""Not Found""
)
"),"Not Found")</f>
        <v>Not Found</v>
      </c>
      <c r="O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1!$E:$E"")=$D53) *
        (IMPORTRANGE(""https://docs.google.com/spreadsheets/d/161aHT6vVT3SLneTKD19N5qVWtnj_jIT8CSsOmUVKmaA/"&amp;"edit?gid=1761053510"",
          ""Haris_Form responses 1!$AQ:$AQ"")=4)
      ),
      1
    ),
    ""0""
  ),
  ""Form not found""
)
"),"Form not found")</f>
        <v>Form not found</v>
      </c>
      <c r="P53" s="247" t="str">
        <f>IFERROR(__xludf.DUMMYFUNCTION("IFERROR(
  INDEX(
    FILTER(
      Transcription!$AJ:$AJ,
      TRIM(CLEAN(TEXT(Transcription!$F:$F, ""@""))) = TRIM(CLEAN(TEXT($D53, ""@""))),
      Transcription!$AO:$AO = 4
    ),
    1
  ),
  ""Not Found""
)
"),"Not Found")</f>
        <v>Not Found</v>
      </c>
      <c r="Q53"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TRIM(CLEAN(TEXT($D53, ""@""))),
      IMPORTRANGE(""https://docs.google.com/spreadsheets/d/1SnQ_YxUmBUYKsKc82GyPP"&amp;"ovLO-EPrfZxsJ0V0UbhezI/edit?gid=590869320#gid=590869320"", ""Form responses 1!$AV:$AV"") = 5
    ),
    1
  ),
  ""Not Found""
)
"),"Not Found")</f>
        <v>Not Found</v>
      </c>
      <c r="R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1!$E:$E"")=$D53) *
        (IMPORTRANGE(""https://docs.google.com/spreadsheets/d/161aHT6vVT3SLneTKD19N5qVWtnj_jIT8CSsOmUVKmaA/"&amp;"edit?gid=1761053510"",
          ""Haris_Form responses 1!$AQ:$AQ"")=5)
      ),
      1
    ),
    ""0""
  ),
  ""Form not found""
)
"),"Form not found")</f>
        <v>Form not found</v>
      </c>
      <c r="S53" s="247" t="str">
        <f>IFERROR(__xludf.DUMMYFUNCTION("IFERROR(
  INDEX(
    FILTER(
      Transcription!$AJ:$AJ,
      TRIM(CLEAN(TEXT(Transcription!$F:$F, ""@""))) = TRIM(CLEAN(TEXT($D53, ""@""))),
      Transcription!$AO:$AO = 5
    ),
    1
  ),
  ""Not Found""
)
"),"Not Found")</f>
        <v>Not Found</v>
      </c>
      <c r="T53"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TRIM(CLEAN(TEXT($D53, ""@""))),
      IMPORTRANGE(""https://docs.google.com/spreadsheets/d/1SnQ_YxUmBUYKsKc82GyPP"&amp;"ovLO-EPrfZxsJ0V0UbhezI/edit?gid=590869320#gid=590869320"", ""Form responses 1!$AV:$AV"") = 6
    ),
    1
  ),
  ""Not Found""
)
"),"Not Found")</f>
        <v>Not Found</v>
      </c>
      <c r="U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1!$E:$E"")=$D53) *
        (IMPORTRANGE(""https://docs.google.com/spreadsheets/d/161aHT6vVT3SLneTKD19N5qVWtnj_jIT8CSsOmUVKmaA/"&amp;"edit?gid=1761053510"",
          ""Haris_Form responses 1!$AQ:$AQ"")=6)
      ),
      1
    ),
    ""0""
  ),
  ""Form not found""
)
"),"Form not found")</f>
        <v>Form not found</v>
      </c>
      <c r="V53" s="247" t="str">
        <f>IFERROR(__xludf.DUMMYFUNCTION("IFERROR(
  INDEX(
    FILTER(
      Transcription!$AJ:$AJ,
      TRIM(CLEAN(TEXT(Transcription!$F:$F, ""@""))) = TRIM(CLEAN(TEXT($D53, ""@""))),
      Transcription!$AO:$AO = 6
    ),
    1
  ),
  ""Not Found""
)
"),"Not Found")</f>
        <v>Not Found</v>
      </c>
      <c r="X53" s="8" t="s">
        <v>4532</v>
      </c>
      <c r="Y53" s="8" t="s">
        <v>4523</v>
      </c>
      <c r="Z53" s="10">
        <f t="shared" si="1"/>
        <v>2</v>
      </c>
      <c r="AA53" s="10">
        <f t="shared" si="2"/>
        <v>0</v>
      </c>
    </row>
    <row r="54">
      <c r="A54" s="8" t="str">
        <f>VLOOKUP($D54,Sheet6!$B:$G,5,FALSE)</f>
        <v>Lahore</v>
      </c>
      <c r="B54" s="232" t="str">
        <f>VLOOKUP($D54,Sheet6!$B:$G,4,FALSE)</f>
        <v>Control</v>
      </c>
      <c r="C54" s="8">
        <v>2.0</v>
      </c>
      <c r="D54" s="8" t="s">
        <v>3304</v>
      </c>
      <c r="E5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TRIM(CLEAN(TEXT($D54, ""@""))),
      IMPORTRANGE(""https://docs.google.com/spreadsheets/d/1SnQ_YxUmBUYKsKc82GyPP"&amp;"ovLO-EPrfZxsJ0V0UbhezI/edit?gid=590869320#gid=590869320"", ""Form responses 1!$AV:$AV"") = 1
    ),
    1
  ),
  ""Not Found""
)
"),"https://drive.google.com/open?id=1Q03uSOK2D5Zl2DjZAMouMa_gAPerOaz5")</f>
        <v>https://drive.google.com/open?id=1Q03uSOK2D5Zl2DjZAMouMa_gAPerOaz5</v>
      </c>
      <c r="F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1!$E:$E"")=$D54) *
        (IMPORTRANGE(""https://docs.google.com/spreadsheets/d/161aHT6vVT3SLneTKD19N5qVWtnj_jIT8CSsOmUVKmaA/"&amp;"edit?gid=1761053510"",
          ""Haris_Form responses 1!$AQ:$AQ"")=1)
      ),
      1
    ),
    ""0""
  ),
  ""Form not found""
)
"),"1")</f>
        <v>1</v>
      </c>
      <c r="G54" s="245" t="str">
        <f>IFERROR(__xludf.DUMMYFUNCTION("IFERROR(
  INDEX(
    FILTER(
      Transcription!$AJ:$AJ,
      TRIM(CLEAN(TEXT(Transcription!$F:$F, ""@""))) = TRIM(CLEAN(TEXT($D54, ""@""))),
      Transcription!$AO:$AO = 1
    ),
    1
  ),
  ""Not Found""
)
"),"https://drive.google.com/open?id=1KXVwZxf4RcqwtG_KKLxPvtjk8ABjSXSV")</f>
        <v>https://drive.google.com/open?id=1KXVwZxf4RcqwtG_KKLxPvtjk8ABjSXSV</v>
      </c>
      <c r="H5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TRIM(CLEAN(TEXT($D54, ""@""))),
      IMPORTRANGE(""https://docs.google.com/spreadsheets/d/1SnQ_YxUmBUYKsKc82GyPP"&amp;"ovLO-EPrfZxsJ0V0UbhezI/edit?gid=590869320#gid=590869320"", ""Form responses 1!$AV:$AV"") = 2
    ),
    1
  ),
  ""Not Found""
)
"),"Not Found")</f>
        <v>Not Found</v>
      </c>
      <c r="I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1!$E:$E"")=$D54) *
        (IMPORTRANGE(""https://docs.google.com/spreadsheets/d/161aHT6vVT3SLneTKD19N5qVWtnj_jIT8CSsOmUVKmaA/"&amp;"edit?gid=1761053510"",
          ""Haris_Form responses 1!$AQ:$AQ"")=2)
      ),
      1
    ),
    ""0""
  ),
  ""Form not found""
)
"),"Form not found")</f>
        <v>Form not found</v>
      </c>
      <c r="J54" s="247" t="str">
        <f>IFERROR(__xludf.DUMMYFUNCTION("IFERROR(
  INDEX(
    FILTER(
      Transcription!$AJ:$AJ,
      TRIM(CLEAN(TEXT(Transcription!$F:$F, ""@""))) = TRIM(CLEAN(TEXT($D54, ""@""))),
      Transcription!$AO:$AO = 2
    ),
    1
  ),
  ""Not Found""
)
"),"Not Found")</f>
        <v>Not Found</v>
      </c>
      <c r="K5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TRIM(CLEAN(TEXT($D54, ""@""))),
      IMPORTRANGE(""https://docs.google.com/spreadsheets/d/1SnQ_YxUmBUYKsKc82GyPP"&amp;"ovLO-EPrfZxsJ0V0UbhezI/edit?gid=590869320#gid=590869320"", ""Form responses 1!$AV:$AV"") = 3
    ),
    1
  ),
  ""Not Found""
)
"),"https://drive.google.com/open?id=1MQOcyurhjq27OQU_3Cv0nS144v_iL3rE")</f>
        <v>https://drive.google.com/open?id=1MQOcyurhjq27OQU_3Cv0nS144v_iL3rE</v>
      </c>
      <c r="L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1!$E:$E"")=$D54) *
        (IMPORTRANGE(""https://docs.google.com/spreadsheets/d/161aHT6vVT3SLneTKD19N5qVWtnj_jIT8CSsOmUVKmaA/"&amp;"edit?gid=1761053510"",
          ""Haris_Form responses 1!$AQ:$AQ"")=3)
      ),
      1
    ),
    ""0""
  ),
  ""Form not found""
)
"),"3")</f>
        <v>3</v>
      </c>
      <c r="M54" s="245" t="str">
        <f>IFERROR(__xludf.DUMMYFUNCTION("IFERROR(
  INDEX(
    FILTER(
      Transcription!$AJ:$AJ,
      TRIM(CLEAN(TEXT(Transcription!$F:$F, ""@""))) = TRIM(CLEAN(TEXT($D54, ""@""))),
      Transcription!$AO:$AO = 3
    ),
    1
  ),
  ""Not Found""
)
"),"https://drive.google.com/open?id=1AJscQ5nm3ni23yD6I78zRuX00HK_rs-8")</f>
        <v>https://drive.google.com/open?id=1AJscQ5nm3ni23yD6I78zRuX00HK_rs-8</v>
      </c>
      <c r="N5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TRIM(CLEAN(TEXT($D54, ""@""))),
      IMPORTRANGE(""https://docs.google.com/spreadsheets/d/1SnQ_YxUmBUYKsKc82GyPP"&amp;"ovLO-EPrfZxsJ0V0UbhezI/edit?gid=590869320#gid=590869320"", ""Form responses 1!$AV:$AV"") = 4
    ),
    1
  ),
  ""Not Found""
)
"),"Not Found")</f>
        <v>Not Found</v>
      </c>
      <c r="O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1!$E:$E"")=$D54) *
        (IMPORTRANGE(""https://docs.google.com/spreadsheets/d/161aHT6vVT3SLneTKD19N5qVWtnj_jIT8CSsOmUVKmaA/"&amp;"edit?gid=1761053510"",
          ""Haris_Form responses 1!$AQ:$AQ"")=4)
      ),
      1
    ),
    ""0""
  ),
  ""Form not found""
)
"),"Form not found")</f>
        <v>Form not found</v>
      </c>
      <c r="P54" s="247" t="str">
        <f>IFERROR(__xludf.DUMMYFUNCTION("IFERROR(
  INDEX(
    FILTER(
      Transcription!$AJ:$AJ,
      TRIM(CLEAN(TEXT(Transcription!$F:$F, ""@""))) = TRIM(CLEAN(TEXT($D54, ""@""))),
      Transcription!$AO:$AO = 4
    ),
    1
  ),
  ""Not Found""
)
"),"Not Found")</f>
        <v>Not Found</v>
      </c>
      <c r="Q5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TRIM(CLEAN(TEXT($D54, ""@""))),
      IMPORTRANGE(""https://docs.google.com/spreadsheets/d/1SnQ_YxUmBUYKsKc82GyPP"&amp;"ovLO-EPrfZxsJ0V0UbhezI/edit?gid=590869320#gid=590869320"", ""Form responses 1!$AV:$AV"") = 5
    ),
    1
  ),
  ""Not Found""
)
"),"Not Found")</f>
        <v>Not Found</v>
      </c>
      <c r="R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1!$E:$E"")=$D54) *
        (IMPORTRANGE(""https://docs.google.com/spreadsheets/d/161aHT6vVT3SLneTKD19N5qVWtnj_jIT8CSsOmUVKmaA/"&amp;"edit?gid=1761053510"",
          ""Haris_Form responses 1!$AQ:$AQ"")=5)
      ),
      1
    ),
    ""0""
  ),
  ""Form not found""
)
"),"Form not found")</f>
        <v>Form not found</v>
      </c>
      <c r="S54" s="247" t="str">
        <f>IFERROR(__xludf.DUMMYFUNCTION("IFERROR(
  INDEX(
    FILTER(
      Transcription!$AJ:$AJ,
      TRIM(CLEAN(TEXT(Transcription!$F:$F, ""@""))) = TRIM(CLEAN(TEXT($D54, ""@""))),
      Transcription!$AO:$AO = 5
    ),
    1
  ),
  ""Not Found""
)
"),"Not Found")</f>
        <v>Not Found</v>
      </c>
      <c r="T54"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TRIM(CLEAN(TEXT($D54, ""@""))),
      IMPORTRANGE(""https://docs.google.com/spreadsheets/d/1SnQ_YxUmBUYKsKc82GyPP"&amp;"ovLO-EPrfZxsJ0V0UbhezI/edit?gid=590869320#gid=590869320"", ""Form responses 1!$AV:$AV"") = 6
    ),
    1
  ),
  ""Not Found""
)
"),"Not Found")</f>
        <v>Not Found</v>
      </c>
      <c r="U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1!$E:$E"")=$D54) *
        (IMPORTRANGE(""https://docs.google.com/spreadsheets/d/161aHT6vVT3SLneTKD19N5qVWtnj_jIT8CSsOmUVKmaA/"&amp;"edit?gid=1761053510"",
          ""Haris_Form responses 1!$AQ:$AQ"")=6)
      ),
      1
    ),
    ""0""
  ),
  ""Form not found""
)
"),"Form not found")</f>
        <v>Form not found</v>
      </c>
      <c r="V54" s="247" t="str">
        <f>IFERROR(__xludf.DUMMYFUNCTION("IFERROR(
  INDEX(
    FILTER(
      Transcription!$AJ:$AJ,
      TRIM(CLEAN(TEXT(Transcription!$F:$F, ""@""))) = TRIM(CLEAN(TEXT($D54, ""@""))),
      Transcription!$AO:$AO = 6
    ),
    1
  ),
  ""Not Found""
)
"),"Not Found")</f>
        <v>Not Found</v>
      </c>
      <c r="Y54" s="8" t="s">
        <v>4523</v>
      </c>
      <c r="Z54" s="10">
        <f t="shared" si="1"/>
        <v>2</v>
      </c>
      <c r="AA54" s="10">
        <f t="shared" si="2"/>
        <v>0</v>
      </c>
    </row>
    <row r="55">
      <c r="A55" s="8" t="str">
        <f>VLOOKUP($D55,Sheet6!$B:$G,5,FALSE)</f>
        <v>Lahore</v>
      </c>
      <c r="B55" s="232" t="str">
        <f>VLOOKUP($D55,Sheet6!$B:$G,4,FALSE)</f>
        <v>Women Religious No Info Share</v>
      </c>
      <c r="C55" s="8">
        <v>3.0</v>
      </c>
      <c r="D55" s="8" t="s">
        <v>4533</v>
      </c>
      <c r="E5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TRIM(CLEAN(TEXT($D55, ""@""))),
      IMPORTRANGE(""https://docs.google.com/spreadsheets/d/1SnQ_YxUmBUYKsKc82GyPP"&amp;"ovLO-EPrfZxsJ0V0UbhezI/edit?gid=590869320#gid=590869320"", ""Form responses 1!$AV:$AV"") = 1
    ),
    1
  ),
  ""Not Found""
)
"),"https://drive.google.com/open?id=10sWc5-n4napXsYsMN3LSHmHgcXloioee")</f>
        <v>https://drive.google.com/open?id=10sWc5-n4napXsYsMN3LSHmHgcXloioee</v>
      </c>
      <c r="F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1!$E:$E"")=$D55) *
        (IMPORTRANGE(""https://docs.google.com/spreadsheets/d/161aHT6vVT3SLneTKD19N5qVWtnj_jIT8CSsOmUVKmaA/"&amp;"edit?gid=1761053510"",
          ""Haris_Form responses 1!$AQ:$AQ"")=1)
      ),
      1
    ),
    ""0""
  ),
  ""Form not found""
)
"),"1")</f>
        <v>1</v>
      </c>
      <c r="G55" s="245" t="str">
        <f>IFERROR(__xludf.DUMMYFUNCTION("IFERROR(
  INDEX(
    FILTER(
      Transcription!$AJ:$AJ,
      TRIM(CLEAN(TEXT(Transcription!$F:$F, ""@""))) = TRIM(CLEAN(TEXT($D55, ""@""))),
      Transcription!$AO:$AO = 1
    ),
    1
  ),
  ""Not Found""
)
"),"https://drive.google.com/open?id=1jD0jHzkqi7mFiALo_dIVNCqSQs5YIe5H")</f>
        <v>https://drive.google.com/open?id=1jD0jHzkqi7mFiALo_dIVNCqSQs5YIe5H</v>
      </c>
      <c r="H5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TRIM(CLEAN(TEXT($D55, ""@""))),
      IMPORTRANGE(""https://docs.google.com/spreadsheets/d/1SnQ_YxUmBUYKsKc82GyPP"&amp;"ovLO-EPrfZxsJ0V0UbhezI/edit?gid=590869320#gid=590869320"", ""Form responses 1!$AV:$AV"") = 2
    ),
    1
  ),
  ""Not Found""
)
"),"https://drive.google.com/open?id=1AXg2St0N26WfkkCwMtI0d8CI1LiIWtNT")</f>
        <v>https://drive.google.com/open?id=1AXg2St0N26WfkkCwMtI0d8CI1LiIWtNT</v>
      </c>
      <c r="I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1!$E:$E"")=$D55) *
        (IMPORTRANGE(""https://docs.google.com/spreadsheets/d/161aHT6vVT3SLneTKD19N5qVWtnj_jIT8CSsOmUVKmaA/"&amp;"edit?gid=1761053510"",
          ""Haris_Form responses 1!$AQ:$AQ"")=2)
      ),
      1
    ),
    ""0""
  ),
  ""Form not found""
)
"),"2")</f>
        <v>2</v>
      </c>
      <c r="J55" s="245" t="str">
        <f>IFERROR(__xludf.DUMMYFUNCTION("IFERROR(
  INDEX(
    FILTER(
      Transcription!$AJ:$AJ,
      TRIM(CLEAN(TEXT(Transcription!$F:$F, ""@""))) = TRIM(CLEAN(TEXT($D55, ""@""))),
      Transcription!$AO:$AO = 2
    ),
    1
  ),
  ""Not Found""
)
"),"https://drive.google.com/open?id=1C-eHhc2JEyFrFU7q6_T12Am-rlE4iqEp")</f>
        <v>https://drive.google.com/open?id=1C-eHhc2JEyFrFU7q6_T12Am-rlE4iqEp</v>
      </c>
      <c r="K5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TRIM(CLEAN(TEXT($D55, ""@""))),
      IMPORTRANGE(""https://docs.google.com/spreadsheets/d/1SnQ_YxUmBUYKsKc82GyPP"&amp;"ovLO-EPrfZxsJ0V0UbhezI/edit?gid=590869320#gid=590869320"", ""Form responses 1!$AV:$AV"") = 3
    ),
    1
  ),
  ""Not Found""
)
"),"https://drive.google.com/open?id=1aI1lllkcvF2FsGcX1HbcORYwNgKf6RvR")</f>
        <v>https://drive.google.com/open?id=1aI1lllkcvF2FsGcX1HbcORYwNgKf6RvR</v>
      </c>
      <c r="L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1!$E:$E"")=$D55) *
        (IMPORTRANGE(""https://docs.google.com/spreadsheets/d/161aHT6vVT3SLneTKD19N5qVWtnj_jIT8CSsOmUVKmaA/"&amp;"edit?gid=1761053510"",
          ""Haris_Form responses 1!$AQ:$AQ"")=3)
      ),
      1
    ),
    ""0""
  ),
  ""Form not found""
)
"),"3")</f>
        <v>3</v>
      </c>
      <c r="M55" s="245" t="str">
        <f>IFERROR(__xludf.DUMMYFUNCTION("IFERROR(
  INDEX(
    FILTER(
      Transcription!$AJ:$AJ,
      TRIM(CLEAN(TEXT(Transcription!$F:$F, ""@""))) = TRIM(CLEAN(TEXT($D55, ""@""))),
      Transcription!$AO:$AO = 3
    ),
    1
  ),
  ""Not Found""
)
"),"https://drive.google.com/open?id=1-NxnkksGkHl3KHMbk4743Vx4x1kHH44n")</f>
        <v>https://drive.google.com/open?id=1-NxnkksGkHl3KHMbk4743Vx4x1kHH44n</v>
      </c>
      <c r="N55"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TRIM(CLEAN(TEXT($D55, ""@""))),
      IMPORTRANGE(""https://docs.google.com/spreadsheets/d/1SnQ_YxUmBUYKsKc82GyPP"&amp;"ovLO-EPrfZxsJ0V0UbhezI/edit?gid=590869320#gid=590869320"", ""Form responses 1!$AV:$AV"") = 4
    ),
    1
  ),
  ""Not Found""
)
"),"Not Found")</f>
        <v>Not Found</v>
      </c>
      <c r="O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1!$E:$E"")=$D55) *
        (IMPORTRANGE(""https://docs.google.com/spreadsheets/d/161aHT6vVT3SLneTKD19N5qVWtnj_jIT8CSsOmUVKmaA/"&amp;"edit?gid=1761053510"",
          ""Haris_Form responses 1!$AQ:$AQ"")=4)
      ),
      1
    ),
    ""0""
  ),
  ""Form not found""
)
"),"Form not found")</f>
        <v>Form not found</v>
      </c>
      <c r="P55" s="247" t="str">
        <f>IFERROR(__xludf.DUMMYFUNCTION("IFERROR(
  INDEX(
    FILTER(
      Transcription!$AJ:$AJ,
      TRIM(CLEAN(TEXT(Transcription!$F:$F, ""@""))) = TRIM(CLEAN(TEXT($D55, ""@""))),
      Transcription!$AO:$AO = 4
    ),
    1
  ),
  ""Not Found""
)
"),"Not Found")</f>
        <v>Not Found</v>
      </c>
      <c r="Q55"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TRIM(CLEAN(TEXT($D55, ""@""))),
      IMPORTRANGE(""https://docs.google.com/spreadsheets/d/1SnQ_YxUmBUYKsKc82GyPP"&amp;"ovLO-EPrfZxsJ0V0UbhezI/edit?gid=590869320#gid=590869320"", ""Form responses 1!$AV:$AV"") = 5
    ),
    1
  ),
  ""Not Found""
)
"),"Not Found")</f>
        <v>Not Found</v>
      </c>
      <c r="R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1!$E:$E"")=$D55) *
        (IMPORTRANGE(""https://docs.google.com/spreadsheets/d/161aHT6vVT3SLneTKD19N5qVWtnj_jIT8CSsOmUVKmaA/"&amp;"edit?gid=1761053510"",
          ""Haris_Form responses 1!$AQ:$AQ"")=5)
      ),
      1
    ),
    ""0""
  ),
  ""Form not found""
)
"),"Form not found")</f>
        <v>Form not found</v>
      </c>
      <c r="S55" s="247" t="str">
        <f>IFERROR(__xludf.DUMMYFUNCTION("IFERROR(
  INDEX(
    FILTER(
      Transcription!$AJ:$AJ,
      TRIM(CLEAN(TEXT(Transcription!$F:$F, ""@""))) = TRIM(CLEAN(TEXT($D55, ""@""))),
      Transcription!$AO:$AO = 5
    ),
    1
  ),
  ""Not Found""
)
"),"Not Found")</f>
        <v>Not Found</v>
      </c>
      <c r="T55"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TRIM(CLEAN(TEXT($D55, ""@""))),
      IMPORTRANGE(""https://docs.google.com/spreadsheets/d/1SnQ_YxUmBUYKsKc82GyPP"&amp;"ovLO-EPrfZxsJ0V0UbhezI/edit?gid=590869320#gid=590869320"", ""Form responses 1!$AV:$AV"") = 6
    ),
    1
  ),
  ""Not Found""
)
"),"Not Found")</f>
        <v>Not Found</v>
      </c>
      <c r="U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1!$E:$E"")=$D55) *
        (IMPORTRANGE(""https://docs.google.com/spreadsheets/d/161aHT6vVT3SLneTKD19N5qVWtnj_jIT8CSsOmUVKmaA/"&amp;"edit?gid=1761053510"",
          ""Haris_Form responses 1!$AQ:$AQ"")=6)
      ),
      1
    ),
    ""0""
  ),
  ""Form not found""
)
"),"Form not found")</f>
        <v>Form not found</v>
      </c>
      <c r="V55" s="247" t="str">
        <f>IFERROR(__xludf.DUMMYFUNCTION("IFERROR(
  INDEX(
    FILTER(
      Transcription!$AJ:$AJ,
      TRIM(CLEAN(TEXT(Transcription!$F:$F, ""@""))) = TRIM(CLEAN(TEXT($D55, ""@""))),
      Transcription!$AO:$AO = 6
    ),
    1
  ),
  ""Not Found""
)
"),"Not Found")</f>
        <v>Not Found</v>
      </c>
      <c r="Y55" s="8" t="s">
        <v>4523</v>
      </c>
      <c r="Z55" s="10">
        <f t="shared" si="1"/>
        <v>3</v>
      </c>
      <c r="AA55" s="10">
        <f t="shared" si="2"/>
        <v>0</v>
      </c>
    </row>
    <row r="56">
      <c r="A56" s="8" t="str">
        <f>VLOOKUP($D56,Sheet6!$B:$G,5,FALSE)</f>
        <v>Lahore</v>
      </c>
      <c r="B56" s="232" t="str">
        <f>VLOOKUP($D56,Sheet6!$B:$G,4,FALSE)</f>
        <v>Control</v>
      </c>
      <c r="C56" s="8">
        <v>2.0</v>
      </c>
      <c r="D56" s="8" t="s">
        <v>2810</v>
      </c>
      <c r="E5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TRIM(CLEAN(TEXT($D56, ""@""))),
      IMPORTRANGE(""https://docs.google.com/spreadsheets/d/1SnQ_YxUmBUYKsKc82GyPP"&amp;"ovLO-EPrfZxsJ0V0UbhezI/edit?gid=590869320#gid=590869320"", ""Form responses 1!$AV:$AV"") = 1
    ),
    1
  ),
  ""Not Found""
)
"),"https://drive.google.com/open?id=14s_s1TPKNFL8wI3hLRFX1yX5h55vjw7W")</f>
        <v>https://drive.google.com/open?id=14s_s1TPKNFL8wI3hLRFX1yX5h55vjw7W</v>
      </c>
      <c r="F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1!$E:$E"")=$D56) *
        (IMPORTRANGE(""https://docs.google.com/spreadsheets/d/161aHT6vVT3SLneTKD19N5qVWtnj_jIT8CSsOmUVKmaA/"&amp;"edit?gid=1761053510"",
          ""Haris_Form responses 1!$AQ:$AQ"")=1)
      ),
      1
    ),
    ""0""
  ),
  ""Form not found""
)
"),"1")</f>
        <v>1</v>
      </c>
      <c r="G56" s="245" t="str">
        <f>IFERROR(__xludf.DUMMYFUNCTION("IFERROR(
  INDEX(
    FILTER(
      Transcription!$AJ:$AJ,
      TRIM(CLEAN(TEXT(Transcription!$F:$F, ""@""))) = TRIM(CLEAN(TEXT($D56, ""@""))),
      Transcription!$AO:$AO = 1
    ),
    1
  ),
  ""Not Found""
)
"),"https://drive.google.com/open?id=1iRHoG6RjIXvuDV6eRAd34Hsq0PKBPFTg")</f>
        <v>https://drive.google.com/open?id=1iRHoG6RjIXvuDV6eRAd34Hsq0PKBPFTg</v>
      </c>
      <c r="H5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TRIM(CLEAN(TEXT($D56, ""@""))),
      IMPORTRANGE(""https://docs.google.com/spreadsheets/d/1SnQ_YxUmBUYKsKc82GyPP"&amp;"ovLO-EPrfZxsJ0V0UbhezI/edit?gid=590869320#gid=590869320"", ""Form responses 1!$AV:$AV"") = 2
    ),
    1
  ),
  ""Not Found""
)
"),"Not Found")</f>
        <v>Not Found</v>
      </c>
      <c r="I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1!$E:$E"")=$D56) *
        (IMPORTRANGE(""https://docs.google.com/spreadsheets/d/161aHT6vVT3SLneTKD19N5qVWtnj_jIT8CSsOmUVKmaA/"&amp;"edit?gid=1761053510"",
          ""Haris_Form responses 1!$AQ:$AQ"")=2)
      ),
      1
    ),
    ""0""
  ),
  ""Form not found""
)
"),"Form not found")</f>
        <v>Form not found</v>
      </c>
      <c r="J56" s="247" t="str">
        <f>IFERROR(__xludf.DUMMYFUNCTION("IFERROR(
  INDEX(
    FILTER(
      Transcription!$AJ:$AJ,
      TRIM(CLEAN(TEXT(Transcription!$F:$F, ""@""))) = TRIM(CLEAN(TEXT($D56, ""@""))),
      Transcription!$AO:$AO = 2
    ),
    1
  ),
  ""Not Found""
)
"),"Not Found")</f>
        <v>Not Found</v>
      </c>
      <c r="K5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TRIM(CLEAN(TEXT($D56, ""@""))),
      IMPORTRANGE(""https://docs.google.com/spreadsheets/d/1SnQ_YxUmBUYKsKc82GyPP"&amp;"ovLO-EPrfZxsJ0V0UbhezI/edit?gid=590869320#gid=590869320"", ""Form responses 1!$AV:$AV"") = 3
    ),
    1
  ),
  ""Not Found""
)
"),"https://drive.google.com/open?id=1dMgLhYglTQfqWQEeCWGsQnHaZXp3WIyk")</f>
        <v>https://drive.google.com/open?id=1dMgLhYglTQfqWQEeCWGsQnHaZXp3WIyk</v>
      </c>
      <c r="L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1!$E:$E"")=$D56) *
        (IMPORTRANGE(""https://docs.google.com/spreadsheets/d/161aHT6vVT3SLneTKD19N5qVWtnj_jIT8CSsOmUVKmaA/"&amp;"edit?gid=1761053510"",
          ""Haris_Form responses 1!$AQ:$AQ"")=3)
      ),
      1
    ),
    ""0""
  ),
  ""Form not found""
)
"),"3")</f>
        <v>3</v>
      </c>
      <c r="M56" s="245" t="str">
        <f>IFERROR(__xludf.DUMMYFUNCTION("IFERROR(
  INDEX(
    FILTER(
      Transcription!$AJ:$AJ,
      TRIM(CLEAN(TEXT(Transcription!$F:$F, ""@""))) = TRIM(CLEAN(TEXT($D56, ""@""))),
      Transcription!$AO:$AO = 3
    ),
    1
  ),
  ""Not Found""
)
"),"https://drive.google.com/open?id=1PAjh4PJKWgMI4KgPWZ8P_ntUMZo_2xtv")</f>
        <v>https://drive.google.com/open?id=1PAjh4PJKWgMI4KgPWZ8P_ntUMZo_2xtv</v>
      </c>
      <c r="N5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TRIM(CLEAN(TEXT($D56, ""@""))),
      IMPORTRANGE(""https://docs.google.com/spreadsheets/d/1SnQ_YxUmBUYKsKc82GyPP"&amp;"ovLO-EPrfZxsJ0V0UbhezI/edit?gid=590869320#gid=590869320"", ""Form responses 1!$AV:$AV"") = 4
    ),
    1
  ),
  ""Not Found""
)
"),"Not Found")</f>
        <v>Not Found</v>
      </c>
      <c r="O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1!$E:$E"")=$D56) *
        (IMPORTRANGE(""https://docs.google.com/spreadsheets/d/161aHT6vVT3SLneTKD19N5qVWtnj_jIT8CSsOmUVKmaA/"&amp;"edit?gid=1761053510"",
          ""Haris_Form responses 1!$AQ:$AQ"")=4)
      ),
      1
    ),
    ""0""
  ),
  ""Form not found""
)
"),"Form not found")</f>
        <v>Form not found</v>
      </c>
      <c r="P56" s="247" t="str">
        <f>IFERROR(__xludf.DUMMYFUNCTION("IFERROR(
  INDEX(
    FILTER(
      Transcription!$AJ:$AJ,
      TRIM(CLEAN(TEXT(Transcription!$F:$F, ""@""))) = TRIM(CLEAN(TEXT($D56, ""@""))),
      Transcription!$AO:$AO = 4
    ),
    1
  ),
  ""Not Found""
)
"),"Not Found")</f>
        <v>Not Found</v>
      </c>
      <c r="Q5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TRIM(CLEAN(TEXT($D56, ""@""))),
      IMPORTRANGE(""https://docs.google.com/spreadsheets/d/1SnQ_YxUmBUYKsKc82GyPP"&amp;"ovLO-EPrfZxsJ0V0UbhezI/edit?gid=590869320#gid=590869320"", ""Form responses 1!$AV:$AV"") = 5
    ),
    1
  ),
  ""Not Found""
)
"),"Not Found")</f>
        <v>Not Found</v>
      </c>
      <c r="R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1!$E:$E"")=$D56) *
        (IMPORTRANGE(""https://docs.google.com/spreadsheets/d/161aHT6vVT3SLneTKD19N5qVWtnj_jIT8CSsOmUVKmaA/"&amp;"edit?gid=1761053510"",
          ""Haris_Form responses 1!$AQ:$AQ"")=5)
      ),
      1
    ),
    ""0""
  ),
  ""Form not found""
)
"),"Form not found")</f>
        <v>Form not found</v>
      </c>
      <c r="S56" s="247" t="str">
        <f>IFERROR(__xludf.DUMMYFUNCTION("IFERROR(
  INDEX(
    FILTER(
      Transcription!$AJ:$AJ,
      TRIM(CLEAN(TEXT(Transcription!$F:$F, ""@""))) = TRIM(CLEAN(TEXT($D56, ""@""))),
      Transcription!$AO:$AO = 5
    ),
    1
  ),
  ""Not Found""
)
"),"Not Found")</f>
        <v>Not Found</v>
      </c>
      <c r="T56"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TRIM(CLEAN(TEXT($D56, ""@""))),
      IMPORTRANGE(""https://docs.google.com/spreadsheets/d/1SnQ_YxUmBUYKsKc82GyPP"&amp;"ovLO-EPrfZxsJ0V0UbhezI/edit?gid=590869320#gid=590869320"", ""Form responses 1!$AV:$AV"") = 6
    ),
    1
  ),
  ""Not Found""
)
"),"Not Found")</f>
        <v>Not Found</v>
      </c>
      <c r="U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1!$E:$E"")=$D56) *
        (IMPORTRANGE(""https://docs.google.com/spreadsheets/d/161aHT6vVT3SLneTKD19N5qVWtnj_jIT8CSsOmUVKmaA/"&amp;"edit?gid=1761053510"",
          ""Haris_Form responses 1!$AQ:$AQ"")=6)
      ),
      1
    ),
    ""0""
  ),
  ""Form not found""
)
"),"Form not found")</f>
        <v>Form not found</v>
      </c>
      <c r="V56" s="247" t="str">
        <f>IFERROR(__xludf.DUMMYFUNCTION("IFERROR(
  INDEX(
    FILTER(
      Transcription!$AJ:$AJ,
      TRIM(CLEAN(TEXT(Transcription!$F:$F, ""@""))) = TRIM(CLEAN(TEXT($D56, ""@""))),
      Transcription!$AO:$AO = 6
    ),
    1
  ),
  ""Not Found""
)
"),"Not Found")</f>
        <v>Not Found</v>
      </c>
      <c r="Y56" s="8" t="s">
        <v>4523</v>
      </c>
      <c r="Z56" s="10">
        <f t="shared" si="1"/>
        <v>2</v>
      </c>
      <c r="AA56" s="10">
        <f t="shared" si="2"/>
        <v>0</v>
      </c>
    </row>
    <row r="57">
      <c r="A57" s="8" t="str">
        <f>VLOOKUP($D57,Sheet6!$B:$G,5,FALSE)</f>
        <v>Lahore</v>
      </c>
      <c r="B57" s="232" t="str">
        <f>VLOOKUP($D57,Sheet6!$B:$G,4,FALSE)</f>
        <v>Women Religious No Info Share</v>
      </c>
      <c r="C57" s="8">
        <v>3.0</v>
      </c>
      <c r="D57" s="8" t="s">
        <v>3168</v>
      </c>
      <c r="E5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TRIM(CLEAN(TEXT($D57, ""@""))),
      IMPORTRANGE(""https://docs.google.com/spreadsheets/d/1SnQ_YxUmBUYKsKc82GyPP"&amp;"ovLO-EPrfZxsJ0V0UbhezI/edit?gid=590869320#gid=590869320"", ""Form responses 1!$AV:$AV"") = 1
    ),
    1
  ),
  ""Not Found""
)
"),"https://drive.google.com/open?id=1hTbwtKwdS6PakGRLv7hVOhS7QPBc3E0m")</f>
        <v>https://drive.google.com/open?id=1hTbwtKwdS6PakGRLv7hVOhS7QPBc3E0m</v>
      </c>
      <c r="F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1!$E:$E"")=$D57) *
        (IMPORTRANGE(""https://docs.google.com/spreadsheets/d/161aHT6vVT3SLneTKD19N5qVWtnj_jIT8CSsOmUVKmaA/"&amp;"edit?gid=1761053510"",
          ""Haris_Form responses 1!$AQ:$AQ"")=1)
      ),
      1
    ),
    ""0""
  ),
  ""Form not found""
)
"),"1")</f>
        <v>1</v>
      </c>
      <c r="G57" s="245" t="str">
        <f>IFERROR(__xludf.DUMMYFUNCTION("IFERROR(
  INDEX(
    FILTER(
      Transcription!$AJ:$AJ,
      TRIM(CLEAN(TEXT(Transcription!$F:$F, ""@""))) = TRIM(CLEAN(TEXT($D57, ""@""))),
      Transcription!$AO:$AO = 1
    ),
    1
  ),
  ""Not Found""
)
"),"https://drive.google.com/open?id=1hkFJo8MMqmu6zrFJylALE9U7VuNt6agj")</f>
        <v>https://drive.google.com/open?id=1hkFJo8MMqmu6zrFJylALE9U7VuNt6agj</v>
      </c>
      <c r="H5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TRIM(CLEAN(TEXT($D57, ""@""))),
      IMPORTRANGE(""https://docs.google.com/spreadsheets/d/1SnQ_YxUmBUYKsKc82GyPP"&amp;"ovLO-EPrfZxsJ0V0UbhezI/edit?gid=590869320#gid=590869320"", ""Form responses 1!$AV:$AV"") = 2
    ),
    1
  ),
  ""Not Found""
)
"),"https://drive.google.com/open?id=1XtIMKP4DZyVduAae4ESBSeJajMP_LQem")</f>
        <v>https://drive.google.com/open?id=1XtIMKP4DZyVduAae4ESBSeJajMP_LQem</v>
      </c>
      <c r="I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1!$E:$E"")=$D57) *
        (IMPORTRANGE(""https://docs.google.com/spreadsheets/d/161aHT6vVT3SLneTKD19N5qVWtnj_jIT8CSsOmUVKmaA/"&amp;"edit?gid=1761053510"",
          ""Haris_Form responses 1!$AQ:$AQ"")=2)
      ),
      1
    ),
    ""0""
  ),
  ""Form not found""
)
"),"2")</f>
        <v>2</v>
      </c>
      <c r="J57" s="245" t="str">
        <f>IFERROR(__xludf.DUMMYFUNCTION("IFERROR(
  INDEX(
    FILTER(
      Transcription!$AJ:$AJ,
      TRIM(CLEAN(TEXT(Transcription!$F:$F, ""@""))) = TRIM(CLEAN(TEXT($D57, ""@""))),
      Transcription!$AO:$AO = 2
    ),
    1
  ),
  ""Not Found""
)
"),"https://drive.google.com/open?id=1wSzRokkb8g0TiF5pCYRVaiNC45EA_Zqm")</f>
        <v>https://drive.google.com/open?id=1wSzRokkb8g0TiF5pCYRVaiNC45EA_Zqm</v>
      </c>
      <c r="K5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TRIM(CLEAN(TEXT($D57, ""@""))),
      IMPORTRANGE(""https://docs.google.com/spreadsheets/d/1SnQ_YxUmBUYKsKc82GyPP"&amp;"ovLO-EPrfZxsJ0V0UbhezI/edit?gid=590869320#gid=590869320"", ""Form responses 1!$AV:$AV"") = 3
    ),
    1
  ),
  ""Not Found""
)
"),"https://drive.google.com/open?id=1SvmaCo-C2Z7CCyQ5qjJUCgZDFXmha1rK")</f>
        <v>https://drive.google.com/open?id=1SvmaCo-C2Z7CCyQ5qjJUCgZDFXmha1rK</v>
      </c>
      <c r="L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1!$E:$E"")=$D57) *
        (IMPORTRANGE(""https://docs.google.com/spreadsheets/d/161aHT6vVT3SLneTKD19N5qVWtnj_jIT8CSsOmUVKmaA/"&amp;"edit?gid=1761053510"",
          ""Haris_Form responses 1!$AQ:$AQ"")=3)
      ),
      1
    ),
    ""0""
  ),
  ""Form not found""
)
"),"3")</f>
        <v>3</v>
      </c>
      <c r="M57" s="245" t="str">
        <f>IFERROR(__xludf.DUMMYFUNCTION("IFERROR(
  INDEX(
    FILTER(
      Transcription!$AJ:$AJ,
      TRIM(CLEAN(TEXT(Transcription!$F:$F, ""@""))) = TRIM(CLEAN(TEXT($D57, ""@""))),
      Transcription!$AO:$AO = 3
    ),
    1
  ),
  ""Not Found""
)
"),"https://drive.google.com/open?id=1kXpAmvrmIKwEHXU2A3wocVtyKJ0onczQ")</f>
        <v>https://drive.google.com/open?id=1kXpAmvrmIKwEHXU2A3wocVtyKJ0onczQ</v>
      </c>
      <c r="N5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TRIM(CLEAN(TEXT($D57, ""@""))),
      IMPORTRANGE(""https://docs.google.com/spreadsheets/d/1SnQ_YxUmBUYKsKc82GyPP"&amp;"ovLO-EPrfZxsJ0V0UbhezI/edit?gid=590869320#gid=590869320"", ""Form responses 1!$AV:$AV"") = 4
    ),
    1
  ),
  ""Not Found""
)
"),"Not Found")</f>
        <v>Not Found</v>
      </c>
      <c r="O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1!$E:$E"")=$D57) *
        (IMPORTRANGE(""https://docs.google.com/spreadsheets/d/161aHT6vVT3SLneTKD19N5qVWtnj_jIT8CSsOmUVKmaA/"&amp;"edit?gid=1761053510"",
          ""Haris_Form responses 1!$AQ:$AQ"")=4)
      ),
      1
    ),
    ""0""
  ),
  ""Form not found""
)
"),"Form not found")</f>
        <v>Form not found</v>
      </c>
      <c r="P57" s="247" t="str">
        <f>IFERROR(__xludf.DUMMYFUNCTION("IFERROR(
  INDEX(
    FILTER(
      Transcription!$AJ:$AJ,
      TRIM(CLEAN(TEXT(Transcription!$F:$F, ""@""))) = TRIM(CLEAN(TEXT($D57, ""@""))),
      Transcription!$AO:$AO = 4
    ),
    1
  ),
  ""Not Found""
)
"),"Not Found")</f>
        <v>Not Found</v>
      </c>
      <c r="Q5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TRIM(CLEAN(TEXT($D57, ""@""))),
      IMPORTRANGE(""https://docs.google.com/spreadsheets/d/1SnQ_YxUmBUYKsKc82GyPP"&amp;"ovLO-EPrfZxsJ0V0UbhezI/edit?gid=590869320#gid=590869320"", ""Form responses 1!$AV:$AV"") = 5
    ),
    1
  ),
  ""Not Found""
)
"),"Not Found")</f>
        <v>Not Found</v>
      </c>
      <c r="R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1!$E:$E"")=$D57) *
        (IMPORTRANGE(""https://docs.google.com/spreadsheets/d/161aHT6vVT3SLneTKD19N5qVWtnj_jIT8CSsOmUVKmaA/"&amp;"edit?gid=1761053510"",
          ""Haris_Form responses 1!$AQ:$AQ"")=5)
      ),
      1
    ),
    ""0""
  ),
  ""Form not found""
)
"),"Form not found")</f>
        <v>Form not found</v>
      </c>
      <c r="S57" s="247" t="str">
        <f>IFERROR(__xludf.DUMMYFUNCTION("IFERROR(
  INDEX(
    FILTER(
      Transcription!$AJ:$AJ,
      TRIM(CLEAN(TEXT(Transcription!$F:$F, ""@""))) = TRIM(CLEAN(TEXT($D57, ""@""))),
      Transcription!$AO:$AO = 5
    ),
    1
  ),
  ""Not Found""
)
"),"Not Found")</f>
        <v>Not Found</v>
      </c>
      <c r="T57"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TRIM(CLEAN(TEXT($D57, ""@""))),
      IMPORTRANGE(""https://docs.google.com/spreadsheets/d/1SnQ_YxUmBUYKsKc82GyPP"&amp;"ovLO-EPrfZxsJ0V0UbhezI/edit?gid=590869320#gid=590869320"", ""Form responses 1!$AV:$AV"") = 6
    ),
    1
  ),
  ""Not Found""
)
"),"Not Found")</f>
        <v>Not Found</v>
      </c>
      <c r="U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1!$E:$E"")=$D57) *
        (IMPORTRANGE(""https://docs.google.com/spreadsheets/d/161aHT6vVT3SLneTKD19N5qVWtnj_jIT8CSsOmUVKmaA/"&amp;"edit?gid=1761053510"",
          ""Haris_Form responses 1!$AQ:$AQ"")=6)
      ),
      1
    ),
    ""0""
  ),
  ""Form not found""
)
"),"Form not found")</f>
        <v>Form not found</v>
      </c>
      <c r="V57" s="247" t="str">
        <f>IFERROR(__xludf.DUMMYFUNCTION("IFERROR(
  INDEX(
    FILTER(
      Transcription!$AJ:$AJ,
      TRIM(CLEAN(TEXT(Transcription!$F:$F, ""@""))) = TRIM(CLEAN(TEXT($D57, ""@""))),
      Transcription!$AO:$AO = 6
    ),
    1
  ),
  ""Not Found""
)
"),"Not Found")</f>
        <v>Not Found</v>
      </c>
      <c r="Y57" s="8" t="s">
        <v>4523</v>
      </c>
      <c r="Z57" s="10">
        <f t="shared" si="1"/>
        <v>3</v>
      </c>
      <c r="AA57" s="10">
        <f t="shared" si="2"/>
        <v>0</v>
      </c>
    </row>
    <row r="58">
      <c r="A58" s="8" t="str">
        <f>VLOOKUP($D58,Sheet6!$B:$G,5,FALSE)</f>
        <v>Lahore</v>
      </c>
      <c r="B58" s="232" t="str">
        <f>VLOOKUP($D58,Sheet6!$B:$G,4,FALSE)</f>
        <v>Community Religious No Info Share</v>
      </c>
      <c r="C58" s="8">
        <v>3.0</v>
      </c>
      <c r="D58" s="8" t="s">
        <v>4534</v>
      </c>
      <c r="E5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TRIM(CLEAN(TEXT($D58, ""@""))),
      IMPORTRANGE(""https://docs.google.com/spreadsheets/d/1SnQ_YxUmBUYKsKc82GyPP"&amp;"ovLO-EPrfZxsJ0V0UbhezI/edit?gid=590869320#gid=590869320"", ""Form responses 1!$AV:$AV"") = 1
    ),
    1
  ),
  ""Not Found""
)
"),"https://drive.google.com/open?id=1pMLoBXMz0iwHYBtK8Dk5u5KY8akq-FI_")</f>
        <v>https://drive.google.com/open?id=1pMLoBXMz0iwHYBtK8Dk5u5KY8akq-FI_</v>
      </c>
      <c r="F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1!$E:$E"")=$D58) *
        (IMPORTRANGE(""https://docs.google.com/spreadsheets/d/161aHT6vVT3SLneTKD19N5qVWtnj_jIT8CSsOmUVKmaA/"&amp;"edit?gid=1761053510"",
          ""Haris_Form responses 1!$AQ:$AQ"")=1)
      ),
      1
    ),
    ""0""
  ),
  ""Form not found""
)
"),"1")</f>
        <v>1</v>
      </c>
      <c r="G58" s="245" t="str">
        <f>IFERROR(__xludf.DUMMYFUNCTION("IFERROR(
  INDEX(
    FILTER(
      Transcription!$AJ:$AJ,
      TRIM(CLEAN(TEXT(Transcription!$F:$F, ""@""))) = TRIM(CLEAN(TEXT($D58, ""@""))),
      Transcription!$AO:$AO = 1
    ),
    1
  ),
  ""Not Found""
)
"),"https://drive.google.com/open?id=1D76QD3BECTn1SkV_gnBFwvbe66ETrZqP")</f>
        <v>https://drive.google.com/open?id=1D76QD3BECTn1SkV_gnBFwvbe66ETrZqP</v>
      </c>
      <c r="H5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TRIM(CLEAN(TEXT($D58, ""@""))),
      IMPORTRANGE(""https://docs.google.com/spreadsheets/d/1SnQ_YxUmBUYKsKc82GyPP"&amp;"ovLO-EPrfZxsJ0V0UbhezI/edit?gid=590869320#gid=590869320"", ""Form responses 1!$AV:$AV"") = 2
    ),
    1
  ),
  ""Not Found""
)
"),"https://drive.google.com/open?id=1OxqiD7HDIVJuna4PoHuESDR9zQReS7L6")</f>
        <v>https://drive.google.com/open?id=1OxqiD7HDIVJuna4PoHuESDR9zQReS7L6</v>
      </c>
      <c r="I58" s="257"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1!$E:$E"")=$D58) *
        (IMPORTRANGE(""https://docs.google.com/spreadsheets/d/161aHT6vVT3SLneTKD19N5qVWtnj_jIT8CSsOmUVKmaA/"&amp;"edit?gid=1761053510"",
          ""Haris_Form responses 1!$AQ:$AQ"")=2)
      ),
      1
    ),
    ""0""
  ),
  ""Form not found""
)
"),"2")</f>
        <v>2</v>
      </c>
      <c r="J58" s="245" t="str">
        <f>IFERROR(__xludf.DUMMYFUNCTION("IFERROR(
  INDEX(
    FILTER(
      Transcription!$AJ:$AJ,
      TRIM(CLEAN(TEXT(Transcription!$F:$F, ""@""))) = TRIM(CLEAN(TEXT($D58, ""@""))),
      Transcription!$AO:$AO = 2
    ),
    1
  ),
  ""Not Found""
)
"),"https://drive.google.com/open?id=10SiDtrimX2lxDAsQgDgKwmAAzUwQitP3")</f>
        <v>https://drive.google.com/open?id=10SiDtrimX2lxDAsQgDgKwmAAzUwQitP3</v>
      </c>
      <c r="K5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TRIM(CLEAN(TEXT($D58, ""@""))),
      IMPORTRANGE(""https://docs.google.com/spreadsheets/d/1SnQ_YxUmBUYKsKc82GyPP"&amp;"ovLO-EPrfZxsJ0V0UbhezI/edit?gid=590869320#gid=590869320"", ""Form responses 1!$AV:$AV"") = 3
    ),
    1
  ),
  ""Not Found""
)
"),"https://drive.google.com/open?id=1zixiE1mJAFFkz1xiFiaAzBYl6hlrUER7")</f>
        <v>https://drive.google.com/open?id=1zixiE1mJAFFkz1xiFiaAzBYl6hlrUER7</v>
      </c>
      <c r="L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1!$E:$E"")=$D58) *
        (IMPORTRANGE(""https://docs.google.com/spreadsheets/d/161aHT6vVT3SLneTKD19N5qVWtnj_jIT8CSsOmUVKmaA/"&amp;"edit?gid=1761053510"",
          ""Haris_Form responses 1!$AQ:$AQ"")=3)
      ),
      1
    ),
    ""0""
  ),
  ""Form not found""
)
"),"3")</f>
        <v>3</v>
      </c>
      <c r="M58" s="245" t="str">
        <f>IFERROR(__xludf.DUMMYFUNCTION("IFERROR(
  INDEX(
    FILTER(
      Transcription!$AJ:$AJ,
      TRIM(CLEAN(TEXT(Transcription!$F:$F, ""@""))) = TRIM(CLEAN(TEXT($D58, ""@""))),
      Transcription!$AO:$AO = 3
    ),
    1
  ),
  ""Not Found""
)
"),"https://drive.google.com/open?id=189TXpa3pPo0mNVfA2UZkiMxfXG3Sm8-O")</f>
        <v>https://drive.google.com/open?id=189TXpa3pPo0mNVfA2UZkiMxfXG3Sm8-O</v>
      </c>
      <c r="N5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TRIM(CLEAN(TEXT($D58, ""@""))),
      IMPORTRANGE(""https://docs.google.com/spreadsheets/d/1SnQ_YxUmBUYKsKc82GyPP"&amp;"ovLO-EPrfZxsJ0V0UbhezI/edit?gid=590869320#gid=590869320"", ""Form responses 1!$AV:$AV"") = 4
    ),
    1
  ),
  ""Not Found""
)
"),"Not Found")</f>
        <v>Not Found</v>
      </c>
      <c r="O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1!$E:$E"")=$D58) *
        (IMPORTRANGE(""https://docs.google.com/spreadsheets/d/161aHT6vVT3SLneTKD19N5qVWtnj_jIT8CSsOmUVKmaA/"&amp;"edit?gid=1761053510"",
          ""Haris_Form responses 1!$AQ:$AQ"")=4)
      ),
      1
    ),
    ""0""
  ),
  ""Form not found""
)
"),"Form not found")</f>
        <v>Form not found</v>
      </c>
      <c r="P58" s="247" t="str">
        <f>IFERROR(__xludf.DUMMYFUNCTION("IFERROR(
  INDEX(
    FILTER(
      Transcription!$AJ:$AJ,
      TRIM(CLEAN(TEXT(Transcription!$F:$F, ""@""))) = TRIM(CLEAN(TEXT($D58, ""@""))),
      Transcription!$AO:$AO = 4
    ),
    1
  ),
  ""Not Found""
)
"),"Not Found")</f>
        <v>Not Found</v>
      </c>
      <c r="Q5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TRIM(CLEAN(TEXT($D58, ""@""))),
      IMPORTRANGE(""https://docs.google.com/spreadsheets/d/1SnQ_YxUmBUYKsKc82GyPP"&amp;"ovLO-EPrfZxsJ0V0UbhezI/edit?gid=590869320#gid=590869320"", ""Form responses 1!$AV:$AV"") = 5
    ),
    1
  ),
  ""Not Found""
)
"),"Not Found")</f>
        <v>Not Found</v>
      </c>
      <c r="R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1!$E:$E"")=$D58) *
        (IMPORTRANGE(""https://docs.google.com/spreadsheets/d/161aHT6vVT3SLneTKD19N5qVWtnj_jIT8CSsOmUVKmaA/"&amp;"edit?gid=1761053510"",
          ""Haris_Form responses 1!$AQ:$AQ"")=5)
      ),
      1
    ),
    ""0""
  ),
  ""Form not found""
)
"),"Form not found")</f>
        <v>Form not found</v>
      </c>
      <c r="S58" s="247" t="str">
        <f>IFERROR(__xludf.DUMMYFUNCTION("IFERROR(
  INDEX(
    FILTER(
      Transcription!$AJ:$AJ,
      TRIM(CLEAN(TEXT(Transcription!$F:$F, ""@""))) = TRIM(CLEAN(TEXT($D58, ""@""))),
      Transcription!$AO:$AO = 5
    ),
    1
  ),
  ""Not Found""
)
"),"Not Found")</f>
        <v>Not Found</v>
      </c>
      <c r="T58"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TRIM(CLEAN(TEXT($D58, ""@""))),
      IMPORTRANGE(""https://docs.google.com/spreadsheets/d/1SnQ_YxUmBUYKsKc82GyPP"&amp;"ovLO-EPrfZxsJ0V0UbhezI/edit?gid=590869320#gid=590869320"", ""Form responses 1!$AV:$AV"") = 6
    ),
    1
  ),
  ""Not Found""
)
"),"Not Found")</f>
        <v>Not Found</v>
      </c>
      <c r="U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1!$E:$E"")=$D58) *
        (IMPORTRANGE(""https://docs.google.com/spreadsheets/d/161aHT6vVT3SLneTKD19N5qVWtnj_jIT8CSsOmUVKmaA/"&amp;"edit?gid=1761053510"",
          ""Haris_Form responses 1!$AQ:$AQ"")=6)
      ),
      1
    ),
    ""0""
  ),
  ""Form not found""
)
"),"Form not found")</f>
        <v>Form not found</v>
      </c>
      <c r="V58" s="247" t="str">
        <f>IFERROR(__xludf.DUMMYFUNCTION("IFERROR(
  INDEX(
    FILTER(
      Transcription!$AJ:$AJ,
      TRIM(CLEAN(TEXT(Transcription!$F:$F, ""@""))) = TRIM(CLEAN(TEXT($D58, ""@""))),
      Transcription!$AO:$AO = 6
    ),
    1
  ),
  ""Not Found""
)
"),"Not Found")</f>
        <v>Not Found</v>
      </c>
      <c r="Y58" s="8" t="s">
        <v>4523</v>
      </c>
      <c r="Z58" s="10">
        <f t="shared" si="1"/>
        <v>3</v>
      </c>
      <c r="AA58" s="10">
        <f t="shared" si="2"/>
        <v>0</v>
      </c>
    </row>
    <row r="59">
      <c r="A59" s="8" t="str">
        <f>VLOOKUP($D59,Sheet6!$B:$G,5,FALSE)</f>
        <v>Lahore</v>
      </c>
      <c r="B59" s="232" t="str">
        <f>VLOOKUP($D59,Sheet6!$B:$G,4,FALSE)</f>
        <v>Community Religious No Info Share</v>
      </c>
      <c r="C59" s="8">
        <v>4.0</v>
      </c>
      <c r="D59" s="8" t="s">
        <v>4535</v>
      </c>
      <c r="E5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TRIM(CLEAN(TEXT($D59, ""@""))),
      IMPORTRANGE(""https://docs.google.com/spreadsheets/d/1SnQ_YxUmBUYKsKc82GyPP"&amp;"ovLO-EPrfZxsJ0V0UbhezI/edit?gid=590869320#gid=590869320"", ""Form responses 1!$AV:$AV"") = 1
    ),
    1
  ),
  ""Not Found""
)
"),"https://drive.google.com/open?id=1Av2xVSAweq63bf0BaYZJFKX7n-fHc8W-")</f>
        <v>https://drive.google.com/open?id=1Av2xVSAweq63bf0BaYZJFKX7n-fHc8W-</v>
      </c>
      <c r="F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1!$E:$E"")=$D59) *
        (IMPORTRANGE(""https://docs.google.com/spreadsheets/d/161aHT6vVT3SLneTKD19N5qVWtnj_jIT8CSsOmUVKmaA/"&amp;"edit?gid=1761053510"",
          ""Haris_Form responses 1!$AQ:$AQ"")=1)
      ),
      1
    ),
    ""0""
  ),
  ""Form not found""
)
"),"1")</f>
        <v>1</v>
      </c>
      <c r="G59" s="245" t="str">
        <f>IFERROR(__xludf.DUMMYFUNCTION("IFERROR(
  INDEX(
    FILTER(
      Transcription!$AJ:$AJ,
      TRIM(CLEAN(TEXT(Transcription!$F:$F, ""@""))) = TRIM(CLEAN(TEXT($D59, ""@""))),
      Transcription!$AO:$AO = 1
    ),
    1
  ),
  ""Not Found""
)
"),"https://drive.google.com/open?id=1cSO6tLLNGXdiQN0KKxsqjeKW8iS__Li5")</f>
        <v>https://drive.google.com/open?id=1cSO6tLLNGXdiQN0KKxsqjeKW8iS__Li5</v>
      </c>
      <c r="H5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TRIM(CLEAN(TEXT($D59, ""@""))),
      IMPORTRANGE(""https://docs.google.com/spreadsheets/d/1SnQ_YxUmBUYKsKc82GyPP"&amp;"ovLO-EPrfZxsJ0V0UbhezI/edit?gid=590869320#gid=590869320"", ""Form responses 1!$AV:$AV"") = 2
    ),
    1
  ),
  ""Not Found""
)
"),"https://drive.google.com/open?id=1vb2VT3BIxCYFIQc06u1ijRHcCt_a2iPB, https://drive.google.com/open?id=1MsRN2-kjEFKoy_6tHyE5y7G7u9XnGEpy")</f>
        <v>https://drive.google.com/open?id=1vb2VT3BIxCYFIQc06u1ijRHcCt_a2iPB, https://drive.google.com/open?id=1MsRN2-kjEFKoy_6tHyE5y7G7u9XnGEpy</v>
      </c>
      <c r="I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1!$E:$E"")=$D59) *
        (IMPORTRANGE(""https://docs.google.com/spreadsheets/d/161aHT6vVT3SLneTKD19N5qVWtnj_jIT8CSsOmUVKmaA/"&amp;"edit?gid=1761053510"",
          ""Haris_Form responses 1!$AQ:$AQ"")=2)
      ),
      1
    ),
    ""0""
  ),
  ""Form not found""
)
"),"2")</f>
        <v>2</v>
      </c>
      <c r="J59" s="245" t="str">
        <f>IFERROR(__xludf.DUMMYFUNCTION("IFERROR(
  INDEX(
    FILTER(
      Transcription!$AJ:$AJ,
      TRIM(CLEAN(TEXT(Transcription!$F:$F, ""@""))) = TRIM(CLEAN(TEXT($D59, ""@""))),
      Transcription!$AO:$AO = 2
    ),
    1
  ),
  ""Not Found""
)
"),"https://drive.google.com/open?id=1JwMLp1VMOGzuqaxmZQpSyNvLfIS9GrDr")</f>
        <v>https://drive.google.com/open?id=1JwMLp1VMOGzuqaxmZQpSyNvLfIS9GrDr</v>
      </c>
      <c r="K5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TRIM(CLEAN(TEXT($D59, ""@""))),
      IMPORTRANGE(""https://docs.google.com/spreadsheets/d/1SnQ_YxUmBUYKsKc82GyPP"&amp;"ovLO-EPrfZxsJ0V0UbhezI/edit?gid=590869320#gid=590869320"", ""Form responses 1!$AV:$AV"") = 3
    ),
    1
  ),
  ""Not Found""
)
"),"https://drive.google.com/open?id=1vYC2g6J7trmUn2_bGucJ-EsH1BrmQo8V")</f>
        <v>https://drive.google.com/open?id=1vYC2g6J7trmUn2_bGucJ-EsH1BrmQo8V</v>
      </c>
      <c r="L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1!$E:$E"")=$D59) *
        (IMPORTRANGE(""https://docs.google.com/spreadsheets/d/161aHT6vVT3SLneTKD19N5qVWtnj_jIT8CSsOmUVKmaA/"&amp;"edit?gid=1761053510"",
          ""Haris_Form responses 1!$AQ:$AQ"")=3)
      ),
      1
    ),
    ""0""
  ),
  ""Form not found""
)
"),"3")</f>
        <v>3</v>
      </c>
      <c r="M59" s="245" t="str">
        <f>IFERROR(__xludf.DUMMYFUNCTION("IFERROR(
  INDEX(
    FILTER(
      Transcription!$AJ:$AJ,
      TRIM(CLEAN(TEXT(Transcription!$F:$F, ""@""))) = TRIM(CLEAN(TEXT($D59, ""@""))),
      Transcription!$AO:$AO = 3
    ),
    1
  ),
  ""Not Found""
)
"),"https://drive.google.com/open?id=14lfGntALIMdqDLfHCs9cByjNUI_tStof")</f>
        <v>https://drive.google.com/open?id=14lfGntALIMdqDLfHCs9cByjNUI_tStof</v>
      </c>
      <c r="N5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TRIM(CLEAN(TEXT($D59, ""@""))),
      IMPORTRANGE(""https://docs.google.com/spreadsheets/d/1SnQ_YxUmBUYKsKc82GyPP"&amp;"ovLO-EPrfZxsJ0V0UbhezI/edit?gid=590869320#gid=590869320"", ""Form responses 1!$AV:$AV"") = 4
    ),
    1
  ),
  ""Not Found""
)
"),"https://drive.google.com/open?id=1-2PUrCvzMn80RnZDvJjW6eaQ1zHorori")</f>
        <v>https://drive.google.com/open?id=1-2PUrCvzMn80RnZDvJjW6eaQ1zHorori</v>
      </c>
      <c r="O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1!$E:$E"")=$D59) *
        (IMPORTRANGE(""https://docs.google.com/spreadsheets/d/161aHT6vVT3SLneTKD19N5qVWtnj_jIT8CSsOmUVKmaA/"&amp;"edit?gid=1761053510"",
          ""Haris_Form responses 1!$AQ:$AQ"")=4)
      ),
      1
    ),
    ""0""
  ),
  ""Form not found""
)
"),"4")</f>
        <v>4</v>
      </c>
      <c r="P59" s="245" t="str">
        <f>IFERROR(__xludf.DUMMYFUNCTION("IFERROR(
  INDEX(
    FILTER(
      Transcription!$AJ:$AJ,
      TRIM(CLEAN(TEXT(Transcription!$F:$F, ""@""))) = TRIM(CLEAN(TEXT($D59, ""@""))),
      Transcription!$AO:$AO = 4
    ),
    1
  ),
  ""Not Found""
)
"),"https://drive.google.com/open?id=1hetbHvYmN55-yHJoKC1yWmUwXqp978rI")</f>
        <v>https://drive.google.com/open?id=1hetbHvYmN55-yHJoKC1yWmUwXqp978rI</v>
      </c>
      <c r="Q59"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TRIM(CLEAN(TEXT($D59, ""@""))),
      IMPORTRANGE(""https://docs.google.com/spreadsheets/d/1SnQ_YxUmBUYKsKc82GyPP"&amp;"ovLO-EPrfZxsJ0V0UbhezI/edit?gid=590869320#gid=590869320"", ""Form responses 1!$AV:$AV"") = 5
    ),
    1
  ),
  ""Not Found""
)
"),"Not Found")</f>
        <v>Not Found</v>
      </c>
      <c r="R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1!$E:$E"")=$D59) *
        (IMPORTRANGE(""https://docs.google.com/spreadsheets/d/161aHT6vVT3SLneTKD19N5qVWtnj_jIT8CSsOmUVKmaA/"&amp;"edit?gid=1761053510"",
          ""Haris_Form responses 1!$AQ:$AQ"")=5)
      ),
      1
    ),
    ""0""
  ),
  ""Form not found""
)
"),"Form not found")</f>
        <v>Form not found</v>
      </c>
      <c r="S59" s="247" t="str">
        <f>IFERROR(__xludf.DUMMYFUNCTION("IFERROR(
  INDEX(
    FILTER(
      Transcription!$AJ:$AJ,
      TRIM(CLEAN(TEXT(Transcription!$F:$F, ""@""))) = TRIM(CLEAN(TEXT($D59, ""@""))),
      Transcription!$AO:$AO = 5
    ),
    1
  ),
  ""Not Found""
)
"),"Not Found")</f>
        <v>Not Found</v>
      </c>
      <c r="T59"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TRIM(CLEAN(TEXT($D59, ""@""))),
      IMPORTRANGE(""https://docs.google.com/spreadsheets/d/1SnQ_YxUmBUYKsKc82GyPP"&amp;"ovLO-EPrfZxsJ0V0UbhezI/edit?gid=590869320#gid=590869320"", ""Form responses 1!$AV:$AV"") = 6
    ),
    1
  ),
  ""Not Found""
)
"),"Not Found")</f>
        <v>Not Found</v>
      </c>
      <c r="U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1!$E:$E"")=$D59) *
        (IMPORTRANGE(""https://docs.google.com/spreadsheets/d/161aHT6vVT3SLneTKD19N5qVWtnj_jIT8CSsOmUVKmaA/"&amp;"edit?gid=1761053510"",
          ""Haris_Form responses 1!$AQ:$AQ"")=6)
      ),
      1
    ),
    ""0""
  ),
  ""Form not found""
)
"),"Form not found")</f>
        <v>Form not found</v>
      </c>
      <c r="V59" s="247" t="str">
        <f>IFERROR(__xludf.DUMMYFUNCTION("IFERROR(
  INDEX(
    FILTER(
      Transcription!$AJ:$AJ,
      TRIM(CLEAN(TEXT(Transcription!$F:$F, ""@""))) = TRIM(CLEAN(TEXT($D59, ""@""))),
      Transcription!$AO:$AO = 6
    ),
    1
  ),
  ""Not Found""
)
"),"Not Found")</f>
        <v>Not Found</v>
      </c>
      <c r="Y59" s="8" t="s">
        <v>4523</v>
      </c>
      <c r="Z59" s="10">
        <f t="shared" si="1"/>
        <v>4</v>
      </c>
      <c r="AA59" s="10">
        <f t="shared" si="2"/>
        <v>0</v>
      </c>
    </row>
    <row r="60">
      <c r="A60" s="8" t="str">
        <f>VLOOKUP($D60,Sheet6!$B:$G,5,FALSE)</f>
        <v>Lahore</v>
      </c>
      <c r="B60" s="232" t="str">
        <f>VLOOKUP($D60,Sheet6!$B:$G,4,FALSE)</f>
        <v>Community Secular No Info Share</v>
      </c>
      <c r="C60" s="8">
        <v>3.0</v>
      </c>
      <c r="D60" s="8" t="s">
        <v>4536</v>
      </c>
      <c r="E60" s="255" t="s">
        <v>4537</v>
      </c>
      <c r="F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1!$E:$E"")=$D60) *
        (IMPORTRANGE(""https://docs.google.com/spreadsheets/d/161aHT6vVT3SLneTKD19N5qVWtnj_jIT8CSsOmUVKmaA/"&amp;"edit?gid=1761053510"",
          ""Haris_Form responses 1!$AQ:$AQ"")=1)
      ),
      1
    ),
    ""0""
  ),
  ""Form not found""
)
"),"Form not found")</f>
        <v>Form not found</v>
      </c>
      <c r="G60" s="247" t="str">
        <f>IFERROR(__xludf.DUMMYFUNCTION("IFERROR(
  INDEX(
    FILTER(
      Transcription!$AJ:$AJ,
      TRIM(CLEAN(TEXT(Transcription!$F:$F, ""@""))) = TRIM(CLEAN(TEXT($D60, ""@""))),
      Transcription!$AO:$AO = 1
    ),
    1
  ),
  ""Not Found""
)
"),"Not Found")</f>
        <v>Not Found</v>
      </c>
      <c r="H6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TRIM(CLEAN(TEXT($D60, ""@""))),
      IMPORTRANGE(""https://docs.google.com/spreadsheets/d/1SnQ_YxUmBUYKsKc82GyPP"&amp;"ovLO-EPrfZxsJ0V0UbhezI/edit?gid=590869320#gid=590869320"", ""Form responses 1!$AV:$AV"") = 2
    ),
    1
  ),
  ""Not Found""
)
"),"https://drive.google.com/open?id=1Eg1xS5WCieGh6scwQVw4-AhjddvSdDBC")</f>
        <v>https://drive.google.com/open?id=1Eg1xS5WCieGh6scwQVw4-AhjddvSdDBC</v>
      </c>
      <c r="I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1!$E:$E"")=$D60) *
        (IMPORTRANGE(""https://docs.google.com/spreadsheets/d/161aHT6vVT3SLneTKD19N5qVWtnj_jIT8CSsOmUVKmaA/"&amp;"edit?gid=1761053510"",
          ""Haris_Form responses 1!$AQ:$AQ"")=2)
      ),
      1
    ),
    ""0""
  ),
  ""Form not found""
)
"),"2")</f>
        <v>2</v>
      </c>
      <c r="J60" s="245" t="str">
        <f>IFERROR(__xludf.DUMMYFUNCTION("IFERROR(
  INDEX(
    FILTER(
      Transcription!$AJ:$AJ,
      TRIM(CLEAN(TEXT(Transcription!$F:$F, ""@""))) = TRIM(CLEAN(TEXT($D60, ""@""))),
      Transcription!$AO:$AO = 2
    ),
    1
  ),
  ""Not Found""
)
"),"https://drive.google.com/open?id=11AaebASSOASxzrecTrSeJQGOm9dFryG-")</f>
        <v>https://drive.google.com/open?id=11AaebASSOASxzrecTrSeJQGOm9dFryG-</v>
      </c>
      <c r="K6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TRIM(CLEAN(TEXT($D60, ""@""))),
      IMPORTRANGE(""https://docs.google.com/spreadsheets/d/1SnQ_YxUmBUYKsKc82GyPP"&amp;"ovLO-EPrfZxsJ0V0UbhezI/edit?gid=590869320#gid=590869320"", ""Form responses 1!$AV:$AV"") = 3
    ),
    1
  ),
  ""Not Found""
)
"),"https://drive.google.com/open?id=1PRi40oAZlWXxNfk6I-NlWC4VDp_va0c8")</f>
        <v>https://drive.google.com/open?id=1PRi40oAZlWXxNfk6I-NlWC4VDp_va0c8</v>
      </c>
      <c r="L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1!$E:$E"")=$D60) *
        (IMPORTRANGE(""https://docs.google.com/spreadsheets/d/161aHT6vVT3SLneTKD19N5qVWtnj_jIT8CSsOmUVKmaA/"&amp;"edit?gid=1761053510"",
          ""Haris_Form responses 1!$AQ:$AQ"")=3)
      ),
      1
    ),
    ""0""
  ),
  ""Form not found""
)
"),"3")</f>
        <v>3</v>
      </c>
      <c r="M60" s="245" t="str">
        <f>IFERROR(__xludf.DUMMYFUNCTION("IFERROR(
  INDEX(
    FILTER(
      Transcription!$AJ:$AJ,
      TRIM(CLEAN(TEXT(Transcription!$F:$F, ""@""))) = TRIM(CLEAN(TEXT($D60, ""@""))),
      Transcription!$AO:$AO = 3
    ),
    1
  ),
  ""Not Found""
)
"),"https://drive.google.com/open?id=1wJUK4Z0UHPH8zNLsuk_uRt9P_MgTOnKw")</f>
        <v>https://drive.google.com/open?id=1wJUK4Z0UHPH8zNLsuk_uRt9P_MgTOnKw</v>
      </c>
      <c r="N6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TRIM(CLEAN(TEXT($D60, ""@""))),
      IMPORTRANGE(""https://docs.google.com/spreadsheets/d/1SnQ_YxUmBUYKsKc82GyPP"&amp;"ovLO-EPrfZxsJ0V0UbhezI/edit?gid=590869320#gid=590869320"", ""Form responses 1!$AV:$AV"") = 4
    ),
    1
  ),
  ""Not Found""
)
"),"https://drive.google.com/open?id=1WNPn9YxCxqy22p76jgsPOD93Zpov4lLM")</f>
        <v>https://drive.google.com/open?id=1WNPn9YxCxqy22p76jgsPOD93Zpov4lLM</v>
      </c>
      <c r="O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1!$E:$E"")=$D60) *
        (IMPORTRANGE(""https://docs.google.com/spreadsheets/d/161aHT6vVT3SLneTKD19N5qVWtnj_jIT8CSsOmUVKmaA/"&amp;"edit?gid=1761053510"",
          ""Haris_Form responses 1!$AQ:$AQ"")=4)
      ),
      1
    ),
    ""0""
  ),
  ""Form not found""
)
"),"4")</f>
        <v>4</v>
      </c>
      <c r="P60" s="245" t="str">
        <f>IFERROR(__xludf.DUMMYFUNCTION("IFERROR(
  INDEX(
    FILTER(
      Transcription!$AJ:$AJ,
      TRIM(CLEAN(TEXT(Transcription!$F:$F, ""@""))) = TRIM(CLEAN(TEXT($D60, ""@""))),
      Transcription!$AO:$AO = 4
    ),
    1
  ),
  ""Not Found""
)
"),"https://drive.google.com/open?id=1yvWGZH-iYGg_yvypOH7KTK2YVLr58Hzj")</f>
        <v>https://drive.google.com/open?id=1yvWGZH-iYGg_yvypOH7KTK2YVLr58Hzj</v>
      </c>
      <c r="Q60"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TRIM(CLEAN(TEXT($D60, ""@""))),
      IMPORTRANGE(""https://docs.google.com/spreadsheets/d/1SnQ_YxUmBUYKsKc82GyPP"&amp;"ovLO-EPrfZxsJ0V0UbhezI/edit?gid=590869320#gid=590869320"", ""Form responses 1!$AV:$AV"") = 5
    ),
    1
  ),
  ""Not Found""
)
"),"Not Found")</f>
        <v>Not Found</v>
      </c>
      <c r="R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1!$E:$E"")=$D60) *
        (IMPORTRANGE(""https://docs.google.com/spreadsheets/d/161aHT6vVT3SLneTKD19N5qVWtnj_jIT8CSsOmUVKmaA/"&amp;"edit?gid=1761053510"",
          ""Haris_Form responses 1!$AQ:$AQ"")=5)
      ),
      1
    ),
    ""0""
  ),
  ""Form not found""
)
"),"Form not found")</f>
        <v>Form not found</v>
      </c>
      <c r="S60" s="247" t="str">
        <f>IFERROR(__xludf.DUMMYFUNCTION("IFERROR(
  INDEX(
    FILTER(
      Transcription!$AJ:$AJ,
      TRIM(CLEAN(TEXT(Transcription!$F:$F, ""@""))) = TRIM(CLEAN(TEXT($D60, ""@""))),
      Transcription!$AO:$AO = 5
    ),
    1
  ),
  ""Not Found""
)
"),"Not Found")</f>
        <v>Not Found</v>
      </c>
      <c r="T60"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TRIM(CLEAN(TEXT($D60, ""@""))),
      IMPORTRANGE(""https://docs.google.com/spreadsheets/d/1SnQ_YxUmBUYKsKc82GyPP"&amp;"ovLO-EPrfZxsJ0V0UbhezI/edit?gid=590869320#gid=590869320"", ""Form responses 1!$AV:$AV"") = 6
    ),
    1
  ),
  ""Not Found""
)
"),"Not Found")</f>
        <v>Not Found</v>
      </c>
      <c r="U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1!$E:$E"")=$D60) *
        (IMPORTRANGE(""https://docs.google.com/spreadsheets/d/161aHT6vVT3SLneTKD19N5qVWtnj_jIT8CSsOmUVKmaA/"&amp;"edit?gid=1761053510"",
          ""Haris_Form responses 1!$AQ:$AQ"")=6)
      ),
      1
    ),
    ""0""
  ),
  ""Form not found""
)
"),"Form not found")</f>
        <v>Form not found</v>
      </c>
      <c r="V60" s="247" t="str">
        <f>IFERROR(__xludf.DUMMYFUNCTION("IFERROR(
  INDEX(
    FILTER(
      Transcription!$AJ:$AJ,
      TRIM(CLEAN(TEXT(Transcription!$F:$F, ""@""))) = TRIM(CLEAN(TEXT($D60, ""@""))),
      Transcription!$AO:$AO = 6
    ),
    1
  ),
  ""Not Found""
)
"),"Not Found")</f>
        <v>Not Found</v>
      </c>
      <c r="Y60" s="8" t="s">
        <v>4523</v>
      </c>
      <c r="Z60" s="10">
        <f t="shared" si="1"/>
        <v>3</v>
      </c>
      <c r="AA60" s="10">
        <f t="shared" si="2"/>
        <v>0</v>
      </c>
    </row>
    <row r="61">
      <c r="A61" s="8" t="str">
        <f>VLOOKUP($D61,Sheet6!$B:$G,5,FALSE)</f>
        <v>Lahore</v>
      </c>
      <c r="B61" s="232" t="str">
        <f>VLOOKUP($D61,Sheet6!$B:$G,4,FALSE)</f>
        <v>Women Secular No Info Share</v>
      </c>
      <c r="C61" s="8">
        <v>3.0</v>
      </c>
      <c r="D61" s="8" t="s">
        <v>4538</v>
      </c>
      <c r="E6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TRIM(CLEAN(TEXT($D61, ""@""))),
      IMPORTRANGE(""https://docs.google.com/spreadsheets/d/1SnQ_YxUmBUYKsKc82GyPP"&amp;"ovLO-EPrfZxsJ0V0UbhezI/edit?gid=590869320#gid=590869320"", ""Form responses 1!$AV:$AV"") = 1
    ),
    1
  ),
  ""Not Found""
)
"),"https://drive.google.com/open?id=1WYGS2lm-SkYOnBe7Mv_TeARYirx5tPw6")</f>
        <v>https://drive.google.com/open?id=1WYGS2lm-SkYOnBe7Mv_TeARYirx5tPw6</v>
      </c>
      <c r="F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1!$E:$E"")=$D61) *
        (IMPORTRANGE(""https://docs.google.com/spreadsheets/d/161aHT6vVT3SLneTKD19N5qVWtnj_jIT8CSsOmUVKmaA/"&amp;"edit?gid=1761053510"",
          ""Haris_Form responses 1!$AQ:$AQ"")=1)
      ),
      1
    ),
    ""0""
  ),
  ""Form not found""
)
"),"1")</f>
        <v>1</v>
      </c>
      <c r="G61" s="245" t="str">
        <f>IFERROR(__xludf.DUMMYFUNCTION("IFERROR(
  INDEX(
    FILTER(
      Transcription!$AJ:$AJ,
      TRIM(CLEAN(TEXT(Transcription!$F:$F, ""@""))) = TRIM(CLEAN(TEXT($D61, ""@""))),
      Transcription!$AO:$AO = 1
    ),
    1
  ),
  ""Not Found""
)
"),"https://drive.google.com/open?id=1CrhWG--K7K7mYhRjUYMPQlqZoGx7TFD1")</f>
        <v>https://drive.google.com/open?id=1CrhWG--K7K7mYhRjUYMPQlqZoGx7TFD1</v>
      </c>
      <c r="H6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TRIM(CLEAN(TEXT($D61, ""@""))),
      IMPORTRANGE(""https://docs.google.com/spreadsheets/d/1SnQ_YxUmBUYKsKc82GyPP"&amp;"ovLO-EPrfZxsJ0V0UbhezI/edit?gid=590869320#gid=590869320"", ""Form responses 1!$AV:$AV"") = 2
    ),
    1
  ),
  ""Not Found""
)
"),"https://drive.google.com/open?id=1XnI6oOsYkBAVza3lSZQ55XZRovLyB8xS")</f>
        <v>https://drive.google.com/open?id=1XnI6oOsYkBAVza3lSZQ55XZRovLyB8xS</v>
      </c>
      <c r="I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1!$E:$E"")=$D61) *
        (IMPORTRANGE(""https://docs.google.com/spreadsheets/d/161aHT6vVT3SLneTKD19N5qVWtnj_jIT8CSsOmUVKmaA/"&amp;"edit?gid=1761053510"",
          ""Haris_Form responses 1!$AQ:$AQ"")=2)
      ),
      1
    ),
    ""0""
  ),
  ""Form not found""
)
"),"2")</f>
        <v>2</v>
      </c>
      <c r="J61" s="245" t="str">
        <f>IFERROR(__xludf.DUMMYFUNCTION("IFERROR(
  INDEX(
    FILTER(
      Transcription!$AJ:$AJ,
      TRIM(CLEAN(TEXT(Transcription!$F:$F, ""@""))) = TRIM(CLEAN(TEXT($D61, ""@""))),
      Transcription!$AO:$AO = 2
    ),
    1
  ),
  ""Not Found""
)
"),"https://drive.google.com/open?id=1pJ8dAW2wvLar-CEsk1xKN69pDVl0uV4K")</f>
        <v>https://drive.google.com/open?id=1pJ8dAW2wvLar-CEsk1xKN69pDVl0uV4K</v>
      </c>
      <c r="K6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TRIM(CLEAN(TEXT($D61, ""@""))),
      IMPORTRANGE(""https://docs.google.com/spreadsheets/d/1SnQ_YxUmBUYKsKc82GyPP"&amp;"ovLO-EPrfZxsJ0V0UbhezI/edit?gid=590869320#gid=590869320"", ""Form responses 1!$AV:$AV"") = 3
    ),
    1
  ),
  ""Not Found""
)
"),"https://drive.google.com/open?id=1iAztDv-Z6REWEjU_N6u8NVWApFHE5nSN")</f>
        <v>https://drive.google.com/open?id=1iAztDv-Z6REWEjU_N6u8NVWApFHE5nSN</v>
      </c>
      <c r="L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1!$E:$E"")=$D61) *
        (IMPORTRANGE(""https://docs.google.com/spreadsheets/d/161aHT6vVT3SLneTKD19N5qVWtnj_jIT8CSsOmUVKmaA/"&amp;"edit?gid=1761053510"",
          ""Haris_Form responses 1!$AQ:$AQ"")=3)
      ),
      1
    ),
    ""0""
  ),
  ""Form not found""
)
"),"3")</f>
        <v>3</v>
      </c>
      <c r="M61" s="245" t="str">
        <f>IFERROR(__xludf.DUMMYFUNCTION("IFERROR(
  INDEX(
    FILTER(
      Transcription!$AJ:$AJ,
      TRIM(CLEAN(TEXT(Transcription!$F:$F, ""@""))) = TRIM(CLEAN(TEXT($D61, ""@""))),
      Transcription!$AO:$AO = 3
    ),
    1
  ),
  ""Not Found""
)
"),"https://drive.google.com/open?id=1Romwhq8HLuRSj9icXjiwETkTmx02cf_9")</f>
        <v>https://drive.google.com/open?id=1Romwhq8HLuRSj9icXjiwETkTmx02cf_9</v>
      </c>
      <c r="N6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TRIM(CLEAN(TEXT($D61, ""@""))),
      IMPORTRANGE(""https://docs.google.com/spreadsheets/d/1SnQ_YxUmBUYKsKc82GyPP"&amp;"ovLO-EPrfZxsJ0V0UbhezI/edit?gid=590869320#gid=590869320"", ""Form responses 1!$AV:$AV"") = 4
    ),
    1
  ),
  ""Not Found""
)
"),"Not Found")</f>
        <v>Not Found</v>
      </c>
      <c r="O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1!$E:$E"")=$D61) *
        (IMPORTRANGE(""https://docs.google.com/spreadsheets/d/161aHT6vVT3SLneTKD19N5qVWtnj_jIT8CSsOmUVKmaA/"&amp;"edit?gid=1761053510"",
          ""Haris_Form responses 1!$AQ:$AQ"")=4)
      ),
      1
    ),
    ""0""
  ),
  ""Form not found""
)
"),"Form not found")</f>
        <v>Form not found</v>
      </c>
      <c r="P61" s="247" t="str">
        <f>IFERROR(__xludf.DUMMYFUNCTION("IFERROR(
  INDEX(
    FILTER(
      Transcription!$AJ:$AJ,
      TRIM(CLEAN(TEXT(Transcription!$F:$F, ""@""))) = TRIM(CLEAN(TEXT($D61, ""@""))),
      Transcription!$AO:$AO = 4
    ),
    1
  ),
  ""Not Found""
)
"),"Not Found")</f>
        <v>Not Found</v>
      </c>
      <c r="Q6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TRIM(CLEAN(TEXT($D61, ""@""))),
      IMPORTRANGE(""https://docs.google.com/spreadsheets/d/1SnQ_YxUmBUYKsKc82GyPP"&amp;"ovLO-EPrfZxsJ0V0UbhezI/edit?gid=590869320#gid=590869320"", ""Form responses 1!$AV:$AV"") = 5
    ),
    1
  ),
  ""Not Found""
)
"),"Not Found")</f>
        <v>Not Found</v>
      </c>
      <c r="R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1!$E:$E"")=$D61) *
        (IMPORTRANGE(""https://docs.google.com/spreadsheets/d/161aHT6vVT3SLneTKD19N5qVWtnj_jIT8CSsOmUVKmaA/"&amp;"edit?gid=1761053510"",
          ""Haris_Form responses 1!$AQ:$AQ"")=5)
      ),
      1
    ),
    ""0""
  ),
  ""Form not found""
)
"),"Form not found")</f>
        <v>Form not found</v>
      </c>
      <c r="S61" s="247" t="str">
        <f>IFERROR(__xludf.DUMMYFUNCTION("IFERROR(
  INDEX(
    FILTER(
      Transcription!$AJ:$AJ,
      TRIM(CLEAN(TEXT(Transcription!$F:$F, ""@""))) = TRIM(CLEAN(TEXT($D61, ""@""))),
      Transcription!$AO:$AO = 5
    ),
    1
  ),
  ""Not Found""
)
"),"Not Found")</f>
        <v>Not Found</v>
      </c>
      <c r="T61"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TRIM(CLEAN(TEXT($D61, ""@""))),
      IMPORTRANGE(""https://docs.google.com/spreadsheets/d/1SnQ_YxUmBUYKsKc82GyPP"&amp;"ovLO-EPrfZxsJ0V0UbhezI/edit?gid=590869320#gid=590869320"", ""Form responses 1!$AV:$AV"") = 6
    ),
    1
  ),
  ""Not Found""
)
"),"Not Found")</f>
        <v>Not Found</v>
      </c>
      <c r="U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1!$E:$E"")=$D61) *
        (IMPORTRANGE(""https://docs.google.com/spreadsheets/d/161aHT6vVT3SLneTKD19N5qVWtnj_jIT8CSsOmUVKmaA/"&amp;"edit?gid=1761053510"",
          ""Haris_Form responses 1!$AQ:$AQ"")=6)
      ),
      1
    ),
    ""0""
  ),
  ""Form not found""
)
"),"Form not found")</f>
        <v>Form not found</v>
      </c>
      <c r="V61" s="247" t="str">
        <f>IFERROR(__xludf.DUMMYFUNCTION("IFERROR(
  INDEX(
    FILTER(
      Transcription!$AJ:$AJ,
      TRIM(CLEAN(TEXT(Transcription!$F:$F, ""@""))) = TRIM(CLEAN(TEXT($D61, ""@""))),
      Transcription!$AO:$AO = 6
    ),
    1
  ),
  ""Not Found""
)
"),"Not Found")</f>
        <v>Not Found</v>
      </c>
      <c r="Y61" s="8" t="s">
        <v>4523</v>
      </c>
      <c r="Z61" s="10">
        <f t="shared" si="1"/>
        <v>3</v>
      </c>
      <c r="AA61" s="10">
        <f t="shared" si="2"/>
        <v>0</v>
      </c>
    </row>
    <row r="62">
      <c r="A62" s="8" t="str">
        <f>VLOOKUP($D62,Sheet6!$B:$G,5,FALSE)</f>
        <v>Lahore</v>
      </c>
      <c r="B62" s="232" t="str">
        <f>VLOOKUP($D62,Sheet6!$B:$G,4,FALSE)</f>
        <v>Control</v>
      </c>
      <c r="C62" s="8">
        <v>2.0</v>
      </c>
      <c r="D62" s="8" t="s">
        <v>3201</v>
      </c>
      <c r="E6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TRIM(CLEAN(TEXT($D62, ""@""))),
      IMPORTRANGE(""https://docs.google.com/spreadsheets/d/1SnQ_YxUmBUYKsKc82GyPP"&amp;"ovLO-EPrfZxsJ0V0UbhezI/edit?gid=590869320#gid=590869320"", ""Form responses 1!$AV:$AV"") = 1
    ),
    1
  ),
  ""Not Found""
)
"),"https://drive.google.com/open?id=1ExJNZBRG7xwZjCAxA2LnWwvh0CiFjXuR")</f>
        <v>https://drive.google.com/open?id=1ExJNZBRG7xwZjCAxA2LnWwvh0CiFjXuR</v>
      </c>
      <c r="F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1!$E:$E"")=$D62) *
        (IMPORTRANGE(""https://docs.google.com/spreadsheets/d/161aHT6vVT3SLneTKD19N5qVWtnj_jIT8CSsOmUVKmaA/"&amp;"edit?gid=1761053510"",
          ""Haris_Form responses 1!$AQ:$AQ"")=1)
      ),
      1
    ),
    ""0""
  ),
  ""Form not found""
)
"),"1")</f>
        <v>1</v>
      </c>
      <c r="G62" s="245" t="str">
        <f>IFERROR(__xludf.DUMMYFUNCTION("IFERROR(
  INDEX(
    FILTER(
      Transcription!$AJ:$AJ,
      TRIM(CLEAN(TEXT(Transcription!$F:$F, ""@""))) = TRIM(CLEAN(TEXT($D62, ""@""))),
      Transcription!$AO:$AO = 1
    ),
    1
  ),
  ""Not Found""
)
"),"https://drive.google.com/open?id=1Bh16WjXasnT6y4TMuYsI0neL05hnSHrd")</f>
        <v>https://drive.google.com/open?id=1Bh16WjXasnT6y4TMuYsI0neL05hnSHrd</v>
      </c>
      <c r="H62"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TRIM(CLEAN(TEXT($D62, ""@""))),
      IMPORTRANGE(""https://docs.google.com/spreadsheets/d/1SnQ_YxUmBUYKsKc82GyPP"&amp;"ovLO-EPrfZxsJ0V0UbhezI/edit?gid=590869320#gid=590869320"", ""Form responses 1!$AV:$AV"") = 2
    ),
    1
  ),
  ""Not Found""
)
"),"Not Found")</f>
        <v>Not Found</v>
      </c>
      <c r="I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1!$E:$E"")=$D62) *
        (IMPORTRANGE(""https://docs.google.com/spreadsheets/d/161aHT6vVT3SLneTKD19N5qVWtnj_jIT8CSsOmUVKmaA/"&amp;"edit?gid=1761053510"",
          ""Haris_Form responses 1!$AQ:$AQ"")=2)
      ),
      1
    ),
    ""0""
  ),
  ""Form not found""
)
"),"Form not found")</f>
        <v>Form not found</v>
      </c>
      <c r="J62" s="247" t="str">
        <f>IFERROR(__xludf.DUMMYFUNCTION("IFERROR(
  INDEX(
    FILTER(
      Transcription!$AJ:$AJ,
      TRIM(CLEAN(TEXT(Transcription!$F:$F, ""@""))) = TRIM(CLEAN(TEXT($D62, ""@""))),
      Transcription!$AO:$AO = 2
    ),
    1
  ),
  ""Not Found""
)
"),"Not Found")</f>
        <v>Not Found</v>
      </c>
      <c r="K6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TRIM(CLEAN(TEXT($D62, ""@""))),
      IMPORTRANGE(""https://docs.google.com/spreadsheets/d/1SnQ_YxUmBUYKsKc82GyPP"&amp;"ovLO-EPrfZxsJ0V0UbhezI/edit?gid=590869320#gid=590869320"", ""Form responses 1!$AV:$AV"") = 3
    ),
    1
  ),
  ""Not Found""
)
"),"https://drive.google.com/open?id=1l56qhoECSePdA3RVPfJ0iiA_yCP9mz9n")</f>
        <v>https://drive.google.com/open?id=1l56qhoECSePdA3RVPfJ0iiA_yCP9mz9n</v>
      </c>
      <c r="L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1!$E:$E"")=$D62) *
        (IMPORTRANGE(""https://docs.google.com/spreadsheets/d/161aHT6vVT3SLneTKD19N5qVWtnj_jIT8CSsOmUVKmaA/"&amp;"edit?gid=1761053510"",
          ""Haris_Form responses 1!$AQ:$AQ"")=3)
      ),
      1
    ),
    ""0""
  ),
  ""Form not found""
)
"),"3")</f>
        <v>3</v>
      </c>
      <c r="M62" s="245" t="str">
        <f>IFERROR(__xludf.DUMMYFUNCTION("IFERROR(
  INDEX(
    FILTER(
      Transcription!$AJ:$AJ,
      TRIM(CLEAN(TEXT(Transcription!$F:$F, ""@""))) = TRIM(CLEAN(TEXT($D62, ""@""))),
      Transcription!$AO:$AO = 3
    ),
    1
  ),
  ""Not Found""
)
"),"https://drive.google.com/open?id=1ZYjDlW7xh1fU4U9u-43A6q4NuQLxITBT")</f>
        <v>https://drive.google.com/open?id=1ZYjDlW7xh1fU4U9u-43A6q4NuQLxITBT</v>
      </c>
      <c r="N62"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TRIM(CLEAN(TEXT($D62, ""@""))),
      IMPORTRANGE(""https://docs.google.com/spreadsheets/d/1SnQ_YxUmBUYKsKc82GyPP"&amp;"ovLO-EPrfZxsJ0V0UbhezI/edit?gid=590869320#gid=590869320"", ""Form responses 1!$AV:$AV"") = 4
    ),
    1
  ),
  ""Not Found""
)
"),"Not Found")</f>
        <v>Not Found</v>
      </c>
      <c r="O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1!$E:$E"")=$D62) *
        (IMPORTRANGE(""https://docs.google.com/spreadsheets/d/161aHT6vVT3SLneTKD19N5qVWtnj_jIT8CSsOmUVKmaA/"&amp;"edit?gid=1761053510"",
          ""Haris_Form responses 1!$AQ:$AQ"")=4)
      ),
      1
    ),
    ""0""
  ),
  ""Form not found""
)
"),"Form not found")</f>
        <v>Form not found</v>
      </c>
      <c r="P62" s="247" t="str">
        <f>IFERROR(__xludf.DUMMYFUNCTION("IFERROR(
  INDEX(
    FILTER(
      Transcription!$AJ:$AJ,
      TRIM(CLEAN(TEXT(Transcription!$F:$F, ""@""))) = TRIM(CLEAN(TEXT($D62, ""@""))),
      Transcription!$AO:$AO = 4
    ),
    1
  ),
  ""Not Found""
)
"),"Not Found")</f>
        <v>Not Found</v>
      </c>
      <c r="Q62"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TRIM(CLEAN(TEXT($D62, ""@""))),
      IMPORTRANGE(""https://docs.google.com/spreadsheets/d/1SnQ_YxUmBUYKsKc82GyPP"&amp;"ovLO-EPrfZxsJ0V0UbhezI/edit?gid=590869320#gid=590869320"", ""Form responses 1!$AV:$AV"") = 5
    ),
    1
  ),
  ""Not Found""
)
"),"Not Found")</f>
        <v>Not Found</v>
      </c>
      <c r="R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1!$E:$E"")=$D62) *
        (IMPORTRANGE(""https://docs.google.com/spreadsheets/d/161aHT6vVT3SLneTKD19N5qVWtnj_jIT8CSsOmUVKmaA/"&amp;"edit?gid=1761053510"",
          ""Haris_Form responses 1!$AQ:$AQ"")=5)
      ),
      1
    ),
    ""0""
  ),
  ""Form not found""
)
"),"Form not found")</f>
        <v>Form not found</v>
      </c>
      <c r="S62" s="247" t="str">
        <f>IFERROR(__xludf.DUMMYFUNCTION("IFERROR(
  INDEX(
    FILTER(
      Transcription!$AJ:$AJ,
      TRIM(CLEAN(TEXT(Transcription!$F:$F, ""@""))) = TRIM(CLEAN(TEXT($D62, ""@""))),
      Transcription!$AO:$AO = 5
    ),
    1
  ),
  ""Not Found""
)
"),"Not Found")</f>
        <v>Not Found</v>
      </c>
      <c r="T62"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TRIM(CLEAN(TEXT($D62, ""@""))),
      IMPORTRANGE(""https://docs.google.com/spreadsheets/d/1SnQ_YxUmBUYKsKc82GyPP"&amp;"ovLO-EPrfZxsJ0V0UbhezI/edit?gid=590869320#gid=590869320"", ""Form responses 1!$AV:$AV"") = 6
    ),
    1
  ),
  ""Not Found""
)
"),"Not Found")</f>
        <v>Not Found</v>
      </c>
      <c r="U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1!$E:$E"")=$D62) *
        (IMPORTRANGE(""https://docs.google.com/spreadsheets/d/161aHT6vVT3SLneTKD19N5qVWtnj_jIT8CSsOmUVKmaA/"&amp;"edit?gid=1761053510"",
          ""Haris_Form responses 1!$AQ:$AQ"")=6)
      ),
      1
    ),
    ""0""
  ),
  ""Form not found""
)
"),"Form not found")</f>
        <v>Form not found</v>
      </c>
      <c r="V62" s="247" t="str">
        <f>IFERROR(__xludf.DUMMYFUNCTION("IFERROR(
  INDEX(
    FILTER(
      Transcription!$AJ:$AJ,
      TRIM(CLEAN(TEXT(Transcription!$F:$F, ""@""))) = TRIM(CLEAN(TEXT($D62, ""@""))),
      Transcription!$AO:$AO = 6
    ),
    1
  ),
  ""Not Found""
)
"),"Not Found")</f>
        <v>Not Found</v>
      </c>
      <c r="Y62" s="8" t="s">
        <v>4523</v>
      </c>
      <c r="Z62" s="10">
        <f t="shared" si="1"/>
        <v>2</v>
      </c>
      <c r="AA62" s="10">
        <f t="shared" si="2"/>
        <v>0</v>
      </c>
    </row>
    <row r="63">
      <c r="A63" s="8" t="str">
        <f>VLOOKUP($D63,Sheet6!$B:$G,5,FALSE)</f>
        <v>Lahore</v>
      </c>
      <c r="B63" s="232" t="str">
        <f>VLOOKUP($D63,Sheet6!$B:$G,4,FALSE)</f>
        <v>Women Secular Info Share</v>
      </c>
      <c r="C63" s="8">
        <v>4.0</v>
      </c>
      <c r="D63" s="8" t="s">
        <v>3472</v>
      </c>
      <c r="E6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TRIM(CLEAN(TEXT($D63, ""@""))),
      IMPORTRANGE(""https://docs.google.com/spreadsheets/d/1SnQ_YxUmBUYKsKc82GyPP"&amp;"ovLO-EPrfZxsJ0V0UbhezI/edit?gid=590869320#gid=590869320"", ""Form responses 1!$AV:$AV"") = 1
    ),
    1
  ),
  ""Not Found""
)
"),"https://drive.google.com/open?id=1n7SieE5OHcQDpxoUe1jNMJO1WoISIyPK")</f>
        <v>https://drive.google.com/open?id=1n7SieE5OHcQDpxoUe1jNMJO1WoISIyPK</v>
      </c>
      <c r="F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1!$E:$E"")=$D63) *
        (IMPORTRANGE(""https://docs.google.com/spreadsheets/d/161aHT6vVT3SLneTKD19N5qVWtnj_jIT8CSsOmUVKmaA/"&amp;"edit?gid=1761053510"",
          ""Haris_Form responses 1!$AQ:$AQ"")=1)
      ),
      1
    ),
    ""0""
  ),
  ""Form not found""
)
"),"1")</f>
        <v>1</v>
      </c>
      <c r="G63" s="245" t="str">
        <f>IFERROR(__xludf.DUMMYFUNCTION("IFERROR(
  INDEX(
    FILTER(
      Transcription!$AJ:$AJ,
      TRIM(CLEAN(TEXT(Transcription!$F:$F, ""@""))) = TRIM(CLEAN(TEXT($D63, ""@""))),
      Transcription!$AO:$AO = 1
    ),
    1
  ),
  ""Not Found""
)
"),"https://drive.google.com/open?id=1tBUcXf7Eg23nwxVjX0fyr42z2lmyw_yC")</f>
        <v>https://drive.google.com/open?id=1tBUcXf7Eg23nwxVjX0fyr42z2lmyw_yC</v>
      </c>
      <c r="H6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TRIM(CLEAN(TEXT($D63, ""@""))),
      IMPORTRANGE(""https://docs.google.com/spreadsheets/d/1SnQ_YxUmBUYKsKc82GyPP"&amp;"ovLO-EPrfZxsJ0V0UbhezI/edit?gid=590869320#gid=590869320"", ""Form responses 1!$AV:$AV"") = 2
    ),
    1
  ),
  ""Not Found""
)
"),"https://drive.google.com/open?id=1tKfIOxemE2cGXZZ0HAjrm-2eRvptq54x")</f>
        <v>https://drive.google.com/open?id=1tKfIOxemE2cGXZZ0HAjrm-2eRvptq54x</v>
      </c>
      <c r="I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1!$E:$E"")=$D63) *
        (IMPORTRANGE(""https://docs.google.com/spreadsheets/d/161aHT6vVT3SLneTKD19N5qVWtnj_jIT8CSsOmUVKmaA/"&amp;"edit?gid=1761053510"",
          ""Haris_Form responses 1!$AQ:$AQ"")=2)
      ),
      1
    ),
    ""0""
  ),
  ""Form not found""
)
"),"2")</f>
        <v>2</v>
      </c>
      <c r="J63" s="245" t="str">
        <f>IFERROR(__xludf.DUMMYFUNCTION("IFERROR(
  INDEX(
    FILTER(
      Transcription!$AJ:$AJ,
      TRIM(CLEAN(TEXT(Transcription!$F:$F, ""@""))) = TRIM(CLEAN(TEXT($D63, ""@""))),
      Transcription!$AO:$AO = 2
    ),
    1
  ),
  ""Not Found""
)
"),"https://drive.google.com/open?id=1Dhfbckx-xfBuoGGx0ct5wASikaFW_VeM")</f>
        <v>https://drive.google.com/open?id=1Dhfbckx-xfBuoGGx0ct5wASikaFW_VeM</v>
      </c>
      <c r="K6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TRIM(CLEAN(TEXT($D63, ""@""))),
      IMPORTRANGE(""https://docs.google.com/spreadsheets/d/1SnQ_YxUmBUYKsKc82GyPP"&amp;"ovLO-EPrfZxsJ0V0UbhezI/edit?gid=590869320#gid=590869320"", ""Form responses 1!$AV:$AV"") = 3
    ),
    1
  ),
  ""Not Found""
)
"),"https://drive.google.com/open?id=1kQjag4SARco2L37H2bWZueBTRuBpxibx")</f>
        <v>https://drive.google.com/open?id=1kQjag4SARco2L37H2bWZueBTRuBpxibx</v>
      </c>
      <c r="L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1!$E:$E"")=$D63) *
        (IMPORTRANGE(""https://docs.google.com/spreadsheets/d/161aHT6vVT3SLneTKD19N5qVWtnj_jIT8CSsOmUVKmaA/"&amp;"edit?gid=1761053510"",
          ""Haris_Form responses 1!$AQ:$AQ"")=3)
      ),
      1
    ),
    ""0""
  ),
  ""Form not found""
)
"),"3")</f>
        <v>3</v>
      </c>
      <c r="M63" s="245" t="str">
        <f>IFERROR(__xludf.DUMMYFUNCTION("IFERROR(
  INDEX(
    FILTER(
      Transcription!$AJ:$AJ,
      TRIM(CLEAN(TEXT(Transcription!$F:$F, ""@""))) = TRIM(CLEAN(TEXT($D63, ""@""))),
      Transcription!$AO:$AO = 3
    ),
    1
  ),
  ""Not Found""
)
"),"https://drive.google.com/open?id=1tXo1qlbH2DwiqXQ4cZ1oo-XtB64Xc2Sn")</f>
        <v>https://drive.google.com/open?id=1tXo1qlbH2DwiqXQ4cZ1oo-XtB64Xc2Sn</v>
      </c>
      <c r="N6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TRIM(CLEAN(TEXT($D63, ""@""))),
      IMPORTRANGE(""https://docs.google.com/spreadsheets/d/1SnQ_YxUmBUYKsKc82GyPP"&amp;"ovLO-EPrfZxsJ0V0UbhezI/edit?gid=590869320#gid=590869320"", ""Form responses 1!$AV:$AV"") = 4
    ),
    1
  ),
  ""Not Found""
)
"),"https://drive.google.com/open?id=12_OKyRbr-L_haP3oSrEctC30GbLqtXiU")</f>
        <v>https://drive.google.com/open?id=12_OKyRbr-L_haP3oSrEctC30GbLqtXiU</v>
      </c>
      <c r="O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1!$E:$E"")=$D63) *
        (IMPORTRANGE(""https://docs.google.com/spreadsheets/d/161aHT6vVT3SLneTKD19N5qVWtnj_jIT8CSsOmUVKmaA/"&amp;"edit?gid=1761053510"",
          ""Haris_Form responses 1!$AQ:$AQ"")=4)
      ),
      1
    ),
    ""0""
  ),
  ""Form not found""
)
"),"4")</f>
        <v>4</v>
      </c>
      <c r="P63" s="245" t="str">
        <f>IFERROR(__xludf.DUMMYFUNCTION("IFERROR(
  INDEX(
    FILTER(
      Transcription!$AJ:$AJ,
      TRIM(CLEAN(TEXT(Transcription!$F:$F, ""@""))) = TRIM(CLEAN(TEXT($D63, ""@""))),
      Transcription!$AO:$AO = 4
    ),
    1
  ),
  ""Not Found""
)
"),"https://drive.google.com/open?id=1sv306HZuUHd_fRVu3MOtUdo1zaoG3N2d")</f>
        <v>https://drive.google.com/open?id=1sv306HZuUHd_fRVu3MOtUdo1zaoG3N2d</v>
      </c>
      <c r="Q63"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TRIM(CLEAN(TEXT($D63, ""@""))),
      IMPORTRANGE(""https://docs.google.com/spreadsheets/d/1SnQ_YxUmBUYKsKc82GyPP"&amp;"ovLO-EPrfZxsJ0V0UbhezI/edit?gid=590869320#gid=590869320"", ""Form responses 1!$AV:$AV"") = 5
    ),
    1
  ),
  ""Not Found""
)
"),"Not Found")</f>
        <v>Not Found</v>
      </c>
      <c r="R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1!$E:$E"")=$D63) *
        (IMPORTRANGE(""https://docs.google.com/spreadsheets/d/161aHT6vVT3SLneTKD19N5qVWtnj_jIT8CSsOmUVKmaA/"&amp;"edit?gid=1761053510"",
          ""Haris_Form responses 1!$AQ:$AQ"")=5)
      ),
      1
    ),
    ""0""
  ),
  ""Form not found""
)
"),"Form not found")</f>
        <v>Form not found</v>
      </c>
      <c r="S63" s="247" t="str">
        <f>IFERROR(__xludf.DUMMYFUNCTION("IFERROR(
  INDEX(
    FILTER(
      Transcription!$AJ:$AJ,
      TRIM(CLEAN(TEXT(Transcription!$F:$F, ""@""))) = TRIM(CLEAN(TEXT($D63, ""@""))),
      Transcription!$AO:$AO = 5
    ),
    1
  ),
  ""Not Found""
)
"),"Not Found")</f>
        <v>Not Found</v>
      </c>
      <c r="T63"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TRIM(CLEAN(TEXT($D63, ""@""))),
      IMPORTRANGE(""https://docs.google.com/spreadsheets/d/1SnQ_YxUmBUYKsKc82GyPP"&amp;"ovLO-EPrfZxsJ0V0UbhezI/edit?gid=590869320#gid=590869320"", ""Form responses 1!$AV:$AV"") = 6
    ),
    1
  ),
  ""Not Found""
)
"),"Not Found")</f>
        <v>Not Found</v>
      </c>
      <c r="U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1!$E:$E"")=$D63) *
        (IMPORTRANGE(""https://docs.google.com/spreadsheets/d/161aHT6vVT3SLneTKD19N5qVWtnj_jIT8CSsOmUVKmaA/"&amp;"edit?gid=1761053510"",
          ""Haris_Form responses 1!$AQ:$AQ"")=6)
      ),
      1
    ),
    ""0""
  ),
  ""Form not found""
)
"),"Form not found")</f>
        <v>Form not found</v>
      </c>
      <c r="V63" s="247" t="str">
        <f>IFERROR(__xludf.DUMMYFUNCTION("IFERROR(
  INDEX(
    FILTER(
      Transcription!$AJ:$AJ,
      TRIM(CLEAN(TEXT(Transcription!$F:$F, ""@""))) = TRIM(CLEAN(TEXT($D63, ""@""))),
      Transcription!$AO:$AO = 6
    ),
    1
  ),
  ""Not Found""
)
"),"Not Found")</f>
        <v>Not Found</v>
      </c>
      <c r="Y63" s="8" t="s">
        <v>4523</v>
      </c>
      <c r="Z63" s="10">
        <f t="shared" si="1"/>
        <v>4</v>
      </c>
      <c r="AA63" s="10">
        <f t="shared" si="2"/>
        <v>0</v>
      </c>
    </row>
    <row r="64">
      <c r="A64" s="8" t="str">
        <f>VLOOKUP($D64,Sheet6!$B:$G,5,FALSE)</f>
        <v>Lahore</v>
      </c>
      <c r="B64" s="232" t="str">
        <f>VLOOKUP($D64,Sheet6!$B:$G,4,FALSE)</f>
        <v>Control</v>
      </c>
      <c r="C64" s="8">
        <v>2.0</v>
      </c>
      <c r="D64" s="8" t="s">
        <v>2916</v>
      </c>
      <c r="E6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TRIM(CLEAN(TEXT($D64, ""@""))),
      IMPORTRANGE(""https://docs.google.com/spreadsheets/d/1SnQ_YxUmBUYKsKc82GyPP"&amp;"ovLO-EPrfZxsJ0V0UbhezI/edit?gid=590869320#gid=590869320"", ""Form responses 1!$AV:$AV"") = 1
    ),
    1
  ),
  ""Not Found""
)
"),"https://drive.google.com/open?id=1jEvN9-Z_ACXgWxvKVHos8A6m84byWCiS, https://drive.google.com/open?id=1KZwhmooVj1yAu9hSOfsk3v-a-c1CjzXK")</f>
        <v>https://drive.google.com/open?id=1jEvN9-Z_ACXgWxvKVHos8A6m84byWCiS, https://drive.google.com/open?id=1KZwhmooVj1yAu9hSOfsk3v-a-c1CjzXK</v>
      </c>
      <c r="F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1!$E:$E"")=$D64) *
        (IMPORTRANGE(""https://docs.google.com/spreadsheets/d/161aHT6vVT3SLneTKD19N5qVWtnj_jIT8CSsOmUVKmaA/"&amp;"edit?gid=1761053510"",
          ""Haris_Form responses 1!$AQ:$AQ"")=1)
      ),
      1
    ),
    ""0""
  ),
  ""Form not found""
)
"),"1")</f>
        <v>1</v>
      </c>
      <c r="G64" s="245" t="str">
        <f>IFERROR(__xludf.DUMMYFUNCTION("IFERROR(
  INDEX(
    FILTER(
      Transcription!$AJ:$AJ,
      TRIM(CLEAN(TEXT(Transcription!$F:$F, ""@""))) = TRIM(CLEAN(TEXT($D64, ""@""))),
      Transcription!$AO:$AO = 1
    ),
    1
  ),
  ""Not Found""
)
"),"https://drive.google.com/open?id=1A8rWyxlVLIcNcIvRBjhA4QbhbExHkgWX")</f>
        <v>https://drive.google.com/open?id=1A8rWyxlVLIcNcIvRBjhA4QbhbExHkgWX</v>
      </c>
      <c r="H6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TRIM(CLEAN(TEXT($D64, ""@""))),
      IMPORTRANGE(""https://docs.google.com/spreadsheets/d/1SnQ_YxUmBUYKsKc82GyPP"&amp;"ovLO-EPrfZxsJ0V0UbhezI/edit?gid=590869320#gid=590869320"", ""Form responses 1!$AV:$AV"") = 2
    ),
    1
  ),
  ""Not Found""
)
"),"Not Found")</f>
        <v>Not Found</v>
      </c>
      <c r="I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1!$E:$E"")=$D64) *
        (IMPORTRANGE(""https://docs.google.com/spreadsheets/d/161aHT6vVT3SLneTKD19N5qVWtnj_jIT8CSsOmUVKmaA/"&amp;"edit?gid=1761053510"",
          ""Haris_Form responses 1!$AQ:$AQ"")=2)
      ),
      1
    ),
    ""0""
  ),
  ""Form not found""
)
"),"Form not found")</f>
        <v>Form not found</v>
      </c>
      <c r="J64" s="247" t="str">
        <f>IFERROR(__xludf.DUMMYFUNCTION("IFERROR(
  INDEX(
    FILTER(
      Transcription!$AJ:$AJ,
      TRIM(CLEAN(TEXT(Transcription!$F:$F, ""@""))) = TRIM(CLEAN(TEXT($D64, ""@""))),
      Transcription!$AO:$AO = 2
    ),
    1
  ),
  ""Not Found""
)
"),"Not Found")</f>
        <v>Not Found</v>
      </c>
      <c r="K6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TRIM(CLEAN(TEXT($D64, ""@""))),
      IMPORTRANGE(""https://docs.google.com/spreadsheets/d/1SnQ_YxUmBUYKsKc82GyPP"&amp;"ovLO-EPrfZxsJ0V0UbhezI/edit?gid=590869320#gid=590869320"", ""Form responses 1!$AV:$AV"") = 3
    ),
    1
  ),
  ""Not Found""
)
"),"https://drive.google.com/open?id=1SDyShFSbqeg0_cj0GVWemJZpW6aYij8_")</f>
        <v>https://drive.google.com/open?id=1SDyShFSbqeg0_cj0GVWemJZpW6aYij8_</v>
      </c>
      <c r="L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1!$E:$E"")=$D64) *
        (IMPORTRANGE(""https://docs.google.com/spreadsheets/d/161aHT6vVT3SLneTKD19N5qVWtnj_jIT8CSsOmUVKmaA/"&amp;"edit?gid=1761053510"",
          ""Haris_Form responses 1!$AQ:$AQ"")=3)
      ),
      1
    ),
    ""0""
  ),
  ""Form not found""
)
"),"3")</f>
        <v>3</v>
      </c>
      <c r="M64" s="245" t="str">
        <f>IFERROR(__xludf.DUMMYFUNCTION("IFERROR(
  INDEX(
    FILTER(
      Transcription!$AJ:$AJ,
      TRIM(CLEAN(TEXT(Transcription!$F:$F, ""@""))) = TRIM(CLEAN(TEXT($D64, ""@""))),
      Transcription!$AO:$AO = 3
    ),
    1
  ),
  ""Not Found""
)
"),"https://drive.google.com/open?id=1__WLabtwREyLNI8SsMj0VditowCE1Tg6")</f>
        <v>https://drive.google.com/open?id=1__WLabtwREyLNI8SsMj0VditowCE1Tg6</v>
      </c>
      <c r="N6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TRIM(CLEAN(TEXT($D64, ""@""))),
      IMPORTRANGE(""https://docs.google.com/spreadsheets/d/1SnQ_YxUmBUYKsKc82GyPP"&amp;"ovLO-EPrfZxsJ0V0UbhezI/edit?gid=590869320#gid=590869320"", ""Form responses 1!$AV:$AV"") = 4
    ),
    1
  ),
  ""Not Found""
)
"),"Not Found")</f>
        <v>Not Found</v>
      </c>
      <c r="O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1!$E:$E"")=$D64) *
        (IMPORTRANGE(""https://docs.google.com/spreadsheets/d/161aHT6vVT3SLneTKD19N5qVWtnj_jIT8CSsOmUVKmaA/"&amp;"edit?gid=1761053510"",
          ""Haris_Form responses 1!$AQ:$AQ"")=4)
      ),
      1
    ),
    ""0""
  ),
  ""Form not found""
)
"),"Form not found")</f>
        <v>Form not found</v>
      </c>
      <c r="P64" s="247" t="str">
        <f>IFERROR(__xludf.DUMMYFUNCTION("IFERROR(
  INDEX(
    FILTER(
      Transcription!$AJ:$AJ,
      TRIM(CLEAN(TEXT(Transcription!$F:$F, ""@""))) = TRIM(CLEAN(TEXT($D64, ""@""))),
      Transcription!$AO:$AO = 4
    ),
    1
  ),
  ""Not Found""
)
"),"Not Found")</f>
        <v>Not Found</v>
      </c>
      <c r="Q6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TRIM(CLEAN(TEXT($D64, ""@""))),
      IMPORTRANGE(""https://docs.google.com/spreadsheets/d/1SnQ_YxUmBUYKsKc82GyPP"&amp;"ovLO-EPrfZxsJ0V0UbhezI/edit?gid=590869320#gid=590869320"", ""Form responses 1!$AV:$AV"") = 5
    ),
    1
  ),
  ""Not Found""
)
"),"Not Found")</f>
        <v>Not Found</v>
      </c>
      <c r="R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1!$E:$E"")=$D64) *
        (IMPORTRANGE(""https://docs.google.com/spreadsheets/d/161aHT6vVT3SLneTKD19N5qVWtnj_jIT8CSsOmUVKmaA/"&amp;"edit?gid=1761053510"",
          ""Haris_Form responses 1!$AQ:$AQ"")=5)
      ),
      1
    ),
    ""0""
  ),
  ""Form not found""
)
"),"Form not found")</f>
        <v>Form not found</v>
      </c>
      <c r="S64" s="247" t="str">
        <f>IFERROR(__xludf.DUMMYFUNCTION("IFERROR(
  INDEX(
    FILTER(
      Transcription!$AJ:$AJ,
      TRIM(CLEAN(TEXT(Transcription!$F:$F, ""@""))) = TRIM(CLEAN(TEXT($D64, ""@""))),
      Transcription!$AO:$AO = 5
    ),
    1
  ),
  ""Not Found""
)
"),"Not Found")</f>
        <v>Not Found</v>
      </c>
      <c r="T64"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TRIM(CLEAN(TEXT($D64, ""@""))),
      IMPORTRANGE(""https://docs.google.com/spreadsheets/d/1SnQ_YxUmBUYKsKc82GyPP"&amp;"ovLO-EPrfZxsJ0V0UbhezI/edit?gid=590869320#gid=590869320"", ""Form responses 1!$AV:$AV"") = 6
    ),
    1
  ),
  ""Not Found""
)
"),"Not Found")</f>
        <v>Not Found</v>
      </c>
      <c r="U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1!$E:$E"")=$D64) *
        (IMPORTRANGE(""https://docs.google.com/spreadsheets/d/161aHT6vVT3SLneTKD19N5qVWtnj_jIT8CSsOmUVKmaA/"&amp;"edit?gid=1761053510"",
          ""Haris_Form responses 1!$AQ:$AQ"")=6)
      ),
      1
    ),
    ""0""
  ),
  ""Form not found""
)
"),"Form not found")</f>
        <v>Form not found</v>
      </c>
      <c r="V64" s="247" t="str">
        <f>IFERROR(__xludf.DUMMYFUNCTION("IFERROR(
  INDEX(
    FILTER(
      Transcription!$AJ:$AJ,
      TRIM(CLEAN(TEXT(Transcription!$F:$F, ""@""))) = TRIM(CLEAN(TEXT($D64, ""@""))),
      Transcription!$AO:$AO = 6
    ),
    1
  ),
  ""Not Found""
)
"),"Not Found")</f>
        <v>Not Found</v>
      </c>
      <c r="Y64" s="8" t="s">
        <v>4523</v>
      </c>
      <c r="Z64" s="10">
        <f t="shared" si="1"/>
        <v>2</v>
      </c>
      <c r="AA64" s="10">
        <f t="shared" si="2"/>
        <v>0</v>
      </c>
    </row>
    <row r="65">
      <c r="A65" s="8" t="str">
        <f>VLOOKUP($D65,Sheet6!$B:$G,5,FALSE)</f>
        <v>Lahore</v>
      </c>
      <c r="B65" s="232" t="str">
        <f>VLOOKUP($D65,Sheet6!$B:$G,4,FALSE)</f>
        <v>Control</v>
      </c>
      <c r="C65" s="8">
        <v>2.0</v>
      </c>
      <c r="D65" s="8" t="s">
        <v>3086</v>
      </c>
      <c r="E6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TRIM(CLEAN(TEXT($D65, ""@""))),
      IMPORTRANGE(""https://docs.google.com/spreadsheets/d/1SnQ_YxUmBUYKsKc82GyPP"&amp;"ovLO-EPrfZxsJ0V0UbhezI/edit?gid=590869320#gid=590869320"", ""Form responses 1!$AV:$AV"") = 1
    ),
    1
  ),
  ""Not Found""
)
"),"https://drive.google.com/open?id=10C1CPIb1H21cfrbKHFf-8GFwjBwubYIy, https://drive.google.com/open?id=1hbQl0ReQIhmipdOA93xZ5L9m4N6hQhrF")</f>
        <v>https://drive.google.com/open?id=10C1CPIb1H21cfrbKHFf-8GFwjBwubYIy, https://drive.google.com/open?id=1hbQl0ReQIhmipdOA93xZ5L9m4N6hQhrF</v>
      </c>
      <c r="F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1!$E:$E"")=$D65) *
        (IMPORTRANGE(""https://docs.google.com/spreadsheets/d/161aHT6vVT3SLneTKD19N5qVWtnj_jIT8CSsOmUVKmaA/"&amp;"edit?gid=1761053510"",
          ""Haris_Form responses 1!$AQ:$AQ"")=1)
      ),
      1
    ),
    ""0""
  ),
  ""Form not found""
)
"),"1")</f>
        <v>1</v>
      </c>
      <c r="G65" s="245" t="str">
        <f>IFERROR(__xludf.DUMMYFUNCTION("IFERROR(
  INDEX(
    FILTER(
      Transcription!$AJ:$AJ,
      TRIM(CLEAN(TEXT(Transcription!$F:$F, ""@""))) = TRIM(CLEAN(TEXT($D65, ""@""))),
      Transcription!$AO:$AO = 1
    ),
    1
  ),
  ""Not Found""
)
"),"https://drive.google.com/open?id=1NQ1uFjRUPZJ9xbPQ3_8G2BzUkmR2utlS")</f>
        <v>https://drive.google.com/open?id=1NQ1uFjRUPZJ9xbPQ3_8G2BzUkmR2utlS</v>
      </c>
      <c r="H65"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TRIM(CLEAN(TEXT($D65, ""@""))),
      IMPORTRANGE(""https://docs.google.com/spreadsheets/d/1SnQ_YxUmBUYKsKc82GyPP"&amp;"ovLO-EPrfZxsJ0V0UbhezI/edit?gid=590869320#gid=590869320"", ""Form responses 1!$AV:$AV"") = 2
    ),
    1
  ),
  ""Not Found""
)
"),"Not Found")</f>
        <v>Not Found</v>
      </c>
      <c r="I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1!$E:$E"")=$D65) *
        (IMPORTRANGE(""https://docs.google.com/spreadsheets/d/161aHT6vVT3SLneTKD19N5qVWtnj_jIT8CSsOmUVKmaA/"&amp;"edit?gid=1761053510"",
          ""Haris_Form responses 1!$AQ:$AQ"")=2)
      ),
      1
    ),
    ""0""
  ),
  ""Form not found""
)
"),"Form not found")</f>
        <v>Form not found</v>
      </c>
      <c r="J65" s="247" t="str">
        <f>IFERROR(__xludf.DUMMYFUNCTION("IFERROR(
  INDEX(
    FILTER(
      Transcription!$AJ:$AJ,
      TRIM(CLEAN(TEXT(Transcription!$F:$F, ""@""))) = TRIM(CLEAN(TEXT($D65, ""@""))),
      Transcription!$AO:$AO = 2
    ),
    1
  ),
  ""Not Found""
)
"),"Not Found")</f>
        <v>Not Found</v>
      </c>
      <c r="K65"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TRIM(CLEAN(TEXT($D65, ""@""))),
      IMPORTRANGE(""https://docs.google.com/spreadsheets/d/1SnQ_YxUmBUYKsKc82GyPP"&amp;"ovLO-EPrfZxsJ0V0UbhezI/edit?gid=590869320#gid=590869320"", ""Form responses 1!$AV:$AV"") = 3
    ),
    1
  ),
  ""Not Found""
)
"),"https://drive.google.com/open?id=14iiVvH0gSgZEO-D_HncgqNcZwuyslsFx, https://drive.google.com/open?id=1PY0cm_3hShzO1ataP7MLdss0QCvXxm-6")</f>
        <v>https://drive.google.com/open?id=14iiVvH0gSgZEO-D_HncgqNcZwuyslsFx, https://drive.google.com/open?id=1PY0cm_3hShzO1ataP7MLdss0QCvXxm-6</v>
      </c>
      <c r="L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1!$E:$E"")=$D65) *
        (IMPORTRANGE(""https://docs.google.com/spreadsheets/d/161aHT6vVT3SLneTKD19N5qVWtnj_jIT8CSsOmUVKmaA/"&amp;"edit?gid=1761053510"",
          ""Haris_Form responses 1!$AQ:$AQ"")=3)
      ),
      1
    ),
    ""0""
  ),
  ""Form not found""
)
"),"3")</f>
        <v>3</v>
      </c>
      <c r="M65" s="245" t="str">
        <f>IFERROR(__xludf.DUMMYFUNCTION("IFERROR(
  INDEX(
    FILTER(
      Transcription!$AJ:$AJ,
      TRIM(CLEAN(TEXT(Transcription!$F:$F, ""@""))) = TRIM(CLEAN(TEXT($D65, ""@""))),
      Transcription!$AO:$AO = 3
    ),
    1
  ),
  ""Not Found""
)
"),"https://drive.google.com/open?id=1-VuSSAZz_KG968LD-CG6KFxPe94b7Qss")</f>
        <v>https://drive.google.com/open?id=1-VuSSAZz_KG968LD-CG6KFxPe94b7Qss</v>
      </c>
      <c r="N65"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TRIM(CLEAN(TEXT($D65, ""@""))),
      IMPORTRANGE(""https://docs.google.com/spreadsheets/d/1SnQ_YxUmBUYKsKc82GyPP"&amp;"ovLO-EPrfZxsJ0V0UbhezI/edit?gid=590869320#gid=590869320"", ""Form responses 1!$AV:$AV"") = 4
    ),
    1
  ),
  ""Not Found""
)
"),"Not Found")</f>
        <v>Not Found</v>
      </c>
      <c r="O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1!$E:$E"")=$D65) *
        (IMPORTRANGE(""https://docs.google.com/spreadsheets/d/161aHT6vVT3SLneTKD19N5qVWtnj_jIT8CSsOmUVKmaA/"&amp;"edit?gid=1761053510"",
          ""Haris_Form responses 1!$AQ:$AQ"")=4)
      ),
      1
    ),
    ""0""
  ),
  ""Form not found""
)
"),"Form not found")</f>
        <v>Form not found</v>
      </c>
      <c r="P65" s="247" t="str">
        <f>IFERROR(__xludf.DUMMYFUNCTION("IFERROR(
  INDEX(
    FILTER(
      Transcription!$AJ:$AJ,
      TRIM(CLEAN(TEXT(Transcription!$F:$F, ""@""))) = TRIM(CLEAN(TEXT($D65, ""@""))),
      Transcription!$AO:$AO = 4
    ),
    1
  ),
  ""Not Found""
)
"),"Not Found")</f>
        <v>Not Found</v>
      </c>
      <c r="Q65"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TRIM(CLEAN(TEXT($D65, ""@""))),
      IMPORTRANGE(""https://docs.google.com/spreadsheets/d/1SnQ_YxUmBUYKsKc82GyPP"&amp;"ovLO-EPrfZxsJ0V0UbhezI/edit?gid=590869320#gid=590869320"", ""Form responses 1!$AV:$AV"") = 5
    ),
    1
  ),
  ""Not Found""
)
"),"Not Found")</f>
        <v>Not Found</v>
      </c>
      <c r="R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1!$E:$E"")=$D65) *
        (IMPORTRANGE(""https://docs.google.com/spreadsheets/d/161aHT6vVT3SLneTKD19N5qVWtnj_jIT8CSsOmUVKmaA/"&amp;"edit?gid=1761053510"",
          ""Haris_Form responses 1!$AQ:$AQ"")=5)
      ),
      1
    ),
    ""0""
  ),
  ""Form not found""
)
"),"Form not found")</f>
        <v>Form not found</v>
      </c>
      <c r="S65" s="247" t="str">
        <f>IFERROR(__xludf.DUMMYFUNCTION("IFERROR(
  INDEX(
    FILTER(
      Transcription!$AJ:$AJ,
      TRIM(CLEAN(TEXT(Transcription!$F:$F, ""@""))) = TRIM(CLEAN(TEXT($D65, ""@""))),
      Transcription!$AO:$AO = 5
    ),
    1
  ),
  ""Not Found""
)
"),"Not Found")</f>
        <v>Not Found</v>
      </c>
      <c r="T65"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TRIM(CLEAN(TEXT($D65, ""@""))),
      IMPORTRANGE(""https://docs.google.com/spreadsheets/d/1SnQ_YxUmBUYKsKc82GyPP"&amp;"ovLO-EPrfZxsJ0V0UbhezI/edit?gid=590869320#gid=590869320"", ""Form responses 1!$AV:$AV"") = 6
    ),
    1
  ),
  ""Not Found""
)
"),"Not Found")</f>
        <v>Not Found</v>
      </c>
      <c r="U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1!$E:$E"")=$D65) *
        (IMPORTRANGE(""https://docs.google.com/spreadsheets/d/161aHT6vVT3SLneTKD19N5qVWtnj_jIT8CSsOmUVKmaA/"&amp;"edit?gid=1761053510"",
          ""Haris_Form responses 1!$AQ:$AQ"")=6)
      ),
      1
    ),
    ""0""
  ),
  ""Form not found""
)
"),"Form not found")</f>
        <v>Form not found</v>
      </c>
      <c r="V65" s="247" t="str">
        <f>IFERROR(__xludf.DUMMYFUNCTION("IFERROR(
  INDEX(
    FILTER(
      Transcription!$AJ:$AJ,
      TRIM(CLEAN(TEXT(Transcription!$F:$F, ""@""))) = TRIM(CLEAN(TEXT($D65, ""@""))),
      Transcription!$AO:$AO = 6
    ),
    1
  ),
  ""Not Found""
)
"),"Not Found")</f>
        <v>Not Found</v>
      </c>
      <c r="Y65" s="8" t="s">
        <v>4523</v>
      </c>
      <c r="Z65" s="10">
        <f t="shared" si="1"/>
        <v>2</v>
      </c>
      <c r="AA65" s="10">
        <f t="shared" si="2"/>
        <v>0</v>
      </c>
    </row>
    <row r="66">
      <c r="A66" s="8" t="str">
        <f>VLOOKUP($D66,Sheet6!$B:$G,5,FALSE)</f>
        <v>Lahore</v>
      </c>
      <c r="B66" s="232" t="str">
        <f>VLOOKUP($D66,Sheet6!$B:$G,4,FALSE)</f>
        <v>Women Secular Info Share</v>
      </c>
      <c r="C66" s="8">
        <v>3.0</v>
      </c>
      <c r="D66" s="8" t="s">
        <v>4539</v>
      </c>
      <c r="E6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TRIM(CLEAN(TEXT($D66, ""@""))),
      IMPORTRANGE(""https://docs.google.com/spreadsheets/d/1SnQ_YxUmBUYKsKc82GyPP"&amp;"ovLO-EPrfZxsJ0V0UbhezI/edit?gid=590869320#gid=590869320"", ""Form responses 1!$AV:$AV"") = 1
    ),
    1
  ),
  ""Not Found""
)
"),"https://drive.google.com/open?id=1iedzbKvs7BdpHGdjtlm0mkunLq0cZdYH")</f>
        <v>https://drive.google.com/open?id=1iedzbKvs7BdpHGdjtlm0mkunLq0cZdYH</v>
      </c>
      <c r="F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1!$E:$E"")=$D66) *
        (IMPORTRANGE(""https://docs.google.com/spreadsheets/d/161aHT6vVT3SLneTKD19N5qVWtnj_jIT8CSsOmUVKmaA/"&amp;"edit?gid=1761053510"",
          ""Haris_Form responses 1!$AQ:$AQ"")=1)
      ),
      1
    ),
    ""0""
  ),
  ""Form not found""
)
"),"1")</f>
        <v>1</v>
      </c>
      <c r="G66" s="245" t="str">
        <f>IFERROR(__xludf.DUMMYFUNCTION("IFERROR(
  INDEX(
    FILTER(
      Transcription!$AJ:$AJ,
      TRIM(CLEAN(TEXT(Transcription!$F:$F, ""@""))) = TRIM(CLEAN(TEXT($D66, ""@""))),
      Transcription!$AO:$AO = 1
    ),
    1
  ),
  ""Not Found""
)
"),"https://drive.google.com/open?id=1aNeNESWGqR_XVbIwMjcoKOi-A6m8AzYe")</f>
        <v>https://drive.google.com/open?id=1aNeNESWGqR_XVbIwMjcoKOi-A6m8AzYe</v>
      </c>
      <c r="H6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TRIM(CLEAN(TEXT($D66, ""@""))),
      IMPORTRANGE(""https://docs.google.com/spreadsheets/d/1SnQ_YxUmBUYKsKc82GyPP"&amp;"ovLO-EPrfZxsJ0V0UbhezI/edit?gid=590869320#gid=590869320"", ""Form responses 1!$AV:$AV"") = 2
    ),
    1
  ),
  ""Not Found""
)
"),"https://drive.google.com/open?id=17WamdSFwc_DFDWGzXLsyCo6NV_WV2SnJ")</f>
        <v>https://drive.google.com/open?id=17WamdSFwc_DFDWGzXLsyCo6NV_WV2SnJ</v>
      </c>
      <c r="I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1!$E:$E"")=$D66) *
        (IMPORTRANGE(""https://docs.google.com/spreadsheets/d/161aHT6vVT3SLneTKD19N5qVWtnj_jIT8CSsOmUVKmaA/"&amp;"edit?gid=1761053510"",
          ""Haris_Form responses 1!$AQ:$AQ"")=2)
      ),
      1
    ),
    ""0""
  ),
  ""Form not found""
)
"),"2")</f>
        <v>2</v>
      </c>
      <c r="J66" s="245" t="str">
        <f>IFERROR(__xludf.DUMMYFUNCTION("IFERROR(
  INDEX(
    FILTER(
      Transcription!$AJ:$AJ,
      TRIM(CLEAN(TEXT(Transcription!$F:$F, ""@""))) = TRIM(CLEAN(TEXT($D66, ""@""))),
      Transcription!$AO:$AO = 2
    ),
    1
  ),
  ""Not Found""
)
"),"https://drive.google.com/open?id=1d6CLkt8nVoAyBvqA0k2qhEP_tMT7ZZbD")</f>
        <v>https://drive.google.com/open?id=1d6CLkt8nVoAyBvqA0k2qhEP_tMT7ZZbD</v>
      </c>
      <c r="K66"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TRIM(CLEAN(TEXT($D66, ""@""))),
      IMPORTRANGE(""https://docs.google.com/spreadsheets/d/1SnQ_YxUmBUYKsKc82GyPP"&amp;"ovLO-EPrfZxsJ0V0UbhezI/edit?gid=590869320#gid=590869320"", ""Form responses 1!$AV:$AV"") = 3
    ),
    1
  ),
  ""Not Found""
)
"),"https://drive.google.com/open?id=1uj59_ZIZ56uL-4-lbtCpAav2EnaEUlTU")</f>
        <v>https://drive.google.com/open?id=1uj59_ZIZ56uL-4-lbtCpAav2EnaEUlTU</v>
      </c>
      <c r="L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1!$E:$E"")=$D66) *
        (IMPORTRANGE(""https://docs.google.com/spreadsheets/d/161aHT6vVT3SLneTKD19N5qVWtnj_jIT8CSsOmUVKmaA/"&amp;"edit?gid=1761053510"",
          ""Haris_Form responses 1!$AQ:$AQ"")=3)
      ),
      1
    ),
    ""0""
  ),
  ""Form not found""
)
"),"3")</f>
        <v>3</v>
      </c>
      <c r="M66" s="245" t="str">
        <f>IFERROR(__xludf.DUMMYFUNCTION("IFERROR(
  INDEX(
    FILTER(
      Transcription!$AJ:$AJ,
      TRIM(CLEAN(TEXT(Transcription!$F:$F, ""@""))) = TRIM(CLEAN(TEXT($D66, ""@""))),
      Transcription!$AO:$AO = 3
    ),
    1
  ),
  ""Not Found""
)
"),"https://drive.google.com/open?id=1ZF9gnQ22Sy507fxSZa9mOWB5zsmijvE0")</f>
        <v>https://drive.google.com/open?id=1ZF9gnQ22Sy507fxSZa9mOWB5zsmijvE0</v>
      </c>
      <c r="N6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TRIM(CLEAN(TEXT($D66, ""@""))),
      IMPORTRANGE(""https://docs.google.com/spreadsheets/d/1SnQ_YxUmBUYKsKc82GyPP"&amp;"ovLO-EPrfZxsJ0V0UbhezI/edit?gid=590869320#gid=590869320"", ""Form responses 1!$AV:$AV"") = 4
    ),
    1
  ),
  ""Not Found""
)
"),"Not Found")</f>
        <v>Not Found</v>
      </c>
      <c r="O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1!$E:$E"")=$D66) *
        (IMPORTRANGE(""https://docs.google.com/spreadsheets/d/161aHT6vVT3SLneTKD19N5qVWtnj_jIT8CSsOmUVKmaA/"&amp;"edit?gid=1761053510"",
          ""Haris_Form responses 1!$AQ:$AQ"")=4)
      ),
      1
    ),
    ""0""
  ),
  ""Form not found""
)
"),"Form not found")</f>
        <v>Form not found</v>
      </c>
      <c r="P66" s="247" t="str">
        <f>IFERROR(__xludf.DUMMYFUNCTION("IFERROR(
  INDEX(
    FILTER(
      Transcription!$AJ:$AJ,
      TRIM(CLEAN(TEXT(Transcription!$F:$F, ""@""))) = TRIM(CLEAN(TEXT($D66, ""@""))),
      Transcription!$AO:$AO = 4
    ),
    1
  ),
  ""Not Found""
)
"),"Not Found")</f>
        <v>Not Found</v>
      </c>
      <c r="Q66"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TRIM(CLEAN(TEXT($D66, ""@""))),
      IMPORTRANGE(""https://docs.google.com/spreadsheets/d/1SnQ_YxUmBUYKsKc82GyPP"&amp;"ovLO-EPrfZxsJ0V0UbhezI/edit?gid=590869320#gid=590869320"", ""Form responses 1!$AV:$AV"") = 5
    ),
    1
  ),
  ""Not Found""
)
"),"Not Found")</f>
        <v>Not Found</v>
      </c>
      <c r="R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1!$E:$E"")=$D66) *
        (IMPORTRANGE(""https://docs.google.com/spreadsheets/d/161aHT6vVT3SLneTKD19N5qVWtnj_jIT8CSsOmUVKmaA/"&amp;"edit?gid=1761053510"",
          ""Haris_Form responses 1!$AQ:$AQ"")=5)
      ),
      1
    ),
    ""0""
  ),
  ""Form not found""
)
"),"Form not found")</f>
        <v>Form not found</v>
      </c>
      <c r="S66" s="247" t="str">
        <f>IFERROR(__xludf.DUMMYFUNCTION("IFERROR(
  INDEX(
    FILTER(
      Transcription!$AJ:$AJ,
      TRIM(CLEAN(TEXT(Transcription!$F:$F, ""@""))) = TRIM(CLEAN(TEXT($D66, ""@""))),
      Transcription!$AO:$AO = 5
    ),
    1
  ),
  ""Not Found""
)
"),"Not Found")</f>
        <v>Not Found</v>
      </c>
      <c r="T66"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TRIM(CLEAN(TEXT($D66, ""@""))),
      IMPORTRANGE(""https://docs.google.com/spreadsheets/d/1SnQ_YxUmBUYKsKc82GyPP"&amp;"ovLO-EPrfZxsJ0V0UbhezI/edit?gid=590869320#gid=590869320"", ""Form responses 1!$AV:$AV"") = 6
    ),
    1
  ),
  ""Not Found""
)
"),"Not Found")</f>
        <v>Not Found</v>
      </c>
      <c r="U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1!$E:$E"")=$D66) *
        (IMPORTRANGE(""https://docs.google.com/spreadsheets/d/161aHT6vVT3SLneTKD19N5qVWtnj_jIT8CSsOmUVKmaA/"&amp;"edit?gid=1761053510"",
          ""Haris_Form responses 1!$AQ:$AQ"")=6)
      ),
      1
    ),
    ""0""
  ),
  ""Form not found""
)
"),"Form not found")</f>
        <v>Form not found</v>
      </c>
      <c r="V66" s="247" t="str">
        <f>IFERROR(__xludf.DUMMYFUNCTION("IFERROR(
  INDEX(
    FILTER(
      Transcription!$AJ:$AJ,
      TRIM(CLEAN(TEXT(Transcription!$F:$F, ""@""))) = TRIM(CLEAN(TEXT($D66, ""@""))),
      Transcription!$AO:$AO = 6
    ),
    1
  ),
  ""Not Found""
)
"),"Not Found")</f>
        <v>Not Found</v>
      </c>
      <c r="Y66" s="8" t="s">
        <v>4523</v>
      </c>
      <c r="Z66" s="10">
        <f t="shared" si="1"/>
        <v>3</v>
      </c>
      <c r="AA66" s="10">
        <f t="shared" si="2"/>
        <v>0</v>
      </c>
    </row>
    <row r="67">
      <c r="A67" s="8" t="str">
        <f>VLOOKUP($D67,Sheet6!$B:$G,5,FALSE)</f>
        <v>Lahore</v>
      </c>
      <c r="B67" s="232" t="str">
        <f>VLOOKUP($D67,Sheet6!$B:$G,4,FALSE)</f>
        <v>Control</v>
      </c>
      <c r="C67" s="8">
        <v>2.0</v>
      </c>
      <c r="D67" s="8" t="s">
        <v>4540</v>
      </c>
      <c r="E6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TRIM(CLEAN(TEXT($D67, ""@""))),
      IMPORTRANGE(""https://docs.google.com/spreadsheets/d/1SnQ_YxUmBUYKsKc82GyPP"&amp;"ovLO-EPrfZxsJ0V0UbhezI/edit?gid=590869320#gid=590869320"", ""Form responses 1!$AV:$AV"") = 1
    ),
    1
  ),
  ""Not Found""
)
"),"https://drive.google.com/open?id=1sI2r7kWhk4mTtC8GXBRNPIVuWHQ6ROAT")</f>
        <v>https://drive.google.com/open?id=1sI2r7kWhk4mTtC8GXBRNPIVuWHQ6ROAT</v>
      </c>
      <c r="F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1!$E:$E"")=$D67) *
        (IMPORTRANGE(""https://docs.google.com/spreadsheets/d/161aHT6vVT3SLneTKD19N5qVWtnj_jIT8CSsOmUVKmaA/"&amp;"edit?gid=1761053510"",
          ""Haris_Form responses 1!$AQ:$AQ"")=1)
      ),
      1
    ),
    ""0""
  ),
  ""Form not found""
)
"),"1")</f>
        <v>1</v>
      </c>
      <c r="G67" s="245" t="str">
        <f>IFERROR(__xludf.DUMMYFUNCTION("IFERROR(
  INDEX(
    FILTER(
      Transcription!$AJ:$AJ,
      TRIM(CLEAN(TEXT(Transcription!$F:$F, ""@""))) = TRIM(CLEAN(TEXT($D67, ""@""))),
      Transcription!$AO:$AO = 1
    ),
    1
  ),
  ""Not Found""
)
"),"https://drive.google.com/open?id=1pCkb0vZqgxQNjvPg2owOF-rPTEX27C7q")</f>
        <v>https://drive.google.com/open?id=1pCkb0vZqgxQNjvPg2owOF-rPTEX27C7q</v>
      </c>
      <c r="H6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TRIM(CLEAN(TEXT($D67, ""@""))),
      IMPORTRANGE(""https://docs.google.com/spreadsheets/d/1SnQ_YxUmBUYKsKc82GyPP"&amp;"ovLO-EPrfZxsJ0V0UbhezI/edit?gid=590869320#gid=590869320"", ""Form responses 1!$AV:$AV"") = 2
    ),
    1
  ),
  ""Not Found""
)
"),"Not Found")</f>
        <v>Not Found</v>
      </c>
      <c r="I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1!$E:$E"")=$D67) *
        (IMPORTRANGE(""https://docs.google.com/spreadsheets/d/161aHT6vVT3SLneTKD19N5qVWtnj_jIT8CSsOmUVKmaA/"&amp;"edit?gid=1761053510"",
          ""Haris_Form responses 1!$AQ:$AQ"")=2)
      ),
      1
    ),
    ""0""
  ),
  ""Form not found""
)
"),"Form not found")</f>
        <v>Form not found</v>
      </c>
      <c r="J67" s="247" t="str">
        <f>IFERROR(__xludf.DUMMYFUNCTION("IFERROR(
  INDEX(
    FILTER(
      Transcription!$AJ:$AJ,
      TRIM(CLEAN(TEXT(Transcription!$F:$F, ""@""))) = TRIM(CLEAN(TEXT($D67, ""@""))),
      Transcription!$AO:$AO = 2
    ),
    1
  ),
  ""Not Found""
)
"),"Not Found")</f>
        <v>Not Found</v>
      </c>
      <c r="K67"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TRIM(CLEAN(TEXT($D67, ""@""))),
      IMPORTRANGE(""https://docs.google.com/spreadsheets/d/1SnQ_YxUmBUYKsKc82GyPP"&amp;"ovLO-EPrfZxsJ0V0UbhezI/edit?gid=590869320#gid=590869320"", ""Form responses 1!$AV:$AV"") = 3
    ),
    1
  ),
  ""Not Found""
)
"),"https://drive.google.com/open?id=1jSuoVEnBpGw1EKvpR68sucYxEHbPQ6I8")</f>
        <v>https://drive.google.com/open?id=1jSuoVEnBpGw1EKvpR68sucYxEHbPQ6I8</v>
      </c>
      <c r="L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1!$E:$E"")=$D67) *
        (IMPORTRANGE(""https://docs.google.com/spreadsheets/d/161aHT6vVT3SLneTKD19N5qVWtnj_jIT8CSsOmUVKmaA/"&amp;"edit?gid=1761053510"",
          ""Haris_Form responses 1!$AQ:$AQ"")=3)
      ),
      1
    ),
    ""0""
  ),
  ""Form not found""
)
"),"3")</f>
        <v>3</v>
      </c>
      <c r="M67" s="245" t="str">
        <f>IFERROR(__xludf.DUMMYFUNCTION("IFERROR(
  INDEX(
    FILTER(
      Transcription!$AJ:$AJ,
      TRIM(CLEAN(TEXT(Transcription!$F:$F, ""@""))) = TRIM(CLEAN(TEXT($D67, ""@""))),
      Transcription!$AO:$AO = 3
    ),
    1
  ),
  ""Not Found""
)
"),"https://drive.google.com/open?id=1Dobo2Zs_lcLn9YacVniiwyCi-WdSTe8b")</f>
        <v>https://drive.google.com/open?id=1Dobo2Zs_lcLn9YacVniiwyCi-WdSTe8b</v>
      </c>
      <c r="N6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TRIM(CLEAN(TEXT($D67, ""@""))),
      IMPORTRANGE(""https://docs.google.com/spreadsheets/d/1SnQ_YxUmBUYKsKc82GyPP"&amp;"ovLO-EPrfZxsJ0V0UbhezI/edit?gid=590869320#gid=590869320"", ""Form responses 1!$AV:$AV"") = 4
    ),
    1
  ),
  ""Not Found""
)
"),"Not Found")</f>
        <v>Not Found</v>
      </c>
      <c r="O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1!$E:$E"")=$D67) *
        (IMPORTRANGE(""https://docs.google.com/spreadsheets/d/161aHT6vVT3SLneTKD19N5qVWtnj_jIT8CSsOmUVKmaA/"&amp;"edit?gid=1761053510"",
          ""Haris_Form responses 1!$AQ:$AQ"")=4)
      ),
      1
    ),
    ""0""
  ),
  ""Form not found""
)
"),"Form not found")</f>
        <v>Form not found</v>
      </c>
      <c r="P67" s="247" t="str">
        <f>IFERROR(__xludf.DUMMYFUNCTION("IFERROR(
  INDEX(
    FILTER(
      Transcription!$AJ:$AJ,
      TRIM(CLEAN(TEXT(Transcription!$F:$F, ""@""))) = TRIM(CLEAN(TEXT($D67, ""@""))),
      Transcription!$AO:$AO = 4
    ),
    1
  ),
  ""Not Found""
)
"),"Not Found")</f>
        <v>Not Found</v>
      </c>
      <c r="Q67"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TRIM(CLEAN(TEXT($D67, ""@""))),
      IMPORTRANGE(""https://docs.google.com/spreadsheets/d/1SnQ_YxUmBUYKsKc82GyPP"&amp;"ovLO-EPrfZxsJ0V0UbhezI/edit?gid=590869320#gid=590869320"", ""Form responses 1!$AV:$AV"") = 5
    ),
    1
  ),
  ""Not Found""
)
"),"Not Found")</f>
        <v>Not Found</v>
      </c>
      <c r="R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1!$E:$E"")=$D67) *
        (IMPORTRANGE(""https://docs.google.com/spreadsheets/d/161aHT6vVT3SLneTKD19N5qVWtnj_jIT8CSsOmUVKmaA/"&amp;"edit?gid=1761053510"",
          ""Haris_Form responses 1!$AQ:$AQ"")=5)
      ),
      1
    ),
    ""0""
  ),
  ""Form not found""
)
"),"Form not found")</f>
        <v>Form not found</v>
      </c>
      <c r="S67" s="247" t="str">
        <f>IFERROR(__xludf.DUMMYFUNCTION("IFERROR(
  INDEX(
    FILTER(
      Transcription!$AJ:$AJ,
      TRIM(CLEAN(TEXT(Transcription!$F:$F, ""@""))) = TRIM(CLEAN(TEXT($D67, ""@""))),
      Transcription!$AO:$AO = 5
    ),
    1
  ),
  ""Not Found""
)
"),"Not Found")</f>
        <v>Not Found</v>
      </c>
      <c r="T67"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TRIM(CLEAN(TEXT($D67, ""@""))),
      IMPORTRANGE(""https://docs.google.com/spreadsheets/d/1SnQ_YxUmBUYKsKc82GyPP"&amp;"ovLO-EPrfZxsJ0V0UbhezI/edit?gid=590869320#gid=590869320"", ""Form responses 1!$AV:$AV"") = 6
    ),
    1
  ),
  ""Not Found""
)
"),"Not Found")</f>
        <v>Not Found</v>
      </c>
      <c r="U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1!$E:$E"")=$D67) *
        (IMPORTRANGE(""https://docs.google.com/spreadsheets/d/161aHT6vVT3SLneTKD19N5qVWtnj_jIT8CSsOmUVKmaA/"&amp;"edit?gid=1761053510"",
          ""Haris_Form responses 1!$AQ:$AQ"")=6)
      ),
      1
    ),
    ""0""
  ),
  ""Form not found""
)
"),"Form not found")</f>
        <v>Form not found</v>
      </c>
      <c r="V67" s="247" t="str">
        <f>IFERROR(__xludf.DUMMYFUNCTION("IFERROR(
  INDEX(
    FILTER(
      Transcription!$AJ:$AJ,
      TRIM(CLEAN(TEXT(Transcription!$F:$F, ""@""))) = TRIM(CLEAN(TEXT($D67, ""@""))),
      Transcription!$AO:$AO = 6
    ),
    1
  ),
  ""Not Found""
)
"),"Not Found")</f>
        <v>Not Found</v>
      </c>
      <c r="Y67" s="8" t="s">
        <v>4523</v>
      </c>
      <c r="Z67" s="10">
        <f t="shared" si="1"/>
        <v>2</v>
      </c>
      <c r="AA67" s="10">
        <f t="shared" si="2"/>
        <v>0</v>
      </c>
    </row>
    <row r="68">
      <c r="A68" s="8" t="str">
        <f>VLOOKUP($D68,Sheet6!$B:$G,5,FALSE)</f>
        <v>Lahore</v>
      </c>
      <c r="B68" s="232" t="str">
        <f>VLOOKUP($D68,Sheet6!$B:$G,4,FALSE)</f>
        <v>Control</v>
      </c>
      <c r="C68" s="8">
        <v>2.0</v>
      </c>
      <c r="D68" s="8" t="s">
        <v>3241</v>
      </c>
      <c r="E6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TRIM(CLEAN(TEXT($D68, ""@""))),
      IMPORTRANGE(""https://docs.google.com/spreadsheets/d/1SnQ_YxUmBUYKsKc82GyPP"&amp;"ovLO-EPrfZxsJ0V0UbhezI/edit?gid=590869320#gid=590869320"", ""Form responses 1!$AV:$AV"") = 1
    ),
    1
  ),
  ""Not Found""
)
"),"https://drive.google.com/open?id=1GOvrqElphO7EhYTVYf2bSMmnnq_PfY1-")</f>
        <v>https://drive.google.com/open?id=1GOvrqElphO7EhYTVYf2bSMmnnq_PfY1-</v>
      </c>
      <c r="F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1!$E:$E"")=$D68) *
        (IMPORTRANGE(""https://docs.google.com/spreadsheets/d/161aHT6vVT3SLneTKD19N5qVWtnj_jIT8CSsOmUVKmaA/"&amp;"edit?gid=1761053510"",
          ""Haris_Form responses 1!$AQ:$AQ"")=1)
      ),
      1
    ),
    ""0""
  ),
  ""Form not found""
)
"),"1")</f>
        <v>1</v>
      </c>
      <c r="G68" s="245" t="str">
        <f>IFERROR(__xludf.DUMMYFUNCTION("IFERROR(
  INDEX(
    FILTER(
      Transcription!$AJ:$AJ,
      TRIM(CLEAN(TEXT(Transcription!$F:$F, ""@""))) = TRIM(CLEAN(TEXT($D68, ""@""))),
      Transcription!$AO:$AO = 1
    ),
    1
  ),
  ""Not Found""
)
"),"https://drive.google.com/open?id=1KkDFdV27Kv6kG_rPKmgHkIj3QyUZ5kPJ")</f>
        <v>https://drive.google.com/open?id=1KkDFdV27Kv6kG_rPKmgHkIj3QyUZ5kPJ</v>
      </c>
      <c r="H6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TRIM(CLEAN(TEXT($D68, ""@""))),
      IMPORTRANGE(""https://docs.google.com/spreadsheets/d/1SnQ_YxUmBUYKsKc82GyPP"&amp;"ovLO-EPrfZxsJ0V0UbhezI/edit?gid=590869320#gid=590869320"", ""Form responses 1!$AV:$AV"") = 2
    ),
    1
  ),
  ""Not Found""
)
"),"Not Found")</f>
        <v>Not Found</v>
      </c>
      <c r="I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1!$E:$E"")=$D68) *
        (IMPORTRANGE(""https://docs.google.com/spreadsheets/d/161aHT6vVT3SLneTKD19N5qVWtnj_jIT8CSsOmUVKmaA/"&amp;"edit?gid=1761053510"",
          ""Haris_Form responses 1!$AQ:$AQ"")=2)
      ),
      1
    ),
    ""0""
  ),
  ""Form not found""
)
"),"Form not found")</f>
        <v>Form not found</v>
      </c>
      <c r="J68" s="247" t="str">
        <f>IFERROR(__xludf.DUMMYFUNCTION("IFERROR(
  INDEX(
    FILTER(
      Transcription!$AJ:$AJ,
      TRIM(CLEAN(TEXT(Transcription!$F:$F, ""@""))) = TRIM(CLEAN(TEXT($D68, ""@""))),
      Transcription!$AO:$AO = 2
    ),
    1
  ),
  ""Not Found""
)
"),"Not Found")</f>
        <v>Not Found</v>
      </c>
      <c r="K68"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TRIM(CLEAN(TEXT($D68, ""@""))),
      IMPORTRANGE(""https://docs.google.com/spreadsheets/d/1SnQ_YxUmBUYKsKc82GyPP"&amp;"ovLO-EPrfZxsJ0V0UbhezI/edit?gid=590869320#gid=590869320"", ""Form responses 1!$AV:$AV"") = 3
    ),
    1
  ),
  ""Not Found""
)
"),"https://drive.google.com/open?id=1LmaLIIW38_5W_Rsw_39-X-gxhzotFU9Q")</f>
        <v>https://drive.google.com/open?id=1LmaLIIW38_5W_Rsw_39-X-gxhzotFU9Q</v>
      </c>
      <c r="L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1!$E:$E"")=$D68) *
        (IMPORTRANGE(""https://docs.google.com/spreadsheets/d/161aHT6vVT3SLneTKD19N5qVWtnj_jIT8CSsOmUVKmaA/"&amp;"edit?gid=1761053510"",
          ""Haris_Form responses 1!$AQ:$AQ"")=3)
      ),
      1
    ),
    ""0""
  ),
  ""Form not found""
)
"),"3")</f>
        <v>3</v>
      </c>
      <c r="M68" s="245" t="str">
        <f>IFERROR(__xludf.DUMMYFUNCTION("IFERROR(
  INDEX(
    FILTER(
      Transcription!$AJ:$AJ,
      TRIM(CLEAN(TEXT(Transcription!$F:$F, ""@""))) = TRIM(CLEAN(TEXT($D68, ""@""))),
      Transcription!$AO:$AO = 3
    ),
    1
  ),
  ""Not Found""
)
"),"https://drive.google.com/open?id=1gnzxm-5WbrhZENs9Da2QaLW0FGadimcB")</f>
        <v>https://drive.google.com/open?id=1gnzxm-5WbrhZENs9Da2QaLW0FGadimcB</v>
      </c>
      <c r="N6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TRIM(CLEAN(TEXT($D68, ""@""))),
      IMPORTRANGE(""https://docs.google.com/spreadsheets/d/1SnQ_YxUmBUYKsKc82GyPP"&amp;"ovLO-EPrfZxsJ0V0UbhezI/edit?gid=590869320#gid=590869320"", ""Form responses 1!$AV:$AV"") = 4
    ),
    1
  ),
  ""Not Found""
)
"),"Not Found")</f>
        <v>Not Found</v>
      </c>
      <c r="O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1!$E:$E"")=$D68) *
        (IMPORTRANGE(""https://docs.google.com/spreadsheets/d/161aHT6vVT3SLneTKD19N5qVWtnj_jIT8CSsOmUVKmaA/"&amp;"edit?gid=1761053510"",
          ""Haris_Form responses 1!$AQ:$AQ"")=4)
      ),
      1
    ),
    ""0""
  ),
  ""Form not found""
)
"),"Form not found")</f>
        <v>Form not found</v>
      </c>
      <c r="P68" s="247" t="str">
        <f>IFERROR(__xludf.DUMMYFUNCTION("IFERROR(
  INDEX(
    FILTER(
      Transcription!$AJ:$AJ,
      TRIM(CLEAN(TEXT(Transcription!$F:$F, ""@""))) = TRIM(CLEAN(TEXT($D68, ""@""))),
      Transcription!$AO:$AO = 4
    ),
    1
  ),
  ""Not Found""
)
"),"Not Found")</f>
        <v>Not Found</v>
      </c>
      <c r="Q68"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TRIM(CLEAN(TEXT($D68, ""@""))),
      IMPORTRANGE(""https://docs.google.com/spreadsheets/d/1SnQ_YxUmBUYKsKc82GyPP"&amp;"ovLO-EPrfZxsJ0V0UbhezI/edit?gid=590869320#gid=590869320"", ""Form responses 1!$AV:$AV"") = 5
    ),
    1
  ),
  ""Not Found""
)
"),"Not Found")</f>
        <v>Not Found</v>
      </c>
      <c r="R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1!$E:$E"")=$D68) *
        (IMPORTRANGE(""https://docs.google.com/spreadsheets/d/161aHT6vVT3SLneTKD19N5qVWtnj_jIT8CSsOmUVKmaA/"&amp;"edit?gid=1761053510"",
          ""Haris_Form responses 1!$AQ:$AQ"")=5)
      ),
      1
    ),
    ""0""
  ),
  ""Form not found""
)
"),"Form not found")</f>
        <v>Form not found</v>
      </c>
      <c r="S68" s="247" t="str">
        <f>IFERROR(__xludf.DUMMYFUNCTION("IFERROR(
  INDEX(
    FILTER(
      Transcription!$AJ:$AJ,
      TRIM(CLEAN(TEXT(Transcription!$F:$F, ""@""))) = TRIM(CLEAN(TEXT($D68, ""@""))),
      Transcription!$AO:$AO = 5
    ),
    1
  ),
  ""Not Found""
)
"),"Not Found")</f>
        <v>Not Found</v>
      </c>
      <c r="T68"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TRIM(CLEAN(TEXT($D68, ""@""))),
      IMPORTRANGE(""https://docs.google.com/spreadsheets/d/1SnQ_YxUmBUYKsKc82GyPP"&amp;"ovLO-EPrfZxsJ0V0UbhezI/edit?gid=590869320#gid=590869320"", ""Form responses 1!$AV:$AV"") = 6
    ),
    1
  ),
  ""Not Found""
)
"),"Not Found")</f>
        <v>Not Found</v>
      </c>
      <c r="U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1!$E:$E"")=$D68) *
        (IMPORTRANGE(""https://docs.google.com/spreadsheets/d/161aHT6vVT3SLneTKD19N5qVWtnj_jIT8CSsOmUVKmaA/"&amp;"edit?gid=1761053510"",
          ""Haris_Form responses 1!$AQ:$AQ"")=6)
      ),
      1
    ),
    ""0""
  ),
  ""Form not found""
)
"),"Form not found")</f>
        <v>Form not found</v>
      </c>
      <c r="V68" s="247" t="str">
        <f>IFERROR(__xludf.DUMMYFUNCTION("IFERROR(
  INDEX(
    FILTER(
      Transcription!$AJ:$AJ,
      TRIM(CLEAN(TEXT(Transcription!$F:$F, ""@""))) = TRIM(CLEAN(TEXT($D68, ""@""))),
      Transcription!$AO:$AO = 6
    ),
    1
  ),
  ""Not Found""
)
"),"Not Found")</f>
        <v>Not Found</v>
      </c>
      <c r="X68" s="8" t="s">
        <v>4541</v>
      </c>
      <c r="Y68" s="8" t="s">
        <v>4523</v>
      </c>
      <c r="Z68" s="10">
        <f t="shared" si="1"/>
        <v>2</v>
      </c>
      <c r="AA68" s="10">
        <f t="shared" si="2"/>
        <v>0</v>
      </c>
    </row>
    <row r="69">
      <c r="A69" s="8" t="str">
        <f>VLOOKUP($D69,Sheet6!$B:$G,5,FALSE)</f>
        <v>Lahore</v>
      </c>
      <c r="B69" s="232" t="str">
        <f>VLOOKUP($D69,Sheet6!$B:$G,4,FALSE)</f>
        <v>Women Religious Info Share</v>
      </c>
      <c r="C69" s="8">
        <v>3.0</v>
      </c>
      <c r="D69" s="8" t="s">
        <v>2885</v>
      </c>
      <c r="E6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TRIM(CLEAN(TEXT($D69, ""@""))),
      IMPORTRANGE(""https://docs.google.com/spreadsheets/d/1SnQ_YxUmBUYKsKc82GyPP"&amp;"ovLO-EPrfZxsJ0V0UbhezI/edit?gid=590869320#gid=590869320"", ""Form responses 1!$AV:$AV"") = 1
    ),
    1
  ),
  ""Not Found""
)
"),"https://drive.google.com/open?id=1CwdfmLH5YiOQyTIrG1q0MCeY04HwNCnW")</f>
        <v>https://drive.google.com/open?id=1CwdfmLH5YiOQyTIrG1q0MCeY04HwNCnW</v>
      </c>
      <c r="F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1!$E:$E"")=$D69) *
        (IMPORTRANGE(""https://docs.google.com/spreadsheets/d/161aHT6vVT3SLneTKD19N5qVWtnj_jIT8CSsOmUVKmaA/"&amp;"edit?gid=1761053510"",
          ""Haris_Form responses 1!$AQ:$AQ"")=1)
      ),
      1
    ),
    ""0""
  ),
  ""Form not found""
)
"),"1")</f>
        <v>1</v>
      </c>
      <c r="G69" s="245" t="str">
        <f>IFERROR(__xludf.DUMMYFUNCTION("IFERROR(
  INDEX(
    FILTER(
      Transcription!$AJ:$AJ,
      TRIM(CLEAN(TEXT(Transcription!$F:$F, ""@""))) = TRIM(CLEAN(TEXT($D69, ""@""))),
      Transcription!$AO:$AO = 1
    ),
    1
  ),
  ""Not Found""
)
"),"https://drive.google.com/open?id=1ONPn__gcw6Ai491mKT8sb3SSFxWFNQWr")</f>
        <v>https://drive.google.com/open?id=1ONPn__gcw6Ai491mKT8sb3SSFxWFNQWr</v>
      </c>
      <c r="H6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TRIM(CLEAN(TEXT($D69, ""@""))),
      IMPORTRANGE(""https://docs.google.com/spreadsheets/d/1SnQ_YxUmBUYKsKc82GyPP"&amp;"ovLO-EPrfZxsJ0V0UbhezI/edit?gid=590869320#gid=590869320"", ""Form responses 1!$AV:$AV"") = 2
    ),
    1
  ),
  ""Not Found""
)
"),"https://drive.google.com/open?id=1WpDuKMGxbMDMuAvA36cQpeKs4-XLTPIb")</f>
        <v>https://drive.google.com/open?id=1WpDuKMGxbMDMuAvA36cQpeKs4-XLTPIb</v>
      </c>
      <c r="I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1!$E:$E"")=$D69) *
        (IMPORTRANGE(""https://docs.google.com/spreadsheets/d/161aHT6vVT3SLneTKD19N5qVWtnj_jIT8CSsOmUVKmaA/"&amp;"edit?gid=1761053510"",
          ""Haris_Form responses 1!$AQ:$AQ"")=2)
      ),
      1
    ),
    ""0""
  ),
  ""Form not found""
)
"),"2")</f>
        <v>2</v>
      </c>
      <c r="J69" s="245" t="str">
        <f>IFERROR(__xludf.DUMMYFUNCTION("IFERROR(
  INDEX(
    FILTER(
      Transcription!$AJ:$AJ,
      TRIM(CLEAN(TEXT(Transcription!$F:$F, ""@""))) = TRIM(CLEAN(TEXT($D69, ""@""))),
      Transcription!$AO:$AO = 2
    ),
    1
  ),
  ""Not Found""
)
"),"https://docs.google.com/document/d/1H17gw86SdmWkP0AqXVMsOc0t5vSWYHgn/edit")</f>
        <v>https://docs.google.com/document/d/1H17gw86SdmWkP0AqXVMsOc0t5vSWYHgn/edit</v>
      </c>
      <c r="K69"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TRIM(CLEAN(TEXT($D69, ""@""))),
      IMPORTRANGE(""https://docs.google.com/spreadsheets/d/1SnQ_YxUmBUYKsKc82GyPP"&amp;"ovLO-EPrfZxsJ0V0UbhezI/edit?gid=590869320#gid=590869320"", ""Form responses 1!$AV:$AV"") = 3
    ),
    1
  ),
  ""Not Found""
)
"),"https://drive.google.com/open?id=1zeiKWe3XFk00J_s8BhHR77bgKcMrIvaH")</f>
        <v>https://drive.google.com/open?id=1zeiKWe3XFk00J_s8BhHR77bgKcMrIvaH</v>
      </c>
      <c r="L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1!$E:$E"")=$D69) *
        (IMPORTRANGE(""https://docs.google.com/spreadsheets/d/161aHT6vVT3SLneTKD19N5qVWtnj_jIT8CSsOmUVKmaA/"&amp;"edit?gid=1761053510"",
          ""Haris_Form responses 1!$AQ:$AQ"")=3)
      ),
      1
    ),
    ""0""
  ),
  ""Form not found""
)
"),"3")</f>
        <v>3</v>
      </c>
      <c r="M69" s="245" t="str">
        <f>IFERROR(__xludf.DUMMYFUNCTION("IFERROR(
  INDEX(
    FILTER(
      Transcription!$AJ:$AJ,
      TRIM(CLEAN(TEXT(Transcription!$F:$F, ""@""))) = TRIM(CLEAN(TEXT($D69, ""@""))),
      Transcription!$AO:$AO = 3
    ),
    1
  ),
  ""Not Found""
)
"),"https://drive.google.com/open?id=1Eu_dRE8LsjMe3bc1RlMtnXj44VUHC8Z6")</f>
        <v>https://drive.google.com/open?id=1Eu_dRE8LsjMe3bc1RlMtnXj44VUHC8Z6</v>
      </c>
      <c r="N69"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TRIM(CLEAN(TEXT($D69, ""@""))),
      IMPORTRANGE(""https://docs.google.com/spreadsheets/d/1SnQ_YxUmBUYKsKc82GyPP"&amp;"ovLO-EPrfZxsJ0V0UbhezI/edit?gid=590869320#gid=590869320"", ""Form responses 1!$AV:$AV"") = 4
    ),
    1
  ),
  ""Not Found""
)
"),"Not Found")</f>
        <v>Not Found</v>
      </c>
      <c r="O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1!$E:$E"")=$D69) *
        (IMPORTRANGE(""https://docs.google.com/spreadsheets/d/161aHT6vVT3SLneTKD19N5qVWtnj_jIT8CSsOmUVKmaA/"&amp;"edit?gid=1761053510"",
          ""Haris_Form responses 1!$AQ:$AQ"")=4)
      ),
      1
    ),
    ""0""
  ),
  ""Form not found""
)
"),"Form not found")</f>
        <v>Form not found</v>
      </c>
      <c r="P69" s="247" t="str">
        <f>IFERROR(__xludf.DUMMYFUNCTION("IFERROR(
  INDEX(
    FILTER(
      Transcription!$AJ:$AJ,
      TRIM(CLEAN(TEXT(Transcription!$F:$F, ""@""))) = TRIM(CLEAN(TEXT($D69, ""@""))),
      Transcription!$AO:$AO = 4
    ),
    1
  ),
  ""Not Found""
)
"),"Not Found")</f>
        <v>Not Found</v>
      </c>
      <c r="Q69"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TRIM(CLEAN(TEXT($D69, ""@""))),
      IMPORTRANGE(""https://docs.google.com/spreadsheets/d/1SnQ_YxUmBUYKsKc82GyPP"&amp;"ovLO-EPrfZxsJ0V0UbhezI/edit?gid=590869320#gid=590869320"", ""Form responses 1!$AV:$AV"") = 5
    ),
    1
  ),
  ""Not Found""
)
"),"Not Found")</f>
        <v>Not Found</v>
      </c>
      <c r="R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1!$E:$E"")=$D69) *
        (IMPORTRANGE(""https://docs.google.com/spreadsheets/d/161aHT6vVT3SLneTKD19N5qVWtnj_jIT8CSsOmUVKmaA/"&amp;"edit?gid=1761053510"",
          ""Haris_Form responses 1!$AQ:$AQ"")=5)
      ),
      1
    ),
    ""0""
  ),
  ""Form not found""
)
"),"Form not found")</f>
        <v>Form not found</v>
      </c>
      <c r="S69" s="247" t="str">
        <f>IFERROR(__xludf.DUMMYFUNCTION("IFERROR(
  INDEX(
    FILTER(
      Transcription!$AJ:$AJ,
      TRIM(CLEAN(TEXT(Transcription!$F:$F, ""@""))) = TRIM(CLEAN(TEXT($D69, ""@""))),
      Transcription!$AO:$AO = 5
    ),
    1
  ),
  ""Not Found""
)
"),"Not Found")</f>
        <v>Not Found</v>
      </c>
      <c r="T69"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TRIM(CLEAN(TEXT($D69, ""@""))),
      IMPORTRANGE(""https://docs.google.com/spreadsheets/d/1SnQ_YxUmBUYKsKc82GyPP"&amp;"ovLO-EPrfZxsJ0V0UbhezI/edit?gid=590869320#gid=590869320"", ""Form responses 1!$AV:$AV"") = 6
    ),
    1
  ),
  ""Not Found""
)
"),"Not Found")</f>
        <v>Not Found</v>
      </c>
      <c r="U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1!$E:$E"")=$D69) *
        (IMPORTRANGE(""https://docs.google.com/spreadsheets/d/161aHT6vVT3SLneTKD19N5qVWtnj_jIT8CSsOmUVKmaA/"&amp;"edit?gid=1761053510"",
          ""Haris_Form responses 1!$AQ:$AQ"")=6)
      ),
      1
    ),
    ""0""
  ),
  ""Form not found""
)
"),"Form not found")</f>
        <v>Form not found</v>
      </c>
      <c r="V69" s="247" t="str">
        <f>IFERROR(__xludf.DUMMYFUNCTION("IFERROR(
  INDEX(
    FILTER(
      Transcription!$AJ:$AJ,
      TRIM(CLEAN(TEXT(Transcription!$F:$F, ""@""))) = TRIM(CLEAN(TEXT($D69, ""@""))),
      Transcription!$AO:$AO = 6
    ),
    1
  ),
  ""Not Found""
)
"),"Not Found")</f>
        <v>Not Found</v>
      </c>
      <c r="X69" s="8" t="s">
        <v>4542</v>
      </c>
      <c r="Y69" s="8" t="s">
        <v>4523</v>
      </c>
      <c r="Z69" s="10">
        <f t="shared" si="1"/>
        <v>3</v>
      </c>
      <c r="AA69" s="10">
        <f t="shared" si="2"/>
        <v>0</v>
      </c>
    </row>
    <row r="70">
      <c r="A70" s="8" t="str">
        <f>VLOOKUP($D70,Sheet6!$B:$G,5,FALSE)</f>
        <v>Lahore</v>
      </c>
      <c r="B70" s="232" t="str">
        <f>VLOOKUP($D70,Sheet6!$B:$G,4,FALSE)</f>
        <v>Women Religious No Info Share</v>
      </c>
      <c r="C70" s="8">
        <v>3.0</v>
      </c>
      <c r="D70" s="8" t="s">
        <v>4543</v>
      </c>
      <c r="E7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TRIM(CLEAN(TEXT($D70, ""@""))),
      IMPORTRANGE(""https://docs.google.com/spreadsheets/d/1SnQ_YxUmBUYKsKc82GyPP"&amp;"ovLO-EPrfZxsJ0V0UbhezI/edit?gid=590869320#gid=590869320"", ""Form responses 1!$AV:$AV"") = 1
    ),
    1
  ),
  ""Not Found""
)
"),"https://drive.google.com/open?id=1d0W0a1RA7Ga6PAKVCu2c9KnudK5ntnjk")</f>
        <v>https://drive.google.com/open?id=1d0W0a1RA7Ga6PAKVCu2c9KnudK5ntnjk</v>
      </c>
      <c r="F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1!$E:$E"")=$D70) *
        (IMPORTRANGE(""https://docs.google.com/spreadsheets/d/161aHT6vVT3SLneTKD19N5qVWtnj_jIT8CSsOmUVKmaA/"&amp;"edit?gid=1761053510"",
          ""Haris_Form responses 1!$AQ:$AQ"")=1)
      ),
      1
    ),
    ""0""
  ),
  ""Form not found""
)
"),"1")</f>
        <v>1</v>
      </c>
      <c r="G70" s="245" t="str">
        <f>IFERROR(__xludf.DUMMYFUNCTION("IFERROR(
  INDEX(
    FILTER(
      Transcription!$AJ:$AJ,
      TRIM(CLEAN(TEXT(Transcription!$F:$F, ""@""))) = TRIM(CLEAN(TEXT($D70, ""@""))),
      Transcription!$AO:$AO = 1
    ),
    1
  ),
  ""Not Found""
)
"),"https://drive.google.com/open?id=1oPWJKKn748a0HcKfgxjQY7OIPrQg83tC")</f>
        <v>https://drive.google.com/open?id=1oPWJKKn748a0HcKfgxjQY7OIPrQg83tC</v>
      </c>
      <c r="H7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TRIM(CLEAN(TEXT($D70, ""@""))),
      IMPORTRANGE(""https://docs.google.com/spreadsheets/d/1SnQ_YxUmBUYKsKc82GyPP"&amp;"ovLO-EPrfZxsJ0V0UbhezI/edit?gid=590869320#gid=590869320"", ""Form responses 1!$AV:$AV"") = 2
    ),
    1
  ),
  ""Not Found""
)
"),"https://drive.google.com/open?id=1gUYE4OiUPCtfKOxXm8lT8p06GI-tC3fN")</f>
        <v>https://drive.google.com/open?id=1gUYE4OiUPCtfKOxXm8lT8p06GI-tC3fN</v>
      </c>
      <c r="I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1!$E:$E"")=$D70) *
        (IMPORTRANGE(""https://docs.google.com/spreadsheets/d/161aHT6vVT3SLneTKD19N5qVWtnj_jIT8CSsOmUVKmaA/"&amp;"edit?gid=1761053510"",
          ""Haris_Form responses 1!$AQ:$AQ"")=2)
      ),
      1
    ),
    ""0""
  ),
  ""Form not found""
)
"),"2")</f>
        <v>2</v>
      </c>
      <c r="J70" s="245" t="str">
        <f>IFERROR(__xludf.DUMMYFUNCTION("IFERROR(
  INDEX(
    FILTER(
      Transcription!$AJ:$AJ,
      TRIM(CLEAN(TEXT(Transcription!$F:$F, ""@""))) = TRIM(CLEAN(TEXT($D70, ""@""))),
      Transcription!$AO:$AO = 2
    ),
    1
  ),
  ""Not Found""
)
"),"https://drive.google.com/open?id=1CubVPHUdqzVm6PK48JC-42ys4kbNg6Ti")</f>
        <v>https://drive.google.com/open?id=1CubVPHUdqzVm6PK48JC-42ys4kbNg6Ti</v>
      </c>
      <c r="K70"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TRIM(CLEAN(TEXT($D70, ""@""))),
      IMPORTRANGE(""https://docs.google.com/spreadsheets/d/1SnQ_YxUmBUYKsKc82GyPP"&amp;"ovLO-EPrfZxsJ0V0UbhezI/edit?gid=590869320#gid=590869320"", ""Form responses 1!$AV:$AV"") = 3
    ),
    1
  ),
  ""Not Found""
)
"),"https://drive.google.com/open?id=1yKKPhvCJoTaBIybcuAcj4vBQAxUMVc7_")</f>
        <v>https://drive.google.com/open?id=1yKKPhvCJoTaBIybcuAcj4vBQAxUMVc7_</v>
      </c>
      <c r="L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1!$E:$E"")=$D70) *
        (IMPORTRANGE(""https://docs.google.com/spreadsheets/d/161aHT6vVT3SLneTKD19N5qVWtnj_jIT8CSsOmUVKmaA/"&amp;"edit?gid=1761053510"",
          ""Haris_Form responses 1!$AQ:$AQ"")=3)
      ),
      1
    ),
    ""0""
  ),
  ""Form not found""
)
"),"3")</f>
        <v>3</v>
      </c>
      <c r="M70" s="245" t="str">
        <f>IFERROR(__xludf.DUMMYFUNCTION("IFERROR(
  INDEX(
    FILTER(
      Transcription!$AJ:$AJ,
      TRIM(CLEAN(TEXT(Transcription!$F:$F, ""@""))) = TRIM(CLEAN(TEXT($D70, ""@""))),
      Transcription!$AO:$AO = 3
    ),
    1
  ),
  ""Not Found""
)
"),"https://drive.google.com/open?id=1mTtSmwTnC8EtC6zg8NgJv5KNJ2PfoWPm")</f>
        <v>https://drive.google.com/open?id=1mTtSmwTnC8EtC6zg8NgJv5KNJ2PfoWPm</v>
      </c>
      <c r="N70"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TRIM(CLEAN(TEXT($D70, ""@""))),
      IMPORTRANGE(""https://docs.google.com/spreadsheets/d/1SnQ_YxUmBUYKsKc82GyPP"&amp;"ovLO-EPrfZxsJ0V0UbhezI/edit?gid=590869320#gid=590869320"", ""Form responses 1!$AV:$AV"") = 4
    ),
    1
  ),
  ""Not Found""
)
"),"Not Found")</f>
        <v>Not Found</v>
      </c>
      <c r="O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1!$E:$E"")=$D70) *
        (IMPORTRANGE(""https://docs.google.com/spreadsheets/d/161aHT6vVT3SLneTKD19N5qVWtnj_jIT8CSsOmUVKmaA/"&amp;"edit?gid=1761053510"",
          ""Haris_Form responses 1!$AQ:$AQ"")=4)
      ),
      1
    ),
    ""0""
  ),
  ""Form not found""
)
"),"Form not found")</f>
        <v>Form not found</v>
      </c>
      <c r="P70" s="247" t="str">
        <f>IFERROR(__xludf.DUMMYFUNCTION("IFERROR(
  INDEX(
    FILTER(
      Transcription!$AJ:$AJ,
      TRIM(CLEAN(TEXT(Transcription!$F:$F, ""@""))) = TRIM(CLEAN(TEXT($D70, ""@""))),
      Transcription!$AO:$AO = 4
    ),
    1
  ),
  ""Not Found""
)
"),"Not Found")</f>
        <v>Not Found</v>
      </c>
      <c r="Q70"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TRIM(CLEAN(TEXT($D70, ""@""))),
      IMPORTRANGE(""https://docs.google.com/spreadsheets/d/1SnQ_YxUmBUYKsKc82GyPP"&amp;"ovLO-EPrfZxsJ0V0UbhezI/edit?gid=590869320#gid=590869320"", ""Form responses 1!$AV:$AV"") = 5
    ),
    1
  ),
  ""Not Found""
)
"),"Not Found")</f>
        <v>Not Found</v>
      </c>
      <c r="R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1!$E:$E"")=$D70) *
        (IMPORTRANGE(""https://docs.google.com/spreadsheets/d/161aHT6vVT3SLneTKD19N5qVWtnj_jIT8CSsOmUVKmaA/"&amp;"edit?gid=1761053510"",
          ""Haris_Form responses 1!$AQ:$AQ"")=5)
      ),
      1
    ),
    ""0""
  ),
  ""Form not found""
)
"),"Form not found")</f>
        <v>Form not found</v>
      </c>
      <c r="S70" s="247" t="str">
        <f>IFERROR(__xludf.DUMMYFUNCTION("IFERROR(
  INDEX(
    FILTER(
      Transcription!$AJ:$AJ,
      TRIM(CLEAN(TEXT(Transcription!$F:$F, ""@""))) = TRIM(CLEAN(TEXT($D70, ""@""))),
      Transcription!$AO:$AO = 5
    ),
    1
  ),
  ""Not Found""
)
"),"Not Found")</f>
        <v>Not Found</v>
      </c>
      <c r="T70"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TRIM(CLEAN(TEXT($D70, ""@""))),
      IMPORTRANGE(""https://docs.google.com/spreadsheets/d/1SnQ_YxUmBUYKsKc82GyPP"&amp;"ovLO-EPrfZxsJ0V0UbhezI/edit?gid=590869320#gid=590869320"", ""Form responses 1!$AV:$AV"") = 6
    ),
    1
  ),
  ""Not Found""
)
"),"Not Found")</f>
        <v>Not Found</v>
      </c>
      <c r="U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1!$E:$E"")=$D70) *
        (IMPORTRANGE(""https://docs.google.com/spreadsheets/d/161aHT6vVT3SLneTKD19N5qVWtnj_jIT8CSsOmUVKmaA/"&amp;"edit?gid=1761053510"",
          ""Haris_Form responses 1!$AQ:$AQ"")=6)
      ),
      1
    ),
    ""0""
  ),
  ""Form not found""
)
"),"Form not found")</f>
        <v>Form not found</v>
      </c>
      <c r="V70" s="247" t="str">
        <f>IFERROR(__xludf.DUMMYFUNCTION("IFERROR(
  INDEX(
    FILTER(
      Transcription!$AJ:$AJ,
      TRIM(CLEAN(TEXT(Transcription!$F:$F, ""@""))) = TRIM(CLEAN(TEXT($D70, ""@""))),
      Transcription!$AO:$AO = 6
    ),
    1
  ),
  ""Not Found""
)
"),"Not Found")</f>
        <v>Not Found</v>
      </c>
      <c r="Y70" s="8" t="s">
        <v>4523</v>
      </c>
      <c r="Z70" s="10">
        <f t="shared" si="1"/>
        <v>3</v>
      </c>
      <c r="AA70" s="10">
        <f t="shared" si="2"/>
        <v>0</v>
      </c>
    </row>
    <row r="71">
      <c r="A71" s="8" t="str">
        <f>VLOOKUP($D71,Sheet6!$B:$G,5,FALSE)</f>
        <v>Lahore</v>
      </c>
      <c r="B71" s="232" t="str">
        <f>VLOOKUP($D71,Sheet6!$B:$G,4,FALSE)</f>
        <v>Women Religious No Info Share</v>
      </c>
      <c r="C71" s="8">
        <v>2.0</v>
      </c>
      <c r="D71" s="8" t="s">
        <v>4544</v>
      </c>
      <c r="E7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TRIM(CLEAN(TEXT($D71, ""@""))),
      IMPORTRANGE(""https://docs.google.com/spreadsheets/d/1SnQ_YxUmBUYKsKc82GyPP"&amp;"ovLO-EPrfZxsJ0V0UbhezI/edit?gid=590869320#gid=590869320"", ""Form responses 1!$AV:$AV"") = 1
    ),
    1
  ),
  ""Not Found""
)
"),"https://drive.google.com/open?id=1kI9byMLaSLzeX3x779rPqn4Z3envRG5v")</f>
        <v>https://drive.google.com/open?id=1kI9byMLaSLzeX3x779rPqn4Z3envRG5v</v>
      </c>
      <c r="F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1!$E:$E"")=$D71) *
        (IMPORTRANGE(""https://docs.google.com/spreadsheets/d/161aHT6vVT3SLneTKD19N5qVWtnj_jIT8CSsOmUVKmaA/"&amp;"edit?gid=1761053510"",
          ""Haris_Form responses 1!$AQ:$AQ"")=1)
      ),
      1
    ),
    ""0""
  ),
  ""Form not found""
)
"),"1")</f>
        <v>1</v>
      </c>
      <c r="G71" s="245" t="str">
        <f>IFERROR(__xludf.DUMMYFUNCTION("IFERROR(
  INDEX(
    FILTER(
      Transcription!$AJ:$AJ,
      TRIM(CLEAN(TEXT(Transcription!$F:$F, ""@""))) = TRIM(CLEAN(TEXT($D71, ""@""))),
      Transcription!$AO:$AO = 1
    ),
    1
  ),
  ""Not Found""
)
"),"https://drive.google.com/open?id=1rtZKuen9qbyeATgq-OqhCh-5dfefJCpJ")</f>
        <v>https://drive.google.com/open?id=1rtZKuen9qbyeATgq-OqhCh-5dfefJCpJ</v>
      </c>
      <c r="H7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TRIM(CLEAN(TEXT($D71, ""@""))),
      IMPORTRANGE(""https://docs.google.com/spreadsheets/d/1SnQ_YxUmBUYKsKc82GyPP"&amp;"ovLO-EPrfZxsJ0V0UbhezI/edit?gid=590869320#gid=590869320"", ""Form responses 1!$AV:$AV"") = 2
    ),
    1
  ),
  ""Not Found""
)
"),"Not Found")</f>
        <v>Not Found</v>
      </c>
      <c r="I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1!$E:$E"")=$D71) *
        (IMPORTRANGE(""https://docs.google.com/spreadsheets/d/161aHT6vVT3SLneTKD19N5qVWtnj_jIT8CSsOmUVKmaA/"&amp;"edit?gid=1761053510"",
          ""Haris_Form responses 1!$AQ:$AQ"")=2)
      ),
      1
    ),
    ""0""
  ),
  ""Form not found""
)
"),"Form not found")</f>
        <v>Form not found</v>
      </c>
      <c r="J71" s="247" t="str">
        <f>IFERROR(__xludf.DUMMYFUNCTION("IFERROR(
  INDEX(
    FILTER(
      Transcription!$AJ:$AJ,
      TRIM(CLEAN(TEXT(Transcription!$F:$F, ""@""))) = TRIM(CLEAN(TEXT($D71, ""@""))),
      Transcription!$AO:$AO = 2
    ),
    1
  ),
  ""Not Found""
)
"),"Not Found")</f>
        <v>Not Found</v>
      </c>
      <c r="K71"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TRIM(CLEAN(TEXT($D71, ""@""))),
      IMPORTRANGE(""https://docs.google.com/spreadsheets/d/1SnQ_YxUmBUYKsKc82GyPP"&amp;"ovLO-EPrfZxsJ0V0UbhezI/edit?gid=590869320#gid=590869320"", ""Form responses 1!$AV:$AV"") = 3
    ),
    1
  ),
  ""Not Found""
)
"),"https://drive.google.com/open?id=1HAesk_h7kFzze5_meMqaV9vgNuRSC2Jy")</f>
        <v>https://drive.google.com/open?id=1HAesk_h7kFzze5_meMqaV9vgNuRSC2Jy</v>
      </c>
      <c r="L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1!$E:$E"")=$D71) *
        (IMPORTRANGE(""https://docs.google.com/spreadsheets/d/161aHT6vVT3SLneTKD19N5qVWtnj_jIT8CSsOmUVKmaA/"&amp;"edit?gid=1761053510"",
          ""Haris_Form responses 1!$AQ:$AQ"")=3)
      ),
      1
    ),
    ""0""
  ),
  ""Form not found""
)
"),"3")</f>
        <v>3</v>
      </c>
      <c r="M71" s="245" t="str">
        <f>IFERROR(__xludf.DUMMYFUNCTION("IFERROR(
  INDEX(
    FILTER(
      Transcription!$AJ:$AJ,
      TRIM(CLEAN(TEXT(Transcription!$F:$F, ""@""))) = TRIM(CLEAN(TEXT($D71, ""@""))),
      Transcription!$AO:$AO = 3
    ),
    1
  ),
  ""Not Found""
)
"),"https://drive.google.com/open?id=1dcKpMAxEC34Abxg8bHFU9OSas-_Q93mf")</f>
        <v>https://drive.google.com/open?id=1dcKpMAxEC34Abxg8bHFU9OSas-_Q93mf</v>
      </c>
      <c r="N7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TRIM(CLEAN(TEXT($D71, ""@""))),
      IMPORTRANGE(""https://docs.google.com/spreadsheets/d/1SnQ_YxUmBUYKsKc82GyPP"&amp;"ovLO-EPrfZxsJ0V0UbhezI/edit?gid=590869320#gid=590869320"", ""Form responses 1!$AV:$AV"") = 4
    ),
    1
  ),
  ""Not Found""
)
"),"Not Found")</f>
        <v>Not Found</v>
      </c>
      <c r="O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1!$E:$E"")=$D71) *
        (IMPORTRANGE(""https://docs.google.com/spreadsheets/d/161aHT6vVT3SLneTKD19N5qVWtnj_jIT8CSsOmUVKmaA/"&amp;"edit?gid=1761053510"",
          ""Haris_Form responses 1!$AQ:$AQ"")=4)
      ),
      1
    ),
    ""0""
  ),
  ""Form not found""
)
"),"Form not found")</f>
        <v>Form not found</v>
      </c>
      <c r="P71" s="247" t="str">
        <f>IFERROR(__xludf.DUMMYFUNCTION("IFERROR(
  INDEX(
    FILTER(
      Transcription!$AJ:$AJ,
      TRIM(CLEAN(TEXT(Transcription!$F:$F, ""@""))) = TRIM(CLEAN(TEXT($D71, ""@""))),
      Transcription!$AO:$AO = 4
    ),
    1
  ),
  ""Not Found""
)
"),"Not Found")</f>
        <v>Not Found</v>
      </c>
      <c r="Q71"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TRIM(CLEAN(TEXT($D71, ""@""))),
      IMPORTRANGE(""https://docs.google.com/spreadsheets/d/1SnQ_YxUmBUYKsKc82GyPP"&amp;"ovLO-EPrfZxsJ0V0UbhezI/edit?gid=590869320#gid=590869320"", ""Form responses 1!$AV:$AV"") = 5
    ),
    1
  ),
  ""Not Found""
)
"),"Not Found")</f>
        <v>Not Found</v>
      </c>
      <c r="R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1!$E:$E"")=$D71) *
        (IMPORTRANGE(""https://docs.google.com/spreadsheets/d/161aHT6vVT3SLneTKD19N5qVWtnj_jIT8CSsOmUVKmaA/"&amp;"edit?gid=1761053510"",
          ""Haris_Form responses 1!$AQ:$AQ"")=5)
      ),
      1
    ),
    ""0""
  ),
  ""Form not found""
)
"),"Form not found")</f>
        <v>Form not found</v>
      </c>
      <c r="S71" s="247" t="str">
        <f>IFERROR(__xludf.DUMMYFUNCTION("IFERROR(
  INDEX(
    FILTER(
      Transcription!$AJ:$AJ,
      TRIM(CLEAN(TEXT(Transcription!$F:$F, ""@""))) = TRIM(CLEAN(TEXT($D71, ""@""))),
      Transcription!$AO:$AO = 5
    ),
    1
  ),
  ""Not Found""
)
"),"Not Found")</f>
        <v>Not Found</v>
      </c>
      <c r="T71"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TRIM(CLEAN(TEXT($D71, ""@""))),
      IMPORTRANGE(""https://docs.google.com/spreadsheets/d/1SnQ_YxUmBUYKsKc82GyPP"&amp;"ovLO-EPrfZxsJ0V0UbhezI/edit?gid=590869320#gid=590869320"", ""Form responses 1!$AV:$AV"") = 6
    ),
    1
  ),
  ""Not Found""
)
"),"Not Found")</f>
        <v>Not Found</v>
      </c>
      <c r="U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1!$E:$E"")=$D71) *
        (IMPORTRANGE(""https://docs.google.com/spreadsheets/d/161aHT6vVT3SLneTKD19N5qVWtnj_jIT8CSsOmUVKmaA/"&amp;"edit?gid=1761053510"",
          ""Haris_Form responses 1!$AQ:$AQ"")=6)
      ),
      1
    ),
    ""0""
  ),
  ""Form not found""
)
"),"Form not found")</f>
        <v>Form not found</v>
      </c>
      <c r="V71" s="247" t="str">
        <f>IFERROR(__xludf.DUMMYFUNCTION("IFERROR(
  INDEX(
    FILTER(
      Transcription!$AJ:$AJ,
      TRIM(CLEAN(TEXT(Transcription!$F:$F, ""@""))) = TRIM(CLEAN(TEXT($D71, ""@""))),
      Transcription!$AO:$AO = 6
    ),
    1
  ),
  ""Not Found""
)
"),"Not Found")</f>
        <v>Not Found</v>
      </c>
      <c r="W71" s="8" t="s">
        <v>4545</v>
      </c>
      <c r="X71" s="8" t="s">
        <v>4546</v>
      </c>
      <c r="Y71" s="8" t="s">
        <v>4523</v>
      </c>
      <c r="Z71" s="10">
        <f t="shared" si="1"/>
        <v>2</v>
      </c>
      <c r="AA71" s="10">
        <f t="shared" si="2"/>
        <v>0</v>
      </c>
    </row>
    <row r="72">
      <c r="A72" s="8" t="str">
        <f>VLOOKUP($D72,Sheet6!$B:$G,5,FALSE)</f>
        <v>Lahore</v>
      </c>
      <c r="B72" s="232" t="str">
        <f>VLOOKUP($D72,Sheet6!$B:$G,4,FALSE)</f>
        <v>Community Secular No Info Share</v>
      </c>
      <c r="C72" s="8">
        <v>4.0</v>
      </c>
      <c r="D72" s="8" t="s">
        <v>3021</v>
      </c>
      <c r="E7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TRIM(CLEAN(TEXT($D72, ""@""))),
      IMPORTRANGE(""https://docs.google.com/spreadsheets/d/1SnQ_YxUmBUYKsKc82GyPP"&amp;"ovLO-EPrfZxsJ0V0UbhezI/edit?gid=590869320#gid=590869320"", ""Form responses 1!$AV:$AV"") = 1
    ),
    1
  ),
  ""Not Found""
)
"),"https://drive.google.com/open?id=1eRi2QbWd307tny3_Vtgkpj5MJu_Xxawl")</f>
        <v>https://drive.google.com/open?id=1eRi2QbWd307tny3_Vtgkpj5MJu_Xxawl</v>
      </c>
      <c r="F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1!$E:$E"")=$D72) *
        (IMPORTRANGE(""https://docs.google.com/spreadsheets/d/161aHT6vVT3SLneTKD19N5qVWtnj_jIT8CSsOmUVKmaA/"&amp;"edit?gid=1761053510"",
          ""Haris_Form responses 1!$AQ:$AQ"")=1)
      ),
      1
    ),
    ""0""
  ),
  ""Form not found""
)
"),"1")</f>
        <v>1</v>
      </c>
      <c r="G72" s="245" t="str">
        <f>IFERROR(__xludf.DUMMYFUNCTION("IFERROR(
  INDEX(
    FILTER(
      Transcription!$AJ:$AJ,
      TRIM(CLEAN(TEXT(Transcription!$F:$F, ""@""))) = TRIM(CLEAN(TEXT($D72, ""@""))),
      Transcription!$AO:$AO = 1
    ),
    1
  ),
  ""Not Found""
)
"),"https://drive.google.com/open?id=1jM17BBHEVehMhVigSU1jIjio2ohBwFzz")</f>
        <v>https://drive.google.com/open?id=1jM17BBHEVehMhVigSU1jIjio2ohBwFzz</v>
      </c>
      <c r="H7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TRIM(CLEAN(TEXT($D72, ""@""))),
      IMPORTRANGE(""https://docs.google.com/spreadsheets/d/1SnQ_YxUmBUYKsKc82GyPP"&amp;"ovLO-EPrfZxsJ0V0UbhezI/edit?gid=590869320#gid=590869320"", ""Form responses 1!$AV:$AV"") = 2
    ),
    1
  ),
  ""Not Found""
)
"),"https://drive.google.com/open?id=1fZ2h4NEV5SrFPcsEkE7JxD4TCrm13fxK")</f>
        <v>https://drive.google.com/open?id=1fZ2h4NEV5SrFPcsEkE7JxD4TCrm13fxK</v>
      </c>
      <c r="I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1!$E:$E"")=$D72) *
        (IMPORTRANGE(""https://docs.google.com/spreadsheets/d/161aHT6vVT3SLneTKD19N5qVWtnj_jIT8CSsOmUVKmaA/"&amp;"edit?gid=1761053510"",
          ""Haris_Form responses 1!$AQ:$AQ"")=2)
      ),
      1
    ),
    ""0""
  ),
  ""Form not found""
)
"),"2")</f>
        <v>2</v>
      </c>
      <c r="J72" s="245" t="str">
        <f>IFERROR(__xludf.DUMMYFUNCTION("IFERROR(
  INDEX(
    FILTER(
      Transcription!$AJ:$AJ,
      TRIM(CLEAN(TEXT(Transcription!$F:$F, ""@""))) = TRIM(CLEAN(TEXT($D72, ""@""))),
      Transcription!$AO:$AO = 2
    ),
    1
  ),
  ""Not Found""
)
"),"https://drive.google.com/open?id=1bxgUDBHB-KzlPl0BxLg9izK8voyMNi6M")</f>
        <v>https://drive.google.com/open?id=1bxgUDBHB-KzlPl0BxLg9izK8voyMNi6M</v>
      </c>
      <c r="K7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TRIM(CLEAN(TEXT($D72, ""@""))),
      IMPORTRANGE(""https://docs.google.com/spreadsheets/d/1SnQ_YxUmBUYKsKc82GyPP"&amp;"ovLO-EPrfZxsJ0V0UbhezI/edit?gid=590869320#gid=590869320"", ""Form responses 1!$AV:$AV"") = 3
    ),
    1
  ),
  ""Not Found""
)
"),"https://drive.google.com/open?id=1YqU6GCF5J37XmvqafbTjyj6wO8p5Tp0X")</f>
        <v>https://drive.google.com/open?id=1YqU6GCF5J37XmvqafbTjyj6wO8p5Tp0X</v>
      </c>
      <c r="L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1!$E:$E"")=$D72) *
        (IMPORTRANGE(""https://docs.google.com/spreadsheets/d/161aHT6vVT3SLneTKD19N5qVWtnj_jIT8CSsOmUVKmaA/"&amp;"edit?gid=1761053510"",
          ""Haris_Form responses 1!$AQ:$AQ"")=3)
      ),
      1
    ),
    ""0""
  ),
  ""Form not found""
)
"),"3")</f>
        <v>3</v>
      </c>
      <c r="M72" s="245" t="str">
        <f>IFERROR(__xludf.DUMMYFUNCTION("IFERROR(
  INDEX(
    FILTER(
      Transcription!$AJ:$AJ,
      TRIM(CLEAN(TEXT(Transcription!$F:$F, ""@""))) = TRIM(CLEAN(TEXT($D72, ""@""))),
      Transcription!$AO:$AO = 3
    ),
    1
  ),
  ""Not Found""
)
"),"https://drive.google.com/open?id=17yIW-M2kbupIOtdZM1e_cGUJXfavXVn5")</f>
        <v>https://drive.google.com/open?id=17yIW-M2kbupIOtdZM1e_cGUJXfavXVn5</v>
      </c>
      <c r="N72"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TRIM(CLEAN(TEXT($D72, ""@""))),
      IMPORTRANGE(""https://docs.google.com/spreadsheets/d/1SnQ_YxUmBUYKsKc82GyPP"&amp;"ovLO-EPrfZxsJ0V0UbhezI/edit?gid=590869320#gid=590869320"", ""Form responses 1!$AV:$AV"") = 4
    ),
    1
  ),
  ""Not Found""
)
"),"https://drive.google.com/open?id=1N5iwG8v4FXf4L7bJt7BnuHVCgyRATD5Y")</f>
        <v>https://drive.google.com/open?id=1N5iwG8v4FXf4L7bJt7BnuHVCgyRATD5Y</v>
      </c>
      <c r="O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1!$E:$E"")=$D72) *
        (IMPORTRANGE(""https://docs.google.com/spreadsheets/d/161aHT6vVT3SLneTKD19N5qVWtnj_jIT8CSsOmUVKmaA/"&amp;"edit?gid=1761053510"",
          ""Haris_Form responses 1!$AQ:$AQ"")=4)
      ),
      1
    ),
    ""0""
  ),
  ""Form not found""
)
"),"4")</f>
        <v>4</v>
      </c>
      <c r="P72" s="245" t="str">
        <f>IFERROR(__xludf.DUMMYFUNCTION("IFERROR(
  INDEX(
    FILTER(
      Transcription!$AJ:$AJ,
      TRIM(CLEAN(TEXT(Transcription!$F:$F, ""@""))) = TRIM(CLEAN(TEXT($D72, ""@""))),
      Transcription!$AO:$AO = 4
    ),
    1
  ),
  ""Not Found""
)
"),"https://drive.google.com/open?id=1Sj6H1Z0Kc1gTW5KwD19WaGnhSYH7XqsO")</f>
        <v>https://drive.google.com/open?id=1Sj6H1Z0Kc1gTW5KwD19WaGnhSYH7XqsO</v>
      </c>
      <c r="Q72"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TRIM(CLEAN(TEXT($D72, ""@""))),
      IMPORTRANGE(""https://docs.google.com/spreadsheets/d/1SnQ_YxUmBUYKsKc82GyPP"&amp;"ovLO-EPrfZxsJ0V0UbhezI/edit?gid=590869320#gid=590869320"", ""Form responses 1!$AV:$AV"") = 5
    ),
    1
  ),
  ""Not Found""
)
"),"Not Found")</f>
        <v>Not Found</v>
      </c>
      <c r="R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1!$E:$E"")=$D72) *
        (IMPORTRANGE(""https://docs.google.com/spreadsheets/d/161aHT6vVT3SLneTKD19N5qVWtnj_jIT8CSsOmUVKmaA/"&amp;"edit?gid=1761053510"",
          ""Haris_Form responses 1!$AQ:$AQ"")=5)
      ),
      1
    ),
    ""0""
  ),
  ""Form not found""
)
"),"Form not found")</f>
        <v>Form not found</v>
      </c>
      <c r="S72" s="247" t="str">
        <f>IFERROR(__xludf.DUMMYFUNCTION("IFERROR(
  INDEX(
    FILTER(
      Transcription!$AJ:$AJ,
      TRIM(CLEAN(TEXT(Transcription!$F:$F, ""@""))) = TRIM(CLEAN(TEXT($D72, ""@""))),
      Transcription!$AO:$AO = 5
    ),
    1
  ),
  ""Not Found""
)
"),"Not Found")</f>
        <v>Not Found</v>
      </c>
      <c r="T72"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TRIM(CLEAN(TEXT($D72, ""@""))),
      IMPORTRANGE(""https://docs.google.com/spreadsheets/d/1SnQ_YxUmBUYKsKc82GyPP"&amp;"ovLO-EPrfZxsJ0V0UbhezI/edit?gid=590869320#gid=590869320"", ""Form responses 1!$AV:$AV"") = 6
    ),
    1
  ),
  ""Not Found""
)
"),"Not Found")</f>
        <v>Not Found</v>
      </c>
      <c r="U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1!$E:$E"")=$D72) *
        (IMPORTRANGE(""https://docs.google.com/spreadsheets/d/161aHT6vVT3SLneTKD19N5qVWtnj_jIT8CSsOmUVKmaA/"&amp;"edit?gid=1761053510"",
          ""Haris_Form responses 1!$AQ:$AQ"")=6)
      ),
      1
    ),
    ""0""
  ),
  ""Form not found""
)
"),"Form not found")</f>
        <v>Form not found</v>
      </c>
      <c r="V72" s="247" t="str">
        <f>IFERROR(__xludf.DUMMYFUNCTION("IFERROR(
  INDEX(
    FILTER(
      Transcription!$AJ:$AJ,
      TRIM(CLEAN(TEXT(Transcription!$F:$F, ""@""))) = TRIM(CLEAN(TEXT($D72, ""@""))),
      Transcription!$AO:$AO = 6
    ),
    1
  ),
  ""Not Found""
)
"),"Not Found")</f>
        <v>Not Found</v>
      </c>
      <c r="Y72" s="8" t="s">
        <v>4523</v>
      </c>
      <c r="Z72" s="10">
        <f t="shared" si="1"/>
        <v>4</v>
      </c>
      <c r="AA72" s="10">
        <f t="shared" si="2"/>
        <v>0</v>
      </c>
    </row>
    <row r="73">
      <c r="A73" s="8" t="str">
        <f>VLOOKUP($D73,Sheet6!$B:$G,5,FALSE)</f>
        <v>Lahore</v>
      </c>
      <c r="B73" s="232" t="str">
        <f>VLOOKUP($D73,Sheet6!$B:$G,4,FALSE)</f>
        <v>Community Religious Info Share</v>
      </c>
      <c r="C73" s="8">
        <v>3.0</v>
      </c>
      <c r="D73" s="8" t="s">
        <v>3072</v>
      </c>
      <c r="E7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TRIM(CLEAN(TEXT($D73, ""@""))),
      IMPORTRANGE(""https://docs.google.com/spreadsheets/d/1SnQ_YxUmBUYKsKc82GyPP"&amp;"ovLO-EPrfZxsJ0V0UbhezI/edit?gid=590869320#gid=590869320"", ""Form responses 1!$AV:$AV"") = 1
    ),
    1
  ),
  ""Not Found""
)
"),"https://drive.google.com/open?id=1QcR7Yv7d0r9NUIqjK2O9K2r68yUdGlkG")</f>
        <v>https://drive.google.com/open?id=1QcR7Yv7d0r9NUIqjK2O9K2r68yUdGlkG</v>
      </c>
      <c r="F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1!$E:$E"")=$D73) *
        (IMPORTRANGE(""https://docs.google.com/spreadsheets/d/161aHT6vVT3SLneTKD19N5qVWtnj_jIT8CSsOmUVKmaA/"&amp;"edit?gid=1761053510"",
          ""Haris_Form responses 1!$AQ:$AQ"")=1)
      ),
      1
    ),
    ""0""
  ),
  ""Form not found""
)
"),"1")</f>
        <v>1</v>
      </c>
      <c r="G73" s="245" t="str">
        <f>IFERROR(__xludf.DUMMYFUNCTION("IFERROR(
  INDEX(
    FILTER(
      Transcription!$AJ:$AJ,
      TRIM(CLEAN(TEXT(Transcription!$F:$F, ""@""))) = TRIM(CLEAN(TEXT($D73, ""@""))),
      Transcription!$AO:$AO = 1
    ),
    1
  ),
  ""Not Found""
)
"),"https://drive.google.com/open?id=1K9kOC7GKByY9EZS2kqFtYVjMQ6UfHlc5")</f>
        <v>https://drive.google.com/open?id=1K9kOC7GKByY9EZS2kqFtYVjMQ6UfHlc5</v>
      </c>
      <c r="H7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TRIM(CLEAN(TEXT($D73, ""@""))),
      IMPORTRANGE(""https://docs.google.com/spreadsheets/d/1SnQ_YxUmBUYKsKc82GyPP"&amp;"ovLO-EPrfZxsJ0V0UbhezI/edit?gid=590869320#gid=590869320"", ""Form responses 1!$AV:$AV"") = 2
    ),
    1
  ),
  ""Not Found""
)
"),"https://drive.google.com/open?id=1WfUVDXiNkugw6BN5Xh_fEW0aA-M6iLEo")</f>
        <v>https://drive.google.com/open?id=1WfUVDXiNkugw6BN5Xh_fEW0aA-M6iLEo</v>
      </c>
      <c r="I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1!$E:$E"")=$D73) *
        (IMPORTRANGE(""https://docs.google.com/spreadsheets/d/161aHT6vVT3SLneTKD19N5qVWtnj_jIT8CSsOmUVKmaA/"&amp;"edit?gid=1761053510"",
          ""Haris_Form responses 1!$AQ:$AQ"")=2)
      ),
      1
    ),
    ""0""
  ),
  ""Form not found""
)
"),"2")</f>
        <v>2</v>
      </c>
      <c r="J73" s="245" t="str">
        <f>IFERROR(__xludf.DUMMYFUNCTION("IFERROR(
  INDEX(
    FILTER(
      Transcription!$AJ:$AJ,
      TRIM(CLEAN(TEXT(Transcription!$F:$F, ""@""))) = TRIM(CLEAN(TEXT($D73, ""@""))),
      Transcription!$AO:$AO = 2
    ),
    1
  ),
  ""Not Found""
)
"),"https://drive.google.com/open?id=18L90p5AFiKc4upC7ZutFRjX5qSLEYdn7")</f>
        <v>https://drive.google.com/open?id=18L90p5AFiKc4upC7ZutFRjX5qSLEYdn7</v>
      </c>
      <c r="K73"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TRIM(CLEAN(TEXT($D73, ""@""))),
      IMPORTRANGE(""https://docs.google.com/spreadsheets/d/1SnQ_YxUmBUYKsKc82GyPP"&amp;"ovLO-EPrfZxsJ0V0UbhezI/edit?gid=590869320#gid=590869320"", ""Form responses 1!$AV:$AV"") = 3
    ),
    1
  ),
  ""Not Found""
)
"),"https://drive.google.com/open?id=19t7-r-3awhCryVXpao3CKrRX3e1aTmAu")</f>
        <v>https://drive.google.com/open?id=19t7-r-3awhCryVXpao3CKrRX3e1aTmAu</v>
      </c>
      <c r="L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1!$E:$E"")=$D73) *
        (IMPORTRANGE(""https://docs.google.com/spreadsheets/d/161aHT6vVT3SLneTKD19N5qVWtnj_jIT8CSsOmUVKmaA/"&amp;"edit?gid=1761053510"",
          ""Haris_Form responses 1!$AQ:$AQ"")=3)
      ),
      1
    ),
    ""0""
  ),
  ""Form not found""
)
"),"3")</f>
        <v>3</v>
      </c>
      <c r="M73" s="245" t="str">
        <f>IFERROR(__xludf.DUMMYFUNCTION("IFERROR(
  INDEX(
    FILTER(
      Transcription!$AJ:$AJ,
      TRIM(CLEAN(TEXT(Transcription!$F:$F, ""@""))) = TRIM(CLEAN(TEXT($D73, ""@""))),
      Transcription!$AO:$AO = 3
    ),
    1
  ),
  ""Not Found""
)
"),"https://drive.google.com/open?id=1NuIAhsIZ0WqfvolayMeLHnQUOdRrcvGG")</f>
        <v>https://drive.google.com/open?id=1NuIAhsIZ0WqfvolayMeLHnQUOdRrcvGG</v>
      </c>
      <c r="N73"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TRIM(CLEAN(TEXT($D73, ""@""))),
      IMPORTRANGE(""https://docs.google.com/spreadsheets/d/1SnQ_YxUmBUYKsKc82GyPP"&amp;"ovLO-EPrfZxsJ0V0UbhezI/edit?gid=590869320#gid=590869320"", ""Form responses 1!$AV:$AV"") = 4
    ),
    1
  ),
  ""Not Found""
)
"),"Not Found")</f>
        <v>Not Found</v>
      </c>
      <c r="O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1!$E:$E"")=$D73) *
        (IMPORTRANGE(""https://docs.google.com/spreadsheets/d/161aHT6vVT3SLneTKD19N5qVWtnj_jIT8CSsOmUVKmaA/"&amp;"edit?gid=1761053510"",
          ""Haris_Form responses 1!$AQ:$AQ"")=4)
      ),
      1
    ),
    ""0""
  ),
  ""Form not found""
)
"),"Form not found")</f>
        <v>Form not found</v>
      </c>
      <c r="P73" s="247" t="str">
        <f>IFERROR(__xludf.DUMMYFUNCTION("IFERROR(
  INDEX(
    FILTER(
      Transcription!$AJ:$AJ,
      TRIM(CLEAN(TEXT(Transcription!$F:$F, ""@""))) = TRIM(CLEAN(TEXT($D73, ""@""))),
      Transcription!$AO:$AO = 4
    ),
    1
  ),
  ""Not Found""
)
"),"Not Found")</f>
        <v>Not Found</v>
      </c>
      <c r="Q73"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TRIM(CLEAN(TEXT($D73, ""@""))),
      IMPORTRANGE(""https://docs.google.com/spreadsheets/d/1SnQ_YxUmBUYKsKc82GyPP"&amp;"ovLO-EPrfZxsJ0V0UbhezI/edit?gid=590869320#gid=590869320"", ""Form responses 1!$AV:$AV"") = 5
    ),
    1
  ),
  ""Not Found""
)
"),"Not Found")</f>
        <v>Not Found</v>
      </c>
      <c r="R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1!$E:$E"")=$D73) *
        (IMPORTRANGE(""https://docs.google.com/spreadsheets/d/161aHT6vVT3SLneTKD19N5qVWtnj_jIT8CSsOmUVKmaA/"&amp;"edit?gid=1761053510"",
          ""Haris_Form responses 1!$AQ:$AQ"")=5)
      ),
      1
    ),
    ""0""
  ),
  ""Form not found""
)
"),"Form not found")</f>
        <v>Form not found</v>
      </c>
      <c r="S73" s="247" t="str">
        <f>IFERROR(__xludf.DUMMYFUNCTION("IFERROR(
  INDEX(
    FILTER(
      Transcription!$AJ:$AJ,
      TRIM(CLEAN(TEXT(Transcription!$F:$F, ""@""))) = TRIM(CLEAN(TEXT($D73, ""@""))),
      Transcription!$AO:$AO = 5
    ),
    1
  ),
  ""Not Found""
)
"),"Not Found")</f>
        <v>Not Found</v>
      </c>
      <c r="T73"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TRIM(CLEAN(TEXT($D73, ""@""))),
      IMPORTRANGE(""https://docs.google.com/spreadsheets/d/1SnQ_YxUmBUYKsKc82GyPP"&amp;"ovLO-EPrfZxsJ0V0UbhezI/edit?gid=590869320#gid=590869320"", ""Form responses 1!$AV:$AV"") = 6
    ),
    1
  ),
  ""Not Found""
)
"),"Not Found")</f>
        <v>Not Found</v>
      </c>
      <c r="U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1!$E:$E"")=$D73) *
        (IMPORTRANGE(""https://docs.google.com/spreadsheets/d/161aHT6vVT3SLneTKD19N5qVWtnj_jIT8CSsOmUVKmaA/"&amp;"edit?gid=1761053510"",
          ""Haris_Form responses 1!$AQ:$AQ"")=6)
      ),
      1
    ),
    ""0""
  ),
  ""Form not found""
)
"),"Form not found")</f>
        <v>Form not found</v>
      </c>
      <c r="V73" s="247" t="str">
        <f>IFERROR(__xludf.DUMMYFUNCTION("IFERROR(
  INDEX(
    FILTER(
      Transcription!$AJ:$AJ,
      TRIM(CLEAN(TEXT(Transcription!$F:$F, ""@""))) = TRIM(CLEAN(TEXT($D73, ""@""))),
      Transcription!$AO:$AO = 6
    ),
    1
  ),
  ""Not Found""
)
"),"Not Found")</f>
        <v>Not Found</v>
      </c>
      <c r="Y73" s="8" t="s">
        <v>4523</v>
      </c>
      <c r="Z73" s="10">
        <f t="shared" si="1"/>
        <v>3</v>
      </c>
      <c r="AA73" s="10">
        <f t="shared" si="2"/>
        <v>0</v>
      </c>
    </row>
    <row r="74">
      <c r="A74" s="8" t="str">
        <f>VLOOKUP($D74,Sheet6!$B:$G,5,FALSE)</f>
        <v>Lahore</v>
      </c>
      <c r="B74" s="232" t="str">
        <f>VLOOKUP($D74,Sheet6!$B:$G,4,FALSE)</f>
        <v>Community Religious No Info Share</v>
      </c>
      <c r="C74" s="8">
        <v>4.0</v>
      </c>
      <c r="D74" s="8" t="s">
        <v>2899</v>
      </c>
      <c r="E7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TRIM(CLEAN(TEXT($D74, ""@""))),
      IMPORTRANGE(""https://docs.google.com/spreadsheets/d/1SnQ_YxUmBUYKsKc82GyPP"&amp;"ovLO-EPrfZxsJ0V0UbhezI/edit?gid=590869320#gid=590869320"", ""Form responses 1!$AV:$AV"") = 1
    ),
    1
  ),
  ""Not Found""
)
"),"https://drive.google.com/open?id=1NJFQJCAjwfx4Eev3SwzJSEUsVnLqw1bD, https://drive.google.com/open?id=18EO0xicOCKGsOY-dh2EPY-axRy2y2SNF, https://drive.google.com/open?id=1QSKJ-nwqwQ4w_bjb27STq5s5Aiu4g3GD")</f>
        <v>https://drive.google.com/open?id=1NJFQJCAjwfx4Eev3SwzJSEUsVnLqw1bD, https://drive.google.com/open?id=18EO0xicOCKGsOY-dh2EPY-axRy2y2SNF, https://drive.google.com/open?id=1QSKJ-nwqwQ4w_bjb27STq5s5Aiu4g3GD</v>
      </c>
      <c r="F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1!$E:$E"")=$D74) *
        (IMPORTRANGE(""https://docs.google.com/spreadsheets/d/161aHT6vVT3SLneTKD19N5qVWtnj_jIT8CSsOmUVKmaA/"&amp;"edit?gid=1761053510"",
          ""Haris_Form responses 1!$AQ:$AQ"")=1)
      ),
      1
    ),
    ""0""
  ),
  ""Form not found""
)
"),"1")</f>
        <v>1</v>
      </c>
      <c r="G74" s="245" t="str">
        <f>IFERROR(__xludf.DUMMYFUNCTION("IFERROR(
  INDEX(
    FILTER(
      Transcription!$AJ:$AJ,
      TRIM(CLEAN(TEXT(Transcription!$F:$F, ""@""))) = TRIM(CLEAN(TEXT($D74, ""@""))),
      Transcription!$AO:$AO = 1
    ),
    1
  ),
  ""Not Found""
)
"),"https://docs.google.com/document/d/1jD8H1_2zdW8irTwP441-R-LRM5d6shZV/edit?usp=drive_link&amp;ouid=117122465010506134151&amp;rtpof=true&amp;sd=true")</f>
        <v>https://docs.google.com/document/d/1jD8H1_2zdW8irTwP441-R-LRM5d6shZV/edit?usp=drive_link&amp;ouid=117122465010506134151&amp;rtpof=true&amp;sd=true</v>
      </c>
      <c r="H7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TRIM(CLEAN(TEXT($D74, ""@""))),
      IMPORTRANGE(""https://docs.google.com/spreadsheets/d/1SnQ_YxUmBUYKsKc82GyPP"&amp;"ovLO-EPrfZxsJ0V0UbhezI/edit?gid=590869320#gid=590869320"", ""Form responses 1!$AV:$AV"") = 2
    ),
    1
  ),
  ""Not Found""
)
"),"https://drive.google.com/open?id=1tR7gSvGJm8TrAdtQhlLVanXLAvo2oAI5")</f>
        <v>https://drive.google.com/open?id=1tR7gSvGJm8TrAdtQhlLVanXLAvo2oAI5</v>
      </c>
      <c r="I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1!$E:$E"")=$D74) *
        (IMPORTRANGE(""https://docs.google.com/spreadsheets/d/161aHT6vVT3SLneTKD19N5qVWtnj_jIT8CSsOmUVKmaA/"&amp;"edit?gid=1761053510"",
          ""Haris_Form responses 1!$AQ:$AQ"")=2)
      ),
      1
    ),
    ""0""
  ),
  ""Form not found""
)
"),"2")</f>
        <v>2</v>
      </c>
      <c r="J74" s="245" t="str">
        <f>IFERROR(__xludf.DUMMYFUNCTION("IFERROR(
  INDEX(
    FILTER(
      Transcription!$AJ:$AJ,
      TRIM(CLEAN(TEXT(Transcription!$F:$F, ""@""))) = TRIM(CLEAN(TEXT($D74, ""@""))),
      Transcription!$AO:$AO = 2
    ),
    1
  ),
  ""Not Found""
)
"),"https://docs.google.com/document/d/1VPYfcC_rCq8_go_lBR3RUVjPgYRlY8yW/edit?usp=drive_link&amp;ouid=117122465010506134151&amp;rtpof=true&amp;sd=true")</f>
        <v>https://docs.google.com/document/d/1VPYfcC_rCq8_go_lBR3RUVjPgYRlY8yW/edit?usp=drive_link&amp;ouid=117122465010506134151&amp;rtpof=true&amp;sd=true</v>
      </c>
      <c r="K7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TRIM(CLEAN(TEXT($D74, ""@""))),
      IMPORTRANGE(""https://docs.google.com/spreadsheets/d/1SnQ_YxUmBUYKsKc82GyPP"&amp;"ovLO-EPrfZxsJ0V0UbhezI/edit?gid=590869320#gid=590869320"", ""Form responses 1!$AV:$AV"") = 3
    ),
    1
  ),
  ""Not Found""
)
"),"https://drive.google.com/open?id=11ul7nJjb_aU8Pp3T2cVuKstX2_XAepFL")</f>
        <v>https://drive.google.com/open?id=11ul7nJjb_aU8Pp3T2cVuKstX2_XAepFL</v>
      </c>
      <c r="L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1!$E:$E"")=$D74) *
        (IMPORTRANGE(""https://docs.google.com/spreadsheets/d/161aHT6vVT3SLneTKD19N5qVWtnj_jIT8CSsOmUVKmaA/"&amp;"edit?gid=1761053510"",
          ""Haris_Form responses 1!$AQ:$AQ"")=3)
      ),
      1
    ),
    ""0""
  ),
  ""Form not found""
)
"),"3")</f>
        <v>3</v>
      </c>
      <c r="M74" s="245" t="str">
        <f>IFERROR(__xludf.DUMMYFUNCTION("IFERROR(
  INDEX(
    FILTER(
      Transcription!$AJ:$AJ,
      TRIM(CLEAN(TEXT(Transcription!$F:$F, ""@""))) = TRIM(CLEAN(TEXT($D74, ""@""))),
      Transcription!$AO:$AO = 3
    ),
    1
  ),
  ""Not Found""
)
"),"https://docs.google.com/document/d/1Kkt_3Z_n1wYIynWDhr-fTwY5zhCm53Lv/edit?usp=drive_link&amp;ouid=117122465010506134151&amp;rtpof=true&amp;sd=true")</f>
        <v>https://docs.google.com/document/d/1Kkt_3Z_n1wYIynWDhr-fTwY5zhCm53Lv/edit?usp=drive_link&amp;ouid=117122465010506134151&amp;rtpof=true&amp;sd=true</v>
      </c>
      <c r="N74" s="244"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TRIM(CLEAN(TEXT($D74, ""@""))),
      IMPORTRANGE(""https://docs.google.com/spreadsheets/d/1SnQ_YxUmBUYKsKc82GyPP"&amp;"ovLO-EPrfZxsJ0V0UbhezI/edit?gid=590869320#gid=590869320"", ""Form responses 1!$AV:$AV"") = 4
    ),
    1
  ),
  ""Not Found""
)
"),"https://drive.google.com/open?id=17A7HCgzE8sV-AAg892oI-PTDe5vTeVCx")</f>
        <v>https://drive.google.com/open?id=17A7HCgzE8sV-AAg892oI-PTDe5vTeVCx</v>
      </c>
      <c r="O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1!$E:$E"")=$D74) *
        (IMPORTRANGE(""https://docs.google.com/spreadsheets/d/161aHT6vVT3SLneTKD19N5qVWtnj_jIT8CSsOmUVKmaA/"&amp;"edit?gid=1761053510"",
          ""Haris_Form responses 1!$AQ:$AQ"")=4)
      ),
      1
    ),
    ""0""
  ),
  ""Form not found""
)
"),"4")</f>
        <v>4</v>
      </c>
      <c r="P74" s="245" t="str">
        <f>IFERROR(__xludf.DUMMYFUNCTION("IFERROR(
  INDEX(
    FILTER(
      Transcription!$AJ:$AJ,
      TRIM(CLEAN(TEXT(Transcription!$F:$F, ""@""))) = TRIM(CLEAN(TEXT($D74, ""@""))),
      Transcription!$AO:$AO = 4
    ),
    1
  ),
  ""Not Found""
)
"),"https://docs.google.com/document/d/13r8Zbf_8jk99BAE54mDQXbQm6bhDV5zJ/edit?usp=drive_web&amp;ouid=117122465010506134151&amp;rtpof=true")</f>
        <v>https://docs.google.com/document/d/13r8Zbf_8jk99BAE54mDQXbQm6bhDV5zJ/edit?usp=drive_web&amp;ouid=117122465010506134151&amp;rtpof=true</v>
      </c>
      <c r="Q74" s="246"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TRIM(CLEAN(TEXT($D74, ""@""))),
      IMPORTRANGE(""https://docs.google.com/spreadsheets/d/1SnQ_YxUmBUYKsKc82GyPP"&amp;"ovLO-EPrfZxsJ0V0UbhezI/edit?gid=590869320#gid=590869320"", ""Form responses 1!$AV:$AV"") = 5
    ),
    1
  ),
  ""Not Found""
)
"),"Not Found")</f>
        <v>Not Found</v>
      </c>
      <c r="R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1!$E:$E"")=$D74) *
        (IMPORTRANGE(""https://docs.google.com/spreadsheets/d/161aHT6vVT3SLneTKD19N5qVWtnj_jIT8CSsOmUVKmaA/"&amp;"edit?gid=1761053510"",
          ""Haris_Form responses 1!$AQ:$AQ"")=5)
      ),
      1
    ),
    ""0""
  ),
  ""Form not found""
)
"),"Form not found")</f>
        <v>Form not found</v>
      </c>
      <c r="S74" s="247" t="str">
        <f>IFERROR(__xludf.DUMMYFUNCTION("IFERROR(
  INDEX(
    FILTER(
      Transcription!$AJ:$AJ,
      TRIM(CLEAN(TEXT(Transcription!$F:$F, ""@""))) = TRIM(CLEAN(TEXT($D74, ""@""))),
      Transcription!$AO:$AO = 5
    ),
    1
  ),
  ""Not Found""
)
"),"Not Found")</f>
        <v>Not Found</v>
      </c>
      <c r="T74" s="248" t="str">
        <f>IFERROR(__xludf.DUMMYFUNCTION("IFERROR(
  INDEX(
    FILTER(
      IMPORTRANGE(""https://docs.google.com/spreadsheets/d/1SnQ_YxUmBUYKsKc82GyPPovLO-EPrfZxsJ0V0UbhezI/edit?gid=590869320#gid=590869320"", ""Form responses 1!$AC:$AC""),
      TRIM(CLEAN(TEXT(IMPORTRANGE(""https://docs.googl"&amp;"e.com/spreadsheets/d/1SnQ_YxUmBUYKsKc82GyPPovLO-EPrfZxsJ0V0UbhezI/edit?gid=590869320#gid=590869320"", ""Form responses 1!$E:$E""), ""@""))) = TRIM(CLEAN(TEXT($D74, ""@""))),
      IMPORTRANGE(""https://docs.google.com/spreadsheets/d/1SnQ_YxUmBUYKsKc82GyPP"&amp;"ovLO-EPrfZxsJ0V0UbhezI/edit?gid=590869320#gid=590869320"", ""Form responses 1!$AV:$AV"") = 6
    ),
    1
  ),
  ""Not Found""
)
"),"Not Found")</f>
        <v>Not Found</v>
      </c>
      <c r="U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1!$E:$E"")=$D74) *
        (IMPORTRANGE(""https://docs.google.com/spreadsheets/d/161aHT6vVT3SLneTKD19N5qVWtnj_jIT8CSsOmUVKmaA/"&amp;"edit?gid=1761053510"",
          ""Haris_Form responses 1!$AQ:$AQ"")=6)
      ),
      1
    ),
    ""0""
  ),
  ""Form not found""
)
"),"Form not found")</f>
        <v>Form not found</v>
      </c>
      <c r="V74" s="247" t="str">
        <f>IFERROR(__xludf.DUMMYFUNCTION("IFERROR(
  INDEX(
    FILTER(
      Transcription!$AJ:$AJ,
      TRIM(CLEAN(TEXT(Transcription!$F:$F, ""@""))) = TRIM(CLEAN(TEXT($D74, ""@""))),
      Transcription!$AO:$AO = 6
    ),
    1
  ),
  ""Not Found""
)
"),"Not Found")</f>
        <v>Not Found</v>
      </c>
      <c r="X74" s="8" t="s">
        <v>4547</v>
      </c>
      <c r="Y74" s="8" t="s">
        <v>4523</v>
      </c>
      <c r="Z74" s="10">
        <f t="shared" si="1"/>
        <v>4</v>
      </c>
      <c r="AA74" s="10">
        <f t="shared" si="2"/>
        <v>0</v>
      </c>
    </row>
    <row r="75">
      <c r="A75" s="8" t="str">
        <f>VLOOKUP($D75,Sheet6!$B:$G,5,FALSE)</f>
        <v>Gujrawala</v>
      </c>
      <c r="B75" s="232" t="str">
        <f>VLOOKUP($D75,Sheet6!$B:$G,4,FALSE)</f>
        <v>Control</v>
      </c>
      <c r="C75" s="8">
        <v>2.0</v>
      </c>
      <c r="D75" s="8" t="s">
        <v>2477</v>
      </c>
      <c r="E75" s="244" t="str">
        <f>IFERROR(__xludf.DUMMYFUNCTION("IFERROR(
  INDEX(
    FILTER(
      Recording!$U:$U,
      TRIM(CLEAN(TEXT(Recording!$E:$E, ""@""))) = TRIM(CLEAN(TEXT($D75, ""@""))),
      Recording!$AA:$AA = 1
    ),
    1
  ),
  ""Not Found""
)
"),"https://drive.google.com/file/d/18cu7kWW5VUznFdxR4Qv27ZL9h5AjID0W/view?usp=drive_link")</f>
        <v>https://drive.google.com/file/d/18cu7kWW5VUznFdxR4Qv27ZL9h5AjID0W/view?usp=drive_link</v>
      </c>
      <c r="F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1!$E:$E"")=$D75) *
        (IMPORTRANGE(""https://docs.google.com/spreadsheets/d/161aHT6vVT3SLneTKD19N5qVWtnj_jIT8CSsOmUVKmaA/"&amp;"edit?gid=1761053510"",
          ""Haris_Form responses 1!$AQ:$AQ"")=1)
      ),
      1
    ),
    ""0""
  ),
  ""Form not found""
)
"),"1")</f>
        <v>1</v>
      </c>
      <c r="G75" s="245" t="str">
        <f>IFERROR(__xludf.DUMMYFUNCTION("IFERROR(
  INDEX(
    FILTER(
      Transcription!$AJ:$AJ,
      TRIM(CLEAN(TEXT(Transcription!$F:$F, ""@""))) = TRIM(CLEAN(TEXT($D75, ""@""))),
      Transcription!$AO:$AO = 1
    ),
    1
  ),
  ""Not Found""
)
"),"https://drive.google.com/open?id=1rgoOJy7pVRaZ7J8VATxW0s5JKcxYaJ5n")</f>
        <v>https://drive.google.com/open?id=1rgoOJy7pVRaZ7J8VATxW0s5JKcxYaJ5n</v>
      </c>
      <c r="H75" s="246" t="str">
        <f>IFERROR(__xludf.DUMMYFUNCTION("IFERROR(
  INDEX(
    FILTER(
      Recording!$U:$U,
      TRIM(CLEAN(TEXT(Recording!$E:$E, ""@""))) = TRIM(CLEAN(TEXT($D75, ""@""))),
      Recording!$AA:$AA = 2
    ),
    1
  ),
  ""Not Found""
)
"),"Not Found")</f>
        <v>Not Found</v>
      </c>
      <c r="I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1!$E:$E"")=$D75) *
        (IMPORTRANGE(""https://docs.google.com/spreadsheets/d/161aHT6vVT3SLneTKD19N5qVWtnj_jIT8CSsOmUVKmaA/"&amp;"edit?gid=1761053510"",
          ""Haris_Form responses 1!$AQ:$AQ"")=2)
      ),
      1
    ),
    ""0""
  ),
  ""Form not found""
)
"),"Form not found")</f>
        <v>Form not found</v>
      </c>
      <c r="J75" s="247" t="str">
        <f>IFERROR(__xludf.DUMMYFUNCTION("IFERROR(
  INDEX(
    FILTER(
      Transcription!$AJ:$AJ,
      TRIM(CLEAN(TEXT(Transcription!$F:$F, ""@""))) = TRIM(CLEAN(TEXT($D75, ""@""))),
      Transcription!$AO:$AO = 2
    ),
    1
  ),
  ""Not Found""
)
"),"Not Found")</f>
        <v>Not Found</v>
      </c>
      <c r="K75" s="244" t="str">
        <f>IFERROR(__xludf.DUMMYFUNCTION("IFERROR(
  INDEX(
    FILTER(
      Recording!$U:$U,
      TRIM(CLEAN(TEXT(Recording!$E:$E, ""@""))) = TRIM(CLEAN(TEXT($D75, ""@""))),
      Recording!$AA:$AA = 3
    ),
    1
  ),
  ""Not Found""
)
"),"https://drive.google.com/open?id=1ahhQjHRgDocUArHUFqmZKZqDCIdxOGM8")</f>
        <v>https://drive.google.com/open?id=1ahhQjHRgDocUArHUFqmZKZqDCIdxOGM8</v>
      </c>
      <c r="L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1!$E:$E"")=$D75) *
        (IMPORTRANGE(""https://docs.google.com/spreadsheets/d/161aHT6vVT3SLneTKD19N5qVWtnj_jIT8CSsOmUVKmaA/"&amp;"edit?gid=1761053510"",
          ""Haris_Form responses 1!$AQ:$AQ"")=3)
      ),
      1
    ),
    ""0""
  ),
  ""Form not found""
)
"),"3")</f>
        <v>3</v>
      </c>
      <c r="M75" s="245" t="str">
        <f>IFERROR(__xludf.DUMMYFUNCTION("IFERROR(
  INDEX(
    FILTER(
      Transcription!$AJ:$AJ,
      TRIM(CLEAN(TEXT(Transcription!$F:$F, ""@""))) = TRIM(CLEAN(TEXT($D75, ""@""))),
      Transcription!$AO:$AO = 3
    ),
    1
  ),
  ""Not Found""
)
"),"https://drive.google.com/open?id=16RvifwsyBaREwZ-XljjMDCWFv52SKKDE")</f>
        <v>https://drive.google.com/open?id=16RvifwsyBaREwZ-XljjMDCWFv52SKKDE</v>
      </c>
      <c r="N75" s="246" t="str">
        <f>IFERROR(__xludf.DUMMYFUNCTION("IFERROR(
  INDEX(
    FILTER(
      Recording!$U:$U,
      TRIM(CLEAN(TEXT(Recording!$E:$E, ""@""))) = TRIM(CLEAN(TEXT($D75, ""@""))),
      Recording!$AA:$AA = 4
    ),
    1
  ),
  ""Not Found""
)
"),"Not Found")</f>
        <v>Not Found</v>
      </c>
      <c r="O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1!$E:$E"")=$D75) *
        (IMPORTRANGE(""https://docs.google.com/spreadsheets/d/161aHT6vVT3SLneTKD19N5qVWtnj_jIT8CSsOmUVKmaA/"&amp;"edit?gid=1761053510"",
          ""Haris_Form responses 1!$AQ:$AQ"")=4)
      ),
      1
    ),
    ""0""
  ),
  ""Form not found""
)
"),"Form not found")</f>
        <v>Form not found</v>
      </c>
      <c r="P75" s="247" t="str">
        <f>IFERROR(__xludf.DUMMYFUNCTION("IFERROR(
  INDEX(
    FILTER(
      Transcription!$AJ:$AJ,
      TRIM(CLEAN(TEXT(Transcription!$F:$F, ""@""))) = TRIM(CLEAN(TEXT($D75, ""@""))),
      Transcription!$AO:$AO = 4
    ),
    1
  ),
  ""Not Found""
)
"),"Not Found")</f>
        <v>Not Found</v>
      </c>
      <c r="Q75" s="246" t="str">
        <f>IFERROR(__xludf.DUMMYFUNCTION("IFERROR(
  INDEX(
    FILTER(
      Recording!$U:$U,
      TRIM(CLEAN(TEXT(Recording!$E:$E, ""@""))) = TRIM(CLEAN(TEXT($D75, ""@""))),
      Recording!$AA:$AA = 5
    ),
    1
  ),
  ""Not Found""
)
"),"Not Found")</f>
        <v>Not Found</v>
      </c>
      <c r="R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1!$E:$E"")=$D75) *
        (IMPORTRANGE(""https://docs.google.com/spreadsheets/d/161aHT6vVT3SLneTKD19N5qVWtnj_jIT8CSsOmUVKmaA/"&amp;"edit?gid=1761053510"",
          ""Haris_Form responses 1!$AQ:$AQ"")=5)
      ),
      1
    ),
    ""0""
  ),
  ""Form not found""
)
"),"Form not found")</f>
        <v>Form not found</v>
      </c>
      <c r="S75" s="247" t="str">
        <f>IFERROR(__xludf.DUMMYFUNCTION("IFERROR(
  INDEX(
    FILTER(
      Transcription!$AJ:$AJ,
      TRIM(CLEAN(TEXT(Transcription!$F:$F, ""@""))) = TRIM(CLEAN(TEXT($D75, ""@""))),
      Transcription!$AO:$AO = 5
    ),
    1
  ),
  ""Not Found""
)
"),"Not Found")</f>
        <v>Not Found</v>
      </c>
      <c r="T75" s="246" t="str">
        <f>IFERROR(__xludf.DUMMYFUNCTION("IFERROR(
  INDEX(
    FILTER(
      Recording!$U:$U,
      TRIM(CLEAN(TEXT(Recording!$E:$E, ""@""))) = TRIM(CLEAN(TEXT($D75, ""@""))),
      Recording!$AA:$AA = 6
    ),
    1
  ),
  ""Not Found""
)
"),"Not Found")</f>
        <v>Not Found</v>
      </c>
      <c r="U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1!$E:$E"")=$D75) *
        (IMPORTRANGE(""https://docs.google.com/spreadsheets/d/161aHT6vVT3SLneTKD19N5qVWtnj_jIT8CSsOmUVKmaA/"&amp;"edit?gid=1761053510"",
          ""Haris_Form responses 1!$AQ:$AQ"")=6)
      ),
      1
    ),
    ""0""
  ),
  ""Form not found""
)
"),"Form not found")</f>
        <v>Form not found</v>
      </c>
      <c r="V75" s="247" t="str">
        <f>IFERROR(__xludf.DUMMYFUNCTION("IFERROR(
  INDEX(
    FILTER(
      Transcription!$AJ:$AJ,
      TRIM(CLEAN(TEXT(Transcription!$F:$F, ""@""))) = TRIM(CLEAN(TEXT($D75, ""@""))),
      Transcription!$AO:$AO = 6
    ),
    1
  ),
  ""Not Found""
)
"),"Not Found")</f>
        <v>Not Found</v>
      </c>
      <c r="X75" s="8">
        <v>0.0</v>
      </c>
      <c r="Z75" s="10">
        <f t="shared" si="1"/>
        <v>2</v>
      </c>
      <c r="AA75" s="10">
        <f t="shared" si="2"/>
        <v>0</v>
      </c>
    </row>
    <row r="76">
      <c r="A76" s="8" t="str">
        <f>VLOOKUP($D76,Sheet6!$B:$G,5,FALSE)</f>
        <v>Gujrawala</v>
      </c>
      <c r="B76" s="232" t="str">
        <f>VLOOKUP($D76,Sheet6!$B:$G,4,FALSE)</f>
        <v>Women Secular No Info Share</v>
      </c>
      <c r="C76" s="8">
        <v>3.0</v>
      </c>
      <c r="D76" s="8" t="s">
        <v>2471</v>
      </c>
      <c r="E76" s="244" t="str">
        <f>IFERROR(__xludf.DUMMYFUNCTION("IFERROR(
  INDEX(
    FILTER(
      Recording!$U:$U,
      TRIM(CLEAN(TEXT(Recording!$E:$E, ""@""))) = TRIM(CLEAN(TEXT($D76, ""@""))),
      Recording!$AA:$AA = 1
    ),
    1
  ),
  ""Not Found""
)
"),"https://drive.google.com/open?id=1VP_QFVms_N05ghyz_5h2tlDtiJgfLdWU")</f>
        <v>https://drive.google.com/open?id=1VP_QFVms_N05ghyz_5h2tlDtiJgfLdWU</v>
      </c>
      <c r="F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1!$E:$E"")=$D76) *
        (IMPORTRANGE(""https://docs.google.com/spreadsheets/d/161aHT6vVT3SLneTKD19N5qVWtnj_jIT8CSsOmUVKmaA/"&amp;"edit?gid=1761053510"",
          ""Haris_Form responses 1!$AQ:$AQ"")=1)
      ),
      1
    ),
    ""0""
  ),
  ""Form not found""
)
"),"1")</f>
        <v>1</v>
      </c>
      <c r="G76" s="245" t="str">
        <f>IFERROR(__xludf.DUMMYFUNCTION("IFERROR(
  INDEX(
    FILTER(
      Transcription!$AJ:$AJ,
      TRIM(CLEAN(TEXT(Transcription!$F:$F, ""@""))) = TRIM(CLEAN(TEXT($D76, ""@""))),
      Transcription!$AO:$AO = 1
    ),
    1
  ),
  ""Not Found""
)
"),"https://drive.google.com/open?id=1mU-CITH0w9PJuUSshQvwtV0iKCN1XyO6")</f>
        <v>https://drive.google.com/open?id=1mU-CITH0w9PJuUSshQvwtV0iKCN1XyO6</v>
      </c>
      <c r="H76" s="244" t="str">
        <f>IFERROR(__xludf.DUMMYFUNCTION("IFERROR(
  INDEX(
    FILTER(
      Recording!$U:$U,
      TRIM(CLEAN(TEXT(Recording!$E:$E, ""@""))) = TRIM(CLEAN(TEXT($D76, ""@""))),
      Recording!$AA:$AA = 2
    ),
    1
  ),
  ""Not Found""
)
"),"https://drive.google.com/open?id=1B4Lq_61jZ_c93N0vxrOaHaWzJlXymyjh")</f>
        <v>https://drive.google.com/open?id=1B4Lq_61jZ_c93N0vxrOaHaWzJlXymyjh</v>
      </c>
      <c r="I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1!$E:$E"")=$D76) *
        (IMPORTRANGE(""https://docs.google.com/spreadsheets/d/161aHT6vVT3SLneTKD19N5qVWtnj_jIT8CSsOmUVKmaA/"&amp;"edit?gid=1761053510"",
          ""Haris_Form responses 1!$AQ:$AQ"")=2)
      ),
      1
    ),
    ""0""
  ),
  ""Form not found""
)
"),"2")</f>
        <v>2</v>
      </c>
      <c r="J76" s="245" t="str">
        <f>IFERROR(__xludf.DUMMYFUNCTION("IFERROR(
  INDEX(
    FILTER(
      Transcription!$AJ:$AJ,
      TRIM(CLEAN(TEXT(Transcription!$F:$F, ""@""))) = TRIM(CLEAN(TEXT($D76, ""@""))),
      Transcription!$AO:$AO = 2
    ),
    1
  ),
  ""Not Found""
)
"),"https://drive.google.com/open?id=1qvi6PrTkq7wIGdFkd4sMIPQGgoOiXD56")</f>
        <v>https://drive.google.com/open?id=1qvi6PrTkq7wIGdFkd4sMIPQGgoOiXD56</v>
      </c>
      <c r="K76" s="246" t="str">
        <f>IFERROR(__xludf.DUMMYFUNCTION("IFERROR(
  INDEX(
    FILTER(
      Recording!$U:$U,
      TRIM(CLEAN(TEXT(Recording!$E:$E, ""@""))) = TRIM(CLEAN(TEXT($D76, ""@""))),
      Recording!$AA:$AA = 3
    ),
    1
  ),
  ""Not Found""
)
"),"https://drive.google.com/open?id=1K510sP4C9TZ8ZXT6MH25qs7n3V_j_VNr, https://drive.google.com/open?id=1gHNQMAQWI5OHXtQpuBmvrCBzAMZocYr_")</f>
        <v>https://drive.google.com/open?id=1K510sP4C9TZ8ZXT6MH25qs7n3V_j_VNr, https://drive.google.com/open?id=1gHNQMAQWI5OHXtQpuBmvrCBzAMZocYr_</v>
      </c>
      <c r="L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1!$E:$E"")=$D76) *
        (IMPORTRANGE(""https://docs.google.com/spreadsheets/d/161aHT6vVT3SLneTKD19N5qVWtnj_jIT8CSsOmUVKmaA/"&amp;"edit?gid=1761053510"",
          ""Haris_Form responses 1!$AQ:$AQ"")=3)
      ),
      1
    ),
    ""0""
  ),
  ""Form not found""
)
"),"3")</f>
        <v>3</v>
      </c>
      <c r="M76" s="245" t="str">
        <f>IFERROR(__xludf.DUMMYFUNCTION("IFERROR(
  INDEX(
    FILTER(
      Transcription!$AJ:$AJ,
      TRIM(CLEAN(TEXT(Transcription!$F:$F, ""@""))) = TRIM(CLEAN(TEXT($D76, ""@""))),
      Transcription!$AO:$AO = 3
    ),
    1
  ),
  ""Not Found""
)
"),"https://drive.google.com/open?id=1VKOzcljp7Z6lrHA2Pm6z_RJ4OsulYAmz")</f>
        <v>https://drive.google.com/open?id=1VKOzcljp7Z6lrHA2Pm6z_RJ4OsulYAmz</v>
      </c>
      <c r="N76" s="246" t="str">
        <f>IFERROR(__xludf.DUMMYFUNCTION("IFERROR(
  INDEX(
    FILTER(
      Recording!$U:$U,
      TRIM(CLEAN(TEXT(Recording!$E:$E, ""@""))) = TRIM(CLEAN(TEXT($D76, ""@""))),
      Recording!$AA:$AA = 4
    ),
    1
  ),
  ""Not Found""
)
"),"Not Found")</f>
        <v>Not Found</v>
      </c>
      <c r="O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1!$E:$E"")=$D76) *
        (IMPORTRANGE(""https://docs.google.com/spreadsheets/d/161aHT6vVT3SLneTKD19N5qVWtnj_jIT8CSsOmUVKmaA/"&amp;"edit?gid=1761053510"",
          ""Haris_Form responses 1!$AQ:$AQ"")=4)
      ),
      1
    ),
    ""0""
  ),
  ""Form not found""
)
"),"Form not found")</f>
        <v>Form not found</v>
      </c>
      <c r="P76" s="247" t="str">
        <f>IFERROR(__xludf.DUMMYFUNCTION("IFERROR(
  INDEX(
    FILTER(
      Transcription!$AJ:$AJ,
      TRIM(CLEAN(TEXT(Transcription!$F:$F, ""@""))) = TRIM(CLEAN(TEXT($D76, ""@""))),
      Transcription!$AO:$AO = 4
    ),
    1
  ),
  ""Not Found""
)
"),"Not Found")</f>
        <v>Not Found</v>
      </c>
      <c r="Q76" s="246" t="str">
        <f>IFERROR(__xludf.DUMMYFUNCTION("IFERROR(
  INDEX(
    FILTER(
      Recording!$U:$U,
      TRIM(CLEAN(TEXT(Recording!$E:$E, ""@""))) = TRIM(CLEAN(TEXT($D76, ""@""))),
      Recording!$AA:$AA = 5
    ),
    1
  ),
  ""Not Found""
)
"),"Not Found")</f>
        <v>Not Found</v>
      </c>
      <c r="R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1!$E:$E"")=$D76) *
        (IMPORTRANGE(""https://docs.google.com/spreadsheets/d/161aHT6vVT3SLneTKD19N5qVWtnj_jIT8CSsOmUVKmaA/"&amp;"edit?gid=1761053510"",
          ""Haris_Form responses 1!$AQ:$AQ"")=5)
      ),
      1
    ),
    ""0""
  ),
  ""Form not found""
)
"),"Form not found")</f>
        <v>Form not found</v>
      </c>
      <c r="S76" s="247" t="str">
        <f>IFERROR(__xludf.DUMMYFUNCTION("IFERROR(
  INDEX(
    FILTER(
      Transcription!$AJ:$AJ,
      TRIM(CLEAN(TEXT(Transcription!$F:$F, ""@""))) = TRIM(CLEAN(TEXT($D76, ""@""))),
      Transcription!$AO:$AO = 5
    ),
    1
  ),
  ""Not Found""
)
"),"Not Found")</f>
        <v>Not Found</v>
      </c>
      <c r="T76" s="248" t="str">
        <f>IFERROR(__xludf.DUMMYFUNCTION("IFERROR(
  INDEX(
    FILTER(
      Recording!$U:$U,
      TRIM(CLEAN(TEXT(Recording!$E:$E, ""@""))) = TRIM(CLEAN(TEXT($D76, ""@""))),
      Recording!$AA:$AA = 6
    ),
    1
  ),
  ""Not Found""
)
"),"Not Found")</f>
        <v>Not Found</v>
      </c>
      <c r="U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1!$E:$E"")=$D76) *
        (IMPORTRANGE(""https://docs.google.com/spreadsheets/d/161aHT6vVT3SLneTKD19N5qVWtnj_jIT8CSsOmUVKmaA/"&amp;"edit?gid=1761053510"",
          ""Haris_Form responses 1!$AQ:$AQ"")=6)
      ),
      1
    ),
    ""0""
  ),
  ""Form not found""
)
"),"Form not found")</f>
        <v>Form not found</v>
      </c>
      <c r="V76" s="247" t="str">
        <f>IFERROR(__xludf.DUMMYFUNCTION("IFERROR(
  INDEX(
    FILTER(
      Transcription!$AJ:$AJ,
      TRIM(CLEAN(TEXT(Transcription!$F:$F, ""@""))) = TRIM(CLEAN(TEXT($D76, ""@""))),
      Transcription!$AO:$AO = 6
    ),
    1
  ),
  ""Not Found""
)
"),"Not Found")</f>
        <v>Not Found</v>
      </c>
      <c r="Z76" s="10">
        <f t="shared" si="1"/>
        <v>3</v>
      </c>
      <c r="AA76" s="10">
        <f t="shared" si="2"/>
        <v>0</v>
      </c>
    </row>
    <row r="77">
      <c r="A77" s="8" t="str">
        <f>VLOOKUP($D77,Sheet6!$B:$G,5,FALSE)</f>
        <v>Gujrawala</v>
      </c>
      <c r="B77" s="232" t="str">
        <f>VLOOKUP($D77,Sheet6!$B:$G,4,FALSE)</f>
        <v>Women Secular Info Share</v>
      </c>
      <c r="C77" s="8">
        <v>3.0</v>
      </c>
      <c r="D77" s="8" t="s">
        <v>2154</v>
      </c>
      <c r="E77" s="244" t="str">
        <f>IFERROR(__xludf.DUMMYFUNCTION("IFERROR(
  INDEX(
    FILTER(
      Recording!$U:$U,
      TRIM(CLEAN(TEXT(Recording!$E:$E, ""@""))) = TRIM(CLEAN(TEXT($D77, ""@""))),
      Recording!$AA:$AA = 1
    ),
    1
  ),
  ""Not Found""
)
"),"https://drive.google.com/open?id=1Aq6bQybetF-Ds6Rj9_EoaZkt3L0hhoBz")</f>
        <v>https://drive.google.com/open?id=1Aq6bQybetF-Ds6Rj9_EoaZkt3L0hhoBz</v>
      </c>
      <c r="F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1!$E:$E"")=$D77) *
        (IMPORTRANGE(""https://docs.google.com/spreadsheets/d/161aHT6vVT3SLneTKD19N5qVWtnj_jIT8CSsOmUVKmaA/"&amp;"edit?gid=1761053510"",
          ""Haris_Form responses 1!$AQ:$AQ"")=1)
      ),
      1
    ),
    ""0""
  ),
  ""Form not found""
)
"),"1")</f>
        <v>1</v>
      </c>
      <c r="G77" s="245" t="str">
        <f>IFERROR(__xludf.DUMMYFUNCTION("IFERROR(
  INDEX(
    FILTER(
      Transcription!$AJ:$AJ,
      TRIM(CLEAN(TEXT(Transcription!$F:$F, ""@""))) = TRIM(CLEAN(TEXT($D77, ""@""))),
      Transcription!$AO:$AO = 1
    ),
    1
  ),
  ""Not Found""
)
"),"https://drive.google.com/open?id=1KMURoEIE8d22kC1ckgPB3X97DQn2DaSy")</f>
        <v>https://drive.google.com/open?id=1KMURoEIE8d22kC1ckgPB3X97DQn2DaSy</v>
      </c>
      <c r="H77" s="244" t="str">
        <f>IFERROR(__xludf.DUMMYFUNCTION("IFERROR(
  INDEX(
    FILTER(
      Recording!$U:$U,
      TRIM(CLEAN(TEXT(Recording!$E:$E, ""@""))) = TRIM(CLEAN(TEXT($D77, ""@""))),
      Recording!$AA:$AA = 2
    ),
    1
  ),
  ""Not Found""
)
"),"https://drive.google.com/open?id=1yPVeMI2kifj5qc4NNKsT8k-fj5jS4Kcm")</f>
        <v>https://drive.google.com/open?id=1yPVeMI2kifj5qc4NNKsT8k-fj5jS4Kcm</v>
      </c>
      <c r="I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1!$E:$E"")=$D77) *
        (IMPORTRANGE(""https://docs.google.com/spreadsheets/d/161aHT6vVT3SLneTKD19N5qVWtnj_jIT8CSsOmUVKmaA/"&amp;"edit?gid=1761053510"",
          ""Haris_Form responses 1!$AQ:$AQ"")=2)
      ),
      1
    ),
    ""0""
  ),
  ""Form not found""
)
"),"2")</f>
        <v>2</v>
      </c>
      <c r="J77" s="245" t="str">
        <f>IFERROR(__xludf.DUMMYFUNCTION("IFERROR(
  INDEX(
    FILTER(
      Transcription!$AJ:$AJ,
      TRIM(CLEAN(TEXT(Transcription!$F:$F, ""@""))) = TRIM(CLEAN(TEXT($D77, ""@""))),
      Transcription!$AO:$AO = 2
    ),
    1
  ),
  ""Not Found""
)
"),"https://drive.google.com/open?id=17UoJQqE-WXl5MMwx59zyBeUAWylewC6R")</f>
        <v>https://drive.google.com/open?id=17UoJQqE-WXl5MMwx59zyBeUAWylewC6R</v>
      </c>
      <c r="K77" s="244" t="str">
        <f>IFERROR(__xludf.DUMMYFUNCTION("IFERROR(
  INDEX(
    FILTER(
      Recording!$U:$U,
      TRIM(CLEAN(TEXT(Recording!$E:$E, ""@""))) = TRIM(CLEAN(TEXT($D77, ""@""))),
      Recording!$AA:$AA = 3
    ),
    1
  ),
  ""Not Found""
)
"),"https://drive.google.com/open?id=1XAYBv4JERF96P_u_f_GGQLspUquiQbGH")</f>
        <v>https://drive.google.com/open?id=1XAYBv4JERF96P_u_f_GGQLspUquiQbGH</v>
      </c>
      <c r="L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1!$E:$E"")=$D77) *
        (IMPORTRANGE(""https://docs.google.com/spreadsheets/d/161aHT6vVT3SLneTKD19N5qVWtnj_jIT8CSsOmUVKmaA/"&amp;"edit?gid=1761053510"",
          ""Haris_Form responses 1!$AQ:$AQ"")=3)
      ),
      1
    ),
    ""0""
  ),
  ""Form not found""
)
"),"3")</f>
        <v>3</v>
      </c>
      <c r="M77" s="245" t="str">
        <f>IFERROR(__xludf.DUMMYFUNCTION("IFERROR(
  INDEX(
    FILTER(
      Transcription!$AJ:$AJ,
      TRIM(CLEAN(TEXT(Transcription!$F:$F, ""@""))) = TRIM(CLEAN(TEXT($D77, ""@""))),
      Transcription!$AO:$AO = 3
    ),
    1
  ),
  ""Not Found""
)
"),"https://drive.google.com/open?id=1oulwJYSCZwFOlwirE9MDGWVffxhj3Typ")</f>
        <v>https://drive.google.com/open?id=1oulwJYSCZwFOlwirE9MDGWVffxhj3Typ</v>
      </c>
      <c r="N77" s="246" t="str">
        <f>IFERROR(__xludf.DUMMYFUNCTION("IFERROR(
  INDEX(
    FILTER(
      Recording!$U:$U,
      TRIM(CLEAN(TEXT(Recording!$E:$E, ""@""))) = TRIM(CLEAN(TEXT($D77, ""@""))),
      Recording!$AA:$AA = 4
    ),
    1
  ),
  ""Not Found""
)
"),"Not Found")</f>
        <v>Not Found</v>
      </c>
      <c r="O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1!$E:$E"")=$D77) *
        (IMPORTRANGE(""https://docs.google.com/spreadsheets/d/161aHT6vVT3SLneTKD19N5qVWtnj_jIT8CSsOmUVKmaA/"&amp;"edit?gid=1761053510"",
          ""Haris_Form responses 1!$AQ:$AQ"")=4)
      ),
      1
    ),
    ""0""
  ),
  ""Form not found""
)
"),"Form not found")</f>
        <v>Form not found</v>
      </c>
      <c r="P77" s="247" t="str">
        <f>IFERROR(__xludf.DUMMYFUNCTION("IFERROR(
  INDEX(
    FILTER(
      Transcription!$AJ:$AJ,
      TRIM(CLEAN(TEXT(Transcription!$F:$F, ""@""))) = TRIM(CLEAN(TEXT($D77, ""@""))),
      Transcription!$AO:$AO = 4
    ),
    1
  ),
  ""Not Found""
)
"),"Not Found")</f>
        <v>Not Found</v>
      </c>
      <c r="Q77" s="246" t="str">
        <f>IFERROR(__xludf.DUMMYFUNCTION("IFERROR(
  INDEX(
    FILTER(
      Recording!$U:$U,
      TRIM(CLEAN(TEXT(Recording!$E:$E, ""@""))) = TRIM(CLEAN(TEXT($D77, ""@""))),
      Recording!$AA:$AA = 5
    ),
    1
  ),
  ""Not Found""
)
"),"Not Found")</f>
        <v>Not Found</v>
      </c>
      <c r="R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1!$E:$E"")=$D77) *
        (IMPORTRANGE(""https://docs.google.com/spreadsheets/d/161aHT6vVT3SLneTKD19N5qVWtnj_jIT8CSsOmUVKmaA/"&amp;"edit?gid=1761053510"",
          ""Haris_Form responses 1!$AQ:$AQ"")=5)
      ),
      1
    ),
    ""0""
  ),
  ""Form not found""
)
"),"Form not found")</f>
        <v>Form not found</v>
      </c>
      <c r="S77" s="247" t="str">
        <f>IFERROR(__xludf.DUMMYFUNCTION("IFERROR(
  INDEX(
    FILTER(
      Transcription!$AJ:$AJ,
      TRIM(CLEAN(TEXT(Transcription!$F:$F, ""@""))) = TRIM(CLEAN(TEXT($D77, ""@""))),
      Transcription!$AO:$AO = 5
    ),
    1
  ),
  ""Not Found""
)
"),"Not Found")</f>
        <v>Not Found</v>
      </c>
      <c r="T77" s="248" t="str">
        <f>IFERROR(__xludf.DUMMYFUNCTION("IFERROR(
  INDEX(
    FILTER(
      Recording!$U:$U,
      TRIM(CLEAN(TEXT(Recording!$E:$E, ""@""))) = TRIM(CLEAN(TEXT($D77, ""@""))),
      Recording!$AA:$AA = 6
    ),
    1
  ),
  ""Not Found""
)
"),"Not Found")</f>
        <v>Not Found</v>
      </c>
      <c r="U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1!$E:$E"")=$D77) *
        (IMPORTRANGE(""https://docs.google.com/spreadsheets/d/161aHT6vVT3SLneTKD19N5qVWtnj_jIT8CSsOmUVKmaA/"&amp;"edit?gid=1761053510"",
          ""Haris_Form responses 1!$AQ:$AQ"")=6)
      ),
      1
    ),
    ""0""
  ),
  ""Form not found""
)
"),"Form not found")</f>
        <v>Form not found</v>
      </c>
      <c r="V77" s="247" t="str">
        <f>IFERROR(__xludf.DUMMYFUNCTION("IFERROR(
  INDEX(
    FILTER(
      Transcription!$AJ:$AJ,
      TRIM(CLEAN(TEXT(Transcription!$F:$F, ""@""))) = TRIM(CLEAN(TEXT($D77, ""@""))),
      Transcription!$AO:$AO = 6
    ),
    1
  ),
  ""Not Found""
)
"),"Not Found")</f>
        <v>Not Found</v>
      </c>
      <c r="X77" s="8" t="s">
        <v>4548</v>
      </c>
      <c r="Z77" s="10">
        <f t="shared" si="1"/>
        <v>3</v>
      </c>
      <c r="AA77" s="10">
        <f t="shared" si="2"/>
        <v>0</v>
      </c>
    </row>
    <row r="78">
      <c r="A78" s="8" t="str">
        <f>VLOOKUP($D78,Sheet6!$B:$G,5,FALSE)</f>
        <v>Gujrawala</v>
      </c>
      <c r="B78" s="232" t="str">
        <f>VLOOKUP($D78,Sheet6!$B:$G,4,FALSE)</f>
        <v>Control</v>
      </c>
      <c r="C78" s="8">
        <v>2.0</v>
      </c>
      <c r="D78" s="8" t="s">
        <v>2100</v>
      </c>
      <c r="E78" s="244" t="str">
        <f>IFERROR(__xludf.DUMMYFUNCTION("IFERROR(
  INDEX(
    FILTER(
      Recording!$U:$U,
      TRIM(CLEAN(TEXT(Recording!$E:$E, ""@""))) = TRIM(CLEAN(TEXT($D78, ""@""))),
      Recording!$AA:$AA = 1
    ),
    1
  ),
  ""Not Found""
)
"),"https://drive.google.com/open?id=1C1BzaOZeUWg6rrKdwl4AGrWsW9JonCi5")</f>
        <v>https://drive.google.com/open?id=1C1BzaOZeUWg6rrKdwl4AGrWsW9JonCi5</v>
      </c>
      <c r="F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1!$E:$E"")=$D78) *
        (IMPORTRANGE(""https://docs.google.com/spreadsheets/d/161aHT6vVT3SLneTKD19N5qVWtnj_jIT8CSsOmUVKmaA/"&amp;"edit?gid=1761053510"",
          ""Haris_Form responses 1!$AQ:$AQ"")=1)
      ),
      1
    ),
    ""0""
  ),
  ""Form not found""
)
"),"1")</f>
        <v>1</v>
      </c>
      <c r="G78" s="245" t="str">
        <f>IFERROR(__xludf.DUMMYFUNCTION("IFERROR(
  INDEX(
    FILTER(
      Transcription!$AJ:$AJ,
      TRIM(CLEAN(TEXT(Transcription!$F:$F, ""@""))) = TRIM(CLEAN(TEXT($D78, ""@""))),
      Transcription!$AO:$AO = 1
    ),
    1
  ),
  ""Not Found""
)
"),"https://drive.google.com/open?id=1_hCqfc5IB5RnFKHsITUz8r6iw-u9tDon")</f>
        <v>https://drive.google.com/open?id=1_hCqfc5IB5RnFKHsITUz8r6iw-u9tDon</v>
      </c>
      <c r="H78" s="246" t="str">
        <f>IFERROR(__xludf.DUMMYFUNCTION("IFERROR(
  INDEX(
    FILTER(
      Recording!$U:$U,
      TRIM(CLEAN(TEXT(Recording!$E:$E, ""@""))) = TRIM(CLEAN(TEXT($D78, ""@""))),
      Recording!$AA:$AA = 2
    ),
    1
  ),
  ""Not Found""
)
"),"Not Found")</f>
        <v>Not Found</v>
      </c>
      <c r="I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1!$E:$E"")=$D78) *
        (IMPORTRANGE(""https://docs.google.com/spreadsheets/d/161aHT6vVT3SLneTKD19N5qVWtnj_jIT8CSsOmUVKmaA/"&amp;"edit?gid=1761053510"",
          ""Haris_Form responses 1!$AQ:$AQ"")=2)
      ),
      1
    ),
    ""0""
  ),
  ""Form not found""
)
"),"Form not found")</f>
        <v>Form not found</v>
      </c>
      <c r="J78" s="247" t="str">
        <f>IFERROR(__xludf.DUMMYFUNCTION("IFERROR(
  INDEX(
    FILTER(
      Transcription!$AJ:$AJ,
      TRIM(CLEAN(TEXT(Transcription!$F:$F, ""@""))) = TRIM(CLEAN(TEXT($D78, ""@""))),
      Transcription!$AO:$AO = 2
    ),
    1
  ),
  ""Not Found""
)
"),"Not Found")</f>
        <v>Not Found</v>
      </c>
      <c r="K78" s="244" t="str">
        <f>IFERROR(__xludf.DUMMYFUNCTION("IFERROR(
  INDEX(
    FILTER(
      Recording!$U:$U,
      TRIM(CLEAN(TEXT(Recording!$E:$E, ""@""))) = TRIM(CLEAN(TEXT($D78, ""@""))),
      Recording!$AA:$AA = 3
    ),
    1
  ),
  ""Not Found""
)
"),"https://drive.google.com/open?id=1LvN7HmVwDvTuNOPBUNyFjKubq94HTSHZ")</f>
        <v>https://drive.google.com/open?id=1LvN7HmVwDvTuNOPBUNyFjKubq94HTSHZ</v>
      </c>
      <c r="L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1!$E:$E"")=$D78) *
        (IMPORTRANGE(""https://docs.google.com/spreadsheets/d/161aHT6vVT3SLneTKD19N5qVWtnj_jIT8CSsOmUVKmaA/"&amp;"edit?gid=1761053510"",
          ""Haris_Form responses 1!$AQ:$AQ"")=3)
      ),
      1
    ),
    ""0""
  ),
  ""Form not found""
)
"),"3")</f>
        <v>3</v>
      </c>
      <c r="M78" s="245" t="str">
        <f>IFERROR(__xludf.DUMMYFUNCTION("IFERROR(
  INDEX(
    FILTER(
      Transcription!$AJ:$AJ,
      TRIM(CLEAN(TEXT(Transcription!$F:$F, ""@""))) = TRIM(CLEAN(TEXT($D78, ""@""))),
      Transcription!$AO:$AO = 3
    ),
    1
  ),
  ""Not Found""
)
"),"https://drive.google.com/open?id=1gPqSUuwAqWWLYKPk5p8k4yGfy_2yaZ2M")</f>
        <v>https://drive.google.com/open?id=1gPqSUuwAqWWLYKPk5p8k4yGfy_2yaZ2M</v>
      </c>
      <c r="N78" s="246" t="str">
        <f>IFERROR(__xludf.DUMMYFUNCTION("IFERROR(
  INDEX(
    FILTER(
      Recording!$U:$U,
      TRIM(CLEAN(TEXT(Recording!$E:$E, ""@""))) = TRIM(CLEAN(TEXT($D78, ""@""))),
      Recording!$AA:$AA = 4
    ),
    1
  ),
  ""Not Found""
)
"),"Not Found")</f>
        <v>Not Found</v>
      </c>
      <c r="O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1!$E:$E"")=$D78) *
        (IMPORTRANGE(""https://docs.google.com/spreadsheets/d/161aHT6vVT3SLneTKD19N5qVWtnj_jIT8CSsOmUVKmaA/"&amp;"edit?gid=1761053510"",
          ""Haris_Form responses 1!$AQ:$AQ"")=4)
      ),
      1
    ),
    ""0""
  ),
  ""Form not found""
)
"),"Form not found")</f>
        <v>Form not found</v>
      </c>
      <c r="P78" s="247" t="str">
        <f>IFERROR(__xludf.DUMMYFUNCTION("IFERROR(
  INDEX(
    FILTER(
      Transcription!$AJ:$AJ,
      TRIM(CLEAN(TEXT(Transcription!$F:$F, ""@""))) = TRIM(CLEAN(TEXT($D78, ""@""))),
      Transcription!$AO:$AO = 4
    ),
    1
  ),
  ""Not Found""
)
"),"Not Found")</f>
        <v>Not Found</v>
      </c>
      <c r="Q78" s="246" t="str">
        <f>IFERROR(__xludf.DUMMYFUNCTION("IFERROR(
  INDEX(
    FILTER(
      Recording!$U:$U,
      TRIM(CLEAN(TEXT(Recording!$E:$E, ""@""))) = TRIM(CLEAN(TEXT($D78, ""@""))),
      Recording!$AA:$AA = 5
    ),
    1
  ),
  ""Not Found""
)
"),"Not Found")</f>
        <v>Not Found</v>
      </c>
      <c r="R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1!$E:$E"")=$D78) *
        (IMPORTRANGE(""https://docs.google.com/spreadsheets/d/161aHT6vVT3SLneTKD19N5qVWtnj_jIT8CSsOmUVKmaA/"&amp;"edit?gid=1761053510"",
          ""Haris_Form responses 1!$AQ:$AQ"")=5)
      ),
      1
    ),
    ""0""
  ),
  ""Form not found""
)
"),"Form not found")</f>
        <v>Form not found</v>
      </c>
      <c r="S78" s="247" t="str">
        <f>IFERROR(__xludf.DUMMYFUNCTION("IFERROR(
  INDEX(
    FILTER(
      Transcription!$AJ:$AJ,
      TRIM(CLEAN(TEXT(Transcription!$F:$F, ""@""))) = TRIM(CLEAN(TEXT($D78, ""@""))),
      Transcription!$AO:$AO = 5
    ),
    1
  ),
  ""Not Found""
)
"),"Not Found")</f>
        <v>Not Found</v>
      </c>
      <c r="T78" s="246" t="str">
        <f>IFERROR(__xludf.DUMMYFUNCTION("IFERROR(
  INDEX(
    FILTER(
      Recording!$U:$U,
      TRIM(CLEAN(TEXT(Recording!$E:$E, ""@""))) = TRIM(CLEAN(TEXT($D78, ""@""))),
      Recording!$AA:$AA = 6
    ),
    1
  ),
  ""Not Found""
)
"),"Not Found")</f>
        <v>Not Found</v>
      </c>
      <c r="U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1!$E:$E"")=$D78) *
        (IMPORTRANGE(""https://docs.google.com/spreadsheets/d/161aHT6vVT3SLneTKD19N5qVWtnj_jIT8CSsOmUVKmaA/"&amp;"edit?gid=1761053510"",
          ""Haris_Form responses 1!$AQ:$AQ"")=6)
      ),
      1
    ),
    ""0""
  ),
  ""Form not found""
)
"),"Form not found")</f>
        <v>Form not found</v>
      </c>
      <c r="V78" s="247" t="str">
        <f>IFERROR(__xludf.DUMMYFUNCTION("IFERROR(
  INDEX(
    FILTER(
      Transcription!$AJ:$AJ,
      TRIM(CLEAN(TEXT(Transcription!$F:$F, ""@""))) = TRIM(CLEAN(TEXT($D78, ""@""))),
      Transcription!$AO:$AO = 6
    ),
    1
  ),
  ""Not Found""
)
"),"Not Found")</f>
        <v>Not Found</v>
      </c>
      <c r="Z78" s="10">
        <f t="shared" si="1"/>
        <v>2</v>
      </c>
      <c r="AA78" s="10">
        <f t="shared" si="2"/>
        <v>0</v>
      </c>
    </row>
    <row r="79">
      <c r="A79" s="8" t="str">
        <f>VLOOKUP($D79,Sheet6!$B:$G,5,FALSE)</f>
        <v>Gujrawala</v>
      </c>
      <c r="B79" s="232" t="str">
        <f>VLOOKUP($D79,Sheet6!$B:$G,4,FALSE)</f>
        <v>Community Religious Info Share</v>
      </c>
      <c r="C79" s="8">
        <v>3.0</v>
      </c>
      <c r="D79" s="8" t="s">
        <v>1817</v>
      </c>
      <c r="E79" s="244" t="str">
        <f>IFERROR(__xludf.DUMMYFUNCTION("IFERROR(
  INDEX(
    FILTER(
      Recording!$U:$U,
      TRIM(CLEAN(TEXT(Recording!$E:$E, ""@""))) = TRIM(CLEAN(TEXT($D79, ""@""))),
      Recording!$AA:$AA = 1
    ),
    1
  ),
  ""Not Found""
)
"),"https://drive.google.com/open?id=1fuNEuXCOzlFUmqflyHBKeJijcwHnQjfh")</f>
        <v>https://drive.google.com/open?id=1fuNEuXCOzlFUmqflyHBKeJijcwHnQjfh</v>
      </c>
      <c r="F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1!$E:$E"")=$D79) *
        (IMPORTRANGE(""https://docs.google.com/spreadsheets/d/161aHT6vVT3SLneTKD19N5qVWtnj_jIT8CSsOmUVKmaA/"&amp;"edit?gid=1761053510"",
          ""Haris_Form responses 1!$AQ:$AQ"")=1)
      ),
      1
    ),
    ""0""
  ),
  ""Form not found""
)
"),"1")</f>
        <v>1</v>
      </c>
      <c r="G79" s="245" t="str">
        <f>IFERROR(__xludf.DUMMYFUNCTION("IFERROR(
  INDEX(
    FILTER(
      Transcription!$AJ:$AJ,
      TRIM(CLEAN(TEXT(Transcription!$F:$F, ""@""))) = TRIM(CLEAN(TEXT($D79, ""@""))),
      Transcription!$AO:$AO = 1
    ),
    1
  ),
  ""Not Found""
)
"),"https://drive.google.com/open?id=1sT4Aux_JzXEzjDH1HlIU8892gl_2CKlS")</f>
        <v>https://drive.google.com/open?id=1sT4Aux_JzXEzjDH1HlIU8892gl_2CKlS</v>
      </c>
      <c r="H79" s="244" t="str">
        <f>IFERROR(__xludf.DUMMYFUNCTION("IFERROR(
  INDEX(
    FILTER(
      Recording!$U:$U,
      TRIM(CLEAN(TEXT(Recording!$E:$E, ""@""))) = TRIM(CLEAN(TEXT($D79, ""@""))),
      Recording!$AA:$AA = 2
    ),
    1
  ),
  ""Not Found""
)
"),"https://drive.google.com/open?id=1CrIE2vuM2QGkJesSe-ZAUqFSRoRV_WDZ")</f>
        <v>https://drive.google.com/open?id=1CrIE2vuM2QGkJesSe-ZAUqFSRoRV_WDZ</v>
      </c>
      <c r="I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1!$E:$E"")=$D79) *
        (IMPORTRANGE(""https://docs.google.com/spreadsheets/d/161aHT6vVT3SLneTKD19N5qVWtnj_jIT8CSsOmUVKmaA/"&amp;"edit?gid=1761053510"",
          ""Haris_Form responses 1!$AQ:$AQ"")=2)
      ),
      1
    ),
    ""0""
  ),
  ""Form not found""
)
"),"2")</f>
        <v>2</v>
      </c>
      <c r="J79" s="245" t="str">
        <f>IFERROR(__xludf.DUMMYFUNCTION("IFERROR(
  INDEX(
    FILTER(
      Transcription!$AJ:$AJ,
      TRIM(CLEAN(TEXT(Transcription!$F:$F, ""@""))) = TRIM(CLEAN(TEXT($D79, ""@""))),
      Transcription!$AO:$AO = 2
    ),
    1
  ),
  ""Not Found""
)
"),"https://drive.google.com/open?id=1gtRlhljrRvaZwmdBIyw_nrpWFRCMzQBA")</f>
        <v>https://drive.google.com/open?id=1gtRlhljrRvaZwmdBIyw_nrpWFRCMzQBA</v>
      </c>
      <c r="K79" s="244" t="str">
        <f>IFERROR(__xludf.DUMMYFUNCTION("IFERROR(
  INDEX(
    FILTER(
      Recording!$U:$U,
      TRIM(CLEAN(TEXT(Recording!$E:$E, ""@""))) = TRIM(CLEAN(TEXT($D79, ""@""))),
      Recording!$AA:$AA = 3
    ),
    1
  ),
  ""Not Found""
)
"),"https://drive.google.com/open?id=1x63k8BsORceM5st9cFoBfV8kJEZ4zEC4")</f>
        <v>https://drive.google.com/open?id=1x63k8BsORceM5st9cFoBfV8kJEZ4zEC4</v>
      </c>
      <c r="L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1!$E:$E"")=$D79) *
        (IMPORTRANGE(""https://docs.google.com/spreadsheets/d/161aHT6vVT3SLneTKD19N5qVWtnj_jIT8CSsOmUVKmaA/"&amp;"edit?gid=1761053510"",
          ""Haris_Form responses 1!$AQ:$AQ"")=3)
      ),
      1
    ),
    ""0""
  ),
  ""Form not found""
)
"),"3")</f>
        <v>3</v>
      </c>
      <c r="M79" s="245" t="str">
        <f>IFERROR(__xludf.DUMMYFUNCTION("IFERROR(
  INDEX(
    FILTER(
      Transcription!$AJ:$AJ,
      TRIM(CLEAN(TEXT(Transcription!$F:$F, ""@""))) = TRIM(CLEAN(TEXT($D79, ""@""))),
      Transcription!$AO:$AO = 3
    ),
    1
  ),
  ""Not Found""
)
"),"https://drive.google.com/open?id=1BVRT2y3VfL5qPRw3JHpWcvJHLieSruYy")</f>
        <v>https://drive.google.com/open?id=1BVRT2y3VfL5qPRw3JHpWcvJHLieSruYy</v>
      </c>
      <c r="N79" s="246" t="str">
        <f>IFERROR(__xludf.DUMMYFUNCTION("IFERROR(
  INDEX(
    FILTER(
      Recording!$U:$U,
      TRIM(CLEAN(TEXT(Recording!$E:$E, ""@""))) = TRIM(CLEAN(TEXT($D79, ""@""))),
      Recording!$AA:$AA = 4
    ),
    1
  ),
  ""Not Found""
)
"),"Not Found")</f>
        <v>Not Found</v>
      </c>
      <c r="O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1!$E:$E"")=$D79) *
        (IMPORTRANGE(""https://docs.google.com/spreadsheets/d/161aHT6vVT3SLneTKD19N5qVWtnj_jIT8CSsOmUVKmaA/"&amp;"edit?gid=1761053510"",
          ""Haris_Form responses 1!$AQ:$AQ"")=4)
      ),
      1
    ),
    ""0""
  ),
  ""Form not found""
)
"),"Form not found")</f>
        <v>Form not found</v>
      </c>
      <c r="P79" s="247" t="str">
        <f>IFERROR(__xludf.DUMMYFUNCTION("IFERROR(
  INDEX(
    FILTER(
      Transcription!$AJ:$AJ,
      TRIM(CLEAN(TEXT(Transcription!$F:$F, ""@""))) = TRIM(CLEAN(TEXT($D79, ""@""))),
      Transcription!$AO:$AO = 4
    ),
    1
  ),
  ""Not Found""
)
"),"Not Found")</f>
        <v>Not Found</v>
      </c>
      <c r="Q79" s="246" t="str">
        <f>IFERROR(__xludf.DUMMYFUNCTION("IFERROR(
  INDEX(
    FILTER(
      Recording!$U:$U,
      TRIM(CLEAN(TEXT(Recording!$E:$E, ""@""))) = TRIM(CLEAN(TEXT($D79, ""@""))),
      Recording!$AA:$AA = 5
    ),
    1
  ),
  ""Not Found""
)
"),"Not Found")</f>
        <v>Not Found</v>
      </c>
      <c r="R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1!$E:$E"")=$D79) *
        (IMPORTRANGE(""https://docs.google.com/spreadsheets/d/161aHT6vVT3SLneTKD19N5qVWtnj_jIT8CSsOmUVKmaA/"&amp;"edit?gid=1761053510"",
          ""Haris_Form responses 1!$AQ:$AQ"")=5)
      ),
      1
    ),
    ""0""
  ),
  ""Form not found""
)
"),"Form not found")</f>
        <v>Form not found</v>
      </c>
      <c r="S79" s="247" t="str">
        <f>IFERROR(__xludf.DUMMYFUNCTION("IFERROR(
  INDEX(
    FILTER(
      Transcription!$AJ:$AJ,
      TRIM(CLEAN(TEXT(Transcription!$F:$F, ""@""))) = TRIM(CLEAN(TEXT($D79, ""@""))),
      Transcription!$AO:$AO = 5
    ),
    1
  ),
  ""Not Found""
)
"),"Not Found")</f>
        <v>Not Found</v>
      </c>
      <c r="T79" s="249" t="str">
        <f>IFERROR(__xludf.DUMMYFUNCTION("IFERROR(
  INDEX(
    FILTER(
      Recording!$U:$U,
      TRIM(CLEAN(TEXT(Recording!$E:$E, ""@""))) = TRIM(CLEAN(TEXT($D79, ""@""))),
      Recording!$AA:$AA = 6
    ),
    1
  ),
  ""Not Found""
)
"),"Not Found")</f>
        <v>Not Found</v>
      </c>
      <c r="U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1!$E:$E"")=$D79) *
        (IMPORTRANGE(""https://docs.google.com/spreadsheets/d/161aHT6vVT3SLneTKD19N5qVWtnj_jIT8CSsOmUVKmaA/"&amp;"edit?gid=1761053510"",
          ""Haris_Form responses 1!$AQ:$AQ"")=6)
      ),
      1
    ),
    ""0""
  ),
  ""Form not found""
)
"),"Form not found")</f>
        <v>Form not found</v>
      </c>
      <c r="V79" s="247" t="str">
        <f>IFERROR(__xludf.DUMMYFUNCTION("IFERROR(
  INDEX(
    FILTER(
      Transcription!$AJ:$AJ,
      TRIM(CLEAN(TEXT(Transcription!$F:$F, ""@""))) = TRIM(CLEAN(TEXT($D79, ""@""))),
      Transcription!$AO:$AO = 6
    ),
    1
  ),
  ""Not Found""
)
"),"Not Found")</f>
        <v>Not Found</v>
      </c>
      <c r="Z79" s="10">
        <f t="shared" si="1"/>
        <v>3</v>
      </c>
      <c r="AA79" s="10">
        <f t="shared" si="2"/>
        <v>0</v>
      </c>
    </row>
    <row r="80">
      <c r="A80" s="8" t="str">
        <f>VLOOKUP($D80,Sheet6!$B:$G,5,FALSE)</f>
        <v>Gujrawala</v>
      </c>
      <c r="B80" s="232" t="str">
        <f>VLOOKUP($D80,Sheet6!$B:$G,4,FALSE)</f>
        <v>Women Secular No Info Share</v>
      </c>
      <c r="C80" s="8">
        <v>3.0</v>
      </c>
      <c r="D80" s="8" t="s">
        <v>2084</v>
      </c>
      <c r="E80" s="244" t="str">
        <f>IFERROR(__xludf.DUMMYFUNCTION("IFERROR(
  INDEX(
    FILTER(
      Recording!$U:$U,
      TRIM(CLEAN(TEXT(Recording!$E:$E, ""@""))) = TRIM(CLEAN(TEXT($D80, ""@""))),
      Recording!$AA:$AA = 1
    ),
    1
  ),
  ""Not Found""
)
"),"https://drive.google.com/open?id=1Vbmkdl_7Ei46isaOU8KeRUmtucMEKNlF")</f>
        <v>https://drive.google.com/open?id=1Vbmkdl_7Ei46isaOU8KeRUmtucMEKNlF</v>
      </c>
      <c r="F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1!$E:$E"")=$D80) *
        (IMPORTRANGE(""https://docs.google.com/spreadsheets/d/161aHT6vVT3SLneTKD19N5qVWtnj_jIT8CSsOmUVKmaA/"&amp;"edit?gid=1761053510"",
          ""Haris_Form responses 1!$AQ:$AQ"")=1)
      ),
      1
    ),
    ""0""
  ),
  ""Form not found""
)
"),"1")</f>
        <v>1</v>
      </c>
      <c r="G80" s="245" t="str">
        <f>IFERROR(__xludf.DUMMYFUNCTION("IFERROR(
  INDEX(
    FILTER(
      Transcription!$AJ:$AJ,
      TRIM(CLEAN(TEXT(Transcription!$F:$F, ""@""))) = TRIM(CLEAN(TEXT($D80, ""@""))),
      Transcription!$AO:$AO = 1
    ),
    1
  ),
  ""Not Found""
)
"),"https://drive.google.com/open?id=1rC7dUA8-Nn9U4Ew4oNOzLcSZDqqS3Jvr")</f>
        <v>https://drive.google.com/open?id=1rC7dUA8-Nn9U4Ew4oNOzLcSZDqqS3Jvr</v>
      </c>
      <c r="H80" s="244" t="str">
        <f>IFERROR(__xludf.DUMMYFUNCTION("IFERROR(
  INDEX(
    FILTER(
      Recording!$U:$U,
      TRIM(CLEAN(TEXT(Recording!$E:$E, ""@""))) = TRIM(CLEAN(TEXT($D80, ""@""))),
      Recording!$AA:$AA = 2
    ),
    1
  ),
  ""Not Found""
)
"),"https://drive.google.com/file/d/1bpFE3U8MIpvTe1QizVQSLQFtKS6jNsPz/view?usp=drive_link")</f>
        <v>https://drive.google.com/file/d/1bpFE3U8MIpvTe1QizVQSLQFtKS6jNsPz/view?usp=drive_link</v>
      </c>
      <c r="I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1!$E:$E"")=$D80) *
        (IMPORTRANGE(""https://docs.google.com/spreadsheets/d/161aHT6vVT3SLneTKD19N5qVWtnj_jIT8CSsOmUVKmaA/"&amp;"edit?gid=1761053510"",
          ""Haris_Form responses 1!$AQ:$AQ"")=2)
      ),
      1
    ),
    ""0""
  ),
  ""Form not found""
)
"),"2")</f>
        <v>2</v>
      </c>
      <c r="J80" s="245" t="str">
        <f>IFERROR(__xludf.DUMMYFUNCTION("IFERROR(
  INDEX(
    FILTER(
      Transcription!$AJ:$AJ,
      TRIM(CLEAN(TEXT(Transcription!$F:$F, ""@""))) = TRIM(CLEAN(TEXT($D80, ""@""))),
      Transcription!$AO:$AO = 2
    ),
    1
  ),
  ""Not Found""
)
"),"https://drive.google.com/open?id=1ZhE4_ICYRh1QBqaHdZ4gMy0uysijjb39")</f>
        <v>https://drive.google.com/open?id=1ZhE4_ICYRh1QBqaHdZ4gMy0uysijjb39</v>
      </c>
      <c r="K80" s="244" t="str">
        <f>IFERROR(__xludf.DUMMYFUNCTION("IFERROR(
  INDEX(
    FILTER(
      Recording!$U:$U,
      TRIM(CLEAN(TEXT(Recording!$E:$E, ""@""))) = TRIM(CLEAN(TEXT($D80, ""@""))),
      Recording!$AA:$AA = 3
    ),
    1
  ),
  ""Not Found""
)
"),"https://drive.google.com/open?id=1Cb_I1345HNBYx9ePwWCzOUi9RczR5qq0")</f>
        <v>https://drive.google.com/open?id=1Cb_I1345HNBYx9ePwWCzOUi9RczR5qq0</v>
      </c>
      <c r="L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1!$E:$E"")=$D80) *
        (IMPORTRANGE(""https://docs.google.com/spreadsheets/d/161aHT6vVT3SLneTKD19N5qVWtnj_jIT8CSsOmUVKmaA/"&amp;"edit?gid=1761053510"",
          ""Haris_Form responses 1!$AQ:$AQ"")=3)
      ),
      1
    ),
    ""0""
  ),
  ""Form not found""
)
"),"3")</f>
        <v>3</v>
      </c>
      <c r="M80" s="245" t="str">
        <f>IFERROR(__xludf.DUMMYFUNCTION("IFERROR(
  INDEX(
    FILTER(
      Transcription!$AJ:$AJ,
      TRIM(CLEAN(TEXT(Transcription!$F:$F, ""@""))) = TRIM(CLEAN(TEXT($D80, ""@""))),
      Transcription!$AO:$AO = 3
    ),
    1
  ),
  ""Not Found""
)
"),"https://drive.google.com/open?id=1JcDBbMy0vNFI6NrGMhYA5XYsdm2hJmct")</f>
        <v>https://drive.google.com/open?id=1JcDBbMy0vNFI6NrGMhYA5XYsdm2hJmct</v>
      </c>
      <c r="N80" s="246" t="str">
        <f>IFERROR(__xludf.DUMMYFUNCTION("IFERROR(
  INDEX(
    FILTER(
      Recording!$U:$U,
      TRIM(CLEAN(TEXT(Recording!$E:$E, ""@""))) = TRIM(CLEAN(TEXT($D80, ""@""))),
      Recording!$AA:$AA = 4
    ),
    1
  ),
  ""Not Found""
)
"),"Not Found")</f>
        <v>Not Found</v>
      </c>
      <c r="O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1!$E:$E"")=$D80) *
        (IMPORTRANGE(""https://docs.google.com/spreadsheets/d/161aHT6vVT3SLneTKD19N5qVWtnj_jIT8CSsOmUVKmaA/"&amp;"edit?gid=1761053510"",
          ""Haris_Form responses 1!$AQ:$AQ"")=4)
      ),
      1
    ),
    ""0""
  ),
  ""Form not found""
)
"),"Form not found")</f>
        <v>Form not found</v>
      </c>
      <c r="P80" s="247" t="str">
        <f>IFERROR(__xludf.DUMMYFUNCTION("IFERROR(
  INDEX(
    FILTER(
      Transcription!$AJ:$AJ,
      TRIM(CLEAN(TEXT(Transcription!$F:$F, ""@""))) = TRIM(CLEAN(TEXT($D80, ""@""))),
      Transcription!$AO:$AO = 4
    ),
    1
  ),
  ""Not Found""
)
"),"Not Found")</f>
        <v>Not Found</v>
      </c>
      <c r="Q80" s="246" t="str">
        <f>IFERROR(__xludf.DUMMYFUNCTION("IFERROR(
  INDEX(
    FILTER(
      Recording!$U:$U,
      TRIM(CLEAN(TEXT(Recording!$E:$E, ""@""))) = TRIM(CLEAN(TEXT($D80, ""@""))),
      Recording!$AA:$AA = 5
    ),
    1
  ),
  ""Not Found""
)
"),"Not Found")</f>
        <v>Not Found</v>
      </c>
      <c r="R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1!$E:$E"")=$D80) *
        (IMPORTRANGE(""https://docs.google.com/spreadsheets/d/161aHT6vVT3SLneTKD19N5qVWtnj_jIT8CSsOmUVKmaA/"&amp;"edit?gid=1761053510"",
          ""Haris_Form responses 1!$AQ:$AQ"")=5)
      ),
      1
    ),
    ""0""
  ),
  ""Form not found""
)
"),"Form not found")</f>
        <v>Form not found</v>
      </c>
      <c r="S80" s="247" t="str">
        <f>IFERROR(__xludf.DUMMYFUNCTION("IFERROR(
  INDEX(
    FILTER(
      Transcription!$AJ:$AJ,
      TRIM(CLEAN(TEXT(Transcription!$F:$F, ""@""))) = TRIM(CLEAN(TEXT($D80, ""@""))),
      Transcription!$AO:$AO = 5
    ),
    1
  ),
  ""Not Found""
)
"),"Not Found")</f>
        <v>Not Found</v>
      </c>
      <c r="T80" s="248" t="str">
        <f>IFERROR(__xludf.DUMMYFUNCTION("IFERROR(
  INDEX(
    FILTER(
      Recording!$U:$U,
      TRIM(CLEAN(TEXT(Recording!$E:$E, ""@""))) = TRIM(CLEAN(TEXT($D80, ""@""))),
      Recording!$AA:$AA = 6
    ),
    1
  ),
  ""Not Found""
)
"),"Not Found")</f>
        <v>Not Found</v>
      </c>
      <c r="U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1!$E:$E"")=$D80) *
        (IMPORTRANGE(""https://docs.google.com/spreadsheets/d/161aHT6vVT3SLneTKD19N5qVWtnj_jIT8CSsOmUVKmaA/"&amp;"edit?gid=1761053510"",
          ""Haris_Form responses 1!$AQ:$AQ"")=6)
      ),
      1
    ),
    ""0""
  ),
  ""Form not found""
)
"),"Form not found")</f>
        <v>Form not found</v>
      </c>
      <c r="V80" s="247" t="str">
        <f>IFERROR(__xludf.DUMMYFUNCTION("IFERROR(
  INDEX(
    FILTER(
      Transcription!$AJ:$AJ,
      TRIM(CLEAN(TEXT(Transcription!$F:$F, ""@""))) = TRIM(CLEAN(TEXT($D80, ""@""))),
      Transcription!$AO:$AO = 6
    ),
    1
  ),
  ""Not Found""
)
"),"Not Found")</f>
        <v>Not Found</v>
      </c>
      <c r="Z80" s="10">
        <f t="shared" si="1"/>
        <v>3</v>
      </c>
      <c r="AA80" s="10">
        <f t="shared" si="2"/>
        <v>0</v>
      </c>
    </row>
    <row r="81">
      <c r="A81" s="8" t="str">
        <f>VLOOKUP($D81,Sheet6!$B:$G,5,FALSE)</f>
        <v>Gujrawala</v>
      </c>
      <c r="B81" s="232" t="str">
        <f>VLOOKUP($D81,Sheet6!$B:$G,4,FALSE)</f>
        <v>Women Religious Info Share</v>
      </c>
      <c r="C81" s="8">
        <v>3.0</v>
      </c>
      <c r="D81" s="8" t="s">
        <v>2463</v>
      </c>
      <c r="E81" s="244" t="str">
        <f>IFERROR(__xludf.DUMMYFUNCTION("IFERROR(
  INDEX(
    FILTER(
      Recording!$U:$U,
      TRIM(CLEAN(TEXT(Recording!$E:$E, ""@""))) = TRIM(CLEAN(TEXT($D81, ""@""))),
      Recording!$AA:$AA = 1
    ),
    1
  ),
  ""Not Found""
)
"),"https://drive.google.com/open?id=1GEoarcABVUWbWhJsEc7r7EAERUkbw0oV")</f>
        <v>https://drive.google.com/open?id=1GEoarcABVUWbWhJsEc7r7EAERUkbw0oV</v>
      </c>
      <c r="F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1!$E:$E"")=$D81) *
        (IMPORTRANGE(""https://docs.google.com/spreadsheets/d/161aHT6vVT3SLneTKD19N5qVWtnj_jIT8CSsOmUVKmaA/"&amp;"edit?gid=1761053510"",
          ""Haris_Form responses 1!$AQ:$AQ"")=1)
      ),
      1
    ),
    ""0""
  ),
  ""Form not found""
)
"),"1")</f>
        <v>1</v>
      </c>
      <c r="G81" s="245" t="str">
        <f>IFERROR(__xludf.DUMMYFUNCTION("IFERROR(
  INDEX(
    FILTER(
      Transcription!$AJ:$AJ,
      TRIM(CLEAN(TEXT(Transcription!$F:$F, ""@""))) = TRIM(CLEAN(TEXT($D81, ""@""))),
      Transcription!$AO:$AO = 1
    ),
    1
  ),
  ""Not Found""
)
"),"https://drive.google.com/open?id=1GK3T8k4i5QYvR0SHeI00weddRB1m8HId")</f>
        <v>https://drive.google.com/open?id=1GK3T8k4i5QYvR0SHeI00weddRB1m8HId</v>
      </c>
      <c r="H81" s="244" t="str">
        <f>IFERROR(__xludf.DUMMYFUNCTION("IFERROR(
  INDEX(
    FILTER(
      Recording!$U:$U,
      TRIM(CLEAN(TEXT(Recording!$E:$E, ""@""))) = TRIM(CLEAN(TEXT($D81, ""@""))),
      Recording!$AA:$AA = 2
    ),
    1
  ),
  ""Not Found""
)
"),"https://drive.google.com/open?id=1iA7fzouz417pdevo4UlU74pYHsAQHMCx")</f>
        <v>https://drive.google.com/open?id=1iA7fzouz417pdevo4UlU74pYHsAQHMCx</v>
      </c>
      <c r="I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1!$E:$E"")=$D81) *
        (IMPORTRANGE(""https://docs.google.com/spreadsheets/d/161aHT6vVT3SLneTKD19N5qVWtnj_jIT8CSsOmUVKmaA/"&amp;"edit?gid=1761053510"",
          ""Haris_Form responses 1!$AQ:$AQ"")=2)
      ),
      1
    ),
    ""0""
  ),
  ""Form not found""
)
"),"2")</f>
        <v>2</v>
      </c>
      <c r="J81" s="245" t="str">
        <f>IFERROR(__xludf.DUMMYFUNCTION("IFERROR(
  INDEX(
    FILTER(
      Transcription!$AJ:$AJ,
      TRIM(CLEAN(TEXT(Transcription!$F:$F, ""@""))) = TRIM(CLEAN(TEXT($D81, ""@""))),
      Transcription!$AO:$AO = 2
    ),
    1
  ),
  ""Not Found""
)
"),"https://drive.google.com/open?id=1WqEuD5gR_fAC0ySNgHkE6uX127d36zAX")</f>
        <v>https://drive.google.com/open?id=1WqEuD5gR_fAC0ySNgHkE6uX127d36zAX</v>
      </c>
      <c r="K81" s="244" t="str">
        <f>IFERROR(__xludf.DUMMYFUNCTION("IFERROR(
  INDEX(
    FILTER(
      Recording!$U:$U,
      TRIM(CLEAN(TEXT(Recording!$E:$E, ""@""))) = TRIM(CLEAN(TEXT($D81, ""@""))),
      Recording!$AA:$AA = 3
    ),
    1
  ),
  ""Not Found""
)
"),"https://drive.google.com/open?id=1lSWcKtAj2nabWaBBmNyN6GNqrosJ86eh")</f>
        <v>https://drive.google.com/open?id=1lSWcKtAj2nabWaBBmNyN6GNqrosJ86eh</v>
      </c>
      <c r="L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1!$E:$E"")=$D81) *
        (IMPORTRANGE(""https://docs.google.com/spreadsheets/d/161aHT6vVT3SLneTKD19N5qVWtnj_jIT8CSsOmUVKmaA/"&amp;"edit?gid=1761053510"",
          ""Haris_Form responses 1!$AQ:$AQ"")=3)
      ),
      1
    ),
    ""0""
  ),
  ""Form not found""
)
"),"3")</f>
        <v>3</v>
      </c>
      <c r="M81" s="245" t="str">
        <f>IFERROR(__xludf.DUMMYFUNCTION("IFERROR(
  INDEX(
    FILTER(
      Transcription!$AJ:$AJ,
      TRIM(CLEAN(TEXT(Transcription!$F:$F, ""@""))) = TRIM(CLEAN(TEXT($D81, ""@""))),
      Transcription!$AO:$AO = 3
    ),
    1
  ),
  ""Not Found""
)
"),"https://drive.google.com/open?id=1_5VwI4MiyhHpJFwTN5-HpT4ibNZqrT9b")</f>
        <v>https://drive.google.com/open?id=1_5VwI4MiyhHpJFwTN5-HpT4ibNZqrT9b</v>
      </c>
      <c r="N81" s="246" t="str">
        <f>IFERROR(__xludf.DUMMYFUNCTION("IFERROR(
  INDEX(
    FILTER(
      Recording!$U:$U,
      TRIM(CLEAN(TEXT(Recording!$E:$E, ""@""))) = TRIM(CLEAN(TEXT($D81, ""@""))),
      Recording!$AA:$AA = 4
    ),
    1
  ),
  ""Not Found""
)
"),"Not Found")</f>
        <v>Not Found</v>
      </c>
      <c r="O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1!$E:$E"")=$D81) *
        (IMPORTRANGE(""https://docs.google.com/spreadsheets/d/161aHT6vVT3SLneTKD19N5qVWtnj_jIT8CSsOmUVKmaA/"&amp;"edit?gid=1761053510"",
          ""Haris_Form responses 1!$AQ:$AQ"")=4)
      ),
      1
    ),
    ""0""
  ),
  ""Form not found""
)
"),"Form not found")</f>
        <v>Form not found</v>
      </c>
      <c r="P81" s="247" t="str">
        <f>IFERROR(__xludf.DUMMYFUNCTION("IFERROR(
  INDEX(
    FILTER(
      Transcription!$AJ:$AJ,
      TRIM(CLEAN(TEXT(Transcription!$F:$F, ""@""))) = TRIM(CLEAN(TEXT($D81, ""@""))),
      Transcription!$AO:$AO = 4
    ),
    1
  ),
  ""Not Found""
)
"),"Not Found")</f>
        <v>Not Found</v>
      </c>
      <c r="Q81" s="246" t="str">
        <f>IFERROR(__xludf.DUMMYFUNCTION("IFERROR(
  INDEX(
    FILTER(
      Recording!$U:$U,
      TRIM(CLEAN(TEXT(Recording!$E:$E, ""@""))) = TRIM(CLEAN(TEXT($D81, ""@""))),
      Recording!$AA:$AA = 5
    ),
    1
  ),
  ""Not Found""
)
"),"Not Found")</f>
        <v>Not Found</v>
      </c>
      <c r="R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1!$E:$E"")=$D81) *
        (IMPORTRANGE(""https://docs.google.com/spreadsheets/d/161aHT6vVT3SLneTKD19N5qVWtnj_jIT8CSsOmUVKmaA/"&amp;"edit?gid=1761053510"",
          ""Haris_Form responses 1!$AQ:$AQ"")=5)
      ),
      1
    ),
    ""0""
  ),
  ""Form not found""
)
"),"Form not found")</f>
        <v>Form not found</v>
      </c>
      <c r="S81" s="247" t="str">
        <f>IFERROR(__xludf.DUMMYFUNCTION("IFERROR(
  INDEX(
    FILTER(
      Transcription!$AJ:$AJ,
      TRIM(CLEAN(TEXT(Transcription!$F:$F, ""@""))) = TRIM(CLEAN(TEXT($D81, ""@""))),
      Transcription!$AO:$AO = 5
    ),
    1
  ),
  ""Not Found""
)
"),"Not Found")</f>
        <v>Not Found</v>
      </c>
      <c r="T81" s="248" t="str">
        <f>IFERROR(__xludf.DUMMYFUNCTION("IFERROR(
  INDEX(
    FILTER(
      Recording!$U:$U,
      TRIM(CLEAN(TEXT(Recording!$E:$E, ""@""))) = TRIM(CLEAN(TEXT($D81, ""@""))),
      Recording!$AA:$AA = 6
    ),
    1
  ),
  ""Not Found""
)
"),"Not Found")</f>
        <v>Not Found</v>
      </c>
      <c r="U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1!$E:$E"")=$D81) *
        (IMPORTRANGE(""https://docs.google.com/spreadsheets/d/161aHT6vVT3SLneTKD19N5qVWtnj_jIT8CSsOmUVKmaA/"&amp;"edit?gid=1761053510"",
          ""Haris_Form responses 1!$AQ:$AQ"")=6)
      ),
      1
    ),
    ""0""
  ),
  ""Form not found""
)
"),"Form not found")</f>
        <v>Form not found</v>
      </c>
      <c r="V81" s="247" t="str">
        <f>IFERROR(__xludf.DUMMYFUNCTION("IFERROR(
  INDEX(
    FILTER(
      Transcription!$AJ:$AJ,
      TRIM(CLEAN(TEXT(Transcription!$F:$F, ""@""))) = TRIM(CLEAN(TEXT($D81, ""@""))),
      Transcription!$AO:$AO = 6
    ),
    1
  ),
  ""Not Found""
)
"),"Not Found")</f>
        <v>Not Found</v>
      </c>
      <c r="Z81" s="10">
        <f t="shared" si="1"/>
        <v>3</v>
      </c>
      <c r="AA81" s="10">
        <f t="shared" si="2"/>
        <v>0</v>
      </c>
    </row>
    <row r="82">
      <c r="A82" s="8" t="str">
        <f>VLOOKUP($D82,Sheet6!$B:$G,5,FALSE)</f>
        <v>Gujrawala</v>
      </c>
      <c r="B82" s="232" t="str">
        <f>VLOOKUP($D82,Sheet6!$B:$G,4,FALSE)</f>
        <v>Control</v>
      </c>
      <c r="C82" s="8">
        <v>2.0</v>
      </c>
      <c r="D82" s="8" t="s">
        <v>2765</v>
      </c>
      <c r="E82" s="244" t="str">
        <f>IFERROR(__xludf.DUMMYFUNCTION("IFERROR(
  INDEX(
    FILTER(
      Recording!$U:$U,
      TRIM(CLEAN(TEXT(Recording!$E:$E, ""@""))) = TRIM(CLEAN(TEXT($D82, ""@""))),
      Recording!$AA:$AA = 1
    ),
    1
  ),
  ""Not Found""
)
"),"https://drive.google.com/open?id=1R83_pHzl3j9aOO0CMApn-fWmXHtjtFHT")</f>
        <v>https://drive.google.com/open?id=1R83_pHzl3j9aOO0CMApn-fWmXHtjtFHT</v>
      </c>
      <c r="F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1!$E:$E"")=$D82) *
        (IMPORTRANGE(""https://docs.google.com/spreadsheets/d/161aHT6vVT3SLneTKD19N5qVWtnj_jIT8CSsOmUVKmaA/"&amp;"edit?gid=1761053510"",
          ""Haris_Form responses 1!$AQ:$AQ"")=1)
      ),
      1
    ),
    ""0""
  ),
  ""Form not found""
)
"),"1")</f>
        <v>1</v>
      </c>
      <c r="G82" s="245" t="str">
        <f>IFERROR(__xludf.DUMMYFUNCTION("IFERROR(
  INDEX(
    FILTER(
      Transcription!$AJ:$AJ,
      TRIM(CLEAN(TEXT(Transcription!$F:$F, ""@""))) = TRIM(CLEAN(TEXT($D82, ""@""))),
      Transcription!$AO:$AO = 1
    ),
    1
  ),
  ""Not Found""
)
"),"https://drive.google.com/open?id=1l4VGGojUkPLs9967EabVmvAwr06txFxo")</f>
        <v>https://drive.google.com/open?id=1l4VGGojUkPLs9967EabVmvAwr06txFxo</v>
      </c>
      <c r="H82" s="246" t="str">
        <f>IFERROR(__xludf.DUMMYFUNCTION("IFERROR(
  INDEX(
    FILTER(
      Recording!$U:$U,
      TRIM(CLEAN(TEXT(Recording!$E:$E, ""@""))) = TRIM(CLEAN(TEXT($D82, ""@""))),
      Recording!$AA:$AA = 2
    ),
    1
  ),
  ""Not Found""
)
"),"Not Found")</f>
        <v>Not Found</v>
      </c>
      <c r="I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1!$E:$E"")=$D82) *
        (IMPORTRANGE(""https://docs.google.com/spreadsheets/d/161aHT6vVT3SLneTKD19N5qVWtnj_jIT8CSsOmUVKmaA/"&amp;"edit?gid=1761053510"",
          ""Haris_Form responses 1!$AQ:$AQ"")=2)
      ),
      1
    ),
    ""0""
  ),
  ""Form not found""
)
"),"Form not found")</f>
        <v>Form not found</v>
      </c>
      <c r="J82" s="247" t="str">
        <f>IFERROR(__xludf.DUMMYFUNCTION("IFERROR(
  INDEX(
    FILTER(
      Transcription!$AJ:$AJ,
      TRIM(CLEAN(TEXT(Transcription!$F:$F, ""@""))) = TRIM(CLEAN(TEXT($D82, ""@""))),
      Transcription!$AO:$AO = 2
    ),
    1
  ),
  ""Not Found""
)
"),"Not Found")</f>
        <v>Not Found</v>
      </c>
      <c r="K82" s="244" t="str">
        <f>IFERROR(__xludf.DUMMYFUNCTION("IFERROR(
  INDEX(
    FILTER(
      Recording!$U:$U,
      TRIM(CLEAN(TEXT(Recording!$E:$E, ""@""))) = TRIM(CLEAN(TEXT($D82, ""@""))),
      Recording!$AA:$AA = 3
    ),
    1
  ),
  ""Not Found""
)
"),"https://drive.google.com/open?id=11HmbJxHKjDgNbdpyfSMl8BQst2Z7mc1E")</f>
        <v>https://drive.google.com/open?id=11HmbJxHKjDgNbdpyfSMl8BQst2Z7mc1E</v>
      </c>
      <c r="L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1!$E:$E"")=$D82) *
        (IMPORTRANGE(""https://docs.google.com/spreadsheets/d/161aHT6vVT3SLneTKD19N5qVWtnj_jIT8CSsOmUVKmaA/"&amp;"edit?gid=1761053510"",
          ""Haris_Form responses 1!$AQ:$AQ"")=3)
      ),
      1
    ),
    ""0""
  ),
  ""Form not found""
)
"),"3")</f>
        <v>3</v>
      </c>
      <c r="M82" s="245" t="str">
        <f>IFERROR(__xludf.DUMMYFUNCTION("IFERROR(
  INDEX(
    FILTER(
      Transcription!$AJ:$AJ,
      TRIM(CLEAN(TEXT(Transcription!$F:$F, ""@""))) = TRIM(CLEAN(TEXT($D82, ""@""))),
      Transcription!$AO:$AO = 3
    ),
    1
  ),
  ""Not Found""
)
"),"https://drive.google.com/open?id=1us5fNk41MqziJwca5YmqXdxmYkyN14Tr")</f>
        <v>https://drive.google.com/open?id=1us5fNk41MqziJwca5YmqXdxmYkyN14Tr</v>
      </c>
      <c r="N82" s="246" t="str">
        <f>IFERROR(__xludf.DUMMYFUNCTION("IFERROR(
  INDEX(
    FILTER(
      Recording!$U:$U,
      TRIM(CLEAN(TEXT(Recording!$E:$E, ""@""))) = TRIM(CLEAN(TEXT($D82, ""@""))),
      Recording!$AA:$AA = 4
    ),
    1
  ),
  ""Not Found""
)
"),"Not Found")</f>
        <v>Not Found</v>
      </c>
      <c r="O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1!$E:$E"")=$D82) *
        (IMPORTRANGE(""https://docs.google.com/spreadsheets/d/161aHT6vVT3SLneTKD19N5qVWtnj_jIT8CSsOmUVKmaA/"&amp;"edit?gid=1761053510"",
          ""Haris_Form responses 1!$AQ:$AQ"")=4)
      ),
      1
    ),
    ""0""
  ),
  ""Form not found""
)
"),"Form not found")</f>
        <v>Form not found</v>
      </c>
      <c r="P82" s="247" t="str">
        <f>IFERROR(__xludf.DUMMYFUNCTION("IFERROR(
  INDEX(
    FILTER(
      Transcription!$AJ:$AJ,
      TRIM(CLEAN(TEXT(Transcription!$F:$F, ""@""))) = TRIM(CLEAN(TEXT($D82, ""@""))),
      Transcription!$AO:$AO = 4
    ),
    1
  ),
  ""Not Found""
)
"),"Not Found")</f>
        <v>Not Found</v>
      </c>
      <c r="Q82" s="246" t="str">
        <f>IFERROR(__xludf.DUMMYFUNCTION("IFERROR(
  INDEX(
    FILTER(
      Recording!$U:$U,
      TRIM(CLEAN(TEXT(Recording!$E:$E, ""@""))) = TRIM(CLEAN(TEXT($D82, ""@""))),
      Recording!$AA:$AA = 5
    ),
    1
  ),
  ""Not Found""
)
"),"Not Found")</f>
        <v>Not Found</v>
      </c>
      <c r="R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1!$E:$E"")=$D82) *
        (IMPORTRANGE(""https://docs.google.com/spreadsheets/d/161aHT6vVT3SLneTKD19N5qVWtnj_jIT8CSsOmUVKmaA/"&amp;"edit?gid=1761053510"",
          ""Haris_Form responses 1!$AQ:$AQ"")=5)
      ),
      1
    ),
    ""0""
  ),
  ""Form not found""
)
"),"Form not found")</f>
        <v>Form not found</v>
      </c>
      <c r="S82" s="247" t="str">
        <f>IFERROR(__xludf.DUMMYFUNCTION("IFERROR(
  INDEX(
    FILTER(
      Transcription!$AJ:$AJ,
      TRIM(CLEAN(TEXT(Transcription!$F:$F, ""@""))) = TRIM(CLEAN(TEXT($D82, ""@""))),
      Transcription!$AO:$AO = 5
    ),
    1
  ),
  ""Not Found""
)
"),"Not Found")</f>
        <v>Not Found</v>
      </c>
      <c r="T82" s="246" t="str">
        <f>IFERROR(__xludf.DUMMYFUNCTION("IFERROR(
  INDEX(
    FILTER(
      Recording!$U:$U,
      TRIM(CLEAN(TEXT(Recording!$E:$E, ""@""))) = TRIM(CLEAN(TEXT($D82, ""@""))),
      Recording!$AA:$AA = 6
    ),
    1
  ),
  ""Not Found""
)
"),"Not Found")</f>
        <v>Not Found</v>
      </c>
      <c r="U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1!$E:$E"")=$D82) *
        (IMPORTRANGE(""https://docs.google.com/spreadsheets/d/161aHT6vVT3SLneTKD19N5qVWtnj_jIT8CSsOmUVKmaA/"&amp;"edit?gid=1761053510"",
          ""Haris_Form responses 1!$AQ:$AQ"")=6)
      ),
      1
    ),
    ""0""
  ),
  ""Form not found""
)
"),"Form not found")</f>
        <v>Form not found</v>
      </c>
      <c r="V82" s="247" t="str">
        <f>IFERROR(__xludf.DUMMYFUNCTION("IFERROR(
  INDEX(
    FILTER(
      Transcription!$AJ:$AJ,
      TRIM(CLEAN(TEXT(Transcription!$F:$F, ""@""))) = TRIM(CLEAN(TEXT($D82, ""@""))),
      Transcription!$AO:$AO = 6
    ),
    1
  ),
  ""Not Found""
)
"),"Not Found")</f>
        <v>Not Found</v>
      </c>
      <c r="Z82" s="10">
        <f t="shared" si="1"/>
        <v>2</v>
      </c>
      <c r="AA82" s="10">
        <f t="shared" si="2"/>
        <v>0</v>
      </c>
    </row>
    <row r="83">
      <c r="A83" s="8" t="str">
        <f>VLOOKUP($D83,Sheet6!$B:$G,5,FALSE)</f>
        <v>Gujrawala</v>
      </c>
      <c r="B83" s="232" t="str">
        <f>VLOOKUP($D83,Sheet6!$B:$G,4,FALSE)</f>
        <v>Control</v>
      </c>
      <c r="C83" s="8">
        <v>2.0</v>
      </c>
      <c r="D83" s="8" t="s">
        <v>2119</v>
      </c>
      <c r="E83" s="244" t="str">
        <f>IFERROR(__xludf.DUMMYFUNCTION("IFERROR(
  INDEX(
    FILTER(
      Recording!$U:$U,
      TRIM(CLEAN(TEXT(Recording!$E:$E, ""@""))) = TRIM(CLEAN(TEXT($D83, ""@""))),
      Recording!$AA:$AA = 1
    ),
    1
  ),
  ""Not Found""
)
"),"https://drive.google.com/open?id=1Z8KQxH3IRkAxLd5omGkbS0o4w-B71N8i")</f>
        <v>https://drive.google.com/open?id=1Z8KQxH3IRkAxLd5omGkbS0o4w-B71N8i</v>
      </c>
      <c r="F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1!$E:$E"")=$D83) *
        (IMPORTRANGE(""https://docs.google.com/spreadsheets/d/161aHT6vVT3SLneTKD19N5qVWtnj_jIT8CSsOmUVKmaA/"&amp;"edit?gid=1761053510"",
          ""Haris_Form responses 1!$AQ:$AQ"")=1)
      ),
      1
    ),
    ""0""
  ),
  ""Form not found""
)
"),"1")</f>
        <v>1</v>
      </c>
      <c r="G83" s="245" t="str">
        <f>IFERROR(__xludf.DUMMYFUNCTION("IFERROR(
  INDEX(
    FILTER(
      Transcription!$AJ:$AJ,
      TRIM(CLEAN(TEXT(Transcription!$F:$F, ""@""))) = TRIM(CLEAN(TEXT($D83, ""@""))),
      Transcription!$AO:$AO = 1
    ),
    1
  ),
  ""Not Found""
)
"),"https://drive.google.com/open?id=1QsfAQJkd-h2BcBs8pO2RQ44Mg8uOw-0o")</f>
        <v>https://drive.google.com/open?id=1QsfAQJkd-h2BcBs8pO2RQ44Mg8uOw-0o</v>
      </c>
      <c r="H83" s="246" t="str">
        <f>IFERROR(__xludf.DUMMYFUNCTION("IFERROR(
  INDEX(
    FILTER(
      Recording!$U:$U,
      TRIM(CLEAN(TEXT(Recording!$E:$E, ""@""))) = TRIM(CLEAN(TEXT($D83, ""@""))),
      Recording!$AA:$AA = 2
    ),
    1
  ),
  ""Not Found""
)
"),"Not Found")</f>
        <v>Not Found</v>
      </c>
      <c r="I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1!$E:$E"")=$D83) *
        (IMPORTRANGE(""https://docs.google.com/spreadsheets/d/161aHT6vVT3SLneTKD19N5qVWtnj_jIT8CSsOmUVKmaA/"&amp;"edit?gid=1761053510"",
          ""Haris_Form responses 1!$AQ:$AQ"")=2)
      ),
      1
    ),
    ""0""
  ),
  ""Form not found""
)
"),"Form not found")</f>
        <v>Form not found</v>
      </c>
      <c r="J83" s="247" t="str">
        <f>IFERROR(__xludf.DUMMYFUNCTION("IFERROR(
  INDEX(
    FILTER(
      Transcription!$AJ:$AJ,
      TRIM(CLEAN(TEXT(Transcription!$F:$F, ""@""))) = TRIM(CLEAN(TEXT($D83, ""@""))),
      Transcription!$AO:$AO = 2
    ),
    1
  ),
  ""Not Found""
)
"),"Not Found")</f>
        <v>Not Found</v>
      </c>
      <c r="K83" s="244" t="str">
        <f>IFERROR(__xludf.DUMMYFUNCTION("IFERROR(
  INDEX(
    FILTER(
      Recording!$U:$U,
      TRIM(CLEAN(TEXT(Recording!$E:$E, ""@""))) = TRIM(CLEAN(TEXT($D83, ""@""))),
      Recording!$AA:$AA = 3
    ),
    1
  ),
  ""Not Found""
)
"),"https://drive.google.com/open?id=1vWi6DND9G6_qE4L8H_U-YRiVogdcKbW6")</f>
        <v>https://drive.google.com/open?id=1vWi6DND9G6_qE4L8H_U-YRiVogdcKbW6</v>
      </c>
      <c r="L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1!$E:$E"")=$D83) *
        (IMPORTRANGE(""https://docs.google.com/spreadsheets/d/161aHT6vVT3SLneTKD19N5qVWtnj_jIT8CSsOmUVKmaA/"&amp;"edit?gid=1761053510"",
          ""Haris_Form responses 1!$AQ:$AQ"")=3)
      ),
      1
    ),
    ""0""
  ),
  ""Form not found""
)
"),"3")</f>
        <v>3</v>
      </c>
      <c r="M83" s="245" t="str">
        <f>IFERROR(__xludf.DUMMYFUNCTION("IFERROR(
  INDEX(
    FILTER(
      Transcription!$AJ:$AJ,
      TRIM(CLEAN(TEXT(Transcription!$F:$F, ""@""))) = TRIM(CLEAN(TEXT($D83, ""@""))),
      Transcription!$AO:$AO = 3
    ),
    1
  ),
  ""Not Found""
)
"),"https://drive.google.com/open?id=1sadlfzbXGg7Y5IVba1Aoe65q1nHiEeZd")</f>
        <v>https://drive.google.com/open?id=1sadlfzbXGg7Y5IVba1Aoe65q1nHiEeZd</v>
      </c>
      <c r="N83" s="246" t="str">
        <f>IFERROR(__xludf.DUMMYFUNCTION("IFERROR(
  INDEX(
    FILTER(
      Recording!$U:$U,
      TRIM(CLEAN(TEXT(Recording!$E:$E, ""@""))) = TRIM(CLEAN(TEXT($D83, ""@""))),
      Recording!$AA:$AA = 4
    ),
    1
  ),
  ""Not Found""
)
"),"Not Found")</f>
        <v>Not Found</v>
      </c>
      <c r="O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1!$E:$E"")=$D83) *
        (IMPORTRANGE(""https://docs.google.com/spreadsheets/d/161aHT6vVT3SLneTKD19N5qVWtnj_jIT8CSsOmUVKmaA/"&amp;"edit?gid=1761053510"",
          ""Haris_Form responses 1!$AQ:$AQ"")=4)
      ),
      1
    ),
    ""0""
  ),
  ""Form not found""
)
"),"Form not found")</f>
        <v>Form not found</v>
      </c>
      <c r="P83" s="247" t="str">
        <f>IFERROR(__xludf.DUMMYFUNCTION("IFERROR(
  INDEX(
    FILTER(
      Transcription!$AJ:$AJ,
      TRIM(CLEAN(TEXT(Transcription!$F:$F, ""@""))) = TRIM(CLEAN(TEXT($D83, ""@""))),
      Transcription!$AO:$AO = 4
    ),
    1
  ),
  ""Not Found""
)
"),"Not Found")</f>
        <v>Not Found</v>
      </c>
      <c r="Q83" s="246" t="str">
        <f>IFERROR(__xludf.DUMMYFUNCTION("IFERROR(
  INDEX(
    FILTER(
      Recording!$U:$U,
      TRIM(CLEAN(TEXT(Recording!$E:$E, ""@""))) = TRIM(CLEAN(TEXT($D83, ""@""))),
      Recording!$AA:$AA = 5
    ),
    1
  ),
  ""Not Found""
)
"),"Not Found")</f>
        <v>Not Found</v>
      </c>
      <c r="R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1!$E:$E"")=$D83) *
        (IMPORTRANGE(""https://docs.google.com/spreadsheets/d/161aHT6vVT3SLneTKD19N5qVWtnj_jIT8CSsOmUVKmaA/"&amp;"edit?gid=1761053510"",
          ""Haris_Form responses 1!$AQ:$AQ"")=5)
      ),
      1
    ),
    ""0""
  ),
  ""Form not found""
)
"),"Form not found")</f>
        <v>Form not found</v>
      </c>
      <c r="S83" s="247" t="str">
        <f>IFERROR(__xludf.DUMMYFUNCTION("IFERROR(
  INDEX(
    FILTER(
      Transcription!$AJ:$AJ,
      TRIM(CLEAN(TEXT(Transcription!$F:$F, ""@""))) = TRIM(CLEAN(TEXT($D83, ""@""))),
      Transcription!$AO:$AO = 5
    ),
    1
  ),
  ""Not Found""
)
"),"Not Found")</f>
        <v>Not Found</v>
      </c>
      <c r="T83" s="246" t="str">
        <f>IFERROR(__xludf.DUMMYFUNCTION("IFERROR(
  INDEX(
    FILTER(
      Recording!$U:$U,
      TRIM(CLEAN(TEXT(Recording!$E:$E, ""@""))) = TRIM(CLEAN(TEXT($D83, ""@""))),
      Recording!$AA:$AA = 6
    ),
    1
  ),
  ""Not Found""
)
"),"Not Found")</f>
        <v>Not Found</v>
      </c>
      <c r="U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1!$E:$E"")=$D83) *
        (IMPORTRANGE(""https://docs.google.com/spreadsheets/d/161aHT6vVT3SLneTKD19N5qVWtnj_jIT8CSsOmUVKmaA/"&amp;"edit?gid=1761053510"",
          ""Haris_Form responses 1!$AQ:$AQ"")=6)
      ),
      1
    ),
    ""0""
  ),
  ""Form not found""
)
"),"Form not found")</f>
        <v>Form not found</v>
      </c>
      <c r="V83" s="247" t="str">
        <f>IFERROR(__xludf.DUMMYFUNCTION("IFERROR(
  INDEX(
    FILTER(
      Transcription!$AJ:$AJ,
      TRIM(CLEAN(TEXT(Transcription!$F:$F, ""@""))) = TRIM(CLEAN(TEXT($D83, ""@""))),
      Transcription!$AO:$AO = 6
    ),
    1
  ),
  ""Not Found""
)
"),"Not Found")</f>
        <v>Not Found</v>
      </c>
      <c r="X83" s="8" t="s">
        <v>4549</v>
      </c>
      <c r="Z83" s="10">
        <f t="shared" si="1"/>
        <v>2</v>
      </c>
      <c r="AA83" s="10">
        <f t="shared" si="2"/>
        <v>0</v>
      </c>
    </row>
    <row r="84">
      <c r="A84" s="8" t="str">
        <f>VLOOKUP($D84,Sheet6!$B:$G,5,FALSE)</f>
        <v>Jhelum</v>
      </c>
      <c r="B84" s="232" t="str">
        <f>VLOOKUP($D84,Sheet6!$B:$G,4,FALSE)</f>
        <v>Control</v>
      </c>
      <c r="C84" s="8">
        <v>2.0</v>
      </c>
      <c r="D84" s="8" t="s">
        <v>1885</v>
      </c>
      <c r="E84" s="244" t="str">
        <f>IFERROR(__xludf.DUMMYFUNCTION("IFERROR(
  INDEX(
    FILTER(
      Recording!$U:$U,
      TRIM(CLEAN(TEXT(Recording!$E:$E, ""@""))) = TRIM(CLEAN(TEXT($D84, ""@""))),
      Recording!$AA:$AA = 1
    ),
    1
  ),
  ""Not Found""
)
"),"https://drive.google.com/open?id=1jjJe_mAxvZl5JPAxoPZcir0TqH3mh637")</f>
        <v>https://drive.google.com/open?id=1jjJe_mAxvZl5JPAxoPZcir0TqH3mh637</v>
      </c>
      <c r="F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1!$E:$E"")=$D84) *
        (IMPORTRANGE(""https://docs.google.com/spreadsheets/d/161aHT6vVT3SLneTKD19N5qVWtnj_jIT8CSsOmUVKmaA/"&amp;"edit?gid=1761053510"",
          ""Haris_Form responses 1!$AQ:$AQ"")=1)
      ),
      1
    ),
    ""0""
  ),
  ""Form not found""
)
"),"1")</f>
        <v>1</v>
      </c>
      <c r="G84" s="245" t="str">
        <f>IFERROR(__xludf.DUMMYFUNCTION("IFERROR(
  INDEX(
    FILTER(
      Transcription!$AJ:$AJ,
      TRIM(CLEAN(TEXT(Transcription!$F:$F, ""@""))) = TRIM(CLEAN(TEXT($D84, ""@""))),
      Transcription!$AO:$AO = 1
    ),
    1
  ),
  ""Not Found""
)
"),"https://drive.google.com/open?id=1Q7rneHPVb8FIXpbfxLYe_flTxcxWtexO")</f>
        <v>https://drive.google.com/open?id=1Q7rneHPVb8FIXpbfxLYe_flTxcxWtexO</v>
      </c>
      <c r="H84" s="246" t="str">
        <f>IFERROR(__xludf.DUMMYFUNCTION("IFERROR(
  INDEX(
    FILTER(
      Recording!$U:$U,
      TRIM(CLEAN(TEXT(Recording!$E:$E, ""@""))) = TRIM(CLEAN(TEXT($D84, ""@""))),
      Recording!$AA:$AA = 2
    ),
    1
  ),
  ""Not Found""
)
"),"Not Found")</f>
        <v>Not Found</v>
      </c>
      <c r="I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1!$E:$E"")=$D84) *
        (IMPORTRANGE(""https://docs.google.com/spreadsheets/d/161aHT6vVT3SLneTKD19N5qVWtnj_jIT8CSsOmUVKmaA/"&amp;"edit?gid=1761053510"",
          ""Haris_Form responses 1!$AQ:$AQ"")=2)
      ),
      1
    ),
    ""0""
  ),
  ""Form not found""
)
"),"Form not found")</f>
        <v>Form not found</v>
      </c>
      <c r="J84" s="247" t="str">
        <f>IFERROR(__xludf.DUMMYFUNCTION("IFERROR(
  INDEX(
    FILTER(
      Transcription!$AJ:$AJ,
      TRIM(CLEAN(TEXT(Transcription!$F:$F, ""@""))) = TRIM(CLEAN(TEXT($D84, ""@""))),
      Transcription!$AO:$AO = 2
    ),
    1
  ),
  ""Not Found""
)
"),"Not Found")</f>
        <v>Not Found</v>
      </c>
      <c r="K84" s="244" t="str">
        <f>IFERROR(__xludf.DUMMYFUNCTION("IFERROR(
  INDEX(
    FILTER(
      Recording!$U:$U,
      TRIM(CLEAN(TEXT(Recording!$E:$E, ""@""))) = TRIM(CLEAN(TEXT($D84, ""@""))),
      Recording!$AA:$AA = 3
    ),
    1
  ),
  ""Not Found""
)
"),"https://drive.google.com/open?id=1U7KIZPRLGtsXtj_qbKp9NpF8DWg164uX")</f>
        <v>https://drive.google.com/open?id=1U7KIZPRLGtsXtj_qbKp9NpF8DWg164uX</v>
      </c>
      <c r="L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1!$E:$E"")=$D84) *
        (IMPORTRANGE(""https://docs.google.com/spreadsheets/d/161aHT6vVT3SLneTKD19N5qVWtnj_jIT8CSsOmUVKmaA/"&amp;"edit?gid=1761053510"",
          ""Haris_Form responses 1!$AQ:$AQ"")=3)
      ),
      1
    ),
    ""0""
  ),
  ""Form not found""
)
"),"3")</f>
        <v>3</v>
      </c>
      <c r="M84" s="245" t="str">
        <f>IFERROR(__xludf.DUMMYFUNCTION("IFERROR(
  INDEX(
    FILTER(
      Transcription!$AJ:$AJ,
      TRIM(CLEAN(TEXT(Transcription!$F:$F, ""@""))) = TRIM(CLEAN(TEXT($D84, ""@""))),
      Transcription!$AO:$AO = 3
    ),
    1
  ),
  ""Not Found""
)
"),"https://drive.google.com/open?id=1T7mXoNb61x1foYh9nhmyNw-itQUUGJ_X")</f>
        <v>https://drive.google.com/open?id=1T7mXoNb61x1foYh9nhmyNw-itQUUGJ_X</v>
      </c>
      <c r="N84" s="246" t="str">
        <f>IFERROR(__xludf.DUMMYFUNCTION("IFERROR(
  INDEX(
    FILTER(
      Recording!$U:$U,
      TRIM(CLEAN(TEXT(Recording!$E:$E, ""@""))) = TRIM(CLEAN(TEXT($D84, ""@""))),
      Recording!$AA:$AA = 4
    ),
    1
  ),
  ""Not Found""
)
"),"Not Found")</f>
        <v>Not Found</v>
      </c>
      <c r="O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1!$E:$E"")=$D84) *
        (IMPORTRANGE(""https://docs.google.com/spreadsheets/d/161aHT6vVT3SLneTKD19N5qVWtnj_jIT8CSsOmUVKmaA/"&amp;"edit?gid=1761053510"",
          ""Haris_Form responses 1!$AQ:$AQ"")=4)
      ),
      1
    ),
    ""0""
  ),
  ""Form not found""
)
"),"Form not found")</f>
        <v>Form not found</v>
      </c>
      <c r="P84" s="247" t="str">
        <f>IFERROR(__xludf.DUMMYFUNCTION("IFERROR(
  INDEX(
    FILTER(
      Transcription!$AJ:$AJ,
      TRIM(CLEAN(TEXT(Transcription!$F:$F, ""@""))) = TRIM(CLEAN(TEXT($D84, ""@""))),
      Transcription!$AO:$AO = 4
    ),
    1
  ),
  ""Not Found""
)
"),"Not Found")</f>
        <v>Not Found</v>
      </c>
      <c r="Q84" s="246" t="str">
        <f>IFERROR(__xludf.DUMMYFUNCTION("IFERROR(
  INDEX(
    FILTER(
      Recording!$U:$U,
      TRIM(CLEAN(TEXT(Recording!$E:$E, ""@""))) = TRIM(CLEAN(TEXT($D84, ""@""))),
      Recording!$AA:$AA = 5
    ),
    1
  ),
  ""Not Found""
)
"),"Not Found")</f>
        <v>Not Found</v>
      </c>
      <c r="R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1!$E:$E"")=$D84) *
        (IMPORTRANGE(""https://docs.google.com/spreadsheets/d/161aHT6vVT3SLneTKD19N5qVWtnj_jIT8CSsOmUVKmaA/"&amp;"edit?gid=1761053510"",
          ""Haris_Form responses 1!$AQ:$AQ"")=5)
      ),
      1
    ),
    ""0""
  ),
  ""Form not found""
)
"),"Form not found")</f>
        <v>Form not found</v>
      </c>
      <c r="S84" s="247" t="str">
        <f>IFERROR(__xludf.DUMMYFUNCTION("IFERROR(
  INDEX(
    FILTER(
      Transcription!$AJ:$AJ,
      TRIM(CLEAN(TEXT(Transcription!$F:$F, ""@""))) = TRIM(CLEAN(TEXT($D84, ""@""))),
      Transcription!$AO:$AO = 5
    ),
    1
  ),
  ""Not Found""
)
"),"Not Found")</f>
        <v>Not Found</v>
      </c>
      <c r="T84" s="246" t="str">
        <f>IFERROR(__xludf.DUMMYFUNCTION("IFERROR(
  INDEX(
    FILTER(
      Recording!$U:$U,
      TRIM(CLEAN(TEXT(Recording!$E:$E, ""@""))) = TRIM(CLEAN(TEXT($D84, ""@""))),
      Recording!$AA:$AA = 6
    ),
    1
  ),
  ""Not Found""
)
"),"Not Found")</f>
        <v>Not Found</v>
      </c>
      <c r="U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1!$E:$E"")=$D84) *
        (IMPORTRANGE(""https://docs.google.com/spreadsheets/d/161aHT6vVT3SLneTKD19N5qVWtnj_jIT8CSsOmUVKmaA/"&amp;"edit?gid=1761053510"",
          ""Haris_Form responses 1!$AQ:$AQ"")=6)
      ),
      1
    ),
    ""0""
  ),
  ""Form not found""
)
"),"Form not found")</f>
        <v>Form not found</v>
      </c>
      <c r="V84" s="247" t="str">
        <f>IFERROR(__xludf.DUMMYFUNCTION("IFERROR(
  INDEX(
    FILTER(
      Transcription!$AJ:$AJ,
      TRIM(CLEAN(TEXT(Transcription!$F:$F, ""@""))) = TRIM(CLEAN(TEXT($D84, ""@""))),
      Transcription!$AO:$AO = 6
    ),
    1
  ),
  ""Not Found""
)
"),"Not Found")</f>
        <v>Not Found</v>
      </c>
      <c r="Z84" s="10">
        <f t="shared" si="1"/>
        <v>2</v>
      </c>
      <c r="AA84" s="10">
        <f t="shared" si="2"/>
        <v>0</v>
      </c>
    </row>
    <row r="85">
      <c r="A85" s="8" t="str">
        <f>VLOOKUP($D85,Sheet6!$B:$G,5,FALSE)</f>
        <v>Jhelum</v>
      </c>
      <c r="B85" s="232" t="str">
        <f>VLOOKUP($D85,Sheet6!$B:$G,4,FALSE)</f>
        <v>Women Secular Info Share</v>
      </c>
      <c r="C85" s="8">
        <v>3.0</v>
      </c>
      <c r="D85" s="8" t="s">
        <v>2273</v>
      </c>
      <c r="E85" s="246" t="str">
        <f>IFERROR(__xludf.DUMMYFUNCTION("IFERROR(
  INDEX(
    FILTER(
      Recording!$U:$U,
      TRIM(CLEAN(TEXT(Recording!$E:$E, ""@""))) = TRIM(CLEAN(TEXT($D85, ""@""))),
      Recording!$AA:$AA = 1
    ),
    1
  ),
  ""Not Found""
)
"),"Not Found")</f>
        <v>Not Found</v>
      </c>
      <c r="F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1!$E:$E"")=$D85) *
        (IMPORTRANGE(""https://docs.google.com/spreadsheets/d/161aHT6vVT3SLneTKD19N5qVWtnj_jIT8CSsOmUVKmaA/"&amp;"edit?gid=1761053510"",
          ""Haris_Form responses 1!$AQ:$AQ"")=1)
      ),
      1
    ),
    ""0""
  ),
  ""Form not found""
)
"),"Form not found")</f>
        <v>Form not found</v>
      </c>
      <c r="G85" s="247" t="str">
        <f>IFERROR(__xludf.DUMMYFUNCTION("IFERROR(
  INDEX(
    FILTER(
      Transcription!$AJ:$AJ,
      TRIM(CLEAN(TEXT(Transcription!$F:$F, ""@""))) = TRIM(CLEAN(TEXT($D85, ""@""))),
      Transcription!$AO:$AO = 1
    ),
    1
  ),
  ""Not Found""
)
"),"Not Found")</f>
        <v>Not Found</v>
      </c>
      <c r="H85" s="244" t="str">
        <f>IFERROR(__xludf.DUMMYFUNCTION("IFERROR(
  INDEX(
    FILTER(
      Recording!$U:$U,
      TRIM(CLEAN(TEXT(Recording!$E:$E, ""@""))) = TRIM(CLEAN(TEXT($D85, ""@""))),
      Recording!$AA:$AA = 2
    ),
    1
  ),
  ""Not Found""
)
"),"https://drive.google.com/open?id=19gIcnXZnol8BPgkgFifB8z3F8zr1lepu")</f>
        <v>https://drive.google.com/open?id=19gIcnXZnol8BPgkgFifB8z3F8zr1lepu</v>
      </c>
      <c r="I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1!$E:$E"")=$D85) *
        (IMPORTRANGE(""https://docs.google.com/spreadsheets/d/161aHT6vVT3SLneTKD19N5qVWtnj_jIT8CSsOmUVKmaA/"&amp;"edit?gid=1761053510"",
          ""Haris_Form responses 1!$AQ:$AQ"")=2)
      ),
      1
    ),
    ""0""
  ),
  ""Form not found""
)
"),"2")</f>
        <v>2</v>
      </c>
      <c r="J85" s="245" t="str">
        <f>IFERROR(__xludf.DUMMYFUNCTION("IFERROR(
  INDEX(
    FILTER(
      Transcription!$AJ:$AJ,
      TRIM(CLEAN(TEXT(Transcription!$F:$F, ""@""))) = TRIM(CLEAN(TEXT($D85, ""@""))),
      Transcription!$AO:$AO = 2
    ),
    1
  ),
  ""Not Found""
)
"),"https://drive.google.com/open?id=1hc15aPN2PZ6XyEIsYu9M2Ep0TVrARSLX")</f>
        <v>https://drive.google.com/open?id=1hc15aPN2PZ6XyEIsYu9M2Ep0TVrARSLX</v>
      </c>
      <c r="K85" s="244" t="str">
        <f>IFERROR(__xludf.DUMMYFUNCTION("IFERROR(
  INDEX(
    FILTER(
      Recording!$U:$U,
      TRIM(CLEAN(TEXT(Recording!$E:$E, ""@""))) = TRIM(CLEAN(TEXT($D85, ""@""))),
      Recording!$AA:$AA = 3
    ),
    1
  ),
  ""Not Found""
)
"),"https://drive.google.com/open?id=18ueNhAYV5QQXWjweC8i48vF5_eixUSzk")</f>
        <v>https://drive.google.com/open?id=18ueNhAYV5QQXWjweC8i48vF5_eixUSzk</v>
      </c>
      <c r="L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1!$E:$E"")=$D85) *
        (IMPORTRANGE(""https://docs.google.com/spreadsheets/d/161aHT6vVT3SLneTKD19N5qVWtnj_jIT8CSsOmUVKmaA/"&amp;"edit?gid=1761053510"",
          ""Haris_Form responses 1!$AQ:$AQ"")=3)
      ),
      1
    ),
    ""0""
  ),
  ""Form not found""
)
"),"3")</f>
        <v>3</v>
      </c>
      <c r="M85" s="245" t="str">
        <f>IFERROR(__xludf.DUMMYFUNCTION("IFERROR(
  INDEX(
    FILTER(
      Transcription!$AJ:$AJ,
      TRIM(CLEAN(TEXT(Transcription!$F:$F, ""@""))) = TRIM(CLEAN(TEXT($D85, ""@""))),
      Transcription!$AO:$AO = 3
    ),
    1
  ),
  ""Not Found""
)
"),"https://drive.google.com/open?id=1hzDKlQblWxzpSIqIBjJBR6BayN3SsWCT")</f>
        <v>https://drive.google.com/open?id=1hzDKlQblWxzpSIqIBjJBR6BayN3SsWCT</v>
      </c>
      <c r="N85" s="244" t="str">
        <f>IFERROR(__xludf.DUMMYFUNCTION("IFERROR(
  INDEX(
    FILTER(
      Recording!$U:$U,
      TRIM(CLEAN(TEXT(Recording!$E:$E, ""@""))) = TRIM(CLEAN(TEXT($D85, ""@""))),
      Recording!$AA:$AA = 4
    ),
    1
  ),
  ""Not Found""
)
"),"https://drive.google.com/open?id=1p4cVf5Z51nbnpi5BP6Y3jdCx7Y8lGWpx")</f>
        <v>https://drive.google.com/open?id=1p4cVf5Z51nbnpi5BP6Y3jdCx7Y8lGWpx</v>
      </c>
      <c r="O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1!$E:$E"")=$D85) *
        (IMPORTRANGE(""https://docs.google.com/spreadsheets/d/161aHT6vVT3SLneTKD19N5qVWtnj_jIT8CSsOmUVKmaA/"&amp;"edit?gid=1761053510"",
          ""Haris_Form responses 1!$AQ:$AQ"")=4)
      ),
      1
    ),
    ""0""
  ),
  ""Form not found""
)
"),"4")</f>
        <v>4</v>
      </c>
      <c r="P85" s="245" t="str">
        <f>IFERROR(__xludf.DUMMYFUNCTION("IFERROR(
  INDEX(
    FILTER(
      Transcription!$AJ:$AJ,
      TRIM(CLEAN(TEXT(Transcription!$F:$F, ""@""))) = TRIM(CLEAN(TEXT($D85, ""@""))),
      Transcription!$AO:$AO = 4
    ),
    1
  ),
  ""Not Found""
)
"),"https://drive.google.com/open?id=1Ax9woOwW-iBjf1vpo8Y3sGUQi3UA0YvO")</f>
        <v>https://drive.google.com/open?id=1Ax9woOwW-iBjf1vpo8Y3sGUQi3UA0YvO</v>
      </c>
      <c r="Q85" s="246" t="str">
        <f>IFERROR(__xludf.DUMMYFUNCTION("IFERROR(
  INDEX(
    FILTER(
      Recording!$U:$U,
      TRIM(CLEAN(TEXT(Recording!$E:$E, ""@""))) = TRIM(CLEAN(TEXT($D85, ""@""))),
      Recording!$AA:$AA = 5
    ),
    1
  ),
  ""Not Found""
)
"),"Not Found")</f>
        <v>Not Found</v>
      </c>
      <c r="R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1!$E:$E"")=$D85) *
        (IMPORTRANGE(""https://docs.google.com/spreadsheets/d/161aHT6vVT3SLneTKD19N5qVWtnj_jIT8CSsOmUVKmaA/"&amp;"edit?gid=1761053510"",
          ""Haris_Form responses 1!$AQ:$AQ"")=5)
      ),
      1
    ),
    ""0""
  ),
  ""Form not found""
)
"),"Form not found")</f>
        <v>Form not found</v>
      </c>
      <c r="S85" s="247" t="str">
        <f>IFERROR(__xludf.DUMMYFUNCTION("IFERROR(
  INDEX(
    FILTER(
      Transcription!$AJ:$AJ,
      TRIM(CLEAN(TEXT(Transcription!$F:$F, ""@""))) = TRIM(CLEAN(TEXT($D85, ""@""))),
      Transcription!$AO:$AO = 5
    ),
    1
  ),
  ""Not Found""
)
"),"Not Found")</f>
        <v>Not Found</v>
      </c>
      <c r="T85" s="248" t="str">
        <f>IFERROR(__xludf.DUMMYFUNCTION("IFERROR(
  INDEX(
    FILTER(
      Recording!$U:$U,
      TRIM(CLEAN(TEXT(Recording!$E:$E, ""@""))) = TRIM(CLEAN(TEXT($D85, ""@""))),
      Recording!$AA:$AA = 6
    ),
    1
  ),
  ""Not Found""
)
"),"Not Found")</f>
        <v>Not Found</v>
      </c>
      <c r="U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1!$E:$E"")=$D85) *
        (IMPORTRANGE(""https://docs.google.com/spreadsheets/d/161aHT6vVT3SLneTKD19N5qVWtnj_jIT8CSsOmUVKmaA/"&amp;"edit?gid=1761053510"",
          ""Haris_Form responses 1!$AQ:$AQ"")=6)
      ),
      1
    ),
    ""0""
  ),
  ""Form not found""
)
"),"Form not found")</f>
        <v>Form not found</v>
      </c>
      <c r="V85" s="247" t="str">
        <f>IFERROR(__xludf.DUMMYFUNCTION("IFERROR(
  INDEX(
    FILTER(
      Transcription!$AJ:$AJ,
      TRIM(CLEAN(TEXT(Transcription!$F:$F, ""@""))) = TRIM(CLEAN(TEXT($D85, ""@""))),
      Transcription!$AO:$AO = 6
    ),
    1
  ),
  ""Not Found""
)
"),"Not Found")</f>
        <v>Not Found</v>
      </c>
      <c r="X85" s="8" t="s">
        <v>4550</v>
      </c>
      <c r="Z85" s="10">
        <f t="shared" si="1"/>
        <v>3</v>
      </c>
      <c r="AA85" s="10">
        <f t="shared" si="2"/>
        <v>0</v>
      </c>
    </row>
    <row r="86">
      <c r="A86" s="8" t="str">
        <f>VLOOKUP($D86,Sheet6!$B:$G,5,FALSE)</f>
        <v>Jhelum</v>
      </c>
      <c r="B86" s="232" t="str">
        <f>VLOOKUP($D86,Sheet6!$B:$G,4,FALSE)</f>
        <v>Control</v>
      </c>
      <c r="C86" s="8">
        <v>2.0</v>
      </c>
      <c r="D86" s="8" t="s">
        <v>2544</v>
      </c>
      <c r="E86" s="244" t="str">
        <f>IFERROR(__xludf.DUMMYFUNCTION("IFERROR(
  INDEX(
    FILTER(
      Recording!$U:$U,
      TRIM(CLEAN(TEXT(Recording!$E:$E, ""@""))) = TRIM(CLEAN(TEXT($D86, ""@""))),
      Recording!$AA:$AA = 1
    ),
    1
  ),
  ""Not Found""
)
"),"https://drive.google.com/open?id=11qwN6dxeRYUsaju4c_51cScOkA-f6jN8")</f>
        <v>https://drive.google.com/open?id=11qwN6dxeRYUsaju4c_51cScOkA-f6jN8</v>
      </c>
      <c r="F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1!$E:$E"")=$D86) *
        (IMPORTRANGE(""https://docs.google.com/spreadsheets/d/161aHT6vVT3SLneTKD19N5qVWtnj_jIT8CSsOmUVKmaA/"&amp;"edit?gid=1761053510"",
          ""Haris_Form responses 1!$AQ:$AQ"")=1)
      ),
      1
    ),
    ""0""
  ),
  ""Form not found""
)
"),"1")</f>
        <v>1</v>
      </c>
      <c r="G86" s="245" t="str">
        <f>IFERROR(__xludf.DUMMYFUNCTION("IFERROR(
  INDEX(
    FILTER(
      Transcription!$AJ:$AJ,
      TRIM(CLEAN(TEXT(Transcription!$F:$F, ""@""))) = TRIM(CLEAN(TEXT($D86, ""@""))),
      Transcription!$AO:$AO = 1
    ),
    1
  ),
  ""Not Found""
)
"),"https://drive.google.com/open?id=1-PJ6L2S3K_OiGl9j0bK9MmCXO-6x5sHF")</f>
        <v>https://drive.google.com/open?id=1-PJ6L2S3K_OiGl9j0bK9MmCXO-6x5sHF</v>
      </c>
      <c r="H86" s="246" t="str">
        <f>IFERROR(__xludf.DUMMYFUNCTION("IFERROR(
  INDEX(
    FILTER(
      Recording!$U:$U,
      TRIM(CLEAN(TEXT(Recording!$E:$E, ""@""))) = TRIM(CLEAN(TEXT($D86, ""@""))),
      Recording!$AA:$AA = 2
    ),
    1
  ),
  ""Not Found""
)
"),"Not Found")</f>
        <v>Not Found</v>
      </c>
      <c r="I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1!$E:$E"")=$D86) *
        (IMPORTRANGE(""https://docs.google.com/spreadsheets/d/161aHT6vVT3SLneTKD19N5qVWtnj_jIT8CSsOmUVKmaA/"&amp;"edit?gid=1761053510"",
          ""Haris_Form responses 1!$AQ:$AQ"")=2)
      ),
      1
    ),
    ""0""
  ),
  ""Form not found""
)
"),"Form not found")</f>
        <v>Form not found</v>
      </c>
      <c r="J86" s="247" t="str">
        <f>IFERROR(__xludf.DUMMYFUNCTION("IFERROR(
  INDEX(
    FILTER(
      Transcription!$AJ:$AJ,
      TRIM(CLEAN(TEXT(Transcription!$F:$F, ""@""))) = TRIM(CLEAN(TEXT($D86, ""@""))),
      Transcription!$AO:$AO = 2
    ),
    1
  ),
  ""Not Found""
)
"),"Not Found")</f>
        <v>Not Found</v>
      </c>
      <c r="K86" s="244" t="str">
        <f>IFERROR(__xludf.DUMMYFUNCTION("IFERROR(
  INDEX(
    FILTER(
      Recording!$U:$U,
      TRIM(CLEAN(TEXT(Recording!$E:$E, ""@""))) = TRIM(CLEAN(TEXT($D86, ""@""))),
      Recording!$AA:$AA = 3
    ),
    1
  ),
  ""Not Found""
)
"),"https://drive.google.com/open?id=1Kal1N6K2EwoiVIFdgyLwTla_buY2Trg3")</f>
        <v>https://drive.google.com/open?id=1Kal1N6K2EwoiVIFdgyLwTla_buY2Trg3</v>
      </c>
      <c r="L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1!$E:$E"")=$D86) *
        (IMPORTRANGE(""https://docs.google.com/spreadsheets/d/161aHT6vVT3SLneTKD19N5qVWtnj_jIT8CSsOmUVKmaA/"&amp;"edit?gid=1761053510"",
          ""Haris_Form responses 1!$AQ:$AQ"")=3)
      ),
      1
    ),
    ""0""
  ),
  ""Form not found""
)
"),"3")</f>
        <v>3</v>
      </c>
      <c r="M86" s="245" t="str">
        <f>IFERROR(__xludf.DUMMYFUNCTION("IFERROR(
  INDEX(
    FILTER(
      Transcription!$AJ:$AJ,
      TRIM(CLEAN(TEXT(Transcription!$F:$F, ""@""))) = TRIM(CLEAN(TEXT($D86, ""@""))),
      Transcription!$AO:$AO = 3
    ),
    1
  ),
  ""Not Found""
)
"),"https://drive.google.com/open?id=1Y7sAqo3eXE2Sa4_0VeCtveWRPy_NPpPn")</f>
        <v>https://drive.google.com/open?id=1Y7sAqo3eXE2Sa4_0VeCtveWRPy_NPpPn</v>
      </c>
      <c r="N86" s="246" t="str">
        <f>IFERROR(__xludf.DUMMYFUNCTION("IFERROR(
  INDEX(
    FILTER(
      Recording!$U:$U,
      TRIM(CLEAN(TEXT(Recording!$E:$E, ""@""))) = TRIM(CLEAN(TEXT($D86, ""@""))),
      Recording!$AA:$AA = 4
    ),
    1
  ),
  ""Not Found""
)
"),"Not Found")</f>
        <v>Not Found</v>
      </c>
      <c r="O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1!$E:$E"")=$D86) *
        (IMPORTRANGE(""https://docs.google.com/spreadsheets/d/161aHT6vVT3SLneTKD19N5qVWtnj_jIT8CSsOmUVKmaA/"&amp;"edit?gid=1761053510"",
          ""Haris_Form responses 1!$AQ:$AQ"")=4)
      ),
      1
    ),
    ""0""
  ),
  ""Form not found""
)
"),"Form not found")</f>
        <v>Form not found</v>
      </c>
      <c r="P86" s="247" t="str">
        <f>IFERROR(__xludf.DUMMYFUNCTION("IFERROR(
  INDEX(
    FILTER(
      Transcription!$AJ:$AJ,
      TRIM(CLEAN(TEXT(Transcription!$F:$F, ""@""))) = TRIM(CLEAN(TEXT($D86, ""@""))),
      Transcription!$AO:$AO = 4
    ),
    1
  ),
  ""Not Found""
)
"),"Not Found")</f>
        <v>Not Found</v>
      </c>
      <c r="Q86" s="246" t="str">
        <f>IFERROR(__xludf.DUMMYFUNCTION("IFERROR(
  INDEX(
    FILTER(
      Recording!$U:$U,
      TRIM(CLEAN(TEXT(Recording!$E:$E, ""@""))) = TRIM(CLEAN(TEXT($D86, ""@""))),
      Recording!$AA:$AA = 5
    ),
    1
  ),
  ""Not Found""
)
"),"Not Found")</f>
        <v>Not Found</v>
      </c>
      <c r="R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1!$E:$E"")=$D86) *
        (IMPORTRANGE(""https://docs.google.com/spreadsheets/d/161aHT6vVT3SLneTKD19N5qVWtnj_jIT8CSsOmUVKmaA/"&amp;"edit?gid=1761053510"",
          ""Haris_Form responses 1!$AQ:$AQ"")=5)
      ),
      1
    ),
    ""0""
  ),
  ""Form not found""
)
"),"Form not found")</f>
        <v>Form not found</v>
      </c>
      <c r="S86" s="247" t="str">
        <f>IFERROR(__xludf.DUMMYFUNCTION("IFERROR(
  INDEX(
    FILTER(
      Transcription!$AJ:$AJ,
      TRIM(CLEAN(TEXT(Transcription!$F:$F, ""@""))) = TRIM(CLEAN(TEXT($D86, ""@""))),
      Transcription!$AO:$AO = 5
    ),
    1
  ),
  ""Not Found""
)
"),"Not Found")</f>
        <v>Not Found</v>
      </c>
      <c r="T86" s="246" t="str">
        <f>IFERROR(__xludf.DUMMYFUNCTION("IFERROR(
  INDEX(
    FILTER(
      Recording!$U:$U,
      TRIM(CLEAN(TEXT(Recording!$E:$E, ""@""))) = TRIM(CLEAN(TEXT($D86, ""@""))),
      Recording!$AA:$AA = 6
    ),
    1
  ),
  ""Not Found""
)
"),"Not Found")</f>
        <v>Not Found</v>
      </c>
      <c r="U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1!$E:$E"")=$D86) *
        (IMPORTRANGE(""https://docs.google.com/spreadsheets/d/161aHT6vVT3SLneTKD19N5qVWtnj_jIT8CSsOmUVKmaA/"&amp;"edit?gid=1761053510"",
          ""Haris_Form responses 1!$AQ:$AQ"")=6)
      ),
      1
    ),
    ""0""
  ),
  ""Form not found""
)
"),"Form not found")</f>
        <v>Form not found</v>
      </c>
      <c r="V86" s="247" t="str">
        <f>IFERROR(__xludf.DUMMYFUNCTION("IFERROR(
  INDEX(
    FILTER(
      Transcription!$AJ:$AJ,
      TRIM(CLEAN(TEXT(Transcription!$F:$F, ""@""))) = TRIM(CLEAN(TEXT($D86, ""@""))),
      Transcription!$AO:$AO = 6
    ),
    1
  ),
  ""Not Found""
)
"),"Not Found")</f>
        <v>Not Found</v>
      </c>
      <c r="Z86" s="10">
        <f t="shared" si="1"/>
        <v>2</v>
      </c>
      <c r="AA86" s="10">
        <f t="shared" si="2"/>
        <v>0</v>
      </c>
    </row>
    <row r="87">
      <c r="A87" s="8" t="str">
        <f>VLOOKUP($D87,Sheet6!$B:$G,5,FALSE)</f>
        <v>Jhelum</v>
      </c>
      <c r="B87" s="232" t="str">
        <f>VLOOKUP($D87,Sheet6!$B:$G,4,FALSE)</f>
        <v>Control</v>
      </c>
      <c r="C87" s="8">
        <v>2.0</v>
      </c>
      <c r="D87" s="8" t="s">
        <v>2551</v>
      </c>
      <c r="E87" s="244" t="str">
        <f>IFERROR(__xludf.DUMMYFUNCTION("IFERROR(
  INDEX(
    FILTER(
      Recording!$U:$U,
      TRIM(CLEAN(TEXT(Recording!$E:$E, ""@""))) = TRIM(CLEAN(TEXT($D87, ""@""))),
      Recording!$AA:$AA = 1
    ),
    1
  ),
  ""Not Found""
)
"),"https://drive.google.com/open?id=1zgODESIvP1jNLDbtk-AkveyC4VXzBUbD")</f>
        <v>https://drive.google.com/open?id=1zgODESIvP1jNLDbtk-AkveyC4VXzBUbD</v>
      </c>
      <c r="F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1!$E:$E"")=$D87) *
        (IMPORTRANGE(""https://docs.google.com/spreadsheets/d/161aHT6vVT3SLneTKD19N5qVWtnj_jIT8CSsOmUVKmaA/"&amp;"edit?gid=1761053510"",
          ""Haris_Form responses 1!$AQ:$AQ"")=1)
      ),
      1
    ),
    ""0""
  ),
  ""Form not found""
)
"),"1")</f>
        <v>1</v>
      </c>
      <c r="G87" s="245" t="str">
        <f>IFERROR(__xludf.DUMMYFUNCTION("IFERROR(
  INDEX(
    FILTER(
      Transcription!$AJ:$AJ,
      TRIM(CLEAN(TEXT(Transcription!$F:$F, ""@""))) = TRIM(CLEAN(TEXT($D87, ""@""))),
      Transcription!$AO:$AO = 1
    ),
    1
  ),
  ""Not Found""
)
"),"https://docs.google.com/document/d/1Z_6e_ECLU8RfpHebyyao8_DmicgmsKTi/edit?usp=drive_link&amp;ouid=117122465010506134151&amp;rtpof=true&amp;sd=true")</f>
        <v>https://docs.google.com/document/d/1Z_6e_ECLU8RfpHebyyao8_DmicgmsKTi/edit?usp=drive_link&amp;ouid=117122465010506134151&amp;rtpof=true&amp;sd=true</v>
      </c>
      <c r="H87" s="246" t="str">
        <f>IFERROR(__xludf.DUMMYFUNCTION("IFERROR(
  INDEX(
    FILTER(
      Recording!$U:$U,
      TRIM(CLEAN(TEXT(Recording!$E:$E, ""@""))) = TRIM(CLEAN(TEXT($D87, ""@""))),
      Recording!$AA:$AA = 2
    ),
    1
  ),
  ""Not Found""
)
"),"Not Found")</f>
        <v>Not Found</v>
      </c>
      <c r="I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1!$E:$E"")=$D87) *
        (IMPORTRANGE(""https://docs.google.com/spreadsheets/d/161aHT6vVT3SLneTKD19N5qVWtnj_jIT8CSsOmUVKmaA/"&amp;"edit?gid=1761053510"",
          ""Haris_Form responses 1!$AQ:$AQ"")=2)
      ),
      1
    ),
    ""0""
  ),
  ""Form not found""
)
"),"Form not found")</f>
        <v>Form not found</v>
      </c>
      <c r="J87" s="247" t="str">
        <f>IFERROR(__xludf.DUMMYFUNCTION("IFERROR(
  INDEX(
    FILTER(
      Transcription!$AJ:$AJ,
      TRIM(CLEAN(TEXT(Transcription!$F:$F, ""@""))) = TRIM(CLEAN(TEXT($D87, ""@""))),
      Transcription!$AO:$AO = 2
    ),
    1
  ),
  ""Not Found""
)
"),"Not Found")</f>
        <v>Not Found</v>
      </c>
      <c r="K87" s="244" t="str">
        <f>IFERROR(__xludf.DUMMYFUNCTION("IFERROR(
  INDEX(
    FILTER(
      Recording!$U:$U,
      TRIM(CLEAN(TEXT(Recording!$E:$E, ""@""))) = TRIM(CLEAN(TEXT($D87, ""@""))),
      Recording!$AA:$AA = 3
    ),
    1
  ),
  ""Not Found""
)
"),"https://drive.google.com/open?id=19ib_PHZ82TPjh2diJBmBrDw69kyMIe4J")</f>
        <v>https://drive.google.com/open?id=19ib_PHZ82TPjh2diJBmBrDw69kyMIe4J</v>
      </c>
      <c r="L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1!$E:$E"")=$D87) *
        (IMPORTRANGE(""https://docs.google.com/spreadsheets/d/161aHT6vVT3SLneTKD19N5qVWtnj_jIT8CSsOmUVKmaA/"&amp;"edit?gid=1761053510"",
          ""Haris_Form responses 1!$AQ:$AQ"")=3)
      ),
      1
    ),
    ""0""
  ),
  ""Form not found""
)
"),"3")</f>
        <v>3</v>
      </c>
      <c r="M87" s="245" t="str">
        <f>IFERROR(__xludf.DUMMYFUNCTION("IFERROR(
  INDEX(
    FILTER(
      Transcription!$AJ:$AJ,
      TRIM(CLEAN(TEXT(Transcription!$F:$F, ""@""))) = TRIM(CLEAN(TEXT($D87, ""@""))),
      Transcription!$AO:$AO = 3
    ),
    1
  ),
  ""Not Found""
)
"),"https://drive.google.com/open?id=1-uVavsFooO1qZFQjFjIPWSkijQgTo0nb")</f>
        <v>https://drive.google.com/open?id=1-uVavsFooO1qZFQjFjIPWSkijQgTo0nb</v>
      </c>
      <c r="N87" s="246" t="str">
        <f>IFERROR(__xludf.DUMMYFUNCTION("IFERROR(
  INDEX(
    FILTER(
      Recording!$U:$U,
      TRIM(CLEAN(TEXT(Recording!$E:$E, ""@""))) = TRIM(CLEAN(TEXT($D87, ""@""))),
      Recording!$AA:$AA = 4
    ),
    1
  ),
  ""Not Found""
)
"),"Not Found")</f>
        <v>Not Found</v>
      </c>
      <c r="O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1!$E:$E"")=$D87) *
        (IMPORTRANGE(""https://docs.google.com/spreadsheets/d/161aHT6vVT3SLneTKD19N5qVWtnj_jIT8CSsOmUVKmaA/"&amp;"edit?gid=1761053510"",
          ""Haris_Form responses 1!$AQ:$AQ"")=4)
      ),
      1
    ),
    ""0""
  ),
  ""Form not found""
)
"),"Form not found")</f>
        <v>Form not found</v>
      </c>
      <c r="P87" s="247" t="str">
        <f>IFERROR(__xludf.DUMMYFUNCTION("IFERROR(
  INDEX(
    FILTER(
      Transcription!$AJ:$AJ,
      TRIM(CLEAN(TEXT(Transcription!$F:$F, ""@""))) = TRIM(CLEAN(TEXT($D87, ""@""))),
      Transcription!$AO:$AO = 4
    ),
    1
  ),
  ""Not Found""
)
"),"Not Found")</f>
        <v>Not Found</v>
      </c>
      <c r="Q87" s="246" t="str">
        <f>IFERROR(__xludf.DUMMYFUNCTION("IFERROR(
  INDEX(
    FILTER(
      Recording!$U:$U,
      TRIM(CLEAN(TEXT(Recording!$E:$E, ""@""))) = TRIM(CLEAN(TEXT($D87, ""@""))),
      Recording!$AA:$AA = 5
    ),
    1
  ),
  ""Not Found""
)
"),"Not Found")</f>
        <v>Not Found</v>
      </c>
      <c r="R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1!$E:$E"")=$D87) *
        (IMPORTRANGE(""https://docs.google.com/spreadsheets/d/161aHT6vVT3SLneTKD19N5qVWtnj_jIT8CSsOmUVKmaA/"&amp;"edit?gid=1761053510"",
          ""Haris_Form responses 1!$AQ:$AQ"")=5)
      ),
      1
    ),
    ""0""
  ),
  ""Form not found""
)
"),"Form not found")</f>
        <v>Form not found</v>
      </c>
      <c r="S87" s="247" t="str">
        <f>IFERROR(__xludf.DUMMYFUNCTION("IFERROR(
  INDEX(
    FILTER(
      Transcription!$AJ:$AJ,
      TRIM(CLEAN(TEXT(Transcription!$F:$F, ""@""))) = TRIM(CLEAN(TEXT($D87, ""@""))),
      Transcription!$AO:$AO = 5
    ),
    1
  ),
  ""Not Found""
)
"),"Not Found")</f>
        <v>Not Found</v>
      </c>
      <c r="T87" s="246" t="str">
        <f>IFERROR(__xludf.DUMMYFUNCTION("IFERROR(
  INDEX(
    FILTER(
      Recording!$U:$U,
      TRIM(CLEAN(TEXT(Recording!$E:$E, ""@""))) = TRIM(CLEAN(TEXT($D87, ""@""))),
      Recording!$AA:$AA = 6
    ),
    1
  ),
  ""Not Found""
)
"),"Not Found")</f>
        <v>Not Found</v>
      </c>
      <c r="U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1!$E:$E"")=$D87) *
        (IMPORTRANGE(""https://docs.google.com/spreadsheets/d/161aHT6vVT3SLneTKD19N5qVWtnj_jIT8CSsOmUVKmaA/"&amp;"edit?gid=1761053510"",
          ""Haris_Form responses 1!$AQ:$AQ"")=6)
      ),
      1
    ),
    ""0""
  ),
  ""Form not found""
)
"),"Form not found")</f>
        <v>Form not found</v>
      </c>
      <c r="V87" s="247" t="str">
        <f>IFERROR(__xludf.DUMMYFUNCTION("IFERROR(
  INDEX(
    FILTER(
      Transcription!$AJ:$AJ,
      TRIM(CLEAN(TEXT(Transcription!$F:$F, ""@""))) = TRIM(CLEAN(TEXT($D87, ""@""))),
      Transcription!$AO:$AO = 6
    ),
    1
  ),
  ""Not Found""
)
"),"Not Found")</f>
        <v>Not Found</v>
      </c>
      <c r="Z87" s="10">
        <f t="shared" si="1"/>
        <v>2</v>
      </c>
      <c r="AA87" s="10">
        <f t="shared" si="2"/>
        <v>0</v>
      </c>
    </row>
    <row r="88">
      <c r="A88" s="8" t="str">
        <f>VLOOKUP($D88,Sheet6!$B:$G,5,FALSE)</f>
        <v>Gujrat</v>
      </c>
      <c r="B88" s="232" t="str">
        <f>VLOOKUP($D88,Sheet6!$B:$G,4,FALSE)</f>
        <v>Women Secular No Info Share</v>
      </c>
      <c r="C88" s="8">
        <v>3.0</v>
      </c>
      <c r="D88" s="8" t="s">
        <v>2203</v>
      </c>
      <c r="E88" s="244" t="str">
        <f>IFERROR(__xludf.DUMMYFUNCTION("IFERROR(
  INDEX(
    FILTER(
      Recording!$U:$U,
      TRIM(CLEAN(TEXT(Recording!$E:$E, ""@""))) = TRIM(CLEAN(TEXT($D88, ""@""))),
      Recording!$AA:$AA = 1
    ),
    1
  ),
  ""Not Found""
)
"),"https://drive.google.com/open?id=1RuOYDxfISpHluT6l39cuNnsHp6jUrfeG")</f>
        <v>https://drive.google.com/open?id=1RuOYDxfISpHluT6l39cuNnsHp6jUrfeG</v>
      </c>
      <c r="F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1!$E:$E"")=$D88) *
        (IMPORTRANGE(""https://docs.google.com/spreadsheets/d/161aHT6vVT3SLneTKD19N5qVWtnj_jIT8CSsOmUVKmaA/"&amp;"edit?gid=1761053510"",
          ""Haris_Form responses 1!$AQ:$AQ"")=1)
      ),
      1
    ),
    ""0""
  ),
  ""Form not found""
)
"),"1")</f>
        <v>1</v>
      </c>
      <c r="G88" s="245" t="str">
        <f>IFERROR(__xludf.DUMMYFUNCTION("IFERROR(
  INDEX(
    FILTER(
      Transcription!$AJ:$AJ,
      TRIM(CLEAN(TEXT(Transcription!$F:$F, ""@""))) = TRIM(CLEAN(TEXT($D88, ""@""))),
      Transcription!$AO:$AO = 1
    ),
    1
  ),
  ""Not Found""
)
"),"https://drive.google.com/open?id=1Fx_IPpdCxerV_EqdtIR03Ozk7WtCYSfR")</f>
        <v>https://drive.google.com/open?id=1Fx_IPpdCxerV_EqdtIR03Ozk7WtCYSfR</v>
      </c>
      <c r="H88" s="246" t="str">
        <f>IFERROR(__xludf.DUMMYFUNCTION("IFERROR(
  INDEX(
    FILTER(
      Recording!$U:$U,
      TRIM(CLEAN(TEXT(Recording!$E:$E, ""@""))) = TRIM(CLEAN(TEXT($D88, ""@""))),
      Recording!$AA:$AA = 2
    ),
    1
  ),
  ""Not Found""
)
"),"https://drive.google.com/open?id=1ckVDCMSvukKdgtnPDaPWhVHxl4aF8wwB, https://drive.google.com/open?id=1ZMzGhWdnym1IVkO1Q8hRi2N4IcH1Glk0")</f>
        <v>https://drive.google.com/open?id=1ckVDCMSvukKdgtnPDaPWhVHxl4aF8wwB, https://drive.google.com/open?id=1ZMzGhWdnym1IVkO1Q8hRi2N4IcH1Glk0</v>
      </c>
      <c r="I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1!$E:$E"")=$D88) *
        (IMPORTRANGE(""https://docs.google.com/spreadsheets/d/161aHT6vVT3SLneTKD19N5qVWtnj_jIT8CSsOmUVKmaA/"&amp;"edit?gid=1761053510"",
          ""Haris_Form responses 1!$AQ:$AQ"")=2)
      ),
      1
    ),
    ""0""
  ),
  ""Form not found""
)
"),"2")</f>
        <v>2</v>
      </c>
      <c r="J88" s="245" t="str">
        <f>IFERROR(__xludf.DUMMYFUNCTION("IFERROR(
  INDEX(
    FILTER(
      Transcription!$AJ:$AJ,
      TRIM(CLEAN(TEXT(Transcription!$F:$F, ""@""))) = TRIM(CLEAN(TEXT($D88, ""@""))),
      Transcription!$AO:$AO = 2
    ),
    1
  ),
  ""Not Found""
)
"),"https://drive.google.com/open?id=113_pjUpx4UIFuRaAKIht9EfNDAeMsBfL")</f>
        <v>https://drive.google.com/open?id=113_pjUpx4UIFuRaAKIht9EfNDAeMsBfL</v>
      </c>
      <c r="K88" s="244" t="str">
        <f>IFERROR(__xludf.DUMMYFUNCTION("IFERROR(
  INDEX(
    FILTER(
      Recording!$U:$U,
      TRIM(CLEAN(TEXT(Recording!$E:$E, ""@""))) = TRIM(CLEAN(TEXT($D88, ""@""))),
      Recording!$AA:$AA = 3
    ),
    1
  ),
  ""Not Found""
)
"),"https://drive.google.com/open?id=1NOnwJqfzOAb_U7myjl-QKV96NEfC_uzc")</f>
        <v>https://drive.google.com/open?id=1NOnwJqfzOAb_U7myjl-QKV96NEfC_uzc</v>
      </c>
      <c r="L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1!$E:$E"")=$D88) *
        (IMPORTRANGE(""https://docs.google.com/spreadsheets/d/161aHT6vVT3SLneTKD19N5qVWtnj_jIT8CSsOmUVKmaA/"&amp;"edit?gid=1761053510"",
          ""Haris_Form responses 1!$AQ:$AQ"")=3)
      ),
      1
    ),
    ""0""
  ),
  ""Form not found""
)
"),"3")</f>
        <v>3</v>
      </c>
      <c r="M88" s="245" t="str">
        <f>IFERROR(__xludf.DUMMYFUNCTION("IFERROR(
  INDEX(
    FILTER(
      Transcription!$AJ:$AJ,
      TRIM(CLEAN(TEXT(Transcription!$F:$F, ""@""))) = TRIM(CLEAN(TEXT($D88, ""@""))),
      Transcription!$AO:$AO = 3
    ),
    1
  ),
  ""Not Found""
)
"),"https://drive.google.com/open?id=1xhzL_im0vJmduAOCj-o4URUAMAN7a9jh")</f>
        <v>https://drive.google.com/open?id=1xhzL_im0vJmduAOCj-o4URUAMAN7a9jh</v>
      </c>
      <c r="N88" s="246" t="str">
        <f>IFERROR(__xludf.DUMMYFUNCTION("IFERROR(
  INDEX(
    FILTER(
      Recording!$U:$U,
      TRIM(CLEAN(TEXT(Recording!$E:$E, ""@""))) = TRIM(CLEAN(TEXT($D88, ""@""))),
      Recording!$AA:$AA = 4
    ),
    1
  ),
  ""Not Found""
)
"),"Not Found")</f>
        <v>Not Found</v>
      </c>
      <c r="O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1!$E:$E"")=$D88) *
        (IMPORTRANGE(""https://docs.google.com/spreadsheets/d/161aHT6vVT3SLneTKD19N5qVWtnj_jIT8CSsOmUVKmaA/"&amp;"edit?gid=1761053510"",
          ""Haris_Form responses 1!$AQ:$AQ"")=4)
      ),
      1
    ),
    ""0""
  ),
  ""Form not found""
)
"),"Form not found")</f>
        <v>Form not found</v>
      </c>
      <c r="P88" s="247" t="str">
        <f>IFERROR(__xludf.DUMMYFUNCTION("IFERROR(
  INDEX(
    FILTER(
      Transcription!$AJ:$AJ,
      TRIM(CLEAN(TEXT(Transcription!$F:$F, ""@""))) = TRIM(CLEAN(TEXT($D88, ""@""))),
      Transcription!$AO:$AO = 4
    ),
    1
  ),
  ""Not Found""
)
"),"Not Found")</f>
        <v>Not Found</v>
      </c>
      <c r="Q88" s="246" t="str">
        <f>IFERROR(__xludf.DUMMYFUNCTION("IFERROR(
  INDEX(
    FILTER(
      Recording!$U:$U,
      TRIM(CLEAN(TEXT(Recording!$E:$E, ""@""))) = TRIM(CLEAN(TEXT($D88, ""@""))),
      Recording!$AA:$AA = 5
    ),
    1
  ),
  ""Not Found""
)
"),"Not Found")</f>
        <v>Not Found</v>
      </c>
      <c r="R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1!$E:$E"")=$D88) *
        (IMPORTRANGE(""https://docs.google.com/spreadsheets/d/161aHT6vVT3SLneTKD19N5qVWtnj_jIT8CSsOmUVKmaA/"&amp;"edit?gid=1761053510"",
          ""Haris_Form responses 1!$AQ:$AQ"")=5)
      ),
      1
    ),
    ""0""
  ),
  ""Form not found""
)
"),"Form not found")</f>
        <v>Form not found</v>
      </c>
      <c r="S88" s="247" t="str">
        <f>IFERROR(__xludf.DUMMYFUNCTION("IFERROR(
  INDEX(
    FILTER(
      Transcription!$AJ:$AJ,
      TRIM(CLEAN(TEXT(Transcription!$F:$F, ""@""))) = TRIM(CLEAN(TEXT($D88, ""@""))),
      Transcription!$AO:$AO = 5
    ),
    1
  ),
  ""Not Found""
)
"),"Not Found")</f>
        <v>Not Found</v>
      </c>
      <c r="T88" s="249" t="str">
        <f>IFERROR(__xludf.DUMMYFUNCTION("IFERROR(
  INDEX(
    FILTER(
      Recording!$U:$U,
      TRIM(CLEAN(TEXT(Recording!$E:$E, ""@""))) = TRIM(CLEAN(TEXT($D88, ""@""))),
      Recording!$AA:$AA = 6
    ),
    1
  ),
  ""Not Found""
)
"),"Not Found")</f>
        <v>Not Found</v>
      </c>
      <c r="U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1!$E:$E"")=$D88) *
        (IMPORTRANGE(""https://docs.google.com/spreadsheets/d/161aHT6vVT3SLneTKD19N5qVWtnj_jIT8CSsOmUVKmaA/"&amp;"edit?gid=1761053510"",
          ""Haris_Form responses 1!$AQ:$AQ"")=6)
      ),
      1
    ),
    ""0""
  ),
  ""Form not found""
)
"),"Form not found")</f>
        <v>Form not found</v>
      </c>
      <c r="V88" s="247" t="str">
        <f>IFERROR(__xludf.DUMMYFUNCTION("IFERROR(
  INDEX(
    FILTER(
      Transcription!$AJ:$AJ,
      TRIM(CLEAN(TEXT(Transcription!$F:$F, ""@""))) = TRIM(CLEAN(TEXT($D88, ""@""))),
      Transcription!$AO:$AO = 6
    ),
    1
  ),
  ""Not Found""
)
"),"Not Found")</f>
        <v>Not Found</v>
      </c>
      <c r="X88" s="8" t="s">
        <v>4551</v>
      </c>
      <c r="Z88" s="10">
        <f t="shared" si="1"/>
        <v>3</v>
      </c>
      <c r="AA88" s="10">
        <f t="shared" si="2"/>
        <v>0</v>
      </c>
    </row>
    <row r="89">
      <c r="A89" s="8" t="str">
        <f>VLOOKUP($D89,Sheet6!$B:$G,5,FALSE)</f>
        <v>Gujrat</v>
      </c>
      <c r="B89" s="232" t="str">
        <f>VLOOKUP($D89,Sheet6!$B:$G,4,FALSE)</f>
        <v>Community Religious Info Share</v>
      </c>
      <c r="C89" s="8">
        <v>3.0</v>
      </c>
      <c r="D89" s="8" t="s">
        <v>2167</v>
      </c>
      <c r="E89" s="244" t="str">
        <f>IFERROR(__xludf.DUMMYFUNCTION("IFERROR(
  INDEX(
    FILTER(
      Recording!$U:$U,
      TRIM(CLEAN(TEXT(Recording!$E:$E, ""@""))) = TRIM(CLEAN(TEXT($D89, ""@""))),
      Recording!$AA:$AA = 1
    ),
    1
  ),
  ""Not Found""
)
"),"https://drive.google.com/open?id=14415bcUiIt0OwWttq0MVBRUMY27gpcm-")</f>
        <v>https://drive.google.com/open?id=14415bcUiIt0OwWttq0MVBRUMY27gpcm-</v>
      </c>
      <c r="F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1!$E:$E"")=$D89) *
        (IMPORTRANGE(""https://docs.google.com/spreadsheets/d/161aHT6vVT3SLneTKD19N5qVWtnj_jIT8CSsOmUVKmaA/"&amp;"edit?gid=1761053510"",
          ""Haris_Form responses 1!$AQ:$AQ"")=1)
      ),
      1
    ),
    ""0""
  ),
  ""Form not found""
)
"),"1")</f>
        <v>1</v>
      </c>
      <c r="G89" s="245" t="str">
        <f>IFERROR(__xludf.DUMMYFUNCTION("IFERROR(
  INDEX(
    FILTER(
      Transcription!$AJ:$AJ,
      TRIM(CLEAN(TEXT(Transcription!$F:$F, ""@""))) = TRIM(CLEAN(TEXT($D89, ""@""))),
      Transcription!$AO:$AO = 1
    ),
    1
  ),
  ""Not Found""
)
"),"https://drive.google.com/open?id=1F2z5iQSVd-qKjCJxrDnmzdYbfbZYhKWV")</f>
        <v>https://drive.google.com/open?id=1F2z5iQSVd-qKjCJxrDnmzdYbfbZYhKWV</v>
      </c>
      <c r="H89" s="244" t="str">
        <f>IFERROR(__xludf.DUMMYFUNCTION("IFERROR(
  INDEX(
    FILTER(
      Recording!$U:$U,
      TRIM(CLEAN(TEXT(Recording!$E:$E, ""@""))) = TRIM(CLEAN(TEXT($D89, ""@""))),
      Recording!$AA:$AA = 2
    ),
    1
  ),
  ""Not Found""
)
"),"https://drive.google.com/file/d/1Y0P-7dNE2HI7brCBw0iOnCDbgKG-gCPu/view?usp=drive_link")</f>
        <v>https://drive.google.com/file/d/1Y0P-7dNE2HI7brCBw0iOnCDbgKG-gCPu/view?usp=drive_link</v>
      </c>
      <c r="I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1!$E:$E"")=$D89) *
        (IMPORTRANGE(""https://docs.google.com/spreadsheets/d/161aHT6vVT3SLneTKD19N5qVWtnj_jIT8CSsOmUVKmaA/"&amp;"edit?gid=1761053510"",
          ""Haris_Form responses 1!$AQ:$AQ"")=2)
      ),
      1
    ),
    ""0""
  ),
  ""Form not found""
)
"),"2")</f>
        <v>2</v>
      </c>
      <c r="J89" s="245" t="str">
        <f>IFERROR(__xludf.DUMMYFUNCTION("IFERROR(
  INDEX(
    FILTER(
      Transcription!$AJ:$AJ,
      TRIM(CLEAN(TEXT(Transcription!$F:$F, ""@""))) = TRIM(CLEAN(TEXT($D89, ""@""))),
      Transcription!$AO:$AO = 2
    ),
    1
  ),
  ""Not Found""
)
"),"https://drive.google.com/open?id=14xWcNKCDlM9v3yrtQzc7rWiBRART0kq5")</f>
        <v>https://drive.google.com/open?id=14xWcNKCDlM9v3yrtQzc7rWiBRART0kq5</v>
      </c>
      <c r="K89" s="244" t="str">
        <f>IFERROR(__xludf.DUMMYFUNCTION("IFERROR(
  INDEX(
    FILTER(
      Recording!$U:$U,
      TRIM(CLEAN(TEXT(Recording!$E:$E, ""@""))) = TRIM(CLEAN(TEXT($D89, ""@""))),
      Recording!$AA:$AA = 3
    ),
    1
  ),
  ""Not Found""
)
"),"https://drive.google.com/open?id=14t2__17LvhUtRT6q6oHpoLY0VOujM6H-")</f>
        <v>https://drive.google.com/open?id=14t2__17LvhUtRT6q6oHpoLY0VOujM6H-</v>
      </c>
      <c r="L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1!$E:$E"")=$D89) *
        (IMPORTRANGE(""https://docs.google.com/spreadsheets/d/161aHT6vVT3SLneTKD19N5qVWtnj_jIT8CSsOmUVKmaA/"&amp;"edit?gid=1761053510"",
          ""Haris_Form responses 1!$AQ:$AQ"")=3)
      ),
      1
    ),
    ""0""
  ),
  ""Form not found""
)
"),"3")</f>
        <v>3</v>
      </c>
      <c r="M89" s="245" t="str">
        <f>IFERROR(__xludf.DUMMYFUNCTION("IFERROR(
  INDEX(
    FILTER(
      Transcription!$AJ:$AJ,
      TRIM(CLEAN(TEXT(Transcription!$F:$F, ""@""))) = TRIM(CLEAN(TEXT($D89, ""@""))),
      Transcription!$AO:$AO = 3
    ),
    1
  ),
  ""Not Found""
)
"),"https://drive.google.com/open?id=1K_ibw9CGqaaxVCrdLMcUX4eb8-ofFyxE")</f>
        <v>https://drive.google.com/open?id=1K_ibw9CGqaaxVCrdLMcUX4eb8-ofFyxE</v>
      </c>
      <c r="N89" s="246" t="str">
        <f>IFERROR(__xludf.DUMMYFUNCTION("IFERROR(
  INDEX(
    FILTER(
      Recording!$U:$U,
      TRIM(CLEAN(TEXT(Recording!$E:$E, ""@""))) = TRIM(CLEAN(TEXT($D89, ""@""))),
      Recording!$AA:$AA = 4
    ),
    1
  ),
  ""Not Found""
)
"),"Not Found")</f>
        <v>Not Found</v>
      </c>
      <c r="O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1!$E:$E"")=$D89) *
        (IMPORTRANGE(""https://docs.google.com/spreadsheets/d/161aHT6vVT3SLneTKD19N5qVWtnj_jIT8CSsOmUVKmaA/"&amp;"edit?gid=1761053510"",
          ""Haris_Form responses 1!$AQ:$AQ"")=4)
      ),
      1
    ),
    ""0""
  ),
  ""Form not found""
)
"),"Form not found")</f>
        <v>Form not found</v>
      </c>
      <c r="P89" s="247" t="str">
        <f>IFERROR(__xludf.DUMMYFUNCTION("IFERROR(
  INDEX(
    FILTER(
      Transcription!$AJ:$AJ,
      TRIM(CLEAN(TEXT(Transcription!$F:$F, ""@""))) = TRIM(CLEAN(TEXT($D89, ""@""))),
      Transcription!$AO:$AO = 4
    ),
    1
  ),
  ""Not Found""
)
"),"Not Found")</f>
        <v>Not Found</v>
      </c>
      <c r="Q89" s="246" t="str">
        <f>IFERROR(__xludf.DUMMYFUNCTION("IFERROR(
  INDEX(
    FILTER(
      Recording!$U:$U,
      TRIM(CLEAN(TEXT(Recording!$E:$E, ""@""))) = TRIM(CLEAN(TEXT($D89, ""@""))),
      Recording!$AA:$AA = 5
    ),
    1
  ),
  ""Not Found""
)
"),"Not Found")</f>
        <v>Not Found</v>
      </c>
      <c r="R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1!$E:$E"")=$D89) *
        (IMPORTRANGE(""https://docs.google.com/spreadsheets/d/161aHT6vVT3SLneTKD19N5qVWtnj_jIT8CSsOmUVKmaA/"&amp;"edit?gid=1761053510"",
          ""Haris_Form responses 1!$AQ:$AQ"")=5)
      ),
      1
    ),
    ""0""
  ),
  ""Form not found""
)
"),"Form not found")</f>
        <v>Form not found</v>
      </c>
      <c r="S89" s="247" t="str">
        <f>IFERROR(__xludf.DUMMYFUNCTION("IFERROR(
  INDEX(
    FILTER(
      Transcription!$AJ:$AJ,
      TRIM(CLEAN(TEXT(Transcription!$F:$F, ""@""))) = TRIM(CLEAN(TEXT($D89, ""@""))),
      Transcription!$AO:$AO = 5
    ),
    1
  ),
  ""Not Found""
)
"),"Not Found")</f>
        <v>Not Found</v>
      </c>
      <c r="T89" s="249" t="str">
        <f>IFERROR(__xludf.DUMMYFUNCTION("IFERROR(
  INDEX(
    FILTER(
      Recording!$U:$U,
      TRIM(CLEAN(TEXT(Recording!$E:$E, ""@""))) = TRIM(CLEAN(TEXT($D89, ""@""))),
      Recording!$AA:$AA = 6
    ),
    1
  ),
  ""Not Found""
)
"),"Not Found")</f>
        <v>Not Found</v>
      </c>
      <c r="U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1!$E:$E"")=$D89) *
        (IMPORTRANGE(""https://docs.google.com/spreadsheets/d/161aHT6vVT3SLneTKD19N5qVWtnj_jIT8CSsOmUVKmaA/"&amp;"edit?gid=1761053510"",
          ""Haris_Form responses 1!$AQ:$AQ"")=6)
      ),
      1
    ),
    ""0""
  ),
  ""Form not found""
)
"),"Form not found")</f>
        <v>Form not found</v>
      </c>
      <c r="V89" s="247" t="str">
        <f>IFERROR(__xludf.DUMMYFUNCTION("IFERROR(
  INDEX(
    FILTER(
      Transcription!$AJ:$AJ,
      TRIM(CLEAN(TEXT(Transcription!$F:$F, ""@""))) = TRIM(CLEAN(TEXT($D89, ""@""))),
      Transcription!$AO:$AO = 6
    ),
    1
  ),
  ""Not Found""
)
"),"Not Found")</f>
        <v>Not Found</v>
      </c>
      <c r="X89" s="8" t="s">
        <v>4552</v>
      </c>
      <c r="Z89" s="10">
        <f t="shared" si="1"/>
        <v>3</v>
      </c>
      <c r="AA89" s="10">
        <f t="shared" si="2"/>
        <v>0</v>
      </c>
    </row>
    <row r="90">
      <c r="A90" s="8" t="str">
        <f>VLOOKUP($D90,Sheet6!$B:$G,5,FALSE)</f>
        <v>Gujrat</v>
      </c>
      <c r="B90" s="232" t="str">
        <f>VLOOKUP($D90,Sheet6!$B:$G,4,FALSE)</f>
        <v>Control</v>
      </c>
      <c r="C90" s="8">
        <v>2.0</v>
      </c>
      <c r="D90" s="8" t="s">
        <v>4553</v>
      </c>
      <c r="E90" s="244" t="str">
        <f>IFERROR(__xludf.DUMMYFUNCTION("IFERROR(
  INDEX(
    FILTER(
      Recording!$U:$U,
      TRIM(CLEAN(TEXT(Recording!$E:$E, ""@""))) = TRIM(CLEAN(TEXT($D90, ""@""))),
      Recording!$AA:$AA = 1
    ),
    1
  ),
  ""Not Found""
)
"),"https://drive.google.com/open?id=1qweIClmM2tByKy4Ti5rM5xBmGCFQwUOr")</f>
        <v>https://drive.google.com/open?id=1qweIClmM2tByKy4Ti5rM5xBmGCFQwUOr</v>
      </c>
      <c r="F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1!$E:$E"")=$D90) *
        (IMPORTRANGE(""https://docs.google.com/spreadsheets/d/161aHT6vVT3SLneTKD19N5qVWtnj_jIT8CSsOmUVKmaA/"&amp;"edit?gid=1761053510"",
          ""Haris_Form responses 1!$AQ:$AQ"")=1)
      ),
      1
    ),
    ""0""
  ),
  ""Form not found""
)
"),"1")</f>
        <v>1</v>
      </c>
      <c r="G90" s="245" t="str">
        <f>IFERROR(__xludf.DUMMYFUNCTION("IFERROR(
  INDEX(
    FILTER(
      Transcription!$AJ:$AJ,
      TRIM(CLEAN(TEXT(Transcription!$F:$F, ""@""))) = TRIM(CLEAN(TEXT($D90, ""@""))),
      Transcription!$AO:$AO = 1
    ),
    1
  ),
  ""Not Found""
)
"),"https://drive.google.com/open?id=1NqDQjk9JKhs2ADsG34wvHcipt_AesHdh")</f>
        <v>https://drive.google.com/open?id=1NqDQjk9JKhs2ADsG34wvHcipt_AesHdh</v>
      </c>
      <c r="H90" s="246" t="str">
        <f>IFERROR(__xludf.DUMMYFUNCTION("IFERROR(
  INDEX(
    FILTER(
      Recording!$U:$U,
      TRIM(CLEAN(TEXT(Recording!$E:$E, ""@""))) = TRIM(CLEAN(TEXT($D90, ""@""))),
      Recording!$AA:$AA = 2
    ),
    1
  ),
  ""Not Found""
)
"),"Not Found")</f>
        <v>Not Found</v>
      </c>
      <c r="I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1!$E:$E"")=$D90) *
        (IMPORTRANGE(""https://docs.google.com/spreadsheets/d/161aHT6vVT3SLneTKD19N5qVWtnj_jIT8CSsOmUVKmaA/"&amp;"edit?gid=1761053510"",
          ""Haris_Form responses 1!$AQ:$AQ"")=2)
      ),
      1
    ),
    ""0""
  ),
  ""Form not found""
)
"),"Form not found")</f>
        <v>Form not found</v>
      </c>
      <c r="J90" s="247" t="str">
        <f>IFERROR(__xludf.DUMMYFUNCTION("IFERROR(
  INDEX(
    FILTER(
      Transcription!$AJ:$AJ,
      TRIM(CLEAN(TEXT(Transcription!$F:$F, ""@""))) = TRIM(CLEAN(TEXT($D90, ""@""))),
      Transcription!$AO:$AO = 2
    ),
    1
  ),
  ""Not Found""
)
"),"Not Found")</f>
        <v>Not Found</v>
      </c>
      <c r="K90" s="244" t="str">
        <f>IFERROR(__xludf.DUMMYFUNCTION("IFERROR(
  INDEX(
    FILTER(
      Recording!$U:$U,
      TRIM(CLEAN(TEXT(Recording!$E:$E, ""@""))) = TRIM(CLEAN(TEXT($D90, ""@""))),
      Recording!$AA:$AA = 3
    ),
    1
  ),
  ""Not Found""
)
"),"https://drive.google.com/open?id=1RLQrBTTu5XMw4C2bDTpyrinIdSfR-8ax")</f>
        <v>https://drive.google.com/open?id=1RLQrBTTu5XMw4C2bDTpyrinIdSfR-8ax</v>
      </c>
      <c r="L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1!$E:$E"")=$D90) *
        (IMPORTRANGE(""https://docs.google.com/spreadsheets/d/161aHT6vVT3SLneTKD19N5qVWtnj_jIT8CSsOmUVKmaA/"&amp;"edit?gid=1761053510"",
          ""Haris_Form responses 1!$AQ:$AQ"")=3)
      ),
      1
    ),
    ""0""
  ),
  ""Form not found""
)
"),"3")</f>
        <v>3</v>
      </c>
      <c r="M90" s="245" t="str">
        <f>IFERROR(__xludf.DUMMYFUNCTION("IFERROR(
  INDEX(
    FILTER(
      Transcription!$AJ:$AJ,
      TRIM(CLEAN(TEXT(Transcription!$F:$F, ""@""))) = TRIM(CLEAN(TEXT($D90, ""@""))),
      Transcription!$AO:$AO = 3
    ),
    1
  ),
  ""Not Found""
)
"),"https://drive.google.com/open?id=1sMwz9TYJgDMqXasARD-8gxF7PFEuIAZA")</f>
        <v>https://drive.google.com/open?id=1sMwz9TYJgDMqXasARD-8gxF7PFEuIAZA</v>
      </c>
      <c r="N90" s="246" t="str">
        <f>IFERROR(__xludf.DUMMYFUNCTION("IFERROR(
  INDEX(
    FILTER(
      Recording!$U:$U,
      TRIM(CLEAN(TEXT(Recording!$E:$E, ""@""))) = TRIM(CLEAN(TEXT($D90, ""@""))),
      Recording!$AA:$AA = 4
    ),
    1
  ),
  ""Not Found""
)
"),"Not Found")</f>
        <v>Not Found</v>
      </c>
      <c r="O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1!$E:$E"")=$D90) *
        (IMPORTRANGE(""https://docs.google.com/spreadsheets/d/161aHT6vVT3SLneTKD19N5qVWtnj_jIT8CSsOmUVKmaA/"&amp;"edit?gid=1761053510"",
          ""Haris_Form responses 1!$AQ:$AQ"")=4)
      ),
      1
    ),
    ""0""
  ),
  ""Form not found""
)
"),"Form not found")</f>
        <v>Form not found</v>
      </c>
      <c r="P90" s="247" t="str">
        <f>IFERROR(__xludf.DUMMYFUNCTION("IFERROR(
  INDEX(
    FILTER(
      Transcription!$AJ:$AJ,
      TRIM(CLEAN(TEXT(Transcription!$F:$F, ""@""))) = TRIM(CLEAN(TEXT($D90, ""@""))),
      Transcription!$AO:$AO = 4
    ),
    1
  ),
  ""Not Found""
)
"),"Not Found")</f>
        <v>Not Found</v>
      </c>
      <c r="Q90" s="246" t="str">
        <f>IFERROR(__xludf.DUMMYFUNCTION("IFERROR(
  INDEX(
    FILTER(
      Recording!$U:$U,
      TRIM(CLEAN(TEXT(Recording!$E:$E, ""@""))) = TRIM(CLEAN(TEXT($D90, ""@""))),
      Recording!$AA:$AA = 5
    ),
    1
  ),
  ""Not Found""
)
"),"Not Found")</f>
        <v>Not Found</v>
      </c>
      <c r="R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1!$E:$E"")=$D90) *
        (IMPORTRANGE(""https://docs.google.com/spreadsheets/d/161aHT6vVT3SLneTKD19N5qVWtnj_jIT8CSsOmUVKmaA/"&amp;"edit?gid=1761053510"",
          ""Haris_Form responses 1!$AQ:$AQ"")=5)
      ),
      1
    ),
    ""0""
  ),
  ""Form not found""
)
"),"Form not found")</f>
        <v>Form not found</v>
      </c>
      <c r="S90" s="247" t="str">
        <f>IFERROR(__xludf.DUMMYFUNCTION("IFERROR(
  INDEX(
    FILTER(
      Transcription!$AJ:$AJ,
      TRIM(CLEAN(TEXT(Transcription!$F:$F, ""@""))) = TRIM(CLEAN(TEXT($D90, ""@""))),
      Transcription!$AO:$AO = 5
    ),
    1
  ),
  ""Not Found""
)
"),"Not Found")</f>
        <v>Not Found</v>
      </c>
      <c r="T90" s="246" t="str">
        <f>IFERROR(__xludf.DUMMYFUNCTION("IFERROR(
  INDEX(
    FILTER(
      Recording!$U:$U,
      TRIM(CLEAN(TEXT(Recording!$E:$E, ""@""))) = TRIM(CLEAN(TEXT($D90, ""@""))),
      Recording!$AA:$AA = 6
    ),
    1
  ),
  ""Not Found""
)
"),"Not Found")</f>
        <v>Not Found</v>
      </c>
      <c r="U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1!$E:$E"")=$D90) *
        (IMPORTRANGE(""https://docs.google.com/spreadsheets/d/161aHT6vVT3SLneTKD19N5qVWtnj_jIT8CSsOmUVKmaA/"&amp;"edit?gid=1761053510"",
          ""Haris_Form responses 1!$AQ:$AQ"")=6)
      ),
      1
    ),
    ""0""
  ),
  ""Form not found""
)
"),"Form not found")</f>
        <v>Form not found</v>
      </c>
      <c r="V90" s="247" t="str">
        <f>IFERROR(__xludf.DUMMYFUNCTION("IFERROR(
  INDEX(
    FILTER(
      Transcription!$AJ:$AJ,
      TRIM(CLEAN(TEXT(Transcription!$F:$F, ""@""))) = TRIM(CLEAN(TEXT($D90, ""@""))),
      Transcription!$AO:$AO = 6
    ),
    1
  ),
  ""Not Found""
)
"),"Not Found")</f>
        <v>Not Found</v>
      </c>
      <c r="Z90" s="10">
        <f t="shared" si="1"/>
        <v>2</v>
      </c>
      <c r="AA90" s="10">
        <f t="shared" si="2"/>
        <v>0</v>
      </c>
    </row>
    <row r="91">
      <c r="A91" s="8" t="str">
        <f>VLOOKUP($D91,Sheet6!$B:$G,5,FALSE)</f>
        <v>Gujrat</v>
      </c>
      <c r="B91" s="232" t="str">
        <f>VLOOKUP($D91,Sheet6!$B:$G,4,FALSE)</f>
        <v>Community Religious Info Share</v>
      </c>
      <c r="C91" s="8">
        <v>4.0</v>
      </c>
      <c r="D91" s="8" t="s">
        <v>1784</v>
      </c>
      <c r="E91" s="244" t="str">
        <f>IFERROR(__xludf.DUMMYFUNCTION("IFERROR(
  INDEX(
    FILTER(
      Recording!$U:$U,
      TRIM(CLEAN(TEXT(Recording!$E:$E, ""@""))) = TRIM(CLEAN(TEXT($D91, ""@""))),
      Recording!$AA:$AA = 1
    ),
    1
  ),
  ""Not Found""
)
"),"https://drive.google.com/open?id=1mCQQpvebEevHj4A5YAHxfRMVdHTE-elx")</f>
        <v>https://drive.google.com/open?id=1mCQQpvebEevHj4A5YAHxfRMVdHTE-elx</v>
      </c>
      <c r="F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1!$E:$E"")=$D91) *
        (IMPORTRANGE(""https://docs.google.com/spreadsheets/d/161aHT6vVT3SLneTKD19N5qVWtnj_jIT8CSsOmUVKmaA/"&amp;"edit?gid=1761053510"",
          ""Haris_Form responses 1!$AQ:$AQ"")=1)
      ),
      1
    ),
    ""0""
  ),
  ""Form not found""
)
"),"1")</f>
        <v>1</v>
      </c>
      <c r="G91" s="245" t="str">
        <f>IFERROR(__xludf.DUMMYFUNCTION("IFERROR(
  INDEX(
    FILTER(
      Transcription!$AJ:$AJ,
      TRIM(CLEAN(TEXT(Transcription!$F:$F, ""@""))) = TRIM(CLEAN(TEXT($D91, ""@""))),
      Transcription!$AO:$AO = 1
    ),
    1
  ),
  ""Not Found""
)
"),"https://drive.google.com/open?id=1X-Af5qtsijDTmfRCp9eEYbQEjCGCX5V4jtO_3elu5So")</f>
        <v>https://drive.google.com/open?id=1X-Af5qtsijDTmfRCp9eEYbQEjCGCX5V4jtO_3elu5So</v>
      </c>
      <c r="H91" s="246" t="str">
        <f>IFERROR(__xludf.DUMMYFUNCTION("IFERROR(
  INDEX(
    FILTER(
      Recording!$U:$U,
      TRIM(CLEAN(TEXT(Recording!$E:$E, ""@""))) = TRIM(CLEAN(TEXT($D91, ""@""))),
      Recording!$AA:$AA = 2
    ),
    1
  ),
  ""Not Found""
)
"),"Not Found")</f>
        <v>Not Found</v>
      </c>
      <c r="I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1!$E:$E"")=$D91) *
        (IMPORTRANGE(""https://docs.google.com/spreadsheets/d/161aHT6vVT3SLneTKD19N5qVWtnj_jIT8CSsOmUVKmaA/"&amp;"edit?gid=1761053510"",
          ""Haris_Form responses 1!$AQ:$AQ"")=2)
      ),
      1
    ),
    ""0""
  ),
  ""Form not found""
)
"),"Form not found")</f>
        <v>Form not found</v>
      </c>
      <c r="J91" s="247" t="str">
        <f>IFERROR(__xludf.DUMMYFUNCTION("IFERROR(
  INDEX(
    FILTER(
      Transcription!$AJ:$AJ,
      TRIM(CLEAN(TEXT(Transcription!$F:$F, ""@""))) = TRIM(CLEAN(TEXT($D91, ""@""))),
      Transcription!$AO:$AO = 2
    ),
    1
  ),
  ""Not Found""
)
"),"Not Found")</f>
        <v>Not Found</v>
      </c>
      <c r="K91" s="244" t="str">
        <f>IFERROR(__xludf.DUMMYFUNCTION("IFERROR(
  INDEX(
    FILTER(
      Recording!$U:$U,
      TRIM(CLEAN(TEXT(Recording!$E:$E, ""@""))) = TRIM(CLEAN(TEXT($D91, ""@""))),
      Recording!$AA:$AA = 3
    ),
    1
  ),
  ""Not Found""
)
"),"https://drive.google.com/open?id=1V_avPmKOiMbJn_2YVUI74Akm4Iw5TX94")</f>
        <v>https://drive.google.com/open?id=1V_avPmKOiMbJn_2YVUI74Akm4Iw5TX94</v>
      </c>
      <c r="L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1!$E:$E"")=$D91) *
        (IMPORTRANGE(""https://docs.google.com/spreadsheets/d/161aHT6vVT3SLneTKD19N5qVWtnj_jIT8CSsOmUVKmaA/"&amp;"edit?gid=1761053510"",
          ""Haris_Form responses 1!$AQ:$AQ"")=3)
      ),
      1
    ),
    ""0""
  ),
  ""Form not found""
)
"),"3")</f>
        <v>3</v>
      </c>
      <c r="M91" s="245" t="str">
        <f>IFERROR(__xludf.DUMMYFUNCTION("IFERROR(
  INDEX(
    FILTER(
      Transcription!$AJ:$AJ,
      TRIM(CLEAN(TEXT(Transcription!$F:$F, ""@""))) = TRIM(CLEAN(TEXT($D91, ""@""))),
      Transcription!$AO:$AO = 3
    ),
    1
  ),
  ""Not Found""
)
"),"https://drive.google.com/open?id=1jMNaiZQQB18oF3jBwGg3249qqkpYMiuL")</f>
        <v>https://drive.google.com/open?id=1jMNaiZQQB18oF3jBwGg3249qqkpYMiuL</v>
      </c>
      <c r="N91" s="244" t="str">
        <f>IFERROR(__xludf.DUMMYFUNCTION("IFERROR(
  INDEX(
    FILTER(
      Recording!$U:$U,
      TRIM(CLEAN(TEXT(Recording!$E:$E, ""@""))) = TRIM(CLEAN(TEXT($D91, ""@""))),
      Recording!$AA:$AA = 4
    ),
    1
  ),
  ""Not Found""
)
"),"https://drive.google.com/open?id=1exKurshXtwzot_q9Ddmfmx5gz_9ZdsV7")</f>
        <v>https://drive.google.com/open?id=1exKurshXtwzot_q9Ddmfmx5gz_9ZdsV7</v>
      </c>
      <c r="O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1!$E:$E"")=$D91) *
        (IMPORTRANGE(""https://docs.google.com/spreadsheets/d/161aHT6vVT3SLneTKD19N5qVWtnj_jIT8CSsOmUVKmaA/"&amp;"edit?gid=1761053510"",
          ""Haris_Form responses 1!$AQ:$AQ"")=4)
      ),
      1
    ),
    ""0""
  ),
  ""Form not found""
)
"),"4")</f>
        <v>4</v>
      </c>
      <c r="P91" s="245" t="str">
        <f>IFERROR(__xludf.DUMMYFUNCTION("IFERROR(
  INDEX(
    FILTER(
      Transcription!$AJ:$AJ,
      TRIM(CLEAN(TEXT(Transcription!$F:$F, ""@""))) = TRIM(CLEAN(TEXT($D91, ""@""))),
      Transcription!$AO:$AO = 4
    ),
    1
  ),
  ""Not Found""
)
"),"https://drive.google.com/open?id=1eaEChAuGZ594tMFM49k1VdwTw_GkUZGp")</f>
        <v>https://drive.google.com/open?id=1eaEChAuGZ594tMFM49k1VdwTw_GkUZGp</v>
      </c>
      <c r="Q91" s="244" t="str">
        <f>IFERROR(__xludf.DUMMYFUNCTION("IFERROR(
  INDEX(
    FILTER(
      Recording!$U:$U,
      TRIM(CLEAN(TEXT(Recording!$E:$E, ""@""))) = TRIM(CLEAN(TEXT($D91, ""@""))),
      Recording!$AA:$AA = 5
    ),
    1
  ),
  ""Not Found""
)
"),"https://drive.google.com/open?id=1kaK-kExn1qlzaEvTZFoNt0_dSj1PyxvC")</f>
        <v>https://drive.google.com/open?id=1kaK-kExn1qlzaEvTZFoNt0_dSj1PyxvC</v>
      </c>
      <c r="R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1!$E:$E"")=$D91) *
        (IMPORTRANGE(""https://docs.google.com/spreadsheets/d/161aHT6vVT3SLneTKD19N5qVWtnj_jIT8CSsOmUVKmaA/"&amp;"edit?gid=1761053510"",
          ""Haris_Form responses 1!$AQ:$AQ"")=5)
      ),
      1
    ),
    ""0""
  ),
  ""Form not found""
)
"),"5")</f>
        <v>5</v>
      </c>
      <c r="S91" s="245" t="str">
        <f>IFERROR(__xludf.DUMMYFUNCTION("IFERROR(
  INDEX(
    FILTER(
      Transcription!$AJ:$AJ,
      TRIM(CLEAN(TEXT(Transcription!$F:$F, ""@""))) = TRIM(CLEAN(TEXT($D91, ""@""))),
      Transcription!$AO:$AO = 5
    ),
    1
  ),
  ""Not Found""
)
"),"https://drive.google.com/open?id=1ElJrbKstpDZ8tbRdEvJRZfGXNuJO3a86")</f>
        <v>https://drive.google.com/open?id=1ElJrbKstpDZ8tbRdEvJRZfGXNuJO3a86</v>
      </c>
      <c r="T91" s="248" t="str">
        <f>IFERROR(__xludf.DUMMYFUNCTION("IFERROR(
  INDEX(
    FILTER(
      Recording!$U:$U,
      TRIM(CLEAN(TEXT(Recording!$E:$E, ""@""))) = TRIM(CLEAN(TEXT($D91, ""@""))),
      Recording!$AA:$AA = 6
    ),
    1
  ),
  ""Not Found""
)
"),"Not Found")</f>
        <v>Not Found</v>
      </c>
      <c r="U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1!$E:$E"")=$D91) *
        (IMPORTRANGE(""https://docs.google.com/spreadsheets/d/161aHT6vVT3SLneTKD19N5qVWtnj_jIT8CSsOmUVKmaA/"&amp;"edit?gid=1761053510"",
          ""Haris_Form responses 1!$AQ:$AQ"")=6)
      ),
      1
    ),
    ""0""
  ),
  ""Form not found""
)
"),"Form not found")</f>
        <v>Form not found</v>
      </c>
      <c r="V91" s="247" t="str">
        <f>IFERROR(__xludf.DUMMYFUNCTION("IFERROR(
  INDEX(
    FILTER(
      Transcription!$AJ:$AJ,
      TRIM(CLEAN(TEXT(Transcription!$F:$F, ""@""))) = TRIM(CLEAN(TEXT($D91, ""@""))),
      Transcription!$AO:$AO = 6
    ),
    1
  ),
  ""Not Found""
)
"),"Not Found")</f>
        <v>Not Found</v>
      </c>
      <c r="W91" s="8" t="s">
        <v>4554</v>
      </c>
      <c r="Z91" s="10">
        <f t="shared" si="1"/>
        <v>4</v>
      </c>
      <c r="AA91" s="10">
        <f t="shared" si="2"/>
        <v>0</v>
      </c>
    </row>
    <row r="92">
      <c r="A92" s="8" t="str">
        <f>VLOOKUP($D92,Sheet6!$B:$G,5,FALSE)</f>
        <v>Gujrat</v>
      </c>
      <c r="B92" s="232" t="str">
        <f>VLOOKUP($D92,Sheet6!$B:$G,4,FALSE)</f>
        <v>Community Secular No Info Share</v>
      </c>
      <c r="C92" s="8">
        <v>3.0</v>
      </c>
      <c r="D92" s="8" t="s">
        <v>1825</v>
      </c>
      <c r="E92" s="244" t="str">
        <f>IFERROR(__xludf.DUMMYFUNCTION("IFERROR(
  INDEX(
    FILTER(
      Recording!$U:$U,
      TRIM(CLEAN(TEXT(Recording!$E:$E, ""@""))) = TRIM(CLEAN(TEXT($D92, ""@""))),
      Recording!$AA:$AA = 1
    ),
    1
  ),
  ""Not Found""
)
"),"https://drive.google.com/open?id=1cz5N4dz7rg7W8jk51Ds3r4mmMyR4xRr2")</f>
        <v>https://drive.google.com/open?id=1cz5N4dz7rg7W8jk51Ds3r4mmMyR4xRr2</v>
      </c>
      <c r="F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1!$E:$E"")=$D92) *
        (IMPORTRANGE(""https://docs.google.com/spreadsheets/d/161aHT6vVT3SLneTKD19N5qVWtnj_jIT8CSsOmUVKmaA/"&amp;"edit?gid=1761053510"",
          ""Haris_Form responses 1!$AQ:$AQ"")=1)
      ),
      1
    ),
    ""0""
  ),
  ""Form not found""
)
"),"1")</f>
        <v>1</v>
      </c>
      <c r="G92" s="245" t="str">
        <f>IFERROR(__xludf.DUMMYFUNCTION("IFERROR(
  INDEX(
    FILTER(
      Transcription!$AJ:$AJ,
      TRIM(CLEAN(TEXT(Transcription!$F:$F, ""@""))) = TRIM(CLEAN(TEXT($D92, ""@""))),
      Transcription!$AO:$AO = 1
    ),
    1
  ),
  ""Not Found""
)
"),"https://drive.google.com/open?id=171nH7soYdPStOv6vRgo7SnpT-9SC_rR8")</f>
        <v>https://drive.google.com/open?id=171nH7soYdPStOv6vRgo7SnpT-9SC_rR8</v>
      </c>
      <c r="H92" s="244" t="str">
        <f>IFERROR(__xludf.DUMMYFUNCTION("IFERROR(
  INDEX(
    FILTER(
      Recording!$U:$U,
      TRIM(CLEAN(TEXT(Recording!$E:$E, ""@""))) = TRIM(CLEAN(TEXT($D92, ""@""))),
      Recording!$AA:$AA = 2
    ),
    1
  ),
  ""Not Found""
)
"),"https://drive.google.com/open?id=1zNoMyQ767m3IYnKiqrKG34M7bddNuKOG")</f>
        <v>https://drive.google.com/open?id=1zNoMyQ767m3IYnKiqrKG34M7bddNuKOG</v>
      </c>
      <c r="I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1!$E:$E"")=$D92) *
        (IMPORTRANGE(""https://docs.google.com/spreadsheets/d/161aHT6vVT3SLneTKD19N5qVWtnj_jIT8CSsOmUVKmaA/"&amp;"edit?gid=1761053510"",
          ""Haris_Form responses 1!$AQ:$AQ"")=2)
      ),
      1
    ),
    ""0""
  ),
  ""Form not found""
)
"),"2")</f>
        <v>2</v>
      </c>
      <c r="J92" s="245" t="str">
        <f>IFERROR(__xludf.DUMMYFUNCTION("IFERROR(
  INDEX(
    FILTER(
      Transcription!$AJ:$AJ,
      TRIM(CLEAN(TEXT(Transcription!$F:$F, ""@""))) = TRIM(CLEAN(TEXT($D92, ""@""))),
      Transcription!$AO:$AO = 2
    ),
    1
  ),
  ""Not Found""
)
"),"https://drive.google.com/open?id=1XBlVQeGGfyC_HclznbMh2PbHWAxtWc-8")</f>
        <v>https://drive.google.com/open?id=1XBlVQeGGfyC_HclznbMh2PbHWAxtWc-8</v>
      </c>
      <c r="K92" s="244" t="str">
        <f>IFERROR(__xludf.DUMMYFUNCTION("IFERROR(
  INDEX(
    FILTER(
      Recording!$U:$U,
      TRIM(CLEAN(TEXT(Recording!$E:$E, ""@""))) = TRIM(CLEAN(TEXT($D92, ""@""))),
      Recording!$AA:$AA = 3
    ),
    1
  ),
  ""Not Found""
)
"),"https://drive.google.com/file/d/1gl_yX3zPt1zaYzUysmILKsT_0YC-etBj/view?usp=drive_link")</f>
        <v>https://drive.google.com/file/d/1gl_yX3zPt1zaYzUysmILKsT_0YC-etBj/view?usp=drive_link</v>
      </c>
      <c r="L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1!$E:$E"")=$D92) *
        (IMPORTRANGE(""https://docs.google.com/spreadsheets/d/161aHT6vVT3SLneTKD19N5qVWtnj_jIT8CSsOmUVKmaA/"&amp;"edit?gid=1761053510"",
          ""Haris_Form responses 1!$AQ:$AQ"")=3)
      ),
      1
    ),
    ""0""
  ),
  ""Form not found""
)
"),"3")</f>
        <v>3</v>
      </c>
      <c r="M92" s="245" t="str">
        <f>IFERROR(__xludf.DUMMYFUNCTION("IFERROR(
  INDEX(
    FILTER(
      Transcription!$AJ:$AJ,
      TRIM(CLEAN(TEXT(Transcription!$F:$F, ""@""))) = TRIM(CLEAN(TEXT($D92, ""@""))),
      Transcription!$AO:$AO = 3
    ),
    1
  ),
  ""Not Found""
)
"),"https://drive.google.com/open?id=1Uo0s6uig252T0i1MgOoWT1wYVFavwov9")</f>
        <v>https://drive.google.com/open?id=1Uo0s6uig252T0i1MgOoWT1wYVFavwov9</v>
      </c>
      <c r="N92" s="246" t="str">
        <f>IFERROR(__xludf.DUMMYFUNCTION("IFERROR(
  INDEX(
    FILTER(
      Recording!$U:$U,
      TRIM(CLEAN(TEXT(Recording!$E:$E, ""@""))) = TRIM(CLEAN(TEXT($D92, ""@""))),
      Recording!$AA:$AA = 4
    ),
    1
  ),
  ""Not Found""
)
"),"Not Found")</f>
        <v>Not Found</v>
      </c>
      <c r="O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1!$E:$E"")=$D92) *
        (IMPORTRANGE(""https://docs.google.com/spreadsheets/d/161aHT6vVT3SLneTKD19N5qVWtnj_jIT8CSsOmUVKmaA/"&amp;"edit?gid=1761053510"",
          ""Haris_Form responses 1!$AQ:$AQ"")=4)
      ),
      1
    ),
    ""0""
  ),
  ""Form not found""
)
"),"Form not found")</f>
        <v>Form not found</v>
      </c>
      <c r="P92" s="247" t="str">
        <f>IFERROR(__xludf.DUMMYFUNCTION("IFERROR(
  INDEX(
    FILTER(
      Transcription!$AJ:$AJ,
      TRIM(CLEAN(TEXT(Transcription!$F:$F, ""@""))) = TRIM(CLEAN(TEXT($D92, ""@""))),
      Transcription!$AO:$AO = 4
    ),
    1
  ),
  ""Not Found""
)
"),"Not Found")</f>
        <v>Not Found</v>
      </c>
      <c r="Q92" s="246" t="str">
        <f>IFERROR(__xludf.DUMMYFUNCTION("IFERROR(
  INDEX(
    FILTER(
      Recording!$U:$U,
      TRIM(CLEAN(TEXT(Recording!$E:$E, ""@""))) = TRIM(CLEAN(TEXT($D92, ""@""))),
      Recording!$AA:$AA = 5
    ),
    1
  ),
  ""Not Found""
)
"),"Not Found")</f>
        <v>Not Found</v>
      </c>
      <c r="R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1!$E:$E"")=$D92) *
        (IMPORTRANGE(""https://docs.google.com/spreadsheets/d/161aHT6vVT3SLneTKD19N5qVWtnj_jIT8CSsOmUVKmaA/"&amp;"edit?gid=1761053510"",
          ""Haris_Form responses 1!$AQ:$AQ"")=5)
      ),
      1
    ),
    ""0""
  ),
  ""Form not found""
)
"),"Form not found")</f>
        <v>Form not found</v>
      </c>
      <c r="S92" s="247" t="str">
        <f>IFERROR(__xludf.DUMMYFUNCTION("IFERROR(
  INDEX(
    FILTER(
      Transcription!$AJ:$AJ,
      TRIM(CLEAN(TEXT(Transcription!$F:$F, ""@""))) = TRIM(CLEAN(TEXT($D92, ""@""))),
      Transcription!$AO:$AO = 5
    ),
    1
  ),
  ""Not Found""
)
"),"Not Found")</f>
        <v>Not Found</v>
      </c>
      <c r="T92" s="248" t="str">
        <f>IFERROR(__xludf.DUMMYFUNCTION("IFERROR(
  INDEX(
    FILTER(
      Recording!$U:$U,
      TRIM(CLEAN(TEXT(Recording!$E:$E, ""@""))) = TRIM(CLEAN(TEXT($D92, ""@""))),
      Recording!$AA:$AA = 6
    ),
    1
  ),
  ""Not Found""
)
"),"Not Found")</f>
        <v>Not Found</v>
      </c>
      <c r="U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1!$E:$E"")=$D92) *
        (IMPORTRANGE(""https://docs.google.com/spreadsheets/d/161aHT6vVT3SLneTKD19N5qVWtnj_jIT8CSsOmUVKmaA/"&amp;"edit?gid=1761053510"",
          ""Haris_Form responses 1!$AQ:$AQ"")=6)
      ),
      1
    ),
    ""0""
  ),
  ""Form not found""
)
"),"Form not found")</f>
        <v>Form not found</v>
      </c>
      <c r="V92" s="247" t="str">
        <f>IFERROR(__xludf.DUMMYFUNCTION("IFERROR(
  INDEX(
    FILTER(
      Transcription!$AJ:$AJ,
      TRIM(CLEAN(TEXT(Transcription!$F:$F, ""@""))) = TRIM(CLEAN(TEXT($D92, ""@""))),
      Transcription!$AO:$AO = 6
    ),
    1
  ),
  ""Not Found""
)
"),"Not Found")</f>
        <v>Not Found</v>
      </c>
      <c r="Z92" s="10">
        <f t="shared" si="1"/>
        <v>3</v>
      </c>
      <c r="AA92" s="10">
        <f t="shared" si="2"/>
        <v>0</v>
      </c>
    </row>
    <row r="93">
      <c r="A93" s="8" t="str">
        <f>VLOOKUP($D93,Sheet6!$B:$G,5,FALSE)</f>
        <v>Gujrat</v>
      </c>
      <c r="B93" s="232" t="str">
        <f>VLOOKUP($D93,Sheet6!$B:$G,4,FALSE)</f>
        <v>Control</v>
      </c>
      <c r="C93" s="8">
        <v>2.0</v>
      </c>
      <c r="D93" s="8" t="s">
        <v>2265</v>
      </c>
      <c r="E93" s="244" t="str">
        <f>IFERROR(__xludf.DUMMYFUNCTION("IFERROR(
  INDEX(
    FILTER(
      Recording!$U:$U,
      TRIM(CLEAN(TEXT(Recording!$E:$E, ""@""))) = TRIM(CLEAN(TEXT($D93, ""@""))),
      Recording!$AA:$AA = 1
    ),
    1
  ),
  ""Not Found""
)
"),"https://drive.google.com/open?id=1yde1CLFiqs8CIBA7xjc9X16TvQebxCCh")</f>
        <v>https://drive.google.com/open?id=1yde1CLFiqs8CIBA7xjc9X16TvQebxCCh</v>
      </c>
      <c r="F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1!$E:$E"")=$D93) *
        (IMPORTRANGE(""https://docs.google.com/spreadsheets/d/161aHT6vVT3SLneTKD19N5qVWtnj_jIT8CSsOmUVKmaA/"&amp;"edit?gid=1761053510"",
          ""Haris_Form responses 1!$AQ:$AQ"")=1)
      ),
      1
    ),
    ""0""
  ),
  ""Form not found""
)
"),"1")</f>
        <v>1</v>
      </c>
      <c r="G93" s="245" t="str">
        <f>IFERROR(__xludf.DUMMYFUNCTION("IFERROR(
  INDEX(
    FILTER(
      Transcription!$AJ:$AJ,
      TRIM(CLEAN(TEXT(Transcription!$F:$F, ""@""))) = TRIM(CLEAN(TEXT($D93, ""@""))),
      Transcription!$AO:$AO = 1
    ),
    1
  ),
  ""Not Found""
)
"),"https://drive.google.com/open?id=1g566FiHwy5Re1pm4CBTCMYJCKHJl1tBXC6OQtZqVjXI")</f>
        <v>https://drive.google.com/open?id=1g566FiHwy5Re1pm4CBTCMYJCKHJl1tBXC6OQtZqVjXI</v>
      </c>
      <c r="H93" s="246" t="str">
        <f>IFERROR(__xludf.DUMMYFUNCTION("IFERROR(
  INDEX(
    FILTER(
      Recording!$U:$U,
      TRIM(CLEAN(TEXT(Recording!$E:$E, ""@""))) = TRIM(CLEAN(TEXT($D93, ""@""))),
      Recording!$AA:$AA = 2
    ),
    1
  ),
  ""Not Found""
)
"),"Not Found")</f>
        <v>Not Found</v>
      </c>
      <c r="I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1!$E:$E"")=$D93) *
        (IMPORTRANGE(""https://docs.google.com/spreadsheets/d/161aHT6vVT3SLneTKD19N5qVWtnj_jIT8CSsOmUVKmaA/"&amp;"edit?gid=1761053510"",
          ""Haris_Form responses 1!$AQ:$AQ"")=2)
      ),
      1
    ),
    ""0""
  ),
  ""Form not found""
)
"),"Form not found")</f>
        <v>Form not found</v>
      </c>
      <c r="J93" s="247" t="str">
        <f>IFERROR(__xludf.DUMMYFUNCTION("IFERROR(
  INDEX(
    FILTER(
      Transcription!$AJ:$AJ,
      TRIM(CLEAN(TEXT(Transcription!$F:$F, ""@""))) = TRIM(CLEAN(TEXT($D93, ""@""))),
      Transcription!$AO:$AO = 2
    ),
    1
  ),
  ""Not Found""
)
"),"Not Found")</f>
        <v>Not Found</v>
      </c>
      <c r="K93" s="244" t="str">
        <f>IFERROR(__xludf.DUMMYFUNCTION("IFERROR(
  INDEX(
    FILTER(
      Recording!$U:$U,
      TRIM(CLEAN(TEXT(Recording!$E:$E, ""@""))) = TRIM(CLEAN(TEXT($D93, ""@""))),
      Recording!$AA:$AA = 3
    ),
    1
  ),
  ""Not Found""
)
"),"https://drive.google.com/open?id=14hL-fq34Ysh4rlYw0JBMmHGUIO024xR2")</f>
        <v>https://drive.google.com/open?id=14hL-fq34Ysh4rlYw0JBMmHGUIO024xR2</v>
      </c>
      <c r="L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1!$E:$E"")=$D93) *
        (IMPORTRANGE(""https://docs.google.com/spreadsheets/d/161aHT6vVT3SLneTKD19N5qVWtnj_jIT8CSsOmUVKmaA/"&amp;"edit?gid=1761053510"",
          ""Haris_Form responses 1!$AQ:$AQ"")=3)
      ),
      1
    ),
    ""0""
  ),
  ""Form not found""
)
"),"3")</f>
        <v>3</v>
      </c>
      <c r="M93" s="245" t="str">
        <f>IFERROR(__xludf.DUMMYFUNCTION("IFERROR(
  INDEX(
    FILTER(
      Transcription!$AJ:$AJ,
      TRIM(CLEAN(TEXT(Transcription!$F:$F, ""@""))) = TRIM(CLEAN(TEXT($D93, ""@""))),
      Transcription!$AO:$AO = 3
    ),
    1
  ),
  ""Not Found""
)
"),"https://drive.google.com/open?id=1JzfFujVlkYq_VyrA6_cqzll9oT7_cSR9")</f>
        <v>https://drive.google.com/open?id=1JzfFujVlkYq_VyrA6_cqzll9oT7_cSR9</v>
      </c>
      <c r="N93" s="246" t="str">
        <f>IFERROR(__xludf.DUMMYFUNCTION("IFERROR(
  INDEX(
    FILTER(
      Recording!$U:$U,
      TRIM(CLEAN(TEXT(Recording!$E:$E, ""@""))) = TRIM(CLEAN(TEXT($D93, ""@""))),
      Recording!$AA:$AA = 4
    ),
    1
  ),
  ""Not Found""
)
"),"Not Found")</f>
        <v>Not Found</v>
      </c>
      <c r="O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1!$E:$E"")=$D93) *
        (IMPORTRANGE(""https://docs.google.com/spreadsheets/d/161aHT6vVT3SLneTKD19N5qVWtnj_jIT8CSsOmUVKmaA/"&amp;"edit?gid=1761053510"",
          ""Haris_Form responses 1!$AQ:$AQ"")=4)
      ),
      1
    ),
    ""0""
  ),
  ""Form not found""
)
"),"Form not found")</f>
        <v>Form not found</v>
      </c>
      <c r="P93" s="247" t="str">
        <f>IFERROR(__xludf.DUMMYFUNCTION("IFERROR(
  INDEX(
    FILTER(
      Transcription!$AJ:$AJ,
      TRIM(CLEAN(TEXT(Transcription!$F:$F, ""@""))) = TRIM(CLEAN(TEXT($D93, ""@""))),
      Transcription!$AO:$AO = 4
    ),
    1
  ),
  ""Not Found""
)
"),"Not Found")</f>
        <v>Not Found</v>
      </c>
      <c r="Q93" s="246" t="str">
        <f>IFERROR(__xludf.DUMMYFUNCTION("IFERROR(
  INDEX(
    FILTER(
      Recording!$U:$U,
      TRIM(CLEAN(TEXT(Recording!$E:$E, ""@""))) = TRIM(CLEAN(TEXT($D93, ""@""))),
      Recording!$AA:$AA = 5
    ),
    1
  ),
  ""Not Found""
)
"),"Not Found")</f>
        <v>Not Found</v>
      </c>
      <c r="R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1!$E:$E"")=$D93) *
        (IMPORTRANGE(""https://docs.google.com/spreadsheets/d/161aHT6vVT3SLneTKD19N5qVWtnj_jIT8CSsOmUVKmaA/"&amp;"edit?gid=1761053510"",
          ""Haris_Form responses 1!$AQ:$AQ"")=5)
      ),
      1
    ),
    ""0""
  ),
  ""Form not found""
)
"),"Form not found")</f>
        <v>Form not found</v>
      </c>
      <c r="S93" s="247" t="str">
        <f>IFERROR(__xludf.DUMMYFUNCTION("IFERROR(
  INDEX(
    FILTER(
      Transcription!$AJ:$AJ,
      TRIM(CLEAN(TEXT(Transcription!$F:$F, ""@""))) = TRIM(CLEAN(TEXT($D93, ""@""))),
      Transcription!$AO:$AO = 5
    ),
    1
  ),
  ""Not Found""
)
"),"Not Found")</f>
        <v>Not Found</v>
      </c>
      <c r="T93" s="246" t="str">
        <f>IFERROR(__xludf.DUMMYFUNCTION("IFERROR(
  INDEX(
    FILTER(
      Recording!$U:$U,
      TRIM(CLEAN(TEXT(Recording!$E:$E, ""@""))) = TRIM(CLEAN(TEXT($D93, ""@""))),
      Recording!$AA:$AA = 6
    ),
    1
  ),
  ""Not Found""
)
"),"Not Found")</f>
        <v>Not Found</v>
      </c>
      <c r="U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1!$E:$E"")=$D93) *
        (IMPORTRANGE(""https://docs.google.com/spreadsheets/d/161aHT6vVT3SLneTKD19N5qVWtnj_jIT8CSsOmUVKmaA/"&amp;"edit?gid=1761053510"",
          ""Haris_Form responses 1!$AQ:$AQ"")=6)
      ),
      1
    ),
    ""0""
  ),
  ""Form not found""
)
"),"Form not found")</f>
        <v>Form not found</v>
      </c>
      <c r="V93" s="247" t="str">
        <f>IFERROR(__xludf.DUMMYFUNCTION("IFERROR(
  INDEX(
    FILTER(
      Transcription!$AJ:$AJ,
      TRIM(CLEAN(TEXT(Transcription!$F:$F, ""@""))) = TRIM(CLEAN(TEXT($D93, ""@""))),
      Transcription!$AO:$AO = 6
    ),
    1
  ),
  ""Not Found""
)
"),"Not Found")</f>
        <v>Not Found</v>
      </c>
      <c r="Z93" s="10">
        <f t="shared" si="1"/>
        <v>2</v>
      </c>
      <c r="AA93" s="10">
        <f t="shared" si="2"/>
        <v>0</v>
      </c>
    </row>
    <row r="94">
      <c r="A94" s="8" t="str">
        <f>VLOOKUP($D94,Sheet6!$B:$G,5,FALSE)</f>
        <v>Gujrat</v>
      </c>
      <c r="B94" s="232" t="str">
        <f>VLOOKUP($D94,Sheet6!$B:$G,4,FALSE)</f>
        <v>Community Secular Info Share</v>
      </c>
      <c r="C94" s="8">
        <v>3.0</v>
      </c>
      <c r="D94" s="8" t="s">
        <v>1670</v>
      </c>
      <c r="E94" s="244" t="str">
        <f>IFERROR(__xludf.DUMMYFUNCTION("IFERROR(
  INDEX(
    FILTER(
      Recording!$U:$U,
      TRIM(CLEAN(TEXT(Recording!$E:$E, ""@""))) = TRIM(CLEAN(TEXT($D94, ""@""))),
      Recording!$AA:$AA = 1
    ),
    1
  ),
  ""Not Found""
)
"),"https://drive.google.com/open?id=1PUS2Rvl7LmLLYsTJNUW1mJ6dE5J-RL_d")</f>
        <v>https://drive.google.com/open?id=1PUS2Rvl7LmLLYsTJNUW1mJ6dE5J-RL_d</v>
      </c>
      <c r="F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1!$E:$E"")=$D94) *
        (IMPORTRANGE(""https://docs.google.com/spreadsheets/d/161aHT6vVT3SLneTKD19N5qVWtnj_jIT8CSsOmUVKmaA/"&amp;"edit?gid=1761053510"",
          ""Haris_Form responses 1!$AQ:$AQ"")=1)
      ),
      1
    ),
    ""0""
  ),
  ""Form not found""
)
"),"1")</f>
        <v>1</v>
      </c>
      <c r="G94" s="245" t="str">
        <f>IFERROR(__xludf.DUMMYFUNCTION("IFERROR(
  INDEX(
    FILTER(
      Transcription!$AJ:$AJ,
      TRIM(CLEAN(TEXT(Transcription!$F:$F, ""@""))) = TRIM(CLEAN(TEXT($D94, ""@""))),
      Transcription!$AO:$AO = 1
    ),
    1
  ),
  ""Not Found""
)
"),"https://drive.google.com/open?id=16h1XA25GJ1TU1q7rbls2EMUq8y4kwkzG")</f>
        <v>https://drive.google.com/open?id=16h1XA25GJ1TU1q7rbls2EMUq8y4kwkzG</v>
      </c>
      <c r="H94" s="244" t="str">
        <f>IFERROR(__xludf.DUMMYFUNCTION("IFERROR(
  INDEX(
    FILTER(
      Recording!$U:$U,
      TRIM(CLEAN(TEXT(Recording!$E:$E, ""@""))) = TRIM(CLEAN(TEXT($D94, ""@""))),
      Recording!$AA:$AA = 2
    ),
    1
  ),
  ""Not Found""
)
"),"https://drive.google.com/open?id=14_mfupTiwCyq7rKFlaIKyETFZmjXpvu0")</f>
        <v>https://drive.google.com/open?id=14_mfupTiwCyq7rKFlaIKyETFZmjXpvu0</v>
      </c>
      <c r="I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1!$E:$E"")=$D94) *
        (IMPORTRANGE(""https://docs.google.com/spreadsheets/d/161aHT6vVT3SLneTKD19N5qVWtnj_jIT8CSsOmUVKmaA/"&amp;"edit?gid=1761053510"",
          ""Haris_Form responses 1!$AQ:$AQ"")=2)
      ),
      1
    ),
    ""0""
  ),
  ""Form not found""
)
"),"2")</f>
        <v>2</v>
      </c>
      <c r="J94" s="245" t="str">
        <f>IFERROR(__xludf.DUMMYFUNCTION("IFERROR(
  INDEX(
    FILTER(
      Transcription!$AJ:$AJ,
      TRIM(CLEAN(TEXT(Transcription!$F:$F, ""@""))) = TRIM(CLEAN(TEXT($D94, ""@""))),
      Transcription!$AO:$AO = 2
    ),
    1
  ),
  ""Not Found""
)
"),"https://drive.google.com/open?id=1EQekoIzq6IDaSzF9LNz5GAuoI9psUx2-")</f>
        <v>https://drive.google.com/open?id=1EQekoIzq6IDaSzF9LNz5GAuoI9psUx2-</v>
      </c>
      <c r="K94" s="244" t="str">
        <f>IFERROR(__xludf.DUMMYFUNCTION("IFERROR(
  INDEX(
    FILTER(
      Recording!$U:$U,
      TRIM(CLEAN(TEXT(Recording!$E:$E, ""@""))) = TRIM(CLEAN(TEXT($D94, ""@""))),
      Recording!$AA:$AA = 3
    ),
    1
  ),
  ""Not Found""
)
"),"https://drive.google.com/open?id=1VDHQJPuWDUuWuRpl5-uP1WM43tjpIFMA")</f>
        <v>https://drive.google.com/open?id=1VDHQJPuWDUuWuRpl5-uP1WM43tjpIFMA</v>
      </c>
      <c r="L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1!$E:$E"")=$D94) *
        (IMPORTRANGE(""https://docs.google.com/spreadsheets/d/161aHT6vVT3SLneTKD19N5qVWtnj_jIT8CSsOmUVKmaA/"&amp;"edit?gid=1761053510"",
          ""Haris_Form responses 1!$AQ:$AQ"")=3)
      ),
      1
    ),
    ""0""
  ),
  ""Form not found""
)
"),"3")</f>
        <v>3</v>
      </c>
      <c r="M94" s="245" t="str">
        <f>IFERROR(__xludf.DUMMYFUNCTION("IFERROR(
  INDEX(
    FILTER(
      Transcription!$AJ:$AJ,
      TRIM(CLEAN(TEXT(Transcription!$F:$F, ""@""))) = TRIM(CLEAN(TEXT($D94, ""@""))),
      Transcription!$AO:$AO = 3
    ),
    1
  ),
  ""Not Found""
)
"),"https://drive.google.com/open?id=1GqsEuSxprax607aNeduU_bQZJ5LnWg_Y")</f>
        <v>https://drive.google.com/open?id=1GqsEuSxprax607aNeduU_bQZJ5LnWg_Y</v>
      </c>
      <c r="N94" s="246" t="str">
        <f>IFERROR(__xludf.DUMMYFUNCTION("IFERROR(
  INDEX(
    FILTER(
      Recording!$U:$U,
      TRIM(CLEAN(TEXT(Recording!$E:$E, ""@""))) = TRIM(CLEAN(TEXT($D94, ""@""))),
      Recording!$AA:$AA = 4
    ),
    1
  ),
  ""Not Found""
)
"),"Not Found")</f>
        <v>Not Found</v>
      </c>
      <c r="O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1!$E:$E"")=$D94) *
        (IMPORTRANGE(""https://docs.google.com/spreadsheets/d/161aHT6vVT3SLneTKD19N5qVWtnj_jIT8CSsOmUVKmaA/"&amp;"edit?gid=1761053510"",
          ""Haris_Form responses 1!$AQ:$AQ"")=4)
      ),
      1
    ),
    ""0""
  ),
  ""Form not found""
)
"),"Form not found")</f>
        <v>Form not found</v>
      </c>
      <c r="P94" s="247" t="str">
        <f>IFERROR(__xludf.DUMMYFUNCTION("IFERROR(
  INDEX(
    FILTER(
      Transcription!$AJ:$AJ,
      TRIM(CLEAN(TEXT(Transcription!$F:$F, ""@""))) = TRIM(CLEAN(TEXT($D94, ""@""))),
      Transcription!$AO:$AO = 4
    ),
    1
  ),
  ""Not Found""
)
"),"Not Found")</f>
        <v>Not Found</v>
      </c>
      <c r="Q94" s="246" t="str">
        <f>IFERROR(__xludf.DUMMYFUNCTION("IFERROR(
  INDEX(
    FILTER(
      Recording!$U:$U,
      TRIM(CLEAN(TEXT(Recording!$E:$E, ""@""))) = TRIM(CLEAN(TEXT($D94, ""@""))),
      Recording!$AA:$AA = 5
    ),
    1
  ),
  ""Not Found""
)
"),"Not Found")</f>
        <v>Not Found</v>
      </c>
      <c r="R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1!$E:$E"")=$D94) *
        (IMPORTRANGE(""https://docs.google.com/spreadsheets/d/161aHT6vVT3SLneTKD19N5qVWtnj_jIT8CSsOmUVKmaA/"&amp;"edit?gid=1761053510"",
          ""Haris_Form responses 1!$AQ:$AQ"")=5)
      ),
      1
    ),
    ""0""
  ),
  ""Form not found""
)
"),"Form not found")</f>
        <v>Form not found</v>
      </c>
      <c r="S94" s="247" t="str">
        <f>IFERROR(__xludf.DUMMYFUNCTION("IFERROR(
  INDEX(
    FILTER(
      Transcription!$AJ:$AJ,
      TRIM(CLEAN(TEXT(Transcription!$F:$F, ""@""))) = TRIM(CLEAN(TEXT($D94, ""@""))),
      Transcription!$AO:$AO = 5
    ),
    1
  ),
  ""Not Found""
)
"),"Not Found")</f>
        <v>Not Found</v>
      </c>
      <c r="T94" s="248" t="str">
        <f>IFERROR(__xludf.DUMMYFUNCTION("IFERROR(
  INDEX(
    FILTER(
      Recording!$U:$U,
      TRIM(CLEAN(TEXT(Recording!$E:$E, ""@""))) = TRIM(CLEAN(TEXT($D94, ""@""))),
      Recording!$AA:$AA = 6
    ),
    1
  ),
  ""Not Found""
)
"),"Not Found")</f>
        <v>Not Found</v>
      </c>
      <c r="U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1!$E:$E"")=$D94) *
        (IMPORTRANGE(""https://docs.google.com/spreadsheets/d/161aHT6vVT3SLneTKD19N5qVWtnj_jIT8CSsOmUVKmaA/"&amp;"edit?gid=1761053510"",
          ""Haris_Form responses 1!$AQ:$AQ"")=6)
      ),
      1
    ),
    ""0""
  ),
  ""Form not found""
)
"),"Form not found")</f>
        <v>Form not found</v>
      </c>
      <c r="V94" s="247" t="str">
        <f>IFERROR(__xludf.DUMMYFUNCTION("IFERROR(
  INDEX(
    FILTER(
      Transcription!$AJ:$AJ,
      TRIM(CLEAN(TEXT(Transcription!$F:$F, ""@""))) = TRIM(CLEAN(TEXT($D94, ""@""))),
      Transcription!$AO:$AO = 6
    ),
    1
  ),
  ""Not Found""
)
"),"Not Found")</f>
        <v>Not Found</v>
      </c>
      <c r="Z94" s="10">
        <f t="shared" si="1"/>
        <v>3</v>
      </c>
      <c r="AA94" s="10">
        <f t="shared" si="2"/>
        <v>0</v>
      </c>
    </row>
    <row r="95">
      <c r="A95" s="8" t="str">
        <f>VLOOKUP($D95,Sheet6!$B:$G,5,FALSE)</f>
        <v>Gujrat</v>
      </c>
      <c r="B95" s="232" t="str">
        <f>VLOOKUP($D95,Sheet6!$B:$G,4,FALSE)</f>
        <v>Control</v>
      </c>
      <c r="C95" s="8">
        <v>2.0</v>
      </c>
      <c r="D95" s="8" t="s">
        <v>2731</v>
      </c>
      <c r="E95" s="244" t="str">
        <f>IFERROR(__xludf.DUMMYFUNCTION("IFERROR(
  INDEX(
    FILTER(
      Recording!$U:$U,
      TRIM(CLEAN(TEXT(Recording!$E:$E, ""@""))) = TRIM(CLEAN(TEXT($D95, ""@""))),
      Recording!$AA:$AA = 1
    ),
    1
  ),
  ""Not Found""
)
"),"https://drive.google.com/file/d/1DDVisaPY7tEMr_CDFpqgXHvnUNyIVrZS/view?usp=drive_link")</f>
        <v>https://drive.google.com/file/d/1DDVisaPY7tEMr_CDFpqgXHvnUNyIVrZS/view?usp=drive_link</v>
      </c>
      <c r="F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1!$E:$E"")=$D95) *
        (IMPORTRANGE(""https://docs.google.com/spreadsheets/d/161aHT6vVT3SLneTKD19N5qVWtnj_jIT8CSsOmUVKmaA/"&amp;"edit?gid=1761053510"",
          ""Haris_Form responses 1!$AQ:$AQ"")=1)
      ),
      1
    ),
    ""0""
  ),
  ""Form not found""
)
"),"1")</f>
        <v>1</v>
      </c>
      <c r="G95" s="245" t="str">
        <f>IFERROR(__xludf.DUMMYFUNCTION("IFERROR(
  INDEX(
    FILTER(
      Transcription!$AJ:$AJ,
      TRIM(CLEAN(TEXT(Transcription!$F:$F, ""@""))) = TRIM(CLEAN(TEXT($D95, ""@""))),
      Transcription!$AO:$AO = 1
    ),
    1
  ),
  ""Not Found""
)
"),"https://drive.google.com/open?id=12IIOfwgBJnXlzNs6_9XZV93GJy-MTvFc")</f>
        <v>https://drive.google.com/open?id=12IIOfwgBJnXlzNs6_9XZV93GJy-MTvFc</v>
      </c>
      <c r="H95" s="246" t="str">
        <f>IFERROR(__xludf.DUMMYFUNCTION("IFERROR(
  INDEX(
    FILTER(
      Recording!$U:$U,
      TRIM(CLEAN(TEXT(Recording!$E:$E, ""@""))) = TRIM(CLEAN(TEXT($D95, ""@""))),
      Recording!$AA:$AA = 2
    ),
    1
  ),
  ""Not Found""
)
"),"Not Found")</f>
        <v>Not Found</v>
      </c>
      <c r="I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1!$E:$E"")=$D95) *
        (IMPORTRANGE(""https://docs.google.com/spreadsheets/d/161aHT6vVT3SLneTKD19N5qVWtnj_jIT8CSsOmUVKmaA/"&amp;"edit?gid=1761053510"",
          ""Haris_Form responses 1!$AQ:$AQ"")=2)
      ),
      1
    ),
    ""0""
  ),
  ""Form not found""
)
"),"Form not found")</f>
        <v>Form not found</v>
      </c>
      <c r="J95" s="247" t="str">
        <f>IFERROR(__xludf.DUMMYFUNCTION("IFERROR(
  INDEX(
    FILTER(
      Transcription!$AJ:$AJ,
      TRIM(CLEAN(TEXT(Transcription!$F:$F, ""@""))) = TRIM(CLEAN(TEXT($D95, ""@""))),
      Transcription!$AO:$AO = 2
    ),
    1
  ),
  ""Not Found""
)
"),"Not Found")</f>
        <v>Not Found</v>
      </c>
      <c r="K95" s="244" t="str">
        <f>IFERROR(__xludf.DUMMYFUNCTION("IFERROR(
  INDEX(
    FILTER(
      Recording!$U:$U,
      TRIM(CLEAN(TEXT(Recording!$E:$E, ""@""))) = TRIM(CLEAN(TEXT($D95, ""@""))),
      Recording!$AA:$AA = 3
    ),
    1
  ),
  ""Not Found""
)
"),"https://drive.google.com/open?id=1T0lWLzbXvsB73dRjKqKuw0JBgMXn7077")</f>
        <v>https://drive.google.com/open?id=1T0lWLzbXvsB73dRjKqKuw0JBgMXn7077</v>
      </c>
      <c r="L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1!$E:$E"")=$D95) *
        (IMPORTRANGE(""https://docs.google.com/spreadsheets/d/161aHT6vVT3SLneTKD19N5qVWtnj_jIT8CSsOmUVKmaA/"&amp;"edit?gid=1761053510"",
          ""Haris_Form responses 1!$AQ:$AQ"")=3)
      ),
      1
    ),
    ""0""
  ),
  ""Form not found""
)
"),"3")</f>
        <v>3</v>
      </c>
      <c r="M95" s="245" t="str">
        <f>IFERROR(__xludf.DUMMYFUNCTION("IFERROR(
  INDEX(
    FILTER(
      Transcription!$AJ:$AJ,
      TRIM(CLEAN(TEXT(Transcription!$F:$F, ""@""))) = TRIM(CLEAN(TEXT($D95, ""@""))),
      Transcription!$AO:$AO = 3
    ),
    1
  ),
  ""Not Found""
)
"),"https://drive.google.com/open?id=111v1kK0I-CrqLff2TNEZryT6UW3xt-lq")</f>
        <v>https://drive.google.com/open?id=111v1kK0I-CrqLff2TNEZryT6UW3xt-lq</v>
      </c>
      <c r="N95" s="246" t="str">
        <f>IFERROR(__xludf.DUMMYFUNCTION("IFERROR(
  INDEX(
    FILTER(
      Recording!$U:$U,
      TRIM(CLEAN(TEXT(Recording!$E:$E, ""@""))) = TRIM(CLEAN(TEXT($D95, ""@""))),
      Recording!$AA:$AA = 4
    ),
    1
  ),
  ""Not Found""
)
"),"Not Found")</f>
        <v>Not Found</v>
      </c>
      <c r="O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1!$E:$E"")=$D95) *
        (IMPORTRANGE(""https://docs.google.com/spreadsheets/d/161aHT6vVT3SLneTKD19N5qVWtnj_jIT8CSsOmUVKmaA/"&amp;"edit?gid=1761053510"",
          ""Haris_Form responses 1!$AQ:$AQ"")=4)
      ),
      1
    ),
    ""0""
  ),
  ""Form not found""
)
"),"Form not found")</f>
        <v>Form not found</v>
      </c>
      <c r="P95" s="247" t="str">
        <f>IFERROR(__xludf.DUMMYFUNCTION("IFERROR(
  INDEX(
    FILTER(
      Transcription!$AJ:$AJ,
      TRIM(CLEAN(TEXT(Transcription!$F:$F, ""@""))) = TRIM(CLEAN(TEXT($D95, ""@""))),
      Transcription!$AO:$AO = 4
    ),
    1
  ),
  ""Not Found""
)
"),"Not Found")</f>
        <v>Not Found</v>
      </c>
      <c r="Q95" s="246" t="str">
        <f>IFERROR(__xludf.DUMMYFUNCTION("IFERROR(
  INDEX(
    FILTER(
      Recording!$U:$U,
      TRIM(CLEAN(TEXT(Recording!$E:$E, ""@""))) = TRIM(CLEAN(TEXT($D95, ""@""))),
      Recording!$AA:$AA = 5
    ),
    1
  ),
  ""Not Found""
)
"),"Not Found")</f>
        <v>Not Found</v>
      </c>
      <c r="R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1!$E:$E"")=$D95) *
        (IMPORTRANGE(""https://docs.google.com/spreadsheets/d/161aHT6vVT3SLneTKD19N5qVWtnj_jIT8CSsOmUVKmaA/"&amp;"edit?gid=1761053510"",
          ""Haris_Form responses 1!$AQ:$AQ"")=5)
      ),
      1
    ),
    ""0""
  ),
  ""Form not found""
)
"),"Form not found")</f>
        <v>Form not found</v>
      </c>
      <c r="S95" s="247" t="str">
        <f>IFERROR(__xludf.DUMMYFUNCTION("IFERROR(
  INDEX(
    FILTER(
      Transcription!$AJ:$AJ,
      TRIM(CLEAN(TEXT(Transcription!$F:$F, ""@""))) = TRIM(CLEAN(TEXT($D95, ""@""))),
      Transcription!$AO:$AO = 5
    ),
    1
  ),
  ""Not Found""
)
"),"Not Found")</f>
        <v>Not Found</v>
      </c>
      <c r="T95" s="246" t="str">
        <f>IFERROR(__xludf.DUMMYFUNCTION("IFERROR(
  INDEX(
    FILTER(
      Recording!$U:$U,
      TRIM(CLEAN(TEXT(Recording!$E:$E, ""@""))) = TRIM(CLEAN(TEXT($D95, ""@""))),
      Recording!$AA:$AA = 6
    ),
    1
  ),
  ""Not Found""
)
"),"Not Found")</f>
        <v>Not Found</v>
      </c>
      <c r="U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1!$E:$E"")=$D95) *
        (IMPORTRANGE(""https://docs.google.com/spreadsheets/d/161aHT6vVT3SLneTKD19N5qVWtnj_jIT8CSsOmUVKmaA/"&amp;"edit?gid=1761053510"",
          ""Haris_Form responses 1!$AQ:$AQ"")=6)
      ),
      1
    ),
    ""0""
  ),
  ""Form not found""
)
"),"Form not found")</f>
        <v>Form not found</v>
      </c>
      <c r="V95" s="247" t="str">
        <f>IFERROR(__xludf.DUMMYFUNCTION("IFERROR(
  INDEX(
    FILTER(
      Transcription!$AJ:$AJ,
      TRIM(CLEAN(TEXT(Transcription!$F:$F, ""@""))) = TRIM(CLEAN(TEXT($D95, ""@""))),
      Transcription!$AO:$AO = 6
    ),
    1
  ),
  ""Not Found""
)
"),"Not Found")</f>
        <v>Not Found</v>
      </c>
      <c r="Z95" s="10">
        <f t="shared" si="1"/>
        <v>2</v>
      </c>
      <c r="AA95" s="10">
        <f t="shared" si="2"/>
        <v>0</v>
      </c>
    </row>
    <row r="96">
      <c r="A96" s="8" t="str">
        <f>VLOOKUP($D96,Sheet6!$B:$G,5,FALSE)</f>
        <v>Gujrat</v>
      </c>
      <c r="B96" s="232" t="str">
        <f>VLOOKUP($D96,Sheet6!$B:$G,4,FALSE)</f>
        <v>Control</v>
      </c>
      <c r="C96" s="8">
        <v>2.0</v>
      </c>
      <c r="D96" s="8" t="s">
        <v>2531</v>
      </c>
      <c r="E96" s="244" t="str">
        <f>IFERROR(__xludf.DUMMYFUNCTION("IFERROR(
  INDEX(
    FILTER(
      Recording!$U:$U,
      TRIM(CLEAN(TEXT(Recording!$E:$E, ""@""))) = TRIM(CLEAN(TEXT($D96, ""@""))),
      Recording!$AA:$AA = 1
    ),
    1
  ),
  ""Not Found""
)
"),"https://drive.google.com/open?id=1PV-4uOReqLud32EOLqRLoEiZJOjhbOwJ")</f>
        <v>https://drive.google.com/open?id=1PV-4uOReqLud32EOLqRLoEiZJOjhbOwJ</v>
      </c>
      <c r="F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1!$E:$E"")=$D96) *
        (IMPORTRANGE(""https://docs.google.com/spreadsheets/d/161aHT6vVT3SLneTKD19N5qVWtnj_jIT8CSsOmUVKmaA/"&amp;"edit?gid=1761053510"",
          ""Haris_Form responses 1!$AQ:$AQ"")=1)
      ),
      1
    ),
    ""0""
  ),
  ""Form not found""
)
"),"1")</f>
        <v>1</v>
      </c>
      <c r="G96" s="245" t="str">
        <f>IFERROR(__xludf.DUMMYFUNCTION("IFERROR(
  INDEX(
    FILTER(
      Transcription!$AJ:$AJ,
      TRIM(CLEAN(TEXT(Transcription!$F:$F, ""@""))) = TRIM(CLEAN(TEXT($D96, ""@""))),
      Transcription!$AO:$AO = 1
    ),
    1
  ),
  ""Not Found""
)
"),"https://drive.google.com/open?id=19h7zChwHDNVCCHdIrRNac2LexSfKJyDj")</f>
        <v>https://drive.google.com/open?id=19h7zChwHDNVCCHdIrRNac2LexSfKJyDj</v>
      </c>
      <c r="H96" s="246" t="str">
        <f>IFERROR(__xludf.DUMMYFUNCTION("IFERROR(
  INDEX(
    FILTER(
      Recording!$U:$U,
      TRIM(CLEAN(TEXT(Recording!$E:$E, ""@""))) = TRIM(CLEAN(TEXT($D96, ""@""))),
      Recording!$AA:$AA = 2
    ),
    1
  ),
  ""Not Found""
)
"),"Not Found")</f>
        <v>Not Found</v>
      </c>
      <c r="I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1!$E:$E"")=$D96) *
        (IMPORTRANGE(""https://docs.google.com/spreadsheets/d/161aHT6vVT3SLneTKD19N5qVWtnj_jIT8CSsOmUVKmaA/"&amp;"edit?gid=1761053510"",
          ""Haris_Form responses 1!$AQ:$AQ"")=2)
      ),
      1
    ),
    ""0""
  ),
  ""Form not found""
)
"),"Form not found")</f>
        <v>Form not found</v>
      </c>
      <c r="J96" s="247" t="str">
        <f>IFERROR(__xludf.DUMMYFUNCTION("IFERROR(
  INDEX(
    FILTER(
      Transcription!$AJ:$AJ,
      TRIM(CLEAN(TEXT(Transcription!$F:$F, ""@""))) = TRIM(CLEAN(TEXT($D96, ""@""))),
      Transcription!$AO:$AO = 2
    ),
    1
  ),
  ""Not Found""
)
"),"Not Found")</f>
        <v>Not Found</v>
      </c>
      <c r="K96" s="244" t="str">
        <f>IFERROR(__xludf.DUMMYFUNCTION("IFERROR(
  INDEX(
    FILTER(
      Recording!$U:$U,
      TRIM(CLEAN(TEXT(Recording!$E:$E, ""@""))) = TRIM(CLEAN(TEXT($D96, ""@""))),
      Recording!$AA:$AA = 3
    ),
    1
  ),
  ""Not Found""
)
"),"https://drive.google.com/open?id=1ivgG3wJI1fPiOFmTXuzTuwjxGm6uAecT")</f>
        <v>https://drive.google.com/open?id=1ivgG3wJI1fPiOFmTXuzTuwjxGm6uAecT</v>
      </c>
      <c r="L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1!$E:$E"")=$D96) *
        (IMPORTRANGE(""https://docs.google.com/spreadsheets/d/161aHT6vVT3SLneTKD19N5qVWtnj_jIT8CSsOmUVKmaA/"&amp;"edit?gid=1761053510"",
          ""Haris_Form responses 1!$AQ:$AQ"")=3)
      ),
      1
    ),
    ""0""
  ),
  ""Form not found""
)
"),"3")</f>
        <v>3</v>
      </c>
      <c r="M96" s="245" t="str">
        <f>IFERROR(__xludf.DUMMYFUNCTION("IFERROR(
  INDEX(
    FILTER(
      Transcription!$AJ:$AJ,
      TRIM(CLEAN(TEXT(Transcription!$F:$F, ""@""))) = TRIM(CLEAN(TEXT($D96, ""@""))),
      Transcription!$AO:$AO = 3
    ),
    1
  ),
  ""Not Found""
)
"),"https://drive.google.com/open?id=1FbdtXTblxFDij1sNf_KkqYbv8245PbK2")</f>
        <v>https://drive.google.com/open?id=1FbdtXTblxFDij1sNf_KkqYbv8245PbK2</v>
      </c>
      <c r="N96" s="246" t="str">
        <f>IFERROR(__xludf.DUMMYFUNCTION("IFERROR(
  INDEX(
    FILTER(
      Recording!$U:$U,
      TRIM(CLEAN(TEXT(Recording!$E:$E, ""@""))) = TRIM(CLEAN(TEXT($D96, ""@""))),
      Recording!$AA:$AA = 4
    ),
    1
  ),
  ""Not Found""
)
"),"Not Found")</f>
        <v>Not Found</v>
      </c>
      <c r="O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1!$E:$E"")=$D96) *
        (IMPORTRANGE(""https://docs.google.com/spreadsheets/d/161aHT6vVT3SLneTKD19N5qVWtnj_jIT8CSsOmUVKmaA/"&amp;"edit?gid=1761053510"",
          ""Haris_Form responses 1!$AQ:$AQ"")=4)
      ),
      1
    ),
    ""0""
  ),
  ""Form not found""
)
"),"Form not found")</f>
        <v>Form not found</v>
      </c>
      <c r="P96" s="247" t="str">
        <f>IFERROR(__xludf.DUMMYFUNCTION("IFERROR(
  INDEX(
    FILTER(
      Transcription!$AJ:$AJ,
      TRIM(CLEAN(TEXT(Transcription!$F:$F, ""@""))) = TRIM(CLEAN(TEXT($D96, ""@""))),
      Transcription!$AO:$AO = 4
    ),
    1
  ),
  ""Not Found""
)
"),"Not Found")</f>
        <v>Not Found</v>
      </c>
      <c r="Q96" s="246" t="str">
        <f>IFERROR(__xludf.DUMMYFUNCTION("IFERROR(
  INDEX(
    FILTER(
      Recording!$U:$U,
      TRIM(CLEAN(TEXT(Recording!$E:$E, ""@""))) = TRIM(CLEAN(TEXT($D96, ""@""))),
      Recording!$AA:$AA = 5
    ),
    1
  ),
  ""Not Found""
)
"),"Not Found")</f>
        <v>Not Found</v>
      </c>
      <c r="R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1!$E:$E"")=$D96) *
        (IMPORTRANGE(""https://docs.google.com/spreadsheets/d/161aHT6vVT3SLneTKD19N5qVWtnj_jIT8CSsOmUVKmaA/"&amp;"edit?gid=1761053510"",
          ""Haris_Form responses 1!$AQ:$AQ"")=5)
      ),
      1
    ),
    ""0""
  ),
  ""Form not found""
)
"),"Form not found")</f>
        <v>Form not found</v>
      </c>
      <c r="S96" s="247" t="str">
        <f>IFERROR(__xludf.DUMMYFUNCTION("IFERROR(
  INDEX(
    FILTER(
      Transcription!$AJ:$AJ,
      TRIM(CLEAN(TEXT(Transcription!$F:$F, ""@""))) = TRIM(CLEAN(TEXT($D96, ""@""))),
      Transcription!$AO:$AO = 5
    ),
    1
  ),
  ""Not Found""
)
"),"Not Found")</f>
        <v>Not Found</v>
      </c>
      <c r="T96" s="246" t="str">
        <f>IFERROR(__xludf.DUMMYFUNCTION("IFERROR(
  INDEX(
    FILTER(
      Recording!$U:$U,
      TRIM(CLEAN(TEXT(Recording!$E:$E, ""@""))) = TRIM(CLEAN(TEXT($D96, ""@""))),
      Recording!$AA:$AA = 6
    ),
    1
  ),
  ""Not Found""
)
"),"Not Found")</f>
        <v>Not Found</v>
      </c>
      <c r="U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1!$E:$E"")=$D96) *
        (IMPORTRANGE(""https://docs.google.com/spreadsheets/d/161aHT6vVT3SLneTKD19N5qVWtnj_jIT8CSsOmUVKmaA/"&amp;"edit?gid=1761053510"",
          ""Haris_Form responses 1!$AQ:$AQ"")=6)
      ),
      1
    ),
    ""0""
  ),
  ""Form not found""
)
"),"Form not found")</f>
        <v>Form not found</v>
      </c>
      <c r="V96" s="247" t="str">
        <f>IFERROR(__xludf.DUMMYFUNCTION("IFERROR(
  INDEX(
    FILTER(
      Transcription!$AJ:$AJ,
      TRIM(CLEAN(TEXT(Transcription!$F:$F, ""@""))) = TRIM(CLEAN(TEXT($D96, ""@""))),
      Transcription!$AO:$AO = 6
    ),
    1
  ),
  ""Not Found""
)
"),"Not Found")</f>
        <v>Not Found</v>
      </c>
      <c r="Z96" s="10">
        <f t="shared" si="1"/>
        <v>2</v>
      </c>
      <c r="AA96" s="10">
        <f t="shared" si="2"/>
        <v>0</v>
      </c>
    </row>
    <row r="97">
      <c r="A97" s="8" t="str">
        <f>VLOOKUP($D97,Sheet6!$B:$G,5,FALSE)</f>
        <v>Gujrat</v>
      </c>
      <c r="B97" s="232" t="str">
        <f>VLOOKUP($D97,Sheet6!$B:$G,4,FALSE)</f>
        <v>Community Religious Info Share</v>
      </c>
      <c r="C97" s="8">
        <v>2.0</v>
      </c>
      <c r="D97" s="8" t="s">
        <v>1978</v>
      </c>
      <c r="E97" s="246" t="str">
        <f>IFERROR(__xludf.DUMMYFUNCTION("IFERROR(
  INDEX(
    FILTER(
      Recording!$U:$U,
      TRIM(CLEAN(TEXT(Recording!$E:$E, ""@""))) = TRIM(CLEAN(TEXT($D97, ""@""))),
      Recording!$AA:$AA = 1
    ),
    1
  ),
  ""Not Found""
)
"),"Not Found")</f>
        <v>Not Found</v>
      </c>
      <c r="F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1!$E:$E"")=$D97) *
        (IMPORTRANGE(""https://docs.google.com/spreadsheets/d/161aHT6vVT3SLneTKD19N5qVWtnj_jIT8CSsOmUVKmaA/"&amp;"edit?gid=1761053510"",
          ""Haris_Form responses 1!$AQ:$AQ"")=1)
      ),
      1
    ),
    ""0""
  ),
  ""Form not found""
)
"),"Form not found")</f>
        <v>Form not found</v>
      </c>
      <c r="G97" s="247" t="str">
        <f>IFERROR(__xludf.DUMMYFUNCTION("IFERROR(
  INDEX(
    FILTER(
      Transcription!$AJ:$AJ,
      TRIM(CLEAN(TEXT(Transcription!$F:$F, ""@""))) = TRIM(CLEAN(TEXT($D97, ""@""))),
      Transcription!$AO:$AO = 1
    ),
    1
  ),
  ""Not Found""
)
"),"Not Found")</f>
        <v>Not Found</v>
      </c>
      <c r="H97" s="246" t="str">
        <f>IFERROR(__xludf.DUMMYFUNCTION("IFERROR(
  INDEX(
    FILTER(
      Recording!$U:$U,
      TRIM(CLEAN(TEXT(Recording!$E:$E, ""@""))) = TRIM(CLEAN(TEXT($D97, ""@""))),
      Recording!$AA:$AA = 2
    ),
    1
  ),
  ""Not Found""
)
"),"https://drive.google.com/open?id=1EGWT-7Ouqv7eQgPxyi_Vm4wt88RiWNMX, https://drive.google.com/open?id=1ey4769qEKRE2o0NqayHKSgD7XeD9PhQc")</f>
        <v>https://drive.google.com/open?id=1EGWT-7Ouqv7eQgPxyi_Vm4wt88RiWNMX, https://drive.google.com/open?id=1ey4769qEKRE2o0NqayHKSgD7XeD9PhQc</v>
      </c>
      <c r="I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1!$E:$E"")=$D97) *
        (IMPORTRANGE(""https://docs.google.com/spreadsheets/d/161aHT6vVT3SLneTKD19N5qVWtnj_jIT8CSsOmUVKmaA/"&amp;"edit?gid=1761053510"",
          ""Haris_Form responses 1!$AQ:$AQ"")=2)
      ),
      1
    ),
    ""0""
  ),
  ""Form not found""
)
"),"2")</f>
        <v>2</v>
      </c>
      <c r="J97" s="245" t="str">
        <f>IFERROR(__xludf.DUMMYFUNCTION("IFERROR(
  INDEX(
    FILTER(
      Transcription!$AJ:$AJ,
      TRIM(CLEAN(TEXT(Transcription!$F:$F, ""@""))) = TRIM(CLEAN(TEXT($D97, ""@""))),
      Transcription!$AO:$AO = 2
    ),
    1
  ),
  ""Not Found""
)
"),"https://drive.google.com/open?id=1J7rFlIeZDqhNdNNuO5KONmDyvKCGXPwP")</f>
        <v>https://drive.google.com/open?id=1J7rFlIeZDqhNdNNuO5KONmDyvKCGXPwP</v>
      </c>
      <c r="K97" s="244" t="str">
        <f>IFERROR(__xludf.DUMMYFUNCTION("IFERROR(
  INDEX(
    FILTER(
      Recording!$U:$U,
      TRIM(CLEAN(TEXT(Recording!$E:$E, ""@""))) = TRIM(CLEAN(TEXT($D97, ""@""))),
      Recording!$AA:$AA = 3
    ),
    1
  ),
  ""Not Found""
)
"),"https://drive.google.com/open?id=1Iv1tZugaeQC2s01kxFgHEBJhsOoKDqF9")</f>
        <v>https://drive.google.com/open?id=1Iv1tZugaeQC2s01kxFgHEBJhsOoKDqF9</v>
      </c>
      <c r="L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1!$E:$E"")=$D97) *
        (IMPORTRANGE(""https://docs.google.com/spreadsheets/d/161aHT6vVT3SLneTKD19N5qVWtnj_jIT8CSsOmUVKmaA/"&amp;"edit?gid=1761053510"",
          ""Haris_Form responses 1!$AQ:$AQ"")=3)
      ),
      1
    ),
    ""0""
  ),
  ""Form not found""
)
"),"3")</f>
        <v>3</v>
      </c>
      <c r="M97" s="245" t="str">
        <f>IFERROR(__xludf.DUMMYFUNCTION("IFERROR(
  INDEX(
    FILTER(
      Transcription!$AJ:$AJ,
      TRIM(CLEAN(TEXT(Transcription!$F:$F, ""@""))) = TRIM(CLEAN(TEXT($D97, ""@""))),
      Transcription!$AO:$AO = 3
    ),
    1
  ),
  ""Not Found""
)
"),"https://drive.google.com/open?id=1WgiZ3nwZWy2xExerNxneq2VlilD6WUrQ")</f>
        <v>https://drive.google.com/open?id=1WgiZ3nwZWy2xExerNxneq2VlilD6WUrQ</v>
      </c>
      <c r="N97" s="246" t="str">
        <f>IFERROR(__xludf.DUMMYFUNCTION("IFERROR(
  INDEX(
    FILTER(
      Recording!$U:$U,
      TRIM(CLEAN(TEXT(Recording!$E:$E, ""@""))) = TRIM(CLEAN(TEXT($D97, ""@""))),
      Recording!$AA:$AA = 4
    ),
    1
  ),
  ""Not Found""
)
"),"Not Found")</f>
        <v>Not Found</v>
      </c>
      <c r="O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1!$E:$E"")=$D97) *
        (IMPORTRANGE(""https://docs.google.com/spreadsheets/d/161aHT6vVT3SLneTKD19N5qVWtnj_jIT8CSsOmUVKmaA/"&amp;"edit?gid=1761053510"",
          ""Haris_Form responses 1!$AQ:$AQ"")=4)
      ),
      1
    ),
    ""0""
  ),
  ""Form not found""
)
"),"Form not found")</f>
        <v>Form not found</v>
      </c>
      <c r="P97" s="247" t="str">
        <f>IFERROR(__xludf.DUMMYFUNCTION("IFERROR(
  INDEX(
    FILTER(
      Transcription!$AJ:$AJ,
      TRIM(CLEAN(TEXT(Transcription!$F:$F, ""@""))) = TRIM(CLEAN(TEXT($D97, ""@""))),
      Transcription!$AO:$AO = 4
    ),
    1
  ),
  ""Not Found""
)
"),"Not Found")</f>
        <v>Not Found</v>
      </c>
      <c r="Q97" s="246" t="str">
        <f>IFERROR(__xludf.DUMMYFUNCTION("IFERROR(
  INDEX(
    FILTER(
      Recording!$U:$U,
      TRIM(CLEAN(TEXT(Recording!$E:$E, ""@""))) = TRIM(CLEAN(TEXT($D97, ""@""))),
      Recording!$AA:$AA = 5
    ),
    1
  ),
  ""Not Found""
)
"),"Not Found")</f>
        <v>Not Found</v>
      </c>
      <c r="R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1!$E:$E"")=$D97) *
        (IMPORTRANGE(""https://docs.google.com/spreadsheets/d/161aHT6vVT3SLneTKD19N5qVWtnj_jIT8CSsOmUVKmaA/"&amp;"edit?gid=1761053510"",
          ""Haris_Form responses 1!$AQ:$AQ"")=5)
      ),
      1
    ),
    ""0""
  ),
  ""Form not found""
)
"),"Form not found")</f>
        <v>Form not found</v>
      </c>
      <c r="S97" s="247" t="str">
        <f>IFERROR(__xludf.DUMMYFUNCTION("IFERROR(
  INDEX(
    FILTER(
      Transcription!$AJ:$AJ,
      TRIM(CLEAN(TEXT(Transcription!$F:$F, ""@""))) = TRIM(CLEAN(TEXT($D97, ""@""))),
      Transcription!$AO:$AO = 5
    ),
    1
  ),
  ""Not Found""
)
"),"Not Found")</f>
        <v>Not Found</v>
      </c>
      <c r="T97" s="248" t="str">
        <f>IFERROR(__xludf.DUMMYFUNCTION("IFERROR(
  INDEX(
    FILTER(
      Recording!$U:$U,
      TRIM(CLEAN(TEXT(Recording!$E:$E, ""@""))) = TRIM(CLEAN(TEXT($D97, ""@""))),
      Recording!$AA:$AA = 6
    ),
    1
  ),
  ""Not Found""
)
"),"Not Found")</f>
        <v>Not Found</v>
      </c>
      <c r="U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1!$E:$E"")=$D97) *
        (IMPORTRANGE(""https://docs.google.com/spreadsheets/d/161aHT6vVT3SLneTKD19N5qVWtnj_jIT8CSsOmUVKmaA/"&amp;"edit?gid=1761053510"",
          ""Haris_Form responses 1!$AQ:$AQ"")=6)
      ),
      1
    ),
    ""0""
  ),
  ""Form not found""
)
"),"Form not found")</f>
        <v>Form not found</v>
      </c>
      <c r="V97" s="247" t="str">
        <f>IFERROR(__xludf.DUMMYFUNCTION("IFERROR(
  INDEX(
    FILTER(
      Transcription!$AJ:$AJ,
      TRIM(CLEAN(TEXT(Transcription!$F:$F, ""@""))) = TRIM(CLEAN(TEXT($D97, ""@""))),
      Transcription!$AO:$AO = 6
    ),
    1
  ),
  ""Not Found""
)
"),"Not Found")</f>
        <v>Not Found</v>
      </c>
      <c r="X97" s="8" t="s">
        <v>4555</v>
      </c>
      <c r="Z97" s="10">
        <f t="shared" si="1"/>
        <v>2</v>
      </c>
      <c r="AA97" s="10">
        <f t="shared" si="2"/>
        <v>0</v>
      </c>
    </row>
    <row r="98">
      <c r="A98" s="8" t="str">
        <f>VLOOKUP($D98,Sheet6!$B:$G,5,FALSE)</f>
        <v>Gujrat</v>
      </c>
      <c r="B98" s="232" t="str">
        <f>VLOOKUP($D98,Sheet6!$B:$G,4,FALSE)</f>
        <v>Control</v>
      </c>
      <c r="C98" s="8">
        <v>2.0</v>
      </c>
      <c r="D98" s="8" t="s">
        <v>1954</v>
      </c>
      <c r="E98" s="244" t="str">
        <f>IFERROR(__xludf.DUMMYFUNCTION("IFERROR(
  INDEX(
    FILTER(
      Recording!$U:$U,
      TRIM(CLEAN(TEXT(Recording!$E:$E, ""@""))) = TRIM(CLEAN(TEXT($D98, ""@""))),
      Recording!$AA:$AA = 1
    ),
    1
  ),
  ""Not Found""
)
"),"https://drive.google.com/open?id=1Bld_IDtCUwyQlJPSC2McoKf-bR1dCGE9")</f>
        <v>https://drive.google.com/open?id=1Bld_IDtCUwyQlJPSC2McoKf-bR1dCGE9</v>
      </c>
      <c r="F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1!$E:$E"")=$D98) *
        (IMPORTRANGE(""https://docs.google.com/spreadsheets/d/161aHT6vVT3SLneTKD19N5qVWtnj_jIT8CSsOmUVKmaA/"&amp;"edit?gid=1761053510"",
          ""Haris_Form responses 1!$AQ:$AQ"")=1)
      ),
      1
    ),
    ""0""
  ),
  ""Form not found""
)
"),"1")</f>
        <v>1</v>
      </c>
      <c r="G98" s="245" t="str">
        <f>IFERROR(__xludf.DUMMYFUNCTION("IFERROR(
  INDEX(
    FILTER(
      Transcription!$AJ:$AJ,
      TRIM(CLEAN(TEXT(Transcription!$F:$F, ""@""))) = TRIM(CLEAN(TEXT($D98, ""@""))),
      Transcription!$AO:$AO = 1
    ),
    1
  ),
  ""Not Found""
)
"),"https://drive.google.com/open?id=1FqdcSlzs92PvCGWv9jftYxKXb0mZNSP1")</f>
        <v>https://drive.google.com/open?id=1FqdcSlzs92PvCGWv9jftYxKXb0mZNSP1</v>
      </c>
      <c r="H98" s="246" t="str">
        <f>IFERROR(__xludf.DUMMYFUNCTION("IFERROR(
  INDEX(
    FILTER(
      Recording!$U:$U,
      TRIM(CLEAN(TEXT(Recording!$E:$E, ""@""))) = TRIM(CLEAN(TEXT($D98, ""@""))),
      Recording!$AA:$AA = 2
    ),
    1
  ),
  ""Not Found""
)
"),"Not Found")</f>
        <v>Not Found</v>
      </c>
      <c r="I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1!$E:$E"")=$D98) *
        (IMPORTRANGE(""https://docs.google.com/spreadsheets/d/161aHT6vVT3SLneTKD19N5qVWtnj_jIT8CSsOmUVKmaA/"&amp;"edit?gid=1761053510"",
          ""Haris_Form responses 1!$AQ:$AQ"")=2)
      ),
      1
    ),
    ""0""
  ),
  ""Form not found""
)
"),"Form not found")</f>
        <v>Form not found</v>
      </c>
      <c r="J98" s="247" t="str">
        <f>IFERROR(__xludf.DUMMYFUNCTION("IFERROR(
  INDEX(
    FILTER(
      Transcription!$AJ:$AJ,
      TRIM(CLEAN(TEXT(Transcription!$F:$F, ""@""))) = TRIM(CLEAN(TEXT($D98, ""@""))),
      Transcription!$AO:$AO = 2
    ),
    1
  ),
  ""Not Found""
)
"),"Not Found")</f>
        <v>Not Found</v>
      </c>
      <c r="K98" s="244" t="str">
        <f>IFERROR(__xludf.DUMMYFUNCTION("IFERROR(
  INDEX(
    FILTER(
      Recording!$U:$U,
      TRIM(CLEAN(TEXT(Recording!$E:$E, ""@""))) = TRIM(CLEAN(TEXT($D98, ""@""))),
      Recording!$AA:$AA = 3
    ),
    1
  ),
  ""Not Found""
)
"),"https://drive.google.com/open?id=1c9tj8DU0Pjef7QmIuUwtZtxlHiTS_nzs")</f>
        <v>https://drive.google.com/open?id=1c9tj8DU0Pjef7QmIuUwtZtxlHiTS_nzs</v>
      </c>
      <c r="L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1!$E:$E"")=$D98) *
        (IMPORTRANGE(""https://docs.google.com/spreadsheets/d/161aHT6vVT3SLneTKD19N5qVWtnj_jIT8CSsOmUVKmaA/"&amp;"edit?gid=1761053510"",
          ""Haris_Form responses 1!$AQ:$AQ"")=3)
      ),
      1
    ),
    ""0""
  ),
  ""Form not found""
)
"),"3")</f>
        <v>3</v>
      </c>
      <c r="M98" s="245" t="str">
        <f>IFERROR(__xludf.DUMMYFUNCTION("IFERROR(
  INDEX(
    FILTER(
      Transcription!$AJ:$AJ,
      TRIM(CLEAN(TEXT(Transcription!$F:$F, ""@""))) = TRIM(CLEAN(TEXT($D98, ""@""))),
      Transcription!$AO:$AO = 3
    ),
    1
  ),
  ""Not Found""
)
"),"https://drive.google.com/open?id=12Ge_aya4BlwgN3ydOIRZmf7FvfpFw5Sb")</f>
        <v>https://drive.google.com/open?id=12Ge_aya4BlwgN3ydOIRZmf7FvfpFw5Sb</v>
      </c>
      <c r="N98" s="246" t="str">
        <f>IFERROR(__xludf.DUMMYFUNCTION("IFERROR(
  INDEX(
    FILTER(
      Recording!$U:$U,
      TRIM(CLEAN(TEXT(Recording!$E:$E, ""@""))) = TRIM(CLEAN(TEXT($D98, ""@""))),
      Recording!$AA:$AA = 4
    ),
    1
  ),
  ""Not Found""
)
"),"Not Found")</f>
        <v>Not Found</v>
      </c>
      <c r="O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1!$E:$E"")=$D98) *
        (IMPORTRANGE(""https://docs.google.com/spreadsheets/d/161aHT6vVT3SLneTKD19N5qVWtnj_jIT8CSsOmUVKmaA/"&amp;"edit?gid=1761053510"",
          ""Haris_Form responses 1!$AQ:$AQ"")=4)
      ),
      1
    ),
    ""0""
  ),
  ""Form not found""
)
"),"Form not found")</f>
        <v>Form not found</v>
      </c>
      <c r="P98" s="247" t="str">
        <f>IFERROR(__xludf.DUMMYFUNCTION("IFERROR(
  INDEX(
    FILTER(
      Transcription!$AJ:$AJ,
      TRIM(CLEAN(TEXT(Transcription!$F:$F, ""@""))) = TRIM(CLEAN(TEXT($D98, ""@""))),
      Transcription!$AO:$AO = 4
    ),
    1
  ),
  ""Not Found""
)
"),"Not Found")</f>
        <v>Not Found</v>
      </c>
      <c r="Q98" s="246" t="str">
        <f>IFERROR(__xludf.DUMMYFUNCTION("IFERROR(
  INDEX(
    FILTER(
      Recording!$U:$U,
      TRIM(CLEAN(TEXT(Recording!$E:$E, ""@""))) = TRIM(CLEAN(TEXT($D98, ""@""))),
      Recording!$AA:$AA = 5
    ),
    1
  ),
  ""Not Found""
)
"),"Not Found")</f>
        <v>Not Found</v>
      </c>
      <c r="R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1!$E:$E"")=$D98) *
        (IMPORTRANGE(""https://docs.google.com/spreadsheets/d/161aHT6vVT3SLneTKD19N5qVWtnj_jIT8CSsOmUVKmaA/"&amp;"edit?gid=1761053510"",
          ""Haris_Form responses 1!$AQ:$AQ"")=5)
      ),
      1
    ),
    ""0""
  ),
  ""Form not found""
)
"),"Form not found")</f>
        <v>Form not found</v>
      </c>
      <c r="S98" s="247" t="str">
        <f>IFERROR(__xludf.DUMMYFUNCTION("IFERROR(
  INDEX(
    FILTER(
      Transcription!$AJ:$AJ,
      TRIM(CLEAN(TEXT(Transcription!$F:$F, ""@""))) = TRIM(CLEAN(TEXT($D98, ""@""))),
      Transcription!$AO:$AO = 5
    ),
    1
  ),
  ""Not Found""
)
"),"Not Found")</f>
        <v>Not Found</v>
      </c>
      <c r="T98" s="246" t="str">
        <f>IFERROR(__xludf.DUMMYFUNCTION("IFERROR(
  INDEX(
    FILTER(
      Recording!$U:$U,
      TRIM(CLEAN(TEXT(Recording!$E:$E, ""@""))) = TRIM(CLEAN(TEXT($D98, ""@""))),
      Recording!$AA:$AA = 6
    ),
    1
  ),
  ""Not Found""
)
"),"Not Found")</f>
        <v>Not Found</v>
      </c>
      <c r="U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1!$E:$E"")=$D98) *
        (IMPORTRANGE(""https://docs.google.com/spreadsheets/d/161aHT6vVT3SLneTKD19N5qVWtnj_jIT8CSsOmUVKmaA/"&amp;"edit?gid=1761053510"",
          ""Haris_Form responses 1!$AQ:$AQ"")=6)
      ),
      1
    ),
    ""0""
  ),
  ""Form not found""
)
"),"Form not found")</f>
        <v>Form not found</v>
      </c>
      <c r="V98" s="247" t="str">
        <f>IFERROR(__xludf.DUMMYFUNCTION("IFERROR(
  INDEX(
    FILTER(
      Transcription!$AJ:$AJ,
      TRIM(CLEAN(TEXT(Transcription!$F:$F, ""@""))) = TRIM(CLEAN(TEXT($D98, ""@""))),
      Transcription!$AO:$AO = 6
    ),
    1
  ),
  ""Not Found""
)
"),"Not Found")</f>
        <v>Not Found</v>
      </c>
      <c r="Z98" s="10">
        <f t="shared" si="1"/>
        <v>2</v>
      </c>
      <c r="AA98" s="10">
        <f t="shared" si="2"/>
        <v>0</v>
      </c>
    </row>
    <row r="99">
      <c r="A99" s="8" t="str">
        <f>VLOOKUP($D99,Sheet6!$B:$G,5,FALSE)</f>
        <v>Gujrat</v>
      </c>
      <c r="B99" s="232" t="str">
        <f>VLOOKUP($D99,Sheet6!$B:$G,4,FALSE)</f>
        <v>Community Secular Info Share</v>
      </c>
      <c r="C99" s="8">
        <v>3.0</v>
      </c>
      <c r="D99" s="8" t="s">
        <v>1793</v>
      </c>
      <c r="E99" s="244" t="str">
        <f>IFERROR(__xludf.DUMMYFUNCTION("IFERROR(
  INDEX(
    FILTER(
      Recording!$U:$U,
      TRIM(CLEAN(TEXT(Recording!$E:$E, ""@""))) = TRIM(CLEAN(TEXT($D99, ""@""))),
      Recording!$AA:$AA = 1
    ),
    1
  ),
  ""Not Found""
)
"),"https://drive.google.com/open?id=1JbJ3KD3V9HyMJ3yCYYal9i3hgzANb85t")</f>
        <v>https://drive.google.com/open?id=1JbJ3KD3V9HyMJ3yCYYal9i3hgzANb85t</v>
      </c>
      <c r="F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1!$E:$E"")=$D99) *
        (IMPORTRANGE(""https://docs.google.com/spreadsheets/d/161aHT6vVT3SLneTKD19N5qVWtnj_jIT8CSsOmUVKmaA/"&amp;"edit?gid=1761053510"",
          ""Haris_Form responses 1!$AQ:$AQ"")=1)
      ),
      1
    ),
    ""0""
  ),
  ""Form not found""
)
"),"1")</f>
        <v>1</v>
      </c>
      <c r="G99" s="245" t="str">
        <f>IFERROR(__xludf.DUMMYFUNCTION("IFERROR(
  INDEX(
    FILTER(
      Transcription!$AJ:$AJ,
      TRIM(CLEAN(TEXT(Transcription!$F:$F, ""@""))) = TRIM(CLEAN(TEXT($D99, ""@""))),
      Transcription!$AO:$AO = 1
    ),
    1
  ),
  ""Not Found""
)
"),"https://drive.google.com/open?id=14gSHp0AX_RB5fCKKr00mVV3DgJAIfDPc")</f>
        <v>https://drive.google.com/open?id=14gSHp0AX_RB5fCKKr00mVV3DgJAIfDPc</v>
      </c>
      <c r="H99" s="244" t="str">
        <f>IFERROR(__xludf.DUMMYFUNCTION("IFERROR(
  INDEX(
    FILTER(
      Recording!$U:$U,
      TRIM(CLEAN(TEXT(Recording!$E:$E, ""@""))) = TRIM(CLEAN(TEXT($D99, ""@""))),
      Recording!$AA:$AA = 2
    ),
    1
  ),
  ""Not Found""
)
"),"https://drive.google.com/open?id=1sn8p9pv3JpeCkea3DJArg2uEM9A_WclQ")</f>
        <v>https://drive.google.com/open?id=1sn8p9pv3JpeCkea3DJArg2uEM9A_WclQ</v>
      </c>
      <c r="I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1!$E:$E"")=$D99) *
        (IMPORTRANGE(""https://docs.google.com/spreadsheets/d/161aHT6vVT3SLneTKD19N5qVWtnj_jIT8CSsOmUVKmaA/"&amp;"edit?gid=1761053510"",
          ""Haris_Form responses 1!$AQ:$AQ"")=2)
      ),
      1
    ),
    ""0""
  ),
  ""Form not found""
)
"),"2")</f>
        <v>2</v>
      </c>
      <c r="J99" s="245" t="str">
        <f>IFERROR(__xludf.DUMMYFUNCTION("IFERROR(
  INDEX(
    FILTER(
      Transcription!$AJ:$AJ,
      TRIM(CLEAN(TEXT(Transcription!$F:$F, ""@""))) = TRIM(CLEAN(TEXT($D99, ""@""))),
      Transcription!$AO:$AO = 2
    ),
    1
  ),
  ""Not Found""
)
"),"https://drive.google.com/open?id=1xWDkPuPSe-FmFJvCcyvQC3QauT1Yv4-2")</f>
        <v>https://drive.google.com/open?id=1xWDkPuPSe-FmFJvCcyvQC3QauT1Yv4-2</v>
      </c>
      <c r="K99" s="244" t="str">
        <f>IFERROR(__xludf.DUMMYFUNCTION("IFERROR(
  INDEX(
    FILTER(
      Recording!$U:$U,
      TRIM(CLEAN(TEXT(Recording!$E:$E, ""@""))) = TRIM(CLEAN(TEXT($D99, ""@""))),
      Recording!$AA:$AA = 3
    ),
    1
  ),
  ""Not Found""
)
"),"https://drive.google.com/file/d/1bHEHfupAplEkZuLRiRqLlbg2Q5YSkyhm/view?usp=drive_link")</f>
        <v>https://drive.google.com/file/d/1bHEHfupAplEkZuLRiRqLlbg2Q5YSkyhm/view?usp=drive_link</v>
      </c>
      <c r="L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1!$E:$E"")=$D99) *
        (IMPORTRANGE(""https://docs.google.com/spreadsheets/d/161aHT6vVT3SLneTKD19N5qVWtnj_jIT8CSsOmUVKmaA/"&amp;"edit?gid=1761053510"",
          ""Haris_Form responses 1!$AQ:$AQ"")=3)
      ),
      1
    ),
    ""0""
  ),
  ""Form not found""
)
"),"3")</f>
        <v>3</v>
      </c>
      <c r="M99" s="245" t="str">
        <f>IFERROR(__xludf.DUMMYFUNCTION("IFERROR(
  INDEX(
    FILTER(
      Transcription!$AJ:$AJ,
      TRIM(CLEAN(TEXT(Transcription!$F:$F, ""@""))) = TRIM(CLEAN(TEXT($D99, ""@""))),
      Transcription!$AO:$AO = 3
    ),
    1
  ),
  ""Not Found""
)
"),"https://drive.google.com/open?id=1JzPY_Hw_TO5IkBjBMzcGwqZctZ8dT1RL")</f>
        <v>https://drive.google.com/open?id=1JzPY_Hw_TO5IkBjBMzcGwqZctZ8dT1RL</v>
      </c>
      <c r="N99" s="246" t="str">
        <f>IFERROR(__xludf.DUMMYFUNCTION("IFERROR(
  INDEX(
    FILTER(
      Recording!$U:$U,
      TRIM(CLEAN(TEXT(Recording!$E:$E, ""@""))) = TRIM(CLEAN(TEXT($D99, ""@""))),
      Recording!$AA:$AA = 4
    ),
    1
  ),
  ""Not Found""
)
"),"Not Found")</f>
        <v>Not Found</v>
      </c>
      <c r="O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1!$E:$E"")=$D99) *
        (IMPORTRANGE(""https://docs.google.com/spreadsheets/d/161aHT6vVT3SLneTKD19N5qVWtnj_jIT8CSsOmUVKmaA/"&amp;"edit?gid=1761053510"",
          ""Haris_Form responses 1!$AQ:$AQ"")=4)
      ),
      1
    ),
    ""0""
  ),
  ""Form not found""
)
"),"Form not found")</f>
        <v>Form not found</v>
      </c>
      <c r="P99" s="247" t="str">
        <f>IFERROR(__xludf.DUMMYFUNCTION("IFERROR(
  INDEX(
    FILTER(
      Transcription!$AJ:$AJ,
      TRIM(CLEAN(TEXT(Transcription!$F:$F, ""@""))) = TRIM(CLEAN(TEXT($D99, ""@""))),
      Transcription!$AO:$AO = 4
    ),
    1
  ),
  ""Not Found""
)
"),"Not Found")</f>
        <v>Not Found</v>
      </c>
      <c r="Q99" s="246" t="str">
        <f>IFERROR(__xludf.DUMMYFUNCTION("IFERROR(
  INDEX(
    FILTER(
      Recording!$U:$U,
      TRIM(CLEAN(TEXT(Recording!$E:$E, ""@""))) = TRIM(CLEAN(TEXT($D99, ""@""))),
      Recording!$AA:$AA = 5
    ),
    1
  ),
  ""Not Found""
)
"),"Not Found")</f>
        <v>Not Found</v>
      </c>
      <c r="R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1!$E:$E"")=$D99) *
        (IMPORTRANGE(""https://docs.google.com/spreadsheets/d/161aHT6vVT3SLneTKD19N5qVWtnj_jIT8CSsOmUVKmaA/"&amp;"edit?gid=1761053510"",
          ""Haris_Form responses 1!$AQ:$AQ"")=5)
      ),
      1
    ),
    ""0""
  ),
  ""Form not found""
)
"),"Form not found")</f>
        <v>Form not found</v>
      </c>
      <c r="S99" s="247" t="str">
        <f>IFERROR(__xludf.DUMMYFUNCTION("IFERROR(
  INDEX(
    FILTER(
      Transcription!$AJ:$AJ,
      TRIM(CLEAN(TEXT(Transcription!$F:$F, ""@""))) = TRIM(CLEAN(TEXT($D99, ""@""))),
      Transcription!$AO:$AO = 5
    ),
    1
  ),
  ""Not Found""
)
"),"Not Found")</f>
        <v>Not Found</v>
      </c>
      <c r="T99" s="248" t="str">
        <f>IFERROR(__xludf.DUMMYFUNCTION("IFERROR(
  INDEX(
    FILTER(
      Recording!$U:$U,
      TRIM(CLEAN(TEXT(Recording!$E:$E, ""@""))) = TRIM(CLEAN(TEXT($D99, ""@""))),
      Recording!$AA:$AA = 6
    ),
    1
  ),
  ""Not Found""
)
"),"Not Found")</f>
        <v>Not Found</v>
      </c>
      <c r="U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1!$E:$E"")=$D99) *
        (IMPORTRANGE(""https://docs.google.com/spreadsheets/d/161aHT6vVT3SLneTKD19N5qVWtnj_jIT8CSsOmUVKmaA/"&amp;"edit?gid=1761053510"",
          ""Haris_Form responses 1!$AQ:$AQ"")=6)
      ),
      1
    ),
    ""0""
  ),
  ""Form not found""
)
"),"Form not found")</f>
        <v>Form not found</v>
      </c>
      <c r="V99" s="247" t="str">
        <f>IFERROR(__xludf.DUMMYFUNCTION("IFERROR(
  INDEX(
    FILTER(
      Transcription!$AJ:$AJ,
      TRIM(CLEAN(TEXT(Transcription!$F:$F, ""@""))) = TRIM(CLEAN(TEXT($D99, ""@""))),
      Transcription!$AO:$AO = 6
    ),
    1
  ),
  ""Not Found""
)
"),"Not Found")</f>
        <v>Not Found</v>
      </c>
      <c r="X99" s="8" t="s">
        <v>4556</v>
      </c>
      <c r="Z99" s="10">
        <f t="shared" si="1"/>
        <v>3</v>
      </c>
      <c r="AA99" s="10">
        <f t="shared" si="2"/>
        <v>0</v>
      </c>
    </row>
    <row r="100">
      <c r="A100" s="8" t="str">
        <f>VLOOKUP($D100,Sheet6!$B:$G,5,FALSE)</f>
        <v>Sailkot</v>
      </c>
      <c r="B100" s="232" t="str">
        <f>VLOOKUP($D100,Sheet6!$B:$G,4,FALSE)</f>
        <v>Control</v>
      </c>
      <c r="C100" s="8">
        <v>2.0</v>
      </c>
      <c r="D100" s="8" t="s">
        <v>4557</v>
      </c>
      <c r="E100" s="244" t="str">
        <f>IFERROR(__xludf.DUMMYFUNCTION("IFERROR(
  INDEX(
    FILTER(
      Recording!$U:$U,
      TRIM(CLEAN(TEXT(Recording!$E:$E, ""@""))) = TRIM(CLEAN(TEXT($D100, ""@""))),
      Recording!$AA:$AA = 1
    ),
    1
  ),
  ""Not Found""
)
"),"https://drive.google.com/open?id=1dKJwOx7CbMO34q_FKAkyVpBjnKvFQXZi")</f>
        <v>https://drive.google.com/open?id=1dKJwOx7CbMO34q_FKAkyVpBjnKvFQXZi</v>
      </c>
      <c r="F1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1!$E:$E"")=$D100) *
        (IMPORTRANGE(""https://docs.google.com/spreadsheets/d/161aHT6vVT3SLneTKD19N5qVWtnj_jIT8CSsOmUVKmaA"&amp;"/edit?gid=1761053510"",
          ""Haris_Form responses 1!$AQ:$AQ"")=1)
      ),
      1
    ),
    ""0""
  ),
  ""Form not found""
)
"),"1")</f>
        <v>1</v>
      </c>
      <c r="G100" s="245" t="str">
        <f>IFERROR(__xludf.DUMMYFUNCTION("IFERROR(
  INDEX(
    FILTER(
      Transcription!$AJ:$AJ,
      TRIM(CLEAN(TEXT(Transcription!$F:$F, ""@""))) = TRIM(CLEAN(TEXT($D100, ""@""))),
      Transcription!$AO:$AO = 1
    ),
    1
  ),
  ""Not Found""
)
"),"https://drive.google.com/open?id=1_32s0VOuZM0m8SOI5Z7l7mjV1TLH2jOb")</f>
        <v>https://drive.google.com/open?id=1_32s0VOuZM0m8SOI5Z7l7mjV1TLH2jOb</v>
      </c>
      <c r="H100" s="246" t="str">
        <f>IFERROR(__xludf.DUMMYFUNCTION("IFERROR(
  INDEX(
    FILTER(
      Recording!$U:$U,
      TRIM(CLEAN(TEXT(Recording!$E:$E, ""@""))) = TRIM(CLEAN(TEXT($D100, ""@""))),
      Recording!$AA:$AA = 2
    ),
    1
  ),
  ""Not Found""
)
"),"Not Found")</f>
        <v>Not Found</v>
      </c>
      <c r="I1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1!$E:$E"")=$D100) *
        (IMPORTRANGE(""https://docs.google.com/spreadsheets/d/161aHT6vVT3SLneTKD19N5qVWtnj_jIT8CSsOmUVKmaA"&amp;"/edit?gid=1761053510"",
          ""Haris_Form responses 1!$AQ:$AQ"")=2)
      ),
      1
    ),
    ""0""
  ),
  ""Form not found""
)
"),"Form not found")</f>
        <v>Form not found</v>
      </c>
      <c r="J100" s="247" t="str">
        <f>IFERROR(__xludf.DUMMYFUNCTION("IFERROR(
  INDEX(
    FILTER(
      Transcription!$AJ:$AJ,
      TRIM(CLEAN(TEXT(Transcription!$F:$F, ""@""))) = TRIM(CLEAN(TEXT($D100, ""@""))),
      Transcription!$AO:$AO = 2
    ),
    1
  ),
  ""Not Found""
)
"),"Not Found")</f>
        <v>Not Found</v>
      </c>
      <c r="K100" s="244" t="str">
        <f>IFERROR(__xludf.DUMMYFUNCTION("IFERROR(
  INDEX(
    FILTER(
      Recording!$U:$U,
      TRIM(CLEAN(TEXT(Recording!$E:$E, ""@""))) = TRIM(CLEAN(TEXT($D100, ""@""))),
      Recording!$AA:$AA = 3
    ),
    1
  ),
  ""Not Found""
)
"),"https://drive.google.com/open?id=1rodmpfrD799QmYvkot0IekWk297TQf8O")</f>
        <v>https://drive.google.com/open?id=1rodmpfrD799QmYvkot0IekWk297TQf8O</v>
      </c>
      <c r="L1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1!$E:$E"")=$D100) *
        (IMPORTRANGE(""https://docs.google.com/spreadsheets/d/161aHT6vVT3SLneTKD19N5qVWtnj_jIT8CSsOmUVKmaA"&amp;"/edit?gid=1761053510"",
          ""Haris_Form responses 1!$AQ:$AQ"")=3)
      ),
      1
    ),
    ""0""
  ),
  ""Form not found""
)
"),"3")</f>
        <v>3</v>
      </c>
      <c r="M100" s="245" t="str">
        <f>IFERROR(__xludf.DUMMYFUNCTION("IFERROR(
  INDEX(
    FILTER(
      Transcription!$AJ:$AJ,
      TRIM(CLEAN(TEXT(Transcription!$F:$F, ""@""))) = TRIM(CLEAN(TEXT($D100, ""@""))),
      Transcription!$AO:$AO = 3
    ),
    1
  ),
  ""Not Found""
)
"),"https://drive.google.com/open?id=18Oh-w4Stp1yKa-C1i3xX7UPyZACVD42T")</f>
        <v>https://drive.google.com/open?id=18Oh-w4Stp1yKa-C1i3xX7UPyZACVD42T</v>
      </c>
      <c r="N100" s="246" t="str">
        <f>IFERROR(__xludf.DUMMYFUNCTION("IFERROR(
  INDEX(
    FILTER(
      Recording!$U:$U,
      TRIM(CLEAN(TEXT(Recording!$E:$E, ""@""))) = TRIM(CLEAN(TEXT($D100, ""@""))),
      Recording!$AA:$AA = 4
    ),
    1
  ),
  ""Not Found""
)
"),"Not Found")</f>
        <v>Not Found</v>
      </c>
      <c r="O1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1!$E:$E"")=$D100) *
        (IMPORTRANGE(""https://docs.google.com/spreadsheets/d/161aHT6vVT3SLneTKD19N5qVWtnj_jIT8CSsOmUVKmaA"&amp;"/edit?gid=1761053510"",
          ""Haris_Form responses 1!$AQ:$AQ"")=4)
      ),
      1
    ),
    ""0""
  ),
  ""Form not found""
)
"),"Form not found")</f>
        <v>Form not found</v>
      </c>
      <c r="P100" s="247" t="str">
        <f>IFERROR(__xludf.DUMMYFUNCTION("IFERROR(
  INDEX(
    FILTER(
      Transcription!$AJ:$AJ,
      TRIM(CLEAN(TEXT(Transcription!$F:$F, ""@""))) = TRIM(CLEAN(TEXT($D100, ""@""))),
      Transcription!$AO:$AO = 4
    ),
    1
  ),
  ""Not Found""
)
"),"Not Found")</f>
        <v>Not Found</v>
      </c>
      <c r="Q100" s="246" t="str">
        <f>IFERROR(__xludf.DUMMYFUNCTION("IFERROR(
  INDEX(
    FILTER(
      Recording!$U:$U,
      TRIM(CLEAN(TEXT(Recording!$E:$E, ""@""))) = TRIM(CLEAN(TEXT($D100, ""@""))),
      Recording!$AA:$AA = 5
    ),
    1
  ),
  ""Not Found""
)
"),"Not Found")</f>
        <v>Not Found</v>
      </c>
      <c r="R1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1!$E:$E"")=$D100) *
        (IMPORTRANGE(""https://docs.google.com/spreadsheets/d/161aHT6vVT3SLneTKD19N5qVWtnj_jIT8CSsOmUVKmaA"&amp;"/edit?gid=1761053510"",
          ""Haris_Form responses 1!$AQ:$AQ"")=5)
      ),
      1
    ),
    ""0""
  ),
  ""Form not found""
)
"),"Form not found")</f>
        <v>Form not found</v>
      </c>
      <c r="S100" s="247" t="str">
        <f>IFERROR(__xludf.DUMMYFUNCTION("IFERROR(
  INDEX(
    FILTER(
      Transcription!$AJ:$AJ,
      TRIM(CLEAN(TEXT(Transcription!$F:$F, ""@""))) = TRIM(CLEAN(TEXT($D100, ""@""))),
      Transcription!$AO:$AO = 5
    ),
    1
  ),
  ""Not Found""
)
"),"Not Found")</f>
        <v>Not Found</v>
      </c>
      <c r="T100" s="246" t="str">
        <f>IFERROR(__xludf.DUMMYFUNCTION("IFERROR(
  INDEX(
    FILTER(
      Recording!$U:$U,
      TRIM(CLEAN(TEXT(Recording!$E:$E, ""@""))) = TRIM(CLEAN(TEXT($D100, ""@""))),
      Recording!$AA:$AA = 6
    ),
    1
  ),
  ""Not Found""
)
"),"Not Found")</f>
        <v>Not Found</v>
      </c>
      <c r="U1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1!$E:$E"")=$D100) *
        (IMPORTRANGE(""https://docs.google.com/spreadsheets/d/161aHT6vVT3SLneTKD19N5qVWtnj_jIT8CSsOmUVKmaA"&amp;"/edit?gid=1761053510"",
          ""Haris_Form responses 1!$AQ:$AQ"")=6)
      ),
      1
    ),
    ""0""
  ),
  ""Form not found""
)
"),"Form not found")</f>
        <v>Form not found</v>
      </c>
      <c r="V100" s="247" t="str">
        <f>IFERROR(__xludf.DUMMYFUNCTION("IFERROR(
  INDEX(
    FILTER(
      Transcription!$AJ:$AJ,
      TRIM(CLEAN(TEXT(Transcription!$F:$F, ""@""))) = TRIM(CLEAN(TEXT($D100, ""@""))),
      Transcription!$AO:$AO = 6
    ),
    1
  ),
  ""Not Found""
)
"),"Not Found")</f>
        <v>Not Found</v>
      </c>
      <c r="X100" s="8" t="s">
        <v>4558</v>
      </c>
      <c r="Z100" s="10">
        <f t="shared" si="1"/>
        <v>2</v>
      </c>
      <c r="AA100" s="10">
        <f t="shared" si="2"/>
        <v>0</v>
      </c>
    </row>
    <row r="101">
      <c r="A101" s="8" t="str">
        <f>VLOOKUP($D101,Sheet6!$B:$G,5,FALSE)</f>
        <v>Sailkot</v>
      </c>
      <c r="B101" s="232" t="str">
        <f>VLOOKUP($D101,Sheet6!$B:$G,4,FALSE)</f>
        <v>Community Religious No Info Share</v>
      </c>
      <c r="C101" s="8">
        <v>4.0</v>
      </c>
      <c r="D101" s="8" t="s">
        <v>4559</v>
      </c>
      <c r="E101" s="244" t="str">
        <f>IFERROR(__xludf.DUMMYFUNCTION("IFERROR(
  INDEX(
    FILTER(
      Recording!$U:$U,
      TRIM(CLEAN(TEXT(Recording!$E:$E, ""@""))) = TRIM(CLEAN(TEXT($D101, ""@""))),
      Recording!$AA:$AA = 1
    ),
    1
  ),
  ""Not Found""
)
"),"https://drive.google.com/open?id=1WcEoM3gnUhItmNY3n7QgZgx1z08TKb32")</f>
        <v>https://drive.google.com/open?id=1WcEoM3gnUhItmNY3n7QgZgx1z08TKb32</v>
      </c>
      <c r="F1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1!$E:$E"")=$D101) *
        (IMPORTRANGE(""https://docs.google.com/spreadsheets/d/161aHT6vVT3SLneTKD19N5qVWtnj_jIT8CSsOmUVKmaA"&amp;"/edit?gid=1761053510"",
          ""Haris_Form responses 1!$AQ:$AQ"")=1)
      ),
      1
    ),
    ""0""
  ),
  ""Form not found""
)
"),"1")</f>
        <v>1</v>
      </c>
      <c r="G101" s="245" t="str">
        <f>IFERROR(__xludf.DUMMYFUNCTION("IFERROR(
  INDEX(
    FILTER(
      Transcription!$AJ:$AJ,
      TRIM(CLEAN(TEXT(Transcription!$F:$F, ""@""))) = TRIM(CLEAN(TEXT($D101, ""@""))),
      Transcription!$AO:$AO = 1
    ),
    1
  ),
  ""Not Found""
)
"),"https://drive.google.com/open?id=1ib-x7ebUme02xW40b8HA8MGtwedWc1wd")</f>
        <v>https://drive.google.com/open?id=1ib-x7ebUme02xW40b8HA8MGtwedWc1wd</v>
      </c>
      <c r="H101" s="244" t="str">
        <f>IFERROR(__xludf.DUMMYFUNCTION("IFERROR(
  INDEX(
    FILTER(
      Recording!$U:$U,
      TRIM(CLEAN(TEXT(Recording!$E:$E, ""@""))) = TRIM(CLEAN(TEXT($D101, ""@""))),
      Recording!$AA:$AA = 2
    ),
    1
  ),
  ""Not Found""
)
"),"https://drive.google.com/file/d/1M8UkGI0R_Cf1dxJdZpmdmI8ypWVOrjgY/view?usp=drive_link")</f>
        <v>https://drive.google.com/file/d/1M8UkGI0R_Cf1dxJdZpmdmI8ypWVOrjgY/view?usp=drive_link</v>
      </c>
      <c r="I1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1!$E:$E"")=$D101) *
        (IMPORTRANGE(""https://docs.google.com/spreadsheets/d/161aHT6vVT3SLneTKD19N5qVWtnj_jIT8CSsOmUVKmaA"&amp;"/edit?gid=1761053510"",
          ""Haris_Form responses 1!$AQ:$AQ"")=2)
      ),
      1
    ),
    ""0""
  ),
  ""Form not found""
)
"),"2")</f>
        <v>2</v>
      </c>
      <c r="J101" s="245" t="str">
        <f>IFERROR(__xludf.DUMMYFUNCTION("IFERROR(
  INDEX(
    FILTER(
      Transcription!$AJ:$AJ,
      TRIM(CLEAN(TEXT(Transcription!$F:$F, ""@""))) = TRIM(CLEAN(TEXT($D101, ""@""))),
      Transcription!$AO:$AO = 2
    ),
    1
  ),
  ""Not Found""
)
"),"https://docs.google.com/document/d/1VNLeZkdlBHCos9MTP5xvbhjNolV2Sj5N/edit?usp=drive_link&amp;ouid=117122465010506134151&amp;rtpof=true&amp;sd=true")</f>
        <v>https://docs.google.com/document/d/1VNLeZkdlBHCos9MTP5xvbhjNolV2Sj5N/edit?usp=drive_link&amp;ouid=117122465010506134151&amp;rtpof=true&amp;sd=true</v>
      </c>
      <c r="K101" s="244" t="str">
        <f>IFERROR(__xludf.DUMMYFUNCTION("IFERROR(
  INDEX(
    FILTER(
      Recording!$U:$U,
      TRIM(CLEAN(TEXT(Recording!$E:$E, ""@""))) = TRIM(CLEAN(TEXT($D101, ""@""))),
      Recording!$AA:$AA = 3
    ),
    1
  ),
  ""Not Found""
)
"),"https://drive.google.com/open?id=1djkDcKLs_JZpfL9r1S56fg5zDIq4I29A")</f>
        <v>https://drive.google.com/open?id=1djkDcKLs_JZpfL9r1S56fg5zDIq4I29A</v>
      </c>
      <c r="L1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1!$E:$E"")=$D101) *
        (IMPORTRANGE(""https://docs.google.com/spreadsheets/d/161aHT6vVT3SLneTKD19N5qVWtnj_jIT8CSsOmUVKmaA"&amp;"/edit?gid=1761053510"",
          ""Haris_Form responses 1!$AQ:$AQ"")=3)
      ),
      1
    ),
    ""0""
  ),
  ""Form not found""
)
"),"3")</f>
        <v>3</v>
      </c>
      <c r="M101" s="245" t="str">
        <f>IFERROR(__xludf.DUMMYFUNCTION("IFERROR(
  INDEX(
    FILTER(
      Transcription!$AJ:$AJ,
      TRIM(CLEAN(TEXT(Transcription!$F:$F, ""@""))) = TRIM(CLEAN(TEXT($D101, ""@""))),
      Transcription!$AO:$AO = 3
    ),
    1
  ),
  ""Not Found""
)
"),"https://drive.google.com/open?id=19WWsMGxrKkCnx4sADHWyjLROKC8NMGRg")</f>
        <v>https://drive.google.com/open?id=19WWsMGxrKkCnx4sADHWyjLROKC8NMGRg</v>
      </c>
      <c r="N101" s="244" t="str">
        <f>IFERROR(__xludf.DUMMYFUNCTION("IFERROR(
  INDEX(
    FILTER(
      Recording!$U:$U,
      TRIM(CLEAN(TEXT(Recording!$E:$E, ""@""))) = TRIM(CLEAN(TEXT($D101, ""@""))),
      Recording!$AA:$AA = 4
    ),
    1
  ),
  ""Not Found""
)
"),"https://drive.google.com/open?id=1PjCi3iQ1E-KBqyqiIaQU5Yll85r9Fy0t")</f>
        <v>https://drive.google.com/open?id=1PjCi3iQ1E-KBqyqiIaQU5Yll85r9Fy0t</v>
      </c>
      <c r="O1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1!$E:$E"")=$D101) *
        (IMPORTRANGE(""https://docs.google.com/spreadsheets/d/161aHT6vVT3SLneTKD19N5qVWtnj_jIT8CSsOmUVKmaA"&amp;"/edit?gid=1761053510"",
          ""Haris_Form responses 1!$AQ:$AQ"")=4)
      ),
      1
    ),
    ""0""
  ),
  ""Form not found""
)
"),"4")</f>
        <v>4</v>
      </c>
      <c r="P101" s="245" t="str">
        <f>IFERROR(__xludf.DUMMYFUNCTION("IFERROR(
  INDEX(
    FILTER(
      Transcription!$AJ:$AJ,
      TRIM(CLEAN(TEXT(Transcription!$F:$F, ""@""))) = TRIM(CLEAN(TEXT($D101, ""@""))),
      Transcription!$AO:$AO = 4
    ),
    1
  ),
  ""Not Found""
)
"),"https://drive.google.com/open?id=1ji2sfTQ5BaaGMn1rETuykWM4y5FocFjr")</f>
        <v>https://drive.google.com/open?id=1ji2sfTQ5BaaGMn1rETuykWM4y5FocFjr</v>
      </c>
      <c r="Q101" s="246" t="str">
        <f>IFERROR(__xludf.DUMMYFUNCTION("IFERROR(
  INDEX(
    FILTER(
      Recording!$U:$U,
      TRIM(CLEAN(TEXT(Recording!$E:$E, ""@""))) = TRIM(CLEAN(TEXT($D101, ""@""))),
      Recording!$AA:$AA = 5
    ),
    1
  ),
  ""Not Found""
)
"),"Not Found")</f>
        <v>Not Found</v>
      </c>
      <c r="R1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1!$E:$E"")=$D101) *
        (IMPORTRANGE(""https://docs.google.com/spreadsheets/d/161aHT6vVT3SLneTKD19N5qVWtnj_jIT8CSsOmUVKmaA"&amp;"/edit?gid=1761053510"",
          ""Haris_Form responses 1!$AQ:$AQ"")=5)
      ),
      1
    ),
    ""0""
  ),
  ""Form not found""
)
"),"Form not found")</f>
        <v>Form not found</v>
      </c>
      <c r="S101" s="247" t="str">
        <f>IFERROR(__xludf.DUMMYFUNCTION("IFERROR(
  INDEX(
    FILTER(
      Transcription!$AJ:$AJ,
      TRIM(CLEAN(TEXT(Transcription!$F:$F, ""@""))) = TRIM(CLEAN(TEXT($D101, ""@""))),
      Transcription!$AO:$AO = 5
    ),
    1
  ),
  ""Not Found""
)
"),"Not Found")</f>
        <v>Not Found</v>
      </c>
      <c r="T101" s="249" t="str">
        <f>IFERROR(__xludf.DUMMYFUNCTION("IFERROR(
  INDEX(
    FILTER(
      Recording!$U:$U,
      TRIM(CLEAN(TEXT(Recording!$E:$E, ""@""))) = TRIM(CLEAN(TEXT($D101, ""@""))),
      Recording!$AA:$AA = 6
    ),
    1
  ),
  ""Not Found""
)
"),"Not Found")</f>
        <v>Not Found</v>
      </c>
      <c r="U1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1!$E:$E"")=$D101) *
        (IMPORTRANGE(""https://docs.google.com/spreadsheets/d/161aHT6vVT3SLneTKD19N5qVWtnj_jIT8CSsOmUVKmaA"&amp;"/edit?gid=1761053510"",
          ""Haris_Form responses 1!$AQ:$AQ"")=6)
      ),
      1
    ),
    ""0""
  ),
  ""Form not found""
)
"),"Form not found")</f>
        <v>Form not found</v>
      </c>
      <c r="V101" s="247" t="str">
        <f>IFERROR(__xludf.DUMMYFUNCTION("IFERROR(
  INDEX(
    FILTER(
      Transcription!$AJ:$AJ,
      TRIM(CLEAN(TEXT(Transcription!$F:$F, ""@""))) = TRIM(CLEAN(TEXT($D101, ""@""))),
      Transcription!$AO:$AO = 6
    ),
    1
  ),
  ""Not Found""
)
"),"Not Found")</f>
        <v>Not Found</v>
      </c>
      <c r="Z101" s="10">
        <f t="shared" si="1"/>
        <v>4</v>
      </c>
      <c r="AA101" s="10">
        <f t="shared" si="2"/>
        <v>0</v>
      </c>
    </row>
    <row r="102">
      <c r="A102" s="8" t="str">
        <f>VLOOKUP($D102,Sheet6!$B:$G,5,FALSE)</f>
        <v>Sailkot</v>
      </c>
      <c r="B102" s="232" t="str">
        <f>VLOOKUP($D102,Sheet6!$B:$G,4,FALSE)</f>
        <v>Control</v>
      </c>
      <c r="C102" s="8">
        <v>2.0</v>
      </c>
      <c r="D102" s="8" t="s">
        <v>4560</v>
      </c>
      <c r="E102" s="244" t="str">
        <f>IFERROR(__xludf.DUMMYFUNCTION("IFERROR(
  INDEX(
    FILTER(
      Recording!$U:$U,
      TRIM(CLEAN(TEXT(Recording!$E:$E, ""@""))) = TRIM(CLEAN(TEXT($D102, ""@""))),
      Recording!$AA:$AA = 1
    ),
    1
  ),
  ""Not Found""
)
"),"https://drive.google.com/open?id=1nH97eiujGBeeHMa6teXdAd6BdtSGuylv")</f>
        <v>https://drive.google.com/open?id=1nH97eiujGBeeHMa6teXdAd6BdtSGuylv</v>
      </c>
      <c r="F1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1!$E:$E"")=$D102) *
        (IMPORTRANGE(""https://docs.google.com/spreadsheets/d/161aHT6vVT3SLneTKD19N5qVWtnj_jIT8CSsOmUVKmaA"&amp;"/edit?gid=1761053510"",
          ""Haris_Form responses 1!$AQ:$AQ"")=1)
      ),
      1
    ),
    ""0""
  ),
  ""Form not found""
)
"),"1")</f>
        <v>1</v>
      </c>
      <c r="G102" s="245" t="str">
        <f>IFERROR(__xludf.DUMMYFUNCTION("IFERROR(
  INDEX(
    FILTER(
      Transcription!$AJ:$AJ,
      TRIM(CLEAN(TEXT(Transcription!$F:$F, ""@""))) = TRIM(CLEAN(TEXT($D102, ""@""))),
      Transcription!$AO:$AO = 1
    ),
    1
  ),
  ""Not Found""
)
"),"https://drive.google.com/open?id=1AiXT0B3obD_avWLi6fW7FBnla14Z96t6")</f>
        <v>https://drive.google.com/open?id=1AiXT0B3obD_avWLi6fW7FBnla14Z96t6</v>
      </c>
      <c r="H102" s="246" t="str">
        <f>IFERROR(__xludf.DUMMYFUNCTION("IFERROR(
  INDEX(
    FILTER(
      Recording!$U:$U,
      TRIM(CLEAN(TEXT(Recording!$E:$E, ""@""))) = TRIM(CLEAN(TEXT($D102, ""@""))),
      Recording!$AA:$AA = 2
    ),
    1
  ),
  ""Not Found""
)
"),"Not Found")</f>
        <v>Not Found</v>
      </c>
      <c r="I1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1!$E:$E"")=$D102) *
        (IMPORTRANGE(""https://docs.google.com/spreadsheets/d/161aHT6vVT3SLneTKD19N5qVWtnj_jIT8CSsOmUVKmaA"&amp;"/edit?gid=1761053510"",
          ""Haris_Form responses 1!$AQ:$AQ"")=2)
      ),
      1
    ),
    ""0""
  ),
  ""Form not found""
)
"),"Form not found")</f>
        <v>Form not found</v>
      </c>
      <c r="J102" s="247" t="str">
        <f>IFERROR(__xludf.DUMMYFUNCTION("IFERROR(
  INDEX(
    FILTER(
      Transcription!$AJ:$AJ,
      TRIM(CLEAN(TEXT(Transcription!$F:$F, ""@""))) = TRIM(CLEAN(TEXT($D102, ""@""))),
      Transcription!$AO:$AO = 2
    ),
    1
  ),
  ""Not Found""
)
"),"Not Found")</f>
        <v>Not Found</v>
      </c>
      <c r="K102" s="244" t="str">
        <f>IFERROR(__xludf.DUMMYFUNCTION("IFERROR(
  INDEX(
    FILTER(
      Recording!$U:$U,
      TRIM(CLEAN(TEXT(Recording!$E:$E, ""@""))) = TRIM(CLEAN(TEXT($D102, ""@""))),
      Recording!$AA:$AA = 3
    ),
    1
  ),
  ""Not Found""
)
"),"https://drive.google.com/open?id=1AlZCGOf2ABJ-x0hTnEOCl4jGp3hgWW9M")</f>
        <v>https://drive.google.com/open?id=1AlZCGOf2ABJ-x0hTnEOCl4jGp3hgWW9M</v>
      </c>
      <c r="L1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1!$E:$E"")=$D102) *
        (IMPORTRANGE(""https://docs.google.com/spreadsheets/d/161aHT6vVT3SLneTKD19N5qVWtnj_jIT8CSsOmUVKmaA"&amp;"/edit?gid=1761053510"",
          ""Haris_Form responses 1!$AQ:$AQ"")=3)
      ),
      1
    ),
    ""0""
  ),
  ""Form not found""
)
"),"3")</f>
        <v>3</v>
      </c>
      <c r="M102" s="245" t="str">
        <f>IFERROR(__xludf.DUMMYFUNCTION("IFERROR(
  INDEX(
    FILTER(
      Transcription!$AJ:$AJ,
      TRIM(CLEAN(TEXT(Transcription!$F:$F, ""@""))) = TRIM(CLEAN(TEXT($D102, ""@""))),
      Transcription!$AO:$AO = 3
    ),
    1
  ),
  ""Not Found""
)
"),"https://drive.google.com/open?id=1osEh3c1WHwAe93s5E9Gj0nWzYB7y_L9Q")</f>
        <v>https://drive.google.com/open?id=1osEh3c1WHwAe93s5E9Gj0nWzYB7y_L9Q</v>
      </c>
      <c r="N102" s="246" t="str">
        <f>IFERROR(__xludf.DUMMYFUNCTION("IFERROR(
  INDEX(
    FILTER(
      Recording!$U:$U,
      TRIM(CLEAN(TEXT(Recording!$E:$E, ""@""))) = TRIM(CLEAN(TEXT($D102, ""@""))),
      Recording!$AA:$AA = 4
    ),
    1
  ),
  ""Not Found""
)
"),"Not Found")</f>
        <v>Not Found</v>
      </c>
      <c r="O1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1!$E:$E"")=$D102) *
        (IMPORTRANGE(""https://docs.google.com/spreadsheets/d/161aHT6vVT3SLneTKD19N5qVWtnj_jIT8CSsOmUVKmaA"&amp;"/edit?gid=1761053510"",
          ""Haris_Form responses 1!$AQ:$AQ"")=4)
      ),
      1
    ),
    ""0""
  ),
  ""Form not found""
)
"),"Form not found")</f>
        <v>Form not found</v>
      </c>
      <c r="P102" s="247" t="str">
        <f>IFERROR(__xludf.DUMMYFUNCTION("IFERROR(
  INDEX(
    FILTER(
      Transcription!$AJ:$AJ,
      TRIM(CLEAN(TEXT(Transcription!$F:$F, ""@""))) = TRIM(CLEAN(TEXT($D102, ""@""))),
      Transcription!$AO:$AO = 4
    ),
    1
  ),
  ""Not Found""
)
"),"Not Found")</f>
        <v>Not Found</v>
      </c>
      <c r="Q102" s="246" t="str">
        <f>IFERROR(__xludf.DUMMYFUNCTION("IFERROR(
  INDEX(
    FILTER(
      Recording!$U:$U,
      TRIM(CLEAN(TEXT(Recording!$E:$E, ""@""))) = TRIM(CLEAN(TEXT($D102, ""@""))),
      Recording!$AA:$AA = 5
    ),
    1
  ),
  ""Not Found""
)
"),"Not Found")</f>
        <v>Not Found</v>
      </c>
      <c r="R1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1!$E:$E"")=$D102) *
        (IMPORTRANGE(""https://docs.google.com/spreadsheets/d/161aHT6vVT3SLneTKD19N5qVWtnj_jIT8CSsOmUVKmaA"&amp;"/edit?gid=1761053510"",
          ""Haris_Form responses 1!$AQ:$AQ"")=5)
      ),
      1
    ),
    ""0""
  ),
  ""Form not found""
)
"),"Form not found")</f>
        <v>Form not found</v>
      </c>
      <c r="S102" s="247" t="str">
        <f>IFERROR(__xludf.DUMMYFUNCTION("IFERROR(
  INDEX(
    FILTER(
      Transcription!$AJ:$AJ,
      TRIM(CLEAN(TEXT(Transcription!$F:$F, ""@""))) = TRIM(CLEAN(TEXT($D102, ""@""))),
      Transcription!$AO:$AO = 5
    ),
    1
  ),
  ""Not Found""
)
"),"Not Found")</f>
        <v>Not Found</v>
      </c>
      <c r="T102" s="246" t="str">
        <f>IFERROR(__xludf.DUMMYFUNCTION("IFERROR(
  INDEX(
    FILTER(
      Recording!$U:$U,
      TRIM(CLEAN(TEXT(Recording!$E:$E, ""@""))) = TRIM(CLEAN(TEXT($D102, ""@""))),
      Recording!$AA:$AA = 6
    ),
    1
  ),
  ""Not Found""
)
"),"Not Found")</f>
        <v>Not Found</v>
      </c>
      <c r="U1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1!$E:$E"")=$D102) *
        (IMPORTRANGE(""https://docs.google.com/spreadsheets/d/161aHT6vVT3SLneTKD19N5qVWtnj_jIT8CSsOmUVKmaA"&amp;"/edit?gid=1761053510"",
          ""Haris_Form responses 1!$AQ:$AQ"")=6)
      ),
      1
    ),
    ""0""
  ),
  ""Form not found""
)
"),"Form not found")</f>
        <v>Form not found</v>
      </c>
      <c r="V102" s="247" t="str">
        <f>IFERROR(__xludf.DUMMYFUNCTION("IFERROR(
  INDEX(
    FILTER(
      Transcription!$AJ:$AJ,
      TRIM(CLEAN(TEXT(Transcription!$F:$F, ""@""))) = TRIM(CLEAN(TEXT($D102, ""@""))),
      Transcription!$AO:$AO = 6
    ),
    1
  ),
  ""Not Found""
)
"),"Not Found")</f>
        <v>Not Found</v>
      </c>
      <c r="Z102" s="10">
        <f t="shared" si="1"/>
        <v>2</v>
      </c>
      <c r="AA102" s="10">
        <f t="shared" si="2"/>
        <v>0</v>
      </c>
    </row>
    <row r="103">
      <c r="A103" s="8" t="str">
        <f>VLOOKUP($D103,Sheet6!$B:$G,5,FALSE)</f>
        <v>Sailkot</v>
      </c>
      <c r="B103" s="232" t="str">
        <f>VLOOKUP($D103,Sheet6!$B:$G,4,FALSE)</f>
        <v>Women Secular No Info Share</v>
      </c>
      <c r="C103" s="8">
        <v>3.0</v>
      </c>
      <c r="D103" s="8" t="s">
        <v>4561</v>
      </c>
      <c r="E103" s="244" t="str">
        <f>IFERROR(__xludf.DUMMYFUNCTION("IFERROR(
  INDEX(
    FILTER(
      Recording!$U:$U,
      TRIM(CLEAN(TEXT(Recording!$E:$E, ""@""))) = TRIM(CLEAN(TEXT($D103, ""@""))),
      Recording!$AA:$AA = 1
    ),
    1
  ),
  ""Not Found""
)
"),"https://drive.google.com/open?id=17WsVvW0lC1D4xq2_GPl-KUkUAN8-Rb7M")</f>
        <v>https://drive.google.com/open?id=17WsVvW0lC1D4xq2_GPl-KUkUAN8-Rb7M</v>
      </c>
      <c r="F1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1!$E:$E"")=$D103) *
        (IMPORTRANGE(""https://docs.google.com/spreadsheets/d/161aHT6vVT3SLneTKD19N5qVWtnj_jIT8CSsOmUVKmaA"&amp;"/edit?gid=1761053510"",
          ""Haris_Form responses 1!$AQ:$AQ"")=1)
      ),
      1
    ),
    ""0""
  ),
  ""Form not found""
)
"),"1")</f>
        <v>1</v>
      </c>
      <c r="G103" s="245" t="str">
        <f>IFERROR(__xludf.DUMMYFUNCTION("IFERROR(
  INDEX(
    FILTER(
      Transcription!$AJ:$AJ,
      TRIM(CLEAN(TEXT(Transcription!$F:$F, ""@""))) = TRIM(CLEAN(TEXT($D103, ""@""))),
      Transcription!$AO:$AO = 1
    ),
    1
  ),
  ""Not Found""
)
"),"https://drive.google.com/open?id=1SNtrnHA1VIOBICUIQsXA8TcuzfMSf_pK")</f>
        <v>https://drive.google.com/open?id=1SNtrnHA1VIOBICUIQsXA8TcuzfMSf_pK</v>
      </c>
      <c r="H103" s="244" t="str">
        <f>IFERROR(__xludf.DUMMYFUNCTION("IFERROR(
  INDEX(
    FILTER(
      Recording!$U:$U,
      TRIM(CLEAN(TEXT(Recording!$E:$E, ""@""))) = TRIM(CLEAN(TEXT($D103, ""@""))),
      Recording!$AA:$AA = 2
    ),
    1
  ),
  ""Not Found""
)
"),"https://drive.google.com/open?id=1VjZo7Tptca2B14cLTK6sp0DL8do2dsNB")</f>
        <v>https://drive.google.com/open?id=1VjZo7Tptca2B14cLTK6sp0DL8do2dsNB</v>
      </c>
      <c r="I1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1!$E:$E"")=$D103) *
        (IMPORTRANGE(""https://docs.google.com/spreadsheets/d/161aHT6vVT3SLneTKD19N5qVWtnj_jIT8CSsOmUVKmaA"&amp;"/edit?gid=1761053510"",
          ""Haris_Form responses 1!$AQ:$AQ"")=2)
      ),
      1
    ),
    ""0""
  ),
  ""Form not found""
)
"),"2")</f>
        <v>2</v>
      </c>
      <c r="J103" s="245" t="str">
        <f>IFERROR(__xludf.DUMMYFUNCTION("IFERROR(
  INDEX(
    FILTER(
      Transcription!$AJ:$AJ,
      TRIM(CLEAN(TEXT(Transcription!$F:$F, ""@""))) = TRIM(CLEAN(TEXT($D103, ""@""))),
      Transcription!$AO:$AO = 2
    ),
    1
  ),
  ""Not Found""
)
"),"https://drive.google.com/open?id=1K3d80QYw-anGZHo8JVXnofe3solUxiWK")</f>
        <v>https://drive.google.com/open?id=1K3d80QYw-anGZHo8JVXnofe3solUxiWK</v>
      </c>
      <c r="K103" s="244" t="str">
        <f>IFERROR(__xludf.DUMMYFUNCTION("IFERROR(
  INDEX(
    FILTER(
      Recording!$U:$U,
      TRIM(CLEAN(TEXT(Recording!$E:$E, ""@""))) = TRIM(CLEAN(TEXT($D103, ""@""))),
      Recording!$AA:$AA = 3
    ),
    1
  ),
  ""Not Found""
)
"),"https://drive.google.com/open?id=1vIJ-e0XKs5-aJcM69N3ghozViTpxGnke")</f>
        <v>https://drive.google.com/open?id=1vIJ-e0XKs5-aJcM69N3ghozViTpxGnke</v>
      </c>
      <c r="L1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1!$E:$E"")=$D103) *
        (IMPORTRANGE(""https://docs.google.com/spreadsheets/d/161aHT6vVT3SLneTKD19N5qVWtnj_jIT8CSsOmUVKmaA"&amp;"/edit?gid=1761053510"",
          ""Haris_Form responses 1!$AQ:$AQ"")=3)
      ),
      1
    ),
    ""0""
  ),
  ""Form not found""
)
"),"3")</f>
        <v>3</v>
      </c>
      <c r="M103" s="245" t="str">
        <f>IFERROR(__xludf.DUMMYFUNCTION("IFERROR(
  INDEX(
    FILTER(
      Transcription!$AJ:$AJ,
      TRIM(CLEAN(TEXT(Transcription!$F:$F, ""@""))) = TRIM(CLEAN(TEXT($D103, ""@""))),
      Transcription!$AO:$AO = 3
    ),
    1
  ),
  ""Not Found""
)
"),"https://drive.google.com/open?id=1xQug3CNANa-1fJTjvQaAWrGsH-94rhW7")</f>
        <v>https://drive.google.com/open?id=1xQug3CNANa-1fJTjvQaAWrGsH-94rhW7</v>
      </c>
      <c r="N103" s="246" t="str">
        <f>IFERROR(__xludf.DUMMYFUNCTION("IFERROR(
  INDEX(
    FILTER(
      Recording!$U:$U,
      TRIM(CLEAN(TEXT(Recording!$E:$E, ""@""))) = TRIM(CLEAN(TEXT($D103, ""@""))),
      Recording!$AA:$AA = 4
    ),
    1
  ),
  ""Not Found""
)
"),"Not Found")</f>
        <v>Not Found</v>
      </c>
      <c r="O1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1!$E:$E"")=$D103) *
        (IMPORTRANGE(""https://docs.google.com/spreadsheets/d/161aHT6vVT3SLneTKD19N5qVWtnj_jIT8CSsOmUVKmaA"&amp;"/edit?gid=1761053510"",
          ""Haris_Form responses 1!$AQ:$AQ"")=4)
      ),
      1
    ),
    ""0""
  ),
  ""Form not found""
)
"),"Form not found")</f>
        <v>Form not found</v>
      </c>
      <c r="P103" s="247" t="str">
        <f>IFERROR(__xludf.DUMMYFUNCTION("IFERROR(
  INDEX(
    FILTER(
      Transcription!$AJ:$AJ,
      TRIM(CLEAN(TEXT(Transcription!$F:$F, ""@""))) = TRIM(CLEAN(TEXT($D103, ""@""))),
      Transcription!$AO:$AO = 4
    ),
    1
  ),
  ""Not Found""
)
"),"Not Found")</f>
        <v>Not Found</v>
      </c>
      <c r="Q103" s="246" t="str">
        <f>IFERROR(__xludf.DUMMYFUNCTION("IFERROR(
  INDEX(
    FILTER(
      Recording!$U:$U,
      TRIM(CLEAN(TEXT(Recording!$E:$E, ""@""))) = TRIM(CLEAN(TEXT($D103, ""@""))),
      Recording!$AA:$AA = 5
    ),
    1
  ),
  ""Not Found""
)
"),"Not Found")</f>
        <v>Not Found</v>
      </c>
      <c r="R1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1!$E:$E"")=$D103) *
        (IMPORTRANGE(""https://docs.google.com/spreadsheets/d/161aHT6vVT3SLneTKD19N5qVWtnj_jIT8CSsOmUVKmaA"&amp;"/edit?gid=1761053510"",
          ""Haris_Form responses 1!$AQ:$AQ"")=5)
      ),
      1
    ),
    ""0""
  ),
  ""Form not found""
)
"),"Form not found")</f>
        <v>Form not found</v>
      </c>
      <c r="S103" s="247" t="str">
        <f>IFERROR(__xludf.DUMMYFUNCTION("IFERROR(
  INDEX(
    FILTER(
      Transcription!$AJ:$AJ,
      TRIM(CLEAN(TEXT(Transcription!$F:$F, ""@""))) = TRIM(CLEAN(TEXT($D103, ""@""))),
      Transcription!$AO:$AO = 5
    ),
    1
  ),
  ""Not Found""
)
"),"Not Found")</f>
        <v>Not Found</v>
      </c>
      <c r="T103" s="249" t="str">
        <f>IFERROR(__xludf.DUMMYFUNCTION("IFERROR(
  INDEX(
    FILTER(
      Recording!$U:$U,
      TRIM(CLEAN(TEXT(Recording!$E:$E, ""@""))) = TRIM(CLEAN(TEXT($D103, ""@""))),
      Recording!$AA:$AA = 6
    ),
    1
  ),
  ""Not Found""
)
"),"Not Found")</f>
        <v>Not Found</v>
      </c>
      <c r="U1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1!$E:$E"")=$D103) *
        (IMPORTRANGE(""https://docs.google.com/spreadsheets/d/161aHT6vVT3SLneTKD19N5qVWtnj_jIT8CSsOmUVKmaA"&amp;"/edit?gid=1761053510"",
          ""Haris_Form responses 1!$AQ:$AQ"")=6)
      ),
      1
    ),
    ""0""
  ),
  ""Form not found""
)
"),"Form not found")</f>
        <v>Form not found</v>
      </c>
      <c r="V103" s="247" t="str">
        <f>IFERROR(__xludf.DUMMYFUNCTION("IFERROR(
  INDEX(
    FILTER(
      Transcription!$AJ:$AJ,
      TRIM(CLEAN(TEXT(Transcription!$F:$F, ""@""))) = TRIM(CLEAN(TEXT($D103, ""@""))),
      Transcription!$AO:$AO = 6
    ),
    1
  ),
  ""Not Found""
)
"),"Not Found")</f>
        <v>Not Found</v>
      </c>
      <c r="Z103" s="10">
        <f t="shared" si="1"/>
        <v>3</v>
      </c>
      <c r="AA103" s="10">
        <f t="shared" si="2"/>
        <v>0</v>
      </c>
    </row>
    <row r="104">
      <c r="A104" s="8" t="str">
        <f>VLOOKUP($D104,Sheet6!$B:$G,5,FALSE)</f>
        <v>Sailkot</v>
      </c>
      <c r="B104" s="232" t="str">
        <f>VLOOKUP($D104,Sheet6!$B:$G,4,FALSE)</f>
        <v>Community Secular No Info Share</v>
      </c>
      <c r="C104" s="8">
        <v>3.0</v>
      </c>
      <c r="D104" s="8" t="s">
        <v>4562</v>
      </c>
      <c r="E104" s="244" t="str">
        <f>IFERROR(__xludf.DUMMYFUNCTION("IFERROR(
  INDEX(
    FILTER(
      Recording!$U:$U,
      TRIM(CLEAN(TEXT(Recording!$E:$E, ""@""))) = TRIM(CLEAN(TEXT($D104, ""@""))),
      Recording!$AA:$AA = 1
    ),
    1
  ),
  ""Not Found""
)
"),"https://drive.google.com/open?id=14qnOoInmDGkfHlNVJIYi-u6ZGmQp91uD")</f>
        <v>https://drive.google.com/open?id=14qnOoInmDGkfHlNVJIYi-u6ZGmQp91uD</v>
      </c>
      <c r="F1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1!$E:$E"")=$D104) *
        (IMPORTRANGE(""https://docs.google.com/spreadsheets/d/161aHT6vVT3SLneTKD19N5qVWtnj_jIT8CSsOmUVKmaA"&amp;"/edit?gid=1761053510"",
          ""Haris_Form responses 1!$AQ:$AQ"")=1)
      ),
      1
    ),
    ""0""
  ),
  ""Form not found""
)
"),"1")</f>
        <v>1</v>
      </c>
      <c r="G104" s="245" t="str">
        <f>IFERROR(__xludf.DUMMYFUNCTION("IFERROR(
  INDEX(
    FILTER(
      Transcription!$AJ:$AJ,
      TRIM(CLEAN(TEXT(Transcription!$F:$F, ""@""))) = TRIM(CLEAN(TEXT($D104, ""@""))),
      Transcription!$AO:$AO = 1
    ),
    1
  ),
  ""Not Found""
)
"),"https://drive.google.com/open?id=1FevtEaHqBvQ51I6bx4FfR6Q5-fuJuhtA")</f>
        <v>https://drive.google.com/open?id=1FevtEaHqBvQ51I6bx4FfR6Q5-fuJuhtA</v>
      </c>
      <c r="H104" s="244" t="str">
        <f>IFERROR(__xludf.DUMMYFUNCTION("IFERROR(
  INDEX(
    FILTER(
      Recording!$U:$U,
      TRIM(CLEAN(TEXT(Recording!$E:$E, ""@""))) = TRIM(CLEAN(TEXT($D104, ""@""))),
      Recording!$AA:$AA = 2
    ),
    1
  ),
  ""Not Found""
)
"),"https://drive.google.com/open?id=10GeL6ofm6IQ5ZUwKmbEgBIYLk6f5hQFU")</f>
        <v>https://drive.google.com/open?id=10GeL6ofm6IQ5ZUwKmbEgBIYLk6f5hQFU</v>
      </c>
      <c r="I1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1!$E:$E"")=$D104) *
        (IMPORTRANGE(""https://docs.google.com/spreadsheets/d/161aHT6vVT3SLneTKD19N5qVWtnj_jIT8CSsOmUVKmaA"&amp;"/edit?gid=1761053510"",
          ""Haris_Form responses 1!$AQ:$AQ"")=2)
      ),
      1
    ),
    ""0""
  ),
  ""Form not found""
)
"),"2")</f>
        <v>2</v>
      </c>
      <c r="J104" s="245" t="str">
        <f>IFERROR(__xludf.DUMMYFUNCTION("IFERROR(
  INDEX(
    FILTER(
      Transcription!$AJ:$AJ,
      TRIM(CLEAN(TEXT(Transcription!$F:$F, ""@""))) = TRIM(CLEAN(TEXT($D104, ""@""))),
      Transcription!$AO:$AO = 2
    ),
    1
  ),
  ""Not Found""
)
"),"https://drive.google.com/open?id=13JiQlh-tU3PL7CoRdOy75fTcx_Yrw_KR")</f>
        <v>https://drive.google.com/open?id=13JiQlh-tU3PL7CoRdOy75fTcx_Yrw_KR</v>
      </c>
      <c r="K104" s="244" t="str">
        <f>IFERROR(__xludf.DUMMYFUNCTION("IFERROR(
  INDEX(
    FILTER(
      Recording!$U:$U,
      TRIM(CLEAN(TEXT(Recording!$E:$E, ""@""))) = TRIM(CLEAN(TEXT($D104, ""@""))),
      Recording!$AA:$AA = 3
    ),
    1
  ),
  ""Not Found""
)
"),"https://drive.google.com/open?id=1VxeAdn7KQQVZf32LCsXnHi9K5t6e-m8p")</f>
        <v>https://drive.google.com/open?id=1VxeAdn7KQQVZf32LCsXnHi9K5t6e-m8p</v>
      </c>
      <c r="L1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1!$E:$E"")=$D104) *
        (IMPORTRANGE(""https://docs.google.com/spreadsheets/d/161aHT6vVT3SLneTKD19N5qVWtnj_jIT8CSsOmUVKmaA"&amp;"/edit?gid=1761053510"",
          ""Haris_Form responses 1!$AQ:$AQ"")=3)
      ),
      1
    ),
    ""0""
  ),
  ""Form not found""
)
"),"3")</f>
        <v>3</v>
      </c>
      <c r="M104" s="245" t="str">
        <f>IFERROR(__xludf.DUMMYFUNCTION("IFERROR(
  INDEX(
    FILTER(
      Transcription!$AJ:$AJ,
      TRIM(CLEAN(TEXT(Transcription!$F:$F, ""@""))) = TRIM(CLEAN(TEXT($D104, ""@""))),
      Transcription!$AO:$AO = 3
    ),
    1
  ),
  ""Not Found""
)
"),"https://drive.google.com/open?id=16bPFR0oHDEzzf1U9oc_aWFI5kBs3mTJn")</f>
        <v>https://drive.google.com/open?id=16bPFR0oHDEzzf1U9oc_aWFI5kBs3mTJn</v>
      </c>
      <c r="N104" s="246" t="str">
        <f>IFERROR(__xludf.DUMMYFUNCTION("IFERROR(
  INDEX(
    FILTER(
      Recording!$U:$U,
      TRIM(CLEAN(TEXT(Recording!$E:$E, ""@""))) = TRIM(CLEAN(TEXT($D104, ""@""))),
      Recording!$AA:$AA = 4
    ),
    1
  ),
  ""Not Found""
)
"),"Not Found")</f>
        <v>Not Found</v>
      </c>
      <c r="O1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1!$E:$E"")=$D104) *
        (IMPORTRANGE(""https://docs.google.com/spreadsheets/d/161aHT6vVT3SLneTKD19N5qVWtnj_jIT8CSsOmUVKmaA"&amp;"/edit?gid=1761053510"",
          ""Haris_Form responses 1!$AQ:$AQ"")=4)
      ),
      1
    ),
    ""0""
  ),
  ""Form not found""
)
"),"Form not found")</f>
        <v>Form not found</v>
      </c>
      <c r="P104" s="247" t="str">
        <f>IFERROR(__xludf.DUMMYFUNCTION("IFERROR(
  INDEX(
    FILTER(
      Transcription!$AJ:$AJ,
      TRIM(CLEAN(TEXT(Transcription!$F:$F, ""@""))) = TRIM(CLEAN(TEXT($D104, ""@""))),
      Transcription!$AO:$AO = 4
    ),
    1
  ),
  ""Not Found""
)
"),"Not Found")</f>
        <v>Not Found</v>
      </c>
      <c r="Q104" s="246" t="str">
        <f>IFERROR(__xludf.DUMMYFUNCTION("IFERROR(
  INDEX(
    FILTER(
      Recording!$U:$U,
      TRIM(CLEAN(TEXT(Recording!$E:$E, ""@""))) = TRIM(CLEAN(TEXT($D104, ""@""))),
      Recording!$AA:$AA = 5
    ),
    1
  ),
  ""Not Found""
)
"),"Not Found")</f>
        <v>Not Found</v>
      </c>
      <c r="R1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1!$E:$E"")=$D104) *
        (IMPORTRANGE(""https://docs.google.com/spreadsheets/d/161aHT6vVT3SLneTKD19N5qVWtnj_jIT8CSsOmUVKmaA"&amp;"/edit?gid=1761053510"",
          ""Haris_Form responses 1!$AQ:$AQ"")=5)
      ),
      1
    ),
    ""0""
  ),
  ""Form not found""
)
"),"Form not found")</f>
        <v>Form not found</v>
      </c>
      <c r="S104" s="247" t="str">
        <f>IFERROR(__xludf.DUMMYFUNCTION("IFERROR(
  INDEX(
    FILTER(
      Transcription!$AJ:$AJ,
      TRIM(CLEAN(TEXT(Transcription!$F:$F, ""@""))) = TRIM(CLEAN(TEXT($D104, ""@""))),
      Transcription!$AO:$AO = 5
    ),
    1
  ),
  ""Not Found""
)
"),"Not Found")</f>
        <v>Not Found</v>
      </c>
      <c r="T104" s="249" t="str">
        <f>IFERROR(__xludf.DUMMYFUNCTION("IFERROR(
  INDEX(
    FILTER(
      Recording!$U:$U,
      TRIM(CLEAN(TEXT(Recording!$E:$E, ""@""))) = TRIM(CLEAN(TEXT($D104, ""@""))),
      Recording!$AA:$AA = 6
    ),
    1
  ),
  ""Not Found""
)
"),"Not Found")</f>
        <v>Not Found</v>
      </c>
      <c r="U1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1!$E:$E"")=$D104) *
        (IMPORTRANGE(""https://docs.google.com/spreadsheets/d/161aHT6vVT3SLneTKD19N5qVWtnj_jIT8CSsOmUVKmaA"&amp;"/edit?gid=1761053510"",
          ""Haris_Form responses 1!$AQ:$AQ"")=6)
      ),
      1
    ),
    ""0""
  ),
  ""Form not found""
)
"),"Form not found")</f>
        <v>Form not found</v>
      </c>
      <c r="V104" s="247" t="str">
        <f>IFERROR(__xludf.DUMMYFUNCTION("IFERROR(
  INDEX(
    FILTER(
      Transcription!$AJ:$AJ,
      TRIM(CLEAN(TEXT(Transcription!$F:$F, ""@""))) = TRIM(CLEAN(TEXT($D104, ""@""))),
      Transcription!$AO:$AO = 6
    ),
    1
  ),
  ""Not Found""
)
"),"Not Found")</f>
        <v>Not Found</v>
      </c>
      <c r="Z104" s="10">
        <f t="shared" si="1"/>
        <v>3</v>
      </c>
      <c r="AA104" s="10">
        <f t="shared" si="2"/>
        <v>0</v>
      </c>
    </row>
    <row r="105">
      <c r="A105" s="8" t="str">
        <f>VLOOKUP($D105,Sheet6!$B:$G,5,FALSE)</f>
        <v>Sailkot</v>
      </c>
      <c r="B105" s="232" t="str">
        <f>VLOOKUP($D105,Sheet6!$B:$G,4,FALSE)</f>
        <v>Women Secular Info Share</v>
      </c>
      <c r="C105" s="8">
        <v>3.0</v>
      </c>
      <c r="D105" s="8" t="s">
        <v>1969</v>
      </c>
      <c r="E105" s="244" t="str">
        <f>IFERROR(__xludf.DUMMYFUNCTION("IFERROR(
  INDEX(
    FILTER(
      Recording!$U:$U,
      TRIM(CLEAN(TEXT(Recording!$E:$E, ""@""))) = TRIM(CLEAN(TEXT($D105, ""@""))),
      Recording!$AA:$AA = 1
    ),
    1
  ),
  ""Not Found""
)
"),"https://drive.google.com/open?id=1Qo8W-7qumF0eSaLqwU_4IgWEfJ9Zx5LZ")</f>
        <v>https://drive.google.com/open?id=1Qo8W-7qumF0eSaLqwU_4IgWEfJ9Zx5LZ</v>
      </c>
      <c r="F1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1!$E:$E"")=$D105) *
        (IMPORTRANGE(""https://docs.google.com/spreadsheets/d/161aHT6vVT3SLneTKD19N5qVWtnj_jIT8CSsOmUVKmaA"&amp;"/edit?gid=1761053510"",
          ""Haris_Form responses 1!$AQ:$AQ"")=1)
      ),
      1
    ),
    ""0""
  ),
  ""Form not found""
)
"),"1")</f>
        <v>1</v>
      </c>
      <c r="G105" s="245" t="str">
        <f>IFERROR(__xludf.DUMMYFUNCTION("IFERROR(
  INDEX(
    FILTER(
      Transcription!$AJ:$AJ,
      TRIM(CLEAN(TEXT(Transcription!$F:$F, ""@""))) = TRIM(CLEAN(TEXT($D105, ""@""))),
      Transcription!$AO:$AO = 1
    ),
    1
  ),
  ""Not Found""
)
"),"https://drive.google.com/open?id=11ehwLccGkgal-E47G-c9m2_n_UPeYuIi")</f>
        <v>https://drive.google.com/open?id=11ehwLccGkgal-E47G-c9m2_n_UPeYuIi</v>
      </c>
      <c r="H105" s="246" t="str">
        <f>IFERROR(__xludf.DUMMYFUNCTION("IFERROR(
  INDEX(
    FILTER(
      Recording!$U:$U,
      TRIM(CLEAN(TEXT(Recording!$E:$E, ""@""))) = TRIM(CLEAN(TEXT($D105, ""@""))),
      Recording!$AA:$AA = 2
    ),
    1
  ),
  ""Not Found""
)
"),"https://drive.google.com/open?id=1pDwSWPR-2e1nr2J90ZoMgm6jgM4lHcH6, https://drive.google.com/open?id=1nr98yzSn7r9kAa-W3PfFN1vg8qpp7eyy")</f>
        <v>https://drive.google.com/open?id=1pDwSWPR-2e1nr2J90ZoMgm6jgM4lHcH6, https://drive.google.com/open?id=1nr98yzSn7r9kAa-W3PfFN1vg8qpp7eyy</v>
      </c>
      <c r="I1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1!$E:$E"")=$D105) *
        (IMPORTRANGE(""https://docs.google.com/spreadsheets/d/161aHT6vVT3SLneTKD19N5qVWtnj_jIT8CSsOmUVKmaA"&amp;"/edit?gid=1761053510"",
          ""Haris_Form responses 1!$AQ:$AQ"")=2)
      ),
      1
    ),
    ""0""
  ),
  ""Form not found""
)
"),"2")</f>
        <v>2</v>
      </c>
      <c r="J105" s="245" t="str">
        <f>IFERROR(__xludf.DUMMYFUNCTION("IFERROR(
  INDEX(
    FILTER(
      Transcription!$AJ:$AJ,
      TRIM(CLEAN(TEXT(Transcription!$F:$F, ""@""))) = TRIM(CLEAN(TEXT($D105, ""@""))),
      Transcription!$AO:$AO = 2
    ),
    1
  ),
  ""Not Found""
)
"),"https://drive.google.com/open?id=1TRmQ0MT6DDmJlnaDcK-UxGQbvEI73kfv")</f>
        <v>https://drive.google.com/open?id=1TRmQ0MT6DDmJlnaDcK-UxGQbvEI73kfv</v>
      </c>
      <c r="K105" s="244" t="str">
        <f>IFERROR(__xludf.DUMMYFUNCTION("IFERROR(
  INDEX(
    FILTER(
      Recording!$U:$U,
      TRIM(CLEAN(TEXT(Recording!$E:$E, ""@""))) = TRIM(CLEAN(TEXT($D105, ""@""))),
      Recording!$AA:$AA = 3
    ),
    1
  ),
  ""Not Found""
)
"),"https://drive.google.com/open?id=1_qR7RQeaJTRp8Gjpegf2z79UVao65NI9")</f>
        <v>https://drive.google.com/open?id=1_qR7RQeaJTRp8Gjpegf2z79UVao65NI9</v>
      </c>
      <c r="L1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1!$E:$E"")=$D105) *
        (IMPORTRANGE(""https://docs.google.com/spreadsheets/d/161aHT6vVT3SLneTKD19N5qVWtnj_jIT8CSsOmUVKmaA"&amp;"/edit?gid=1761053510"",
          ""Haris_Form responses 1!$AQ:$AQ"")=3)
      ),
      1
    ),
    ""0""
  ),
  ""Form not found""
)
"),"3")</f>
        <v>3</v>
      </c>
      <c r="M105" s="245" t="str">
        <f>IFERROR(__xludf.DUMMYFUNCTION("IFERROR(
  INDEX(
    FILTER(
      Transcription!$AJ:$AJ,
      TRIM(CLEAN(TEXT(Transcription!$F:$F, ""@""))) = TRIM(CLEAN(TEXT($D105, ""@""))),
      Transcription!$AO:$AO = 3
    ),
    1
  ),
  ""Not Found""
)
"),"https://drive.google.com/open?id=1HJdlQNUPNw5ZZPOWrI5RTpIN5U7Ihipm")</f>
        <v>https://drive.google.com/open?id=1HJdlQNUPNw5ZZPOWrI5RTpIN5U7Ihipm</v>
      </c>
      <c r="N105" s="246" t="str">
        <f>IFERROR(__xludf.DUMMYFUNCTION("IFERROR(
  INDEX(
    FILTER(
      Recording!$U:$U,
      TRIM(CLEAN(TEXT(Recording!$E:$E, ""@""))) = TRIM(CLEAN(TEXT($D105, ""@""))),
      Recording!$AA:$AA = 4
    ),
    1
  ),
  ""Not Found""
)
"),"Not Found")</f>
        <v>Not Found</v>
      </c>
      <c r="O1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1!$E:$E"")=$D105) *
        (IMPORTRANGE(""https://docs.google.com/spreadsheets/d/161aHT6vVT3SLneTKD19N5qVWtnj_jIT8CSsOmUVKmaA"&amp;"/edit?gid=1761053510"",
          ""Haris_Form responses 1!$AQ:$AQ"")=4)
      ),
      1
    ),
    ""0""
  ),
  ""Form not found""
)
"),"Form not found")</f>
        <v>Form not found</v>
      </c>
      <c r="P105" s="247" t="str">
        <f>IFERROR(__xludf.DUMMYFUNCTION("IFERROR(
  INDEX(
    FILTER(
      Transcription!$AJ:$AJ,
      TRIM(CLEAN(TEXT(Transcription!$F:$F, ""@""))) = TRIM(CLEAN(TEXT($D105, ""@""))),
      Transcription!$AO:$AO = 4
    ),
    1
  ),
  ""Not Found""
)
"),"Not Found")</f>
        <v>Not Found</v>
      </c>
      <c r="Q105" s="246" t="str">
        <f>IFERROR(__xludf.DUMMYFUNCTION("IFERROR(
  INDEX(
    FILTER(
      Recording!$U:$U,
      TRIM(CLEAN(TEXT(Recording!$E:$E, ""@""))) = TRIM(CLEAN(TEXT($D105, ""@""))),
      Recording!$AA:$AA = 5
    ),
    1
  ),
  ""Not Found""
)
"),"Not Found")</f>
        <v>Not Found</v>
      </c>
      <c r="R1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1!$E:$E"")=$D105) *
        (IMPORTRANGE(""https://docs.google.com/spreadsheets/d/161aHT6vVT3SLneTKD19N5qVWtnj_jIT8CSsOmUVKmaA"&amp;"/edit?gid=1761053510"",
          ""Haris_Form responses 1!$AQ:$AQ"")=5)
      ),
      1
    ),
    ""0""
  ),
  ""Form not found""
)
"),"Form not found")</f>
        <v>Form not found</v>
      </c>
      <c r="S105" s="247" t="str">
        <f>IFERROR(__xludf.DUMMYFUNCTION("IFERROR(
  INDEX(
    FILTER(
      Transcription!$AJ:$AJ,
      TRIM(CLEAN(TEXT(Transcription!$F:$F, ""@""))) = TRIM(CLEAN(TEXT($D105, ""@""))),
      Transcription!$AO:$AO = 5
    ),
    1
  ),
  ""Not Found""
)
"),"Not Found")</f>
        <v>Not Found</v>
      </c>
      <c r="T105" s="249" t="str">
        <f>IFERROR(__xludf.DUMMYFUNCTION("IFERROR(
  INDEX(
    FILTER(
      Recording!$U:$U,
      TRIM(CLEAN(TEXT(Recording!$E:$E, ""@""))) = TRIM(CLEAN(TEXT($D105, ""@""))),
      Recording!$AA:$AA = 6
    ),
    1
  ),
  ""Not Found""
)
"),"Not Found")</f>
        <v>Not Found</v>
      </c>
      <c r="U1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1!$E:$E"")=$D105) *
        (IMPORTRANGE(""https://docs.google.com/spreadsheets/d/161aHT6vVT3SLneTKD19N5qVWtnj_jIT8CSsOmUVKmaA"&amp;"/edit?gid=1761053510"",
          ""Haris_Form responses 1!$AQ:$AQ"")=6)
      ),
      1
    ),
    ""0""
  ),
  ""Form not found""
)
"),"Form not found")</f>
        <v>Form not found</v>
      </c>
      <c r="V105" s="247" t="str">
        <f>IFERROR(__xludf.DUMMYFUNCTION("IFERROR(
  INDEX(
    FILTER(
      Transcription!$AJ:$AJ,
      TRIM(CLEAN(TEXT(Transcription!$F:$F, ""@""))) = TRIM(CLEAN(TEXT($D105, ""@""))),
      Transcription!$AO:$AO = 6
    ),
    1
  ),
  ""Not Found""
)
"),"Not Found")</f>
        <v>Not Found</v>
      </c>
      <c r="X105" s="8" t="s">
        <v>4563</v>
      </c>
      <c r="Z105" s="10">
        <f t="shared" si="1"/>
        <v>3</v>
      </c>
      <c r="AA105" s="10">
        <f t="shared" si="2"/>
        <v>0</v>
      </c>
    </row>
    <row r="106">
      <c r="A106" s="8" t="str">
        <f>VLOOKUP($D106,Sheet6!$B:$G,5,FALSE)</f>
        <v>Sailkot</v>
      </c>
      <c r="B106" s="232" t="str">
        <f>VLOOKUP($D106,Sheet6!$B:$G,4,FALSE)</f>
        <v>Women Secular No Info Share</v>
      </c>
      <c r="C106" s="8">
        <v>3.0</v>
      </c>
      <c r="D106" s="8" t="s">
        <v>2092</v>
      </c>
      <c r="E106" s="244" t="str">
        <f>IFERROR(__xludf.DUMMYFUNCTION("IFERROR(
  INDEX(
    FILTER(
      Recording!$U:$U,
      TRIM(CLEAN(TEXT(Recording!$E:$E, ""@""))) = TRIM(CLEAN(TEXT($D106, ""@""))),
      Recording!$AA:$AA = 1
    ),
    1
  ),
  ""Not Found""
)
"),"https://drive.google.com/open?id=188qZcmQYILmryMOpP5ifK9X1I7n91rC_")</f>
        <v>https://drive.google.com/open?id=188qZcmQYILmryMOpP5ifK9X1I7n91rC_</v>
      </c>
      <c r="F1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1!$E:$E"")=$D106) *
        (IMPORTRANGE(""https://docs.google.com/spreadsheets/d/161aHT6vVT3SLneTKD19N5qVWtnj_jIT8CSsOmUVKmaA"&amp;"/edit?gid=1761053510"",
          ""Haris_Form responses 1!$AQ:$AQ"")=1)
      ),
      1
    ),
    ""0""
  ),
  ""Form not found""
)
"),"1")</f>
        <v>1</v>
      </c>
      <c r="G106" s="245" t="str">
        <f>IFERROR(__xludf.DUMMYFUNCTION("IFERROR(
  INDEX(
    FILTER(
      Transcription!$AJ:$AJ,
      TRIM(CLEAN(TEXT(Transcription!$F:$F, ""@""))) = TRIM(CLEAN(TEXT($D106, ""@""))),
      Transcription!$AO:$AO = 1
    ),
    1
  ),
  ""Not Found""
)
"),"https://drive.google.com/open?id=13TfWvyx-aM6g4y9pDEBfkwkozAvlo_3g")</f>
        <v>https://drive.google.com/open?id=13TfWvyx-aM6g4y9pDEBfkwkozAvlo_3g</v>
      </c>
      <c r="H106" s="244" t="str">
        <f>IFERROR(__xludf.DUMMYFUNCTION("IFERROR(
  INDEX(
    FILTER(
      Recording!$U:$U,
      TRIM(CLEAN(TEXT(Recording!$E:$E, ""@""))) = TRIM(CLEAN(TEXT($D106, ""@""))),
      Recording!$AA:$AA = 2
    ),
    1
  ),
  ""Not Found""
)
"),"https://drive.google.com/open?id=1sugPYSD-EFCv9i3BUAXVgH7Z6c24zKEu")</f>
        <v>https://drive.google.com/open?id=1sugPYSD-EFCv9i3BUAXVgH7Z6c24zKEu</v>
      </c>
      <c r="I1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1!$E:$E"")=$D106) *
        (IMPORTRANGE(""https://docs.google.com/spreadsheets/d/161aHT6vVT3SLneTKD19N5qVWtnj_jIT8CSsOmUVKmaA"&amp;"/edit?gid=1761053510"",
          ""Haris_Form responses 1!$AQ:$AQ"")=2)
      ),
      1
    ),
    ""0""
  ),
  ""Form not found""
)
"),"2")</f>
        <v>2</v>
      </c>
      <c r="J106" s="245" t="str">
        <f>IFERROR(__xludf.DUMMYFUNCTION("IFERROR(
  INDEX(
    FILTER(
      Transcription!$AJ:$AJ,
      TRIM(CLEAN(TEXT(Transcription!$F:$F, ""@""))) = TRIM(CLEAN(TEXT($D106, ""@""))),
      Transcription!$AO:$AO = 2
    ),
    1
  ),
  ""Not Found""
)
"),"https://drive.google.com/open?id=1IrMke4_pYiw2PXdCZhRNZ6LIsTpdYPZE")</f>
        <v>https://drive.google.com/open?id=1IrMke4_pYiw2PXdCZhRNZ6LIsTpdYPZE</v>
      </c>
      <c r="K106" s="244" t="str">
        <f>IFERROR(__xludf.DUMMYFUNCTION("IFERROR(
  INDEX(
    FILTER(
      Recording!$U:$U,
      TRIM(CLEAN(TEXT(Recording!$E:$E, ""@""))) = TRIM(CLEAN(TEXT($D106, ""@""))),
      Recording!$AA:$AA = 3
    ),
    1
  ),
  ""Not Found""
)
"),"https://drive.google.com/open?id=1SuOs5-p_r02aGjll-6Jm--mOWUlkJNC9")</f>
        <v>https://drive.google.com/open?id=1SuOs5-p_r02aGjll-6Jm--mOWUlkJNC9</v>
      </c>
      <c r="L1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1!$E:$E"")=$D106) *
        (IMPORTRANGE(""https://docs.google.com/spreadsheets/d/161aHT6vVT3SLneTKD19N5qVWtnj_jIT8CSsOmUVKmaA"&amp;"/edit?gid=1761053510"",
          ""Haris_Form responses 1!$AQ:$AQ"")=3)
      ),
      1
    ),
    ""0""
  ),
  ""Form not found""
)
"),"3")</f>
        <v>3</v>
      </c>
      <c r="M106" s="245" t="str">
        <f>IFERROR(__xludf.DUMMYFUNCTION("IFERROR(
  INDEX(
    FILTER(
      Transcription!$AJ:$AJ,
      TRIM(CLEAN(TEXT(Transcription!$F:$F, ""@""))) = TRIM(CLEAN(TEXT($D106, ""@""))),
      Transcription!$AO:$AO = 3
    ),
    1
  ),
  ""Not Found""
)
"),"https://drive.google.com/open?id=1posjZBYfiqa1QPSvQxI9qVH5V2vL78Ke")</f>
        <v>https://drive.google.com/open?id=1posjZBYfiqa1QPSvQxI9qVH5V2vL78Ke</v>
      </c>
      <c r="N106" s="246" t="str">
        <f>IFERROR(__xludf.DUMMYFUNCTION("IFERROR(
  INDEX(
    FILTER(
      Recording!$U:$U,
      TRIM(CLEAN(TEXT(Recording!$E:$E, ""@""))) = TRIM(CLEAN(TEXT($D106, ""@""))),
      Recording!$AA:$AA = 4
    ),
    1
  ),
  ""Not Found""
)
"),"Not Found")</f>
        <v>Not Found</v>
      </c>
      <c r="O1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1!$E:$E"")=$D106) *
        (IMPORTRANGE(""https://docs.google.com/spreadsheets/d/161aHT6vVT3SLneTKD19N5qVWtnj_jIT8CSsOmUVKmaA"&amp;"/edit?gid=1761053510"",
          ""Haris_Form responses 1!$AQ:$AQ"")=4)
      ),
      1
    ),
    ""0""
  ),
  ""Form not found""
)
"),"Form not found")</f>
        <v>Form not found</v>
      </c>
      <c r="P106" s="247" t="str">
        <f>IFERROR(__xludf.DUMMYFUNCTION("IFERROR(
  INDEX(
    FILTER(
      Transcription!$AJ:$AJ,
      TRIM(CLEAN(TEXT(Transcription!$F:$F, ""@""))) = TRIM(CLEAN(TEXT($D106, ""@""))),
      Transcription!$AO:$AO = 4
    ),
    1
  ),
  ""Not Found""
)
"),"Not Found")</f>
        <v>Not Found</v>
      </c>
      <c r="Q106" s="246" t="str">
        <f>IFERROR(__xludf.DUMMYFUNCTION("IFERROR(
  INDEX(
    FILTER(
      Recording!$U:$U,
      TRIM(CLEAN(TEXT(Recording!$E:$E, ""@""))) = TRIM(CLEAN(TEXT($D106, ""@""))),
      Recording!$AA:$AA = 5
    ),
    1
  ),
  ""Not Found""
)
"),"Not Found")</f>
        <v>Not Found</v>
      </c>
      <c r="R1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1!$E:$E"")=$D106) *
        (IMPORTRANGE(""https://docs.google.com/spreadsheets/d/161aHT6vVT3SLneTKD19N5qVWtnj_jIT8CSsOmUVKmaA"&amp;"/edit?gid=1761053510"",
          ""Haris_Form responses 1!$AQ:$AQ"")=5)
      ),
      1
    ),
    ""0""
  ),
  ""Form not found""
)
"),"Form not found")</f>
        <v>Form not found</v>
      </c>
      <c r="S106" s="247" t="str">
        <f>IFERROR(__xludf.DUMMYFUNCTION("IFERROR(
  INDEX(
    FILTER(
      Transcription!$AJ:$AJ,
      TRIM(CLEAN(TEXT(Transcription!$F:$F, ""@""))) = TRIM(CLEAN(TEXT($D106, ""@""))),
      Transcription!$AO:$AO = 5
    ),
    1
  ),
  ""Not Found""
)
"),"Not Found")</f>
        <v>Not Found</v>
      </c>
      <c r="T106" s="249" t="str">
        <f>IFERROR(__xludf.DUMMYFUNCTION("IFERROR(
  INDEX(
    FILTER(
      Recording!$U:$U,
      TRIM(CLEAN(TEXT(Recording!$E:$E, ""@""))) = TRIM(CLEAN(TEXT($D106, ""@""))),
      Recording!$AA:$AA = 6
    ),
    1
  ),
  ""Not Found""
)
"),"Not Found")</f>
        <v>Not Found</v>
      </c>
      <c r="U1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1!$E:$E"")=$D106) *
        (IMPORTRANGE(""https://docs.google.com/spreadsheets/d/161aHT6vVT3SLneTKD19N5qVWtnj_jIT8CSsOmUVKmaA"&amp;"/edit?gid=1761053510"",
          ""Haris_Form responses 1!$AQ:$AQ"")=6)
      ),
      1
    ),
    ""0""
  ),
  ""Form not found""
)
"),"Form not found")</f>
        <v>Form not found</v>
      </c>
      <c r="V106" s="247" t="str">
        <f>IFERROR(__xludf.DUMMYFUNCTION("IFERROR(
  INDEX(
    FILTER(
      Transcription!$AJ:$AJ,
      TRIM(CLEAN(TEXT(Transcription!$F:$F, ""@""))) = TRIM(CLEAN(TEXT($D106, ""@""))),
      Transcription!$AO:$AO = 6
    ),
    1
  ),
  ""Not Found""
)
"),"Not Found")</f>
        <v>Not Found</v>
      </c>
      <c r="Z106" s="10">
        <f t="shared" si="1"/>
        <v>3</v>
      </c>
      <c r="AA106" s="10">
        <f t="shared" si="2"/>
        <v>0</v>
      </c>
    </row>
    <row r="107">
      <c r="A107" s="8" t="str">
        <f>VLOOKUP($D107,Sheet6!$B:$G,5,FALSE)</f>
        <v>Sailkot</v>
      </c>
      <c r="B107" s="232" t="str">
        <f>VLOOKUP($D107,Sheet6!$B:$G,4,FALSE)</f>
        <v>Women Secular No Info Share</v>
      </c>
      <c r="C107" s="8">
        <v>3.0</v>
      </c>
      <c r="D107" s="8" t="s">
        <v>2537</v>
      </c>
      <c r="E107" s="244" t="str">
        <f>IFERROR(__xludf.DUMMYFUNCTION("IFERROR(
  INDEX(
    FILTER(
      Recording!$U:$U,
      TRIM(CLEAN(TEXT(Recording!$E:$E, ""@""))) = TRIM(CLEAN(TEXT($D107, ""@""))),
      Recording!$AA:$AA = 1
    ),
    1
  ),
  ""Not Found""
)
"),"https://drive.google.com/open?id=1_Ln9AXybrNYRjOKjFXmKY8FXihiNwOrb")</f>
        <v>https://drive.google.com/open?id=1_Ln9AXybrNYRjOKjFXmKY8FXihiNwOrb</v>
      </c>
      <c r="F1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1!$E:$E"")=$D107) *
        (IMPORTRANGE(""https://docs.google.com/spreadsheets/d/161aHT6vVT3SLneTKD19N5qVWtnj_jIT8CSsOmUVKmaA"&amp;"/edit?gid=1761053510"",
          ""Haris_Form responses 1!$AQ:$AQ"")=1)
      ),
      1
    ),
    ""0""
  ),
  ""Form not found""
)
"),"1")</f>
        <v>1</v>
      </c>
      <c r="G107" s="245" t="str">
        <f>IFERROR(__xludf.DUMMYFUNCTION("IFERROR(
  INDEX(
    FILTER(
      Transcription!$AJ:$AJ,
      TRIM(CLEAN(TEXT(Transcription!$F:$F, ""@""))) = TRIM(CLEAN(TEXT($D107, ""@""))),
      Transcription!$AO:$AO = 1
    ),
    1
  ),
  ""Not Found""
)
"),"https://drive.google.com/open?id=1CvbYDI0ptbl8L3jlY1ojmIecXxVv78fZ")</f>
        <v>https://drive.google.com/open?id=1CvbYDI0ptbl8L3jlY1ojmIecXxVv78fZ</v>
      </c>
      <c r="H107" s="244" t="str">
        <f>IFERROR(__xludf.DUMMYFUNCTION("IFERROR(
  INDEX(
    FILTER(
      Recording!$U:$U,
      TRIM(CLEAN(TEXT(Recording!$E:$E, ""@""))) = TRIM(CLEAN(TEXT($D107, ""@""))),
      Recording!$AA:$AA = 2
    ),
    1
  ),
  ""Not Found""
)
"),"https://drive.google.com/open?id=1KUWOu7oAN0EOCLTlC8vpCFbV1VY09h9k")</f>
        <v>https://drive.google.com/open?id=1KUWOu7oAN0EOCLTlC8vpCFbV1VY09h9k</v>
      </c>
      <c r="I1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1!$E:$E"")=$D107) *
        (IMPORTRANGE(""https://docs.google.com/spreadsheets/d/161aHT6vVT3SLneTKD19N5qVWtnj_jIT8CSsOmUVKmaA"&amp;"/edit?gid=1761053510"",
          ""Haris_Form responses 1!$AQ:$AQ"")=2)
      ),
      1
    ),
    ""0""
  ),
  ""Form not found""
)
"),"2")</f>
        <v>2</v>
      </c>
      <c r="J107" s="245" t="str">
        <f>IFERROR(__xludf.DUMMYFUNCTION("IFERROR(
  INDEX(
    FILTER(
      Transcription!$AJ:$AJ,
      TRIM(CLEAN(TEXT(Transcription!$F:$F, ""@""))) = TRIM(CLEAN(TEXT($D107, ""@""))),
      Transcription!$AO:$AO = 2
    ),
    1
  ),
  ""Not Found""
)
"),"https://drive.google.com/open?id=1hz-tyQHcODUeUAIDeBtFZH_v2noy2UJv")</f>
        <v>https://drive.google.com/open?id=1hz-tyQHcODUeUAIDeBtFZH_v2noy2UJv</v>
      </c>
      <c r="K107" s="244" t="str">
        <f>IFERROR(__xludf.DUMMYFUNCTION("IFERROR(
  INDEX(
    FILTER(
      Recording!$U:$U,
      TRIM(CLEAN(TEXT(Recording!$E:$E, ""@""))) = TRIM(CLEAN(TEXT($D107, ""@""))),
      Recording!$AA:$AA = 3
    ),
    1
  ),
  ""Not Found""
)
"),"https://drive.google.com/open?id=1P-I9H7iGnUrf4hVWOYQZJ3lLvZF2doeN")</f>
        <v>https://drive.google.com/open?id=1P-I9H7iGnUrf4hVWOYQZJ3lLvZF2doeN</v>
      </c>
      <c r="L1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1!$E:$E"")=$D107) *
        (IMPORTRANGE(""https://docs.google.com/spreadsheets/d/161aHT6vVT3SLneTKD19N5qVWtnj_jIT8CSsOmUVKmaA"&amp;"/edit?gid=1761053510"",
          ""Haris_Form responses 1!$AQ:$AQ"")=3)
      ),
      1
    ),
    ""0""
  ),
  ""Form not found""
)
"),"3")</f>
        <v>3</v>
      </c>
      <c r="M107" s="245" t="str">
        <f>IFERROR(__xludf.DUMMYFUNCTION("IFERROR(
  INDEX(
    FILTER(
      Transcription!$AJ:$AJ,
      TRIM(CLEAN(TEXT(Transcription!$F:$F, ""@""))) = TRIM(CLEAN(TEXT($D107, ""@""))),
      Transcription!$AO:$AO = 3
    ),
    1
  ),
  ""Not Found""
)
"),"https://drive.google.com/open?id=1DwcgWCRVqEMyqjyvWqFchNoZUfgpMdgJ")</f>
        <v>https://drive.google.com/open?id=1DwcgWCRVqEMyqjyvWqFchNoZUfgpMdgJ</v>
      </c>
      <c r="N107" s="246" t="str">
        <f>IFERROR(__xludf.DUMMYFUNCTION("IFERROR(
  INDEX(
    FILTER(
      Recording!$U:$U,
      TRIM(CLEAN(TEXT(Recording!$E:$E, ""@""))) = TRIM(CLEAN(TEXT($D107, ""@""))),
      Recording!$AA:$AA = 4
    ),
    1
  ),
  ""Not Found""
)
"),"Not Found")</f>
        <v>Not Found</v>
      </c>
      <c r="O1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1!$E:$E"")=$D107) *
        (IMPORTRANGE(""https://docs.google.com/spreadsheets/d/161aHT6vVT3SLneTKD19N5qVWtnj_jIT8CSsOmUVKmaA"&amp;"/edit?gid=1761053510"",
          ""Haris_Form responses 1!$AQ:$AQ"")=4)
      ),
      1
    ),
    ""0""
  ),
  ""Form not found""
)
"),"Form not found")</f>
        <v>Form not found</v>
      </c>
      <c r="P107" s="247" t="str">
        <f>IFERROR(__xludf.DUMMYFUNCTION("IFERROR(
  INDEX(
    FILTER(
      Transcription!$AJ:$AJ,
      TRIM(CLEAN(TEXT(Transcription!$F:$F, ""@""))) = TRIM(CLEAN(TEXT($D107, ""@""))),
      Transcription!$AO:$AO = 4
    ),
    1
  ),
  ""Not Found""
)
"),"Not Found")</f>
        <v>Not Found</v>
      </c>
      <c r="Q107" s="246" t="str">
        <f>IFERROR(__xludf.DUMMYFUNCTION("IFERROR(
  INDEX(
    FILTER(
      Recording!$U:$U,
      TRIM(CLEAN(TEXT(Recording!$E:$E, ""@""))) = TRIM(CLEAN(TEXT($D107, ""@""))),
      Recording!$AA:$AA = 5
    ),
    1
  ),
  ""Not Found""
)
"),"Not Found")</f>
        <v>Not Found</v>
      </c>
      <c r="R1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1!$E:$E"")=$D107) *
        (IMPORTRANGE(""https://docs.google.com/spreadsheets/d/161aHT6vVT3SLneTKD19N5qVWtnj_jIT8CSsOmUVKmaA"&amp;"/edit?gid=1761053510"",
          ""Haris_Form responses 1!$AQ:$AQ"")=5)
      ),
      1
    ),
    ""0""
  ),
  ""Form not found""
)
"),"Form not found")</f>
        <v>Form not found</v>
      </c>
      <c r="S107" s="247" t="str">
        <f>IFERROR(__xludf.DUMMYFUNCTION("IFERROR(
  INDEX(
    FILTER(
      Transcription!$AJ:$AJ,
      TRIM(CLEAN(TEXT(Transcription!$F:$F, ""@""))) = TRIM(CLEAN(TEXT($D107, ""@""))),
      Transcription!$AO:$AO = 5
    ),
    1
  ),
  ""Not Found""
)
"),"Not Found")</f>
        <v>Not Found</v>
      </c>
      <c r="T107" s="249" t="str">
        <f>IFERROR(__xludf.DUMMYFUNCTION("IFERROR(
  INDEX(
    FILTER(
      Recording!$U:$U,
      TRIM(CLEAN(TEXT(Recording!$E:$E, ""@""))) = TRIM(CLEAN(TEXT($D107, ""@""))),
      Recording!$AA:$AA = 6
    ),
    1
  ),
  ""Not Found""
)
"),"Not Found")</f>
        <v>Not Found</v>
      </c>
      <c r="U1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1!$E:$E"")=$D107) *
        (IMPORTRANGE(""https://docs.google.com/spreadsheets/d/161aHT6vVT3SLneTKD19N5qVWtnj_jIT8CSsOmUVKmaA"&amp;"/edit?gid=1761053510"",
          ""Haris_Form responses 1!$AQ:$AQ"")=6)
      ),
      1
    ),
    ""0""
  ),
  ""Form not found""
)
"),"Form not found")</f>
        <v>Form not found</v>
      </c>
      <c r="V107" s="247" t="str">
        <f>IFERROR(__xludf.DUMMYFUNCTION("IFERROR(
  INDEX(
    FILTER(
      Transcription!$AJ:$AJ,
      TRIM(CLEAN(TEXT(Transcription!$F:$F, ""@""))) = TRIM(CLEAN(TEXT($D107, ""@""))),
      Transcription!$AO:$AO = 6
    ),
    1
  ),
  ""Not Found""
)
"),"Not Found")</f>
        <v>Not Found</v>
      </c>
      <c r="X107" s="8" t="s">
        <v>4564</v>
      </c>
      <c r="Z107" s="10">
        <f t="shared" si="1"/>
        <v>3</v>
      </c>
      <c r="AA107" s="10">
        <f t="shared" si="2"/>
        <v>0</v>
      </c>
    </row>
    <row r="108">
      <c r="A108" s="8" t="str">
        <f>VLOOKUP($D108,Sheet6!$B:$G,5,FALSE)</f>
        <v>Shiekhupura</v>
      </c>
      <c r="B108" s="232" t="str">
        <f>VLOOKUP($D108,Sheet6!$B:$G,4,FALSE)</f>
        <v>Community Religious No Info Share</v>
      </c>
      <c r="C108" s="8">
        <v>3.0</v>
      </c>
      <c r="D108" s="8" t="s">
        <v>1491</v>
      </c>
      <c r="E108" s="244" t="str">
        <f>IFERROR(__xludf.DUMMYFUNCTION("IFERROR(
  INDEX(
    FILTER(
      Recording!$U:$U,
      TRIM(CLEAN(TEXT(Recording!$E:$E, ""@""))) = TRIM(CLEAN(TEXT($D108, ""@""))),
      Recording!$AA:$AA = 1
    ),
    1
  ),
  ""Not Found""
)
"),"https://drive.google.com/open?id=1ZHCraUjMGDwmuj1JCcxsBr0_aLMlJomS")</f>
        <v>https://drive.google.com/open?id=1ZHCraUjMGDwmuj1JCcxsBr0_aLMlJomS</v>
      </c>
      <c r="F1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1!$E:$E"")=$D108) *
        (IMPORTRANGE(""https://docs.google.com/spreadsheets/d/161aHT6vVT3SLneTKD19N5qVWtnj_jIT8CSsOmUVKmaA"&amp;"/edit?gid=1761053510"",
          ""Haris_Form responses 1!$AQ:$AQ"")=1)
      ),
      1
    ),
    ""0""
  ),
  ""Form not found""
)
"),"1")</f>
        <v>1</v>
      </c>
      <c r="G108" s="245" t="str">
        <f>IFERROR(__xludf.DUMMYFUNCTION("IFERROR(
  INDEX(
    FILTER(
      Transcription!$AJ:$AJ,
      TRIM(CLEAN(TEXT(Transcription!$F:$F, ""@""))) = TRIM(CLEAN(TEXT($D108, ""@""))),
      Transcription!$AO:$AO = 1
    ),
    1
  ),
  ""Not Found""
)
"),"https://drive.google.com/open?id=1Iyt_XWIyHKQPrqdxx6AmILw69ezH1y7y")</f>
        <v>https://drive.google.com/open?id=1Iyt_XWIyHKQPrqdxx6AmILw69ezH1y7y</v>
      </c>
      <c r="H108" s="244" t="str">
        <f>IFERROR(__xludf.DUMMYFUNCTION("IFERROR(
  INDEX(
    FILTER(
      Recording!$U:$U,
      TRIM(CLEAN(TEXT(Recording!$E:$E, ""@""))) = TRIM(CLEAN(TEXT($D108, ""@""))),
      Recording!$AA:$AA = 2
    ),
    1
  ),
  ""Not Found""
)
"),"https://drive.google.com/open?id=1zjE3KrzdbSR_z1C6Cx_b7waHjQcF5yZb")</f>
        <v>https://drive.google.com/open?id=1zjE3KrzdbSR_z1C6Cx_b7waHjQcF5yZb</v>
      </c>
      <c r="I1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1!$E:$E"")=$D108) *
        (IMPORTRANGE(""https://docs.google.com/spreadsheets/d/161aHT6vVT3SLneTKD19N5qVWtnj_jIT8CSsOmUVKmaA"&amp;"/edit?gid=1761053510"",
          ""Haris_Form responses 1!$AQ:$AQ"")=2)
      ),
      1
    ),
    ""0""
  ),
  ""Form not found""
)
"),"2")</f>
        <v>2</v>
      </c>
      <c r="J108" s="245" t="str">
        <f>IFERROR(__xludf.DUMMYFUNCTION("IFERROR(
  INDEX(
    FILTER(
      Transcription!$AJ:$AJ,
      TRIM(CLEAN(TEXT(Transcription!$F:$F, ""@""))) = TRIM(CLEAN(TEXT($D108, ""@""))),
      Transcription!$AO:$AO = 2
    ),
    1
  ),
  ""Not Found""
)
"),"https://drive.google.com/open?id=1Ybn0BcUtPMxnNQxhSK3OGyeZJZmOp31U")</f>
        <v>https://drive.google.com/open?id=1Ybn0BcUtPMxnNQxhSK3OGyeZJZmOp31U</v>
      </c>
      <c r="K108" s="244" t="str">
        <f>IFERROR(__xludf.DUMMYFUNCTION("IFERROR(
  INDEX(
    FILTER(
      Recording!$U:$U,
      TRIM(CLEAN(TEXT(Recording!$E:$E, ""@""))) = TRIM(CLEAN(TEXT($D108, ""@""))),
      Recording!$AA:$AA = 3
    ),
    1
  ),
  ""Not Found""
)
"),"https://drive.google.com/open?id=1hN4CAnATRIlwcXjnNJivMsMtKF2YhmQM")</f>
        <v>https://drive.google.com/open?id=1hN4CAnATRIlwcXjnNJivMsMtKF2YhmQM</v>
      </c>
      <c r="L1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1!$E:$E"")=$D108) *
        (IMPORTRANGE(""https://docs.google.com/spreadsheets/d/161aHT6vVT3SLneTKD19N5qVWtnj_jIT8CSsOmUVKmaA"&amp;"/edit?gid=1761053510"",
          ""Haris_Form responses 1!$AQ:$AQ"")=3)
      ),
      1
    ),
    ""0""
  ),
  ""Form not found""
)
"),"3")</f>
        <v>3</v>
      </c>
      <c r="M108" s="245" t="str">
        <f>IFERROR(__xludf.DUMMYFUNCTION("IFERROR(
  INDEX(
    FILTER(
      Transcription!$AJ:$AJ,
      TRIM(CLEAN(TEXT(Transcription!$F:$F, ""@""))) = TRIM(CLEAN(TEXT($D108, ""@""))),
      Transcription!$AO:$AO = 3
    ),
    1
  ),
  ""Not Found""
)
"),"https://drive.google.com/open?id=1TeCc5jH8knK0D_GVEfDrkgxr10WxAlZD")</f>
        <v>https://drive.google.com/open?id=1TeCc5jH8knK0D_GVEfDrkgxr10WxAlZD</v>
      </c>
      <c r="N108" s="246" t="str">
        <f>IFERROR(__xludf.DUMMYFUNCTION("IFERROR(
  INDEX(
    FILTER(
      Recording!$U:$U,
      TRIM(CLEAN(TEXT(Recording!$E:$E, ""@""))) = TRIM(CLEAN(TEXT($D108, ""@""))),
      Recording!$AA:$AA = 4
    ),
    1
  ),
  ""Not Found""
)
"),"Not Found")</f>
        <v>Not Found</v>
      </c>
      <c r="O1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1!$E:$E"")=$D108) *
        (IMPORTRANGE(""https://docs.google.com/spreadsheets/d/161aHT6vVT3SLneTKD19N5qVWtnj_jIT8CSsOmUVKmaA"&amp;"/edit?gid=1761053510"",
          ""Haris_Form responses 1!$AQ:$AQ"")=4)
      ),
      1
    ),
    ""0""
  ),
  ""Form not found""
)
"),"Form not found")</f>
        <v>Form not found</v>
      </c>
      <c r="P108" s="247" t="str">
        <f>IFERROR(__xludf.DUMMYFUNCTION("IFERROR(
  INDEX(
    FILTER(
      Transcription!$AJ:$AJ,
      TRIM(CLEAN(TEXT(Transcription!$F:$F, ""@""))) = TRIM(CLEAN(TEXT($D108, ""@""))),
      Transcription!$AO:$AO = 4
    ),
    1
  ),
  ""Not Found""
)
"),"Not Found")</f>
        <v>Not Found</v>
      </c>
      <c r="Q108" s="246" t="str">
        <f>IFERROR(__xludf.DUMMYFUNCTION("IFERROR(
  INDEX(
    FILTER(
      Recording!$U:$U,
      TRIM(CLEAN(TEXT(Recording!$E:$E, ""@""))) = TRIM(CLEAN(TEXT($D108, ""@""))),
      Recording!$AA:$AA = 5
    ),
    1
  ),
  ""Not Found""
)
"),"Not Found")</f>
        <v>Not Found</v>
      </c>
      <c r="R1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1!$E:$E"")=$D108) *
        (IMPORTRANGE(""https://docs.google.com/spreadsheets/d/161aHT6vVT3SLneTKD19N5qVWtnj_jIT8CSsOmUVKmaA"&amp;"/edit?gid=1761053510"",
          ""Haris_Form responses 1!$AQ:$AQ"")=5)
      ),
      1
    ),
    ""0""
  ),
  ""Form not found""
)
"),"Form not found")</f>
        <v>Form not found</v>
      </c>
      <c r="S108" s="247" t="str">
        <f>IFERROR(__xludf.DUMMYFUNCTION("IFERROR(
  INDEX(
    FILTER(
      Transcription!$AJ:$AJ,
      TRIM(CLEAN(TEXT(Transcription!$F:$F, ""@""))) = TRIM(CLEAN(TEXT($D108, ""@""))),
      Transcription!$AO:$AO = 5
    ),
    1
  ),
  ""Not Found""
)
"),"Not Found")</f>
        <v>Not Found</v>
      </c>
      <c r="T108" s="248" t="str">
        <f>IFERROR(__xludf.DUMMYFUNCTION("IFERROR(
  INDEX(
    FILTER(
      Recording!$U:$U,
      TRIM(CLEAN(TEXT(Recording!$E:$E, ""@""))) = TRIM(CLEAN(TEXT($D108, ""@""))),
      Recording!$AA:$AA = 6
    ),
    1
  ),
  ""Not Found""
)
"),"Not Found")</f>
        <v>Not Found</v>
      </c>
      <c r="U1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1!$E:$E"")=$D108) *
        (IMPORTRANGE(""https://docs.google.com/spreadsheets/d/161aHT6vVT3SLneTKD19N5qVWtnj_jIT8CSsOmUVKmaA"&amp;"/edit?gid=1761053510"",
          ""Haris_Form responses 1!$AQ:$AQ"")=6)
      ),
      1
    ),
    ""0""
  ),
  ""Form not found""
)
"),"Form not found")</f>
        <v>Form not found</v>
      </c>
      <c r="V108" s="247" t="str">
        <f>IFERROR(__xludf.DUMMYFUNCTION("IFERROR(
  INDEX(
    FILTER(
      Transcription!$AJ:$AJ,
      TRIM(CLEAN(TEXT(Transcription!$F:$F, ""@""))) = TRIM(CLEAN(TEXT($D108, ""@""))),
      Transcription!$AO:$AO = 6
    ),
    1
  ),
  ""Not Found""
)
"),"Not Found")</f>
        <v>Not Found</v>
      </c>
      <c r="Z108" s="10">
        <f t="shared" si="1"/>
        <v>3</v>
      </c>
      <c r="AA108" s="10">
        <f t="shared" si="2"/>
        <v>0</v>
      </c>
    </row>
    <row r="109">
      <c r="A109" s="8" t="str">
        <f>VLOOKUP($D109,Sheet6!$B:$G,5,FALSE)</f>
        <v>Shiekhupura</v>
      </c>
      <c r="B109" s="232" t="str">
        <f>VLOOKUP($D109,Sheet6!$B:$G,4,FALSE)</f>
        <v>Control</v>
      </c>
      <c r="C109" s="8">
        <v>2.0</v>
      </c>
      <c r="D109" s="8" t="s">
        <v>2015</v>
      </c>
      <c r="E109" s="244" t="str">
        <f>IFERROR(__xludf.DUMMYFUNCTION("IFERROR(
  INDEX(
    FILTER(
      Recording!$U:$U,
      TRIM(CLEAN(TEXT(Recording!$E:$E, ""@""))) = TRIM(CLEAN(TEXT($D109, ""@""))),
      Recording!$AA:$AA = 1
    ),
    1
  ),
  ""Not Found""
)
"),"https://drive.google.com/open?id=13o8li6z9Lv1eekScnodE09racX9Y8CLR")</f>
        <v>https://drive.google.com/open?id=13o8li6z9Lv1eekScnodE09racX9Y8CLR</v>
      </c>
      <c r="F1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1!$E:$E"")=$D109) *
        (IMPORTRANGE(""https://docs.google.com/spreadsheets/d/161aHT6vVT3SLneTKD19N5qVWtnj_jIT8CSsOmUVKmaA"&amp;"/edit?gid=1761053510"",
          ""Haris_Form responses 1!$AQ:$AQ"")=1)
      ),
      1
    ),
    ""0""
  ),
  ""Form not found""
)
"),"1")</f>
        <v>1</v>
      </c>
      <c r="G109" s="245" t="str">
        <f>IFERROR(__xludf.DUMMYFUNCTION("IFERROR(
  INDEX(
    FILTER(
      Transcription!$AJ:$AJ,
      TRIM(CLEAN(TEXT(Transcription!$F:$F, ""@""))) = TRIM(CLEAN(TEXT($D109, ""@""))),
      Transcription!$AO:$AO = 1
    ),
    1
  ),
  ""Not Found""
)
"),"https://drive.google.com/open?id=1u4DtymKGK5i-2WPEkt4GfrigOS8_wOxq")</f>
        <v>https://drive.google.com/open?id=1u4DtymKGK5i-2WPEkt4GfrigOS8_wOxq</v>
      </c>
      <c r="H109" s="246" t="str">
        <f>IFERROR(__xludf.DUMMYFUNCTION("IFERROR(
  INDEX(
    FILTER(
      Recording!$U:$U,
      TRIM(CLEAN(TEXT(Recording!$E:$E, ""@""))) = TRIM(CLEAN(TEXT($D109, ""@""))),
      Recording!$AA:$AA = 2
    ),
    1
  ),
  ""Not Found""
)
"),"Not Found")</f>
        <v>Not Found</v>
      </c>
      <c r="I1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1!$E:$E"")=$D109) *
        (IMPORTRANGE(""https://docs.google.com/spreadsheets/d/161aHT6vVT3SLneTKD19N5qVWtnj_jIT8CSsOmUVKmaA"&amp;"/edit?gid=1761053510"",
          ""Haris_Form responses 1!$AQ:$AQ"")=2)
      ),
      1
    ),
    ""0""
  ),
  ""Form not found""
)
"),"Form not found")</f>
        <v>Form not found</v>
      </c>
      <c r="J109" s="247" t="str">
        <f>IFERROR(__xludf.DUMMYFUNCTION("IFERROR(
  INDEX(
    FILTER(
      Transcription!$AJ:$AJ,
      TRIM(CLEAN(TEXT(Transcription!$F:$F, ""@""))) = TRIM(CLEAN(TEXT($D109, ""@""))),
      Transcription!$AO:$AO = 2
    ),
    1
  ),
  ""Not Found""
)
"),"Not Found")</f>
        <v>Not Found</v>
      </c>
      <c r="K109" s="244" t="str">
        <f>IFERROR(__xludf.DUMMYFUNCTION("IFERROR(
  INDEX(
    FILTER(
      Recording!$U:$U,
      TRIM(CLEAN(TEXT(Recording!$E:$E, ""@""))) = TRIM(CLEAN(TEXT($D109, ""@""))),
      Recording!$AA:$AA = 3
    ),
    1
  ),
  ""Not Found""
)
"),"https://drive.google.com/file/d/1I4qXJ33kCmfHpPU_08Idy41qKd0sNDUp/view?usp=drive_link")</f>
        <v>https://drive.google.com/file/d/1I4qXJ33kCmfHpPU_08Idy41qKd0sNDUp/view?usp=drive_link</v>
      </c>
      <c r="L1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1!$E:$E"")=$D109) *
        (IMPORTRANGE(""https://docs.google.com/spreadsheets/d/161aHT6vVT3SLneTKD19N5qVWtnj_jIT8CSsOmUVKmaA"&amp;"/edit?gid=1761053510"",
          ""Haris_Form responses 1!$AQ:$AQ"")=3)
      ),
      1
    ),
    ""0""
  ),
  ""Form not found""
)
"),"3")</f>
        <v>3</v>
      </c>
      <c r="M109" s="245" t="str">
        <f>IFERROR(__xludf.DUMMYFUNCTION("IFERROR(
  INDEX(
    FILTER(
      Transcription!$AJ:$AJ,
      TRIM(CLEAN(TEXT(Transcription!$F:$F, ""@""))) = TRIM(CLEAN(TEXT($D109, ""@""))),
      Transcription!$AO:$AO = 3
    ),
    1
  ),
  ""Not Found""
)
"),"https://drive.google.com/open?id=1byMhNS3VcvPWXkP_Hu02eHahVAtlp4ZZ")</f>
        <v>https://drive.google.com/open?id=1byMhNS3VcvPWXkP_Hu02eHahVAtlp4ZZ</v>
      </c>
      <c r="N109" s="246" t="str">
        <f>IFERROR(__xludf.DUMMYFUNCTION("IFERROR(
  INDEX(
    FILTER(
      Recording!$U:$U,
      TRIM(CLEAN(TEXT(Recording!$E:$E, ""@""))) = TRIM(CLEAN(TEXT($D109, ""@""))),
      Recording!$AA:$AA = 4
    ),
    1
  ),
  ""Not Found""
)
"),"Not Found")</f>
        <v>Not Found</v>
      </c>
      <c r="O1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1!$E:$E"")=$D109) *
        (IMPORTRANGE(""https://docs.google.com/spreadsheets/d/161aHT6vVT3SLneTKD19N5qVWtnj_jIT8CSsOmUVKmaA"&amp;"/edit?gid=1761053510"",
          ""Haris_Form responses 1!$AQ:$AQ"")=4)
      ),
      1
    ),
    ""0""
  ),
  ""Form not found""
)
"),"Form not found")</f>
        <v>Form not found</v>
      </c>
      <c r="P109" s="247" t="str">
        <f>IFERROR(__xludf.DUMMYFUNCTION("IFERROR(
  INDEX(
    FILTER(
      Transcription!$AJ:$AJ,
      TRIM(CLEAN(TEXT(Transcription!$F:$F, ""@""))) = TRIM(CLEAN(TEXT($D109, ""@""))),
      Transcription!$AO:$AO = 4
    ),
    1
  ),
  ""Not Found""
)
"),"Not Found")</f>
        <v>Not Found</v>
      </c>
      <c r="Q109" s="246" t="str">
        <f>IFERROR(__xludf.DUMMYFUNCTION("IFERROR(
  INDEX(
    FILTER(
      Recording!$U:$U,
      TRIM(CLEAN(TEXT(Recording!$E:$E, ""@""))) = TRIM(CLEAN(TEXT($D109, ""@""))),
      Recording!$AA:$AA = 5
    ),
    1
  ),
  ""Not Found""
)
"),"Not Found")</f>
        <v>Not Found</v>
      </c>
      <c r="R1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1!$E:$E"")=$D109) *
        (IMPORTRANGE(""https://docs.google.com/spreadsheets/d/161aHT6vVT3SLneTKD19N5qVWtnj_jIT8CSsOmUVKmaA"&amp;"/edit?gid=1761053510"",
          ""Haris_Form responses 1!$AQ:$AQ"")=5)
      ),
      1
    ),
    ""0""
  ),
  ""Form not found""
)
"),"Form not found")</f>
        <v>Form not found</v>
      </c>
      <c r="S109" s="247" t="str">
        <f>IFERROR(__xludf.DUMMYFUNCTION("IFERROR(
  INDEX(
    FILTER(
      Transcription!$AJ:$AJ,
      TRIM(CLEAN(TEXT(Transcription!$F:$F, ""@""))) = TRIM(CLEAN(TEXT($D109, ""@""))),
      Transcription!$AO:$AO = 5
    ),
    1
  ),
  ""Not Found""
)
"),"Not Found")</f>
        <v>Not Found</v>
      </c>
      <c r="T109" s="246" t="str">
        <f>IFERROR(__xludf.DUMMYFUNCTION("IFERROR(
  INDEX(
    FILTER(
      Recording!$U:$U,
      TRIM(CLEAN(TEXT(Recording!$E:$E, ""@""))) = TRIM(CLEAN(TEXT($D109, ""@""))),
      Recording!$AA:$AA = 6
    ),
    1
  ),
  ""Not Found""
)
"),"Not Found")</f>
        <v>Not Found</v>
      </c>
      <c r="U1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1!$E:$E"")=$D109) *
        (IMPORTRANGE(""https://docs.google.com/spreadsheets/d/161aHT6vVT3SLneTKD19N5qVWtnj_jIT8CSsOmUVKmaA"&amp;"/edit?gid=1761053510"",
          ""Haris_Form responses 1!$AQ:$AQ"")=6)
      ),
      1
    ),
    ""0""
  ),
  ""Form not found""
)
"),"Form not found")</f>
        <v>Form not found</v>
      </c>
      <c r="V109" s="247" t="str">
        <f>IFERROR(__xludf.DUMMYFUNCTION("IFERROR(
  INDEX(
    FILTER(
      Transcription!$AJ:$AJ,
      TRIM(CLEAN(TEXT(Transcription!$F:$F, ""@""))) = TRIM(CLEAN(TEXT($D109, ""@""))),
      Transcription!$AO:$AO = 6
    ),
    1
  ),
  ""Not Found""
)
"),"Not Found")</f>
        <v>Not Found</v>
      </c>
      <c r="W109" s="250"/>
      <c r="X109" s="250"/>
      <c r="Y109" s="253"/>
      <c r="Z109" s="10">
        <f t="shared" si="1"/>
        <v>2</v>
      </c>
      <c r="AA109" s="10">
        <f t="shared" si="2"/>
        <v>0</v>
      </c>
    </row>
    <row r="110">
      <c r="A110" s="8" t="str">
        <f>VLOOKUP($D110,Sheet6!$B:$G,5,FALSE)</f>
        <v>Shiekhupura</v>
      </c>
      <c r="B110" s="232" t="str">
        <f>VLOOKUP($D110,Sheet6!$B:$G,4,FALSE)</f>
        <v>Community Religious No Info Share</v>
      </c>
      <c r="C110" s="8">
        <v>3.0</v>
      </c>
      <c r="D110" s="8" t="s">
        <v>1423</v>
      </c>
      <c r="E110" s="244" t="str">
        <f>IFERROR(__xludf.DUMMYFUNCTION("IFERROR(
  INDEX(
    FILTER(
      Recording!$U:$U,
      TRIM(CLEAN(TEXT(Recording!$E:$E, ""@""))) = TRIM(CLEAN(TEXT($D110, ""@""))),
      Recording!$AA:$AA = 1
    ),
    1
  ),
  ""Not Found""
)
"),"https://drive.google.com/open?id=1aG_lPdlkD2AJrteY90cHiQBE_tMKe1n3")</f>
        <v>https://drive.google.com/open?id=1aG_lPdlkD2AJrteY90cHiQBE_tMKe1n3</v>
      </c>
      <c r="F1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1!$E:$E"")=$D110) *
        (IMPORTRANGE(""https://docs.google.com/spreadsheets/d/161aHT6vVT3SLneTKD19N5qVWtnj_jIT8CSsOmUVKmaA"&amp;"/edit?gid=1761053510"",
          ""Haris_Form responses 1!$AQ:$AQ"")=1)
      ),
      1
    ),
    ""0""
  ),
  ""Form not found""
)
"),"1")</f>
        <v>1</v>
      </c>
      <c r="G110" s="245" t="str">
        <f>IFERROR(__xludf.DUMMYFUNCTION("IFERROR(
  INDEX(
    FILTER(
      Transcription!$AJ:$AJ,
      TRIM(CLEAN(TEXT(Transcription!$F:$F, ""@""))) = TRIM(CLEAN(TEXT($D110, ""@""))),
      Transcription!$AO:$AO = 1
    ),
    1
  ),
  ""Not Found""
)
"),"https://drive.google.com/open?id=1UlkzXspLbT29hlANoAS1cBWUSR7jLcUT")</f>
        <v>https://drive.google.com/open?id=1UlkzXspLbT29hlANoAS1cBWUSR7jLcUT</v>
      </c>
      <c r="H110" s="244" t="str">
        <f>IFERROR(__xludf.DUMMYFUNCTION("IFERROR(
  INDEX(
    FILTER(
      Recording!$U:$U,
      TRIM(CLEAN(TEXT(Recording!$E:$E, ""@""))) = TRIM(CLEAN(TEXT($D110, ""@""))),
      Recording!$AA:$AA = 2
    ),
    1
  ),
  ""Not Found""
)
"),"https://drive.google.com/open?id=1n6_LK-XExxokeY5R157brhnv04pvjsob")</f>
        <v>https://drive.google.com/open?id=1n6_LK-XExxokeY5R157brhnv04pvjsob</v>
      </c>
      <c r="I1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1!$E:$E"")=$D110) *
        (IMPORTRANGE(""https://docs.google.com/spreadsheets/d/161aHT6vVT3SLneTKD19N5qVWtnj_jIT8CSsOmUVKmaA"&amp;"/edit?gid=1761053510"",
          ""Haris_Form responses 1!$AQ:$AQ"")=2)
      ),
      1
    ),
    ""0""
  ),
  ""Form not found""
)
"),"2")</f>
        <v>2</v>
      </c>
      <c r="J110" s="245" t="str">
        <f>IFERROR(__xludf.DUMMYFUNCTION("IFERROR(
  INDEX(
    FILTER(
      Transcription!$AJ:$AJ,
      TRIM(CLEAN(TEXT(Transcription!$F:$F, ""@""))) = TRIM(CLEAN(TEXT($D110, ""@""))),
      Transcription!$AO:$AO = 2
    ),
    1
  ),
  ""Not Found""
)
"),"https://drive.google.com/open?id=1FeknjztnM9Md5u60mT_Zqs9kG1wQnZiK")</f>
        <v>https://drive.google.com/open?id=1FeknjztnM9Md5u60mT_Zqs9kG1wQnZiK</v>
      </c>
      <c r="K110" s="244" t="str">
        <f>IFERROR(__xludf.DUMMYFUNCTION("IFERROR(
  INDEX(
    FILTER(
      Recording!$U:$U,
      TRIM(CLEAN(TEXT(Recording!$E:$E, ""@""))) = TRIM(CLEAN(TEXT($D110, ""@""))),
      Recording!$AA:$AA = 3
    ),
    1
  ),
  ""Not Found""
)
"),"https://drive.google.com/open?id=1QzqUN0asolro6kPpb1atqziA_5CbNVRf")</f>
        <v>https://drive.google.com/open?id=1QzqUN0asolro6kPpb1atqziA_5CbNVRf</v>
      </c>
      <c r="L1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1!$E:$E"")=$D110) *
        (IMPORTRANGE(""https://docs.google.com/spreadsheets/d/161aHT6vVT3SLneTKD19N5qVWtnj_jIT8CSsOmUVKmaA"&amp;"/edit?gid=1761053510"",
          ""Haris_Form responses 1!$AQ:$AQ"")=3)
      ),
      1
    ),
    ""0""
  ),
  ""Form not found""
)
"),"3")</f>
        <v>3</v>
      </c>
      <c r="M110" s="245" t="str">
        <f>IFERROR(__xludf.DUMMYFUNCTION("IFERROR(
  INDEX(
    FILTER(
      Transcription!$AJ:$AJ,
      TRIM(CLEAN(TEXT(Transcription!$F:$F, ""@""))) = TRIM(CLEAN(TEXT($D110, ""@""))),
      Transcription!$AO:$AO = 3
    ),
    1
  ),
  ""Not Found""
)
"),"https://drive.google.com/open?id=1fp99a_STWC8_K5OSTeVplPqYHreuBXdXITcP0poqPGs")</f>
        <v>https://drive.google.com/open?id=1fp99a_STWC8_K5OSTeVplPqYHreuBXdXITcP0poqPGs</v>
      </c>
      <c r="N110" s="246" t="str">
        <f>IFERROR(__xludf.DUMMYFUNCTION("IFERROR(
  INDEX(
    FILTER(
      Recording!$U:$U,
      TRIM(CLEAN(TEXT(Recording!$E:$E, ""@""))) = TRIM(CLEAN(TEXT($D110, ""@""))),
      Recording!$AA:$AA = 4
    ),
    1
  ),
  ""Not Found""
)
"),"Not Found")</f>
        <v>Not Found</v>
      </c>
      <c r="O1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1!$E:$E"")=$D110) *
        (IMPORTRANGE(""https://docs.google.com/spreadsheets/d/161aHT6vVT3SLneTKD19N5qVWtnj_jIT8CSsOmUVKmaA"&amp;"/edit?gid=1761053510"",
          ""Haris_Form responses 1!$AQ:$AQ"")=4)
      ),
      1
    ),
    ""0""
  ),
  ""Form not found""
)
"),"Form not found")</f>
        <v>Form not found</v>
      </c>
      <c r="P110" s="247" t="str">
        <f>IFERROR(__xludf.DUMMYFUNCTION("IFERROR(
  INDEX(
    FILTER(
      Transcription!$AJ:$AJ,
      TRIM(CLEAN(TEXT(Transcription!$F:$F, ""@""))) = TRIM(CLEAN(TEXT($D110, ""@""))),
      Transcription!$AO:$AO = 4
    ),
    1
  ),
  ""Not Found""
)
"),"Not Found")</f>
        <v>Not Found</v>
      </c>
      <c r="Q110" s="246" t="str">
        <f>IFERROR(__xludf.DUMMYFUNCTION("IFERROR(
  INDEX(
    FILTER(
      Recording!$U:$U,
      TRIM(CLEAN(TEXT(Recording!$E:$E, ""@""))) = TRIM(CLEAN(TEXT($D110, ""@""))),
      Recording!$AA:$AA = 5
    ),
    1
  ),
  ""Not Found""
)
"),"Not Found")</f>
        <v>Not Found</v>
      </c>
      <c r="R1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1!$E:$E"")=$D110) *
        (IMPORTRANGE(""https://docs.google.com/spreadsheets/d/161aHT6vVT3SLneTKD19N5qVWtnj_jIT8CSsOmUVKmaA"&amp;"/edit?gid=1761053510"",
          ""Haris_Form responses 1!$AQ:$AQ"")=5)
      ),
      1
    ),
    ""0""
  ),
  ""Form not found""
)
"),"Form not found")</f>
        <v>Form not found</v>
      </c>
      <c r="S110" s="247" t="str">
        <f>IFERROR(__xludf.DUMMYFUNCTION("IFERROR(
  INDEX(
    FILTER(
      Transcription!$AJ:$AJ,
      TRIM(CLEAN(TEXT(Transcription!$F:$F, ""@""))) = TRIM(CLEAN(TEXT($D110, ""@""))),
      Transcription!$AO:$AO = 5
    ),
    1
  ),
  ""Not Found""
)
"),"Not Found")</f>
        <v>Not Found</v>
      </c>
      <c r="T110" s="248" t="str">
        <f>IFERROR(__xludf.DUMMYFUNCTION("IFERROR(
  INDEX(
    FILTER(
      Recording!$U:$U,
      TRIM(CLEAN(TEXT(Recording!$E:$E, ""@""))) = TRIM(CLEAN(TEXT($D110, ""@""))),
      Recording!$AA:$AA = 6
    ),
    1
  ),
  ""Not Found""
)
"),"Not Found")</f>
        <v>Not Found</v>
      </c>
      <c r="U1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1!$E:$E"")=$D110) *
        (IMPORTRANGE(""https://docs.google.com/spreadsheets/d/161aHT6vVT3SLneTKD19N5qVWtnj_jIT8CSsOmUVKmaA"&amp;"/edit?gid=1761053510"",
          ""Haris_Form responses 1!$AQ:$AQ"")=6)
      ),
      1
    ),
    ""0""
  ),
  ""Form not found""
)
"),"Form not found")</f>
        <v>Form not found</v>
      </c>
      <c r="V110" s="247" t="str">
        <f>IFERROR(__xludf.DUMMYFUNCTION("IFERROR(
  INDEX(
    FILTER(
      Transcription!$AJ:$AJ,
      TRIM(CLEAN(TEXT(Transcription!$F:$F, ""@""))) = TRIM(CLEAN(TEXT($D110, ""@""))),
      Transcription!$AO:$AO = 6
    ),
    1
  ),
  ""Not Found""
)
"),"Not Found")</f>
        <v>Not Found</v>
      </c>
      <c r="Z110" s="10">
        <f t="shared" si="1"/>
        <v>3</v>
      </c>
      <c r="AA110" s="10">
        <f t="shared" si="2"/>
        <v>0</v>
      </c>
    </row>
    <row r="111">
      <c r="A111" s="8" t="str">
        <f>VLOOKUP($D111,Sheet6!$B:$G,5,FALSE)</f>
        <v>Shiekhupura</v>
      </c>
      <c r="B111" s="232" t="str">
        <f>VLOOKUP($D111,Sheet6!$B:$G,4,FALSE)</f>
        <v>Community Secular No Info Share</v>
      </c>
      <c r="C111" s="8">
        <v>3.0</v>
      </c>
      <c r="D111" s="8" t="s">
        <v>1468</v>
      </c>
      <c r="E111" s="244" t="str">
        <f>IFERROR(__xludf.DUMMYFUNCTION("IFERROR(
  INDEX(
    FILTER(
      Recording!$U:$U,
      TRIM(CLEAN(TEXT(Recording!$E:$E, ""@""))) = TRIM(CLEAN(TEXT($D111, ""@""))),
      Recording!$AA:$AA = 1
    ),
    1
  ),
  ""Not Found""
)
"),"https://drive.google.com/open?id=10FYTEy4DLnoXBLSjpsgGobesv2hWqqto")</f>
        <v>https://drive.google.com/open?id=10FYTEy4DLnoXBLSjpsgGobesv2hWqqto</v>
      </c>
      <c r="F1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1!$E:$E"")=$D111) *
        (IMPORTRANGE(""https://docs.google.com/spreadsheets/d/161aHT6vVT3SLneTKD19N5qVWtnj_jIT8CSsOmUVKmaA"&amp;"/edit?gid=1761053510"",
          ""Haris_Form responses 1!$AQ:$AQ"")=1)
      ),
      1
    ),
    ""0""
  ),
  ""Form not found""
)
"),"1")</f>
        <v>1</v>
      </c>
      <c r="G111" s="245" t="str">
        <f>IFERROR(__xludf.DUMMYFUNCTION("IFERROR(
  INDEX(
    FILTER(
      Transcription!$AJ:$AJ,
      TRIM(CLEAN(TEXT(Transcription!$F:$F, ""@""))) = TRIM(CLEAN(TEXT($D111, ""@""))),
      Transcription!$AO:$AO = 1
    ),
    1
  ),
  ""Not Found""
)
"),"https://drive.google.com/open?id=13YecQ9mnmWy7-NSaMVdOLwQI54xtvM0C")</f>
        <v>https://drive.google.com/open?id=13YecQ9mnmWy7-NSaMVdOLwQI54xtvM0C</v>
      </c>
      <c r="H111" s="244" t="str">
        <f>IFERROR(__xludf.DUMMYFUNCTION("IFERROR(
  INDEX(
    FILTER(
      Recording!$U:$U,
      TRIM(CLEAN(TEXT(Recording!$E:$E, ""@""))) = TRIM(CLEAN(TEXT($D111, ""@""))),
      Recording!$AA:$AA = 2
    ),
    1
  ),
  ""Not Found""
)
"),"https://drive.google.com/open?id=1NaBoTwNPxWAvJNhkP_SzWp1UAREFmDKY")</f>
        <v>https://drive.google.com/open?id=1NaBoTwNPxWAvJNhkP_SzWp1UAREFmDKY</v>
      </c>
      <c r="I1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1!$E:$E"")=$D111) *
        (IMPORTRANGE(""https://docs.google.com/spreadsheets/d/161aHT6vVT3SLneTKD19N5qVWtnj_jIT8CSsOmUVKmaA"&amp;"/edit?gid=1761053510"",
          ""Haris_Form responses 1!$AQ:$AQ"")=2)
      ),
      1
    ),
    ""0""
  ),
  ""Form not found""
)
"),"2")</f>
        <v>2</v>
      </c>
      <c r="J111" s="245" t="str">
        <f>IFERROR(__xludf.DUMMYFUNCTION("IFERROR(
  INDEX(
    FILTER(
      Transcription!$AJ:$AJ,
      TRIM(CLEAN(TEXT(Transcription!$F:$F, ""@""))) = TRIM(CLEAN(TEXT($D111, ""@""))),
      Transcription!$AO:$AO = 2
    ),
    1
  ),
  ""Not Found""
)
"),"https://drive.google.com/open?id=1no1yxN52ie-oBOTLTAXWGOgxEID3gT6H")</f>
        <v>https://drive.google.com/open?id=1no1yxN52ie-oBOTLTAXWGOgxEID3gT6H</v>
      </c>
      <c r="K111" s="244" t="str">
        <f>IFERROR(__xludf.DUMMYFUNCTION("IFERROR(
  INDEX(
    FILTER(
      Recording!$U:$U,
      TRIM(CLEAN(TEXT(Recording!$E:$E, ""@""))) = TRIM(CLEAN(TEXT($D111, ""@""))),
      Recording!$AA:$AA = 3
    ),
    1
  ),
  ""Not Found""
)
"),"https://drive.google.com/open?id=11y8S7hTrS5-8lWhXaaITB53iXZo6KZWB")</f>
        <v>https://drive.google.com/open?id=11y8S7hTrS5-8lWhXaaITB53iXZo6KZWB</v>
      </c>
      <c r="L1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1!$E:$E"")=$D111) *
        (IMPORTRANGE(""https://docs.google.com/spreadsheets/d/161aHT6vVT3SLneTKD19N5qVWtnj_jIT8CSsOmUVKmaA"&amp;"/edit?gid=1761053510"",
          ""Haris_Form responses 1!$AQ:$AQ"")=3)
      ),
      1
    ),
    ""0""
  ),
  ""Form not found""
)
"),"3")</f>
        <v>3</v>
      </c>
      <c r="M111" s="245" t="str">
        <f>IFERROR(__xludf.DUMMYFUNCTION("IFERROR(
  INDEX(
    FILTER(
      Transcription!$AJ:$AJ,
      TRIM(CLEAN(TEXT(Transcription!$F:$F, ""@""))) = TRIM(CLEAN(TEXT($D111, ""@""))),
      Transcription!$AO:$AO = 3
    ),
    1
  ),
  ""Not Found""
)
"),"https://drive.google.com/open?id=1xaHqB7uwN9MBvKuJ9mOn2Zz-gFHKk5_e")</f>
        <v>https://drive.google.com/open?id=1xaHqB7uwN9MBvKuJ9mOn2Zz-gFHKk5_e</v>
      </c>
      <c r="N111" s="246" t="str">
        <f>IFERROR(__xludf.DUMMYFUNCTION("IFERROR(
  INDEX(
    FILTER(
      Recording!$U:$U,
      TRIM(CLEAN(TEXT(Recording!$E:$E, ""@""))) = TRIM(CLEAN(TEXT($D111, ""@""))),
      Recording!$AA:$AA = 4
    ),
    1
  ),
  ""Not Found""
)
"),"Not Found")</f>
        <v>Not Found</v>
      </c>
      <c r="O1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1!$E:$E"")=$D111) *
        (IMPORTRANGE(""https://docs.google.com/spreadsheets/d/161aHT6vVT3SLneTKD19N5qVWtnj_jIT8CSsOmUVKmaA"&amp;"/edit?gid=1761053510"",
          ""Haris_Form responses 1!$AQ:$AQ"")=4)
      ),
      1
    ),
    ""0""
  ),
  ""Form not found""
)
"),"Form not found")</f>
        <v>Form not found</v>
      </c>
      <c r="P111" s="247" t="str">
        <f>IFERROR(__xludf.DUMMYFUNCTION("IFERROR(
  INDEX(
    FILTER(
      Transcription!$AJ:$AJ,
      TRIM(CLEAN(TEXT(Transcription!$F:$F, ""@""))) = TRIM(CLEAN(TEXT($D111, ""@""))),
      Transcription!$AO:$AO = 4
    ),
    1
  ),
  ""Not Found""
)
"),"Not Found")</f>
        <v>Not Found</v>
      </c>
      <c r="Q111" s="246" t="str">
        <f>IFERROR(__xludf.DUMMYFUNCTION("IFERROR(
  INDEX(
    FILTER(
      Recording!$U:$U,
      TRIM(CLEAN(TEXT(Recording!$E:$E, ""@""))) = TRIM(CLEAN(TEXT($D111, ""@""))),
      Recording!$AA:$AA = 5
    ),
    1
  ),
  ""Not Found""
)
"),"Not Found")</f>
        <v>Not Found</v>
      </c>
      <c r="R1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1!$E:$E"")=$D111) *
        (IMPORTRANGE(""https://docs.google.com/spreadsheets/d/161aHT6vVT3SLneTKD19N5qVWtnj_jIT8CSsOmUVKmaA"&amp;"/edit?gid=1761053510"",
          ""Haris_Form responses 1!$AQ:$AQ"")=5)
      ),
      1
    ),
    ""0""
  ),
  ""Form not found""
)
"),"Form not found")</f>
        <v>Form not found</v>
      </c>
      <c r="S111" s="247" t="str">
        <f>IFERROR(__xludf.DUMMYFUNCTION("IFERROR(
  INDEX(
    FILTER(
      Transcription!$AJ:$AJ,
      TRIM(CLEAN(TEXT(Transcription!$F:$F, ""@""))) = TRIM(CLEAN(TEXT($D111, ""@""))),
      Transcription!$AO:$AO = 5
    ),
    1
  ),
  ""Not Found""
)
"),"Not Found")</f>
        <v>Not Found</v>
      </c>
      <c r="T111" s="248" t="str">
        <f>IFERROR(__xludf.DUMMYFUNCTION("IFERROR(
  INDEX(
    FILTER(
      Recording!$U:$U,
      TRIM(CLEAN(TEXT(Recording!$E:$E, ""@""))) = TRIM(CLEAN(TEXT($D111, ""@""))),
      Recording!$AA:$AA = 6
    ),
    1
  ),
  ""Not Found""
)
"),"Not Found")</f>
        <v>Not Found</v>
      </c>
      <c r="U1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1!$E:$E"")=$D111) *
        (IMPORTRANGE(""https://docs.google.com/spreadsheets/d/161aHT6vVT3SLneTKD19N5qVWtnj_jIT8CSsOmUVKmaA"&amp;"/edit?gid=1761053510"",
          ""Haris_Form responses 1!$AQ:$AQ"")=6)
      ),
      1
    ),
    ""0""
  ),
  ""Form not found""
)
"),"Form not found")</f>
        <v>Form not found</v>
      </c>
      <c r="V111" s="247" t="str">
        <f>IFERROR(__xludf.DUMMYFUNCTION("IFERROR(
  INDEX(
    FILTER(
      Transcription!$AJ:$AJ,
      TRIM(CLEAN(TEXT(Transcription!$F:$F, ""@""))) = TRIM(CLEAN(TEXT($D111, ""@""))),
      Transcription!$AO:$AO = 6
    ),
    1
  ),
  ""Not Found""
)
"),"Not Found")</f>
        <v>Not Found</v>
      </c>
      <c r="Z111" s="10">
        <f t="shared" si="1"/>
        <v>3</v>
      </c>
      <c r="AA111" s="10">
        <f t="shared" si="2"/>
        <v>0</v>
      </c>
    </row>
    <row r="112">
      <c r="A112" s="8" t="str">
        <f>VLOOKUP($D112,Sheet6!$B:$G,5,FALSE)</f>
        <v>Shiekhupura</v>
      </c>
      <c r="B112" s="232" t="str">
        <f>VLOOKUP($D112,Sheet6!$B:$G,4,FALSE)</f>
        <v>Community Secular Info Share</v>
      </c>
      <c r="C112" s="8">
        <v>3.0</v>
      </c>
      <c r="D112" s="8" t="s">
        <v>1505</v>
      </c>
      <c r="E112" s="244" t="str">
        <f>IFERROR(__xludf.DUMMYFUNCTION("IFERROR(
  INDEX(
    FILTER(
      Recording!$U:$U,
      TRIM(CLEAN(TEXT(Recording!$E:$E, ""@""))) = TRIM(CLEAN(TEXT($D112, ""@""))),
      Recording!$AA:$AA = 1
    ),
    1
  ),
  ""Not Found""
)
"),"https://drive.google.com/open?id=1xwdh5pNpDoVwgL7MO2FUx3Psuo80DdSx")</f>
        <v>https://drive.google.com/open?id=1xwdh5pNpDoVwgL7MO2FUx3Psuo80DdSx</v>
      </c>
      <c r="F1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1!$E:$E"")=$D112) *
        (IMPORTRANGE(""https://docs.google.com/spreadsheets/d/161aHT6vVT3SLneTKD19N5qVWtnj_jIT8CSsOmUVKmaA"&amp;"/edit?gid=1761053510"",
          ""Haris_Form responses 1!$AQ:$AQ"")=1)
      ),
      1
    ),
    ""0""
  ),
  ""Form not found""
)
"),"1")</f>
        <v>1</v>
      </c>
      <c r="G112" s="245" t="str">
        <f>IFERROR(__xludf.DUMMYFUNCTION("IFERROR(
  INDEX(
    FILTER(
      Transcription!$AJ:$AJ,
      TRIM(CLEAN(TEXT(Transcription!$F:$F, ""@""))) = TRIM(CLEAN(TEXT($D112, ""@""))),
      Transcription!$AO:$AO = 1
    ),
    1
  ),
  ""Not Found""
)
"),"https://drive.google.com/open?id=17jNVVuJwT9wwvKbgMFNKyfmTEgmBw0Ih")</f>
        <v>https://drive.google.com/open?id=17jNVVuJwT9wwvKbgMFNKyfmTEgmBw0Ih</v>
      </c>
      <c r="H112" s="244" t="str">
        <f>IFERROR(__xludf.DUMMYFUNCTION("IFERROR(
  INDEX(
    FILTER(
      Recording!$U:$U,
      TRIM(CLEAN(TEXT(Recording!$E:$E, ""@""))) = TRIM(CLEAN(TEXT($D112, ""@""))),
      Recording!$AA:$AA = 2
    ),
    1
  ),
  ""Not Found""
)
"),"https://drive.google.com/open?id=1z5fi8to9gw38-_ixzD_uWxh9HpPqMkCj")</f>
        <v>https://drive.google.com/open?id=1z5fi8to9gw38-_ixzD_uWxh9HpPqMkCj</v>
      </c>
      <c r="I1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1!$E:$E"")=$D112) *
        (IMPORTRANGE(""https://docs.google.com/spreadsheets/d/161aHT6vVT3SLneTKD19N5qVWtnj_jIT8CSsOmUVKmaA"&amp;"/edit?gid=1761053510"",
          ""Haris_Form responses 1!$AQ:$AQ"")=2)
      ),
      1
    ),
    ""0""
  ),
  ""Form not found""
)
"),"2")</f>
        <v>2</v>
      </c>
      <c r="J112" s="245" t="str">
        <f>IFERROR(__xludf.DUMMYFUNCTION("IFERROR(
  INDEX(
    FILTER(
      Transcription!$AJ:$AJ,
      TRIM(CLEAN(TEXT(Transcription!$F:$F, ""@""))) = TRIM(CLEAN(TEXT($D112, ""@""))),
      Transcription!$AO:$AO = 2
    ),
    1
  ),
  ""Not Found""
)
"),"https://drive.google.com/open?id=19m6cU6Vt3En6HaD5SNTNq5NPBuzItmP3")</f>
        <v>https://drive.google.com/open?id=19m6cU6Vt3En6HaD5SNTNq5NPBuzItmP3</v>
      </c>
      <c r="K112" s="244" t="str">
        <f>IFERROR(__xludf.DUMMYFUNCTION("IFERROR(
  INDEX(
    FILTER(
      Recording!$U:$U,
      TRIM(CLEAN(TEXT(Recording!$E:$E, ""@""))) = TRIM(CLEAN(TEXT($D112, ""@""))),
      Recording!$AA:$AA = 3
    ),
    1
  ),
  ""Not Found""
)
"),"https://drive.google.com/open?id=1nbldnDpDrCTNd9sBvDng1Pmf2ms2Cwcc")</f>
        <v>https://drive.google.com/open?id=1nbldnDpDrCTNd9sBvDng1Pmf2ms2Cwcc</v>
      </c>
      <c r="L1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1!$E:$E"")=$D112) *
        (IMPORTRANGE(""https://docs.google.com/spreadsheets/d/161aHT6vVT3SLneTKD19N5qVWtnj_jIT8CSsOmUVKmaA"&amp;"/edit?gid=1761053510"",
          ""Haris_Form responses 1!$AQ:$AQ"")=3)
      ),
      1
    ),
    ""0""
  ),
  ""Form not found""
)
"),"3")</f>
        <v>3</v>
      </c>
      <c r="M112" s="245" t="str">
        <f>IFERROR(__xludf.DUMMYFUNCTION("IFERROR(
  INDEX(
    FILTER(
      Transcription!$AJ:$AJ,
      TRIM(CLEAN(TEXT(Transcription!$F:$F, ""@""))) = TRIM(CLEAN(TEXT($D112, ""@""))),
      Transcription!$AO:$AO = 3
    ),
    1
  ),
  ""Not Found""
)
"),"https://drive.google.com/open?id=1TPcDdtztVlvP62COcXzEXogKuvaYstwJ")</f>
        <v>https://drive.google.com/open?id=1TPcDdtztVlvP62COcXzEXogKuvaYstwJ</v>
      </c>
      <c r="N112" s="246" t="str">
        <f>IFERROR(__xludf.DUMMYFUNCTION("IFERROR(
  INDEX(
    FILTER(
      Recording!$U:$U,
      TRIM(CLEAN(TEXT(Recording!$E:$E, ""@""))) = TRIM(CLEAN(TEXT($D112, ""@""))),
      Recording!$AA:$AA = 4
    ),
    1
  ),
  ""Not Found""
)
"),"Not Found")</f>
        <v>Not Found</v>
      </c>
      <c r="O1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1!$E:$E"")=$D112) *
        (IMPORTRANGE(""https://docs.google.com/spreadsheets/d/161aHT6vVT3SLneTKD19N5qVWtnj_jIT8CSsOmUVKmaA"&amp;"/edit?gid=1761053510"",
          ""Haris_Form responses 1!$AQ:$AQ"")=4)
      ),
      1
    ),
    ""0""
  ),
  ""Form not found""
)
"),"Form not found")</f>
        <v>Form not found</v>
      </c>
      <c r="P112" s="247" t="str">
        <f>IFERROR(__xludf.DUMMYFUNCTION("IFERROR(
  INDEX(
    FILTER(
      Transcription!$AJ:$AJ,
      TRIM(CLEAN(TEXT(Transcription!$F:$F, ""@""))) = TRIM(CLEAN(TEXT($D112, ""@""))),
      Transcription!$AO:$AO = 4
    ),
    1
  ),
  ""Not Found""
)
"),"Not Found")</f>
        <v>Not Found</v>
      </c>
      <c r="Q112" s="246" t="str">
        <f>IFERROR(__xludf.DUMMYFUNCTION("IFERROR(
  INDEX(
    FILTER(
      Recording!$U:$U,
      TRIM(CLEAN(TEXT(Recording!$E:$E, ""@""))) = TRIM(CLEAN(TEXT($D112, ""@""))),
      Recording!$AA:$AA = 5
    ),
    1
  ),
  ""Not Found""
)
"),"Not Found")</f>
        <v>Not Found</v>
      </c>
      <c r="R1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1!$E:$E"")=$D112) *
        (IMPORTRANGE(""https://docs.google.com/spreadsheets/d/161aHT6vVT3SLneTKD19N5qVWtnj_jIT8CSsOmUVKmaA"&amp;"/edit?gid=1761053510"",
          ""Haris_Form responses 1!$AQ:$AQ"")=5)
      ),
      1
    ),
    ""0""
  ),
  ""Form not found""
)
"),"Form not found")</f>
        <v>Form not found</v>
      </c>
      <c r="S112" s="247" t="str">
        <f>IFERROR(__xludf.DUMMYFUNCTION("IFERROR(
  INDEX(
    FILTER(
      Transcription!$AJ:$AJ,
      TRIM(CLEAN(TEXT(Transcription!$F:$F, ""@""))) = TRIM(CLEAN(TEXT($D112, ""@""))),
      Transcription!$AO:$AO = 5
    ),
    1
  ),
  ""Not Found""
)
"),"Not Found")</f>
        <v>Not Found</v>
      </c>
      <c r="T112" s="248" t="str">
        <f>IFERROR(__xludf.DUMMYFUNCTION("IFERROR(
  INDEX(
    FILTER(
      Recording!$U:$U,
      TRIM(CLEAN(TEXT(Recording!$E:$E, ""@""))) = TRIM(CLEAN(TEXT($D112, ""@""))),
      Recording!$AA:$AA = 6
    ),
    1
  ),
  ""Not Found""
)
"),"Not Found")</f>
        <v>Not Found</v>
      </c>
      <c r="U1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1!$E:$E"")=$D112) *
        (IMPORTRANGE(""https://docs.google.com/spreadsheets/d/161aHT6vVT3SLneTKD19N5qVWtnj_jIT8CSsOmUVKmaA"&amp;"/edit?gid=1761053510"",
          ""Haris_Form responses 1!$AQ:$AQ"")=6)
      ),
      1
    ),
    ""0""
  ),
  ""Form not found""
)
"),"Form not found")</f>
        <v>Form not found</v>
      </c>
      <c r="V112" s="247" t="str">
        <f>IFERROR(__xludf.DUMMYFUNCTION("IFERROR(
  INDEX(
    FILTER(
      Transcription!$AJ:$AJ,
      TRIM(CLEAN(TEXT(Transcription!$F:$F, ""@""))) = TRIM(CLEAN(TEXT($D112, ""@""))),
      Transcription!$AO:$AO = 6
    ),
    1
  ),
  ""Not Found""
)
"),"Not Found")</f>
        <v>Not Found</v>
      </c>
      <c r="Z112" s="10">
        <f t="shared" si="1"/>
        <v>3</v>
      </c>
      <c r="AA112" s="10">
        <f t="shared" si="2"/>
        <v>0</v>
      </c>
    </row>
    <row r="113">
      <c r="A113" s="8" t="str">
        <f>VLOOKUP($D113,Sheet6!$B:$G,5,FALSE)</f>
        <v>Shiekhupura</v>
      </c>
      <c r="B113" s="232" t="str">
        <f>VLOOKUP($D113,Sheet6!$B:$G,4,FALSE)</f>
        <v>Control</v>
      </c>
      <c r="C113" s="8">
        <v>2.0</v>
      </c>
      <c r="D113" s="8" t="s">
        <v>1714</v>
      </c>
      <c r="E113" s="244" t="str">
        <f>IFERROR(__xludf.DUMMYFUNCTION("IFERROR(
  INDEX(
    FILTER(
      Recording!$U:$U,
      TRIM(CLEAN(TEXT(Recording!$E:$E, ""@""))) = TRIM(CLEAN(TEXT($D113, ""@""))),
      Recording!$AA:$AA = 1
    ),
    1
  ),
  ""Not Found""
)
"),"https://drive.google.com/open?id=1Vd6MVyZ15AQ9ajvvpaAiu0B0MwwygEuy")</f>
        <v>https://drive.google.com/open?id=1Vd6MVyZ15AQ9ajvvpaAiu0B0MwwygEuy</v>
      </c>
      <c r="F1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1!$E:$E"")=$D113) *
        (IMPORTRANGE(""https://docs.google.com/spreadsheets/d/161aHT6vVT3SLneTKD19N5qVWtnj_jIT8CSsOmUVKmaA"&amp;"/edit?gid=1761053510"",
          ""Haris_Form responses 1!$AQ:$AQ"")=1)
      ),
      1
    ),
    ""0""
  ),
  ""Form not found""
)
"),"1")</f>
        <v>1</v>
      </c>
      <c r="G113" s="245" t="str">
        <f>IFERROR(__xludf.DUMMYFUNCTION("IFERROR(
  INDEX(
    FILTER(
      Transcription!$AJ:$AJ,
      TRIM(CLEAN(TEXT(Transcription!$F:$F, ""@""))) = TRIM(CLEAN(TEXT($D113, ""@""))),
      Transcription!$AO:$AO = 1
    ),
    1
  ),
  ""Not Found""
)
"),"https://drive.google.com/open?id=1jhh8s3AufBVVIYIOH7ZF19kVviqg08ahfviy9xaKqQ8")</f>
        <v>https://drive.google.com/open?id=1jhh8s3AufBVVIYIOH7ZF19kVviqg08ahfviy9xaKqQ8</v>
      </c>
      <c r="H113" s="246" t="str">
        <f>IFERROR(__xludf.DUMMYFUNCTION("IFERROR(
  INDEX(
    FILTER(
      Recording!$U:$U,
      TRIM(CLEAN(TEXT(Recording!$E:$E, ""@""))) = TRIM(CLEAN(TEXT($D113, ""@""))),
      Recording!$AA:$AA = 2
    ),
    1
  ),
  ""Not Found""
)
"),"Not Found")</f>
        <v>Not Found</v>
      </c>
      <c r="I1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1!$E:$E"")=$D113) *
        (IMPORTRANGE(""https://docs.google.com/spreadsheets/d/161aHT6vVT3SLneTKD19N5qVWtnj_jIT8CSsOmUVKmaA"&amp;"/edit?gid=1761053510"",
          ""Haris_Form responses 1!$AQ:$AQ"")=2)
      ),
      1
    ),
    ""0""
  ),
  ""Form not found""
)
"),"Form not found")</f>
        <v>Form not found</v>
      </c>
      <c r="J113" s="247" t="str">
        <f>IFERROR(__xludf.DUMMYFUNCTION("IFERROR(
  INDEX(
    FILTER(
      Transcription!$AJ:$AJ,
      TRIM(CLEAN(TEXT(Transcription!$F:$F, ""@""))) = TRIM(CLEAN(TEXT($D113, ""@""))),
      Transcription!$AO:$AO = 2
    ),
    1
  ),
  ""Not Found""
)
"),"Not Found")</f>
        <v>Not Found</v>
      </c>
      <c r="K113" s="244" t="str">
        <f>IFERROR(__xludf.DUMMYFUNCTION("IFERROR(
  INDEX(
    FILTER(
      Recording!$U:$U,
      TRIM(CLEAN(TEXT(Recording!$E:$E, ""@""))) = TRIM(CLEAN(TEXT($D113, ""@""))),
      Recording!$AA:$AA = 3
    ),
    1
  ),
  ""Not Found""
)
"),"https://drive.google.com/open?id=1YP_TIrfkQJhnLc4wAEHhtEnmudxtExvE")</f>
        <v>https://drive.google.com/open?id=1YP_TIrfkQJhnLc4wAEHhtEnmudxtExvE</v>
      </c>
      <c r="L1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1!$E:$E"")=$D113) *
        (IMPORTRANGE(""https://docs.google.com/spreadsheets/d/161aHT6vVT3SLneTKD19N5qVWtnj_jIT8CSsOmUVKmaA"&amp;"/edit?gid=1761053510"",
          ""Haris_Form responses 1!$AQ:$AQ"")=3)
      ),
      1
    ),
    ""0""
  ),
  ""Form not found""
)
"),"3")</f>
        <v>3</v>
      </c>
      <c r="M113" s="245" t="str">
        <f>IFERROR(__xludf.DUMMYFUNCTION("IFERROR(
  INDEX(
    FILTER(
      Transcription!$AJ:$AJ,
      TRIM(CLEAN(TEXT(Transcription!$F:$F, ""@""))) = TRIM(CLEAN(TEXT($D113, ""@""))),
      Transcription!$AO:$AO = 3
    ),
    1
  ),
  ""Not Found""
)
"),"https://drive.google.com/open?id=1LLcUDDeuWE70SUpPwg4kMBONLhvrCtEG0vTm5tA1PXo")</f>
        <v>https://drive.google.com/open?id=1LLcUDDeuWE70SUpPwg4kMBONLhvrCtEG0vTm5tA1PXo</v>
      </c>
      <c r="N113" s="246" t="str">
        <f>IFERROR(__xludf.DUMMYFUNCTION("IFERROR(
  INDEX(
    FILTER(
      Recording!$U:$U,
      TRIM(CLEAN(TEXT(Recording!$E:$E, ""@""))) = TRIM(CLEAN(TEXT($D113, ""@""))),
      Recording!$AA:$AA = 4
    ),
    1
  ),
  ""Not Found""
)
"),"Not Found")</f>
        <v>Not Found</v>
      </c>
      <c r="O1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1!$E:$E"")=$D113) *
        (IMPORTRANGE(""https://docs.google.com/spreadsheets/d/161aHT6vVT3SLneTKD19N5qVWtnj_jIT8CSsOmUVKmaA"&amp;"/edit?gid=1761053510"",
          ""Haris_Form responses 1!$AQ:$AQ"")=4)
      ),
      1
    ),
    ""0""
  ),
  ""Form not found""
)
"),"Form not found")</f>
        <v>Form not found</v>
      </c>
      <c r="P113" s="247" t="str">
        <f>IFERROR(__xludf.DUMMYFUNCTION("IFERROR(
  INDEX(
    FILTER(
      Transcription!$AJ:$AJ,
      TRIM(CLEAN(TEXT(Transcription!$F:$F, ""@""))) = TRIM(CLEAN(TEXT($D113, ""@""))),
      Transcription!$AO:$AO = 4
    ),
    1
  ),
  ""Not Found""
)
"),"Not Found")</f>
        <v>Not Found</v>
      </c>
      <c r="Q113" s="246" t="str">
        <f>IFERROR(__xludf.DUMMYFUNCTION("IFERROR(
  INDEX(
    FILTER(
      Recording!$U:$U,
      TRIM(CLEAN(TEXT(Recording!$E:$E, ""@""))) = TRIM(CLEAN(TEXT($D113, ""@""))),
      Recording!$AA:$AA = 5
    ),
    1
  ),
  ""Not Found""
)
"),"Not Found")</f>
        <v>Not Found</v>
      </c>
      <c r="R1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1!$E:$E"")=$D113) *
        (IMPORTRANGE(""https://docs.google.com/spreadsheets/d/161aHT6vVT3SLneTKD19N5qVWtnj_jIT8CSsOmUVKmaA"&amp;"/edit?gid=1761053510"",
          ""Haris_Form responses 1!$AQ:$AQ"")=5)
      ),
      1
    ),
    ""0""
  ),
  ""Form not found""
)
"),"Form not found")</f>
        <v>Form not found</v>
      </c>
      <c r="S113" s="247" t="str">
        <f>IFERROR(__xludf.DUMMYFUNCTION("IFERROR(
  INDEX(
    FILTER(
      Transcription!$AJ:$AJ,
      TRIM(CLEAN(TEXT(Transcription!$F:$F, ""@""))) = TRIM(CLEAN(TEXT($D113, ""@""))),
      Transcription!$AO:$AO = 5
    ),
    1
  ),
  ""Not Found""
)
"),"Not Found")</f>
        <v>Not Found</v>
      </c>
      <c r="T113" s="246" t="str">
        <f>IFERROR(__xludf.DUMMYFUNCTION("IFERROR(
  INDEX(
    FILTER(
      Recording!$U:$U,
      TRIM(CLEAN(TEXT(Recording!$E:$E, ""@""))) = TRIM(CLEAN(TEXT($D113, ""@""))),
      Recording!$AA:$AA = 6
    ),
    1
  ),
  ""Not Found""
)
"),"Not Found")</f>
        <v>Not Found</v>
      </c>
      <c r="U1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1!$E:$E"")=$D113) *
        (IMPORTRANGE(""https://docs.google.com/spreadsheets/d/161aHT6vVT3SLneTKD19N5qVWtnj_jIT8CSsOmUVKmaA"&amp;"/edit?gid=1761053510"",
          ""Haris_Form responses 1!$AQ:$AQ"")=6)
      ),
      1
    ),
    ""0""
  ),
  ""Form not found""
)
"),"Form not found")</f>
        <v>Form not found</v>
      </c>
      <c r="V113" s="247" t="str">
        <f>IFERROR(__xludf.DUMMYFUNCTION("IFERROR(
  INDEX(
    FILTER(
      Transcription!$AJ:$AJ,
      TRIM(CLEAN(TEXT(Transcription!$F:$F, ""@""))) = TRIM(CLEAN(TEXT($D113, ""@""))),
      Transcription!$AO:$AO = 6
    ),
    1
  ),
  ""Not Found""
)
"),"Not Found")</f>
        <v>Not Found</v>
      </c>
      <c r="Z113" s="10">
        <f t="shared" si="1"/>
        <v>2</v>
      </c>
      <c r="AA113" s="10">
        <f t="shared" si="2"/>
        <v>0</v>
      </c>
    </row>
    <row r="114">
      <c r="A114" s="8" t="str">
        <f>VLOOKUP($D114,Sheet6!$B:$G,5,FALSE)</f>
        <v>Shiekhupura</v>
      </c>
      <c r="B114" s="232" t="str">
        <f>VLOOKUP($D114,Sheet6!$B:$G,4,FALSE)</f>
        <v>Women Secular No Info Share</v>
      </c>
      <c r="C114" s="8">
        <v>3.0</v>
      </c>
      <c r="D114" s="8" t="s">
        <v>1438</v>
      </c>
      <c r="E114" s="244" t="str">
        <f>IFERROR(__xludf.DUMMYFUNCTION("IFERROR(
  INDEX(
    FILTER(
      Recording!$U:$U,
      TRIM(CLEAN(TEXT(Recording!$E:$E, ""@""))) = TRIM(CLEAN(TEXT($D114, ""@""))),
      Recording!$AA:$AA = 1
    ),
    1
  ),
  ""Not Found""
)
"),"https://drive.google.com/open?id=1kKTaUnuixWZE8jGPha3NahRndQT6p2Bk")</f>
        <v>https://drive.google.com/open?id=1kKTaUnuixWZE8jGPha3NahRndQT6p2Bk</v>
      </c>
      <c r="F1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1!$E:$E"")=$D114) *
        (IMPORTRANGE(""https://docs.google.com/spreadsheets/d/161aHT6vVT3SLneTKD19N5qVWtnj_jIT8CSsOmUVKmaA"&amp;"/edit?gid=1761053510"",
          ""Haris_Form responses 1!$AQ:$AQ"")=1)
      ),
      1
    ),
    ""0""
  ),
  ""Form not found""
)
"),"1")</f>
        <v>1</v>
      </c>
      <c r="G114" s="245" t="str">
        <f>IFERROR(__xludf.DUMMYFUNCTION("IFERROR(
  INDEX(
    FILTER(
      Transcription!$AJ:$AJ,
      TRIM(CLEAN(TEXT(Transcription!$F:$F, ""@""))) = TRIM(CLEAN(TEXT($D114, ""@""))),
      Transcription!$AO:$AO = 1
    ),
    1
  ),
  ""Not Found""
)
"),"https://drive.google.com/open?id=1Ab0Ks3x0nk6jT9ilSVIpkKKqhD02WdelM95wNshL5nA")</f>
        <v>https://drive.google.com/open?id=1Ab0Ks3x0nk6jT9ilSVIpkKKqhD02WdelM95wNshL5nA</v>
      </c>
      <c r="H114" s="244" t="str">
        <f>IFERROR(__xludf.DUMMYFUNCTION("IFERROR(
  INDEX(
    FILTER(
      Recording!$U:$U,
      TRIM(CLEAN(TEXT(Recording!$E:$E, ""@""))) = TRIM(CLEAN(TEXT($D114, ""@""))),
      Recording!$AA:$AA = 2
    ),
    1
  ),
  ""Not Found""
)
"),"https://drive.google.com/open?id=1tJSLscdYWEcal01YimyqQs3rHd9n-R-D")</f>
        <v>https://drive.google.com/open?id=1tJSLscdYWEcal01YimyqQs3rHd9n-R-D</v>
      </c>
      <c r="I1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1!$E:$E"")=$D114) *
        (IMPORTRANGE(""https://docs.google.com/spreadsheets/d/161aHT6vVT3SLneTKD19N5qVWtnj_jIT8CSsOmUVKmaA"&amp;"/edit?gid=1761053510"",
          ""Haris_Form responses 1!$AQ:$AQ"")=2)
      ),
      1
    ),
    ""0""
  ),
  ""Form not found""
)
"),"2")</f>
        <v>2</v>
      </c>
      <c r="J114" s="245" t="str">
        <f>IFERROR(__xludf.DUMMYFUNCTION("IFERROR(
  INDEX(
    FILTER(
      Transcription!$AJ:$AJ,
      TRIM(CLEAN(TEXT(Transcription!$F:$F, ""@""))) = TRIM(CLEAN(TEXT($D114, ""@""))),
      Transcription!$AO:$AO = 2
    ),
    1
  ),
  ""Not Found""
)
"),"https://drive.google.com/open?id=1fknbXCBVr4Fc8SHYe00ASAwEXLwl6DADhDluGKHDuGs")</f>
        <v>https://drive.google.com/open?id=1fknbXCBVr4Fc8SHYe00ASAwEXLwl6DADhDluGKHDuGs</v>
      </c>
      <c r="K114" s="244" t="str">
        <f>IFERROR(__xludf.DUMMYFUNCTION("IFERROR(
  INDEX(
    FILTER(
      Recording!$U:$U,
      TRIM(CLEAN(TEXT(Recording!$E:$E, ""@""))) = TRIM(CLEAN(TEXT($D114, ""@""))),
      Recording!$AA:$AA = 3
    ),
    1
  ),
  ""Not Found""
)
"),"https://drive.google.com/open?id=1OKtPFQtWVaVW4eYVGTna_iFG0Yin7v_6")</f>
        <v>https://drive.google.com/open?id=1OKtPFQtWVaVW4eYVGTna_iFG0Yin7v_6</v>
      </c>
      <c r="L1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1!$E:$E"")=$D114) *
        (IMPORTRANGE(""https://docs.google.com/spreadsheets/d/161aHT6vVT3SLneTKD19N5qVWtnj_jIT8CSsOmUVKmaA"&amp;"/edit?gid=1761053510"",
          ""Haris_Form responses 1!$AQ:$AQ"")=3)
      ),
      1
    ),
    ""0""
  ),
  ""Form not found""
)
"),"3")</f>
        <v>3</v>
      </c>
      <c r="M114" s="245" t="str">
        <f>IFERROR(__xludf.DUMMYFUNCTION("IFERROR(
  INDEX(
    FILTER(
      Transcription!$AJ:$AJ,
      TRIM(CLEAN(TEXT(Transcription!$F:$F, ""@""))) = TRIM(CLEAN(TEXT($D114, ""@""))),
      Transcription!$AO:$AO = 3
    ),
    1
  ),
  ""Not Found""
)
"),"https://drive.google.com/open?id=1zLsFcLSZKY0SctIGwn_W3EVtE4JX1nJp")</f>
        <v>https://drive.google.com/open?id=1zLsFcLSZKY0SctIGwn_W3EVtE4JX1nJp</v>
      </c>
      <c r="N114" s="246" t="str">
        <f>IFERROR(__xludf.DUMMYFUNCTION("IFERROR(
  INDEX(
    FILTER(
      Recording!$U:$U,
      TRIM(CLEAN(TEXT(Recording!$E:$E, ""@""))) = TRIM(CLEAN(TEXT($D114, ""@""))),
      Recording!$AA:$AA = 4
    ),
    1
  ),
  ""Not Found""
)
"),"Not Found")</f>
        <v>Not Found</v>
      </c>
      <c r="O1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1!$E:$E"")=$D114) *
        (IMPORTRANGE(""https://docs.google.com/spreadsheets/d/161aHT6vVT3SLneTKD19N5qVWtnj_jIT8CSsOmUVKmaA"&amp;"/edit?gid=1761053510"",
          ""Haris_Form responses 1!$AQ:$AQ"")=4)
      ),
      1
    ),
    ""0""
  ),
  ""Form not found""
)
"),"Form not found")</f>
        <v>Form not found</v>
      </c>
      <c r="P114" s="247" t="str">
        <f>IFERROR(__xludf.DUMMYFUNCTION("IFERROR(
  INDEX(
    FILTER(
      Transcription!$AJ:$AJ,
      TRIM(CLEAN(TEXT(Transcription!$F:$F, ""@""))) = TRIM(CLEAN(TEXT($D114, ""@""))),
      Transcription!$AO:$AO = 4
    ),
    1
  ),
  ""Not Found""
)
"),"Not Found")</f>
        <v>Not Found</v>
      </c>
      <c r="Q114" s="246" t="str">
        <f>IFERROR(__xludf.DUMMYFUNCTION("IFERROR(
  INDEX(
    FILTER(
      Recording!$U:$U,
      TRIM(CLEAN(TEXT(Recording!$E:$E, ""@""))) = TRIM(CLEAN(TEXT($D114, ""@""))),
      Recording!$AA:$AA = 5
    ),
    1
  ),
  ""Not Found""
)
"),"Not Found")</f>
        <v>Not Found</v>
      </c>
      <c r="R1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1!$E:$E"")=$D114) *
        (IMPORTRANGE(""https://docs.google.com/spreadsheets/d/161aHT6vVT3SLneTKD19N5qVWtnj_jIT8CSsOmUVKmaA"&amp;"/edit?gid=1761053510"",
          ""Haris_Form responses 1!$AQ:$AQ"")=5)
      ),
      1
    ),
    ""0""
  ),
  ""Form not found""
)
"),"Form not found")</f>
        <v>Form not found</v>
      </c>
      <c r="S114" s="247" t="str">
        <f>IFERROR(__xludf.DUMMYFUNCTION("IFERROR(
  INDEX(
    FILTER(
      Transcription!$AJ:$AJ,
      TRIM(CLEAN(TEXT(Transcription!$F:$F, ""@""))) = TRIM(CLEAN(TEXT($D114, ""@""))),
      Transcription!$AO:$AO = 5
    ),
    1
  ),
  ""Not Found""
)
"),"Not Found")</f>
        <v>Not Found</v>
      </c>
      <c r="T114" s="248" t="str">
        <f>IFERROR(__xludf.DUMMYFUNCTION("IFERROR(
  INDEX(
    FILTER(
      Recording!$U:$U,
      TRIM(CLEAN(TEXT(Recording!$E:$E, ""@""))) = TRIM(CLEAN(TEXT($D114, ""@""))),
      Recording!$AA:$AA = 6
    ),
    1
  ),
  ""Not Found""
)
"),"Not Found")</f>
        <v>Not Found</v>
      </c>
      <c r="U1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1!$E:$E"")=$D114) *
        (IMPORTRANGE(""https://docs.google.com/spreadsheets/d/161aHT6vVT3SLneTKD19N5qVWtnj_jIT8CSsOmUVKmaA"&amp;"/edit?gid=1761053510"",
          ""Haris_Form responses 1!$AQ:$AQ"")=6)
      ),
      1
    ),
    ""0""
  ),
  ""Form not found""
)
"),"Form not found")</f>
        <v>Form not found</v>
      </c>
      <c r="V114" s="247" t="str">
        <f>IFERROR(__xludf.DUMMYFUNCTION("IFERROR(
  INDEX(
    FILTER(
      Transcription!$AJ:$AJ,
      TRIM(CLEAN(TEXT(Transcription!$F:$F, ""@""))) = TRIM(CLEAN(TEXT($D114, ""@""))),
      Transcription!$AO:$AO = 6
    ),
    1
  ),
  ""Not Found""
)
"),"Not Found")</f>
        <v>Not Found</v>
      </c>
      <c r="Z114" s="10">
        <f t="shared" si="1"/>
        <v>3</v>
      </c>
      <c r="AA114" s="10">
        <f t="shared" si="2"/>
        <v>0</v>
      </c>
    </row>
    <row r="115">
      <c r="A115" s="8" t="str">
        <f>VLOOKUP($D115,Sheet6!$B:$G,5,FALSE)</f>
        <v>Shiekhupura</v>
      </c>
      <c r="B115" s="232" t="str">
        <f>VLOOKUP($D115,Sheet6!$B:$G,4,FALSE)</f>
        <v>Community Secular No Info Share</v>
      </c>
      <c r="C115" s="8">
        <v>3.0</v>
      </c>
      <c r="D115" s="8" t="s">
        <v>1643</v>
      </c>
      <c r="E115" s="244" t="str">
        <f>IFERROR(__xludf.DUMMYFUNCTION("IFERROR(
  INDEX(
    FILTER(
      Recording!$U:$U,
      TRIM(CLEAN(TEXT(Recording!$E:$E, ""@""))) = TRIM(CLEAN(TEXT($D115, ""@""))),
      Recording!$AA:$AA = 1
    ),
    1
  ),
  ""Not Found""
)
"),"https://drive.google.com/open?id=1FdrO0DDVe-0nTBa-GqmK3nzv-TvIrmae")</f>
        <v>https://drive.google.com/open?id=1FdrO0DDVe-0nTBa-GqmK3nzv-TvIrmae</v>
      </c>
      <c r="F1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1!$E:$E"")=$D115) *
        (IMPORTRANGE(""https://docs.google.com/spreadsheets/d/161aHT6vVT3SLneTKD19N5qVWtnj_jIT8CSsOmUVKmaA"&amp;"/edit?gid=1761053510"",
          ""Haris_Form responses 1!$AQ:$AQ"")=1)
      ),
      1
    ),
    ""0""
  ),
  ""Form not found""
)
"),"1")</f>
        <v>1</v>
      </c>
      <c r="G115" s="245" t="str">
        <f>IFERROR(__xludf.DUMMYFUNCTION("IFERROR(
  INDEX(
    FILTER(
      Transcription!$AJ:$AJ,
      TRIM(CLEAN(TEXT(Transcription!$F:$F, ""@""))) = TRIM(CLEAN(TEXT($D115, ""@""))),
      Transcription!$AO:$AO = 1
    ),
    1
  ),
  ""Not Found""
)
"),"https://drive.google.com/open?id=10x6JBoP5t-Tc_PlJqhQQ2USKdyqjKebWbMRmnJfh-r0")</f>
        <v>https://drive.google.com/open?id=10x6JBoP5t-Tc_PlJqhQQ2USKdyqjKebWbMRmnJfh-r0</v>
      </c>
      <c r="H115" s="244" t="str">
        <f>IFERROR(__xludf.DUMMYFUNCTION("IFERROR(
  INDEX(
    FILTER(
      Recording!$U:$U,
      TRIM(CLEAN(TEXT(Recording!$E:$E, ""@""))) = TRIM(CLEAN(TEXT($D115, ""@""))),
      Recording!$AA:$AA = 2
    ),
    1
  ),
  ""Not Found""
)
"),"https://drive.google.com/open?id=11HYvcak8k2th0PgLWJblZ1beupJd7lcy")</f>
        <v>https://drive.google.com/open?id=11HYvcak8k2th0PgLWJblZ1beupJd7lcy</v>
      </c>
      <c r="I1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1!$E:$E"")=$D115) *
        (IMPORTRANGE(""https://docs.google.com/spreadsheets/d/161aHT6vVT3SLneTKD19N5qVWtnj_jIT8CSsOmUVKmaA"&amp;"/edit?gid=1761053510"",
          ""Haris_Form responses 1!$AQ:$AQ"")=2)
      ),
      1
    ),
    ""0""
  ),
  ""Form not found""
)
"),"2")</f>
        <v>2</v>
      </c>
      <c r="J115" s="245" t="str">
        <f>IFERROR(__xludf.DUMMYFUNCTION("IFERROR(
  INDEX(
    FILTER(
      Transcription!$AJ:$AJ,
      TRIM(CLEAN(TEXT(Transcription!$F:$F, ""@""))) = TRIM(CLEAN(TEXT($D115, ""@""))),
      Transcription!$AO:$AO = 2
    ),
    1
  ),
  ""Not Found""
)
"),"https://drive.google.com/open?id=1-prVp-mNnYxTdhurubX_s9jNX5bk4jsj")</f>
        <v>https://drive.google.com/open?id=1-prVp-mNnYxTdhurubX_s9jNX5bk4jsj</v>
      </c>
      <c r="K115" s="244" t="str">
        <f>IFERROR(__xludf.DUMMYFUNCTION("IFERROR(
  INDEX(
    FILTER(
      Recording!$U:$U,
      TRIM(CLEAN(TEXT(Recording!$E:$E, ""@""))) = TRIM(CLEAN(TEXT($D115, ""@""))),
      Recording!$AA:$AA = 3
    ),
    1
  ),
  ""Not Found""
)
"),"https://drive.google.com/open?id=1NvJjfbinrXcddUF8xVeXL8QuomFQSVA4")</f>
        <v>https://drive.google.com/open?id=1NvJjfbinrXcddUF8xVeXL8QuomFQSVA4</v>
      </c>
      <c r="L1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1!$E:$E"")=$D115) *
        (IMPORTRANGE(""https://docs.google.com/spreadsheets/d/161aHT6vVT3SLneTKD19N5qVWtnj_jIT8CSsOmUVKmaA"&amp;"/edit?gid=1761053510"",
          ""Haris_Form responses 1!$AQ:$AQ"")=3)
      ),
      1
    ),
    ""0""
  ),
  ""Form not found""
)
"),"3")</f>
        <v>3</v>
      </c>
      <c r="M115" s="245" t="str">
        <f>IFERROR(__xludf.DUMMYFUNCTION("IFERROR(
  INDEX(
    FILTER(
      Transcription!$AJ:$AJ,
      TRIM(CLEAN(TEXT(Transcription!$F:$F, ""@""))) = TRIM(CLEAN(TEXT($D115, ""@""))),
      Transcription!$AO:$AO = 3
    ),
    1
  ),
  ""Not Found""
)
"),"https://drive.google.com/open?id=1LUJNeFfanvhoTYiAJ3RKugxKcjT4i7Y-")</f>
        <v>https://drive.google.com/open?id=1LUJNeFfanvhoTYiAJ3RKugxKcjT4i7Y-</v>
      </c>
      <c r="N115" s="246" t="str">
        <f>IFERROR(__xludf.DUMMYFUNCTION("IFERROR(
  INDEX(
    FILTER(
      Recording!$U:$U,
      TRIM(CLEAN(TEXT(Recording!$E:$E, ""@""))) = TRIM(CLEAN(TEXT($D115, ""@""))),
      Recording!$AA:$AA = 4
    ),
    1
  ),
  ""Not Found""
)
"),"Not Found")</f>
        <v>Not Found</v>
      </c>
      <c r="O1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1!$E:$E"")=$D115) *
        (IMPORTRANGE(""https://docs.google.com/spreadsheets/d/161aHT6vVT3SLneTKD19N5qVWtnj_jIT8CSsOmUVKmaA"&amp;"/edit?gid=1761053510"",
          ""Haris_Form responses 1!$AQ:$AQ"")=4)
      ),
      1
    ),
    ""0""
  ),
  ""Form not found""
)
"),"Form not found")</f>
        <v>Form not found</v>
      </c>
      <c r="P115" s="247" t="str">
        <f>IFERROR(__xludf.DUMMYFUNCTION("IFERROR(
  INDEX(
    FILTER(
      Transcription!$AJ:$AJ,
      TRIM(CLEAN(TEXT(Transcription!$F:$F, ""@""))) = TRIM(CLEAN(TEXT($D115, ""@""))),
      Transcription!$AO:$AO = 4
    ),
    1
  ),
  ""Not Found""
)
"),"Not Found")</f>
        <v>Not Found</v>
      </c>
      <c r="Q115" s="246" t="str">
        <f>IFERROR(__xludf.DUMMYFUNCTION("IFERROR(
  INDEX(
    FILTER(
      Recording!$U:$U,
      TRIM(CLEAN(TEXT(Recording!$E:$E, ""@""))) = TRIM(CLEAN(TEXT($D115, ""@""))),
      Recording!$AA:$AA = 5
    ),
    1
  ),
  ""Not Found""
)
"),"Not Found")</f>
        <v>Not Found</v>
      </c>
      <c r="R1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1!$E:$E"")=$D115) *
        (IMPORTRANGE(""https://docs.google.com/spreadsheets/d/161aHT6vVT3SLneTKD19N5qVWtnj_jIT8CSsOmUVKmaA"&amp;"/edit?gid=1761053510"",
          ""Haris_Form responses 1!$AQ:$AQ"")=5)
      ),
      1
    ),
    ""0""
  ),
  ""Form not found""
)
"),"Form not found")</f>
        <v>Form not found</v>
      </c>
      <c r="S115" s="247" t="str">
        <f>IFERROR(__xludf.DUMMYFUNCTION("IFERROR(
  INDEX(
    FILTER(
      Transcription!$AJ:$AJ,
      TRIM(CLEAN(TEXT(Transcription!$F:$F, ""@""))) = TRIM(CLEAN(TEXT($D115, ""@""))),
      Transcription!$AO:$AO = 5
    ),
    1
  ),
  ""Not Found""
)
"),"Not Found")</f>
        <v>Not Found</v>
      </c>
      <c r="T115" s="249" t="str">
        <f>IFERROR(__xludf.DUMMYFUNCTION("IFERROR(
  INDEX(
    FILTER(
      Recording!$U:$U,
      TRIM(CLEAN(TEXT(Recording!$E:$E, ""@""))) = TRIM(CLEAN(TEXT($D115, ""@""))),
      Recording!$AA:$AA = 6
    ),
    1
  ),
  ""Not Found""
)
"),"Not Found")</f>
        <v>Not Found</v>
      </c>
      <c r="U1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1!$E:$E"")=$D115) *
        (IMPORTRANGE(""https://docs.google.com/spreadsheets/d/161aHT6vVT3SLneTKD19N5qVWtnj_jIT8CSsOmUVKmaA"&amp;"/edit?gid=1761053510"",
          ""Haris_Form responses 1!$AQ:$AQ"")=6)
      ),
      1
    ),
    ""0""
  ),
  ""Form not found""
)
"),"Form not found")</f>
        <v>Form not found</v>
      </c>
      <c r="V115" s="247" t="str">
        <f>IFERROR(__xludf.DUMMYFUNCTION("IFERROR(
  INDEX(
    FILTER(
      Transcription!$AJ:$AJ,
      TRIM(CLEAN(TEXT(Transcription!$F:$F, ""@""))) = TRIM(CLEAN(TEXT($D115, ""@""))),
      Transcription!$AO:$AO = 6
    ),
    1
  ),
  ""Not Found""
)
"),"Not Found")</f>
        <v>Not Found</v>
      </c>
      <c r="Z115" s="10">
        <f t="shared" si="1"/>
        <v>3</v>
      </c>
      <c r="AA115" s="10">
        <f t="shared" si="2"/>
        <v>0</v>
      </c>
    </row>
    <row r="116">
      <c r="A116" s="8" t="str">
        <f>VLOOKUP($D116,Sheet6!$B:$G,5,FALSE)</f>
        <v>Sargodha</v>
      </c>
      <c r="B116" s="232" t="str">
        <f>VLOOKUP($D116,Sheet6!$B:$G,4,FALSE)</f>
        <v>Community Religious No Info Share</v>
      </c>
      <c r="C116" s="8">
        <v>3.0</v>
      </c>
      <c r="D116" s="8" t="s">
        <v>1771</v>
      </c>
      <c r="E116" s="244" t="str">
        <f>IFERROR(__xludf.DUMMYFUNCTION("IFERROR(
  INDEX(
    FILTER(
      Recording!$U:$U,
      TRIM(CLEAN(TEXT(Recording!$E:$E, ""@""))) = TRIM(CLEAN(TEXT($D116, ""@""))),
      Recording!$AA:$AA = 1
    ),
    1
  ),
  ""Not Found""
)
"),"https://drive.google.com/file/d/1Ger7GrAnAx-MUdWrlAXsCNeh4PkCIrBN/view?usp=sharing")</f>
        <v>https://drive.google.com/file/d/1Ger7GrAnAx-MUdWrlAXsCNeh4PkCIrBN/view?usp=sharing</v>
      </c>
      <c r="F1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1!$E:$E"")=$D116) *
        (IMPORTRANGE(""https://docs.google.com/spreadsheets/d/161aHT6vVT3SLneTKD19N5qVWtnj_jIT8CSsOmUVKmaA"&amp;"/edit?gid=1761053510"",
          ""Haris_Form responses 1!$AQ:$AQ"")=1)
      ),
      1
    ),
    ""0""
  ),
  ""Form not found""
)
"),"1")</f>
        <v>1</v>
      </c>
      <c r="G116" s="245" t="str">
        <f>IFERROR(__xludf.DUMMYFUNCTION("IFERROR(
  INDEX(
    FILTER(
      Transcription!$AJ:$AJ,
      TRIM(CLEAN(TEXT(Transcription!$F:$F, ""@""))) = TRIM(CLEAN(TEXT($D116, ""@""))),
      Transcription!$AO:$AO = 1
    ),
    1
  ),
  ""Not Found""
)
"),"https://drive.google.com/open?id=1TYjk-rmVjvr14s6LI0MZYvKHjC4etpD9")</f>
        <v>https://drive.google.com/open?id=1TYjk-rmVjvr14s6LI0MZYvKHjC4etpD9</v>
      </c>
      <c r="H116" s="244" t="str">
        <f>IFERROR(__xludf.DUMMYFUNCTION("IFERROR(
  INDEX(
    FILTER(
      Recording!$U:$U,
      TRIM(CLEAN(TEXT(Recording!$E:$E, ""@""))) = TRIM(CLEAN(TEXT($D116, ""@""))),
      Recording!$AA:$AA = 2
    ),
    1
  ),
  ""Not Found""
)
"),"https://drive.google.com/file/d/1khDkS4QC6Pe4TqxcO_YSKt8d9HzTOHXs/view?usp=sharing")</f>
        <v>https://drive.google.com/file/d/1khDkS4QC6Pe4TqxcO_YSKt8d9HzTOHXs/view?usp=sharing</v>
      </c>
      <c r="I1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1!$E:$E"")=$D116) *
        (IMPORTRANGE(""https://docs.google.com/spreadsheets/d/161aHT6vVT3SLneTKD19N5qVWtnj_jIT8CSsOmUVKmaA"&amp;"/edit?gid=1761053510"",
          ""Haris_Form responses 1!$AQ:$AQ"")=2)
      ),
      1
    ),
    ""0""
  ),
  ""Form not found""
)
"),"2")</f>
        <v>2</v>
      </c>
      <c r="J116" s="245" t="str">
        <f>IFERROR(__xludf.DUMMYFUNCTION("IFERROR(
  INDEX(
    FILTER(
      Transcription!$AJ:$AJ,
      TRIM(CLEAN(TEXT(Transcription!$F:$F, ""@""))) = TRIM(CLEAN(TEXT($D116, ""@""))),
      Transcription!$AO:$AO = 2
    ),
    1
  ),
  ""Not Found""
)
"),"https://drive.google.com/open?id=1MWCbsyuZiCEi89YD1cvdtBfClz_UtoSG")</f>
        <v>https://drive.google.com/open?id=1MWCbsyuZiCEi89YD1cvdtBfClz_UtoSG</v>
      </c>
      <c r="K116" s="244" t="str">
        <f>IFERROR(__xludf.DUMMYFUNCTION("IFERROR(
  INDEX(
    FILTER(
      Recording!$U:$U,
      TRIM(CLEAN(TEXT(Recording!$E:$E, ""@""))) = TRIM(CLEAN(TEXT($D116, ""@""))),
      Recording!$AA:$AA = 3
    ),
    1
  ),
  ""Not Found""
)
"),"https://drive.google.com/file/d/1GmExB1ly3LPCq2jRKxd-Z_j33v51ZYHY/view?usp=sharing")</f>
        <v>https://drive.google.com/file/d/1GmExB1ly3LPCq2jRKxd-Z_j33v51ZYHY/view?usp=sharing</v>
      </c>
      <c r="L1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1!$E:$E"")=$D116) *
        (IMPORTRANGE(""https://docs.google.com/spreadsheets/d/161aHT6vVT3SLneTKD19N5qVWtnj_jIT8CSsOmUVKmaA"&amp;"/edit?gid=1761053510"",
          ""Haris_Form responses 1!$AQ:$AQ"")=3)
      ),
      1
    ),
    ""0""
  ),
  ""Form not found""
)
"),"3")</f>
        <v>3</v>
      </c>
      <c r="M116" s="245" t="str">
        <f>IFERROR(__xludf.DUMMYFUNCTION("IFERROR(
  INDEX(
    FILTER(
      Transcription!$AJ:$AJ,
      TRIM(CLEAN(TEXT(Transcription!$F:$F, ""@""))) = TRIM(CLEAN(TEXT($D116, ""@""))),
      Transcription!$AO:$AO = 3
    ),
    1
  ),
  ""Not Found""
)
"),"https://drive.google.com/open?id=19w9sqs77KEdyDJNPn9TNbyUOxCZwlpzC")</f>
        <v>https://drive.google.com/open?id=19w9sqs77KEdyDJNPn9TNbyUOxCZwlpzC</v>
      </c>
      <c r="N116" s="246" t="str">
        <f>IFERROR(__xludf.DUMMYFUNCTION("IFERROR(
  INDEX(
    FILTER(
      Recording!$U:$U,
      TRIM(CLEAN(TEXT(Recording!$E:$E, ""@""))) = TRIM(CLEAN(TEXT($D116, ""@""))),
      Recording!$AA:$AA = 4
    ),
    1
  ),
  ""Not Found""
)
"),"Not Found")</f>
        <v>Not Found</v>
      </c>
      <c r="O1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1!$E:$E"")=$D116) *
        (IMPORTRANGE(""https://docs.google.com/spreadsheets/d/161aHT6vVT3SLneTKD19N5qVWtnj_jIT8CSsOmUVKmaA"&amp;"/edit?gid=1761053510"",
          ""Haris_Form responses 1!$AQ:$AQ"")=4)
      ),
      1
    ),
    ""0""
  ),
  ""Form not found""
)
"),"Form not found")</f>
        <v>Form not found</v>
      </c>
      <c r="P116" s="247" t="str">
        <f>IFERROR(__xludf.DUMMYFUNCTION("IFERROR(
  INDEX(
    FILTER(
      Transcription!$AJ:$AJ,
      TRIM(CLEAN(TEXT(Transcription!$F:$F, ""@""))) = TRIM(CLEAN(TEXT($D116, ""@""))),
      Transcription!$AO:$AO = 4
    ),
    1
  ),
  ""Not Found""
)
"),"Not Found")</f>
        <v>Not Found</v>
      </c>
      <c r="Q116" s="246" t="str">
        <f>IFERROR(__xludf.DUMMYFUNCTION("IFERROR(
  INDEX(
    FILTER(
      Recording!$U:$U,
      TRIM(CLEAN(TEXT(Recording!$E:$E, ""@""))) = TRIM(CLEAN(TEXT($D116, ""@""))),
      Recording!$AA:$AA = 5
    ),
    1
  ),
  ""Not Found""
)
"),"Not Found")</f>
        <v>Not Found</v>
      </c>
      <c r="R1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1!$E:$E"")=$D116) *
        (IMPORTRANGE(""https://docs.google.com/spreadsheets/d/161aHT6vVT3SLneTKD19N5qVWtnj_jIT8CSsOmUVKmaA"&amp;"/edit?gid=1761053510"",
          ""Haris_Form responses 1!$AQ:$AQ"")=5)
      ),
      1
    ),
    ""0""
  ),
  ""Form not found""
)
"),"Form not found")</f>
        <v>Form not found</v>
      </c>
      <c r="S116" s="247" t="str">
        <f>IFERROR(__xludf.DUMMYFUNCTION("IFERROR(
  INDEX(
    FILTER(
      Transcription!$AJ:$AJ,
      TRIM(CLEAN(TEXT(Transcription!$F:$F, ""@""))) = TRIM(CLEAN(TEXT($D116, ""@""))),
      Transcription!$AO:$AO = 5
    ),
    1
  ),
  ""Not Found""
)
"),"Not Found")</f>
        <v>Not Found</v>
      </c>
      <c r="T116" s="248" t="str">
        <f>IFERROR(__xludf.DUMMYFUNCTION("IFERROR(
  INDEX(
    FILTER(
      Recording!$U:$U,
      TRIM(CLEAN(TEXT(Recording!$E:$E, ""@""))) = TRIM(CLEAN(TEXT($D116, ""@""))),
      Recording!$AA:$AA = 6
    ),
    1
  ),
  ""Not Found""
)
"),"Not Found")</f>
        <v>Not Found</v>
      </c>
      <c r="U1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1!$E:$E"")=$D116) *
        (IMPORTRANGE(""https://docs.google.com/spreadsheets/d/161aHT6vVT3SLneTKD19N5qVWtnj_jIT8CSsOmUVKmaA"&amp;"/edit?gid=1761053510"",
          ""Haris_Form responses 1!$AQ:$AQ"")=6)
      ),
      1
    ),
    ""0""
  ),
  ""Form not found""
)
"),"Form not found")</f>
        <v>Form not found</v>
      </c>
      <c r="V116" s="247" t="str">
        <f>IFERROR(__xludf.DUMMYFUNCTION("IFERROR(
  INDEX(
    FILTER(
      Transcription!$AJ:$AJ,
      TRIM(CLEAN(TEXT(Transcription!$F:$F, ""@""))) = TRIM(CLEAN(TEXT($D116, ""@""))),
      Transcription!$AO:$AO = 6
    ),
    1
  ),
  ""Not Found""
)
"),"Not Found")</f>
        <v>Not Found</v>
      </c>
      <c r="Z116" s="10">
        <f t="shared" si="1"/>
        <v>3</v>
      </c>
      <c r="AA116" s="10">
        <f t="shared" si="2"/>
        <v>0</v>
      </c>
    </row>
    <row r="117">
      <c r="A117" s="8" t="str">
        <f>VLOOKUP($D117,Sheet6!$B:$G,5,FALSE)</f>
        <v>Sargodha</v>
      </c>
      <c r="B117" s="232" t="str">
        <f>VLOOKUP($D117,Sheet6!$B:$G,4,FALSE)</f>
        <v>Community Religious No Info Share</v>
      </c>
      <c r="C117" s="8">
        <v>3.0</v>
      </c>
      <c r="D117" s="8" t="s">
        <v>4565</v>
      </c>
      <c r="E117" s="258" t="str">
        <f>IFERROR(__xludf.DUMMYFUNCTION("IFERROR(
  INDEX(
    FILTER(
      Recording!$U:$U,
      TRIM(CLEAN(TEXT(Recording!$E:$E, ""@""))) = TRIM(CLEAN(TEXT($D117, ""@""))),
      Recording!$AA:$AA = 1
    ),
    1
  ),
  ""Not Found""
)
"),"https://drive.google.com/open?id=1mF_Y4DWeChm-GK-O-rfQ6MvR5Pqq-nfB")</f>
        <v>https://drive.google.com/open?id=1mF_Y4DWeChm-GK-O-rfQ6MvR5Pqq-nfB</v>
      </c>
      <c r="F1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1!$E:$E"")=$D117) *
        (IMPORTRANGE(""https://docs.google.com/spreadsheets/d/161aHT6vVT3SLneTKD19N5qVWtnj_jIT8CSsOmUVKmaA"&amp;"/edit?gid=1761053510"",
          ""Haris_Form responses 1!$AQ:$AQ"")=1)
      ),
      1
    ),
    ""0""
  ),
  ""Form not found""
)
"),"1")</f>
        <v>1</v>
      </c>
      <c r="G117" s="247" t="str">
        <f>IFERROR(__xludf.DUMMYFUNCTION("IFERROR(
  INDEX(
    FILTER(
      Transcription!$AJ:$AJ,
      TRIM(CLEAN(TEXT(Transcription!$F:$F, ""@""))) = TRIM(CLEAN(TEXT($D117, ""@""))),
      Transcription!$AO:$AO = 1
    ),
    1
  ),
  ""Not Found""
)
"),"Not Found")</f>
        <v>Not Found</v>
      </c>
      <c r="H117" s="258" t="str">
        <f>IFERROR(__xludf.DUMMYFUNCTION("IFERROR(
  INDEX(
    FILTER(
      Recording!$U:$U,
      TRIM(CLEAN(TEXT(Recording!$E:$E, ""@""))) = TRIM(CLEAN(TEXT($D117, ""@""))),
      Recording!$AA:$AA = 2
    ),
    1
  ),
  ""Not Found""
)
"),"https://drive.google.com/open?id=18Glgm-JENXIOelSAUHx4c9Vv5ZU9Pbi_")</f>
        <v>https://drive.google.com/open?id=18Glgm-JENXIOelSAUHx4c9Vv5ZU9Pbi_</v>
      </c>
      <c r="I1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1!$E:$E"")=$D117) *
        (IMPORTRANGE(""https://docs.google.com/spreadsheets/d/161aHT6vVT3SLneTKD19N5qVWtnj_jIT8CSsOmUVKmaA"&amp;"/edit?gid=1761053510"",
          ""Haris_Form responses 1!$AQ:$AQ"")=2)
      ),
      1
    ),
    ""0""
  ),
  ""Form not found""
)
"),"2")</f>
        <v>2</v>
      </c>
      <c r="J117" s="247" t="str">
        <f>IFERROR(__xludf.DUMMYFUNCTION("IFERROR(
  INDEX(
    FILTER(
      Transcription!$AJ:$AJ,
      TRIM(CLEAN(TEXT(Transcription!$F:$F, ""@""))) = TRIM(CLEAN(TEXT($D117, ""@""))),
      Transcription!$AO:$AO = 2
    ),
    1
  ),
  ""Not Found""
)
"),"Not Found")</f>
        <v>Not Found</v>
      </c>
      <c r="K117" s="259" t="str">
        <f>IFERROR(__xludf.DUMMYFUNCTION("IFERROR(
  INDEX(
    FILTER(
      Recording!$U:$U,
      TRIM(CLEAN(TEXT(Recording!$E:$E, ""@""))) = TRIM(CLEAN(TEXT($D117, ""@""))),
      Recording!$AA:$AA = 3
    ),
    1
  ),
  ""Not Found""
)
"),"https://drive.google.com/file/d/1g-n-OmT5GNKP4BHKPeNPIOjUQjzpBF5m/view?usp=drive_link")</f>
        <v>https://drive.google.com/file/d/1g-n-OmT5GNKP4BHKPeNPIOjUQjzpBF5m/view?usp=drive_link</v>
      </c>
      <c r="L1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1!$E:$E"")=$D117) *
        (IMPORTRANGE(""https://docs.google.com/spreadsheets/d/161aHT6vVT3SLneTKD19N5qVWtnj_jIT8CSsOmUVKmaA"&amp;"/edit?gid=1761053510"",
          ""Haris_Form responses 1!$AQ:$AQ"")=3)
      ),
      1
    ),
    ""0""
  ),
  ""Form not found""
)
"),"3")</f>
        <v>3</v>
      </c>
      <c r="M117" s="245" t="str">
        <f>IFERROR(__xludf.DUMMYFUNCTION("IFERROR(
  INDEX(
    FILTER(
      Transcription!$AJ:$AJ,
      TRIM(CLEAN(TEXT(Transcription!$F:$F, ""@""))) = TRIM(CLEAN(TEXT($D117, ""@""))),
      Transcription!$AO:$AO = 3
    ),
    1
  ),
  ""Not Found""
)
"),"https://drive.google.com/open?id=1Ag8a-t613yBWzbABwyZ_aivXHfD72NCw")</f>
        <v>https://drive.google.com/open?id=1Ag8a-t613yBWzbABwyZ_aivXHfD72NCw</v>
      </c>
      <c r="N117" s="246" t="str">
        <f>IFERROR(__xludf.DUMMYFUNCTION("IFERROR(
  INDEX(
    FILTER(
      Recording!$U:$U,
      TRIM(CLEAN(TEXT(Recording!$E:$E, ""@""))) = TRIM(CLEAN(TEXT($D117, ""@""))),
      Recording!$AA:$AA = 4
    ),
    1
  ),
  ""Not Found""
)
"),"Not Found")</f>
        <v>Not Found</v>
      </c>
      <c r="O1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1!$E:$E"")=$D117) *
        (IMPORTRANGE(""https://docs.google.com/spreadsheets/d/161aHT6vVT3SLneTKD19N5qVWtnj_jIT8CSsOmUVKmaA"&amp;"/edit?gid=1761053510"",
          ""Haris_Form responses 1!$AQ:$AQ"")=4)
      ),
      1
    ),
    ""0""
  ),
  ""Form not found""
)
"),"Form not found")</f>
        <v>Form not found</v>
      </c>
      <c r="P117" s="247" t="str">
        <f>IFERROR(__xludf.DUMMYFUNCTION("IFERROR(
  INDEX(
    FILTER(
      Transcription!$AJ:$AJ,
      TRIM(CLEAN(TEXT(Transcription!$F:$F, ""@""))) = TRIM(CLEAN(TEXT($D117, ""@""))),
      Transcription!$AO:$AO = 4
    ),
    1
  ),
  ""Not Found""
)
"),"Not Found")</f>
        <v>Not Found</v>
      </c>
      <c r="Q117" s="246" t="str">
        <f>IFERROR(__xludf.DUMMYFUNCTION("IFERROR(
  INDEX(
    FILTER(
      Recording!$U:$U,
      TRIM(CLEAN(TEXT(Recording!$E:$E, ""@""))) = TRIM(CLEAN(TEXT($D117, ""@""))),
      Recording!$AA:$AA = 5
    ),
    1
  ),
  ""Not Found""
)
"),"Not Found")</f>
        <v>Not Found</v>
      </c>
      <c r="R1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1!$E:$E"")=$D117) *
        (IMPORTRANGE(""https://docs.google.com/spreadsheets/d/161aHT6vVT3SLneTKD19N5qVWtnj_jIT8CSsOmUVKmaA"&amp;"/edit?gid=1761053510"",
          ""Haris_Form responses 1!$AQ:$AQ"")=5)
      ),
      1
    ),
    ""0""
  ),
  ""Form not found""
)
"),"Form not found")</f>
        <v>Form not found</v>
      </c>
      <c r="S117" s="247" t="str">
        <f>IFERROR(__xludf.DUMMYFUNCTION("IFERROR(
  INDEX(
    FILTER(
      Transcription!$AJ:$AJ,
      TRIM(CLEAN(TEXT(Transcription!$F:$F, ""@""))) = TRIM(CLEAN(TEXT($D117, ""@""))),
      Transcription!$AO:$AO = 5
    ),
    1
  ),
  ""Not Found""
)
"),"Not Found")</f>
        <v>Not Found</v>
      </c>
      <c r="T117" s="248" t="str">
        <f>IFERROR(__xludf.DUMMYFUNCTION("IFERROR(
  INDEX(
    FILTER(
      Recording!$U:$U,
      TRIM(CLEAN(TEXT(Recording!$E:$E, ""@""))) = TRIM(CLEAN(TEXT($D117, ""@""))),
      Recording!$AA:$AA = 6
    ),
    1
  ),
  ""Not Found""
)
"),"Not Found")</f>
        <v>Not Found</v>
      </c>
      <c r="U1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1!$E:$E"")=$D117) *
        (IMPORTRANGE(""https://docs.google.com/spreadsheets/d/161aHT6vVT3SLneTKD19N5qVWtnj_jIT8CSsOmUVKmaA"&amp;"/edit?gid=1761053510"",
          ""Haris_Form responses 1!$AQ:$AQ"")=6)
      ),
      1
    ),
    ""0""
  ),
  ""Form not found""
)
"),"Form not found")</f>
        <v>Form not found</v>
      </c>
      <c r="V117" s="247" t="str">
        <f>IFERROR(__xludf.DUMMYFUNCTION("IFERROR(
  INDEX(
    FILTER(
      Transcription!$AJ:$AJ,
      TRIM(CLEAN(TEXT(Transcription!$F:$F, ""@""))) = TRIM(CLEAN(TEXT($D117, ""@""))),
      Transcription!$AO:$AO = 6
    ),
    1
  ),
  ""Not Found""
)
"),"Not Found")</f>
        <v>Not Found</v>
      </c>
      <c r="X117" s="260" t="s">
        <v>4566</v>
      </c>
      <c r="Z117" s="10">
        <f t="shared" si="1"/>
        <v>3</v>
      </c>
      <c r="AA117" s="10">
        <f t="shared" si="2"/>
        <v>0</v>
      </c>
    </row>
    <row r="118">
      <c r="A118" s="8" t="str">
        <f>VLOOKUP($D118,Sheet6!$B:$G,5,FALSE)</f>
        <v>Sargodha</v>
      </c>
      <c r="B118" s="232" t="str">
        <f>VLOOKUP($D118,Sheet6!$B:$G,4,FALSE)</f>
        <v>Community Secular Info Share</v>
      </c>
      <c r="C118" s="8">
        <v>3.0</v>
      </c>
      <c r="D118" s="8" t="s">
        <v>4567</v>
      </c>
      <c r="E118" s="244" t="str">
        <f>IFERROR(__xludf.DUMMYFUNCTION("IFERROR(
  INDEX(
    FILTER(
      Recording!$U:$U,
      TRIM(CLEAN(TEXT(Recording!$E:$E, ""@""))) = TRIM(CLEAN(TEXT($D118, ""@""))),
      Recording!$AA:$AA = 1
    ),
    1
  ),
  ""Not Found""
)
"),"https://drive.google.com/open?id=1Sx56JWlqXnN_rDmo7FlIlzxA2JFQQvYK")</f>
        <v>https://drive.google.com/open?id=1Sx56JWlqXnN_rDmo7FlIlzxA2JFQQvYK</v>
      </c>
      <c r="F1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1!$E:$E"")=$D118) *
        (IMPORTRANGE(""https://docs.google.com/spreadsheets/d/161aHT6vVT3SLneTKD19N5qVWtnj_jIT8CSsOmUVKmaA"&amp;"/edit?gid=1761053510"",
          ""Haris_Form responses 1!$AQ:$AQ"")=1)
      ),
      1
    ),
    ""0""
  ),
  ""Form not found""
)
"),"1")</f>
        <v>1</v>
      </c>
      <c r="G118" s="245" t="str">
        <f>IFERROR(__xludf.DUMMYFUNCTION("IFERROR(
  INDEX(
    FILTER(
      Transcription!$AJ:$AJ,
      TRIM(CLEAN(TEXT(Transcription!$F:$F, ""@""))) = TRIM(CLEAN(TEXT($D118, ""@""))),
      Transcription!$AO:$AO = 1
    ),
    1
  ),
  ""Not Found""
)
"),"https://drive.google.com/open?id=15ch7cBuUfChLvc-Z5TcgqVuFkIMH0VXu")</f>
        <v>https://drive.google.com/open?id=15ch7cBuUfChLvc-Z5TcgqVuFkIMH0VXu</v>
      </c>
      <c r="H118" s="244" t="str">
        <f>IFERROR(__xludf.DUMMYFUNCTION("IFERROR(
  INDEX(
    FILTER(
      Recording!$U:$U,
      TRIM(CLEAN(TEXT(Recording!$E:$E, ""@""))) = TRIM(CLEAN(TEXT($D118, ""@""))),
      Recording!$AA:$AA = 2
    ),
    1
  ),
  ""Not Found""
)
"),"https://drive.google.com/open?id=1goAqnN0TFUldbi9B7vOLMXIpAl6SbToh")</f>
        <v>https://drive.google.com/open?id=1goAqnN0TFUldbi9B7vOLMXIpAl6SbToh</v>
      </c>
      <c r="I1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1!$E:$E"")=$D118) *
        (IMPORTRANGE(""https://docs.google.com/spreadsheets/d/161aHT6vVT3SLneTKD19N5qVWtnj_jIT8CSsOmUVKmaA"&amp;"/edit?gid=1761053510"",
          ""Haris_Form responses 1!$AQ:$AQ"")=2)
      ),
      1
    ),
    ""0""
  ),
  ""Form not found""
)
"),"2")</f>
        <v>2</v>
      </c>
      <c r="J118" s="245" t="str">
        <f>IFERROR(__xludf.DUMMYFUNCTION("IFERROR(
  INDEX(
    FILTER(
      Transcription!$AJ:$AJ,
      TRIM(CLEAN(TEXT(Transcription!$F:$F, ""@""))) = TRIM(CLEAN(TEXT($D118, ""@""))),
      Transcription!$AO:$AO = 2
    ),
    1
  ),
  ""Not Found""
)
"),"https://drive.google.com/open?id=1NgBvmr57d7zvpzt0YE2ozEthbgEI7eYm")</f>
        <v>https://drive.google.com/open?id=1NgBvmr57d7zvpzt0YE2ozEthbgEI7eYm</v>
      </c>
      <c r="K118" s="244" t="str">
        <f>IFERROR(__xludf.DUMMYFUNCTION("IFERROR(
  INDEX(
    FILTER(
      Recording!$U:$U,
      TRIM(CLEAN(TEXT(Recording!$E:$E, ""@""))) = TRIM(CLEAN(TEXT($D118, ""@""))),
      Recording!$AA:$AA = 3
    ),
    1
  ),
  ""Not Found""
)
"),"https://drive.google.com/open?id=1jGbvnSaohPxducctb-AOySmbFHvZWNUs")</f>
        <v>https://drive.google.com/open?id=1jGbvnSaohPxducctb-AOySmbFHvZWNUs</v>
      </c>
      <c r="L1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1!$E:$E"")=$D118) *
        (IMPORTRANGE(""https://docs.google.com/spreadsheets/d/161aHT6vVT3SLneTKD19N5qVWtnj_jIT8CSsOmUVKmaA"&amp;"/edit?gid=1761053510"",
          ""Haris_Form responses 1!$AQ:$AQ"")=3)
      ),
      1
    ),
    ""0""
  ),
  ""Form not found""
)
"),"3")</f>
        <v>3</v>
      </c>
      <c r="M118" s="245" t="str">
        <f>IFERROR(__xludf.DUMMYFUNCTION("IFERROR(
  INDEX(
    FILTER(
      Transcription!$AJ:$AJ,
      TRIM(CLEAN(TEXT(Transcription!$F:$F, ""@""))) = TRIM(CLEAN(TEXT($D118, ""@""))),
      Transcription!$AO:$AO = 3
    ),
    1
  ),
  ""Not Found""
)
"),"https://drive.google.com/open?id=1-iJXkVn2diVcTqSxuzZ-9HYC1wo2zTOx")</f>
        <v>https://drive.google.com/open?id=1-iJXkVn2diVcTqSxuzZ-9HYC1wo2zTOx</v>
      </c>
      <c r="N118" s="246" t="str">
        <f>IFERROR(__xludf.DUMMYFUNCTION("IFERROR(
  INDEX(
    FILTER(
      Recording!$U:$U,
      TRIM(CLEAN(TEXT(Recording!$E:$E, ""@""))) = TRIM(CLEAN(TEXT($D118, ""@""))),
      Recording!$AA:$AA = 4
    ),
    1
  ),
  ""Not Found""
)
"),"Not Found")</f>
        <v>Not Found</v>
      </c>
      <c r="O1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1!$E:$E"")=$D118) *
        (IMPORTRANGE(""https://docs.google.com/spreadsheets/d/161aHT6vVT3SLneTKD19N5qVWtnj_jIT8CSsOmUVKmaA"&amp;"/edit?gid=1761053510"",
          ""Haris_Form responses 1!$AQ:$AQ"")=4)
      ),
      1
    ),
    ""0""
  ),
  ""Form not found""
)
"),"Form not found")</f>
        <v>Form not found</v>
      </c>
      <c r="P118" s="247" t="str">
        <f>IFERROR(__xludf.DUMMYFUNCTION("IFERROR(
  INDEX(
    FILTER(
      Transcription!$AJ:$AJ,
      TRIM(CLEAN(TEXT(Transcription!$F:$F, ""@""))) = TRIM(CLEAN(TEXT($D118, ""@""))),
      Transcription!$AO:$AO = 4
    ),
    1
  ),
  ""Not Found""
)
"),"Not Found")</f>
        <v>Not Found</v>
      </c>
      <c r="Q118" s="246" t="str">
        <f>IFERROR(__xludf.DUMMYFUNCTION("IFERROR(
  INDEX(
    FILTER(
      Recording!$U:$U,
      TRIM(CLEAN(TEXT(Recording!$E:$E, ""@""))) = TRIM(CLEAN(TEXT($D118, ""@""))),
      Recording!$AA:$AA = 5
    ),
    1
  ),
  ""Not Found""
)
"),"Not Found")</f>
        <v>Not Found</v>
      </c>
      <c r="R1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1!$E:$E"")=$D118) *
        (IMPORTRANGE(""https://docs.google.com/spreadsheets/d/161aHT6vVT3SLneTKD19N5qVWtnj_jIT8CSsOmUVKmaA"&amp;"/edit?gid=1761053510"",
          ""Haris_Form responses 1!$AQ:$AQ"")=5)
      ),
      1
    ),
    ""0""
  ),
  ""Form not found""
)
"),"Form not found")</f>
        <v>Form not found</v>
      </c>
      <c r="S118" s="247" t="str">
        <f>IFERROR(__xludf.DUMMYFUNCTION("IFERROR(
  INDEX(
    FILTER(
      Transcription!$AJ:$AJ,
      TRIM(CLEAN(TEXT(Transcription!$F:$F, ""@""))) = TRIM(CLEAN(TEXT($D118, ""@""))),
      Transcription!$AO:$AO = 5
    ),
    1
  ),
  ""Not Found""
)
"),"Not Found")</f>
        <v>Not Found</v>
      </c>
      <c r="T118" s="248" t="str">
        <f>IFERROR(__xludf.DUMMYFUNCTION("IFERROR(
  INDEX(
    FILTER(
      Recording!$U:$U,
      TRIM(CLEAN(TEXT(Recording!$E:$E, ""@""))) = TRIM(CLEAN(TEXT($D118, ""@""))),
      Recording!$AA:$AA = 6
    ),
    1
  ),
  ""Not Found""
)
"),"Not Found")</f>
        <v>Not Found</v>
      </c>
      <c r="U1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1!$E:$E"")=$D118) *
        (IMPORTRANGE(""https://docs.google.com/spreadsheets/d/161aHT6vVT3SLneTKD19N5qVWtnj_jIT8CSsOmUVKmaA"&amp;"/edit?gid=1761053510"",
          ""Haris_Form responses 1!$AQ:$AQ"")=6)
      ),
      1
    ),
    ""0""
  ),
  ""Form not found""
)
"),"Form not found")</f>
        <v>Form not found</v>
      </c>
      <c r="V118" s="247" t="str">
        <f>IFERROR(__xludf.DUMMYFUNCTION("IFERROR(
  INDEX(
    FILTER(
      Transcription!$AJ:$AJ,
      TRIM(CLEAN(TEXT(Transcription!$F:$F, ""@""))) = TRIM(CLEAN(TEXT($D118, ""@""))),
      Transcription!$AO:$AO = 6
    ),
    1
  ),
  ""Not Found""
)
"),"Not Found")</f>
        <v>Not Found</v>
      </c>
      <c r="Z118" s="10">
        <f t="shared" si="1"/>
        <v>3</v>
      </c>
      <c r="AA118" s="10">
        <f t="shared" si="2"/>
        <v>0</v>
      </c>
    </row>
    <row r="119">
      <c r="A119" s="8" t="str">
        <f>VLOOKUP($D119,Sheet6!$B:$G,5,FALSE)</f>
        <v>Sargodha</v>
      </c>
      <c r="B119" s="232" t="str">
        <f>VLOOKUP($D119,Sheet6!$B:$G,4,FALSE)</f>
        <v>Control</v>
      </c>
      <c r="C119" s="8">
        <v>2.0</v>
      </c>
      <c r="D119" s="8" t="s">
        <v>4568</v>
      </c>
      <c r="E119" s="244" t="str">
        <f>IFERROR(__xludf.DUMMYFUNCTION("IFERROR(
  INDEX(
    FILTER(
      Recording!$U:$U,
      TRIM(CLEAN(TEXT(Recording!$E:$E, ""@""))) = TRIM(CLEAN(TEXT($D119, ""@""))),
      Recording!$AA:$AA = 1
    ),
    1
  ),
  ""Not Found""
)
"),"https://drive.google.com/open?id=19GGz7sMm_iND9DwRH3bx4x8lDwZH6CBs")</f>
        <v>https://drive.google.com/open?id=19GGz7sMm_iND9DwRH3bx4x8lDwZH6CBs</v>
      </c>
      <c r="F1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1!$E:$E"")=$D119) *
        (IMPORTRANGE(""https://docs.google.com/spreadsheets/d/161aHT6vVT3SLneTKD19N5qVWtnj_jIT8CSsOmUVKmaA"&amp;"/edit?gid=1761053510"",
          ""Haris_Form responses 1!$AQ:$AQ"")=1)
      ),
      1
    ),
    ""0""
  ),
  ""Form not found""
)
"),"1")</f>
        <v>1</v>
      </c>
      <c r="G119" s="245" t="str">
        <f>IFERROR(__xludf.DUMMYFUNCTION("IFERROR(
  INDEX(
    FILTER(
      Transcription!$AJ:$AJ,
      TRIM(CLEAN(TEXT(Transcription!$F:$F, ""@""))) = TRIM(CLEAN(TEXT($D119, ""@""))),
      Transcription!$AO:$AO = 1
    ),
    1
  ),
  ""Not Found""
)
"),"https://drive.google.com/open?id=1gTPXuXjjvNSMJGOOWUnIv8ID7FcvG9K6")</f>
        <v>https://drive.google.com/open?id=1gTPXuXjjvNSMJGOOWUnIv8ID7FcvG9K6</v>
      </c>
      <c r="H119" s="246" t="str">
        <f>IFERROR(__xludf.DUMMYFUNCTION("IFERROR(
  INDEX(
    FILTER(
      Recording!$U:$U,
      TRIM(CLEAN(TEXT(Recording!$E:$E, ""@""))) = TRIM(CLEAN(TEXT($D119, ""@""))),
      Recording!$AA:$AA = 2
    ),
    1
  ),
  ""Not Found""
)
"),"Not Found")</f>
        <v>Not Found</v>
      </c>
      <c r="I1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1!$E:$E"")=$D119) *
        (IMPORTRANGE(""https://docs.google.com/spreadsheets/d/161aHT6vVT3SLneTKD19N5qVWtnj_jIT8CSsOmUVKmaA"&amp;"/edit?gid=1761053510"",
          ""Haris_Form responses 1!$AQ:$AQ"")=2)
      ),
      1
    ),
    ""0""
  ),
  ""Form not found""
)
"),"Form not found")</f>
        <v>Form not found</v>
      </c>
      <c r="J119" s="247" t="str">
        <f>IFERROR(__xludf.DUMMYFUNCTION("IFERROR(
  INDEX(
    FILTER(
      Transcription!$AJ:$AJ,
      TRIM(CLEAN(TEXT(Transcription!$F:$F, ""@""))) = TRIM(CLEAN(TEXT($D119, ""@""))),
      Transcription!$AO:$AO = 2
    ),
    1
  ),
  ""Not Found""
)
"),"Not Found")</f>
        <v>Not Found</v>
      </c>
      <c r="K119" s="244" t="str">
        <f>IFERROR(__xludf.DUMMYFUNCTION("IFERROR(
  INDEX(
    FILTER(
      Recording!$U:$U,
      TRIM(CLEAN(TEXT(Recording!$E:$E, ""@""))) = TRIM(CLEAN(TEXT($D119, ""@""))),
      Recording!$AA:$AA = 3
    ),
    1
  ),
  ""Not Found""
)
"),"https://drive.google.com/open?id=1h58z9A3b0wbNi4ImcIXT0QjTYZ1zvRim")</f>
        <v>https://drive.google.com/open?id=1h58z9A3b0wbNi4ImcIXT0QjTYZ1zvRim</v>
      </c>
      <c r="L1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1!$E:$E"")=$D119) *
        (IMPORTRANGE(""https://docs.google.com/spreadsheets/d/161aHT6vVT3SLneTKD19N5qVWtnj_jIT8CSsOmUVKmaA"&amp;"/edit?gid=1761053510"",
          ""Haris_Form responses 1!$AQ:$AQ"")=3)
      ),
      1
    ),
    ""0""
  ),
  ""Form not found""
)
"),"3")</f>
        <v>3</v>
      </c>
      <c r="M119" s="245" t="str">
        <f>IFERROR(__xludf.DUMMYFUNCTION("IFERROR(
  INDEX(
    FILTER(
      Transcription!$AJ:$AJ,
      TRIM(CLEAN(TEXT(Transcription!$F:$F, ""@""))) = TRIM(CLEAN(TEXT($D119, ""@""))),
      Transcription!$AO:$AO = 3
    ),
    1
  ),
  ""Not Found""
)
"),"https://drive.google.com/open?id=1xcHu2ltKNiOWPE5KKMG11nsyNrWZAItB")</f>
        <v>https://drive.google.com/open?id=1xcHu2ltKNiOWPE5KKMG11nsyNrWZAItB</v>
      </c>
      <c r="N119" s="246" t="str">
        <f>IFERROR(__xludf.DUMMYFUNCTION("IFERROR(
  INDEX(
    FILTER(
      Recording!$U:$U,
      TRIM(CLEAN(TEXT(Recording!$E:$E, ""@""))) = TRIM(CLEAN(TEXT($D119, ""@""))),
      Recording!$AA:$AA = 4
    ),
    1
  ),
  ""Not Found""
)
"),"Not Found")</f>
        <v>Not Found</v>
      </c>
      <c r="O1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1!$E:$E"")=$D119) *
        (IMPORTRANGE(""https://docs.google.com/spreadsheets/d/161aHT6vVT3SLneTKD19N5qVWtnj_jIT8CSsOmUVKmaA"&amp;"/edit?gid=1761053510"",
          ""Haris_Form responses 1!$AQ:$AQ"")=4)
      ),
      1
    ),
    ""0""
  ),
  ""Form not found""
)
"),"Form not found")</f>
        <v>Form not found</v>
      </c>
      <c r="P119" s="247" t="str">
        <f>IFERROR(__xludf.DUMMYFUNCTION("IFERROR(
  INDEX(
    FILTER(
      Transcription!$AJ:$AJ,
      TRIM(CLEAN(TEXT(Transcription!$F:$F, ""@""))) = TRIM(CLEAN(TEXT($D119, ""@""))),
      Transcription!$AO:$AO = 4
    ),
    1
  ),
  ""Not Found""
)
"),"Not Found")</f>
        <v>Not Found</v>
      </c>
      <c r="Q119" s="246" t="str">
        <f>IFERROR(__xludf.DUMMYFUNCTION("IFERROR(
  INDEX(
    FILTER(
      Recording!$U:$U,
      TRIM(CLEAN(TEXT(Recording!$E:$E, ""@""))) = TRIM(CLEAN(TEXT($D119, ""@""))),
      Recording!$AA:$AA = 5
    ),
    1
  ),
  ""Not Found""
)
"),"Not Found")</f>
        <v>Not Found</v>
      </c>
      <c r="R1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1!$E:$E"")=$D119) *
        (IMPORTRANGE(""https://docs.google.com/spreadsheets/d/161aHT6vVT3SLneTKD19N5qVWtnj_jIT8CSsOmUVKmaA"&amp;"/edit?gid=1761053510"",
          ""Haris_Form responses 1!$AQ:$AQ"")=5)
      ),
      1
    ),
    ""0""
  ),
  ""Form not found""
)
"),"Form not found")</f>
        <v>Form not found</v>
      </c>
      <c r="S119" s="247" t="str">
        <f>IFERROR(__xludf.DUMMYFUNCTION("IFERROR(
  INDEX(
    FILTER(
      Transcription!$AJ:$AJ,
      TRIM(CLEAN(TEXT(Transcription!$F:$F, ""@""))) = TRIM(CLEAN(TEXT($D119, ""@""))),
      Transcription!$AO:$AO = 5
    ),
    1
  ),
  ""Not Found""
)
"),"Not Found")</f>
        <v>Not Found</v>
      </c>
      <c r="T119" s="246" t="str">
        <f>IFERROR(__xludf.DUMMYFUNCTION("IFERROR(
  INDEX(
    FILTER(
      Recording!$U:$U,
      TRIM(CLEAN(TEXT(Recording!$E:$E, ""@""))) = TRIM(CLEAN(TEXT($D119, ""@""))),
      Recording!$AA:$AA = 6
    ),
    1
  ),
  ""Not Found""
)
"),"Not Found")</f>
        <v>Not Found</v>
      </c>
      <c r="U1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1!$E:$E"")=$D119) *
        (IMPORTRANGE(""https://docs.google.com/spreadsheets/d/161aHT6vVT3SLneTKD19N5qVWtnj_jIT8CSsOmUVKmaA"&amp;"/edit?gid=1761053510"",
          ""Haris_Form responses 1!$AQ:$AQ"")=6)
      ),
      1
    ),
    ""0""
  ),
  ""Form not found""
)
"),"Form not found")</f>
        <v>Form not found</v>
      </c>
      <c r="V119" s="247" t="str">
        <f>IFERROR(__xludf.DUMMYFUNCTION("IFERROR(
  INDEX(
    FILTER(
      Transcription!$AJ:$AJ,
      TRIM(CLEAN(TEXT(Transcription!$F:$F, ""@""))) = TRIM(CLEAN(TEXT($D119, ""@""))),
      Transcription!$AO:$AO = 6
    ),
    1
  ),
  ""Not Found""
)
"),"Not Found")</f>
        <v>Not Found</v>
      </c>
      <c r="Z119" s="10">
        <f t="shared" si="1"/>
        <v>2</v>
      </c>
      <c r="AA119" s="10">
        <f t="shared" si="2"/>
        <v>0</v>
      </c>
    </row>
    <row r="120">
      <c r="A120" s="8" t="str">
        <f>VLOOKUP($D120,Sheet6!$B:$G,5,FALSE)</f>
        <v>Sargodha</v>
      </c>
      <c r="B120" s="232" t="str">
        <f>VLOOKUP($D120,Sheet6!$B:$G,4,FALSE)</f>
        <v>Women Religious Info Share</v>
      </c>
      <c r="C120" s="8">
        <v>3.0</v>
      </c>
      <c r="D120" s="8" t="s">
        <v>4569</v>
      </c>
      <c r="E120" s="244" t="str">
        <f>IFERROR(__xludf.DUMMYFUNCTION("IFERROR(
  INDEX(
    FILTER(
      Recording!$U:$U,
      TRIM(CLEAN(TEXT(Recording!$E:$E, ""@""))) = TRIM(CLEAN(TEXT($D120, ""@""))),
      Recording!$AA:$AA = 1
    ),
    1
  ),
  ""Not Found""
)
"),"https://drive.google.com/open?id=10CdULj9PqPP98DZFODgS3QHEEBAcvtry")</f>
        <v>https://drive.google.com/open?id=10CdULj9PqPP98DZFODgS3QHEEBAcvtry</v>
      </c>
      <c r="F1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1!$E:$E"")=$D120) *
        (IMPORTRANGE(""https://docs.google.com/spreadsheets/d/161aHT6vVT3SLneTKD19N5qVWtnj_jIT8CSsOmUVKmaA"&amp;"/edit?gid=1761053510"",
          ""Haris_Form responses 1!$AQ:$AQ"")=1)
      ),
      1
    ),
    ""0""
  ),
  ""Form not found""
)
"),"1")</f>
        <v>1</v>
      </c>
      <c r="G120" s="245" t="str">
        <f>IFERROR(__xludf.DUMMYFUNCTION("IFERROR(
  INDEX(
    FILTER(
      Transcription!$AJ:$AJ,
      TRIM(CLEAN(TEXT(Transcription!$F:$F, ""@""))) = TRIM(CLEAN(TEXT($D120, ""@""))),
      Transcription!$AO:$AO = 1
    ),
    1
  ),
  ""Not Found""
)
"),"https://drive.google.com/open?id=1CZGcuDZuGXdQeF4X5iu8gF0nZK79rUKx")</f>
        <v>https://drive.google.com/open?id=1CZGcuDZuGXdQeF4X5iu8gF0nZK79rUKx</v>
      </c>
      <c r="H120" s="244" t="str">
        <f>IFERROR(__xludf.DUMMYFUNCTION("IFERROR(
  INDEX(
    FILTER(
      Recording!$U:$U,
      TRIM(CLEAN(TEXT(Recording!$E:$E, ""@""))) = TRIM(CLEAN(TEXT($D120, ""@""))),
      Recording!$AA:$AA = 2
    ),
    1
  ),
  ""Not Found""
)
"),"https://drive.google.com/open?id=1w7gR53IHsvEBy30bwV3_8zRiCsjNAZPL")</f>
        <v>https://drive.google.com/open?id=1w7gR53IHsvEBy30bwV3_8zRiCsjNAZPL</v>
      </c>
      <c r="I1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1!$E:$E"")=$D120) *
        (IMPORTRANGE(""https://docs.google.com/spreadsheets/d/161aHT6vVT3SLneTKD19N5qVWtnj_jIT8CSsOmUVKmaA"&amp;"/edit?gid=1761053510"",
          ""Haris_Form responses 1!$AQ:$AQ"")=2)
      ),
      1
    ),
    ""0""
  ),
  ""Form not found""
)
"),"2")</f>
        <v>2</v>
      </c>
      <c r="J120" s="245" t="str">
        <f>IFERROR(__xludf.DUMMYFUNCTION("IFERROR(
  INDEX(
    FILTER(
      Transcription!$AJ:$AJ,
      TRIM(CLEAN(TEXT(Transcription!$F:$F, ""@""))) = TRIM(CLEAN(TEXT($D120, ""@""))),
      Transcription!$AO:$AO = 2
    ),
    1
  ),
  ""Not Found""
)
"),"https://drive.google.com/open?id=1PkiDQOL_GavyBUotvEO5VTE5FK2kcO30")</f>
        <v>https://drive.google.com/open?id=1PkiDQOL_GavyBUotvEO5VTE5FK2kcO30</v>
      </c>
      <c r="K120" s="244" t="str">
        <f>IFERROR(__xludf.DUMMYFUNCTION("IFERROR(
  INDEX(
    FILTER(
      Recording!$U:$U,
      TRIM(CLEAN(TEXT(Recording!$E:$E, ""@""))) = TRIM(CLEAN(TEXT($D120, ""@""))),
      Recording!$AA:$AA = 3
    ),
    1
  ),
  ""Not Found""
)
"),"https://drive.google.com/open?id=1aGseX32o-9Qj3RpZbfdshiPTvsvk8Z6W")</f>
        <v>https://drive.google.com/open?id=1aGseX32o-9Qj3RpZbfdshiPTvsvk8Z6W</v>
      </c>
      <c r="L1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1!$E:$E"")=$D120) *
        (IMPORTRANGE(""https://docs.google.com/spreadsheets/d/161aHT6vVT3SLneTKD19N5qVWtnj_jIT8CSsOmUVKmaA"&amp;"/edit?gid=1761053510"",
          ""Haris_Form responses 1!$AQ:$AQ"")=3)
      ),
      1
    ),
    ""0""
  ),
  ""Form not found""
)
"),"3")</f>
        <v>3</v>
      </c>
      <c r="M120" s="245" t="str">
        <f>IFERROR(__xludf.DUMMYFUNCTION("IFERROR(
  INDEX(
    FILTER(
      Transcription!$AJ:$AJ,
      TRIM(CLEAN(TEXT(Transcription!$F:$F, ""@""))) = TRIM(CLEAN(TEXT($D120, ""@""))),
      Transcription!$AO:$AO = 3
    ),
    1
  ),
  ""Not Found""
)
"),"https://drive.google.com/open?id=124MzHIXQSHMKju7GDFGCb7x8shL_ffR8")</f>
        <v>https://drive.google.com/open?id=124MzHIXQSHMKju7GDFGCb7x8shL_ffR8</v>
      </c>
      <c r="N120" s="246" t="str">
        <f>IFERROR(__xludf.DUMMYFUNCTION("IFERROR(
  INDEX(
    FILTER(
      Recording!$U:$U,
      TRIM(CLEAN(TEXT(Recording!$E:$E, ""@""))) = TRIM(CLEAN(TEXT($D120, ""@""))),
      Recording!$AA:$AA = 4
    ),
    1
  ),
  ""Not Found""
)
"),"Not Found")</f>
        <v>Not Found</v>
      </c>
      <c r="O1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1!$E:$E"")=$D120) *
        (IMPORTRANGE(""https://docs.google.com/spreadsheets/d/161aHT6vVT3SLneTKD19N5qVWtnj_jIT8CSsOmUVKmaA"&amp;"/edit?gid=1761053510"",
          ""Haris_Form responses 1!$AQ:$AQ"")=4)
      ),
      1
    ),
    ""0""
  ),
  ""Form not found""
)
"),"Form not found")</f>
        <v>Form not found</v>
      </c>
      <c r="P120" s="247" t="str">
        <f>IFERROR(__xludf.DUMMYFUNCTION("IFERROR(
  INDEX(
    FILTER(
      Transcription!$AJ:$AJ,
      TRIM(CLEAN(TEXT(Transcription!$F:$F, ""@""))) = TRIM(CLEAN(TEXT($D120, ""@""))),
      Transcription!$AO:$AO = 4
    ),
    1
  ),
  ""Not Found""
)
"),"Not Found")</f>
        <v>Not Found</v>
      </c>
      <c r="Q120" s="246" t="str">
        <f>IFERROR(__xludf.DUMMYFUNCTION("IFERROR(
  INDEX(
    FILTER(
      Recording!$U:$U,
      TRIM(CLEAN(TEXT(Recording!$E:$E, ""@""))) = TRIM(CLEAN(TEXT($D120, ""@""))),
      Recording!$AA:$AA = 5
    ),
    1
  ),
  ""Not Found""
)
"),"Not Found")</f>
        <v>Not Found</v>
      </c>
      <c r="R1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1!$E:$E"")=$D120) *
        (IMPORTRANGE(""https://docs.google.com/spreadsheets/d/161aHT6vVT3SLneTKD19N5qVWtnj_jIT8CSsOmUVKmaA"&amp;"/edit?gid=1761053510"",
          ""Haris_Form responses 1!$AQ:$AQ"")=5)
      ),
      1
    ),
    ""0""
  ),
  ""Form not found""
)
"),"Form not found")</f>
        <v>Form not found</v>
      </c>
      <c r="S120" s="247" t="str">
        <f>IFERROR(__xludf.DUMMYFUNCTION("IFERROR(
  INDEX(
    FILTER(
      Transcription!$AJ:$AJ,
      TRIM(CLEAN(TEXT(Transcription!$F:$F, ""@""))) = TRIM(CLEAN(TEXT($D120, ""@""))),
      Transcription!$AO:$AO = 5
    ),
    1
  ),
  ""Not Found""
)
"),"Not Found")</f>
        <v>Not Found</v>
      </c>
      <c r="T120" s="248" t="str">
        <f>IFERROR(__xludf.DUMMYFUNCTION("IFERROR(
  INDEX(
    FILTER(
      Recording!$U:$U,
      TRIM(CLEAN(TEXT(Recording!$E:$E, ""@""))) = TRIM(CLEAN(TEXT($D120, ""@""))),
      Recording!$AA:$AA = 6
    ),
    1
  ),
  ""Not Found""
)
"),"Not Found")</f>
        <v>Not Found</v>
      </c>
      <c r="U1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1!$E:$E"")=$D120) *
        (IMPORTRANGE(""https://docs.google.com/spreadsheets/d/161aHT6vVT3SLneTKD19N5qVWtnj_jIT8CSsOmUVKmaA"&amp;"/edit?gid=1761053510"",
          ""Haris_Form responses 1!$AQ:$AQ"")=6)
      ),
      1
    ),
    ""0""
  ),
  ""Form not found""
)
"),"Form not found")</f>
        <v>Form not found</v>
      </c>
      <c r="V120" s="247" t="str">
        <f>IFERROR(__xludf.DUMMYFUNCTION("IFERROR(
  INDEX(
    FILTER(
      Transcription!$AJ:$AJ,
      TRIM(CLEAN(TEXT(Transcription!$F:$F, ""@""))) = TRIM(CLEAN(TEXT($D120, ""@""))),
      Transcription!$AO:$AO = 6
    ),
    1
  ),
  ""Not Found""
)
"),"Not Found")</f>
        <v>Not Found</v>
      </c>
      <c r="Z120" s="10">
        <f t="shared" si="1"/>
        <v>3</v>
      </c>
      <c r="AA120" s="10">
        <f t="shared" si="2"/>
        <v>0</v>
      </c>
    </row>
    <row r="121">
      <c r="A121" s="8" t="str">
        <f>VLOOKUP($D121,Sheet6!$B:$G,5,FALSE)</f>
        <v>Sargodha</v>
      </c>
      <c r="B121" s="232" t="str">
        <f>VLOOKUP($D121,Sheet6!$B:$G,4,FALSE)</f>
        <v>Control</v>
      </c>
      <c r="C121" s="8">
        <v>2.0</v>
      </c>
      <c r="D121" s="8" t="s">
        <v>4570</v>
      </c>
      <c r="E121" s="244" t="str">
        <f>IFERROR(__xludf.DUMMYFUNCTION("IFERROR(
  INDEX(
    FILTER(
      Recording!$U:$U,
      TRIM(CLEAN(TEXT(Recording!$E:$E, ""@""))) = TRIM(CLEAN(TEXT($D121, ""@""))),
      Recording!$AA:$AA = 1
    ),
    1
  ),
  ""Not Found""
)
"),"https://drive.google.com/open?id=11F34ralsogpPnvOJ3_dtdv1-OTnrQdnS")</f>
        <v>https://drive.google.com/open?id=11F34ralsogpPnvOJ3_dtdv1-OTnrQdnS</v>
      </c>
      <c r="F1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1!$E:$E"")=$D121) *
        (IMPORTRANGE(""https://docs.google.com/spreadsheets/d/161aHT6vVT3SLneTKD19N5qVWtnj_jIT8CSsOmUVKmaA"&amp;"/edit?gid=1761053510"",
          ""Haris_Form responses 1!$AQ:$AQ"")=1)
      ),
      1
    ),
    ""0""
  ),
  ""Form not found""
)
"),"1")</f>
        <v>1</v>
      </c>
      <c r="G121" s="245" t="str">
        <f>IFERROR(__xludf.DUMMYFUNCTION("IFERROR(
  INDEX(
    FILTER(
      Transcription!$AJ:$AJ,
      TRIM(CLEAN(TEXT(Transcription!$F:$F, ""@""))) = TRIM(CLEAN(TEXT($D121, ""@""))),
      Transcription!$AO:$AO = 1
    ),
    1
  ),
  ""Not Found""
)
"),"https://drive.google.com/open?id=1h2UB7_Uawa71Gc4JzBLpI3r1BIR0NxR_")</f>
        <v>https://drive.google.com/open?id=1h2UB7_Uawa71Gc4JzBLpI3r1BIR0NxR_</v>
      </c>
      <c r="H121" s="246" t="str">
        <f>IFERROR(__xludf.DUMMYFUNCTION("IFERROR(
  INDEX(
    FILTER(
      Recording!$U:$U,
      TRIM(CLEAN(TEXT(Recording!$E:$E, ""@""))) = TRIM(CLEAN(TEXT($D121, ""@""))),
      Recording!$AA:$AA = 2
    ),
    1
  ),
  ""Not Found""
)
"),"Not Found")</f>
        <v>Not Found</v>
      </c>
      <c r="I1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1!$E:$E"")=$D121) *
        (IMPORTRANGE(""https://docs.google.com/spreadsheets/d/161aHT6vVT3SLneTKD19N5qVWtnj_jIT8CSsOmUVKmaA"&amp;"/edit?gid=1761053510"",
          ""Haris_Form responses 1!$AQ:$AQ"")=2)
      ),
      1
    ),
    ""0""
  ),
  ""Form not found""
)
"),"Form not found")</f>
        <v>Form not found</v>
      </c>
      <c r="J121" s="247" t="str">
        <f>IFERROR(__xludf.DUMMYFUNCTION("IFERROR(
  INDEX(
    FILTER(
      Transcription!$AJ:$AJ,
      TRIM(CLEAN(TEXT(Transcription!$F:$F, ""@""))) = TRIM(CLEAN(TEXT($D121, ""@""))),
      Transcription!$AO:$AO = 2
    ),
    1
  ),
  ""Not Found""
)
"),"Not Found")</f>
        <v>Not Found</v>
      </c>
      <c r="K121" s="244" t="str">
        <f>IFERROR(__xludf.DUMMYFUNCTION("IFERROR(
  INDEX(
    FILTER(
      Recording!$U:$U,
      TRIM(CLEAN(TEXT(Recording!$E:$E, ""@""))) = TRIM(CLEAN(TEXT($D121, ""@""))),
      Recording!$AA:$AA = 3
    ),
    1
  ),
  ""Not Found""
)
"),"https://drive.google.com/open?id=14C9jO7FsmaoVRXNl8ZQNy6kC4bQ3mAmG")</f>
        <v>https://drive.google.com/open?id=14C9jO7FsmaoVRXNl8ZQNy6kC4bQ3mAmG</v>
      </c>
      <c r="L1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1!$E:$E"")=$D121) *
        (IMPORTRANGE(""https://docs.google.com/spreadsheets/d/161aHT6vVT3SLneTKD19N5qVWtnj_jIT8CSsOmUVKmaA"&amp;"/edit?gid=1761053510"",
          ""Haris_Form responses 1!$AQ:$AQ"")=3)
      ),
      1
    ),
    ""0""
  ),
  ""Form not found""
)
"),"3")</f>
        <v>3</v>
      </c>
      <c r="M121" s="245" t="str">
        <f>IFERROR(__xludf.DUMMYFUNCTION("IFERROR(
  INDEX(
    FILTER(
      Transcription!$AJ:$AJ,
      TRIM(CLEAN(TEXT(Transcription!$F:$F, ""@""))) = TRIM(CLEAN(TEXT($D121, ""@""))),
      Transcription!$AO:$AO = 3
    ),
    1
  ),
  ""Not Found""
)
"),"https://drive.google.com/open?id=1VDk3QBTq48ok9GjVaEvRyb4xJ9g74BOV")</f>
        <v>https://drive.google.com/open?id=1VDk3QBTq48ok9GjVaEvRyb4xJ9g74BOV</v>
      </c>
      <c r="N121" s="246" t="str">
        <f>IFERROR(__xludf.DUMMYFUNCTION("IFERROR(
  INDEX(
    FILTER(
      Recording!$U:$U,
      TRIM(CLEAN(TEXT(Recording!$E:$E, ""@""))) = TRIM(CLEAN(TEXT($D121, ""@""))),
      Recording!$AA:$AA = 4
    ),
    1
  ),
  ""Not Found""
)
"),"Not Found")</f>
        <v>Not Found</v>
      </c>
      <c r="O1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1!$E:$E"")=$D121) *
        (IMPORTRANGE(""https://docs.google.com/spreadsheets/d/161aHT6vVT3SLneTKD19N5qVWtnj_jIT8CSsOmUVKmaA"&amp;"/edit?gid=1761053510"",
          ""Haris_Form responses 1!$AQ:$AQ"")=4)
      ),
      1
    ),
    ""0""
  ),
  ""Form not found""
)
"),"Form not found")</f>
        <v>Form not found</v>
      </c>
      <c r="P121" s="247" t="str">
        <f>IFERROR(__xludf.DUMMYFUNCTION("IFERROR(
  INDEX(
    FILTER(
      Transcription!$AJ:$AJ,
      TRIM(CLEAN(TEXT(Transcription!$F:$F, ""@""))) = TRIM(CLEAN(TEXT($D121, ""@""))),
      Transcription!$AO:$AO = 4
    ),
    1
  ),
  ""Not Found""
)
"),"Not Found")</f>
        <v>Not Found</v>
      </c>
      <c r="Q121" s="246" t="str">
        <f>IFERROR(__xludf.DUMMYFUNCTION("IFERROR(
  INDEX(
    FILTER(
      Recording!$U:$U,
      TRIM(CLEAN(TEXT(Recording!$E:$E, ""@""))) = TRIM(CLEAN(TEXT($D121, ""@""))),
      Recording!$AA:$AA = 5
    ),
    1
  ),
  ""Not Found""
)
"),"Not Found")</f>
        <v>Not Found</v>
      </c>
      <c r="R1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1!$E:$E"")=$D121) *
        (IMPORTRANGE(""https://docs.google.com/spreadsheets/d/161aHT6vVT3SLneTKD19N5qVWtnj_jIT8CSsOmUVKmaA"&amp;"/edit?gid=1761053510"",
          ""Haris_Form responses 1!$AQ:$AQ"")=5)
      ),
      1
    ),
    ""0""
  ),
  ""Form not found""
)
"),"Form not found")</f>
        <v>Form not found</v>
      </c>
      <c r="S121" s="247" t="str">
        <f>IFERROR(__xludf.DUMMYFUNCTION("IFERROR(
  INDEX(
    FILTER(
      Transcription!$AJ:$AJ,
      TRIM(CLEAN(TEXT(Transcription!$F:$F, ""@""))) = TRIM(CLEAN(TEXT($D121, ""@""))),
      Transcription!$AO:$AO = 5
    ),
    1
  ),
  ""Not Found""
)
"),"Not Found")</f>
        <v>Not Found</v>
      </c>
      <c r="T121" s="246" t="str">
        <f>IFERROR(__xludf.DUMMYFUNCTION("IFERROR(
  INDEX(
    FILTER(
      Recording!$U:$U,
      TRIM(CLEAN(TEXT(Recording!$E:$E, ""@""))) = TRIM(CLEAN(TEXT($D121, ""@""))),
      Recording!$AA:$AA = 6
    ),
    1
  ),
  ""Not Found""
)
"),"Not Found")</f>
        <v>Not Found</v>
      </c>
      <c r="U1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1!$E:$E"")=$D121) *
        (IMPORTRANGE(""https://docs.google.com/spreadsheets/d/161aHT6vVT3SLneTKD19N5qVWtnj_jIT8CSsOmUVKmaA"&amp;"/edit?gid=1761053510"",
          ""Haris_Form responses 1!$AQ:$AQ"")=6)
      ),
      1
    ),
    ""0""
  ),
  ""Form not found""
)
"),"Form not found")</f>
        <v>Form not found</v>
      </c>
      <c r="V121" s="247" t="str">
        <f>IFERROR(__xludf.DUMMYFUNCTION("IFERROR(
  INDEX(
    FILTER(
      Transcription!$AJ:$AJ,
      TRIM(CLEAN(TEXT(Transcription!$F:$F, ""@""))) = TRIM(CLEAN(TEXT($D121, ""@""))),
      Transcription!$AO:$AO = 6
    ),
    1
  ),
  ""Not Found""
)
"),"Not Found")</f>
        <v>Not Found</v>
      </c>
      <c r="Z121" s="10">
        <f t="shared" si="1"/>
        <v>2</v>
      </c>
      <c r="AA121" s="10">
        <f t="shared" si="2"/>
        <v>0</v>
      </c>
    </row>
    <row r="122">
      <c r="A122" s="8" t="str">
        <f>VLOOKUP($D122,Sheet6!$B:$G,5,FALSE)</f>
        <v>Sargodha</v>
      </c>
      <c r="B122" s="232" t="str">
        <f>VLOOKUP($D122,Sheet6!$B:$G,4,FALSE)</f>
        <v>Women Secular No Info Share</v>
      </c>
      <c r="C122" s="8">
        <v>3.0</v>
      </c>
      <c r="D122" s="8" t="s">
        <v>4571</v>
      </c>
      <c r="E122" s="244" t="str">
        <f>IFERROR(__xludf.DUMMYFUNCTION("IFERROR(
  INDEX(
    FILTER(
      Recording!$U:$U,
      TRIM(CLEAN(TEXT(Recording!$E:$E, ""@""))) = TRIM(CLEAN(TEXT($D122, ""@""))),
      Recording!$AA:$AA = 1
    ),
    1
  ),
  ""Not Found""
)
"),"https://drive.google.com/open?id=13ZWxT3T2XCJDDjT5nLlb17azWQeqv0c3")</f>
        <v>https://drive.google.com/open?id=13ZWxT3T2XCJDDjT5nLlb17azWQeqv0c3</v>
      </c>
      <c r="F1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1!$E:$E"")=$D122) *
        (IMPORTRANGE(""https://docs.google.com/spreadsheets/d/161aHT6vVT3SLneTKD19N5qVWtnj_jIT8CSsOmUVKmaA"&amp;"/edit?gid=1761053510"",
          ""Haris_Form responses 1!$AQ:$AQ"")=1)
      ),
      1
    ),
    ""0""
  ),
  ""Form not found""
)
"),"1")</f>
        <v>1</v>
      </c>
      <c r="G122" s="245" t="str">
        <f>IFERROR(__xludf.DUMMYFUNCTION("IFERROR(
  INDEX(
    FILTER(
      Transcription!$AJ:$AJ,
      TRIM(CLEAN(TEXT(Transcription!$F:$F, ""@""))) = TRIM(CLEAN(TEXT($D122, ""@""))),
      Transcription!$AO:$AO = 1
    ),
    1
  ),
  ""Not Found""
)
"),"https://drive.google.com/open?id=15YViAJszeR3PyjXyiqjuYYcfife9L3Pd")</f>
        <v>https://drive.google.com/open?id=15YViAJszeR3PyjXyiqjuYYcfife9L3Pd</v>
      </c>
      <c r="H122" s="244" t="str">
        <f>IFERROR(__xludf.DUMMYFUNCTION("IFERROR(
  INDEX(
    FILTER(
      Recording!$U:$U,
      TRIM(CLEAN(TEXT(Recording!$E:$E, ""@""))) = TRIM(CLEAN(TEXT($D122, ""@""))),
      Recording!$AA:$AA = 2
    ),
    1
  ),
  ""Not Found""
)
"),"https://drive.google.com/open?id=1qicMqBFvOk8qP25ZsGgr__yWSvuyx-mi")</f>
        <v>https://drive.google.com/open?id=1qicMqBFvOk8qP25ZsGgr__yWSvuyx-mi</v>
      </c>
      <c r="I1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1!$E:$E"")=$D122) *
        (IMPORTRANGE(""https://docs.google.com/spreadsheets/d/161aHT6vVT3SLneTKD19N5qVWtnj_jIT8CSsOmUVKmaA"&amp;"/edit?gid=1761053510"",
          ""Haris_Form responses 1!$AQ:$AQ"")=2)
      ),
      1
    ),
    ""0""
  ),
  ""Form not found""
)
"),"2")</f>
        <v>2</v>
      </c>
      <c r="J122" s="245" t="str">
        <f>IFERROR(__xludf.DUMMYFUNCTION("IFERROR(
  INDEX(
    FILTER(
      Transcription!$AJ:$AJ,
      TRIM(CLEAN(TEXT(Transcription!$F:$F, ""@""))) = TRIM(CLEAN(TEXT($D122, ""@""))),
      Transcription!$AO:$AO = 2
    ),
    1
  ),
  ""Not Found""
)
"),"https://drive.google.com/open?id=18MemRO9bqhnKyzzXhbmXiSEa052tPFHx")</f>
        <v>https://drive.google.com/open?id=18MemRO9bqhnKyzzXhbmXiSEa052tPFHx</v>
      </c>
      <c r="K122" s="244" t="str">
        <f>IFERROR(__xludf.DUMMYFUNCTION("IFERROR(
  INDEX(
    FILTER(
      Recording!$U:$U,
      TRIM(CLEAN(TEXT(Recording!$E:$E, ""@""))) = TRIM(CLEAN(TEXT($D122, ""@""))),
      Recording!$AA:$AA = 3
    ),
    1
  ),
  ""Not Found""
)
"),"https://drive.google.com/open?id=1QDPUBaIEi08CzHiwv_2iUL1ZAQIikutC")</f>
        <v>https://drive.google.com/open?id=1QDPUBaIEi08CzHiwv_2iUL1ZAQIikutC</v>
      </c>
      <c r="L1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1!$E:$E"")=$D122) *
        (IMPORTRANGE(""https://docs.google.com/spreadsheets/d/161aHT6vVT3SLneTKD19N5qVWtnj_jIT8CSsOmUVKmaA"&amp;"/edit?gid=1761053510"",
          ""Haris_Form responses 1!$AQ:$AQ"")=3)
      ),
      1
    ),
    ""0""
  ),
  ""Form not found""
)
"),"3")</f>
        <v>3</v>
      </c>
      <c r="M122" s="245" t="str">
        <f>IFERROR(__xludf.DUMMYFUNCTION("IFERROR(
  INDEX(
    FILTER(
      Transcription!$AJ:$AJ,
      TRIM(CLEAN(TEXT(Transcription!$F:$F, ""@""))) = TRIM(CLEAN(TEXT($D122, ""@""))),
      Transcription!$AO:$AO = 3
    ),
    1
  ),
  ""Not Found""
)
"),"https://drive.google.com/open?id=1vvCV2smEMNoJeG3eRdeGnXAucQDBuK-3")</f>
        <v>https://drive.google.com/open?id=1vvCV2smEMNoJeG3eRdeGnXAucQDBuK-3</v>
      </c>
      <c r="N122" s="246" t="str">
        <f>IFERROR(__xludf.DUMMYFUNCTION("IFERROR(
  INDEX(
    FILTER(
      Recording!$U:$U,
      TRIM(CLEAN(TEXT(Recording!$E:$E, ""@""))) = TRIM(CLEAN(TEXT($D122, ""@""))),
      Recording!$AA:$AA = 4
    ),
    1
  ),
  ""Not Found""
)
"),"Not Found")</f>
        <v>Not Found</v>
      </c>
      <c r="O1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1!$E:$E"")=$D122) *
        (IMPORTRANGE(""https://docs.google.com/spreadsheets/d/161aHT6vVT3SLneTKD19N5qVWtnj_jIT8CSsOmUVKmaA"&amp;"/edit?gid=1761053510"",
          ""Haris_Form responses 1!$AQ:$AQ"")=4)
      ),
      1
    ),
    ""0""
  ),
  ""Form not found""
)
"),"Form not found")</f>
        <v>Form not found</v>
      </c>
      <c r="P122" s="247" t="str">
        <f>IFERROR(__xludf.DUMMYFUNCTION("IFERROR(
  INDEX(
    FILTER(
      Transcription!$AJ:$AJ,
      TRIM(CLEAN(TEXT(Transcription!$F:$F, ""@""))) = TRIM(CLEAN(TEXT($D122, ""@""))),
      Transcription!$AO:$AO = 4
    ),
    1
  ),
  ""Not Found""
)
"),"Not Found")</f>
        <v>Not Found</v>
      </c>
      <c r="Q122" s="246" t="str">
        <f>IFERROR(__xludf.DUMMYFUNCTION("IFERROR(
  INDEX(
    FILTER(
      Recording!$U:$U,
      TRIM(CLEAN(TEXT(Recording!$E:$E, ""@""))) = TRIM(CLEAN(TEXT($D122, ""@""))),
      Recording!$AA:$AA = 5
    ),
    1
  ),
  ""Not Found""
)
"),"Not Found")</f>
        <v>Not Found</v>
      </c>
      <c r="R1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1!$E:$E"")=$D122) *
        (IMPORTRANGE(""https://docs.google.com/spreadsheets/d/161aHT6vVT3SLneTKD19N5qVWtnj_jIT8CSsOmUVKmaA"&amp;"/edit?gid=1761053510"",
          ""Haris_Form responses 1!$AQ:$AQ"")=5)
      ),
      1
    ),
    ""0""
  ),
  ""Form not found""
)
"),"Form not found")</f>
        <v>Form not found</v>
      </c>
      <c r="S122" s="247" t="str">
        <f>IFERROR(__xludf.DUMMYFUNCTION("IFERROR(
  INDEX(
    FILTER(
      Transcription!$AJ:$AJ,
      TRIM(CLEAN(TEXT(Transcription!$F:$F, ""@""))) = TRIM(CLEAN(TEXT($D122, ""@""))),
      Transcription!$AO:$AO = 5
    ),
    1
  ),
  ""Not Found""
)
"),"Not Found")</f>
        <v>Not Found</v>
      </c>
      <c r="T122" s="248" t="str">
        <f>IFERROR(__xludf.DUMMYFUNCTION("IFERROR(
  INDEX(
    FILTER(
      Recording!$U:$U,
      TRIM(CLEAN(TEXT(Recording!$E:$E, ""@""))) = TRIM(CLEAN(TEXT($D122, ""@""))),
      Recording!$AA:$AA = 6
    ),
    1
  ),
  ""Not Found""
)
"),"Not Found")</f>
        <v>Not Found</v>
      </c>
      <c r="U1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1!$E:$E"")=$D122) *
        (IMPORTRANGE(""https://docs.google.com/spreadsheets/d/161aHT6vVT3SLneTKD19N5qVWtnj_jIT8CSsOmUVKmaA"&amp;"/edit?gid=1761053510"",
          ""Haris_Form responses 1!$AQ:$AQ"")=6)
      ),
      1
    ),
    ""0""
  ),
  ""Form not found""
)
"),"Form not found")</f>
        <v>Form not found</v>
      </c>
      <c r="V122" s="247" t="str">
        <f>IFERROR(__xludf.DUMMYFUNCTION("IFERROR(
  INDEX(
    FILTER(
      Transcription!$AJ:$AJ,
      TRIM(CLEAN(TEXT(Transcription!$F:$F, ""@""))) = TRIM(CLEAN(TEXT($D122, ""@""))),
      Transcription!$AO:$AO = 6
    ),
    1
  ),
  ""Not Found""
)
"),"Not Found")</f>
        <v>Not Found</v>
      </c>
      <c r="Z122" s="10">
        <f t="shared" si="1"/>
        <v>3</v>
      </c>
      <c r="AA122" s="10">
        <f t="shared" si="2"/>
        <v>0</v>
      </c>
    </row>
    <row r="123">
      <c r="A123" s="8" t="str">
        <f>VLOOKUP($D123,Sheet6!$B:$G,5,FALSE)</f>
        <v>Sargodha</v>
      </c>
      <c r="B123" s="232" t="str">
        <f>VLOOKUP($D123,Sheet6!$B:$G,4,FALSE)</f>
        <v>Community Secular Info Share</v>
      </c>
      <c r="C123" s="8">
        <v>3.0</v>
      </c>
      <c r="D123" s="8" t="s">
        <v>4572</v>
      </c>
      <c r="E123" s="244" t="str">
        <f>IFERROR(__xludf.DUMMYFUNCTION("IFERROR(
  INDEX(
    FILTER(
      Recording!$U:$U,
      TRIM(CLEAN(TEXT(Recording!$E:$E, ""@""))) = TRIM(CLEAN(TEXT($D123, ""@""))),
      Recording!$AA:$AA = 1
    ),
    1
  ),
  ""Not Found""
)
"),"https://drive.google.com/open?id=1qv_81oe9RRwO7lbEs6MW27W-z-_uEyvp")</f>
        <v>https://drive.google.com/open?id=1qv_81oe9RRwO7lbEs6MW27W-z-_uEyvp</v>
      </c>
      <c r="F1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1!$E:$E"")=$D123) *
        (IMPORTRANGE(""https://docs.google.com/spreadsheets/d/161aHT6vVT3SLneTKD19N5qVWtnj_jIT8CSsOmUVKmaA"&amp;"/edit?gid=1761053510"",
          ""Haris_Form responses 1!$AQ:$AQ"")=1)
      ),
      1
    ),
    ""0""
  ),
  ""Form not found""
)
"),"1")</f>
        <v>1</v>
      </c>
      <c r="G123" s="245" t="str">
        <f>IFERROR(__xludf.DUMMYFUNCTION("IFERROR(
  INDEX(
    FILTER(
      Transcription!$AJ:$AJ,
      TRIM(CLEAN(TEXT(Transcription!$F:$F, ""@""))) = TRIM(CLEAN(TEXT($D123, ""@""))),
      Transcription!$AO:$AO = 1
    ),
    1
  ),
  ""Not Found""
)
"),"https://drive.google.com/open?id=1c9diIwVM5mp0luNbOLMc-WEjvSQe-5Ks")</f>
        <v>https://drive.google.com/open?id=1c9diIwVM5mp0luNbOLMc-WEjvSQe-5Ks</v>
      </c>
      <c r="H123" s="244" t="str">
        <f>IFERROR(__xludf.DUMMYFUNCTION("IFERROR(
  INDEX(
    FILTER(
      Recording!$U:$U,
      TRIM(CLEAN(TEXT(Recording!$E:$E, ""@""))) = TRIM(CLEAN(TEXT($D123, ""@""))),
      Recording!$AA:$AA = 2
    ),
    1
  ),
  ""Not Found""
)
"),"https://drive.google.com/open?id=1Qd6E84zvwsJHC7Q8JZvencSNXxA9P5gL")</f>
        <v>https://drive.google.com/open?id=1Qd6E84zvwsJHC7Q8JZvencSNXxA9P5gL</v>
      </c>
      <c r="I1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1!$E:$E"")=$D123) *
        (IMPORTRANGE(""https://docs.google.com/spreadsheets/d/161aHT6vVT3SLneTKD19N5qVWtnj_jIT8CSsOmUVKmaA"&amp;"/edit?gid=1761053510"",
          ""Haris_Form responses 1!$AQ:$AQ"")=2)
      ),
      1
    ),
    ""0""
  ),
  ""Form not found""
)
"),"2")</f>
        <v>2</v>
      </c>
      <c r="J123" s="245" t="str">
        <f>IFERROR(__xludf.DUMMYFUNCTION("IFERROR(
  INDEX(
    FILTER(
      Transcription!$AJ:$AJ,
      TRIM(CLEAN(TEXT(Transcription!$F:$F, ""@""))) = TRIM(CLEAN(TEXT($D123, ""@""))),
      Transcription!$AO:$AO = 2
    ),
    1
  ),
  ""Not Found""
)
"),"https://drive.google.com/open?id=1azBWvJrkLxUXjsNyXa2T1-ZzWgRBuTUb")</f>
        <v>https://drive.google.com/open?id=1azBWvJrkLxUXjsNyXa2T1-ZzWgRBuTUb</v>
      </c>
      <c r="K123" s="244" t="str">
        <f>IFERROR(__xludf.DUMMYFUNCTION("IFERROR(
  INDEX(
    FILTER(
      Recording!$U:$U,
      TRIM(CLEAN(TEXT(Recording!$E:$E, ""@""))) = TRIM(CLEAN(TEXT($D123, ""@""))),
      Recording!$AA:$AA = 3
    ),
    1
  ),
  ""Not Found""
)
"),"https://drive.google.com/open?id=1uQZmplAeW_khsU3rTwrJzv3YRIshkb_Z")</f>
        <v>https://drive.google.com/open?id=1uQZmplAeW_khsU3rTwrJzv3YRIshkb_Z</v>
      </c>
      <c r="L1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1!$E:$E"")=$D123) *
        (IMPORTRANGE(""https://docs.google.com/spreadsheets/d/161aHT6vVT3SLneTKD19N5qVWtnj_jIT8CSsOmUVKmaA"&amp;"/edit?gid=1761053510"",
          ""Haris_Form responses 1!$AQ:$AQ"")=3)
      ),
      1
    ),
    ""0""
  ),
  ""Form not found""
)
"),"3")</f>
        <v>3</v>
      </c>
      <c r="M123" s="245" t="str">
        <f>IFERROR(__xludf.DUMMYFUNCTION("IFERROR(
  INDEX(
    FILTER(
      Transcription!$AJ:$AJ,
      TRIM(CLEAN(TEXT(Transcription!$F:$F, ""@""))) = TRIM(CLEAN(TEXT($D123, ""@""))),
      Transcription!$AO:$AO = 3
    ),
    1
  ),
  ""Not Found""
)
"),"https://drive.google.com/open?id=181_DY4_b-IpoDQ8jQtHjBdxSyztv0ZZW")</f>
        <v>https://drive.google.com/open?id=181_DY4_b-IpoDQ8jQtHjBdxSyztv0ZZW</v>
      </c>
      <c r="N123" s="246" t="str">
        <f>IFERROR(__xludf.DUMMYFUNCTION("IFERROR(
  INDEX(
    FILTER(
      Recording!$U:$U,
      TRIM(CLEAN(TEXT(Recording!$E:$E, ""@""))) = TRIM(CLEAN(TEXT($D123, ""@""))),
      Recording!$AA:$AA = 4
    ),
    1
  ),
  ""Not Found""
)
"),"Not Found")</f>
        <v>Not Found</v>
      </c>
      <c r="O1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1!$E:$E"")=$D123) *
        (IMPORTRANGE(""https://docs.google.com/spreadsheets/d/161aHT6vVT3SLneTKD19N5qVWtnj_jIT8CSsOmUVKmaA"&amp;"/edit?gid=1761053510"",
          ""Haris_Form responses 1!$AQ:$AQ"")=4)
      ),
      1
    ),
    ""0""
  ),
  ""Form not found""
)
"),"Form not found")</f>
        <v>Form not found</v>
      </c>
      <c r="P123" s="247" t="str">
        <f>IFERROR(__xludf.DUMMYFUNCTION("IFERROR(
  INDEX(
    FILTER(
      Transcription!$AJ:$AJ,
      TRIM(CLEAN(TEXT(Transcription!$F:$F, ""@""))) = TRIM(CLEAN(TEXT($D123, ""@""))),
      Transcription!$AO:$AO = 4
    ),
    1
  ),
  ""Not Found""
)
"),"Not Found")</f>
        <v>Not Found</v>
      </c>
      <c r="Q123" s="246" t="str">
        <f>IFERROR(__xludf.DUMMYFUNCTION("IFERROR(
  INDEX(
    FILTER(
      Recording!$U:$U,
      TRIM(CLEAN(TEXT(Recording!$E:$E, ""@""))) = TRIM(CLEAN(TEXT($D123, ""@""))),
      Recording!$AA:$AA = 5
    ),
    1
  ),
  ""Not Found""
)
"),"Not Found")</f>
        <v>Not Found</v>
      </c>
      <c r="R1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1!$E:$E"")=$D123) *
        (IMPORTRANGE(""https://docs.google.com/spreadsheets/d/161aHT6vVT3SLneTKD19N5qVWtnj_jIT8CSsOmUVKmaA"&amp;"/edit?gid=1761053510"",
          ""Haris_Form responses 1!$AQ:$AQ"")=5)
      ),
      1
    ),
    ""0""
  ),
  ""Form not found""
)
"),"Form not found")</f>
        <v>Form not found</v>
      </c>
      <c r="S123" s="247" t="str">
        <f>IFERROR(__xludf.DUMMYFUNCTION("IFERROR(
  INDEX(
    FILTER(
      Transcription!$AJ:$AJ,
      TRIM(CLEAN(TEXT(Transcription!$F:$F, ""@""))) = TRIM(CLEAN(TEXT($D123, ""@""))),
      Transcription!$AO:$AO = 5
    ),
    1
  ),
  ""Not Found""
)
"),"Not Found")</f>
        <v>Not Found</v>
      </c>
      <c r="T123" s="248" t="str">
        <f>IFERROR(__xludf.DUMMYFUNCTION("IFERROR(
  INDEX(
    FILTER(
      Recording!$U:$U,
      TRIM(CLEAN(TEXT(Recording!$E:$E, ""@""))) = TRIM(CLEAN(TEXT($D123, ""@""))),
      Recording!$AA:$AA = 6
    ),
    1
  ),
  ""Not Found""
)
"),"Not Found")</f>
        <v>Not Found</v>
      </c>
      <c r="U1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1!$E:$E"")=$D123) *
        (IMPORTRANGE(""https://docs.google.com/spreadsheets/d/161aHT6vVT3SLneTKD19N5qVWtnj_jIT8CSsOmUVKmaA"&amp;"/edit?gid=1761053510"",
          ""Haris_Form responses 1!$AQ:$AQ"")=6)
      ),
      1
    ),
    ""0""
  ),
  ""Form not found""
)
"),"Form not found")</f>
        <v>Form not found</v>
      </c>
      <c r="V123" s="247" t="str">
        <f>IFERROR(__xludf.DUMMYFUNCTION("IFERROR(
  INDEX(
    FILTER(
      Transcription!$AJ:$AJ,
      TRIM(CLEAN(TEXT(Transcription!$F:$F, ""@""))) = TRIM(CLEAN(TEXT($D123, ""@""))),
      Transcription!$AO:$AO = 6
    ),
    1
  ),
  ""Not Found""
)
"),"Not Found")</f>
        <v>Not Found</v>
      </c>
      <c r="Z123" s="10">
        <f t="shared" si="1"/>
        <v>3</v>
      </c>
      <c r="AA123" s="10">
        <f t="shared" si="2"/>
        <v>0</v>
      </c>
    </row>
    <row r="124">
      <c r="A124" s="8" t="str">
        <f>VLOOKUP($D124,Sheet6!$B:$G,5,FALSE)</f>
        <v>Sargodha</v>
      </c>
      <c r="B124" s="232" t="str">
        <f>VLOOKUP($D124,Sheet6!$B:$G,4,FALSE)</f>
        <v>Women Religious No Info Share</v>
      </c>
      <c r="C124" s="8">
        <v>3.0</v>
      </c>
      <c r="D124" s="8" t="s">
        <v>4573</v>
      </c>
      <c r="E124" s="244" t="str">
        <f>IFERROR(__xludf.DUMMYFUNCTION("IFERROR(
  INDEX(
    FILTER(
      Recording!$U:$U,
      TRIM(CLEAN(TEXT(Recording!$E:$E, ""@""))) = TRIM(CLEAN(TEXT($D124, ""@""))),
      Recording!$AA:$AA = 1
    ),
    1
  ),
  ""Not Found""
)
"),"https://drive.google.com/open?id=1twylK2pnxlAIYg9y4grlhYKeO1XawihA")</f>
        <v>https://drive.google.com/open?id=1twylK2pnxlAIYg9y4grlhYKeO1XawihA</v>
      </c>
      <c r="F1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1!$E:$E"")=$D124) *
        (IMPORTRANGE(""https://docs.google.com/spreadsheets/d/161aHT6vVT3SLneTKD19N5qVWtnj_jIT8CSsOmUVKmaA"&amp;"/edit?gid=1761053510"",
          ""Haris_Form responses 1!$AQ:$AQ"")=1)
      ),
      1
    ),
    ""0""
  ),
  ""Form not found""
)
"),"1")</f>
        <v>1</v>
      </c>
      <c r="G124" s="245" t="str">
        <f>IFERROR(__xludf.DUMMYFUNCTION("IFERROR(
  INDEX(
    FILTER(
      Transcription!$AJ:$AJ,
      TRIM(CLEAN(TEXT(Transcription!$F:$F, ""@""))) = TRIM(CLEAN(TEXT($D124, ""@""))),
      Transcription!$AO:$AO = 1
    ),
    1
  ),
  ""Not Found""
)
"),"https://drive.google.com/open?id=1w_KQjZwrz_zPoIVZHM9H94Ju2E_1PvP1")</f>
        <v>https://drive.google.com/open?id=1w_KQjZwrz_zPoIVZHM9H94Ju2E_1PvP1</v>
      </c>
      <c r="H124" s="244" t="str">
        <f>IFERROR(__xludf.DUMMYFUNCTION("IFERROR(
  INDEX(
    FILTER(
      Recording!$U:$U,
      TRIM(CLEAN(TEXT(Recording!$E:$E, ""@""))) = TRIM(CLEAN(TEXT($D124, ""@""))),
      Recording!$AA:$AA = 2
    ),
    1
  ),
  ""Not Found""
)
"),"https://drive.google.com/open?id=1lcTbEuu-XsOQ-2mujiVeRQXdweOkzDSN")</f>
        <v>https://drive.google.com/open?id=1lcTbEuu-XsOQ-2mujiVeRQXdweOkzDSN</v>
      </c>
      <c r="I1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1!$E:$E"")=$D124) *
        (IMPORTRANGE(""https://docs.google.com/spreadsheets/d/161aHT6vVT3SLneTKD19N5qVWtnj_jIT8CSsOmUVKmaA"&amp;"/edit?gid=1761053510"",
          ""Haris_Form responses 1!$AQ:$AQ"")=2)
      ),
      1
    ),
    ""0""
  ),
  ""Form not found""
)
"),"2")</f>
        <v>2</v>
      </c>
      <c r="J124" s="245" t="str">
        <f>IFERROR(__xludf.DUMMYFUNCTION("IFERROR(
  INDEX(
    FILTER(
      Transcription!$AJ:$AJ,
      TRIM(CLEAN(TEXT(Transcription!$F:$F, ""@""))) = TRIM(CLEAN(TEXT($D124, ""@""))),
      Transcription!$AO:$AO = 2
    ),
    1
  ),
  ""Not Found""
)
"),"https://drive.google.com/open?id=1fQkcEBSoxPPyXYiY3a1Za6N14iXGu14u")</f>
        <v>https://drive.google.com/open?id=1fQkcEBSoxPPyXYiY3a1Za6N14iXGu14u</v>
      </c>
      <c r="K124" s="244" t="str">
        <f>IFERROR(__xludf.DUMMYFUNCTION("IFERROR(
  INDEX(
    FILTER(
      Recording!$U:$U,
      TRIM(CLEAN(TEXT(Recording!$E:$E, ""@""))) = TRIM(CLEAN(TEXT($D124, ""@""))),
      Recording!$AA:$AA = 3
    ),
    1
  ),
  ""Not Found""
)
"),"https://drive.google.com/open?id=1FDCjAnEm3REAFI9jvsUCZ1V-latlVLMC")</f>
        <v>https://drive.google.com/open?id=1FDCjAnEm3REAFI9jvsUCZ1V-latlVLMC</v>
      </c>
      <c r="L1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1!$E:$E"")=$D124) *
        (IMPORTRANGE(""https://docs.google.com/spreadsheets/d/161aHT6vVT3SLneTKD19N5qVWtnj_jIT8CSsOmUVKmaA"&amp;"/edit?gid=1761053510"",
          ""Haris_Form responses 1!$AQ:$AQ"")=3)
      ),
      1
    ),
    ""0""
  ),
  ""Form not found""
)
"),"3")</f>
        <v>3</v>
      </c>
      <c r="M124" s="245" t="str">
        <f>IFERROR(__xludf.DUMMYFUNCTION("IFERROR(
  INDEX(
    FILTER(
      Transcription!$AJ:$AJ,
      TRIM(CLEAN(TEXT(Transcription!$F:$F, ""@""))) = TRIM(CLEAN(TEXT($D124, ""@""))),
      Transcription!$AO:$AO = 3
    ),
    1
  ),
  ""Not Found""
)
"),"https://drive.google.com/open?id=1qXdeYwACLUFq7LjAn_JRR-O49n-pak_U")</f>
        <v>https://drive.google.com/open?id=1qXdeYwACLUFq7LjAn_JRR-O49n-pak_U</v>
      </c>
      <c r="N124" s="246" t="str">
        <f>IFERROR(__xludf.DUMMYFUNCTION("IFERROR(
  INDEX(
    FILTER(
      Recording!$U:$U,
      TRIM(CLEAN(TEXT(Recording!$E:$E, ""@""))) = TRIM(CLEAN(TEXT($D124, ""@""))),
      Recording!$AA:$AA = 4
    ),
    1
  ),
  ""Not Found""
)
"),"Not Found")</f>
        <v>Not Found</v>
      </c>
      <c r="O1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1!$E:$E"")=$D124) *
        (IMPORTRANGE(""https://docs.google.com/spreadsheets/d/161aHT6vVT3SLneTKD19N5qVWtnj_jIT8CSsOmUVKmaA"&amp;"/edit?gid=1761053510"",
          ""Haris_Form responses 1!$AQ:$AQ"")=4)
      ),
      1
    ),
    ""0""
  ),
  ""Form not found""
)
"),"Form not found")</f>
        <v>Form not found</v>
      </c>
      <c r="P124" s="247" t="str">
        <f>IFERROR(__xludf.DUMMYFUNCTION("IFERROR(
  INDEX(
    FILTER(
      Transcription!$AJ:$AJ,
      TRIM(CLEAN(TEXT(Transcription!$F:$F, ""@""))) = TRIM(CLEAN(TEXT($D124, ""@""))),
      Transcription!$AO:$AO = 4
    ),
    1
  ),
  ""Not Found""
)
"),"Not Found")</f>
        <v>Not Found</v>
      </c>
      <c r="Q124" s="246" t="str">
        <f>IFERROR(__xludf.DUMMYFUNCTION("IFERROR(
  INDEX(
    FILTER(
      Recording!$U:$U,
      TRIM(CLEAN(TEXT(Recording!$E:$E, ""@""))) = TRIM(CLEAN(TEXT($D124, ""@""))),
      Recording!$AA:$AA = 5
    ),
    1
  ),
  ""Not Found""
)
"),"Not Found")</f>
        <v>Not Found</v>
      </c>
      <c r="R1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1!$E:$E"")=$D124) *
        (IMPORTRANGE(""https://docs.google.com/spreadsheets/d/161aHT6vVT3SLneTKD19N5qVWtnj_jIT8CSsOmUVKmaA"&amp;"/edit?gid=1761053510"",
          ""Haris_Form responses 1!$AQ:$AQ"")=5)
      ),
      1
    ),
    ""0""
  ),
  ""Form not found""
)
"),"Form not found")</f>
        <v>Form not found</v>
      </c>
      <c r="S124" s="247" t="str">
        <f>IFERROR(__xludf.DUMMYFUNCTION("IFERROR(
  INDEX(
    FILTER(
      Transcription!$AJ:$AJ,
      TRIM(CLEAN(TEXT(Transcription!$F:$F, ""@""))) = TRIM(CLEAN(TEXT($D124, ""@""))),
      Transcription!$AO:$AO = 5
    ),
    1
  ),
  ""Not Found""
)
"),"Not Found")</f>
        <v>Not Found</v>
      </c>
      <c r="T124" s="248" t="str">
        <f>IFERROR(__xludf.DUMMYFUNCTION("IFERROR(
  INDEX(
    FILTER(
      Recording!$U:$U,
      TRIM(CLEAN(TEXT(Recording!$E:$E, ""@""))) = TRIM(CLEAN(TEXT($D124, ""@""))),
      Recording!$AA:$AA = 6
    ),
    1
  ),
  ""Not Found""
)
"),"Not Found")</f>
        <v>Not Found</v>
      </c>
      <c r="U1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1!$E:$E"")=$D124) *
        (IMPORTRANGE(""https://docs.google.com/spreadsheets/d/161aHT6vVT3SLneTKD19N5qVWtnj_jIT8CSsOmUVKmaA"&amp;"/edit?gid=1761053510"",
          ""Haris_Form responses 1!$AQ:$AQ"")=6)
      ),
      1
    ),
    ""0""
  ),
  ""Form not found""
)
"),"Form not found")</f>
        <v>Form not found</v>
      </c>
      <c r="V124" s="247" t="str">
        <f>IFERROR(__xludf.DUMMYFUNCTION("IFERROR(
  INDEX(
    FILTER(
      Transcription!$AJ:$AJ,
      TRIM(CLEAN(TEXT(Transcription!$F:$F, ""@""))) = TRIM(CLEAN(TEXT($D124, ""@""))),
      Transcription!$AO:$AO = 6
    ),
    1
  ),
  ""Not Found""
)
"),"Not Found")</f>
        <v>Not Found</v>
      </c>
      <c r="Z124" s="10">
        <f t="shared" si="1"/>
        <v>3</v>
      </c>
      <c r="AA124" s="10">
        <f t="shared" si="2"/>
        <v>0</v>
      </c>
    </row>
    <row r="125">
      <c r="A125" s="8" t="str">
        <f>VLOOKUP($D125,Sheet6!$B:$G,5,FALSE)</f>
        <v>Sargodha</v>
      </c>
      <c r="B125" s="232" t="str">
        <f>VLOOKUP($D125,Sheet6!$B:$G,4,FALSE)</f>
        <v>Control</v>
      </c>
      <c r="C125" s="8">
        <v>2.0</v>
      </c>
      <c r="D125" s="8" t="s">
        <v>2795</v>
      </c>
      <c r="E125" s="244" t="str">
        <f>IFERROR(__xludf.DUMMYFUNCTION("IFERROR(
  INDEX(
    FILTER(
      Recording!$U:$U,
      TRIM(CLEAN(TEXT(Recording!$E:$E, ""@""))) = TRIM(CLEAN(TEXT($D125, ""@""))),
      Recording!$AA:$AA = 1
    ),
    1
  ),
  ""Not Found""
)
"),"https://drive.google.com/file/d/1k0Ky5VCh7EcWR8q3oAvh7BFeYFD9xwjt/view?usp=sharing")</f>
        <v>https://drive.google.com/file/d/1k0Ky5VCh7EcWR8q3oAvh7BFeYFD9xwjt/view?usp=sharing</v>
      </c>
      <c r="F1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1!$E:$E"")=$D125) *
        (IMPORTRANGE(""https://docs.google.com/spreadsheets/d/161aHT6vVT3SLneTKD19N5qVWtnj_jIT8CSsOmUVKmaA"&amp;"/edit?gid=1761053510"",
          ""Haris_Form responses 1!$AQ:$AQ"")=1)
      ),
      1
    ),
    ""0""
  ),
  ""Form not found""
)
"),"1")</f>
        <v>1</v>
      </c>
      <c r="G125" s="245" t="str">
        <f>IFERROR(__xludf.DUMMYFUNCTION("IFERROR(
  INDEX(
    FILTER(
      Transcription!$AJ:$AJ,
      TRIM(CLEAN(TEXT(Transcription!$F:$F, ""@""))) = TRIM(CLEAN(TEXT($D125, ""@""))),
      Transcription!$AO:$AO = 1
    ),
    1
  ),
  ""Not Found""
)
"),"https://drive.google.com/open?id=1mtNqNVKg_Ke-Tk_dFRfHrOWpqfD4FBZ4")</f>
        <v>https://drive.google.com/open?id=1mtNqNVKg_Ke-Tk_dFRfHrOWpqfD4FBZ4</v>
      </c>
      <c r="H125" s="246" t="str">
        <f>IFERROR(__xludf.DUMMYFUNCTION("IFERROR(
  INDEX(
    FILTER(
      Recording!$U:$U,
      TRIM(CLEAN(TEXT(Recording!$E:$E, ""@""))) = TRIM(CLEAN(TEXT($D125, ""@""))),
      Recording!$AA:$AA = 2
    ),
    1
  ),
  ""Not Found""
)
"),"Not Found")</f>
        <v>Not Found</v>
      </c>
      <c r="I1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1!$E:$E"")=$D125) *
        (IMPORTRANGE(""https://docs.google.com/spreadsheets/d/161aHT6vVT3SLneTKD19N5qVWtnj_jIT8CSsOmUVKmaA"&amp;"/edit?gid=1761053510"",
          ""Haris_Form responses 1!$AQ:$AQ"")=2)
      ),
      1
    ),
    ""0""
  ),
  ""Form not found""
)
"),"Form not found")</f>
        <v>Form not found</v>
      </c>
      <c r="J125" s="247" t="str">
        <f>IFERROR(__xludf.DUMMYFUNCTION("IFERROR(
  INDEX(
    FILTER(
      Transcription!$AJ:$AJ,
      TRIM(CLEAN(TEXT(Transcription!$F:$F, ""@""))) = TRIM(CLEAN(TEXT($D125, ""@""))),
      Transcription!$AO:$AO = 2
    ),
    1
  ),
  ""Not Found""
)
"),"Not Found")</f>
        <v>Not Found</v>
      </c>
      <c r="K125" s="244" t="str">
        <f>IFERROR(__xludf.DUMMYFUNCTION("IFERROR(
  INDEX(
    FILTER(
      Recording!$U:$U,
      TRIM(CLEAN(TEXT(Recording!$E:$E, ""@""))) = TRIM(CLEAN(TEXT($D125, ""@""))),
      Recording!$AA:$AA = 3
    ),
    1
  ),
  ""Not Found""
)
"),"https://drive.google.com/file/d/1CyADveJQLTF0cXAZPdxgYJ-4Cy7SZXYm/view?usp=sharing")</f>
        <v>https://drive.google.com/file/d/1CyADveJQLTF0cXAZPdxgYJ-4Cy7SZXYm/view?usp=sharing</v>
      </c>
      <c r="L1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1!$E:$E"")=$D125) *
        (IMPORTRANGE(""https://docs.google.com/spreadsheets/d/161aHT6vVT3SLneTKD19N5qVWtnj_jIT8CSsOmUVKmaA"&amp;"/edit?gid=1761053510"",
          ""Haris_Form responses 1!$AQ:$AQ"")=3)
      ),
      1
    ),
    ""0""
  ),
  ""Form not found""
)
"),"3")</f>
        <v>3</v>
      </c>
      <c r="M125" s="245" t="str">
        <f>IFERROR(__xludf.DUMMYFUNCTION("IFERROR(
  INDEX(
    FILTER(
      Transcription!$AJ:$AJ,
      TRIM(CLEAN(TEXT(Transcription!$F:$F, ""@""))) = TRIM(CLEAN(TEXT($D125, ""@""))),
      Transcription!$AO:$AO = 3
    ),
    1
  ),
  ""Not Found""
)
"),"https://drive.google.com/open?id=1r2PZA5-eGCP-_IH6XgkHP7R0vIch8pba")</f>
        <v>https://drive.google.com/open?id=1r2PZA5-eGCP-_IH6XgkHP7R0vIch8pba</v>
      </c>
      <c r="N125" s="246" t="str">
        <f>IFERROR(__xludf.DUMMYFUNCTION("IFERROR(
  INDEX(
    FILTER(
      Recording!$U:$U,
      TRIM(CLEAN(TEXT(Recording!$E:$E, ""@""))) = TRIM(CLEAN(TEXT($D125, ""@""))),
      Recording!$AA:$AA = 4
    ),
    1
  ),
  ""Not Found""
)
"),"Not Found")</f>
        <v>Not Found</v>
      </c>
      <c r="O1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1!$E:$E"")=$D125) *
        (IMPORTRANGE(""https://docs.google.com/spreadsheets/d/161aHT6vVT3SLneTKD19N5qVWtnj_jIT8CSsOmUVKmaA"&amp;"/edit?gid=1761053510"",
          ""Haris_Form responses 1!$AQ:$AQ"")=4)
      ),
      1
    ),
    ""0""
  ),
  ""Form not found""
)
"),"Form not found")</f>
        <v>Form not found</v>
      </c>
      <c r="P125" s="247" t="str">
        <f>IFERROR(__xludf.DUMMYFUNCTION("IFERROR(
  INDEX(
    FILTER(
      Transcription!$AJ:$AJ,
      TRIM(CLEAN(TEXT(Transcription!$F:$F, ""@""))) = TRIM(CLEAN(TEXT($D125, ""@""))),
      Transcription!$AO:$AO = 4
    ),
    1
  ),
  ""Not Found""
)
"),"Not Found")</f>
        <v>Not Found</v>
      </c>
      <c r="Q125" s="246" t="str">
        <f>IFERROR(__xludf.DUMMYFUNCTION("IFERROR(
  INDEX(
    FILTER(
      Recording!$U:$U,
      TRIM(CLEAN(TEXT(Recording!$E:$E, ""@""))) = TRIM(CLEAN(TEXT($D125, ""@""))),
      Recording!$AA:$AA = 5
    ),
    1
  ),
  ""Not Found""
)
"),"Not Found")</f>
        <v>Not Found</v>
      </c>
      <c r="R1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1!$E:$E"")=$D125) *
        (IMPORTRANGE(""https://docs.google.com/spreadsheets/d/161aHT6vVT3SLneTKD19N5qVWtnj_jIT8CSsOmUVKmaA"&amp;"/edit?gid=1761053510"",
          ""Haris_Form responses 1!$AQ:$AQ"")=5)
      ),
      1
    ),
    ""0""
  ),
  ""Form not found""
)
"),"Form not found")</f>
        <v>Form not found</v>
      </c>
      <c r="S125" s="247" t="str">
        <f>IFERROR(__xludf.DUMMYFUNCTION("IFERROR(
  INDEX(
    FILTER(
      Transcription!$AJ:$AJ,
      TRIM(CLEAN(TEXT(Transcription!$F:$F, ""@""))) = TRIM(CLEAN(TEXT($D125, ""@""))),
      Transcription!$AO:$AO = 5
    ),
    1
  ),
  ""Not Found""
)
"),"Not Found")</f>
        <v>Not Found</v>
      </c>
      <c r="T125" s="246" t="str">
        <f>IFERROR(__xludf.DUMMYFUNCTION("IFERROR(
  INDEX(
    FILTER(
      Recording!$U:$U,
      TRIM(CLEAN(TEXT(Recording!$E:$E, ""@""))) = TRIM(CLEAN(TEXT($D125, ""@""))),
      Recording!$AA:$AA = 6
    ),
    1
  ),
  ""Not Found""
)
"),"Not Found")</f>
        <v>Not Found</v>
      </c>
      <c r="U1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1!$E:$E"")=$D125) *
        (IMPORTRANGE(""https://docs.google.com/spreadsheets/d/161aHT6vVT3SLneTKD19N5qVWtnj_jIT8CSsOmUVKmaA"&amp;"/edit?gid=1761053510"",
          ""Haris_Form responses 1!$AQ:$AQ"")=6)
      ),
      1
    ),
    ""0""
  ),
  ""Form not found""
)
"),"Form not found")</f>
        <v>Form not found</v>
      </c>
      <c r="V125" s="247" t="str">
        <f>IFERROR(__xludf.DUMMYFUNCTION("IFERROR(
  INDEX(
    FILTER(
      Transcription!$AJ:$AJ,
      TRIM(CLEAN(TEXT(Transcription!$F:$F, ""@""))) = TRIM(CLEAN(TEXT($D125, ""@""))),
      Transcription!$AO:$AO = 6
    ),
    1
  ),
  ""Not Found""
)
"),"Not Found")</f>
        <v>Not Found</v>
      </c>
      <c r="Z125" s="10">
        <f t="shared" si="1"/>
        <v>2</v>
      </c>
      <c r="AA125" s="10">
        <f t="shared" si="2"/>
        <v>0</v>
      </c>
    </row>
    <row r="126">
      <c r="A126" s="8" t="str">
        <f>VLOOKUP($D126,Sheet6!$B:$G,5,FALSE)</f>
        <v>Sargodha</v>
      </c>
      <c r="B126" s="232" t="str">
        <f>VLOOKUP($D126,Sheet6!$B:$G,4,FALSE)</f>
        <v>Community Secular Info Share</v>
      </c>
      <c r="C126" s="8">
        <v>3.0</v>
      </c>
      <c r="D126" s="8" t="s">
        <v>4574</v>
      </c>
      <c r="E126" s="244" t="str">
        <f>IFERROR(__xludf.DUMMYFUNCTION("IFERROR(
  INDEX(
    FILTER(
      Recording!$U:$U,
      TRIM(CLEAN(TEXT(Recording!$E:$E, ""@""))) = TRIM(CLEAN(TEXT($D126, ""@""))),
      Recording!$AA:$AA = 1
    ),
    1
  ),
  ""Not Found""
)
"),"https://drive.google.com/open?id=1-UwuLHYMk7aQU1D-yfyjWOdRJyDpsixk")</f>
        <v>https://drive.google.com/open?id=1-UwuLHYMk7aQU1D-yfyjWOdRJyDpsixk</v>
      </c>
      <c r="F1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1!$E:$E"")=$D126) *
        (IMPORTRANGE(""https://docs.google.com/spreadsheets/d/161aHT6vVT3SLneTKD19N5qVWtnj_jIT8CSsOmUVKmaA"&amp;"/edit?gid=1761053510"",
          ""Haris_Form responses 1!$AQ:$AQ"")=1)
      ),
      1
    ),
    ""0""
  ),
  ""Form not found""
)
"),"1")</f>
        <v>1</v>
      </c>
      <c r="G126" s="245" t="str">
        <f>IFERROR(__xludf.DUMMYFUNCTION("IFERROR(
  INDEX(
    FILTER(
      Transcription!$AJ:$AJ,
      TRIM(CLEAN(TEXT(Transcription!$F:$F, ""@""))) = TRIM(CLEAN(TEXT($D126, ""@""))),
      Transcription!$AO:$AO = 1
    ),
    1
  ),
  ""Not Found""
)
"),"https://drive.google.com/open?id=1RksftLxQTX8_idNL3g6YZ9ih_W2QUtUr")</f>
        <v>https://drive.google.com/open?id=1RksftLxQTX8_idNL3g6YZ9ih_W2QUtUr</v>
      </c>
      <c r="H126" s="244" t="str">
        <f>IFERROR(__xludf.DUMMYFUNCTION("IFERROR(
  INDEX(
    FILTER(
      Recording!$U:$U,
      TRIM(CLEAN(TEXT(Recording!$E:$E, ""@""))) = TRIM(CLEAN(TEXT($D126, ""@""))),
      Recording!$AA:$AA = 2
    ),
    1
  ),
  ""Not Found""
)
"),"https://drive.google.com/open?id=1a3MkULfAQBC4I4h314saM1N17ElaQa1_")</f>
        <v>https://drive.google.com/open?id=1a3MkULfAQBC4I4h314saM1N17ElaQa1_</v>
      </c>
      <c r="I1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1!$E:$E"")=$D126) *
        (IMPORTRANGE(""https://docs.google.com/spreadsheets/d/161aHT6vVT3SLneTKD19N5qVWtnj_jIT8CSsOmUVKmaA"&amp;"/edit?gid=1761053510"",
          ""Haris_Form responses 1!$AQ:$AQ"")=2)
      ),
      1
    ),
    ""0""
  ),
  ""Form not found""
)
"),"2")</f>
        <v>2</v>
      </c>
      <c r="J126" s="245" t="str">
        <f>IFERROR(__xludf.DUMMYFUNCTION("IFERROR(
  INDEX(
    FILTER(
      Transcription!$AJ:$AJ,
      TRIM(CLEAN(TEXT(Transcription!$F:$F, ""@""))) = TRIM(CLEAN(TEXT($D126, ""@""))),
      Transcription!$AO:$AO = 2
    ),
    1
  ),
  ""Not Found""
)
"),"https://drive.google.com/open?id=1NQOlqcU4LVCSpZJIBNeNIv1zIJVsC2Ma")</f>
        <v>https://drive.google.com/open?id=1NQOlqcU4LVCSpZJIBNeNIv1zIJVsC2Ma</v>
      </c>
      <c r="K126" s="244" t="str">
        <f>IFERROR(__xludf.DUMMYFUNCTION("IFERROR(
  INDEX(
    FILTER(
      Recording!$U:$U,
      TRIM(CLEAN(TEXT(Recording!$E:$E, ""@""))) = TRIM(CLEAN(TEXT($D126, ""@""))),
      Recording!$AA:$AA = 3
    ),
    1
  ),
  ""Not Found""
)
"),"https://drive.google.com/open?id=1Ftk66St4UXBFX60wBZ8g2bkKy78NQjf1")</f>
        <v>https://drive.google.com/open?id=1Ftk66St4UXBFX60wBZ8g2bkKy78NQjf1</v>
      </c>
      <c r="L1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1!$E:$E"")=$D126) *
        (IMPORTRANGE(""https://docs.google.com/spreadsheets/d/161aHT6vVT3SLneTKD19N5qVWtnj_jIT8CSsOmUVKmaA"&amp;"/edit?gid=1761053510"",
          ""Haris_Form responses 1!$AQ:$AQ"")=3)
      ),
      1
    ),
    ""0""
  ),
  ""Form not found""
)
"),"3")</f>
        <v>3</v>
      </c>
      <c r="M126" s="245" t="str">
        <f>IFERROR(__xludf.DUMMYFUNCTION("IFERROR(
  INDEX(
    FILTER(
      Transcription!$AJ:$AJ,
      TRIM(CLEAN(TEXT(Transcription!$F:$F, ""@""))) = TRIM(CLEAN(TEXT($D126, ""@""))),
      Transcription!$AO:$AO = 3
    ),
    1
  ),
  ""Not Found""
)
"),"https://drive.google.com/open?id=1N-qVbIduScVRcla4rrIE-GXon_am-rfp")</f>
        <v>https://drive.google.com/open?id=1N-qVbIduScVRcla4rrIE-GXon_am-rfp</v>
      </c>
      <c r="N126" s="246" t="str">
        <f>IFERROR(__xludf.DUMMYFUNCTION("IFERROR(
  INDEX(
    FILTER(
      Recording!$U:$U,
      TRIM(CLEAN(TEXT(Recording!$E:$E, ""@""))) = TRIM(CLEAN(TEXT($D126, ""@""))),
      Recording!$AA:$AA = 4
    ),
    1
  ),
  ""Not Found""
)
"),"Not Found")</f>
        <v>Not Found</v>
      </c>
      <c r="O1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1!$E:$E"")=$D126) *
        (IMPORTRANGE(""https://docs.google.com/spreadsheets/d/161aHT6vVT3SLneTKD19N5qVWtnj_jIT8CSsOmUVKmaA"&amp;"/edit?gid=1761053510"",
          ""Haris_Form responses 1!$AQ:$AQ"")=4)
      ),
      1
    ),
    ""0""
  ),
  ""Form not found""
)
"),"Form not found")</f>
        <v>Form not found</v>
      </c>
      <c r="P126" s="247" t="str">
        <f>IFERROR(__xludf.DUMMYFUNCTION("IFERROR(
  INDEX(
    FILTER(
      Transcription!$AJ:$AJ,
      TRIM(CLEAN(TEXT(Transcription!$F:$F, ""@""))) = TRIM(CLEAN(TEXT($D126, ""@""))),
      Transcription!$AO:$AO = 4
    ),
    1
  ),
  ""Not Found""
)
"),"Not Found")</f>
        <v>Not Found</v>
      </c>
      <c r="Q126" s="246" t="str">
        <f>IFERROR(__xludf.DUMMYFUNCTION("IFERROR(
  INDEX(
    FILTER(
      Recording!$U:$U,
      TRIM(CLEAN(TEXT(Recording!$E:$E, ""@""))) = TRIM(CLEAN(TEXT($D126, ""@""))),
      Recording!$AA:$AA = 5
    ),
    1
  ),
  ""Not Found""
)
"),"Not Found")</f>
        <v>Not Found</v>
      </c>
      <c r="R1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1!$E:$E"")=$D126) *
        (IMPORTRANGE(""https://docs.google.com/spreadsheets/d/161aHT6vVT3SLneTKD19N5qVWtnj_jIT8CSsOmUVKmaA"&amp;"/edit?gid=1761053510"",
          ""Haris_Form responses 1!$AQ:$AQ"")=5)
      ),
      1
    ),
    ""0""
  ),
  ""Form not found""
)
"),"Form not found")</f>
        <v>Form not found</v>
      </c>
      <c r="S126" s="247" t="str">
        <f>IFERROR(__xludf.DUMMYFUNCTION("IFERROR(
  INDEX(
    FILTER(
      Transcription!$AJ:$AJ,
      TRIM(CLEAN(TEXT(Transcription!$F:$F, ""@""))) = TRIM(CLEAN(TEXT($D126, ""@""))),
      Transcription!$AO:$AO = 5
    ),
    1
  ),
  ""Not Found""
)
"),"Not Found")</f>
        <v>Not Found</v>
      </c>
      <c r="T126" s="248" t="str">
        <f>IFERROR(__xludf.DUMMYFUNCTION("IFERROR(
  INDEX(
    FILTER(
      Recording!$U:$U,
      TRIM(CLEAN(TEXT(Recording!$E:$E, ""@""))) = TRIM(CLEAN(TEXT($D126, ""@""))),
      Recording!$AA:$AA = 6
    ),
    1
  ),
  ""Not Found""
)
"),"Not Found")</f>
        <v>Not Found</v>
      </c>
      <c r="U1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1!$E:$E"")=$D126) *
        (IMPORTRANGE(""https://docs.google.com/spreadsheets/d/161aHT6vVT3SLneTKD19N5qVWtnj_jIT8CSsOmUVKmaA"&amp;"/edit?gid=1761053510"",
          ""Haris_Form responses 1!$AQ:$AQ"")=6)
      ),
      1
    ),
    ""0""
  ),
  ""Form not found""
)
"),"Form not found")</f>
        <v>Form not found</v>
      </c>
      <c r="V126" s="247" t="str">
        <f>IFERROR(__xludf.DUMMYFUNCTION("IFERROR(
  INDEX(
    FILTER(
      Transcription!$AJ:$AJ,
      TRIM(CLEAN(TEXT(Transcription!$F:$F, ""@""))) = TRIM(CLEAN(TEXT($D126, ""@""))),
      Transcription!$AO:$AO = 6
    ),
    1
  ),
  ""Not Found""
)
"),"Not Found")</f>
        <v>Not Found</v>
      </c>
      <c r="Z126" s="10">
        <f t="shared" si="1"/>
        <v>3</v>
      </c>
      <c r="AA126" s="10">
        <f t="shared" si="2"/>
        <v>0</v>
      </c>
    </row>
    <row r="127">
      <c r="A127" s="8" t="str">
        <f>VLOOKUP($D127,Sheet6!$B:$G,5,FALSE)</f>
        <v>Sargodha</v>
      </c>
      <c r="B127" s="232" t="str">
        <f>VLOOKUP($D127,Sheet6!$B:$G,4,FALSE)</f>
        <v>Women Religious Info Share</v>
      </c>
      <c r="C127" s="8">
        <v>3.0</v>
      </c>
      <c r="D127" s="8" t="s">
        <v>2802</v>
      </c>
      <c r="E127" s="244" t="str">
        <f>IFERROR(__xludf.DUMMYFUNCTION("IFERROR(
  INDEX(
    FILTER(
      Recording!$U:$U,
      TRIM(CLEAN(TEXT(Recording!$E:$E, ""@""))) = TRIM(CLEAN(TEXT($D127, ""@""))),
      Recording!$AA:$AA = 1
    ),
    1
  ),
  ""Not Found""
)
"),"https://drive.google.com/open?id=1q8zTSfyTFD5hoFLWNTQbKFPSHGOw22Ch")</f>
        <v>https://drive.google.com/open?id=1q8zTSfyTFD5hoFLWNTQbKFPSHGOw22Ch</v>
      </c>
      <c r="F1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1!$E:$E"")=$D127) *
        (IMPORTRANGE(""https://docs.google.com/spreadsheets/d/161aHT6vVT3SLneTKD19N5qVWtnj_jIT8CSsOmUVKmaA"&amp;"/edit?gid=1761053510"",
          ""Haris_Form responses 1!$AQ:$AQ"")=1)
      ),
      1
    ),
    ""0""
  ),
  ""Form not found""
)
"),"1")</f>
        <v>1</v>
      </c>
      <c r="G127" s="245" t="str">
        <f>IFERROR(__xludf.DUMMYFUNCTION("IFERROR(
  INDEX(
    FILTER(
      Transcription!$AJ:$AJ,
      TRIM(CLEAN(TEXT(Transcription!$F:$F, ""@""))) = TRIM(CLEAN(TEXT($D127, ""@""))),
      Transcription!$AO:$AO = 1
    ),
    1
  ),
  ""Not Found""
)
"),"https://drive.google.com/open?id=1q1HhwV8S4KxyUMfP8ibhqj9o1tmxSTXp")</f>
        <v>https://drive.google.com/open?id=1q1HhwV8S4KxyUMfP8ibhqj9o1tmxSTXp</v>
      </c>
      <c r="H127" s="244" t="str">
        <f>IFERROR(__xludf.DUMMYFUNCTION("IFERROR(
  INDEX(
    FILTER(
      Recording!$U:$U,
      TRIM(CLEAN(TEXT(Recording!$E:$E, ""@""))) = TRIM(CLEAN(TEXT($D127, ""@""))),
      Recording!$AA:$AA = 2
    ),
    1
  ),
  ""Not Found""
)
"),"https://drive.google.com/open?id=1dWLKlLGibOenkhX3xu8bpHA7SagKve64")</f>
        <v>https://drive.google.com/open?id=1dWLKlLGibOenkhX3xu8bpHA7SagKve64</v>
      </c>
      <c r="I1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1!$E:$E"")=$D127) *
        (IMPORTRANGE(""https://docs.google.com/spreadsheets/d/161aHT6vVT3SLneTKD19N5qVWtnj_jIT8CSsOmUVKmaA"&amp;"/edit?gid=1761053510"",
          ""Haris_Form responses 1!$AQ:$AQ"")=2)
      ),
      1
    ),
    ""0""
  ),
  ""Form not found""
)
"),"2")</f>
        <v>2</v>
      </c>
      <c r="J127" s="245" t="str">
        <f>IFERROR(__xludf.DUMMYFUNCTION("IFERROR(
  INDEX(
    FILTER(
      Transcription!$AJ:$AJ,
      TRIM(CLEAN(TEXT(Transcription!$F:$F, ""@""))) = TRIM(CLEAN(TEXT($D127, ""@""))),
      Transcription!$AO:$AO = 2
    ),
    1
  ),
  ""Not Found""
)
"),"https://drive.google.com/open?id=1yPPvf3I9MshztUSmETpEinukEnvf6E_R")</f>
        <v>https://drive.google.com/open?id=1yPPvf3I9MshztUSmETpEinukEnvf6E_R</v>
      </c>
      <c r="K127" s="244" t="str">
        <f>IFERROR(__xludf.DUMMYFUNCTION("IFERROR(
  INDEX(
    FILTER(
      Recording!$U:$U,
      TRIM(CLEAN(TEXT(Recording!$E:$E, ""@""))) = TRIM(CLEAN(TEXT($D127, ""@""))),
      Recording!$AA:$AA = 3
    ),
    1
  ),
  ""Not Found""
)
"),"https://drive.google.com/open?id=1dJgwn8IXHvGoRkJC590RpoE1Jl_EcUSN")</f>
        <v>https://drive.google.com/open?id=1dJgwn8IXHvGoRkJC590RpoE1Jl_EcUSN</v>
      </c>
      <c r="L1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1!$E:$E"")=$D127) *
        (IMPORTRANGE(""https://docs.google.com/spreadsheets/d/161aHT6vVT3SLneTKD19N5qVWtnj_jIT8CSsOmUVKmaA"&amp;"/edit?gid=1761053510"",
          ""Haris_Form responses 1!$AQ:$AQ"")=3)
      ),
      1
    ),
    ""0""
  ),
  ""Form not found""
)
"),"3")</f>
        <v>3</v>
      </c>
      <c r="M127" s="245" t="str">
        <f>IFERROR(__xludf.DUMMYFUNCTION("IFERROR(
  INDEX(
    FILTER(
      Transcription!$AJ:$AJ,
      TRIM(CLEAN(TEXT(Transcription!$F:$F, ""@""))) = TRIM(CLEAN(TEXT($D127, ""@""))),
      Transcription!$AO:$AO = 3
    ),
    1
  ),
  ""Not Found""
)
"),"https://drive.google.com/open?id=1kIKbBDxSSQaB6_D_6COLtaSWGBx8d1_Y")</f>
        <v>https://drive.google.com/open?id=1kIKbBDxSSQaB6_D_6COLtaSWGBx8d1_Y</v>
      </c>
      <c r="N127" s="246" t="str">
        <f>IFERROR(__xludf.DUMMYFUNCTION("IFERROR(
  INDEX(
    FILTER(
      Recording!$U:$U,
      TRIM(CLEAN(TEXT(Recording!$E:$E, ""@""))) = TRIM(CLEAN(TEXT($D127, ""@""))),
      Recording!$AA:$AA = 4
    ),
    1
  ),
  ""Not Found""
)
"),"Not Found")</f>
        <v>Not Found</v>
      </c>
      <c r="O1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1!$E:$E"")=$D127) *
        (IMPORTRANGE(""https://docs.google.com/spreadsheets/d/161aHT6vVT3SLneTKD19N5qVWtnj_jIT8CSsOmUVKmaA"&amp;"/edit?gid=1761053510"",
          ""Haris_Form responses 1!$AQ:$AQ"")=4)
      ),
      1
    ),
    ""0""
  ),
  ""Form not found""
)
"),"Form not found")</f>
        <v>Form not found</v>
      </c>
      <c r="P127" s="247" t="str">
        <f>IFERROR(__xludf.DUMMYFUNCTION("IFERROR(
  INDEX(
    FILTER(
      Transcription!$AJ:$AJ,
      TRIM(CLEAN(TEXT(Transcription!$F:$F, ""@""))) = TRIM(CLEAN(TEXT($D127, ""@""))),
      Transcription!$AO:$AO = 4
    ),
    1
  ),
  ""Not Found""
)
"),"Not Found")</f>
        <v>Not Found</v>
      </c>
      <c r="Q127" s="246" t="str">
        <f>IFERROR(__xludf.DUMMYFUNCTION("IFERROR(
  INDEX(
    FILTER(
      Recording!$U:$U,
      TRIM(CLEAN(TEXT(Recording!$E:$E, ""@""))) = TRIM(CLEAN(TEXT($D127, ""@""))),
      Recording!$AA:$AA = 5
    ),
    1
  ),
  ""Not Found""
)
"),"Not Found")</f>
        <v>Not Found</v>
      </c>
      <c r="R1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1!$E:$E"")=$D127) *
        (IMPORTRANGE(""https://docs.google.com/spreadsheets/d/161aHT6vVT3SLneTKD19N5qVWtnj_jIT8CSsOmUVKmaA"&amp;"/edit?gid=1761053510"",
          ""Haris_Form responses 1!$AQ:$AQ"")=5)
      ),
      1
    ),
    ""0""
  ),
  ""Form not found""
)
"),"Form not found")</f>
        <v>Form not found</v>
      </c>
      <c r="S127" s="247" t="str">
        <f>IFERROR(__xludf.DUMMYFUNCTION("IFERROR(
  INDEX(
    FILTER(
      Transcription!$AJ:$AJ,
      TRIM(CLEAN(TEXT(Transcription!$F:$F, ""@""))) = TRIM(CLEAN(TEXT($D127, ""@""))),
      Transcription!$AO:$AO = 5
    ),
    1
  ),
  ""Not Found""
)
"),"Not Found")</f>
        <v>Not Found</v>
      </c>
      <c r="T127" s="248" t="str">
        <f>IFERROR(__xludf.DUMMYFUNCTION("IFERROR(
  INDEX(
    FILTER(
      Recording!$U:$U,
      TRIM(CLEAN(TEXT(Recording!$E:$E, ""@""))) = TRIM(CLEAN(TEXT($D127, ""@""))),
      Recording!$AA:$AA = 6
    ),
    1
  ),
  ""Not Found""
)
"),"Not Found")</f>
        <v>Not Found</v>
      </c>
      <c r="U1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1!$E:$E"")=$D127) *
        (IMPORTRANGE(""https://docs.google.com/spreadsheets/d/161aHT6vVT3SLneTKD19N5qVWtnj_jIT8CSsOmUVKmaA"&amp;"/edit?gid=1761053510"",
          ""Haris_Form responses 1!$AQ:$AQ"")=6)
      ),
      1
    ),
    ""0""
  ),
  ""Form not found""
)
"),"Form not found")</f>
        <v>Form not found</v>
      </c>
      <c r="V127" s="247" t="str">
        <f>IFERROR(__xludf.DUMMYFUNCTION("IFERROR(
  INDEX(
    FILTER(
      Transcription!$AJ:$AJ,
      TRIM(CLEAN(TEXT(Transcription!$F:$F, ""@""))) = TRIM(CLEAN(TEXT($D127, ""@""))),
      Transcription!$AO:$AO = 6
    ),
    1
  ),
  ""Not Found""
)
"),"Not Found")</f>
        <v>Not Found</v>
      </c>
      <c r="Z127" s="10">
        <f t="shared" si="1"/>
        <v>3</v>
      </c>
      <c r="AA127" s="10">
        <f t="shared" si="2"/>
        <v>0</v>
      </c>
    </row>
    <row r="128">
      <c r="A128" s="8" t="str">
        <f>VLOOKUP($D128,Sheet6!$B:$G,5,FALSE)</f>
        <v>Sargodha</v>
      </c>
      <c r="B128" s="232" t="str">
        <f>VLOOKUP($D128,Sheet6!$B:$G,4,FALSE)</f>
        <v>Control</v>
      </c>
      <c r="C128" s="8">
        <v>2.0</v>
      </c>
      <c r="D128" s="8" t="s">
        <v>2454</v>
      </c>
      <c r="E128" s="244" t="str">
        <f>IFERROR(__xludf.DUMMYFUNCTION("IFERROR(
  INDEX(
    FILTER(
      Recording!$U:$U,
      TRIM(CLEAN(TEXT(Recording!$E:$E, ""@""))) = TRIM(CLEAN(TEXT($D128, ""@""))),
      Recording!$AA:$AA = 1
    ),
    1
  ),
  ""Not Found""
)
"),"https://drive.google.com/open?id=1QqzLwtK9R-gxHlma3nm7z0JjMaS_7arW")</f>
        <v>https://drive.google.com/open?id=1QqzLwtK9R-gxHlma3nm7z0JjMaS_7arW</v>
      </c>
      <c r="F1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1!$E:$E"")=$D128) *
        (IMPORTRANGE(""https://docs.google.com/spreadsheets/d/161aHT6vVT3SLneTKD19N5qVWtnj_jIT8CSsOmUVKmaA"&amp;"/edit?gid=1761053510"",
          ""Haris_Form responses 1!$AQ:$AQ"")=1)
      ),
      1
    ),
    ""0""
  ),
  ""Form not found""
)
"),"1")</f>
        <v>1</v>
      </c>
      <c r="G128" s="245" t="str">
        <f>IFERROR(__xludf.DUMMYFUNCTION("IFERROR(
  INDEX(
    FILTER(
      Transcription!$AJ:$AJ,
      TRIM(CLEAN(TEXT(Transcription!$F:$F, ""@""))) = TRIM(CLEAN(TEXT($D128, ""@""))),
      Transcription!$AO:$AO = 1
    ),
    1
  ),
  ""Not Found""
)
"),"https://drive.google.com/open?id=1KubbSS51bMJtdAigoMsTcYndW0TJGfGy")</f>
        <v>https://drive.google.com/open?id=1KubbSS51bMJtdAigoMsTcYndW0TJGfGy</v>
      </c>
      <c r="H128" s="246" t="str">
        <f>IFERROR(__xludf.DUMMYFUNCTION("IFERROR(
  INDEX(
    FILTER(
      Recording!$U:$U,
      TRIM(CLEAN(TEXT(Recording!$E:$E, ""@""))) = TRIM(CLEAN(TEXT($D128, ""@""))),
      Recording!$AA:$AA = 2
    ),
    1
  ),
  ""Not Found""
)
"),"Not Found")</f>
        <v>Not Found</v>
      </c>
      <c r="I1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1!$E:$E"")=$D128) *
        (IMPORTRANGE(""https://docs.google.com/spreadsheets/d/161aHT6vVT3SLneTKD19N5qVWtnj_jIT8CSsOmUVKmaA"&amp;"/edit?gid=1761053510"",
          ""Haris_Form responses 1!$AQ:$AQ"")=2)
      ),
      1
    ),
    ""0""
  ),
  ""Form not found""
)
"),"Form not found")</f>
        <v>Form not found</v>
      </c>
      <c r="J128" s="247" t="str">
        <f>IFERROR(__xludf.DUMMYFUNCTION("IFERROR(
  INDEX(
    FILTER(
      Transcription!$AJ:$AJ,
      TRIM(CLEAN(TEXT(Transcription!$F:$F, ""@""))) = TRIM(CLEAN(TEXT($D128, ""@""))),
      Transcription!$AO:$AO = 2
    ),
    1
  ),
  ""Not Found""
)
"),"Not Found")</f>
        <v>Not Found</v>
      </c>
      <c r="K128" s="244" t="str">
        <f>IFERROR(__xludf.DUMMYFUNCTION("IFERROR(
  INDEX(
    FILTER(
      Recording!$U:$U,
      TRIM(CLEAN(TEXT(Recording!$E:$E, ""@""))) = TRIM(CLEAN(TEXT($D128, ""@""))),
      Recording!$AA:$AA = 3
    ),
    1
  ),
  ""Not Found""
)
"),"https://drive.google.com/open?id=1eu85pmOE3QFidy4a9PnlYtUT6ENf01n_")</f>
        <v>https://drive.google.com/open?id=1eu85pmOE3QFidy4a9PnlYtUT6ENf01n_</v>
      </c>
      <c r="L1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1!$E:$E"")=$D128) *
        (IMPORTRANGE(""https://docs.google.com/spreadsheets/d/161aHT6vVT3SLneTKD19N5qVWtnj_jIT8CSsOmUVKmaA"&amp;"/edit?gid=1761053510"",
          ""Haris_Form responses 1!$AQ:$AQ"")=3)
      ),
      1
    ),
    ""0""
  ),
  ""Form not found""
)
"),"3")</f>
        <v>3</v>
      </c>
      <c r="M128" s="245" t="str">
        <f>IFERROR(__xludf.DUMMYFUNCTION("IFERROR(
  INDEX(
    FILTER(
      Transcription!$AJ:$AJ,
      TRIM(CLEAN(TEXT(Transcription!$F:$F, ""@""))) = TRIM(CLEAN(TEXT($D128, ""@""))),
      Transcription!$AO:$AO = 3
    ),
    1
  ),
  ""Not Found""
)
"),"https://drive.google.com/open?id=1i5TUeOnYx68kBrJ5v322hP2enmtPN9wa")</f>
        <v>https://drive.google.com/open?id=1i5TUeOnYx68kBrJ5v322hP2enmtPN9wa</v>
      </c>
      <c r="N128" s="246" t="str">
        <f>IFERROR(__xludf.DUMMYFUNCTION("IFERROR(
  INDEX(
    FILTER(
      Recording!$U:$U,
      TRIM(CLEAN(TEXT(Recording!$E:$E, ""@""))) = TRIM(CLEAN(TEXT($D128, ""@""))),
      Recording!$AA:$AA = 4
    ),
    1
  ),
  ""Not Found""
)
"),"Not Found")</f>
        <v>Not Found</v>
      </c>
      <c r="O1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1!$E:$E"")=$D128) *
        (IMPORTRANGE(""https://docs.google.com/spreadsheets/d/161aHT6vVT3SLneTKD19N5qVWtnj_jIT8CSsOmUVKmaA"&amp;"/edit?gid=1761053510"",
          ""Haris_Form responses 1!$AQ:$AQ"")=4)
      ),
      1
    ),
    ""0""
  ),
  ""Form not found""
)
"),"Form not found")</f>
        <v>Form not found</v>
      </c>
      <c r="P128" s="247" t="str">
        <f>IFERROR(__xludf.DUMMYFUNCTION("IFERROR(
  INDEX(
    FILTER(
      Transcription!$AJ:$AJ,
      TRIM(CLEAN(TEXT(Transcription!$F:$F, ""@""))) = TRIM(CLEAN(TEXT($D128, ""@""))),
      Transcription!$AO:$AO = 4
    ),
    1
  ),
  ""Not Found""
)
"),"Not Found")</f>
        <v>Not Found</v>
      </c>
      <c r="Q128" s="246" t="str">
        <f>IFERROR(__xludf.DUMMYFUNCTION("IFERROR(
  INDEX(
    FILTER(
      Recording!$U:$U,
      TRIM(CLEAN(TEXT(Recording!$E:$E, ""@""))) = TRIM(CLEAN(TEXT($D128, ""@""))),
      Recording!$AA:$AA = 5
    ),
    1
  ),
  ""Not Found""
)
"),"Not Found")</f>
        <v>Not Found</v>
      </c>
      <c r="R1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1!$E:$E"")=$D128) *
        (IMPORTRANGE(""https://docs.google.com/spreadsheets/d/161aHT6vVT3SLneTKD19N5qVWtnj_jIT8CSsOmUVKmaA"&amp;"/edit?gid=1761053510"",
          ""Haris_Form responses 1!$AQ:$AQ"")=5)
      ),
      1
    ),
    ""0""
  ),
  ""Form not found""
)
"),"Form not found")</f>
        <v>Form not found</v>
      </c>
      <c r="S128" s="247" t="str">
        <f>IFERROR(__xludf.DUMMYFUNCTION("IFERROR(
  INDEX(
    FILTER(
      Transcription!$AJ:$AJ,
      TRIM(CLEAN(TEXT(Transcription!$F:$F, ""@""))) = TRIM(CLEAN(TEXT($D128, ""@""))),
      Transcription!$AO:$AO = 5
    ),
    1
  ),
  ""Not Found""
)
"),"Not Found")</f>
        <v>Not Found</v>
      </c>
      <c r="T128" s="246" t="str">
        <f>IFERROR(__xludf.DUMMYFUNCTION("IFERROR(
  INDEX(
    FILTER(
      Recording!$U:$U,
      TRIM(CLEAN(TEXT(Recording!$E:$E, ""@""))) = TRIM(CLEAN(TEXT($D128, ""@""))),
      Recording!$AA:$AA = 6
    ),
    1
  ),
  ""Not Found""
)
"),"Not Found")</f>
        <v>Not Found</v>
      </c>
      <c r="U1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1!$E:$E"")=$D128) *
        (IMPORTRANGE(""https://docs.google.com/spreadsheets/d/161aHT6vVT3SLneTKD19N5qVWtnj_jIT8CSsOmUVKmaA"&amp;"/edit?gid=1761053510"",
          ""Haris_Form responses 1!$AQ:$AQ"")=6)
      ),
      1
    ),
    ""0""
  ),
  ""Form not found""
)
"),"Form not found")</f>
        <v>Form not found</v>
      </c>
      <c r="V128" s="247" t="str">
        <f>IFERROR(__xludf.DUMMYFUNCTION("IFERROR(
  INDEX(
    FILTER(
      Transcription!$AJ:$AJ,
      TRIM(CLEAN(TEXT(Transcription!$F:$F, ""@""))) = TRIM(CLEAN(TEXT($D128, ""@""))),
      Transcription!$AO:$AO = 6
    ),
    1
  ),
  ""Not Found""
)
"),"Not Found")</f>
        <v>Not Found</v>
      </c>
      <c r="Z128" s="10">
        <f t="shared" si="1"/>
        <v>2</v>
      </c>
      <c r="AA128" s="10">
        <f t="shared" si="2"/>
        <v>0</v>
      </c>
    </row>
    <row r="129">
      <c r="A129" s="8" t="str">
        <f>VLOOKUP($D129,Sheet6!$B:$G,5,FALSE)</f>
        <v>Khushab</v>
      </c>
      <c r="B129" s="232" t="str">
        <f>VLOOKUP($D129,Sheet6!$B:$G,4,FALSE)</f>
        <v>Control</v>
      </c>
      <c r="C129" s="8">
        <v>2.0</v>
      </c>
      <c r="D129" s="8" t="s">
        <v>4575</v>
      </c>
      <c r="E129" s="244" t="str">
        <f>IFERROR(__xludf.DUMMYFUNCTION("IFERROR(
  INDEX(
    FILTER(
      Recording!$U:$U,
      TRIM(CLEAN(TEXT(Recording!$E:$E, ""@""))) = TRIM(CLEAN(TEXT($D129, ""@""))),
      Recording!$AA:$AA = 1
    ),
    1
  ),
  ""Not Found""
)
"),"https://drive.google.com/open?id=1ePG7YGeGVSwo83uE7xCwzGTgAK-7cArv")</f>
        <v>https://drive.google.com/open?id=1ePG7YGeGVSwo83uE7xCwzGTgAK-7cArv</v>
      </c>
      <c r="F1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1!$E:$E"")=$D129) *
        (IMPORTRANGE(""https://docs.google.com/spreadsheets/d/161aHT6vVT3SLneTKD19N5qVWtnj_jIT8CSsOmUVKmaA"&amp;"/edit?gid=1761053510"",
          ""Haris_Form responses 1!$AQ:$AQ"")=1)
      ),
      1
    ),
    ""0""
  ),
  ""Form not found""
)
"),"1")</f>
        <v>1</v>
      </c>
      <c r="G129" s="245" t="str">
        <f>IFERROR(__xludf.DUMMYFUNCTION("IFERROR(
  INDEX(
    FILTER(
      Transcription!$AJ:$AJ,
      TRIM(CLEAN(TEXT(Transcription!$F:$F, ""@""))) = TRIM(CLEAN(TEXT($D129, ""@""))),
      Transcription!$AO:$AO = 1
    ),
    1
  ),
  ""Not Found""
)
"),"https://drive.google.com/open?id=1h6UN6M9XMjIF4MHEQFA2sPuKRg7xg0y6")</f>
        <v>https://drive.google.com/open?id=1h6UN6M9XMjIF4MHEQFA2sPuKRg7xg0y6</v>
      </c>
      <c r="H129" s="246" t="str">
        <f>IFERROR(__xludf.DUMMYFUNCTION("IFERROR(
  INDEX(
    FILTER(
      Recording!$U:$U,
      TRIM(CLEAN(TEXT(Recording!$E:$E, ""@""))) = TRIM(CLEAN(TEXT($D129, ""@""))),
      Recording!$AA:$AA = 2
    ),
    1
  ),
  ""Not Found""
)
"),"Not Found")</f>
        <v>Not Found</v>
      </c>
      <c r="I1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1!$E:$E"")=$D129) *
        (IMPORTRANGE(""https://docs.google.com/spreadsheets/d/161aHT6vVT3SLneTKD19N5qVWtnj_jIT8CSsOmUVKmaA"&amp;"/edit?gid=1761053510"",
          ""Haris_Form responses 1!$AQ:$AQ"")=2)
      ),
      1
    ),
    ""0""
  ),
  ""Form not found""
)
"),"Form not found")</f>
        <v>Form not found</v>
      </c>
      <c r="J129" s="247" t="str">
        <f>IFERROR(__xludf.DUMMYFUNCTION("IFERROR(
  INDEX(
    FILTER(
      Transcription!$AJ:$AJ,
      TRIM(CLEAN(TEXT(Transcription!$F:$F, ""@""))) = TRIM(CLEAN(TEXT($D129, ""@""))),
      Transcription!$AO:$AO = 2
    ),
    1
  ),
  ""Not Found""
)
"),"Not Found")</f>
        <v>Not Found</v>
      </c>
      <c r="K129" s="244" t="str">
        <f>IFERROR(__xludf.DUMMYFUNCTION("IFERROR(
  INDEX(
    FILTER(
      Recording!$U:$U,
      TRIM(CLEAN(TEXT(Recording!$E:$E, ""@""))) = TRIM(CLEAN(TEXT($D129, ""@""))),
      Recording!$AA:$AA = 3
    ),
    1
  ),
  ""Not Found""
)
"),"https://drive.google.com/open?id=1HBWjKVQoK7jE0CqrV68z4C7hHAjETlzI")</f>
        <v>https://drive.google.com/open?id=1HBWjKVQoK7jE0CqrV68z4C7hHAjETlzI</v>
      </c>
      <c r="L1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1!$E:$E"")=$D129) *
        (IMPORTRANGE(""https://docs.google.com/spreadsheets/d/161aHT6vVT3SLneTKD19N5qVWtnj_jIT8CSsOmUVKmaA"&amp;"/edit?gid=1761053510"",
          ""Haris_Form responses 1!$AQ:$AQ"")=3)
      ),
      1
    ),
    ""0""
  ),
  ""Form not found""
)
"),"3")</f>
        <v>3</v>
      </c>
      <c r="M129" s="245" t="str">
        <f>IFERROR(__xludf.DUMMYFUNCTION("IFERROR(
  INDEX(
    FILTER(
      Transcription!$AJ:$AJ,
      TRIM(CLEAN(TEXT(Transcription!$F:$F, ""@""))) = TRIM(CLEAN(TEXT($D129, ""@""))),
      Transcription!$AO:$AO = 3
    ),
    1
  ),
  ""Not Found""
)
"),"https://drive.google.com/open?id=1bIKKjq5jeSfodgN9XlhLOucgDEjvLYJy")</f>
        <v>https://drive.google.com/open?id=1bIKKjq5jeSfodgN9XlhLOucgDEjvLYJy</v>
      </c>
      <c r="N129" s="246" t="str">
        <f>IFERROR(__xludf.DUMMYFUNCTION("IFERROR(
  INDEX(
    FILTER(
      Recording!$U:$U,
      TRIM(CLEAN(TEXT(Recording!$E:$E, ""@""))) = TRIM(CLEAN(TEXT($D129, ""@""))),
      Recording!$AA:$AA = 4
    ),
    1
  ),
  ""Not Found""
)
"),"Not Found")</f>
        <v>Not Found</v>
      </c>
      <c r="O1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1!$E:$E"")=$D129) *
        (IMPORTRANGE(""https://docs.google.com/spreadsheets/d/161aHT6vVT3SLneTKD19N5qVWtnj_jIT8CSsOmUVKmaA"&amp;"/edit?gid=1761053510"",
          ""Haris_Form responses 1!$AQ:$AQ"")=4)
      ),
      1
    ),
    ""0""
  ),
  ""Form not found""
)
"),"Form not found")</f>
        <v>Form not found</v>
      </c>
      <c r="P129" s="247" t="str">
        <f>IFERROR(__xludf.DUMMYFUNCTION("IFERROR(
  INDEX(
    FILTER(
      Transcription!$AJ:$AJ,
      TRIM(CLEAN(TEXT(Transcription!$F:$F, ""@""))) = TRIM(CLEAN(TEXT($D129, ""@""))),
      Transcription!$AO:$AO = 4
    ),
    1
  ),
  ""Not Found""
)
"),"Not Found")</f>
        <v>Not Found</v>
      </c>
      <c r="Q129" s="246" t="str">
        <f>IFERROR(__xludf.DUMMYFUNCTION("IFERROR(
  INDEX(
    FILTER(
      Recording!$U:$U,
      TRIM(CLEAN(TEXT(Recording!$E:$E, ""@""))) = TRIM(CLEAN(TEXT($D129, ""@""))),
      Recording!$AA:$AA = 5
    ),
    1
  ),
  ""Not Found""
)
"),"Not Found")</f>
        <v>Not Found</v>
      </c>
      <c r="R1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1!$E:$E"")=$D129) *
        (IMPORTRANGE(""https://docs.google.com/spreadsheets/d/161aHT6vVT3SLneTKD19N5qVWtnj_jIT8CSsOmUVKmaA"&amp;"/edit?gid=1761053510"",
          ""Haris_Form responses 1!$AQ:$AQ"")=5)
      ),
      1
    ),
    ""0""
  ),
  ""Form not found""
)
"),"Form not found")</f>
        <v>Form not found</v>
      </c>
      <c r="S129" s="247" t="str">
        <f>IFERROR(__xludf.DUMMYFUNCTION("IFERROR(
  INDEX(
    FILTER(
      Transcription!$AJ:$AJ,
      TRIM(CLEAN(TEXT(Transcription!$F:$F, ""@""))) = TRIM(CLEAN(TEXT($D129, ""@""))),
      Transcription!$AO:$AO = 5
    ),
    1
  ),
  ""Not Found""
)
"),"Not Found")</f>
        <v>Not Found</v>
      </c>
      <c r="T129" s="246" t="str">
        <f>IFERROR(__xludf.DUMMYFUNCTION("IFERROR(
  INDEX(
    FILTER(
      Recording!$U:$U,
      TRIM(CLEAN(TEXT(Recording!$E:$E, ""@""))) = TRIM(CLEAN(TEXT($D129, ""@""))),
      Recording!$AA:$AA = 6
    ),
    1
  ),
  ""Not Found""
)
"),"Not Found")</f>
        <v>Not Found</v>
      </c>
      <c r="U1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1!$E:$E"")=$D129) *
        (IMPORTRANGE(""https://docs.google.com/spreadsheets/d/161aHT6vVT3SLneTKD19N5qVWtnj_jIT8CSsOmUVKmaA"&amp;"/edit?gid=1761053510"",
          ""Haris_Form responses 1!$AQ:$AQ"")=6)
      ),
      1
    ),
    ""0""
  ),
  ""Form not found""
)
"),"Form not found")</f>
        <v>Form not found</v>
      </c>
      <c r="V129" s="247" t="str">
        <f>IFERROR(__xludf.DUMMYFUNCTION("IFERROR(
  INDEX(
    FILTER(
      Transcription!$AJ:$AJ,
      TRIM(CLEAN(TEXT(Transcription!$F:$F, ""@""))) = TRIM(CLEAN(TEXT($D129, ""@""))),
      Transcription!$AO:$AO = 6
    ),
    1
  ),
  ""Not Found""
)
"),"Not Found")</f>
        <v>Not Found</v>
      </c>
      <c r="Z129" s="10">
        <f t="shared" si="1"/>
        <v>2</v>
      </c>
      <c r="AA129" s="10">
        <f t="shared" si="2"/>
        <v>0</v>
      </c>
    </row>
    <row r="130">
      <c r="A130" s="8" t="str">
        <f>VLOOKUP($D130,Sheet6!$B:$G,5,FALSE)</f>
        <v>Khushab</v>
      </c>
      <c r="B130" s="232" t="str">
        <f>VLOOKUP($D130,Sheet6!$B:$G,4,FALSE)</f>
        <v>Control</v>
      </c>
      <c r="C130" s="8">
        <v>2.0</v>
      </c>
      <c r="D130" s="8" t="s">
        <v>4576</v>
      </c>
      <c r="E130" s="244" t="str">
        <f>IFERROR(__xludf.DUMMYFUNCTION("IFERROR(
  INDEX(
    FILTER(
      Recording!$U:$U,
      TRIM(CLEAN(TEXT(Recording!$E:$E, ""@""))) = TRIM(CLEAN(TEXT($D130, ""@""))),
      Recording!$AA:$AA = 1
    ),
    1
  ),
  ""Not Found""
)
"),"https://drive.google.com/open?id=16NnHDU7JInRK6CHpO-CFj-WZxkxOaPBL")</f>
        <v>https://drive.google.com/open?id=16NnHDU7JInRK6CHpO-CFj-WZxkxOaPBL</v>
      </c>
      <c r="F1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1!$E:$E"")=$D130) *
        (IMPORTRANGE(""https://docs.google.com/spreadsheets/d/161aHT6vVT3SLneTKD19N5qVWtnj_jIT8CSsOmUVKmaA"&amp;"/edit?gid=1761053510"",
          ""Haris_Form responses 1!$AQ:$AQ"")=1)
      ),
      1
    ),
    ""0""
  ),
  ""Form not found""
)
"),"1")</f>
        <v>1</v>
      </c>
      <c r="G130" s="245" t="str">
        <f>IFERROR(__xludf.DUMMYFUNCTION("IFERROR(
  INDEX(
    FILTER(
      Transcription!$AJ:$AJ,
      TRIM(CLEAN(TEXT(Transcription!$F:$F, ""@""))) = TRIM(CLEAN(TEXT($D130, ""@""))),
      Transcription!$AO:$AO = 1
    ),
    1
  ),
  ""Not Found""
)
"),"https://drive.google.com/open?id=1fzY7Y6dR2e6G8DDeg5Sx30zU5hzS4orw")</f>
        <v>https://drive.google.com/open?id=1fzY7Y6dR2e6G8DDeg5Sx30zU5hzS4orw</v>
      </c>
      <c r="H130" s="246" t="str">
        <f>IFERROR(__xludf.DUMMYFUNCTION("IFERROR(
  INDEX(
    FILTER(
      Recording!$U:$U,
      TRIM(CLEAN(TEXT(Recording!$E:$E, ""@""))) = TRIM(CLEAN(TEXT($D130, ""@""))),
      Recording!$AA:$AA = 2
    ),
    1
  ),
  ""Not Found""
)
"),"Not Found")</f>
        <v>Not Found</v>
      </c>
      <c r="I1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1!$E:$E"")=$D130) *
        (IMPORTRANGE(""https://docs.google.com/spreadsheets/d/161aHT6vVT3SLneTKD19N5qVWtnj_jIT8CSsOmUVKmaA"&amp;"/edit?gid=1761053510"",
          ""Haris_Form responses 1!$AQ:$AQ"")=2)
      ),
      1
    ),
    ""0""
  ),
  ""Form not found""
)
"),"Form not found")</f>
        <v>Form not found</v>
      </c>
      <c r="J130" s="247" t="str">
        <f>IFERROR(__xludf.DUMMYFUNCTION("IFERROR(
  INDEX(
    FILTER(
      Transcription!$AJ:$AJ,
      TRIM(CLEAN(TEXT(Transcription!$F:$F, ""@""))) = TRIM(CLEAN(TEXT($D130, ""@""))),
      Transcription!$AO:$AO = 2
    ),
    1
  ),
  ""Not Found""
)
"),"Not Found")</f>
        <v>Not Found</v>
      </c>
      <c r="K130" s="244" t="str">
        <f>IFERROR(__xludf.DUMMYFUNCTION("IFERROR(
  INDEX(
    FILTER(
      Recording!$U:$U,
      TRIM(CLEAN(TEXT(Recording!$E:$E, ""@""))) = TRIM(CLEAN(TEXT($D130, ""@""))),
      Recording!$AA:$AA = 3
    ),
    1
  ),
  ""Not Found""
)
"),"https://drive.google.com/open?id=1tgpZfYSqtb9K6VrhSTqZRvr6JikTowev")</f>
        <v>https://drive.google.com/open?id=1tgpZfYSqtb9K6VrhSTqZRvr6JikTowev</v>
      </c>
      <c r="L1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1!$E:$E"")=$D130) *
        (IMPORTRANGE(""https://docs.google.com/spreadsheets/d/161aHT6vVT3SLneTKD19N5qVWtnj_jIT8CSsOmUVKmaA"&amp;"/edit?gid=1761053510"",
          ""Haris_Form responses 1!$AQ:$AQ"")=3)
      ),
      1
    ),
    ""0""
  ),
  ""Form not found""
)
"),"3")</f>
        <v>3</v>
      </c>
      <c r="M130" s="245" t="str">
        <f>IFERROR(__xludf.DUMMYFUNCTION("IFERROR(
  INDEX(
    FILTER(
      Transcription!$AJ:$AJ,
      TRIM(CLEAN(TEXT(Transcription!$F:$F, ""@""))) = TRIM(CLEAN(TEXT($D130, ""@""))),
      Transcription!$AO:$AO = 3
    ),
    1
  ),
  ""Not Found""
)
"),"https://drive.google.com/open?id=13C_NdcCSkU4Cq4GWHViT1E0V4hNC_Otq")</f>
        <v>https://drive.google.com/open?id=13C_NdcCSkU4Cq4GWHViT1E0V4hNC_Otq</v>
      </c>
      <c r="N130" s="246" t="str">
        <f>IFERROR(__xludf.DUMMYFUNCTION("IFERROR(
  INDEX(
    FILTER(
      Recording!$U:$U,
      TRIM(CLEAN(TEXT(Recording!$E:$E, ""@""))) = TRIM(CLEAN(TEXT($D130, ""@""))),
      Recording!$AA:$AA = 4
    ),
    1
  ),
  ""Not Found""
)
"),"Not Found")</f>
        <v>Not Found</v>
      </c>
      <c r="O1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1!$E:$E"")=$D130) *
        (IMPORTRANGE(""https://docs.google.com/spreadsheets/d/161aHT6vVT3SLneTKD19N5qVWtnj_jIT8CSsOmUVKmaA"&amp;"/edit?gid=1761053510"",
          ""Haris_Form responses 1!$AQ:$AQ"")=4)
      ),
      1
    ),
    ""0""
  ),
  ""Form not found""
)
"),"Form not found")</f>
        <v>Form not found</v>
      </c>
      <c r="P130" s="247" t="str">
        <f>IFERROR(__xludf.DUMMYFUNCTION("IFERROR(
  INDEX(
    FILTER(
      Transcription!$AJ:$AJ,
      TRIM(CLEAN(TEXT(Transcription!$F:$F, ""@""))) = TRIM(CLEAN(TEXT($D130, ""@""))),
      Transcription!$AO:$AO = 4
    ),
    1
  ),
  ""Not Found""
)
"),"Not Found")</f>
        <v>Not Found</v>
      </c>
      <c r="Q130" s="246" t="str">
        <f>IFERROR(__xludf.DUMMYFUNCTION("IFERROR(
  INDEX(
    FILTER(
      Recording!$U:$U,
      TRIM(CLEAN(TEXT(Recording!$E:$E, ""@""))) = TRIM(CLEAN(TEXT($D130, ""@""))),
      Recording!$AA:$AA = 5
    ),
    1
  ),
  ""Not Found""
)
"),"Not Found")</f>
        <v>Not Found</v>
      </c>
      <c r="R1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1!$E:$E"")=$D130) *
        (IMPORTRANGE(""https://docs.google.com/spreadsheets/d/161aHT6vVT3SLneTKD19N5qVWtnj_jIT8CSsOmUVKmaA"&amp;"/edit?gid=1761053510"",
          ""Haris_Form responses 1!$AQ:$AQ"")=5)
      ),
      1
    ),
    ""0""
  ),
  ""Form not found""
)
"),"Form not found")</f>
        <v>Form not found</v>
      </c>
      <c r="S130" s="247" t="str">
        <f>IFERROR(__xludf.DUMMYFUNCTION("IFERROR(
  INDEX(
    FILTER(
      Transcription!$AJ:$AJ,
      TRIM(CLEAN(TEXT(Transcription!$F:$F, ""@""))) = TRIM(CLEAN(TEXT($D130, ""@""))),
      Transcription!$AO:$AO = 5
    ),
    1
  ),
  ""Not Found""
)
"),"Not Found")</f>
        <v>Not Found</v>
      </c>
      <c r="T130" s="246" t="str">
        <f>IFERROR(__xludf.DUMMYFUNCTION("IFERROR(
  INDEX(
    FILTER(
      Recording!$U:$U,
      TRIM(CLEAN(TEXT(Recording!$E:$E, ""@""))) = TRIM(CLEAN(TEXT($D130, ""@""))),
      Recording!$AA:$AA = 6
    ),
    1
  ),
  ""Not Found""
)
"),"Not Found")</f>
        <v>Not Found</v>
      </c>
      <c r="U1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1!$E:$E"")=$D130) *
        (IMPORTRANGE(""https://docs.google.com/spreadsheets/d/161aHT6vVT3SLneTKD19N5qVWtnj_jIT8CSsOmUVKmaA"&amp;"/edit?gid=1761053510"",
          ""Haris_Form responses 1!$AQ:$AQ"")=6)
      ),
      1
    ),
    ""0""
  ),
  ""Form not found""
)
"),"Form not found")</f>
        <v>Form not found</v>
      </c>
      <c r="V130" s="247" t="str">
        <f>IFERROR(__xludf.DUMMYFUNCTION("IFERROR(
  INDEX(
    FILTER(
      Transcription!$AJ:$AJ,
      TRIM(CLEAN(TEXT(Transcription!$F:$F, ""@""))) = TRIM(CLEAN(TEXT($D130, ""@""))),
      Transcription!$AO:$AO = 6
    ),
    1
  ),
  ""Not Found""
)
"),"Not Found")</f>
        <v>Not Found</v>
      </c>
      <c r="X130" s="8" t="s">
        <v>4577</v>
      </c>
      <c r="Z130" s="10">
        <f t="shared" si="1"/>
        <v>2</v>
      </c>
      <c r="AA130" s="10">
        <f t="shared" si="2"/>
        <v>0</v>
      </c>
    </row>
    <row r="131">
      <c r="A131" s="8" t="str">
        <f>VLOOKUP($D131,Sheet6!$B:$G,5,FALSE)</f>
        <v>Khushab</v>
      </c>
      <c r="B131" s="232" t="str">
        <f>VLOOKUP($D131,Sheet6!$B:$G,4,FALSE)</f>
        <v>Control</v>
      </c>
      <c r="C131" s="8">
        <v>2.0</v>
      </c>
      <c r="D131" s="8" t="s">
        <v>4578</v>
      </c>
      <c r="E131" s="244" t="str">
        <f>IFERROR(__xludf.DUMMYFUNCTION("IFERROR(
  INDEX(
    FILTER(
      Recording!$U:$U,
      TRIM(CLEAN(TEXT(Recording!$E:$E, ""@""))) = TRIM(CLEAN(TEXT($D131, ""@""))),
      Recording!$AA:$AA = 1
    ),
    1
  ),
  ""Not Found""
)
"),"https://drive.google.com/open?id=1cKS4Aciad3y2lA-_Np13z6ZIIPGoQsFg")</f>
        <v>https://drive.google.com/open?id=1cKS4Aciad3y2lA-_Np13z6ZIIPGoQsFg</v>
      </c>
      <c r="F1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1!$E:$E"")=$D131) *
        (IMPORTRANGE(""https://docs.google.com/spreadsheets/d/161aHT6vVT3SLneTKD19N5qVWtnj_jIT8CSsOmUVKmaA"&amp;"/edit?gid=1761053510"",
          ""Haris_Form responses 1!$AQ:$AQ"")=1)
      ),
      1
    ),
    ""0""
  ),
  ""Form not found""
)
"),"1")</f>
        <v>1</v>
      </c>
      <c r="G131" s="245" t="str">
        <f>IFERROR(__xludf.DUMMYFUNCTION("IFERROR(
  INDEX(
    FILTER(
      Transcription!$AJ:$AJ,
      TRIM(CLEAN(TEXT(Transcription!$F:$F, ""@""))) = TRIM(CLEAN(TEXT($D131, ""@""))),
      Transcription!$AO:$AO = 1
    ),
    1
  ),
  ""Not Found""
)
"),"https://drive.google.com/open?id=1DP-DOU1atk3VAWJ0ry7rq9xgMlIvf_Th")</f>
        <v>https://drive.google.com/open?id=1DP-DOU1atk3VAWJ0ry7rq9xgMlIvf_Th</v>
      </c>
      <c r="H131" s="246" t="str">
        <f>IFERROR(__xludf.DUMMYFUNCTION("IFERROR(
  INDEX(
    FILTER(
      Recording!$U:$U,
      TRIM(CLEAN(TEXT(Recording!$E:$E, ""@""))) = TRIM(CLEAN(TEXT($D131, ""@""))),
      Recording!$AA:$AA = 2
    ),
    1
  ),
  ""Not Found""
)
"),"Not Found")</f>
        <v>Not Found</v>
      </c>
      <c r="I1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1!$E:$E"")=$D131) *
        (IMPORTRANGE(""https://docs.google.com/spreadsheets/d/161aHT6vVT3SLneTKD19N5qVWtnj_jIT8CSsOmUVKmaA"&amp;"/edit?gid=1761053510"",
          ""Haris_Form responses 1!$AQ:$AQ"")=2)
      ),
      1
    ),
    ""0""
  ),
  ""Form not found""
)
"),"Form not found")</f>
        <v>Form not found</v>
      </c>
      <c r="J131" s="247" t="str">
        <f>IFERROR(__xludf.DUMMYFUNCTION("IFERROR(
  INDEX(
    FILTER(
      Transcription!$AJ:$AJ,
      TRIM(CLEAN(TEXT(Transcription!$F:$F, ""@""))) = TRIM(CLEAN(TEXT($D131, ""@""))),
      Transcription!$AO:$AO = 2
    ),
    1
  ),
  ""Not Found""
)
"),"Not Found")</f>
        <v>Not Found</v>
      </c>
      <c r="K131" s="244" t="str">
        <f>IFERROR(__xludf.DUMMYFUNCTION("IFERROR(
  INDEX(
    FILTER(
      Recording!$U:$U,
      TRIM(CLEAN(TEXT(Recording!$E:$E, ""@""))) = TRIM(CLEAN(TEXT($D131, ""@""))),
      Recording!$AA:$AA = 3
    ),
    1
  ),
  ""Not Found""
)
"),"https://drive.google.com/open?id=1M8PfEWAaXw0Tuw8obZJJBuoMRMtip6R2")</f>
        <v>https://drive.google.com/open?id=1M8PfEWAaXw0Tuw8obZJJBuoMRMtip6R2</v>
      </c>
      <c r="L1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1!$E:$E"")=$D131) *
        (IMPORTRANGE(""https://docs.google.com/spreadsheets/d/161aHT6vVT3SLneTKD19N5qVWtnj_jIT8CSsOmUVKmaA"&amp;"/edit?gid=1761053510"",
          ""Haris_Form responses 1!$AQ:$AQ"")=3)
      ),
      1
    ),
    ""0""
  ),
  ""Form not found""
)
"),"3")</f>
        <v>3</v>
      </c>
      <c r="M131" s="245" t="str">
        <f>IFERROR(__xludf.DUMMYFUNCTION("IFERROR(
  INDEX(
    FILTER(
      Transcription!$AJ:$AJ,
      TRIM(CLEAN(TEXT(Transcription!$F:$F, ""@""))) = TRIM(CLEAN(TEXT($D131, ""@""))),
      Transcription!$AO:$AO = 3
    ),
    1
  ),
  ""Not Found""
)
"),"https://drive.google.com/open?id=1ZI_gMCg5PeNCbuBaMZOS3R8Nk_wfxOt3")</f>
        <v>https://drive.google.com/open?id=1ZI_gMCg5PeNCbuBaMZOS3R8Nk_wfxOt3</v>
      </c>
      <c r="N131" s="246" t="str">
        <f>IFERROR(__xludf.DUMMYFUNCTION("IFERROR(
  INDEX(
    FILTER(
      Recording!$U:$U,
      TRIM(CLEAN(TEXT(Recording!$E:$E, ""@""))) = TRIM(CLEAN(TEXT($D131, ""@""))),
      Recording!$AA:$AA = 4
    ),
    1
  ),
  ""Not Found""
)
"),"Not Found")</f>
        <v>Not Found</v>
      </c>
      <c r="O1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1!$E:$E"")=$D131) *
        (IMPORTRANGE(""https://docs.google.com/spreadsheets/d/161aHT6vVT3SLneTKD19N5qVWtnj_jIT8CSsOmUVKmaA"&amp;"/edit?gid=1761053510"",
          ""Haris_Form responses 1!$AQ:$AQ"")=4)
      ),
      1
    ),
    ""0""
  ),
  ""Form not found""
)
"),"Form not found")</f>
        <v>Form not found</v>
      </c>
      <c r="P131" s="247" t="str">
        <f>IFERROR(__xludf.DUMMYFUNCTION("IFERROR(
  INDEX(
    FILTER(
      Transcription!$AJ:$AJ,
      TRIM(CLEAN(TEXT(Transcription!$F:$F, ""@""))) = TRIM(CLEAN(TEXT($D131, ""@""))),
      Transcription!$AO:$AO = 4
    ),
    1
  ),
  ""Not Found""
)
"),"Not Found")</f>
        <v>Not Found</v>
      </c>
      <c r="Q131" s="246" t="str">
        <f>IFERROR(__xludf.DUMMYFUNCTION("IFERROR(
  INDEX(
    FILTER(
      Recording!$U:$U,
      TRIM(CLEAN(TEXT(Recording!$E:$E, ""@""))) = TRIM(CLEAN(TEXT($D131, ""@""))),
      Recording!$AA:$AA = 5
    ),
    1
  ),
  ""Not Found""
)
"),"Not Found")</f>
        <v>Not Found</v>
      </c>
      <c r="R1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1!$E:$E"")=$D131) *
        (IMPORTRANGE(""https://docs.google.com/spreadsheets/d/161aHT6vVT3SLneTKD19N5qVWtnj_jIT8CSsOmUVKmaA"&amp;"/edit?gid=1761053510"",
          ""Haris_Form responses 1!$AQ:$AQ"")=5)
      ),
      1
    ),
    ""0""
  ),
  ""Form not found""
)
"),"Form not found")</f>
        <v>Form not found</v>
      </c>
      <c r="S131" s="247" t="str">
        <f>IFERROR(__xludf.DUMMYFUNCTION("IFERROR(
  INDEX(
    FILTER(
      Transcription!$AJ:$AJ,
      TRIM(CLEAN(TEXT(Transcription!$F:$F, ""@""))) = TRIM(CLEAN(TEXT($D131, ""@""))),
      Transcription!$AO:$AO = 5
    ),
    1
  ),
  ""Not Found""
)
"),"Not Found")</f>
        <v>Not Found</v>
      </c>
      <c r="T131" s="246" t="str">
        <f>IFERROR(__xludf.DUMMYFUNCTION("IFERROR(
  INDEX(
    FILTER(
      Recording!$U:$U,
      TRIM(CLEAN(TEXT(Recording!$E:$E, ""@""))) = TRIM(CLEAN(TEXT($D131, ""@""))),
      Recording!$AA:$AA = 6
    ),
    1
  ),
  ""Not Found""
)
"),"Not Found")</f>
        <v>Not Found</v>
      </c>
      <c r="U1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1!$E:$E"")=$D131) *
        (IMPORTRANGE(""https://docs.google.com/spreadsheets/d/161aHT6vVT3SLneTKD19N5qVWtnj_jIT8CSsOmUVKmaA"&amp;"/edit?gid=1761053510"",
          ""Haris_Form responses 1!$AQ:$AQ"")=6)
      ),
      1
    ),
    ""0""
  ),
  ""Form not found""
)
"),"Form not found")</f>
        <v>Form not found</v>
      </c>
      <c r="V131" s="247" t="str">
        <f>IFERROR(__xludf.DUMMYFUNCTION("IFERROR(
  INDEX(
    FILTER(
      Transcription!$AJ:$AJ,
      TRIM(CLEAN(TEXT(Transcription!$F:$F, ""@""))) = TRIM(CLEAN(TEXT($D131, ""@""))),
      Transcription!$AO:$AO = 6
    ),
    1
  ),
  ""Not Found""
)
"),"Not Found")</f>
        <v>Not Found</v>
      </c>
      <c r="Z131" s="10">
        <f t="shared" si="1"/>
        <v>2</v>
      </c>
      <c r="AA131" s="10">
        <f t="shared" si="2"/>
        <v>0</v>
      </c>
    </row>
    <row r="132">
      <c r="A132" s="8" t="str">
        <f>VLOOKUP($D132,Sheet6!$B:$G,5,FALSE)</f>
        <v>Khushab</v>
      </c>
      <c r="B132" s="232" t="str">
        <f>VLOOKUP($D132,Sheet6!$B:$G,4,FALSE)</f>
        <v>Community Religious Info Share</v>
      </c>
      <c r="C132" s="8">
        <v>3.0</v>
      </c>
      <c r="D132" s="8" t="s">
        <v>2595</v>
      </c>
      <c r="E132" s="244" t="str">
        <f>IFERROR(__xludf.DUMMYFUNCTION("IFERROR(
  INDEX(
    FILTER(
      Recording!$U:$U,
      TRIM(CLEAN(TEXT(Recording!$E:$E, ""@""))) = TRIM(CLEAN(TEXT($D132, ""@""))),
      Recording!$AA:$AA = 1
    ),
    1
  ),
  ""Not Found""
)
"),"https://drive.google.com/open?id=1c_WuCNAIfgufoYGzPFYKraNfBZrKAViD")</f>
        <v>https://drive.google.com/open?id=1c_WuCNAIfgufoYGzPFYKraNfBZrKAViD</v>
      </c>
      <c r="F1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1!$E:$E"")=$D132) *
        (IMPORTRANGE(""https://docs.google.com/spreadsheets/d/161aHT6vVT3SLneTKD19N5qVWtnj_jIT8CSsOmUVKmaA"&amp;"/edit?gid=1761053510"",
          ""Haris_Form responses 1!$AQ:$AQ"")=1)
      ),
      1
    ),
    ""0""
  ),
  ""Form not found""
)
"),"1")</f>
        <v>1</v>
      </c>
      <c r="G132" s="245" t="str">
        <f>IFERROR(__xludf.DUMMYFUNCTION("IFERROR(
  INDEX(
    FILTER(
      Transcription!$AJ:$AJ,
      TRIM(CLEAN(TEXT(Transcription!$F:$F, ""@""))) = TRIM(CLEAN(TEXT($D132, ""@""))),
      Transcription!$AO:$AO = 1
    ),
    1
  ),
  ""Not Found""
)
"),"https://drive.google.com/open?id=1zcbaA0BbWmBzZRylSNYJGdKUatMO5zUG")</f>
        <v>https://drive.google.com/open?id=1zcbaA0BbWmBzZRylSNYJGdKUatMO5zUG</v>
      </c>
      <c r="H132" s="244" t="str">
        <f>IFERROR(__xludf.DUMMYFUNCTION("IFERROR(
  INDEX(
    FILTER(
      Recording!$U:$U,
      TRIM(CLEAN(TEXT(Recording!$E:$E, ""@""))) = TRIM(CLEAN(TEXT($D132, ""@""))),
      Recording!$AA:$AA = 2
    ),
    1
  ),
  ""Not Found""
)
"),"https://drive.google.com/open?id=1jN4FSsIUJL8OisAJWVZhtTCxrKdfjqmr")</f>
        <v>https://drive.google.com/open?id=1jN4FSsIUJL8OisAJWVZhtTCxrKdfjqmr</v>
      </c>
      <c r="I1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1!$E:$E"")=$D132) *
        (IMPORTRANGE(""https://docs.google.com/spreadsheets/d/161aHT6vVT3SLneTKD19N5qVWtnj_jIT8CSsOmUVKmaA"&amp;"/edit?gid=1761053510"",
          ""Haris_Form responses 1!$AQ:$AQ"")=2)
      ),
      1
    ),
    ""0""
  ),
  ""Form not found""
)
"),"2")</f>
        <v>2</v>
      </c>
      <c r="J132" s="245" t="str">
        <f>IFERROR(__xludf.DUMMYFUNCTION("IFERROR(
  INDEX(
    FILTER(
      Transcription!$AJ:$AJ,
      TRIM(CLEAN(TEXT(Transcription!$F:$F, ""@""))) = TRIM(CLEAN(TEXT($D132, ""@""))),
      Transcription!$AO:$AO = 2
    ),
    1
  ),
  ""Not Found""
)
"),"https://drive.google.com/open?id=1u0ynlwN89Dx4ZqUKWPB_Zqag63HTFeVk")</f>
        <v>https://drive.google.com/open?id=1u0ynlwN89Dx4ZqUKWPB_Zqag63HTFeVk</v>
      </c>
      <c r="K132" s="244" t="str">
        <f>IFERROR(__xludf.DUMMYFUNCTION("IFERROR(
  INDEX(
    FILTER(
      Recording!$U:$U,
      TRIM(CLEAN(TEXT(Recording!$E:$E, ""@""))) = TRIM(CLEAN(TEXT($D132, ""@""))),
      Recording!$AA:$AA = 3
    ),
    1
  ),
  ""Not Found""
)
"),"https://drive.google.com/open?id=18SVI63sKqR48swQ9Jfq_K6k1xYT4h4tt")</f>
        <v>https://drive.google.com/open?id=18SVI63sKqR48swQ9Jfq_K6k1xYT4h4tt</v>
      </c>
      <c r="L1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1!$E:$E"")=$D132) *
        (IMPORTRANGE(""https://docs.google.com/spreadsheets/d/161aHT6vVT3SLneTKD19N5qVWtnj_jIT8CSsOmUVKmaA"&amp;"/edit?gid=1761053510"",
          ""Haris_Form responses 1!$AQ:$AQ"")=3)
      ),
      1
    ),
    ""0""
  ),
  ""Form not found""
)
"),"3")</f>
        <v>3</v>
      </c>
      <c r="M132" s="245" t="str">
        <f>IFERROR(__xludf.DUMMYFUNCTION("IFERROR(
  INDEX(
    FILTER(
      Transcription!$AJ:$AJ,
      TRIM(CLEAN(TEXT(Transcription!$F:$F, ""@""))) = TRIM(CLEAN(TEXT($D132, ""@""))),
      Transcription!$AO:$AO = 3
    ),
    1
  ),
  ""Not Found""
)
"),"https://drive.google.com/open?id=15_bCh7TWCLwlON7wlNmJYLf41Vd8_haU")</f>
        <v>https://drive.google.com/open?id=15_bCh7TWCLwlON7wlNmJYLf41Vd8_haU</v>
      </c>
      <c r="N132" s="246" t="str">
        <f>IFERROR(__xludf.DUMMYFUNCTION("IFERROR(
  INDEX(
    FILTER(
      Recording!$U:$U,
      TRIM(CLEAN(TEXT(Recording!$E:$E, ""@""))) = TRIM(CLEAN(TEXT($D132, ""@""))),
      Recording!$AA:$AA = 4
    ),
    1
  ),
  ""Not Found""
)
"),"Not Found")</f>
        <v>Not Found</v>
      </c>
      <c r="O1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1!$E:$E"")=$D132) *
        (IMPORTRANGE(""https://docs.google.com/spreadsheets/d/161aHT6vVT3SLneTKD19N5qVWtnj_jIT8CSsOmUVKmaA"&amp;"/edit?gid=1761053510"",
          ""Haris_Form responses 1!$AQ:$AQ"")=4)
      ),
      1
    ),
    ""0""
  ),
  ""Form not found""
)
"),"Form not found")</f>
        <v>Form not found</v>
      </c>
      <c r="P132" s="247" t="str">
        <f>IFERROR(__xludf.DUMMYFUNCTION("IFERROR(
  INDEX(
    FILTER(
      Transcription!$AJ:$AJ,
      TRIM(CLEAN(TEXT(Transcription!$F:$F, ""@""))) = TRIM(CLEAN(TEXT($D132, ""@""))),
      Transcription!$AO:$AO = 4
    ),
    1
  ),
  ""Not Found""
)
"),"Not Found")</f>
        <v>Not Found</v>
      </c>
      <c r="Q132" s="246" t="str">
        <f>IFERROR(__xludf.DUMMYFUNCTION("IFERROR(
  INDEX(
    FILTER(
      Recording!$U:$U,
      TRIM(CLEAN(TEXT(Recording!$E:$E, ""@""))) = TRIM(CLEAN(TEXT($D132, ""@""))),
      Recording!$AA:$AA = 5
    ),
    1
  ),
  ""Not Found""
)
"),"Not Found")</f>
        <v>Not Found</v>
      </c>
      <c r="R1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1!$E:$E"")=$D132) *
        (IMPORTRANGE(""https://docs.google.com/spreadsheets/d/161aHT6vVT3SLneTKD19N5qVWtnj_jIT8CSsOmUVKmaA"&amp;"/edit?gid=1761053510"",
          ""Haris_Form responses 1!$AQ:$AQ"")=5)
      ),
      1
    ),
    ""0""
  ),
  ""Form not found""
)
"),"Form not found")</f>
        <v>Form not found</v>
      </c>
      <c r="S132" s="247" t="str">
        <f>IFERROR(__xludf.DUMMYFUNCTION("IFERROR(
  INDEX(
    FILTER(
      Transcription!$AJ:$AJ,
      TRIM(CLEAN(TEXT(Transcription!$F:$F, ""@""))) = TRIM(CLEAN(TEXT($D132, ""@""))),
      Transcription!$AO:$AO = 5
    ),
    1
  ),
  ""Not Found""
)
"),"Not Found")</f>
        <v>Not Found</v>
      </c>
      <c r="T132" s="248" t="str">
        <f>IFERROR(__xludf.DUMMYFUNCTION("IFERROR(
  INDEX(
    FILTER(
      Recording!$U:$U,
      TRIM(CLEAN(TEXT(Recording!$E:$E, ""@""))) = TRIM(CLEAN(TEXT($D132, ""@""))),
      Recording!$AA:$AA = 6
    ),
    1
  ),
  ""Not Found""
)
"),"Not Found")</f>
        <v>Not Found</v>
      </c>
      <c r="U1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1!$E:$E"")=$D132) *
        (IMPORTRANGE(""https://docs.google.com/spreadsheets/d/161aHT6vVT3SLneTKD19N5qVWtnj_jIT8CSsOmUVKmaA"&amp;"/edit?gid=1761053510"",
          ""Haris_Form responses 1!$AQ:$AQ"")=6)
      ),
      1
    ),
    ""0""
  ),
  ""Form not found""
)
"),"Form not found")</f>
        <v>Form not found</v>
      </c>
      <c r="V132" s="247" t="str">
        <f>IFERROR(__xludf.DUMMYFUNCTION("IFERROR(
  INDEX(
    FILTER(
      Transcription!$AJ:$AJ,
      TRIM(CLEAN(TEXT(Transcription!$F:$F, ""@""))) = TRIM(CLEAN(TEXT($D132, ""@""))),
      Transcription!$AO:$AO = 6
    ),
    1
  ),
  ""Not Found""
)
"),"Not Found")</f>
        <v>Not Found</v>
      </c>
      <c r="Z132" s="10">
        <f t="shared" si="1"/>
        <v>3</v>
      </c>
      <c r="AA132" s="10">
        <f t="shared" si="2"/>
        <v>0</v>
      </c>
    </row>
    <row r="133">
      <c r="A133" s="8" t="str">
        <f>VLOOKUP($D133,Sheet6!$B:$G,5,FALSE)</f>
        <v>Muzaffargarh</v>
      </c>
      <c r="B133" s="232" t="str">
        <f>VLOOKUP($D133,Sheet6!$B:$G,4,FALSE)</f>
        <v>Women Religious Info Share</v>
      </c>
      <c r="C133" s="8">
        <v>3.0</v>
      </c>
      <c r="D133" s="8" t="s">
        <v>4579</v>
      </c>
      <c r="E13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TRIM(CLEAN(TEXT($D133, ""@""))),
      IMPORTRANGE(""https://docs.google.com/spreadsheets/d/1DccNxjBgurEr0ABkI_"&amp;"rBagJT5phB5HaHG5N_mTm_BiA/edit?gid=1382299152#gid=1382299152"", ""Form responses 1!$Z:$Z"") = 1
    ),
    1
  ),
  ""Not Found""
)
"),"https://drive.google.com/open?id=1oqEwSBpGVRzh2doPPEgFLHzxC2DPhcvp")</f>
        <v>https://drive.google.com/open?id=1oqEwSBpGVRzh2doPPEgFLHzxC2DPhcvp</v>
      </c>
      <c r="F1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1!$E:$E"")=$D133) *
        (IMPORTRANGE(""https://docs.google.com/spreadsheets/d/161aHT6vVT3SLneTKD19N5qVWtnj_jIT8CSsOmUVKmaA"&amp;"/edit?gid=1761053510"",
          ""Haris_Form responses 1!$AQ:$AQ"")=1)
      ),
      1
    ),
    ""0""
  ),
  ""Form not found""
)
"),"1")</f>
        <v>1</v>
      </c>
      <c r="G133" s="245" t="str">
        <f>IFERROR(__xludf.DUMMYFUNCTION("IFERROR(
  INDEX(
    FILTER(
      Transcription!$AJ:$AJ,
      TRIM(CLEAN(TEXT(Transcription!$F:$F, ""@""))) = TRIM(CLEAN(TEXT($D133, ""@""))),
      Transcription!$AO:$AO = 1
    ),
    1
  ),
  ""Not Found""
)
"),"https://drive.google.com/open?id=1VQvRF2pAodDaoKnhEBFkXsvi5WDcybff")</f>
        <v>https://drive.google.com/open?id=1VQvRF2pAodDaoKnhEBFkXsvi5WDcybff</v>
      </c>
      <c r="H13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TRIM(CLEAN(TEXT($D133, ""@""))),
      IMPORTRANGE(""https://docs.google.com/spreadsheets/d/1DccNxjBgurEr0ABkI_"&amp;"rBagJT5phB5HaHG5N_mTm_BiA/edit?gid=1382299152#gid=1382299152"", ""Form responses 1!$Z:$Z"") = 2
    ),
    1
  ),
  ""Not Found""
)
"),"https://drive.google.com/open?id=1xAKKTHKNv99Gv8uNmN-8KK6F7xbwnG2R")</f>
        <v>https://drive.google.com/open?id=1xAKKTHKNv99Gv8uNmN-8KK6F7xbwnG2R</v>
      </c>
      <c r="I1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1!$E:$E"")=$D133) *
        (IMPORTRANGE(""https://docs.google.com/spreadsheets/d/161aHT6vVT3SLneTKD19N5qVWtnj_jIT8CSsOmUVKmaA"&amp;"/edit?gid=1761053510"",
          ""Haris_Form responses 1!$AQ:$AQ"")=2)
      ),
      1
    ),
    ""0""
  ),
  ""Form not found""
)
"),"2")</f>
        <v>2</v>
      </c>
      <c r="J133" s="245" t="str">
        <f>IFERROR(__xludf.DUMMYFUNCTION("IFERROR(
  INDEX(
    FILTER(
      Transcription!$AJ:$AJ,
      TRIM(CLEAN(TEXT(Transcription!$F:$F, ""@""))) = TRIM(CLEAN(TEXT($D133, ""@""))),
      Transcription!$AO:$AO = 2
    ),
    1
  ),
  ""Not Found""
)
"),"https://drive.google.com/open?id=1ptCjnS4nZETvwonRVtVh7jqXfXc1x0F6")</f>
        <v>https://drive.google.com/open?id=1ptCjnS4nZETvwonRVtVh7jqXfXc1x0F6</v>
      </c>
      <c r="K13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TRIM(CLEAN(TEXT($D133, ""@""))),
      IMPORTRANGE(""https://docs.google.com/spreadsheets/d/1DccNxjBgurEr0ABkI_"&amp;"rBagJT5phB5HaHG5N_mTm_BiA/edit?gid=1382299152#gid=1382299152"", ""Form responses 1!$Z:$Z"") = 3
    ),
    1
  ),
  ""Not Found""
)
"),"https://drive.google.com/open?id=1Tg-dCJUIFeUn9AVvb04qI_6S6-ZRb6Y-")</f>
        <v>https://drive.google.com/open?id=1Tg-dCJUIFeUn9AVvb04qI_6S6-ZRb6Y-</v>
      </c>
      <c r="L1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1!$E:$E"")=$D133) *
        (IMPORTRANGE(""https://docs.google.com/spreadsheets/d/161aHT6vVT3SLneTKD19N5qVWtnj_jIT8CSsOmUVKmaA"&amp;"/edit?gid=1761053510"",
          ""Haris_Form responses 1!$AQ:$AQ"")=3)
      ),
      1
    ),
    ""0""
  ),
  ""Form not found""
)
"),"3")</f>
        <v>3</v>
      </c>
      <c r="M133" s="245" t="str">
        <f>IFERROR(__xludf.DUMMYFUNCTION("IFERROR(
  INDEX(
    FILTER(
      Transcription!$AJ:$AJ,
      TRIM(CLEAN(TEXT(Transcription!$F:$F, ""@""))) = TRIM(CLEAN(TEXT($D133, ""@""))),
      Transcription!$AO:$AO = 3
    ),
    1
  ),
  ""Not Found""
)
"),"https://drive.google.com/open?id=1exRhf6ZZ5uhI_FdFmPe_9LNCL-FEeb0S")</f>
        <v>https://drive.google.com/open?id=1exRhf6ZZ5uhI_FdFmPe_9LNCL-FEeb0S</v>
      </c>
      <c r="N13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TRIM(CLEAN(TEXT($D133, ""@""))),
      IMPORTRANGE(""https://docs.google.com/spreadsheets/d/1DccNxjBgurEr0ABkI_"&amp;"rBagJT5phB5HaHG5N_mTm_BiA/edit?gid=1382299152#gid=1382299152"", ""Form responses 1!$Z:$Z"") = 4
    ),
    1
  ),
  ""Not Found""
)
"),"Not Found")</f>
        <v>Not Found</v>
      </c>
      <c r="O1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1!$E:$E"")=$D133) *
        (IMPORTRANGE(""https://docs.google.com/spreadsheets/d/161aHT6vVT3SLneTKD19N5qVWtnj_jIT8CSsOmUVKmaA"&amp;"/edit?gid=1761053510"",
          ""Haris_Form responses 1!$AQ:$AQ"")=4)
      ),
      1
    ),
    ""0""
  ),
  ""Form not found""
)
"),"Form not found")</f>
        <v>Form not found</v>
      </c>
      <c r="P133" s="247" t="str">
        <f>IFERROR(__xludf.DUMMYFUNCTION("IFERROR(
  INDEX(
    FILTER(
      Transcription!$AJ:$AJ,
      TRIM(CLEAN(TEXT(Transcription!$F:$F, ""@""))) = TRIM(CLEAN(TEXT($D133, ""@""))),
      Transcription!$AO:$AO = 4
    ),
    1
  ),
  ""Not Found""
)
"),"Not Found")</f>
        <v>Not Found</v>
      </c>
      <c r="Q13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TRIM(CLEAN(TEXT($D133, ""@""))),
      IMPORTRANGE(""https://docs.google.com/spreadsheets/d/1DccNxjBgurEr0ABkI_"&amp;"rBagJT5phB5HaHG5N_mTm_BiA/edit?gid=1382299152#gid=1382299152"", ""Form responses 1!$Z:$Z"") = 5
    ),
    1
  ),
  ""Not Found""
)
"),"Not Found")</f>
        <v>Not Found</v>
      </c>
      <c r="R1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1!$E:$E"")=$D133) *
        (IMPORTRANGE(""https://docs.google.com/spreadsheets/d/161aHT6vVT3SLneTKD19N5qVWtnj_jIT8CSsOmUVKmaA"&amp;"/edit?gid=1761053510"",
          ""Haris_Form responses 1!$AQ:$AQ"")=5)
      ),
      1
    ),
    ""0""
  ),
  ""Form not found""
)
"),"Form not found")</f>
        <v>Form not found</v>
      </c>
      <c r="S133" s="247" t="str">
        <f>IFERROR(__xludf.DUMMYFUNCTION("IFERROR(
  INDEX(
    FILTER(
      Transcription!$AJ:$AJ,
      TRIM(CLEAN(TEXT(Transcription!$F:$F, ""@""))) = TRIM(CLEAN(TEXT($D133, ""@""))),
      Transcription!$AO:$AO = 5
    ),
    1
  ),
  ""Not Found""
)
"),"Not Found")</f>
        <v>Not Found</v>
      </c>
      <c r="T13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TRIM(CLEAN(TEXT($D133, ""@""))),
      IMPORTRANGE(""https://docs.google.com/spreadsheets/d/1DccNxjBgurEr0ABkI_"&amp;"rBagJT5phB5HaHG5N_mTm_BiA/edit?gid=1382299152#gid=1382299152"", ""Form responses 1!$Z:$Z"") = 6
    ),
    1
  ),
  ""Not Found""
)
"),"Not Found")</f>
        <v>Not Found</v>
      </c>
      <c r="U1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1!$E:$E"")=$D133) *
        (IMPORTRANGE(""https://docs.google.com/spreadsheets/d/161aHT6vVT3SLneTKD19N5qVWtnj_jIT8CSsOmUVKmaA"&amp;"/edit?gid=1761053510"",
          ""Haris_Form responses 1!$AQ:$AQ"")=6)
      ),
      1
    ),
    ""0""
  ),
  ""Form not found""
)
"),"Form not found")</f>
        <v>Form not found</v>
      </c>
      <c r="V133" s="247" t="str">
        <f>IFERROR(__xludf.DUMMYFUNCTION("IFERROR(
  INDEX(
    FILTER(
      Transcription!$AJ:$AJ,
      TRIM(CLEAN(TEXT(Transcription!$F:$F, ""@""))) = TRIM(CLEAN(TEXT($D133, ""@""))),
      Transcription!$AO:$AO = 6
    ),
    1
  ),
  ""Not Found""
)
"),"Not Found")</f>
        <v>Not Found</v>
      </c>
      <c r="Z133" s="10">
        <f t="shared" si="1"/>
        <v>3</v>
      </c>
      <c r="AA133" s="10">
        <f t="shared" si="2"/>
        <v>0</v>
      </c>
    </row>
    <row r="134">
      <c r="A134" s="8" t="str">
        <f>VLOOKUP($D134,Sheet6!$B:$G,5,FALSE)</f>
        <v>Muzaffargarh</v>
      </c>
      <c r="B134" s="232" t="str">
        <f>VLOOKUP($D134,Sheet6!$B:$G,4,FALSE)</f>
        <v>Control</v>
      </c>
      <c r="C134" s="8">
        <v>2.0</v>
      </c>
      <c r="D134" s="8" t="s">
        <v>4580</v>
      </c>
      <c r="E13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TRIM(CLEAN(TEXT($D134, ""@""))),
      IMPORTRANGE(""https://docs.google.com/spreadsheets/d/1DccNxjBgurEr0ABkI_"&amp;"rBagJT5phB5HaHG5N_mTm_BiA/edit?gid=1382299152#gid=1382299152"", ""Form responses 1!$Z:$Z"") = 1
    ),
    1
  ),
  ""Not Found""
)
"),"https://drive.google.com/open?id=1Xj9KzNMsM6WcIG8-GeA1LU1u2JTTf_Bq")</f>
        <v>https://drive.google.com/open?id=1Xj9KzNMsM6WcIG8-GeA1LU1u2JTTf_Bq</v>
      </c>
      <c r="F1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1!$E:$E"")=$D134) *
        (IMPORTRANGE(""https://docs.google.com/spreadsheets/d/161aHT6vVT3SLneTKD19N5qVWtnj_jIT8CSsOmUVKmaA"&amp;"/edit?gid=1761053510"",
          ""Haris_Form responses 1!$AQ:$AQ"")=1)
      ),
      1
    ),
    ""0""
  ),
  ""Form not found""
)
"),"1")</f>
        <v>1</v>
      </c>
      <c r="G134" s="245" t="str">
        <f>IFERROR(__xludf.DUMMYFUNCTION("IFERROR(
  INDEX(
    FILTER(
      Transcription!$AJ:$AJ,
      TRIM(CLEAN(TEXT(Transcription!$F:$F, ""@""))) = TRIM(CLEAN(TEXT($D134, ""@""))),
      Transcription!$AO:$AO = 1
    ),
    1
  ),
  ""Not Found""
)
"),"https://drive.google.com/open?id=1yVArfpB9tr3tu2eWT86fTpYc6IJsBGZu")</f>
        <v>https://drive.google.com/open?id=1yVArfpB9tr3tu2eWT86fTpYc6IJsBGZu</v>
      </c>
      <c r="H1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TRIM(CLEAN(TEXT($D134, ""@""))),
      IMPORTRANGE(""https://docs.google.com/spreadsheets/d/1DccNxjBgurEr0ABkI_"&amp;"rBagJT5phB5HaHG5N_mTm_BiA/edit?gid=1382299152#gid=1382299152"", ""Form responses 1!$Z:$Z"") = 2
    ),
    1
  ),
  ""Not Found""
)
"),"Not Found")</f>
        <v>Not Found</v>
      </c>
      <c r="I1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1!$E:$E"")=$D134) *
        (IMPORTRANGE(""https://docs.google.com/spreadsheets/d/161aHT6vVT3SLneTKD19N5qVWtnj_jIT8CSsOmUVKmaA"&amp;"/edit?gid=1761053510"",
          ""Haris_Form responses 1!$AQ:$AQ"")=2)
      ),
      1
    ),
    ""0""
  ),
  ""Form not found""
)
"),"Form not found")</f>
        <v>Form not found</v>
      </c>
      <c r="J134" s="247" t="str">
        <f>IFERROR(__xludf.DUMMYFUNCTION("IFERROR(
  INDEX(
    FILTER(
      Transcription!$AJ:$AJ,
      TRIM(CLEAN(TEXT(Transcription!$F:$F, ""@""))) = TRIM(CLEAN(TEXT($D134, ""@""))),
      Transcription!$AO:$AO = 2
    ),
    1
  ),
  ""Not Found""
)
"),"Not Found")</f>
        <v>Not Found</v>
      </c>
      <c r="K13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TRIM(CLEAN(TEXT($D134, ""@""))),
      IMPORTRANGE(""https://docs.google.com/spreadsheets/d/1DccNxjBgurEr0ABkI_"&amp;"rBagJT5phB5HaHG5N_mTm_BiA/edit?gid=1382299152#gid=1382299152"", ""Form responses 1!$Z:$Z"") = 3
    ),
    1
  ),
  ""Not Found""
)
"),"https://drive.google.com/open?id=1D69LTpgbrajZvTEVdvjNzYX6ZpsmBm7h")</f>
        <v>https://drive.google.com/open?id=1D69LTpgbrajZvTEVdvjNzYX6ZpsmBm7h</v>
      </c>
      <c r="L1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1!$E:$E"")=$D134) *
        (IMPORTRANGE(""https://docs.google.com/spreadsheets/d/161aHT6vVT3SLneTKD19N5qVWtnj_jIT8CSsOmUVKmaA"&amp;"/edit?gid=1761053510"",
          ""Haris_Form responses 1!$AQ:$AQ"")=3)
      ),
      1
    ),
    ""0""
  ),
  ""Form not found""
)
"),"3")</f>
        <v>3</v>
      </c>
      <c r="M134" s="245" t="str">
        <f>IFERROR(__xludf.DUMMYFUNCTION("IFERROR(
  INDEX(
    FILTER(
      Transcription!$AJ:$AJ,
      TRIM(CLEAN(TEXT(Transcription!$F:$F, ""@""))) = TRIM(CLEAN(TEXT($D134, ""@""))),
      Transcription!$AO:$AO = 3
    ),
    1
  ),
  ""Not Found""
)
"),"https://drive.google.com/open?id=13arCE15PPw-nq2BnEQyqJ6S7O6C6ab1x")</f>
        <v>https://drive.google.com/open?id=13arCE15PPw-nq2BnEQyqJ6S7O6C6ab1x</v>
      </c>
      <c r="N1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TRIM(CLEAN(TEXT($D134, ""@""))),
      IMPORTRANGE(""https://docs.google.com/spreadsheets/d/1DccNxjBgurEr0ABkI_"&amp;"rBagJT5phB5HaHG5N_mTm_BiA/edit?gid=1382299152#gid=1382299152"", ""Form responses 1!$Z:$Z"") = 4
    ),
    1
  ),
  ""Not Found""
)
"),"Not Found")</f>
        <v>Not Found</v>
      </c>
      <c r="O1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1!$E:$E"")=$D134) *
        (IMPORTRANGE(""https://docs.google.com/spreadsheets/d/161aHT6vVT3SLneTKD19N5qVWtnj_jIT8CSsOmUVKmaA"&amp;"/edit?gid=1761053510"",
          ""Haris_Form responses 1!$AQ:$AQ"")=4)
      ),
      1
    ),
    ""0""
  ),
  ""Form not found""
)
"),"Form not found")</f>
        <v>Form not found</v>
      </c>
      <c r="P134" s="247" t="str">
        <f>IFERROR(__xludf.DUMMYFUNCTION("IFERROR(
  INDEX(
    FILTER(
      Transcription!$AJ:$AJ,
      TRIM(CLEAN(TEXT(Transcription!$F:$F, ""@""))) = TRIM(CLEAN(TEXT($D134, ""@""))),
      Transcription!$AO:$AO = 4
    ),
    1
  ),
  ""Not Found""
)
"),"Not Found")</f>
        <v>Not Found</v>
      </c>
      <c r="Q1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TRIM(CLEAN(TEXT($D134, ""@""))),
      IMPORTRANGE(""https://docs.google.com/spreadsheets/d/1DccNxjBgurEr0ABkI_"&amp;"rBagJT5phB5HaHG5N_mTm_BiA/edit?gid=1382299152#gid=1382299152"", ""Form responses 1!$Z:$Z"") = 5
    ),
    1
  ),
  ""Not Found""
)
"),"Not Found")</f>
        <v>Not Found</v>
      </c>
      <c r="R1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1!$E:$E"")=$D134) *
        (IMPORTRANGE(""https://docs.google.com/spreadsheets/d/161aHT6vVT3SLneTKD19N5qVWtnj_jIT8CSsOmUVKmaA"&amp;"/edit?gid=1761053510"",
          ""Haris_Form responses 1!$AQ:$AQ"")=5)
      ),
      1
    ),
    ""0""
  ),
  ""Form not found""
)
"),"Form not found")</f>
        <v>Form not found</v>
      </c>
      <c r="S134" s="247" t="str">
        <f>IFERROR(__xludf.DUMMYFUNCTION("IFERROR(
  INDEX(
    FILTER(
      Transcription!$AJ:$AJ,
      TRIM(CLEAN(TEXT(Transcription!$F:$F, ""@""))) = TRIM(CLEAN(TEXT($D134, ""@""))),
      Transcription!$AO:$AO = 5
    ),
    1
  ),
  ""Not Found""
)
"),"Not Found")</f>
        <v>Not Found</v>
      </c>
      <c r="T1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TRIM(CLEAN(TEXT($D134, ""@""))),
      IMPORTRANGE(""https://docs.google.com/spreadsheets/d/1DccNxjBgurEr0ABkI_"&amp;"rBagJT5phB5HaHG5N_mTm_BiA/edit?gid=1382299152#gid=1382299152"", ""Form responses 1!$Z:$Z"") = 6
    ),
    1
  ),
  ""Not Found""
)
"),"Not Found")</f>
        <v>Not Found</v>
      </c>
      <c r="U1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1!$E:$E"")=$D134) *
        (IMPORTRANGE(""https://docs.google.com/spreadsheets/d/161aHT6vVT3SLneTKD19N5qVWtnj_jIT8CSsOmUVKmaA"&amp;"/edit?gid=1761053510"",
          ""Haris_Form responses 1!$AQ:$AQ"")=6)
      ),
      1
    ),
    ""0""
  ),
  ""Form not found""
)
"),"Form not found")</f>
        <v>Form not found</v>
      </c>
      <c r="V134" s="247" t="str">
        <f>IFERROR(__xludf.DUMMYFUNCTION("IFERROR(
  INDEX(
    FILTER(
      Transcription!$AJ:$AJ,
      TRIM(CLEAN(TEXT(Transcription!$F:$F, ""@""))) = TRIM(CLEAN(TEXT($D134, ""@""))),
      Transcription!$AO:$AO = 6
    ),
    1
  ),
  ""Not Found""
)
"),"Not Found")</f>
        <v>Not Found</v>
      </c>
      <c r="Z134" s="10">
        <f t="shared" si="1"/>
        <v>2</v>
      </c>
      <c r="AA134" s="10">
        <f t="shared" si="2"/>
        <v>0</v>
      </c>
    </row>
    <row r="135">
      <c r="A135" s="8" t="str">
        <f>VLOOKUP($D135,Sheet6!$B:$G,5,FALSE)</f>
        <v>Muzaffargarh</v>
      </c>
      <c r="B135" s="232" t="str">
        <f>VLOOKUP($D135,Sheet6!$B:$G,4,FALSE)</f>
        <v>Control</v>
      </c>
      <c r="C135" s="8">
        <v>2.0</v>
      </c>
      <c r="D135" s="8" t="s">
        <v>4581</v>
      </c>
      <c r="E13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TRIM(CLEAN(TEXT($D135, ""@""))),
      IMPORTRANGE(""https://docs.google.com/spreadsheets/d/1DccNxjBgurEr0ABkI_"&amp;"rBagJT5phB5HaHG5N_mTm_BiA/edit?gid=1382299152#gid=1382299152"", ""Form responses 1!$Z:$Z"") = 1
    ),
    1
  ),
  ""Not Found""
)
"),"https://drive.google.com/open?id=1LFUyp5YRCivmeIbZF-CGoDhgozt6jQbZ")</f>
        <v>https://drive.google.com/open?id=1LFUyp5YRCivmeIbZF-CGoDhgozt6jQbZ</v>
      </c>
      <c r="F1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1!$E:$E"")=$D135) *
        (IMPORTRANGE(""https://docs.google.com/spreadsheets/d/161aHT6vVT3SLneTKD19N5qVWtnj_jIT8CSsOmUVKmaA"&amp;"/edit?gid=1761053510"",
          ""Haris_Form responses 1!$AQ:$AQ"")=1)
      ),
      1
    ),
    ""0""
  ),
  ""Form not found""
)
"),"1")</f>
        <v>1</v>
      </c>
      <c r="G135" s="245" t="str">
        <f>IFERROR(__xludf.DUMMYFUNCTION("IFERROR(
  INDEX(
    FILTER(
      Transcription!$AJ:$AJ,
      TRIM(CLEAN(TEXT(Transcription!$F:$F, ""@""))) = TRIM(CLEAN(TEXT($D135, ""@""))),
      Transcription!$AO:$AO = 1
    ),
    1
  ),
  ""Not Found""
)
"),"https://drive.google.com/open?id=1l2RM_s3S4cjYAlYMWcIsbHyXIOVhBW6P")</f>
        <v>https://drive.google.com/open?id=1l2RM_s3S4cjYAlYMWcIsbHyXIOVhBW6P</v>
      </c>
      <c r="H1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TRIM(CLEAN(TEXT($D135, ""@""))),
      IMPORTRANGE(""https://docs.google.com/spreadsheets/d/1DccNxjBgurEr0ABkI_"&amp;"rBagJT5phB5HaHG5N_mTm_BiA/edit?gid=1382299152#gid=1382299152"", ""Form responses 1!$Z:$Z"") = 2
    ),
    1
  ),
  ""Not Found""
)
"),"Not Found")</f>
        <v>Not Found</v>
      </c>
      <c r="I1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1!$E:$E"")=$D135) *
        (IMPORTRANGE(""https://docs.google.com/spreadsheets/d/161aHT6vVT3SLneTKD19N5qVWtnj_jIT8CSsOmUVKmaA"&amp;"/edit?gid=1761053510"",
          ""Haris_Form responses 1!$AQ:$AQ"")=2)
      ),
      1
    ),
    ""0""
  ),
  ""Form not found""
)
"),"Form not found")</f>
        <v>Form not found</v>
      </c>
      <c r="J135" s="247" t="str">
        <f>IFERROR(__xludf.DUMMYFUNCTION("IFERROR(
  INDEX(
    FILTER(
      Transcription!$AJ:$AJ,
      TRIM(CLEAN(TEXT(Transcription!$F:$F, ""@""))) = TRIM(CLEAN(TEXT($D135, ""@""))),
      Transcription!$AO:$AO = 2
    ),
    1
  ),
  ""Not Found""
)
"),"Not Found")</f>
        <v>Not Found</v>
      </c>
      <c r="K13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TRIM(CLEAN(TEXT($D135, ""@""))),
      IMPORTRANGE(""https://docs.google.com/spreadsheets/d/1DccNxjBgurEr0ABkI_"&amp;"rBagJT5phB5HaHG5N_mTm_BiA/edit?gid=1382299152#gid=1382299152"", ""Form responses 1!$Z:$Z"") = 3
    ),
    1
  ),
  ""Not Found""
)
"),"https://drive.google.com/open?id=1At97IzXZlLI42vGYNE7orwlAqPjzKIx_")</f>
        <v>https://drive.google.com/open?id=1At97IzXZlLI42vGYNE7orwlAqPjzKIx_</v>
      </c>
      <c r="L1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1!$E:$E"")=$D135) *
        (IMPORTRANGE(""https://docs.google.com/spreadsheets/d/161aHT6vVT3SLneTKD19N5qVWtnj_jIT8CSsOmUVKmaA"&amp;"/edit?gid=1761053510"",
          ""Haris_Form responses 1!$AQ:$AQ"")=3)
      ),
      1
    ),
    ""0""
  ),
  ""Form not found""
)
"),"3")</f>
        <v>3</v>
      </c>
      <c r="M135" s="245" t="str">
        <f>IFERROR(__xludf.DUMMYFUNCTION("IFERROR(
  INDEX(
    FILTER(
      Transcription!$AJ:$AJ,
      TRIM(CLEAN(TEXT(Transcription!$F:$F, ""@""))) = TRIM(CLEAN(TEXT($D135, ""@""))),
      Transcription!$AO:$AO = 3
    ),
    1
  ),
  ""Not Found""
)
"),"https://drive.google.com/open?id=12lYHZuiUR1wiu1qzFfgUXwo5fi1tcSgR")</f>
        <v>https://drive.google.com/open?id=12lYHZuiUR1wiu1qzFfgUXwo5fi1tcSgR</v>
      </c>
      <c r="N1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TRIM(CLEAN(TEXT($D135, ""@""))),
      IMPORTRANGE(""https://docs.google.com/spreadsheets/d/1DccNxjBgurEr0ABkI_"&amp;"rBagJT5phB5HaHG5N_mTm_BiA/edit?gid=1382299152#gid=1382299152"", ""Form responses 1!$Z:$Z"") = 4
    ),
    1
  ),
  ""Not Found""
)
"),"Not Found")</f>
        <v>Not Found</v>
      </c>
      <c r="O1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1!$E:$E"")=$D135) *
        (IMPORTRANGE(""https://docs.google.com/spreadsheets/d/161aHT6vVT3SLneTKD19N5qVWtnj_jIT8CSsOmUVKmaA"&amp;"/edit?gid=1761053510"",
          ""Haris_Form responses 1!$AQ:$AQ"")=4)
      ),
      1
    ),
    ""0""
  ),
  ""Form not found""
)
"),"Form not found")</f>
        <v>Form not found</v>
      </c>
      <c r="P135" s="247" t="str">
        <f>IFERROR(__xludf.DUMMYFUNCTION("IFERROR(
  INDEX(
    FILTER(
      Transcription!$AJ:$AJ,
      TRIM(CLEAN(TEXT(Transcription!$F:$F, ""@""))) = TRIM(CLEAN(TEXT($D135, ""@""))),
      Transcription!$AO:$AO = 4
    ),
    1
  ),
  ""Not Found""
)
"),"Not Found")</f>
        <v>Not Found</v>
      </c>
      <c r="Q1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TRIM(CLEAN(TEXT($D135, ""@""))),
      IMPORTRANGE(""https://docs.google.com/spreadsheets/d/1DccNxjBgurEr0ABkI_"&amp;"rBagJT5phB5HaHG5N_mTm_BiA/edit?gid=1382299152#gid=1382299152"", ""Form responses 1!$Z:$Z"") = 5
    ),
    1
  ),
  ""Not Found""
)
"),"Not Found")</f>
        <v>Not Found</v>
      </c>
      <c r="R1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1!$E:$E"")=$D135) *
        (IMPORTRANGE(""https://docs.google.com/spreadsheets/d/161aHT6vVT3SLneTKD19N5qVWtnj_jIT8CSsOmUVKmaA"&amp;"/edit?gid=1761053510"",
          ""Haris_Form responses 1!$AQ:$AQ"")=5)
      ),
      1
    ),
    ""0""
  ),
  ""Form not found""
)
"),"Form not found")</f>
        <v>Form not found</v>
      </c>
      <c r="S135" s="247" t="str">
        <f>IFERROR(__xludf.DUMMYFUNCTION("IFERROR(
  INDEX(
    FILTER(
      Transcription!$AJ:$AJ,
      TRIM(CLEAN(TEXT(Transcription!$F:$F, ""@""))) = TRIM(CLEAN(TEXT($D135, ""@""))),
      Transcription!$AO:$AO = 5
    ),
    1
  ),
  ""Not Found""
)
"),"Not Found")</f>
        <v>Not Found</v>
      </c>
      <c r="T1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TRIM(CLEAN(TEXT($D135, ""@""))),
      IMPORTRANGE(""https://docs.google.com/spreadsheets/d/1DccNxjBgurEr0ABkI_"&amp;"rBagJT5phB5HaHG5N_mTm_BiA/edit?gid=1382299152#gid=1382299152"", ""Form responses 1!$Z:$Z"") = 6
    ),
    1
  ),
  ""Not Found""
)
"),"Not Found")</f>
        <v>Not Found</v>
      </c>
      <c r="U1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1!$E:$E"")=$D135) *
        (IMPORTRANGE(""https://docs.google.com/spreadsheets/d/161aHT6vVT3SLneTKD19N5qVWtnj_jIT8CSsOmUVKmaA"&amp;"/edit?gid=1761053510"",
          ""Haris_Form responses 1!$AQ:$AQ"")=6)
      ),
      1
    ),
    ""0""
  ),
  ""Form not found""
)
"),"Form not found")</f>
        <v>Form not found</v>
      </c>
      <c r="V135" s="247" t="str">
        <f>IFERROR(__xludf.DUMMYFUNCTION("IFERROR(
  INDEX(
    FILTER(
      Transcription!$AJ:$AJ,
      TRIM(CLEAN(TEXT(Transcription!$F:$F, ""@""))) = TRIM(CLEAN(TEXT($D135, ""@""))),
      Transcription!$AO:$AO = 6
    ),
    1
  ),
  ""Not Found""
)
"),"Not Found")</f>
        <v>Not Found</v>
      </c>
      <c r="Z135" s="10">
        <f t="shared" si="1"/>
        <v>2</v>
      </c>
      <c r="AA135" s="10">
        <f t="shared" si="2"/>
        <v>0</v>
      </c>
    </row>
    <row r="136">
      <c r="A136" s="8" t="str">
        <f>VLOOKUP($D136,Sheet6!$B:$G,5,FALSE)</f>
        <v>Muzaffargarh</v>
      </c>
      <c r="B136" s="232" t="str">
        <f>VLOOKUP($D136,Sheet6!$B:$G,4,FALSE)</f>
        <v>Women Religious No Info Share</v>
      </c>
      <c r="C136" s="8">
        <v>3.0</v>
      </c>
      <c r="D136" s="8" t="s">
        <v>4582</v>
      </c>
      <c r="E13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TRIM(CLEAN(TEXT($D136, ""@""))),
      IMPORTRANGE(""https://docs.google.com/spreadsheets/d/1DccNxjBgurEr0ABkI_"&amp;"rBagJT5phB5HaHG5N_mTm_BiA/edit?gid=1382299152#gid=1382299152"", ""Form responses 1!$Z:$Z"") = 1
    ),
    1
  ),
  ""Not Found""
)
"),"https://drive.google.com/open?id=17gZfKbLqYE9ffLFRluzuZqT6gkFX34NH")</f>
        <v>https://drive.google.com/open?id=17gZfKbLqYE9ffLFRluzuZqT6gkFX34NH</v>
      </c>
      <c r="F1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1!$E:$E"")=$D136) *
        (IMPORTRANGE(""https://docs.google.com/spreadsheets/d/161aHT6vVT3SLneTKD19N5qVWtnj_jIT8CSsOmUVKmaA"&amp;"/edit?gid=1761053510"",
          ""Haris_Form responses 1!$AQ:$AQ"")=1)
      ),
      1
    ),
    ""0""
  ),
  ""Form not found""
)
"),"1")</f>
        <v>1</v>
      </c>
      <c r="G136" s="245" t="str">
        <f>IFERROR(__xludf.DUMMYFUNCTION("IFERROR(
  INDEX(
    FILTER(
      Transcription!$AJ:$AJ,
      TRIM(CLEAN(TEXT(Transcription!$F:$F, ""@""))) = TRIM(CLEAN(TEXT($D136, ""@""))),
      Transcription!$AO:$AO = 1
    ),
    1
  ),
  ""Not Found""
)
"),"https://drive.google.com/open?id=1PY5lqFjopPZVkILIvD9SGBdiwnG54icfMfHx3Yc-alo")</f>
        <v>https://drive.google.com/open?id=1PY5lqFjopPZVkILIvD9SGBdiwnG54icfMfHx3Yc-alo</v>
      </c>
      <c r="H13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TRIM(CLEAN(TEXT($D136, ""@""))),
      IMPORTRANGE(""https://docs.google.com/spreadsheets/d/1DccNxjBgurEr0ABkI_"&amp;"rBagJT5phB5HaHG5N_mTm_BiA/edit?gid=1382299152#gid=1382299152"", ""Form responses 1!$Z:$Z"") = 2
    ),
    1
  ),
  ""Not Found""
)
"),"https://drive.google.com/open?id=16aZUip6NRiOKVNZHuAWubZIgvlGQNxlG")</f>
        <v>https://drive.google.com/open?id=16aZUip6NRiOKVNZHuAWubZIgvlGQNxlG</v>
      </c>
      <c r="I1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1!$E:$E"")=$D136) *
        (IMPORTRANGE(""https://docs.google.com/spreadsheets/d/161aHT6vVT3SLneTKD19N5qVWtnj_jIT8CSsOmUVKmaA"&amp;"/edit?gid=1761053510"",
          ""Haris_Form responses 1!$AQ:$AQ"")=2)
      ),
      1
    ),
    ""0""
  ),
  ""Form not found""
)
"),"2")</f>
        <v>2</v>
      </c>
      <c r="J136" s="245" t="str">
        <f>IFERROR(__xludf.DUMMYFUNCTION("IFERROR(
  INDEX(
    FILTER(
      Transcription!$AJ:$AJ,
      TRIM(CLEAN(TEXT(Transcription!$F:$F, ""@""))) = TRIM(CLEAN(TEXT($D136, ""@""))),
      Transcription!$AO:$AO = 2
    ),
    1
  ),
  ""Not Found""
)
"),"https://drive.google.com/open?id=1O-MslU7C-HJ_oFA8Jz_1OPjdAlYMSZjS")</f>
        <v>https://drive.google.com/open?id=1O-MslU7C-HJ_oFA8Jz_1OPjdAlYMSZjS</v>
      </c>
      <c r="K13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TRIM(CLEAN(TEXT($D136, ""@""))),
      IMPORTRANGE(""https://docs.google.com/spreadsheets/d/1DccNxjBgurEr0ABkI_"&amp;"rBagJT5phB5HaHG5N_mTm_BiA/edit?gid=1382299152#gid=1382299152"", ""Form responses 1!$Z:$Z"") = 3
    ),
    1
  ),
  ""Not Found""
)
"),"https://drive.google.com/open?id=1Z9W4gYDgHbe4RksdggyK1PA5luLIYFwS")</f>
        <v>https://drive.google.com/open?id=1Z9W4gYDgHbe4RksdggyK1PA5luLIYFwS</v>
      </c>
      <c r="L1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1!$E:$E"")=$D136) *
        (IMPORTRANGE(""https://docs.google.com/spreadsheets/d/161aHT6vVT3SLneTKD19N5qVWtnj_jIT8CSsOmUVKmaA"&amp;"/edit?gid=1761053510"",
          ""Haris_Form responses 1!$AQ:$AQ"")=3)
      ),
      1
    ),
    ""0""
  ),
  ""Form not found""
)
"),"3")</f>
        <v>3</v>
      </c>
      <c r="M136" s="245" t="str">
        <f>IFERROR(__xludf.DUMMYFUNCTION("IFERROR(
  INDEX(
    FILTER(
      Transcription!$AJ:$AJ,
      TRIM(CLEAN(TEXT(Transcription!$F:$F, ""@""))) = TRIM(CLEAN(TEXT($D136, ""@""))),
      Transcription!$AO:$AO = 3
    ),
    1
  ),
  ""Not Found""
)
"),"https://drive.google.com/open?id=1T-xcoPeYbaGKgZ3IomOv1bbKszjolkj6")</f>
        <v>https://drive.google.com/open?id=1T-xcoPeYbaGKgZ3IomOv1bbKszjolkj6</v>
      </c>
      <c r="N13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TRIM(CLEAN(TEXT($D136, ""@""))),
      IMPORTRANGE(""https://docs.google.com/spreadsheets/d/1DccNxjBgurEr0ABkI_"&amp;"rBagJT5phB5HaHG5N_mTm_BiA/edit?gid=1382299152#gid=1382299152"", ""Form responses 1!$Z:$Z"") = 4
    ),
    1
  ),
  ""Not Found""
)
"),"Not Found")</f>
        <v>Not Found</v>
      </c>
      <c r="O1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1!$E:$E"")=$D136) *
        (IMPORTRANGE(""https://docs.google.com/spreadsheets/d/161aHT6vVT3SLneTKD19N5qVWtnj_jIT8CSsOmUVKmaA"&amp;"/edit?gid=1761053510"",
          ""Haris_Form responses 1!$AQ:$AQ"")=4)
      ),
      1
    ),
    ""0""
  ),
  ""Form not found""
)
"),"Form not found")</f>
        <v>Form not found</v>
      </c>
      <c r="P136" s="247" t="str">
        <f>IFERROR(__xludf.DUMMYFUNCTION("IFERROR(
  INDEX(
    FILTER(
      Transcription!$AJ:$AJ,
      TRIM(CLEAN(TEXT(Transcription!$F:$F, ""@""))) = TRIM(CLEAN(TEXT($D136, ""@""))),
      Transcription!$AO:$AO = 4
    ),
    1
  ),
  ""Not Found""
)
"),"Not Found")</f>
        <v>Not Found</v>
      </c>
      <c r="Q13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TRIM(CLEAN(TEXT($D136, ""@""))),
      IMPORTRANGE(""https://docs.google.com/spreadsheets/d/1DccNxjBgurEr0ABkI_"&amp;"rBagJT5phB5HaHG5N_mTm_BiA/edit?gid=1382299152#gid=1382299152"", ""Form responses 1!$Z:$Z"") = 5
    ),
    1
  ),
  ""Not Found""
)
"),"Not Found")</f>
        <v>Not Found</v>
      </c>
      <c r="R1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1!$E:$E"")=$D136) *
        (IMPORTRANGE(""https://docs.google.com/spreadsheets/d/161aHT6vVT3SLneTKD19N5qVWtnj_jIT8CSsOmUVKmaA"&amp;"/edit?gid=1761053510"",
          ""Haris_Form responses 1!$AQ:$AQ"")=5)
      ),
      1
    ),
    ""0""
  ),
  ""Form not found""
)
"),"Form not found")</f>
        <v>Form not found</v>
      </c>
      <c r="S136" s="247" t="str">
        <f>IFERROR(__xludf.DUMMYFUNCTION("IFERROR(
  INDEX(
    FILTER(
      Transcription!$AJ:$AJ,
      TRIM(CLEAN(TEXT(Transcription!$F:$F, ""@""))) = TRIM(CLEAN(TEXT($D136, ""@""))),
      Transcription!$AO:$AO = 5
    ),
    1
  ),
  ""Not Found""
)
"),"Not Found")</f>
        <v>Not Found</v>
      </c>
      <c r="T13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TRIM(CLEAN(TEXT($D136, ""@""))),
      IMPORTRANGE(""https://docs.google.com/spreadsheets/d/1DccNxjBgurEr0ABkI_"&amp;"rBagJT5phB5HaHG5N_mTm_BiA/edit?gid=1382299152#gid=1382299152"", ""Form responses 1!$Z:$Z"") = 6
    ),
    1
  ),
  ""Not Found""
)
"),"Not Found")</f>
        <v>Not Found</v>
      </c>
      <c r="U1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1!$E:$E"")=$D136) *
        (IMPORTRANGE(""https://docs.google.com/spreadsheets/d/161aHT6vVT3SLneTKD19N5qVWtnj_jIT8CSsOmUVKmaA"&amp;"/edit?gid=1761053510"",
          ""Haris_Form responses 1!$AQ:$AQ"")=6)
      ),
      1
    ),
    ""0""
  ),
  ""Form not found""
)
"),"Form not found")</f>
        <v>Form not found</v>
      </c>
      <c r="V136" s="247" t="str">
        <f>IFERROR(__xludf.DUMMYFUNCTION("IFERROR(
  INDEX(
    FILTER(
      Transcription!$AJ:$AJ,
      TRIM(CLEAN(TEXT(Transcription!$F:$F, ""@""))) = TRIM(CLEAN(TEXT($D136, ""@""))),
      Transcription!$AO:$AO = 6
    ),
    1
  ),
  ""Not Found""
)
"),"Not Found")</f>
        <v>Not Found</v>
      </c>
      <c r="Z136" s="10">
        <f t="shared" si="1"/>
        <v>3</v>
      </c>
      <c r="AA136" s="10">
        <f t="shared" si="2"/>
        <v>0</v>
      </c>
    </row>
    <row r="137">
      <c r="A137" s="8" t="str">
        <f>VLOOKUP($D137,Sheet6!$B:$G,5,FALSE)</f>
        <v>Muzaffargarh</v>
      </c>
      <c r="B137" s="232" t="str">
        <f>VLOOKUP($D137,Sheet6!$B:$G,4,FALSE)</f>
        <v>Women Secular No Info Share</v>
      </c>
      <c r="C137" s="8">
        <v>4.0</v>
      </c>
      <c r="D137" s="8" t="s">
        <v>4583</v>
      </c>
      <c r="E13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TRIM(CLEAN(TEXT($D137, ""@""))),
      IMPORTRANGE(""https://docs.google.com/spreadsheets/d/1DccNxjBgurEr0ABkI_"&amp;"rBagJT5phB5HaHG5N_mTm_BiA/edit?gid=1382299152#gid=1382299152"", ""Form responses 1!$Z:$Z"") = 1
    ),
    1
  ),
  ""Not Found""
)
"),"https://drive.google.com/open?id=1d5qFesyD16VT7VtEEMNNkQ2ayNMHZ8AM")</f>
        <v>https://drive.google.com/open?id=1d5qFesyD16VT7VtEEMNNkQ2ayNMHZ8AM</v>
      </c>
      <c r="F1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1!$E:$E"")=$D137) *
        (IMPORTRANGE(""https://docs.google.com/spreadsheets/d/161aHT6vVT3SLneTKD19N5qVWtnj_jIT8CSsOmUVKmaA"&amp;"/edit?gid=1761053510"",
          ""Haris_Form responses 1!$AQ:$AQ"")=1)
      ),
      1
    ),
    ""0""
  ),
  ""Form not found""
)
"),"1")</f>
        <v>1</v>
      </c>
      <c r="G137" s="245" t="str">
        <f>IFERROR(__xludf.DUMMYFUNCTION("IFERROR(
  INDEX(
    FILTER(
      Transcription!$AJ:$AJ,
      TRIM(CLEAN(TEXT(Transcription!$F:$F, ""@""))) = TRIM(CLEAN(TEXT($D137, ""@""))),
      Transcription!$AO:$AO = 1
    ),
    1
  ),
  ""Not Found""
)
"),"https://drive.google.com/open?id=1CNFgHiuvvHNtIB6MHqsksCsA4aPxjkfp")</f>
        <v>https://drive.google.com/open?id=1CNFgHiuvvHNtIB6MHqsksCsA4aPxjkfp</v>
      </c>
      <c r="H13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TRIM(CLEAN(TEXT($D137, ""@""))),
      IMPORTRANGE(""https://docs.google.com/spreadsheets/d/1DccNxjBgurEr0ABkI_"&amp;"rBagJT5phB5HaHG5N_mTm_BiA/edit?gid=1382299152#gid=1382299152"", ""Form responses 1!$Z:$Z"") = 2
    ),
    1
  ),
  ""Not Found""
)
"),"https://drive.google.com/open?id=15F7oQ_MP7wpO6rFb7HlNbHO_I7R0BfdS")</f>
        <v>https://drive.google.com/open?id=15F7oQ_MP7wpO6rFb7HlNbHO_I7R0BfdS</v>
      </c>
      <c r="I1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1!$E:$E"")=$D137) *
        (IMPORTRANGE(""https://docs.google.com/spreadsheets/d/161aHT6vVT3SLneTKD19N5qVWtnj_jIT8CSsOmUVKmaA"&amp;"/edit?gid=1761053510"",
          ""Haris_Form responses 1!$AQ:$AQ"")=2)
      ),
      1
    ),
    ""0""
  ),
  ""Form not found""
)
"),"2")</f>
        <v>2</v>
      </c>
      <c r="J137" s="245" t="str">
        <f>IFERROR(__xludf.DUMMYFUNCTION("IFERROR(
  INDEX(
    FILTER(
      Transcription!$AJ:$AJ,
      TRIM(CLEAN(TEXT(Transcription!$F:$F, ""@""))) = TRIM(CLEAN(TEXT($D137, ""@""))),
      Transcription!$AO:$AO = 2
    ),
    1
  ),
  ""Not Found""
)
"),"https://drive.google.com/open?id=1-fIxJbyBfHCoTsSJDOVDous8WDi6k8tI")</f>
        <v>https://drive.google.com/open?id=1-fIxJbyBfHCoTsSJDOVDous8WDi6k8tI</v>
      </c>
      <c r="K13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TRIM(CLEAN(TEXT($D137, ""@""))),
      IMPORTRANGE(""https://docs.google.com/spreadsheets/d/1DccNxjBgurEr0ABkI_"&amp;"rBagJT5phB5HaHG5N_mTm_BiA/edit?gid=1382299152#gid=1382299152"", ""Form responses 1!$Z:$Z"") = 3
    ),
    1
  ),
  ""Not Found""
)
"),"https://drive.google.com/open?id=15Ue0rGx9gQTY_TsCJr0kySZ6PaUqj37g")</f>
        <v>https://drive.google.com/open?id=15Ue0rGx9gQTY_TsCJr0kySZ6PaUqj37g</v>
      </c>
      <c r="L1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1!$E:$E"")=$D137) *
        (IMPORTRANGE(""https://docs.google.com/spreadsheets/d/161aHT6vVT3SLneTKD19N5qVWtnj_jIT8CSsOmUVKmaA"&amp;"/edit?gid=1761053510"",
          ""Haris_Form responses 1!$AQ:$AQ"")=3)
      ),
      1
    ),
    ""0""
  ),
  ""Form not found""
)
"),"3")</f>
        <v>3</v>
      </c>
      <c r="M137" s="245" t="str">
        <f>IFERROR(__xludf.DUMMYFUNCTION("IFERROR(
  INDEX(
    FILTER(
      Transcription!$AJ:$AJ,
      TRIM(CLEAN(TEXT(Transcription!$F:$F, ""@""))) = TRIM(CLEAN(TEXT($D137, ""@""))),
      Transcription!$AO:$AO = 3
    ),
    1
  ),
  ""Not Found""
)
"),"https://drive.google.com/open?id=1ZtlCsADtO-Yy_N12hKu2SKkySH-lEp7x")</f>
        <v>https://drive.google.com/open?id=1ZtlCsADtO-Yy_N12hKu2SKkySH-lEp7x</v>
      </c>
      <c r="N1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TRIM(CLEAN(TEXT($D137, ""@""))),
      IMPORTRANGE(""https://docs.google.com/spreadsheets/d/1DccNxjBgurEr0ABkI_"&amp;"rBagJT5phB5HaHG5N_mTm_BiA/edit?gid=1382299152#gid=1382299152"", ""Form responses 1!$Z:$Z"") = 4
    ),
    1
  ),
  ""Not Found""
)
"),"https://drive.google.com/open?id=16GVdUv3R5lEmhDmikunQgnwn_iyL9Fmr, https://drive.google.com/open?id=1qg0Qj3QDAVmWwyoKGQyP6uf9hYj2IV1j")</f>
        <v>https://drive.google.com/open?id=16GVdUv3R5lEmhDmikunQgnwn_iyL9Fmr, https://drive.google.com/open?id=1qg0Qj3QDAVmWwyoKGQyP6uf9hYj2IV1j</v>
      </c>
      <c r="O1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1!$E:$E"")=$D137) *
        (IMPORTRANGE(""https://docs.google.com/spreadsheets/d/161aHT6vVT3SLneTKD19N5qVWtnj_jIT8CSsOmUVKmaA"&amp;"/edit?gid=1761053510"",
          ""Haris_Form responses 1!$AQ:$AQ"")=4)
      ),
      1
    ),
    ""0""
  ),
  ""Form not found""
)
"),"4")</f>
        <v>4</v>
      </c>
      <c r="P137" s="245" t="str">
        <f>IFERROR(__xludf.DUMMYFUNCTION("IFERROR(
  INDEX(
    FILTER(
      Transcription!$AJ:$AJ,
      TRIM(CLEAN(TEXT(Transcription!$F:$F, ""@""))) = TRIM(CLEAN(TEXT($D137, ""@""))),
      Transcription!$AO:$AO = 4
    ),
    1
  ),
  ""Not Found""
)
"),"https://drive.google.com/open?id=14PbIXPs6MZMmpQeN3PAKvrmj8dZF4uua")</f>
        <v>https://drive.google.com/open?id=14PbIXPs6MZMmpQeN3PAKvrmj8dZF4uua</v>
      </c>
      <c r="Q1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TRIM(CLEAN(TEXT($D137, ""@""))),
      IMPORTRANGE(""https://docs.google.com/spreadsheets/d/1DccNxjBgurEr0ABkI_"&amp;"rBagJT5phB5HaHG5N_mTm_BiA/edit?gid=1382299152#gid=1382299152"", ""Form responses 1!$Z:$Z"") = 5
    ),
    1
  ),
  ""Not Found""
)
"),"Not Found")</f>
        <v>Not Found</v>
      </c>
      <c r="R1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1!$E:$E"")=$D137) *
        (IMPORTRANGE(""https://docs.google.com/spreadsheets/d/161aHT6vVT3SLneTKD19N5qVWtnj_jIT8CSsOmUVKmaA"&amp;"/edit?gid=1761053510"",
          ""Haris_Form responses 1!$AQ:$AQ"")=5)
      ),
      1
    ),
    ""0""
  ),
  ""Form not found""
)
"),"Form not found")</f>
        <v>Form not found</v>
      </c>
      <c r="S137" s="247" t="str">
        <f>IFERROR(__xludf.DUMMYFUNCTION("IFERROR(
  INDEX(
    FILTER(
      Transcription!$AJ:$AJ,
      TRIM(CLEAN(TEXT(Transcription!$F:$F, ""@""))) = TRIM(CLEAN(TEXT($D137, ""@""))),
      Transcription!$AO:$AO = 5
    ),
    1
  ),
  ""Not Found""
)
"),"Not Found")</f>
        <v>Not Found</v>
      </c>
      <c r="T1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TRIM(CLEAN(TEXT($D137, ""@""))),
      IMPORTRANGE(""https://docs.google.com/spreadsheets/d/1DccNxjBgurEr0ABkI_"&amp;"rBagJT5phB5HaHG5N_mTm_BiA/edit?gid=1382299152#gid=1382299152"", ""Form responses 1!$Z:$Z"") = 6
    ),
    1
  ),
  ""Not Found""
)
"),"Not Found")</f>
        <v>Not Found</v>
      </c>
      <c r="U1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1!$E:$E"")=$D137) *
        (IMPORTRANGE(""https://docs.google.com/spreadsheets/d/161aHT6vVT3SLneTKD19N5qVWtnj_jIT8CSsOmUVKmaA"&amp;"/edit?gid=1761053510"",
          ""Haris_Form responses 1!$AQ:$AQ"")=6)
      ),
      1
    ),
    ""0""
  ),
  ""Form not found""
)
"),"Form not found")</f>
        <v>Form not found</v>
      </c>
      <c r="V137" s="247" t="str">
        <f>IFERROR(__xludf.DUMMYFUNCTION("IFERROR(
  INDEX(
    FILTER(
      Transcription!$AJ:$AJ,
      TRIM(CLEAN(TEXT(Transcription!$F:$F, ""@""))) = TRIM(CLEAN(TEXT($D137, ""@""))),
      Transcription!$AO:$AO = 6
    ),
    1
  ),
  ""Not Found""
)
"),"Not Found")</f>
        <v>Not Found</v>
      </c>
      <c r="Z137" s="10">
        <f t="shared" si="1"/>
        <v>4</v>
      </c>
      <c r="AA137" s="10">
        <f t="shared" si="2"/>
        <v>0</v>
      </c>
    </row>
    <row r="138">
      <c r="A138" s="8" t="str">
        <f>VLOOKUP($D138,Sheet6!$B:$G,5,FALSE)</f>
        <v>Muzaffargarh</v>
      </c>
      <c r="B138" s="232" t="str">
        <f>VLOOKUP($D138,Sheet6!$B:$G,4,FALSE)</f>
        <v>Women Secular No Info Share</v>
      </c>
      <c r="C138" s="8">
        <v>3.0</v>
      </c>
      <c r="D138" s="8" t="s">
        <v>4584</v>
      </c>
      <c r="E1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TRIM(CLEAN(TEXT($D138, ""@""))),
      IMPORTRANGE(""https://docs.google.com/spreadsheets/d/1DccNxjBgurEr0ABkI_"&amp;"rBagJT5phB5HaHG5N_mTm_BiA/edit?gid=1382299152#gid=1382299152"", ""Form responses 1!$Z:$Z"") = 1
    ),
    1
  ),
  ""Not Found""
)
"),"https://drive.google.com/open?id=1cyYbvIqTd7YW_yIoikX3lc-cGcEhy6gc")</f>
        <v>https://drive.google.com/open?id=1cyYbvIqTd7YW_yIoikX3lc-cGcEhy6gc</v>
      </c>
      <c r="F1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1!$E:$E"")=$D138) *
        (IMPORTRANGE(""https://docs.google.com/spreadsheets/d/161aHT6vVT3SLneTKD19N5qVWtnj_jIT8CSsOmUVKmaA"&amp;"/edit?gid=1761053510"",
          ""Haris_Form responses 1!$AQ:$AQ"")=1)
      ),
      1
    ),
    ""0""
  ),
  ""Form not found""
)
"),"1")</f>
        <v>1</v>
      </c>
      <c r="G138" s="245" t="str">
        <f>IFERROR(__xludf.DUMMYFUNCTION("IFERROR(
  INDEX(
    FILTER(
      Transcription!$AJ:$AJ,
      TRIM(CLEAN(TEXT(Transcription!$F:$F, ""@""))) = TRIM(CLEAN(TEXT($D138, ""@""))),
      Transcription!$AO:$AO = 1
    ),
    1
  ),
  ""Not Found""
)
"),"https://drive.google.com/open?id=1V0tqoQSXSxcUZOPfTpeU8tEYXhXLNMD42t1tNGQ8EqU")</f>
        <v>https://drive.google.com/open?id=1V0tqoQSXSxcUZOPfTpeU8tEYXhXLNMD42t1tNGQ8EqU</v>
      </c>
      <c r="H1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TRIM(CLEAN(TEXT($D138, ""@""))),
      IMPORTRANGE(""https://docs.google.com/spreadsheets/d/1DccNxjBgurEr0ABkI_"&amp;"rBagJT5phB5HaHG5N_mTm_BiA/edit?gid=1382299152#gid=1382299152"", ""Form responses 1!$Z:$Z"") = 2
    ),
    1
  ),
  ""Not Found""
)
"),"https://drive.google.com/open?id=1wwntaRktUlPuANI2j2JOWTdyeOqboeCX")</f>
        <v>https://drive.google.com/open?id=1wwntaRktUlPuANI2j2JOWTdyeOqboeCX</v>
      </c>
      <c r="I1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1!$E:$E"")=$D138) *
        (IMPORTRANGE(""https://docs.google.com/spreadsheets/d/161aHT6vVT3SLneTKD19N5qVWtnj_jIT8CSsOmUVKmaA"&amp;"/edit?gid=1761053510"",
          ""Haris_Form responses 1!$AQ:$AQ"")=2)
      ),
      1
    ),
    ""0""
  ),
  ""Form not found""
)
"),"2")</f>
        <v>2</v>
      </c>
      <c r="J138" s="245" t="str">
        <f>IFERROR(__xludf.DUMMYFUNCTION("IFERROR(
  INDEX(
    FILTER(
      Transcription!$AJ:$AJ,
      TRIM(CLEAN(TEXT(Transcription!$F:$F, ""@""))) = TRIM(CLEAN(TEXT($D138, ""@""))),
      Transcription!$AO:$AO = 2
    ),
    1
  ),
  ""Not Found""
)
"),"https://drive.google.com/open?id=1-8q4KR0654RmunPFTUck74oy0wS-Dd0i")</f>
        <v>https://drive.google.com/open?id=1-8q4KR0654RmunPFTUck74oy0wS-Dd0i</v>
      </c>
      <c r="K1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TRIM(CLEAN(TEXT($D138, ""@""))),
      IMPORTRANGE(""https://docs.google.com/spreadsheets/d/1DccNxjBgurEr0ABkI_"&amp;"rBagJT5phB5HaHG5N_mTm_BiA/edit?gid=1382299152#gid=1382299152"", ""Form responses 1!$Z:$Z"") = 3
    ),
    1
  ),
  ""Not Found""
)
"),"https://drive.google.com/open?id=1J3FWBKpXp-r_o-LmGr4YKw6CfFGXllxr")</f>
        <v>https://drive.google.com/open?id=1J3FWBKpXp-r_o-LmGr4YKw6CfFGXllxr</v>
      </c>
      <c r="L1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1!$E:$E"")=$D138) *
        (IMPORTRANGE(""https://docs.google.com/spreadsheets/d/161aHT6vVT3SLneTKD19N5qVWtnj_jIT8CSsOmUVKmaA"&amp;"/edit?gid=1761053510"",
          ""Haris_Form responses 1!$AQ:$AQ"")=3)
      ),
      1
    ),
    ""0""
  ),
  ""Form not found""
)
"),"3")</f>
        <v>3</v>
      </c>
      <c r="M138" s="245" t="str">
        <f>IFERROR(__xludf.DUMMYFUNCTION("IFERROR(
  INDEX(
    FILTER(
      Transcription!$AJ:$AJ,
      TRIM(CLEAN(TEXT(Transcription!$F:$F, ""@""))) = TRIM(CLEAN(TEXT($D138, ""@""))),
      Transcription!$AO:$AO = 3
    ),
    1
  ),
  ""Not Found""
)
"),"https://drive.google.com/open?id=1FT6oUgtr0Digjfkxhg7ZuYI6kha2ggoR")</f>
        <v>https://drive.google.com/open?id=1FT6oUgtr0Digjfkxhg7ZuYI6kha2ggoR</v>
      </c>
      <c r="N13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TRIM(CLEAN(TEXT($D138, ""@""))),
      IMPORTRANGE(""https://docs.google.com/spreadsheets/d/1DccNxjBgurEr0ABkI_"&amp;"rBagJT5phB5HaHG5N_mTm_BiA/edit?gid=1382299152#gid=1382299152"", ""Form responses 1!$Z:$Z"") = 4
    ),
    1
  ),
  ""Not Found""
)
"),"Not Found")</f>
        <v>Not Found</v>
      </c>
      <c r="O1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1!$E:$E"")=$D138) *
        (IMPORTRANGE(""https://docs.google.com/spreadsheets/d/161aHT6vVT3SLneTKD19N5qVWtnj_jIT8CSsOmUVKmaA"&amp;"/edit?gid=1761053510"",
          ""Haris_Form responses 1!$AQ:$AQ"")=4)
      ),
      1
    ),
    ""0""
  ),
  ""Form not found""
)
"),"Form not found")</f>
        <v>Form not found</v>
      </c>
      <c r="P138" s="247" t="str">
        <f>IFERROR(__xludf.DUMMYFUNCTION("IFERROR(
  INDEX(
    FILTER(
      Transcription!$AJ:$AJ,
      TRIM(CLEAN(TEXT(Transcription!$F:$F, ""@""))) = TRIM(CLEAN(TEXT($D138, ""@""))),
      Transcription!$AO:$AO = 4
    ),
    1
  ),
  ""Not Found""
)
"),"Not Found")</f>
        <v>Not Found</v>
      </c>
      <c r="Q13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TRIM(CLEAN(TEXT($D138, ""@""))),
      IMPORTRANGE(""https://docs.google.com/spreadsheets/d/1DccNxjBgurEr0ABkI_"&amp;"rBagJT5phB5HaHG5N_mTm_BiA/edit?gid=1382299152#gid=1382299152"", ""Form responses 1!$Z:$Z"") = 5
    ),
    1
  ),
  ""Not Found""
)
"),"Not Found")</f>
        <v>Not Found</v>
      </c>
      <c r="R1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1!$E:$E"")=$D138) *
        (IMPORTRANGE(""https://docs.google.com/spreadsheets/d/161aHT6vVT3SLneTKD19N5qVWtnj_jIT8CSsOmUVKmaA"&amp;"/edit?gid=1761053510"",
          ""Haris_Form responses 1!$AQ:$AQ"")=5)
      ),
      1
    ),
    ""0""
  ),
  ""Form not found""
)
"),"Form not found")</f>
        <v>Form not found</v>
      </c>
      <c r="S138" s="247" t="str">
        <f>IFERROR(__xludf.DUMMYFUNCTION("IFERROR(
  INDEX(
    FILTER(
      Transcription!$AJ:$AJ,
      TRIM(CLEAN(TEXT(Transcription!$F:$F, ""@""))) = TRIM(CLEAN(TEXT($D138, ""@""))),
      Transcription!$AO:$AO = 5
    ),
    1
  ),
  ""Not Found""
)
"),"Not Found")</f>
        <v>Not Found</v>
      </c>
      <c r="T13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TRIM(CLEAN(TEXT($D138, ""@""))),
      IMPORTRANGE(""https://docs.google.com/spreadsheets/d/1DccNxjBgurEr0ABkI_"&amp;"rBagJT5phB5HaHG5N_mTm_BiA/edit?gid=1382299152#gid=1382299152"", ""Form responses 1!$Z:$Z"") = 6
    ),
    1
  ),
  ""Not Found""
)
"),"Not Found")</f>
        <v>Not Found</v>
      </c>
      <c r="U1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1!$E:$E"")=$D138) *
        (IMPORTRANGE(""https://docs.google.com/spreadsheets/d/161aHT6vVT3SLneTKD19N5qVWtnj_jIT8CSsOmUVKmaA"&amp;"/edit?gid=1761053510"",
          ""Haris_Form responses 1!$AQ:$AQ"")=6)
      ),
      1
    ),
    ""0""
  ),
  ""Form not found""
)
"),"Form not found")</f>
        <v>Form not found</v>
      </c>
      <c r="V138" s="247" t="str">
        <f>IFERROR(__xludf.DUMMYFUNCTION("IFERROR(
  INDEX(
    FILTER(
      Transcription!$AJ:$AJ,
      TRIM(CLEAN(TEXT(Transcription!$F:$F, ""@""))) = TRIM(CLEAN(TEXT($D138, ""@""))),
      Transcription!$AO:$AO = 6
    ),
    1
  ),
  ""Not Found""
)
"),"Not Found")</f>
        <v>Not Found</v>
      </c>
      <c r="Z138" s="10">
        <f t="shared" si="1"/>
        <v>3</v>
      </c>
      <c r="AA138" s="10">
        <f t="shared" si="2"/>
        <v>0</v>
      </c>
    </row>
    <row r="139">
      <c r="A139" s="8" t="str">
        <f>VLOOKUP($D139,Sheet6!$B:$G,5,FALSE)</f>
        <v>Muzaffargarh</v>
      </c>
      <c r="B139" s="232" t="str">
        <f>VLOOKUP($D139,Sheet6!$B:$G,4,FALSE)</f>
        <v>Community Secular No Info Share</v>
      </c>
      <c r="C139" s="8">
        <v>3.0</v>
      </c>
      <c r="D139" s="8" t="s">
        <v>4585</v>
      </c>
      <c r="E1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TRIM(CLEAN(TEXT($D139, ""@""))),
      IMPORTRANGE(""https://docs.google.com/spreadsheets/d/1DccNxjBgurEr0ABkI_"&amp;"rBagJT5phB5HaHG5N_mTm_BiA/edit?gid=1382299152#gid=1382299152"", ""Form responses 1!$Z:$Z"") = 1
    ),
    1
  ),
  ""Not Found""
)
"),"https://drive.google.com/open?id=14XhJKgcdwfsRvRSFDJSaDwlmh8eJ_XlQ")</f>
        <v>https://drive.google.com/open?id=14XhJKgcdwfsRvRSFDJSaDwlmh8eJ_XlQ</v>
      </c>
      <c r="F1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1!$E:$E"")=$D139) *
        (IMPORTRANGE(""https://docs.google.com/spreadsheets/d/161aHT6vVT3SLneTKD19N5qVWtnj_jIT8CSsOmUVKmaA"&amp;"/edit?gid=1761053510"",
          ""Haris_Form responses 1!$AQ:$AQ"")=1)
      ),
      1
    ),
    ""0""
  ),
  ""Form not found""
)
"),"1")</f>
        <v>1</v>
      </c>
      <c r="G139" s="245" t="str">
        <f>IFERROR(__xludf.DUMMYFUNCTION("IFERROR(
  INDEX(
    FILTER(
      Transcription!$AJ:$AJ,
      TRIM(CLEAN(TEXT(Transcription!$F:$F, ""@""))) = TRIM(CLEAN(TEXT($D139, ""@""))),
      Transcription!$AO:$AO = 1
    ),
    1
  ),
  ""Not Found""
)
"),"https://drive.google.com/open?id=1d3wNoqPNss044gWldU9BpBgxE3B4d0DMqncOBf2uZkU")</f>
        <v>https://drive.google.com/open?id=1d3wNoqPNss044gWldU9BpBgxE3B4d0DMqncOBf2uZkU</v>
      </c>
      <c r="H1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TRIM(CLEAN(TEXT($D139, ""@""))),
      IMPORTRANGE(""https://docs.google.com/spreadsheets/d/1DccNxjBgurEr0ABkI_"&amp;"rBagJT5phB5HaHG5N_mTm_BiA/edit?gid=1382299152#gid=1382299152"", ""Form responses 1!$Z:$Z"") = 2
    ),
    1
  ),
  ""Not Found""
)
"),"https://drive.google.com/open?id=1d4TzFp0LNeq2XR6E9PTyvBUdm-Ev2oRl")</f>
        <v>https://drive.google.com/open?id=1d4TzFp0LNeq2XR6E9PTyvBUdm-Ev2oRl</v>
      </c>
      <c r="I1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1!$E:$E"")=$D139) *
        (IMPORTRANGE(""https://docs.google.com/spreadsheets/d/161aHT6vVT3SLneTKD19N5qVWtnj_jIT8CSsOmUVKmaA"&amp;"/edit?gid=1761053510"",
          ""Haris_Form responses 1!$AQ:$AQ"")=2)
      ),
      1
    ),
    ""0""
  ),
  ""Form not found""
)
"),"2")</f>
        <v>2</v>
      </c>
      <c r="J139" s="245" t="str">
        <f>IFERROR(__xludf.DUMMYFUNCTION("IFERROR(
  INDEX(
    FILTER(
      Transcription!$AJ:$AJ,
      TRIM(CLEAN(TEXT(Transcription!$F:$F, ""@""))) = TRIM(CLEAN(TEXT($D139, ""@""))),
      Transcription!$AO:$AO = 2
    ),
    1
  ),
  ""Not Found""
)
"),"https://drive.google.com/open?id=1s6QmyaN3J5vP-IcKD42q-pMDzRz-4yjW")</f>
        <v>https://drive.google.com/open?id=1s6QmyaN3J5vP-IcKD42q-pMDzRz-4yjW</v>
      </c>
      <c r="K1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TRIM(CLEAN(TEXT($D139, ""@""))),
      IMPORTRANGE(""https://docs.google.com/spreadsheets/d/1DccNxjBgurEr0ABkI_"&amp;"rBagJT5phB5HaHG5N_mTm_BiA/edit?gid=1382299152#gid=1382299152"", ""Form responses 1!$Z:$Z"") = 3
    ),
    1
  ),
  ""Not Found""
)
"),"https://drive.google.com/open?id=1AvM4Q2Zr7XFViSgl7k7BDiL-A1oiKad0")</f>
        <v>https://drive.google.com/open?id=1AvM4Q2Zr7XFViSgl7k7BDiL-A1oiKad0</v>
      </c>
      <c r="L1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1!$E:$E"")=$D139) *
        (IMPORTRANGE(""https://docs.google.com/spreadsheets/d/161aHT6vVT3SLneTKD19N5qVWtnj_jIT8CSsOmUVKmaA"&amp;"/edit?gid=1761053510"",
          ""Haris_Form responses 1!$AQ:$AQ"")=3)
      ),
      1
    ),
    ""0""
  ),
  ""Form not found""
)
"),"3")</f>
        <v>3</v>
      </c>
      <c r="M139" s="245" t="str">
        <f>IFERROR(__xludf.DUMMYFUNCTION("IFERROR(
  INDEX(
    FILTER(
      Transcription!$AJ:$AJ,
      TRIM(CLEAN(TEXT(Transcription!$F:$F, ""@""))) = TRIM(CLEAN(TEXT($D139, ""@""))),
      Transcription!$AO:$AO = 3
    ),
    1
  ),
  ""Not Found""
)
"),"https://drive.google.com/open?id=1N55w56HFFS0K34dgsOZT4nA78pfI1msPIi5Y_I-KAdQ")</f>
        <v>https://drive.google.com/open?id=1N55w56HFFS0K34dgsOZT4nA78pfI1msPIi5Y_I-KAdQ</v>
      </c>
      <c r="N13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TRIM(CLEAN(TEXT($D139, ""@""))),
      IMPORTRANGE(""https://docs.google.com/spreadsheets/d/1DccNxjBgurEr0ABkI_"&amp;"rBagJT5phB5HaHG5N_mTm_BiA/edit?gid=1382299152#gid=1382299152"", ""Form responses 1!$Z:$Z"") = 4
    ),
    1
  ),
  ""Not Found""
)
"),"Not Found")</f>
        <v>Not Found</v>
      </c>
      <c r="O1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1!$E:$E"")=$D139) *
        (IMPORTRANGE(""https://docs.google.com/spreadsheets/d/161aHT6vVT3SLneTKD19N5qVWtnj_jIT8CSsOmUVKmaA"&amp;"/edit?gid=1761053510"",
          ""Haris_Form responses 1!$AQ:$AQ"")=4)
      ),
      1
    ),
    ""0""
  ),
  ""Form not found""
)
"),"Form not found")</f>
        <v>Form not found</v>
      </c>
      <c r="P139" s="247" t="str">
        <f>IFERROR(__xludf.DUMMYFUNCTION("IFERROR(
  INDEX(
    FILTER(
      Transcription!$AJ:$AJ,
      TRIM(CLEAN(TEXT(Transcription!$F:$F, ""@""))) = TRIM(CLEAN(TEXT($D139, ""@""))),
      Transcription!$AO:$AO = 4
    ),
    1
  ),
  ""Not Found""
)
"),"Not Found")</f>
        <v>Not Found</v>
      </c>
      <c r="Q13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TRIM(CLEAN(TEXT($D139, ""@""))),
      IMPORTRANGE(""https://docs.google.com/spreadsheets/d/1DccNxjBgurEr0ABkI_"&amp;"rBagJT5phB5HaHG5N_mTm_BiA/edit?gid=1382299152#gid=1382299152"", ""Form responses 1!$Z:$Z"") = 5
    ),
    1
  ),
  ""Not Found""
)
"),"Not Found")</f>
        <v>Not Found</v>
      </c>
      <c r="R1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1!$E:$E"")=$D139) *
        (IMPORTRANGE(""https://docs.google.com/spreadsheets/d/161aHT6vVT3SLneTKD19N5qVWtnj_jIT8CSsOmUVKmaA"&amp;"/edit?gid=1761053510"",
          ""Haris_Form responses 1!$AQ:$AQ"")=5)
      ),
      1
    ),
    ""0""
  ),
  ""Form not found""
)
"),"Form not found")</f>
        <v>Form not found</v>
      </c>
      <c r="S139" s="247" t="str">
        <f>IFERROR(__xludf.DUMMYFUNCTION("IFERROR(
  INDEX(
    FILTER(
      Transcription!$AJ:$AJ,
      TRIM(CLEAN(TEXT(Transcription!$F:$F, ""@""))) = TRIM(CLEAN(TEXT($D139, ""@""))),
      Transcription!$AO:$AO = 5
    ),
    1
  ),
  ""Not Found""
)
"),"Not Found")</f>
        <v>Not Found</v>
      </c>
      <c r="T13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TRIM(CLEAN(TEXT($D139, ""@""))),
      IMPORTRANGE(""https://docs.google.com/spreadsheets/d/1DccNxjBgurEr0ABkI_"&amp;"rBagJT5phB5HaHG5N_mTm_BiA/edit?gid=1382299152#gid=1382299152"", ""Form responses 1!$Z:$Z"") = 6
    ),
    1
  ),
  ""Not Found""
)
"),"Not Found")</f>
        <v>Not Found</v>
      </c>
      <c r="U1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1!$E:$E"")=$D139) *
        (IMPORTRANGE(""https://docs.google.com/spreadsheets/d/161aHT6vVT3SLneTKD19N5qVWtnj_jIT8CSsOmUVKmaA"&amp;"/edit?gid=1761053510"",
          ""Haris_Form responses 1!$AQ:$AQ"")=6)
      ),
      1
    ),
    ""0""
  ),
  ""Form not found""
)
"),"Form not found")</f>
        <v>Form not found</v>
      </c>
      <c r="V139" s="247" t="str">
        <f>IFERROR(__xludf.DUMMYFUNCTION("IFERROR(
  INDEX(
    FILTER(
      Transcription!$AJ:$AJ,
      TRIM(CLEAN(TEXT(Transcription!$F:$F, ""@""))) = TRIM(CLEAN(TEXT($D139, ""@""))),
      Transcription!$AO:$AO = 6
    ),
    1
  ),
  ""Not Found""
)
"),"Not Found")</f>
        <v>Not Found</v>
      </c>
      <c r="Z139" s="10">
        <f t="shared" si="1"/>
        <v>3</v>
      </c>
      <c r="AA139" s="10">
        <f t="shared" si="2"/>
        <v>0</v>
      </c>
    </row>
    <row r="140">
      <c r="A140" s="8" t="str">
        <f>VLOOKUP($D140,Sheet6!$B:$G,5,FALSE)</f>
        <v>Muzaffargarh</v>
      </c>
      <c r="B140" s="232" t="str">
        <f>VLOOKUP($D140,Sheet6!$B:$G,4,FALSE)</f>
        <v>Control</v>
      </c>
      <c r="C140" s="8">
        <v>2.0</v>
      </c>
      <c r="D140" s="8" t="s">
        <v>4586</v>
      </c>
      <c r="E1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TRIM(CLEAN(TEXT($D140, ""@""))),
      IMPORTRANGE(""https://docs.google.com/spreadsheets/d/1DccNxjBgurEr0ABkI_"&amp;"rBagJT5phB5HaHG5N_mTm_BiA/edit?gid=1382299152#gid=1382299152"", ""Form responses 1!$Z:$Z"") = 1
    ),
    1
  ),
  ""Not Found""
)
"),"https://drive.google.com/file/d/1VDF4OGz0LLwM8trztTChnkz6Q48zBBQn/view?usp=drive_link")</f>
        <v>https://drive.google.com/file/d/1VDF4OGz0LLwM8trztTChnkz6Q48zBBQn/view?usp=drive_link</v>
      </c>
      <c r="F1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1!$E:$E"")=$D140) *
        (IMPORTRANGE(""https://docs.google.com/spreadsheets/d/161aHT6vVT3SLneTKD19N5qVWtnj_jIT8CSsOmUVKmaA"&amp;"/edit?gid=1761053510"",
          ""Haris_Form responses 1!$AQ:$AQ"")=1)
      ),
      1
    ),
    ""0""
  ),
  ""Form not found""
)
"),"1")</f>
        <v>1</v>
      </c>
      <c r="G140" s="245" t="str">
        <f>IFERROR(__xludf.DUMMYFUNCTION("IFERROR(
  INDEX(
    FILTER(
      Transcription!$AJ:$AJ,
      TRIM(CLEAN(TEXT(Transcription!$F:$F, ""@""))) = TRIM(CLEAN(TEXT($D140, ""@""))),
      Transcription!$AO:$AO = 1
    ),
    1
  ),
  ""Not Found""
)
"),"https://drive.google.com/open?id=1acfPfs_uZs9077l025B91Gkpgx1SpyBw")</f>
        <v>https://drive.google.com/open?id=1acfPfs_uZs9077l025B91Gkpgx1SpyBw</v>
      </c>
      <c r="H14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TRIM(CLEAN(TEXT($D140, ""@""))),
      IMPORTRANGE(""https://docs.google.com/spreadsheets/d/1DccNxjBgurEr0ABkI_"&amp;"rBagJT5phB5HaHG5N_mTm_BiA/edit?gid=1382299152#gid=1382299152"", ""Form responses 1!$Z:$Z"") = 2
    ),
    1
  ),
  ""Not Found""
)
"),"Not Found")</f>
        <v>Not Found</v>
      </c>
      <c r="I1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1!$E:$E"")=$D140) *
        (IMPORTRANGE(""https://docs.google.com/spreadsheets/d/161aHT6vVT3SLneTKD19N5qVWtnj_jIT8CSsOmUVKmaA"&amp;"/edit?gid=1761053510"",
          ""Haris_Form responses 1!$AQ:$AQ"")=2)
      ),
      1
    ),
    ""0""
  ),
  ""Form not found""
)
"),"Form not found")</f>
        <v>Form not found</v>
      </c>
      <c r="J140" s="247" t="str">
        <f>IFERROR(__xludf.DUMMYFUNCTION("IFERROR(
  INDEX(
    FILTER(
      Transcription!$AJ:$AJ,
      TRIM(CLEAN(TEXT(Transcription!$F:$F, ""@""))) = TRIM(CLEAN(TEXT($D140, ""@""))),
      Transcription!$AO:$AO = 2
    ),
    1
  ),
  ""Not Found""
)
"),"Not Found")</f>
        <v>Not Found</v>
      </c>
      <c r="K1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TRIM(CLEAN(TEXT($D140, ""@""))),
      IMPORTRANGE(""https://docs.google.com/spreadsheets/d/1DccNxjBgurEr0ABkI_"&amp;"rBagJT5phB5HaHG5N_mTm_BiA/edit?gid=1382299152#gid=1382299152"", ""Form responses 1!$Z:$Z"") = 3
    ),
    1
  ),
  ""Not Found""
)
"),"https://drive.google.com/open?id=1KsLZ6pml-TA3c5c8z5iG0i6p1IQ28liw")</f>
        <v>https://drive.google.com/open?id=1KsLZ6pml-TA3c5c8z5iG0i6p1IQ28liw</v>
      </c>
      <c r="L1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1!$E:$E"")=$D140) *
        (IMPORTRANGE(""https://docs.google.com/spreadsheets/d/161aHT6vVT3SLneTKD19N5qVWtnj_jIT8CSsOmUVKmaA"&amp;"/edit?gid=1761053510"",
          ""Haris_Form responses 1!$AQ:$AQ"")=3)
      ),
      1
    ),
    ""0""
  ),
  ""Form not found""
)
"),"3")</f>
        <v>3</v>
      </c>
      <c r="M140" s="245" t="str">
        <f>IFERROR(__xludf.DUMMYFUNCTION("IFERROR(
  INDEX(
    FILTER(
      Transcription!$AJ:$AJ,
      TRIM(CLEAN(TEXT(Transcription!$F:$F, ""@""))) = TRIM(CLEAN(TEXT($D140, ""@""))),
      Transcription!$AO:$AO = 3
    ),
    1
  ),
  ""Not Found""
)
"),"https://drive.google.com/open?id=15rwtr8VLU3EIN_FP2bal6VaqzXtkJPS6")</f>
        <v>https://drive.google.com/open?id=15rwtr8VLU3EIN_FP2bal6VaqzXtkJPS6</v>
      </c>
      <c r="N14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TRIM(CLEAN(TEXT($D140, ""@""))),
      IMPORTRANGE(""https://docs.google.com/spreadsheets/d/1DccNxjBgurEr0ABkI_"&amp;"rBagJT5phB5HaHG5N_mTm_BiA/edit?gid=1382299152#gid=1382299152"", ""Form responses 1!$Z:$Z"") = 4
    ),
    1
  ),
  ""Not Found""
)
"),"Not Found")</f>
        <v>Not Found</v>
      </c>
      <c r="O1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1!$E:$E"")=$D140) *
        (IMPORTRANGE(""https://docs.google.com/spreadsheets/d/161aHT6vVT3SLneTKD19N5qVWtnj_jIT8CSsOmUVKmaA"&amp;"/edit?gid=1761053510"",
          ""Haris_Form responses 1!$AQ:$AQ"")=4)
      ),
      1
    ),
    ""0""
  ),
  ""Form not found""
)
"),"Form not found")</f>
        <v>Form not found</v>
      </c>
      <c r="P140" s="247" t="str">
        <f>IFERROR(__xludf.DUMMYFUNCTION("IFERROR(
  INDEX(
    FILTER(
      Transcription!$AJ:$AJ,
      TRIM(CLEAN(TEXT(Transcription!$F:$F, ""@""))) = TRIM(CLEAN(TEXT($D140, ""@""))),
      Transcription!$AO:$AO = 4
    ),
    1
  ),
  ""Not Found""
)
"),"Not Found")</f>
        <v>Not Found</v>
      </c>
      <c r="Q14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TRIM(CLEAN(TEXT($D140, ""@""))),
      IMPORTRANGE(""https://docs.google.com/spreadsheets/d/1DccNxjBgurEr0ABkI_"&amp;"rBagJT5phB5HaHG5N_mTm_BiA/edit?gid=1382299152#gid=1382299152"", ""Form responses 1!$Z:$Z"") = 5
    ),
    1
  ),
  ""Not Found""
)
"),"Not Found")</f>
        <v>Not Found</v>
      </c>
      <c r="R1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1!$E:$E"")=$D140) *
        (IMPORTRANGE(""https://docs.google.com/spreadsheets/d/161aHT6vVT3SLneTKD19N5qVWtnj_jIT8CSsOmUVKmaA"&amp;"/edit?gid=1761053510"",
          ""Haris_Form responses 1!$AQ:$AQ"")=5)
      ),
      1
    ),
    ""0""
  ),
  ""Form not found""
)
"),"Form not found")</f>
        <v>Form not found</v>
      </c>
      <c r="S140" s="247" t="str">
        <f>IFERROR(__xludf.DUMMYFUNCTION("IFERROR(
  INDEX(
    FILTER(
      Transcription!$AJ:$AJ,
      TRIM(CLEAN(TEXT(Transcription!$F:$F, ""@""))) = TRIM(CLEAN(TEXT($D140, ""@""))),
      Transcription!$AO:$AO = 5
    ),
    1
  ),
  ""Not Found""
)
"),"Not Found")</f>
        <v>Not Found</v>
      </c>
      <c r="T14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TRIM(CLEAN(TEXT($D140, ""@""))),
      IMPORTRANGE(""https://docs.google.com/spreadsheets/d/1DccNxjBgurEr0ABkI_"&amp;"rBagJT5phB5HaHG5N_mTm_BiA/edit?gid=1382299152#gid=1382299152"", ""Form responses 1!$Z:$Z"") = 6
    ),
    1
  ),
  ""Not Found""
)
"),"Not Found")</f>
        <v>Not Found</v>
      </c>
      <c r="U1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1!$E:$E"")=$D140) *
        (IMPORTRANGE(""https://docs.google.com/spreadsheets/d/161aHT6vVT3SLneTKD19N5qVWtnj_jIT8CSsOmUVKmaA"&amp;"/edit?gid=1761053510"",
          ""Haris_Form responses 1!$AQ:$AQ"")=6)
      ),
      1
    ),
    ""0""
  ),
  ""Form not found""
)
"),"Form not found")</f>
        <v>Form not found</v>
      </c>
      <c r="V140" s="247" t="str">
        <f>IFERROR(__xludf.DUMMYFUNCTION("IFERROR(
  INDEX(
    FILTER(
      Transcription!$AJ:$AJ,
      TRIM(CLEAN(TEXT(Transcription!$F:$F, ""@""))) = TRIM(CLEAN(TEXT($D140, ""@""))),
      Transcription!$AO:$AO = 6
    ),
    1
  ),
  ""Not Found""
)
"),"Not Found")</f>
        <v>Not Found</v>
      </c>
      <c r="Z140" s="10">
        <f t="shared" si="1"/>
        <v>2</v>
      </c>
      <c r="AA140" s="10">
        <f t="shared" si="2"/>
        <v>0</v>
      </c>
    </row>
    <row r="141">
      <c r="A141" s="8" t="str">
        <f>VLOOKUP($D141,Sheet6!$B:$G,5,FALSE)</f>
        <v>Multan</v>
      </c>
      <c r="B141" s="232" t="str">
        <f>VLOOKUP($D141,Sheet6!$B:$G,4,FALSE)</f>
        <v>Control</v>
      </c>
      <c r="C141" s="8">
        <v>2.0</v>
      </c>
      <c r="D141" s="8" t="s">
        <v>4587</v>
      </c>
      <c r="E14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TRIM(CLEAN(TEXT($D141, ""@""))),
      IMPORTRANGE(""https://docs.google.com/spreadsheets/d/1DccNxjBgurEr0ABkI_"&amp;"rBagJT5phB5HaHG5N_mTm_BiA/edit?gid=1382299152#gid=1382299152"", ""Form responses 1!$Z:$Z"") = 1
    ),
    1
  ),
  ""Not Found""
)
"),"https://drive.google.com/open?id=1IAC0em-qxuam4fMn-ohWTuJP_a575R8W")</f>
        <v>https://drive.google.com/open?id=1IAC0em-qxuam4fMn-ohWTuJP_a575R8W</v>
      </c>
      <c r="F1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1!$E:$E"")=$D141) *
        (IMPORTRANGE(""https://docs.google.com/spreadsheets/d/161aHT6vVT3SLneTKD19N5qVWtnj_jIT8CSsOmUVKmaA"&amp;"/edit?gid=1761053510"",
          ""Haris_Form responses 1!$AQ:$AQ"")=1)
      ),
      1
    ),
    ""0""
  ),
  ""Form not found""
)
"),"1")</f>
        <v>1</v>
      </c>
      <c r="G141" s="245" t="str">
        <f>IFERROR(__xludf.DUMMYFUNCTION("IFERROR(
  INDEX(
    FILTER(
      Transcription!$AJ:$AJ,
      TRIM(CLEAN(TEXT(Transcription!$F:$F, ""@""))) = TRIM(CLEAN(TEXT($D141, ""@""))),
      Transcription!$AO:$AO = 1
    ),
    1
  ),
  ""Not Found""
)
"),"https://drive.google.com/open?id=1nj6wmzJyzCQonf6ZdsPDicTvgEJSzwc0")</f>
        <v>https://drive.google.com/open?id=1nj6wmzJyzCQonf6ZdsPDicTvgEJSzwc0</v>
      </c>
      <c r="H1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TRIM(CLEAN(TEXT($D141, ""@""))),
      IMPORTRANGE(""https://docs.google.com/spreadsheets/d/1DccNxjBgurEr0ABkI_"&amp;"rBagJT5phB5HaHG5N_mTm_BiA/edit?gid=1382299152#gid=1382299152"", ""Form responses 1!$Z:$Z"") = 2
    ),
    1
  ),
  ""Not Found""
)
"),"Not Found")</f>
        <v>Not Found</v>
      </c>
      <c r="I1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1!$E:$E"")=$D141) *
        (IMPORTRANGE(""https://docs.google.com/spreadsheets/d/161aHT6vVT3SLneTKD19N5qVWtnj_jIT8CSsOmUVKmaA"&amp;"/edit?gid=1761053510"",
          ""Haris_Form responses 1!$AQ:$AQ"")=2)
      ),
      1
    ),
    ""0""
  ),
  ""Form not found""
)
"),"Form not found")</f>
        <v>Form not found</v>
      </c>
      <c r="J141" s="247" t="str">
        <f>IFERROR(__xludf.DUMMYFUNCTION("IFERROR(
  INDEX(
    FILTER(
      Transcription!$AJ:$AJ,
      TRIM(CLEAN(TEXT(Transcription!$F:$F, ""@""))) = TRIM(CLEAN(TEXT($D141, ""@""))),
      Transcription!$AO:$AO = 2
    ),
    1
  ),
  ""Not Found""
)
"),"Not Found")</f>
        <v>Not Found</v>
      </c>
      <c r="K14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TRIM(CLEAN(TEXT($D141, ""@""))),
      IMPORTRANGE(""https://docs.google.com/spreadsheets/d/1DccNxjBgurEr0ABkI_"&amp;"rBagJT5phB5HaHG5N_mTm_BiA/edit?gid=1382299152#gid=1382299152"", ""Form responses 1!$Z:$Z"") = 3
    ),
    1
  ),
  ""Not Found""
)
"),"https://drive.google.com/open?id=1znQ1e2xgIl-xER_YhHLktewaGgw-QQQR")</f>
        <v>https://drive.google.com/open?id=1znQ1e2xgIl-xER_YhHLktewaGgw-QQQR</v>
      </c>
      <c r="L1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1!$E:$E"")=$D141) *
        (IMPORTRANGE(""https://docs.google.com/spreadsheets/d/161aHT6vVT3SLneTKD19N5qVWtnj_jIT8CSsOmUVKmaA"&amp;"/edit?gid=1761053510"",
          ""Haris_Form responses 1!$AQ:$AQ"")=3)
      ),
      1
    ),
    ""0""
  ),
  ""Form not found""
)
"),"3")</f>
        <v>3</v>
      </c>
      <c r="M141" s="245" t="str">
        <f>IFERROR(__xludf.DUMMYFUNCTION("IFERROR(
  INDEX(
    FILTER(
      Transcription!$AJ:$AJ,
      TRIM(CLEAN(TEXT(Transcription!$F:$F, ""@""))) = TRIM(CLEAN(TEXT($D141, ""@""))),
      Transcription!$AO:$AO = 3
    ),
    1
  ),
  ""Not Found""
)
"),"https://drive.google.com/open?id=1MyPVX4e74m2yDpa3Ceum6oBSgPKLqgDVNg7XL_H6Dzs")</f>
        <v>https://drive.google.com/open?id=1MyPVX4e74m2yDpa3Ceum6oBSgPKLqgDVNg7XL_H6Dzs</v>
      </c>
      <c r="N1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TRIM(CLEAN(TEXT($D141, ""@""))),
      IMPORTRANGE(""https://docs.google.com/spreadsheets/d/1DccNxjBgurEr0ABkI_"&amp;"rBagJT5phB5HaHG5N_mTm_BiA/edit?gid=1382299152#gid=1382299152"", ""Form responses 1!$Z:$Z"") = 4
    ),
    1
  ),
  ""Not Found""
)
"),"Not Found")</f>
        <v>Not Found</v>
      </c>
      <c r="O1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1!$E:$E"")=$D141) *
        (IMPORTRANGE(""https://docs.google.com/spreadsheets/d/161aHT6vVT3SLneTKD19N5qVWtnj_jIT8CSsOmUVKmaA"&amp;"/edit?gid=1761053510"",
          ""Haris_Form responses 1!$AQ:$AQ"")=4)
      ),
      1
    ),
    ""0""
  ),
  ""Form not found""
)
"),"Form not found")</f>
        <v>Form not found</v>
      </c>
      <c r="P141" s="247" t="str">
        <f>IFERROR(__xludf.DUMMYFUNCTION("IFERROR(
  INDEX(
    FILTER(
      Transcription!$AJ:$AJ,
      TRIM(CLEAN(TEXT(Transcription!$F:$F, ""@""))) = TRIM(CLEAN(TEXT($D141, ""@""))),
      Transcription!$AO:$AO = 4
    ),
    1
  ),
  ""Not Found""
)
"),"Not Found")</f>
        <v>Not Found</v>
      </c>
      <c r="Q1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TRIM(CLEAN(TEXT($D141, ""@""))),
      IMPORTRANGE(""https://docs.google.com/spreadsheets/d/1DccNxjBgurEr0ABkI_"&amp;"rBagJT5phB5HaHG5N_mTm_BiA/edit?gid=1382299152#gid=1382299152"", ""Form responses 1!$Z:$Z"") = 5
    ),
    1
  ),
  ""Not Found""
)
"),"Not Found")</f>
        <v>Not Found</v>
      </c>
      <c r="R1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1!$E:$E"")=$D141) *
        (IMPORTRANGE(""https://docs.google.com/spreadsheets/d/161aHT6vVT3SLneTKD19N5qVWtnj_jIT8CSsOmUVKmaA"&amp;"/edit?gid=1761053510"",
          ""Haris_Form responses 1!$AQ:$AQ"")=5)
      ),
      1
    ),
    ""0""
  ),
  ""Form not found""
)
"),"Form not found")</f>
        <v>Form not found</v>
      </c>
      <c r="S141" s="247" t="str">
        <f>IFERROR(__xludf.DUMMYFUNCTION("IFERROR(
  INDEX(
    FILTER(
      Transcription!$AJ:$AJ,
      TRIM(CLEAN(TEXT(Transcription!$F:$F, ""@""))) = TRIM(CLEAN(TEXT($D141, ""@""))),
      Transcription!$AO:$AO = 5
    ),
    1
  ),
  ""Not Found""
)
"),"Not Found")</f>
        <v>Not Found</v>
      </c>
      <c r="T1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TRIM(CLEAN(TEXT($D141, ""@""))),
      IMPORTRANGE(""https://docs.google.com/spreadsheets/d/1DccNxjBgurEr0ABkI_"&amp;"rBagJT5phB5HaHG5N_mTm_BiA/edit?gid=1382299152#gid=1382299152"", ""Form responses 1!$Z:$Z"") = 6
    ),
    1
  ),
  ""Not Found""
)
"),"Not Found")</f>
        <v>Not Found</v>
      </c>
      <c r="U1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1!$E:$E"")=$D141) *
        (IMPORTRANGE(""https://docs.google.com/spreadsheets/d/161aHT6vVT3SLneTKD19N5qVWtnj_jIT8CSsOmUVKmaA"&amp;"/edit?gid=1761053510"",
          ""Haris_Form responses 1!$AQ:$AQ"")=6)
      ),
      1
    ),
    ""0""
  ),
  ""Form not found""
)
"),"Form not found")</f>
        <v>Form not found</v>
      </c>
      <c r="V141" s="247" t="str">
        <f>IFERROR(__xludf.DUMMYFUNCTION("IFERROR(
  INDEX(
    FILTER(
      Transcription!$AJ:$AJ,
      TRIM(CLEAN(TEXT(Transcription!$F:$F, ""@""))) = TRIM(CLEAN(TEXT($D141, ""@""))),
      Transcription!$AO:$AO = 6
    ),
    1
  ),
  ""Not Found""
)
"),"Not Found")</f>
        <v>Not Found</v>
      </c>
      <c r="Z141" s="10">
        <f t="shared" si="1"/>
        <v>2</v>
      </c>
      <c r="AA141" s="10">
        <f t="shared" si="2"/>
        <v>0</v>
      </c>
    </row>
    <row r="142">
      <c r="A142" s="8" t="str">
        <f>VLOOKUP($D142,Sheet6!$B:$G,5,FALSE)</f>
        <v>Multan</v>
      </c>
      <c r="B142" s="232" t="str">
        <f>VLOOKUP($D142,Sheet6!$B:$G,4,FALSE)</f>
        <v>Control</v>
      </c>
      <c r="C142" s="8">
        <v>2.0</v>
      </c>
      <c r="D142" s="8" t="s">
        <v>4588</v>
      </c>
      <c r="E1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TRIM(CLEAN(TEXT($D142, ""@""))),
      IMPORTRANGE(""https://docs.google.com/spreadsheets/d/1DccNxjBgurEr0ABkI_"&amp;"rBagJT5phB5HaHG5N_mTm_BiA/edit?gid=1382299152#gid=1382299152"", ""Form responses 1!$Z:$Z"") = 1
    ),
    1
  ),
  ""Not Found""
)
"),"https://drive.google.com/open?id=1il8VlVf4u1DsmGYlZlmhD3Bqg8NFu3ak")</f>
        <v>https://drive.google.com/open?id=1il8VlVf4u1DsmGYlZlmhD3Bqg8NFu3ak</v>
      </c>
      <c r="F1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1!$E:$E"")=$D142) *
        (IMPORTRANGE(""https://docs.google.com/spreadsheets/d/161aHT6vVT3SLneTKD19N5qVWtnj_jIT8CSsOmUVKmaA"&amp;"/edit?gid=1761053510"",
          ""Haris_Form responses 1!$AQ:$AQ"")=1)
      ),
      1
    ),
    ""0""
  ),
  ""Form not found""
)
"),"1")</f>
        <v>1</v>
      </c>
      <c r="G142" s="245" t="str">
        <f>IFERROR(__xludf.DUMMYFUNCTION("IFERROR(
  INDEX(
    FILTER(
      Transcription!$AJ:$AJ,
      TRIM(CLEAN(TEXT(Transcription!$F:$F, ""@""))) = TRIM(CLEAN(TEXT($D142, ""@""))),
      Transcription!$AO:$AO = 1
    ),
    1
  ),
  ""Not Found""
)
"),"https://drive.google.com/open?id=1UDQVwYci6X0tjHZzkQf19vJC8ml_SzofCEA1AZsjZdM")</f>
        <v>https://drive.google.com/open?id=1UDQVwYci6X0tjHZzkQf19vJC8ml_SzofCEA1AZsjZdM</v>
      </c>
      <c r="H14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TRIM(CLEAN(TEXT($D142, ""@""))),
      IMPORTRANGE(""https://docs.google.com/spreadsheets/d/1DccNxjBgurEr0ABkI_"&amp;"rBagJT5phB5HaHG5N_mTm_BiA/edit?gid=1382299152#gid=1382299152"", ""Form responses 1!$Z:$Z"") = 2
    ),
    1
  ),
  ""Not Found""
)
"),"Not Found")</f>
        <v>Not Found</v>
      </c>
      <c r="I1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1!$E:$E"")=$D142) *
        (IMPORTRANGE(""https://docs.google.com/spreadsheets/d/161aHT6vVT3SLneTKD19N5qVWtnj_jIT8CSsOmUVKmaA"&amp;"/edit?gid=1761053510"",
          ""Haris_Form responses 1!$AQ:$AQ"")=2)
      ),
      1
    ),
    ""0""
  ),
  ""Form not found""
)
"),"Form not found")</f>
        <v>Form not found</v>
      </c>
      <c r="J142" s="247" t="str">
        <f>IFERROR(__xludf.DUMMYFUNCTION("IFERROR(
  INDEX(
    FILTER(
      Transcription!$AJ:$AJ,
      TRIM(CLEAN(TEXT(Transcription!$F:$F, ""@""))) = TRIM(CLEAN(TEXT($D142, ""@""))),
      Transcription!$AO:$AO = 2
    ),
    1
  ),
  ""Not Found""
)
"),"Not Found")</f>
        <v>Not Found</v>
      </c>
      <c r="K1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TRIM(CLEAN(TEXT($D142, ""@""))),
      IMPORTRANGE(""https://docs.google.com/spreadsheets/d/1DccNxjBgurEr0ABkI_"&amp;"rBagJT5phB5HaHG5N_mTm_BiA/edit?gid=1382299152#gid=1382299152"", ""Form responses 1!$Z:$Z"") = 3
    ),
    1
  ),
  ""Not Found""
)
"),"https://drive.google.com/open?id=1Irp6_73Iyj6GJIYZ8nYigggzj56vc_cB")</f>
        <v>https://drive.google.com/open?id=1Irp6_73Iyj6GJIYZ8nYigggzj56vc_cB</v>
      </c>
      <c r="L1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1!$E:$E"")=$D142) *
        (IMPORTRANGE(""https://docs.google.com/spreadsheets/d/161aHT6vVT3SLneTKD19N5qVWtnj_jIT8CSsOmUVKmaA"&amp;"/edit?gid=1761053510"",
          ""Haris_Form responses 1!$AQ:$AQ"")=3)
      ),
      1
    ),
    ""0""
  ),
  ""Form not found""
)
"),"3")</f>
        <v>3</v>
      </c>
      <c r="M142" s="245" t="str">
        <f>IFERROR(__xludf.DUMMYFUNCTION("IFERROR(
  INDEX(
    FILTER(
      Transcription!$AJ:$AJ,
      TRIM(CLEAN(TEXT(Transcription!$F:$F, ""@""))) = TRIM(CLEAN(TEXT($D142, ""@""))),
      Transcription!$AO:$AO = 3
    ),
    1
  ),
  ""Not Found""
)
"),"https://drive.google.com/open?id=1GF1z3Rljm701VSWb1KTFpww8Dwknz0vX")</f>
        <v>https://drive.google.com/open?id=1GF1z3Rljm701VSWb1KTFpww8Dwknz0vX</v>
      </c>
      <c r="N14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TRIM(CLEAN(TEXT($D142, ""@""))),
      IMPORTRANGE(""https://docs.google.com/spreadsheets/d/1DccNxjBgurEr0ABkI_"&amp;"rBagJT5phB5HaHG5N_mTm_BiA/edit?gid=1382299152#gid=1382299152"", ""Form responses 1!$Z:$Z"") = 4
    ),
    1
  ),
  ""Not Found""
)
"),"Not Found")</f>
        <v>Not Found</v>
      </c>
      <c r="O1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1!$E:$E"")=$D142) *
        (IMPORTRANGE(""https://docs.google.com/spreadsheets/d/161aHT6vVT3SLneTKD19N5qVWtnj_jIT8CSsOmUVKmaA"&amp;"/edit?gid=1761053510"",
          ""Haris_Form responses 1!$AQ:$AQ"")=4)
      ),
      1
    ),
    ""0""
  ),
  ""Form not found""
)
"),"Form not found")</f>
        <v>Form not found</v>
      </c>
      <c r="P142" s="247" t="str">
        <f>IFERROR(__xludf.DUMMYFUNCTION("IFERROR(
  INDEX(
    FILTER(
      Transcription!$AJ:$AJ,
      TRIM(CLEAN(TEXT(Transcription!$F:$F, ""@""))) = TRIM(CLEAN(TEXT($D142, ""@""))),
      Transcription!$AO:$AO = 4
    ),
    1
  ),
  ""Not Found""
)
"),"Not Found")</f>
        <v>Not Found</v>
      </c>
      <c r="Q14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TRIM(CLEAN(TEXT($D142, ""@""))),
      IMPORTRANGE(""https://docs.google.com/spreadsheets/d/1DccNxjBgurEr0ABkI_"&amp;"rBagJT5phB5HaHG5N_mTm_BiA/edit?gid=1382299152#gid=1382299152"", ""Form responses 1!$Z:$Z"") = 5
    ),
    1
  ),
  ""Not Found""
)
"),"Not Found")</f>
        <v>Not Found</v>
      </c>
      <c r="R1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1!$E:$E"")=$D142) *
        (IMPORTRANGE(""https://docs.google.com/spreadsheets/d/161aHT6vVT3SLneTKD19N5qVWtnj_jIT8CSsOmUVKmaA"&amp;"/edit?gid=1761053510"",
          ""Haris_Form responses 1!$AQ:$AQ"")=5)
      ),
      1
    ),
    ""0""
  ),
  ""Form not found""
)
"),"Form not found")</f>
        <v>Form not found</v>
      </c>
      <c r="S142" s="247" t="str">
        <f>IFERROR(__xludf.DUMMYFUNCTION("IFERROR(
  INDEX(
    FILTER(
      Transcription!$AJ:$AJ,
      TRIM(CLEAN(TEXT(Transcription!$F:$F, ""@""))) = TRIM(CLEAN(TEXT($D142, ""@""))),
      Transcription!$AO:$AO = 5
    ),
    1
  ),
  ""Not Found""
)
"),"Not Found")</f>
        <v>Not Found</v>
      </c>
      <c r="T14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TRIM(CLEAN(TEXT($D142, ""@""))),
      IMPORTRANGE(""https://docs.google.com/spreadsheets/d/1DccNxjBgurEr0ABkI_"&amp;"rBagJT5phB5HaHG5N_mTm_BiA/edit?gid=1382299152#gid=1382299152"", ""Form responses 1!$Z:$Z"") = 6
    ),
    1
  ),
  ""Not Found""
)
"),"Not Found")</f>
        <v>Not Found</v>
      </c>
      <c r="U1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1!$E:$E"")=$D142) *
        (IMPORTRANGE(""https://docs.google.com/spreadsheets/d/161aHT6vVT3SLneTKD19N5qVWtnj_jIT8CSsOmUVKmaA"&amp;"/edit?gid=1761053510"",
          ""Haris_Form responses 1!$AQ:$AQ"")=6)
      ),
      1
    ),
    ""0""
  ),
  ""Form not found""
)
"),"Form not found")</f>
        <v>Form not found</v>
      </c>
      <c r="V142" s="247" t="str">
        <f>IFERROR(__xludf.DUMMYFUNCTION("IFERROR(
  INDEX(
    FILTER(
      Transcription!$AJ:$AJ,
      TRIM(CLEAN(TEXT(Transcription!$F:$F, ""@""))) = TRIM(CLEAN(TEXT($D142, ""@""))),
      Transcription!$AO:$AO = 6
    ),
    1
  ),
  ""Not Found""
)
"),"Not Found")</f>
        <v>Not Found</v>
      </c>
      <c r="Z142" s="10">
        <f t="shared" si="1"/>
        <v>2</v>
      </c>
      <c r="AA142" s="10">
        <f t="shared" si="2"/>
        <v>0</v>
      </c>
    </row>
    <row r="143">
      <c r="A143" s="8" t="str">
        <f>VLOOKUP($D143,Sheet6!$B:$G,5,FALSE)</f>
        <v>Multan</v>
      </c>
      <c r="B143" s="232" t="str">
        <f>VLOOKUP($D143,Sheet6!$B:$G,4,FALSE)</f>
        <v>Control</v>
      </c>
      <c r="C143" s="8">
        <v>2.0</v>
      </c>
      <c r="D143" s="8" t="s">
        <v>4589</v>
      </c>
      <c r="E14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TRIM(CLEAN(TEXT($D143, ""@""))),
      IMPORTRANGE(""https://docs.google.com/spreadsheets/d/1DccNxjBgurEr0ABkI_"&amp;"rBagJT5phB5HaHG5N_mTm_BiA/edit?gid=1382299152#gid=1382299152"", ""Form responses 1!$Z:$Z"") = 1
    ),
    1
  ),
  ""Not Found""
)
"),"https://drive.google.com/open?id=1Sgpf8xDKbapEI2wgJw6fbjB8RgUJQ7IB")</f>
        <v>https://drive.google.com/open?id=1Sgpf8xDKbapEI2wgJw6fbjB8RgUJQ7IB</v>
      </c>
      <c r="F1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1!$E:$E"")=$D143) *
        (IMPORTRANGE(""https://docs.google.com/spreadsheets/d/161aHT6vVT3SLneTKD19N5qVWtnj_jIT8CSsOmUVKmaA"&amp;"/edit?gid=1761053510"",
          ""Haris_Form responses 1!$AQ:$AQ"")=1)
      ),
      1
    ),
    ""0""
  ),
  ""Form not found""
)
"),"1")</f>
        <v>1</v>
      </c>
      <c r="G143" s="245" t="str">
        <f>IFERROR(__xludf.DUMMYFUNCTION("IFERROR(
  INDEX(
    FILTER(
      Transcription!$AJ:$AJ,
      TRIM(CLEAN(TEXT(Transcription!$F:$F, ""@""))) = TRIM(CLEAN(TEXT($D143, ""@""))),
      Transcription!$AO:$AO = 1
    ),
    1
  ),
  ""Not Found""
)
"),"https://drive.google.com/open?id=1aMQy2ueDGj0iVU60KPWZfqLP8aPxSPcE_Ql0XReKn58")</f>
        <v>https://drive.google.com/open?id=1aMQy2ueDGj0iVU60KPWZfqLP8aPxSPcE_Ql0XReKn58</v>
      </c>
      <c r="H1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TRIM(CLEAN(TEXT($D143, ""@""))),
      IMPORTRANGE(""https://docs.google.com/spreadsheets/d/1DccNxjBgurEr0ABkI_"&amp;"rBagJT5phB5HaHG5N_mTm_BiA/edit?gid=1382299152#gid=1382299152"", ""Form responses 1!$Z:$Z"") = 2
    ),
    1
  ),
  ""Not Found""
)
"),"Not Found")</f>
        <v>Not Found</v>
      </c>
      <c r="I1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1!$E:$E"")=$D143) *
        (IMPORTRANGE(""https://docs.google.com/spreadsheets/d/161aHT6vVT3SLneTKD19N5qVWtnj_jIT8CSsOmUVKmaA"&amp;"/edit?gid=1761053510"",
          ""Haris_Form responses 1!$AQ:$AQ"")=2)
      ),
      1
    ),
    ""0""
  ),
  ""Form not found""
)
"),"Form not found")</f>
        <v>Form not found</v>
      </c>
      <c r="J143" s="247" t="str">
        <f>IFERROR(__xludf.DUMMYFUNCTION("IFERROR(
  INDEX(
    FILTER(
      Transcription!$AJ:$AJ,
      TRIM(CLEAN(TEXT(Transcription!$F:$F, ""@""))) = TRIM(CLEAN(TEXT($D143, ""@""))),
      Transcription!$AO:$AO = 2
    ),
    1
  ),
  ""Not Found""
)
"),"Not Found")</f>
        <v>Not Found</v>
      </c>
      <c r="K14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TRIM(CLEAN(TEXT($D143, ""@""))),
      IMPORTRANGE(""https://docs.google.com/spreadsheets/d/1DccNxjBgurEr0ABkI_"&amp;"rBagJT5phB5HaHG5N_mTm_BiA/edit?gid=1382299152#gid=1382299152"", ""Form responses 1!$Z:$Z"") = 3
    ),
    1
  ),
  ""Not Found""
)
"),"https://drive.google.com/file/d/1juxUoQRw28lmnVvPy-17WoZcfpXXPcP5/view?usp=drive_link")</f>
        <v>https://drive.google.com/file/d/1juxUoQRw28lmnVvPy-17WoZcfpXXPcP5/view?usp=drive_link</v>
      </c>
      <c r="L1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1!$E:$E"")=$D143) *
        (IMPORTRANGE(""https://docs.google.com/spreadsheets/d/161aHT6vVT3SLneTKD19N5qVWtnj_jIT8CSsOmUVKmaA"&amp;"/edit?gid=1761053510"",
          ""Haris_Form responses 1!$AQ:$AQ"")=3)
      ),
      1
    ),
    ""0""
  ),
  ""Form not found""
)
"),"3")</f>
        <v>3</v>
      </c>
      <c r="M143" s="263" t="str">
        <f>IFERROR(__xludf.DUMMYFUNCTION("IFERROR(
  INDEX(
    FILTER(
      Transcription!$AJ:$AJ,
      TRIM(CLEAN(TEXT(Transcription!$F:$F, ""@""))) = TRIM(CLEAN(TEXT($D143, ""@""))),
      Transcription!$AO:$AO = 3
    ),
    1
  ),
  ""Not Found""
)
"),"Not Found")</f>
        <v>Not Found</v>
      </c>
      <c r="N1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TRIM(CLEAN(TEXT($D143, ""@""))),
      IMPORTRANGE(""https://docs.google.com/spreadsheets/d/1DccNxjBgurEr0ABkI_"&amp;"rBagJT5phB5HaHG5N_mTm_BiA/edit?gid=1382299152#gid=1382299152"", ""Form responses 1!$Z:$Z"") = 4
    ),
    1
  ),
  ""Not Found""
)
"),"Not Found")</f>
        <v>Not Found</v>
      </c>
      <c r="O1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1!$E:$E"")=$D143) *
        (IMPORTRANGE(""https://docs.google.com/spreadsheets/d/161aHT6vVT3SLneTKD19N5qVWtnj_jIT8CSsOmUVKmaA"&amp;"/edit?gid=1761053510"",
          ""Haris_Form responses 1!$AQ:$AQ"")=4)
      ),
      1
    ),
    ""0""
  ),
  ""Form not found""
)
"),"Form not found")</f>
        <v>Form not found</v>
      </c>
      <c r="P143" s="247" t="str">
        <f>IFERROR(__xludf.DUMMYFUNCTION("IFERROR(
  INDEX(
    FILTER(
      Transcription!$AJ:$AJ,
      TRIM(CLEAN(TEXT(Transcription!$F:$F, ""@""))) = TRIM(CLEAN(TEXT($D143, ""@""))),
      Transcription!$AO:$AO = 4
    ),
    1
  ),
  ""Not Found""
)
"),"Not Found")</f>
        <v>Not Found</v>
      </c>
      <c r="Q1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TRIM(CLEAN(TEXT($D143, ""@""))),
      IMPORTRANGE(""https://docs.google.com/spreadsheets/d/1DccNxjBgurEr0ABkI_"&amp;"rBagJT5phB5HaHG5N_mTm_BiA/edit?gid=1382299152#gid=1382299152"", ""Form responses 1!$Z:$Z"") = 5
    ),
    1
  ),
  ""Not Found""
)
"),"Not Found")</f>
        <v>Not Found</v>
      </c>
      <c r="R1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1!$E:$E"")=$D143) *
        (IMPORTRANGE(""https://docs.google.com/spreadsheets/d/161aHT6vVT3SLneTKD19N5qVWtnj_jIT8CSsOmUVKmaA"&amp;"/edit?gid=1761053510"",
          ""Haris_Form responses 1!$AQ:$AQ"")=5)
      ),
      1
    ),
    ""0""
  ),
  ""Form not found""
)
"),"Form not found")</f>
        <v>Form not found</v>
      </c>
      <c r="S143" s="247" t="str">
        <f>IFERROR(__xludf.DUMMYFUNCTION("IFERROR(
  INDEX(
    FILTER(
      Transcription!$AJ:$AJ,
      TRIM(CLEAN(TEXT(Transcription!$F:$F, ""@""))) = TRIM(CLEAN(TEXT($D143, ""@""))),
      Transcription!$AO:$AO = 5
    ),
    1
  ),
  ""Not Found""
)
"),"Not Found")</f>
        <v>Not Found</v>
      </c>
      <c r="T1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TRIM(CLEAN(TEXT($D143, ""@""))),
      IMPORTRANGE(""https://docs.google.com/spreadsheets/d/1DccNxjBgurEr0ABkI_"&amp;"rBagJT5phB5HaHG5N_mTm_BiA/edit?gid=1382299152#gid=1382299152"", ""Form responses 1!$Z:$Z"") = 6
    ),
    1
  ),
  ""Not Found""
)
"),"Not Found")</f>
        <v>Not Found</v>
      </c>
      <c r="U1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1!$E:$E"")=$D143) *
        (IMPORTRANGE(""https://docs.google.com/spreadsheets/d/161aHT6vVT3SLneTKD19N5qVWtnj_jIT8CSsOmUVKmaA"&amp;"/edit?gid=1761053510"",
          ""Haris_Form responses 1!$AQ:$AQ"")=6)
      ),
      1
    ),
    ""0""
  ),
  ""Form not found""
)
"),"Form not found")</f>
        <v>Form not found</v>
      </c>
      <c r="V143" s="247" t="str">
        <f>IFERROR(__xludf.DUMMYFUNCTION("IFERROR(
  INDEX(
    FILTER(
      Transcription!$AJ:$AJ,
      TRIM(CLEAN(TEXT(Transcription!$F:$F, ""@""))) = TRIM(CLEAN(TEXT($D143, ""@""))),
      Transcription!$AO:$AO = 6
    ),
    1
  ),
  ""Not Found""
)
"),"Not Found")</f>
        <v>Not Found</v>
      </c>
      <c r="Z143" s="10">
        <f t="shared" si="1"/>
        <v>2</v>
      </c>
      <c r="AA143" s="10">
        <f t="shared" si="2"/>
        <v>0</v>
      </c>
      <c r="AB143" s="264" t="s">
        <v>4590</v>
      </c>
    </row>
    <row r="144">
      <c r="A144" s="8" t="str">
        <f>VLOOKUP($D144,Sheet6!$B:$G,5,FALSE)</f>
        <v>Multan</v>
      </c>
      <c r="B144" s="232" t="str">
        <f>VLOOKUP($D144,Sheet6!$B:$G,4,FALSE)</f>
        <v>Women Secular No Info Share</v>
      </c>
      <c r="C144" s="8">
        <v>2.0</v>
      </c>
      <c r="D144" s="8" t="s">
        <v>1095</v>
      </c>
      <c r="E1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TRIM(CLEAN(TEXT($D144, ""@""))),
      IMPORTRANGE(""https://docs.google.com/spreadsheets/d/1DccNxjBgurEr0ABkI_"&amp;"rBagJT5phB5HaHG5N_mTm_BiA/edit?gid=1382299152#gid=1382299152"", ""Form responses 1!$Z:$Z"") = 1
    ),
    1
  ),
  ""Not Found""
)
"),"The enumerator didn't reached in the mosque, so I contacted the Imam directly and did the rating.")</f>
        <v>The enumerator didn't reached in the mosque, so I contacted the Imam directly and did the rating.</v>
      </c>
      <c r="F1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1!$E:$E"")=$D144) *
        (IMPORTRANGE(""https://docs.google.com/spreadsheets/d/161aHT6vVT3SLneTKD19N5qVWtnj_jIT8CSsOmUVKmaA"&amp;"/edit?gid=1761053510"",
          ""Haris_Form responses 1!$AQ:$AQ"")=1)
      ),
      1
    ),
    ""0""
  ),
  ""Form not found""
)
"),"Form not found")</f>
        <v>Form not found</v>
      </c>
      <c r="G144" s="247" t="str">
        <f>IFERROR(__xludf.DUMMYFUNCTION("IFERROR(
  INDEX(
    FILTER(
      Transcription!$AJ:$AJ,
      TRIM(CLEAN(TEXT(Transcription!$F:$F, ""@""))) = TRIM(CLEAN(TEXT($D144, ""@""))),
      Transcription!$AO:$AO = 1
    ),
    1
  ),
  ""Not Found""
)
"),"Not Found")</f>
        <v>Not Found</v>
      </c>
      <c r="H14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TRIM(CLEAN(TEXT($D144, ""@""))),
      IMPORTRANGE(""https://docs.google.com/spreadsheets/d/1DccNxjBgurEr0ABkI_"&amp;"rBagJT5phB5HaHG5N_mTm_BiA/edit?gid=1382299152#gid=1382299152"", ""Form responses 1!$Z:$Z"") = 2
    ),
    1
  ),
  ""Not Found""
)
"),"https://drive.google.com/open?id=1jy7Veuai2R5HdztGFBjj4V1ixFoxGh5b")</f>
        <v>https://drive.google.com/open?id=1jy7Veuai2R5HdztGFBjj4V1ixFoxGh5b</v>
      </c>
      <c r="I1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1!$E:$E"")=$D144) *
        (IMPORTRANGE(""https://docs.google.com/spreadsheets/d/161aHT6vVT3SLneTKD19N5qVWtnj_jIT8CSsOmUVKmaA"&amp;"/edit?gid=1761053510"",
          ""Haris_Form responses 1!$AQ:$AQ"")=2)
      ),
      1
    ),
    ""0""
  ),
  ""Form not found""
)
"),"2")</f>
        <v>2</v>
      </c>
      <c r="J144" s="245" t="str">
        <f>IFERROR(__xludf.DUMMYFUNCTION("IFERROR(
  INDEX(
    FILTER(
      Transcription!$AJ:$AJ,
      TRIM(CLEAN(TEXT(Transcription!$F:$F, ""@""))) = TRIM(CLEAN(TEXT($D144, ""@""))),
      Transcription!$AO:$AO = 2
    ),
    1
  ),
  ""Not Found""
)
"),"https://drive.google.com/open?id=18kZt1DmIbSqB-LmkL79N9rEAYlOeYfpR")</f>
        <v>https://drive.google.com/open?id=18kZt1DmIbSqB-LmkL79N9rEAYlOeYfpR</v>
      </c>
      <c r="K14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TRIM(CLEAN(TEXT($D144, ""@""))),
      IMPORTRANGE(""https://docs.google.com/spreadsheets/d/1DccNxjBgurEr0ABkI_"&amp;"rBagJT5phB5HaHG5N_mTm_BiA/edit?gid=1382299152#gid=1382299152"", ""Form responses 1!$Z:$Z"") = 3
    ),
    1
  ),
  ""Not Found""
)
"),"https://drive.google.com/open?id=1LNNCHyg7wGWSZqLJ3_Bm40mtqgYCL1WJ")</f>
        <v>https://drive.google.com/open?id=1LNNCHyg7wGWSZqLJ3_Bm40mtqgYCL1WJ</v>
      </c>
      <c r="L1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1!$E:$E"")=$D144) *
        (IMPORTRANGE(""https://docs.google.com/spreadsheets/d/161aHT6vVT3SLneTKD19N5qVWtnj_jIT8CSsOmUVKmaA"&amp;"/edit?gid=1761053510"",
          ""Haris_Form responses 1!$AQ:$AQ"")=3)
      ),
      1
    ),
    ""0""
  ),
  ""Form not found""
)
"),"3")</f>
        <v>3</v>
      </c>
      <c r="M144" s="245" t="str">
        <f>IFERROR(__xludf.DUMMYFUNCTION("IFERROR(
  INDEX(
    FILTER(
      Transcription!$AJ:$AJ,
      TRIM(CLEAN(TEXT(Transcription!$F:$F, ""@""))) = TRIM(CLEAN(TEXT($D144, ""@""))),
      Transcription!$AO:$AO = 3
    ),
    1
  ),
  ""Not Found""
)
"),"https://drive.google.com/open?id=1t6KOLdxrxKQzkVKgqX9WpSkD4ywwJ3ZARnuL5A65inw")</f>
        <v>https://drive.google.com/open?id=1t6KOLdxrxKQzkVKgqX9WpSkD4ywwJ3ZARnuL5A65inw</v>
      </c>
      <c r="N1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TRIM(CLEAN(TEXT($D144, ""@""))),
      IMPORTRANGE(""https://docs.google.com/spreadsheets/d/1DccNxjBgurEr0ABkI_"&amp;"rBagJT5phB5HaHG5N_mTm_BiA/edit?gid=1382299152#gid=1382299152"", ""Form responses 1!$Z:$Z"") = 4
    ),
    1
  ),
  ""Not Found""
)
"),"Not Found")</f>
        <v>Not Found</v>
      </c>
      <c r="O1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1!$E:$E"")=$D144) *
        (IMPORTRANGE(""https://docs.google.com/spreadsheets/d/161aHT6vVT3SLneTKD19N5qVWtnj_jIT8CSsOmUVKmaA"&amp;"/edit?gid=1761053510"",
          ""Haris_Form responses 1!$AQ:$AQ"")=4)
      ),
      1
    ),
    ""0""
  ),
  ""Form not found""
)
"),"Form not found")</f>
        <v>Form not found</v>
      </c>
      <c r="P144" s="247" t="str">
        <f>IFERROR(__xludf.DUMMYFUNCTION("IFERROR(
  INDEX(
    FILTER(
      Transcription!$AJ:$AJ,
      TRIM(CLEAN(TEXT(Transcription!$F:$F, ""@""))) = TRIM(CLEAN(TEXT($D144, ""@""))),
      Transcription!$AO:$AO = 4
    ),
    1
  ),
  ""Not Found""
)
"),"Not Found")</f>
        <v>Not Found</v>
      </c>
      <c r="Q1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TRIM(CLEAN(TEXT($D144, ""@""))),
      IMPORTRANGE(""https://docs.google.com/spreadsheets/d/1DccNxjBgurEr0ABkI_"&amp;"rBagJT5phB5HaHG5N_mTm_BiA/edit?gid=1382299152#gid=1382299152"", ""Form responses 1!$Z:$Z"") = 5
    ),
    1
  ),
  ""Not Found""
)
"),"Not Found")</f>
        <v>Not Found</v>
      </c>
      <c r="R1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1!$E:$E"")=$D144) *
        (IMPORTRANGE(""https://docs.google.com/spreadsheets/d/161aHT6vVT3SLneTKD19N5qVWtnj_jIT8CSsOmUVKmaA"&amp;"/edit?gid=1761053510"",
          ""Haris_Form responses 1!$AQ:$AQ"")=5)
      ),
      1
    ),
    ""0""
  ),
  ""Form not found""
)
"),"Form not found")</f>
        <v>Form not found</v>
      </c>
      <c r="S144" s="247" t="str">
        <f>IFERROR(__xludf.DUMMYFUNCTION("IFERROR(
  INDEX(
    FILTER(
      Transcription!$AJ:$AJ,
      TRIM(CLEAN(TEXT(Transcription!$F:$F, ""@""))) = TRIM(CLEAN(TEXT($D144, ""@""))),
      Transcription!$AO:$AO = 5
    ),
    1
  ),
  ""Not Found""
)
"),"Not Found")</f>
        <v>Not Found</v>
      </c>
      <c r="T1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TRIM(CLEAN(TEXT($D144, ""@""))),
      IMPORTRANGE(""https://docs.google.com/spreadsheets/d/1DccNxjBgurEr0ABkI_"&amp;"rBagJT5phB5HaHG5N_mTm_BiA/edit?gid=1382299152#gid=1382299152"", ""Form responses 1!$Z:$Z"") = 6
    ),
    1
  ),
  ""Not Found""
)
"),"Not Found")</f>
        <v>Not Found</v>
      </c>
      <c r="U1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1!$E:$E"")=$D144) *
        (IMPORTRANGE(""https://docs.google.com/spreadsheets/d/161aHT6vVT3SLneTKD19N5qVWtnj_jIT8CSsOmUVKmaA"&amp;"/edit?gid=1761053510"",
          ""Haris_Form responses 1!$AQ:$AQ"")=6)
      ),
      1
    ),
    ""0""
  ),
  ""Form not found""
)
"),"Form not found")</f>
        <v>Form not found</v>
      </c>
      <c r="V144" s="247" t="str">
        <f>IFERROR(__xludf.DUMMYFUNCTION("IFERROR(
  INDEX(
    FILTER(
      Transcription!$AJ:$AJ,
      TRIM(CLEAN(TEXT(Transcription!$F:$F, ""@""))) = TRIM(CLEAN(TEXT($D144, ""@""))),
      Transcription!$AO:$AO = 6
    ),
    1
  ),
  ""Not Found""
)
"),"Not Found")</f>
        <v>Not Found</v>
      </c>
      <c r="Z144" s="10">
        <f t="shared" si="1"/>
        <v>2</v>
      </c>
      <c r="AA144" s="10">
        <f t="shared" si="2"/>
        <v>0</v>
      </c>
    </row>
    <row r="145">
      <c r="A145" s="8" t="str">
        <f>VLOOKUP($D145,Sheet6!$B:$G,5,FALSE)</f>
        <v>Multan</v>
      </c>
      <c r="B145" s="232" t="str">
        <f>VLOOKUP($D145,Sheet6!$B:$G,4,FALSE)</f>
        <v>Control</v>
      </c>
      <c r="C145" s="8">
        <v>2.0</v>
      </c>
      <c r="D145" s="8" t="s">
        <v>4591</v>
      </c>
      <c r="E14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TRIM(CLEAN(TEXT($D145, ""@""))),
      IMPORTRANGE(""https://docs.google.com/spreadsheets/d/1DccNxjBgurEr0ABkI_"&amp;"rBagJT5phB5HaHG5N_mTm_BiA/edit?gid=1382299152#gid=1382299152"", ""Form responses 1!$Z:$Z"") = 1
    ),
    1
  ),
  ""Not Found""
)
"),"https://drive.google.com/open?id=1RD0G-VbOAoQ2XG06v4TX6uy7yV3tif-S")</f>
        <v>https://drive.google.com/open?id=1RD0G-VbOAoQ2XG06v4TX6uy7yV3tif-S</v>
      </c>
      <c r="F1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1!$E:$E"")=$D145) *
        (IMPORTRANGE(""https://docs.google.com/spreadsheets/d/161aHT6vVT3SLneTKD19N5qVWtnj_jIT8CSsOmUVKmaA"&amp;"/edit?gid=1761053510"",
          ""Haris_Form responses 1!$AQ:$AQ"")=1)
      ),
      1
    ),
    ""0""
  ),
  ""Form not found""
)
"),"1")</f>
        <v>1</v>
      </c>
      <c r="G145" s="245" t="str">
        <f>IFERROR(__xludf.DUMMYFUNCTION("IFERROR(
  INDEX(
    FILTER(
      Transcription!$AJ:$AJ,
      TRIM(CLEAN(TEXT(Transcription!$F:$F, ""@""))) = TRIM(CLEAN(TEXT($D145, ""@""))),
      Transcription!$AO:$AO = 1
    ),
    1
  ),
  ""Not Found""
)
"),"https://drive.google.com/open?id=1Fm2ZmyXTBR0QCJZOErIRYZjOSIS2uKiIzlyBt7LM0ww")</f>
        <v>https://drive.google.com/open?id=1Fm2ZmyXTBR0QCJZOErIRYZjOSIS2uKiIzlyBt7LM0ww</v>
      </c>
      <c r="H1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TRIM(CLEAN(TEXT($D145, ""@""))),
      IMPORTRANGE(""https://docs.google.com/spreadsheets/d/1DccNxjBgurEr0ABkI_"&amp;"rBagJT5phB5HaHG5N_mTm_BiA/edit?gid=1382299152#gid=1382299152"", ""Form responses 1!$Z:$Z"") = 2
    ),
    1
  ),
  ""Not Found""
)
"),"Not Found")</f>
        <v>Not Found</v>
      </c>
      <c r="I1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1!$E:$E"")=$D145) *
        (IMPORTRANGE(""https://docs.google.com/spreadsheets/d/161aHT6vVT3SLneTKD19N5qVWtnj_jIT8CSsOmUVKmaA"&amp;"/edit?gid=1761053510"",
          ""Haris_Form responses 1!$AQ:$AQ"")=2)
      ),
      1
    ),
    ""0""
  ),
  ""Form not found""
)
"),"Form not found")</f>
        <v>Form not found</v>
      </c>
      <c r="J145" s="247" t="str">
        <f>IFERROR(__xludf.DUMMYFUNCTION("IFERROR(
  INDEX(
    FILTER(
      Transcription!$AJ:$AJ,
      TRIM(CLEAN(TEXT(Transcription!$F:$F, ""@""))) = TRIM(CLEAN(TEXT($D145, ""@""))),
      Transcription!$AO:$AO = 2
    ),
    1
  ),
  ""Not Found""
)
"),"Not Found")</f>
        <v>Not Found</v>
      </c>
      <c r="K14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TRIM(CLEAN(TEXT($D145, ""@""))),
      IMPORTRANGE(""https://docs.google.com/spreadsheets/d/1DccNxjBgurEr0ABkI_"&amp;"rBagJT5phB5HaHG5N_mTm_BiA/edit?gid=1382299152#gid=1382299152"", ""Form responses 1!$Z:$Z"") = 3
    ),
    1
  ),
  ""Not Found""
)
"),"https://drive.google.com/open?id=1NxyLi6GUihpo7YpBs0Vcugxq6Su0f4Pr")</f>
        <v>https://drive.google.com/open?id=1NxyLi6GUihpo7YpBs0Vcugxq6Su0f4Pr</v>
      </c>
      <c r="L1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1!$E:$E"")=$D145) *
        (IMPORTRANGE(""https://docs.google.com/spreadsheets/d/161aHT6vVT3SLneTKD19N5qVWtnj_jIT8CSsOmUVKmaA"&amp;"/edit?gid=1761053510"",
          ""Haris_Form responses 1!$AQ:$AQ"")=3)
      ),
      1
    ),
    ""0""
  ),
  ""Form not found""
)
"),"3")</f>
        <v>3</v>
      </c>
      <c r="M145" s="245" t="str">
        <f>IFERROR(__xludf.DUMMYFUNCTION("IFERROR(
  INDEX(
    FILTER(
      Transcription!$AJ:$AJ,
      TRIM(CLEAN(TEXT(Transcription!$F:$F, ""@""))) = TRIM(CLEAN(TEXT($D145, ""@""))),
      Transcription!$AO:$AO = 3
    ),
    1
  ),
  ""Not Found""
)
"),"https://drive.google.com/open?id=1HdkmToVJojPd2kAP4s_mUIvo2xFdkcQL")</f>
        <v>https://drive.google.com/open?id=1HdkmToVJojPd2kAP4s_mUIvo2xFdkcQL</v>
      </c>
      <c r="N1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TRIM(CLEAN(TEXT($D145, ""@""))),
      IMPORTRANGE(""https://docs.google.com/spreadsheets/d/1DccNxjBgurEr0ABkI_"&amp;"rBagJT5phB5HaHG5N_mTm_BiA/edit?gid=1382299152#gid=1382299152"", ""Form responses 1!$Z:$Z"") = 4
    ),
    1
  ),
  ""Not Found""
)
"),"Not Found")</f>
        <v>Not Found</v>
      </c>
      <c r="O1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1!$E:$E"")=$D145) *
        (IMPORTRANGE(""https://docs.google.com/spreadsheets/d/161aHT6vVT3SLneTKD19N5qVWtnj_jIT8CSsOmUVKmaA"&amp;"/edit?gid=1761053510"",
          ""Haris_Form responses 1!$AQ:$AQ"")=4)
      ),
      1
    ),
    ""0""
  ),
  ""Form not found""
)
"),"Form not found")</f>
        <v>Form not found</v>
      </c>
      <c r="P145" s="247" t="str">
        <f>IFERROR(__xludf.DUMMYFUNCTION("IFERROR(
  INDEX(
    FILTER(
      Transcription!$AJ:$AJ,
      TRIM(CLEAN(TEXT(Transcription!$F:$F, ""@""))) = TRIM(CLEAN(TEXT($D145, ""@""))),
      Transcription!$AO:$AO = 4
    ),
    1
  ),
  ""Not Found""
)
"),"Not Found")</f>
        <v>Not Found</v>
      </c>
      <c r="Q1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TRIM(CLEAN(TEXT($D145, ""@""))),
      IMPORTRANGE(""https://docs.google.com/spreadsheets/d/1DccNxjBgurEr0ABkI_"&amp;"rBagJT5phB5HaHG5N_mTm_BiA/edit?gid=1382299152#gid=1382299152"", ""Form responses 1!$Z:$Z"") = 5
    ),
    1
  ),
  ""Not Found""
)
"),"Not Found")</f>
        <v>Not Found</v>
      </c>
      <c r="R1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1!$E:$E"")=$D145) *
        (IMPORTRANGE(""https://docs.google.com/spreadsheets/d/161aHT6vVT3SLneTKD19N5qVWtnj_jIT8CSsOmUVKmaA"&amp;"/edit?gid=1761053510"",
          ""Haris_Form responses 1!$AQ:$AQ"")=5)
      ),
      1
    ),
    ""0""
  ),
  ""Form not found""
)
"),"Form not found")</f>
        <v>Form not found</v>
      </c>
      <c r="S145" s="247" t="str">
        <f>IFERROR(__xludf.DUMMYFUNCTION("IFERROR(
  INDEX(
    FILTER(
      Transcription!$AJ:$AJ,
      TRIM(CLEAN(TEXT(Transcription!$F:$F, ""@""))) = TRIM(CLEAN(TEXT($D145, ""@""))),
      Transcription!$AO:$AO = 5
    ),
    1
  ),
  ""Not Found""
)
"),"Not Found")</f>
        <v>Not Found</v>
      </c>
      <c r="T1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TRIM(CLEAN(TEXT($D145, ""@""))),
      IMPORTRANGE(""https://docs.google.com/spreadsheets/d/1DccNxjBgurEr0ABkI_"&amp;"rBagJT5phB5HaHG5N_mTm_BiA/edit?gid=1382299152#gid=1382299152"", ""Form responses 1!$Z:$Z"") = 6
    ),
    1
  ),
  ""Not Found""
)
"),"Not Found")</f>
        <v>Not Found</v>
      </c>
      <c r="U1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1!$E:$E"")=$D145) *
        (IMPORTRANGE(""https://docs.google.com/spreadsheets/d/161aHT6vVT3SLneTKD19N5qVWtnj_jIT8CSsOmUVKmaA"&amp;"/edit?gid=1761053510"",
          ""Haris_Form responses 1!$AQ:$AQ"")=6)
      ),
      1
    ),
    ""0""
  ),
  ""Form not found""
)
"),"Form not found")</f>
        <v>Form not found</v>
      </c>
      <c r="V145" s="247" t="str">
        <f>IFERROR(__xludf.DUMMYFUNCTION("IFERROR(
  INDEX(
    FILTER(
      Transcription!$AJ:$AJ,
      TRIM(CLEAN(TEXT(Transcription!$F:$F, ""@""))) = TRIM(CLEAN(TEXT($D145, ""@""))),
      Transcription!$AO:$AO = 6
    ),
    1
  ),
  ""Not Found""
)
"),"Not Found")</f>
        <v>Not Found</v>
      </c>
      <c r="Z145" s="10">
        <f t="shared" si="1"/>
        <v>2</v>
      </c>
      <c r="AA145" s="10">
        <f t="shared" si="2"/>
        <v>0</v>
      </c>
    </row>
    <row r="146">
      <c r="A146" s="8" t="str">
        <f>VLOOKUP($D146,Sheet6!$B:$G,5,FALSE)</f>
        <v>Multan</v>
      </c>
      <c r="B146" s="232" t="str">
        <f>VLOOKUP($D146,Sheet6!$B:$G,4,FALSE)</f>
        <v>Community Religious Info Share</v>
      </c>
      <c r="C146" s="8">
        <v>3.0</v>
      </c>
      <c r="D146" s="8" t="s">
        <v>4592</v>
      </c>
      <c r="E14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TRIM(CLEAN(TEXT($D146, ""@""))),
      IMPORTRANGE(""https://docs.google.com/spreadsheets/d/1DccNxjBgurEr0ABkI_"&amp;"rBagJT5phB5HaHG5N_mTm_BiA/edit?gid=1382299152#gid=1382299152"", ""Form responses 1!$Z:$Z"") = 1
    ),
    1
  ),
  ""Not Found""
)
"),"https://drive.google.com/open?id=17sz1LOkJ7tGXA0DNsIUuYyZEAY4qenBD")</f>
        <v>https://drive.google.com/open?id=17sz1LOkJ7tGXA0DNsIUuYyZEAY4qenBD</v>
      </c>
      <c r="F1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1!$E:$E"")=$D146) *
        (IMPORTRANGE(""https://docs.google.com/spreadsheets/d/161aHT6vVT3SLneTKD19N5qVWtnj_jIT8CSsOmUVKmaA"&amp;"/edit?gid=1761053510"",
          ""Haris_Form responses 1!$AQ:$AQ"")=1)
      ),
      1
    ),
    ""0""
  ),
  ""Form not found""
)
"),"1")</f>
        <v>1</v>
      </c>
      <c r="G146" s="245" t="str">
        <f>IFERROR(__xludf.DUMMYFUNCTION("IFERROR(
  INDEX(
    FILTER(
      Transcription!$AJ:$AJ,
      TRIM(CLEAN(TEXT(Transcription!$F:$F, ""@""))) = TRIM(CLEAN(TEXT($D146, ""@""))),
      Transcription!$AO:$AO = 1
    ),
    1
  ),
  ""Not Found""
)
"),"https://drive.google.com/open?id=1isMg_V2vXOMprDAAd8PIbZ3G3POMihc6")</f>
        <v>https://drive.google.com/open?id=1isMg_V2vXOMprDAAd8PIbZ3G3POMihc6</v>
      </c>
      <c r="H14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TRIM(CLEAN(TEXT($D146, ""@""))),
      IMPORTRANGE(""https://docs.google.com/spreadsheets/d/1DccNxjBgurEr0ABkI_"&amp;"rBagJT5phB5HaHG5N_mTm_BiA/edit?gid=1382299152#gid=1382299152"", ""Form responses 1!$Z:$Z"") = 2
    ),
    1
  ),
  ""Not Found""
)
"),"https://drive.google.com/open?id=1lGJmeQfJhWJZGAlu-yGw8B7Xc7y1xNpa")</f>
        <v>https://drive.google.com/open?id=1lGJmeQfJhWJZGAlu-yGw8B7Xc7y1xNpa</v>
      </c>
      <c r="I1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1!$E:$E"")=$D146) *
        (IMPORTRANGE(""https://docs.google.com/spreadsheets/d/161aHT6vVT3SLneTKD19N5qVWtnj_jIT8CSsOmUVKmaA"&amp;"/edit?gid=1761053510"",
          ""Haris_Form responses 1!$AQ:$AQ"")=2)
      ),
      1
    ),
    ""0""
  ),
  ""Form not found""
)
"),"2")</f>
        <v>2</v>
      </c>
      <c r="J146" s="245" t="str">
        <f>IFERROR(__xludf.DUMMYFUNCTION("IFERROR(
  INDEX(
    FILTER(
      Transcription!$AJ:$AJ,
      TRIM(CLEAN(TEXT(Transcription!$F:$F, ""@""))) = TRIM(CLEAN(TEXT($D146, ""@""))),
      Transcription!$AO:$AO = 2
    ),
    1
  ),
  ""Not Found""
)
"),"https://drive.google.com/open?id=17pKKXSGFHruMq87tq7RpefXP72ZZGtLn")</f>
        <v>https://drive.google.com/open?id=17pKKXSGFHruMq87tq7RpefXP72ZZGtLn</v>
      </c>
      <c r="K14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TRIM(CLEAN(TEXT($D146, ""@""))),
      IMPORTRANGE(""https://docs.google.com/spreadsheets/d/1DccNxjBgurEr0ABkI_"&amp;"rBagJT5phB5HaHG5N_mTm_BiA/edit?gid=1382299152#gid=1382299152"", ""Form responses 1!$Z:$Z"") = 3
    ),
    1
  ),
  ""Not Found""
)
"),"https://drive.google.com/open?id=1o2PTNTkY2kG6TViI5fiVKOLpO8Zyrzq9")</f>
        <v>https://drive.google.com/open?id=1o2PTNTkY2kG6TViI5fiVKOLpO8Zyrzq9</v>
      </c>
      <c r="L1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1!$E:$E"")=$D146) *
        (IMPORTRANGE(""https://docs.google.com/spreadsheets/d/161aHT6vVT3SLneTKD19N5qVWtnj_jIT8CSsOmUVKmaA"&amp;"/edit?gid=1761053510"",
          ""Haris_Form responses 1!$AQ:$AQ"")=3)
      ),
      1
    ),
    ""0""
  ),
  ""Form not found""
)
"),"3")</f>
        <v>3</v>
      </c>
      <c r="M146" s="245" t="str">
        <f>IFERROR(__xludf.DUMMYFUNCTION("IFERROR(
  INDEX(
    FILTER(
      Transcription!$AJ:$AJ,
      TRIM(CLEAN(TEXT(Transcription!$F:$F, ""@""))) = TRIM(CLEAN(TEXT($D146, ""@""))),
      Transcription!$AO:$AO = 3
    ),
    1
  ),
  ""Not Found""
)
"),"https://drive.google.com/open?id=1P_zoEpgSaiqnzN8Kun_y0b30gyRZNSnL")</f>
        <v>https://drive.google.com/open?id=1P_zoEpgSaiqnzN8Kun_y0b30gyRZNSnL</v>
      </c>
      <c r="N1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TRIM(CLEAN(TEXT($D146, ""@""))),
      IMPORTRANGE(""https://docs.google.com/spreadsheets/d/1DccNxjBgurEr0ABkI_"&amp;"rBagJT5phB5HaHG5N_mTm_BiA/edit?gid=1382299152#gid=1382299152"", ""Form responses 1!$Z:$Z"") = 4
    ),
    1
  ),
  ""Not Found""
)
"),"Not Found")</f>
        <v>Not Found</v>
      </c>
      <c r="O1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1!$E:$E"")=$D146) *
        (IMPORTRANGE(""https://docs.google.com/spreadsheets/d/161aHT6vVT3SLneTKD19N5qVWtnj_jIT8CSsOmUVKmaA"&amp;"/edit?gid=1761053510"",
          ""Haris_Form responses 1!$AQ:$AQ"")=4)
      ),
      1
    ),
    ""0""
  ),
  ""Form not found""
)
"),"Form not found")</f>
        <v>Form not found</v>
      </c>
      <c r="P146" s="247" t="str">
        <f>IFERROR(__xludf.DUMMYFUNCTION("IFERROR(
  INDEX(
    FILTER(
      Transcription!$AJ:$AJ,
      TRIM(CLEAN(TEXT(Transcription!$F:$F, ""@""))) = TRIM(CLEAN(TEXT($D146, ""@""))),
      Transcription!$AO:$AO = 4
    ),
    1
  ),
  ""Not Found""
)
"),"Not Found")</f>
        <v>Not Found</v>
      </c>
      <c r="Q1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TRIM(CLEAN(TEXT($D146, ""@""))),
      IMPORTRANGE(""https://docs.google.com/spreadsheets/d/1DccNxjBgurEr0ABkI_"&amp;"rBagJT5phB5HaHG5N_mTm_BiA/edit?gid=1382299152#gid=1382299152"", ""Form responses 1!$Z:$Z"") = 5
    ),
    1
  ),
  ""Not Found""
)
"),"Not Found")</f>
        <v>Not Found</v>
      </c>
      <c r="R1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1!$E:$E"")=$D146) *
        (IMPORTRANGE(""https://docs.google.com/spreadsheets/d/161aHT6vVT3SLneTKD19N5qVWtnj_jIT8CSsOmUVKmaA"&amp;"/edit?gid=1761053510"",
          ""Haris_Form responses 1!$AQ:$AQ"")=5)
      ),
      1
    ),
    ""0""
  ),
  ""Form not found""
)
"),"Form not found")</f>
        <v>Form not found</v>
      </c>
      <c r="S146" s="247" t="str">
        <f>IFERROR(__xludf.DUMMYFUNCTION("IFERROR(
  INDEX(
    FILTER(
      Transcription!$AJ:$AJ,
      TRIM(CLEAN(TEXT(Transcription!$F:$F, ""@""))) = TRIM(CLEAN(TEXT($D146, ""@""))),
      Transcription!$AO:$AO = 5
    ),
    1
  ),
  ""Not Found""
)
"),"Not Found")</f>
        <v>Not Found</v>
      </c>
      <c r="T1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TRIM(CLEAN(TEXT($D146, ""@""))),
      IMPORTRANGE(""https://docs.google.com/spreadsheets/d/1DccNxjBgurEr0ABkI_"&amp;"rBagJT5phB5HaHG5N_mTm_BiA/edit?gid=1382299152#gid=1382299152"", ""Form responses 1!$Z:$Z"") = 6
    ),
    1
  ),
  ""Not Found""
)
"),"Not Found")</f>
        <v>Not Found</v>
      </c>
      <c r="U1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1!$E:$E"")=$D146) *
        (IMPORTRANGE(""https://docs.google.com/spreadsheets/d/161aHT6vVT3SLneTKD19N5qVWtnj_jIT8CSsOmUVKmaA"&amp;"/edit?gid=1761053510"",
          ""Haris_Form responses 1!$AQ:$AQ"")=6)
      ),
      1
    ),
    ""0""
  ),
  ""Form not found""
)
"),"Form not found")</f>
        <v>Form not found</v>
      </c>
      <c r="V146" s="247" t="str">
        <f>IFERROR(__xludf.DUMMYFUNCTION("IFERROR(
  INDEX(
    FILTER(
      Transcription!$AJ:$AJ,
      TRIM(CLEAN(TEXT(Transcription!$F:$F, ""@""))) = TRIM(CLEAN(TEXT($D146, ""@""))),
      Transcription!$AO:$AO = 6
    ),
    1
  ),
  ""Not Found""
)
"),"Not Found")</f>
        <v>Not Found</v>
      </c>
      <c r="Z146" s="10">
        <f t="shared" si="1"/>
        <v>3</v>
      </c>
      <c r="AA146" s="10">
        <f t="shared" si="2"/>
        <v>0</v>
      </c>
    </row>
    <row r="147">
      <c r="A147" s="8" t="str">
        <f>VLOOKUP($D147,Sheet6!$B:$G,5,FALSE)</f>
        <v>Multan</v>
      </c>
      <c r="B147" s="232" t="str">
        <f>VLOOKUP($D147,Sheet6!$B:$G,4,FALSE)</f>
        <v>Community Religious Info Share</v>
      </c>
      <c r="C147" s="8">
        <v>4.0</v>
      </c>
      <c r="D147" s="8" t="s">
        <v>4593</v>
      </c>
      <c r="E1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TRIM(CLEAN(TEXT($D147, ""@""))),
      IMPORTRANGE(""https://docs.google.com/spreadsheets/d/1DccNxjBgurEr0ABkI_"&amp;"rBagJT5phB5HaHG5N_mTm_BiA/edit?gid=1382299152#gid=1382299152"", ""Form responses 1!$Z:$Z"") = 1
    ),
    1
  ),
  ""Not Found""
)
"),"https://drive.google.com/open?id=1oGse1tGak-NV3d5mldph77u_idJW6cwb")</f>
        <v>https://drive.google.com/open?id=1oGse1tGak-NV3d5mldph77u_idJW6cwb</v>
      </c>
      <c r="F1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1!$E:$E"")=$D147) *
        (IMPORTRANGE(""https://docs.google.com/spreadsheets/d/161aHT6vVT3SLneTKD19N5qVWtnj_jIT8CSsOmUVKmaA"&amp;"/edit?gid=1761053510"",
          ""Haris_Form responses 1!$AQ:$AQ"")=1)
      ),
      1
    ),
    ""0""
  ),
  ""Form not found""
)
"),"1")</f>
        <v>1</v>
      </c>
      <c r="G147" s="245" t="str">
        <f>IFERROR(__xludf.DUMMYFUNCTION("IFERROR(
  INDEX(
    FILTER(
      Transcription!$AJ:$AJ,
      TRIM(CLEAN(TEXT(Transcription!$F:$F, ""@""))) = TRIM(CLEAN(TEXT($D147, ""@""))),
      Transcription!$AO:$AO = 1
    ),
    1
  ),
  ""Not Found""
)
"),"https://drive.google.com/open?id=1PAeF6DBJtOHEIxv6qR8DNCNEvA86OoxV")</f>
        <v>https://drive.google.com/open?id=1PAeF6DBJtOHEIxv6qR8DNCNEvA86OoxV</v>
      </c>
      <c r="H1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TRIM(CLEAN(TEXT($D147, ""@""))),
      IMPORTRANGE(""https://docs.google.com/spreadsheets/d/1DccNxjBgurEr0ABkI_"&amp;"rBagJT5phB5HaHG5N_mTm_BiA/edit?gid=1382299152#gid=1382299152"", ""Form responses 1!$Z:$Z"") = 2
    ),
    1
  ),
  ""Not Found""
)
"),"https://drive.google.com/file/d/1dsbVN0AsTTOB1vDZ19VEZiTaw0msS0ut/view?usp=drive_link")</f>
        <v>https://drive.google.com/file/d/1dsbVN0AsTTOB1vDZ19VEZiTaw0msS0ut/view?usp=drive_link</v>
      </c>
      <c r="I1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1!$E:$E"")=$D147) *
        (IMPORTRANGE(""https://docs.google.com/spreadsheets/d/161aHT6vVT3SLneTKD19N5qVWtnj_jIT8CSsOmUVKmaA"&amp;"/edit?gid=1761053510"",
          ""Haris_Form responses 1!$AQ:$AQ"")=2)
      ),
      1
    ),
    ""0""
  ),
  ""Form not found""
)
"),"2")</f>
        <v>2</v>
      </c>
      <c r="J147" s="245" t="str">
        <f>IFERROR(__xludf.DUMMYFUNCTION("IFERROR(
  INDEX(
    FILTER(
      Transcription!$AJ:$AJ,
      TRIM(CLEAN(TEXT(Transcription!$F:$F, ""@""))) = TRIM(CLEAN(TEXT($D147, ""@""))),
      Transcription!$AO:$AO = 2
    ),
    1
  ),
  ""Not Found""
)
"),"https://drive.google.com/open?id=1kJfX-05TGFCZGdKaert_FKr_y_N0V7nB")</f>
        <v>https://drive.google.com/open?id=1kJfX-05TGFCZGdKaert_FKr_y_N0V7nB</v>
      </c>
      <c r="K14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TRIM(CLEAN(TEXT($D147, ""@""))),
      IMPORTRANGE(""https://docs.google.com/spreadsheets/d/1DccNxjBgurEr0ABkI_"&amp;"rBagJT5phB5HaHG5N_mTm_BiA/edit?gid=1382299152#gid=1382299152"", ""Form responses 1!$Z:$Z"") = 3
    ),
    1
  ),
  ""Not Found""
)
"),"Not Found")</f>
        <v>Not Found</v>
      </c>
      <c r="L1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1!$E:$E"")=$D147) *
        (IMPORTRANGE(""https://docs.google.com/spreadsheets/d/161aHT6vVT3SLneTKD19N5qVWtnj_jIT8CSsOmUVKmaA"&amp;"/edit?gid=1761053510"",
          ""Haris_Form responses 1!$AQ:$AQ"")=3)
      ),
      1
    ),
    ""0""
  ),
  ""Form not found""
)
"),"Form not found")</f>
        <v>Form not found</v>
      </c>
      <c r="M147" s="247" t="str">
        <f>IFERROR(__xludf.DUMMYFUNCTION("IFERROR(
  INDEX(
    FILTER(
      Transcription!$AJ:$AJ,
      TRIM(CLEAN(TEXT(Transcription!$F:$F, ""@""))) = TRIM(CLEAN(TEXT($D147, ""@""))),
      Transcription!$AO:$AO = 3
    ),
    1
  ),
  ""Not Found""
)
"),"Not Found")</f>
        <v>Not Found</v>
      </c>
      <c r="N14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TRIM(CLEAN(TEXT($D147, ""@""))),
      IMPORTRANGE(""https://docs.google.com/spreadsheets/d/1DccNxjBgurEr0ABkI_"&amp;"rBagJT5phB5HaHG5N_mTm_BiA/edit?gid=1382299152#gid=1382299152"", ""Form responses 1!$Z:$Z"") = 4
    ),
    1
  ),
  ""Not Found""
)
"),"Not Found")</f>
        <v>Not Found</v>
      </c>
      <c r="O1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1!$E:$E"")=$D147) *
        (IMPORTRANGE(""https://docs.google.com/spreadsheets/d/161aHT6vVT3SLneTKD19N5qVWtnj_jIT8CSsOmUVKmaA"&amp;"/edit?gid=1761053510"",
          ""Haris_Form responses 1!$AQ:$AQ"")=4)
      ),
      1
    ),
    ""0""
  ),
  ""Form not found""
)
"),"Form not found")</f>
        <v>Form not found</v>
      </c>
      <c r="P147" s="247" t="str">
        <f>IFERROR(__xludf.DUMMYFUNCTION("IFERROR(
  INDEX(
    FILTER(
      Transcription!$AJ:$AJ,
      TRIM(CLEAN(TEXT(Transcription!$F:$F, ""@""))) = TRIM(CLEAN(TEXT($D147, ""@""))),
      Transcription!$AO:$AO = 4
    ),
    1
  ),
  ""Not Found""
)
"),"Not Found")</f>
        <v>Not Found</v>
      </c>
      <c r="Q1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TRIM(CLEAN(TEXT($D147, ""@""))),
      IMPORTRANGE(""https://docs.google.com/spreadsheets/d/1DccNxjBgurEr0ABkI_"&amp;"rBagJT5phB5HaHG5N_mTm_BiA/edit?gid=1382299152#gid=1382299152"", ""Form responses 1!$Z:$Z"") = 5
    ),
    1
  ),
  ""Not Found""
)
"),"https://drive.google.com/open?id=1GjvwbIO97dn8nPp898rRc4ki5bpnv73G")</f>
        <v>https://drive.google.com/open?id=1GjvwbIO97dn8nPp898rRc4ki5bpnv73G</v>
      </c>
      <c r="R1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1!$E:$E"")=$D147) *
        (IMPORTRANGE(""https://docs.google.com/spreadsheets/d/161aHT6vVT3SLneTKD19N5qVWtnj_jIT8CSsOmUVKmaA"&amp;"/edit?gid=1761053510"",
          ""Haris_Form responses 1!$AQ:$AQ"")=5)
      ),
      1
    ),
    ""0""
  ),
  ""Form not found""
)
"),"5")</f>
        <v>5</v>
      </c>
      <c r="S147" s="245" t="str">
        <f>IFERROR(__xludf.DUMMYFUNCTION("IFERROR(
  INDEX(
    FILTER(
      Transcription!$AJ:$AJ,
      TRIM(CLEAN(TEXT(Transcription!$F:$F, ""@""))) = TRIM(CLEAN(TEXT($D147, ""@""))),
      Transcription!$AO:$AO = 5
    ),
    1
  ),
  ""Not Found""
)
"),"https://drive.google.com/open?id=19HN8d9xJGJOkLQGb-e3qlHfXZauOg9tCZarb32-b9Rc")</f>
        <v>https://drive.google.com/open?id=19HN8d9xJGJOkLQGb-e3qlHfXZauOg9tCZarb32-b9Rc</v>
      </c>
      <c r="T1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TRIM(CLEAN(TEXT($D147, ""@""))),
      IMPORTRANGE(""https://docs.google.com/spreadsheets/d/1DccNxjBgurEr0ABkI_"&amp;"rBagJT5phB5HaHG5N_mTm_BiA/edit?gid=1382299152#gid=1382299152"", ""Form responses 1!$Z:$Z"") = 6
    ),
    1
  ),
  ""Not Found""
)
"),"https://drive.google.com/file/d/1sU_uFjDftjCa6-HSG71OAUhWQqR7j47w/view?usp=drive_link")</f>
        <v>https://drive.google.com/file/d/1sU_uFjDftjCa6-HSG71OAUhWQqR7j47w/view?usp=drive_link</v>
      </c>
      <c r="U1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1!$E:$E"")=$D147) *
        (IMPORTRANGE(""https://docs.google.com/spreadsheets/d/161aHT6vVT3SLneTKD19N5qVWtnj_jIT8CSsOmUVKmaA"&amp;"/edit?gid=1761053510"",
          ""Haris_Form responses 1!$AQ:$AQ"")=6)
      ),
      1
    ),
    ""0""
  ),
  ""Form not found""
)
"),"6")</f>
        <v>6</v>
      </c>
      <c r="V147" s="245" t="str">
        <f>IFERROR(__xludf.DUMMYFUNCTION("IFERROR(
  INDEX(
    FILTER(
      Transcription!$AJ:$AJ,
      TRIM(CLEAN(TEXT(Transcription!$F:$F, ""@""))) = TRIM(CLEAN(TEXT($D147, ""@""))),
      Transcription!$AO:$AO = 6
    ),
    1
  ),
  ""Not Found""
)
"),"https://drive.google.com/open?id=1bkPLH10SW3e5fFijlwKgcHEbCZ0cXgX8")</f>
        <v>https://drive.google.com/open?id=1bkPLH10SW3e5fFijlwKgcHEbCZ0cXgX8</v>
      </c>
      <c r="Z147" s="10">
        <f t="shared" si="1"/>
        <v>4</v>
      </c>
      <c r="AA147" s="10">
        <f t="shared" si="2"/>
        <v>0</v>
      </c>
    </row>
    <row r="148">
      <c r="A148" s="8" t="str">
        <f>VLOOKUP($D148,Sheet6!$B:$G,5,FALSE)</f>
        <v>Multan</v>
      </c>
      <c r="B148" s="232" t="str">
        <f>VLOOKUP($D148,Sheet6!$B:$G,4,FALSE)</f>
        <v>Community Secular Info Share</v>
      </c>
      <c r="C148" s="8">
        <v>5.0</v>
      </c>
      <c r="D148" s="8" t="s">
        <v>3718</v>
      </c>
      <c r="E1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TRIM(CLEAN(TEXT($D148, ""@""))),
      IMPORTRANGE(""https://docs.google.com/spreadsheets/d/1DccNxjBgurEr0ABkI_"&amp;"rBagJT5phB5HaHG5N_mTm_BiA/edit?gid=1382299152#gid=1382299152"", ""Form responses 1!$Z:$Z"") = 1
    ),
    1
  ),
  ""Not Found""
)
"),"https://drive.google.com/open?id=18CQ_tAVrlomKWEqxMCT4GPXtVxBLlUJB")</f>
        <v>https://drive.google.com/open?id=18CQ_tAVrlomKWEqxMCT4GPXtVxBLlUJB</v>
      </c>
      <c r="F1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1!$E:$E"")=$D148) *
        (IMPORTRANGE(""https://docs.google.com/spreadsheets/d/161aHT6vVT3SLneTKD19N5qVWtnj_jIT8CSsOmUVKmaA"&amp;"/edit?gid=1761053510"",
          ""Haris_Form responses 1!$AQ:$AQ"")=1)
      ),
      1
    ),
    ""0""
  ),
  ""Form not found""
)
"),"1")</f>
        <v>1</v>
      </c>
      <c r="G148" s="245" t="str">
        <f>IFERROR(__xludf.DUMMYFUNCTION("IFERROR(
  INDEX(
    FILTER(
      Transcription!$AJ:$AJ,
      TRIM(CLEAN(TEXT(Transcription!$F:$F, ""@""))) = TRIM(CLEAN(TEXT($D148, ""@""))),
      Transcription!$AO:$AO = 1
    ),
    1
  ),
  ""Not Found""
)
"),"https://drive.google.com/open?id=1KhVbasfFKDEsxZhvHcUOPj8U-Wsd365aay_fi922XHQ")</f>
        <v>https://drive.google.com/open?id=1KhVbasfFKDEsxZhvHcUOPj8U-Wsd365aay_fi922XHQ</v>
      </c>
      <c r="H1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TRIM(CLEAN(TEXT($D148, ""@""))),
      IMPORTRANGE(""https://docs.google.com/spreadsheets/d/1DccNxjBgurEr0ABkI_"&amp;"rBagJT5phB5HaHG5N_mTm_BiA/edit?gid=1382299152#gid=1382299152"", ""Form responses 1!$Z:$Z"") = 2
    ),
    1
  ),
  ""Not Found""
)
"),"https://drive.google.com/open?id=1rEN9OlRlAHpBerNvADTC5Vdq6QWfGvZo")</f>
        <v>https://drive.google.com/open?id=1rEN9OlRlAHpBerNvADTC5Vdq6QWfGvZo</v>
      </c>
      <c r="I1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1!$E:$E"")=$D148) *
        (IMPORTRANGE(""https://docs.google.com/spreadsheets/d/161aHT6vVT3SLneTKD19N5qVWtnj_jIT8CSsOmUVKmaA"&amp;"/edit?gid=1761053510"",
          ""Haris_Form responses 1!$AQ:$AQ"")=2)
      ),
      1
    ),
    ""0""
  ),
  ""Form not found""
)
"),"2")</f>
        <v>2</v>
      </c>
      <c r="J148" s="245" t="str">
        <f>IFERROR(__xludf.DUMMYFUNCTION("IFERROR(
  INDEX(
    FILTER(
      Transcription!$AJ:$AJ,
      TRIM(CLEAN(TEXT(Transcription!$F:$F, ""@""))) = TRIM(CLEAN(TEXT($D148, ""@""))),
      Transcription!$AO:$AO = 2
    ),
    1
  ),
  ""Not Found""
)
"),"https://drive.google.com/open?id=1mBYsYGyV1aT6ucvbYlHoRKKs5K_uvHtupiAeYIJFwJ0")</f>
        <v>https://drive.google.com/open?id=1mBYsYGyV1aT6ucvbYlHoRKKs5K_uvHtupiAeYIJFwJ0</v>
      </c>
      <c r="K1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TRIM(CLEAN(TEXT($D148, ""@""))),
      IMPORTRANGE(""https://docs.google.com/spreadsheets/d/1DccNxjBgurEr0ABkI_"&amp;"rBagJT5phB5HaHG5N_mTm_BiA/edit?gid=1382299152#gid=1382299152"", ""Form responses 1!$Z:$Z"") = 3
    ),
    1
  ),
  ""Not Found""
)
"),"https://drive.google.com/file/d/1qceikWHiVkh7nPlraytyLGH1mGcU-941/view?usp=drive_link")</f>
        <v>https://drive.google.com/file/d/1qceikWHiVkh7nPlraytyLGH1mGcU-941/view?usp=drive_link</v>
      </c>
      <c r="L1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1!$E:$E"")=$D148) *
        (IMPORTRANGE(""https://docs.google.com/spreadsheets/d/161aHT6vVT3SLneTKD19N5qVWtnj_jIT8CSsOmUVKmaA"&amp;"/edit?gid=1761053510"",
          ""Haris_Form responses 1!$AQ:$AQ"")=3)
      ),
      1
    ),
    ""0""
  ),
  ""Form not found""
)
"),"3")</f>
        <v>3</v>
      </c>
      <c r="M148" s="245" t="str">
        <f>IFERROR(__xludf.DUMMYFUNCTION("IFERROR(
  INDEX(
    FILTER(
      Transcription!$AJ:$AJ,
      TRIM(CLEAN(TEXT(Transcription!$F:$F, ""@""))) = TRIM(CLEAN(TEXT($D148, ""@""))),
      Transcription!$AO:$AO = 3
    ),
    1
  ),
  ""Not Found""
)
"),"https://drive.google.com/open?id=16tFPMxuSekgM5At6SnANj4z37ND9j_6a32hYhQit6zo")</f>
        <v>https://drive.google.com/open?id=16tFPMxuSekgM5At6SnANj4z37ND9j_6a32hYhQit6zo</v>
      </c>
      <c r="N1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TRIM(CLEAN(TEXT($D148, ""@""))),
      IMPORTRANGE(""https://docs.google.com/spreadsheets/d/1DccNxjBgurEr0ABkI_"&amp;"rBagJT5phB5HaHG5N_mTm_BiA/edit?gid=1382299152#gid=1382299152"", ""Form responses 1!$Z:$Z"") = 4
    ),
    1
  ),
  ""Not Found""
)
"),"https://drive.google.com/file/d/1vVMDf1ys3OhW--U0r1HPLBa_5CIj1VU8/view?usp=drive_link")</f>
        <v>https://drive.google.com/file/d/1vVMDf1ys3OhW--U0r1HPLBa_5CIj1VU8/view?usp=drive_link</v>
      </c>
      <c r="O1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1!$E:$E"")=$D148) *
        (IMPORTRANGE(""https://docs.google.com/spreadsheets/d/161aHT6vVT3SLneTKD19N5qVWtnj_jIT8CSsOmUVKmaA"&amp;"/edit?gid=1761053510"",
          ""Haris_Form responses 1!$AQ:$AQ"")=4)
      ),
      1
    ),
    ""0""
  ),
  ""Form not found""
)
"),"4")</f>
        <v>4</v>
      </c>
      <c r="P148" s="245" t="str">
        <f>IFERROR(__xludf.DUMMYFUNCTION("IFERROR(
  INDEX(
    FILTER(
      Transcription!$AJ:$AJ,
      TRIM(CLEAN(TEXT(Transcription!$F:$F, ""@""))) = TRIM(CLEAN(TEXT($D148, ""@""))),
      Transcription!$AO:$AO = 4
    ),
    1
  ),
  ""Not Found""
)
"),"https://drive.google.com/open?id=1LEmN_DdbFgSHvWQ19CbZ0SEHvZDbZo-MgzLdTMQe78E")</f>
        <v>https://drive.google.com/open?id=1LEmN_DdbFgSHvWQ19CbZ0SEHvZDbZo-MgzLdTMQe78E</v>
      </c>
      <c r="Q1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TRIM(CLEAN(TEXT($D148, ""@""))),
      IMPORTRANGE(""https://docs.google.com/spreadsheets/d/1DccNxjBgurEr0ABkI_"&amp;"rBagJT5phB5HaHG5N_mTm_BiA/edit?gid=1382299152#gid=1382299152"", ""Form responses 1!$Z:$Z"") = 5
    ),
    1
  ),
  ""Not Found""
)
"),"https://drive.google.com/open?id=18NYo9DAwcnJJJpSgyi-4qULba-ujphE_")</f>
        <v>https://drive.google.com/open?id=18NYo9DAwcnJJJpSgyi-4qULba-ujphE_</v>
      </c>
      <c r="R1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1!$E:$E"")=$D148) *
        (IMPORTRANGE(""https://docs.google.com/spreadsheets/d/161aHT6vVT3SLneTKD19N5qVWtnj_jIT8CSsOmUVKmaA"&amp;"/edit?gid=1761053510"",
          ""Haris_Form responses 1!$AQ:$AQ"")=5)
      ),
      1
    ),
    ""0""
  ),
  ""Form not found""
)
"),"5")</f>
        <v>5</v>
      </c>
      <c r="S148" s="245" t="str">
        <f>IFERROR(__xludf.DUMMYFUNCTION("IFERROR(
  INDEX(
    FILTER(
      Transcription!$AJ:$AJ,
      TRIM(CLEAN(TEXT(Transcription!$F:$F, ""@""))) = TRIM(CLEAN(TEXT($D148, ""@""))),
      Transcription!$AO:$AO = 5
    ),
    1
  ),
  ""Not Found""
)
"),"https://drive.google.com/open?id=1_HDz671H3AVIBJfYoIFg0SSyUv-1ygEL")</f>
        <v>https://drive.google.com/open?id=1_HDz671H3AVIBJfYoIFg0SSyUv-1ygEL</v>
      </c>
      <c r="T14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TRIM(CLEAN(TEXT($D148, ""@""))),
      IMPORTRANGE(""https://docs.google.com/spreadsheets/d/1DccNxjBgurEr0ABkI_"&amp;"rBagJT5phB5HaHG5N_mTm_BiA/edit?gid=1382299152#gid=1382299152"", ""Form responses 1!$Z:$Z"") = 6
    ),
    1
  ),
  ""Not Found""
)
"),"Not Found")</f>
        <v>Not Found</v>
      </c>
      <c r="U1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1!$E:$E"")=$D148) *
        (IMPORTRANGE(""https://docs.google.com/spreadsheets/d/161aHT6vVT3SLneTKD19N5qVWtnj_jIT8CSsOmUVKmaA"&amp;"/edit?gid=1761053510"",
          ""Haris_Form responses 1!$AQ:$AQ"")=6)
      ),
      1
    ),
    ""0""
  ),
  ""Form not found""
)
"),"Form not found")</f>
        <v>Form not found</v>
      </c>
      <c r="V148" s="247" t="str">
        <f>IFERROR(__xludf.DUMMYFUNCTION("IFERROR(
  INDEX(
    FILTER(
      Transcription!$AJ:$AJ,
      TRIM(CLEAN(TEXT(Transcription!$F:$F, ""@""))) = TRIM(CLEAN(TEXT($D148, ""@""))),
      Transcription!$AO:$AO = 6
    ),
    1
  ),
  ""Not Found""
)
"),"Not Found")</f>
        <v>Not Found</v>
      </c>
      <c r="Z148" s="10">
        <f t="shared" si="1"/>
        <v>5</v>
      </c>
      <c r="AA148" s="10">
        <f t="shared" si="2"/>
        <v>0</v>
      </c>
    </row>
    <row r="149">
      <c r="A149" s="8" t="str">
        <f>VLOOKUP($D149,Sheet6!$B:$G,5,FALSE)</f>
        <v>Multan</v>
      </c>
      <c r="B149" s="232" t="str">
        <f>VLOOKUP($D149,Sheet6!$B:$G,4,FALSE)</f>
        <v>Women Secular Info Share</v>
      </c>
      <c r="C149" s="8">
        <v>3.0</v>
      </c>
      <c r="D149" s="8" t="s">
        <v>4594</v>
      </c>
      <c r="E14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TRIM(CLEAN(TEXT($D149, ""@""))),
      IMPORTRANGE(""https://docs.google.com/spreadsheets/d/1DccNxjBgurEr0ABkI_"&amp;"rBagJT5phB5HaHG5N_mTm_BiA/edit?gid=1382299152#gid=1382299152"", ""Form responses 1!$Z:$Z"") = 1
    ),
    1
  ),
  ""Not Found""
)
"),"https://drive.google.com/open?id=1Dq5zHiFBbfz7DSVqOC_9MV48iHjfoCya")</f>
        <v>https://drive.google.com/open?id=1Dq5zHiFBbfz7DSVqOC_9MV48iHjfoCya</v>
      </c>
      <c r="F1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1!$E:$E"")=$D149) *
        (IMPORTRANGE(""https://docs.google.com/spreadsheets/d/161aHT6vVT3SLneTKD19N5qVWtnj_jIT8CSsOmUVKmaA"&amp;"/edit?gid=1761053510"",
          ""Haris_Form responses 1!$AQ:$AQ"")=1)
      ),
      1
    ),
    ""0""
  ),
  ""Form not found""
)
"),"1")</f>
        <v>1</v>
      </c>
      <c r="G149" s="245" t="str">
        <f>IFERROR(__xludf.DUMMYFUNCTION("IFERROR(
  INDEX(
    FILTER(
      Transcription!$AJ:$AJ,
      TRIM(CLEAN(TEXT(Transcription!$F:$F, ""@""))) = TRIM(CLEAN(TEXT($D149, ""@""))),
      Transcription!$AO:$AO = 1
    ),
    1
  ),
  ""Not Found""
)
"),"https://drive.google.com/open?id=1WaFaQg6gTp36c14C72hoKlqzxlwD7zLE")</f>
        <v>https://drive.google.com/open?id=1WaFaQg6gTp36c14C72hoKlqzxlwD7zLE</v>
      </c>
      <c r="H14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TRIM(CLEAN(TEXT($D149, ""@""))),
      IMPORTRANGE(""https://docs.google.com/spreadsheets/d/1DccNxjBgurEr0ABkI_"&amp;"rBagJT5phB5HaHG5N_mTm_BiA/edit?gid=1382299152#gid=1382299152"", ""Form responses 1!$Z:$Z"") = 2
    ),
    1
  ),
  ""Not Found""
)
"),"https://drive.google.com/open?id=1tsTFG873Y9i8lTX04KoKLbwJ3dvNjGwn")</f>
        <v>https://drive.google.com/open?id=1tsTFG873Y9i8lTX04KoKLbwJ3dvNjGwn</v>
      </c>
      <c r="I1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1!$E:$E"")=$D149) *
        (IMPORTRANGE(""https://docs.google.com/spreadsheets/d/161aHT6vVT3SLneTKD19N5qVWtnj_jIT8CSsOmUVKmaA"&amp;"/edit?gid=1761053510"",
          ""Haris_Form responses 1!$AQ:$AQ"")=2)
      ),
      1
    ),
    ""0""
  ),
  ""Form not found""
)
"),"2")</f>
        <v>2</v>
      </c>
      <c r="J149" s="245" t="str">
        <f>IFERROR(__xludf.DUMMYFUNCTION("IFERROR(
  INDEX(
    FILTER(
      Transcription!$AJ:$AJ,
      TRIM(CLEAN(TEXT(Transcription!$F:$F, ""@""))) = TRIM(CLEAN(TEXT($D149, ""@""))),
      Transcription!$AO:$AO = 2
    ),
    1
  ),
  ""Not Found""
)
"),"https://drive.google.com/open?id=1uEtXN0R8TUX_xm-3qQL1l6hM7sK4IOiD")</f>
        <v>https://drive.google.com/open?id=1uEtXN0R8TUX_xm-3qQL1l6hM7sK4IOiD</v>
      </c>
      <c r="K14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TRIM(CLEAN(TEXT($D149, ""@""))),
      IMPORTRANGE(""https://docs.google.com/spreadsheets/d/1DccNxjBgurEr0ABkI_"&amp;"rBagJT5phB5HaHG5N_mTm_BiA/edit?gid=1382299152#gid=1382299152"", ""Form responses 1!$Z:$Z"") = 3
    ),
    1
  ),
  ""Not Found""
)
"),"https://drive.google.com/open?id=1kFCmwu8VZ24SI96e98BZA19PD80TYICc")</f>
        <v>https://drive.google.com/open?id=1kFCmwu8VZ24SI96e98BZA19PD80TYICc</v>
      </c>
      <c r="L1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1!$E:$E"")=$D149) *
        (IMPORTRANGE(""https://docs.google.com/spreadsheets/d/161aHT6vVT3SLneTKD19N5qVWtnj_jIT8CSsOmUVKmaA"&amp;"/edit?gid=1761053510"",
          ""Haris_Form responses 1!$AQ:$AQ"")=3)
      ),
      1
    ),
    ""0""
  ),
  ""Form not found""
)
"),"3")</f>
        <v>3</v>
      </c>
      <c r="M149" s="245" t="str">
        <f>IFERROR(__xludf.DUMMYFUNCTION("IFERROR(
  INDEX(
    FILTER(
      Transcription!$AJ:$AJ,
      TRIM(CLEAN(TEXT(Transcription!$F:$F, ""@""))) = TRIM(CLEAN(TEXT($D149, ""@""))),
      Transcription!$AO:$AO = 3
    ),
    1
  ),
  ""Not Found""
)
"),"https://drive.google.com/open?id=1MPOl0DYx7CukwzSpnlR49xCvZqGra1U0")</f>
        <v>https://drive.google.com/open?id=1MPOl0DYx7CukwzSpnlR49xCvZqGra1U0</v>
      </c>
      <c r="N1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TRIM(CLEAN(TEXT($D149, ""@""))),
      IMPORTRANGE(""https://docs.google.com/spreadsheets/d/1DccNxjBgurEr0ABkI_"&amp;"rBagJT5phB5HaHG5N_mTm_BiA/edit?gid=1382299152#gid=1382299152"", ""Form responses 1!$Z:$Z"") = 4
    ),
    1
  ),
  ""Not Found""
)
"),"Not Found")</f>
        <v>Not Found</v>
      </c>
      <c r="O1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1!$E:$E"")=$D149) *
        (IMPORTRANGE(""https://docs.google.com/spreadsheets/d/161aHT6vVT3SLneTKD19N5qVWtnj_jIT8CSsOmUVKmaA"&amp;"/edit?gid=1761053510"",
          ""Haris_Form responses 1!$AQ:$AQ"")=4)
      ),
      1
    ),
    ""0""
  ),
  ""Form not found""
)
"),"Form not found")</f>
        <v>Form not found</v>
      </c>
      <c r="P149" s="247" t="str">
        <f>IFERROR(__xludf.DUMMYFUNCTION("IFERROR(
  INDEX(
    FILTER(
      Transcription!$AJ:$AJ,
      TRIM(CLEAN(TEXT(Transcription!$F:$F, ""@""))) = TRIM(CLEAN(TEXT($D149, ""@""))),
      Transcription!$AO:$AO = 4
    ),
    1
  ),
  ""Not Found""
)
"),"Not Found")</f>
        <v>Not Found</v>
      </c>
      <c r="Q1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TRIM(CLEAN(TEXT($D149, ""@""))),
      IMPORTRANGE(""https://docs.google.com/spreadsheets/d/1DccNxjBgurEr0ABkI_"&amp;"rBagJT5phB5HaHG5N_mTm_BiA/edit?gid=1382299152#gid=1382299152"", ""Form responses 1!$Z:$Z"") = 5
    ),
    1
  ),
  ""Not Found""
)
"),"Not Found")</f>
        <v>Not Found</v>
      </c>
      <c r="R1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1!$E:$E"")=$D149) *
        (IMPORTRANGE(""https://docs.google.com/spreadsheets/d/161aHT6vVT3SLneTKD19N5qVWtnj_jIT8CSsOmUVKmaA"&amp;"/edit?gid=1761053510"",
          ""Haris_Form responses 1!$AQ:$AQ"")=5)
      ),
      1
    ),
    ""0""
  ),
  ""Form not found""
)
"),"Form not found")</f>
        <v>Form not found</v>
      </c>
      <c r="S149" s="247" t="str">
        <f>IFERROR(__xludf.DUMMYFUNCTION("IFERROR(
  INDEX(
    FILTER(
      Transcription!$AJ:$AJ,
      TRIM(CLEAN(TEXT(Transcription!$F:$F, ""@""))) = TRIM(CLEAN(TEXT($D149, ""@""))),
      Transcription!$AO:$AO = 5
    ),
    1
  ),
  ""Not Found""
)
"),"Not Found")</f>
        <v>Not Found</v>
      </c>
      <c r="T1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TRIM(CLEAN(TEXT($D149, ""@""))),
      IMPORTRANGE(""https://docs.google.com/spreadsheets/d/1DccNxjBgurEr0ABkI_"&amp;"rBagJT5phB5HaHG5N_mTm_BiA/edit?gid=1382299152#gid=1382299152"", ""Form responses 1!$Z:$Z"") = 6
    ),
    1
  ),
  ""Not Found""
)
"),"Not Found")</f>
        <v>Not Found</v>
      </c>
      <c r="U1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1!$E:$E"")=$D149) *
        (IMPORTRANGE(""https://docs.google.com/spreadsheets/d/161aHT6vVT3SLneTKD19N5qVWtnj_jIT8CSsOmUVKmaA"&amp;"/edit?gid=1761053510"",
          ""Haris_Form responses 1!$AQ:$AQ"")=6)
      ),
      1
    ),
    ""0""
  ),
  ""Form not found""
)
"),"Form not found")</f>
        <v>Form not found</v>
      </c>
      <c r="V149" s="247" t="str">
        <f>IFERROR(__xludf.DUMMYFUNCTION("IFERROR(
  INDEX(
    FILTER(
      Transcription!$AJ:$AJ,
      TRIM(CLEAN(TEXT(Transcription!$F:$F, ""@""))) = TRIM(CLEAN(TEXT($D149, ""@""))),
      Transcription!$AO:$AO = 6
    ),
    1
  ),
  ""Not Found""
)
"),"Not Found")</f>
        <v>Not Found</v>
      </c>
      <c r="Z149" s="10">
        <f t="shared" si="1"/>
        <v>3</v>
      </c>
      <c r="AA149" s="10">
        <f t="shared" si="2"/>
        <v>0</v>
      </c>
    </row>
    <row r="150">
      <c r="A150" s="8" t="str">
        <f>VLOOKUP($D150,Sheet6!$B:$G,5,FALSE)</f>
        <v>Multan</v>
      </c>
      <c r="B150" s="232" t="str">
        <f>VLOOKUP($D150,Sheet6!$B:$G,4,FALSE)</f>
        <v>Control</v>
      </c>
      <c r="C150" s="8">
        <v>2.0</v>
      </c>
      <c r="D150" s="8" t="s">
        <v>4595</v>
      </c>
      <c r="E15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TRIM(CLEAN(TEXT($D150, ""@""))),
      IMPORTRANGE(""https://docs.google.com/spreadsheets/d/1DccNxjBgurEr0ABkI_"&amp;"rBagJT5phB5HaHG5N_mTm_BiA/edit?gid=1382299152#gid=1382299152"", ""Form responses 1!$Z:$Z"") = 1
    ),
    1
  ),
  ""Not Found""
)
"),"https://drive.google.com/open?id=1Mj9xUFhBxLRYrw9-9FI9cxfuZDTyuW62")</f>
        <v>https://drive.google.com/open?id=1Mj9xUFhBxLRYrw9-9FI9cxfuZDTyuW62</v>
      </c>
      <c r="F1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1!$E:$E"")=$D150) *
        (IMPORTRANGE(""https://docs.google.com/spreadsheets/d/161aHT6vVT3SLneTKD19N5qVWtnj_jIT8CSsOmUVKmaA"&amp;"/edit?gid=1761053510"",
          ""Haris_Form responses 1!$AQ:$AQ"")=1)
      ),
      1
    ),
    ""0""
  ),
  ""Form not found""
)
"),"1")</f>
        <v>1</v>
      </c>
      <c r="G150" s="245" t="str">
        <f>IFERROR(__xludf.DUMMYFUNCTION("IFERROR(
  INDEX(
    FILTER(
      Transcription!$AJ:$AJ,
      TRIM(CLEAN(TEXT(Transcription!$F:$F, ""@""))) = TRIM(CLEAN(TEXT($D150, ""@""))),
      Transcription!$AO:$AO = 1
    ),
    1
  ),
  ""Not Found""
)
"),"https://drive.google.com/open?id=1U4nMUeuxVr8kg1R33Y4We5r4JcaVxh35GywYH8KteTA")</f>
        <v>https://drive.google.com/open?id=1U4nMUeuxVr8kg1R33Y4We5r4JcaVxh35GywYH8KteTA</v>
      </c>
      <c r="H1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TRIM(CLEAN(TEXT($D150, ""@""))),
      IMPORTRANGE(""https://docs.google.com/spreadsheets/d/1DccNxjBgurEr0ABkI_"&amp;"rBagJT5phB5HaHG5N_mTm_BiA/edit?gid=1382299152#gid=1382299152"", ""Form responses 1!$Z:$Z"") = 2
    ),
    1
  ),
  ""Not Found""
)
"),"Not Found")</f>
        <v>Not Found</v>
      </c>
      <c r="I1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1!$E:$E"")=$D150) *
        (IMPORTRANGE(""https://docs.google.com/spreadsheets/d/161aHT6vVT3SLneTKD19N5qVWtnj_jIT8CSsOmUVKmaA"&amp;"/edit?gid=1761053510"",
          ""Haris_Form responses 1!$AQ:$AQ"")=2)
      ),
      1
    ),
    ""0""
  ),
  ""Form not found""
)
"),"Form not found")</f>
        <v>Form not found</v>
      </c>
      <c r="J150" s="247" t="str">
        <f>IFERROR(__xludf.DUMMYFUNCTION("IFERROR(
  INDEX(
    FILTER(
      Transcription!$AJ:$AJ,
      TRIM(CLEAN(TEXT(Transcription!$F:$F, ""@""))) = TRIM(CLEAN(TEXT($D150, ""@""))),
      Transcription!$AO:$AO = 2
    ),
    1
  ),
  ""Not Found""
)
"),"Not Found")</f>
        <v>Not Found</v>
      </c>
      <c r="K15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TRIM(CLEAN(TEXT($D150, ""@""))),
      IMPORTRANGE(""https://docs.google.com/spreadsheets/d/1DccNxjBgurEr0ABkI_"&amp;"rBagJT5phB5HaHG5N_mTm_BiA/edit?gid=1382299152#gid=1382299152"", ""Form responses 1!$Z:$Z"") = 3
    ),
    1
  ),
  ""Not Found""
)
"),"https://drive.google.com/open?id=1rszldnj_eFL2Cf_golXMqaI4HMFprd2j")</f>
        <v>https://drive.google.com/open?id=1rszldnj_eFL2Cf_golXMqaI4HMFprd2j</v>
      </c>
      <c r="L1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1!$E:$E"")=$D150) *
        (IMPORTRANGE(""https://docs.google.com/spreadsheets/d/161aHT6vVT3SLneTKD19N5qVWtnj_jIT8CSsOmUVKmaA"&amp;"/edit?gid=1761053510"",
          ""Haris_Form responses 1!$AQ:$AQ"")=3)
      ),
      1
    ),
    ""0""
  ),
  ""Form not found""
)
"),"3")</f>
        <v>3</v>
      </c>
      <c r="M150" s="245" t="str">
        <f>IFERROR(__xludf.DUMMYFUNCTION("IFERROR(
  INDEX(
    FILTER(
      Transcription!$AJ:$AJ,
      TRIM(CLEAN(TEXT(Transcription!$F:$F, ""@""))) = TRIM(CLEAN(TEXT($D150, ""@""))),
      Transcription!$AO:$AO = 3
    ),
    1
  ),
  ""Not Found""
)
"),"https://drive.google.com/open?id=1QwAD7T_b5uvDbv55ZP4lXHpqcxk1wp2Q")</f>
        <v>https://drive.google.com/open?id=1QwAD7T_b5uvDbv55ZP4lXHpqcxk1wp2Q</v>
      </c>
      <c r="N1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TRIM(CLEAN(TEXT($D150, ""@""))),
      IMPORTRANGE(""https://docs.google.com/spreadsheets/d/1DccNxjBgurEr0ABkI_"&amp;"rBagJT5phB5HaHG5N_mTm_BiA/edit?gid=1382299152#gid=1382299152"", ""Form responses 1!$Z:$Z"") = 4
    ),
    1
  ),
  ""Not Found""
)
"),"Not Found")</f>
        <v>Not Found</v>
      </c>
      <c r="O1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1!$E:$E"")=$D150) *
        (IMPORTRANGE(""https://docs.google.com/spreadsheets/d/161aHT6vVT3SLneTKD19N5qVWtnj_jIT8CSsOmUVKmaA"&amp;"/edit?gid=1761053510"",
          ""Haris_Form responses 1!$AQ:$AQ"")=4)
      ),
      1
    ),
    ""0""
  ),
  ""Form not found""
)
"),"Form not found")</f>
        <v>Form not found</v>
      </c>
      <c r="P150" s="247" t="str">
        <f>IFERROR(__xludf.DUMMYFUNCTION("IFERROR(
  INDEX(
    FILTER(
      Transcription!$AJ:$AJ,
      TRIM(CLEAN(TEXT(Transcription!$F:$F, ""@""))) = TRIM(CLEAN(TEXT($D150, ""@""))),
      Transcription!$AO:$AO = 4
    ),
    1
  ),
  ""Not Found""
)
"),"Not Found")</f>
        <v>Not Found</v>
      </c>
      <c r="Q1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TRIM(CLEAN(TEXT($D150, ""@""))),
      IMPORTRANGE(""https://docs.google.com/spreadsheets/d/1DccNxjBgurEr0ABkI_"&amp;"rBagJT5phB5HaHG5N_mTm_BiA/edit?gid=1382299152#gid=1382299152"", ""Form responses 1!$Z:$Z"") = 5
    ),
    1
  ),
  ""Not Found""
)
"),"Not Found")</f>
        <v>Not Found</v>
      </c>
      <c r="R1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1!$E:$E"")=$D150) *
        (IMPORTRANGE(""https://docs.google.com/spreadsheets/d/161aHT6vVT3SLneTKD19N5qVWtnj_jIT8CSsOmUVKmaA"&amp;"/edit?gid=1761053510"",
          ""Haris_Form responses 1!$AQ:$AQ"")=5)
      ),
      1
    ),
    ""0""
  ),
  ""Form not found""
)
"),"Form not found")</f>
        <v>Form not found</v>
      </c>
      <c r="S150" s="247" t="str">
        <f>IFERROR(__xludf.DUMMYFUNCTION("IFERROR(
  INDEX(
    FILTER(
      Transcription!$AJ:$AJ,
      TRIM(CLEAN(TEXT(Transcription!$F:$F, ""@""))) = TRIM(CLEAN(TEXT($D150, ""@""))),
      Transcription!$AO:$AO = 5
    ),
    1
  ),
  ""Not Found""
)
"),"Not Found")</f>
        <v>Not Found</v>
      </c>
      <c r="T1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TRIM(CLEAN(TEXT($D150, ""@""))),
      IMPORTRANGE(""https://docs.google.com/spreadsheets/d/1DccNxjBgurEr0ABkI_"&amp;"rBagJT5phB5HaHG5N_mTm_BiA/edit?gid=1382299152#gid=1382299152"", ""Form responses 1!$Z:$Z"") = 6
    ),
    1
  ),
  ""Not Found""
)
"),"Not Found")</f>
        <v>Not Found</v>
      </c>
      <c r="U1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1!$E:$E"")=$D150) *
        (IMPORTRANGE(""https://docs.google.com/spreadsheets/d/161aHT6vVT3SLneTKD19N5qVWtnj_jIT8CSsOmUVKmaA"&amp;"/edit?gid=1761053510"",
          ""Haris_Form responses 1!$AQ:$AQ"")=6)
      ),
      1
    ),
    ""0""
  ),
  ""Form not found""
)
"),"Form not found")</f>
        <v>Form not found</v>
      </c>
      <c r="V150" s="247" t="str">
        <f>IFERROR(__xludf.DUMMYFUNCTION("IFERROR(
  INDEX(
    FILTER(
      Transcription!$AJ:$AJ,
      TRIM(CLEAN(TEXT(Transcription!$F:$F, ""@""))) = TRIM(CLEAN(TEXT($D150, ""@""))),
      Transcription!$AO:$AO = 6
    ),
    1
  ),
  ""Not Found""
)
"),"Not Found")</f>
        <v>Not Found</v>
      </c>
      <c r="Z150" s="10">
        <f t="shared" si="1"/>
        <v>2</v>
      </c>
      <c r="AA150" s="10">
        <f t="shared" si="2"/>
        <v>0</v>
      </c>
    </row>
    <row r="151">
      <c r="A151" s="8" t="str">
        <f>VLOOKUP($D151,Sheet6!$B:$G,5,FALSE)</f>
        <v>Multan</v>
      </c>
      <c r="B151" s="232" t="str">
        <f>VLOOKUP($D151,Sheet6!$B:$G,4,FALSE)</f>
        <v>Community Religious No Info Share</v>
      </c>
      <c r="C151" s="8">
        <v>5.0</v>
      </c>
      <c r="D151" s="8" t="s">
        <v>4124</v>
      </c>
      <c r="E1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TRIM(CLEAN(TEXT($D151, ""@""))),
      IMPORTRANGE(""https://docs.google.com/spreadsheets/d/1DccNxjBgurEr0ABkI_"&amp;"rBagJT5phB5HaHG5N_mTm_BiA/edit?gid=1382299152#gid=1382299152"", ""Form responses 1!$Z:$Z"") = 1
    ),
    1
  ),
  ""Not Found""
)
"),"https://drive.google.com/open?id=16AA7fvX-DSLgZl2oyEXRj-AprcvRvtNk")</f>
        <v>https://drive.google.com/open?id=16AA7fvX-DSLgZl2oyEXRj-AprcvRvtNk</v>
      </c>
      <c r="F1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1!$E:$E"")=$D151) *
        (IMPORTRANGE(""https://docs.google.com/spreadsheets/d/161aHT6vVT3SLneTKD19N5qVWtnj_jIT8CSsOmUVKmaA"&amp;"/edit?gid=1761053510"",
          ""Haris_Form responses 1!$AQ:$AQ"")=1)
      ),
      1
    ),
    ""0""
  ),
  ""Form not found""
)
"),"1")</f>
        <v>1</v>
      </c>
      <c r="G151" s="245" t="str">
        <f>IFERROR(__xludf.DUMMYFUNCTION("IFERROR(
  INDEX(
    FILTER(
      Transcription!$AJ:$AJ,
      TRIM(CLEAN(TEXT(Transcription!$F:$F, ""@""))) = TRIM(CLEAN(TEXT($D151, ""@""))),
      Transcription!$AO:$AO = 1
    ),
    1
  ),
  ""Not Found""
)
"),"https://drive.google.com/open?id=17vv-I4iOKvIjdaG0dh3teCx_fVkf5MNM")</f>
        <v>https://drive.google.com/open?id=17vv-I4iOKvIjdaG0dh3teCx_fVkf5MNM</v>
      </c>
      <c r="H1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TRIM(CLEAN(TEXT($D151, ""@""))),
      IMPORTRANGE(""https://docs.google.com/spreadsheets/d/1DccNxjBgurEr0ABkI_"&amp;"rBagJT5phB5HaHG5N_mTm_BiA/edit?gid=1382299152#gid=1382299152"", ""Form responses 1!$Z:$Z"") = 2
    ),
    1
  ),
  ""Not Found""
)
"),"https://drive.google.com/open?id=1ycGVqwwmojsx4OIXqMn8Pbwr8MqutQDb")</f>
        <v>https://drive.google.com/open?id=1ycGVqwwmojsx4OIXqMn8Pbwr8MqutQDb</v>
      </c>
      <c r="I1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1!$E:$E"")=$D151) *
        (IMPORTRANGE(""https://docs.google.com/spreadsheets/d/161aHT6vVT3SLneTKD19N5qVWtnj_jIT8CSsOmUVKmaA"&amp;"/edit?gid=1761053510"",
          ""Haris_Form responses 1!$AQ:$AQ"")=2)
      ),
      1
    ),
    ""0""
  ),
  ""Form not found""
)
"),"2")</f>
        <v>2</v>
      </c>
      <c r="J151" s="245" t="str">
        <f>IFERROR(__xludf.DUMMYFUNCTION("IFERROR(
  INDEX(
    FILTER(
      Transcription!$AJ:$AJ,
      TRIM(CLEAN(TEXT(Transcription!$F:$F, ""@""))) = TRIM(CLEAN(TEXT($D151, ""@""))),
      Transcription!$AO:$AO = 2
    ),
    1
  ),
  ""Not Found""
)
"),"https://drive.google.com/open?id=1VoXqFltymkrNwYRSuj4pnfXHcan7zd3A")</f>
        <v>https://drive.google.com/open?id=1VoXqFltymkrNwYRSuj4pnfXHcan7zd3A</v>
      </c>
      <c r="K1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TRIM(CLEAN(TEXT($D151, ""@""))),
      IMPORTRANGE(""https://docs.google.com/spreadsheets/d/1DccNxjBgurEr0ABkI_"&amp;"rBagJT5phB5HaHG5N_mTm_BiA/edit?gid=1382299152#gid=1382299152"", ""Form responses 1!$Z:$Z"") = 3
    ),
    1
  ),
  ""Not Found""
)
"),"https://drive.google.com/open?id=1gSj-S8ajvaIjtVHJUfs2HESZEtng-cR_")</f>
        <v>https://drive.google.com/open?id=1gSj-S8ajvaIjtVHJUfs2HESZEtng-cR_</v>
      </c>
      <c r="L1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1!$E:$E"")=$D151) *
        (IMPORTRANGE(""https://docs.google.com/spreadsheets/d/161aHT6vVT3SLneTKD19N5qVWtnj_jIT8CSsOmUVKmaA"&amp;"/edit?gid=1761053510"",
          ""Haris_Form responses 1!$AQ:$AQ"")=3)
      ),
      1
    ),
    ""0""
  ),
  ""Form not found""
)
"),"3")</f>
        <v>3</v>
      </c>
      <c r="M151" s="245" t="str">
        <f>IFERROR(__xludf.DUMMYFUNCTION("IFERROR(
  INDEX(
    FILTER(
      Transcription!$AJ:$AJ,
      TRIM(CLEAN(TEXT(Transcription!$F:$F, ""@""))) = TRIM(CLEAN(TEXT($D151, ""@""))),
      Transcription!$AO:$AO = 3
    ),
    1
  ),
  ""Not Found""
)
"),"https://drive.google.com/open?id=15iqofTVELuqsSiDIaayIyitlPyWmg8iUs8FDBNaXKK4")</f>
        <v>https://drive.google.com/open?id=15iqofTVELuqsSiDIaayIyitlPyWmg8iUs8FDBNaXKK4</v>
      </c>
      <c r="N1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TRIM(CLEAN(TEXT($D151, ""@""))),
      IMPORTRANGE(""https://docs.google.com/spreadsheets/d/1DccNxjBgurEr0ABkI_"&amp;"rBagJT5phB5HaHG5N_mTm_BiA/edit?gid=1382299152#gid=1382299152"", ""Form responses 1!$Z:$Z"") = 4
    ),
    1
  ),
  ""Not Found""
)
"),"https://drive.google.com/open?id=1dE0FR58RFaOhSOACHTwwpSDjixZ5eGU2")</f>
        <v>https://drive.google.com/open?id=1dE0FR58RFaOhSOACHTwwpSDjixZ5eGU2</v>
      </c>
      <c r="O1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1!$E:$E"")=$D151) *
        (IMPORTRANGE(""https://docs.google.com/spreadsheets/d/161aHT6vVT3SLneTKD19N5qVWtnj_jIT8CSsOmUVKmaA"&amp;"/edit?gid=1761053510"",
          ""Haris_Form responses 1!$AQ:$AQ"")=4)
      ),
      1
    ),
    ""0""
  ),
  ""Form not found""
)
"),"4")</f>
        <v>4</v>
      </c>
      <c r="P151" s="245" t="str">
        <f>IFERROR(__xludf.DUMMYFUNCTION("IFERROR(
  INDEX(
    FILTER(
      Transcription!$AJ:$AJ,
      TRIM(CLEAN(TEXT(Transcription!$F:$F, ""@""))) = TRIM(CLEAN(TEXT($D151, ""@""))),
      Transcription!$AO:$AO = 4
    ),
    1
  ),
  ""Not Found""
)
"),"https://drive.google.com/file/d/1TBwPx9QxllPperENDYjIDC4wS_n0Riyv/view?usp=sharing")</f>
        <v>https://drive.google.com/file/d/1TBwPx9QxllPperENDYjIDC4wS_n0Riyv/view?usp=sharing</v>
      </c>
      <c r="Q1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TRIM(CLEAN(TEXT($D151, ""@""))),
      IMPORTRANGE(""https://docs.google.com/spreadsheets/d/1DccNxjBgurEr0ABkI_"&amp;"rBagJT5phB5HaHG5N_mTm_BiA/edit?gid=1382299152#gid=1382299152"", ""Form responses 1!$Z:$Z"") = 5
    ),
    1
  ),
  ""Not Found""
)
"),"https://drive.google.com/open?id=1V_VpvKPICEFeoqkwesEDxi4jxFi7pYHf")</f>
        <v>https://drive.google.com/open?id=1V_VpvKPICEFeoqkwesEDxi4jxFi7pYHf</v>
      </c>
      <c r="R1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1!$E:$E"")=$D151) *
        (IMPORTRANGE(""https://docs.google.com/spreadsheets/d/161aHT6vVT3SLneTKD19N5qVWtnj_jIT8CSsOmUVKmaA"&amp;"/edit?gid=1761053510"",
          ""Haris_Form responses 1!$AQ:$AQ"")=5)
      ),
      1
    ),
    ""0""
  ),
  ""Form not found""
)
"),"5")</f>
        <v>5</v>
      </c>
      <c r="S151" s="245" t="str">
        <f>IFERROR(__xludf.DUMMYFUNCTION("IFERROR(
  INDEX(
    FILTER(
      Transcription!$AJ:$AJ,
      TRIM(CLEAN(TEXT(Transcription!$F:$F, ""@""))) = TRIM(CLEAN(TEXT($D151, ""@""))),
      Transcription!$AO:$AO = 5
    ),
    1
  ),
  ""Not Found""
)
"),"https://drive.google.com/open?id=1_L836gNbcuGgBhvNDHiC_7jcyGKgD1Ro")</f>
        <v>https://drive.google.com/open?id=1_L836gNbcuGgBhvNDHiC_7jcyGKgD1Ro</v>
      </c>
      <c r="T15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TRIM(CLEAN(TEXT($D151, ""@""))),
      IMPORTRANGE(""https://docs.google.com/spreadsheets/d/1DccNxjBgurEr0ABkI_"&amp;"rBagJT5phB5HaHG5N_mTm_BiA/edit?gid=1382299152#gid=1382299152"", ""Form responses 1!$Z:$Z"") = 6
    ),
    1
  ),
  ""Not Found""
)
"),"Not Found")</f>
        <v>Not Found</v>
      </c>
      <c r="U1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1!$E:$E"")=$D151) *
        (IMPORTRANGE(""https://docs.google.com/spreadsheets/d/161aHT6vVT3SLneTKD19N5qVWtnj_jIT8CSsOmUVKmaA"&amp;"/edit?gid=1761053510"",
          ""Haris_Form responses 1!$AQ:$AQ"")=6)
      ),
      1
    ),
    ""0""
  ),
  ""Form not found""
)
"),"Form not found")</f>
        <v>Form not found</v>
      </c>
      <c r="V151" s="247" t="str">
        <f>IFERROR(__xludf.DUMMYFUNCTION("IFERROR(
  INDEX(
    FILTER(
      Transcription!$AJ:$AJ,
      TRIM(CLEAN(TEXT(Transcription!$F:$F, ""@""))) = TRIM(CLEAN(TEXT($D151, ""@""))),
      Transcription!$AO:$AO = 6
    ),
    1
  ),
  ""Not Found""
)
"),"Not Found")</f>
        <v>Not Found</v>
      </c>
      <c r="Z151" s="10">
        <f t="shared" si="1"/>
        <v>5</v>
      </c>
      <c r="AA151" s="10">
        <f t="shared" si="2"/>
        <v>0</v>
      </c>
    </row>
    <row r="152">
      <c r="A152" s="8" t="str">
        <f>VLOOKUP($D152,Sheet6!$B:$G,5,FALSE)</f>
        <v>Multan</v>
      </c>
      <c r="B152" s="232" t="str">
        <f>VLOOKUP($D152,Sheet6!$B:$G,4,FALSE)</f>
        <v>Control</v>
      </c>
      <c r="C152" s="8">
        <v>2.0</v>
      </c>
      <c r="D152" s="8" t="s">
        <v>4596</v>
      </c>
      <c r="E15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TRIM(CLEAN(TEXT($D152, ""@""))),
      IMPORTRANGE(""https://docs.google.com/spreadsheets/d/1DccNxjBgurEr0ABkI_"&amp;"rBagJT5phB5HaHG5N_mTm_BiA/edit?gid=1382299152#gid=1382299152"", ""Form responses 1!$Z:$Z"") = 1
    ),
    1
  ),
  ""Not Found""
)
"),"https://drive.google.com/open?id=1yx1c4wIRewAKcggOeCALUUM2jVuFZhuo")</f>
        <v>https://drive.google.com/open?id=1yx1c4wIRewAKcggOeCALUUM2jVuFZhuo</v>
      </c>
      <c r="F1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1!$E:$E"")=$D152) *
        (IMPORTRANGE(""https://docs.google.com/spreadsheets/d/161aHT6vVT3SLneTKD19N5qVWtnj_jIT8CSsOmUVKmaA"&amp;"/edit?gid=1761053510"",
          ""Haris_Form responses 1!$AQ:$AQ"")=1)
      ),
      1
    ),
    ""0""
  ),
  ""Form not found""
)
"),"1")</f>
        <v>1</v>
      </c>
      <c r="G152" s="245" t="str">
        <f>IFERROR(__xludf.DUMMYFUNCTION("IFERROR(
  INDEX(
    FILTER(
      Transcription!$AJ:$AJ,
      TRIM(CLEAN(TEXT(Transcription!$F:$F, ""@""))) = TRIM(CLEAN(TEXT($D152, ""@""))),
      Transcription!$AO:$AO = 1
    ),
    1
  ),
  ""Not Found""
)
"),"https://drive.google.com/open?id=19F5oJr2EJoe6h8iXgZm1iaUud2WOXC9Jny0fhZ1gY5A")</f>
        <v>https://drive.google.com/open?id=19F5oJr2EJoe6h8iXgZm1iaUud2WOXC9Jny0fhZ1gY5A</v>
      </c>
      <c r="H1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TRIM(CLEAN(TEXT($D152, ""@""))),
      IMPORTRANGE(""https://docs.google.com/spreadsheets/d/1DccNxjBgurEr0ABkI_"&amp;"rBagJT5phB5HaHG5N_mTm_BiA/edit?gid=1382299152#gid=1382299152"", ""Form responses 1!$Z:$Z"") = 2
    ),
    1
  ),
  ""Not Found""
)
"),"Not Found")</f>
        <v>Not Found</v>
      </c>
      <c r="I1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1!$E:$E"")=$D152) *
        (IMPORTRANGE(""https://docs.google.com/spreadsheets/d/161aHT6vVT3SLneTKD19N5qVWtnj_jIT8CSsOmUVKmaA"&amp;"/edit?gid=1761053510"",
          ""Haris_Form responses 1!$AQ:$AQ"")=2)
      ),
      1
    ),
    ""0""
  ),
  ""Form not found""
)
"),"Form not found")</f>
        <v>Form not found</v>
      </c>
      <c r="J152" s="247" t="str">
        <f>IFERROR(__xludf.DUMMYFUNCTION("IFERROR(
  INDEX(
    FILTER(
      Transcription!$AJ:$AJ,
      TRIM(CLEAN(TEXT(Transcription!$F:$F, ""@""))) = TRIM(CLEAN(TEXT($D152, ""@""))),
      Transcription!$AO:$AO = 2
    ),
    1
  ),
  ""Not Found""
)
"),"Not Found")</f>
        <v>Not Found</v>
      </c>
      <c r="K15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TRIM(CLEAN(TEXT($D152, ""@""))),
      IMPORTRANGE(""https://docs.google.com/spreadsheets/d/1DccNxjBgurEr0ABkI_"&amp;"rBagJT5phB5HaHG5N_mTm_BiA/edit?gid=1382299152#gid=1382299152"", ""Form responses 1!$Z:$Z"") = 3
    ),
    1
  ),
  ""Not Found""
)
"),"https://drive.google.com/open?id=15SmFNcAfh4f1vlsBmy836yZrjyVh6_cs")</f>
        <v>https://drive.google.com/open?id=15SmFNcAfh4f1vlsBmy836yZrjyVh6_cs</v>
      </c>
      <c r="L1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1!$E:$E"")=$D152) *
        (IMPORTRANGE(""https://docs.google.com/spreadsheets/d/161aHT6vVT3SLneTKD19N5qVWtnj_jIT8CSsOmUVKmaA"&amp;"/edit?gid=1761053510"",
          ""Haris_Form responses 1!$AQ:$AQ"")=3)
      ),
      1
    ),
    ""0""
  ),
  ""Form not found""
)
"),"3")</f>
        <v>3</v>
      </c>
      <c r="M152" s="245" t="str">
        <f>IFERROR(__xludf.DUMMYFUNCTION("IFERROR(
  INDEX(
    FILTER(
      Transcription!$AJ:$AJ,
      TRIM(CLEAN(TEXT(Transcription!$F:$F, ""@""))) = TRIM(CLEAN(TEXT($D152, ""@""))),
      Transcription!$AO:$AO = 3
    ),
    1
  ),
  ""Not Found""
)
"),"https://drive.google.com/open?id=1sddCS4y-dQJ1DzXWJm_wCYvplUpHueU42erUBBvUxK4")</f>
        <v>https://drive.google.com/open?id=1sddCS4y-dQJ1DzXWJm_wCYvplUpHueU42erUBBvUxK4</v>
      </c>
      <c r="N1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TRIM(CLEAN(TEXT($D152, ""@""))),
      IMPORTRANGE(""https://docs.google.com/spreadsheets/d/1DccNxjBgurEr0ABkI_"&amp;"rBagJT5phB5HaHG5N_mTm_BiA/edit?gid=1382299152#gid=1382299152"", ""Form responses 1!$Z:$Z"") = 4
    ),
    1
  ),
  ""Not Found""
)
"),"Not Found")</f>
        <v>Not Found</v>
      </c>
      <c r="O1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1!$E:$E"")=$D152) *
        (IMPORTRANGE(""https://docs.google.com/spreadsheets/d/161aHT6vVT3SLneTKD19N5qVWtnj_jIT8CSsOmUVKmaA"&amp;"/edit?gid=1761053510"",
          ""Haris_Form responses 1!$AQ:$AQ"")=4)
      ),
      1
    ),
    ""0""
  ),
  ""Form not found""
)
"),"Form not found")</f>
        <v>Form not found</v>
      </c>
      <c r="P152" s="247" t="str">
        <f>IFERROR(__xludf.DUMMYFUNCTION("IFERROR(
  INDEX(
    FILTER(
      Transcription!$AJ:$AJ,
      TRIM(CLEAN(TEXT(Transcription!$F:$F, ""@""))) = TRIM(CLEAN(TEXT($D152, ""@""))),
      Transcription!$AO:$AO = 4
    ),
    1
  ),
  ""Not Found""
)
"),"Not Found")</f>
        <v>Not Found</v>
      </c>
      <c r="Q1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TRIM(CLEAN(TEXT($D152, ""@""))),
      IMPORTRANGE(""https://docs.google.com/spreadsheets/d/1DccNxjBgurEr0ABkI_"&amp;"rBagJT5phB5HaHG5N_mTm_BiA/edit?gid=1382299152#gid=1382299152"", ""Form responses 1!$Z:$Z"") = 5
    ),
    1
  ),
  ""Not Found""
)
"),"Not Found")</f>
        <v>Not Found</v>
      </c>
      <c r="R1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1!$E:$E"")=$D152) *
        (IMPORTRANGE(""https://docs.google.com/spreadsheets/d/161aHT6vVT3SLneTKD19N5qVWtnj_jIT8CSsOmUVKmaA"&amp;"/edit?gid=1761053510"",
          ""Haris_Form responses 1!$AQ:$AQ"")=5)
      ),
      1
    ),
    ""0""
  ),
  ""Form not found""
)
"),"Form not found")</f>
        <v>Form not found</v>
      </c>
      <c r="S152" s="247" t="str">
        <f>IFERROR(__xludf.DUMMYFUNCTION("IFERROR(
  INDEX(
    FILTER(
      Transcription!$AJ:$AJ,
      TRIM(CLEAN(TEXT(Transcription!$F:$F, ""@""))) = TRIM(CLEAN(TEXT($D152, ""@""))),
      Transcription!$AO:$AO = 5
    ),
    1
  ),
  ""Not Found""
)
"),"Not Found")</f>
        <v>Not Found</v>
      </c>
      <c r="T1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TRIM(CLEAN(TEXT($D152, ""@""))),
      IMPORTRANGE(""https://docs.google.com/spreadsheets/d/1DccNxjBgurEr0ABkI_"&amp;"rBagJT5phB5HaHG5N_mTm_BiA/edit?gid=1382299152#gid=1382299152"", ""Form responses 1!$Z:$Z"") = 6
    ),
    1
  ),
  ""Not Found""
)
"),"Not Found")</f>
        <v>Not Found</v>
      </c>
      <c r="U1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1!$E:$E"")=$D152) *
        (IMPORTRANGE(""https://docs.google.com/spreadsheets/d/161aHT6vVT3SLneTKD19N5qVWtnj_jIT8CSsOmUVKmaA"&amp;"/edit?gid=1761053510"",
          ""Haris_Form responses 1!$AQ:$AQ"")=6)
      ),
      1
    ),
    ""0""
  ),
  ""Form not found""
)
"),"Form not found")</f>
        <v>Form not found</v>
      </c>
      <c r="V152" s="247" t="str">
        <f>IFERROR(__xludf.DUMMYFUNCTION("IFERROR(
  INDEX(
    FILTER(
      Transcription!$AJ:$AJ,
      TRIM(CLEAN(TEXT(Transcription!$F:$F, ""@""))) = TRIM(CLEAN(TEXT($D152, ""@""))),
      Transcription!$AO:$AO = 6
    ),
    1
  ),
  ""Not Found""
)
"),"Not Found")</f>
        <v>Not Found</v>
      </c>
      <c r="Z152" s="10">
        <f t="shared" si="1"/>
        <v>2</v>
      </c>
      <c r="AA152" s="10">
        <f t="shared" si="2"/>
        <v>0</v>
      </c>
    </row>
    <row r="153">
      <c r="A153" s="8" t="str">
        <f>VLOOKUP($D153,Sheet6!$B:$G,5,FALSE)</f>
        <v>Multan</v>
      </c>
      <c r="B153" s="232" t="str">
        <f>VLOOKUP($D153,Sheet6!$B:$G,4,FALSE)</f>
        <v>Community Secular Info Share</v>
      </c>
      <c r="C153" s="8">
        <v>5.0</v>
      </c>
      <c r="D153" s="8" t="s">
        <v>4597</v>
      </c>
      <c r="E1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TRIM(CLEAN(TEXT($D153, ""@""))),
      IMPORTRANGE(""https://docs.google.com/spreadsheets/d/1DccNxjBgurEr0ABkI_"&amp;"rBagJT5phB5HaHG5N_mTm_BiA/edit?gid=1382299152#gid=1382299152"", ""Form responses 1!$Z:$Z"") = 1
    ),
    1
  ),
  ""Not Found""
)
"),"https://drive.google.com/open?id=1urPYdlyPHO4se1j-cDqKGUTnl_AHm8Dz")</f>
        <v>https://drive.google.com/open?id=1urPYdlyPHO4se1j-cDqKGUTnl_AHm8Dz</v>
      </c>
      <c r="F1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1!$E:$E"")=$D153) *
        (IMPORTRANGE(""https://docs.google.com/spreadsheets/d/161aHT6vVT3SLneTKD19N5qVWtnj_jIT8CSsOmUVKmaA"&amp;"/edit?gid=1761053510"",
          ""Haris_Form responses 1!$AQ:$AQ"")=1)
      ),
      1
    ),
    ""0""
  ),
  ""Form not found""
)
"),"1")</f>
        <v>1</v>
      </c>
      <c r="G153" s="245" t="str">
        <f>IFERROR(__xludf.DUMMYFUNCTION("IFERROR(
  INDEX(
    FILTER(
      Transcription!$AJ:$AJ,
      TRIM(CLEAN(TEXT(Transcription!$F:$F, ""@""))) = TRIM(CLEAN(TEXT($D153, ""@""))),
      Transcription!$AO:$AO = 1
    ),
    1
  ),
  ""Not Found""
)
"),"https://drive.google.com/open?id=1WGojeLNOgY73-14WNIX97JG8T7sh6sI5dD4fj8nBybA")</f>
        <v>https://drive.google.com/open?id=1WGojeLNOgY73-14WNIX97JG8T7sh6sI5dD4fj8nBybA</v>
      </c>
      <c r="H1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TRIM(CLEAN(TEXT($D153, ""@""))),
      IMPORTRANGE(""https://docs.google.com/spreadsheets/d/1DccNxjBgurEr0ABkI_"&amp;"rBagJT5phB5HaHG5N_mTm_BiA/edit?gid=1382299152#gid=1382299152"", ""Form responses 1!$Z:$Z"") = 2
    ),
    1
  ),
  ""Not Found""
)
"),"https://drive.google.com/open?id=1UdccjkbqY5TBESJWTuEOI8OrWGmBr9mg")</f>
        <v>https://drive.google.com/open?id=1UdccjkbqY5TBESJWTuEOI8OrWGmBr9mg</v>
      </c>
      <c r="I1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1!$E:$E"")=$D153) *
        (IMPORTRANGE(""https://docs.google.com/spreadsheets/d/161aHT6vVT3SLneTKD19N5qVWtnj_jIT8CSsOmUVKmaA"&amp;"/edit?gid=1761053510"",
          ""Haris_Form responses 1!$AQ:$AQ"")=2)
      ),
      1
    ),
    ""0""
  ),
  ""Form not found""
)
"),"2")</f>
        <v>2</v>
      </c>
      <c r="J153" s="245" t="str">
        <f>IFERROR(__xludf.DUMMYFUNCTION("IFERROR(
  INDEX(
    FILTER(
      Transcription!$AJ:$AJ,
      TRIM(CLEAN(TEXT(Transcription!$F:$F, ""@""))) = TRIM(CLEAN(TEXT($D153, ""@""))),
      Transcription!$AO:$AO = 2
    ),
    1
  ),
  ""Not Found""
)
"),"https://drive.google.com/open?id=1myLjHTYSMhEuJE6UB_joPzQFHWbcbPu-")</f>
        <v>https://drive.google.com/open?id=1myLjHTYSMhEuJE6UB_joPzQFHWbcbPu-</v>
      </c>
      <c r="K1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TRIM(CLEAN(TEXT($D153, ""@""))),
      IMPORTRANGE(""https://docs.google.com/spreadsheets/d/1DccNxjBgurEr0ABkI_"&amp;"rBagJT5phB5HaHG5N_mTm_BiA/edit?gid=1382299152#gid=1382299152"", ""Form responses 1!$Z:$Z"") = 3
    ),
    1
  ),
  ""Not Found""
)
"),"https://drive.google.com/open?id=1uQLEP8IK7EEf9B1oVr6UwhQa1qI_vbu6")</f>
        <v>https://drive.google.com/open?id=1uQLEP8IK7EEf9B1oVr6UwhQa1qI_vbu6</v>
      </c>
      <c r="L1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1!$E:$E"")=$D153) *
        (IMPORTRANGE(""https://docs.google.com/spreadsheets/d/161aHT6vVT3SLneTKD19N5qVWtnj_jIT8CSsOmUVKmaA"&amp;"/edit?gid=1761053510"",
          ""Haris_Form responses 1!$AQ:$AQ"")=3)
      ),
      1
    ),
    ""0""
  ),
  ""Form not found""
)
"),"3")</f>
        <v>3</v>
      </c>
      <c r="M153" s="245" t="str">
        <f>IFERROR(__xludf.DUMMYFUNCTION("IFERROR(
  INDEX(
    FILTER(
      Transcription!$AJ:$AJ,
      TRIM(CLEAN(TEXT(Transcription!$F:$F, ""@""))) = TRIM(CLEAN(TEXT($D153, ""@""))),
      Transcription!$AO:$AO = 3
    ),
    1
  ),
  ""Not Found""
)
"),"https://drive.google.com/open?id=1BPt3COWepMvAv46K_5TbfAv-Xu30MrQlg5_r7LAnMqc")</f>
        <v>https://drive.google.com/open?id=1BPt3COWepMvAv46K_5TbfAv-Xu30MrQlg5_r7LAnMqc</v>
      </c>
      <c r="N15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TRIM(CLEAN(TEXT($D153, ""@""))),
      IMPORTRANGE(""https://docs.google.com/spreadsheets/d/1DccNxjBgurEr0ABkI_"&amp;"rBagJT5phB5HaHG5N_mTm_BiA/edit?gid=1382299152#gid=1382299152"", ""Form responses 1!$Z:$Z"") = 4
    ),
    1
  ),
  ""Not Found""
)
"),"Not Found")</f>
        <v>Not Found</v>
      </c>
      <c r="O1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1!$E:$E"")=$D153) *
        (IMPORTRANGE(""https://docs.google.com/spreadsheets/d/161aHT6vVT3SLneTKD19N5qVWtnj_jIT8CSsOmUVKmaA"&amp;"/edit?gid=1761053510"",
          ""Haris_Form responses 1!$AQ:$AQ"")=4)
      ),
      1
    ),
    ""0""
  ),
  ""Form not found""
)
"),"Form not found")</f>
        <v>Form not found</v>
      </c>
      <c r="P153" s="247" t="str">
        <f>IFERROR(__xludf.DUMMYFUNCTION("IFERROR(
  INDEX(
    FILTER(
      Transcription!$AJ:$AJ,
      TRIM(CLEAN(TEXT(Transcription!$F:$F, ""@""))) = TRIM(CLEAN(TEXT($D153, ""@""))),
      Transcription!$AO:$AO = 4
    ),
    1
  ),
  ""Not Found""
)
"),"Not Found")</f>
        <v>Not Found</v>
      </c>
      <c r="Q1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TRIM(CLEAN(TEXT($D153, ""@""))),
      IMPORTRANGE(""https://docs.google.com/spreadsheets/d/1DccNxjBgurEr0ABkI_"&amp;"rBagJT5phB5HaHG5N_mTm_BiA/edit?gid=1382299152#gid=1382299152"", ""Form responses 1!$Z:$Z"") = 5
    ),
    1
  ),
  ""Not Found""
)
"),"https://drive.google.com/open?id=1-uhUtPy87fg2mC9SS79LRk9Kxj9Z2pKn")</f>
        <v>https://drive.google.com/open?id=1-uhUtPy87fg2mC9SS79LRk9Kxj9Z2pKn</v>
      </c>
      <c r="R1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1!$E:$E"")=$D153) *
        (IMPORTRANGE(""https://docs.google.com/spreadsheets/d/161aHT6vVT3SLneTKD19N5qVWtnj_jIT8CSsOmUVKmaA"&amp;"/edit?gid=1761053510"",
          ""Haris_Form responses 1!$AQ:$AQ"")=5)
      ),
      1
    ),
    ""0""
  ),
  ""Form not found""
)
"),"5")</f>
        <v>5</v>
      </c>
      <c r="S153" s="245" t="str">
        <f>IFERROR(__xludf.DUMMYFUNCTION("IFERROR(
  INDEX(
    FILTER(
      Transcription!$AJ:$AJ,
      TRIM(CLEAN(TEXT(Transcription!$F:$F, ""@""))) = TRIM(CLEAN(TEXT($D153, ""@""))),
      Transcription!$AO:$AO = 5
    ),
    1
  ),
  ""Not Found""
)
"),"https://drive.google.com/open?id=1j4p4_tLClfS8CnyUYm49YaSRE889o4Bbo3eHfaKRjmA")</f>
        <v>https://drive.google.com/open?id=1j4p4_tLClfS8CnyUYm49YaSRE889o4Bbo3eHfaKRjmA</v>
      </c>
      <c r="T1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TRIM(CLEAN(TEXT($D153, ""@""))),
      IMPORTRANGE(""https://docs.google.com/spreadsheets/d/1DccNxjBgurEr0ABkI_"&amp;"rBagJT5phB5HaHG5N_mTm_BiA/edit?gid=1382299152#gid=1382299152"", ""Form responses 1!$Z:$Z"") = 6
    ),
    1
  ),
  ""Not Found""
)
"),"https://drive.google.com/file/d/1KPX4jd5JH58Y6C6Sq6Ial_PPJSCvHxwy/view?usp=drive_link")</f>
        <v>https://drive.google.com/file/d/1KPX4jd5JH58Y6C6Sq6Ial_PPJSCvHxwy/view?usp=drive_link</v>
      </c>
      <c r="U1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1!$E:$E"")=$D153) *
        (IMPORTRANGE(""https://docs.google.com/spreadsheets/d/161aHT6vVT3SLneTKD19N5qVWtnj_jIT8CSsOmUVKmaA"&amp;"/edit?gid=1761053510"",
          ""Haris_Form responses 1!$AQ:$AQ"")=6)
      ),
      1
    ),
    ""0""
  ),
  ""Form not found""
)
"),"6")</f>
        <v>6</v>
      </c>
      <c r="V153" s="245" t="str">
        <f>IFERROR(__xludf.DUMMYFUNCTION("IFERROR(
  INDEX(
    FILTER(
      Transcription!$AJ:$AJ,
      TRIM(CLEAN(TEXT(Transcription!$F:$F, ""@""))) = TRIM(CLEAN(TEXT($D153, ""@""))),
      Transcription!$AO:$AO = 6
    ),
    1
  ),
  ""Not Found""
)
"),"https://drive.google.com/open?id=11MH40H31hhLMc4mksoJMCB4OMM_gZbCD")</f>
        <v>https://drive.google.com/open?id=11MH40H31hhLMc4mksoJMCB4OMM_gZbCD</v>
      </c>
      <c r="Z153" s="10">
        <f t="shared" si="1"/>
        <v>5</v>
      </c>
      <c r="AA153" s="10">
        <f t="shared" si="2"/>
        <v>0</v>
      </c>
    </row>
    <row r="154">
      <c r="A154" s="8" t="str">
        <f>VLOOKUP($D154,Sheet6!$B:$G,5,FALSE)</f>
        <v>Multan</v>
      </c>
      <c r="B154" s="232" t="str">
        <f>VLOOKUP($D154,Sheet6!$B:$G,4,FALSE)</f>
        <v>Community Secular No Info Share</v>
      </c>
      <c r="C154" s="8">
        <v>3.0</v>
      </c>
      <c r="D154" s="8" t="s">
        <v>4598</v>
      </c>
      <c r="E15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TRIM(CLEAN(TEXT($D154, ""@""))),
      IMPORTRANGE(""https://docs.google.com/spreadsheets/d/1DccNxjBgurEr0ABkI_"&amp;"rBagJT5phB5HaHG5N_mTm_BiA/edit?gid=1382299152#gid=1382299152"", ""Form responses 1!$Z:$Z"") = 1
    ),
    1
  ),
  ""Not Found""
)
"),"https://drive.google.com/open?id=1V3wp-UNHrzfwZB57fM3-PdH7Uwsqsnru")</f>
        <v>https://drive.google.com/open?id=1V3wp-UNHrzfwZB57fM3-PdH7Uwsqsnru</v>
      </c>
      <c r="F1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1!$E:$E"")=$D154) *
        (IMPORTRANGE(""https://docs.google.com/spreadsheets/d/161aHT6vVT3SLneTKD19N5qVWtnj_jIT8CSsOmUVKmaA"&amp;"/edit?gid=1761053510"",
          ""Haris_Form responses 1!$AQ:$AQ"")=1)
      ),
      1
    ),
    ""0""
  ),
  ""Form not found""
)
"),"1")</f>
        <v>1</v>
      </c>
      <c r="G154" s="245" t="str">
        <f>IFERROR(__xludf.DUMMYFUNCTION("IFERROR(
  INDEX(
    FILTER(
      Transcription!$AJ:$AJ,
      TRIM(CLEAN(TEXT(Transcription!$F:$F, ""@""))) = TRIM(CLEAN(TEXT($D154, ""@""))),
      Transcription!$AO:$AO = 1
    ),
    1
  ),
  ""Not Found""
)
"),"https://drive.google.com/open?id=1tjzknM9eT5KBMDV2tnHA7JIPfaDBHkQb3oxSjm5_lO8")</f>
        <v>https://drive.google.com/open?id=1tjzknM9eT5KBMDV2tnHA7JIPfaDBHkQb3oxSjm5_lO8</v>
      </c>
      <c r="H15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TRIM(CLEAN(TEXT($D154, ""@""))),
      IMPORTRANGE(""https://docs.google.com/spreadsheets/d/1DccNxjBgurEr0ABkI_"&amp;"rBagJT5phB5HaHG5N_mTm_BiA/edit?gid=1382299152#gid=1382299152"", ""Form responses 1!$Z:$Z"") = 2
    ),
    1
  ),
  ""Not Found""
)
"),"https://drive.google.com/open?id=1Hl5Ko2hq_zOjmcL2Ly_ISctdUaeAK13h")</f>
        <v>https://drive.google.com/open?id=1Hl5Ko2hq_zOjmcL2Ly_ISctdUaeAK13h</v>
      </c>
      <c r="I1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1!$E:$E"")=$D154) *
        (IMPORTRANGE(""https://docs.google.com/spreadsheets/d/161aHT6vVT3SLneTKD19N5qVWtnj_jIT8CSsOmUVKmaA"&amp;"/edit?gid=1761053510"",
          ""Haris_Form responses 1!$AQ:$AQ"")=2)
      ),
      1
    ),
    ""0""
  ),
  ""Form not found""
)
"),"2")</f>
        <v>2</v>
      </c>
      <c r="J154" s="245" t="str">
        <f>IFERROR(__xludf.DUMMYFUNCTION("IFERROR(
  INDEX(
    FILTER(
      Transcription!$AJ:$AJ,
      TRIM(CLEAN(TEXT(Transcription!$F:$F, ""@""))) = TRIM(CLEAN(TEXT($D154, ""@""))),
      Transcription!$AO:$AO = 2
    ),
    1
  ),
  ""Not Found""
)
"),"https://drive.google.com/open?id=1uZTCEszEHT2umDxL8qZLOUmz2IIPtIZn")</f>
        <v>https://drive.google.com/open?id=1uZTCEszEHT2umDxL8qZLOUmz2IIPtIZn</v>
      </c>
      <c r="K15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TRIM(CLEAN(TEXT($D154, ""@""))),
      IMPORTRANGE(""https://docs.google.com/spreadsheets/d/1DccNxjBgurEr0ABkI_"&amp;"rBagJT5phB5HaHG5N_mTm_BiA/edit?gid=1382299152#gid=1382299152"", ""Form responses 1!$Z:$Z"") = 3
    ),
    1
  ),
  ""Not Found""
)
"),"https://drive.google.com/open?id=1LhxZ-9XbnFWRFUDsix_KLeS85UJbPH4s")</f>
        <v>https://drive.google.com/open?id=1LhxZ-9XbnFWRFUDsix_KLeS85UJbPH4s</v>
      </c>
      <c r="L1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1!$E:$E"")=$D154) *
        (IMPORTRANGE(""https://docs.google.com/spreadsheets/d/161aHT6vVT3SLneTKD19N5qVWtnj_jIT8CSsOmUVKmaA"&amp;"/edit?gid=1761053510"",
          ""Haris_Form responses 1!$AQ:$AQ"")=3)
      ),
      1
    ),
    ""0""
  ),
  ""Form not found""
)
"),"3")</f>
        <v>3</v>
      </c>
      <c r="M154" s="245" t="str">
        <f>IFERROR(__xludf.DUMMYFUNCTION("IFERROR(
  INDEX(
    FILTER(
      Transcription!$AJ:$AJ,
      TRIM(CLEAN(TEXT(Transcription!$F:$F, ""@""))) = TRIM(CLEAN(TEXT($D154, ""@""))),
      Transcription!$AO:$AO = 3
    ),
    1
  ),
  ""Not Found""
)
"),"https://drive.google.com/open?id=1knOEj1KWTn57BMckuPAYCrsEw7Zz2Z4TwlgLlVRSQAc")</f>
        <v>https://drive.google.com/open?id=1knOEj1KWTn57BMckuPAYCrsEw7Zz2Z4TwlgLlVRSQAc</v>
      </c>
      <c r="N15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TRIM(CLEAN(TEXT($D154, ""@""))),
      IMPORTRANGE(""https://docs.google.com/spreadsheets/d/1DccNxjBgurEr0ABkI_"&amp;"rBagJT5phB5HaHG5N_mTm_BiA/edit?gid=1382299152#gid=1382299152"", ""Form responses 1!$Z:$Z"") = 4
    ),
    1
  ),
  ""Not Found""
)
"),"Not Found")</f>
        <v>Not Found</v>
      </c>
      <c r="O1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1!$E:$E"")=$D154) *
        (IMPORTRANGE(""https://docs.google.com/spreadsheets/d/161aHT6vVT3SLneTKD19N5qVWtnj_jIT8CSsOmUVKmaA"&amp;"/edit?gid=1761053510"",
          ""Haris_Form responses 1!$AQ:$AQ"")=4)
      ),
      1
    ),
    ""0""
  ),
  ""Form not found""
)
"),"Form not found")</f>
        <v>Form not found</v>
      </c>
      <c r="P154" s="247" t="str">
        <f>IFERROR(__xludf.DUMMYFUNCTION("IFERROR(
  INDEX(
    FILTER(
      Transcription!$AJ:$AJ,
      TRIM(CLEAN(TEXT(Transcription!$F:$F, ""@""))) = TRIM(CLEAN(TEXT($D154, ""@""))),
      Transcription!$AO:$AO = 4
    ),
    1
  ),
  ""Not Found""
)
"),"Not Found")</f>
        <v>Not Found</v>
      </c>
      <c r="Q15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TRIM(CLEAN(TEXT($D154, ""@""))),
      IMPORTRANGE(""https://docs.google.com/spreadsheets/d/1DccNxjBgurEr0ABkI_"&amp;"rBagJT5phB5HaHG5N_mTm_BiA/edit?gid=1382299152#gid=1382299152"", ""Form responses 1!$Z:$Z"") = 5
    ),
    1
  ),
  ""Not Found""
)
"),"Not Found")</f>
        <v>Not Found</v>
      </c>
      <c r="R1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1!$E:$E"")=$D154) *
        (IMPORTRANGE(""https://docs.google.com/spreadsheets/d/161aHT6vVT3SLneTKD19N5qVWtnj_jIT8CSsOmUVKmaA"&amp;"/edit?gid=1761053510"",
          ""Haris_Form responses 1!$AQ:$AQ"")=5)
      ),
      1
    ),
    ""0""
  ),
  ""Form not found""
)
"),"Form not found")</f>
        <v>Form not found</v>
      </c>
      <c r="S154" s="247" t="str">
        <f>IFERROR(__xludf.DUMMYFUNCTION("IFERROR(
  INDEX(
    FILTER(
      Transcription!$AJ:$AJ,
      TRIM(CLEAN(TEXT(Transcription!$F:$F, ""@""))) = TRIM(CLEAN(TEXT($D154, ""@""))),
      Transcription!$AO:$AO = 5
    ),
    1
  ),
  ""Not Found""
)
"),"Not Found")</f>
        <v>Not Found</v>
      </c>
      <c r="T15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TRIM(CLEAN(TEXT($D154, ""@""))),
      IMPORTRANGE(""https://docs.google.com/spreadsheets/d/1DccNxjBgurEr0ABkI_"&amp;"rBagJT5phB5HaHG5N_mTm_BiA/edit?gid=1382299152#gid=1382299152"", ""Form responses 1!$Z:$Z"") = 6
    ),
    1
  ),
  ""Not Found""
)
"),"Not Found")</f>
        <v>Not Found</v>
      </c>
      <c r="U1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1!$E:$E"")=$D154) *
        (IMPORTRANGE(""https://docs.google.com/spreadsheets/d/161aHT6vVT3SLneTKD19N5qVWtnj_jIT8CSsOmUVKmaA"&amp;"/edit?gid=1761053510"",
          ""Haris_Form responses 1!$AQ:$AQ"")=6)
      ),
      1
    ),
    ""0""
  ),
  ""Form not found""
)
"),"Form not found")</f>
        <v>Form not found</v>
      </c>
      <c r="V154" s="247" t="str">
        <f>IFERROR(__xludf.DUMMYFUNCTION("IFERROR(
  INDEX(
    FILTER(
      Transcription!$AJ:$AJ,
      TRIM(CLEAN(TEXT(Transcription!$F:$F, ""@""))) = TRIM(CLEAN(TEXT($D154, ""@""))),
      Transcription!$AO:$AO = 6
    ),
    1
  ),
  ""Not Found""
)
"),"Not Found")</f>
        <v>Not Found</v>
      </c>
      <c r="Z154" s="10">
        <f t="shared" si="1"/>
        <v>3</v>
      </c>
      <c r="AA154" s="10">
        <f t="shared" si="2"/>
        <v>0</v>
      </c>
    </row>
    <row r="155">
      <c r="A155" s="8" t="str">
        <f>VLOOKUP($D155,Sheet6!$B:$G,5,FALSE)</f>
        <v>Multan</v>
      </c>
      <c r="B155" s="232" t="str">
        <f>VLOOKUP($D155,Sheet6!$B:$G,4,FALSE)</f>
        <v>Women Religious Info Share</v>
      </c>
      <c r="C155" s="8">
        <v>4.0</v>
      </c>
      <c r="D155" s="8" t="s">
        <v>4599</v>
      </c>
      <c r="E15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TRIM(CLEAN(TEXT($D155, ""@""))),
      IMPORTRANGE(""https://docs.google.com/spreadsheets/d/1DccNxjBgurEr0ABkI_"&amp;"rBagJT5phB5HaHG5N_mTm_BiA/edit?gid=1382299152#gid=1382299152"", ""Form responses 1!$Z:$Z"") = 1
    ),
    1
  ),
  ""Not Found""
)
"),"https://drive.google.com/open?id=1glf15fFUJ9lUB3oYHPJhcAIs3ZUABuUF")</f>
        <v>https://drive.google.com/open?id=1glf15fFUJ9lUB3oYHPJhcAIs3ZUABuUF</v>
      </c>
      <c r="F1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1!$E:$E"")=$D155) *
        (IMPORTRANGE(""https://docs.google.com/spreadsheets/d/161aHT6vVT3SLneTKD19N5qVWtnj_jIT8CSsOmUVKmaA"&amp;"/edit?gid=1761053510"",
          ""Haris_Form responses 1!$AQ:$AQ"")=1)
      ),
      1
    ),
    ""0""
  ),
  ""Form not found""
)
"),"1")</f>
        <v>1</v>
      </c>
      <c r="G155" s="245" t="str">
        <f>IFERROR(__xludf.DUMMYFUNCTION("IFERROR(
  INDEX(
    FILTER(
      Transcription!$AJ:$AJ,
      TRIM(CLEAN(TEXT(Transcription!$F:$F, ""@""))) = TRIM(CLEAN(TEXT($D155, ""@""))),
      Transcription!$AO:$AO = 1
    ),
    1
  ),
  ""Not Found""
)
"),"https://drive.google.com/open?id=1gKRx__IBbE8zQHTtw_Cifju5JjfKKtGpi1totynkCK4")</f>
        <v>https://drive.google.com/open?id=1gKRx__IBbE8zQHTtw_Cifju5JjfKKtGpi1totynkCK4</v>
      </c>
      <c r="H15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TRIM(CLEAN(TEXT($D155, ""@""))),
      IMPORTRANGE(""https://docs.google.com/spreadsheets/d/1DccNxjBgurEr0ABkI_"&amp;"rBagJT5phB5HaHG5N_mTm_BiA/edit?gid=1382299152#gid=1382299152"", ""Form responses 1!$Z:$Z"") = 2
    ),
    1
  ),
  ""Not Found""
)
"),"https://drive.google.com/open?id=10GOUazO8tGitVpnzP9jM1U6peRzuvOwi")</f>
        <v>https://drive.google.com/open?id=10GOUazO8tGitVpnzP9jM1U6peRzuvOwi</v>
      </c>
      <c r="I1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1!$E:$E"")=$D155) *
        (IMPORTRANGE(""https://docs.google.com/spreadsheets/d/161aHT6vVT3SLneTKD19N5qVWtnj_jIT8CSsOmUVKmaA"&amp;"/edit?gid=1761053510"",
          ""Haris_Form responses 1!$AQ:$AQ"")=2)
      ),
      1
    ),
    ""0""
  ),
  ""Form not found""
)
"),"2")</f>
        <v>2</v>
      </c>
      <c r="J155" s="245" t="str">
        <f>IFERROR(__xludf.DUMMYFUNCTION("IFERROR(
  INDEX(
    FILTER(
      Transcription!$AJ:$AJ,
      TRIM(CLEAN(TEXT(Transcription!$F:$F, ""@""))) = TRIM(CLEAN(TEXT($D155, ""@""))),
      Transcription!$AO:$AO = 2
    ),
    1
  ),
  ""Not Found""
)
"),"https://drive.google.com/open?id=1IRR9F2nyGz85q1wCpD8kLuOcsCdD0K3_ov3R1ZNSUy0")</f>
        <v>https://drive.google.com/open?id=1IRR9F2nyGz85q1wCpD8kLuOcsCdD0K3_ov3R1ZNSUy0</v>
      </c>
      <c r="K15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TRIM(CLEAN(TEXT($D155, ""@""))),
      IMPORTRANGE(""https://docs.google.com/spreadsheets/d/1DccNxjBgurEr0ABkI_"&amp;"rBagJT5phB5HaHG5N_mTm_BiA/edit?gid=1382299152#gid=1382299152"", ""Form responses 1!$Z:$Z"") = 3
    ),
    1
  ),
  ""Not Found""
)
"),"https://drive.google.com/open?id=1JOzd3PM8Bd-tJJtFtyPP-tXymTrn2WUu")</f>
        <v>https://drive.google.com/open?id=1JOzd3PM8Bd-tJJtFtyPP-tXymTrn2WUu</v>
      </c>
      <c r="L1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1!$E:$E"")=$D155) *
        (IMPORTRANGE(""https://docs.google.com/spreadsheets/d/161aHT6vVT3SLneTKD19N5qVWtnj_jIT8CSsOmUVKmaA"&amp;"/edit?gid=1761053510"",
          ""Haris_Form responses 1!$AQ:$AQ"")=3)
      ),
      1
    ),
    ""0""
  ),
  ""Form not found""
)
"),"3")</f>
        <v>3</v>
      </c>
      <c r="M155" s="245" t="str">
        <f>IFERROR(__xludf.DUMMYFUNCTION("IFERROR(
  INDEX(
    FILTER(
      Transcription!$AJ:$AJ,
      TRIM(CLEAN(TEXT(Transcription!$F:$F, ""@""))) = TRIM(CLEAN(TEXT($D155, ""@""))),
      Transcription!$AO:$AO = 3
    ),
    1
  ),
  ""Not Found""
)
"),"https://drive.google.com/open?id=1JMtldgcE2MtQAaHz-6INmEOr4Iy3VlCWunIQ0XPkS6w")</f>
        <v>https://drive.google.com/open?id=1JMtldgcE2MtQAaHz-6INmEOr4Iy3VlCWunIQ0XPkS6w</v>
      </c>
      <c r="N15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TRIM(CLEAN(TEXT($D155, ""@""))),
      IMPORTRANGE(""https://docs.google.com/spreadsheets/d/1DccNxjBgurEr0ABkI_"&amp;"rBagJT5phB5HaHG5N_mTm_BiA/edit?gid=1382299152#gid=1382299152"", ""Form responses 1!$Z:$Z"") = 4
    ),
    1
  ),
  ""Not Found""
)
"),"https://drive.google.com/open?id=1xZzXf2li0ESfRV5jwlL9SZs2WodIYv8W")</f>
        <v>https://drive.google.com/open?id=1xZzXf2li0ESfRV5jwlL9SZs2WodIYv8W</v>
      </c>
      <c r="O1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1!$E:$E"")=$D155) *
        (IMPORTRANGE(""https://docs.google.com/spreadsheets/d/161aHT6vVT3SLneTKD19N5qVWtnj_jIT8CSsOmUVKmaA"&amp;"/edit?gid=1761053510"",
          ""Haris_Form responses 1!$AQ:$AQ"")=4)
      ),
      1
    ),
    ""0""
  ),
  ""Form not found""
)
"),"4")</f>
        <v>4</v>
      </c>
      <c r="P155" s="245" t="str">
        <f>IFERROR(__xludf.DUMMYFUNCTION("IFERROR(
  INDEX(
    FILTER(
      Transcription!$AJ:$AJ,
      TRIM(CLEAN(TEXT(Transcription!$F:$F, ""@""))) = TRIM(CLEAN(TEXT($D155, ""@""))),
      Transcription!$AO:$AO = 4
    ),
    1
  ),
  ""Not Found""
)
"),"https://drive.google.com/open?id=1KoUwMlwZ3vJ88WRnZsGsl5bpLXTWRdmg")</f>
        <v>https://drive.google.com/open?id=1KoUwMlwZ3vJ88WRnZsGsl5bpLXTWRdmg</v>
      </c>
      <c r="Q15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TRIM(CLEAN(TEXT($D155, ""@""))),
      IMPORTRANGE(""https://docs.google.com/spreadsheets/d/1DccNxjBgurEr0ABkI_"&amp;"rBagJT5phB5HaHG5N_mTm_BiA/edit?gid=1382299152#gid=1382299152"", ""Form responses 1!$Z:$Z"") = 5
    ),
    1
  ),
  ""Not Found""
)
"),"Not Found")</f>
        <v>Not Found</v>
      </c>
      <c r="R1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1!$E:$E"")=$D155) *
        (IMPORTRANGE(""https://docs.google.com/spreadsheets/d/161aHT6vVT3SLneTKD19N5qVWtnj_jIT8CSsOmUVKmaA"&amp;"/edit?gid=1761053510"",
          ""Haris_Form responses 1!$AQ:$AQ"")=5)
      ),
      1
    ),
    ""0""
  ),
  ""Form not found""
)
"),"Form not found")</f>
        <v>Form not found</v>
      </c>
      <c r="S155" s="247" t="str">
        <f>IFERROR(__xludf.DUMMYFUNCTION("IFERROR(
  INDEX(
    FILTER(
      Transcription!$AJ:$AJ,
      TRIM(CLEAN(TEXT(Transcription!$F:$F, ""@""))) = TRIM(CLEAN(TEXT($D155, ""@""))),
      Transcription!$AO:$AO = 5
    ),
    1
  ),
  ""Not Found""
)
"),"Not Found")</f>
        <v>Not Found</v>
      </c>
      <c r="T15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TRIM(CLEAN(TEXT($D155, ""@""))),
      IMPORTRANGE(""https://docs.google.com/spreadsheets/d/1DccNxjBgurEr0ABkI_"&amp;"rBagJT5phB5HaHG5N_mTm_BiA/edit?gid=1382299152#gid=1382299152"", ""Form responses 1!$Z:$Z"") = 6
    ),
    1
  ),
  ""Not Found""
)
"),"Not Found")</f>
        <v>Not Found</v>
      </c>
      <c r="U1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1!$E:$E"")=$D155) *
        (IMPORTRANGE(""https://docs.google.com/spreadsheets/d/161aHT6vVT3SLneTKD19N5qVWtnj_jIT8CSsOmUVKmaA"&amp;"/edit?gid=1761053510"",
          ""Haris_Form responses 1!$AQ:$AQ"")=6)
      ),
      1
    ),
    ""0""
  ),
  ""Form not found""
)
"),"Form not found")</f>
        <v>Form not found</v>
      </c>
      <c r="V155" s="247" t="str">
        <f>IFERROR(__xludf.DUMMYFUNCTION("IFERROR(
  INDEX(
    FILTER(
      Transcription!$AJ:$AJ,
      TRIM(CLEAN(TEXT(Transcription!$F:$F, ""@""))) = TRIM(CLEAN(TEXT($D155, ""@""))),
      Transcription!$AO:$AO = 6
    ),
    1
  ),
  ""Not Found""
)
"),"Not Found")</f>
        <v>Not Found</v>
      </c>
      <c r="Z155" s="10">
        <f t="shared" si="1"/>
        <v>4</v>
      </c>
      <c r="AA155" s="10">
        <f t="shared" si="2"/>
        <v>0</v>
      </c>
    </row>
    <row r="156">
      <c r="A156" s="8" t="str">
        <f>VLOOKUP($D156,Sheet6!$B:$G,5,FALSE)</f>
        <v>Multan</v>
      </c>
      <c r="B156" s="232" t="str">
        <f>VLOOKUP($D156,Sheet6!$B:$G,4,FALSE)</f>
        <v>Community Secular Info Share</v>
      </c>
      <c r="C156" s="8">
        <v>3.0</v>
      </c>
      <c r="D156" s="8" t="s">
        <v>4600</v>
      </c>
      <c r="E15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TRIM(CLEAN(TEXT($D156, ""@""))),
      IMPORTRANGE(""https://docs.google.com/spreadsheets/d/1DccNxjBgurEr0ABkI_"&amp;"rBagJT5phB5HaHG5N_mTm_BiA/edit?gid=1382299152#gid=1382299152"", ""Form responses 1!$Z:$Z"") = 1
    ),
    1
  ),
  ""Not Found""
)
"),"https://drive.google.com/open?id=1XneVz5XtFHE6HgjhziOGooCdOIVKRd4x")</f>
        <v>https://drive.google.com/open?id=1XneVz5XtFHE6HgjhziOGooCdOIVKRd4x</v>
      </c>
      <c r="F1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1!$E:$E"")=$D156) *
        (IMPORTRANGE(""https://docs.google.com/spreadsheets/d/161aHT6vVT3SLneTKD19N5qVWtnj_jIT8CSsOmUVKmaA"&amp;"/edit?gid=1761053510"",
          ""Haris_Form responses 1!$AQ:$AQ"")=1)
      ),
      1
    ),
    ""0""
  ),
  ""Form not found""
)
"),"1")</f>
        <v>1</v>
      </c>
      <c r="G156" s="245" t="str">
        <f>IFERROR(__xludf.DUMMYFUNCTION("IFERROR(
  INDEX(
    FILTER(
      Transcription!$AJ:$AJ,
      TRIM(CLEAN(TEXT(Transcription!$F:$F, ""@""))) = TRIM(CLEAN(TEXT($D156, ""@""))),
      Transcription!$AO:$AO = 1
    ),
    1
  ),
  ""Not Found""
)
"),"https://drive.google.com/open?id=1fe3lhsS4mS9JXgHfOJoK2LetWx-dru7qLSB482IfruU")</f>
        <v>https://drive.google.com/open?id=1fe3lhsS4mS9JXgHfOJoK2LetWx-dru7qLSB482IfruU</v>
      </c>
      <c r="H15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TRIM(CLEAN(TEXT($D156, ""@""))),
      IMPORTRANGE(""https://docs.google.com/spreadsheets/d/1DccNxjBgurEr0ABkI_"&amp;"rBagJT5phB5HaHG5N_mTm_BiA/edit?gid=1382299152#gid=1382299152"", ""Form responses 1!$Z:$Z"") = 2
    ),
    1
  ),
  ""Not Found""
)
"),"https://drive.google.com/open?id=1nL0xIFws3x0g_UIWyKe_p3ibHZehc_LK")</f>
        <v>https://drive.google.com/open?id=1nL0xIFws3x0g_UIWyKe_p3ibHZehc_LK</v>
      </c>
      <c r="I1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1!$E:$E"")=$D156) *
        (IMPORTRANGE(""https://docs.google.com/spreadsheets/d/161aHT6vVT3SLneTKD19N5qVWtnj_jIT8CSsOmUVKmaA"&amp;"/edit?gid=1761053510"",
          ""Haris_Form responses 1!$AQ:$AQ"")=2)
      ),
      1
    ),
    ""0""
  ),
  ""Form not found""
)
"),"2")</f>
        <v>2</v>
      </c>
      <c r="J156" s="245" t="str">
        <f>IFERROR(__xludf.DUMMYFUNCTION("IFERROR(
  INDEX(
    FILTER(
      Transcription!$AJ:$AJ,
      TRIM(CLEAN(TEXT(Transcription!$F:$F, ""@""))) = TRIM(CLEAN(TEXT($D156, ""@""))),
      Transcription!$AO:$AO = 2
    ),
    1
  ),
  ""Not Found""
)
"),"https://drive.google.com/open?id=1_AnbHGQuL5q1l7kwr9HwHmR26jy9XLz1COFMW0uR5Ts")</f>
        <v>https://drive.google.com/open?id=1_AnbHGQuL5q1l7kwr9HwHmR26jy9XLz1COFMW0uR5Ts</v>
      </c>
      <c r="K15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TRIM(CLEAN(TEXT($D156, ""@""))),
      IMPORTRANGE(""https://docs.google.com/spreadsheets/d/1DccNxjBgurEr0ABkI_"&amp;"rBagJT5phB5HaHG5N_mTm_BiA/edit?gid=1382299152#gid=1382299152"", ""Form responses 1!$Z:$Z"") = 3
    ),
    1
  ),
  ""Not Found""
)
"),"https://drive.google.com/open?id=1Ia9pPi2R4G9jywurD0-x1Ag3GFeKG9T6")</f>
        <v>https://drive.google.com/open?id=1Ia9pPi2R4G9jywurD0-x1Ag3GFeKG9T6</v>
      </c>
      <c r="L1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1!$E:$E"")=$D156) *
        (IMPORTRANGE(""https://docs.google.com/spreadsheets/d/161aHT6vVT3SLneTKD19N5qVWtnj_jIT8CSsOmUVKmaA"&amp;"/edit?gid=1761053510"",
          ""Haris_Form responses 1!$AQ:$AQ"")=3)
      ),
      1
    ),
    ""0""
  ),
  ""Form not found""
)
"),"3")</f>
        <v>3</v>
      </c>
      <c r="M156" s="245" t="str">
        <f>IFERROR(__xludf.DUMMYFUNCTION("IFERROR(
  INDEX(
    FILTER(
      Transcription!$AJ:$AJ,
      TRIM(CLEAN(TEXT(Transcription!$F:$F, ""@""))) = TRIM(CLEAN(TEXT($D156, ""@""))),
      Transcription!$AO:$AO = 3
    ),
    1
  ),
  ""Not Found""
)
"),"https://drive.google.com/open?id=1e89_uOOuK_6akD15UZVLC_m8JGTYjpZT")</f>
        <v>https://drive.google.com/open?id=1e89_uOOuK_6akD15UZVLC_m8JGTYjpZT</v>
      </c>
      <c r="N15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TRIM(CLEAN(TEXT($D156, ""@""))),
      IMPORTRANGE(""https://docs.google.com/spreadsheets/d/1DccNxjBgurEr0ABkI_"&amp;"rBagJT5phB5HaHG5N_mTm_BiA/edit?gid=1382299152#gid=1382299152"", ""Form responses 1!$Z:$Z"") = 4
    ),
    1
  ),
  ""Not Found""
)
"),"Not Found")</f>
        <v>Not Found</v>
      </c>
      <c r="O1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1!$E:$E"")=$D156) *
        (IMPORTRANGE(""https://docs.google.com/spreadsheets/d/161aHT6vVT3SLneTKD19N5qVWtnj_jIT8CSsOmUVKmaA"&amp;"/edit?gid=1761053510"",
          ""Haris_Form responses 1!$AQ:$AQ"")=4)
      ),
      1
    ),
    ""0""
  ),
  ""Form not found""
)
"),"Form not found")</f>
        <v>Form not found</v>
      </c>
      <c r="P156" s="247" t="str">
        <f>IFERROR(__xludf.DUMMYFUNCTION("IFERROR(
  INDEX(
    FILTER(
      Transcription!$AJ:$AJ,
      TRIM(CLEAN(TEXT(Transcription!$F:$F, ""@""))) = TRIM(CLEAN(TEXT($D156, ""@""))),
      Transcription!$AO:$AO = 4
    ),
    1
  ),
  ""Not Found""
)
"),"Not Found")</f>
        <v>Not Found</v>
      </c>
      <c r="Q15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TRIM(CLEAN(TEXT($D156, ""@""))),
      IMPORTRANGE(""https://docs.google.com/spreadsheets/d/1DccNxjBgurEr0ABkI_"&amp;"rBagJT5phB5HaHG5N_mTm_BiA/edit?gid=1382299152#gid=1382299152"", ""Form responses 1!$Z:$Z"") = 5
    ),
    1
  ),
  ""Not Found""
)
"),"Not Found")</f>
        <v>Not Found</v>
      </c>
      <c r="R1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1!$E:$E"")=$D156) *
        (IMPORTRANGE(""https://docs.google.com/spreadsheets/d/161aHT6vVT3SLneTKD19N5qVWtnj_jIT8CSsOmUVKmaA"&amp;"/edit?gid=1761053510"",
          ""Haris_Form responses 1!$AQ:$AQ"")=5)
      ),
      1
    ),
    ""0""
  ),
  ""Form not found""
)
"),"Form not found")</f>
        <v>Form not found</v>
      </c>
      <c r="S156" s="247" t="str">
        <f>IFERROR(__xludf.DUMMYFUNCTION("IFERROR(
  INDEX(
    FILTER(
      Transcription!$AJ:$AJ,
      TRIM(CLEAN(TEXT(Transcription!$F:$F, ""@""))) = TRIM(CLEAN(TEXT($D156, ""@""))),
      Transcription!$AO:$AO = 5
    ),
    1
  ),
  ""Not Found""
)
"),"Not Found")</f>
        <v>Not Found</v>
      </c>
      <c r="T15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TRIM(CLEAN(TEXT($D156, ""@""))),
      IMPORTRANGE(""https://docs.google.com/spreadsheets/d/1DccNxjBgurEr0ABkI_"&amp;"rBagJT5phB5HaHG5N_mTm_BiA/edit?gid=1382299152#gid=1382299152"", ""Form responses 1!$Z:$Z"") = 6
    ),
    1
  ),
  ""Not Found""
)
"),"Not Found")</f>
        <v>Not Found</v>
      </c>
      <c r="U1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1!$E:$E"")=$D156) *
        (IMPORTRANGE(""https://docs.google.com/spreadsheets/d/161aHT6vVT3SLneTKD19N5qVWtnj_jIT8CSsOmUVKmaA"&amp;"/edit?gid=1761053510"",
          ""Haris_Form responses 1!$AQ:$AQ"")=6)
      ),
      1
    ),
    ""0""
  ),
  ""Form not found""
)
"),"Form not found")</f>
        <v>Form not found</v>
      </c>
      <c r="V156" s="247" t="str">
        <f>IFERROR(__xludf.DUMMYFUNCTION("IFERROR(
  INDEX(
    FILTER(
      Transcription!$AJ:$AJ,
      TRIM(CLEAN(TEXT(Transcription!$F:$F, ""@""))) = TRIM(CLEAN(TEXT($D156, ""@""))),
      Transcription!$AO:$AO = 6
    ),
    1
  ),
  ""Not Found""
)
"),"Not Found")</f>
        <v>Not Found</v>
      </c>
      <c r="Z156" s="10">
        <f t="shared" si="1"/>
        <v>3</v>
      </c>
      <c r="AA156" s="10">
        <f t="shared" si="2"/>
        <v>0</v>
      </c>
    </row>
    <row r="157">
      <c r="A157" s="8" t="str">
        <f>VLOOKUP($D157,Sheet6!$B:$G,5,FALSE)</f>
        <v>Multan</v>
      </c>
      <c r="B157" s="232" t="str">
        <f>VLOOKUP($D157,Sheet6!$B:$G,4,FALSE)</f>
        <v>Control</v>
      </c>
      <c r="C157" s="8">
        <v>2.0</v>
      </c>
      <c r="D157" s="8" t="s">
        <v>4601</v>
      </c>
      <c r="E15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TRIM(CLEAN(TEXT($D157, ""@""))),
      IMPORTRANGE(""https://docs.google.com/spreadsheets/d/1DccNxjBgurEr0ABkI_"&amp;"rBagJT5phB5HaHG5N_mTm_BiA/edit?gid=1382299152#gid=1382299152"", ""Form responses 1!$Z:$Z"") = 1
    ),
    1
  ),
  ""Not Found""
)
"),"https://drive.google.com/open?id=1xXoSE-wqhVuPUlokjS9lc_SzAnwNokpb")</f>
        <v>https://drive.google.com/open?id=1xXoSE-wqhVuPUlokjS9lc_SzAnwNokpb</v>
      </c>
      <c r="F1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1!$E:$E"")=$D157) *
        (IMPORTRANGE(""https://docs.google.com/spreadsheets/d/161aHT6vVT3SLneTKD19N5qVWtnj_jIT8CSsOmUVKmaA"&amp;"/edit?gid=1761053510"",
          ""Haris_Form responses 1!$AQ:$AQ"")=1)
      ),
      1
    ),
    ""0""
  ),
  ""Form not found""
)
"),"1")</f>
        <v>1</v>
      </c>
      <c r="G157" s="245" t="str">
        <f>IFERROR(__xludf.DUMMYFUNCTION("IFERROR(
  INDEX(
    FILTER(
      Transcription!$AJ:$AJ,
      TRIM(CLEAN(TEXT(Transcription!$F:$F, ""@""))) = TRIM(CLEAN(TEXT($D157, ""@""))),
      Transcription!$AO:$AO = 1
    ),
    1
  ),
  ""Not Found""
)
"),"https://drive.google.com/open?id=1bKnqEglLtcaIpXsj1dZzKLHGG-mwmo1Su7CQ8OfrJPM")</f>
        <v>https://drive.google.com/open?id=1bKnqEglLtcaIpXsj1dZzKLHGG-mwmo1Su7CQ8OfrJPM</v>
      </c>
      <c r="H1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TRIM(CLEAN(TEXT($D157, ""@""))),
      IMPORTRANGE(""https://docs.google.com/spreadsheets/d/1DccNxjBgurEr0ABkI_"&amp;"rBagJT5phB5HaHG5N_mTm_BiA/edit?gid=1382299152#gid=1382299152"", ""Form responses 1!$Z:$Z"") = 2
    ),
    1
  ),
  ""Not Found""
)
"),"Not Found")</f>
        <v>Not Found</v>
      </c>
      <c r="I1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1!$E:$E"")=$D157) *
        (IMPORTRANGE(""https://docs.google.com/spreadsheets/d/161aHT6vVT3SLneTKD19N5qVWtnj_jIT8CSsOmUVKmaA"&amp;"/edit?gid=1761053510"",
          ""Haris_Form responses 1!$AQ:$AQ"")=2)
      ),
      1
    ),
    ""0""
  ),
  ""Form not found""
)
"),"Form not found")</f>
        <v>Form not found</v>
      </c>
      <c r="J157" s="247" t="str">
        <f>IFERROR(__xludf.DUMMYFUNCTION("IFERROR(
  INDEX(
    FILTER(
      Transcription!$AJ:$AJ,
      TRIM(CLEAN(TEXT(Transcription!$F:$F, ""@""))) = TRIM(CLEAN(TEXT($D157, ""@""))),
      Transcription!$AO:$AO = 2
    ),
    1
  ),
  ""Not Found""
)
"),"Not Found")</f>
        <v>Not Found</v>
      </c>
      <c r="K15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TRIM(CLEAN(TEXT($D157, ""@""))),
      IMPORTRANGE(""https://docs.google.com/spreadsheets/d/1DccNxjBgurEr0ABkI_"&amp;"rBagJT5phB5HaHG5N_mTm_BiA/edit?gid=1382299152#gid=1382299152"", ""Form responses 1!$Z:$Z"") = 3
    ),
    1
  ),
  ""Not Found""
)
"),"https://drive.google.com/open?id=1c-Id4PbD7woc6Ls4dyqBboaHvIyeAhOH")</f>
        <v>https://drive.google.com/open?id=1c-Id4PbD7woc6Ls4dyqBboaHvIyeAhOH</v>
      </c>
      <c r="L1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1!$E:$E"")=$D157) *
        (IMPORTRANGE(""https://docs.google.com/spreadsheets/d/161aHT6vVT3SLneTKD19N5qVWtnj_jIT8CSsOmUVKmaA"&amp;"/edit?gid=1761053510"",
          ""Haris_Form responses 1!$AQ:$AQ"")=3)
      ),
      1
    ),
    ""0""
  ),
  ""Form not found""
)
"),"3")</f>
        <v>3</v>
      </c>
      <c r="M157" s="245" t="str">
        <f>IFERROR(__xludf.DUMMYFUNCTION("IFERROR(
  INDEX(
    FILTER(
      Transcription!$AJ:$AJ,
      TRIM(CLEAN(TEXT(Transcription!$F:$F, ""@""))) = TRIM(CLEAN(TEXT($D157, ""@""))),
      Transcription!$AO:$AO = 3
    ),
    1
  ),
  ""Not Found""
)
"),"https://drive.google.com/open?id=18azfO1e-3SqfBf6ZgkE-zwX69ANVx8YqJ11c7yyCcNg")</f>
        <v>https://drive.google.com/open?id=18azfO1e-3SqfBf6ZgkE-zwX69ANVx8YqJ11c7yyCcNg</v>
      </c>
      <c r="N1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TRIM(CLEAN(TEXT($D157, ""@""))),
      IMPORTRANGE(""https://docs.google.com/spreadsheets/d/1DccNxjBgurEr0ABkI_"&amp;"rBagJT5phB5HaHG5N_mTm_BiA/edit?gid=1382299152#gid=1382299152"", ""Form responses 1!$Z:$Z"") = 4
    ),
    1
  ),
  ""Not Found""
)
"),"Not Found")</f>
        <v>Not Found</v>
      </c>
      <c r="O1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1!$E:$E"")=$D157) *
        (IMPORTRANGE(""https://docs.google.com/spreadsheets/d/161aHT6vVT3SLneTKD19N5qVWtnj_jIT8CSsOmUVKmaA"&amp;"/edit?gid=1761053510"",
          ""Haris_Form responses 1!$AQ:$AQ"")=4)
      ),
      1
    ),
    ""0""
  ),
  ""Form not found""
)
"),"Form not found")</f>
        <v>Form not found</v>
      </c>
      <c r="P157" s="247" t="str">
        <f>IFERROR(__xludf.DUMMYFUNCTION("IFERROR(
  INDEX(
    FILTER(
      Transcription!$AJ:$AJ,
      TRIM(CLEAN(TEXT(Transcription!$F:$F, ""@""))) = TRIM(CLEAN(TEXT($D157, ""@""))),
      Transcription!$AO:$AO = 4
    ),
    1
  ),
  ""Not Found""
)
"),"Not Found")</f>
        <v>Not Found</v>
      </c>
      <c r="Q1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TRIM(CLEAN(TEXT($D157, ""@""))),
      IMPORTRANGE(""https://docs.google.com/spreadsheets/d/1DccNxjBgurEr0ABkI_"&amp;"rBagJT5phB5HaHG5N_mTm_BiA/edit?gid=1382299152#gid=1382299152"", ""Form responses 1!$Z:$Z"") = 5
    ),
    1
  ),
  ""Not Found""
)
"),"Not Found")</f>
        <v>Not Found</v>
      </c>
      <c r="R1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1!$E:$E"")=$D157) *
        (IMPORTRANGE(""https://docs.google.com/spreadsheets/d/161aHT6vVT3SLneTKD19N5qVWtnj_jIT8CSsOmUVKmaA"&amp;"/edit?gid=1761053510"",
          ""Haris_Form responses 1!$AQ:$AQ"")=5)
      ),
      1
    ),
    ""0""
  ),
  ""Form not found""
)
"),"Form not found")</f>
        <v>Form not found</v>
      </c>
      <c r="S157" s="247" t="str">
        <f>IFERROR(__xludf.DUMMYFUNCTION("IFERROR(
  INDEX(
    FILTER(
      Transcription!$AJ:$AJ,
      TRIM(CLEAN(TEXT(Transcription!$F:$F, ""@""))) = TRIM(CLEAN(TEXT($D157, ""@""))),
      Transcription!$AO:$AO = 5
    ),
    1
  ),
  ""Not Found""
)
"),"Not Found")</f>
        <v>Not Found</v>
      </c>
      <c r="T1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TRIM(CLEAN(TEXT($D157, ""@""))),
      IMPORTRANGE(""https://docs.google.com/spreadsheets/d/1DccNxjBgurEr0ABkI_"&amp;"rBagJT5phB5HaHG5N_mTm_BiA/edit?gid=1382299152#gid=1382299152"", ""Form responses 1!$Z:$Z"") = 6
    ),
    1
  ),
  ""Not Found""
)
"),"Not Found")</f>
        <v>Not Found</v>
      </c>
      <c r="U1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1!$E:$E"")=$D157) *
        (IMPORTRANGE(""https://docs.google.com/spreadsheets/d/161aHT6vVT3SLneTKD19N5qVWtnj_jIT8CSsOmUVKmaA"&amp;"/edit?gid=1761053510"",
          ""Haris_Form responses 1!$AQ:$AQ"")=6)
      ),
      1
    ),
    ""0""
  ),
  ""Form not found""
)
"),"Form not found")</f>
        <v>Form not found</v>
      </c>
      <c r="V157" s="247" t="str">
        <f>IFERROR(__xludf.DUMMYFUNCTION("IFERROR(
  INDEX(
    FILTER(
      Transcription!$AJ:$AJ,
      TRIM(CLEAN(TEXT(Transcription!$F:$F, ""@""))) = TRIM(CLEAN(TEXT($D157, ""@""))),
      Transcription!$AO:$AO = 6
    ),
    1
  ),
  ""Not Found""
)
"),"Not Found")</f>
        <v>Not Found</v>
      </c>
      <c r="Z157" s="10">
        <f t="shared" si="1"/>
        <v>2</v>
      </c>
      <c r="AA157" s="10">
        <f t="shared" si="2"/>
        <v>0</v>
      </c>
    </row>
    <row r="158">
      <c r="A158" s="8" t="str">
        <f>VLOOKUP($D158,Sheet6!$B:$G,5,FALSE)</f>
        <v>Multan</v>
      </c>
      <c r="B158" s="232" t="str">
        <f>VLOOKUP($D158,Sheet6!$B:$G,4,FALSE)</f>
        <v>Women Secular No Info Share</v>
      </c>
      <c r="C158" s="8">
        <v>3.0</v>
      </c>
      <c r="D158" s="8" t="s">
        <v>4602</v>
      </c>
      <c r="E15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TRIM(CLEAN(TEXT($D158, ""@""))),
      IMPORTRANGE(""https://docs.google.com/spreadsheets/d/1DccNxjBgurEr0ABkI_"&amp;"rBagJT5phB5HaHG5N_mTm_BiA/edit?gid=1382299152#gid=1382299152"", ""Form responses 1!$Z:$Z"") = 1
    ),
    1
  ),
  ""Not Found""
)
"),"https://drive.google.com/open?id=1i9mjq6fHRshRZCnndVcrkoOAXoBvu1yh")</f>
        <v>https://drive.google.com/open?id=1i9mjq6fHRshRZCnndVcrkoOAXoBvu1yh</v>
      </c>
      <c r="F1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1!$E:$E"")=$D158) *
        (IMPORTRANGE(""https://docs.google.com/spreadsheets/d/161aHT6vVT3SLneTKD19N5qVWtnj_jIT8CSsOmUVKmaA"&amp;"/edit?gid=1761053510"",
          ""Haris_Form responses 1!$AQ:$AQ"")=1)
      ),
      1
    ),
    ""0""
  ),
  ""Form not found""
)
"),"1")</f>
        <v>1</v>
      </c>
      <c r="G158" s="245" t="str">
        <f>IFERROR(__xludf.DUMMYFUNCTION("IFERROR(
  INDEX(
    FILTER(
      Transcription!$AJ:$AJ,
      TRIM(CLEAN(TEXT(Transcription!$F:$F, ""@""))) = TRIM(CLEAN(TEXT($D158, ""@""))),
      Transcription!$AO:$AO = 1
    ),
    1
  ),
  ""Not Found""
)
"),"https://drive.google.com/open?id=1H8XXJTlGxw8f9KjuRnYL1KWDAXSn8a_Thng8-LALE2Q")</f>
        <v>https://drive.google.com/open?id=1H8XXJTlGxw8f9KjuRnYL1KWDAXSn8a_Thng8-LALE2Q</v>
      </c>
      <c r="H15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TRIM(CLEAN(TEXT($D158, ""@""))),
      IMPORTRANGE(""https://docs.google.com/spreadsheets/d/1DccNxjBgurEr0ABkI_"&amp;"rBagJT5phB5HaHG5N_mTm_BiA/edit?gid=1382299152#gid=1382299152"", ""Form responses 1!$Z:$Z"") = 2
    ),
    1
  ),
  ""Not Found""
)
"),"https://drive.google.com/open?id=13Uq7OYaCK_xN9bbWSDInkLkP6MemgziU")</f>
        <v>https://drive.google.com/open?id=13Uq7OYaCK_xN9bbWSDInkLkP6MemgziU</v>
      </c>
      <c r="I1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1!$E:$E"")=$D158) *
        (IMPORTRANGE(""https://docs.google.com/spreadsheets/d/161aHT6vVT3SLneTKD19N5qVWtnj_jIT8CSsOmUVKmaA"&amp;"/edit?gid=1761053510"",
          ""Haris_Form responses 1!$AQ:$AQ"")=2)
      ),
      1
    ),
    ""0""
  ),
  ""Form not found""
)
"),"2")</f>
        <v>2</v>
      </c>
      <c r="J158" s="245" t="str">
        <f>IFERROR(__xludf.DUMMYFUNCTION("IFERROR(
  INDEX(
    FILTER(
      Transcription!$AJ:$AJ,
      TRIM(CLEAN(TEXT(Transcription!$F:$F, ""@""))) = TRIM(CLEAN(TEXT($D158, ""@""))),
      Transcription!$AO:$AO = 2
    ),
    1
  ),
  ""Not Found""
)
"),"https://drive.google.com/open?id=1pDg6b5uA6c6G1PabKHqXVAfEy8nY9_fp")</f>
        <v>https://drive.google.com/open?id=1pDg6b5uA6c6G1PabKHqXVAfEy8nY9_fp</v>
      </c>
      <c r="K15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TRIM(CLEAN(TEXT($D158, ""@""))),
      IMPORTRANGE(""https://docs.google.com/spreadsheets/d/1DccNxjBgurEr0ABkI_"&amp;"rBagJT5phB5HaHG5N_mTm_BiA/edit?gid=1382299152#gid=1382299152"", ""Form responses 1!$Z:$Z"") = 3
    ),
    1
  ),
  ""Not Found""
)
"),"https://drive.google.com/open?id=1AMydLqNr_zUJSDCzC_s33gGFOzxbkTbT")</f>
        <v>https://drive.google.com/open?id=1AMydLqNr_zUJSDCzC_s33gGFOzxbkTbT</v>
      </c>
      <c r="L1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1!$E:$E"")=$D158) *
        (IMPORTRANGE(""https://docs.google.com/spreadsheets/d/161aHT6vVT3SLneTKD19N5qVWtnj_jIT8CSsOmUVKmaA"&amp;"/edit?gid=1761053510"",
          ""Haris_Form responses 1!$AQ:$AQ"")=3)
      ),
      1
    ),
    ""0""
  ),
  ""Form not found""
)
"),"3")</f>
        <v>3</v>
      </c>
      <c r="M158" s="245" t="str">
        <f>IFERROR(__xludf.DUMMYFUNCTION("IFERROR(
  INDEX(
    FILTER(
      Transcription!$AJ:$AJ,
      TRIM(CLEAN(TEXT(Transcription!$F:$F, ""@""))) = TRIM(CLEAN(TEXT($D158, ""@""))),
      Transcription!$AO:$AO = 3
    ),
    1
  ),
  ""Not Found""
)
"),"https://drive.google.com/open?id=1gb-LXaSSayGh2LDOBXam54wgBIZZSpyF")</f>
        <v>https://drive.google.com/open?id=1gb-LXaSSayGh2LDOBXam54wgBIZZSpyF</v>
      </c>
      <c r="N1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TRIM(CLEAN(TEXT($D158, ""@""))),
      IMPORTRANGE(""https://docs.google.com/spreadsheets/d/1DccNxjBgurEr0ABkI_"&amp;"rBagJT5phB5HaHG5N_mTm_BiA/edit?gid=1382299152#gid=1382299152"", ""Form responses 1!$Z:$Z"") = 4
    ),
    1
  ),
  ""Not Found""
)
"),"Not Found")</f>
        <v>Not Found</v>
      </c>
      <c r="O1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1!$E:$E"")=$D158) *
        (IMPORTRANGE(""https://docs.google.com/spreadsheets/d/161aHT6vVT3SLneTKD19N5qVWtnj_jIT8CSsOmUVKmaA"&amp;"/edit?gid=1761053510"",
          ""Haris_Form responses 1!$AQ:$AQ"")=4)
      ),
      1
    ),
    ""0""
  ),
  ""Form not found""
)
"),"Form not found")</f>
        <v>Form not found</v>
      </c>
      <c r="P158" s="247" t="str">
        <f>IFERROR(__xludf.DUMMYFUNCTION("IFERROR(
  INDEX(
    FILTER(
      Transcription!$AJ:$AJ,
      TRIM(CLEAN(TEXT(Transcription!$F:$F, ""@""))) = TRIM(CLEAN(TEXT($D158, ""@""))),
      Transcription!$AO:$AO = 4
    ),
    1
  ),
  ""Not Found""
)
"),"Not Found")</f>
        <v>Not Found</v>
      </c>
      <c r="Q1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TRIM(CLEAN(TEXT($D158, ""@""))),
      IMPORTRANGE(""https://docs.google.com/spreadsheets/d/1DccNxjBgurEr0ABkI_"&amp;"rBagJT5phB5HaHG5N_mTm_BiA/edit?gid=1382299152#gid=1382299152"", ""Form responses 1!$Z:$Z"") = 5
    ),
    1
  ),
  ""Not Found""
)
"),"Not Found")</f>
        <v>Not Found</v>
      </c>
      <c r="R1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1!$E:$E"")=$D158) *
        (IMPORTRANGE(""https://docs.google.com/spreadsheets/d/161aHT6vVT3SLneTKD19N5qVWtnj_jIT8CSsOmUVKmaA"&amp;"/edit?gid=1761053510"",
          ""Haris_Form responses 1!$AQ:$AQ"")=5)
      ),
      1
    ),
    ""0""
  ),
  ""Form not found""
)
"),"Form not found")</f>
        <v>Form not found</v>
      </c>
      <c r="S158" s="247" t="str">
        <f>IFERROR(__xludf.DUMMYFUNCTION("IFERROR(
  INDEX(
    FILTER(
      Transcription!$AJ:$AJ,
      TRIM(CLEAN(TEXT(Transcription!$F:$F, ""@""))) = TRIM(CLEAN(TEXT($D158, ""@""))),
      Transcription!$AO:$AO = 5
    ),
    1
  ),
  ""Not Found""
)
"),"Not Found")</f>
        <v>Not Found</v>
      </c>
      <c r="T1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TRIM(CLEAN(TEXT($D158, ""@""))),
      IMPORTRANGE(""https://docs.google.com/spreadsheets/d/1DccNxjBgurEr0ABkI_"&amp;"rBagJT5phB5HaHG5N_mTm_BiA/edit?gid=1382299152#gid=1382299152"", ""Form responses 1!$Z:$Z"") = 6
    ),
    1
  ),
  ""Not Found""
)
"),"Not Found")</f>
        <v>Not Found</v>
      </c>
      <c r="U1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1!$E:$E"")=$D158) *
        (IMPORTRANGE(""https://docs.google.com/spreadsheets/d/161aHT6vVT3SLneTKD19N5qVWtnj_jIT8CSsOmUVKmaA"&amp;"/edit?gid=1761053510"",
          ""Haris_Form responses 1!$AQ:$AQ"")=6)
      ),
      1
    ),
    ""0""
  ),
  ""Form not found""
)
"),"Form not found")</f>
        <v>Form not found</v>
      </c>
      <c r="V158" s="247" t="str">
        <f>IFERROR(__xludf.DUMMYFUNCTION("IFERROR(
  INDEX(
    FILTER(
      Transcription!$AJ:$AJ,
      TRIM(CLEAN(TEXT(Transcription!$F:$F, ""@""))) = TRIM(CLEAN(TEXT($D158, ""@""))),
      Transcription!$AO:$AO = 6
    ),
    1
  ),
  ""Not Found""
)
"),"Not Found")</f>
        <v>Not Found</v>
      </c>
      <c r="Z158" s="10">
        <f t="shared" si="1"/>
        <v>3</v>
      </c>
      <c r="AA158" s="10">
        <f t="shared" si="2"/>
        <v>0</v>
      </c>
    </row>
    <row r="159">
      <c r="A159" s="8" t="str">
        <f>VLOOKUP($D159,Sheet6!$B:$G,5,FALSE)</f>
        <v>Multan</v>
      </c>
      <c r="B159" s="232" t="str">
        <f>VLOOKUP($D159,Sheet6!$B:$G,4,FALSE)</f>
        <v>Community Secular No Info Share</v>
      </c>
      <c r="C159" s="8">
        <v>3.0</v>
      </c>
      <c r="D159" s="8" t="s">
        <v>4603</v>
      </c>
      <c r="E15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TRIM(CLEAN(TEXT($D159, ""@""))),
      IMPORTRANGE(""https://docs.google.com/spreadsheets/d/1DccNxjBgurEr0ABkI_"&amp;"rBagJT5phB5HaHG5N_mTm_BiA/edit?gid=1382299152#gid=1382299152"", ""Form responses 1!$Z:$Z"") = 1
    ),
    1
  ),
  ""Not Found""
)
"),"https://drive.google.com/open?id=1Q3hvK_-H5BUwHx2tfYySAcXd0SsJPjAN")</f>
        <v>https://drive.google.com/open?id=1Q3hvK_-H5BUwHx2tfYySAcXd0SsJPjAN</v>
      </c>
      <c r="F1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1!$E:$E"")=$D159) *
        (IMPORTRANGE(""https://docs.google.com/spreadsheets/d/161aHT6vVT3SLneTKD19N5qVWtnj_jIT8CSsOmUVKmaA"&amp;"/edit?gid=1761053510"",
          ""Haris_Form responses 1!$AQ:$AQ"")=1)
      ),
      1
    ),
    ""0""
  ),
  ""Form not found""
)
"),"1")</f>
        <v>1</v>
      </c>
      <c r="G159" s="245" t="str">
        <f>IFERROR(__xludf.DUMMYFUNCTION("IFERROR(
  INDEX(
    FILTER(
      Transcription!$AJ:$AJ,
      TRIM(CLEAN(TEXT(Transcription!$F:$F, ""@""))) = TRIM(CLEAN(TEXT($D159, ""@""))),
      Transcription!$AO:$AO = 1
    ),
    1
  ),
  ""Not Found""
)
"),"https://drive.google.com/open?id=1r3CEHm3eA6Wv76Ub5HelcAf6QW2HA_e0uMZ9_5pJCdo")</f>
        <v>https://drive.google.com/open?id=1r3CEHm3eA6Wv76Ub5HelcAf6QW2HA_e0uMZ9_5pJCdo</v>
      </c>
      <c r="H15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TRIM(CLEAN(TEXT($D159, ""@""))),
      IMPORTRANGE(""https://docs.google.com/spreadsheets/d/1DccNxjBgurEr0ABkI_"&amp;"rBagJT5phB5HaHG5N_mTm_BiA/edit?gid=1382299152#gid=1382299152"", ""Form responses 1!$Z:$Z"") = 2
    ),
    1
  ),
  ""Not Found""
)
"),"https://drive.google.com/open?id=1wH-mO-NKLsewVWTCohIwBAjPiSSL7Oem")</f>
        <v>https://drive.google.com/open?id=1wH-mO-NKLsewVWTCohIwBAjPiSSL7Oem</v>
      </c>
      <c r="I1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1!$E:$E"")=$D159) *
        (IMPORTRANGE(""https://docs.google.com/spreadsheets/d/161aHT6vVT3SLneTKD19N5qVWtnj_jIT8CSsOmUVKmaA"&amp;"/edit?gid=1761053510"",
          ""Haris_Form responses 1!$AQ:$AQ"")=2)
      ),
      1
    ),
    ""0""
  ),
  ""Form not found""
)
"),"2")</f>
        <v>2</v>
      </c>
      <c r="J159" s="245" t="str">
        <f>IFERROR(__xludf.DUMMYFUNCTION("IFERROR(
  INDEX(
    FILTER(
      Transcription!$AJ:$AJ,
      TRIM(CLEAN(TEXT(Transcription!$F:$F, ""@""))) = TRIM(CLEAN(TEXT($D159, ""@""))),
      Transcription!$AO:$AO = 2
    ),
    1
  ),
  ""Not Found""
)
"),"https://drive.google.com/open?id=1wxComY7Q0kQDc44tyqPBSUK6jlZOs4ZOI4R4ilfTtzQ")</f>
        <v>https://drive.google.com/open?id=1wxComY7Q0kQDc44tyqPBSUK6jlZOs4ZOI4R4ilfTtzQ</v>
      </c>
      <c r="K15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TRIM(CLEAN(TEXT($D159, ""@""))),
      IMPORTRANGE(""https://docs.google.com/spreadsheets/d/1DccNxjBgurEr0ABkI_"&amp;"rBagJT5phB5HaHG5N_mTm_BiA/edit?gid=1382299152#gid=1382299152"", ""Form responses 1!$Z:$Z"") = 3
    ),
    1
  ),
  ""Not Found""
)
"),"https://drive.google.com/open?id=1uHTHs29eNy0fi3bqytqNCE4JiLNOZYQ3")</f>
        <v>https://drive.google.com/open?id=1uHTHs29eNy0fi3bqytqNCE4JiLNOZYQ3</v>
      </c>
      <c r="L1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1!$E:$E"")=$D159) *
        (IMPORTRANGE(""https://docs.google.com/spreadsheets/d/161aHT6vVT3SLneTKD19N5qVWtnj_jIT8CSsOmUVKmaA"&amp;"/edit?gid=1761053510"",
          ""Haris_Form responses 1!$AQ:$AQ"")=3)
      ),
      1
    ),
    ""0""
  ),
  ""Form not found""
)
"),"3")</f>
        <v>3</v>
      </c>
      <c r="M159" s="245" t="str">
        <f>IFERROR(__xludf.DUMMYFUNCTION("IFERROR(
  INDEX(
    FILTER(
      Transcription!$AJ:$AJ,
      TRIM(CLEAN(TEXT(Transcription!$F:$F, ""@""))) = TRIM(CLEAN(TEXT($D159, ""@""))),
      Transcription!$AO:$AO = 3
    ),
    1
  ),
  ""Not Found""
)
"),"https://drive.google.com/open?id=1eSFPMdSpYhLkeHbX-PK8b51A3rnvqbDTeji_1wTS6WE")</f>
        <v>https://drive.google.com/open?id=1eSFPMdSpYhLkeHbX-PK8b51A3rnvqbDTeji_1wTS6WE</v>
      </c>
      <c r="N1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TRIM(CLEAN(TEXT($D159, ""@""))),
      IMPORTRANGE(""https://docs.google.com/spreadsheets/d/1DccNxjBgurEr0ABkI_"&amp;"rBagJT5phB5HaHG5N_mTm_BiA/edit?gid=1382299152#gid=1382299152"", ""Form responses 1!$Z:$Z"") = 4
    ),
    1
  ),
  ""Not Found""
)
"),"Not Found")</f>
        <v>Not Found</v>
      </c>
      <c r="O1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1!$E:$E"")=$D159) *
        (IMPORTRANGE(""https://docs.google.com/spreadsheets/d/161aHT6vVT3SLneTKD19N5qVWtnj_jIT8CSsOmUVKmaA"&amp;"/edit?gid=1761053510"",
          ""Haris_Form responses 1!$AQ:$AQ"")=4)
      ),
      1
    ),
    ""0""
  ),
  ""Form not found""
)
"),"Form not found")</f>
        <v>Form not found</v>
      </c>
      <c r="P159" s="247" t="str">
        <f>IFERROR(__xludf.DUMMYFUNCTION("IFERROR(
  INDEX(
    FILTER(
      Transcription!$AJ:$AJ,
      TRIM(CLEAN(TEXT(Transcription!$F:$F, ""@""))) = TRIM(CLEAN(TEXT($D159, ""@""))),
      Transcription!$AO:$AO = 4
    ),
    1
  ),
  ""Not Found""
)
"),"Not Found")</f>
        <v>Not Found</v>
      </c>
      <c r="Q1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TRIM(CLEAN(TEXT($D159, ""@""))),
      IMPORTRANGE(""https://docs.google.com/spreadsheets/d/1DccNxjBgurEr0ABkI_"&amp;"rBagJT5phB5HaHG5N_mTm_BiA/edit?gid=1382299152#gid=1382299152"", ""Form responses 1!$Z:$Z"") = 5
    ),
    1
  ),
  ""Not Found""
)
"),"Not Found")</f>
        <v>Not Found</v>
      </c>
      <c r="R1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1!$E:$E"")=$D159) *
        (IMPORTRANGE(""https://docs.google.com/spreadsheets/d/161aHT6vVT3SLneTKD19N5qVWtnj_jIT8CSsOmUVKmaA"&amp;"/edit?gid=1761053510"",
          ""Haris_Form responses 1!$AQ:$AQ"")=5)
      ),
      1
    ),
    ""0""
  ),
  ""Form not found""
)
"),"Form not found")</f>
        <v>Form not found</v>
      </c>
      <c r="S159" s="247" t="str">
        <f>IFERROR(__xludf.DUMMYFUNCTION("IFERROR(
  INDEX(
    FILTER(
      Transcription!$AJ:$AJ,
      TRIM(CLEAN(TEXT(Transcription!$F:$F, ""@""))) = TRIM(CLEAN(TEXT($D159, ""@""))),
      Transcription!$AO:$AO = 5
    ),
    1
  ),
  ""Not Found""
)
"),"Not Found")</f>
        <v>Not Found</v>
      </c>
      <c r="T1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TRIM(CLEAN(TEXT($D159, ""@""))),
      IMPORTRANGE(""https://docs.google.com/spreadsheets/d/1DccNxjBgurEr0ABkI_"&amp;"rBagJT5phB5HaHG5N_mTm_BiA/edit?gid=1382299152#gid=1382299152"", ""Form responses 1!$Z:$Z"") = 6
    ),
    1
  ),
  ""Not Found""
)
"),"Not Found")</f>
        <v>Not Found</v>
      </c>
      <c r="U1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1!$E:$E"")=$D159) *
        (IMPORTRANGE(""https://docs.google.com/spreadsheets/d/161aHT6vVT3SLneTKD19N5qVWtnj_jIT8CSsOmUVKmaA"&amp;"/edit?gid=1761053510"",
          ""Haris_Form responses 1!$AQ:$AQ"")=6)
      ),
      1
    ),
    ""0""
  ),
  ""Form not found""
)
"),"Form not found")</f>
        <v>Form not found</v>
      </c>
      <c r="V159" s="247" t="str">
        <f>IFERROR(__xludf.DUMMYFUNCTION("IFERROR(
  INDEX(
    FILTER(
      Transcription!$AJ:$AJ,
      TRIM(CLEAN(TEXT(Transcription!$F:$F, ""@""))) = TRIM(CLEAN(TEXT($D159, ""@""))),
      Transcription!$AO:$AO = 6
    ),
    1
  ),
  ""Not Found""
)
"),"Not Found")</f>
        <v>Not Found</v>
      </c>
      <c r="Z159" s="10">
        <f t="shared" si="1"/>
        <v>3</v>
      </c>
      <c r="AA159" s="10">
        <f t="shared" si="2"/>
        <v>0</v>
      </c>
    </row>
    <row r="160">
      <c r="A160" s="8" t="str">
        <f>VLOOKUP($D160,Sheet6!$B:$G,5,FALSE)</f>
        <v>Multan</v>
      </c>
      <c r="B160" s="232" t="str">
        <f>VLOOKUP($D160,Sheet6!$B:$G,4,FALSE)</f>
        <v>Control</v>
      </c>
      <c r="C160" s="8">
        <v>2.0</v>
      </c>
      <c r="D160" s="8" t="s">
        <v>4604</v>
      </c>
      <c r="E16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TRIM(CLEAN(TEXT($D160, ""@""))),
      IMPORTRANGE(""https://docs.google.com/spreadsheets/d/1DccNxjBgurEr0ABkI_"&amp;"rBagJT5phB5HaHG5N_mTm_BiA/edit?gid=1382299152#gid=1382299152"", ""Form responses 1!$Z:$Z"") = 1
    ),
    1
  ),
  ""Not Found""
)
"),"https://drive.google.com/open?id=1Ff0qZSImizZY4wxjaGTKDBDB2cn7IiMp")</f>
        <v>https://drive.google.com/open?id=1Ff0qZSImizZY4wxjaGTKDBDB2cn7IiMp</v>
      </c>
      <c r="F1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1!$E:$E"")=$D160) *
        (IMPORTRANGE(""https://docs.google.com/spreadsheets/d/161aHT6vVT3SLneTKD19N5qVWtnj_jIT8CSsOmUVKmaA"&amp;"/edit?gid=1761053510"",
          ""Haris_Form responses 1!$AQ:$AQ"")=1)
      ),
      1
    ),
    ""0""
  ),
  ""Form not found""
)
"),"1")</f>
        <v>1</v>
      </c>
      <c r="G160" s="245" t="str">
        <f>IFERROR(__xludf.DUMMYFUNCTION("IFERROR(
  INDEX(
    FILTER(
      Transcription!$AJ:$AJ,
      TRIM(CLEAN(TEXT(Transcription!$F:$F, ""@""))) = TRIM(CLEAN(TEXT($D160, ""@""))),
      Transcription!$AO:$AO = 1
    ),
    1
  ),
  ""Not Found""
)
"),"https://drive.google.com/open?id=1LtXaBwCrKz1LcuhAVS83QLMU31AqEKhi")</f>
        <v>https://drive.google.com/open?id=1LtXaBwCrKz1LcuhAVS83QLMU31AqEKhi</v>
      </c>
      <c r="H1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TRIM(CLEAN(TEXT($D160, ""@""))),
      IMPORTRANGE(""https://docs.google.com/spreadsheets/d/1DccNxjBgurEr0ABkI_"&amp;"rBagJT5phB5HaHG5N_mTm_BiA/edit?gid=1382299152#gid=1382299152"", ""Form responses 1!$Z:$Z"") = 2
    ),
    1
  ),
  ""Not Found""
)
"),"Not Found")</f>
        <v>Not Found</v>
      </c>
      <c r="I1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1!$E:$E"")=$D160) *
        (IMPORTRANGE(""https://docs.google.com/spreadsheets/d/161aHT6vVT3SLneTKD19N5qVWtnj_jIT8CSsOmUVKmaA"&amp;"/edit?gid=1761053510"",
          ""Haris_Form responses 1!$AQ:$AQ"")=2)
      ),
      1
    ),
    ""0""
  ),
  ""Form not found""
)
"),"Form not found")</f>
        <v>Form not found</v>
      </c>
      <c r="J160" s="247" t="str">
        <f>IFERROR(__xludf.DUMMYFUNCTION("IFERROR(
  INDEX(
    FILTER(
      Transcription!$AJ:$AJ,
      TRIM(CLEAN(TEXT(Transcription!$F:$F, ""@""))) = TRIM(CLEAN(TEXT($D160, ""@""))),
      Transcription!$AO:$AO = 2
    ),
    1
  ),
  ""Not Found""
)
"),"Not Found")</f>
        <v>Not Found</v>
      </c>
      <c r="K16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TRIM(CLEAN(TEXT($D160, ""@""))),
      IMPORTRANGE(""https://docs.google.com/spreadsheets/d/1DccNxjBgurEr0ABkI_"&amp;"rBagJT5phB5HaHG5N_mTm_BiA/edit?gid=1382299152#gid=1382299152"", ""Form responses 1!$Z:$Z"") = 3
    ),
    1
  ),
  ""Not Found""
)
"),"https://drive.google.com/file/d/1pj5UTXzTztrspfpyJy9jPVVdzNiLpbpj/view?usp=drive_link")</f>
        <v>https://drive.google.com/file/d/1pj5UTXzTztrspfpyJy9jPVVdzNiLpbpj/view?usp=drive_link</v>
      </c>
      <c r="L1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1!$E:$E"")=$D160) *
        (IMPORTRANGE(""https://docs.google.com/spreadsheets/d/161aHT6vVT3SLneTKD19N5qVWtnj_jIT8CSsOmUVKmaA"&amp;"/edit?gid=1761053510"",
          ""Haris_Form responses 1!$AQ:$AQ"")=3)
      ),
      1
    ),
    ""0""
  ),
  ""Form not found""
)
"),"3")</f>
        <v>3</v>
      </c>
      <c r="M160" s="245" t="str">
        <f>IFERROR(__xludf.DUMMYFUNCTION("IFERROR(
  INDEX(
    FILTER(
      Transcription!$AJ:$AJ,
      TRIM(CLEAN(TEXT(Transcription!$F:$F, ""@""))) = TRIM(CLEAN(TEXT($D160, ""@""))),
      Transcription!$AO:$AO = 3
    ),
    1
  ),
  ""Not Found""
)
"),"https://drive.google.com/open?id=1ogdUlLnufcDs1xmNg35PDgwASKlvOYHg")</f>
        <v>https://drive.google.com/open?id=1ogdUlLnufcDs1xmNg35PDgwASKlvOYHg</v>
      </c>
      <c r="N1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TRIM(CLEAN(TEXT($D160, ""@""))),
      IMPORTRANGE(""https://docs.google.com/spreadsheets/d/1DccNxjBgurEr0ABkI_"&amp;"rBagJT5phB5HaHG5N_mTm_BiA/edit?gid=1382299152#gid=1382299152"", ""Form responses 1!$Z:$Z"") = 4
    ),
    1
  ),
  ""Not Found""
)
"),"Not Found")</f>
        <v>Not Found</v>
      </c>
      <c r="O1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1!$E:$E"")=$D160) *
        (IMPORTRANGE(""https://docs.google.com/spreadsheets/d/161aHT6vVT3SLneTKD19N5qVWtnj_jIT8CSsOmUVKmaA"&amp;"/edit?gid=1761053510"",
          ""Haris_Form responses 1!$AQ:$AQ"")=4)
      ),
      1
    ),
    ""0""
  ),
  ""Form not found""
)
"),"Form not found")</f>
        <v>Form not found</v>
      </c>
      <c r="P160" s="247" t="str">
        <f>IFERROR(__xludf.DUMMYFUNCTION("IFERROR(
  INDEX(
    FILTER(
      Transcription!$AJ:$AJ,
      TRIM(CLEAN(TEXT(Transcription!$F:$F, ""@""))) = TRIM(CLEAN(TEXT($D160, ""@""))),
      Transcription!$AO:$AO = 4
    ),
    1
  ),
  ""Not Found""
)
"),"Not Found")</f>
        <v>Not Found</v>
      </c>
      <c r="Q1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TRIM(CLEAN(TEXT($D160, ""@""))),
      IMPORTRANGE(""https://docs.google.com/spreadsheets/d/1DccNxjBgurEr0ABkI_"&amp;"rBagJT5phB5HaHG5N_mTm_BiA/edit?gid=1382299152#gid=1382299152"", ""Form responses 1!$Z:$Z"") = 5
    ),
    1
  ),
  ""Not Found""
)
"),"Not Found")</f>
        <v>Not Found</v>
      </c>
      <c r="R1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1!$E:$E"")=$D160) *
        (IMPORTRANGE(""https://docs.google.com/spreadsheets/d/161aHT6vVT3SLneTKD19N5qVWtnj_jIT8CSsOmUVKmaA"&amp;"/edit?gid=1761053510"",
          ""Haris_Form responses 1!$AQ:$AQ"")=5)
      ),
      1
    ),
    ""0""
  ),
  ""Form not found""
)
"),"Form not found")</f>
        <v>Form not found</v>
      </c>
      <c r="S160" s="247" t="str">
        <f>IFERROR(__xludf.DUMMYFUNCTION("IFERROR(
  INDEX(
    FILTER(
      Transcription!$AJ:$AJ,
      TRIM(CLEAN(TEXT(Transcription!$F:$F, ""@""))) = TRIM(CLEAN(TEXT($D160, ""@""))),
      Transcription!$AO:$AO = 5
    ),
    1
  ),
  ""Not Found""
)
"),"Not Found")</f>
        <v>Not Found</v>
      </c>
      <c r="T1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TRIM(CLEAN(TEXT($D160, ""@""))),
      IMPORTRANGE(""https://docs.google.com/spreadsheets/d/1DccNxjBgurEr0ABkI_"&amp;"rBagJT5phB5HaHG5N_mTm_BiA/edit?gid=1382299152#gid=1382299152"", ""Form responses 1!$Z:$Z"") = 6
    ),
    1
  ),
  ""Not Found""
)
"),"Not Found")</f>
        <v>Not Found</v>
      </c>
      <c r="U1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1!$E:$E"")=$D160) *
        (IMPORTRANGE(""https://docs.google.com/spreadsheets/d/161aHT6vVT3SLneTKD19N5qVWtnj_jIT8CSsOmUVKmaA"&amp;"/edit?gid=1761053510"",
          ""Haris_Form responses 1!$AQ:$AQ"")=6)
      ),
      1
    ),
    ""0""
  ),
  ""Form not found""
)
"),"Form not found")</f>
        <v>Form not found</v>
      </c>
      <c r="V160" s="247" t="str">
        <f>IFERROR(__xludf.DUMMYFUNCTION("IFERROR(
  INDEX(
    FILTER(
      Transcription!$AJ:$AJ,
      TRIM(CLEAN(TEXT(Transcription!$F:$F, ""@""))) = TRIM(CLEAN(TEXT($D160, ""@""))),
      Transcription!$AO:$AO = 6
    ),
    1
  ),
  ""Not Found""
)
"),"Not Found")</f>
        <v>Not Found</v>
      </c>
      <c r="Z160" s="10">
        <f t="shared" si="1"/>
        <v>2</v>
      </c>
      <c r="AA160" s="10">
        <f t="shared" si="2"/>
        <v>0</v>
      </c>
    </row>
    <row r="161">
      <c r="A161" s="8" t="str">
        <f>VLOOKUP($D161,Sheet6!$B:$G,5,FALSE)</f>
        <v>Multan</v>
      </c>
      <c r="B161" s="232" t="str">
        <f>VLOOKUP($D161,Sheet6!$B:$G,4,FALSE)</f>
        <v>Women Religious Info Share</v>
      </c>
      <c r="C161" s="8">
        <v>2.0</v>
      </c>
      <c r="D161" s="8" t="s">
        <v>4605</v>
      </c>
      <c r="E1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TRIM(CLEAN(TEXT($D161, ""@""))),
      IMPORTRANGE(""https://docs.google.com/spreadsheets/d/1DccNxjBgurEr0ABkI_"&amp;"rBagJT5phB5HaHG5N_mTm_BiA/edit?gid=1382299152#gid=1382299152"", ""Form responses 1!$Z:$Z"") = 1
    ),
    1
  ),
  ""Not Found""
)
"),"The enumerator didn't reached in the mosque, so I contacted the Imam directly and did the rating.")</f>
        <v>The enumerator didn't reached in the mosque, so I contacted the Imam directly and did the rating.</v>
      </c>
      <c r="F1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1!$E:$E"")=$D161) *
        (IMPORTRANGE(""https://docs.google.com/spreadsheets/d/161aHT6vVT3SLneTKD19N5qVWtnj_jIT8CSsOmUVKmaA"&amp;"/edit?gid=1761053510"",
          ""Haris_Form responses 1!$AQ:$AQ"")=1)
      ),
      1
    ),
    ""0""
  ),
  ""Form not found""
)
"),"Form not found")</f>
        <v>Form not found</v>
      </c>
      <c r="G161" s="247" t="str">
        <f>IFERROR(__xludf.DUMMYFUNCTION("IFERROR(
  INDEX(
    FILTER(
      Transcription!$AJ:$AJ,
      TRIM(CLEAN(TEXT(Transcription!$F:$F, ""@""))) = TRIM(CLEAN(TEXT($D161, ""@""))),
      Transcription!$AO:$AO = 1
    ),
    1
  ),
  ""Not Found""
)
"),"Not Found")</f>
        <v>Not Found</v>
      </c>
      <c r="H16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TRIM(CLEAN(TEXT($D161, ""@""))),
      IMPORTRANGE(""https://docs.google.com/spreadsheets/d/1DccNxjBgurEr0ABkI_"&amp;"rBagJT5phB5HaHG5N_mTm_BiA/edit?gid=1382299152#gid=1382299152"", ""Form responses 1!$Z:$Z"") = 2
    ),
    1
  ),
  ""Not Found""
)
"),"https://drive.google.com/open?id=1m6r7-DfluG2sPOB-8vBjKKan_mLp45XX")</f>
        <v>https://drive.google.com/open?id=1m6r7-DfluG2sPOB-8vBjKKan_mLp45XX</v>
      </c>
      <c r="I1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1!$E:$E"")=$D161) *
        (IMPORTRANGE(""https://docs.google.com/spreadsheets/d/161aHT6vVT3SLneTKD19N5qVWtnj_jIT8CSsOmUVKmaA"&amp;"/edit?gid=1761053510"",
          ""Haris_Form responses 1!$AQ:$AQ"")=2)
      ),
      1
    ),
    ""0""
  ),
  ""Form not found""
)
"),"2")</f>
        <v>2</v>
      </c>
      <c r="J161" s="245" t="str">
        <f>IFERROR(__xludf.DUMMYFUNCTION("IFERROR(
  INDEX(
    FILTER(
      Transcription!$AJ:$AJ,
      TRIM(CLEAN(TEXT(Transcription!$F:$F, ""@""))) = TRIM(CLEAN(TEXT($D161, ""@""))),
      Transcription!$AO:$AO = 2
    ),
    1
  ),
  ""Not Found""
)
"),"https://drive.google.com/open?id=1d6McYVKc7qGcdHGpMtZ1zYkG6nrJY05e")</f>
        <v>https://drive.google.com/open?id=1d6McYVKc7qGcdHGpMtZ1zYkG6nrJY05e</v>
      </c>
      <c r="K16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TRIM(CLEAN(TEXT($D161, ""@""))),
      IMPORTRANGE(""https://docs.google.com/spreadsheets/d/1DccNxjBgurEr0ABkI_"&amp;"rBagJT5phB5HaHG5N_mTm_BiA/edit?gid=1382299152#gid=1382299152"", ""Form responses 1!$Z:$Z"") = 3
    ),
    1
  ),
  ""Not Found""
)
"),"https://drive.google.com/open?id=1vZ8CeUqXh7N_cPX_wrzIdcsjqcTezD0C")</f>
        <v>https://drive.google.com/open?id=1vZ8CeUqXh7N_cPX_wrzIdcsjqcTezD0C</v>
      </c>
      <c r="L1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1!$E:$E"")=$D161) *
        (IMPORTRANGE(""https://docs.google.com/spreadsheets/d/161aHT6vVT3SLneTKD19N5qVWtnj_jIT8CSsOmUVKmaA"&amp;"/edit?gid=1761053510"",
          ""Haris_Form responses 1!$AQ:$AQ"")=3)
      ),
      1
    ),
    ""0""
  ),
  ""Form not found""
)
"),"3")</f>
        <v>3</v>
      </c>
      <c r="M161" s="245" t="str">
        <f>IFERROR(__xludf.DUMMYFUNCTION("IFERROR(
  INDEX(
    FILTER(
      Transcription!$AJ:$AJ,
      TRIM(CLEAN(TEXT(Transcription!$F:$F, ""@""))) = TRIM(CLEAN(TEXT($D161, ""@""))),
      Transcription!$AO:$AO = 3
    ),
    1
  ),
  ""Not Found""
)
"),"https://drive.google.com/open?id=1gMavQCWe48-FAl-ZA29rwJ1r5tGjZFLwJUzTUXvCTbg")</f>
        <v>https://drive.google.com/open?id=1gMavQCWe48-FAl-ZA29rwJ1r5tGjZFLwJUzTUXvCTbg</v>
      </c>
      <c r="N1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TRIM(CLEAN(TEXT($D161, ""@""))),
      IMPORTRANGE(""https://docs.google.com/spreadsheets/d/1DccNxjBgurEr0ABkI_"&amp;"rBagJT5phB5HaHG5N_mTm_BiA/edit?gid=1382299152#gid=1382299152"", ""Form responses 1!$Z:$Z"") = 4
    ),
    1
  ),
  ""Not Found""
)
"),"Not Found")</f>
        <v>Not Found</v>
      </c>
      <c r="O1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1!$E:$E"")=$D161) *
        (IMPORTRANGE(""https://docs.google.com/spreadsheets/d/161aHT6vVT3SLneTKD19N5qVWtnj_jIT8CSsOmUVKmaA"&amp;"/edit?gid=1761053510"",
          ""Haris_Form responses 1!$AQ:$AQ"")=4)
      ),
      1
    ),
    ""0""
  ),
  ""Form not found""
)
"),"Form not found")</f>
        <v>Form not found</v>
      </c>
      <c r="P161" s="247" t="str">
        <f>IFERROR(__xludf.DUMMYFUNCTION("IFERROR(
  INDEX(
    FILTER(
      Transcription!$AJ:$AJ,
      TRIM(CLEAN(TEXT(Transcription!$F:$F, ""@""))) = TRIM(CLEAN(TEXT($D161, ""@""))),
      Transcription!$AO:$AO = 4
    ),
    1
  ),
  ""Not Found""
)
"),"Not Found")</f>
        <v>Not Found</v>
      </c>
      <c r="Q1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TRIM(CLEAN(TEXT($D161, ""@""))),
      IMPORTRANGE(""https://docs.google.com/spreadsheets/d/1DccNxjBgurEr0ABkI_"&amp;"rBagJT5phB5HaHG5N_mTm_BiA/edit?gid=1382299152#gid=1382299152"", ""Form responses 1!$Z:$Z"") = 5
    ),
    1
  ),
  ""Not Found""
)
"),"Not Found")</f>
        <v>Not Found</v>
      </c>
      <c r="R1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1!$E:$E"")=$D161) *
        (IMPORTRANGE(""https://docs.google.com/spreadsheets/d/161aHT6vVT3SLneTKD19N5qVWtnj_jIT8CSsOmUVKmaA"&amp;"/edit?gid=1761053510"",
          ""Haris_Form responses 1!$AQ:$AQ"")=5)
      ),
      1
    ),
    ""0""
  ),
  ""Form not found""
)
"),"Form not found")</f>
        <v>Form not found</v>
      </c>
      <c r="S161" s="247" t="str">
        <f>IFERROR(__xludf.DUMMYFUNCTION("IFERROR(
  INDEX(
    FILTER(
      Transcription!$AJ:$AJ,
      TRIM(CLEAN(TEXT(Transcription!$F:$F, ""@""))) = TRIM(CLEAN(TEXT($D161, ""@""))),
      Transcription!$AO:$AO = 5
    ),
    1
  ),
  ""Not Found""
)
"),"Not Found")</f>
        <v>Not Found</v>
      </c>
      <c r="T1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TRIM(CLEAN(TEXT($D161, ""@""))),
      IMPORTRANGE(""https://docs.google.com/spreadsheets/d/1DccNxjBgurEr0ABkI_"&amp;"rBagJT5phB5HaHG5N_mTm_BiA/edit?gid=1382299152#gid=1382299152"", ""Form responses 1!$Z:$Z"") = 6
    ),
    1
  ),
  ""Not Found""
)
"),"Not Found")</f>
        <v>Not Found</v>
      </c>
      <c r="U1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1!$E:$E"")=$D161) *
        (IMPORTRANGE(""https://docs.google.com/spreadsheets/d/161aHT6vVT3SLneTKD19N5qVWtnj_jIT8CSsOmUVKmaA"&amp;"/edit?gid=1761053510"",
          ""Haris_Form responses 1!$AQ:$AQ"")=6)
      ),
      1
    ),
    ""0""
  ),
  ""Form not found""
)
"),"Form not found")</f>
        <v>Form not found</v>
      </c>
      <c r="V161" s="247" t="str">
        <f>IFERROR(__xludf.DUMMYFUNCTION("IFERROR(
  INDEX(
    FILTER(
      Transcription!$AJ:$AJ,
      TRIM(CLEAN(TEXT(Transcription!$F:$F, ""@""))) = TRIM(CLEAN(TEXT($D161, ""@""))),
      Transcription!$AO:$AO = 6
    ),
    1
  ),
  ""Not Found""
)
"),"Not Found")</f>
        <v>Not Found</v>
      </c>
      <c r="Z161" s="10">
        <f t="shared" si="1"/>
        <v>2</v>
      </c>
      <c r="AA161" s="10">
        <f t="shared" si="2"/>
        <v>0</v>
      </c>
    </row>
    <row r="162">
      <c r="A162" s="8" t="str">
        <f>VLOOKUP($D162,Sheet6!$B:$G,5,FALSE)</f>
        <v>Multan</v>
      </c>
      <c r="B162" s="232" t="str">
        <f>VLOOKUP($D162,Sheet6!$B:$G,4,FALSE)</f>
        <v>Women Secular No Info Share</v>
      </c>
      <c r="C162" s="8">
        <v>3.0</v>
      </c>
      <c r="D162" s="8" t="s">
        <v>4606</v>
      </c>
      <c r="E1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TRIM(CLEAN(TEXT($D162, ""@""))),
      IMPORTRANGE(""https://docs.google.com/spreadsheets/d/1DccNxjBgurEr0ABkI_"&amp;"rBagJT5phB5HaHG5N_mTm_BiA/edit?gid=1382299152#gid=1382299152"", ""Form responses 1!$Z:$Z"") = 1
    ),
    1
  ),
  ""Not Found""
)
"),"https://drive.google.com/open?id=1Q0KEZ3FuGacZ-xWYepcKvwau6O93FIDJ")</f>
        <v>https://drive.google.com/open?id=1Q0KEZ3FuGacZ-xWYepcKvwau6O93FIDJ</v>
      </c>
      <c r="F1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1!$E:$E"")=$D162) *
        (IMPORTRANGE(""https://docs.google.com/spreadsheets/d/161aHT6vVT3SLneTKD19N5qVWtnj_jIT8CSsOmUVKmaA"&amp;"/edit?gid=1761053510"",
          ""Haris_Form responses 1!$AQ:$AQ"")=1)
      ),
      1
    ),
    ""0""
  ),
  ""Form not found""
)
"),"1")</f>
        <v>1</v>
      </c>
      <c r="G162" s="245" t="str">
        <f>IFERROR(__xludf.DUMMYFUNCTION("IFERROR(
  INDEX(
    FILTER(
      Transcription!$AJ:$AJ,
      TRIM(CLEAN(TEXT(Transcription!$F:$F, ""@""))) = TRIM(CLEAN(TEXT($D162, ""@""))),
      Transcription!$AO:$AO = 1
    ),
    1
  ),
  ""Not Found""
)
"),"https://drive.google.com/open?id=16-EUSgQjTBouWEqokA_iIK15qdj2D0d95exSqCioeRs")</f>
        <v>https://drive.google.com/open?id=16-EUSgQjTBouWEqokA_iIK15qdj2D0d95exSqCioeRs</v>
      </c>
      <c r="H1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TRIM(CLEAN(TEXT($D162, ""@""))),
      IMPORTRANGE(""https://docs.google.com/spreadsheets/d/1DccNxjBgurEr0ABkI_"&amp;"rBagJT5phB5HaHG5N_mTm_BiA/edit?gid=1382299152#gid=1382299152"", ""Form responses 1!$Z:$Z"") = 2
    ),
    1
  ),
  ""Not Found""
)
"),"https://drive.google.com/open?id=1Xbzmdsq3YYMRukQoYi9IyLEK07kK23lF")</f>
        <v>https://drive.google.com/open?id=1Xbzmdsq3YYMRukQoYi9IyLEK07kK23lF</v>
      </c>
      <c r="I1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1!$E:$E"")=$D162) *
        (IMPORTRANGE(""https://docs.google.com/spreadsheets/d/161aHT6vVT3SLneTKD19N5qVWtnj_jIT8CSsOmUVKmaA"&amp;"/edit?gid=1761053510"",
          ""Haris_Form responses 1!$AQ:$AQ"")=2)
      ),
      1
    ),
    ""0""
  ),
  ""Form not found""
)
"),"2")</f>
        <v>2</v>
      </c>
      <c r="J162" s="245" t="str">
        <f>IFERROR(__xludf.DUMMYFUNCTION("IFERROR(
  INDEX(
    FILTER(
      Transcription!$AJ:$AJ,
      TRIM(CLEAN(TEXT(Transcription!$F:$F, ""@""))) = TRIM(CLEAN(TEXT($D162, ""@""))),
      Transcription!$AO:$AO = 2
    ),
    1
  ),
  ""Not Found""
)
"),"https://drive.google.com/open?id=1Jk-FrgRTu914TcrYoY-C4LoSXVj-sb05")</f>
        <v>https://drive.google.com/open?id=1Jk-FrgRTu914TcrYoY-C4LoSXVj-sb05</v>
      </c>
      <c r="K1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TRIM(CLEAN(TEXT($D162, ""@""))),
      IMPORTRANGE(""https://docs.google.com/spreadsheets/d/1DccNxjBgurEr0ABkI_"&amp;"rBagJT5phB5HaHG5N_mTm_BiA/edit?gid=1382299152#gid=1382299152"", ""Form responses 1!$Z:$Z"") = 3
    ),
    1
  ),
  ""Not Found""
)
"),"https://drive.google.com/open?id=1wp9rHwfpLOTbQrJVkVF1MBxpfO3wVn0_")</f>
        <v>https://drive.google.com/open?id=1wp9rHwfpLOTbQrJVkVF1MBxpfO3wVn0_</v>
      </c>
      <c r="L1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1!$E:$E"")=$D162) *
        (IMPORTRANGE(""https://docs.google.com/spreadsheets/d/161aHT6vVT3SLneTKD19N5qVWtnj_jIT8CSsOmUVKmaA"&amp;"/edit?gid=1761053510"",
          ""Haris_Form responses 1!$AQ:$AQ"")=3)
      ),
      1
    ),
    ""0""
  ),
  ""Form not found""
)
"),"3")</f>
        <v>3</v>
      </c>
      <c r="M162" s="245" t="str">
        <f>IFERROR(__xludf.DUMMYFUNCTION("IFERROR(
  INDEX(
    FILTER(
      Transcription!$AJ:$AJ,
      TRIM(CLEAN(TEXT(Transcription!$F:$F, ""@""))) = TRIM(CLEAN(TEXT($D162, ""@""))),
      Transcription!$AO:$AO = 3
    ),
    1
  ),
  ""Not Found""
)
"),"https://drive.google.com/open?id=1AfS10l0CzZRU1TcHy6QqgidaOAdwSJEr")</f>
        <v>https://drive.google.com/open?id=1AfS10l0CzZRU1TcHy6QqgidaOAdwSJEr</v>
      </c>
      <c r="N16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TRIM(CLEAN(TEXT($D162, ""@""))),
      IMPORTRANGE(""https://docs.google.com/spreadsheets/d/1DccNxjBgurEr0ABkI_"&amp;"rBagJT5phB5HaHG5N_mTm_BiA/edit?gid=1382299152#gid=1382299152"", ""Form responses 1!$Z:$Z"") = 4
    ),
    1
  ),
  ""Not Found""
)
"),"Not Found")</f>
        <v>Not Found</v>
      </c>
      <c r="O1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1!$E:$E"")=$D162) *
        (IMPORTRANGE(""https://docs.google.com/spreadsheets/d/161aHT6vVT3SLneTKD19N5qVWtnj_jIT8CSsOmUVKmaA"&amp;"/edit?gid=1761053510"",
          ""Haris_Form responses 1!$AQ:$AQ"")=4)
      ),
      1
    ),
    ""0""
  ),
  ""Form not found""
)
"),"Form not found")</f>
        <v>Form not found</v>
      </c>
      <c r="P162" s="247" t="str">
        <f>IFERROR(__xludf.DUMMYFUNCTION("IFERROR(
  INDEX(
    FILTER(
      Transcription!$AJ:$AJ,
      TRIM(CLEAN(TEXT(Transcription!$F:$F, ""@""))) = TRIM(CLEAN(TEXT($D162, ""@""))),
      Transcription!$AO:$AO = 4
    ),
    1
  ),
  ""Not Found""
)
"),"Not Found")</f>
        <v>Not Found</v>
      </c>
      <c r="Q16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TRIM(CLEAN(TEXT($D162, ""@""))),
      IMPORTRANGE(""https://docs.google.com/spreadsheets/d/1DccNxjBgurEr0ABkI_"&amp;"rBagJT5phB5HaHG5N_mTm_BiA/edit?gid=1382299152#gid=1382299152"", ""Form responses 1!$Z:$Z"") = 5
    ),
    1
  ),
  ""Not Found""
)
"),"Not Found")</f>
        <v>Not Found</v>
      </c>
      <c r="R1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1!$E:$E"")=$D162) *
        (IMPORTRANGE(""https://docs.google.com/spreadsheets/d/161aHT6vVT3SLneTKD19N5qVWtnj_jIT8CSsOmUVKmaA"&amp;"/edit?gid=1761053510"",
          ""Haris_Form responses 1!$AQ:$AQ"")=5)
      ),
      1
    ),
    ""0""
  ),
  ""Form not found""
)
"),"Form not found")</f>
        <v>Form not found</v>
      </c>
      <c r="S162" s="247" t="str">
        <f>IFERROR(__xludf.DUMMYFUNCTION("IFERROR(
  INDEX(
    FILTER(
      Transcription!$AJ:$AJ,
      TRIM(CLEAN(TEXT(Transcription!$F:$F, ""@""))) = TRIM(CLEAN(TEXT($D162, ""@""))),
      Transcription!$AO:$AO = 5
    ),
    1
  ),
  ""Not Found""
)
"),"Not Found")</f>
        <v>Not Found</v>
      </c>
      <c r="T16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TRIM(CLEAN(TEXT($D162, ""@""))),
      IMPORTRANGE(""https://docs.google.com/spreadsheets/d/1DccNxjBgurEr0ABkI_"&amp;"rBagJT5phB5HaHG5N_mTm_BiA/edit?gid=1382299152#gid=1382299152"", ""Form responses 1!$Z:$Z"") = 6
    ),
    1
  ),
  ""Not Found""
)
"),"Not Found")</f>
        <v>Not Found</v>
      </c>
      <c r="U1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1!$E:$E"")=$D162) *
        (IMPORTRANGE(""https://docs.google.com/spreadsheets/d/161aHT6vVT3SLneTKD19N5qVWtnj_jIT8CSsOmUVKmaA"&amp;"/edit?gid=1761053510"",
          ""Haris_Form responses 1!$AQ:$AQ"")=6)
      ),
      1
    ),
    ""0""
  ),
  ""Form not found""
)
"),"Form not found")</f>
        <v>Form not found</v>
      </c>
      <c r="V162" s="247" t="str">
        <f>IFERROR(__xludf.DUMMYFUNCTION("IFERROR(
  INDEX(
    FILTER(
      Transcription!$AJ:$AJ,
      TRIM(CLEAN(TEXT(Transcription!$F:$F, ""@""))) = TRIM(CLEAN(TEXT($D162, ""@""))),
      Transcription!$AO:$AO = 6
    ),
    1
  ),
  ""Not Found""
)
"),"Not Found")</f>
        <v>Not Found</v>
      </c>
      <c r="Z162" s="10">
        <f t="shared" si="1"/>
        <v>3</v>
      </c>
      <c r="AA162" s="10">
        <f t="shared" si="2"/>
        <v>0</v>
      </c>
    </row>
    <row r="163">
      <c r="A163" s="8" t="str">
        <f>VLOOKUP($D163,Sheet6!$B:$G,5,FALSE)</f>
        <v>Multan</v>
      </c>
      <c r="B163" s="232" t="str">
        <f>VLOOKUP($D163,Sheet6!$B:$G,4,FALSE)</f>
        <v>Community Secular No Info Share</v>
      </c>
      <c r="C163" s="8">
        <v>4.0</v>
      </c>
      <c r="D163" s="8" t="s">
        <v>4119</v>
      </c>
      <c r="E16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TRIM(CLEAN(TEXT($D163, ""@""))),
      IMPORTRANGE(""https://docs.google.com/spreadsheets/d/1DccNxjBgurEr0ABkI_"&amp;"rBagJT5phB5HaHG5N_mTm_BiA/edit?gid=1382299152#gid=1382299152"", ""Form responses 1!$Z:$Z"") = 1
    ),
    1
  ),
  ""Not Found""
)
"),"Not Found")</f>
        <v>Not Found</v>
      </c>
      <c r="F1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1!$E:$E"")=$D163) *
        (IMPORTRANGE(""https://docs.google.com/spreadsheets/d/161aHT6vVT3SLneTKD19N5qVWtnj_jIT8CSsOmUVKmaA"&amp;"/edit?gid=1761053510"",
          ""Haris_Form responses 1!$AQ:$AQ"")=1)
      ),
      1
    ),
    ""0""
  ),
  ""Form not found""
)
"),"Form not found")</f>
        <v>Form not found</v>
      </c>
      <c r="G163" s="247" t="str">
        <f>IFERROR(__xludf.DUMMYFUNCTION("IFERROR(
  INDEX(
    FILTER(
      Transcription!$AJ:$AJ,
      TRIM(CLEAN(TEXT(Transcription!$F:$F, ""@""))) = TRIM(CLEAN(TEXT($D163, ""@""))),
      Transcription!$AO:$AO = 1
    ),
    1
  ),
  ""Not Found""
)
"),"Not Found")</f>
        <v>Not Found</v>
      </c>
      <c r="H1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TRIM(CLEAN(TEXT($D163, ""@""))),
      IMPORTRANGE(""https://docs.google.com/spreadsheets/d/1DccNxjBgurEr0ABkI_"&amp;"rBagJT5phB5HaHG5N_mTm_BiA/edit?gid=1382299152#gid=1382299152"", ""Form responses 1!$Z:$Z"") = 2
    ),
    1
  ),
  ""Not Found""
)
"),"https://drive.google.com/open?id=1DVCVrOPkCdEVAysfAI1ncuEG74e0NV1c")</f>
        <v>https://drive.google.com/open?id=1DVCVrOPkCdEVAysfAI1ncuEG74e0NV1c</v>
      </c>
      <c r="I1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1!$E:$E"")=$D163) *
        (IMPORTRANGE(""https://docs.google.com/spreadsheets/d/161aHT6vVT3SLneTKD19N5qVWtnj_jIT8CSsOmUVKmaA"&amp;"/edit?gid=1761053510"",
          ""Haris_Form responses 1!$AQ:$AQ"")=2)
      ),
      1
    ),
    ""0""
  ),
  ""Form not found""
)
"),"2")</f>
        <v>2</v>
      </c>
      <c r="J163" s="245" t="str">
        <f>IFERROR(__xludf.DUMMYFUNCTION("IFERROR(
  INDEX(
    FILTER(
      Transcription!$AJ:$AJ,
      TRIM(CLEAN(TEXT(Transcription!$F:$F, ""@""))) = TRIM(CLEAN(TEXT($D163, ""@""))),
      Transcription!$AO:$AO = 2
    ),
    1
  ),
  ""Not Found""
)
"),"https://drive.google.com/open?id=1pUh89vHhyjXeEB1RFMxEUZ9Y6APpaW5VrDmBbSFyKAg")</f>
        <v>https://drive.google.com/open?id=1pUh89vHhyjXeEB1RFMxEUZ9Y6APpaW5VrDmBbSFyKAg</v>
      </c>
      <c r="K1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TRIM(CLEAN(TEXT($D163, ""@""))),
      IMPORTRANGE(""https://docs.google.com/spreadsheets/d/1DccNxjBgurEr0ABkI_"&amp;"rBagJT5phB5HaHG5N_mTm_BiA/edit?gid=1382299152#gid=1382299152"", ""Form responses 1!$Z:$Z"") = 3
    ),
    1
  ),
  ""Not Found""
)
"),"https://drive.google.com/open?id=1BMMzZh49S3bJIZliUjcOVOTaUEtdLtPG")</f>
        <v>https://drive.google.com/open?id=1BMMzZh49S3bJIZliUjcOVOTaUEtdLtPG</v>
      </c>
      <c r="L1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1!$E:$E"")=$D163) *
        (IMPORTRANGE(""https://docs.google.com/spreadsheets/d/161aHT6vVT3SLneTKD19N5qVWtnj_jIT8CSsOmUVKmaA"&amp;"/edit?gid=1761053510"",
          ""Haris_Form responses 1!$AQ:$AQ"")=3)
      ),
      1
    ),
    ""0""
  ),
  ""Form not found""
)
"),"3")</f>
        <v>3</v>
      </c>
      <c r="M163" s="245" t="str">
        <f>IFERROR(__xludf.DUMMYFUNCTION("IFERROR(
  INDEX(
    FILTER(
      Transcription!$AJ:$AJ,
      TRIM(CLEAN(TEXT(Transcription!$F:$F, ""@""))) = TRIM(CLEAN(TEXT($D163, ""@""))),
      Transcription!$AO:$AO = 3
    ),
    1
  ),
  ""Not Found""
)
"),"https://drive.google.com/open?id=1VQ4tks9e81rk_ClQGF42pwHPVhoqSPmq1swlH237Uqk")</f>
        <v>https://drive.google.com/open?id=1VQ4tks9e81rk_ClQGF42pwHPVhoqSPmq1swlH237Uqk</v>
      </c>
      <c r="N1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TRIM(CLEAN(TEXT($D163, ""@""))),
      IMPORTRANGE(""https://docs.google.com/spreadsheets/d/1DccNxjBgurEr0ABkI_"&amp;"rBagJT5phB5HaHG5N_mTm_BiA/edit?gid=1382299152#gid=1382299152"", ""Form responses 1!$Z:$Z"") = 4
    ),
    1
  ),
  ""Not Found""
)
"),"https://drive.google.com/open?id=1ovrq8DzDN5-WvTdr6hU9WvcbbKDX7AwI")</f>
        <v>https://drive.google.com/open?id=1ovrq8DzDN5-WvTdr6hU9WvcbbKDX7AwI</v>
      </c>
      <c r="O1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1!$E:$E"")=$D163) *
        (IMPORTRANGE(""https://docs.google.com/spreadsheets/d/161aHT6vVT3SLneTKD19N5qVWtnj_jIT8CSsOmUVKmaA"&amp;"/edit?gid=1761053510"",
          ""Haris_Form responses 1!$AQ:$AQ"")=4)
      ),
      1
    ),
    ""0""
  ),
  ""Form not found""
)
"),"4")</f>
        <v>4</v>
      </c>
      <c r="P163" s="245" t="str">
        <f>IFERROR(__xludf.DUMMYFUNCTION("IFERROR(
  INDEX(
    FILTER(
      Transcription!$AJ:$AJ,
      TRIM(CLEAN(TEXT(Transcription!$F:$F, ""@""))) = TRIM(CLEAN(TEXT($D163, ""@""))),
      Transcription!$AO:$AO = 4
    ),
    1
  ),
  ""Not Found""
)
"),"https://drive.google.com/open?id=13d6bFHNxZV-orbuu7m7Jjk8XM-zuQTyMJaGdtO2phIo")</f>
        <v>https://drive.google.com/open?id=13d6bFHNxZV-orbuu7m7Jjk8XM-zuQTyMJaGdtO2phIo</v>
      </c>
      <c r="Q1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TRIM(CLEAN(TEXT($D163, ""@""))),
      IMPORTRANGE(""https://docs.google.com/spreadsheets/d/1DccNxjBgurEr0ABkI_"&amp;"rBagJT5phB5HaHG5N_mTm_BiA/edit?gid=1382299152#gid=1382299152"", ""Form responses 1!$Z:$Z"") = 5
    ),
    1
  ),
  ""Not Found""
)
"),"https://drive.google.com/open?id=1jZWJctXyqV8o3St54FlZdxb-TZKBR4yT")</f>
        <v>https://drive.google.com/open?id=1jZWJctXyqV8o3St54FlZdxb-TZKBR4yT</v>
      </c>
      <c r="R1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1!$E:$E"")=$D163) *
        (IMPORTRANGE(""https://docs.google.com/spreadsheets/d/161aHT6vVT3SLneTKD19N5qVWtnj_jIT8CSsOmUVKmaA"&amp;"/edit?gid=1761053510"",
          ""Haris_Form responses 1!$AQ:$AQ"")=5)
      ),
      1
    ),
    ""0""
  ),
  ""Form not found""
)
"),"5")</f>
        <v>5</v>
      </c>
      <c r="S163" s="245" t="str">
        <f>IFERROR(__xludf.DUMMYFUNCTION("IFERROR(
  INDEX(
    FILTER(
      Transcription!$AJ:$AJ,
      TRIM(CLEAN(TEXT(Transcription!$F:$F, ""@""))) = TRIM(CLEAN(TEXT($D163, ""@""))),
      Transcription!$AO:$AO = 5
    ),
    1
  ),
  ""Not Found""
)
"),"https://drive.google.com/open?id=10ckJUB_DnQ8aLtCQHlYUITrXaO8TKK-syMv_MX0W1iM")</f>
        <v>https://drive.google.com/open?id=10ckJUB_DnQ8aLtCQHlYUITrXaO8TKK-syMv_MX0W1iM</v>
      </c>
      <c r="T16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TRIM(CLEAN(TEXT($D163, ""@""))),
      IMPORTRANGE(""https://docs.google.com/spreadsheets/d/1DccNxjBgurEr0ABkI_"&amp;"rBagJT5phB5HaHG5N_mTm_BiA/edit?gid=1382299152#gid=1382299152"", ""Form responses 1!$Z:$Z"") = 6
    ),
    1
  ),
  ""Not Found""
)
"),"Not Found")</f>
        <v>Not Found</v>
      </c>
      <c r="U1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1!$E:$E"")=$D163) *
        (IMPORTRANGE(""https://docs.google.com/spreadsheets/d/161aHT6vVT3SLneTKD19N5qVWtnj_jIT8CSsOmUVKmaA"&amp;"/edit?gid=1761053510"",
          ""Haris_Form responses 1!$AQ:$AQ"")=6)
      ),
      1
    ),
    ""0""
  ),
  ""Form not found""
)
"),"Form not found")</f>
        <v>Form not found</v>
      </c>
      <c r="V163" s="247" t="str">
        <f>IFERROR(__xludf.DUMMYFUNCTION("IFERROR(
  INDEX(
    FILTER(
      Transcription!$AJ:$AJ,
      TRIM(CLEAN(TEXT(Transcription!$F:$F, ""@""))) = TRIM(CLEAN(TEXT($D163, ""@""))),
      Transcription!$AO:$AO = 6
    ),
    1
  ),
  ""Not Found""
)
"),"Not Found")</f>
        <v>Not Found</v>
      </c>
      <c r="Z163" s="10">
        <f t="shared" si="1"/>
        <v>4</v>
      </c>
      <c r="AA163" s="10">
        <f t="shared" si="2"/>
        <v>0</v>
      </c>
    </row>
    <row r="164">
      <c r="A164" s="8" t="str">
        <f>VLOOKUP($D164,Sheet6!$B:$G,5,FALSE)</f>
        <v>Multan</v>
      </c>
      <c r="B164" s="232" t="str">
        <f>VLOOKUP($D164,Sheet6!$B:$G,4,FALSE)</f>
        <v>Women Religious Info Share</v>
      </c>
      <c r="C164" s="8">
        <v>4.0</v>
      </c>
      <c r="D164" s="8" t="s">
        <v>4607</v>
      </c>
      <c r="E1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TRIM(CLEAN(TEXT($D164, ""@""))),
      IMPORTRANGE(""https://docs.google.com/spreadsheets/d/1DccNxjBgurEr0ABkI_"&amp;"rBagJT5phB5HaHG5N_mTm_BiA/edit?gid=1382299152#gid=1382299152"", ""Form responses 1!$Z:$Z"") = 1
    ),
    1
  ),
  ""Not Found""
)
"),"https://drive.google.com/open?id=1xBNoqqjEch-5mCp7PVxG-tgelSxE_Jvx")</f>
        <v>https://drive.google.com/open?id=1xBNoqqjEch-5mCp7PVxG-tgelSxE_Jvx</v>
      </c>
      <c r="F1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1!$E:$E"")=$D164) *
        (IMPORTRANGE(""https://docs.google.com/spreadsheets/d/161aHT6vVT3SLneTKD19N5qVWtnj_jIT8CSsOmUVKmaA"&amp;"/edit?gid=1761053510"",
          ""Haris_Form responses 1!$AQ:$AQ"")=1)
      ),
      1
    ),
    ""0""
  ),
  ""Form not found""
)
"),"1")</f>
        <v>1</v>
      </c>
      <c r="G164" s="245" t="str">
        <f>IFERROR(__xludf.DUMMYFUNCTION("IFERROR(
  INDEX(
    FILTER(
      Transcription!$AJ:$AJ,
      TRIM(CLEAN(TEXT(Transcription!$F:$F, ""@""))) = TRIM(CLEAN(TEXT($D164, ""@""))),
      Transcription!$AO:$AO = 1
    ),
    1
  ),
  ""Not Found""
)
"),"https://drive.google.com/open?id=10YOJTuqyiZnhf26J9uUTedEINvFM20oCiFF_rKprSbE")</f>
        <v>https://drive.google.com/open?id=10YOJTuqyiZnhf26J9uUTedEINvFM20oCiFF_rKprSbE</v>
      </c>
      <c r="H1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TRIM(CLEAN(TEXT($D164, ""@""))),
      IMPORTRANGE(""https://docs.google.com/spreadsheets/d/1DccNxjBgurEr0ABkI_"&amp;"rBagJT5phB5HaHG5N_mTm_BiA/edit?gid=1382299152#gid=1382299152"", ""Form responses 1!$Z:$Z"") = 2
    ),
    1
  ),
  ""Not Found""
)
"),"https://drive.google.com/open?id=1EW3D1hQPuzI7WsL-9NmKzIQbNaEWh7gr")</f>
        <v>https://drive.google.com/open?id=1EW3D1hQPuzI7WsL-9NmKzIQbNaEWh7gr</v>
      </c>
      <c r="I1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1!$E:$E"")=$D164) *
        (IMPORTRANGE(""https://docs.google.com/spreadsheets/d/161aHT6vVT3SLneTKD19N5qVWtnj_jIT8CSsOmUVKmaA"&amp;"/edit?gid=1761053510"",
          ""Haris_Form responses 1!$AQ:$AQ"")=2)
      ),
      1
    ),
    ""0""
  ),
  ""Form not found""
)
"),"2")</f>
        <v>2</v>
      </c>
      <c r="J164" s="245" t="str">
        <f>IFERROR(__xludf.DUMMYFUNCTION("IFERROR(
  INDEX(
    FILTER(
      Transcription!$AJ:$AJ,
      TRIM(CLEAN(TEXT(Transcription!$F:$F, ""@""))) = TRIM(CLEAN(TEXT($D164, ""@""))),
      Transcription!$AO:$AO = 2
    ),
    1
  ),
  ""Not Found""
)
"),"https://drive.google.com/open?id=1R2PS336WxB21Iy4aZENcg0kCY6MSgQIPYw1CntzzviA")</f>
        <v>https://drive.google.com/open?id=1R2PS336WxB21Iy4aZENcg0kCY6MSgQIPYw1CntzzviA</v>
      </c>
      <c r="K1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TRIM(CLEAN(TEXT($D164, ""@""))),
      IMPORTRANGE(""https://docs.google.com/spreadsheets/d/1DccNxjBgurEr0ABkI_"&amp;"rBagJT5phB5HaHG5N_mTm_BiA/edit?gid=1382299152#gid=1382299152"", ""Form responses 1!$Z:$Z"") = 3
    ),
    1
  ),
  ""Not Found""
)
"),"https://drive.google.com/open?id=19ODzMtGVnbkuJ9Kd1bcGg3_e9NIKXml1")</f>
        <v>https://drive.google.com/open?id=19ODzMtGVnbkuJ9Kd1bcGg3_e9NIKXml1</v>
      </c>
      <c r="L1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1!$E:$E"")=$D164) *
        (IMPORTRANGE(""https://docs.google.com/spreadsheets/d/161aHT6vVT3SLneTKD19N5qVWtnj_jIT8CSsOmUVKmaA"&amp;"/edit?gid=1761053510"",
          ""Haris_Form responses 1!$AQ:$AQ"")=3)
      ),
      1
    ),
    ""0""
  ),
  ""Form not found""
)
"),"3")</f>
        <v>3</v>
      </c>
      <c r="M164" s="245" t="str">
        <f>IFERROR(__xludf.DUMMYFUNCTION("IFERROR(
  INDEX(
    FILTER(
      Transcription!$AJ:$AJ,
      TRIM(CLEAN(TEXT(Transcription!$F:$F, ""@""))) = TRIM(CLEAN(TEXT($D164, ""@""))),
      Transcription!$AO:$AO = 3
    ),
    1
  ),
  ""Not Found""
)
"),"https://drive.google.com/open?id=1paWa37wpdIiS_Q4kPN1yo4Xoiz1FKhP8X4EJELWwn5Q")</f>
        <v>https://drive.google.com/open?id=1paWa37wpdIiS_Q4kPN1yo4Xoiz1FKhP8X4EJELWwn5Q</v>
      </c>
      <c r="N1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TRIM(CLEAN(TEXT($D164, ""@""))),
      IMPORTRANGE(""https://docs.google.com/spreadsheets/d/1DccNxjBgurEr0ABkI_"&amp;"rBagJT5phB5HaHG5N_mTm_BiA/edit?gid=1382299152#gid=1382299152"", ""Form responses 1!$Z:$Z"") = 4
    ),
    1
  ),
  ""Not Found""
)
"),"https://drive.google.com/open?id=1qJ3BBvJRUqG5-iA7PLR6tUtrCr3JLsY8")</f>
        <v>https://drive.google.com/open?id=1qJ3BBvJRUqG5-iA7PLR6tUtrCr3JLsY8</v>
      </c>
      <c r="O1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1!$E:$E"")=$D164) *
        (IMPORTRANGE(""https://docs.google.com/spreadsheets/d/161aHT6vVT3SLneTKD19N5qVWtnj_jIT8CSsOmUVKmaA"&amp;"/edit?gid=1761053510"",
          ""Haris_Form responses 1!$AQ:$AQ"")=4)
      ),
      1
    ),
    ""0""
  ),
  ""Form not found""
)
"),"4")</f>
        <v>4</v>
      </c>
      <c r="P164" s="245" t="str">
        <f>IFERROR(__xludf.DUMMYFUNCTION("IFERROR(
  INDEX(
    FILTER(
      Transcription!$AJ:$AJ,
      TRIM(CLEAN(TEXT(Transcription!$F:$F, ""@""))) = TRIM(CLEAN(TEXT($D164, ""@""))),
      Transcription!$AO:$AO = 4
    ),
    1
  ),
  ""Not Found""
)
"),"https://drive.google.com/open?id=1KLoRUUIonaCuIY9U2BmGVet-H7tP_mXv")</f>
        <v>https://drive.google.com/open?id=1KLoRUUIonaCuIY9U2BmGVet-H7tP_mXv</v>
      </c>
      <c r="Q16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TRIM(CLEAN(TEXT($D164, ""@""))),
      IMPORTRANGE(""https://docs.google.com/spreadsheets/d/1DccNxjBgurEr0ABkI_"&amp;"rBagJT5phB5HaHG5N_mTm_BiA/edit?gid=1382299152#gid=1382299152"", ""Form responses 1!$Z:$Z"") = 5
    ),
    1
  ),
  ""Not Found""
)
"),"Not Found")</f>
        <v>Not Found</v>
      </c>
      <c r="R1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1!$E:$E"")=$D164) *
        (IMPORTRANGE(""https://docs.google.com/spreadsheets/d/161aHT6vVT3SLneTKD19N5qVWtnj_jIT8CSsOmUVKmaA"&amp;"/edit?gid=1761053510"",
          ""Haris_Form responses 1!$AQ:$AQ"")=5)
      ),
      1
    ),
    ""0""
  ),
  ""Form not found""
)
"),"Form not found")</f>
        <v>Form not found</v>
      </c>
      <c r="S164" s="247" t="str">
        <f>IFERROR(__xludf.DUMMYFUNCTION("IFERROR(
  INDEX(
    FILTER(
      Transcription!$AJ:$AJ,
      TRIM(CLEAN(TEXT(Transcription!$F:$F, ""@""))) = TRIM(CLEAN(TEXT($D164, ""@""))),
      Transcription!$AO:$AO = 5
    ),
    1
  ),
  ""Not Found""
)
"),"Not Found")</f>
        <v>Not Found</v>
      </c>
      <c r="T16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TRIM(CLEAN(TEXT($D164, ""@""))),
      IMPORTRANGE(""https://docs.google.com/spreadsheets/d/1DccNxjBgurEr0ABkI_"&amp;"rBagJT5phB5HaHG5N_mTm_BiA/edit?gid=1382299152#gid=1382299152"", ""Form responses 1!$Z:$Z"") = 6
    ),
    1
  ),
  ""Not Found""
)
"),"Not Found")</f>
        <v>Not Found</v>
      </c>
      <c r="U1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1!$E:$E"")=$D164) *
        (IMPORTRANGE(""https://docs.google.com/spreadsheets/d/161aHT6vVT3SLneTKD19N5qVWtnj_jIT8CSsOmUVKmaA"&amp;"/edit?gid=1761053510"",
          ""Haris_Form responses 1!$AQ:$AQ"")=6)
      ),
      1
    ),
    ""0""
  ),
  ""Form not found""
)
"),"Form not found")</f>
        <v>Form not found</v>
      </c>
      <c r="V164" s="247" t="str">
        <f>IFERROR(__xludf.DUMMYFUNCTION("IFERROR(
  INDEX(
    FILTER(
      Transcription!$AJ:$AJ,
      TRIM(CLEAN(TEXT(Transcription!$F:$F, ""@""))) = TRIM(CLEAN(TEXT($D164, ""@""))),
      Transcription!$AO:$AO = 6
    ),
    1
  ),
  ""Not Found""
)
"),"Not Found")</f>
        <v>Not Found</v>
      </c>
      <c r="Z164" s="10">
        <f t="shared" si="1"/>
        <v>4</v>
      </c>
      <c r="AA164" s="10">
        <f t="shared" si="2"/>
        <v>0</v>
      </c>
    </row>
    <row r="165">
      <c r="A165" s="8" t="str">
        <f>VLOOKUP($D165,Sheet6!$B:$G,5,FALSE)</f>
        <v>Multan</v>
      </c>
      <c r="B165" s="232" t="str">
        <f>VLOOKUP($D165,Sheet6!$B:$G,4,FALSE)</f>
        <v>Community Religious No Info Share</v>
      </c>
      <c r="C165" s="8">
        <v>4.0</v>
      </c>
      <c r="D165" s="8" t="s">
        <v>4608</v>
      </c>
      <c r="E1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TRIM(CLEAN(TEXT($D165, ""@""))),
      IMPORTRANGE(""https://docs.google.com/spreadsheets/d/1DccNxjBgurEr0ABkI_"&amp;"rBagJT5phB5HaHG5N_mTm_BiA/edit?gid=1382299152#gid=1382299152"", ""Form responses 1!$Z:$Z"") = 1
    ),
    1
  ),
  ""Not Found""
)
"),"https://drive.google.com/open?id=1s4klhgylLVGIXanr9csSxuSeKz4vZLJX")</f>
        <v>https://drive.google.com/open?id=1s4klhgylLVGIXanr9csSxuSeKz4vZLJX</v>
      </c>
      <c r="F1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1!$E:$E"")=$D165) *
        (IMPORTRANGE(""https://docs.google.com/spreadsheets/d/161aHT6vVT3SLneTKD19N5qVWtnj_jIT8CSsOmUVKmaA"&amp;"/edit?gid=1761053510"",
          ""Haris_Form responses 1!$AQ:$AQ"")=1)
      ),
      1
    ),
    ""0""
  ),
  ""Form not found""
)
"),"1")</f>
        <v>1</v>
      </c>
      <c r="G165" s="245" t="str">
        <f>IFERROR(__xludf.DUMMYFUNCTION("IFERROR(
  INDEX(
    FILTER(
      Transcription!$AJ:$AJ,
      TRIM(CLEAN(TEXT(Transcription!$F:$F, ""@""))) = TRIM(CLEAN(TEXT($D165, ""@""))),
      Transcription!$AO:$AO = 1
    ),
    1
  ),
  ""Not Found""
)
"),"https://drive.google.com/open?id=11kWrwwTagUy5wEXvSuiOxTKt4oSyGkZ8")</f>
        <v>https://drive.google.com/open?id=11kWrwwTagUy5wEXvSuiOxTKt4oSyGkZ8</v>
      </c>
      <c r="H1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TRIM(CLEAN(TEXT($D165, ""@""))),
      IMPORTRANGE(""https://docs.google.com/spreadsheets/d/1DccNxjBgurEr0ABkI_"&amp;"rBagJT5phB5HaHG5N_mTm_BiA/edit?gid=1382299152#gid=1382299152"", ""Form responses 1!$Z:$Z"") = 2
    ),
    1
  ),
  ""Not Found""
)
"),"https://drive.google.com/open?id=13nscczjEh3RsYhALf5CY4i5-YbRthF9t")</f>
        <v>https://drive.google.com/open?id=13nscczjEh3RsYhALf5CY4i5-YbRthF9t</v>
      </c>
      <c r="I1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1!$E:$E"")=$D165) *
        (IMPORTRANGE(""https://docs.google.com/spreadsheets/d/161aHT6vVT3SLneTKD19N5qVWtnj_jIT8CSsOmUVKmaA"&amp;"/edit?gid=1761053510"",
          ""Haris_Form responses 1!$AQ:$AQ"")=2)
      ),
      1
    ),
    ""0""
  ),
  ""Form not found""
)
"),"2")</f>
        <v>2</v>
      </c>
      <c r="J165" s="245" t="str">
        <f>IFERROR(__xludf.DUMMYFUNCTION("IFERROR(
  INDEX(
    FILTER(
      Transcription!$AJ:$AJ,
      TRIM(CLEAN(TEXT(Transcription!$F:$F, ""@""))) = TRIM(CLEAN(TEXT($D165, ""@""))),
      Transcription!$AO:$AO = 2
    ),
    1
  ),
  ""Not Found""
)
"),"https://drive.google.com/open?id=1p6L3DXI1GDDjweMfpesFTC4sdUpTr3P-")</f>
        <v>https://drive.google.com/open?id=1p6L3DXI1GDDjweMfpesFTC4sdUpTr3P-</v>
      </c>
      <c r="K1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TRIM(CLEAN(TEXT($D165, ""@""))),
      IMPORTRANGE(""https://docs.google.com/spreadsheets/d/1DccNxjBgurEr0ABkI_"&amp;"rBagJT5phB5HaHG5N_mTm_BiA/edit?gid=1382299152#gid=1382299152"", ""Form responses 1!$Z:$Z"") = 3
    ),
    1
  ),
  ""Not Found""
)
"),"https://drive.google.com/open?id=1Iaq6Vf2C8u6YhyfAnJbYC7JOgf33kfOz")</f>
        <v>https://drive.google.com/open?id=1Iaq6Vf2C8u6YhyfAnJbYC7JOgf33kfOz</v>
      </c>
      <c r="L1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1!$E:$E"")=$D165) *
        (IMPORTRANGE(""https://docs.google.com/spreadsheets/d/161aHT6vVT3SLneTKD19N5qVWtnj_jIT8CSsOmUVKmaA"&amp;"/edit?gid=1761053510"",
          ""Haris_Form responses 1!$AQ:$AQ"")=3)
      ),
      1
    ),
    ""0""
  ),
  ""Form not found""
)
"),"3")</f>
        <v>3</v>
      </c>
      <c r="M165" s="245" t="str">
        <f>IFERROR(__xludf.DUMMYFUNCTION("IFERROR(
  INDEX(
    FILTER(
      Transcription!$AJ:$AJ,
      TRIM(CLEAN(TEXT(Transcription!$F:$F, ""@""))) = TRIM(CLEAN(TEXT($D165, ""@""))),
      Transcription!$AO:$AO = 3
    ),
    1
  ),
  ""Not Found""
)
"),"https://drive.google.com/open?id=1TKMRl913zqEDSznSkbNVBknLC7BCADg_")</f>
        <v>https://drive.google.com/open?id=1TKMRl913zqEDSznSkbNVBknLC7BCADg_</v>
      </c>
      <c r="N1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TRIM(CLEAN(TEXT($D165, ""@""))),
      IMPORTRANGE(""https://docs.google.com/spreadsheets/d/1DccNxjBgurEr0ABkI_"&amp;"rBagJT5phB5HaHG5N_mTm_BiA/edit?gid=1382299152#gid=1382299152"", ""Form responses 1!$Z:$Z"") = 4
    ),
    1
  ),
  ""Not Found""
)
"),"https://drive.google.com/open?id=1cO80Ph3-oq4RtW_uuCRozRpieKE4kd-l")</f>
        <v>https://drive.google.com/open?id=1cO80Ph3-oq4RtW_uuCRozRpieKE4kd-l</v>
      </c>
      <c r="O1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1!$E:$E"")=$D165) *
        (IMPORTRANGE(""https://docs.google.com/spreadsheets/d/161aHT6vVT3SLneTKD19N5qVWtnj_jIT8CSsOmUVKmaA"&amp;"/edit?gid=1761053510"",
          ""Haris_Form responses 1!$AQ:$AQ"")=4)
      ),
      1
    ),
    ""0""
  ),
  ""Form not found""
)
"),"4")</f>
        <v>4</v>
      </c>
      <c r="P165" s="245" t="str">
        <f>IFERROR(__xludf.DUMMYFUNCTION("IFERROR(
  INDEX(
    FILTER(
      Transcription!$AJ:$AJ,
      TRIM(CLEAN(TEXT(Transcription!$F:$F, ""@""))) = TRIM(CLEAN(TEXT($D165, ""@""))),
      Transcription!$AO:$AO = 4
    ),
    1
  ),
  ""Not Found""
)
"),"https://drive.google.com/open?id=1KQmZSqUJ6NjPCKs3OdShPgArsvlMLuwa")</f>
        <v>https://drive.google.com/open?id=1KQmZSqUJ6NjPCKs3OdShPgArsvlMLuwa</v>
      </c>
      <c r="Q16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TRIM(CLEAN(TEXT($D165, ""@""))),
      IMPORTRANGE(""https://docs.google.com/spreadsheets/d/1DccNxjBgurEr0ABkI_"&amp;"rBagJT5phB5HaHG5N_mTm_BiA/edit?gid=1382299152#gid=1382299152"", ""Form responses 1!$Z:$Z"") = 5
    ),
    1
  ),
  ""Not Found""
)
"),"Not Found")</f>
        <v>Not Found</v>
      </c>
      <c r="R1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1!$E:$E"")=$D165) *
        (IMPORTRANGE(""https://docs.google.com/spreadsheets/d/161aHT6vVT3SLneTKD19N5qVWtnj_jIT8CSsOmUVKmaA"&amp;"/edit?gid=1761053510"",
          ""Haris_Form responses 1!$AQ:$AQ"")=5)
      ),
      1
    ),
    ""0""
  ),
  ""Form not found""
)
"),"Form not found")</f>
        <v>Form not found</v>
      </c>
      <c r="S165" s="247" t="str">
        <f>IFERROR(__xludf.DUMMYFUNCTION("IFERROR(
  INDEX(
    FILTER(
      Transcription!$AJ:$AJ,
      TRIM(CLEAN(TEXT(Transcription!$F:$F, ""@""))) = TRIM(CLEAN(TEXT($D165, ""@""))),
      Transcription!$AO:$AO = 5
    ),
    1
  ),
  ""Not Found""
)
"),"Not Found")</f>
        <v>Not Found</v>
      </c>
      <c r="T16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TRIM(CLEAN(TEXT($D165, ""@""))),
      IMPORTRANGE(""https://docs.google.com/spreadsheets/d/1DccNxjBgurEr0ABkI_"&amp;"rBagJT5phB5HaHG5N_mTm_BiA/edit?gid=1382299152#gid=1382299152"", ""Form responses 1!$Z:$Z"") = 6
    ),
    1
  ),
  ""Not Found""
)
"),"Not Found")</f>
        <v>Not Found</v>
      </c>
      <c r="U1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1!$E:$E"")=$D165) *
        (IMPORTRANGE(""https://docs.google.com/spreadsheets/d/161aHT6vVT3SLneTKD19N5qVWtnj_jIT8CSsOmUVKmaA"&amp;"/edit?gid=1761053510"",
          ""Haris_Form responses 1!$AQ:$AQ"")=6)
      ),
      1
    ),
    ""0""
  ),
  ""Form not found""
)
"),"Form not found")</f>
        <v>Form not found</v>
      </c>
      <c r="V165" s="247" t="str">
        <f>IFERROR(__xludf.DUMMYFUNCTION("IFERROR(
  INDEX(
    FILTER(
      Transcription!$AJ:$AJ,
      TRIM(CLEAN(TEXT(Transcription!$F:$F, ""@""))) = TRIM(CLEAN(TEXT($D165, ""@""))),
      Transcription!$AO:$AO = 6
    ),
    1
  ),
  ""Not Found""
)
"),"Not Found")</f>
        <v>Not Found</v>
      </c>
      <c r="Z165" s="10">
        <f t="shared" si="1"/>
        <v>4</v>
      </c>
      <c r="AA165" s="10">
        <f t="shared" si="2"/>
        <v>0</v>
      </c>
    </row>
    <row r="166">
      <c r="A166" s="8" t="str">
        <f>VLOOKUP($D166,Sheet6!$B:$G,5,FALSE)</f>
        <v>Multan</v>
      </c>
      <c r="B166" s="232" t="str">
        <f>VLOOKUP($D166,Sheet6!$B:$G,4,FALSE)</f>
        <v>Women Religious No Info Share</v>
      </c>
      <c r="C166" s="8">
        <v>3.0</v>
      </c>
      <c r="D166" s="8" t="s">
        <v>4609</v>
      </c>
      <c r="E1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TRIM(CLEAN(TEXT($D166, ""@""))),
      IMPORTRANGE(""https://docs.google.com/spreadsheets/d/1DccNxjBgurEr0ABkI_"&amp;"rBagJT5phB5HaHG5N_mTm_BiA/edit?gid=1382299152#gid=1382299152"", ""Form responses 1!$Z:$Z"") = 1
    ),
    1
  ),
  ""Not Found""
)
"),"https://drive.google.com/open?id=1uKk1T1Di9Y4uNozOHRTcZR3E6tteFd7y")</f>
        <v>https://drive.google.com/open?id=1uKk1T1Di9Y4uNozOHRTcZR3E6tteFd7y</v>
      </c>
      <c r="F1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1!$E:$E"")=$D166) *
        (IMPORTRANGE(""https://docs.google.com/spreadsheets/d/161aHT6vVT3SLneTKD19N5qVWtnj_jIT8CSsOmUVKmaA"&amp;"/edit?gid=1761053510"",
          ""Haris_Form responses 1!$AQ:$AQ"")=1)
      ),
      1
    ),
    ""0""
  ),
  ""Form not found""
)
"),"1")</f>
        <v>1</v>
      </c>
      <c r="G166" s="245" t="str">
        <f>IFERROR(__xludf.DUMMYFUNCTION("IFERROR(
  INDEX(
    FILTER(
      Transcription!$AJ:$AJ,
      TRIM(CLEAN(TEXT(Transcription!$F:$F, ""@""))) = TRIM(CLEAN(TEXT($D166, ""@""))),
      Transcription!$AO:$AO = 1
    ),
    1
  ),
  ""Not Found""
)
"),"https://drive.google.com/open?id=1NIdJWBDVTQtu5zaFxAONe0Bju5OeV0O4meFV0AiT1Lg")</f>
        <v>https://drive.google.com/open?id=1NIdJWBDVTQtu5zaFxAONe0Bju5OeV0O4meFV0AiT1Lg</v>
      </c>
      <c r="H16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TRIM(CLEAN(TEXT($D166, ""@""))),
      IMPORTRANGE(""https://docs.google.com/spreadsheets/d/1DccNxjBgurEr0ABkI_"&amp;"rBagJT5phB5HaHG5N_mTm_BiA/edit?gid=1382299152#gid=1382299152"", ""Form responses 1!$Z:$Z"") = 2
    ),
    1
  ),
  ""Not Found""
)
"),"Not Found")</f>
        <v>Not Found</v>
      </c>
      <c r="I1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1!$E:$E"")=$D166) *
        (IMPORTRANGE(""https://docs.google.com/spreadsheets/d/161aHT6vVT3SLneTKD19N5qVWtnj_jIT8CSsOmUVKmaA"&amp;"/edit?gid=1761053510"",
          ""Haris_Form responses 1!$AQ:$AQ"")=2)
      ),
      1
    ),
    ""0""
  ),
  ""Form not found""
)
"),"Form not found")</f>
        <v>Form not found</v>
      </c>
      <c r="J166" s="247" t="str">
        <f>IFERROR(__xludf.DUMMYFUNCTION("IFERROR(
  INDEX(
    FILTER(
      Transcription!$AJ:$AJ,
      TRIM(CLEAN(TEXT(Transcription!$F:$F, ""@""))) = TRIM(CLEAN(TEXT($D166, ""@""))),
      Transcription!$AO:$AO = 2
    ),
    1
  ),
  ""Not Found""
)
"),"Not Found")</f>
        <v>Not Found</v>
      </c>
      <c r="K1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TRIM(CLEAN(TEXT($D166, ""@""))),
      IMPORTRANGE(""https://docs.google.com/spreadsheets/d/1DccNxjBgurEr0ABkI_"&amp;"rBagJT5phB5HaHG5N_mTm_BiA/edit?gid=1382299152#gid=1382299152"", ""Form responses 1!$Z:$Z"") = 3
    ),
    1
  ),
  ""Not Found""
)
"),"https://drive.google.com/open?id=1ROafTaKO9KVl480L_Tn6B1i07MSJTv20")</f>
        <v>https://drive.google.com/open?id=1ROafTaKO9KVl480L_Tn6B1i07MSJTv20</v>
      </c>
      <c r="L1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1!$E:$E"")=$D166) *
        (IMPORTRANGE(""https://docs.google.com/spreadsheets/d/161aHT6vVT3SLneTKD19N5qVWtnj_jIT8CSsOmUVKmaA"&amp;"/edit?gid=1761053510"",
          ""Haris_Form responses 1!$AQ:$AQ"")=3)
      ),
      1
    ),
    ""0""
  ),
  ""Form not found""
)
"),"3")</f>
        <v>3</v>
      </c>
      <c r="M166" s="245" t="str">
        <f>IFERROR(__xludf.DUMMYFUNCTION("IFERROR(
  INDEX(
    FILTER(
      Transcription!$AJ:$AJ,
      TRIM(CLEAN(TEXT(Transcription!$F:$F, ""@""))) = TRIM(CLEAN(TEXT($D166, ""@""))),
      Transcription!$AO:$AO = 3
    ),
    1
  ),
  ""Not Found""
)
"),"https://drive.google.com/open?id=1IiaVGQXcusY5KfWufLljHWmrynrlIJOz")</f>
        <v>https://drive.google.com/open?id=1IiaVGQXcusY5KfWufLljHWmrynrlIJOz</v>
      </c>
      <c r="N1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TRIM(CLEAN(TEXT($D166, ""@""))),
      IMPORTRANGE(""https://docs.google.com/spreadsheets/d/1DccNxjBgurEr0ABkI_"&amp;"rBagJT5phB5HaHG5N_mTm_BiA/edit?gid=1382299152#gid=1382299152"", ""Form responses 1!$Z:$Z"") = 4
    ),
    1
  ),
  ""Not Found""
)
"),"https://drive.google.com/open?id=1OLFas_Bc9LmE3QsVowd30j4X04Rg-Ub8")</f>
        <v>https://drive.google.com/open?id=1OLFas_Bc9LmE3QsVowd30j4X04Rg-Ub8</v>
      </c>
      <c r="O1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1!$E:$E"")=$D166) *
        (IMPORTRANGE(""https://docs.google.com/spreadsheets/d/161aHT6vVT3SLneTKD19N5qVWtnj_jIT8CSsOmUVKmaA"&amp;"/edit?gid=1761053510"",
          ""Haris_Form responses 1!$AQ:$AQ"")=4)
      ),
      1
    ),
    ""0""
  ),
  ""Form not found""
)
"),"4")</f>
        <v>4</v>
      </c>
      <c r="P166" s="245" t="str">
        <f>IFERROR(__xludf.DUMMYFUNCTION("IFERROR(
  INDEX(
    FILTER(
      Transcription!$AJ:$AJ,
      TRIM(CLEAN(TEXT(Transcription!$F:$F, ""@""))) = TRIM(CLEAN(TEXT($D166, ""@""))),
      Transcription!$AO:$AO = 4
    ),
    1
  ),
  ""Not Found""
)
"),"https://drive.google.com/open?id=15zo2pj9jJnRGJf-URKeb64sSTc3Jgpwv")</f>
        <v>https://drive.google.com/open?id=15zo2pj9jJnRGJf-URKeb64sSTc3Jgpwv</v>
      </c>
      <c r="Q16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TRIM(CLEAN(TEXT($D166, ""@""))),
      IMPORTRANGE(""https://docs.google.com/spreadsheets/d/1DccNxjBgurEr0ABkI_"&amp;"rBagJT5phB5HaHG5N_mTm_BiA/edit?gid=1382299152#gid=1382299152"", ""Form responses 1!$Z:$Z"") = 5
    ),
    1
  ),
  ""Not Found""
)
"),"Not Found")</f>
        <v>Not Found</v>
      </c>
      <c r="R1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1!$E:$E"")=$D166) *
        (IMPORTRANGE(""https://docs.google.com/spreadsheets/d/161aHT6vVT3SLneTKD19N5qVWtnj_jIT8CSsOmUVKmaA"&amp;"/edit?gid=1761053510"",
          ""Haris_Form responses 1!$AQ:$AQ"")=5)
      ),
      1
    ),
    ""0""
  ),
  ""Form not found""
)
"),"Form not found")</f>
        <v>Form not found</v>
      </c>
      <c r="S166" s="247" t="str">
        <f>IFERROR(__xludf.DUMMYFUNCTION("IFERROR(
  INDEX(
    FILTER(
      Transcription!$AJ:$AJ,
      TRIM(CLEAN(TEXT(Transcription!$F:$F, ""@""))) = TRIM(CLEAN(TEXT($D166, ""@""))),
      Transcription!$AO:$AO = 5
    ),
    1
  ),
  ""Not Found""
)
"),"Not Found")</f>
        <v>Not Found</v>
      </c>
      <c r="T16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TRIM(CLEAN(TEXT($D166, ""@""))),
      IMPORTRANGE(""https://docs.google.com/spreadsheets/d/1DccNxjBgurEr0ABkI_"&amp;"rBagJT5phB5HaHG5N_mTm_BiA/edit?gid=1382299152#gid=1382299152"", ""Form responses 1!$Z:$Z"") = 6
    ),
    1
  ),
  ""Not Found""
)
"),"Not Found")</f>
        <v>Not Found</v>
      </c>
      <c r="U1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1!$E:$E"")=$D166) *
        (IMPORTRANGE(""https://docs.google.com/spreadsheets/d/161aHT6vVT3SLneTKD19N5qVWtnj_jIT8CSsOmUVKmaA"&amp;"/edit?gid=1761053510"",
          ""Haris_Form responses 1!$AQ:$AQ"")=6)
      ),
      1
    ),
    ""0""
  ),
  ""Form not found""
)
"),"Form not found")</f>
        <v>Form not found</v>
      </c>
      <c r="V166" s="247" t="str">
        <f>IFERROR(__xludf.DUMMYFUNCTION("IFERROR(
  INDEX(
    FILTER(
      Transcription!$AJ:$AJ,
      TRIM(CLEAN(TEXT(Transcription!$F:$F, ""@""))) = TRIM(CLEAN(TEXT($D166, ""@""))),
      Transcription!$AO:$AO = 6
    ),
    1
  ),
  ""Not Found""
)
"),"Not Found")</f>
        <v>Not Found</v>
      </c>
      <c r="Z166" s="10">
        <f t="shared" si="1"/>
        <v>3</v>
      </c>
      <c r="AA166" s="10">
        <f t="shared" si="2"/>
        <v>0</v>
      </c>
    </row>
    <row r="167">
      <c r="A167" s="8" t="str">
        <f>VLOOKUP($D167,Sheet6!$B:$G,5,FALSE)</f>
        <v>Multan</v>
      </c>
      <c r="B167" s="232" t="str">
        <f>VLOOKUP($D167,Sheet6!$B:$G,4,FALSE)</f>
        <v>Community Secular Info Share</v>
      </c>
      <c r="C167" s="8">
        <v>5.0</v>
      </c>
      <c r="D167" s="8" t="s">
        <v>4202</v>
      </c>
      <c r="E1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TRIM(CLEAN(TEXT($D167, ""@""))),
      IMPORTRANGE(""https://docs.google.com/spreadsheets/d/1DccNxjBgurEr0ABkI_"&amp;"rBagJT5phB5HaHG5N_mTm_BiA/edit?gid=1382299152#gid=1382299152"", ""Form responses 1!$Z:$Z"") = 1
    ),
    1
  ),
  ""Not Found""
)
"),"https://drive.google.com/file/d/1nbFjwKF5k4SRpaAeuSRuvP-6lk-DG9Qd/view?usp=drive_link")</f>
        <v>https://drive.google.com/file/d/1nbFjwKF5k4SRpaAeuSRuvP-6lk-DG9Qd/view?usp=drive_link</v>
      </c>
      <c r="F1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1!$E:$E"")=$D167) *
        (IMPORTRANGE(""https://docs.google.com/spreadsheets/d/161aHT6vVT3SLneTKD19N5qVWtnj_jIT8CSsOmUVKmaA"&amp;"/edit?gid=1761053510"",
          ""Haris_Form responses 1!$AQ:$AQ"")=1)
      ),
      1
    ),
    ""0""
  ),
  ""Form not found""
)
"),"1")</f>
        <v>1</v>
      </c>
      <c r="G167" s="245" t="str">
        <f>IFERROR(__xludf.DUMMYFUNCTION("IFERROR(
  INDEX(
    FILTER(
      Transcription!$AJ:$AJ,
      TRIM(CLEAN(TEXT(Transcription!$F:$F, ""@""))) = TRIM(CLEAN(TEXT($D167, ""@""))),
      Transcription!$AO:$AO = 1
    ),
    1
  ),
  ""Not Found""
)
"),"https://drive.google.com/open?id=1EN0MnikfgUjLn27j5bykHFSkDRBCNWafLpzmUp2Uu5o")</f>
        <v>https://drive.google.com/open?id=1EN0MnikfgUjLn27j5bykHFSkDRBCNWafLpzmUp2Uu5o</v>
      </c>
      <c r="H1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TRIM(CLEAN(TEXT($D167, ""@""))),
      IMPORTRANGE(""https://docs.google.com/spreadsheets/d/1DccNxjBgurEr0ABkI_"&amp;"rBagJT5phB5HaHG5N_mTm_BiA/edit?gid=1382299152#gid=1382299152"", ""Form responses 1!$Z:$Z"") = 2
    ),
    1
  ),
  ""Not Found""
)
"),"https://drive.google.com/file/d/13ad0bpffyJtRGheASa3NGxEIiB3-zOPo/view?usp=drive_link")</f>
        <v>https://drive.google.com/file/d/13ad0bpffyJtRGheASa3NGxEIiB3-zOPo/view?usp=drive_link</v>
      </c>
      <c r="I1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1!$E:$E"")=$D167) *
        (IMPORTRANGE(""https://docs.google.com/spreadsheets/d/161aHT6vVT3SLneTKD19N5qVWtnj_jIT8CSsOmUVKmaA"&amp;"/edit?gid=1761053510"",
          ""Haris_Form responses 1!$AQ:$AQ"")=2)
      ),
      1
    ),
    ""0""
  ),
  ""Form not found""
)
"),"2")</f>
        <v>2</v>
      </c>
      <c r="J167" s="245" t="str">
        <f>IFERROR(__xludf.DUMMYFUNCTION("IFERROR(
  INDEX(
    FILTER(
      Transcription!$AJ:$AJ,
      TRIM(CLEAN(TEXT(Transcription!$F:$F, ""@""))) = TRIM(CLEAN(TEXT($D167, ""@""))),
      Transcription!$AO:$AO = 2
    ),
    1
  ),
  ""Not Found""
)
"),"https://drive.google.com/open?id=1LACt-jtgHPgAMVQ4f_I2-QT97h-DaoSPMTGJTG-h0dM")</f>
        <v>https://drive.google.com/open?id=1LACt-jtgHPgAMVQ4f_I2-QT97h-DaoSPMTGJTG-h0dM</v>
      </c>
      <c r="K1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TRIM(CLEAN(TEXT($D167, ""@""))),
      IMPORTRANGE(""https://docs.google.com/spreadsheets/d/1DccNxjBgurEr0ABkI_"&amp;"rBagJT5phB5HaHG5N_mTm_BiA/edit?gid=1382299152#gid=1382299152"", ""Form responses 1!$Z:$Z"") = 3
    ),
    1
  ),
  ""Not Found""
)
"),"https://drive.google.com/open?id=1xYexj4GEVEjoBHH2ruexteFQmessDa79")</f>
        <v>https://drive.google.com/open?id=1xYexj4GEVEjoBHH2ruexteFQmessDa79</v>
      </c>
      <c r="L1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1!$E:$E"")=$D167) *
        (IMPORTRANGE(""https://docs.google.com/spreadsheets/d/161aHT6vVT3SLneTKD19N5qVWtnj_jIT8CSsOmUVKmaA"&amp;"/edit?gid=1761053510"",
          ""Haris_Form responses 1!$AQ:$AQ"")=3)
      ),
      1
    ),
    ""0""
  ),
  ""Form not found""
)
"),"3")</f>
        <v>3</v>
      </c>
      <c r="M167" s="245" t="str">
        <f>IFERROR(__xludf.DUMMYFUNCTION("IFERROR(
  INDEX(
    FILTER(
      Transcription!$AJ:$AJ,
      TRIM(CLEAN(TEXT(Transcription!$F:$F, ""@""))) = TRIM(CLEAN(TEXT($D167, ""@""))),
      Transcription!$AO:$AO = 3
    ),
    1
  ),
  ""Not Found""
)
"),"https://drive.google.com/open?id=1Dgwo4J3_Atgys1srALV2DITxI1vU3CKy")</f>
        <v>https://drive.google.com/open?id=1Dgwo4J3_Atgys1srALV2DITxI1vU3CKy</v>
      </c>
      <c r="N1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TRIM(CLEAN(TEXT($D167, ""@""))),
      IMPORTRANGE(""https://docs.google.com/spreadsheets/d/1DccNxjBgurEr0ABkI_"&amp;"rBagJT5phB5HaHG5N_mTm_BiA/edit?gid=1382299152#gid=1382299152"", ""Form responses 1!$Z:$Z"") = 4
    ),
    1
  ),
  ""Not Found""
)
"),"https://drive.google.com/open?id=1H8g1J147q3-eg546GDU07AFRtcrID0Yh")</f>
        <v>https://drive.google.com/open?id=1H8g1J147q3-eg546GDU07AFRtcrID0Yh</v>
      </c>
      <c r="O1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1!$E:$E"")=$D167) *
        (IMPORTRANGE(""https://docs.google.com/spreadsheets/d/161aHT6vVT3SLneTKD19N5qVWtnj_jIT8CSsOmUVKmaA"&amp;"/edit?gid=1761053510"",
          ""Haris_Form responses 1!$AQ:$AQ"")=4)
      ),
      1
    ),
    ""0""
  ),
  ""Form not found""
)
"),"4")</f>
        <v>4</v>
      </c>
      <c r="P167" s="245" t="str">
        <f>IFERROR(__xludf.DUMMYFUNCTION("IFERROR(
  INDEX(
    FILTER(
      Transcription!$AJ:$AJ,
      TRIM(CLEAN(TEXT(Transcription!$F:$F, ""@""))) = TRIM(CLEAN(TEXT($D167, ""@""))),
      Transcription!$AO:$AO = 4
    ),
    1
  ),
  ""Not Found""
)
"),"https://drive.google.com/open?id=1-AiGPu4cUfQYwvrxhucR557ogagM6gSM")</f>
        <v>https://drive.google.com/open?id=1-AiGPu4cUfQYwvrxhucR557ogagM6gSM</v>
      </c>
      <c r="Q1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TRIM(CLEAN(TEXT($D167, ""@""))),
      IMPORTRANGE(""https://docs.google.com/spreadsheets/d/1DccNxjBgurEr0ABkI_"&amp;"rBagJT5phB5HaHG5N_mTm_BiA/edit?gid=1382299152#gid=1382299152"", ""Form responses 1!$Z:$Z"") = 5
    ),
    1
  ),
  ""Not Found""
)
"),"https://drive.google.com/open?id=1ceFI9JA7Z3xfJfLG2aB-e7y_Kcu2sSDr")</f>
        <v>https://drive.google.com/open?id=1ceFI9JA7Z3xfJfLG2aB-e7y_Kcu2sSDr</v>
      </c>
      <c r="R1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1!$E:$E"")=$D167) *
        (IMPORTRANGE(""https://docs.google.com/spreadsheets/d/161aHT6vVT3SLneTKD19N5qVWtnj_jIT8CSsOmUVKmaA"&amp;"/edit?gid=1761053510"",
          ""Haris_Form responses 1!$AQ:$AQ"")=5)
      ),
      1
    ),
    ""0""
  ),
  ""Form not found""
)
"),"5")</f>
        <v>5</v>
      </c>
      <c r="S167" s="245" t="str">
        <f>IFERROR(__xludf.DUMMYFUNCTION("IFERROR(
  INDEX(
    FILTER(
      Transcription!$AJ:$AJ,
      TRIM(CLEAN(TEXT(Transcription!$F:$F, ""@""))) = TRIM(CLEAN(TEXT($D167, ""@""))),
      Transcription!$AO:$AO = 5
    ),
    1
  ),
  ""Not Found""
)
"),"https://drive.google.com/open?id=1ogQIEZQ9bDGitWYglgtEPq0-xbejsjjOwq_U0E3CffA")</f>
        <v>https://drive.google.com/open?id=1ogQIEZQ9bDGitWYglgtEPq0-xbejsjjOwq_U0E3CffA</v>
      </c>
      <c r="T16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TRIM(CLEAN(TEXT($D167, ""@""))),
      IMPORTRANGE(""https://docs.google.com/spreadsheets/d/1DccNxjBgurEr0ABkI_"&amp;"rBagJT5phB5HaHG5N_mTm_BiA/edit?gid=1382299152#gid=1382299152"", ""Form responses 1!$Z:$Z"") = 6
    ),
    1
  ),
  ""Not Found""
)
"),"Not Found")</f>
        <v>Not Found</v>
      </c>
      <c r="U1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1!$E:$E"")=$D167) *
        (IMPORTRANGE(""https://docs.google.com/spreadsheets/d/161aHT6vVT3SLneTKD19N5qVWtnj_jIT8CSsOmUVKmaA"&amp;"/edit?gid=1761053510"",
          ""Haris_Form responses 1!$AQ:$AQ"")=6)
      ),
      1
    ),
    ""0""
  ),
  ""Form not found""
)
"),"Form not found")</f>
        <v>Form not found</v>
      </c>
      <c r="V167" s="247" t="str">
        <f>IFERROR(__xludf.DUMMYFUNCTION("IFERROR(
  INDEX(
    FILTER(
      Transcription!$AJ:$AJ,
      TRIM(CLEAN(TEXT(Transcription!$F:$F, ""@""))) = TRIM(CLEAN(TEXT($D167, ""@""))),
      Transcription!$AO:$AO = 6
    ),
    1
  ),
  ""Not Found""
)
"),"Not Found")</f>
        <v>Not Found</v>
      </c>
      <c r="Z167" s="10">
        <f t="shared" si="1"/>
        <v>5</v>
      </c>
      <c r="AA167" s="10">
        <f t="shared" si="2"/>
        <v>0</v>
      </c>
    </row>
    <row r="168">
      <c r="A168" s="8" t="str">
        <f>VLOOKUP($D168,Sheet6!$B:$G,5,FALSE)</f>
        <v>Multan</v>
      </c>
      <c r="B168" s="232" t="str">
        <f>VLOOKUP($D168,Sheet6!$B:$G,4,FALSE)</f>
        <v>Women Religious Info Share</v>
      </c>
      <c r="C168" s="8">
        <v>3.0</v>
      </c>
      <c r="D168" s="8" t="s">
        <v>4610</v>
      </c>
      <c r="E1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TRIM(CLEAN(TEXT($D168, ""@""))),
      IMPORTRANGE(""https://docs.google.com/spreadsheets/d/1DccNxjBgurEr0ABkI_"&amp;"rBagJT5phB5HaHG5N_mTm_BiA/edit?gid=1382299152#gid=1382299152"", ""Form responses 1!$Z:$Z"") = 1
    ),
    1
  ),
  ""Not Found""
)
"),"https://drive.google.com/file/d/1IAYLULdPYKiFw5LXi8OahxmwkrOaEbur/view?usp=drive_link, https://drive.google.com/file/d/1l0XoQSuyc008Dz_oNgTWGF18E_evqrx1/view?usp=drive_link")</f>
        <v>https://drive.google.com/file/d/1IAYLULdPYKiFw5LXi8OahxmwkrOaEbur/view?usp=drive_link, https://drive.google.com/file/d/1l0XoQSuyc008Dz_oNgTWGF18E_evqrx1/view?usp=drive_link</v>
      </c>
      <c r="F1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1!$E:$E"")=$D168) *
        (IMPORTRANGE(""https://docs.google.com/spreadsheets/d/161aHT6vVT3SLneTKD19N5qVWtnj_jIT8CSsOmUVKmaA"&amp;"/edit?gid=1761053510"",
          ""Haris_Form responses 1!$AQ:$AQ"")=1)
      ),
      1
    ),
    ""0""
  ),
  ""Form not found""
)
"),"1")</f>
        <v>1</v>
      </c>
      <c r="G168" s="245" t="str">
        <f>IFERROR(__xludf.DUMMYFUNCTION("IFERROR(
  INDEX(
    FILTER(
      Transcription!$AJ:$AJ,
      TRIM(CLEAN(TEXT(Transcription!$F:$F, ""@""))) = TRIM(CLEAN(TEXT($D168, ""@""))),
      Transcription!$AO:$AO = 1
    ),
    1
  ),
  ""Not Found""
)
"),"https://drive.google.com/open?id=1PWJ8F741v91AqrIOpZQn2yUVhLposmRM")</f>
        <v>https://drive.google.com/open?id=1PWJ8F741v91AqrIOpZQn2yUVhLposmRM</v>
      </c>
      <c r="H16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TRIM(CLEAN(TEXT($D168, ""@""))),
      IMPORTRANGE(""https://docs.google.com/spreadsheets/d/1DccNxjBgurEr0ABkI_"&amp;"rBagJT5phB5HaHG5N_mTm_BiA/edit?gid=1382299152#gid=1382299152"", ""Form responses 1!$Z:$Z"") = 2
    ),
    1
  ),
  ""Not Found""
)
"),"https://drive.google.com/file/d/1FV_RVeUvO2ymlmKFEUEU6MF4piuM3MOd/view?usp=drive_link")</f>
        <v>https://drive.google.com/file/d/1FV_RVeUvO2ymlmKFEUEU6MF4piuM3MOd/view?usp=drive_link</v>
      </c>
      <c r="I1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1!$E:$E"")=$D168) *
        (IMPORTRANGE(""https://docs.google.com/spreadsheets/d/161aHT6vVT3SLneTKD19N5qVWtnj_jIT8CSsOmUVKmaA"&amp;"/edit?gid=1761053510"",
          ""Haris_Form responses 1!$AQ:$AQ"")=2)
      ),
      1
    ),
    ""0""
  ),
  ""Form not found""
)
"),"2")</f>
        <v>2</v>
      </c>
      <c r="J168" s="245" t="str">
        <f>IFERROR(__xludf.DUMMYFUNCTION("IFERROR(
  INDEX(
    FILTER(
      Transcription!$AJ:$AJ,
      TRIM(CLEAN(TEXT(Transcription!$F:$F, ""@""))) = TRIM(CLEAN(TEXT($D168, ""@""))),
      Transcription!$AO:$AO = 2
    ),
    1
  ),
  ""Not Found""
)
"),"https://drive.google.com/open?id=12WgelOeh0m8Ggqz6roNpBbGOZJUmU1JKiiE5p2LA2ys")</f>
        <v>https://drive.google.com/open?id=12WgelOeh0m8Ggqz6roNpBbGOZJUmU1JKiiE5p2LA2ys</v>
      </c>
      <c r="K16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TRIM(CLEAN(TEXT($D168, ""@""))),
      IMPORTRANGE(""https://docs.google.com/spreadsheets/d/1DccNxjBgurEr0ABkI_"&amp;"rBagJT5phB5HaHG5N_mTm_BiA/edit?gid=1382299152#gid=1382299152"", ""Form responses 1!$Z:$Z"") = 3
    ),
    1
  ),
  ""Not Found""
)
"),"https://drive.google.com/open?id=1OQqyFPKFkQm-4uXgDu_vd88fP98DrGIR")</f>
        <v>https://drive.google.com/open?id=1OQqyFPKFkQm-4uXgDu_vd88fP98DrGIR</v>
      </c>
      <c r="L1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1!$E:$E"")=$D168) *
        (IMPORTRANGE(""https://docs.google.com/spreadsheets/d/161aHT6vVT3SLneTKD19N5qVWtnj_jIT8CSsOmUVKmaA"&amp;"/edit?gid=1761053510"",
          ""Haris_Form responses 1!$AQ:$AQ"")=3)
      ),
      1
    ),
    ""0""
  ),
  ""Form not found""
)
"),"3")</f>
        <v>3</v>
      </c>
      <c r="M168" s="245" t="str">
        <f>IFERROR(__xludf.DUMMYFUNCTION("IFERROR(
  INDEX(
    FILTER(
      Transcription!$AJ:$AJ,
      TRIM(CLEAN(TEXT(Transcription!$F:$F, ""@""))) = TRIM(CLEAN(TEXT($D168, ""@""))),
      Transcription!$AO:$AO = 3
    ),
    1
  ),
  ""Not Found""
)
"),"https://drive.google.com/open?id=1YhR7Yns54ixyuj9w8bOMXyXiYhgbHChqw8pC5Wr2aBM")</f>
        <v>https://drive.google.com/open?id=1YhR7Yns54ixyuj9w8bOMXyXiYhgbHChqw8pC5Wr2aBM</v>
      </c>
      <c r="N1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TRIM(CLEAN(TEXT($D168, ""@""))),
      IMPORTRANGE(""https://docs.google.com/spreadsheets/d/1DccNxjBgurEr0ABkI_"&amp;"rBagJT5phB5HaHG5N_mTm_BiA/edit?gid=1382299152#gid=1382299152"", ""Form responses 1!$Z:$Z"") = 4
    ),
    1
  ),
  ""Not Found""
)
"),"Not Found")</f>
        <v>Not Found</v>
      </c>
      <c r="O1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1!$E:$E"")=$D168) *
        (IMPORTRANGE(""https://docs.google.com/spreadsheets/d/161aHT6vVT3SLneTKD19N5qVWtnj_jIT8CSsOmUVKmaA"&amp;"/edit?gid=1761053510"",
          ""Haris_Form responses 1!$AQ:$AQ"")=4)
      ),
      1
    ),
    ""0""
  ),
  ""Form not found""
)
"),"Form not found")</f>
        <v>Form not found</v>
      </c>
      <c r="P168" s="247" t="str">
        <f>IFERROR(__xludf.DUMMYFUNCTION("IFERROR(
  INDEX(
    FILTER(
      Transcription!$AJ:$AJ,
      TRIM(CLEAN(TEXT(Transcription!$F:$F, ""@""))) = TRIM(CLEAN(TEXT($D168, ""@""))),
      Transcription!$AO:$AO = 4
    ),
    1
  ),
  ""Not Found""
)
"),"Not Found")</f>
        <v>Not Found</v>
      </c>
      <c r="Q1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TRIM(CLEAN(TEXT($D168, ""@""))),
      IMPORTRANGE(""https://docs.google.com/spreadsheets/d/1DccNxjBgurEr0ABkI_"&amp;"rBagJT5phB5HaHG5N_mTm_BiA/edit?gid=1382299152#gid=1382299152"", ""Form responses 1!$Z:$Z"") = 5
    ),
    1
  ),
  ""Not Found""
)
"),"Not Found")</f>
        <v>Not Found</v>
      </c>
      <c r="R1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1!$E:$E"")=$D168) *
        (IMPORTRANGE(""https://docs.google.com/spreadsheets/d/161aHT6vVT3SLneTKD19N5qVWtnj_jIT8CSsOmUVKmaA"&amp;"/edit?gid=1761053510"",
          ""Haris_Form responses 1!$AQ:$AQ"")=5)
      ),
      1
    ),
    ""0""
  ),
  ""Form not found""
)
"),"Form not found")</f>
        <v>Form not found</v>
      </c>
      <c r="S168" s="247" t="str">
        <f>IFERROR(__xludf.DUMMYFUNCTION("IFERROR(
  INDEX(
    FILTER(
      Transcription!$AJ:$AJ,
      TRIM(CLEAN(TEXT(Transcription!$F:$F, ""@""))) = TRIM(CLEAN(TEXT($D168, ""@""))),
      Transcription!$AO:$AO = 5
    ),
    1
  ),
  ""Not Found""
)
"),"Not Found")</f>
        <v>Not Found</v>
      </c>
      <c r="T1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TRIM(CLEAN(TEXT($D168, ""@""))),
      IMPORTRANGE(""https://docs.google.com/spreadsheets/d/1DccNxjBgurEr0ABkI_"&amp;"rBagJT5phB5HaHG5N_mTm_BiA/edit?gid=1382299152#gid=1382299152"", ""Form responses 1!$Z:$Z"") = 6
    ),
    1
  ),
  ""Not Found""
)
"),"Not Found")</f>
        <v>Not Found</v>
      </c>
      <c r="U1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1!$E:$E"")=$D168) *
        (IMPORTRANGE(""https://docs.google.com/spreadsheets/d/161aHT6vVT3SLneTKD19N5qVWtnj_jIT8CSsOmUVKmaA"&amp;"/edit?gid=1761053510"",
          ""Haris_Form responses 1!$AQ:$AQ"")=6)
      ),
      1
    ),
    ""0""
  ),
  ""Form not found""
)
"),"Form not found")</f>
        <v>Form not found</v>
      </c>
      <c r="V168" s="247" t="str">
        <f>IFERROR(__xludf.DUMMYFUNCTION("IFERROR(
  INDEX(
    FILTER(
      Transcription!$AJ:$AJ,
      TRIM(CLEAN(TEXT(Transcription!$F:$F, ""@""))) = TRIM(CLEAN(TEXT($D168, ""@""))),
      Transcription!$AO:$AO = 6
    ),
    1
  ),
  ""Not Found""
)
"),"Not Found")</f>
        <v>Not Found</v>
      </c>
      <c r="Z168" s="10">
        <f t="shared" si="1"/>
        <v>3</v>
      </c>
      <c r="AA168" s="10">
        <f t="shared" si="2"/>
        <v>0</v>
      </c>
    </row>
    <row r="169">
      <c r="A169" s="8" t="str">
        <f>VLOOKUP($D169,Sheet6!$B:$G,5,FALSE)</f>
        <v>Multan</v>
      </c>
      <c r="B169" s="232" t="str">
        <f>VLOOKUP($D169,Sheet6!$B:$G,4,FALSE)</f>
        <v>Community Secular Info Share</v>
      </c>
      <c r="C169" s="8">
        <v>3.0</v>
      </c>
      <c r="D169" s="8" t="s">
        <v>4611</v>
      </c>
      <c r="E16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TRIM(CLEAN(TEXT($D169, ""@""))),
      IMPORTRANGE(""https://docs.google.com/spreadsheets/d/1DccNxjBgurEr0ABkI_"&amp;"rBagJT5phB5HaHG5N_mTm_BiA/edit?gid=1382299152#gid=1382299152"", ""Form responses 1!$Z:$Z"") = 1
    ),
    1
  ),
  ""Not Found""
)
"),"https://drive.google.com/open?id=1OrMs1cxFAu2OhD9LmF1nMN7MX6rVfd5g")</f>
        <v>https://drive.google.com/open?id=1OrMs1cxFAu2OhD9LmF1nMN7MX6rVfd5g</v>
      </c>
      <c r="F1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1!$E:$E"")=$D169) *
        (IMPORTRANGE(""https://docs.google.com/spreadsheets/d/161aHT6vVT3SLneTKD19N5qVWtnj_jIT8CSsOmUVKmaA"&amp;"/edit?gid=1761053510"",
          ""Haris_Form responses 1!$AQ:$AQ"")=1)
      ),
      1
    ),
    ""0""
  ),
  ""Form not found""
)
"),"1")</f>
        <v>1</v>
      </c>
      <c r="G169" s="245" t="str">
        <f>IFERROR(__xludf.DUMMYFUNCTION("IFERROR(
  INDEX(
    FILTER(
      Transcription!$AJ:$AJ,
      TRIM(CLEAN(TEXT(Transcription!$F:$F, ""@""))) = TRIM(CLEAN(TEXT($D169, ""@""))),
      Transcription!$AO:$AO = 1
    ),
    1
  ),
  ""Not Found""
)
"),"https://drive.google.com/open?id=11RM2ZaC9nVSQVF0UjGFlg5PgjPEmPz0DHnBbnRnv0c4")</f>
        <v>https://drive.google.com/open?id=11RM2ZaC9nVSQVF0UjGFlg5PgjPEmPz0DHnBbnRnv0c4</v>
      </c>
      <c r="H16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TRIM(CLEAN(TEXT($D169, ""@""))),
      IMPORTRANGE(""https://docs.google.com/spreadsheets/d/1DccNxjBgurEr0ABkI_"&amp;"rBagJT5phB5HaHG5N_mTm_BiA/edit?gid=1382299152#gid=1382299152"", ""Form responses 1!$Z:$Z"") = 2
    ),
    1
  ),
  ""Not Found""
)
"),"https://drive.google.com/open?id=19aNYk3ZoPRDlcd-lYv5mb6SqwTNFdRZm")</f>
        <v>https://drive.google.com/open?id=19aNYk3ZoPRDlcd-lYv5mb6SqwTNFdRZm</v>
      </c>
      <c r="I1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1!$E:$E"")=$D169) *
        (IMPORTRANGE(""https://docs.google.com/spreadsheets/d/161aHT6vVT3SLneTKD19N5qVWtnj_jIT8CSsOmUVKmaA"&amp;"/edit?gid=1761053510"",
          ""Haris_Form responses 1!$AQ:$AQ"")=2)
      ),
      1
    ),
    ""0""
  ),
  ""Form not found""
)
"),"2")</f>
        <v>2</v>
      </c>
      <c r="J169" s="245" t="str">
        <f>IFERROR(__xludf.DUMMYFUNCTION("IFERROR(
  INDEX(
    FILTER(
      Transcription!$AJ:$AJ,
      TRIM(CLEAN(TEXT(Transcription!$F:$F, ""@""))) = TRIM(CLEAN(TEXT($D169, ""@""))),
      Transcription!$AO:$AO = 2
    ),
    1
  ),
  ""Not Found""
)
"),"https://drive.google.com/open?id=1whf4uP1elvrbnorhWLg0sjuDBdY0kSDS")</f>
        <v>https://drive.google.com/open?id=1whf4uP1elvrbnorhWLg0sjuDBdY0kSDS</v>
      </c>
      <c r="K16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TRIM(CLEAN(TEXT($D169, ""@""))),
      IMPORTRANGE(""https://docs.google.com/spreadsheets/d/1DccNxjBgurEr0ABkI_"&amp;"rBagJT5phB5HaHG5N_mTm_BiA/edit?gid=1382299152#gid=1382299152"", ""Form responses 1!$Z:$Z"") = 3
    ),
    1
  ),
  ""Not Found""
)
"),"https://drive.google.com/open?id=14uHKee9D5wQ_xZ5CVDHVfHU6HcOgEzEV")</f>
        <v>https://drive.google.com/open?id=14uHKee9D5wQ_xZ5CVDHVfHU6HcOgEzEV</v>
      </c>
      <c r="L1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1!$E:$E"")=$D169) *
        (IMPORTRANGE(""https://docs.google.com/spreadsheets/d/161aHT6vVT3SLneTKD19N5qVWtnj_jIT8CSsOmUVKmaA"&amp;"/edit?gid=1761053510"",
          ""Haris_Form responses 1!$AQ:$AQ"")=3)
      ),
      1
    ),
    ""0""
  ),
  ""Form not found""
)
"),"3")</f>
        <v>3</v>
      </c>
      <c r="M169" s="245" t="str">
        <f>IFERROR(__xludf.DUMMYFUNCTION("IFERROR(
  INDEX(
    FILTER(
      Transcription!$AJ:$AJ,
      TRIM(CLEAN(TEXT(Transcription!$F:$F, ""@""))) = TRIM(CLEAN(TEXT($D169, ""@""))),
      Transcription!$AO:$AO = 3
    ),
    1
  ),
  ""Not Found""
)
"),"https://drive.google.com/open?id=1o9qiWh7YARacB9iTzyev5OCEQLrVtbSX")</f>
        <v>https://drive.google.com/open?id=1o9qiWh7YARacB9iTzyev5OCEQLrVtbSX</v>
      </c>
      <c r="N16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TRIM(CLEAN(TEXT($D169, ""@""))),
      IMPORTRANGE(""https://docs.google.com/spreadsheets/d/1DccNxjBgurEr0ABkI_"&amp;"rBagJT5phB5HaHG5N_mTm_BiA/edit?gid=1382299152#gid=1382299152"", ""Form responses 1!$Z:$Z"") = 4
    ),
    1
  ),
  ""Not Found""
)
"),"Not Found")</f>
        <v>Not Found</v>
      </c>
      <c r="O1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1!$E:$E"")=$D169) *
        (IMPORTRANGE(""https://docs.google.com/spreadsheets/d/161aHT6vVT3SLneTKD19N5qVWtnj_jIT8CSsOmUVKmaA"&amp;"/edit?gid=1761053510"",
          ""Haris_Form responses 1!$AQ:$AQ"")=4)
      ),
      1
    ),
    ""0""
  ),
  ""Form not found""
)
"),"Form not found")</f>
        <v>Form not found</v>
      </c>
      <c r="P169" s="247" t="str">
        <f>IFERROR(__xludf.DUMMYFUNCTION("IFERROR(
  INDEX(
    FILTER(
      Transcription!$AJ:$AJ,
      TRIM(CLEAN(TEXT(Transcription!$F:$F, ""@""))) = TRIM(CLEAN(TEXT($D169, ""@""))),
      Transcription!$AO:$AO = 4
    ),
    1
  ),
  ""Not Found""
)
"),"Not Found")</f>
        <v>Not Found</v>
      </c>
      <c r="Q16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TRIM(CLEAN(TEXT($D169, ""@""))),
      IMPORTRANGE(""https://docs.google.com/spreadsheets/d/1DccNxjBgurEr0ABkI_"&amp;"rBagJT5phB5HaHG5N_mTm_BiA/edit?gid=1382299152#gid=1382299152"", ""Form responses 1!$Z:$Z"") = 5
    ),
    1
  ),
  ""Not Found""
)
"),"Not Found")</f>
        <v>Not Found</v>
      </c>
      <c r="R1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1!$E:$E"")=$D169) *
        (IMPORTRANGE(""https://docs.google.com/spreadsheets/d/161aHT6vVT3SLneTKD19N5qVWtnj_jIT8CSsOmUVKmaA"&amp;"/edit?gid=1761053510"",
          ""Haris_Form responses 1!$AQ:$AQ"")=5)
      ),
      1
    ),
    ""0""
  ),
  ""Form not found""
)
"),"Form not found")</f>
        <v>Form not found</v>
      </c>
      <c r="S169" s="247" t="str">
        <f>IFERROR(__xludf.DUMMYFUNCTION("IFERROR(
  INDEX(
    FILTER(
      Transcription!$AJ:$AJ,
      TRIM(CLEAN(TEXT(Transcription!$F:$F, ""@""))) = TRIM(CLEAN(TEXT($D169, ""@""))),
      Transcription!$AO:$AO = 5
    ),
    1
  ),
  ""Not Found""
)
"),"Not Found")</f>
        <v>Not Found</v>
      </c>
      <c r="T16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TRIM(CLEAN(TEXT($D169, ""@""))),
      IMPORTRANGE(""https://docs.google.com/spreadsheets/d/1DccNxjBgurEr0ABkI_"&amp;"rBagJT5phB5HaHG5N_mTm_BiA/edit?gid=1382299152#gid=1382299152"", ""Form responses 1!$Z:$Z"") = 6
    ),
    1
  ),
  ""Not Found""
)
"),"Not Found")</f>
        <v>Not Found</v>
      </c>
      <c r="U1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1!$E:$E"")=$D169) *
        (IMPORTRANGE(""https://docs.google.com/spreadsheets/d/161aHT6vVT3SLneTKD19N5qVWtnj_jIT8CSsOmUVKmaA"&amp;"/edit?gid=1761053510"",
          ""Haris_Form responses 1!$AQ:$AQ"")=6)
      ),
      1
    ),
    ""0""
  ),
  ""Form not found""
)
"),"Form not found")</f>
        <v>Form not found</v>
      </c>
      <c r="V169" s="247" t="str">
        <f>IFERROR(__xludf.DUMMYFUNCTION("IFERROR(
  INDEX(
    FILTER(
      Transcription!$AJ:$AJ,
      TRIM(CLEAN(TEXT(Transcription!$F:$F, ""@""))) = TRIM(CLEAN(TEXT($D169, ""@""))),
      Transcription!$AO:$AO = 6
    ),
    1
  ),
  ""Not Found""
)
"),"Not Found")</f>
        <v>Not Found</v>
      </c>
      <c r="Z169" s="10">
        <f t="shared" si="1"/>
        <v>3</v>
      </c>
      <c r="AA169" s="10">
        <f t="shared" si="2"/>
        <v>0</v>
      </c>
    </row>
    <row r="170">
      <c r="A170" s="8" t="str">
        <f>VLOOKUP($D170,Sheet6!$B:$G,5,FALSE)</f>
        <v>Multan</v>
      </c>
      <c r="B170" s="232" t="str">
        <f>VLOOKUP($D170,Sheet6!$B:$G,4,FALSE)</f>
        <v>Control</v>
      </c>
      <c r="C170" s="8">
        <v>2.0</v>
      </c>
      <c r="D170" s="8" t="s">
        <v>4612</v>
      </c>
      <c r="E17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TRIM(CLEAN(TEXT($D170, ""@""))),
      IMPORTRANGE(""https://docs.google.com/spreadsheets/d/1DccNxjBgurEr0ABkI_"&amp;"rBagJT5phB5HaHG5N_mTm_BiA/edit?gid=1382299152#gid=1382299152"", ""Form responses 1!$Z:$Z"") = 1
    ),
    1
  ),
  ""Not Found""
)
"),"https://drive.google.com/file/d/19luiHoMIi1iRkVl8JFA_PdQLRAl6Sz9S/view?usp=drive_link")</f>
        <v>https://drive.google.com/file/d/19luiHoMIi1iRkVl8JFA_PdQLRAl6Sz9S/view?usp=drive_link</v>
      </c>
      <c r="F1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1!$E:$E"")=$D170) *
        (IMPORTRANGE(""https://docs.google.com/spreadsheets/d/161aHT6vVT3SLneTKD19N5qVWtnj_jIT8CSsOmUVKmaA"&amp;"/edit?gid=1761053510"",
          ""Haris_Form responses 1!$AQ:$AQ"")=1)
      ),
      1
    ),
    ""0""
  ),
  ""Form not found""
)
"),"1")</f>
        <v>1</v>
      </c>
      <c r="G170" s="245" t="str">
        <f>IFERROR(__xludf.DUMMYFUNCTION("IFERROR(
  INDEX(
    FILTER(
      Transcription!$AJ:$AJ,
      TRIM(CLEAN(TEXT(Transcription!$F:$F, ""@""))) = TRIM(CLEAN(TEXT($D170, ""@""))),
      Transcription!$AO:$AO = 1
    ),
    1
  ),
  ""Not Found""
)
"),"https://drive.google.com/open?id=1R7kOb5ddRe0iIOKAIyot78rwRNMO4t01bhNbGYg77nY")</f>
        <v>https://drive.google.com/open?id=1R7kOb5ddRe0iIOKAIyot78rwRNMO4t01bhNbGYg77nY</v>
      </c>
      <c r="H1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TRIM(CLEAN(TEXT($D170, ""@""))),
      IMPORTRANGE(""https://docs.google.com/spreadsheets/d/1DccNxjBgurEr0ABkI_"&amp;"rBagJT5phB5HaHG5N_mTm_BiA/edit?gid=1382299152#gid=1382299152"", ""Form responses 1!$Z:$Z"") = 2
    ),
    1
  ),
  ""Not Found""
)
"),"Not Found")</f>
        <v>Not Found</v>
      </c>
      <c r="I1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1!$E:$E"")=$D170) *
        (IMPORTRANGE(""https://docs.google.com/spreadsheets/d/161aHT6vVT3SLneTKD19N5qVWtnj_jIT8CSsOmUVKmaA"&amp;"/edit?gid=1761053510"",
          ""Haris_Form responses 1!$AQ:$AQ"")=2)
      ),
      1
    ),
    ""0""
  ),
  ""Form not found""
)
"),"Form not found")</f>
        <v>Form not found</v>
      </c>
      <c r="J170" s="247" t="str">
        <f>IFERROR(__xludf.DUMMYFUNCTION("IFERROR(
  INDEX(
    FILTER(
      Transcription!$AJ:$AJ,
      TRIM(CLEAN(TEXT(Transcription!$F:$F, ""@""))) = TRIM(CLEAN(TEXT($D170, ""@""))),
      Transcription!$AO:$AO = 2
    ),
    1
  ),
  ""Not Found""
)
"),"Not Found")</f>
        <v>Not Found</v>
      </c>
      <c r="K17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TRIM(CLEAN(TEXT($D170, ""@""))),
      IMPORTRANGE(""https://docs.google.com/spreadsheets/d/1DccNxjBgurEr0ABkI_"&amp;"rBagJT5phB5HaHG5N_mTm_BiA/edit?gid=1382299152#gid=1382299152"", ""Form responses 1!$Z:$Z"") = 3
    ),
    1
  ),
  ""Not Found""
)
"),"https://drive.google.com/open?id=1RRNq4iMZaC5nsydmLbi1QbDNETLnkJkf")</f>
        <v>https://drive.google.com/open?id=1RRNq4iMZaC5nsydmLbi1QbDNETLnkJkf</v>
      </c>
      <c r="L1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1!$E:$E"")=$D170) *
        (IMPORTRANGE(""https://docs.google.com/spreadsheets/d/161aHT6vVT3SLneTKD19N5qVWtnj_jIT8CSsOmUVKmaA"&amp;"/edit?gid=1761053510"",
          ""Haris_Form responses 1!$AQ:$AQ"")=3)
      ),
      1
    ),
    ""0""
  ),
  ""Form not found""
)
"),"3")</f>
        <v>3</v>
      </c>
      <c r="M170" s="245" t="str">
        <f>IFERROR(__xludf.DUMMYFUNCTION("IFERROR(
  INDEX(
    FILTER(
      Transcription!$AJ:$AJ,
      TRIM(CLEAN(TEXT(Transcription!$F:$F, ""@""))) = TRIM(CLEAN(TEXT($D170, ""@""))),
      Transcription!$AO:$AO = 3
    ),
    1
  ),
  ""Not Found""
)
"),"https://drive.google.com/open?id=1v5PBGi_hKx7vjtj3ea_tgP3YBLe5357Ky3v0gRBzktE")</f>
        <v>https://drive.google.com/open?id=1v5PBGi_hKx7vjtj3ea_tgP3YBLe5357Ky3v0gRBzktE</v>
      </c>
      <c r="N1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TRIM(CLEAN(TEXT($D170, ""@""))),
      IMPORTRANGE(""https://docs.google.com/spreadsheets/d/1DccNxjBgurEr0ABkI_"&amp;"rBagJT5phB5HaHG5N_mTm_BiA/edit?gid=1382299152#gid=1382299152"", ""Form responses 1!$Z:$Z"") = 4
    ),
    1
  ),
  ""Not Found""
)
"),"Not Found")</f>
        <v>Not Found</v>
      </c>
      <c r="O1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1!$E:$E"")=$D170) *
        (IMPORTRANGE(""https://docs.google.com/spreadsheets/d/161aHT6vVT3SLneTKD19N5qVWtnj_jIT8CSsOmUVKmaA"&amp;"/edit?gid=1761053510"",
          ""Haris_Form responses 1!$AQ:$AQ"")=4)
      ),
      1
    ),
    ""0""
  ),
  ""Form not found""
)
"),"Form not found")</f>
        <v>Form not found</v>
      </c>
      <c r="P170" s="247" t="str">
        <f>IFERROR(__xludf.DUMMYFUNCTION("IFERROR(
  INDEX(
    FILTER(
      Transcription!$AJ:$AJ,
      TRIM(CLEAN(TEXT(Transcription!$F:$F, ""@""))) = TRIM(CLEAN(TEXT($D170, ""@""))),
      Transcription!$AO:$AO = 4
    ),
    1
  ),
  ""Not Found""
)
"),"Not Found")</f>
        <v>Not Found</v>
      </c>
      <c r="Q1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TRIM(CLEAN(TEXT($D170, ""@""))),
      IMPORTRANGE(""https://docs.google.com/spreadsheets/d/1DccNxjBgurEr0ABkI_"&amp;"rBagJT5phB5HaHG5N_mTm_BiA/edit?gid=1382299152#gid=1382299152"", ""Form responses 1!$Z:$Z"") = 5
    ),
    1
  ),
  ""Not Found""
)
"),"Not Found")</f>
        <v>Not Found</v>
      </c>
      <c r="R1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1!$E:$E"")=$D170) *
        (IMPORTRANGE(""https://docs.google.com/spreadsheets/d/161aHT6vVT3SLneTKD19N5qVWtnj_jIT8CSsOmUVKmaA"&amp;"/edit?gid=1761053510"",
          ""Haris_Form responses 1!$AQ:$AQ"")=5)
      ),
      1
    ),
    ""0""
  ),
  ""Form not found""
)
"),"Form not found")</f>
        <v>Form not found</v>
      </c>
      <c r="S170" s="247" t="str">
        <f>IFERROR(__xludf.DUMMYFUNCTION("IFERROR(
  INDEX(
    FILTER(
      Transcription!$AJ:$AJ,
      TRIM(CLEAN(TEXT(Transcription!$F:$F, ""@""))) = TRIM(CLEAN(TEXT($D170, ""@""))),
      Transcription!$AO:$AO = 5
    ),
    1
  ),
  ""Not Found""
)
"),"Not Found")</f>
        <v>Not Found</v>
      </c>
      <c r="T1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TRIM(CLEAN(TEXT($D170, ""@""))),
      IMPORTRANGE(""https://docs.google.com/spreadsheets/d/1DccNxjBgurEr0ABkI_"&amp;"rBagJT5phB5HaHG5N_mTm_BiA/edit?gid=1382299152#gid=1382299152"", ""Form responses 1!$Z:$Z"") = 6
    ),
    1
  ),
  ""Not Found""
)
"),"Not Found")</f>
        <v>Not Found</v>
      </c>
      <c r="U1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1!$E:$E"")=$D170) *
        (IMPORTRANGE(""https://docs.google.com/spreadsheets/d/161aHT6vVT3SLneTKD19N5qVWtnj_jIT8CSsOmUVKmaA"&amp;"/edit?gid=1761053510"",
          ""Haris_Form responses 1!$AQ:$AQ"")=6)
      ),
      1
    ),
    ""0""
  ),
  ""Form not found""
)
"),"Form not found")</f>
        <v>Form not found</v>
      </c>
      <c r="V170" s="247" t="str">
        <f>IFERROR(__xludf.DUMMYFUNCTION("IFERROR(
  INDEX(
    FILTER(
      Transcription!$AJ:$AJ,
      TRIM(CLEAN(TEXT(Transcription!$F:$F, ""@""))) = TRIM(CLEAN(TEXT($D170, ""@""))),
      Transcription!$AO:$AO = 6
    ),
    1
  ),
  ""Not Found""
)
"),"Not Found")</f>
        <v>Not Found</v>
      </c>
      <c r="Z170" s="10">
        <f t="shared" si="1"/>
        <v>2</v>
      </c>
      <c r="AA170" s="10">
        <f t="shared" si="2"/>
        <v>0</v>
      </c>
    </row>
    <row r="171">
      <c r="A171" s="8" t="str">
        <f>VLOOKUP($D171,Sheet6!$B:$G,5,FALSE)</f>
        <v>Multan</v>
      </c>
      <c r="B171" s="232" t="str">
        <f>VLOOKUP($D171,Sheet6!$B:$G,4,FALSE)</f>
        <v>Women Secular No Info Share</v>
      </c>
      <c r="C171" s="8">
        <v>3.0</v>
      </c>
      <c r="D171" s="8" t="s">
        <v>4613</v>
      </c>
      <c r="E1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TRIM(CLEAN(TEXT($D171, ""@""))),
      IMPORTRANGE(""https://docs.google.com/spreadsheets/d/1DccNxjBgurEr0ABkI_"&amp;"rBagJT5phB5HaHG5N_mTm_BiA/edit?gid=1382299152#gid=1382299152"", ""Form responses 1!$Z:$Z"") = 1
    ),
    1
  ),
  ""Not Found""
)
"),"https://drive.google.com/open?id=18Ftz7IABuUeNWuhj33Wt2Qwhr8deAV0b")</f>
        <v>https://drive.google.com/open?id=18Ftz7IABuUeNWuhj33Wt2Qwhr8deAV0b</v>
      </c>
      <c r="F1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1!$E:$E"")=$D171) *
        (IMPORTRANGE(""https://docs.google.com/spreadsheets/d/161aHT6vVT3SLneTKD19N5qVWtnj_jIT8CSsOmUVKmaA"&amp;"/edit?gid=1761053510"",
          ""Haris_Form responses 1!$AQ:$AQ"")=1)
      ),
      1
    ),
    ""0""
  ),
  ""Form not found""
)
"),"1")</f>
        <v>1</v>
      </c>
      <c r="G171" s="245" t="str">
        <f>IFERROR(__xludf.DUMMYFUNCTION("IFERROR(
  INDEX(
    FILTER(
      Transcription!$AJ:$AJ,
      TRIM(CLEAN(TEXT(Transcription!$F:$F, ""@""))) = TRIM(CLEAN(TEXT($D171, ""@""))),
      Transcription!$AO:$AO = 1
    ),
    1
  ),
  ""Not Found""
)
"),"https://drive.google.com/open?id=10CGEHxL8pgLDagXgw-mPNCsVUF5uZYDh652hUYdke9E")</f>
        <v>https://drive.google.com/open?id=10CGEHxL8pgLDagXgw-mPNCsVUF5uZYDh652hUYdke9E</v>
      </c>
      <c r="H1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TRIM(CLEAN(TEXT($D171, ""@""))),
      IMPORTRANGE(""https://docs.google.com/spreadsheets/d/1DccNxjBgurEr0ABkI_"&amp;"rBagJT5phB5HaHG5N_mTm_BiA/edit?gid=1382299152#gid=1382299152"", ""Form responses 1!$Z:$Z"") = 2
    ),
    1
  ),
  ""Not Found""
)
"),"https://drive.google.com/open?id=17hwW80URiVXWllrI8VxoZlyjv88HPKZf")</f>
        <v>https://drive.google.com/open?id=17hwW80URiVXWllrI8VxoZlyjv88HPKZf</v>
      </c>
      <c r="I1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1!$E:$E"")=$D171) *
        (IMPORTRANGE(""https://docs.google.com/spreadsheets/d/161aHT6vVT3SLneTKD19N5qVWtnj_jIT8CSsOmUVKmaA"&amp;"/edit?gid=1761053510"",
          ""Haris_Form responses 1!$AQ:$AQ"")=2)
      ),
      1
    ),
    ""0""
  ),
  ""Form not found""
)
"),"2")</f>
        <v>2</v>
      </c>
      <c r="J171" s="245" t="str">
        <f>IFERROR(__xludf.DUMMYFUNCTION("IFERROR(
  INDEX(
    FILTER(
      Transcription!$AJ:$AJ,
      TRIM(CLEAN(TEXT(Transcription!$F:$F, ""@""))) = TRIM(CLEAN(TEXT($D171, ""@""))),
      Transcription!$AO:$AO = 2
    ),
    1
  ),
  ""Not Found""
)
"),"https://drive.google.com/open?id=1OCMqTnzumJXH-xUof9RJM5vZU924k5gc")</f>
        <v>https://drive.google.com/open?id=1OCMqTnzumJXH-xUof9RJM5vZU924k5gc</v>
      </c>
      <c r="K1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TRIM(CLEAN(TEXT($D171, ""@""))),
      IMPORTRANGE(""https://docs.google.com/spreadsheets/d/1DccNxjBgurEr0ABkI_"&amp;"rBagJT5phB5HaHG5N_mTm_BiA/edit?gid=1382299152#gid=1382299152"", ""Form responses 1!$Z:$Z"") = 3
    ),
    1
  ),
  ""Not Found""
)
"),"https://drive.google.com/open?id=1LPC4xmPcL7971R7UuYxwpjD95BHD6HF7")</f>
        <v>https://drive.google.com/open?id=1LPC4xmPcL7971R7UuYxwpjD95BHD6HF7</v>
      </c>
      <c r="L1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1!$E:$E"")=$D171) *
        (IMPORTRANGE(""https://docs.google.com/spreadsheets/d/161aHT6vVT3SLneTKD19N5qVWtnj_jIT8CSsOmUVKmaA"&amp;"/edit?gid=1761053510"",
          ""Haris_Form responses 1!$AQ:$AQ"")=3)
      ),
      1
    ),
    ""0""
  ),
  ""Form not found""
)
"),"3")</f>
        <v>3</v>
      </c>
      <c r="M171" s="245" t="str">
        <f>IFERROR(__xludf.DUMMYFUNCTION("IFERROR(
  INDEX(
    FILTER(
      Transcription!$AJ:$AJ,
      TRIM(CLEAN(TEXT(Transcription!$F:$F, ""@""))) = TRIM(CLEAN(TEXT($D171, ""@""))),
      Transcription!$AO:$AO = 3
    ),
    1
  ),
  ""Not Found""
)
"),"https://drive.google.com/open?id=1lhsjHREgRIZj9pELR3tRb7RLlhOMNflK")</f>
        <v>https://drive.google.com/open?id=1lhsjHREgRIZj9pELR3tRb7RLlhOMNflK</v>
      </c>
      <c r="N17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TRIM(CLEAN(TEXT($D171, ""@""))),
      IMPORTRANGE(""https://docs.google.com/spreadsheets/d/1DccNxjBgurEr0ABkI_"&amp;"rBagJT5phB5HaHG5N_mTm_BiA/edit?gid=1382299152#gid=1382299152"", ""Form responses 1!$Z:$Z"") = 4
    ),
    1
  ),
  ""Not Found""
)
"),"Not Found")</f>
        <v>Not Found</v>
      </c>
      <c r="O1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1!$E:$E"")=$D171) *
        (IMPORTRANGE(""https://docs.google.com/spreadsheets/d/161aHT6vVT3SLneTKD19N5qVWtnj_jIT8CSsOmUVKmaA"&amp;"/edit?gid=1761053510"",
          ""Haris_Form responses 1!$AQ:$AQ"")=4)
      ),
      1
    ),
    ""0""
  ),
  ""Form not found""
)
"),"Form not found")</f>
        <v>Form not found</v>
      </c>
      <c r="P171" s="247" t="str">
        <f>IFERROR(__xludf.DUMMYFUNCTION("IFERROR(
  INDEX(
    FILTER(
      Transcription!$AJ:$AJ,
      TRIM(CLEAN(TEXT(Transcription!$F:$F, ""@""))) = TRIM(CLEAN(TEXT($D171, ""@""))),
      Transcription!$AO:$AO = 4
    ),
    1
  ),
  ""Not Found""
)
"),"Not Found")</f>
        <v>Not Found</v>
      </c>
      <c r="Q17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TRIM(CLEAN(TEXT($D171, ""@""))),
      IMPORTRANGE(""https://docs.google.com/spreadsheets/d/1DccNxjBgurEr0ABkI_"&amp;"rBagJT5phB5HaHG5N_mTm_BiA/edit?gid=1382299152#gid=1382299152"", ""Form responses 1!$Z:$Z"") = 5
    ),
    1
  ),
  ""Not Found""
)
"),"Not Found")</f>
        <v>Not Found</v>
      </c>
      <c r="R1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1!$E:$E"")=$D171) *
        (IMPORTRANGE(""https://docs.google.com/spreadsheets/d/161aHT6vVT3SLneTKD19N5qVWtnj_jIT8CSsOmUVKmaA"&amp;"/edit?gid=1761053510"",
          ""Haris_Form responses 1!$AQ:$AQ"")=5)
      ),
      1
    ),
    ""0""
  ),
  ""Form not found""
)
"),"Form not found")</f>
        <v>Form not found</v>
      </c>
      <c r="S171" s="247" t="str">
        <f>IFERROR(__xludf.DUMMYFUNCTION("IFERROR(
  INDEX(
    FILTER(
      Transcription!$AJ:$AJ,
      TRIM(CLEAN(TEXT(Transcription!$F:$F, ""@""))) = TRIM(CLEAN(TEXT($D171, ""@""))),
      Transcription!$AO:$AO = 5
    ),
    1
  ),
  ""Not Found""
)
"),"Not Found")</f>
        <v>Not Found</v>
      </c>
      <c r="T17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TRIM(CLEAN(TEXT($D171, ""@""))),
      IMPORTRANGE(""https://docs.google.com/spreadsheets/d/1DccNxjBgurEr0ABkI_"&amp;"rBagJT5phB5HaHG5N_mTm_BiA/edit?gid=1382299152#gid=1382299152"", ""Form responses 1!$Z:$Z"") = 6
    ),
    1
  ),
  ""Not Found""
)
"),"Not Found")</f>
        <v>Not Found</v>
      </c>
      <c r="U1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1!$E:$E"")=$D171) *
        (IMPORTRANGE(""https://docs.google.com/spreadsheets/d/161aHT6vVT3SLneTKD19N5qVWtnj_jIT8CSsOmUVKmaA"&amp;"/edit?gid=1761053510"",
          ""Haris_Form responses 1!$AQ:$AQ"")=6)
      ),
      1
    ),
    ""0""
  ),
  ""Form not found""
)
"),"Form not found")</f>
        <v>Form not found</v>
      </c>
      <c r="V171" s="247" t="str">
        <f>IFERROR(__xludf.DUMMYFUNCTION("IFERROR(
  INDEX(
    FILTER(
      Transcription!$AJ:$AJ,
      TRIM(CLEAN(TEXT(Transcription!$F:$F, ""@""))) = TRIM(CLEAN(TEXT($D171, ""@""))),
      Transcription!$AO:$AO = 6
    ),
    1
  ),
  ""Not Found""
)
"),"Not Found")</f>
        <v>Not Found</v>
      </c>
      <c r="Z171" s="10">
        <f t="shared" si="1"/>
        <v>3</v>
      </c>
      <c r="AA171" s="10">
        <f t="shared" si="2"/>
        <v>0</v>
      </c>
    </row>
    <row r="172">
      <c r="A172" s="8" t="str">
        <f>VLOOKUP($D172,Sheet6!$B:$G,5,FALSE)</f>
        <v>Multan</v>
      </c>
      <c r="B172" s="232" t="str">
        <f>VLOOKUP($D172,Sheet6!$B:$G,4,FALSE)</f>
        <v>Women Secular No Info Share</v>
      </c>
      <c r="C172" s="8">
        <v>3.0</v>
      </c>
      <c r="D172" s="8" t="s">
        <v>4614</v>
      </c>
      <c r="E17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TRIM(CLEAN(TEXT($D172, ""@""))),
      IMPORTRANGE(""https://docs.google.com/spreadsheets/d/1DccNxjBgurEr0ABkI_"&amp;"rBagJT5phB5HaHG5N_mTm_BiA/edit?gid=1382299152#gid=1382299152"", ""Form responses 1!$Z:$Z"") = 1
    ),
    1
  ),
  ""Not Found""
)
"),"https://drive.google.com/open?id=1rYmgd0sapKC48_nzXVcY28tOMgt1yZbY")</f>
        <v>https://drive.google.com/open?id=1rYmgd0sapKC48_nzXVcY28tOMgt1yZbY</v>
      </c>
      <c r="F1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1!$E:$E"")=$D172) *
        (IMPORTRANGE(""https://docs.google.com/spreadsheets/d/161aHT6vVT3SLneTKD19N5qVWtnj_jIT8CSsOmUVKmaA"&amp;"/edit?gid=1761053510"",
          ""Haris_Form responses 1!$AQ:$AQ"")=1)
      ),
      1
    ),
    ""0""
  ),
  ""Form not found""
)
"),"1")</f>
        <v>1</v>
      </c>
      <c r="G172" s="245" t="str">
        <f>IFERROR(__xludf.DUMMYFUNCTION("IFERROR(
  INDEX(
    FILTER(
      Transcription!$AJ:$AJ,
      TRIM(CLEAN(TEXT(Transcription!$F:$F, ""@""))) = TRIM(CLEAN(TEXT($D172, ""@""))),
      Transcription!$AO:$AO = 1
    ),
    1
  ),
  ""Not Found""
)
"),"https://drive.google.com/open?id=1pkMtu0EKDhAuH23b7H8c3SB4HP3nCfwpRQwiTFhllKE")</f>
        <v>https://drive.google.com/open?id=1pkMtu0EKDhAuH23b7H8c3SB4HP3nCfwpRQwiTFhllKE</v>
      </c>
      <c r="H17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TRIM(CLEAN(TEXT($D172, ""@""))),
      IMPORTRANGE(""https://docs.google.com/spreadsheets/d/1DccNxjBgurEr0ABkI_"&amp;"rBagJT5phB5HaHG5N_mTm_BiA/edit?gid=1382299152#gid=1382299152"", ""Form responses 1!$Z:$Z"") = 2
    ),
    1
  ),
  ""Not Found""
)
"),"https://drive.google.com/open?id=16mwG-Hh5V5nUdRQyyqnuS_d-b1Qm9y7d")</f>
        <v>https://drive.google.com/open?id=16mwG-Hh5V5nUdRQyyqnuS_d-b1Qm9y7d</v>
      </c>
      <c r="I1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1!$E:$E"")=$D172) *
        (IMPORTRANGE(""https://docs.google.com/spreadsheets/d/161aHT6vVT3SLneTKD19N5qVWtnj_jIT8CSsOmUVKmaA"&amp;"/edit?gid=1761053510"",
          ""Haris_Form responses 1!$AQ:$AQ"")=2)
      ),
      1
    ),
    ""0""
  ),
  ""Form not found""
)
"),"2")</f>
        <v>2</v>
      </c>
      <c r="J172" s="245" t="str">
        <f>IFERROR(__xludf.DUMMYFUNCTION("IFERROR(
  INDEX(
    FILTER(
      Transcription!$AJ:$AJ,
      TRIM(CLEAN(TEXT(Transcription!$F:$F, ""@""))) = TRIM(CLEAN(TEXT($D172, ""@""))),
      Transcription!$AO:$AO = 2
    ),
    1
  ),
  ""Not Found""
)
"),"https://drive.google.com/open?id=1ES1MLuO-C3SgskZteq_zJfpAaV1YgUCS")</f>
        <v>https://drive.google.com/open?id=1ES1MLuO-C3SgskZteq_zJfpAaV1YgUCS</v>
      </c>
      <c r="K17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TRIM(CLEAN(TEXT($D172, ""@""))),
      IMPORTRANGE(""https://docs.google.com/spreadsheets/d/1DccNxjBgurEr0ABkI_"&amp;"rBagJT5phB5HaHG5N_mTm_BiA/edit?gid=1382299152#gid=1382299152"", ""Form responses 1!$Z:$Z"") = 3
    ),
    1
  ),
  ""Not Found""
)
"),"https://drive.google.com/open?id=1tiAA17pFz5VV6GX6grByAdaZv33SozyJ")</f>
        <v>https://drive.google.com/open?id=1tiAA17pFz5VV6GX6grByAdaZv33SozyJ</v>
      </c>
      <c r="L1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1!$E:$E"")=$D172) *
        (IMPORTRANGE(""https://docs.google.com/spreadsheets/d/161aHT6vVT3SLneTKD19N5qVWtnj_jIT8CSsOmUVKmaA"&amp;"/edit?gid=1761053510"",
          ""Haris_Form responses 1!$AQ:$AQ"")=3)
      ),
      1
    ),
    ""0""
  ),
  ""Form not found""
)
"),"3")</f>
        <v>3</v>
      </c>
      <c r="M172" s="245" t="str">
        <f>IFERROR(__xludf.DUMMYFUNCTION("IFERROR(
  INDEX(
    FILTER(
      Transcription!$AJ:$AJ,
      TRIM(CLEAN(TEXT(Transcription!$F:$F, ""@""))) = TRIM(CLEAN(TEXT($D172, ""@""))),
      Transcription!$AO:$AO = 3
    ),
    1
  ),
  ""Not Found""
)
"),"https://drive.google.com/open?id=1i-N9z9fJJ4boY4x6XLgMoZ4EmJWHjKmr")</f>
        <v>https://drive.google.com/open?id=1i-N9z9fJJ4boY4x6XLgMoZ4EmJWHjKmr</v>
      </c>
      <c r="N1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TRIM(CLEAN(TEXT($D172, ""@""))),
      IMPORTRANGE(""https://docs.google.com/spreadsheets/d/1DccNxjBgurEr0ABkI_"&amp;"rBagJT5phB5HaHG5N_mTm_BiA/edit?gid=1382299152#gid=1382299152"", ""Form responses 1!$Z:$Z"") = 4
    ),
    1
  ),
  ""Not Found""
)
"),"Not Found")</f>
        <v>Not Found</v>
      </c>
      <c r="O1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1!$E:$E"")=$D172) *
        (IMPORTRANGE(""https://docs.google.com/spreadsheets/d/161aHT6vVT3SLneTKD19N5qVWtnj_jIT8CSsOmUVKmaA"&amp;"/edit?gid=1761053510"",
          ""Haris_Form responses 1!$AQ:$AQ"")=4)
      ),
      1
    ),
    ""0""
  ),
  ""Form not found""
)
"),"Form not found")</f>
        <v>Form not found</v>
      </c>
      <c r="P172" s="247" t="str">
        <f>IFERROR(__xludf.DUMMYFUNCTION("IFERROR(
  INDEX(
    FILTER(
      Transcription!$AJ:$AJ,
      TRIM(CLEAN(TEXT(Transcription!$F:$F, ""@""))) = TRIM(CLEAN(TEXT($D172, ""@""))),
      Transcription!$AO:$AO = 4
    ),
    1
  ),
  ""Not Found""
)
"),"Not Found")</f>
        <v>Not Found</v>
      </c>
      <c r="Q1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TRIM(CLEAN(TEXT($D172, ""@""))),
      IMPORTRANGE(""https://docs.google.com/spreadsheets/d/1DccNxjBgurEr0ABkI_"&amp;"rBagJT5phB5HaHG5N_mTm_BiA/edit?gid=1382299152#gid=1382299152"", ""Form responses 1!$Z:$Z"") = 5
    ),
    1
  ),
  ""Not Found""
)
"),"Not Found")</f>
        <v>Not Found</v>
      </c>
      <c r="R1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1!$E:$E"")=$D172) *
        (IMPORTRANGE(""https://docs.google.com/spreadsheets/d/161aHT6vVT3SLneTKD19N5qVWtnj_jIT8CSsOmUVKmaA"&amp;"/edit?gid=1761053510"",
          ""Haris_Form responses 1!$AQ:$AQ"")=5)
      ),
      1
    ),
    ""0""
  ),
  ""Form not found""
)
"),"Form not found")</f>
        <v>Form not found</v>
      </c>
      <c r="S172" s="247" t="str">
        <f>IFERROR(__xludf.DUMMYFUNCTION("IFERROR(
  INDEX(
    FILTER(
      Transcription!$AJ:$AJ,
      TRIM(CLEAN(TEXT(Transcription!$F:$F, ""@""))) = TRIM(CLEAN(TEXT($D172, ""@""))),
      Transcription!$AO:$AO = 5
    ),
    1
  ),
  ""Not Found""
)
"),"Not Found")</f>
        <v>Not Found</v>
      </c>
      <c r="T1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TRIM(CLEAN(TEXT($D172, ""@""))),
      IMPORTRANGE(""https://docs.google.com/spreadsheets/d/1DccNxjBgurEr0ABkI_"&amp;"rBagJT5phB5HaHG5N_mTm_BiA/edit?gid=1382299152#gid=1382299152"", ""Form responses 1!$Z:$Z"") = 6
    ),
    1
  ),
  ""Not Found""
)
"),"Not Found")</f>
        <v>Not Found</v>
      </c>
      <c r="U1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1!$E:$E"")=$D172) *
        (IMPORTRANGE(""https://docs.google.com/spreadsheets/d/161aHT6vVT3SLneTKD19N5qVWtnj_jIT8CSsOmUVKmaA"&amp;"/edit?gid=1761053510"",
          ""Haris_Form responses 1!$AQ:$AQ"")=6)
      ),
      1
    ),
    ""0""
  ),
  ""Form not found""
)
"),"Form not found")</f>
        <v>Form not found</v>
      </c>
      <c r="V172" s="247" t="str">
        <f>IFERROR(__xludf.DUMMYFUNCTION("IFERROR(
  INDEX(
    FILTER(
      Transcription!$AJ:$AJ,
      TRIM(CLEAN(TEXT(Transcription!$F:$F, ""@""))) = TRIM(CLEAN(TEXT($D172, ""@""))),
      Transcription!$AO:$AO = 6
    ),
    1
  ),
  ""Not Found""
)
"),"Not Found")</f>
        <v>Not Found</v>
      </c>
      <c r="Z172" s="10">
        <f t="shared" si="1"/>
        <v>3</v>
      </c>
      <c r="AA172" s="10">
        <f t="shared" si="2"/>
        <v>0</v>
      </c>
    </row>
    <row r="173">
      <c r="A173" s="8" t="str">
        <f>VLOOKUP($D173,Sheet6!$B:$G,5,FALSE)</f>
        <v>Multan</v>
      </c>
      <c r="B173" s="232" t="str">
        <f>VLOOKUP($D173,Sheet6!$B:$G,4,FALSE)</f>
        <v>Community Secular No Info Share</v>
      </c>
      <c r="C173" s="8">
        <v>3.0</v>
      </c>
      <c r="D173" s="8" t="s">
        <v>4615</v>
      </c>
      <c r="E17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TRIM(CLEAN(TEXT($D173, ""@""))),
      IMPORTRANGE(""https://docs.google.com/spreadsheets/d/1DccNxjBgurEr0ABkI_"&amp;"rBagJT5phB5HaHG5N_mTm_BiA/edit?gid=1382299152#gid=1382299152"", ""Form responses 1!$Z:$Z"") = 1
    ),
    1
  ),
  ""Not Found""
)
"),"https://drive.google.com/open?id=1UCx_u120klQ5wSoO3_xNchexap5-LmG0")</f>
        <v>https://drive.google.com/open?id=1UCx_u120klQ5wSoO3_xNchexap5-LmG0</v>
      </c>
      <c r="F1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1!$E:$E"")=$D173) *
        (IMPORTRANGE(""https://docs.google.com/spreadsheets/d/161aHT6vVT3SLneTKD19N5qVWtnj_jIT8CSsOmUVKmaA"&amp;"/edit?gid=1761053510"",
          ""Haris_Form responses 1!$AQ:$AQ"")=1)
      ),
      1
    ),
    ""0""
  ),
  ""Form not found""
)
"),"1")</f>
        <v>1</v>
      </c>
      <c r="G173" s="245" t="str">
        <f>IFERROR(__xludf.DUMMYFUNCTION("IFERROR(
  INDEX(
    FILTER(
      Transcription!$AJ:$AJ,
      TRIM(CLEAN(TEXT(Transcription!$F:$F, ""@""))) = TRIM(CLEAN(TEXT($D173, ""@""))),
      Transcription!$AO:$AO = 1
    ),
    1
  ),
  ""Not Found""
)
"),"https://drive.google.com/open?id=1sV2ApFVFA5qV8amAudERwWwpk6KMNL7z6p4UXPI0fxg")</f>
        <v>https://drive.google.com/open?id=1sV2ApFVFA5qV8amAudERwWwpk6KMNL7z6p4UXPI0fxg</v>
      </c>
      <c r="H17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TRIM(CLEAN(TEXT($D173, ""@""))),
      IMPORTRANGE(""https://docs.google.com/spreadsheets/d/1DccNxjBgurEr0ABkI_"&amp;"rBagJT5phB5HaHG5N_mTm_BiA/edit?gid=1382299152#gid=1382299152"", ""Form responses 1!$Z:$Z"") = 2
    ),
    1
  ),
  ""Not Found""
)
"),"https://drive.google.com/open?id=1u5hQMY7Gfkk22UdgfiarPq1gKTgw7LAB")</f>
        <v>https://drive.google.com/open?id=1u5hQMY7Gfkk22UdgfiarPq1gKTgw7LAB</v>
      </c>
      <c r="I1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1!$E:$E"")=$D173) *
        (IMPORTRANGE(""https://docs.google.com/spreadsheets/d/161aHT6vVT3SLneTKD19N5qVWtnj_jIT8CSsOmUVKmaA"&amp;"/edit?gid=1761053510"",
          ""Haris_Form responses 1!$AQ:$AQ"")=2)
      ),
      1
    ),
    ""0""
  ),
  ""Form not found""
)
"),"2")</f>
        <v>2</v>
      </c>
      <c r="J173" s="245" t="str">
        <f>IFERROR(__xludf.DUMMYFUNCTION("IFERROR(
  INDEX(
    FILTER(
      Transcription!$AJ:$AJ,
      TRIM(CLEAN(TEXT(Transcription!$F:$F, ""@""))) = TRIM(CLEAN(TEXT($D173, ""@""))),
      Transcription!$AO:$AO = 2
    ),
    1
  ),
  ""Not Found""
)
"),"https://drive.google.com/open?id=17oK96xAQ7jaJTkST_LK-T9y-Q27zGc2qEbtO62uZqVg")</f>
        <v>https://drive.google.com/open?id=17oK96xAQ7jaJTkST_LK-T9y-Q27zGc2qEbtO62uZqVg</v>
      </c>
      <c r="K17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TRIM(CLEAN(TEXT($D173, ""@""))),
      IMPORTRANGE(""https://docs.google.com/spreadsheets/d/1DccNxjBgurEr0ABkI_"&amp;"rBagJT5phB5HaHG5N_mTm_BiA/edit?gid=1382299152#gid=1382299152"", ""Form responses 1!$Z:$Z"") = 3
    ),
    1
  ),
  ""Not Found""
)
"),"https://drive.google.com/file/d/1VLXGY97C_NxEz_5oKnop6XDp0oXIxF6v/view?usp=drive_link")</f>
        <v>https://drive.google.com/file/d/1VLXGY97C_NxEz_5oKnop6XDp0oXIxF6v/view?usp=drive_link</v>
      </c>
      <c r="L1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1!$E:$E"")=$D173) *
        (IMPORTRANGE(""https://docs.google.com/spreadsheets/d/161aHT6vVT3SLneTKD19N5qVWtnj_jIT8CSsOmUVKmaA"&amp;"/edit?gid=1761053510"",
          ""Haris_Form responses 1!$AQ:$AQ"")=3)
      ),
      1
    ),
    ""0""
  ),
  ""Form not found""
)
"),"3")</f>
        <v>3</v>
      </c>
      <c r="M173" s="245" t="str">
        <f>IFERROR(__xludf.DUMMYFUNCTION("IFERROR(
  INDEX(
    FILTER(
      Transcription!$AJ:$AJ,
      TRIM(CLEAN(TEXT(Transcription!$F:$F, ""@""))) = TRIM(CLEAN(TEXT($D173, ""@""))),
      Transcription!$AO:$AO = 3
    ),
    1
  ),
  ""Not Found""
)
"),"https://drive.google.com/open?id=19ROVrXGJG2KbfuA-Zfzqx_zgFmzTxR0k")</f>
        <v>https://drive.google.com/open?id=19ROVrXGJG2KbfuA-Zfzqx_zgFmzTxR0k</v>
      </c>
      <c r="N17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TRIM(CLEAN(TEXT($D173, ""@""))),
      IMPORTRANGE(""https://docs.google.com/spreadsheets/d/1DccNxjBgurEr0ABkI_"&amp;"rBagJT5phB5HaHG5N_mTm_BiA/edit?gid=1382299152#gid=1382299152"", ""Form responses 1!$Z:$Z"") = 4
    ),
    1
  ),
  ""Not Found""
)
"),"Not Found")</f>
        <v>Not Found</v>
      </c>
      <c r="O1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1!$E:$E"")=$D173) *
        (IMPORTRANGE(""https://docs.google.com/spreadsheets/d/161aHT6vVT3SLneTKD19N5qVWtnj_jIT8CSsOmUVKmaA"&amp;"/edit?gid=1761053510"",
          ""Haris_Form responses 1!$AQ:$AQ"")=4)
      ),
      1
    ),
    ""0""
  ),
  ""Form not found""
)
"),"Form not found")</f>
        <v>Form not found</v>
      </c>
      <c r="P173" s="247" t="str">
        <f>IFERROR(__xludf.DUMMYFUNCTION("IFERROR(
  INDEX(
    FILTER(
      Transcription!$AJ:$AJ,
      TRIM(CLEAN(TEXT(Transcription!$F:$F, ""@""))) = TRIM(CLEAN(TEXT($D173, ""@""))),
      Transcription!$AO:$AO = 4
    ),
    1
  ),
  ""Not Found""
)
"),"Not Found")</f>
        <v>Not Found</v>
      </c>
      <c r="Q17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TRIM(CLEAN(TEXT($D173, ""@""))),
      IMPORTRANGE(""https://docs.google.com/spreadsheets/d/1DccNxjBgurEr0ABkI_"&amp;"rBagJT5phB5HaHG5N_mTm_BiA/edit?gid=1382299152#gid=1382299152"", ""Form responses 1!$Z:$Z"") = 5
    ),
    1
  ),
  ""Not Found""
)
"),"Not Found")</f>
        <v>Not Found</v>
      </c>
      <c r="R1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1!$E:$E"")=$D173) *
        (IMPORTRANGE(""https://docs.google.com/spreadsheets/d/161aHT6vVT3SLneTKD19N5qVWtnj_jIT8CSsOmUVKmaA"&amp;"/edit?gid=1761053510"",
          ""Haris_Form responses 1!$AQ:$AQ"")=5)
      ),
      1
    ),
    ""0""
  ),
  ""Form not found""
)
"),"Form not found")</f>
        <v>Form not found</v>
      </c>
      <c r="S173" s="247" t="str">
        <f>IFERROR(__xludf.DUMMYFUNCTION("IFERROR(
  INDEX(
    FILTER(
      Transcription!$AJ:$AJ,
      TRIM(CLEAN(TEXT(Transcription!$F:$F, ""@""))) = TRIM(CLEAN(TEXT($D173, ""@""))),
      Transcription!$AO:$AO = 5
    ),
    1
  ),
  ""Not Found""
)
"),"Not Found")</f>
        <v>Not Found</v>
      </c>
      <c r="T17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TRIM(CLEAN(TEXT($D173, ""@""))),
      IMPORTRANGE(""https://docs.google.com/spreadsheets/d/1DccNxjBgurEr0ABkI_"&amp;"rBagJT5phB5HaHG5N_mTm_BiA/edit?gid=1382299152#gid=1382299152"", ""Form responses 1!$Z:$Z"") = 6
    ),
    1
  ),
  ""Not Found""
)
"),"Not Found")</f>
        <v>Not Found</v>
      </c>
      <c r="U1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1!$E:$E"")=$D173) *
        (IMPORTRANGE(""https://docs.google.com/spreadsheets/d/161aHT6vVT3SLneTKD19N5qVWtnj_jIT8CSsOmUVKmaA"&amp;"/edit?gid=1761053510"",
          ""Haris_Form responses 1!$AQ:$AQ"")=6)
      ),
      1
    ),
    ""0""
  ),
  ""Form not found""
)
"),"Form not found")</f>
        <v>Form not found</v>
      </c>
      <c r="V173" s="247" t="str">
        <f>IFERROR(__xludf.DUMMYFUNCTION("IFERROR(
  INDEX(
    FILTER(
      Transcription!$AJ:$AJ,
      TRIM(CLEAN(TEXT(Transcription!$F:$F, ""@""))) = TRIM(CLEAN(TEXT($D173, ""@""))),
      Transcription!$AO:$AO = 6
    ),
    1
  ),
  ""Not Found""
)
"),"Not Found")</f>
        <v>Not Found</v>
      </c>
      <c r="Z173" s="10">
        <f t="shared" si="1"/>
        <v>3</v>
      </c>
      <c r="AA173" s="10">
        <f t="shared" si="2"/>
        <v>0</v>
      </c>
    </row>
    <row r="174">
      <c r="A174" s="8" t="str">
        <f>VLOOKUP($D174,Sheet6!$B:$G,5,FALSE)</f>
        <v>Multan</v>
      </c>
      <c r="B174" s="232" t="str">
        <f>VLOOKUP($D174,Sheet6!$B:$G,4,FALSE)</f>
        <v>Community Secular No Info Share</v>
      </c>
      <c r="C174" s="8">
        <v>3.0</v>
      </c>
      <c r="D174" s="8" t="s">
        <v>4616</v>
      </c>
      <c r="E17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TRIM(CLEAN(TEXT($D174, ""@""))),
      IMPORTRANGE(""https://docs.google.com/spreadsheets/d/1DccNxjBgurEr0ABkI_"&amp;"rBagJT5phB5HaHG5N_mTm_BiA/edit?gid=1382299152#gid=1382299152"", ""Form responses 1!$Z:$Z"") = 1
    ),
    1
  ),
  ""Not Found""
)
"),"https://drive.google.com/file/d/12HIqKnIa7SPh8kcm8kyqaYNtxJpU_Rtk/view?usp=drive_link")</f>
        <v>https://drive.google.com/file/d/12HIqKnIa7SPh8kcm8kyqaYNtxJpU_Rtk/view?usp=drive_link</v>
      </c>
      <c r="F1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1!$E:$E"")=$D174) *
        (IMPORTRANGE(""https://docs.google.com/spreadsheets/d/161aHT6vVT3SLneTKD19N5qVWtnj_jIT8CSsOmUVKmaA"&amp;"/edit?gid=1761053510"",
          ""Haris_Form responses 1!$AQ:$AQ"")=1)
      ),
      1
    ),
    ""0""
  ),
  ""Form not found""
)
"),"1")</f>
        <v>1</v>
      </c>
      <c r="G174" s="245" t="str">
        <f>IFERROR(__xludf.DUMMYFUNCTION("IFERROR(
  INDEX(
    FILTER(
      Transcription!$AJ:$AJ,
      TRIM(CLEAN(TEXT(Transcription!$F:$F, ""@""))) = TRIM(CLEAN(TEXT($D174, ""@""))),
      Transcription!$AO:$AO = 1
    ),
    1
  ),
  ""Not Found""
)
"),"https://drive.google.com/open?id=1xH2x4u2DlpmUaxjxZXkHCVy6-G5dU07b")</f>
        <v>https://drive.google.com/open?id=1xH2x4u2DlpmUaxjxZXkHCVy6-G5dU07b</v>
      </c>
      <c r="H17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TRIM(CLEAN(TEXT($D174, ""@""))),
      IMPORTRANGE(""https://docs.google.com/spreadsheets/d/1DccNxjBgurEr0ABkI_"&amp;"rBagJT5phB5HaHG5N_mTm_BiA/edit?gid=1382299152#gid=1382299152"", ""Form responses 1!$Z:$Z"") = 2
    ),
    1
  ),
  ""Not Found""
)
"),"https://drive.google.com/file/d/1Po29ThJkf5X4x-sIKKtQm75_fDIFKyUm/view?usp=drive_link")</f>
        <v>https://drive.google.com/file/d/1Po29ThJkf5X4x-sIKKtQm75_fDIFKyUm/view?usp=drive_link</v>
      </c>
      <c r="I1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1!$E:$E"")=$D174) *
        (IMPORTRANGE(""https://docs.google.com/spreadsheets/d/161aHT6vVT3SLneTKD19N5qVWtnj_jIT8CSsOmUVKmaA"&amp;"/edit?gid=1761053510"",
          ""Haris_Form responses 1!$AQ:$AQ"")=2)
      ),
      1
    ),
    ""0""
  ),
  ""Form not found""
)
"),"2")</f>
        <v>2</v>
      </c>
      <c r="J174" s="245" t="str">
        <f>IFERROR(__xludf.DUMMYFUNCTION("IFERROR(
  INDEX(
    FILTER(
      Transcription!$AJ:$AJ,
      TRIM(CLEAN(TEXT(Transcription!$F:$F, ""@""))) = TRIM(CLEAN(TEXT($D174, ""@""))),
      Transcription!$AO:$AO = 2
    ),
    1
  ),
  ""Not Found""
)
"),"https://drive.google.com/open?id=1A4z8fzphrv1YOolo5f37Eo56hgMMSMa3iWTPpkz9ZdU")</f>
        <v>https://drive.google.com/open?id=1A4z8fzphrv1YOolo5f37Eo56hgMMSMa3iWTPpkz9ZdU</v>
      </c>
      <c r="K17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TRIM(CLEAN(TEXT($D174, ""@""))),
      IMPORTRANGE(""https://docs.google.com/spreadsheets/d/1DccNxjBgurEr0ABkI_"&amp;"rBagJT5phB5HaHG5N_mTm_BiA/edit?gid=1382299152#gid=1382299152"", ""Form responses 1!$Z:$Z"") = 3
    ),
    1
  ),
  ""Not Found""
)
"),"https://drive.google.com/open?id=1ZDNee2EYCW62fyhlq8RRTruMj2ulPyIu")</f>
        <v>https://drive.google.com/open?id=1ZDNee2EYCW62fyhlq8RRTruMj2ulPyIu</v>
      </c>
      <c r="L1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1!$E:$E"")=$D174) *
        (IMPORTRANGE(""https://docs.google.com/spreadsheets/d/161aHT6vVT3SLneTKD19N5qVWtnj_jIT8CSsOmUVKmaA"&amp;"/edit?gid=1761053510"",
          ""Haris_Form responses 1!$AQ:$AQ"")=3)
      ),
      1
    ),
    ""0""
  ),
  ""Form not found""
)
"),"3")</f>
        <v>3</v>
      </c>
      <c r="M174" s="245" t="str">
        <f>IFERROR(__xludf.DUMMYFUNCTION("IFERROR(
  INDEX(
    FILTER(
      Transcription!$AJ:$AJ,
      TRIM(CLEAN(TEXT(Transcription!$F:$F, ""@""))) = TRIM(CLEAN(TEXT($D174, ""@""))),
      Transcription!$AO:$AO = 3
    ),
    1
  ),
  ""Not Found""
)
"),"https://drive.google.com/open?id=1Hqom0hHHYYWgd0YgZgHBCRJFH_QTLFCy1Wkkq2fF5l4")</f>
        <v>https://drive.google.com/open?id=1Hqom0hHHYYWgd0YgZgHBCRJFH_QTLFCy1Wkkq2fF5l4</v>
      </c>
      <c r="N17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TRIM(CLEAN(TEXT($D174, ""@""))),
      IMPORTRANGE(""https://docs.google.com/spreadsheets/d/1DccNxjBgurEr0ABkI_"&amp;"rBagJT5phB5HaHG5N_mTm_BiA/edit?gid=1382299152#gid=1382299152"", ""Form responses 1!$Z:$Z"") = 4
    ),
    1
  ),
  ""Not Found""
)
"),"Not Found")</f>
        <v>Not Found</v>
      </c>
      <c r="O1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1!$E:$E"")=$D174) *
        (IMPORTRANGE(""https://docs.google.com/spreadsheets/d/161aHT6vVT3SLneTKD19N5qVWtnj_jIT8CSsOmUVKmaA"&amp;"/edit?gid=1761053510"",
          ""Haris_Form responses 1!$AQ:$AQ"")=4)
      ),
      1
    ),
    ""0""
  ),
  ""Form not found""
)
"),"Form not found")</f>
        <v>Form not found</v>
      </c>
      <c r="P174" s="247" t="str">
        <f>IFERROR(__xludf.DUMMYFUNCTION("IFERROR(
  INDEX(
    FILTER(
      Transcription!$AJ:$AJ,
      TRIM(CLEAN(TEXT(Transcription!$F:$F, ""@""))) = TRIM(CLEAN(TEXT($D174, ""@""))),
      Transcription!$AO:$AO = 4
    ),
    1
  ),
  ""Not Found""
)
"),"Not Found")</f>
        <v>Not Found</v>
      </c>
      <c r="Q17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TRIM(CLEAN(TEXT($D174, ""@""))),
      IMPORTRANGE(""https://docs.google.com/spreadsheets/d/1DccNxjBgurEr0ABkI_"&amp;"rBagJT5phB5HaHG5N_mTm_BiA/edit?gid=1382299152#gid=1382299152"", ""Form responses 1!$Z:$Z"") = 5
    ),
    1
  ),
  ""Not Found""
)
"),"Not Found")</f>
        <v>Not Found</v>
      </c>
      <c r="R1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1!$E:$E"")=$D174) *
        (IMPORTRANGE(""https://docs.google.com/spreadsheets/d/161aHT6vVT3SLneTKD19N5qVWtnj_jIT8CSsOmUVKmaA"&amp;"/edit?gid=1761053510"",
          ""Haris_Form responses 1!$AQ:$AQ"")=5)
      ),
      1
    ),
    ""0""
  ),
  ""Form not found""
)
"),"Form not found")</f>
        <v>Form not found</v>
      </c>
      <c r="S174" s="247" t="str">
        <f>IFERROR(__xludf.DUMMYFUNCTION("IFERROR(
  INDEX(
    FILTER(
      Transcription!$AJ:$AJ,
      TRIM(CLEAN(TEXT(Transcription!$F:$F, ""@""))) = TRIM(CLEAN(TEXT($D174, ""@""))),
      Transcription!$AO:$AO = 5
    ),
    1
  ),
  ""Not Found""
)
"),"Not Found")</f>
        <v>Not Found</v>
      </c>
      <c r="T17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TRIM(CLEAN(TEXT($D174, ""@""))),
      IMPORTRANGE(""https://docs.google.com/spreadsheets/d/1DccNxjBgurEr0ABkI_"&amp;"rBagJT5phB5HaHG5N_mTm_BiA/edit?gid=1382299152#gid=1382299152"", ""Form responses 1!$Z:$Z"") = 6
    ),
    1
  ),
  ""Not Found""
)
"),"Not Found")</f>
        <v>Not Found</v>
      </c>
      <c r="U1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1!$E:$E"")=$D174) *
        (IMPORTRANGE(""https://docs.google.com/spreadsheets/d/161aHT6vVT3SLneTKD19N5qVWtnj_jIT8CSsOmUVKmaA"&amp;"/edit?gid=1761053510"",
          ""Haris_Form responses 1!$AQ:$AQ"")=6)
      ),
      1
    ),
    ""0""
  ),
  ""Form not found""
)
"),"Form not found")</f>
        <v>Form not found</v>
      </c>
      <c r="V174" s="247" t="str">
        <f>IFERROR(__xludf.DUMMYFUNCTION("IFERROR(
  INDEX(
    FILTER(
      Transcription!$AJ:$AJ,
      TRIM(CLEAN(TEXT(Transcription!$F:$F, ""@""))) = TRIM(CLEAN(TEXT($D174, ""@""))),
      Transcription!$AO:$AO = 6
    ),
    1
  ),
  ""Not Found""
)
"),"Not Found")</f>
        <v>Not Found</v>
      </c>
      <c r="Z174" s="10">
        <f t="shared" si="1"/>
        <v>3</v>
      </c>
      <c r="AA174" s="10">
        <f t="shared" si="2"/>
        <v>0</v>
      </c>
    </row>
    <row r="175">
      <c r="A175" s="8" t="str">
        <f>VLOOKUP($D175,Sheet6!$B:$G,5,FALSE)</f>
        <v>Multan</v>
      </c>
      <c r="B175" s="232" t="str">
        <f>VLOOKUP($D175,Sheet6!$B:$G,4,FALSE)</f>
        <v>Control</v>
      </c>
      <c r="C175" s="8">
        <v>2.0</v>
      </c>
      <c r="D175" s="8" t="s">
        <v>4617</v>
      </c>
      <c r="E17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TRIM(CLEAN(TEXT($D175, ""@""))),
      IMPORTRANGE(""https://docs.google.com/spreadsheets/d/1DccNxjBgurEr0ABkI_"&amp;"rBagJT5phB5HaHG5N_mTm_BiA/edit?gid=1382299152#gid=1382299152"", ""Form responses 1!$Z:$Z"") = 1
    ),
    1
  ),
  ""Not Found""
)
"),"https://drive.google.com/open?id=1sbHpRWDqwo3T70kXTGqNi6qcOskuqLns")</f>
        <v>https://drive.google.com/open?id=1sbHpRWDqwo3T70kXTGqNi6qcOskuqLns</v>
      </c>
      <c r="F1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1!$E:$E"")=$D175) *
        (IMPORTRANGE(""https://docs.google.com/spreadsheets/d/161aHT6vVT3SLneTKD19N5qVWtnj_jIT8CSsOmUVKmaA"&amp;"/edit?gid=1761053510"",
          ""Haris_Form responses 1!$AQ:$AQ"")=1)
      ),
      1
    ),
    ""0""
  ),
  ""Form not found""
)
"),"1")</f>
        <v>1</v>
      </c>
      <c r="G175" s="245" t="str">
        <f>IFERROR(__xludf.DUMMYFUNCTION("IFERROR(
  INDEX(
    FILTER(
      Transcription!$AJ:$AJ,
      TRIM(CLEAN(TEXT(Transcription!$F:$F, ""@""))) = TRIM(CLEAN(TEXT($D175, ""@""))),
      Transcription!$AO:$AO = 1
    ),
    1
  ),
  ""Not Found""
)
"),"https://drive.google.com/open?id=1xxGjSOABsTlQAHQ7iX7ZfwD5nEeGI1JW9W8BHALt-0s")</f>
        <v>https://drive.google.com/open?id=1xxGjSOABsTlQAHQ7iX7ZfwD5nEeGI1JW9W8BHALt-0s</v>
      </c>
      <c r="H17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TRIM(CLEAN(TEXT($D175, ""@""))),
      IMPORTRANGE(""https://docs.google.com/spreadsheets/d/1DccNxjBgurEr0ABkI_"&amp;"rBagJT5phB5HaHG5N_mTm_BiA/edit?gid=1382299152#gid=1382299152"", ""Form responses 1!$Z:$Z"") = 2
    ),
    1
  ),
  ""Not Found""
)
"),"Not Found")</f>
        <v>Not Found</v>
      </c>
      <c r="I1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1!$E:$E"")=$D175) *
        (IMPORTRANGE(""https://docs.google.com/spreadsheets/d/161aHT6vVT3SLneTKD19N5qVWtnj_jIT8CSsOmUVKmaA"&amp;"/edit?gid=1761053510"",
          ""Haris_Form responses 1!$AQ:$AQ"")=2)
      ),
      1
    ),
    ""0""
  ),
  ""Form not found""
)
"),"Form not found")</f>
        <v>Form not found</v>
      </c>
      <c r="J175" s="247" t="str">
        <f>IFERROR(__xludf.DUMMYFUNCTION("IFERROR(
  INDEX(
    FILTER(
      Transcription!$AJ:$AJ,
      TRIM(CLEAN(TEXT(Transcription!$F:$F, ""@""))) = TRIM(CLEAN(TEXT($D175, ""@""))),
      Transcription!$AO:$AO = 2
    ),
    1
  ),
  ""Not Found""
)
"),"Not Found")</f>
        <v>Not Found</v>
      </c>
      <c r="K17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TRIM(CLEAN(TEXT($D175, ""@""))),
      IMPORTRANGE(""https://docs.google.com/spreadsheets/d/1DccNxjBgurEr0ABkI_"&amp;"rBagJT5phB5HaHG5N_mTm_BiA/edit?gid=1382299152#gid=1382299152"", ""Form responses 1!$Z:$Z"") = 3
    ),
    1
  ),
  ""Not Found""
)
"),"https://drive.google.com/open?id=1R2EnIPGNi9N9X_W48lE-lUhSEPvDY5fo")</f>
        <v>https://drive.google.com/open?id=1R2EnIPGNi9N9X_W48lE-lUhSEPvDY5fo</v>
      </c>
      <c r="L1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1!$E:$E"")=$D175) *
        (IMPORTRANGE(""https://docs.google.com/spreadsheets/d/161aHT6vVT3SLneTKD19N5qVWtnj_jIT8CSsOmUVKmaA"&amp;"/edit?gid=1761053510"",
          ""Haris_Form responses 1!$AQ:$AQ"")=3)
      ),
      1
    ),
    ""0""
  ),
  ""Form not found""
)
"),"3")</f>
        <v>3</v>
      </c>
      <c r="M175" s="245" t="str">
        <f>IFERROR(__xludf.DUMMYFUNCTION("IFERROR(
  INDEX(
    FILTER(
      Transcription!$AJ:$AJ,
      TRIM(CLEAN(TEXT(Transcription!$F:$F, ""@""))) = TRIM(CLEAN(TEXT($D175, ""@""))),
      Transcription!$AO:$AO = 3
    ),
    1
  ),
  ""Not Found""
)
"),"https://drive.google.com/open?id=1bH3Xs1sa8pI_HPO7_Mu_dTvAYH2WJn2-")</f>
        <v>https://drive.google.com/open?id=1bH3Xs1sa8pI_HPO7_Mu_dTvAYH2WJn2-</v>
      </c>
      <c r="N17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TRIM(CLEAN(TEXT($D175, ""@""))),
      IMPORTRANGE(""https://docs.google.com/spreadsheets/d/1DccNxjBgurEr0ABkI_"&amp;"rBagJT5phB5HaHG5N_mTm_BiA/edit?gid=1382299152#gid=1382299152"", ""Form responses 1!$Z:$Z"") = 4
    ),
    1
  ),
  ""Not Found""
)
"),"Not Found")</f>
        <v>Not Found</v>
      </c>
      <c r="O1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1!$E:$E"")=$D175) *
        (IMPORTRANGE(""https://docs.google.com/spreadsheets/d/161aHT6vVT3SLneTKD19N5qVWtnj_jIT8CSsOmUVKmaA"&amp;"/edit?gid=1761053510"",
          ""Haris_Form responses 1!$AQ:$AQ"")=4)
      ),
      1
    ),
    ""0""
  ),
  ""Form not found""
)
"),"Form not found")</f>
        <v>Form not found</v>
      </c>
      <c r="P175" s="247" t="str">
        <f>IFERROR(__xludf.DUMMYFUNCTION("IFERROR(
  INDEX(
    FILTER(
      Transcription!$AJ:$AJ,
      TRIM(CLEAN(TEXT(Transcription!$F:$F, ""@""))) = TRIM(CLEAN(TEXT($D175, ""@""))),
      Transcription!$AO:$AO = 4
    ),
    1
  ),
  ""Not Found""
)
"),"Not Found")</f>
        <v>Not Found</v>
      </c>
      <c r="Q17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TRIM(CLEAN(TEXT($D175, ""@""))),
      IMPORTRANGE(""https://docs.google.com/spreadsheets/d/1DccNxjBgurEr0ABkI_"&amp;"rBagJT5phB5HaHG5N_mTm_BiA/edit?gid=1382299152#gid=1382299152"", ""Form responses 1!$Z:$Z"") = 5
    ),
    1
  ),
  ""Not Found""
)
"),"Not Found")</f>
        <v>Not Found</v>
      </c>
      <c r="R1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1!$E:$E"")=$D175) *
        (IMPORTRANGE(""https://docs.google.com/spreadsheets/d/161aHT6vVT3SLneTKD19N5qVWtnj_jIT8CSsOmUVKmaA"&amp;"/edit?gid=1761053510"",
          ""Haris_Form responses 1!$AQ:$AQ"")=5)
      ),
      1
    ),
    ""0""
  ),
  ""Form not found""
)
"),"Form not found")</f>
        <v>Form not found</v>
      </c>
      <c r="S175" s="247" t="str">
        <f>IFERROR(__xludf.DUMMYFUNCTION("IFERROR(
  INDEX(
    FILTER(
      Transcription!$AJ:$AJ,
      TRIM(CLEAN(TEXT(Transcription!$F:$F, ""@""))) = TRIM(CLEAN(TEXT($D175, ""@""))),
      Transcription!$AO:$AO = 5
    ),
    1
  ),
  ""Not Found""
)
"),"Not Found")</f>
        <v>Not Found</v>
      </c>
      <c r="T17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TRIM(CLEAN(TEXT($D175, ""@""))),
      IMPORTRANGE(""https://docs.google.com/spreadsheets/d/1DccNxjBgurEr0ABkI_"&amp;"rBagJT5phB5HaHG5N_mTm_BiA/edit?gid=1382299152#gid=1382299152"", ""Form responses 1!$Z:$Z"") = 6
    ),
    1
  ),
  ""Not Found""
)
"),"Not Found")</f>
        <v>Not Found</v>
      </c>
      <c r="U1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1!$E:$E"")=$D175) *
        (IMPORTRANGE(""https://docs.google.com/spreadsheets/d/161aHT6vVT3SLneTKD19N5qVWtnj_jIT8CSsOmUVKmaA"&amp;"/edit?gid=1761053510"",
          ""Haris_Form responses 1!$AQ:$AQ"")=6)
      ),
      1
    ),
    ""0""
  ),
  ""Form not found""
)
"),"Form not found")</f>
        <v>Form not found</v>
      </c>
      <c r="V175" s="247" t="str">
        <f>IFERROR(__xludf.DUMMYFUNCTION("IFERROR(
  INDEX(
    FILTER(
      Transcription!$AJ:$AJ,
      TRIM(CLEAN(TEXT(Transcription!$F:$F, ""@""))) = TRIM(CLEAN(TEXT($D175, ""@""))),
      Transcription!$AO:$AO = 6
    ),
    1
  ),
  ""Not Found""
)
"),"Not Found")</f>
        <v>Not Found</v>
      </c>
      <c r="Z175" s="10">
        <f t="shared" si="1"/>
        <v>2</v>
      </c>
      <c r="AA175" s="10">
        <f t="shared" si="2"/>
        <v>0</v>
      </c>
    </row>
    <row r="176">
      <c r="A176" s="8" t="str">
        <f>VLOOKUP($D176,Sheet6!$B:$G,5,FALSE)</f>
        <v>Multan</v>
      </c>
      <c r="B176" s="232" t="str">
        <f>VLOOKUP($D176,Sheet6!$B:$G,4,FALSE)</f>
        <v>Women Religious Info Share</v>
      </c>
      <c r="C176" s="8">
        <v>3.0</v>
      </c>
      <c r="D176" s="8" t="s">
        <v>4618</v>
      </c>
      <c r="E17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TRIM(CLEAN(TEXT($D176, ""@""))),
      IMPORTRANGE(""https://docs.google.com/spreadsheets/d/1DccNxjBgurEr0ABkI_"&amp;"rBagJT5phB5HaHG5N_mTm_BiA/edit?gid=1382299152#gid=1382299152"", ""Form responses 1!$Z:$Z"") = 1
    ),
    1
  ),
  ""Not Found""
)
"),"https://drive.google.com/open?id=1Zq3mG0-V1G3BJcf6TxTd18GDgaIoLBaE")</f>
        <v>https://drive.google.com/open?id=1Zq3mG0-V1G3BJcf6TxTd18GDgaIoLBaE</v>
      </c>
      <c r="F1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1!$E:$E"")=$D176) *
        (IMPORTRANGE(""https://docs.google.com/spreadsheets/d/161aHT6vVT3SLneTKD19N5qVWtnj_jIT8CSsOmUVKmaA"&amp;"/edit?gid=1761053510"",
          ""Haris_Form responses 1!$AQ:$AQ"")=1)
      ),
      1
    ),
    ""0""
  ),
  ""Form not found""
)
"),"1")</f>
        <v>1</v>
      </c>
      <c r="G176" s="245" t="str">
        <f>IFERROR(__xludf.DUMMYFUNCTION("IFERROR(
  INDEX(
    FILTER(
      Transcription!$AJ:$AJ,
      TRIM(CLEAN(TEXT(Transcription!$F:$F, ""@""))) = TRIM(CLEAN(TEXT($D176, ""@""))),
      Transcription!$AO:$AO = 1
    ),
    1
  ),
  ""Not Found""
)
"),"https://drive.google.com/open?id=1UHh_VSfU8j_jlgqrKVRgn_MbR5H_WdfY")</f>
        <v>https://drive.google.com/open?id=1UHh_VSfU8j_jlgqrKVRgn_MbR5H_WdfY</v>
      </c>
      <c r="H17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TRIM(CLEAN(TEXT($D176, ""@""))),
      IMPORTRANGE(""https://docs.google.com/spreadsheets/d/1DccNxjBgurEr0ABkI_"&amp;"rBagJT5phB5HaHG5N_mTm_BiA/edit?gid=1382299152#gid=1382299152"", ""Form responses 1!$Z:$Z"") = 2
    ),
    1
  ),
  ""Not Found""
)
"),"https://drive.google.com/open?id=1CgQmpggBUFn05d7h84ZIvaEsf-E6VBIb")</f>
        <v>https://drive.google.com/open?id=1CgQmpggBUFn05d7h84ZIvaEsf-E6VBIb</v>
      </c>
      <c r="I1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1!$E:$E"")=$D176) *
        (IMPORTRANGE(""https://docs.google.com/spreadsheets/d/161aHT6vVT3SLneTKD19N5qVWtnj_jIT8CSsOmUVKmaA"&amp;"/edit?gid=1761053510"",
          ""Haris_Form responses 1!$AQ:$AQ"")=2)
      ),
      1
    ),
    ""0""
  ),
  ""Form not found""
)
"),"2")</f>
        <v>2</v>
      </c>
      <c r="J176" s="245" t="str">
        <f>IFERROR(__xludf.DUMMYFUNCTION("IFERROR(
  INDEX(
    FILTER(
      Transcription!$AJ:$AJ,
      TRIM(CLEAN(TEXT(Transcription!$F:$F, ""@""))) = TRIM(CLEAN(TEXT($D176, ""@""))),
      Transcription!$AO:$AO = 2
    ),
    1
  ),
  ""Not Found""
)
"),"https://docs.google.com/document/d/1bOba5OQSS7qi929iE3ZGrkftojG45ijh/edit?usp=drive_link&amp;ouid=117122465010506134151&amp;rtpof=true&amp;sd=true")</f>
        <v>https://docs.google.com/document/d/1bOba5OQSS7qi929iE3ZGrkftojG45ijh/edit?usp=drive_link&amp;ouid=117122465010506134151&amp;rtpof=true&amp;sd=true</v>
      </c>
      <c r="K17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TRIM(CLEAN(TEXT($D176, ""@""))),
      IMPORTRANGE(""https://docs.google.com/spreadsheets/d/1DccNxjBgurEr0ABkI_"&amp;"rBagJT5phB5HaHG5N_mTm_BiA/edit?gid=1382299152#gid=1382299152"", ""Form responses 1!$Z:$Z"") = 3
    ),
    1
  ),
  ""Not Found""
)
"),"https://drive.google.com/open?id=1DFnbat9h4RBHHJLX_kahBqvgCRoZ1MKB")</f>
        <v>https://drive.google.com/open?id=1DFnbat9h4RBHHJLX_kahBqvgCRoZ1MKB</v>
      </c>
      <c r="L1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1!$E:$E"")=$D176) *
        (IMPORTRANGE(""https://docs.google.com/spreadsheets/d/161aHT6vVT3SLneTKD19N5qVWtnj_jIT8CSsOmUVKmaA"&amp;"/edit?gid=1761053510"",
          ""Haris_Form responses 1!$AQ:$AQ"")=3)
      ),
      1
    ),
    ""0""
  ),
  ""Form not found""
)
"),"3")</f>
        <v>3</v>
      </c>
      <c r="M176" s="245" t="str">
        <f>IFERROR(__xludf.DUMMYFUNCTION("IFERROR(
  INDEX(
    FILTER(
      Transcription!$AJ:$AJ,
      TRIM(CLEAN(TEXT(Transcription!$F:$F, ""@""))) = TRIM(CLEAN(TEXT($D176, ""@""))),
      Transcription!$AO:$AO = 3
    ),
    1
  ),
  ""Not Found""
)
"),"https://drive.google.com/open?id=1_4WPpUDE0Yr4FdbGQ2rzqQSPfyWJO6qAmDOoQoamyCs")</f>
        <v>https://drive.google.com/open?id=1_4WPpUDE0Yr4FdbGQ2rzqQSPfyWJO6qAmDOoQoamyCs</v>
      </c>
      <c r="N17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TRIM(CLEAN(TEXT($D176, ""@""))),
      IMPORTRANGE(""https://docs.google.com/spreadsheets/d/1DccNxjBgurEr0ABkI_"&amp;"rBagJT5phB5HaHG5N_mTm_BiA/edit?gid=1382299152#gid=1382299152"", ""Form responses 1!$Z:$Z"") = 4
    ),
    1
  ),
  ""Not Found""
)
"),"Not Found")</f>
        <v>Not Found</v>
      </c>
      <c r="O1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1!$E:$E"")=$D176) *
        (IMPORTRANGE(""https://docs.google.com/spreadsheets/d/161aHT6vVT3SLneTKD19N5qVWtnj_jIT8CSsOmUVKmaA"&amp;"/edit?gid=1761053510"",
          ""Haris_Form responses 1!$AQ:$AQ"")=4)
      ),
      1
    ),
    ""0""
  ),
  ""Form not found""
)
"),"Form not found")</f>
        <v>Form not found</v>
      </c>
      <c r="P176" s="247" t="str">
        <f>IFERROR(__xludf.DUMMYFUNCTION("IFERROR(
  INDEX(
    FILTER(
      Transcription!$AJ:$AJ,
      TRIM(CLEAN(TEXT(Transcription!$F:$F, ""@""))) = TRIM(CLEAN(TEXT($D176, ""@""))),
      Transcription!$AO:$AO = 4
    ),
    1
  ),
  ""Not Found""
)
"),"Not Found")</f>
        <v>Not Found</v>
      </c>
      <c r="Q17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TRIM(CLEAN(TEXT($D176, ""@""))),
      IMPORTRANGE(""https://docs.google.com/spreadsheets/d/1DccNxjBgurEr0ABkI_"&amp;"rBagJT5phB5HaHG5N_mTm_BiA/edit?gid=1382299152#gid=1382299152"", ""Form responses 1!$Z:$Z"") = 5
    ),
    1
  ),
  ""Not Found""
)
"),"Not Found")</f>
        <v>Not Found</v>
      </c>
      <c r="R1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1!$E:$E"")=$D176) *
        (IMPORTRANGE(""https://docs.google.com/spreadsheets/d/161aHT6vVT3SLneTKD19N5qVWtnj_jIT8CSsOmUVKmaA"&amp;"/edit?gid=1761053510"",
          ""Haris_Form responses 1!$AQ:$AQ"")=5)
      ),
      1
    ),
    ""0""
  ),
  ""Form not found""
)
"),"Form not found")</f>
        <v>Form not found</v>
      </c>
      <c r="S176" s="247" t="str">
        <f>IFERROR(__xludf.DUMMYFUNCTION("IFERROR(
  INDEX(
    FILTER(
      Transcription!$AJ:$AJ,
      TRIM(CLEAN(TEXT(Transcription!$F:$F, ""@""))) = TRIM(CLEAN(TEXT($D176, ""@""))),
      Transcription!$AO:$AO = 5
    ),
    1
  ),
  ""Not Found""
)
"),"Not Found")</f>
        <v>Not Found</v>
      </c>
      <c r="T17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TRIM(CLEAN(TEXT($D176, ""@""))),
      IMPORTRANGE(""https://docs.google.com/spreadsheets/d/1DccNxjBgurEr0ABkI_"&amp;"rBagJT5phB5HaHG5N_mTm_BiA/edit?gid=1382299152#gid=1382299152"", ""Form responses 1!$Z:$Z"") = 6
    ),
    1
  ),
  ""Not Found""
)
"),"Not Found")</f>
        <v>Not Found</v>
      </c>
      <c r="U1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1!$E:$E"")=$D176) *
        (IMPORTRANGE(""https://docs.google.com/spreadsheets/d/161aHT6vVT3SLneTKD19N5qVWtnj_jIT8CSsOmUVKmaA"&amp;"/edit?gid=1761053510"",
          ""Haris_Form responses 1!$AQ:$AQ"")=6)
      ),
      1
    ),
    ""0""
  ),
  ""Form not found""
)
"),"Form not found")</f>
        <v>Form not found</v>
      </c>
      <c r="V176" s="247" t="str">
        <f>IFERROR(__xludf.DUMMYFUNCTION("IFERROR(
  INDEX(
    FILTER(
      Transcription!$AJ:$AJ,
      TRIM(CLEAN(TEXT(Transcription!$F:$F, ""@""))) = TRIM(CLEAN(TEXT($D176, ""@""))),
      Transcription!$AO:$AO = 6
    ),
    1
  ),
  ""Not Found""
)
"),"Not Found")</f>
        <v>Not Found</v>
      </c>
      <c r="Z176" s="10">
        <f t="shared" si="1"/>
        <v>3</v>
      </c>
      <c r="AA176" s="10">
        <f t="shared" si="2"/>
        <v>0</v>
      </c>
    </row>
    <row r="177">
      <c r="A177" s="8" t="str">
        <f>VLOOKUP($D177,Sheet6!$B:$G,5,FALSE)</f>
        <v>Multan</v>
      </c>
      <c r="B177" s="232" t="str">
        <f>VLOOKUP($D177,Sheet6!$B:$G,4,FALSE)</f>
        <v>Control</v>
      </c>
      <c r="C177" s="8">
        <v>2.0</v>
      </c>
      <c r="D177" s="8" t="s">
        <v>4619</v>
      </c>
      <c r="E17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TRIM(CLEAN(TEXT($D177, ""@""))),
      IMPORTRANGE(""https://docs.google.com/spreadsheets/d/1DccNxjBgurEr0ABkI_"&amp;"rBagJT5phB5HaHG5N_mTm_BiA/edit?gid=1382299152#gid=1382299152"", ""Form responses 1!$Z:$Z"") = 1
    ),
    1
  ),
  ""Not Found""
)
"),"https://drive.google.com/open?id=1Ghx3pxpVCivGMF7GW96vU7jo1_OBlL6U")</f>
        <v>https://drive.google.com/open?id=1Ghx3pxpVCivGMF7GW96vU7jo1_OBlL6U</v>
      </c>
      <c r="F1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1!$E:$E"")=$D177) *
        (IMPORTRANGE(""https://docs.google.com/spreadsheets/d/161aHT6vVT3SLneTKD19N5qVWtnj_jIT8CSsOmUVKmaA"&amp;"/edit?gid=1761053510"",
          ""Haris_Form responses 1!$AQ:$AQ"")=1)
      ),
      1
    ),
    ""0""
  ),
  ""Form not found""
)
"),"1")</f>
        <v>1</v>
      </c>
      <c r="G177" s="245" t="str">
        <f>IFERROR(__xludf.DUMMYFUNCTION("IFERROR(
  INDEX(
    FILTER(
      Transcription!$AJ:$AJ,
      TRIM(CLEAN(TEXT(Transcription!$F:$F, ""@""))) = TRIM(CLEAN(TEXT($D177, ""@""))),
      Transcription!$AO:$AO = 1
    ),
    1
  ),
  ""Not Found""
)
"),"https://drive.google.com/open?id=1TJjgQ2NfukZxQwIXoLKaZEcOdg7kRNMhfEQrvd2UFws")</f>
        <v>https://drive.google.com/open?id=1TJjgQ2NfukZxQwIXoLKaZEcOdg7kRNMhfEQrvd2UFws</v>
      </c>
      <c r="H1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TRIM(CLEAN(TEXT($D177, ""@""))),
      IMPORTRANGE(""https://docs.google.com/spreadsheets/d/1DccNxjBgurEr0ABkI_"&amp;"rBagJT5phB5HaHG5N_mTm_BiA/edit?gid=1382299152#gid=1382299152"", ""Form responses 1!$Z:$Z"") = 2
    ),
    1
  ),
  ""Not Found""
)
"),"Not Found")</f>
        <v>Not Found</v>
      </c>
      <c r="I1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1!$E:$E"")=$D177) *
        (IMPORTRANGE(""https://docs.google.com/spreadsheets/d/161aHT6vVT3SLneTKD19N5qVWtnj_jIT8CSsOmUVKmaA"&amp;"/edit?gid=1761053510"",
          ""Haris_Form responses 1!$AQ:$AQ"")=2)
      ),
      1
    ),
    ""0""
  ),
  ""Form not found""
)
"),"Form not found")</f>
        <v>Form not found</v>
      </c>
      <c r="J177" s="247" t="str">
        <f>IFERROR(__xludf.DUMMYFUNCTION("IFERROR(
  INDEX(
    FILTER(
      Transcription!$AJ:$AJ,
      TRIM(CLEAN(TEXT(Transcription!$F:$F, ""@""))) = TRIM(CLEAN(TEXT($D177, ""@""))),
      Transcription!$AO:$AO = 2
    ),
    1
  ),
  ""Not Found""
)
"),"Not Found")</f>
        <v>Not Found</v>
      </c>
      <c r="K17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TRIM(CLEAN(TEXT($D177, ""@""))),
      IMPORTRANGE(""https://docs.google.com/spreadsheets/d/1DccNxjBgurEr0ABkI_"&amp;"rBagJT5phB5HaHG5N_mTm_BiA/edit?gid=1382299152#gid=1382299152"", ""Form responses 1!$Z:$Z"") = 3
    ),
    1
  ),
  ""Not Found""
)
"),"https://drive.google.com/file/d/1Ug8VP292w5tvDKxeTjdSG1E-f2-uV_Em/view?usp=drive_link")</f>
        <v>https://drive.google.com/file/d/1Ug8VP292w5tvDKxeTjdSG1E-f2-uV_Em/view?usp=drive_link</v>
      </c>
      <c r="L1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1!$E:$E"")=$D177) *
        (IMPORTRANGE(""https://docs.google.com/spreadsheets/d/161aHT6vVT3SLneTKD19N5qVWtnj_jIT8CSsOmUVKmaA"&amp;"/edit?gid=1761053510"",
          ""Haris_Form responses 1!$AQ:$AQ"")=3)
      ),
      1
    ),
    ""0""
  ),
  ""Form not found""
)
"),"3")</f>
        <v>3</v>
      </c>
      <c r="M177" s="245" t="str">
        <f>IFERROR(__xludf.DUMMYFUNCTION("IFERROR(
  INDEX(
    FILTER(
      Transcription!$AJ:$AJ,
      TRIM(CLEAN(TEXT(Transcription!$F:$F, ""@""))) = TRIM(CLEAN(TEXT($D177, ""@""))),
      Transcription!$AO:$AO = 3
    ),
    1
  ),
  ""Not Found""
)
"),"https://drive.google.com/open?id=1xQZEXbgTrcNzrDxno8nnKjImH8dSf2Ac")</f>
        <v>https://drive.google.com/open?id=1xQZEXbgTrcNzrDxno8nnKjImH8dSf2Ac</v>
      </c>
      <c r="N1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TRIM(CLEAN(TEXT($D177, ""@""))),
      IMPORTRANGE(""https://docs.google.com/spreadsheets/d/1DccNxjBgurEr0ABkI_"&amp;"rBagJT5phB5HaHG5N_mTm_BiA/edit?gid=1382299152#gid=1382299152"", ""Form responses 1!$Z:$Z"") = 4
    ),
    1
  ),
  ""Not Found""
)
"),"Not Found")</f>
        <v>Not Found</v>
      </c>
      <c r="O1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1!$E:$E"")=$D177) *
        (IMPORTRANGE(""https://docs.google.com/spreadsheets/d/161aHT6vVT3SLneTKD19N5qVWtnj_jIT8CSsOmUVKmaA"&amp;"/edit?gid=1761053510"",
          ""Haris_Form responses 1!$AQ:$AQ"")=4)
      ),
      1
    ),
    ""0""
  ),
  ""Form not found""
)
"),"Form not found")</f>
        <v>Form not found</v>
      </c>
      <c r="P177" s="247" t="str">
        <f>IFERROR(__xludf.DUMMYFUNCTION("IFERROR(
  INDEX(
    FILTER(
      Transcription!$AJ:$AJ,
      TRIM(CLEAN(TEXT(Transcription!$F:$F, ""@""))) = TRIM(CLEAN(TEXT($D177, ""@""))),
      Transcription!$AO:$AO = 4
    ),
    1
  ),
  ""Not Found""
)
"),"Not Found")</f>
        <v>Not Found</v>
      </c>
      <c r="Q1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TRIM(CLEAN(TEXT($D177, ""@""))),
      IMPORTRANGE(""https://docs.google.com/spreadsheets/d/1DccNxjBgurEr0ABkI_"&amp;"rBagJT5phB5HaHG5N_mTm_BiA/edit?gid=1382299152#gid=1382299152"", ""Form responses 1!$Z:$Z"") = 5
    ),
    1
  ),
  ""Not Found""
)
"),"Not Found")</f>
        <v>Not Found</v>
      </c>
      <c r="R1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1!$E:$E"")=$D177) *
        (IMPORTRANGE(""https://docs.google.com/spreadsheets/d/161aHT6vVT3SLneTKD19N5qVWtnj_jIT8CSsOmUVKmaA"&amp;"/edit?gid=1761053510"",
          ""Haris_Form responses 1!$AQ:$AQ"")=5)
      ),
      1
    ),
    ""0""
  ),
  ""Form not found""
)
"),"Form not found")</f>
        <v>Form not found</v>
      </c>
      <c r="S177" s="247" t="str">
        <f>IFERROR(__xludf.DUMMYFUNCTION("IFERROR(
  INDEX(
    FILTER(
      Transcription!$AJ:$AJ,
      TRIM(CLEAN(TEXT(Transcription!$F:$F, ""@""))) = TRIM(CLEAN(TEXT($D177, ""@""))),
      Transcription!$AO:$AO = 5
    ),
    1
  ),
  ""Not Found""
)
"),"Not Found")</f>
        <v>Not Found</v>
      </c>
      <c r="T1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TRIM(CLEAN(TEXT($D177, ""@""))),
      IMPORTRANGE(""https://docs.google.com/spreadsheets/d/1DccNxjBgurEr0ABkI_"&amp;"rBagJT5phB5HaHG5N_mTm_BiA/edit?gid=1382299152#gid=1382299152"", ""Form responses 1!$Z:$Z"") = 6
    ),
    1
  ),
  ""Not Found""
)
"),"Not Found")</f>
        <v>Not Found</v>
      </c>
      <c r="U1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1!$E:$E"")=$D177) *
        (IMPORTRANGE(""https://docs.google.com/spreadsheets/d/161aHT6vVT3SLneTKD19N5qVWtnj_jIT8CSsOmUVKmaA"&amp;"/edit?gid=1761053510"",
          ""Haris_Form responses 1!$AQ:$AQ"")=6)
      ),
      1
    ),
    ""0""
  ),
  ""Form not found""
)
"),"Form not found")</f>
        <v>Form not found</v>
      </c>
      <c r="V177" s="247" t="str">
        <f>IFERROR(__xludf.DUMMYFUNCTION("IFERROR(
  INDEX(
    FILTER(
      Transcription!$AJ:$AJ,
      TRIM(CLEAN(TEXT(Transcription!$F:$F, ""@""))) = TRIM(CLEAN(TEXT($D177, ""@""))),
      Transcription!$AO:$AO = 6
    ),
    1
  ),
  ""Not Found""
)
"),"Not Found")</f>
        <v>Not Found</v>
      </c>
      <c r="Z177" s="10">
        <f t="shared" si="1"/>
        <v>2</v>
      </c>
      <c r="AA177" s="10">
        <f t="shared" si="2"/>
        <v>0</v>
      </c>
    </row>
    <row r="178">
      <c r="A178" s="8" t="str">
        <f>VLOOKUP($D178,Sheet6!$B:$G,5,FALSE)</f>
        <v>Multan</v>
      </c>
      <c r="B178" s="232" t="str">
        <f>VLOOKUP($D178,Sheet6!$B:$G,4,FALSE)</f>
        <v>Community Religious Info Share</v>
      </c>
      <c r="C178" s="8">
        <v>4.0</v>
      </c>
      <c r="D178" s="8" t="s">
        <v>4620</v>
      </c>
      <c r="E1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TRIM(CLEAN(TEXT($D178, ""@""))),
      IMPORTRANGE(""https://docs.google.com/spreadsheets/d/1DccNxjBgurEr0ABkI_"&amp;"rBagJT5phB5HaHG5N_mTm_BiA/edit?gid=1382299152#gid=1382299152"", ""Form responses 1!$Z:$Z"") = 1
    ),
    1
  ),
  ""Not Found""
)
"),"https://drive.google.com/open?id=1STqfOI4emRKoiaFelzrl9vBeuiZLRlRx")</f>
        <v>https://drive.google.com/open?id=1STqfOI4emRKoiaFelzrl9vBeuiZLRlRx</v>
      </c>
      <c r="F1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1!$E:$E"")=$D178) *
        (IMPORTRANGE(""https://docs.google.com/spreadsheets/d/161aHT6vVT3SLneTKD19N5qVWtnj_jIT8CSsOmUVKmaA"&amp;"/edit?gid=1761053510"",
          ""Haris_Form responses 1!$AQ:$AQ"")=1)
      ),
      1
    ),
    ""0""
  ),
  ""Form not found""
)
"),"1")</f>
        <v>1</v>
      </c>
      <c r="G178" s="245" t="str">
        <f>IFERROR(__xludf.DUMMYFUNCTION("IFERROR(
  INDEX(
    FILTER(
      Transcription!$AJ:$AJ,
      TRIM(CLEAN(TEXT(Transcription!$F:$F, ""@""))) = TRIM(CLEAN(TEXT($D178, ""@""))),
      Transcription!$AO:$AO = 1
    ),
    1
  ),
  ""Not Found""
)
"),"https://drive.google.com/open?id=1kfmXUGCFp3R3Rx0heKIhA7gqE6pPrQdA")</f>
        <v>https://drive.google.com/open?id=1kfmXUGCFp3R3Rx0heKIhA7gqE6pPrQdA</v>
      </c>
      <c r="H1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TRIM(CLEAN(TEXT($D178, ""@""))),
      IMPORTRANGE(""https://docs.google.com/spreadsheets/d/1DccNxjBgurEr0ABkI_"&amp;"rBagJT5phB5HaHG5N_mTm_BiA/edit?gid=1382299152#gid=1382299152"", ""Form responses 1!$Z:$Z"") = 2
    ),
    1
  ),
  ""Not Found""
)
"),"https://drive.google.com/open?id=1qc0R40f2JKwB-mpWh4iocbEyXjx4ddI5")</f>
        <v>https://drive.google.com/open?id=1qc0R40f2JKwB-mpWh4iocbEyXjx4ddI5</v>
      </c>
      <c r="I1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1!$E:$E"")=$D178) *
        (IMPORTRANGE(""https://docs.google.com/spreadsheets/d/161aHT6vVT3SLneTKD19N5qVWtnj_jIT8CSsOmUVKmaA"&amp;"/edit?gid=1761053510"",
          ""Haris_Form responses 1!$AQ:$AQ"")=2)
      ),
      1
    ),
    ""0""
  ),
  ""Form not found""
)
"),"2")</f>
        <v>2</v>
      </c>
      <c r="J178" s="245" t="str">
        <f>IFERROR(__xludf.DUMMYFUNCTION("IFERROR(
  INDEX(
    FILTER(
      Transcription!$AJ:$AJ,
      TRIM(CLEAN(TEXT(Transcription!$F:$F, ""@""))) = TRIM(CLEAN(TEXT($D178, ""@""))),
      Transcription!$AO:$AO = 2
    ),
    1
  ),
  ""Not Found""
)
"),"https://drive.google.com/open?id=1w3wpe8ff8JkRekFBmCZvcOZDmvTNDiFx")</f>
        <v>https://drive.google.com/open?id=1w3wpe8ff8JkRekFBmCZvcOZDmvTNDiFx</v>
      </c>
      <c r="K1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TRIM(CLEAN(TEXT($D178, ""@""))),
      IMPORTRANGE(""https://docs.google.com/spreadsheets/d/1DccNxjBgurEr0ABkI_"&amp;"rBagJT5phB5HaHG5N_mTm_BiA/edit?gid=1382299152#gid=1382299152"", ""Form responses 1!$Z:$Z"") = 3
    ),
    1
  ),
  ""Not Found""
)
"),"https://drive.google.com/open?id=1wBYsd0ucYmOBADlFDofGXrNXGFUTa95U")</f>
        <v>https://drive.google.com/open?id=1wBYsd0ucYmOBADlFDofGXrNXGFUTa95U</v>
      </c>
      <c r="L1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1!$E:$E"")=$D178) *
        (IMPORTRANGE(""https://docs.google.com/spreadsheets/d/161aHT6vVT3SLneTKD19N5qVWtnj_jIT8CSsOmUVKmaA"&amp;"/edit?gid=1761053510"",
          ""Haris_Form responses 1!$AQ:$AQ"")=3)
      ),
      1
    ),
    ""0""
  ),
  ""Form not found""
)
"),"3")</f>
        <v>3</v>
      </c>
      <c r="M178" s="245" t="str">
        <f>IFERROR(__xludf.DUMMYFUNCTION("IFERROR(
  INDEX(
    FILTER(
      Transcription!$AJ:$AJ,
      TRIM(CLEAN(TEXT(Transcription!$F:$F, ""@""))) = TRIM(CLEAN(TEXT($D178, ""@""))),
      Transcription!$AO:$AO = 3
    ),
    1
  ),
  ""Not Found""
)
"),"https://drive.google.com/open?id=19NJuuQEVdTY4gU1cGGAr9z5mTg-Gy48j")</f>
        <v>https://drive.google.com/open?id=19NJuuQEVdTY4gU1cGGAr9z5mTg-Gy48j</v>
      </c>
      <c r="N1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TRIM(CLEAN(TEXT($D178, ""@""))),
      IMPORTRANGE(""https://docs.google.com/spreadsheets/d/1DccNxjBgurEr0ABkI_"&amp;"rBagJT5phB5HaHG5N_mTm_BiA/edit?gid=1382299152#gid=1382299152"", ""Form responses 1!$Z:$Z"") = 4
    ),
    1
  ),
  ""Not Found""
)
"),"https://drive.google.com/open?id=1xPuxIajfX6SaNF29BkGYOGCFWMg77yrc")</f>
        <v>https://drive.google.com/open?id=1xPuxIajfX6SaNF29BkGYOGCFWMg77yrc</v>
      </c>
      <c r="O1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1!$E:$E"")=$D178) *
        (IMPORTRANGE(""https://docs.google.com/spreadsheets/d/161aHT6vVT3SLneTKD19N5qVWtnj_jIT8CSsOmUVKmaA"&amp;"/edit?gid=1761053510"",
          ""Haris_Form responses 1!$AQ:$AQ"")=4)
      ),
      1
    ),
    ""0""
  ),
  ""Form not found""
)
"),"4")</f>
        <v>4</v>
      </c>
      <c r="P178" s="245" t="str">
        <f>IFERROR(__xludf.DUMMYFUNCTION("IFERROR(
  INDEX(
    FILTER(
      Transcription!$AJ:$AJ,
      TRIM(CLEAN(TEXT(Transcription!$F:$F, ""@""))) = TRIM(CLEAN(TEXT($D178, ""@""))),
      Transcription!$AO:$AO = 4
    ),
    1
  ),
  ""Not Found""
)
"),"https://drive.google.com/open?id=1g6k69ozpmBe8YBrfke5gUOBw_ZkMRBhW")</f>
        <v>https://drive.google.com/open?id=1g6k69ozpmBe8YBrfke5gUOBw_ZkMRBhW</v>
      </c>
      <c r="Q17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TRIM(CLEAN(TEXT($D178, ""@""))),
      IMPORTRANGE(""https://docs.google.com/spreadsheets/d/1DccNxjBgurEr0ABkI_"&amp;"rBagJT5phB5HaHG5N_mTm_BiA/edit?gid=1382299152#gid=1382299152"", ""Form responses 1!$Z:$Z"") = 5
    ),
    1
  ),
  ""Not Found""
)
"),"Not Found")</f>
        <v>Not Found</v>
      </c>
      <c r="R1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1!$E:$E"")=$D178) *
        (IMPORTRANGE(""https://docs.google.com/spreadsheets/d/161aHT6vVT3SLneTKD19N5qVWtnj_jIT8CSsOmUVKmaA"&amp;"/edit?gid=1761053510"",
          ""Haris_Form responses 1!$AQ:$AQ"")=5)
      ),
      1
    ),
    ""0""
  ),
  ""Form not found""
)
"),"Form not found")</f>
        <v>Form not found</v>
      </c>
      <c r="S178" s="247" t="str">
        <f>IFERROR(__xludf.DUMMYFUNCTION("IFERROR(
  INDEX(
    FILTER(
      Transcription!$AJ:$AJ,
      TRIM(CLEAN(TEXT(Transcription!$F:$F, ""@""))) = TRIM(CLEAN(TEXT($D178, ""@""))),
      Transcription!$AO:$AO = 5
    ),
    1
  ),
  ""Not Found""
)
"),"Not Found")</f>
        <v>Not Found</v>
      </c>
      <c r="T17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TRIM(CLEAN(TEXT($D178, ""@""))),
      IMPORTRANGE(""https://docs.google.com/spreadsheets/d/1DccNxjBgurEr0ABkI_"&amp;"rBagJT5phB5HaHG5N_mTm_BiA/edit?gid=1382299152#gid=1382299152"", ""Form responses 1!$Z:$Z"") = 6
    ),
    1
  ),
  ""Not Found""
)
"),"Not Found")</f>
        <v>Not Found</v>
      </c>
      <c r="U1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1!$E:$E"")=$D178) *
        (IMPORTRANGE(""https://docs.google.com/spreadsheets/d/161aHT6vVT3SLneTKD19N5qVWtnj_jIT8CSsOmUVKmaA"&amp;"/edit?gid=1761053510"",
          ""Haris_Form responses 1!$AQ:$AQ"")=6)
      ),
      1
    ),
    ""0""
  ),
  ""Form not found""
)
"),"Form not found")</f>
        <v>Form not found</v>
      </c>
      <c r="V178" s="247" t="str">
        <f>IFERROR(__xludf.DUMMYFUNCTION("IFERROR(
  INDEX(
    FILTER(
      Transcription!$AJ:$AJ,
      TRIM(CLEAN(TEXT(Transcription!$F:$F, ""@""))) = TRIM(CLEAN(TEXT($D178, ""@""))),
      Transcription!$AO:$AO = 6
    ),
    1
  ),
  ""Not Found""
)
"),"Not Found")</f>
        <v>Not Found</v>
      </c>
      <c r="Z178" s="10">
        <f t="shared" si="1"/>
        <v>4</v>
      </c>
      <c r="AA178" s="10">
        <f t="shared" si="2"/>
        <v>0</v>
      </c>
    </row>
    <row r="179">
      <c r="A179" s="8" t="str">
        <f>VLOOKUP($D179,Sheet6!$B:$G,5,FALSE)</f>
        <v>Multan</v>
      </c>
      <c r="B179" s="232" t="str">
        <f>VLOOKUP($D179,Sheet6!$B:$G,4,FALSE)</f>
        <v>Women Religious Info Share</v>
      </c>
      <c r="C179" s="8">
        <v>3.0</v>
      </c>
      <c r="D179" s="8" t="s">
        <v>4621</v>
      </c>
      <c r="E1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TRIM(CLEAN(TEXT($D179, ""@""))),
      IMPORTRANGE(""https://docs.google.com/spreadsheets/d/1DccNxjBgurEr0ABkI_"&amp;"rBagJT5phB5HaHG5N_mTm_BiA/edit?gid=1382299152#gid=1382299152"", ""Form responses 1!$Z:$Z"") = 1
    ),
    1
  ),
  ""Not Found""
)
"),"https://drive.google.com/open?id=1AxtL0VVX29TEnC2UQkHp2nrMeXiuC1wd")</f>
        <v>https://drive.google.com/open?id=1AxtL0VVX29TEnC2UQkHp2nrMeXiuC1wd</v>
      </c>
      <c r="F1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1!$E:$E"")=$D179) *
        (IMPORTRANGE(""https://docs.google.com/spreadsheets/d/161aHT6vVT3SLneTKD19N5qVWtnj_jIT8CSsOmUVKmaA"&amp;"/edit?gid=1761053510"",
          ""Haris_Form responses 1!$AQ:$AQ"")=1)
      ),
      1
    ),
    ""0""
  ),
  ""Form not found""
)
"),"1")</f>
        <v>1</v>
      </c>
      <c r="G179" s="245" t="str">
        <f>IFERROR(__xludf.DUMMYFUNCTION("IFERROR(
  INDEX(
    FILTER(
      Transcription!$AJ:$AJ,
      TRIM(CLEAN(TEXT(Transcription!$F:$F, ""@""))) = TRIM(CLEAN(TEXT($D179, ""@""))),
      Transcription!$AO:$AO = 1
    ),
    1
  ),
  ""Not Found""
)
"),"https://drive.google.com/open?id=1C1hK6jhcOQb6aMCdSlInXBvoQFZLS5WqfJNggIjX8Pk")</f>
        <v>https://drive.google.com/open?id=1C1hK6jhcOQb6aMCdSlInXBvoQFZLS5WqfJNggIjX8Pk</v>
      </c>
      <c r="H1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TRIM(CLEAN(TEXT($D179, ""@""))),
      IMPORTRANGE(""https://docs.google.com/spreadsheets/d/1DccNxjBgurEr0ABkI_"&amp;"rBagJT5phB5HaHG5N_mTm_BiA/edit?gid=1382299152#gid=1382299152"", ""Form responses 1!$Z:$Z"") = 2
    ),
    1
  ),
  ""Not Found""
)
"),"https://drive.google.com/open?id=1-KwGMgrf4ybvfsoHHtOu87_3gxAeA3JE")</f>
        <v>https://drive.google.com/open?id=1-KwGMgrf4ybvfsoHHtOu87_3gxAeA3JE</v>
      </c>
      <c r="I1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1!$E:$E"")=$D179) *
        (IMPORTRANGE(""https://docs.google.com/spreadsheets/d/161aHT6vVT3SLneTKD19N5qVWtnj_jIT8CSsOmUVKmaA"&amp;"/edit?gid=1761053510"",
          ""Haris_Form responses 1!$AQ:$AQ"")=2)
      ),
      1
    ),
    ""0""
  ),
  ""Form not found""
)
"),"2")</f>
        <v>2</v>
      </c>
      <c r="J179" s="245" t="str">
        <f>IFERROR(__xludf.DUMMYFUNCTION("IFERROR(
  INDEX(
    FILTER(
      Transcription!$AJ:$AJ,
      TRIM(CLEAN(TEXT(Transcription!$F:$F, ""@""))) = TRIM(CLEAN(TEXT($D179, ""@""))),
      Transcription!$AO:$AO = 2
    ),
    1
  ),
  ""Not Found""
)
"),"https://drive.google.com/open?id=1-iCno8jIDrD8IzJ-JE5P4UN9xlGpSOPaMtGNEbnfRuA")</f>
        <v>https://drive.google.com/open?id=1-iCno8jIDrD8IzJ-JE5P4UN9xlGpSOPaMtGNEbnfRuA</v>
      </c>
      <c r="K1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TRIM(CLEAN(TEXT($D179, ""@""))),
      IMPORTRANGE(""https://docs.google.com/spreadsheets/d/1DccNxjBgurEr0ABkI_"&amp;"rBagJT5phB5HaHG5N_mTm_BiA/edit?gid=1382299152#gid=1382299152"", ""Form responses 1!$Z:$Z"") = 3
    ),
    1
  ),
  ""Not Found""
)
"),"https://drive.google.com/open?id=1hbfbr8uAzv0kgEjYmdRS5ErE931XIp7t")</f>
        <v>https://drive.google.com/open?id=1hbfbr8uAzv0kgEjYmdRS5ErE931XIp7t</v>
      </c>
      <c r="L1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1!$E:$E"")=$D179) *
        (IMPORTRANGE(""https://docs.google.com/spreadsheets/d/161aHT6vVT3SLneTKD19N5qVWtnj_jIT8CSsOmUVKmaA"&amp;"/edit?gid=1761053510"",
          ""Haris_Form responses 1!$AQ:$AQ"")=3)
      ),
      1
    ),
    ""0""
  ),
  ""Form not found""
)
"),"3")</f>
        <v>3</v>
      </c>
      <c r="M179" s="245" t="str">
        <f>IFERROR(__xludf.DUMMYFUNCTION("IFERROR(
  INDEX(
    FILTER(
      Transcription!$AJ:$AJ,
      TRIM(CLEAN(TEXT(Transcription!$F:$F, ""@""))) = TRIM(CLEAN(TEXT($D179, ""@""))),
      Transcription!$AO:$AO = 3
    ),
    1
  ),
  ""Not Found""
)
"),"https://drive.google.com/open?id=1d9I0s3LWZuYYR9rtJTPnTBPCj0S4iRYR0l4rbcGW4hY")</f>
        <v>https://drive.google.com/open?id=1d9I0s3LWZuYYR9rtJTPnTBPCj0S4iRYR0l4rbcGW4hY</v>
      </c>
      <c r="N17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TRIM(CLEAN(TEXT($D179, ""@""))),
      IMPORTRANGE(""https://docs.google.com/spreadsheets/d/1DccNxjBgurEr0ABkI_"&amp;"rBagJT5phB5HaHG5N_mTm_BiA/edit?gid=1382299152#gid=1382299152"", ""Form responses 1!$Z:$Z"") = 4
    ),
    1
  ),
  ""Not Found""
)
"),"Not Found")</f>
        <v>Not Found</v>
      </c>
      <c r="O1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1!$E:$E"")=$D179) *
        (IMPORTRANGE(""https://docs.google.com/spreadsheets/d/161aHT6vVT3SLneTKD19N5qVWtnj_jIT8CSsOmUVKmaA"&amp;"/edit?gid=1761053510"",
          ""Haris_Form responses 1!$AQ:$AQ"")=4)
      ),
      1
    ),
    ""0""
  ),
  ""Form not found""
)
"),"Form not found")</f>
        <v>Form not found</v>
      </c>
      <c r="P179" s="247" t="str">
        <f>IFERROR(__xludf.DUMMYFUNCTION("IFERROR(
  INDEX(
    FILTER(
      Transcription!$AJ:$AJ,
      TRIM(CLEAN(TEXT(Transcription!$F:$F, ""@""))) = TRIM(CLEAN(TEXT($D179, ""@""))),
      Transcription!$AO:$AO = 4
    ),
    1
  ),
  ""Not Found""
)
"),"Not Found")</f>
        <v>Not Found</v>
      </c>
      <c r="Q17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TRIM(CLEAN(TEXT($D179, ""@""))),
      IMPORTRANGE(""https://docs.google.com/spreadsheets/d/1DccNxjBgurEr0ABkI_"&amp;"rBagJT5phB5HaHG5N_mTm_BiA/edit?gid=1382299152#gid=1382299152"", ""Form responses 1!$Z:$Z"") = 5
    ),
    1
  ),
  ""Not Found""
)
"),"Not Found")</f>
        <v>Not Found</v>
      </c>
      <c r="R1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1!$E:$E"")=$D179) *
        (IMPORTRANGE(""https://docs.google.com/spreadsheets/d/161aHT6vVT3SLneTKD19N5qVWtnj_jIT8CSsOmUVKmaA"&amp;"/edit?gid=1761053510"",
          ""Haris_Form responses 1!$AQ:$AQ"")=5)
      ),
      1
    ),
    ""0""
  ),
  ""Form not found""
)
"),"Form not found")</f>
        <v>Form not found</v>
      </c>
      <c r="S179" s="247" t="str">
        <f>IFERROR(__xludf.DUMMYFUNCTION("IFERROR(
  INDEX(
    FILTER(
      Transcription!$AJ:$AJ,
      TRIM(CLEAN(TEXT(Transcription!$F:$F, ""@""))) = TRIM(CLEAN(TEXT($D179, ""@""))),
      Transcription!$AO:$AO = 5
    ),
    1
  ),
  ""Not Found""
)
"),"Not Found")</f>
        <v>Not Found</v>
      </c>
      <c r="T17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TRIM(CLEAN(TEXT($D179, ""@""))),
      IMPORTRANGE(""https://docs.google.com/spreadsheets/d/1DccNxjBgurEr0ABkI_"&amp;"rBagJT5phB5HaHG5N_mTm_BiA/edit?gid=1382299152#gid=1382299152"", ""Form responses 1!$Z:$Z"") = 6
    ),
    1
  ),
  ""Not Found""
)
"),"Not Found")</f>
        <v>Not Found</v>
      </c>
      <c r="U1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1!$E:$E"")=$D179) *
        (IMPORTRANGE(""https://docs.google.com/spreadsheets/d/161aHT6vVT3SLneTKD19N5qVWtnj_jIT8CSsOmUVKmaA"&amp;"/edit?gid=1761053510"",
          ""Haris_Form responses 1!$AQ:$AQ"")=6)
      ),
      1
    ),
    ""0""
  ),
  ""Form not found""
)
"),"Form not found")</f>
        <v>Form not found</v>
      </c>
      <c r="V179" s="247" t="str">
        <f>IFERROR(__xludf.DUMMYFUNCTION("IFERROR(
  INDEX(
    FILTER(
      Transcription!$AJ:$AJ,
      TRIM(CLEAN(TEXT(Transcription!$F:$F, ""@""))) = TRIM(CLEAN(TEXT($D179, ""@""))),
      Transcription!$AO:$AO = 6
    ),
    1
  ),
  ""Not Found""
)
"),"Not Found")</f>
        <v>Not Found</v>
      </c>
      <c r="Z179" s="10">
        <f t="shared" si="1"/>
        <v>3</v>
      </c>
      <c r="AA179" s="10">
        <f t="shared" si="2"/>
        <v>0</v>
      </c>
    </row>
    <row r="180">
      <c r="A180" s="8" t="str">
        <f>VLOOKUP($D180,Sheet6!$B:$G,5,FALSE)</f>
        <v>Multan</v>
      </c>
      <c r="B180" s="232" t="str">
        <f>VLOOKUP($D180,Sheet6!$B:$G,4,FALSE)</f>
        <v>Women Secular Info Share</v>
      </c>
      <c r="C180" s="8">
        <v>3.0</v>
      </c>
      <c r="D180" s="8" t="s">
        <v>564</v>
      </c>
      <c r="E18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TRIM(CLEAN(TEXT($D180, ""@""))),
      IMPORTRANGE(""https://docs.google.com/spreadsheets/d/1DccNxjBgurEr0ABkI_"&amp;"rBagJT5phB5HaHG5N_mTm_BiA/edit?gid=1382299152#gid=1382299152"", ""Form responses 1!$Z:$Z"") = 1
    ),
    1
  ),
  ""Not Found""
)
"),"https://drive.google.com/file/d/12w6COgvH8XPtfEQi8HA7ULk0xY_3jySv/view?usp=drive_link")</f>
        <v>https://drive.google.com/file/d/12w6COgvH8XPtfEQi8HA7ULk0xY_3jySv/view?usp=drive_link</v>
      </c>
      <c r="F1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1!$E:$E"")=$D180) *
        (IMPORTRANGE(""https://docs.google.com/spreadsheets/d/161aHT6vVT3SLneTKD19N5qVWtnj_jIT8CSsOmUVKmaA"&amp;"/edit?gid=1761053510"",
          ""Haris_Form responses 1!$AQ:$AQ"")=1)
      ),
      1
    ),
    ""0""
  ),
  ""Form not found""
)
"),"1")</f>
        <v>1</v>
      </c>
      <c r="G180" s="245" t="str">
        <f>IFERROR(__xludf.DUMMYFUNCTION("IFERROR(
  INDEX(
    FILTER(
      Transcription!$AJ:$AJ,
      TRIM(CLEAN(TEXT(Transcription!$F:$F, ""@""))) = TRIM(CLEAN(TEXT($D180, ""@""))),
      Transcription!$AO:$AO = 1
    ),
    1
  ),
  ""Not Found""
)
"),"https://drive.google.com/open?id=1omLFBqzfr1SXs9qCGSoYUEfYEoJ7FCfrqcZbTORh9-k")</f>
        <v>https://drive.google.com/open?id=1omLFBqzfr1SXs9qCGSoYUEfYEoJ7FCfrqcZbTORh9-k</v>
      </c>
      <c r="H18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TRIM(CLEAN(TEXT($D180, ""@""))),
      IMPORTRANGE(""https://docs.google.com/spreadsheets/d/1DccNxjBgurEr0ABkI_"&amp;"rBagJT5phB5HaHG5N_mTm_BiA/edit?gid=1382299152#gid=1382299152"", ""Form responses 1!$Z:$Z"") = 2
    ),
    1
  ),
  ""Not Found""
)
"),"https://drive.google.com/file/d/1C7rFGU9hWlPEvS6XR9zV9fIbKAZcVAEx/view?usp=drive_link")</f>
        <v>https://drive.google.com/file/d/1C7rFGU9hWlPEvS6XR9zV9fIbKAZcVAEx/view?usp=drive_link</v>
      </c>
      <c r="I1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1!$E:$E"")=$D180) *
        (IMPORTRANGE(""https://docs.google.com/spreadsheets/d/161aHT6vVT3SLneTKD19N5qVWtnj_jIT8CSsOmUVKmaA"&amp;"/edit?gid=1761053510"",
          ""Haris_Form responses 1!$AQ:$AQ"")=2)
      ),
      1
    ),
    ""0""
  ),
  ""Form not found""
)
"),"2")</f>
        <v>2</v>
      </c>
      <c r="J180" s="245" t="str">
        <f>IFERROR(__xludf.DUMMYFUNCTION("IFERROR(
  INDEX(
    FILTER(
      Transcription!$AJ:$AJ,
      TRIM(CLEAN(TEXT(Transcription!$F:$F, ""@""))) = TRIM(CLEAN(TEXT($D180, ""@""))),
      Transcription!$AO:$AO = 2
    ),
    1
  ),
  ""Not Found""
)
"),"https://drive.google.com/open?id=174C_v--FDyN5j6VdexrUobXuXI89mAsz")</f>
        <v>https://drive.google.com/open?id=174C_v--FDyN5j6VdexrUobXuXI89mAsz</v>
      </c>
      <c r="K18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TRIM(CLEAN(TEXT($D180, ""@""))),
      IMPORTRANGE(""https://docs.google.com/spreadsheets/d/1DccNxjBgurEr0ABkI_"&amp;"rBagJT5phB5HaHG5N_mTm_BiA/edit?gid=1382299152#gid=1382299152"", ""Form responses 1!$Z:$Z"") = 3
    ),
    1
  ),
  ""Not Found""
)
"),"https://drive.google.com/file/d/1gSvnvIM2cTneg16o31UuYs6W-MCxtk3X/view?usp=drive_link")</f>
        <v>https://drive.google.com/file/d/1gSvnvIM2cTneg16o31UuYs6W-MCxtk3X/view?usp=drive_link</v>
      </c>
      <c r="L1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1!$E:$E"")=$D180) *
        (IMPORTRANGE(""https://docs.google.com/spreadsheets/d/161aHT6vVT3SLneTKD19N5qVWtnj_jIT8CSsOmUVKmaA"&amp;"/edit?gid=1761053510"",
          ""Haris_Form responses 1!$AQ:$AQ"")=3)
      ),
      1
    ),
    ""0""
  ),
  ""Form not found""
)
"),"3")</f>
        <v>3</v>
      </c>
      <c r="M180" s="245" t="str">
        <f>IFERROR(__xludf.DUMMYFUNCTION("IFERROR(
  INDEX(
    FILTER(
      Transcription!$AJ:$AJ,
      TRIM(CLEAN(TEXT(Transcription!$F:$F, ""@""))) = TRIM(CLEAN(TEXT($D180, ""@""))),
      Transcription!$AO:$AO = 3
    ),
    1
  ),
  ""Not Found""
)
"),"https://drive.google.com/open?id=1EF5RYvW2hI7wjbgazCWOc3VBgCj63NS8ACO-4waSYdI")</f>
        <v>https://drive.google.com/open?id=1EF5RYvW2hI7wjbgazCWOc3VBgCj63NS8ACO-4waSYdI</v>
      </c>
      <c r="N1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TRIM(CLEAN(TEXT($D180, ""@""))),
      IMPORTRANGE(""https://docs.google.com/spreadsheets/d/1DccNxjBgurEr0ABkI_"&amp;"rBagJT5phB5HaHG5N_mTm_BiA/edit?gid=1382299152#gid=1382299152"", ""Form responses 1!$Z:$Z"") = 4
    ),
    1
  ),
  ""Not Found""
)
"),"Not Found")</f>
        <v>Not Found</v>
      </c>
      <c r="O1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1!$E:$E"")=$D180) *
        (IMPORTRANGE(""https://docs.google.com/spreadsheets/d/161aHT6vVT3SLneTKD19N5qVWtnj_jIT8CSsOmUVKmaA"&amp;"/edit?gid=1761053510"",
          ""Haris_Form responses 1!$AQ:$AQ"")=4)
      ),
      1
    ),
    ""0""
  ),
  ""Form not found""
)
"),"Form not found")</f>
        <v>Form not found</v>
      </c>
      <c r="P180" s="247" t="str">
        <f>IFERROR(__xludf.DUMMYFUNCTION("IFERROR(
  INDEX(
    FILTER(
      Transcription!$AJ:$AJ,
      TRIM(CLEAN(TEXT(Transcription!$F:$F, ""@""))) = TRIM(CLEAN(TEXT($D180, ""@""))),
      Transcription!$AO:$AO = 4
    ),
    1
  ),
  ""Not Found""
)
"),"Not Found")</f>
        <v>Not Found</v>
      </c>
      <c r="Q1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TRIM(CLEAN(TEXT($D180, ""@""))),
      IMPORTRANGE(""https://docs.google.com/spreadsheets/d/1DccNxjBgurEr0ABkI_"&amp;"rBagJT5phB5HaHG5N_mTm_BiA/edit?gid=1382299152#gid=1382299152"", ""Form responses 1!$Z:$Z"") = 5
    ),
    1
  ),
  ""Not Found""
)
"),"Not Found")</f>
        <v>Not Found</v>
      </c>
      <c r="R1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1!$E:$E"")=$D180) *
        (IMPORTRANGE(""https://docs.google.com/spreadsheets/d/161aHT6vVT3SLneTKD19N5qVWtnj_jIT8CSsOmUVKmaA"&amp;"/edit?gid=1761053510"",
          ""Haris_Form responses 1!$AQ:$AQ"")=5)
      ),
      1
    ),
    ""0""
  ),
  ""Form not found""
)
"),"Form not found")</f>
        <v>Form not found</v>
      </c>
      <c r="S180" s="247" t="str">
        <f>IFERROR(__xludf.DUMMYFUNCTION("IFERROR(
  INDEX(
    FILTER(
      Transcription!$AJ:$AJ,
      TRIM(CLEAN(TEXT(Transcription!$F:$F, ""@""))) = TRIM(CLEAN(TEXT($D180, ""@""))),
      Transcription!$AO:$AO = 5
    ),
    1
  ),
  ""Not Found""
)
"),"Not Found")</f>
        <v>Not Found</v>
      </c>
      <c r="T1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TRIM(CLEAN(TEXT($D180, ""@""))),
      IMPORTRANGE(""https://docs.google.com/spreadsheets/d/1DccNxjBgurEr0ABkI_"&amp;"rBagJT5phB5HaHG5N_mTm_BiA/edit?gid=1382299152#gid=1382299152"", ""Form responses 1!$Z:$Z"") = 6
    ),
    1
  ),
  ""Not Found""
)
"),"Not Found")</f>
        <v>Not Found</v>
      </c>
      <c r="U1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1!$E:$E"")=$D180) *
        (IMPORTRANGE(""https://docs.google.com/spreadsheets/d/161aHT6vVT3SLneTKD19N5qVWtnj_jIT8CSsOmUVKmaA"&amp;"/edit?gid=1761053510"",
          ""Haris_Form responses 1!$AQ:$AQ"")=6)
      ),
      1
    ),
    ""0""
  ),
  ""Form not found""
)
"),"Form not found")</f>
        <v>Form not found</v>
      </c>
      <c r="V180" s="247" t="str">
        <f>IFERROR(__xludf.DUMMYFUNCTION("IFERROR(
  INDEX(
    FILTER(
      Transcription!$AJ:$AJ,
      TRIM(CLEAN(TEXT(Transcription!$F:$F, ""@""))) = TRIM(CLEAN(TEXT($D180, ""@""))),
      Transcription!$AO:$AO = 6
    ),
    1
  ),
  ""Not Found""
)
"),"Not Found")</f>
        <v>Not Found</v>
      </c>
      <c r="Z180" s="10">
        <f t="shared" si="1"/>
        <v>3</v>
      </c>
      <c r="AA180" s="10">
        <f t="shared" si="2"/>
        <v>0</v>
      </c>
    </row>
    <row r="181">
      <c r="A181" s="8" t="str">
        <f>VLOOKUP($D181,Sheet6!$B:$G,5,FALSE)</f>
        <v>Khanewal</v>
      </c>
      <c r="B181" s="232" t="str">
        <f>VLOOKUP($D181,Sheet6!$B:$G,4,FALSE)</f>
        <v>Control</v>
      </c>
      <c r="C181" s="8">
        <v>2.0</v>
      </c>
      <c r="D181" s="8" t="s">
        <v>4622</v>
      </c>
      <c r="E18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TRIM(CLEAN(TEXT($D181, ""@""))),
      IMPORTRANGE(""https://docs.google.com/spreadsheets/d/1DccNxjBgurEr0ABkI_"&amp;"rBagJT5phB5HaHG5N_mTm_BiA/edit?gid=1382299152#gid=1382299152"", ""Form responses 1!$Z:$Z"") = 1
    ),
    1
  ),
  ""Not Found""
)
"),"https://drive.google.com/file/d/1j87QbV6c93ORg0urepXgfiZzZSq01cvo/view?usp=drive_link")</f>
        <v>https://drive.google.com/file/d/1j87QbV6c93ORg0urepXgfiZzZSq01cvo/view?usp=drive_link</v>
      </c>
      <c r="F1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1!$E:$E"")=$D181) *
        (IMPORTRANGE(""https://docs.google.com/spreadsheets/d/161aHT6vVT3SLneTKD19N5qVWtnj_jIT8CSsOmUVKmaA"&amp;"/edit?gid=1761053510"",
          ""Haris_Form responses 1!$AQ:$AQ"")=1)
      ),
      1
    ),
    ""0""
  ),
  ""Form not found""
)
"),"1")</f>
        <v>1</v>
      </c>
      <c r="G181" s="245" t="str">
        <f>IFERROR(__xludf.DUMMYFUNCTION("IFERROR(
  INDEX(
    FILTER(
      Transcription!$AJ:$AJ,
      TRIM(CLEAN(TEXT(Transcription!$F:$F, ""@""))) = TRIM(CLEAN(TEXT($D181, ""@""))),
      Transcription!$AO:$AO = 1
    ),
    1
  ),
  ""Not Found""
)
"),"https://drive.google.com/open?id=1p8a4aNgrQX2hS40z1CXmwgOXGL_LMj0Lfo05NUGtq54")</f>
        <v>https://drive.google.com/open?id=1p8a4aNgrQX2hS40z1CXmwgOXGL_LMj0Lfo05NUGtq54</v>
      </c>
      <c r="H1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TRIM(CLEAN(TEXT($D181, ""@""))),
      IMPORTRANGE(""https://docs.google.com/spreadsheets/d/1DccNxjBgurEr0ABkI_"&amp;"rBagJT5phB5HaHG5N_mTm_BiA/edit?gid=1382299152#gid=1382299152"", ""Form responses 1!$Z:$Z"") = 2
    ),
    1
  ),
  ""Not Found""
)
"),"Not Found")</f>
        <v>Not Found</v>
      </c>
      <c r="I1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1!$E:$E"")=$D181) *
        (IMPORTRANGE(""https://docs.google.com/spreadsheets/d/161aHT6vVT3SLneTKD19N5qVWtnj_jIT8CSsOmUVKmaA"&amp;"/edit?gid=1761053510"",
          ""Haris_Form responses 1!$AQ:$AQ"")=2)
      ),
      1
    ),
    ""0""
  ),
  ""Form not found""
)
"),"Form not found")</f>
        <v>Form not found</v>
      </c>
      <c r="J181" s="247" t="str">
        <f>IFERROR(__xludf.DUMMYFUNCTION("IFERROR(
  INDEX(
    FILTER(
      Transcription!$AJ:$AJ,
      TRIM(CLEAN(TEXT(Transcription!$F:$F, ""@""))) = TRIM(CLEAN(TEXT($D181, ""@""))),
      Transcription!$AO:$AO = 2
    ),
    1
  ),
  ""Not Found""
)
"),"Not Found")</f>
        <v>Not Found</v>
      </c>
      <c r="K18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TRIM(CLEAN(TEXT($D181, ""@""))),
      IMPORTRANGE(""https://docs.google.com/spreadsheets/d/1DccNxjBgurEr0ABkI_"&amp;"rBagJT5phB5HaHG5N_mTm_BiA/edit?gid=1382299152#gid=1382299152"", ""Form responses 1!$Z:$Z"") = 3
    ),
    1
  ),
  ""Not Found""
)
"),"https://drive.google.com/open?id=1nRm_UrW5uDxg5x9yV3OjCmxeqlLgRUyh")</f>
        <v>https://drive.google.com/open?id=1nRm_UrW5uDxg5x9yV3OjCmxeqlLgRUyh</v>
      </c>
      <c r="L1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1!$E:$E"")=$D181) *
        (IMPORTRANGE(""https://docs.google.com/spreadsheets/d/161aHT6vVT3SLneTKD19N5qVWtnj_jIT8CSsOmUVKmaA"&amp;"/edit?gid=1761053510"",
          ""Haris_Form responses 1!$AQ:$AQ"")=3)
      ),
      1
    ),
    ""0""
  ),
  ""Form not found""
)
"),"3")</f>
        <v>3</v>
      </c>
      <c r="M181" s="245" t="str">
        <f>IFERROR(__xludf.DUMMYFUNCTION("IFERROR(
  INDEX(
    FILTER(
      Transcription!$AJ:$AJ,
      TRIM(CLEAN(TEXT(Transcription!$F:$F, ""@""))) = TRIM(CLEAN(TEXT($D181, ""@""))),
      Transcription!$AO:$AO = 3
    ),
    1
  ),
  ""Not Found""
)
"),"https://drive.google.com/open?id=1tvCBRNbDWoBFX2dbAbftb846tmWdv-KF")</f>
        <v>https://drive.google.com/open?id=1tvCBRNbDWoBFX2dbAbftb846tmWdv-KF</v>
      </c>
      <c r="N1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TRIM(CLEAN(TEXT($D181, ""@""))),
      IMPORTRANGE(""https://docs.google.com/spreadsheets/d/1DccNxjBgurEr0ABkI_"&amp;"rBagJT5phB5HaHG5N_mTm_BiA/edit?gid=1382299152#gid=1382299152"", ""Form responses 1!$Z:$Z"") = 4
    ),
    1
  ),
  ""Not Found""
)
"),"Not Found")</f>
        <v>Not Found</v>
      </c>
      <c r="O1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1!$E:$E"")=$D181) *
        (IMPORTRANGE(""https://docs.google.com/spreadsheets/d/161aHT6vVT3SLneTKD19N5qVWtnj_jIT8CSsOmUVKmaA"&amp;"/edit?gid=1761053510"",
          ""Haris_Form responses 1!$AQ:$AQ"")=4)
      ),
      1
    ),
    ""0""
  ),
  ""Form not found""
)
"),"Form not found")</f>
        <v>Form not found</v>
      </c>
      <c r="P181" s="247" t="str">
        <f>IFERROR(__xludf.DUMMYFUNCTION("IFERROR(
  INDEX(
    FILTER(
      Transcription!$AJ:$AJ,
      TRIM(CLEAN(TEXT(Transcription!$F:$F, ""@""))) = TRIM(CLEAN(TEXT($D181, ""@""))),
      Transcription!$AO:$AO = 4
    ),
    1
  ),
  ""Not Found""
)
"),"Not Found")</f>
        <v>Not Found</v>
      </c>
      <c r="Q1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TRIM(CLEAN(TEXT($D181, ""@""))),
      IMPORTRANGE(""https://docs.google.com/spreadsheets/d/1DccNxjBgurEr0ABkI_"&amp;"rBagJT5phB5HaHG5N_mTm_BiA/edit?gid=1382299152#gid=1382299152"", ""Form responses 1!$Z:$Z"") = 5
    ),
    1
  ),
  ""Not Found""
)
"),"Not Found")</f>
        <v>Not Found</v>
      </c>
      <c r="R1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1!$E:$E"")=$D181) *
        (IMPORTRANGE(""https://docs.google.com/spreadsheets/d/161aHT6vVT3SLneTKD19N5qVWtnj_jIT8CSsOmUVKmaA"&amp;"/edit?gid=1761053510"",
          ""Haris_Form responses 1!$AQ:$AQ"")=5)
      ),
      1
    ),
    ""0""
  ),
  ""Form not found""
)
"),"Form not found")</f>
        <v>Form not found</v>
      </c>
      <c r="S181" s="247" t="str">
        <f>IFERROR(__xludf.DUMMYFUNCTION("IFERROR(
  INDEX(
    FILTER(
      Transcription!$AJ:$AJ,
      TRIM(CLEAN(TEXT(Transcription!$F:$F, ""@""))) = TRIM(CLEAN(TEXT($D181, ""@""))),
      Transcription!$AO:$AO = 5
    ),
    1
  ),
  ""Not Found""
)
"),"Not Found")</f>
        <v>Not Found</v>
      </c>
      <c r="T1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TRIM(CLEAN(TEXT($D181, ""@""))),
      IMPORTRANGE(""https://docs.google.com/spreadsheets/d/1DccNxjBgurEr0ABkI_"&amp;"rBagJT5phB5HaHG5N_mTm_BiA/edit?gid=1382299152#gid=1382299152"", ""Form responses 1!$Z:$Z"") = 6
    ),
    1
  ),
  ""Not Found""
)
"),"Not Found")</f>
        <v>Not Found</v>
      </c>
      <c r="U1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1!$E:$E"")=$D181) *
        (IMPORTRANGE(""https://docs.google.com/spreadsheets/d/161aHT6vVT3SLneTKD19N5qVWtnj_jIT8CSsOmUVKmaA"&amp;"/edit?gid=1761053510"",
          ""Haris_Form responses 1!$AQ:$AQ"")=6)
      ),
      1
    ),
    ""0""
  ),
  ""Form not found""
)
"),"Form not found")</f>
        <v>Form not found</v>
      </c>
      <c r="V181" s="247" t="str">
        <f>IFERROR(__xludf.DUMMYFUNCTION("IFERROR(
  INDEX(
    FILTER(
      Transcription!$AJ:$AJ,
      TRIM(CLEAN(TEXT(Transcription!$F:$F, ""@""))) = TRIM(CLEAN(TEXT($D181, ""@""))),
      Transcription!$AO:$AO = 6
    ),
    1
  ),
  ""Not Found""
)
"),"Not Found")</f>
        <v>Not Found</v>
      </c>
      <c r="Z181" s="10">
        <f t="shared" si="1"/>
        <v>2</v>
      </c>
      <c r="AA181" s="10">
        <f t="shared" si="2"/>
        <v>0</v>
      </c>
    </row>
    <row r="182">
      <c r="A182" s="8" t="str">
        <f>VLOOKUP($D182,Sheet6!$B:$G,5,FALSE)</f>
        <v>Khanewal</v>
      </c>
      <c r="B182" s="232" t="str">
        <f>VLOOKUP($D182,Sheet6!$B:$G,4,FALSE)</f>
        <v>Control</v>
      </c>
      <c r="C182" s="8">
        <v>2.0</v>
      </c>
      <c r="D182" s="8" t="s">
        <v>4623</v>
      </c>
      <c r="E18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TRIM(CLEAN(TEXT($D182, ""@""))),
      IMPORTRANGE(""https://docs.google.com/spreadsheets/d/1DccNxjBgurEr0ABkI_"&amp;"rBagJT5phB5HaHG5N_mTm_BiA/edit?gid=1382299152#gid=1382299152"", ""Form responses 1!$Z:$Z"") = 1
    ),
    1
  ),
  ""Not Found""
)
"),"https://drive.google.com/file/d/1BvB0wW9aXTBebjoGTczm_yEBh_0t0CL-/view?usp=drive_link")</f>
        <v>https://drive.google.com/file/d/1BvB0wW9aXTBebjoGTczm_yEBh_0t0CL-/view?usp=drive_link</v>
      </c>
      <c r="F1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1!$E:$E"")=$D182) *
        (IMPORTRANGE(""https://docs.google.com/spreadsheets/d/161aHT6vVT3SLneTKD19N5qVWtnj_jIT8CSsOmUVKmaA"&amp;"/edit?gid=1761053510"",
          ""Haris_Form responses 1!$AQ:$AQ"")=1)
      ),
      1
    ),
    ""0""
  ),
  ""Form not found""
)
"),"1")</f>
        <v>1</v>
      </c>
      <c r="G182" s="245" t="str">
        <f>IFERROR(__xludf.DUMMYFUNCTION("IFERROR(
  INDEX(
    FILTER(
      Transcription!$AJ:$AJ,
      TRIM(CLEAN(TEXT(Transcription!$F:$F, ""@""))) = TRIM(CLEAN(TEXT($D182, ""@""))),
      Transcription!$AO:$AO = 1
    ),
    1
  ),
  ""Not Found""
)
"),"https://drive.google.com/open?id=1jmusgh5_ilTTGZneIIMYuBb9isE0kFnH")</f>
        <v>https://drive.google.com/open?id=1jmusgh5_ilTTGZneIIMYuBb9isE0kFnH</v>
      </c>
      <c r="H1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TRIM(CLEAN(TEXT($D182, ""@""))),
      IMPORTRANGE(""https://docs.google.com/spreadsheets/d/1DccNxjBgurEr0ABkI_"&amp;"rBagJT5phB5HaHG5N_mTm_BiA/edit?gid=1382299152#gid=1382299152"", ""Form responses 1!$Z:$Z"") = 2
    ),
    1
  ),
  ""Not Found""
)
"),"Not Found")</f>
        <v>Not Found</v>
      </c>
      <c r="I1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1!$E:$E"")=$D182) *
        (IMPORTRANGE(""https://docs.google.com/spreadsheets/d/161aHT6vVT3SLneTKD19N5qVWtnj_jIT8CSsOmUVKmaA"&amp;"/edit?gid=1761053510"",
          ""Haris_Form responses 1!$AQ:$AQ"")=2)
      ),
      1
    ),
    ""0""
  ),
  ""Form not found""
)
"),"Form not found")</f>
        <v>Form not found</v>
      </c>
      <c r="J182" s="247" t="str">
        <f>IFERROR(__xludf.DUMMYFUNCTION("IFERROR(
  INDEX(
    FILTER(
      Transcription!$AJ:$AJ,
      TRIM(CLEAN(TEXT(Transcription!$F:$F, ""@""))) = TRIM(CLEAN(TEXT($D182, ""@""))),
      Transcription!$AO:$AO = 2
    ),
    1
  ),
  ""Not Found""
)
"),"Not Found")</f>
        <v>Not Found</v>
      </c>
      <c r="K18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TRIM(CLEAN(TEXT($D182, ""@""))),
      IMPORTRANGE(""https://docs.google.com/spreadsheets/d/1DccNxjBgurEr0ABkI_"&amp;"rBagJT5phB5HaHG5N_mTm_BiA/edit?gid=1382299152#gid=1382299152"", ""Form responses 1!$Z:$Z"") = 3
    ),
    1
  ),
  ""Not Found""
)
"),"https://drive.google.com/open?id=1Y1CRWjzfPmkxIcmkODBUUdtDEN57mZRk")</f>
        <v>https://drive.google.com/open?id=1Y1CRWjzfPmkxIcmkODBUUdtDEN57mZRk</v>
      </c>
      <c r="L1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1!$E:$E"")=$D182) *
        (IMPORTRANGE(""https://docs.google.com/spreadsheets/d/161aHT6vVT3SLneTKD19N5qVWtnj_jIT8CSsOmUVKmaA"&amp;"/edit?gid=1761053510"",
          ""Haris_Form responses 1!$AQ:$AQ"")=3)
      ),
      1
    ),
    ""0""
  ),
  ""Form not found""
)
"),"3")</f>
        <v>3</v>
      </c>
      <c r="M182" s="245" t="str">
        <f>IFERROR(__xludf.DUMMYFUNCTION("IFERROR(
  INDEX(
    FILTER(
      Transcription!$AJ:$AJ,
      TRIM(CLEAN(TEXT(Transcription!$F:$F, ""@""))) = TRIM(CLEAN(TEXT($D182, ""@""))),
      Transcription!$AO:$AO = 3
    ),
    1
  ),
  ""Not Found""
)
"),"https://drive.google.com/open?id=1r1z7TpjHz5PhvkRqTXEQd5_b3EQaNLuS")</f>
        <v>https://drive.google.com/open?id=1r1z7TpjHz5PhvkRqTXEQd5_b3EQaNLuS</v>
      </c>
      <c r="N1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TRIM(CLEAN(TEXT($D182, ""@""))),
      IMPORTRANGE(""https://docs.google.com/spreadsheets/d/1DccNxjBgurEr0ABkI_"&amp;"rBagJT5phB5HaHG5N_mTm_BiA/edit?gid=1382299152#gid=1382299152"", ""Form responses 1!$Z:$Z"") = 4
    ),
    1
  ),
  ""Not Found""
)
"),"Not Found")</f>
        <v>Not Found</v>
      </c>
      <c r="O1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1!$E:$E"")=$D182) *
        (IMPORTRANGE(""https://docs.google.com/spreadsheets/d/161aHT6vVT3SLneTKD19N5qVWtnj_jIT8CSsOmUVKmaA"&amp;"/edit?gid=1761053510"",
          ""Haris_Form responses 1!$AQ:$AQ"")=4)
      ),
      1
    ),
    ""0""
  ),
  ""Form not found""
)
"),"Form not found")</f>
        <v>Form not found</v>
      </c>
      <c r="P182" s="247" t="str">
        <f>IFERROR(__xludf.DUMMYFUNCTION("IFERROR(
  INDEX(
    FILTER(
      Transcription!$AJ:$AJ,
      TRIM(CLEAN(TEXT(Transcription!$F:$F, ""@""))) = TRIM(CLEAN(TEXT($D182, ""@""))),
      Transcription!$AO:$AO = 4
    ),
    1
  ),
  ""Not Found""
)
"),"Not Found")</f>
        <v>Not Found</v>
      </c>
      <c r="Q1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TRIM(CLEAN(TEXT($D182, ""@""))),
      IMPORTRANGE(""https://docs.google.com/spreadsheets/d/1DccNxjBgurEr0ABkI_"&amp;"rBagJT5phB5HaHG5N_mTm_BiA/edit?gid=1382299152#gid=1382299152"", ""Form responses 1!$Z:$Z"") = 5
    ),
    1
  ),
  ""Not Found""
)
"),"Not Found")</f>
        <v>Not Found</v>
      </c>
      <c r="R1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1!$E:$E"")=$D182) *
        (IMPORTRANGE(""https://docs.google.com/spreadsheets/d/161aHT6vVT3SLneTKD19N5qVWtnj_jIT8CSsOmUVKmaA"&amp;"/edit?gid=1761053510"",
          ""Haris_Form responses 1!$AQ:$AQ"")=5)
      ),
      1
    ),
    ""0""
  ),
  ""Form not found""
)
"),"Form not found")</f>
        <v>Form not found</v>
      </c>
      <c r="S182" s="247" t="str">
        <f>IFERROR(__xludf.DUMMYFUNCTION("IFERROR(
  INDEX(
    FILTER(
      Transcription!$AJ:$AJ,
      TRIM(CLEAN(TEXT(Transcription!$F:$F, ""@""))) = TRIM(CLEAN(TEXT($D182, ""@""))),
      Transcription!$AO:$AO = 5
    ),
    1
  ),
  ""Not Found""
)
"),"Not Found")</f>
        <v>Not Found</v>
      </c>
      <c r="T1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TRIM(CLEAN(TEXT($D182, ""@""))),
      IMPORTRANGE(""https://docs.google.com/spreadsheets/d/1DccNxjBgurEr0ABkI_"&amp;"rBagJT5phB5HaHG5N_mTm_BiA/edit?gid=1382299152#gid=1382299152"", ""Form responses 1!$Z:$Z"") = 6
    ),
    1
  ),
  ""Not Found""
)
"),"Not Found")</f>
        <v>Not Found</v>
      </c>
      <c r="U1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1!$E:$E"")=$D182) *
        (IMPORTRANGE(""https://docs.google.com/spreadsheets/d/161aHT6vVT3SLneTKD19N5qVWtnj_jIT8CSsOmUVKmaA"&amp;"/edit?gid=1761053510"",
          ""Haris_Form responses 1!$AQ:$AQ"")=6)
      ),
      1
    ),
    ""0""
  ),
  ""Form not found""
)
"),"Form not found")</f>
        <v>Form not found</v>
      </c>
      <c r="V182" s="247" t="str">
        <f>IFERROR(__xludf.DUMMYFUNCTION("IFERROR(
  INDEX(
    FILTER(
      Transcription!$AJ:$AJ,
      TRIM(CLEAN(TEXT(Transcription!$F:$F, ""@""))) = TRIM(CLEAN(TEXT($D182, ""@""))),
      Transcription!$AO:$AO = 6
    ),
    1
  ),
  ""Not Found""
)
"),"Not Found")</f>
        <v>Not Found</v>
      </c>
      <c r="Z182" s="10">
        <f t="shared" si="1"/>
        <v>2</v>
      </c>
      <c r="AA182" s="10">
        <f t="shared" si="2"/>
        <v>0</v>
      </c>
    </row>
    <row r="183">
      <c r="A183" s="8" t="str">
        <f>VLOOKUP($D183,Sheet6!$B:$G,5,FALSE)</f>
        <v>Khanewal</v>
      </c>
      <c r="B183" s="232" t="str">
        <f>VLOOKUP($D183,Sheet6!$B:$G,4,FALSE)</f>
        <v>Women Secular Info Share</v>
      </c>
      <c r="C183" s="8">
        <v>3.0</v>
      </c>
      <c r="D183" s="8" t="s">
        <v>4624</v>
      </c>
      <c r="E18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TRIM(CLEAN(TEXT($D183, ""@""))),
      IMPORTRANGE(""https://docs.google.com/spreadsheets/d/1DccNxjBgurEr0ABkI_"&amp;"rBagJT5phB5HaHG5N_mTm_BiA/edit?gid=1382299152#gid=1382299152"", ""Form responses 1!$Z:$Z"") = 1
    ),
    1
  ),
  ""Not Found""
)
"),"https://drive.google.com/open?id=1uP5bHnqJQ673PhQ-o1ni7ldTiJ8je3Kd")</f>
        <v>https://drive.google.com/open?id=1uP5bHnqJQ673PhQ-o1ni7ldTiJ8je3Kd</v>
      </c>
      <c r="F1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1!$E:$E"")=$D183) *
        (IMPORTRANGE(""https://docs.google.com/spreadsheets/d/161aHT6vVT3SLneTKD19N5qVWtnj_jIT8CSsOmUVKmaA"&amp;"/edit?gid=1761053510"",
          ""Haris_Form responses 1!$AQ:$AQ"")=1)
      ),
      1
    ),
    ""0""
  ),
  ""Form not found""
)
"),"1")</f>
        <v>1</v>
      </c>
      <c r="G183" s="245" t="str">
        <f>IFERROR(__xludf.DUMMYFUNCTION("IFERROR(
  INDEX(
    FILTER(
      Transcription!$AJ:$AJ,
      TRIM(CLEAN(TEXT(Transcription!$F:$F, ""@""))) = TRIM(CLEAN(TEXT($D183, ""@""))),
      Transcription!$AO:$AO = 1
    ),
    1
  ),
  ""Not Found""
)
"),"https://drive.google.com/open?id=1gOHiPoqGLXKevGPQlhXcLqEqp4_6O6uazx8aoPtE3zM")</f>
        <v>https://drive.google.com/open?id=1gOHiPoqGLXKevGPQlhXcLqEqp4_6O6uazx8aoPtE3zM</v>
      </c>
      <c r="H18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TRIM(CLEAN(TEXT($D183, ""@""))),
      IMPORTRANGE(""https://docs.google.com/spreadsheets/d/1DccNxjBgurEr0ABkI_"&amp;"rBagJT5phB5HaHG5N_mTm_BiA/edit?gid=1382299152#gid=1382299152"", ""Form responses 1!$Z:$Z"") = 2
    ),
    1
  ),
  ""Not Found""
)
"),"https://drive.google.com/open?id=1QAfLTXF0KU5jDpyeh62qiFwU9yoYD4zF")</f>
        <v>https://drive.google.com/open?id=1QAfLTXF0KU5jDpyeh62qiFwU9yoYD4zF</v>
      </c>
      <c r="I1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1!$E:$E"")=$D183) *
        (IMPORTRANGE(""https://docs.google.com/spreadsheets/d/161aHT6vVT3SLneTKD19N5qVWtnj_jIT8CSsOmUVKmaA"&amp;"/edit?gid=1761053510"",
          ""Haris_Form responses 1!$AQ:$AQ"")=2)
      ),
      1
    ),
    ""0""
  ),
  ""Form not found""
)
"),"2")</f>
        <v>2</v>
      </c>
      <c r="J183" s="245" t="str">
        <f>IFERROR(__xludf.DUMMYFUNCTION("IFERROR(
  INDEX(
    FILTER(
      Transcription!$AJ:$AJ,
      TRIM(CLEAN(TEXT(Transcription!$F:$F, ""@""))) = TRIM(CLEAN(TEXT($D183, ""@""))),
      Transcription!$AO:$AO = 2
    ),
    1
  ),
  ""Not Found""
)
"),"https://drive.google.com/open?id=1gJTOe5zuqJJ7dMgxQvJimGFe1xDv1p5l")</f>
        <v>https://drive.google.com/open?id=1gJTOe5zuqJJ7dMgxQvJimGFe1xDv1p5l</v>
      </c>
      <c r="K18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TRIM(CLEAN(TEXT($D183, ""@""))),
      IMPORTRANGE(""https://docs.google.com/spreadsheets/d/1DccNxjBgurEr0ABkI_"&amp;"rBagJT5phB5HaHG5N_mTm_BiA/edit?gid=1382299152#gid=1382299152"", ""Form responses 1!$Z:$Z"") = 3
    ),
    1
  ),
  ""Not Found""
)
"),"https://drive.google.com/open?id=1LUHJRYRPKsSO4jWZJxDWY1QgW-a4IrTI")</f>
        <v>https://drive.google.com/open?id=1LUHJRYRPKsSO4jWZJxDWY1QgW-a4IrTI</v>
      </c>
      <c r="L1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1!$E:$E"")=$D183) *
        (IMPORTRANGE(""https://docs.google.com/spreadsheets/d/161aHT6vVT3SLneTKD19N5qVWtnj_jIT8CSsOmUVKmaA"&amp;"/edit?gid=1761053510"",
          ""Haris_Form responses 1!$AQ:$AQ"")=3)
      ),
      1
    ),
    ""0""
  ),
  ""Form not found""
)
"),"3")</f>
        <v>3</v>
      </c>
      <c r="M183" s="245" t="str">
        <f>IFERROR(__xludf.DUMMYFUNCTION("IFERROR(
  INDEX(
    FILTER(
      Transcription!$AJ:$AJ,
      TRIM(CLEAN(TEXT(Transcription!$F:$F, ""@""))) = TRIM(CLEAN(TEXT($D183, ""@""))),
      Transcription!$AO:$AO = 3
    ),
    1
  ),
  ""Not Found""
)
"),"https://drive.google.com/open?id=1nf2EtFaCJCqVCq2DM1j562_kpt7PgxVrAC5vFgrj_IY")</f>
        <v>https://drive.google.com/open?id=1nf2EtFaCJCqVCq2DM1j562_kpt7PgxVrAC5vFgrj_IY</v>
      </c>
      <c r="N1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TRIM(CLEAN(TEXT($D183, ""@""))),
      IMPORTRANGE(""https://docs.google.com/spreadsheets/d/1DccNxjBgurEr0ABkI_"&amp;"rBagJT5phB5HaHG5N_mTm_BiA/edit?gid=1382299152#gid=1382299152"", ""Form responses 1!$Z:$Z"") = 4
    ),
    1
  ),
  ""Not Found""
)
"),"Not Found")</f>
        <v>Not Found</v>
      </c>
      <c r="O1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1!$E:$E"")=$D183) *
        (IMPORTRANGE(""https://docs.google.com/spreadsheets/d/161aHT6vVT3SLneTKD19N5qVWtnj_jIT8CSsOmUVKmaA"&amp;"/edit?gid=1761053510"",
          ""Haris_Form responses 1!$AQ:$AQ"")=4)
      ),
      1
    ),
    ""0""
  ),
  ""Form not found""
)
"),"Form not found")</f>
        <v>Form not found</v>
      </c>
      <c r="P183" s="247" t="str">
        <f>IFERROR(__xludf.DUMMYFUNCTION("IFERROR(
  INDEX(
    FILTER(
      Transcription!$AJ:$AJ,
      TRIM(CLEAN(TEXT(Transcription!$F:$F, ""@""))) = TRIM(CLEAN(TEXT($D183, ""@""))),
      Transcription!$AO:$AO = 4
    ),
    1
  ),
  ""Not Found""
)
"),"Not Found")</f>
        <v>Not Found</v>
      </c>
      <c r="Q1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TRIM(CLEAN(TEXT($D183, ""@""))),
      IMPORTRANGE(""https://docs.google.com/spreadsheets/d/1DccNxjBgurEr0ABkI_"&amp;"rBagJT5phB5HaHG5N_mTm_BiA/edit?gid=1382299152#gid=1382299152"", ""Form responses 1!$Z:$Z"") = 5
    ),
    1
  ),
  ""Not Found""
)
"),"Not Found")</f>
        <v>Not Found</v>
      </c>
      <c r="R1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1!$E:$E"")=$D183) *
        (IMPORTRANGE(""https://docs.google.com/spreadsheets/d/161aHT6vVT3SLneTKD19N5qVWtnj_jIT8CSsOmUVKmaA"&amp;"/edit?gid=1761053510"",
          ""Haris_Form responses 1!$AQ:$AQ"")=5)
      ),
      1
    ),
    ""0""
  ),
  ""Form not found""
)
"),"Form not found")</f>
        <v>Form not found</v>
      </c>
      <c r="S183" s="247" t="str">
        <f>IFERROR(__xludf.DUMMYFUNCTION("IFERROR(
  INDEX(
    FILTER(
      Transcription!$AJ:$AJ,
      TRIM(CLEAN(TEXT(Transcription!$F:$F, ""@""))) = TRIM(CLEAN(TEXT($D183, ""@""))),
      Transcription!$AO:$AO = 5
    ),
    1
  ),
  ""Not Found""
)
"),"Not Found")</f>
        <v>Not Found</v>
      </c>
      <c r="T1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TRIM(CLEAN(TEXT($D183, ""@""))),
      IMPORTRANGE(""https://docs.google.com/spreadsheets/d/1DccNxjBgurEr0ABkI_"&amp;"rBagJT5phB5HaHG5N_mTm_BiA/edit?gid=1382299152#gid=1382299152"", ""Form responses 1!$Z:$Z"") = 6
    ),
    1
  ),
  ""Not Found""
)
"),"Not Found")</f>
        <v>Not Found</v>
      </c>
      <c r="U1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1!$E:$E"")=$D183) *
        (IMPORTRANGE(""https://docs.google.com/spreadsheets/d/161aHT6vVT3SLneTKD19N5qVWtnj_jIT8CSsOmUVKmaA"&amp;"/edit?gid=1761053510"",
          ""Haris_Form responses 1!$AQ:$AQ"")=6)
      ),
      1
    ),
    ""0""
  ),
  ""Form not found""
)
"),"Form not found")</f>
        <v>Form not found</v>
      </c>
      <c r="V183" s="247" t="str">
        <f>IFERROR(__xludf.DUMMYFUNCTION("IFERROR(
  INDEX(
    FILTER(
      Transcription!$AJ:$AJ,
      TRIM(CLEAN(TEXT(Transcription!$F:$F, ""@""))) = TRIM(CLEAN(TEXT($D183, ""@""))),
      Transcription!$AO:$AO = 6
    ),
    1
  ),
  ""Not Found""
)
"),"Not Found")</f>
        <v>Not Found</v>
      </c>
      <c r="Z183" s="10">
        <f t="shared" si="1"/>
        <v>3</v>
      </c>
      <c r="AA183" s="10">
        <f t="shared" si="2"/>
        <v>0</v>
      </c>
    </row>
    <row r="184">
      <c r="A184" s="8" t="str">
        <f>VLOOKUP($D184,Sheet6!$B:$G,5,FALSE)</f>
        <v>Khanewal</v>
      </c>
      <c r="B184" s="232" t="str">
        <f>VLOOKUP($D184,Sheet6!$B:$G,4,FALSE)</f>
        <v>Women Secular Info Share</v>
      </c>
      <c r="C184" s="8">
        <v>3.0</v>
      </c>
      <c r="D184" s="8" t="s">
        <v>4625</v>
      </c>
      <c r="E18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TRIM(CLEAN(TEXT($D184, ""@""))),
      IMPORTRANGE(""https://docs.google.com/spreadsheets/d/1DccNxjBgurEr0ABkI_"&amp;"rBagJT5phB5HaHG5N_mTm_BiA/edit?gid=1382299152#gid=1382299152"", ""Form responses 1!$Z:$Z"") = 1
    ),
    1
  ),
  ""Not Found""
)
"),"https://drive.google.com/open?id=1izC-5LejP7WTSmRZxTUBZiBFujYYCEIc")</f>
        <v>https://drive.google.com/open?id=1izC-5LejP7WTSmRZxTUBZiBFujYYCEIc</v>
      </c>
      <c r="F1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1!$E:$E"")=$D184) *
        (IMPORTRANGE(""https://docs.google.com/spreadsheets/d/161aHT6vVT3SLneTKD19N5qVWtnj_jIT8CSsOmUVKmaA"&amp;"/edit?gid=1761053510"",
          ""Haris_Form responses 1!$AQ:$AQ"")=1)
      ),
      1
    ),
    ""0""
  ),
  ""Form not found""
)
"),"1")</f>
        <v>1</v>
      </c>
      <c r="G184" s="245" t="str">
        <f>IFERROR(__xludf.DUMMYFUNCTION("IFERROR(
  INDEX(
    FILTER(
      Transcription!$AJ:$AJ,
      TRIM(CLEAN(TEXT(Transcription!$F:$F, ""@""))) = TRIM(CLEAN(TEXT($D184, ""@""))),
      Transcription!$AO:$AO = 1
    ),
    1
  ),
  ""Not Found""
)
"),"https://drive.google.com/open?id=1r5Ci4kjtKgc55DKdOQVi-CQXZ_D2lIdSp82z2ZGEJOk")</f>
        <v>https://drive.google.com/open?id=1r5Ci4kjtKgc55DKdOQVi-CQXZ_D2lIdSp82z2ZGEJOk</v>
      </c>
      <c r="H18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TRIM(CLEAN(TEXT($D184, ""@""))),
      IMPORTRANGE(""https://docs.google.com/spreadsheets/d/1DccNxjBgurEr0ABkI_"&amp;"rBagJT5phB5HaHG5N_mTm_BiA/edit?gid=1382299152#gid=1382299152"", ""Form responses 1!$Z:$Z"") = 2
    ),
    1
  ),
  ""Not Found""
)
"),"https://drive.google.com/open?id=1a4OHAhulWq-7CbR1K6e5r7gXlnddRFLS")</f>
        <v>https://drive.google.com/open?id=1a4OHAhulWq-7CbR1K6e5r7gXlnddRFLS</v>
      </c>
      <c r="I1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1!$E:$E"")=$D184) *
        (IMPORTRANGE(""https://docs.google.com/spreadsheets/d/161aHT6vVT3SLneTKD19N5qVWtnj_jIT8CSsOmUVKmaA"&amp;"/edit?gid=1761053510"",
          ""Haris_Form responses 1!$AQ:$AQ"")=2)
      ),
      1
    ),
    ""0""
  ),
  ""Form not found""
)
"),"2")</f>
        <v>2</v>
      </c>
      <c r="J184" s="245" t="str">
        <f>IFERROR(__xludf.DUMMYFUNCTION("IFERROR(
  INDEX(
    FILTER(
      Transcription!$AJ:$AJ,
      TRIM(CLEAN(TEXT(Transcription!$F:$F, ""@""))) = TRIM(CLEAN(TEXT($D184, ""@""))),
      Transcription!$AO:$AO = 2
    ),
    1
  ),
  ""Not Found""
)
"),"https://drive.google.com/open?id=1jEqb6_z780Eu9JK0XuAPj8DJnsGqxkTh")</f>
        <v>https://drive.google.com/open?id=1jEqb6_z780Eu9JK0XuAPj8DJnsGqxkTh</v>
      </c>
      <c r="K18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TRIM(CLEAN(TEXT($D184, ""@""))),
      IMPORTRANGE(""https://docs.google.com/spreadsheets/d/1DccNxjBgurEr0ABkI_"&amp;"rBagJT5phB5HaHG5N_mTm_BiA/edit?gid=1382299152#gid=1382299152"", ""Form responses 1!$Z:$Z"") = 3
    ),
    1
  ),
  ""Not Found""
)
"),"https://drive.google.com/open?id=1Bwit0_2EYh9910gZeXvo-T_e5Yy_nE1-")</f>
        <v>https://drive.google.com/open?id=1Bwit0_2EYh9910gZeXvo-T_e5Yy_nE1-</v>
      </c>
      <c r="L1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1!$E:$E"")=$D184) *
        (IMPORTRANGE(""https://docs.google.com/spreadsheets/d/161aHT6vVT3SLneTKD19N5qVWtnj_jIT8CSsOmUVKmaA"&amp;"/edit?gid=1761053510"",
          ""Haris_Form responses 1!$AQ:$AQ"")=3)
      ),
      1
    ),
    ""0""
  ),
  ""Form not found""
)
"),"3")</f>
        <v>3</v>
      </c>
      <c r="M184" s="245" t="str">
        <f>IFERROR(__xludf.DUMMYFUNCTION("IFERROR(
  INDEX(
    FILTER(
      Transcription!$AJ:$AJ,
      TRIM(CLEAN(TEXT(Transcription!$F:$F, ""@""))) = TRIM(CLEAN(TEXT($D184, ""@""))),
      Transcription!$AO:$AO = 3
    ),
    1
  ),
  ""Not Found""
)
"),"https://drive.google.com/open?id=1RRExHyhhyVOuYkK8bwb2CnL7eSMyvVOBov5I7IcovpU")</f>
        <v>https://drive.google.com/open?id=1RRExHyhhyVOuYkK8bwb2CnL7eSMyvVOBov5I7IcovpU</v>
      </c>
      <c r="N18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TRIM(CLEAN(TEXT($D184, ""@""))),
      IMPORTRANGE(""https://docs.google.com/spreadsheets/d/1DccNxjBgurEr0ABkI_"&amp;"rBagJT5phB5HaHG5N_mTm_BiA/edit?gid=1382299152#gid=1382299152"", ""Form responses 1!$Z:$Z"") = 4
    ),
    1
  ),
  ""Not Found""
)
"),"Not Found")</f>
        <v>Not Found</v>
      </c>
      <c r="O1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1!$E:$E"")=$D184) *
        (IMPORTRANGE(""https://docs.google.com/spreadsheets/d/161aHT6vVT3SLneTKD19N5qVWtnj_jIT8CSsOmUVKmaA"&amp;"/edit?gid=1761053510"",
          ""Haris_Form responses 1!$AQ:$AQ"")=4)
      ),
      1
    ),
    ""0""
  ),
  ""Form not found""
)
"),"Form not found")</f>
        <v>Form not found</v>
      </c>
      <c r="P184" s="247" t="str">
        <f>IFERROR(__xludf.DUMMYFUNCTION("IFERROR(
  INDEX(
    FILTER(
      Transcription!$AJ:$AJ,
      TRIM(CLEAN(TEXT(Transcription!$F:$F, ""@""))) = TRIM(CLEAN(TEXT($D184, ""@""))),
      Transcription!$AO:$AO = 4
    ),
    1
  ),
  ""Not Found""
)
"),"Not Found")</f>
        <v>Not Found</v>
      </c>
      <c r="Q18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TRIM(CLEAN(TEXT($D184, ""@""))),
      IMPORTRANGE(""https://docs.google.com/spreadsheets/d/1DccNxjBgurEr0ABkI_"&amp;"rBagJT5phB5HaHG5N_mTm_BiA/edit?gid=1382299152#gid=1382299152"", ""Form responses 1!$Z:$Z"") = 5
    ),
    1
  ),
  ""Not Found""
)
"),"Not Found")</f>
        <v>Not Found</v>
      </c>
      <c r="R1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1!$E:$E"")=$D184) *
        (IMPORTRANGE(""https://docs.google.com/spreadsheets/d/161aHT6vVT3SLneTKD19N5qVWtnj_jIT8CSsOmUVKmaA"&amp;"/edit?gid=1761053510"",
          ""Haris_Form responses 1!$AQ:$AQ"")=5)
      ),
      1
    ),
    ""0""
  ),
  ""Form not found""
)
"),"Form not found")</f>
        <v>Form not found</v>
      </c>
      <c r="S184" s="247" t="str">
        <f>IFERROR(__xludf.DUMMYFUNCTION("IFERROR(
  INDEX(
    FILTER(
      Transcription!$AJ:$AJ,
      TRIM(CLEAN(TEXT(Transcription!$F:$F, ""@""))) = TRIM(CLEAN(TEXT($D184, ""@""))),
      Transcription!$AO:$AO = 5
    ),
    1
  ),
  ""Not Found""
)
"),"Not Found")</f>
        <v>Not Found</v>
      </c>
      <c r="T18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TRIM(CLEAN(TEXT($D184, ""@""))),
      IMPORTRANGE(""https://docs.google.com/spreadsheets/d/1DccNxjBgurEr0ABkI_"&amp;"rBagJT5phB5HaHG5N_mTm_BiA/edit?gid=1382299152#gid=1382299152"", ""Form responses 1!$Z:$Z"") = 6
    ),
    1
  ),
  ""Not Found""
)
"),"Not Found")</f>
        <v>Not Found</v>
      </c>
      <c r="U1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1!$E:$E"")=$D184) *
        (IMPORTRANGE(""https://docs.google.com/spreadsheets/d/161aHT6vVT3SLneTKD19N5qVWtnj_jIT8CSsOmUVKmaA"&amp;"/edit?gid=1761053510"",
          ""Haris_Form responses 1!$AQ:$AQ"")=6)
      ),
      1
    ),
    ""0""
  ),
  ""Form not found""
)
"),"Form not found")</f>
        <v>Form not found</v>
      </c>
      <c r="V184" s="247" t="str">
        <f>IFERROR(__xludf.DUMMYFUNCTION("IFERROR(
  INDEX(
    FILTER(
      Transcription!$AJ:$AJ,
      TRIM(CLEAN(TEXT(Transcription!$F:$F, ""@""))) = TRIM(CLEAN(TEXT($D184, ""@""))),
      Transcription!$AO:$AO = 6
    ),
    1
  ),
  ""Not Found""
)
"),"Not Found")</f>
        <v>Not Found</v>
      </c>
      <c r="Z184" s="10">
        <f t="shared" si="1"/>
        <v>3</v>
      </c>
      <c r="AA184" s="10">
        <f t="shared" si="2"/>
        <v>0</v>
      </c>
    </row>
    <row r="185">
      <c r="A185" s="8" t="str">
        <f>VLOOKUP($D185,Sheet6!$B:$G,5,FALSE)</f>
        <v>Khanewal</v>
      </c>
      <c r="B185" s="232" t="str">
        <f>VLOOKUP($D185,Sheet6!$B:$G,4,FALSE)</f>
        <v>Women Secular No Info Share</v>
      </c>
      <c r="C185" s="8">
        <v>4.0</v>
      </c>
      <c r="D185" s="8" t="s">
        <v>3706</v>
      </c>
      <c r="E18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TRIM(CLEAN(TEXT($D185, ""@""))),
      IMPORTRANGE(""https://docs.google.com/spreadsheets/d/1DccNxjBgurEr0ABkI_"&amp;"rBagJT5phB5HaHG5N_mTm_BiA/edit?gid=1382299152#gid=1382299152"", ""Form responses 1!$Z:$Z"") = 1
    ),
    1
  ),
  ""Not Found""
)
"),"Not Found")</f>
        <v>Not Found</v>
      </c>
      <c r="F1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1!$E:$E"")=$D185) *
        (IMPORTRANGE(""https://docs.google.com/spreadsheets/d/161aHT6vVT3SLneTKD19N5qVWtnj_jIT8CSsOmUVKmaA"&amp;"/edit?gid=1761053510"",
          ""Haris_Form responses 1!$AQ:$AQ"")=1)
      ),
      1
    ),
    ""0""
  ),
  ""Form not found""
)
"),"Form not found")</f>
        <v>Form not found</v>
      </c>
      <c r="G185" s="247" t="str">
        <f>IFERROR(__xludf.DUMMYFUNCTION("IFERROR(
  INDEX(
    FILTER(
      Transcription!$AJ:$AJ,
      TRIM(CLEAN(TEXT(Transcription!$F:$F, ""@""))) = TRIM(CLEAN(TEXT($D185, ""@""))),
      Transcription!$AO:$AO = 1
    ),
    1
  ),
  ""Not Found""
)
"),"Not Found")</f>
        <v>Not Found</v>
      </c>
      <c r="H1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TRIM(CLEAN(TEXT($D185, ""@""))),
      IMPORTRANGE(""https://docs.google.com/spreadsheets/d/1DccNxjBgurEr0ABkI_"&amp;"rBagJT5phB5HaHG5N_mTm_BiA/edit?gid=1382299152#gid=1382299152"", ""Form responses 1!$Z:$Z"") = 2
    ),
    1
  ),
  ""Not Found""
)
"),"https://drive.google.com/open?id=1do3-905idrdhmiXL9rGwNVXzhsY_qFuQ")</f>
        <v>https://drive.google.com/open?id=1do3-905idrdhmiXL9rGwNVXzhsY_qFuQ</v>
      </c>
      <c r="I1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1!$E:$E"")=$D185) *
        (IMPORTRANGE(""https://docs.google.com/spreadsheets/d/161aHT6vVT3SLneTKD19N5qVWtnj_jIT8CSsOmUVKmaA"&amp;"/edit?gid=1761053510"",
          ""Haris_Form responses 1!$AQ:$AQ"")=2)
      ),
      1
    ),
    ""0""
  ),
  ""Form not found""
)
"),"2")</f>
        <v>2</v>
      </c>
      <c r="J185" s="245" t="str">
        <f>IFERROR(__xludf.DUMMYFUNCTION("IFERROR(
  INDEX(
    FILTER(
      Transcription!$AJ:$AJ,
      TRIM(CLEAN(TEXT(Transcription!$F:$F, ""@""))) = TRIM(CLEAN(TEXT($D185, ""@""))),
      Transcription!$AO:$AO = 2
    ),
    1
  ),
  ""Not Found""
)
"),"https://drive.google.com/open?id=1k1-ZKDJ5JqZvmEHIxu67FPWT28WM7md8")</f>
        <v>https://drive.google.com/open?id=1k1-ZKDJ5JqZvmEHIxu67FPWT28WM7md8</v>
      </c>
      <c r="K1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TRIM(CLEAN(TEXT($D185, ""@""))),
      IMPORTRANGE(""https://docs.google.com/spreadsheets/d/1DccNxjBgurEr0ABkI_"&amp;"rBagJT5phB5HaHG5N_mTm_BiA/edit?gid=1382299152#gid=1382299152"", ""Form responses 1!$Z:$Z"") = 3
    ),
    1
  ),
  ""Not Found""
)
"),"https://drive.google.com/file/d/1ri0O2OMVQbUz965sm2mrk0cNNNAoEMFF/view?usp=drive_link")</f>
        <v>https://drive.google.com/file/d/1ri0O2OMVQbUz965sm2mrk0cNNNAoEMFF/view?usp=drive_link</v>
      </c>
      <c r="L1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1!$E:$E"")=$D185) *
        (IMPORTRANGE(""https://docs.google.com/spreadsheets/d/161aHT6vVT3SLneTKD19N5qVWtnj_jIT8CSsOmUVKmaA"&amp;"/edit?gid=1761053510"",
          ""Haris_Form responses 1!$AQ:$AQ"")=3)
      ),
      1
    ),
    ""0""
  ),
  ""Form not found""
)
"),"3")</f>
        <v>3</v>
      </c>
      <c r="M185" s="245" t="str">
        <f>IFERROR(__xludf.DUMMYFUNCTION("IFERROR(
  INDEX(
    FILTER(
      Transcription!$AJ:$AJ,
      TRIM(CLEAN(TEXT(Transcription!$F:$F, ""@""))) = TRIM(CLEAN(TEXT($D185, ""@""))),
      Transcription!$AO:$AO = 3
    ),
    1
  ),
  ""Not Found""
)
"),"https://drive.google.com/open?id=1K4kxV7Tskuc1l6Rpxqr-GBRWS8hwHgU7D8Ho2PLAHMc")</f>
        <v>https://drive.google.com/open?id=1K4kxV7Tskuc1l6Rpxqr-GBRWS8hwHgU7D8Ho2PLAHMc</v>
      </c>
      <c r="N1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TRIM(CLEAN(TEXT($D185, ""@""))),
      IMPORTRANGE(""https://docs.google.com/spreadsheets/d/1DccNxjBgurEr0ABkI_"&amp;"rBagJT5phB5HaHG5N_mTm_BiA/edit?gid=1382299152#gid=1382299152"", ""Form responses 1!$Z:$Z"") = 4
    ),
    1
  ),
  ""Not Found""
)
"),"https://drive.google.com/file/d/1jTPOACXlXuK4zAiM05k3hggjt9vpSaWV/view?usp=drive_link")</f>
        <v>https://drive.google.com/file/d/1jTPOACXlXuK4zAiM05k3hggjt9vpSaWV/view?usp=drive_link</v>
      </c>
      <c r="O1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1!$E:$E"")=$D185) *
        (IMPORTRANGE(""https://docs.google.com/spreadsheets/d/161aHT6vVT3SLneTKD19N5qVWtnj_jIT8CSsOmUVKmaA"&amp;"/edit?gid=1761053510"",
          ""Haris_Form responses 1!$AQ:$AQ"")=4)
      ),
      1
    ),
    ""0""
  ),
  ""Form not found""
)
"),"4")</f>
        <v>4</v>
      </c>
      <c r="P185" s="245" t="str">
        <f>IFERROR(__xludf.DUMMYFUNCTION("IFERROR(
  INDEX(
    FILTER(
      Transcription!$AJ:$AJ,
      TRIM(CLEAN(TEXT(Transcription!$F:$F, ""@""))) = TRIM(CLEAN(TEXT($D185, ""@""))),
      Transcription!$AO:$AO = 4
    ),
    1
  ),
  ""Not Found""
)
"),"https://drive.google.com/open?id=1jM68hyFMin6p1s-9qv8MbVngs0JBvpVFRHTusyGLw-A")</f>
        <v>https://drive.google.com/open?id=1jM68hyFMin6p1s-9qv8MbVngs0JBvpVFRHTusyGLw-A</v>
      </c>
      <c r="Q1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TRIM(CLEAN(TEXT($D185, ""@""))),
      IMPORTRANGE(""https://docs.google.com/spreadsheets/d/1DccNxjBgurEr0ABkI_"&amp;"rBagJT5phB5HaHG5N_mTm_BiA/edit?gid=1382299152#gid=1382299152"", ""Form responses 1!$Z:$Z"") = 5
    ),
    1
  ),
  ""Not Found""
)
"),"https://drive.google.com/file/d/1AhreUI34Gi6VNEnBBrkSiqY6Cj9lL67I/view?usp=drive_link")</f>
        <v>https://drive.google.com/file/d/1AhreUI34Gi6VNEnBBrkSiqY6Cj9lL67I/view?usp=drive_link</v>
      </c>
      <c r="R1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1!$E:$E"")=$D185) *
        (IMPORTRANGE(""https://docs.google.com/spreadsheets/d/161aHT6vVT3SLneTKD19N5qVWtnj_jIT8CSsOmUVKmaA"&amp;"/edit?gid=1761053510"",
          ""Haris_Form responses 1!$AQ:$AQ"")=5)
      ),
      1
    ),
    ""0""
  ),
  ""Form not found""
)
"),"5")</f>
        <v>5</v>
      </c>
      <c r="S185" s="245" t="str">
        <f>IFERROR(__xludf.DUMMYFUNCTION("IFERROR(
  INDEX(
    FILTER(
      Transcription!$AJ:$AJ,
      TRIM(CLEAN(TEXT(Transcription!$F:$F, ""@""))) = TRIM(CLEAN(TEXT($D185, ""@""))),
      Transcription!$AO:$AO = 5
    ),
    1
  ),
  ""Not Found""
)
"),"https://drive.google.com/open?id=1GSFtGyMcHaSohkQI7cKZyoH7tViSkIdcM8UylAtEZrQ")</f>
        <v>https://drive.google.com/open?id=1GSFtGyMcHaSohkQI7cKZyoH7tViSkIdcM8UylAtEZrQ</v>
      </c>
      <c r="T18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TRIM(CLEAN(TEXT($D185, ""@""))),
      IMPORTRANGE(""https://docs.google.com/spreadsheets/d/1DccNxjBgurEr0ABkI_"&amp;"rBagJT5phB5HaHG5N_mTm_BiA/edit?gid=1382299152#gid=1382299152"", ""Form responses 1!$Z:$Z"") = 6
    ),
    1
  ),
  ""Not Found""
)
"),"Not Found")</f>
        <v>Not Found</v>
      </c>
      <c r="U1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1!$E:$E"")=$D185) *
        (IMPORTRANGE(""https://docs.google.com/spreadsheets/d/161aHT6vVT3SLneTKD19N5qVWtnj_jIT8CSsOmUVKmaA"&amp;"/edit?gid=1761053510"",
          ""Haris_Form responses 1!$AQ:$AQ"")=6)
      ),
      1
    ),
    ""0""
  ),
  ""Form not found""
)
"),"Form not found")</f>
        <v>Form not found</v>
      </c>
      <c r="V185" s="247" t="str">
        <f>IFERROR(__xludf.DUMMYFUNCTION("IFERROR(
  INDEX(
    FILTER(
      Transcription!$AJ:$AJ,
      TRIM(CLEAN(TEXT(Transcription!$F:$F, ""@""))) = TRIM(CLEAN(TEXT($D185, ""@""))),
      Transcription!$AO:$AO = 6
    ),
    1
  ),
  ""Not Found""
)
"),"Not Found")</f>
        <v>Not Found</v>
      </c>
      <c r="Z185" s="10">
        <f t="shared" si="1"/>
        <v>4</v>
      </c>
      <c r="AA185" s="10">
        <f t="shared" si="2"/>
        <v>0</v>
      </c>
    </row>
    <row r="186">
      <c r="A186" s="8" t="str">
        <f>VLOOKUP($D186,Sheet6!$B:$G,5,FALSE)</f>
        <v>Khanewal</v>
      </c>
      <c r="B186" s="232" t="str">
        <f>VLOOKUP($D186,Sheet6!$B:$G,4,FALSE)</f>
        <v>Community Religious No Info Share</v>
      </c>
      <c r="C186" s="8">
        <v>3.0</v>
      </c>
      <c r="D186" s="8" t="s">
        <v>4626</v>
      </c>
      <c r="E18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TRIM(CLEAN(TEXT($D186, ""@""))),
      IMPORTRANGE(""https://docs.google.com/spreadsheets/d/1DccNxjBgurEr0ABkI_"&amp;"rBagJT5phB5HaHG5N_mTm_BiA/edit?gid=1382299152#gid=1382299152"", ""Form responses 1!$Z:$Z"") = 1
    ),
    1
  ),
  ""Not Found""
)
"),"https://drive.google.com/open?id=1Px9Ds5j67XITAeLzkzMEONOLWVpDOAat")</f>
        <v>https://drive.google.com/open?id=1Px9Ds5j67XITAeLzkzMEONOLWVpDOAat</v>
      </c>
      <c r="F1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1!$E:$E"")=$D186) *
        (IMPORTRANGE(""https://docs.google.com/spreadsheets/d/161aHT6vVT3SLneTKD19N5qVWtnj_jIT8CSsOmUVKmaA"&amp;"/edit?gid=1761053510"",
          ""Haris_Form responses 1!$AQ:$AQ"")=1)
      ),
      1
    ),
    ""0""
  ),
  ""Form not found""
)
"),"1")</f>
        <v>1</v>
      </c>
      <c r="G186" s="245" t="str">
        <f>IFERROR(__xludf.DUMMYFUNCTION("IFERROR(
  INDEX(
    FILTER(
      Transcription!$AJ:$AJ,
      TRIM(CLEAN(TEXT(Transcription!$F:$F, ""@""))) = TRIM(CLEAN(TEXT($D186, ""@""))),
      Transcription!$AO:$AO = 1
    ),
    1
  ),
  ""Not Found""
)
"),"https://drive.google.com/open?id=1rYBmh47YWY6Sq_gk06RBlNVvhbJGmwD4")</f>
        <v>https://drive.google.com/open?id=1rYBmh47YWY6Sq_gk06RBlNVvhbJGmwD4</v>
      </c>
      <c r="H18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TRIM(CLEAN(TEXT($D186, ""@""))),
      IMPORTRANGE(""https://docs.google.com/spreadsheets/d/1DccNxjBgurEr0ABkI_"&amp;"rBagJT5phB5HaHG5N_mTm_BiA/edit?gid=1382299152#gid=1382299152"", ""Form responses 1!$Z:$Z"") = 2
    ),
    1
  ),
  ""Not Found""
)
"),"https://drive.google.com/open?id=1VYZI9PJVaAfY8bj_Q0vyBhZFSEOFrxpc")</f>
        <v>https://drive.google.com/open?id=1VYZI9PJVaAfY8bj_Q0vyBhZFSEOFrxpc</v>
      </c>
      <c r="I1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1!$E:$E"")=$D186) *
        (IMPORTRANGE(""https://docs.google.com/spreadsheets/d/161aHT6vVT3SLneTKD19N5qVWtnj_jIT8CSsOmUVKmaA"&amp;"/edit?gid=1761053510"",
          ""Haris_Form responses 1!$AQ:$AQ"")=2)
      ),
      1
    ),
    ""0""
  ),
  ""Form not found""
)
"),"2")</f>
        <v>2</v>
      </c>
      <c r="J186" s="245" t="str">
        <f>IFERROR(__xludf.DUMMYFUNCTION("IFERROR(
  INDEX(
    FILTER(
      Transcription!$AJ:$AJ,
      TRIM(CLEAN(TEXT(Transcription!$F:$F, ""@""))) = TRIM(CLEAN(TEXT($D186, ""@""))),
      Transcription!$AO:$AO = 2
    ),
    1
  ),
  ""Not Found""
)
"),"https://drive.google.com/open?id=1g3Loq9PDzKoLNDt9yqn1j6iiXGW7I-o9")</f>
        <v>https://drive.google.com/open?id=1g3Loq9PDzKoLNDt9yqn1j6iiXGW7I-o9</v>
      </c>
      <c r="K18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TRIM(CLEAN(TEXT($D186, ""@""))),
      IMPORTRANGE(""https://docs.google.com/spreadsheets/d/1DccNxjBgurEr0ABkI_"&amp;"rBagJT5phB5HaHG5N_mTm_BiA/edit?gid=1382299152#gid=1382299152"", ""Form responses 1!$Z:$Z"") = 3
    ),
    1
  ),
  ""Not Found""
)
"),"https://drive.google.com/open?id=1xX5McZbzV6RVaYoULfaXW_k1AW_eB-6q")</f>
        <v>https://drive.google.com/open?id=1xX5McZbzV6RVaYoULfaXW_k1AW_eB-6q</v>
      </c>
      <c r="L1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1!$E:$E"")=$D186) *
        (IMPORTRANGE(""https://docs.google.com/spreadsheets/d/161aHT6vVT3SLneTKD19N5qVWtnj_jIT8CSsOmUVKmaA"&amp;"/edit?gid=1761053510"",
          ""Haris_Form responses 1!$AQ:$AQ"")=3)
      ),
      1
    ),
    ""0""
  ),
  ""Form not found""
)
"),"3")</f>
        <v>3</v>
      </c>
      <c r="M186" s="245" t="str">
        <f>IFERROR(__xludf.DUMMYFUNCTION("IFERROR(
  INDEX(
    FILTER(
      Transcription!$AJ:$AJ,
      TRIM(CLEAN(TEXT(Transcription!$F:$F, ""@""))) = TRIM(CLEAN(TEXT($D186, ""@""))),
      Transcription!$AO:$AO = 3
    ),
    1
  ),
  ""Not Found""
)
"),"https://drive.google.com/open?id=17dNMFQJrtihAaudERcZIEsI_jZe1IUrg")</f>
        <v>https://drive.google.com/open?id=17dNMFQJrtihAaudERcZIEsI_jZe1IUrg</v>
      </c>
      <c r="N18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TRIM(CLEAN(TEXT($D186, ""@""))),
      IMPORTRANGE(""https://docs.google.com/spreadsheets/d/1DccNxjBgurEr0ABkI_"&amp;"rBagJT5phB5HaHG5N_mTm_BiA/edit?gid=1382299152#gid=1382299152"", ""Form responses 1!$Z:$Z"") = 4
    ),
    1
  ),
  ""Not Found""
)
"),"Not Found")</f>
        <v>Not Found</v>
      </c>
      <c r="O1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1!$E:$E"")=$D186) *
        (IMPORTRANGE(""https://docs.google.com/spreadsheets/d/161aHT6vVT3SLneTKD19N5qVWtnj_jIT8CSsOmUVKmaA"&amp;"/edit?gid=1761053510"",
          ""Haris_Form responses 1!$AQ:$AQ"")=4)
      ),
      1
    ),
    ""0""
  ),
  ""Form not found""
)
"),"Form not found")</f>
        <v>Form not found</v>
      </c>
      <c r="P186" s="247" t="str">
        <f>IFERROR(__xludf.DUMMYFUNCTION("IFERROR(
  INDEX(
    FILTER(
      Transcription!$AJ:$AJ,
      TRIM(CLEAN(TEXT(Transcription!$F:$F, ""@""))) = TRIM(CLEAN(TEXT($D186, ""@""))),
      Transcription!$AO:$AO = 4
    ),
    1
  ),
  ""Not Found""
)
"),"Not Found")</f>
        <v>Not Found</v>
      </c>
      <c r="Q18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TRIM(CLEAN(TEXT($D186, ""@""))),
      IMPORTRANGE(""https://docs.google.com/spreadsheets/d/1DccNxjBgurEr0ABkI_"&amp;"rBagJT5phB5HaHG5N_mTm_BiA/edit?gid=1382299152#gid=1382299152"", ""Form responses 1!$Z:$Z"") = 5
    ),
    1
  ),
  ""Not Found""
)
"),"Not Found")</f>
        <v>Not Found</v>
      </c>
      <c r="R1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1!$E:$E"")=$D186) *
        (IMPORTRANGE(""https://docs.google.com/spreadsheets/d/161aHT6vVT3SLneTKD19N5qVWtnj_jIT8CSsOmUVKmaA"&amp;"/edit?gid=1761053510"",
          ""Haris_Form responses 1!$AQ:$AQ"")=5)
      ),
      1
    ),
    ""0""
  ),
  ""Form not found""
)
"),"Form not found")</f>
        <v>Form not found</v>
      </c>
      <c r="S186" s="247" t="str">
        <f>IFERROR(__xludf.DUMMYFUNCTION("IFERROR(
  INDEX(
    FILTER(
      Transcription!$AJ:$AJ,
      TRIM(CLEAN(TEXT(Transcription!$F:$F, ""@""))) = TRIM(CLEAN(TEXT($D186, ""@""))),
      Transcription!$AO:$AO = 5
    ),
    1
  ),
  ""Not Found""
)
"),"Not Found")</f>
        <v>Not Found</v>
      </c>
      <c r="T18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TRIM(CLEAN(TEXT($D186, ""@""))),
      IMPORTRANGE(""https://docs.google.com/spreadsheets/d/1DccNxjBgurEr0ABkI_"&amp;"rBagJT5phB5HaHG5N_mTm_BiA/edit?gid=1382299152#gid=1382299152"", ""Form responses 1!$Z:$Z"") = 6
    ),
    1
  ),
  ""Not Found""
)
"),"Not Found")</f>
        <v>Not Found</v>
      </c>
      <c r="U1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1!$E:$E"")=$D186) *
        (IMPORTRANGE(""https://docs.google.com/spreadsheets/d/161aHT6vVT3SLneTKD19N5qVWtnj_jIT8CSsOmUVKmaA"&amp;"/edit?gid=1761053510"",
          ""Haris_Form responses 1!$AQ:$AQ"")=6)
      ),
      1
    ),
    ""0""
  ),
  ""Form not found""
)
"),"Form not found")</f>
        <v>Form not found</v>
      </c>
      <c r="V186" s="247" t="str">
        <f>IFERROR(__xludf.DUMMYFUNCTION("IFERROR(
  INDEX(
    FILTER(
      Transcription!$AJ:$AJ,
      TRIM(CLEAN(TEXT(Transcription!$F:$F, ""@""))) = TRIM(CLEAN(TEXT($D186, ""@""))),
      Transcription!$AO:$AO = 6
    ),
    1
  ),
  ""Not Found""
)
"),"Not Found")</f>
        <v>Not Found</v>
      </c>
      <c r="Z186" s="10">
        <f t="shared" si="1"/>
        <v>3</v>
      </c>
      <c r="AA186" s="10">
        <f t="shared" si="2"/>
        <v>0</v>
      </c>
    </row>
    <row r="187">
      <c r="A187" s="8" t="str">
        <f>VLOOKUP($D187,Sheet6!$B:$G,5,FALSE)</f>
        <v>Khanewal</v>
      </c>
      <c r="B187" s="232" t="str">
        <f>VLOOKUP($D187,Sheet6!$B:$G,4,FALSE)</f>
        <v>Control</v>
      </c>
      <c r="C187" s="8">
        <v>2.0</v>
      </c>
      <c r="D187" s="8" t="s">
        <v>4627</v>
      </c>
      <c r="E18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TRIM(CLEAN(TEXT($D187, ""@""))),
      IMPORTRANGE(""https://docs.google.com/spreadsheets/d/1DccNxjBgurEr0ABkI_"&amp;"rBagJT5phB5HaHG5N_mTm_BiA/edit?gid=1382299152#gid=1382299152"", ""Form responses 1!$Z:$Z"") = 1
    ),
    1
  ),
  ""Not Found""
)
"),"https://drive.google.com/file/d/13qbPD7kcrcaHVyG6dnNz0uVMCAWKeaKs/view?usp=drive_link")</f>
        <v>https://drive.google.com/file/d/13qbPD7kcrcaHVyG6dnNz0uVMCAWKeaKs/view?usp=drive_link</v>
      </c>
      <c r="F1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1!$E:$E"")=$D187) *
        (IMPORTRANGE(""https://docs.google.com/spreadsheets/d/161aHT6vVT3SLneTKD19N5qVWtnj_jIT8CSsOmUVKmaA"&amp;"/edit?gid=1761053510"",
          ""Haris_Form responses 1!$AQ:$AQ"")=1)
      ),
      1
    ),
    ""0""
  ),
  ""Form not found""
)
"),"1")</f>
        <v>1</v>
      </c>
      <c r="G187" s="245" t="str">
        <f>IFERROR(__xludf.DUMMYFUNCTION("IFERROR(
  INDEX(
    FILTER(
      Transcription!$AJ:$AJ,
      TRIM(CLEAN(TEXT(Transcription!$F:$F, ""@""))) = TRIM(CLEAN(TEXT($D187, ""@""))),
      Transcription!$AO:$AO = 1
    ),
    1
  ),
  ""Not Found""
)
"),"https://drive.google.com/open?id=1Hlw3pWLoZGAv9LmnjrzPNumWSv2xGWuf0aNZKe0dRjg")</f>
        <v>https://drive.google.com/open?id=1Hlw3pWLoZGAv9LmnjrzPNumWSv2xGWuf0aNZKe0dRjg</v>
      </c>
      <c r="H1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TRIM(CLEAN(TEXT($D187, ""@""))),
      IMPORTRANGE(""https://docs.google.com/spreadsheets/d/1DccNxjBgurEr0ABkI_"&amp;"rBagJT5phB5HaHG5N_mTm_BiA/edit?gid=1382299152#gid=1382299152"", ""Form responses 1!$Z:$Z"") = 2
    ),
    1
  ),
  ""Not Found""
)
"),"Not Found")</f>
        <v>Not Found</v>
      </c>
      <c r="I1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1!$E:$E"")=$D187) *
        (IMPORTRANGE(""https://docs.google.com/spreadsheets/d/161aHT6vVT3SLneTKD19N5qVWtnj_jIT8CSsOmUVKmaA"&amp;"/edit?gid=1761053510"",
          ""Haris_Form responses 1!$AQ:$AQ"")=2)
      ),
      1
    ),
    ""0""
  ),
  ""Form not found""
)
"),"Form not found")</f>
        <v>Form not found</v>
      </c>
      <c r="J187" s="247" t="str">
        <f>IFERROR(__xludf.DUMMYFUNCTION("IFERROR(
  INDEX(
    FILTER(
      Transcription!$AJ:$AJ,
      TRIM(CLEAN(TEXT(Transcription!$F:$F, ""@""))) = TRIM(CLEAN(TEXT($D187, ""@""))),
      Transcription!$AO:$AO = 2
    ),
    1
  ),
  ""Not Found""
)
"),"Not Found")</f>
        <v>Not Found</v>
      </c>
      <c r="K18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TRIM(CLEAN(TEXT($D187, ""@""))),
      IMPORTRANGE(""https://docs.google.com/spreadsheets/d/1DccNxjBgurEr0ABkI_"&amp;"rBagJT5phB5HaHG5N_mTm_BiA/edit?gid=1382299152#gid=1382299152"", ""Form responses 1!$Z:$Z"") = 3
    ),
    1
  ),
  ""Not Found""
)
"),"https://drive.google.com/open?id=1OS8ePGbsO0RRp43Dlk_Pvvnh2YpAgitT")</f>
        <v>https://drive.google.com/open?id=1OS8ePGbsO0RRp43Dlk_Pvvnh2YpAgitT</v>
      </c>
      <c r="L1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1!$E:$E"")=$D187) *
        (IMPORTRANGE(""https://docs.google.com/spreadsheets/d/161aHT6vVT3SLneTKD19N5qVWtnj_jIT8CSsOmUVKmaA"&amp;"/edit?gid=1761053510"",
          ""Haris_Form responses 1!$AQ:$AQ"")=3)
      ),
      1
    ),
    ""0""
  ),
  ""Form not found""
)
"),"3")</f>
        <v>3</v>
      </c>
      <c r="M187" s="245" t="str">
        <f>IFERROR(__xludf.DUMMYFUNCTION("IFERROR(
  INDEX(
    FILTER(
      Transcription!$AJ:$AJ,
      TRIM(CLEAN(TEXT(Transcription!$F:$F, ""@""))) = TRIM(CLEAN(TEXT($D187, ""@""))),
      Transcription!$AO:$AO = 3
    ),
    1
  ),
  ""Not Found""
)
"),"https://drive.google.com/open?id=1fq-ngRPNvfZUKHRNaSr7BGtEw41dcQ4Q")</f>
        <v>https://drive.google.com/open?id=1fq-ngRPNvfZUKHRNaSr7BGtEw41dcQ4Q</v>
      </c>
      <c r="N1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TRIM(CLEAN(TEXT($D187, ""@""))),
      IMPORTRANGE(""https://docs.google.com/spreadsheets/d/1DccNxjBgurEr0ABkI_"&amp;"rBagJT5phB5HaHG5N_mTm_BiA/edit?gid=1382299152#gid=1382299152"", ""Form responses 1!$Z:$Z"") = 4
    ),
    1
  ),
  ""Not Found""
)
"),"Not Found")</f>
        <v>Not Found</v>
      </c>
      <c r="O1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1!$E:$E"")=$D187) *
        (IMPORTRANGE(""https://docs.google.com/spreadsheets/d/161aHT6vVT3SLneTKD19N5qVWtnj_jIT8CSsOmUVKmaA"&amp;"/edit?gid=1761053510"",
          ""Haris_Form responses 1!$AQ:$AQ"")=4)
      ),
      1
    ),
    ""0""
  ),
  ""Form not found""
)
"),"Form not found")</f>
        <v>Form not found</v>
      </c>
      <c r="P187" s="247" t="str">
        <f>IFERROR(__xludf.DUMMYFUNCTION("IFERROR(
  INDEX(
    FILTER(
      Transcription!$AJ:$AJ,
      TRIM(CLEAN(TEXT(Transcription!$F:$F, ""@""))) = TRIM(CLEAN(TEXT($D187, ""@""))),
      Transcription!$AO:$AO = 4
    ),
    1
  ),
  ""Not Found""
)
"),"Not Found")</f>
        <v>Not Found</v>
      </c>
      <c r="Q1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TRIM(CLEAN(TEXT($D187, ""@""))),
      IMPORTRANGE(""https://docs.google.com/spreadsheets/d/1DccNxjBgurEr0ABkI_"&amp;"rBagJT5phB5HaHG5N_mTm_BiA/edit?gid=1382299152#gid=1382299152"", ""Form responses 1!$Z:$Z"") = 5
    ),
    1
  ),
  ""Not Found""
)
"),"Not Found")</f>
        <v>Not Found</v>
      </c>
      <c r="R1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1!$E:$E"")=$D187) *
        (IMPORTRANGE(""https://docs.google.com/spreadsheets/d/161aHT6vVT3SLneTKD19N5qVWtnj_jIT8CSsOmUVKmaA"&amp;"/edit?gid=1761053510"",
          ""Haris_Form responses 1!$AQ:$AQ"")=5)
      ),
      1
    ),
    ""0""
  ),
  ""Form not found""
)
"),"Form not found")</f>
        <v>Form not found</v>
      </c>
      <c r="S187" s="247" t="str">
        <f>IFERROR(__xludf.DUMMYFUNCTION("IFERROR(
  INDEX(
    FILTER(
      Transcription!$AJ:$AJ,
      TRIM(CLEAN(TEXT(Transcription!$F:$F, ""@""))) = TRIM(CLEAN(TEXT($D187, ""@""))),
      Transcription!$AO:$AO = 5
    ),
    1
  ),
  ""Not Found""
)
"),"Not Found")</f>
        <v>Not Found</v>
      </c>
      <c r="T1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TRIM(CLEAN(TEXT($D187, ""@""))),
      IMPORTRANGE(""https://docs.google.com/spreadsheets/d/1DccNxjBgurEr0ABkI_"&amp;"rBagJT5phB5HaHG5N_mTm_BiA/edit?gid=1382299152#gid=1382299152"", ""Form responses 1!$Z:$Z"") = 6
    ),
    1
  ),
  ""Not Found""
)
"),"Not Found")</f>
        <v>Not Found</v>
      </c>
      <c r="U1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1!$E:$E"")=$D187) *
        (IMPORTRANGE(""https://docs.google.com/spreadsheets/d/161aHT6vVT3SLneTKD19N5qVWtnj_jIT8CSsOmUVKmaA"&amp;"/edit?gid=1761053510"",
          ""Haris_Form responses 1!$AQ:$AQ"")=6)
      ),
      1
    ),
    ""0""
  ),
  ""Form not found""
)
"),"Form not found")</f>
        <v>Form not found</v>
      </c>
      <c r="V187" s="247" t="str">
        <f>IFERROR(__xludf.DUMMYFUNCTION("IFERROR(
  INDEX(
    FILTER(
      Transcription!$AJ:$AJ,
      TRIM(CLEAN(TEXT(Transcription!$F:$F, ""@""))) = TRIM(CLEAN(TEXT($D187, ""@""))),
      Transcription!$AO:$AO = 6
    ),
    1
  ),
  ""Not Found""
)
"),"Not Found")</f>
        <v>Not Found</v>
      </c>
      <c r="Z187" s="10">
        <f t="shared" si="1"/>
        <v>2</v>
      </c>
      <c r="AA187" s="10">
        <f t="shared" si="2"/>
        <v>0</v>
      </c>
    </row>
    <row r="188">
      <c r="A188" s="8" t="str">
        <f>VLOOKUP($D188,Sheet6!$B:$G,5,FALSE)</f>
        <v>Khanewal</v>
      </c>
      <c r="B188" s="232" t="str">
        <f>VLOOKUP($D188,Sheet6!$B:$G,4,FALSE)</f>
        <v>Women Religious Info Share</v>
      </c>
      <c r="C188" s="8">
        <v>4.0</v>
      </c>
      <c r="D188" s="8" t="s">
        <v>3712</v>
      </c>
      <c r="E18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TRIM(CLEAN(TEXT($D188, ""@""))),
      IMPORTRANGE(""https://docs.google.com/spreadsheets/d/1DccNxjBgurEr0ABkI_"&amp;"rBagJT5phB5HaHG5N_mTm_BiA/edit?gid=1382299152#gid=1382299152"", ""Form responses 1!$Z:$Z"") = 1
    ),
    1
  ),
  ""Not Found""
)
"),"https://drive.google.com/open?id=11cyBapgzYrTTeCiwPdIZZJKzh89cD-oV")</f>
        <v>https://drive.google.com/open?id=11cyBapgzYrTTeCiwPdIZZJKzh89cD-oV</v>
      </c>
      <c r="F1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1!$E:$E"")=$D188) *
        (IMPORTRANGE(""https://docs.google.com/spreadsheets/d/161aHT6vVT3SLneTKD19N5qVWtnj_jIT8CSsOmUVKmaA"&amp;"/edit?gid=1761053510"",
          ""Haris_Form responses 1!$AQ:$AQ"")=1)
      ),
      1
    ),
    ""0""
  ),
  ""Form not found""
)
"),"1")</f>
        <v>1</v>
      </c>
      <c r="G188" s="245" t="str">
        <f>IFERROR(__xludf.DUMMYFUNCTION("IFERROR(
  INDEX(
    FILTER(
      Transcription!$AJ:$AJ,
      TRIM(CLEAN(TEXT(Transcription!$F:$F, ""@""))) = TRIM(CLEAN(TEXT($D188, ""@""))),
      Transcription!$AO:$AO = 1
    ),
    1
  ),
  ""Not Found""
)
"),"https://drive.google.com/open?id=1KZ282OQ3ZJVm_9eVSAFLg-hveU7LTV0Crq_jMi0QwGw")</f>
        <v>https://drive.google.com/open?id=1KZ282OQ3ZJVm_9eVSAFLg-hveU7LTV0Crq_jMi0QwGw</v>
      </c>
      <c r="H18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TRIM(CLEAN(TEXT($D188, ""@""))),
      IMPORTRANGE(""https://docs.google.com/spreadsheets/d/1DccNxjBgurEr0ABkI_"&amp;"rBagJT5phB5HaHG5N_mTm_BiA/edit?gid=1382299152#gid=1382299152"", ""Form responses 1!$Z:$Z"") = 2
    ),
    1
  ),
  ""Not Found""
)
"),"https://drive.google.com/file/d/1qz4KYU-5zhQWWnRjXDZLHOw33w4Ff3EY/view?usp=drive_link")</f>
        <v>https://drive.google.com/file/d/1qz4KYU-5zhQWWnRjXDZLHOw33w4Ff3EY/view?usp=drive_link</v>
      </c>
      <c r="I1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1!$E:$E"")=$D188) *
        (IMPORTRANGE(""https://docs.google.com/spreadsheets/d/161aHT6vVT3SLneTKD19N5qVWtnj_jIT8CSsOmUVKmaA"&amp;"/edit?gid=1761053510"",
          ""Haris_Form responses 1!$AQ:$AQ"")=2)
      ),
      1
    ),
    ""0""
  ),
  ""Form not found""
)
"),"2")</f>
        <v>2</v>
      </c>
      <c r="J188" s="245" t="str">
        <f>IFERROR(__xludf.DUMMYFUNCTION("IFERROR(
  INDEX(
    FILTER(
      Transcription!$AJ:$AJ,
      TRIM(CLEAN(TEXT(Transcription!$F:$F, ""@""))) = TRIM(CLEAN(TEXT($D188, ""@""))),
      Transcription!$AO:$AO = 2
    ),
    1
  ),
  ""Not Found""
)
"),"https://drive.google.com/open?id=1n5f8yH6n_oUkSzUAyqokHwZz93aQkltYj3Q46ZWsgvI")</f>
        <v>https://drive.google.com/open?id=1n5f8yH6n_oUkSzUAyqokHwZz93aQkltYj3Q46ZWsgvI</v>
      </c>
      <c r="K18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TRIM(CLEAN(TEXT($D188, ""@""))),
      IMPORTRANGE(""https://docs.google.com/spreadsheets/d/1DccNxjBgurEr0ABkI_"&amp;"rBagJT5phB5HaHG5N_mTm_BiA/edit?gid=1382299152#gid=1382299152"", ""Form responses 1!$Z:$Z"") = 3
    ),
    1
  ),
  ""Not Found""
)
"),"https://drive.google.com/file/d/18s2h4NgOiFnFuYjwz5LGaBI9ffe5vSfb/view?usp=drive_link")</f>
        <v>https://drive.google.com/file/d/18s2h4NgOiFnFuYjwz5LGaBI9ffe5vSfb/view?usp=drive_link</v>
      </c>
      <c r="L1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1!$E:$E"")=$D188) *
        (IMPORTRANGE(""https://docs.google.com/spreadsheets/d/161aHT6vVT3SLneTKD19N5qVWtnj_jIT8CSsOmUVKmaA"&amp;"/edit?gid=1761053510"",
          ""Haris_Form responses 1!$AQ:$AQ"")=3)
      ),
      1
    ),
    ""0""
  ),
  ""Form not found""
)
"),"3")</f>
        <v>3</v>
      </c>
      <c r="M188" s="245" t="str">
        <f>IFERROR(__xludf.DUMMYFUNCTION("IFERROR(
  INDEX(
    FILTER(
      Transcription!$AJ:$AJ,
      TRIM(CLEAN(TEXT(Transcription!$F:$F, ""@""))) = TRIM(CLEAN(TEXT($D188, ""@""))),
      Transcription!$AO:$AO = 3
    ),
    1
  ),
  ""Not Found""
)
"),"https://drive.google.com/open?id=106Sj3efLoaSlCp4XmhAFW8faviIzuTlH6Gtc-Pbe7Wc")</f>
        <v>https://drive.google.com/open?id=106Sj3efLoaSlCp4XmhAFW8faviIzuTlH6Gtc-Pbe7Wc</v>
      </c>
      <c r="N18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TRIM(CLEAN(TEXT($D188, ""@""))),
      IMPORTRANGE(""https://docs.google.com/spreadsheets/d/1DccNxjBgurEr0ABkI_"&amp;"rBagJT5phB5HaHG5N_mTm_BiA/edit?gid=1382299152#gid=1382299152"", ""Form responses 1!$Z:$Z"") = 4
    ),
    1
  ),
  ""Not Found""
)
"),"https://drive.google.com/open?id=1yMOM5bIcCrrO04Mm7-3foEIvooYfHgLf")</f>
        <v>https://drive.google.com/open?id=1yMOM5bIcCrrO04Mm7-3foEIvooYfHgLf</v>
      </c>
      <c r="O1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1!$E:$E"")=$D188) *
        (IMPORTRANGE(""https://docs.google.com/spreadsheets/d/161aHT6vVT3SLneTKD19N5qVWtnj_jIT8CSsOmUVKmaA"&amp;"/edit?gid=1761053510"",
          ""Haris_Form responses 1!$AQ:$AQ"")=4)
      ),
      1
    ),
    ""0""
  ),
  ""Form not found""
)
"),"4")</f>
        <v>4</v>
      </c>
      <c r="P188" s="245" t="str">
        <f>IFERROR(__xludf.DUMMYFUNCTION("IFERROR(
  INDEX(
    FILTER(
      Transcription!$AJ:$AJ,
      TRIM(CLEAN(TEXT(Transcription!$F:$F, ""@""))) = TRIM(CLEAN(TEXT($D188, ""@""))),
      Transcription!$AO:$AO = 4
    ),
    1
  ),
  ""Not Found""
)
"),"https://drive.google.com/open?id=16PKko4UVV2BdS_iB8DyJ8CsnQUxyqhhVhLXq7Iz_QKE")</f>
        <v>https://drive.google.com/open?id=16PKko4UVV2BdS_iB8DyJ8CsnQUxyqhhVhLXq7Iz_QKE</v>
      </c>
      <c r="Q18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TRIM(CLEAN(TEXT($D188, ""@""))),
      IMPORTRANGE(""https://docs.google.com/spreadsheets/d/1DccNxjBgurEr0ABkI_"&amp;"rBagJT5phB5HaHG5N_mTm_BiA/edit?gid=1382299152#gid=1382299152"", ""Form responses 1!$Z:$Z"") = 5
    ),
    1
  ),
  ""Not Found""
)
"),"Not Found")</f>
        <v>Not Found</v>
      </c>
      <c r="R1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1!$E:$E"")=$D188) *
        (IMPORTRANGE(""https://docs.google.com/spreadsheets/d/161aHT6vVT3SLneTKD19N5qVWtnj_jIT8CSsOmUVKmaA"&amp;"/edit?gid=1761053510"",
          ""Haris_Form responses 1!$AQ:$AQ"")=5)
      ),
      1
    ),
    ""0""
  ),
  ""Form not found""
)
"),"Form not found")</f>
        <v>Form not found</v>
      </c>
      <c r="S188" s="247" t="str">
        <f>IFERROR(__xludf.DUMMYFUNCTION("IFERROR(
  INDEX(
    FILTER(
      Transcription!$AJ:$AJ,
      TRIM(CLEAN(TEXT(Transcription!$F:$F, ""@""))) = TRIM(CLEAN(TEXT($D188, ""@""))),
      Transcription!$AO:$AO = 5
    ),
    1
  ),
  ""Not Found""
)
"),"Not Found")</f>
        <v>Not Found</v>
      </c>
      <c r="T18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TRIM(CLEAN(TEXT($D188, ""@""))),
      IMPORTRANGE(""https://docs.google.com/spreadsheets/d/1DccNxjBgurEr0ABkI_"&amp;"rBagJT5phB5HaHG5N_mTm_BiA/edit?gid=1382299152#gid=1382299152"", ""Form responses 1!$Z:$Z"") = 6
    ),
    1
  ),
  ""Not Found""
)
"),"Not Found")</f>
        <v>Not Found</v>
      </c>
      <c r="U1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1!$E:$E"")=$D188) *
        (IMPORTRANGE(""https://docs.google.com/spreadsheets/d/161aHT6vVT3SLneTKD19N5qVWtnj_jIT8CSsOmUVKmaA"&amp;"/edit?gid=1761053510"",
          ""Haris_Form responses 1!$AQ:$AQ"")=6)
      ),
      1
    ),
    ""0""
  ),
  ""Form not found""
)
"),"Form not found")</f>
        <v>Form not found</v>
      </c>
      <c r="V188" s="247" t="str">
        <f>IFERROR(__xludf.DUMMYFUNCTION("IFERROR(
  INDEX(
    FILTER(
      Transcription!$AJ:$AJ,
      TRIM(CLEAN(TEXT(Transcription!$F:$F, ""@""))) = TRIM(CLEAN(TEXT($D188, ""@""))),
      Transcription!$AO:$AO = 6
    ),
    1
  ),
  ""Not Found""
)
"),"Not Found")</f>
        <v>Not Found</v>
      </c>
      <c r="Z188" s="10">
        <f t="shared" si="1"/>
        <v>4</v>
      </c>
      <c r="AA188" s="10">
        <f t="shared" si="2"/>
        <v>0</v>
      </c>
    </row>
    <row r="189">
      <c r="A189" s="8" t="str">
        <f>VLOOKUP($D189,Sheet6!$B:$G,5,FALSE)</f>
        <v>Khanewal</v>
      </c>
      <c r="B189" s="232" t="str">
        <f>VLOOKUP($D189,Sheet6!$B:$G,4,FALSE)</f>
        <v>Community Secular Info Share</v>
      </c>
      <c r="C189" s="8">
        <v>3.0</v>
      </c>
      <c r="D189" s="8" t="s">
        <v>4628</v>
      </c>
      <c r="E1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TRIM(CLEAN(TEXT($D189, ""@""))),
      IMPORTRANGE(""https://docs.google.com/spreadsheets/d/1DccNxjBgurEr0ABkI_"&amp;"rBagJT5phB5HaHG5N_mTm_BiA/edit?gid=1382299152#gid=1382299152"", ""Form responses 1!$Z:$Z"") = 1
    ),
    1
  ),
  ""Not Found""
)
"),"https://drive.google.com/open?id=1szNGinY27z8ZASP6JwhZtlE6ytpJii2_")</f>
        <v>https://drive.google.com/open?id=1szNGinY27z8ZASP6JwhZtlE6ytpJii2_</v>
      </c>
      <c r="F1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1!$E:$E"")=$D189) *
        (IMPORTRANGE(""https://docs.google.com/spreadsheets/d/161aHT6vVT3SLneTKD19N5qVWtnj_jIT8CSsOmUVKmaA"&amp;"/edit?gid=1761053510"",
          ""Haris_Form responses 1!$AQ:$AQ"")=1)
      ),
      1
    ),
    ""0""
  ),
  ""Form not found""
)
"),"1")</f>
        <v>1</v>
      </c>
      <c r="G189" s="245" t="str">
        <f>IFERROR(__xludf.DUMMYFUNCTION("IFERROR(
  INDEX(
    FILTER(
      Transcription!$AJ:$AJ,
      TRIM(CLEAN(TEXT(Transcription!$F:$F, ""@""))) = TRIM(CLEAN(TEXT($D189, ""@""))),
      Transcription!$AO:$AO = 1
    ),
    1
  ),
  ""Not Found""
)
"),"https://drive.google.com/open?id=1D5TfIjQXF0K7imUdzf0YIqvth-5mABs0sWBuQGk9zXk")</f>
        <v>https://drive.google.com/open?id=1D5TfIjQXF0K7imUdzf0YIqvth-5mABs0sWBuQGk9zXk</v>
      </c>
      <c r="H1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TRIM(CLEAN(TEXT($D189, ""@""))),
      IMPORTRANGE(""https://docs.google.com/spreadsheets/d/1DccNxjBgurEr0ABkI_"&amp;"rBagJT5phB5HaHG5N_mTm_BiA/edit?gid=1382299152#gid=1382299152"", ""Form responses 1!$Z:$Z"") = 2
    ),
    1
  ),
  ""Not Found""
)
"),"https://drive.google.com/open?id=1knmWj3_vqpqEYE4LGLdpMJ_KvfQkbGJ-")</f>
        <v>https://drive.google.com/open?id=1knmWj3_vqpqEYE4LGLdpMJ_KvfQkbGJ-</v>
      </c>
      <c r="I1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1!$E:$E"")=$D189) *
        (IMPORTRANGE(""https://docs.google.com/spreadsheets/d/161aHT6vVT3SLneTKD19N5qVWtnj_jIT8CSsOmUVKmaA"&amp;"/edit?gid=1761053510"",
          ""Haris_Form responses 1!$AQ:$AQ"")=2)
      ),
      1
    ),
    ""0""
  ),
  ""Form not found""
)
"),"2")</f>
        <v>2</v>
      </c>
      <c r="J189" s="245" t="str">
        <f>IFERROR(__xludf.DUMMYFUNCTION("IFERROR(
  INDEX(
    FILTER(
      Transcription!$AJ:$AJ,
      TRIM(CLEAN(TEXT(Transcription!$F:$F, ""@""))) = TRIM(CLEAN(TEXT($D189, ""@""))),
      Transcription!$AO:$AO = 2
    ),
    1
  ),
  ""Not Found""
)
"),"https://drive.google.com/open?id=1lPh0fJ8EaXloKgG1YO1CLm_lOxwhwxBQ")</f>
        <v>https://drive.google.com/open?id=1lPh0fJ8EaXloKgG1YO1CLm_lOxwhwxBQ</v>
      </c>
      <c r="K1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TRIM(CLEAN(TEXT($D189, ""@""))),
      IMPORTRANGE(""https://docs.google.com/spreadsheets/d/1DccNxjBgurEr0ABkI_"&amp;"rBagJT5phB5HaHG5N_mTm_BiA/edit?gid=1382299152#gid=1382299152"", ""Form responses 1!$Z:$Z"") = 3
    ),
    1
  ),
  ""Not Found""
)
"),"https://drive.google.com/open?id=1zZRK7j9e6_9PVHCHG0uE0i33kpO2_GBD")</f>
        <v>https://drive.google.com/open?id=1zZRK7j9e6_9PVHCHG0uE0i33kpO2_GBD</v>
      </c>
      <c r="L1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1!$E:$E"")=$D189) *
        (IMPORTRANGE(""https://docs.google.com/spreadsheets/d/161aHT6vVT3SLneTKD19N5qVWtnj_jIT8CSsOmUVKmaA"&amp;"/edit?gid=1761053510"",
          ""Haris_Form responses 1!$AQ:$AQ"")=3)
      ),
      1
    ),
    ""0""
  ),
  ""Form not found""
)
"),"3")</f>
        <v>3</v>
      </c>
      <c r="M189" s="245" t="str">
        <f>IFERROR(__xludf.DUMMYFUNCTION("IFERROR(
  INDEX(
    FILTER(
      Transcription!$AJ:$AJ,
      TRIM(CLEAN(TEXT(Transcription!$F:$F, ""@""))) = TRIM(CLEAN(TEXT($D189, ""@""))),
      Transcription!$AO:$AO = 3
    ),
    1
  ),
  ""Not Found""
)
"),"https://drive.google.com/open?id=1UzzXh9-Pd6cHoxtvArDnBXITL4iO20S2qC8Y5ObFsiU")</f>
        <v>https://drive.google.com/open?id=1UzzXh9-Pd6cHoxtvArDnBXITL4iO20S2qC8Y5ObFsiU</v>
      </c>
      <c r="N18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TRIM(CLEAN(TEXT($D189, ""@""))),
      IMPORTRANGE(""https://docs.google.com/spreadsheets/d/1DccNxjBgurEr0ABkI_"&amp;"rBagJT5phB5HaHG5N_mTm_BiA/edit?gid=1382299152#gid=1382299152"", ""Form responses 1!$Z:$Z"") = 4
    ),
    1
  ),
  ""Not Found""
)
"),"Not Found")</f>
        <v>Not Found</v>
      </c>
      <c r="O1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1!$E:$E"")=$D189) *
        (IMPORTRANGE(""https://docs.google.com/spreadsheets/d/161aHT6vVT3SLneTKD19N5qVWtnj_jIT8CSsOmUVKmaA"&amp;"/edit?gid=1761053510"",
          ""Haris_Form responses 1!$AQ:$AQ"")=4)
      ),
      1
    ),
    ""0""
  ),
  ""Form not found""
)
"),"Form not found")</f>
        <v>Form not found</v>
      </c>
      <c r="P189" s="247" t="str">
        <f>IFERROR(__xludf.DUMMYFUNCTION("IFERROR(
  INDEX(
    FILTER(
      Transcription!$AJ:$AJ,
      TRIM(CLEAN(TEXT(Transcription!$F:$F, ""@""))) = TRIM(CLEAN(TEXT($D189, ""@""))),
      Transcription!$AO:$AO = 4
    ),
    1
  ),
  ""Not Found""
)
"),"Not Found")</f>
        <v>Not Found</v>
      </c>
      <c r="Q18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TRIM(CLEAN(TEXT($D189, ""@""))),
      IMPORTRANGE(""https://docs.google.com/spreadsheets/d/1DccNxjBgurEr0ABkI_"&amp;"rBagJT5phB5HaHG5N_mTm_BiA/edit?gid=1382299152#gid=1382299152"", ""Form responses 1!$Z:$Z"") = 5
    ),
    1
  ),
  ""Not Found""
)
"),"Not Found")</f>
        <v>Not Found</v>
      </c>
      <c r="R1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1!$E:$E"")=$D189) *
        (IMPORTRANGE(""https://docs.google.com/spreadsheets/d/161aHT6vVT3SLneTKD19N5qVWtnj_jIT8CSsOmUVKmaA"&amp;"/edit?gid=1761053510"",
          ""Haris_Form responses 1!$AQ:$AQ"")=5)
      ),
      1
    ),
    ""0""
  ),
  ""Form not found""
)
"),"Form not found")</f>
        <v>Form not found</v>
      </c>
      <c r="S189" s="247" t="str">
        <f>IFERROR(__xludf.DUMMYFUNCTION("IFERROR(
  INDEX(
    FILTER(
      Transcription!$AJ:$AJ,
      TRIM(CLEAN(TEXT(Transcription!$F:$F, ""@""))) = TRIM(CLEAN(TEXT($D189, ""@""))),
      Transcription!$AO:$AO = 5
    ),
    1
  ),
  ""Not Found""
)
"),"Not Found")</f>
        <v>Not Found</v>
      </c>
      <c r="T18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TRIM(CLEAN(TEXT($D189, ""@""))),
      IMPORTRANGE(""https://docs.google.com/spreadsheets/d/1DccNxjBgurEr0ABkI_"&amp;"rBagJT5phB5HaHG5N_mTm_BiA/edit?gid=1382299152#gid=1382299152"", ""Form responses 1!$Z:$Z"") = 6
    ),
    1
  ),
  ""Not Found""
)
"),"Not Found")</f>
        <v>Not Found</v>
      </c>
      <c r="U1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1!$E:$E"")=$D189) *
        (IMPORTRANGE(""https://docs.google.com/spreadsheets/d/161aHT6vVT3SLneTKD19N5qVWtnj_jIT8CSsOmUVKmaA"&amp;"/edit?gid=1761053510"",
          ""Haris_Form responses 1!$AQ:$AQ"")=6)
      ),
      1
    ),
    ""0""
  ),
  ""Form not found""
)
"),"Form not found")</f>
        <v>Form not found</v>
      </c>
      <c r="V189" s="247" t="str">
        <f>IFERROR(__xludf.DUMMYFUNCTION("IFERROR(
  INDEX(
    FILTER(
      Transcription!$AJ:$AJ,
      TRIM(CLEAN(TEXT(Transcription!$F:$F, ""@""))) = TRIM(CLEAN(TEXT($D189, ""@""))),
      Transcription!$AO:$AO = 6
    ),
    1
  ),
  ""Not Found""
)
"),"Not Found")</f>
        <v>Not Found</v>
      </c>
      <c r="Z189" s="10">
        <f t="shared" si="1"/>
        <v>3</v>
      </c>
      <c r="AA189" s="10">
        <f t="shared" si="2"/>
        <v>0</v>
      </c>
    </row>
    <row r="190">
      <c r="A190" s="8" t="str">
        <f>VLOOKUP($D190,Sheet6!$B:$G,5,FALSE)</f>
        <v>Khanewal</v>
      </c>
      <c r="B190" s="232" t="str">
        <f>VLOOKUP($D190,Sheet6!$B:$G,4,FALSE)</f>
        <v>Community Religious Info Share</v>
      </c>
      <c r="C190" s="8">
        <v>3.0</v>
      </c>
      <c r="D190" s="8" t="s">
        <v>4629</v>
      </c>
      <c r="E19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TRIM(CLEAN(TEXT($D190, ""@""))),
      IMPORTRANGE(""https://docs.google.com/spreadsheets/d/1DccNxjBgurEr0ABkI_"&amp;"rBagJT5phB5HaHG5N_mTm_BiA/edit?gid=1382299152#gid=1382299152"", ""Form responses 1!$Z:$Z"") = 1
    ),
    1
  ),
  ""Not Found""
)
"),"Not Found")</f>
        <v>Not Found</v>
      </c>
      <c r="F1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1!$E:$E"")=$D190) *
        (IMPORTRANGE(""https://docs.google.com/spreadsheets/d/161aHT6vVT3SLneTKD19N5qVWtnj_jIT8CSsOmUVKmaA"&amp;"/edit?gid=1761053510"",
          ""Haris_Form responses 1!$AQ:$AQ"")=1)
      ),
      1
    ),
    ""0""
  ),
  ""Form not found""
)
"),"Form not found")</f>
        <v>Form not found</v>
      </c>
      <c r="G190" s="247" t="str">
        <f>IFERROR(__xludf.DUMMYFUNCTION("IFERROR(
  INDEX(
    FILTER(
      Transcription!$AJ:$AJ,
      TRIM(CLEAN(TEXT(Transcription!$F:$F, ""@""))) = TRIM(CLEAN(TEXT($D190, ""@""))),
      Transcription!$AO:$AO = 1
    ),
    1
  ),
  ""Not Found""
)
"),"Not Found")</f>
        <v>Not Found</v>
      </c>
      <c r="H19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TRIM(CLEAN(TEXT($D190, ""@""))),
      IMPORTRANGE(""https://docs.google.com/spreadsheets/d/1DccNxjBgurEr0ABkI_"&amp;"rBagJT5phB5HaHG5N_mTm_BiA/edit?gid=1382299152#gid=1382299152"", ""Form responses 1!$Z:$Z"") = 2
    ),
    1
  ),
  ""Not Found""
)
"),"https://drive.google.com/open?id=1Rt6hFElO5YcW-py3UzW1s5nd-1VeoWrF")</f>
        <v>https://drive.google.com/open?id=1Rt6hFElO5YcW-py3UzW1s5nd-1VeoWrF</v>
      </c>
      <c r="I1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1!$E:$E"")=$D190) *
        (IMPORTRANGE(""https://docs.google.com/spreadsheets/d/161aHT6vVT3SLneTKD19N5qVWtnj_jIT8CSsOmUVKmaA"&amp;"/edit?gid=1761053510"",
          ""Haris_Form responses 1!$AQ:$AQ"")=2)
      ),
      1
    ),
    ""0""
  ),
  ""Form not found""
)
"),"2")</f>
        <v>2</v>
      </c>
      <c r="J190" s="245" t="str">
        <f>IFERROR(__xludf.DUMMYFUNCTION("IFERROR(
  INDEX(
    FILTER(
      Transcription!$AJ:$AJ,
      TRIM(CLEAN(TEXT(Transcription!$F:$F, ""@""))) = TRIM(CLEAN(TEXT($D190, ""@""))),
      Transcription!$AO:$AO = 2
    ),
    1
  ),
  ""Not Found""
)
"),"https://drive.google.com/open?id=1jqY9xXgI9XzPZRVYlxuL2ssiuCf_hhnp")</f>
        <v>https://drive.google.com/open?id=1jqY9xXgI9XzPZRVYlxuL2ssiuCf_hhnp</v>
      </c>
      <c r="K19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TRIM(CLEAN(TEXT($D190, ""@""))),
      IMPORTRANGE(""https://docs.google.com/spreadsheets/d/1DccNxjBgurEr0ABkI_"&amp;"rBagJT5phB5HaHG5N_mTm_BiA/edit?gid=1382299152#gid=1382299152"", ""Form responses 1!$Z:$Z"") = 3
    ),
    1
  ),
  ""Not Found""
)
"),"https://drive.google.com/open?id=1FvJwOfP77rH1PgSrdNxKrHnUrfaQvhNa")</f>
        <v>https://drive.google.com/open?id=1FvJwOfP77rH1PgSrdNxKrHnUrfaQvhNa</v>
      </c>
      <c r="L1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1!$E:$E"")=$D190) *
        (IMPORTRANGE(""https://docs.google.com/spreadsheets/d/161aHT6vVT3SLneTKD19N5qVWtnj_jIT8CSsOmUVKmaA"&amp;"/edit?gid=1761053510"",
          ""Haris_Form responses 1!$AQ:$AQ"")=3)
      ),
      1
    ),
    ""0""
  ),
  ""Form not found""
)
"),"3")</f>
        <v>3</v>
      </c>
      <c r="M190" s="245" t="str">
        <f>IFERROR(__xludf.DUMMYFUNCTION("IFERROR(
  INDEX(
    FILTER(
      Transcription!$AJ:$AJ,
      TRIM(CLEAN(TEXT(Transcription!$F:$F, ""@""))) = TRIM(CLEAN(TEXT($D190, ""@""))),
      Transcription!$AO:$AO = 3
    ),
    1
  ),
  ""Not Found""
)
"),"https://drive.google.com/open?id=1Bfm2yOS9zeuJT9pbaI9tDf_4zYX1WW2W")</f>
        <v>https://drive.google.com/open?id=1Bfm2yOS9zeuJT9pbaI9tDf_4zYX1WW2W</v>
      </c>
      <c r="N19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TRIM(CLEAN(TEXT($D190, ""@""))),
      IMPORTRANGE(""https://docs.google.com/spreadsheets/d/1DccNxjBgurEr0ABkI_"&amp;"rBagJT5phB5HaHG5N_mTm_BiA/edit?gid=1382299152#gid=1382299152"", ""Form responses 1!$Z:$Z"") = 4
    ),
    1
  ),
  ""Not Found""
)
"),"https://drive.google.com/open?id=1YV3Pvh-fevYnc-s34iVnZ3OmmwkO7_H2")</f>
        <v>https://drive.google.com/open?id=1YV3Pvh-fevYnc-s34iVnZ3OmmwkO7_H2</v>
      </c>
      <c r="O1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1!$E:$E"")=$D190) *
        (IMPORTRANGE(""https://docs.google.com/spreadsheets/d/161aHT6vVT3SLneTKD19N5qVWtnj_jIT8CSsOmUVKmaA"&amp;"/edit?gid=1761053510"",
          ""Haris_Form responses 1!$AQ:$AQ"")=4)
      ),
      1
    ),
    ""0""
  ),
  ""Form not found""
)
"),"4")</f>
        <v>4</v>
      </c>
      <c r="P190" s="245" t="str">
        <f>IFERROR(__xludf.DUMMYFUNCTION("IFERROR(
  INDEX(
    FILTER(
      Transcription!$AJ:$AJ,
      TRIM(CLEAN(TEXT(Transcription!$F:$F, ""@""))) = TRIM(CLEAN(TEXT($D190, ""@""))),
      Transcription!$AO:$AO = 4
    ),
    1
  ),
  ""Not Found""
)
"),"https://drive.google.com/open?id=16WA65amX8J5j_GU3HOsqpb6PHueznf20")</f>
        <v>https://drive.google.com/open?id=16WA65amX8J5j_GU3HOsqpb6PHueznf20</v>
      </c>
      <c r="Q19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TRIM(CLEAN(TEXT($D190, ""@""))),
      IMPORTRANGE(""https://docs.google.com/spreadsheets/d/1DccNxjBgurEr0ABkI_"&amp;"rBagJT5phB5HaHG5N_mTm_BiA/edit?gid=1382299152#gid=1382299152"", ""Form responses 1!$Z:$Z"") = 5
    ),
    1
  ),
  ""Not Found""
)
"),"Not Found")</f>
        <v>Not Found</v>
      </c>
      <c r="R1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1!$E:$E"")=$D190) *
        (IMPORTRANGE(""https://docs.google.com/spreadsheets/d/161aHT6vVT3SLneTKD19N5qVWtnj_jIT8CSsOmUVKmaA"&amp;"/edit?gid=1761053510"",
          ""Haris_Form responses 1!$AQ:$AQ"")=5)
      ),
      1
    ),
    ""0""
  ),
  ""Form not found""
)
"),"Form not found")</f>
        <v>Form not found</v>
      </c>
      <c r="S190" s="247" t="str">
        <f>IFERROR(__xludf.DUMMYFUNCTION("IFERROR(
  INDEX(
    FILTER(
      Transcription!$AJ:$AJ,
      TRIM(CLEAN(TEXT(Transcription!$F:$F, ""@""))) = TRIM(CLEAN(TEXT($D190, ""@""))),
      Transcription!$AO:$AO = 5
    ),
    1
  ),
  ""Not Found""
)
"),"Not Found")</f>
        <v>Not Found</v>
      </c>
      <c r="T19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TRIM(CLEAN(TEXT($D190, ""@""))),
      IMPORTRANGE(""https://docs.google.com/spreadsheets/d/1DccNxjBgurEr0ABkI_"&amp;"rBagJT5phB5HaHG5N_mTm_BiA/edit?gid=1382299152#gid=1382299152"", ""Form responses 1!$Z:$Z"") = 6
    ),
    1
  ),
  ""Not Found""
)
"),"Not Found")</f>
        <v>Not Found</v>
      </c>
      <c r="U1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1!$E:$E"")=$D190) *
        (IMPORTRANGE(""https://docs.google.com/spreadsheets/d/161aHT6vVT3SLneTKD19N5qVWtnj_jIT8CSsOmUVKmaA"&amp;"/edit?gid=1761053510"",
          ""Haris_Form responses 1!$AQ:$AQ"")=6)
      ),
      1
    ),
    ""0""
  ),
  ""Form not found""
)
"),"Form not found")</f>
        <v>Form not found</v>
      </c>
      <c r="V190" s="247" t="str">
        <f>IFERROR(__xludf.DUMMYFUNCTION("IFERROR(
  INDEX(
    FILTER(
      Transcription!$AJ:$AJ,
      TRIM(CLEAN(TEXT(Transcription!$F:$F, ""@""))) = TRIM(CLEAN(TEXT($D190, ""@""))),
      Transcription!$AO:$AO = 6
    ),
    1
  ),
  ""Not Found""
)
"),"Not Found")</f>
        <v>Not Found</v>
      </c>
      <c r="Z190" s="10">
        <f t="shared" si="1"/>
        <v>3</v>
      </c>
      <c r="AA190" s="10">
        <f t="shared" si="2"/>
        <v>0</v>
      </c>
    </row>
    <row r="191">
      <c r="A191" s="8" t="str">
        <f>VLOOKUP($D191,Sheet6!$B:$G,5,FALSE)</f>
        <v>DG Khan</v>
      </c>
      <c r="B191" s="232" t="str">
        <f>VLOOKUP($D191,Sheet6!$B:$G,4,FALSE)</f>
        <v>Control</v>
      </c>
      <c r="C191" s="8">
        <v>2.0</v>
      </c>
      <c r="D191" s="8" t="s">
        <v>4630</v>
      </c>
      <c r="E19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TRIM(CLEAN(TEXT($D191, ""@""))),
      IMPORTRANGE(""https://docs.google.com/spreadsheets/d/1DccNxjBgurEr0ABkI_"&amp;"rBagJT5phB5HaHG5N_mTm_BiA/edit?gid=1382299152#gid=1382299152"", ""Form responses 1!$Z:$Z"") = 1
    ),
    1
  ),
  ""Not Found""
)
"),"https://drive.google.com/open?id=1HwL2OmZWCguGaKbq72IfEpnUO2_TqVre")</f>
        <v>https://drive.google.com/open?id=1HwL2OmZWCguGaKbq72IfEpnUO2_TqVre</v>
      </c>
      <c r="F1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1!$E:$E"")=$D191) *
        (IMPORTRANGE(""https://docs.google.com/spreadsheets/d/161aHT6vVT3SLneTKD19N5qVWtnj_jIT8CSsOmUVKmaA"&amp;"/edit?gid=1761053510"",
          ""Haris_Form responses 1!$AQ:$AQ"")=1)
      ),
      1
    ),
    ""0""
  ),
  ""Form not found""
)
"),"1")</f>
        <v>1</v>
      </c>
      <c r="G191" s="245" t="str">
        <f>IFERROR(__xludf.DUMMYFUNCTION("IFERROR(
  INDEX(
    FILTER(
      Transcription!$AJ:$AJ,
      TRIM(CLEAN(TEXT(Transcription!$F:$F, ""@""))) = TRIM(CLEAN(TEXT($D191, ""@""))),
      Transcription!$AO:$AO = 1
    ),
    1
  ),
  ""Not Found""
)
"),"https://drive.google.com/open?id=1QWFMTRLhS4v-hn_CDpMnRZNQbajV3BI7ccsNvzZ8C4c")</f>
        <v>https://drive.google.com/open?id=1QWFMTRLhS4v-hn_CDpMnRZNQbajV3BI7ccsNvzZ8C4c</v>
      </c>
      <c r="H1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TRIM(CLEAN(TEXT($D191, ""@""))),
      IMPORTRANGE(""https://docs.google.com/spreadsheets/d/1DccNxjBgurEr0ABkI_"&amp;"rBagJT5phB5HaHG5N_mTm_BiA/edit?gid=1382299152#gid=1382299152"", ""Form responses 1!$Z:$Z"") = 2
    ),
    1
  ),
  ""Not Found""
)
"),"Not Found")</f>
        <v>Not Found</v>
      </c>
      <c r="I1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1!$E:$E"")=$D191) *
        (IMPORTRANGE(""https://docs.google.com/spreadsheets/d/161aHT6vVT3SLneTKD19N5qVWtnj_jIT8CSsOmUVKmaA"&amp;"/edit?gid=1761053510"",
          ""Haris_Form responses 1!$AQ:$AQ"")=2)
      ),
      1
    ),
    ""0""
  ),
  ""Form not found""
)
"),"Form not found")</f>
        <v>Form not found</v>
      </c>
      <c r="J191" s="247" t="str">
        <f>IFERROR(__xludf.DUMMYFUNCTION("IFERROR(
  INDEX(
    FILTER(
      Transcription!$AJ:$AJ,
      TRIM(CLEAN(TEXT(Transcription!$F:$F, ""@""))) = TRIM(CLEAN(TEXT($D191, ""@""))),
      Transcription!$AO:$AO = 2
    ),
    1
  ),
  ""Not Found""
)
"),"Not Found")</f>
        <v>Not Found</v>
      </c>
      <c r="K19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TRIM(CLEAN(TEXT($D191, ""@""))),
      IMPORTRANGE(""https://docs.google.com/spreadsheets/d/1DccNxjBgurEr0ABkI_"&amp;"rBagJT5phB5HaHG5N_mTm_BiA/edit?gid=1382299152#gid=1382299152"", ""Form responses 1!$Z:$Z"") = 3
    ),
    1
  ),
  ""Not Found""
)
"),"https://drive.google.com/file/d/1yXbJAKKhAQGPp3Ouwb_22z-2gufLiNcj/view?usp=drive_link")</f>
        <v>https://drive.google.com/file/d/1yXbJAKKhAQGPp3Ouwb_22z-2gufLiNcj/view?usp=drive_link</v>
      </c>
      <c r="L1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1!$E:$E"")=$D191) *
        (IMPORTRANGE(""https://docs.google.com/spreadsheets/d/161aHT6vVT3SLneTKD19N5qVWtnj_jIT8CSsOmUVKmaA"&amp;"/edit?gid=1761053510"",
          ""Haris_Form responses 1!$AQ:$AQ"")=3)
      ),
      1
    ),
    ""0""
  ),
  ""Form not found""
)
"),"3")</f>
        <v>3</v>
      </c>
      <c r="M191" s="245" t="str">
        <f>IFERROR(__xludf.DUMMYFUNCTION("IFERROR(
  INDEX(
    FILTER(
      Transcription!$AJ:$AJ,
      TRIM(CLEAN(TEXT(Transcription!$F:$F, ""@""))) = TRIM(CLEAN(TEXT($D191, ""@""))),
      Transcription!$AO:$AO = 3
    ),
    1
  ),
  ""Not Found""
)
"),"https://drive.google.com/open?id=1RAdGsGbk5qgk6h5wfDs_cyzfPPeMmE90")</f>
        <v>https://drive.google.com/open?id=1RAdGsGbk5qgk6h5wfDs_cyzfPPeMmE90</v>
      </c>
      <c r="N1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TRIM(CLEAN(TEXT($D191, ""@""))),
      IMPORTRANGE(""https://docs.google.com/spreadsheets/d/1DccNxjBgurEr0ABkI_"&amp;"rBagJT5phB5HaHG5N_mTm_BiA/edit?gid=1382299152#gid=1382299152"", ""Form responses 1!$Z:$Z"") = 4
    ),
    1
  ),
  ""Not Found""
)
"),"Not Found")</f>
        <v>Not Found</v>
      </c>
      <c r="O1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1!$E:$E"")=$D191) *
        (IMPORTRANGE(""https://docs.google.com/spreadsheets/d/161aHT6vVT3SLneTKD19N5qVWtnj_jIT8CSsOmUVKmaA"&amp;"/edit?gid=1761053510"",
          ""Haris_Form responses 1!$AQ:$AQ"")=4)
      ),
      1
    ),
    ""0""
  ),
  ""Form not found""
)
"),"Form not found")</f>
        <v>Form not found</v>
      </c>
      <c r="P191" s="247" t="str">
        <f>IFERROR(__xludf.DUMMYFUNCTION("IFERROR(
  INDEX(
    FILTER(
      Transcription!$AJ:$AJ,
      TRIM(CLEAN(TEXT(Transcription!$F:$F, ""@""))) = TRIM(CLEAN(TEXT($D191, ""@""))),
      Transcription!$AO:$AO = 4
    ),
    1
  ),
  ""Not Found""
)
"),"Not Found")</f>
        <v>Not Found</v>
      </c>
      <c r="Q1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TRIM(CLEAN(TEXT($D191, ""@""))),
      IMPORTRANGE(""https://docs.google.com/spreadsheets/d/1DccNxjBgurEr0ABkI_"&amp;"rBagJT5phB5HaHG5N_mTm_BiA/edit?gid=1382299152#gid=1382299152"", ""Form responses 1!$Z:$Z"") = 5
    ),
    1
  ),
  ""Not Found""
)
"),"Not Found")</f>
        <v>Not Found</v>
      </c>
      <c r="R1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1!$E:$E"")=$D191) *
        (IMPORTRANGE(""https://docs.google.com/spreadsheets/d/161aHT6vVT3SLneTKD19N5qVWtnj_jIT8CSsOmUVKmaA"&amp;"/edit?gid=1761053510"",
          ""Haris_Form responses 1!$AQ:$AQ"")=5)
      ),
      1
    ),
    ""0""
  ),
  ""Form not found""
)
"),"Form not found")</f>
        <v>Form not found</v>
      </c>
      <c r="S191" s="247" t="str">
        <f>IFERROR(__xludf.DUMMYFUNCTION("IFERROR(
  INDEX(
    FILTER(
      Transcription!$AJ:$AJ,
      TRIM(CLEAN(TEXT(Transcription!$F:$F, ""@""))) = TRIM(CLEAN(TEXT($D191, ""@""))),
      Transcription!$AO:$AO = 5
    ),
    1
  ),
  ""Not Found""
)
"),"Not Found")</f>
        <v>Not Found</v>
      </c>
      <c r="T1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TRIM(CLEAN(TEXT($D191, ""@""))),
      IMPORTRANGE(""https://docs.google.com/spreadsheets/d/1DccNxjBgurEr0ABkI_"&amp;"rBagJT5phB5HaHG5N_mTm_BiA/edit?gid=1382299152#gid=1382299152"", ""Form responses 1!$Z:$Z"") = 6
    ),
    1
  ),
  ""Not Found""
)
"),"Not Found")</f>
        <v>Not Found</v>
      </c>
      <c r="U1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1!$E:$E"")=$D191) *
        (IMPORTRANGE(""https://docs.google.com/spreadsheets/d/161aHT6vVT3SLneTKD19N5qVWtnj_jIT8CSsOmUVKmaA"&amp;"/edit?gid=1761053510"",
          ""Haris_Form responses 1!$AQ:$AQ"")=6)
      ),
      1
    ),
    ""0""
  ),
  ""Form not found""
)
"),"Form not found")</f>
        <v>Form not found</v>
      </c>
      <c r="V191" s="247" t="str">
        <f>IFERROR(__xludf.DUMMYFUNCTION("IFERROR(
  INDEX(
    FILTER(
      Transcription!$AJ:$AJ,
      TRIM(CLEAN(TEXT(Transcription!$F:$F, ""@""))) = TRIM(CLEAN(TEXT($D191, ""@""))),
      Transcription!$AO:$AO = 6
    ),
    1
  ),
  ""Not Found""
)
"),"Not Found")</f>
        <v>Not Found</v>
      </c>
      <c r="Z191" s="10">
        <f t="shared" si="1"/>
        <v>2</v>
      </c>
      <c r="AA191" s="10">
        <f t="shared" si="2"/>
        <v>0</v>
      </c>
    </row>
    <row r="192">
      <c r="A192" s="8" t="str">
        <f>VLOOKUP($D192,Sheet6!$B:$G,5,FALSE)</f>
        <v>DG Khan</v>
      </c>
      <c r="B192" s="232" t="str">
        <f>VLOOKUP($D192,Sheet6!$B:$G,4,FALSE)</f>
        <v>Control</v>
      </c>
      <c r="C192" s="8">
        <v>2.0</v>
      </c>
      <c r="D192" s="8" t="s">
        <v>4631</v>
      </c>
      <c r="E19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TRIM(CLEAN(TEXT($D192, ""@""))),
      IMPORTRANGE(""https://docs.google.com/spreadsheets/d/1DccNxjBgurEr0ABkI_"&amp;"rBagJT5phB5HaHG5N_mTm_BiA/edit?gid=1382299152#gid=1382299152"", ""Form responses 1!$Z:$Z"") = 1
    ),
    1
  ),
  ""Not Found""
)
"),"https://drive.google.com/file/d/1UckujZRj_ijxnFtAIPm1Wu1-Z3hd7QkL/view?usp=drive_link")</f>
        <v>https://drive.google.com/file/d/1UckujZRj_ijxnFtAIPm1Wu1-Z3hd7QkL/view?usp=drive_link</v>
      </c>
      <c r="F1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1!$E:$E"")=$D192) *
        (IMPORTRANGE(""https://docs.google.com/spreadsheets/d/161aHT6vVT3SLneTKD19N5qVWtnj_jIT8CSsOmUVKmaA"&amp;"/edit?gid=1761053510"",
          ""Haris_Form responses 1!$AQ:$AQ"")=1)
      ),
      1
    ),
    ""0""
  ),
  ""Form not found""
)
"),"1")</f>
        <v>1</v>
      </c>
      <c r="G192" s="245" t="str">
        <f>IFERROR(__xludf.DUMMYFUNCTION("IFERROR(
  INDEX(
    FILTER(
      Transcription!$AJ:$AJ,
      TRIM(CLEAN(TEXT(Transcription!$F:$F, ""@""))) = TRIM(CLEAN(TEXT($D192, ""@""))),
      Transcription!$AO:$AO = 1
    ),
    1
  ),
  ""Not Found""
)
"),"https://drive.google.com/open?id=10zxLNyYeES2cRZYhjF7JSOBbO5GjTJWZZuGf_Wxa0CE")</f>
        <v>https://drive.google.com/open?id=10zxLNyYeES2cRZYhjF7JSOBbO5GjTJWZZuGf_Wxa0CE</v>
      </c>
      <c r="H1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TRIM(CLEAN(TEXT($D192, ""@""))),
      IMPORTRANGE(""https://docs.google.com/spreadsheets/d/1DccNxjBgurEr0ABkI_"&amp;"rBagJT5phB5HaHG5N_mTm_BiA/edit?gid=1382299152#gid=1382299152"", ""Form responses 1!$Z:$Z"") = 2
    ),
    1
  ),
  ""Not Found""
)
"),"Not Found")</f>
        <v>Not Found</v>
      </c>
      <c r="I1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1!$E:$E"")=$D192) *
        (IMPORTRANGE(""https://docs.google.com/spreadsheets/d/161aHT6vVT3SLneTKD19N5qVWtnj_jIT8CSsOmUVKmaA"&amp;"/edit?gid=1761053510"",
          ""Haris_Form responses 1!$AQ:$AQ"")=2)
      ),
      1
    ),
    ""0""
  ),
  ""Form not found""
)
"),"Form not found")</f>
        <v>Form not found</v>
      </c>
      <c r="J192" s="247" t="str">
        <f>IFERROR(__xludf.DUMMYFUNCTION("IFERROR(
  INDEX(
    FILTER(
      Transcription!$AJ:$AJ,
      TRIM(CLEAN(TEXT(Transcription!$F:$F, ""@""))) = TRIM(CLEAN(TEXT($D192, ""@""))),
      Transcription!$AO:$AO = 2
    ),
    1
  ),
  ""Not Found""
)
"),"Not Found")</f>
        <v>Not Found</v>
      </c>
      <c r="K19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TRIM(CLEAN(TEXT($D192, ""@""))),
      IMPORTRANGE(""https://docs.google.com/spreadsheets/d/1DccNxjBgurEr0ABkI_"&amp;"rBagJT5phB5HaHG5N_mTm_BiA/edit?gid=1382299152#gid=1382299152"", ""Form responses 1!$Z:$Z"") = 3
    ),
    1
  ),
  ""Not Found""
)
"),"https://drive.google.com/file/d/1EIMNx7wSIQN2DXBB46g59TN2msyrm9O9/view?usp=drive_link")</f>
        <v>https://drive.google.com/file/d/1EIMNx7wSIQN2DXBB46g59TN2msyrm9O9/view?usp=drive_link</v>
      </c>
      <c r="L1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1!$E:$E"")=$D192) *
        (IMPORTRANGE(""https://docs.google.com/spreadsheets/d/161aHT6vVT3SLneTKD19N5qVWtnj_jIT8CSsOmUVKmaA"&amp;"/edit?gid=1761053510"",
          ""Haris_Form responses 1!$AQ:$AQ"")=3)
      ),
      1
    ),
    ""0""
  ),
  ""Form not found""
)
"),"3")</f>
        <v>3</v>
      </c>
      <c r="M192" s="245" t="str">
        <f>IFERROR(__xludf.DUMMYFUNCTION("IFERROR(
  INDEX(
    FILTER(
      Transcription!$AJ:$AJ,
      TRIM(CLEAN(TEXT(Transcription!$F:$F, ""@""))) = TRIM(CLEAN(TEXT($D192, ""@""))),
      Transcription!$AO:$AO = 3
    ),
    1
  ),
  ""Not Found""
)
"),"https://drive.google.com/open?id=1VO2d6f1hTWR0fxtiHzDymXdiNwDDPbke")</f>
        <v>https://drive.google.com/open?id=1VO2d6f1hTWR0fxtiHzDymXdiNwDDPbke</v>
      </c>
      <c r="N1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TRIM(CLEAN(TEXT($D192, ""@""))),
      IMPORTRANGE(""https://docs.google.com/spreadsheets/d/1DccNxjBgurEr0ABkI_"&amp;"rBagJT5phB5HaHG5N_mTm_BiA/edit?gid=1382299152#gid=1382299152"", ""Form responses 1!$Z:$Z"") = 4
    ),
    1
  ),
  ""Not Found""
)
"),"Not Found")</f>
        <v>Not Found</v>
      </c>
      <c r="O1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1!$E:$E"")=$D192) *
        (IMPORTRANGE(""https://docs.google.com/spreadsheets/d/161aHT6vVT3SLneTKD19N5qVWtnj_jIT8CSsOmUVKmaA"&amp;"/edit?gid=1761053510"",
          ""Haris_Form responses 1!$AQ:$AQ"")=4)
      ),
      1
    ),
    ""0""
  ),
  ""Form not found""
)
"),"Form not found")</f>
        <v>Form not found</v>
      </c>
      <c r="P192" s="247" t="str">
        <f>IFERROR(__xludf.DUMMYFUNCTION("IFERROR(
  INDEX(
    FILTER(
      Transcription!$AJ:$AJ,
      TRIM(CLEAN(TEXT(Transcription!$F:$F, ""@""))) = TRIM(CLEAN(TEXT($D192, ""@""))),
      Transcription!$AO:$AO = 4
    ),
    1
  ),
  ""Not Found""
)
"),"Not Found")</f>
        <v>Not Found</v>
      </c>
      <c r="Q1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TRIM(CLEAN(TEXT($D192, ""@""))),
      IMPORTRANGE(""https://docs.google.com/spreadsheets/d/1DccNxjBgurEr0ABkI_"&amp;"rBagJT5phB5HaHG5N_mTm_BiA/edit?gid=1382299152#gid=1382299152"", ""Form responses 1!$Z:$Z"") = 5
    ),
    1
  ),
  ""Not Found""
)
"),"Not Found")</f>
        <v>Not Found</v>
      </c>
      <c r="R1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1!$E:$E"")=$D192) *
        (IMPORTRANGE(""https://docs.google.com/spreadsheets/d/161aHT6vVT3SLneTKD19N5qVWtnj_jIT8CSsOmUVKmaA"&amp;"/edit?gid=1761053510"",
          ""Haris_Form responses 1!$AQ:$AQ"")=5)
      ),
      1
    ),
    ""0""
  ),
  ""Form not found""
)
"),"Form not found")</f>
        <v>Form not found</v>
      </c>
      <c r="S192" s="247" t="str">
        <f>IFERROR(__xludf.DUMMYFUNCTION("IFERROR(
  INDEX(
    FILTER(
      Transcription!$AJ:$AJ,
      TRIM(CLEAN(TEXT(Transcription!$F:$F, ""@""))) = TRIM(CLEAN(TEXT($D192, ""@""))),
      Transcription!$AO:$AO = 5
    ),
    1
  ),
  ""Not Found""
)
"),"Not Found")</f>
        <v>Not Found</v>
      </c>
      <c r="T1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TRIM(CLEAN(TEXT($D192, ""@""))),
      IMPORTRANGE(""https://docs.google.com/spreadsheets/d/1DccNxjBgurEr0ABkI_"&amp;"rBagJT5phB5HaHG5N_mTm_BiA/edit?gid=1382299152#gid=1382299152"", ""Form responses 1!$Z:$Z"") = 6
    ),
    1
  ),
  ""Not Found""
)
"),"Not Found")</f>
        <v>Not Found</v>
      </c>
      <c r="U1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1!$E:$E"")=$D192) *
        (IMPORTRANGE(""https://docs.google.com/spreadsheets/d/161aHT6vVT3SLneTKD19N5qVWtnj_jIT8CSsOmUVKmaA"&amp;"/edit?gid=1761053510"",
          ""Haris_Form responses 1!$AQ:$AQ"")=6)
      ),
      1
    ),
    ""0""
  ),
  ""Form not found""
)
"),"Form not found")</f>
        <v>Form not found</v>
      </c>
      <c r="V192" s="247" t="str">
        <f>IFERROR(__xludf.DUMMYFUNCTION("IFERROR(
  INDEX(
    FILTER(
      Transcription!$AJ:$AJ,
      TRIM(CLEAN(TEXT(Transcription!$F:$F, ""@""))) = TRIM(CLEAN(TEXT($D192, ""@""))),
      Transcription!$AO:$AO = 6
    ),
    1
  ),
  ""Not Found""
)
"),"Not Found")</f>
        <v>Not Found</v>
      </c>
      <c r="Z192" s="10">
        <f t="shared" si="1"/>
        <v>2</v>
      </c>
      <c r="AA192" s="10">
        <f t="shared" si="2"/>
        <v>0</v>
      </c>
    </row>
    <row r="193">
      <c r="A193" s="8" t="str">
        <f>VLOOKUP($D193,Sheet6!$B:$G,5,FALSE)</f>
        <v>DG Khan</v>
      </c>
      <c r="B193" s="232" t="str">
        <f>VLOOKUP($D193,Sheet6!$B:$G,4,FALSE)</f>
        <v>Community Religious No Info Share</v>
      </c>
      <c r="C193" s="8">
        <v>3.0</v>
      </c>
      <c r="D193" s="8" t="s">
        <v>4632</v>
      </c>
      <c r="E19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TRIM(CLEAN(TEXT($D193, ""@""))),
      IMPORTRANGE(""https://docs.google.com/spreadsheets/d/1DccNxjBgurEr0ABkI_"&amp;"rBagJT5phB5HaHG5N_mTm_BiA/edit?gid=1382299152#gid=1382299152"", ""Form responses 1!$Z:$Z"") = 1
    ),
    1
  ),
  ""Not Found""
)
"),"https://drive.google.com/open?id=1NVMtkmkhc6tSy4OFZyZl3axvssi0Ijiz")</f>
        <v>https://drive.google.com/open?id=1NVMtkmkhc6tSy4OFZyZl3axvssi0Ijiz</v>
      </c>
      <c r="F1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1!$E:$E"")=$D193) *
        (IMPORTRANGE(""https://docs.google.com/spreadsheets/d/161aHT6vVT3SLneTKD19N5qVWtnj_jIT8CSsOmUVKmaA"&amp;"/edit?gid=1761053510"",
          ""Haris_Form responses 1!$AQ:$AQ"")=1)
      ),
      1
    ),
    ""0""
  ),
  ""Form not found""
)
"),"1")</f>
        <v>1</v>
      </c>
      <c r="G193" s="245" t="str">
        <f>IFERROR(__xludf.DUMMYFUNCTION("IFERROR(
  INDEX(
    FILTER(
      Transcription!$AJ:$AJ,
      TRIM(CLEAN(TEXT(Transcription!$F:$F, ""@""))) = TRIM(CLEAN(TEXT($D193, ""@""))),
      Transcription!$AO:$AO = 1
    ),
    1
  ),
  ""Not Found""
)
"),"https://drive.google.com/open?id=1SBMQpm1JiDJDhEVlD5PGWxpxLlsLHKnh")</f>
        <v>https://drive.google.com/open?id=1SBMQpm1JiDJDhEVlD5PGWxpxLlsLHKnh</v>
      </c>
      <c r="H19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TRIM(CLEAN(TEXT($D193, ""@""))),
      IMPORTRANGE(""https://docs.google.com/spreadsheets/d/1DccNxjBgurEr0ABkI_"&amp;"rBagJT5phB5HaHG5N_mTm_BiA/edit?gid=1382299152#gid=1382299152"", ""Form responses 1!$Z:$Z"") = 2
    ),
    1
  ),
  ""Not Found""
)
"),"https://drive.google.com/open?id=1Nm2q6gkGqPkkou3_KH9YVP0UUqbDck9T")</f>
        <v>https://drive.google.com/open?id=1Nm2q6gkGqPkkou3_KH9YVP0UUqbDck9T</v>
      </c>
      <c r="I1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1!$E:$E"")=$D193) *
        (IMPORTRANGE(""https://docs.google.com/spreadsheets/d/161aHT6vVT3SLneTKD19N5qVWtnj_jIT8CSsOmUVKmaA"&amp;"/edit?gid=1761053510"",
          ""Haris_Form responses 1!$AQ:$AQ"")=2)
      ),
      1
    ),
    ""0""
  ),
  ""Form not found""
)
"),"2")</f>
        <v>2</v>
      </c>
      <c r="J193" s="245" t="str">
        <f>IFERROR(__xludf.DUMMYFUNCTION("IFERROR(
  INDEX(
    FILTER(
      Transcription!$AJ:$AJ,
      TRIM(CLEAN(TEXT(Transcription!$F:$F, ""@""))) = TRIM(CLEAN(TEXT($D193, ""@""))),
      Transcription!$AO:$AO = 2
    ),
    1
  ),
  ""Not Found""
)
"),"https://drive.google.com/open?id=1BtJ2mdUZFfX3V98ccdB1a5tFRNH21Lff")</f>
        <v>https://drive.google.com/open?id=1BtJ2mdUZFfX3V98ccdB1a5tFRNH21Lff</v>
      </c>
      <c r="K19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TRIM(CLEAN(TEXT($D193, ""@""))),
      IMPORTRANGE(""https://docs.google.com/spreadsheets/d/1DccNxjBgurEr0ABkI_"&amp;"rBagJT5phB5HaHG5N_mTm_BiA/edit?gid=1382299152#gid=1382299152"", ""Form responses 1!$Z:$Z"") = 3
    ),
    1
  ),
  ""Not Found""
)
"),"https://drive.google.com/open?id=13h-kEiRQJQifLpRrKlwEArdAogBSzokm")</f>
        <v>https://drive.google.com/open?id=13h-kEiRQJQifLpRrKlwEArdAogBSzokm</v>
      </c>
      <c r="L1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1!$E:$E"")=$D193) *
        (IMPORTRANGE(""https://docs.google.com/spreadsheets/d/161aHT6vVT3SLneTKD19N5qVWtnj_jIT8CSsOmUVKmaA"&amp;"/edit?gid=1761053510"",
          ""Haris_Form responses 1!$AQ:$AQ"")=3)
      ),
      1
    ),
    ""0""
  ),
  ""Form not found""
)
"),"3")</f>
        <v>3</v>
      </c>
      <c r="M193" s="245" t="str">
        <f>IFERROR(__xludf.DUMMYFUNCTION("IFERROR(
  INDEX(
    FILTER(
      Transcription!$AJ:$AJ,
      TRIM(CLEAN(TEXT(Transcription!$F:$F, ""@""))) = TRIM(CLEAN(TEXT($D193, ""@""))),
      Transcription!$AO:$AO = 3
    ),
    1
  ),
  ""Not Found""
)
"),"https://drive.google.com/open?id=1zO5DiJX6faQLD_Gsh7hZBA3uHnQKUePP")</f>
        <v>https://drive.google.com/open?id=1zO5DiJX6faQLD_Gsh7hZBA3uHnQKUePP</v>
      </c>
      <c r="N19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TRIM(CLEAN(TEXT($D193, ""@""))),
      IMPORTRANGE(""https://docs.google.com/spreadsheets/d/1DccNxjBgurEr0ABkI_"&amp;"rBagJT5phB5HaHG5N_mTm_BiA/edit?gid=1382299152#gid=1382299152"", ""Form responses 1!$Z:$Z"") = 4
    ),
    1
  ),
  ""Not Found""
)
"),"Not Found")</f>
        <v>Not Found</v>
      </c>
      <c r="O1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1!$E:$E"")=$D193) *
        (IMPORTRANGE(""https://docs.google.com/spreadsheets/d/161aHT6vVT3SLneTKD19N5qVWtnj_jIT8CSsOmUVKmaA"&amp;"/edit?gid=1761053510"",
          ""Haris_Form responses 1!$AQ:$AQ"")=4)
      ),
      1
    ),
    ""0""
  ),
  ""Form not found""
)
"),"Form not found")</f>
        <v>Form not found</v>
      </c>
      <c r="P193" s="247" t="str">
        <f>IFERROR(__xludf.DUMMYFUNCTION("IFERROR(
  INDEX(
    FILTER(
      Transcription!$AJ:$AJ,
      TRIM(CLEAN(TEXT(Transcription!$F:$F, ""@""))) = TRIM(CLEAN(TEXT($D193, ""@""))),
      Transcription!$AO:$AO = 4
    ),
    1
  ),
  ""Not Found""
)
"),"Not Found")</f>
        <v>Not Found</v>
      </c>
      <c r="Q19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TRIM(CLEAN(TEXT($D193, ""@""))),
      IMPORTRANGE(""https://docs.google.com/spreadsheets/d/1DccNxjBgurEr0ABkI_"&amp;"rBagJT5phB5HaHG5N_mTm_BiA/edit?gid=1382299152#gid=1382299152"", ""Form responses 1!$Z:$Z"") = 5
    ),
    1
  ),
  ""Not Found""
)
"),"Not Found")</f>
        <v>Not Found</v>
      </c>
      <c r="R1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1!$E:$E"")=$D193) *
        (IMPORTRANGE(""https://docs.google.com/spreadsheets/d/161aHT6vVT3SLneTKD19N5qVWtnj_jIT8CSsOmUVKmaA"&amp;"/edit?gid=1761053510"",
          ""Haris_Form responses 1!$AQ:$AQ"")=5)
      ),
      1
    ),
    ""0""
  ),
  ""Form not found""
)
"),"Form not found")</f>
        <v>Form not found</v>
      </c>
      <c r="S193" s="247" t="str">
        <f>IFERROR(__xludf.DUMMYFUNCTION("IFERROR(
  INDEX(
    FILTER(
      Transcription!$AJ:$AJ,
      TRIM(CLEAN(TEXT(Transcription!$F:$F, ""@""))) = TRIM(CLEAN(TEXT($D193, ""@""))),
      Transcription!$AO:$AO = 5
    ),
    1
  ),
  ""Not Found""
)
"),"Not Found")</f>
        <v>Not Found</v>
      </c>
      <c r="T19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TRIM(CLEAN(TEXT($D193, ""@""))),
      IMPORTRANGE(""https://docs.google.com/spreadsheets/d/1DccNxjBgurEr0ABkI_"&amp;"rBagJT5phB5HaHG5N_mTm_BiA/edit?gid=1382299152#gid=1382299152"", ""Form responses 1!$Z:$Z"") = 6
    ),
    1
  ),
  ""Not Found""
)
"),"Not Found")</f>
        <v>Not Found</v>
      </c>
      <c r="U1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1!$E:$E"")=$D193) *
        (IMPORTRANGE(""https://docs.google.com/spreadsheets/d/161aHT6vVT3SLneTKD19N5qVWtnj_jIT8CSsOmUVKmaA"&amp;"/edit?gid=1761053510"",
          ""Haris_Form responses 1!$AQ:$AQ"")=6)
      ),
      1
    ),
    ""0""
  ),
  ""Form not found""
)
"),"Form not found")</f>
        <v>Form not found</v>
      </c>
      <c r="V193" s="247" t="str">
        <f>IFERROR(__xludf.DUMMYFUNCTION("IFERROR(
  INDEX(
    FILTER(
      Transcription!$AJ:$AJ,
      TRIM(CLEAN(TEXT(Transcription!$F:$F, ""@""))) = TRIM(CLEAN(TEXT($D193, ""@""))),
      Transcription!$AO:$AO = 6
    ),
    1
  ),
  ""Not Found""
)
"),"Not Found")</f>
        <v>Not Found</v>
      </c>
      <c r="Z193" s="10">
        <f t="shared" si="1"/>
        <v>3</v>
      </c>
      <c r="AA193" s="10">
        <f t="shared" si="2"/>
        <v>0</v>
      </c>
    </row>
    <row r="194">
      <c r="A194" s="8" t="str">
        <f>VLOOKUP($D194,Sheet6!$B:$G,5,FALSE)</f>
        <v>DG Khan</v>
      </c>
      <c r="B194" s="232" t="str">
        <f>VLOOKUP($D194,Sheet6!$B:$G,4,FALSE)</f>
        <v>Community Religious No Info Share</v>
      </c>
      <c r="C194" s="8">
        <v>3.0</v>
      </c>
      <c r="D194" s="8" t="s">
        <v>4633</v>
      </c>
      <c r="E19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TRIM(CLEAN(TEXT($D194, ""@""))),
      IMPORTRANGE(""https://docs.google.com/spreadsheets/d/1DccNxjBgurEr0ABkI_"&amp;"rBagJT5phB5HaHG5N_mTm_BiA/edit?gid=1382299152#gid=1382299152"", ""Form responses 1!$Z:$Z"") = 1
    ),
    1
  ),
  ""Not Found""
)
"),"https://drive.google.com/open?id=1MhSOXS9xMVJZKUPOoL44uToAaFM1A4RB")</f>
        <v>https://drive.google.com/open?id=1MhSOXS9xMVJZKUPOoL44uToAaFM1A4RB</v>
      </c>
      <c r="F1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1!$E:$E"")=$D194) *
        (IMPORTRANGE(""https://docs.google.com/spreadsheets/d/161aHT6vVT3SLneTKD19N5qVWtnj_jIT8CSsOmUVKmaA"&amp;"/edit?gid=1761053510"",
          ""Haris_Form responses 1!$AQ:$AQ"")=1)
      ),
      1
    ),
    ""0""
  ),
  ""Form not found""
)
"),"1")</f>
        <v>1</v>
      </c>
      <c r="G194" s="245" t="str">
        <f>IFERROR(__xludf.DUMMYFUNCTION("IFERROR(
  INDEX(
    FILTER(
      Transcription!$AJ:$AJ,
      TRIM(CLEAN(TEXT(Transcription!$F:$F, ""@""))) = TRIM(CLEAN(TEXT($D194, ""@""))),
      Transcription!$AO:$AO = 1
    ),
    1
  ),
  ""Not Found""
)
"),"https://drive.google.com/open?id=1e9V_Z4OHO6Bcohq1oqPquNiQXIcdcl0v")</f>
        <v>https://drive.google.com/open?id=1e9V_Z4OHO6Bcohq1oqPquNiQXIcdcl0v</v>
      </c>
      <c r="H19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TRIM(CLEAN(TEXT($D194, ""@""))),
      IMPORTRANGE(""https://docs.google.com/spreadsheets/d/1DccNxjBgurEr0ABkI_"&amp;"rBagJT5phB5HaHG5N_mTm_BiA/edit?gid=1382299152#gid=1382299152"", ""Form responses 1!$Z:$Z"") = 2
    ),
    1
  ),
  ""Not Found""
)
"),"https://drive.google.com/open?id=1DWT7E2f0B4cxejwO2t48p5CIDtNyOO1L")</f>
        <v>https://drive.google.com/open?id=1DWT7E2f0B4cxejwO2t48p5CIDtNyOO1L</v>
      </c>
      <c r="I1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1!$E:$E"")=$D194) *
        (IMPORTRANGE(""https://docs.google.com/spreadsheets/d/161aHT6vVT3SLneTKD19N5qVWtnj_jIT8CSsOmUVKmaA"&amp;"/edit?gid=1761053510"",
          ""Haris_Form responses 1!$AQ:$AQ"")=2)
      ),
      1
    ),
    ""0""
  ),
  ""Form not found""
)
"),"2")</f>
        <v>2</v>
      </c>
      <c r="J194" s="245" t="str">
        <f>IFERROR(__xludf.DUMMYFUNCTION("IFERROR(
  INDEX(
    FILTER(
      Transcription!$AJ:$AJ,
      TRIM(CLEAN(TEXT(Transcription!$F:$F, ""@""))) = TRIM(CLEAN(TEXT($D194, ""@""))),
      Transcription!$AO:$AO = 2
    ),
    1
  ),
  ""Not Found""
)
"),"https://drive.google.com/open?id=1bfV8UucM0Tgqj7W9jQ91m8ICrs9Ed32q")</f>
        <v>https://drive.google.com/open?id=1bfV8UucM0Tgqj7W9jQ91m8ICrs9Ed32q</v>
      </c>
      <c r="K19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TRIM(CLEAN(TEXT($D194, ""@""))),
      IMPORTRANGE(""https://docs.google.com/spreadsheets/d/1DccNxjBgurEr0ABkI_"&amp;"rBagJT5phB5HaHG5N_mTm_BiA/edit?gid=1382299152#gid=1382299152"", ""Form responses 1!$Z:$Z"") = 3
    ),
    1
  ),
  ""Not Found""
)
"),"https://drive.google.com/open?id=13mT83aVBzscmWOOEdW8vqtc5bw1FOhn9")</f>
        <v>https://drive.google.com/open?id=13mT83aVBzscmWOOEdW8vqtc5bw1FOhn9</v>
      </c>
      <c r="L1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1!$E:$E"")=$D194) *
        (IMPORTRANGE(""https://docs.google.com/spreadsheets/d/161aHT6vVT3SLneTKD19N5qVWtnj_jIT8CSsOmUVKmaA"&amp;"/edit?gid=1761053510"",
          ""Haris_Form responses 1!$AQ:$AQ"")=3)
      ),
      1
    ),
    ""0""
  ),
  ""Form not found""
)
"),"3")</f>
        <v>3</v>
      </c>
      <c r="M194" s="245" t="str">
        <f>IFERROR(__xludf.DUMMYFUNCTION("IFERROR(
  INDEX(
    FILTER(
      Transcription!$AJ:$AJ,
      TRIM(CLEAN(TEXT(Transcription!$F:$F, ""@""))) = TRIM(CLEAN(TEXT($D194, ""@""))),
      Transcription!$AO:$AO = 3
    ),
    1
  ),
  ""Not Found""
)
"),"https://drive.google.com/open?id=16DYJXbsPWCTRiuggfdi2gSAbdcFEKVag")</f>
        <v>https://drive.google.com/open?id=16DYJXbsPWCTRiuggfdi2gSAbdcFEKVag</v>
      </c>
      <c r="N19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TRIM(CLEAN(TEXT($D194, ""@""))),
      IMPORTRANGE(""https://docs.google.com/spreadsheets/d/1DccNxjBgurEr0ABkI_"&amp;"rBagJT5phB5HaHG5N_mTm_BiA/edit?gid=1382299152#gid=1382299152"", ""Form responses 1!$Z:$Z"") = 4
    ),
    1
  ),
  ""Not Found""
)
"),"Not Found")</f>
        <v>Not Found</v>
      </c>
      <c r="O1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1!$E:$E"")=$D194) *
        (IMPORTRANGE(""https://docs.google.com/spreadsheets/d/161aHT6vVT3SLneTKD19N5qVWtnj_jIT8CSsOmUVKmaA"&amp;"/edit?gid=1761053510"",
          ""Haris_Form responses 1!$AQ:$AQ"")=4)
      ),
      1
    ),
    ""0""
  ),
  ""Form not found""
)
"),"Form not found")</f>
        <v>Form not found</v>
      </c>
      <c r="P194" s="247" t="str">
        <f>IFERROR(__xludf.DUMMYFUNCTION("IFERROR(
  INDEX(
    FILTER(
      Transcription!$AJ:$AJ,
      TRIM(CLEAN(TEXT(Transcription!$F:$F, ""@""))) = TRIM(CLEAN(TEXT($D194, ""@""))),
      Transcription!$AO:$AO = 4
    ),
    1
  ),
  ""Not Found""
)
"),"Not Found")</f>
        <v>Not Found</v>
      </c>
      <c r="Q19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TRIM(CLEAN(TEXT($D194, ""@""))),
      IMPORTRANGE(""https://docs.google.com/spreadsheets/d/1DccNxjBgurEr0ABkI_"&amp;"rBagJT5phB5HaHG5N_mTm_BiA/edit?gid=1382299152#gid=1382299152"", ""Form responses 1!$Z:$Z"") = 5
    ),
    1
  ),
  ""Not Found""
)
"),"Not Found")</f>
        <v>Not Found</v>
      </c>
      <c r="R1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1!$E:$E"")=$D194) *
        (IMPORTRANGE(""https://docs.google.com/spreadsheets/d/161aHT6vVT3SLneTKD19N5qVWtnj_jIT8CSsOmUVKmaA"&amp;"/edit?gid=1761053510"",
          ""Haris_Form responses 1!$AQ:$AQ"")=5)
      ),
      1
    ),
    ""0""
  ),
  ""Form not found""
)
"),"Form not found")</f>
        <v>Form not found</v>
      </c>
      <c r="S194" s="247" t="str">
        <f>IFERROR(__xludf.DUMMYFUNCTION("IFERROR(
  INDEX(
    FILTER(
      Transcription!$AJ:$AJ,
      TRIM(CLEAN(TEXT(Transcription!$F:$F, ""@""))) = TRIM(CLEAN(TEXT($D194, ""@""))),
      Transcription!$AO:$AO = 5
    ),
    1
  ),
  ""Not Found""
)
"),"Not Found")</f>
        <v>Not Found</v>
      </c>
      <c r="T19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TRIM(CLEAN(TEXT($D194, ""@""))),
      IMPORTRANGE(""https://docs.google.com/spreadsheets/d/1DccNxjBgurEr0ABkI_"&amp;"rBagJT5phB5HaHG5N_mTm_BiA/edit?gid=1382299152#gid=1382299152"", ""Form responses 1!$Z:$Z"") = 6
    ),
    1
  ),
  ""Not Found""
)
"),"Not Found")</f>
        <v>Not Found</v>
      </c>
      <c r="U1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1!$E:$E"")=$D194) *
        (IMPORTRANGE(""https://docs.google.com/spreadsheets/d/161aHT6vVT3SLneTKD19N5qVWtnj_jIT8CSsOmUVKmaA"&amp;"/edit?gid=1761053510"",
          ""Haris_Form responses 1!$AQ:$AQ"")=6)
      ),
      1
    ),
    ""0""
  ),
  ""Form not found""
)
"),"Form not found")</f>
        <v>Form not found</v>
      </c>
      <c r="V194" s="247" t="str">
        <f>IFERROR(__xludf.DUMMYFUNCTION("IFERROR(
  INDEX(
    FILTER(
      Transcription!$AJ:$AJ,
      TRIM(CLEAN(TEXT(Transcription!$F:$F, ""@""))) = TRIM(CLEAN(TEXT($D194, ""@""))),
      Transcription!$AO:$AO = 6
    ),
    1
  ),
  ""Not Found""
)
"),"Not Found")</f>
        <v>Not Found</v>
      </c>
      <c r="Z194" s="10">
        <f t="shared" si="1"/>
        <v>3</v>
      </c>
      <c r="AA194" s="10">
        <f t="shared" si="2"/>
        <v>0</v>
      </c>
    </row>
    <row r="195">
      <c r="A195" s="8" t="str">
        <f>VLOOKUP($D195,Sheet6!$B:$G,5,FALSE)</f>
        <v>Bahawalpur</v>
      </c>
      <c r="B195" s="232" t="str">
        <f>VLOOKUP($D195,Sheet6!$B:$G,4,FALSE)</f>
        <v>Community Secular No Info Share</v>
      </c>
      <c r="C195" s="8">
        <v>3.0</v>
      </c>
      <c r="D195" s="8" t="s">
        <v>4634</v>
      </c>
      <c r="E19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TRIM(CLEAN(TEXT($D195, ""@""))),
      IMPORTRANGE(""https://docs.google.com/spreadsheets/d/1DccNxjBgurEr0ABkI_"&amp;"rBagJT5phB5HaHG5N_mTm_BiA/edit?gid=1382299152#gid=1382299152"", ""Form responses 1!$Z:$Z"") = 1
    ),
    1
  ),
  ""Not Found""
)
"),"https://drive.google.com/open?id=13R6DvWb-LTvYDSCBYNTOgSvd3IIuGe8k")</f>
        <v>https://drive.google.com/open?id=13R6DvWb-LTvYDSCBYNTOgSvd3IIuGe8k</v>
      </c>
      <c r="F1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1!$E:$E"")=$D195) *
        (IMPORTRANGE(""https://docs.google.com/spreadsheets/d/161aHT6vVT3SLneTKD19N5qVWtnj_jIT8CSsOmUVKmaA"&amp;"/edit?gid=1761053510"",
          ""Haris_Form responses 1!$AQ:$AQ"")=1)
      ),
      1
    ),
    ""0""
  ),
  ""Form not found""
)
"),"1")</f>
        <v>1</v>
      </c>
      <c r="G195" s="245" t="str">
        <f>IFERROR(__xludf.DUMMYFUNCTION("IFERROR(
  INDEX(
    FILTER(
      Transcription!$AJ:$AJ,
      TRIM(CLEAN(TEXT(Transcription!$F:$F, ""@""))) = TRIM(CLEAN(TEXT($D195, ""@""))),
      Transcription!$AO:$AO = 1
    ),
    1
  ),
  ""Not Found""
)
"),"https://drive.google.com/open?id=1rLe5eNVPg5FiBHxAl3k6kLnEFm5dp4uJ_2jxxvwh29Q")</f>
        <v>https://drive.google.com/open?id=1rLe5eNVPg5FiBHxAl3k6kLnEFm5dp4uJ_2jxxvwh29Q</v>
      </c>
      <c r="H19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TRIM(CLEAN(TEXT($D195, ""@""))),
      IMPORTRANGE(""https://docs.google.com/spreadsheets/d/1DccNxjBgurEr0ABkI_"&amp;"rBagJT5phB5HaHG5N_mTm_BiA/edit?gid=1382299152#gid=1382299152"", ""Form responses 1!$Z:$Z"") = 2
    ),
    1
  ),
  ""Not Found""
)
"),"https://drive.google.com/open?id=1FKnqxjgtv0HxEMRZ9maDZz77tQRuVAoP")</f>
        <v>https://drive.google.com/open?id=1FKnqxjgtv0HxEMRZ9maDZz77tQRuVAoP</v>
      </c>
      <c r="I1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1!$E:$E"")=$D195) *
        (IMPORTRANGE(""https://docs.google.com/spreadsheets/d/161aHT6vVT3SLneTKD19N5qVWtnj_jIT8CSsOmUVKmaA"&amp;"/edit?gid=1761053510"",
          ""Haris_Form responses 1!$AQ:$AQ"")=2)
      ),
      1
    ),
    ""0""
  ),
  ""Form not found""
)
"),"2")</f>
        <v>2</v>
      </c>
      <c r="J195" s="245" t="str">
        <f>IFERROR(__xludf.DUMMYFUNCTION("IFERROR(
  INDEX(
    FILTER(
      Transcription!$AJ:$AJ,
      TRIM(CLEAN(TEXT(Transcription!$F:$F, ""@""))) = TRIM(CLEAN(TEXT($D195, ""@""))),
      Transcription!$AO:$AO = 2
    ),
    1
  ),
  ""Not Found""
)
"),"https://drive.google.com/open?id=1XCpE2Vn9ayvYxy9C8oV2LsVdpYRsUOl2LNL4f9aIg1A")</f>
        <v>https://drive.google.com/open?id=1XCpE2Vn9ayvYxy9C8oV2LsVdpYRsUOl2LNL4f9aIg1A</v>
      </c>
      <c r="K19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TRIM(CLEAN(TEXT($D195, ""@""))),
      IMPORTRANGE(""https://docs.google.com/spreadsheets/d/1DccNxjBgurEr0ABkI_"&amp;"rBagJT5phB5HaHG5N_mTm_BiA/edit?gid=1382299152#gid=1382299152"", ""Form responses 1!$Z:$Z"") = 3
    ),
    1
  ),
  ""Not Found""
)
"),"https://drive.google.com/open?id=1nBBFRwIg-ouO6ybRL7ON7eairPwPhhB_")</f>
        <v>https://drive.google.com/open?id=1nBBFRwIg-ouO6ybRL7ON7eairPwPhhB_</v>
      </c>
      <c r="L1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1!$E:$E"")=$D195) *
        (IMPORTRANGE(""https://docs.google.com/spreadsheets/d/161aHT6vVT3SLneTKD19N5qVWtnj_jIT8CSsOmUVKmaA"&amp;"/edit?gid=1761053510"",
          ""Haris_Form responses 1!$AQ:$AQ"")=3)
      ),
      1
    ),
    ""0""
  ),
  ""Form not found""
)
"),"3")</f>
        <v>3</v>
      </c>
      <c r="M195" s="245" t="str">
        <f>IFERROR(__xludf.DUMMYFUNCTION("IFERROR(
  INDEX(
    FILTER(
      Transcription!$AJ:$AJ,
      TRIM(CLEAN(TEXT(Transcription!$F:$F, ""@""))) = TRIM(CLEAN(TEXT($D195, ""@""))),
      Transcription!$AO:$AO = 3
    ),
    1
  ),
  ""Not Found""
)
"),"https://drive.google.com/open?id=1Vaiawl-hr5JiMsqmIMPN_4UZle5Yd_mXnAp6C3EBGGg")</f>
        <v>https://drive.google.com/open?id=1Vaiawl-hr5JiMsqmIMPN_4UZle5Yd_mXnAp6C3EBGGg</v>
      </c>
      <c r="N1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TRIM(CLEAN(TEXT($D195, ""@""))),
      IMPORTRANGE(""https://docs.google.com/spreadsheets/d/1DccNxjBgurEr0ABkI_"&amp;"rBagJT5phB5HaHG5N_mTm_BiA/edit?gid=1382299152#gid=1382299152"", ""Form responses 1!$Z:$Z"") = 4
    ),
    1
  ),
  ""Not Found""
)
"),"Not Found")</f>
        <v>Not Found</v>
      </c>
      <c r="O1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1!$E:$E"")=$D195) *
        (IMPORTRANGE(""https://docs.google.com/spreadsheets/d/161aHT6vVT3SLneTKD19N5qVWtnj_jIT8CSsOmUVKmaA"&amp;"/edit?gid=1761053510"",
          ""Haris_Form responses 1!$AQ:$AQ"")=4)
      ),
      1
    ),
    ""0""
  ),
  ""Form not found""
)
"),"Form not found")</f>
        <v>Form not found</v>
      </c>
      <c r="P195" s="247" t="str">
        <f>IFERROR(__xludf.DUMMYFUNCTION("IFERROR(
  INDEX(
    FILTER(
      Transcription!$AJ:$AJ,
      TRIM(CLEAN(TEXT(Transcription!$F:$F, ""@""))) = TRIM(CLEAN(TEXT($D195, ""@""))),
      Transcription!$AO:$AO = 4
    ),
    1
  ),
  ""Not Found""
)
"),"Not Found")</f>
        <v>Not Found</v>
      </c>
      <c r="Q1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TRIM(CLEAN(TEXT($D195, ""@""))),
      IMPORTRANGE(""https://docs.google.com/spreadsheets/d/1DccNxjBgurEr0ABkI_"&amp;"rBagJT5phB5HaHG5N_mTm_BiA/edit?gid=1382299152#gid=1382299152"", ""Form responses 1!$Z:$Z"") = 5
    ),
    1
  ),
  ""Not Found""
)
"),"Not Found")</f>
        <v>Not Found</v>
      </c>
      <c r="R1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1!$E:$E"")=$D195) *
        (IMPORTRANGE(""https://docs.google.com/spreadsheets/d/161aHT6vVT3SLneTKD19N5qVWtnj_jIT8CSsOmUVKmaA"&amp;"/edit?gid=1761053510"",
          ""Haris_Form responses 1!$AQ:$AQ"")=5)
      ),
      1
    ),
    ""0""
  ),
  ""Form not found""
)
"),"Form not found")</f>
        <v>Form not found</v>
      </c>
      <c r="S195" s="247" t="str">
        <f>IFERROR(__xludf.DUMMYFUNCTION("IFERROR(
  INDEX(
    FILTER(
      Transcription!$AJ:$AJ,
      TRIM(CLEAN(TEXT(Transcription!$F:$F, ""@""))) = TRIM(CLEAN(TEXT($D195, ""@""))),
      Transcription!$AO:$AO = 5
    ),
    1
  ),
  ""Not Found""
)
"),"Not Found")</f>
        <v>Not Found</v>
      </c>
      <c r="T1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TRIM(CLEAN(TEXT($D195, ""@""))),
      IMPORTRANGE(""https://docs.google.com/spreadsheets/d/1DccNxjBgurEr0ABkI_"&amp;"rBagJT5phB5HaHG5N_mTm_BiA/edit?gid=1382299152#gid=1382299152"", ""Form responses 1!$Z:$Z"") = 6
    ),
    1
  ),
  ""Not Found""
)
"),"Not Found")</f>
        <v>Not Found</v>
      </c>
      <c r="U1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1!$E:$E"")=$D195) *
        (IMPORTRANGE(""https://docs.google.com/spreadsheets/d/161aHT6vVT3SLneTKD19N5qVWtnj_jIT8CSsOmUVKmaA"&amp;"/edit?gid=1761053510"",
          ""Haris_Form responses 1!$AQ:$AQ"")=6)
      ),
      1
    ),
    ""0""
  ),
  ""Form not found""
)
"),"Form not found")</f>
        <v>Form not found</v>
      </c>
      <c r="V195" s="247" t="str">
        <f>IFERROR(__xludf.DUMMYFUNCTION("IFERROR(
  INDEX(
    FILTER(
      Transcription!$AJ:$AJ,
      TRIM(CLEAN(TEXT(Transcription!$F:$F, ""@""))) = TRIM(CLEAN(TEXT($D195, ""@""))),
      Transcription!$AO:$AO = 6
    ),
    1
  ),
  ""Not Found""
)
"),"Not Found")</f>
        <v>Not Found</v>
      </c>
      <c r="Z195" s="10">
        <f t="shared" si="1"/>
        <v>3</v>
      </c>
      <c r="AA195" s="10">
        <f t="shared" si="2"/>
        <v>0</v>
      </c>
    </row>
    <row r="196">
      <c r="A196" s="8" t="str">
        <f>VLOOKUP($D196,Sheet6!$B:$G,5,FALSE)</f>
        <v>Bahawalpur</v>
      </c>
      <c r="B196" s="232" t="str">
        <f>VLOOKUP($D196,Sheet6!$B:$G,4,FALSE)</f>
        <v>Control</v>
      </c>
      <c r="C196" s="8">
        <v>2.0</v>
      </c>
      <c r="D196" s="8" t="s">
        <v>4635</v>
      </c>
      <c r="E19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TRIM(CLEAN(TEXT($D196, ""@""))),
      IMPORTRANGE(""https://docs.google.com/spreadsheets/d/1DccNxjBgurEr0ABkI_"&amp;"rBagJT5phB5HaHG5N_mTm_BiA/edit?gid=1382299152#gid=1382299152"", ""Form responses 1!$Z:$Z"") = 1
    ),
    1
  ),
  ""Not Found""
)
"),"https://drive.google.com/open?id=1tLiEQxG8HWowT-cLfJZ59X_kYkWVhJrq")</f>
        <v>https://drive.google.com/open?id=1tLiEQxG8HWowT-cLfJZ59X_kYkWVhJrq</v>
      </c>
      <c r="F1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1!$E:$E"")=$D196) *
        (IMPORTRANGE(""https://docs.google.com/spreadsheets/d/161aHT6vVT3SLneTKD19N5qVWtnj_jIT8CSsOmUVKmaA"&amp;"/edit?gid=1761053510"",
          ""Haris_Form responses 1!$AQ:$AQ"")=1)
      ),
      1
    ),
    ""0""
  ),
  ""Form not found""
)
"),"1")</f>
        <v>1</v>
      </c>
      <c r="G196" s="245" t="str">
        <f>IFERROR(__xludf.DUMMYFUNCTION("IFERROR(
  INDEX(
    FILTER(
      Transcription!$AJ:$AJ,
      TRIM(CLEAN(TEXT(Transcription!$F:$F, ""@""))) = TRIM(CLEAN(TEXT($D196, ""@""))),
      Transcription!$AO:$AO = 1
    ),
    1
  ),
  ""Not Found""
)
"),"https://drive.google.com/open?id=1RjtofLx2WwR_UHLEv5LX4Jt65lNoI3sx")</f>
        <v>https://drive.google.com/open?id=1RjtofLx2WwR_UHLEv5LX4Jt65lNoI3sx</v>
      </c>
      <c r="H1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TRIM(CLEAN(TEXT($D196, ""@""))),
      IMPORTRANGE(""https://docs.google.com/spreadsheets/d/1DccNxjBgurEr0ABkI_"&amp;"rBagJT5phB5HaHG5N_mTm_BiA/edit?gid=1382299152#gid=1382299152"", ""Form responses 1!$Z:$Z"") = 2
    ),
    1
  ),
  ""Not Found""
)
"),"Not Found")</f>
        <v>Not Found</v>
      </c>
      <c r="I1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1!$E:$E"")=$D196) *
        (IMPORTRANGE(""https://docs.google.com/spreadsheets/d/161aHT6vVT3SLneTKD19N5qVWtnj_jIT8CSsOmUVKmaA"&amp;"/edit?gid=1761053510"",
          ""Haris_Form responses 1!$AQ:$AQ"")=2)
      ),
      1
    ),
    ""0""
  ),
  ""Form not found""
)
"),"Form not found")</f>
        <v>Form not found</v>
      </c>
      <c r="J196" s="247" t="str">
        <f>IFERROR(__xludf.DUMMYFUNCTION("IFERROR(
  INDEX(
    FILTER(
      Transcription!$AJ:$AJ,
      TRIM(CLEAN(TEXT(Transcription!$F:$F, ""@""))) = TRIM(CLEAN(TEXT($D196, ""@""))),
      Transcription!$AO:$AO = 2
    ),
    1
  ),
  ""Not Found""
)
"),"Not Found")</f>
        <v>Not Found</v>
      </c>
      <c r="K19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TRIM(CLEAN(TEXT($D196, ""@""))),
      IMPORTRANGE(""https://docs.google.com/spreadsheets/d/1DccNxjBgurEr0ABkI_"&amp;"rBagJT5phB5HaHG5N_mTm_BiA/edit?gid=1382299152#gid=1382299152"", ""Form responses 1!$Z:$Z"") = 3
    ),
    1
  ),
  ""Not Found""
)
"),"https://drive.google.com/open?id=1e53YyqXMkm-m6jZN6-Q7ShkxNdyJuYxq")</f>
        <v>https://drive.google.com/open?id=1e53YyqXMkm-m6jZN6-Q7ShkxNdyJuYxq</v>
      </c>
      <c r="L1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1!$E:$E"")=$D196) *
        (IMPORTRANGE(""https://docs.google.com/spreadsheets/d/161aHT6vVT3SLneTKD19N5qVWtnj_jIT8CSsOmUVKmaA"&amp;"/edit?gid=1761053510"",
          ""Haris_Form responses 1!$AQ:$AQ"")=3)
      ),
      1
    ),
    ""0""
  ),
  ""Form not found""
)
"),"3")</f>
        <v>3</v>
      </c>
      <c r="M196" s="245" t="str">
        <f>IFERROR(__xludf.DUMMYFUNCTION("IFERROR(
  INDEX(
    FILTER(
      Transcription!$AJ:$AJ,
      TRIM(CLEAN(TEXT(Transcription!$F:$F, ""@""))) = TRIM(CLEAN(TEXT($D196, ""@""))),
      Transcription!$AO:$AO = 3
    ),
    1
  ),
  ""Not Found""
)
"),"https://drive.google.com/open?id=11RRBTgs48WdRi_zYxtuwCHY5zPSD4iZT")</f>
        <v>https://drive.google.com/open?id=11RRBTgs48WdRi_zYxtuwCHY5zPSD4iZT</v>
      </c>
      <c r="N1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TRIM(CLEAN(TEXT($D196, ""@""))),
      IMPORTRANGE(""https://docs.google.com/spreadsheets/d/1DccNxjBgurEr0ABkI_"&amp;"rBagJT5phB5HaHG5N_mTm_BiA/edit?gid=1382299152#gid=1382299152"", ""Form responses 1!$Z:$Z"") = 4
    ),
    1
  ),
  ""Not Found""
)
"),"Not Found")</f>
        <v>Not Found</v>
      </c>
      <c r="O1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1!$E:$E"")=$D196) *
        (IMPORTRANGE(""https://docs.google.com/spreadsheets/d/161aHT6vVT3SLneTKD19N5qVWtnj_jIT8CSsOmUVKmaA"&amp;"/edit?gid=1761053510"",
          ""Haris_Form responses 1!$AQ:$AQ"")=4)
      ),
      1
    ),
    ""0""
  ),
  ""Form not found""
)
"),"Form not found")</f>
        <v>Form not found</v>
      </c>
      <c r="P196" s="247" t="str">
        <f>IFERROR(__xludf.DUMMYFUNCTION("IFERROR(
  INDEX(
    FILTER(
      Transcription!$AJ:$AJ,
      TRIM(CLEAN(TEXT(Transcription!$F:$F, ""@""))) = TRIM(CLEAN(TEXT($D196, ""@""))),
      Transcription!$AO:$AO = 4
    ),
    1
  ),
  ""Not Found""
)
"),"Not Found")</f>
        <v>Not Found</v>
      </c>
      <c r="Q1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TRIM(CLEAN(TEXT($D196, ""@""))),
      IMPORTRANGE(""https://docs.google.com/spreadsheets/d/1DccNxjBgurEr0ABkI_"&amp;"rBagJT5phB5HaHG5N_mTm_BiA/edit?gid=1382299152#gid=1382299152"", ""Form responses 1!$Z:$Z"") = 5
    ),
    1
  ),
  ""Not Found""
)
"),"Not Found")</f>
        <v>Not Found</v>
      </c>
      <c r="R1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1!$E:$E"")=$D196) *
        (IMPORTRANGE(""https://docs.google.com/spreadsheets/d/161aHT6vVT3SLneTKD19N5qVWtnj_jIT8CSsOmUVKmaA"&amp;"/edit?gid=1761053510"",
          ""Haris_Form responses 1!$AQ:$AQ"")=5)
      ),
      1
    ),
    ""0""
  ),
  ""Form not found""
)
"),"Form not found")</f>
        <v>Form not found</v>
      </c>
      <c r="S196" s="247" t="str">
        <f>IFERROR(__xludf.DUMMYFUNCTION("IFERROR(
  INDEX(
    FILTER(
      Transcription!$AJ:$AJ,
      TRIM(CLEAN(TEXT(Transcription!$F:$F, ""@""))) = TRIM(CLEAN(TEXT($D196, ""@""))),
      Transcription!$AO:$AO = 5
    ),
    1
  ),
  ""Not Found""
)
"),"Not Found")</f>
        <v>Not Found</v>
      </c>
      <c r="T1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TRIM(CLEAN(TEXT($D196, ""@""))),
      IMPORTRANGE(""https://docs.google.com/spreadsheets/d/1DccNxjBgurEr0ABkI_"&amp;"rBagJT5phB5HaHG5N_mTm_BiA/edit?gid=1382299152#gid=1382299152"", ""Form responses 1!$Z:$Z"") = 6
    ),
    1
  ),
  ""Not Found""
)
"),"Not Found")</f>
        <v>Not Found</v>
      </c>
      <c r="U1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1!$E:$E"")=$D196) *
        (IMPORTRANGE(""https://docs.google.com/spreadsheets/d/161aHT6vVT3SLneTKD19N5qVWtnj_jIT8CSsOmUVKmaA"&amp;"/edit?gid=1761053510"",
          ""Haris_Form responses 1!$AQ:$AQ"")=6)
      ),
      1
    ),
    ""0""
  ),
  ""Form not found""
)
"),"Form not found")</f>
        <v>Form not found</v>
      </c>
      <c r="V196" s="247" t="str">
        <f>IFERROR(__xludf.DUMMYFUNCTION("IFERROR(
  INDEX(
    FILTER(
      Transcription!$AJ:$AJ,
      TRIM(CLEAN(TEXT(Transcription!$F:$F, ""@""))) = TRIM(CLEAN(TEXT($D196, ""@""))),
      Transcription!$AO:$AO = 6
    ),
    1
  ),
  ""Not Found""
)
"),"Not Found")</f>
        <v>Not Found</v>
      </c>
      <c r="Z196" s="10">
        <f t="shared" si="1"/>
        <v>2</v>
      </c>
      <c r="AA196" s="10">
        <f t="shared" si="2"/>
        <v>0</v>
      </c>
    </row>
    <row r="197">
      <c r="A197" s="8" t="str">
        <f>VLOOKUP($D197,Sheet6!$B:$G,5,FALSE)</f>
        <v>Bahawalpur</v>
      </c>
      <c r="B197" s="232" t="str">
        <f>VLOOKUP($D197,Sheet6!$B:$G,4,FALSE)</f>
        <v>Control</v>
      </c>
      <c r="C197" s="8">
        <v>2.0</v>
      </c>
      <c r="D197" s="8" t="s">
        <v>4636</v>
      </c>
      <c r="E1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TRIM(CLEAN(TEXT($D197, ""@""))),
      IMPORTRANGE(""https://docs.google.com/spreadsheets/d/1DccNxjBgurEr0ABkI_"&amp;"rBagJT5phB5HaHG5N_mTm_BiA/edit?gid=1382299152#gid=1382299152"", ""Form responses 1!$Z:$Z"") = 1
    ),
    1
  ),
  ""Not Found""
)
"),"Not Found")</f>
        <v>Not Found</v>
      </c>
      <c r="F1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1!$E:$E"")=$D197) *
        (IMPORTRANGE(""https://docs.google.com/spreadsheets/d/161aHT6vVT3SLneTKD19N5qVWtnj_jIT8CSsOmUVKmaA"&amp;"/edit?gid=1761053510"",
          ""Haris_Form responses 1!$AQ:$AQ"")=1)
      ),
      1
    ),
    ""0""
  ),
  ""Form not found""
)
"),"Form not found")</f>
        <v>Form not found</v>
      </c>
      <c r="G197" s="247" t="str">
        <f>IFERROR(__xludf.DUMMYFUNCTION("IFERROR(
  INDEX(
    FILTER(
      Transcription!$AJ:$AJ,
      TRIM(CLEAN(TEXT(Transcription!$F:$F, ""@""))) = TRIM(CLEAN(TEXT($D197, ""@""))),
      Transcription!$AO:$AO = 1
    ),
    1
  ),
  ""Not Found""
)
"),"Not Found")</f>
        <v>Not Found</v>
      </c>
      <c r="H19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TRIM(CLEAN(TEXT($D197, ""@""))),
      IMPORTRANGE(""https://docs.google.com/spreadsheets/d/1DccNxjBgurEr0ABkI_"&amp;"rBagJT5phB5HaHG5N_mTm_BiA/edit?gid=1382299152#gid=1382299152"", ""Form responses 1!$Z:$Z"") = 2
    ),
    1
  ),
  ""Not Found""
)
"),"https://drive.google.com/open?id=1acH0lSOcwK58Q1LWxcNhIXX-7FO3Qd8Z")</f>
        <v>https://drive.google.com/open?id=1acH0lSOcwK58Q1LWxcNhIXX-7FO3Qd8Z</v>
      </c>
      <c r="I1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1!$E:$E"")=$D197) *
        (IMPORTRANGE(""https://docs.google.com/spreadsheets/d/161aHT6vVT3SLneTKD19N5qVWtnj_jIT8CSsOmUVKmaA"&amp;"/edit?gid=1761053510"",
          ""Haris_Form responses 1!$AQ:$AQ"")=2)
      ),
      1
    ),
    ""0""
  ),
  ""Form not found""
)
"),"2")</f>
        <v>2</v>
      </c>
      <c r="J197" s="245" t="str">
        <f>IFERROR(__xludf.DUMMYFUNCTION("IFERROR(
  INDEX(
    FILTER(
      Transcription!$AJ:$AJ,
      TRIM(CLEAN(TEXT(Transcription!$F:$F, ""@""))) = TRIM(CLEAN(TEXT($D197, ""@""))),
      Transcription!$AO:$AO = 2
    ),
    1
  ),
  ""Not Found""
)
"),"https://drive.google.com/open?id=1-lpdttx0CTYopEq-eYFdm1ko-iKHxQ7nzDNKpLZnn5A")</f>
        <v>https://drive.google.com/open?id=1-lpdttx0CTYopEq-eYFdm1ko-iKHxQ7nzDNKpLZnn5A</v>
      </c>
      <c r="K19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TRIM(CLEAN(TEXT($D197, ""@""))),
      IMPORTRANGE(""https://docs.google.com/spreadsheets/d/1DccNxjBgurEr0ABkI_"&amp;"rBagJT5phB5HaHG5N_mTm_BiA/edit?gid=1382299152#gid=1382299152"", ""Form responses 1!$Z:$Z"") = 3
    ),
    1
  ),
  ""Not Found""
)
"),"https://drive.google.com/open?id=1fisdnowTzl-9nz_HTYXB_JM8zFfzvP7t")</f>
        <v>https://drive.google.com/open?id=1fisdnowTzl-9nz_HTYXB_JM8zFfzvP7t</v>
      </c>
      <c r="L1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1!$E:$E"")=$D197) *
        (IMPORTRANGE(""https://docs.google.com/spreadsheets/d/161aHT6vVT3SLneTKD19N5qVWtnj_jIT8CSsOmUVKmaA"&amp;"/edit?gid=1761053510"",
          ""Haris_Form responses 1!$AQ:$AQ"")=3)
      ),
      1
    ),
    ""0""
  ),
  ""Form not found""
)
"),"3")</f>
        <v>3</v>
      </c>
      <c r="M197" s="245" t="str">
        <f>IFERROR(__xludf.DUMMYFUNCTION("IFERROR(
  INDEX(
    FILTER(
      Transcription!$AJ:$AJ,
      TRIM(CLEAN(TEXT(Transcription!$F:$F, ""@""))) = TRIM(CLEAN(TEXT($D197, ""@""))),
      Transcription!$AO:$AO = 3
    ),
    1
  ),
  ""Not Found""
)
"),"https://drive.google.com/open?id=17W37b1zEu5H0Akrg1vBCQfB1QgsQPWaBrXx6n999gyM")</f>
        <v>https://drive.google.com/open?id=17W37b1zEu5H0Akrg1vBCQfB1QgsQPWaBrXx6n999gyM</v>
      </c>
      <c r="N1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TRIM(CLEAN(TEXT($D197, ""@""))),
      IMPORTRANGE(""https://docs.google.com/spreadsheets/d/1DccNxjBgurEr0ABkI_"&amp;"rBagJT5phB5HaHG5N_mTm_BiA/edit?gid=1382299152#gid=1382299152"", ""Form responses 1!$Z:$Z"") = 4
    ),
    1
  ),
  ""Not Found""
)
"),"Not Found")</f>
        <v>Not Found</v>
      </c>
      <c r="O1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1!$E:$E"")=$D197) *
        (IMPORTRANGE(""https://docs.google.com/spreadsheets/d/161aHT6vVT3SLneTKD19N5qVWtnj_jIT8CSsOmUVKmaA"&amp;"/edit?gid=1761053510"",
          ""Haris_Form responses 1!$AQ:$AQ"")=4)
      ),
      1
    ),
    ""0""
  ),
  ""Form not found""
)
"),"Form not found")</f>
        <v>Form not found</v>
      </c>
      <c r="P197" s="247" t="str">
        <f>IFERROR(__xludf.DUMMYFUNCTION("IFERROR(
  INDEX(
    FILTER(
      Transcription!$AJ:$AJ,
      TRIM(CLEAN(TEXT(Transcription!$F:$F, ""@""))) = TRIM(CLEAN(TEXT($D197, ""@""))),
      Transcription!$AO:$AO = 4
    ),
    1
  ),
  ""Not Found""
)
"),"Not Found")</f>
        <v>Not Found</v>
      </c>
      <c r="Q1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TRIM(CLEAN(TEXT($D197, ""@""))),
      IMPORTRANGE(""https://docs.google.com/spreadsheets/d/1DccNxjBgurEr0ABkI_"&amp;"rBagJT5phB5HaHG5N_mTm_BiA/edit?gid=1382299152#gid=1382299152"", ""Form responses 1!$Z:$Z"") = 5
    ),
    1
  ),
  ""Not Found""
)
"),"Not Found")</f>
        <v>Not Found</v>
      </c>
      <c r="R1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1!$E:$E"")=$D197) *
        (IMPORTRANGE(""https://docs.google.com/spreadsheets/d/161aHT6vVT3SLneTKD19N5qVWtnj_jIT8CSsOmUVKmaA"&amp;"/edit?gid=1761053510"",
          ""Haris_Form responses 1!$AQ:$AQ"")=5)
      ),
      1
    ),
    ""0""
  ),
  ""Form not found""
)
"),"Form not found")</f>
        <v>Form not found</v>
      </c>
      <c r="S197" s="247" t="str">
        <f>IFERROR(__xludf.DUMMYFUNCTION("IFERROR(
  INDEX(
    FILTER(
      Transcription!$AJ:$AJ,
      TRIM(CLEAN(TEXT(Transcription!$F:$F, ""@""))) = TRIM(CLEAN(TEXT($D197, ""@""))),
      Transcription!$AO:$AO = 5
    ),
    1
  ),
  ""Not Found""
)
"),"Not Found")</f>
        <v>Not Found</v>
      </c>
      <c r="T1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TRIM(CLEAN(TEXT($D197, ""@""))),
      IMPORTRANGE(""https://docs.google.com/spreadsheets/d/1DccNxjBgurEr0ABkI_"&amp;"rBagJT5phB5HaHG5N_mTm_BiA/edit?gid=1382299152#gid=1382299152"", ""Form responses 1!$Z:$Z"") = 6
    ),
    1
  ),
  ""Not Found""
)
"),"Not Found")</f>
        <v>Not Found</v>
      </c>
      <c r="U1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1!$E:$E"")=$D197) *
        (IMPORTRANGE(""https://docs.google.com/spreadsheets/d/161aHT6vVT3SLneTKD19N5qVWtnj_jIT8CSsOmUVKmaA"&amp;"/edit?gid=1761053510"",
          ""Haris_Form responses 1!$AQ:$AQ"")=6)
      ),
      1
    ),
    ""0""
  ),
  ""Form not found""
)
"),"Form not found")</f>
        <v>Form not found</v>
      </c>
      <c r="V197" s="247" t="str">
        <f>IFERROR(__xludf.DUMMYFUNCTION("IFERROR(
  INDEX(
    FILTER(
      Transcription!$AJ:$AJ,
      TRIM(CLEAN(TEXT(Transcription!$F:$F, ""@""))) = TRIM(CLEAN(TEXT($D197, ""@""))),
      Transcription!$AO:$AO = 6
    ),
    1
  ),
  ""Not Found""
)
"),"Not Found")</f>
        <v>Not Found</v>
      </c>
      <c r="Z197" s="10">
        <f t="shared" si="1"/>
        <v>2</v>
      </c>
      <c r="AA197" s="10">
        <f t="shared" si="2"/>
        <v>0</v>
      </c>
    </row>
    <row r="198">
      <c r="A198" s="8" t="str">
        <f>VLOOKUP($D198,Sheet6!$B:$G,5,FALSE)</f>
        <v>Bahawalpur</v>
      </c>
      <c r="B198" s="232" t="str">
        <f>VLOOKUP($D198,Sheet6!$B:$G,4,FALSE)</f>
        <v>Control</v>
      </c>
      <c r="C198" s="8">
        <v>2.0</v>
      </c>
      <c r="D198" s="8" t="s">
        <v>4637</v>
      </c>
      <c r="E19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TRIM(CLEAN(TEXT($D198, ""@""))),
      IMPORTRANGE(""https://docs.google.com/spreadsheets/d/1DccNxjBgurEr0ABkI_"&amp;"rBagJT5phB5HaHG5N_mTm_BiA/edit?gid=1382299152#gid=1382299152"", ""Form responses 1!$Z:$Z"") = 1
    ),
    1
  ),
  ""Not Found""
)
"),"https://drive.google.com/open?id=1t984HtK_guWcZeKRnpb8iqKASRgbnGfk")</f>
        <v>https://drive.google.com/open?id=1t984HtK_guWcZeKRnpb8iqKASRgbnGfk</v>
      </c>
      <c r="F1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1!$E:$E"")=$D198) *
        (IMPORTRANGE(""https://docs.google.com/spreadsheets/d/161aHT6vVT3SLneTKD19N5qVWtnj_jIT8CSsOmUVKmaA"&amp;"/edit?gid=1761053510"",
          ""Haris_Form responses 1!$AQ:$AQ"")=1)
      ),
      1
    ),
    ""0""
  ),
  ""Form not found""
)
"),"1")</f>
        <v>1</v>
      </c>
      <c r="G198" s="245" t="str">
        <f>IFERROR(__xludf.DUMMYFUNCTION("IFERROR(
  INDEX(
    FILTER(
      Transcription!$AJ:$AJ,
      TRIM(CLEAN(TEXT(Transcription!$F:$F, ""@""))) = TRIM(CLEAN(TEXT($D198, ""@""))),
      Transcription!$AO:$AO = 1
    ),
    1
  ),
  ""Not Found""
)
"),"https://drive.google.com/open?id=1SIcbR0KOBfJ4q7EdJ_i6tqCE0einmop5gaKaZL7YFS8")</f>
        <v>https://drive.google.com/open?id=1SIcbR0KOBfJ4q7EdJ_i6tqCE0einmop5gaKaZL7YFS8</v>
      </c>
      <c r="H1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TRIM(CLEAN(TEXT($D198, ""@""))),
      IMPORTRANGE(""https://docs.google.com/spreadsheets/d/1DccNxjBgurEr0ABkI_"&amp;"rBagJT5phB5HaHG5N_mTm_BiA/edit?gid=1382299152#gid=1382299152"", ""Form responses 1!$Z:$Z"") = 2
    ),
    1
  ),
  ""Not Found""
)
"),"Not Found")</f>
        <v>Not Found</v>
      </c>
      <c r="I1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1!$E:$E"")=$D198) *
        (IMPORTRANGE(""https://docs.google.com/spreadsheets/d/161aHT6vVT3SLneTKD19N5qVWtnj_jIT8CSsOmUVKmaA"&amp;"/edit?gid=1761053510"",
          ""Haris_Form responses 1!$AQ:$AQ"")=2)
      ),
      1
    ),
    ""0""
  ),
  ""Form not found""
)
"),"Form not found")</f>
        <v>Form not found</v>
      </c>
      <c r="J198" s="247" t="str">
        <f>IFERROR(__xludf.DUMMYFUNCTION("IFERROR(
  INDEX(
    FILTER(
      Transcription!$AJ:$AJ,
      TRIM(CLEAN(TEXT(Transcription!$F:$F, ""@""))) = TRIM(CLEAN(TEXT($D198, ""@""))),
      Transcription!$AO:$AO = 2
    ),
    1
  ),
  ""Not Found""
)
"),"Not Found")</f>
        <v>Not Found</v>
      </c>
      <c r="K19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TRIM(CLEAN(TEXT($D198, ""@""))),
      IMPORTRANGE(""https://docs.google.com/spreadsheets/d/1DccNxjBgurEr0ABkI_"&amp;"rBagJT5phB5HaHG5N_mTm_BiA/edit?gid=1382299152#gid=1382299152"", ""Form responses 1!$Z:$Z"") = 3
    ),
    1
  ),
  ""Not Found""
)
"),"https://drive.google.com/open?id=1-1uBV1JKCsVXGWQwDAoVV-KDSU5RLdv9")</f>
        <v>https://drive.google.com/open?id=1-1uBV1JKCsVXGWQwDAoVV-KDSU5RLdv9</v>
      </c>
      <c r="L1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1!$E:$E"")=$D198) *
        (IMPORTRANGE(""https://docs.google.com/spreadsheets/d/161aHT6vVT3SLneTKD19N5qVWtnj_jIT8CSsOmUVKmaA"&amp;"/edit?gid=1761053510"",
          ""Haris_Form responses 1!$AQ:$AQ"")=3)
      ),
      1
    ),
    ""0""
  ),
  ""Form not found""
)
"),"3")</f>
        <v>3</v>
      </c>
      <c r="M198" s="245" t="str">
        <f>IFERROR(__xludf.DUMMYFUNCTION("IFERROR(
  INDEX(
    FILTER(
      Transcription!$AJ:$AJ,
      TRIM(CLEAN(TEXT(Transcription!$F:$F, ""@""))) = TRIM(CLEAN(TEXT($D198, ""@""))),
      Transcription!$AO:$AO = 3
    ),
    1
  ),
  ""Not Found""
)
"),"https://drive.google.com/open?id=12t66EEmSUHHCK2YQUxardFwu7io9EbW5")</f>
        <v>https://drive.google.com/open?id=12t66EEmSUHHCK2YQUxardFwu7io9EbW5</v>
      </c>
      <c r="N1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TRIM(CLEAN(TEXT($D198, ""@""))),
      IMPORTRANGE(""https://docs.google.com/spreadsheets/d/1DccNxjBgurEr0ABkI_"&amp;"rBagJT5phB5HaHG5N_mTm_BiA/edit?gid=1382299152#gid=1382299152"", ""Form responses 1!$Z:$Z"") = 4
    ),
    1
  ),
  ""Not Found""
)
"),"Not Found")</f>
        <v>Not Found</v>
      </c>
      <c r="O1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1!$E:$E"")=$D198) *
        (IMPORTRANGE(""https://docs.google.com/spreadsheets/d/161aHT6vVT3SLneTKD19N5qVWtnj_jIT8CSsOmUVKmaA"&amp;"/edit?gid=1761053510"",
          ""Haris_Form responses 1!$AQ:$AQ"")=4)
      ),
      1
    ),
    ""0""
  ),
  ""Form not found""
)
"),"Form not found")</f>
        <v>Form not found</v>
      </c>
      <c r="P198" s="247" t="str">
        <f>IFERROR(__xludf.DUMMYFUNCTION("IFERROR(
  INDEX(
    FILTER(
      Transcription!$AJ:$AJ,
      TRIM(CLEAN(TEXT(Transcription!$F:$F, ""@""))) = TRIM(CLEAN(TEXT($D198, ""@""))),
      Transcription!$AO:$AO = 4
    ),
    1
  ),
  ""Not Found""
)
"),"Not Found")</f>
        <v>Not Found</v>
      </c>
      <c r="Q1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TRIM(CLEAN(TEXT($D198, ""@""))),
      IMPORTRANGE(""https://docs.google.com/spreadsheets/d/1DccNxjBgurEr0ABkI_"&amp;"rBagJT5phB5HaHG5N_mTm_BiA/edit?gid=1382299152#gid=1382299152"", ""Form responses 1!$Z:$Z"") = 5
    ),
    1
  ),
  ""Not Found""
)
"),"Not Found")</f>
        <v>Not Found</v>
      </c>
      <c r="R1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1!$E:$E"")=$D198) *
        (IMPORTRANGE(""https://docs.google.com/spreadsheets/d/161aHT6vVT3SLneTKD19N5qVWtnj_jIT8CSsOmUVKmaA"&amp;"/edit?gid=1761053510"",
          ""Haris_Form responses 1!$AQ:$AQ"")=5)
      ),
      1
    ),
    ""0""
  ),
  ""Form not found""
)
"),"Form not found")</f>
        <v>Form not found</v>
      </c>
      <c r="S198" s="247" t="str">
        <f>IFERROR(__xludf.DUMMYFUNCTION("IFERROR(
  INDEX(
    FILTER(
      Transcription!$AJ:$AJ,
      TRIM(CLEAN(TEXT(Transcription!$F:$F, ""@""))) = TRIM(CLEAN(TEXT($D198, ""@""))),
      Transcription!$AO:$AO = 5
    ),
    1
  ),
  ""Not Found""
)
"),"Not Found")</f>
        <v>Not Found</v>
      </c>
      <c r="T1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TRIM(CLEAN(TEXT($D198, ""@""))),
      IMPORTRANGE(""https://docs.google.com/spreadsheets/d/1DccNxjBgurEr0ABkI_"&amp;"rBagJT5phB5HaHG5N_mTm_BiA/edit?gid=1382299152#gid=1382299152"", ""Form responses 1!$Z:$Z"") = 6
    ),
    1
  ),
  ""Not Found""
)
"),"Not Found")</f>
        <v>Not Found</v>
      </c>
      <c r="U1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1!$E:$E"")=$D198) *
        (IMPORTRANGE(""https://docs.google.com/spreadsheets/d/161aHT6vVT3SLneTKD19N5qVWtnj_jIT8CSsOmUVKmaA"&amp;"/edit?gid=1761053510"",
          ""Haris_Form responses 1!$AQ:$AQ"")=6)
      ),
      1
    ),
    ""0""
  ),
  ""Form not found""
)
"),"Form not found")</f>
        <v>Form not found</v>
      </c>
      <c r="V198" s="247" t="str">
        <f>IFERROR(__xludf.DUMMYFUNCTION("IFERROR(
  INDEX(
    FILTER(
      Transcription!$AJ:$AJ,
      TRIM(CLEAN(TEXT(Transcription!$F:$F, ""@""))) = TRIM(CLEAN(TEXT($D198, ""@""))),
      Transcription!$AO:$AO = 6
    ),
    1
  ),
  ""Not Found""
)
"),"Not Found")</f>
        <v>Not Found</v>
      </c>
      <c r="Z198" s="10">
        <f t="shared" si="1"/>
        <v>2</v>
      </c>
      <c r="AA198" s="10">
        <f t="shared" si="2"/>
        <v>0</v>
      </c>
    </row>
    <row r="199">
      <c r="A199" s="8" t="str">
        <f>VLOOKUP($D199,Sheet6!$B:$G,5,FALSE)</f>
        <v>Bahawalpur</v>
      </c>
      <c r="B199" s="232" t="str">
        <f>VLOOKUP($D199,Sheet6!$B:$G,4,FALSE)</f>
        <v>Control</v>
      </c>
      <c r="C199" s="8">
        <v>2.0</v>
      </c>
      <c r="D199" s="8" t="s">
        <v>4638</v>
      </c>
      <c r="E1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TRIM(CLEAN(TEXT($D199, ""@""))),
      IMPORTRANGE(""https://docs.google.com/spreadsheets/d/1DccNxjBgurEr0ABkI_"&amp;"rBagJT5phB5HaHG5N_mTm_BiA/edit?gid=1382299152#gid=1382299152"", ""Form responses 1!$Z:$Z"") = 1
    ),
    1
  ),
  ""Not Found""
)
"),"Not Found")</f>
        <v>Not Found</v>
      </c>
      <c r="F1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1!$E:$E"")=$D199) *
        (IMPORTRANGE(""https://docs.google.com/spreadsheets/d/161aHT6vVT3SLneTKD19N5qVWtnj_jIT8CSsOmUVKmaA"&amp;"/edit?gid=1761053510"",
          ""Haris_Form responses 1!$AQ:$AQ"")=1)
      ),
      1
    ),
    ""0""
  ),
  ""Form not found""
)
"),"Form not found")</f>
        <v>Form not found</v>
      </c>
      <c r="G199" s="247" t="str">
        <f>IFERROR(__xludf.DUMMYFUNCTION("IFERROR(
  INDEX(
    FILTER(
      Transcription!$AJ:$AJ,
      TRIM(CLEAN(TEXT(Transcription!$F:$F, ""@""))) = TRIM(CLEAN(TEXT($D199, ""@""))),
      Transcription!$AO:$AO = 1
    ),
    1
  ),
  ""Not Found""
)
"),"Not Found")</f>
        <v>Not Found</v>
      </c>
      <c r="H19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TRIM(CLEAN(TEXT($D199, ""@""))),
      IMPORTRANGE(""https://docs.google.com/spreadsheets/d/1DccNxjBgurEr0ABkI_"&amp;"rBagJT5phB5HaHG5N_mTm_BiA/edit?gid=1382299152#gid=1382299152"", ""Form responses 1!$Z:$Z"") = 2
    ),
    1
  ),
  ""Not Found""
)
"),"https://drive.google.com/open?id=1NhZSTXuRq46Bx3LqzbhZSc1FPwJqyjbN")</f>
        <v>https://drive.google.com/open?id=1NhZSTXuRq46Bx3LqzbhZSc1FPwJqyjbN</v>
      </c>
      <c r="I1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1!$E:$E"")=$D199) *
        (IMPORTRANGE(""https://docs.google.com/spreadsheets/d/161aHT6vVT3SLneTKD19N5qVWtnj_jIT8CSsOmUVKmaA"&amp;"/edit?gid=1761053510"",
          ""Haris_Form responses 1!$AQ:$AQ"")=2)
      ),
      1
    ),
    ""0""
  ),
  ""Form not found""
)
"),"2")</f>
        <v>2</v>
      </c>
      <c r="J199" s="245" t="str">
        <f>IFERROR(__xludf.DUMMYFUNCTION("IFERROR(
  INDEX(
    FILTER(
      Transcription!$AJ:$AJ,
      TRIM(CLEAN(TEXT(Transcription!$F:$F, ""@""))) = TRIM(CLEAN(TEXT($D199, ""@""))),
      Transcription!$AO:$AO = 2
    ),
    1
  ),
  ""Not Found""
)
"),"https://drive.google.com/open?id=17V8qpliegmbqUNP_kAROJ_W5cAolHof5Fqh2F9VmoRE")</f>
        <v>https://drive.google.com/open?id=17V8qpliegmbqUNP_kAROJ_W5cAolHof5Fqh2F9VmoRE</v>
      </c>
      <c r="K19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TRIM(CLEAN(TEXT($D199, ""@""))),
      IMPORTRANGE(""https://docs.google.com/spreadsheets/d/1DccNxjBgurEr0ABkI_"&amp;"rBagJT5phB5HaHG5N_mTm_BiA/edit?gid=1382299152#gid=1382299152"", ""Form responses 1!$Z:$Z"") = 3
    ),
    1
  ),
  ""Not Found""
)
"),"https://drive.google.com/open?id=1u3nN0AtGr78paZwK3LFij250cCAWlyx6")</f>
        <v>https://drive.google.com/open?id=1u3nN0AtGr78paZwK3LFij250cCAWlyx6</v>
      </c>
      <c r="L1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1!$E:$E"")=$D199) *
        (IMPORTRANGE(""https://docs.google.com/spreadsheets/d/161aHT6vVT3SLneTKD19N5qVWtnj_jIT8CSsOmUVKmaA"&amp;"/edit?gid=1761053510"",
          ""Haris_Form responses 1!$AQ:$AQ"")=3)
      ),
      1
    ),
    ""0""
  ),
  ""Form not found""
)
"),"3")</f>
        <v>3</v>
      </c>
      <c r="M199" s="245" t="str">
        <f>IFERROR(__xludf.DUMMYFUNCTION("IFERROR(
  INDEX(
    FILTER(
      Transcription!$AJ:$AJ,
      TRIM(CLEAN(TEXT(Transcription!$F:$F, ""@""))) = TRIM(CLEAN(TEXT($D199, ""@""))),
      Transcription!$AO:$AO = 3
    ),
    1
  ),
  ""Not Found""
)
"),"https://drive.google.com/open?id=18duYEGp7daS6PeL4NI_6FAfe9kWbPXCtTtGNXLeKQa8")</f>
        <v>https://drive.google.com/open?id=18duYEGp7daS6PeL4NI_6FAfe9kWbPXCtTtGNXLeKQa8</v>
      </c>
      <c r="N1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TRIM(CLEAN(TEXT($D199, ""@""))),
      IMPORTRANGE(""https://docs.google.com/spreadsheets/d/1DccNxjBgurEr0ABkI_"&amp;"rBagJT5phB5HaHG5N_mTm_BiA/edit?gid=1382299152#gid=1382299152"", ""Form responses 1!$Z:$Z"") = 4
    ),
    1
  ),
  ""Not Found""
)
"),"Not Found")</f>
        <v>Not Found</v>
      </c>
      <c r="O1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1!$E:$E"")=$D199) *
        (IMPORTRANGE(""https://docs.google.com/spreadsheets/d/161aHT6vVT3SLneTKD19N5qVWtnj_jIT8CSsOmUVKmaA"&amp;"/edit?gid=1761053510"",
          ""Haris_Form responses 1!$AQ:$AQ"")=4)
      ),
      1
    ),
    ""0""
  ),
  ""Form not found""
)
"),"Form not found")</f>
        <v>Form not found</v>
      </c>
      <c r="P199" s="247" t="str">
        <f>IFERROR(__xludf.DUMMYFUNCTION("IFERROR(
  INDEX(
    FILTER(
      Transcription!$AJ:$AJ,
      TRIM(CLEAN(TEXT(Transcription!$F:$F, ""@""))) = TRIM(CLEAN(TEXT($D199, ""@""))),
      Transcription!$AO:$AO = 4
    ),
    1
  ),
  ""Not Found""
)
"),"Not Found")</f>
        <v>Not Found</v>
      </c>
      <c r="Q1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TRIM(CLEAN(TEXT($D199, ""@""))),
      IMPORTRANGE(""https://docs.google.com/spreadsheets/d/1DccNxjBgurEr0ABkI_"&amp;"rBagJT5phB5HaHG5N_mTm_BiA/edit?gid=1382299152#gid=1382299152"", ""Form responses 1!$Z:$Z"") = 5
    ),
    1
  ),
  ""Not Found""
)
"),"Not Found")</f>
        <v>Not Found</v>
      </c>
      <c r="R1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1!$E:$E"")=$D199) *
        (IMPORTRANGE(""https://docs.google.com/spreadsheets/d/161aHT6vVT3SLneTKD19N5qVWtnj_jIT8CSsOmUVKmaA"&amp;"/edit?gid=1761053510"",
          ""Haris_Form responses 1!$AQ:$AQ"")=5)
      ),
      1
    ),
    ""0""
  ),
  ""Form not found""
)
"),"Form not found")</f>
        <v>Form not found</v>
      </c>
      <c r="S199" s="247" t="str">
        <f>IFERROR(__xludf.DUMMYFUNCTION("IFERROR(
  INDEX(
    FILTER(
      Transcription!$AJ:$AJ,
      TRIM(CLEAN(TEXT(Transcription!$F:$F, ""@""))) = TRIM(CLEAN(TEXT($D199, ""@""))),
      Transcription!$AO:$AO = 5
    ),
    1
  ),
  ""Not Found""
)
"),"Not Found")</f>
        <v>Not Found</v>
      </c>
      <c r="T1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TRIM(CLEAN(TEXT($D199, ""@""))),
      IMPORTRANGE(""https://docs.google.com/spreadsheets/d/1DccNxjBgurEr0ABkI_"&amp;"rBagJT5phB5HaHG5N_mTm_BiA/edit?gid=1382299152#gid=1382299152"", ""Form responses 1!$Z:$Z"") = 6
    ),
    1
  ),
  ""Not Found""
)
"),"Not Found")</f>
        <v>Not Found</v>
      </c>
      <c r="U1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1!$E:$E"")=$D199) *
        (IMPORTRANGE(""https://docs.google.com/spreadsheets/d/161aHT6vVT3SLneTKD19N5qVWtnj_jIT8CSsOmUVKmaA"&amp;"/edit?gid=1761053510"",
          ""Haris_Form responses 1!$AQ:$AQ"")=6)
      ),
      1
    ),
    ""0""
  ),
  ""Form not found""
)
"),"Form not found")</f>
        <v>Form not found</v>
      </c>
      <c r="V199" s="247" t="str">
        <f>IFERROR(__xludf.DUMMYFUNCTION("IFERROR(
  INDEX(
    FILTER(
      Transcription!$AJ:$AJ,
      TRIM(CLEAN(TEXT(Transcription!$F:$F, ""@""))) = TRIM(CLEAN(TEXT($D199, ""@""))),
      Transcription!$AO:$AO = 6
    ),
    1
  ),
  ""Not Found""
)
"),"Not Found")</f>
        <v>Not Found</v>
      </c>
      <c r="Z199" s="10">
        <f t="shared" si="1"/>
        <v>2</v>
      </c>
      <c r="AA199" s="10">
        <f t="shared" si="2"/>
        <v>0</v>
      </c>
    </row>
    <row r="200">
      <c r="A200" s="8" t="str">
        <f>VLOOKUP($D200,Sheet6!$B:$G,5,FALSE)</f>
        <v>Bahawalpur</v>
      </c>
      <c r="B200" s="232" t="str">
        <f>VLOOKUP($D200,Sheet6!$B:$G,4,FALSE)</f>
        <v>Community Religious No Info Share</v>
      </c>
      <c r="C200" s="8">
        <v>3.0</v>
      </c>
      <c r="D200" s="8" t="s">
        <v>4639</v>
      </c>
      <c r="E2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TRIM(CLEAN(TEXT($D200, ""@""))),
      IMPORTRANGE(""https://docs.google.com/spreadsheets/d/1DccNxjBgurEr0ABkI_"&amp;"rBagJT5phB5HaHG5N_mTm_BiA/edit?gid=1382299152#gid=1382299152"", ""Form responses 1!$Z:$Z"") = 1
    ),
    1
  ),
  ""Not Found""
)
"),"https://drive.google.com/open?id=1crTXJ4c_LHTbAktyDAGNl2SaIgFOwqKO")</f>
        <v>https://drive.google.com/open?id=1crTXJ4c_LHTbAktyDAGNl2SaIgFOwqKO</v>
      </c>
      <c r="F2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1!$E:$E"")=$D200) *
        (IMPORTRANGE(""https://docs.google.com/spreadsheets/d/161aHT6vVT3SLneTKD19N5qVWtnj_jIT8CSsOmUVKmaA"&amp;"/edit?gid=1761053510"",
          ""Haris_Form responses 1!$AQ:$AQ"")=1)
      ),
      1
    ),
    ""0""
  ),
  ""Form not found""
)
"),"1")</f>
        <v>1</v>
      </c>
      <c r="G200" s="245" t="str">
        <f>IFERROR(__xludf.DUMMYFUNCTION("IFERROR(
  INDEX(
    FILTER(
      Transcription!$AJ:$AJ,
      TRIM(CLEAN(TEXT(Transcription!$F:$F, ""@""))) = TRIM(CLEAN(TEXT($D200, ""@""))),
      Transcription!$AO:$AO = 1
    ),
    1
  ),
  ""Not Found""
)
"),"https://drive.google.com/open?id=1C_58W6u3bjJC-SNtzli2xuyH8YuPUAFW")</f>
        <v>https://drive.google.com/open?id=1C_58W6u3bjJC-SNtzli2xuyH8YuPUAFW</v>
      </c>
      <c r="H2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TRIM(CLEAN(TEXT($D200, ""@""))),
      IMPORTRANGE(""https://docs.google.com/spreadsheets/d/1DccNxjBgurEr0ABkI_"&amp;"rBagJT5phB5HaHG5N_mTm_BiA/edit?gid=1382299152#gid=1382299152"", ""Form responses 1!$Z:$Z"") = 2
    ),
    1
  ),
  ""Not Found""
)
"),"https://drive.google.com/open?id=1MrjFtVcfLZ3JoajGU3Etyj459lE7KTmx")</f>
        <v>https://drive.google.com/open?id=1MrjFtVcfLZ3JoajGU3Etyj459lE7KTmx</v>
      </c>
      <c r="I2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1!$E:$E"")=$D200) *
        (IMPORTRANGE(""https://docs.google.com/spreadsheets/d/161aHT6vVT3SLneTKD19N5qVWtnj_jIT8CSsOmUVKmaA"&amp;"/edit?gid=1761053510"",
          ""Haris_Form responses 1!$AQ:$AQ"")=2)
      ),
      1
    ),
    ""0""
  ),
  ""Form not found""
)
"),"2")</f>
        <v>2</v>
      </c>
      <c r="J200" s="245" t="str">
        <f>IFERROR(__xludf.DUMMYFUNCTION("IFERROR(
  INDEX(
    FILTER(
      Transcription!$AJ:$AJ,
      TRIM(CLEAN(TEXT(Transcription!$F:$F, ""@""))) = TRIM(CLEAN(TEXT($D200, ""@""))),
      Transcription!$AO:$AO = 2
    ),
    1
  ),
  ""Not Found""
)
"),"https://drive.google.com/open?id=15G1_7u_MVvbz4WpnOpkBsWwZjX_N16o9")</f>
        <v>https://drive.google.com/open?id=15G1_7u_MVvbz4WpnOpkBsWwZjX_N16o9</v>
      </c>
      <c r="K2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TRIM(CLEAN(TEXT($D200, ""@""))),
      IMPORTRANGE(""https://docs.google.com/spreadsheets/d/1DccNxjBgurEr0ABkI_"&amp;"rBagJT5phB5HaHG5N_mTm_BiA/edit?gid=1382299152#gid=1382299152"", ""Form responses 1!$Z:$Z"") = 3
    ),
    1
  ),
  ""Not Found""
)
"),"https://drive.google.com/open?id=1wQiiB83hwbuWLGwyrcGyY0g1ZWw8rfIM")</f>
        <v>https://drive.google.com/open?id=1wQiiB83hwbuWLGwyrcGyY0g1ZWw8rfIM</v>
      </c>
      <c r="L2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1!$E:$E"")=$D200) *
        (IMPORTRANGE(""https://docs.google.com/spreadsheets/d/161aHT6vVT3SLneTKD19N5qVWtnj_jIT8CSsOmUVKmaA"&amp;"/edit?gid=1761053510"",
          ""Haris_Form responses 1!$AQ:$AQ"")=3)
      ),
      1
    ),
    ""0""
  ),
  ""Form not found""
)
"),"3")</f>
        <v>3</v>
      </c>
      <c r="M200" s="245" t="str">
        <f>IFERROR(__xludf.DUMMYFUNCTION("IFERROR(
  INDEX(
    FILTER(
      Transcription!$AJ:$AJ,
      TRIM(CLEAN(TEXT(Transcription!$F:$F, ""@""))) = TRIM(CLEAN(TEXT($D200, ""@""))),
      Transcription!$AO:$AO = 3
    ),
    1
  ),
  ""Not Found""
)
"),"https://drive.google.com/open?id=1YxGgECqrRdIXRnMBn9DZ6L8d8TqnpSR4")</f>
        <v>https://drive.google.com/open?id=1YxGgECqrRdIXRnMBn9DZ6L8d8TqnpSR4</v>
      </c>
      <c r="N20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TRIM(CLEAN(TEXT($D200, ""@""))),
      IMPORTRANGE(""https://docs.google.com/spreadsheets/d/1DccNxjBgurEr0ABkI_"&amp;"rBagJT5phB5HaHG5N_mTm_BiA/edit?gid=1382299152#gid=1382299152"", ""Form responses 1!$Z:$Z"") = 4
    ),
    1
  ),
  ""Not Found""
)
"),"Not Found")</f>
        <v>Not Found</v>
      </c>
      <c r="O2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1!$E:$E"")=$D200) *
        (IMPORTRANGE(""https://docs.google.com/spreadsheets/d/161aHT6vVT3SLneTKD19N5qVWtnj_jIT8CSsOmUVKmaA"&amp;"/edit?gid=1761053510"",
          ""Haris_Form responses 1!$AQ:$AQ"")=4)
      ),
      1
    ),
    ""0""
  ),
  ""Form not found""
)
"),"Form not found")</f>
        <v>Form not found</v>
      </c>
      <c r="P200" s="247" t="str">
        <f>IFERROR(__xludf.DUMMYFUNCTION("IFERROR(
  INDEX(
    FILTER(
      Transcription!$AJ:$AJ,
      TRIM(CLEAN(TEXT(Transcription!$F:$F, ""@""))) = TRIM(CLEAN(TEXT($D200, ""@""))),
      Transcription!$AO:$AO = 4
    ),
    1
  ),
  ""Not Found""
)
"),"Not Found")</f>
        <v>Not Found</v>
      </c>
      <c r="Q20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TRIM(CLEAN(TEXT($D200, ""@""))),
      IMPORTRANGE(""https://docs.google.com/spreadsheets/d/1DccNxjBgurEr0ABkI_"&amp;"rBagJT5phB5HaHG5N_mTm_BiA/edit?gid=1382299152#gid=1382299152"", ""Form responses 1!$Z:$Z"") = 5
    ),
    1
  ),
  ""Not Found""
)
"),"Not Found")</f>
        <v>Not Found</v>
      </c>
      <c r="R2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1!$E:$E"")=$D200) *
        (IMPORTRANGE(""https://docs.google.com/spreadsheets/d/161aHT6vVT3SLneTKD19N5qVWtnj_jIT8CSsOmUVKmaA"&amp;"/edit?gid=1761053510"",
          ""Haris_Form responses 1!$AQ:$AQ"")=5)
      ),
      1
    ),
    ""0""
  ),
  ""Form not found""
)
"),"Form not found")</f>
        <v>Form not found</v>
      </c>
      <c r="S200" s="247" t="str">
        <f>IFERROR(__xludf.DUMMYFUNCTION("IFERROR(
  INDEX(
    FILTER(
      Transcription!$AJ:$AJ,
      TRIM(CLEAN(TEXT(Transcription!$F:$F, ""@""))) = TRIM(CLEAN(TEXT($D200, ""@""))),
      Transcription!$AO:$AO = 5
    ),
    1
  ),
  ""Not Found""
)
"),"Not Found")</f>
        <v>Not Found</v>
      </c>
      <c r="T20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TRIM(CLEAN(TEXT($D200, ""@""))),
      IMPORTRANGE(""https://docs.google.com/spreadsheets/d/1DccNxjBgurEr0ABkI_"&amp;"rBagJT5phB5HaHG5N_mTm_BiA/edit?gid=1382299152#gid=1382299152"", ""Form responses 1!$Z:$Z"") = 6
    ),
    1
  ),
  ""Not Found""
)
"),"Not Found")</f>
        <v>Not Found</v>
      </c>
      <c r="U2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1!$E:$E"")=$D200) *
        (IMPORTRANGE(""https://docs.google.com/spreadsheets/d/161aHT6vVT3SLneTKD19N5qVWtnj_jIT8CSsOmUVKmaA"&amp;"/edit?gid=1761053510"",
          ""Haris_Form responses 1!$AQ:$AQ"")=6)
      ),
      1
    ),
    ""0""
  ),
  ""Form not found""
)
"),"Form not found")</f>
        <v>Form not found</v>
      </c>
      <c r="V200" s="247" t="str">
        <f>IFERROR(__xludf.DUMMYFUNCTION("IFERROR(
  INDEX(
    FILTER(
      Transcription!$AJ:$AJ,
      TRIM(CLEAN(TEXT(Transcription!$F:$F, ""@""))) = TRIM(CLEAN(TEXT($D200, ""@""))),
      Transcription!$AO:$AO = 6
    ),
    1
  ),
  ""Not Found""
)
"),"Not Found")</f>
        <v>Not Found</v>
      </c>
      <c r="Z200" s="10">
        <f t="shared" si="1"/>
        <v>3</v>
      </c>
      <c r="AA200" s="10">
        <f t="shared" si="2"/>
        <v>0</v>
      </c>
    </row>
    <row r="201">
      <c r="A201" s="8" t="str">
        <f>VLOOKUP($D201,Sheet6!$B:$G,5,FALSE)</f>
        <v>Bahawalpur</v>
      </c>
      <c r="B201" s="232" t="str">
        <f>VLOOKUP($D201,Sheet6!$B:$G,4,FALSE)</f>
        <v>Community Secular No Info Share</v>
      </c>
      <c r="C201" s="8">
        <v>3.0</v>
      </c>
      <c r="D201" s="8" t="s">
        <v>4640</v>
      </c>
      <c r="E2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TRIM(CLEAN(TEXT($D201, ""@""))),
      IMPORTRANGE(""https://docs.google.com/spreadsheets/d/1DccNxjBgurEr0ABkI_"&amp;"rBagJT5phB5HaHG5N_mTm_BiA/edit?gid=1382299152#gid=1382299152"", ""Form responses 1!$Z:$Z"") = 1
    ),
    1
  ),
  ""Not Found""
)
"),"https://drive.google.com/open?id=1hA7OYF61k_VP3sgqTErw63JZ-nBeNswF")</f>
        <v>https://drive.google.com/open?id=1hA7OYF61k_VP3sgqTErw63JZ-nBeNswF</v>
      </c>
      <c r="F2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1!$E:$E"")=$D201) *
        (IMPORTRANGE(""https://docs.google.com/spreadsheets/d/161aHT6vVT3SLneTKD19N5qVWtnj_jIT8CSsOmUVKmaA"&amp;"/edit?gid=1761053510"",
          ""Haris_Form responses 1!$AQ:$AQ"")=1)
      ),
      1
    ),
    ""0""
  ),
  ""Form not found""
)
"),"1")</f>
        <v>1</v>
      </c>
      <c r="G201" s="245" t="str">
        <f>IFERROR(__xludf.DUMMYFUNCTION("IFERROR(
  INDEX(
    FILTER(
      Transcription!$AJ:$AJ,
      TRIM(CLEAN(TEXT(Transcription!$F:$F, ""@""))) = TRIM(CLEAN(TEXT($D201, ""@""))),
      Transcription!$AO:$AO = 1
    ),
    1
  ),
  ""Not Found""
)
"),"https://drive.google.com/open?id=1csyGv3jB9Ym9diZUZ9nnUwCiunI7XAkgcjrXHUESqpE")</f>
        <v>https://drive.google.com/open?id=1csyGv3jB9Ym9diZUZ9nnUwCiunI7XAkgcjrXHUESqpE</v>
      </c>
      <c r="H2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TRIM(CLEAN(TEXT($D201, ""@""))),
      IMPORTRANGE(""https://docs.google.com/spreadsheets/d/1DccNxjBgurEr0ABkI_"&amp;"rBagJT5phB5HaHG5N_mTm_BiA/edit?gid=1382299152#gid=1382299152"", ""Form responses 1!$Z:$Z"") = 2
    ),
    1
  ),
  ""Not Found""
)
"),"https://drive.google.com/open?id=1wVX1sQhc0yBBRv7EXcNm577FgPNxaWOb")</f>
        <v>https://drive.google.com/open?id=1wVX1sQhc0yBBRv7EXcNm577FgPNxaWOb</v>
      </c>
      <c r="I2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1!$E:$E"")=$D201) *
        (IMPORTRANGE(""https://docs.google.com/spreadsheets/d/161aHT6vVT3SLneTKD19N5qVWtnj_jIT8CSsOmUVKmaA"&amp;"/edit?gid=1761053510"",
          ""Haris_Form responses 1!$AQ:$AQ"")=2)
      ),
      1
    ),
    ""0""
  ),
  ""Form not found""
)
"),"2")</f>
        <v>2</v>
      </c>
      <c r="J201" s="245" t="str">
        <f>IFERROR(__xludf.DUMMYFUNCTION("IFERROR(
  INDEX(
    FILTER(
      Transcription!$AJ:$AJ,
      TRIM(CLEAN(TEXT(Transcription!$F:$F, ""@""))) = TRIM(CLEAN(TEXT($D201, ""@""))),
      Transcription!$AO:$AO = 2
    ),
    1
  ),
  ""Not Found""
)
"),"https://drive.google.com/open?id=1tdsp-zy1T1Y2g2RwAg7nv9gkNUsC45Sy5ezwwuLTTLA")</f>
        <v>https://drive.google.com/open?id=1tdsp-zy1T1Y2g2RwAg7nv9gkNUsC45Sy5ezwwuLTTLA</v>
      </c>
      <c r="K2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TRIM(CLEAN(TEXT($D201, ""@""))),
      IMPORTRANGE(""https://docs.google.com/spreadsheets/d/1DccNxjBgurEr0ABkI_"&amp;"rBagJT5phB5HaHG5N_mTm_BiA/edit?gid=1382299152#gid=1382299152"", ""Form responses 1!$Z:$Z"") = 3
    ),
    1
  ),
  ""Not Found""
)
"),"https://drive.google.com/open?id=14HMRleqUVsK8K9E8HrhI_WpeU4IwtkV1")</f>
        <v>https://drive.google.com/open?id=14HMRleqUVsK8K9E8HrhI_WpeU4IwtkV1</v>
      </c>
      <c r="L2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1!$E:$E"")=$D201) *
        (IMPORTRANGE(""https://docs.google.com/spreadsheets/d/161aHT6vVT3SLneTKD19N5qVWtnj_jIT8CSsOmUVKmaA"&amp;"/edit?gid=1761053510"",
          ""Haris_Form responses 1!$AQ:$AQ"")=3)
      ),
      1
    ),
    ""0""
  ),
  ""Form not found""
)
"),"3")</f>
        <v>3</v>
      </c>
      <c r="M201" s="245" t="str">
        <f>IFERROR(__xludf.DUMMYFUNCTION("IFERROR(
  INDEX(
    FILTER(
      Transcription!$AJ:$AJ,
      TRIM(CLEAN(TEXT(Transcription!$F:$F, ""@""))) = TRIM(CLEAN(TEXT($D201, ""@""))),
      Transcription!$AO:$AO = 3
    ),
    1
  ),
  ""Not Found""
)
"),"https://drive.google.com/open?id=12eYNWBwT8dnN-z6dm230LPA9TRMLC9evCS_kXa5cgag")</f>
        <v>https://drive.google.com/open?id=12eYNWBwT8dnN-z6dm230LPA9TRMLC9evCS_kXa5cgag</v>
      </c>
      <c r="N20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TRIM(CLEAN(TEXT($D201, ""@""))),
      IMPORTRANGE(""https://docs.google.com/spreadsheets/d/1DccNxjBgurEr0ABkI_"&amp;"rBagJT5phB5HaHG5N_mTm_BiA/edit?gid=1382299152#gid=1382299152"", ""Form responses 1!$Z:$Z"") = 4
    ),
    1
  ),
  ""Not Found""
)
"),"Not Found")</f>
        <v>Not Found</v>
      </c>
      <c r="O2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1!$E:$E"")=$D201) *
        (IMPORTRANGE(""https://docs.google.com/spreadsheets/d/161aHT6vVT3SLneTKD19N5qVWtnj_jIT8CSsOmUVKmaA"&amp;"/edit?gid=1761053510"",
          ""Haris_Form responses 1!$AQ:$AQ"")=4)
      ),
      1
    ),
    ""0""
  ),
  ""Form not found""
)
"),"Form not found")</f>
        <v>Form not found</v>
      </c>
      <c r="P201" s="247" t="str">
        <f>IFERROR(__xludf.DUMMYFUNCTION("IFERROR(
  INDEX(
    FILTER(
      Transcription!$AJ:$AJ,
      TRIM(CLEAN(TEXT(Transcription!$F:$F, ""@""))) = TRIM(CLEAN(TEXT($D201, ""@""))),
      Transcription!$AO:$AO = 4
    ),
    1
  ),
  ""Not Found""
)
"),"Not Found")</f>
        <v>Not Found</v>
      </c>
      <c r="Q20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TRIM(CLEAN(TEXT($D201, ""@""))),
      IMPORTRANGE(""https://docs.google.com/spreadsheets/d/1DccNxjBgurEr0ABkI_"&amp;"rBagJT5phB5HaHG5N_mTm_BiA/edit?gid=1382299152#gid=1382299152"", ""Form responses 1!$Z:$Z"") = 5
    ),
    1
  ),
  ""Not Found""
)
"),"Not Found")</f>
        <v>Not Found</v>
      </c>
      <c r="R2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1!$E:$E"")=$D201) *
        (IMPORTRANGE(""https://docs.google.com/spreadsheets/d/161aHT6vVT3SLneTKD19N5qVWtnj_jIT8CSsOmUVKmaA"&amp;"/edit?gid=1761053510"",
          ""Haris_Form responses 1!$AQ:$AQ"")=5)
      ),
      1
    ),
    ""0""
  ),
  ""Form not found""
)
"),"Form not found")</f>
        <v>Form not found</v>
      </c>
      <c r="S201" s="247" t="str">
        <f>IFERROR(__xludf.DUMMYFUNCTION("IFERROR(
  INDEX(
    FILTER(
      Transcription!$AJ:$AJ,
      TRIM(CLEAN(TEXT(Transcription!$F:$F, ""@""))) = TRIM(CLEAN(TEXT($D201, ""@""))),
      Transcription!$AO:$AO = 5
    ),
    1
  ),
  ""Not Found""
)
"),"Not Found")</f>
        <v>Not Found</v>
      </c>
      <c r="T20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TRIM(CLEAN(TEXT($D201, ""@""))),
      IMPORTRANGE(""https://docs.google.com/spreadsheets/d/1DccNxjBgurEr0ABkI_"&amp;"rBagJT5phB5HaHG5N_mTm_BiA/edit?gid=1382299152#gid=1382299152"", ""Form responses 1!$Z:$Z"") = 6
    ),
    1
  ),
  ""Not Found""
)
"),"Not Found")</f>
        <v>Not Found</v>
      </c>
      <c r="U2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1!$E:$E"")=$D201) *
        (IMPORTRANGE(""https://docs.google.com/spreadsheets/d/161aHT6vVT3SLneTKD19N5qVWtnj_jIT8CSsOmUVKmaA"&amp;"/edit?gid=1761053510"",
          ""Haris_Form responses 1!$AQ:$AQ"")=6)
      ),
      1
    ),
    ""0""
  ),
  ""Form not found""
)
"),"Form not found")</f>
        <v>Form not found</v>
      </c>
      <c r="V201" s="247" t="str">
        <f>IFERROR(__xludf.DUMMYFUNCTION("IFERROR(
  INDEX(
    FILTER(
      Transcription!$AJ:$AJ,
      TRIM(CLEAN(TEXT(Transcription!$F:$F, ""@""))) = TRIM(CLEAN(TEXT($D201, ""@""))),
      Transcription!$AO:$AO = 6
    ),
    1
  ),
  ""Not Found""
)
"),"Not Found")</f>
        <v>Not Found</v>
      </c>
      <c r="Z201" s="10">
        <f t="shared" si="1"/>
        <v>3</v>
      </c>
      <c r="AA201" s="10">
        <f t="shared" si="2"/>
        <v>0</v>
      </c>
    </row>
    <row r="202">
      <c r="A202" s="8" t="str">
        <f>VLOOKUP($D202,Sheet6!$B:$G,5,FALSE)</f>
        <v>Bahawalpur</v>
      </c>
      <c r="B202" s="232" t="str">
        <f>VLOOKUP($D202,Sheet6!$B:$G,4,FALSE)</f>
        <v>Control</v>
      </c>
      <c r="C202" s="8">
        <v>2.0</v>
      </c>
      <c r="D202" s="8" t="s">
        <v>4641</v>
      </c>
      <c r="E20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TRIM(CLEAN(TEXT($D202, ""@""))),
      IMPORTRANGE(""https://docs.google.com/spreadsheets/d/1DccNxjBgurEr0ABkI_"&amp;"rBagJT5phB5HaHG5N_mTm_BiA/edit?gid=1382299152#gid=1382299152"", ""Form responses 1!$Z:$Z"") = 1
    ),
    1
  ),
  ""Not Found""
)
"),"https://drive.google.com/open?id=1ORwtbvx5hUaHw5ltXD0a0cuDhXWSnlLK")</f>
        <v>https://drive.google.com/open?id=1ORwtbvx5hUaHw5ltXD0a0cuDhXWSnlLK</v>
      </c>
      <c r="F2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1!$E:$E"")=$D202) *
        (IMPORTRANGE(""https://docs.google.com/spreadsheets/d/161aHT6vVT3SLneTKD19N5qVWtnj_jIT8CSsOmUVKmaA"&amp;"/edit?gid=1761053510"",
          ""Haris_Form responses 1!$AQ:$AQ"")=1)
      ),
      1
    ),
    ""0""
  ),
  ""Form not found""
)
"),"1")</f>
        <v>1</v>
      </c>
      <c r="G202" s="245" t="str">
        <f>IFERROR(__xludf.DUMMYFUNCTION("IFERROR(
  INDEX(
    FILTER(
      Transcription!$AJ:$AJ,
      TRIM(CLEAN(TEXT(Transcription!$F:$F, ""@""))) = TRIM(CLEAN(TEXT($D202, ""@""))),
      Transcription!$AO:$AO = 1
    ),
    1
  ),
  ""Not Found""
)
"),"https://drive.google.com/open?id=1bF6S8iP-x2lFnBVyt1la1NxdmNWKm6AL7gDFt-Evqc4")</f>
        <v>https://drive.google.com/open?id=1bF6S8iP-x2lFnBVyt1la1NxdmNWKm6AL7gDFt-Evqc4</v>
      </c>
      <c r="H2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TRIM(CLEAN(TEXT($D202, ""@""))),
      IMPORTRANGE(""https://docs.google.com/spreadsheets/d/1DccNxjBgurEr0ABkI_"&amp;"rBagJT5phB5HaHG5N_mTm_BiA/edit?gid=1382299152#gid=1382299152"", ""Form responses 1!$Z:$Z"") = 2
    ),
    1
  ),
  ""Not Found""
)
"),"Not Found")</f>
        <v>Not Found</v>
      </c>
      <c r="I2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1!$E:$E"")=$D202) *
        (IMPORTRANGE(""https://docs.google.com/spreadsheets/d/161aHT6vVT3SLneTKD19N5qVWtnj_jIT8CSsOmUVKmaA"&amp;"/edit?gid=1761053510"",
          ""Haris_Form responses 1!$AQ:$AQ"")=2)
      ),
      1
    ),
    ""0""
  ),
  ""Form not found""
)
"),"Form not found")</f>
        <v>Form not found</v>
      </c>
      <c r="J202" s="247" t="str">
        <f>IFERROR(__xludf.DUMMYFUNCTION("IFERROR(
  INDEX(
    FILTER(
      Transcription!$AJ:$AJ,
      TRIM(CLEAN(TEXT(Transcription!$F:$F, ""@""))) = TRIM(CLEAN(TEXT($D202, ""@""))),
      Transcription!$AO:$AO = 2
    ),
    1
  ),
  ""Not Found""
)
"),"Not Found")</f>
        <v>Not Found</v>
      </c>
      <c r="K20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TRIM(CLEAN(TEXT($D202, ""@""))),
      IMPORTRANGE(""https://docs.google.com/spreadsheets/d/1DccNxjBgurEr0ABkI_"&amp;"rBagJT5phB5HaHG5N_mTm_BiA/edit?gid=1382299152#gid=1382299152"", ""Form responses 1!$Z:$Z"") = 3
    ),
    1
  ),
  ""Not Found""
)
"),"https://drive.google.com/file/d/1VC-tCiX6kTke4BAPe7sXewChnf7b0Vs3/view?usp=drive_link")</f>
        <v>https://drive.google.com/file/d/1VC-tCiX6kTke4BAPe7sXewChnf7b0Vs3/view?usp=drive_link</v>
      </c>
      <c r="L2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1!$E:$E"")=$D202) *
        (IMPORTRANGE(""https://docs.google.com/spreadsheets/d/161aHT6vVT3SLneTKD19N5qVWtnj_jIT8CSsOmUVKmaA"&amp;"/edit?gid=1761053510"",
          ""Haris_Form responses 1!$AQ:$AQ"")=3)
      ),
      1
    ),
    ""0""
  ),
  ""Form not found""
)
"),"3")</f>
        <v>3</v>
      </c>
      <c r="M202" s="245" t="str">
        <f>IFERROR(__xludf.DUMMYFUNCTION("IFERROR(
  INDEX(
    FILTER(
      Transcription!$AJ:$AJ,
      TRIM(CLEAN(TEXT(Transcription!$F:$F, ""@""))) = TRIM(CLEAN(TEXT($D202, ""@""))),
      Transcription!$AO:$AO = 3
    ),
    1
  ),
  ""Not Found""
)
"),"https://drive.google.com/open?id=1Mg6N-8wpwDHw2amxS2qV3QkLaBtDmoeU")</f>
        <v>https://drive.google.com/open?id=1Mg6N-8wpwDHw2amxS2qV3QkLaBtDmoeU</v>
      </c>
      <c r="N2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TRIM(CLEAN(TEXT($D202, ""@""))),
      IMPORTRANGE(""https://docs.google.com/spreadsheets/d/1DccNxjBgurEr0ABkI_"&amp;"rBagJT5phB5HaHG5N_mTm_BiA/edit?gid=1382299152#gid=1382299152"", ""Form responses 1!$Z:$Z"") = 4
    ),
    1
  ),
  ""Not Found""
)
"),"Not Found")</f>
        <v>Not Found</v>
      </c>
      <c r="O2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1!$E:$E"")=$D202) *
        (IMPORTRANGE(""https://docs.google.com/spreadsheets/d/161aHT6vVT3SLneTKD19N5qVWtnj_jIT8CSsOmUVKmaA"&amp;"/edit?gid=1761053510"",
          ""Haris_Form responses 1!$AQ:$AQ"")=4)
      ),
      1
    ),
    ""0""
  ),
  ""Form not found""
)
"),"Form not found")</f>
        <v>Form not found</v>
      </c>
      <c r="P202" s="247" t="str">
        <f>IFERROR(__xludf.DUMMYFUNCTION("IFERROR(
  INDEX(
    FILTER(
      Transcription!$AJ:$AJ,
      TRIM(CLEAN(TEXT(Transcription!$F:$F, ""@""))) = TRIM(CLEAN(TEXT($D202, ""@""))),
      Transcription!$AO:$AO = 4
    ),
    1
  ),
  ""Not Found""
)
"),"Not Found")</f>
        <v>Not Found</v>
      </c>
      <c r="Q2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TRIM(CLEAN(TEXT($D202, ""@""))),
      IMPORTRANGE(""https://docs.google.com/spreadsheets/d/1DccNxjBgurEr0ABkI_"&amp;"rBagJT5phB5HaHG5N_mTm_BiA/edit?gid=1382299152#gid=1382299152"", ""Form responses 1!$Z:$Z"") = 5
    ),
    1
  ),
  ""Not Found""
)
"),"Not Found")</f>
        <v>Not Found</v>
      </c>
      <c r="R2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1!$E:$E"")=$D202) *
        (IMPORTRANGE(""https://docs.google.com/spreadsheets/d/161aHT6vVT3SLneTKD19N5qVWtnj_jIT8CSsOmUVKmaA"&amp;"/edit?gid=1761053510"",
          ""Haris_Form responses 1!$AQ:$AQ"")=5)
      ),
      1
    ),
    ""0""
  ),
  ""Form not found""
)
"),"Form not found")</f>
        <v>Form not found</v>
      </c>
      <c r="S202" s="247" t="str">
        <f>IFERROR(__xludf.DUMMYFUNCTION("IFERROR(
  INDEX(
    FILTER(
      Transcription!$AJ:$AJ,
      TRIM(CLEAN(TEXT(Transcription!$F:$F, ""@""))) = TRIM(CLEAN(TEXT($D202, ""@""))),
      Transcription!$AO:$AO = 5
    ),
    1
  ),
  ""Not Found""
)
"),"Not Found")</f>
        <v>Not Found</v>
      </c>
      <c r="T2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TRIM(CLEAN(TEXT($D202, ""@""))),
      IMPORTRANGE(""https://docs.google.com/spreadsheets/d/1DccNxjBgurEr0ABkI_"&amp;"rBagJT5phB5HaHG5N_mTm_BiA/edit?gid=1382299152#gid=1382299152"", ""Form responses 1!$Z:$Z"") = 6
    ),
    1
  ),
  ""Not Found""
)
"),"Not Found")</f>
        <v>Not Found</v>
      </c>
      <c r="U2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1!$E:$E"")=$D202) *
        (IMPORTRANGE(""https://docs.google.com/spreadsheets/d/161aHT6vVT3SLneTKD19N5qVWtnj_jIT8CSsOmUVKmaA"&amp;"/edit?gid=1761053510"",
          ""Haris_Form responses 1!$AQ:$AQ"")=6)
      ),
      1
    ),
    ""0""
  ),
  ""Form not found""
)
"),"Form not found")</f>
        <v>Form not found</v>
      </c>
      <c r="V202" s="247" t="str">
        <f>IFERROR(__xludf.DUMMYFUNCTION("IFERROR(
  INDEX(
    FILTER(
      Transcription!$AJ:$AJ,
      TRIM(CLEAN(TEXT(Transcription!$F:$F, ""@""))) = TRIM(CLEAN(TEXT($D202, ""@""))),
      Transcription!$AO:$AO = 6
    ),
    1
  ),
  ""Not Found""
)
"),"Not Found")</f>
        <v>Not Found</v>
      </c>
      <c r="Z202" s="10">
        <f t="shared" si="1"/>
        <v>2</v>
      </c>
      <c r="AA202" s="10">
        <f t="shared" si="2"/>
        <v>0</v>
      </c>
    </row>
    <row r="203">
      <c r="A203" s="8" t="str">
        <f>VLOOKUP($D203,Sheet6!$B:$G,5,FALSE)</f>
        <v>Bahawalpur</v>
      </c>
      <c r="B203" s="232" t="str">
        <f>VLOOKUP($D203,Sheet6!$B:$G,4,FALSE)</f>
        <v>Control</v>
      </c>
      <c r="C203" s="8">
        <v>2.0</v>
      </c>
      <c r="D203" s="8" t="s">
        <v>4642</v>
      </c>
      <c r="E20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TRIM(CLEAN(TEXT($D203, ""@""))),
      IMPORTRANGE(""https://docs.google.com/spreadsheets/d/1DccNxjBgurEr0ABkI_"&amp;"rBagJT5phB5HaHG5N_mTm_BiA/edit?gid=1382299152#gid=1382299152"", ""Form responses 1!$Z:$Z"") = 1
    ),
    1
  ),
  ""Not Found""
)
"),"https://drive.google.com/open?id=1aiypwYkruZ2IGeQvC3YmHOdG8vdDsQGO")</f>
        <v>https://drive.google.com/open?id=1aiypwYkruZ2IGeQvC3YmHOdG8vdDsQGO</v>
      </c>
      <c r="F2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1!$E:$E"")=$D203) *
        (IMPORTRANGE(""https://docs.google.com/spreadsheets/d/161aHT6vVT3SLneTKD19N5qVWtnj_jIT8CSsOmUVKmaA"&amp;"/edit?gid=1761053510"",
          ""Haris_Form responses 1!$AQ:$AQ"")=1)
      ),
      1
    ),
    ""0""
  ),
  ""Form not found""
)
"),"1")</f>
        <v>1</v>
      </c>
      <c r="G203" s="245" t="str">
        <f>IFERROR(__xludf.DUMMYFUNCTION("IFERROR(
  INDEX(
    FILTER(
      Transcription!$AJ:$AJ,
      TRIM(CLEAN(TEXT(Transcription!$F:$F, ""@""))) = TRIM(CLEAN(TEXT($D203, ""@""))),
      Transcription!$AO:$AO = 1
    ),
    1
  ),
  ""Not Found""
)
"),"https://drive.google.com/open?id=1m0_AJ_ka5FhZCfemfj73yIgPqCcaOYka")</f>
        <v>https://drive.google.com/open?id=1m0_AJ_ka5FhZCfemfj73yIgPqCcaOYka</v>
      </c>
      <c r="H2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TRIM(CLEAN(TEXT($D203, ""@""))),
      IMPORTRANGE(""https://docs.google.com/spreadsheets/d/1DccNxjBgurEr0ABkI_"&amp;"rBagJT5phB5HaHG5N_mTm_BiA/edit?gid=1382299152#gid=1382299152"", ""Form responses 1!$Z:$Z"") = 2
    ),
    1
  ),
  ""Not Found""
)
"),"Not Found")</f>
        <v>Not Found</v>
      </c>
      <c r="I2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1!$E:$E"")=$D203) *
        (IMPORTRANGE(""https://docs.google.com/spreadsheets/d/161aHT6vVT3SLneTKD19N5qVWtnj_jIT8CSsOmUVKmaA"&amp;"/edit?gid=1761053510"",
          ""Haris_Form responses 1!$AQ:$AQ"")=2)
      ),
      1
    ),
    ""0""
  ),
  ""Form not found""
)
"),"Form not found")</f>
        <v>Form not found</v>
      </c>
      <c r="J203" s="247" t="str">
        <f>IFERROR(__xludf.DUMMYFUNCTION("IFERROR(
  INDEX(
    FILTER(
      Transcription!$AJ:$AJ,
      TRIM(CLEAN(TEXT(Transcription!$F:$F, ""@""))) = TRIM(CLEAN(TEXT($D203, ""@""))),
      Transcription!$AO:$AO = 2
    ),
    1
  ),
  ""Not Found""
)
"),"Not Found")</f>
        <v>Not Found</v>
      </c>
      <c r="K20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TRIM(CLEAN(TEXT($D203, ""@""))),
      IMPORTRANGE(""https://docs.google.com/spreadsheets/d/1DccNxjBgurEr0ABkI_"&amp;"rBagJT5phB5HaHG5N_mTm_BiA/edit?gid=1382299152#gid=1382299152"", ""Form responses 1!$Z:$Z"") = 3
    ),
    1
  ),
  ""Not Found""
)
"),"https://drive.google.com/open?id=1rP02ptEknCupdOtJvc4-m2FgwwOh9u6V")</f>
        <v>https://drive.google.com/open?id=1rP02ptEknCupdOtJvc4-m2FgwwOh9u6V</v>
      </c>
      <c r="L2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1!$E:$E"")=$D203) *
        (IMPORTRANGE(""https://docs.google.com/spreadsheets/d/161aHT6vVT3SLneTKD19N5qVWtnj_jIT8CSsOmUVKmaA"&amp;"/edit?gid=1761053510"",
          ""Haris_Form responses 1!$AQ:$AQ"")=3)
      ),
      1
    ),
    ""0""
  ),
  ""Form not found""
)
"),"3")</f>
        <v>3</v>
      </c>
      <c r="M203" s="245" t="str">
        <f>IFERROR(__xludf.DUMMYFUNCTION("IFERROR(
  INDEX(
    FILTER(
      Transcription!$AJ:$AJ,
      TRIM(CLEAN(TEXT(Transcription!$F:$F, ""@""))) = TRIM(CLEAN(TEXT($D203, ""@""))),
      Transcription!$AO:$AO = 3
    ),
    1
  ),
  ""Not Found""
)
"),"https://drive.google.com/open?id=1SNRs_fz0l5eL_7fBNqU3Qj7biT7dwzgW")</f>
        <v>https://drive.google.com/open?id=1SNRs_fz0l5eL_7fBNqU3Qj7biT7dwzgW</v>
      </c>
      <c r="N2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TRIM(CLEAN(TEXT($D203, ""@""))),
      IMPORTRANGE(""https://docs.google.com/spreadsheets/d/1DccNxjBgurEr0ABkI_"&amp;"rBagJT5phB5HaHG5N_mTm_BiA/edit?gid=1382299152#gid=1382299152"", ""Form responses 1!$Z:$Z"") = 4
    ),
    1
  ),
  ""Not Found""
)
"),"Not Found")</f>
        <v>Not Found</v>
      </c>
      <c r="O2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1!$E:$E"")=$D203) *
        (IMPORTRANGE(""https://docs.google.com/spreadsheets/d/161aHT6vVT3SLneTKD19N5qVWtnj_jIT8CSsOmUVKmaA"&amp;"/edit?gid=1761053510"",
          ""Haris_Form responses 1!$AQ:$AQ"")=4)
      ),
      1
    ),
    ""0""
  ),
  ""Form not found""
)
"),"Form not found")</f>
        <v>Form not found</v>
      </c>
      <c r="P203" s="247" t="str">
        <f>IFERROR(__xludf.DUMMYFUNCTION("IFERROR(
  INDEX(
    FILTER(
      Transcription!$AJ:$AJ,
      TRIM(CLEAN(TEXT(Transcription!$F:$F, ""@""))) = TRIM(CLEAN(TEXT($D203, ""@""))),
      Transcription!$AO:$AO = 4
    ),
    1
  ),
  ""Not Found""
)
"),"Not Found")</f>
        <v>Not Found</v>
      </c>
      <c r="Q2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TRIM(CLEAN(TEXT($D203, ""@""))),
      IMPORTRANGE(""https://docs.google.com/spreadsheets/d/1DccNxjBgurEr0ABkI_"&amp;"rBagJT5phB5HaHG5N_mTm_BiA/edit?gid=1382299152#gid=1382299152"", ""Form responses 1!$Z:$Z"") = 5
    ),
    1
  ),
  ""Not Found""
)
"),"Not Found")</f>
        <v>Not Found</v>
      </c>
      <c r="R2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1!$E:$E"")=$D203) *
        (IMPORTRANGE(""https://docs.google.com/spreadsheets/d/161aHT6vVT3SLneTKD19N5qVWtnj_jIT8CSsOmUVKmaA"&amp;"/edit?gid=1761053510"",
          ""Haris_Form responses 1!$AQ:$AQ"")=5)
      ),
      1
    ),
    ""0""
  ),
  ""Form not found""
)
"),"Form not found")</f>
        <v>Form not found</v>
      </c>
      <c r="S203" s="247" t="str">
        <f>IFERROR(__xludf.DUMMYFUNCTION("IFERROR(
  INDEX(
    FILTER(
      Transcription!$AJ:$AJ,
      TRIM(CLEAN(TEXT(Transcription!$F:$F, ""@""))) = TRIM(CLEAN(TEXT($D203, ""@""))),
      Transcription!$AO:$AO = 5
    ),
    1
  ),
  ""Not Found""
)
"),"Not Found")</f>
        <v>Not Found</v>
      </c>
      <c r="T2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TRIM(CLEAN(TEXT($D203, ""@""))),
      IMPORTRANGE(""https://docs.google.com/spreadsheets/d/1DccNxjBgurEr0ABkI_"&amp;"rBagJT5phB5HaHG5N_mTm_BiA/edit?gid=1382299152#gid=1382299152"", ""Form responses 1!$Z:$Z"") = 6
    ),
    1
  ),
  ""Not Found""
)
"),"Not Found")</f>
        <v>Not Found</v>
      </c>
      <c r="U2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1!$E:$E"")=$D203) *
        (IMPORTRANGE(""https://docs.google.com/spreadsheets/d/161aHT6vVT3SLneTKD19N5qVWtnj_jIT8CSsOmUVKmaA"&amp;"/edit?gid=1761053510"",
          ""Haris_Form responses 1!$AQ:$AQ"")=6)
      ),
      1
    ),
    ""0""
  ),
  ""Form not found""
)
"),"Form not found")</f>
        <v>Form not found</v>
      </c>
      <c r="V203" s="247" t="str">
        <f>IFERROR(__xludf.DUMMYFUNCTION("IFERROR(
  INDEX(
    FILTER(
      Transcription!$AJ:$AJ,
      TRIM(CLEAN(TEXT(Transcription!$F:$F, ""@""))) = TRIM(CLEAN(TEXT($D203, ""@""))),
      Transcription!$AO:$AO = 6
    ),
    1
  ),
  ""Not Found""
)
"),"Not Found")</f>
        <v>Not Found</v>
      </c>
      <c r="Z203" s="10">
        <f t="shared" si="1"/>
        <v>2</v>
      </c>
      <c r="AA203" s="10">
        <f t="shared" si="2"/>
        <v>0</v>
      </c>
    </row>
    <row r="204">
      <c r="A204" s="8" t="str">
        <f>VLOOKUP($D204,Sheet6!$B:$G,5,FALSE)</f>
        <v>Bahawalpur</v>
      </c>
      <c r="B204" s="232" t="str">
        <f>VLOOKUP($D204,Sheet6!$B:$G,4,FALSE)</f>
        <v>Control</v>
      </c>
      <c r="C204" s="8">
        <v>2.0</v>
      </c>
      <c r="D204" s="8" t="s">
        <v>4643</v>
      </c>
      <c r="E20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TRIM(CLEAN(TEXT($D204, ""@""))),
      IMPORTRANGE(""https://docs.google.com/spreadsheets/d/1DccNxjBgurEr0ABkI_"&amp;"rBagJT5phB5HaHG5N_mTm_BiA/edit?gid=1382299152#gid=1382299152"", ""Form responses 1!$Z:$Z"") = 1
    ),
    1
  ),
  ""Not Found""
)
"),"https://drive.google.com/open?id=1m_oQjcpq592-hOSd1OFbGi32C73oxsm5")</f>
        <v>https://drive.google.com/open?id=1m_oQjcpq592-hOSd1OFbGi32C73oxsm5</v>
      </c>
      <c r="F2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1!$E:$E"")=$D204) *
        (IMPORTRANGE(""https://docs.google.com/spreadsheets/d/161aHT6vVT3SLneTKD19N5qVWtnj_jIT8CSsOmUVKmaA"&amp;"/edit?gid=1761053510"",
          ""Haris_Form responses 1!$AQ:$AQ"")=1)
      ),
      1
    ),
    ""0""
  ),
  ""Form not found""
)
"),"1")</f>
        <v>1</v>
      </c>
      <c r="G204" s="245" t="str">
        <f>IFERROR(__xludf.DUMMYFUNCTION("IFERROR(
  INDEX(
    FILTER(
      Transcription!$AJ:$AJ,
      TRIM(CLEAN(TEXT(Transcription!$F:$F, ""@""))) = TRIM(CLEAN(TEXT($D204, ""@""))),
      Transcription!$AO:$AO = 1
    ),
    1
  ),
  ""Not Found""
)
"),"https://drive.google.com/open?id=1sTGXOiyMN-W5zxpXsxmQtxZH8_L--MjXEzdA8i_DF8Y")</f>
        <v>https://drive.google.com/open?id=1sTGXOiyMN-W5zxpXsxmQtxZH8_L--MjXEzdA8i_DF8Y</v>
      </c>
      <c r="H2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TRIM(CLEAN(TEXT($D204, ""@""))),
      IMPORTRANGE(""https://docs.google.com/spreadsheets/d/1DccNxjBgurEr0ABkI_"&amp;"rBagJT5phB5HaHG5N_mTm_BiA/edit?gid=1382299152#gid=1382299152"", ""Form responses 1!$Z:$Z"") = 2
    ),
    1
  ),
  ""Not Found""
)
"),"Not Found")</f>
        <v>Not Found</v>
      </c>
      <c r="I2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1!$E:$E"")=$D204) *
        (IMPORTRANGE(""https://docs.google.com/spreadsheets/d/161aHT6vVT3SLneTKD19N5qVWtnj_jIT8CSsOmUVKmaA"&amp;"/edit?gid=1761053510"",
          ""Haris_Form responses 1!$AQ:$AQ"")=2)
      ),
      1
    ),
    ""0""
  ),
  ""Form not found""
)
"),"Form not found")</f>
        <v>Form not found</v>
      </c>
      <c r="J204" s="247" t="str">
        <f>IFERROR(__xludf.DUMMYFUNCTION("IFERROR(
  INDEX(
    FILTER(
      Transcription!$AJ:$AJ,
      TRIM(CLEAN(TEXT(Transcription!$F:$F, ""@""))) = TRIM(CLEAN(TEXT($D204, ""@""))),
      Transcription!$AO:$AO = 2
    ),
    1
  ),
  ""Not Found""
)
"),"Not Found")</f>
        <v>Not Found</v>
      </c>
      <c r="K20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TRIM(CLEAN(TEXT($D204, ""@""))),
      IMPORTRANGE(""https://docs.google.com/spreadsheets/d/1DccNxjBgurEr0ABkI_"&amp;"rBagJT5phB5HaHG5N_mTm_BiA/edit?gid=1382299152#gid=1382299152"", ""Form responses 1!$Z:$Z"") = 3
    ),
    1
  ),
  ""Not Found""
)
"),"https://drive.google.com/open?id=1VNGy8CkJ_dXqKg_yqTZSDKZ5Btt-H_30")</f>
        <v>https://drive.google.com/open?id=1VNGy8CkJ_dXqKg_yqTZSDKZ5Btt-H_30</v>
      </c>
      <c r="L2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1!$E:$E"")=$D204) *
        (IMPORTRANGE(""https://docs.google.com/spreadsheets/d/161aHT6vVT3SLneTKD19N5qVWtnj_jIT8CSsOmUVKmaA"&amp;"/edit?gid=1761053510"",
          ""Haris_Form responses 1!$AQ:$AQ"")=3)
      ),
      1
    ),
    ""0""
  ),
  ""Form not found""
)
"),"3")</f>
        <v>3</v>
      </c>
      <c r="M204" s="245" t="str">
        <f>IFERROR(__xludf.DUMMYFUNCTION("IFERROR(
  INDEX(
    FILTER(
      Transcription!$AJ:$AJ,
      TRIM(CLEAN(TEXT(Transcription!$F:$F, ""@""))) = TRIM(CLEAN(TEXT($D204, ""@""))),
      Transcription!$AO:$AO = 3
    ),
    1
  ),
  ""Not Found""
)
"),"https://drive.google.com/open?id=1LdyZmre-fwXbW6Xe9M_oX_OsTnfjFUCG")</f>
        <v>https://drive.google.com/open?id=1LdyZmre-fwXbW6Xe9M_oX_OsTnfjFUCG</v>
      </c>
      <c r="N2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TRIM(CLEAN(TEXT($D204, ""@""))),
      IMPORTRANGE(""https://docs.google.com/spreadsheets/d/1DccNxjBgurEr0ABkI_"&amp;"rBagJT5phB5HaHG5N_mTm_BiA/edit?gid=1382299152#gid=1382299152"", ""Form responses 1!$Z:$Z"") = 4
    ),
    1
  ),
  ""Not Found""
)
"),"Not Found")</f>
        <v>Not Found</v>
      </c>
      <c r="O2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1!$E:$E"")=$D204) *
        (IMPORTRANGE(""https://docs.google.com/spreadsheets/d/161aHT6vVT3SLneTKD19N5qVWtnj_jIT8CSsOmUVKmaA"&amp;"/edit?gid=1761053510"",
          ""Haris_Form responses 1!$AQ:$AQ"")=4)
      ),
      1
    ),
    ""0""
  ),
  ""Form not found""
)
"),"Form not found")</f>
        <v>Form not found</v>
      </c>
      <c r="P204" s="247" t="str">
        <f>IFERROR(__xludf.DUMMYFUNCTION("IFERROR(
  INDEX(
    FILTER(
      Transcription!$AJ:$AJ,
      TRIM(CLEAN(TEXT(Transcription!$F:$F, ""@""))) = TRIM(CLEAN(TEXT($D204, ""@""))),
      Transcription!$AO:$AO = 4
    ),
    1
  ),
  ""Not Found""
)
"),"Not Found")</f>
        <v>Not Found</v>
      </c>
      <c r="Q2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TRIM(CLEAN(TEXT($D204, ""@""))),
      IMPORTRANGE(""https://docs.google.com/spreadsheets/d/1DccNxjBgurEr0ABkI_"&amp;"rBagJT5phB5HaHG5N_mTm_BiA/edit?gid=1382299152#gid=1382299152"", ""Form responses 1!$Z:$Z"") = 5
    ),
    1
  ),
  ""Not Found""
)
"),"Not Found")</f>
        <v>Not Found</v>
      </c>
      <c r="R2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1!$E:$E"")=$D204) *
        (IMPORTRANGE(""https://docs.google.com/spreadsheets/d/161aHT6vVT3SLneTKD19N5qVWtnj_jIT8CSsOmUVKmaA"&amp;"/edit?gid=1761053510"",
          ""Haris_Form responses 1!$AQ:$AQ"")=5)
      ),
      1
    ),
    ""0""
  ),
  ""Form not found""
)
"),"Form not found")</f>
        <v>Form not found</v>
      </c>
      <c r="S204" s="247" t="str">
        <f>IFERROR(__xludf.DUMMYFUNCTION("IFERROR(
  INDEX(
    FILTER(
      Transcription!$AJ:$AJ,
      TRIM(CLEAN(TEXT(Transcription!$F:$F, ""@""))) = TRIM(CLEAN(TEXT($D204, ""@""))),
      Transcription!$AO:$AO = 5
    ),
    1
  ),
  ""Not Found""
)
"),"Not Found")</f>
        <v>Not Found</v>
      </c>
      <c r="T2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TRIM(CLEAN(TEXT($D204, ""@""))),
      IMPORTRANGE(""https://docs.google.com/spreadsheets/d/1DccNxjBgurEr0ABkI_"&amp;"rBagJT5phB5HaHG5N_mTm_BiA/edit?gid=1382299152#gid=1382299152"", ""Form responses 1!$Z:$Z"") = 6
    ),
    1
  ),
  ""Not Found""
)
"),"Not Found")</f>
        <v>Not Found</v>
      </c>
      <c r="U2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1!$E:$E"")=$D204) *
        (IMPORTRANGE(""https://docs.google.com/spreadsheets/d/161aHT6vVT3SLneTKD19N5qVWtnj_jIT8CSsOmUVKmaA"&amp;"/edit?gid=1761053510"",
          ""Haris_Form responses 1!$AQ:$AQ"")=6)
      ),
      1
    ),
    ""0""
  ),
  ""Form not found""
)
"),"Form not found")</f>
        <v>Form not found</v>
      </c>
      <c r="V204" s="247" t="str">
        <f>IFERROR(__xludf.DUMMYFUNCTION("IFERROR(
  INDEX(
    FILTER(
      Transcription!$AJ:$AJ,
      TRIM(CLEAN(TEXT(Transcription!$F:$F, ""@""))) = TRIM(CLEAN(TEXT($D204, ""@""))),
      Transcription!$AO:$AO = 6
    ),
    1
  ),
  ""Not Found""
)
"),"Not Found")</f>
        <v>Not Found</v>
      </c>
      <c r="Z204" s="10">
        <f t="shared" si="1"/>
        <v>2</v>
      </c>
      <c r="AA204" s="10">
        <f t="shared" si="2"/>
        <v>0</v>
      </c>
    </row>
    <row r="205">
      <c r="A205" s="8" t="str">
        <f>VLOOKUP($D205,Sheet6!$B:$G,5,FALSE)</f>
        <v>Bahawalpur</v>
      </c>
      <c r="B205" s="232" t="str">
        <f>VLOOKUP($D205,Sheet6!$B:$G,4,FALSE)</f>
        <v>Women Religious Info Share</v>
      </c>
      <c r="C205" s="8">
        <v>3.0</v>
      </c>
      <c r="D205" s="8" t="s">
        <v>393</v>
      </c>
      <c r="E2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TRIM(CLEAN(TEXT($D205, ""@""))),
      IMPORTRANGE(""https://docs.google.com/spreadsheets/d/1DccNxjBgurEr0ABkI_"&amp;"rBagJT5phB5HaHG5N_mTm_BiA/edit?gid=1382299152#gid=1382299152"", ""Form responses 1!$Z:$Z"") = 1
    ),
    1
  ),
  ""Not Found""
)
"),"https://drive.google.com/open?id=16z8Z03TJdCu4PSRPj7tpCHqCTemsYecC")</f>
        <v>https://drive.google.com/open?id=16z8Z03TJdCu4PSRPj7tpCHqCTemsYecC</v>
      </c>
      <c r="F2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1!$E:$E"")=$D205) *
        (IMPORTRANGE(""https://docs.google.com/spreadsheets/d/161aHT6vVT3SLneTKD19N5qVWtnj_jIT8CSsOmUVKmaA"&amp;"/edit?gid=1761053510"",
          ""Haris_Form responses 1!$AQ:$AQ"")=1)
      ),
      1
    ),
    ""0""
  ),
  ""Form not found""
)
"),"1")</f>
        <v>1</v>
      </c>
      <c r="G205" s="245" t="str">
        <f>IFERROR(__xludf.DUMMYFUNCTION("IFERROR(
  INDEX(
    FILTER(
      Transcription!$AJ:$AJ,
      TRIM(CLEAN(TEXT(Transcription!$F:$F, ""@""))) = TRIM(CLEAN(TEXT($D205, ""@""))),
      Transcription!$AO:$AO = 1
    ),
    1
  ),
  ""Not Found""
)
"),"https://drive.google.com/open?id=1NXxi1j3q2XjlnI6-1qCozh963kjyc9RJI5YIoicJFSw")</f>
        <v>https://drive.google.com/open?id=1NXxi1j3q2XjlnI6-1qCozh963kjyc9RJI5YIoicJFSw</v>
      </c>
      <c r="H2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TRIM(CLEAN(TEXT($D205, ""@""))),
      IMPORTRANGE(""https://docs.google.com/spreadsheets/d/1DccNxjBgurEr0ABkI_"&amp;"rBagJT5phB5HaHG5N_mTm_BiA/edit?gid=1382299152#gid=1382299152"", ""Form responses 1!$Z:$Z"") = 2
    ),
    1
  ),
  ""Not Found""
)
"),"https://drive.google.com/open?id=1OQvb7Xa9CnYEA_TJo-zgs7_x2UuoTxlS")</f>
        <v>https://drive.google.com/open?id=1OQvb7Xa9CnYEA_TJo-zgs7_x2UuoTxlS</v>
      </c>
      <c r="I2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1!$E:$E"")=$D205) *
        (IMPORTRANGE(""https://docs.google.com/spreadsheets/d/161aHT6vVT3SLneTKD19N5qVWtnj_jIT8CSsOmUVKmaA"&amp;"/edit?gid=1761053510"",
          ""Haris_Form responses 1!$AQ:$AQ"")=2)
      ),
      1
    ),
    ""0""
  ),
  ""Form not found""
)
"),"2")</f>
        <v>2</v>
      </c>
      <c r="J205" s="245" t="str">
        <f>IFERROR(__xludf.DUMMYFUNCTION("IFERROR(
  INDEX(
    FILTER(
      Transcription!$AJ:$AJ,
      TRIM(CLEAN(TEXT(Transcription!$F:$F, ""@""))) = TRIM(CLEAN(TEXT($D205, ""@""))),
      Transcription!$AO:$AO = 2
    ),
    1
  ),
  ""Not Found""
)
"),"https://drive.google.com/open?id=1dTCkOBDWnS4SKr4nRHJjAAMXnVeO_qyr")</f>
        <v>https://drive.google.com/open?id=1dTCkOBDWnS4SKr4nRHJjAAMXnVeO_qyr</v>
      </c>
      <c r="K2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TRIM(CLEAN(TEXT($D205, ""@""))),
      IMPORTRANGE(""https://docs.google.com/spreadsheets/d/1DccNxjBgurEr0ABkI_"&amp;"rBagJT5phB5HaHG5N_mTm_BiA/edit?gid=1382299152#gid=1382299152"", ""Form responses 1!$Z:$Z"") = 3
    ),
    1
  ),
  ""Not Found""
)
"),"https://drive.google.com/open?id=19Q9LJiMqVjVkgQK5CD0eeZUw6tpWpmXs")</f>
        <v>https://drive.google.com/open?id=19Q9LJiMqVjVkgQK5CD0eeZUw6tpWpmXs</v>
      </c>
      <c r="L2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1!$E:$E"")=$D205) *
        (IMPORTRANGE(""https://docs.google.com/spreadsheets/d/161aHT6vVT3SLneTKD19N5qVWtnj_jIT8CSsOmUVKmaA"&amp;"/edit?gid=1761053510"",
          ""Haris_Form responses 1!$AQ:$AQ"")=3)
      ),
      1
    ),
    ""0""
  ),
  ""Form not found""
)
"),"3")</f>
        <v>3</v>
      </c>
      <c r="M205" s="245" t="str">
        <f>IFERROR(__xludf.DUMMYFUNCTION("IFERROR(
  INDEX(
    FILTER(
      Transcription!$AJ:$AJ,
      TRIM(CLEAN(TEXT(Transcription!$F:$F, ""@""))) = TRIM(CLEAN(TEXT($D205, ""@""))),
      Transcription!$AO:$AO = 3
    ),
    1
  ),
  ""Not Found""
)
"),"https://drive.google.com/open?id=1z_VhX-MOWFYrusFurVaNiSLGI6M4Q-Rr")</f>
        <v>https://drive.google.com/open?id=1z_VhX-MOWFYrusFurVaNiSLGI6M4Q-Rr</v>
      </c>
      <c r="N20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TRIM(CLEAN(TEXT($D205, ""@""))),
      IMPORTRANGE(""https://docs.google.com/spreadsheets/d/1DccNxjBgurEr0ABkI_"&amp;"rBagJT5phB5HaHG5N_mTm_BiA/edit?gid=1382299152#gid=1382299152"", ""Form responses 1!$Z:$Z"") = 4
    ),
    1
  ),
  ""Not Found""
)
"),"Not Found")</f>
        <v>Not Found</v>
      </c>
      <c r="O2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1!$E:$E"")=$D205) *
        (IMPORTRANGE(""https://docs.google.com/spreadsheets/d/161aHT6vVT3SLneTKD19N5qVWtnj_jIT8CSsOmUVKmaA"&amp;"/edit?gid=1761053510"",
          ""Haris_Form responses 1!$AQ:$AQ"")=4)
      ),
      1
    ),
    ""0""
  ),
  ""Form not found""
)
"),"Form not found")</f>
        <v>Form not found</v>
      </c>
      <c r="P205" s="247" t="str">
        <f>IFERROR(__xludf.DUMMYFUNCTION("IFERROR(
  INDEX(
    FILTER(
      Transcription!$AJ:$AJ,
      TRIM(CLEAN(TEXT(Transcription!$F:$F, ""@""))) = TRIM(CLEAN(TEXT($D205, ""@""))),
      Transcription!$AO:$AO = 4
    ),
    1
  ),
  ""Not Found""
)
"),"Not Found")</f>
        <v>Not Found</v>
      </c>
      <c r="Q20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TRIM(CLEAN(TEXT($D205, ""@""))),
      IMPORTRANGE(""https://docs.google.com/spreadsheets/d/1DccNxjBgurEr0ABkI_"&amp;"rBagJT5phB5HaHG5N_mTm_BiA/edit?gid=1382299152#gid=1382299152"", ""Form responses 1!$Z:$Z"") = 5
    ),
    1
  ),
  ""Not Found""
)
"),"Not Found")</f>
        <v>Not Found</v>
      </c>
      <c r="R2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1!$E:$E"")=$D205) *
        (IMPORTRANGE(""https://docs.google.com/spreadsheets/d/161aHT6vVT3SLneTKD19N5qVWtnj_jIT8CSsOmUVKmaA"&amp;"/edit?gid=1761053510"",
          ""Haris_Form responses 1!$AQ:$AQ"")=5)
      ),
      1
    ),
    ""0""
  ),
  ""Form not found""
)
"),"Form not found")</f>
        <v>Form not found</v>
      </c>
      <c r="S205" s="247" t="str">
        <f>IFERROR(__xludf.DUMMYFUNCTION("IFERROR(
  INDEX(
    FILTER(
      Transcription!$AJ:$AJ,
      TRIM(CLEAN(TEXT(Transcription!$F:$F, ""@""))) = TRIM(CLEAN(TEXT($D205, ""@""))),
      Transcription!$AO:$AO = 5
    ),
    1
  ),
  ""Not Found""
)
"),"Not Found")</f>
        <v>Not Found</v>
      </c>
      <c r="T20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TRIM(CLEAN(TEXT($D205, ""@""))),
      IMPORTRANGE(""https://docs.google.com/spreadsheets/d/1DccNxjBgurEr0ABkI_"&amp;"rBagJT5phB5HaHG5N_mTm_BiA/edit?gid=1382299152#gid=1382299152"", ""Form responses 1!$Z:$Z"") = 6
    ),
    1
  ),
  ""Not Found""
)
"),"Not Found")</f>
        <v>Not Found</v>
      </c>
      <c r="U2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1!$E:$E"")=$D205) *
        (IMPORTRANGE(""https://docs.google.com/spreadsheets/d/161aHT6vVT3SLneTKD19N5qVWtnj_jIT8CSsOmUVKmaA"&amp;"/edit?gid=1761053510"",
          ""Haris_Form responses 1!$AQ:$AQ"")=6)
      ),
      1
    ),
    ""0""
  ),
  ""Form not found""
)
"),"Form not found")</f>
        <v>Form not found</v>
      </c>
      <c r="V205" s="247" t="str">
        <f>IFERROR(__xludf.DUMMYFUNCTION("IFERROR(
  INDEX(
    FILTER(
      Transcription!$AJ:$AJ,
      TRIM(CLEAN(TEXT(Transcription!$F:$F, ""@""))) = TRIM(CLEAN(TEXT($D205, ""@""))),
      Transcription!$AO:$AO = 6
    ),
    1
  ),
  ""Not Found""
)
"),"Not Found")</f>
        <v>Not Found</v>
      </c>
      <c r="Z205" s="10">
        <f t="shared" si="1"/>
        <v>3</v>
      </c>
      <c r="AA205" s="10">
        <f t="shared" si="2"/>
        <v>0</v>
      </c>
    </row>
    <row r="206">
      <c r="A206" s="8" t="str">
        <f>VLOOKUP($D206,Sheet6!$B:$G,5,FALSE)</f>
        <v>Bahawalpur</v>
      </c>
      <c r="B206" s="232" t="str">
        <f>VLOOKUP($D206,Sheet6!$B:$G,4,FALSE)</f>
        <v>Control</v>
      </c>
      <c r="C206" s="8">
        <v>2.0</v>
      </c>
      <c r="D206" s="8" t="s">
        <v>4644</v>
      </c>
      <c r="E20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TRIM(CLEAN(TEXT($D206, ""@""))),
      IMPORTRANGE(""https://docs.google.com/spreadsheets/d/1DccNxjBgurEr0ABkI_"&amp;"rBagJT5phB5HaHG5N_mTm_BiA/edit?gid=1382299152#gid=1382299152"", ""Form responses 1!$Z:$Z"") = 1
    ),
    1
  ),
  ""Not Found""
)
"),"https://drive.google.com/open?id=1jEDp7YIuHTZZuA1q-0YSMZWyrWvoCueP")</f>
        <v>https://drive.google.com/open?id=1jEDp7YIuHTZZuA1q-0YSMZWyrWvoCueP</v>
      </c>
      <c r="F2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1!$E:$E"")=$D206) *
        (IMPORTRANGE(""https://docs.google.com/spreadsheets/d/161aHT6vVT3SLneTKD19N5qVWtnj_jIT8CSsOmUVKmaA"&amp;"/edit?gid=1761053510"",
          ""Haris_Form responses 1!$AQ:$AQ"")=1)
      ),
      1
    ),
    ""0""
  ),
  ""Form not found""
)
"),"1")</f>
        <v>1</v>
      </c>
      <c r="G206" s="245" t="str">
        <f>IFERROR(__xludf.DUMMYFUNCTION("IFERROR(
  INDEX(
    FILTER(
      Transcription!$AJ:$AJ,
      TRIM(CLEAN(TEXT(Transcription!$F:$F, ""@""))) = TRIM(CLEAN(TEXT($D206, ""@""))),
      Transcription!$AO:$AO = 1
    ),
    1
  ),
  ""Not Found""
)
"),"https://drive.google.com/open?id=1aJcmpKhrlSr_enDJ-myAjzHhhMW4LoJmuFg-Qu4txq8")</f>
        <v>https://drive.google.com/open?id=1aJcmpKhrlSr_enDJ-myAjzHhhMW4LoJmuFg-Qu4txq8</v>
      </c>
      <c r="H2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TRIM(CLEAN(TEXT($D206, ""@""))),
      IMPORTRANGE(""https://docs.google.com/spreadsheets/d/1DccNxjBgurEr0ABkI_"&amp;"rBagJT5phB5HaHG5N_mTm_BiA/edit?gid=1382299152#gid=1382299152"", ""Form responses 1!$Z:$Z"") = 2
    ),
    1
  ),
  ""Not Found""
)
"),"Not Found")</f>
        <v>Not Found</v>
      </c>
      <c r="I2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1!$E:$E"")=$D206) *
        (IMPORTRANGE(""https://docs.google.com/spreadsheets/d/161aHT6vVT3SLneTKD19N5qVWtnj_jIT8CSsOmUVKmaA"&amp;"/edit?gid=1761053510"",
          ""Haris_Form responses 1!$AQ:$AQ"")=2)
      ),
      1
    ),
    ""0""
  ),
  ""Form not found""
)
"),"Form not found")</f>
        <v>Form not found</v>
      </c>
      <c r="J206" s="247" t="str">
        <f>IFERROR(__xludf.DUMMYFUNCTION("IFERROR(
  INDEX(
    FILTER(
      Transcription!$AJ:$AJ,
      TRIM(CLEAN(TEXT(Transcription!$F:$F, ""@""))) = TRIM(CLEAN(TEXT($D206, ""@""))),
      Transcription!$AO:$AO = 2
    ),
    1
  ),
  ""Not Found""
)
"),"Not Found")</f>
        <v>Not Found</v>
      </c>
      <c r="K20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TRIM(CLEAN(TEXT($D206, ""@""))),
      IMPORTRANGE(""https://docs.google.com/spreadsheets/d/1DccNxjBgurEr0ABkI_"&amp;"rBagJT5phB5HaHG5N_mTm_BiA/edit?gid=1382299152#gid=1382299152"", ""Form responses 1!$Z:$Z"") = 3
    ),
    1
  ),
  ""Not Found""
)
"),"https://drive.google.com/open?id=1sZJmcOYY4nIKzk_AKndftuJt9f9hk-TU")</f>
        <v>https://drive.google.com/open?id=1sZJmcOYY4nIKzk_AKndftuJt9f9hk-TU</v>
      </c>
      <c r="L2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1!$E:$E"")=$D206) *
        (IMPORTRANGE(""https://docs.google.com/spreadsheets/d/161aHT6vVT3SLneTKD19N5qVWtnj_jIT8CSsOmUVKmaA"&amp;"/edit?gid=1761053510"",
          ""Haris_Form responses 1!$AQ:$AQ"")=3)
      ),
      1
    ),
    ""0""
  ),
  ""Form not found""
)
"),"3")</f>
        <v>3</v>
      </c>
      <c r="M206" s="245" t="str">
        <f>IFERROR(__xludf.DUMMYFUNCTION("IFERROR(
  INDEX(
    FILTER(
      Transcription!$AJ:$AJ,
      TRIM(CLEAN(TEXT(Transcription!$F:$F, ""@""))) = TRIM(CLEAN(TEXT($D206, ""@""))),
      Transcription!$AO:$AO = 3
    ),
    1
  ),
  ""Not Found""
)
"),"https://drive.google.com/open?id=1IaNq_2RzGe5DMoahWao8PoDbOmG-51MJ")</f>
        <v>https://drive.google.com/open?id=1IaNq_2RzGe5DMoahWao8PoDbOmG-51MJ</v>
      </c>
      <c r="N2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TRIM(CLEAN(TEXT($D206, ""@""))),
      IMPORTRANGE(""https://docs.google.com/spreadsheets/d/1DccNxjBgurEr0ABkI_"&amp;"rBagJT5phB5HaHG5N_mTm_BiA/edit?gid=1382299152#gid=1382299152"", ""Form responses 1!$Z:$Z"") = 4
    ),
    1
  ),
  ""Not Found""
)
"),"Not Found")</f>
        <v>Not Found</v>
      </c>
      <c r="O2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1!$E:$E"")=$D206) *
        (IMPORTRANGE(""https://docs.google.com/spreadsheets/d/161aHT6vVT3SLneTKD19N5qVWtnj_jIT8CSsOmUVKmaA"&amp;"/edit?gid=1761053510"",
          ""Haris_Form responses 1!$AQ:$AQ"")=4)
      ),
      1
    ),
    ""0""
  ),
  ""Form not found""
)
"),"Form not found")</f>
        <v>Form not found</v>
      </c>
      <c r="P206" s="247" t="str">
        <f>IFERROR(__xludf.DUMMYFUNCTION("IFERROR(
  INDEX(
    FILTER(
      Transcription!$AJ:$AJ,
      TRIM(CLEAN(TEXT(Transcription!$F:$F, ""@""))) = TRIM(CLEAN(TEXT($D206, ""@""))),
      Transcription!$AO:$AO = 4
    ),
    1
  ),
  ""Not Found""
)
"),"Not Found")</f>
        <v>Not Found</v>
      </c>
      <c r="Q2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TRIM(CLEAN(TEXT($D206, ""@""))),
      IMPORTRANGE(""https://docs.google.com/spreadsheets/d/1DccNxjBgurEr0ABkI_"&amp;"rBagJT5phB5HaHG5N_mTm_BiA/edit?gid=1382299152#gid=1382299152"", ""Form responses 1!$Z:$Z"") = 5
    ),
    1
  ),
  ""Not Found""
)
"),"Not Found")</f>
        <v>Not Found</v>
      </c>
      <c r="R2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1!$E:$E"")=$D206) *
        (IMPORTRANGE(""https://docs.google.com/spreadsheets/d/161aHT6vVT3SLneTKD19N5qVWtnj_jIT8CSsOmUVKmaA"&amp;"/edit?gid=1761053510"",
          ""Haris_Form responses 1!$AQ:$AQ"")=5)
      ),
      1
    ),
    ""0""
  ),
  ""Form not found""
)
"),"Form not found")</f>
        <v>Form not found</v>
      </c>
      <c r="S206" s="247" t="str">
        <f>IFERROR(__xludf.DUMMYFUNCTION("IFERROR(
  INDEX(
    FILTER(
      Transcription!$AJ:$AJ,
      TRIM(CLEAN(TEXT(Transcription!$F:$F, ""@""))) = TRIM(CLEAN(TEXT($D206, ""@""))),
      Transcription!$AO:$AO = 5
    ),
    1
  ),
  ""Not Found""
)
"),"Not Found")</f>
        <v>Not Found</v>
      </c>
      <c r="T2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TRIM(CLEAN(TEXT($D206, ""@""))),
      IMPORTRANGE(""https://docs.google.com/spreadsheets/d/1DccNxjBgurEr0ABkI_"&amp;"rBagJT5phB5HaHG5N_mTm_BiA/edit?gid=1382299152#gid=1382299152"", ""Form responses 1!$Z:$Z"") = 6
    ),
    1
  ),
  ""Not Found""
)
"),"Not Found")</f>
        <v>Not Found</v>
      </c>
      <c r="U2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1!$E:$E"")=$D206) *
        (IMPORTRANGE(""https://docs.google.com/spreadsheets/d/161aHT6vVT3SLneTKD19N5qVWtnj_jIT8CSsOmUVKmaA"&amp;"/edit?gid=1761053510"",
          ""Haris_Form responses 1!$AQ:$AQ"")=6)
      ),
      1
    ),
    ""0""
  ),
  ""Form not found""
)
"),"Form not found")</f>
        <v>Form not found</v>
      </c>
      <c r="V206" s="247" t="str">
        <f>IFERROR(__xludf.DUMMYFUNCTION("IFERROR(
  INDEX(
    FILTER(
      Transcription!$AJ:$AJ,
      TRIM(CLEAN(TEXT(Transcription!$F:$F, ""@""))) = TRIM(CLEAN(TEXT($D206, ""@""))),
      Transcription!$AO:$AO = 6
    ),
    1
  ),
  ""Not Found""
)
"),"Not Found")</f>
        <v>Not Found</v>
      </c>
      <c r="Z206" s="10">
        <f t="shared" si="1"/>
        <v>2</v>
      </c>
      <c r="AA206" s="10">
        <f t="shared" si="2"/>
        <v>0</v>
      </c>
    </row>
    <row r="207">
      <c r="A207" s="8" t="str">
        <f>VLOOKUP($D207,Sheet6!$B:$G,5,FALSE)</f>
        <v>Bahawalpur</v>
      </c>
      <c r="B207" s="232" t="str">
        <f>VLOOKUP($D207,Sheet6!$B:$G,4,FALSE)</f>
        <v>Women Secular Info Share</v>
      </c>
      <c r="C207" s="8">
        <v>3.0</v>
      </c>
      <c r="D207" s="8" t="s">
        <v>4645</v>
      </c>
      <c r="E2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TRIM(CLEAN(TEXT($D207, ""@""))),
      IMPORTRANGE(""https://docs.google.com/spreadsheets/d/1DccNxjBgurEr0ABkI_"&amp;"rBagJT5phB5HaHG5N_mTm_BiA/edit?gid=1382299152#gid=1382299152"", ""Form responses 1!$Z:$Z"") = 1
    ),
    1
  ),
  ""Not Found""
)
"),"https://drive.google.com/open?id=1pzVqEwBQU7_1OiaXVp4YfxepkrjsrTIP")</f>
        <v>https://drive.google.com/open?id=1pzVqEwBQU7_1OiaXVp4YfxepkrjsrTIP</v>
      </c>
      <c r="F2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1!$E:$E"")=$D207) *
        (IMPORTRANGE(""https://docs.google.com/spreadsheets/d/161aHT6vVT3SLneTKD19N5qVWtnj_jIT8CSsOmUVKmaA"&amp;"/edit?gid=1761053510"",
          ""Haris_Form responses 1!$AQ:$AQ"")=1)
      ),
      1
    ),
    ""0""
  ),
  ""Form not found""
)
"),"1")</f>
        <v>1</v>
      </c>
      <c r="G207" s="245" t="str">
        <f>IFERROR(__xludf.DUMMYFUNCTION("IFERROR(
  INDEX(
    FILTER(
      Transcription!$AJ:$AJ,
      TRIM(CLEAN(TEXT(Transcription!$F:$F, ""@""))) = TRIM(CLEAN(TEXT($D207, ""@""))),
      Transcription!$AO:$AO = 1
    ),
    1
  ),
  ""Not Found""
)
"),"https://drive.google.com/open?id=1WG9FYC6IrcllGHR511Os3tMkRse7Cy-oNDth1b52jYM")</f>
        <v>https://drive.google.com/open?id=1WG9FYC6IrcllGHR511Os3tMkRse7Cy-oNDth1b52jYM</v>
      </c>
      <c r="H20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TRIM(CLEAN(TEXT($D207, ""@""))),
      IMPORTRANGE(""https://docs.google.com/spreadsheets/d/1DccNxjBgurEr0ABkI_"&amp;"rBagJT5phB5HaHG5N_mTm_BiA/edit?gid=1382299152#gid=1382299152"", ""Form responses 1!$Z:$Z"") = 2
    ),
    1
  ),
  ""Not Found""
)
"),"Not Found")</f>
        <v>Not Found</v>
      </c>
      <c r="I2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1!$E:$E"")=$D207) *
        (IMPORTRANGE(""https://docs.google.com/spreadsheets/d/161aHT6vVT3SLneTKD19N5qVWtnj_jIT8CSsOmUVKmaA"&amp;"/edit?gid=1761053510"",
          ""Haris_Form responses 1!$AQ:$AQ"")=2)
      ),
      1
    ),
    ""0""
  ),
  ""Form not found""
)
"),"Form not found")</f>
        <v>Form not found</v>
      </c>
      <c r="J207" s="247" t="str">
        <f>IFERROR(__xludf.DUMMYFUNCTION("IFERROR(
  INDEX(
    FILTER(
      Transcription!$AJ:$AJ,
      TRIM(CLEAN(TEXT(Transcription!$F:$F, ""@""))) = TRIM(CLEAN(TEXT($D207, ""@""))),
      Transcription!$AO:$AO = 2
    ),
    1
  ),
  ""Not Found""
)
"),"Not Found")</f>
        <v>Not Found</v>
      </c>
      <c r="K20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TRIM(CLEAN(TEXT($D207, ""@""))),
      IMPORTRANGE(""https://docs.google.com/spreadsheets/d/1DccNxjBgurEr0ABkI_"&amp;"rBagJT5phB5HaHG5N_mTm_BiA/edit?gid=1382299152#gid=1382299152"", ""Form responses 1!$Z:$Z"") = 3
    ),
    1
  ),
  ""Not Found""
)
"),"Not Found")</f>
        <v>Not Found</v>
      </c>
      <c r="L2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1!$E:$E"")=$D207) *
        (IMPORTRANGE(""https://docs.google.com/spreadsheets/d/161aHT6vVT3SLneTKD19N5qVWtnj_jIT8CSsOmUVKmaA"&amp;"/edit?gid=1761053510"",
          ""Haris_Form responses 1!$AQ:$AQ"")=3)
      ),
      1
    ),
    ""0""
  ),
  ""Form not found""
)
"),"Form not found")</f>
        <v>Form not found</v>
      </c>
      <c r="M207" s="247" t="str">
        <f>IFERROR(__xludf.DUMMYFUNCTION("IFERROR(
  INDEX(
    FILTER(
      Transcription!$AJ:$AJ,
      TRIM(CLEAN(TEXT(Transcription!$F:$F, ""@""))) = TRIM(CLEAN(TEXT($D207, ""@""))),
      Transcription!$AO:$AO = 3
    ),
    1
  ),
  ""Not Found""
)
"),"Not Found")</f>
        <v>Not Found</v>
      </c>
      <c r="N20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TRIM(CLEAN(TEXT($D207, ""@""))),
      IMPORTRANGE(""https://docs.google.com/spreadsheets/d/1DccNxjBgurEr0ABkI_"&amp;"rBagJT5phB5HaHG5N_mTm_BiA/edit?gid=1382299152#gid=1382299152"", ""Form responses 1!$Z:$Z"") = 4
    ),
    1
  ),
  ""Not Found""
)
"),"Not Found")</f>
        <v>Not Found</v>
      </c>
      <c r="O2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1!$E:$E"")=$D207) *
        (IMPORTRANGE(""https://docs.google.com/spreadsheets/d/161aHT6vVT3SLneTKD19N5qVWtnj_jIT8CSsOmUVKmaA"&amp;"/edit?gid=1761053510"",
          ""Haris_Form responses 1!$AQ:$AQ"")=4)
      ),
      1
    ),
    ""0""
  ),
  ""Form not found""
)
"),"Form not found")</f>
        <v>Form not found</v>
      </c>
      <c r="P207" s="247" t="str">
        <f>IFERROR(__xludf.DUMMYFUNCTION("IFERROR(
  INDEX(
    FILTER(
      Transcription!$AJ:$AJ,
      TRIM(CLEAN(TEXT(Transcription!$F:$F, ""@""))) = TRIM(CLEAN(TEXT($D207, ""@""))),
      Transcription!$AO:$AO = 4
    ),
    1
  ),
  ""Not Found""
)
"),"Not Found")</f>
        <v>Not Found</v>
      </c>
      <c r="Q2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TRIM(CLEAN(TEXT($D207, ""@""))),
      IMPORTRANGE(""https://docs.google.com/spreadsheets/d/1DccNxjBgurEr0ABkI_"&amp;"rBagJT5phB5HaHG5N_mTm_BiA/edit?gid=1382299152#gid=1382299152"", ""Form responses 1!$Z:$Z"") = 5
    ),
    1
  ),
  ""Not Found""
)
"),"https://drive.google.com/open?id=1Wiuw73NtQv9217KU1Tuhlh9v0wmCFk-Z")</f>
        <v>https://drive.google.com/open?id=1Wiuw73NtQv9217KU1Tuhlh9v0wmCFk-Z</v>
      </c>
      <c r="R2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1!$E:$E"")=$D207) *
        (IMPORTRANGE(""https://docs.google.com/spreadsheets/d/161aHT6vVT3SLneTKD19N5qVWtnj_jIT8CSsOmUVKmaA"&amp;"/edit?gid=1761053510"",
          ""Haris_Form responses 1!$AQ:$AQ"")=5)
      ),
      1
    ),
    ""0""
  ),
  ""Form not found""
)
"),"5")</f>
        <v>5</v>
      </c>
      <c r="S207" s="245" t="str">
        <f>IFERROR(__xludf.DUMMYFUNCTION("IFERROR(
  INDEX(
    FILTER(
      Transcription!$AJ:$AJ,
      TRIM(CLEAN(TEXT(Transcription!$F:$F, ""@""))) = TRIM(CLEAN(TEXT($D207, ""@""))),
      Transcription!$AO:$AO = 5
    ),
    1
  ),
  ""Not Found""
)
"),"https://drive.google.com/open?id=13QF1xJGtjJ6Jmnpkg-jlYmPxe44GGhGY")</f>
        <v>https://drive.google.com/open?id=13QF1xJGtjJ6Jmnpkg-jlYmPxe44GGhGY</v>
      </c>
      <c r="T2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TRIM(CLEAN(TEXT($D207, ""@""))),
      IMPORTRANGE(""https://docs.google.com/spreadsheets/d/1DccNxjBgurEr0ABkI_"&amp;"rBagJT5phB5HaHG5N_mTm_BiA/edit?gid=1382299152#gid=1382299152"", ""Form responses 1!$Z:$Z"") = 6
    ),
    1
  ),
  ""Not Found""
)
"),"https://drive.google.com/file/d/1qSSeeEb2Ky9SkFsdMBK4kCEZH7OQhlx4/view?usp=drive_link")</f>
        <v>https://drive.google.com/file/d/1qSSeeEb2Ky9SkFsdMBK4kCEZH7OQhlx4/view?usp=drive_link</v>
      </c>
      <c r="U2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1!$E:$E"")=$D207) *
        (IMPORTRANGE(""https://docs.google.com/spreadsheets/d/161aHT6vVT3SLneTKD19N5qVWtnj_jIT8CSsOmUVKmaA"&amp;"/edit?gid=1761053510"",
          ""Haris_Form responses 1!$AQ:$AQ"")=6)
      ),
      1
    ),
    ""0""
  ),
  ""Form not found""
)
"),"6")</f>
        <v>6</v>
      </c>
      <c r="V207" s="245" t="str">
        <f>IFERROR(__xludf.DUMMYFUNCTION("IFERROR(
  INDEX(
    FILTER(
      Transcription!$AJ:$AJ,
      TRIM(CLEAN(TEXT(Transcription!$F:$F, ""@""))) = TRIM(CLEAN(TEXT($D207, ""@""))),
      Transcription!$AO:$AO = 6
    ),
    1
  ),
  ""Not Found""
)
"),"https://drive.google.com/open?id=13Bgz76oBT2Bn-w0TrB7n_iMk6R-IO-_o")</f>
        <v>https://drive.google.com/open?id=13Bgz76oBT2Bn-w0TrB7n_iMk6R-IO-_o</v>
      </c>
      <c r="Z207" s="10">
        <f t="shared" si="1"/>
        <v>3</v>
      </c>
      <c r="AA207" s="10">
        <f t="shared" si="2"/>
        <v>0</v>
      </c>
    </row>
    <row r="208">
      <c r="A208" s="8" t="str">
        <f>VLOOKUP($D208,Sheet6!$B:$G,5,FALSE)</f>
        <v>Bahawalpur</v>
      </c>
      <c r="B208" s="232" t="str">
        <f>VLOOKUP($D208,Sheet6!$B:$G,4,FALSE)</f>
        <v>Control</v>
      </c>
      <c r="C208" s="8">
        <v>2.0</v>
      </c>
      <c r="D208" s="8" t="s">
        <v>4646</v>
      </c>
      <c r="E20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TRIM(CLEAN(TEXT($D208, ""@""))),
      IMPORTRANGE(""https://docs.google.com/spreadsheets/d/1DccNxjBgurEr0ABkI_"&amp;"rBagJT5phB5HaHG5N_mTm_BiA/edit?gid=1382299152#gid=1382299152"", ""Form responses 1!$Z:$Z"") = 1
    ),
    1
  ),
  ""Not Found""
)
"),"https://drive.google.com/open?id=1kydPABvmdArDnBsJmq-QOgF2wJhb3gnY")</f>
        <v>https://drive.google.com/open?id=1kydPABvmdArDnBsJmq-QOgF2wJhb3gnY</v>
      </c>
      <c r="F2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1!$E:$E"")=$D208) *
        (IMPORTRANGE(""https://docs.google.com/spreadsheets/d/161aHT6vVT3SLneTKD19N5qVWtnj_jIT8CSsOmUVKmaA"&amp;"/edit?gid=1761053510"",
          ""Haris_Form responses 1!$AQ:$AQ"")=1)
      ),
      1
    ),
    ""0""
  ),
  ""Form not found""
)
"),"1")</f>
        <v>1</v>
      </c>
      <c r="G208" s="245" t="str">
        <f>IFERROR(__xludf.DUMMYFUNCTION("IFERROR(
  INDEX(
    FILTER(
      Transcription!$AJ:$AJ,
      TRIM(CLEAN(TEXT(Transcription!$F:$F, ""@""))) = TRIM(CLEAN(TEXT($D208, ""@""))),
      Transcription!$AO:$AO = 1
    ),
    1
  ),
  ""Not Found""
)
"),"https://drive.google.com/open?id=1siPNTHjXvNA2dchaNaTYPK2wGvf--6bNCTaXTx3JwEM")</f>
        <v>https://drive.google.com/open?id=1siPNTHjXvNA2dchaNaTYPK2wGvf--6bNCTaXTx3JwEM</v>
      </c>
      <c r="H20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TRIM(CLEAN(TEXT($D208, ""@""))),
      IMPORTRANGE(""https://docs.google.com/spreadsheets/d/1DccNxjBgurEr0ABkI_"&amp;"rBagJT5phB5HaHG5N_mTm_BiA/edit?gid=1382299152#gid=1382299152"", ""Form responses 1!$Z:$Z"") = 2
    ),
    1
  ),
  ""Not Found""
)
"),"Not Found")</f>
        <v>Not Found</v>
      </c>
      <c r="I2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1!$E:$E"")=$D208) *
        (IMPORTRANGE(""https://docs.google.com/spreadsheets/d/161aHT6vVT3SLneTKD19N5qVWtnj_jIT8CSsOmUVKmaA"&amp;"/edit?gid=1761053510"",
          ""Haris_Form responses 1!$AQ:$AQ"")=2)
      ),
      1
    ),
    ""0""
  ),
  ""Form not found""
)
"),"Form not found")</f>
        <v>Form not found</v>
      </c>
      <c r="J208" s="247" t="str">
        <f>IFERROR(__xludf.DUMMYFUNCTION("IFERROR(
  INDEX(
    FILTER(
      Transcription!$AJ:$AJ,
      TRIM(CLEAN(TEXT(Transcription!$F:$F, ""@""))) = TRIM(CLEAN(TEXT($D208, ""@""))),
      Transcription!$AO:$AO = 2
    ),
    1
  ),
  ""Not Found""
)
"),"Not Found")</f>
        <v>Not Found</v>
      </c>
      <c r="K20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TRIM(CLEAN(TEXT($D208, ""@""))),
      IMPORTRANGE(""https://docs.google.com/spreadsheets/d/1DccNxjBgurEr0ABkI_"&amp;"rBagJT5phB5HaHG5N_mTm_BiA/edit?gid=1382299152#gid=1382299152"", ""Form responses 1!$Z:$Z"") = 3
    ),
    1
  ),
  ""Not Found""
)
"),"https://drive.google.com/open?id=1KllaHJLq5wLYnowZlkir97T5t9eGv3eo")</f>
        <v>https://drive.google.com/open?id=1KllaHJLq5wLYnowZlkir97T5t9eGv3eo</v>
      </c>
      <c r="L2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1!$E:$E"")=$D208) *
        (IMPORTRANGE(""https://docs.google.com/spreadsheets/d/161aHT6vVT3SLneTKD19N5qVWtnj_jIT8CSsOmUVKmaA"&amp;"/edit?gid=1761053510"",
          ""Haris_Form responses 1!$AQ:$AQ"")=3)
      ),
      1
    ),
    ""0""
  ),
  ""Form not found""
)
"),"3")</f>
        <v>3</v>
      </c>
      <c r="M208" s="245" t="str">
        <f>IFERROR(__xludf.DUMMYFUNCTION("IFERROR(
  INDEX(
    FILTER(
      Transcription!$AJ:$AJ,
      TRIM(CLEAN(TEXT(Transcription!$F:$F, ""@""))) = TRIM(CLEAN(TEXT($D208, ""@""))),
      Transcription!$AO:$AO = 3
    ),
    1
  ),
  ""Not Found""
)
"),"https://drive.google.com/open?id=1_BEy6ovgNyAXYheW5IB5wJylymFXBVn7")</f>
        <v>https://drive.google.com/open?id=1_BEy6ovgNyAXYheW5IB5wJylymFXBVn7</v>
      </c>
      <c r="N20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TRIM(CLEAN(TEXT($D208, ""@""))),
      IMPORTRANGE(""https://docs.google.com/spreadsheets/d/1DccNxjBgurEr0ABkI_"&amp;"rBagJT5phB5HaHG5N_mTm_BiA/edit?gid=1382299152#gid=1382299152"", ""Form responses 1!$Z:$Z"") = 4
    ),
    1
  ),
  ""Not Found""
)
"),"Not Found")</f>
        <v>Not Found</v>
      </c>
      <c r="O2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1!$E:$E"")=$D208) *
        (IMPORTRANGE(""https://docs.google.com/spreadsheets/d/161aHT6vVT3SLneTKD19N5qVWtnj_jIT8CSsOmUVKmaA"&amp;"/edit?gid=1761053510"",
          ""Haris_Form responses 1!$AQ:$AQ"")=4)
      ),
      1
    ),
    ""0""
  ),
  ""Form not found""
)
"),"Form not found")</f>
        <v>Form not found</v>
      </c>
      <c r="P208" s="247" t="str">
        <f>IFERROR(__xludf.DUMMYFUNCTION("IFERROR(
  INDEX(
    FILTER(
      Transcription!$AJ:$AJ,
      TRIM(CLEAN(TEXT(Transcription!$F:$F, ""@""))) = TRIM(CLEAN(TEXT($D208, ""@""))),
      Transcription!$AO:$AO = 4
    ),
    1
  ),
  ""Not Found""
)
"),"Not Found")</f>
        <v>Not Found</v>
      </c>
      <c r="Q20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TRIM(CLEAN(TEXT($D208, ""@""))),
      IMPORTRANGE(""https://docs.google.com/spreadsheets/d/1DccNxjBgurEr0ABkI_"&amp;"rBagJT5phB5HaHG5N_mTm_BiA/edit?gid=1382299152#gid=1382299152"", ""Form responses 1!$Z:$Z"") = 5
    ),
    1
  ),
  ""Not Found""
)
"),"Not Found")</f>
        <v>Not Found</v>
      </c>
      <c r="R2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1!$E:$E"")=$D208) *
        (IMPORTRANGE(""https://docs.google.com/spreadsheets/d/161aHT6vVT3SLneTKD19N5qVWtnj_jIT8CSsOmUVKmaA"&amp;"/edit?gid=1761053510"",
          ""Haris_Form responses 1!$AQ:$AQ"")=5)
      ),
      1
    ),
    ""0""
  ),
  ""Form not found""
)
"),"Form not found")</f>
        <v>Form not found</v>
      </c>
      <c r="S208" s="247" t="str">
        <f>IFERROR(__xludf.DUMMYFUNCTION("IFERROR(
  INDEX(
    FILTER(
      Transcription!$AJ:$AJ,
      TRIM(CLEAN(TEXT(Transcription!$F:$F, ""@""))) = TRIM(CLEAN(TEXT($D208, ""@""))),
      Transcription!$AO:$AO = 5
    ),
    1
  ),
  ""Not Found""
)
"),"Not Found")</f>
        <v>Not Found</v>
      </c>
      <c r="T20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TRIM(CLEAN(TEXT($D208, ""@""))),
      IMPORTRANGE(""https://docs.google.com/spreadsheets/d/1DccNxjBgurEr0ABkI_"&amp;"rBagJT5phB5HaHG5N_mTm_BiA/edit?gid=1382299152#gid=1382299152"", ""Form responses 1!$Z:$Z"") = 6
    ),
    1
  ),
  ""Not Found""
)
"),"Not Found")</f>
        <v>Not Found</v>
      </c>
      <c r="U2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1!$E:$E"")=$D208) *
        (IMPORTRANGE(""https://docs.google.com/spreadsheets/d/161aHT6vVT3SLneTKD19N5qVWtnj_jIT8CSsOmUVKmaA"&amp;"/edit?gid=1761053510"",
          ""Haris_Form responses 1!$AQ:$AQ"")=6)
      ),
      1
    ),
    ""0""
  ),
  ""Form not found""
)
"),"Form not found")</f>
        <v>Form not found</v>
      </c>
      <c r="V208" s="247" t="str">
        <f>IFERROR(__xludf.DUMMYFUNCTION("IFERROR(
  INDEX(
    FILTER(
      Transcription!$AJ:$AJ,
      TRIM(CLEAN(TEXT(Transcription!$F:$F, ""@""))) = TRIM(CLEAN(TEXT($D208, ""@""))),
      Transcription!$AO:$AO = 6
    ),
    1
  ),
  ""Not Found""
)
"),"Not Found")</f>
        <v>Not Found</v>
      </c>
      <c r="Z208" s="10">
        <f t="shared" si="1"/>
        <v>2</v>
      </c>
      <c r="AA208" s="10">
        <f t="shared" si="2"/>
        <v>0</v>
      </c>
    </row>
    <row r="209">
      <c r="A209" s="8" t="str">
        <f>VLOOKUP($D209,Sheet6!$B:$G,5,FALSE)</f>
        <v>Bahawalpur</v>
      </c>
      <c r="B209" s="232" t="str">
        <f>VLOOKUP($D209,Sheet6!$B:$G,4,FALSE)</f>
        <v>Control</v>
      </c>
      <c r="C209" s="8">
        <v>2.0</v>
      </c>
      <c r="D209" s="8" t="s">
        <v>4647</v>
      </c>
      <c r="E20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TRIM(CLEAN(TEXT($D209, ""@""))),
      IMPORTRANGE(""https://docs.google.com/spreadsheets/d/1DccNxjBgurEr0ABkI_"&amp;"rBagJT5phB5HaHG5N_mTm_BiA/edit?gid=1382299152#gid=1382299152"", ""Form responses 1!$Z:$Z"") = 1
    ),
    1
  ),
  ""Not Found""
)
"),"https://drive.google.com/open?id=1jIf6y1DDZ-hFwQES3ywMdwVrGs8Ma5Fp")</f>
        <v>https://drive.google.com/open?id=1jIf6y1DDZ-hFwQES3ywMdwVrGs8Ma5Fp</v>
      </c>
      <c r="F2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1!$E:$E"")=$D209) *
        (IMPORTRANGE(""https://docs.google.com/spreadsheets/d/161aHT6vVT3SLneTKD19N5qVWtnj_jIT8CSsOmUVKmaA"&amp;"/edit?gid=1761053510"",
          ""Haris_Form responses 1!$AQ:$AQ"")=1)
      ),
      1
    ),
    ""0""
  ),
  ""Form not found""
)
"),"1")</f>
        <v>1</v>
      </c>
      <c r="G209" s="245" t="str">
        <f>IFERROR(__xludf.DUMMYFUNCTION("IFERROR(
  INDEX(
    FILTER(
      Transcription!$AJ:$AJ,
      TRIM(CLEAN(TEXT(Transcription!$F:$F, ""@""))) = TRIM(CLEAN(TEXT($D209, ""@""))),
      Transcription!$AO:$AO = 1
    ),
    1
  ),
  ""Not Found""
)
"),"https://drive.google.com/open?id=1BJjjvQqoGJATHR5SYYmMl09OJ8kJ5ruo")</f>
        <v>https://drive.google.com/open?id=1BJjjvQqoGJATHR5SYYmMl09OJ8kJ5ruo</v>
      </c>
      <c r="H2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TRIM(CLEAN(TEXT($D209, ""@""))),
      IMPORTRANGE(""https://docs.google.com/spreadsheets/d/1DccNxjBgurEr0ABkI_"&amp;"rBagJT5phB5HaHG5N_mTm_BiA/edit?gid=1382299152#gid=1382299152"", ""Form responses 1!$Z:$Z"") = 2
    ),
    1
  ),
  ""Not Found""
)
"),"Not Found")</f>
        <v>Not Found</v>
      </c>
      <c r="I2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1!$E:$E"")=$D209) *
        (IMPORTRANGE(""https://docs.google.com/spreadsheets/d/161aHT6vVT3SLneTKD19N5qVWtnj_jIT8CSsOmUVKmaA"&amp;"/edit?gid=1761053510"",
          ""Haris_Form responses 1!$AQ:$AQ"")=2)
      ),
      1
    ),
    ""0""
  ),
  ""Form not found""
)
"),"Form not found")</f>
        <v>Form not found</v>
      </c>
      <c r="J209" s="247" t="str">
        <f>IFERROR(__xludf.DUMMYFUNCTION("IFERROR(
  INDEX(
    FILTER(
      Transcription!$AJ:$AJ,
      TRIM(CLEAN(TEXT(Transcription!$F:$F, ""@""))) = TRIM(CLEAN(TEXT($D209, ""@""))),
      Transcription!$AO:$AO = 2
    ),
    1
  ),
  ""Not Found""
)
"),"Not Found")</f>
        <v>Not Found</v>
      </c>
      <c r="K20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TRIM(CLEAN(TEXT($D209, ""@""))),
      IMPORTRANGE(""https://docs.google.com/spreadsheets/d/1DccNxjBgurEr0ABkI_"&amp;"rBagJT5phB5HaHG5N_mTm_BiA/edit?gid=1382299152#gid=1382299152"", ""Form responses 1!$Z:$Z"") = 3
    ),
    1
  ),
  ""Not Found""
)
"),"https://drive.google.com/open?id=1SdSJZZ67XY4JelY_ZsS9ufUjylPw7YSU")</f>
        <v>https://drive.google.com/open?id=1SdSJZZ67XY4JelY_ZsS9ufUjylPw7YSU</v>
      </c>
      <c r="L2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1!$E:$E"")=$D209) *
        (IMPORTRANGE(""https://docs.google.com/spreadsheets/d/161aHT6vVT3SLneTKD19N5qVWtnj_jIT8CSsOmUVKmaA"&amp;"/edit?gid=1761053510"",
          ""Haris_Form responses 1!$AQ:$AQ"")=3)
      ),
      1
    ),
    ""0""
  ),
  ""Form not found""
)
"),"3")</f>
        <v>3</v>
      </c>
      <c r="M209" s="245" t="str">
        <f>IFERROR(__xludf.DUMMYFUNCTION("IFERROR(
  INDEX(
    FILTER(
      Transcription!$AJ:$AJ,
      TRIM(CLEAN(TEXT(Transcription!$F:$F, ""@""))) = TRIM(CLEAN(TEXT($D209, ""@""))),
      Transcription!$AO:$AO = 3
    ),
    1
  ),
  ""Not Found""
)
"),"https://drive.google.com/open?id=1GcikKd13cqvqDSuZHBoKC39ftBsq7rT0")</f>
        <v>https://drive.google.com/open?id=1GcikKd13cqvqDSuZHBoKC39ftBsq7rT0</v>
      </c>
      <c r="N2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TRIM(CLEAN(TEXT($D209, ""@""))),
      IMPORTRANGE(""https://docs.google.com/spreadsheets/d/1DccNxjBgurEr0ABkI_"&amp;"rBagJT5phB5HaHG5N_mTm_BiA/edit?gid=1382299152#gid=1382299152"", ""Form responses 1!$Z:$Z"") = 4
    ),
    1
  ),
  ""Not Found""
)
"),"Not Found")</f>
        <v>Not Found</v>
      </c>
      <c r="O2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1!$E:$E"")=$D209) *
        (IMPORTRANGE(""https://docs.google.com/spreadsheets/d/161aHT6vVT3SLneTKD19N5qVWtnj_jIT8CSsOmUVKmaA"&amp;"/edit?gid=1761053510"",
          ""Haris_Form responses 1!$AQ:$AQ"")=4)
      ),
      1
    ),
    ""0""
  ),
  ""Form not found""
)
"),"Form not found")</f>
        <v>Form not found</v>
      </c>
      <c r="P209" s="247" t="str">
        <f>IFERROR(__xludf.DUMMYFUNCTION("IFERROR(
  INDEX(
    FILTER(
      Transcription!$AJ:$AJ,
      TRIM(CLEAN(TEXT(Transcription!$F:$F, ""@""))) = TRIM(CLEAN(TEXT($D209, ""@""))),
      Transcription!$AO:$AO = 4
    ),
    1
  ),
  ""Not Found""
)
"),"Not Found")</f>
        <v>Not Found</v>
      </c>
      <c r="Q2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TRIM(CLEAN(TEXT($D209, ""@""))),
      IMPORTRANGE(""https://docs.google.com/spreadsheets/d/1DccNxjBgurEr0ABkI_"&amp;"rBagJT5phB5HaHG5N_mTm_BiA/edit?gid=1382299152#gid=1382299152"", ""Form responses 1!$Z:$Z"") = 5
    ),
    1
  ),
  ""Not Found""
)
"),"Not Found")</f>
        <v>Not Found</v>
      </c>
      <c r="R2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1!$E:$E"")=$D209) *
        (IMPORTRANGE(""https://docs.google.com/spreadsheets/d/161aHT6vVT3SLneTKD19N5qVWtnj_jIT8CSsOmUVKmaA"&amp;"/edit?gid=1761053510"",
          ""Haris_Form responses 1!$AQ:$AQ"")=5)
      ),
      1
    ),
    ""0""
  ),
  ""Form not found""
)
"),"Form not found")</f>
        <v>Form not found</v>
      </c>
      <c r="S209" s="247" t="str">
        <f>IFERROR(__xludf.DUMMYFUNCTION("IFERROR(
  INDEX(
    FILTER(
      Transcription!$AJ:$AJ,
      TRIM(CLEAN(TEXT(Transcription!$F:$F, ""@""))) = TRIM(CLEAN(TEXT($D209, ""@""))),
      Transcription!$AO:$AO = 5
    ),
    1
  ),
  ""Not Found""
)
"),"Not Found")</f>
        <v>Not Found</v>
      </c>
      <c r="T2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TRIM(CLEAN(TEXT($D209, ""@""))),
      IMPORTRANGE(""https://docs.google.com/spreadsheets/d/1DccNxjBgurEr0ABkI_"&amp;"rBagJT5phB5HaHG5N_mTm_BiA/edit?gid=1382299152#gid=1382299152"", ""Form responses 1!$Z:$Z"") = 6
    ),
    1
  ),
  ""Not Found""
)
"),"Not Found")</f>
        <v>Not Found</v>
      </c>
      <c r="U2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1!$E:$E"")=$D209) *
        (IMPORTRANGE(""https://docs.google.com/spreadsheets/d/161aHT6vVT3SLneTKD19N5qVWtnj_jIT8CSsOmUVKmaA"&amp;"/edit?gid=1761053510"",
          ""Haris_Form responses 1!$AQ:$AQ"")=6)
      ),
      1
    ),
    ""0""
  ),
  ""Form not found""
)
"),"Form not found")</f>
        <v>Form not found</v>
      </c>
      <c r="V209" s="247" t="str">
        <f>IFERROR(__xludf.DUMMYFUNCTION("IFERROR(
  INDEX(
    FILTER(
      Transcription!$AJ:$AJ,
      TRIM(CLEAN(TEXT(Transcription!$F:$F, ""@""))) = TRIM(CLEAN(TEXT($D209, ""@""))),
      Transcription!$AO:$AO = 6
    ),
    1
  ),
  ""Not Found""
)
"),"Not Found")</f>
        <v>Not Found</v>
      </c>
      <c r="Z209" s="10">
        <f t="shared" si="1"/>
        <v>2</v>
      </c>
      <c r="AA209" s="10">
        <f t="shared" si="2"/>
        <v>0</v>
      </c>
    </row>
    <row r="210">
      <c r="A210" s="8" t="str">
        <f>VLOOKUP($D210,Sheet6!$B:$G,5,FALSE)</f>
        <v>Bahawalpur</v>
      </c>
      <c r="B210" s="232" t="str">
        <f>VLOOKUP($D210,Sheet6!$B:$G,4,FALSE)</f>
        <v>Community Secular Info Share</v>
      </c>
      <c r="C210" s="8">
        <v>1.0</v>
      </c>
      <c r="D210" s="8" t="s">
        <v>4648</v>
      </c>
      <c r="E2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TRIM(CLEAN(TEXT($D210, ""@""))),
      IMPORTRANGE(""https://docs.google.com/spreadsheets/d/1DccNxjBgurEr0ABkI_"&amp;"rBagJT5phB5HaHG5N_mTm_BiA/edit?gid=1382299152#gid=1382299152"", ""Form responses 1!$Z:$Z"") = 1
    ),
    1
  ),
  ""Not Found""
)
"),"Recording nhe hai = saifullah ")</f>
        <v>Recording nhe hai = saifullah </v>
      </c>
      <c r="F2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1!$E:$E"")=$D210) *
        (IMPORTRANGE(""https://docs.google.com/spreadsheets/d/161aHT6vVT3SLneTKD19N5qVWtnj_jIT8CSsOmUVKmaA"&amp;"/edit?gid=1761053510"",
          ""Haris_Form responses 1!$AQ:$AQ"")=1)
      ),
      1
    ),
    ""0""
  ),
  ""Form not found""
)
"),"Form not found")</f>
        <v>Form not found</v>
      </c>
      <c r="G210" s="247" t="str">
        <f>IFERROR(__xludf.DUMMYFUNCTION("IFERROR(
  INDEX(
    FILTER(
      Transcription!$AJ:$AJ,
      TRIM(CLEAN(TEXT(Transcription!$F:$F, ""@""))) = TRIM(CLEAN(TEXT($D210, ""@""))),
      Transcription!$AO:$AO = 1
    ),
    1
  ),
  ""Not Found""
)
"),"Not Found")</f>
        <v>Not Found</v>
      </c>
      <c r="H2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TRIM(CLEAN(TEXT($D210, ""@""))),
      IMPORTRANGE(""https://docs.google.com/spreadsheets/d/1DccNxjBgurEr0ABkI_"&amp;"rBagJT5phB5HaHG5N_mTm_BiA/edit?gid=1382299152#gid=1382299152"", ""Form responses 1!$Z:$Z"") = 2
    ),
    1
  ),
  ""Not Found""
)
"),"https://drive.google.com/open?id=1T4DKumeJ72uNjtw59Xdw7FL1A93jt4Tr, https://drive.google.com/open?id=1VV8d3MEfKI6vgfxy9jsBnSVp1KcVRDHa")</f>
        <v>https://drive.google.com/open?id=1T4DKumeJ72uNjtw59Xdw7FL1A93jt4Tr, https://drive.google.com/open?id=1VV8d3MEfKI6vgfxy9jsBnSVp1KcVRDHa</v>
      </c>
      <c r="I2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1!$E:$E"")=$D210) *
        (IMPORTRANGE(""https://docs.google.com/spreadsheets/d/161aHT6vVT3SLneTKD19N5qVWtnj_jIT8CSsOmUVKmaA"&amp;"/edit?gid=1761053510"",
          ""Haris_Form responses 1!$AQ:$AQ"")=2)
      ),
      1
    ),
    ""0""
  ),
  ""Form not found""
)
"),"2")</f>
        <v>2</v>
      </c>
      <c r="J210" s="245" t="str">
        <f>IFERROR(__xludf.DUMMYFUNCTION("IFERROR(
  INDEX(
    FILTER(
      Transcription!$AJ:$AJ,
      TRIM(CLEAN(TEXT(Transcription!$F:$F, ""@""))) = TRIM(CLEAN(TEXT($D210, ""@""))),
      Transcription!$AO:$AO = 2
    ),
    1
  ),
  ""Not Found""
)
"),"https://drive.google.com/open?id=1h9mXCeiQyXNlG6F5h3q7NTypeO79grpl")</f>
        <v>https://drive.google.com/open?id=1h9mXCeiQyXNlG6F5h3q7NTypeO79grpl</v>
      </c>
      <c r="K2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TRIM(CLEAN(TEXT($D210, ""@""))),
      IMPORTRANGE(""https://docs.google.com/spreadsheets/d/1DccNxjBgurEr0ABkI_"&amp;"rBagJT5phB5HaHG5N_mTm_BiA/edit?gid=1382299152#gid=1382299152"", ""Form responses 1!$Z:$Z"") = 3
    ),
    1
  ),
  ""Not Found""
)
"),"Not Found")</f>
        <v>Not Found</v>
      </c>
      <c r="L2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1!$E:$E"")=$D210) *
        (IMPORTRANGE(""https://docs.google.com/spreadsheets/d/161aHT6vVT3SLneTKD19N5qVWtnj_jIT8CSsOmUVKmaA"&amp;"/edit?gid=1761053510"",
          ""Haris_Form responses 1!$AQ:$AQ"")=3)
      ),
      1
    ),
    ""0""
  ),
  ""Form not found""
)
"),"Form not found")</f>
        <v>Form not found</v>
      </c>
      <c r="M210" s="247" t="str">
        <f>IFERROR(__xludf.DUMMYFUNCTION("IFERROR(
  INDEX(
    FILTER(
      Transcription!$AJ:$AJ,
      TRIM(CLEAN(TEXT(Transcription!$F:$F, ""@""))) = TRIM(CLEAN(TEXT($D210, ""@""))),
      Transcription!$AO:$AO = 3
    ),
    1
  ),
  ""Not Found""
)
"),"Not Found")</f>
        <v>Not Found</v>
      </c>
      <c r="N2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TRIM(CLEAN(TEXT($D210, ""@""))),
      IMPORTRANGE(""https://docs.google.com/spreadsheets/d/1DccNxjBgurEr0ABkI_"&amp;"rBagJT5phB5HaHG5N_mTm_BiA/edit?gid=1382299152#gid=1382299152"", ""Form responses 1!$Z:$Z"") = 4
    ),
    1
  ),
  ""Not Found""
)
"),"Not Found")</f>
        <v>Not Found</v>
      </c>
      <c r="O2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1!$E:$E"")=$D210) *
        (IMPORTRANGE(""https://docs.google.com/spreadsheets/d/161aHT6vVT3SLneTKD19N5qVWtnj_jIT8CSsOmUVKmaA"&amp;"/edit?gid=1761053510"",
          ""Haris_Form responses 1!$AQ:$AQ"")=4)
      ),
      1
    ),
    ""0""
  ),
  ""Form not found""
)
"),"Form not found")</f>
        <v>Form not found</v>
      </c>
      <c r="P210" s="247" t="str">
        <f>IFERROR(__xludf.DUMMYFUNCTION("IFERROR(
  INDEX(
    FILTER(
      Transcription!$AJ:$AJ,
      TRIM(CLEAN(TEXT(Transcription!$F:$F, ""@""))) = TRIM(CLEAN(TEXT($D210, ""@""))),
      Transcription!$AO:$AO = 4
    ),
    1
  ),
  ""Not Found""
)
"),"Not Found")</f>
        <v>Not Found</v>
      </c>
      <c r="Q2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TRIM(CLEAN(TEXT($D210, ""@""))),
      IMPORTRANGE(""https://docs.google.com/spreadsheets/d/1DccNxjBgurEr0ABkI_"&amp;"rBagJT5phB5HaHG5N_mTm_BiA/edit?gid=1382299152#gid=1382299152"", ""Form responses 1!$Z:$Z"") = 5
    ),
    1
  ),
  ""Not Found""
)
"),"Not Found")</f>
        <v>Not Found</v>
      </c>
      <c r="R2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1!$E:$E"")=$D210) *
        (IMPORTRANGE(""https://docs.google.com/spreadsheets/d/161aHT6vVT3SLneTKD19N5qVWtnj_jIT8CSsOmUVKmaA"&amp;"/edit?gid=1761053510"",
          ""Haris_Form responses 1!$AQ:$AQ"")=5)
      ),
      1
    ),
    ""0""
  ),
  ""Form not found""
)
"),"Form not found")</f>
        <v>Form not found</v>
      </c>
      <c r="S210" s="247" t="str">
        <f>IFERROR(__xludf.DUMMYFUNCTION("IFERROR(
  INDEX(
    FILTER(
      Transcription!$AJ:$AJ,
      TRIM(CLEAN(TEXT(Transcription!$F:$F, ""@""))) = TRIM(CLEAN(TEXT($D210, ""@""))),
      Transcription!$AO:$AO = 5
    ),
    1
  ),
  ""Not Found""
)
"),"Not Found")</f>
        <v>Not Found</v>
      </c>
      <c r="T2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TRIM(CLEAN(TEXT($D210, ""@""))),
      IMPORTRANGE(""https://docs.google.com/spreadsheets/d/1DccNxjBgurEr0ABkI_"&amp;"rBagJT5phB5HaHG5N_mTm_BiA/edit?gid=1382299152#gid=1382299152"", ""Form responses 1!$Z:$Z"") = 6
    ),
    1
  ),
  ""Not Found""
)
"),"Not Found")</f>
        <v>Not Found</v>
      </c>
      <c r="U2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1!$E:$E"")=$D210) *
        (IMPORTRANGE(""https://docs.google.com/spreadsheets/d/161aHT6vVT3SLneTKD19N5qVWtnj_jIT8CSsOmUVKmaA"&amp;"/edit?gid=1761053510"",
          ""Haris_Form responses 1!$AQ:$AQ"")=6)
      ),
      1
    ),
    ""0""
  ),
  ""Form not found""
)
"),"Form not found")</f>
        <v>Form not found</v>
      </c>
      <c r="V210" s="247" t="str">
        <f>IFERROR(__xludf.DUMMYFUNCTION("IFERROR(
  INDEX(
    FILTER(
      Transcription!$AJ:$AJ,
      TRIM(CLEAN(TEXT(Transcription!$F:$F, ""@""))) = TRIM(CLEAN(TEXT($D210, ""@""))),
      Transcription!$AO:$AO = 6
    ),
    1
  ),
  ""Not Found""
)
"),"Not Found")</f>
        <v>Not Found</v>
      </c>
      <c r="X210" s="8" t="s">
        <v>4649</v>
      </c>
      <c r="Z210" s="10">
        <f t="shared" si="1"/>
        <v>1</v>
      </c>
      <c r="AA210" s="10">
        <f t="shared" si="2"/>
        <v>0</v>
      </c>
    </row>
    <row r="211">
      <c r="A211" s="8" t="str">
        <f>VLOOKUP($D211,Sheet6!$B:$G,5,FALSE)</f>
        <v>Bahawalpur</v>
      </c>
      <c r="B211" s="232" t="str">
        <f>VLOOKUP($D211,Sheet6!$B:$G,4,FALSE)</f>
        <v>Community Secular Info Share</v>
      </c>
      <c r="C211" s="8">
        <v>3.0</v>
      </c>
      <c r="D211" s="8" t="s">
        <v>4650</v>
      </c>
      <c r="E21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TRIM(CLEAN(TEXT($D211, ""@""))),
      IMPORTRANGE(""https://docs.google.com/spreadsheets/d/1DccNxjBgurEr0ABkI_"&amp;"rBagJT5phB5HaHG5N_mTm_BiA/edit?gid=1382299152#gid=1382299152"", ""Form responses 1!$Z:$Z"") = 1
    ),
    1
  ),
  ""Not Found""
)
"),"https://drive.google.com/open?id=1wbFzvR-RwS21xXZKHmUvwa0zlkdSQrYx")</f>
        <v>https://drive.google.com/open?id=1wbFzvR-RwS21xXZKHmUvwa0zlkdSQrYx</v>
      </c>
      <c r="F2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1!$E:$E"")=$D211) *
        (IMPORTRANGE(""https://docs.google.com/spreadsheets/d/161aHT6vVT3SLneTKD19N5qVWtnj_jIT8CSsOmUVKmaA"&amp;"/edit?gid=1761053510"",
          ""Haris_Form responses 1!$AQ:$AQ"")=1)
      ),
      1
    ),
    ""0""
  ),
  ""Form not found""
)
"),"1")</f>
        <v>1</v>
      </c>
      <c r="G211" s="245" t="str">
        <f>IFERROR(__xludf.DUMMYFUNCTION("IFERROR(
  INDEX(
    FILTER(
      Transcription!$AJ:$AJ,
      TRIM(CLEAN(TEXT(Transcription!$F:$F, ""@""))) = TRIM(CLEAN(TEXT($D211, ""@""))),
      Transcription!$AO:$AO = 1
    ),
    1
  ),
  ""Not Found""
)
"),"https://drive.google.com/open?id=10XyAenIdVkyErV1YnrTBbPF5r5hZ9jRMUtGjLNERhDI")</f>
        <v>https://drive.google.com/open?id=10XyAenIdVkyErV1YnrTBbPF5r5hZ9jRMUtGjLNERhDI</v>
      </c>
      <c r="H21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TRIM(CLEAN(TEXT($D211, ""@""))),
      IMPORTRANGE(""https://docs.google.com/spreadsheets/d/1DccNxjBgurEr0ABkI_"&amp;"rBagJT5phB5HaHG5N_mTm_BiA/edit?gid=1382299152#gid=1382299152"", ""Form responses 1!$Z:$Z"") = 2
    ),
    1
  ),
  ""Not Found""
)
"),"https://drive.google.com/open?id=1SNl5k-qa5Kkt2mkbm9z0F24pWaDi4nBF")</f>
        <v>https://drive.google.com/open?id=1SNl5k-qa5Kkt2mkbm9z0F24pWaDi4nBF</v>
      </c>
      <c r="I2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1!$E:$E"")=$D211) *
        (IMPORTRANGE(""https://docs.google.com/spreadsheets/d/161aHT6vVT3SLneTKD19N5qVWtnj_jIT8CSsOmUVKmaA"&amp;"/edit?gid=1761053510"",
          ""Haris_Form responses 1!$AQ:$AQ"")=2)
      ),
      1
    ),
    ""0""
  ),
  ""Form not found""
)
"),"2")</f>
        <v>2</v>
      </c>
      <c r="J211" s="245" t="str">
        <f>IFERROR(__xludf.DUMMYFUNCTION("IFERROR(
  INDEX(
    FILTER(
      Transcription!$AJ:$AJ,
      TRIM(CLEAN(TEXT(Transcription!$F:$F, ""@""))) = TRIM(CLEAN(TEXT($D211, ""@""))),
      Transcription!$AO:$AO = 2
    ),
    1
  ),
  ""Not Found""
)
"),"https://drive.google.com/open?id=1UwCxPR5yVLFt7EMl8AciKTkNdarWqOaKefqdP20cUGM")</f>
        <v>https://drive.google.com/open?id=1UwCxPR5yVLFt7EMl8AciKTkNdarWqOaKefqdP20cUGM</v>
      </c>
      <c r="K2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TRIM(CLEAN(TEXT($D211, ""@""))),
      IMPORTRANGE(""https://docs.google.com/spreadsheets/d/1DccNxjBgurEr0ABkI_"&amp;"rBagJT5phB5HaHG5N_mTm_BiA/edit?gid=1382299152#gid=1382299152"", ""Form responses 1!$Z:$Z"") = 3
    ),
    1
  ),
  ""Not Found""
)
"),"https://drive.google.com/open?id=1jPcMH1wWgMRUzAf1Nd8SJKFoa2U_-r5Z, https://drive.google.com/open?id=1Lye4yDUpKlsk1ddLpVpXBzL7NbZusg0o")</f>
        <v>https://drive.google.com/open?id=1jPcMH1wWgMRUzAf1Nd8SJKFoa2U_-r5Z, https://drive.google.com/open?id=1Lye4yDUpKlsk1ddLpVpXBzL7NbZusg0o</v>
      </c>
      <c r="L2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1!$E:$E"")=$D211) *
        (IMPORTRANGE(""https://docs.google.com/spreadsheets/d/161aHT6vVT3SLneTKD19N5qVWtnj_jIT8CSsOmUVKmaA"&amp;"/edit?gid=1761053510"",
          ""Haris_Form responses 1!$AQ:$AQ"")=3)
      ),
      1
    ),
    ""0""
  ),
  ""Form not found""
)
"),"3")</f>
        <v>3</v>
      </c>
      <c r="M211" s="245" t="str">
        <f>IFERROR(__xludf.DUMMYFUNCTION("IFERROR(
  INDEX(
    FILTER(
      Transcription!$AJ:$AJ,
      TRIM(CLEAN(TEXT(Transcription!$F:$F, ""@""))) = TRIM(CLEAN(TEXT($D211, ""@""))),
      Transcription!$AO:$AO = 3
    ),
    1
  ),
  ""Not Found""
)
"),"https://drive.google.com/open?id=1sQm6tpBBvydR0XPAgzWWT9atUd_OIeZPSptjmMDE7Zo")</f>
        <v>https://drive.google.com/open?id=1sQm6tpBBvydR0XPAgzWWT9atUd_OIeZPSptjmMDE7Zo</v>
      </c>
      <c r="N2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TRIM(CLEAN(TEXT($D211, ""@""))),
      IMPORTRANGE(""https://docs.google.com/spreadsheets/d/1DccNxjBgurEr0ABkI_"&amp;"rBagJT5phB5HaHG5N_mTm_BiA/edit?gid=1382299152#gid=1382299152"", ""Form responses 1!$Z:$Z"") = 4
    ),
    1
  ),
  ""Not Found""
)
"),"Not Found")</f>
        <v>Not Found</v>
      </c>
      <c r="O2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1!$E:$E"")=$D211) *
        (IMPORTRANGE(""https://docs.google.com/spreadsheets/d/161aHT6vVT3SLneTKD19N5qVWtnj_jIT8CSsOmUVKmaA"&amp;"/edit?gid=1761053510"",
          ""Haris_Form responses 1!$AQ:$AQ"")=4)
      ),
      1
    ),
    ""0""
  ),
  ""Form not found""
)
"),"Form not found")</f>
        <v>Form not found</v>
      </c>
      <c r="P211" s="247" t="str">
        <f>IFERROR(__xludf.DUMMYFUNCTION("IFERROR(
  INDEX(
    FILTER(
      Transcription!$AJ:$AJ,
      TRIM(CLEAN(TEXT(Transcription!$F:$F, ""@""))) = TRIM(CLEAN(TEXT($D211, ""@""))),
      Transcription!$AO:$AO = 4
    ),
    1
  ),
  ""Not Found""
)
"),"Not Found")</f>
        <v>Not Found</v>
      </c>
      <c r="Q2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TRIM(CLEAN(TEXT($D211, ""@""))),
      IMPORTRANGE(""https://docs.google.com/spreadsheets/d/1DccNxjBgurEr0ABkI_"&amp;"rBagJT5phB5HaHG5N_mTm_BiA/edit?gid=1382299152#gid=1382299152"", ""Form responses 1!$Z:$Z"") = 5
    ),
    1
  ),
  ""Not Found""
)
"),"Not Found")</f>
        <v>Not Found</v>
      </c>
      <c r="R2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1!$E:$E"")=$D211) *
        (IMPORTRANGE(""https://docs.google.com/spreadsheets/d/161aHT6vVT3SLneTKD19N5qVWtnj_jIT8CSsOmUVKmaA"&amp;"/edit?gid=1761053510"",
          ""Haris_Form responses 1!$AQ:$AQ"")=5)
      ),
      1
    ),
    ""0""
  ),
  ""Form not found""
)
"),"Form not found")</f>
        <v>Form not found</v>
      </c>
      <c r="S211" s="247" t="str">
        <f>IFERROR(__xludf.DUMMYFUNCTION("IFERROR(
  INDEX(
    FILTER(
      Transcription!$AJ:$AJ,
      TRIM(CLEAN(TEXT(Transcription!$F:$F, ""@""))) = TRIM(CLEAN(TEXT($D211, ""@""))),
      Transcription!$AO:$AO = 5
    ),
    1
  ),
  ""Not Found""
)
"),"Not Found")</f>
        <v>Not Found</v>
      </c>
      <c r="T2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TRIM(CLEAN(TEXT($D211, ""@""))),
      IMPORTRANGE(""https://docs.google.com/spreadsheets/d/1DccNxjBgurEr0ABkI_"&amp;"rBagJT5phB5HaHG5N_mTm_BiA/edit?gid=1382299152#gid=1382299152"", ""Form responses 1!$Z:$Z"") = 6
    ),
    1
  ),
  ""Not Found""
)
"),"Not Found")</f>
        <v>Not Found</v>
      </c>
      <c r="U2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1!$E:$E"")=$D211) *
        (IMPORTRANGE(""https://docs.google.com/spreadsheets/d/161aHT6vVT3SLneTKD19N5qVWtnj_jIT8CSsOmUVKmaA"&amp;"/edit?gid=1761053510"",
          ""Haris_Form responses 1!$AQ:$AQ"")=6)
      ),
      1
    ),
    ""0""
  ),
  ""Form not found""
)
"),"Form not found")</f>
        <v>Form not found</v>
      </c>
      <c r="V211" s="247" t="str">
        <f>IFERROR(__xludf.DUMMYFUNCTION("IFERROR(
  INDEX(
    FILTER(
      Transcription!$AJ:$AJ,
      TRIM(CLEAN(TEXT(Transcription!$F:$F, ""@""))) = TRIM(CLEAN(TEXT($D211, ""@""))),
      Transcription!$AO:$AO = 6
    ),
    1
  ),
  ""Not Found""
)
"),"Not Found")</f>
        <v>Not Found</v>
      </c>
      <c r="Z211" s="10">
        <f t="shared" si="1"/>
        <v>3</v>
      </c>
      <c r="AA211" s="10">
        <f t="shared" si="2"/>
        <v>0</v>
      </c>
    </row>
    <row r="212">
      <c r="A212" s="8" t="str">
        <f>VLOOKUP($D212,Sheet6!$B:$G,5,FALSE)</f>
        <v>Bahawalpur</v>
      </c>
      <c r="B212" s="232" t="str">
        <f>VLOOKUP($D212,Sheet6!$B:$G,4,FALSE)</f>
        <v>Women Secular Info Share</v>
      </c>
      <c r="C212" s="8">
        <v>3.0</v>
      </c>
      <c r="D212" s="8" t="s">
        <v>4651</v>
      </c>
      <c r="E2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TRIM(CLEAN(TEXT($D212, ""@""))),
      IMPORTRANGE(""https://docs.google.com/spreadsheets/d/1DccNxjBgurEr0ABkI_"&amp;"rBagJT5phB5HaHG5N_mTm_BiA/edit?gid=1382299152#gid=1382299152"", ""Form responses 1!$Z:$Z"") = 1
    ),
    1
  ),
  ""Not Found""
)
"),"https://drive.google.com/open?id=1wsofiMoeHdXEkQIxF5if28lNGMyUz1_k")</f>
        <v>https://drive.google.com/open?id=1wsofiMoeHdXEkQIxF5if28lNGMyUz1_k</v>
      </c>
      <c r="F2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1!$E:$E"")=$D212) *
        (IMPORTRANGE(""https://docs.google.com/spreadsheets/d/161aHT6vVT3SLneTKD19N5qVWtnj_jIT8CSsOmUVKmaA"&amp;"/edit?gid=1761053510"",
          ""Haris_Form responses 1!$AQ:$AQ"")=1)
      ),
      1
    ),
    ""0""
  ),
  ""Form not found""
)
"),"1")</f>
        <v>1</v>
      </c>
      <c r="G212" s="245" t="str">
        <f>IFERROR(__xludf.DUMMYFUNCTION("IFERROR(
  INDEX(
    FILTER(
      Transcription!$AJ:$AJ,
      TRIM(CLEAN(TEXT(Transcription!$F:$F, ""@""))) = TRIM(CLEAN(TEXT($D212, ""@""))),
      Transcription!$AO:$AO = 1
    ),
    1
  ),
  ""Not Found""
)
"),"https://drive.google.com/open?id=1q8Hmw2tNaI6ww54BX73n2Yd_JfRnRXxzkrHJ5BJ27l4")</f>
        <v>https://drive.google.com/open?id=1q8Hmw2tNaI6ww54BX73n2Yd_JfRnRXxzkrHJ5BJ27l4</v>
      </c>
      <c r="H2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TRIM(CLEAN(TEXT($D212, ""@""))),
      IMPORTRANGE(""https://docs.google.com/spreadsheets/d/1DccNxjBgurEr0ABkI_"&amp;"rBagJT5phB5HaHG5N_mTm_BiA/edit?gid=1382299152#gid=1382299152"", ""Form responses 1!$Z:$Z"") = 2
    ),
    1
  ),
  ""Not Found""
)
"),"https://drive.google.com/open?id=1pHQCCs0PT2wBtpM1uC-21m7MZfgSbvqv")</f>
        <v>https://drive.google.com/open?id=1pHQCCs0PT2wBtpM1uC-21m7MZfgSbvqv</v>
      </c>
      <c r="I2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1!$E:$E"")=$D212) *
        (IMPORTRANGE(""https://docs.google.com/spreadsheets/d/161aHT6vVT3SLneTKD19N5qVWtnj_jIT8CSsOmUVKmaA"&amp;"/edit?gid=1761053510"",
          ""Haris_Form responses 1!$AQ:$AQ"")=2)
      ),
      1
    ),
    ""0""
  ),
  ""Form not found""
)
"),"2")</f>
        <v>2</v>
      </c>
      <c r="J212" s="245" t="str">
        <f>IFERROR(__xludf.DUMMYFUNCTION("IFERROR(
  INDEX(
    FILTER(
      Transcription!$AJ:$AJ,
      TRIM(CLEAN(TEXT(Transcription!$F:$F, ""@""))) = TRIM(CLEAN(TEXT($D212, ""@""))),
      Transcription!$AO:$AO = 2
    ),
    1
  ),
  ""Not Found""
)
"),"https://drive.google.com/open?id=1dNWYyDjMq05L5AYzTMXxoBQWOPnEbmkaSTD2ws6ZppA")</f>
        <v>https://drive.google.com/open?id=1dNWYyDjMq05L5AYzTMXxoBQWOPnEbmkaSTD2ws6ZppA</v>
      </c>
      <c r="K2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TRIM(CLEAN(TEXT($D212, ""@""))),
      IMPORTRANGE(""https://docs.google.com/spreadsheets/d/1DccNxjBgurEr0ABkI_"&amp;"rBagJT5phB5HaHG5N_mTm_BiA/edit?gid=1382299152#gid=1382299152"", ""Form responses 1!$Z:$Z"") = 3
    ),
    1
  ),
  ""Not Found""
)
"),"https://drive.google.com/open?id=1lZdsIVi-gBi1yNWdyzleenIuGfrpGQHE")</f>
        <v>https://drive.google.com/open?id=1lZdsIVi-gBi1yNWdyzleenIuGfrpGQHE</v>
      </c>
      <c r="L2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1!$E:$E"")=$D212) *
        (IMPORTRANGE(""https://docs.google.com/spreadsheets/d/161aHT6vVT3SLneTKD19N5qVWtnj_jIT8CSsOmUVKmaA"&amp;"/edit?gid=1761053510"",
          ""Haris_Form responses 1!$AQ:$AQ"")=3)
      ),
      1
    ),
    ""0""
  ),
  ""Form not found""
)
"),"3")</f>
        <v>3</v>
      </c>
      <c r="M212" s="245" t="str">
        <f>IFERROR(__xludf.DUMMYFUNCTION("IFERROR(
  INDEX(
    FILTER(
      Transcription!$AJ:$AJ,
      TRIM(CLEAN(TEXT(Transcription!$F:$F, ""@""))) = TRIM(CLEAN(TEXT($D212, ""@""))),
      Transcription!$AO:$AO = 3
    ),
    1
  ),
  ""Not Found""
)
"),"https://drive.google.com/open?id=1_hmXiGjjfkprZTEbShML-HZde2J9M4ThhRhcNhrBAhQ")</f>
        <v>https://drive.google.com/open?id=1_hmXiGjjfkprZTEbShML-HZde2J9M4ThhRhcNhrBAhQ</v>
      </c>
      <c r="N21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TRIM(CLEAN(TEXT($D212, ""@""))),
      IMPORTRANGE(""https://docs.google.com/spreadsheets/d/1DccNxjBgurEr0ABkI_"&amp;"rBagJT5phB5HaHG5N_mTm_BiA/edit?gid=1382299152#gid=1382299152"", ""Form responses 1!$Z:$Z"") = 4
    ),
    1
  ),
  ""Not Found""
)
"),"Not Found")</f>
        <v>Not Found</v>
      </c>
      <c r="O2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1!$E:$E"")=$D212) *
        (IMPORTRANGE(""https://docs.google.com/spreadsheets/d/161aHT6vVT3SLneTKD19N5qVWtnj_jIT8CSsOmUVKmaA"&amp;"/edit?gid=1761053510"",
          ""Haris_Form responses 1!$AQ:$AQ"")=4)
      ),
      1
    ),
    ""0""
  ),
  ""Form not found""
)
"),"Form not found")</f>
        <v>Form not found</v>
      </c>
      <c r="P212" s="247" t="str">
        <f>IFERROR(__xludf.DUMMYFUNCTION("IFERROR(
  INDEX(
    FILTER(
      Transcription!$AJ:$AJ,
      TRIM(CLEAN(TEXT(Transcription!$F:$F, ""@""))) = TRIM(CLEAN(TEXT($D212, ""@""))),
      Transcription!$AO:$AO = 4
    ),
    1
  ),
  ""Not Found""
)
"),"Not Found")</f>
        <v>Not Found</v>
      </c>
      <c r="Q21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TRIM(CLEAN(TEXT($D212, ""@""))),
      IMPORTRANGE(""https://docs.google.com/spreadsheets/d/1DccNxjBgurEr0ABkI_"&amp;"rBagJT5phB5HaHG5N_mTm_BiA/edit?gid=1382299152#gid=1382299152"", ""Form responses 1!$Z:$Z"") = 5
    ),
    1
  ),
  ""Not Found""
)
"),"Not Found")</f>
        <v>Not Found</v>
      </c>
      <c r="R2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1!$E:$E"")=$D212) *
        (IMPORTRANGE(""https://docs.google.com/spreadsheets/d/161aHT6vVT3SLneTKD19N5qVWtnj_jIT8CSsOmUVKmaA"&amp;"/edit?gid=1761053510"",
          ""Haris_Form responses 1!$AQ:$AQ"")=5)
      ),
      1
    ),
    ""0""
  ),
  ""Form not found""
)
"),"Form not found")</f>
        <v>Form not found</v>
      </c>
      <c r="S212" s="247" t="str">
        <f>IFERROR(__xludf.DUMMYFUNCTION("IFERROR(
  INDEX(
    FILTER(
      Transcription!$AJ:$AJ,
      TRIM(CLEAN(TEXT(Transcription!$F:$F, ""@""))) = TRIM(CLEAN(TEXT($D212, ""@""))),
      Transcription!$AO:$AO = 5
    ),
    1
  ),
  ""Not Found""
)
"),"Not Found")</f>
        <v>Not Found</v>
      </c>
      <c r="T21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TRIM(CLEAN(TEXT($D212, ""@""))),
      IMPORTRANGE(""https://docs.google.com/spreadsheets/d/1DccNxjBgurEr0ABkI_"&amp;"rBagJT5phB5HaHG5N_mTm_BiA/edit?gid=1382299152#gid=1382299152"", ""Form responses 1!$Z:$Z"") = 6
    ),
    1
  ),
  ""Not Found""
)
"),"Not Found")</f>
        <v>Not Found</v>
      </c>
      <c r="U2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1!$E:$E"")=$D212) *
        (IMPORTRANGE(""https://docs.google.com/spreadsheets/d/161aHT6vVT3SLneTKD19N5qVWtnj_jIT8CSsOmUVKmaA"&amp;"/edit?gid=1761053510"",
          ""Haris_Form responses 1!$AQ:$AQ"")=6)
      ),
      1
    ),
    ""0""
  ),
  ""Form not found""
)
"),"Form not found")</f>
        <v>Form not found</v>
      </c>
      <c r="V212" s="247" t="str">
        <f>IFERROR(__xludf.DUMMYFUNCTION("IFERROR(
  INDEX(
    FILTER(
      Transcription!$AJ:$AJ,
      TRIM(CLEAN(TEXT(Transcription!$F:$F, ""@""))) = TRIM(CLEAN(TEXT($D212, ""@""))),
      Transcription!$AO:$AO = 6
    ),
    1
  ),
  ""Not Found""
)
"),"Not Found")</f>
        <v>Not Found</v>
      </c>
      <c r="Z212" s="10">
        <f t="shared" si="1"/>
        <v>3</v>
      </c>
      <c r="AA212" s="10">
        <f t="shared" si="2"/>
        <v>0</v>
      </c>
    </row>
    <row r="213">
      <c r="A213" s="8" t="str">
        <f>VLOOKUP($D213,Sheet6!$B:$G,5,FALSE)</f>
        <v>Bahawalpur</v>
      </c>
      <c r="B213" s="232" t="str">
        <f>VLOOKUP($D213,Sheet6!$B:$G,4,FALSE)</f>
        <v>Community Religious No Info Share</v>
      </c>
      <c r="C213" s="8">
        <v>3.0</v>
      </c>
      <c r="D213" s="8" t="s">
        <v>4652</v>
      </c>
      <c r="E21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TRIM(CLEAN(TEXT($D213, ""@""))),
      IMPORTRANGE(""https://docs.google.com/spreadsheets/d/1DccNxjBgurEr0ABkI_"&amp;"rBagJT5phB5HaHG5N_mTm_BiA/edit?gid=1382299152#gid=1382299152"", ""Form responses 1!$Z:$Z"") = 1
    ),
    1
  ),
  ""Not Found""
)
"),"https://drive.google.com/open?id=1062bfFp6PXALa9DMo0meZKagxgzrj9dJ")</f>
        <v>https://drive.google.com/open?id=1062bfFp6PXALa9DMo0meZKagxgzrj9dJ</v>
      </c>
      <c r="F2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1!$E:$E"")=$D213) *
        (IMPORTRANGE(""https://docs.google.com/spreadsheets/d/161aHT6vVT3SLneTKD19N5qVWtnj_jIT8CSsOmUVKmaA"&amp;"/edit?gid=1761053510"",
          ""Haris_Form responses 1!$AQ:$AQ"")=1)
      ),
      1
    ),
    ""0""
  ),
  ""Form not found""
)
"),"1")</f>
        <v>1</v>
      </c>
      <c r="G213" s="245" t="str">
        <f>IFERROR(__xludf.DUMMYFUNCTION("IFERROR(
  INDEX(
    FILTER(
      Transcription!$AJ:$AJ,
      TRIM(CLEAN(TEXT(Transcription!$F:$F, ""@""))) = TRIM(CLEAN(TEXT($D213, ""@""))),
      Transcription!$AO:$AO = 1
    ),
    1
  ),
  ""Not Found""
)
"),"https://drive.google.com/open?id=15XFYKmngd5Tx6Apo5BQ91-mFjamUpWfR")</f>
        <v>https://drive.google.com/open?id=15XFYKmngd5Tx6Apo5BQ91-mFjamUpWfR</v>
      </c>
      <c r="H21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TRIM(CLEAN(TEXT($D213, ""@""))),
      IMPORTRANGE(""https://docs.google.com/spreadsheets/d/1DccNxjBgurEr0ABkI_"&amp;"rBagJT5phB5HaHG5N_mTm_BiA/edit?gid=1382299152#gid=1382299152"", ""Form responses 1!$Z:$Z"") = 2
    ),
    1
  ),
  ""Not Found""
)
"),"https://drive.google.com/open?id=1Oaloj8PDBSBrXEXtjx39G4peAXvSlQgM")</f>
        <v>https://drive.google.com/open?id=1Oaloj8PDBSBrXEXtjx39G4peAXvSlQgM</v>
      </c>
      <c r="I2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1!$E:$E"")=$D213) *
        (IMPORTRANGE(""https://docs.google.com/spreadsheets/d/161aHT6vVT3SLneTKD19N5qVWtnj_jIT8CSsOmUVKmaA"&amp;"/edit?gid=1761053510"",
          ""Haris_Form responses 1!$AQ:$AQ"")=2)
      ),
      1
    ),
    ""0""
  ),
  ""Form not found""
)
"),"2")</f>
        <v>2</v>
      </c>
      <c r="J213" s="245" t="str">
        <f>IFERROR(__xludf.DUMMYFUNCTION("IFERROR(
  INDEX(
    FILTER(
      Transcription!$AJ:$AJ,
      TRIM(CLEAN(TEXT(Transcription!$F:$F, ""@""))) = TRIM(CLEAN(TEXT($D213, ""@""))),
      Transcription!$AO:$AO = 2
    ),
    1
  ),
  ""Not Found""
)
"),"https://drive.google.com/open?id=1e5LPiVB9swGGjWLjgf72wtlIkiD_66Pa")</f>
        <v>https://drive.google.com/open?id=1e5LPiVB9swGGjWLjgf72wtlIkiD_66Pa</v>
      </c>
      <c r="K21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TRIM(CLEAN(TEXT($D213, ""@""))),
      IMPORTRANGE(""https://docs.google.com/spreadsheets/d/1DccNxjBgurEr0ABkI_"&amp;"rBagJT5phB5HaHG5N_mTm_BiA/edit?gid=1382299152#gid=1382299152"", ""Form responses 1!$Z:$Z"") = 3
    ),
    1
  ),
  ""Not Found""
)
"),"https://drive.google.com/open?id=1zOhfF0Auy6I_p_No7W3XPsD-IiOSQvAF")</f>
        <v>https://drive.google.com/open?id=1zOhfF0Auy6I_p_No7W3XPsD-IiOSQvAF</v>
      </c>
      <c r="L2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1!$E:$E"")=$D213) *
        (IMPORTRANGE(""https://docs.google.com/spreadsheets/d/161aHT6vVT3SLneTKD19N5qVWtnj_jIT8CSsOmUVKmaA"&amp;"/edit?gid=1761053510"",
          ""Haris_Form responses 1!$AQ:$AQ"")=3)
      ),
      1
    ),
    ""0""
  ),
  ""Form not found""
)
"),"3")</f>
        <v>3</v>
      </c>
      <c r="M213" s="245" t="str">
        <f>IFERROR(__xludf.DUMMYFUNCTION("IFERROR(
  INDEX(
    FILTER(
      Transcription!$AJ:$AJ,
      TRIM(CLEAN(TEXT(Transcription!$F:$F, ""@""))) = TRIM(CLEAN(TEXT($D213, ""@""))),
      Transcription!$AO:$AO = 3
    ),
    1
  ),
  ""Not Found""
)
"),"https://drive.google.com/open?id=1VFZonY37tKF5gr4NiH5kC4NYw8ozPrua")</f>
        <v>https://drive.google.com/open?id=1VFZonY37tKF5gr4NiH5kC4NYw8ozPrua</v>
      </c>
      <c r="N21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TRIM(CLEAN(TEXT($D213, ""@""))),
      IMPORTRANGE(""https://docs.google.com/spreadsheets/d/1DccNxjBgurEr0ABkI_"&amp;"rBagJT5phB5HaHG5N_mTm_BiA/edit?gid=1382299152#gid=1382299152"", ""Form responses 1!$Z:$Z"") = 4
    ),
    1
  ),
  ""Not Found""
)
"),"Not Found")</f>
        <v>Not Found</v>
      </c>
      <c r="O2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1!$E:$E"")=$D213) *
        (IMPORTRANGE(""https://docs.google.com/spreadsheets/d/161aHT6vVT3SLneTKD19N5qVWtnj_jIT8CSsOmUVKmaA"&amp;"/edit?gid=1761053510"",
          ""Haris_Form responses 1!$AQ:$AQ"")=4)
      ),
      1
    ),
    ""0""
  ),
  ""Form not found""
)
"),"Form not found")</f>
        <v>Form not found</v>
      </c>
      <c r="P213" s="247" t="str">
        <f>IFERROR(__xludf.DUMMYFUNCTION("IFERROR(
  INDEX(
    FILTER(
      Transcription!$AJ:$AJ,
      TRIM(CLEAN(TEXT(Transcription!$F:$F, ""@""))) = TRIM(CLEAN(TEXT($D213, ""@""))),
      Transcription!$AO:$AO = 4
    ),
    1
  ),
  ""Not Found""
)
"),"Not Found")</f>
        <v>Not Found</v>
      </c>
      <c r="Q21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TRIM(CLEAN(TEXT($D213, ""@""))),
      IMPORTRANGE(""https://docs.google.com/spreadsheets/d/1DccNxjBgurEr0ABkI_"&amp;"rBagJT5phB5HaHG5N_mTm_BiA/edit?gid=1382299152#gid=1382299152"", ""Form responses 1!$Z:$Z"") = 5
    ),
    1
  ),
  ""Not Found""
)
"),"Not Found")</f>
        <v>Not Found</v>
      </c>
      <c r="R2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1!$E:$E"")=$D213) *
        (IMPORTRANGE(""https://docs.google.com/spreadsheets/d/161aHT6vVT3SLneTKD19N5qVWtnj_jIT8CSsOmUVKmaA"&amp;"/edit?gid=1761053510"",
          ""Haris_Form responses 1!$AQ:$AQ"")=5)
      ),
      1
    ),
    ""0""
  ),
  ""Form not found""
)
"),"Form not found")</f>
        <v>Form not found</v>
      </c>
      <c r="S213" s="247" t="str">
        <f>IFERROR(__xludf.DUMMYFUNCTION("IFERROR(
  INDEX(
    FILTER(
      Transcription!$AJ:$AJ,
      TRIM(CLEAN(TEXT(Transcription!$F:$F, ""@""))) = TRIM(CLEAN(TEXT($D213, ""@""))),
      Transcription!$AO:$AO = 5
    ),
    1
  ),
  ""Not Found""
)
"),"Not Found")</f>
        <v>Not Found</v>
      </c>
      <c r="T21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TRIM(CLEAN(TEXT($D213, ""@""))),
      IMPORTRANGE(""https://docs.google.com/spreadsheets/d/1DccNxjBgurEr0ABkI_"&amp;"rBagJT5phB5HaHG5N_mTm_BiA/edit?gid=1382299152#gid=1382299152"", ""Form responses 1!$Z:$Z"") = 6
    ),
    1
  ),
  ""Not Found""
)
"),"Not Found")</f>
        <v>Not Found</v>
      </c>
      <c r="U21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1!$E:$E"")=$D213) *
        (IMPORTRANGE(""https://docs.google.com/spreadsheets/d/161aHT6vVT3SLneTKD19N5qVWtnj_jIT8CSsOmUVKmaA"&amp;"/edit?gid=1761053510"",
          ""Haris_Form responses 1!$AQ:$AQ"")=6)
      ),
      1
    ),
    ""0""
  ),
  ""Form not found""
)
"),"Form not found")</f>
        <v>Form not found</v>
      </c>
      <c r="V213" s="247" t="str">
        <f>IFERROR(__xludf.DUMMYFUNCTION("IFERROR(
  INDEX(
    FILTER(
      Transcription!$AJ:$AJ,
      TRIM(CLEAN(TEXT(Transcription!$F:$F, ""@""))) = TRIM(CLEAN(TEXT($D213, ""@""))),
      Transcription!$AO:$AO = 6
    ),
    1
  ),
  ""Not Found""
)
"),"Not Found")</f>
        <v>Not Found</v>
      </c>
      <c r="Z213" s="10">
        <f t="shared" si="1"/>
        <v>3</v>
      </c>
      <c r="AA213" s="10">
        <f t="shared" si="2"/>
        <v>0</v>
      </c>
    </row>
    <row r="214">
      <c r="A214" s="8" t="str">
        <f>VLOOKUP($D214,Sheet6!$B:$G,5,FALSE)</f>
        <v>Bahawalpur</v>
      </c>
      <c r="B214" s="232" t="str">
        <f>VLOOKUP($D214,Sheet6!$B:$G,4,FALSE)</f>
        <v>Community Religious No Info Share</v>
      </c>
      <c r="C214" s="8">
        <v>3.0</v>
      </c>
      <c r="D214" s="8" t="s">
        <v>4653</v>
      </c>
      <c r="E21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TRIM(CLEAN(TEXT($D214, ""@""))),
      IMPORTRANGE(""https://docs.google.com/spreadsheets/d/1DccNxjBgurEr0ABkI_"&amp;"rBagJT5phB5HaHG5N_mTm_BiA/edit?gid=1382299152#gid=1382299152"", ""Form responses 1!$Z:$Z"") = 1
    ),
    1
  ),
  ""Not Found""
)
"),"https://drive.google.com/open?id=1yByVKJ8ZjuBJ1_j2xfnrq8l530j503-M")</f>
        <v>https://drive.google.com/open?id=1yByVKJ8ZjuBJ1_j2xfnrq8l530j503-M</v>
      </c>
      <c r="F2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1!$E:$E"")=$D214) *
        (IMPORTRANGE(""https://docs.google.com/spreadsheets/d/161aHT6vVT3SLneTKD19N5qVWtnj_jIT8CSsOmUVKmaA"&amp;"/edit?gid=1761053510"",
          ""Haris_Form responses 1!$AQ:$AQ"")=1)
      ),
      1
    ),
    ""0""
  ),
  ""Form not found""
)
"),"1")</f>
        <v>1</v>
      </c>
      <c r="G214" s="245" t="str">
        <f>IFERROR(__xludf.DUMMYFUNCTION("IFERROR(
  INDEX(
    FILTER(
      Transcription!$AJ:$AJ,
      TRIM(CLEAN(TEXT(Transcription!$F:$F, ""@""))) = TRIM(CLEAN(TEXT($D214, ""@""))),
      Transcription!$AO:$AO = 1
    ),
    1
  ),
  ""Not Found""
)
"),"https://drive.google.com/open?id=1dpkW9EuK4UI5tF8MPAdWhB3-HPZDoSAj")</f>
        <v>https://drive.google.com/open?id=1dpkW9EuK4UI5tF8MPAdWhB3-HPZDoSAj</v>
      </c>
      <c r="H21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TRIM(CLEAN(TEXT($D214, ""@""))),
      IMPORTRANGE(""https://docs.google.com/spreadsheets/d/1DccNxjBgurEr0ABkI_"&amp;"rBagJT5phB5HaHG5N_mTm_BiA/edit?gid=1382299152#gid=1382299152"", ""Form responses 1!$Z:$Z"") = 2
    ),
    1
  ),
  ""Not Found""
)
"),"https://drive.google.com/open?id=1BGgoR5kTDOU_BUC3_FuSYDT9pUPify4g")</f>
        <v>https://drive.google.com/open?id=1BGgoR5kTDOU_BUC3_FuSYDT9pUPify4g</v>
      </c>
      <c r="I2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1!$E:$E"")=$D214) *
        (IMPORTRANGE(""https://docs.google.com/spreadsheets/d/161aHT6vVT3SLneTKD19N5qVWtnj_jIT8CSsOmUVKmaA"&amp;"/edit?gid=1761053510"",
          ""Haris_Form responses 1!$AQ:$AQ"")=2)
      ),
      1
    ),
    ""0""
  ),
  ""Form not found""
)
"),"2")</f>
        <v>2</v>
      </c>
      <c r="J214" s="245" t="str">
        <f>IFERROR(__xludf.DUMMYFUNCTION("IFERROR(
  INDEX(
    FILTER(
      Transcription!$AJ:$AJ,
      TRIM(CLEAN(TEXT(Transcription!$F:$F, ""@""))) = TRIM(CLEAN(TEXT($D214, ""@""))),
      Transcription!$AO:$AO = 2
    ),
    1
  ),
  ""Not Found""
)
"),"https://drive.google.com/open?id=1xZ1NbdZ9lGP-JPWL4BJdDcAn5gGIfr3r")</f>
        <v>https://drive.google.com/open?id=1xZ1NbdZ9lGP-JPWL4BJdDcAn5gGIfr3r</v>
      </c>
      <c r="K21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TRIM(CLEAN(TEXT($D214, ""@""))),
      IMPORTRANGE(""https://docs.google.com/spreadsheets/d/1DccNxjBgurEr0ABkI_"&amp;"rBagJT5phB5HaHG5N_mTm_BiA/edit?gid=1382299152#gid=1382299152"", ""Form responses 1!$Z:$Z"") = 3
    ),
    1
  ),
  ""Not Found""
)
"),"https://drive.google.com/open?id=1sQ7YalYmmhaGPwsWzCPLXRCu2p8GYBUm")</f>
        <v>https://drive.google.com/open?id=1sQ7YalYmmhaGPwsWzCPLXRCu2p8GYBUm</v>
      </c>
      <c r="L2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1!$E:$E"")=$D214) *
        (IMPORTRANGE(""https://docs.google.com/spreadsheets/d/161aHT6vVT3SLneTKD19N5qVWtnj_jIT8CSsOmUVKmaA"&amp;"/edit?gid=1761053510"",
          ""Haris_Form responses 1!$AQ:$AQ"")=3)
      ),
      1
    ),
    ""0""
  ),
  ""Form not found""
)
"),"3")</f>
        <v>3</v>
      </c>
      <c r="M214" s="245" t="str">
        <f>IFERROR(__xludf.DUMMYFUNCTION("IFERROR(
  INDEX(
    FILTER(
      Transcription!$AJ:$AJ,
      TRIM(CLEAN(TEXT(Transcription!$F:$F, ""@""))) = TRIM(CLEAN(TEXT($D214, ""@""))),
      Transcription!$AO:$AO = 3
    ),
    1
  ),
  ""Not Found""
)
"),"https://drive.google.com/open?id=1C73fO57KLPlGfFETqRBw5HnYlL4sKDxD")</f>
        <v>https://drive.google.com/open?id=1C73fO57KLPlGfFETqRBw5HnYlL4sKDxD</v>
      </c>
      <c r="N21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TRIM(CLEAN(TEXT($D214, ""@""))),
      IMPORTRANGE(""https://docs.google.com/spreadsheets/d/1DccNxjBgurEr0ABkI_"&amp;"rBagJT5phB5HaHG5N_mTm_BiA/edit?gid=1382299152#gid=1382299152"", ""Form responses 1!$Z:$Z"") = 4
    ),
    1
  ),
  ""Not Found""
)
"),"Not Found")</f>
        <v>Not Found</v>
      </c>
      <c r="O2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1!$E:$E"")=$D214) *
        (IMPORTRANGE(""https://docs.google.com/spreadsheets/d/161aHT6vVT3SLneTKD19N5qVWtnj_jIT8CSsOmUVKmaA"&amp;"/edit?gid=1761053510"",
          ""Haris_Form responses 1!$AQ:$AQ"")=4)
      ),
      1
    ),
    ""0""
  ),
  ""Form not found""
)
"),"Form not found")</f>
        <v>Form not found</v>
      </c>
      <c r="P214" s="247" t="str">
        <f>IFERROR(__xludf.DUMMYFUNCTION("IFERROR(
  INDEX(
    FILTER(
      Transcription!$AJ:$AJ,
      TRIM(CLEAN(TEXT(Transcription!$F:$F, ""@""))) = TRIM(CLEAN(TEXT($D214, ""@""))),
      Transcription!$AO:$AO = 4
    ),
    1
  ),
  ""Not Found""
)
"),"Not Found")</f>
        <v>Not Found</v>
      </c>
      <c r="Q21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TRIM(CLEAN(TEXT($D214, ""@""))),
      IMPORTRANGE(""https://docs.google.com/spreadsheets/d/1DccNxjBgurEr0ABkI_"&amp;"rBagJT5phB5HaHG5N_mTm_BiA/edit?gid=1382299152#gid=1382299152"", ""Form responses 1!$Z:$Z"") = 5
    ),
    1
  ),
  ""Not Found""
)
"),"Not Found")</f>
        <v>Not Found</v>
      </c>
      <c r="R2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1!$E:$E"")=$D214) *
        (IMPORTRANGE(""https://docs.google.com/spreadsheets/d/161aHT6vVT3SLneTKD19N5qVWtnj_jIT8CSsOmUVKmaA"&amp;"/edit?gid=1761053510"",
          ""Haris_Form responses 1!$AQ:$AQ"")=5)
      ),
      1
    ),
    ""0""
  ),
  ""Form not found""
)
"),"Form not found")</f>
        <v>Form not found</v>
      </c>
      <c r="S214" s="247" t="str">
        <f>IFERROR(__xludf.DUMMYFUNCTION("IFERROR(
  INDEX(
    FILTER(
      Transcription!$AJ:$AJ,
      TRIM(CLEAN(TEXT(Transcription!$F:$F, ""@""))) = TRIM(CLEAN(TEXT($D214, ""@""))),
      Transcription!$AO:$AO = 5
    ),
    1
  ),
  ""Not Found""
)
"),"Not Found")</f>
        <v>Not Found</v>
      </c>
      <c r="T21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TRIM(CLEAN(TEXT($D214, ""@""))),
      IMPORTRANGE(""https://docs.google.com/spreadsheets/d/1DccNxjBgurEr0ABkI_"&amp;"rBagJT5phB5HaHG5N_mTm_BiA/edit?gid=1382299152#gid=1382299152"", ""Form responses 1!$Z:$Z"") = 6
    ),
    1
  ),
  ""Not Found""
)
"),"Not Found")</f>
        <v>Not Found</v>
      </c>
      <c r="U21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1!$E:$E"")=$D214) *
        (IMPORTRANGE(""https://docs.google.com/spreadsheets/d/161aHT6vVT3SLneTKD19N5qVWtnj_jIT8CSsOmUVKmaA"&amp;"/edit?gid=1761053510"",
          ""Haris_Form responses 1!$AQ:$AQ"")=6)
      ),
      1
    ),
    ""0""
  ),
  ""Form not found""
)
"),"Form not found")</f>
        <v>Form not found</v>
      </c>
      <c r="V214" s="247" t="str">
        <f>IFERROR(__xludf.DUMMYFUNCTION("IFERROR(
  INDEX(
    FILTER(
      Transcription!$AJ:$AJ,
      TRIM(CLEAN(TEXT(Transcription!$F:$F, ""@""))) = TRIM(CLEAN(TEXT($D214, ""@""))),
      Transcription!$AO:$AO = 6
    ),
    1
  ),
  ""Not Found""
)
"),"Not Found")</f>
        <v>Not Found</v>
      </c>
      <c r="Z214" s="10">
        <f t="shared" si="1"/>
        <v>3</v>
      </c>
      <c r="AA214" s="10">
        <f t="shared" si="2"/>
        <v>0</v>
      </c>
    </row>
    <row r="215">
      <c r="A215" s="8" t="str">
        <f>VLOOKUP($D215,Sheet6!$B:$G,5,FALSE)</f>
        <v>Bahawalpur</v>
      </c>
      <c r="B215" s="232" t="str">
        <f>VLOOKUP($D215,Sheet6!$B:$G,4,FALSE)</f>
        <v>Community Religious Info Share</v>
      </c>
      <c r="C215" s="8">
        <v>3.0</v>
      </c>
      <c r="D215" s="8" t="s">
        <v>4654</v>
      </c>
      <c r="E21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TRIM(CLEAN(TEXT($D215, ""@""))),
      IMPORTRANGE(""https://docs.google.com/spreadsheets/d/1DccNxjBgurEr0ABkI_"&amp;"rBagJT5phB5HaHG5N_mTm_BiA/edit?gid=1382299152#gid=1382299152"", ""Form responses 1!$Z:$Z"") = 1
    ),
    1
  ),
  ""Not Found""
)
"),"https://drive.google.com/open?id=1rJjofqH45xdiGTB6wD53Oq5woYPIDr1Q")</f>
        <v>https://drive.google.com/open?id=1rJjofqH45xdiGTB6wD53Oq5woYPIDr1Q</v>
      </c>
      <c r="F2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1!$E:$E"")=$D215) *
        (IMPORTRANGE(""https://docs.google.com/spreadsheets/d/161aHT6vVT3SLneTKD19N5qVWtnj_jIT8CSsOmUVKmaA"&amp;"/edit?gid=1761053510"",
          ""Haris_Form responses 1!$AQ:$AQ"")=1)
      ),
      1
    ),
    ""0""
  ),
  ""Form not found""
)
"),"1")</f>
        <v>1</v>
      </c>
      <c r="G215" s="245" t="str">
        <f>IFERROR(__xludf.DUMMYFUNCTION("IFERROR(
  INDEX(
    FILTER(
      Transcription!$AJ:$AJ,
      TRIM(CLEAN(TEXT(Transcription!$F:$F, ""@""))) = TRIM(CLEAN(TEXT($D215, ""@""))),
      Transcription!$AO:$AO = 1
    ),
    1
  ),
  ""Not Found""
)
"),"https://drive.google.com/open?id=1KGqOCukxkyP2yXuqkvW4vnJTRrez4-IJ")</f>
        <v>https://drive.google.com/open?id=1KGqOCukxkyP2yXuqkvW4vnJTRrez4-IJ</v>
      </c>
      <c r="H21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TRIM(CLEAN(TEXT($D215, ""@""))),
      IMPORTRANGE(""https://docs.google.com/spreadsheets/d/1DccNxjBgurEr0ABkI_"&amp;"rBagJT5phB5HaHG5N_mTm_BiA/edit?gid=1382299152#gid=1382299152"", ""Form responses 1!$Z:$Z"") = 2
    ),
    1
  ),
  ""Not Found""
)
"),"https://drive.google.com/open?id=1fN-zMnMvcFYlH4fbS5uhc30llQK7w_37")</f>
        <v>https://drive.google.com/open?id=1fN-zMnMvcFYlH4fbS5uhc30llQK7w_37</v>
      </c>
      <c r="I2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1!$E:$E"")=$D215) *
        (IMPORTRANGE(""https://docs.google.com/spreadsheets/d/161aHT6vVT3SLneTKD19N5qVWtnj_jIT8CSsOmUVKmaA"&amp;"/edit?gid=1761053510"",
          ""Haris_Form responses 1!$AQ:$AQ"")=2)
      ),
      1
    ),
    ""0""
  ),
  ""Form not found""
)
"),"2")</f>
        <v>2</v>
      </c>
      <c r="J215" s="245" t="str">
        <f>IFERROR(__xludf.DUMMYFUNCTION("IFERROR(
  INDEX(
    FILTER(
      Transcription!$AJ:$AJ,
      TRIM(CLEAN(TEXT(Transcription!$F:$F, ""@""))) = TRIM(CLEAN(TEXT($D215, ""@""))),
      Transcription!$AO:$AO = 2
    ),
    1
  ),
  ""Not Found""
)
"),"https://drive.google.com/open?id=1gOM-uqK0JH2OufkDi2MfRhNKekNBZy4Z")</f>
        <v>https://drive.google.com/open?id=1gOM-uqK0JH2OufkDi2MfRhNKekNBZy4Z</v>
      </c>
      <c r="K21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TRIM(CLEAN(TEXT($D215, ""@""))),
      IMPORTRANGE(""https://docs.google.com/spreadsheets/d/1DccNxjBgurEr0ABkI_"&amp;"rBagJT5phB5HaHG5N_mTm_BiA/edit?gid=1382299152#gid=1382299152"", ""Form responses 1!$Z:$Z"") = 3
    ),
    1
  ),
  ""Not Found""
)
"),"https://drive.google.com/open?id=1FhmxW55ZhRZ1eulAU7eWLFybnayW9C8F")</f>
        <v>https://drive.google.com/open?id=1FhmxW55ZhRZ1eulAU7eWLFybnayW9C8F</v>
      </c>
      <c r="L2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1!$E:$E"")=$D215) *
        (IMPORTRANGE(""https://docs.google.com/spreadsheets/d/161aHT6vVT3SLneTKD19N5qVWtnj_jIT8CSsOmUVKmaA"&amp;"/edit?gid=1761053510"",
          ""Haris_Form responses 1!$AQ:$AQ"")=3)
      ),
      1
    ),
    ""0""
  ),
  ""Form not found""
)
"),"3")</f>
        <v>3</v>
      </c>
      <c r="M215" s="245" t="str">
        <f>IFERROR(__xludf.DUMMYFUNCTION("IFERROR(
  INDEX(
    FILTER(
      Transcription!$AJ:$AJ,
      TRIM(CLEAN(TEXT(Transcription!$F:$F, ""@""))) = TRIM(CLEAN(TEXT($D215, ""@""))),
      Transcription!$AO:$AO = 3
    ),
    1
  ),
  ""Not Found""
)
"),"https://drive.google.com/open?id=1_jopZvnO2IthfC0PRpkEypHPlIL_pngh")</f>
        <v>https://drive.google.com/open?id=1_jopZvnO2IthfC0PRpkEypHPlIL_pngh</v>
      </c>
      <c r="N21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TRIM(CLEAN(TEXT($D215, ""@""))),
      IMPORTRANGE(""https://docs.google.com/spreadsheets/d/1DccNxjBgurEr0ABkI_"&amp;"rBagJT5phB5HaHG5N_mTm_BiA/edit?gid=1382299152#gid=1382299152"", ""Form responses 1!$Z:$Z"") = 4
    ),
    1
  ),
  ""Not Found""
)
"),"Not Found")</f>
        <v>Not Found</v>
      </c>
      <c r="O2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1!$E:$E"")=$D215) *
        (IMPORTRANGE(""https://docs.google.com/spreadsheets/d/161aHT6vVT3SLneTKD19N5qVWtnj_jIT8CSsOmUVKmaA"&amp;"/edit?gid=1761053510"",
          ""Haris_Form responses 1!$AQ:$AQ"")=4)
      ),
      1
    ),
    ""0""
  ),
  ""Form not found""
)
"),"Form not found")</f>
        <v>Form not found</v>
      </c>
      <c r="P215" s="247" t="str">
        <f>IFERROR(__xludf.DUMMYFUNCTION("IFERROR(
  INDEX(
    FILTER(
      Transcription!$AJ:$AJ,
      TRIM(CLEAN(TEXT(Transcription!$F:$F, ""@""))) = TRIM(CLEAN(TEXT($D215, ""@""))),
      Transcription!$AO:$AO = 4
    ),
    1
  ),
  ""Not Found""
)
"),"Not Found")</f>
        <v>Not Found</v>
      </c>
      <c r="Q21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TRIM(CLEAN(TEXT($D215, ""@""))),
      IMPORTRANGE(""https://docs.google.com/spreadsheets/d/1DccNxjBgurEr0ABkI_"&amp;"rBagJT5phB5HaHG5N_mTm_BiA/edit?gid=1382299152#gid=1382299152"", ""Form responses 1!$Z:$Z"") = 5
    ),
    1
  ),
  ""Not Found""
)
"),"Not Found")</f>
        <v>Not Found</v>
      </c>
      <c r="R2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1!$E:$E"")=$D215) *
        (IMPORTRANGE(""https://docs.google.com/spreadsheets/d/161aHT6vVT3SLneTKD19N5qVWtnj_jIT8CSsOmUVKmaA"&amp;"/edit?gid=1761053510"",
          ""Haris_Form responses 1!$AQ:$AQ"")=5)
      ),
      1
    ),
    ""0""
  ),
  ""Form not found""
)
"),"Form not found")</f>
        <v>Form not found</v>
      </c>
      <c r="S215" s="247" t="str">
        <f>IFERROR(__xludf.DUMMYFUNCTION("IFERROR(
  INDEX(
    FILTER(
      Transcription!$AJ:$AJ,
      TRIM(CLEAN(TEXT(Transcription!$F:$F, ""@""))) = TRIM(CLEAN(TEXT($D215, ""@""))),
      Transcription!$AO:$AO = 5
    ),
    1
  ),
  ""Not Found""
)
"),"Not Found")</f>
        <v>Not Found</v>
      </c>
      <c r="T21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TRIM(CLEAN(TEXT($D215, ""@""))),
      IMPORTRANGE(""https://docs.google.com/spreadsheets/d/1DccNxjBgurEr0ABkI_"&amp;"rBagJT5phB5HaHG5N_mTm_BiA/edit?gid=1382299152#gid=1382299152"", ""Form responses 1!$Z:$Z"") = 6
    ),
    1
  ),
  ""Not Found""
)
"),"Not Found")</f>
        <v>Not Found</v>
      </c>
      <c r="U21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1!$E:$E"")=$D215) *
        (IMPORTRANGE(""https://docs.google.com/spreadsheets/d/161aHT6vVT3SLneTKD19N5qVWtnj_jIT8CSsOmUVKmaA"&amp;"/edit?gid=1761053510"",
          ""Haris_Form responses 1!$AQ:$AQ"")=6)
      ),
      1
    ),
    ""0""
  ),
  ""Form not found""
)
"),"Form not found")</f>
        <v>Form not found</v>
      </c>
      <c r="V215" s="247" t="str">
        <f>IFERROR(__xludf.DUMMYFUNCTION("IFERROR(
  INDEX(
    FILTER(
      Transcription!$AJ:$AJ,
      TRIM(CLEAN(TEXT(Transcription!$F:$F, ""@""))) = TRIM(CLEAN(TEXT($D215, ""@""))),
      Transcription!$AO:$AO = 6
    ),
    1
  ),
  ""Not Found""
)
"),"Not Found")</f>
        <v>Not Found</v>
      </c>
      <c r="Z215" s="10">
        <f t="shared" si="1"/>
        <v>3</v>
      </c>
      <c r="AA215" s="10">
        <f t="shared" si="2"/>
        <v>0</v>
      </c>
    </row>
    <row r="216">
      <c r="A216" s="8" t="str">
        <f>VLOOKUP($D216,Sheet6!$B:$G,5,FALSE)</f>
        <v>Chishtian</v>
      </c>
      <c r="B216" s="232" t="str">
        <f>VLOOKUP($D216,Sheet6!$B:$G,4,FALSE)</f>
        <v>Women Secular Info Share</v>
      </c>
      <c r="C216" s="8">
        <v>3.0</v>
      </c>
      <c r="D216" s="8" t="s">
        <v>4655</v>
      </c>
      <c r="E21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TRIM(CLEAN(TEXT($D216, ""@""))),
      IMPORTRANGE(""https://docs.google.com/spreadsheets/d/1DccNxjBgurEr0ABkI_"&amp;"rBagJT5phB5HaHG5N_mTm_BiA/edit?gid=1382299152#gid=1382299152"", ""Form responses 1!$Z:$Z"") = 1
    ),
    1
  ),
  ""Not Found""
)
"),"https://drive.google.com/open?id=1b-qZlkWgxjdta7JgOSTlSfyC3SwZdfdo")</f>
        <v>https://drive.google.com/open?id=1b-qZlkWgxjdta7JgOSTlSfyC3SwZdfdo</v>
      </c>
      <c r="F2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1!$E:$E"")=$D216) *
        (IMPORTRANGE(""https://docs.google.com/spreadsheets/d/161aHT6vVT3SLneTKD19N5qVWtnj_jIT8CSsOmUVKmaA"&amp;"/edit?gid=1761053510"",
          ""Haris_Form responses 1!$AQ:$AQ"")=1)
      ),
      1
    ),
    ""0""
  ),
  ""Form not found""
)
"),"1")</f>
        <v>1</v>
      </c>
      <c r="G216" s="245" t="str">
        <f>IFERROR(__xludf.DUMMYFUNCTION("IFERROR(
  INDEX(
    FILTER(
      Transcription!$AJ:$AJ,
      TRIM(CLEAN(TEXT(Transcription!$F:$F, ""@""))) = TRIM(CLEAN(TEXT($D216, ""@""))),
      Transcription!$AO:$AO = 1
    ),
    1
  ),
  ""Not Found""
)
"),"https://drive.google.com/open?id=1R-j5jUIMjZusWU3tmca9wX0qHWcrPJVgSuRgEBvNJ0U")</f>
        <v>https://drive.google.com/open?id=1R-j5jUIMjZusWU3tmca9wX0qHWcrPJVgSuRgEBvNJ0U</v>
      </c>
      <c r="H21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TRIM(CLEAN(TEXT($D216, ""@""))),
      IMPORTRANGE(""https://docs.google.com/spreadsheets/d/1DccNxjBgurEr0ABkI_"&amp;"rBagJT5phB5HaHG5N_mTm_BiA/edit?gid=1382299152#gid=1382299152"", ""Form responses 1!$Z:$Z"") = 2
    ),
    1
  ),
  ""Not Found""
)
"),"https://drive.google.com/open?id=11pDKrEKlMDxziZ4orQ5QZ7D2YnE0qun_")</f>
        <v>https://drive.google.com/open?id=11pDKrEKlMDxziZ4orQ5QZ7D2YnE0qun_</v>
      </c>
      <c r="I2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1!$E:$E"")=$D216) *
        (IMPORTRANGE(""https://docs.google.com/spreadsheets/d/161aHT6vVT3SLneTKD19N5qVWtnj_jIT8CSsOmUVKmaA"&amp;"/edit?gid=1761053510"",
          ""Haris_Form responses 1!$AQ:$AQ"")=2)
      ),
      1
    ),
    ""0""
  ),
  ""Form not found""
)
"),"2")</f>
        <v>2</v>
      </c>
      <c r="J216" s="245" t="str">
        <f>IFERROR(__xludf.DUMMYFUNCTION("IFERROR(
  INDEX(
    FILTER(
      Transcription!$AJ:$AJ,
      TRIM(CLEAN(TEXT(Transcription!$F:$F, ""@""))) = TRIM(CLEAN(TEXT($D216, ""@""))),
      Transcription!$AO:$AO = 2
    ),
    1
  ),
  ""Not Found""
)
"),"https://drive.google.com/open?id=1zHwN5dxqdmv_q8SebqJg0Kq-oMw_pxrW9SmsB-zPWjk")</f>
        <v>https://drive.google.com/open?id=1zHwN5dxqdmv_q8SebqJg0Kq-oMw_pxrW9SmsB-zPWjk</v>
      </c>
      <c r="K21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TRIM(CLEAN(TEXT($D216, ""@""))),
      IMPORTRANGE(""https://docs.google.com/spreadsheets/d/1DccNxjBgurEr0ABkI_"&amp;"rBagJT5phB5HaHG5N_mTm_BiA/edit?gid=1382299152#gid=1382299152"", ""Form responses 1!$Z:$Z"") = 3
    ),
    1
  ),
  ""Not Found""
)
"),"https://drive.google.com/open?id=1siCQjI_ZVw1vPQ5hOX3ewmIpN21KaPG0")</f>
        <v>https://drive.google.com/open?id=1siCQjI_ZVw1vPQ5hOX3ewmIpN21KaPG0</v>
      </c>
      <c r="L2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1!$E:$E"")=$D216) *
        (IMPORTRANGE(""https://docs.google.com/spreadsheets/d/161aHT6vVT3SLneTKD19N5qVWtnj_jIT8CSsOmUVKmaA"&amp;"/edit?gid=1761053510"",
          ""Haris_Form responses 1!$AQ:$AQ"")=3)
      ),
      1
    ),
    ""0""
  ),
  ""Form not found""
)
"),"3")</f>
        <v>3</v>
      </c>
      <c r="M216" s="245" t="str">
        <f>IFERROR(__xludf.DUMMYFUNCTION("IFERROR(
  INDEX(
    FILTER(
      Transcription!$AJ:$AJ,
      TRIM(CLEAN(TEXT(Transcription!$F:$F, ""@""))) = TRIM(CLEAN(TEXT($D216, ""@""))),
      Transcription!$AO:$AO = 3
    ),
    1
  ),
  ""Not Found""
)
"),"https://drive.google.com/open?id=1UeLs8VSrVD_50CaVt0JUxg5RiGQxlSD0fGydk8olXLw")</f>
        <v>https://drive.google.com/open?id=1UeLs8VSrVD_50CaVt0JUxg5RiGQxlSD0fGydk8olXLw</v>
      </c>
      <c r="N21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TRIM(CLEAN(TEXT($D216, ""@""))),
      IMPORTRANGE(""https://docs.google.com/spreadsheets/d/1DccNxjBgurEr0ABkI_"&amp;"rBagJT5phB5HaHG5N_mTm_BiA/edit?gid=1382299152#gid=1382299152"", ""Form responses 1!$Z:$Z"") = 4
    ),
    1
  ),
  ""Not Found""
)
"),"Not Found")</f>
        <v>Not Found</v>
      </c>
      <c r="O2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1!$E:$E"")=$D216) *
        (IMPORTRANGE(""https://docs.google.com/spreadsheets/d/161aHT6vVT3SLneTKD19N5qVWtnj_jIT8CSsOmUVKmaA"&amp;"/edit?gid=1761053510"",
          ""Haris_Form responses 1!$AQ:$AQ"")=4)
      ),
      1
    ),
    ""0""
  ),
  ""Form not found""
)
"),"Form not found")</f>
        <v>Form not found</v>
      </c>
      <c r="P216" s="247" t="str">
        <f>IFERROR(__xludf.DUMMYFUNCTION("IFERROR(
  INDEX(
    FILTER(
      Transcription!$AJ:$AJ,
      TRIM(CLEAN(TEXT(Transcription!$F:$F, ""@""))) = TRIM(CLEAN(TEXT($D216, ""@""))),
      Transcription!$AO:$AO = 4
    ),
    1
  ),
  ""Not Found""
)
"),"Not Found")</f>
        <v>Not Found</v>
      </c>
      <c r="Q21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TRIM(CLEAN(TEXT($D216, ""@""))),
      IMPORTRANGE(""https://docs.google.com/spreadsheets/d/1DccNxjBgurEr0ABkI_"&amp;"rBagJT5phB5HaHG5N_mTm_BiA/edit?gid=1382299152#gid=1382299152"", ""Form responses 1!$Z:$Z"") = 5
    ),
    1
  ),
  ""Not Found""
)
"),"Not Found")</f>
        <v>Not Found</v>
      </c>
      <c r="R2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1!$E:$E"")=$D216) *
        (IMPORTRANGE(""https://docs.google.com/spreadsheets/d/161aHT6vVT3SLneTKD19N5qVWtnj_jIT8CSsOmUVKmaA"&amp;"/edit?gid=1761053510"",
          ""Haris_Form responses 1!$AQ:$AQ"")=5)
      ),
      1
    ),
    ""0""
  ),
  ""Form not found""
)
"),"Form not found")</f>
        <v>Form not found</v>
      </c>
      <c r="S216" s="247" t="str">
        <f>IFERROR(__xludf.DUMMYFUNCTION("IFERROR(
  INDEX(
    FILTER(
      Transcription!$AJ:$AJ,
      TRIM(CLEAN(TEXT(Transcription!$F:$F, ""@""))) = TRIM(CLEAN(TEXT($D216, ""@""))),
      Transcription!$AO:$AO = 5
    ),
    1
  ),
  ""Not Found""
)
"),"Not Found")</f>
        <v>Not Found</v>
      </c>
      <c r="T21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TRIM(CLEAN(TEXT($D216, ""@""))),
      IMPORTRANGE(""https://docs.google.com/spreadsheets/d/1DccNxjBgurEr0ABkI_"&amp;"rBagJT5phB5HaHG5N_mTm_BiA/edit?gid=1382299152#gid=1382299152"", ""Form responses 1!$Z:$Z"") = 6
    ),
    1
  ),
  ""Not Found""
)
"),"Not Found")</f>
        <v>Not Found</v>
      </c>
      <c r="U21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1!$E:$E"")=$D216) *
        (IMPORTRANGE(""https://docs.google.com/spreadsheets/d/161aHT6vVT3SLneTKD19N5qVWtnj_jIT8CSsOmUVKmaA"&amp;"/edit?gid=1761053510"",
          ""Haris_Form responses 1!$AQ:$AQ"")=6)
      ),
      1
    ),
    ""0""
  ),
  ""Form not found""
)
"),"Form not found")</f>
        <v>Form not found</v>
      </c>
      <c r="V216" s="247" t="str">
        <f>IFERROR(__xludf.DUMMYFUNCTION("IFERROR(
  INDEX(
    FILTER(
      Transcription!$AJ:$AJ,
      TRIM(CLEAN(TEXT(Transcription!$F:$F, ""@""))) = TRIM(CLEAN(TEXT($D216, ""@""))),
      Transcription!$AO:$AO = 6
    ),
    1
  ),
  ""Not Found""
)
"),"Not Found")</f>
        <v>Not Found</v>
      </c>
      <c r="Z216" s="10">
        <f t="shared" si="1"/>
        <v>3</v>
      </c>
      <c r="AA216" s="10">
        <f t="shared" si="2"/>
        <v>0</v>
      </c>
    </row>
    <row r="217">
      <c r="A217" s="8" t="str">
        <f>VLOOKUP($D217,Sheet6!$B:$G,5,FALSE)</f>
        <v>Chishtian</v>
      </c>
      <c r="B217" s="232" t="str">
        <f>VLOOKUP($D217,Sheet6!$B:$G,4,FALSE)</f>
        <v>Women Secular Info Share</v>
      </c>
      <c r="C217" s="8">
        <v>3.0</v>
      </c>
      <c r="D217" s="8" t="s">
        <v>4656</v>
      </c>
      <c r="E21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TRIM(CLEAN(TEXT($D217, ""@""))),
      IMPORTRANGE(""https://docs.google.com/spreadsheets/d/1DccNxjBgurEr0ABkI_"&amp;"rBagJT5phB5HaHG5N_mTm_BiA/edit?gid=1382299152#gid=1382299152"", ""Form responses 1!$Z:$Z"") = 1
    ),
    1
  ),
  ""Not Found""
)
"),"https://drive.google.com/open?id=1RRuYRigdEBQ1eAosRzEFFYAigVO57g57")</f>
        <v>https://drive.google.com/open?id=1RRuYRigdEBQ1eAosRzEFFYAigVO57g57</v>
      </c>
      <c r="F2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1!$E:$E"")=$D217) *
        (IMPORTRANGE(""https://docs.google.com/spreadsheets/d/161aHT6vVT3SLneTKD19N5qVWtnj_jIT8CSsOmUVKmaA"&amp;"/edit?gid=1761053510"",
          ""Haris_Form responses 1!$AQ:$AQ"")=1)
      ),
      1
    ),
    ""0""
  ),
  ""Form not found""
)
"),"1")</f>
        <v>1</v>
      </c>
      <c r="G217" s="245" t="str">
        <f>IFERROR(__xludf.DUMMYFUNCTION("IFERROR(
  INDEX(
    FILTER(
      Transcription!$AJ:$AJ,
      TRIM(CLEAN(TEXT(Transcription!$F:$F, ""@""))) = TRIM(CLEAN(TEXT($D217, ""@""))),
      Transcription!$AO:$AO = 1
    ),
    1
  ),
  ""Not Found""
)
"),"https://drive.google.com/open?id=1uUem67rra_EdZESRoXxpVtqPYLoIBvD9Y9Zl_V9KVu8")</f>
        <v>https://drive.google.com/open?id=1uUem67rra_EdZESRoXxpVtqPYLoIBvD9Y9Zl_V9KVu8</v>
      </c>
      <c r="H21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TRIM(CLEAN(TEXT($D217, ""@""))),
      IMPORTRANGE(""https://docs.google.com/spreadsheets/d/1DccNxjBgurEr0ABkI_"&amp;"rBagJT5phB5HaHG5N_mTm_BiA/edit?gid=1382299152#gid=1382299152"", ""Form responses 1!$Z:$Z"") = 2
    ),
    1
  ),
  ""Not Found""
)
"),"https://drive.google.com/open?id=1ntzhbyJ7wpu_vDB_WmZYfYhYINvf4h4K")</f>
        <v>https://drive.google.com/open?id=1ntzhbyJ7wpu_vDB_WmZYfYhYINvf4h4K</v>
      </c>
      <c r="I2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1!$E:$E"")=$D217) *
        (IMPORTRANGE(""https://docs.google.com/spreadsheets/d/161aHT6vVT3SLneTKD19N5qVWtnj_jIT8CSsOmUVKmaA"&amp;"/edit?gid=1761053510"",
          ""Haris_Form responses 1!$AQ:$AQ"")=2)
      ),
      1
    ),
    ""0""
  ),
  ""Form not found""
)
"),"2")</f>
        <v>2</v>
      </c>
      <c r="J217" s="245" t="str">
        <f>IFERROR(__xludf.DUMMYFUNCTION("IFERROR(
  INDEX(
    FILTER(
      Transcription!$AJ:$AJ,
      TRIM(CLEAN(TEXT(Transcription!$F:$F, ""@""))) = TRIM(CLEAN(TEXT($D217, ""@""))),
      Transcription!$AO:$AO = 2
    ),
    1
  ),
  ""Not Found""
)
"),"https://drive.google.com/open?id=1JfM4qvyedKhy36KyHdVLq2VWCmTUl2Uzf-fmwWS2dzQ")</f>
        <v>https://drive.google.com/open?id=1JfM4qvyedKhy36KyHdVLq2VWCmTUl2Uzf-fmwWS2dzQ</v>
      </c>
      <c r="K21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TRIM(CLEAN(TEXT($D217, ""@""))),
      IMPORTRANGE(""https://docs.google.com/spreadsheets/d/1DccNxjBgurEr0ABkI_"&amp;"rBagJT5phB5HaHG5N_mTm_BiA/edit?gid=1382299152#gid=1382299152"", ""Form responses 1!$Z:$Z"") = 3
    ),
    1
  ),
  ""Not Found""
)
"),"https://drive.google.com/open?id=1gFTxcTQVsmZpd9TeLhS2tOMPiTlRcZ_h")</f>
        <v>https://drive.google.com/open?id=1gFTxcTQVsmZpd9TeLhS2tOMPiTlRcZ_h</v>
      </c>
      <c r="L2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1!$E:$E"")=$D217) *
        (IMPORTRANGE(""https://docs.google.com/spreadsheets/d/161aHT6vVT3SLneTKD19N5qVWtnj_jIT8CSsOmUVKmaA"&amp;"/edit?gid=1761053510"",
          ""Haris_Form responses 1!$AQ:$AQ"")=3)
      ),
      1
    ),
    ""0""
  ),
  ""Form not found""
)
"),"3")</f>
        <v>3</v>
      </c>
      <c r="M217" s="245" t="str">
        <f>IFERROR(__xludf.DUMMYFUNCTION("IFERROR(
  INDEX(
    FILTER(
      Transcription!$AJ:$AJ,
      TRIM(CLEAN(TEXT(Transcription!$F:$F, ""@""))) = TRIM(CLEAN(TEXT($D217, ""@""))),
      Transcription!$AO:$AO = 3
    ),
    1
  ),
  ""Not Found""
)
"),"https://drive.google.com/open?id=1IB0hy52FMLKmM51vquZPzWF0klZIH0jX")</f>
        <v>https://drive.google.com/open?id=1IB0hy52FMLKmM51vquZPzWF0klZIH0jX</v>
      </c>
      <c r="N21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TRIM(CLEAN(TEXT($D217, ""@""))),
      IMPORTRANGE(""https://docs.google.com/spreadsheets/d/1DccNxjBgurEr0ABkI_"&amp;"rBagJT5phB5HaHG5N_mTm_BiA/edit?gid=1382299152#gid=1382299152"", ""Form responses 1!$Z:$Z"") = 4
    ),
    1
  ),
  ""Not Found""
)
"),"Not Found")</f>
        <v>Not Found</v>
      </c>
      <c r="O2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1!$E:$E"")=$D217) *
        (IMPORTRANGE(""https://docs.google.com/spreadsheets/d/161aHT6vVT3SLneTKD19N5qVWtnj_jIT8CSsOmUVKmaA"&amp;"/edit?gid=1761053510"",
          ""Haris_Form responses 1!$AQ:$AQ"")=4)
      ),
      1
    ),
    ""0""
  ),
  ""Form not found""
)
"),"Form not found")</f>
        <v>Form not found</v>
      </c>
      <c r="P217" s="247" t="str">
        <f>IFERROR(__xludf.DUMMYFUNCTION("IFERROR(
  INDEX(
    FILTER(
      Transcription!$AJ:$AJ,
      TRIM(CLEAN(TEXT(Transcription!$F:$F, ""@""))) = TRIM(CLEAN(TEXT($D217, ""@""))),
      Transcription!$AO:$AO = 4
    ),
    1
  ),
  ""Not Found""
)
"),"Not Found")</f>
        <v>Not Found</v>
      </c>
      <c r="Q21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TRIM(CLEAN(TEXT($D217, ""@""))),
      IMPORTRANGE(""https://docs.google.com/spreadsheets/d/1DccNxjBgurEr0ABkI_"&amp;"rBagJT5phB5HaHG5N_mTm_BiA/edit?gid=1382299152#gid=1382299152"", ""Form responses 1!$Z:$Z"") = 5
    ),
    1
  ),
  ""Not Found""
)
"),"Not Found")</f>
        <v>Not Found</v>
      </c>
      <c r="R2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1!$E:$E"")=$D217) *
        (IMPORTRANGE(""https://docs.google.com/spreadsheets/d/161aHT6vVT3SLneTKD19N5qVWtnj_jIT8CSsOmUVKmaA"&amp;"/edit?gid=1761053510"",
          ""Haris_Form responses 1!$AQ:$AQ"")=5)
      ),
      1
    ),
    ""0""
  ),
  ""Form not found""
)
"),"Form not found")</f>
        <v>Form not found</v>
      </c>
      <c r="S217" s="247" t="str">
        <f>IFERROR(__xludf.DUMMYFUNCTION("IFERROR(
  INDEX(
    FILTER(
      Transcription!$AJ:$AJ,
      TRIM(CLEAN(TEXT(Transcription!$F:$F, ""@""))) = TRIM(CLEAN(TEXT($D217, ""@""))),
      Transcription!$AO:$AO = 5
    ),
    1
  ),
  ""Not Found""
)
"),"Not Found")</f>
        <v>Not Found</v>
      </c>
      <c r="T21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TRIM(CLEAN(TEXT($D217, ""@""))),
      IMPORTRANGE(""https://docs.google.com/spreadsheets/d/1DccNxjBgurEr0ABkI_"&amp;"rBagJT5phB5HaHG5N_mTm_BiA/edit?gid=1382299152#gid=1382299152"", ""Form responses 1!$Z:$Z"") = 6
    ),
    1
  ),
  ""Not Found""
)
"),"Not Found")</f>
        <v>Not Found</v>
      </c>
      <c r="U21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1!$E:$E"")=$D217) *
        (IMPORTRANGE(""https://docs.google.com/spreadsheets/d/161aHT6vVT3SLneTKD19N5qVWtnj_jIT8CSsOmUVKmaA"&amp;"/edit?gid=1761053510"",
          ""Haris_Form responses 1!$AQ:$AQ"")=6)
      ),
      1
    ),
    ""0""
  ),
  ""Form not found""
)
"),"Form not found")</f>
        <v>Form not found</v>
      </c>
      <c r="V217" s="247" t="str">
        <f>IFERROR(__xludf.DUMMYFUNCTION("IFERROR(
  INDEX(
    FILTER(
      Transcription!$AJ:$AJ,
      TRIM(CLEAN(TEXT(Transcription!$F:$F, ""@""))) = TRIM(CLEAN(TEXT($D217, ""@""))),
      Transcription!$AO:$AO = 6
    ),
    1
  ),
  ""Not Found""
)
"),"Not Found")</f>
        <v>Not Found</v>
      </c>
      <c r="Z217" s="10">
        <f t="shared" si="1"/>
        <v>3</v>
      </c>
      <c r="AA217" s="10">
        <f t="shared" si="2"/>
        <v>0</v>
      </c>
    </row>
    <row r="218">
      <c r="A218" s="8" t="str">
        <f>VLOOKUP($D218,Sheet6!$B:$G,5,FALSE)</f>
        <v>Chishtian</v>
      </c>
      <c r="B218" s="232" t="str">
        <f>VLOOKUP($D218,Sheet6!$B:$G,4,FALSE)</f>
        <v>Control</v>
      </c>
      <c r="C218" s="8">
        <v>2.0</v>
      </c>
      <c r="D218" s="8" t="s">
        <v>4657</v>
      </c>
      <c r="E21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TRIM(CLEAN(TEXT($D218, ""@""))),
      IMPORTRANGE(""https://docs.google.com/spreadsheets/d/1DccNxjBgurEr0ABkI_"&amp;"rBagJT5phB5HaHG5N_mTm_BiA/edit?gid=1382299152#gid=1382299152"", ""Form responses 1!$Z:$Z"") = 1
    ),
    1
  ),
  ""Not Found""
)
"),"https://drive.google.com/open?id=1fvsYYdPXIFUBw63c0vi8q5EL3aqpfly5")</f>
        <v>https://drive.google.com/open?id=1fvsYYdPXIFUBw63c0vi8q5EL3aqpfly5</v>
      </c>
      <c r="F2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1!$E:$E"")=$D218) *
        (IMPORTRANGE(""https://docs.google.com/spreadsheets/d/161aHT6vVT3SLneTKD19N5qVWtnj_jIT8CSsOmUVKmaA"&amp;"/edit?gid=1761053510"",
          ""Haris_Form responses 1!$AQ:$AQ"")=1)
      ),
      1
    ),
    ""0""
  ),
  ""Form not found""
)
"),"1")</f>
        <v>1</v>
      </c>
      <c r="G218" s="245" t="str">
        <f>IFERROR(__xludf.DUMMYFUNCTION("IFERROR(
  INDEX(
    FILTER(
      Transcription!$AJ:$AJ,
      TRIM(CLEAN(TEXT(Transcription!$F:$F, ""@""))) = TRIM(CLEAN(TEXT($D218, ""@""))),
      Transcription!$AO:$AO = 1
    ),
    1
  ),
  ""Not Found""
)
"),"https://drive.google.com/open?id=1febCY2aSF61QRwRlt9yNGByNnyPcVw6T2NRT3uhtvAU")</f>
        <v>https://drive.google.com/open?id=1febCY2aSF61QRwRlt9yNGByNnyPcVw6T2NRT3uhtvAU</v>
      </c>
      <c r="H21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TRIM(CLEAN(TEXT($D218, ""@""))),
      IMPORTRANGE(""https://docs.google.com/spreadsheets/d/1DccNxjBgurEr0ABkI_"&amp;"rBagJT5phB5HaHG5N_mTm_BiA/edit?gid=1382299152#gid=1382299152"", ""Form responses 1!$Z:$Z"") = 2
    ),
    1
  ),
  ""Not Found""
)
"),"Not Found")</f>
        <v>Not Found</v>
      </c>
      <c r="I2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1!$E:$E"")=$D218) *
        (IMPORTRANGE(""https://docs.google.com/spreadsheets/d/161aHT6vVT3SLneTKD19N5qVWtnj_jIT8CSsOmUVKmaA"&amp;"/edit?gid=1761053510"",
          ""Haris_Form responses 1!$AQ:$AQ"")=2)
      ),
      1
    ),
    ""0""
  ),
  ""Form not found""
)
"),"Form not found")</f>
        <v>Form not found</v>
      </c>
      <c r="J218" s="247" t="str">
        <f>IFERROR(__xludf.DUMMYFUNCTION("IFERROR(
  INDEX(
    FILTER(
      Transcription!$AJ:$AJ,
      TRIM(CLEAN(TEXT(Transcription!$F:$F, ""@""))) = TRIM(CLEAN(TEXT($D218, ""@""))),
      Transcription!$AO:$AO = 2
    ),
    1
  ),
  ""Not Found""
)
"),"Not Found")</f>
        <v>Not Found</v>
      </c>
      <c r="K21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TRIM(CLEAN(TEXT($D218, ""@""))),
      IMPORTRANGE(""https://docs.google.com/spreadsheets/d/1DccNxjBgurEr0ABkI_"&amp;"rBagJT5phB5HaHG5N_mTm_BiA/edit?gid=1382299152#gid=1382299152"", ""Form responses 1!$Z:$Z"") = 3
    ),
    1
  ),
  ""Not Found""
)
"),"https://drive.google.com/open?id=1wSkSScD5iq_pCrYYrKlmB_OsjxLaVBOh")</f>
        <v>https://drive.google.com/open?id=1wSkSScD5iq_pCrYYrKlmB_OsjxLaVBOh</v>
      </c>
      <c r="L2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1!$E:$E"")=$D218) *
        (IMPORTRANGE(""https://docs.google.com/spreadsheets/d/161aHT6vVT3SLneTKD19N5qVWtnj_jIT8CSsOmUVKmaA"&amp;"/edit?gid=1761053510"",
          ""Haris_Form responses 1!$AQ:$AQ"")=3)
      ),
      1
    ),
    ""0""
  ),
  ""Form not found""
)
"),"3")</f>
        <v>3</v>
      </c>
      <c r="M218" s="245" t="str">
        <f>IFERROR(__xludf.DUMMYFUNCTION("IFERROR(
  INDEX(
    FILTER(
      Transcription!$AJ:$AJ,
      TRIM(CLEAN(TEXT(Transcription!$F:$F, ""@""))) = TRIM(CLEAN(TEXT($D218, ""@""))),
      Transcription!$AO:$AO = 3
    ),
    1
  ),
  ""Not Found""
)
"),"https://drive.google.com/open?id=1shnJitRIFu7-g6eKrNkSbo5ZxwnTLJPR8GYTliSrlfA")</f>
        <v>https://drive.google.com/open?id=1shnJitRIFu7-g6eKrNkSbo5ZxwnTLJPR8GYTliSrlfA</v>
      </c>
      <c r="N21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TRIM(CLEAN(TEXT($D218, ""@""))),
      IMPORTRANGE(""https://docs.google.com/spreadsheets/d/1DccNxjBgurEr0ABkI_"&amp;"rBagJT5phB5HaHG5N_mTm_BiA/edit?gid=1382299152#gid=1382299152"", ""Form responses 1!$Z:$Z"") = 4
    ),
    1
  ),
  ""Not Found""
)
"),"Not Found")</f>
        <v>Not Found</v>
      </c>
      <c r="O2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1!$E:$E"")=$D218) *
        (IMPORTRANGE(""https://docs.google.com/spreadsheets/d/161aHT6vVT3SLneTKD19N5qVWtnj_jIT8CSsOmUVKmaA"&amp;"/edit?gid=1761053510"",
          ""Haris_Form responses 1!$AQ:$AQ"")=4)
      ),
      1
    ),
    ""0""
  ),
  ""Form not found""
)
"),"Form not found")</f>
        <v>Form not found</v>
      </c>
      <c r="P218" s="247" t="str">
        <f>IFERROR(__xludf.DUMMYFUNCTION("IFERROR(
  INDEX(
    FILTER(
      Transcription!$AJ:$AJ,
      TRIM(CLEAN(TEXT(Transcription!$F:$F, ""@""))) = TRIM(CLEAN(TEXT($D218, ""@""))),
      Transcription!$AO:$AO = 4
    ),
    1
  ),
  ""Not Found""
)
"),"Not Found")</f>
        <v>Not Found</v>
      </c>
      <c r="Q21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TRIM(CLEAN(TEXT($D218, ""@""))),
      IMPORTRANGE(""https://docs.google.com/spreadsheets/d/1DccNxjBgurEr0ABkI_"&amp;"rBagJT5phB5HaHG5N_mTm_BiA/edit?gid=1382299152#gid=1382299152"", ""Form responses 1!$Z:$Z"") = 5
    ),
    1
  ),
  ""Not Found""
)
"),"Not Found")</f>
        <v>Not Found</v>
      </c>
      <c r="R2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1!$E:$E"")=$D218) *
        (IMPORTRANGE(""https://docs.google.com/spreadsheets/d/161aHT6vVT3SLneTKD19N5qVWtnj_jIT8CSsOmUVKmaA"&amp;"/edit?gid=1761053510"",
          ""Haris_Form responses 1!$AQ:$AQ"")=5)
      ),
      1
    ),
    ""0""
  ),
  ""Form not found""
)
"),"Form not found")</f>
        <v>Form not found</v>
      </c>
      <c r="S218" s="247" t="str">
        <f>IFERROR(__xludf.DUMMYFUNCTION("IFERROR(
  INDEX(
    FILTER(
      Transcription!$AJ:$AJ,
      TRIM(CLEAN(TEXT(Transcription!$F:$F, ""@""))) = TRIM(CLEAN(TEXT($D218, ""@""))),
      Transcription!$AO:$AO = 5
    ),
    1
  ),
  ""Not Found""
)
"),"Not Found")</f>
        <v>Not Found</v>
      </c>
      <c r="T21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TRIM(CLEAN(TEXT($D218, ""@""))),
      IMPORTRANGE(""https://docs.google.com/spreadsheets/d/1DccNxjBgurEr0ABkI_"&amp;"rBagJT5phB5HaHG5N_mTm_BiA/edit?gid=1382299152#gid=1382299152"", ""Form responses 1!$Z:$Z"") = 6
    ),
    1
  ),
  ""Not Found""
)
"),"Not Found")</f>
        <v>Not Found</v>
      </c>
      <c r="U21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1!$E:$E"")=$D218) *
        (IMPORTRANGE(""https://docs.google.com/spreadsheets/d/161aHT6vVT3SLneTKD19N5qVWtnj_jIT8CSsOmUVKmaA"&amp;"/edit?gid=1761053510"",
          ""Haris_Form responses 1!$AQ:$AQ"")=6)
      ),
      1
    ),
    ""0""
  ),
  ""Form not found""
)
"),"Form not found")</f>
        <v>Form not found</v>
      </c>
      <c r="V218" s="247" t="str">
        <f>IFERROR(__xludf.DUMMYFUNCTION("IFERROR(
  INDEX(
    FILTER(
      Transcription!$AJ:$AJ,
      TRIM(CLEAN(TEXT(Transcription!$F:$F, ""@""))) = TRIM(CLEAN(TEXT($D218, ""@""))),
      Transcription!$AO:$AO = 6
    ),
    1
  ),
  ""Not Found""
)
"),"Not Found")</f>
        <v>Not Found</v>
      </c>
      <c r="Z218" s="10">
        <f t="shared" si="1"/>
        <v>2</v>
      </c>
      <c r="AA218" s="10">
        <f t="shared" si="2"/>
        <v>0</v>
      </c>
    </row>
    <row r="219">
      <c r="A219" s="8" t="str">
        <f>VLOOKUP($D219,Sheet6!$B:$G,5,FALSE)</f>
        <v>Chishtian</v>
      </c>
      <c r="B219" s="232" t="str">
        <f>VLOOKUP($D219,Sheet6!$B:$G,4,FALSE)</f>
        <v>Women Secular No Info Share</v>
      </c>
      <c r="C219" s="8">
        <v>4.0</v>
      </c>
      <c r="D219" s="8" t="s">
        <v>4658</v>
      </c>
      <c r="E21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TRIM(CLEAN(TEXT($D219, ""@""))),
      IMPORTRANGE(""https://docs.google.com/spreadsheets/d/1DccNxjBgurEr0ABkI_"&amp;"rBagJT5phB5HaHG5N_mTm_BiA/edit?gid=1382299152#gid=1382299152"", ""Form responses 1!$Z:$Z"") = 1
    ),
    1
  ),
  ""Not Found""
)
"),"https://drive.google.com/open?id=1Q-5HDO_cbndN4lTHR89xMHFb9DLnzUWR")</f>
        <v>https://drive.google.com/open?id=1Q-5HDO_cbndN4lTHR89xMHFb9DLnzUWR</v>
      </c>
      <c r="F2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1!$E:$E"")=$D219) *
        (IMPORTRANGE(""https://docs.google.com/spreadsheets/d/161aHT6vVT3SLneTKD19N5qVWtnj_jIT8CSsOmUVKmaA"&amp;"/edit?gid=1761053510"",
          ""Haris_Form responses 1!$AQ:$AQ"")=1)
      ),
      1
    ),
    ""0""
  ),
  ""Form not found""
)
"),"1")</f>
        <v>1</v>
      </c>
      <c r="G219" s="245" t="str">
        <f>IFERROR(__xludf.DUMMYFUNCTION("IFERROR(
  INDEX(
    FILTER(
      Transcription!$AJ:$AJ,
      TRIM(CLEAN(TEXT(Transcription!$F:$F, ""@""))) = TRIM(CLEAN(TEXT($D219, ""@""))),
      Transcription!$AO:$AO = 1
    ),
    1
  ),
  ""Not Found""
)
"),"https://drive.google.com/open?id=1sRQR_0M05dUMTtSsj3weZkjs1UPfhyik3oynMq3Ux4k")</f>
        <v>https://drive.google.com/open?id=1sRQR_0M05dUMTtSsj3weZkjs1UPfhyik3oynMq3Ux4k</v>
      </c>
      <c r="H21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TRIM(CLEAN(TEXT($D219, ""@""))),
      IMPORTRANGE(""https://docs.google.com/spreadsheets/d/1DccNxjBgurEr0ABkI_"&amp;"rBagJT5phB5HaHG5N_mTm_BiA/edit?gid=1382299152#gid=1382299152"", ""Form responses 1!$Z:$Z"") = 2
    ),
    1
  ),
  ""Not Found""
)
"),"https://drive.google.com/open?id=1rXmDEPREbD9E5sJh176fZA1PdYvctyWA")</f>
        <v>https://drive.google.com/open?id=1rXmDEPREbD9E5sJh176fZA1PdYvctyWA</v>
      </c>
      <c r="I2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1!$E:$E"")=$D219) *
        (IMPORTRANGE(""https://docs.google.com/spreadsheets/d/161aHT6vVT3SLneTKD19N5qVWtnj_jIT8CSsOmUVKmaA"&amp;"/edit?gid=1761053510"",
          ""Haris_Form responses 1!$AQ:$AQ"")=2)
      ),
      1
    ),
    ""0""
  ),
  ""Form not found""
)
"),"2")</f>
        <v>2</v>
      </c>
      <c r="J219" s="245" t="str">
        <f>IFERROR(__xludf.DUMMYFUNCTION("IFERROR(
  INDEX(
    FILTER(
      Transcription!$AJ:$AJ,
      TRIM(CLEAN(TEXT(Transcription!$F:$F, ""@""))) = TRIM(CLEAN(TEXT($D219, ""@""))),
      Transcription!$AO:$AO = 2
    ),
    1
  ),
  ""Not Found""
)
"),"https://drive.google.com/open?id=1loB4iqMgTtD_0lLOimq9N499FZLlmqVe")</f>
        <v>https://drive.google.com/open?id=1loB4iqMgTtD_0lLOimq9N499FZLlmqVe</v>
      </c>
      <c r="K21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TRIM(CLEAN(TEXT($D219, ""@""))),
      IMPORTRANGE(""https://docs.google.com/spreadsheets/d/1DccNxjBgurEr0ABkI_"&amp;"rBagJT5phB5HaHG5N_mTm_BiA/edit?gid=1382299152#gid=1382299152"", ""Form responses 1!$Z:$Z"") = 3
    ),
    1
  ),
  ""Not Found""
)
"),"https://drive.google.com/open?id=1QamI7P1lnMt6V4OcFtvqC34ma1KkTFoA")</f>
        <v>https://drive.google.com/open?id=1QamI7P1lnMt6V4OcFtvqC34ma1KkTFoA</v>
      </c>
      <c r="L2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1!$E:$E"")=$D219) *
        (IMPORTRANGE(""https://docs.google.com/spreadsheets/d/161aHT6vVT3SLneTKD19N5qVWtnj_jIT8CSsOmUVKmaA"&amp;"/edit?gid=1761053510"",
          ""Haris_Form responses 1!$AQ:$AQ"")=3)
      ),
      1
    ),
    ""0""
  ),
  ""Form not found""
)
"),"3")</f>
        <v>3</v>
      </c>
      <c r="M219" s="245" t="str">
        <f>IFERROR(__xludf.DUMMYFUNCTION("IFERROR(
  INDEX(
    FILTER(
      Transcription!$AJ:$AJ,
      TRIM(CLEAN(TEXT(Transcription!$F:$F, ""@""))) = TRIM(CLEAN(TEXT($D219, ""@""))),
      Transcription!$AO:$AO = 3
    ),
    1
  ),
  ""Not Found""
)
"),"https://drive.google.com/open?id=1qYnAwBIylfVw0xTqZ-8yK6cJeULtCaft")</f>
        <v>https://drive.google.com/open?id=1qYnAwBIylfVw0xTqZ-8yK6cJeULtCaft</v>
      </c>
      <c r="N21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TRIM(CLEAN(TEXT($D219, ""@""))),
      IMPORTRANGE(""https://docs.google.com/spreadsheets/d/1DccNxjBgurEr0ABkI_"&amp;"rBagJT5phB5HaHG5N_mTm_BiA/edit?gid=1382299152#gid=1382299152"", ""Form responses 1!$Z:$Z"") = 4
    ),
    1
  ),
  ""Not Found""
)
"),"https://drive.google.com/open?id=1k0hDPwa_cwn8s4n4On5LYy4RWb6jjlIb")</f>
        <v>https://drive.google.com/open?id=1k0hDPwa_cwn8s4n4On5LYy4RWb6jjlIb</v>
      </c>
      <c r="O2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1!$E:$E"")=$D219) *
        (IMPORTRANGE(""https://docs.google.com/spreadsheets/d/161aHT6vVT3SLneTKD19N5qVWtnj_jIT8CSsOmUVKmaA"&amp;"/edit?gid=1761053510"",
          ""Haris_Form responses 1!$AQ:$AQ"")=4)
      ),
      1
    ),
    ""0""
  ),
  ""Form not found""
)
"),"4")</f>
        <v>4</v>
      </c>
      <c r="P219" s="245" t="str">
        <f>IFERROR(__xludf.DUMMYFUNCTION("IFERROR(
  INDEX(
    FILTER(
      Transcription!$AJ:$AJ,
      TRIM(CLEAN(TEXT(Transcription!$F:$F, ""@""))) = TRIM(CLEAN(TEXT($D219, ""@""))),
      Transcription!$AO:$AO = 4
    ),
    1
  ),
  ""Not Found""
)
"),"https://drive.google.com/open?id=1KdcJibQGKmHoENwLMTvZckGar44N5Y4P")</f>
        <v>https://drive.google.com/open?id=1KdcJibQGKmHoENwLMTvZckGar44N5Y4P</v>
      </c>
      <c r="Q21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TRIM(CLEAN(TEXT($D219, ""@""))),
      IMPORTRANGE(""https://docs.google.com/spreadsheets/d/1DccNxjBgurEr0ABkI_"&amp;"rBagJT5phB5HaHG5N_mTm_BiA/edit?gid=1382299152#gid=1382299152"", ""Form responses 1!$Z:$Z"") = 5
    ),
    1
  ),
  ""Not Found""
)
"),"Not Found")</f>
        <v>Not Found</v>
      </c>
      <c r="R2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1!$E:$E"")=$D219) *
        (IMPORTRANGE(""https://docs.google.com/spreadsheets/d/161aHT6vVT3SLneTKD19N5qVWtnj_jIT8CSsOmUVKmaA"&amp;"/edit?gid=1761053510"",
          ""Haris_Form responses 1!$AQ:$AQ"")=5)
      ),
      1
    ),
    ""0""
  ),
  ""Form not found""
)
"),"Form not found")</f>
        <v>Form not found</v>
      </c>
      <c r="S219" s="247" t="str">
        <f>IFERROR(__xludf.DUMMYFUNCTION("IFERROR(
  INDEX(
    FILTER(
      Transcription!$AJ:$AJ,
      TRIM(CLEAN(TEXT(Transcription!$F:$F, ""@""))) = TRIM(CLEAN(TEXT($D219, ""@""))),
      Transcription!$AO:$AO = 5
    ),
    1
  ),
  ""Not Found""
)
"),"Not Found")</f>
        <v>Not Found</v>
      </c>
      <c r="T21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TRIM(CLEAN(TEXT($D219, ""@""))),
      IMPORTRANGE(""https://docs.google.com/spreadsheets/d/1DccNxjBgurEr0ABkI_"&amp;"rBagJT5phB5HaHG5N_mTm_BiA/edit?gid=1382299152#gid=1382299152"", ""Form responses 1!$Z:$Z"") = 6
    ),
    1
  ),
  ""Not Found""
)
"),"Not Found")</f>
        <v>Not Found</v>
      </c>
      <c r="U21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1!$E:$E"")=$D219) *
        (IMPORTRANGE(""https://docs.google.com/spreadsheets/d/161aHT6vVT3SLneTKD19N5qVWtnj_jIT8CSsOmUVKmaA"&amp;"/edit?gid=1761053510"",
          ""Haris_Form responses 1!$AQ:$AQ"")=6)
      ),
      1
    ),
    ""0""
  ),
  ""Form not found""
)
"),"Form not found")</f>
        <v>Form not found</v>
      </c>
      <c r="V219" s="247" t="str">
        <f>IFERROR(__xludf.DUMMYFUNCTION("IFERROR(
  INDEX(
    FILTER(
      Transcription!$AJ:$AJ,
      TRIM(CLEAN(TEXT(Transcription!$F:$F, ""@""))) = TRIM(CLEAN(TEXT($D219, ""@""))),
      Transcription!$AO:$AO = 6
    ),
    1
  ),
  ""Not Found""
)
"),"Not Found")</f>
        <v>Not Found</v>
      </c>
      <c r="Z219" s="10">
        <f t="shared" si="1"/>
        <v>4</v>
      </c>
      <c r="AA219" s="10">
        <f t="shared" si="2"/>
        <v>0</v>
      </c>
    </row>
    <row r="220">
      <c r="A220" s="8" t="str">
        <f>VLOOKUP($D220,Sheet6!$B:$G,5,FALSE)</f>
        <v>Chishtian</v>
      </c>
      <c r="B220" s="232" t="str">
        <f>VLOOKUP($D220,Sheet6!$B:$G,4,FALSE)</f>
        <v>Community Religious Info Share</v>
      </c>
      <c r="C220" s="8">
        <v>4.0</v>
      </c>
      <c r="D220" s="8" t="s">
        <v>4659</v>
      </c>
      <c r="E22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TRIM(CLEAN(TEXT($D220, ""@""))),
      IMPORTRANGE(""https://docs.google.com/spreadsheets/d/1DccNxjBgurEr0ABkI_"&amp;"rBagJT5phB5HaHG5N_mTm_BiA/edit?gid=1382299152#gid=1382299152"", ""Form responses 1!$Z:$Z"") = 1
    ),
    1
  ),
  ""Not Found""
)
"),"https://drive.google.com/open?id=1CEfEt7DbWmERTgFULUbIriWjRs7_I-S4")</f>
        <v>https://drive.google.com/open?id=1CEfEt7DbWmERTgFULUbIriWjRs7_I-S4</v>
      </c>
      <c r="F2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1!$E:$E"")=$D220) *
        (IMPORTRANGE(""https://docs.google.com/spreadsheets/d/161aHT6vVT3SLneTKD19N5qVWtnj_jIT8CSsOmUVKmaA"&amp;"/edit?gid=1761053510"",
          ""Haris_Form responses 1!$AQ:$AQ"")=1)
      ),
      1
    ),
    ""0""
  ),
  ""Form not found""
)
"),"1")</f>
        <v>1</v>
      </c>
      <c r="G220" s="245" t="str">
        <f>IFERROR(__xludf.DUMMYFUNCTION("IFERROR(
  INDEX(
    FILTER(
      Transcription!$AJ:$AJ,
      TRIM(CLEAN(TEXT(Transcription!$F:$F, ""@""))) = TRIM(CLEAN(TEXT($D220, ""@""))),
      Transcription!$AO:$AO = 1
    ),
    1
  ),
  ""Not Found""
)
"),"https://drive.google.com/open?id=17E3YlCypHMfUgiKuYIJo1-YPJTb7KFY4")</f>
        <v>https://drive.google.com/open?id=17E3YlCypHMfUgiKuYIJo1-YPJTb7KFY4</v>
      </c>
      <c r="H22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TRIM(CLEAN(TEXT($D220, ""@""))),
      IMPORTRANGE(""https://docs.google.com/spreadsheets/d/1DccNxjBgurEr0ABkI_"&amp;"rBagJT5phB5HaHG5N_mTm_BiA/edit?gid=1382299152#gid=1382299152"", ""Form responses 1!$Z:$Z"") = 2
    ),
    1
  ),
  ""Not Found""
)
"),"https://drive.google.com/open?id=1_oOgWOHRd0OsS0-DhUjwUN0tkYAQYlQy")</f>
        <v>https://drive.google.com/open?id=1_oOgWOHRd0OsS0-DhUjwUN0tkYAQYlQy</v>
      </c>
      <c r="I2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1!$E:$E"")=$D220) *
        (IMPORTRANGE(""https://docs.google.com/spreadsheets/d/161aHT6vVT3SLneTKD19N5qVWtnj_jIT8CSsOmUVKmaA"&amp;"/edit?gid=1761053510"",
          ""Haris_Form responses 1!$AQ:$AQ"")=2)
      ),
      1
    ),
    ""0""
  ),
  ""Form not found""
)
"),"2")</f>
        <v>2</v>
      </c>
      <c r="J220" s="245" t="str">
        <f>IFERROR(__xludf.DUMMYFUNCTION("IFERROR(
  INDEX(
    FILTER(
      Transcription!$AJ:$AJ,
      TRIM(CLEAN(TEXT(Transcription!$F:$F, ""@""))) = TRIM(CLEAN(TEXT($D220, ""@""))),
      Transcription!$AO:$AO = 2
    ),
    1
  ),
  ""Not Found""
)
"),"https://drive.google.com/open?id=1d1zIrg2GlBQ0sErZ1IZjjUCStnHKtVDl")</f>
        <v>https://drive.google.com/open?id=1d1zIrg2GlBQ0sErZ1IZjjUCStnHKtVDl</v>
      </c>
      <c r="K22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TRIM(CLEAN(TEXT($D220, ""@""))),
      IMPORTRANGE(""https://docs.google.com/spreadsheets/d/1DccNxjBgurEr0ABkI_"&amp;"rBagJT5phB5HaHG5N_mTm_BiA/edit?gid=1382299152#gid=1382299152"", ""Form responses 1!$Z:$Z"") = 3
    ),
    1
  ),
  ""Not Found""
)
"),"https://drive.google.com/open?id=1zZ_rYW-e3hyK-NKPrSocr06MIx_M-tan")</f>
        <v>https://drive.google.com/open?id=1zZ_rYW-e3hyK-NKPrSocr06MIx_M-tan</v>
      </c>
      <c r="L2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1!$E:$E"")=$D220) *
        (IMPORTRANGE(""https://docs.google.com/spreadsheets/d/161aHT6vVT3SLneTKD19N5qVWtnj_jIT8CSsOmUVKmaA"&amp;"/edit?gid=1761053510"",
          ""Haris_Form responses 1!$AQ:$AQ"")=3)
      ),
      1
    ),
    ""0""
  ),
  ""Form not found""
)
"),"3")</f>
        <v>3</v>
      </c>
      <c r="M220" s="245" t="str">
        <f>IFERROR(__xludf.DUMMYFUNCTION("IFERROR(
  INDEX(
    FILTER(
      Transcription!$AJ:$AJ,
      TRIM(CLEAN(TEXT(Transcription!$F:$F, ""@""))) = TRIM(CLEAN(TEXT($D220, ""@""))),
      Transcription!$AO:$AO = 3
    ),
    1
  ),
  ""Not Found""
)
"),"https://drive.google.com/open?id=1TLLRvBNiqm2Z5rLWyT2Km2Ms_iT8DQ7j")</f>
        <v>https://drive.google.com/open?id=1TLLRvBNiqm2Z5rLWyT2Km2Ms_iT8DQ7j</v>
      </c>
      <c r="N22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TRIM(CLEAN(TEXT($D220, ""@""))),
      IMPORTRANGE(""https://docs.google.com/spreadsheets/d/1DccNxjBgurEr0ABkI_"&amp;"rBagJT5phB5HaHG5N_mTm_BiA/edit?gid=1382299152#gid=1382299152"", ""Form responses 1!$Z:$Z"") = 4
    ),
    1
  ),
  ""Not Found""
)
"),"Not Found")</f>
        <v>Not Found</v>
      </c>
      <c r="O2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1!$E:$E"")=$D220) *
        (IMPORTRANGE(""https://docs.google.com/spreadsheets/d/161aHT6vVT3SLneTKD19N5qVWtnj_jIT8CSsOmUVKmaA"&amp;"/edit?gid=1761053510"",
          ""Haris_Form responses 1!$AQ:$AQ"")=4)
      ),
      1
    ),
    ""0""
  ),
  ""Form not found""
)
"),"Form not found")</f>
        <v>Form not found</v>
      </c>
      <c r="P220" s="247" t="str">
        <f>IFERROR(__xludf.DUMMYFUNCTION("IFERROR(
  INDEX(
    FILTER(
      Transcription!$AJ:$AJ,
      TRIM(CLEAN(TEXT(Transcription!$F:$F, ""@""))) = TRIM(CLEAN(TEXT($D220, ""@""))),
      Transcription!$AO:$AO = 4
    ),
    1
  ),
  ""Not Found""
)
"),"Not Found")</f>
        <v>Not Found</v>
      </c>
      <c r="Q22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TRIM(CLEAN(TEXT($D220, ""@""))),
      IMPORTRANGE(""https://docs.google.com/spreadsheets/d/1DccNxjBgurEr0ABkI_"&amp;"rBagJT5phB5HaHG5N_mTm_BiA/edit?gid=1382299152#gid=1382299152"", ""Form responses 1!$Z:$Z"") = 5
    ),
    1
  ),
  ""Not Found""
)
"),"https://drive.google.com/open?id=1MGnPk7qVfKgJ08qx4AJkVkXGIB_18sDT")</f>
        <v>https://drive.google.com/open?id=1MGnPk7qVfKgJ08qx4AJkVkXGIB_18sDT</v>
      </c>
      <c r="R2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1!$E:$E"")=$D220) *
        (IMPORTRANGE(""https://docs.google.com/spreadsheets/d/161aHT6vVT3SLneTKD19N5qVWtnj_jIT8CSsOmUVKmaA"&amp;"/edit?gid=1761053510"",
          ""Haris_Form responses 1!$AQ:$AQ"")=5)
      ),
      1
    ),
    ""0""
  ),
  ""Form not found""
)
"),"5")</f>
        <v>5</v>
      </c>
      <c r="S220" s="245" t="str">
        <f>IFERROR(__xludf.DUMMYFUNCTION("IFERROR(
  INDEX(
    FILTER(
      Transcription!$AJ:$AJ,
      TRIM(CLEAN(TEXT(Transcription!$F:$F, ""@""))) = TRIM(CLEAN(TEXT($D220, ""@""))),
      Transcription!$AO:$AO = 5
    ),
    1
  ),
  ""Not Found""
)
"),"https://drive.google.com/open?id=1nN4zdfgMmPJ-E_QkHdOtiqLgWrOEL9RO")</f>
        <v>https://drive.google.com/open?id=1nN4zdfgMmPJ-E_QkHdOtiqLgWrOEL9RO</v>
      </c>
      <c r="T22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TRIM(CLEAN(TEXT($D220, ""@""))),
      IMPORTRANGE(""https://docs.google.com/spreadsheets/d/1DccNxjBgurEr0ABkI_"&amp;"rBagJT5phB5HaHG5N_mTm_BiA/edit?gid=1382299152#gid=1382299152"", ""Form responses 1!$Z:$Z"") = 6
    ),
    1
  ),
  ""Not Found""
)
"),"Not Found")</f>
        <v>Not Found</v>
      </c>
      <c r="U22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1!$E:$E"")=$D220) *
        (IMPORTRANGE(""https://docs.google.com/spreadsheets/d/161aHT6vVT3SLneTKD19N5qVWtnj_jIT8CSsOmUVKmaA"&amp;"/edit?gid=1761053510"",
          ""Haris_Form responses 1!$AQ:$AQ"")=6)
      ),
      1
    ),
    ""0""
  ),
  ""Form not found""
)
"),"Form not found")</f>
        <v>Form not found</v>
      </c>
      <c r="V220" s="247" t="str">
        <f>IFERROR(__xludf.DUMMYFUNCTION("IFERROR(
  INDEX(
    FILTER(
      Transcription!$AJ:$AJ,
      TRIM(CLEAN(TEXT(Transcription!$F:$F, ""@""))) = TRIM(CLEAN(TEXT($D220, ""@""))),
      Transcription!$AO:$AO = 6
    ),
    1
  ),
  ""Not Found""
)
"),"Not Found")</f>
        <v>Not Found</v>
      </c>
      <c r="Z220" s="10">
        <f t="shared" si="1"/>
        <v>4</v>
      </c>
      <c r="AA220" s="10">
        <f t="shared" si="2"/>
        <v>0</v>
      </c>
    </row>
    <row r="221">
      <c r="A221" s="8" t="str">
        <f>VLOOKUP($D221,Sheet6!$B:$G,5,FALSE)</f>
        <v>Chishtian</v>
      </c>
      <c r="B221" s="232" t="str">
        <f>VLOOKUP($D221,Sheet6!$B:$G,4,FALSE)</f>
        <v>Community Religious Info Share</v>
      </c>
      <c r="C221" s="8">
        <v>4.0</v>
      </c>
      <c r="D221" s="8" t="s">
        <v>4660</v>
      </c>
      <c r="E22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TRIM(CLEAN(TEXT($D221, ""@""))),
      IMPORTRANGE(""https://docs.google.com/spreadsheets/d/1DccNxjBgurEr0ABkI_"&amp;"rBagJT5phB5HaHG5N_mTm_BiA/edit?gid=1382299152#gid=1382299152"", ""Form responses 1!$Z:$Z"") = 1
    ),
    1
  ),
  ""Not Found""
)
"),"https://drive.google.com/open?id=1MNabs416M2JSqk2PH-TswJXhEElTaAJj")</f>
        <v>https://drive.google.com/open?id=1MNabs416M2JSqk2PH-TswJXhEElTaAJj</v>
      </c>
      <c r="F2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1!$E:$E"")=$D221) *
        (IMPORTRANGE(""https://docs.google.com/spreadsheets/d/161aHT6vVT3SLneTKD19N5qVWtnj_jIT8CSsOmUVKmaA"&amp;"/edit?gid=1761053510"",
          ""Haris_Form responses 1!$AQ:$AQ"")=1)
      ),
      1
    ),
    ""0""
  ),
  ""Form not found""
)
"),"1")</f>
        <v>1</v>
      </c>
      <c r="G221" s="245" t="str">
        <f>IFERROR(__xludf.DUMMYFUNCTION("IFERROR(
  INDEX(
    FILTER(
      Transcription!$AJ:$AJ,
      TRIM(CLEAN(TEXT(Transcription!$F:$F, ""@""))) = TRIM(CLEAN(TEXT($D221, ""@""))),
      Transcription!$AO:$AO = 1
    ),
    1
  ),
  ""Not Found""
)
"),"https://drive.google.com/open?id=1CPCrB2ZctkmZVt41pT3WKkYczRsbZlMc")</f>
        <v>https://drive.google.com/open?id=1CPCrB2ZctkmZVt41pT3WKkYczRsbZlMc</v>
      </c>
      <c r="H22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TRIM(CLEAN(TEXT($D221, ""@""))),
      IMPORTRANGE(""https://docs.google.com/spreadsheets/d/1DccNxjBgurEr0ABkI_"&amp;"rBagJT5phB5HaHG5N_mTm_BiA/edit?gid=1382299152#gid=1382299152"", ""Form responses 1!$Z:$Z"") = 2
    ),
    1
  ),
  ""Not Found""
)
"),"https://drive.google.com/open?id=15tIUKTQiLoCli4kTe3SMVpCzzz5oU0b8")</f>
        <v>https://drive.google.com/open?id=15tIUKTQiLoCli4kTe3SMVpCzzz5oU0b8</v>
      </c>
      <c r="I2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1!$E:$E"")=$D221) *
        (IMPORTRANGE(""https://docs.google.com/spreadsheets/d/161aHT6vVT3SLneTKD19N5qVWtnj_jIT8CSsOmUVKmaA"&amp;"/edit?gid=1761053510"",
          ""Haris_Form responses 1!$AQ:$AQ"")=2)
      ),
      1
    ),
    ""0""
  ),
  ""Form not found""
)
"),"2")</f>
        <v>2</v>
      </c>
      <c r="J221" s="245" t="str">
        <f>IFERROR(__xludf.DUMMYFUNCTION("IFERROR(
  INDEX(
    FILTER(
      Transcription!$AJ:$AJ,
      TRIM(CLEAN(TEXT(Transcription!$F:$F, ""@""))) = TRIM(CLEAN(TEXT($D221, ""@""))),
      Transcription!$AO:$AO = 2
    ),
    1
  ),
  ""Not Found""
)
"),"https://drive.google.com/open?id=1cmlBbcqiS9SavXXuw4Tv7bdFeAGW8isf")</f>
        <v>https://drive.google.com/open?id=1cmlBbcqiS9SavXXuw4Tv7bdFeAGW8isf</v>
      </c>
      <c r="K22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TRIM(CLEAN(TEXT($D221, ""@""))),
      IMPORTRANGE(""https://docs.google.com/spreadsheets/d/1DccNxjBgurEr0ABkI_"&amp;"rBagJT5phB5HaHG5N_mTm_BiA/edit?gid=1382299152#gid=1382299152"", ""Form responses 1!$Z:$Z"") = 3
    ),
    1
  ),
  ""Not Found""
)
"),"https://drive.google.com/open?id=1Q2POa9uJHL3CXD3FQw3-Cfoc3wraGDEr")</f>
        <v>https://drive.google.com/open?id=1Q2POa9uJHL3CXD3FQw3-Cfoc3wraGDEr</v>
      </c>
      <c r="L2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1!$E:$E"")=$D221) *
        (IMPORTRANGE(""https://docs.google.com/spreadsheets/d/161aHT6vVT3SLneTKD19N5qVWtnj_jIT8CSsOmUVKmaA"&amp;"/edit?gid=1761053510"",
          ""Haris_Form responses 1!$AQ:$AQ"")=3)
      ),
      1
    ),
    ""0""
  ),
  ""Form not found""
)
"),"3")</f>
        <v>3</v>
      </c>
      <c r="M221" s="245" t="str">
        <f>IFERROR(__xludf.DUMMYFUNCTION("IFERROR(
  INDEX(
    FILTER(
      Transcription!$AJ:$AJ,
      TRIM(CLEAN(TEXT(Transcription!$F:$F, ""@""))) = TRIM(CLEAN(TEXT($D221, ""@""))),
      Transcription!$AO:$AO = 3
    ),
    1
  ),
  ""Not Found""
)
"),"https://drive.google.com/open?id=1ujQP-T0WqfAIMLwo1nKHNtbfGoDrOMWF")</f>
        <v>https://drive.google.com/open?id=1ujQP-T0WqfAIMLwo1nKHNtbfGoDrOMWF</v>
      </c>
      <c r="N22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TRIM(CLEAN(TEXT($D221, ""@""))),
      IMPORTRANGE(""https://docs.google.com/spreadsheets/d/1DccNxjBgurEr0ABkI_"&amp;"rBagJT5phB5HaHG5N_mTm_BiA/edit?gid=1382299152#gid=1382299152"", ""Form responses 1!$Z:$Z"") = 4
    ),
    1
  ),
  ""Not Found""
)
"),"Not Found")</f>
        <v>Not Found</v>
      </c>
      <c r="O2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1!$E:$E"")=$D221) *
        (IMPORTRANGE(""https://docs.google.com/spreadsheets/d/161aHT6vVT3SLneTKD19N5qVWtnj_jIT8CSsOmUVKmaA"&amp;"/edit?gid=1761053510"",
          ""Haris_Form responses 1!$AQ:$AQ"")=4)
      ),
      1
    ),
    ""0""
  ),
  ""Form not found""
)
"),"Form not found")</f>
        <v>Form not found</v>
      </c>
      <c r="P221" s="247" t="str">
        <f>IFERROR(__xludf.DUMMYFUNCTION("IFERROR(
  INDEX(
    FILTER(
      Transcription!$AJ:$AJ,
      TRIM(CLEAN(TEXT(Transcription!$F:$F, ""@""))) = TRIM(CLEAN(TEXT($D221, ""@""))),
      Transcription!$AO:$AO = 4
    ),
    1
  ),
  ""Not Found""
)
"),"Not Found")</f>
        <v>Not Found</v>
      </c>
      <c r="Q22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TRIM(CLEAN(TEXT($D221, ""@""))),
      IMPORTRANGE(""https://docs.google.com/spreadsheets/d/1DccNxjBgurEr0ABkI_"&amp;"rBagJT5phB5HaHG5N_mTm_BiA/edit?gid=1382299152#gid=1382299152"", ""Form responses 1!$Z:$Z"") = 5
    ),
    1
  ),
  ""Not Found""
)
"),"https://drive.google.com/open?id=1oJ0wpo3wSh176CUU_vawTn_oKT0RUxn5")</f>
        <v>https://drive.google.com/open?id=1oJ0wpo3wSh176CUU_vawTn_oKT0RUxn5</v>
      </c>
      <c r="R2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1!$E:$E"")=$D221) *
        (IMPORTRANGE(""https://docs.google.com/spreadsheets/d/161aHT6vVT3SLneTKD19N5qVWtnj_jIT8CSsOmUVKmaA"&amp;"/edit?gid=1761053510"",
          ""Haris_Form responses 1!$AQ:$AQ"")=5)
      ),
      1
    ),
    ""0""
  ),
  ""Form not found""
)
"),"5")</f>
        <v>5</v>
      </c>
      <c r="S221" s="245" t="str">
        <f>IFERROR(__xludf.DUMMYFUNCTION("IFERROR(
  INDEX(
    FILTER(
      Transcription!$AJ:$AJ,
      TRIM(CLEAN(TEXT(Transcription!$F:$F, ""@""))) = TRIM(CLEAN(TEXT($D221, ""@""))),
      Transcription!$AO:$AO = 5
    ),
    1
  ),
  ""Not Found""
)
"),"https://drive.google.com/open?id=1JbM8S2XPshFK6ELxGcQLwvt_ER8YjTxohci1Vyh6UBQ")</f>
        <v>https://drive.google.com/open?id=1JbM8S2XPshFK6ELxGcQLwvt_ER8YjTxohci1Vyh6UBQ</v>
      </c>
      <c r="T22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TRIM(CLEAN(TEXT($D221, ""@""))),
      IMPORTRANGE(""https://docs.google.com/spreadsheets/d/1DccNxjBgurEr0ABkI_"&amp;"rBagJT5phB5HaHG5N_mTm_BiA/edit?gid=1382299152#gid=1382299152"", ""Form responses 1!$Z:$Z"") = 6
    ),
    1
  ),
  ""Not Found""
)
"),"Not Found")</f>
        <v>Not Found</v>
      </c>
      <c r="U22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1!$E:$E"")=$D221) *
        (IMPORTRANGE(""https://docs.google.com/spreadsheets/d/161aHT6vVT3SLneTKD19N5qVWtnj_jIT8CSsOmUVKmaA"&amp;"/edit?gid=1761053510"",
          ""Haris_Form responses 1!$AQ:$AQ"")=6)
      ),
      1
    ),
    ""0""
  ),
  ""Form not found""
)
"),"Form not found")</f>
        <v>Form not found</v>
      </c>
      <c r="V221" s="247" t="str">
        <f>IFERROR(__xludf.DUMMYFUNCTION("IFERROR(
  INDEX(
    FILTER(
      Transcription!$AJ:$AJ,
      TRIM(CLEAN(TEXT(Transcription!$F:$F, ""@""))) = TRIM(CLEAN(TEXT($D221, ""@""))),
      Transcription!$AO:$AO = 6
    ),
    1
  ),
  ""Not Found""
)
"),"Not Found")</f>
        <v>Not Found</v>
      </c>
      <c r="Z221" s="10">
        <f t="shared" si="1"/>
        <v>4</v>
      </c>
      <c r="AA221" s="10">
        <f t="shared" si="2"/>
        <v>0</v>
      </c>
    </row>
    <row r="222">
      <c r="A222" s="8" t="str">
        <f>VLOOKUP($D222,Sheet6!$B:$G,5,FALSE)</f>
        <v>Rahim Yar Khan</v>
      </c>
      <c r="B222" s="232" t="str">
        <f>VLOOKUP($D222,Sheet6!$B:$G,4,FALSE)</f>
        <v>Women Religious No Info Share</v>
      </c>
      <c r="C222" s="8">
        <v>3.0</v>
      </c>
      <c r="D222" s="8" t="s">
        <v>4661</v>
      </c>
      <c r="E22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TRIM(CLEAN(TEXT($D222, ""@""))),
      IMPORTRANGE(""https://docs.google.com/spreadsheets/d/1DccNxjBgurEr0ABkI_"&amp;"rBagJT5phB5HaHG5N_mTm_BiA/edit?gid=1382299152#gid=1382299152"", ""Form responses 1!$Z:$Z"") = 1
    ),
    1
  ),
  ""Not Found""
)
"),"https://drive.google.com/open?id=1xFVhtLoXOC3uAFfIdSVUWAMGapX_JAwE")</f>
        <v>https://drive.google.com/open?id=1xFVhtLoXOC3uAFfIdSVUWAMGapX_JAwE</v>
      </c>
      <c r="F2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1!$E:$E"")=$D222) *
        (IMPORTRANGE(""https://docs.google.com/spreadsheets/d/161aHT6vVT3SLneTKD19N5qVWtnj_jIT8CSsOmUVKmaA"&amp;"/edit?gid=1761053510"",
          ""Haris_Form responses 1!$AQ:$AQ"")=1)
      ),
      1
    ),
    ""0""
  ),
  ""Form not found""
)
"),"1")</f>
        <v>1</v>
      </c>
      <c r="G222" s="245" t="str">
        <f>IFERROR(__xludf.DUMMYFUNCTION("IFERROR(
  INDEX(
    FILTER(
      Transcription!$AJ:$AJ,
      TRIM(CLEAN(TEXT(Transcription!$F:$F, ""@""))) = TRIM(CLEAN(TEXT($D222, ""@""))),
      Transcription!$AO:$AO = 1
    ),
    1
  ),
  ""Not Found""
)
"),"https://drive.google.com/open?id=1FJbeaUHuvAz88dpELZps_vgxBhBdx8mc8jgY_gAbrLw")</f>
        <v>https://drive.google.com/open?id=1FJbeaUHuvAz88dpELZps_vgxBhBdx8mc8jgY_gAbrLw</v>
      </c>
      <c r="H22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TRIM(CLEAN(TEXT($D222, ""@""))),
      IMPORTRANGE(""https://docs.google.com/spreadsheets/d/1DccNxjBgurEr0ABkI_"&amp;"rBagJT5phB5HaHG5N_mTm_BiA/edit?gid=1382299152#gid=1382299152"", ""Form responses 1!$Z:$Z"") = 2
    ),
    1
  ),
  ""Not Found""
)
"),"https://drive.google.com/open?id=19JQUDrbSGyqikN9uzHI9n8oLKAwLC4A_")</f>
        <v>https://drive.google.com/open?id=19JQUDrbSGyqikN9uzHI9n8oLKAwLC4A_</v>
      </c>
      <c r="I2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1!$E:$E"")=$D222) *
        (IMPORTRANGE(""https://docs.google.com/spreadsheets/d/161aHT6vVT3SLneTKD19N5qVWtnj_jIT8CSsOmUVKmaA"&amp;"/edit?gid=1761053510"",
          ""Haris_Form responses 1!$AQ:$AQ"")=2)
      ),
      1
    ),
    ""0""
  ),
  ""Form not found""
)
"),"2")</f>
        <v>2</v>
      </c>
      <c r="J222" s="245" t="str">
        <f>IFERROR(__xludf.DUMMYFUNCTION("IFERROR(
  INDEX(
    FILTER(
      Transcription!$AJ:$AJ,
      TRIM(CLEAN(TEXT(Transcription!$F:$F, ""@""))) = TRIM(CLEAN(TEXT($D222, ""@""))),
      Transcription!$AO:$AO = 2
    ),
    1
  ),
  ""Not Found""
)
"),"https://drive.google.com/open?id=13INO2t2LhRhM7iDavO9VX9n0JUednpcMrZYAKbqWMbU")</f>
        <v>https://drive.google.com/open?id=13INO2t2LhRhM7iDavO9VX9n0JUednpcMrZYAKbqWMbU</v>
      </c>
      <c r="K22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TRIM(CLEAN(TEXT($D222, ""@""))),
      IMPORTRANGE(""https://docs.google.com/spreadsheets/d/1DccNxjBgurEr0ABkI_"&amp;"rBagJT5phB5HaHG5N_mTm_BiA/edit?gid=1382299152#gid=1382299152"", ""Form responses 1!$Z:$Z"") = 3
    ),
    1
  ),
  ""Not Found""
)
"),"https://drive.google.com/open?id=1iihWW11MhrZkqSLVlkRYurNoP33cKIbb")</f>
        <v>https://drive.google.com/open?id=1iihWW11MhrZkqSLVlkRYurNoP33cKIbb</v>
      </c>
      <c r="L2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1!$E:$E"")=$D222) *
        (IMPORTRANGE(""https://docs.google.com/spreadsheets/d/161aHT6vVT3SLneTKD19N5qVWtnj_jIT8CSsOmUVKmaA"&amp;"/edit?gid=1761053510"",
          ""Haris_Form responses 1!$AQ:$AQ"")=3)
      ),
      1
    ),
    ""0""
  ),
  ""Form not found""
)
"),"3")</f>
        <v>3</v>
      </c>
      <c r="M222" s="245" t="str">
        <f>IFERROR(__xludf.DUMMYFUNCTION("IFERROR(
  INDEX(
    FILTER(
      Transcription!$AJ:$AJ,
      TRIM(CLEAN(TEXT(Transcription!$F:$F, ""@""))) = TRIM(CLEAN(TEXT($D222, ""@""))),
      Transcription!$AO:$AO = 3
    ),
    1
  ),
  ""Not Found""
)
"),"https://drive.google.com/open?id=12IHG7LDYqGZC8qXQ8nmJkzj2cw1cHpJ1vuPFWOiL-MQ")</f>
        <v>https://drive.google.com/open?id=12IHG7LDYqGZC8qXQ8nmJkzj2cw1cHpJ1vuPFWOiL-MQ</v>
      </c>
      <c r="N22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TRIM(CLEAN(TEXT($D222, ""@""))),
      IMPORTRANGE(""https://docs.google.com/spreadsheets/d/1DccNxjBgurEr0ABkI_"&amp;"rBagJT5phB5HaHG5N_mTm_BiA/edit?gid=1382299152#gid=1382299152"", ""Form responses 1!$Z:$Z"") = 4
    ),
    1
  ),
  ""Not Found""
)
"),"Not Found")</f>
        <v>Not Found</v>
      </c>
      <c r="O2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1!$E:$E"")=$D222) *
        (IMPORTRANGE(""https://docs.google.com/spreadsheets/d/161aHT6vVT3SLneTKD19N5qVWtnj_jIT8CSsOmUVKmaA"&amp;"/edit?gid=1761053510"",
          ""Haris_Form responses 1!$AQ:$AQ"")=4)
      ),
      1
    ),
    ""0""
  ),
  ""Form not found""
)
"),"Form not found")</f>
        <v>Form not found</v>
      </c>
      <c r="P222" s="247" t="str">
        <f>IFERROR(__xludf.DUMMYFUNCTION("IFERROR(
  INDEX(
    FILTER(
      Transcription!$AJ:$AJ,
      TRIM(CLEAN(TEXT(Transcription!$F:$F, ""@""))) = TRIM(CLEAN(TEXT($D222, ""@""))),
      Transcription!$AO:$AO = 4
    ),
    1
  ),
  ""Not Found""
)
"),"Not Found")</f>
        <v>Not Found</v>
      </c>
      <c r="Q22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TRIM(CLEAN(TEXT($D222, ""@""))),
      IMPORTRANGE(""https://docs.google.com/spreadsheets/d/1DccNxjBgurEr0ABkI_"&amp;"rBagJT5phB5HaHG5N_mTm_BiA/edit?gid=1382299152#gid=1382299152"", ""Form responses 1!$Z:$Z"") = 5
    ),
    1
  ),
  ""Not Found""
)
"),"Not Found")</f>
        <v>Not Found</v>
      </c>
      <c r="R2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1!$E:$E"")=$D222) *
        (IMPORTRANGE(""https://docs.google.com/spreadsheets/d/161aHT6vVT3SLneTKD19N5qVWtnj_jIT8CSsOmUVKmaA"&amp;"/edit?gid=1761053510"",
          ""Haris_Form responses 1!$AQ:$AQ"")=5)
      ),
      1
    ),
    ""0""
  ),
  ""Form not found""
)
"),"Form not found")</f>
        <v>Form not found</v>
      </c>
      <c r="S222" s="247" t="str">
        <f>IFERROR(__xludf.DUMMYFUNCTION("IFERROR(
  INDEX(
    FILTER(
      Transcription!$AJ:$AJ,
      TRIM(CLEAN(TEXT(Transcription!$F:$F, ""@""))) = TRIM(CLEAN(TEXT($D222, ""@""))),
      Transcription!$AO:$AO = 5
    ),
    1
  ),
  ""Not Found""
)
"),"Not Found")</f>
        <v>Not Found</v>
      </c>
      <c r="T22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TRIM(CLEAN(TEXT($D222, ""@""))),
      IMPORTRANGE(""https://docs.google.com/spreadsheets/d/1DccNxjBgurEr0ABkI_"&amp;"rBagJT5phB5HaHG5N_mTm_BiA/edit?gid=1382299152#gid=1382299152"", ""Form responses 1!$Z:$Z"") = 6
    ),
    1
  ),
  ""Not Found""
)
"),"Not Found")</f>
        <v>Not Found</v>
      </c>
      <c r="U22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1!$E:$E"")=$D222) *
        (IMPORTRANGE(""https://docs.google.com/spreadsheets/d/161aHT6vVT3SLneTKD19N5qVWtnj_jIT8CSsOmUVKmaA"&amp;"/edit?gid=1761053510"",
          ""Haris_Form responses 1!$AQ:$AQ"")=6)
      ),
      1
    ),
    ""0""
  ),
  ""Form not found""
)
"),"Form not found")</f>
        <v>Form not found</v>
      </c>
      <c r="V222" s="247" t="str">
        <f>IFERROR(__xludf.DUMMYFUNCTION("IFERROR(
  INDEX(
    FILTER(
      Transcription!$AJ:$AJ,
      TRIM(CLEAN(TEXT(Transcription!$F:$F, ""@""))) = TRIM(CLEAN(TEXT($D222, ""@""))),
      Transcription!$AO:$AO = 6
    ),
    1
  ),
  ""Not Found""
)
"),"Not Found")</f>
        <v>Not Found</v>
      </c>
      <c r="Z222" s="10">
        <f t="shared" si="1"/>
        <v>3</v>
      </c>
      <c r="AA222" s="10">
        <f t="shared" si="2"/>
        <v>0</v>
      </c>
    </row>
    <row r="223">
      <c r="A223" s="8" t="str">
        <f>VLOOKUP($D223,Sheet6!$B:$G,5,FALSE)</f>
        <v>Rahim Yar Khan</v>
      </c>
      <c r="B223" s="232" t="str">
        <f>VLOOKUP($D223,Sheet6!$B:$G,4,FALSE)</f>
        <v>Community Religious No Info Share</v>
      </c>
      <c r="C223" s="8">
        <v>4.0</v>
      </c>
      <c r="D223" s="8" t="s">
        <v>4662</v>
      </c>
      <c r="E22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TRIM(CLEAN(TEXT($D223, ""@""))),
      IMPORTRANGE(""https://docs.google.com/spreadsheets/d/1DccNxjBgurEr0ABkI_"&amp;"rBagJT5phB5HaHG5N_mTm_BiA/edit?gid=1382299152#gid=1382299152"", ""Form responses 1!$Z:$Z"") = 1
    ),
    1
  ),
  ""Not Found""
)
"),"https://drive.google.com/open?id=1t1QF7MsPOQijIlAgmp9ZL3jb_BlE7YQ1")</f>
        <v>https://drive.google.com/open?id=1t1QF7MsPOQijIlAgmp9ZL3jb_BlE7YQ1</v>
      </c>
      <c r="F2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1!$E:$E"")=$D223) *
        (IMPORTRANGE(""https://docs.google.com/spreadsheets/d/161aHT6vVT3SLneTKD19N5qVWtnj_jIT8CSsOmUVKmaA"&amp;"/edit?gid=1761053510"",
          ""Haris_Form responses 1!$AQ:$AQ"")=1)
      ),
      1
    ),
    ""0""
  ),
  ""Form not found""
)
"),"1")</f>
        <v>1</v>
      </c>
      <c r="G223" s="245" t="str">
        <f>IFERROR(__xludf.DUMMYFUNCTION("IFERROR(
  INDEX(
    FILTER(
      Transcription!$AJ:$AJ,
      TRIM(CLEAN(TEXT(Transcription!$F:$F, ""@""))) = TRIM(CLEAN(TEXT($D223, ""@""))),
      Transcription!$AO:$AO = 1
    ),
    1
  ),
  ""Not Found""
)
"),"https://drive.google.com/open?id=1owxxZtCXWabEjEb2J0jP4tPrIYdAhbPJ")</f>
        <v>https://drive.google.com/open?id=1owxxZtCXWabEjEb2J0jP4tPrIYdAhbPJ</v>
      </c>
      <c r="H22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TRIM(CLEAN(TEXT($D223, ""@""))),
      IMPORTRANGE(""https://docs.google.com/spreadsheets/d/1DccNxjBgurEr0ABkI_"&amp;"rBagJT5phB5HaHG5N_mTm_BiA/edit?gid=1382299152#gid=1382299152"", ""Form responses 1!$Z:$Z"") = 2
    ),
    1
  ),
  ""Not Found""
)
"),"https://drive.google.com/open?id=1tnH_Wh92IUrdClWxqh9isYYl3CYJv6ua")</f>
        <v>https://drive.google.com/open?id=1tnH_Wh92IUrdClWxqh9isYYl3CYJv6ua</v>
      </c>
      <c r="I2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1!$E:$E"")=$D223) *
        (IMPORTRANGE(""https://docs.google.com/spreadsheets/d/161aHT6vVT3SLneTKD19N5qVWtnj_jIT8CSsOmUVKmaA"&amp;"/edit?gid=1761053510"",
          ""Haris_Form responses 1!$AQ:$AQ"")=2)
      ),
      1
    ),
    ""0""
  ),
  ""Form not found""
)
"),"2")</f>
        <v>2</v>
      </c>
      <c r="J223" s="245" t="str">
        <f>IFERROR(__xludf.DUMMYFUNCTION("IFERROR(
  INDEX(
    FILTER(
      Transcription!$AJ:$AJ,
      TRIM(CLEAN(TEXT(Transcription!$F:$F, ""@""))) = TRIM(CLEAN(TEXT($D223, ""@""))),
      Transcription!$AO:$AO = 2
    ),
    1
  ),
  ""Not Found""
)
"),"https://drive.google.com/open?id=18w7id0yIAU5-eNeiSapiM-TtM6ulvgky")</f>
        <v>https://drive.google.com/open?id=18w7id0yIAU5-eNeiSapiM-TtM6ulvgky</v>
      </c>
      <c r="K22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TRIM(CLEAN(TEXT($D223, ""@""))),
      IMPORTRANGE(""https://docs.google.com/spreadsheets/d/1DccNxjBgurEr0ABkI_"&amp;"rBagJT5phB5HaHG5N_mTm_BiA/edit?gid=1382299152#gid=1382299152"", ""Form responses 1!$Z:$Z"") = 3
    ),
    1
  ),
  ""Not Found""
)
"),"https://drive.google.com/open?id=1gwZTfEdP4FHEG7TLZlF2xI1fJ84lQ5Ou")</f>
        <v>https://drive.google.com/open?id=1gwZTfEdP4FHEG7TLZlF2xI1fJ84lQ5Ou</v>
      </c>
      <c r="L2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1!$E:$E"")=$D223) *
        (IMPORTRANGE(""https://docs.google.com/spreadsheets/d/161aHT6vVT3SLneTKD19N5qVWtnj_jIT8CSsOmUVKmaA"&amp;"/edit?gid=1761053510"",
          ""Haris_Form responses 1!$AQ:$AQ"")=3)
      ),
      1
    ),
    ""0""
  ),
  ""Form not found""
)
"),"3")</f>
        <v>3</v>
      </c>
      <c r="M223" s="245" t="str">
        <f>IFERROR(__xludf.DUMMYFUNCTION("IFERROR(
  INDEX(
    FILTER(
      Transcription!$AJ:$AJ,
      TRIM(CLEAN(TEXT(Transcription!$F:$F, ""@""))) = TRIM(CLEAN(TEXT($D223, ""@""))),
      Transcription!$AO:$AO = 3
    ),
    1
  ),
  ""Not Found""
)
"),"https://drive.google.com/open?id=1dzUt0zi_ZosYGMZfZeVJ4Rrs5_VE6RHs")</f>
        <v>https://drive.google.com/open?id=1dzUt0zi_ZosYGMZfZeVJ4Rrs5_VE6RHs</v>
      </c>
      <c r="N22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TRIM(CLEAN(TEXT($D223, ""@""))),
      IMPORTRANGE(""https://docs.google.com/spreadsheets/d/1DccNxjBgurEr0ABkI_"&amp;"rBagJT5phB5HaHG5N_mTm_BiA/edit?gid=1382299152#gid=1382299152"", ""Form responses 1!$Z:$Z"") = 4
    ),
    1
  ),
  ""Not Found""
)
"),"Not Found")</f>
        <v>Not Found</v>
      </c>
      <c r="O2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1!$E:$E"")=$D223) *
        (IMPORTRANGE(""https://docs.google.com/spreadsheets/d/161aHT6vVT3SLneTKD19N5qVWtnj_jIT8CSsOmUVKmaA"&amp;"/edit?gid=1761053510"",
          ""Haris_Form responses 1!$AQ:$AQ"")=4)
      ),
      1
    ),
    ""0""
  ),
  ""Form not found""
)
"),"Form not found")</f>
        <v>Form not found</v>
      </c>
      <c r="P223" s="247" t="str">
        <f>IFERROR(__xludf.DUMMYFUNCTION("IFERROR(
  INDEX(
    FILTER(
      Transcription!$AJ:$AJ,
      TRIM(CLEAN(TEXT(Transcription!$F:$F, ""@""))) = TRIM(CLEAN(TEXT($D223, ""@""))),
      Transcription!$AO:$AO = 4
    ),
    1
  ),
  ""Not Found""
)
"),"Not Found")</f>
        <v>Not Found</v>
      </c>
      <c r="Q22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TRIM(CLEAN(TEXT($D223, ""@""))),
      IMPORTRANGE(""https://docs.google.com/spreadsheets/d/1DccNxjBgurEr0ABkI_"&amp;"rBagJT5phB5HaHG5N_mTm_BiA/edit?gid=1382299152#gid=1382299152"", ""Form responses 1!$Z:$Z"") = 5
    ),
    1
  ),
  ""Not Found""
)
"),"https://drive.google.com/open?id=10BPn7hsPEazLCu1Scm1CRuUGQwOblalC")</f>
        <v>https://drive.google.com/open?id=10BPn7hsPEazLCu1Scm1CRuUGQwOblalC</v>
      </c>
      <c r="R2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1!$E:$E"")=$D223) *
        (IMPORTRANGE(""https://docs.google.com/spreadsheets/d/161aHT6vVT3SLneTKD19N5qVWtnj_jIT8CSsOmUVKmaA"&amp;"/edit?gid=1761053510"",
          ""Haris_Form responses 1!$AQ:$AQ"")=5)
      ),
      1
    ),
    ""0""
  ),
  ""Form not found""
)
"),"5")</f>
        <v>5</v>
      </c>
      <c r="S223" s="245" t="str">
        <f>IFERROR(__xludf.DUMMYFUNCTION("IFERROR(
  INDEX(
    FILTER(
      Transcription!$AJ:$AJ,
      TRIM(CLEAN(TEXT(Transcription!$F:$F, ""@""))) = TRIM(CLEAN(TEXT($D223, ""@""))),
      Transcription!$AO:$AO = 5
    ),
    1
  ),
  ""Not Found""
)
"),"https://drive.google.com/open?id=16Bap-GSdm48zzGCmd7bx5pymgfeaEsYXwKgqYP_qLpQ")</f>
        <v>https://drive.google.com/open?id=16Bap-GSdm48zzGCmd7bx5pymgfeaEsYXwKgqYP_qLpQ</v>
      </c>
      <c r="T22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TRIM(CLEAN(TEXT($D223, ""@""))),
      IMPORTRANGE(""https://docs.google.com/spreadsheets/d/1DccNxjBgurEr0ABkI_"&amp;"rBagJT5phB5HaHG5N_mTm_BiA/edit?gid=1382299152#gid=1382299152"", ""Form responses 1!$Z:$Z"") = 6
    ),
    1
  ),
  ""Not Found""
)
"),"Not Found")</f>
        <v>Not Found</v>
      </c>
      <c r="U22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1!$E:$E"")=$D223) *
        (IMPORTRANGE(""https://docs.google.com/spreadsheets/d/161aHT6vVT3SLneTKD19N5qVWtnj_jIT8CSsOmUVKmaA"&amp;"/edit?gid=1761053510"",
          ""Haris_Form responses 1!$AQ:$AQ"")=6)
      ),
      1
    ),
    ""0""
  ),
  ""Form not found""
)
"),"Form not found")</f>
        <v>Form not found</v>
      </c>
      <c r="V223" s="247" t="str">
        <f>IFERROR(__xludf.DUMMYFUNCTION("IFERROR(
  INDEX(
    FILTER(
      Transcription!$AJ:$AJ,
      TRIM(CLEAN(TEXT(Transcription!$F:$F, ""@""))) = TRIM(CLEAN(TEXT($D223, ""@""))),
      Transcription!$AO:$AO = 6
    ),
    1
  ),
  ""Not Found""
)
"),"Not Found")</f>
        <v>Not Found</v>
      </c>
      <c r="Z223" s="10">
        <f t="shared" si="1"/>
        <v>4</v>
      </c>
      <c r="AA223" s="10">
        <f t="shared" si="2"/>
        <v>0</v>
      </c>
    </row>
    <row r="224">
      <c r="A224" s="8" t="str">
        <f>VLOOKUP($D224,Sheet6!$B:$G,5,FALSE)</f>
        <v>Rahim Yar Khan</v>
      </c>
      <c r="B224" s="232" t="str">
        <f>VLOOKUP($D224,Sheet6!$B:$G,4,FALSE)</f>
        <v>Control</v>
      </c>
      <c r="C224" s="8">
        <v>2.0</v>
      </c>
      <c r="D224" s="8" t="s">
        <v>4663</v>
      </c>
      <c r="E22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TRIM(CLEAN(TEXT($D224, ""@""))),
      IMPORTRANGE(""https://docs.google.com/spreadsheets/d/1DccNxjBgurEr0ABkI_"&amp;"rBagJT5phB5HaHG5N_mTm_BiA/edit?gid=1382299152#gid=1382299152"", ""Form responses 1!$Z:$Z"") = 1
    ),
    1
  ),
  ""Not Found""
)
"),"https://drive.google.com/open?id=18r7-l-M1szLnrIrJ3QEpAsJ5d3FxYxXN")</f>
        <v>https://drive.google.com/open?id=18r7-l-M1szLnrIrJ3QEpAsJ5d3FxYxXN</v>
      </c>
      <c r="F2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1!$E:$E"")=$D224) *
        (IMPORTRANGE(""https://docs.google.com/spreadsheets/d/161aHT6vVT3SLneTKD19N5qVWtnj_jIT8CSsOmUVKmaA"&amp;"/edit?gid=1761053510"",
          ""Haris_Form responses 1!$AQ:$AQ"")=1)
      ),
      1
    ),
    ""0""
  ),
  ""Form not found""
)
"),"1")</f>
        <v>1</v>
      </c>
      <c r="G224" s="245" t="str">
        <f>IFERROR(__xludf.DUMMYFUNCTION("IFERROR(
  INDEX(
    FILTER(
      Transcription!$AJ:$AJ,
      TRIM(CLEAN(TEXT(Transcription!$F:$F, ""@""))) = TRIM(CLEAN(TEXT($D224, ""@""))),
      Transcription!$AO:$AO = 1
    ),
    1
  ),
  ""Not Found""
)
"),"https://drive.google.com/open?id=18j-PbdxoiMu2QvSuOc19ozWztr4KJJrL8avCtTRujFk")</f>
        <v>https://drive.google.com/open?id=18j-PbdxoiMu2QvSuOc19ozWztr4KJJrL8avCtTRujFk</v>
      </c>
      <c r="H22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TRIM(CLEAN(TEXT($D224, ""@""))),
      IMPORTRANGE(""https://docs.google.com/spreadsheets/d/1DccNxjBgurEr0ABkI_"&amp;"rBagJT5phB5HaHG5N_mTm_BiA/edit?gid=1382299152#gid=1382299152"", ""Form responses 1!$Z:$Z"") = 2
    ),
    1
  ),
  ""Not Found""
)
"),"Not Found")</f>
        <v>Not Found</v>
      </c>
      <c r="I2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1!$E:$E"")=$D224) *
        (IMPORTRANGE(""https://docs.google.com/spreadsheets/d/161aHT6vVT3SLneTKD19N5qVWtnj_jIT8CSsOmUVKmaA"&amp;"/edit?gid=1761053510"",
          ""Haris_Form responses 1!$AQ:$AQ"")=2)
      ),
      1
    ),
    ""0""
  ),
  ""Form not found""
)
"),"Form not found")</f>
        <v>Form not found</v>
      </c>
      <c r="J224" s="247" t="str">
        <f>IFERROR(__xludf.DUMMYFUNCTION("IFERROR(
  INDEX(
    FILTER(
      Transcription!$AJ:$AJ,
      TRIM(CLEAN(TEXT(Transcription!$F:$F, ""@""))) = TRIM(CLEAN(TEXT($D224, ""@""))),
      Transcription!$AO:$AO = 2
    ),
    1
  ),
  ""Not Found""
)
"),"Not Found")</f>
        <v>Not Found</v>
      </c>
      <c r="K22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TRIM(CLEAN(TEXT($D224, ""@""))),
      IMPORTRANGE(""https://docs.google.com/spreadsheets/d/1DccNxjBgurEr0ABkI_"&amp;"rBagJT5phB5HaHG5N_mTm_BiA/edit?gid=1382299152#gid=1382299152"", ""Form responses 1!$Z:$Z"") = 3
    ),
    1
  ),
  ""Not Found""
)
"),"https://drive.google.com/open?id=18-Zo8ZTccbfrq8ycowpciAAuFWqcMuWD")</f>
        <v>https://drive.google.com/open?id=18-Zo8ZTccbfrq8ycowpciAAuFWqcMuWD</v>
      </c>
      <c r="L2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1!$E:$E"")=$D224) *
        (IMPORTRANGE(""https://docs.google.com/spreadsheets/d/161aHT6vVT3SLneTKD19N5qVWtnj_jIT8CSsOmUVKmaA"&amp;"/edit?gid=1761053510"",
          ""Haris_Form responses 1!$AQ:$AQ"")=3)
      ),
      1
    ),
    ""0""
  ),
  ""Form not found""
)
"),"3")</f>
        <v>3</v>
      </c>
      <c r="M224" s="245" t="str">
        <f>IFERROR(__xludf.DUMMYFUNCTION("IFERROR(
  INDEX(
    FILTER(
      Transcription!$AJ:$AJ,
      TRIM(CLEAN(TEXT(Transcription!$F:$F, ""@""))) = TRIM(CLEAN(TEXT($D224, ""@""))),
      Transcription!$AO:$AO = 3
    ),
    1
  ),
  ""Not Found""
)
"),"https://drive.google.com/open?id=1KZNDLKnvjNmmlwpZjR6LXkap9uMyMAZRZEblfxcFpSc")</f>
        <v>https://drive.google.com/open?id=1KZNDLKnvjNmmlwpZjR6LXkap9uMyMAZRZEblfxcFpSc</v>
      </c>
      <c r="N22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TRIM(CLEAN(TEXT($D224, ""@""))),
      IMPORTRANGE(""https://docs.google.com/spreadsheets/d/1DccNxjBgurEr0ABkI_"&amp;"rBagJT5phB5HaHG5N_mTm_BiA/edit?gid=1382299152#gid=1382299152"", ""Form responses 1!$Z:$Z"") = 4
    ),
    1
  ),
  ""Not Found""
)
"),"Not Found")</f>
        <v>Not Found</v>
      </c>
      <c r="O2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1!$E:$E"")=$D224) *
        (IMPORTRANGE(""https://docs.google.com/spreadsheets/d/161aHT6vVT3SLneTKD19N5qVWtnj_jIT8CSsOmUVKmaA"&amp;"/edit?gid=1761053510"",
          ""Haris_Form responses 1!$AQ:$AQ"")=4)
      ),
      1
    ),
    ""0""
  ),
  ""Form not found""
)
"),"Form not found")</f>
        <v>Form not found</v>
      </c>
      <c r="P224" s="247" t="str">
        <f>IFERROR(__xludf.DUMMYFUNCTION("IFERROR(
  INDEX(
    FILTER(
      Transcription!$AJ:$AJ,
      TRIM(CLEAN(TEXT(Transcription!$F:$F, ""@""))) = TRIM(CLEAN(TEXT($D224, ""@""))),
      Transcription!$AO:$AO = 4
    ),
    1
  ),
  ""Not Found""
)
"),"Not Found")</f>
        <v>Not Found</v>
      </c>
      <c r="Q22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TRIM(CLEAN(TEXT($D224, ""@""))),
      IMPORTRANGE(""https://docs.google.com/spreadsheets/d/1DccNxjBgurEr0ABkI_"&amp;"rBagJT5phB5HaHG5N_mTm_BiA/edit?gid=1382299152#gid=1382299152"", ""Form responses 1!$Z:$Z"") = 5
    ),
    1
  ),
  ""Not Found""
)
"),"Not Found")</f>
        <v>Not Found</v>
      </c>
      <c r="R2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1!$E:$E"")=$D224) *
        (IMPORTRANGE(""https://docs.google.com/spreadsheets/d/161aHT6vVT3SLneTKD19N5qVWtnj_jIT8CSsOmUVKmaA"&amp;"/edit?gid=1761053510"",
          ""Haris_Form responses 1!$AQ:$AQ"")=5)
      ),
      1
    ),
    ""0""
  ),
  ""Form not found""
)
"),"Form not found")</f>
        <v>Form not found</v>
      </c>
      <c r="S224" s="247" t="str">
        <f>IFERROR(__xludf.DUMMYFUNCTION("IFERROR(
  INDEX(
    FILTER(
      Transcription!$AJ:$AJ,
      TRIM(CLEAN(TEXT(Transcription!$F:$F, ""@""))) = TRIM(CLEAN(TEXT($D224, ""@""))),
      Transcription!$AO:$AO = 5
    ),
    1
  ),
  ""Not Found""
)
"),"Not Found")</f>
        <v>Not Found</v>
      </c>
      <c r="T22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TRIM(CLEAN(TEXT($D224, ""@""))),
      IMPORTRANGE(""https://docs.google.com/spreadsheets/d/1DccNxjBgurEr0ABkI_"&amp;"rBagJT5phB5HaHG5N_mTm_BiA/edit?gid=1382299152#gid=1382299152"", ""Form responses 1!$Z:$Z"") = 6
    ),
    1
  ),
  ""Not Found""
)
"),"Not Found")</f>
        <v>Not Found</v>
      </c>
      <c r="U22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1!$E:$E"")=$D224) *
        (IMPORTRANGE(""https://docs.google.com/spreadsheets/d/161aHT6vVT3SLneTKD19N5qVWtnj_jIT8CSsOmUVKmaA"&amp;"/edit?gid=1761053510"",
          ""Haris_Form responses 1!$AQ:$AQ"")=6)
      ),
      1
    ),
    ""0""
  ),
  ""Form not found""
)
"),"Form not found")</f>
        <v>Form not found</v>
      </c>
      <c r="V224" s="247" t="str">
        <f>IFERROR(__xludf.DUMMYFUNCTION("IFERROR(
  INDEX(
    FILTER(
      Transcription!$AJ:$AJ,
      TRIM(CLEAN(TEXT(Transcription!$F:$F, ""@""))) = TRIM(CLEAN(TEXT($D224, ""@""))),
      Transcription!$AO:$AO = 6
    ),
    1
  ),
  ""Not Found""
)
"),"Not Found")</f>
        <v>Not Found</v>
      </c>
      <c r="Z224" s="10">
        <f t="shared" si="1"/>
        <v>2</v>
      </c>
      <c r="AA224" s="10">
        <f t="shared" si="2"/>
        <v>0</v>
      </c>
    </row>
    <row r="225">
      <c r="A225" s="8" t="str">
        <f>VLOOKUP($D225,Sheet6!$B:$G,5,FALSE)</f>
        <v>khanpur</v>
      </c>
      <c r="B225" s="232" t="str">
        <f>VLOOKUP($D225,Sheet6!$B:$G,4,FALSE)</f>
        <v>Community Secular Info Share</v>
      </c>
      <c r="C225" s="8">
        <v>3.0</v>
      </c>
      <c r="D225" s="8" t="s">
        <v>4664</v>
      </c>
      <c r="E22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TRIM(CLEAN(TEXT($D225, ""@""))),
      IMPORTRANGE(""https://docs.google.com/spreadsheets/d/1DccNxjBgurEr0ABkI_"&amp;"rBagJT5phB5HaHG5N_mTm_BiA/edit?gid=1382299152#gid=1382299152"", ""Form responses 1!$Z:$Z"") = 1
    ),
    1
  ),
  ""Not Found""
)
"),"https://drive.google.com/open?id=1ZIct1WcYhE87jlo3YyRIhKkkFSaHu1Lu")</f>
        <v>https://drive.google.com/open?id=1ZIct1WcYhE87jlo3YyRIhKkkFSaHu1Lu</v>
      </c>
      <c r="F2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1!$E:$E"")=$D225) *
        (IMPORTRANGE(""https://docs.google.com/spreadsheets/d/161aHT6vVT3SLneTKD19N5qVWtnj_jIT8CSsOmUVKmaA"&amp;"/edit?gid=1761053510"",
          ""Haris_Form responses 1!$AQ:$AQ"")=1)
      ),
      1
    ),
    ""0""
  ),
  ""Form not found""
)
"),"1")</f>
        <v>1</v>
      </c>
      <c r="G225" s="245" t="str">
        <f>IFERROR(__xludf.DUMMYFUNCTION("IFERROR(
  INDEX(
    FILTER(
      Transcription!$AJ:$AJ,
      TRIM(CLEAN(TEXT(Transcription!$F:$F, ""@""))) = TRIM(CLEAN(TEXT($D225, ""@""))),
      Transcription!$AO:$AO = 1
    ),
    1
  ),
  ""Not Found""
)
"),"https://drive.google.com/open?id=1WXTQmOtw_l3EgdNsbJkcNBf9ZWJYU5cwtzat49eoR58")</f>
        <v>https://drive.google.com/open?id=1WXTQmOtw_l3EgdNsbJkcNBf9ZWJYU5cwtzat49eoR58</v>
      </c>
      <c r="H22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TRIM(CLEAN(TEXT($D225, ""@""))),
      IMPORTRANGE(""https://docs.google.com/spreadsheets/d/1DccNxjBgurEr0ABkI_"&amp;"rBagJT5phB5HaHG5N_mTm_BiA/edit?gid=1382299152#gid=1382299152"", ""Form responses 1!$Z:$Z"") = 2
    ),
    1
  ),
  ""Not Found""
)
"),"https://drive.google.com/open?id=12ZSx-7ZCiEvcnZyDqURKNeDwAP_XQIx4")</f>
        <v>https://drive.google.com/open?id=12ZSx-7ZCiEvcnZyDqURKNeDwAP_XQIx4</v>
      </c>
      <c r="I2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1!$E:$E"")=$D225) *
        (IMPORTRANGE(""https://docs.google.com/spreadsheets/d/161aHT6vVT3SLneTKD19N5qVWtnj_jIT8CSsOmUVKmaA"&amp;"/edit?gid=1761053510"",
          ""Haris_Form responses 1!$AQ:$AQ"")=2)
      ),
      1
    ),
    ""0""
  ),
  ""Form not found""
)
"),"2")</f>
        <v>2</v>
      </c>
      <c r="J225" s="245" t="str">
        <f>IFERROR(__xludf.DUMMYFUNCTION("IFERROR(
  INDEX(
    FILTER(
      Transcription!$AJ:$AJ,
      TRIM(CLEAN(TEXT(Transcription!$F:$F, ""@""))) = TRIM(CLEAN(TEXT($D225, ""@""))),
      Transcription!$AO:$AO = 2
    ),
    1
  ),
  ""Not Found""
)
"),"https://drive.google.com/open?id=1LVy4m4trQjSHo53o1q1C6RNdbBUcwOZw")</f>
        <v>https://drive.google.com/open?id=1LVy4m4trQjSHo53o1q1C6RNdbBUcwOZw</v>
      </c>
      <c r="K22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TRIM(CLEAN(TEXT($D225, ""@""))),
      IMPORTRANGE(""https://docs.google.com/spreadsheets/d/1DccNxjBgurEr0ABkI_"&amp;"rBagJT5phB5HaHG5N_mTm_BiA/edit?gid=1382299152#gid=1382299152"", ""Form responses 1!$Z:$Z"") = 3
    ),
    1
  ),
  ""Not Found""
)
"),"https://drive.google.com/open?id=1rAs_Fm69m-J7cfS44NWc-VXHwtz9KKjc")</f>
        <v>https://drive.google.com/open?id=1rAs_Fm69m-J7cfS44NWc-VXHwtz9KKjc</v>
      </c>
      <c r="L2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1!$E:$E"")=$D225) *
        (IMPORTRANGE(""https://docs.google.com/spreadsheets/d/161aHT6vVT3SLneTKD19N5qVWtnj_jIT8CSsOmUVKmaA"&amp;"/edit?gid=1761053510"",
          ""Haris_Form responses 1!$AQ:$AQ"")=3)
      ),
      1
    ),
    ""0""
  ),
  ""Form not found""
)
"),"3")</f>
        <v>3</v>
      </c>
      <c r="M225" s="245" t="str">
        <f>IFERROR(__xludf.DUMMYFUNCTION("IFERROR(
  INDEX(
    FILTER(
      Transcription!$AJ:$AJ,
      TRIM(CLEAN(TEXT(Transcription!$F:$F, ""@""))) = TRIM(CLEAN(TEXT($D225, ""@""))),
      Transcription!$AO:$AO = 3
    ),
    1
  ),
  ""Not Found""
)
"),"https://drive.google.com/open?id=1cSGFnms_XAtkqFU935wvGYcSiSBVKnwrdwHuMfbRbjA")</f>
        <v>https://drive.google.com/open?id=1cSGFnms_XAtkqFU935wvGYcSiSBVKnwrdwHuMfbRbjA</v>
      </c>
      <c r="N22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TRIM(CLEAN(TEXT($D225, ""@""))),
      IMPORTRANGE(""https://docs.google.com/spreadsheets/d/1DccNxjBgurEr0ABkI_"&amp;"rBagJT5phB5HaHG5N_mTm_BiA/edit?gid=1382299152#gid=1382299152"", ""Form responses 1!$Z:$Z"") = 4
    ),
    1
  ),
  ""Not Found""
)
"),"Not Found")</f>
        <v>Not Found</v>
      </c>
      <c r="O2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1!$E:$E"")=$D225) *
        (IMPORTRANGE(""https://docs.google.com/spreadsheets/d/161aHT6vVT3SLneTKD19N5qVWtnj_jIT8CSsOmUVKmaA"&amp;"/edit?gid=1761053510"",
          ""Haris_Form responses 1!$AQ:$AQ"")=4)
      ),
      1
    ),
    ""0""
  ),
  ""Form not found""
)
"),"Form not found")</f>
        <v>Form not found</v>
      </c>
      <c r="P225" s="247" t="str">
        <f>IFERROR(__xludf.DUMMYFUNCTION("IFERROR(
  INDEX(
    FILTER(
      Transcription!$AJ:$AJ,
      TRIM(CLEAN(TEXT(Transcription!$F:$F, ""@""))) = TRIM(CLEAN(TEXT($D225, ""@""))),
      Transcription!$AO:$AO = 4
    ),
    1
  ),
  ""Not Found""
)
"),"Not Found")</f>
        <v>Not Found</v>
      </c>
      <c r="Q22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TRIM(CLEAN(TEXT($D225, ""@""))),
      IMPORTRANGE(""https://docs.google.com/spreadsheets/d/1DccNxjBgurEr0ABkI_"&amp;"rBagJT5phB5HaHG5N_mTm_BiA/edit?gid=1382299152#gid=1382299152"", ""Form responses 1!$Z:$Z"") = 5
    ),
    1
  ),
  ""Not Found""
)
"),"Not Found")</f>
        <v>Not Found</v>
      </c>
      <c r="R2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1!$E:$E"")=$D225) *
        (IMPORTRANGE(""https://docs.google.com/spreadsheets/d/161aHT6vVT3SLneTKD19N5qVWtnj_jIT8CSsOmUVKmaA"&amp;"/edit?gid=1761053510"",
          ""Haris_Form responses 1!$AQ:$AQ"")=5)
      ),
      1
    ),
    ""0""
  ),
  ""Form not found""
)
"),"Form not found")</f>
        <v>Form not found</v>
      </c>
      <c r="S225" s="247" t="str">
        <f>IFERROR(__xludf.DUMMYFUNCTION("IFERROR(
  INDEX(
    FILTER(
      Transcription!$AJ:$AJ,
      TRIM(CLEAN(TEXT(Transcription!$F:$F, ""@""))) = TRIM(CLEAN(TEXT($D225, ""@""))),
      Transcription!$AO:$AO = 5
    ),
    1
  ),
  ""Not Found""
)
"),"Not Found")</f>
        <v>Not Found</v>
      </c>
      <c r="T22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TRIM(CLEAN(TEXT($D225, ""@""))),
      IMPORTRANGE(""https://docs.google.com/spreadsheets/d/1DccNxjBgurEr0ABkI_"&amp;"rBagJT5phB5HaHG5N_mTm_BiA/edit?gid=1382299152#gid=1382299152"", ""Form responses 1!$Z:$Z"") = 6
    ),
    1
  ),
  ""Not Found""
)
"),"Not Found")</f>
        <v>Not Found</v>
      </c>
      <c r="U22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1!$E:$E"")=$D225) *
        (IMPORTRANGE(""https://docs.google.com/spreadsheets/d/161aHT6vVT3SLneTKD19N5qVWtnj_jIT8CSsOmUVKmaA"&amp;"/edit?gid=1761053510"",
          ""Haris_Form responses 1!$AQ:$AQ"")=6)
      ),
      1
    ),
    ""0""
  ),
  ""Form not found""
)
"),"Form not found")</f>
        <v>Form not found</v>
      </c>
      <c r="V225" s="247" t="str">
        <f>IFERROR(__xludf.DUMMYFUNCTION("IFERROR(
  INDEX(
    FILTER(
      Transcription!$AJ:$AJ,
      TRIM(CLEAN(TEXT(Transcription!$F:$F, ""@""))) = TRIM(CLEAN(TEXT($D225, ""@""))),
      Transcription!$AO:$AO = 6
    ),
    1
  ),
  ""Not Found""
)
"),"Not Found")</f>
        <v>Not Found</v>
      </c>
      <c r="Z225" s="10">
        <f t="shared" si="1"/>
        <v>3</v>
      </c>
      <c r="AA225" s="10">
        <f t="shared" si="2"/>
        <v>0</v>
      </c>
    </row>
    <row r="226">
      <c r="A226" s="8" t="str">
        <f>VLOOKUP($D226,Sheet6!$B:$G,5,FALSE)</f>
        <v>khanpur</v>
      </c>
      <c r="B226" s="232" t="str">
        <f>VLOOKUP($D226,Sheet6!$B:$G,4,FALSE)</f>
        <v>Women Religious Info Share</v>
      </c>
      <c r="C226" s="8">
        <v>3.0</v>
      </c>
      <c r="D226" s="8" t="s">
        <v>779</v>
      </c>
      <c r="E22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TRIM(CLEAN(TEXT($D226, ""@""))),
      IMPORTRANGE(""https://docs.google.com/spreadsheets/d/1DccNxjBgurEr0ABkI_"&amp;"rBagJT5phB5HaHG5N_mTm_BiA/edit?gid=1382299152#gid=1382299152"", ""Form responses 1!$Z:$Z"") = 1
    ),
    1
  ),
  ""Not Found""
)
"),"https://drive.google.com/open?id=1Q5GMCVckTkUPmFClgwFbhIBJQoGCbaVW")</f>
        <v>https://drive.google.com/open?id=1Q5GMCVckTkUPmFClgwFbhIBJQoGCbaVW</v>
      </c>
      <c r="F2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1!$E:$E"")=$D226) *
        (IMPORTRANGE(""https://docs.google.com/spreadsheets/d/161aHT6vVT3SLneTKD19N5qVWtnj_jIT8CSsOmUVKmaA"&amp;"/edit?gid=1761053510"",
          ""Haris_Form responses 1!$AQ:$AQ"")=1)
      ),
      1
    ),
    ""0""
  ),
  ""Form not found""
)
"),"1")</f>
        <v>1</v>
      </c>
      <c r="G226" s="245" t="str">
        <f>IFERROR(__xludf.DUMMYFUNCTION("IFERROR(
  INDEX(
    FILTER(
      Transcription!$AJ:$AJ,
      TRIM(CLEAN(TEXT(Transcription!$F:$F, ""@""))) = TRIM(CLEAN(TEXT($D226, ""@""))),
      Transcription!$AO:$AO = 1
    ),
    1
  ),
  ""Not Found""
)
"),"https://drive.google.com/open?id=1xITEPIUK2_m03mG_bOfgRha8UpKBQbsRJS_oQPQTZXI")</f>
        <v>https://drive.google.com/open?id=1xITEPIUK2_m03mG_bOfgRha8UpKBQbsRJS_oQPQTZXI</v>
      </c>
      <c r="H22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TRIM(CLEAN(TEXT($D226, ""@""))),
      IMPORTRANGE(""https://docs.google.com/spreadsheets/d/1DccNxjBgurEr0ABkI_"&amp;"rBagJT5phB5HaHG5N_mTm_BiA/edit?gid=1382299152#gid=1382299152"", ""Form responses 1!$Z:$Z"") = 2
    ),
    1
  ),
  ""Not Found""
)
"),"https://drive.google.com/file/d/1J-OftCHMfXVkUbrMX3-1706Zo9lD5p9N/view?usp=drive_link, https://drive.google.com/file/d/13Ld0tvDKCqrHRYLl-8hFpizx7MT66IHf/view?usp=drive_link")</f>
        <v>https://drive.google.com/file/d/1J-OftCHMfXVkUbrMX3-1706Zo9lD5p9N/view?usp=drive_link, https://drive.google.com/file/d/13Ld0tvDKCqrHRYLl-8hFpizx7MT66IHf/view?usp=drive_link</v>
      </c>
      <c r="I2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1!$E:$E"")=$D226) *
        (IMPORTRANGE(""https://docs.google.com/spreadsheets/d/161aHT6vVT3SLneTKD19N5qVWtnj_jIT8CSsOmUVKmaA"&amp;"/edit?gid=1761053510"",
          ""Haris_Form responses 1!$AQ:$AQ"")=2)
      ),
      1
    ),
    ""0""
  ),
  ""Form not found""
)
"),"2")</f>
        <v>2</v>
      </c>
      <c r="J226" s="245" t="str">
        <f>IFERROR(__xludf.DUMMYFUNCTION("IFERROR(
  INDEX(
    FILTER(
      Transcription!$AJ:$AJ,
      TRIM(CLEAN(TEXT(Transcription!$F:$F, ""@""))) = TRIM(CLEAN(TEXT($D226, ""@""))),
      Transcription!$AO:$AO = 2
    ),
    1
  ),
  ""Not Found""
)
"),"https://drive.google.com/open?id=1N5rLeF--aDz7VFz7jYPtPDOmeAPEycBR")</f>
        <v>https://drive.google.com/open?id=1N5rLeF--aDz7VFz7jYPtPDOmeAPEycBR</v>
      </c>
      <c r="K22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TRIM(CLEAN(TEXT($D226, ""@""))),
      IMPORTRANGE(""https://docs.google.com/spreadsheets/d/1DccNxjBgurEr0ABkI_"&amp;"rBagJT5phB5HaHG5N_mTm_BiA/edit?gid=1382299152#gid=1382299152"", ""Form responses 1!$Z:$Z"") = 3
    ),
    1
  ),
  ""Not Found""
)
"),"https://drive.google.com/open?id=14_n3J14L6-QVkOGk4GcuS2EOW_BjSzwT, https://drive.google.com/open?id=1cEBFwPGVT8Mtmw2kz1jdEhmYQeJ3rhwA")</f>
        <v>https://drive.google.com/open?id=14_n3J14L6-QVkOGk4GcuS2EOW_BjSzwT, https://drive.google.com/open?id=1cEBFwPGVT8Mtmw2kz1jdEhmYQeJ3rhwA</v>
      </c>
      <c r="L2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1!$E:$E"")=$D226) *
        (IMPORTRANGE(""https://docs.google.com/spreadsheets/d/161aHT6vVT3SLneTKD19N5qVWtnj_jIT8CSsOmUVKmaA"&amp;"/edit?gid=1761053510"",
          ""Haris_Form responses 1!$AQ:$AQ"")=3)
      ),
      1
    ),
    ""0""
  ),
  ""Form not found""
)
"),"3")</f>
        <v>3</v>
      </c>
      <c r="M226" s="245" t="str">
        <f>IFERROR(__xludf.DUMMYFUNCTION("IFERROR(
  INDEX(
    FILTER(
      Transcription!$AJ:$AJ,
      TRIM(CLEAN(TEXT(Transcription!$F:$F, ""@""))) = TRIM(CLEAN(TEXT($D226, ""@""))),
      Transcription!$AO:$AO = 3
    ),
    1
  ),
  ""Not Found""
)
"),"https://drive.google.com/open?id=1IfOlf-SoJ7NhHNUPAD95g0NLlBXdYenZ_euo4SgTsl0")</f>
        <v>https://drive.google.com/open?id=1IfOlf-SoJ7NhHNUPAD95g0NLlBXdYenZ_euo4SgTsl0</v>
      </c>
      <c r="N22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TRIM(CLEAN(TEXT($D226, ""@""))),
      IMPORTRANGE(""https://docs.google.com/spreadsheets/d/1DccNxjBgurEr0ABkI_"&amp;"rBagJT5phB5HaHG5N_mTm_BiA/edit?gid=1382299152#gid=1382299152"", ""Form responses 1!$Z:$Z"") = 4
    ),
    1
  ),
  ""Not Found""
)
"),"Not Found")</f>
        <v>Not Found</v>
      </c>
      <c r="O2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1!$E:$E"")=$D226) *
        (IMPORTRANGE(""https://docs.google.com/spreadsheets/d/161aHT6vVT3SLneTKD19N5qVWtnj_jIT8CSsOmUVKmaA"&amp;"/edit?gid=1761053510"",
          ""Haris_Form responses 1!$AQ:$AQ"")=4)
      ),
      1
    ),
    ""0""
  ),
  ""Form not found""
)
"),"Form not found")</f>
        <v>Form not found</v>
      </c>
      <c r="P226" s="247" t="str">
        <f>IFERROR(__xludf.DUMMYFUNCTION("IFERROR(
  INDEX(
    FILTER(
      Transcription!$AJ:$AJ,
      TRIM(CLEAN(TEXT(Transcription!$F:$F, ""@""))) = TRIM(CLEAN(TEXT($D226, ""@""))),
      Transcription!$AO:$AO = 4
    ),
    1
  ),
  ""Not Found""
)
"),"Not Found")</f>
        <v>Not Found</v>
      </c>
      <c r="Q22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TRIM(CLEAN(TEXT($D226, ""@""))),
      IMPORTRANGE(""https://docs.google.com/spreadsheets/d/1DccNxjBgurEr0ABkI_"&amp;"rBagJT5phB5HaHG5N_mTm_BiA/edit?gid=1382299152#gid=1382299152"", ""Form responses 1!$Z:$Z"") = 5
    ),
    1
  ),
  ""Not Found""
)
"),"Not Found")</f>
        <v>Not Found</v>
      </c>
      <c r="R2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1!$E:$E"")=$D226) *
        (IMPORTRANGE(""https://docs.google.com/spreadsheets/d/161aHT6vVT3SLneTKD19N5qVWtnj_jIT8CSsOmUVKmaA"&amp;"/edit?gid=1761053510"",
          ""Haris_Form responses 1!$AQ:$AQ"")=5)
      ),
      1
    ),
    ""0""
  ),
  ""Form not found""
)
"),"Form not found")</f>
        <v>Form not found</v>
      </c>
      <c r="S226" s="247" t="str">
        <f>IFERROR(__xludf.DUMMYFUNCTION("IFERROR(
  INDEX(
    FILTER(
      Transcription!$AJ:$AJ,
      TRIM(CLEAN(TEXT(Transcription!$F:$F, ""@""))) = TRIM(CLEAN(TEXT($D226, ""@""))),
      Transcription!$AO:$AO = 5
    ),
    1
  ),
  ""Not Found""
)
"),"Not Found")</f>
        <v>Not Found</v>
      </c>
      <c r="T22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TRIM(CLEAN(TEXT($D226, ""@""))),
      IMPORTRANGE(""https://docs.google.com/spreadsheets/d/1DccNxjBgurEr0ABkI_"&amp;"rBagJT5phB5HaHG5N_mTm_BiA/edit?gid=1382299152#gid=1382299152"", ""Form responses 1!$Z:$Z"") = 6
    ),
    1
  ),
  ""Not Found""
)
"),"Not Found")</f>
        <v>Not Found</v>
      </c>
      <c r="U22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1!$E:$E"")=$D226) *
        (IMPORTRANGE(""https://docs.google.com/spreadsheets/d/161aHT6vVT3SLneTKD19N5qVWtnj_jIT8CSsOmUVKmaA"&amp;"/edit?gid=1761053510"",
          ""Haris_Form responses 1!$AQ:$AQ"")=6)
      ),
      1
    ),
    ""0""
  ),
  ""Form not found""
)
"),"Form not found")</f>
        <v>Form not found</v>
      </c>
      <c r="V226" s="247" t="str">
        <f>IFERROR(__xludf.DUMMYFUNCTION("IFERROR(
  INDEX(
    FILTER(
      Transcription!$AJ:$AJ,
      TRIM(CLEAN(TEXT(Transcription!$F:$F, ""@""))) = TRIM(CLEAN(TEXT($D226, ""@""))),
      Transcription!$AO:$AO = 6
    ),
    1
  ),
  ""Not Found""
)
"),"Not Found")</f>
        <v>Not Found</v>
      </c>
      <c r="Z226" s="10">
        <f t="shared" si="1"/>
        <v>3</v>
      </c>
      <c r="AA226" s="10">
        <f t="shared" si="2"/>
        <v>0</v>
      </c>
    </row>
    <row r="227">
      <c r="A227" s="8" t="str">
        <f>VLOOKUP($D227,Sheet6!$B:$G,5,FALSE)</f>
        <v>khanpur</v>
      </c>
      <c r="B227" s="232" t="str">
        <f>VLOOKUP($D227,Sheet6!$B:$G,4,FALSE)</f>
        <v>Control</v>
      </c>
      <c r="C227" s="8">
        <v>2.0</v>
      </c>
      <c r="D227" s="8" t="s">
        <v>4665</v>
      </c>
      <c r="E22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TRIM(CLEAN(TEXT($D227, ""@""))),
      IMPORTRANGE(""https://docs.google.com/spreadsheets/d/1DccNxjBgurEr0ABkI_"&amp;"rBagJT5phB5HaHG5N_mTm_BiA/edit?gid=1382299152#gid=1382299152"", ""Form responses 1!$Z:$Z"") = 1
    ),
    1
  ),
  ""Not Found""
)
"),"https://drive.google.com/open?id=1vD_pDtT167ixCPI8fzxYa2ERWBIpET1O")</f>
        <v>https://drive.google.com/open?id=1vD_pDtT167ixCPI8fzxYa2ERWBIpET1O</v>
      </c>
      <c r="F2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1!$E:$E"")=$D227) *
        (IMPORTRANGE(""https://docs.google.com/spreadsheets/d/161aHT6vVT3SLneTKD19N5qVWtnj_jIT8CSsOmUVKmaA"&amp;"/edit?gid=1761053510"",
          ""Haris_Form responses 1!$AQ:$AQ"")=1)
      ),
      1
    ),
    ""0""
  ),
  ""Form not found""
)
"),"1")</f>
        <v>1</v>
      </c>
      <c r="G227" s="245" t="str">
        <f>IFERROR(__xludf.DUMMYFUNCTION("IFERROR(
  INDEX(
    FILTER(
      Transcription!$AJ:$AJ,
      TRIM(CLEAN(TEXT(Transcription!$F:$F, ""@""))) = TRIM(CLEAN(TEXT($D227, ""@""))),
      Transcription!$AO:$AO = 1
    ),
    1
  ),
  ""Not Found""
)
"),"https://drive.google.com/open?id=1GkTi7ESDyMsm-4vwTQgErQrupCDyV1Jz7tRVgAs918U")</f>
        <v>https://drive.google.com/open?id=1GkTi7ESDyMsm-4vwTQgErQrupCDyV1Jz7tRVgAs918U</v>
      </c>
      <c r="H22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TRIM(CLEAN(TEXT($D227, ""@""))),
      IMPORTRANGE(""https://docs.google.com/spreadsheets/d/1DccNxjBgurEr0ABkI_"&amp;"rBagJT5phB5HaHG5N_mTm_BiA/edit?gid=1382299152#gid=1382299152"", ""Form responses 1!$Z:$Z"") = 2
    ),
    1
  ),
  ""Not Found""
)
"),"Not Found")</f>
        <v>Not Found</v>
      </c>
      <c r="I2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1!$E:$E"")=$D227) *
        (IMPORTRANGE(""https://docs.google.com/spreadsheets/d/161aHT6vVT3SLneTKD19N5qVWtnj_jIT8CSsOmUVKmaA"&amp;"/edit?gid=1761053510"",
          ""Haris_Form responses 1!$AQ:$AQ"")=2)
      ),
      1
    ),
    ""0""
  ),
  ""Form not found""
)
"),"Form not found")</f>
        <v>Form not found</v>
      </c>
      <c r="J227" s="247" t="str">
        <f>IFERROR(__xludf.DUMMYFUNCTION("IFERROR(
  INDEX(
    FILTER(
      Transcription!$AJ:$AJ,
      TRIM(CLEAN(TEXT(Transcription!$F:$F, ""@""))) = TRIM(CLEAN(TEXT($D227, ""@""))),
      Transcription!$AO:$AO = 2
    ),
    1
  ),
  ""Not Found""
)
"),"Not Found")</f>
        <v>Not Found</v>
      </c>
      <c r="K22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TRIM(CLEAN(TEXT($D227, ""@""))),
      IMPORTRANGE(""https://docs.google.com/spreadsheets/d/1DccNxjBgurEr0ABkI_"&amp;"rBagJT5phB5HaHG5N_mTm_BiA/edit?gid=1382299152#gid=1382299152"", ""Form responses 1!$Z:$Z"") = 3
    ),
    1
  ),
  ""Not Found""
)
"),"https://drive.google.com/open?id=1PjtF5c3UIyl_r0ylmjkov0AiQlj5jn57")</f>
        <v>https://drive.google.com/open?id=1PjtF5c3UIyl_r0ylmjkov0AiQlj5jn57</v>
      </c>
      <c r="L2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1!$E:$E"")=$D227) *
        (IMPORTRANGE(""https://docs.google.com/spreadsheets/d/161aHT6vVT3SLneTKD19N5qVWtnj_jIT8CSsOmUVKmaA"&amp;"/edit?gid=1761053510"",
          ""Haris_Form responses 1!$AQ:$AQ"")=3)
      ),
      1
    ),
    ""0""
  ),
  ""Form not found""
)
"),"3")</f>
        <v>3</v>
      </c>
      <c r="M227" s="245" t="str">
        <f>IFERROR(__xludf.DUMMYFUNCTION("IFERROR(
  INDEX(
    FILTER(
      Transcription!$AJ:$AJ,
      TRIM(CLEAN(TEXT(Transcription!$F:$F, ""@""))) = TRIM(CLEAN(TEXT($D227, ""@""))),
      Transcription!$AO:$AO = 3
    ),
    1
  ),
  ""Not Found""
)
"),"https://drive.google.com/open?id=1r1rAIuOF_u6lWhr_6tAYOtMyiaVFf4Qt")</f>
        <v>https://drive.google.com/open?id=1r1rAIuOF_u6lWhr_6tAYOtMyiaVFf4Qt</v>
      </c>
      <c r="N22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TRIM(CLEAN(TEXT($D227, ""@""))),
      IMPORTRANGE(""https://docs.google.com/spreadsheets/d/1DccNxjBgurEr0ABkI_"&amp;"rBagJT5phB5HaHG5N_mTm_BiA/edit?gid=1382299152#gid=1382299152"", ""Form responses 1!$Z:$Z"") = 4
    ),
    1
  ),
  ""Not Found""
)
"),"Not Found")</f>
        <v>Not Found</v>
      </c>
      <c r="O2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1!$E:$E"")=$D227) *
        (IMPORTRANGE(""https://docs.google.com/spreadsheets/d/161aHT6vVT3SLneTKD19N5qVWtnj_jIT8CSsOmUVKmaA"&amp;"/edit?gid=1761053510"",
          ""Haris_Form responses 1!$AQ:$AQ"")=4)
      ),
      1
    ),
    ""0""
  ),
  ""Form not found""
)
"),"Form not found")</f>
        <v>Form not found</v>
      </c>
      <c r="P227" s="247" t="str">
        <f>IFERROR(__xludf.DUMMYFUNCTION("IFERROR(
  INDEX(
    FILTER(
      Transcription!$AJ:$AJ,
      TRIM(CLEAN(TEXT(Transcription!$F:$F, ""@""))) = TRIM(CLEAN(TEXT($D227, ""@""))),
      Transcription!$AO:$AO = 4
    ),
    1
  ),
  ""Not Found""
)
"),"Not Found")</f>
        <v>Not Found</v>
      </c>
      <c r="Q22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TRIM(CLEAN(TEXT($D227, ""@""))),
      IMPORTRANGE(""https://docs.google.com/spreadsheets/d/1DccNxjBgurEr0ABkI_"&amp;"rBagJT5phB5HaHG5N_mTm_BiA/edit?gid=1382299152#gid=1382299152"", ""Form responses 1!$Z:$Z"") = 5
    ),
    1
  ),
  ""Not Found""
)
"),"Not Found")</f>
        <v>Not Found</v>
      </c>
      <c r="R2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1!$E:$E"")=$D227) *
        (IMPORTRANGE(""https://docs.google.com/spreadsheets/d/161aHT6vVT3SLneTKD19N5qVWtnj_jIT8CSsOmUVKmaA"&amp;"/edit?gid=1761053510"",
          ""Haris_Form responses 1!$AQ:$AQ"")=5)
      ),
      1
    ),
    ""0""
  ),
  ""Form not found""
)
"),"Form not found")</f>
        <v>Form not found</v>
      </c>
      <c r="S227" s="247" t="str">
        <f>IFERROR(__xludf.DUMMYFUNCTION("IFERROR(
  INDEX(
    FILTER(
      Transcription!$AJ:$AJ,
      TRIM(CLEAN(TEXT(Transcription!$F:$F, ""@""))) = TRIM(CLEAN(TEXT($D227, ""@""))),
      Transcription!$AO:$AO = 5
    ),
    1
  ),
  ""Not Found""
)
"),"Not Found")</f>
        <v>Not Found</v>
      </c>
      <c r="T22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TRIM(CLEAN(TEXT($D227, ""@""))),
      IMPORTRANGE(""https://docs.google.com/spreadsheets/d/1DccNxjBgurEr0ABkI_"&amp;"rBagJT5phB5HaHG5N_mTm_BiA/edit?gid=1382299152#gid=1382299152"", ""Form responses 1!$Z:$Z"") = 6
    ),
    1
  ),
  ""Not Found""
)
"),"Not Found")</f>
        <v>Not Found</v>
      </c>
      <c r="U22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1!$E:$E"")=$D227) *
        (IMPORTRANGE(""https://docs.google.com/spreadsheets/d/161aHT6vVT3SLneTKD19N5qVWtnj_jIT8CSsOmUVKmaA"&amp;"/edit?gid=1761053510"",
          ""Haris_Form responses 1!$AQ:$AQ"")=6)
      ),
      1
    ),
    ""0""
  ),
  ""Form not found""
)
"),"Form not found")</f>
        <v>Form not found</v>
      </c>
      <c r="V227" s="247" t="str">
        <f>IFERROR(__xludf.DUMMYFUNCTION("IFERROR(
  INDEX(
    FILTER(
      Transcription!$AJ:$AJ,
      TRIM(CLEAN(TEXT(Transcription!$F:$F, ""@""))) = TRIM(CLEAN(TEXT($D227, ""@""))),
      Transcription!$AO:$AO = 6
    ),
    1
  ),
  ""Not Found""
)
"),"Not Found")</f>
        <v>Not Found</v>
      </c>
      <c r="Z227" s="10">
        <f t="shared" si="1"/>
        <v>2</v>
      </c>
      <c r="AA227" s="10">
        <f t="shared" si="2"/>
        <v>0</v>
      </c>
    </row>
    <row r="228">
      <c r="A228" s="8" t="str">
        <f>VLOOKUP($D228,Sheet6!$B:$G,5,FALSE)</f>
        <v>khanpur</v>
      </c>
      <c r="B228" s="232" t="str">
        <f>VLOOKUP($D228,Sheet6!$B:$G,4,FALSE)</f>
        <v>Women Secular Info Share</v>
      </c>
      <c r="C228" s="8">
        <v>3.0</v>
      </c>
      <c r="D228" s="8" t="s">
        <v>4666</v>
      </c>
      <c r="E22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TRIM(CLEAN(TEXT($D228, ""@""))),
      IMPORTRANGE(""https://docs.google.com/spreadsheets/d/1DccNxjBgurEr0ABkI_"&amp;"rBagJT5phB5HaHG5N_mTm_BiA/edit?gid=1382299152#gid=1382299152"", ""Form responses 1!$Z:$Z"") = 1
    ),
    1
  ),
  ""Not Found""
)
"),"https://drive.google.com/open?id=1NgGffKDwBfZBYffODnUVH_hwCUoeWp8q")</f>
        <v>https://drive.google.com/open?id=1NgGffKDwBfZBYffODnUVH_hwCUoeWp8q</v>
      </c>
      <c r="F2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1!$E:$E"")=$D228) *
        (IMPORTRANGE(""https://docs.google.com/spreadsheets/d/161aHT6vVT3SLneTKD19N5qVWtnj_jIT8CSsOmUVKmaA"&amp;"/edit?gid=1761053510"",
          ""Haris_Form responses 1!$AQ:$AQ"")=1)
      ),
      1
    ),
    ""0""
  ),
  ""Form not found""
)
"),"1")</f>
        <v>1</v>
      </c>
      <c r="G228" s="245" t="str">
        <f>IFERROR(__xludf.DUMMYFUNCTION("IFERROR(
  INDEX(
    FILTER(
      Transcription!$AJ:$AJ,
      TRIM(CLEAN(TEXT(Transcription!$F:$F, ""@""))) = TRIM(CLEAN(TEXT($D228, ""@""))),
      Transcription!$AO:$AO = 1
    ),
    1
  ),
  ""Not Found""
)
"),"https://drive.google.com/open?id=1XtxVVy1SoN5sKHmWsw2llrKY7cuPHNe3o61m8HPMA7k")</f>
        <v>https://drive.google.com/open?id=1XtxVVy1SoN5sKHmWsw2llrKY7cuPHNe3o61m8HPMA7k</v>
      </c>
      <c r="H22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TRIM(CLEAN(TEXT($D228, ""@""))),
      IMPORTRANGE(""https://docs.google.com/spreadsheets/d/1DccNxjBgurEr0ABkI_"&amp;"rBagJT5phB5HaHG5N_mTm_BiA/edit?gid=1382299152#gid=1382299152"", ""Form responses 1!$Z:$Z"") = 2
    ),
    1
  ),
  ""Not Found""
)
"),"https://drive.google.com/open?id=1QlIX3s8jifcDW6p4L7gBLu39-XIzTqIt")</f>
        <v>https://drive.google.com/open?id=1QlIX3s8jifcDW6p4L7gBLu39-XIzTqIt</v>
      </c>
      <c r="I2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1!$E:$E"")=$D228) *
        (IMPORTRANGE(""https://docs.google.com/spreadsheets/d/161aHT6vVT3SLneTKD19N5qVWtnj_jIT8CSsOmUVKmaA"&amp;"/edit?gid=1761053510"",
          ""Haris_Form responses 1!$AQ:$AQ"")=2)
      ),
      1
    ),
    ""0""
  ),
  ""Form not found""
)
"),"2")</f>
        <v>2</v>
      </c>
      <c r="J228" s="245" t="str">
        <f>IFERROR(__xludf.DUMMYFUNCTION("IFERROR(
  INDEX(
    FILTER(
      Transcription!$AJ:$AJ,
      TRIM(CLEAN(TEXT(Transcription!$F:$F, ""@""))) = TRIM(CLEAN(TEXT($D228, ""@""))),
      Transcription!$AO:$AO = 2
    ),
    1
  ),
  ""Not Found""
)
"),"https://drive.google.com/open?id=1EelOyXk_-bGQWrwGcQbS-wzY9aMLd5I6CcSE4Kf5kyM")</f>
        <v>https://drive.google.com/open?id=1EelOyXk_-bGQWrwGcQbS-wzY9aMLd5I6CcSE4Kf5kyM</v>
      </c>
      <c r="K22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TRIM(CLEAN(TEXT($D228, ""@""))),
      IMPORTRANGE(""https://docs.google.com/spreadsheets/d/1DccNxjBgurEr0ABkI_"&amp;"rBagJT5phB5HaHG5N_mTm_BiA/edit?gid=1382299152#gid=1382299152"", ""Form responses 1!$Z:$Z"") = 3
    ),
    1
  ),
  ""Not Found""
)
"),"https://drive.google.com/open?id=19IY6j8Vv3B-D5PYOLcbtE9L81yiUH5BE")</f>
        <v>https://drive.google.com/open?id=19IY6j8Vv3B-D5PYOLcbtE9L81yiUH5BE</v>
      </c>
      <c r="L2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1!$E:$E"")=$D228) *
        (IMPORTRANGE(""https://docs.google.com/spreadsheets/d/161aHT6vVT3SLneTKD19N5qVWtnj_jIT8CSsOmUVKmaA"&amp;"/edit?gid=1761053510"",
          ""Haris_Form responses 1!$AQ:$AQ"")=3)
      ),
      1
    ),
    ""0""
  ),
  ""Form not found""
)
"),"3")</f>
        <v>3</v>
      </c>
      <c r="M228" s="245" t="str">
        <f>IFERROR(__xludf.DUMMYFUNCTION("IFERROR(
  INDEX(
    FILTER(
      Transcription!$AJ:$AJ,
      TRIM(CLEAN(TEXT(Transcription!$F:$F, ""@""))) = TRIM(CLEAN(TEXT($D228, ""@""))),
      Transcription!$AO:$AO = 3
    ),
    1
  ),
  ""Not Found""
)
"),"https://drive.google.com/open?id=1Ybxm8csoNsZrUfpEYgOPUGBX0DJFOAmQe8LbzvoCN3k")</f>
        <v>https://drive.google.com/open?id=1Ybxm8csoNsZrUfpEYgOPUGBX0DJFOAmQe8LbzvoCN3k</v>
      </c>
      <c r="N22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TRIM(CLEAN(TEXT($D228, ""@""))),
      IMPORTRANGE(""https://docs.google.com/spreadsheets/d/1DccNxjBgurEr0ABkI_"&amp;"rBagJT5phB5HaHG5N_mTm_BiA/edit?gid=1382299152#gid=1382299152"", ""Form responses 1!$Z:$Z"") = 4
    ),
    1
  ),
  ""Not Found""
)
"),"Not Found")</f>
        <v>Not Found</v>
      </c>
      <c r="O2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1!$E:$E"")=$D228) *
        (IMPORTRANGE(""https://docs.google.com/spreadsheets/d/161aHT6vVT3SLneTKD19N5qVWtnj_jIT8CSsOmUVKmaA"&amp;"/edit?gid=1761053510"",
          ""Haris_Form responses 1!$AQ:$AQ"")=4)
      ),
      1
    ),
    ""0""
  ),
  ""Form not found""
)
"),"Form not found")</f>
        <v>Form not found</v>
      </c>
      <c r="P228" s="247" t="str">
        <f>IFERROR(__xludf.DUMMYFUNCTION("IFERROR(
  INDEX(
    FILTER(
      Transcription!$AJ:$AJ,
      TRIM(CLEAN(TEXT(Transcription!$F:$F, ""@""))) = TRIM(CLEAN(TEXT($D228, ""@""))),
      Transcription!$AO:$AO = 4
    ),
    1
  ),
  ""Not Found""
)
"),"Not Found")</f>
        <v>Not Found</v>
      </c>
      <c r="Q22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TRIM(CLEAN(TEXT($D228, ""@""))),
      IMPORTRANGE(""https://docs.google.com/spreadsheets/d/1DccNxjBgurEr0ABkI_"&amp;"rBagJT5phB5HaHG5N_mTm_BiA/edit?gid=1382299152#gid=1382299152"", ""Form responses 1!$Z:$Z"") = 5
    ),
    1
  ),
  ""Not Found""
)
"),"Not Found")</f>
        <v>Not Found</v>
      </c>
      <c r="R2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1!$E:$E"")=$D228) *
        (IMPORTRANGE(""https://docs.google.com/spreadsheets/d/161aHT6vVT3SLneTKD19N5qVWtnj_jIT8CSsOmUVKmaA"&amp;"/edit?gid=1761053510"",
          ""Haris_Form responses 1!$AQ:$AQ"")=5)
      ),
      1
    ),
    ""0""
  ),
  ""Form not found""
)
"),"Form not found")</f>
        <v>Form not found</v>
      </c>
      <c r="S228" s="247" t="str">
        <f>IFERROR(__xludf.DUMMYFUNCTION("IFERROR(
  INDEX(
    FILTER(
      Transcription!$AJ:$AJ,
      TRIM(CLEAN(TEXT(Transcription!$F:$F, ""@""))) = TRIM(CLEAN(TEXT($D228, ""@""))),
      Transcription!$AO:$AO = 5
    ),
    1
  ),
  ""Not Found""
)
"),"Not Found")</f>
        <v>Not Found</v>
      </c>
      <c r="T22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TRIM(CLEAN(TEXT($D228, ""@""))),
      IMPORTRANGE(""https://docs.google.com/spreadsheets/d/1DccNxjBgurEr0ABkI_"&amp;"rBagJT5phB5HaHG5N_mTm_BiA/edit?gid=1382299152#gid=1382299152"", ""Form responses 1!$Z:$Z"") = 6
    ),
    1
  ),
  ""Not Found""
)
"),"Not Found")</f>
        <v>Not Found</v>
      </c>
      <c r="U22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1!$E:$E"")=$D228) *
        (IMPORTRANGE(""https://docs.google.com/spreadsheets/d/161aHT6vVT3SLneTKD19N5qVWtnj_jIT8CSsOmUVKmaA"&amp;"/edit?gid=1761053510"",
          ""Haris_Form responses 1!$AQ:$AQ"")=6)
      ),
      1
    ),
    ""0""
  ),
  ""Form not found""
)
"),"Form not found")</f>
        <v>Form not found</v>
      </c>
      <c r="V228" s="247" t="str">
        <f>IFERROR(__xludf.DUMMYFUNCTION("IFERROR(
  INDEX(
    FILTER(
      Transcription!$AJ:$AJ,
      TRIM(CLEAN(TEXT(Transcription!$F:$F, ""@""))) = TRIM(CLEAN(TEXT($D228, ""@""))),
      Transcription!$AO:$AO = 6
    ),
    1
  ),
  ""Not Found""
)
"),"Not Found")</f>
        <v>Not Found</v>
      </c>
      <c r="Z228" s="10">
        <f t="shared" si="1"/>
        <v>3</v>
      </c>
      <c r="AA228" s="10">
        <f t="shared" si="2"/>
        <v>0</v>
      </c>
    </row>
    <row r="229">
      <c r="A229" s="8" t="str">
        <f>VLOOKUP($D229,Sheet6!$B:$G,5,FALSE)</f>
        <v>Burewala</v>
      </c>
      <c r="B229" s="232" t="str">
        <f>VLOOKUP($D229,Sheet6!$B:$G,4,FALSE)</f>
        <v>Women Religious No Info Share</v>
      </c>
      <c r="C229" s="8">
        <v>3.0</v>
      </c>
      <c r="D229" s="8" t="s">
        <v>4667</v>
      </c>
      <c r="E22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TRIM(CLEAN(TEXT($D229, ""@""))),
      IMPORTRANGE(""https://docs.google.com/spreadsheets/d/1DccNxjBgurEr0ABkI_"&amp;"rBagJT5phB5HaHG5N_mTm_BiA/edit?gid=1382299152#gid=1382299152"", ""Form responses 1!$Z:$Z"") = 1
    ),
    1
  ),
  ""Not Found""
)
"),"https://drive.google.com/open?id=1E7qcQWcI-PvvH9GkWtmdtX3bTKAwvacy")</f>
        <v>https://drive.google.com/open?id=1E7qcQWcI-PvvH9GkWtmdtX3bTKAwvacy</v>
      </c>
      <c r="F2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1!$E:$E"")=$D229) *
        (IMPORTRANGE(""https://docs.google.com/spreadsheets/d/161aHT6vVT3SLneTKD19N5qVWtnj_jIT8CSsOmUVKmaA"&amp;"/edit?gid=1761053510"",
          ""Haris_Form responses 1!$AQ:$AQ"")=1)
      ),
      1
    ),
    ""0""
  ),
  ""Form not found""
)
"),"1")</f>
        <v>1</v>
      </c>
      <c r="G229" s="245" t="str">
        <f>IFERROR(__xludf.DUMMYFUNCTION("IFERROR(
  INDEX(
    FILTER(
      Transcription!$AJ:$AJ,
      TRIM(CLEAN(TEXT(Transcription!$F:$F, ""@""))) = TRIM(CLEAN(TEXT($D229, ""@""))),
      Transcription!$AO:$AO = 1
    ),
    1
  ),
  ""Not Found""
)
"),"https://drive.google.com/open?id=18u5Ho5nW49TRSlUScMWlxpXFkqtUmUOoeWwZGRQ0Vas")</f>
        <v>https://drive.google.com/open?id=18u5Ho5nW49TRSlUScMWlxpXFkqtUmUOoeWwZGRQ0Vas</v>
      </c>
      <c r="H22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TRIM(CLEAN(TEXT($D229, ""@""))),
      IMPORTRANGE(""https://docs.google.com/spreadsheets/d/1DccNxjBgurEr0ABkI_"&amp;"rBagJT5phB5HaHG5N_mTm_BiA/edit?gid=1382299152#gid=1382299152"", ""Form responses 1!$Z:$Z"") = 2
    ),
    1
  ),
  ""Not Found""
)
"),"https://drive.google.com/open?id=1MIYOQXIDEoS8STU6BjLKo8XE5WiiCN8W")</f>
        <v>https://drive.google.com/open?id=1MIYOQXIDEoS8STU6BjLKo8XE5WiiCN8W</v>
      </c>
      <c r="I2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1!$E:$E"")=$D229) *
        (IMPORTRANGE(""https://docs.google.com/spreadsheets/d/161aHT6vVT3SLneTKD19N5qVWtnj_jIT8CSsOmUVKmaA"&amp;"/edit?gid=1761053510"",
          ""Haris_Form responses 1!$AQ:$AQ"")=2)
      ),
      1
    ),
    ""0""
  ),
  ""Form not found""
)
"),"2")</f>
        <v>2</v>
      </c>
      <c r="J229" s="245" t="str">
        <f>IFERROR(__xludf.DUMMYFUNCTION("IFERROR(
  INDEX(
    FILTER(
      Transcription!$AJ:$AJ,
      TRIM(CLEAN(TEXT(Transcription!$F:$F, ""@""))) = TRIM(CLEAN(TEXT($D229, ""@""))),
      Transcription!$AO:$AO = 2
    ),
    1
  ),
  ""Not Found""
)
"),"https://drive.google.com/open?id=1Ql-G1Ugl1DufFPxCI-wvbxXEUzt288YWYgMxb9MHppg")</f>
        <v>https://drive.google.com/open?id=1Ql-G1Ugl1DufFPxCI-wvbxXEUzt288YWYgMxb9MHppg</v>
      </c>
      <c r="K22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TRIM(CLEAN(TEXT($D229, ""@""))),
      IMPORTRANGE(""https://docs.google.com/spreadsheets/d/1DccNxjBgurEr0ABkI_"&amp;"rBagJT5phB5HaHG5N_mTm_BiA/edit?gid=1382299152#gid=1382299152"", ""Form responses 1!$Z:$Z"") = 3
    ),
    1
  ),
  ""Not Found""
)
"),"https://drive.google.com/open?id=1EK_rMaFOYia6dZE0_XoS6hbs_Yvyzw5w")</f>
        <v>https://drive.google.com/open?id=1EK_rMaFOYia6dZE0_XoS6hbs_Yvyzw5w</v>
      </c>
      <c r="L2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1!$E:$E"")=$D229) *
        (IMPORTRANGE(""https://docs.google.com/spreadsheets/d/161aHT6vVT3SLneTKD19N5qVWtnj_jIT8CSsOmUVKmaA"&amp;"/edit?gid=1761053510"",
          ""Haris_Form responses 1!$AQ:$AQ"")=3)
      ),
      1
    ),
    ""0""
  ),
  ""Form not found""
)
"),"3")</f>
        <v>3</v>
      </c>
      <c r="M229" s="245" t="str">
        <f>IFERROR(__xludf.DUMMYFUNCTION("IFERROR(
  INDEX(
    FILTER(
      Transcription!$AJ:$AJ,
      TRIM(CLEAN(TEXT(Transcription!$F:$F, ""@""))) = TRIM(CLEAN(TEXT($D229, ""@""))),
      Transcription!$AO:$AO = 3
    ),
    1
  ),
  ""Not Found""
)
"),"https://drive.google.com/open?id=1CUhGtOSP_xP29vzgom-ptaIjLCcyAtQG")</f>
        <v>https://drive.google.com/open?id=1CUhGtOSP_xP29vzgom-ptaIjLCcyAtQG</v>
      </c>
      <c r="N22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TRIM(CLEAN(TEXT($D229, ""@""))),
      IMPORTRANGE(""https://docs.google.com/spreadsheets/d/1DccNxjBgurEr0ABkI_"&amp;"rBagJT5phB5HaHG5N_mTm_BiA/edit?gid=1382299152#gid=1382299152"", ""Form responses 1!$Z:$Z"") = 4
    ),
    1
  ),
  ""Not Found""
)
"),"Not Found")</f>
        <v>Not Found</v>
      </c>
      <c r="O2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1!$E:$E"")=$D229) *
        (IMPORTRANGE(""https://docs.google.com/spreadsheets/d/161aHT6vVT3SLneTKD19N5qVWtnj_jIT8CSsOmUVKmaA"&amp;"/edit?gid=1761053510"",
          ""Haris_Form responses 1!$AQ:$AQ"")=4)
      ),
      1
    ),
    ""0""
  ),
  ""Form not found""
)
"),"Form not found")</f>
        <v>Form not found</v>
      </c>
      <c r="P229" s="247" t="str">
        <f>IFERROR(__xludf.DUMMYFUNCTION("IFERROR(
  INDEX(
    FILTER(
      Transcription!$AJ:$AJ,
      TRIM(CLEAN(TEXT(Transcription!$F:$F, ""@""))) = TRIM(CLEAN(TEXT($D229, ""@""))),
      Transcription!$AO:$AO = 4
    ),
    1
  ),
  ""Not Found""
)
"),"Not Found")</f>
        <v>Not Found</v>
      </c>
      <c r="Q22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TRIM(CLEAN(TEXT($D229, ""@""))),
      IMPORTRANGE(""https://docs.google.com/spreadsheets/d/1DccNxjBgurEr0ABkI_"&amp;"rBagJT5phB5HaHG5N_mTm_BiA/edit?gid=1382299152#gid=1382299152"", ""Form responses 1!$Z:$Z"") = 5
    ),
    1
  ),
  ""Not Found""
)
"),"Not Found")</f>
        <v>Not Found</v>
      </c>
      <c r="R2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1!$E:$E"")=$D229) *
        (IMPORTRANGE(""https://docs.google.com/spreadsheets/d/161aHT6vVT3SLneTKD19N5qVWtnj_jIT8CSsOmUVKmaA"&amp;"/edit?gid=1761053510"",
          ""Haris_Form responses 1!$AQ:$AQ"")=5)
      ),
      1
    ),
    ""0""
  ),
  ""Form not found""
)
"),"Form not found")</f>
        <v>Form not found</v>
      </c>
      <c r="S229" s="247" t="str">
        <f>IFERROR(__xludf.DUMMYFUNCTION("IFERROR(
  INDEX(
    FILTER(
      Transcription!$AJ:$AJ,
      TRIM(CLEAN(TEXT(Transcription!$F:$F, ""@""))) = TRIM(CLEAN(TEXT($D229, ""@""))),
      Transcription!$AO:$AO = 5
    ),
    1
  ),
  ""Not Found""
)
"),"Not Found")</f>
        <v>Not Found</v>
      </c>
      <c r="T22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TRIM(CLEAN(TEXT($D229, ""@""))),
      IMPORTRANGE(""https://docs.google.com/spreadsheets/d/1DccNxjBgurEr0ABkI_"&amp;"rBagJT5phB5HaHG5N_mTm_BiA/edit?gid=1382299152#gid=1382299152"", ""Form responses 1!$Z:$Z"") = 6
    ),
    1
  ),
  ""Not Found""
)
"),"Not Found")</f>
        <v>Not Found</v>
      </c>
      <c r="U22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1!$E:$E"")=$D229) *
        (IMPORTRANGE(""https://docs.google.com/spreadsheets/d/161aHT6vVT3SLneTKD19N5qVWtnj_jIT8CSsOmUVKmaA"&amp;"/edit?gid=1761053510"",
          ""Haris_Form responses 1!$AQ:$AQ"")=6)
      ),
      1
    ),
    ""0""
  ),
  ""Form not found""
)
"),"Form not found")</f>
        <v>Form not found</v>
      </c>
      <c r="V229" s="247" t="str">
        <f>IFERROR(__xludf.DUMMYFUNCTION("IFERROR(
  INDEX(
    FILTER(
      Transcription!$AJ:$AJ,
      TRIM(CLEAN(TEXT(Transcription!$F:$F, ""@""))) = TRIM(CLEAN(TEXT($D229, ""@""))),
      Transcription!$AO:$AO = 6
    ),
    1
  ),
  ""Not Found""
)
"),"Not Found")</f>
        <v>Not Found</v>
      </c>
      <c r="W229" s="8" t="s">
        <v>4668</v>
      </c>
      <c r="Z229" s="10">
        <f t="shared" si="1"/>
        <v>3</v>
      </c>
      <c r="AA229" s="10">
        <f t="shared" si="2"/>
        <v>0</v>
      </c>
    </row>
    <row r="230">
      <c r="A230" s="8" t="str">
        <f>VLOOKUP($D230,Sheet6!$B:$G,5,FALSE)</f>
        <v>Burewala</v>
      </c>
      <c r="B230" s="232" t="str">
        <f>VLOOKUP($D230,Sheet6!$B:$G,4,FALSE)</f>
        <v>Women Religious No Info Share</v>
      </c>
      <c r="C230" s="8">
        <v>5.0</v>
      </c>
      <c r="D230" s="8" t="s">
        <v>4669</v>
      </c>
      <c r="E23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TRIM(CLEAN(TEXT($D230, ""@""))),
      IMPORTRANGE(""https://docs.google.com/spreadsheets/d/1DccNxjBgurEr0ABkI_"&amp;"rBagJT5phB5HaHG5N_mTm_BiA/edit?gid=1382299152#gid=1382299152"", ""Form responses 1!$Z:$Z"") = 1
    ),
    1
  ),
  ""Not Found""
)
"),"https://drive.google.com/open?id=1miYrjSb-EOPoYc6puary-rWRlm7zdb6F")</f>
        <v>https://drive.google.com/open?id=1miYrjSb-EOPoYc6puary-rWRlm7zdb6F</v>
      </c>
      <c r="F2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1!$E:$E"")=$D230) *
        (IMPORTRANGE(""https://docs.google.com/spreadsheets/d/161aHT6vVT3SLneTKD19N5qVWtnj_jIT8CSsOmUVKmaA"&amp;"/edit?gid=1761053510"",
          ""Haris_Form responses 1!$AQ:$AQ"")=1)
      ),
      1
    ),
    ""0""
  ),
  ""Form not found""
)
"),"1")</f>
        <v>1</v>
      </c>
      <c r="G230" s="245" t="str">
        <f>IFERROR(__xludf.DUMMYFUNCTION("IFERROR(
  INDEX(
    FILTER(
      Transcription!$AJ:$AJ,
      TRIM(CLEAN(TEXT(Transcription!$F:$F, ""@""))) = TRIM(CLEAN(TEXT($D230, ""@""))),
      Transcription!$AO:$AO = 1
    ),
    1
  ),
  ""Not Found""
)
"),"https://drive.google.com/open?id=1NCzzrSfWCnU_4bnU7lEMmaUXC3TxERDDrxN-P5r37vs")</f>
        <v>https://drive.google.com/open?id=1NCzzrSfWCnU_4bnU7lEMmaUXC3TxERDDrxN-P5r37vs</v>
      </c>
      <c r="H23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TRIM(CLEAN(TEXT($D230, ""@""))),
      IMPORTRANGE(""https://docs.google.com/spreadsheets/d/1DccNxjBgurEr0ABkI_"&amp;"rBagJT5phB5HaHG5N_mTm_BiA/edit?gid=1382299152#gid=1382299152"", ""Form responses 1!$Z:$Z"") = 2
    ),
    1
  ),
  ""Not Found""
)
"),"https://drive.google.com/open?id=1eywB1eJtSerINvas357eIFgVd9XEXPXl")</f>
        <v>https://drive.google.com/open?id=1eywB1eJtSerINvas357eIFgVd9XEXPXl</v>
      </c>
      <c r="I2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1!$E:$E"")=$D230) *
        (IMPORTRANGE(""https://docs.google.com/spreadsheets/d/161aHT6vVT3SLneTKD19N5qVWtnj_jIT8CSsOmUVKmaA"&amp;"/edit?gid=1761053510"",
          ""Haris_Form responses 1!$AQ:$AQ"")=2)
      ),
      1
    ),
    ""0""
  ),
  ""Form not found""
)
"),"2")</f>
        <v>2</v>
      </c>
      <c r="J230" s="245" t="str">
        <f>IFERROR(__xludf.DUMMYFUNCTION("IFERROR(
  INDEX(
    FILTER(
      Transcription!$AJ:$AJ,
      TRIM(CLEAN(TEXT(Transcription!$F:$F, ""@""))) = TRIM(CLEAN(TEXT($D230, ""@""))),
      Transcription!$AO:$AO = 2
    ),
    1
  ),
  ""Not Found""
)
"),"https://drive.google.com/open?id=10EG_xtbKnJ6n3AqDNp-kTtkp0OxuvUztJRv-twu21Z4")</f>
        <v>https://drive.google.com/open?id=10EG_xtbKnJ6n3AqDNp-kTtkp0OxuvUztJRv-twu21Z4</v>
      </c>
      <c r="K23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TRIM(CLEAN(TEXT($D230, ""@""))),
      IMPORTRANGE(""https://docs.google.com/spreadsheets/d/1DccNxjBgurEr0ABkI_"&amp;"rBagJT5phB5HaHG5N_mTm_BiA/edit?gid=1382299152#gid=1382299152"", ""Form responses 1!$Z:$Z"") = 3
    ),
    1
  ),
  ""Not Found""
)
"),"https://drive.google.com/open?id=1tFGfAliW01rbc5LI8Mu47qmtOOTHvQJp")</f>
        <v>https://drive.google.com/open?id=1tFGfAliW01rbc5LI8Mu47qmtOOTHvQJp</v>
      </c>
      <c r="L2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1!$E:$E"")=$D230) *
        (IMPORTRANGE(""https://docs.google.com/spreadsheets/d/161aHT6vVT3SLneTKD19N5qVWtnj_jIT8CSsOmUVKmaA"&amp;"/edit?gid=1761053510"",
          ""Haris_Form responses 1!$AQ:$AQ"")=3)
      ),
      1
    ),
    ""0""
  ),
  ""Form not found""
)
"),"3")</f>
        <v>3</v>
      </c>
      <c r="M230" s="245" t="str">
        <f>IFERROR(__xludf.DUMMYFUNCTION("IFERROR(
  INDEX(
    FILTER(
      Transcription!$AJ:$AJ,
      TRIM(CLEAN(TEXT(Transcription!$F:$F, ""@""))) = TRIM(CLEAN(TEXT($D230, ""@""))),
      Transcription!$AO:$AO = 3
    ),
    1
  ),
  ""Not Found""
)
"),"https://drive.google.com/open?id=1wcMfvvwnNU70n-38v2c2ZTNGNHkry2Mh")</f>
        <v>https://drive.google.com/open?id=1wcMfvvwnNU70n-38v2c2ZTNGNHkry2Mh</v>
      </c>
      <c r="N23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TRIM(CLEAN(TEXT($D230, ""@""))),
      IMPORTRANGE(""https://docs.google.com/spreadsheets/d/1DccNxjBgurEr0ABkI_"&amp;"rBagJT5phB5HaHG5N_mTm_BiA/edit?gid=1382299152#gid=1382299152"", ""Form responses 1!$Z:$Z"") = 4
    ),
    1
  ),
  ""Not Found""
)
"),"https://drive.google.com/open?id=1ex0biaIDXceSOrhr5n7aA2m_jYFqVe9A")</f>
        <v>https://drive.google.com/open?id=1ex0biaIDXceSOrhr5n7aA2m_jYFqVe9A</v>
      </c>
      <c r="O2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1!$E:$E"")=$D230) *
        (IMPORTRANGE(""https://docs.google.com/spreadsheets/d/161aHT6vVT3SLneTKD19N5qVWtnj_jIT8CSsOmUVKmaA"&amp;"/edit?gid=1761053510"",
          ""Haris_Form responses 1!$AQ:$AQ"")=4)
      ),
      1
    ),
    ""0""
  ),
  ""Form not found""
)
"),"4")</f>
        <v>4</v>
      </c>
      <c r="P230" s="245" t="str">
        <f>IFERROR(__xludf.DUMMYFUNCTION("IFERROR(
  INDEX(
    FILTER(
      Transcription!$AJ:$AJ,
      TRIM(CLEAN(TEXT(Transcription!$F:$F, ""@""))) = TRIM(CLEAN(TEXT($D230, ""@""))),
      Transcription!$AO:$AO = 4
    ),
    1
  ),
  ""Not Found""
)
"),"https://drive.google.com/open?id=1NWFDtXCGl5-WIiFe55rxpXtLbdqiJNsx")</f>
        <v>https://drive.google.com/open?id=1NWFDtXCGl5-WIiFe55rxpXtLbdqiJNsx</v>
      </c>
      <c r="Q23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TRIM(CLEAN(TEXT($D230, ""@""))),
      IMPORTRANGE(""https://docs.google.com/spreadsheets/d/1DccNxjBgurEr0ABkI_"&amp;"rBagJT5phB5HaHG5N_mTm_BiA/edit?gid=1382299152#gid=1382299152"", ""Form responses 1!$Z:$Z"") = 5
    ),
    1
  ),
  ""Not Found""
)
"),"https://drive.google.com/open?id=1oIrik32h80TOYgO1-38ex_xiRN84cj6G")</f>
        <v>https://drive.google.com/open?id=1oIrik32h80TOYgO1-38ex_xiRN84cj6G</v>
      </c>
      <c r="R2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1!$E:$E"")=$D230) *
        (IMPORTRANGE(""https://docs.google.com/spreadsheets/d/161aHT6vVT3SLneTKD19N5qVWtnj_jIT8CSsOmUVKmaA"&amp;"/edit?gid=1761053510"",
          ""Haris_Form responses 1!$AQ:$AQ"")=5)
      ),
      1
    ),
    ""0""
  ),
  ""Form not found""
)
"),"5")</f>
        <v>5</v>
      </c>
      <c r="S230" s="245" t="str">
        <f>IFERROR(__xludf.DUMMYFUNCTION("IFERROR(
  INDEX(
    FILTER(
      Transcription!$AJ:$AJ,
      TRIM(CLEAN(TEXT(Transcription!$F:$F, ""@""))) = TRIM(CLEAN(TEXT($D230, ""@""))),
      Transcription!$AO:$AO = 5
    ),
    1
  ),
  ""Not Found""
)
"),"https://drive.google.com/open?id=1i_tXwTUVS4at-60cZwzwtd8H_zeI7gKB")</f>
        <v>https://drive.google.com/open?id=1i_tXwTUVS4at-60cZwzwtd8H_zeI7gKB</v>
      </c>
      <c r="T23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TRIM(CLEAN(TEXT($D230, ""@""))),
      IMPORTRANGE(""https://docs.google.com/spreadsheets/d/1DccNxjBgurEr0ABkI_"&amp;"rBagJT5phB5HaHG5N_mTm_BiA/edit?gid=1382299152#gid=1382299152"", ""Form responses 1!$Z:$Z"") = 6
    ),
    1
  ),
  ""Not Found""
)
"),"Not Found")</f>
        <v>Not Found</v>
      </c>
      <c r="U23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1!$E:$E"")=$D230) *
        (IMPORTRANGE(""https://docs.google.com/spreadsheets/d/161aHT6vVT3SLneTKD19N5qVWtnj_jIT8CSsOmUVKmaA"&amp;"/edit?gid=1761053510"",
          ""Haris_Form responses 1!$AQ:$AQ"")=6)
      ),
      1
    ),
    ""0""
  ),
  ""Form not found""
)
"),"Form not found")</f>
        <v>Form not found</v>
      </c>
      <c r="V230" s="247" t="str">
        <f>IFERROR(__xludf.DUMMYFUNCTION("IFERROR(
  INDEX(
    FILTER(
      Transcription!$AJ:$AJ,
      TRIM(CLEAN(TEXT(Transcription!$F:$F, ""@""))) = TRIM(CLEAN(TEXT($D230, ""@""))),
      Transcription!$AO:$AO = 6
    ),
    1
  ),
  ""Not Found""
)
"),"Not Found")</f>
        <v>Not Found</v>
      </c>
      <c r="Z230" s="10">
        <f t="shared" si="1"/>
        <v>5</v>
      </c>
      <c r="AA230" s="10">
        <f t="shared" si="2"/>
        <v>0</v>
      </c>
    </row>
    <row r="231">
      <c r="A231" s="8" t="str">
        <f>VLOOKUP($D231,Sheet6!$B:$G,5,FALSE)</f>
        <v>Burewala</v>
      </c>
      <c r="B231" s="232" t="str">
        <f>VLOOKUP($D231,Sheet6!$B:$G,4,FALSE)</f>
        <v>Control</v>
      </c>
      <c r="C231" s="8">
        <v>2.0</v>
      </c>
      <c r="D231" s="8" t="s">
        <v>4670</v>
      </c>
      <c r="E23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TRIM(CLEAN(TEXT($D231, ""@""))),
      IMPORTRANGE(""https://docs.google.com/spreadsheets/d/1DccNxjBgurEr0ABkI_"&amp;"rBagJT5phB5HaHG5N_mTm_BiA/edit?gid=1382299152#gid=1382299152"", ""Form responses 1!$Z:$Z"") = 1
    ),
    1
  ),
  ""Not Found""
)
"),"https://drive.google.com/open?id=19993VUvlHyJI9yv-6gcdoPTqN_fjIslg")</f>
        <v>https://drive.google.com/open?id=19993VUvlHyJI9yv-6gcdoPTqN_fjIslg</v>
      </c>
      <c r="F2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1!$E:$E"")=$D231) *
        (IMPORTRANGE(""https://docs.google.com/spreadsheets/d/161aHT6vVT3SLneTKD19N5qVWtnj_jIT8CSsOmUVKmaA"&amp;"/edit?gid=1761053510"",
          ""Haris_Form responses 1!$AQ:$AQ"")=1)
      ),
      1
    ),
    ""0""
  ),
  ""Form not found""
)
"),"1")</f>
        <v>1</v>
      </c>
      <c r="G231" s="245" t="str">
        <f>IFERROR(__xludf.DUMMYFUNCTION("IFERROR(
  INDEX(
    FILTER(
      Transcription!$AJ:$AJ,
      TRIM(CLEAN(TEXT(Transcription!$F:$F, ""@""))) = TRIM(CLEAN(TEXT($D231, ""@""))),
      Transcription!$AO:$AO = 1
    ),
    1
  ),
  ""Not Found""
)
"),"https://drive.google.com/open?id=1tMNWWsX7b7ZUgmOIntuHrBn57MNcJ_HaBMP16r2Jmw4")</f>
        <v>https://drive.google.com/open?id=1tMNWWsX7b7ZUgmOIntuHrBn57MNcJ_HaBMP16r2Jmw4</v>
      </c>
      <c r="H23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TRIM(CLEAN(TEXT($D231, ""@""))),
      IMPORTRANGE(""https://docs.google.com/spreadsheets/d/1DccNxjBgurEr0ABkI_"&amp;"rBagJT5phB5HaHG5N_mTm_BiA/edit?gid=1382299152#gid=1382299152"", ""Form responses 1!$Z:$Z"") = 2
    ),
    1
  ),
  ""Not Found""
)
"),"https://drive.google.com/open?id=1GPqrFrCPdA36_VK1o3m1mXL9wdsWRfos")</f>
        <v>https://drive.google.com/open?id=1GPqrFrCPdA36_VK1o3m1mXL9wdsWRfos</v>
      </c>
      <c r="I2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1!$E:$E"")=$D231) *
        (IMPORTRANGE(""https://docs.google.com/spreadsheets/d/161aHT6vVT3SLneTKD19N5qVWtnj_jIT8CSsOmUVKmaA"&amp;"/edit?gid=1761053510"",
          ""Haris_Form responses 1!$AQ:$AQ"")=2)
      ),
      1
    ),
    ""0""
  ),
  ""Form not found""
)
"),"2")</f>
        <v>2</v>
      </c>
      <c r="J231" s="245" t="str">
        <f>IFERROR(__xludf.DUMMYFUNCTION("IFERROR(
  INDEX(
    FILTER(
      Transcription!$AJ:$AJ,
      TRIM(CLEAN(TEXT(Transcription!$F:$F, ""@""))) = TRIM(CLEAN(TEXT($D231, ""@""))),
      Transcription!$AO:$AO = 2
    ),
    1
  ),
  ""Not Found""
)
"),"https://drive.google.com/open?id=1uFQdGVBKWPBBp4THYT_Fft2EMoL5XkI0")</f>
        <v>https://drive.google.com/open?id=1uFQdGVBKWPBBp4THYT_Fft2EMoL5XkI0</v>
      </c>
      <c r="K23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TRIM(CLEAN(TEXT($D231, ""@""))),
      IMPORTRANGE(""https://docs.google.com/spreadsheets/d/1DccNxjBgurEr0ABkI_"&amp;"rBagJT5phB5HaHG5N_mTm_BiA/edit?gid=1382299152#gid=1382299152"", ""Form responses 1!$Z:$Z"") = 3
    ),
    1
  ),
  ""Not Found""
)
"),"Not Found")</f>
        <v>Not Found</v>
      </c>
      <c r="L2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1!$E:$E"")=$D231) *
        (IMPORTRANGE(""https://docs.google.com/spreadsheets/d/161aHT6vVT3SLneTKD19N5qVWtnj_jIT8CSsOmUVKmaA"&amp;"/edit?gid=1761053510"",
          ""Haris_Form responses 1!$AQ:$AQ"")=3)
      ),
      1
    ),
    ""0""
  ),
  ""Form not found""
)
"),"Form not found")</f>
        <v>Form not found</v>
      </c>
      <c r="M231" s="247" t="str">
        <f>IFERROR(__xludf.DUMMYFUNCTION("IFERROR(
  INDEX(
    FILTER(
      Transcription!$AJ:$AJ,
      TRIM(CLEAN(TEXT(Transcription!$F:$F, ""@""))) = TRIM(CLEAN(TEXT($D231, ""@""))),
      Transcription!$AO:$AO = 3
    ),
    1
  ),
  ""Not Found""
)
"),"Not Found")</f>
        <v>Not Found</v>
      </c>
      <c r="N23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TRIM(CLEAN(TEXT($D231, ""@""))),
      IMPORTRANGE(""https://docs.google.com/spreadsheets/d/1DccNxjBgurEr0ABkI_"&amp;"rBagJT5phB5HaHG5N_mTm_BiA/edit?gid=1382299152#gid=1382299152"", ""Form responses 1!$Z:$Z"") = 4
    ),
    1
  ),
  ""Not Found""
)
"),"Not Found")</f>
        <v>Not Found</v>
      </c>
      <c r="O2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1!$E:$E"")=$D231) *
        (IMPORTRANGE(""https://docs.google.com/spreadsheets/d/161aHT6vVT3SLneTKD19N5qVWtnj_jIT8CSsOmUVKmaA"&amp;"/edit?gid=1761053510"",
          ""Haris_Form responses 1!$AQ:$AQ"")=4)
      ),
      1
    ),
    ""0""
  ),
  ""Form not found""
)
"),"Form not found")</f>
        <v>Form not found</v>
      </c>
      <c r="P231" s="247" t="str">
        <f>IFERROR(__xludf.DUMMYFUNCTION("IFERROR(
  INDEX(
    FILTER(
      Transcription!$AJ:$AJ,
      TRIM(CLEAN(TEXT(Transcription!$F:$F, ""@""))) = TRIM(CLEAN(TEXT($D231, ""@""))),
      Transcription!$AO:$AO = 4
    ),
    1
  ),
  ""Not Found""
)
"),"Not Found")</f>
        <v>Not Found</v>
      </c>
      <c r="Q23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TRIM(CLEAN(TEXT($D231, ""@""))),
      IMPORTRANGE(""https://docs.google.com/spreadsheets/d/1DccNxjBgurEr0ABkI_"&amp;"rBagJT5phB5HaHG5N_mTm_BiA/edit?gid=1382299152#gid=1382299152"", ""Form responses 1!$Z:$Z"") = 5
    ),
    1
  ),
  ""Not Found""
)
"),"Not Found")</f>
        <v>Not Found</v>
      </c>
      <c r="R2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1!$E:$E"")=$D231) *
        (IMPORTRANGE(""https://docs.google.com/spreadsheets/d/161aHT6vVT3SLneTKD19N5qVWtnj_jIT8CSsOmUVKmaA"&amp;"/edit?gid=1761053510"",
          ""Haris_Form responses 1!$AQ:$AQ"")=5)
      ),
      1
    ),
    ""0""
  ),
  ""Form not found""
)
"),"Form not found")</f>
        <v>Form not found</v>
      </c>
      <c r="S231" s="247" t="str">
        <f>IFERROR(__xludf.DUMMYFUNCTION("IFERROR(
  INDEX(
    FILTER(
      Transcription!$AJ:$AJ,
      TRIM(CLEAN(TEXT(Transcription!$F:$F, ""@""))) = TRIM(CLEAN(TEXT($D231, ""@""))),
      Transcription!$AO:$AO = 5
    ),
    1
  ),
  ""Not Found""
)
"),"Not Found")</f>
        <v>Not Found</v>
      </c>
      <c r="T23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TRIM(CLEAN(TEXT($D231, ""@""))),
      IMPORTRANGE(""https://docs.google.com/spreadsheets/d/1DccNxjBgurEr0ABkI_"&amp;"rBagJT5phB5HaHG5N_mTm_BiA/edit?gid=1382299152#gid=1382299152"", ""Form responses 1!$Z:$Z"") = 6
    ),
    1
  ),
  ""Not Found""
)
"),"Not Found")</f>
        <v>Not Found</v>
      </c>
      <c r="U23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1!$E:$E"")=$D231) *
        (IMPORTRANGE(""https://docs.google.com/spreadsheets/d/161aHT6vVT3SLneTKD19N5qVWtnj_jIT8CSsOmUVKmaA"&amp;"/edit?gid=1761053510"",
          ""Haris_Form responses 1!$AQ:$AQ"")=6)
      ),
      1
    ),
    ""0""
  ),
  ""Form not found""
)
"),"Form not found")</f>
        <v>Form not found</v>
      </c>
      <c r="V231" s="247" t="str">
        <f>IFERROR(__xludf.DUMMYFUNCTION("IFERROR(
  INDEX(
    FILTER(
      Transcription!$AJ:$AJ,
      TRIM(CLEAN(TEXT(Transcription!$F:$F, ""@""))) = TRIM(CLEAN(TEXT($D231, ""@""))),
      Transcription!$AO:$AO = 6
    ),
    1
  ),
  ""Not Found""
)
"),"Not Found")</f>
        <v>Not Found</v>
      </c>
      <c r="Z231" s="10">
        <f t="shared" si="1"/>
        <v>2</v>
      </c>
      <c r="AA231" s="10">
        <f t="shared" si="2"/>
        <v>0</v>
      </c>
    </row>
    <row r="232">
      <c r="A232" s="8" t="str">
        <f>VLOOKUP($D232,Sheet6!$B:$G,5,FALSE)</f>
        <v>Burewala</v>
      </c>
      <c r="B232" s="232" t="str">
        <f>VLOOKUP($D232,Sheet6!$B:$G,4,FALSE)</f>
        <v>Community Secular Info Share</v>
      </c>
      <c r="C232" s="8">
        <v>5.0</v>
      </c>
      <c r="D232" s="8" t="s">
        <v>3762</v>
      </c>
      <c r="E23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TRIM(CLEAN(TEXT($D232, ""@""))),
      IMPORTRANGE(""https://docs.google.com/spreadsheets/d/1DccNxjBgurEr0ABkI_"&amp;"rBagJT5phB5HaHG5N_mTm_BiA/edit?gid=1382299152#gid=1382299152"", ""Form responses 1!$Z:$Z"") = 1
    ),
    1
  ),
  ""Not Found""
)
"),"Not Found")</f>
        <v>Not Found</v>
      </c>
      <c r="F2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1!$E:$E"")=$D232) *
        (IMPORTRANGE(""https://docs.google.com/spreadsheets/d/161aHT6vVT3SLneTKD19N5qVWtnj_jIT8CSsOmUVKmaA"&amp;"/edit?gid=1761053510"",
          ""Haris_Form responses 1!$AQ:$AQ"")=1)
      ),
      1
    ),
    ""0""
  ),
  ""Form not found""
)
"),"Form not found")</f>
        <v>Form not found</v>
      </c>
      <c r="G232" s="247" t="str">
        <f>IFERROR(__xludf.DUMMYFUNCTION("IFERROR(
  INDEX(
    FILTER(
      Transcription!$AJ:$AJ,
      TRIM(CLEAN(TEXT(Transcription!$F:$F, ""@""))) = TRIM(CLEAN(TEXT($D232, ""@""))),
      Transcription!$AO:$AO = 1
    ),
    1
  ),
  ""Not Found""
)
"),"Not Found")</f>
        <v>Not Found</v>
      </c>
      <c r="H23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TRIM(CLEAN(TEXT($D232, ""@""))),
      IMPORTRANGE(""https://docs.google.com/spreadsheets/d/1DccNxjBgurEr0ABkI_"&amp;"rBagJT5phB5HaHG5N_mTm_BiA/edit?gid=1382299152#gid=1382299152"", ""Form responses 1!$Z:$Z"") = 2
    ),
    1
  ),
  ""Not Found""
)
"),"https://drive.google.com/open?id=1rS_h8jGS9QvkZpiVwS-OZZTtygDCVeFW")</f>
        <v>https://drive.google.com/open?id=1rS_h8jGS9QvkZpiVwS-OZZTtygDCVeFW</v>
      </c>
      <c r="I2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1!$E:$E"")=$D232) *
        (IMPORTRANGE(""https://docs.google.com/spreadsheets/d/161aHT6vVT3SLneTKD19N5qVWtnj_jIT8CSsOmUVKmaA"&amp;"/edit?gid=1761053510"",
          ""Haris_Form responses 1!$AQ:$AQ"")=2)
      ),
      1
    ),
    ""0""
  ),
  ""Form not found""
)
"),"2")</f>
        <v>2</v>
      </c>
      <c r="J232" s="245" t="str">
        <f>IFERROR(__xludf.DUMMYFUNCTION("IFERROR(
  INDEX(
    FILTER(
      Transcription!$AJ:$AJ,
      TRIM(CLEAN(TEXT(Transcription!$F:$F, ""@""))) = TRIM(CLEAN(TEXT($D232, ""@""))),
      Transcription!$AO:$AO = 2
    ),
    1
  ),
  ""Not Found""
)
"),"https://drive.google.com/open?id=1mjBjar_Tv8W39fa762TXWsVrniTPH3VG")</f>
        <v>https://drive.google.com/open?id=1mjBjar_Tv8W39fa762TXWsVrniTPH3VG</v>
      </c>
      <c r="K23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TRIM(CLEAN(TEXT($D232, ""@""))),
      IMPORTRANGE(""https://docs.google.com/spreadsheets/d/1DccNxjBgurEr0ABkI_"&amp;"rBagJT5phB5HaHG5N_mTm_BiA/edit?gid=1382299152#gid=1382299152"", ""Form responses 1!$Z:$Z"") = 3
    ),
    1
  ),
  ""Not Found""
)
"),"https://drive.google.com/open?id=1L8FLYwtT4JykIVINIVUZose4ujJCIs0C")</f>
        <v>https://drive.google.com/open?id=1L8FLYwtT4JykIVINIVUZose4ujJCIs0C</v>
      </c>
      <c r="L2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1!$E:$E"")=$D232) *
        (IMPORTRANGE(""https://docs.google.com/spreadsheets/d/161aHT6vVT3SLneTKD19N5qVWtnj_jIT8CSsOmUVKmaA"&amp;"/edit?gid=1761053510"",
          ""Haris_Form responses 1!$AQ:$AQ"")=3)
      ),
      1
    ),
    ""0""
  ),
  ""Form not found""
)
"),"3")</f>
        <v>3</v>
      </c>
      <c r="M232" s="245" t="str">
        <f>IFERROR(__xludf.DUMMYFUNCTION("IFERROR(
  INDEX(
    FILTER(
      Transcription!$AJ:$AJ,
      TRIM(CLEAN(TEXT(Transcription!$F:$F, ""@""))) = TRIM(CLEAN(TEXT($D232, ""@""))),
      Transcription!$AO:$AO = 3
    ),
    1
  ),
  ""Not Found""
)
"),"https://drive.google.com/open?id=1eFUigRLH0fJmjTGsVuxoWWtEPUonF22M")</f>
        <v>https://drive.google.com/open?id=1eFUigRLH0fJmjTGsVuxoWWtEPUonF22M</v>
      </c>
      <c r="N23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TRIM(CLEAN(TEXT($D232, ""@""))),
      IMPORTRANGE(""https://docs.google.com/spreadsheets/d/1DccNxjBgurEr0ABkI_"&amp;"rBagJT5phB5HaHG5N_mTm_BiA/edit?gid=1382299152#gid=1382299152"", ""Form responses 1!$Z:$Z"") = 4
    ),
    1
  ),
  ""Not Found""
)
"),"https://drive.google.com/open?id=1hpzauI11nctOtA-Rvi8qDzw04s6GtSqV")</f>
        <v>https://drive.google.com/open?id=1hpzauI11nctOtA-Rvi8qDzw04s6GtSqV</v>
      </c>
      <c r="O2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1!$E:$E"")=$D232) *
        (IMPORTRANGE(""https://docs.google.com/spreadsheets/d/161aHT6vVT3SLneTKD19N5qVWtnj_jIT8CSsOmUVKmaA"&amp;"/edit?gid=1761053510"",
          ""Haris_Form responses 1!$AQ:$AQ"")=4)
      ),
      1
    ),
    ""0""
  ),
  ""Form not found""
)
"),"4")</f>
        <v>4</v>
      </c>
      <c r="P232" s="245" t="str">
        <f>IFERROR(__xludf.DUMMYFUNCTION("IFERROR(
  INDEX(
    FILTER(
      Transcription!$AJ:$AJ,
      TRIM(CLEAN(TEXT(Transcription!$F:$F, ""@""))) = TRIM(CLEAN(TEXT($D232, ""@""))),
      Transcription!$AO:$AO = 4
    ),
    1
  ),
  ""Not Found""
)
"),"https://drive.google.com/open?id=1NWko2c6-LHbRoCKHpc63IlxeYUfQl-GF")</f>
        <v>https://drive.google.com/open?id=1NWko2c6-LHbRoCKHpc63IlxeYUfQl-GF</v>
      </c>
      <c r="Q23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TRIM(CLEAN(TEXT($D232, ""@""))),
      IMPORTRANGE(""https://docs.google.com/spreadsheets/d/1DccNxjBgurEr0ABkI_"&amp;"rBagJT5phB5HaHG5N_mTm_BiA/edit?gid=1382299152#gid=1382299152"", ""Form responses 1!$Z:$Z"") = 5
    ),
    1
  ),
  ""Not Found""
)
"),"https://drive.google.com/open?id=1jVS6FHhHzctc3kz0sNoBHtHQnmgp7LUg")</f>
        <v>https://drive.google.com/open?id=1jVS6FHhHzctc3kz0sNoBHtHQnmgp7LUg</v>
      </c>
      <c r="R2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1!$E:$E"")=$D232) *
        (IMPORTRANGE(""https://docs.google.com/spreadsheets/d/161aHT6vVT3SLneTKD19N5qVWtnj_jIT8CSsOmUVKmaA"&amp;"/edit?gid=1761053510"",
          ""Haris_Form responses 1!$AQ:$AQ"")=5)
      ),
      1
    ),
    ""0""
  ),
  ""Form not found""
)
"),"5")</f>
        <v>5</v>
      </c>
      <c r="S232" s="245" t="str">
        <f>IFERROR(__xludf.DUMMYFUNCTION("IFERROR(
  INDEX(
    FILTER(
      Transcription!$AJ:$AJ,
      TRIM(CLEAN(TEXT(Transcription!$F:$F, ""@""))) = TRIM(CLEAN(TEXT($D232, ""@""))),
      Transcription!$AO:$AO = 5
    ),
    1
  ),
  ""Not Found""
)
"),"https://drive.google.com/open?id=1lzlyMDbn9fpLwx-EiwgI4u2q7RUPGgui0jIpl_mnUdw")</f>
        <v>https://drive.google.com/open?id=1lzlyMDbn9fpLwx-EiwgI4u2q7RUPGgui0jIpl_mnUdw</v>
      </c>
      <c r="T23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TRIM(CLEAN(TEXT($D232, ""@""))),
      IMPORTRANGE(""https://docs.google.com/spreadsheets/d/1DccNxjBgurEr0ABkI_"&amp;"rBagJT5phB5HaHG5N_mTm_BiA/edit?gid=1382299152#gid=1382299152"", ""Form responses 1!$Z:$Z"") = 6
    ),
    1
  ),
  ""Not Found""
)
"),"https://drive.google.com/open?id=1xtraBZjdlq_WYNJN8H1eoBwQGs3YOI82")</f>
        <v>https://drive.google.com/open?id=1xtraBZjdlq_WYNJN8H1eoBwQGs3YOI82</v>
      </c>
      <c r="U23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1!$E:$E"")=$D232) *
        (IMPORTRANGE(""https://docs.google.com/spreadsheets/d/161aHT6vVT3SLneTKD19N5qVWtnj_jIT8CSsOmUVKmaA"&amp;"/edit?gid=1761053510"",
          ""Haris_Form responses 1!$AQ:$AQ"")=6)
      ),
      1
    ),
    ""0""
  ),
  ""Form not found""
)
"),"6")</f>
        <v>6</v>
      </c>
      <c r="V232" s="245" t="str">
        <f>IFERROR(__xludf.DUMMYFUNCTION("IFERROR(
  INDEX(
    FILTER(
      Transcription!$AJ:$AJ,
      TRIM(CLEAN(TEXT(Transcription!$F:$F, ""@""))) = TRIM(CLEAN(TEXT($D232, ""@""))),
      Transcription!$AO:$AO = 6
    ),
    1
  ),
  ""Not Found""
)
"),"https://drive.google.com/open?id=1PVEVTYpwUJhr2Wy_B-gfwbNXhGc8S3Vv")</f>
        <v>https://drive.google.com/open?id=1PVEVTYpwUJhr2Wy_B-gfwbNXhGc8S3Vv</v>
      </c>
      <c r="Z232" s="10">
        <f t="shared" si="1"/>
        <v>5</v>
      </c>
      <c r="AA232" s="10">
        <f t="shared" si="2"/>
        <v>0</v>
      </c>
    </row>
    <row r="233">
      <c r="A233" s="8" t="str">
        <f>VLOOKUP($D233,Sheet6!$B:$G,5,FALSE)</f>
        <v>Burewala</v>
      </c>
      <c r="B233" s="232" t="str">
        <f>VLOOKUP($D233,Sheet6!$B:$G,4,FALSE)</f>
        <v>Women Secular No Info Share</v>
      </c>
      <c r="C233" s="8">
        <v>3.0</v>
      </c>
      <c r="D233" s="8" t="s">
        <v>4671</v>
      </c>
      <c r="E23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TRIM(CLEAN(TEXT($D233, ""@""))),
      IMPORTRANGE(""https://docs.google.com/spreadsheets/d/1DccNxjBgurEr0ABkI_"&amp;"rBagJT5phB5HaHG5N_mTm_BiA/edit?gid=1382299152#gid=1382299152"", ""Form responses 1!$Z:$Z"") = 1
    ),
    1
  ),
  ""Not Found""
)
"),"https://drive.google.com/open?id=1FSeiTAcFeILAi1Om9fRmzBNojrE0Xx8-")</f>
        <v>https://drive.google.com/open?id=1FSeiTAcFeILAi1Om9fRmzBNojrE0Xx8-</v>
      </c>
      <c r="F2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1!$E:$E"")=$D233) *
        (IMPORTRANGE(""https://docs.google.com/spreadsheets/d/161aHT6vVT3SLneTKD19N5qVWtnj_jIT8CSsOmUVKmaA"&amp;"/edit?gid=1761053510"",
          ""Haris_Form responses 1!$AQ:$AQ"")=1)
      ),
      1
    ),
    ""0""
  ),
  ""Form not found""
)
"),"1")</f>
        <v>1</v>
      </c>
      <c r="G233" s="245" t="str">
        <f>IFERROR(__xludf.DUMMYFUNCTION("IFERROR(
  INDEX(
    FILTER(
      Transcription!$AJ:$AJ,
      TRIM(CLEAN(TEXT(Transcription!$F:$F, ""@""))) = TRIM(CLEAN(TEXT($D233, ""@""))),
      Transcription!$AO:$AO = 1
    ),
    1
  ),
  ""Not Found""
)
"),"https://drive.google.com/open?id=1Al9IWmLyzWgiDttka27HtyPlcMz_zbsXncuGoc3tbd8")</f>
        <v>https://drive.google.com/open?id=1Al9IWmLyzWgiDttka27HtyPlcMz_zbsXncuGoc3tbd8</v>
      </c>
      <c r="H23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TRIM(CLEAN(TEXT($D233, ""@""))),
      IMPORTRANGE(""https://docs.google.com/spreadsheets/d/1DccNxjBgurEr0ABkI_"&amp;"rBagJT5phB5HaHG5N_mTm_BiA/edit?gid=1382299152#gid=1382299152"", ""Form responses 1!$Z:$Z"") = 2
    ),
    1
  ),
  ""Not Found""
)
"),"https://drive.google.com/open?id=1Wx3JnfT_w2Atl1YQHbRzPI4BR0l_U-7d")</f>
        <v>https://drive.google.com/open?id=1Wx3JnfT_w2Atl1YQHbRzPI4BR0l_U-7d</v>
      </c>
      <c r="I2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1!$E:$E"")=$D233) *
        (IMPORTRANGE(""https://docs.google.com/spreadsheets/d/161aHT6vVT3SLneTKD19N5qVWtnj_jIT8CSsOmUVKmaA"&amp;"/edit?gid=1761053510"",
          ""Haris_Form responses 1!$AQ:$AQ"")=2)
      ),
      1
    ),
    ""0""
  ),
  ""Form not found""
)
"),"2")</f>
        <v>2</v>
      </c>
      <c r="J233" s="245" t="str">
        <f>IFERROR(__xludf.DUMMYFUNCTION("IFERROR(
  INDEX(
    FILTER(
      Transcription!$AJ:$AJ,
      TRIM(CLEAN(TEXT(Transcription!$F:$F, ""@""))) = TRIM(CLEAN(TEXT($D233, ""@""))),
      Transcription!$AO:$AO = 2
    ),
    1
  ),
  ""Not Found""
)
"),"https://drive.google.com/open?id=11OINzrCmwHA1FVievyuHZtB7gdfWFrty")</f>
        <v>https://drive.google.com/open?id=11OINzrCmwHA1FVievyuHZtB7gdfWFrty</v>
      </c>
      <c r="K23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TRIM(CLEAN(TEXT($D233, ""@""))),
      IMPORTRANGE(""https://docs.google.com/spreadsheets/d/1DccNxjBgurEr0ABkI_"&amp;"rBagJT5phB5HaHG5N_mTm_BiA/edit?gid=1382299152#gid=1382299152"", ""Form responses 1!$Z:$Z"") = 3
    ),
    1
  ),
  ""Not Found""
)
"),"https://drive.google.com/open?id=1Sqnjg21D-ufacSNIbkhOwMiLuHF7cIuf")</f>
        <v>https://drive.google.com/open?id=1Sqnjg21D-ufacSNIbkhOwMiLuHF7cIuf</v>
      </c>
      <c r="L2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1!$E:$E"")=$D233) *
        (IMPORTRANGE(""https://docs.google.com/spreadsheets/d/161aHT6vVT3SLneTKD19N5qVWtnj_jIT8CSsOmUVKmaA"&amp;"/edit?gid=1761053510"",
          ""Haris_Form responses 1!$AQ:$AQ"")=3)
      ),
      1
    ),
    ""0""
  ),
  ""Form not found""
)
"),"3")</f>
        <v>3</v>
      </c>
      <c r="M233" s="245" t="str">
        <f>IFERROR(__xludf.DUMMYFUNCTION("IFERROR(
  INDEX(
    FILTER(
      Transcription!$AJ:$AJ,
      TRIM(CLEAN(TEXT(Transcription!$F:$F, ""@""))) = TRIM(CLEAN(TEXT($D233, ""@""))),
      Transcription!$AO:$AO = 3
    ),
    1
  ),
  ""Not Found""
)
"),"https://drive.google.com/open?id=1M8uVi4aMidRafpTkoCyLo51eTozq2iWE")</f>
        <v>https://drive.google.com/open?id=1M8uVi4aMidRafpTkoCyLo51eTozq2iWE</v>
      </c>
      <c r="N23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TRIM(CLEAN(TEXT($D233, ""@""))),
      IMPORTRANGE(""https://docs.google.com/spreadsheets/d/1DccNxjBgurEr0ABkI_"&amp;"rBagJT5phB5HaHG5N_mTm_BiA/edit?gid=1382299152#gid=1382299152"", ""Form responses 1!$Z:$Z"") = 4
    ),
    1
  ),
  ""Not Found""
)
"),"Not Found")</f>
        <v>Not Found</v>
      </c>
      <c r="O2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1!$E:$E"")=$D233) *
        (IMPORTRANGE(""https://docs.google.com/spreadsheets/d/161aHT6vVT3SLneTKD19N5qVWtnj_jIT8CSsOmUVKmaA"&amp;"/edit?gid=1761053510"",
          ""Haris_Form responses 1!$AQ:$AQ"")=4)
      ),
      1
    ),
    ""0""
  ),
  ""Form not found""
)
"),"Form not found")</f>
        <v>Form not found</v>
      </c>
      <c r="P233" s="247" t="str">
        <f>IFERROR(__xludf.DUMMYFUNCTION("IFERROR(
  INDEX(
    FILTER(
      Transcription!$AJ:$AJ,
      TRIM(CLEAN(TEXT(Transcription!$F:$F, ""@""))) = TRIM(CLEAN(TEXT($D233, ""@""))),
      Transcription!$AO:$AO = 4
    ),
    1
  ),
  ""Not Found""
)
"),"Not Found")</f>
        <v>Not Found</v>
      </c>
      <c r="Q23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TRIM(CLEAN(TEXT($D233, ""@""))),
      IMPORTRANGE(""https://docs.google.com/spreadsheets/d/1DccNxjBgurEr0ABkI_"&amp;"rBagJT5phB5HaHG5N_mTm_BiA/edit?gid=1382299152#gid=1382299152"", ""Form responses 1!$Z:$Z"") = 5
    ),
    1
  ),
  ""Not Found""
)
"),"Not Found")</f>
        <v>Not Found</v>
      </c>
      <c r="R2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1!$E:$E"")=$D233) *
        (IMPORTRANGE(""https://docs.google.com/spreadsheets/d/161aHT6vVT3SLneTKD19N5qVWtnj_jIT8CSsOmUVKmaA"&amp;"/edit?gid=1761053510"",
          ""Haris_Form responses 1!$AQ:$AQ"")=5)
      ),
      1
    ),
    ""0""
  ),
  ""Form not found""
)
"),"Form not found")</f>
        <v>Form not found</v>
      </c>
      <c r="S233" s="247" t="str">
        <f>IFERROR(__xludf.DUMMYFUNCTION("IFERROR(
  INDEX(
    FILTER(
      Transcription!$AJ:$AJ,
      TRIM(CLEAN(TEXT(Transcription!$F:$F, ""@""))) = TRIM(CLEAN(TEXT($D233, ""@""))),
      Transcription!$AO:$AO = 5
    ),
    1
  ),
  ""Not Found""
)
"),"Not Found")</f>
        <v>Not Found</v>
      </c>
      <c r="T23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TRIM(CLEAN(TEXT($D233, ""@""))),
      IMPORTRANGE(""https://docs.google.com/spreadsheets/d/1DccNxjBgurEr0ABkI_"&amp;"rBagJT5phB5HaHG5N_mTm_BiA/edit?gid=1382299152#gid=1382299152"", ""Form responses 1!$Z:$Z"") = 6
    ),
    1
  ),
  ""Not Found""
)
"),"Not Found")</f>
        <v>Not Found</v>
      </c>
      <c r="U23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1!$E:$E"")=$D233) *
        (IMPORTRANGE(""https://docs.google.com/spreadsheets/d/161aHT6vVT3SLneTKD19N5qVWtnj_jIT8CSsOmUVKmaA"&amp;"/edit?gid=1761053510"",
          ""Haris_Form responses 1!$AQ:$AQ"")=6)
      ),
      1
    ),
    ""0""
  ),
  ""Form not found""
)
"),"Form not found")</f>
        <v>Form not found</v>
      </c>
      <c r="V233" s="247" t="str">
        <f>IFERROR(__xludf.DUMMYFUNCTION("IFERROR(
  INDEX(
    FILTER(
      Transcription!$AJ:$AJ,
      TRIM(CLEAN(TEXT(Transcription!$F:$F, ""@""))) = TRIM(CLEAN(TEXT($D233, ""@""))),
      Transcription!$AO:$AO = 6
    ),
    1
  ),
  ""Not Found""
)
"),"Not Found")</f>
        <v>Not Found</v>
      </c>
      <c r="Z233" s="10">
        <f t="shared" si="1"/>
        <v>3</v>
      </c>
      <c r="AA233" s="10">
        <f t="shared" si="2"/>
        <v>0</v>
      </c>
    </row>
    <row r="234">
      <c r="A234" s="8" t="str">
        <f>VLOOKUP($D234,Sheet6!$B:$G,5,FALSE)</f>
        <v>Burewala</v>
      </c>
      <c r="B234" s="232" t="str">
        <f>VLOOKUP($D234,Sheet6!$B:$G,4,FALSE)</f>
        <v>Control</v>
      </c>
      <c r="C234" s="8">
        <v>2.0</v>
      </c>
      <c r="D234" s="8" t="s">
        <v>4672</v>
      </c>
      <c r="E2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TRIM(CLEAN(TEXT($D234, ""@""))),
      IMPORTRANGE(""https://docs.google.com/spreadsheets/d/1DccNxjBgurEr0ABkI_"&amp;"rBagJT5phB5HaHG5N_mTm_BiA/edit?gid=1382299152#gid=1382299152"", ""Form responses 1!$Z:$Z"") = 1
    ),
    1
  ),
  ""Not Found""
)
"),"Not Found")</f>
        <v>Not Found</v>
      </c>
      <c r="F2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1!$E:$E"")=$D234) *
        (IMPORTRANGE(""https://docs.google.com/spreadsheets/d/161aHT6vVT3SLneTKD19N5qVWtnj_jIT8CSsOmUVKmaA"&amp;"/edit?gid=1761053510"",
          ""Haris_Form responses 1!$AQ:$AQ"")=1)
      ),
      1
    ),
    ""0""
  ),
  ""Form not found""
)
"),"Form not found")</f>
        <v>Form not found</v>
      </c>
      <c r="G234" s="247" t="str">
        <f>IFERROR(__xludf.DUMMYFUNCTION("IFERROR(
  INDEX(
    FILTER(
      Transcription!$AJ:$AJ,
      TRIM(CLEAN(TEXT(Transcription!$F:$F, ""@""))) = TRIM(CLEAN(TEXT($D234, ""@""))),
      Transcription!$AO:$AO = 1
    ),
    1
  ),
  ""Not Found""
)
"),"Not Found")</f>
        <v>Not Found</v>
      </c>
      <c r="H23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TRIM(CLEAN(TEXT($D234, ""@""))),
      IMPORTRANGE(""https://docs.google.com/spreadsheets/d/1DccNxjBgurEr0ABkI_"&amp;"rBagJT5phB5HaHG5N_mTm_BiA/edit?gid=1382299152#gid=1382299152"", ""Form responses 1!$Z:$Z"") = 2
    ),
    1
  ),
  ""Not Found""
)
"),"https://drive.google.com/open?id=1IOSb4pbqhDAFlRtpZwsaCW2UJ63pXdxD")</f>
        <v>https://drive.google.com/open?id=1IOSb4pbqhDAFlRtpZwsaCW2UJ63pXdxD</v>
      </c>
      <c r="I2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1!$E:$E"")=$D234) *
        (IMPORTRANGE(""https://docs.google.com/spreadsheets/d/161aHT6vVT3SLneTKD19N5qVWtnj_jIT8CSsOmUVKmaA"&amp;"/edit?gid=1761053510"",
          ""Haris_Form responses 1!$AQ:$AQ"")=2)
      ),
      1
    ),
    ""0""
  ),
  ""Form not found""
)
"),"2")</f>
        <v>2</v>
      </c>
      <c r="J234" s="245" t="str">
        <f>IFERROR(__xludf.DUMMYFUNCTION("IFERROR(
  INDEX(
    FILTER(
      Transcription!$AJ:$AJ,
      TRIM(CLEAN(TEXT(Transcription!$F:$F, ""@""))) = TRIM(CLEAN(TEXT($D234, ""@""))),
      Transcription!$AO:$AO = 2
    ),
    1
  ),
  ""Not Found""
)
"),"https://drive.google.com/open?id=19IoxhpEa1JbkhJAy1u_riC5LXZfPpwJTp-c7P1U6Hes")</f>
        <v>https://drive.google.com/open?id=19IoxhpEa1JbkhJAy1u_riC5LXZfPpwJTp-c7P1U6Hes</v>
      </c>
      <c r="K23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TRIM(CLEAN(TEXT($D234, ""@""))),
      IMPORTRANGE(""https://docs.google.com/spreadsheets/d/1DccNxjBgurEr0ABkI_"&amp;"rBagJT5phB5HaHG5N_mTm_BiA/edit?gid=1382299152#gid=1382299152"", ""Form responses 1!$Z:$Z"") = 3
    ),
    1
  ),
  ""Not Found""
)
"),"https://drive.google.com/open?id=1jjsBawf8yhaXgOGO1w3znowMIk9FPTGm")</f>
        <v>https://drive.google.com/open?id=1jjsBawf8yhaXgOGO1w3znowMIk9FPTGm</v>
      </c>
      <c r="L2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1!$E:$E"")=$D234) *
        (IMPORTRANGE(""https://docs.google.com/spreadsheets/d/161aHT6vVT3SLneTKD19N5qVWtnj_jIT8CSsOmUVKmaA"&amp;"/edit?gid=1761053510"",
          ""Haris_Form responses 1!$AQ:$AQ"")=3)
      ),
      1
    ),
    ""0""
  ),
  ""Form not found""
)
"),"3")</f>
        <v>3</v>
      </c>
      <c r="M234" s="245" t="str">
        <f>IFERROR(__xludf.DUMMYFUNCTION("IFERROR(
  INDEX(
    FILTER(
      Transcription!$AJ:$AJ,
      TRIM(CLEAN(TEXT(Transcription!$F:$F, ""@""))) = TRIM(CLEAN(TEXT($D234, ""@""))),
      Transcription!$AO:$AO = 3
    ),
    1
  ),
  ""Not Found""
)
"),"https://drive.google.com/open?id=1_whKw_rPFB_-KTk2SGiXTUN7TW-hlhNm")</f>
        <v>https://drive.google.com/open?id=1_whKw_rPFB_-KTk2SGiXTUN7TW-hlhNm</v>
      </c>
      <c r="N2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TRIM(CLEAN(TEXT($D234, ""@""))),
      IMPORTRANGE(""https://docs.google.com/spreadsheets/d/1DccNxjBgurEr0ABkI_"&amp;"rBagJT5phB5HaHG5N_mTm_BiA/edit?gid=1382299152#gid=1382299152"", ""Form responses 1!$Z:$Z"") = 4
    ),
    1
  ),
  ""Not Found""
)
"),"Not Found")</f>
        <v>Not Found</v>
      </c>
      <c r="O2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1!$E:$E"")=$D234) *
        (IMPORTRANGE(""https://docs.google.com/spreadsheets/d/161aHT6vVT3SLneTKD19N5qVWtnj_jIT8CSsOmUVKmaA"&amp;"/edit?gid=1761053510"",
          ""Haris_Form responses 1!$AQ:$AQ"")=4)
      ),
      1
    ),
    ""0""
  ),
  ""Form not found""
)
"),"Form not found")</f>
        <v>Form not found</v>
      </c>
      <c r="P234" s="247" t="str">
        <f>IFERROR(__xludf.DUMMYFUNCTION("IFERROR(
  INDEX(
    FILTER(
      Transcription!$AJ:$AJ,
      TRIM(CLEAN(TEXT(Transcription!$F:$F, ""@""))) = TRIM(CLEAN(TEXT($D234, ""@""))),
      Transcription!$AO:$AO = 4
    ),
    1
  ),
  ""Not Found""
)
"),"Not Found")</f>
        <v>Not Found</v>
      </c>
      <c r="Q2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TRIM(CLEAN(TEXT($D234, ""@""))),
      IMPORTRANGE(""https://docs.google.com/spreadsheets/d/1DccNxjBgurEr0ABkI_"&amp;"rBagJT5phB5HaHG5N_mTm_BiA/edit?gid=1382299152#gid=1382299152"", ""Form responses 1!$Z:$Z"") = 5
    ),
    1
  ),
  ""Not Found""
)
"),"Not Found")</f>
        <v>Not Found</v>
      </c>
      <c r="R2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1!$E:$E"")=$D234) *
        (IMPORTRANGE(""https://docs.google.com/spreadsheets/d/161aHT6vVT3SLneTKD19N5qVWtnj_jIT8CSsOmUVKmaA"&amp;"/edit?gid=1761053510"",
          ""Haris_Form responses 1!$AQ:$AQ"")=5)
      ),
      1
    ),
    ""0""
  ),
  ""Form not found""
)
"),"Form not found")</f>
        <v>Form not found</v>
      </c>
      <c r="S234" s="247" t="str">
        <f>IFERROR(__xludf.DUMMYFUNCTION("IFERROR(
  INDEX(
    FILTER(
      Transcription!$AJ:$AJ,
      TRIM(CLEAN(TEXT(Transcription!$F:$F, ""@""))) = TRIM(CLEAN(TEXT($D234, ""@""))),
      Transcription!$AO:$AO = 5
    ),
    1
  ),
  ""Not Found""
)
"),"Not Found")</f>
        <v>Not Found</v>
      </c>
      <c r="T23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TRIM(CLEAN(TEXT($D234, ""@""))),
      IMPORTRANGE(""https://docs.google.com/spreadsheets/d/1DccNxjBgurEr0ABkI_"&amp;"rBagJT5phB5HaHG5N_mTm_BiA/edit?gid=1382299152#gid=1382299152"", ""Form responses 1!$Z:$Z"") = 6
    ),
    1
  ),
  ""Not Found""
)
"),"Not Found")</f>
        <v>Not Found</v>
      </c>
      <c r="U23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1!$E:$E"")=$D234) *
        (IMPORTRANGE(""https://docs.google.com/spreadsheets/d/161aHT6vVT3SLneTKD19N5qVWtnj_jIT8CSsOmUVKmaA"&amp;"/edit?gid=1761053510"",
          ""Haris_Form responses 1!$AQ:$AQ"")=6)
      ),
      1
    ),
    ""0""
  ),
  ""Form not found""
)
"),"Form not found")</f>
        <v>Form not found</v>
      </c>
      <c r="V234" s="247" t="str">
        <f>IFERROR(__xludf.DUMMYFUNCTION("IFERROR(
  INDEX(
    FILTER(
      Transcription!$AJ:$AJ,
      TRIM(CLEAN(TEXT(Transcription!$F:$F, ""@""))) = TRIM(CLEAN(TEXT($D234, ""@""))),
      Transcription!$AO:$AO = 6
    ),
    1
  ),
  ""Not Found""
)
"),"Not Found")</f>
        <v>Not Found</v>
      </c>
      <c r="Z234" s="10">
        <f t="shared" si="1"/>
        <v>2</v>
      </c>
      <c r="AA234" s="10">
        <f t="shared" si="2"/>
        <v>0</v>
      </c>
    </row>
    <row r="235">
      <c r="A235" s="8" t="str">
        <f>VLOOKUP($D235,Sheet6!$B:$G,5,FALSE)</f>
        <v>Burewala</v>
      </c>
      <c r="B235" s="232" t="str">
        <f>VLOOKUP($D235,Sheet6!$B:$G,4,FALSE)</f>
        <v>Control</v>
      </c>
      <c r="C235" s="8">
        <v>2.0</v>
      </c>
      <c r="D235" s="8" t="s">
        <v>4673</v>
      </c>
      <c r="E23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TRIM(CLEAN(TEXT($D235, ""@""))),
      IMPORTRANGE(""https://docs.google.com/spreadsheets/d/1DccNxjBgurEr0ABkI_"&amp;"rBagJT5phB5HaHG5N_mTm_BiA/edit?gid=1382299152#gid=1382299152"", ""Form responses 1!$Z:$Z"") = 1
    ),
    1
  ),
  ""Not Found""
)
"),"https://drive.google.com/open?id=1PVu7ny2eIW3TG-9Ta9GdOYsFSfiglO1H")</f>
        <v>https://drive.google.com/open?id=1PVu7ny2eIW3TG-9Ta9GdOYsFSfiglO1H</v>
      </c>
      <c r="F2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1!$E:$E"")=$D235) *
        (IMPORTRANGE(""https://docs.google.com/spreadsheets/d/161aHT6vVT3SLneTKD19N5qVWtnj_jIT8CSsOmUVKmaA"&amp;"/edit?gid=1761053510"",
          ""Haris_Form responses 1!$AQ:$AQ"")=1)
      ),
      1
    ),
    ""0""
  ),
  ""Form not found""
)
"),"1")</f>
        <v>1</v>
      </c>
      <c r="G235" s="245" t="str">
        <f>IFERROR(__xludf.DUMMYFUNCTION("IFERROR(
  INDEX(
    FILTER(
      Transcription!$AJ:$AJ,
      TRIM(CLEAN(TEXT(Transcription!$F:$F, ""@""))) = TRIM(CLEAN(TEXT($D235, ""@""))),
      Transcription!$AO:$AO = 1
    ),
    1
  ),
  ""Not Found""
)
"),"https://drive.google.com/open?id=1qzYq2IUzDYDGZYbB2ALjKK39ViyqkOua")</f>
        <v>https://drive.google.com/open?id=1qzYq2IUzDYDGZYbB2ALjKK39ViyqkOua</v>
      </c>
      <c r="H2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TRIM(CLEAN(TEXT($D235, ""@""))),
      IMPORTRANGE(""https://docs.google.com/spreadsheets/d/1DccNxjBgurEr0ABkI_"&amp;"rBagJT5phB5HaHG5N_mTm_BiA/edit?gid=1382299152#gid=1382299152"", ""Form responses 1!$Z:$Z"") = 2
    ),
    1
  ),
  ""Not Found""
)
"),"Not Found")</f>
        <v>Not Found</v>
      </c>
      <c r="I2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1!$E:$E"")=$D235) *
        (IMPORTRANGE(""https://docs.google.com/spreadsheets/d/161aHT6vVT3SLneTKD19N5qVWtnj_jIT8CSsOmUVKmaA"&amp;"/edit?gid=1761053510"",
          ""Haris_Form responses 1!$AQ:$AQ"")=2)
      ),
      1
    ),
    ""0""
  ),
  ""Form not found""
)
"),"Form not found")</f>
        <v>Form not found</v>
      </c>
      <c r="J235" s="247" t="str">
        <f>IFERROR(__xludf.DUMMYFUNCTION("IFERROR(
  INDEX(
    FILTER(
      Transcription!$AJ:$AJ,
      TRIM(CLEAN(TEXT(Transcription!$F:$F, ""@""))) = TRIM(CLEAN(TEXT($D235, ""@""))),
      Transcription!$AO:$AO = 2
    ),
    1
  ),
  ""Not Found""
)
"),"Not Found")</f>
        <v>Not Found</v>
      </c>
      <c r="K23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TRIM(CLEAN(TEXT($D235, ""@""))),
      IMPORTRANGE(""https://docs.google.com/spreadsheets/d/1DccNxjBgurEr0ABkI_"&amp;"rBagJT5phB5HaHG5N_mTm_BiA/edit?gid=1382299152#gid=1382299152"", ""Form responses 1!$Z:$Z"") = 3
    ),
    1
  ),
  ""Not Found""
)
"),"https://drive.google.com/open?id=1TINbeKBAAfJdau_v8soIe4Lxvn6Pphi4")</f>
        <v>https://drive.google.com/open?id=1TINbeKBAAfJdau_v8soIe4Lxvn6Pphi4</v>
      </c>
      <c r="L2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1!$E:$E"")=$D235) *
        (IMPORTRANGE(""https://docs.google.com/spreadsheets/d/161aHT6vVT3SLneTKD19N5qVWtnj_jIT8CSsOmUVKmaA"&amp;"/edit?gid=1761053510"",
          ""Haris_Form responses 1!$AQ:$AQ"")=3)
      ),
      1
    ),
    ""0""
  ),
  ""Form not found""
)
"),"3")</f>
        <v>3</v>
      </c>
      <c r="M235" s="245" t="str">
        <f>IFERROR(__xludf.DUMMYFUNCTION("IFERROR(
  INDEX(
    FILTER(
      Transcription!$AJ:$AJ,
      TRIM(CLEAN(TEXT(Transcription!$F:$F, ""@""))) = TRIM(CLEAN(TEXT($D235, ""@""))),
      Transcription!$AO:$AO = 3
    ),
    1
  ),
  ""Not Found""
)
"),"https://drive.google.com/open?id=1IeumY-Kjs3FFfKwrOVtG9lP58NRZIu1Q")</f>
        <v>https://drive.google.com/open?id=1IeumY-Kjs3FFfKwrOVtG9lP58NRZIu1Q</v>
      </c>
      <c r="N2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TRIM(CLEAN(TEXT($D235, ""@""))),
      IMPORTRANGE(""https://docs.google.com/spreadsheets/d/1DccNxjBgurEr0ABkI_"&amp;"rBagJT5phB5HaHG5N_mTm_BiA/edit?gid=1382299152#gid=1382299152"", ""Form responses 1!$Z:$Z"") = 4
    ),
    1
  ),
  ""Not Found""
)
"),"Not Found")</f>
        <v>Not Found</v>
      </c>
      <c r="O2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1!$E:$E"")=$D235) *
        (IMPORTRANGE(""https://docs.google.com/spreadsheets/d/161aHT6vVT3SLneTKD19N5qVWtnj_jIT8CSsOmUVKmaA"&amp;"/edit?gid=1761053510"",
          ""Haris_Form responses 1!$AQ:$AQ"")=4)
      ),
      1
    ),
    ""0""
  ),
  ""Form not found""
)
"),"Form not found")</f>
        <v>Form not found</v>
      </c>
      <c r="P235" s="247" t="str">
        <f>IFERROR(__xludf.DUMMYFUNCTION("IFERROR(
  INDEX(
    FILTER(
      Transcription!$AJ:$AJ,
      TRIM(CLEAN(TEXT(Transcription!$F:$F, ""@""))) = TRIM(CLEAN(TEXT($D235, ""@""))),
      Transcription!$AO:$AO = 4
    ),
    1
  ),
  ""Not Found""
)
"),"Not Found")</f>
        <v>Not Found</v>
      </c>
      <c r="Q2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TRIM(CLEAN(TEXT($D235, ""@""))),
      IMPORTRANGE(""https://docs.google.com/spreadsheets/d/1DccNxjBgurEr0ABkI_"&amp;"rBagJT5phB5HaHG5N_mTm_BiA/edit?gid=1382299152#gid=1382299152"", ""Form responses 1!$Z:$Z"") = 5
    ),
    1
  ),
  ""Not Found""
)
"),"Not Found")</f>
        <v>Not Found</v>
      </c>
      <c r="R2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1!$E:$E"")=$D235) *
        (IMPORTRANGE(""https://docs.google.com/spreadsheets/d/161aHT6vVT3SLneTKD19N5qVWtnj_jIT8CSsOmUVKmaA"&amp;"/edit?gid=1761053510"",
          ""Haris_Form responses 1!$AQ:$AQ"")=5)
      ),
      1
    ),
    ""0""
  ),
  ""Form not found""
)
"),"Form not found")</f>
        <v>Form not found</v>
      </c>
      <c r="S235" s="247" t="str">
        <f>IFERROR(__xludf.DUMMYFUNCTION("IFERROR(
  INDEX(
    FILTER(
      Transcription!$AJ:$AJ,
      TRIM(CLEAN(TEXT(Transcription!$F:$F, ""@""))) = TRIM(CLEAN(TEXT($D235, ""@""))),
      Transcription!$AO:$AO = 5
    ),
    1
  ),
  ""Not Found""
)
"),"Not Found")</f>
        <v>Not Found</v>
      </c>
      <c r="T23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TRIM(CLEAN(TEXT($D235, ""@""))),
      IMPORTRANGE(""https://docs.google.com/spreadsheets/d/1DccNxjBgurEr0ABkI_"&amp;"rBagJT5phB5HaHG5N_mTm_BiA/edit?gid=1382299152#gid=1382299152"", ""Form responses 1!$Z:$Z"") = 6
    ),
    1
  ),
  ""Not Found""
)
"),"Not Found")</f>
        <v>Not Found</v>
      </c>
      <c r="U23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1!$E:$E"")=$D235) *
        (IMPORTRANGE(""https://docs.google.com/spreadsheets/d/161aHT6vVT3SLneTKD19N5qVWtnj_jIT8CSsOmUVKmaA"&amp;"/edit?gid=1761053510"",
          ""Haris_Form responses 1!$AQ:$AQ"")=6)
      ),
      1
    ),
    ""0""
  ),
  ""Form not found""
)
"),"Form not found")</f>
        <v>Form not found</v>
      </c>
      <c r="V235" s="247" t="str">
        <f>IFERROR(__xludf.DUMMYFUNCTION("IFERROR(
  INDEX(
    FILTER(
      Transcription!$AJ:$AJ,
      TRIM(CLEAN(TEXT(Transcription!$F:$F, ""@""))) = TRIM(CLEAN(TEXT($D235, ""@""))),
      Transcription!$AO:$AO = 6
    ),
    1
  ),
  ""Not Found""
)
"),"Not Found")</f>
        <v>Not Found</v>
      </c>
      <c r="Z235" s="10">
        <f t="shared" si="1"/>
        <v>2</v>
      </c>
      <c r="AA235" s="10">
        <f t="shared" si="2"/>
        <v>0</v>
      </c>
    </row>
    <row r="236">
      <c r="A236" s="8" t="str">
        <f>VLOOKUP($D236,Sheet6!$B:$G,5,FALSE)</f>
        <v>Burewala</v>
      </c>
      <c r="B236" s="232" t="str">
        <f>VLOOKUP($D236,Sheet6!$B:$G,4,FALSE)</f>
        <v>Community Secular No Info Share</v>
      </c>
      <c r="C236" s="8">
        <v>4.0</v>
      </c>
      <c r="D236" s="8" t="s">
        <v>3820</v>
      </c>
      <c r="E23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TRIM(CLEAN(TEXT($D236, ""@""))),
      IMPORTRANGE(""https://docs.google.com/spreadsheets/d/1DccNxjBgurEr0ABkI_"&amp;"rBagJT5phB5HaHG5N_mTm_BiA/edit?gid=1382299152#gid=1382299152"", ""Form responses 1!$Z:$Z"") = 1
    ),
    1
  ),
  ""Not Found""
)
"),"Not Found")</f>
        <v>Not Found</v>
      </c>
      <c r="F2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1!$E:$E"")=$D236) *
        (IMPORTRANGE(""https://docs.google.com/spreadsheets/d/161aHT6vVT3SLneTKD19N5qVWtnj_jIT8CSsOmUVKmaA"&amp;"/edit?gid=1761053510"",
          ""Haris_Form responses 1!$AQ:$AQ"")=1)
      ),
      1
    ),
    ""0""
  ),
  ""Form not found""
)
"),"Form not found")</f>
        <v>Form not found</v>
      </c>
      <c r="G236" s="247" t="str">
        <f>IFERROR(__xludf.DUMMYFUNCTION("IFERROR(
  INDEX(
    FILTER(
      Transcription!$AJ:$AJ,
      TRIM(CLEAN(TEXT(Transcription!$F:$F, ""@""))) = TRIM(CLEAN(TEXT($D236, ""@""))),
      Transcription!$AO:$AO = 1
    ),
    1
  ),
  ""Not Found""
)
"),"Not Found")</f>
        <v>Not Found</v>
      </c>
      <c r="H23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TRIM(CLEAN(TEXT($D236, ""@""))),
      IMPORTRANGE(""https://docs.google.com/spreadsheets/d/1DccNxjBgurEr0ABkI_"&amp;"rBagJT5phB5HaHG5N_mTm_BiA/edit?gid=1382299152#gid=1382299152"", ""Form responses 1!$Z:$Z"") = 2
    ),
    1
  ),
  ""Not Found""
)
"),"https://drive.google.com/file/d/1UuQaYpuN4ExUPwDqHrrA4qYIUQNBPTmy/view?usp=drive_link")</f>
        <v>https://drive.google.com/file/d/1UuQaYpuN4ExUPwDqHrrA4qYIUQNBPTmy/view?usp=drive_link</v>
      </c>
      <c r="I2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1!$E:$E"")=$D236) *
        (IMPORTRANGE(""https://docs.google.com/spreadsheets/d/161aHT6vVT3SLneTKD19N5qVWtnj_jIT8CSsOmUVKmaA"&amp;"/edit?gid=1761053510"",
          ""Haris_Form responses 1!$AQ:$AQ"")=2)
      ),
      1
    ),
    ""0""
  ),
  ""Form not found""
)
"),"2")</f>
        <v>2</v>
      </c>
      <c r="J236" s="245" t="str">
        <f>IFERROR(__xludf.DUMMYFUNCTION("IFERROR(
  INDEX(
    FILTER(
      Transcription!$AJ:$AJ,
      TRIM(CLEAN(TEXT(Transcription!$F:$F, ""@""))) = TRIM(CLEAN(TEXT($D236, ""@""))),
      Transcription!$AO:$AO = 2
    ),
    1
  ),
  ""Not Found""
)
"),"https://drive.google.com/open?id=1aUcRcvpALIkIJxkS-irfcEkraPWmgC4f")</f>
        <v>https://drive.google.com/open?id=1aUcRcvpALIkIJxkS-irfcEkraPWmgC4f</v>
      </c>
      <c r="K23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TRIM(CLEAN(TEXT($D236, ""@""))),
      IMPORTRANGE(""https://docs.google.com/spreadsheets/d/1DccNxjBgurEr0ABkI_"&amp;"rBagJT5phB5HaHG5N_mTm_BiA/edit?gid=1382299152#gid=1382299152"", ""Form responses 1!$Z:$Z"") = 3
    ),
    1
  ),
  ""Not Found""
)
"),"https://drive.google.com/file/d/1JWbJ_rarte4w03mBu6Nk7OkRvvUF0KVT/view?usp=drive_link")</f>
        <v>https://drive.google.com/file/d/1JWbJ_rarte4w03mBu6Nk7OkRvvUF0KVT/view?usp=drive_link</v>
      </c>
      <c r="L2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1!$E:$E"")=$D236) *
        (IMPORTRANGE(""https://docs.google.com/spreadsheets/d/161aHT6vVT3SLneTKD19N5qVWtnj_jIT8CSsOmUVKmaA"&amp;"/edit?gid=1761053510"",
          ""Haris_Form responses 1!$AQ:$AQ"")=3)
      ),
      1
    ),
    ""0""
  ),
  ""Form not found""
)
"),"3")</f>
        <v>3</v>
      </c>
      <c r="M236" s="245" t="str">
        <f>IFERROR(__xludf.DUMMYFUNCTION("IFERROR(
  INDEX(
    FILTER(
      Transcription!$AJ:$AJ,
      TRIM(CLEAN(TEXT(Transcription!$F:$F, ""@""))) = TRIM(CLEAN(TEXT($D236, ""@""))),
      Transcription!$AO:$AO = 3
    ),
    1
  ),
  ""Not Found""
)
"),"https://drive.google.com/open?id=130pu-kqRtpJqr0EkyxA6b3LkX0ZlY-hPB2CPUo9Z_EA")</f>
        <v>https://drive.google.com/open?id=130pu-kqRtpJqr0EkyxA6b3LkX0ZlY-hPB2CPUo9Z_EA</v>
      </c>
      <c r="N23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TRIM(CLEAN(TEXT($D236, ""@""))),
      IMPORTRANGE(""https://docs.google.com/spreadsheets/d/1DccNxjBgurEr0ABkI_"&amp;"rBagJT5phB5HaHG5N_mTm_BiA/edit?gid=1382299152#gid=1382299152"", ""Form responses 1!$Z:$Z"") = 4
    ),
    1
  ),
  ""Not Found""
)
"),"https://drive.google.com/file/d/1au-leyrh634SGEzFJPeyedOJRQENalEf/view?usp=drive_link")</f>
        <v>https://drive.google.com/file/d/1au-leyrh634SGEzFJPeyedOJRQENalEf/view?usp=drive_link</v>
      </c>
      <c r="O2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1!$E:$E"")=$D236) *
        (IMPORTRANGE(""https://docs.google.com/spreadsheets/d/161aHT6vVT3SLneTKD19N5qVWtnj_jIT8CSsOmUVKmaA"&amp;"/edit?gid=1761053510"",
          ""Haris_Form responses 1!$AQ:$AQ"")=4)
      ),
      1
    ),
    ""0""
  ),
  ""Form not found""
)
"),"4")</f>
        <v>4</v>
      </c>
      <c r="P236" s="245" t="str">
        <f>IFERROR(__xludf.DUMMYFUNCTION("IFERROR(
  INDEX(
    FILTER(
      Transcription!$AJ:$AJ,
      TRIM(CLEAN(TEXT(Transcription!$F:$F, ""@""))) = TRIM(CLEAN(TEXT($D236, ""@""))),
      Transcription!$AO:$AO = 4
    ),
    1
  ),
  ""Not Found""
)
"),"https://drive.google.com/open?id=1uk5_WI4--ytBSEvzRog-gg8BR03rVYiHN1ilV1MZAXg")</f>
        <v>https://drive.google.com/open?id=1uk5_WI4--ytBSEvzRog-gg8BR03rVYiHN1ilV1MZAXg</v>
      </c>
      <c r="Q236" s="265"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TRIM(CLEAN(TEXT($D236, ""@""))),
      IMPORTRANGE(""https://docs.google.com/spreadsheets/d/1DccNxjBgurEr0ABkI_"&amp;"rBagJT5phB5HaHG5N_mTm_BiA/edit?gid=1382299152#gid=1382299152"", ""Form responses 1!$Z:$Z"") = 5
    ),
    1
  ),
  ""Not Found""
)
"),"https://drive.google.com/file/d/1B6iDBVXHfclK4kZ4Ja1_y_3Q9adEwU4Y/view?usp=drive_link")</f>
        <v>https://drive.google.com/file/d/1B6iDBVXHfclK4kZ4Ja1_y_3Q9adEwU4Y/view?usp=drive_link</v>
      </c>
      <c r="R2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1!$E:$E"")=$D236) *
        (IMPORTRANGE(""https://docs.google.com/spreadsheets/d/161aHT6vVT3SLneTKD19N5qVWtnj_jIT8CSsOmUVKmaA"&amp;"/edit?gid=1761053510"",
          ""Haris_Form responses 1!$AQ:$AQ"")=5)
      ),
      1
    ),
    ""0""
  ),
  ""Form not found""
)
"),"5")</f>
        <v>5</v>
      </c>
      <c r="S236" s="259" t="str">
        <f>IFERROR(__xludf.DUMMYFUNCTION("IFERROR(
  INDEX(
    FILTER(
      Transcription!$AJ:$AJ,
      TRIM(CLEAN(TEXT(Transcription!$F:$F, ""@""))) = TRIM(CLEAN(TEXT($D236, ""@""))),
      Transcription!$AO:$AO = 5
    ),
    1
  ),
  ""Not Found""
)
"),"https://drive.google.com/open?id=1ldeouQ8fwhBLHWunNfGZOmqzUHRjn6Cw-TnOfXJ_0Io")</f>
        <v>https://drive.google.com/open?id=1ldeouQ8fwhBLHWunNfGZOmqzUHRjn6Cw-TnOfXJ_0Io</v>
      </c>
      <c r="T23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TRIM(CLEAN(TEXT($D236, ""@""))),
      IMPORTRANGE(""https://docs.google.com/spreadsheets/d/1DccNxjBgurEr0ABkI_"&amp;"rBagJT5phB5HaHG5N_mTm_BiA/edit?gid=1382299152#gid=1382299152"", ""Form responses 1!$Z:$Z"") = 6
    ),
    1
  ),
  ""Not Found""
)
"),"Not Found")</f>
        <v>Not Found</v>
      </c>
      <c r="U23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1!$E:$E"")=$D236) *
        (IMPORTRANGE(""https://docs.google.com/spreadsheets/d/161aHT6vVT3SLneTKD19N5qVWtnj_jIT8CSsOmUVKmaA"&amp;"/edit?gid=1761053510"",
          ""Haris_Form responses 1!$AQ:$AQ"")=6)
      ),
      1
    ),
    ""0""
  ),
  ""Form not found""
)
"),"Form not found")</f>
        <v>Form not found</v>
      </c>
      <c r="V236" s="247" t="str">
        <f>IFERROR(__xludf.DUMMYFUNCTION("IFERROR(
  INDEX(
    FILTER(
      Transcription!$AJ:$AJ,
      TRIM(CLEAN(TEXT(Transcription!$F:$F, ""@""))) = TRIM(CLEAN(TEXT($D236, ""@""))),
      Transcription!$AO:$AO = 6
    ),
    1
  ),
  ""Not Found""
)
"),"Not Found")</f>
        <v>Not Found</v>
      </c>
      <c r="X236" s="8"/>
      <c r="Z236" s="10">
        <f t="shared" si="1"/>
        <v>4</v>
      </c>
      <c r="AA236" s="10">
        <f t="shared" si="2"/>
        <v>0</v>
      </c>
    </row>
    <row r="237">
      <c r="A237" s="8" t="str">
        <f>VLOOKUP($D237,Sheet6!$B:$G,5,FALSE)</f>
        <v>Okara</v>
      </c>
      <c r="B237" s="232" t="str">
        <f>VLOOKUP($D237,Sheet6!$B:$G,4,FALSE)</f>
        <v>Control</v>
      </c>
      <c r="C237" s="8">
        <v>2.0</v>
      </c>
      <c r="D237" s="8" t="s">
        <v>4674</v>
      </c>
      <c r="E23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TRIM(CLEAN(TEXT($D237, ""@""))),
      IMPORTRANGE(""https://docs.google.com/spreadsheets/d/1DccNxjBgurEr0ABkI_"&amp;"rBagJT5phB5HaHG5N_mTm_BiA/edit?gid=1382299152#gid=1382299152"", ""Form responses 1!$Z:$Z"") = 1
    ),
    1
  ),
  ""Not Found""
)
"),"https://drive.google.com/file/d/1n3i5B52SNoByY92z_GX7pD6py0pGv52M/view?usp=sharing")</f>
        <v>https://drive.google.com/file/d/1n3i5B52SNoByY92z_GX7pD6py0pGv52M/view?usp=sharing</v>
      </c>
      <c r="F2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1!$E:$E"")=$D237) *
        (IMPORTRANGE(""https://docs.google.com/spreadsheets/d/161aHT6vVT3SLneTKD19N5qVWtnj_jIT8CSsOmUVKmaA"&amp;"/edit?gid=1761053510"",
          ""Haris_Form responses 1!$AQ:$AQ"")=1)
      ),
      1
    ),
    ""0""
  ),
  ""Form not found""
)
"),"1")</f>
        <v>1</v>
      </c>
      <c r="G237" s="245" t="str">
        <f>IFERROR(__xludf.DUMMYFUNCTION("IFERROR(
  INDEX(
    FILTER(
      Transcription!$AJ:$AJ,
      TRIM(CLEAN(TEXT(Transcription!$F:$F, ""@""))) = TRIM(CLEAN(TEXT($D237, ""@""))),
      Transcription!$AO:$AO = 1
    ),
    1
  ),
  ""Not Found""
)
"),"https://drive.google.com/open?id=16c8GWS1utrkIUD0FM9FDXQt0S7URQ0oy")</f>
        <v>https://drive.google.com/open?id=16c8GWS1utrkIUD0FM9FDXQt0S7URQ0oy</v>
      </c>
      <c r="H2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TRIM(CLEAN(TEXT($D237, ""@""))),
      IMPORTRANGE(""https://docs.google.com/spreadsheets/d/1DccNxjBgurEr0ABkI_"&amp;"rBagJT5phB5HaHG5N_mTm_BiA/edit?gid=1382299152#gid=1382299152"", ""Form responses 1!$Z:$Z"") = 2
    ),
    1
  ),
  ""Not Found""
)
"),"Not Found")</f>
        <v>Not Found</v>
      </c>
      <c r="I2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1!$E:$E"")=$D237) *
        (IMPORTRANGE(""https://docs.google.com/spreadsheets/d/161aHT6vVT3SLneTKD19N5qVWtnj_jIT8CSsOmUVKmaA"&amp;"/edit?gid=1761053510"",
          ""Haris_Form responses 1!$AQ:$AQ"")=2)
      ),
      1
    ),
    ""0""
  ),
  ""Form not found""
)
"),"Form not found")</f>
        <v>Form not found</v>
      </c>
      <c r="J237" s="247" t="str">
        <f>IFERROR(__xludf.DUMMYFUNCTION("IFERROR(
  INDEX(
    FILTER(
      Transcription!$AJ:$AJ,
      TRIM(CLEAN(TEXT(Transcription!$F:$F, ""@""))) = TRIM(CLEAN(TEXT($D237, ""@""))),
      Transcription!$AO:$AO = 2
    ),
    1
  ),
  ""Not Found""
)
"),"Not Found")</f>
        <v>Not Found</v>
      </c>
      <c r="K23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TRIM(CLEAN(TEXT($D237, ""@""))),
      IMPORTRANGE(""https://docs.google.com/spreadsheets/d/1DccNxjBgurEr0ABkI_"&amp;"rBagJT5phB5HaHG5N_mTm_BiA/edit?gid=1382299152#gid=1382299152"", ""Form responses 1!$Z:$Z"") = 3
    ),
    1
  ),
  ""Not Found""
)
"),"https://drive.google.com/file/d/1-p5u1E9O2jxjY8tLRL76eiE-cjkEId4h/view?usp=drive_link")</f>
        <v>https://drive.google.com/file/d/1-p5u1E9O2jxjY8tLRL76eiE-cjkEId4h/view?usp=drive_link</v>
      </c>
      <c r="L2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1!$E:$E"")=$D237) *
        (IMPORTRANGE(""https://docs.google.com/spreadsheets/d/161aHT6vVT3SLneTKD19N5qVWtnj_jIT8CSsOmUVKmaA"&amp;"/edit?gid=1761053510"",
          ""Haris_Form responses 1!$AQ:$AQ"")=3)
      ),
      1
    ),
    ""0""
  ),
  ""Form not found""
)
"),"3")</f>
        <v>3</v>
      </c>
      <c r="M237" s="245" t="str">
        <f>IFERROR(__xludf.DUMMYFUNCTION("IFERROR(
  INDEX(
    FILTER(
      Transcription!$AJ:$AJ,
      TRIM(CLEAN(TEXT(Transcription!$F:$F, ""@""))) = TRIM(CLEAN(TEXT($D237, ""@""))),
      Transcription!$AO:$AO = 3
    ),
    1
  ),
  ""Not Found""
)
"),"https://drive.google.com/open?id=1WABjnrHD5oKHf5Z7uiqL9eKQ8Zmi5W6eXYKdzqOpY5M")</f>
        <v>https://drive.google.com/open?id=1WABjnrHD5oKHf5Z7uiqL9eKQ8Zmi5W6eXYKdzqOpY5M</v>
      </c>
      <c r="N2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TRIM(CLEAN(TEXT($D237, ""@""))),
      IMPORTRANGE(""https://docs.google.com/spreadsheets/d/1DccNxjBgurEr0ABkI_"&amp;"rBagJT5phB5HaHG5N_mTm_BiA/edit?gid=1382299152#gid=1382299152"", ""Form responses 1!$Z:$Z"") = 4
    ),
    1
  ),
  ""Not Found""
)
"),"Not Found")</f>
        <v>Not Found</v>
      </c>
      <c r="O2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1!$E:$E"")=$D237) *
        (IMPORTRANGE(""https://docs.google.com/spreadsheets/d/161aHT6vVT3SLneTKD19N5qVWtnj_jIT8CSsOmUVKmaA"&amp;"/edit?gid=1761053510"",
          ""Haris_Form responses 1!$AQ:$AQ"")=4)
      ),
      1
    ),
    ""0""
  ),
  ""Form not found""
)
"),"Form not found")</f>
        <v>Form not found</v>
      </c>
      <c r="P237" s="247" t="str">
        <f>IFERROR(__xludf.DUMMYFUNCTION("IFERROR(
  INDEX(
    FILTER(
      Transcription!$AJ:$AJ,
      TRIM(CLEAN(TEXT(Transcription!$F:$F, ""@""))) = TRIM(CLEAN(TEXT($D237, ""@""))),
      Transcription!$AO:$AO = 4
    ),
    1
  ),
  ""Not Found""
)
"),"Not Found")</f>
        <v>Not Found</v>
      </c>
      <c r="Q2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TRIM(CLEAN(TEXT($D237, ""@""))),
      IMPORTRANGE(""https://docs.google.com/spreadsheets/d/1DccNxjBgurEr0ABkI_"&amp;"rBagJT5phB5HaHG5N_mTm_BiA/edit?gid=1382299152#gid=1382299152"", ""Form responses 1!$Z:$Z"") = 5
    ),
    1
  ),
  ""Not Found""
)
"),"Not Found")</f>
        <v>Not Found</v>
      </c>
      <c r="R2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1!$E:$E"")=$D237) *
        (IMPORTRANGE(""https://docs.google.com/spreadsheets/d/161aHT6vVT3SLneTKD19N5qVWtnj_jIT8CSsOmUVKmaA"&amp;"/edit?gid=1761053510"",
          ""Haris_Form responses 1!$AQ:$AQ"")=5)
      ),
      1
    ),
    ""0""
  ),
  ""Form not found""
)
"),"Form not found")</f>
        <v>Form not found</v>
      </c>
      <c r="S237" s="247" t="str">
        <f>IFERROR(__xludf.DUMMYFUNCTION("IFERROR(
  INDEX(
    FILTER(
      Transcription!$AJ:$AJ,
      TRIM(CLEAN(TEXT(Transcription!$F:$F, ""@""))) = TRIM(CLEAN(TEXT($D237, ""@""))),
      Transcription!$AO:$AO = 5
    ),
    1
  ),
  ""Not Found""
)
"),"Not Found")</f>
        <v>Not Found</v>
      </c>
      <c r="T23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TRIM(CLEAN(TEXT($D237, ""@""))),
      IMPORTRANGE(""https://docs.google.com/spreadsheets/d/1DccNxjBgurEr0ABkI_"&amp;"rBagJT5phB5HaHG5N_mTm_BiA/edit?gid=1382299152#gid=1382299152"", ""Form responses 1!$Z:$Z"") = 6
    ),
    1
  ),
  ""Not Found""
)
"),"Not Found")</f>
        <v>Not Found</v>
      </c>
      <c r="U23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1!$E:$E"")=$D237) *
        (IMPORTRANGE(""https://docs.google.com/spreadsheets/d/161aHT6vVT3SLneTKD19N5qVWtnj_jIT8CSsOmUVKmaA"&amp;"/edit?gid=1761053510"",
          ""Haris_Form responses 1!$AQ:$AQ"")=6)
      ),
      1
    ),
    ""0""
  ),
  ""Form not found""
)
"),"Form not found")</f>
        <v>Form not found</v>
      </c>
      <c r="V237" s="247" t="str">
        <f>IFERROR(__xludf.DUMMYFUNCTION("IFERROR(
  INDEX(
    FILTER(
      Transcription!$AJ:$AJ,
      TRIM(CLEAN(TEXT(Transcription!$F:$F, ""@""))) = TRIM(CLEAN(TEXT($D237, ""@""))),
      Transcription!$AO:$AO = 6
    ),
    1
  ),
  ""Not Found""
)
"),"Not Found")</f>
        <v>Not Found</v>
      </c>
      <c r="Z237" s="10">
        <f t="shared" si="1"/>
        <v>2</v>
      </c>
      <c r="AA237" s="10">
        <f t="shared" si="2"/>
        <v>0</v>
      </c>
    </row>
    <row r="238">
      <c r="A238" s="8" t="str">
        <f>VLOOKUP($D238,Sheet6!$B:$G,5,FALSE)</f>
        <v>Okara</v>
      </c>
      <c r="B238" s="232" t="str">
        <f>VLOOKUP($D238,Sheet6!$B:$G,4,FALSE)</f>
        <v>Community Religious No Info Share</v>
      </c>
      <c r="C238" s="8">
        <v>6.0</v>
      </c>
      <c r="D238" s="8" t="s">
        <v>4675</v>
      </c>
      <c r="E2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TRIM(CLEAN(TEXT($D238, ""@""))),
      IMPORTRANGE(""https://docs.google.com/spreadsheets/d/1DccNxjBgurEr0ABkI_"&amp;"rBagJT5phB5HaHG5N_mTm_BiA/edit?gid=1382299152#gid=1382299152"", ""Form responses 1!$Z:$Z"") = 1
    ),
    1
  ),
  ""Not Found""
)
"),"https://drive.google.com/open?id=15hAN9vrZgMc8TrNwiSCOfI3A30Q0Flsd")</f>
        <v>https://drive.google.com/open?id=15hAN9vrZgMc8TrNwiSCOfI3A30Q0Flsd</v>
      </c>
      <c r="F2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1!$E:$E"")=$D238) *
        (IMPORTRANGE(""https://docs.google.com/spreadsheets/d/161aHT6vVT3SLneTKD19N5qVWtnj_jIT8CSsOmUVKmaA"&amp;"/edit?gid=1761053510"",
          ""Haris_Form responses 1!$AQ:$AQ"")=1)
      ),
      1
    ),
    ""0""
  ),
  ""Form not found""
)
"),"1")</f>
        <v>1</v>
      </c>
      <c r="G238" s="245" t="str">
        <f>IFERROR(__xludf.DUMMYFUNCTION("IFERROR(
  INDEX(
    FILTER(
      Transcription!$AJ:$AJ,
      TRIM(CLEAN(TEXT(Transcription!$F:$F, ""@""))) = TRIM(CLEAN(TEXT($D238, ""@""))),
      Transcription!$AO:$AO = 1
    ),
    1
  ),
  ""Not Found""
)
"),"https://drive.google.com/open?id=1TDkd2SetkHxZo-X35GyLZkXABYnMwAyLhwmPzmLpejQ")</f>
        <v>https://drive.google.com/open?id=1TDkd2SetkHxZo-X35GyLZkXABYnMwAyLhwmPzmLpejQ</v>
      </c>
      <c r="H2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TRIM(CLEAN(TEXT($D238, ""@""))),
      IMPORTRANGE(""https://docs.google.com/spreadsheets/d/1DccNxjBgurEr0ABkI_"&amp;"rBagJT5phB5HaHG5N_mTm_BiA/edit?gid=1382299152#gid=1382299152"", ""Form responses 1!$Z:$Z"") = 2
    ),
    1
  ),
  ""Not Found""
)
"),"https://drive.google.com/open?id=1a31tJwKxsBS14gqd82Obqwz8TS6WqhkA")</f>
        <v>https://drive.google.com/open?id=1a31tJwKxsBS14gqd82Obqwz8TS6WqhkA</v>
      </c>
      <c r="I2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1!$E:$E"")=$D238) *
        (IMPORTRANGE(""https://docs.google.com/spreadsheets/d/161aHT6vVT3SLneTKD19N5qVWtnj_jIT8CSsOmUVKmaA"&amp;"/edit?gid=1761053510"",
          ""Haris_Form responses 1!$AQ:$AQ"")=2)
      ),
      1
    ),
    ""0""
  ),
  ""Form not found""
)
"),"2")</f>
        <v>2</v>
      </c>
      <c r="J238" s="245" t="str">
        <f>IFERROR(__xludf.DUMMYFUNCTION("IFERROR(
  INDEX(
    FILTER(
      Transcription!$AJ:$AJ,
      TRIM(CLEAN(TEXT(Transcription!$F:$F, ""@""))) = TRIM(CLEAN(TEXT($D238, ""@""))),
      Transcription!$AO:$AO = 2
    ),
    1
  ),
  ""Not Found""
)
"),"https://drive.google.com/open?id=1QFFFiGLI8K2e1kryadP-JmHuP-WO6Hi5")</f>
        <v>https://drive.google.com/open?id=1QFFFiGLI8K2e1kryadP-JmHuP-WO6Hi5</v>
      </c>
      <c r="K2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TRIM(CLEAN(TEXT($D238, ""@""))),
      IMPORTRANGE(""https://docs.google.com/spreadsheets/d/1DccNxjBgurEr0ABkI_"&amp;"rBagJT5phB5HaHG5N_mTm_BiA/edit?gid=1382299152#gid=1382299152"", ""Form responses 1!$Z:$Z"") = 3
    ),
    1
  ),
  ""Not Found""
)
"),"https://drive.google.com/open?id=1vd5uP5Ltq2nSBS_OURlH8Ut3edvUtlk7")</f>
        <v>https://drive.google.com/open?id=1vd5uP5Ltq2nSBS_OURlH8Ut3edvUtlk7</v>
      </c>
      <c r="L2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1!$E:$E"")=$D238) *
        (IMPORTRANGE(""https://docs.google.com/spreadsheets/d/161aHT6vVT3SLneTKD19N5qVWtnj_jIT8CSsOmUVKmaA"&amp;"/edit?gid=1761053510"",
          ""Haris_Form responses 1!$AQ:$AQ"")=3)
      ),
      1
    ),
    ""0""
  ),
  ""Form not found""
)
"),"3")</f>
        <v>3</v>
      </c>
      <c r="M238" s="245" t="str">
        <f>IFERROR(__xludf.DUMMYFUNCTION("IFERROR(
  INDEX(
    FILTER(
      Transcription!$AJ:$AJ,
      TRIM(CLEAN(TEXT(Transcription!$F:$F, ""@""))) = TRIM(CLEAN(TEXT($D238, ""@""))),
      Transcription!$AO:$AO = 3
    ),
    1
  ),
  ""Not Found""
)
"),"https://drive.google.com/open?id=1uBy1K-o-uS6M1s5ZlwBF84HXNOml31OvYWblA3--G_o")</f>
        <v>https://drive.google.com/open?id=1uBy1K-o-uS6M1s5ZlwBF84HXNOml31OvYWblA3--G_o</v>
      </c>
      <c r="N2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TRIM(CLEAN(TEXT($D238, ""@""))),
      IMPORTRANGE(""https://docs.google.com/spreadsheets/d/1DccNxjBgurEr0ABkI_"&amp;"rBagJT5phB5HaHG5N_mTm_BiA/edit?gid=1382299152#gid=1382299152"", ""Form responses 1!$Z:$Z"") = 4
    ),
    1
  ),
  ""Not Found""
)
"),"https://drive.google.com/open?id=1Zgc0ZE2Cg11V6qlrgTn746WOIeKhfN95")</f>
        <v>https://drive.google.com/open?id=1Zgc0ZE2Cg11V6qlrgTn746WOIeKhfN95</v>
      </c>
      <c r="O2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1!$E:$E"")=$D238) *
        (IMPORTRANGE(""https://docs.google.com/spreadsheets/d/161aHT6vVT3SLneTKD19N5qVWtnj_jIT8CSsOmUVKmaA"&amp;"/edit?gid=1761053510"",
          ""Haris_Form responses 1!$AQ:$AQ"")=4)
      ),
      1
    ),
    ""0""
  ),
  ""Form not found""
)
"),"4")</f>
        <v>4</v>
      </c>
      <c r="P238" s="245" t="str">
        <f>IFERROR(__xludf.DUMMYFUNCTION("IFERROR(
  INDEX(
    FILTER(
      Transcription!$AJ:$AJ,
      TRIM(CLEAN(TEXT(Transcription!$F:$F, ""@""))) = TRIM(CLEAN(TEXT($D238, ""@""))),
      Transcription!$AO:$AO = 4
    ),
    1
  ),
  ""Not Found""
)
"),"https://drive.google.com/open?id=1qD4o2j8zNW4svZwQb8VCb6_qZR-74WWu")</f>
        <v>https://drive.google.com/open?id=1qD4o2j8zNW4svZwQb8VCb6_qZR-74WWu</v>
      </c>
      <c r="Q2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TRIM(CLEAN(TEXT($D238, ""@""))),
      IMPORTRANGE(""https://docs.google.com/spreadsheets/d/1DccNxjBgurEr0ABkI_"&amp;"rBagJT5phB5HaHG5N_mTm_BiA/edit?gid=1382299152#gid=1382299152"", ""Form responses 1!$Z:$Z"") = 5
    ),
    1
  ),
  ""Not Found""
)
"),"https://drive.google.com/file/d/1tULFWmFTTPpDFujlycatQJ_bMC727KL3/view?usp=drive_link")</f>
        <v>https://drive.google.com/file/d/1tULFWmFTTPpDFujlycatQJ_bMC727KL3/view?usp=drive_link</v>
      </c>
      <c r="R2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1!$E:$E"")=$D238) *
        (IMPORTRANGE(""https://docs.google.com/spreadsheets/d/161aHT6vVT3SLneTKD19N5qVWtnj_jIT8CSsOmUVKmaA"&amp;"/edit?gid=1761053510"",
          ""Haris_Form responses 1!$AQ:$AQ"")=5)
      ),
      1
    ),
    ""0""
  ),
  ""Form not found""
)
"),"5")</f>
        <v>5</v>
      </c>
      <c r="S238" s="245" t="str">
        <f>IFERROR(__xludf.DUMMYFUNCTION("IFERROR(
  INDEX(
    FILTER(
      Transcription!$AJ:$AJ,
      TRIM(CLEAN(TEXT(Transcription!$F:$F, ""@""))) = TRIM(CLEAN(TEXT($D238, ""@""))),
      Transcription!$AO:$AO = 5
    ),
    1
  ),
  ""Not Found""
)
"),"https://drive.google.com/open?id=1-wTVwHJFwG1mFC4otxHiftj7LvmQwUGGhPaj8MMc14I")</f>
        <v>https://drive.google.com/open?id=1-wTVwHJFwG1mFC4otxHiftj7LvmQwUGGhPaj8MMc14I</v>
      </c>
      <c r="T23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TRIM(CLEAN(TEXT($D238, ""@""))),
      IMPORTRANGE(""https://docs.google.com/spreadsheets/d/1DccNxjBgurEr0ABkI_"&amp;"rBagJT5phB5HaHG5N_mTm_BiA/edit?gid=1382299152#gid=1382299152"", ""Form responses 1!$Z:$Z"") = 6
    ),
    1
  ),
  ""Not Found""
)
"),"https://drive.google.com/open?id=12DqR8s7rQdVH8tYl9WOiW4M_Lkx9ofdQ")</f>
        <v>https://drive.google.com/open?id=12DqR8s7rQdVH8tYl9WOiW4M_Lkx9ofdQ</v>
      </c>
      <c r="U23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1!$E:$E"")=$D238) *
        (IMPORTRANGE(""https://docs.google.com/spreadsheets/d/161aHT6vVT3SLneTKD19N5qVWtnj_jIT8CSsOmUVKmaA"&amp;"/edit?gid=1761053510"",
          ""Haris_Form responses 1!$AQ:$AQ"")=6)
      ),
      1
    ),
    ""0""
  ),
  ""Form not found""
)
"),"6")</f>
        <v>6</v>
      </c>
      <c r="V238" s="245" t="str">
        <f>IFERROR(__xludf.DUMMYFUNCTION("IFERROR(
  INDEX(
    FILTER(
      Transcription!$AJ:$AJ,
      TRIM(CLEAN(TEXT(Transcription!$F:$F, ""@""))) = TRIM(CLEAN(TEXT($D238, ""@""))),
      Transcription!$AO:$AO = 6
    ),
    1
  ),
  ""Not Found""
)
"),"https://drive.google.com/open?id=1YFf3WTkJmGwVzl4mp0bMwHJ3DzzPsC7O")</f>
        <v>https://drive.google.com/open?id=1YFf3WTkJmGwVzl4mp0bMwHJ3DzzPsC7O</v>
      </c>
      <c r="Z238" s="10">
        <f t="shared" si="1"/>
        <v>6</v>
      </c>
      <c r="AA238" s="10">
        <f t="shared" si="2"/>
        <v>0</v>
      </c>
    </row>
    <row r="239">
      <c r="A239" s="8" t="str">
        <f>VLOOKUP($D239,Sheet6!$B:$G,5,FALSE)</f>
        <v>Okara</v>
      </c>
      <c r="B239" s="232" t="str">
        <f>VLOOKUP($D239,Sheet6!$B:$G,4,FALSE)</f>
        <v>Women Religious Info Share</v>
      </c>
      <c r="C239" s="8">
        <v>6.0</v>
      </c>
      <c r="D239" s="8" t="s">
        <v>4676</v>
      </c>
      <c r="E2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TRIM(CLEAN(TEXT($D239, ""@""))),
      IMPORTRANGE(""https://docs.google.com/spreadsheets/d/1DccNxjBgurEr0ABkI_"&amp;"rBagJT5phB5HaHG5N_mTm_BiA/edit?gid=1382299152#gid=1382299152"", ""Form responses 1!$Z:$Z"") = 1
    ),
    1
  ),
  ""Not Found""
)
"),"https://drive.google.com/open?id=13JAJq2irAbPB28YLIumJkUnO2iIaQlng")</f>
        <v>https://drive.google.com/open?id=13JAJq2irAbPB28YLIumJkUnO2iIaQlng</v>
      </c>
      <c r="F2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1!$E:$E"")=$D239) *
        (IMPORTRANGE(""https://docs.google.com/spreadsheets/d/161aHT6vVT3SLneTKD19N5qVWtnj_jIT8CSsOmUVKmaA"&amp;"/edit?gid=1761053510"",
          ""Haris_Form responses 1!$AQ:$AQ"")=1)
      ),
      1
    ),
    ""0""
  ),
  ""Form not found""
)
"),"1")</f>
        <v>1</v>
      </c>
      <c r="G239" s="245" t="str">
        <f>IFERROR(__xludf.DUMMYFUNCTION("IFERROR(
  INDEX(
    FILTER(
      Transcription!$AJ:$AJ,
      TRIM(CLEAN(TEXT(Transcription!$F:$F, ""@""))) = TRIM(CLEAN(TEXT($D239, ""@""))),
      Transcription!$AO:$AO = 1
    ),
    1
  ),
  ""Not Found""
)
"),"https://drive.google.com/open?id=1ePiv0Etv1XEBzxNKsgK1qpB7D4vIrqfmCZIoThaebJs")</f>
        <v>https://drive.google.com/open?id=1ePiv0Etv1XEBzxNKsgK1qpB7D4vIrqfmCZIoThaebJs</v>
      </c>
      <c r="H2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TRIM(CLEAN(TEXT($D239, ""@""))),
      IMPORTRANGE(""https://docs.google.com/spreadsheets/d/1DccNxjBgurEr0ABkI_"&amp;"rBagJT5phB5HaHG5N_mTm_BiA/edit?gid=1382299152#gid=1382299152"", ""Form responses 1!$Z:$Z"") = 2
    ),
    1
  ),
  ""Not Found""
)
"),"https://drive.google.com/open?id=1T6gbWMk8FrG4sawH2b0io118FLKhAKPp")</f>
        <v>https://drive.google.com/open?id=1T6gbWMk8FrG4sawH2b0io118FLKhAKPp</v>
      </c>
      <c r="I2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1!$E:$E"")=$D239) *
        (IMPORTRANGE(""https://docs.google.com/spreadsheets/d/161aHT6vVT3SLneTKD19N5qVWtnj_jIT8CSsOmUVKmaA"&amp;"/edit?gid=1761053510"",
          ""Haris_Form responses 1!$AQ:$AQ"")=2)
      ),
      1
    ),
    ""0""
  ),
  ""Form not found""
)
"),"2")</f>
        <v>2</v>
      </c>
      <c r="J239" s="245" t="str">
        <f>IFERROR(__xludf.DUMMYFUNCTION("IFERROR(
  INDEX(
    FILTER(
      Transcription!$AJ:$AJ,
      TRIM(CLEAN(TEXT(Transcription!$F:$F, ""@""))) = TRIM(CLEAN(TEXT($D239, ""@""))),
      Transcription!$AO:$AO = 2
    ),
    1
  ),
  ""Not Found""
)
"),"https://drive.google.com/open?id=1xD5ISXnzqoB9zi-Sx0o4DIUIPmm7pBGwNMCGkoaVEQE")</f>
        <v>https://drive.google.com/open?id=1xD5ISXnzqoB9zi-Sx0o4DIUIPmm7pBGwNMCGkoaVEQE</v>
      </c>
      <c r="K2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TRIM(CLEAN(TEXT($D239, ""@""))),
      IMPORTRANGE(""https://docs.google.com/spreadsheets/d/1DccNxjBgurEr0ABkI_"&amp;"rBagJT5phB5HaHG5N_mTm_BiA/edit?gid=1382299152#gid=1382299152"", ""Form responses 1!$Z:$Z"") = 3
    ),
    1
  ),
  ""Not Found""
)
"),"https://drive.google.com/open?id=1hkMgxkUMh1kMCUZf8022yuVgzaw_OZGl")</f>
        <v>https://drive.google.com/open?id=1hkMgxkUMh1kMCUZf8022yuVgzaw_OZGl</v>
      </c>
      <c r="L2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1!$E:$E"")=$D239) *
        (IMPORTRANGE(""https://docs.google.com/spreadsheets/d/161aHT6vVT3SLneTKD19N5qVWtnj_jIT8CSsOmUVKmaA"&amp;"/edit?gid=1761053510"",
          ""Haris_Form responses 1!$AQ:$AQ"")=3)
      ),
      1
    ),
    ""0""
  ),
  ""Form not found""
)
"),"3")</f>
        <v>3</v>
      </c>
      <c r="M239" s="245" t="str">
        <f>IFERROR(__xludf.DUMMYFUNCTION("IFERROR(
  INDEX(
    FILTER(
      Transcription!$AJ:$AJ,
      TRIM(CLEAN(TEXT(Transcription!$F:$F, ""@""))) = TRIM(CLEAN(TEXT($D239, ""@""))),
      Transcription!$AO:$AO = 3
    ),
    1
  ),
  ""Not Found""
)
"),"https://drive.google.com/open?id=1ErRkIyICBfLBz23guGFV6y1K1_ZKE5ZGjeyntfvoY2Y")</f>
        <v>https://drive.google.com/open?id=1ErRkIyICBfLBz23guGFV6y1K1_ZKE5ZGjeyntfvoY2Y</v>
      </c>
      <c r="N2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TRIM(CLEAN(TEXT($D239, ""@""))),
      IMPORTRANGE(""https://docs.google.com/spreadsheets/d/1DccNxjBgurEr0ABkI_"&amp;"rBagJT5phB5HaHG5N_mTm_BiA/edit?gid=1382299152#gid=1382299152"", ""Form responses 1!$Z:$Z"") = 4
    ),
    1
  ),
  ""Not Found""
)
"),"https://drive.google.com/open?id=1E0wrc94a_ME2m16PYXvVVdCUQHofI9rd")</f>
        <v>https://drive.google.com/open?id=1E0wrc94a_ME2m16PYXvVVdCUQHofI9rd</v>
      </c>
      <c r="O2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1!$E:$E"")=$D239) *
        (IMPORTRANGE(""https://docs.google.com/spreadsheets/d/161aHT6vVT3SLneTKD19N5qVWtnj_jIT8CSsOmUVKmaA"&amp;"/edit?gid=1761053510"",
          ""Haris_Form responses 1!$AQ:$AQ"")=4)
      ),
      1
    ),
    ""0""
  ),
  ""Form not found""
)
"),"4")</f>
        <v>4</v>
      </c>
      <c r="P239" s="245" t="str">
        <f>IFERROR(__xludf.DUMMYFUNCTION("IFERROR(
  INDEX(
    FILTER(
      Transcription!$AJ:$AJ,
      TRIM(CLEAN(TEXT(Transcription!$F:$F, ""@""))) = TRIM(CLEAN(TEXT($D239, ""@""))),
      Transcription!$AO:$AO = 4
    ),
    1
  ),
  ""Not Found""
)
"),"https://drive.google.com/open?id=1xHFEcfQwhiALCqV9xSC5xKfuty2wGoyQE3Fzuc0wEx8")</f>
        <v>https://drive.google.com/open?id=1xHFEcfQwhiALCqV9xSC5xKfuty2wGoyQE3Fzuc0wEx8</v>
      </c>
      <c r="Q2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TRIM(CLEAN(TEXT($D239, ""@""))),
      IMPORTRANGE(""https://docs.google.com/spreadsheets/d/1DccNxjBgurEr0ABkI_"&amp;"rBagJT5phB5HaHG5N_mTm_BiA/edit?gid=1382299152#gid=1382299152"", ""Form responses 1!$Z:$Z"") = 5
    ),
    1
  ),
  ""Not Found""
)
"),"https://drive.google.com/file/d/1LBlDxrdCVi_H7uCjecLKgnNNAjNcI-kg/view?usp=drive_link")</f>
        <v>https://drive.google.com/file/d/1LBlDxrdCVi_H7uCjecLKgnNNAjNcI-kg/view?usp=drive_link</v>
      </c>
      <c r="R2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1!$E:$E"")=$D239) *
        (IMPORTRANGE(""https://docs.google.com/spreadsheets/d/161aHT6vVT3SLneTKD19N5qVWtnj_jIT8CSsOmUVKmaA"&amp;"/edit?gid=1761053510"",
          ""Haris_Form responses 1!$AQ:$AQ"")=5)
      ),
      1
    ),
    ""0""
  ),
  ""Form not found""
)
"),"5")</f>
        <v>5</v>
      </c>
      <c r="S239" s="245" t="str">
        <f>IFERROR(__xludf.DUMMYFUNCTION("IFERROR(
  INDEX(
    FILTER(
      Transcription!$AJ:$AJ,
      TRIM(CLEAN(TEXT(Transcription!$F:$F, ""@""))) = TRIM(CLEAN(TEXT($D239, ""@""))),
      Transcription!$AO:$AO = 5
    ),
    1
  ),
  ""Not Found""
)
"),"https://drive.google.com/open?id=1D6sY078M_mTgMMHZ4bq5Wn2Cy_ba2Eee")</f>
        <v>https://drive.google.com/open?id=1D6sY078M_mTgMMHZ4bq5Wn2Cy_ba2Eee</v>
      </c>
      <c r="T23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TRIM(CLEAN(TEXT($D239, ""@""))),
      IMPORTRANGE(""https://docs.google.com/spreadsheets/d/1DccNxjBgurEr0ABkI_"&amp;"rBagJT5phB5HaHG5N_mTm_BiA/edit?gid=1382299152#gid=1382299152"", ""Form responses 1!$Z:$Z"") = 6
    ),
    1
  ),
  ""Not Found""
)
"),"https://drive.google.com/open?id=19Es9R0QsOEiPvydzUqRRfJaG7DYiX7pf")</f>
        <v>https://drive.google.com/open?id=19Es9R0QsOEiPvydzUqRRfJaG7DYiX7pf</v>
      </c>
      <c r="U23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1!$E:$E"")=$D239) *
        (IMPORTRANGE(""https://docs.google.com/spreadsheets/d/161aHT6vVT3SLneTKD19N5qVWtnj_jIT8CSsOmUVKmaA"&amp;"/edit?gid=1761053510"",
          ""Haris_Form responses 1!$AQ:$AQ"")=6)
      ),
      1
    ),
    ""0""
  ),
  ""Form not found""
)
"),"6")</f>
        <v>6</v>
      </c>
      <c r="V239" s="245" t="str">
        <f>IFERROR(__xludf.DUMMYFUNCTION("IFERROR(
  INDEX(
    FILTER(
      Transcription!$AJ:$AJ,
      TRIM(CLEAN(TEXT(Transcription!$F:$F, ""@""))) = TRIM(CLEAN(TEXT($D239, ""@""))),
      Transcription!$AO:$AO = 6
    ),
    1
  ),
  ""Not Found""
)
"),"https://drive.google.com/open?id=1NWOrCh2Eu6_k31zsGOn0-nxRk8Ra5tZekLWIWg6R8mw")</f>
        <v>https://drive.google.com/open?id=1NWOrCh2Eu6_k31zsGOn0-nxRk8Ra5tZekLWIWg6R8mw</v>
      </c>
      <c r="Z239" s="10">
        <f t="shared" si="1"/>
        <v>6</v>
      </c>
      <c r="AA239" s="10">
        <f t="shared" si="2"/>
        <v>0</v>
      </c>
    </row>
    <row r="240">
      <c r="A240" s="8" t="str">
        <f>VLOOKUP($D240,Sheet6!$B:$G,5,FALSE)</f>
        <v>Okara</v>
      </c>
      <c r="B240" s="232" t="str">
        <f>VLOOKUP($D240,Sheet6!$B:$G,4,FALSE)</f>
        <v>Women Secular Info Share</v>
      </c>
      <c r="C240" s="8">
        <v>5.0</v>
      </c>
      <c r="D240" s="8" t="s">
        <v>4677</v>
      </c>
      <c r="E2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TRIM(CLEAN(TEXT($D240, ""@""))),
      IMPORTRANGE(""https://docs.google.com/spreadsheets/d/1DccNxjBgurEr0ABkI_"&amp;"rBagJT5phB5HaHG5N_mTm_BiA/edit?gid=1382299152#gid=1382299152"", ""Form responses 1!$Z:$Z"") = 1
    ),
    1
  ),
  ""Not Found""
)
"),"https://drive.google.com/open?id=1q5LCraaTyUj30JQtNozSZuTnDYYrJS5F")</f>
        <v>https://drive.google.com/open?id=1q5LCraaTyUj30JQtNozSZuTnDYYrJS5F</v>
      </c>
      <c r="F2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1!$E:$E"")=$D240) *
        (IMPORTRANGE(""https://docs.google.com/spreadsheets/d/161aHT6vVT3SLneTKD19N5qVWtnj_jIT8CSsOmUVKmaA"&amp;"/edit?gid=1761053510"",
          ""Haris_Form responses 1!$AQ:$AQ"")=1)
      ),
      1
    ),
    ""0""
  ),
  ""Form not found""
)
"),"1")</f>
        <v>1</v>
      </c>
      <c r="G240" s="245" t="str">
        <f>IFERROR(__xludf.DUMMYFUNCTION("IFERROR(
  INDEX(
    FILTER(
      Transcription!$AJ:$AJ,
      TRIM(CLEAN(TEXT(Transcription!$F:$F, ""@""))) = TRIM(CLEAN(TEXT($D240, ""@""))),
      Transcription!$AO:$AO = 1
    ),
    1
  ),
  ""Not Found""
)
"),"https://drive.google.com/open?id=19QnL5BinTJ-iWAQRwfYdDGJ0n8ZeoJLb_ulvCDwLvrU")</f>
        <v>https://drive.google.com/open?id=19QnL5BinTJ-iWAQRwfYdDGJ0n8ZeoJLb_ulvCDwLvrU</v>
      </c>
      <c r="H2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TRIM(CLEAN(TEXT($D240, ""@""))),
      IMPORTRANGE(""https://docs.google.com/spreadsheets/d/1DccNxjBgurEr0ABkI_"&amp;"rBagJT5phB5HaHG5N_mTm_BiA/edit?gid=1382299152#gid=1382299152"", ""Form responses 1!$Z:$Z"") = 2
    ),
    1
  ),
  ""Not Found""
)
"),"https://drive.google.com/open?id=118l2jUHbafIJXeLWdZBdSKGFHi3niFTv")</f>
        <v>https://drive.google.com/open?id=118l2jUHbafIJXeLWdZBdSKGFHi3niFTv</v>
      </c>
      <c r="I2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1!$E:$E"")=$D240) *
        (IMPORTRANGE(""https://docs.google.com/spreadsheets/d/161aHT6vVT3SLneTKD19N5qVWtnj_jIT8CSsOmUVKmaA"&amp;"/edit?gid=1761053510"",
          ""Haris_Form responses 1!$AQ:$AQ"")=2)
      ),
      1
    ),
    ""0""
  ),
  ""Form not found""
)
"),"2")</f>
        <v>2</v>
      </c>
      <c r="J240" s="245" t="str">
        <f>IFERROR(__xludf.DUMMYFUNCTION("IFERROR(
  INDEX(
    FILTER(
      Transcription!$AJ:$AJ,
      TRIM(CLEAN(TEXT(Transcription!$F:$F, ""@""))) = TRIM(CLEAN(TEXT($D240, ""@""))),
      Transcription!$AO:$AO = 2
    ),
    1
  ),
  ""Not Found""
)
"),"https://drive.google.com/open?id=1mmlwDHEVndmd5MLmXalewBmhDqhC2W5L")</f>
        <v>https://drive.google.com/open?id=1mmlwDHEVndmd5MLmXalewBmhDqhC2W5L</v>
      </c>
      <c r="K2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TRIM(CLEAN(TEXT($D240, ""@""))),
      IMPORTRANGE(""https://docs.google.com/spreadsheets/d/1DccNxjBgurEr0ABkI_"&amp;"rBagJT5phB5HaHG5N_mTm_BiA/edit?gid=1382299152#gid=1382299152"", ""Form responses 1!$Z:$Z"") = 3
    ),
    1
  ),
  ""Not Found""
)
"),"https://drive.google.com/open?id=1dVhiLRbE8kj7gG6ZrtxtZPrFJQW7z7CK")</f>
        <v>https://drive.google.com/open?id=1dVhiLRbE8kj7gG6ZrtxtZPrFJQW7z7CK</v>
      </c>
      <c r="L2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1!$E:$E"")=$D240) *
        (IMPORTRANGE(""https://docs.google.com/spreadsheets/d/161aHT6vVT3SLneTKD19N5qVWtnj_jIT8CSsOmUVKmaA"&amp;"/edit?gid=1761053510"",
          ""Haris_Form responses 1!$AQ:$AQ"")=3)
      ),
      1
    ),
    ""0""
  ),
  ""Form not found""
)
"),"3")</f>
        <v>3</v>
      </c>
      <c r="M240" s="245" t="str">
        <f>IFERROR(__xludf.DUMMYFUNCTION("IFERROR(
  INDEX(
    FILTER(
      Transcription!$AJ:$AJ,
      TRIM(CLEAN(TEXT(Transcription!$F:$F, ""@""))) = TRIM(CLEAN(TEXT($D240, ""@""))),
      Transcription!$AO:$AO = 3
    ),
    1
  ),
  ""Not Found""
)
"),"https://drive.google.com/open?id=1wu3TqTx1Mi9A6pJfRZFBseKD1ljNQjRec-QVXMEUapM")</f>
        <v>https://drive.google.com/open?id=1wu3TqTx1Mi9A6pJfRZFBseKD1ljNQjRec-QVXMEUapM</v>
      </c>
      <c r="N2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TRIM(CLEAN(TEXT($D240, ""@""))),
      IMPORTRANGE(""https://docs.google.com/spreadsheets/d/1DccNxjBgurEr0ABkI_"&amp;"rBagJT5phB5HaHG5N_mTm_BiA/edit?gid=1382299152#gid=1382299152"", ""Form responses 1!$Z:$Z"") = 4
    ),
    1
  ),
  ""Not Found""
)
"),"https://drive.google.com/open?id=1JMg9lRzAm5YVaso8L6jYuFwhptvNL3lu")</f>
        <v>https://drive.google.com/open?id=1JMg9lRzAm5YVaso8L6jYuFwhptvNL3lu</v>
      </c>
      <c r="O2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1!$E:$E"")=$D240) *
        (IMPORTRANGE(""https://docs.google.com/spreadsheets/d/161aHT6vVT3SLneTKD19N5qVWtnj_jIT8CSsOmUVKmaA"&amp;"/edit?gid=1761053510"",
          ""Haris_Form responses 1!$AQ:$AQ"")=4)
      ),
      1
    ),
    ""0""
  ),
  ""Form not found""
)
"),"4")</f>
        <v>4</v>
      </c>
      <c r="P240" s="245" t="str">
        <f>IFERROR(__xludf.DUMMYFUNCTION("IFERROR(
  INDEX(
    FILTER(
      Transcription!$AJ:$AJ,
      TRIM(CLEAN(TEXT(Transcription!$F:$F, ""@""))) = TRIM(CLEAN(TEXT($D240, ""@""))),
      Transcription!$AO:$AO = 4
    ),
    1
  ),
  ""Not Found""
)
"),"https://drive.google.com/open?id=1rtj5QP8MQRLO94RUKFkYI1cMDOHAGAnU")</f>
        <v>https://drive.google.com/open?id=1rtj5QP8MQRLO94RUKFkYI1cMDOHAGAnU</v>
      </c>
      <c r="Q24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TRIM(CLEAN(TEXT($D240, ""@""))),
      IMPORTRANGE(""https://docs.google.com/spreadsheets/d/1DccNxjBgurEr0ABkI_"&amp;"rBagJT5phB5HaHG5N_mTm_BiA/edit?gid=1382299152#gid=1382299152"", ""Form responses 1!$Z:$Z"") = 5
    ),
    1
  ),
  ""Not Found""
)
"),"https://drive.google.com/open?id=1x-qqBRvSJOJtXL66juGwfougZOwJDqD7")</f>
        <v>https://drive.google.com/open?id=1x-qqBRvSJOJtXL66juGwfougZOwJDqD7</v>
      </c>
      <c r="R2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1!$E:$E"")=$D240) *
        (IMPORTRANGE(""https://docs.google.com/spreadsheets/d/161aHT6vVT3SLneTKD19N5qVWtnj_jIT8CSsOmUVKmaA"&amp;"/edit?gid=1761053510"",
          ""Haris_Form responses 1!$AQ:$AQ"")=5)
      ),
      1
    ),
    ""0""
  ),
  ""Form not found""
)
"),"5")</f>
        <v>5</v>
      </c>
      <c r="S240" s="245" t="str">
        <f>IFERROR(__xludf.DUMMYFUNCTION("IFERROR(
  INDEX(
    FILTER(
      Transcription!$AJ:$AJ,
      TRIM(CLEAN(TEXT(Transcription!$F:$F, ""@""))) = TRIM(CLEAN(TEXT($D240, ""@""))),
      Transcription!$AO:$AO = 5
    ),
    1
  ),
  ""Not Found""
)
"),"https://drive.google.com/open?id=1sKdwUF4gfTDiDtFo_t3p9JdS2r_4eesLloslzO23fMo")</f>
        <v>https://drive.google.com/open?id=1sKdwUF4gfTDiDtFo_t3p9JdS2r_4eesLloslzO23fMo</v>
      </c>
      <c r="T24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TRIM(CLEAN(TEXT($D240, ""@""))),
      IMPORTRANGE(""https://docs.google.com/spreadsheets/d/1DccNxjBgurEr0ABkI_"&amp;"rBagJT5phB5HaHG5N_mTm_BiA/edit?gid=1382299152#gid=1382299152"", ""Form responses 1!$Z:$Z"") = 6
    ),
    1
  ),
  ""Not Found""
)
"),"Not Found")</f>
        <v>Not Found</v>
      </c>
      <c r="U24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1!$E:$E"")=$D240) *
        (IMPORTRANGE(""https://docs.google.com/spreadsheets/d/161aHT6vVT3SLneTKD19N5qVWtnj_jIT8CSsOmUVKmaA"&amp;"/edit?gid=1761053510"",
          ""Haris_Form responses 1!$AQ:$AQ"")=6)
      ),
      1
    ),
    ""0""
  ),
  ""Form not found""
)
"),"Form not found")</f>
        <v>Form not found</v>
      </c>
      <c r="V240" s="247" t="str">
        <f>IFERROR(__xludf.DUMMYFUNCTION("IFERROR(
  INDEX(
    FILTER(
      Transcription!$AJ:$AJ,
      TRIM(CLEAN(TEXT(Transcription!$F:$F, ""@""))) = TRIM(CLEAN(TEXT($D240, ""@""))),
      Transcription!$AO:$AO = 6
    ),
    1
  ),
  ""Not Found""
)
"),"Not Found")</f>
        <v>Not Found</v>
      </c>
      <c r="Z240" s="10">
        <f t="shared" si="1"/>
        <v>5</v>
      </c>
      <c r="AA240" s="10">
        <f t="shared" si="2"/>
        <v>0</v>
      </c>
    </row>
    <row r="241">
      <c r="A241" s="8" t="str">
        <f>VLOOKUP($D241,Sheet6!$B:$G,5,FALSE)</f>
        <v>Okara</v>
      </c>
      <c r="B241" s="232" t="str">
        <f>VLOOKUP($D241,Sheet6!$B:$G,4,FALSE)</f>
        <v>Control</v>
      </c>
      <c r="C241" s="8">
        <v>2.0</v>
      </c>
      <c r="D241" s="8" t="s">
        <v>4678</v>
      </c>
      <c r="E24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TRIM(CLEAN(TEXT($D241, ""@""))),
      IMPORTRANGE(""https://docs.google.com/spreadsheets/d/1DccNxjBgurEr0ABkI_"&amp;"rBagJT5phB5HaHG5N_mTm_BiA/edit?gid=1382299152#gid=1382299152"", ""Form responses 1!$Z:$Z"") = 1
    ),
    1
  ),
  ""Not Found""
)
"),"https://drive.google.com/open?id=16NfHoFKpIhQLrdiaA30xSjjfnmQk5WuR")</f>
        <v>https://drive.google.com/open?id=16NfHoFKpIhQLrdiaA30xSjjfnmQk5WuR</v>
      </c>
      <c r="F2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1!$E:$E"")=$D241) *
        (IMPORTRANGE(""https://docs.google.com/spreadsheets/d/161aHT6vVT3SLneTKD19N5qVWtnj_jIT8CSsOmUVKmaA"&amp;"/edit?gid=1761053510"",
          ""Haris_Form responses 1!$AQ:$AQ"")=1)
      ),
      1
    ),
    ""0""
  ),
  ""Form not found""
)
"),"1")</f>
        <v>1</v>
      </c>
      <c r="G241" s="245" t="str">
        <f>IFERROR(__xludf.DUMMYFUNCTION("IFERROR(
  INDEX(
    FILTER(
      Transcription!$AJ:$AJ,
      TRIM(CLEAN(TEXT(Transcription!$F:$F, ""@""))) = TRIM(CLEAN(TEXT($D241, ""@""))),
      Transcription!$AO:$AO = 1
    ),
    1
  ),
  ""Not Found""
)
"),"https://drive.google.com/open?id=1TFUHK418b_PcZbMkcTwM6dvu8fjGbQq0Vf4h3aiWt3U")</f>
        <v>https://drive.google.com/open?id=1TFUHK418b_PcZbMkcTwM6dvu8fjGbQq0Vf4h3aiWt3U</v>
      </c>
      <c r="H2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TRIM(CLEAN(TEXT($D241, ""@""))),
      IMPORTRANGE(""https://docs.google.com/spreadsheets/d/1DccNxjBgurEr0ABkI_"&amp;"rBagJT5phB5HaHG5N_mTm_BiA/edit?gid=1382299152#gid=1382299152"", ""Form responses 1!$Z:$Z"") = 2
    ),
    1
  ),
  ""Not Found""
)
"),"Not Found")</f>
        <v>Not Found</v>
      </c>
      <c r="I2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1!$E:$E"")=$D241) *
        (IMPORTRANGE(""https://docs.google.com/spreadsheets/d/161aHT6vVT3SLneTKD19N5qVWtnj_jIT8CSsOmUVKmaA"&amp;"/edit?gid=1761053510"",
          ""Haris_Form responses 1!$AQ:$AQ"")=2)
      ),
      1
    ),
    ""0""
  ),
  ""Form not found""
)
"),"Form not found")</f>
        <v>Form not found</v>
      </c>
      <c r="J241" s="247" t="str">
        <f>IFERROR(__xludf.DUMMYFUNCTION("IFERROR(
  INDEX(
    FILTER(
      Transcription!$AJ:$AJ,
      TRIM(CLEAN(TEXT(Transcription!$F:$F, ""@""))) = TRIM(CLEAN(TEXT($D241, ""@""))),
      Transcription!$AO:$AO = 2
    ),
    1
  ),
  ""Not Found""
)
"),"Not Found")</f>
        <v>Not Found</v>
      </c>
      <c r="K24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TRIM(CLEAN(TEXT($D241, ""@""))),
      IMPORTRANGE(""https://docs.google.com/spreadsheets/d/1DccNxjBgurEr0ABkI_"&amp;"rBagJT5phB5HaHG5N_mTm_BiA/edit?gid=1382299152#gid=1382299152"", ""Form responses 1!$Z:$Z"") = 3
    ),
    1
  ),
  ""Not Found""
)
"),"https://drive.google.com/open?id=1vFCIZGI8MLcFUZv-GZRv7m7gPI6gS5am")</f>
        <v>https://drive.google.com/open?id=1vFCIZGI8MLcFUZv-GZRv7m7gPI6gS5am</v>
      </c>
      <c r="L2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1!$E:$E"")=$D241) *
        (IMPORTRANGE(""https://docs.google.com/spreadsheets/d/161aHT6vVT3SLneTKD19N5qVWtnj_jIT8CSsOmUVKmaA"&amp;"/edit?gid=1761053510"",
          ""Haris_Form responses 1!$AQ:$AQ"")=3)
      ),
      1
    ),
    ""0""
  ),
  ""Form not found""
)
"),"3")</f>
        <v>3</v>
      </c>
      <c r="M241" s="245" t="str">
        <f>IFERROR(__xludf.DUMMYFUNCTION("IFERROR(
  INDEX(
    FILTER(
      Transcription!$AJ:$AJ,
      TRIM(CLEAN(TEXT(Transcription!$F:$F, ""@""))) = TRIM(CLEAN(TEXT($D241, ""@""))),
      Transcription!$AO:$AO = 3
    ),
    1
  ),
  ""Not Found""
)
"),"https://drive.google.com/open?id=1oowadSxNt1a5zRjRL6N1ZeCRX7hfLhylEqO28AkiYXY")</f>
        <v>https://drive.google.com/open?id=1oowadSxNt1a5zRjRL6N1ZeCRX7hfLhylEqO28AkiYXY</v>
      </c>
      <c r="N2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TRIM(CLEAN(TEXT($D241, ""@""))),
      IMPORTRANGE(""https://docs.google.com/spreadsheets/d/1DccNxjBgurEr0ABkI_"&amp;"rBagJT5phB5HaHG5N_mTm_BiA/edit?gid=1382299152#gid=1382299152"", ""Form responses 1!$Z:$Z"") = 4
    ),
    1
  ),
  ""Not Found""
)
"),"Not Found")</f>
        <v>Not Found</v>
      </c>
      <c r="O2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1!$E:$E"")=$D241) *
        (IMPORTRANGE(""https://docs.google.com/spreadsheets/d/161aHT6vVT3SLneTKD19N5qVWtnj_jIT8CSsOmUVKmaA"&amp;"/edit?gid=1761053510"",
          ""Haris_Form responses 1!$AQ:$AQ"")=4)
      ),
      1
    ),
    ""0""
  ),
  ""Form not found""
)
"),"Form not found")</f>
        <v>Form not found</v>
      </c>
      <c r="P241" s="247" t="str">
        <f>IFERROR(__xludf.DUMMYFUNCTION("IFERROR(
  INDEX(
    FILTER(
      Transcription!$AJ:$AJ,
      TRIM(CLEAN(TEXT(Transcription!$F:$F, ""@""))) = TRIM(CLEAN(TEXT($D241, ""@""))),
      Transcription!$AO:$AO = 4
    ),
    1
  ),
  ""Not Found""
)
"),"Not Found")</f>
        <v>Not Found</v>
      </c>
      <c r="Q2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TRIM(CLEAN(TEXT($D241, ""@""))),
      IMPORTRANGE(""https://docs.google.com/spreadsheets/d/1DccNxjBgurEr0ABkI_"&amp;"rBagJT5phB5HaHG5N_mTm_BiA/edit?gid=1382299152#gid=1382299152"", ""Form responses 1!$Z:$Z"") = 5
    ),
    1
  ),
  ""Not Found""
)
"),"Not Found")</f>
        <v>Not Found</v>
      </c>
      <c r="R2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1!$E:$E"")=$D241) *
        (IMPORTRANGE(""https://docs.google.com/spreadsheets/d/161aHT6vVT3SLneTKD19N5qVWtnj_jIT8CSsOmUVKmaA"&amp;"/edit?gid=1761053510"",
          ""Haris_Form responses 1!$AQ:$AQ"")=5)
      ),
      1
    ),
    ""0""
  ),
  ""Form not found""
)
"),"Form not found")</f>
        <v>Form not found</v>
      </c>
      <c r="S241" s="247" t="str">
        <f>IFERROR(__xludf.DUMMYFUNCTION("IFERROR(
  INDEX(
    FILTER(
      Transcription!$AJ:$AJ,
      TRIM(CLEAN(TEXT(Transcription!$F:$F, ""@""))) = TRIM(CLEAN(TEXT($D241, ""@""))),
      Transcription!$AO:$AO = 5
    ),
    1
  ),
  ""Not Found""
)
"),"Not Found")</f>
        <v>Not Found</v>
      </c>
      <c r="T24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TRIM(CLEAN(TEXT($D241, ""@""))),
      IMPORTRANGE(""https://docs.google.com/spreadsheets/d/1DccNxjBgurEr0ABkI_"&amp;"rBagJT5phB5HaHG5N_mTm_BiA/edit?gid=1382299152#gid=1382299152"", ""Form responses 1!$Z:$Z"") = 6
    ),
    1
  ),
  ""Not Found""
)
"),"Not Found")</f>
        <v>Not Found</v>
      </c>
      <c r="U24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1!$E:$E"")=$D241) *
        (IMPORTRANGE(""https://docs.google.com/spreadsheets/d/161aHT6vVT3SLneTKD19N5qVWtnj_jIT8CSsOmUVKmaA"&amp;"/edit?gid=1761053510"",
          ""Haris_Form responses 1!$AQ:$AQ"")=6)
      ),
      1
    ),
    ""0""
  ),
  ""Form not found""
)
"),"Form not found")</f>
        <v>Form not found</v>
      </c>
      <c r="V241" s="247" t="str">
        <f>IFERROR(__xludf.DUMMYFUNCTION("IFERROR(
  INDEX(
    FILTER(
      Transcription!$AJ:$AJ,
      TRIM(CLEAN(TEXT(Transcription!$F:$F, ""@""))) = TRIM(CLEAN(TEXT($D241, ""@""))),
      Transcription!$AO:$AO = 6
    ),
    1
  ),
  ""Not Found""
)
"),"Not Found")</f>
        <v>Not Found</v>
      </c>
      <c r="Z241" s="10">
        <f t="shared" si="1"/>
        <v>2</v>
      </c>
      <c r="AA241" s="10">
        <f t="shared" si="2"/>
        <v>0</v>
      </c>
    </row>
    <row r="242">
      <c r="A242" s="8" t="str">
        <f>VLOOKUP($D242,Sheet6!$B:$G,5,FALSE)</f>
        <v>Pakpattan</v>
      </c>
      <c r="B242" s="232" t="str">
        <f>VLOOKUP($D242,Sheet6!$B:$G,4,FALSE)</f>
        <v>Women Religious Info Share</v>
      </c>
      <c r="C242" s="8">
        <v>5.0</v>
      </c>
      <c r="D242" s="8" t="s">
        <v>4679</v>
      </c>
      <c r="E2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TRIM(CLEAN(TEXT($D242, ""@""))),
      IMPORTRANGE(""https://docs.google.com/spreadsheets/d/1DccNxjBgurEr0ABkI_"&amp;"rBagJT5phB5HaHG5N_mTm_BiA/edit?gid=1382299152#gid=1382299152"", ""Form responses 1!$Z:$Z"") = 1
    ),
    1
  ),
  ""Not Found""
)
"),"https://drive.google.com/open?id=1ChNjzZZd0p-PRGWM_uiNVY2bn8530bYS")</f>
        <v>https://drive.google.com/open?id=1ChNjzZZd0p-PRGWM_uiNVY2bn8530bYS</v>
      </c>
      <c r="F2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1!$E:$E"")=$D242) *
        (IMPORTRANGE(""https://docs.google.com/spreadsheets/d/161aHT6vVT3SLneTKD19N5qVWtnj_jIT8CSsOmUVKmaA"&amp;"/edit?gid=1761053510"",
          ""Haris_Form responses 1!$AQ:$AQ"")=1)
      ),
      1
    ),
    ""0""
  ),
  ""Form not found""
)
"),"1")</f>
        <v>1</v>
      </c>
      <c r="G242" s="245" t="str">
        <f>IFERROR(__xludf.DUMMYFUNCTION("IFERROR(
  INDEX(
    FILTER(
      Transcription!$AJ:$AJ,
      TRIM(CLEAN(TEXT(Transcription!$F:$F, ""@""))) = TRIM(CLEAN(TEXT($D242, ""@""))),
      Transcription!$AO:$AO = 1
    ),
    1
  ),
  ""Not Found""
)
"),"https://drive.google.com/open?id=1NQPPBmyYZAiwsLFA75RgEDBCFulQ6a2rzdNCAnak22I")</f>
        <v>https://drive.google.com/open?id=1NQPPBmyYZAiwsLFA75RgEDBCFulQ6a2rzdNCAnak22I</v>
      </c>
      <c r="H2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TRIM(CLEAN(TEXT($D242, ""@""))),
      IMPORTRANGE(""https://docs.google.com/spreadsheets/d/1DccNxjBgurEr0ABkI_"&amp;"rBagJT5phB5HaHG5N_mTm_BiA/edit?gid=1382299152#gid=1382299152"", ""Form responses 1!$Z:$Z"") = 2
    ),
    1
  ),
  ""Not Found""
)
"),"https://drive.google.com/open?id=18jUjv7tN6s4q-nPf-T1A7zb-Nj1Eh_7J")</f>
        <v>https://drive.google.com/open?id=18jUjv7tN6s4q-nPf-T1A7zb-Nj1Eh_7J</v>
      </c>
      <c r="I2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1!$E:$E"")=$D242) *
        (IMPORTRANGE(""https://docs.google.com/spreadsheets/d/161aHT6vVT3SLneTKD19N5qVWtnj_jIT8CSsOmUVKmaA"&amp;"/edit?gid=1761053510"",
          ""Haris_Form responses 1!$AQ:$AQ"")=2)
      ),
      1
    ),
    ""0""
  ),
  ""Form not found""
)
"),"2")</f>
        <v>2</v>
      </c>
      <c r="J242" s="245" t="str">
        <f>IFERROR(__xludf.DUMMYFUNCTION("IFERROR(
  INDEX(
    FILTER(
      Transcription!$AJ:$AJ,
      TRIM(CLEAN(TEXT(Transcription!$F:$F, ""@""))) = TRIM(CLEAN(TEXT($D242, ""@""))),
      Transcription!$AO:$AO = 2
    ),
    1
  ),
  ""Not Found""
)
"),"https://drive.google.com/open?id=1_QeZJ0lePH3E7xcJVfGOZeoOAubriXOJqmpwm_glZNs")</f>
        <v>https://drive.google.com/open?id=1_QeZJ0lePH3E7xcJVfGOZeoOAubriXOJqmpwm_glZNs</v>
      </c>
      <c r="K2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TRIM(CLEAN(TEXT($D242, ""@""))),
      IMPORTRANGE(""https://docs.google.com/spreadsheets/d/1DccNxjBgurEr0ABkI_"&amp;"rBagJT5phB5HaHG5N_mTm_BiA/edit?gid=1382299152#gid=1382299152"", ""Form responses 1!$Z:$Z"") = 3
    ),
    1
  ),
  ""Not Found""
)
"),"https://drive.google.com/open?id=1spRqtGz4oKwDnKrN3anLsU8Q7ejRMEY2")</f>
        <v>https://drive.google.com/open?id=1spRqtGz4oKwDnKrN3anLsU8Q7ejRMEY2</v>
      </c>
      <c r="L2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1!$E:$E"")=$D242) *
        (IMPORTRANGE(""https://docs.google.com/spreadsheets/d/161aHT6vVT3SLneTKD19N5qVWtnj_jIT8CSsOmUVKmaA"&amp;"/edit?gid=1761053510"",
          ""Haris_Form responses 1!$AQ:$AQ"")=3)
      ),
      1
    ),
    ""0""
  ),
  ""Form not found""
)
"),"3")</f>
        <v>3</v>
      </c>
      <c r="M242" s="245" t="str">
        <f>IFERROR(__xludf.DUMMYFUNCTION("IFERROR(
  INDEX(
    FILTER(
      Transcription!$AJ:$AJ,
      TRIM(CLEAN(TEXT(Transcription!$F:$F, ""@""))) = TRIM(CLEAN(TEXT($D242, ""@""))),
      Transcription!$AO:$AO = 3
    ),
    1
  ),
  ""Not Found""
)
"),"https://drive.google.com/open?id=1g0bXqwh9iz7EM5AesgqNNP7K2IdKYhuK")</f>
        <v>https://drive.google.com/open?id=1g0bXqwh9iz7EM5AesgqNNP7K2IdKYhuK</v>
      </c>
      <c r="N2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TRIM(CLEAN(TEXT($D242, ""@""))),
      IMPORTRANGE(""https://docs.google.com/spreadsheets/d/1DccNxjBgurEr0ABkI_"&amp;"rBagJT5phB5HaHG5N_mTm_BiA/edit?gid=1382299152#gid=1382299152"", ""Form responses 1!$Z:$Z"") = 4
    ),
    1
  ),
  ""Not Found""
)
"),"https://drive.google.com/open?id=1oE4K6_3zm-7r4uEevQGQpIAjsCamBPJp")</f>
        <v>https://drive.google.com/open?id=1oE4K6_3zm-7r4uEevQGQpIAjsCamBPJp</v>
      </c>
      <c r="O2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1!$E:$E"")=$D242) *
        (IMPORTRANGE(""https://docs.google.com/spreadsheets/d/161aHT6vVT3SLneTKD19N5qVWtnj_jIT8CSsOmUVKmaA"&amp;"/edit?gid=1761053510"",
          ""Haris_Form responses 1!$AQ:$AQ"")=4)
      ),
      1
    ),
    ""0""
  ),
  ""Form not found""
)
"),"4")</f>
        <v>4</v>
      </c>
      <c r="P242" s="245" t="str">
        <f>IFERROR(__xludf.DUMMYFUNCTION("IFERROR(
  INDEX(
    FILTER(
      Transcription!$AJ:$AJ,
      TRIM(CLEAN(TEXT(Transcription!$F:$F, ""@""))) = TRIM(CLEAN(TEXT($D242, ""@""))),
      Transcription!$AO:$AO = 4
    ),
    1
  ),
  ""Not Found""
)
"),"https://drive.google.com/open?id=1kt99ZGPuxKZiAW4VrTA5B-SZFmPhm9Dr")</f>
        <v>https://drive.google.com/open?id=1kt99ZGPuxKZiAW4VrTA5B-SZFmPhm9Dr</v>
      </c>
      <c r="Q24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TRIM(CLEAN(TEXT($D242, ""@""))),
      IMPORTRANGE(""https://docs.google.com/spreadsheets/d/1DccNxjBgurEr0ABkI_"&amp;"rBagJT5phB5HaHG5N_mTm_BiA/edit?gid=1382299152#gid=1382299152"", ""Form responses 1!$Z:$Z"") = 5
    ),
    1
  ),
  ""Not Found""
)
"),"https://drive.google.com/open?id=16RGgBqzhBMNLMzchnfmHh4m5vZmzZ2cV")</f>
        <v>https://drive.google.com/open?id=16RGgBqzhBMNLMzchnfmHh4m5vZmzZ2cV</v>
      </c>
      <c r="R2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1!$E:$E"")=$D242) *
        (IMPORTRANGE(""https://docs.google.com/spreadsheets/d/161aHT6vVT3SLneTKD19N5qVWtnj_jIT8CSsOmUVKmaA"&amp;"/edit?gid=1761053510"",
          ""Haris_Form responses 1!$AQ:$AQ"")=5)
      ),
      1
    ),
    ""0""
  ),
  ""Form not found""
)
"),"5")</f>
        <v>5</v>
      </c>
      <c r="S242" s="245" t="str">
        <f>IFERROR(__xludf.DUMMYFUNCTION("IFERROR(
  INDEX(
    FILTER(
      Transcription!$AJ:$AJ,
      TRIM(CLEAN(TEXT(Transcription!$F:$F, ""@""))) = TRIM(CLEAN(TEXT($D242, ""@""))),
      Transcription!$AO:$AO = 5
    ),
    1
  ),
  ""Not Found""
)
"),"https://drive.google.com/open?id=1aCroiMlfljehvXXdSijrgOMFADsKk7Dav77gwi0PQyI")</f>
        <v>https://drive.google.com/open?id=1aCroiMlfljehvXXdSijrgOMFADsKk7Dav77gwi0PQyI</v>
      </c>
      <c r="T24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TRIM(CLEAN(TEXT($D242, ""@""))),
      IMPORTRANGE(""https://docs.google.com/spreadsheets/d/1DccNxjBgurEr0ABkI_"&amp;"rBagJT5phB5HaHG5N_mTm_BiA/edit?gid=1382299152#gid=1382299152"", ""Form responses 1!$Z:$Z"") = 6
    ),
    1
  ),
  ""Not Found""
)
"),"Not Found")</f>
        <v>Not Found</v>
      </c>
      <c r="U24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1!$E:$E"")=$D242) *
        (IMPORTRANGE(""https://docs.google.com/spreadsheets/d/161aHT6vVT3SLneTKD19N5qVWtnj_jIT8CSsOmUVKmaA"&amp;"/edit?gid=1761053510"",
          ""Haris_Form responses 1!$AQ:$AQ"")=6)
      ),
      1
    ),
    ""0""
  ),
  ""Form not found""
)
"),"Form not found")</f>
        <v>Form not found</v>
      </c>
      <c r="V242" s="247" t="str">
        <f>IFERROR(__xludf.DUMMYFUNCTION("IFERROR(
  INDEX(
    FILTER(
      Transcription!$AJ:$AJ,
      TRIM(CLEAN(TEXT(Transcription!$F:$F, ""@""))) = TRIM(CLEAN(TEXT($D242, ""@""))),
      Transcription!$AO:$AO = 6
    ),
    1
  ),
  ""Not Found""
)
"),"Not Found")</f>
        <v>Not Found</v>
      </c>
      <c r="Z242" s="10">
        <f t="shared" si="1"/>
        <v>5</v>
      </c>
      <c r="AA242" s="10">
        <f t="shared" si="2"/>
        <v>0</v>
      </c>
    </row>
    <row r="243">
      <c r="A243" s="8" t="str">
        <f>VLOOKUP($D243,Sheet6!$B:$G,5,FALSE)</f>
        <v>Pakpattan</v>
      </c>
      <c r="B243" s="232" t="str">
        <f>VLOOKUP($D243,Sheet6!$B:$G,4,FALSE)</f>
        <v>Community Secular No Info Share</v>
      </c>
      <c r="C243" s="8">
        <v>3.0</v>
      </c>
      <c r="D243" s="8" t="s">
        <v>4680</v>
      </c>
      <c r="E24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TRIM(CLEAN(TEXT($D243, ""@""))),
      IMPORTRANGE(""https://docs.google.com/spreadsheets/d/1DccNxjBgurEr0ABkI_"&amp;"rBagJT5phB5HaHG5N_mTm_BiA/edit?gid=1382299152#gid=1382299152"", ""Form responses 1!$Z:$Z"") = 1
    ),
    1
  ),
  ""Not Found""
)
"),"https://drive.google.com/open?id=1WLp1Rxr2FQZ0X5QOW12hqmxtmSEAZDfn")</f>
        <v>https://drive.google.com/open?id=1WLp1Rxr2FQZ0X5QOW12hqmxtmSEAZDfn</v>
      </c>
      <c r="F2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1!$E:$E"")=$D243) *
        (IMPORTRANGE(""https://docs.google.com/spreadsheets/d/161aHT6vVT3SLneTKD19N5qVWtnj_jIT8CSsOmUVKmaA"&amp;"/edit?gid=1761053510"",
          ""Haris_Form responses 1!$AQ:$AQ"")=1)
      ),
      1
    ),
    ""0""
  ),
  ""Form not found""
)
"),"1")</f>
        <v>1</v>
      </c>
      <c r="G243" s="245" t="str">
        <f>IFERROR(__xludf.DUMMYFUNCTION("IFERROR(
  INDEX(
    FILTER(
      Transcription!$AJ:$AJ,
      TRIM(CLEAN(TEXT(Transcription!$F:$F, ""@""))) = TRIM(CLEAN(TEXT($D243, ""@""))),
      Transcription!$AO:$AO = 1
    ),
    1
  ),
  ""Not Found""
)
"),"https://drive.google.com/open?id=1evGqhkFzmyCx1QK3cZi4IGsF_FD7aeShstGxIhjSUa8")</f>
        <v>https://drive.google.com/open?id=1evGqhkFzmyCx1QK3cZi4IGsF_FD7aeShstGxIhjSUa8</v>
      </c>
      <c r="H24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TRIM(CLEAN(TEXT($D243, ""@""))),
      IMPORTRANGE(""https://docs.google.com/spreadsheets/d/1DccNxjBgurEr0ABkI_"&amp;"rBagJT5phB5HaHG5N_mTm_BiA/edit?gid=1382299152#gid=1382299152"", ""Form responses 1!$Z:$Z"") = 2
    ),
    1
  ),
  ""Not Found""
)
"),"https://drive.google.com/open?id=19E5NRKzcmtunhLyaNFzM7k8Jd9Az9Xe7")</f>
        <v>https://drive.google.com/open?id=19E5NRKzcmtunhLyaNFzM7k8Jd9Az9Xe7</v>
      </c>
      <c r="I2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1!$E:$E"")=$D243) *
        (IMPORTRANGE(""https://docs.google.com/spreadsheets/d/161aHT6vVT3SLneTKD19N5qVWtnj_jIT8CSsOmUVKmaA"&amp;"/edit?gid=1761053510"",
          ""Haris_Form responses 1!$AQ:$AQ"")=2)
      ),
      1
    ),
    ""0""
  ),
  ""Form not found""
)
"),"2")</f>
        <v>2</v>
      </c>
      <c r="J243" s="245" t="str">
        <f>IFERROR(__xludf.DUMMYFUNCTION("IFERROR(
  INDEX(
    FILTER(
      Transcription!$AJ:$AJ,
      TRIM(CLEAN(TEXT(Transcription!$F:$F, ""@""))) = TRIM(CLEAN(TEXT($D243, ""@""))),
      Transcription!$AO:$AO = 2
    ),
    1
  ),
  ""Not Found""
)
"),"https://drive.google.com/open?id=17oxZJZQZSjG713iMxde3d7r40Rh39DGI")</f>
        <v>https://drive.google.com/open?id=17oxZJZQZSjG713iMxde3d7r40Rh39DGI</v>
      </c>
      <c r="K24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TRIM(CLEAN(TEXT($D243, ""@""))),
      IMPORTRANGE(""https://docs.google.com/spreadsheets/d/1DccNxjBgurEr0ABkI_"&amp;"rBagJT5phB5HaHG5N_mTm_BiA/edit?gid=1382299152#gid=1382299152"", ""Form responses 1!$Z:$Z"") = 3
    ),
    1
  ),
  ""Not Found""
)
"),"https://drive.google.com/open?id=1HRSsQOoaFKIKuc3pLqG7u-NJgtyL9FB2")</f>
        <v>https://drive.google.com/open?id=1HRSsQOoaFKIKuc3pLqG7u-NJgtyL9FB2</v>
      </c>
      <c r="L2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1!$E:$E"")=$D243) *
        (IMPORTRANGE(""https://docs.google.com/spreadsheets/d/161aHT6vVT3SLneTKD19N5qVWtnj_jIT8CSsOmUVKmaA"&amp;"/edit?gid=1761053510"",
          ""Haris_Form responses 1!$AQ:$AQ"")=3)
      ),
      1
    ),
    ""0""
  ),
  ""Form not found""
)
"),"3")</f>
        <v>3</v>
      </c>
      <c r="M243" s="245" t="str">
        <f>IFERROR(__xludf.DUMMYFUNCTION("IFERROR(
  INDEX(
    FILTER(
      Transcription!$AJ:$AJ,
      TRIM(CLEAN(TEXT(Transcription!$F:$F, ""@""))) = TRIM(CLEAN(TEXT($D243, ""@""))),
      Transcription!$AO:$AO = 3
    ),
    1
  ),
  ""Not Found""
)
"),"https://drive.google.com/open?id=1XCiB0ogad-zTXwSQFVyMQxELqfVknurg")</f>
        <v>https://drive.google.com/open?id=1XCiB0ogad-zTXwSQFVyMQxELqfVknurg</v>
      </c>
      <c r="N2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TRIM(CLEAN(TEXT($D243, ""@""))),
      IMPORTRANGE(""https://docs.google.com/spreadsheets/d/1DccNxjBgurEr0ABkI_"&amp;"rBagJT5phB5HaHG5N_mTm_BiA/edit?gid=1382299152#gid=1382299152"", ""Form responses 1!$Z:$Z"") = 4
    ),
    1
  ),
  ""Not Found""
)
"),"Not Found")</f>
        <v>Not Found</v>
      </c>
      <c r="O2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1!$E:$E"")=$D243) *
        (IMPORTRANGE(""https://docs.google.com/spreadsheets/d/161aHT6vVT3SLneTKD19N5qVWtnj_jIT8CSsOmUVKmaA"&amp;"/edit?gid=1761053510"",
          ""Haris_Form responses 1!$AQ:$AQ"")=4)
      ),
      1
    ),
    ""0""
  ),
  ""Form not found""
)
"),"Form not found")</f>
        <v>Form not found</v>
      </c>
      <c r="P243" s="247" t="str">
        <f>IFERROR(__xludf.DUMMYFUNCTION("IFERROR(
  INDEX(
    FILTER(
      Transcription!$AJ:$AJ,
      TRIM(CLEAN(TEXT(Transcription!$F:$F, ""@""))) = TRIM(CLEAN(TEXT($D243, ""@""))),
      Transcription!$AO:$AO = 4
    ),
    1
  ),
  ""Not Found""
)
"),"Not Found")</f>
        <v>Not Found</v>
      </c>
      <c r="Q2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TRIM(CLEAN(TEXT($D243, ""@""))),
      IMPORTRANGE(""https://docs.google.com/spreadsheets/d/1DccNxjBgurEr0ABkI_"&amp;"rBagJT5phB5HaHG5N_mTm_BiA/edit?gid=1382299152#gid=1382299152"", ""Form responses 1!$Z:$Z"") = 5
    ),
    1
  ),
  ""Not Found""
)
"),"Not Found")</f>
        <v>Not Found</v>
      </c>
      <c r="R2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1!$E:$E"")=$D243) *
        (IMPORTRANGE(""https://docs.google.com/spreadsheets/d/161aHT6vVT3SLneTKD19N5qVWtnj_jIT8CSsOmUVKmaA"&amp;"/edit?gid=1761053510"",
          ""Haris_Form responses 1!$AQ:$AQ"")=5)
      ),
      1
    ),
    ""0""
  ),
  ""Form not found""
)
"),"Form not found")</f>
        <v>Form not found</v>
      </c>
      <c r="S243" s="247" t="str">
        <f>IFERROR(__xludf.DUMMYFUNCTION("IFERROR(
  INDEX(
    FILTER(
      Transcription!$AJ:$AJ,
      TRIM(CLEAN(TEXT(Transcription!$F:$F, ""@""))) = TRIM(CLEAN(TEXT($D243, ""@""))),
      Transcription!$AO:$AO = 5
    ),
    1
  ),
  ""Not Found""
)
"),"Not Found")</f>
        <v>Not Found</v>
      </c>
      <c r="T24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TRIM(CLEAN(TEXT($D243, ""@""))),
      IMPORTRANGE(""https://docs.google.com/spreadsheets/d/1DccNxjBgurEr0ABkI_"&amp;"rBagJT5phB5HaHG5N_mTm_BiA/edit?gid=1382299152#gid=1382299152"", ""Form responses 1!$Z:$Z"") = 6
    ),
    1
  ),
  ""Not Found""
)
"),"Not Found")</f>
        <v>Not Found</v>
      </c>
      <c r="U24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1!$E:$E"")=$D243) *
        (IMPORTRANGE(""https://docs.google.com/spreadsheets/d/161aHT6vVT3SLneTKD19N5qVWtnj_jIT8CSsOmUVKmaA"&amp;"/edit?gid=1761053510"",
          ""Haris_Form responses 1!$AQ:$AQ"")=6)
      ),
      1
    ),
    ""0""
  ),
  ""Form not found""
)
"),"Form not found")</f>
        <v>Form not found</v>
      </c>
      <c r="V243" s="247" t="str">
        <f>IFERROR(__xludf.DUMMYFUNCTION("IFERROR(
  INDEX(
    FILTER(
      Transcription!$AJ:$AJ,
      TRIM(CLEAN(TEXT(Transcription!$F:$F, ""@""))) = TRIM(CLEAN(TEXT($D243, ""@""))),
      Transcription!$AO:$AO = 6
    ),
    1
  ),
  ""Not Found""
)
"),"Not Found")</f>
        <v>Not Found</v>
      </c>
      <c r="Z243" s="10">
        <f t="shared" si="1"/>
        <v>3</v>
      </c>
      <c r="AA243" s="10">
        <f t="shared" si="2"/>
        <v>0</v>
      </c>
    </row>
    <row r="244">
      <c r="A244" s="8" t="str">
        <f>VLOOKUP($D244,Sheet6!$B:$G,5,FALSE)</f>
        <v>Pakpattan</v>
      </c>
      <c r="B244" s="232" t="str">
        <f>VLOOKUP($D244,Sheet6!$B:$G,4,FALSE)</f>
        <v>Women Secular No Info Share</v>
      </c>
      <c r="C244" s="8">
        <v>3.0</v>
      </c>
      <c r="D244" s="8" t="s">
        <v>4681</v>
      </c>
      <c r="E24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TRIM(CLEAN(TEXT($D244, ""@""))),
      IMPORTRANGE(""https://docs.google.com/spreadsheets/d/1DccNxjBgurEr0ABkI_"&amp;"rBagJT5phB5HaHG5N_mTm_BiA/edit?gid=1382299152#gid=1382299152"", ""Form responses 1!$Z:$Z"") = 1
    ),
    1
  ),
  ""Not Found""
)
"),"https://drive.google.com/open?id=1OOof4LvqA7sQx6CnH7SdHErJrt3050GO")</f>
        <v>https://drive.google.com/open?id=1OOof4LvqA7sQx6CnH7SdHErJrt3050GO</v>
      </c>
      <c r="F2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1!$E:$E"")=$D244) *
        (IMPORTRANGE(""https://docs.google.com/spreadsheets/d/161aHT6vVT3SLneTKD19N5qVWtnj_jIT8CSsOmUVKmaA"&amp;"/edit?gid=1761053510"",
          ""Haris_Form responses 1!$AQ:$AQ"")=1)
      ),
      1
    ),
    ""0""
  ),
  ""Form not found""
)
"),"1")</f>
        <v>1</v>
      </c>
      <c r="G244" s="245" t="str">
        <f>IFERROR(__xludf.DUMMYFUNCTION("IFERROR(
  INDEX(
    FILTER(
      Transcription!$AJ:$AJ,
      TRIM(CLEAN(TEXT(Transcription!$F:$F, ""@""))) = TRIM(CLEAN(TEXT($D244, ""@""))),
      Transcription!$AO:$AO = 1
    ),
    1
  ),
  ""Not Found""
)
"),"https://drive.google.com/open?id=1F681SaoEUr7wJHCEtqU0IsGtKutZC54V")</f>
        <v>https://drive.google.com/open?id=1F681SaoEUr7wJHCEtqU0IsGtKutZC54V</v>
      </c>
      <c r="H24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TRIM(CLEAN(TEXT($D244, ""@""))),
      IMPORTRANGE(""https://docs.google.com/spreadsheets/d/1DccNxjBgurEr0ABkI_"&amp;"rBagJT5phB5HaHG5N_mTm_BiA/edit?gid=1382299152#gid=1382299152"", ""Form responses 1!$Z:$Z"") = 2
    ),
    1
  ),
  ""Not Found""
)
"),"https://drive.google.com/file/d/1YX6G6v0tZyu_3ZNJbtaGxTQyWluW5XNX/view")</f>
        <v>https://drive.google.com/file/d/1YX6G6v0tZyu_3ZNJbtaGxTQyWluW5XNX/view</v>
      </c>
      <c r="I2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1!$E:$E"")=$D244) *
        (IMPORTRANGE(""https://docs.google.com/spreadsheets/d/161aHT6vVT3SLneTKD19N5qVWtnj_jIT8CSsOmUVKmaA"&amp;"/edit?gid=1761053510"",
          ""Haris_Form responses 1!$AQ:$AQ"")=2)
      ),
      1
    ),
    ""0""
  ),
  ""Form not found""
)
"),"2")</f>
        <v>2</v>
      </c>
      <c r="J244" s="245" t="str">
        <f>IFERROR(__xludf.DUMMYFUNCTION("IFERROR(
  INDEX(
    FILTER(
      Transcription!$AJ:$AJ,
      TRIM(CLEAN(TEXT(Transcription!$F:$F, ""@""))) = TRIM(CLEAN(TEXT($D244, ""@""))),
      Transcription!$AO:$AO = 2
    ),
    1
  ),
  ""Not Found""
)
"),"https://drive.google.com/open?id=1trDp3bRW21IvPbtlJ8nZSUbjRPbnlVlVB57QDje6yPE")</f>
        <v>https://drive.google.com/open?id=1trDp3bRW21IvPbtlJ8nZSUbjRPbnlVlVB57QDje6yPE</v>
      </c>
      <c r="K24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TRIM(CLEAN(TEXT($D244, ""@""))),
      IMPORTRANGE(""https://docs.google.com/spreadsheets/d/1DccNxjBgurEr0ABkI_"&amp;"rBagJT5phB5HaHG5N_mTm_BiA/edit?gid=1382299152#gid=1382299152"", ""Form responses 1!$Z:$Z"") = 3
    ),
    1
  ),
  ""Not Found""
)
"),"https://drive.google.com/open?id=18gNKlcgsiUvUnxx2fioN3HBbs5hElBSt")</f>
        <v>https://drive.google.com/open?id=18gNKlcgsiUvUnxx2fioN3HBbs5hElBSt</v>
      </c>
      <c r="L2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1!$E:$E"")=$D244) *
        (IMPORTRANGE(""https://docs.google.com/spreadsheets/d/161aHT6vVT3SLneTKD19N5qVWtnj_jIT8CSsOmUVKmaA"&amp;"/edit?gid=1761053510"",
          ""Haris_Form responses 1!$AQ:$AQ"")=3)
      ),
      1
    ),
    ""0""
  ),
  ""Form not found""
)
"),"3")</f>
        <v>3</v>
      </c>
      <c r="M244" s="245" t="str">
        <f>IFERROR(__xludf.DUMMYFUNCTION("IFERROR(
  INDEX(
    FILTER(
      Transcription!$AJ:$AJ,
      TRIM(CLEAN(TEXT(Transcription!$F:$F, ""@""))) = TRIM(CLEAN(TEXT($D244, ""@""))),
      Transcription!$AO:$AO = 3
    ),
    1
  ),
  ""Not Found""
)
"),"https://drive.google.com/open?id=188PocqKDyI91fLSkRlNGeUpoFxD-jqtogmJyM-mArtE")</f>
        <v>https://drive.google.com/open?id=188PocqKDyI91fLSkRlNGeUpoFxD-jqtogmJyM-mArtE</v>
      </c>
      <c r="N2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TRIM(CLEAN(TEXT($D244, ""@""))),
      IMPORTRANGE(""https://docs.google.com/spreadsheets/d/1DccNxjBgurEr0ABkI_"&amp;"rBagJT5phB5HaHG5N_mTm_BiA/edit?gid=1382299152#gid=1382299152"", ""Form responses 1!$Z:$Z"") = 4
    ),
    1
  ),
  ""Not Found""
)
"),"Not Found")</f>
        <v>Not Found</v>
      </c>
      <c r="O2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1!$E:$E"")=$D244) *
        (IMPORTRANGE(""https://docs.google.com/spreadsheets/d/161aHT6vVT3SLneTKD19N5qVWtnj_jIT8CSsOmUVKmaA"&amp;"/edit?gid=1761053510"",
          ""Haris_Form responses 1!$AQ:$AQ"")=4)
      ),
      1
    ),
    ""0""
  ),
  ""Form not found""
)
"),"Form not found")</f>
        <v>Form not found</v>
      </c>
      <c r="P244" s="247" t="str">
        <f>IFERROR(__xludf.DUMMYFUNCTION("IFERROR(
  INDEX(
    FILTER(
      Transcription!$AJ:$AJ,
      TRIM(CLEAN(TEXT(Transcription!$F:$F, ""@""))) = TRIM(CLEAN(TEXT($D244, ""@""))),
      Transcription!$AO:$AO = 4
    ),
    1
  ),
  ""Not Found""
)
"),"Not Found")</f>
        <v>Not Found</v>
      </c>
      <c r="Q2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TRIM(CLEAN(TEXT($D244, ""@""))),
      IMPORTRANGE(""https://docs.google.com/spreadsheets/d/1DccNxjBgurEr0ABkI_"&amp;"rBagJT5phB5HaHG5N_mTm_BiA/edit?gid=1382299152#gid=1382299152"", ""Form responses 1!$Z:$Z"") = 5
    ),
    1
  ),
  ""Not Found""
)
"),"Not Found")</f>
        <v>Not Found</v>
      </c>
      <c r="R2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1!$E:$E"")=$D244) *
        (IMPORTRANGE(""https://docs.google.com/spreadsheets/d/161aHT6vVT3SLneTKD19N5qVWtnj_jIT8CSsOmUVKmaA"&amp;"/edit?gid=1761053510"",
          ""Haris_Form responses 1!$AQ:$AQ"")=5)
      ),
      1
    ),
    ""0""
  ),
  ""Form not found""
)
"),"Form not found")</f>
        <v>Form not found</v>
      </c>
      <c r="S244" s="247" t="str">
        <f>IFERROR(__xludf.DUMMYFUNCTION("IFERROR(
  INDEX(
    FILTER(
      Transcription!$AJ:$AJ,
      TRIM(CLEAN(TEXT(Transcription!$F:$F, ""@""))) = TRIM(CLEAN(TEXT($D244, ""@""))),
      Transcription!$AO:$AO = 5
    ),
    1
  ),
  ""Not Found""
)
"),"Not Found")</f>
        <v>Not Found</v>
      </c>
      <c r="T24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TRIM(CLEAN(TEXT($D244, ""@""))),
      IMPORTRANGE(""https://docs.google.com/spreadsheets/d/1DccNxjBgurEr0ABkI_"&amp;"rBagJT5phB5HaHG5N_mTm_BiA/edit?gid=1382299152#gid=1382299152"", ""Form responses 1!$Z:$Z"") = 6
    ),
    1
  ),
  ""Not Found""
)
"),"Not Found")</f>
        <v>Not Found</v>
      </c>
      <c r="U24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1!$E:$E"")=$D244) *
        (IMPORTRANGE(""https://docs.google.com/spreadsheets/d/161aHT6vVT3SLneTKD19N5qVWtnj_jIT8CSsOmUVKmaA"&amp;"/edit?gid=1761053510"",
          ""Haris_Form responses 1!$AQ:$AQ"")=6)
      ),
      1
    ),
    ""0""
  ),
  ""Form not found""
)
"),"Form not found")</f>
        <v>Form not found</v>
      </c>
      <c r="V244" s="247" t="str">
        <f>IFERROR(__xludf.DUMMYFUNCTION("IFERROR(
  INDEX(
    FILTER(
      Transcription!$AJ:$AJ,
      TRIM(CLEAN(TEXT(Transcription!$F:$F, ""@""))) = TRIM(CLEAN(TEXT($D244, ""@""))),
      Transcription!$AO:$AO = 6
    ),
    1
  ),
  ""Not Found""
)
"),"Not Found")</f>
        <v>Not Found</v>
      </c>
      <c r="Z244" s="10">
        <f t="shared" si="1"/>
        <v>3</v>
      </c>
      <c r="AA244" s="10">
        <f t="shared" si="2"/>
        <v>0</v>
      </c>
    </row>
    <row r="245">
      <c r="A245" s="8" t="str">
        <f>VLOOKUP($D245,Sheet6!$B:$G,5,FALSE)</f>
        <v>Pakpattan</v>
      </c>
      <c r="B245" s="232" t="str">
        <f>VLOOKUP($D245,Sheet6!$B:$G,4,FALSE)</f>
        <v>Women Religious No Info Share</v>
      </c>
      <c r="C245" s="8">
        <v>3.0</v>
      </c>
      <c r="D245" s="8" t="s">
        <v>4682</v>
      </c>
      <c r="E24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TRIM(CLEAN(TEXT($D245, ""@""))),
      IMPORTRANGE(""https://docs.google.com/spreadsheets/d/1DccNxjBgurEr0ABkI_"&amp;"rBagJT5phB5HaHG5N_mTm_BiA/edit?gid=1382299152#gid=1382299152"", ""Form responses 1!$Z:$Z"") = 1
    ),
    1
  ),
  ""Not Found""
)
"),"https://drive.google.com/open?id=13Bpr32n24wJN2i_F6g_na5EAqcigmLhI")</f>
        <v>https://drive.google.com/open?id=13Bpr32n24wJN2i_F6g_na5EAqcigmLhI</v>
      </c>
      <c r="F2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1!$E:$E"")=$D245) *
        (IMPORTRANGE(""https://docs.google.com/spreadsheets/d/161aHT6vVT3SLneTKD19N5qVWtnj_jIT8CSsOmUVKmaA"&amp;"/edit?gid=1761053510"",
          ""Haris_Form responses 1!$AQ:$AQ"")=1)
      ),
      1
    ),
    ""0""
  ),
  ""Form not found""
)
"),"1")</f>
        <v>1</v>
      </c>
      <c r="G245" s="245" t="str">
        <f>IFERROR(__xludf.DUMMYFUNCTION("IFERROR(
  INDEX(
    FILTER(
      Transcription!$AJ:$AJ,
      TRIM(CLEAN(TEXT(Transcription!$F:$F, ""@""))) = TRIM(CLEAN(TEXT($D245, ""@""))),
      Transcription!$AO:$AO = 1
    ),
    1
  ),
  ""Not Found""
)
"),"https://drive.google.com/open?id=1m1O-9JAEB8U5MduJW6N_X06r0jQBh1IE")</f>
        <v>https://drive.google.com/open?id=1m1O-9JAEB8U5MduJW6N_X06r0jQBh1IE</v>
      </c>
      <c r="H24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TRIM(CLEAN(TEXT($D245, ""@""))),
      IMPORTRANGE(""https://docs.google.com/spreadsheets/d/1DccNxjBgurEr0ABkI_"&amp;"rBagJT5phB5HaHG5N_mTm_BiA/edit?gid=1382299152#gid=1382299152"", ""Form responses 1!$Z:$Z"") = 2
    ),
    1
  ),
  ""Not Found""
)
"),"https://drive.google.com/open?id=1Yj6CwlwA4e5gEUtAntbaX7KDgbpcKvxD")</f>
        <v>https://drive.google.com/open?id=1Yj6CwlwA4e5gEUtAntbaX7KDgbpcKvxD</v>
      </c>
      <c r="I2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1!$E:$E"")=$D245) *
        (IMPORTRANGE(""https://docs.google.com/spreadsheets/d/161aHT6vVT3SLneTKD19N5qVWtnj_jIT8CSsOmUVKmaA"&amp;"/edit?gid=1761053510"",
          ""Haris_Form responses 1!$AQ:$AQ"")=2)
      ),
      1
    ),
    ""0""
  ),
  ""Form not found""
)
"),"2")</f>
        <v>2</v>
      </c>
      <c r="J245" s="245" t="str">
        <f>IFERROR(__xludf.DUMMYFUNCTION("IFERROR(
  INDEX(
    FILTER(
      Transcription!$AJ:$AJ,
      TRIM(CLEAN(TEXT(Transcription!$F:$F, ""@""))) = TRIM(CLEAN(TEXT($D245, ""@""))),
      Transcription!$AO:$AO = 2
    ),
    1
  ),
  ""Not Found""
)
"),"https://drive.google.com/open?id=1DwZ8BO0v903G_qzXEt9HzJIp76CoCMh4")</f>
        <v>https://drive.google.com/open?id=1DwZ8BO0v903G_qzXEt9HzJIp76CoCMh4</v>
      </c>
      <c r="K24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TRIM(CLEAN(TEXT($D245, ""@""))),
      IMPORTRANGE(""https://docs.google.com/spreadsheets/d/1DccNxjBgurEr0ABkI_"&amp;"rBagJT5phB5HaHG5N_mTm_BiA/edit?gid=1382299152#gid=1382299152"", ""Form responses 1!$Z:$Z"") = 3
    ),
    1
  ),
  ""Not Found""
)
"),"https://drive.google.com/open?id=11OmtAcjh8LVZzxe4cGAimb4Vbvo78zef")</f>
        <v>https://drive.google.com/open?id=11OmtAcjh8LVZzxe4cGAimb4Vbvo78zef</v>
      </c>
      <c r="L2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1!$E:$E"")=$D245) *
        (IMPORTRANGE(""https://docs.google.com/spreadsheets/d/161aHT6vVT3SLneTKD19N5qVWtnj_jIT8CSsOmUVKmaA"&amp;"/edit?gid=1761053510"",
          ""Haris_Form responses 1!$AQ:$AQ"")=3)
      ),
      1
    ),
    ""0""
  ),
  ""Form not found""
)
"),"3")</f>
        <v>3</v>
      </c>
      <c r="M245" s="245" t="str">
        <f>IFERROR(__xludf.DUMMYFUNCTION("IFERROR(
  INDEX(
    FILTER(
      Transcription!$AJ:$AJ,
      TRIM(CLEAN(TEXT(Transcription!$F:$F, ""@""))) = TRIM(CLEAN(TEXT($D245, ""@""))),
      Transcription!$AO:$AO = 3
    ),
    1
  ),
  ""Not Found""
)
"),"https://drive.google.com/open?id=1xmr5In-CFLp8XrFoBu5sdvHXlJTKeQ4U")</f>
        <v>https://drive.google.com/open?id=1xmr5In-CFLp8XrFoBu5sdvHXlJTKeQ4U</v>
      </c>
      <c r="N2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TRIM(CLEAN(TEXT($D245, ""@""))),
      IMPORTRANGE(""https://docs.google.com/spreadsheets/d/1DccNxjBgurEr0ABkI_"&amp;"rBagJT5phB5HaHG5N_mTm_BiA/edit?gid=1382299152#gid=1382299152"", ""Form responses 1!$Z:$Z"") = 4
    ),
    1
  ),
  ""Not Found""
)
"),"Not Found")</f>
        <v>Not Found</v>
      </c>
      <c r="O2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1!$E:$E"")=$D245) *
        (IMPORTRANGE(""https://docs.google.com/spreadsheets/d/161aHT6vVT3SLneTKD19N5qVWtnj_jIT8CSsOmUVKmaA"&amp;"/edit?gid=1761053510"",
          ""Haris_Form responses 1!$AQ:$AQ"")=4)
      ),
      1
    ),
    ""0""
  ),
  ""Form not found""
)
"),"Form not found")</f>
        <v>Form not found</v>
      </c>
      <c r="P245" s="247" t="str">
        <f>IFERROR(__xludf.DUMMYFUNCTION("IFERROR(
  INDEX(
    FILTER(
      Transcription!$AJ:$AJ,
      TRIM(CLEAN(TEXT(Transcription!$F:$F, ""@""))) = TRIM(CLEAN(TEXT($D245, ""@""))),
      Transcription!$AO:$AO = 4
    ),
    1
  ),
  ""Not Found""
)
"),"Not Found")</f>
        <v>Not Found</v>
      </c>
      <c r="Q2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TRIM(CLEAN(TEXT($D245, ""@""))),
      IMPORTRANGE(""https://docs.google.com/spreadsheets/d/1DccNxjBgurEr0ABkI_"&amp;"rBagJT5phB5HaHG5N_mTm_BiA/edit?gid=1382299152#gid=1382299152"", ""Form responses 1!$Z:$Z"") = 5
    ),
    1
  ),
  ""Not Found""
)
"),"Not Found")</f>
        <v>Not Found</v>
      </c>
      <c r="R2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1!$E:$E"")=$D245) *
        (IMPORTRANGE(""https://docs.google.com/spreadsheets/d/161aHT6vVT3SLneTKD19N5qVWtnj_jIT8CSsOmUVKmaA"&amp;"/edit?gid=1761053510"",
          ""Haris_Form responses 1!$AQ:$AQ"")=5)
      ),
      1
    ),
    ""0""
  ),
  ""Form not found""
)
"),"Form not found")</f>
        <v>Form not found</v>
      </c>
      <c r="S245" s="247" t="str">
        <f>IFERROR(__xludf.DUMMYFUNCTION("IFERROR(
  INDEX(
    FILTER(
      Transcription!$AJ:$AJ,
      TRIM(CLEAN(TEXT(Transcription!$F:$F, ""@""))) = TRIM(CLEAN(TEXT($D245, ""@""))),
      Transcription!$AO:$AO = 5
    ),
    1
  ),
  ""Not Found""
)
"),"Not Found")</f>
        <v>Not Found</v>
      </c>
      <c r="T24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TRIM(CLEAN(TEXT($D245, ""@""))),
      IMPORTRANGE(""https://docs.google.com/spreadsheets/d/1DccNxjBgurEr0ABkI_"&amp;"rBagJT5phB5HaHG5N_mTm_BiA/edit?gid=1382299152#gid=1382299152"", ""Form responses 1!$Z:$Z"") = 6
    ),
    1
  ),
  ""Not Found""
)
"),"Not Found")</f>
        <v>Not Found</v>
      </c>
      <c r="U24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1!$E:$E"")=$D245) *
        (IMPORTRANGE(""https://docs.google.com/spreadsheets/d/161aHT6vVT3SLneTKD19N5qVWtnj_jIT8CSsOmUVKmaA"&amp;"/edit?gid=1761053510"",
          ""Haris_Form responses 1!$AQ:$AQ"")=6)
      ),
      1
    ),
    ""0""
  ),
  ""Form not found""
)
"),"Form not found")</f>
        <v>Form not found</v>
      </c>
      <c r="V245" s="247" t="str">
        <f>IFERROR(__xludf.DUMMYFUNCTION("IFERROR(
  INDEX(
    FILTER(
      Transcription!$AJ:$AJ,
      TRIM(CLEAN(TEXT(Transcription!$F:$F, ""@""))) = TRIM(CLEAN(TEXT($D245, ""@""))),
      Transcription!$AO:$AO = 6
    ),
    1
  ),
  ""Not Found""
)
"),"Not Found")</f>
        <v>Not Found</v>
      </c>
      <c r="Z245" s="10">
        <f t="shared" si="1"/>
        <v>3</v>
      </c>
      <c r="AA245" s="10">
        <f t="shared" si="2"/>
        <v>0</v>
      </c>
    </row>
    <row r="246">
      <c r="A246" s="8" t="str">
        <f>VLOOKUP($D246,Sheet6!$B:$G,5,FALSE)</f>
        <v>Pakpattan</v>
      </c>
      <c r="B246" s="232" t="str">
        <f>VLOOKUP($D246,Sheet6!$B:$G,4,FALSE)</f>
        <v>Community Secular Info Share</v>
      </c>
      <c r="C246" s="8">
        <v>3.0</v>
      </c>
      <c r="D246" s="8" t="s">
        <v>4683</v>
      </c>
      <c r="E2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TRIM(CLEAN(TEXT($D246, ""@""))),
      IMPORTRANGE(""https://docs.google.com/spreadsheets/d/1DccNxjBgurEr0ABkI_"&amp;"rBagJT5phB5HaHG5N_mTm_BiA/edit?gid=1382299152#gid=1382299152"", ""Form responses 1!$Z:$Z"") = 1
    ),
    1
  ),
  ""Not Found""
)
"),"https://drive.google.com/file/d/1eK4UVfykVQc-rxo6ea4Y0PqUO_mLRmUV/view?usp=drive_link, https://drive.google.com/file/d/14PotOtdZp5GpFUdKtlNbPA80MnUwEVv4/view?usp=drive_link")</f>
        <v>https://drive.google.com/file/d/1eK4UVfykVQc-rxo6ea4Y0PqUO_mLRmUV/view?usp=drive_link, https://drive.google.com/file/d/14PotOtdZp5GpFUdKtlNbPA80MnUwEVv4/view?usp=drive_link</v>
      </c>
      <c r="F2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1!$E:$E"")=$D246) *
        (IMPORTRANGE(""https://docs.google.com/spreadsheets/d/161aHT6vVT3SLneTKD19N5qVWtnj_jIT8CSsOmUVKmaA"&amp;"/edit?gid=1761053510"",
          ""Haris_Form responses 1!$AQ:$AQ"")=1)
      ),
      1
    ),
    ""0""
  ),
  ""Form not found""
)
"),"1")</f>
        <v>1</v>
      </c>
      <c r="G246" s="245" t="str">
        <f>IFERROR(__xludf.DUMMYFUNCTION("IFERROR(
  INDEX(
    FILTER(
      Transcription!$AJ:$AJ,
      TRIM(CLEAN(TEXT(Transcription!$F:$F, ""@""))) = TRIM(CLEAN(TEXT($D246, ""@""))),
      Transcription!$AO:$AO = 1
    ),
    1
  ),
  ""Not Found""
)
"),"https://drive.google.com/open?id=1thZJFNd3eMB8o2va8jVFoAlr0I5XlJL0")</f>
        <v>https://drive.google.com/open?id=1thZJFNd3eMB8o2va8jVFoAlr0I5XlJL0</v>
      </c>
      <c r="H24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TRIM(CLEAN(TEXT($D246, ""@""))),
      IMPORTRANGE(""https://docs.google.com/spreadsheets/d/1DccNxjBgurEr0ABkI_"&amp;"rBagJT5phB5HaHG5N_mTm_BiA/edit?gid=1382299152#gid=1382299152"", ""Form responses 1!$Z:$Z"") = 2
    ),
    1
  ),
  ""Not Found""
)
"),"https://drive.google.com/open?id=1-Tfi7-f5g7kYveGGKf3rQaBZydpAkntL")</f>
        <v>https://drive.google.com/open?id=1-Tfi7-f5g7kYveGGKf3rQaBZydpAkntL</v>
      </c>
      <c r="I2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1!$E:$E"")=$D246) *
        (IMPORTRANGE(""https://docs.google.com/spreadsheets/d/161aHT6vVT3SLneTKD19N5qVWtnj_jIT8CSsOmUVKmaA"&amp;"/edit?gid=1761053510"",
          ""Haris_Form responses 1!$AQ:$AQ"")=2)
      ),
      1
    ),
    ""0""
  ),
  ""Form not found""
)
"),"2")</f>
        <v>2</v>
      </c>
      <c r="J246" s="245" t="str">
        <f>IFERROR(__xludf.DUMMYFUNCTION("IFERROR(
  INDEX(
    FILTER(
      Transcription!$AJ:$AJ,
      TRIM(CLEAN(TEXT(Transcription!$F:$F, ""@""))) = TRIM(CLEAN(TEXT($D246, ""@""))),
      Transcription!$AO:$AO = 2
    ),
    1
  ),
  ""Not Found""
)
"),"https://drive.google.com/open?id=1XzqHU6LcvgyQavZkDmtpPuk9M28aahCC")</f>
        <v>https://drive.google.com/open?id=1XzqHU6LcvgyQavZkDmtpPuk9M28aahCC</v>
      </c>
      <c r="K24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TRIM(CLEAN(TEXT($D246, ""@""))),
      IMPORTRANGE(""https://docs.google.com/spreadsheets/d/1DccNxjBgurEr0ABkI_"&amp;"rBagJT5phB5HaHG5N_mTm_BiA/edit?gid=1382299152#gid=1382299152"", ""Form responses 1!$Z:$Z"") = 3
    ),
    1
  ),
  ""Not Found""
)
"),"https://drive.google.com/open?id=1bvPs8CF4EPObp9lNs_zHfSqof3XTihnX")</f>
        <v>https://drive.google.com/open?id=1bvPs8CF4EPObp9lNs_zHfSqof3XTihnX</v>
      </c>
      <c r="L2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1!$E:$E"")=$D246) *
        (IMPORTRANGE(""https://docs.google.com/spreadsheets/d/161aHT6vVT3SLneTKD19N5qVWtnj_jIT8CSsOmUVKmaA"&amp;"/edit?gid=1761053510"",
          ""Haris_Form responses 1!$AQ:$AQ"")=3)
      ),
      1
    ),
    ""0""
  ),
  ""Form not found""
)
"),"3")</f>
        <v>3</v>
      </c>
      <c r="M246" s="245" t="str">
        <f>IFERROR(__xludf.DUMMYFUNCTION("IFERROR(
  INDEX(
    FILTER(
      Transcription!$AJ:$AJ,
      TRIM(CLEAN(TEXT(Transcription!$F:$F, ""@""))) = TRIM(CLEAN(TEXT($D246, ""@""))),
      Transcription!$AO:$AO = 3
    ),
    1
  ),
  ""Not Found""
)
"),"https://drive.google.com/open?id=11uh-CIeLnTfdGWGXiye0_OXladJTSe-P")</f>
        <v>https://drive.google.com/open?id=11uh-CIeLnTfdGWGXiye0_OXladJTSe-P</v>
      </c>
      <c r="N2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TRIM(CLEAN(TEXT($D246, ""@""))),
      IMPORTRANGE(""https://docs.google.com/spreadsheets/d/1DccNxjBgurEr0ABkI_"&amp;"rBagJT5phB5HaHG5N_mTm_BiA/edit?gid=1382299152#gid=1382299152"", ""Form responses 1!$Z:$Z"") = 4
    ),
    1
  ),
  ""Not Found""
)
"),"Not Found")</f>
        <v>Not Found</v>
      </c>
      <c r="O2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1!$E:$E"")=$D246) *
        (IMPORTRANGE(""https://docs.google.com/spreadsheets/d/161aHT6vVT3SLneTKD19N5qVWtnj_jIT8CSsOmUVKmaA"&amp;"/edit?gid=1761053510"",
          ""Haris_Form responses 1!$AQ:$AQ"")=4)
      ),
      1
    ),
    ""0""
  ),
  ""Form not found""
)
"),"Form not found")</f>
        <v>Form not found</v>
      </c>
      <c r="P246" s="247" t="str">
        <f>IFERROR(__xludf.DUMMYFUNCTION("IFERROR(
  INDEX(
    FILTER(
      Transcription!$AJ:$AJ,
      TRIM(CLEAN(TEXT(Transcription!$F:$F, ""@""))) = TRIM(CLEAN(TEXT($D246, ""@""))),
      Transcription!$AO:$AO = 4
    ),
    1
  ),
  ""Not Found""
)
"),"Not Found")</f>
        <v>Not Found</v>
      </c>
      <c r="Q2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TRIM(CLEAN(TEXT($D246, ""@""))),
      IMPORTRANGE(""https://docs.google.com/spreadsheets/d/1DccNxjBgurEr0ABkI_"&amp;"rBagJT5phB5HaHG5N_mTm_BiA/edit?gid=1382299152#gid=1382299152"", ""Form responses 1!$Z:$Z"") = 5
    ),
    1
  ),
  ""Not Found""
)
"),"Not Found")</f>
        <v>Not Found</v>
      </c>
      <c r="R2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1!$E:$E"")=$D246) *
        (IMPORTRANGE(""https://docs.google.com/spreadsheets/d/161aHT6vVT3SLneTKD19N5qVWtnj_jIT8CSsOmUVKmaA"&amp;"/edit?gid=1761053510"",
          ""Haris_Form responses 1!$AQ:$AQ"")=5)
      ),
      1
    ),
    ""0""
  ),
  ""Form not found""
)
"),"Form not found")</f>
        <v>Form not found</v>
      </c>
      <c r="S246" s="247" t="str">
        <f>IFERROR(__xludf.DUMMYFUNCTION("IFERROR(
  INDEX(
    FILTER(
      Transcription!$AJ:$AJ,
      TRIM(CLEAN(TEXT(Transcription!$F:$F, ""@""))) = TRIM(CLEAN(TEXT($D246, ""@""))),
      Transcription!$AO:$AO = 5
    ),
    1
  ),
  ""Not Found""
)
"),"Not Found")</f>
        <v>Not Found</v>
      </c>
      <c r="T24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TRIM(CLEAN(TEXT($D246, ""@""))),
      IMPORTRANGE(""https://docs.google.com/spreadsheets/d/1DccNxjBgurEr0ABkI_"&amp;"rBagJT5phB5HaHG5N_mTm_BiA/edit?gid=1382299152#gid=1382299152"", ""Form responses 1!$Z:$Z"") = 6
    ),
    1
  ),
  ""Not Found""
)
"),"Not Found")</f>
        <v>Not Found</v>
      </c>
      <c r="U24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1!$E:$E"")=$D246) *
        (IMPORTRANGE(""https://docs.google.com/spreadsheets/d/161aHT6vVT3SLneTKD19N5qVWtnj_jIT8CSsOmUVKmaA"&amp;"/edit?gid=1761053510"",
          ""Haris_Form responses 1!$AQ:$AQ"")=6)
      ),
      1
    ),
    ""0""
  ),
  ""Form not found""
)
"),"Form not found")</f>
        <v>Form not found</v>
      </c>
      <c r="V246" s="247" t="str">
        <f>IFERROR(__xludf.DUMMYFUNCTION("IFERROR(
  INDEX(
    FILTER(
      Transcription!$AJ:$AJ,
      TRIM(CLEAN(TEXT(Transcription!$F:$F, ""@""))) = TRIM(CLEAN(TEXT($D246, ""@""))),
      Transcription!$AO:$AO = 6
    ),
    1
  ),
  ""Not Found""
)
"),"Not Found")</f>
        <v>Not Found</v>
      </c>
      <c r="Z246" s="10">
        <f t="shared" si="1"/>
        <v>3</v>
      </c>
      <c r="AA246" s="10">
        <f t="shared" si="2"/>
        <v>0</v>
      </c>
    </row>
    <row r="247">
      <c r="A247" s="8" t="str">
        <f>VLOOKUP($D247,Sheet6!$B:$G,5,FALSE)</f>
        <v>Pakpattan</v>
      </c>
      <c r="B247" s="232" t="str">
        <f>VLOOKUP($D247,Sheet6!$B:$G,4,FALSE)</f>
        <v>Community Secular No Info Share</v>
      </c>
      <c r="C247" s="8">
        <v>3.0</v>
      </c>
      <c r="D247" s="8" t="s">
        <v>4684</v>
      </c>
      <c r="E2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TRIM(CLEAN(TEXT($D247, ""@""))),
      IMPORTRANGE(""https://docs.google.com/spreadsheets/d/1DccNxjBgurEr0ABkI_"&amp;"rBagJT5phB5HaHG5N_mTm_BiA/edit?gid=1382299152#gid=1382299152"", ""Form responses 1!$Z:$Z"") = 1
    ),
    1
  ),
  ""Not Found""
)
"),"https://drive.google.com/file/d/1YB7_IUEtCaswuBGC_Ofn-jijH_gw0O6M/view?usp=drive_link")</f>
        <v>https://drive.google.com/file/d/1YB7_IUEtCaswuBGC_Ofn-jijH_gw0O6M/view?usp=drive_link</v>
      </c>
      <c r="F2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1!$E:$E"")=$D247) *
        (IMPORTRANGE(""https://docs.google.com/spreadsheets/d/161aHT6vVT3SLneTKD19N5qVWtnj_jIT8CSsOmUVKmaA"&amp;"/edit?gid=1761053510"",
          ""Haris_Form responses 1!$AQ:$AQ"")=1)
      ),
      1
    ),
    ""0""
  ),
  ""Form not found""
)
"),"1")</f>
        <v>1</v>
      </c>
      <c r="G247" s="245" t="str">
        <f>IFERROR(__xludf.DUMMYFUNCTION("IFERROR(
  INDEX(
    FILTER(
      Transcription!$AJ:$AJ,
      TRIM(CLEAN(TEXT(Transcription!$F:$F, ""@""))) = TRIM(CLEAN(TEXT($D247, ""@""))),
      Transcription!$AO:$AO = 1
    ),
    1
  ),
  ""Not Found""
)
"),"https://drive.google.com/open?id=1wPebn130vIjgyClo04O0wbkAIJa1AWRK")</f>
        <v>https://drive.google.com/open?id=1wPebn130vIjgyClo04O0wbkAIJa1AWRK</v>
      </c>
      <c r="H2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TRIM(CLEAN(TEXT($D247, ""@""))),
      IMPORTRANGE(""https://docs.google.com/spreadsheets/d/1DccNxjBgurEr0ABkI_"&amp;"rBagJT5phB5HaHG5N_mTm_BiA/edit?gid=1382299152#gid=1382299152"", ""Form responses 1!$Z:$Z"") = 2
    ),
    1
  ),
  ""Not Found""
)
"),"https://drive.google.com/open?id=17UlGlaDRjD5Me87x1fS949b3yFFnMUBi")</f>
        <v>https://drive.google.com/open?id=17UlGlaDRjD5Me87x1fS949b3yFFnMUBi</v>
      </c>
      <c r="I2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1!$E:$E"")=$D247) *
        (IMPORTRANGE(""https://docs.google.com/spreadsheets/d/161aHT6vVT3SLneTKD19N5qVWtnj_jIT8CSsOmUVKmaA"&amp;"/edit?gid=1761053510"",
          ""Haris_Form responses 1!$AQ:$AQ"")=2)
      ),
      1
    ),
    ""0""
  ),
  ""Form not found""
)
"),"2")</f>
        <v>2</v>
      </c>
      <c r="J247" s="245" t="str">
        <f>IFERROR(__xludf.DUMMYFUNCTION("IFERROR(
  INDEX(
    FILTER(
      Transcription!$AJ:$AJ,
      TRIM(CLEAN(TEXT(Transcription!$F:$F, ""@""))) = TRIM(CLEAN(TEXT($D247, ""@""))),
      Transcription!$AO:$AO = 2
    ),
    1
  ),
  ""Not Found""
)
"),"https://drive.google.com/open?id=1vgy9Nq0q4cen_KDDblmolsAUmhiZ29nk")</f>
        <v>https://drive.google.com/open?id=1vgy9Nq0q4cen_KDDblmolsAUmhiZ29nk</v>
      </c>
      <c r="K24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TRIM(CLEAN(TEXT($D247, ""@""))),
      IMPORTRANGE(""https://docs.google.com/spreadsheets/d/1DccNxjBgurEr0ABkI_"&amp;"rBagJT5phB5HaHG5N_mTm_BiA/edit?gid=1382299152#gid=1382299152"", ""Form responses 1!$Z:$Z"") = 3
    ),
    1
  ),
  ""Not Found""
)
"),"https://drive.google.com/open?id=1e8JXtMafRFd9CJPIr-PWoxFzNv_o-Q7z")</f>
        <v>https://drive.google.com/open?id=1e8JXtMafRFd9CJPIr-PWoxFzNv_o-Q7z</v>
      </c>
      <c r="L2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1!$E:$E"")=$D247) *
        (IMPORTRANGE(""https://docs.google.com/spreadsheets/d/161aHT6vVT3SLneTKD19N5qVWtnj_jIT8CSsOmUVKmaA"&amp;"/edit?gid=1761053510"",
          ""Haris_Form responses 1!$AQ:$AQ"")=3)
      ),
      1
    ),
    ""0""
  ),
  ""Form not found""
)
"),"3")</f>
        <v>3</v>
      </c>
      <c r="M247" s="245" t="str">
        <f>IFERROR(__xludf.DUMMYFUNCTION("IFERROR(
  INDEX(
    FILTER(
      Transcription!$AJ:$AJ,
      TRIM(CLEAN(TEXT(Transcription!$F:$F, ""@""))) = TRIM(CLEAN(TEXT($D247, ""@""))),
      Transcription!$AO:$AO = 3
    ),
    1
  ),
  ""Not Found""
)
"),"https://drive.google.com/open?id=1EvgLDmDnAP3pGwHpLZUDGX0Iq5Id1Pvz")</f>
        <v>https://drive.google.com/open?id=1EvgLDmDnAP3pGwHpLZUDGX0Iq5Id1Pvz</v>
      </c>
      <c r="N24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TRIM(CLEAN(TEXT($D247, ""@""))),
      IMPORTRANGE(""https://docs.google.com/spreadsheets/d/1DccNxjBgurEr0ABkI_"&amp;"rBagJT5phB5HaHG5N_mTm_BiA/edit?gid=1382299152#gid=1382299152"", ""Form responses 1!$Z:$Z"") = 4
    ),
    1
  ),
  ""Not Found""
)
"),"Not Found")</f>
        <v>Not Found</v>
      </c>
      <c r="O2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1!$E:$E"")=$D247) *
        (IMPORTRANGE(""https://docs.google.com/spreadsheets/d/161aHT6vVT3SLneTKD19N5qVWtnj_jIT8CSsOmUVKmaA"&amp;"/edit?gid=1761053510"",
          ""Haris_Form responses 1!$AQ:$AQ"")=4)
      ),
      1
    ),
    ""0""
  ),
  ""Form not found""
)
"),"Form not found")</f>
        <v>Form not found</v>
      </c>
      <c r="P247" s="247" t="str">
        <f>IFERROR(__xludf.DUMMYFUNCTION("IFERROR(
  INDEX(
    FILTER(
      Transcription!$AJ:$AJ,
      TRIM(CLEAN(TEXT(Transcription!$F:$F, ""@""))) = TRIM(CLEAN(TEXT($D247, ""@""))),
      Transcription!$AO:$AO = 4
    ),
    1
  ),
  ""Not Found""
)
"),"Not Found")</f>
        <v>Not Found</v>
      </c>
      <c r="Q24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TRIM(CLEAN(TEXT($D247, ""@""))),
      IMPORTRANGE(""https://docs.google.com/spreadsheets/d/1DccNxjBgurEr0ABkI_"&amp;"rBagJT5phB5HaHG5N_mTm_BiA/edit?gid=1382299152#gid=1382299152"", ""Form responses 1!$Z:$Z"") = 5
    ),
    1
  ),
  ""Not Found""
)
"),"Not Found")</f>
        <v>Not Found</v>
      </c>
      <c r="R2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1!$E:$E"")=$D247) *
        (IMPORTRANGE(""https://docs.google.com/spreadsheets/d/161aHT6vVT3SLneTKD19N5qVWtnj_jIT8CSsOmUVKmaA"&amp;"/edit?gid=1761053510"",
          ""Haris_Form responses 1!$AQ:$AQ"")=5)
      ),
      1
    ),
    ""0""
  ),
  ""Form not found""
)
"),"Form not found")</f>
        <v>Form not found</v>
      </c>
      <c r="S247" s="247" t="str">
        <f>IFERROR(__xludf.DUMMYFUNCTION("IFERROR(
  INDEX(
    FILTER(
      Transcription!$AJ:$AJ,
      TRIM(CLEAN(TEXT(Transcription!$F:$F, ""@""))) = TRIM(CLEAN(TEXT($D247, ""@""))),
      Transcription!$AO:$AO = 5
    ),
    1
  ),
  ""Not Found""
)
"),"Not Found")</f>
        <v>Not Found</v>
      </c>
      <c r="T24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TRIM(CLEAN(TEXT($D247, ""@""))),
      IMPORTRANGE(""https://docs.google.com/spreadsheets/d/1DccNxjBgurEr0ABkI_"&amp;"rBagJT5phB5HaHG5N_mTm_BiA/edit?gid=1382299152#gid=1382299152"", ""Form responses 1!$Z:$Z"") = 6
    ),
    1
  ),
  ""Not Found""
)
"),"Not Found")</f>
        <v>Not Found</v>
      </c>
      <c r="U24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1!$E:$E"")=$D247) *
        (IMPORTRANGE(""https://docs.google.com/spreadsheets/d/161aHT6vVT3SLneTKD19N5qVWtnj_jIT8CSsOmUVKmaA"&amp;"/edit?gid=1761053510"",
          ""Haris_Form responses 1!$AQ:$AQ"")=6)
      ),
      1
    ),
    ""0""
  ),
  ""Form not found""
)
"),"Form not found")</f>
        <v>Form not found</v>
      </c>
      <c r="V247" s="247" t="str">
        <f>IFERROR(__xludf.DUMMYFUNCTION("IFERROR(
  INDEX(
    FILTER(
      Transcription!$AJ:$AJ,
      TRIM(CLEAN(TEXT(Transcription!$F:$F, ""@""))) = TRIM(CLEAN(TEXT($D247, ""@""))),
      Transcription!$AO:$AO = 6
    ),
    1
  ),
  ""Not Found""
)
"),"Not Found")</f>
        <v>Not Found</v>
      </c>
      <c r="Z247" s="10">
        <f t="shared" si="1"/>
        <v>3</v>
      </c>
      <c r="AA247" s="10">
        <f t="shared" si="2"/>
        <v>0</v>
      </c>
    </row>
    <row r="248">
      <c r="A248" s="8" t="str">
        <f>VLOOKUP($D248,Sheet6!$B:$G,5,FALSE)</f>
        <v>Pakpattan</v>
      </c>
      <c r="B248" s="232" t="str">
        <f>VLOOKUP($D248,Sheet6!$B:$G,4,FALSE)</f>
        <v>Women Religious Info Share</v>
      </c>
      <c r="C248" s="8">
        <v>3.0</v>
      </c>
      <c r="D248" s="8" t="s">
        <v>4685</v>
      </c>
      <c r="E2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TRIM(CLEAN(TEXT($D248, ""@""))),
      IMPORTRANGE(""https://docs.google.com/spreadsheets/d/1DccNxjBgurEr0ABkI_"&amp;"rBagJT5phB5HaHG5N_mTm_BiA/edit?gid=1382299152#gid=1382299152"", ""Form responses 1!$Z:$Z"") = 1
    ),
    1
  ),
  ""Not Found""
)
"),"https://drive.google.com/open?id=1FJk0My7GeH9f_5JsuUj6TJp-ZD-JXNnT")</f>
        <v>https://drive.google.com/open?id=1FJk0My7GeH9f_5JsuUj6TJp-ZD-JXNnT</v>
      </c>
      <c r="F2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1!$E:$E"")=$D248) *
        (IMPORTRANGE(""https://docs.google.com/spreadsheets/d/161aHT6vVT3SLneTKD19N5qVWtnj_jIT8CSsOmUVKmaA"&amp;"/edit?gid=1761053510"",
          ""Haris_Form responses 1!$AQ:$AQ"")=1)
      ),
      1
    ),
    ""0""
  ),
  ""Form not found""
)
"),"1")</f>
        <v>1</v>
      </c>
      <c r="G248" s="245" t="str">
        <f>IFERROR(__xludf.DUMMYFUNCTION("IFERROR(
  INDEX(
    FILTER(
      Transcription!$AJ:$AJ,
      TRIM(CLEAN(TEXT(Transcription!$F:$F, ""@""))) = TRIM(CLEAN(TEXT($D248, ""@""))),
      Transcription!$AO:$AO = 1
    ),
    1
  ),
  ""Not Found""
)
"),"https://drive.google.com/open?id=1lornE2yswJhuLP2B4wK8Vq1ZAgmJghSv")</f>
        <v>https://drive.google.com/open?id=1lornE2yswJhuLP2B4wK8Vq1ZAgmJghSv</v>
      </c>
      <c r="H2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TRIM(CLEAN(TEXT($D248, ""@""))),
      IMPORTRANGE(""https://docs.google.com/spreadsheets/d/1DccNxjBgurEr0ABkI_"&amp;"rBagJT5phB5HaHG5N_mTm_BiA/edit?gid=1382299152#gid=1382299152"", ""Form responses 1!$Z:$Z"") = 2
    ),
    1
  ),
  ""Not Found""
)
"),"https://drive.google.com/open?id=1FynWDazRSqFfzejdlSyePThfKeXVmkNI")</f>
        <v>https://drive.google.com/open?id=1FynWDazRSqFfzejdlSyePThfKeXVmkNI</v>
      </c>
      <c r="I2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1!$E:$E"")=$D248) *
        (IMPORTRANGE(""https://docs.google.com/spreadsheets/d/161aHT6vVT3SLneTKD19N5qVWtnj_jIT8CSsOmUVKmaA"&amp;"/edit?gid=1761053510"",
          ""Haris_Form responses 1!$AQ:$AQ"")=2)
      ),
      1
    ),
    ""0""
  ),
  ""Form not found""
)
"),"2")</f>
        <v>2</v>
      </c>
      <c r="J248" s="245" t="str">
        <f>IFERROR(__xludf.DUMMYFUNCTION("IFERROR(
  INDEX(
    FILTER(
      Transcription!$AJ:$AJ,
      TRIM(CLEAN(TEXT(Transcription!$F:$F, ""@""))) = TRIM(CLEAN(TEXT($D248, ""@""))),
      Transcription!$AO:$AO = 2
    ),
    1
  ),
  ""Not Found""
)
"),"https://drive.google.com/open?id=16jvJL1vHVaTZfdy8vYIjT0OlxWjd9Miv")</f>
        <v>https://drive.google.com/open?id=16jvJL1vHVaTZfdy8vYIjT0OlxWjd9Miv</v>
      </c>
      <c r="K24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TRIM(CLEAN(TEXT($D248, ""@""))),
      IMPORTRANGE(""https://docs.google.com/spreadsheets/d/1DccNxjBgurEr0ABkI_"&amp;"rBagJT5phB5HaHG5N_mTm_BiA/edit?gid=1382299152#gid=1382299152"", ""Form responses 1!$Z:$Z"") = 3
    ),
    1
  ),
  ""Not Found""
)
"),"https://drive.google.com/open?id=1hn-T7UgMCQb7DBSVSekJ070Wy4dvnNkQ")</f>
        <v>https://drive.google.com/open?id=1hn-T7UgMCQb7DBSVSekJ070Wy4dvnNkQ</v>
      </c>
      <c r="L2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1!$E:$E"")=$D248) *
        (IMPORTRANGE(""https://docs.google.com/spreadsheets/d/161aHT6vVT3SLneTKD19N5qVWtnj_jIT8CSsOmUVKmaA"&amp;"/edit?gid=1761053510"",
          ""Haris_Form responses 1!$AQ:$AQ"")=3)
      ),
      1
    ),
    ""0""
  ),
  ""Form not found""
)
"),"3")</f>
        <v>3</v>
      </c>
      <c r="M248" s="245" t="str">
        <f>IFERROR(__xludf.DUMMYFUNCTION("IFERROR(
  INDEX(
    FILTER(
      Transcription!$AJ:$AJ,
      TRIM(CLEAN(TEXT(Transcription!$F:$F, ""@""))) = TRIM(CLEAN(TEXT($D248, ""@""))),
      Transcription!$AO:$AO = 3
    ),
    1
  ),
  ""Not Found""
)
"),"https://drive.google.com/open?id=1fJdHFEIjPkH-zqrOOelM5mhv5oT5aWuR")</f>
        <v>https://drive.google.com/open?id=1fJdHFEIjPkH-zqrOOelM5mhv5oT5aWuR</v>
      </c>
      <c r="N24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TRIM(CLEAN(TEXT($D248, ""@""))),
      IMPORTRANGE(""https://docs.google.com/spreadsheets/d/1DccNxjBgurEr0ABkI_"&amp;"rBagJT5phB5HaHG5N_mTm_BiA/edit?gid=1382299152#gid=1382299152"", ""Form responses 1!$Z:$Z"") = 4
    ),
    1
  ),
  ""Not Found""
)
"),"Not Found")</f>
        <v>Not Found</v>
      </c>
      <c r="O2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1!$E:$E"")=$D248) *
        (IMPORTRANGE(""https://docs.google.com/spreadsheets/d/161aHT6vVT3SLneTKD19N5qVWtnj_jIT8CSsOmUVKmaA"&amp;"/edit?gid=1761053510"",
          ""Haris_Form responses 1!$AQ:$AQ"")=4)
      ),
      1
    ),
    ""0""
  ),
  ""Form not found""
)
"),"Form not found")</f>
        <v>Form not found</v>
      </c>
      <c r="P248" s="247" t="str">
        <f>IFERROR(__xludf.DUMMYFUNCTION("IFERROR(
  INDEX(
    FILTER(
      Transcription!$AJ:$AJ,
      TRIM(CLEAN(TEXT(Transcription!$F:$F, ""@""))) = TRIM(CLEAN(TEXT($D248, ""@""))),
      Transcription!$AO:$AO = 4
    ),
    1
  ),
  ""Not Found""
)
"),"Not Found")</f>
        <v>Not Found</v>
      </c>
      <c r="Q24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TRIM(CLEAN(TEXT($D248, ""@""))),
      IMPORTRANGE(""https://docs.google.com/spreadsheets/d/1DccNxjBgurEr0ABkI_"&amp;"rBagJT5phB5HaHG5N_mTm_BiA/edit?gid=1382299152#gid=1382299152"", ""Form responses 1!$Z:$Z"") = 5
    ),
    1
  ),
  ""Not Found""
)
"),"Not Found")</f>
        <v>Not Found</v>
      </c>
      <c r="R2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1!$E:$E"")=$D248) *
        (IMPORTRANGE(""https://docs.google.com/spreadsheets/d/161aHT6vVT3SLneTKD19N5qVWtnj_jIT8CSsOmUVKmaA"&amp;"/edit?gid=1761053510"",
          ""Haris_Form responses 1!$AQ:$AQ"")=5)
      ),
      1
    ),
    ""0""
  ),
  ""Form not found""
)
"),"Form not found")</f>
        <v>Form not found</v>
      </c>
      <c r="S248" s="247" t="str">
        <f>IFERROR(__xludf.DUMMYFUNCTION("IFERROR(
  INDEX(
    FILTER(
      Transcription!$AJ:$AJ,
      TRIM(CLEAN(TEXT(Transcription!$F:$F, ""@""))) = TRIM(CLEAN(TEXT($D248, ""@""))),
      Transcription!$AO:$AO = 5
    ),
    1
  ),
  ""Not Found""
)
"),"Not Found")</f>
        <v>Not Found</v>
      </c>
      <c r="T24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TRIM(CLEAN(TEXT($D248, ""@""))),
      IMPORTRANGE(""https://docs.google.com/spreadsheets/d/1DccNxjBgurEr0ABkI_"&amp;"rBagJT5phB5HaHG5N_mTm_BiA/edit?gid=1382299152#gid=1382299152"", ""Form responses 1!$Z:$Z"") = 6
    ),
    1
  ),
  ""Not Found""
)
"),"Not Found")</f>
        <v>Not Found</v>
      </c>
      <c r="U24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1!$E:$E"")=$D248) *
        (IMPORTRANGE(""https://docs.google.com/spreadsheets/d/161aHT6vVT3SLneTKD19N5qVWtnj_jIT8CSsOmUVKmaA"&amp;"/edit?gid=1761053510"",
          ""Haris_Form responses 1!$AQ:$AQ"")=6)
      ),
      1
    ),
    ""0""
  ),
  ""Form not found""
)
"),"Form not found")</f>
        <v>Form not found</v>
      </c>
      <c r="V248" s="247" t="str">
        <f>IFERROR(__xludf.DUMMYFUNCTION("IFERROR(
  INDEX(
    FILTER(
      Transcription!$AJ:$AJ,
      TRIM(CLEAN(TEXT(Transcription!$F:$F, ""@""))) = TRIM(CLEAN(TEXT($D248, ""@""))),
      Transcription!$AO:$AO = 6
    ),
    1
  ),
  ""Not Found""
)
"),"Not Found")</f>
        <v>Not Found</v>
      </c>
      <c r="Z248" s="10">
        <f t="shared" si="1"/>
        <v>3</v>
      </c>
      <c r="AA248" s="10">
        <f t="shared" si="2"/>
        <v>0</v>
      </c>
    </row>
    <row r="249">
      <c r="A249" s="8" t="str">
        <f>VLOOKUP($D249,Sheet6!$B:$G,5,FALSE)</f>
        <v>Sahiwal</v>
      </c>
      <c r="B249" s="232" t="str">
        <f>VLOOKUP($D249,Sheet6!$B:$G,4,FALSE)</f>
        <v>Control</v>
      </c>
      <c r="C249" s="8">
        <v>2.0</v>
      </c>
      <c r="D249" s="8" t="s">
        <v>4686</v>
      </c>
      <c r="E24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TRIM(CLEAN(TEXT($D249, ""@""))),
      IMPORTRANGE(""https://docs.google.com/spreadsheets/d/1DccNxjBgurEr0ABkI_"&amp;"rBagJT5phB5HaHG5N_mTm_BiA/edit?gid=1382299152#gid=1382299152"", ""Form responses 1!$Z:$Z"") = 1
    ),
    1
  ),
  ""Not Found""
)
"),"https://drive.google.com/file/d/1sMzStmlCWe-9fy6HH6WwbmRCKs8q4MWq/view?usp=drive_link")</f>
        <v>https://drive.google.com/file/d/1sMzStmlCWe-9fy6HH6WwbmRCKs8q4MWq/view?usp=drive_link</v>
      </c>
      <c r="F2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1!$E:$E"")=$D249) *
        (IMPORTRANGE(""https://docs.google.com/spreadsheets/d/161aHT6vVT3SLneTKD19N5qVWtnj_jIT8CSsOmUVKmaA"&amp;"/edit?gid=1761053510"",
          ""Haris_Form responses 1!$AQ:$AQ"")=1)
      ),
      1
    ),
    ""0""
  ),
  ""Form not found""
)
"),"1")</f>
        <v>1</v>
      </c>
      <c r="G249" s="245" t="str">
        <f>IFERROR(__xludf.DUMMYFUNCTION("IFERROR(
  INDEX(
    FILTER(
      Transcription!$AJ:$AJ,
      TRIM(CLEAN(TEXT(Transcription!$F:$F, ""@""))) = TRIM(CLEAN(TEXT($D249, ""@""))),
      Transcription!$AO:$AO = 1
    ),
    1
  ),
  ""Not Found""
)
"),"https://drive.google.com/open?id=1fBGk4h18sfuP5PgJAgLSa_oeA8CAc7u3")</f>
        <v>https://drive.google.com/open?id=1fBGk4h18sfuP5PgJAgLSa_oeA8CAc7u3</v>
      </c>
      <c r="H2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TRIM(CLEAN(TEXT($D249, ""@""))),
      IMPORTRANGE(""https://docs.google.com/spreadsheets/d/1DccNxjBgurEr0ABkI_"&amp;"rBagJT5phB5HaHG5N_mTm_BiA/edit?gid=1382299152#gid=1382299152"", ""Form responses 1!$Z:$Z"") = 2
    ),
    1
  ),
  ""Not Found""
)
"),"Not Found")</f>
        <v>Not Found</v>
      </c>
      <c r="I2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1!$E:$E"")=$D249) *
        (IMPORTRANGE(""https://docs.google.com/spreadsheets/d/161aHT6vVT3SLneTKD19N5qVWtnj_jIT8CSsOmUVKmaA"&amp;"/edit?gid=1761053510"",
          ""Haris_Form responses 1!$AQ:$AQ"")=2)
      ),
      1
    ),
    ""0""
  ),
  ""Form not found""
)
"),"Form not found")</f>
        <v>Form not found</v>
      </c>
      <c r="J249" s="247" t="str">
        <f>IFERROR(__xludf.DUMMYFUNCTION("IFERROR(
  INDEX(
    FILTER(
      Transcription!$AJ:$AJ,
      TRIM(CLEAN(TEXT(Transcription!$F:$F, ""@""))) = TRIM(CLEAN(TEXT($D249, ""@""))),
      Transcription!$AO:$AO = 2
    ),
    1
  ),
  ""Not Found""
)
"),"Not Found")</f>
        <v>Not Found</v>
      </c>
      <c r="K24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TRIM(CLEAN(TEXT($D249, ""@""))),
      IMPORTRANGE(""https://docs.google.com/spreadsheets/d/1DccNxjBgurEr0ABkI_"&amp;"rBagJT5phB5HaHG5N_mTm_BiA/edit?gid=1382299152#gid=1382299152"", ""Form responses 1!$Z:$Z"") = 3
    ),
    1
  ),
  ""Not Found""
)
"),"https://drive.google.com/file/d/180os61bYtf5qw8YU68Q3kJXM2YIVHvIC/view?usp=drive_link")</f>
        <v>https://drive.google.com/file/d/180os61bYtf5qw8YU68Q3kJXM2YIVHvIC/view?usp=drive_link</v>
      </c>
      <c r="L2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1!$E:$E"")=$D249) *
        (IMPORTRANGE(""https://docs.google.com/spreadsheets/d/161aHT6vVT3SLneTKD19N5qVWtnj_jIT8CSsOmUVKmaA"&amp;"/edit?gid=1761053510"",
          ""Haris_Form responses 1!$AQ:$AQ"")=3)
      ),
      1
    ),
    ""0""
  ),
  ""Form not found""
)
"),"3")</f>
        <v>3</v>
      </c>
      <c r="M249" s="245" t="str">
        <f>IFERROR(__xludf.DUMMYFUNCTION("IFERROR(
  INDEX(
    FILTER(
      Transcription!$AJ:$AJ,
      TRIM(CLEAN(TEXT(Transcription!$F:$F, ""@""))) = TRIM(CLEAN(TEXT($D249, ""@""))),
      Transcription!$AO:$AO = 3
    ),
    1
  ),
  ""Not Found""
)
"),"https://drive.google.com/open?id=1WJr6V4QXBgUABP6aa6gvZKx8WELx6OLh3SNCkp5cAkQ")</f>
        <v>https://drive.google.com/open?id=1WJr6V4QXBgUABP6aa6gvZKx8WELx6OLh3SNCkp5cAkQ</v>
      </c>
      <c r="N2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TRIM(CLEAN(TEXT($D249, ""@""))),
      IMPORTRANGE(""https://docs.google.com/spreadsheets/d/1DccNxjBgurEr0ABkI_"&amp;"rBagJT5phB5HaHG5N_mTm_BiA/edit?gid=1382299152#gid=1382299152"", ""Form responses 1!$Z:$Z"") = 4
    ),
    1
  ),
  ""Not Found""
)
"),"Not Found")</f>
        <v>Not Found</v>
      </c>
      <c r="O2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1!$E:$E"")=$D249) *
        (IMPORTRANGE(""https://docs.google.com/spreadsheets/d/161aHT6vVT3SLneTKD19N5qVWtnj_jIT8CSsOmUVKmaA"&amp;"/edit?gid=1761053510"",
          ""Haris_Form responses 1!$AQ:$AQ"")=4)
      ),
      1
    ),
    ""0""
  ),
  ""Form not found""
)
"),"Form not found")</f>
        <v>Form not found</v>
      </c>
      <c r="P249" s="247" t="str">
        <f>IFERROR(__xludf.DUMMYFUNCTION("IFERROR(
  INDEX(
    FILTER(
      Transcription!$AJ:$AJ,
      TRIM(CLEAN(TEXT(Transcription!$F:$F, ""@""))) = TRIM(CLEAN(TEXT($D249, ""@""))),
      Transcription!$AO:$AO = 4
    ),
    1
  ),
  ""Not Found""
)
"),"Not Found")</f>
        <v>Not Found</v>
      </c>
      <c r="Q2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TRIM(CLEAN(TEXT($D249, ""@""))),
      IMPORTRANGE(""https://docs.google.com/spreadsheets/d/1DccNxjBgurEr0ABkI_"&amp;"rBagJT5phB5HaHG5N_mTm_BiA/edit?gid=1382299152#gid=1382299152"", ""Form responses 1!$Z:$Z"") = 5
    ),
    1
  ),
  ""Not Found""
)
"),"Not Found")</f>
        <v>Not Found</v>
      </c>
      <c r="R2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1!$E:$E"")=$D249) *
        (IMPORTRANGE(""https://docs.google.com/spreadsheets/d/161aHT6vVT3SLneTKD19N5qVWtnj_jIT8CSsOmUVKmaA"&amp;"/edit?gid=1761053510"",
          ""Haris_Form responses 1!$AQ:$AQ"")=5)
      ),
      1
    ),
    ""0""
  ),
  ""Form not found""
)
"),"Form not found")</f>
        <v>Form not found</v>
      </c>
      <c r="S249" s="247" t="str">
        <f>IFERROR(__xludf.DUMMYFUNCTION("IFERROR(
  INDEX(
    FILTER(
      Transcription!$AJ:$AJ,
      TRIM(CLEAN(TEXT(Transcription!$F:$F, ""@""))) = TRIM(CLEAN(TEXT($D249, ""@""))),
      Transcription!$AO:$AO = 5
    ),
    1
  ),
  ""Not Found""
)
"),"Not Found")</f>
        <v>Not Found</v>
      </c>
      <c r="T24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TRIM(CLEAN(TEXT($D249, ""@""))),
      IMPORTRANGE(""https://docs.google.com/spreadsheets/d/1DccNxjBgurEr0ABkI_"&amp;"rBagJT5phB5HaHG5N_mTm_BiA/edit?gid=1382299152#gid=1382299152"", ""Form responses 1!$Z:$Z"") = 6
    ),
    1
  ),
  ""Not Found""
)
"),"Not Found")</f>
        <v>Not Found</v>
      </c>
      <c r="U24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1!$E:$E"")=$D249) *
        (IMPORTRANGE(""https://docs.google.com/spreadsheets/d/161aHT6vVT3SLneTKD19N5qVWtnj_jIT8CSsOmUVKmaA"&amp;"/edit?gid=1761053510"",
          ""Haris_Form responses 1!$AQ:$AQ"")=6)
      ),
      1
    ),
    ""0""
  ),
  ""Form not found""
)
"),"Form not found")</f>
        <v>Form not found</v>
      </c>
      <c r="V249" s="247" t="str">
        <f>IFERROR(__xludf.DUMMYFUNCTION("IFERROR(
  INDEX(
    FILTER(
      Transcription!$AJ:$AJ,
      TRIM(CLEAN(TEXT(Transcription!$F:$F, ""@""))) = TRIM(CLEAN(TEXT($D249, ""@""))),
      Transcription!$AO:$AO = 6
    ),
    1
  ),
  ""Not Found""
)
"),"Not Found")</f>
        <v>Not Found</v>
      </c>
      <c r="Z249" s="10">
        <f t="shared" si="1"/>
        <v>2</v>
      </c>
      <c r="AA249" s="10">
        <f t="shared" si="2"/>
        <v>0</v>
      </c>
    </row>
    <row r="250">
      <c r="A250" s="8" t="str">
        <f>VLOOKUP($D250,Sheet6!$B:$G,5,FALSE)</f>
        <v>Sahiwal</v>
      </c>
      <c r="B250" s="232" t="str">
        <f>VLOOKUP($D250,Sheet6!$B:$G,4,FALSE)</f>
        <v>Control</v>
      </c>
      <c r="C250" s="8">
        <v>2.0</v>
      </c>
      <c r="D250" s="8" t="s">
        <v>4687</v>
      </c>
      <c r="E25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TRIM(CLEAN(TEXT($D250, ""@""))),
      IMPORTRANGE(""https://docs.google.com/spreadsheets/d/1DccNxjBgurEr0ABkI_"&amp;"rBagJT5phB5HaHG5N_mTm_BiA/edit?gid=1382299152#gid=1382299152"", ""Form responses 1!$Z:$Z"") = 1
    ),
    1
  ),
  ""Not Found""
)
"),"https://drive.google.com/file/d/1HVbSbF8xgE4_TxTkhEA69bPLbLgvibJb/view?usp=drive_link")</f>
        <v>https://drive.google.com/file/d/1HVbSbF8xgE4_TxTkhEA69bPLbLgvibJb/view?usp=drive_link</v>
      </c>
      <c r="F2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1!$E:$E"")=$D250) *
        (IMPORTRANGE(""https://docs.google.com/spreadsheets/d/161aHT6vVT3SLneTKD19N5qVWtnj_jIT8CSsOmUVKmaA"&amp;"/edit?gid=1761053510"",
          ""Haris_Form responses 1!$AQ:$AQ"")=1)
      ),
      1
    ),
    ""0""
  ),
  ""Form not found""
)
"),"1")</f>
        <v>1</v>
      </c>
      <c r="G250" s="245" t="str">
        <f>IFERROR(__xludf.DUMMYFUNCTION("IFERROR(
  INDEX(
    FILTER(
      Transcription!$AJ:$AJ,
      TRIM(CLEAN(TEXT(Transcription!$F:$F, ""@""))) = TRIM(CLEAN(TEXT($D250, ""@""))),
      Transcription!$AO:$AO = 1
    ),
    1
  ),
  ""Not Found""
)
"),"https://drive.google.com/open?id=1LDvIHGT9ruVY6t6cJ1vIN0xDktWRtW0T")</f>
        <v>https://drive.google.com/open?id=1LDvIHGT9ruVY6t6cJ1vIN0xDktWRtW0T</v>
      </c>
      <c r="H2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TRIM(CLEAN(TEXT($D250, ""@""))),
      IMPORTRANGE(""https://docs.google.com/spreadsheets/d/1DccNxjBgurEr0ABkI_"&amp;"rBagJT5phB5HaHG5N_mTm_BiA/edit?gid=1382299152#gid=1382299152"", ""Form responses 1!$Z:$Z"") = 2
    ),
    1
  ),
  ""Not Found""
)
"),"Not Found")</f>
        <v>Not Found</v>
      </c>
      <c r="I2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1!$E:$E"")=$D250) *
        (IMPORTRANGE(""https://docs.google.com/spreadsheets/d/161aHT6vVT3SLneTKD19N5qVWtnj_jIT8CSsOmUVKmaA"&amp;"/edit?gid=1761053510"",
          ""Haris_Form responses 1!$AQ:$AQ"")=2)
      ),
      1
    ),
    ""0""
  ),
  ""Form not found""
)
"),"Form not found")</f>
        <v>Form not found</v>
      </c>
      <c r="J250" s="247" t="str">
        <f>IFERROR(__xludf.DUMMYFUNCTION("IFERROR(
  INDEX(
    FILTER(
      Transcription!$AJ:$AJ,
      TRIM(CLEAN(TEXT(Transcription!$F:$F, ""@""))) = TRIM(CLEAN(TEXT($D250, ""@""))),
      Transcription!$AO:$AO = 2
    ),
    1
  ),
  ""Not Found""
)
"),"Not Found")</f>
        <v>Not Found</v>
      </c>
      <c r="K25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TRIM(CLEAN(TEXT($D250, ""@""))),
      IMPORTRANGE(""https://docs.google.com/spreadsheets/d/1DccNxjBgurEr0ABkI_"&amp;"rBagJT5phB5HaHG5N_mTm_BiA/edit?gid=1382299152#gid=1382299152"", ""Form responses 1!$Z:$Z"") = 3
    ),
    1
  ),
  ""Not Found""
)
"),"https://drive.google.com/file/d/1sdmFoveod6WmmeLc9S_lQkkoNPff0YxW/view?usp=drive_link")</f>
        <v>https://drive.google.com/file/d/1sdmFoveod6WmmeLc9S_lQkkoNPff0YxW/view?usp=drive_link</v>
      </c>
      <c r="L2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1!$E:$E"")=$D250) *
        (IMPORTRANGE(""https://docs.google.com/spreadsheets/d/161aHT6vVT3SLneTKD19N5qVWtnj_jIT8CSsOmUVKmaA"&amp;"/edit?gid=1761053510"",
          ""Haris_Form responses 1!$AQ:$AQ"")=3)
      ),
      1
    ),
    ""0""
  ),
  ""Form not found""
)
"),"3")</f>
        <v>3</v>
      </c>
      <c r="M250" s="245" t="str">
        <f>IFERROR(__xludf.DUMMYFUNCTION("IFERROR(
  INDEX(
    FILTER(
      Transcription!$AJ:$AJ,
      TRIM(CLEAN(TEXT(Transcription!$F:$F, ""@""))) = TRIM(CLEAN(TEXT($D250, ""@""))),
      Transcription!$AO:$AO = 3
    ),
    1
  ),
  ""Not Found""
)
"),"https://drive.google.com/open?id=1IgmpXxZS-KR2-2LLfAhrWlC1HVnkQTRvQHpCtVFMjyU")</f>
        <v>https://drive.google.com/open?id=1IgmpXxZS-KR2-2LLfAhrWlC1HVnkQTRvQHpCtVFMjyU</v>
      </c>
      <c r="N2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TRIM(CLEAN(TEXT($D250, ""@""))),
      IMPORTRANGE(""https://docs.google.com/spreadsheets/d/1DccNxjBgurEr0ABkI_"&amp;"rBagJT5phB5HaHG5N_mTm_BiA/edit?gid=1382299152#gid=1382299152"", ""Form responses 1!$Z:$Z"") = 4
    ),
    1
  ),
  ""Not Found""
)
"),"Not Found")</f>
        <v>Not Found</v>
      </c>
      <c r="O2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1!$E:$E"")=$D250) *
        (IMPORTRANGE(""https://docs.google.com/spreadsheets/d/161aHT6vVT3SLneTKD19N5qVWtnj_jIT8CSsOmUVKmaA"&amp;"/edit?gid=1761053510"",
          ""Haris_Form responses 1!$AQ:$AQ"")=4)
      ),
      1
    ),
    ""0""
  ),
  ""Form not found""
)
"),"Form not found")</f>
        <v>Form not found</v>
      </c>
      <c r="P250" s="247" t="str">
        <f>IFERROR(__xludf.DUMMYFUNCTION("IFERROR(
  INDEX(
    FILTER(
      Transcription!$AJ:$AJ,
      TRIM(CLEAN(TEXT(Transcription!$F:$F, ""@""))) = TRIM(CLEAN(TEXT($D250, ""@""))),
      Transcription!$AO:$AO = 4
    ),
    1
  ),
  ""Not Found""
)
"),"Not Found")</f>
        <v>Not Found</v>
      </c>
      <c r="Q2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TRIM(CLEAN(TEXT($D250, ""@""))),
      IMPORTRANGE(""https://docs.google.com/spreadsheets/d/1DccNxjBgurEr0ABkI_"&amp;"rBagJT5phB5HaHG5N_mTm_BiA/edit?gid=1382299152#gid=1382299152"", ""Form responses 1!$Z:$Z"") = 5
    ),
    1
  ),
  ""Not Found""
)
"),"Not Found")</f>
        <v>Not Found</v>
      </c>
      <c r="R2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1!$E:$E"")=$D250) *
        (IMPORTRANGE(""https://docs.google.com/spreadsheets/d/161aHT6vVT3SLneTKD19N5qVWtnj_jIT8CSsOmUVKmaA"&amp;"/edit?gid=1761053510"",
          ""Haris_Form responses 1!$AQ:$AQ"")=5)
      ),
      1
    ),
    ""0""
  ),
  ""Form not found""
)
"),"Form not found")</f>
        <v>Form not found</v>
      </c>
      <c r="S250" s="247" t="str">
        <f>IFERROR(__xludf.DUMMYFUNCTION("IFERROR(
  INDEX(
    FILTER(
      Transcription!$AJ:$AJ,
      TRIM(CLEAN(TEXT(Transcription!$F:$F, ""@""))) = TRIM(CLEAN(TEXT($D250, ""@""))),
      Transcription!$AO:$AO = 5
    ),
    1
  ),
  ""Not Found""
)
"),"Not Found")</f>
        <v>Not Found</v>
      </c>
      <c r="T25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TRIM(CLEAN(TEXT($D250, ""@""))),
      IMPORTRANGE(""https://docs.google.com/spreadsheets/d/1DccNxjBgurEr0ABkI_"&amp;"rBagJT5phB5HaHG5N_mTm_BiA/edit?gid=1382299152#gid=1382299152"", ""Form responses 1!$Z:$Z"") = 6
    ),
    1
  ),
  ""Not Found""
)
"),"Not Found")</f>
        <v>Not Found</v>
      </c>
      <c r="U25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1!$E:$E"")=$D250) *
        (IMPORTRANGE(""https://docs.google.com/spreadsheets/d/161aHT6vVT3SLneTKD19N5qVWtnj_jIT8CSsOmUVKmaA"&amp;"/edit?gid=1761053510"",
          ""Haris_Form responses 1!$AQ:$AQ"")=6)
      ),
      1
    ),
    ""0""
  ),
  ""Form not found""
)
"),"Form not found")</f>
        <v>Form not found</v>
      </c>
      <c r="V250" s="247" t="str">
        <f>IFERROR(__xludf.DUMMYFUNCTION("IFERROR(
  INDEX(
    FILTER(
      Transcription!$AJ:$AJ,
      TRIM(CLEAN(TEXT(Transcription!$F:$F, ""@""))) = TRIM(CLEAN(TEXT($D250, ""@""))),
      Transcription!$AO:$AO = 6
    ),
    1
  ),
  ""Not Found""
)
"),"Not Found")</f>
        <v>Not Found</v>
      </c>
      <c r="Z250" s="10">
        <f t="shared" si="1"/>
        <v>2</v>
      </c>
      <c r="AA250" s="10">
        <f t="shared" si="2"/>
        <v>0</v>
      </c>
    </row>
    <row r="251">
      <c r="A251" s="8" t="str">
        <f>VLOOKUP($D251,Sheet6!$B:$G,5,FALSE)</f>
        <v>Sahiwal</v>
      </c>
      <c r="B251" s="232" t="str">
        <f>VLOOKUP($D251,Sheet6!$B:$G,4,FALSE)</f>
        <v>Control</v>
      </c>
      <c r="C251" s="8">
        <v>2.0</v>
      </c>
      <c r="D251" s="8" t="s">
        <v>4688</v>
      </c>
      <c r="E2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TRIM(CLEAN(TEXT($D251, ""@""))),
      IMPORTRANGE(""https://docs.google.com/spreadsheets/d/1DccNxjBgurEr0ABkI_"&amp;"rBagJT5phB5HaHG5N_mTm_BiA/edit?gid=1382299152#gid=1382299152"", ""Form responses 1!$Z:$Z"") = 1
    ),
    1
  ),
  ""Not Found""
)
"),"https://drive.google.com/file/d/1uppktk-1XqyyomF3NM-x64YqwuvXB7jd/view?usp=drive_link")</f>
        <v>https://drive.google.com/file/d/1uppktk-1XqyyomF3NM-x64YqwuvXB7jd/view?usp=drive_link</v>
      </c>
      <c r="F2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1!$E:$E"")=$D251) *
        (IMPORTRANGE(""https://docs.google.com/spreadsheets/d/161aHT6vVT3SLneTKD19N5qVWtnj_jIT8CSsOmUVKmaA"&amp;"/edit?gid=1761053510"",
          ""Haris_Form responses 1!$AQ:$AQ"")=1)
      ),
      1
    ),
    ""0""
  ),
  ""Form not found""
)
"),"1")</f>
        <v>1</v>
      </c>
      <c r="G251" s="245" t="str">
        <f>IFERROR(__xludf.DUMMYFUNCTION("IFERROR(
  INDEX(
    FILTER(
      Transcription!$AJ:$AJ,
      TRIM(CLEAN(TEXT(Transcription!$F:$F, ""@""))) = TRIM(CLEAN(TEXT($D251, ""@""))),
      Transcription!$AO:$AO = 1
    ),
    1
  ),
  ""Not Found""
)
"),"https://drive.google.com/open?id=1keuMrxneNr9QcoBQxCVZ_ySbb12eLEpp4Bi1TSgoScg")</f>
        <v>https://drive.google.com/open?id=1keuMrxneNr9QcoBQxCVZ_ySbb12eLEpp4Bi1TSgoScg</v>
      </c>
      <c r="H25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TRIM(CLEAN(TEXT($D251, ""@""))),
      IMPORTRANGE(""https://docs.google.com/spreadsheets/d/1DccNxjBgurEr0ABkI_"&amp;"rBagJT5phB5HaHG5N_mTm_BiA/edit?gid=1382299152#gid=1382299152"", ""Form responses 1!$Z:$Z"") = 2
    ),
    1
  ),
  ""Not Found""
)
"),"Not Found")</f>
        <v>Not Found</v>
      </c>
      <c r="I2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1!$E:$E"")=$D251) *
        (IMPORTRANGE(""https://docs.google.com/spreadsheets/d/161aHT6vVT3SLneTKD19N5qVWtnj_jIT8CSsOmUVKmaA"&amp;"/edit?gid=1761053510"",
          ""Haris_Form responses 1!$AQ:$AQ"")=2)
      ),
      1
    ),
    ""0""
  ),
  ""Form not found""
)
"),"Form not found")</f>
        <v>Form not found</v>
      </c>
      <c r="J251" s="247" t="str">
        <f>IFERROR(__xludf.DUMMYFUNCTION("IFERROR(
  INDEX(
    FILTER(
      Transcription!$AJ:$AJ,
      TRIM(CLEAN(TEXT(Transcription!$F:$F, ""@""))) = TRIM(CLEAN(TEXT($D251, ""@""))),
      Transcription!$AO:$AO = 2
    ),
    1
  ),
  ""Not Found""
)
"),"Not Found")</f>
        <v>Not Found</v>
      </c>
      <c r="K25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TRIM(CLEAN(TEXT($D251, ""@""))),
      IMPORTRANGE(""https://docs.google.com/spreadsheets/d/1DccNxjBgurEr0ABkI_"&amp;"rBagJT5phB5HaHG5N_mTm_BiA/edit?gid=1382299152#gid=1382299152"", ""Form responses 1!$Z:$Z"") = 3
    ),
    1
  ),
  ""Not Found""
)
"),"https://drive.google.com/file/d/1TGstwvHQM1UaFxwp--tEbCiyzteYNGhI/view?usp=drive_link")</f>
        <v>https://drive.google.com/file/d/1TGstwvHQM1UaFxwp--tEbCiyzteYNGhI/view?usp=drive_link</v>
      </c>
      <c r="L2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1!$E:$E"")=$D251) *
        (IMPORTRANGE(""https://docs.google.com/spreadsheets/d/161aHT6vVT3SLneTKD19N5qVWtnj_jIT8CSsOmUVKmaA"&amp;"/edit?gid=1761053510"",
          ""Haris_Form responses 1!$AQ:$AQ"")=3)
      ),
      1
    ),
    ""0""
  ),
  ""Form not found""
)
"),"3")</f>
        <v>3</v>
      </c>
      <c r="M251" s="245" t="str">
        <f>IFERROR(__xludf.DUMMYFUNCTION("IFERROR(
  INDEX(
    FILTER(
      Transcription!$AJ:$AJ,
      TRIM(CLEAN(TEXT(Transcription!$F:$F, ""@""))) = TRIM(CLEAN(TEXT($D251, ""@""))),
      Transcription!$AO:$AO = 3
    ),
    1
  ),
  ""Not Found""
)
"),"https://drive.google.com/open?id=1-kBIfVA31S8t6w-sMg-VsAPJR_K9D-c9")</f>
        <v>https://drive.google.com/open?id=1-kBIfVA31S8t6w-sMg-VsAPJR_K9D-c9</v>
      </c>
      <c r="N25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TRIM(CLEAN(TEXT($D251, ""@""))),
      IMPORTRANGE(""https://docs.google.com/spreadsheets/d/1DccNxjBgurEr0ABkI_"&amp;"rBagJT5phB5HaHG5N_mTm_BiA/edit?gid=1382299152#gid=1382299152"", ""Form responses 1!$Z:$Z"") = 4
    ),
    1
  ),
  ""Not Found""
)
"),"Not Found")</f>
        <v>Not Found</v>
      </c>
      <c r="O2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1!$E:$E"")=$D251) *
        (IMPORTRANGE(""https://docs.google.com/spreadsheets/d/161aHT6vVT3SLneTKD19N5qVWtnj_jIT8CSsOmUVKmaA"&amp;"/edit?gid=1761053510"",
          ""Haris_Form responses 1!$AQ:$AQ"")=4)
      ),
      1
    ),
    ""0""
  ),
  ""Form not found""
)
"),"Form not found")</f>
        <v>Form not found</v>
      </c>
      <c r="P251" s="247" t="str">
        <f>IFERROR(__xludf.DUMMYFUNCTION("IFERROR(
  INDEX(
    FILTER(
      Transcription!$AJ:$AJ,
      TRIM(CLEAN(TEXT(Transcription!$F:$F, ""@""))) = TRIM(CLEAN(TEXT($D251, ""@""))),
      Transcription!$AO:$AO = 4
    ),
    1
  ),
  ""Not Found""
)
"),"Not Found")</f>
        <v>Not Found</v>
      </c>
      <c r="Q25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TRIM(CLEAN(TEXT($D251, ""@""))),
      IMPORTRANGE(""https://docs.google.com/spreadsheets/d/1DccNxjBgurEr0ABkI_"&amp;"rBagJT5phB5HaHG5N_mTm_BiA/edit?gid=1382299152#gid=1382299152"", ""Form responses 1!$Z:$Z"") = 5
    ),
    1
  ),
  ""Not Found""
)
"),"Not Found")</f>
        <v>Not Found</v>
      </c>
      <c r="R2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1!$E:$E"")=$D251) *
        (IMPORTRANGE(""https://docs.google.com/spreadsheets/d/161aHT6vVT3SLneTKD19N5qVWtnj_jIT8CSsOmUVKmaA"&amp;"/edit?gid=1761053510"",
          ""Haris_Form responses 1!$AQ:$AQ"")=5)
      ),
      1
    ),
    ""0""
  ),
  ""Form not found""
)
"),"Form not found")</f>
        <v>Form not found</v>
      </c>
      <c r="S251" s="247" t="str">
        <f>IFERROR(__xludf.DUMMYFUNCTION("IFERROR(
  INDEX(
    FILTER(
      Transcription!$AJ:$AJ,
      TRIM(CLEAN(TEXT(Transcription!$F:$F, ""@""))) = TRIM(CLEAN(TEXT($D251, ""@""))),
      Transcription!$AO:$AO = 5
    ),
    1
  ),
  ""Not Found""
)
"),"Not Found")</f>
        <v>Not Found</v>
      </c>
      <c r="T25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TRIM(CLEAN(TEXT($D251, ""@""))),
      IMPORTRANGE(""https://docs.google.com/spreadsheets/d/1DccNxjBgurEr0ABkI_"&amp;"rBagJT5phB5HaHG5N_mTm_BiA/edit?gid=1382299152#gid=1382299152"", ""Form responses 1!$Z:$Z"") = 6
    ),
    1
  ),
  ""Not Found""
)
"),"Not Found")</f>
        <v>Not Found</v>
      </c>
      <c r="U25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1!$E:$E"")=$D251) *
        (IMPORTRANGE(""https://docs.google.com/spreadsheets/d/161aHT6vVT3SLneTKD19N5qVWtnj_jIT8CSsOmUVKmaA"&amp;"/edit?gid=1761053510"",
          ""Haris_Form responses 1!$AQ:$AQ"")=6)
      ),
      1
    ),
    ""0""
  ),
  ""Form not found""
)
"),"Form not found")</f>
        <v>Form not found</v>
      </c>
      <c r="V251" s="247" t="str">
        <f>IFERROR(__xludf.DUMMYFUNCTION("IFERROR(
  INDEX(
    FILTER(
      Transcription!$AJ:$AJ,
      TRIM(CLEAN(TEXT(Transcription!$F:$F, ""@""))) = TRIM(CLEAN(TEXT($D251, ""@""))),
      Transcription!$AO:$AO = 6
    ),
    1
  ),
  ""Not Found""
)
"),"Not Found")</f>
        <v>Not Found</v>
      </c>
      <c r="Z251" s="10">
        <f t="shared" si="1"/>
        <v>2</v>
      </c>
      <c r="AA251" s="10">
        <f t="shared" si="2"/>
        <v>0</v>
      </c>
    </row>
    <row r="252">
      <c r="A252" s="8" t="str">
        <f>VLOOKUP($D252,Sheet6!$B:$G,5,FALSE)</f>
        <v>Sahiwal</v>
      </c>
      <c r="B252" s="232" t="str">
        <f>VLOOKUP($D252,Sheet6!$B:$G,4,FALSE)</f>
        <v>Control</v>
      </c>
      <c r="C252" s="8">
        <v>2.0</v>
      </c>
      <c r="D252" s="8" t="s">
        <v>4689</v>
      </c>
      <c r="E25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TRIM(CLEAN(TEXT($D252, ""@""))),
      IMPORTRANGE(""https://docs.google.com/spreadsheets/d/1DccNxjBgurEr0ABkI_"&amp;"rBagJT5phB5HaHG5N_mTm_BiA/edit?gid=1382299152#gid=1382299152"", ""Form responses 1!$Z:$Z"") = 1
    ),
    1
  ),
  ""Not Found""
)
"),"https://drive.google.com/file/d/1216Tn0ckwQv7SnJPE8bep8szzAgEae5n/view?usp=drive_link")</f>
        <v>https://drive.google.com/file/d/1216Tn0ckwQv7SnJPE8bep8szzAgEae5n/view?usp=drive_link</v>
      </c>
      <c r="F2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1!$E:$E"")=$D252) *
        (IMPORTRANGE(""https://docs.google.com/spreadsheets/d/161aHT6vVT3SLneTKD19N5qVWtnj_jIT8CSsOmUVKmaA"&amp;"/edit?gid=1761053510"",
          ""Haris_Form responses 1!$AQ:$AQ"")=1)
      ),
      1
    ),
    ""0""
  ),
  ""Form not found""
)
"),"1")</f>
        <v>1</v>
      </c>
      <c r="G252" s="245" t="str">
        <f>IFERROR(__xludf.DUMMYFUNCTION("IFERROR(
  INDEX(
    FILTER(
      Transcription!$AJ:$AJ,
      TRIM(CLEAN(TEXT(Transcription!$F:$F, ""@""))) = TRIM(CLEAN(TEXT($D252, ""@""))),
      Transcription!$AO:$AO = 1
    ),
    1
  ),
  ""Not Found""
)
"),"https://drive.google.com/open?id=1ez7AyexLOWhILx5t8dyQXYd_RW_N82Xm9kOaXiJD0KQ")</f>
        <v>https://drive.google.com/open?id=1ez7AyexLOWhILx5t8dyQXYd_RW_N82Xm9kOaXiJD0KQ</v>
      </c>
      <c r="H2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TRIM(CLEAN(TEXT($D252, ""@""))),
      IMPORTRANGE(""https://docs.google.com/spreadsheets/d/1DccNxjBgurEr0ABkI_"&amp;"rBagJT5phB5HaHG5N_mTm_BiA/edit?gid=1382299152#gid=1382299152"", ""Form responses 1!$Z:$Z"") = 2
    ),
    1
  ),
  ""Not Found""
)
"),"Not Found")</f>
        <v>Not Found</v>
      </c>
      <c r="I2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1!$E:$E"")=$D252) *
        (IMPORTRANGE(""https://docs.google.com/spreadsheets/d/161aHT6vVT3SLneTKD19N5qVWtnj_jIT8CSsOmUVKmaA"&amp;"/edit?gid=1761053510"",
          ""Haris_Form responses 1!$AQ:$AQ"")=2)
      ),
      1
    ),
    ""0""
  ),
  ""Form not found""
)
"),"Form not found")</f>
        <v>Form not found</v>
      </c>
      <c r="J252" s="247" t="str">
        <f>IFERROR(__xludf.DUMMYFUNCTION("IFERROR(
  INDEX(
    FILTER(
      Transcription!$AJ:$AJ,
      TRIM(CLEAN(TEXT(Transcription!$F:$F, ""@""))) = TRIM(CLEAN(TEXT($D252, ""@""))),
      Transcription!$AO:$AO = 2
    ),
    1
  ),
  ""Not Found""
)
"),"Not Found")</f>
        <v>Not Found</v>
      </c>
      <c r="K25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TRIM(CLEAN(TEXT($D252, ""@""))),
      IMPORTRANGE(""https://docs.google.com/spreadsheets/d/1DccNxjBgurEr0ABkI_"&amp;"rBagJT5phB5HaHG5N_mTm_BiA/edit?gid=1382299152#gid=1382299152"", ""Form responses 1!$Z:$Z"") = 3
    ),
    1
  ),
  ""Not Found""
)
"),"https://drive.google.com/file/d/1PC9t-b3j7TVVhRGQHyOoS97Y4rJRRhDr/view?usp=drive_link")</f>
        <v>https://drive.google.com/file/d/1PC9t-b3j7TVVhRGQHyOoS97Y4rJRRhDr/view?usp=drive_link</v>
      </c>
      <c r="L2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1!$E:$E"")=$D252) *
        (IMPORTRANGE(""https://docs.google.com/spreadsheets/d/161aHT6vVT3SLneTKD19N5qVWtnj_jIT8CSsOmUVKmaA"&amp;"/edit?gid=1761053510"",
          ""Haris_Form responses 1!$AQ:$AQ"")=3)
      ),
      1
    ),
    ""0""
  ),
  ""Form not found""
)
"),"3")</f>
        <v>3</v>
      </c>
      <c r="M252" s="245" t="str">
        <f>IFERROR(__xludf.DUMMYFUNCTION("IFERROR(
  INDEX(
    FILTER(
      Transcription!$AJ:$AJ,
      TRIM(CLEAN(TEXT(Transcription!$F:$F, ""@""))) = TRIM(CLEAN(TEXT($D252, ""@""))),
      Transcription!$AO:$AO = 3
    ),
    1
  ),
  ""Not Found""
)
"),"https://drive.google.com/open?id=1h5bqUCtyu8sfbr0CVDK8Zo6ASFse2Y4g4h-BTd3zwvI")</f>
        <v>https://drive.google.com/open?id=1h5bqUCtyu8sfbr0CVDK8Zo6ASFse2Y4g4h-BTd3zwvI</v>
      </c>
      <c r="N2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TRIM(CLEAN(TEXT($D252, ""@""))),
      IMPORTRANGE(""https://docs.google.com/spreadsheets/d/1DccNxjBgurEr0ABkI_"&amp;"rBagJT5phB5HaHG5N_mTm_BiA/edit?gid=1382299152#gid=1382299152"", ""Form responses 1!$Z:$Z"") = 4
    ),
    1
  ),
  ""Not Found""
)
"),"Not Found")</f>
        <v>Not Found</v>
      </c>
      <c r="O2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1!$E:$E"")=$D252) *
        (IMPORTRANGE(""https://docs.google.com/spreadsheets/d/161aHT6vVT3SLneTKD19N5qVWtnj_jIT8CSsOmUVKmaA"&amp;"/edit?gid=1761053510"",
          ""Haris_Form responses 1!$AQ:$AQ"")=4)
      ),
      1
    ),
    ""0""
  ),
  ""Form not found""
)
"),"Form not found")</f>
        <v>Form not found</v>
      </c>
      <c r="P252" s="247" t="str">
        <f>IFERROR(__xludf.DUMMYFUNCTION("IFERROR(
  INDEX(
    FILTER(
      Transcription!$AJ:$AJ,
      TRIM(CLEAN(TEXT(Transcription!$F:$F, ""@""))) = TRIM(CLEAN(TEXT($D252, ""@""))),
      Transcription!$AO:$AO = 4
    ),
    1
  ),
  ""Not Found""
)
"),"Not Found")</f>
        <v>Not Found</v>
      </c>
      <c r="Q2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TRIM(CLEAN(TEXT($D252, ""@""))),
      IMPORTRANGE(""https://docs.google.com/spreadsheets/d/1DccNxjBgurEr0ABkI_"&amp;"rBagJT5phB5HaHG5N_mTm_BiA/edit?gid=1382299152#gid=1382299152"", ""Form responses 1!$Z:$Z"") = 5
    ),
    1
  ),
  ""Not Found""
)
"),"Not Found")</f>
        <v>Not Found</v>
      </c>
      <c r="R2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1!$E:$E"")=$D252) *
        (IMPORTRANGE(""https://docs.google.com/spreadsheets/d/161aHT6vVT3SLneTKD19N5qVWtnj_jIT8CSsOmUVKmaA"&amp;"/edit?gid=1761053510"",
          ""Haris_Form responses 1!$AQ:$AQ"")=5)
      ),
      1
    ),
    ""0""
  ),
  ""Form not found""
)
"),"Form not found")</f>
        <v>Form not found</v>
      </c>
      <c r="S252" s="247" t="str">
        <f>IFERROR(__xludf.DUMMYFUNCTION("IFERROR(
  INDEX(
    FILTER(
      Transcription!$AJ:$AJ,
      TRIM(CLEAN(TEXT(Transcription!$F:$F, ""@""))) = TRIM(CLEAN(TEXT($D252, ""@""))),
      Transcription!$AO:$AO = 5
    ),
    1
  ),
  ""Not Found""
)
"),"Not Found")</f>
        <v>Not Found</v>
      </c>
      <c r="T25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TRIM(CLEAN(TEXT($D252, ""@""))),
      IMPORTRANGE(""https://docs.google.com/spreadsheets/d/1DccNxjBgurEr0ABkI_"&amp;"rBagJT5phB5HaHG5N_mTm_BiA/edit?gid=1382299152#gid=1382299152"", ""Form responses 1!$Z:$Z"") = 6
    ),
    1
  ),
  ""Not Found""
)
"),"Not Found")</f>
        <v>Not Found</v>
      </c>
      <c r="U25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1!$E:$E"")=$D252) *
        (IMPORTRANGE(""https://docs.google.com/spreadsheets/d/161aHT6vVT3SLneTKD19N5qVWtnj_jIT8CSsOmUVKmaA"&amp;"/edit?gid=1761053510"",
          ""Haris_Form responses 1!$AQ:$AQ"")=6)
      ),
      1
    ),
    ""0""
  ),
  ""Form not found""
)
"),"Form not found")</f>
        <v>Form not found</v>
      </c>
      <c r="V252" s="247" t="str">
        <f>IFERROR(__xludf.DUMMYFUNCTION("IFERROR(
  INDEX(
    FILTER(
      Transcription!$AJ:$AJ,
      TRIM(CLEAN(TEXT(Transcription!$F:$F, ""@""))) = TRIM(CLEAN(TEXT($D252, ""@""))),
      Transcription!$AO:$AO = 6
    ),
    1
  ),
  ""Not Found""
)
"),"Not Found")</f>
        <v>Not Found</v>
      </c>
      <c r="Z252" s="10">
        <f t="shared" si="1"/>
        <v>2</v>
      </c>
      <c r="AA252" s="10">
        <f t="shared" si="2"/>
        <v>0</v>
      </c>
    </row>
    <row r="253">
      <c r="A253" s="8" t="str">
        <f>VLOOKUP($D253,Sheet6!$B:$G,5,FALSE)</f>
        <v>Sahiwal</v>
      </c>
      <c r="B253" s="232" t="str">
        <f>VLOOKUP($D253,Sheet6!$B:$G,4,FALSE)</f>
        <v>Women Religious Info Share</v>
      </c>
      <c r="C253" s="8">
        <v>3.0</v>
      </c>
      <c r="D253" s="8" t="s">
        <v>4690</v>
      </c>
      <c r="E2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TRIM(CLEAN(TEXT($D253, ""@""))),
      IMPORTRANGE(""https://docs.google.com/spreadsheets/d/1DccNxjBgurEr0ABkI_"&amp;"rBagJT5phB5HaHG5N_mTm_BiA/edit?gid=1382299152#gid=1382299152"", ""Form responses 1!$Z:$Z"") = 1
    ),
    1
  ),
  ""Not Found""
)
"),"https://drive.google.com/open?id=1GuLVHpTNdTmWoG_XZXTqmLUsfwvuDckb")</f>
        <v>https://drive.google.com/open?id=1GuLVHpTNdTmWoG_XZXTqmLUsfwvuDckb</v>
      </c>
      <c r="F2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1!$E:$E"")=$D253) *
        (IMPORTRANGE(""https://docs.google.com/spreadsheets/d/161aHT6vVT3SLneTKD19N5qVWtnj_jIT8CSsOmUVKmaA"&amp;"/edit?gid=1761053510"",
          ""Haris_Form responses 1!$AQ:$AQ"")=1)
      ),
      1
    ),
    ""0""
  ),
  ""Form not found""
)
"),"1")</f>
        <v>1</v>
      </c>
      <c r="G253" s="245" t="str">
        <f>IFERROR(__xludf.DUMMYFUNCTION("IFERROR(
  INDEX(
    FILTER(
      Transcription!$AJ:$AJ,
      TRIM(CLEAN(TEXT(Transcription!$F:$F, ""@""))) = TRIM(CLEAN(TEXT($D253, ""@""))),
      Transcription!$AO:$AO = 1
    ),
    1
  ),
  ""Not Found""
)
"),"https://drive.google.com/open?id=1ZHIjqScwqHl3Ttn0g_yj-ZbY8P9YmGLQxfzX8C3qCpo")</f>
        <v>https://drive.google.com/open?id=1ZHIjqScwqHl3Ttn0g_yj-ZbY8P9YmGLQxfzX8C3qCpo</v>
      </c>
      <c r="H2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TRIM(CLEAN(TEXT($D253, ""@""))),
      IMPORTRANGE(""https://docs.google.com/spreadsheets/d/1DccNxjBgurEr0ABkI_"&amp;"rBagJT5phB5HaHG5N_mTm_BiA/edit?gid=1382299152#gid=1382299152"", ""Form responses 1!$Z:$Z"") = 2
    ),
    1
  ),
  ""Not Found""
)
"),"https://drive.google.com/open?id=16dn2o3l0Gv1jMXhCjtY3Yw9z6YvNVTAG")</f>
        <v>https://drive.google.com/open?id=16dn2o3l0Gv1jMXhCjtY3Yw9z6YvNVTAG</v>
      </c>
      <c r="I2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1!$E:$E"")=$D253) *
        (IMPORTRANGE(""https://docs.google.com/spreadsheets/d/161aHT6vVT3SLneTKD19N5qVWtnj_jIT8CSsOmUVKmaA"&amp;"/edit?gid=1761053510"",
          ""Haris_Form responses 1!$AQ:$AQ"")=2)
      ),
      1
    ),
    ""0""
  ),
  ""Form not found""
)
"),"2")</f>
        <v>2</v>
      </c>
      <c r="J253" s="245" t="str">
        <f>IFERROR(__xludf.DUMMYFUNCTION("IFERROR(
  INDEX(
    FILTER(
      Transcription!$AJ:$AJ,
      TRIM(CLEAN(TEXT(Transcription!$F:$F, ""@""))) = TRIM(CLEAN(TEXT($D253, ""@""))),
      Transcription!$AO:$AO = 2
    ),
    1
  ),
  ""Not Found""
)
"),"https://drive.google.com/open?id=1YctZSSIfmv3fCeCgWcxMkaeOygTXGLeM")</f>
        <v>https://drive.google.com/open?id=1YctZSSIfmv3fCeCgWcxMkaeOygTXGLeM</v>
      </c>
      <c r="K25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TRIM(CLEAN(TEXT($D253, ""@""))),
      IMPORTRANGE(""https://docs.google.com/spreadsheets/d/1DccNxjBgurEr0ABkI_"&amp;"rBagJT5phB5HaHG5N_mTm_BiA/edit?gid=1382299152#gid=1382299152"", ""Form responses 1!$Z:$Z"") = 3
    ),
    1
  ),
  ""Not Found""
)
"),"https://drive.google.com/open?id=1m9trDQ2cln7oGVlvz1IfKqixlikoZkL3")</f>
        <v>https://drive.google.com/open?id=1m9trDQ2cln7oGVlvz1IfKqixlikoZkL3</v>
      </c>
      <c r="L2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1!$E:$E"")=$D253) *
        (IMPORTRANGE(""https://docs.google.com/spreadsheets/d/161aHT6vVT3SLneTKD19N5qVWtnj_jIT8CSsOmUVKmaA"&amp;"/edit?gid=1761053510"",
          ""Haris_Form responses 1!$AQ:$AQ"")=3)
      ),
      1
    ),
    ""0""
  ),
  ""Form not found""
)
"),"3")</f>
        <v>3</v>
      </c>
      <c r="M253" s="245" t="str">
        <f>IFERROR(__xludf.DUMMYFUNCTION("IFERROR(
  INDEX(
    FILTER(
      Transcription!$AJ:$AJ,
      TRIM(CLEAN(TEXT(Transcription!$F:$F, ""@""))) = TRIM(CLEAN(TEXT($D253, ""@""))),
      Transcription!$AO:$AO = 3
    ),
    1
  ),
  ""Not Found""
)
"),"https://drive.google.com/open?id=1_qVx8NTTjXcITSLQjXh_OXqxXQ5N3RxgdiBaDNBiPDg")</f>
        <v>https://drive.google.com/open?id=1_qVx8NTTjXcITSLQjXh_OXqxXQ5N3RxgdiBaDNBiPDg</v>
      </c>
      <c r="N25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TRIM(CLEAN(TEXT($D253, ""@""))),
      IMPORTRANGE(""https://docs.google.com/spreadsheets/d/1DccNxjBgurEr0ABkI_"&amp;"rBagJT5phB5HaHG5N_mTm_BiA/edit?gid=1382299152#gid=1382299152"", ""Form responses 1!$Z:$Z"") = 4
    ),
    1
  ),
  ""Not Found""
)
"),"Not Found")</f>
        <v>Not Found</v>
      </c>
      <c r="O2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1!$E:$E"")=$D253) *
        (IMPORTRANGE(""https://docs.google.com/spreadsheets/d/161aHT6vVT3SLneTKD19N5qVWtnj_jIT8CSsOmUVKmaA"&amp;"/edit?gid=1761053510"",
          ""Haris_Form responses 1!$AQ:$AQ"")=4)
      ),
      1
    ),
    ""0""
  ),
  ""Form not found""
)
"),"Form not found")</f>
        <v>Form not found</v>
      </c>
      <c r="P253" s="247" t="str">
        <f>IFERROR(__xludf.DUMMYFUNCTION("IFERROR(
  INDEX(
    FILTER(
      Transcription!$AJ:$AJ,
      TRIM(CLEAN(TEXT(Transcription!$F:$F, ""@""))) = TRIM(CLEAN(TEXT($D253, ""@""))),
      Transcription!$AO:$AO = 4
    ),
    1
  ),
  ""Not Found""
)
"),"Not Found")</f>
        <v>Not Found</v>
      </c>
      <c r="Q25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TRIM(CLEAN(TEXT($D253, ""@""))),
      IMPORTRANGE(""https://docs.google.com/spreadsheets/d/1DccNxjBgurEr0ABkI_"&amp;"rBagJT5phB5HaHG5N_mTm_BiA/edit?gid=1382299152#gid=1382299152"", ""Form responses 1!$Z:$Z"") = 5
    ),
    1
  ),
  ""Not Found""
)
"),"Not Found")</f>
        <v>Not Found</v>
      </c>
      <c r="R2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1!$E:$E"")=$D253) *
        (IMPORTRANGE(""https://docs.google.com/spreadsheets/d/161aHT6vVT3SLneTKD19N5qVWtnj_jIT8CSsOmUVKmaA"&amp;"/edit?gid=1761053510"",
          ""Haris_Form responses 1!$AQ:$AQ"")=5)
      ),
      1
    ),
    ""0""
  ),
  ""Form not found""
)
"),"Form not found")</f>
        <v>Form not found</v>
      </c>
      <c r="S253" s="247" t="str">
        <f>IFERROR(__xludf.DUMMYFUNCTION("IFERROR(
  INDEX(
    FILTER(
      Transcription!$AJ:$AJ,
      TRIM(CLEAN(TEXT(Transcription!$F:$F, ""@""))) = TRIM(CLEAN(TEXT($D253, ""@""))),
      Transcription!$AO:$AO = 5
    ),
    1
  ),
  ""Not Found""
)
"),"Not Found")</f>
        <v>Not Found</v>
      </c>
      <c r="T25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TRIM(CLEAN(TEXT($D253, ""@""))),
      IMPORTRANGE(""https://docs.google.com/spreadsheets/d/1DccNxjBgurEr0ABkI_"&amp;"rBagJT5phB5HaHG5N_mTm_BiA/edit?gid=1382299152#gid=1382299152"", ""Form responses 1!$Z:$Z"") = 6
    ),
    1
  ),
  ""Not Found""
)
"),"Not Found")</f>
        <v>Not Found</v>
      </c>
      <c r="U25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1!$E:$E"")=$D253) *
        (IMPORTRANGE(""https://docs.google.com/spreadsheets/d/161aHT6vVT3SLneTKD19N5qVWtnj_jIT8CSsOmUVKmaA"&amp;"/edit?gid=1761053510"",
          ""Haris_Form responses 1!$AQ:$AQ"")=6)
      ),
      1
    ),
    ""0""
  ),
  ""Form not found""
)
"),"Form not found")</f>
        <v>Form not found</v>
      </c>
      <c r="V253" s="247" t="str">
        <f>IFERROR(__xludf.DUMMYFUNCTION("IFERROR(
  INDEX(
    FILTER(
      Transcription!$AJ:$AJ,
      TRIM(CLEAN(TEXT(Transcription!$F:$F, ""@""))) = TRIM(CLEAN(TEXT($D253, ""@""))),
      Transcription!$AO:$AO = 6
    ),
    1
  ),
  ""Not Found""
)
"),"Not Found")</f>
        <v>Not Found</v>
      </c>
      <c r="Z253" s="10">
        <f t="shared" si="1"/>
        <v>3</v>
      </c>
      <c r="AA253" s="10">
        <f t="shared" si="2"/>
        <v>0</v>
      </c>
    </row>
    <row r="254">
      <c r="A254" s="8" t="str">
        <f>VLOOKUP($D254,Sheet6!$B:$G,5,FALSE)</f>
        <v>Sahiwal</v>
      </c>
      <c r="B254" s="232" t="str">
        <f>VLOOKUP($D254,Sheet6!$B:$G,4,FALSE)</f>
        <v>Women Religious Info Share</v>
      </c>
      <c r="C254" s="8">
        <v>3.0</v>
      </c>
      <c r="D254" s="8" t="s">
        <v>4691</v>
      </c>
      <c r="E25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TRIM(CLEAN(TEXT($D254, ""@""))),
      IMPORTRANGE(""https://docs.google.com/spreadsheets/d/1DccNxjBgurEr0ABkI_"&amp;"rBagJT5phB5HaHG5N_mTm_BiA/edit?gid=1382299152#gid=1382299152"", ""Form responses 1!$Z:$Z"") = 1
    ),
    1
  ),
  ""Not Found""
)
"),"https://drive.google.com/file/d/1MyeVG7yAekK_Wv7ZkwfpzeDzZAn5bEa1/view?usp=sharing")</f>
        <v>https://drive.google.com/file/d/1MyeVG7yAekK_Wv7ZkwfpzeDzZAn5bEa1/view?usp=sharing</v>
      </c>
      <c r="F2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1!$E:$E"")=$D254) *
        (IMPORTRANGE(""https://docs.google.com/spreadsheets/d/161aHT6vVT3SLneTKD19N5qVWtnj_jIT8CSsOmUVKmaA"&amp;"/edit?gid=1761053510"",
          ""Haris_Form responses 1!$AQ:$AQ"")=1)
      ),
      1
    ),
    ""0""
  ),
  ""Form not found""
)
"),"1")</f>
        <v>1</v>
      </c>
      <c r="G254" s="245" t="str">
        <f>IFERROR(__xludf.DUMMYFUNCTION("IFERROR(
  INDEX(
    FILTER(
      Transcription!$AJ:$AJ,
      TRIM(CLEAN(TEXT(Transcription!$F:$F, ""@""))) = TRIM(CLEAN(TEXT($D254, ""@""))),
      Transcription!$AO:$AO = 1
    ),
    1
  ),
  ""Not Found""
)
"),"https://drive.google.com/open?id=18TO5x23qkGyzi3HCOHHtyvdVJYhKGgmNP0kcf78AU-8")</f>
        <v>https://drive.google.com/open?id=18TO5x23qkGyzi3HCOHHtyvdVJYhKGgmNP0kcf78AU-8</v>
      </c>
      <c r="H25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TRIM(CLEAN(TEXT($D254, ""@""))),
      IMPORTRANGE(""https://docs.google.com/spreadsheets/d/1DccNxjBgurEr0ABkI_"&amp;"rBagJT5phB5HaHG5N_mTm_BiA/edit?gid=1382299152#gid=1382299152"", ""Form responses 1!$Z:$Z"") = 2
    ),
    1
  ),
  ""Not Found""
)
"),"https://drive.google.com/file/d/1jbV-U_JloAEs1D9Mijyo8UVFzoZYSVdm/view?usp=drive_link")</f>
        <v>https://drive.google.com/file/d/1jbV-U_JloAEs1D9Mijyo8UVFzoZYSVdm/view?usp=drive_link</v>
      </c>
      <c r="I2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1!$E:$E"")=$D254) *
        (IMPORTRANGE(""https://docs.google.com/spreadsheets/d/161aHT6vVT3SLneTKD19N5qVWtnj_jIT8CSsOmUVKmaA"&amp;"/edit?gid=1761053510"",
          ""Haris_Form responses 1!$AQ:$AQ"")=2)
      ),
      1
    ),
    ""0""
  ),
  ""Form not found""
)
"),"2")</f>
        <v>2</v>
      </c>
      <c r="J254" s="245" t="str">
        <f>IFERROR(__xludf.DUMMYFUNCTION("IFERROR(
  INDEX(
    FILTER(
      Transcription!$AJ:$AJ,
      TRIM(CLEAN(TEXT(Transcription!$F:$F, ""@""))) = TRIM(CLEAN(TEXT($D254, ""@""))),
      Transcription!$AO:$AO = 2
    ),
    1
  ),
  ""Not Found""
)
"),"https://drive.google.com/open?id=16XxulU7NImY8epFvLJhY1KAIS98lFRUH")</f>
        <v>https://drive.google.com/open?id=16XxulU7NImY8epFvLJhY1KAIS98lFRUH</v>
      </c>
      <c r="K25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TRIM(CLEAN(TEXT($D254, ""@""))),
      IMPORTRANGE(""https://docs.google.com/spreadsheets/d/1DccNxjBgurEr0ABkI_"&amp;"rBagJT5phB5HaHG5N_mTm_BiA/edit?gid=1382299152#gid=1382299152"", ""Form responses 1!$Z:$Z"") = 3
    ),
    1
  ),
  ""Not Found""
)
"),"https://drive.google.com/file/d/1O5BgxIC_pJtrOa32O6U_NYGapHjhZIjO/view?usp=drive_link")</f>
        <v>https://drive.google.com/file/d/1O5BgxIC_pJtrOa32O6U_NYGapHjhZIjO/view?usp=drive_link</v>
      </c>
      <c r="L2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1!$E:$E"")=$D254) *
        (IMPORTRANGE(""https://docs.google.com/spreadsheets/d/161aHT6vVT3SLneTKD19N5qVWtnj_jIT8CSsOmUVKmaA"&amp;"/edit?gid=1761053510"",
          ""Haris_Form responses 1!$AQ:$AQ"")=3)
      ),
      1
    ),
    ""0""
  ),
  ""Form not found""
)
"),"3")</f>
        <v>3</v>
      </c>
      <c r="M254" s="245" t="str">
        <f>IFERROR(__xludf.DUMMYFUNCTION("IFERROR(
  INDEX(
    FILTER(
      Transcription!$AJ:$AJ,
      TRIM(CLEAN(TEXT(Transcription!$F:$F, ""@""))) = TRIM(CLEAN(TEXT($D254, ""@""))),
      Transcription!$AO:$AO = 3
    ),
    1
  ),
  ""Not Found""
)
"),"https://drive.google.com/open?id=1DR7E4i61ocPmweaEFVabAn0KwYsycgfY")</f>
        <v>https://drive.google.com/open?id=1DR7E4i61ocPmweaEFVabAn0KwYsycgfY</v>
      </c>
      <c r="N25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TRIM(CLEAN(TEXT($D254, ""@""))),
      IMPORTRANGE(""https://docs.google.com/spreadsheets/d/1DccNxjBgurEr0ABkI_"&amp;"rBagJT5phB5HaHG5N_mTm_BiA/edit?gid=1382299152#gid=1382299152"", ""Form responses 1!$Z:$Z"") = 4
    ),
    1
  ),
  ""Not Found""
)
"),"Not Found")</f>
        <v>Not Found</v>
      </c>
      <c r="O2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1!$E:$E"")=$D254) *
        (IMPORTRANGE(""https://docs.google.com/spreadsheets/d/161aHT6vVT3SLneTKD19N5qVWtnj_jIT8CSsOmUVKmaA"&amp;"/edit?gid=1761053510"",
          ""Haris_Form responses 1!$AQ:$AQ"")=4)
      ),
      1
    ),
    ""0""
  ),
  ""Form not found""
)
"),"Form not found")</f>
        <v>Form not found</v>
      </c>
      <c r="P254" s="247" t="str">
        <f>IFERROR(__xludf.DUMMYFUNCTION("IFERROR(
  INDEX(
    FILTER(
      Transcription!$AJ:$AJ,
      TRIM(CLEAN(TEXT(Transcription!$F:$F, ""@""))) = TRIM(CLEAN(TEXT($D254, ""@""))),
      Transcription!$AO:$AO = 4
    ),
    1
  ),
  ""Not Found""
)
"),"Not Found")</f>
        <v>Not Found</v>
      </c>
      <c r="Q25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TRIM(CLEAN(TEXT($D254, ""@""))),
      IMPORTRANGE(""https://docs.google.com/spreadsheets/d/1DccNxjBgurEr0ABkI_"&amp;"rBagJT5phB5HaHG5N_mTm_BiA/edit?gid=1382299152#gid=1382299152"", ""Form responses 1!$Z:$Z"") = 5
    ),
    1
  ),
  ""Not Found""
)
"),"Not Found")</f>
        <v>Not Found</v>
      </c>
      <c r="R2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1!$E:$E"")=$D254) *
        (IMPORTRANGE(""https://docs.google.com/spreadsheets/d/161aHT6vVT3SLneTKD19N5qVWtnj_jIT8CSsOmUVKmaA"&amp;"/edit?gid=1761053510"",
          ""Haris_Form responses 1!$AQ:$AQ"")=5)
      ),
      1
    ),
    ""0""
  ),
  ""Form not found""
)
"),"Form not found")</f>
        <v>Form not found</v>
      </c>
      <c r="S254" s="247" t="str">
        <f>IFERROR(__xludf.DUMMYFUNCTION("IFERROR(
  INDEX(
    FILTER(
      Transcription!$AJ:$AJ,
      TRIM(CLEAN(TEXT(Transcription!$F:$F, ""@""))) = TRIM(CLEAN(TEXT($D254, ""@""))),
      Transcription!$AO:$AO = 5
    ),
    1
  ),
  ""Not Found""
)
"),"Not Found")</f>
        <v>Not Found</v>
      </c>
      <c r="T25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TRIM(CLEAN(TEXT($D254, ""@""))),
      IMPORTRANGE(""https://docs.google.com/spreadsheets/d/1DccNxjBgurEr0ABkI_"&amp;"rBagJT5phB5HaHG5N_mTm_BiA/edit?gid=1382299152#gid=1382299152"", ""Form responses 1!$Z:$Z"") = 6
    ),
    1
  ),
  ""Not Found""
)
"),"Not Found")</f>
        <v>Not Found</v>
      </c>
      <c r="U25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1!$E:$E"")=$D254) *
        (IMPORTRANGE(""https://docs.google.com/spreadsheets/d/161aHT6vVT3SLneTKD19N5qVWtnj_jIT8CSsOmUVKmaA"&amp;"/edit?gid=1761053510"",
          ""Haris_Form responses 1!$AQ:$AQ"")=6)
      ),
      1
    ),
    ""0""
  ),
  ""Form not found""
)
"),"Form not found")</f>
        <v>Form not found</v>
      </c>
      <c r="V254" s="247" t="str">
        <f>IFERROR(__xludf.DUMMYFUNCTION("IFERROR(
  INDEX(
    FILTER(
      Transcription!$AJ:$AJ,
      TRIM(CLEAN(TEXT(Transcription!$F:$F, ""@""))) = TRIM(CLEAN(TEXT($D254, ""@""))),
      Transcription!$AO:$AO = 6
    ),
    1
  ),
  ""Not Found""
)
"),"Not Found")</f>
        <v>Not Found</v>
      </c>
      <c r="Z254" s="10">
        <f t="shared" si="1"/>
        <v>3</v>
      </c>
      <c r="AA254" s="10">
        <f t="shared" si="2"/>
        <v>0</v>
      </c>
    </row>
    <row r="255">
      <c r="A255" s="8" t="str">
        <f>VLOOKUP($D255,Sheet6!$B:$G,5,FALSE)</f>
        <v>Sahiwal</v>
      </c>
      <c r="B255" s="232" t="str">
        <f>VLOOKUP($D255,Sheet6!$B:$G,4,FALSE)</f>
        <v>Control</v>
      </c>
      <c r="C255" s="8">
        <v>2.0</v>
      </c>
      <c r="D255" s="8" t="s">
        <v>4692</v>
      </c>
      <c r="E25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TRIM(CLEAN(TEXT($D255, ""@""))),
      IMPORTRANGE(""https://docs.google.com/spreadsheets/d/1DccNxjBgurEr0ABkI_"&amp;"rBagJT5phB5HaHG5N_mTm_BiA/edit?gid=1382299152#gid=1382299152"", ""Form responses 1!$Z:$Z"") = 1
    ),
    1
  ),
  ""Not Found""
)
"),"https://drive.google.com/open?id=1onz1V_9XhR9UPFWTZxPlbWdysMdaJkQC")</f>
        <v>https://drive.google.com/open?id=1onz1V_9XhR9UPFWTZxPlbWdysMdaJkQC</v>
      </c>
      <c r="F2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1!$E:$E"")=$D255) *
        (IMPORTRANGE(""https://docs.google.com/spreadsheets/d/161aHT6vVT3SLneTKD19N5qVWtnj_jIT8CSsOmUVKmaA"&amp;"/edit?gid=1761053510"",
          ""Haris_Form responses 1!$AQ:$AQ"")=1)
      ),
      1
    ),
    ""0""
  ),
  ""Form not found""
)
"),"1")</f>
        <v>1</v>
      </c>
      <c r="G255" s="245" t="str">
        <f>IFERROR(__xludf.DUMMYFUNCTION("IFERROR(
  INDEX(
    FILTER(
      Transcription!$AJ:$AJ,
      TRIM(CLEAN(TEXT(Transcription!$F:$F, ""@""))) = TRIM(CLEAN(TEXT($D255, ""@""))),
      Transcription!$AO:$AO = 1
    ),
    1
  ),
  ""Not Found""
)
"),"https://drive.google.com/open?id=1HuVnFxiOmer36Mmz16z0Q_RgueWa8eSO3h0yNByyNZQ")</f>
        <v>https://drive.google.com/open?id=1HuVnFxiOmer36Mmz16z0Q_RgueWa8eSO3h0yNByyNZQ</v>
      </c>
      <c r="H25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TRIM(CLEAN(TEXT($D255, ""@""))),
      IMPORTRANGE(""https://docs.google.com/spreadsheets/d/1DccNxjBgurEr0ABkI_"&amp;"rBagJT5phB5HaHG5N_mTm_BiA/edit?gid=1382299152#gid=1382299152"", ""Form responses 1!$Z:$Z"") = 2
    ),
    1
  ),
  ""Not Found""
)
"),"Not Found")</f>
        <v>Not Found</v>
      </c>
      <c r="I2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1!$E:$E"")=$D255) *
        (IMPORTRANGE(""https://docs.google.com/spreadsheets/d/161aHT6vVT3SLneTKD19N5qVWtnj_jIT8CSsOmUVKmaA"&amp;"/edit?gid=1761053510"",
          ""Haris_Form responses 1!$AQ:$AQ"")=2)
      ),
      1
    ),
    ""0""
  ),
  ""Form not found""
)
"),"Form not found")</f>
        <v>Form not found</v>
      </c>
      <c r="J255" s="247" t="str">
        <f>IFERROR(__xludf.DUMMYFUNCTION("IFERROR(
  INDEX(
    FILTER(
      Transcription!$AJ:$AJ,
      TRIM(CLEAN(TEXT(Transcription!$F:$F, ""@""))) = TRIM(CLEAN(TEXT($D255, ""@""))),
      Transcription!$AO:$AO = 2
    ),
    1
  ),
  ""Not Found""
)
"),"Not Found")</f>
        <v>Not Found</v>
      </c>
      <c r="K25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TRIM(CLEAN(TEXT($D255, ""@""))),
      IMPORTRANGE(""https://docs.google.com/spreadsheets/d/1DccNxjBgurEr0ABkI_"&amp;"rBagJT5phB5HaHG5N_mTm_BiA/edit?gid=1382299152#gid=1382299152"", ""Form responses 1!$Z:$Z"") = 3
    ),
    1
  ),
  ""Not Found""
)
"),"https://drive.google.com/file/d/1q5fGIBPN4Ub6QFnlkfsJLexcm5nL_TR0/view?usp=drive_link")</f>
        <v>https://drive.google.com/file/d/1q5fGIBPN4Ub6QFnlkfsJLexcm5nL_TR0/view?usp=drive_link</v>
      </c>
      <c r="L2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1!$E:$E"")=$D255) *
        (IMPORTRANGE(""https://docs.google.com/spreadsheets/d/161aHT6vVT3SLneTKD19N5qVWtnj_jIT8CSsOmUVKmaA"&amp;"/edit?gid=1761053510"",
          ""Haris_Form responses 1!$AQ:$AQ"")=3)
      ),
      1
    ),
    ""0""
  ),
  ""Form not found""
)
"),"3")</f>
        <v>3</v>
      </c>
      <c r="M255" s="245" t="str">
        <f>IFERROR(__xludf.DUMMYFUNCTION("IFERROR(
  INDEX(
    FILTER(
      Transcription!$AJ:$AJ,
      TRIM(CLEAN(TEXT(Transcription!$F:$F, ""@""))) = TRIM(CLEAN(TEXT($D255, ""@""))),
      Transcription!$AO:$AO = 3
    ),
    1
  ),
  ""Not Found""
)
"),"https://drive.google.com/open?id=1O_04lbRcDQETCGgdtxy_qvofiqvZjwOuC6YuQNhheEU")</f>
        <v>https://drive.google.com/open?id=1O_04lbRcDQETCGgdtxy_qvofiqvZjwOuC6YuQNhheEU</v>
      </c>
      <c r="N25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TRIM(CLEAN(TEXT($D255, ""@""))),
      IMPORTRANGE(""https://docs.google.com/spreadsheets/d/1DccNxjBgurEr0ABkI_"&amp;"rBagJT5phB5HaHG5N_mTm_BiA/edit?gid=1382299152#gid=1382299152"", ""Form responses 1!$Z:$Z"") = 4
    ),
    1
  ),
  ""Not Found""
)
"),"Not Found")</f>
        <v>Not Found</v>
      </c>
      <c r="O2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1!$E:$E"")=$D255) *
        (IMPORTRANGE(""https://docs.google.com/spreadsheets/d/161aHT6vVT3SLneTKD19N5qVWtnj_jIT8CSsOmUVKmaA"&amp;"/edit?gid=1761053510"",
          ""Haris_Form responses 1!$AQ:$AQ"")=4)
      ),
      1
    ),
    ""0""
  ),
  ""Form not found""
)
"),"Form not found")</f>
        <v>Form not found</v>
      </c>
      <c r="P255" s="247" t="str">
        <f>IFERROR(__xludf.DUMMYFUNCTION("IFERROR(
  INDEX(
    FILTER(
      Transcription!$AJ:$AJ,
      TRIM(CLEAN(TEXT(Transcription!$F:$F, ""@""))) = TRIM(CLEAN(TEXT($D255, ""@""))),
      Transcription!$AO:$AO = 4
    ),
    1
  ),
  ""Not Found""
)
"),"Not Found")</f>
        <v>Not Found</v>
      </c>
      <c r="Q25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TRIM(CLEAN(TEXT($D255, ""@""))),
      IMPORTRANGE(""https://docs.google.com/spreadsheets/d/1DccNxjBgurEr0ABkI_"&amp;"rBagJT5phB5HaHG5N_mTm_BiA/edit?gid=1382299152#gid=1382299152"", ""Form responses 1!$Z:$Z"") = 5
    ),
    1
  ),
  ""Not Found""
)
"),"Not Found")</f>
        <v>Not Found</v>
      </c>
      <c r="R2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1!$E:$E"")=$D255) *
        (IMPORTRANGE(""https://docs.google.com/spreadsheets/d/161aHT6vVT3SLneTKD19N5qVWtnj_jIT8CSsOmUVKmaA"&amp;"/edit?gid=1761053510"",
          ""Haris_Form responses 1!$AQ:$AQ"")=5)
      ),
      1
    ),
    ""0""
  ),
  ""Form not found""
)
"),"Form not found")</f>
        <v>Form not found</v>
      </c>
      <c r="S255" s="247" t="str">
        <f>IFERROR(__xludf.DUMMYFUNCTION("IFERROR(
  INDEX(
    FILTER(
      Transcription!$AJ:$AJ,
      TRIM(CLEAN(TEXT(Transcription!$F:$F, ""@""))) = TRIM(CLEAN(TEXT($D255, ""@""))),
      Transcription!$AO:$AO = 5
    ),
    1
  ),
  ""Not Found""
)
"),"Not Found")</f>
        <v>Not Found</v>
      </c>
      <c r="T25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TRIM(CLEAN(TEXT($D255, ""@""))),
      IMPORTRANGE(""https://docs.google.com/spreadsheets/d/1DccNxjBgurEr0ABkI_"&amp;"rBagJT5phB5HaHG5N_mTm_BiA/edit?gid=1382299152#gid=1382299152"", ""Form responses 1!$Z:$Z"") = 6
    ),
    1
  ),
  ""Not Found""
)
"),"Not Found")</f>
        <v>Not Found</v>
      </c>
      <c r="U25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1!$E:$E"")=$D255) *
        (IMPORTRANGE(""https://docs.google.com/spreadsheets/d/161aHT6vVT3SLneTKD19N5qVWtnj_jIT8CSsOmUVKmaA"&amp;"/edit?gid=1761053510"",
          ""Haris_Form responses 1!$AQ:$AQ"")=6)
      ),
      1
    ),
    ""0""
  ),
  ""Form not found""
)
"),"Form not found")</f>
        <v>Form not found</v>
      </c>
      <c r="V255" s="247" t="str">
        <f>IFERROR(__xludf.DUMMYFUNCTION("IFERROR(
  INDEX(
    FILTER(
      Transcription!$AJ:$AJ,
      TRIM(CLEAN(TEXT(Transcription!$F:$F, ""@""))) = TRIM(CLEAN(TEXT($D255, ""@""))),
      Transcription!$AO:$AO = 6
    ),
    1
  ),
  ""Not Found""
)
"),"Not Found")</f>
        <v>Not Found</v>
      </c>
      <c r="Z255" s="10">
        <f t="shared" si="1"/>
        <v>2</v>
      </c>
      <c r="AA255" s="10">
        <f t="shared" si="2"/>
        <v>0</v>
      </c>
    </row>
    <row r="256">
      <c r="A256" s="8" t="str">
        <f>VLOOKUP($D256,Sheet6!$B:$G,5,FALSE)</f>
        <v>Sahiwal</v>
      </c>
      <c r="B256" s="232" t="str">
        <f>VLOOKUP($D256,Sheet6!$B:$G,4,FALSE)</f>
        <v>Community Religious Info Share</v>
      </c>
      <c r="C256" s="8">
        <v>3.0</v>
      </c>
      <c r="D256" s="8" t="s">
        <v>4693</v>
      </c>
      <c r="E25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TRIM(CLEAN(TEXT($D256, ""@""))),
      IMPORTRANGE(""https://docs.google.com/spreadsheets/d/1DccNxjBgurEr0ABkI_"&amp;"rBagJT5phB5HaHG5N_mTm_BiA/edit?gid=1382299152#gid=1382299152"", ""Form responses 1!$Z:$Z"") = 1
    ),
    1
  ),
  ""Not Found""
)
"),"https://drive.google.com/file/d/1JNhPcqL5ODn7ISyxcVTe80UNm14cSMSr/view?usp=drive_link")</f>
        <v>https://drive.google.com/file/d/1JNhPcqL5ODn7ISyxcVTe80UNm14cSMSr/view?usp=drive_link</v>
      </c>
      <c r="F2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1!$E:$E"")=$D256) *
        (IMPORTRANGE(""https://docs.google.com/spreadsheets/d/161aHT6vVT3SLneTKD19N5qVWtnj_jIT8CSsOmUVKmaA"&amp;"/edit?gid=1761053510"",
          ""Haris_Form responses 1!$AQ:$AQ"")=1)
      ),
      1
    ),
    ""0""
  ),
  ""Form not found""
)
"),"1")</f>
        <v>1</v>
      </c>
      <c r="G256" s="245" t="str">
        <f>IFERROR(__xludf.DUMMYFUNCTION("IFERROR(
  INDEX(
    FILTER(
      Transcription!$AJ:$AJ,
      TRIM(CLEAN(TEXT(Transcription!$F:$F, ""@""))) = TRIM(CLEAN(TEXT($D256, ""@""))),
      Transcription!$AO:$AO = 1
    ),
    1
  ),
  ""Not Found""
)
"),"https://drive.google.com/open?id=1LMdy2_eXVPDg94OCdlkjErQ13BW0bDE3g_lV53K9UzM")</f>
        <v>https://drive.google.com/open?id=1LMdy2_eXVPDg94OCdlkjErQ13BW0bDE3g_lV53K9UzM</v>
      </c>
      <c r="H25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TRIM(CLEAN(TEXT($D256, ""@""))),
      IMPORTRANGE(""https://docs.google.com/spreadsheets/d/1DccNxjBgurEr0ABkI_"&amp;"rBagJT5phB5HaHG5N_mTm_BiA/edit?gid=1382299152#gid=1382299152"", ""Form responses 1!$Z:$Z"") = 2
    ),
    1
  ),
  ""Not Found""
)
"),"https://drive.google.com/file/d/17a7ps4AC4y59fduyOYFPzeR6ntjix-8u/view?usp=drive_link")</f>
        <v>https://drive.google.com/file/d/17a7ps4AC4y59fduyOYFPzeR6ntjix-8u/view?usp=drive_link</v>
      </c>
      <c r="I2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1!$E:$E"")=$D256) *
        (IMPORTRANGE(""https://docs.google.com/spreadsheets/d/161aHT6vVT3SLneTKD19N5qVWtnj_jIT8CSsOmUVKmaA"&amp;"/edit?gid=1761053510"",
          ""Haris_Form responses 1!$AQ:$AQ"")=2)
      ),
      1
    ),
    ""0""
  ),
  ""Form not found""
)
"),"2")</f>
        <v>2</v>
      </c>
      <c r="J256" s="245" t="str">
        <f>IFERROR(__xludf.DUMMYFUNCTION("IFERROR(
  INDEX(
    FILTER(
      Transcription!$AJ:$AJ,
      TRIM(CLEAN(TEXT(Transcription!$F:$F, ""@""))) = TRIM(CLEAN(TEXT($D256, ""@""))),
      Transcription!$AO:$AO = 2
    ),
    1
  ),
  ""Not Found""
)
"),"https://drive.google.com/open?id=1Rqpcw_7iVc8gLRFxemYBMzZGu2E-qBWwLCnO-xoixUA")</f>
        <v>https://drive.google.com/open?id=1Rqpcw_7iVc8gLRFxemYBMzZGu2E-qBWwLCnO-xoixUA</v>
      </c>
      <c r="K25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TRIM(CLEAN(TEXT($D256, ""@""))),
      IMPORTRANGE(""https://docs.google.com/spreadsheets/d/1DccNxjBgurEr0ABkI_"&amp;"rBagJT5phB5HaHG5N_mTm_BiA/edit?gid=1382299152#gid=1382299152"", ""Form responses 1!$Z:$Z"") = 3
    ),
    1
  ),
  ""Not Found""
)
"),"https://drive.google.com/file/d/1LA370gMA7iVg_stKChDlmOWj9JSZ5Ymj/view?usp=drive_link")</f>
        <v>https://drive.google.com/file/d/1LA370gMA7iVg_stKChDlmOWj9JSZ5Ymj/view?usp=drive_link</v>
      </c>
      <c r="L2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1!$E:$E"")=$D256) *
        (IMPORTRANGE(""https://docs.google.com/spreadsheets/d/161aHT6vVT3SLneTKD19N5qVWtnj_jIT8CSsOmUVKmaA"&amp;"/edit?gid=1761053510"",
          ""Haris_Form responses 1!$AQ:$AQ"")=3)
      ),
      1
    ),
    ""0""
  ),
  ""Form not found""
)
"),"3")</f>
        <v>3</v>
      </c>
      <c r="M256" s="245" t="str">
        <f>IFERROR(__xludf.DUMMYFUNCTION("IFERROR(
  INDEX(
    FILTER(
      Transcription!$AJ:$AJ,
      TRIM(CLEAN(TEXT(Transcription!$F:$F, ""@""))) = TRIM(CLEAN(TEXT($D256, ""@""))),
      Transcription!$AO:$AO = 3
    ),
    1
  ),
  ""Not Found""
)
"),"https://drive.google.com/open?id=1ZwWdm1QQgVPpJE53FPUs2bJ4cqqlf0-P")</f>
        <v>https://drive.google.com/open?id=1ZwWdm1QQgVPpJE53FPUs2bJ4cqqlf0-P</v>
      </c>
      <c r="N25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TRIM(CLEAN(TEXT($D256, ""@""))),
      IMPORTRANGE(""https://docs.google.com/spreadsheets/d/1DccNxjBgurEr0ABkI_"&amp;"rBagJT5phB5HaHG5N_mTm_BiA/edit?gid=1382299152#gid=1382299152"", ""Form responses 1!$Z:$Z"") = 4
    ),
    1
  ),
  ""Not Found""
)
"),"Not Found")</f>
        <v>Not Found</v>
      </c>
      <c r="O2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1!$E:$E"")=$D256) *
        (IMPORTRANGE(""https://docs.google.com/spreadsheets/d/161aHT6vVT3SLneTKD19N5qVWtnj_jIT8CSsOmUVKmaA"&amp;"/edit?gid=1761053510"",
          ""Haris_Form responses 1!$AQ:$AQ"")=4)
      ),
      1
    ),
    ""0""
  ),
  ""Form not found""
)
"),"Form not found")</f>
        <v>Form not found</v>
      </c>
      <c r="P256" s="247" t="str">
        <f>IFERROR(__xludf.DUMMYFUNCTION("IFERROR(
  INDEX(
    FILTER(
      Transcription!$AJ:$AJ,
      TRIM(CLEAN(TEXT(Transcription!$F:$F, ""@""))) = TRIM(CLEAN(TEXT($D256, ""@""))),
      Transcription!$AO:$AO = 4
    ),
    1
  ),
  ""Not Found""
)
"),"Not Found")</f>
        <v>Not Found</v>
      </c>
      <c r="Q25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TRIM(CLEAN(TEXT($D256, ""@""))),
      IMPORTRANGE(""https://docs.google.com/spreadsheets/d/1DccNxjBgurEr0ABkI_"&amp;"rBagJT5phB5HaHG5N_mTm_BiA/edit?gid=1382299152#gid=1382299152"", ""Form responses 1!$Z:$Z"") = 5
    ),
    1
  ),
  ""Not Found""
)
"),"Not Found")</f>
        <v>Not Found</v>
      </c>
      <c r="R2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1!$E:$E"")=$D256) *
        (IMPORTRANGE(""https://docs.google.com/spreadsheets/d/161aHT6vVT3SLneTKD19N5qVWtnj_jIT8CSsOmUVKmaA"&amp;"/edit?gid=1761053510"",
          ""Haris_Form responses 1!$AQ:$AQ"")=5)
      ),
      1
    ),
    ""0""
  ),
  ""Form not found""
)
"),"Form not found")</f>
        <v>Form not found</v>
      </c>
      <c r="S256" s="247" t="str">
        <f>IFERROR(__xludf.DUMMYFUNCTION("IFERROR(
  INDEX(
    FILTER(
      Transcription!$AJ:$AJ,
      TRIM(CLEAN(TEXT(Transcription!$F:$F, ""@""))) = TRIM(CLEAN(TEXT($D256, ""@""))),
      Transcription!$AO:$AO = 5
    ),
    1
  ),
  ""Not Found""
)
"),"Not Found")</f>
        <v>Not Found</v>
      </c>
      <c r="T25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TRIM(CLEAN(TEXT($D256, ""@""))),
      IMPORTRANGE(""https://docs.google.com/spreadsheets/d/1DccNxjBgurEr0ABkI_"&amp;"rBagJT5phB5HaHG5N_mTm_BiA/edit?gid=1382299152#gid=1382299152"", ""Form responses 1!$Z:$Z"") = 6
    ),
    1
  ),
  ""Not Found""
)
"),"Not Found")</f>
        <v>Not Found</v>
      </c>
      <c r="U25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1!$E:$E"")=$D256) *
        (IMPORTRANGE(""https://docs.google.com/spreadsheets/d/161aHT6vVT3SLneTKD19N5qVWtnj_jIT8CSsOmUVKmaA"&amp;"/edit?gid=1761053510"",
          ""Haris_Form responses 1!$AQ:$AQ"")=6)
      ),
      1
    ),
    ""0""
  ),
  ""Form not found""
)
"),"Form not found")</f>
        <v>Form not found</v>
      </c>
      <c r="V256" s="247" t="str">
        <f>IFERROR(__xludf.DUMMYFUNCTION("IFERROR(
  INDEX(
    FILTER(
      Transcription!$AJ:$AJ,
      TRIM(CLEAN(TEXT(Transcription!$F:$F, ""@""))) = TRIM(CLEAN(TEXT($D256, ""@""))),
      Transcription!$AO:$AO = 6
    ),
    1
  ),
  ""Not Found""
)
"),"Not Found")</f>
        <v>Not Found</v>
      </c>
      <c r="Z256" s="10">
        <f t="shared" si="1"/>
        <v>3</v>
      </c>
      <c r="AA256" s="10">
        <f t="shared" si="2"/>
        <v>0</v>
      </c>
    </row>
    <row r="257">
      <c r="A257" s="8" t="str">
        <f>VLOOKUP($D257,Sheet6!$B:$G,5,FALSE)</f>
        <v>Faisalabad</v>
      </c>
      <c r="B257" s="232" t="str">
        <f>VLOOKUP($D257,Sheet6!$B:$G,4,FALSE)</f>
        <v>Women Religious No Info Share</v>
      </c>
      <c r="C257" s="8">
        <v>3.0</v>
      </c>
      <c r="D257" s="8" t="s">
        <v>4694</v>
      </c>
      <c r="E25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TRIM(CLEAN(TEXT($D257, ""@""))),
      IMPORTRANGE(""https://docs.google.com/spreadsheets/d/1DccNxjBgurEr0ABkI_"&amp;"rBagJT5phB5HaHG5N_mTm_BiA/edit?gid=1382299152#gid=1382299152"", ""Form responses 1!$Z:$Z"") = 1
    ),
    1
  ),
  ""Not Found""
)
"),"https://drive.google.com/open?id=1Xpy9ahnNry9iYtN39fHlgrM10sX9OfvD")</f>
        <v>https://drive.google.com/open?id=1Xpy9ahnNry9iYtN39fHlgrM10sX9OfvD</v>
      </c>
      <c r="F2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1!$E:$E"")=$D257) *
        (IMPORTRANGE(""https://docs.google.com/spreadsheets/d/161aHT6vVT3SLneTKD19N5qVWtnj_jIT8CSsOmUVKmaA"&amp;"/edit?gid=1761053510"",
          ""Haris_Form responses 1!$AQ:$AQ"")=1)
      ),
      1
    ),
    ""0""
  ),
  ""Form not found""
)
"),"1")</f>
        <v>1</v>
      </c>
      <c r="G257" s="245" t="str">
        <f>IFERROR(__xludf.DUMMYFUNCTION("IFERROR(
  INDEX(
    FILTER(
      Transcription!$AJ:$AJ,
      TRIM(CLEAN(TEXT(Transcription!$F:$F, ""@""))) = TRIM(CLEAN(TEXT($D257, ""@""))),
      Transcription!$AO:$AO = 1
    ),
    1
  ),
  ""Not Found""
)
"),"https://drive.google.com/open?id=1ItZXDwQyWJAx7VMXpYEoaO09BY9sNC7J")</f>
        <v>https://drive.google.com/open?id=1ItZXDwQyWJAx7VMXpYEoaO09BY9sNC7J</v>
      </c>
      <c r="H25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TRIM(CLEAN(TEXT($D257, ""@""))),
      IMPORTRANGE(""https://docs.google.com/spreadsheets/d/1DccNxjBgurEr0ABkI_"&amp;"rBagJT5phB5HaHG5N_mTm_BiA/edit?gid=1382299152#gid=1382299152"", ""Form responses 1!$Z:$Z"") = 2
    ),
    1
  ),
  ""Not Found""
)
"),"https://drive.google.com/open?id=1Zp-t6WFjmcXlP7NRgwxU4VTofucKjbLl")</f>
        <v>https://drive.google.com/open?id=1Zp-t6WFjmcXlP7NRgwxU4VTofucKjbLl</v>
      </c>
      <c r="I2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1!$E:$E"")=$D257) *
        (IMPORTRANGE(""https://docs.google.com/spreadsheets/d/161aHT6vVT3SLneTKD19N5qVWtnj_jIT8CSsOmUVKmaA"&amp;"/edit?gid=1761053510"",
          ""Haris_Form responses 1!$AQ:$AQ"")=2)
      ),
      1
    ),
    ""0""
  ),
  ""Form not found""
)
"),"2")</f>
        <v>2</v>
      </c>
      <c r="J257" s="245" t="str">
        <f>IFERROR(__xludf.DUMMYFUNCTION("IFERROR(
  INDEX(
    FILTER(
      Transcription!$AJ:$AJ,
      TRIM(CLEAN(TEXT(Transcription!$F:$F, ""@""))) = TRIM(CLEAN(TEXT($D257, ""@""))),
      Transcription!$AO:$AO = 2
    ),
    1
  ),
  ""Not Found""
)
"),"https://drive.google.com/open?id=1Ilu38FDJuvcOPxPK6Mb2ZFYkhdNFErw3")</f>
        <v>https://drive.google.com/open?id=1Ilu38FDJuvcOPxPK6Mb2ZFYkhdNFErw3</v>
      </c>
      <c r="K25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TRIM(CLEAN(TEXT($D257, ""@""))),
      IMPORTRANGE(""https://docs.google.com/spreadsheets/d/1DccNxjBgurEr0ABkI_"&amp;"rBagJT5phB5HaHG5N_mTm_BiA/edit?gid=1382299152#gid=1382299152"", ""Form responses 1!$Z:$Z"") = 3
    ),
    1
  ),
  ""Not Found""
)
"),"https://drive.google.com/open?id=1EPgdI6JPanFpdJ5uOhFTBwDljRpT0q_k")</f>
        <v>https://drive.google.com/open?id=1EPgdI6JPanFpdJ5uOhFTBwDljRpT0q_k</v>
      </c>
      <c r="L2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1!$E:$E"")=$D257) *
        (IMPORTRANGE(""https://docs.google.com/spreadsheets/d/161aHT6vVT3SLneTKD19N5qVWtnj_jIT8CSsOmUVKmaA"&amp;"/edit?gid=1761053510"",
          ""Haris_Form responses 1!$AQ:$AQ"")=3)
      ),
      1
    ),
    ""0""
  ),
  ""Form not found""
)
"),"3")</f>
        <v>3</v>
      </c>
      <c r="M257" s="245" t="str">
        <f>IFERROR(__xludf.DUMMYFUNCTION("IFERROR(
  INDEX(
    FILTER(
      Transcription!$AJ:$AJ,
      TRIM(CLEAN(TEXT(Transcription!$F:$F, ""@""))) = TRIM(CLEAN(TEXT($D257, ""@""))),
      Transcription!$AO:$AO = 3
    ),
    1
  ),
  ""Not Found""
)
"),"https://drive.google.com/open?id=1O0hyNSJWXLFrx3WBbQpsBVdejVXuHuOA")</f>
        <v>https://drive.google.com/open?id=1O0hyNSJWXLFrx3WBbQpsBVdejVXuHuOA</v>
      </c>
      <c r="N2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TRIM(CLEAN(TEXT($D257, ""@""))),
      IMPORTRANGE(""https://docs.google.com/spreadsheets/d/1DccNxjBgurEr0ABkI_"&amp;"rBagJT5phB5HaHG5N_mTm_BiA/edit?gid=1382299152#gid=1382299152"", ""Form responses 1!$Z:$Z"") = 4
    ),
    1
  ),
  ""Not Found""
)
"),"Not Found")</f>
        <v>Not Found</v>
      </c>
      <c r="O2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1!$E:$E"")=$D257) *
        (IMPORTRANGE(""https://docs.google.com/spreadsheets/d/161aHT6vVT3SLneTKD19N5qVWtnj_jIT8CSsOmUVKmaA"&amp;"/edit?gid=1761053510"",
          ""Haris_Form responses 1!$AQ:$AQ"")=4)
      ),
      1
    ),
    ""0""
  ),
  ""Form not found""
)
"),"Form not found")</f>
        <v>Form not found</v>
      </c>
      <c r="P257" s="247" t="str">
        <f>IFERROR(__xludf.DUMMYFUNCTION("IFERROR(
  INDEX(
    FILTER(
      Transcription!$AJ:$AJ,
      TRIM(CLEAN(TEXT(Transcription!$F:$F, ""@""))) = TRIM(CLEAN(TEXT($D257, ""@""))),
      Transcription!$AO:$AO = 4
    ),
    1
  ),
  ""Not Found""
)
"),"Not Found")</f>
        <v>Not Found</v>
      </c>
      <c r="Q2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TRIM(CLEAN(TEXT($D257, ""@""))),
      IMPORTRANGE(""https://docs.google.com/spreadsheets/d/1DccNxjBgurEr0ABkI_"&amp;"rBagJT5phB5HaHG5N_mTm_BiA/edit?gid=1382299152#gid=1382299152"", ""Form responses 1!$Z:$Z"") = 5
    ),
    1
  ),
  ""Not Found""
)
"),"Not Found")</f>
        <v>Not Found</v>
      </c>
      <c r="R2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1!$E:$E"")=$D257) *
        (IMPORTRANGE(""https://docs.google.com/spreadsheets/d/161aHT6vVT3SLneTKD19N5qVWtnj_jIT8CSsOmUVKmaA"&amp;"/edit?gid=1761053510"",
          ""Haris_Form responses 1!$AQ:$AQ"")=5)
      ),
      1
    ),
    ""0""
  ),
  ""Form not found""
)
"),"Form not found")</f>
        <v>Form not found</v>
      </c>
      <c r="S257" s="247" t="str">
        <f>IFERROR(__xludf.DUMMYFUNCTION("IFERROR(
  INDEX(
    FILTER(
      Transcription!$AJ:$AJ,
      TRIM(CLEAN(TEXT(Transcription!$F:$F, ""@""))) = TRIM(CLEAN(TEXT($D257, ""@""))),
      Transcription!$AO:$AO = 5
    ),
    1
  ),
  ""Not Found""
)
"),"Not Found")</f>
        <v>Not Found</v>
      </c>
      <c r="T25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TRIM(CLEAN(TEXT($D257, ""@""))),
      IMPORTRANGE(""https://docs.google.com/spreadsheets/d/1DccNxjBgurEr0ABkI_"&amp;"rBagJT5phB5HaHG5N_mTm_BiA/edit?gid=1382299152#gid=1382299152"", ""Form responses 1!$Z:$Z"") = 6
    ),
    1
  ),
  ""Not Found""
)
"),"Not Found")</f>
        <v>Not Found</v>
      </c>
      <c r="U25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1!$E:$E"")=$D257) *
        (IMPORTRANGE(""https://docs.google.com/spreadsheets/d/161aHT6vVT3SLneTKD19N5qVWtnj_jIT8CSsOmUVKmaA"&amp;"/edit?gid=1761053510"",
          ""Haris_Form responses 1!$AQ:$AQ"")=6)
      ),
      1
    ),
    ""0""
  ),
  ""Form not found""
)
"),"Form not found")</f>
        <v>Form not found</v>
      </c>
      <c r="V257" s="247" t="str">
        <f>IFERROR(__xludf.DUMMYFUNCTION("IFERROR(
  INDEX(
    FILTER(
      Transcription!$AJ:$AJ,
      TRIM(CLEAN(TEXT(Transcription!$F:$F, ""@""))) = TRIM(CLEAN(TEXT($D257, ""@""))),
      Transcription!$AO:$AO = 6
    ),
    1
  ),
  ""Not Found""
)
"),"Not Found")</f>
        <v>Not Found</v>
      </c>
      <c r="W257" s="8" t="s">
        <v>4668</v>
      </c>
      <c r="X257" s="8" t="s">
        <v>4668</v>
      </c>
      <c r="Y257" s="8" t="s">
        <v>4668</v>
      </c>
      <c r="Z257" s="10">
        <f t="shared" si="1"/>
        <v>3</v>
      </c>
      <c r="AA257" s="10">
        <f t="shared" si="2"/>
        <v>0</v>
      </c>
    </row>
    <row r="258">
      <c r="A258" s="8" t="str">
        <f>VLOOKUP($D258,Sheet6!$B:$G,5,FALSE)</f>
        <v>Faisalabad</v>
      </c>
      <c r="B258" s="232" t="str">
        <f>VLOOKUP($D258,Sheet6!$B:$G,4,FALSE)</f>
        <v>Control</v>
      </c>
      <c r="C258" s="8">
        <v>2.0</v>
      </c>
      <c r="D258" s="8" t="s">
        <v>3909</v>
      </c>
      <c r="E25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TRIM(CLEAN(TEXT($D258, ""@""))),
      IMPORTRANGE(""https://docs.google.com/spreadsheets/d/1DccNxjBgurEr0ABkI_"&amp;"rBagJT5phB5HaHG5N_mTm_BiA/edit?gid=1382299152#gid=1382299152"", ""Form responses 1!$Z:$Z"") = 1
    ),
    1
  ),
  ""Not Found""
)
"),"https://drive.google.com/open?id=145i-Ix-yiAnHgk4d2m329yGIRhQbOcth")</f>
        <v>https://drive.google.com/open?id=145i-Ix-yiAnHgk4d2m329yGIRhQbOcth</v>
      </c>
      <c r="F2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1!$E:$E"")=$D258) *
        (IMPORTRANGE(""https://docs.google.com/spreadsheets/d/161aHT6vVT3SLneTKD19N5qVWtnj_jIT8CSsOmUVKmaA"&amp;"/edit?gid=1761053510"",
          ""Haris_Form responses 1!$AQ:$AQ"")=1)
      ),
      1
    ),
    ""0""
  ),
  ""Form not found""
)
"),"1")</f>
        <v>1</v>
      </c>
      <c r="G258" s="245" t="str">
        <f>IFERROR(__xludf.DUMMYFUNCTION("IFERROR(
  INDEX(
    FILTER(
      Transcription!$AJ:$AJ,
      TRIM(CLEAN(TEXT(Transcription!$F:$F, ""@""))) = TRIM(CLEAN(TEXT($D258, ""@""))),
      Transcription!$AO:$AO = 1
    ),
    1
  ),
  ""Not Found""
)
"),"https://drive.google.com/open?id=1bDDGx3y_LRzQBhnSzsRijr58C9MkGej4xuxV2ux7ldU")</f>
        <v>https://drive.google.com/open?id=1bDDGx3y_LRzQBhnSzsRijr58C9MkGej4xuxV2ux7ldU</v>
      </c>
      <c r="H2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TRIM(CLEAN(TEXT($D258, ""@""))),
      IMPORTRANGE(""https://docs.google.com/spreadsheets/d/1DccNxjBgurEr0ABkI_"&amp;"rBagJT5phB5HaHG5N_mTm_BiA/edit?gid=1382299152#gid=1382299152"", ""Form responses 1!$Z:$Z"") = 2
    ),
    1
  ),
  ""Not Found""
)
"),"Not Found")</f>
        <v>Not Found</v>
      </c>
      <c r="I2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1!$E:$E"")=$D258) *
        (IMPORTRANGE(""https://docs.google.com/spreadsheets/d/161aHT6vVT3SLneTKD19N5qVWtnj_jIT8CSsOmUVKmaA"&amp;"/edit?gid=1761053510"",
          ""Haris_Form responses 1!$AQ:$AQ"")=2)
      ),
      1
    ),
    ""0""
  ),
  ""Form not found""
)
"),"Form not found")</f>
        <v>Form not found</v>
      </c>
      <c r="J258" s="247" t="str">
        <f>IFERROR(__xludf.DUMMYFUNCTION("IFERROR(
  INDEX(
    FILTER(
      Transcription!$AJ:$AJ,
      TRIM(CLEAN(TEXT(Transcription!$F:$F, ""@""))) = TRIM(CLEAN(TEXT($D258, ""@""))),
      Transcription!$AO:$AO = 2
    ),
    1
  ),
  ""Not Found""
)
"),"")</f>
        <v/>
      </c>
      <c r="K25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TRIM(CLEAN(TEXT($D258, ""@""))),
      IMPORTRANGE(""https://docs.google.com/spreadsheets/d/1DccNxjBgurEr0ABkI_"&amp;"rBagJT5phB5HaHG5N_mTm_BiA/edit?gid=1382299152#gid=1382299152"", ""Form responses 1!$Z:$Z"") = 3
    ),
    1
  ),
  ""Not Found""
)
"),"https://drive.google.com/open?id=1jExpUkJLnVh_6qRanqCQi6HUkRlMglJm")</f>
        <v>https://drive.google.com/open?id=1jExpUkJLnVh_6qRanqCQi6HUkRlMglJm</v>
      </c>
      <c r="L2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1!$E:$E"")=$D258) *
        (IMPORTRANGE(""https://docs.google.com/spreadsheets/d/161aHT6vVT3SLneTKD19N5qVWtnj_jIT8CSsOmUVKmaA"&amp;"/edit?gid=1761053510"",
          ""Haris_Form responses 1!$AQ:$AQ"")=3)
      ),
      1
    ),
    ""0""
  ),
  ""Form not found""
)
"),"3")</f>
        <v>3</v>
      </c>
      <c r="M258" s="245" t="str">
        <f>IFERROR(__xludf.DUMMYFUNCTION("IFERROR(
  INDEX(
    FILTER(
      Transcription!$AJ:$AJ,
      TRIM(CLEAN(TEXT(Transcription!$F:$F, ""@""))) = TRIM(CLEAN(TEXT($D258, ""@""))),
      Transcription!$AO:$AO = 3
    ),
    1
  ),
  ""Not Found""
)
"),"https://drive.google.com/open?id=10wZQGsxFMGwv3d8BI3SiW-EIA6PUqgjk")</f>
        <v>https://drive.google.com/open?id=10wZQGsxFMGwv3d8BI3SiW-EIA6PUqgjk</v>
      </c>
      <c r="N2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TRIM(CLEAN(TEXT($D258, ""@""))),
      IMPORTRANGE(""https://docs.google.com/spreadsheets/d/1DccNxjBgurEr0ABkI_"&amp;"rBagJT5phB5HaHG5N_mTm_BiA/edit?gid=1382299152#gid=1382299152"", ""Form responses 1!$Z:$Z"") = 4
    ),
    1
  ),
  ""Not Found""
)
"),"Not Found")</f>
        <v>Not Found</v>
      </c>
      <c r="O2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1!$E:$E"")=$D258) *
        (IMPORTRANGE(""https://docs.google.com/spreadsheets/d/161aHT6vVT3SLneTKD19N5qVWtnj_jIT8CSsOmUVKmaA"&amp;"/edit?gid=1761053510"",
          ""Haris_Form responses 1!$AQ:$AQ"")=4)
      ),
      1
    ),
    ""0""
  ),
  ""Form not found""
)
"),"Form not found")</f>
        <v>Form not found</v>
      </c>
      <c r="P258" s="247" t="str">
        <f>IFERROR(__xludf.DUMMYFUNCTION("IFERROR(
  INDEX(
    FILTER(
      Transcription!$AJ:$AJ,
      TRIM(CLEAN(TEXT(Transcription!$F:$F, ""@""))) = TRIM(CLEAN(TEXT($D258, ""@""))),
      Transcription!$AO:$AO = 4
    ),
    1
  ),
  ""Not Found""
)
"),"Not Found")</f>
        <v>Not Found</v>
      </c>
      <c r="Q2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TRIM(CLEAN(TEXT($D258, ""@""))),
      IMPORTRANGE(""https://docs.google.com/spreadsheets/d/1DccNxjBgurEr0ABkI_"&amp;"rBagJT5phB5HaHG5N_mTm_BiA/edit?gid=1382299152#gid=1382299152"", ""Form responses 1!$Z:$Z"") = 5
    ),
    1
  ),
  ""Not Found""
)
"),"Not Found")</f>
        <v>Not Found</v>
      </c>
      <c r="R2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1!$E:$E"")=$D258) *
        (IMPORTRANGE(""https://docs.google.com/spreadsheets/d/161aHT6vVT3SLneTKD19N5qVWtnj_jIT8CSsOmUVKmaA"&amp;"/edit?gid=1761053510"",
          ""Haris_Form responses 1!$AQ:$AQ"")=5)
      ),
      1
    ),
    ""0""
  ),
  ""Form not found""
)
"),"Form not found")</f>
        <v>Form not found</v>
      </c>
      <c r="S258" s="247" t="str">
        <f>IFERROR(__xludf.DUMMYFUNCTION("IFERROR(
  INDEX(
    FILTER(
      Transcription!$AJ:$AJ,
      TRIM(CLEAN(TEXT(Transcription!$F:$F, ""@""))) = TRIM(CLEAN(TEXT($D258, ""@""))),
      Transcription!$AO:$AO = 5
    ),
    1
  ),
  ""Not Found""
)
"),"Not Found")</f>
        <v>Not Found</v>
      </c>
      <c r="T25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TRIM(CLEAN(TEXT($D258, ""@""))),
      IMPORTRANGE(""https://docs.google.com/spreadsheets/d/1DccNxjBgurEr0ABkI_"&amp;"rBagJT5phB5HaHG5N_mTm_BiA/edit?gid=1382299152#gid=1382299152"", ""Form responses 1!$Z:$Z"") = 6
    ),
    1
  ),
  ""Not Found""
)
"),"Not Found")</f>
        <v>Not Found</v>
      </c>
      <c r="U25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1!$E:$E"")=$D258) *
        (IMPORTRANGE(""https://docs.google.com/spreadsheets/d/161aHT6vVT3SLneTKD19N5qVWtnj_jIT8CSsOmUVKmaA"&amp;"/edit?gid=1761053510"",
          ""Haris_Form responses 1!$AQ:$AQ"")=6)
      ),
      1
    ),
    ""0""
  ),
  ""Form not found""
)
"),"Form not found")</f>
        <v>Form not found</v>
      </c>
      <c r="V258" s="247" t="str">
        <f>IFERROR(__xludf.DUMMYFUNCTION("IFERROR(
  INDEX(
    FILTER(
      Transcription!$AJ:$AJ,
      TRIM(CLEAN(TEXT(Transcription!$F:$F, ""@""))) = TRIM(CLEAN(TEXT($D258, ""@""))),
      Transcription!$AO:$AO = 6
    ),
    1
  ),
  ""Not Found""
)
"),"Not Found")</f>
        <v>Not Found</v>
      </c>
      <c r="Z258" s="10">
        <f t="shared" si="1"/>
        <v>2</v>
      </c>
      <c r="AA258" s="10">
        <f t="shared" si="2"/>
        <v>0</v>
      </c>
    </row>
    <row r="259">
      <c r="A259" s="8" t="str">
        <f>VLOOKUP($D259,Sheet6!$B:$G,5,FALSE)</f>
        <v>Faisalabad</v>
      </c>
      <c r="B259" s="232" t="str">
        <f>VLOOKUP($D259,Sheet6!$B:$G,4,FALSE)</f>
        <v>Control</v>
      </c>
      <c r="C259" s="8">
        <v>2.0</v>
      </c>
      <c r="D259" s="8" t="s">
        <v>4076</v>
      </c>
      <c r="E25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TRIM(CLEAN(TEXT($D259, ""@""))),
      IMPORTRANGE(""https://docs.google.com/spreadsheets/d/1DccNxjBgurEr0ABkI_"&amp;"rBagJT5phB5HaHG5N_mTm_BiA/edit?gid=1382299152#gid=1382299152"", ""Form responses 1!$Z:$Z"") = 1
    ),
    1
  ),
  ""Not Found""
)
"),"https://drive.google.com/file/d/1iRk9Nc77EyNwcJuNQH2HBBxLzRAYynVz/view?usp=drive_link")</f>
        <v>https://drive.google.com/file/d/1iRk9Nc77EyNwcJuNQH2HBBxLzRAYynVz/view?usp=drive_link</v>
      </c>
      <c r="F2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1!$E:$E"")=$D259) *
        (IMPORTRANGE(""https://docs.google.com/spreadsheets/d/161aHT6vVT3SLneTKD19N5qVWtnj_jIT8CSsOmUVKmaA"&amp;"/edit?gid=1761053510"",
          ""Haris_Form responses 1!$AQ:$AQ"")=1)
      ),
      1
    ),
    ""0""
  ),
  ""Form not found""
)
"),"1")</f>
        <v>1</v>
      </c>
      <c r="G259" s="245" t="str">
        <f>IFERROR(__xludf.DUMMYFUNCTION("IFERROR(
  INDEX(
    FILTER(
      Transcription!$AJ:$AJ,
      TRIM(CLEAN(TEXT(Transcription!$F:$F, ""@""))) = TRIM(CLEAN(TEXT($D259, ""@""))),
      Transcription!$AO:$AO = 1
    ),
    1
  ),
  ""Not Found""
)
"),"https://drive.google.com/open?id=17HeuzFOfgP_brAd3cPdEBiGGOVTOgWTJ_cMwxTOWngM")</f>
        <v>https://drive.google.com/open?id=17HeuzFOfgP_brAd3cPdEBiGGOVTOgWTJ_cMwxTOWngM</v>
      </c>
      <c r="H2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TRIM(CLEAN(TEXT($D259, ""@""))),
      IMPORTRANGE(""https://docs.google.com/spreadsheets/d/1DccNxjBgurEr0ABkI_"&amp;"rBagJT5phB5HaHG5N_mTm_BiA/edit?gid=1382299152#gid=1382299152"", ""Form responses 1!$Z:$Z"") = 2
    ),
    1
  ),
  ""Not Found""
)
"),"Not Found")</f>
        <v>Not Found</v>
      </c>
      <c r="I2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1!$E:$E"")=$D259) *
        (IMPORTRANGE(""https://docs.google.com/spreadsheets/d/161aHT6vVT3SLneTKD19N5qVWtnj_jIT8CSsOmUVKmaA"&amp;"/edit?gid=1761053510"",
          ""Haris_Form responses 1!$AQ:$AQ"")=2)
      ),
      1
    ),
    ""0""
  ),
  ""Form not found""
)
"),"Form not found")</f>
        <v>Form not found</v>
      </c>
      <c r="J259" s="247" t="str">
        <f>IFERROR(__xludf.DUMMYFUNCTION("IFERROR(
  INDEX(
    FILTER(
      Transcription!$AJ:$AJ,
      TRIM(CLEAN(TEXT(Transcription!$F:$F, ""@""))) = TRIM(CLEAN(TEXT($D259, ""@""))),
      Transcription!$AO:$AO = 2
    ),
    1
  ),
  ""Not Found""
)
"),"")</f>
        <v/>
      </c>
      <c r="K25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TRIM(CLEAN(TEXT($D259, ""@""))),
      IMPORTRANGE(""https://docs.google.com/spreadsheets/d/1DccNxjBgurEr0ABkI_"&amp;"rBagJT5phB5HaHG5N_mTm_BiA/edit?gid=1382299152#gid=1382299152"", ""Form responses 1!$Z:$Z"") = 3
    ),
    1
  ),
  ""Not Found""
)
"),"https://drive.google.com/open?id=1mz30i3UYButpdhkHMiC7isO0I_q8cXix")</f>
        <v>https://drive.google.com/open?id=1mz30i3UYButpdhkHMiC7isO0I_q8cXix</v>
      </c>
      <c r="L2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1!$E:$E"")=$D259) *
        (IMPORTRANGE(""https://docs.google.com/spreadsheets/d/161aHT6vVT3SLneTKD19N5qVWtnj_jIT8CSsOmUVKmaA"&amp;"/edit?gid=1761053510"",
          ""Haris_Form responses 1!$AQ:$AQ"")=3)
      ),
      1
    ),
    ""0""
  ),
  ""Form not found""
)
"),"3")</f>
        <v>3</v>
      </c>
      <c r="M259" s="245" t="str">
        <f>IFERROR(__xludf.DUMMYFUNCTION("IFERROR(
  INDEX(
    FILTER(
      Transcription!$AJ:$AJ,
      TRIM(CLEAN(TEXT(Transcription!$F:$F, ""@""))) = TRIM(CLEAN(TEXT($D259, ""@""))),
      Transcription!$AO:$AO = 3
    ),
    1
  ),
  ""Not Found""
)
"),"https://drive.google.com/open?id=1U5lmkNQQqP-qSWCVODj3B2vOTmHPtPj_")</f>
        <v>https://drive.google.com/open?id=1U5lmkNQQqP-qSWCVODj3B2vOTmHPtPj_</v>
      </c>
      <c r="N2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TRIM(CLEAN(TEXT($D259, ""@""))),
      IMPORTRANGE(""https://docs.google.com/spreadsheets/d/1DccNxjBgurEr0ABkI_"&amp;"rBagJT5phB5HaHG5N_mTm_BiA/edit?gid=1382299152#gid=1382299152"", ""Form responses 1!$Z:$Z"") = 4
    ),
    1
  ),
  ""Not Found""
)
"),"Not Found")</f>
        <v>Not Found</v>
      </c>
      <c r="O2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1!$E:$E"")=$D259) *
        (IMPORTRANGE(""https://docs.google.com/spreadsheets/d/161aHT6vVT3SLneTKD19N5qVWtnj_jIT8CSsOmUVKmaA"&amp;"/edit?gid=1761053510"",
          ""Haris_Form responses 1!$AQ:$AQ"")=4)
      ),
      1
    ),
    ""0""
  ),
  ""Form not found""
)
"),"Form not found")</f>
        <v>Form not found</v>
      </c>
      <c r="P259" s="247" t="str">
        <f>IFERROR(__xludf.DUMMYFUNCTION("IFERROR(
  INDEX(
    FILTER(
      Transcription!$AJ:$AJ,
      TRIM(CLEAN(TEXT(Transcription!$F:$F, ""@""))) = TRIM(CLEAN(TEXT($D259, ""@""))),
      Transcription!$AO:$AO = 4
    ),
    1
  ),
  ""Not Found""
)
"),"Not Found")</f>
        <v>Not Found</v>
      </c>
      <c r="Q2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TRIM(CLEAN(TEXT($D259, ""@""))),
      IMPORTRANGE(""https://docs.google.com/spreadsheets/d/1DccNxjBgurEr0ABkI_"&amp;"rBagJT5phB5HaHG5N_mTm_BiA/edit?gid=1382299152#gid=1382299152"", ""Form responses 1!$Z:$Z"") = 5
    ),
    1
  ),
  ""Not Found""
)
"),"Not Found")</f>
        <v>Not Found</v>
      </c>
      <c r="R2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1!$E:$E"")=$D259) *
        (IMPORTRANGE(""https://docs.google.com/spreadsheets/d/161aHT6vVT3SLneTKD19N5qVWtnj_jIT8CSsOmUVKmaA"&amp;"/edit?gid=1761053510"",
          ""Haris_Form responses 1!$AQ:$AQ"")=5)
      ),
      1
    ),
    ""0""
  ),
  ""Form not found""
)
"),"Form not found")</f>
        <v>Form not found</v>
      </c>
      <c r="S259" s="247" t="str">
        <f>IFERROR(__xludf.DUMMYFUNCTION("IFERROR(
  INDEX(
    FILTER(
      Transcription!$AJ:$AJ,
      TRIM(CLEAN(TEXT(Transcription!$F:$F, ""@""))) = TRIM(CLEAN(TEXT($D259, ""@""))),
      Transcription!$AO:$AO = 5
    ),
    1
  ),
  ""Not Found""
)
"),"Not Found")</f>
        <v>Not Found</v>
      </c>
      <c r="T25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TRIM(CLEAN(TEXT($D259, ""@""))),
      IMPORTRANGE(""https://docs.google.com/spreadsheets/d/1DccNxjBgurEr0ABkI_"&amp;"rBagJT5phB5HaHG5N_mTm_BiA/edit?gid=1382299152#gid=1382299152"", ""Form responses 1!$Z:$Z"") = 6
    ),
    1
  ),
  ""Not Found""
)
"),"Not Found")</f>
        <v>Not Found</v>
      </c>
      <c r="U25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1!$E:$E"")=$D259) *
        (IMPORTRANGE(""https://docs.google.com/spreadsheets/d/161aHT6vVT3SLneTKD19N5qVWtnj_jIT8CSsOmUVKmaA"&amp;"/edit?gid=1761053510"",
          ""Haris_Form responses 1!$AQ:$AQ"")=6)
      ),
      1
    ),
    ""0""
  ),
  ""Form not found""
)
"),"Form not found")</f>
        <v>Form not found</v>
      </c>
      <c r="V259" s="247" t="str">
        <f>IFERROR(__xludf.DUMMYFUNCTION("IFERROR(
  INDEX(
    FILTER(
      Transcription!$AJ:$AJ,
      TRIM(CLEAN(TEXT(Transcription!$F:$F, ""@""))) = TRIM(CLEAN(TEXT($D259, ""@""))),
      Transcription!$AO:$AO = 6
    ),
    1
  ),
  ""Not Found""
)
"),"Not Found")</f>
        <v>Not Found</v>
      </c>
      <c r="Z259" s="10">
        <f t="shared" si="1"/>
        <v>2</v>
      </c>
      <c r="AA259" s="10">
        <f t="shared" si="2"/>
        <v>0</v>
      </c>
    </row>
    <row r="260">
      <c r="A260" s="8" t="str">
        <f>VLOOKUP($D260,Sheet6!$B:$G,5,FALSE)</f>
        <v>Faisalabad</v>
      </c>
      <c r="B260" s="232" t="str">
        <f>VLOOKUP($D260,Sheet6!$B:$G,4,FALSE)</f>
        <v>Control</v>
      </c>
      <c r="C260" s="8">
        <v>2.0</v>
      </c>
      <c r="D260" s="8" t="s">
        <v>3926</v>
      </c>
      <c r="E26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TRIM(CLEAN(TEXT($D260, ""@""))),
      IMPORTRANGE(""https://docs.google.com/spreadsheets/d/1DccNxjBgurEr0ABkI_"&amp;"rBagJT5phB5HaHG5N_mTm_BiA/edit?gid=1382299152#gid=1382299152"", ""Form responses 1!$Z:$Z"") = 1
    ),
    1
  ),
  ""Not Found""
)
"),"https://drive.google.com/open?id=1ZIlX4en9T4nALUztN0040LVjoPZc40-B")</f>
        <v>https://drive.google.com/open?id=1ZIlX4en9T4nALUztN0040LVjoPZc40-B</v>
      </c>
      <c r="F2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1!$E:$E"")=$D260) *
        (IMPORTRANGE(""https://docs.google.com/spreadsheets/d/161aHT6vVT3SLneTKD19N5qVWtnj_jIT8CSsOmUVKmaA"&amp;"/edit?gid=1761053510"",
          ""Haris_Form responses 1!$AQ:$AQ"")=1)
      ),
      1
    ),
    ""0""
  ),
  ""Form not found""
)
"),"1")</f>
        <v>1</v>
      </c>
      <c r="G260" s="245" t="str">
        <f>IFERROR(__xludf.DUMMYFUNCTION("IFERROR(
  INDEX(
    FILTER(
      Transcription!$AJ:$AJ,
      TRIM(CLEAN(TEXT(Transcription!$F:$F, ""@""))) = TRIM(CLEAN(TEXT($D260, ""@""))),
      Transcription!$AO:$AO = 1
    ),
    1
  ),
  ""Not Found""
)
"),"https://drive.google.com/open?id=1Smj-gnMnAvQk2nJrveEMVIX7fFIx4cZO7LukYV74QRA")</f>
        <v>https://drive.google.com/open?id=1Smj-gnMnAvQk2nJrveEMVIX7fFIx4cZO7LukYV74QRA</v>
      </c>
      <c r="H2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TRIM(CLEAN(TEXT($D260, ""@""))),
      IMPORTRANGE(""https://docs.google.com/spreadsheets/d/1DccNxjBgurEr0ABkI_"&amp;"rBagJT5phB5HaHG5N_mTm_BiA/edit?gid=1382299152#gid=1382299152"", ""Form responses 1!$Z:$Z"") = 2
    ),
    1
  ),
  ""Not Found""
)
"),"Not Found")</f>
        <v>Not Found</v>
      </c>
      <c r="I2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1!$E:$E"")=$D260) *
        (IMPORTRANGE(""https://docs.google.com/spreadsheets/d/161aHT6vVT3SLneTKD19N5qVWtnj_jIT8CSsOmUVKmaA"&amp;"/edit?gid=1761053510"",
          ""Haris_Form responses 1!$AQ:$AQ"")=2)
      ),
      1
    ),
    ""0""
  ),
  ""Form not found""
)
"),"Form not found")</f>
        <v>Form not found</v>
      </c>
      <c r="J260" s="247" t="str">
        <f>IFERROR(__xludf.DUMMYFUNCTION("IFERROR(
  INDEX(
    FILTER(
      Transcription!$AJ:$AJ,
      TRIM(CLEAN(TEXT(Transcription!$F:$F, ""@""))) = TRIM(CLEAN(TEXT($D260, ""@""))),
      Transcription!$AO:$AO = 2
    ),
    1
  ),
  ""Not Found""
)
"),"Not Found")</f>
        <v>Not Found</v>
      </c>
      <c r="K26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TRIM(CLEAN(TEXT($D260, ""@""))),
      IMPORTRANGE(""https://docs.google.com/spreadsheets/d/1DccNxjBgurEr0ABkI_"&amp;"rBagJT5phB5HaHG5N_mTm_BiA/edit?gid=1382299152#gid=1382299152"", ""Form responses 1!$Z:$Z"") = 3
    ),
    1
  ),
  ""Not Found""
)
"),"https://drive.google.com/open?id=1WusFET-mteuteLSG7_sLPHbx6-1djx2m")</f>
        <v>https://drive.google.com/open?id=1WusFET-mteuteLSG7_sLPHbx6-1djx2m</v>
      </c>
      <c r="L2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1!$E:$E"")=$D260) *
        (IMPORTRANGE(""https://docs.google.com/spreadsheets/d/161aHT6vVT3SLneTKD19N5qVWtnj_jIT8CSsOmUVKmaA"&amp;"/edit?gid=1761053510"",
          ""Haris_Form responses 1!$AQ:$AQ"")=3)
      ),
      1
    ),
    ""0""
  ),
  ""Form not found""
)
"),"3")</f>
        <v>3</v>
      </c>
      <c r="M260" s="245" t="str">
        <f>IFERROR(__xludf.DUMMYFUNCTION("IFERROR(
  INDEX(
    FILTER(
      Transcription!$AJ:$AJ,
      TRIM(CLEAN(TEXT(Transcription!$F:$F, ""@""))) = TRIM(CLEAN(TEXT($D260, ""@""))),
      Transcription!$AO:$AO = 3
    ),
    1
  ),
  ""Not Found""
)
"),"https://drive.google.com/open?id=120srCZ3YhCgy5wfVH09O5P48QVFVzOJBrhZPr-ltXis")</f>
        <v>https://drive.google.com/open?id=120srCZ3YhCgy5wfVH09O5P48QVFVzOJBrhZPr-ltXis</v>
      </c>
      <c r="N2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TRIM(CLEAN(TEXT($D260, ""@""))),
      IMPORTRANGE(""https://docs.google.com/spreadsheets/d/1DccNxjBgurEr0ABkI_"&amp;"rBagJT5phB5HaHG5N_mTm_BiA/edit?gid=1382299152#gid=1382299152"", ""Form responses 1!$Z:$Z"") = 4
    ),
    1
  ),
  ""Not Found""
)
"),"Not Found")</f>
        <v>Not Found</v>
      </c>
      <c r="O2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1!$E:$E"")=$D260) *
        (IMPORTRANGE(""https://docs.google.com/spreadsheets/d/161aHT6vVT3SLneTKD19N5qVWtnj_jIT8CSsOmUVKmaA"&amp;"/edit?gid=1761053510"",
          ""Haris_Form responses 1!$AQ:$AQ"")=4)
      ),
      1
    ),
    ""0""
  ),
  ""Form not found""
)
"),"Form not found")</f>
        <v>Form not found</v>
      </c>
      <c r="P260" s="247" t="str">
        <f>IFERROR(__xludf.DUMMYFUNCTION("IFERROR(
  INDEX(
    FILTER(
      Transcription!$AJ:$AJ,
      TRIM(CLEAN(TEXT(Transcription!$F:$F, ""@""))) = TRIM(CLEAN(TEXT($D260, ""@""))),
      Transcription!$AO:$AO = 4
    ),
    1
  ),
  ""Not Found""
)
"),"Not Found")</f>
        <v>Not Found</v>
      </c>
      <c r="Q2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TRIM(CLEAN(TEXT($D260, ""@""))),
      IMPORTRANGE(""https://docs.google.com/spreadsheets/d/1DccNxjBgurEr0ABkI_"&amp;"rBagJT5phB5HaHG5N_mTm_BiA/edit?gid=1382299152#gid=1382299152"", ""Form responses 1!$Z:$Z"") = 5
    ),
    1
  ),
  ""Not Found""
)
"),"Not Found")</f>
        <v>Not Found</v>
      </c>
      <c r="R2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1!$E:$E"")=$D260) *
        (IMPORTRANGE(""https://docs.google.com/spreadsheets/d/161aHT6vVT3SLneTKD19N5qVWtnj_jIT8CSsOmUVKmaA"&amp;"/edit?gid=1761053510"",
          ""Haris_Form responses 1!$AQ:$AQ"")=5)
      ),
      1
    ),
    ""0""
  ),
  ""Form not found""
)
"),"Form not found")</f>
        <v>Form not found</v>
      </c>
      <c r="S260" s="247" t="str">
        <f>IFERROR(__xludf.DUMMYFUNCTION("IFERROR(
  INDEX(
    FILTER(
      Transcription!$AJ:$AJ,
      TRIM(CLEAN(TEXT(Transcription!$F:$F, ""@""))) = TRIM(CLEAN(TEXT($D260, ""@""))),
      Transcription!$AO:$AO = 5
    ),
    1
  ),
  ""Not Found""
)
"),"Not Found")</f>
        <v>Not Found</v>
      </c>
      <c r="T26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TRIM(CLEAN(TEXT($D260, ""@""))),
      IMPORTRANGE(""https://docs.google.com/spreadsheets/d/1DccNxjBgurEr0ABkI_"&amp;"rBagJT5phB5HaHG5N_mTm_BiA/edit?gid=1382299152#gid=1382299152"", ""Form responses 1!$Z:$Z"") = 6
    ),
    1
  ),
  ""Not Found""
)
"),"Not Found")</f>
        <v>Not Found</v>
      </c>
      <c r="U26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1!$E:$E"")=$D260) *
        (IMPORTRANGE(""https://docs.google.com/spreadsheets/d/161aHT6vVT3SLneTKD19N5qVWtnj_jIT8CSsOmUVKmaA"&amp;"/edit?gid=1761053510"",
          ""Haris_Form responses 1!$AQ:$AQ"")=6)
      ),
      1
    ),
    ""0""
  ),
  ""Form not found""
)
"),"Form not found")</f>
        <v>Form not found</v>
      </c>
      <c r="V260" s="247" t="str">
        <f>IFERROR(__xludf.DUMMYFUNCTION("IFERROR(
  INDEX(
    FILTER(
      Transcription!$AJ:$AJ,
      TRIM(CLEAN(TEXT(Transcription!$F:$F, ""@""))) = TRIM(CLEAN(TEXT($D260, ""@""))),
      Transcription!$AO:$AO = 6
    ),
    1
  ),
  ""Not Found""
)
"),"Not Found")</f>
        <v>Not Found</v>
      </c>
      <c r="Z260" s="10">
        <f t="shared" si="1"/>
        <v>2</v>
      </c>
      <c r="AA260" s="10">
        <f t="shared" si="2"/>
        <v>0</v>
      </c>
    </row>
    <row r="261">
      <c r="A261" s="8" t="str">
        <f>VLOOKUP($D261,Sheet6!$B:$G,5,FALSE)</f>
        <v>Faisalabad</v>
      </c>
      <c r="B261" s="232" t="str">
        <f>VLOOKUP($D261,Sheet6!$B:$G,4,FALSE)</f>
        <v>Women Religious No Info Share</v>
      </c>
      <c r="C261" s="8">
        <v>3.0</v>
      </c>
      <c r="D261" s="8" t="s">
        <v>4064</v>
      </c>
      <c r="E2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TRIM(CLEAN(TEXT($D261, ""@""))),
      IMPORTRANGE(""https://docs.google.com/spreadsheets/d/1DccNxjBgurEr0ABkI_"&amp;"rBagJT5phB5HaHG5N_mTm_BiA/edit?gid=1382299152#gid=1382299152"", ""Form responses 1!$Z:$Z"") = 1
    ),
    1
  ),
  ""Not Found""
)
"),"https://drive.google.com/open?id=1LGCJaOqx10LqAxFPY1Nnw0MU3fdb1_iT, https://drive.google.com/open?id=1nDIZEhSS-yGowwHl12W3aGnpjDQ5T_mm")</f>
        <v>https://drive.google.com/open?id=1LGCJaOqx10LqAxFPY1Nnw0MU3fdb1_iT, https://drive.google.com/open?id=1nDIZEhSS-yGowwHl12W3aGnpjDQ5T_mm</v>
      </c>
      <c r="F2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1!$E:$E"")=$D261) *
        (IMPORTRANGE(""https://docs.google.com/spreadsheets/d/161aHT6vVT3SLneTKD19N5qVWtnj_jIT8CSsOmUVKmaA"&amp;"/edit?gid=1761053510"",
          ""Haris_Form responses 1!$AQ:$AQ"")=1)
      ),
      1
    ),
    ""0""
  ),
  ""Form not found""
)
"),"1")</f>
        <v>1</v>
      </c>
      <c r="G261" s="245" t="str">
        <f>IFERROR(__xludf.DUMMYFUNCTION("IFERROR(
  INDEX(
    FILTER(
      Transcription!$AJ:$AJ,
      TRIM(CLEAN(TEXT(Transcription!$F:$F, ""@""))) = TRIM(CLEAN(TEXT($D261, ""@""))),
      Transcription!$AO:$AO = 1
    ),
    1
  ),
  ""Not Found""
)
"),"https://drive.google.com/open?id=1t8T_k05AWz37Cq3joeoFcGlbfSnLcqTbB5pX25qt5bo")</f>
        <v>https://drive.google.com/open?id=1t8T_k05AWz37Cq3joeoFcGlbfSnLcqTbB5pX25qt5bo</v>
      </c>
      <c r="H26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TRIM(CLEAN(TEXT($D261, ""@""))),
      IMPORTRANGE(""https://docs.google.com/spreadsheets/d/1DccNxjBgurEr0ABkI_"&amp;"rBagJT5phB5HaHG5N_mTm_BiA/edit?gid=1382299152#gid=1382299152"", ""Form responses 1!$Z:$Z"") = 2
    ),
    1
  ),
  ""Not Found""
)
"),"https://drive.google.com/file/d/133oQ8z1fxU-8dP_IvdYxpmyTsBQzn8Re/view?usp=drive_link")</f>
        <v>https://drive.google.com/file/d/133oQ8z1fxU-8dP_IvdYxpmyTsBQzn8Re/view?usp=drive_link</v>
      </c>
      <c r="I2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1!$E:$E"")=$D261) *
        (IMPORTRANGE(""https://docs.google.com/spreadsheets/d/161aHT6vVT3SLneTKD19N5qVWtnj_jIT8CSsOmUVKmaA"&amp;"/edit?gid=1761053510"",
          ""Haris_Form responses 1!$AQ:$AQ"")=2)
      ),
      1
    ),
    ""0""
  ),
  ""Form not found""
)
"),"2")</f>
        <v>2</v>
      </c>
      <c r="J261" s="245" t="str">
        <f>IFERROR(__xludf.DUMMYFUNCTION("IFERROR(
  INDEX(
    FILTER(
      Transcription!$AJ:$AJ,
      TRIM(CLEAN(TEXT(Transcription!$F:$F, ""@""))) = TRIM(CLEAN(TEXT($D261, ""@""))),
      Transcription!$AO:$AO = 2
    ),
    1
  ),
  ""Not Found""
)
"),"https://drive.google.com/open?id=1jT0Df8_FJo8xFkApOzrlrKNdCRdgVoKu2ZZPurSPvJk")</f>
        <v>https://drive.google.com/open?id=1jT0Df8_FJo8xFkApOzrlrKNdCRdgVoKu2ZZPurSPvJk</v>
      </c>
      <c r="K26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TRIM(CLEAN(TEXT($D261, ""@""))),
      IMPORTRANGE(""https://docs.google.com/spreadsheets/d/1DccNxjBgurEr0ABkI_"&amp;"rBagJT5phB5HaHG5N_mTm_BiA/edit?gid=1382299152#gid=1382299152"", ""Form responses 1!$Z:$Z"") = 3
    ),
    1
  ),
  ""Not Found""
)
"),"https://drive.google.com/open?id=1J2ZusZtgacxd6XtnYnPLdYWxslJI238R")</f>
        <v>https://drive.google.com/open?id=1J2ZusZtgacxd6XtnYnPLdYWxslJI238R</v>
      </c>
      <c r="L2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1!$E:$E"")=$D261) *
        (IMPORTRANGE(""https://docs.google.com/spreadsheets/d/161aHT6vVT3SLneTKD19N5qVWtnj_jIT8CSsOmUVKmaA"&amp;"/edit?gid=1761053510"",
          ""Haris_Form responses 1!$AQ:$AQ"")=3)
      ),
      1
    ),
    ""0""
  ),
  ""Form not found""
)
"),"3")</f>
        <v>3</v>
      </c>
      <c r="M261" s="245" t="str">
        <f>IFERROR(__xludf.DUMMYFUNCTION("IFERROR(
  INDEX(
    FILTER(
      Transcription!$AJ:$AJ,
      TRIM(CLEAN(TEXT(Transcription!$F:$F, ""@""))) = TRIM(CLEAN(TEXT($D261, ""@""))),
      Transcription!$AO:$AO = 3
    ),
    1
  ),
  ""Not Found""
)
"),"https://drive.google.com/open?id=1xnQ5h9Y4Rou3nxMuRfIKsKat1cwznJvQBvBt2CjIrPI")</f>
        <v>https://drive.google.com/open?id=1xnQ5h9Y4Rou3nxMuRfIKsKat1cwznJvQBvBt2CjIrPI</v>
      </c>
      <c r="N2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TRIM(CLEAN(TEXT($D261, ""@""))),
      IMPORTRANGE(""https://docs.google.com/spreadsheets/d/1DccNxjBgurEr0ABkI_"&amp;"rBagJT5phB5HaHG5N_mTm_BiA/edit?gid=1382299152#gid=1382299152"", ""Form responses 1!$Z:$Z"") = 4
    ),
    1
  ),
  ""Not Found""
)
"),"Not Found")</f>
        <v>Not Found</v>
      </c>
      <c r="O2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1!$E:$E"")=$D261) *
        (IMPORTRANGE(""https://docs.google.com/spreadsheets/d/161aHT6vVT3SLneTKD19N5qVWtnj_jIT8CSsOmUVKmaA"&amp;"/edit?gid=1761053510"",
          ""Haris_Form responses 1!$AQ:$AQ"")=4)
      ),
      1
    ),
    ""0""
  ),
  ""Form not found""
)
"),"Form not found")</f>
        <v>Form not found</v>
      </c>
      <c r="P261" s="247" t="str">
        <f>IFERROR(__xludf.DUMMYFUNCTION("IFERROR(
  INDEX(
    FILTER(
      Transcription!$AJ:$AJ,
      TRIM(CLEAN(TEXT(Transcription!$F:$F, ""@""))) = TRIM(CLEAN(TEXT($D261, ""@""))),
      Transcription!$AO:$AO = 4
    ),
    1
  ),
  ""Not Found""
)
"),"Not Found")</f>
        <v>Not Found</v>
      </c>
      <c r="Q2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TRIM(CLEAN(TEXT($D261, ""@""))),
      IMPORTRANGE(""https://docs.google.com/spreadsheets/d/1DccNxjBgurEr0ABkI_"&amp;"rBagJT5phB5HaHG5N_mTm_BiA/edit?gid=1382299152#gid=1382299152"", ""Form responses 1!$Z:$Z"") = 5
    ),
    1
  ),
  ""Not Found""
)
"),"Not Found")</f>
        <v>Not Found</v>
      </c>
      <c r="R2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1!$E:$E"")=$D261) *
        (IMPORTRANGE(""https://docs.google.com/spreadsheets/d/161aHT6vVT3SLneTKD19N5qVWtnj_jIT8CSsOmUVKmaA"&amp;"/edit?gid=1761053510"",
          ""Haris_Form responses 1!$AQ:$AQ"")=5)
      ),
      1
    ),
    ""0""
  ),
  ""Form not found""
)
"),"Form not found")</f>
        <v>Form not found</v>
      </c>
      <c r="S261" s="247" t="str">
        <f>IFERROR(__xludf.DUMMYFUNCTION("IFERROR(
  INDEX(
    FILTER(
      Transcription!$AJ:$AJ,
      TRIM(CLEAN(TEXT(Transcription!$F:$F, ""@""))) = TRIM(CLEAN(TEXT($D261, ""@""))),
      Transcription!$AO:$AO = 5
    ),
    1
  ),
  ""Not Found""
)
"),"Not Found")</f>
        <v>Not Found</v>
      </c>
      <c r="T26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TRIM(CLEAN(TEXT($D261, ""@""))),
      IMPORTRANGE(""https://docs.google.com/spreadsheets/d/1DccNxjBgurEr0ABkI_"&amp;"rBagJT5phB5HaHG5N_mTm_BiA/edit?gid=1382299152#gid=1382299152"", ""Form responses 1!$Z:$Z"") = 6
    ),
    1
  ),
  ""Not Found""
)
"),"Not Found")</f>
        <v>Not Found</v>
      </c>
      <c r="U26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1!$E:$E"")=$D261) *
        (IMPORTRANGE(""https://docs.google.com/spreadsheets/d/161aHT6vVT3SLneTKD19N5qVWtnj_jIT8CSsOmUVKmaA"&amp;"/edit?gid=1761053510"",
          ""Haris_Form responses 1!$AQ:$AQ"")=6)
      ),
      1
    ),
    ""0""
  ),
  ""Form not found""
)
"),"Form not found")</f>
        <v>Form not found</v>
      </c>
      <c r="V261" s="247" t="str">
        <f>IFERROR(__xludf.DUMMYFUNCTION("IFERROR(
  INDEX(
    FILTER(
      Transcription!$AJ:$AJ,
      TRIM(CLEAN(TEXT(Transcription!$F:$F, ""@""))) = TRIM(CLEAN(TEXT($D261, ""@""))),
      Transcription!$AO:$AO = 6
    ),
    1
  ),
  ""Not Found""
)
"),"Not Found")</f>
        <v>Not Found</v>
      </c>
      <c r="Z261" s="10">
        <f t="shared" si="1"/>
        <v>3</v>
      </c>
      <c r="AA261" s="10">
        <f t="shared" si="2"/>
        <v>0</v>
      </c>
    </row>
    <row r="262">
      <c r="A262" s="8" t="str">
        <f>VLOOKUP($D262,Sheet6!$B:$G,5,FALSE)</f>
        <v>Faisalabad</v>
      </c>
      <c r="B262" s="232" t="str">
        <f>VLOOKUP($D262,Sheet6!$B:$G,4,FALSE)</f>
        <v>Women Secular No Info Share</v>
      </c>
      <c r="C262" s="8">
        <v>4.0</v>
      </c>
      <c r="D262" s="8" t="s">
        <v>4276</v>
      </c>
      <c r="E26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TRIM(CLEAN(TEXT($D262, ""@""))),
      IMPORTRANGE(""https://docs.google.com/spreadsheets/d/1DccNxjBgurEr0ABkI_"&amp;"rBagJT5phB5HaHG5N_mTm_BiA/edit?gid=1382299152#gid=1382299152"", ""Form responses 1!$Z:$Z"") = 1
    ),
    1
  ),
  ""Not Found""
)
"),"Not Found")</f>
        <v>Not Found</v>
      </c>
      <c r="F2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1!$E:$E"")=$D262) *
        (IMPORTRANGE(""https://docs.google.com/spreadsheets/d/161aHT6vVT3SLneTKD19N5qVWtnj_jIT8CSsOmUVKmaA"&amp;"/edit?gid=1761053510"",
          ""Haris_Form responses 1!$AQ:$AQ"")=1)
      ),
      1
    ),
    ""0""
  ),
  ""Form not found""
)
"),"Form not found")</f>
        <v>Form not found</v>
      </c>
      <c r="G262" s="247" t="str">
        <f>IFERROR(__xludf.DUMMYFUNCTION("IFERROR(
  INDEX(
    FILTER(
      Transcription!$AJ:$AJ,
      TRIM(CLEAN(TEXT(Transcription!$F:$F, ""@""))) = TRIM(CLEAN(TEXT($D262, ""@""))),
      Transcription!$AO:$AO = 1
    ),
    1
  ),
  ""Not Found""
)
"),"Not Found")</f>
        <v>Not Found</v>
      </c>
      <c r="H26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TRIM(CLEAN(TEXT($D262, ""@""))),
      IMPORTRANGE(""https://docs.google.com/spreadsheets/d/1DccNxjBgurEr0ABkI_"&amp;"rBagJT5phB5HaHG5N_mTm_BiA/edit?gid=1382299152#gid=1382299152"", ""Form responses 1!$Z:$Z"") = 2
    ),
    1
  ),
  ""Not Found""
)
"),"Not Found")</f>
        <v>Not Found</v>
      </c>
      <c r="I2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1!$E:$E"")=$D262) *
        (IMPORTRANGE(""https://docs.google.com/spreadsheets/d/161aHT6vVT3SLneTKD19N5qVWtnj_jIT8CSsOmUVKmaA"&amp;"/edit?gid=1761053510"",
          ""Haris_Form responses 1!$AQ:$AQ"")=2)
      ),
      1
    ),
    ""0""
  ),
  ""Form not found""
)
"),"Form not found")</f>
        <v>Form not found</v>
      </c>
      <c r="J262" s="247" t="str">
        <f>IFERROR(__xludf.DUMMYFUNCTION("IFERROR(
  INDEX(
    FILTER(
      Transcription!$AJ:$AJ,
      TRIM(CLEAN(TEXT(Transcription!$F:$F, ""@""))) = TRIM(CLEAN(TEXT($D262, ""@""))),
      Transcription!$AO:$AO = 2
    ),
    1
  ),
  ""Not Found""
)
"),"Not Found")</f>
        <v>Not Found</v>
      </c>
      <c r="K2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TRIM(CLEAN(TEXT($D262, ""@""))),
      IMPORTRANGE(""https://docs.google.com/spreadsheets/d/1DccNxjBgurEr0ABkI_"&amp;"rBagJT5phB5HaHG5N_mTm_BiA/edit?gid=1382299152#gid=1382299152"", ""Form responses 1!$Z:$Z"") = 3
    ),
    1
  ),
  ""Not Found""
)
"),"https://drive.google.com/open?id=17WfHnkIqZVz6KGA15lJonQ85nscAy2Is")</f>
        <v>https://drive.google.com/open?id=17WfHnkIqZVz6KGA15lJonQ85nscAy2Is</v>
      </c>
      <c r="L2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1!$E:$E"")=$D262) *
        (IMPORTRANGE(""https://docs.google.com/spreadsheets/d/161aHT6vVT3SLneTKD19N5qVWtnj_jIT8CSsOmUVKmaA"&amp;"/edit?gid=1761053510"",
          ""Haris_Form responses 1!$AQ:$AQ"")=3)
      ),
      1
    ),
    ""0""
  ),
  ""Form not found""
)
"),"3")</f>
        <v>3</v>
      </c>
      <c r="M262" s="245" t="str">
        <f>IFERROR(__xludf.DUMMYFUNCTION("IFERROR(
  INDEX(
    FILTER(
      Transcription!$AJ:$AJ,
      TRIM(CLEAN(TEXT(Transcription!$F:$F, ""@""))) = TRIM(CLEAN(TEXT($D262, ""@""))),
      Transcription!$AO:$AO = 3
    ),
    1
  ),
  ""Not Found""
)
"),"https://drive.google.com/open?id=1SzwylRxSF3mWKyrcadtXt_1BodULYKyo")</f>
        <v>https://drive.google.com/open?id=1SzwylRxSF3mWKyrcadtXt_1BodULYKyo</v>
      </c>
      <c r="N2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TRIM(CLEAN(TEXT($D262, ""@""))),
      IMPORTRANGE(""https://docs.google.com/spreadsheets/d/1DccNxjBgurEr0ABkI_"&amp;"rBagJT5phB5HaHG5N_mTm_BiA/edit?gid=1382299152#gid=1382299152"", ""Form responses 1!$Z:$Z"") = 4
    ),
    1
  ),
  ""Not Found""
)
"),"https://drive.google.com/open?id=1_G2BOr_j0joRtBd5RNLKSfYtaVe8ocKG")</f>
        <v>https://drive.google.com/open?id=1_G2BOr_j0joRtBd5RNLKSfYtaVe8ocKG</v>
      </c>
      <c r="O2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1!$E:$E"")=$D262) *
        (IMPORTRANGE(""https://docs.google.com/spreadsheets/d/161aHT6vVT3SLneTKD19N5qVWtnj_jIT8CSsOmUVKmaA"&amp;"/edit?gid=1761053510"",
          ""Haris_Form responses 1!$AQ:$AQ"")=4)
      ),
      1
    ),
    ""0""
  ),
  ""Form not found""
)
"),"4")</f>
        <v>4</v>
      </c>
      <c r="P262" s="245" t="str">
        <f>IFERROR(__xludf.DUMMYFUNCTION("IFERROR(
  INDEX(
    FILTER(
      Transcription!$AJ:$AJ,
      TRIM(CLEAN(TEXT(Transcription!$F:$F, ""@""))) = TRIM(CLEAN(TEXT($D262, ""@""))),
      Transcription!$AO:$AO = 4
    ),
    1
  ),
  ""Not Found""
)
"),"https://drive.google.com/open?id=1DTdQvxm6qNARzmz70rsFDuKURaE-EPn285CpvtHeIhc")</f>
        <v>https://drive.google.com/open?id=1DTdQvxm6qNARzmz70rsFDuKURaE-EPn285CpvtHeIhc</v>
      </c>
      <c r="Q2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TRIM(CLEAN(TEXT($D262, ""@""))),
      IMPORTRANGE(""https://docs.google.com/spreadsheets/d/1DccNxjBgurEr0ABkI_"&amp;"rBagJT5phB5HaHG5N_mTm_BiA/edit?gid=1382299152#gid=1382299152"", ""Form responses 1!$Z:$Z"") = 5
    ),
    1
  ),
  ""Not Found""
)
"),"https://drive.google.com/open?id=13CH1I76Dk4gkdAaNtcavStv_XaBszo7f")</f>
        <v>https://drive.google.com/open?id=13CH1I76Dk4gkdAaNtcavStv_XaBszo7f</v>
      </c>
      <c r="R2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1!$E:$E"")=$D262) *
        (IMPORTRANGE(""https://docs.google.com/spreadsheets/d/161aHT6vVT3SLneTKD19N5qVWtnj_jIT8CSsOmUVKmaA"&amp;"/edit?gid=1761053510"",
          ""Haris_Form responses 1!$AQ:$AQ"")=5)
      ),
      1
    ),
    ""0""
  ),
  ""Form not found""
)
"),"5")</f>
        <v>5</v>
      </c>
      <c r="S262" s="245" t="str">
        <f>IFERROR(__xludf.DUMMYFUNCTION("IFERROR(
  INDEX(
    FILTER(
      Transcription!$AJ:$AJ,
      TRIM(CLEAN(TEXT(Transcription!$F:$F, ""@""))) = TRIM(CLEAN(TEXT($D262, ""@""))),
      Transcription!$AO:$AO = 5
    ),
    1
  ),
  ""Not Found""
)
"),"https://drive.google.com/open?id=1AP9Ghri12ceKq-AkJMKoA1SeeXfe0ruP6ALiaKkfEFg")</f>
        <v>https://drive.google.com/open?id=1AP9Ghri12ceKq-AkJMKoA1SeeXfe0ruP6ALiaKkfEFg</v>
      </c>
      <c r="T26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TRIM(CLEAN(TEXT($D262, ""@""))),
      IMPORTRANGE(""https://docs.google.com/spreadsheets/d/1DccNxjBgurEr0ABkI_"&amp;"rBagJT5phB5HaHG5N_mTm_BiA/edit?gid=1382299152#gid=1382299152"", ""Form responses 1!$Z:$Z"") = 6
    ),
    1
  ),
  ""Not Found""
)
"),"https://drive.google.com/open?id=1NR-kcIAr831XCxGTtmtWbiczlsPv-zg8")</f>
        <v>https://drive.google.com/open?id=1NR-kcIAr831XCxGTtmtWbiczlsPv-zg8</v>
      </c>
      <c r="U26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1!$E:$E"")=$D262) *
        (IMPORTRANGE(""https://docs.google.com/spreadsheets/d/161aHT6vVT3SLneTKD19N5qVWtnj_jIT8CSsOmUVKmaA"&amp;"/edit?gid=1761053510"",
          ""Haris_Form responses 1!$AQ:$AQ"")=6)
      ),
      1
    ),
    ""0""
  ),
  ""Form not found""
)
"),"6")</f>
        <v>6</v>
      </c>
      <c r="V262" s="245" t="str">
        <f>IFERROR(__xludf.DUMMYFUNCTION("IFERROR(
  INDEX(
    FILTER(
      Transcription!$AJ:$AJ,
      TRIM(CLEAN(TEXT(Transcription!$F:$F, ""@""))) = TRIM(CLEAN(TEXT($D262, ""@""))),
      Transcription!$AO:$AO = 6
    ),
    1
  ),
  ""Not Found""
)
"),"https://drive.google.com/open?id=1pTrem56gwLRCiTBgd5j6cMnKOwCwaYcV")</f>
        <v>https://drive.google.com/open?id=1pTrem56gwLRCiTBgd5j6cMnKOwCwaYcV</v>
      </c>
      <c r="Z262" s="10">
        <f t="shared" si="1"/>
        <v>4</v>
      </c>
      <c r="AA262" s="10">
        <f t="shared" si="2"/>
        <v>0</v>
      </c>
    </row>
    <row r="263">
      <c r="A263" s="8" t="str">
        <f>VLOOKUP($D263,Sheet6!$B:$G,5,FALSE)</f>
        <v>Faisalabad</v>
      </c>
      <c r="B263" s="232" t="str">
        <f>VLOOKUP($D263,Sheet6!$B:$G,4,FALSE)</f>
        <v>Women Secular No Info Share</v>
      </c>
      <c r="C263" s="8">
        <v>5.0</v>
      </c>
      <c r="D263" s="8" t="s">
        <v>3961</v>
      </c>
      <c r="E2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TRIM(CLEAN(TEXT($D263, ""@""))),
      IMPORTRANGE(""https://docs.google.com/spreadsheets/d/1DccNxjBgurEr0ABkI_"&amp;"rBagJT5phB5HaHG5N_mTm_BiA/edit?gid=1382299152#gid=1382299152"", ""Form responses 1!$Z:$Z"") = 1
    ),
    1
  ),
  ""Not Found""
)
"),"https://drive.google.com/open?id=1PbDMYc8teiwDqab_qE-ULfvZoGAdbVBg")</f>
        <v>https://drive.google.com/open?id=1PbDMYc8teiwDqab_qE-ULfvZoGAdbVBg</v>
      </c>
      <c r="F2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1!$E:$E"")=$D263) *
        (IMPORTRANGE(""https://docs.google.com/spreadsheets/d/161aHT6vVT3SLneTKD19N5qVWtnj_jIT8CSsOmUVKmaA"&amp;"/edit?gid=1761053510"",
          ""Haris_Form responses 1!$AQ:$AQ"")=1)
      ),
      1
    ),
    ""0""
  ),
  ""Form not found""
)
"),"1")</f>
        <v>1</v>
      </c>
      <c r="G263" s="245" t="str">
        <f>IFERROR(__xludf.DUMMYFUNCTION("IFERROR(
  INDEX(
    FILTER(
      Transcription!$AJ:$AJ,
      TRIM(CLEAN(TEXT(Transcription!$F:$F, ""@""))) = TRIM(CLEAN(TEXT($D263, ""@""))),
      Transcription!$AO:$AO = 1
    ),
    1
  ),
  ""Not Found""
)
"),"https://drive.google.com/open?id=1sLpNmym_38bQ8IBC33KmBqatOExWDxWoxKnOORAGjic")</f>
        <v>https://drive.google.com/open?id=1sLpNmym_38bQ8IBC33KmBqatOExWDxWoxKnOORAGjic</v>
      </c>
      <c r="H2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TRIM(CLEAN(TEXT($D263, ""@""))),
      IMPORTRANGE(""https://docs.google.com/spreadsheets/d/1DccNxjBgurEr0ABkI_"&amp;"rBagJT5phB5HaHG5N_mTm_BiA/edit?gid=1382299152#gid=1382299152"", ""Form responses 1!$Z:$Z"") = 2
    ),
    1
  ),
  ""Not Found""
)
"),"https://drive.google.com/open?id=1SPQizj7jxtLanLXCPF2VGNYqsdlTOmzc")</f>
        <v>https://drive.google.com/open?id=1SPQizj7jxtLanLXCPF2VGNYqsdlTOmzc</v>
      </c>
      <c r="I2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1!$E:$E"")=$D263) *
        (IMPORTRANGE(""https://docs.google.com/spreadsheets/d/161aHT6vVT3SLneTKD19N5qVWtnj_jIT8CSsOmUVKmaA"&amp;"/edit?gid=1761053510"",
          ""Haris_Form responses 1!$AQ:$AQ"")=2)
      ),
      1
    ),
    ""0""
  ),
  ""Form not found""
)
"),"2")</f>
        <v>2</v>
      </c>
      <c r="J263" s="245" t="str">
        <f>IFERROR(__xludf.DUMMYFUNCTION("IFERROR(
  INDEX(
    FILTER(
      Transcription!$AJ:$AJ,
      TRIM(CLEAN(TEXT(Transcription!$F:$F, ""@""))) = TRIM(CLEAN(TEXT($D263, ""@""))),
      Transcription!$AO:$AO = 2
    ),
    1
  ),
  ""Not Found""
)
"),"https://drive.google.com/open?id=1jATPcr-gBCzq8HNOXJOeaiBSujWvcoO8")</f>
        <v>https://drive.google.com/open?id=1jATPcr-gBCzq8HNOXJOeaiBSujWvcoO8</v>
      </c>
      <c r="K2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TRIM(CLEAN(TEXT($D263, ""@""))),
      IMPORTRANGE(""https://docs.google.com/spreadsheets/d/1DccNxjBgurEr0ABkI_"&amp;"rBagJT5phB5HaHG5N_mTm_BiA/edit?gid=1382299152#gid=1382299152"", ""Form responses 1!$Z:$Z"") = 3
    ),
    1
  ),
  ""Not Found""
)
"),"https://drive.google.com/open?id=1dEdHtTNYeuUU7D0vbwPZtQXS0x6MBQAb")</f>
        <v>https://drive.google.com/open?id=1dEdHtTNYeuUU7D0vbwPZtQXS0x6MBQAb</v>
      </c>
      <c r="L2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1!$E:$E"")=$D263) *
        (IMPORTRANGE(""https://docs.google.com/spreadsheets/d/161aHT6vVT3SLneTKD19N5qVWtnj_jIT8CSsOmUVKmaA"&amp;"/edit?gid=1761053510"",
          ""Haris_Form responses 1!$AQ:$AQ"")=3)
      ),
      1
    ),
    ""0""
  ),
  ""Form not found""
)
"),"3")</f>
        <v>3</v>
      </c>
      <c r="M263" s="245" t="str">
        <f>IFERROR(__xludf.DUMMYFUNCTION("IFERROR(
  INDEX(
    FILTER(
      Transcription!$AJ:$AJ,
      TRIM(CLEAN(TEXT(Transcription!$F:$F, ""@""))) = TRIM(CLEAN(TEXT($D263, ""@""))),
      Transcription!$AO:$AO = 3
    ),
    1
  ),
  ""Not Found""
)
"),"https://drive.google.com/open?id=1evVwzTSqk8ppYMniVTueceneqgwi-1OXPA42UwQy2c0")</f>
        <v>https://drive.google.com/open?id=1evVwzTSqk8ppYMniVTueceneqgwi-1OXPA42UwQy2c0</v>
      </c>
      <c r="N2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TRIM(CLEAN(TEXT($D263, ""@""))),
      IMPORTRANGE(""https://docs.google.com/spreadsheets/d/1DccNxjBgurEr0ABkI_"&amp;"rBagJT5phB5HaHG5N_mTm_BiA/edit?gid=1382299152#gid=1382299152"", ""Form responses 1!$Z:$Z"") = 4
    ),
    1
  ),
  ""Not Found""
)
"),"https://drive.google.com/open?id=1x_EafIOmz5Osb1q61F2i-oRPLnqhfIrF")</f>
        <v>https://drive.google.com/open?id=1x_EafIOmz5Osb1q61F2i-oRPLnqhfIrF</v>
      </c>
      <c r="O2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1!$E:$E"")=$D263) *
        (IMPORTRANGE(""https://docs.google.com/spreadsheets/d/161aHT6vVT3SLneTKD19N5qVWtnj_jIT8CSsOmUVKmaA"&amp;"/edit?gid=1761053510"",
          ""Haris_Form responses 1!$AQ:$AQ"")=4)
      ),
      1
    ),
    ""0""
  ),
  ""Form not found""
)
"),"4")</f>
        <v>4</v>
      </c>
      <c r="P263" s="245" t="str">
        <f>IFERROR(__xludf.DUMMYFUNCTION("IFERROR(
  INDEX(
    FILTER(
      Transcription!$AJ:$AJ,
      TRIM(CLEAN(TEXT(Transcription!$F:$F, ""@""))) = TRIM(CLEAN(TEXT($D263, ""@""))),
      Transcription!$AO:$AO = 4
    ),
    1
  ),
  ""Not Found""
)
"),"https://drive.google.com/open?id=1mp7FqIMstfzPcoaoCLnPa-HfrE1vB_MX3uNHVOG1Jmc")</f>
        <v>https://drive.google.com/open?id=1mp7FqIMstfzPcoaoCLnPa-HfrE1vB_MX3uNHVOG1Jmc</v>
      </c>
      <c r="Q26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TRIM(CLEAN(TEXT($D263, ""@""))),
      IMPORTRANGE(""https://docs.google.com/spreadsheets/d/1DccNxjBgurEr0ABkI_"&amp;"rBagJT5phB5HaHG5N_mTm_BiA/edit?gid=1382299152#gid=1382299152"", ""Form responses 1!$Z:$Z"") = 5
    ),
    1
  ),
  ""Not Found""
)
"),"https://drive.google.com/open?id=18q_zFNfDzo2wLLW34d5Wa9VePL1IZRYh")</f>
        <v>https://drive.google.com/open?id=18q_zFNfDzo2wLLW34d5Wa9VePL1IZRYh</v>
      </c>
      <c r="R2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1!$E:$E"")=$D263) *
        (IMPORTRANGE(""https://docs.google.com/spreadsheets/d/161aHT6vVT3SLneTKD19N5qVWtnj_jIT8CSsOmUVKmaA"&amp;"/edit?gid=1761053510"",
          ""Haris_Form responses 1!$AQ:$AQ"")=5)
      ),
      1
    ),
    ""0""
  ),
  ""Form not found""
)
"),"5")</f>
        <v>5</v>
      </c>
      <c r="S263" s="245" t="str">
        <f>IFERROR(__xludf.DUMMYFUNCTION("IFERROR(
  INDEX(
    FILTER(
      Transcription!$AJ:$AJ,
      TRIM(CLEAN(TEXT(Transcription!$F:$F, ""@""))) = TRIM(CLEAN(TEXT($D263, ""@""))),
      Transcription!$AO:$AO = 5
    ),
    1
  ),
  ""Not Found""
)
"),"https://drive.google.com/open?id=1TjlA6H4vePU_EUPebFfj_j5NH9jdnrlGg7rl5FOAKSo")</f>
        <v>https://drive.google.com/open?id=1TjlA6H4vePU_EUPebFfj_j5NH9jdnrlGg7rl5FOAKSo</v>
      </c>
      <c r="T26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TRIM(CLEAN(TEXT($D263, ""@""))),
      IMPORTRANGE(""https://docs.google.com/spreadsheets/d/1DccNxjBgurEr0ABkI_"&amp;"rBagJT5phB5HaHG5N_mTm_BiA/edit?gid=1382299152#gid=1382299152"", ""Form responses 1!$Z:$Z"") = 6
    ),
    1
  ),
  ""Not Found""
)
"),"Not Found")</f>
        <v>Not Found</v>
      </c>
      <c r="U26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1!$E:$E"")=$D263) *
        (IMPORTRANGE(""https://docs.google.com/spreadsheets/d/161aHT6vVT3SLneTKD19N5qVWtnj_jIT8CSsOmUVKmaA"&amp;"/edit?gid=1761053510"",
          ""Haris_Form responses 1!$AQ:$AQ"")=6)
      ),
      1
    ),
    ""0""
  ),
  ""Form not found""
)
"),"Form not found")</f>
        <v>Form not found</v>
      </c>
      <c r="V263" s="247" t="str">
        <f>IFERROR(__xludf.DUMMYFUNCTION("IFERROR(
  INDEX(
    FILTER(
      Transcription!$AJ:$AJ,
      TRIM(CLEAN(TEXT(Transcription!$F:$F, ""@""))) = TRIM(CLEAN(TEXT($D263, ""@""))),
      Transcription!$AO:$AO = 6
    ),
    1
  ),
  ""Not Found""
)
"),"Not Found")</f>
        <v>Not Found</v>
      </c>
      <c r="Z263" s="10">
        <f t="shared" si="1"/>
        <v>5</v>
      </c>
      <c r="AA263" s="10">
        <f t="shared" si="2"/>
        <v>0</v>
      </c>
    </row>
    <row r="264">
      <c r="A264" s="8" t="str">
        <f>VLOOKUP($D264,Sheet6!$B:$G,5,FALSE)</f>
        <v>Faisalabad</v>
      </c>
      <c r="B264" s="232" t="str">
        <f>VLOOKUP($D264,Sheet6!$B:$G,4,FALSE)</f>
        <v>Community Secular Info Share</v>
      </c>
      <c r="C264" s="8">
        <v>3.0</v>
      </c>
      <c r="D264" s="8" t="s">
        <v>4005</v>
      </c>
      <c r="E2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TRIM(CLEAN(TEXT($D264, ""@""))),
      IMPORTRANGE(""https://docs.google.com/spreadsheets/d/1DccNxjBgurEr0ABkI_"&amp;"rBagJT5phB5HaHG5N_mTm_BiA/edit?gid=1382299152#gid=1382299152"", ""Form responses 1!$Z:$Z"") = 1
    ),
    1
  ),
  ""Not Found""
)
"),"https://drive.google.com/open?id=1lO9lMOApREQcUv65YSDtWMYhG8XnVI0x")</f>
        <v>https://drive.google.com/open?id=1lO9lMOApREQcUv65YSDtWMYhG8XnVI0x</v>
      </c>
      <c r="F2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1!$E:$E"")=$D264) *
        (IMPORTRANGE(""https://docs.google.com/spreadsheets/d/161aHT6vVT3SLneTKD19N5qVWtnj_jIT8CSsOmUVKmaA"&amp;"/edit?gid=1761053510"",
          ""Haris_Form responses 1!$AQ:$AQ"")=1)
      ),
      1
    ),
    ""0""
  ),
  ""Form not found""
)
"),"1")</f>
        <v>1</v>
      </c>
      <c r="G264" s="245" t="str">
        <f>IFERROR(__xludf.DUMMYFUNCTION("IFERROR(
  INDEX(
    FILTER(
      Transcription!$AJ:$AJ,
      TRIM(CLEAN(TEXT(Transcription!$F:$F, ""@""))) = TRIM(CLEAN(TEXT($D264, ""@""))),
      Transcription!$AO:$AO = 1
    ),
    1
  ),
  ""Not Found""
)
"),"https://drive.google.com/open?id=1PlNpMQWoVTPj0RqA3c-rd8eeeniccl_g")</f>
        <v>https://drive.google.com/open?id=1PlNpMQWoVTPj0RqA3c-rd8eeeniccl_g</v>
      </c>
      <c r="H2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TRIM(CLEAN(TEXT($D264, ""@""))),
      IMPORTRANGE(""https://docs.google.com/spreadsheets/d/1DccNxjBgurEr0ABkI_"&amp;"rBagJT5phB5HaHG5N_mTm_BiA/edit?gid=1382299152#gid=1382299152"", ""Form responses 1!$Z:$Z"") = 2
    ),
    1
  ),
  ""Not Found""
)
"),"https://drive.google.com/open?id=1XLSWZFgoVv755WqT-6z2U_rNbOx9r2xj")</f>
        <v>https://drive.google.com/open?id=1XLSWZFgoVv755WqT-6z2U_rNbOx9r2xj</v>
      </c>
      <c r="I2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1!$E:$E"")=$D264) *
        (IMPORTRANGE(""https://docs.google.com/spreadsheets/d/161aHT6vVT3SLneTKD19N5qVWtnj_jIT8CSsOmUVKmaA"&amp;"/edit?gid=1761053510"",
          ""Haris_Form responses 1!$AQ:$AQ"")=2)
      ),
      1
    ),
    ""0""
  ),
  ""Form not found""
)
"),"2")</f>
        <v>2</v>
      </c>
      <c r="J264" s="245" t="str">
        <f>IFERROR(__xludf.DUMMYFUNCTION("IFERROR(
  INDEX(
    FILTER(
      Transcription!$AJ:$AJ,
      TRIM(CLEAN(TEXT(Transcription!$F:$F, ""@""))) = TRIM(CLEAN(TEXT($D264, ""@""))),
      Transcription!$AO:$AO = 2
    ),
    1
  ),
  ""Not Found""
)
"),"https://drive.google.com/open?id=1YXBC3NlOIdQ2gA231B6ugUZJZjc_Qqny")</f>
        <v>https://drive.google.com/open?id=1YXBC3NlOIdQ2gA231B6ugUZJZjc_Qqny</v>
      </c>
      <c r="K26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TRIM(CLEAN(TEXT($D264, ""@""))),
      IMPORTRANGE(""https://docs.google.com/spreadsheets/d/1DccNxjBgurEr0ABkI_"&amp;"rBagJT5phB5HaHG5N_mTm_BiA/edit?gid=1382299152#gid=1382299152"", ""Form responses 1!$Z:$Z"") = 3
    ),
    1
  ),
  ""Not Found""
)
"),"https://drive.google.com/open?id=16opNfCyWSZ7eYagh8AfH-ZMP6sUGA2g9")</f>
        <v>https://drive.google.com/open?id=16opNfCyWSZ7eYagh8AfH-ZMP6sUGA2g9</v>
      </c>
      <c r="L2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1!$E:$E"")=$D264) *
        (IMPORTRANGE(""https://docs.google.com/spreadsheets/d/161aHT6vVT3SLneTKD19N5qVWtnj_jIT8CSsOmUVKmaA"&amp;"/edit?gid=1761053510"",
          ""Haris_Form responses 1!$AQ:$AQ"")=3)
      ),
      1
    ),
    ""0""
  ),
  ""Form not found""
)
"),"3")</f>
        <v>3</v>
      </c>
      <c r="M264" s="245" t="str">
        <f>IFERROR(__xludf.DUMMYFUNCTION("IFERROR(
  INDEX(
    FILTER(
      Transcription!$AJ:$AJ,
      TRIM(CLEAN(TEXT(Transcription!$F:$F, ""@""))) = TRIM(CLEAN(TEXT($D264, ""@""))),
      Transcription!$AO:$AO = 3
    ),
    1
  ),
  ""Not Found""
)
"),"https://drive.google.com/open?id=1v8PtdIXA2GLy0WdjGkYSSjJZFVKwAhCu")</f>
        <v>https://drive.google.com/open?id=1v8PtdIXA2GLy0WdjGkYSSjJZFVKwAhCu</v>
      </c>
      <c r="N26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TRIM(CLEAN(TEXT($D264, ""@""))),
      IMPORTRANGE(""https://docs.google.com/spreadsheets/d/1DccNxjBgurEr0ABkI_"&amp;"rBagJT5phB5HaHG5N_mTm_BiA/edit?gid=1382299152#gid=1382299152"", ""Form responses 1!$Z:$Z"") = 4
    ),
    1
  ),
  ""Not Found""
)
"),"Not Found")</f>
        <v>Not Found</v>
      </c>
      <c r="O2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1!$E:$E"")=$D264) *
        (IMPORTRANGE(""https://docs.google.com/spreadsheets/d/161aHT6vVT3SLneTKD19N5qVWtnj_jIT8CSsOmUVKmaA"&amp;"/edit?gid=1761053510"",
          ""Haris_Form responses 1!$AQ:$AQ"")=4)
      ),
      1
    ),
    ""0""
  ),
  ""Form not found""
)
"),"Form not found")</f>
        <v>Form not found</v>
      </c>
      <c r="P264" s="247" t="str">
        <f>IFERROR(__xludf.DUMMYFUNCTION("IFERROR(
  INDEX(
    FILTER(
      Transcription!$AJ:$AJ,
      TRIM(CLEAN(TEXT(Transcription!$F:$F, ""@""))) = TRIM(CLEAN(TEXT($D264, ""@""))),
      Transcription!$AO:$AO = 4
    ),
    1
  ),
  ""Not Found""
)
"),"Not Found")</f>
        <v>Not Found</v>
      </c>
      <c r="Q26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TRIM(CLEAN(TEXT($D264, ""@""))),
      IMPORTRANGE(""https://docs.google.com/spreadsheets/d/1DccNxjBgurEr0ABkI_"&amp;"rBagJT5phB5HaHG5N_mTm_BiA/edit?gid=1382299152#gid=1382299152"", ""Form responses 1!$Z:$Z"") = 5
    ),
    1
  ),
  ""Not Found""
)
"),"Not Found")</f>
        <v>Not Found</v>
      </c>
      <c r="R2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1!$E:$E"")=$D264) *
        (IMPORTRANGE(""https://docs.google.com/spreadsheets/d/161aHT6vVT3SLneTKD19N5qVWtnj_jIT8CSsOmUVKmaA"&amp;"/edit?gid=1761053510"",
          ""Haris_Form responses 1!$AQ:$AQ"")=5)
      ),
      1
    ),
    ""0""
  ),
  ""Form not found""
)
"),"Form not found")</f>
        <v>Form not found</v>
      </c>
      <c r="S264" s="247" t="str">
        <f>IFERROR(__xludf.DUMMYFUNCTION("IFERROR(
  INDEX(
    FILTER(
      Transcription!$AJ:$AJ,
      TRIM(CLEAN(TEXT(Transcription!$F:$F, ""@""))) = TRIM(CLEAN(TEXT($D264, ""@""))),
      Transcription!$AO:$AO = 5
    ),
    1
  ),
  ""Not Found""
)
"),"Not Found")</f>
        <v>Not Found</v>
      </c>
      <c r="T26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TRIM(CLEAN(TEXT($D264, ""@""))),
      IMPORTRANGE(""https://docs.google.com/spreadsheets/d/1DccNxjBgurEr0ABkI_"&amp;"rBagJT5phB5HaHG5N_mTm_BiA/edit?gid=1382299152#gid=1382299152"", ""Form responses 1!$Z:$Z"") = 6
    ),
    1
  ),
  ""Not Found""
)
"),"Not Found")</f>
        <v>Not Found</v>
      </c>
      <c r="U26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1!$E:$E"")=$D264) *
        (IMPORTRANGE(""https://docs.google.com/spreadsheets/d/161aHT6vVT3SLneTKD19N5qVWtnj_jIT8CSsOmUVKmaA"&amp;"/edit?gid=1761053510"",
          ""Haris_Form responses 1!$AQ:$AQ"")=6)
      ),
      1
    ),
    ""0""
  ),
  ""Form not found""
)
"),"Form not found")</f>
        <v>Form not found</v>
      </c>
      <c r="V264" s="247" t="str">
        <f>IFERROR(__xludf.DUMMYFUNCTION("IFERROR(
  INDEX(
    FILTER(
      Transcription!$AJ:$AJ,
      TRIM(CLEAN(TEXT(Transcription!$F:$F, ""@""))) = TRIM(CLEAN(TEXT($D264, ""@""))),
      Transcription!$AO:$AO = 6
    ),
    1
  ),
  ""Not Found""
)
"),"Not Found")</f>
        <v>Not Found</v>
      </c>
      <c r="Z264" s="10">
        <f t="shared" si="1"/>
        <v>3</v>
      </c>
      <c r="AA264" s="10">
        <f t="shared" si="2"/>
        <v>0</v>
      </c>
    </row>
    <row r="265">
      <c r="A265" s="8" t="str">
        <f>VLOOKUP($D265,Sheet6!$B:$G,5,FALSE)</f>
        <v>Faisalabad</v>
      </c>
      <c r="B265" s="232" t="str">
        <f>VLOOKUP($D265,Sheet6!$B:$G,4,FALSE)</f>
        <v>Women Religious No Info Share</v>
      </c>
      <c r="C265" s="8">
        <v>5.0</v>
      </c>
      <c r="D265" s="8" t="s">
        <v>4695</v>
      </c>
      <c r="E2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TRIM(CLEAN(TEXT($D265, ""@""))),
      IMPORTRANGE(""https://docs.google.com/spreadsheets/d/1DccNxjBgurEr0ABkI_"&amp;"rBagJT5phB5HaHG5N_mTm_BiA/edit?gid=1382299152#gid=1382299152"", ""Form responses 1!$Z:$Z"") = 1
    ),
    1
  ),
  ""Not Found""
)
"),"https://drive.google.com/open?id=1ur7G3AUkNdnrOZFzwEYR3N_uPWwlF6xE")</f>
        <v>https://drive.google.com/open?id=1ur7G3AUkNdnrOZFzwEYR3N_uPWwlF6xE</v>
      </c>
      <c r="F2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1!$E:$E"")=$D265) *
        (IMPORTRANGE(""https://docs.google.com/spreadsheets/d/161aHT6vVT3SLneTKD19N5qVWtnj_jIT8CSsOmUVKmaA"&amp;"/edit?gid=1761053510"",
          ""Haris_Form responses 1!$AQ:$AQ"")=1)
      ),
      1
    ),
    ""0""
  ),
  ""Form not found""
)
"),"1")</f>
        <v>1</v>
      </c>
      <c r="G265" s="245" t="str">
        <f>IFERROR(__xludf.DUMMYFUNCTION("IFERROR(
  INDEX(
    FILTER(
      Transcription!$AJ:$AJ,
      TRIM(CLEAN(TEXT(Transcription!$F:$F, ""@""))) = TRIM(CLEAN(TEXT($D265, ""@""))),
      Transcription!$AO:$AO = 1
    ),
    1
  ),
  ""Not Found""
)
"),"https://drive.google.com/open?id=1sBGEpw7xq2HNHQAxpYQtRgFrxPcf79bC")</f>
        <v>https://drive.google.com/open?id=1sBGEpw7xq2HNHQAxpYQtRgFrxPcf79bC</v>
      </c>
      <c r="H2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TRIM(CLEAN(TEXT($D265, ""@""))),
      IMPORTRANGE(""https://docs.google.com/spreadsheets/d/1DccNxjBgurEr0ABkI_"&amp;"rBagJT5phB5HaHG5N_mTm_BiA/edit?gid=1382299152#gid=1382299152"", ""Form responses 1!$Z:$Z"") = 2
    ),
    1
  ),
  ""Not Found""
)
"),"https://drive.google.com/open?id=1XYvwuRh26LZfVIC9VBpKxGQ0r0u8-uLq")</f>
        <v>https://drive.google.com/open?id=1XYvwuRh26LZfVIC9VBpKxGQ0r0u8-uLq</v>
      </c>
      <c r="I2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1!$E:$E"")=$D265) *
        (IMPORTRANGE(""https://docs.google.com/spreadsheets/d/161aHT6vVT3SLneTKD19N5qVWtnj_jIT8CSsOmUVKmaA"&amp;"/edit?gid=1761053510"",
          ""Haris_Form responses 1!$AQ:$AQ"")=2)
      ),
      1
    ),
    ""0""
  ),
  ""Form not found""
)
"),"2")</f>
        <v>2</v>
      </c>
      <c r="J265" s="245" t="str">
        <f>IFERROR(__xludf.DUMMYFUNCTION("IFERROR(
  INDEX(
    FILTER(
      Transcription!$AJ:$AJ,
      TRIM(CLEAN(TEXT(Transcription!$F:$F, ""@""))) = TRIM(CLEAN(TEXT($D265, ""@""))),
      Transcription!$AO:$AO = 2
    ),
    1
  ),
  ""Not Found""
)
"),"https://drive.google.com/open?id=1X590KD6YZjW9YirZux1ukNMRvDngbNTg")</f>
        <v>https://drive.google.com/open?id=1X590KD6YZjW9YirZux1ukNMRvDngbNTg</v>
      </c>
      <c r="K2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TRIM(CLEAN(TEXT($D265, ""@""))),
      IMPORTRANGE(""https://docs.google.com/spreadsheets/d/1DccNxjBgurEr0ABkI_"&amp;"rBagJT5phB5HaHG5N_mTm_BiA/edit?gid=1382299152#gid=1382299152"", ""Form responses 1!$Z:$Z"") = 3
    ),
    1
  ),
  ""Not Found""
)
"),"https://drive.google.com/open?id=1C1DgZiEGwT6hUMaJT4M9Eqx7bvN2Wgrk")</f>
        <v>https://drive.google.com/open?id=1C1DgZiEGwT6hUMaJT4M9Eqx7bvN2Wgrk</v>
      </c>
      <c r="L2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1!$E:$E"")=$D265) *
        (IMPORTRANGE(""https://docs.google.com/spreadsheets/d/161aHT6vVT3SLneTKD19N5qVWtnj_jIT8CSsOmUVKmaA"&amp;"/edit?gid=1761053510"",
          ""Haris_Form responses 1!$AQ:$AQ"")=3)
      ),
      1
    ),
    ""0""
  ),
  ""Form not found""
)
"),"3")</f>
        <v>3</v>
      </c>
      <c r="M265" s="245" t="str">
        <f>IFERROR(__xludf.DUMMYFUNCTION("IFERROR(
  INDEX(
    FILTER(
      Transcription!$AJ:$AJ,
      TRIM(CLEAN(TEXT(Transcription!$F:$F, ""@""))) = TRIM(CLEAN(TEXT($D265, ""@""))),
      Transcription!$AO:$AO = 3
    ),
    1
  ),
  ""Not Found""
)
"),"https://drive.google.com/open?id=1TyKm8O6GmPjB-ip7i9IfHNaO_PknXT4w")</f>
        <v>https://drive.google.com/open?id=1TyKm8O6GmPjB-ip7i9IfHNaO_PknXT4w</v>
      </c>
      <c r="N2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TRIM(CLEAN(TEXT($D265, ""@""))),
      IMPORTRANGE(""https://docs.google.com/spreadsheets/d/1DccNxjBgurEr0ABkI_"&amp;"rBagJT5phB5HaHG5N_mTm_BiA/edit?gid=1382299152#gid=1382299152"", ""Form responses 1!$Z:$Z"") = 4
    ),
    1
  ),
  ""Not Found""
)
"),"https://drive.google.com/open?id=1HVneWpebzcpx-hkem7Cm6BUqxPH3WX2g")</f>
        <v>https://drive.google.com/open?id=1HVneWpebzcpx-hkem7Cm6BUqxPH3WX2g</v>
      </c>
      <c r="O2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1!$E:$E"")=$D265) *
        (IMPORTRANGE(""https://docs.google.com/spreadsheets/d/161aHT6vVT3SLneTKD19N5qVWtnj_jIT8CSsOmUVKmaA"&amp;"/edit?gid=1761053510"",
          ""Haris_Form responses 1!$AQ:$AQ"")=4)
      ),
      1
    ),
    ""0""
  ),
  ""Form not found""
)
"),"4")</f>
        <v>4</v>
      </c>
      <c r="P265" s="245" t="str">
        <f>IFERROR(__xludf.DUMMYFUNCTION("IFERROR(
  INDEX(
    FILTER(
      Transcription!$AJ:$AJ,
      TRIM(CLEAN(TEXT(Transcription!$F:$F, ""@""))) = TRIM(CLEAN(TEXT($D265, ""@""))),
      Transcription!$AO:$AO = 4
    ),
    1
  ),
  ""Not Found""
)
"),"https://drive.google.com/open?id=1E2DcFA8OdpvOOcoHZRr2LSnGPvE83hFN")</f>
        <v>https://drive.google.com/open?id=1E2DcFA8OdpvOOcoHZRr2LSnGPvE83hFN</v>
      </c>
      <c r="Q26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TRIM(CLEAN(TEXT($D265, ""@""))),
      IMPORTRANGE(""https://docs.google.com/spreadsheets/d/1DccNxjBgurEr0ABkI_"&amp;"rBagJT5phB5HaHG5N_mTm_BiA/edit?gid=1382299152#gid=1382299152"", ""Form responses 1!$Z:$Z"") = 5
    ),
    1
  ),
  ""Not Found""
)
"),"https://drive.google.com/open?id=1Z76kVxHs2OZEszdt9g0k05dluBIYTFHN")</f>
        <v>https://drive.google.com/open?id=1Z76kVxHs2OZEszdt9g0k05dluBIYTFHN</v>
      </c>
      <c r="R2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1!$E:$E"")=$D265) *
        (IMPORTRANGE(""https://docs.google.com/spreadsheets/d/161aHT6vVT3SLneTKD19N5qVWtnj_jIT8CSsOmUVKmaA"&amp;"/edit?gid=1761053510"",
          ""Haris_Form responses 1!$AQ:$AQ"")=5)
      ),
      1
    ),
    ""0""
  ),
  ""Form not found""
)
"),"5")</f>
        <v>5</v>
      </c>
      <c r="S265" s="245" t="str">
        <f>IFERROR(__xludf.DUMMYFUNCTION("IFERROR(
  INDEX(
    FILTER(
      Transcription!$AJ:$AJ,
      TRIM(CLEAN(TEXT(Transcription!$F:$F, ""@""))) = TRIM(CLEAN(TEXT($D265, ""@""))),
      Transcription!$AO:$AO = 5
    ),
    1
  ),
  ""Not Found""
)
"),"https://drive.google.com/open?id=1biSZAJ8B9OhqZyvrJWtmhRiXbvJTx34E")</f>
        <v>https://drive.google.com/open?id=1biSZAJ8B9OhqZyvrJWtmhRiXbvJTx34E</v>
      </c>
      <c r="T26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TRIM(CLEAN(TEXT($D265, ""@""))),
      IMPORTRANGE(""https://docs.google.com/spreadsheets/d/1DccNxjBgurEr0ABkI_"&amp;"rBagJT5phB5HaHG5N_mTm_BiA/edit?gid=1382299152#gid=1382299152"", ""Form responses 1!$Z:$Z"") = 6
    ),
    1
  ),
  ""Not Found""
)
"),"Not Found")</f>
        <v>Not Found</v>
      </c>
      <c r="U26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1!$E:$E"")=$D265) *
        (IMPORTRANGE(""https://docs.google.com/spreadsheets/d/161aHT6vVT3SLneTKD19N5qVWtnj_jIT8CSsOmUVKmaA"&amp;"/edit?gid=1761053510"",
          ""Haris_Form responses 1!$AQ:$AQ"")=6)
      ),
      1
    ),
    ""0""
  ),
  ""Form not found""
)
"),"Form not found")</f>
        <v>Form not found</v>
      </c>
      <c r="V265" s="247" t="str">
        <f>IFERROR(__xludf.DUMMYFUNCTION("IFERROR(
  INDEX(
    FILTER(
      Transcription!$AJ:$AJ,
      TRIM(CLEAN(TEXT(Transcription!$F:$F, ""@""))) = TRIM(CLEAN(TEXT($D265, ""@""))),
      Transcription!$AO:$AO = 6
    ),
    1
  ),
  ""Not Found""
)
"),"Not Found")</f>
        <v>Not Found</v>
      </c>
      <c r="Z265" s="10">
        <f t="shared" si="1"/>
        <v>5</v>
      </c>
      <c r="AA265" s="10">
        <f t="shared" si="2"/>
        <v>0</v>
      </c>
    </row>
    <row r="266">
      <c r="A266" s="8" t="str">
        <f>VLOOKUP($D266,Sheet6!$B:$G,5,FALSE)</f>
        <v>Faisalabad</v>
      </c>
      <c r="B266" s="232" t="str">
        <f>VLOOKUP($D266,Sheet6!$B:$G,4,FALSE)</f>
        <v>Community Secular No Info Share</v>
      </c>
      <c r="C266" s="8">
        <v>4.0</v>
      </c>
      <c r="D266" s="8" t="s">
        <v>4128</v>
      </c>
      <c r="E26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TRIM(CLEAN(TEXT($D266, ""@""))),
      IMPORTRANGE(""https://docs.google.com/spreadsheets/d/1DccNxjBgurEr0ABkI_"&amp;"rBagJT5phB5HaHG5N_mTm_BiA/edit?gid=1382299152#gid=1382299152"", ""Form responses 1!$Z:$Z"") = 1
    ),
    1
  ),
  ""Not Found""
)
"),"Not Found")</f>
        <v>Not Found</v>
      </c>
      <c r="F2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1!$E:$E"")=$D266) *
        (IMPORTRANGE(""https://docs.google.com/spreadsheets/d/161aHT6vVT3SLneTKD19N5qVWtnj_jIT8CSsOmUVKmaA"&amp;"/edit?gid=1761053510"",
          ""Haris_Form responses 1!$AQ:$AQ"")=1)
      ),
      1
    ),
    ""0""
  ),
  ""Form not found""
)
"),"Form not found")</f>
        <v>Form not found</v>
      </c>
      <c r="G266" s="247" t="str">
        <f>IFERROR(__xludf.DUMMYFUNCTION("IFERROR(
  INDEX(
    FILTER(
      Transcription!$AJ:$AJ,
      TRIM(CLEAN(TEXT(Transcription!$F:$F, ""@""))) = TRIM(CLEAN(TEXT($D266, ""@""))),
      Transcription!$AO:$AO = 1
    ),
    1
  ),
  ""Not Found""
)
"),"Not Found")</f>
        <v>Not Found</v>
      </c>
      <c r="H2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TRIM(CLEAN(TEXT($D266, ""@""))),
      IMPORTRANGE(""https://docs.google.com/spreadsheets/d/1DccNxjBgurEr0ABkI_"&amp;"rBagJT5phB5HaHG5N_mTm_BiA/edit?gid=1382299152#gid=1382299152"", ""Form responses 1!$Z:$Z"") = 2
    ),
    1
  ),
  ""Not Found""
)
"),"https://drive.google.com/file/d/1Nk9Hjyb4j6QuLLf9MYw2OTkjmVfgjudm/view?usp=drive_link")</f>
        <v>https://drive.google.com/file/d/1Nk9Hjyb4j6QuLLf9MYw2OTkjmVfgjudm/view?usp=drive_link</v>
      </c>
      <c r="I2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1!$E:$E"")=$D266) *
        (IMPORTRANGE(""https://docs.google.com/spreadsheets/d/161aHT6vVT3SLneTKD19N5qVWtnj_jIT8CSsOmUVKmaA"&amp;"/edit?gid=1761053510"",
          ""Haris_Form responses 1!$AQ:$AQ"")=2)
      ),
      1
    ),
    ""0""
  ),
  ""Form not found""
)
"),"2")</f>
        <v>2</v>
      </c>
      <c r="J266" s="245" t="str">
        <f>IFERROR(__xludf.DUMMYFUNCTION("IFERROR(
  INDEX(
    FILTER(
      Transcription!$AJ:$AJ,
      TRIM(CLEAN(TEXT(Transcription!$F:$F, ""@""))) = TRIM(CLEAN(TEXT($D266, ""@""))),
      Transcription!$AO:$AO = 2
    ),
    1
  ),
  ""Not Found""
)
"),"https://drive.google.com/open?id=1p7FGfT-L8XHNRABE3sRpAvhv0IewsBLVn9Fvm-ucNsU")</f>
        <v>https://drive.google.com/open?id=1p7FGfT-L8XHNRABE3sRpAvhv0IewsBLVn9Fvm-ucNsU</v>
      </c>
      <c r="K2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TRIM(CLEAN(TEXT($D266, ""@""))),
      IMPORTRANGE(""https://docs.google.com/spreadsheets/d/1DccNxjBgurEr0ABkI_"&amp;"rBagJT5phB5HaHG5N_mTm_BiA/edit?gid=1382299152#gid=1382299152"", ""Form responses 1!$Z:$Z"") = 3
    ),
    1
  ),
  ""Not Found""
)
"),"https://drive.google.com/file/d/1cDijVK65A_xPZLYUX5hTQlhZIS4t-jWl/view?usp=drive_link")</f>
        <v>https://drive.google.com/file/d/1cDijVK65A_xPZLYUX5hTQlhZIS4t-jWl/view?usp=drive_link</v>
      </c>
      <c r="L2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1!$E:$E"")=$D266) *
        (IMPORTRANGE(""https://docs.google.com/spreadsheets/d/161aHT6vVT3SLneTKD19N5qVWtnj_jIT8CSsOmUVKmaA"&amp;"/edit?gid=1761053510"",
          ""Haris_Form responses 1!$AQ:$AQ"")=3)
      ),
      1
    ),
    ""0""
  ),
  ""Form not found""
)
"),"3")</f>
        <v>3</v>
      </c>
      <c r="M266" s="245" t="str">
        <f>IFERROR(__xludf.DUMMYFUNCTION("IFERROR(
  INDEX(
    FILTER(
      Transcription!$AJ:$AJ,
      TRIM(CLEAN(TEXT(Transcription!$F:$F, ""@""))) = TRIM(CLEAN(TEXT($D266, ""@""))),
      Transcription!$AO:$AO = 3
    ),
    1
  ),
  ""Not Found""
)
"),"https://drive.google.com/open?id=1UdH1828AOM6hA_gusH4HaQoLFlGBEZXV")</f>
        <v>https://drive.google.com/open?id=1UdH1828AOM6hA_gusH4HaQoLFlGBEZXV</v>
      </c>
      <c r="N26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TRIM(CLEAN(TEXT($D266, ""@""))),
      IMPORTRANGE(""https://docs.google.com/spreadsheets/d/1DccNxjBgurEr0ABkI_"&amp;"rBagJT5phB5HaHG5N_mTm_BiA/edit?gid=1382299152#gid=1382299152"", ""Form responses 1!$Z:$Z"") = 4
    ),
    1
  ),
  ""Not Found""
)
"),"Not Found")</f>
        <v>Not Found</v>
      </c>
      <c r="O2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1!$E:$E"")=$D266) *
        (IMPORTRANGE(""https://docs.google.com/spreadsheets/d/161aHT6vVT3SLneTKD19N5qVWtnj_jIT8CSsOmUVKmaA"&amp;"/edit?gid=1761053510"",
          ""Haris_Form responses 1!$AQ:$AQ"")=4)
      ),
      1
    ),
    ""0""
  ),
  ""Form not found""
)
"),"Form not found")</f>
        <v>Form not found</v>
      </c>
      <c r="P266" s="247" t="str">
        <f>IFERROR(__xludf.DUMMYFUNCTION("IFERROR(
  INDEX(
    FILTER(
      Transcription!$AJ:$AJ,
      TRIM(CLEAN(TEXT(Transcription!$F:$F, ""@""))) = TRIM(CLEAN(TEXT($D266, ""@""))),
      Transcription!$AO:$AO = 4
    ),
    1
  ),
  ""Not Found""
)
"),"Not Found")</f>
        <v>Not Found</v>
      </c>
      <c r="Q2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TRIM(CLEAN(TEXT($D266, ""@""))),
      IMPORTRANGE(""https://docs.google.com/spreadsheets/d/1DccNxjBgurEr0ABkI_"&amp;"rBagJT5phB5HaHG5N_mTm_BiA/edit?gid=1382299152#gid=1382299152"", ""Form responses 1!$Z:$Z"") = 5
    ),
    1
  ),
  ""Not Found""
)
"),"https://drive.google.com/file/d/11lRW_1ATkn76ogR1azGRSE0utj-xuwri/view?usp=drive_link")</f>
        <v>https://drive.google.com/file/d/11lRW_1ATkn76ogR1azGRSE0utj-xuwri/view?usp=drive_link</v>
      </c>
      <c r="R2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1!$E:$E"")=$D266) *
        (IMPORTRANGE(""https://docs.google.com/spreadsheets/d/161aHT6vVT3SLneTKD19N5qVWtnj_jIT8CSsOmUVKmaA"&amp;"/edit?gid=1761053510"",
          ""Haris_Form responses 1!$AQ:$AQ"")=5)
      ),
      1
    ),
    ""0""
  ),
  ""Form not found""
)
"),"5")</f>
        <v>5</v>
      </c>
      <c r="S266" s="245" t="str">
        <f>IFERROR(__xludf.DUMMYFUNCTION("IFERROR(
  INDEX(
    FILTER(
      Transcription!$AJ:$AJ,
      TRIM(CLEAN(TEXT(Transcription!$F:$F, ""@""))) = TRIM(CLEAN(TEXT($D266, ""@""))),
      Transcription!$AO:$AO = 5
    ),
    1
  ),
  ""Not Found""
)
"),"https://drive.google.com/open?id=1uvP9Lm2vaNDEtzDmL91MyLFoEFFOvnNxuEwpHS894wI")</f>
        <v>https://drive.google.com/open?id=1uvP9Lm2vaNDEtzDmL91MyLFoEFFOvnNxuEwpHS894wI</v>
      </c>
      <c r="T26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TRIM(CLEAN(TEXT($D266, ""@""))),
      IMPORTRANGE(""https://docs.google.com/spreadsheets/d/1DccNxjBgurEr0ABkI_"&amp;"rBagJT5phB5HaHG5N_mTm_BiA/edit?gid=1382299152#gid=1382299152"", ""Form responses 1!$Z:$Z"") = 6
    ),
    1
  ),
  ""Not Found""
)
"),"https://drive.google.com/file/d/1EPNimrfPHkYHG8bxIK1MbkL26CPlEFPg/view?usp=drive_link")</f>
        <v>https://drive.google.com/file/d/1EPNimrfPHkYHG8bxIK1MbkL26CPlEFPg/view?usp=drive_link</v>
      </c>
      <c r="U26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1!$E:$E"")=$D266) *
        (IMPORTRANGE(""https://docs.google.com/spreadsheets/d/161aHT6vVT3SLneTKD19N5qVWtnj_jIT8CSsOmUVKmaA"&amp;"/edit?gid=1761053510"",
          ""Haris_Form responses 1!$AQ:$AQ"")=6)
      ),
      1
    ),
    ""0""
  ),
  ""Form not found""
)
"),"6")</f>
        <v>6</v>
      </c>
      <c r="V266" s="245" t="str">
        <f>IFERROR(__xludf.DUMMYFUNCTION("IFERROR(
  INDEX(
    FILTER(
      Transcription!$AJ:$AJ,
      TRIM(CLEAN(TEXT(Transcription!$F:$F, ""@""))) = TRIM(CLEAN(TEXT($D266, ""@""))),
      Transcription!$AO:$AO = 6
    ),
    1
  ),
  ""Not Found""
)
"),"https://drive.google.com/open?id=1wbiXyrEclxkW4rmPCq4BrrHa7x7xsQaIcMUm3iLcTew")</f>
        <v>https://drive.google.com/open?id=1wbiXyrEclxkW4rmPCq4BrrHa7x7xsQaIcMUm3iLcTew</v>
      </c>
      <c r="Z266" s="10">
        <f t="shared" si="1"/>
        <v>4</v>
      </c>
      <c r="AA266" s="10">
        <f t="shared" si="2"/>
        <v>0</v>
      </c>
    </row>
    <row r="267">
      <c r="A267" s="8" t="str">
        <f>VLOOKUP($D267,Sheet6!$B:$G,5,FALSE)</f>
        <v>Faisalabad</v>
      </c>
      <c r="B267" s="232" t="str">
        <f>VLOOKUP($D267,Sheet6!$B:$G,4,FALSE)</f>
        <v>Community Secular No Info Share</v>
      </c>
      <c r="C267" s="8">
        <v>3.0</v>
      </c>
      <c r="D267" s="8" t="s">
        <v>3887</v>
      </c>
      <c r="E2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TRIM(CLEAN(TEXT($D267, ""@""))),
      IMPORTRANGE(""https://docs.google.com/spreadsheets/d/1DccNxjBgurEr0ABkI_"&amp;"rBagJT5phB5HaHG5N_mTm_BiA/edit?gid=1382299152#gid=1382299152"", ""Form responses 1!$Z:$Z"") = 1
    ),
    1
  ),
  ""Not Found""
)
"),"https://drive.google.com/open?id=1Xq1j1Ytpli2fTIa39s-7-heBYfL9SitN")</f>
        <v>https://drive.google.com/open?id=1Xq1j1Ytpli2fTIa39s-7-heBYfL9SitN</v>
      </c>
      <c r="F2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1!$E:$E"")=$D267) *
        (IMPORTRANGE(""https://docs.google.com/spreadsheets/d/161aHT6vVT3SLneTKD19N5qVWtnj_jIT8CSsOmUVKmaA"&amp;"/edit?gid=1761053510"",
          ""Haris_Form responses 1!$AQ:$AQ"")=1)
      ),
      1
    ),
    ""0""
  ),
  ""Form not found""
)
"),"1")</f>
        <v>1</v>
      </c>
      <c r="G267" s="245" t="str">
        <f>IFERROR(__xludf.DUMMYFUNCTION("IFERROR(
  INDEX(
    FILTER(
      Transcription!$AJ:$AJ,
      TRIM(CLEAN(TEXT(Transcription!$F:$F, ""@""))) = TRIM(CLEAN(TEXT($D267, ""@""))),
      Transcription!$AO:$AO = 1
    ),
    1
  ),
  ""Not Found""
)
"),"https://drive.google.com/open?id=1r0paE_Fz2PB4UtCX2jjVKkbZirVJB5MQ")</f>
        <v>https://drive.google.com/open?id=1r0paE_Fz2PB4UtCX2jjVKkbZirVJB5MQ</v>
      </c>
      <c r="H2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TRIM(CLEAN(TEXT($D267, ""@""))),
      IMPORTRANGE(""https://docs.google.com/spreadsheets/d/1DccNxjBgurEr0ABkI_"&amp;"rBagJT5phB5HaHG5N_mTm_BiA/edit?gid=1382299152#gid=1382299152"", ""Form responses 1!$Z:$Z"") = 2
    ),
    1
  ),
  ""Not Found""
)
"),"https://drive.google.com/open?id=1kiZWwHSqt7Ja-etEkI50KTllh_B2wbmj")</f>
        <v>https://drive.google.com/open?id=1kiZWwHSqt7Ja-etEkI50KTllh_B2wbmj</v>
      </c>
      <c r="I2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1!$E:$E"")=$D267) *
        (IMPORTRANGE(""https://docs.google.com/spreadsheets/d/161aHT6vVT3SLneTKD19N5qVWtnj_jIT8CSsOmUVKmaA"&amp;"/edit?gid=1761053510"",
          ""Haris_Form responses 1!$AQ:$AQ"")=2)
      ),
      1
    ),
    ""0""
  ),
  ""Form not found""
)
"),"2")</f>
        <v>2</v>
      </c>
      <c r="J267" s="245" t="str">
        <f>IFERROR(__xludf.DUMMYFUNCTION("IFERROR(
  INDEX(
    FILTER(
      Transcription!$AJ:$AJ,
      TRIM(CLEAN(TEXT(Transcription!$F:$F, ""@""))) = TRIM(CLEAN(TEXT($D267, ""@""))),
      Transcription!$AO:$AO = 2
    ),
    1
  ),
  ""Not Found""
)
"),"https://drive.google.com/open?id=1643qbCp0DQOFqyR6GkuVqqIYY3MNbJiJ")</f>
        <v>https://drive.google.com/open?id=1643qbCp0DQOFqyR6GkuVqqIYY3MNbJiJ</v>
      </c>
      <c r="K26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TRIM(CLEAN(TEXT($D267, ""@""))),
      IMPORTRANGE(""https://docs.google.com/spreadsheets/d/1DccNxjBgurEr0ABkI_"&amp;"rBagJT5phB5HaHG5N_mTm_BiA/edit?gid=1382299152#gid=1382299152"", ""Form responses 1!$Z:$Z"") = 3
    ),
    1
  ),
  ""Not Found""
)
"),"https://drive.google.com/open?id=1Sj8y3T-uwDyjBVyTZwaRSdGqu_hAlkgl")</f>
        <v>https://drive.google.com/open?id=1Sj8y3T-uwDyjBVyTZwaRSdGqu_hAlkgl</v>
      </c>
      <c r="L2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1!$E:$E"")=$D267) *
        (IMPORTRANGE(""https://docs.google.com/spreadsheets/d/161aHT6vVT3SLneTKD19N5qVWtnj_jIT8CSsOmUVKmaA"&amp;"/edit?gid=1761053510"",
          ""Haris_Form responses 1!$AQ:$AQ"")=3)
      ),
      1
    ),
    ""0""
  ),
  ""Form not found""
)
"),"3")</f>
        <v>3</v>
      </c>
      <c r="M267" s="245" t="str">
        <f>IFERROR(__xludf.DUMMYFUNCTION("IFERROR(
  INDEX(
    FILTER(
      Transcription!$AJ:$AJ,
      TRIM(CLEAN(TEXT(Transcription!$F:$F, ""@""))) = TRIM(CLEAN(TEXT($D267, ""@""))),
      Transcription!$AO:$AO = 3
    ),
    1
  ),
  ""Not Found""
)
"),"https://drive.google.com/open?id=1iZWI0uc5eB0Q3NM80H01IcKYF3qpqnBT")</f>
        <v>https://drive.google.com/open?id=1iZWI0uc5eB0Q3NM80H01IcKYF3qpqnBT</v>
      </c>
      <c r="N26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TRIM(CLEAN(TEXT($D267, ""@""))),
      IMPORTRANGE(""https://docs.google.com/spreadsheets/d/1DccNxjBgurEr0ABkI_"&amp;"rBagJT5phB5HaHG5N_mTm_BiA/edit?gid=1382299152#gid=1382299152"", ""Form responses 1!$Z:$Z"") = 4
    ),
    1
  ),
  ""Not Found""
)
"),"Not Found")</f>
        <v>Not Found</v>
      </c>
      <c r="O2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1!$E:$E"")=$D267) *
        (IMPORTRANGE(""https://docs.google.com/spreadsheets/d/161aHT6vVT3SLneTKD19N5qVWtnj_jIT8CSsOmUVKmaA"&amp;"/edit?gid=1761053510"",
          ""Haris_Form responses 1!$AQ:$AQ"")=4)
      ),
      1
    ),
    ""0""
  ),
  ""Form not found""
)
"),"Form not found")</f>
        <v>Form not found</v>
      </c>
      <c r="P267" s="247" t="str">
        <f>IFERROR(__xludf.DUMMYFUNCTION("IFERROR(
  INDEX(
    FILTER(
      Transcription!$AJ:$AJ,
      TRIM(CLEAN(TEXT(Transcription!$F:$F, ""@""))) = TRIM(CLEAN(TEXT($D267, ""@""))),
      Transcription!$AO:$AO = 4
    ),
    1
  ),
  ""Not Found""
)
"),"Not Found")</f>
        <v>Not Found</v>
      </c>
      <c r="Q26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TRIM(CLEAN(TEXT($D267, ""@""))),
      IMPORTRANGE(""https://docs.google.com/spreadsheets/d/1DccNxjBgurEr0ABkI_"&amp;"rBagJT5phB5HaHG5N_mTm_BiA/edit?gid=1382299152#gid=1382299152"", ""Form responses 1!$Z:$Z"") = 5
    ),
    1
  ),
  ""Not Found""
)
"),"Not Found")</f>
        <v>Not Found</v>
      </c>
      <c r="R2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1!$E:$E"")=$D267) *
        (IMPORTRANGE(""https://docs.google.com/spreadsheets/d/161aHT6vVT3SLneTKD19N5qVWtnj_jIT8CSsOmUVKmaA"&amp;"/edit?gid=1761053510"",
          ""Haris_Form responses 1!$AQ:$AQ"")=5)
      ),
      1
    ),
    ""0""
  ),
  ""Form not found""
)
"),"Form not found")</f>
        <v>Form not found</v>
      </c>
      <c r="S267" s="247" t="str">
        <f>IFERROR(__xludf.DUMMYFUNCTION("IFERROR(
  INDEX(
    FILTER(
      Transcription!$AJ:$AJ,
      TRIM(CLEAN(TEXT(Transcription!$F:$F, ""@""))) = TRIM(CLEAN(TEXT($D267, ""@""))),
      Transcription!$AO:$AO = 5
    ),
    1
  ),
  ""Not Found""
)
"),"Not Found")</f>
        <v>Not Found</v>
      </c>
      <c r="T26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TRIM(CLEAN(TEXT($D267, ""@""))),
      IMPORTRANGE(""https://docs.google.com/spreadsheets/d/1DccNxjBgurEr0ABkI_"&amp;"rBagJT5phB5HaHG5N_mTm_BiA/edit?gid=1382299152#gid=1382299152"", ""Form responses 1!$Z:$Z"") = 6
    ),
    1
  ),
  ""Not Found""
)
"),"Not Found")</f>
        <v>Not Found</v>
      </c>
      <c r="U26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1!$E:$E"")=$D267) *
        (IMPORTRANGE(""https://docs.google.com/spreadsheets/d/161aHT6vVT3SLneTKD19N5qVWtnj_jIT8CSsOmUVKmaA"&amp;"/edit?gid=1761053510"",
          ""Haris_Form responses 1!$AQ:$AQ"")=6)
      ),
      1
    ),
    ""0""
  ),
  ""Form not found""
)
"),"Form not found")</f>
        <v>Form not found</v>
      </c>
      <c r="V267" s="247" t="str">
        <f>IFERROR(__xludf.DUMMYFUNCTION("IFERROR(
  INDEX(
    FILTER(
      Transcription!$AJ:$AJ,
      TRIM(CLEAN(TEXT(Transcription!$F:$F, ""@""))) = TRIM(CLEAN(TEXT($D267, ""@""))),
      Transcription!$AO:$AO = 6
    ),
    1
  ),
  ""Not Found""
)
"),"Not Found")</f>
        <v>Not Found</v>
      </c>
      <c r="Z267" s="10">
        <f t="shared" si="1"/>
        <v>3</v>
      </c>
      <c r="AA267" s="10">
        <f t="shared" si="2"/>
        <v>0</v>
      </c>
    </row>
    <row r="268">
      <c r="A268" s="8" t="str">
        <f>VLOOKUP($D268,Sheet6!$B:$G,5,FALSE)</f>
        <v>Faisalabad</v>
      </c>
      <c r="B268" s="232" t="str">
        <f>VLOOKUP($D268,Sheet6!$B:$G,4,FALSE)</f>
        <v>Control</v>
      </c>
      <c r="C268" s="8">
        <v>2.0</v>
      </c>
      <c r="D268" s="8" t="s">
        <v>4109</v>
      </c>
      <c r="E26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TRIM(CLEAN(TEXT($D268, ""@""))),
      IMPORTRANGE(""https://docs.google.com/spreadsheets/d/1DccNxjBgurEr0ABkI_"&amp;"rBagJT5phB5HaHG5N_mTm_BiA/edit?gid=1382299152#gid=1382299152"", ""Form responses 1!$Z:$Z"") = 1
    ),
    1
  ),
  ""Not Found""
)
"),"https://drive.google.com/file/d/1D7TyJnbey3gWuvkRgGas3p6MxiQpJIY4/view?usp=drive_link")</f>
        <v>https://drive.google.com/file/d/1D7TyJnbey3gWuvkRgGas3p6MxiQpJIY4/view?usp=drive_link</v>
      </c>
      <c r="F2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1!$E:$E"")=$D268) *
        (IMPORTRANGE(""https://docs.google.com/spreadsheets/d/161aHT6vVT3SLneTKD19N5qVWtnj_jIT8CSsOmUVKmaA"&amp;"/edit?gid=1761053510"",
          ""Haris_Form responses 1!$AQ:$AQ"")=1)
      ),
      1
    ),
    ""0""
  ),
  ""Form not found""
)
"),"1")</f>
        <v>1</v>
      </c>
      <c r="G268" s="245" t="str">
        <f>IFERROR(__xludf.DUMMYFUNCTION("IFERROR(
  INDEX(
    FILTER(
      Transcription!$AJ:$AJ,
      TRIM(CLEAN(TEXT(Transcription!$F:$F, ""@""))) = TRIM(CLEAN(TEXT($D268, ""@""))),
      Transcription!$AO:$AO = 1
    ),
    1
  ),
  ""Not Found""
)
"),"https://drive.google.com/open?id=1ZiL9yOV9XB0myLhpzeFX0GR_mK_CSk5U")</f>
        <v>https://drive.google.com/open?id=1ZiL9yOV9XB0myLhpzeFX0GR_mK_CSk5U</v>
      </c>
      <c r="H2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TRIM(CLEAN(TEXT($D268, ""@""))),
      IMPORTRANGE(""https://docs.google.com/spreadsheets/d/1DccNxjBgurEr0ABkI_"&amp;"rBagJT5phB5HaHG5N_mTm_BiA/edit?gid=1382299152#gid=1382299152"", ""Form responses 1!$Z:$Z"") = 2
    ),
    1
  ),
  ""Not Found""
)
"),"Not Found")</f>
        <v>Not Found</v>
      </c>
      <c r="I2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1!$E:$E"")=$D268) *
        (IMPORTRANGE(""https://docs.google.com/spreadsheets/d/161aHT6vVT3SLneTKD19N5qVWtnj_jIT8CSsOmUVKmaA"&amp;"/edit?gid=1761053510"",
          ""Haris_Form responses 1!$AQ:$AQ"")=2)
      ),
      1
    ),
    ""0""
  ),
  ""Form not found""
)
"),"Form not found")</f>
        <v>Form not found</v>
      </c>
      <c r="J268" s="247" t="str">
        <f>IFERROR(__xludf.DUMMYFUNCTION("IFERROR(
  INDEX(
    FILTER(
      Transcription!$AJ:$AJ,
      TRIM(CLEAN(TEXT(Transcription!$F:$F, ""@""))) = TRIM(CLEAN(TEXT($D268, ""@""))),
      Transcription!$AO:$AO = 2
    ),
    1
  ),
  ""Not Found""
)
"),"")</f>
        <v/>
      </c>
      <c r="K26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TRIM(CLEAN(TEXT($D268, ""@""))),
      IMPORTRANGE(""https://docs.google.com/spreadsheets/d/1DccNxjBgurEr0ABkI_"&amp;"rBagJT5phB5HaHG5N_mTm_BiA/edit?gid=1382299152#gid=1382299152"", ""Form responses 1!$Z:$Z"") = 3
    ),
    1
  ),
  ""Not Found""
)
"),"https://drive.google.com/open?id=1g9rBWih_6ZGmZoZHk3_BaYjP5wYYbjTt")</f>
        <v>https://drive.google.com/open?id=1g9rBWih_6ZGmZoZHk3_BaYjP5wYYbjTt</v>
      </c>
      <c r="L2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1!$E:$E"")=$D268) *
        (IMPORTRANGE(""https://docs.google.com/spreadsheets/d/161aHT6vVT3SLneTKD19N5qVWtnj_jIT8CSsOmUVKmaA"&amp;"/edit?gid=1761053510"",
          ""Haris_Form responses 1!$AQ:$AQ"")=3)
      ),
      1
    ),
    ""0""
  ),
  ""Form not found""
)
"),"3")</f>
        <v>3</v>
      </c>
      <c r="M268" s="245" t="str">
        <f>IFERROR(__xludf.DUMMYFUNCTION("IFERROR(
  INDEX(
    FILTER(
      Transcription!$AJ:$AJ,
      TRIM(CLEAN(TEXT(Transcription!$F:$F, ""@""))) = TRIM(CLEAN(TEXT($D268, ""@""))),
      Transcription!$AO:$AO = 3
    ),
    1
  ),
  ""Not Found""
)
"),"https://drive.google.com/open?id=1XyUESXTQHGEh7MBRlHxuw9C4LN7jGJyW")</f>
        <v>https://drive.google.com/open?id=1XyUESXTQHGEh7MBRlHxuw9C4LN7jGJyW</v>
      </c>
      <c r="N2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TRIM(CLEAN(TEXT($D268, ""@""))),
      IMPORTRANGE(""https://docs.google.com/spreadsheets/d/1DccNxjBgurEr0ABkI_"&amp;"rBagJT5phB5HaHG5N_mTm_BiA/edit?gid=1382299152#gid=1382299152"", ""Form responses 1!$Z:$Z"") = 4
    ),
    1
  ),
  ""Not Found""
)
"),"Not Found")</f>
        <v>Not Found</v>
      </c>
      <c r="O2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1!$E:$E"")=$D268) *
        (IMPORTRANGE(""https://docs.google.com/spreadsheets/d/161aHT6vVT3SLneTKD19N5qVWtnj_jIT8CSsOmUVKmaA"&amp;"/edit?gid=1761053510"",
          ""Haris_Form responses 1!$AQ:$AQ"")=4)
      ),
      1
    ),
    ""0""
  ),
  ""Form not found""
)
"),"Form not found")</f>
        <v>Form not found</v>
      </c>
      <c r="P268" s="247" t="str">
        <f>IFERROR(__xludf.DUMMYFUNCTION("IFERROR(
  INDEX(
    FILTER(
      Transcription!$AJ:$AJ,
      TRIM(CLEAN(TEXT(Transcription!$F:$F, ""@""))) = TRIM(CLEAN(TEXT($D268, ""@""))),
      Transcription!$AO:$AO = 4
    ),
    1
  ),
  ""Not Found""
)
"),"Not Found")</f>
        <v>Not Found</v>
      </c>
      <c r="Q2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TRIM(CLEAN(TEXT($D268, ""@""))),
      IMPORTRANGE(""https://docs.google.com/spreadsheets/d/1DccNxjBgurEr0ABkI_"&amp;"rBagJT5phB5HaHG5N_mTm_BiA/edit?gid=1382299152#gid=1382299152"", ""Form responses 1!$Z:$Z"") = 5
    ),
    1
  ),
  ""Not Found""
)
"),"Not Found")</f>
        <v>Not Found</v>
      </c>
      <c r="R2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1!$E:$E"")=$D268) *
        (IMPORTRANGE(""https://docs.google.com/spreadsheets/d/161aHT6vVT3SLneTKD19N5qVWtnj_jIT8CSsOmUVKmaA"&amp;"/edit?gid=1761053510"",
          ""Haris_Form responses 1!$AQ:$AQ"")=5)
      ),
      1
    ),
    ""0""
  ),
  ""Form not found""
)
"),"Form not found")</f>
        <v>Form not found</v>
      </c>
      <c r="S268" s="247" t="str">
        <f>IFERROR(__xludf.DUMMYFUNCTION("IFERROR(
  INDEX(
    FILTER(
      Transcription!$AJ:$AJ,
      TRIM(CLEAN(TEXT(Transcription!$F:$F, ""@""))) = TRIM(CLEAN(TEXT($D268, ""@""))),
      Transcription!$AO:$AO = 5
    ),
    1
  ),
  ""Not Found""
)
"),"Not Found")</f>
        <v>Not Found</v>
      </c>
      <c r="T26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TRIM(CLEAN(TEXT($D268, ""@""))),
      IMPORTRANGE(""https://docs.google.com/spreadsheets/d/1DccNxjBgurEr0ABkI_"&amp;"rBagJT5phB5HaHG5N_mTm_BiA/edit?gid=1382299152#gid=1382299152"", ""Form responses 1!$Z:$Z"") = 6
    ),
    1
  ),
  ""Not Found""
)
"),"Not Found")</f>
        <v>Not Found</v>
      </c>
      <c r="U26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1!$E:$E"")=$D268) *
        (IMPORTRANGE(""https://docs.google.com/spreadsheets/d/161aHT6vVT3SLneTKD19N5qVWtnj_jIT8CSsOmUVKmaA"&amp;"/edit?gid=1761053510"",
          ""Haris_Form responses 1!$AQ:$AQ"")=6)
      ),
      1
    ),
    ""0""
  ),
  ""Form not found""
)
"),"Form not found")</f>
        <v>Form not found</v>
      </c>
      <c r="V268" s="247" t="str">
        <f>IFERROR(__xludf.DUMMYFUNCTION("IFERROR(
  INDEX(
    FILTER(
      Transcription!$AJ:$AJ,
      TRIM(CLEAN(TEXT(Transcription!$F:$F, ""@""))) = TRIM(CLEAN(TEXT($D268, ""@""))),
      Transcription!$AO:$AO = 6
    ),
    1
  ),
  ""Not Found""
)
"),"Not Found")</f>
        <v>Not Found</v>
      </c>
      <c r="Z268" s="10">
        <f t="shared" si="1"/>
        <v>2</v>
      </c>
      <c r="AA268" s="10">
        <f t="shared" si="2"/>
        <v>0</v>
      </c>
    </row>
    <row r="269">
      <c r="A269" s="8" t="str">
        <f>VLOOKUP($D269,Sheet6!$B:$G,5,FALSE)</f>
        <v>Faisalabad</v>
      </c>
      <c r="B269" s="232" t="str">
        <f>VLOOKUP($D269,Sheet6!$B:$G,4,FALSE)</f>
        <v>Community Secular No Info Share</v>
      </c>
      <c r="C269" s="8">
        <v>3.0</v>
      </c>
      <c r="D269" s="8" t="s">
        <v>4190</v>
      </c>
      <c r="E26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TRIM(CLEAN(TEXT($D269, ""@""))),
      IMPORTRANGE(""https://docs.google.com/spreadsheets/d/1DccNxjBgurEr0ABkI_"&amp;"rBagJT5phB5HaHG5N_mTm_BiA/edit?gid=1382299152#gid=1382299152"", ""Form responses 1!$Z:$Z"") = 1
    ),
    1
  ),
  ""Not Found""
)
"),"Not Found")</f>
        <v>Not Found</v>
      </c>
      <c r="F2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1!$E:$E"")=$D269) *
        (IMPORTRANGE(""https://docs.google.com/spreadsheets/d/161aHT6vVT3SLneTKD19N5qVWtnj_jIT8CSsOmUVKmaA"&amp;"/edit?gid=1761053510"",
          ""Haris_Form responses 1!$AQ:$AQ"")=1)
      ),
      1
    ),
    ""0""
  ),
  ""Form not found""
)
"),"Form not found")</f>
        <v>Form not found</v>
      </c>
      <c r="G269" s="247" t="str">
        <f>IFERROR(__xludf.DUMMYFUNCTION("IFERROR(
  INDEX(
    FILTER(
      Transcription!$AJ:$AJ,
      TRIM(CLEAN(TEXT(Transcription!$F:$F, ""@""))) = TRIM(CLEAN(TEXT($D269, ""@""))),
      Transcription!$AO:$AO = 1
    ),
    1
  ),
  ""Not Found""
)
"),"Not Found")</f>
        <v>Not Found</v>
      </c>
      <c r="H26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TRIM(CLEAN(TEXT($D269, ""@""))),
      IMPORTRANGE(""https://docs.google.com/spreadsheets/d/1DccNxjBgurEr0ABkI_"&amp;"rBagJT5phB5HaHG5N_mTm_BiA/edit?gid=1382299152#gid=1382299152"", ""Form responses 1!$Z:$Z"") = 2
    ),
    1
  ),
  ""Not Found""
)
"),"https://drive.google.com/file/d/114BW4A8YcPMJ9AJ9pgQhZ_zygtPf1zT0/view?usp=drive_link")</f>
        <v>https://drive.google.com/file/d/114BW4A8YcPMJ9AJ9pgQhZ_zygtPf1zT0/view?usp=drive_link</v>
      </c>
      <c r="I2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1!$E:$E"")=$D269) *
        (IMPORTRANGE(""https://docs.google.com/spreadsheets/d/161aHT6vVT3SLneTKD19N5qVWtnj_jIT8CSsOmUVKmaA"&amp;"/edit?gid=1761053510"",
          ""Haris_Form responses 1!$AQ:$AQ"")=2)
      ),
      1
    ),
    ""0""
  ),
  ""Form not found""
)
"),"2")</f>
        <v>2</v>
      </c>
      <c r="J269" s="245" t="str">
        <f>IFERROR(__xludf.DUMMYFUNCTION("IFERROR(
  INDEX(
    FILTER(
      Transcription!$AJ:$AJ,
      TRIM(CLEAN(TEXT(Transcription!$F:$F, ""@""))) = TRIM(CLEAN(TEXT($D269, ""@""))),
      Transcription!$AO:$AO = 2
    ),
    1
  ),
  ""Not Found""
)
"),"https://drive.google.com/open?id=1A9d5Si9YGD-iOIEXZmhjyuiucokaw3bGXbZv4XJHBr8")</f>
        <v>https://drive.google.com/open?id=1A9d5Si9YGD-iOIEXZmhjyuiucokaw3bGXbZv4XJHBr8</v>
      </c>
      <c r="K26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TRIM(CLEAN(TEXT($D269, ""@""))),
      IMPORTRANGE(""https://docs.google.com/spreadsheets/d/1DccNxjBgurEr0ABkI_"&amp;"rBagJT5phB5HaHG5N_mTm_BiA/edit?gid=1382299152#gid=1382299152"", ""Form responses 1!$Z:$Z"") = 3
    ),
    1
  ),
  ""Not Found""
)
"),"https://drive.google.com/file/d/1idlxTbhVOH2PYsu_Qu6xggdMA9I7HDnl/view?usp=drive_link")</f>
        <v>https://drive.google.com/file/d/1idlxTbhVOH2PYsu_Qu6xggdMA9I7HDnl/view?usp=drive_link</v>
      </c>
      <c r="L2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1!$E:$E"")=$D269) *
        (IMPORTRANGE(""https://docs.google.com/spreadsheets/d/161aHT6vVT3SLneTKD19N5qVWtnj_jIT8CSsOmUVKmaA"&amp;"/edit?gid=1761053510"",
          ""Haris_Form responses 1!$AQ:$AQ"")=3)
      ),
      1
    ),
    ""0""
  ),
  ""Form not found""
)
"),"3")</f>
        <v>3</v>
      </c>
      <c r="M269" s="245" t="str">
        <f>IFERROR(__xludf.DUMMYFUNCTION("IFERROR(
  INDEX(
    FILTER(
      Transcription!$AJ:$AJ,
      TRIM(CLEAN(TEXT(Transcription!$F:$F, ""@""))) = TRIM(CLEAN(TEXT($D269, ""@""))),
      Transcription!$AO:$AO = 3
    ),
    1
  ),
  ""Not Found""
)
"),"https://drive.google.com/open?id=1qogkpVI-cfHq4vef6OE70KgKOdKk7LI3bj9tfPBqo4c")</f>
        <v>https://drive.google.com/open?id=1qogkpVI-cfHq4vef6OE70KgKOdKk7LI3bj9tfPBqo4c</v>
      </c>
      <c r="N26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TRIM(CLEAN(TEXT($D269, ""@""))),
      IMPORTRANGE(""https://docs.google.com/spreadsheets/d/1DccNxjBgurEr0ABkI_"&amp;"rBagJT5phB5HaHG5N_mTm_BiA/edit?gid=1382299152#gid=1382299152"", ""Form responses 1!$Z:$Z"") = 4
    ),
    1
  ),
  ""Not Found""
)
"),"https://drive.google.com/open?id=1oFx0B6TjxpD-B3_M2PDrbt6lTt6myRrB")</f>
        <v>https://drive.google.com/open?id=1oFx0B6TjxpD-B3_M2PDrbt6lTt6myRrB</v>
      </c>
      <c r="O2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1!$E:$E"")=$D269) *
        (IMPORTRANGE(""https://docs.google.com/spreadsheets/d/161aHT6vVT3SLneTKD19N5qVWtnj_jIT8CSsOmUVKmaA"&amp;"/edit?gid=1761053510"",
          ""Haris_Form responses 1!$AQ:$AQ"")=4)
      ),
      1
    ),
    ""0""
  ),
  ""Form not found""
)
"),"4")</f>
        <v>4</v>
      </c>
      <c r="P269" s="245" t="str">
        <f>IFERROR(__xludf.DUMMYFUNCTION("IFERROR(
  INDEX(
    FILTER(
      Transcription!$AJ:$AJ,
      TRIM(CLEAN(TEXT(Transcription!$F:$F, ""@""))) = TRIM(CLEAN(TEXT($D269, ""@""))),
      Transcription!$AO:$AO = 4
    ),
    1
  ),
  ""Not Found""
)
"),"https://drive.google.com/open?id=1P7_vnovJbvGK1khWG7Gyv37oPM5aRIgh")</f>
        <v>https://drive.google.com/open?id=1P7_vnovJbvGK1khWG7Gyv37oPM5aRIgh</v>
      </c>
      <c r="Q26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TRIM(CLEAN(TEXT($D269, ""@""))),
      IMPORTRANGE(""https://docs.google.com/spreadsheets/d/1DccNxjBgurEr0ABkI_"&amp;"rBagJT5phB5HaHG5N_mTm_BiA/edit?gid=1382299152#gid=1382299152"", ""Form responses 1!$Z:$Z"") = 5
    ),
    1
  ),
  ""Not Found""
)
"),"Not Found")</f>
        <v>Not Found</v>
      </c>
      <c r="R2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1!$E:$E"")=$D269) *
        (IMPORTRANGE(""https://docs.google.com/spreadsheets/d/161aHT6vVT3SLneTKD19N5qVWtnj_jIT8CSsOmUVKmaA"&amp;"/edit?gid=1761053510"",
          ""Haris_Form responses 1!$AQ:$AQ"")=5)
      ),
      1
    ),
    ""0""
  ),
  ""Form not found""
)
"),"Form not found")</f>
        <v>Form not found</v>
      </c>
      <c r="S269" s="247" t="str">
        <f>IFERROR(__xludf.DUMMYFUNCTION("IFERROR(
  INDEX(
    FILTER(
      Transcription!$AJ:$AJ,
      TRIM(CLEAN(TEXT(Transcription!$F:$F, ""@""))) = TRIM(CLEAN(TEXT($D269, ""@""))),
      Transcription!$AO:$AO = 5
    ),
    1
  ),
  ""Not Found""
)
"),"Not Found")</f>
        <v>Not Found</v>
      </c>
      <c r="T26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TRIM(CLEAN(TEXT($D269, ""@""))),
      IMPORTRANGE(""https://docs.google.com/spreadsheets/d/1DccNxjBgurEr0ABkI_"&amp;"rBagJT5phB5HaHG5N_mTm_BiA/edit?gid=1382299152#gid=1382299152"", ""Form responses 1!$Z:$Z"") = 6
    ),
    1
  ),
  ""Not Found""
)
"),"Not Found")</f>
        <v>Not Found</v>
      </c>
      <c r="U26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1!$E:$E"")=$D269) *
        (IMPORTRANGE(""https://docs.google.com/spreadsheets/d/161aHT6vVT3SLneTKD19N5qVWtnj_jIT8CSsOmUVKmaA"&amp;"/edit?gid=1761053510"",
          ""Haris_Form responses 1!$AQ:$AQ"")=6)
      ),
      1
    ),
    ""0""
  ),
  ""Form not found""
)
"),"Form not found")</f>
        <v>Form not found</v>
      </c>
      <c r="V269" s="247" t="str">
        <f>IFERROR(__xludf.DUMMYFUNCTION("IFERROR(
  INDEX(
    FILTER(
      Transcription!$AJ:$AJ,
      TRIM(CLEAN(TEXT(Transcription!$F:$F, ""@""))) = TRIM(CLEAN(TEXT($D269, ""@""))),
      Transcription!$AO:$AO = 6
    ),
    1
  ),
  ""Not Found""
)
"),"Not Found")</f>
        <v>Not Found</v>
      </c>
      <c r="Z269" s="10">
        <f t="shared" si="1"/>
        <v>3</v>
      </c>
      <c r="AA269" s="10">
        <f t="shared" si="2"/>
        <v>0</v>
      </c>
    </row>
    <row r="270">
      <c r="A270" s="8" t="str">
        <f>VLOOKUP($D270,Sheet6!$B:$G,5,FALSE)</f>
        <v>Faisalabad</v>
      </c>
      <c r="B270" s="232" t="str">
        <f>VLOOKUP($D270,Sheet6!$B:$G,4,FALSE)</f>
        <v>Control</v>
      </c>
      <c r="C270" s="8">
        <v>2.0</v>
      </c>
      <c r="D270" s="8" t="s">
        <v>3844</v>
      </c>
      <c r="E27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TRIM(CLEAN(TEXT($D270, ""@""))),
      IMPORTRANGE(""https://docs.google.com/spreadsheets/d/1DccNxjBgurEr0ABkI_"&amp;"rBagJT5phB5HaHG5N_mTm_BiA/edit?gid=1382299152#gid=1382299152"", ""Form responses 1!$Z:$Z"") = 1
    ),
    1
  ),
  ""Not Found""
)
"),"https://drive.google.com/open?id=1Nqh7DacU98DB9pCZqwnOC7f21wzsvJHq")</f>
        <v>https://drive.google.com/open?id=1Nqh7DacU98DB9pCZqwnOC7f21wzsvJHq</v>
      </c>
      <c r="F2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1!$E:$E"")=$D270) *
        (IMPORTRANGE(""https://docs.google.com/spreadsheets/d/161aHT6vVT3SLneTKD19N5qVWtnj_jIT8CSsOmUVKmaA"&amp;"/edit?gid=1761053510"",
          ""Haris_Form responses 1!$AQ:$AQ"")=1)
      ),
      1
    ),
    ""0""
  ),
  ""Form not found""
)
"),"1")</f>
        <v>1</v>
      </c>
      <c r="G270" s="245" t="str">
        <f>IFERROR(__xludf.DUMMYFUNCTION("IFERROR(
  INDEX(
    FILTER(
      Transcription!$AJ:$AJ,
      TRIM(CLEAN(TEXT(Transcription!$F:$F, ""@""))) = TRIM(CLEAN(TEXT($D270, ""@""))),
      Transcription!$AO:$AO = 1
    ),
    1
  ),
  ""Not Found""
)
"),"https://drive.google.com/open?id=1jAnB5_px94FKU2rhKxUrbuBr6sr74Z9Mgt7DPnJ283I")</f>
        <v>https://drive.google.com/open?id=1jAnB5_px94FKU2rhKxUrbuBr6sr74Z9Mgt7DPnJ283I</v>
      </c>
      <c r="H2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TRIM(CLEAN(TEXT($D270, ""@""))),
      IMPORTRANGE(""https://docs.google.com/spreadsheets/d/1DccNxjBgurEr0ABkI_"&amp;"rBagJT5phB5HaHG5N_mTm_BiA/edit?gid=1382299152#gid=1382299152"", ""Form responses 1!$Z:$Z"") = 2
    ),
    1
  ),
  ""Not Found""
)
"),"Not Found")</f>
        <v>Not Found</v>
      </c>
      <c r="I2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1!$E:$E"")=$D270) *
        (IMPORTRANGE(""https://docs.google.com/spreadsheets/d/161aHT6vVT3SLneTKD19N5qVWtnj_jIT8CSsOmUVKmaA"&amp;"/edit?gid=1761053510"",
          ""Haris_Form responses 1!$AQ:$AQ"")=2)
      ),
      1
    ),
    ""0""
  ),
  ""Form not found""
)
"),"Form not found")</f>
        <v>Form not found</v>
      </c>
      <c r="J270" s="247" t="str">
        <f>IFERROR(__xludf.DUMMYFUNCTION("IFERROR(
  INDEX(
    FILTER(
      Transcription!$AJ:$AJ,
      TRIM(CLEAN(TEXT(Transcription!$F:$F, ""@""))) = TRIM(CLEAN(TEXT($D270, ""@""))),
      Transcription!$AO:$AO = 2
    ),
    1
  ),
  ""Not Found""
)
"),"Not Found")</f>
        <v>Not Found</v>
      </c>
      <c r="K27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TRIM(CLEAN(TEXT($D270, ""@""))),
      IMPORTRANGE(""https://docs.google.com/spreadsheets/d/1DccNxjBgurEr0ABkI_"&amp;"rBagJT5phB5HaHG5N_mTm_BiA/edit?gid=1382299152#gid=1382299152"", ""Form responses 1!$Z:$Z"") = 3
    ),
    1
  ),
  ""Not Found""
)
"),"https://drive.google.com/open?id=1EVf6wzahny6oJY_aHT_iHrJzQ0Ws-5H3")</f>
        <v>https://drive.google.com/open?id=1EVf6wzahny6oJY_aHT_iHrJzQ0Ws-5H3</v>
      </c>
      <c r="L2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1!$E:$E"")=$D270) *
        (IMPORTRANGE(""https://docs.google.com/spreadsheets/d/161aHT6vVT3SLneTKD19N5qVWtnj_jIT8CSsOmUVKmaA"&amp;"/edit?gid=1761053510"",
          ""Haris_Form responses 1!$AQ:$AQ"")=3)
      ),
      1
    ),
    ""0""
  ),
  ""Form not found""
)
"),"3")</f>
        <v>3</v>
      </c>
      <c r="M270" s="245" t="str">
        <f>IFERROR(__xludf.DUMMYFUNCTION("IFERROR(
  INDEX(
    FILTER(
      Transcription!$AJ:$AJ,
      TRIM(CLEAN(TEXT(Transcription!$F:$F, ""@""))) = TRIM(CLEAN(TEXT($D270, ""@""))),
      Transcription!$AO:$AO = 3
    ),
    1
  ),
  ""Not Found""
)
"),"https://drive.google.com/open?id=1Asc7qnAfCck0lIXnW2pS3wXgagHLCAY6_QpE9bMMecc")</f>
        <v>https://drive.google.com/open?id=1Asc7qnAfCck0lIXnW2pS3wXgagHLCAY6_QpE9bMMecc</v>
      </c>
      <c r="N2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TRIM(CLEAN(TEXT($D270, ""@""))),
      IMPORTRANGE(""https://docs.google.com/spreadsheets/d/1DccNxjBgurEr0ABkI_"&amp;"rBagJT5phB5HaHG5N_mTm_BiA/edit?gid=1382299152#gid=1382299152"", ""Form responses 1!$Z:$Z"") = 4
    ),
    1
  ),
  ""Not Found""
)
"),"Not Found")</f>
        <v>Not Found</v>
      </c>
      <c r="O2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1!$E:$E"")=$D270) *
        (IMPORTRANGE(""https://docs.google.com/spreadsheets/d/161aHT6vVT3SLneTKD19N5qVWtnj_jIT8CSsOmUVKmaA"&amp;"/edit?gid=1761053510"",
          ""Haris_Form responses 1!$AQ:$AQ"")=4)
      ),
      1
    ),
    ""0""
  ),
  ""Form not found""
)
"),"Form not found")</f>
        <v>Form not found</v>
      </c>
      <c r="P270" s="247" t="str">
        <f>IFERROR(__xludf.DUMMYFUNCTION("IFERROR(
  INDEX(
    FILTER(
      Transcription!$AJ:$AJ,
      TRIM(CLEAN(TEXT(Transcription!$F:$F, ""@""))) = TRIM(CLEAN(TEXT($D270, ""@""))),
      Transcription!$AO:$AO = 4
    ),
    1
  ),
  ""Not Found""
)
"),"Not Found")</f>
        <v>Not Found</v>
      </c>
      <c r="Q2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TRIM(CLEAN(TEXT($D270, ""@""))),
      IMPORTRANGE(""https://docs.google.com/spreadsheets/d/1DccNxjBgurEr0ABkI_"&amp;"rBagJT5phB5HaHG5N_mTm_BiA/edit?gid=1382299152#gid=1382299152"", ""Form responses 1!$Z:$Z"") = 5
    ),
    1
  ),
  ""Not Found""
)
"),"Not Found")</f>
        <v>Not Found</v>
      </c>
      <c r="R2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1!$E:$E"")=$D270) *
        (IMPORTRANGE(""https://docs.google.com/spreadsheets/d/161aHT6vVT3SLneTKD19N5qVWtnj_jIT8CSsOmUVKmaA"&amp;"/edit?gid=1761053510"",
          ""Haris_Form responses 1!$AQ:$AQ"")=5)
      ),
      1
    ),
    ""0""
  ),
  ""Form not found""
)
"),"Form not found")</f>
        <v>Form not found</v>
      </c>
      <c r="S270" s="247" t="str">
        <f>IFERROR(__xludf.DUMMYFUNCTION("IFERROR(
  INDEX(
    FILTER(
      Transcription!$AJ:$AJ,
      TRIM(CLEAN(TEXT(Transcription!$F:$F, ""@""))) = TRIM(CLEAN(TEXT($D270, ""@""))),
      Transcription!$AO:$AO = 5
    ),
    1
  ),
  ""Not Found""
)
"),"Not Found")</f>
        <v>Not Found</v>
      </c>
      <c r="T27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TRIM(CLEAN(TEXT($D270, ""@""))),
      IMPORTRANGE(""https://docs.google.com/spreadsheets/d/1DccNxjBgurEr0ABkI_"&amp;"rBagJT5phB5HaHG5N_mTm_BiA/edit?gid=1382299152#gid=1382299152"", ""Form responses 1!$Z:$Z"") = 6
    ),
    1
  ),
  ""Not Found""
)
"),"Not Found")</f>
        <v>Not Found</v>
      </c>
      <c r="U27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1!$E:$E"")=$D270) *
        (IMPORTRANGE(""https://docs.google.com/spreadsheets/d/161aHT6vVT3SLneTKD19N5qVWtnj_jIT8CSsOmUVKmaA"&amp;"/edit?gid=1761053510"",
          ""Haris_Form responses 1!$AQ:$AQ"")=6)
      ),
      1
    ),
    ""0""
  ),
  ""Form not found""
)
"),"Form not found")</f>
        <v>Form not found</v>
      </c>
      <c r="V270" s="247" t="str">
        <f>IFERROR(__xludf.DUMMYFUNCTION("IFERROR(
  INDEX(
    FILTER(
      Transcription!$AJ:$AJ,
      TRIM(CLEAN(TEXT(Transcription!$F:$F, ""@""))) = TRIM(CLEAN(TEXT($D270, ""@""))),
      Transcription!$AO:$AO = 6
    ),
    1
  ),
  ""Not Found""
)
"),"Not Found")</f>
        <v>Not Found</v>
      </c>
      <c r="Z270" s="10">
        <f t="shared" si="1"/>
        <v>2</v>
      </c>
      <c r="AA270" s="10">
        <f t="shared" si="2"/>
        <v>0</v>
      </c>
    </row>
    <row r="271">
      <c r="A271" s="8" t="str">
        <f>VLOOKUP($D271,Sheet6!$B:$G,5,FALSE)</f>
        <v>Faisalabad</v>
      </c>
      <c r="B271" s="232" t="str">
        <f>VLOOKUP($D271,Sheet6!$B:$G,4,FALSE)</f>
        <v>Women Religious Info Share</v>
      </c>
      <c r="C271" s="8">
        <v>4.0</v>
      </c>
      <c r="D271" s="8" t="s">
        <v>4217</v>
      </c>
      <c r="E2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TRIM(CLEAN(TEXT($D271, ""@""))),
      IMPORTRANGE(""https://docs.google.com/spreadsheets/d/1DccNxjBgurEr0ABkI_"&amp;"rBagJT5phB5HaHG5N_mTm_BiA/edit?gid=1382299152#gid=1382299152"", ""Form responses 1!$Z:$Z"") = 1
    ),
    1
  ),
  ""Not Found""
)
"),"https://drive.google.com/open?id=10eL9BLDjUnnRMI9GBhTnQkBoYyDd433g")</f>
        <v>https://drive.google.com/open?id=10eL9BLDjUnnRMI9GBhTnQkBoYyDd433g</v>
      </c>
      <c r="F2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1!$E:$E"")=$D271) *
        (IMPORTRANGE(""https://docs.google.com/spreadsheets/d/161aHT6vVT3SLneTKD19N5qVWtnj_jIT8CSsOmUVKmaA"&amp;"/edit?gid=1761053510"",
          ""Haris_Form responses 1!$AQ:$AQ"")=1)
      ),
      1
    ),
    ""0""
  ),
  ""Form not found""
)
"),"1")</f>
        <v>1</v>
      </c>
      <c r="G271" s="245" t="str">
        <f>IFERROR(__xludf.DUMMYFUNCTION("IFERROR(
  INDEX(
    FILTER(
      Transcription!$AJ:$AJ,
      TRIM(CLEAN(TEXT(Transcription!$F:$F, ""@""))) = TRIM(CLEAN(TEXT($D271, ""@""))),
      Transcription!$AO:$AO = 1
    ),
    1
  ),
  ""Not Found""
)
"),"https://drive.google.com/open?id=1E5yC2u7Vu3a_0pPG-h14qKq9yXimNzRe")</f>
        <v>https://drive.google.com/open?id=1E5yC2u7Vu3a_0pPG-h14qKq9yXimNzRe</v>
      </c>
      <c r="H2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TRIM(CLEAN(TEXT($D271, ""@""))),
      IMPORTRANGE(""https://docs.google.com/spreadsheets/d/1DccNxjBgurEr0ABkI_"&amp;"rBagJT5phB5HaHG5N_mTm_BiA/edit?gid=1382299152#gid=1382299152"", ""Form responses 1!$Z:$Z"") = 2
    ),
    1
  ),
  ""Not Found""
)
"),"https://drive.google.com/open?id=1KKmL4cJlVxxCnEKhiYKji4SjLbmXY_Qe")</f>
        <v>https://drive.google.com/open?id=1KKmL4cJlVxxCnEKhiYKji4SjLbmXY_Qe</v>
      </c>
      <c r="I2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1!$E:$E"")=$D271) *
        (IMPORTRANGE(""https://docs.google.com/spreadsheets/d/161aHT6vVT3SLneTKD19N5qVWtnj_jIT8CSsOmUVKmaA"&amp;"/edit?gid=1761053510"",
          ""Haris_Form responses 1!$AQ:$AQ"")=2)
      ),
      1
    ),
    ""0""
  ),
  ""Form not found""
)
"),"2")</f>
        <v>2</v>
      </c>
      <c r="J271" s="245" t="str">
        <f>IFERROR(__xludf.DUMMYFUNCTION("IFERROR(
  INDEX(
    FILTER(
      Transcription!$AJ:$AJ,
      TRIM(CLEAN(TEXT(Transcription!$F:$F, ""@""))) = TRIM(CLEAN(TEXT($D271, ""@""))),
      Transcription!$AO:$AO = 2
    ),
    1
  ),
  ""Not Found""
)
"),"https://drive.google.com/open?id=1cTm-zGrlCkwKX8v24MGa3qu2obMfLBQh")</f>
        <v>https://drive.google.com/open?id=1cTm-zGrlCkwKX8v24MGa3qu2obMfLBQh</v>
      </c>
      <c r="K2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TRIM(CLEAN(TEXT($D271, ""@""))),
      IMPORTRANGE(""https://docs.google.com/spreadsheets/d/1DccNxjBgurEr0ABkI_"&amp;"rBagJT5phB5HaHG5N_mTm_BiA/edit?gid=1382299152#gid=1382299152"", ""Form responses 1!$Z:$Z"") = 3
    ),
    1
  ),
  ""Not Found""
)
"),"https://drive.google.com/open?id=19WsU144hjcMqUTXejfJJom9sgZfRp-Xg")</f>
        <v>https://drive.google.com/open?id=19WsU144hjcMqUTXejfJJom9sgZfRp-Xg</v>
      </c>
      <c r="L2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1!$E:$E"")=$D271) *
        (IMPORTRANGE(""https://docs.google.com/spreadsheets/d/161aHT6vVT3SLneTKD19N5qVWtnj_jIT8CSsOmUVKmaA"&amp;"/edit?gid=1761053510"",
          ""Haris_Form responses 1!$AQ:$AQ"")=3)
      ),
      1
    ),
    ""0""
  ),
  ""Form not found""
)
"),"3")</f>
        <v>3</v>
      </c>
      <c r="M271" s="245" t="str">
        <f>IFERROR(__xludf.DUMMYFUNCTION("IFERROR(
  INDEX(
    FILTER(
      Transcription!$AJ:$AJ,
      TRIM(CLEAN(TEXT(Transcription!$F:$F, ""@""))) = TRIM(CLEAN(TEXT($D271, ""@""))),
      Transcription!$AO:$AO = 3
    ),
    1
  ),
  ""Not Found""
)
"),"https://drive.google.com/open?id=1993-PW9ns9q6ks9LnQpYOqRkNaodg1Hp")</f>
        <v>https://drive.google.com/open?id=1993-PW9ns9q6ks9LnQpYOqRkNaodg1Hp</v>
      </c>
      <c r="N27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TRIM(CLEAN(TEXT($D271, ""@""))),
      IMPORTRANGE(""https://docs.google.com/spreadsheets/d/1DccNxjBgurEr0ABkI_"&amp;"rBagJT5phB5HaHG5N_mTm_BiA/edit?gid=1382299152#gid=1382299152"", ""Form responses 1!$Z:$Z"") = 4
    ),
    1
  ),
  ""Not Found""
)
"),"https://drive.google.com/open?id=1RKXL1YcRjGzTD2UEpq0lysV3F59RVsrP")</f>
        <v>https://drive.google.com/open?id=1RKXL1YcRjGzTD2UEpq0lysV3F59RVsrP</v>
      </c>
      <c r="O2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1!$E:$E"")=$D271) *
        (IMPORTRANGE(""https://docs.google.com/spreadsheets/d/161aHT6vVT3SLneTKD19N5qVWtnj_jIT8CSsOmUVKmaA"&amp;"/edit?gid=1761053510"",
          ""Haris_Form responses 1!$AQ:$AQ"")=4)
      ),
      1
    ),
    ""0""
  ),
  ""Form not found""
)
"),"4")</f>
        <v>4</v>
      </c>
      <c r="P271" s="245" t="str">
        <f>IFERROR(__xludf.DUMMYFUNCTION("IFERROR(
  INDEX(
    FILTER(
      Transcription!$AJ:$AJ,
      TRIM(CLEAN(TEXT(Transcription!$F:$F, ""@""))) = TRIM(CLEAN(TEXT($D271, ""@""))),
      Transcription!$AO:$AO = 4
    ),
    1
  ),
  ""Not Found""
)
"),"https://drive.google.com/open?id=1lFcw_iWMtVR0h41_W_DraOFSdcaHOrXy")</f>
        <v>https://drive.google.com/open?id=1lFcw_iWMtVR0h41_W_DraOFSdcaHOrXy</v>
      </c>
      <c r="Q27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TRIM(CLEAN(TEXT($D271, ""@""))),
      IMPORTRANGE(""https://docs.google.com/spreadsheets/d/1DccNxjBgurEr0ABkI_"&amp;"rBagJT5phB5HaHG5N_mTm_BiA/edit?gid=1382299152#gid=1382299152"", ""Form responses 1!$Z:$Z"") = 5
    ),
    1
  ),
  ""Not Found""
)
"),"Not Found")</f>
        <v>Not Found</v>
      </c>
      <c r="R2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1!$E:$E"")=$D271) *
        (IMPORTRANGE(""https://docs.google.com/spreadsheets/d/161aHT6vVT3SLneTKD19N5qVWtnj_jIT8CSsOmUVKmaA"&amp;"/edit?gid=1761053510"",
          ""Haris_Form responses 1!$AQ:$AQ"")=5)
      ),
      1
    ),
    ""0""
  ),
  ""Form not found""
)
"),"Form not found")</f>
        <v>Form not found</v>
      </c>
      <c r="S271" s="247" t="str">
        <f>IFERROR(__xludf.DUMMYFUNCTION("IFERROR(
  INDEX(
    FILTER(
      Transcription!$AJ:$AJ,
      TRIM(CLEAN(TEXT(Transcription!$F:$F, ""@""))) = TRIM(CLEAN(TEXT($D271, ""@""))),
      Transcription!$AO:$AO = 5
    ),
    1
  ),
  ""Not Found""
)
"),"Not Found")</f>
        <v>Not Found</v>
      </c>
      <c r="T27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TRIM(CLEAN(TEXT($D271, ""@""))),
      IMPORTRANGE(""https://docs.google.com/spreadsheets/d/1DccNxjBgurEr0ABkI_"&amp;"rBagJT5phB5HaHG5N_mTm_BiA/edit?gid=1382299152#gid=1382299152"", ""Form responses 1!$Z:$Z"") = 6
    ),
    1
  ),
  ""Not Found""
)
"),"Not Found")</f>
        <v>Not Found</v>
      </c>
      <c r="U27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1!$E:$E"")=$D271) *
        (IMPORTRANGE(""https://docs.google.com/spreadsheets/d/161aHT6vVT3SLneTKD19N5qVWtnj_jIT8CSsOmUVKmaA"&amp;"/edit?gid=1761053510"",
          ""Haris_Form responses 1!$AQ:$AQ"")=6)
      ),
      1
    ),
    ""0""
  ),
  ""Form not found""
)
"),"Form not found")</f>
        <v>Form not found</v>
      </c>
      <c r="V271" s="247" t="str">
        <f>IFERROR(__xludf.DUMMYFUNCTION("IFERROR(
  INDEX(
    FILTER(
      Transcription!$AJ:$AJ,
      TRIM(CLEAN(TEXT(Transcription!$F:$F, ""@""))) = TRIM(CLEAN(TEXT($D271, ""@""))),
      Transcription!$AO:$AO = 6
    ),
    1
  ),
  ""Not Found""
)
"),"Not Found")</f>
        <v>Not Found</v>
      </c>
      <c r="Z271" s="10">
        <f t="shared" si="1"/>
        <v>4</v>
      </c>
      <c r="AA271" s="10">
        <f t="shared" si="2"/>
        <v>0</v>
      </c>
    </row>
    <row r="272">
      <c r="A272" s="8" t="str">
        <f>VLOOKUP($D272,Sheet6!$B:$G,5,FALSE)</f>
        <v>Faisalabad</v>
      </c>
      <c r="B272" s="232" t="str">
        <f>VLOOKUP($D272,Sheet6!$B:$G,4,FALSE)</f>
        <v>Control</v>
      </c>
      <c r="C272" s="8">
        <v>2.0</v>
      </c>
      <c r="D272" s="8" t="s">
        <v>3955</v>
      </c>
      <c r="E2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TRIM(CLEAN(TEXT($D272, ""@""))),
      IMPORTRANGE(""https://docs.google.com/spreadsheets/d/1DccNxjBgurEr0ABkI_"&amp;"rBagJT5phB5HaHG5N_mTm_BiA/edit?gid=1382299152#gid=1382299152"", ""Form responses 1!$Z:$Z"") = 1
    ),
    1
  ),
  ""Not Found""
)
"),"https://drive.google.com/open?id=1WduIGGYeaa8ZGISrAZGexsJZcrRz0PjM, https://drive.google.com/open?id=1mf30Gz0f-JeH_xxQEt5qR4Ibw7dh2oTn")</f>
        <v>https://drive.google.com/open?id=1WduIGGYeaa8ZGISrAZGexsJZcrRz0PjM, https://drive.google.com/open?id=1mf30Gz0f-JeH_xxQEt5qR4Ibw7dh2oTn</v>
      </c>
      <c r="F2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1!$E:$E"")=$D272) *
        (IMPORTRANGE(""https://docs.google.com/spreadsheets/d/161aHT6vVT3SLneTKD19N5qVWtnj_jIT8CSsOmUVKmaA"&amp;"/edit?gid=1761053510"",
          ""Haris_Form responses 1!$AQ:$AQ"")=1)
      ),
      1
    ),
    ""0""
  ),
  ""Form not found""
)
"),"1")</f>
        <v>1</v>
      </c>
      <c r="G272" s="245" t="str">
        <f>IFERROR(__xludf.DUMMYFUNCTION("IFERROR(
  INDEX(
    FILTER(
      Transcription!$AJ:$AJ,
      TRIM(CLEAN(TEXT(Transcription!$F:$F, ""@""))) = TRIM(CLEAN(TEXT($D272, ""@""))),
      Transcription!$AO:$AO = 1
    ),
    1
  ),
  ""Not Found""
)
"),"https://drive.google.com/open?id=1T-GppLXhXqa_qx8ILw15XnQ_2g3qjAEAfPGvzVw04Yk")</f>
        <v>https://drive.google.com/open?id=1T-GppLXhXqa_qx8ILw15XnQ_2g3qjAEAfPGvzVw04Yk</v>
      </c>
      <c r="H2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TRIM(CLEAN(TEXT($D272, ""@""))),
      IMPORTRANGE(""https://docs.google.com/spreadsheets/d/1DccNxjBgurEr0ABkI_"&amp;"rBagJT5phB5HaHG5N_mTm_BiA/edit?gid=1382299152#gid=1382299152"", ""Form responses 1!$Z:$Z"") = 2
    ),
    1
  ),
  ""Not Found""
)
"),"Not Found")</f>
        <v>Not Found</v>
      </c>
      <c r="I2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1!$E:$E"")=$D272) *
        (IMPORTRANGE(""https://docs.google.com/spreadsheets/d/161aHT6vVT3SLneTKD19N5qVWtnj_jIT8CSsOmUVKmaA"&amp;"/edit?gid=1761053510"",
          ""Haris_Form responses 1!$AQ:$AQ"")=2)
      ),
      1
    ),
    ""0""
  ),
  ""Form not found""
)
"),"Form not found")</f>
        <v>Form not found</v>
      </c>
      <c r="J272" s="247" t="str">
        <f>IFERROR(__xludf.DUMMYFUNCTION("IFERROR(
  INDEX(
    FILTER(
      Transcription!$AJ:$AJ,
      TRIM(CLEAN(TEXT(Transcription!$F:$F, ""@""))) = TRIM(CLEAN(TEXT($D272, ""@""))),
      Transcription!$AO:$AO = 2
    ),
    1
  ),
  ""Not Found""
)
"),"Not Found")</f>
        <v>Not Found</v>
      </c>
      <c r="K27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TRIM(CLEAN(TEXT($D272, ""@""))),
      IMPORTRANGE(""https://docs.google.com/spreadsheets/d/1DccNxjBgurEr0ABkI_"&amp;"rBagJT5phB5HaHG5N_mTm_BiA/edit?gid=1382299152#gid=1382299152"", ""Form responses 1!$Z:$Z"") = 3
    ),
    1
  ),
  ""Not Found""
)
"),"https://drive.google.com/open?id=1-jRAmCgBhCa0Of_AgULb4A0ZusOvd6fw")</f>
        <v>https://drive.google.com/open?id=1-jRAmCgBhCa0Of_AgULb4A0ZusOvd6fw</v>
      </c>
      <c r="L2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1!$E:$E"")=$D272) *
        (IMPORTRANGE(""https://docs.google.com/spreadsheets/d/161aHT6vVT3SLneTKD19N5qVWtnj_jIT8CSsOmUVKmaA"&amp;"/edit?gid=1761053510"",
          ""Haris_Form responses 1!$AQ:$AQ"")=3)
      ),
      1
    ),
    ""0""
  ),
  ""Form not found""
)
"),"3")</f>
        <v>3</v>
      </c>
      <c r="M272" s="245" t="str">
        <f>IFERROR(__xludf.DUMMYFUNCTION("IFERROR(
  INDEX(
    FILTER(
      Transcription!$AJ:$AJ,
      TRIM(CLEAN(TEXT(Transcription!$F:$F, ""@""))) = TRIM(CLEAN(TEXT($D272, ""@""))),
      Transcription!$AO:$AO = 3
    ),
    1
  ),
  ""Not Found""
)
"),"https://drive.google.com/open?id=144k-ndLV_n_U75NRxoqMjx94Wl3OZpeR")</f>
        <v>https://drive.google.com/open?id=144k-ndLV_n_U75NRxoqMjx94Wl3OZpeR</v>
      </c>
      <c r="N2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TRIM(CLEAN(TEXT($D272, ""@""))),
      IMPORTRANGE(""https://docs.google.com/spreadsheets/d/1DccNxjBgurEr0ABkI_"&amp;"rBagJT5phB5HaHG5N_mTm_BiA/edit?gid=1382299152#gid=1382299152"", ""Form responses 1!$Z:$Z"") = 4
    ),
    1
  ),
  ""Not Found""
)
"),"Not Found")</f>
        <v>Not Found</v>
      </c>
      <c r="O2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1!$E:$E"")=$D272) *
        (IMPORTRANGE(""https://docs.google.com/spreadsheets/d/161aHT6vVT3SLneTKD19N5qVWtnj_jIT8CSsOmUVKmaA"&amp;"/edit?gid=1761053510"",
          ""Haris_Form responses 1!$AQ:$AQ"")=4)
      ),
      1
    ),
    ""0""
  ),
  ""Form not found""
)
"),"Form not found")</f>
        <v>Form not found</v>
      </c>
      <c r="P272" s="247" t="str">
        <f>IFERROR(__xludf.DUMMYFUNCTION("IFERROR(
  INDEX(
    FILTER(
      Transcription!$AJ:$AJ,
      TRIM(CLEAN(TEXT(Transcription!$F:$F, ""@""))) = TRIM(CLEAN(TEXT($D272, ""@""))),
      Transcription!$AO:$AO = 4
    ),
    1
  ),
  ""Not Found""
)
"),"Not Found")</f>
        <v>Not Found</v>
      </c>
      <c r="Q2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TRIM(CLEAN(TEXT($D272, ""@""))),
      IMPORTRANGE(""https://docs.google.com/spreadsheets/d/1DccNxjBgurEr0ABkI_"&amp;"rBagJT5phB5HaHG5N_mTm_BiA/edit?gid=1382299152#gid=1382299152"", ""Form responses 1!$Z:$Z"") = 5
    ),
    1
  ),
  ""Not Found""
)
"),"Not Found")</f>
        <v>Not Found</v>
      </c>
      <c r="R2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1!$E:$E"")=$D272) *
        (IMPORTRANGE(""https://docs.google.com/spreadsheets/d/161aHT6vVT3SLneTKD19N5qVWtnj_jIT8CSsOmUVKmaA"&amp;"/edit?gid=1761053510"",
          ""Haris_Form responses 1!$AQ:$AQ"")=5)
      ),
      1
    ),
    ""0""
  ),
  ""Form not found""
)
"),"Form not found")</f>
        <v>Form not found</v>
      </c>
      <c r="S272" s="247" t="str">
        <f>IFERROR(__xludf.DUMMYFUNCTION("IFERROR(
  INDEX(
    FILTER(
      Transcription!$AJ:$AJ,
      TRIM(CLEAN(TEXT(Transcription!$F:$F, ""@""))) = TRIM(CLEAN(TEXT($D272, ""@""))),
      Transcription!$AO:$AO = 5
    ),
    1
  ),
  ""Not Found""
)
"),"Not Found")</f>
        <v>Not Found</v>
      </c>
      <c r="T27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TRIM(CLEAN(TEXT($D272, ""@""))),
      IMPORTRANGE(""https://docs.google.com/spreadsheets/d/1DccNxjBgurEr0ABkI_"&amp;"rBagJT5phB5HaHG5N_mTm_BiA/edit?gid=1382299152#gid=1382299152"", ""Form responses 1!$Z:$Z"") = 6
    ),
    1
  ),
  ""Not Found""
)
"),"Not Found")</f>
        <v>Not Found</v>
      </c>
      <c r="U27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1!$E:$E"")=$D272) *
        (IMPORTRANGE(""https://docs.google.com/spreadsheets/d/161aHT6vVT3SLneTKD19N5qVWtnj_jIT8CSsOmUVKmaA"&amp;"/edit?gid=1761053510"",
          ""Haris_Form responses 1!$AQ:$AQ"")=6)
      ),
      1
    ),
    ""0""
  ),
  ""Form not found""
)
"),"Form not found")</f>
        <v>Form not found</v>
      </c>
      <c r="V272" s="247" t="str">
        <f>IFERROR(__xludf.DUMMYFUNCTION("IFERROR(
  INDEX(
    FILTER(
      Transcription!$AJ:$AJ,
      TRIM(CLEAN(TEXT(Transcription!$F:$F, ""@""))) = TRIM(CLEAN(TEXT($D272, ""@""))),
      Transcription!$AO:$AO = 6
    ),
    1
  ),
  ""Not Found""
)
"),"Not Found")</f>
        <v>Not Found</v>
      </c>
      <c r="Z272" s="10">
        <f t="shared" si="1"/>
        <v>2</v>
      </c>
      <c r="AA272" s="10">
        <f t="shared" si="2"/>
        <v>0</v>
      </c>
    </row>
    <row r="273">
      <c r="A273" s="8" t="str">
        <f>VLOOKUP($D273,Sheet6!$B:$G,5,FALSE)</f>
        <v>Faisalabad</v>
      </c>
      <c r="B273" s="232" t="str">
        <f>VLOOKUP($D273,Sheet6!$B:$G,4,FALSE)</f>
        <v>Community Religious Info Share</v>
      </c>
      <c r="C273" s="8">
        <v>3.0</v>
      </c>
      <c r="D273" s="8" t="s">
        <v>4134</v>
      </c>
      <c r="E27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TRIM(CLEAN(TEXT($D273, ""@""))),
      IMPORTRANGE(""https://docs.google.com/spreadsheets/d/1DccNxjBgurEr0ABkI_"&amp;"rBagJT5phB5HaHG5N_mTm_BiA/edit?gid=1382299152#gid=1382299152"", ""Form responses 1!$Z:$Z"") = 1
    ),
    1
  ),
  ""Not Found""
)
"),"Not Found")</f>
        <v>Not Found</v>
      </c>
      <c r="F2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1!$E:$E"")=$D273) *
        (IMPORTRANGE(""https://docs.google.com/spreadsheets/d/161aHT6vVT3SLneTKD19N5qVWtnj_jIT8CSsOmUVKmaA"&amp;"/edit?gid=1761053510"",
          ""Haris_Form responses 1!$AQ:$AQ"")=1)
      ),
      1
    ),
    ""0""
  ),
  ""Form not found""
)
"),"Form not found")</f>
        <v>Form not found</v>
      </c>
      <c r="G273" s="247" t="str">
        <f>IFERROR(__xludf.DUMMYFUNCTION("IFERROR(
  INDEX(
    FILTER(
      Transcription!$AJ:$AJ,
      TRIM(CLEAN(TEXT(Transcription!$F:$F, ""@""))) = TRIM(CLEAN(TEXT($D273, ""@""))),
      Transcription!$AO:$AO = 1
    ),
    1
  ),
  ""Not Found""
)
"),"Not Found")</f>
        <v>Not Found</v>
      </c>
      <c r="H27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TRIM(CLEAN(TEXT($D273, ""@""))),
      IMPORTRANGE(""https://docs.google.com/spreadsheets/d/1DccNxjBgurEr0ABkI_"&amp;"rBagJT5phB5HaHG5N_mTm_BiA/edit?gid=1382299152#gid=1382299152"", ""Form responses 1!$Z:$Z"") = 2
    ),
    1
  ),
  ""Not Found""
)
"),"https://drive.google.com/open?id=1BoizWdDB6ed4Yz9TEoJqklEavoA8I9h2")</f>
        <v>https://drive.google.com/open?id=1BoizWdDB6ed4Yz9TEoJqklEavoA8I9h2</v>
      </c>
      <c r="I2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1!$E:$E"")=$D273) *
        (IMPORTRANGE(""https://docs.google.com/spreadsheets/d/161aHT6vVT3SLneTKD19N5qVWtnj_jIT8CSsOmUVKmaA"&amp;"/edit?gid=1761053510"",
          ""Haris_Form responses 1!$AQ:$AQ"")=2)
      ),
      1
    ),
    ""0""
  ),
  ""Form not found""
)
"),"2")</f>
        <v>2</v>
      </c>
      <c r="J273" s="245" t="str">
        <f>IFERROR(__xludf.DUMMYFUNCTION("IFERROR(
  INDEX(
    FILTER(
      Transcription!$AJ:$AJ,
      TRIM(CLEAN(TEXT(Transcription!$F:$F, ""@""))) = TRIM(CLEAN(TEXT($D273, ""@""))),
      Transcription!$AO:$AO = 2
    ),
    1
  ),
  ""Not Found""
)
"),"https://drive.google.com/open?id=1xK-nS3kWkcJxVGhwbsz3XCoWNm1YBKRJojuj9P2tXHg")</f>
        <v>https://drive.google.com/open?id=1xK-nS3kWkcJxVGhwbsz3XCoWNm1YBKRJojuj9P2tXHg</v>
      </c>
      <c r="K27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TRIM(CLEAN(TEXT($D273, ""@""))),
      IMPORTRANGE(""https://docs.google.com/spreadsheets/d/1DccNxjBgurEr0ABkI_"&amp;"rBagJT5phB5HaHG5N_mTm_BiA/edit?gid=1382299152#gid=1382299152"", ""Form responses 1!$Z:$Z"") = 3
    ),
    1
  ),
  ""Not Found""
)
"),"https://drive.google.com/file/d/1-npo6AAiYQznTuaih-louUamKkLsTsAt/view?usp=sharing")</f>
        <v>https://drive.google.com/file/d/1-npo6AAiYQznTuaih-louUamKkLsTsAt/view?usp=sharing</v>
      </c>
      <c r="L2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1!$E:$E"")=$D273) *
        (IMPORTRANGE(""https://docs.google.com/spreadsheets/d/161aHT6vVT3SLneTKD19N5qVWtnj_jIT8CSsOmUVKmaA"&amp;"/edit?gid=1761053510"",
          ""Haris_Form responses 1!$AQ:$AQ"")=3)
      ),
      1
    ),
    ""0""
  ),
  ""Form not found""
)
"),"3")</f>
        <v>3</v>
      </c>
      <c r="M273" s="245" t="str">
        <f>IFERROR(__xludf.DUMMYFUNCTION("IFERROR(
  INDEX(
    FILTER(
      Transcription!$AJ:$AJ,
      TRIM(CLEAN(TEXT(Transcription!$F:$F, ""@""))) = TRIM(CLEAN(TEXT($D273, ""@""))),
      Transcription!$AO:$AO = 3
    ),
    1
  ),
  ""Not Found""
)
"),"https://drive.google.com/open?id=1QUucbG4t4D0Lxqe1NorPtkZWnlJnLOt_Cm4O38-MnVc")</f>
        <v>https://drive.google.com/open?id=1QUucbG4t4D0Lxqe1NorPtkZWnlJnLOt_Cm4O38-MnVc</v>
      </c>
      <c r="N27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TRIM(CLEAN(TEXT($D273, ""@""))),
      IMPORTRANGE(""https://docs.google.com/spreadsheets/d/1DccNxjBgurEr0ABkI_"&amp;"rBagJT5phB5HaHG5N_mTm_BiA/edit?gid=1382299152#gid=1382299152"", ""Form responses 1!$Z:$Z"") = 4
    ),
    1
  ),
  ""Not Found""
)
"),"https://drive.google.com/file/d/1DJ7R2gc9L4Fl5BTkKC_XAZLhGQhMJPKD/view?usp=drive_link")</f>
        <v>https://drive.google.com/file/d/1DJ7R2gc9L4Fl5BTkKC_XAZLhGQhMJPKD/view?usp=drive_link</v>
      </c>
      <c r="O2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1!$E:$E"")=$D273) *
        (IMPORTRANGE(""https://docs.google.com/spreadsheets/d/161aHT6vVT3SLneTKD19N5qVWtnj_jIT8CSsOmUVKmaA"&amp;"/edit?gid=1761053510"",
          ""Haris_Form responses 1!$AQ:$AQ"")=4)
      ),
      1
    ),
    ""0""
  ),
  ""Form not found""
)
"),"4")</f>
        <v>4</v>
      </c>
      <c r="P273" s="245" t="str">
        <f>IFERROR(__xludf.DUMMYFUNCTION("IFERROR(
  INDEX(
    FILTER(
      Transcription!$AJ:$AJ,
      TRIM(CLEAN(TEXT(Transcription!$F:$F, ""@""))) = TRIM(CLEAN(TEXT($D273, ""@""))),
      Transcription!$AO:$AO = 4
    ),
    1
  ),
  ""Not Found""
)
"),"https://drive.google.com/open?id=1nW9dqP4zdfkZFih-I6j7TcDr5du43shd4CnUuKhlsW8")</f>
        <v>https://drive.google.com/open?id=1nW9dqP4zdfkZFih-I6j7TcDr5du43shd4CnUuKhlsW8</v>
      </c>
      <c r="Q27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TRIM(CLEAN(TEXT($D273, ""@""))),
      IMPORTRANGE(""https://docs.google.com/spreadsheets/d/1DccNxjBgurEr0ABkI_"&amp;"rBagJT5phB5HaHG5N_mTm_BiA/edit?gid=1382299152#gid=1382299152"", ""Form responses 1!$Z:$Z"") = 5
    ),
    1
  ),
  ""Not Found""
)
"),"Not Found")</f>
        <v>Not Found</v>
      </c>
      <c r="R2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1!$E:$E"")=$D273) *
        (IMPORTRANGE(""https://docs.google.com/spreadsheets/d/161aHT6vVT3SLneTKD19N5qVWtnj_jIT8CSsOmUVKmaA"&amp;"/edit?gid=1761053510"",
          ""Haris_Form responses 1!$AQ:$AQ"")=5)
      ),
      1
    ),
    ""0""
  ),
  ""Form not found""
)
"),"Form not found")</f>
        <v>Form not found</v>
      </c>
      <c r="S273" s="247" t="str">
        <f>IFERROR(__xludf.DUMMYFUNCTION("IFERROR(
  INDEX(
    FILTER(
      Transcription!$AJ:$AJ,
      TRIM(CLEAN(TEXT(Transcription!$F:$F, ""@""))) = TRIM(CLEAN(TEXT($D273, ""@""))),
      Transcription!$AO:$AO = 5
    ),
    1
  ),
  ""Not Found""
)
"),"Not Found")</f>
        <v>Not Found</v>
      </c>
      <c r="T27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TRIM(CLEAN(TEXT($D273, ""@""))),
      IMPORTRANGE(""https://docs.google.com/spreadsheets/d/1DccNxjBgurEr0ABkI_"&amp;"rBagJT5phB5HaHG5N_mTm_BiA/edit?gid=1382299152#gid=1382299152"", ""Form responses 1!$Z:$Z"") = 6
    ),
    1
  ),
  ""Not Found""
)
"),"Not Found")</f>
        <v>Not Found</v>
      </c>
      <c r="U27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1!$E:$E"")=$D273) *
        (IMPORTRANGE(""https://docs.google.com/spreadsheets/d/161aHT6vVT3SLneTKD19N5qVWtnj_jIT8CSsOmUVKmaA"&amp;"/edit?gid=1761053510"",
          ""Haris_Form responses 1!$AQ:$AQ"")=6)
      ),
      1
    ),
    ""0""
  ),
  ""Form not found""
)
"),"Form not found")</f>
        <v>Form not found</v>
      </c>
      <c r="V273" s="247" t="str">
        <f>IFERROR(__xludf.DUMMYFUNCTION("IFERROR(
  INDEX(
    FILTER(
      Transcription!$AJ:$AJ,
      TRIM(CLEAN(TEXT(Transcription!$F:$F, ""@""))) = TRIM(CLEAN(TEXT($D273, ""@""))),
      Transcription!$AO:$AO = 6
    ),
    1
  ),
  ""Not Found""
)
"),"Not Found")</f>
        <v>Not Found</v>
      </c>
      <c r="Z273" s="10">
        <f t="shared" si="1"/>
        <v>3</v>
      </c>
      <c r="AA273" s="10">
        <f t="shared" si="2"/>
        <v>0</v>
      </c>
    </row>
    <row r="274">
      <c r="A274" s="8" t="str">
        <f>VLOOKUP($D274,Sheet6!$B:$G,5,FALSE)</f>
        <v>Faisalabad</v>
      </c>
      <c r="B274" s="232" t="str">
        <f>VLOOKUP($D274,Sheet6!$B:$G,4,FALSE)</f>
        <v>Women Secular No Info Share</v>
      </c>
      <c r="C274" s="8">
        <v>3.0</v>
      </c>
      <c r="D274" s="8" t="s">
        <v>4696</v>
      </c>
      <c r="E27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TRIM(CLEAN(TEXT($D274, ""@""))),
      IMPORTRANGE(""https://docs.google.com/spreadsheets/d/1DccNxjBgurEr0ABkI_"&amp;"rBagJT5phB5HaHG5N_mTm_BiA/edit?gid=1382299152#gid=1382299152"", ""Form responses 1!$Z:$Z"") = 1
    ),
    1
  ),
  ""Not Found""
)
"),"https://drive.google.com/open?id=1Cp-2nEtIzFFGKqIxPJQvGOXowwl_Z7bu")</f>
        <v>https://drive.google.com/open?id=1Cp-2nEtIzFFGKqIxPJQvGOXowwl_Z7bu</v>
      </c>
      <c r="F2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1!$E:$E"")=$D274) *
        (IMPORTRANGE(""https://docs.google.com/spreadsheets/d/161aHT6vVT3SLneTKD19N5qVWtnj_jIT8CSsOmUVKmaA"&amp;"/edit?gid=1761053510"",
          ""Haris_Form responses 1!$AQ:$AQ"")=1)
      ),
      1
    ),
    ""0""
  ),
  ""Form not found""
)
"),"1")</f>
        <v>1</v>
      </c>
      <c r="G274" s="245" t="str">
        <f>IFERROR(__xludf.DUMMYFUNCTION("IFERROR(
  INDEX(
    FILTER(
      Transcription!$AJ:$AJ,
      TRIM(CLEAN(TEXT(Transcription!$F:$F, ""@""))) = TRIM(CLEAN(TEXT($D274, ""@""))),
      Transcription!$AO:$AO = 1
    ),
    1
  ),
  ""Not Found""
)
"),"https://drive.google.com/open?id=1Xjdhj4fIROd-u4HXQkpRLhnwYm0jWarzQLbZDOX57H8")</f>
        <v>https://drive.google.com/open?id=1Xjdhj4fIROd-u4HXQkpRLhnwYm0jWarzQLbZDOX57H8</v>
      </c>
      <c r="H27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TRIM(CLEAN(TEXT($D274, ""@""))),
      IMPORTRANGE(""https://docs.google.com/spreadsheets/d/1DccNxjBgurEr0ABkI_"&amp;"rBagJT5phB5HaHG5N_mTm_BiA/edit?gid=1382299152#gid=1382299152"", ""Form responses 1!$Z:$Z"") = 2
    ),
    1
  ),
  ""Not Found""
)
"),"https://drive.google.com/open?id=19IUVk73DMgCmgCo35NmVp_lkfUypzc3u")</f>
        <v>https://drive.google.com/open?id=19IUVk73DMgCmgCo35NmVp_lkfUypzc3u</v>
      </c>
      <c r="I2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1!$E:$E"")=$D274) *
        (IMPORTRANGE(""https://docs.google.com/spreadsheets/d/161aHT6vVT3SLneTKD19N5qVWtnj_jIT8CSsOmUVKmaA"&amp;"/edit?gid=1761053510"",
          ""Haris_Form responses 1!$AQ:$AQ"")=2)
      ),
      1
    ),
    ""0""
  ),
  ""Form not found""
)
"),"2")</f>
        <v>2</v>
      </c>
      <c r="J274" s="245" t="str">
        <f>IFERROR(__xludf.DUMMYFUNCTION("IFERROR(
  INDEX(
    FILTER(
      Transcription!$AJ:$AJ,
      TRIM(CLEAN(TEXT(Transcription!$F:$F, ""@""))) = TRIM(CLEAN(TEXT($D274, ""@""))),
      Transcription!$AO:$AO = 2
    ),
    1
  ),
  ""Not Found""
)
"),"https://drive.google.com/open?id=1T5vPMgpQeMBBvy9lAreVknhzt6GSTpp8")</f>
        <v>https://drive.google.com/open?id=1T5vPMgpQeMBBvy9lAreVknhzt6GSTpp8</v>
      </c>
      <c r="K27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TRIM(CLEAN(TEXT($D274, ""@""))),
      IMPORTRANGE(""https://docs.google.com/spreadsheets/d/1DccNxjBgurEr0ABkI_"&amp;"rBagJT5phB5HaHG5N_mTm_BiA/edit?gid=1382299152#gid=1382299152"", ""Form responses 1!$Z:$Z"") = 3
    ),
    1
  ),
  ""Not Found""
)
"),"https://drive.google.com/open?id=1yr05UGe8hraU4Y6y2F4ReMgmL6veXGJ8")</f>
        <v>https://drive.google.com/open?id=1yr05UGe8hraU4Y6y2F4ReMgmL6veXGJ8</v>
      </c>
      <c r="L2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1!$E:$E"")=$D274) *
        (IMPORTRANGE(""https://docs.google.com/spreadsheets/d/161aHT6vVT3SLneTKD19N5qVWtnj_jIT8CSsOmUVKmaA"&amp;"/edit?gid=1761053510"",
          ""Haris_Form responses 1!$AQ:$AQ"")=3)
      ),
      1
    ),
    ""0""
  ),
  ""Form not found""
)
"),"3")</f>
        <v>3</v>
      </c>
      <c r="M274" s="245" t="str">
        <f>IFERROR(__xludf.DUMMYFUNCTION("IFERROR(
  INDEX(
    FILTER(
      Transcription!$AJ:$AJ,
      TRIM(CLEAN(TEXT(Transcription!$F:$F, ""@""))) = TRIM(CLEAN(TEXT($D274, ""@""))),
      Transcription!$AO:$AO = 3
    ),
    1
  ),
  ""Not Found""
)
"),"https://drive.google.com/open?id=1egVkwO5yr75-xCKZ4pEO0KntdQiCHCRD0CenNuxypcI")</f>
        <v>https://drive.google.com/open?id=1egVkwO5yr75-xCKZ4pEO0KntdQiCHCRD0CenNuxypcI</v>
      </c>
      <c r="N27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TRIM(CLEAN(TEXT($D274, ""@""))),
      IMPORTRANGE(""https://docs.google.com/spreadsheets/d/1DccNxjBgurEr0ABkI_"&amp;"rBagJT5phB5HaHG5N_mTm_BiA/edit?gid=1382299152#gid=1382299152"", ""Form responses 1!$Z:$Z"") = 4
    ),
    1
  ),
  ""Not Found""
)
"),"Not Found")</f>
        <v>Not Found</v>
      </c>
      <c r="O2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1!$E:$E"")=$D274) *
        (IMPORTRANGE(""https://docs.google.com/spreadsheets/d/161aHT6vVT3SLneTKD19N5qVWtnj_jIT8CSsOmUVKmaA"&amp;"/edit?gid=1761053510"",
          ""Haris_Form responses 1!$AQ:$AQ"")=4)
      ),
      1
    ),
    ""0""
  ),
  ""Form not found""
)
"),"Form not found")</f>
        <v>Form not found</v>
      </c>
      <c r="P274" s="247" t="str">
        <f>IFERROR(__xludf.DUMMYFUNCTION("IFERROR(
  INDEX(
    FILTER(
      Transcription!$AJ:$AJ,
      TRIM(CLEAN(TEXT(Transcription!$F:$F, ""@""))) = TRIM(CLEAN(TEXT($D274, ""@""))),
      Transcription!$AO:$AO = 4
    ),
    1
  ),
  ""Not Found""
)
"),"Not Found")</f>
        <v>Not Found</v>
      </c>
      <c r="Q27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TRIM(CLEAN(TEXT($D274, ""@""))),
      IMPORTRANGE(""https://docs.google.com/spreadsheets/d/1DccNxjBgurEr0ABkI_"&amp;"rBagJT5phB5HaHG5N_mTm_BiA/edit?gid=1382299152#gid=1382299152"", ""Form responses 1!$Z:$Z"") = 5
    ),
    1
  ),
  ""Not Found""
)
"),"Not Found")</f>
        <v>Not Found</v>
      </c>
      <c r="R2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1!$E:$E"")=$D274) *
        (IMPORTRANGE(""https://docs.google.com/spreadsheets/d/161aHT6vVT3SLneTKD19N5qVWtnj_jIT8CSsOmUVKmaA"&amp;"/edit?gid=1761053510"",
          ""Haris_Form responses 1!$AQ:$AQ"")=5)
      ),
      1
    ),
    ""0""
  ),
  ""Form not found""
)
"),"Form not found")</f>
        <v>Form not found</v>
      </c>
      <c r="S274" s="247" t="str">
        <f>IFERROR(__xludf.DUMMYFUNCTION("IFERROR(
  INDEX(
    FILTER(
      Transcription!$AJ:$AJ,
      TRIM(CLEAN(TEXT(Transcription!$F:$F, ""@""))) = TRIM(CLEAN(TEXT($D274, ""@""))),
      Transcription!$AO:$AO = 5
    ),
    1
  ),
  ""Not Found""
)
"),"Not Found")</f>
        <v>Not Found</v>
      </c>
      <c r="T27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TRIM(CLEAN(TEXT($D274, ""@""))),
      IMPORTRANGE(""https://docs.google.com/spreadsheets/d/1DccNxjBgurEr0ABkI_"&amp;"rBagJT5phB5HaHG5N_mTm_BiA/edit?gid=1382299152#gid=1382299152"", ""Form responses 1!$Z:$Z"") = 6
    ),
    1
  ),
  ""Not Found""
)
"),"Not Found")</f>
        <v>Not Found</v>
      </c>
      <c r="U27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1!$E:$E"")=$D274) *
        (IMPORTRANGE(""https://docs.google.com/spreadsheets/d/161aHT6vVT3SLneTKD19N5qVWtnj_jIT8CSsOmUVKmaA"&amp;"/edit?gid=1761053510"",
          ""Haris_Form responses 1!$AQ:$AQ"")=6)
      ),
      1
    ),
    ""0""
  ),
  ""Form not found""
)
"),"Form not found")</f>
        <v>Form not found</v>
      </c>
      <c r="V274" s="247" t="str">
        <f>IFERROR(__xludf.DUMMYFUNCTION("IFERROR(
  INDEX(
    FILTER(
      Transcription!$AJ:$AJ,
      TRIM(CLEAN(TEXT(Transcription!$F:$F, ""@""))) = TRIM(CLEAN(TEXT($D274, ""@""))),
      Transcription!$AO:$AO = 6
    ),
    1
  ),
  ""Not Found""
)
"),"Not Found")</f>
        <v>Not Found</v>
      </c>
      <c r="Z274" s="10">
        <f t="shared" si="1"/>
        <v>3</v>
      </c>
      <c r="AA274" s="10">
        <f t="shared" si="2"/>
        <v>0</v>
      </c>
    </row>
    <row r="275">
      <c r="A275" s="8" t="str">
        <f>VLOOKUP($D275,Sheet6!$B:$G,5,FALSE)</f>
        <v>Faisalabad</v>
      </c>
      <c r="B275" s="232" t="str">
        <f>VLOOKUP($D275,Sheet6!$B:$G,4,FALSE)</f>
        <v>Community Religious No Info Share</v>
      </c>
      <c r="C275" s="8">
        <v>4.0</v>
      </c>
      <c r="D275" s="8" t="s">
        <v>3915</v>
      </c>
      <c r="E27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TRIM(CLEAN(TEXT($D275, ""@""))),
      IMPORTRANGE(""https://docs.google.com/spreadsheets/d/1DccNxjBgurEr0ABkI_"&amp;"rBagJT5phB5HaHG5N_mTm_BiA/edit?gid=1382299152#gid=1382299152"", ""Form responses 1!$Z:$Z"") = 1
    ),
    1
  ),
  ""Not Found""
)
"),"https://drive.google.com/open?id=1-D-FnePHNt9tH8UGZP4xBzhrccDfDXuc")</f>
        <v>https://drive.google.com/open?id=1-D-FnePHNt9tH8UGZP4xBzhrccDfDXuc</v>
      </c>
      <c r="F2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1!$E:$E"")=$D275) *
        (IMPORTRANGE(""https://docs.google.com/spreadsheets/d/161aHT6vVT3SLneTKD19N5qVWtnj_jIT8CSsOmUVKmaA"&amp;"/edit?gid=1761053510"",
          ""Haris_Form responses 1!$AQ:$AQ"")=1)
      ),
      1
    ),
    ""0""
  ),
  ""Form not found""
)
"),"1")</f>
        <v>1</v>
      </c>
      <c r="G275" s="245" t="str">
        <f>IFERROR(__xludf.DUMMYFUNCTION("IFERROR(
  INDEX(
    FILTER(
      Transcription!$AJ:$AJ,
      TRIM(CLEAN(TEXT(Transcription!$F:$F, ""@""))) = TRIM(CLEAN(TEXT($D275, ""@""))),
      Transcription!$AO:$AO = 1
    ),
    1
  ),
  ""Not Found""
)
"),"https://drive.google.com/open?id=1NzulmoVNakKME_U_xx1TZzCEj17p6zewCEamMFNGaTQ")</f>
        <v>https://drive.google.com/open?id=1NzulmoVNakKME_U_xx1TZzCEj17p6zewCEamMFNGaTQ</v>
      </c>
      <c r="H27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TRIM(CLEAN(TEXT($D275, ""@""))),
      IMPORTRANGE(""https://docs.google.com/spreadsheets/d/1DccNxjBgurEr0ABkI_"&amp;"rBagJT5phB5HaHG5N_mTm_BiA/edit?gid=1382299152#gid=1382299152"", ""Form responses 1!$Z:$Z"") = 2
    ),
    1
  ),
  ""Not Found""
)
"),"https://drive.google.com/open?id=199ErTQu1fWFuc9xzjredrCZrtQVtTIRX")</f>
        <v>https://drive.google.com/open?id=199ErTQu1fWFuc9xzjredrCZrtQVtTIRX</v>
      </c>
      <c r="I2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1!$E:$E"")=$D275) *
        (IMPORTRANGE(""https://docs.google.com/spreadsheets/d/161aHT6vVT3SLneTKD19N5qVWtnj_jIT8CSsOmUVKmaA"&amp;"/edit?gid=1761053510"",
          ""Haris_Form responses 1!$AQ:$AQ"")=2)
      ),
      1
    ),
    ""0""
  ),
  ""Form not found""
)
"),"2")</f>
        <v>2</v>
      </c>
      <c r="J275" s="245" t="str">
        <f>IFERROR(__xludf.DUMMYFUNCTION("IFERROR(
  INDEX(
    FILTER(
      Transcription!$AJ:$AJ,
      TRIM(CLEAN(TEXT(Transcription!$F:$F, ""@""))) = TRIM(CLEAN(TEXT($D275, ""@""))),
      Transcription!$AO:$AO = 2
    ),
    1
  ),
  ""Not Found""
)
"),"https://drive.google.com/open?id=13X5Ffpmu_lKU5n8biPngLBhBy74_rnAkzvbGsBIuJ64")</f>
        <v>https://drive.google.com/open?id=13X5Ffpmu_lKU5n8biPngLBhBy74_rnAkzvbGsBIuJ64</v>
      </c>
      <c r="K27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TRIM(CLEAN(TEXT($D275, ""@""))),
      IMPORTRANGE(""https://docs.google.com/spreadsheets/d/1DccNxjBgurEr0ABkI_"&amp;"rBagJT5phB5HaHG5N_mTm_BiA/edit?gid=1382299152#gid=1382299152"", ""Form responses 1!$Z:$Z"") = 3
    ),
    1
  ),
  ""Not Found""
)
"),"https://drive.google.com/open?id=19sEILeTZzb5KijYV8Fhruw8s_1NmD0sg")</f>
        <v>https://drive.google.com/open?id=19sEILeTZzb5KijYV8Fhruw8s_1NmD0sg</v>
      </c>
      <c r="L2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1!$E:$E"")=$D275) *
        (IMPORTRANGE(""https://docs.google.com/spreadsheets/d/161aHT6vVT3SLneTKD19N5qVWtnj_jIT8CSsOmUVKmaA"&amp;"/edit?gid=1761053510"",
          ""Haris_Form responses 1!$AQ:$AQ"")=3)
      ),
      1
    ),
    ""0""
  ),
  ""Form not found""
)
"),"3")</f>
        <v>3</v>
      </c>
      <c r="M275" s="245" t="str">
        <f>IFERROR(__xludf.DUMMYFUNCTION("IFERROR(
  INDEX(
    FILTER(
      Transcription!$AJ:$AJ,
      TRIM(CLEAN(TEXT(Transcription!$F:$F, ""@""))) = TRIM(CLEAN(TEXT($D275, ""@""))),
      Transcription!$AO:$AO = 3
    ),
    1
  ),
  ""Not Found""
)
"),"https://drive.google.com/open?id=1AFIGyf1bo1obCf3Mp1f5IQ_UReOsN3mnXzo1Yt9ZKUE")</f>
        <v>https://drive.google.com/open?id=1AFIGyf1bo1obCf3Mp1f5IQ_UReOsN3mnXzo1Yt9ZKUE</v>
      </c>
      <c r="N27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TRIM(CLEAN(TEXT($D275, ""@""))),
      IMPORTRANGE(""https://docs.google.com/spreadsheets/d/1DccNxjBgurEr0ABkI_"&amp;"rBagJT5phB5HaHG5N_mTm_BiA/edit?gid=1382299152#gid=1382299152"", ""Form responses 1!$Z:$Z"") = 4
    ),
    1
  ),
  ""Not Found""
)
"),"https://drive.google.com/open?id=1mhYcDWYube3Yrme-9KL9wq1gH0aYckey")</f>
        <v>https://drive.google.com/open?id=1mhYcDWYube3Yrme-9KL9wq1gH0aYckey</v>
      </c>
      <c r="O2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1!$E:$E"")=$D275) *
        (IMPORTRANGE(""https://docs.google.com/spreadsheets/d/161aHT6vVT3SLneTKD19N5qVWtnj_jIT8CSsOmUVKmaA"&amp;"/edit?gid=1761053510"",
          ""Haris_Form responses 1!$AQ:$AQ"")=4)
      ),
      1
    ),
    ""0""
  ),
  ""Form not found""
)
"),"4")</f>
        <v>4</v>
      </c>
      <c r="P275" s="245" t="str">
        <f>IFERROR(__xludf.DUMMYFUNCTION("IFERROR(
  INDEX(
    FILTER(
      Transcription!$AJ:$AJ,
      TRIM(CLEAN(TEXT(Transcription!$F:$F, ""@""))) = TRIM(CLEAN(TEXT($D275, ""@""))),
      Transcription!$AO:$AO = 4
    ),
    1
  ),
  ""Not Found""
)
"),"https://drive.google.com/open?id=1fxo-xd87HTR1BHB-QUZZk1N5-KyP2u4pQG07R3mskUY")</f>
        <v>https://drive.google.com/open?id=1fxo-xd87HTR1BHB-QUZZk1N5-KyP2u4pQG07R3mskUY</v>
      </c>
      <c r="Q27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TRIM(CLEAN(TEXT($D275, ""@""))),
      IMPORTRANGE(""https://docs.google.com/spreadsheets/d/1DccNxjBgurEr0ABkI_"&amp;"rBagJT5phB5HaHG5N_mTm_BiA/edit?gid=1382299152#gid=1382299152"", ""Form responses 1!$Z:$Z"") = 5
    ),
    1
  ),
  ""Not Found""
)
"),"Not Found")</f>
        <v>Not Found</v>
      </c>
      <c r="R2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1!$E:$E"")=$D275) *
        (IMPORTRANGE(""https://docs.google.com/spreadsheets/d/161aHT6vVT3SLneTKD19N5qVWtnj_jIT8CSsOmUVKmaA"&amp;"/edit?gid=1761053510"",
          ""Haris_Form responses 1!$AQ:$AQ"")=5)
      ),
      1
    ),
    ""0""
  ),
  ""Form not found""
)
"),"Form not found")</f>
        <v>Form not found</v>
      </c>
      <c r="S275" s="247" t="str">
        <f>IFERROR(__xludf.DUMMYFUNCTION("IFERROR(
  INDEX(
    FILTER(
      Transcription!$AJ:$AJ,
      TRIM(CLEAN(TEXT(Transcription!$F:$F, ""@""))) = TRIM(CLEAN(TEXT($D275, ""@""))),
      Transcription!$AO:$AO = 5
    ),
    1
  ),
  ""Not Found""
)
"),"Not Found")</f>
        <v>Not Found</v>
      </c>
      <c r="T27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TRIM(CLEAN(TEXT($D275, ""@""))),
      IMPORTRANGE(""https://docs.google.com/spreadsheets/d/1DccNxjBgurEr0ABkI_"&amp;"rBagJT5phB5HaHG5N_mTm_BiA/edit?gid=1382299152#gid=1382299152"", ""Form responses 1!$Z:$Z"") = 6
    ),
    1
  ),
  ""Not Found""
)
"),"Not Found")</f>
        <v>Not Found</v>
      </c>
      <c r="U27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1!$E:$E"")=$D275) *
        (IMPORTRANGE(""https://docs.google.com/spreadsheets/d/161aHT6vVT3SLneTKD19N5qVWtnj_jIT8CSsOmUVKmaA"&amp;"/edit?gid=1761053510"",
          ""Haris_Form responses 1!$AQ:$AQ"")=6)
      ),
      1
    ),
    ""0""
  ),
  ""Form not found""
)
"),"Form not found")</f>
        <v>Form not found</v>
      </c>
      <c r="V275" s="247" t="str">
        <f>IFERROR(__xludf.DUMMYFUNCTION("IFERROR(
  INDEX(
    FILTER(
      Transcription!$AJ:$AJ,
      TRIM(CLEAN(TEXT(Transcription!$F:$F, ""@""))) = TRIM(CLEAN(TEXT($D275, ""@""))),
      Transcription!$AO:$AO = 6
    ),
    1
  ),
  ""Not Found""
)
"),"Not Found")</f>
        <v>Not Found</v>
      </c>
      <c r="Z275" s="10">
        <f t="shared" si="1"/>
        <v>4</v>
      </c>
      <c r="AA275" s="10">
        <f t="shared" si="2"/>
        <v>0</v>
      </c>
    </row>
    <row r="276">
      <c r="A276" s="8" t="str">
        <f>VLOOKUP($D276,Sheet6!$B:$G,5,FALSE)</f>
        <v>Faisalabad</v>
      </c>
      <c r="B276" s="232" t="str">
        <f>VLOOKUP($D276,Sheet6!$B:$G,4,FALSE)</f>
        <v>Women Secular No Info Share</v>
      </c>
      <c r="C276" s="8">
        <v>3.0</v>
      </c>
      <c r="D276" s="8" t="s">
        <v>4279</v>
      </c>
      <c r="E27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TRIM(CLEAN(TEXT($D276, ""@""))),
      IMPORTRANGE(""https://docs.google.com/spreadsheets/d/1DccNxjBgurEr0ABkI_"&amp;"rBagJT5phB5HaHG5N_mTm_BiA/edit?gid=1382299152#gid=1382299152"", ""Form responses 1!$Z:$Z"") = 1
    ),
    1
  ),
  ""Not Found""
)
"),"Not Found")</f>
        <v>Not Found</v>
      </c>
      <c r="F2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1!$E:$E"")=$D276) *
        (IMPORTRANGE(""https://docs.google.com/spreadsheets/d/161aHT6vVT3SLneTKD19N5qVWtnj_jIT8CSsOmUVKmaA"&amp;"/edit?gid=1761053510"",
          ""Haris_Form responses 1!$AQ:$AQ"")=1)
      ),
      1
    ),
    ""0""
  ),
  ""Form not found""
)
"),"Form not found")</f>
        <v>Form not found</v>
      </c>
      <c r="G276" s="247" t="str">
        <f>IFERROR(__xludf.DUMMYFUNCTION("IFERROR(
  INDEX(
    FILTER(
      Transcription!$AJ:$AJ,
      TRIM(CLEAN(TEXT(Transcription!$F:$F, ""@""))) = TRIM(CLEAN(TEXT($D276, ""@""))),
      Transcription!$AO:$AO = 1
    ),
    1
  ),
  ""Not Found""
)
"),"Not Found")</f>
        <v>Not Found</v>
      </c>
      <c r="H27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TRIM(CLEAN(TEXT($D276, ""@""))),
      IMPORTRANGE(""https://docs.google.com/spreadsheets/d/1DccNxjBgurEr0ABkI_"&amp;"rBagJT5phB5HaHG5N_mTm_BiA/edit?gid=1382299152#gid=1382299152"", ""Form responses 1!$Z:$Z"") = 2
    ),
    1
  ),
  ""Not Found""
)
"),"Not Found")</f>
        <v>Not Found</v>
      </c>
      <c r="I2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1!$E:$E"")=$D276) *
        (IMPORTRANGE(""https://docs.google.com/spreadsheets/d/161aHT6vVT3SLneTKD19N5qVWtnj_jIT8CSsOmUVKmaA"&amp;"/edit?gid=1761053510"",
          ""Haris_Form responses 1!$AQ:$AQ"")=2)
      ),
      1
    ),
    ""0""
  ),
  ""Form not found""
)
"),"Form not found")</f>
        <v>Form not found</v>
      </c>
      <c r="J276" s="247" t="str">
        <f>IFERROR(__xludf.DUMMYFUNCTION("IFERROR(
  INDEX(
    FILTER(
      Transcription!$AJ:$AJ,
      TRIM(CLEAN(TEXT(Transcription!$F:$F, ""@""))) = TRIM(CLEAN(TEXT($D276, ""@""))),
      Transcription!$AO:$AO = 2
    ),
    1
  ),
  ""Not Found""
)
"),"Not Found")</f>
        <v>Not Found</v>
      </c>
      <c r="K27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TRIM(CLEAN(TEXT($D276, ""@""))),
      IMPORTRANGE(""https://docs.google.com/spreadsheets/d/1DccNxjBgurEr0ABkI_"&amp;"rBagJT5phB5HaHG5N_mTm_BiA/edit?gid=1382299152#gid=1382299152"", ""Form responses 1!$Z:$Z"") = 3
    ),
    1
  ),
  ""Not Found""
)
"),"https://drive.google.com/file/d/1QsvKqokUrIftbGCEMIt1zg_srLOzGdji/view?usp=drive_link")</f>
        <v>https://drive.google.com/file/d/1QsvKqokUrIftbGCEMIt1zg_srLOzGdji/view?usp=drive_link</v>
      </c>
      <c r="L2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1!$E:$E"")=$D276) *
        (IMPORTRANGE(""https://docs.google.com/spreadsheets/d/161aHT6vVT3SLneTKD19N5qVWtnj_jIT8CSsOmUVKmaA"&amp;"/edit?gid=1761053510"",
          ""Haris_Form responses 1!$AQ:$AQ"")=3)
      ),
      1
    ),
    ""0""
  ),
  ""Form not found""
)
"),"3")</f>
        <v>3</v>
      </c>
      <c r="M276" s="245" t="str">
        <f>IFERROR(__xludf.DUMMYFUNCTION("IFERROR(
  INDEX(
    FILTER(
      Transcription!$AJ:$AJ,
      TRIM(CLEAN(TEXT(Transcription!$F:$F, ""@""))) = TRIM(CLEAN(TEXT($D276, ""@""))),
      Transcription!$AO:$AO = 3
    ),
    1
  ),
  ""Not Found""
)
"),"https://drive.google.com/open?id=1hgusqHr8_f1ZVpj-nt_BTzwUJgDMGKhXpGf4AFdgs1E")</f>
        <v>https://drive.google.com/open?id=1hgusqHr8_f1ZVpj-nt_BTzwUJgDMGKhXpGf4AFdgs1E</v>
      </c>
      <c r="N27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TRIM(CLEAN(TEXT($D276, ""@""))),
      IMPORTRANGE(""https://docs.google.com/spreadsheets/d/1DccNxjBgurEr0ABkI_"&amp;"rBagJT5phB5HaHG5N_mTm_BiA/edit?gid=1382299152#gid=1382299152"", ""Form responses 1!$Z:$Z"") = 4
    ),
    1
  ),
  ""Not Found""
)
"),"https://drive.google.com/open?id=1WzmlfwQD5_F67APyEpZjlpEi81-mgTPb")</f>
        <v>https://drive.google.com/open?id=1WzmlfwQD5_F67APyEpZjlpEi81-mgTPb</v>
      </c>
      <c r="O2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1!$E:$E"")=$D276) *
        (IMPORTRANGE(""https://docs.google.com/spreadsheets/d/161aHT6vVT3SLneTKD19N5qVWtnj_jIT8CSsOmUVKmaA"&amp;"/edit?gid=1761053510"",
          ""Haris_Form responses 1!$AQ:$AQ"")=4)
      ),
      1
    ),
    ""0""
  ),
  ""Form not found""
)
"),"4")</f>
        <v>4</v>
      </c>
      <c r="P276" s="245" t="str">
        <f>IFERROR(__xludf.DUMMYFUNCTION("IFERROR(
  INDEX(
    FILTER(
      Transcription!$AJ:$AJ,
      TRIM(CLEAN(TEXT(Transcription!$F:$F, ""@""))) = TRIM(CLEAN(TEXT($D276, ""@""))),
      Transcription!$AO:$AO = 4
    ),
    1
  ),
  ""Not Found""
)
"),"https://drive.google.com/open?id=19ezccxDarZlC2i85iG8Na2hNiwtd5iaq")</f>
        <v>https://drive.google.com/open?id=19ezccxDarZlC2i85iG8Na2hNiwtd5iaq</v>
      </c>
      <c r="Q27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TRIM(CLEAN(TEXT($D276, ""@""))),
      IMPORTRANGE(""https://docs.google.com/spreadsheets/d/1DccNxjBgurEr0ABkI_"&amp;"rBagJT5phB5HaHG5N_mTm_BiA/edit?gid=1382299152#gid=1382299152"", ""Form responses 1!$Z:$Z"") = 5
    ),
    1
  ),
  ""Not Found""
)
"),"https://drive.google.com/open?id=17oA0Ovsigo0oEoQVRlgHaLhgcHLPdsJ-")</f>
        <v>https://drive.google.com/open?id=17oA0Ovsigo0oEoQVRlgHaLhgcHLPdsJ-</v>
      </c>
      <c r="R2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1!$E:$E"")=$D276) *
        (IMPORTRANGE(""https://docs.google.com/spreadsheets/d/161aHT6vVT3SLneTKD19N5qVWtnj_jIT8CSsOmUVKmaA"&amp;"/edit?gid=1761053510"",
          ""Haris_Form responses 1!$AQ:$AQ"")=5)
      ),
      1
    ),
    ""0""
  ),
  ""Form not found""
)
"),"5")</f>
        <v>5</v>
      </c>
      <c r="S276" s="245" t="str">
        <f>IFERROR(__xludf.DUMMYFUNCTION("IFERROR(
  INDEX(
    FILTER(
      Transcription!$AJ:$AJ,
      TRIM(CLEAN(TEXT(Transcription!$F:$F, ""@""))) = TRIM(CLEAN(TEXT($D276, ""@""))),
      Transcription!$AO:$AO = 5
    ),
    1
  ),
  ""Not Found""
)
"),"https://drive.google.com/open?id=1v1qPqfX3yNTLSrUFXb5Oc5oDKNeav5QAqwPApH3QlMA")</f>
        <v>https://drive.google.com/open?id=1v1qPqfX3yNTLSrUFXb5Oc5oDKNeav5QAqwPApH3QlMA</v>
      </c>
      <c r="T27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TRIM(CLEAN(TEXT($D276, ""@""))),
      IMPORTRANGE(""https://docs.google.com/spreadsheets/d/1DccNxjBgurEr0ABkI_"&amp;"rBagJT5phB5HaHG5N_mTm_BiA/edit?gid=1382299152#gid=1382299152"", ""Form responses 1!$Z:$Z"") = 6
    ),
    1
  ),
  ""Not Found""
)
"),"Not Found")</f>
        <v>Not Found</v>
      </c>
      <c r="U27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1!$E:$E"")=$D276) *
        (IMPORTRANGE(""https://docs.google.com/spreadsheets/d/161aHT6vVT3SLneTKD19N5qVWtnj_jIT8CSsOmUVKmaA"&amp;"/edit?gid=1761053510"",
          ""Haris_Form responses 1!$AQ:$AQ"")=6)
      ),
      1
    ),
    ""0""
  ),
  ""Form not found""
)
"),"Form not found")</f>
        <v>Form not found</v>
      </c>
      <c r="V276" s="247" t="str">
        <f>IFERROR(__xludf.DUMMYFUNCTION("IFERROR(
  INDEX(
    FILTER(
      Transcription!$AJ:$AJ,
      TRIM(CLEAN(TEXT(Transcription!$F:$F, ""@""))) = TRIM(CLEAN(TEXT($D276, ""@""))),
      Transcription!$AO:$AO = 6
    ),
    1
  ),
  ""Not Found""
)
"),"Not Found")</f>
        <v>Not Found</v>
      </c>
      <c r="Z276" s="10">
        <f t="shared" si="1"/>
        <v>3</v>
      </c>
      <c r="AA276" s="10">
        <f t="shared" si="2"/>
        <v>0</v>
      </c>
    </row>
    <row r="277">
      <c r="A277" s="8" t="str">
        <f>VLOOKUP($D277,Sheet6!$B:$G,5,FALSE)</f>
        <v>Faisalabad</v>
      </c>
      <c r="B277" s="232" t="str">
        <f>VLOOKUP($D277,Sheet6!$B:$G,4,FALSE)</f>
        <v>Community Religious No Info Share</v>
      </c>
      <c r="C277" s="8">
        <v>3.0</v>
      </c>
      <c r="D277" s="8" t="s">
        <v>4022</v>
      </c>
      <c r="E27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TRIM(CLEAN(TEXT($D277, ""@""))),
      IMPORTRANGE(""https://docs.google.com/spreadsheets/d/1DccNxjBgurEr0ABkI_"&amp;"rBagJT5phB5HaHG5N_mTm_BiA/edit?gid=1382299152#gid=1382299152"", ""Form responses 1!$Z:$Z"") = 1
    ),
    1
  ),
  ""Not Found""
)
"),"https://drive.google.com/open?id=19OhTfI2od_QNtl4sI7uklaPksrrSYHau")</f>
        <v>https://drive.google.com/open?id=19OhTfI2od_QNtl4sI7uklaPksrrSYHau</v>
      </c>
      <c r="F2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1!$E:$E"")=$D277) *
        (IMPORTRANGE(""https://docs.google.com/spreadsheets/d/161aHT6vVT3SLneTKD19N5qVWtnj_jIT8CSsOmUVKmaA"&amp;"/edit?gid=1761053510"",
          ""Haris_Form responses 1!$AQ:$AQ"")=1)
      ),
      1
    ),
    ""0""
  ),
  ""Form not found""
)
"),"1")</f>
        <v>1</v>
      </c>
      <c r="G277" s="245" t="str">
        <f>IFERROR(__xludf.DUMMYFUNCTION("IFERROR(
  INDEX(
    FILTER(
      Transcription!$AJ:$AJ,
      TRIM(CLEAN(TEXT(Transcription!$F:$F, ""@""))) = TRIM(CLEAN(TEXT($D277, ""@""))),
      Transcription!$AO:$AO = 1
    ),
    1
  ),
  ""Not Found""
)
"),"https://drive.google.com/open?id=1BY3zerW6XELYv_RNnrwJfV_ccjDOFG5n")</f>
        <v>https://drive.google.com/open?id=1BY3zerW6XELYv_RNnrwJfV_ccjDOFG5n</v>
      </c>
      <c r="H27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TRIM(CLEAN(TEXT($D277, ""@""))),
      IMPORTRANGE(""https://docs.google.com/spreadsheets/d/1DccNxjBgurEr0ABkI_"&amp;"rBagJT5phB5HaHG5N_mTm_BiA/edit?gid=1382299152#gid=1382299152"", ""Form responses 1!$Z:$Z"") = 2
    ),
    1
  ),
  ""Not Found""
)
"),"https://drive.google.com/open?id=16SRQnbs9dBfsyU1H_cGKsc-_STn7mgbA")</f>
        <v>https://drive.google.com/open?id=16SRQnbs9dBfsyU1H_cGKsc-_STn7mgbA</v>
      </c>
      <c r="I2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1!$E:$E"")=$D277) *
        (IMPORTRANGE(""https://docs.google.com/spreadsheets/d/161aHT6vVT3SLneTKD19N5qVWtnj_jIT8CSsOmUVKmaA"&amp;"/edit?gid=1761053510"",
          ""Haris_Form responses 1!$AQ:$AQ"")=2)
      ),
      1
    ),
    ""0""
  ),
  ""Form not found""
)
"),"2")</f>
        <v>2</v>
      </c>
      <c r="J277" s="245" t="str">
        <f>IFERROR(__xludf.DUMMYFUNCTION("IFERROR(
  INDEX(
    FILTER(
      Transcription!$AJ:$AJ,
      TRIM(CLEAN(TEXT(Transcription!$F:$F, ""@""))) = TRIM(CLEAN(TEXT($D277, ""@""))),
      Transcription!$AO:$AO = 2
    ),
    1
  ),
  ""Not Found""
)
"),"https://drive.google.com/open?id=1SBltFbOFAuuF8mo_1AfB40dW3udQLtHYtRpZ-0ZZib8")</f>
        <v>https://drive.google.com/open?id=1SBltFbOFAuuF8mo_1AfB40dW3udQLtHYtRpZ-0ZZib8</v>
      </c>
      <c r="K27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TRIM(CLEAN(TEXT($D277, ""@""))),
      IMPORTRANGE(""https://docs.google.com/spreadsheets/d/1DccNxjBgurEr0ABkI_"&amp;"rBagJT5phB5HaHG5N_mTm_BiA/edit?gid=1382299152#gid=1382299152"", ""Form responses 1!$Z:$Z"") = 3
    ),
    1
  ),
  ""Not Found""
)
"),"https://drive.google.com/file/d/1jG_JmOwaYhO4lbZa9ZQZJVR6ekudgzAQ/view?usp=drive_link")</f>
        <v>https://drive.google.com/file/d/1jG_JmOwaYhO4lbZa9ZQZJVR6ekudgzAQ/view?usp=drive_link</v>
      </c>
      <c r="L2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1!$E:$E"")=$D277) *
        (IMPORTRANGE(""https://docs.google.com/spreadsheets/d/161aHT6vVT3SLneTKD19N5qVWtnj_jIT8CSsOmUVKmaA"&amp;"/edit?gid=1761053510"",
          ""Haris_Form responses 1!$AQ:$AQ"")=3)
      ),
      1
    ),
    ""0""
  ),
  ""Form not found""
)
"),"3")</f>
        <v>3</v>
      </c>
      <c r="M277" s="245" t="str">
        <f>IFERROR(__xludf.DUMMYFUNCTION("IFERROR(
  INDEX(
    FILTER(
      Transcription!$AJ:$AJ,
      TRIM(CLEAN(TEXT(Transcription!$F:$F, ""@""))) = TRIM(CLEAN(TEXT($D277, ""@""))),
      Transcription!$AO:$AO = 3
    ),
    1
  ),
  ""Not Found""
)
"),"https://drive.google.com/open?id=1J8Ag8WjhNrExkk329q3bektSNCf-jY1sknl8SaFyiv4")</f>
        <v>https://drive.google.com/open?id=1J8Ag8WjhNrExkk329q3bektSNCf-jY1sknl8SaFyiv4</v>
      </c>
      <c r="N2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TRIM(CLEAN(TEXT($D277, ""@""))),
      IMPORTRANGE(""https://docs.google.com/spreadsheets/d/1DccNxjBgurEr0ABkI_"&amp;"rBagJT5phB5HaHG5N_mTm_BiA/edit?gid=1382299152#gid=1382299152"", ""Form responses 1!$Z:$Z"") = 4
    ),
    1
  ),
  ""Not Found""
)
"),"Not Found")</f>
        <v>Not Found</v>
      </c>
      <c r="O2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1!$E:$E"")=$D277) *
        (IMPORTRANGE(""https://docs.google.com/spreadsheets/d/161aHT6vVT3SLneTKD19N5qVWtnj_jIT8CSsOmUVKmaA"&amp;"/edit?gid=1761053510"",
          ""Haris_Form responses 1!$AQ:$AQ"")=4)
      ),
      1
    ),
    ""0""
  ),
  ""Form not found""
)
"),"Form not found")</f>
        <v>Form not found</v>
      </c>
      <c r="P277" s="247" t="str">
        <f>IFERROR(__xludf.DUMMYFUNCTION("IFERROR(
  INDEX(
    FILTER(
      Transcription!$AJ:$AJ,
      TRIM(CLEAN(TEXT(Transcription!$F:$F, ""@""))) = TRIM(CLEAN(TEXT($D277, ""@""))),
      Transcription!$AO:$AO = 4
    ),
    1
  ),
  ""Not Found""
)
"),"Not Found")</f>
        <v>Not Found</v>
      </c>
      <c r="Q2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TRIM(CLEAN(TEXT($D277, ""@""))),
      IMPORTRANGE(""https://docs.google.com/spreadsheets/d/1DccNxjBgurEr0ABkI_"&amp;"rBagJT5phB5HaHG5N_mTm_BiA/edit?gid=1382299152#gid=1382299152"", ""Form responses 1!$Z:$Z"") = 5
    ),
    1
  ),
  ""Not Found""
)
"),"Not Found")</f>
        <v>Not Found</v>
      </c>
      <c r="R2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1!$E:$E"")=$D277) *
        (IMPORTRANGE(""https://docs.google.com/spreadsheets/d/161aHT6vVT3SLneTKD19N5qVWtnj_jIT8CSsOmUVKmaA"&amp;"/edit?gid=1761053510"",
          ""Haris_Form responses 1!$AQ:$AQ"")=5)
      ),
      1
    ),
    ""0""
  ),
  ""Form not found""
)
"),"Form not found")</f>
        <v>Form not found</v>
      </c>
      <c r="S277" s="247" t="str">
        <f>IFERROR(__xludf.DUMMYFUNCTION("IFERROR(
  INDEX(
    FILTER(
      Transcription!$AJ:$AJ,
      TRIM(CLEAN(TEXT(Transcription!$F:$F, ""@""))) = TRIM(CLEAN(TEXT($D277, ""@""))),
      Transcription!$AO:$AO = 5
    ),
    1
  ),
  ""Not Found""
)
"),"Not Found")</f>
        <v>Not Found</v>
      </c>
      <c r="T27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TRIM(CLEAN(TEXT($D277, ""@""))),
      IMPORTRANGE(""https://docs.google.com/spreadsheets/d/1DccNxjBgurEr0ABkI_"&amp;"rBagJT5phB5HaHG5N_mTm_BiA/edit?gid=1382299152#gid=1382299152"", ""Form responses 1!$Z:$Z"") = 6
    ),
    1
  ),
  ""Not Found""
)
"),"Not Found")</f>
        <v>Not Found</v>
      </c>
      <c r="U27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1!$E:$E"")=$D277) *
        (IMPORTRANGE(""https://docs.google.com/spreadsheets/d/161aHT6vVT3SLneTKD19N5qVWtnj_jIT8CSsOmUVKmaA"&amp;"/edit?gid=1761053510"",
          ""Haris_Form responses 1!$AQ:$AQ"")=6)
      ),
      1
    ),
    ""0""
  ),
  ""Form not found""
)
"),"Form not found")</f>
        <v>Form not found</v>
      </c>
      <c r="V277" s="247" t="str">
        <f>IFERROR(__xludf.DUMMYFUNCTION("IFERROR(
  INDEX(
    FILTER(
      Transcription!$AJ:$AJ,
      TRIM(CLEAN(TEXT(Transcription!$F:$F, ""@""))) = TRIM(CLEAN(TEXT($D277, ""@""))),
      Transcription!$AO:$AO = 6
    ),
    1
  ),
  ""Not Found""
)
"),"Not Found")</f>
        <v>Not Found</v>
      </c>
      <c r="Z277" s="10">
        <f t="shared" si="1"/>
        <v>3</v>
      </c>
      <c r="AA277" s="10">
        <f t="shared" si="2"/>
        <v>0</v>
      </c>
    </row>
    <row r="278">
      <c r="A278" s="8" t="str">
        <f>VLOOKUP($D278,Sheet6!$B:$G,5,FALSE)</f>
        <v>Faisalabad</v>
      </c>
      <c r="B278" s="232" t="str">
        <f>VLOOKUP($D278,Sheet6!$B:$G,4,FALSE)</f>
        <v>Women Secular Info Share</v>
      </c>
      <c r="C278" s="8">
        <v>3.0</v>
      </c>
      <c r="D278" s="8" t="s">
        <v>4697</v>
      </c>
      <c r="E2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TRIM(CLEAN(TEXT($D278, ""@""))),
      IMPORTRANGE(""https://docs.google.com/spreadsheets/d/1DccNxjBgurEr0ABkI_"&amp;"rBagJT5phB5HaHG5N_mTm_BiA/edit?gid=1382299152#gid=1382299152"", ""Form responses 1!$Z:$Z"") = 1
    ),
    1
  ),
  ""Not Found""
)
"),"https://drive.google.com/open?id=15EUwebYKkY3v-i_rXJeIzgfZ6mwGrEXK")</f>
        <v>https://drive.google.com/open?id=15EUwebYKkY3v-i_rXJeIzgfZ6mwGrEXK</v>
      </c>
      <c r="F2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1!$E:$E"")=$D278) *
        (IMPORTRANGE(""https://docs.google.com/spreadsheets/d/161aHT6vVT3SLneTKD19N5qVWtnj_jIT8CSsOmUVKmaA"&amp;"/edit?gid=1761053510"",
          ""Haris_Form responses 1!$AQ:$AQ"")=1)
      ),
      1
    ),
    ""0""
  ),
  ""Form not found""
)
"),"1")</f>
        <v>1</v>
      </c>
      <c r="G278" s="245" t="str">
        <f>IFERROR(__xludf.DUMMYFUNCTION("IFERROR(
  INDEX(
    FILTER(
      Transcription!$AJ:$AJ,
      TRIM(CLEAN(TEXT(Transcription!$F:$F, ""@""))) = TRIM(CLEAN(TEXT($D278, ""@""))),
      Transcription!$AO:$AO = 1
    ),
    1
  ),
  ""Not Found""
)
"),"https://drive.google.com/open?id=1NJEM8Gak-9sU-CmhayYKCFTv_xXt1NRc")</f>
        <v>https://drive.google.com/open?id=1NJEM8Gak-9sU-CmhayYKCFTv_xXt1NRc</v>
      </c>
      <c r="H2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TRIM(CLEAN(TEXT($D278, ""@""))),
      IMPORTRANGE(""https://docs.google.com/spreadsheets/d/1DccNxjBgurEr0ABkI_"&amp;"rBagJT5phB5HaHG5N_mTm_BiA/edit?gid=1382299152#gid=1382299152"", ""Form responses 1!$Z:$Z"") = 2
    ),
    1
  ),
  ""Not Found""
)
"),"https://drive.google.com/open?id=1iIM_FeVONNv74TYGlmcFnNfATcfpVqWC")</f>
        <v>https://drive.google.com/open?id=1iIM_FeVONNv74TYGlmcFnNfATcfpVqWC</v>
      </c>
      <c r="I2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1!$E:$E"")=$D278) *
        (IMPORTRANGE(""https://docs.google.com/spreadsheets/d/161aHT6vVT3SLneTKD19N5qVWtnj_jIT8CSsOmUVKmaA"&amp;"/edit?gid=1761053510"",
          ""Haris_Form responses 1!$AQ:$AQ"")=2)
      ),
      1
    ),
    ""0""
  ),
  ""Form not found""
)
"),"2")</f>
        <v>2</v>
      </c>
      <c r="J278" s="245" t="str">
        <f>IFERROR(__xludf.DUMMYFUNCTION("IFERROR(
  INDEX(
    FILTER(
      Transcription!$AJ:$AJ,
      TRIM(CLEAN(TEXT(Transcription!$F:$F, ""@""))) = TRIM(CLEAN(TEXT($D278, ""@""))),
      Transcription!$AO:$AO = 2
    ),
    1
  ),
  ""Not Found""
)
"),"https://drive.google.com/open?id=12M1OJtS7okYkCnBBu9rsFEccX8tWa_PX")</f>
        <v>https://drive.google.com/open?id=12M1OJtS7okYkCnBBu9rsFEccX8tWa_PX</v>
      </c>
      <c r="K27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TRIM(CLEAN(TEXT($D278, ""@""))),
      IMPORTRANGE(""https://docs.google.com/spreadsheets/d/1DccNxjBgurEr0ABkI_"&amp;"rBagJT5phB5HaHG5N_mTm_BiA/edit?gid=1382299152#gid=1382299152"", ""Form responses 1!$Z:$Z"") = 3
    ),
    1
  ),
  ""Not Found""
)
"),"https://drive.google.com/open?id=1ka8sAa--E7jXaVdQAnSa8i86N4t0ZRT_")</f>
        <v>https://drive.google.com/open?id=1ka8sAa--E7jXaVdQAnSa8i86N4t0ZRT_</v>
      </c>
      <c r="L2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1!$E:$E"")=$D278) *
        (IMPORTRANGE(""https://docs.google.com/spreadsheets/d/161aHT6vVT3SLneTKD19N5qVWtnj_jIT8CSsOmUVKmaA"&amp;"/edit?gid=1761053510"",
          ""Haris_Form responses 1!$AQ:$AQ"")=3)
      ),
      1
    ),
    ""0""
  ),
  ""Form not found""
)
"),"3")</f>
        <v>3</v>
      </c>
      <c r="M278" s="245" t="str">
        <f>IFERROR(__xludf.DUMMYFUNCTION("IFERROR(
  INDEX(
    FILTER(
      Transcription!$AJ:$AJ,
      TRIM(CLEAN(TEXT(Transcription!$F:$F, ""@""))) = TRIM(CLEAN(TEXT($D278, ""@""))),
      Transcription!$AO:$AO = 3
    ),
    1
  ),
  ""Not Found""
)
"),"https://drive.google.com/open?id=199aeESgbdYJuVKu5HOPkIMfE4EOBvNLG")</f>
        <v>https://drive.google.com/open?id=199aeESgbdYJuVKu5HOPkIMfE4EOBvNLG</v>
      </c>
      <c r="N27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TRIM(CLEAN(TEXT($D278, ""@""))),
      IMPORTRANGE(""https://docs.google.com/spreadsheets/d/1DccNxjBgurEr0ABkI_"&amp;"rBagJT5phB5HaHG5N_mTm_BiA/edit?gid=1382299152#gid=1382299152"", ""Form responses 1!$Z:$Z"") = 4
    ),
    1
  ),
  ""Not Found""
)
"),"Not Found")</f>
        <v>Not Found</v>
      </c>
      <c r="O2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1!$E:$E"")=$D278) *
        (IMPORTRANGE(""https://docs.google.com/spreadsheets/d/161aHT6vVT3SLneTKD19N5qVWtnj_jIT8CSsOmUVKmaA"&amp;"/edit?gid=1761053510"",
          ""Haris_Form responses 1!$AQ:$AQ"")=4)
      ),
      1
    ),
    ""0""
  ),
  ""Form not found""
)
"),"Form not found")</f>
        <v>Form not found</v>
      </c>
      <c r="P278" s="247" t="str">
        <f>IFERROR(__xludf.DUMMYFUNCTION("IFERROR(
  INDEX(
    FILTER(
      Transcription!$AJ:$AJ,
      TRIM(CLEAN(TEXT(Transcription!$F:$F, ""@""))) = TRIM(CLEAN(TEXT($D278, ""@""))),
      Transcription!$AO:$AO = 4
    ),
    1
  ),
  ""Not Found""
)
"),"Not Found")</f>
        <v>Not Found</v>
      </c>
      <c r="Q27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TRIM(CLEAN(TEXT($D278, ""@""))),
      IMPORTRANGE(""https://docs.google.com/spreadsheets/d/1DccNxjBgurEr0ABkI_"&amp;"rBagJT5phB5HaHG5N_mTm_BiA/edit?gid=1382299152#gid=1382299152"", ""Form responses 1!$Z:$Z"") = 5
    ),
    1
  ),
  ""Not Found""
)
"),"Not Found")</f>
        <v>Not Found</v>
      </c>
      <c r="R2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1!$E:$E"")=$D278) *
        (IMPORTRANGE(""https://docs.google.com/spreadsheets/d/161aHT6vVT3SLneTKD19N5qVWtnj_jIT8CSsOmUVKmaA"&amp;"/edit?gid=1761053510"",
          ""Haris_Form responses 1!$AQ:$AQ"")=5)
      ),
      1
    ),
    ""0""
  ),
  ""Form not found""
)
"),"Form not found")</f>
        <v>Form not found</v>
      </c>
      <c r="S278" s="247" t="str">
        <f>IFERROR(__xludf.DUMMYFUNCTION("IFERROR(
  INDEX(
    FILTER(
      Transcription!$AJ:$AJ,
      TRIM(CLEAN(TEXT(Transcription!$F:$F, ""@""))) = TRIM(CLEAN(TEXT($D278, ""@""))),
      Transcription!$AO:$AO = 5
    ),
    1
  ),
  ""Not Found""
)
"),"Not Found")</f>
        <v>Not Found</v>
      </c>
      <c r="T27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TRIM(CLEAN(TEXT($D278, ""@""))),
      IMPORTRANGE(""https://docs.google.com/spreadsheets/d/1DccNxjBgurEr0ABkI_"&amp;"rBagJT5phB5HaHG5N_mTm_BiA/edit?gid=1382299152#gid=1382299152"", ""Form responses 1!$Z:$Z"") = 6
    ),
    1
  ),
  ""Not Found""
)
"),"Not Found")</f>
        <v>Not Found</v>
      </c>
      <c r="U27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1!$E:$E"")=$D278) *
        (IMPORTRANGE(""https://docs.google.com/spreadsheets/d/161aHT6vVT3SLneTKD19N5qVWtnj_jIT8CSsOmUVKmaA"&amp;"/edit?gid=1761053510"",
          ""Haris_Form responses 1!$AQ:$AQ"")=6)
      ),
      1
    ),
    ""0""
  ),
  ""Form not found""
)
"),"Form not found")</f>
        <v>Form not found</v>
      </c>
      <c r="V278" s="247" t="str">
        <f>IFERROR(__xludf.DUMMYFUNCTION("IFERROR(
  INDEX(
    FILTER(
      Transcription!$AJ:$AJ,
      TRIM(CLEAN(TEXT(Transcription!$F:$F, ""@""))) = TRIM(CLEAN(TEXT($D278, ""@""))),
      Transcription!$AO:$AO = 6
    ),
    1
  ),
  ""Not Found""
)
"),"Not Found")</f>
        <v>Not Found</v>
      </c>
      <c r="Z278" s="10">
        <f t="shared" si="1"/>
        <v>3</v>
      </c>
      <c r="AA278" s="10">
        <f t="shared" si="2"/>
        <v>0</v>
      </c>
    </row>
    <row r="279">
      <c r="A279" s="8" t="str">
        <f>VLOOKUP($D279,Sheet6!$B:$G,5,FALSE)</f>
        <v>Faisalabad</v>
      </c>
      <c r="B279" s="232" t="str">
        <f>VLOOKUP($D279,Sheet6!$B:$G,4,FALSE)</f>
        <v>Women Secular No Info Share</v>
      </c>
      <c r="C279" s="8">
        <v>4.0</v>
      </c>
      <c r="D279" s="8" t="s">
        <v>3920</v>
      </c>
      <c r="E2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TRIM(CLEAN(TEXT($D279, ""@""))),
      IMPORTRANGE(""https://docs.google.com/spreadsheets/d/1DccNxjBgurEr0ABkI_"&amp;"rBagJT5phB5HaHG5N_mTm_BiA/edit?gid=1382299152#gid=1382299152"", ""Form responses 1!$Z:$Z"") = 1
    ),
    1
  ),
  ""Not Found""
)
"),"https://drive.google.com/open?id=1FY6GDt92ayknXR_Eh-SbBNBLZZBn88Kx")</f>
        <v>https://drive.google.com/open?id=1FY6GDt92ayknXR_Eh-SbBNBLZZBn88Kx</v>
      </c>
      <c r="F2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1!$E:$E"")=$D279) *
        (IMPORTRANGE(""https://docs.google.com/spreadsheets/d/161aHT6vVT3SLneTKD19N5qVWtnj_jIT8CSsOmUVKmaA"&amp;"/edit?gid=1761053510"",
          ""Haris_Form responses 1!$AQ:$AQ"")=1)
      ),
      1
    ),
    ""0""
  ),
  ""Form not found""
)
"),"1")</f>
        <v>1</v>
      </c>
      <c r="G279" s="245" t="str">
        <f>IFERROR(__xludf.DUMMYFUNCTION("IFERROR(
  INDEX(
    FILTER(
      Transcription!$AJ:$AJ,
      TRIM(CLEAN(TEXT(Transcription!$F:$F, ""@""))) = TRIM(CLEAN(TEXT($D279, ""@""))),
      Transcription!$AO:$AO = 1
    ),
    1
  ),
  ""Not Found""
)
"),"https://drive.google.com/open?id=1R50zP26oQvph0BD-TVn2IsQ_pv3csIFV74H_urtznNo")</f>
        <v>https://drive.google.com/open?id=1R50zP26oQvph0BD-TVn2IsQ_pv3csIFV74H_urtznNo</v>
      </c>
      <c r="H2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TRIM(CLEAN(TEXT($D279, ""@""))),
      IMPORTRANGE(""https://docs.google.com/spreadsheets/d/1DccNxjBgurEr0ABkI_"&amp;"rBagJT5phB5HaHG5N_mTm_BiA/edit?gid=1382299152#gid=1382299152"", ""Form responses 1!$Z:$Z"") = 2
    ),
    1
  ),
  ""Not Found""
)
"),"https://drive.google.com/open?id=1d04jcHdPJ2Liu6f-6wz9Zu_w8J6ZHzgK")</f>
        <v>https://drive.google.com/open?id=1d04jcHdPJ2Liu6f-6wz9Zu_w8J6ZHzgK</v>
      </c>
      <c r="I2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1!$E:$E"")=$D279) *
        (IMPORTRANGE(""https://docs.google.com/spreadsheets/d/161aHT6vVT3SLneTKD19N5qVWtnj_jIT8CSsOmUVKmaA"&amp;"/edit?gid=1761053510"",
          ""Haris_Form responses 1!$AQ:$AQ"")=2)
      ),
      1
    ),
    ""0""
  ),
  ""Form not found""
)
"),"2")</f>
        <v>2</v>
      </c>
      <c r="J279" s="245" t="str">
        <f>IFERROR(__xludf.DUMMYFUNCTION("IFERROR(
  INDEX(
    FILTER(
      Transcription!$AJ:$AJ,
      TRIM(CLEAN(TEXT(Transcription!$F:$F, ""@""))) = TRIM(CLEAN(TEXT($D279, ""@""))),
      Transcription!$AO:$AO = 2
    ),
    1
  ),
  ""Not Found""
)
"),"https://drive.google.com/open?id=1D-6ycxMhXDz7t8glBFr1Xa9y-BNbi-Vi")</f>
        <v>https://drive.google.com/open?id=1D-6ycxMhXDz7t8glBFr1Xa9y-BNbi-Vi</v>
      </c>
      <c r="K2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TRIM(CLEAN(TEXT($D279, ""@""))),
      IMPORTRANGE(""https://docs.google.com/spreadsheets/d/1DccNxjBgurEr0ABkI_"&amp;"rBagJT5phB5HaHG5N_mTm_BiA/edit?gid=1382299152#gid=1382299152"", ""Form responses 1!$Z:$Z"") = 3
    ),
    1
  ),
  ""Not Found""
)
"),"https://drive.google.com/open?id=1KXD2kPZA2X5qnuMMIWfZkinOFZLsxEk0")</f>
        <v>https://drive.google.com/open?id=1KXD2kPZA2X5qnuMMIWfZkinOFZLsxEk0</v>
      </c>
      <c r="L2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1!$E:$E"")=$D279) *
        (IMPORTRANGE(""https://docs.google.com/spreadsheets/d/161aHT6vVT3SLneTKD19N5qVWtnj_jIT8CSsOmUVKmaA"&amp;"/edit?gid=1761053510"",
          ""Haris_Form responses 1!$AQ:$AQ"")=3)
      ),
      1
    ),
    ""0""
  ),
  ""Form not found""
)
"),"3")</f>
        <v>3</v>
      </c>
      <c r="M279" s="245" t="str">
        <f>IFERROR(__xludf.DUMMYFUNCTION("IFERROR(
  INDEX(
    FILTER(
      Transcription!$AJ:$AJ,
      TRIM(CLEAN(TEXT(Transcription!$F:$F, ""@""))) = TRIM(CLEAN(TEXT($D279, ""@""))),
      Transcription!$AO:$AO = 3
    ),
    1
  ),
  ""Not Found""
)
"),"https://drive.google.com/open?id=1vAuNQzhBJi_rGfNGnOMDCp6j6hIE_g-ZH_8LGz0l9tk")</f>
        <v>https://drive.google.com/open?id=1vAuNQzhBJi_rGfNGnOMDCp6j6hIE_g-ZH_8LGz0l9tk</v>
      </c>
      <c r="N27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TRIM(CLEAN(TEXT($D279, ""@""))),
      IMPORTRANGE(""https://docs.google.com/spreadsheets/d/1DccNxjBgurEr0ABkI_"&amp;"rBagJT5phB5HaHG5N_mTm_BiA/edit?gid=1382299152#gid=1382299152"", ""Form responses 1!$Z:$Z"") = 4
    ),
    1
  ),
  ""Not Found""
)
"),"https://drive.google.com/open?id=1HI19nLKFTjsLFKX9pRLS2HeyNqCiKZW2")</f>
        <v>https://drive.google.com/open?id=1HI19nLKFTjsLFKX9pRLS2HeyNqCiKZW2</v>
      </c>
      <c r="O2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1!$E:$E"")=$D279) *
        (IMPORTRANGE(""https://docs.google.com/spreadsheets/d/161aHT6vVT3SLneTKD19N5qVWtnj_jIT8CSsOmUVKmaA"&amp;"/edit?gid=1761053510"",
          ""Haris_Form responses 1!$AQ:$AQ"")=4)
      ),
      1
    ),
    ""0""
  ),
  ""Form not found""
)
"),"4")</f>
        <v>4</v>
      </c>
      <c r="P279" s="245" t="str">
        <f>IFERROR(__xludf.DUMMYFUNCTION("IFERROR(
  INDEX(
    FILTER(
      Transcription!$AJ:$AJ,
      TRIM(CLEAN(TEXT(Transcription!$F:$F, ""@""))) = TRIM(CLEAN(TEXT($D279, ""@""))),
      Transcription!$AO:$AO = 4
    ),
    1
  ),
  ""Not Found""
)
"),"https://drive.google.com/open?id=1GuRbPPcjc34Hm0vPws6R-d8OeVvMKYgt")</f>
        <v>https://drive.google.com/open?id=1GuRbPPcjc34Hm0vPws6R-d8OeVvMKYgt</v>
      </c>
      <c r="Q27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TRIM(CLEAN(TEXT($D279, ""@""))),
      IMPORTRANGE(""https://docs.google.com/spreadsheets/d/1DccNxjBgurEr0ABkI_"&amp;"rBagJT5phB5HaHG5N_mTm_BiA/edit?gid=1382299152#gid=1382299152"", ""Form responses 1!$Z:$Z"") = 5
    ),
    1
  ),
  ""Not Found""
)
"),"Not Found")</f>
        <v>Not Found</v>
      </c>
      <c r="R2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1!$E:$E"")=$D279) *
        (IMPORTRANGE(""https://docs.google.com/spreadsheets/d/161aHT6vVT3SLneTKD19N5qVWtnj_jIT8CSsOmUVKmaA"&amp;"/edit?gid=1761053510"",
          ""Haris_Form responses 1!$AQ:$AQ"")=5)
      ),
      1
    ),
    ""0""
  ),
  ""Form not found""
)
"),"Form not found")</f>
        <v>Form not found</v>
      </c>
      <c r="S279" s="247" t="str">
        <f>IFERROR(__xludf.DUMMYFUNCTION("IFERROR(
  INDEX(
    FILTER(
      Transcription!$AJ:$AJ,
      TRIM(CLEAN(TEXT(Transcription!$F:$F, ""@""))) = TRIM(CLEAN(TEXT($D279, ""@""))),
      Transcription!$AO:$AO = 5
    ),
    1
  ),
  ""Not Found""
)
"),"Not Found")</f>
        <v>Not Found</v>
      </c>
      <c r="T27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TRIM(CLEAN(TEXT($D279, ""@""))),
      IMPORTRANGE(""https://docs.google.com/spreadsheets/d/1DccNxjBgurEr0ABkI_"&amp;"rBagJT5phB5HaHG5N_mTm_BiA/edit?gid=1382299152#gid=1382299152"", ""Form responses 1!$Z:$Z"") = 6
    ),
    1
  ),
  ""Not Found""
)
"),"Not Found")</f>
        <v>Not Found</v>
      </c>
      <c r="U27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1!$E:$E"")=$D279) *
        (IMPORTRANGE(""https://docs.google.com/spreadsheets/d/161aHT6vVT3SLneTKD19N5qVWtnj_jIT8CSsOmUVKmaA"&amp;"/edit?gid=1761053510"",
          ""Haris_Form responses 1!$AQ:$AQ"")=6)
      ),
      1
    ),
    ""0""
  ),
  ""Form not found""
)
"),"Form not found")</f>
        <v>Form not found</v>
      </c>
      <c r="V279" s="247" t="str">
        <f>IFERROR(__xludf.DUMMYFUNCTION("IFERROR(
  INDEX(
    FILTER(
      Transcription!$AJ:$AJ,
      TRIM(CLEAN(TEXT(Transcription!$F:$F, ""@""))) = TRIM(CLEAN(TEXT($D279, ""@""))),
      Transcription!$AO:$AO = 6
    ),
    1
  ),
  ""Not Found""
)
"),"Not Found")</f>
        <v>Not Found</v>
      </c>
      <c r="Z279" s="10">
        <f t="shared" si="1"/>
        <v>4</v>
      </c>
      <c r="AA279" s="10">
        <f t="shared" si="2"/>
        <v>0</v>
      </c>
    </row>
    <row r="280">
      <c r="A280" s="8" t="str">
        <f>VLOOKUP($D280,Sheet6!$B:$G,5,FALSE)</f>
        <v>Faisalabad</v>
      </c>
      <c r="B280" s="232" t="str">
        <f>VLOOKUP($D280,Sheet6!$B:$G,4,FALSE)</f>
        <v>Control</v>
      </c>
      <c r="C280" s="8">
        <v>2.0</v>
      </c>
      <c r="D280" s="8" t="s">
        <v>3977</v>
      </c>
      <c r="E28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TRIM(CLEAN(TEXT($D280, ""@""))),
      IMPORTRANGE(""https://docs.google.com/spreadsheets/d/1DccNxjBgurEr0ABkI_"&amp;"rBagJT5phB5HaHG5N_mTm_BiA/edit?gid=1382299152#gid=1382299152"", ""Form responses 1!$Z:$Z"") = 1
    ),
    1
  ),
  ""Not Found""
)
"),"https://drive.google.com/open?id=1p_0RVBiU53rS_MQQrzLqTt7g7cA3e0oH")</f>
        <v>https://drive.google.com/open?id=1p_0RVBiU53rS_MQQrzLqTt7g7cA3e0oH</v>
      </c>
      <c r="F2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1!$E:$E"")=$D280) *
        (IMPORTRANGE(""https://docs.google.com/spreadsheets/d/161aHT6vVT3SLneTKD19N5qVWtnj_jIT8CSsOmUVKmaA"&amp;"/edit?gid=1761053510"",
          ""Haris_Form responses 1!$AQ:$AQ"")=1)
      ),
      1
    ),
    ""0""
  ),
  ""Form not found""
)
"),"1")</f>
        <v>1</v>
      </c>
      <c r="G280" s="245" t="str">
        <f>IFERROR(__xludf.DUMMYFUNCTION("IFERROR(
  INDEX(
    FILTER(
      Transcription!$AJ:$AJ,
      TRIM(CLEAN(TEXT(Transcription!$F:$F, ""@""))) = TRIM(CLEAN(TEXT($D280, ""@""))),
      Transcription!$AO:$AO = 1
    ),
    1
  ),
  ""Not Found""
)
"),"https://drive.google.com/open?id=1RKrF-aXWOlYqyowjbDl6bAdusOPbJr9qXEqx0xFkNHk")</f>
        <v>https://drive.google.com/open?id=1RKrF-aXWOlYqyowjbDl6bAdusOPbJr9qXEqx0xFkNHk</v>
      </c>
      <c r="H2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TRIM(CLEAN(TEXT($D280, ""@""))),
      IMPORTRANGE(""https://docs.google.com/spreadsheets/d/1DccNxjBgurEr0ABkI_"&amp;"rBagJT5phB5HaHG5N_mTm_BiA/edit?gid=1382299152#gid=1382299152"", ""Form responses 1!$Z:$Z"") = 2
    ),
    1
  ),
  ""Not Found""
)
"),"Not Found")</f>
        <v>Not Found</v>
      </c>
      <c r="I2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1!$E:$E"")=$D280) *
        (IMPORTRANGE(""https://docs.google.com/spreadsheets/d/161aHT6vVT3SLneTKD19N5qVWtnj_jIT8CSsOmUVKmaA"&amp;"/edit?gid=1761053510"",
          ""Haris_Form responses 1!$AQ:$AQ"")=2)
      ),
      1
    ),
    ""0""
  ),
  ""Form not found""
)
"),"Form not found")</f>
        <v>Form not found</v>
      </c>
      <c r="J280" s="247" t="str">
        <f>IFERROR(__xludf.DUMMYFUNCTION("IFERROR(
  INDEX(
    FILTER(
      Transcription!$AJ:$AJ,
      TRIM(CLEAN(TEXT(Transcription!$F:$F, ""@""))) = TRIM(CLEAN(TEXT($D280, ""@""))),
      Transcription!$AO:$AO = 2
    ),
    1
  ),
  ""Not Found""
)
"),"Not Found")</f>
        <v>Not Found</v>
      </c>
      <c r="K28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TRIM(CLEAN(TEXT($D280, ""@""))),
      IMPORTRANGE(""https://docs.google.com/spreadsheets/d/1DccNxjBgurEr0ABkI_"&amp;"rBagJT5phB5HaHG5N_mTm_BiA/edit?gid=1382299152#gid=1382299152"", ""Form responses 1!$Z:$Z"") = 3
    ),
    1
  ),
  ""Not Found""
)
"),"https://drive.google.com/open?id=1fn0VGDI3qughAzPemV5Yw6_8FJBX0ppd")</f>
        <v>https://drive.google.com/open?id=1fn0VGDI3qughAzPemV5Yw6_8FJBX0ppd</v>
      </c>
      <c r="L2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1!$E:$E"")=$D280) *
        (IMPORTRANGE(""https://docs.google.com/spreadsheets/d/161aHT6vVT3SLneTKD19N5qVWtnj_jIT8CSsOmUVKmaA"&amp;"/edit?gid=1761053510"",
          ""Haris_Form responses 1!$AQ:$AQ"")=3)
      ),
      1
    ),
    ""0""
  ),
  ""Form not found""
)
"),"3")</f>
        <v>3</v>
      </c>
      <c r="M280" s="245" t="str">
        <f>IFERROR(__xludf.DUMMYFUNCTION("IFERROR(
  INDEX(
    FILTER(
      Transcription!$AJ:$AJ,
      TRIM(CLEAN(TEXT(Transcription!$F:$F, ""@""))) = TRIM(CLEAN(TEXT($D280, ""@""))),
      Transcription!$AO:$AO = 3
    ),
    1
  ),
  ""Not Found""
)
"),"https://drive.google.com/open?id=1VwyU_83qaUKbGW5jy2OgjObhCuozODxJXRjP8bS7JXg")</f>
        <v>https://drive.google.com/open?id=1VwyU_83qaUKbGW5jy2OgjObhCuozODxJXRjP8bS7JXg</v>
      </c>
      <c r="N2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TRIM(CLEAN(TEXT($D280, ""@""))),
      IMPORTRANGE(""https://docs.google.com/spreadsheets/d/1DccNxjBgurEr0ABkI_"&amp;"rBagJT5phB5HaHG5N_mTm_BiA/edit?gid=1382299152#gid=1382299152"", ""Form responses 1!$Z:$Z"") = 4
    ),
    1
  ),
  ""Not Found""
)
"),"Not Found")</f>
        <v>Not Found</v>
      </c>
      <c r="O2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1!$E:$E"")=$D280) *
        (IMPORTRANGE(""https://docs.google.com/spreadsheets/d/161aHT6vVT3SLneTKD19N5qVWtnj_jIT8CSsOmUVKmaA"&amp;"/edit?gid=1761053510"",
          ""Haris_Form responses 1!$AQ:$AQ"")=4)
      ),
      1
    ),
    ""0""
  ),
  ""Form not found""
)
"),"Form not found")</f>
        <v>Form not found</v>
      </c>
      <c r="P280" s="247" t="str">
        <f>IFERROR(__xludf.DUMMYFUNCTION("IFERROR(
  INDEX(
    FILTER(
      Transcription!$AJ:$AJ,
      TRIM(CLEAN(TEXT(Transcription!$F:$F, ""@""))) = TRIM(CLEAN(TEXT($D280, ""@""))),
      Transcription!$AO:$AO = 4
    ),
    1
  ),
  ""Not Found""
)
"),"Not Found")</f>
        <v>Not Found</v>
      </c>
      <c r="Q2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TRIM(CLEAN(TEXT($D280, ""@""))),
      IMPORTRANGE(""https://docs.google.com/spreadsheets/d/1DccNxjBgurEr0ABkI_"&amp;"rBagJT5phB5HaHG5N_mTm_BiA/edit?gid=1382299152#gid=1382299152"", ""Form responses 1!$Z:$Z"") = 5
    ),
    1
  ),
  ""Not Found""
)
"),"Not Found")</f>
        <v>Not Found</v>
      </c>
      <c r="R2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1!$E:$E"")=$D280) *
        (IMPORTRANGE(""https://docs.google.com/spreadsheets/d/161aHT6vVT3SLneTKD19N5qVWtnj_jIT8CSsOmUVKmaA"&amp;"/edit?gid=1761053510"",
          ""Haris_Form responses 1!$AQ:$AQ"")=5)
      ),
      1
    ),
    ""0""
  ),
  ""Form not found""
)
"),"Form not found")</f>
        <v>Form not found</v>
      </c>
      <c r="S280" s="247" t="str">
        <f>IFERROR(__xludf.DUMMYFUNCTION("IFERROR(
  INDEX(
    FILTER(
      Transcription!$AJ:$AJ,
      TRIM(CLEAN(TEXT(Transcription!$F:$F, ""@""))) = TRIM(CLEAN(TEXT($D280, ""@""))),
      Transcription!$AO:$AO = 5
    ),
    1
  ),
  ""Not Found""
)
"),"Not Found")</f>
        <v>Not Found</v>
      </c>
      <c r="T28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TRIM(CLEAN(TEXT($D280, ""@""))),
      IMPORTRANGE(""https://docs.google.com/spreadsheets/d/1DccNxjBgurEr0ABkI_"&amp;"rBagJT5phB5HaHG5N_mTm_BiA/edit?gid=1382299152#gid=1382299152"", ""Form responses 1!$Z:$Z"") = 6
    ),
    1
  ),
  ""Not Found""
)
"),"Not Found")</f>
        <v>Not Found</v>
      </c>
      <c r="U28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1!$E:$E"")=$D280) *
        (IMPORTRANGE(""https://docs.google.com/spreadsheets/d/161aHT6vVT3SLneTKD19N5qVWtnj_jIT8CSsOmUVKmaA"&amp;"/edit?gid=1761053510"",
          ""Haris_Form responses 1!$AQ:$AQ"")=6)
      ),
      1
    ),
    ""0""
  ),
  ""Form not found""
)
"),"Form not found")</f>
        <v>Form not found</v>
      </c>
      <c r="V280" s="247" t="str">
        <f>IFERROR(__xludf.DUMMYFUNCTION("IFERROR(
  INDEX(
    FILTER(
      Transcription!$AJ:$AJ,
      TRIM(CLEAN(TEXT(Transcription!$F:$F, ""@""))) = TRIM(CLEAN(TEXT($D280, ""@""))),
      Transcription!$AO:$AO = 6
    ),
    1
  ),
  ""Not Found""
)
"),"Not Found")</f>
        <v>Not Found</v>
      </c>
      <c r="Z280" s="10">
        <f t="shared" si="1"/>
        <v>2</v>
      </c>
      <c r="AA280" s="10">
        <f t="shared" si="2"/>
        <v>0</v>
      </c>
    </row>
    <row r="281">
      <c r="A281" s="8" t="str">
        <f>VLOOKUP($D281,Sheet6!$B:$G,5,FALSE)</f>
        <v>Faisalabad</v>
      </c>
      <c r="B281" s="232" t="str">
        <f>VLOOKUP($D281,Sheet6!$B:$G,4,FALSE)</f>
        <v>Women Religious No Info Share</v>
      </c>
      <c r="D281" s="8" t="s">
        <v>4698</v>
      </c>
      <c r="E2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TRIM(CLEAN(TEXT($D281, ""@""))),
      IMPORTRANGE(""https://docs.google.com/spreadsheets/d/1DccNxjBgurEr0ABkI_"&amp;"rBagJT5phB5HaHG5N_mTm_BiA/edit?gid=1382299152#gid=1382299152"", ""Form responses 1!$Z:$Z"") = 1
    ),
    1
  ),
  ""Not Found""
)
"),"Not Found")</f>
        <v>Not Found</v>
      </c>
      <c r="F2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1!$E:$E"")=$D281) *
        (IMPORTRANGE(""https://docs.google.com/spreadsheets/d/161aHT6vVT3SLneTKD19N5qVWtnj_jIT8CSsOmUVKmaA"&amp;"/edit?gid=1761053510"",
          ""Haris_Form responses 1!$AQ:$AQ"")=1)
      ),
      1
    ),
    ""0""
  ),
  ""Form not found""
)
"),"Form not found")</f>
        <v>Form not found</v>
      </c>
      <c r="G281" s="247" t="str">
        <f>IFERROR(__xludf.DUMMYFUNCTION("IFERROR(
  INDEX(
    FILTER(
      Transcription!$AJ:$AJ,
      TRIM(CLEAN(TEXT(Transcription!$F:$F, ""@""))) = TRIM(CLEAN(TEXT($D281, ""@""))),
      Transcription!$AO:$AO = 1
    ),
    1
  ),
  ""Not Found""
)
"),"Not Found")</f>
        <v>Not Found</v>
      </c>
      <c r="H2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TRIM(CLEAN(TEXT($D281, ""@""))),
      IMPORTRANGE(""https://docs.google.com/spreadsheets/d/1DccNxjBgurEr0ABkI_"&amp;"rBagJT5phB5HaHG5N_mTm_BiA/edit?gid=1382299152#gid=1382299152"", ""Form responses 1!$Z:$Z"") = 2
    ),
    1
  ),
  ""Not Found""
)
"),"Not Found")</f>
        <v>Not Found</v>
      </c>
      <c r="I2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1!$E:$E"")=$D281) *
        (IMPORTRANGE(""https://docs.google.com/spreadsheets/d/161aHT6vVT3SLneTKD19N5qVWtnj_jIT8CSsOmUVKmaA"&amp;"/edit?gid=1761053510"",
          ""Haris_Form responses 1!$AQ:$AQ"")=2)
      ),
      1
    ),
    ""0""
  ),
  ""Form not found""
)
"),"Form not found")</f>
        <v>Form not found</v>
      </c>
      <c r="J281" s="247" t="str">
        <f>IFERROR(__xludf.DUMMYFUNCTION("IFERROR(
  INDEX(
    FILTER(
      Transcription!$AJ:$AJ,
      TRIM(CLEAN(TEXT(Transcription!$F:$F, ""@""))) = TRIM(CLEAN(TEXT($D281, ""@""))),
      Transcription!$AO:$AO = 2
    ),
    1
  ),
  ""Not Found""
)
"),"Not Found")</f>
        <v>Not Found</v>
      </c>
      <c r="K2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TRIM(CLEAN(TEXT($D281, ""@""))),
      IMPORTRANGE(""https://docs.google.com/spreadsheets/d/1DccNxjBgurEr0ABkI_"&amp;"rBagJT5phB5HaHG5N_mTm_BiA/edit?gid=1382299152#gid=1382299152"", ""Form responses 1!$Z:$Z"") = 3
    ),
    1
  ),
  ""Not Found""
)
"),"Not Found")</f>
        <v>Not Found</v>
      </c>
      <c r="L2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1!$E:$E"")=$D281) *
        (IMPORTRANGE(""https://docs.google.com/spreadsheets/d/161aHT6vVT3SLneTKD19N5qVWtnj_jIT8CSsOmUVKmaA"&amp;"/edit?gid=1761053510"",
          ""Haris_Form responses 1!$AQ:$AQ"")=3)
      ),
      1
    ),
    ""0""
  ),
  ""Form not found""
)
"),"Form not found")</f>
        <v>Form not found</v>
      </c>
      <c r="M281" s="247" t="str">
        <f>IFERROR(__xludf.DUMMYFUNCTION("IFERROR(
  INDEX(
    FILTER(
      Transcription!$AJ:$AJ,
      TRIM(CLEAN(TEXT(Transcription!$F:$F, ""@""))) = TRIM(CLEAN(TEXT($D281, ""@""))),
      Transcription!$AO:$AO = 3
    ),
    1
  ),
  ""Not Found""
)
"),"Not Found")</f>
        <v>Not Found</v>
      </c>
      <c r="N2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TRIM(CLEAN(TEXT($D281, ""@""))),
      IMPORTRANGE(""https://docs.google.com/spreadsheets/d/1DccNxjBgurEr0ABkI_"&amp;"rBagJT5phB5HaHG5N_mTm_BiA/edit?gid=1382299152#gid=1382299152"", ""Form responses 1!$Z:$Z"") = 4
    ),
    1
  ),
  ""Not Found""
)
"),"Not Found")</f>
        <v>Not Found</v>
      </c>
      <c r="O2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1!$E:$E"")=$D281) *
        (IMPORTRANGE(""https://docs.google.com/spreadsheets/d/161aHT6vVT3SLneTKD19N5qVWtnj_jIT8CSsOmUVKmaA"&amp;"/edit?gid=1761053510"",
          ""Haris_Form responses 1!$AQ:$AQ"")=4)
      ),
      1
    ),
    ""0""
  ),
  ""Form not found""
)
"),"Form not found")</f>
        <v>Form not found</v>
      </c>
      <c r="P281" s="247" t="str">
        <f>IFERROR(__xludf.DUMMYFUNCTION("IFERROR(
  INDEX(
    FILTER(
      Transcription!$AJ:$AJ,
      TRIM(CLEAN(TEXT(Transcription!$F:$F, ""@""))) = TRIM(CLEAN(TEXT($D281, ""@""))),
      Transcription!$AO:$AO = 4
    ),
    1
  ),
  ""Not Found""
)
"),"Not Found")</f>
        <v>Not Found</v>
      </c>
      <c r="Q2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TRIM(CLEAN(TEXT($D281, ""@""))),
      IMPORTRANGE(""https://docs.google.com/spreadsheets/d/1DccNxjBgurEr0ABkI_"&amp;"rBagJT5phB5HaHG5N_mTm_BiA/edit?gid=1382299152#gid=1382299152"", ""Form responses 1!$Z:$Z"") = 5
    ),
    1
  ),
  ""Not Found""
)
"),"Not Found")</f>
        <v>Not Found</v>
      </c>
      <c r="R2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1!$E:$E"")=$D281) *
        (IMPORTRANGE(""https://docs.google.com/spreadsheets/d/161aHT6vVT3SLneTKD19N5qVWtnj_jIT8CSsOmUVKmaA"&amp;"/edit?gid=1761053510"",
          ""Haris_Form responses 1!$AQ:$AQ"")=5)
      ),
      1
    ),
    ""0""
  ),
  ""Form not found""
)
"),"Form not found")</f>
        <v>Form not found</v>
      </c>
      <c r="S281" s="247" t="str">
        <f>IFERROR(__xludf.DUMMYFUNCTION("IFERROR(
  INDEX(
    FILTER(
      Transcription!$AJ:$AJ,
      TRIM(CLEAN(TEXT(Transcription!$F:$F, ""@""))) = TRIM(CLEAN(TEXT($D281, ""@""))),
      Transcription!$AO:$AO = 5
    ),
    1
  ),
  ""Not Found""
)
"),"Not Found")</f>
        <v>Not Found</v>
      </c>
      <c r="T28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TRIM(CLEAN(TEXT($D281, ""@""))),
      IMPORTRANGE(""https://docs.google.com/spreadsheets/d/1DccNxjBgurEr0ABkI_"&amp;"rBagJT5phB5HaHG5N_mTm_BiA/edit?gid=1382299152#gid=1382299152"", ""Form responses 1!$Z:$Z"") = 6
    ),
    1
  ),
  ""Not Found""
)
"),"Not Found")</f>
        <v>Not Found</v>
      </c>
      <c r="U28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1!$E:$E"")=$D281) *
        (IMPORTRANGE(""https://docs.google.com/spreadsheets/d/161aHT6vVT3SLneTKD19N5qVWtnj_jIT8CSsOmUVKmaA"&amp;"/edit?gid=1761053510"",
          ""Haris_Form responses 1!$AQ:$AQ"")=6)
      ),
      1
    ),
    ""0""
  ),
  ""Form not found""
)
"),"Form not found")</f>
        <v>Form not found</v>
      </c>
      <c r="V281" s="247" t="str">
        <f>IFERROR(__xludf.DUMMYFUNCTION("IFERROR(
  INDEX(
    FILTER(
      Transcription!$AJ:$AJ,
      TRIM(CLEAN(TEXT(Transcription!$F:$F, ""@""))) = TRIM(CLEAN(TEXT($D281, ""@""))),
      Transcription!$AO:$AO = 6
    ),
    1
  ),
  ""Not Found""
)
"),"Not Found")</f>
        <v>Not Found</v>
      </c>
      <c r="Z281" s="10">
        <f t="shared" si="1"/>
        <v>0</v>
      </c>
      <c r="AA281" s="10">
        <f t="shared" si="2"/>
        <v>0</v>
      </c>
    </row>
    <row r="282">
      <c r="A282" s="8" t="str">
        <f>VLOOKUP($D282,Sheet6!$B:$G,5,FALSE)</f>
        <v>Faisalabad</v>
      </c>
      <c r="B282" s="232" t="str">
        <f>VLOOKUP($D282,Sheet6!$B:$G,4,FALSE)</f>
        <v>Community Religious Info Share</v>
      </c>
      <c r="C282" s="8">
        <v>3.0</v>
      </c>
      <c r="D282" s="8" t="s">
        <v>4699</v>
      </c>
      <c r="E28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TRIM(CLEAN(TEXT($D282, ""@""))),
      IMPORTRANGE(""https://docs.google.com/spreadsheets/d/1DccNxjBgurEr0ABkI_"&amp;"rBagJT5phB5HaHG5N_mTm_BiA/edit?gid=1382299152#gid=1382299152"", ""Form responses 1!$Z:$Z"") = 1
    ),
    1
  ),
  ""Not Found""
)
"),"https://drive.google.com/open?id=1ccUZoQjNWDvJ110267M1jVmF4Byv-Goq")</f>
        <v>https://drive.google.com/open?id=1ccUZoQjNWDvJ110267M1jVmF4Byv-Goq</v>
      </c>
      <c r="F2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1!$E:$E"")=$D282) *
        (IMPORTRANGE(""https://docs.google.com/spreadsheets/d/161aHT6vVT3SLneTKD19N5qVWtnj_jIT8CSsOmUVKmaA"&amp;"/edit?gid=1761053510"",
          ""Haris_Form responses 1!$AQ:$AQ"")=1)
      ),
      1
    ),
    ""0""
  ),
  ""Form not found""
)
"),"1")</f>
        <v>1</v>
      </c>
      <c r="G282" s="245" t="str">
        <f>IFERROR(__xludf.DUMMYFUNCTION("IFERROR(
  INDEX(
    FILTER(
      Transcription!$AJ:$AJ,
      TRIM(CLEAN(TEXT(Transcription!$F:$F, ""@""))) = TRIM(CLEAN(TEXT($D282, ""@""))),
      Transcription!$AO:$AO = 1
    ),
    1
  ),
  ""Not Found""
)
"),"https://drive.google.com/open?id=1aCTly5T9Y29i5d-54Y18Npu_Yxw9buuT")</f>
        <v>https://drive.google.com/open?id=1aCTly5T9Y29i5d-54Y18Npu_Yxw9buuT</v>
      </c>
      <c r="H28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TRIM(CLEAN(TEXT($D282, ""@""))),
      IMPORTRANGE(""https://docs.google.com/spreadsheets/d/1DccNxjBgurEr0ABkI_"&amp;"rBagJT5phB5HaHG5N_mTm_BiA/edit?gid=1382299152#gid=1382299152"", ""Form responses 1!$Z:$Z"") = 2
    ),
    1
  ),
  ""Not Found""
)
"),"https://drive.google.com/open?id=13P3mZcXp_bTe35EjJruf0bXSHeZ13nu8")</f>
        <v>https://drive.google.com/open?id=13P3mZcXp_bTe35EjJruf0bXSHeZ13nu8</v>
      </c>
      <c r="I2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1!$E:$E"")=$D282) *
        (IMPORTRANGE(""https://docs.google.com/spreadsheets/d/161aHT6vVT3SLneTKD19N5qVWtnj_jIT8CSsOmUVKmaA"&amp;"/edit?gid=1761053510"",
          ""Haris_Form responses 1!$AQ:$AQ"")=2)
      ),
      1
    ),
    ""0""
  ),
  ""Form not found""
)
"),"2")</f>
        <v>2</v>
      </c>
      <c r="J282" s="245" t="str">
        <f>IFERROR(__xludf.DUMMYFUNCTION("IFERROR(
  INDEX(
    FILTER(
      Transcription!$AJ:$AJ,
      TRIM(CLEAN(TEXT(Transcription!$F:$F, ""@""))) = TRIM(CLEAN(TEXT($D282, ""@""))),
      Transcription!$AO:$AO = 2
    ),
    1
  ),
  ""Not Found""
)
"),"https://drive.google.com/open?id=1v7DD2zvS2FjZoioqgkqD5KScdgMGsw2Q")</f>
        <v>https://drive.google.com/open?id=1v7DD2zvS2FjZoioqgkqD5KScdgMGsw2Q</v>
      </c>
      <c r="K28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TRIM(CLEAN(TEXT($D282, ""@""))),
      IMPORTRANGE(""https://docs.google.com/spreadsheets/d/1DccNxjBgurEr0ABkI_"&amp;"rBagJT5phB5HaHG5N_mTm_BiA/edit?gid=1382299152#gid=1382299152"", ""Form responses 1!$Z:$Z"") = 3
    ),
    1
  ),
  ""Not Found""
)
"),"https://drive.google.com/open?id=1-JQCOT7nkg9WjmOzM4x1iO_dvzTc7bB0")</f>
        <v>https://drive.google.com/open?id=1-JQCOT7nkg9WjmOzM4x1iO_dvzTc7bB0</v>
      </c>
      <c r="L2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1!$E:$E"")=$D282) *
        (IMPORTRANGE(""https://docs.google.com/spreadsheets/d/161aHT6vVT3SLneTKD19N5qVWtnj_jIT8CSsOmUVKmaA"&amp;"/edit?gid=1761053510"",
          ""Haris_Form responses 1!$AQ:$AQ"")=3)
      ),
      1
    ),
    ""0""
  ),
  ""Form not found""
)
"),"3")</f>
        <v>3</v>
      </c>
      <c r="M282" s="245" t="str">
        <f>IFERROR(__xludf.DUMMYFUNCTION("IFERROR(
  INDEX(
    FILTER(
      Transcription!$AJ:$AJ,
      TRIM(CLEAN(TEXT(Transcription!$F:$F, ""@""))) = TRIM(CLEAN(TEXT($D282, ""@""))),
      Transcription!$AO:$AO = 3
    ),
    1
  ),
  ""Not Found""
)
"),"https://drive.google.com/open?id=14mMZz8L_Pv-m5XZGBNK28JhuYtJtJBfjILJtujXqNhA")</f>
        <v>https://drive.google.com/open?id=14mMZz8L_Pv-m5XZGBNK28JhuYtJtJBfjILJtujXqNhA</v>
      </c>
      <c r="N2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TRIM(CLEAN(TEXT($D282, ""@""))),
      IMPORTRANGE(""https://docs.google.com/spreadsheets/d/1DccNxjBgurEr0ABkI_"&amp;"rBagJT5phB5HaHG5N_mTm_BiA/edit?gid=1382299152#gid=1382299152"", ""Form responses 1!$Z:$Z"") = 4
    ),
    1
  ),
  ""Not Found""
)
"),"Not Found")</f>
        <v>Not Found</v>
      </c>
      <c r="O2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1!$E:$E"")=$D282) *
        (IMPORTRANGE(""https://docs.google.com/spreadsheets/d/161aHT6vVT3SLneTKD19N5qVWtnj_jIT8CSsOmUVKmaA"&amp;"/edit?gid=1761053510"",
          ""Haris_Form responses 1!$AQ:$AQ"")=4)
      ),
      1
    ),
    ""0""
  ),
  ""Form not found""
)
"),"Form not found")</f>
        <v>Form not found</v>
      </c>
      <c r="P282" s="247" t="str">
        <f>IFERROR(__xludf.DUMMYFUNCTION("IFERROR(
  INDEX(
    FILTER(
      Transcription!$AJ:$AJ,
      TRIM(CLEAN(TEXT(Transcription!$F:$F, ""@""))) = TRIM(CLEAN(TEXT($D282, ""@""))),
      Transcription!$AO:$AO = 4
    ),
    1
  ),
  ""Not Found""
)
"),"Not Found")</f>
        <v>Not Found</v>
      </c>
      <c r="Q2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TRIM(CLEAN(TEXT($D282, ""@""))),
      IMPORTRANGE(""https://docs.google.com/spreadsheets/d/1DccNxjBgurEr0ABkI_"&amp;"rBagJT5phB5HaHG5N_mTm_BiA/edit?gid=1382299152#gid=1382299152"", ""Form responses 1!$Z:$Z"") = 5
    ),
    1
  ),
  ""Not Found""
)
"),"Not Found")</f>
        <v>Not Found</v>
      </c>
      <c r="R2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1!$E:$E"")=$D282) *
        (IMPORTRANGE(""https://docs.google.com/spreadsheets/d/161aHT6vVT3SLneTKD19N5qVWtnj_jIT8CSsOmUVKmaA"&amp;"/edit?gid=1761053510"",
          ""Haris_Form responses 1!$AQ:$AQ"")=5)
      ),
      1
    ),
    ""0""
  ),
  ""Form not found""
)
"),"Form not found")</f>
        <v>Form not found</v>
      </c>
      <c r="S282" s="247" t="str">
        <f>IFERROR(__xludf.DUMMYFUNCTION("IFERROR(
  INDEX(
    FILTER(
      Transcription!$AJ:$AJ,
      TRIM(CLEAN(TEXT(Transcription!$F:$F, ""@""))) = TRIM(CLEAN(TEXT($D282, ""@""))),
      Transcription!$AO:$AO = 5
    ),
    1
  ),
  ""Not Found""
)
"),"Not Found")</f>
        <v>Not Found</v>
      </c>
      <c r="T28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TRIM(CLEAN(TEXT($D282, ""@""))),
      IMPORTRANGE(""https://docs.google.com/spreadsheets/d/1DccNxjBgurEr0ABkI_"&amp;"rBagJT5phB5HaHG5N_mTm_BiA/edit?gid=1382299152#gid=1382299152"", ""Form responses 1!$Z:$Z"") = 6
    ),
    1
  ),
  ""Not Found""
)
"),"Not Found")</f>
        <v>Not Found</v>
      </c>
      <c r="U28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1!$E:$E"")=$D282) *
        (IMPORTRANGE(""https://docs.google.com/spreadsheets/d/161aHT6vVT3SLneTKD19N5qVWtnj_jIT8CSsOmUVKmaA"&amp;"/edit?gid=1761053510"",
          ""Haris_Form responses 1!$AQ:$AQ"")=6)
      ),
      1
    ),
    ""0""
  ),
  ""Form not found""
)
"),"Form not found")</f>
        <v>Form not found</v>
      </c>
      <c r="V282" s="247" t="str">
        <f>IFERROR(__xludf.DUMMYFUNCTION("IFERROR(
  INDEX(
    FILTER(
      Transcription!$AJ:$AJ,
      TRIM(CLEAN(TEXT(Transcription!$F:$F, ""@""))) = TRIM(CLEAN(TEXT($D282, ""@""))),
      Transcription!$AO:$AO = 6
    ),
    1
  ),
  ""Not Found""
)
"),"Not Found")</f>
        <v>Not Found</v>
      </c>
      <c r="Z282" s="10">
        <f t="shared" si="1"/>
        <v>3</v>
      </c>
      <c r="AA282" s="10">
        <f t="shared" si="2"/>
        <v>0</v>
      </c>
    </row>
    <row r="283">
      <c r="A283" s="8" t="str">
        <f>VLOOKUP($D283,Sheet6!$B:$G,5,FALSE)</f>
        <v>Jhang</v>
      </c>
      <c r="B283" s="232" t="str">
        <f>VLOOKUP($D283,Sheet6!$B:$G,4,FALSE)</f>
        <v>Control</v>
      </c>
      <c r="C283" s="8">
        <v>2.0</v>
      </c>
      <c r="D283" s="8" t="s">
        <v>4700</v>
      </c>
      <c r="E28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TRIM(CLEAN(TEXT($D283, ""@""))),
      IMPORTRANGE(""https://docs.google.com/spreadsheets/d/1DccNxjBgurEr0ABkI_"&amp;"rBagJT5phB5HaHG5N_mTm_BiA/edit?gid=1382299152#gid=1382299152"", ""Form responses 1!$Z:$Z"") = 1
    ),
    1
  ),
  ""Not Found""
)
"),"https://drive.google.com/open?id=1bcaAlTHfp-H5uo5Yo_SDrHoBDtN9o6oA")</f>
        <v>https://drive.google.com/open?id=1bcaAlTHfp-H5uo5Yo_SDrHoBDtN9o6oA</v>
      </c>
      <c r="F2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1!$E:$E"")=$D283) *
        (IMPORTRANGE(""https://docs.google.com/spreadsheets/d/161aHT6vVT3SLneTKD19N5qVWtnj_jIT8CSsOmUVKmaA"&amp;"/edit?gid=1761053510"",
          ""Haris_Form responses 1!$AQ:$AQ"")=1)
      ),
      1
    ),
    ""0""
  ),
  ""Form not found""
)
"),"1")</f>
        <v>1</v>
      </c>
      <c r="G283" s="245" t="str">
        <f>IFERROR(__xludf.DUMMYFUNCTION("IFERROR(
  INDEX(
    FILTER(
      Transcription!$AJ:$AJ,
      TRIM(CLEAN(TEXT(Transcription!$F:$F, ""@""))) = TRIM(CLEAN(TEXT($D283, ""@""))),
      Transcription!$AO:$AO = 1
    ),
    1
  ),
  ""Not Found""
)
"),"https://drive.google.com/open?id=1CSH9uNSq2T9A7cAU6XeUu342WZwRTmk-")</f>
        <v>https://drive.google.com/open?id=1CSH9uNSq2T9A7cAU6XeUu342WZwRTmk-</v>
      </c>
      <c r="H2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TRIM(CLEAN(TEXT($D283, ""@""))),
      IMPORTRANGE(""https://docs.google.com/spreadsheets/d/1DccNxjBgurEr0ABkI_"&amp;"rBagJT5phB5HaHG5N_mTm_BiA/edit?gid=1382299152#gid=1382299152"", ""Form responses 1!$Z:$Z"") = 2
    ),
    1
  ),
  ""Not Found""
)
"),"Not Found")</f>
        <v>Not Found</v>
      </c>
      <c r="I2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1!$E:$E"")=$D283) *
        (IMPORTRANGE(""https://docs.google.com/spreadsheets/d/161aHT6vVT3SLneTKD19N5qVWtnj_jIT8CSsOmUVKmaA"&amp;"/edit?gid=1761053510"",
          ""Haris_Form responses 1!$AQ:$AQ"")=2)
      ),
      1
    ),
    ""0""
  ),
  ""Form not found""
)
"),"Form not found")</f>
        <v>Form not found</v>
      </c>
      <c r="J283" s="247" t="str">
        <f>IFERROR(__xludf.DUMMYFUNCTION("IFERROR(
  INDEX(
    FILTER(
      Transcription!$AJ:$AJ,
      TRIM(CLEAN(TEXT(Transcription!$F:$F, ""@""))) = TRIM(CLEAN(TEXT($D283, ""@""))),
      Transcription!$AO:$AO = 2
    ),
    1
  ),
  ""Not Found""
)
"),"")</f>
        <v/>
      </c>
      <c r="K28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TRIM(CLEAN(TEXT($D283, ""@""))),
      IMPORTRANGE(""https://docs.google.com/spreadsheets/d/1DccNxjBgurEr0ABkI_"&amp;"rBagJT5phB5HaHG5N_mTm_BiA/edit?gid=1382299152#gid=1382299152"", ""Form responses 1!$Z:$Z"") = 3
    ),
    1
  ),
  ""Not Found""
)
"),"https://drive.google.com/open?id=16NOAjjnIhEepRKdVPYyV0xNLJq_ryRsu")</f>
        <v>https://drive.google.com/open?id=16NOAjjnIhEepRKdVPYyV0xNLJq_ryRsu</v>
      </c>
      <c r="L2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1!$E:$E"")=$D283) *
        (IMPORTRANGE(""https://docs.google.com/spreadsheets/d/161aHT6vVT3SLneTKD19N5qVWtnj_jIT8CSsOmUVKmaA"&amp;"/edit?gid=1761053510"",
          ""Haris_Form responses 1!$AQ:$AQ"")=3)
      ),
      1
    ),
    ""0""
  ),
  ""Form not found""
)
"),"3")</f>
        <v>3</v>
      </c>
      <c r="M283" s="245" t="str">
        <f>IFERROR(__xludf.DUMMYFUNCTION("IFERROR(
  INDEX(
    FILTER(
      Transcription!$AJ:$AJ,
      TRIM(CLEAN(TEXT(Transcription!$F:$F, ""@""))) = TRIM(CLEAN(TEXT($D283, ""@""))),
      Transcription!$AO:$AO = 3
    ),
    1
  ),
  ""Not Found""
)
"),"https://drive.google.com/open?id=1PX5oWRSvv-mKJcrfQiKBhoENez3sCj9V")</f>
        <v>https://drive.google.com/open?id=1PX5oWRSvv-mKJcrfQiKBhoENez3sCj9V</v>
      </c>
      <c r="N2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TRIM(CLEAN(TEXT($D283, ""@""))),
      IMPORTRANGE(""https://docs.google.com/spreadsheets/d/1DccNxjBgurEr0ABkI_"&amp;"rBagJT5phB5HaHG5N_mTm_BiA/edit?gid=1382299152#gid=1382299152"", ""Form responses 1!$Z:$Z"") = 4
    ),
    1
  ),
  ""Not Found""
)
"),"Not Found")</f>
        <v>Not Found</v>
      </c>
      <c r="O2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1!$E:$E"")=$D283) *
        (IMPORTRANGE(""https://docs.google.com/spreadsheets/d/161aHT6vVT3SLneTKD19N5qVWtnj_jIT8CSsOmUVKmaA"&amp;"/edit?gid=1761053510"",
          ""Haris_Form responses 1!$AQ:$AQ"")=4)
      ),
      1
    ),
    ""0""
  ),
  ""Form not found""
)
"),"Form not found")</f>
        <v>Form not found</v>
      </c>
      <c r="P283" s="247" t="str">
        <f>IFERROR(__xludf.DUMMYFUNCTION("IFERROR(
  INDEX(
    FILTER(
      Transcription!$AJ:$AJ,
      TRIM(CLEAN(TEXT(Transcription!$F:$F, ""@""))) = TRIM(CLEAN(TEXT($D283, ""@""))),
      Transcription!$AO:$AO = 4
    ),
    1
  ),
  ""Not Found""
)
"),"Not Found")</f>
        <v>Not Found</v>
      </c>
      <c r="Q2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TRIM(CLEAN(TEXT($D283, ""@""))),
      IMPORTRANGE(""https://docs.google.com/spreadsheets/d/1DccNxjBgurEr0ABkI_"&amp;"rBagJT5phB5HaHG5N_mTm_BiA/edit?gid=1382299152#gid=1382299152"", ""Form responses 1!$Z:$Z"") = 5
    ),
    1
  ),
  ""Not Found""
)
"),"Not Found")</f>
        <v>Not Found</v>
      </c>
      <c r="R2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1!$E:$E"")=$D283) *
        (IMPORTRANGE(""https://docs.google.com/spreadsheets/d/161aHT6vVT3SLneTKD19N5qVWtnj_jIT8CSsOmUVKmaA"&amp;"/edit?gid=1761053510"",
          ""Haris_Form responses 1!$AQ:$AQ"")=5)
      ),
      1
    ),
    ""0""
  ),
  ""Form not found""
)
"),"Form not found")</f>
        <v>Form not found</v>
      </c>
      <c r="S283" s="247" t="str">
        <f>IFERROR(__xludf.DUMMYFUNCTION("IFERROR(
  INDEX(
    FILTER(
      Transcription!$AJ:$AJ,
      TRIM(CLEAN(TEXT(Transcription!$F:$F, ""@""))) = TRIM(CLEAN(TEXT($D283, ""@""))),
      Transcription!$AO:$AO = 5
    ),
    1
  ),
  ""Not Found""
)
"),"Not Found")</f>
        <v>Not Found</v>
      </c>
      <c r="T28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TRIM(CLEAN(TEXT($D283, ""@""))),
      IMPORTRANGE(""https://docs.google.com/spreadsheets/d/1DccNxjBgurEr0ABkI_"&amp;"rBagJT5phB5HaHG5N_mTm_BiA/edit?gid=1382299152#gid=1382299152"", ""Form responses 1!$Z:$Z"") = 6
    ),
    1
  ),
  ""Not Found""
)
"),"Not Found")</f>
        <v>Not Found</v>
      </c>
      <c r="U28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1!$E:$E"")=$D283) *
        (IMPORTRANGE(""https://docs.google.com/spreadsheets/d/161aHT6vVT3SLneTKD19N5qVWtnj_jIT8CSsOmUVKmaA"&amp;"/edit?gid=1761053510"",
          ""Haris_Form responses 1!$AQ:$AQ"")=6)
      ),
      1
    ),
    ""0""
  ),
  ""Form not found""
)
"),"Form not found")</f>
        <v>Form not found</v>
      </c>
      <c r="V283" s="247" t="str">
        <f>IFERROR(__xludf.DUMMYFUNCTION("IFERROR(
  INDEX(
    FILTER(
      Transcription!$AJ:$AJ,
      TRIM(CLEAN(TEXT(Transcription!$F:$F, ""@""))) = TRIM(CLEAN(TEXT($D283, ""@""))),
      Transcription!$AO:$AO = 6
    ),
    1
  ),
  ""Not Found""
)
"),"Not Found")</f>
        <v>Not Found</v>
      </c>
      <c r="Z283" s="10">
        <f t="shared" si="1"/>
        <v>2</v>
      </c>
      <c r="AA283" s="10">
        <f t="shared" si="2"/>
        <v>0</v>
      </c>
    </row>
    <row r="284">
      <c r="A284" s="8" t="str">
        <f>VLOOKUP($D284,Sheet6!$B:$G,5,FALSE)</f>
        <v>Jhang</v>
      </c>
      <c r="B284" s="232" t="str">
        <f>VLOOKUP($D284,Sheet6!$B:$G,4,FALSE)</f>
        <v>Community Religious No Info Share</v>
      </c>
      <c r="C284" s="8">
        <v>3.0</v>
      </c>
      <c r="D284" s="8" t="s">
        <v>3857</v>
      </c>
      <c r="E28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TRIM(CLEAN(TEXT($D284, ""@""))),
      IMPORTRANGE(""https://docs.google.com/spreadsheets/d/1DccNxjBgurEr0ABkI_"&amp;"rBagJT5phB5HaHG5N_mTm_BiA/edit?gid=1382299152#gid=1382299152"", ""Form responses 1!$Z:$Z"") = 1
    ),
    1
  ),
  ""Not Found""
)
"),"https://drive.google.com/open?id=1iUK_r7VprmT2Nsw35dZahVMwkb4aWzc-")</f>
        <v>https://drive.google.com/open?id=1iUK_r7VprmT2Nsw35dZahVMwkb4aWzc-</v>
      </c>
      <c r="F2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1!$E:$E"")=$D284) *
        (IMPORTRANGE(""https://docs.google.com/spreadsheets/d/161aHT6vVT3SLneTKD19N5qVWtnj_jIT8CSsOmUVKmaA"&amp;"/edit?gid=1761053510"",
          ""Haris_Form responses 1!$AQ:$AQ"")=1)
      ),
      1
    ),
    ""0""
  ),
  ""Form not found""
)
"),"1")</f>
        <v>1</v>
      </c>
      <c r="G284" s="245" t="str">
        <f>IFERROR(__xludf.DUMMYFUNCTION("IFERROR(
  INDEX(
    FILTER(
      Transcription!$AJ:$AJ,
      TRIM(CLEAN(TEXT(Transcription!$F:$F, ""@""))) = TRIM(CLEAN(TEXT($D284, ""@""))),
      Transcription!$AO:$AO = 1
    ),
    1
  ),
  ""Not Found""
)
"),"https://drive.google.com/open?id=1h3ZsO1BggTmgR6oA_W5ymbOJZsQJmnauCsgy0itXkGA")</f>
        <v>https://drive.google.com/open?id=1h3ZsO1BggTmgR6oA_W5ymbOJZsQJmnauCsgy0itXkGA</v>
      </c>
      <c r="H28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TRIM(CLEAN(TEXT($D284, ""@""))),
      IMPORTRANGE(""https://docs.google.com/spreadsheets/d/1DccNxjBgurEr0ABkI_"&amp;"rBagJT5phB5HaHG5N_mTm_BiA/edit?gid=1382299152#gid=1382299152"", ""Form responses 1!$Z:$Z"") = 2
    ),
    1
  ),
  ""Not Found""
)
"),"https://drive.google.com/open?id=10DCuhKOlX8lMFzs401ZClowoV2e_z1ZY")</f>
        <v>https://drive.google.com/open?id=10DCuhKOlX8lMFzs401ZClowoV2e_z1ZY</v>
      </c>
      <c r="I2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1!$E:$E"")=$D284) *
        (IMPORTRANGE(""https://docs.google.com/spreadsheets/d/161aHT6vVT3SLneTKD19N5qVWtnj_jIT8CSsOmUVKmaA"&amp;"/edit?gid=1761053510"",
          ""Haris_Form responses 1!$AQ:$AQ"")=2)
      ),
      1
    ),
    ""0""
  ),
  ""Form not found""
)
"),"2")</f>
        <v>2</v>
      </c>
      <c r="J284" s="245" t="str">
        <f>IFERROR(__xludf.DUMMYFUNCTION("IFERROR(
  INDEX(
    FILTER(
      Transcription!$AJ:$AJ,
      TRIM(CLEAN(TEXT(Transcription!$F:$F, ""@""))) = TRIM(CLEAN(TEXT($D284, ""@""))),
      Transcription!$AO:$AO = 2
    ),
    1
  ),
  ""Not Found""
)
"),"https://drive.google.com/open?id=1EBKl-91rNDXDDgnuyJcFyKPK_X1Z6F4M")</f>
        <v>https://drive.google.com/open?id=1EBKl-91rNDXDDgnuyJcFyKPK_X1Z6F4M</v>
      </c>
      <c r="K28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TRIM(CLEAN(TEXT($D284, ""@""))),
      IMPORTRANGE(""https://docs.google.com/spreadsheets/d/1DccNxjBgurEr0ABkI_"&amp;"rBagJT5phB5HaHG5N_mTm_BiA/edit?gid=1382299152#gid=1382299152"", ""Form responses 1!$Z:$Z"") = 3
    ),
    1
  ),
  ""Not Found""
)
"),"https://drive.google.com/open?id=19fc1xVtceCCBDylW7Rv3-UmiGsX9T_kH")</f>
        <v>https://drive.google.com/open?id=19fc1xVtceCCBDylW7Rv3-UmiGsX9T_kH</v>
      </c>
      <c r="L2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1!$E:$E"")=$D284) *
        (IMPORTRANGE(""https://docs.google.com/spreadsheets/d/161aHT6vVT3SLneTKD19N5qVWtnj_jIT8CSsOmUVKmaA"&amp;"/edit?gid=1761053510"",
          ""Haris_Form responses 1!$AQ:$AQ"")=3)
      ),
      1
    ),
    ""0""
  ),
  ""Form not found""
)
"),"3")</f>
        <v>3</v>
      </c>
      <c r="M284" s="245" t="str">
        <f>IFERROR(__xludf.DUMMYFUNCTION("IFERROR(
  INDEX(
    FILTER(
      Transcription!$AJ:$AJ,
      TRIM(CLEAN(TEXT(Transcription!$F:$F, ""@""))) = TRIM(CLEAN(TEXT($D284, ""@""))),
      Transcription!$AO:$AO = 3
    ),
    1
  ),
  ""Not Found""
)
"),"https://drive.google.com/open?id=19a_MtHm6zDVGIG-Q6ff4bPtEf0aTBNxy")</f>
        <v>https://drive.google.com/open?id=19a_MtHm6zDVGIG-Q6ff4bPtEf0aTBNxy</v>
      </c>
      <c r="N28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TRIM(CLEAN(TEXT($D284, ""@""))),
      IMPORTRANGE(""https://docs.google.com/spreadsheets/d/1DccNxjBgurEr0ABkI_"&amp;"rBagJT5phB5HaHG5N_mTm_BiA/edit?gid=1382299152#gid=1382299152"", ""Form responses 1!$Z:$Z"") = 4
    ),
    1
  ),
  ""Not Found""
)
"),"Not Found")</f>
        <v>Not Found</v>
      </c>
      <c r="O2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1!$E:$E"")=$D284) *
        (IMPORTRANGE(""https://docs.google.com/spreadsheets/d/161aHT6vVT3SLneTKD19N5qVWtnj_jIT8CSsOmUVKmaA"&amp;"/edit?gid=1761053510"",
          ""Haris_Form responses 1!$AQ:$AQ"")=4)
      ),
      1
    ),
    ""0""
  ),
  ""Form not found""
)
"),"Form not found")</f>
        <v>Form not found</v>
      </c>
      <c r="P284" s="247" t="str">
        <f>IFERROR(__xludf.DUMMYFUNCTION("IFERROR(
  INDEX(
    FILTER(
      Transcription!$AJ:$AJ,
      TRIM(CLEAN(TEXT(Transcription!$F:$F, ""@""))) = TRIM(CLEAN(TEXT($D284, ""@""))),
      Transcription!$AO:$AO = 4
    ),
    1
  ),
  ""Not Found""
)
"),"Not Found")</f>
        <v>Not Found</v>
      </c>
      <c r="Q28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TRIM(CLEAN(TEXT($D284, ""@""))),
      IMPORTRANGE(""https://docs.google.com/spreadsheets/d/1DccNxjBgurEr0ABkI_"&amp;"rBagJT5phB5HaHG5N_mTm_BiA/edit?gid=1382299152#gid=1382299152"", ""Form responses 1!$Z:$Z"") = 5
    ),
    1
  ),
  ""Not Found""
)
"),"Not Found")</f>
        <v>Not Found</v>
      </c>
      <c r="R2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1!$E:$E"")=$D284) *
        (IMPORTRANGE(""https://docs.google.com/spreadsheets/d/161aHT6vVT3SLneTKD19N5qVWtnj_jIT8CSsOmUVKmaA"&amp;"/edit?gid=1761053510"",
          ""Haris_Form responses 1!$AQ:$AQ"")=5)
      ),
      1
    ),
    ""0""
  ),
  ""Form not found""
)
"),"Form not found")</f>
        <v>Form not found</v>
      </c>
      <c r="S284" s="247" t="str">
        <f>IFERROR(__xludf.DUMMYFUNCTION("IFERROR(
  INDEX(
    FILTER(
      Transcription!$AJ:$AJ,
      TRIM(CLEAN(TEXT(Transcription!$F:$F, ""@""))) = TRIM(CLEAN(TEXT($D284, ""@""))),
      Transcription!$AO:$AO = 5
    ),
    1
  ),
  ""Not Found""
)
"),"Not Found")</f>
        <v>Not Found</v>
      </c>
      <c r="T28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TRIM(CLEAN(TEXT($D284, ""@""))),
      IMPORTRANGE(""https://docs.google.com/spreadsheets/d/1DccNxjBgurEr0ABkI_"&amp;"rBagJT5phB5HaHG5N_mTm_BiA/edit?gid=1382299152#gid=1382299152"", ""Form responses 1!$Z:$Z"") = 6
    ),
    1
  ),
  ""Not Found""
)
"),"Not Found")</f>
        <v>Not Found</v>
      </c>
      <c r="U28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1!$E:$E"")=$D284) *
        (IMPORTRANGE(""https://docs.google.com/spreadsheets/d/161aHT6vVT3SLneTKD19N5qVWtnj_jIT8CSsOmUVKmaA"&amp;"/edit?gid=1761053510"",
          ""Haris_Form responses 1!$AQ:$AQ"")=6)
      ),
      1
    ),
    ""0""
  ),
  ""Form not found""
)
"),"Form not found")</f>
        <v>Form not found</v>
      </c>
      <c r="V284" s="247" t="str">
        <f>IFERROR(__xludf.DUMMYFUNCTION("IFERROR(
  INDEX(
    FILTER(
      Transcription!$AJ:$AJ,
      TRIM(CLEAN(TEXT(Transcription!$F:$F, ""@""))) = TRIM(CLEAN(TEXT($D284, ""@""))),
      Transcription!$AO:$AO = 6
    ),
    1
  ),
  ""Not Found""
)
"),"Not Found")</f>
        <v>Not Found</v>
      </c>
      <c r="Z284" s="10">
        <f t="shared" si="1"/>
        <v>3</v>
      </c>
      <c r="AA284" s="10">
        <f t="shared" si="2"/>
        <v>0</v>
      </c>
    </row>
    <row r="285">
      <c r="A285" s="8" t="str">
        <f>VLOOKUP($D285,Sheet6!$B:$G,5,FALSE)</f>
        <v>Jhang</v>
      </c>
      <c r="B285" s="232" t="str">
        <f>VLOOKUP($D285,Sheet6!$B:$G,4,FALSE)</f>
        <v>Women Religious No Info Share</v>
      </c>
      <c r="C285" s="8">
        <v>3.0</v>
      </c>
      <c r="D285" s="8" t="s">
        <v>4002</v>
      </c>
      <c r="E2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TRIM(CLEAN(TEXT($D285, ""@""))),
      IMPORTRANGE(""https://docs.google.com/spreadsheets/d/1DccNxjBgurEr0ABkI_"&amp;"rBagJT5phB5HaHG5N_mTm_BiA/edit?gid=1382299152#gid=1382299152"", ""Form responses 1!$Z:$Z"") = 1
    ),
    1
  ),
  ""Not Found""
)
"),"https://drive.google.com/file/d/1oT0cImZf1_OywQopwLvOcXEJT5FSpON6/view?usp=drive_link")</f>
        <v>https://drive.google.com/file/d/1oT0cImZf1_OywQopwLvOcXEJT5FSpON6/view?usp=drive_link</v>
      </c>
      <c r="F2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1!$E:$E"")=$D285) *
        (IMPORTRANGE(""https://docs.google.com/spreadsheets/d/161aHT6vVT3SLneTKD19N5qVWtnj_jIT8CSsOmUVKmaA"&amp;"/edit?gid=1761053510"",
          ""Haris_Form responses 1!$AQ:$AQ"")=1)
      ),
      1
    ),
    ""0""
  ),
  ""Form not found""
)
"),"1")</f>
        <v>1</v>
      </c>
      <c r="G285" s="245" t="str">
        <f>IFERROR(__xludf.DUMMYFUNCTION("IFERROR(
  INDEX(
    FILTER(
      Transcription!$AJ:$AJ,
      TRIM(CLEAN(TEXT(Transcription!$F:$F, ""@""))) = TRIM(CLEAN(TEXT($D285, ""@""))),
      Transcription!$AO:$AO = 1
    ),
    1
  ),
  ""Not Found""
)
"),"https://drive.google.com/open?id=19m2c6Ft2r4zCSb2OhpFzJXP6iAFV06rx")</f>
        <v>https://drive.google.com/open?id=19m2c6Ft2r4zCSb2OhpFzJXP6iAFV06rx</v>
      </c>
      <c r="H2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TRIM(CLEAN(TEXT($D285, ""@""))),
      IMPORTRANGE(""https://docs.google.com/spreadsheets/d/1DccNxjBgurEr0ABkI_"&amp;"rBagJT5phB5HaHG5N_mTm_BiA/edit?gid=1382299152#gid=1382299152"", ""Form responses 1!$Z:$Z"") = 2
    ),
    1
  ),
  ""Not Found""
)
"),"https://drive.google.com/open?id=1GXuRdplhCdPqwq5d6YDyZLqomlMnQnO9")</f>
        <v>https://drive.google.com/open?id=1GXuRdplhCdPqwq5d6YDyZLqomlMnQnO9</v>
      </c>
      <c r="I2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1!$E:$E"")=$D285) *
        (IMPORTRANGE(""https://docs.google.com/spreadsheets/d/161aHT6vVT3SLneTKD19N5qVWtnj_jIT8CSsOmUVKmaA"&amp;"/edit?gid=1761053510"",
          ""Haris_Form responses 1!$AQ:$AQ"")=2)
      ),
      1
    ),
    ""0""
  ),
  ""Form not found""
)
"),"2")</f>
        <v>2</v>
      </c>
      <c r="J285" s="245" t="str">
        <f>IFERROR(__xludf.DUMMYFUNCTION("IFERROR(
  INDEX(
    FILTER(
      Transcription!$AJ:$AJ,
      TRIM(CLEAN(TEXT(Transcription!$F:$F, ""@""))) = TRIM(CLEAN(TEXT($D285, ""@""))),
      Transcription!$AO:$AO = 2
    ),
    1
  ),
  ""Not Found""
)
"),"https://drive.google.com/open?id=1EnybGCWentbsaNDtsGS5f2mxKndRwMlE")</f>
        <v>https://drive.google.com/open?id=1EnybGCWentbsaNDtsGS5f2mxKndRwMlE</v>
      </c>
      <c r="K28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TRIM(CLEAN(TEXT($D285, ""@""))),
      IMPORTRANGE(""https://docs.google.com/spreadsheets/d/1DccNxjBgurEr0ABkI_"&amp;"rBagJT5phB5HaHG5N_mTm_BiA/edit?gid=1382299152#gid=1382299152"", ""Form responses 1!$Z:$Z"") = 3
    ),
    1
  ),
  ""Not Found""
)
"),"https://drive.google.com/open?id=1NB3X5eb9_yLJcjOT3f3c8lH9MgtwXuhm")</f>
        <v>https://drive.google.com/open?id=1NB3X5eb9_yLJcjOT3f3c8lH9MgtwXuhm</v>
      </c>
      <c r="L2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1!$E:$E"")=$D285) *
        (IMPORTRANGE(""https://docs.google.com/spreadsheets/d/161aHT6vVT3SLneTKD19N5qVWtnj_jIT8CSsOmUVKmaA"&amp;"/edit?gid=1761053510"",
          ""Haris_Form responses 1!$AQ:$AQ"")=3)
      ),
      1
    ),
    ""0""
  ),
  ""Form not found""
)
"),"3")</f>
        <v>3</v>
      </c>
      <c r="M285" s="245" t="str">
        <f>IFERROR(__xludf.DUMMYFUNCTION("IFERROR(
  INDEX(
    FILTER(
      Transcription!$AJ:$AJ,
      TRIM(CLEAN(TEXT(Transcription!$F:$F, ""@""))) = TRIM(CLEAN(TEXT($D285, ""@""))),
      Transcription!$AO:$AO = 3
    ),
    1
  ),
  ""Not Found""
)
"),"https://drive.google.com/open?id=1Q-2HUV3oEy29X_CjiAHPNaaQ_xqH5-1EwGQIiCQ2mSo")</f>
        <v>https://drive.google.com/open?id=1Q-2HUV3oEy29X_CjiAHPNaaQ_xqH5-1EwGQIiCQ2mSo</v>
      </c>
      <c r="N28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TRIM(CLEAN(TEXT($D285, ""@""))),
      IMPORTRANGE(""https://docs.google.com/spreadsheets/d/1DccNxjBgurEr0ABkI_"&amp;"rBagJT5phB5HaHG5N_mTm_BiA/edit?gid=1382299152#gid=1382299152"", ""Form responses 1!$Z:$Z"") = 4
    ),
    1
  ),
  ""Not Found""
)
"),"Not Found")</f>
        <v>Not Found</v>
      </c>
      <c r="O2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1!$E:$E"")=$D285) *
        (IMPORTRANGE(""https://docs.google.com/spreadsheets/d/161aHT6vVT3SLneTKD19N5qVWtnj_jIT8CSsOmUVKmaA"&amp;"/edit?gid=1761053510"",
          ""Haris_Form responses 1!$AQ:$AQ"")=4)
      ),
      1
    ),
    ""0""
  ),
  ""Form not found""
)
"),"Form not found")</f>
        <v>Form not found</v>
      </c>
      <c r="P285" s="247" t="str">
        <f>IFERROR(__xludf.DUMMYFUNCTION("IFERROR(
  INDEX(
    FILTER(
      Transcription!$AJ:$AJ,
      TRIM(CLEAN(TEXT(Transcription!$F:$F, ""@""))) = TRIM(CLEAN(TEXT($D285, ""@""))),
      Transcription!$AO:$AO = 4
    ),
    1
  ),
  ""Not Found""
)
"),"Not Found")</f>
        <v>Not Found</v>
      </c>
      <c r="Q28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TRIM(CLEAN(TEXT($D285, ""@""))),
      IMPORTRANGE(""https://docs.google.com/spreadsheets/d/1DccNxjBgurEr0ABkI_"&amp;"rBagJT5phB5HaHG5N_mTm_BiA/edit?gid=1382299152#gid=1382299152"", ""Form responses 1!$Z:$Z"") = 5
    ),
    1
  ),
  ""Not Found""
)
"),"Not Found")</f>
        <v>Not Found</v>
      </c>
      <c r="R2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1!$E:$E"")=$D285) *
        (IMPORTRANGE(""https://docs.google.com/spreadsheets/d/161aHT6vVT3SLneTKD19N5qVWtnj_jIT8CSsOmUVKmaA"&amp;"/edit?gid=1761053510"",
          ""Haris_Form responses 1!$AQ:$AQ"")=5)
      ),
      1
    ),
    ""0""
  ),
  ""Form not found""
)
"),"Form not found")</f>
        <v>Form not found</v>
      </c>
      <c r="S285" s="247" t="str">
        <f>IFERROR(__xludf.DUMMYFUNCTION("IFERROR(
  INDEX(
    FILTER(
      Transcription!$AJ:$AJ,
      TRIM(CLEAN(TEXT(Transcription!$F:$F, ""@""))) = TRIM(CLEAN(TEXT($D285, ""@""))),
      Transcription!$AO:$AO = 5
    ),
    1
  ),
  ""Not Found""
)
"),"Not Found")</f>
        <v>Not Found</v>
      </c>
      <c r="T28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TRIM(CLEAN(TEXT($D285, ""@""))),
      IMPORTRANGE(""https://docs.google.com/spreadsheets/d/1DccNxjBgurEr0ABkI_"&amp;"rBagJT5phB5HaHG5N_mTm_BiA/edit?gid=1382299152#gid=1382299152"", ""Form responses 1!$Z:$Z"") = 6
    ),
    1
  ),
  ""Not Found""
)
"),"Not Found")</f>
        <v>Not Found</v>
      </c>
      <c r="U28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1!$E:$E"")=$D285) *
        (IMPORTRANGE(""https://docs.google.com/spreadsheets/d/161aHT6vVT3SLneTKD19N5qVWtnj_jIT8CSsOmUVKmaA"&amp;"/edit?gid=1761053510"",
          ""Haris_Form responses 1!$AQ:$AQ"")=6)
      ),
      1
    ),
    ""0""
  ),
  ""Form not found""
)
"),"Form not found")</f>
        <v>Form not found</v>
      </c>
      <c r="V285" s="247" t="str">
        <f>IFERROR(__xludf.DUMMYFUNCTION("IFERROR(
  INDEX(
    FILTER(
      Transcription!$AJ:$AJ,
      TRIM(CLEAN(TEXT(Transcription!$F:$F, ""@""))) = TRIM(CLEAN(TEXT($D285, ""@""))),
      Transcription!$AO:$AO = 6
    ),
    1
  ),
  ""Not Found""
)
"),"Not Found")</f>
        <v>Not Found</v>
      </c>
      <c r="Z285" s="10">
        <f t="shared" si="1"/>
        <v>3</v>
      </c>
      <c r="AA285" s="10">
        <f t="shared" si="2"/>
        <v>0</v>
      </c>
    </row>
    <row r="286">
      <c r="A286" s="8" t="str">
        <f>VLOOKUP($D286,Sheet6!$B:$G,5,FALSE)</f>
        <v>Jhang</v>
      </c>
      <c r="B286" s="232" t="str">
        <f>VLOOKUP($D286,Sheet6!$B:$G,4,FALSE)</f>
        <v>Women Secular Info Share</v>
      </c>
      <c r="C286" s="8">
        <v>3.0</v>
      </c>
      <c r="D286" s="8" t="s">
        <v>3944</v>
      </c>
      <c r="E28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TRIM(CLEAN(TEXT($D286, ""@""))),
      IMPORTRANGE(""https://docs.google.com/spreadsheets/d/1DccNxjBgurEr0ABkI_"&amp;"rBagJT5phB5HaHG5N_mTm_BiA/edit?gid=1382299152#gid=1382299152"", ""Form responses 1!$Z:$Z"") = 1
    ),
    1
  ),
  ""Not Found""
)
"),"https://drive.google.com/open?id=1tnhz0Ct7zGQ3TxGG7ohJc0KTD5EXfNNv")</f>
        <v>https://drive.google.com/open?id=1tnhz0Ct7zGQ3TxGG7ohJc0KTD5EXfNNv</v>
      </c>
      <c r="F2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1!$E:$E"")=$D286) *
        (IMPORTRANGE(""https://docs.google.com/spreadsheets/d/161aHT6vVT3SLneTKD19N5qVWtnj_jIT8CSsOmUVKmaA"&amp;"/edit?gid=1761053510"",
          ""Haris_Form responses 1!$AQ:$AQ"")=1)
      ),
      1
    ),
    ""0""
  ),
  ""Form not found""
)
"),"1")</f>
        <v>1</v>
      </c>
      <c r="G286" s="245" t="str">
        <f>IFERROR(__xludf.DUMMYFUNCTION("IFERROR(
  INDEX(
    FILTER(
      Transcription!$AJ:$AJ,
      TRIM(CLEAN(TEXT(Transcription!$F:$F, ""@""))) = TRIM(CLEAN(TEXT($D286, ""@""))),
      Transcription!$AO:$AO = 1
    ),
    1
  ),
  ""Not Found""
)
"),"https://drive.google.com/open?id=1F5Es2OsHV1USz12bnRKVArsHOmSaUH8_-ZWBQKwVnUw")</f>
        <v>https://drive.google.com/open?id=1F5Es2OsHV1USz12bnRKVArsHOmSaUH8_-ZWBQKwVnUw</v>
      </c>
      <c r="H28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TRIM(CLEAN(TEXT($D286, ""@""))),
      IMPORTRANGE(""https://docs.google.com/spreadsheets/d/1DccNxjBgurEr0ABkI_"&amp;"rBagJT5phB5HaHG5N_mTm_BiA/edit?gid=1382299152#gid=1382299152"", ""Form responses 1!$Z:$Z"") = 2
    ),
    1
  ),
  ""Not Found""
)
"),"https://drive.google.com/open?id=1TUfuEDHk705NOtNk9YU9eVXPKeysJ36r")</f>
        <v>https://drive.google.com/open?id=1TUfuEDHk705NOtNk9YU9eVXPKeysJ36r</v>
      </c>
      <c r="I2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1!$E:$E"")=$D286) *
        (IMPORTRANGE(""https://docs.google.com/spreadsheets/d/161aHT6vVT3SLneTKD19N5qVWtnj_jIT8CSsOmUVKmaA"&amp;"/edit?gid=1761053510"",
          ""Haris_Form responses 1!$AQ:$AQ"")=2)
      ),
      1
    ),
    ""0""
  ),
  ""Form not found""
)
"),"2")</f>
        <v>2</v>
      </c>
      <c r="J286" s="245" t="str">
        <f>IFERROR(__xludf.DUMMYFUNCTION("IFERROR(
  INDEX(
    FILTER(
      Transcription!$AJ:$AJ,
      TRIM(CLEAN(TEXT(Transcription!$F:$F, ""@""))) = TRIM(CLEAN(TEXT($D286, ""@""))),
      Transcription!$AO:$AO = 2
    ),
    1
  ),
  ""Not Found""
)
"),"https://drive.google.com/open?id=1eBvpz8_8VSVLd8ZvhfEpfcmsd-K-Zb_R")</f>
        <v>https://drive.google.com/open?id=1eBvpz8_8VSVLd8ZvhfEpfcmsd-K-Zb_R</v>
      </c>
      <c r="K28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TRIM(CLEAN(TEXT($D286, ""@""))),
      IMPORTRANGE(""https://docs.google.com/spreadsheets/d/1DccNxjBgurEr0ABkI_"&amp;"rBagJT5phB5HaHG5N_mTm_BiA/edit?gid=1382299152#gid=1382299152"", ""Form responses 1!$Z:$Z"") = 3
    ),
    1
  ),
  ""Not Found""
)
"),"https://drive.google.com/open?id=1H6nrH3U1WdomE-qzXlpPtZrS-OgL1u3y")</f>
        <v>https://drive.google.com/open?id=1H6nrH3U1WdomE-qzXlpPtZrS-OgL1u3y</v>
      </c>
      <c r="L2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1!$E:$E"")=$D286) *
        (IMPORTRANGE(""https://docs.google.com/spreadsheets/d/161aHT6vVT3SLneTKD19N5qVWtnj_jIT8CSsOmUVKmaA"&amp;"/edit?gid=1761053510"",
          ""Haris_Form responses 1!$AQ:$AQ"")=3)
      ),
      1
    ),
    ""0""
  ),
  ""Form not found""
)
"),"3")</f>
        <v>3</v>
      </c>
      <c r="M286" s="245" t="str">
        <f>IFERROR(__xludf.DUMMYFUNCTION("IFERROR(
  INDEX(
    FILTER(
      Transcription!$AJ:$AJ,
      TRIM(CLEAN(TEXT(Transcription!$F:$F, ""@""))) = TRIM(CLEAN(TEXT($D286, ""@""))),
      Transcription!$AO:$AO = 3
    ),
    1
  ),
  ""Not Found""
)
"),"https://drive.google.com/open?id=1s2INv6tIqHm4WskF5pcGjGBWHAjxlJPq1LCbRgy_kSA")</f>
        <v>https://drive.google.com/open?id=1s2INv6tIqHm4WskF5pcGjGBWHAjxlJPq1LCbRgy_kSA</v>
      </c>
      <c r="N28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TRIM(CLEAN(TEXT($D286, ""@""))),
      IMPORTRANGE(""https://docs.google.com/spreadsheets/d/1DccNxjBgurEr0ABkI_"&amp;"rBagJT5phB5HaHG5N_mTm_BiA/edit?gid=1382299152#gid=1382299152"", ""Form responses 1!$Z:$Z"") = 4
    ),
    1
  ),
  ""Not Found""
)
"),"Not Found")</f>
        <v>Not Found</v>
      </c>
      <c r="O2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1!$E:$E"")=$D286) *
        (IMPORTRANGE(""https://docs.google.com/spreadsheets/d/161aHT6vVT3SLneTKD19N5qVWtnj_jIT8CSsOmUVKmaA"&amp;"/edit?gid=1761053510"",
          ""Haris_Form responses 1!$AQ:$AQ"")=4)
      ),
      1
    ),
    ""0""
  ),
  ""Form not found""
)
"),"Form not found")</f>
        <v>Form not found</v>
      </c>
      <c r="P286" s="247" t="str">
        <f>IFERROR(__xludf.DUMMYFUNCTION("IFERROR(
  INDEX(
    FILTER(
      Transcription!$AJ:$AJ,
      TRIM(CLEAN(TEXT(Transcription!$F:$F, ""@""))) = TRIM(CLEAN(TEXT($D286, ""@""))),
      Transcription!$AO:$AO = 4
    ),
    1
  ),
  ""Not Found""
)
"),"Not Found")</f>
        <v>Not Found</v>
      </c>
      <c r="Q28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TRIM(CLEAN(TEXT($D286, ""@""))),
      IMPORTRANGE(""https://docs.google.com/spreadsheets/d/1DccNxjBgurEr0ABkI_"&amp;"rBagJT5phB5HaHG5N_mTm_BiA/edit?gid=1382299152#gid=1382299152"", ""Form responses 1!$Z:$Z"") = 5
    ),
    1
  ),
  ""Not Found""
)
"),"Not Found")</f>
        <v>Not Found</v>
      </c>
      <c r="R2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1!$E:$E"")=$D286) *
        (IMPORTRANGE(""https://docs.google.com/spreadsheets/d/161aHT6vVT3SLneTKD19N5qVWtnj_jIT8CSsOmUVKmaA"&amp;"/edit?gid=1761053510"",
          ""Haris_Form responses 1!$AQ:$AQ"")=5)
      ),
      1
    ),
    ""0""
  ),
  ""Form not found""
)
"),"Form not found")</f>
        <v>Form not found</v>
      </c>
      <c r="S286" s="247" t="str">
        <f>IFERROR(__xludf.DUMMYFUNCTION("IFERROR(
  INDEX(
    FILTER(
      Transcription!$AJ:$AJ,
      TRIM(CLEAN(TEXT(Transcription!$F:$F, ""@""))) = TRIM(CLEAN(TEXT($D286, ""@""))),
      Transcription!$AO:$AO = 5
    ),
    1
  ),
  ""Not Found""
)
"),"Not Found")</f>
        <v>Not Found</v>
      </c>
      <c r="T28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TRIM(CLEAN(TEXT($D286, ""@""))),
      IMPORTRANGE(""https://docs.google.com/spreadsheets/d/1DccNxjBgurEr0ABkI_"&amp;"rBagJT5phB5HaHG5N_mTm_BiA/edit?gid=1382299152#gid=1382299152"", ""Form responses 1!$Z:$Z"") = 6
    ),
    1
  ),
  ""Not Found""
)
"),"Not Found")</f>
        <v>Not Found</v>
      </c>
      <c r="U28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1!$E:$E"")=$D286) *
        (IMPORTRANGE(""https://docs.google.com/spreadsheets/d/161aHT6vVT3SLneTKD19N5qVWtnj_jIT8CSsOmUVKmaA"&amp;"/edit?gid=1761053510"",
          ""Haris_Form responses 1!$AQ:$AQ"")=6)
      ),
      1
    ),
    ""0""
  ),
  ""Form not found""
)
"),"Form not found")</f>
        <v>Form not found</v>
      </c>
      <c r="V286" s="247" t="str">
        <f>IFERROR(__xludf.DUMMYFUNCTION("IFERROR(
  INDEX(
    FILTER(
      Transcription!$AJ:$AJ,
      TRIM(CLEAN(TEXT(Transcription!$F:$F, ""@""))) = TRIM(CLEAN(TEXT($D286, ""@""))),
      Transcription!$AO:$AO = 6
    ),
    1
  ),
  ""Not Found""
)
"),"Not Found")</f>
        <v>Not Found</v>
      </c>
      <c r="Z286" s="10">
        <f t="shared" si="1"/>
        <v>3</v>
      </c>
      <c r="AA286" s="10">
        <f t="shared" si="2"/>
        <v>0</v>
      </c>
    </row>
    <row r="287">
      <c r="A287" s="8" t="str">
        <f>VLOOKUP($D287,Sheet6!$B:$G,5,FALSE)</f>
        <v>Jhang</v>
      </c>
      <c r="B287" s="232" t="str">
        <f>VLOOKUP($D287,Sheet6!$B:$G,4,FALSE)</f>
        <v>Control</v>
      </c>
      <c r="C287" s="8">
        <v>2.0</v>
      </c>
      <c r="D287" s="8" t="s">
        <v>4019</v>
      </c>
      <c r="E28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TRIM(CLEAN(TEXT($D287, ""@""))),
      IMPORTRANGE(""https://docs.google.com/spreadsheets/d/1DccNxjBgurEr0ABkI_"&amp;"rBagJT5phB5HaHG5N_mTm_BiA/edit?gid=1382299152#gid=1382299152"", ""Form responses 1!$Z:$Z"") = 1
    ),
    1
  ),
  ""Not Found""
)
"),"https://drive.google.com/file/d/1Douae81TShvI4JuIKV0kSI5IKf8TzCVV/view?usp=drive_link")</f>
        <v>https://drive.google.com/file/d/1Douae81TShvI4JuIKV0kSI5IKf8TzCVV/view?usp=drive_link</v>
      </c>
      <c r="F2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1!$E:$E"")=$D287) *
        (IMPORTRANGE(""https://docs.google.com/spreadsheets/d/161aHT6vVT3SLneTKD19N5qVWtnj_jIT8CSsOmUVKmaA"&amp;"/edit?gid=1761053510"",
          ""Haris_Form responses 1!$AQ:$AQ"")=1)
      ),
      1
    ),
    ""0""
  ),
  ""Form not found""
)
"),"1")</f>
        <v>1</v>
      </c>
      <c r="G287" s="245" t="str">
        <f>IFERROR(__xludf.DUMMYFUNCTION("IFERROR(
  INDEX(
    FILTER(
      Transcription!$AJ:$AJ,
      TRIM(CLEAN(TEXT(Transcription!$F:$F, ""@""))) = TRIM(CLEAN(TEXT($D287, ""@""))),
      Transcription!$AO:$AO = 1
    ),
    1
  ),
  ""Not Found""
)
"),"https://drive.google.com/open?id=1NS8hcHBkT-gjiSkm-FYkwLqQeAlGQ-_y8LGSm4iO--U")</f>
        <v>https://drive.google.com/open?id=1NS8hcHBkT-gjiSkm-FYkwLqQeAlGQ-_y8LGSm4iO--U</v>
      </c>
      <c r="H2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TRIM(CLEAN(TEXT($D287, ""@""))),
      IMPORTRANGE(""https://docs.google.com/spreadsheets/d/1DccNxjBgurEr0ABkI_"&amp;"rBagJT5phB5HaHG5N_mTm_BiA/edit?gid=1382299152#gid=1382299152"", ""Form responses 1!$Z:$Z"") = 2
    ),
    1
  ),
  ""Not Found""
)
"),"Not Found")</f>
        <v>Not Found</v>
      </c>
      <c r="I2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1!$E:$E"")=$D287) *
        (IMPORTRANGE(""https://docs.google.com/spreadsheets/d/161aHT6vVT3SLneTKD19N5qVWtnj_jIT8CSsOmUVKmaA"&amp;"/edit?gid=1761053510"",
          ""Haris_Form responses 1!$AQ:$AQ"")=2)
      ),
      1
    ),
    ""0""
  ),
  ""Form not found""
)
"),"Form not found")</f>
        <v>Form not found</v>
      </c>
      <c r="J287" s="247" t="str">
        <f>IFERROR(__xludf.DUMMYFUNCTION("IFERROR(
  INDEX(
    FILTER(
      Transcription!$AJ:$AJ,
      TRIM(CLEAN(TEXT(Transcription!$F:$F, ""@""))) = TRIM(CLEAN(TEXT($D287, ""@""))),
      Transcription!$AO:$AO = 2
    ),
    1
  ),
  ""Not Found""
)
"),"Not Found")</f>
        <v>Not Found</v>
      </c>
      <c r="K28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TRIM(CLEAN(TEXT($D287, ""@""))),
      IMPORTRANGE(""https://docs.google.com/spreadsheets/d/1DccNxjBgurEr0ABkI_"&amp;"rBagJT5phB5HaHG5N_mTm_BiA/edit?gid=1382299152#gid=1382299152"", ""Form responses 1!$Z:$Z"") = 3
    ),
    1
  ),
  ""Not Found""
)
"),"https://drive.google.com/file/d/1W6Fq1gT8EL_yNDJAEh9jU1sRtAu9Qz4l/view?usp=sharing")</f>
        <v>https://drive.google.com/file/d/1W6Fq1gT8EL_yNDJAEh9jU1sRtAu9Qz4l/view?usp=sharing</v>
      </c>
      <c r="L2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1!$E:$E"")=$D287) *
        (IMPORTRANGE(""https://docs.google.com/spreadsheets/d/161aHT6vVT3SLneTKD19N5qVWtnj_jIT8CSsOmUVKmaA"&amp;"/edit?gid=1761053510"",
          ""Haris_Form responses 1!$AQ:$AQ"")=3)
      ),
      1
    ),
    ""0""
  ),
  ""Form not found""
)
"),"3")</f>
        <v>3</v>
      </c>
      <c r="M287" s="245" t="str">
        <f>IFERROR(__xludf.DUMMYFUNCTION("IFERROR(
  INDEX(
    FILTER(
      Transcription!$AJ:$AJ,
      TRIM(CLEAN(TEXT(Transcription!$F:$F, ""@""))) = TRIM(CLEAN(TEXT($D287, ""@""))),
      Transcription!$AO:$AO = 3
    ),
    1
  ),
  ""Not Found""
)
"),"https://drive.google.com/open?id=1jFGijoa5diSknR9uC3JjF_lbdNB_u8-APgPz5VPRLWk")</f>
        <v>https://drive.google.com/open?id=1jFGijoa5diSknR9uC3JjF_lbdNB_u8-APgPz5VPRLWk</v>
      </c>
      <c r="N2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TRIM(CLEAN(TEXT($D287, ""@""))),
      IMPORTRANGE(""https://docs.google.com/spreadsheets/d/1DccNxjBgurEr0ABkI_"&amp;"rBagJT5phB5HaHG5N_mTm_BiA/edit?gid=1382299152#gid=1382299152"", ""Form responses 1!$Z:$Z"") = 4
    ),
    1
  ),
  ""Not Found""
)
"),"Not Found")</f>
        <v>Not Found</v>
      </c>
      <c r="O2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1!$E:$E"")=$D287) *
        (IMPORTRANGE(""https://docs.google.com/spreadsheets/d/161aHT6vVT3SLneTKD19N5qVWtnj_jIT8CSsOmUVKmaA"&amp;"/edit?gid=1761053510"",
          ""Haris_Form responses 1!$AQ:$AQ"")=4)
      ),
      1
    ),
    ""0""
  ),
  ""Form not found""
)
"),"Form not found")</f>
        <v>Form not found</v>
      </c>
      <c r="P287" s="247" t="str">
        <f>IFERROR(__xludf.DUMMYFUNCTION("IFERROR(
  INDEX(
    FILTER(
      Transcription!$AJ:$AJ,
      TRIM(CLEAN(TEXT(Transcription!$F:$F, ""@""))) = TRIM(CLEAN(TEXT($D287, ""@""))),
      Transcription!$AO:$AO = 4
    ),
    1
  ),
  ""Not Found""
)
"),"Not Found")</f>
        <v>Not Found</v>
      </c>
      <c r="Q2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TRIM(CLEAN(TEXT($D287, ""@""))),
      IMPORTRANGE(""https://docs.google.com/spreadsheets/d/1DccNxjBgurEr0ABkI_"&amp;"rBagJT5phB5HaHG5N_mTm_BiA/edit?gid=1382299152#gid=1382299152"", ""Form responses 1!$Z:$Z"") = 5
    ),
    1
  ),
  ""Not Found""
)
"),"Not Found")</f>
        <v>Not Found</v>
      </c>
      <c r="R2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1!$E:$E"")=$D287) *
        (IMPORTRANGE(""https://docs.google.com/spreadsheets/d/161aHT6vVT3SLneTKD19N5qVWtnj_jIT8CSsOmUVKmaA"&amp;"/edit?gid=1761053510"",
          ""Haris_Form responses 1!$AQ:$AQ"")=5)
      ),
      1
    ),
    ""0""
  ),
  ""Form not found""
)
"),"Form not found")</f>
        <v>Form not found</v>
      </c>
      <c r="S287" s="247" t="str">
        <f>IFERROR(__xludf.DUMMYFUNCTION("IFERROR(
  INDEX(
    FILTER(
      Transcription!$AJ:$AJ,
      TRIM(CLEAN(TEXT(Transcription!$F:$F, ""@""))) = TRIM(CLEAN(TEXT($D287, ""@""))),
      Transcription!$AO:$AO = 5
    ),
    1
  ),
  ""Not Found""
)
"),"Not Found")</f>
        <v>Not Found</v>
      </c>
      <c r="T28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TRIM(CLEAN(TEXT($D287, ""@""))),
      IMPORTRANGE(""https://docs.google.com/spreadsheets/d/1DccNxjBgurEr0ABkI_"&amp;"rBagJT5phB5HaHG5N_mTm_BiA/edit?gid=1382299152#gid=1382299152"", ""Form responses 1!$Z:$Z"") = 6
    ),
    1
  ),
  ""Not Found""
)
"),"Not Found")</f>
        <v>Not Found</v>
      </c>
      <c r="U28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1!$E:$E"")=$D287) *
        (IMPORTRANGE(""https://docs.google.com/spreadsheets/d/161aHT6vVT3SLneTKD19N5qVWtnj_jIT8CSsOmUVKmaA"&amp;"/edit?gid=1761053510"",
          ""Haris_Form responses 1!$AQ:$AQ"")=6)
      ),
      1
    ),
    ""0""
  ),
  ""Form not found""
)
"),"Form not found")</f>
        <v>Form not found</v>
      </c>
      <c r="V287" s="247" t="str">
        <f>IFERROR(__xludf.DUMMYFUNCTION("IFERROR(
  INDEX(
    FILTER(
      Transcription!$AJ:$AJ,
      TRIM(CLEAN(TEXT(Transcription!$F:$F, ""@""))) = TRIM(CLEAN(TEXT($D287, ""@""))),
      Transcription!$AO:$AO = 6
    ),
    1
  ),
  ""Not Found""
)
"),"Not Found")</f>
        <v>Not Found</v>
      </c>
      <c r="Z287" s="10">
        <f t="shared" si="1"/>
        <v>2</v>
      </c>
      <c r="AA287" s="10">
        <f t="shared" si="2"/>
        <v>0</v>
      </c>
    </row>
    <row r="288">
      <c r="A288" s="8" t="str">
        <f>VLOOKUP($D288,Sheet6!$B:$G,5,FALSE)</f>
        <v>Jhang</v>
      </c>
      <c r="B288" s="232" t="str">
        <f>VLOOKUP($D288,Sheet6!$B:$G,4,FALSE)</f>
        <v>Control</v>
      </c>
      <c r="C288" s="8">
        <v>2.0</v>
      </c>
      <c r="D288" s="8" t="s">
        <v>3995</v>
      </c>
      <c r="E28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TRIM(CLEAN(TEXT($D288, ""@""))),
      IMPORTRANGE(""https://docs.google.com/spreadsheets/d/1DccNxjBgurEr0ABkI_"&amp;"rBagJT5phB5HaHG5N_mTm_BiA/edit?gid=1382299152#gid=1382299152"", ""Form responses 1!$Z:$Z"") = 1
    ),
    1
  ),
  ""Not Found""
)
"),"https://drive.google.com/file/d/1R0BO1xlOMqSmGQ1zLaGHMjYIht53K3TA/view?usp=drive_link")</f>
        <v>https://drive.google.com/file/d/1R0BO1xlOMqSmGQ1zLaGHMjYIht53K3TA/view?usp=drive_link</v>
      </c>
      <c r="F2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1!$E:$E"")=$D288) *
        (IMPORTRANGE(""https://docs.google.com/spreadsheets/d/161aHT6vVT3SLneTKD19N5qVWtnj_jIT8CSsOmUVKmaA"&amp;"/edit?gid=1761053510"",
          ""Haris_Form responses 1!$AQ:$AQ"")=1)
      ),
      1
    ),
    ""0""
  ),
  ""Form not found""
)
"),"1")</f>
        <v>1</v>
      </c>
      <c r="G288" s="245" t="str">
        <f>IFERROR(__xludf.DUMMYFUNCTION("IFERROR(
  INDEX(
    FILTER(
      Transcription!$AJ:$AJ,
      TRIM(CLEAN(TEXT(Transcription!$F:$F, ""@""))) = TRIM(CLEAN(TEXT($D288, ""@""))),
      Transcription!$AO:$AO = 1
    ),
    1
  ),
  ""Not Found""
)
"),"https://drive.google.com/open?id=1UEnbJOhpDdoDKmPk3lkE00vdXxbsT6gn")</f>
        <v>https://drive.google.com/open?id=1UEnbJOhpDdoDKmPk3lkE00vdXxbsT6gn</v>
      </c>
      <c r="H28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TRIM(CLEAN(TEXT($D288, ""@""))),
      IMPORTRANGE(""https://docs.google.com/spreadsheets/d/1DccNxjBgurEr0ABkI_"&amp;"rBagJT5phB5HaHG5N_mTm_BiA/edit?gid=1382299152#gid=1382299152"", ""Form responses 1!$Z:$Z"") = 2
    ),
    1
  ),
  ""Not Found""
)
"),"Not Found")</f>
        <v>Not Found</v>
      </c>
      <c r="I2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1!$E:$E"")=$D288) *
        (IMPORTRANGE(""https://docs.google.com/spreadsheets/d/161aHT6vVT3SLneTKD19N5qVWtnj_jIT8CSsOmUVKmaA"&amp;"/edit?gid=1761053510"",
          ""Haris_Form responses 1!$AQ:$AQ"")=2)
      ),
      1
    ),
    ""0""
  ),
  ""Form not found""
)
"),"Form not found")</f>
        <v>Form not found</v>
      </c>
      <c r="J288" s="247" t="str">
        <f>IFERROR(__xludf.DUMMYFUNCTION("IFERROR(
  INDEX(
    FILTER(
      Transcription!$AJ:$AJ,
      TRIM(CLEAN(TEXT(Transcription!$F:$F, ""@""))) = TRIM(CLEAN(TEXT($D288, ""@""))),
      Transcription!$AO:$AO = 2
    ),
    1
  ),
  ""Not Found""
)
"),"Not Found")</f>
        <v>Not Found</v>
      </c>
      <c r="K28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TRIM(CLEAN(TEXT($D288, ""@""))),
      IMPORTRANGE(""https://docs.google.com/spreadsheets/d/1DccNxjBgurEr0ABkI_"&amp;"rBagJT5phB5HaHG5N_mTm_BiA/edit?gid=1382299152#gid=1382299152"", ""Form responses 1!$Z:$Z"") = 3
    ),
    1
  ),
  ""Not Found""
)
"),"https://drive.google.com/file/d/17MpiAK21toXFxuGnekJWmvCx2-XR4gN8/view?usp=drive_link")</f>
        <v>https://drive.google.com/file/d/17MpiAK21toXFxuGnekJWmvCx2-XR4gN8/view?usp=drive_link</v>
      </c>
      <c r="L2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1!$E:$E"")=$D288) *
        (IMPORTRANGE(""https://docs.google.com/spreadsheets/d/161aHT6vVT3SLneTKD19N5qVWtnj_jIT8CSsOmUVKmaA"&amp;"/edit?gid=1761053510"",
          ""Haris_Form responses 1!$AQ:$AQ"")=3)
      ),
      1
    ),
    ""0""
  ),
  ""Form not found""
)
"),"3")</f>
        <v>3</v>
      </c>
      <c r="M288" s="245" t="str">
        <f>IFERROR(__xludf.DUMMYFUNCTION("IFERROR(
  INDEX(
    FILTER(
      Transcription!$AJ:$AJ,
      TRIM(CLEAN(TEXT(Transcription!$F:$F, ""@""))) = TRIM(CLEAN(TEXT($D288, ""@""))),
      Transcription!$AO:$AO = 3
    ),
    1
  ),
  ""Not Found""
)
"),"https://drive.google.com/open?id=1L_s5mWAVdn2Bf5O2sxpyvg-_SeofUbguX_YaGLNh7W4")</f>
        <v>https://drive.google.com/open?id=1L_s5mWAVdn2Bf5O2sxpyvg-_SeofUbguX_YaGLNh7W4</v>
      </c>
      <c r="N28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TRIM(CLEAN(TEXT($D288, ""@""))),
      IMPORTRANGE(""https://docs.google.com/spreadsheets/d/1DccNxjBgurEr0ABkI_"&amp;"rBagJT5phB5HaHG5N_mTm_BiA/edit?gid=1382299152#gid=1382299152"", ""Form responses 1!$Z:$Z"") = 4
    ),
    1
  ),
  ""Not Found""
)
"),"Not Found")</f>
        <v>Not Found</v>
      </c>
      <c r="O2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1!$E:$E"")=$D288) *
        (IMPORTRANGE(""https://docs.google.com/spreadsheets/d/161aHT6vVT3SLneTKD19N5qVWtnj_jIT8CSsOmUVKmaA"&amp;"/edit?gid=1761053510"",
          ""Haris_Form responses 1!$AQ:$AQ"")=4)
      ),
      1
    ),
    ""0""
  ),
  ""Form not found""
)
"),"Form not found")</f>
        <v>Form not found</v>
      </c>
      <c r="P288" s="247" t="str">
        <f>IFERROR(__xludf.DUMMYFUNCTION("IFERROR(
  INDEX(
    FILTER(
      Transcription!$AJ:$AJ,
      TRIM(CLEAN(TEXT(Transcription!$F:$F, ""@""))) = TRIM(CLEAN(TEXT($D288, ""@""))),
      Transcription!$AO:$AO = 4
    ),
    1
  ),
  ""Not Found""
)
"),"Not Found")</f>
        <v>Not Found</v>
      </c>
      <c r="Q28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TRIM(CLEAN(TEXT($D288, ""@""))),
      IMPORTRANGE(""https://docs.google.com/spreadsheets/d/1DccNxjBgurEr0ABkI_"&amp;"rBagJT5phB5HaHG5N_mTm_BiA/edit?gid=1382299152#gid=1382299152"", ""Form responses 1!$Z:$Z"") = 5
    ),
    1
  ),
  ""Not Found""
)
"),"Not Found")</f>
        <v>Not Found</v>
      </c>
      <c r="R2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1!$E:$E"")=$D288) *
        (IMPORTRANGE(""https://docs.google.com/spreadsheets/d/161aHT6vVT3SLneTKD19N5qVWtnj_jIT8CSsOmUVKmaA"&amp;"/edit?gid=1761053510"",
          ""Haris_Form responses 1!$AQ:$AQ"")=5)
      ),
      1
    ),
    ""0""
  ),
  ""Form not found""
)
"),"Form not found")</f>
        <v>Form not found</v>
      </c>
      <c r="S288" s="247" t="str">
        <f>IFERROR(__xludf.DUMMYFUNCTION("IFERROR(
  INDEX(
    FILTER(
      Transcription!$AJ:$AJ,
      TRIM(CLEAN(TEXT(Transcription!$F:$F, ""@""))) = TRIM(CLEAN(TEXT($D288, ""@""))),
      Transcription!$AO:$AO = 5
    ),
    1
  ),
  ""Not Found""
)
"),"Not Found")</f>
        <v>Not Found</v>
      </c>
      <c r="T28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TRIM(CLEAN(TEXT($D288, ""@""))),
      IMPORTRANGE(""https://docs.google.com/spreadsheets/d/1DccNxjBgurEr0ABkI_"&amp;"rBagJT5phB5HaHG5N_mTm_BiA/edit?gid=1382299152#gid=1382299152"", ""Form responses 1!$Z:$Z"") = 6
    ),
    1
  ),
  ""Not Found""
)
"),"Not Found")</f>
        <v>Not Found</v>
      </c>
      <c r="U28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1!$E:$E"")=$D288) *
        (IMPORTRANGE(""https://docs.google.com/spreadsheets/d/161aHT6vVT3SLneTKD19N5qVWtnj_jIT8CSsOmUVKmaA"&amp;"/edit?gid=1761053510"",
          ""Haris_Form responses 1!$AQ:$AQ"")=6)
      ),
      1
    ),
    ""0""
  ),
  ""Form not found""
)
"),"Form not found")</f>
        <v>Form not found</v>
      </c>
      <c r="V288" s="247" t="str">
        <f>IFERROR(__xludf.DUMMYFUNCTION("IFERROR(
  INDEX(
    FILTER(
      Transcription!$AJ:$AJ,
      TRIM(CLEAN(TEXT(Transcription!$F:$F, ""@""))) = TRIM(CLEAN(TEXT($D288, ""@""))),
      Transcription!$AO:$AO = 6
    ),
    1
  ),
  ""Not Found""
)
"),"Not Found")</f>
        <v>Not Found</v>
      </c>
      <c r="Z288" s="10">
        <f t="shared" si="1"/>
        <v>2</v>
      </c>
      <c r="AA288" s="10">
        <f t="shared" si="2"/>
        <v>0</v>
      </c>
    </row>
    <row r="289">
      <c r="A289" s="8" t="str">
        <f>VLOOKUP($D289,Sheet6!$B:$G,5,FALSE)</f>
        <v>Shahkot</v>
      </c>
      <c r="B289" s="232" t="str">
        <f>VLOOKUP($D289,Sheet6!$B:$G,4,FALSE)</f>
        <v>Women Religious Info Share</v>
      </c>
      <c r="C289" s="8">
        <v>5.0</v>
      </c>
      <c r="D289" s="8" t="s">
        <v>3868</v>
      </c>
      <c r="E2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TRIM(CLEAN(TEXT($D289, ""@""))),
      IMPORTRANGE(""https://docs.google.com/spreadsheets/d/1DccNxjBgurEr0ABkI_"&amp;"rBagJT5phB5HaHG5N_mTm_BiA/edit?gid=1382299152#gid=1382299152"", ""Form responses 1!$Z:$Z"") = 1
    ),
    1
  ),
  ""Not Found""
)
"),"https://drive.google.com/open?id=1tiLmgzLiiI7-6P5MPm5CuiROv4HqkmqU")</f>
        <v>https://drive.google.com/open?id=1tiLmgzLiiI7-6P5MPm5CuiROv4HqkmqU</v>
      </c>
      <c r="F2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1!$E:$E"")=$D289) *
        (IMPORTRANGE(""https://docs.google.com/spreadsheets/d/161aHT6vVT3SLneTKD19N5qVWtnj_jIT8CSsOmUVKmaA"&amp;"/edit?gid=1761053510"",
          ""Haris_Form responses 1!$AQ:$AQ"")=1)
      ),
      1
    ),
    ""0""
  ),
  ""Form not found""
)
"),"1")</f>
        <v>1</v>
      </c>
      <c r="G289" s="245" t="str">
        <f>IFERROR(__xludf.DUMMYFUNCTION("IFERROR(
  INDEX(
    FILTER(
      Transcription!$AJ:$AJ,
      TRIM(CLEAN(TEXT(Transcription!$F:$F, ""@""))) = TRIM(CLEAN(TEXT($D289, ""@""))),
      Transcription!$AO:$AO = 1
    ),
    1
  ),
  ""Not Found""
)
"),"https://drive.google.com/open?id=1G83kI0PunAuLNO57ws0GBekALp5Ruj2KL6h1inoDIPc")</f>
        <v>https://drive.google.com/open?id=1G83kI0PunAuLNO57ws0GBekALp5Ruj2KL6h1inoDIPc</v>
      </c>
      <c r="H2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TRIM(CLEAN(TEXT($D289, ""@""))),
      IMPORTRANGE(""https://docs.google.com/spreadsheets/d/1DccNxjBgurEr0ABkI_"&amp;"rBagJT5phB5HaHG5N_mTm_BiA/edit?gid=1382299152#gid=1382299152"", ""Form responses 1!$Z:$Z"") = 2
    ),
    1
  ),
  ""Not Found""
)
"),"https://drive.google.com/open?id=1X6ooIAeEh5MgvM0sMLiTf9bXEpqOo4Fh")</f>
        <v>https://drive.google.com/open?id=1X6ooIAeEh5MgvM0sMLiTf9bXEpqOo4Fh</v>
      </c>
      <c r="I2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1!$E:$E"")=$D289) *
        (IMPORTRANGE(""https://docs.google.com/spreadsheets/d/161aHT6vVT3SLneTKD19N5qVWtnj_jIT8CSsOmUVKmaA"&amp;"/edit?gid=1761053510"",
          ""Haris_Form responses 1!$AQ:$AQ"")=2)
      ),
      1
    ),
    ""0""
  ),
  ""Form not found""
)
"),"2")</f>
        <v>2</v>
      </c>
      <c r="J289" s="245" t="str">
        <f>IFERROR(__xludf.DUMMYFUNCTION("IFERROR(
  INDEX(
    FILTER(
      Transcription!$AJ:$AJ,
      TRIM(CLEAN(TEXT(Transcription!$F:$F, ""@""))) = TRIM(CLEAN(TEXT($D289, ""@""))),
      Transcription!$AO:$AO = 2
    ),
    1
  ),
  ""Not Found""
)
"),"https://drive.google.com/open?id=1man3c7Wa2IAAFN7vNXAxMeYl9TFaY0w57mAnZ6dGU0w")</f>
        <v>https://drive.google.com/open?id=1man3c7Wa2IAAFN7vNXAxMeYl9TFaY0w57mAnZ6dGU0w</v>
      </c>
      <c r="K2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TRIM(CLEAN(TEXT($D289, ""@""))),
      IMPORTRANGE(""https://docs.google.com/spreadsheets/d/1DccNxjBgurEr0ABkI_"&amp;"rBagJT5phB5HaHG5N_mTm_BiA/edit?gid=1382299152#gid=1382299152"", ""Form responses 1!$Z:$Z"") = 3
    ),
    1
  ),
  ""Not Found""
)
"),"https://drive.google.com/open?id=1Ur2EEoMU1LZEMfkQmv1Up4RhpheYvWeE")</f>
        <v>https://drive.google.com/open?id=1Ur2EEoMU1LZEMfkQmv1Up4RhpheYvWeE</v>
      </c>
      <c r="L2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1!$E:$E"")=$D289) *
        (IMPORTRANGE(""https://docs.google.com/spreadsheets/d/161aHT6vVT3SLneTKD19N5qVWtnj_jIT8CSsOmUVKmaA"&amp;"/edit?gid=1761053510"",
          ""Haris_Form responses 1!$AQ:$AQ"")=3)
      ),
      1
    ),
    ""0""
  ),
  ""Form not found""
)
"),"3")</f>
        <v>3</v>
      </c>
      <c r="M289" s="245" t="str">
        <f>IFERROR(__xludf.DUMMYFUNCTION("IFERROR(
  INDEX(
    FILTER(
      Transcription!$AJ:$AJ,
      TRIM(CLEAN(TEXT(Transcription!$F:$F, ""@""))) = TRIM(CLEAN(TEXT($D289, ""@""))),
      Transcription!$AO:$AO = 3
    ),
    1
  ),
  ""Not Found""
)
"),"https://drive.google.com/open?id=191aDj308R04Hp2XKQzK9hBZ0drumKfm3n4ZTsaCd5wg")</f>
        <v>https://drive.google.com/open?id=191aDj308R04Hp2XKQzK9hBZ0drumKfm3n4ZTsaCd5wg</v>
      </c>
      <c r="N2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TRIM(CLEAN(TEXT($D289, ""@""))),
      IMPORTRANGE(""https://docs.google.com/spreadsheets/d/1DccNxjBgurEr0ABkI_"&amp;"rBagJT5phB5HaHG5N_mTm_BiA/edit?gid=1382299152#gid=1382299152"", ""Form responses 1!$Z:$Z"") = 4
    ),
    1
  ),
  ""Not Found""
)
"),"https://drive.google.com/open?id=1Ug1DEMCHECXTgr2q-lS0C_CIoXFxo17o")</f>
        <v>https://drive.google.com/open?id=1Ug1DEMCHECXTgr2q-lS0C_CIoXFxo17o</v>
      </c>
      <c r="O2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1!$E:$E"")=$D289) *
        (IMPORTRANGE(""https://docs.google.com/spreadsheets/d/161aHT6vVT3SLneTKD19N5qVWtnj_jIT8CSsOmUVKmaA"&amp;"/edit?gid=1761053510"",
          ""Haris_Form responses 1!$AQ:$AQ"")=4)
      ),
      1
    ),
    ""0""
  ),
  ""Form not found""
)
"),"4")</f>
        <v>4</v>
      </c>
      <c r="P289" s="245" t="str">
        <f>IFERROR(__xludf.DUMMYFUNCTION("IFERROR(
  INDEX(
    FILTER(
      Transcription!$AJ:$AJ,
      TRIM(CLEAN(TEXT(Transcription!$F:$F, ""@""))) = TRIM(CLEAN(TEXT($D289, ""@""))),
      Transcription!$AO:$AO = 4
    ),
    1
  ),
  ""Not Found""
)
"),"https://drive.google.com/open?id=14SpHemu4ZjwaDGjMAcprJK1Qc9KSvRFl")</f>
        <v>https://drive.google.com/open?id=14SpHemu4ZjwaDGjMAcprJK1Qc9KSvRFl</v>
      </c>
      <c r="Q28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TRIM(CLEAN(TEXT($D289, ""@""))),
      IMPORTRANGE(""https://docs.google.com/spreadsheets/d/1DccNxjBgurEr0ABkI_"&amp;"rBagJT5phB5HaHG5N_mTm_BiA/edit?gid=1382299152#gid=1382299152"", ""Form responses 1!$Z:$Z"") = 5
    ),
    1
  ),
  ""Not Found""
)
"),"https://drive.google.com/open?id=15DITqmF9OhvKqCgczyGpa49fcizweio5")</f>
        <v>https://drive.google.com/open?id=15DITqmF9OhvKqCgczyGpa49fcizweio5</v>
      </c>
      <c r="R2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1!$E:$E"")=$D289) *
        (IMPORTRANGE(""https://docs.google.com/spreadsheets/d/161aHT6vVT3SLneTKD19N5qVWtnj_jIT8CSsOmUVKmaA"&amp;"/edit?gid=1761053510"",
          ""Haris_Form responses 1!$AQ:$AQ"")=5)
      ),
      1
    ),
    ""0""
  ),
  ""Form not found""
)
"),"5")</f>
        <v>5</v>
      </c>
      <c r="S289" s="245" t="str">
        <f>IFERROR(__xludf.DUMMYFUNCTION("IFERROR(
  INDEX(
    FILTER(
      Transcription!$AJ:$AJ,
      TRIM(CLEAN(TEXT(Transcription!$F:$F, ""@""))) = TRIM(CLEAN(TEXT($D289, ""@""))),
      Transcription!$AO:$AO = 5
    ),
    1
  ),
  ""Not Found""
)
"),"https://drive.google.com/open?id=18z5URNvFY77K7yHMx4JVIxcPlwW20OjHu0hf7Nx0paw")</f>
        <v>https://drive.google.com/open?id=18z5URNvFY77K7yHMx4JVIxcPlwW20OjHu0hf7Nx0paw</v>
      </c>
      <c r="T28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TRIM(CLEAN(TEXT($D289, ""@""))),
      IMPORTRANGE(""https://docs.google.com/spreadsheets/d/1DccNxjBgurEr0ABkI_"&amp;"rBagJT5phB5HaHG5N_mTm_BiA/edit?gid=1382299152#gid=1382299152"", ""Form responses 1!$Z:$Z"") = 6
    ),
    1
  ),
  ""Not Found""
)
"),"Not Found")</f>
        <v>Not Found</v>
      </c>
      <c r="U28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1!$E:$E"")=$D289) *
        (IMPORTRANGE(""https://docs.google.com/spreadsheets/d/161aHT6vVT3SLneTKD19N5qVWtnj_jIT8CSsOmUVKmaA"&amp;"/edit?gid=1761053510"",
          ""Haris_Form responses 1!$AQ:$AQ"")=6)
      ),
      1
    ),
    ""0""
  ),
  ""Form not found""
)
"),"Form not found")</f>
        <v>Form not found</v>
      </c>
      <c r="V289" s="247" t="str">
        <f>IFERROR(__xludf.DUMMYFUNCTION("IFERROR(
  INDEX(
    FILTER(
      Transcription!$AJ:$AJ,
      TRIM(CLEAN(TEXT(Transcription!$F:$F, ""@""))) = TRIM(CLEAN(TEXT($D289, ""@""))),
      Transcription!$AO:$AO = 6
    ),
    1
  ),
  ""Not Found""
)
"),"Not Found")</f>
        <v>Not Found</v>
      </c>
      <c r="Z289" s="10">
        <f t="shared" si="1"/>
        <v>5</v>
      </c>
      <c r="AA289" s="10">
        <f t="shared" si="2"/>
        <v>0</v>
      </c>
    </row>
    <row r="290">
      <c r="A290" s="8" t="str">
        <f>VLOOKUP($D290,Sheet6!$B:$G,5,FALSE)</f>
        <v>Shahkot</v>
      </c>
      <c r="B290" s="232" t="str">
        <f>VLOOKUP($D290,Sheet6!$B:$G,4,FALSE)</f>
        <v>Community Secular Info Share</v>
      </c>
      <c r="C290" s="8">
        <v>3.0</v>
      </c>
      <c r="D290" s="8" t="s">
        <v>3881</v>
      </c>
      <c r="E29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TRIM(CLEAN(TEXT($D290, ""@""))),
      IMPORTRANGE(""https://docs.google.com/spreadsheets/d/1DccNxjBgurEr0ABkI_"&amp;"rBagJT5phB5HaHG5N_mTm_BiA/edit?gid=1382299152#gid=1382299152"", ""Form responses 1!$Z:$Z"") = 1
    ),
    1
  ),
  ""Not Found""
)
"),"https://drive.google.com/open?id=1B107z-E5O0O3iC0Op9oXWor0S0kTtzMg")</f>
        <v>https://drive.google.com/open?id=1B107z-E5O0O3iC0Op9oXWor0S0kTtzMg</v>
      </c>
      <c r="F2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1!$E:$E"")=$D290) *
        (IMPORTRANGE(""https://docs.google.com/spreadsheets/d/161aHT6vVT3SLneTKD19N5qVWtnj_jIT8CSsOmUVKmaA"&amp;"/edit?gid=1761053510"",
          ""Haris_Form responses 1!$AQ:$AQ"")=1)
      ),
      1
    ),
    ""0""
  ),
  ""Form not found""
)
"),"1")</f>
        <v>1</v>
      </c>
      <c r="G290" s="245" t="str">
        <f>IFERROR(__xludf.DUMMYFUNCTION("IFERROR(
  INDEX(
    FILTER(
      Transcription!$AJ:$AJ,
      TRIM(CLEAN(TEXT(Transcription!$F:$F, ""@""))) = TRIM(CLEAN(TEXT($D290, ""@""))),
      Transcription!$AO:$AO = 1
    ),
    1
  ),
  ""Not Found""
)
"),"https://drive.google.com/open?id=1YOmDaSKHCNtIxojssPPCNcHBmi-Muv-f")</f>
        <v>https://drive.google.com/open?id=1YOmDaSKHCNtIxojssPPCNcHBmi-Muv-f</v>
      </c>
      <c r="H29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TRIM(CLEAN(TEXT($D290, ""@""))),
      IMPORTRANGE(""https://docs.google.com/spreadsheets/d/1DccNxjBgurEr0ABkI_"&amp;"rBagJT5phB5HaHG5N_mTm_BiA/edit?gid=1382299152#gid=1382299152"", ""Form responses 1!$Z:$Z"") = 2
    ),
    1
  ),
  ""Not Found""
)
"),"https://drive.google.com/open?id=1_GFmfKlZqChoNr4o0hCPAaXmEuCamMnZ")</f>
        <v>https://drive.google.com/open?id=1_GFmfKlZqChoNr4o0hCPAaXmEuCamMnZ</v>
      </c>
      <c r="I2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1!$E:$E"")=$D290) *
        (IMPORTRANGE(""https://docs.google.com/spreadsheets/d/161aHT6vVT3SLneTKD19N5qVWtnj_jIT8CSsOmUVKmaA"&amp;"/edit?gid=1761053510"",
          ""Haris_Form responses 1!$AQ:$AQ"")=2)
      ),
      1
    ),
    ""0""
  ),
  ""Form not found""
)
"),"2")</f>
        <v>2</v>
      </c>
      <c r="J290" s="245" t="str">
        <f>IFERROR(__xludf.DUMMYFUNCTION("IFERROR(
  INDEX(
    FILTER(
      Transcription!$AJ:$AJ,
      TRIM(CLEAN(TEXT(Transcription!$F:$F, ""@""))) = TRIM(CLEAN(TEXT($D290, ""@""))),
      Transcription!$AO:$AO = 2
    ),
    1
  ),
  ""Not Found""
)
"),"https://drive.google.com/open?id=1ndMXDSp8Fuw3_VvIkNKts919bTJkc8-Q")</f>
        <v>https://drive.google.com/open?id=1ndMXDSp8Fuw3_VvIkNKts919bTJkc8-Q</v>
      </c>
      <c r="K29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TRIM(CLEAN(TEXT($D290, ""@""))),
      IMPORTRANGE(""https://docs.google.com/spreadsheets/d/1DccNxjBgurEr0ABkI_"&amp;"rBagJT5phB5HaHG5N_mTm_BiA/edit?gid=1382299152#gid=1382299152"", ""Form responses 1!$Z:$Z"") = 3
    ),
    1
  ),
  ""Not Found""
)
"),"https://drive.google.com/open?id=16z5OyHIsNWmHF8sCFj9A7P_JQtNQNtw7")</f>
        <v>https://drive.google.com/open?id=16z5OyHIsNWmHF8sCFj9A7P_JQtNQNtw7</v>
      </c>
      <c r="L2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1!$E:$E"")=$D290) *
        (IMPORTRANGE(""https://docs.google.com/spreadsheets/d/161aHT6vVT3SLneTKD19N5qVWtnj_jIT8CSsOmUVKmaA"&amp;"/edit?gid=1761053510"",
          ""Haris_Form responses 1!$AQ:$AQ"")=3)
      ),
      1
    ),
    ""0""
  ),
  ""Form not found""
)
"),"3")</f>
        <v>3</v>
      </c>
      <c r="M290" s="245" t="str">
        <f>IFERROR(__xludf.DUMMYFUNCTION("IFERROR(
  INDEX(
    FILTER(
      Transcription!$AJ:$AJ,
      TRIM(CLEAN(TEXT(Transcription!$F:$F, ""@""))) = TRIM(CLEAN(TEXT($D290, ""@""))),
      Transcription!$AO:$AO = 3
    ),
    1
  ),
  ""Not Found""
)
"),"https://drive.google.com/open?id=1tLlird2y5Ai1F4b5JpWinGf2iV2EmtsWzOxkVe7XqYs")</f>
        <v>https://drive.google.com/open?id=1tLlird2y5Ai1F4b5JpWinGf2iV2EmtsWzOxkVe7XqYs</v>
      </c>
      <c r="N29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TRIM(CLEAN(TEXT($D290, ""@""))),
      IMPORTRANGE(""https://docs.google.com/spreadsheets/d/1DccNxjBgurEr0ABkI_"&amp;"rBagJT5phB5HaHG5N_mTm_BiA/edit?gid=1382299152#gid=1382299152"", ""Form responses 1!$Z:$Z"") = 4
    ),
    1
  ),
  ""Not Found""
)
"),"Not Found")</f>
        <v>Not Found</v>
      </c>
      <c r="O2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1!$E:$E"")=$D290) *
        (IMPORTRANGE(""https://docs.google.com/spreadsheets/d/161aHT6vVT3SLneTKD19N5qVWtnj_jIT8CSsOmUVKmaA"&amp;"/edit?gid=1761053510"",
          ""Haris_Form responses 1!$AQ:$AQ"")=4)
      ),
      1
    ),
    ""0""
  ),
  ""Form not found""
)
"),"Form not found")</f>
        <v>Form not found</v>
      </c>
      <c r="P290" s="247" t="str">
        <f>IFERROR(__xludf.DUMMYFUNCTION("IFERROR(
  INDEX(
    FILTER(
      Transcription!$AJ:$AJ,
      TRIM(CLEAN(TEXT(Transcription!$F:$F, ""@""))) = TRIM(CLEAN(TEXT($D290, ""@""))),
      Transcription!$AO:$AO = 4
    ),
    1
  ),
  ""Not Found""
)
"),"Not Found")</f>
        <v>Not Found</v>
      </c>
      <c r="Q29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TRIM(CLEAN(TEXT($D290, ""@""))),
      IMPORTRANGE(""https://docs.google.com/spreadsheets/d/1DccNxjBgurEr0ABkI_"&amp;"rBagJT5phB5HaHG5N_mTm_BiA/edit?gid=1382299152#gid=1382299152"", ""Form responses 1!$Z:$Z"") = 5
    ),
    1
  ),
  ""Not Found""
)
"),"Not Found")</f>
        <v>Not Found</v>
      </c>
      <c r="R2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1!$E:$E"")=$D290) *
        (IMPORTRANGE(""https://docs.google.com/spreadsheets/d/161aHT6vVT3SLneTKD19N5qVWtnj_jIT8CSsOmUVKmaA"&amp;"/edit?gid=1761053510"",
          ""Haris_Form responses 1!$AQ:$AQ"")=5)
      ),
      1
    ),
    ""0""
  ),
  ""Form not found""
)
"),"Form not found")</f>
        <v>Form not found</v>
      </c>
      <c r="S290" s="247" t="str">
        <f>IFERROR(__xludf.DUMMYFUNCTION("IFERROR(
  INDEX(
    FILTER(
      Transcription!$AJ:$AJ,
      TRIM(CLEAN(TEXT(Transcription!$F:$F, ""@""))) = TRIM(CLEAN(TEXT($D290, ""@""))),
      Transcription!$AO:$AO = 5
    ),
    1
  ),
  ""Not Found""
)
"),"Not Found")</f>
        <v>Not Found</v>
      </c>
      <c r="T29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TRIM(CLEAN(TEXT($D290, ""@""))),
      IMPORTRANGE(""https://docs.google.com/spreadsheets/d/1DccNxjBgurEr0ABkI_"&amp;"rBagJT5phB5HaHG5N_mTm_BiA/edit?gid=1382299152#gid=1382299152"", ""Form responses 1!$Z:$Z"") = 6
    ),
    1
  ),
  ""Not Found""
)
"),"Not Found")</f>
        <v>Not Found</v>
      </c>
      <c r="U29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1!$E:$E"")=$D290) *
        (IMPORTRANGE(""https://docs.google.com/spreadsheets/d/161aHT6vVT3SLneTKD19N5qVWtnj_jIT8CSsOmUVKmaA"&amp;"/edit?gid=1761053510"",
          ""Haris_Form responses 1!$AQ:$AQ"")=6)
      ),
      1
    ),
    ""0""
  ),
  ""Form not found""
)
"),"Form not found")</f>
        <v>Form not found</v>
      </c>
      <c r="V290" s="247" t="str">
        <f>IFERROR(__xludf.DUMMYFUNCTION("IFERROR(
  INDEX(
    FILTER(
      Transcription!$AJ:$AJ,
      TRIM(CLEAN(TEXT(Transcription!$F:$F, ""@""))) = TRIM(CLEAN(TEXT($D290, ""@""))),
      Transcription!$AO:$AO = 6
    ),
    1
  ),
  ""Not Found""
)
"),"Not Found")</f>
        <v>Not Found</v>
      </c>
      <c r="Z290" s="10">
        <f t="shared" si="1"/>
        <v>3</v>
      </c>
      <c r="AA290" s="10">
        <f t="shared" si="2"/>
        <v>0</v>
      </c>
    </row>
    <row r="291">
      <c r="A291" s="8" t="str">
        <f>VLOOKUP($D291,Sheet6!$B:$G,5,FALSE)</f>
        <v>Shahkot</v>
      </c>
      <c r="B291" s="232" t="str">
        <f>VLOOKUP($D291,Sheet6!$B:$G,4,FALSE)</f>
        <v>Community Secular Info Share</v>
      </c>
      <c r="C291" s="8">
        <v>3.0</v>
      </c>
      <c r="D291" s="8" t="s">
        <v>4011</v>
      </c>
      <c r="E29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TRIM(CLEAN(TEXT($D291, ""@""))),
      IMPORTRANGE(""https://docs.google.com/spreadsheets/d/1DccNxjBgurEr0ABkI_"&amp;"rBagJT5phB5HaHG5N_mTm_BiA/edit?gid=1382299152#gid=1382299152"", ""Form responses 1!$Z:$Z"") = 1
    ),
    1
  ),
  ""Not Found""
)
"),"https://drive.google.com/open?id=1vQMlqxPX2gStCNxeuS_OrR678ELDHI_v")</f>
        <v>https://drive.google.com/open?id=1vQMlqxPX2gStCNxeuS_OrR678ELDHI_v</v>
      </c>
      <c r="F2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1!$E:$E"")=$D291) *
        (IMPORTRANGE(""https://docs.google.com/spreadsheets/d/161aHT6vVT3SLneTKD19N5qVWtnj_jIT8CSsOmUVKmaA"&amp;"/edit?gid=1761053510"",
          ""Haris_Form responses 1!$AQ:$AQ"")=1)
      ),
      1
    ),
    ""0""
  ),
  ""Form not found""
)
"),"1")</f>
        <v>1</v>
      </c>
      <c r="G291" s="245" t="str">
        <f>IFERROR(__xludf.DUMMYFUNCTION("IFERROR(
  INDEX(
    FILTER(
      Transcription!$AJ:$AJ,
      TRIM(CLEAN(TEXT(Transcription!$F:$F, ""@""))) = TRIM(CLEAN(TEXT($D291, ""@""))),
      Transcription!$AO:$AO = 1
    ),
    1
  ),
  ""Not Found""
)
"),"https://drive.google.com/open?id=1kkdTBGKMNPRgsGrJSpuDHKzB6DGB0mNc0dmW_h1L1rY")</f>
        <v>https://drive.google.com/open?id=1kkdTBGKMNPRgsGrJSpuDHKzB6DGB0mNc0dmW_h1L1rY</v>
      </c>
      <c r="H29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TRIM(CLEAN(TEXT($D291, ""@""))),
      IMPORTRANGE(""https://docs.google.com/spreadsheets/d/1DccNxjBgurEr0ABkI_"&amp;"rBagJT5phB5HaHG5N_mTm_BiA/edit?gid=1382299152#gid=1382299152"", ""Form responses 1!$Z:$Z"") = 2
    ),
    1
  ),
  ""Not Found""
)
"),"https://drive.google.com/open?id=1E4coFNTzraeg1pdkKKtHcvyZDBULsRz2")</f>
        <v>https://drive.google.com/open?id=1E4coFNTzraeg1pdkKKtHcvyZDBULsRz2</v>
      </c>
      <c r="I2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1!$E:$E"")=$D291) *
        (IMPORTRANGE(""https://docs.google.com/spreadsheets/d/161aHT6vVT3SLneTKD19N5qVWtnj_jIT8CSsOmUVKmaA"&amp;"/edit?gid=1761053510"",
          ""Haris_Form responses 1!$AQ:$AQ"")=2)
      ),
      1
    ),
    ""0""
  ),
  ""Form not found""
)
"),"2")</f>
        <v>2</v>
      </c>
      <c r="J291" s="245" t="str">
        <f>IFERROR(__xludf.DUMMYFUNCTION("IFERROR(
  INDEX(
    FILTER(
      Transcription!$AJ:$AJ,
      TRIM(CLEAN(TEXT(Transcription!$F:$F, ""@""))) = TRIM(CLEAN(TEXT($D291, ""@""))),
      Transcription!$AO:$AO = 2
    ),
    1
  ),
  ""Not Found""
)
"),"https://drive.google.com/open?id=1x9AD4KCMrxPxy7Pv8B1u-b58QWRjSqrWvHsKn0K0cQA")</f>
        <v>https://drive.google.com/open?id=1x9AD4KCMrxPxy7Pv8B1u-b58QWRjSqrWvHsKn0K0cQA</v>
      </c>
      <c r="K29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TRIM(CLEAN(TEXT($D291, ""@""))),
      IMPORTRANGE(""https://docs.google.com/spreadsheets/d/1DccNxjBgurEr0ABkI_"&amp;"rBagJT5phB5HaHG5N_mTm_BiA/edit?gid=1382299152#gid=1382299152"", ""Form responses 1!$Z:$Z"") = 3
    ),
    1
  ),
  ""Not Found""
)
"),"https://drive.google.com/open?id=1-V_rAs2k2TMpKdc11sJPw78KboDJdJ6O")</f>
        <v>https://drive.google.com/open?id=1-V_rAs2k2TMpKdc11sJPw78KboDJdJ6O</v>
      </c>
      <c r="L2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1!$E:$E"")=$D291) *
        (IMPORTRANGE(""https://docs.google.com/spreadsheets/d/161aHT6vVT3SLneTKD19N5qVWtnj_jIT8CSsOmUVKmaA"&amp;"/edit?gid=1761053510"",
          ""Haris_Form responses 1!$AQ:$AQ"")=3)
      ),
      1
    ),
    ""0""
  ),
  ""Form not found""
)
"),"3")</f>
        <v>3</v>
      </c>
      <c r="M291" s="245" t="str">
        <f>IFERROR(__xludf.DUMMYFUNCTION("IFERROR(
  INDEX(
    FILTER(
      Transcription!$AJ:$AJ,
      TRIM(CLEAN(TEXT(Transcription!$F:$F, ""@""))) = TRIM(CLEAN(TEXT($D291, ""@""))),
      Transcription!$AO:$AO = 3
    ),
    1
  ),
  ""Not Found""
)
"),"https://drive.google.com/open?id=1tf6CBouEOkPFtVy2dhf8GvnCCpqcDTuG5OjsQWZnUZM")</f>
        <v>https://drive.google.com/open?id=1tf6CBouEOkPFtVy2dhf8GvnCCpqcDTuG5OjsQWZnUZM</v>
      </c>
      <c r="N2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TRIM(CLEAN(TEXT($D291, ""@""))),
      IMPORTRANGE(""https://docs.google.com/spreadsheets/d/1DccNxjBgurEr0ABkI_"&amp;"rBagJT5phB5HaHG5N_mTm_BiA/edit?gid=1382299152#gid=1382299152"", ""Form responses 1!$Z:$Z"") = 4
    ),
    1
  ),
  ""Not Found""
)
"),"Not Found")</f>
        <v>Not Found</v>
      </c>
      <c r="O2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1!$E:$E"")=$D291) *
        (IMPORTRANGE(""https://docs.google.com/spreadsheets/d/161aHT6vVT3SLneTKD19N5qVWtnj_jIT8CSsOmUVKmaA"&amp;"/edit?gid=1761053510"",
          ""Haris_Form responses 1!$AQ:$AQ"")=4)
      ),
      1
    ),
    ""0""
  ),
  ""Form not found""
)
"),"Form not found")</f>
        <v>Form not found</v>
      </c>
      <c r="P291" s="247" t="str">
        <f>IFERROR(__xludf.DUMMYFUNCTION("IFERROR(
  INDEX(
    FILTER(
      Transcription!$AJ:$AJ,
      TRIM(CLEAN(TEXT(Transcription!$F:$F, ""@""))) = TRIM(CLEAN(TEXT($D291, ""@""))),
      Transcription!$AO:$AO = 4
    ),
    1
  ),
  ""Not Found""
)
"),"Not Found")</f>
        <v>Not Found</v>
      </c>
      <c r="Q2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TRIM(CLEAN(TEXT($D291, ""@""))),
      IMPORTRANGE(""https://docs.google.com/spreadsheets/d/1DccNxjBgurEr0ABkI_"&amp;"rBagJT5phB5HaHG5N_mTm_BiA/edit?gid=1382299152#gid=1382299152"", ""Form responses 1!$Z:$Z"") = 5
    ),
    1
  ),
  ""Not Found""
)
"),"Not Found")</f>
        <v>Not Found</v>
      </c>
      <c r="R2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1!$E:$E"")=$D291) *
        (IMPORTRANGE(""https://docs.google.com/spreadsheets/d/161aHT6vVT3SLneTKD19N5qVWtnj_jIT8CSsOmUVKmaA"&amp;"/edit?gid=1761053510"",
          ""Haris_Form responses 1!$AQ:$AQ"")=5)
      ),
      1
    ),
    ""0""
  ),
  ""Form not found""
)
"),"Form not found")</f>
        <v>Form not found</v>
      </c>
      <c r="S291" s="247" t="str">
        <f>IFERROR(__xludf.DUMMYFUNCTION("IFERROR(
  INDEX(
    FILTER(
      Transcription!$AJ:$AJ,
      TRIM(CLEAN(TEXT(Transcription!$F:$F, ""@""))) = TRIM(CLEAN(TEXT($D291, ""@""))),
      Transcription!$AO:$AO = 5
    ),
    1
  ),
  ""Not Found""
)
"),"Not Found")</f>
        <v>Not Found</v>
      </c>
      <c r="T29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TRIM(CLEAN(TEXT($D291, ""@""))),
      IMPORTRANGE(""https://docs.google.com/spreadsheets/d/1DccNxjBgurEr0ABkI_"&amp;"rBagJT5phB5HaHG5N_mTm_BiA/edit?gid=1382299152#gid=1382299152"", ""Form responses 1!$Z:$Z"") = 6
    ),
    1
  ),
  ""Not Found""
)
"),"Not Found")</f>
        <v>Not Found</v>
      </c>
      <c r="U29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1!$E:$E"")=$D291) *
        (IMPORTRANGE(""https://docs.google.com/spreadsheets/d/161aHT6vVT3SLneTKD19N5qVWtnj_jIT8CSsOmUVKmaA"&amp;"/edit?gid=1761053510"",
          ""Haris_Form responses 1!$AQ:$AQ"")=6)
      ),
      1
    ),
    ""0""
  ),
  ""Form not found""
)
"),"Form not found")</f>
        <v>Form not found</v>
      </c>
      <c r="V291" s="247" t="str">
        <f>IFERROR(__xludf.DUMMYFUNCTION("IFERROR(
  INDEX(
    FILTER(
      Transcription!$AJ:$AJ,
      TRIM(CLEAN(TEXT(Transcription!$F:$F, ""@""))) = TRIM(CLEAN(TEXT($D291, ""@""))),
      Transcription!$AO:$AO = 6
    ),
    1
  ),
  ""Not Found""
)
"),"Not Found")</f>
        <v>Not Found</v>
      </c>
      <c r="Z291" s="10">
        <f t="shared" si="1"/>
        <v>3</v>
      </c>
      <c r="AA291" s="10">
        <f t="shared" si="2"/>
        <v>0</v>
      </c>
    </row>
    <row r="292">
      <c r="A292" s="8" t="str">
        <f>VLOOKUP($D292,Sheet6!$B:$G,5,FALSE)</f>
        <v>Shahkot</v>
      </c>
      <c r="B292" s="232" t="str">
        <f>VLOOKUP($D292,Sheet6!$B:$G,4,FALSE)</f>
        <v>Women Secular Info Share</v>
      </c>
      <c r="C292" s="8">
        <v>3.0</v>
      </c>
      <c r="D292" s="8" t="s">
        <v>4701</v>
      </c>
      <c r="E29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TRIM(CLEAN(TEXT($D292, ""@""))),
      IMPORTRANGE(""https://docs.google.com/spreadsheets/d/1DccNxjBgurEr0ABkI_"&amp;"rBagJT5phB5HaHG5N_mTm_BiA/edit?gid=1382299152#gid=1382299152"", ""Form responses 1!$Z:$Z"") = 1
    ),
    1
  ),
  ""Not Found""
)
"),"https://drive.google.com/open?id=10x_dPfpFSvkQhuO0VCGv4lzNQAsIjs4e")</f>
        <v>https://drive.google.com/open?id=10x_dPfpFSvkQhuO0VCGv4lzNQAsIjs4e</v>
      </c>
      <c r="F2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1!$E:$E"")=$D292) *
        (IMPORTRANGE(""https://docs.google.com/spreadsheets/d/161aHT6vVT3SLneTKD19N5qVWtnj_jIT8CSsOmUVKmaA"&amp;"/edit?gid=1761053510"",
          ""Haris_Form responses 1!$AQ:$AQ"")=1)
      ),
      1
    ),
    ""0""
  ),
  ""Form not found""
)
"),"1")</f>
        <v>1</v>
      </c>
      <c r="G292" s="245" t="str">
        <f>IFERROR(__xludf.DUMMYFUNCTION("IFERROR(
  INDEX(
    FILTER(
      Transcription!$AJ:$AJ,
      TRIM(CLEAN(TEXT(Transcription!$F:$F, ""@""))) = TRIM(CLEAN(TEXT($D292, ""@""))),
      Transcription!$AO:$AO = 1
    ),
    1
  ),
  ""Not Found""
)
"),"https://drive.google.com/open?id=1ctBDZBdktC0PIYmsdfgdr6hzGg9olJNf")</f>
        <v>https://drive.google.com/open?id=1ctBDZBdktC0PIYmsdfgdr6hzGg9olJNf</v>
      </c>
      <c r="H29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TRIM(CLEAN(TEXT($D292, ""@""))),
      IMPORTRANGE(""https://docs.google.com/spreadsheets/d/1DccNxjBgurEr0ABkI_"&amp;"rBagJT5phB5HaHG5N_mTm_BiA/edit?gid=1382299152#gid=1382299152"", ""Form responses 1!$Z:$Z"") = 2
    ),
    1
  ),
  ""Not Found""
)
"),"https://drive.google.com/open?id=1mfthkfVmJ1A9PfvEf2353ARiJwZB6Pld")</f>
        <v>https://drive.google.com/open?id=1mfthkfVmJ1A9PfvEf2353ARiJwZB6Pld</v>
      </c>
      <c r="I2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1!$E:$E"")=$D292) *
        (IMPORTRANGE(""https://docs.google.com/spreadsheets/d/161aHT6vVT3SLneTKD19N5qVWtnj_jIT8CSsOmUVKmaA"&amp;"/edit?gid=1761053510"",
          ""Haris_Form responses 1!$AQ:$AQ"")=2)
      ),
      1
    ),
    ""0""
  ),
  ""Form not found""
)
"),"2")</f>
        <v>2</v>
      </c>
      <c r="J292" s="245" t="str">
        <f>IFERROR(__xludf.DUMMYFUNCTION("IFERROR(
  INDEX(
    FILTER(
      Transcription!$AJ:$AJ,
      TRIM(CLEAN(TEXT(Transcription!$F:$F, ""@""))) = TRIM(CLEAN(TEXT($D292, ""@""))),
      Transcription!$AO:$AO = 2
    ),
    1
  ),
  ""Not Found""
)
"),"https://drive.google.com/open?id=12kqL7Jb9ocA59lPSmI7_HS5iAqKVedlW")</f>
        <v>https://drive.google.com/open?id=12kqL7Jb9ocA59lPSmI7_HS5iAqKVedlW</v>
      </c>
      <c r="K29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TRIM(CLEAN(TEXT($D292, ""@""))),
      IMPORTRANGE(""https://docs.google.com/spreadsheets/d/1DccNxjBgurEr0ABkI_"&amp;"rBagJT5phB5HaHG5N_mTm_BiA/edit?gid=1382299152#gid=1382299152"", ""Form responses 1!$Z:$Z"") = 3
    ),
    1
  ),
  ""Not Found""
)
"),"https://drive.google.com/open?id=1ETgZaVrtEM7wJ0GbEvTBIwRswtfMCJI0")</f>
        <v>https://drive.google.com/open?id=1ETgZaVrtEM7wJ0GbEvTBIwRswtfMCJI0</v>
      </c>
      <c r="L2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1!$E:$E"")=$D292) *
        (IMPORTRANGE(""https://docs.google.com/spreadsheets/d/161aHT6vVT3SLneTKD19N5qVWtnj_jIT8CSsOmUVKmaA"&amp;"/edit?gid=1761053510"",
          ""Haris_Form responses 1!$AQ:$AQ"")=3)
      ),
      1
    ),
    ""0""
  ),
  ""Form not found""
)
"),"3")</f>
        <v>3</v>
      </c>
      <c r="M292" s="245" t="str">
        <f>IFERROR(__xludf.DUMMYFUNCTION("IFERROR(
  INDEX(
    FILTER(
      Transcription!$AJ:$AJ,
      TRIM(CLEAN(TEXT(Transcription!$F:$F, ""@""))) = TRIM(CLEAN(TEXT($D292, ""@""))),
      Transcription!$AO:$AO = 3
    ),
    1
  ),
  ""Not Found""
)
"),"https://drive.google.com/open?id=1c0ZXtdX_qRdPdhuKGz5ASIcynaZL7cG6NZH_kJZymSU")</f>
        <v>https://drive.google.com/open?id=1c0ZXtdX_qRdPdhuKGz5ASIcynaZL7cG6NZH_kJZymSU</v>
      </c>
      <c r="N2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TRIM(CLEAN(TEXT($D292, ""@""))),
      IMPORTRANGE(""https://docs.google.com/spreadsheets/d/1DccNxjBgurEr0ABkI_"&amp;"rBagJT5phB5HaHG5N_mTm_BiA/edit?gid=1382299152#gid=1382299152"", ""Form responses 1!$Z:$Z"") = 4
    ),
    1
  ),
  ""Not Found""
)
"),"Not Found")</f>
        <v>Not Found</v>
      </c>
      <c r="O2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1!$E:$E"")=$D292) *
        (IMPORTRANGE(""https://docs.google.com/spreadsheets/d/161aHT6vVT3SLneTKD19N5qVWtnj_jIT8CSsOmUVKmaA"&amp;"/edit?gid=1761053510"",
          ""Haris_Form responses 1!$AQ:$AQ"")=4)
      ),
      1
    ),
    ""0""
  ),
  ""Form not found""
)
"),"Form not found")</f>
        <v>Form not found</v>
      </c>
      <c r="P292" s="247" t="str">
        <f>IFERROR(__xludf.DUMMYFUNCTION("IFERROR(
  INDEX(
    FILTER(
      Transcription!$AJ:$AJ,
      TRIM(CLEAN(TEXT(Transcription!$F:$F, ""@""))) = TRIM(CLEAN(TEXT($D292, ""@""))),
      Transcription!$AO:$AO = 4
    ),
    1
  ),
  ""Not Found""
)
"),"Not Found")</f>
        <v>Not Found</v>
      </c>
      <c r="Q2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TRIM(CLEAN(TEXT($D292, ""@""))),
      IMPORTRANGE(""https://docs.google.com/spreadsheets/d/1DccNxjBgurEr0ABkI_"&amp;"rBagJT5phB5HaHG5N_mTm_BiA/edit?gid=1382299152#gid=1382299152"", ""Form responses 1!$Z:$Z"") = 5
    ),
    1
  ),
  ""Not Found""
)
"),"Not Found")</f>
        <v>Not Found</v>
      </c>
      <c r="R2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1!$E:$E"")=$D292) *
        (IMPORTRANGE(""https://docs.google.com/spreadsheets/d/161aHT6vVT3SLneTKD19N5qVWtnj_jIT8CSsOmUVKmaA"&amp;"/edit?gid=1761053510"",
          ""Haris_Form responses 1!$AQ:$AQ"")=5)
      ),
      1
    ),
    ""0""
  ),
  ""Form not found""
)
"),"Form not found")</f>
        <v>Form not found</v>
      </c>
      <c r="S292" s="247" t="str">
        <f>IFERROR(__xludf.DUMMYFUNCTION("IFERROR(
  INDEX(
    FILTER(
      Transcription!$AJ:$AJ,
      TRIM(CLEAN(TEXT(Transcription!$F:$F, ""@""))) = TRIM(CLEAN(TEXT($D292, ""@""))),
      Transcription!$AO:$AO = 5
    ),
    1
  ),
  ""Not Found""
)
"),"Not Found")</f>
        <v>Not Found</v>
      </c>
      <c r="T29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TRIM(CLEAN(TEXT($D292, ""@""))),
      IMPORTRANGE(""https://docs.google.com/spreadsheets/d/1DccNxjBgurEr0ABkI_"&amp;"rBagJT5phB5HaHG5N_mTm_BiA/edit?gid=1382299152#gid=1382299152"", ""Form responses 1!$Z:$Z"") = 6
    ),
    1
  ),
  ""Not Found""
)
"),"Not Found")</f>
        <v>Not Found</v>
      </c>
      <c r="U29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1!$E:$E"")=$D292) *
        (IMPORTRANGE(""https://docs.google.com/spreadsheets/d/161aHT6vVT3SLneTKD19N5qVWtnj_jIT8CSsOmUVKmaA"&amp;"/edit?gid=1761053510"",
          ""Haris_Form responses 1!$AQ:$AQ"")=6)
      ),
      1
    ),
    ""0""
  ),
  ""Form not found""
)
"),"Form not found")</f>
        <v>Form not found</v>
      </c>
      <c r="V292" s="247" t="str">
        <f>IFERROR(__xludf.DUMMYFUNCTION("IFERROR(
  INDEX(
    FILTER(
      Transcription!$AJ:$AJ,
      TRIM(CLEAN(TEXT(Transcription!$F:$F, ""@""))) = TRIM(CLEAN(TEXT($D292, ""@""))),
      Transcription!$AO:$AO = 6
    ),
    1
  ),
  ""Not Found""
)
"),"Not Found")</f>
        <v>Not Found</v>
      </c>
      <c r="Z292" s="10">
        <f t="shared" si="1"/>
        <v>3</v>
      </c>
      <c r="AA292" s="10">
        <f t="shared" si="2"/>
        <v>0</v>
      </c>
    </row>
    <row r="293">
      <c r="A293" s="8" t="str">
        <f>VLOOKUP($D293,Sheet6!$B:$G,5,FALSE)</f>
        <v>Rawalpindi</v>
      </c>
      <c r="B293" s="232" t="str">
        <f>VLOOKUP($D293,Sheet6!$B:$G,4,FALSE)</f>
        <v>Community Religious Info Share</v>
      </c>
      <c r="C293" s="8">
        <v>3.0</v>
      </c>
      <c r="D293" s="8" t="s">
        <v>4702</v>
      </c>
      <c r="E29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TRIM(CLEAN(TEXT($D293, ""@""))),
      IMPORTRANGE(""https://docs.google.com/spreadsheets/d/1DccNxjBgurEr0ABkI_"&amp;"rBagJT5phB5HaHG5N_mTm_BiA/edit?gid=1382299152#gid=1382299152"", ""Form responses 1!$Z:$Z"") = 1
    ),
    1
  ),
  ""Not Found""
)
"),"https://drive.google.com/open?id=1osr6nZH-i4_ppnO0XKS75mcOqxeS4E4M")</f>
        <v>https://drive.google.com/open?id=1osr6nZH-i4_ppnO0XKS75mcOqxeS4E4M</v>
      </c>
      <c r="F2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1!$E:$E"")=$D293) *
        (IMPORTRANGE(""https://docs.google.com/spreadsheets/d/161aHT6vVT3SLneTKD19N5qVWtnj_jIT8CSsOmUVKmaA"&amp;"/edit?gid=1761053510"",
          ""Haris_Form responses 1!$AQ:$AQ"")=1)
      ),
      1
    ),
    ""0""
  ),
  ""Form not found""
)
"),"1")</f>
        <v>1</v>
      </c>
      <c r="G293" s="245" t="str">
        <f>IFERROR(__xludf.DUMMYFUNCTION("IFERROR(
  INDEX(
    FILTER(
      Transcription!$AJ:$AJ,
      TRIM(CLEAN(TEXT(Transcription!$F:$F, ""@""))) = TRIM(CLEAN(TEXT($D293, ""@""))),
      Transcription!$AO:$AO = 1
    ),
    1
  ),
  ""Not Found""
)
"),"https://drive.google.com/open?id=1Muy4CFToOt6fp0PtMoekHGMB9SIYF0Jh")</f>
        <v>https://drive.google.com/open?id=1Muy4CFToOt6fp0PtMoekHGMB9SIYF0Jh</v>
      </c>
      <c r="H29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TRIM(CLEAN(TEXT($D293, ""@""))),
      IMPORTRANGE(""https://docs.google.com/spreadsheets/d/1DccNxjBgurEr0ABkI_"&amp;"rBagJT5phB5HaHG5N_mTm_BiA/edit?gid=1382299152#gid=1382299152"", ""Form responses 1!$Z:$Z"") = 2
    ),
    1
  ),
  ""Not Found""
)
"),"https://drive.google.com/open?id=11MXI7wcAI2t2sLFelu3QsNP7_tb7oU-L")</f>
        <v>https://drive.google.com/open?id=11MXI7wcAI2t2sLFelu3QsNP7_tb7oU-L</v>
      </c>
      <c r="I2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1!$E:$E"")=$D293) *
        (IMPORTRANGE(""https://docs.google.com/spreadsheets/d/161aHT6vVT3SLneTKD19N5qVWtnj_jIT8CSsOmUVKmaA"&amp;"/edit?gid=1761053510"",
          ""Haris_Form responses 1!$AQ:$AQ"")=2)
      ),
      1
    ),
    ""0""
  ),
  ""Form not found""
)
"),"2")</f>
        <v>2</v>
      </c>
      <c r="J293" s="245" t="str">
        <f>IFERROR(__xludf.DUMMYFUNCTION("IFERROR(
  INDEX(
    FILTER(
      Transcription!$AJ:$AJ,
      TRIM(CLEAN(TEXT(Transcription!$F:$F, ""@""))) = TRIM(CLEAN(TEXT($D293, ""@""))),
      Transcription!$AO:$AO = 2
    ),
    1
  ),
  ""Not Found""
)
"),"https://drive.google.com/open?id=1UFNljZWYaW-dLWVP3lTUYon3JYV-LOFx")</f>
        <v>https://drive.google.com/open?id=1UFNljZWYaW-dLWVP3lTUYon3JYV-LOFx</v>
      </c>
      <c r="K29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TRIM(CLEAN(TEXT($D293, ""@""))),
      IMPORTRANGE(""https://docs.google.com/spreadsheets/d/1DccNxjBgurEr0ABkI_"&amp;"rBagJT5phB5HaHG5N_mTm_BiA/edit?gid=1382299152#gid=1382299152"", ""Form responses 1!$Z:$Z"") = 3
    ),
    1
  ),
  ""Not Found""
)
"),"https://drive.google.com/open?id=1vKKdXewFz9a9WHE3naglr1ExEod5F4PD")</f>
        <v>https://drive.google.com/open?id=1vKKdXewFz9a9WHE3naglr1ExEod5F4PD</v>
      </c>
      <c r="L2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1!$E:$E"")=$D293) *
        (IMPORTRANGE(""https://docs.google.com/spreadsheets/d/161aHT6vVT3SLneTKD19N5qVWtnj_jIT8CSsOmUVKmaA"&amp;"/edit?gid=1761053510"",
          ""Haris_Form responses 1!$AQ:$AQ"")=3)
      ),
      1
    ),
    ""0""
  ),
  ""Form not found""
)
"),"3")</f>
        <v>3</v>
      </c>
      <c r="M293" s="245" t="str">
        <f>IFERROR(__xludf.DUMMYFUNCTION("IFERROR(
  INDEX(
    FILTER(
      Transcription!$AJ:$AJ,
      TRIM(CLEAN(TEXT(Transcription!$F:$F, ""@""))) = TRIM(CLEAN(TEXT($D293, ""@""))),
      Transcription!$AO:$AO = 3
    ),
    1
  ),
  ""Not Found""
)
"),"https://drive.google.com/open?id=1TaAriRTCspa0LsoYnr5YJIpJY1mMiJwt")</f>
        <v>https://drive.google.com/open?id=1TaAriRTCspa0LsoYnr5YJIpJY1mMiJwt</v>
      </c>
      <c r="N29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TRIM(CLEAN(TEXT($D293, ""@""))),
      IMPORTRANGE(""https://docs.google.com/spreadsheets/d/1DccNxjBgurEr0ABkI_"&amp;"rBagJT5phB5HaHG5N_mTm_BiA/edit?gid=1382299152#gid=1382299152"", ""Form responses 1!$Z:$Z"") = 4
    ),
    1
  ),
  ""Not Found""
)
"),"Not Found")</f>
        <v>Not Found</v>
      </c>
      <c r="O2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1!$E:$E"")=$D293) *
        (IMPORTRANGE(""https://docs.google.com/spreadsheets/d/161aHT6vVT3SLneTKD19N5qVWtnj_jIT8CSsOmUVKmaA"&amp;"/edit?gid=1761053510"",
          ""Haris_Form responses 1!$AQ:$AQ"")=4)
      ),
      1
    ),
    ""0""
  ),
  ""Form not found""
)
"),"Form not found")</f>
        <v>Form not found</v>
      </c>
      <c r="P293" s="247" t="str">
        <f>IFERROR(__xludf.DUMMYFUNCTION("IFERROR(
  INDEX(
    FILTER(
      Transcription!$AJ:$AJ,
      TRIM(CLEAN(TEXT(Transcription!$F:$F, ""@""))) = TRIM(CLEAN(TEXT($D293, ""@""))),
      Transcription!$AO:$AO = 4
    ),
    1
  ),
  ""Not Found""
)
"),"Not Found")</f>
        <v>Not Found</v>
      </c>
      <c r="Q29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TRIM(CLEAN(TEXT($D293, ""@""))),
      IMPORTRANGE(""https://docs.google.com/spreadsheets/d/1DccNxjBgurEr0ABkI_"&amp;"rBagJT5phB5HaHG5N_mTm_BiA/edit?gid=1382299152#gid=1382299152"", ""Form responses 1!$Z:$Z"") = 5
    ),
    1
  ),
  ""Not Found""
)
"),"Not Found")</f>
        <v>Not Found</v>
      </c>
      <c r="R2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1!$E:$E"")=$D293) *
        (IMPORTRANGE(""https://docs.google.com/spreadsheets/d/161aHT6vVT3SLneTKD19N5qVWtnj_jIT8CSsOmUVKmaA"&amp;"/edit?gid=1761053510"",
          ""Haris_Form responses 1!$AQ:$AQ"")=5)
      ),
      1
    ),
    ""0""
  ),
  ""Form not found""
)
"),"Form not found")</f>
        <v>Form not found</v>
      </c>
      <c r="S293" s="247" t="str">
        <f>IFERROR(__xludf.DUMMYFUNCTION("IFERROR(
  INDEX(
    FILTER(
      Transcription!$AJ:$AJ,
      TRIM(CLEAN(TEXT(Transcription!$F:$F, ""@""))) = TRIM(CLEAN(TEXT($D293, ""@""))),
      Transcription!$AO:$AO = 5
    ),
    1
  ),
  ""Not Found""
)
"),"Not Found")</f>
        <v>Not Found</v>
      </c>
      <c r="T29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TRIM(CLEAN(TEXT($D293, ""@""))),
      IMPORTRANGE(""https://docs.google.com/spreadsheets/d/1DccNxjBgurEr0ABkI_"&amp;"rBagJT5phB5HaHG5N_mTm_BiA/edit?gid=1382299152#gid=1382299152"", ""Form responses 1!$Z:$Z"") = 6
    ),
    1
  ),
  ""Not Found""
)
"),"Not Found")</f>
        <v>Not Found</v>
      </c>
      <c r="U29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1!$E:$E"")=$D293) *
        (IMPORTRANGE(""https://docs.google.com/spreadsheets/d/161aHT6vVT3SLneTKD19N5qVWtnj_jIT8CSsOmUVKmaA"&amp;"/edit?gid=1761053510"",
          ""Haris_Form responses 1!$AQ:$AQ"")=6)
      ),
      1
    ),
    ""0""
  ),
  ""Form not found""
)
"),"Form not found")</f>
        <v>Form not found</v>
      </c>
      <c r="V293" s="247" t="str">
        <f>IFERROR(__xludf.DUMMYFUNCTION("IFERROR(
  INDEX(
    FILTER(
      Transcription!$AJ:$AJ,
      TRIM(CLEAN(TEXT(Transcription!$F:$F, ""@""))) = TRIM(CLEAN(TEXT($D293, ""@""))),
      Transcription!$AO:$AO = 6
    ),
    1
  ),
  ""Not Found""
)
"),"Not Found")</f>
        <v>Not Found</v>
      </c>
      <c r="AA293" s="10">
        <f t="shared" si="2"/>
        <v>-3</v>
      </c>
    </row>
    <row r="294">
      <c r="A294" s="8" t="str">
        <f>VLOOKUP($D294,Sheet6!$B:$G,5,FALSE)</f>
        <v>Rawalpindi</v>
      </c>
      <c r="B294" s="232" t="str">
        <f>VLOOKUP($D294,Sheet6!$B:$G,4,FALSE)</f>
        <v>Women Secular No Info Share</v>
      </c>
      <c r="C294" s="8">
        <v>3.0</v>
      </c>
      <c r="D294" s="8" t="s">
        <v>4703</v>
      </c>
      <c r="E29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TRIM(CLEAN(TEXT($D294, ""@""))),
      IMPORTRANGE(""https://docs.google.com/spreadsheets/d/1DccNxjBgurEr0ABkI_"&amp;"rBagJT5phB5HaHG5N_mTm_BiA/edit?gid=1382299152#gid=1382299152"", ""Form responses 1!$Z:$Z"") = 1
    ),
    1
  ),
  ""Not Found""
)
"),"https://drive.google.com/open?id=18V-Ps_Z7TU4u23zdYz00Liy_dmmAn_YU")</f>
        <v>https://drive.google.com/open?id=18V-Ps_Z7TU4u23zdYz00Liy_dmmAn_YU</v>
      </c>
      <c r="F2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1!$E:$E"")=$D294) *
        (IMPORTRANGE(""https://docs.google.com/spreadsheets/d/161aHT6vVT3SLneTKD19N5qVWtnj_jIT8CSsOmUVKmaA"&amp;"/edit?gid=1761053510"",
          ""Haris_Form responses 1!$AQ:$AQ"")=1)
      ),
      1
    ),
    ""0""
  ),
  ""Form not found""
)
"),"1")</f>
        <v>1</v>
      </c>
      <c r="G294" s="245" t="str">
        <f>IFERROR(__xludf.DUMMYFUNCTION("IFERROR(
  INDEX(
    FILTER(
      Transcription!$AJ:$AJ,
      TRIM(CLEAN(TEXT(Transcription!$F:$F, ""@""))) = TRIM(CLEAN(TEXT($D294, ""@""))),
      Transcription!$AO:$AO = 1
    ),
    1
  ),
  ""Not Found""
)
"),"https://drive.google.com/open?id=17354YMNLrHE5UUJAax265tFEFO65BDTt")</f>
        <v>https://drive.google.com/open?id=17354YMNLrHE5UUJAax265tFEFO65BDTt</v>
      </c>
      <c r="H29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TRIM(CLEAN(TEXT($D294, ""@""))),
      IMPORTRANGE(""https://docs.google.com/spreadsheets/d/1DccNxjBgurEr0ABkI_"&amp;"rBagJT5phB5HaHG5N_mTm_BiA/edit?gid=1382299152#gid=1382299152"", ""Form responses 1!$Z:$Z"") = 2
    ),
    1
  ),
  ""Not Found""
)
"),"https://drive.google.com/open?id=1qgIICVzh1Y8mNORr4QUgzzuMnYiVBBi1")</f>
        <v>https://drive.google.com/open?id=1qgIICVzh1Y8mNORr4QUgzzuMnYiVBBi1</v>
      </c>
      <c r="I2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1!$E:$E"")=$D294) *
        (IMPORTRANGE(""https://docs.google.com/spreadsheets/d/161aHT6vVT3SLneTKD19N5qVWtnj_jIT8CSsOmUVKmaA"&amp;"/edit?gid=1761053510"",
          ""Haris_Form responses 1!$AQ:$AQ"")=2)
      ),
      1
    ),
    ""0""
  ),
  ""Form not found""
)
"),"2")</f>
        <v>2</v>
      </c>
      <c r="J294" s="245" t="str">
        <f>IFERROR(__xludf.DUMMYFUNCTION("IFERROR(
  INDEX(
    FILTER(
      Transcription!$AJ:$AJ,
      TRIM(CLEAN(TEXT(Transcription!$F:$F, ""@""))) = TRIM(CLEAN(TEXT($D294, ""@""))),
      Transcription!$AO:$AO = 2
    ),
    1
  ),
  ""Not Found""
)
"),"https://drive.google.com/open?id=1d18_RPcExySXem6civ3Gwz2cOzQu04jCetBKjAncThA")</f>
        <v>https://drive.google.com/open?id=1d18_RPcExySXem6civ3Gwz2cOzQu04jCetBKjAncThA</v>
      </c>
      <c r="K29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TRIM(CLEAN(TEXT($D294, ""@""))),
      IMPORTRANGE(""https://docs.google.com/spreadsheets/d/1DccNxjBgurEr0ABkI_"&amp;"rBagJT5phB5HaHG5N_mTm_BiA/edit?gid=1382299152#gid=1382299152"", ""Form responses 1!$Z:$Z"") = 3
    ),
    1
  ),
  ""Not Found""
)
"),"https://drive.google.com/open?id=19_ZIbDGKNcu1vlsQb965SvbAoiTw1gEJ")</f>
        <v>https://drive.google.com/open?id=19_ZIbDGKNcu1vlsQb965SvbAoiTw1gEJ</v>
      </c>
      <c r="L2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1!$E:$E"")=$D294) *
        (IMPORTRANGE(""https://docs.google.com/spreadsheets/d/161aHT6vVT3SLneTKD19N5qVWtnj_jIT8CSsOmUVKmaA"&amp;"/edit?gid=1761053510"",
          ""Haris_Form responses 1!$AQ:$AQ"")=3)
      ),
      1
    ),
    ""0""
  ),
  ""Form not found""
)
"),"3")</f>
        <v>3</v>
      </c>
      <c r="M294" s="245" t="str">
        <f>IFERROR(__xludf.DUMMYFUNCTION("IFERROR(
  INDEX(
    FILTER(
      Transcription!$AJ:$AJ,
      TRIM(CLEAN(TEXT(Transcription!$F:$F, ""@""))) = TRIM(CLEAN(TEXT($D294, ""@""))),
      Transcription!$AO:$AO = 3
    ),
    1
  ),
  ""Not Found""
)
"),"https://drive.google.com/open?id=1jGQsRQJdBlMui57GZajF1RoQvcur0Fdmx6P4uUj6QtA")</f>
        <v>https://drive.google.com/open?id=1jGQsRQJdBlMui57GZajF1RoQvcur0Fdmx6P4uUj6QtA</v>
      </c>
      <c r="N29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TRIM(CLEAN(TEXT($D294, ""@""))),
      IMPORTRANGE(""https://docs.google.com/spreadsheets/d/1DccNxjBgurEr0ABkI_"&amp;"rBagJT5phB5HaHG5N_mTm_BiA/edit?gid=1382299152#gid=1382299152"", ""Form responses 1!$Z:$Z"") = 4
    ),
    1
  ),
  ""Not Found""
)
"),"Not Found")</f>
        <v>Not Found</v>
      </c>
      <c r="O2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1!$E:$E"")=$D294) *
        (IMPORTRANGE(""https://docs.google.com/spreadsheets/d/161aHT6vVT3SLneTKD19N5qVWtnj_jIT8CSsOmUVKmaA"&amp;"/edit?gid=1761053510"",
          ""Haris_Form responses 1!$AQ:$AQ"")=4)
      ),
      1
    ),
    ""0""
  ),
  ""Form not found""
)
"),"Form not found")</f>
        <v>Form not found</v>
      </c>
      <c r="P294" s="247" t="str">
        <f>IFERROR(__xludf.DUMMYFUNCTION("IFERROR(
  INDEX(
    FILTER(
      Transcription!$AJ:$AJ,
      TRIM(CLEAN(TEXT(Transcription!$F:$F, ""@""))) = TRIM(CLEAN(TEXT($D294, ""@""))),
      Transcription!$AO:$AO = 4
    ),
    1
  ),
  ""Not Found""
)
"),"Not Found")</f>
        <v>Not Found</v>
      </c>
      <c r="Q29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TRIM(CLEAN(TEXT($D294, ""@""))),
      IMPORTRANGE(""https://docs.google.com/spreadsheets/d/1DccNxjBgurEr0ABkI_"&amp;"rBagJT5phB5HaHG5N_mTm_BiA/edit?gid=1382299152#gid=1382299152"", ""Form responses 1!$Z:$Z"") = 5
    ),
    1
  ),
  ""Not Found""
)
"),"Not Found")</f>
        <v>Not Found</v>
      </c>
      <c r="R2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1!$E:$E"")=$D294) *
        (IMPORTRANGE(""https://docs.google.com/spreadsheets/d/161aHT6vVT3SLneTKD19N5qVWtnj_jIT8CSsOmUVKmaA"&amp;"/edit?gid=1761053510"",
          ""Haris_Form responses 1!$AQ:$AQ"")=5)
      ),
      1
    ),
    ""0""
  ),
  ""Form not found""
)
"),"Form not found")</f>
        <v>Form not found</v>
      </c>
      <c r="S294" s="247" t="str">
        <f>IFERROR(__xludf.DUMMYFUNCTION("IFERROR(
  INDEX(
    FILTER(
      Transcription!$AJ:$AJ,
      TRIM(CLEAN(TEXT(Transcription!$F:$F, ""@""))) = TRIM(CLEAN(TEXT($D294, ""@""))),
      Transcription!$AO:$AO = 5
    ),
    1
  ),
  ""Not Found""
)
"),"Not Found")</f>
        <v>Not Found</v>
      </c>
      <c r="T29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TRIM(CLEAN(TEXT($D294, ""@""))),
      IMPORTRANGE(""https://docs.google.com/spreadsheets/d/1DccNxjBgurEr0ABkI_"&amp;"rBagJT5phB5HaHG5N_mTm_BiA/edit?gid=1382299152#gid=1382299152"", ""Form responses 1!$Z:$Z"") = 6
    ),
    1
  ),
  ""Not Found""
)
"),"Not Found")</f>
        <v>Not Found</v>
      </c>
      <c r="U29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1!$E:$E"")=$D294) *
        (IMPORTRANGE(""https://docs.google.com/spreadsheets/d/161aHT6vVT3SLneTKD19N5qVWtnj_jIT8CSsOmUVKmaA"&amp;"/edit?gid=1761053510"",
          ""Haris_Form responses 1!$AQ:$AQ"")=6)
      ),
      1
    ),
    ""0""
  ),
  ""Form not found""
)
"),"Form not found")</f>
        <v>Form not found</v>
      </c>
      <c r="V294" s="247" t="str">
        <f>IFERROR(__xludf.DUMMYFUNCTION("IFERROR(
  INDEX(
    FILTER(
      Transcription!$AJ:$AJ,
      TRIM(CLEAN(TEXT(Transcription!$F:$F, ""@""))) = TRIM(CLEAN(TEXT($D294, ""@""))),
      Transcription!$AO:$AO = 6
    ),
    1
  ),
  ""Not Found""
)
"),"Not Found")</f>
        <v>Not Found</v>
      </c>
      <c r="AA294" s="10">
        <f t="shared" si="2"/>
        <v>-3</v>
      </c>
    </row>
    <row r="295">
      <c r="A295" s="8" t="str">
        <f>VLOOKUP($D295,Sheet6!$B:$G,5,FALSE)</f>
        <v>Rawalpindi</v>
      </c>
      <c r="B295" s="232" t="str">
        <f>VLOOKUP($D295,Sheet6!$B:$G,4,FALSE)</f>
        <v>Control</v>
      </c>
      <c r="C295" s="8">
        <v>2.0</v>
      </c>
      <c r="D295" s="8" t="s">
        <v>4704</v>
      </c>
      <c r="E29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TRIM(CLEAN(TEXT($D295, ""@""))),
      IMPORTRANGE(""https://docs.google.com/spreadsheets/d/1DccNxjBgurEr0ABkI_"&amp;"rBagJT5phB5HaHG5N_mTm_BiA/edit?gid=1382299152#gid=1382299152"", ""Form responses 1!$Z:$Z"") = 1
    ),
    1
  ),
  ""Not Found""
)
"),"https://drive.google.com/open?id=1FxVsIK3WuQVrTdP6s9HaR4GZ287SNjn8")</f>
        <v>https://drive.google.com/open?id=1FxVsIK3WuQVrTdP6s9HaR4GZ287SNjn8</v>
      </c>
      <c r="F2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1!$E:$E"")=$D295) *
        (IMPORTRANGE(""https://docs.google.com/spreadsheets/d/161aHT6vVT3SLneTKD19N5qVWtnj_jIT8CSsOmUVKmaA"&amp;"/edit?gid=1761053510"",
          ""Haris_Form responses 1!$AQ:$AQ"")=1)
      ),
      1
    ),
    ""0""
  ),
  ""Form not found""
)
"),"1")</f>
        <v>1</v>
      </c>
      <c r="G295" s="245" t="str">
        <f>IFERROR(__xludf.DUMMYFUNCTION("IFERROR(
  INDEX(
    FILTER(
      Transcription!$AJ:$AJ,
      TRIM(CLEAN(TEXT(Transcription!$F:$F, ""@""))) = TRIM(CLEAN(TEXT($D295, ""@""))),
      Transcription!$AO:$AO = 1
    ),
    1
  ),
  ""Not Found""
)
"),"https://drive.google.com/open?id=1ldXuf6T3YaFFePiWtqIy6_arNBWlsQhz")</f>
        <v>https://drive.google.com/open?id=1ldXuf6T3YaFFePiWtqIy6_arNBWlsQhz</v>
      </c>
      <c r="H2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TRIM(CLEAN(TEXT($D295, ""@""))),
      IMPORTRANGE(""https://docs.google.com/spreadsheets/d/1DccNxjBgurEr0ABkI_"&amp;"rBagJT5phB5HaHG5N_mTm_BiA/edit?gid=1382299152#gid=1382299152"", ""Form responses 1!$Z:$Z"") = 2
    ),
    1
  ),
  ""Not Found""
)
"),"Not Found")</f>
        <v>Not Found</v>
      </c>
      <c r="I2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1!$E:$E"")=$D295) *
        (IMPORTRANGE(""https://docs.google.com/spreadsheets/d/161aHT6vVT3SLneTKD19N5qVWtnj_jIT8CSsOmUVKmaA"&amp;"/edit?gid=1761053510"",
          ""Haris_Form responses 1!$AQ:$AQ"")=2)
      ),
      1
    ),
    ""0""
  ),
  ""Form not found""
)
"),"Form not found")</f>
        <v>Form not found</v>
      </c>
      <c r="J295" s="247" t="str">
        <f>IFERROR(__xludf.DUMMYFUNCTION("IFERROR(
  INDEX(
    FILTER(
      Transcription!$AJ:$AJ,
      TRIM(CLEAN(TEXT(Transcription!$F:$F, ""@""))) = TRIM(CLEAN(TEXT($D295, ""@""))),
      Transcription!$AO:$AO = 2
    ),
    1
  ),
  ""Not Found""
)
"),"Not Found")</f>
        <v>Not Found</v>
      </c>
      <c r="K29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TRIM(CLEAN(TEXT($D295, ""@""))),
      IMPORTRANGE(""https://docs.google.com/spreadsheets/d/1DccNxjBgurEr0ABkI_"&amp;"rBagJT5phB5HaHG5N_mTm_BiA/edit?gid=1382299152#gid=1382299152"", ""Form responses 1!$Z:$Z"") = 3
    ),
    1
  ),
  ""Not Found""
)
"),"https://drive.google.com/open?id=12qGoXQmRuElMKshM0apa2CIaoiYNmHoW")</f>
        <v>https://drive.google.com/open?id=12qGoXQmRuElMKshM0apa2CIaoiYNmHoW</v>
      </c>
      <c r="L2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1!$E:$E"")=$D295) *
        (IMPORTRANGE(""https://docs.google.com/spreadsheets/d/161aHT6vVT3SLneTKD19N5qVWtnj_jIT8CSsOmUVKmaA"&amp;"/edit?gid=1761053510"",
          ""Haris_Form responses 1!$AQ:$AQ"")=3)
      ),
      1
    ),
    ""0""
  ),
  ""Form not found""
)
"),"3")</f>
        <v>3</v>
      </c>
      <c r="M295" s="245" t="str">
        <f>IFERROR(__xludf.DUMMYFUNCTION("IFERROR(
  INDEX(
    FILTER(
      Transcription!$AJ:$AJ,
      TRIM(CLEAN(TEXT(Transcription!$F:$F, ""@""))) = TRIM(CLEAN(TEXT($D295, ""@""))),
      Transcription!$AO:$AO = 3
    ),
    1
  ),
  ""Not Found""
)
"),"https://drive.google.com/open?id=1bYmNNL7bSmxg255GCE1gOWTT6zk2as847yqSJVpVV4U")</f>
        <v>https://drive.google.com/open?id=1bYmNNL7bSmxg255GCE1gOWTT6zk2as847yqSJVpVV4U</v>
      </c>
      <c r="N2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TRIM(CLEAN(TEXT($D295, ""@""))),
      IMPORTRANGE(""https://docs.google.com/spreadsheets/d/1DccNxjBgurEr0ABkI_"&amp;"rBagJT5phB5HaHG5N_mTm_BiA/edit?gid=1382299152#gid=1382299152"", ""Form responses 1!$Z:$Z"") = 4
    ),
    1
  ),
  ""Not Found""
)
"),"Not Found")</f>
        <v>Not Found</v>
      </c>
      <c r="O2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1!$E:$E"")=$D295) *
        (IMPORTRANGE(""https://docs.google.com/spreadsheets/d/161aHT6vVT3SLneTKD19N5qVWtnj_jIT8CSsOmUVKmaA"&amp;"/edit?gid=1761053510"",
          ""Haris_Form responses 1!$AQ:$AQ"")=4)
      ),
      1
    ),
    ""0""
  ),
  ""Form not found""
)
"),"Form not found")</f>
        <v>Form not found</v>
      </c>
      <c r="P295" s="247" t="str">
        <f>IFERROR(__xludf.DUMMYFUNCTION("IFERROR(
  INDEX(
    FILTER(
      Transcription!$AJ:$AJ,
      TRIM(CLEAN(TEXT(Transcription!$F:$F, ""@""))) = TRIM(CLEAN(TEXT($D295, ""@""))),
      Transcription!$AO:$AO = 4
    ),
    1
  ),
  ""Not Found""
)
"),"Not Found")</f>
        <v>Not Found</v>
      </c>
      <c r="Q2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TRIM(CLEAN(TEXT($D295, ""@""))),
      IMPORTRANGE(""https://docs.google.com/spreadsheets/d/1DccNxjBgurEr0ABkI_"&amp;"rBagJT5phB5HaHG5N_mTm_BiA/edit?gid=1382299152#gid=1382299152"", ""Form responses 1!$Z:$Z"") = 5
    ),
    1
  ),
  ""Not Found""
)
"),"Not Found")</f>
        <v>Not Found</v>
      </c>
      <c r="R2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1!$E:$E"")=$D295) *
        (IMPORTRANGE(""https://docs.google.com/spreadsheets/d/161aHT6vVT3SLneTKD19N5qVWtnj_jIT8CSsOmUVKmaA"&amp;"/edit?gid=1761053510"",
          ""Haris_Form responses 1!$AQ:$AQ"")=5)
      ),
      1
    ),
    ""0""
  ),
  ""Form not found""
)
"),"Form not found")</f>
        <v>Form not found</v>
      </c>
      <c r="S295" s="247" t="str">
        <f>IFERROR(__xludf.DUMMYFUNCTION("IFERROR(
  INDEX(
    FILTER(
      Transcription!$AJ:$AJ,
      TRIM(CLEAN(TEXT(Transcription!$F:$F, ""@""))) = TRIM(CLEAN(TEXT($D295, ""@""))),
      Transcription!$AO:$AO = 5
    ),
    1
  ),
  ""Not Found""
)
"),"Not Found")</f>
        <v>Not Found</v>
      </c>
      <c r="T29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TRIM(CLEAN(TEXT($D295, ""@""))),
      IMPORTRANGE(""https://docs.google.com/spreadsheets/d/1DccNxjBgurEr0ABkI_"&amp;"rBagJT5phB5HaHG5N_mTm_BiA/edit?gid=1382299152#gid=1382299152"", ""Form responses 1!$Z:$Z"") = 6
    ),
    1
  ),
  ""Not Found""
)
"),"Not Found")</f>
        <v>Not Found</v>
      </c>
      <c r="U29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1!$E:$E"")=$D295) *
        (IMPORTRANGE(""https://docs.google.com/spreadsheets/d/161aHT6vVT3SLneTKD19N5qVWtnj_jIT8CSsOmUVKmaA"&amp;"/edit?gid=1761053510"",
          ""Haris_Form responses 1!$AQ:$AQ"")=6)
      ),
      1
    ),
    ""0""
  ),
  ""Form not found""
)
"),"Form not found")</f>
        <v>Form not found</v>
      </c>
      <c r="V295" s="247" t="str">
        <f>IFERROR(__xludf.DUMMYFUNCTION("IFERROR(
  INDEX(
    FILTER(
      Transcription!$AJ:$AJ,
      TRIM(CLEAN(TEXT(Transcription!$F:$F, ""@""))) = TRIM(CLEAN(TEXT($D295, ""@""))),
      Transcription!$AO:$AO = 6
    ),
    1
  ),
  ""Not Found""
)
"),"Not Found")</f>
        <v>Not Found</v>
      </c>
      <c r="AA295" s="10">
        <f t="shared" si="2"/>
        <v>-2</v>
      </c>
    </row>
    <row r="296">
      <c r="A296" s="8" t="str">
        <f>VLOOKUP($D296,Sheet6!$B:$G,5,FALSE)</f>
        <v>Rawalpindi</v>
      </c>
      <c r="B296" s="232" t="str">
        <f>VLOOKUP($D296,Sheet6!$B:$G,4,FALSE)</f>
        <v>Women Religious No Info Share</v>
      </c>
      <c r="C296" s="8">
        <v>3.0</v>
      </c>
      <c r="D296" s="8" t="s">
        <v>4705</v>
      </c>
      <c r="E29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TRIM(CLEAN(TEXT($D296, ""@""))),
      IMPORTRANGE(""https://docs.google.com/spreadsheets/d/1DccNxjBgurEr0ABkI_"&amp;"rBagJT5phB5HaHG5N_mTm_BiA/edit?gid=1382299152#gid=1382299152"", ""Form responses 1!$Z:$Z"") = 1
    ),
    1
  ),
  ""Not Found""
)
"),"https://drive.google.com/open?id=1_2MmJ2TBo6BksD59MevNlObM_IOSRdrp")</f>
        <v>https://drive.google.com/open?id=1_2MmJ2TBo6BksD59MevNlObM_IOSRdrp</v>
      </c>
      <c r="F2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1!$E:$E"")=$D296) *
        (IMPORTRANGE(""https://docs.google.com/spreadsheets/d/161aHT6vVT3SLneTKD19N5qVWtnj_jIT8CSsOmUVKmaA"&amp;"/edit?gid=1761053510"",
          ""Haris_Form responses 1!$AQ:$AQ"")=1)
      ),
      1
    ),
    ""0""
  ),
  ""Form not found""
)
"),"1")</f>
        <v>1</v>
      </c>
      <c r="G296" s="245" t="str">
        <f>IFERROR(__xludf.DUMMYFUNCTION("IFERROR(
  INDEX(
    FILTER(
      Transcription!$AJ:$AJ,
      TRIM(CLEAN(TEXT(Transcription!$F:$F, ""@""))) = TRIM(CLEAN(TEXT($D296, ""@""))),
      Transcription!$AO:$AO = 1
    ),
    1
  ),
  ""Not Found""
)
"),"https://drive.google.com/open?id=1Hfjewsnfba3ZfhSRuR-pkU2-oeNX5HeOn-L9uSYAwWM")</f>
        <v>https://drive.google.com/open?id=1Hfjewsnfba3ZfhSRuR-pkU2-oeNX5HeOn-L9uSYAwWM</v>
      </c>
      <c r="H29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TRIM(CLEAN(TEXT($D296, ""@""))),
      IMPORTRANGE(""https://docs.google.com/spreadsheets/d/1DccNxjBgurEr0ABkI_"&amp;"rBagJT5phB5HaHG5N_mTm_BiA/edit?gid=1382299152#gid=1382299152"", ""Form responses 1!$Z:$Z"") = 2
    ),
    1
  ),
  ""Not Found""
)
"),"https://drive.google.com/open?id=1TIT9tWwYtTeVl2cw8SlQz0SDVnzkq-dk")</f>
        <v>https://drive.google.com/open?id=1TIT9tWwYtTeVl2cw8SlQz0SDVnzkq-dk</v>
      </c>
      <c r="I2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1!$E:$E"")=$D296) *
        (IMPORTRANGE(""https://docs.google.com/spreadsheets/d/161aHT6vVT3SLneTKD19N5qVWtnj_jIT8CSsOmUVKmaA"&amp;"/edit?gid=1761053510"",
          ""Haris_Form responses 1!$AQ:$AQ"")=2)
      ),
      1
    ),
    ""0""
  ),
  ""Form not found""
)
"),"2")</f>
        <v>2</v>
      </c>
      <c r="J296" s="245" t="str">
        <f>IFERROR(__xludf.DUMMYFUNCTION("IFERROR(
  INDEX(
    FILTER(
      Transcription!$AJ:$AJ,
      TRIM(CLEAN(TEXT(Transcription!$F:$F, ""@""))) = TRIM(CLEAN(TEXT($D296, ""@""))),
      Transcription!$AO:$AO = 2
    ),
    1
  ),
  ""Not Found""
)
"),"https://drive.google.com/open?id=1NhS9cgmn9_RjEhaZWDoROTwJIXbCBG8c")</f>
        <v>https://drive.google.com/open?id=1NhS9cgmn9_RjEhaZWDoROTwJIXbCBG8c</v>
      </c>
      <c r="K29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TRIM(CLEAN(TEXT($D296, ""@""))),
      IMPORTRANGE(""https://docs.google.com/spreadsheets/d/1DccNxjBgurEr0ABkI_"&amp;"rBagJT5phB5HaHG5N_mTm_BiA/edit?gid=1382299152#gid=1382299152"", ""Form responses 1!$Z:$Z"") = 3
    ),
    1
  ),
  ""Not Found""
)
"),"https://drive.google.com/open?id=1B2P-s4TNj6_uxIbqzCymsyoJ_ZDnHVji")</f>
        <v>https://drive.google.com/open?id=1B2P-s4TNj6_uxIbqzCymsyoJ_ZDnHVji</v>
      </c>
      <c r="L2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1!$E:$E"")=$D296) *
        (IMPORTRANGE(""https://docs.google.com/spreadsheets/d/161aHT6vVT3SLneTKD19N5qVWtnj_jIT8CSsOmUVKmaA"&amp;"/edit?gid=1761053510"",
          ""Haris_Form responses 1!$AQ:$AQ"")=3)
      ),
      1
    ),
    ""0""
  ),
  ""Form not found""
)
"),"3")</f>
        <v>3</v>
      </c>
      <c r="M296" s="245" t="str">
        <f>IFERROR(__xludf.DUMMYFUNCTION("IFERROR(
  INDEX(
    FILTER(
      Transcription!$AJ:$AJ,
      TRIM(CLEAN(TEXT(Transcription!$F:$F, ""@""))) = TRIM(CLEAN(TEXT($D296, ""@""))),
      Transcription!$AO:$AO = 3
    ),
    1
  ),
  ""Not Found""
)
"),"https://drive.google.com/open?id=1UQZcpZnF5cgeVTrUyn24fnPjb0EmGw-UQPjGPRyAqJs")</f>
        <v>https://drive.google.com/open?id=1UQZcpZnF5cgeVTrUyn24fnPjb0EmGw-UQPjGPRyAqJs</v>
      </c>
      <c r="N2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TRIM(CLEAN(TEXT($D296, ""@""))),
      IMPORTRANGE(""https://docs.google.com/spreadsheets/d/1DccNxjBgurEr0ABkI_"&amp;"rBagJT5phB5HaHG5N_mTm_BiA/edit?gid=1382299152#gid=1382299152"", ""Form responses 1!$Z:$Z"") = 4
    ),
    1
  ),
  ""Not Found""
)
"),"Not Found")</f>
        <v>Not Found</v>
      </c>
      <c r="O2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1!$E:$E"")=$D296) *
        (IMPORTRANGE(""https://docs.google.com/spreadsheets/d/161aHT6vVT3SLneTKD19N5qVWtnj_jIT8CSsOmUVKmaA"&amp;"/edit?gid=1761053510"",
          ""Haris_Form responses 1!$AQ:$AQ"")=4)
      ),
      1
    ),
    ""0""
  ),
  ""Form not found""
)
"),"Form not found")</f>
        <v>Form not found</v>
      </c>
      <c r="P296" s="247" t="str">
        <f>IFERROR(__xludf.DUMMYFUNCTION("IFERROR(
  INDEX(
    FILTER(
      Transcription!$AJ:$AJ,
      TRIM(CLEAN(TEXT(Transcription!$F:$F, ""@""))) = TRIM(CLEAN(TEXT($D296, ""@""))),
      Transcription!$AO:$AO = 4
    ),
    1
  ),
  ""Not Found""
)
"),"Not Found")</f>
        <v>Not Found</v>
      </c>
      <c r="Q2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TRIM(CLEAN(TEXT($D296, ""@""))),
      IMPORTRANGE(""https://docs.google.com/spreadsheets/d/1DccNxjBgurEr0ABkI_"&amp;"rBagJT5phB5HaHG5N_mTm_BiA/edit?gid=1382299152#gid=1382299152"", ""Form responses 1!$Z:$Z"") = 5
    ),
    1
  ),
  ""Not Found""
)
"),"Not Found")</f>
        <v>Not Found</v>
      </c>
      <c r="R2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1!$E:$E"")=$D296) *
        (IMPORTRANGE(""https://docs.google.com/spreadsheets/d/161aHT6vVT3SLneTKD19N5qVWtnj_jIT8CSsOmUVKmaA"&amp;"/edit?gid=1761053510"",
          ""Haris_Form responses 1!$AQ:$AQ"")=5)
      ),
      1
    ),
    ""0""
  ),
  ""Form not found""
)
"),"Form not found")</f>
        <v>Form not found</v>
      </c>
      <c r="S296" s="247" t="str">
        <f>IFERROR(__xludf.DUMMYFUNCTION("IFERROR(
  INDEX(
    FILTER(
      Transcription!$AJ:$AJ,
      TRIM(CLEAN(TEXT(Transcription!$F:$F, ""@""))) = TRIM(CLEAN(TEXT($D296, ""@""))),
      Transcription!$AO:$AO = 5
    ),
    1
  ),
  ""Not Found""
)
"),"Not Found")</f>
        <v>Not Found</v>
      </c>
      <c r="T29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TRIM(CLEAN(TEXT($D296, ""@""))),
      IMPORTRANGE(""https://docs.google.com/spreadsheets/d/1DccNxjBgurEr0ABkI_"&amp;"rBagJT5phB5HaHG5N_mTm_BiA/edit?gid=1382299152#gid=1382299152"", ""Form responses 1!$Z:$Z"") = 6
    ),
    1
  ),
  ""Not Found""
)
"),"Not Found")</f>
        <v>Not Found</v>
      </c>
      <c r="U29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1!$E:$E"")=$D296) *
        (IMPORTRANGE(""https://docs.google.com/spreadsheets/d/161aHT6vVT3SLneTKD19N5qVWtnj_jIT8CSsOmUVKmaA"&amp;"/edit?gid=1761053510"",
          ""Haris_Form responses 1!$AQ:$AQ"")=6)
      ),
      1
    ),
    ""0""
  ),
  ""Form not found""
)
"),"Form not found")</f>
        <v>Form not found</v>
      </c>
      <c r="V296" s="247" t="str">
        <f>IFERROR(__xludf.DUMMYFUNCTION("IFERROR(
  INDEX(
    FILTER(
      Transcription!$AJ:$AJ,
      TRIM(CLEAN(TEXT(Transcription!$F:$F, ""@""))) = TRIM(CLEAN(TEXT($D296, ""@""))),
      Transcription!$AO:$AO = 6
    ),
    1
  ),
  ""Not Found""
)
"),"Not Found")</f>
        <v>Not Found</v>
      </c>
      <c r="AA296" s="10">
        <f t="shared" si="2"/>
        <v>-3</v>
      </c>
    </row>
    <row r="297">
      <c r="A297" s="8" t="str">
        <f>VLOOKUP($D297,Sheet6!$B:$G,5,FALSE)</f>
        <v>Rawalpindi</v>
      </c>
      <c r="B297" s="232" t="str">
        <f>VLOOKUP($D297,Sheet6!$B:$G,4,FALSE)</f>
        <v>Community Secular No Info Share</v>
      </c>
      <c r="C297" s="8">
        <v>3.0</v>
      </c>
      <c r="D297" s="8" t="s">
        <v>4706</v>
      </c>
      <c r="E2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TRIM(CLEAN(TEXT($D297, ""@""))),
      IMPORTRANGE(""https://docs.google.com/spreadsheets/d/1DccNxjBgurEr0ABkI_"&amp;"rBagJT5phB5HaHG5N_mTm_BiA/edit?gid=1382299152#gid=1382299152"", ""Form responses 1!$Z:$Z"") = 1
    ),
    1
  ),
  ""Not Found""
)
"),"Not Found")</f>
        <v>Not Found</v>
      </c>
      <c r="F2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1!$E:$E"")=$D297) *
        (IMPORTRANGE(""https://docs.google.com/spreadsheets/d/161aHT6vVT3SLneTKD19N5qVWtnj_jIT8CSsOmUVKmaA"&amp;"/edit?gid=1761053510"",
          ""Haris_Form responses 1!$AQ:$AQ"")=1)
      ),
      1
    ),
    ""0""
  ),
  ""Form not found""
)
"),"Form not found")</f>
        <v>Form not found</v>
      </c>
      <c r="G297" s="247" t="str">
        <f>IFERROR(__xludf.DUMMYFUNCTION("IFERROR(
  INDEX(
    FILTER(
      Transcription!$AJ:$AJ,
      TRIM(CLEAN(TEXT(Transcription!$F:$F, ""@""))) = TRIM(CLEAN(TEXT($D297, ""@""))),
      Transcription!$AO:$AO = 1
    ),
    1
  ),
  ""Not Found""
)
"),"Not Found")</f>
        <v>Not Found</v>
      </c>
      <c r="H29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TRIM(CLEAN(TEXT($D297, ""@""))),
      IMPORTRANGE(""https://docs.google.com/spreadsheets/d/1DccNxjBgurEr0ABkI_"&amp;"rBagJT5phB5HaHG5N_mTm_BiA/edit?gid=1382299152#gid=1382299152"", ""Form responses 1!$Z:$Z"") = 2
    ),
    1
  ),
  ""Not Found""
)
"),"https://drive.google.com/open?id=1KjcvlgCaIPTFHA2lvvJhFuOmmN_5c8yX")</f>
        <v>https://drive.google.com/open?id=1KjcvlgCaIPTFHA2lvvJhFuOmmN_5c8yX</v>
      </c>
      <c r="I2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1!$E:$E"")=$D297) *
        (IMPORTRANGE(""https://docs.google.com/spreadsheets/d/161aHT6vVT3SLneTKD19N5qVWtnj_jIT8CSsOmUVKmaA"&amp;"/edit?gid=1761053510"",
          ""Haris_Form responses 1!$AQ:$AQ"")=2)
      ),
      1
    ),
    ""0""
  ),
  ""Form not found""
)
"),"2")</f>
        <v>2</v>
      </c>
      <c r="J297" s="245" t="str">
        <f>IFERROR(__xludf.DUMMYFUNCTION("IFERROR(
  INDEX(
    FILTER(
      Transcription!$AJ:$AJ,
      TRIM(CLEAN(TEXT(Transcription!$F:$F, ""@""))) = TRIM(CLEAN(TEXT($D297, ""@""))),
      Transcription!$AO:$AO = 2
    ),
    1
  ),
  ""Not Found""
)
"),"https://drive.google.com/open?id=1mVxqMPzDyLsQlnuR2QcqTFAVEgo2OWDeYjTnjlNdEew")</f>
        <v>https://drive.google.com/open?id=1mVxqMPzDyLsQlnuR2QcqTFAVEgo2OWDeYjTnjlNdEew</v>
      </c>
      <c r="K2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TRIM(CLEAN(TEXT($D297, ""@""))),
      IMPORTRANGE(""https://docs.google.com/spreadsheets/d/1DccNxjBgurEr0ABkI_"&amp;"rBagJT5phB5HaHG5N_mTm_BiA/edit?gid=1382299152#gid=1382299152"", ""Form responses 1!$Z:$Z"") = 3
    ),
    1
  ),
  ""Not Found""
)
"),"Not Found")</f>
        <v>Not Found</v>
      </c>
      <c r="L2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1!$E:$E"")=$D297) *
        (IMPORTRANGE(""https://docs.google.com/spreadsheets/d/161aHT6vVT3SLneTKD19N5qVWtnj_jIT8CSsOmUVKmaA"&amp;"/edit?gid=1761053510"",
          ""Haris_Form responses 1!$AQ:$AQ"")=3)
      ),
      1
    ),
    ""0""
  ),
  ""Form not found""
)
"),"Form not found")</f>
        <v>Form not found</v>
      </c>
      <c r="M297" s="247" t="str">
        <f>IFERROR(__xludf.DUMMYFUNCTION("IFERROR(
  INDEX(
    FILTER(
      Transcription!$AJ:$AJ,
      TRIM(CLEAN(TEXT(Transcription!$F:$F, ""@""))) = TRIM(CLEAN(TEXT($D297, ""@""))),
      Transcription!$AO:$AO = 3
    ),
    1
  ),
  ""Not Found""
)
"),"Not Found")</f>
        <v>Not Found</v>
      </c>
      <c r="N29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TRIM(CLEAN(TEXT($D297, ""@""))),
      IMPORTRANGE(""https://docs.google.com/spreadsheets/d/1DccNxjBgurEr0ABkI_"&amp;"rBagJT5phB5HaHG5N_mTm_BiA/edit?gid=1382299152#gid=1382299152"", ""Form responses 1!$Z:$Z"") = 4
    ),
    1
  ),
  ""Not Found""
)
"),"Not Found")</f>
        <v>Not Found</v>
      </c>
      <c r="O2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1!$E:$E"")=$D297) *
        (IMPORTRANGE(""https://docs.google.com/spreadsheets/d/161aHT6vVT3SLneTKD19N5qVWtnj_jIT8CSsOmUVKmaA"&amp;"/edit?gid=1761053510"",
          ""Haris_Form responses 1!$AQ:$AQ"")=4)
      ),
      1
    ),
    ""0""
  ),
  ""Form not found""
)
"),"Form not found")</f>
        <v>Form not found</v>
      </c>
      <c r="P297" s="247" t="str">
        <f>IFERROR(__xludf.DUMMYFUNCTION("IFERROR(
  INDEX(
    FILTER(
      Transcription!$AJ:$AJ,
      TRIM(CLEAN(TEXT(Transcription!$F:$F, ""@""))) = TRIM(CLEAN(TEXT($D297, ""@""))),
      Transcription!$AO:$AO = 4
    ),
    1
  ),
  ""Not Found""
)
"),"Not Found")</f>
        <v>Not Found</v>
      </c>
      <c r="Q29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TRIM(CLEAN(TEXT($D297, ""@""))),
      IMPORTRANGE(""https://docs.google.com/spreadsheets/d/1DccNxjBgurEr0ABkI_"&amp;"rBagJT5phB5HaHG5N_mTm_BiA/edit?gid=1382299152#gid=1382299152"", ""Form responses 1!$Z:$Z"") = 5
    ),
    1
  ),
  ""Not Found""
)
"),"https://drive.google.com/open?id=17jv7_20CoICMJkmaPWKKneIq6ZbhUZdi")</f>
        <v>https://drive.google.com/open?id=17jv7_20CoICMJkmaPWKKneIq6ZbhUZdi</v>
      </c>
      <c r="R2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1!$E:$E"")=$D297) *
        (IMPORTRANGE(""https://docs.google.com/spreadsheets/d/161aHT6vVT3SLneTKD19N5qVWtnj_jIT8CSsOmUVKmaA"&amp;"/edit?gid=1761053510"",
          ""Haris_Form responses 1!$AQ:$AQ"")=5)
      ),
      1
    ),
    ""0""
  ),
  ""Form not found""
)
"),"5")</f>
        <v>5</v>
      </c>
      <c r="S297" s="245" t="str">
        <f>IFERROR(__xludf.DUMMYFUNCTION("IFERROR(
  INDEX(
    FILTER(
      Transcription!$AJ:$AJ,
      TRIM(CLEAN(TEXT(Transcription!$F:$F, ""@""))) = TRIM(CLEAN(TEXT($D297, ""@""))),
      Transcription!$AO:$AO = 5
    ),
    1
  ),
  ""Not Found""
)
"),"https://drive.google.com/open?id=1Zeu2cBiWsAxmlVyyLM9gpq80iTS8lep-")</f>
        <v>https://drive.google.com/open?id=1Zeu2cBiWsAxmlVyyLM9gpq80iTS8lep-</v>
      </c>
      <c r="T29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TRIM(CLEAN(TEXT($D297, ""@""))),
      IMPORTRANGE(""https://docs.google.com/spreadsheets/d/1DccNxjBgurEr0ABkI_"&amp;"rBagJT5phB5HaHG5N_mTm_BiA/edit?gid=1382299152#gid=1382299152"", ""Form responses 1!$Z:$Z"") = 6
    ),
    1
  ),
  ""Not Found""
)
"),"https://drive.google.com/open?id=1kYppkRWR7lJMCRKXg-PzWpAQVNo78wkq")</f>
        <v>https://drive.google.com/open?id=1kYppkRWR7lJMCRKXg-PzWpAQVNo78wkq</v>
      </c>
      <c r="U29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1!$E:$E"")=$D297) *
        (IMPORTRANGE(""https://docs.google.com/spreadsheets/d/161aHT6vVT3SLneTKD19N5qVWtnj_jIT8CSsOmUVKmaA"&amp;"/edit?gid=1761053510"",
          ""Haris_Form responses 1!$AQ:$AQ"")=6)
      ),
      1
    ),
    ""0""
  ),
  ""Form not found""
)
"),"6")</f>
        <v>6</v>
      </c>
      <c r="V297" s="245" t="str">
        <f>IFERROR(__xludf.DUMMYFUNCTION("IFERROR(
  INDEX(
    FILTER(
      Transcription!$AJ:$AJ,
      TRIM(CLEAN(TEXT(Transcription!$F:$F, ""@""))) = TRIM(CLEAN(TEXT($D297, ""@""))),
      Transcription!$AO:$AO = 6
    ),
    1
  ),
  ""Not Found""
)
"),"https://drive.google.com/open?id=1HA0PNNDj3KREOWZlqWbhcFLmXdq2KN20")</f>
        <v>https://drive.google.com/open?id=1HA0PNNDj3KREOWZlqWbhcFLmXdq2KN20</v>
      </c>
      <c r="AA297" s="10">
        <f t="shared" si="2"/>
        <v>-3</v>
      </c>
    </row>
    <row r="298">
      <c r="A298" s="8" t="str">
        <f>VLOOKUP($D298,Sheet6!$B:$G,5,FALSE)</f>
        <v>Rawalpindi</v>
      </c>
      <c r="B298" s="232" t="str">
        <f>VLOOKUP($D298,Sheet6!$B:$G,4,FALSE)</f>
        <v>Control</v>
      </c>
      <c r="C298" s="8">
        <v>2.0</v>
      </c>
      <c r="D298" s="8" t="s">
        <v>4707</v>
      </c>
      <c r="E29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TRIM(CLEAN(TEXT($D298, ""@""))),
      IMPORTRANGE(""https://docs.google.com/spreadsheets/d/1DccNxjBgurEr0ABkI_"&amp;"rBagJT5phB5HaHG5N_mTm_BiA/edit?gid=1382299152#gid=1382299152"", ""Form responses 1!$Z:$Z"") = 1
    ),
    1
  ),
  ""Not Found""
)
"),"https://drive.google.com/file/d/1EKX5M69jJ9ExSE2b0Xae4e1Ku1jNZwsZ/view?usp=drive_link")</f>
        <v>https://drive.google.com/file/d/1EKX5M69jJ9ExSE2b0Xae4e1Ku1jNZwsZ/view?usp=drive_link</v>
      </c>
      <c r="F2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1!$E:$E"")=$D298) *
        (IMPORTRANGE(""https://docs.google.com/spreadsheets/d/161aHT6vVT3SLneTKD19N5qVWtnj_jIT8CSsOmUVKmaA"&amp;"/edit?gid=1761053510"",
          ""Haris_Form responses 1!$AQ:$AQ"")=1)
      ),
      1
    ),
    ""0""
  ),
  ""Form not found""
)
"),"1")</f>
        <v>1</v>
      </c>
      <c r="G298" s="245" t="str">
        <f>IFERROR(__xludf.DUMMYFUNCTION("IFERROR(
  INDEX(
    FILTER(
      Transcription!$AJ:$AJ,
      TRIM(CLEAN(TEXT(Transcription!$F:$F, ""@""))) = TRIM(CLEAN(TEXT($D298, ""@""))),
      Transcription!$AO:$AO = 1
    ),
    1
  ),
  ""Not Found""
)
"),"https://drive.google.com/open?id=1f3wwA2BjfYfcGw3oyrNr0dhiV4HAu4zK")</f>
        <v>https://drive.google.com/open?id=1f3wwA2BjfYfcGw3oyrNr0dhiV4HAu4zK</v>
      </c>
      <c r="H2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TRIM(CLEAN(TEXT($D298, ""@""))),
      IMPORTRANGE(""https://docs.google.com/spreadsheets/d/1DccNxjBgurEr0ABkI_"&amp;"rBagJT5phB5HaHG5N_mTm_BiA/edit?gid=1382299152#gid=1382299152"", ""Form responses 1!$Z:$Z"") = 2
    ),
    1
  ),
  ""Not Found""
)
"),"")</f>
        <v/>
      </c>
      <c r="I2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1!$E:$E"")=$D298) *
        (IMPORTRANGE(""https://docs.google.com/spreadsheets/d/161aHT6vVT3SLneTKD19N5qVWtnj_jIT8CSsOmUVKmaA"&amp;"/edit?gid=1761053510"",
          ""Haris_Form responses 1!$AQ:$AQ"")=2)
      ),
      1
    ),
    ""0""
  ),
  ""Form not found""
)
"),"Form not found")</f>
        <v>Form not found</v>
      </c>
      <c r="J298" s="247" t="str">
        <f>IFERROR(__xludf.DUMMYFUNCTION("IFERROR(
  INDEX(
    FILTER(
      Transcription!$AJ:$AJ,
      TRIM(CLEAN(TEXT(Transcription!$F:$F, ""@""))) = TRIM(CLEAN(TEXT($D298, ""@""))),
      Transcription!$AO:$AO = 2
    ),
    1
  ),
  ""Not Found""
)
"),"Not Found")</f>
        <v>Not Found</v>
      </c>
      <c r="K29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TRIM(CLEAN(TEXT($D298, ""@""))),
      IMPORTRANGE(""https://docs.google.com/spreadsheets/d/1DccNxjBgurEr0ABkI_"&amp;"rBagJT5phB5HaHG5N_mTm_BiA/edit?gid=1382299152#gid=1382299152"", ""Form responses 1!$Z:$Z"") = 3
    ),
    1
  ),
  ""Not Found""
)
"),"https://drive.google.com/open?id=1ANmPf84hlKdrk0akGA91901vOx5rpqb1")</f>
        <v>https://drive.google.com/open?id=1ANmPf84hlKdrk0akGA91901vOx5rpqb1</v>
      </c>
      <c r="L2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1!$E:$E"")=$D298) *
        (IMPORTRANGE(""https://docs.google.com/spreadsheets/d/161aHT6vVT3SLneTKD19N5qVWtnj_jIT8CSsOmUVKmaA"&amp;"/edit?gid=1761053510"",
          ""Haris_Form responses 1!$AQ:$AQ"")=3)
      ),
      1
    ),
    ""0""
  ),
  ""Form not found""
)
"),"3")</f>
        <v>3</v>
      </c>
      <c r="M298" s="245" t="str">
        <f>IFERROR(__xludf.DUMMYFUNCTION("IFERROR(
  INDEX(
    FILTER(
      Transcription!$AJ:$AJ,
      TRIM(CLEAN(TEXT(Transcription!$F:$F, ""@""))) = TRIM(CLEAN(TEXT($D298, ""@""))),
      Transcription!$AO:$AO = 3
    ),
    1
  ),
  ""Not Found""
)
"),"https://drive.google.com/open?id=1yzuBW1C6AVTwLZ__DFSnEzMcguzYuU-oWxtnH_TD8gU")</f>
        <v>https://drive.google.com/open?id=1yzuBW1C6AVTwLZ__DFSnEzMcguzYuU-oWxtnH_TD8gU</v>
      </c>
      <c r="N2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TRIM(CLEAN(TEXT($D298, ""@""))),
      IMPORTRANGE(""https://docs.google.com/spreadsheets/d/1DccNxjBgurEr0ABkI_"&amp;"rBagJT5phB5HaHG5N_mTm_BiA/edit?gid=1382299152#gid=1382299152"", ""Form responses 1!$Z:$Z"") = 4
    ),
    1
  ),
  ""Not Found""
)
"),"Not Found")</f>
        <v>Not Found</v>
      </c>
      <c r="O2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1!$E:$E"")=$D298) *
        (IMPORTRANGE(""https://docs.google.com/spreadsheets/d/161aHT6vVT3SLneTKD19N5qVWtnj_jIT8CSsOmUVKmaA"&amp;"/edit?gid=1761053510"",
          ""Haris_Form responses 1!$AQ:$AQ"")=4)
      ),
      1
    ),
    ""0""
  ),
  ""Form not found""
)
"),"Form not found")</f>
        <v>Form not found</v>
      </c>
      <c r="P298" s="247" t="str">
        <f>IFERROR(__xludf.DUMMYFUNCTION("IFERROR(
  INDEX(
    FILTER(
      Transcription!$AJ:$AJ,
      TRIM(CLEAN(TEXT(Transcription!$F:$F, ""@""))) = TRIM(CLEAN(TEXT($D298, ""@""))),
      Transcription!$AO:$AO = 4
    ),
    1
  ),
  ""Not Found""
)
"),"Not Found")</f>
        <v>Not Found</v>
      </c>
      <c r="Q2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TRIM(CLEAN(TEXT($D298, ""@""))),
      IMPORTRANGE(""https://docs.google.com/spreadsheets/d/1DccNxjBgurEr0ABkI_"&amp;"rBagJT5phB5HaHG5N_mTm_BiA/edit?gid=1382299152#gid=1382299152"", ""Form responses 1!$Z:$Z"") = 5
    ),
    1
  ),
  ""Not Found""
)
"),"Not Found")</f>
        <v>Not Found</v>
      </c>
      <c r="R2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1!$E:$E"")=$D298) *
        (IMPORTRANGE(""https://docs.google.com/spreadsheets/d/161aHT6vVT3SLneTKD19N5qVWtnj_jIT8CSsOmUVKmaA"&amp;"/edit?gid=1761053510"",
          ""Haris_Form responses 1!$AQ:$AQ"")=5)
      ),
      1
    ),
    ""0""
  ),
  ""Form not found""
)
"),"Form not found")</f>
        <v>Form not found</v>
      </c>
      <c r="S298" s="247" t="str">
        <f>IFERROR(__xludf.DUMMYFUNCTION("IFERROR(
  INDEX(
    FILTER(
      Transcription!$AJ:$AJ,
      TRIM(CLEAN(TEXT(Transcription!$F:$F, ""@""))) = TRIM(CLEAN(TEXT($D298, ""@""))),
      Transcription!$AO:$AO = 5
    ),
    1
  ),
  ""Not Found""
)
"),"Not Found")</f>
        <v>Not Found</v>
      </c>
      <c r="T29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TRIM(CLEAN(TEXT($D298, ""@""))),
      IMPORTRANGE(""https://docs.google.com/spreadsheets/d/1DccNxjBgurEr0ABkI_"&amp;"rBagJT5phB5HaHG5N_mTm_BiA/edit?gid=1382299152#gid=1382299152"", ""Form responses 1!$Z:$Z"") = 6
    ),
    1
  ),
  ""Not Found""
)
"),"Not Found")</f>
        <v>Not Found</v>
      </c>
      <c r="U29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1!$E:$E"")=$D298) *
        (IMPORTRANGE(""https://docs.google.com/spreadsheets/d/161aHT6vVT3SLneTKD19N5qVWtnj_jIT8CSsOmUVKmaA"&amp;"/edit?gid=1761053510"",
          ""Haris_Form responses 1!$AQ:$AQ"")=6)
      ),
      1
    ),
    ""0""
  ),
  ""Form not found""
)
"),"Form not found")</f>
        <v>Form not found</v>
      </c>
      <c r="V298" s="247" t="str">
        <f>IFERROR(__xludf.DUMMYFUNCTION("IFERROR(
  INDEX(
    FILTER(
      Transcription!$AJ:$AJ,
      TRIM(CLEAN(TEXT(Transcription!$F:$F, ""@""))) = TRIM(CLEAN(TEXT($D298, ""@""))),
      Transcription!$AO:$AO = 6
    ),
    1
  ),
  ""Not Found""
)
"),"Not Found")</f>
        <v>Not Found</v>
      </c>
      <c r="AA298" s="10">
        <f t="shared" si="2"/>
        <v>-2</v>
      </c>
    </row>
    <row r="299">
      <c r="A299" s="8" t="str">
        <f>VLOOKUP($D299,Sheet6!$B:$G,5,FALSE)</f>
        <v>Rawalpindi</v>
      </c>
      <c r="B299" s="232" t="str">
        <f>VLOOKUP($D299,Sheet6!$B:$G,4,FALSE)</f>
        <v>Women Religious No Info Share</v>
      </c>
      <c r="C299" s="8">
        <v>3.0</v>
      </c>
      <c r="D299" s="8" t="s">
        <v>4708</v>
      </c>
      <c r="E2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TRIM(CLEAN(TEXT($D299, ""@""))),
      IMPORTRANGE(""https://docs.google.com/spreadsheets/d/1DccNxjBgurEr0ABkI_"&amp;"rBagJT5phB5HaHG5N_mTm_BiA/edit?gid=1382299152#gid=1382299152"", ""Form responses 1!$Z:$Z"") = 1
    ),
    1
  ),
  ""Not Found""
)
"),"Not Found")</f>
        <v>Not Found</v>
      </c>
      <c r="F2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1!$E:$E"")=$D299) *
        (IMPORTRANGE(""https://docs.google.com/spreadsheets/d/161aHT6vVT3SLneTKD19N5qVWtnj_jIT8CSsOmUVKmaA"&amp;"/edit?gid=1761053510"",
          ""Haris_Form responses 1!$AQ:$AQ"")=1)
      ),
      1
    ),
    ""0""
  ),
  ""Form not found""
)
"),"Form not found")</f>
        <v>Form not found</v>
      </c>
      <c r="G299" s="247" t="str">
        <f>IFERROR(__xludf.DUMMYFUNCTION("IFERROR(
  INDEX(
    FILTER(
      Transcription!$AJ:$AJ,
      TRIM(CLEAN(TEXT(Transcription!$F:$F, ""@""))) = TRIM(CLEAN(TEXT($D299, ""@""))),
      Transcription!$AO:$AO = 1
    ),
    1
  ),
  ""Not Found""
)
"),"Not Found")</f>
        <v>Not Found</v>
      </c>
      <c r="H29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TRIM(CLEAN(TEXT($D299, ""@""))),
      IMPORTRANGE(""https://docs.google.com/spreadsheets/d/1DccNxjBgurEr0ABkI_"&amp;"rBagJT5phB5HaHG5N_mTm_BiA/edit?gid=1382299152#gid=1382299152"", ""Form responses 1!$Z:$Z"") = 2
    ),
    1
  ),
  ""Not Found""
)
"),"https://drive.google.com/open?id=1J6fG3gIRmm3qCl6AvqptOmI5AWMGQobI")</f>
        <v>https://drive.google.com/open?id=1J6fG3gIRmm3qCl6AvqptOmI5AWMGQobI</v>
      </c>
      <c r="I2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1!$E:$E"")=$D299) *
        (IMPORTRANGE(""https://docs.google.com/spreadsheets/d/161aHT6vVT3SLneTKD19N5qVWtnj_jIT8CSsOmUVKmaA"&amp;"/edit?gid=1761053510"",
          ""Haris_Form responses 1!$AQ:$AQ"")=2)
      ),
      1
    ),
    ""0""
  ),
  ""Form not found""
)
"),"2")</f>
        <v>2</v>
      </c>
      <c r="J299" s="245" t="str">
        <f>IFERROR(__xludf.DUMMYFUNCTION("IFERROR(
  INDEX(
    FILTER(
      Transcription!$AJ:$AJ,
      TRIM(CLEAN(TEXT(Transcription!$F:$F, ""@""))) = TRIM(CLEAN(TEXT($D299, ""@""))),
      Transcription!$AO:$AO = 2
    ),
    1
  ),
  ""Not Found""
)
"),"https://drive.google.com/open?id=158T_PouKwsI6yNzufYN8QEXoxBcH28jb")</f>
        <v>https://drive.google.com/open?id=158T_PouKwsI6yNzufYN8QEXoxBcH28jb</v>
      </c>
      <c r="K29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TRIM(CLEAN(TEXT($D299, ""@""))),
      IMPORTRANGE(""https://docs.google.com/spreadsheets/d/1DccNxjBgurEr0ABkI_"&amp;"rBagJT5phB5HaHG5N_mTm_BiA/edit?gid=1382299152#gid=1382299152"", ""Form responses 1!$Z:$Z"") = 3
    ),
    1
  ),
  ""Not Found""
)
"),"https://drive.google.com/open?id=1_Ryykao8pERo_wYqli_47VZ9YG-6ado4")</f>
        <v>https://drive.google.com/open?id=1_Ryykao8pERo_wYqli_47VZ9YG-6ado4</v>
      </c>
      <c r="L2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1!$E:$E"")=$D299) *
        (IMPORTRANGE(""https://docs.google.com/spreadsheets/d/161aHT6vVT3SLneTKD19N5qVWtnj_jIT8CSsOmUVKmaA"&amp;"/edit?gid=1761053510"",
          ""Haris_Form responses 1!$AQ:$AQ"")=3)
      ),
      1
    ),
    ""0""
  ),
  ""Form not found""
)
"),"3")</f>
        <v>3</v>
      </c>
      <c r="M299" s="245" t="str">
        <f>IFERROR(__xludf.DUMMYFUNCTION("IFERROR(
  INDEX(
    FILTER(
      Transcription!$AJ:$AJ,
      TRIM(CLEAN(TEXT(Transcription!$F:$F, ""@""))) = TRIM(CLEAN(TEXT($D299, ""@""))),
      Transcription!$AO:$AO = 3
    ),
    1
  ),
  ""Not Found""
)
"),"https://drive.google.com/open?id=1Oqz43hEilaoNzpoPYiudDrVw0OQdgb7I")</f>
        <v>https://drive.google.com/open?id=1Oqz43hEilaoNzpoPYiudDrVw0OQdgb7I</v>
      </c>
      <c r="N29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TRIM(CLEAN(TEXT($D299, ""@""))),
      IMPORTRANGE(""https://docs.google.com/spreadsheets/d/1DccNxjBgurEr0ABkI_"&amp;"rBagJT5phB5HaHG5N_mTm_BiA/edit?gid=1382299152#gid=1382299152"", ""Form responses 1!$Z:$Z"") = 4
    ),
    1
  ),
  ""Not Found""
)
"),"https://drive.google.com/open?id=1oK5t-VQ1Q_zGT0rq6XThVHtb5Zz0utJt")</f>
        <v>https://drive.google.com/open?id=1oK5t-VQ1Q_zGT0rq6XThVHtb5Zz0utJt</v>
      </c>
      <c r="O2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1!$E:$E"")=$D299) *
        (IMPORTRANGE(""https://docs.google.com/spreadsheets/d/161aHT6vVT3SLneTKD19N5qVWtnj_jIT8CSsOmUVKmaA"&amp;"/edit?gid=1761053510"",
          ""Haris_Form responses 1!$AQ:$AQ"")=4)
      ),
      1
    ),
    ""0""
  ),
  ""Form not found""
)
"),"4")</f>
        <v>4</v>
      </c>
      <c r="P299" s="245" t="str">
        <f>IFERROR(__xludf.DUMMYFUNCTION("IFERROR(
  INDEX(
    FILTER(
      Transcription!$AJ:$AJ,
      TRIM(CLEAN(TEXT(Transcription!$F:$F, ""@""))) = TRIM(CLEAN(TEXT($D299, ""@""))),
      Transcription!$AO:$AO = 4
    ),
    1
  ),
  ""Not Found""
)
"),"https://drive.google.com/open?id=1Fk79r0FI-GPRGx70W2ZQmpzRTaWw5B8j")</f>
        <v>https://drive.google.com/open?id=1Fk79r0FI-GPRGx70W2ZQmpzRTaWw5B8j</v>
      </c>
      <c r="Q2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TRIM(CLEAN(TEXT($D299, ""@""))),
      IMPORTRANGE(""https://docs.google.com/spreadsheets/d/1DccNxjBgurEr0ABkI_"&amp;"rBagJT5phB5HaHG5N_mTm_BiA/edit?gid=1382299152#gid=1382299152"", ""Form responses 1!$Z:$Z"") = 5
    ),
    1
  ),
  ""Not Found""
)
"),"Not Found")</f>
        <v>Not Found</v>
      </c>
      <c r="R2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1!$E:$E"")=$D299) *
        (IMPORTRANGE(""https://docs.google.com/spreadsheets/d/161aHT6vVT3SLneTKD19N5qVWtnj_jIT8CSsOmUVKmaA"&amp;"/edit?gid=1761053510"",
          ""Haris_Form responses 1!$AQ:$AQ"")=5)
      ),
      1
    ),
    ""0""
  ),
  ""Form not found""
)
"),"Form not found")</f>
        <v>Form not found</v>
      </c>
      <c r="S299" s="247" t="str">
        <f>IFERROR(__xludf.DUMMYFUNCTION("IFERROR(
  INDEX(
    FILTER(
      Transcription!$AJ:$AJ,
      TRIM(CLEAN(TEXT(Transcription!$F:$F, ""@""))) = TRIM(CLEAN(TEXT($D299, ""@""))),
      Transcription!$AO:$AO = 5
    ),
    1
  ),
  ""Not Found""
)
"),"Not Found")</f>
        <v>Not Found</v>
      </c>
      <c r="T29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TRIM(CLEAN(TEXT($D299, ""@""))),
      IMPORTRANGE(""https://docs.google.com/spreadsheets/d/1DccNxjBgurEr0ABkI_"&amp;"rBagJT5phB5HaHG5N_mTm_BiA/edit?gid=1382299152#gid=1382299152"", ""Form responses 1!$Z:$Z"") = 6
    ),
    1
  ),
  ""Not Found""
)
"),"Not Found")</f>
        <v>Not Found</v>
      </c>
      <c r="U29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1!$E:$E"")=$D299) *
        (IMPORTRANGE(""https://docs.google.com/spreadsheets/d/161aHT6vVT3SLneTKD19N5qVWtnj_jIT8CSsOmUVKmaA"&amp;"/edit?gid=1761053510"",
          ""Haris_Form responses 1!$AQ:$AQ"")=6)
      ),
      1
    ),
    ""0""
  ),
  ""Form not found""
)
"),"Form not found")</f>
        <v>Form not found</v>
      </c>
      <c r="V299" s="247" t="str">
        <f>IFERROR(__xludf.DUMMYFUNCTION("IFERROR(
  INDEX(
    FILTER(
      Transcription!$AJ:$AJ,
      TRIM(CLEAN(TEXT(Transcription!$F:$F, ""@""))) = TRIM(CLEAN(TEXT($D299, ""@""))),
      Transcription!$AO:$AO = 6
    ),
    1
  ),
  ""Not Found""
)
"),"Not Found")</f>
        <v>Not Found</v>
      </c>
      <c r="AA299" s="10">
        <f t="shared" si="2"/>
        <v>-3</v>
      </c>
    </row>
    <row r="300">
      <c r="A300" s="8" t="str">
        <f>VLOOKUP($D300,Sheet6!$B:$G,5,FALSE)</f>
        <v>Rawalpindi</v>
      </c>
      <c r="B300" s="232" t="str">
        <f>VLOOKUP($D300,Sheet6!$B:$G,4,FALSE)</f>
        <v>Community Religious Info Share</v>
      </c>
      <c r="C300" s="8">
        <v>6.0</v>
      </c>
      <c r="D300" s="8" t="s">
        <v>4709</v>
      </c>
      <c r="E3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TRIM(CLEAN(TEXT($D300, ""@""))),
      IMPORTRANGE(""https://docs.google.com/spreadsheets/d/1DccNxjBgurEr0ABkI_"&amp;"rBagJT5phB5HaHG5N_mTm_BiA/edit?gid=1382299152#gid=1382299152"", ""Form responses 1!$Z:$Z"") = 1
    ),
    1
  ),
  ""Not Found""
)
"),"https://drive.google.com/open?id=1zd06YbSxqBI3eCdFsND5qDeoQ3iKaNxp")</f>
        <v>https://drive.google.com/open?id=1zd06YbSxqBI3eCdFsND5qDeoQ3iKaNxp</v>
      </c>
      <c r="F3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1!$E:$E"")=$D300) *
        (IMPORTRANGE(""https://docs.google.com/spreadsheets/d/161aHT6vVT3SLneTKD19N5qVWtnj_jIT8CSsOmUVKmaA"&amp;"/edit?gid=1761053510"",
          ""Haris_Form responses 1!$AQ:$AQ"")=1)
      ),
      1
    ),
    ""0""
  ),
  ""Form not found""
)
"),"1")</f>
        <v>1</v>
      </c>
      <c r="G300" s="245" t="str">
        <f>IFERROR(__xludf.DUMMYFUNCTION("IFERROR(
  INDEX(
    FILTER(
      Transcription!$AJ:$AJ,
      TRIM(CLEAN(TEXT(Transcription!$F:$F, ""@""))) = TRIM(CLEAN(TEXT($D300, ""@""))),
      Transcription!$AO:$AO = 1
    ),
    1
  ),
  ""Not Found""
)
"),"https://drive.google.com/open?id=1N60Su56VCIhfeZ7KJbMbJ5AvNG34cUhxxUiCzYN1ME0")</f>
        <v>https://drive.google.com/open?id=1N60Su56VCIhfeZ7KJbMbJ5AvNG34cUhxxUiCzYN1ME0</v>
      </c>
      <c r="H3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TRIM(CLEAN(TEXT($D300, ""@""))),
      IMPORTRANGE(""https://docs.google.com/spreadsheets/d/1DccNxjBgurEr0ABkI_"&amp;"rBagJT5phB5HaHG5N_mTm_BiA/edit?gid=1382299152#gid=1382299152"", ""Form responses 1!$Z:$Z"") = 2
    ),
    1
  ),
  ""Not Found""
)
"),"https://drive.google.com/open?id=1plLqCZnzbpu7rmtmJsZyrIte0EAA7Iv0")</f>
        <v>https://drive.google.com/open?id=1plLqCZnzbpu7rmtmJsZyrIte0EAA7Iv0</v>
      </c>
      <c r="I3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1!$E:$E"")=$D300) *
        (IMPORTRANGE(""https://docs.google.com/spreadsheets/d/161aHT6vVT3SLneTKD19N5qVWtnj_jIT8CSsOmUVKmaA"&amp;"/edit?gid=1761053510"",
          ""Haris_Form responses 1!$AQ:$AQ"")=2)
      ),
      1
    ),
    ""0""
  ),
  ""Form not found""
)
"),"2")</f>
        <v>2</v>
      </c>
      <c r="J300" s="245" t="str">
        <f>IFERROR(__xludf.DUMMYFUNCTION("IFERROR(
  INDEX(
    FILTER(
      Transcription!$AJ:$AJ,
      TRIM(CLEAN(TEXT(Transcription!$F:$F, ""@""))) = TRIM(CLEAN(TEXT($D300, ""@""))),
      Transcription!$AO:$AO = 2
    ),
    1
  ),
  ""Not Found""
)
"),"https://drive.google.com/open?id=1UylD6bRYqiwDz0mOLskvOegjcFLi84rf")</f>
        <v>https://drive.google.com/open?id=1UylD6bRYqiwDz0mOLskvOegjcFLi84rf</v>
      </c>
      <c r="K3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TRIM(CLEAN(TEXT($D300, ""@""))),
      IMPORTRANGE(""https://docs.google.com/spreadsheets/d/1DccNxjBgurEr0ABkI_"&amp;"rBagJT5phB5HaHG5N_mTm_BiA/edit?gid=1382299152#gid=1382299152"", ""Form responses 1!$Z:$Z"") = 3
    ),
    1
  ),
  ""Not Found""
)
"),"https://drive.google.com/open?id=1UovsYMBHlgJKcEYwiQqIe59cGtp6hNRJ")</f>
        <v>https://drive.google.com/open?id=1UovsYMBHlgJKcEYwiQqIe59cGtp6hNRJ</v>
      </c>
      <c r="L3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1!$E:$E"")=$D300) *
        (IMPORTRANGE(""https://docs.google.com/spreadsheets/d/161aHT6vVT3SLneTKD19N5qVWtnj_jIT8CSsOmUVKmaA"&amp;"/edit?gid=1761053510"",
          ""Haris_Form responses 1!$AQ:$AQ"")=3)
      ),
      1
    ),
    ""0""
  ),
  ""Form not found""
)
"),"3")</f>
        <v>3</v>
      </c>
      <c r="M300" s="245" t="str">
        <f>IFERROR(__xludf.DUMMYFUNCTION("IFERROR(
  INDEX(
    FILTER(
      Transcription!$AJ:$AJ,
      TRIM(CLEAN(TEXT(Transcription!$F:$F, ""@""))) = TRIM(CLEAN(TEXT($D300, ""@""))),
      Transcription!$AO:$AO = 3
    ),
    1
  ),
  ""Not Found""
)
"),"https://drive.google.com/open?id=1OrtrbQSst4iahiTdzP0fhp1Dck30PwhJ")</f>
        <v>https://drive.google.com/open?id=1OrtrbQSst4iahiTdzP0fhp1Dck30PwhJ</v>
      </c>
      <c r="N3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TRIM(CLEAN(TEXT($D300, ""@""))),
      IMPORTRANGE(""https://docs.google.com/spreadsheets/d/1DccNxjBgurEr0ABkI_"&amp;"rBagJT5phB5HaHG5N_mTm_BiA/edit?gid=1382299152#gid=1382299152"", ""Form responses 1!$Z:$Z"") = 4
    ),
    1
  ),
  ""Not Found""
)
"),"https://drive.google.com/open?id=13vfFCwm-WTp61r5JWZcCc7E-tp6aQwOA")</f>
        <v>https://drive.google.com/open?id=13vfFCwm-WTp61r5JWZcCc7E-tp6aQwOA</v>
      </c>
      <c r="O3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1!$E:$E"")=$D300) *
        (IMPORTRANGE(""https://docs.google.com/spreadsheets/d/161aHT6vVT3SLneTKD19N5qVWtnj_jIT8CSsOmUVKmaA"&amp;"/edit?gid=1761053510"",
          ""Haris_Form responses 1!$AQ:$AQ"")=4)
      ),
      1
    ),
    ""0""
  ),
  ""Form not found""
)
"),"4")</f>
        <v>4</v>
      </c>
      <c r="P300" s="245" t="str">
        <f>IFERROR(__xludf.DUMMYFUNCTION("IFERROR(
  INDEX(
    FILTER(
      Transcription!$AJ:$AJ,
      TRIM(CLEAN(TEXT(Transcription!$F:$F, ""@""))) = TRIM(CLEAN(TEXT($D300, ""@""))),
      Transcription!$AO:$AO = 4
    ),
    1
  ),
  ""Not Found""
)
"),"https://drive.google.com/open?id=1a5nnTP2Y6xXBHQfnZGcRxOLvs9tmoLUG")</f>
        <v>https://drive.google.com/open?id=1a5nnTP2Y6xXBHQfnZGcRxOLvs9tmoLUG</v>
      </c>
      <c r="Q3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TRIM(CLEAN(TEXT($D300, ""@""))),
      IMPORTRANGE(""https://docs.google.com/spreadsheets/d/1DccNxjBgurEr0ABkI_"&amp;"rBagJT5phB5HaHG5N_mTm_BiA/edit?gid=1382299152#gid=1382299152"", ""Form responses 1!$Z:$Z"") = 5
    ),
    1
  ),
  ""Not Found""
)
"),"https://drive.google.com/open?id=1h7OjBdm5FxmocwRlv_xt1-4QP72Hc1D8")</f>
        <v>https://drive.google.com/open?id=1h7OjBdm5FxmocwRlv_xt1-4QP72Hc1D8</v>
      </c>
      <c r="R3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1!$E:$E"")=$D300) *
        (IMPORTRANGE(""https://docs.google.com/spreadsheets/d/161aHT6vVT3SLneTKD19N5qVWtnj_jIT8CSsOmUVKmaA"&amp;"/edit?gid=1761053510"",
          ""Haris_Form responses 1!$AQ:$AQ"")=5)
      ),
      1
    ),
    ""0""
  ),
  ""Form not found""
)
"),"5")</f>
        <v>5</v>
      </c>
      <c r="S300" s="245" t="str">
        <f>IFERROR(__xludf.DUMMYFUNCTION("IFERROR(
  INDEX(
    FILTER(
      Transcription!$AJ:$AJ,
      TRIM(CLEAN(TEXT(Transcription!$F:$F, ""@""))) = TRIM(CLEAN(TEXT($D300, ""@""))),
      Transcription!$AO:$AO = 5
    ),
    1
  ),
  ""Not Found""
)
"),"https://drive.google.com/open?id=1Vyen5zGqtQwcJ4-W1oVVtM-65N_jUrOm")</f>
        <v>https://drive.google.com/open?id=1Vyen5zGqtQwcJ4-W1oVVtM-65N_jUrOm</v>
      </c>
      <c r="T30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TRIM(CLEAN(TEXT($D300, ""@""))),
      IMPORTRANGE(""https://docs.google.com/spreadsheets/d/1DccNxjBgurEr0ABkI_"&amp;"rBagJT5phB5HaHG5N_mTm_BiA/edit?gid=1382299152#gid=1382299152"", ""Form responses 1!$Z:$Z"") = 6
    ),
    1
  ),
  ""Not Found""
)
"),"https://drive.google.com/open?id=1273k9pS3xKtAOc1NUfi3WNs-92ZKh2EH")</f>
        <v>https://drive.google.com/open?id=1273k9pS3xKtAOc1NUfi3WNs-92ZKh2EH</v>
      </c>
      <c r="U30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1!$E:$E"")=$D300) *
        (IMPORTRANGE(""https://docs.google.com/spreadsheets/d/161aHT6vVT3SLneTKD19N5qVWtnj_jIT8CSsOmUVKmaA"&amp;"/edit?gid=1761053510"",
          ""Haris_Form responses 1!$AQ:$AQ"")=6)
      ),
      1
    ),
    ""0""
  ),
  ""Form not found""
)
"),"6")</f>
        <v>6</v>
      </c>
      <c r="V300" s="245" t="str">
        <f>IFERROR(__xludf.DUMMYFUNCTION("IFERROR(
  INDEX(
    FILTER(
      Transcription!$AJ:$AJ,
      TRIM(CLEAN(TEXT(Transcription!$F:$F, ""@""))) = TRIM(CLEAN(TEXT($D300, ""@""))),
      Transcription!$AO:$AO = 6
    ),
    1
  ),
  ""Not Found""
)
"),"https://drive.google.com/open?id=1X1Pbb6eo_-5woR5KOetHDPbW3f35kxOZ")</f>
        <v>https://drive.google.com/open?id=1X1Pbb6eo_-5woR5KOetHDPbW3f35kxOZ</v>
      </c>
      <c r="AA300" s="10">
        <f t="shared" si="2"/>
        <v>-6</v>
      </c>
    </row>
    <row r="301">
      <c r="A301" s="8" t="str">
        <f>VLOOKUP($D301,Sheet6!$B:$G,5,FALSE)</f>
        <v>Rawalpindi</v>
      </c>
      <c r="B301" s="232" t="str">
        <f>VLOOKUP($D301,Sheet6!$B:$G,4,FALSE)</f>
        <v>Women Religious No Info Share</v>
      </c>
      <c r="C301" s="8">
        <v>4.0</v>
      </c>
      <c r="D301" s="8" t="s">
        <v>4710</v>
      </c>
      <c r="E30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TRIM(CLEAN(TEXT($D301, ""@""))),
      IMPORTRANGE(""https://docs.google.com/spreadsheets/d/1DccNxjBgurEr0ABkI_"&amp;"rBagJT5phB5HaHG5N_mTm_BiA/edit?gid=1382299152#gid=1382299152"", ""Form responses 1!$Z:$Z"") = 1
    ),
    1
  ),
  ""Not Found""
)
"),"Not Found")</f>
        <v>Not Found</v>
      </c>
      <c r="F3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1!$E:$E"")=$D301) *
        (IMPORTRANGE(""https://docs.google.com/spreadsheets/d/161aHT6vVT3SLneTKD19N5qVWtnj_jIT8CSsOmUVKmaA"&amp;"/edit?gid=1761053510"",
          ""Haris_Form responses 1!$AQ:$AQ"")=1)
      ),
      1
    ),
    ""0""
  ),
  ""Form not found""
)
"),"Form not found")</f>
        <v>Form not found</v>
      </c>
      <c r="G301" s="247" t="str">
        <f>IFERROR(__xludf.DUMMYFUNCTION("IFERROR(
  INDEX(
    FILTER(
      Transcription!$AJ:$AJ,
      TRIM(CLEAN(TEXT(Transcription!$F:$F, ""@""))) = TRIM(CLEAN(TEXT($D301, ""@""))),
      Transcription!$AO:$AO = 1
    ),
    1
  ),
  ""Not Found""
)
"),"Not Found")</f>
        <v>Not Found</v>
      </c>
      <c r="H3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TRIM(CLEAN(TEXT($D301, ""@""))),
      IMPORTRANGE(""https://docs.google.com/spreadsheets/d/1DccNxjBgurEr0ABkI_"&amp;"rBagJT5phB5HaHG5N_mTm_BiA/edit?gid=1382299152#gid=1382299152"", ""Form responses 1!$Z:$Z"") = 2
    ),
    1
  ),
  ""Not Found""
)
"),"https://drive.google.com/file/d/1pundOj6UUNwpdkYsbiON6VuzWr3wFvaa/view?usp=drive_link")</f>
        <v>https://drive.google.com/file/d/1pundOj6UUNwpdkYsbiON6VuzWr3wFvaa/view?usp=drive_link</v>
      </c>
      <c r="I3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1!$E:$E"")=$D301) *
        (IMPORTRANGE(""https://docs.google.com/spreadsheets/d/161aHT6vVT3SLneTKD19N5qVWtnj_jIT8CSsOmUVKmaA"&amp;"/edit?gid=1761053510"",
          ""Haris_Form responses 1!$AQ:$AQ"")=2)
      ),
      1
    ),
    ""0""
  ),
  ""Form not found""
)
"),"2")</f>
        <v>2</v>
      </c>
      <c r="J301" s="245" t="str">
        <f>IFERROR(__xludf.DUMMYFUNCTION("IFERROR(
  INDEX(
    FILTER(
      Transcription!$AJ:$AJ,
      TRIM(CLEAN(TEXT(Transcription!$F:$F, ""@""))) = TRIM(CLEAN(TEXT($D301, ""@""))),
      Transcription!$AO:$AO = 2
    ),
    1
  ),
  ""Not Found""
)
"),"https://drive.google.com/open?id=1eLO82Xzz9bCu5u7gLSB8hBcAQPB7Pin7")</f>
        <v>https://drive.google.com/open?id=1eLO82Xzz9bCu5u7gLSB8hBcAQPB7Pin7</v>
      </c>
      <c r="K3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TRIM(CLEAN(TEXT($D301, ""@""))),
      IMPORTRANGE(""https://docs.google.com/spreadsheets/d/1DccNxjBgurEr0ABkI_"&amp;"rBagJT5phB5HaHG5N_mTm_BiA/edit?gid=1382299152#gid=1382299152"", ""Form responses 1!$Z:$Z"") = 3
    ),
    1
  ),
  ""Not Found""
)
"),"https://drive.google.com/open?id=1z9HqgELKXlxHd4O5p-mOkG99utvo5B1S")</f>
        <v>https://drive.google.com/open?id=1z9HqgELKXlxHd4O5p-mOkG99utvo5B1S</v>
      </c>
      <c r="L3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1!$E:$E"")=$D301) *
        (IMPORTRANGE(""https://docs.google.com/spreadsheets/d/161aHT6vVT3SLneTKD19N5qVWtnj_jIT8CSsOmUVKmaA"&amp;"/edit?gid=1761053510"",
          ""Haris_Form responses 1!$AQ:$AQ"")=3)
      ),
      1
    ),
    ""0""
  ),
  ""Form not found""
)
"),"3")</f>
        <v>3</v>
      </c>
      <c r="M301" s="245" t="str">
        <f>IFERROR(__xludf.DUMMYFUNCTION("IFERROR(
  INDEX(
    FILTER(
      Transcription!$AJ:$AJ,
      TRIM(CLEAN(TEXT(Transcription!$F:$F, ""@""))) = TRIM(CLEAN(TEXT($D301, ""@""))),
      Transcription!$AO:$AO = 3
    ),
    1
  ),
  ""Not Found""
)
"),"https://drive.google.com/open?id=10yXmUsWJqENeLkj79Kx5uZ4lk6VPXiR5")</f>
        <v>https://drive.google.com/open?id=10yXmUsWJqENeLkj79Kx5uZ4lk6VPXiR5</v>
      </c>
      <c r="N3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TRIM(CLEAN(TEXT($D301, ""@""))),
      IMPORTRANGE(""https://docs.google.com/spreadsheets/d/1DccNxjBgurEr0ABkI_"&amp;"rBagJT5phB5HaHG5N_mTm_BiA/edit?gid=1382299152#gid=1382299152"", ""Form responses 1!$Z:$Z"") = 4
    ),
    1
  ),
  ""Not Found""
)
"),"https://drive.google.com/file/d/1ddnxGakt09V-l3IxdqXvmbUjHT1toX4S/view?usp=drive_link")</f>
        <v>https://drive.google.com/file/d/1ddnxGakt09V-l3IxdqXvmbUjHT1toX4S/view?usp=drive_link</v>
      </c>
      <c r="O3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1!$E:$E"")=$D301) *
        (IMPORTRANGE(""https://docs.google.com/spreadsheets/d/161aHT6vVT3SLneTKD19N5qVWtnj_jIT8CSsOmUVKmaA"&amp;"/edit?gid=1761053510"",
          ""Haris_Form responses 1!$AQ:$AQ"")=4)
      ),
      1
    ),
    ""0""
  ),
  ""Form not found""
)
"),"4")</f>
        <v>4</v>
      </c>
      <c r="P301" s="245" t="str">
        <f>IFERROR(__xludf.DUMMYFUNCTION("IFERROR(
  INDEX(
    FILTER(
      Transcription!$AJ:$AJ,
      TRIM(CLEAN(TEXT(Transcription!$F:$F, ""@""))) = TRIM(CLEAN(TEXT($D301, ""@""))),
      Transcription!$AO:$AO = 4
    ),
    1
  ),
  ""Not Found""
)
"),"https://drive.google.com/open?id=1HQ-97wgduLPuFSFySDuLXkbXfA0iWgQ9")</f>
        <v>https://drive.google.com/open?id=1HQ-97wgduLPuFSFySDuLXkbXfA0iWgQ9</v>
      </c>
      <c r="Q30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TRIM(CLEAN(TEXT($D301, ""@""))),
      IMPORTRANGE(""https://docs.google.com/spreadsheets/d/1DccNxjBgurEr0ABkI_"&amp;"rBagJT5phB5HaHG5N_mTm_BiA/edit?gid=1382299152#gid=1382299152"", ""Form responses 1!$Z:$Z"") = 5
    ),
    1
  ),
  ""Not Found""
)
"),"Not Found")</f>
        <v>Not Found</v>
      </c>
      <c r="R3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1!$E:$E"")=$D301) *
        (IMPORTRANGE(""https://docs.google.com/spreadsheets/d/161aHT6vVT3SLneTKD19N5qVWtnj_jIT8CSsOmUVKmaA"&amp;"/edit?gid=1761053510"",
          ""Haris_Form responses 1!$AQ:$AQ"")=5)
      ),
      1
    ),
    ""0""
  ),
  ""Form not found""
)
"),"Form not found")</f>
        <v>Form not found</v>
      </c>
      <c r="S301" s="247" t="str">
        <f>IFERROR(__xludf.DUMMYFUNCTION("IFERROR(
  INDEX(
    FILTER(
      Transcription!$AJ:$AJ,
      TRIM(CLEAN(TEXT(Transcription!$F:$F, ""@""))) = TRIM(CLEAN(TEXT($D301, ""@""))),
      Transcription!$AO:$AO = 5
    ),
    1
  ),
  ""Not Found""
)
"),"Not Found")</f>
        <v>Not Found</v>
      </c>
      <c r="T30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TRIM(CLEAN(TEXT($D301, ""@""))),
      IMPORTRANGE(""https://docs.google.com/spreadsheets/d/1DccNxjBgurEr0ABkI_"&amp;"rBagJT5phB5HaHG5N_mTm_BiA/edit?gid=1382299152#gid=1382299152"", ""Form responses 1!$Z:$Z"") = 6
    ),
    1
  ),
  ""Not Found""
)
"),"https://drive.google.com/file/d/1w49sOIEXV4E7pH-LzM_O6-IrDywqJ5Ve/view?usp=drive_link")</f>
        <v>https://drive.google.com/file/d/1w49sOIEXV4E7pH-LzM_O6-IrDywqJ5Ve/view?usp=drive_link</v>
      </c>
      <c r="U30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1!$E:$E"")=$D301) *
        (IMPORTRANGE(""https://docs.google.com/spreadsheets/d/161aHT6vVT3SLneTKD19N5qVWtnj_jIT8CSsOmUVKmaA"&amp;"/edit?gid=1761053510"",
          ""Haris_Form responses 1!$AQ:$AQ"")=6)
      ),
      1
    ),
    ""0""
  ),
  ""Form not found""
)
"),"6")</f>
        <v>6</v>
      </c>
      <c r="V301" s="245" t="str">
        <f>IFERROR(__xludf.DUMMYFUNCTION("IFERROR(
  INDEX(
    FILTER(
      Transcription!$AJ:$AJ,
      TRIM(CLEAN(TEXT(Transcription!$F:$F, ""@""))) = TRIM(CLEAN(TEXT($D301, ""@""))),
      Transcription!$AO:$AO = 6
    ),
    1
  ),
  ""Not Found""
)
"),"https://drive.google.com/open?id=13lD4WOlcy5lNHJXCVtwZas6zgH1EbRfM")</f>
        <v>https://drive.google.com/open?id=13lD4WOlcy5lNHJXCVtwZas6zgH1EbRfM</v>
      </c>
      <c r="AA301" s="10">
        <f t="shared" si="2"/>
        <v>-4</v>
      </c>
    </row>
    <row r="302">
      <c r="A302" s="8" t="str">
        <f>VLOOKUP($D302,Sheet6!$B:$G,5,FALSE)</f>
        <v>Rawalpindi</v>
      </c>
      <c r="B302" s="232" t="str">
        <f>VLOOKUP($D302,Sheet6!$B:$G,4,FALSE)</f>
        <v>Women Secular Info Share</v>
      </c>
      <c r="C302" s="8">
        <v>3.0</v>
      </c>
      <c r="D302" s="8" t="s">
        <v>4711</v>
      </c>
      <c r="E30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TRIM(CLEAN(TEXT($D302, ""@""))),
      IMPORTRANGE(""https://docs.google.com/spreadsheets/d/1DccNxjBgurEr0ABkI_"&amp;"rBagJT5phB5HaHG5N_mTm_BiA/edit?gid=1382299152#gid=1382299152"", ""Form responses 1!$Z:$Z"") = 1
    ),
    1
  ),
  ""Not Found""
)
"),"https://drive.google.com/open?id=1AKQCC3NS3Af9fxS3kC4RpkUFAuRrbIEm")</f>
        <v>https://drive.google.com/open?id=1AKQCC3NS3Af9fxS3kC4RpkUFAuRrbIEm</v>
      </c>
      <c r="F3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1!$E:$E"")=$D302) *
        (IMPORTRANGE(""https://docs.google.com/spreadsheets/d/161aHT6vVT3SLneTKD19N5qVWtnj_jIT8CSsOmUVKmaA"&amp;"/edit?gid=1761053510"",
          ""Haris_Form responses 1!$AQ:$AQ"")=1)
      ),
      1
    ),
    ""0""
  ),
  ""Form not found""
)
"),"1")</f>
        <v>1</v>
      </c>
      <c r="G302" s="245" t="str">
        <f>IFERROR(__xludf.DUMMYFUNCTION("IFERROR(
  INDEX(
    FILTER(
      Transcription!$AJ:$AJ,
      TRIM(CLEAN(TEXT(Transcription!$F:$F, ""@""))) = TRIM(CLEAN(TEXT($D302, ""@""))),
      Transcription!$AO:$AO = 1
    ),
    1
  ),
  ""Not Found""
)
"),"https://drive.google.com/open?id=1ICDAawc92E5i5PDUqUHLujTz2ZPgF23n")</f>
        <v>https://drive.google.com/open?id=1ICDAawc92E5i5PDUqUHLujTz2ZPgF23n</v>
      </c>
      <c r="H30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TRIM(CLEAN(TEXT($D302, ""@""))),
      IMPORTRANGE(""https://docs.google.com/spreadsheets/d/1DccNxjBgurEr0ABkI_"&amp;"rBagJT5phB5HaHG5N_mTm_BiA/edit?gid=1382299152#gid=1382299152"", ""Form responses 1!$Z:$Z"") = 2
    ),
    1
  ),
  ""Not Found""
)
"),"https://drive.google.com/open?id=15y9Yyz7X9noodOnSRt0RbwUyCKGpleWl")</f>
        <v>https://drive.google.com/open?id=15y9Yyz7X9noodOnSRt0RbwUyCKGpleWl</v>
      </c>
      <c r="I3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1!$E:$E"")=$D302) *
        (IMPORTRANGE(""https://docs.google.com/spreadsheets/d/161aHT6vVT3SLneTKD19N5qVWtnj_jIT8CSsOmUVKmaA"&amp;"/edit?gid=1761053510"",
          ""Haris_Form responses 1!$AQ:$AQ"")=2)
      ),
      1
    ),
    ""0""
  ),
  ""Form not found""
)
"),"2")</f>
        <v>2</v>
      </c>
      <c r="J302" s="245" t="str">
        <f>IFERROR(__xludf.DUMMYFUNCTION("IFERROR(
  INDEX(
    FILTER(
      Transcription!$AJ:$AJ,
      TRIM(CLEAN(TEXT(Transcription!$F:$F, ""@""))) = TRIM(CLEAN(TEXT($D302, ""@""))),
      Transcription!$AO:$AO = 2
    ),
    1
  ),
  ""Not Found""
)
"),"https://drive.google.com/open?id=1CsdXUWq1Ds-03qCUjklK7OcRxnd4CiOp")</f>
        <v>https://drive.google.com/open?id=1CsdXUWq1Ds-03qCUjklK7OcRxnd4CiOp</v>
      </c>
      <c r="K30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TRIM(CLEAN(TEXT($D302, ""@""))),
      IMPORTRANGE(""https://docs.google.com/spreadsheets/d/1DccNxjBgurEr0ABkI_"&amp;"rBagJT5phB5HaHG5N_mTm_BiA/edit?gid=1382299152#gid=1382299152"", ""Form responses 1!$Z:$Z"") = 3
    ),
    1
  ),
  ""Not Found""
)
"),"https://drive.google.com/open?id=1kXROIxE8m3sJPaLI7WdbrAfK-aoUzCRd")</f>
        <v>https://drive.google.com/open?id=1kXROIxE8m3sJPaLI7WdbrAfK-aoUzCRd</v>
      </c>
      <c r="L3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1!$E:$E"")=$D302) *
        (IMPORTRANGE(""https://docs.google.com/spreadsheets/d/161aHT6vVT3SLneTKD19N5qVWtnj_jIT8CSsOmUVKmaA"&amp;"/edit?gid=1761053510"",
          ""Haris_Form responses 1!$AQ:$AQ"")=3)
      ),
      1
    ),
    ""0""
  ),
  ""Form not found""
)
"),"3")</f>
        <v>3</v>
      </c>
      <c r="M302" s="245" t="str">
        <f>IFERROR(__xludf.DUMMYFUNCTION("IFERROR(
  INDEX(
    FILTER(
      Transcription!$AJ:$AJ,
      TRIM(CLEAN(TEXT(Transcription!$F:$F, ""@""))) = TRIM(CLEAN(TEXT($D302, ""@""))),
      Transcription!$AO:$AO = 3
    ),
    1
  ),
  ""Not Found""
)
"),"https://drive.google.com/open?id=18Sn90-e8vLKpEowrLKsvqkQeKBgclbhC")</f>
        <v>https://drive.google.com/open?id=18Sn90-e8vLKpEowrLKsvqkQeKBgclbhC</v>
      </c>
      <c r="N3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TRIM(CLEAN(TEXT($D302, ""@""))),
      IMPORTRANGE(""https://docs.google.com/spreadsheets/d/1DccNxjBgurEr0ABkI_"&amp;"rBagJT5phB5HaHG5N_mTm_BiA/edit?gid=1382299152#gid=1382299152"", ""Form responses 1!$Z:$Z"") = 4
    ),
    1
  ),
  ""Not Found""
)
"),"Not Found")</f>
        <v>Not Found</v>
      </c>
      <c r="O3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1!$E:$E"")=$D302) *
        (IMPORTRANGE(""https://docs.google.com/spreadsheets/d/161aHT6vVT3SLneTKD19N5qVWtnj_jIT8CSsOmUVKmaA"&amp;"/edit?gid=1761053510"",
          ""Haris_Form responses 1!$AQ:$AQ"")=4)
      ),
      1
    ),
    ""0""
  ),
  ""Form not found""
)
"),"Form not found")</f>
        <v>Form not found</v>
      </c>
      <c r="P302" s="247" t="str">
        <f>IFERROR(__xludf.DUMMYFUNCTION("IFERROR(
  INDEX(
    FILTER(
      Transcription!$AJ:$AJ,
      TRIM(CLEAN(TEXT(Transcription!$F:$F, ""@""))) = TRIM(CLEAN(TEXT($D302, ""@""))),
      Transcription!$AO:$AO = 4
    ),
    1
  ),
  ""Not Found""
)
"),"Not Found")</f>
        <v>Not Found</v>
      </c>
      <c r="Q3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TRIM(CLEAN(TEXT($D302, ""@""))),
      IMPORTRANGE(""https://docs.google.com/spreadsheets/d/1DccNxjBgurEr0ABkI_"&amp;"rBagJT5phB5HaHG5N_mTm_BiA/edit?gid=1382299152#gid=1382299152"", ""Form responses 1!$Z:$Z"") = 5
    ),
    1
  ),
  ""Not Found""
)
"),"Not Found")</f>
        <v>Not Found</v>
      </c>
      <c r="R3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1!$E:$E"")=$D302) *
        (IMPORTRANGE(""https://docs.google.com/spreadsheets/d/161aHT6vVT3SLneTKD19N5qVWtnj_jIT8CSsOmUVKmaA"&amp;"/edit?gid=1761053510"",
          ""Haris_Form responses 1!$AQ:$AQ"")=5)
      ),
      1
    ),
    ""0""
  ),
  ""Form not found""
)
"),"Form not found")</f>
        <v>Form not found</v>
      </c>
      <c r="S302" s="247" t="str">
        <f>IFERROR(__xludf.DUMMYFUNCTION("IFERROR(
  INDEX(
    FILTER(
      Transcription!$AJ:$AJ,
      TRIM(CLEAN(TEXT(Transcription!$F:$F, ""@""))) = TRIM(CLEAN(TEXT($D302, ""@""))),
      Transcription!$AO:$AO = 5
    ),
    1
  ),
  ""Not Found""
)
"),"Not Found")</f>
        <v>Not Found</v>
      </c>
      <c r="T30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TRIM(CLEAN(TEXT($D302, ""@""))),
      IMPORTRANGE(""https://docs.google.com/spreadsheets/d/1DccNxjBgurEr0ABkI_"&amp;"rBagJT5phB5HaHG5N_mTm_BiA/edit?gid=1382299152#gid=1382299152"", ""Form responses 1!$Z:$Z"") = 6
    ),
    1
  ),
  ""Not Found""
)
"),"Not Found")</f>
        <v>Not Found</v>
      </c>
      <c r="U30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1!$E:$E"")=$D302) *
        (IMPORTRANGE(""https://docs.google.com/spreadsheets/d/161aHT6vVT3SLneTKD19N5qVWtnj_jIT8CSsOmUVKmaA"&amp;"/edit?gid=1761053510"",
          ""Haris_Form responses 1!$AQ:$AQ"")=6)
      ),
      1
    ),
    ""0""
  ),
  ""Form not found""
)
"),"Form not found")</f>
        <v>Form not found</v>
      </c>
      <c r="V302" s="247" t="str">
        <f>IFERROR(__xludf.DUMMYFUNCTION("IFERROR(
  INDEX(
    FILTER(
      Transcription!$AJ:$AJ,
      TRIM(CLEAN(TEXT(Transcription!$F:$F, ""@""))) = TRIM(CLEAN(TEXT($D302, ""@""))),
      Transcription!$AO:$AO = 6
    ),
    1
  ),
  ""Not Found""
)
"),"Not Found")</f>
        <v>Not Found</v>
      </c>
      <c r="AA302" s="10">
        <f t="shared" si="2"/>
        <v>-3</v>
      </c>
    </row>
    <row r="303">
      <c r="A303" s="8" t="str">
        <f>VLOOKUP($D303,Sheet6!$B:$G,5,FALSE)</f>
        <v>Rawalpindi</v>
      </c>
      <c r="B303" s="232" t="str">
        <f>VLOOKUP($D303,Sheet6!$B:$G,4,FALSE)</f>
        <v>Control</v>
      </c>
      <c r="C303" s="8">
        <v>2.0</v>
      </c>
      <c r="D303" s="8" t="s">
        <v>4712</v>
      </c>
      <c r="E30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TRIM(CLEAN(TEXT($D303, ""@""))),
      IMPORTRANGE(""https://docs.google.com/spreadsheets/d/1DccNxjBgurEr0ABkI_"&amp;"rBagJT5phB5HaHG5N_mTm_BiA/edit?gid=1382299152#gid=1382299152"", ""Form responses 1!$Z:$Z"") = 1
    ),
    1
  ),
  ""Not Found""
)
"),"https://drive.google.com/file/d/1VCRe17H2SHVYCbmH8ER2mpE2GHcOENQ6/view?usp=drive_link")</f>
        <v>https://drive.google.com/file/d/1VCRe17H2SHVYCbmH8ER2mpE2GHcOENQ6/view?usp=drive_link</v>
      </c>
      <c r="F3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1!$E:$E"")=$D303) *
        (IMPORTRANGE(""https://docs.google.com/spreadsheets/d/161aHT6vVT3SLneTKD19N5qVWtnj_jIT8CSsOmUVKmaA"&amp;"/edit?gid=1761053510"",
          ""Haris_Form responses 1!$AQ:$AQ"")=1)
      ),
      1
    ),
    ""0""
  ),
  ""Form not found""
)
"),"1")</f>
        <v>1</v>
      </c>
      <c r="G303" s="245" t="str">
        <f>IFERROR(__xludf.DUMMYFUNCTION("IFERROR(
  INDEX(
    FILTER(
      Transcription!$AJ:$AJ,
      TRIM(CLEAN(TEXT(Transcription!$F:$F, ""@""))) = TRIM(CLEAN(TEXT($D303, ""@""))),
      Transcription!$AO:$AO = 1
    ),
    1
  ),
  ""Not Found""
)
"),"https://drive.google.com/open?id=1eQZp65RdajIx1aU1IjhOTAhw3cJZ2apR")</f>
        <v>https://drive.google.com/open?id=1eQZp65RdajIx1aU1IjhOTAhw3cJZ2apR</v>
      </c>
      <c r="H3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TRIM(CLEAN(TEXT($D303, ""@""))),
      IMPORTRANGE(""https://docs.google.com/spreadsheets/d/1DccNxjBgurEr0ABkI_"&amp;"rBagJT5phB5HaHG5N_mTm_BiA/edit?gid=1382299152#gid=1382299152"", ""Form responses 1!$Z:$Z"") = 2
    ),
    1
  ),
  ""Not Found""
)
"),"")</f>
        <v/>
      </c>
      <c r="I3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1!$E:$E"")=$D303) *
        (IMPORTRANGE(""https://docs.google.com/spreadsheets/d/161aHT6vVT3SLneTKD19N5qVWtnj_jIT8CSsOmUVKmaA"&amp;"/edit?gid=1761053510"",
          ""Haris_Form responses 1!$AQ:$AQ"")=2)
      ),
      1
    ),
    ""0""
  ),
  ""Form not found""
)
"),"Form not found")</f>
        <v>Form not found</v>
      </c>
      <c r="J303" s="247" t="str">
        <f>IFERROR(__xludf.DUMMYFUNCTION("IFERROR(
  INDEX(
    FILTER(
      Transcription!$AJ:$AJ,
      TRIM(CLEAN(TEXT(Transcription!$F:$F, ""@""))) = TRIM(CLEAN(TEXT($D303, ""@""))),
      Transcription!$AO:$AO = 2
    ),
    1
  ),
  ""Not Found""
)
"),"Not Found")</f>
        <v>Not Found</v>
      </c>
      <c r="K303"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TRIM(CLEAN(TEXT($D303, ""@""))),
      IMPORTRANGE(""https://docs.google.com/spreadsheets/d/1DccNxjBgurEr0ABkI_"&amp;"rBagJT5phB5HaHG5N_mTm_BiA/edit?gid=1382299152#gid=1382299152"", ""Form responses 1!$Z:$Z"") = 3
    ),
    1
  ),
  ""Not Found""
)
"),"https://drive.google.com/open?id=1mkq0bbc_3ppmz3Qu9Opzbvs6nuk_pKxG")</f>
        <v>https://drive.google.com/open?id=1mkq0bbc_3ppmz3Qu9Opzbvs6nuk_pKxG</v>
      </c>
      <c r="L3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1!$E:$E"")=$D303) *
        (IMPORTRANGE(""https://docs.google.com/spreadsheets/d/161aHT6vVT3SLneTKD19N5qVWtnj_jIT8CSsOmUVKmaA"&amp;"/edit?gid=1761053510"",
          ""Haris_Form responses 1!$AQ:$AQ"")=3)
      ),
      1
    ),
    ""0""
  ),
  ""Form not found""
)
"),"3")</f>
        <v>3</v>
      </c>
      <c r="M303" s="245" t="str">
        <f>IFERROR(__xludf.DUMMYFUNCTION("IFERROR(
  INDEX(
    FILTER(
      Transcription!$AJ:$AJ,
      TRIM(CLEAN(TEXT(Transcription!$F:$F, ""@""))) = TRIM(CLEAN(TEXT($D303, ""@""))),
      Transcription!$AO:$AO = 3
    ),
    1
  ),
  ""Not Found""
)
"),"https://drive.google.com/open?id=1yO4yM4KH74sGg9l1ZRpRqrtaqdcZ1Zl5")</f>
        <v>https://drive.google.com/open?id=1yO4yM4KH74sGg9l1ZRpRqrtaqdcZ1Zl5</v>
      </c>
      <c r="N3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TRIM(CLEAN(TEXT($D303, ""@""))),
      IMPORTRANGE(""https://docs.google.com/spreadsheets/d/1DccNxjBgurEr0ABkI_"&amp;"rBagJT5phB5HaHG5N_mTm_BiA/edit?gid=1382299152#gid=1382299152"", ""Form responses 1!$Z:$Z"") = 4
    ),
    1
  ),
  ""Not Found""
)
"),"Not Found")</f>
        <v>Not Found</v>
      </c>
      <c r="O3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1!$E:$E"")=$D303) *
        (IMPORTRANGE(""https://docs.google.com/spreadsheets/d/161aHT6vVT3SLneTKD19N5qVWtnj_jIT8CSsOmUVKmaA"&amp;"/edit?gid=1761053510"",
          ""Haris_Form responses 1!$AQ:$AQ"")=4)
      ),
      1
    ),
    ""0""
  ),
  ""Form not found""
)
"),"Form not found")</f>
        <v>Form not found</v>
      </c>
      <c r="P303" s="247" t="str">
        <f>IFERROR(__xludf.DUMMYFUNCTION("IFERROR(
  INDEX(
    FILTER(
      Transcription!$AJ:$AJ,
      TRIM(CLEAN(TEXT(Transcription!$F:$F, ""@""))) = TRIM(CLEAN(TEXT($D303, ""@""))),
      Transcription!$AO:$AO = 4
    ),
    1
  ),
  ""Not Found""
)
"),"Not Found")</f>
        <v>Not Found</v>
      </c>
      <c r="Q3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TRIM(CLEAN(TEXT($D303, ""@""))),
      IMPORTRANGE(""https://docs.google.com/spreadsheets/d/1DccNxjBgurEr0ABkI_"&amp;"rBagJT5phB5HaHG5N_mTm_BiA/edit?gid=1382299152#gid=1382299152"", ""Form responses 1!$Z:$Z"") = 5
    ),
    1
  ),
  ""Not Found""
)
"),"Not Found")</f>
        <v>Not Found</v>
      </c>
      <c r="R3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1!$E:$E"")=$D303) *
        (IMPORTRANGE(""https://docs.google.com/spreadsheets/d/161aHT6vVT3SLneTKD19N5qVWtnj_jIT8CSsOmUVKmaA"&amp;"/edit?gid=1761053510"",
          ""Haris_Form responses 1!$AQ:$AQ"")=5)
      ),
      1
    ),
    ""0""
  ),
  ""Form not found""
)
"),"Form not found")</f>
        <v>Form not found</v>
      </c>
      <c r="S303" s="247" t="str">
        <f>IFERROR(__xludf.DUMMYFUNCTION("IFERROR(
  INDEX(
    FILTER(
      Transcription!$AJ:$AJ,
      TRIM(CLEAN(TEXT(Transcription!$F:$F, ""@""))) = TRIM(CLEAN(TEXT($D303, ""@""))),
      Transcription!$AO:$AO = 5
    ),
    1
  ),
  ""Not Found""
)
"),"Not Found")</f>
        <v>Not Found</v>
      </c>
      <c r="T303"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TRIM(CLEAN(TEXT($D303, ""@""))),
      IMPORTRANGE(""https://docs.google.com/spreadsheets/d/1DccNxjBgurEr0ABkI_"&amp;"rBagJT5phB5HaHG5N_mTm_BiA/edit?gid=1382299152#gid=1382299152"", ""Form responses 1!$Z:$Z"") = 6
    ),
    1
  ),
  ""Not Found""
)
"),"Not Found")</f>
        <v>Not Found</v>
      </c>
      <c r="U303"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1!$E:$E"")=$D303) *
        (IMPORTRANGE(""https://docs.google.com/spreadsheets/d/161aHT6vVT3SLneTKD19N5qVWtnj_jIT8CSsOmUVKmaA"&amp;"/edit?gid=1761053510"",
          ""Haris_Form responses 1!$AQ:$AQ"")=6)
      ),
      1
    ),
    ""0""
  ),
  ""Form not found""
)
"),"Form not found")</f>
        <v>Form not found</v>
      </c>
      <c r="V303" s="247" t="str">
        <f>IFERROR(__xludf.DUMMYFUNCTION("IFERROR(
  INDEX(
    FILTER(
      Transcription!$AJ:$AJ,
      TRIM(CLEAN(TEXT(Transcription!$F:$F, ""@""))) = TRIM(CLEAN(TEXT($D303, ""@""))),
      Transcription!$AO:$AO = 6
    ),
    1
  ),
  ""Not Found""
)
"),"Not Found")</f>
        <v>Not Found</v>
      </c>
      <c r="AA303" s="10">
        <f t="shared" si="2"/>
        <v>-2</v>
      </c>
    </row>
    <row r="304">
      <c r="A304" s="8" t="str">
        <f>VLOOKUP($D304,Sheet6!$B:$G,5,FALSE)</f>
        <v>Rawalpindi</v>
      </c>
      <c r="B304" s="232" t="str">
        <f>VLOOKUP($D304,Sheet6!$B:$G,4,FALSE)</f>
        <v>Control</v>
      </c>
      <c r="C304" s="8">
        <v>2.0</v>
      </c>
      <c r="D304" s="8" t="s">
        <v>4713</v>
      </c>
      <c r="E30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TRIM(CLEAN(TEXT($D304, ""@""))),
      IMPORTRANGE(""https://docs.google.com/spreadsheets/d/1DccNxjBgurEr0ABkI_"&amp;"rBagJT5phB5HaHG5N_mTm_BiA/edit?gid=1382299152#gid=1382299152"", ""Form responses 1!$Z:$Z"") = 1
    ),
    1
  ),
  ""Not Found""
)
"),"https://drive.google.com/file/d/1MZ_Z84aZf3xbsLa-fDhLaZTJQFW-Qpqw/view?usp=drive_link")</f>
        <v>https://drive.google.com/file/d/1MZ_Z84aZf3xbsLa-fDhLaZTJQFW-Qpqw/view?usp=drive_link</v>
      </c>
      <c r="F3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1!$E:$E"")=$D304) *
        (IMPORTRANGE(""https://docs.google.com/spreadsheets/d/161aHT6vVT3SLneTKD19N5qVWtnj_jIT8CSsOmUVKmaA"&amp;"/edit?gid=1761053510"",
          ""Haris_Form responses 1!$AQ:$AQ"")=1)
      ),
      1
    ),
    ""0""
  ),
  ""Form not found""
)
"),"1")</f>
        <v>1</v>
      </c>
      <c r="G304" s="245" t="str">
        <f>IFERROR(__xludf.DUMMYFUNCTION("IFERROR(
  INDEX(
    FILTER(
      Transcription!$AJ:$AJ,
      TRIM(CLEAN(TEXT(Transcription!$F:$F, ""@""))) = TRIM(CLEAN(TEXT($D304, ""@""))),
      Transcription!$AO:$AO = 1
    ),
    1
  ),
  ""Not Found""
)
"),"https://drive.google.com/open?id=1CPppvj7WvZmdL0kPMGqNCRVh4geaNMIttNcVm-PfHMc")</f>
        <v>https://drive.google.com/open?id=1CPppvj7WvZmdL0kPMGqNCRVh4geaNMIttNcVm-PfHMc</v>
      </c>
      <c r="H3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TRIM(CLEAN(TEXT($D304, ""@""))),
      IMPORTRANGE(""https://docs.google.com/spreadsheets/d/1DccNxjBgurEr0ABkI_"&amp;"rBagJT5phB5HaHG5N_mTm_BiA/edit?gid=1382299152#gid=1382299152"", ""Form responses 1!$Z:$Z"") = 2
    ),
    1
  ),
  ""Not Found""
)
"),"")</f>
        <v/>
      </c>
      <c r="I3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1!$E:$E"")=$D304) *
        (IMPORTRANGE(""https://docs.google.com/spreadsheets/d/161aHT6vVT3SLneTKD19N5qVWtnj_jIT8CSsOmUVKmaA"&amp;"/edit?gid=1761053510"",
          ""Haris_Form responses 1!$AQ:$AQ"")=2)
      ),
      1
    ),
    ""0""
  ),
  ""Form not found""
)
"),"Form not found")</f>
        <v>Form not found</v>
      </c>
      <c r="J304" s="247" t="str">
        <f>IFERROR(__xludf.DUMMYFUNCTION("IFERROR(
  INDEX(
    FILTER(
      Transcription!$AJ:$AJ,
      TRIM(CLEAN(TEXT(Transcription!$F:$F, ""@""))) = TRIM(CLEAN(TEXT($D304, ""@""))),
      Transcription!$AO:$AO = 2
    ),
    1
  ),
  ""Not Found""
)
"),"Not Found")</f>
        <v>Not Found</v>
      </c>
      <c r="K304"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TRIM(CLEAN(TEXT($D304, ""@""))),
      IMPORTRANGE(""https://docs.google.com/spreadsheets/d/1DccNxjBgurEr0ABkI_"&amp;"rBagJT5phB5HaHG5N_mTm_BiA/edit?gid=1382299152#gid=1382299152"", ""Form responses 1!$Z:$Z"") = 3
    ),
    1
  ),
  ""Not Found""
)
"),"https://drive.google.com/file/d/1D0ibfXVtfHnlulSjEmR2ksMF7DjaC0rB/view?usp=drive_link")</f>
        <v>https://drive.google.com/file/d/1D0ibfXVtfHnlulSjEmR2ksMF7DjaC0rB/view?usp=drive_link</v>
      </c>
      <c r="L3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1!$E:$E"")=$D304) *
        (IMPORTRANGE(""https://docs.google.com/spreadsheets/d/161aHT6vVT3SLneTKD19N5qVWtnj_jIT8CSsOmUVKmaA"&amp;"/edit?gid=1761053510"",
          ""Haris_Form responses 1!$AQ:$AQ"")=3)
      ),
      1
    ),
    ""0""
  ),
  ""Form not found""
)
"),"3")</f>
        <v>3</v>
      </c>
      <c r="M304" s="245" t="str">
        <f>IFERROR(__xludf.DUMMYFUNCTION("IFERROR(
  INDEX(
    FILTER(
      Transcription!$AJ:$AJ,
      TRIM(CLEAN(TEXT(Transcription!$F:$F, ""@""))) = TRIM(CLEAN(TEXT($D304, ""@""))),
      Transcription!$AO:$AO = 3
    ),
    1
  ),
  ""Not Found""
)
"),"https://drive.google.com/open?id=1N_scEj1Rh58f27Hhw29n5RtaAlEWsr7U")</f>
        <v>https://drive.google.com/open?id=1N_scEj1Rh58f27Hhw29n5RtaAlEWsr7U</v>
      </c>
      <c r="N3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TRIM(CLEAN(TEXT($D304, ""@""))),
      IMPORTRANGE(""https://docs.google.com/spreadsheets/d/1DccNxjBgurEr0ABkI_"&amp;"rBagJT5phB5HaHG5N_mTm_BiA/edit?gid=1382299152#gid=1382299152"", ""Form responses 1!$Z:$Z"") = 4
    ),
    1
  ),
  ""Not Found""
)
"),"Not Found")</f>
        <v>Not Found</v>
      </c>
      <c r="O3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1!$E:$E"")=$D304) *
        (IMPORTRANGE(""https://docs.google.com/spreadsheets/d/161aHT6vVT3SLneTKD19N5qVWtnj_jIT8CSsOmUVKmaA"&amp;"/edit?gid=1761053510"",
          ""Haris_Form responses 1!$AQ:$AQ"")=4)
      ),
      1
    ),
    ""0""
  ),
  ""Form not found""
)
"),"Form not found")</f>
        <v>Form not found</v>
      </c>
      <c r="P304" s="247" t="str">
        <f>IFERROR(__xludf.DUMMYFUNCTION("IFERROR(
  INDEX(
    FILTER(
      Transcription!$AJ:$AJ,
      TRIM(CLEAN(TEXT(Transcription!$F:$F, ""@""))) = TRIM(CLEAN(TEXT($D304, ""@""))),
      Transcription!$AO:$AO = 4
    ),
    1
  ),
  ""Not Found""
)
"),"Not Found")</f>
        <v>Not Found</v>
      </c>
      <c r="Q3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TRIM(CLEAN(TEXT($D304, ""@""))),
      IMPORTRANGE(""https://docs.google.com/spreadsheets/d/1DccNxjBgurEr0ABkI_"&amp;"rBagJT5phB5HaHG5N_mTm_BiA/edit?gid=1382299152#gid=1382299152"", ""Form responses 1!$Z:$Z"") = 5
    ),
    1
  ),
  ""Not Found""
)
"),"Not Found")</f>
        <v>Not Found</v>
      </c>
      <c r="R3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1!$E:$E"")=$D304) *
        (IMPORTRANGE(""https://docs.google.com/spreadsheets/d/161aHT6vVT3SLneTKD19N5qVWtnj_jIT8CSsOmUVKmaA"&amp;"/edit?gid=1761053510"",
          ""Haris_Form responses 1!$AQ:$AQ"")=5)
      ),
      1
    ),
    ""0""
  ),
  ""Form not found""
)
"),"Form not found")</f>
        <v>Form not found</v>
      </c>
      <c r="S304" s="247" t="str">
        <f>IFERROR(__xludf.DUMMYFUNCTION("IFERROR(
  INDEX(
    FILTER(
      Transcription!$AJ:$AJ,
      TRIM(CLEAN(TEXT(Transcription!$F:$F, ""@""))) = TRIM(CLEAN(TEXT($D304, ""@""))),
      Transcription!$AO:$AO = 5
    ),
    1
  ),
  ""Not Found""
)
"),"Not Found")</f>
        <v>Not Found</v>
      </c>
      <c r="T304"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TRIM(CLEAN(TEXT($D304, ""@""))),
      IMPORTRANGE(""https://docs.google.com/spreadsheets/d/1DccNxjBgurEr0ABkI_"&amp;"rBagJT5phB5HaHG5N_mTm_BiA/edit?gid=1382299152#gid=1382299152"", ""Form responses 1!$Z:$Z"") = 6
    ),
    1
  ),
  ""Not Found""
)
"),"Not Found")</f>
        <v>Not Found</v>
      </c>
      <c r="U304"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1!$E:$E"")=$D304) *
        (IMPORTRANGE(""https://docs.google.com/spreadsheets/d/161aHT6vVT3SLneTKD19N5qVWtnj_jIT8CSsOmUVKmaA"&amp;"/edit?gid=1761053510"",
          ""Haris_Form responses 1!$AQ:$AQ"")=6)
      ),
      1
    ),
    ""0""
  ),
  ""Form not found""
)
"),"Form not found")</f>
        <v>Form not found</v>
      </c>
      <c r="V304" s="247" t="str">
        <f>IFERROR(__xludf.DUMMYFUNCTION("IFERROR(
  INDEX(
    FILTER(
      Transcription!$AJ:$AJ,
      TRIM(CLEAN(TEXT(Transcription!$F:$F, ""@""))) = TRIM(CLEAN(TEXT($D304, ""@""))),
      Transcription!$AO:$AO = 6
    ),
    1
  ),
  ""Not Found""
)
"),"Not Found")</f>
        <v>Not Found</v>
      </c>
      <c r="AA304" s="10">
        <f t="shared" si="2"/>
        <v>-2</v>
      </c>
    </row>
    <row r="305">
      <c r="A305" s="8" t="str">
        <f>VLOOKUP($D305,Sheet6!$B:$G,5,FALSE)</f>
        <v>Rawalpindi</v>
      </c>
      <c r="B305" s="232" t="str">
        <f>VLOOKUP($D305,Sheet6!$B:$G,4,FALSE)</f>
        <v>Women Secular Info Share</v>
      </c>
      <c r="C305" s="8">
        <v>5.0</v>
      </c>
      <c r="D305" s="8" t="s">
        <v>4447</v>
      </c>
      <c r="E3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TRIM(CLEAN(TEXT($D305, ""@""))),
      IMPORTRANGE(""https://docs.google.com/spreadsheets/d/1DccNxjBgurEr0ABkI_"&amp;"rBagJT5phB5HaHG5N_mTm_BiA/edit?gid=1382299152#gid=1382299152"", ""Form responses 1!$Z:$Z"") = 1
    ),
    1
  ),
  ""Not Found""
)
"),"https://drive.google.com/open?id=1MXIOdDelU_XncLihTWGxT2tMp33RZgP6")</f>
        <v>https://drive.google.com/open?id=1MXIOdDelU_XncLihTWGxT2tMp33RZgP6</v>
      </c>
      <c r="F3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1!$E:$E"")=$D305) *
        (IMPORTRANGE(""https://docs.google.com/spreadsheets/d/161aHT6vVT3SLneTKD19N5qVWtnj_jIT8CSsOmUVKmaA"&amp;"/edit?gid=1761053510"",
          ""Haris_Form responses 1!$AQ:$AQ"")=1)
      ),
      1
    ),
    ""0""
  ),
  ""Form not found""
)
"),"1")</f>
        <v>1</v>
      </c>
      <c r="G305" s="245" t="str">
        <f>IFERROR(__xludf.DUMMYFUNCTION("IFERROR(
  INDEX(
    FILTER(
      Transcription!$AJ:$AJ,
      TRIM(CLEAN(TEXT(Transcription!$F:$F, ""@""))) = TRIM(CLEAN(TEXT($D305, ""@""))),
      Transcription!$AO:$AO = 1
    ),
    1
  ),
  ""Not Found""
)
"),"https://drive.google.com/open?id=1zcYpjJPW5BPJ1dLBTx86a8sz3N-yhUJt")</f>
        <v>https://drive.google.com/open?id=1zcYpjJPW5BPJ1dLBTx86a8sz3N-yhUJt</v>
      </c>
      <c r="H3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TRIM(CLEAN(TEXT($D305, ""@""))),
      IMPORTRANGE(""https://docs.google.com/spreadsheets/d/1DccNxjBgurEr0ABkI_"&amp;"rBagJT5phB5HaHG5N_mTm_BiA/edit?gid=1382299152#gid=1382299152"", ""Form responses 1!$Z:$Z"") = 2
    ),
    1
  ),
  ""Not Found""
)
"),"https://drive.google.com/open?id=1Z3t6L3czbUuLnPXKlogBPpOEo0gR0bJ5")</f>
        <v>https://drive.google.com/open?id=1Z3t6L3czbUuLnPXKlogBPpOEo0gR0bJ5</v>
      </c>
      <c r="I3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1!$E:$E"")=$D305) *
        (IMPORTRANGE(""https://docs.google.com/spreadsheets/d/161aHT6vVT3SLneTKD19N5qVWtnj_jIT8CSsOmUVKmaA"&amp;"/edit?gid=1761053510"",
          ""Haris_Form responses 1!$AQ:$AQ"")=2)
      ),
      1
    ),
    ""0""
  ),
  ""Form not found""
)
"),"2")</f>
        <v>2</v>
      </c>
      <c r="J305" s="263" t="str">
        <f>IFERROR(__xludf.DUMMYFUNCTION("IFERROR(
  INDEX(
    FILTER(
      Transcription!$AJ:$AJ,
      TRIM(CLEAN(TEXT(Transcription!$F:$F, ""@""))) = TRIM(CLEAN(TEXT($D305, ""@""))),
      Transcription!$AO:$AO = 2
    ),
    1
  ),
  ""Not Found""
)
"),"Not Found")</f>
        <v>Not Found</v>
      </c>
      <c r="K3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TRIM(CLEAN(TEXT($D305, ""@""))),
      IMPORTRANGE(""https://docs.google.com/spreadsheets/d/1DccNxjBgurEr0ABkI_"&amp;"rBagJT5phB5HaHG5N_mTm_BiA/edit?gid=1382299152#gid=1382299152"", ""Form responses 1!$Z:$Z"") = 3
    ),
    1
  ),
  ""Not Found""
)
"),"https://drive.google.com/open?id=1JdEXIgXFrU__zGFN6oY7eJ1eE8oVBUV0")</f>
        <v>https://drive.google.com/open?id=1JdEXIgXFrU__zGFN6oY7eJ1eE8oVBUV0</v>
      </c>
      <c r="L3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1!$E:$E"")=$D305) *
        (IMPORTRANGE(""https://docs.google.com/spreadsheets/d/161aHT6vVT3SLneTKD19N5qVWtnj_jIT8CSsOmUVKmaA"&amp;"/edit?gid=1761053510"",
          ""Haris_Form responses 1!$AQ:$AQ"")=3)
      ),
      1
    ),
    ""0""
  ),
  ""Form not found""
)
"),"3")</f>
        <v>3</v>
      </c>
      <c r="M305" s="245" t="str">
        <f>IFERROR(__xludf.DUMMYFUNCTION("IFERROR(
  INDEX(
    FILTER(
      Transcription!$AJ:$AJ,
      TRIM(CLEAN(TEXT(Transcription!$F:$F, ""@""))) = TRIM(CLEAN(TEXT($D305, ""@""))),
      Transcription!$AO:$AO = 3
    ),
    1
  ),
  ""Not Found""
)
"),"https://drive.google.com/open?id=1UknQxXL6wCR08NTak2MPn_Cp1IZukbZE")</f>
        <v>https://drive.google.com/open?id=1UknQxXL6wCR08NTak2MPn_Cp1IZukbZE</v>
      </c>
      <c r="N3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TRIM(CLEAN(TEXT($D305, ""@""))),
      IMPORTRANGE(""https://docs.google.com/spreadsheets/d/1DccNxjBgurEr0ABkI_"&amp;"rBagJT5phB5HaHG5N_mTm_BiA/edit?gid=1382299152#gid=1382299152"", ""Form responses 1!$Z:$Z"") = 4
    ),
    1
  ),
  ""Not Found""
)
"),"https://drive.google.com/open?id=1Roy4pTEev7cXjW8K5fubJ2AQBbG-jOhc")</f>
        <v>https://drive.google.com/open?id=1Roy4pTEev7cXjW8K5fubJ2AQBbG-jOhc</v>
      </c>
      <c r="O3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1!$E:$E"")=$D305) *
        (IMPORTRANGE(""https://docs.google.com/spreadsheets/d/161aHT6vVT3SLneTKD19N5qVWtnj_jIT8CSsOmUVKmaA"&amp;"/edit?gid=1761053510"",
          ""Haris_Form responses 1!$AQ:$AQ"")=4)
      ),
      1
    ),
    ""0""
  ),
  ""Form not found""
)
"),"4")</f>
        <v>4</v>
      </c>
      <c r="P305" s="245" t="str">
        <f>IFERROR(__xludf.DUMMYFUNCTION("IFERROR(
  INDEX(
    FILTER(
      Transcription!$AJ:$AJ,
      TRIM(CLEAN(TEXT(Transcription!$F:$F, ""@""))) = TRIM(CLEAN(TEXT($D305, ""@""))),
      Transcription!$AO:$AO = 4
    ),
    1
  ),
  ""Not Found""
)
"),"https://drive.google.com/open?id=1n8XwdIOzvmX5VSlb7bB-AL5hDmiWeN2GsTPBBfJBIWM")</f>
        <v>https://drive.google.com/open?id=1n8XwdIOzvmX5VSlb7bB-AL5hDmiWeN2GsTPBBfJBIWM</v>
      </c>
      <c r="Q305"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TRIM(CLEAN(TEXT($D305, ""@""))),
      IMPORTRANGE(""https://docs.google.com/spreadsheets/d/1DccNxjBgurEr0ABkI_"&amp;"rBagJT5phB5HaHG5N_mTm_BiA/edit?gid=1382299152#gid=1382299152"", ""Form responses 1!$Z:$Z"") = 5
    ),
    1
  ),
  ""Not Found""
)
"),"https://drive.google.com/open?id=1v8y8HYdB44iYkA4zq7YXTsf5Fewlh6SH")</f>
        <v>https://drive.google.com/open?id=1v8y8HYdB44iYkA4zq7YXTsf5Fewlh6SH</v>
      </c>
      <c r="R3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1!$E:$E"")=$D305) *
        (IMPORTRANGE(""https://docs.google.com/spreadsheets/d/161aHT6vVT3SLneTKD19N5qVWtnj_jIT8CSsOmUVKmaA"&amp;"/edit?gid=1761053510"",
          ""Haris_Form responses 1!$AQ:$AQ"")=5)
      ),
      1
    ),
    ""0""
  ),
  ""Form not found""
)
"),"5")</f>
        <v>5</v>
      </c>
      <c r="S305" s="245" t="str">
        <f>IFERROR(__xludf.DUMMYFUNCTION("IFERROR(
  INDEX(
    FILTER(
      Transcription!$AJ:$AJ,
      TRIM(CLEAN(TEXT(Transcription!$F:$F, ""@""))) = TRIM(CLEAN(TEXT($D305, ""@""))),
      Transcription!$AO:$AO = 5
    ),
    1
  ),
  ""Not Found""
)
"),"https://drive.google.com/open?id=17FPT7xcgawdFpCkujtABOH8XKv6gwyhv2O1laIzKGGs")</f>
        <v>https://drive.google.com/open?id=17FPT7xcgawdFpCkujtABOH8XKv6gwyhv2O1laIzKGGs</v>
      </c>
      <c r="T305"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TRIM(CLEAN(TEXT($D305, ""@""))),
      IMPORTRANGE(""https://docs.google.com/spreadsheets/d/1DccNxjBgurEr0ABkI_"&amp;"rBagJT5phB5HaHG5N_mTm_BiA/edit?gid=1382299152#gid=1382299152"", ""Form responses 1!$Z:$Z"") = 6
    ),
    1
  ),
  ""Not Found""
)
"),"Not Found")</f>
        <v>Not Found</v>
      </c>
      <c r="U305"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1!$E:$E"")=$D305) *
        (IMPORTRANGE(""https://docs.google.com/spreadsheets/d/161aHT6vVT3SLneTKD19N5qVWtnj_jIT8CSsOmUVKmaA"&amp;"/edit?gid=1761053510"",
          ""Haris_Form responses 1!$AQ:$AQ"")=6)
      ),
      1
    ),
    ""0""
  ),
  ""Form not found""
)
"),"Form not found")</f>
        <v>Form not found</v>
      </c>
      <c r="V305" s="247" t="str">
        <f>IFERROR(__xludf.DUMMYFUNCTION("IFERROR(
  INDEX(
    FILTER(
      Transcription!$AJ:$AJ,
      TRIM(CLEAN(TEXT(Transcription!$F:$F, ""@""))) = TRIM(CLEAN(TEXT($D305, ""@""))),
      Transcription!$AO:$AO = 6
    ),
    1
  ),
  ""Not Found""
)
"),"Not Found")</f>
        <v>Not Found</v>
      </c>
      <c r="X305" s="264" t="s">
        <v>4714</v>
      </c>
      <c r="AA305" s="10">
        <f t="shared" si="2"/>
        <v>-5</v>
      </c>
    </row>
    <row r="306">
      <c r="A306" s="8" t="str">
        <f>VLOOKUP($D306,Sheet6!$B:$G,5,FALSE)</f>
        <v>Rawalpindi</v>
      </c>
      <c r="B306" s="232" t="str">
        <f>VLOOKUP($D306,Sheet6!$B:$G,4,FALSE)</f>
        <v>Women Religious No Info Share</v>
      </c>
      <c r="C306" s="8">
        <v>3.0</v>
      </c>
      <c r="D306" s="8" t="s">
        <v>4715</v>
      </c>
      <c r="E30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TRIM(CLEAN(TEXT($D306, ""@""))),
      IMPORTRANGE(""https://docs.google.com/spreadsheets/d/1DccNxjBgurEr0ABkI_"&amp;"rBagJT5phB5HaHG5N_mTm_BiA/edit?gid=1382299152#gid=1382299152"", ""Form responses 1!$Z:$Z"") = 1
    ),
    1
  ),
  ""Not Found""
)
"),"https://drive.google.com/open?id=1fjvZ0cqhYIRN7u_To7B4VGAy4VLIYpd4")</f>
        <v>https://drive.google.com/open?id=1fjvZ0cqhYIRN7u_To7B4VGAy4VLIYpd4</v>
      </c>
      <c r="F3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1!$E:$E"")=$D306) *
        (IMPORTRANGE(""https://docs.google.com/spreadsheets/d/161aHT6vVT3SLneTKD19N5qVWtnj_jIT8CSsOmUVKmaA"&amp;"/edit?gid=1761053510"",
          ""Haris_Form responses 1!$AQ:$AQ"")=1)
      ),
      1
    ),
    ""0""
  ),
  ""Form not found""
)
"),"1")</f>
        <v>1</v>
      </c>
      <c r="G306" s="245" t="str">
        <f>IFERROR(__xludf.DUMMYFUNCTION("IFERROR(
  INDEX(
    FILTER(
      Transcription!$AJ:$AJ,
      TRIM(CLEAN(TEXT(Transcription!$F:$F, ""@""))) = TRIM(CLEAN(TEXT($D306, ""@""))),
      Transcription!$AO:$AO = 1
    ),
    1
  ),
  ""Not Found""
)
"),"https://drive.google.com/open?id=1L5vcrtsQIMAkHr9Qv-OKVCkMAMbSTa9h")</f>
        <v>https://drive.google.com/open?id=1L5vcrtsQIMAkHr9Qv-OKVCkMAMbSTa9h</v>
      </c>
      <c r="H3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TRIM(CLEAN(TEXT($D306, ""@""))),
      IMPORTRANGE(""https://docs.google.com/spreadsheets/d/1DccNxjBgurEr0ABkI_"&amp;"rBagJT5phB5HaHG5N_mTm_BiA/edit?gid=1382299152#gid=1382299152"", ""Form responses 1!$Z:$Z"") = 2
    ),
    1
  ),
  ""Not Found""
)
"),"Not Found")</f>
        <v>Not Found</v>
      </c>
      <c r="I3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1!$E:$E"")=$D306) *
        (IMPORTRANGE(""https://docs.google.com/spreadsheets/d/161aHT6vVT3SLneTKD19N5qVWtnj_jIT8CSsOmUVKmaA"&amp;"/edit?gid=1761053510"",
          ""Haris_Form responses 1!$AQ:$AQ"")=2)
      ),
      1
    ),
    ""0""
  ),
  ""Form not found""
)
"),"Form not found")</f>
        <v>Form not found</v>
      </c>
      <c r="J306" s="247" t="str">
        <f>IFERROR(__xludf.DUMMYFUNCTION("IFERROR(
  INDEX(
    FILTER(
      Transcription!$AJ:$AJ,
      TRIM(CLEAN(TEXT(Transcription!$F:$F, ""@""))) = TRIM(CLEAN(TEXT($D306, ""@""))),
      Transcription!$AO:$AO = 2
    ),
    1
  ),
  ""Not Found""
)
"),"Not Found")</f>
        <v>Not Found</v>
      </c>
      <c r="K30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TRIM(CLEAN(TEXT($D306, ""@""))),
      IMPORTRANGE(""https://docs.google.com/spreadsheets/d/1DccNxjBgurEr0ABkI_"&amp;"rBagJT5phB5HaHG5N_mTm_BiA/edit?gid=1382299152#gid=1382299152"", ""Form responses 1!$Z:$Z"") = 3
    ),
    1
  ),
  ""Not Found""
)
"),"https://drive.google.com/file/d/1OlDYluBtYh4T9sl41og2SHimwqI1sNrN/view?usp=drive_link")</f>
        <v>https://drive.google.com/file/d/1OlDYluBtYh4T9sl41og2SHimwqI1sNrN/view?usp=drive_link</v>
      </c>
      <c r="L3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1!$E:$E"")=$D306) *
        (IMPORTRANGE(""https://docs.google.com/spreadsheets/d/161aHT6vVT3SLneTKD19N5qVWtnj_jIT8CSsOmUVKmaA"&amp;"/edit?gid=1761053510"",
          ""Haris_Form responses 1!$AQ:$AQ"")=3)
      ),
      1
    ),
    ""0""
  ),
  ""Form not found""
)
"),"3")</f>
        <v>3</v>
      </c>
      <c r="M306" s="245" t="str">
        <f>IFERROR(__xludf.DUMMYFUNCTION("IFERROR(
  INDEX(
    FILTER(
      Transcription!$AJ:$AJ,
      TRIM(CLEAN(TEXT(Transcription!$F:$F, ""@""))) = TRIM(CLEAN(TEXT($D306, ""@""))),
      Transcription!$AO:$AO = 3
    ),
    1
  ),
  ""Not Found""
)
"),"https://drive.google.com/open?id=1e4YpVhG8a25bsXUCp8KoM2r6b1IRHBzl")</f>
        <v>https://drive.google.com/open?id=1e4YpVhG8a25bsXUCp8KoM2r6b1IRHBzl</v>
      </c>
      <c r="N306"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TRIM(CLEAN(TEXT($D306, ""@""))),
      IMPORTRANGE(""https://docs.google.com/spreadsheets/d/1DccNxjBgurEr0ABkI_"&amp;"rBagJT5phB5HaHG5N_mTm_BiA/edit?gid=1382299152#gid=1382299152"", ""Form responses 1!$Z:$Z"") = 4
    ),
    1
  ),
  ""Not Found""
)
"),"https://drive.google.com/file/d/1ualuQiMREzy9cKENaZck5azPo9nZ9TWB/view?usp=drive_link")</f>
        <v>https://drive.google.com/file/d/1ualuQiMREzy9cKENaZck5azPo9nZ9TWB/view?usp=drive_link</v>
      </c>
      <c r="O3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1!$E:$E"")=$D306) *
        (IMPORTRANGE(""https://docs.google.com/spreadsheets/d/161aHT6vVT3SLneTKD19N5qVWtnj_jIT8CSsOmUVKmaA"&amp;"/edit?gid=1761053510"",
          ""Haris_Form responses 1!$AQ:$AQ"")=4)
      ),
      1
    ),
    ""0""
  ),
  ""Form not found""
)
"),"4")</f>
        <v>4</v>
      </c>
      <c r="P306" s="245" t="str">
        <f>IFERROR(__xludf.DUMMYFUNCTION("IFERROR(
  INDEX(
    FILTER(
      Transcription!$AJ:$AJ,
      TRIM(CLEAN(TEXT(Transcription!$F:$F, ""@""))) = TRIM(CLEAN(TEXT($D306, ""@""))),
      Transcription!$AO:$AO = 4
    ),
    1
  ),
  ""Not Found""
)
"),"https://drive.google.com/open?id=1CF_N93n76AsdMF46ddwwqlA-pYIsxwBL")</f>
        <v>https://drive.google.com/open?id=1CF_N93n76AsdMF46ddwwqlA-pYIsxwBL</v>
      </c>
      <c r="Q3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TRIM(CLEAN(TEXT($D306, ""@""))),
      IMPORTRANGE(""https://docs.google.com/spreadsheets/d/1DccNxjBgurEr0ABkI_"&amp;"rBagJT5phB5HaHG5N_mTm_BiA/edit?gid=1382299152#gid=1382299152"", ""Form responses 1!$Z:$Z"") = 5
    ),
    1
  ),
  ""Not Found""
)
"),"Not Found")</f>
        <v>Not Found</v>
      </c>
      <c r="R3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1!$E:$E"")=$D306) *
        (IMPORTRANGE(""https://docs.google.com/spreadsheets/d/161aHT6vVT3SLneTKD19N5qVWtnj_jIT8CSsOmUVKmaA"&amp;"/edit?gid=1761053510"",
          ""Haris_Form responses 1!$AQ:$AQ"")=5)
      ),
      1
    ),
    ""0""
  ),
  ""Form not found""
)
"),"Form not found")</f>
        <v>Form not found</v>
      </c>
      <c r="S306" s="247" t="str">
        <f>IFERROR(__xludf.DUMMYFUNCTION("IFERROR(
  INDEX(
    FILTER(
      Transcription!$AJ:$AJ,
      TRIM(CLEAN(TEXT(Transcription!$F:$F, ""@""))) = TRIM(CLEAN(TEXT($D306, ""@""))),
      Transcription!$AO:$AO = 5
    ),
    1
  ),
  ""Not Found""
)
"),"Not Found")</f>
        <v>Not Found</v>
      </c>
      <c r="T306"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TRIM(CLEAN(TEXT($D306, ""@""))),
      IMPORTRANGE(""https://docs.google.com/spreadsheets/d/1DccNxjBgurEr0ABkI_"&amp;"rBagJT5phB5HaHG5N_mTm_BiA/edit?gid=1382299152#gid=1382299152"", ""Form responses 1!$Z:$Z"") = 6
    ),
    1
  ),
  ""Not Found""
)
"),"Not Found")</f>
        <v>Not Found</v>
      </c>
      <c r="U306"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1!$E:$E"")=$D306) *
        (IMPORTRANGE(""https://docs.google.com/spreadsheets/d/161aHT6vVT3SLneTKD19N5qVWtnj_jIT8CSsOmUVKmaA"&amp;"/edit?gid=1761053510"",
          ""Haris_Form responses 1!$AQ:$AQ"")=6)
      ),
      1
    ),
    ""0""
  ),
  ""Form not found""
)
"),"Form not found")</f>
        <v>Form not found</v>
      </c>
      <c r="V306" s="247" t="str">
        <f>IFERROR(__xludf.DUMMYFUNCTION("IFERROR(
  INDEX(
    FILTER(
      Transcription!$AJ:$AJ,
      TRIM(CLEAN(TEXT(Transcription!$F:$F, ""@""))) = TRIM(CLEAN(TEXT($D306, ""@""))),
      Transcription!$AO:$AO = 6
    ),
    1
  ),
  ""Not Found""
)
"),"Not Found")</f>
        <v>Not Found</v>
      </c>
      <c r="AA306" s="10">
        <f t="shared" si="2"/>
        <v>-3</v>
      </c>
    </row>
    <row r="307">
      <c r="A307" s="8" t="str">
        <f>VLOOKUP($D307,Sheet6!$B:$G,5,FALSE)</f>
        <v>Rawalpindi</v>
      </c>
      <c r="B307" s="232" t="str">
        <f>VLOOKUP($D307,Sheet6!$B:$G,4,FALSE)</f>
        <v>Community Religious Info Share</v>
      </c>
      <c r="C307" s="8">
        <v>4.0</v>
      </c>
      <c r="D307" s="8" t="s">
        <v>4716</v>
      </c>
      <c r="E3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TRIM(CLEAN(TEXT($D307, ""@""))),
      IMPORTRANGE(""https://docs.google.com/spreadsheets/d/1DccNxjBgurEr0ABkI_"&amp;"rBagJT5phB5HaHG5N_mTm_BiA/edit?gid=1382299152#gid=1382299152"", ""Form responses 1!$Z:$Z"") = 1
    ),
    1
  ),
  ""Not Found""
)
"),"https://drive.google.com/open?id=1Spah6AOG003Cq-resxicmrUXD_nIz_PZ")</f>
        <v>https://drive.google.com/open?id=1Spah6AOG003Cq-resxicmrUXD_nIz_PZ</v>
      </c>
      <c r="F3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1!$E:$E"")=$D307) *
        (IMPORTRANGE(""https://docs.google.com/spreadsheets/d/161aHT6vVT3SLneTKD19N5qVWtnj_jIT8CSsOmUVKmaA"&amp;"/edit?gid=1761053510"",
          ""Haris_Form responses 1!$AQ:$AQ"")=1)
      ),
      1
    ),
    ""0""
  ),
  ""Form not found""
)
"),"1")</f>
        <v>1</v>
      </c>
      <c r="G307" s="245" t="str">
        <f>IFERROR(__xludf.DUMMYFUNCTION("IFERROR(
  INDEX(
    FILTER(
      Transcription!$AJ:$AJ,
      TRIM(CLEAN(TEXT(Transcription!$F:$F, ""@""))) = TRIM(CLEAN(TEXT($D307, ""@""))),
      Transcription!$AO:$AO = 1
    ),
    1
  ),
  ""Not Found""
)
"),"https://drive.google.com/open?id=1xYYdK5Ct0RBpEJqM4zy6D6mFtrMODTY8")</f>
        <v>https://drive.google.com/open?id=1xYYdK5Ct0RBpEJqM4zy6D6mFtrMODTY8</v>
      </c>
      <c r="H3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TRIM(CLEAN(TEXT($D307, ""@""))),
      IMPORTRANGE(""https://docs.google.com/spreadsheets/d/1DccNxjBgurEr0ABkI_"&amp;"rBagJT5phB5HaHG5N_mTm_BiA/edit?gid=1382299152#gid=1382299152"", ""Form responses 1!$Z:$Z"") = 2
    ),
    1
  ),
  ""Not Found""
)
"),"https://drive.google.com/open?id=1ir7VW0TVFE0hK1eFnVo1jIPbZ271RpJF")</f>
        <v>https://drive.google.com/open?id=1ir7VW0TVFE0hK1eFnVo1jIPbZ271RpJF</v>
      </c>
      <c r="I3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1!$E:$E"")=$D307) *
        (IMPORTRANGE(""https://docs.google.com/spreadsheets/d/161aHT6vVT3SLneTKD19N5qVWtnj_jIT8CSsOmUVKmaA"&amp;"/edit?gid=1761053510"",
          ""Haris_Form responses 1!$AQ:$AQ"")=2)
      ),
      1
    ),
    ""0""
  ),
  ""Form not found""
)
"),"2")</f>
        <v>2</v>
      </c>
      <c r="J307" s="245" t="str">
        <f>IFERROR(__xludf.DUMMYFUNCTION("IFERROR(
  INDEX(
    FILTER(
      Transcription!$AJ:$AJ,
      TRIM(CLEAN(TEXT(Transcription!$F:$F, ""@""))) = TRIM(CLEAN(TEXT($D307, ""@""))),
      Transcription!$AO:$AO = 2
    ),
    1
  ),
  ""Not Found""
)
"),"https://drive.google.com/open?id=1Lu_Zy7ZRqeuh2I2TQ_06IRGKQMUPzA0P")</f>
        <v>https://drive.google.com/open?id=1Lu_Zy7ZRqeuh2I2TQ_06IRGKQMUPzA0P</v>
      </c>
      <c r="K3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TRIM(CLEAN(TEXT($D307, ""@""))),
      IMPORTRANGE(""https://docs.google.com/spreadsheets/d/1DccNxjBgurEr0ABkI_"&amp;"rBagJT5phB5HaHG5N_mTm_BiA/edit?gid=1382299152#gid=1382299152"", ""Form responses 1!$Z:$Z"") = 3
    ),
    1
  ),
  ""Not Found""
)
"),"https://drive.google.com/open?id=1ah3Iv73iy3YCHmGFFt2Dhm142kdkjb-W")</f>
        <v>https://drive.google.com/open?id=1ah3Iv73iy3YCHmGFFt2Dhm142kdkjb-W</v>
      </c>
      <c r="L3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1!$E:$E"")=$D307) *
        (IMPORTRANGE(""https://docs.google.com/spreadsheets/d/161aHT6vVT3SLneTKD19N5qVWtnj_jIT8CSsOmUVKmaA"&amp;"/edit?gid=1761053510"",
          ""Haris_Form responses 1!$AQ:$AQ"")=3)
      ),
      1
    ),
    ""0""
  ),
  ""Form not found""
)
"),"3")</f>
        <v>3</v>
      </c>
      <c r="M307" s="245" t="str">
        <f>IFERROR(__xludf.DUMMYFUNCTION("IFERROR(
  INDEX(
    FILTER(
      Transcription!$AJ:$AJ,
      TRIM(CLEAN(TEXT(Transcription!$F:$F, ""@""))) = TRIM(CLEAN(TEXT($D307, ""@""))),
      Transcription!$AO:$AO = 3
    ),
    1
  ),
  ""Not Found""
)
"),"https://drive.google.com/open?id=1y0a0lgJj_9gMZONfiFqnK7CFlSqz0s28")</f>
        <v>https://drive.google.com/open?id=1y0a0lgJj_9gMZONfiFqnK7CFlSqz0s28</v>
      </c>
      <c r="N307"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TRIM(CLEAN(TEXT($D307, ""@""))),
      IMPORTRANGE(""https://docs.google.com/spreadsheets/d/1DccNxjBgurEr0ABkI_"&amp;"rBagJT5phB5HaHG5N_mTm_BiA/edit?gid=1382299152#gid=1382299152"", ""Form responses 1!$Z:$Z"") = 4
    ),
    1
  ),
  ""Not Found""
)
"),"https://drive.google.com/open?id=1-ehshSu9RgBZJN3X1pcRd7dtsTo4ageE")</f>
        <v>https://drive.google.com/open?id=1-ehshSu9RgBZJN3X1pcRd7dtsTo4ageE</v>
      </c>
      <c r="O3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1!$E:$E"")=$D307) *
        (IMPORTRANGE(""https://docs.google.com/spreadsheets/d/161aHT6vVT3SLneTKD19N5qVWtnj_jIT8CSsOmUVKmaA"&amp;"/edit?gid=1761053510"",
          ""Haris_Form responses 1!$AQ:$AQ"")=4)
      ),
      1
    ),
    ""0""
  ),
  ""Form not found""
)
"),"4")</f>
        <v>4</v>
      </c>
      <c r="P307" s="245" t="str">
        <f>IFERROR(__xludf.DUMMYFUNCTION("IFERROR(
  INDEX(
    FILTER(
      Transcription!$AJ:$AJ,
      TRIM(CLEAN(TEXT(Transcription!$F:$F, ""@""))) = TRIM(CLEAN(TEXT($D307, ""@""))),
      Transcription!$AO:$AO = 4
    ),
    1
  ),
  ""Not Found""
)
"),"https://drive.google.com/open?id=1JTOyFYfY0cYsGykaZkZtbMhwIrhir1Sh")</f>
        <v>https://drive.google.com/open?id=1JTOyFYfY0cYsGykaZkZtbMhwIrhir1Sh</v>
      </c>
      <c r="Q30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TRIM(CLEAN(TEXT($D307, ""@""))),
      IMPORTRANGE(""https://docs.google.com/spreadsheets/d/1DccNxjBgurEr0ABkI_"&amp;"rBagJT5phB5HaHG5N_mTm_BiA/edit?gid=1382299152#gid=1382299152"", ""Form responses 1!$Z:$Z"") = 5
    ),
    1
  ),
  ""Not Found""
)
"),"Not Found")</f>
        <v>Not Found</v>
      </c>
      <c r="R3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1!$E:$E"")=$D307) *
        (IMPORTRANGE(""https://docs.google.com/spreadsheets/d/161aHT6vVT3SLneTKD19N5qVWtnj_jIT8CSsOmUVKmaA"&amp;"/edit?gid=1761053510"",
          ""Haris_Form responses 1!$AQ:$AQ"")=5)
      ),
      1
    ),
    ""0""
  ),
  ""Form not found""
)
"),"Form not found")</f>
        <v>Form not found</v>
      </c>
      <c r="S307" s="247" t="str">
        <f>IFERROR(__xludf.DUMMYFUNCTION("IFERROR(
  INDEX(
    FILTER(
      Transcription!$AJ:$AJ,
      TRIM(CLEAN(TEXT(Transcription!$F:$F, ""@""))) = TRIM(CLEAN(TEXT($D307, ""@""))),
      Transcription!$AO:$AO = 5
    ),
    1
  ),
  ""Not Found""
)
"),"Not Found")</f>
        <v>Not Found</v>
      </c>
      <c r="T307"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TRIM(CLEAN(TEXT($D307, ""@""))),
      IMPORTRANGE(""https://docs.google.com/spreadsheets/d/1DccNxjBgurEr0ABkI_"&amp;"rBagJT5phB5HaHG5N_mTm_BiA/edit?gid=1382299152#gid=1382299152"", ""Form responses 1!$Z:$Z"") = 6
    ),
    1
  ),
  ""Not Found""
)
"),"Not Found")</f>
        <v>Not Found</v>
      </c>
      <c r="U307"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1!$E:$E"")=$D307) *
        (IMPORTRANGE(""https://docs.google.com/spreadsheets/d/161aHT6vVT3SLneTKD19N5qVWtnj_jIT8CSsOmUVKmaA"&amp;"/edit?gid=1761053510"",
          ""Haris_Form responses 1!$AQ:$AQ"")=6)
      ),
      1
    ),
    ""0""
  ),
  ""Form not found""
)
"),"Form not found")</f>
        <v>Form not found</v>
      </c>
      <c r="V307" s="247" t="str">
        <f>IFERROR(__xludf.DUMMYFUNCTION("IFERROR(
  INDEX(
    FILTER(
      Transcription!$AJ:$AJ,
      TRIM(CLEAN(TEXT(Transcription!$F:$F, ""@""))) = TRIM(CLEAN(TEXT($D307, ""@""))),
      Transcription!$AO:$AO = 6
    ),
    1
  ),
  ""Not Found""
)
"),"Not Found")</f>
        <v>Not Found</v>
      </c>
      <c r="AA307" s="10">
        <f t="shared" si="2"/>
        <v>-4</v>
      </c>
    </row>
    <row r="308">
      <c r="A308" s="8" t="str">
        <f>VLOOKUP($D308,Sheet6!$B:$G,5,FALSE)</f>
        <v>Rawalpindi</v>
      </c>
      <c r="B308" s="232" t="str">
        <f>VLOOKUP($D308,Sheet6!$B:$G,4,FALSE)</f>
        <v>Women Religious No Info Share</v>
      </c>
      <c r="C308" s="8">
        <v>4.0</v>
      </c>
      <c r="D308" s="8" t="s">
        <v>4717</v>
      </c>
      <c r="E30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TRIM(CLEAN(TEXT($D308, ""@""))),
      IMPORTRANGE(""https://docs.google.com/spreadsheets/d/1DccNxjBgurEr0ABkI_"&amp;"rBagJT5phB5HaHG5N_mTm_BiA/edit?gid=1382299152#gid=1382299152"", ""Form responses 1!$Z:$Z"") = 1
    ),
    1
  ),
  ""Not Found""
)
"),"https://drive.google.com/open?id=1xLdP4MshKdr8V5WL6KkopeC25VNwsQcp")</f>
        <v>https://drive.google.com/open?id=1xLdP4MshKdr8V5WL6KkopeC25VNwsQcp</v>
      </c>
      <c r="F3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1!$E:$E"")=$D308) *
        (IMPORTRANGE(""https://docs.google.com/spreadsheets/d/161aHT6vVT3SLneTKD19N5qVWtnj_jIT8CSsOmUVKmaA"&amp;"/edit?gid=1761053510"",
          ""Haris_Form responses 1!$AQ:$AQ"")=1)
      ),
      1
    ),
    ""0""
  ),
  ""Form not found""
)
"),"1")</f>
        <v>1</v>
      </c>
      <c r="G308" s="245" t="str">
        <f>IFERROR(__xludf.DUMMYFUNCTION("IFERROR(
  INDEX(
    FILTER(
      Transcription!$AJ:$AJ,
      TRIM(CLEAN(TEXT(Transcription!$F:$F, ""@""))) = TRIM(CLEAN(TEXT($D308, ""@""))),
      Transcription!$AO:$AO = 1
    ),
    1
  ),
  ""Not Found""
)
"),"https://drive.google.com/open?id=143MPdKOeldMM6iZjpzX9GPKoXinf6k9AHrk2MG7ggAE")</f>
        <v>https://drive.google.com/open?id=143MPdKOeldMM6iZjpzX9GPKoXinf6k9AHrk2MG7ggAE</v>
      </c>
      <c r="H30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TRIM(CLEAN(TEXT($D308, ""@""))),
      IMPORTRANGE(""https://docs.google.com/spreadsheets/d/1DccNxjBgurEr0ABkI_"&amp;"rBagJT5phB5HaHG5N_mTm_BiA/edit?gid=1382299152#gid=1382299152"", ""Form responses 1!$Z:$Z"") = 2
    ),
    1
  ),
  ""Not Found""
)
"),"https://drive.google.com/open?id=1lpOfspmvDnVNEPJ-EdLHI4yyXL8m-j9F")</f>
        <v>https://drive.google.com/open?id=1lpOfspmvDnVNEPJ-EdLHI4yyXL8m-j9F</v>
      </c>
      <c r="I3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1!$E:$E"")=$D308) *
        (IMPORTRANGE(""https://docs.google.com/spreadsheets/d/161aHT6vVT3SLneTKD19N5qVWtnj_jIT8CSsOmUVKmaA"&amp;"/edit?gid=1761053510"",
          ""Haris_Form responses 1!$AQ:$AQ"")=2)
      ),
      1
    ),
    ""0""
  ),
  ""Form not found""
)
"),"2")</f>
        <v>2</v>
      </c>
      <c r="J308" s="245" t="str">
        <f>IFERROR(__xludf.DUMMYFUNCTION("IFERROR(
  INDEX(
    FILTER(
      Transcription!$AJ:$AJ,
      TRIM(CLEAN(TEXT(Transcription!$F:$F, ""@""))) = TRIM(CLEAN(TEXT($D308, ""@""))),
      Transcription!$AO:$AO = 2
    ),
    1
  ),
  ""Not Found""
)
"),"https://drive.google.com/open?id=1KdayRp4Utwu1ThsbNSwsYaMhIXxcrseCMb8Myt4kJvE")</f>
        <v>https://drive.google.com/open?id=1KdayRp4Utwu1ThsbNSwsYaMhIXxcrseCMb8Myt4kJvE</v>
      </c>
      <c r="K30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TRIM(CLEAN(TEXT($D308, ""@""))),
      IMPORTRANGE(""https://docs.google.com/spreadsheets/d/1DccNxjBgurEr0ABkI_"&amp;"rBagJT5phB5HaHG5N_mTm_BiA/edit?gid=1382299152#gid=1382299152"", ""Form responses 1!$Z:$Z"") = 3
    ),
    1
  ),
  ""Not Found""
)
"),"https://drive.google.com/open?id=10kAK90Y7dnJArVgo-HdJtRikbCV-rVMG")</f>
        <v>https://drive.google.com/open?id=10kAK90Y7dnJArVgo-HdJtRikbCV-rVMG</v>
      </c>
      <c r="L3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1!$E:$E"")=$D308) *
        (IMPORTRANGE(""https://docs.google.com/spreadsheets/d/161aHT6vVT3SLneTKD19N5qVWtnj_jIT8CSsOmUVKmaA"&amp;"/edit?gid=1761053510"",
          ""Haris_Form responses 1!$AQ:$AQ"")=3)
      ),
      1
    ),
    ""0""
  ),
  ""Form not found""
)
"),"3")</f>
        <v>3</v>
      </c>
      <c r="M308" s="245" t="str">
        <f>IFERROR(__xludf.DUMMYFUNCTION("IFERROR(
  INDEX(
    FILTER(
      Transcription!$AJ:$AJ,
      TRIM(CLEAN(TEXT(Transcription!$F:$F, ""@""))) = TRIM(CLEAN(TEXT($D308, ""@""))),
      Transcription!$AO:$AO = 3
    ),
    1
  ),
  ""Not Found""
)
"),"https://drive.google.com/open?id=1POK0PNQIEcisDQC7ps16H_QL3vIGR4kquLw0HycPkQQ")</f>
        <v>https://drive.google.com/open?id=1POK0PNQIEcisDQC7ps16H_QL3vIGR4kquLw0HycPkQQ</v>
      </c>
      <c r="N30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TRIM(CLEAN(TEXT($D308, ""@""))),
      IMPORTRANGE(""https://docs.google.com/spreadsheets/d/1DccNxjBgurEr0ABkI_"&amp;"rBagJT5phB5HaHG5N_mTm_BiA/edit?gid=1382299152#gid=1382299152"", ""Form responses 1!$Z:$Z"") = 4
    ),
    1
  ),
  ""Not Found""
)
"),"Not Found")</f>
        <v>Not Found</v>
      </c>
      <c r="O3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1!$E:$E"")=$D308) *
        (IMPORTRANGE(""https://docs.google.com/spreadsheets/d/161aHT6vVT3SLneTKD19N5qVWtnj_jIT8CSsOmUVKmaA"&amp;"/edit?gid=1761053510"",
          ""Haris_Form responses 1!$AQ:$AQ"")=4)
      ),
      1
    ),
    ""0""
  ),
  ""Form not found""
)
"),"Form not found")</f>
        <v>Form not found</v>
      </c>
      <c r="P308" s="247" t="str">
        <f>IFERROR(__xludf.DUMMYFUNCTION("IFERROR(
  INDEX(
    FILTER(
      Transcription!$AJ:$AJ,
      TRIM(CLEAN(TEXT(Transcription!$F:$F, ""@""))) = TRIM(CLEAN(TEXT($D308, ""@""))),
      Transcription!$AO:$AO = 4
    ),
    1
  ),
  ""Not Found""
)
"),"Not Found")</f>
        <v>Not Found</v>
      </c>
      <c r="Q308"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TRIM(CLEAN(TEXT($D308, ""@""))),
      IMPORTRANGE(""https://docs.google.com/spreadsheets/d/1DccNxjBgurEr0ABkI_"&amp;"rBagJT5phB5HaHG5N_mTm_BiA/edit?gid=1382299152#gid=1382299152"", ""Form responses 1!$Z:$Z"") = 5
    ),
    1
  ),
  ""Not Found""
)
"),"https://drive.google.com/open?id=1ZdzwHAZmZfKrGuU4MbSs35kRnG-zE4XQ")</f>
        <v>https://drive.google.com/open?id=1ZdzwHAZmZfKrGuU4MbSs35kRnG-zE4XQ</v>
      </c>
      <c r="R3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1!$E:$E"")=$D308) *
        (IMPORTRANGE(""https://docs.google.com/spreadsheets/d/161aHT6vVT3SLneTKD19N5qVWtnj_jIT8CSsOmUVKmaA"&amp;"/edit?gid=1761053510"",
          ""Haris_Form responses 1!$AQ:$AQ"")=5)
      ),
      1
    ),
    ""0""
  ),
  ""Form not found""
)
"),"5")</f>
        <v>5</v>
      </c>
      <c r="S308" s="245" t="str">
        <f>IFERROR(__xludf.DUMMYFUNCTION("IFERROR(
  INDEX(
    FILTER(
      Transcription!$AJ:$AJ,
      TRIM(CLEAN(TEXT(Transcription!$F:$F, ""@""))) = TRIM(CLEAN(TEXT($D308, ""@""))),
      Transcription!$AO:$AO = 5
    ),
    1
  ),
  ""Not Found""
)
"),"https://drive.google.com/open?id=1medLDadPiqkOf-kxhYw7Xyk-xhM0RxNoq7gnI6S5u8I")</f>
        <v>https://drive.google.com/open?id=1medLDadPiqkOf-kxhYw7Xyk-xhM0RxNoq7gnI6S5u8I</v>
      </c>
      <c r="T308"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TRIM(CLEAN(TEXT($D308, ""@""))),
      IMPORTRANGE(""https://docs.google.com/spreadsheets/d/1DccNxjBgurEr0ABkI_"&amp;"rBagJT5phB5HaHG5N_mTm_BiA/edit?gid=1382299152#gid=1382299152"", ""Form responses 1!$Z:$Z"") = 6
    ),
    1
  ),
  ""Not Found""
)
"),"Not Found")</f>
        <v>Not Found</v>
      </c>
      <c r="U308"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1!$E:$E"")=$D308) *
        (IMPORTRANGE(""https://docs.google.com/spreadsheets/d/161aHT6vVT3SLneTKD19N5qVWtnj_jIT8CSsOmUVKmaA"&amp;"/edit?gid=1761053510"",
          ""Haris_Form responses 1!$AQ:$AQ"")=6)
      ),
      1
    ),
    ""0""
  ),
  ""Form not found""
)
"),"Form not found")</f>
        <v>Form not found</v>
      </c>
      <c r="V308" s="247" t="str">
        <f>IFERROR(__xludf.DUMMYFUNCTION("IFERROR(
  INDEX(
    FILTER(
      Transcription!$AJ:$AJ,
      TRIM(CLEAN(TEXT(Transcription!$F:$F, ""@""))) = TRIM(CLEAN(TEXT($D308, ""@""))),
      Transcription!$AO:$AO = 6
    ),
    1
  ),
  ""Not Found""
)
"),"Not Found")</f>
        <v>Not Found</v>
      </c>
      <c r="AA308" s="10">
        <f t="shared" si="2"/>
        <v>-4</v>
      </c>
    </row>
    <row r="309">
      <c r="A309" s="8" t="str">
        <f>VLOOKUP($D309,Sheet6!$B:$G,5,FALSE)</f>
        <v>Rawalpindi</v>
      </c>
      <c r="B309" s="232" t="str">
        <f>VLOOKUP($D309,Sheet6!$B:$G,4,FALSE)</f>
        <v>Community Secular Info Share</v>
      </c>
      <c r="C309" s="8">
        <v>3.0</v>
      </c>
      <c r="D309" s="8" t="s">
        <v>4718</v>
      </c>
      <c r="E30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TRIM(CLEAN(TEXT($D309, ""@""))),
      IMPORTRANGE(""https://docs.google.com/spreadsheets/d/1DccNxjBgurEr0ABkI_"&amp;"rBagJT5phB5HaHG5N_mTm_BiA/edit?gid=1382299152#gid=1382299152"", ""Form responses 1!$Z:$Z"") = 1
    ),
    1
  ),
  ""Not Found""
)
"),"https://drive.google.com/open?id=1vs86z4urY34PTu4OGMbJN0_TNZAnPECk")</f>
        <v>https://drive.google.com/open?id=1vs86z4urY34PTu4OGMbJN0_TNZAnPECk</v>
      </c>
      <c r="F3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1!$E:$E"")=$D309) *
        (IMPORTRANGE(""https://docs.google.com/spreadsheets/d/161aHT6vVT3SLneTKD19N5qVWtnj_jIT8CSsOmUVKmaA"&amp;"/edit?gid=1761053510"",
          ""Haris_Form responses 1!$AQ:$AQ"")=1)
      ),
      1
    ),
    ""0""
  ),
  ""Form not found""
)
"),"1")</f>
        <v>1</v>
      </c>
      <c r="G309" s="245" t="str">
        <f>IFERROR(__xludf.DUMMYFUNCTION("IFERROR(
  INDEX(
    FILTER(
      Transcription!$AJ:$AJ,
      TRIM(CLEAN(TEXT(Transcription!$F:$F, ""@""))) = TRIM(CLEAN(TEXT($D309, ""@""))),
      Transcription!$AO:$AO = 1
    ),
    1
  ),
  ""Not Found""
)
"),"https://drive.google.com/open?id=13IDwH1jk2BVX6yLeDhwKSyEqOzElkRkJ")</f>
        <v>https://drive.google.com/open?id=13IDwH1jk2BVX6yLeDhwKSyEqOzElkRkJ</v>
      </c>
      <c r="H30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TRIM(CLEAN(TEXT($D309, ""@""))),
      IMPORTRANGE(""https://docs.google.com/spreadsheets/d/1DccNxjBgurEr0ABkI_"&amp;"rBagJT5phB5HaHG5N_mTm_BiA/edit?gid=1382299152#gid=1382299152"", ""Form responses 1!$Z:$Z"") = 2
    ),
    1
  ),
  ""Not Found""
)
"),"https://drive.google.com/open?id=1mEkK_Ir8cnyw7RXLUzWMloSu6ZgPWqK8")</f>
        <v>https://drive.google.com/open?id=1mEkK_Ir8cnyw7RXLUzWMloSu6ZgPWqK8</v>
      </c>
      <c r="I3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1!$E:$E"")=$D309) *
        (IMPORTRANGE(""https://docs.google.com/spreadsheets/d/161aHT6vVT3SLneTKD19N5qVWtnj_jIT8CSsOmUVKmaA"&amp;"/edit?gid=1761053510"",
          ""Haris_Form responses 1!$AQ:$AQ"")=2)
      ),
      1
    ),
    ""0""
  ),
  ""Form not found""
)
"),"2")</f>
        <v>2</v>
      </c>
      <c r="J309" s="245" t="str">
        <f>IFERROR(__xludf.DUMMYFUNCTION("IFERROR(
  INDEX(
    FILTER(
      Transcription!$AJ:$AJ,
      TRIM(CLEAN(TEXT(Transcription!$F:$F, ""@""))) = TRIM(CLEAN(TEXT($D309, ""@""))),
      Transcription!$AO:$AO = 2
    ),
    1
  ),
  ""Not Found""
)
"),"https://drive.google.com/open?id=1jXQFz9tWqcKTt4NxkjUN3qEJZB_zPDup")</f>
        <v>https://drive.google.com/open?id=1jXQFz9tWqcKTt4NxkjUN3qEJZB_zPDup</v>
      </c>
      <c r="K309"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TRIM(CLEAN(TEXT($D309, ""@""))),
      IMPORTRANGE(""https://docs.google.com/spreadsheets/d/1DccNxjBgurEr0ABkI_"&amp;"rBagJT5phB5HaHG5N_mTm_BiA/edit?gid=1382299152#gid=1382299152"", ""Form responses 1!$Z:$Z"") = 3
    ),
    1
  ),
  ""Not Found""
)
"),"https://drive.google.com/open?id=1n5zOzWBI1KL6UJ2ZzNK4lq8izfSnviuG")</f>
        <v>https://drive.google.com/open?id=1n5zOzWBI1KL6UJ2ZzNK4lq8izfSnviuG</v>
      </c>
      <c r="L3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1!$E:$E"")=$D309) *
        (IMPORTRANGE(""https://docs.google.com/spreadsheets/d/161aHT6vVT3SLneTKD19N5qVWtnj_jIT8CSsOmUVKmaA"&amp;"/edit?gid=1761053510"",
          ""Haris_Form responses 1!$AQ:$AQ"")=3)
      ),
      1
    ),
    ""0""
  ),
  ""Form not found""
)
"),"3")</f>
        <v>3</v>
      </c>
      <c r="M309" s="245" t="str">
        <f>IFERROR(__xludf.DUMMYFUNCTION("IFERROR(
  INDEX(
    FILTER(
      Transcription!$AJ:$AJ,
      TRIM(CLEAN(TEXT(Transcription!$F:$F, ""@""))) = TRIM(CLEAN(TEXT($D309, ""@""))),
      Transcription!$AO:$AO = 3
    ),
    1
  ),
  ""Not Found""
)
"),"https://drive.google.com/open?id=1UmCVXNiamkSUS5vV285LIQiLpgEXiJE8")</f>
        <v>https://drive.google.com/open?id=1UmCVXNiamkSUS5vV285LIQiLpgEXiJE8</v>
      </c>
      <c r="N3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TRIM(CLEAN(TEXT($D309, ""@""))),
      IMPORTRANGE(""https://docs.google.com/spreadsheets/d/1DccNxjBgurEr0ABkI_"&amp;"rBagJT5phB5HaHG5N_mTm_BiA/edit?gid=1382299152#gid=1382299152"", ""Form responses 1!$Z:$Z"") = 4
    ),
    1
  ),
  ""Not Found""
)
"),"Not Found")</f>
        <v>Not Found</v>
      </c>
      <c r="O3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1!$E:$E"")=$D309) *
        (IMPORTRANGE(""https://docs.google.com/spreadsheets/d/161aHT6vVT3SLneTKD19N5qVWtnj_jIT8CSsOmUVKmaA"&amp;"/edit?gid=1761053510"",
          ""Haris_Form responses 1!$AQ:$AQ"")=4)
      ),
      1
    ),
    ""0""
  ),
  ""Form not found""
)
"),"Form not found")</f>
        <v>Form not found</v>
      </c>
      <c r="P309" s="247" t="str">
        <f>IFERROR(__xludf.DUMMYFUNCTION("IFERROR(
  INDEX(
    FILTER(
      Transcription!$AJ:$AJ,
      TRIM(CLEAN(TEXT(Transcription!$F:$F, ""@""))) = TRIM(CLEAN(TEXT($D309, ""@""))),
      Transcription!$AO:$AO = 4
    ),
    1
  ),
  ""Not Found""
)
"),"Not Found")</f>
        <v>Not Found</v>
      </c>
      <c r="Q3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TRIM(CLEAN(TEXT($D309, ""@""))),
      IMPORTRANGE(""https://docs.google.com/spreadsheets/d/1DccNxjBgurEr0ABkI_"&amp;"rBagJT5phB5HaHG5N_mTm_BiA/edit?gid=1382299152#gid=1382299152"", ""Form responses 1!$Z:$Z"") = 5
    ),
    1
  ),
  ""Not Found""
)
"),"Not Found")</f>
        <v>Not Found</v>
      </c>
      <c r="R3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1!$E:$E"")=$D309) *
        (IMPORTRANGE(""https://docs.google.com/spreadsheets/d/161aHT6vVT3SLneTKD19N5qVWtnj_jIT8CSsOmUVKmaA"&amp;"/edit?gid=1761053510"",
          ""Haris_Form responses 1!$AQ:$AQ"")=5)
      ),
      1
    ),
    ""0""
  ),
  ""Form not found""
)
"),"Form not found")</f>
        <v>Form not found</v>
      </c>
      <c r="S309" s="247" t="str">
        <f>IFERROR(__xludf.DUMMYFUNCTION("IFERROR(
  INDEX(
    FILTER(
      Transcription!$AJ:$AJ,
      TRIM(CLEAN(TEXT(Transcription!$F:$F, ""@""))) = TRIM(CLEAN(TEXT($D309, ""@""))),
      Transcription!$AO:$AO = 5
    ),
    1
  ),
  ""Not Found""
)
"),"Not Found")</f>
        <v>Not Found</v>
      </c>
      <c r="T309"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TRIM(CLEAN(TEXT($D309, ""@""))),
      IMPORTRANGE(""https://docs.google.com/spreadsheets/d/1DccNxjBgurEr0ABkI_"&amp;"rBagJT5phB5HaHG5N_mTm_BiA/edit?gid=1382299152#gid=1382299152"", ""Form responses 1!$Z:$Z"") = 6
    ),
    1
  ),
  ""Not Found""
)
"),"Not Found")</f>
        <v>Not Found</v>
      </c>
      <c r="U309"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1!$E:$E"")=$D309) *
        (IMPORTRANGE(""https://docs.google.com/spreadsheets/d/161aHT6vVT3SLneTKD19N5qVWtnj_jIT8CSsOmUVKmaA"&amp;"/edit?gid=1761053510"",
          ""Haris_Form responses 1!$AQ:$AQ"")=6)
      ),
      1
    ),
    ""0""
  ),
  ""Form not found""
)
"),"Form not found")</f>
        <v>Form not found</v>
      </c>
      <c r="V309" s="247" t="str">
        <f>IFERROR(__xludf.DUMMYFUNCTION("IFERROR(
  INDEX(
    FILTER(
      Transcription!$AJ:$AJ,
      TRIM(CLEAN(TEXT(Transcription!$F:$F, ""@""))) = TRIM(CLEAN(TEXT($D309, ""@""))),
      Transcription!$AO:$AO = 6
    ),
    1
  ),
  ""Not Found""
)
"),"Not Found")</f>
        <v>Not Found</v>
      </c>
      <c r="AA309" s="10">
        <f t="shared" si="2"/>
        <v>-3</v>
      </c>
    </row>
    <row r="310">
      <c r="A310" s="8" t="str">
        <f>VLOOKUP($D310,Sheet6!$B:$G,5,FALSE)</f>
        <v>Rawalpindi</v>
      </c>
      <c r="B310" s="232" t="str">
        <f>VLOOKUP($D310,Sheet6!$B:$G,4,FALSE)</f>
        <v>Women Secular Info Share</v>
      </c>
      <c r="C310" s="8">
        <v>3.0</v>
      </c>
      <c r="D310" s="8" t="s">
        <v>4719</v>
      </c>
      <c r="E31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TRIM(CLEAN(TEXT($D310, ""@""))),
      IMPORTRANGE(""https://docs.google.com/spreadsheets/d/1DccNxjBgurEr0ABkI_"&amp;"rBagJT5phB5HaHG5N_mTm_BiA/edit?gid=1382299152#gid=1382299152"", ""Form responses 1!$Z:$Z"") = 1
    ),
    1
  ),
  ""Not Found""
)
"),"https://drive.google.com/open?id=1nXW-JLuepYUsud5NTO7cmQJaCL62_IKJ")</f>
        <v>https://drive.google.com/open?id=1nXW-JLuepYUsud5NTO7cmQJaCL62_IKJ</v>
      </c>
      <c r="F3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1!$E:$E"")=$D310) *
        (IMPORTRANGE(""https://docs.google.com/spreadsheets/d/161aHT6vVT3SLneTKD19N5qVWtnj_jIT8CSsOmUVKmaA"&amp;"/edit?gid=1761053510"",
          ""Haris_Form responses 1!$AQ:$AQ"")=1)
      ),
      1
    ),
    ""0""
  ),
  ""Form not found""
)
"),"1")</f>
        <v>1</v>
      </c>
      <c r="G310" s="245" t="str">
        <f>IFERROR(__xludf.DUMMYFUNCTION("IFERROR(
  INDEX(
    FILTER(
      Transcription!$AJ:$AJ,
      TRIM(CLEAN(TEXT(Transcription!$F:$F, ""@""))) = TRIM(CLEAN(TEXT($D310, ""@""))),
      Transcription!$AO:$AO = 1
    ),
    1
  ),
  ""Not Found""
)
"),"https://drive.google.com/open?id=1E-osumwsnlY5kU12r1QA3n4uckGq92eHRWH3O3oJrZc")</f>
        <v>https://drive.google.com/open?id=1E-osumwsnlY5kU12r1QA3n4uckGq92eHRWH3O3oJrZc</v>
      </c>
      <c r="H31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TRIM(CLEAN(TEXT($D310, ""@""))),
      IMPORTRANGE(""https://docs.google.com/spreadsheets/d/1DccNxjBgurEr0ABkI_"&amp;"rBagJT5phB5HaHG5N_mTm_BiA/edit?gid=1382299152#gid=1382299152"", ""Form responses 1!$Z:$Z"") = 2
    ),
    1
  ),
  ""Not Found""
)
"),"https://drive.google.com/open?id=1bIvUW8bIlFzGEGl06gL5bivx4eLLqnj7")</f>
        <v>https://drive.google.com/open?id=1bIvUW8bIlFzGEGl06gL5bivx4eLLqnj7</v>
      </c>
      <c r="I3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1!$E:$E"")=$D310) *
        (IMPORTRANGE(""https://docs.google.com/spreadsheets/d/161aHT6vVT3SLneTKD19N5qVWtnj_jIT8CSsOmUVKmaA"&amp;"/edit?gid=1761053510"",
          ""Haris_Form responses 1!$AQ:$AQ"")=2)
      ),
      1
    ),
    ""0""
  ),
  ""Form not found""
)
"),"2")</f>
        <v>2</v>
      </c>
      <c r="J310" s="245" t="str">
        <f>IFERROR(__xludf.DUMMYFUNCTION("IFERROR(
  INDEX(
    FILTER(
      Transcription!$AJ:$AJ,
      TRIM(CLEAN(TEXT(Transcription!$F:$F, ""@""))) = TRIM(CLEAN(TEXT($D310, ""@""))),
      Transcription!$AO:$AO = 2
    ),
    1
  ),
  ""Not Found""
)
"),"https://drive.google.com/open?id=1jEea5eObqc3VBTLLGQVyDSGE9L7cHchz")</f>
        <v>https://drive.google.com/open?id=1jEea5eObqc3VBTLLGQVyDSGE9L7cHchz</v>
      </c>
      <c r="K310"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TRIM(CLEAN(TEXT($D310, ""@""))),
      IMPORTRANGE(""https://docs.google.com/spreadsheets/d/1DccNxjBgurEr0ABkI_"&amp;"rBagJT5phB5HaHG5N_mTm_BiA/edit?gid=1382299152#gid=1382299152"", ""Form responses 1!$Z:$Z"") = 3
    ),
    1
  ),
  ""Not Found""
)
"),"https://drive.google.com/open?id=1YMV8hyCWrFbWcKHOn82SmALkGmSjFIG6")</f>
        <v>https://drive.google.com/open?id=1YMV8hyCWrFbWcKHOn82SmALkGmSjFIG6</v>
      </c>
      <c r="L3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1!$E:$E"")=$D310) *
        (IMPORTRANGE(""https://docs.google.com/spreadsheets/d/161aHT6vVT3SLneTKD19N5qVWtnj_jIT8CSsOmUVKmaA"&amp;"/edit?gid=1761053510"",
          ""Haris_Form responses 1!$AQ:$AQ"")=3)
      ),
      1
    ),
    ""0""
  ),
  ""Form not found""
)
"),"3")</f>
        <v>3</v>
      </c>
      <c r="M310" s="245" t="str">
        <f>IFERROR(__xludf.DUMMYFUNCTION("IFERROR(
  INDEX(
    FILTER(
      Transcription!$AJ:$AJ,
      TRIM(CLEAN(TEXT(Transcription!$F:$F, ""@""))) = TRIM(CLEAN(TEXT($D310, ""@""))),
      Transcription!$AO:$AO = 3
    ),
    1
  ),
  ""Not Found""
)
"),"https://drive.google.com/open?id=1c8UVqdTUU6qPNwS8L2mEs2gpg-CPJwvO")</f>
        <v>https://drive.google.com/open?id=1c8UVqdTUU6qPNwS8L2mEs2gpg-CPJwvO</v>
      </c>
      <c r="N3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TRIM(CLEAN(TEXT($D310, ""@""))),
      IMPORTRANGE(""https://docs.google.com/spreadsheets/d/1DccNxjBgurEr0ABkI_"&amp;"rBagJT5phB5HaHG5N_mTm_BiA/edit?gid=1382299152#gid=1382299152"", ""Form responses 1!$Z:$Z"") = 4
    ),
    1
  ),
  ""Not Found""
)
"),"Not Found")</f>
        <v>Not Found</v>
      </c>
      <c r="O3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1!$E:$E"")=$D310) *
        (IMPORTRANGE(""https://docs.google.com/spreadsheets/d/161aHT6vVT3SLneTKD19N5qVWtnj_jIT8CSsOmUVKmaA"&amp;"/edit?gid=1761053510"",
          ""Haris_Form responses 1!$AQ:$AQ"")=4)
      ),
      1
    ),
    ""0""
  ),
  ""Form not found""
)
"),"Form not found")</f>
        <v>Form not found</v>
      </c>
      <c r="P310" s="247" t="str">
        <f>IFERROR(__xludf.DUMMYFUNCTION("IFERROR(
  INDEX(
    FILTER(
      Transcription!$AJ:$AJ,
      TRIM(CLEAN(TEXT(Transcription!$F:$F, ""@""))) = TRIM(CLEAN(TEXT($D310, ""@""))),
      Transcription!$AO:$AO = 4
    ),
    1
  ),
  ""Not Found""
)
"),"Not Found")</f>
        <v>Not Found</v>
      </c>
      <c r="Q3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TRIM(CLEAN(TEXT($D310, ""@""))),
      IMPORTRANGE(""https://docs.google.com/spreadsheets/d/1DccNxjBgurEr0ABkI_"&amp;"rBagJT5phB5HaHG5N_mTm_BiA/edit?gid=1382299152#gid=1382299152"", ""Form responses 1!$Z:$Z"") = 5
    ),
    1
  ),
  ""Not Found""
)
"),"Not Found")</f>
        <v>Not Found</v>
      </c>
      <c r="R3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1!$E:$E"")=$D310) *
        (IMPORTRANGE(""https://docs.google.com/spreadsheets/d/161aHT6vVT3SLneTKD19N5qVWtnj_jIT8CSsOmUVKmaA"&amp;"/edit?gid=1761053510"",
          ""Haris_Form responses 1!$AQ:$AQ"")=5)
      ),
      1
    ),
    ""0""
  ),
  ""Form not found""
)
"),"Form not found")</f>
        <v>Form not found</v>
      </c>
      <c r="S310" s="247" t="str">
        <f>IFERROR(__xludf.DUMMYFUNCTION("IFERROR(
  INDEX(
    FILTER(
      Transcription!$AJ:$AJ,
      TRIM(CLEAN(TEXT(Transcription!$F:$F, ""@""))) = TRIM(CLEAN(TEXT($D310, ""@""))),
      Transcription!$AO:$AO = 5
    ),
    1
  ),
  ""Not Found""
)
"),"Not Found")</f>
        <v>Not Found</v>
      </c>
      <c r="T310"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TRIM(CLEAN(TEXT($D310, ""@""))),
      IMPORTRANGE(""https://docs.google.com/spreadsheets/d/1DccNxjBgurEr0ABkI_"&amp;"rBagJT5phB5HaHG5N_mTm_BiA/edit?gid=1382299152#gid=1382299152"", ""Form responses 1!$Z:$Z"") = 6
    ),
    1
  ),
  ""Not Found""
)
"),"Not Found")</f>
        <v>Not Found</v>
      </c>
      <c r="U310"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1!$E:$E"")=$D310) *
        (IMPORTRANGE(""https://docs.google.com/spreadsheets/d/161aHT6vVT3SLneTKD19N5qVWtnj_jIT8CSsOmUVKmaA"&amp;"/edit?gid=1761053510"",
          ""Haris_Form responses 1!$AQ:$AQ"")=6)
      ),
      1
    ),
    ""0""
  ),
  ""Form not found""
)
"),"Form not found")</f>
        <v>Form not found</v>
      </c>
      <c r="V310" s="247" t="str">
        <f>IFERROR(__xludf.DUMMYFUNCTION("IFERROR(
  INDEX(
    FILTER(
      Transcription!$AJ:$AJ,
      TRIM(CLEAN(TEXT(Transcription!$F:$F, ""@""))) = TRIM(CLEAN(TEXT($D310, ""@""))),
      Transcription!$AO:$AO = 6
    ),
    1
  ),
  ""Not Found""
)
"),"Not Found")</f>
        <v>Not Found</v>
      </c>
      <c r="AA310" s="10">
        <f t="shared" si="2"/>
        <v>-3</v>
      </c>
    </row>
    <row r="311">
      <c r="A311" s="8" t="str">
        <f>VLOOKUP($D311,Sheet6!$B:$G,5,FALSE)</f>
        <v>Rawalpindi</v>
      </c>
      <c r="B311" s="232" t="str">
        <f>VLOOKUP($D311,Sheet6!$B:$G,4,FALSE)</f>
        <v>Community Religious Info Share</v>
      </c>
      <c r="C311" s="8">
        <v>3.0</v>
      </c>
      <c r="D311" s="8" t="s">
        <v>4720</v>
      </c>
      <c r="E31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TRIM(CLEAN(TEXT($D311, ""@""))),
      IMPORTRANGE(""https://docs.google.com/spreadsheets/d/1DccNxjBgurEr0ABkI_"&amp;"rBagJT5phB5HaHG5N_mTm_BiA/edit?gid=1382299152#gid=1382299152"", ""Form responses 1!$Z:$Z"") = 1
    ),
    1
  ),
  ""Not Found""
)
"),"https://drive.google.com/open?id=1VgVTf0Out9MmejVaMXZNDPSlf0AwYuex")</f>
        <v>https://drive.google.com/open?id=1VgVTf0Out9MmejVaMXZNDPSlf0AwYuex</v>
      </c>
      <c r="F3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1!$E:$E"")=$D311) *
        (IMPORTRANGE(""https://docs.google.com/spreadsheets/d/161aHT6vVT3SLneTKD19N5qVWtnj_jIT8CSsOmUVKmaA"&amp;"/edit?gid=1761053510"",
          ""Haris_Form responses 1!$AQ:$AQ"")=1)
      ),
      1
    ),
    ""0""
  ),
  ""Form not found""
)
"),"1")</f>
        <v>1</v>
      </c>
      <c r="G311" s="245" t="str">
        <f>IFERROR(__xludf.DUMMYFUNCTION("IFERROR(
  INDEX(
    FILTER(
      Transcription!$AJ:$AJ,
      TRIM(CLEAN(TEXT(Transcription!$F:$F, ""@""))) = TRIM(CLEAN(TEXT($D311, ""@""))),
      Transcription!$AO:$AO = 1
    ),
    1
  ),
  ""Not Found""
)
"),"https://drive.google.com/open?id=1fzeYRBXoUxXMeMyaCfS5bEsJst41hZuuL2x-SL-Dof0")</f>
        <v>https://drive.google.com/open?id=1fzeYRBXoUxXMeMyaCfS5bEsJst41hZuuL2x-SL-Dof0</v>
      </c>
      <c r="H31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TRIM(CLEAN(TEXT($D311, ""@""))),
      IMPORTRANGE(""https://docs.google.com/spreadsheets/d/1DccNxjBgurEr0ABkI_"&amp;"rBagJT5phB5HaHG5N_mTm_BiA/edit?gid=1382299152#gid=1382299152"", ""Form responses 1!$Z:$Z"") = 2
    ),
    1
  ),
  ""Not Found""
)
"),"https://drive.google.com/open?id=12F-8rEeJuhN1Mh3pXEoLJkRse8cfn9Bp")</f>
        <v>https://drive.google.com/open?id=12F-8rEeJuhN1Mh3pXEoLJkRse8cfn9Bp</v>
      </c>
      <c r="I3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1!$E:$E"")=$D311) *
        (IMPORTRANGE(""https://docs.google.com/spreadsheets/d/161aHT6vVT3SLneTKD19N5qVWtnj_jIT8CSsOmUVKmaA"&amp;"/edit?gid=1761053510"",
          ""Haris_Form responses 1!$AQ:$AQ"")=2)
      ),
      1
    ),
    ""0""
  ),
  ""Form not found""
)
"),"2")</f>
        <v>2</v>
      </c>
      <c r="J311" s="245" t="str">
        <f>IFERROR(__xludf.DUMMYFUNCTION("IFERROR(
  INDEX(
    FILTER(
      Transcription!$AJ:$AJ,
      TRIM(CLEAN(TEXT(Transcription!$F:$F, ""@""))) = TRIM(CLEAN(TEXT($D311, ""@""))),
      Transcription!$AO:$AO = 2
    ),
    1
  ),
  ""Not Found""
)
"),"https://drive.google.com/open?id=1zX2fCBjzlUDsvmaZ-yMM8Yt_HPxCXkTOpGRFxlyaaTY")</f>
        <v>https://drive.google.com/open?id=1zX2fCBjzlUDsvmaZ-yMM8Yt_HPxCXkTOpGRFxlyaaTY</v>
      </c>
      <c r="K311"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TRIM(CLEAN(TEXT($D311, ""@""))),
      IMPORTRANGE(""https://docs.google.com/spreadsheets/d/1DccNxjBgurEr0ABkI_"&amp;"rBagJT5phB5HaHG5N_mTm_BiA/edit?gid=1382299152#gid=1382299152"", ""Form responses 1!$Z:$Z"") = 3
    ),
    1
  ),
  ""Not Found""
)
"),"https://drive.google.com/open?id=12lhxmer7KP_xXouBVbgPESXDdqDuUQtL")</f>
        <v>https://drive.google.com/open?id=12lhxmer7KP_xXouBVbgPESXDdqDuUQtL</v>
      </c>
      <c r="L3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1!$E:$E"")=$D311) *
        (IMPORTRANGE(""https://docs.google.com/spreadsheets/d/161aHT6vVT3SLneTKD19N5qVWtnj_jIT8CSsOmUVKmaA"&amp;"/edit?gid=1761053510"",
          ""Haris_Form responses 1!$AQ:$AQ"")=3)
      ),
      1
    ),
    ""0""
  ),
  ""Form not found""
)
"),"3")</f>
        <v>3</v>
      </c>
      <c r="M311" s="245" t="str">
        <f>IFERROR(__xludf.DUMMYFUNCTION("IFERROR(
  INDEX(
    FILTER(
      Transcription!$AJ:$AJ,
      TRIM(CLEAN(TEXT(Transcription!$F:$F, ""@""))) = TRIM(CLEAN(TEXT($D311, ""@""))),
      Transcription!$AO:$AO = 3
    ),
    1
  ),
  ""Not Found""
)
"),"https://drive.google.com/open?id=1oVyCTUcrMG6Z_Ojgzz2z5b3G5XxQx7Ax2S-61h3FEJ8")</f>
        <v>https://drive.google.com/open?id=1oVyCTUcrMG6Z_Ojgzz2z5b3G5XxQx7Ax2S-61h3FEJ8</v>
      </c>
      <c r="N3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TRIM(CLEAN(TEXT($D311, ""@""))),
      IMPORTRANGE(""https://docs.google.com/spreadsheets/d/1DccNxjBgurEr0ABkI_"&amp;"rBagJT5phB5HaHG5N_mTm_BiA/edit?gid=1382299152#gid=1382299152"", ""Form responses 1!$Z:$Z"") = 4
    ),
    1
  ),
  ""Not Found""
)
"),"Not Found")</f>
        <v>Not Found</v>
      </c>
      <c r="O3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1!$E:$E"")=$D311) *
        (IMPORTRANGE(""https://docs.google.com/spreadsheets/d/161aHT6vVT3SLneTKD19N5qVWtnj_jIT8CSsOmUVKmaA"&amp;"/edit?gid=1761053510"",
          ""Haris_Form responses 1!$AQ:$AQ"")=4)
      ),
      1
    ),
    ""0""
  ),
  ""Form not found""
)
"),"Form not found")</f>
        <v>Form not found</v>
      </c>
      <c r="P311" s="247" t="str">
        <f>IFERROR(__xludf.DUMMYFUNCTION("IFERROR(
  INDEX(
    FILTER(
      Transcription!$AJ:$AJ,
      TRIM(CLEAN(TEXT(Transcription!$F:$F, ""@""))) = TRIM(CLEAN(TEXT($D311, ""@""))),
      Transcription!$AO:$AO = 4
    ),
    1
  ),
  ""Not Found""
)
"),"Not Found")</f>
        <v>Not Found</v>
      </c>
      <c r="Q3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TRIM(CLEAN(TEXT($D311, ""@""))),
      IMPORTRANGE(""https://docs.google.com/spreadsheets/d/1DccNxjBgurEr0ABkI_"&amp;"rBagJT5phB5HaHG5N_mTm_BiA/edit?gid=1382299152#gid=1382299152"", ""Form responses 1!$Z:$Z"") = 5
    ),
    1
  ),
  ""Not Found""
)
"),"Not Found")</f>
        <v>Not Found</v>
      </c>
      <c r="R3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1!$E:$E"")=$D311) *
        (IMPORTRANGE(""https://docs.google.com/spreadsheets/d/161aHT6vVT3SLneTKD19N5qVWtnj_jIT8CSsOmUVKmaA"&amp;"/edit?gid=1761053510"",
          ""Haris_Form responses 1!$AQ:$AQ"")=5)
      ),
      1
    ),
    ""0""
  ),
  ""Form not found""
)
"),"Form not found")</f>
        <v>Form not found</v>
      </c>
      <c r="S311" s="247" t="str">
        <f>IFERROR(__xludf.DUMMYFUNCTION("IFERROR(
  INDEX(
    FILTER(
      Transcription!$AJ:$AJ,
      TRIM(CLEAN(TEXT(Transcription!$F:$F, ""@""))) = TRIM(CLEAN(TEXT($D311, ""@""))),
      Transcription!$AO:$AO = 5
    ),
    1
  ),
  ""Not Found""
)
"),"Not Found")</f>
        <v>Not Found</v>
      </c>
      <c r="T311"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TRIM(CLEAN(TEXT($D311, ""@""))),
      IMPORTRANGE(""https://docs.google.com/spreadsheets/d/1DccNxjBgurEr0ABkI_"&amp;"rBagJT5phB5HaHG5N_mTm_BiA/edit?gid=1382299152#gid=1382299152"", ""Form responses 1!$Z:$Z"") = 6
    ),
    1
  ),
  ""Not Found""
)
"),"Not Found")</f>
        <v>Not Found</v>
      </c>
      <c r="U311"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1!$E:$E"")=$D311) *
        (IMPORTRANGE(""https://docs.google.com/spreadsheets/d/161aHT6vVT3SLneTKD19N5qVWtnj_jIT8CSsOmUVKmaA"&amp;"/edit?gid=1761053510"",
          ""Haris_Form responses 1!$AQ:$AQ"")=6)
      ),
      1
    ),
    ""0""
  ),
  ""Form not found""
)
"),"Form not found")</f>
        <v>Form not found</v>
      </c>
      <c r="V311" s="247" t="str">
        <f>IFERROR(__xludf.DUMMYFUNCTION("IFERROR(
  INDEX(
    FILTER(
      Transcription!$AJ:$AJ,
      TRIM(CLEAN(TEXT(Transcription!$F:$F, ""@""))) = TRIM(CLEAN(TEXT($D311, ""@""))),
      Transcription!$AO:$AO = 6
    ),
    1
  ),
  ""Not Found""
)
"),"Not Found")</f>
        <v>Not Found</v>
      </c>
      <c r="AA311" s="10">
        <f t="shared" si="2"/>
        <v>-3</v>
      </c>
    </row>
    <row r="312">
      <c r="A312" s="8" t="str">
        <f>VLOOKUP($D312,Sheet6!$B:$G,5,FALSE)</f>
        <v>Rawalpindi</v>
      </c>
      <c r="B312" s="232" t="str">
        <f>VLOOKUP($D312,Sheet6!$B:$G,4,FALSE)</f>
        <v>Community Secular No Info Share</v>
      </c>
      <c r="C312" s="8">
        <v>5.0</v>
      </c>
      <c r="D312" s="8" t="s">
        <v>4721</v>
      </c>
      <c r="E3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TRIM(CLEAN(TEXT($D312, ""@""))),
      IMPORTRANGE(""https://docs.google.com/spreadsheets/d/1DccNxjBgurEr0ABkI_"&amp;"rBagJT5phB5HaHG5N_mTm_BiA/edit?gid=1382299152#gid=1382299152"", ""Form responses 1!$Z:$Z"") = 1
    ),
    1
  ),
  ""Not Found""
)
"),"https://drive.google.com/open?id=1n8hg6ZqKvkCYJrPY8EZQvcx13SsCU0Sz")</f>
        <v>https://drive.google.com/open?id=1n8hg6ZqKvkCYJrPY8EZQvcx13SsCU0Sz</v>
      </c>
      <c r="F3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1!$E:$E"")=$D312) *
        (IMPORTRANGE(""https://docs.google.com/spreadsheets/d/161aHT6vVT3SLneTKD19N5qVWtnj_jIT8CSsOmUVKmaA"&amp;"/edit?gid=1761053510"",
          ""Haris_Form responses 1!$AQ:$AQ"")=1)
      ),
      1
    ),
    ""0""
  ),
  ""Form not found""
)
"),"1")</f>
        <v>1</v>
      </c>
      <c r="G312" s="245" t="str">
        <f>IFERROR(__xludf.DUMMYFUNCTION("IFERROR(
  INDEX(
    FILTER(
      Transcription!$AJ:$AJ,
      TRIM(CLEAN(TEXT(Transcription!$F:$F, ""@""))) = TRIM(CLEAN(TEXT($D312, ""@""))),
      Transcription!$AO:$AO = 1
    ),
    1
  ),
  ""Not Found""
)
"),"https://drive.google.com/open?id=13tAL-HIOOkvbAGvwm3Iwl8R-yTzjBu1J")</f>
        <v>https://drive.google.com/open?id=13tAL-HIOOkvbAGvwm3Iwl8R-yTzjBu1J</v>
      </c>
      <c r="H3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TRIM(CLEAN(TEXT($D312, ""@""))),
      IMPORTRANGE(""https://docs.google.com/spreadsheets/d/1DccNxjBgurEr0ABkI_"&amp;"rBagJT5phB5HaHG5N_mTm_BiA/edit?gid=1382299152#gid=1382299152"", ""Form responses 1!$Z:$Z"") = 2
    ),
    1
  ),
  ""Not Found""
)
"),"https://drive.google.com/open?id=1YX9YAZlVjT5kD-XF43YajsXIv846eWgK")</f>
        <v>https://drive.google.com/open?id=1YX9YAZlVjT5kD-XF43YajsXIv846eWgK</v>
      </c>
      <c r="I3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1!$E:$E"")=$D312) *
        (IMPORTRANGE(""https://docs.google.com/spreadsheets/d/161aHT6vVT3SLneTKD19N5qVWtnj_jIT8CSsOmUVKmaA"&amp;"/edit?gid=1761053510"",
          ""Haris_Form responses 1!$AQ:$AQ"")=2)
      ),
      1
    ),
    ""0""
  ),
  ""Form not found""
)
"),"2")</f>
        <v>2</v>
      </c>
      <c r="J312" s="245" t="str">
        <f>IFERROR(__xludf.DUMMYFUNCTION("IFERROR(
  INDEX(
    FILTER(
      Transcription!$AJ:$AJ,
      TRIM(CLEAN(TEXT(Transcription!$F:$F, ""@""))) = TRIM(CLEAN(TEXT($D312, ""@""))),
      Transcription!$AO:$AO = 2
    ),
    1
  ),
  ""Not Found""
)
"),"https://drive.google.com/open?id=1mvNQK87fXwQMId2B00LD3x-aExs_hQ440khkcBW_36M")</f>
        <v>https://drive.google.com/open?id=1mvNQK87fXwQMId2B00LD3x-aExs_hQ440khkcBW_36M</v>
      </c>
      <c r="K3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TRIM(CLEAN(TEXT($D312, ""@""))),
      IMPORTRANGE(""https://docs.google.com/spreadsheets/d/1DccNxjBgurEr0ABkI_"&amp;"rBagJT5phB5HaHG5N_mTm_BiA/edit?gid=1382299152#gid=1382299152"", ""Form responses 1!$Z:$Z"") = 3
    ),
    1
  ),
  ""Not Found""
)
"),"https://drive.google.com/open?id=1PMUK7AKNp6tZg-dPc3VmH_wr-2Qyl_M2")</f>
        <v>https://drive.google.com/open?id=1PMUK7AKNp6tZg-dPc3VmH_wr-2Qyl_M2</v>
      </c>
      <c r="L3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1!$E:$E"")=$D312) *
        (IMPORTRANGE(""https://docs.google.com/spreadsheets/d/161aHT6vVT3SLneTKD19N5qVWtnj_jIT8CSsOmUVKmaA"&amp;"/edit?gid=1761053510"",
          ""Haris_Form responses 1!$AQ:$AQ"")=3)
      ),
      1
    ),
    ""0""
  ),
  ""Form not found""
)
"),"3")</f>
        <v>3</v>
      </c>
      <c r="M312" s="245" t="str">
        <f>IFERROR(__xludf.DUMMYFUNCTION("IFERROR(
  INDEX(
    FILTER(
      Transcription!$AJ:$AJ,
      TRIM(CLEAN(TEXT(Transcription!$F:$F, ""@""))) = TRIM(CLEAN(TEXT($D312, ""@""))),
      Transcription!$AO:$AO = 3
    ),
    1
  ),
  ""Not Found""
)
"),"https://drive.google.com/open?id=1OfvblRBrGT_7ejSBavenicXMWJeM3ulkWDSWUZ5n22s")</f>
        <v>https://drive.google.com/open?id=1OfvblRBrGT_7ejSBavenicXMWJeM3ulkWDSWUZ5n22s</v>
      </c>
      <c r="N312" s="262"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TRIM(CLEAN(TEXT($D312, ""@""))),
      IMPORTRANGE(""https://docs.google.com/spreadsheets/d/1DccNxjBgurEr0ABkI_"&amp;"rBagJT5phB5HaHG5N_mTm_BiA/edit?gid=1382299152#gid=1382299152"", ""Form responses 1!$Z:$Z"") = 4
    ),
    1
  ),
  ""Not Found""
)
"),"Not Found")</f>
        <v>Not Found</v>
      </c>
      <c r="O3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1!$E:$E"")=$D312) *
        (IMPORTRANGE(""https://docs.google.com/spreadsheets/d/161aHT6vVT3SLneTKD19N5qVWtnj_jIT8CSsOmUVKmaA"&amp;"/edit?gid=1761053510"",
          ""Haris_Form responses 1!$AQ:$AQ"")=4)
      ),
      1
    ),
    ""0""
  ),
  ""Form not found""
)
"),"Form not found")</f>
        <v>Form not found</v>
      </c>
      <c r="P312" s="247" t="str">
        <f>IFERROR(__xludf.DUMMYFUNCTION("IFERROR(
  INDEX(
    FILTER(
      Transcription!$AJ:$AJ,
      TRIM(CLEAN(TEXT(Transcription!$F:$F, ""@""))) = TRIM(CLEAN(TEXT($D312, ""@""))),
      Transcription!$AO:$AO = 4
    ),
    1
  ),
  ""Not Found""
)
"),"Not Found")</f>
        <v>Not Found</v>
      </c>
      <c r="Q3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TRIM(CLEAN(TEXT($D312, ""@""))),
      IMPORTRANGE(""https://docs.google.com/spreadsheets/d/1DccNxjBgurEr0ABkI_"&amp;"rBagJT5phB5HaHG5N_mTm_BiA/edit?gid=1382299152#gid=1382299152"", ""Form responses 1!$Z:$Z"") = 5
    ),
    1
  ),
  ""Not Found""
)
"),"https://drive.google.com/open?id=1bC83J-lrPIs2VMfscxnjmm6MQ74b_5AW")</f>
        <v>https://drive.google.com/open?id=1bC83J-lrPIs2VMfscxnjmm6MQ74b_5AW</v>
      </c>
      <c r="R3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1!$E:$E"")=$D312) *
        (IMPORTRANGE(""https://docs.google.com/spreadsheets/d/161aHT6vVT3SLneTKD19N5qVWtnj_jIT8CSsOmUVKmaA"&amp;"/edit?gid=1761053510"",
          ""Haris_Form responses 1!$AQ:$AQ"")=5)
      ),
      1
    ),
    ""0""
  ),
  ""Form not found""
)
"),"5")</f>
        <v>5</v>
      </c>
      <c r="S312" s="245" t="str">
        <f>IFERROR(__xludf.DUMMYFUNCTION("IFERROR(
  INDEX(
    FILTER(
      Transcription!$AJ:$AJ,
      TRIM(CLEAN(TEXT(Transcription!$F:$F, ""@""))) = TRIM(CLEAN(TEXT($D312, ""@""))),
      Transcription!$AO:$AO = 5
    ),
    1
  ),
  ""Not Found""
)
"),"https://drive.google.com/open?id=1Y-J93t6Od0DMO-uTlq9p0ClYG1IrTJeM")</f>
        <v>https://drive.google.com/open?id=1Y-J93t6Od0DMO-uTlq9p0ClYG1IrTJeM</v>
      </c>
      <c r="T312" s="261" t="str">
        <f>IFERROR(__xludf.DUMMYFUNCTION("IFERROR(
  INDEX(
    FILTER(
      IMPORTRANGE(""https://docs.google.com/spreadsheets/d/1DccNxjBgurEr0ABkI_rBagJT5phB5HaHG5N_mTm_BiA/edit?gid=1382299152#gid=1382299152"", ""Form responses 1!$U:$U""),
      TRIM(CLEAN(TEXT(IMPORTRANGE(""https://docs.googl"&amp;"e.com/spreadsheets/d/1DccNxjBgurEr0ABkI_rBagJT5phB5HaHG5N_mTm_BiA/edit?gid=1382299152#gid=1382299152"", ""Form responses 1!$E:$E""), ""@""))) = TRIM(CLEAN(TEXT($D312, ""@""))),
      IMPORTRANGE(""https://docs.google.com/spreadsheets/d/1DccNxjBgurEr0ABkI_"&amp;"rBagJT5phB5HaHG5N_mTm_BiA/edit?gid=1382299152#gid=1382299152"", ""Form responses 1!$Z:$Z"") = 6
    ),
    1
  ),
  ""Not Found""
)
"),"https://drive.google.com/open?id=1ujBl5JG5WvS0M_xAxwFnBTcimuEZgflB")</f>
        <v>https://drive.google.com/open?id=1ujBl5JG5WvS0M_xAxwFnBTcimuEZgflB</v>
      </c>
      <c r="U312" s="240" t="str">
        <f>IFERROR(__xludf.DUMMYFUNCTION("IFERROR(
  TEXT(
    INDEX(
      FILTER(
        IMPORTRANGE(""https://docs.google.com/spreadsheets/d/161aHT6vVT3SLneTKD19N5qVWtnj_jIT8CSsOmUVKmaA/edit?gid=1761053510"",
          ""Haris_Form responses 1!$AQ:$AQ""  ), 
        (IMPORTRANGE(""https://doc"&amp;"s.google.com/spreadsheets/d/161aHT6vVT3SLneTKD19N5qVWtnj_jIT8CSsOmUVKmaA/edit?gid=1761053510"",
          ""Haris_Form responses 1!$E:$E"")=$D312) *
        (IMPORTRANGE(""https://docs.google.com/spreadsheets/d/161aHT6vVT3SLneTKD19N5qVWtnj_jIT8CSsOmUVKmaA"&amp;"/edit?gid=1761053510"",
          ""Haris_Form responses 1!$AQ:$AQ"")=6)
      ),
      1
    ),
    ""0""
  ),
  ""Form not found""
)
"),"6")</f>
        <v>6</v>
      </c>
      <c r="V312" s="245" t="str">
        <f>IFERROR(__xludf.DUMMYFUNCTION("IFERROR(
  INDEX(
    FILTER(
      Transcription!$AJ:$AJ,
      TRIM(CLEAN(TEXT(Transcription!$F:$F, ""@""))) = TRIM(CLEAN(TEXT($D312, ""@""))),
      Transcription!$AO:$AO = 6
    ),
    1
  ),
  ""Not Found""
)
"),"https://drive.google.com/open?id=19L2ZjexGWsyo9Vh9S4hiDpG1_uby13Agf5nBrUZZNHk")</f>
        <v>https://drive.google.com/open?id=19L2ZjexGWsyo9Vh9S4hiDpG1_uby13Agf5nBrUZZNHk</v>
      </c>
      <c r="AA312" s="10">
        <f t="shared" si="2"/>
        <v>-5</v>
      </c>
    </row>
    <row r="313">
      <c r="A313" s="8" t="s">
        <v>4722</v>
      </c>
      <c r="B313" s="232" t="s">
        <v>4722</v>
      </c>
      <c r="C313" s="8" t="s">
        <v>4722</v>
      </c>
      <c r="D313" s="8" t="s">
        <v>4722</v>
      </c>
      <c r="E313" s="8" t="s">
        <v>4722</v>
      </c>
      <c r="F313" s="8" t="s">
        <v>4722</v>
      </c>
      <c r="G313" s="8" t="s">
        <v>4722</v>
      </c>
      <c r="H313" s="8" t="s">
        <v>4722</v>
      </c>
      <c r="I313" s="8" t="s">
        <v>4722</v>
      </c>
      <c r="J313" s="8" t="s">
        <v>4722</v>
      </c>
      <c r="K313" s="8" t="s">
        <v>4722</v>
      </c>
      <c r="L313" s="8" t="s">
        <v>4722</v>
      </c>
      <c r="M313" s="8" t="s">
        <v>4722</v>
      </c>
      <c r="N313" s="8" t="s">
        <v>4722</v>
      </c>
      <c r="O313" s="8" t="s">
        <v>4722</v>
      </c>
      <c r="P313" s="8" t="s">
        <v>4722</v>
      </c>
      <c r="Q313" s="8" t="s">
        <v>4722</v>
      </c>
      <c r="R313" s="8" t="s">
        <v>4722</v>
      </c>
      <c r="S313" s="8" t="s">
        <v>4722</v>
      </c>
      <c r="T313" s="8" t="s">
        <v>4722</v>
      </c>
      <c r="U313" s="8" t="s">
        <v>4722</v>
      </c>
      <c r="V313" s="8" t="s">
        <v>4722</v>
      </c>
      <c r="W313" s="8" t="s">
        <v>4722</v>
      </c>
      <c r="X313" s="8" t="s">
        <v>4722</v>
      </c>
      <c r="Y313" s="8" t="s">
        <v>4722</v>
      </c>
      <c r="Z313" s="8" t="s">
        <v>4722</v>
      </c>
    </row>
    <row r="314">
      <c r="B314" s="14"/>
      <c r="E314" s="262"/>
      <c r="F314" s="266"/>
      <c r="G314" s="266"/>
      <c r="H314" s="262"/>
      <c r="I314" s="266"/>
      <c r="J314" s="266"/>
      <c r="K314" s="262"/>
      <c r="L314" s="266"/>
      <c r="M314" s="266"/>
      <c r="N314" s="262"/>
      <c r="O314" s="266"/>
      <c r="P314" s="266"/>
      <c r="Q314" s="262"/>
      <c r="R314" s="266"/>
      <c r="S314" s="266"/>
      <c r="T314" s="262"/>
      <c r="U314" s="266"/>
      <c r="V314" s="266"/>
    </row>
    <row r="315">
      <c r="B315" s="14"/>
      <c r="E315" s="262"/>
      <c r="F315" s="266"/>
      <c r="G315" s="266"/>
      <c r="H315" s="262"/>
      <c r="I315" s="266"/>
      <c r="J315" s="266"/>
      <c r="K315" s="262"/>
      <c r="L315" s="266"/>
      <c r="M315" s="266"/>
      <c r="N315" s="262"/>
      <c r="O315" s="266"/>
      <c r="P315" s="266"/>
      <c r="Q315" s="262"/>
      <c r="R315" s="266"/>
      <c r="S315" s="266"/>
      <c r="T315" s="262"/>
      <c r="U315" s="266"/>
      <c r="V315" s="266"/>
    </row>
    <row r="316">
      <c r="B316" s="14"/>
      <c r="E316" s="262"/>
      <c r="F316" s="266"/>
      <c r="G316" s="266"/>
      <c r="H316" s="262"/>
      <c r="I316" s="266"/>
      <c r="J316" s="266"/>
      <c r="K316" s="262"/>
      <c r="L316" s="266"/>
      <c r="M316" s="266"/>
      <c r="N316" s="262"/>
      <c r="O316" s="266"/>
      <c r="P316" s="266"/>
      <c r="Q316" s="262"/>
      <c r="R316" s="266"/>
      <c r="S316" s="266"/>
      <c r="T316" s="262"/>
      <c r="U316" s="266"/>
      <c r="V316" s="266"/>
    </row>
    <row r="317">
      <c r="B317" s="14"/>
      <c r="E317" s="262"/>
      <c r="F317" s="266"/>
      <c r="G317" s="266"/>
      <c r="H317" s="262"/>
      <c r="I317" s="266"/>
      <c r="J317" s="266"/>
      <c r="K317" s="262"/>
      <c r="L317" s="266"/>
      <c r="M317" s="266"/>
      <c r="N317" s="262"/>
      <c r="O317" s="266"/>
      <c r="P317" s="266"/>
      <c r="Q317" s="262"/>
      <c r="R317" s="266"/>
      <c r="S317" s="266"/>
      <c r="T317" s="262"/>
      <c r="U317" s="266"/>
      <c r="V317" s="266"/>
    </row>
    <row r="318">
      <c r="B318" s="14"/>
      <c r="E318" s="262"/>
      <c r="F318" s="266"/>
      <c r="G318" s="266"/>
      <c r="H318" s="262"/>
      <c r="I318" s="266"/>
      <c r="J318" s="266"/>
      <c r="K318" s="262"/>
      <c r="L318" s="266"/>
      <c r="M318" s="266"/>
      <c r="N318" s="262"/>
      <c r="O318" s="266"/>
      <c r="P318" s="266"/>
      <c r="Q318" s="262"/>
      <c r="R318" s="266"/>
      <c r="S318" s="266"/>
      <c r="T318" s="262"/>
      <c r="U318" s="266"/>
      <c r="V318" s="266"/>
    </row>
    <row r="319">
      <c r="B319" s="14"/>
      <c r="E319" s="262"/>
      <c r="F319" s="266"/>
      <c r="G319" s="266"/>
      <c r="H319" s="262"/>
      <c r="I319" s="266"/>
      <c r="J319" s="266"/>
      <c r="K319" s="262"/>
      <c r="L319" s="266"/>
      <c r="M319" s="266"/>
      <c r="N319" s="262"/>
      <c r="O319" s="266"/>
      <c r="P319" s="266"/>
      <c r="Q319" s="262"/>
      <c r="R319" s="266"/>
      <c r="S319" s="266"/>
      <c r="T319" s="262"/>
      <c r="U319" s="266"/>
      <c r="V319" s="266"/>
    </row>
    <row r="320">
      <c r="B320" s="14"/>
      <c r="E320" s="262"/>
      <c r="F320" s="266"/>
      <c r="G320" s="266"/>
      <c r="H320" s="262"/>
      <c r="I320" s="266"/>
      <c r="J320" s="266"/>
      <c r="K320" s="262"/>
      <c r="L320" s="266"/>
      <c r="M320" s="266"/>
      <c r="N320" s="262"/>
      <c r="O320" s="266"/>
      <c r="P320" s="266"/>
      <c r="Q320" s="262"/>
      <c r="R320" s="266"/>
      <c r="S320" s="266"/>
      <c r="T320" s="262"/>
      <c r="U320" s="266"/>
      <c r="V320" s="266"/>
    </row>
    <row r="321">
      <c r="B321" s="14"/>
      <c r="E321" s="262"/>
      <c r="F321" s="266"/>
      <c r="G321" s="266"/>
      <c r="H321" s="262"/>
      <c r="I321" s="266"/>
      <c r="J321" s="266"/>
      <c r="K321" s="262"/>
      <c r="L321" s="266"/>
      <c r="M321" s="266"/>
      <c r="N321" s="262"/>
      <c r="O321" s="266"/>
      <c r="P321" s="266"/>
      <c r="Q321" s="262"/>
      <c r="R321" s="266"/>
      <c r="S321" s="266"/>
      <c r="T321" s="262"/>
      <c r="U321" s="266"/>
      <c r="V321" s="266"/>
    </row>
    <row r="322">
      <c r="B322" s="14"/>
      <c r="E322" s="262"/>
      <c r="F322" s="266"/>
      <c r="G322" s="266"/>
      <c r="H322" s="262"/>
      <c r="I322" s="266"/>
      <c r="J322" s="266"/>
      <c r="K322" s="262"/>
      <c r="L322" s="266"/>
      <c r="M322" s="266"/>
      <c r="N322" s="262"/>
      <c r="O322" s="266"/>
      <c r="P322" s="266"/>
      <c r="Q322" s="262"/>
      <c r="R322" s="266"/>
      <c r="S322" s="266"/>
      <c r="T322" s="262"/>
      <c r="U322" s="266"/>
      <c r="V322" s="266"/>
    </row>
    <row r="323">
      <c r="B323" s="14"/>
      <c r="E323" s="262"/>
      <c r="F323" s="266"/>
      <c r="G323" s="266"/>
      <c r="H323" s="262"/>
      <c r="I323" s="266"/>
      <c r="J323" s="266"/>
      <c r="K323" s="262"/>
      <c r="L323" s="266"/>
      <c r="M323" s="266"/>
      <c r="N323" s="262"/>
      <c r="O323" s="266"/>
      <c r="P323" s="266"/>
      <c r="Q323" s="262"/>
      <c r="R323" s="266"/>
      <c r="S323" s="266"/>
      <c r="T323" s="262"/>
      <c r="U323" s="266"/>
      <c r="V323" s="266"/>
    </row>
    <row r="324">
      <c r="B324" s="14"/>
      <c r="E324" s="262"/>
      <c r="F324" s="266"/>
      <c r="G324" s="266"/>
      <c r="H324" s="262"/>
      <c r="I324" s="266"/>
      <c r="J324" s="266"/>
      <c r="K324" s="262"/>
      <c r="L324" s="266"/>
      <c r="M324" s="266"/>
      <c r="N324" s="262"/>
      <c r="O324" s="266"/>
      <c r="P324" s="266"/>
      <c r="Q324" s="262"/>
      <c r="R324" s="266"/>
      <c r="S324" s="266"/>
      <c r="T324" s="262"/>
      <c r="U324" s="266"/>
      <c r="V324" s="266"/>
    </row>
    <row r="325">
      <c r="B325" s="14"/>
      <c r="E325" s="262"/>
      <c r="F325" s="266"/>
      <c r="G325" s="266"/>
      <c r="H325" s="262"/>
      <c r="I325" s="266"/>
      <c r="J325" s="266"/>
      <c r="K325" s="262"/>
      <c r="L325" s="266"/>
      <c r="M325" s="266"/>
      <c r="N325" s="262"/>
      <c r="O325" s="266"/>
      <c r="P325" s="266"/>
      <c r="Q325" s="262"/>
      <c r="R325" s="266"/>
      <c r="S325" s="266"/>
      <c r="T325" s="262"/>
      <c r="U325" s="266"/>
      <c r="V325" s="266"/>
    </row>
    <row r="326">
      <c r="B326" s="14"/>
      <c r="E326" s="262"/>
      <c r="F326" s="266"/>
      <c r="G326" s="266"/>
      <c r="H326" s="262"/>
      <c r="I326" s="266"/>
      <c r="J326" s="266"/>
      <c r="K326" s="262"/>
      <c r="L326" s="266"/>
      <c r="M326" s="266"/>
      <c r="N326" s="262"/>
      <c r="O326" s="266"/>
      <c r="P326" s="266"/>
      <c r="Q326" s="262"/>
      <c r="R326" s="266"/>
      <c r="S326" s="266"/>
      <c r="T326" s="262"/>
      <c r="U326" s="266"/>
      <c r="V326" s="266"/>
    </row>
    <row r="327">
      <c r="B327" s="14"/>
      <c r="E327" s="262"/>
      <c r="F327" s="266"/>
      <c r="G327" s="266"/>
      <c r="H327" s="262"/>
      <c r="I327" s="266"/>
      <c r="J327" s="266"/>
      <c r="K327" s="262"/>
      <c r="L327" s="266"/>
      <c r="M327" s="266"/>
      <c r="N327" s="262"/>
      <c r="O327" s="266"/>
      <c r="P327" s="266"/>
      <c r="Q327" s="262"/>
      <c r="R327" s="266"/>
      <c r="S327" s="266"/>
      <c r="T327" s="262"/>
      <c r="U327" s="266"/>
      <c r="V327" s="266"/>
    </row>
    <row r="328">
      <c r="B328" s="14"/>
      <c r="E328" s="262"/>
      <c r="F328" s="266"/>
      <c r="G328" s="266"/>
      <c r="H328" s="262"/>
      <c r="I328" s="266"/>
      <c r="J328" s="266"/>
      <c r="K328" s="262"/>
      <c r="L328" s="266"/>
      <c r="M328" s="266"/>
      <c r="N328" s="262"/>
      <c r="O328" s="266"/>
      <c r="P328" s="266"/>
      <c r="Q328" s="262"/>
      <c r="R328" s="266"/>
      <c r="S328" s="266"/>
      <c r="T328" s="262"/>
      <c r="U328" s="266"/>
      <c r="V328" s="266"/>
    </row>
    <row r="329">
      <c r="B329" s="14"/>
      <c r="E329" s="262"/>
      <c r="F329" s="266"/>
      <c r="G329" s="266"/>
      <c r="H329" s="262"/>
      <c r="I329" s="266"/>
      <c r="J329" s="266"/>
      <c r="K329" s="262"/>
      <c r="L329" s="266"/>
      <c r="M329" s="266"/>
      <c r="N329" s="262"/>
      <c r="O329" s="266"/>
      <c r="P329" s="266"/>
      <c r="Q329" s="262"/>
      <c r="R329" s="266"/>
      <c r="S329" s="266"/>
      <c r="T329" s="262"/>
      <c r="U329" s="266"/>
      <c r="V329" s="266"/>
    </row>
    <row r="330">
      <c r="B330" s="14"/>
      <c r="E330" s="262"/>
      <c r="F330" s="266"/>
      <c r="G330" s="266"/>
      <c r="H330" s="262"/>
      <c r="I330" s="266"/>
      <c r="J330" s="266"/>
      <c r="K330" s="262"/>
      <c r="L330" s="266"/>
      <c r="M330" s="266"/>
      <c r="N330" s="262"/>
      <c r="O330" s="266"/>
      <c r="P330" s="266"/>
      <c r="Q330" s="262"/>
      <c r="R330" s="266"/>
      <c r="S330" s="266"/>
      <c r="T330" s="262"/>
      <c r="U330" s="266"/>
      <c r="V330" s="266"/>
    </row>
    <row r="331">
      <c r="B331" s="14"/>
      <c r="E331" s="262"/>
      <c r="F331" s="266"/>
      <c r="G331" s="266"/>
      <c r="H331" s="262"/>
      <c r="I331" s="266"/>
      <c r="J331" s="266"/>
      <c r="K331" s="262"/>
      <c r="L331" s="266"/>
      <c r="M331" s="266"/>
      <c r="N331" s="262"/>
      <c r="O331" s="266"/>
      <c r="P331" s="266"/>
      <c r="Q331" s="262"/>
      <c r="R331" s="266"/>
      <c r="S331" s="266"/>
      <c r="T331" s="262"/>
      <c r="U331" s="266"/>
      <c r="V331" s="266"/>
    </row>
    <row r="332">
      <c r="B332" s="14"/>
      <c r="E332" s="262"/>
      <c r="F332" s="266"/>
      <c r="G332" s="266"/>
      <c r="H332" s="262"/>
      <c r="I332" s="266"/>
      <c r="J332" s="266"/>
      <c r="K332" s="262"/>
      <c r="L332" s="266"/>
      <c r="M332" s="266"/>
      <c r="N332" s="262"/>
      <c r="O332" s="266"/>
      <c r="P332" s="266"/>
      <c r="Q332" s="262"/>
      <c r="R332" s="266"/>
      <c r="S332" s="266"/>
      <c r="T332" s="262"/>
      <c r="U332" s="266"/>
      <c r="V332" s="266"/>
    </row>
    <row r="333">
      <c r="B333" s="14"/>
      <c r="E333" s="262"/>
      <c r="F333" s="266"/>
      <c r="G333" s="266"/>
      <c r="H333" s="262"/>
      <c r="I333" s="266"/>
      <c r="J333" s="266"/>
      <c r="K333" s="262"/>
      <c r="L333" s="266"/>
      <c r="M333" s="266"/>
      <c r="N333" s="262"/>
      <c r="O333" s="266"/>
      <c r="P333" s="266"/>
      <c r="Q333" s="262"/>
      <c r="R333" s="266"/>
      <c r="S333" s="266"/>
      <c r="T333" s="262"/>
      <c r="U333" s="266"/>
      <c r="V333" s="266"/>
    </row>
    <row r="334">
      <c r="B334" s="14"/>
      <c r="E334" s="262"/>
      <c r="F334" s="266"/>
      <c r="G334" s="266"/>
      <c r="H334" s="262"/>
      <c r="I334" s="266"/>
      <c r="J334" s="266"/>
      <c r="K334" s="262"/>
      <c r="L334" s="266"/>
      <c r="M334" s="266"/>
      <c r="N334" s="262"/>
      <c r="O334" s="266"/>
      <c r="P334" s="266"/>
      <c r="Q334" s="262"/>
      <c r="R334" s="266"/>
      <c r="S334" s="266"/>
      <c r="T334" s="262"/>
      <c r="U334" s="266"/>
      <c r="V334" s="266"/>
    </row>
    <row r="335">
      <c r="B335" s="14"/>
      <c r="E335" s="262"/>
      <c r="F335" s="266"/>
      <c r="G335" s="266"/>
      <c r="H335" s="262"/>
      <c r="I335" s="266"/>
      <c r="J335" s="266"/>
      <c r="K335" s="262"/>
      <c r="L335" s="266"/>
      <c r="M335" s="266"/>
      <c r="N335" s="262"/>
      <c r="O335" s="266"/>
      <c r="P335" s="266"/>
      <c r="Q335" s="262"/>
      <c r="R335" s="266"/>
      <c r="S335" s="266"/>
      <c r="T335" s="262"/>
      <c r="U335" s="266"/>
      <c r="V335" s="266"/>
    </row>
    <row r="336">
      <c r="B336" s="14"/>
      <c r="E336" s="262"/>
      <c r="F336" s="266"/>
      <c r="G336" s="266"/>
      <c r="H336" s="262"/>
      <c r="I336" s="266"/>
      <c r="J336" s="266"/>
      <c r="K336" s="262"/>
      <c r="L336" s="266"/>
      <c r="M336" s="266"/>
      <c r="N336" s="262"/>
      <c r="O336" s="266"/>
      <c r="P336" s="266"/>
      <c r="Q336" s="262"/>
      <c r="R336" s="266"/>
      <c r="S336" s="266"/>
      <c r="T336" s="262"/>
      <c r="U336" s="266"/>
      <c r="V336" s="266"/>
    </row>
    <row r="337">
      <c r="B337" s="14"/>
      <c r="E337" s="262"/>
      <c r="F337" s="266"/>
      <c r="G337" s="266"/>
      <c r="H337" s="262"/>
      <c r="I337" s="266"/>
      <c r="J337" s="266"/>
      <c r="K337" s="262"/>
      <c r="L337" s="266"/>
      <c r="M337" s="266"/>
      <c r="N337" s="262"/>
      <c r="O337" s="266"/>
      <c r="P337" s="266"/>
      <c r="Q337" s="262"/>
      <c r="R337" s="266"/>
      <c r="S337" s="266"/>
      <c r="T337" s="262"/>
      <c r="U337" s="266"/>
      <c r="V337" s="266"/>
    </row>
    <row r="338">
      <c r="B338" s="14"/>
      <c r="E338" s="262"/>
      <c r="F338" s="266"/>
      <c r="G338" s="266"/>
      <c r="H338" s="262"/>
      <c r="I338" s="266"/>
      <c r="J338" s="266"/>
      <c r="K338" s="262"/>
      <c r="L338" s="266"/>
      <c r="M338" s="266"/>
      <c r="N338" s="262"/>
      <c r="O338" s="266"/>
      <c r="P338" s="266"/>
      <c r="Q338" s="262"/>
      <c r="R338" s="266"/>
      <c r="S338" s="266"/>
      <c r="T338" s="262"/>
      <c r="U338" s="266"/>
      <c r="V338" s="266"/>
    </row>
    <row r="339">
      <c r="B339" s="14"/>
      <c r="E339" s="262"/>
      <c r="F339" s="266"/>
      <c r="G339" s="266"/>
      <c r="H339" s="262"/>
      <c r="I339" s="266"/>
      <c r="J339" s="266"/>
      <c r="K339" s="262"/>
      <c r="L339" s="266"/>
      <c r="M339" s="266"/>
      <c r="N339" s="262"/>
      <c r="O339" s="266"/>
      <c r="P339" s="266"/>
      <c r="Q339" s="262"/>
      <c r="R339" s="266"/>
      <c r="S339" s="266"/>
      <c r="T339" s="262"/>
      <c r="U339" s="266"/>
      <c r="V339" s="266"/>
    </row>
    <row r="340">
      <c r="B340" s="14"/>
      <c r="E340" s="262"/>
      <c r="F340" s="266"/>
      <c r="G340" s="266"/>
      <c r="H340" s="262"/>
      <c r="I340" s="266"/>
      <c r="J340" s="266"/>
      <c r="K340" s="262"/>
      <c r="L340" s="266"/>
      <c r="M340" s="266"/>
      <c r="N340" s="262"/>
      <c r="O340" s="266"/>
      <c r="P340" s="266"/>
      <c r="Q340" s="262"/>
      <c r="R340" s="266"/>
      <c r="S340" s="266"/>
      <c r="T340" s="262"/>
      <c r="U340" s="266"/>
      <c r="V340" s="266"/>
    </row>
    <row r="341">
      <c r="B341" s="14"/>
      <c r="E341" s="262"/>
      <c r="F341" s="266"/>
      <c r="G341" s="266"/>
      <c r="H341" s="262"/>
      <c r="I341" s="266"/>
      <c r="J341" s="266"/>
      <c r="K341" s="262"/>
      <c r="L341" s="266"/>
      <c r="M341" s="266"/>
      <c r="N341" s="262"/>
      <c r="O341" s="266"/>
      <c r="P341" s="266"/>
      <c r="Q341" s="262"/>
      <c r="R341" s="266"/>
      <c r="S341" s="266"/>
      <c r="T341" s="262"/>
      <c r="U341" s="266"/>
      <c r="V341" s="266"/>
    </row>
    <row r="342">
      <c r="B342" s="14"/>
      <c r="E342" s="262"/>
      <c r="F342" s="266"/>
      <c r="G342" s="266"/>
      <c r="H342" s="262"/>
      <c r="I342" s="266"/>
      <c r="J342" s="266"/>
      <c r="K342" s="262"/>
      <c r="L342" s="266"/>
      <c r="M342" s="266"/>
      <c r="N342" s="262"/>
      <c r="O342" s="266"/>
      <c r="P342" s="266"/>
      <c r="Q342" s="262"/>
      <c r="R342" s="266"/>
      <c r="S342" s="266"/>
      <c r="T342" s="262"/>
      <c r="U342" s="266"/>
      <c r="V342" s="266"/>
    </row>
    <row r="343">
      <c r="B343" s="14"/>
      <c r="E343" s="262"/>
      <c r="F343" s="266"/>
      <c r="G343" s="266"/>
      <c r="H343" s="262"/>
      <c r="I343" s="266"/>
      <c r="J343" s="266"/>
      <c r="K343" s="262"/>
      <c r="L343" s="266"/>
      <c r="M343" s="266"/>
      <c r="N343" s="262"/>
      <c r="O343" s="266"/>
      <c r="P343" s="266"/>
      <c r="Q343" s="262"/>
      <c r="R343" s="266"/>
      <c r="S343" s="266"/>
      <c r="T343" s="262"/>
      <c r="U343" s="266"/>
      <c r="V343" s="266"/>
    </row>
    <row r="344">
      <c r="B344" s="14"/>
      <c r="E344" s="262"/>
      <c r="F344" s="266"/>
      <c r="G344" s="266"/>
      <c r="H344" s="262"/>
      <c r="I344" s="266"/>
      <c r="J344" s="266"/>
      <c r="K344" s="262"/>
      <c r="L344" s="266"/>
      <c r="M344" s="266"/>
      <c r="N344" s="262"/>
      <c r="O344" s="266"/>
      <c r="P344" s="266"/>
      <c r="Q344" s="262"/>
      <c r="R344" s="266"/>
      <c r="S344" s="266"/>
      <c r="T344" s="262"/>
      <c r="U344" s="266"/>
      <c r="V344" s="266"/>
    </row>
    <row r="345">
      <c r="B345" s="14"/>
      <c r="E345" s="262"/>
      <c r="F345" s="266"/>
      <c r="G345" s="266"/>
      <c r="H345" s="262"/>
      <c r="I345" s="266"/>
      <c r="J345" s="266"/>
      <c r="K345" s="262"/>
      <c r="L345" s="266"/>
      <c r="M345" s="266"/>
      <c r="N345" s="262"/>
      <c r="O345" s="266"/>
      <c r="P345" s="266"/>
      <c r="Q345" s="262"/>
      <c r="R345" s="266"/>
      <c r="S345" s="266"/>
      <c r="T345" s="262"/>
      <c r="U345" s="266"/>
      <c r="V345" s="266"/>
    </row>
    <row r="346">
      <c r="B346" s="14"/>
      <c r="E346" s="262"/>
      <c r="F346" s="266"/>
      <c r="G346" s="266"/>
      <c r="H346" s="262"/>
      <c r="I346" s="266"/>
      <c r="J346" s="266"/>
      <c r="K346" s="262"/>
      <c r="L346" s="266"/>
      <c r="M346" s="266"/>
      <c r="N346" s="262"/>
      <c r="O346" s="266"/>
      <c r="P346" s="266"/>
      <c r="Q346" s="262"/>
      <c r="R346" s="266"/>
      <c r="S346" s="266"/>
      <c r="T346" s="262"/>
      <c r="U346" s="266"/>
      <c r="V346" s="266"/>
    </row>
    <row r="347">
      <c r="B347" s="14"/>
      <c r="E347" s="262"/>
      <c r="F347" s="266"/>
      <c r="G347" s="266"/>
      <c r="H347" s="262"/>
      <c r="I347" s="266"/>
      <c r="J347" s="266"/>
      <c r="K347" s="262"/>
      <c r="L347" s="266"/>
      <c r="M347" s="266"/>
      <c r="N347" s="262"/>
      <c r="O347" s="266"/>
      <c r="P347" s="266"/>
      <c r="Q347" s="262"/>
      <c r="R347" s="266"/>
      <c r="S347" s="266"/>
      <c r="T347" s="262"/>
      <c r="U347" s="266"/>
      <c r="V347" s="266"/>
    </row>
    <row r="348">
      <c r="B348" s="14"/>
      <c r="E348" s="262"/>
      <c r="F348" s="266"/>
      <c r="G348" s="266"/>
      <c r="H348" s="262"/>
      <c r="I348" s="266"/>
      <c r="J348" s="266"/>
      <c r="K348" s="262"/>
      <c r="L348" s="266"/>
      <c r="M348" s="266"/>
      <c r="N348" s="262"/>
      <c r="O348" s="266"/>
      <c r="P348" s="266"/>
      <c r="Q348" s="262"/>
      <c r="R348" s="266"/>
      <c r="S348" s="266"/>
      <c r="T348" s="262"/>
      <c r="U348" s="266"/>
      <c r="V348" s="266"/>
    </row>
    <row r="349">
      <c r="B349" s="14"/>
      <c r="E349" s="262"/>
      <c r="F349" s="266"/>
      <c r="G349" s="266"/>
      <c r="H349" s="262"/>
      <c r="I349" s="266"/>
      <c r="J349" s="266"/>
      <c r="K349" s="262"/>
      <c r="L349" s="266"/>
      <c r="M349" s="266"/>
      <c r="N349" s="262"/>
      <c r="O349" s="266"/>
      <c r="P349" s="266"/>
      <c r="Q349" s="262"/>
      <c r="R349" s="266"/>
      <c r="S349" s="266"/>
      <c r="T349" s="262"/>
      <c r="U349" s="266"/>
      <c r="V349" s="266"/>
    </row>
    <row r="350">
      <c r="B350" s="14"/>
      <c r="E350" s="262"/>
      <c r="F350" s="266"/>
      <c r="G350" s="266"/>
      <c r="H350" s="262"/>
      <c r="I350" s="266"/>
      <c r="J350" s="266"/>
      <c r="K350" s="262"/>
      <c r="L350" s="266"/>
      <c r="M350" s="266"/>
      <c r="N350" s="262"/>
      <c r="O350" s="266"/>
      <c r="P350" s="266"/>
      <c r="Q350" s="262"/>
      <c r="R350" s="266"/>
      <c r="S350" s="266"/>
      <c r="T350" s="262"/>
      <c r="U350" s="266"/>
      <c r="V350" s="266"/>
    </row>
    <row r="351">
      <c r="B351" s="14"/>
      <c r="E351" s="262"/>
      <c r="F351" s="266"/>
      <c r="G351" s="266"/>
      <c r="H351" s="262"/>
      <c r="I351" s="266"/>
      <c r="J351" s="266"/>
      <c r="K351" s="262"/>
      <c r="L351" s="266"/>
      <c r="M351" s="266"/>
      <c r="N351" s="262"/>
      <c r="O351" s="266"/>
      <c r="P351" s="266"/>
      <c r="Q351" s="262"/>
      <c r="R351" s="266"/>
      <c r="S351" s="266"/>
      <c r="T351" s="262"/>
      <c r="U351" s="266"/>
      <c r="V351" s="266"/>
    </row>
    <row r="352">
      <c r="B352" s="14"/>
      <c r="E352" s="262"/>
      <c r="F352" s="266"/>
      <c r="G352" s="266"/>
      <c r="H352" s="262"/>
      <c r="I352" s="266"/>
      <c r="J352" s="266"/>
      <c r="K352" s="262"/>
      <c r="L352" s="266"/>
      <c r="M352" s="266"/>
      <c r="N352" s="262"/>
      <c r="O352" s="266"/>
      <c r="P352" s="266"/>
      <c r="Q352" s="262"/>
      <c r="R352" s="266"/>
      <c r="S352" s="266"/>
      <c r="T352" s="262"/>
      <c r="U352" s="266"/>
      <c r="V352" s="266"/>
    </row>
    <row r="353">
      <c r="B353" s="14"/>
      <c r="E353" s="262"/>
      <c r="F353" s="266"/>
      <c r="G353" s="266"/>
      <c r="H353" s="262"/>
      <c r="I353" s="266"/>
      <c r="J353" s="266"/>
      <c r="K353" s="262"/>
      <c r="L353" s="266"/>
      <c r="M353" s="266"/>
      <c r="N353" s="262"/>
      <c r="O353" s="266"/>
      <c r="P353" s="266"/>
      <c r="Q353" s="262"/>
      <c r="R353" s="266"/>
      <c r="S353" s="266"/>
      <c r="T353" s="262"/>
      <c r="U353" s="266"/>
      <c r="V353" s="266"/>
    </row>
    <row r="354">
      <c r="B354" s="14"/>
      <c r="E354" s="262"/>
      <c r="F354" s="266"/>
      <c r="G354" s="266"/>
      <c r="H354" s="262"/>
      <c r="I354" s="266"/>
      <c r="J354" s="266"/>
      <c r="K354" s="262"/>
      <c r="L354" s="266"/>
      <c r="M354" s="266"/>
      <c r="N354" s="262"/>
      <c r="O354" s="266"/>
      <c r="P354" s="266"/>
      <c r="Q354" s="262"/>
      <c r="R354" s="266"/>
      <c r="S354" s="266"/>
      <c r="T354" s="262"/>
      <c r="U354" s="266"/>
      <c r="V354" s="266"/>
    </row>
    <row r="355">
      <c r="B355" s="14"/>
      <c r="E355" s="262"/>
      <c r="F355" s="266"/>
      <c r="G355" s="266"/>
      <c r="H355" s="262"/>
      <c r="I355" s="266"/>
      <c r="J355" s="266"/>
      <c r="K355" s="262"/>
      <c r="L355" s="266"/>
      <c r="M355" s="266"/>
      <c r="N355" s="262"/>
      <c r="O355" s="266"/>
      <c r="P355" s="266"/>
      <c r="Q355" s="262"/>
      <c r="R355" s="266"/>
      <c r="S355" s="266"/>
      <c r="T355" s="262"/>
      <c r="U355" s="266"/>
      <c r="V355" s="266"/>
    </row>
    <row r="356">
      <c r="B356" s="14"/>
      <c r="E356" s="262"/>
      <c r="F356" s="266"/>
      <c r="G356" s="266"/>
      <c r="H356" s="262"/>
      <c r="I356" s="266"/>
      <c r="J356" s="266"/>
      <c r="K356" s="262"/>
      <c r="L356" s="266"/>
      <c r="M356" s="266"/>
      <c r="N356" s="262"/>
      <c r="O356" s="266"/>
      <c r="P356" s="266"/>
      <c r="Q356" s="262"/>
      <c r="R356" s="266"/>
      <c r="S356" s="266"/>
      <c r="T356" s="262"/>
      <c r="U356" s="266"/>
      <c r="V356" s="266"/>
    </row>
    <row r="357">
      <c r="B357" s="14"/>
      <c r="E357" s="262"/>
      <c r="F357" s="266"/>
      <c r="G357" s="266"/>
      <c r="H357" s="262"/>
      <c r="I357" s="266"/>
      <c r="J357" s="266"/>
      <c r="K357" s="262"/>
      <c r="L357" s="266"/>
      <c r="M357" s="266"/>
      <c r="N357" s="262"/>
      <c r="O357" s="266"/>
      <c r="P357" s="266"/>
      <c r="Q357" s="262"/>
      <c r="R357" s="266"/>
      <c r="S357" s="266"/>
      <c r="T357" s="262"/>
      <c r="U357" s="266"/>
      <c r="V357" s="266"/>
    </row>
    <row r="358">
      <c r="B358" s="14"/>
      <c r="E358" s="262"/>
      <c r="F358" s="266"/>
      <c r="G358" s="266"/>
      <c r="H358" s="262"/>
      <c r="I358" s="266"/>
      <c r="J358" s="266"/>
      <c r="K358" s="262"/>
      <c r="L358" s="266"/>
      <c r="M358" s="266"/>
      <c r="N358" s="262"/>
      <c r="O358" s="266"/>
      <c r="P358" s="266"/>
      <c r="Q358" s="262"/>
      <c r="R358" s="266"/>
      <c r="S358" s="266"/>
      <c r="T358" s="262"/>
      <c r="U358" s="266"/>
      <c r="V358" s="266"/>
    </row>
    <row r="359">
      <c r="B359" s="14"/>
      <c r="E359" s="262"/>
      <c r="F359" s="266"/>
      <c r="G359" s="266"/>
      <c r="H359" s="262"/>
      <c r="I359" s="266"/>
      <c r="J359" s="266"/>
      <c r="K359" s="262"/>
      <c r="L359" s="266"/>
      <c r="M359" s="266"/>
      <c r="N359" s="262"/>
      <c r="O359" s="266"/>
      <c r="P359" s="266"/>
      <c r="Q359" s="262"/>
      <c r="R359" s="266"/>
      <c r="S359" s="266"/>
      <c r="T359" s="262"/>
      <c r="U359" s="266"/>
      <c r="V359" s="266"/>
    </row>
    <row r="360">
      <c r="B360" s="14"/>
      <c r="E360" s="262"/>
      <c r="F360" s="266"/>
      <c r="G360" s="266"/>
      <c r="H360" s="262"/>
      <c r="I360" s="266"/>
      <c r="J360" s="266"/>
      <c r="K360" s="262"/>
      <c r="L360" s="266"/>
      <c r="M360" s="266"/>
      <c r="N360" s="262"/>
      <c r="O360" s="266"/>
      <c r="P360" s="266"/>
      <c r="Q360" s="262"/>
      <c r="R360" s="266"/>
      <c r="S360" s="266"/>
      <c r="T360" s="262"/>
      <c r="U360" s="266"/>
      <c r="V360" s="266"/>
    </row>
    <row r="361">
      <c r="B361" s="14"/>
      <c r="E361" s="262"/>
      <c r="F361" s="266"/>
      <c r="G361" s="266"/>
      <c r="H361" s="262"/>
      <c r="I361" s="266"/>
      <c r="J361" s="266"/>
      <c r="K361" s="262"/>
      <c r="L361" s="266"/>
      <c r="M361" s="266"/>
      <c r="N361" s="262"/>
      <c r="O361" s="266"/>
      <c r="P361" s="266"/>
      <c r="Q361" s="262"/>
      <c r="R361" s="266"/>
      <c r="S361" s="266"/>
      <c r="T361" s="262"/>
      <c r="U361" s="266"/>
      <c r="V361" s="266"/>
    </row>
    <row r="362">
      <c r="B362" s="14"/>
      <c r="E362" s="262"/>
      <c r="F362" s="266"/>
      <c r="G362" s="266"/>
      <c r="H362" s="262"/>
      <c r="I362" s="266"/>
      <c r="J362" s="266"/>
      <c r="K362" s="262"/>
      <c r="L362" s="266"/>
      <c r="M362" s="266"/>
      <c r="N362" s="262"/>
      <c r="O362" s="266"/>
      <c r="P362" s="266"/>
      <c r="Q362" s="262"/>
      <c r="R362" s="266"/>
      <c r="S362" s="266"/>
      <c r="T362" s="262"/>
      <c r="U362" s="266"/>
      <c r="V362" s="266"/>
    </row>
    <row r="363">
      <c r="B363" s="14"/>
      <c r="E363" s="262"/>
      <c r="F363" s="266"/>
      <c r="G363" s="266"/>
      <c r="H363" s="262"/>
      <c r="I363" s="266"/>
      <c r="J363" s="266"/>
      <c r="K363" s="262"/>
      <c r="L363" s="266"/>
      <c r="M363" s="266"/>
      <c r="N363" s="262"/>
      <c r="O363" s="266"/>
      <c r="P363" s="266"/>
      <c r="Q363" s="262"/>
      <c r="R363" s="266"/>
      <c r="S363" s="266"/>
      <c r="T363" s="262"/>
      <c r="U363" s="266"/>
      <c r="V363" s="266"/>
    </row>
    <row r="364">
      <c r="B364" s="14"/>
      <c r="E364" s="262"/>
      <c r="F364" s="266"/>
      <c r="G364" s="266"/>
      <c r="H364" s="262"/>
      <c r="I364" s="266"/>
      <c r="J364" s="266"/>
      <c r="K364" s="262"/>
      <c r="L364" s="266"/>
      <c r="M364" s="266"/>
      <c r="N364" s="262"/>
      <c r="O364" s="266"/>
      <c r="P364" s="266"/>
      <c r="Q364" s="262"/>
      <c r="R364" s="266"/>
      <c r="S364" s="266"/>
      <c r="T364" s="262"/>
      <c r="U364" s="266"/>
      <c r="V364" s="266"/>
    </row>
    <row r="365">
      <c r="B365" s="14"/>
      <c r="E365" s="262"/>
      <c r="F365" s="266"/>
      <c r="G365" s="266"/>
      <c r="H365" s="262"/>
      <c r="I365" s="266"/>
      <c r="J365" s="266"/>
      <c r="K365" s="262"/>
      <c r="L365" s="266"/>
      <c r="M365" s="266"/>
      <c r="N365" s="262"/>
      <c r="O365" s="266"/>
      <c r="P365" s="266"/>
      <c r="Q365" s="262"/>
      <c r="R365" s="266"/>
      <c r="S365" s="266"/>
      <c r="T365" s="262"/>
      <c r="U365" s="266"/>
      <c r="V365" s="266"/>
    </row>
    <row r="366">
      <c r="B366" s="14"/>
      <c r="E366" s="262"/>
      <c r="F366" s="266"/>
      <c r="G366" s="266"/>
      <c r="H366" s="262"/>
      <c r="I366" s="266"/>
      <c r="J366" s="266"/>
      <c r="K366" s="262"/>
      <c r="L366" s="266"/>
      <c r="M366" s="266"/>
      <c r="N366" s="262"/>
      <c r="O366" s="266"/>
      <c r="P366" s="266"/>
      <c r="Q366" s="262"/>
      <c r="R366" s="266"/>
      <c r="S366" s="266"/>
      <c r="T366" s="262"/>
      <c r="U366" s="266"/>
      <c r="V366" s="266"/>
    </row>
    <row r="367">
      <c r="B367" s="14"/>
      <c r="E367" s="262"/>
      <c r="F367" s="266"/>
      <c r="G367" s="266"/>
      <c r="H367" s="262"/>
      <c r="I367" s="266"/>
      <c r="J367" s="266"/>
      <c r="K367" s="262"/>
      <c r="L367" s="266"/>
      <c r="M367" s="266"/>
      <c r="N367" s="262"/>
      <c r="O367" s="266"/>
      <c r="P367" s="266"/>
      <c r="Q367" s="262"/>
      <c r="R367" s="266"/>
      <c r="S367" s="266"/>
      <c r="T367" s="262"/>
      <c r="U367" s="266"/>
      <c r="V367" s="266"/>
    </row>
    <row r="368">
      <c r="B368" s="14"/>
      <c r="E368" s="262"/>
      <c r="F368" s="266"/>
      <c r="G368" s="266"/>
      <c r="H368" s="262"/>
      <c r="I368" s="266"/>
      <c r="J368" s="266"/>
      <c r="K368" s="262"/>
      <c r="L368" s="266"/>
      <c r="M368" s="266"/>
      <c r="N368" s="262"/>
      <c r="O368" s="266"/>
      <c r="P368" s="266"/>
      <c r="Q368" s="262"/>
      <c r="R368" s="266"/>
      <c r="S368" s="266"/>
      <c r="T368" s="262"/>
      <c r="U368" s="266"/>
      <c r="V368" s="266"/>
    </row>
    <row r="369">
      <c r="B369" s="14"/>
      <c r="E369" s="262"/>
      <c r="F369" s="266"/>
      <c r="G369" s="266"/>
      <c r="H369" s="262"/>
      <c r="I369" s="266"/>
      <c r="J369" s="266"/>
      <c r="K369" s="262"/>
      <c r="L369" s="266"/>
      <c r="M369" s="266"/>
      <c r="N369" s="262"/>
      <c r="O369" s="266"/>
      <c r="P369" s="266"/>
      <c r="Q369" s="262"/>
      <c r="R369" s="266"/>
      <c r="S369" s="266"/>
      <c r="T369" s="262"/>
      <c r="U369" s="266"/>
      <c r="V369" s="266"/>
    </row>
    <row r="370">
      <c r="B370" s="14"/>
      <c r="E370" s="262"/>
      <c r="F370" s="266"/>
      <c r="G370" s="266"/>
      <c r="H370" s="262"/>
      <c r="I370" s="266"/>
      <c r="J370" s="266"/>
      <c r="K370" s="262"/>
      <c r="L370" s="266"/>
      <c r="M370" s="266"/>
      <c r="N370" s="262"/>
      <c r="O370" s="266"/>
      <c r="P370" s="266"/>
      <c r="Q370" s="262"/>
      <c r="R370" s="266"/>
      <c r="S370" s="266"/>
      <c r="T370" s="262"/>
      <c r="U370" s="266"/>
      <c r="V370" s="266"/>
    </row>
    <row r="371">
      <c r="B371" s="14"/>
      <c r="E371" s="262"/>
      <c r="F371" s="266"/>
      <c r="G371" s="266"/>
      <c r="H371" s="262"/>
      <c r="I371" s="266"/>
      <c r="J371" s="266"/>
      <c r="K371" s="262"/>
      <c r="L371" s="266"/>
      <c r="M371" s="266"/>
      <c r="N371" s="262"/>
      <c r="O371" s="266"/>
      <c r="P371" s="266"/>
      <c r="Q371" s="262"/>
      <c r="R371" s="266"/>
      <c r="S371" s="266"/>
      <c r="T371" s="262"/>
      <c r="U371" s="266"/>
      <c r="V371" s="266"/>
    </row>
    <row r="372">
      <c r="B372" s="14"/>
      <c r="E372" s="262"/>
      <c r="F372" s="266"/>
      <c r="G372" s="266"/>
      <c r="H372" s="262"/>
      <c r="I372" s="266"/>
      <c r="J372" s="266"/>
      <c r="K372" s="262"/>
      <c r="L372" s="266"/>
      <c r="M372" s="266"/>
      <c r="N372" s="262"/>
      <c r="O372" s="266"/>
      <c r="P372" s="266"/>
      <c r="Q372" s="262"/>
      <c r="R372" s="266"/>
      <c r="S372" s="266"/>
      <c r="T372" s="262"/>
      <c r="U372" s="266"/>
      <c r="V372" s="266"/>
    </row>
    <row r="373">
      <c r="B373" s="14"/>
      <c r="E373" s="262"/>
      <c r="F373" s="266"/>
      <c r="G373" s="266"/>
      <c r="H373" s="262"/>
      <c r="I373" s="266"/>
      <c r="J373" s="266"/>
      <c r="K373" s="262"/>
      <c r="L373" s="266"/>
      <c r="M373" s="266"/>
      <c r="N373" s="262"/>
      <c r="O373" s="266"/>
      <c r="P373" s="266"/>
      <c r="Q373" s="262"/>
      <c r="R373" s="266"/>
      <c r="S373" s="266"/>
      <c r="T373" s="262"/>
      <c r="U373" s="266"/>
      <c r="V373" s="266"/>
    </row>
    <row r="374">
      <c r="B374" s="14"/>
      <c r="E374" s="262"/>
      <c r="F374" s="266"/>
      <c r="G374" s="266"/>
      <c r="H374" s="262"/>
      <c r="I374" s="266"/>
      <c r="J374" s="266"/>
      <c r="K374" s="262"/>
      <c r="L374" s="266"/>
      <c r="M374" s="266"/>
      <c r="N374" s="262"/>
      <c r="O374" s="266"/>
      <c r="P374" s="266"/>
      <c r="Q374" s="262"/>
      <c r="R374" s="266"/>
      <c r="S374" s="266"/>
      <c r="T374" s="262"/>
      <c r="U374" s="266"/>
      <c r="V374" s="266"/>
    </row>
    <row r="375">
      <c r="B375" s="14"/>
      <c r="E375" s="262"/>
      <c r="F375" s="266"/>
      <c r="G375" s="266"/>
      <c r="H375" s="262"/>
      <c r="I375" s="266"/>
      <c r="J375" s="266"/>
      <c r="K375" s="262"/>
      <c r="L375" s="266"/>
      <c r="M375" s="266"/>
      <c r="N375" s="262"/>
      <c r="O375" s="266"/>
      <c r="P375" s="266"/>
      <c r="Q375" s="262"/>
      <c r="R375" s="266"/>
      <c r="S375" s="266"/>
      <c r="T375" s="262"/>
      <c r="U375" s="266"/>
      <c r="V375" s="266"/>
    </row>
    <row r="376">
      <c r="B376" s="14"/>
      <c r="E376" s="262"/>
      <c r="F376" s="266"/>
      <c r="G376" s="266"/>
      <c r="H376" s="262"/>
      <c r="I376" s="266"/>
      <c r="J376" s="266"/>
      <c r="K376" s="262"/>
      <c r="L376" s="266"/>
      <c r="M376" s="266"/>
      <c r="N376" s="262"/>
      <c r="O376" s="266"/>
      <c r="P376" s="266"/>
      <c r="Q376" s="262"/>
      <c r="R376" s="266"/>
      <c r="S376" s="266"/>
      <c r="T376" s="262"/>
      <c r="U376" s="266"/>
      <c r="V376" s="266"/>
    </row>
    <row r="377">
      <c r="B377" s="14"/>
      <c r="E377" s="262"/>
      <c r="F377" s="266"/>
      <c r="G377" s="266"/>
      <c r="H377" s="262"/>
      <c r="I377" s="266"/>
      <c r="J377" s="266"/>
      <c r="K377" s="262"/>
      <c r="L377" s="266"/>
      <c r="M377" s="266"/>
      <c r="N377" s="262"/>
      <c r="O377" s="266"/>
      <c r="P377" s="266"/>
      <c r="Q377" s="262"/>
      <c r="R377" s="266"/>
      <c r="S377" s="266"/>
      <c r="T377" s="262"/>
      <c r="U377" s="266"/>
      <c r="V377" s="266"/>
    </row>
    <row r="378">
      <c r="B378" s="14"/>
      <c r="E378" s="262"/>
      <c r="F378" s="266"/>
      <c r="G378" s="266"/>
      <c r="H378" s="262"/>
      <c r="I378" s="266"/>
      <c r="J378" s="266"/>
      <c r="K378" s="262"/>
      <c r="L378" s="266"/>
      <c r="M378" s="266"/>
      <c r="N378" s="262"/>
      <c r="O378" s="266"/>
      <c r="P378" s="266"/>
      <c r="Q378" s="262"/>
      <c r="R378" s="266"/>
      <c r="S378" s="266"/>
      <c r="T378" s="262"/>
      <c r="U378" s="266"/>
      <c r="V378" s="266"/>
    </row>
    <row r="379">
      <c r="B379" s="14"/>
      <c r="E379" s="262"/>
      <c r="F379" s="266"/>
      <c r="G379" s="266"/>
      <c r="H379" s="262"/>
      <c r="I379" s="266"/>
      <c r="J379" s="266"/>
      <c r="K379" s="262"/>
      <c r="L379" s="266"/>
      <c r="M379" s="266"/>
      <c r="N379" s="262"/>
      <c r="O379" s="266"/>
      <c r="P379" s="266"/>
      <c r="Q379" s="262"/>
      <c r="R379" s="266"/>
      <c r="S379" s="266"/>
      <c r="T379" s="262"/>
      <c r="U379" s="266"/>
      <c r="V379" s="266"/>
    </row>
    <row r="380">
      <c r="B380" s="14"/>
      <c r="E380" s="262"/>
      <c r="F380" s="266"/>
      <c r="G380" s="266"/>
      <c r="H380" s="262"/>
      <c r="I380" s="266"/>
      <c r="J380" s="266"/>
      <c r="K380" s="262"/>
      <c r="L380" s="266"/>
      <c r="M380" s="266"/>
      <c r="N380" s="262"/>
      <c r="O380" s="266"/>
      <c r="P380" s="266"/>
      <c r="Q380" s="262"/>
      <c r="R380" s="266"/>
      <c r="S380" s="266"/>
      <c r="T380" s="262"/>
      <c r="U380" s="266"/>
      <c r="V380" s="266"/>
    </row>
    <row r="381">
      <c r="B381" s="14"/>
      <c r="E381" s="262"/>
      <c r="F381" s="266"/>
      <c r="G381" s="266"/>
      <c r="H381" s="262"/>
      <c r="I381" s="266"/>
      <c r="J381" s="266"/>
      <c r="K381" s="262"/>
      <c r="L381" s="266"/>
      <c r="M381" s="266"/>
      <c r="N381" s="262"/>
      <c r="O381" s="266"/>
      <c r="P381" s="266"/>
      <c r="Q381" s="262"/>
      <c r="R381" s="266"/>
      <c r="S381" s="266"/>
      <c r="T381" s="262"/>
      <c r="U381" s="266"/>
      <c r="V381" s="266"/>
    </row>
    <row r="382">
      <c r="B382" s="14"/>
      <c r="E382" s="262"/>
      <c r="F382" s="266"/>
      <c r="G382" s="266"/>
      <c r="H382" s="262"/>
      <c r="I382" s="266"/>
      <c r="J382" s="266"/>
      <c r="K382" s="262"/>
      <c r="L382" s="266"/>
      <c r="M382" s="266"/>
      <c r="N382" s="262"/>
      <c r="O382" s="266"/>
      <c r="P382" s="266"/>
      <c r="Q382" s="262"/>
      <c r="R382" s="266"/>
      <c r="S382" s="266"/>
      <c r="T382" s="262"/>
      <c r="U382" s="266"/>
      <c r="V382" s="266"/>
    </row>
    <row r="383">
      <c r="B383" s="14"/>
      <c r="E383" s="262"/>
      <c r="F383" s="266"/>
      <c r="G383" s="266"/>
      <c r="H383" s="262"/>
      <c r="I383" s="266"/>
      <c r="J383" s="266"/>
      <c r="K383" s="262"/>
      <c r="L383" s="266"/>
      <c r="M383" s="266"/>
      <c r="N383" s="262"/>
      <c r="O383" s="266"/>
      <c r="P383" s="266"/>
      <c r="Q383" s="262"/>
      <c r="R383" s="266"/>
      <c r="S383" s="266"/>
      <c r="T383" s="262"/>
      <c r="U383" s="266"/>
      <c r="V383" s="266"/>
    </row>
    <row r="384">
      <c r="B384" s="14"/>
      <c r="E384" s="262"/>
      <c r="F384" s="266"/>
      <c r="G384" s="266"/>
      <c r="H384" s="262"/>
      <c r="I384" s="266"/>
      <c r="J384" s="266"/>
      <c r="K384" s="262"/>
      <c r="L384" s="266"/>
      <c r="M384" s="266"/>
      <c r="N384" s="262"/>
      <c r="O384" s="266"/>
      <c r="P384" s="266"/>
      <c r="Q384" s="262"/>
      <c r="R384" s="266"/>
      <c r="S384" s="266"/>
      <c r="T384" s="262"/>
      <c r="U384" s="266"/>
      <c r="V384" s="266"/>
    </row>
    <row r="385">
      <c r="B385" s="14"/>
      <c r="E385" s="262"/>
      <c r="F385" s="266"/>
      <c r="G385" s="266"/>
      <c r="H385" s="262"/>
      <c r="I385" s="266"/>
      <c r="J385" s="266"/>
      <c r="K385" s="262"/>
      <c r="L385" s="266"/>
      <c r="M385" s="266"/>
      <c r="N385" s="262"/>
      <c r="O385" s="266"/>
      <c r="P385" s="266"/>
      <c r="Q385" s="262"/>
      <c r="R385" s="266"/>
      <c r="S385" s="266"/>
      <c r="T385" s="262"/>
      <c r="U385" s="266"/>
      <c r="V385" s="266"/>
    </row>
    <row r="386">
      <c r="B386" s="14"/>
      <c r="E386" s="262"/>
      <c r="F386" s="266"/>
      <c r="G386" s="266"/>
      <c r="H386" s="262"/>
      <c r="I386" s="266"/>
      <c r="J386" s="266"/>
      <c r="K386" s="262"/>
      <c r="L386" s="266"/>
      <c r="M386" s="266"/>
      <c r="N386" s="262"/>
      <c r="O386" s="266"/>
      <c r="P386" s="266"/>
      <c r="Q386" s="262"/>
      <c r="R386" s="266"/>
      <c r="S386" s="266"/>
      <c r="T386" s="262"/>
      <c r="U386" s="266"/>
      <c r="V386" s="266"/>
    </row>
    <row r="387">
      <c r="B387" s="14"/>
      <c r="E387" s="262"/>
      <c r="F387" s="266"/>
      <c r="G387" s="266"/>
      <c r="H387" s="262"/>
      <c r="I387" s="266"/>
      <c r="J387" s="266"/>
      <c r="K387" s="262"/>
      <c r="L387" s="266"/>
      <c r="M387" s="266"/>
      <c r="N387" s="262"/>
      <c r="O387" s="266"/>
      <c r="P387" s="266"/>
      <c r="Q387" s="262"/>
      <c r="R387" s="266"/>
      <c r="S387" s="266"/>
      <c r="T387" s="262"/>
      <c r="U387" s="266"/>
      <c r="V387" s="266"/>
    </row>
    <row r="388">
      <c r="B388" s="14"/>
      <c r="E388" s="262"/>
      <c r="F388" s="266"/>
      <c r="G388" s="266"/>
      <c r="H388" s="262"/>
      <c r="I388" s="266"/>
      <c r="J388" s="266"/>
      <c r="K388" s="262"/>
      <c r="L388" s="266"/>
      <c r="M388" s="266"/>
      <c r="N388" s="262"/>
      <c r="O388" s="266"/>
      <c r="P388" s="266"/>
      <c r="Q388" s="262"/>
      <c r="R388" s="266"/>
      <c r="S388" s="266"/>
      <c r="T388" s="262"/>
      <c r="U388" s="266"/>
      <c r="V388" s="266"/>
    </row>
    <row r="389">
      <c r="B389" s="14"/>
      <c r="E389" s="262"/>
      <c r="F389" s="266"/>
      <c r="G389" s="266"/>
      <c r="H389" s="262"/>
      <c r="I389" s="266"/>
      <c r="J389" s="266"/>
      <c r="K389" s="262"/>
      <c r="L389" s="266"/>
      <c r="M389" s="266"/>
      <c r="N389" s="262"/>
      <c r="O389" s="266"/>
      <c r="P389" s="266"/>
      <c r="Q389" s="262"/>
      <c r="R389" s="266"/>
      <c r="S389" s="266"/>
      <c r="T389" s="262"/>
      <c r="U389" s="266"/>
      <c r="V389" s="266"/>
    </row>
    <row r="390">
      <c r="B390" s="14"/>
      <c r="E390" s="262"/>
      <c r="F390" s="266"/>
      <c r="G390" s="266"/>
      <c r="H390" s="262"/>
      <c r="I390" s="266"/>
      <c r="J390" s="266"/>
      <c r="K390" s="262"/>
      <c r="L390" s="266"/>
      <c r="M390" s="266"/>
      <c r="N390" s="262"/>
      <c r="O390" s="266"/>
      <c r="P390" s="266"/>
      <c r="Q390" s="262"/>
      <c r="R390" s="266"/>
      <c r="S390" s="266"/>
      <c r="T390" s="262"/>
      <c r="U390" s="266"/>
      <c r="V390" s="266"/>
    </row>
    <row r="391">
      <c r="B391" s="14"/>
      <c r="E391" s="262"/>
      <c r="F391" s="266"/>
      <c r="G391" s="266"/>
      <c r="H391" s="262"/>
      <c r="I391" s="266"/>
      <c r="J391" s="266"/>
      <c r="K391" s="262"/>
      <c r="L391" s="266"/>
      <c r="M391" s="266"/>
      <c r="N391" s="262"/>
      <c r="O391" s="266"/>
      <c r="P391" s="266"/>
      <c r="Q391" s="262"/>
      <c r="R391" s="266"/>
      <c r="S391" s="266"/>
      <c r="T391" s="262"/>
      <c r="U391" s="266"/>
      <c r="V391" s="266"/>
    </row>
    <row r="392">
      <c r="B392" s="14"/>
      <c r="E392" s="262"/>
      <c r="F392" s="266"/>
      <c r="G392" s="266"/>
      <c r="H392" s="262"/>
      <c r="I392" s="266"/>
      <c r="J392" s="266"/>
      <c r="K392" s="262"/>
      <c r="L392" s="266"/>
      <c r="M392" s="266"/>
      <c r="N392" s="262"/>
      <c r="O392" s="266"/>
      <c r="P392" s="266"/>
      <c r="Q392" s="262"/>
      <c r="R392" s="266"/>
      <c r="S392" s="266"/>
      <c r="T392" s="262"/>
      <c r="U392" s="266"/>
      <c r="V392" s="266"/>
    </row>
    <row r="393">
      <c r="B393" s="14"/>
      <c r="E393" s="262"/>
      <c r="F393" s="266"/>
      <c r="G393" s="266"/>
      <c r="H393" s="262"/>
      <c r="I393" s="266"/>
      <c r="J393" s="266"/>
      <c r="K393" s="262"/>
      <c r="L393" s="266"/>
      <c r="M393" s="266"/>
      <c r="N393" s="262"/>
      <c r="O393" s="266"/>
      <c r="P393" s="266"/>
      <c r="Q393" s="262"/>
      <c r="R393" s="266"/>
      <c r="S393" s="266"/>
      <c r="T393" s="262"/>
      <c r="U393" s="266"/>
      <c r="V393" s="266"/>
    </row>
    <row r="394">
      <c r="B394" s="14"/>
      <c r="E394" s="262"/>
      <c r="F394" s="266"/>
      <c r="G394" s="266"/>
      <c r="H394" s="262"/>
      <c r="I394" s="266"/>
      <c r="J394" s="266"/>
      <c r="K394" s="262"/>
      <c r="L394" s="266"/>
      <c r="M394" s="266"/>
      <c r="N394" s="262"/>
      <c r="O394" s="266"/>
      <c r="P394" s="266"/>
      <c r="Q394" s="262"/>
      <c r="R394" s="266"/>
      <c r="S394" s="266"/>
      <c r="T394" s="262"/>
      <c r="U394" s="266"/>
      <c r="V394" s="266"/>
    </row>
    <row r="395">
      <c r="B395" s="14"/>
      <c r="E395" s="262"/>
      <c r="F395" s="266"/>
      <c r="G395" s="266"/>
      <c r="H395" s="262"/>
      <c r="I395" s="266"/>
      <c r="J395" s="266"/>
      <c r="K395" s="262"/>
      <c r="L395" s="266"/>
      <c r="M395" s="266"/>
      <c r="N395" s="262"/>
      <c r="O395" s="266"/>
      <c r="P395" s="266"/>
      <c r="Q395" s="262"/>
      <c r="R395" s="266"/>
      <c r="S395" s="266"/>
      <c r="T395" s="262"/>
      <c r="U395" s="266"/>
      <c r="V395" s="266"/>
    </row>
    <row r="396">
      <c r="B396" s="14"/>
      <c r="E396" s="262"/>
      <c r="F396" s="266"/>
      <c r="G396" s="266"/>
      <c r="H396" s="262"/>
      <c r="I396" s="266"/>
      <c r="J396" s="266"/>
      <c r="K396" s="262"/>
      <c r="L396" s="266"/>
      <c r="M396" s="266"/>
      <c r="N396" s="262"/>
      <c r="O396" s="266"/>
      <c r="P396" s="266"/>
      <c r="Q396" s="262"/>
      <c r="R396" s="266"/>
      <c r="S396" s="266"/>
      <c r="T396" s="262"/>
      <c r="U396" s="266"/>
      <c r="V396" s="266"/>
    </row>
    <row r="397">
      <c r="B397" s="14"/>
      <c r="E397" s="262"/>
      <c r="F397" s="266"/>
      <c r="G397" s="266"/>
      <c r="H397" s="262"/>
      <c r="I397" s="266"/>
      <c r="J397" s="266"/>
      <c r="K397" s="262"/>
      <c r="L397" s="266"/>
      <c r="M397" s="266"/>
      <c r="N397" s="262"/>
      <c r="O397" s="266"/>
      <c r="P397" s="266"/>
      <c r="Q397" s="262"/>
      <c r="R397" s="266"/>
      <c r="S397" s="266"/>
      <c r="T397" s="262"/>
      <c r="U397" s="266"/>
      <c r="V397" s="266"/>
    </row>
    <row r="398">
      <c r="B398" s="14"/>
      <c r="E398" s="262"/>
      <c r="F398" s="266"/>
      <c r="G398" s="266"/>
      <c r="H398" s="262"/>
      <c r="I398" s="266"/>
      <c r="J398" s="266"/>
      <c r="K398" s="262"/>
      <c r="L398" s="266"/>
      <c r="M398" s="266"/>
      <c r="N398" s="262"/>
      <c r="O398" s="266"/>
      <c r="P398" s="266"/>
      <c r="Q398" s="262"/>
      <c r="R398" s="266"/>
      <c r="S398" s="266"/>
      <c r="T398" s="262"/>
      <c r="U398" s="266"/>
      <c r="V398" s="266"/>
    </row>
    <row r="399">
      <c r="B399" s="14"/>
      <c r="E399" s="262"/>
      <c r="F399" s="266"/>
      <c r="G399" s="266"/>
      <c r="H399" s="262"/>
      <c r="I399" s="266"/>
      <c r="J399" s="266"/>
      <c r="K399" s="262"/>
      <c r="L399" s="266"/>
      <c r="M399" s="266"/>
      <c r="N399" s="262"/>
      <c r="O399" s="266"/>
      <c r="P399" s="266"/>
      <c r="Q399" s="262"/>
      <c r="R399" s="266"/>
      <c r="S399" s="266"/>
      <c r="T399" s="262"/>
      <c r="U399" s="266"/>
      <c r="V399" s="266"/>
    </row>
    <row r="400">
      <c r="B400" s="14"/>
      <c r="E400" s="262"/>
      <c r="F400" s="266"/>
      <c r="G400" s="266"/>
      <c r="H400" s="262"/>
      <c r="I400" s="266"/>
      <c r="J400" s="266"/>
      <c r="K400" s="262"/>
      <c r="L400" s="266"/>
      <c r="M400" s="266"/>
      <c r="N400" s="262"/>
      <c r="O400" s="266"/>
      <c r="P400" s="266"/>
      <c r="Q400" s="262"/>
      <c r="R400" s="266"/>
      <c r="S400" s="266"/>
      <c r="T400" s="262"/>
      <c r="U400" s="266"/>
      <c r="V400" s="266"/>
    </row>
    <row r="401">
      <c r="B401" s="14"/>
      <c r="E401" s="262"/>
      <c r="F401" s="266"/>
      <c r="G401" s="266"/>
      <c r="H401" s="262"/>
      <c r="I401" s="266"/>
      <c r="J401" s="266"/>
      <c r="K401" s="262"/>
      <c r="L401" s="266"/>
      <c r="M401" s="266"/>
      <c r="N401" s="262"/>
      <c r="O401" s="266"/>
      <c r="P401" s="266"/>
      <c r="Q401" s="262"/>
      <c r="R401" s="266"/>
      <c r="S401" s="266"/>
      <c r="T401" s="262"/>
      <c r="U401" s="266"/>
      <c r="V401" s="266"/>
    </row>
    <row r="402">
      <c r="B402" s="14"/>
      <c r="E402" s="262"/>
      <c r="F402" s="266"/>
      <c r="G402" s="266"/>
      <c r="H402" s="262"/>
      <c r="I402" s="266"/>
      <c r="J402" s="266"/>
      <c r="K402" s="262"/>
      <c r="L402" s="266"/>
      <c r="M402" s="266"/>
      <c r="N402" s="262"/>
      <c r="O402" s="266"/>
      <c r="P402" s="266"/>
      <c r="Q402" s="262"/>
      <c r="R402" s="266"/>
      <c r="S402" s="266"/>
      <c r="T402" s="262"/>
      <c r="U402" s="266"/>
      <c r="V402" s="266"/>
    </row>
    <row r="403">
      <c r="B403" s="14"/>
      <c r="E403" s="262"/>
      <c r="F403" s="266"/>
      <c r="G403" s="266"/>
      <c r="H403" s="262"/>
      <c r="I403" s="266"/>
      <c r="J403" s="266"/>
      <c r="K403" s="262"/>
      <c r="L403" s="266"/>
      <c r="M403" s="266"/>
      <c r="N403" s="262"/>
      <c r="O403" s="266"/>
      <c r="P403" s="266"/>
      <c r="Q403" s="262"/>
      <c r="R403" s="266"/>
      <c r="S403" s="266"/>
      <c r="T403" s="262"/>
      <c r="U403" s="266"/>
      <c r="V403" s="266"/>
    </row>
    <row r="404">
      <c r="B404" s="14"/>
      <c r="E404" s="262"/>
      <c r="F404" s="266"/>
      <c r="G404" s="266"/>
      <c r="H404" s="262"/>
      <c r="I404" s="266"/>
      <c r="J404" s="266"/>
      <c r="K404" s="262"/>
      <c r="L404" s="266"/>
      <c r="M404" s="266"/>
      <c r="N404" s="262"/>
      <c r="O404" s="266"/>
      <c r="P404" s="266"/>
      <c r="Q404" s="262"/>
      <c r="R404" s="266"/>
      <c r="S404" s="266"/>
      <c r="T404" s="262"/>
      <c r="U404" s="266"/>
      <c r="V404" s="266"/>
    </row>
    <row r="405">
      <c r="B405" s="14"/>
      <c r="E405" s="262"/>
      <c r="F405" s="266"/>
      <c r="G405" s="266"/>
      <c r="H405" s="262"/>
      <c r="I405" s="266"/>
      <c r="J405" s="266"/>
      <c r="K405" s="262"/>
      <c r="L405" s="266"/>
      <c r="M405" s="266"/>
      <c r="N405" s="262"/>
      <c r="O405" s="266"/>
      <c r="P405" s="266"/>
      <c r="Q405" s="262"/>
      <c r="R405" s="266"/>
      <c r="S405" s="266"/>
      <c r="T405" s="262"/>
      <c r="U405" s="266"/>
      <c r="V405" s="266"/>
    </row>
    <row r="406">
      <c r="B406" s="14"/>
      <c r="E406" s="262"/>
      <c r="F406" s="266"/>
      <c r="G406" s="266"/>
      <c r="H406" s="262"/>
      <c r="I406" s="266"/>
      <c r="J406" s="266"/>
      <c r="K406" s="262"/>
      <c r="L406" s="266"/>
      <c r="M406" s="266"/>
      <c r="N406" s="262"/>
      <c r="O406" s="266"/>
      <c r="P406" s="266"/>
      <c r="Q406" s="262"/>
      <c r="R406" s="266"/>
      <c r="S406" s="266"/>
      <c r="T406" s="262"/>
      <c r="U406" s="266"/>
      <c r="V406" s="266"/>
    </row>
    <row r="407">
      <c r="B407" s="14"/>
      <c r="E407" s="262"/>
      <c r="F407" s="266"/>
      <c r="G407" s="266"/>
      <c r="H407" s="262"/>
      <c r="I407" s="266"/>
      <c r="J407" s="266"/>
      <c r="K407" s="262"/>
      <c r="L407" s="266"/>
      <c r="M407" s="266"/>
      <c r="N407" s="262"/>
      <c r="O407" s="266"/>
      <c r="P407" s="266"/>
      <c r="Q407" s="262"/>
      <c r="R407" s="266"/>
      <c r="S407" s="266"/>
      <c r="T407" s="262"/>
      <c r="U407" s="266"/>
      <c r="V407" s="266"/>
    </row>
    <row r="408">
      <c r="B408" s="14"/>
      <c r="E408" s="262"/>
      <c r="F408" s="266"/>
      <c r="G408" s="266"/>
      <c r="H408" s="262"/>
      <c r="I408" s="266"/>
      <c r="J408" s="266"/>
      <c r="K408" s="262"/>
      <c r="L408" s="266"/>
      <c r="M408" s="266"/>
      <c r="N408" s="262"/>
      <c r="O408" s="266"/>
      <c r="P408" s="266"/>
      <c r="Q408" s="262"/>
      <c r="R408" s="266"/>
      <c r="S408" s="266"/>
      <c r="T408" s="262"/>
      <c r="U408" s="266"/>
      <c r="V408" s="266"/>
    </row>
    <row r="409">
      <c r="B409" s="14"/>
      <c r="E409" s="262"/>
      <c r="F409" s="266"/>
      <c r="G409" s="266"/>
      <c r="H409" s="262"/>
      <c r="I409" s="266"/>
      <c r="J409" s="266"/>
      <c r="K409" s="262"/>
      <c r="L409" s="266"/>
      <c r="M409" s="266"/>
      <c r="N409" s="262"/>
      <c r="O409" s="266"/>
      <c r="P409" s="266"/>
      <c r="Q409" s="262"/>
      <c r="R409" s="266"/>
      <c r="S409" s="266"/>
      <c r="T409" s="262"/>
      <c r="U409" s="266"/>
      <c r="V409" s="266"/>
    </row>
    <row r="410">
      <c r="B410" s="14"/>
      <c r="E410" s="262"/>
      <c r="F410" s="266"/>
      <c r="G410" s="266"/>
      <c r="H410" s="262"/>
      <c r="I410" s="266"/>
      <c r="J410" s="266"/>
      <c r="K410" s="262"/>
      <c r="L410" s="266"/>
      <c r="M410" s="266"/>
      <c r="N410" s="262"/>
      <c r="O410" s="266"/>
      <c r="P410" s="266"/>
      <c r="Q410" s="262"/>
      <c r="R410" s="266"/>
      <c r="S410" s="266"/>
      <c r="T410" s="262"/>
      <c r="U410" s="266"/>
      <c r="V410" s="266"/>
    </row>
    <row r="411">
      <c r="B411" s="14"/>
      <c r="E411" s="262"/>
      <c r="F411" s="266"/>
      <c r="G411" s="266"/>
      <c r="H411" s="262"/>
      <c r="I411" s="266"/>
      <c r="J411" s="266"/>
      <c r="K411" s="262"/>
      <c r="L411" s="266"/>
      <c r="M411" s="266"/>
      <c r="N411" s="262"/>
      <c r="O411" s="266"/>
      <c r="P411" s="266"/>
      <c r="Q411" s="262"/>
      <c r="R411" s="266"/>
      <c r="S411" s="266"/>
      <c r="T411" s="262"/>
      <c r="U411" s="266"/>
      <c r="V411" s="266"/>
    </row>
    <row r="412">
      <c r="B412" s="14"/>
      <c r="E412" s="262"/>
      <c r="F412" s="266"/>
      <c r="G412" s="266"/>
      <c r="H412" s="262"/>
      <c r="I412" s="266"/>
      <c r="J412" s="266"/>
      <c r="K412" s="262"/>
      <c r="L412" s="266"/>
      <c r="M412" s="266"/>
      <c r="N412" s="262"/>
      <c r="O412" s="266"/>
      <c r="P412" s="266"/>
      <c r="Q412" s="262"/>
      <c r="R412" s="266"/>
      <c r="S412" s="266"/>
      <c r="T412" s="262"/>
      <c r="U412" s="266"/>
      <c r="V412" s="266"/>
    </row>
    <row r="413">
      <c r="B413" s="14"/>
      <c r="E413" s="262"/>
      <c r="F413" s="266"/>
      <c r="G413" s="266"/>
      <c r="H413" s="262"/>
      <c r="I413" s="266"/>
      <c r="J413" s="266"/>
      <c r="K413" s="262"/>
      <c r="L413" s="266"/>
      <c r="M413" s="266"/>
      <c r="N413" s="262"/>
      <c r="O413" s="266"/>
      <c r="P413" s="266"/>
      <c r="Q413" s="262"/>
      <c r="R413" s="266"/>
      <c r="S413" s="266"/>
      <c r="T413" s="262"/>
      <c r="U413" s="266"/>
      <c r="V413" s="266"/>
    </row>
    <row r="414">
      <c r="B414" s="14"/>
      <c r="E414" s="262"/>
      <c r="F414" s="266"/>
      <c r="G414" s="266"/>
      <c r="H414" s="262"/>
      <c r="I414" s="266"/>
      <c r="J414" s="266"/>
      <c r="K414" s="262"/>
      <c r="L414" s="266"/>
      <c r="M414" s="266"/>
      <c r="N414" s="262"/>
      <c r="O414" s="266"/>
      <c r="P414" s="266"/>
      <c r="Q414" s="262"/>
      <c r="R414" s="266"/>
      <c r="S414" s="266"/>
      <c r="T414" s="262"/>
      <c r="U414" s="266"/>
      <c r="V414" s="266"/>
    </row>
    <row r="415">
      <c r="B415" s="14"/>
      <c r="E415" s="262"/>
      <c r="F415" s="266"/>
      <c r="G415" s="266"/>
      <c r="H415" s="262"/>
      <c r="I415" s="266"/>
      <c r="J415" s="266"/>
      <c r="K415" s="262"/>
      <c r="L415" s="266"/>
      <c r="M415" s="266"/>
      <c r="N415" s="262"/>
      <c r="O415" s="266"/>
      <c r="P415" s="266"/>
      <c r="Q415" s="262"/>
      <c r="R415" s="266"/>
      <c r="S415" s="266"/>
      <c r="T415" s="262"/>
      <c r="U415" s="266"/>
      <c r="V415" s="266"/>
    </row>
    <row r="416">
      <c r="B416" s="14"/>
      <c r="E416" s="262"/>
      <c r="F416" s="266"/>
      <c r="G416" s="266"/>
      <c r="H416" s="262"/>
      <c r="I416" s="266"/>
      <c r="J416" s="266"/>
      <c r="K416" s="262"/>
      <c r="L416" s="266"/>
      <c r="M416" s="266"/>
      <c r="N416" s="262"/>
      <c r="O416" s="266"/>
      <c r="P416" s="266"/>
      <c r="Q416" s="262"/>
      <c r="R416" s="266"/>
      <c r="S416" s="266"/>
      <c r="T416" s="262"/>
      <c r="U416" s="266"/>
      <c r="V416" s="266"/>
    </row>
    <row r="417">
      <c r="B417" s="14"/>
      <c r="E417" s="262"/>
      <c r="F417" s="266"/>
      <c r="G417" s="266"/>
      <c r="H417" s="262"/>
      <c r="I417" s="266"/>
      <c r="J417" s="266"/>
      <c r="K417" s="262"/>
      <c r="L417" s="266"/>
      <c r="M417" s="266"/>
      <c r="N417" s="262"/>
      <c r="O417" s="266"/>
      <c r="P417" s="266"/>
      <c r="Q417" s="262"/>
      <c r="R417" s="266"/>
      <c r="S417" s="266"/>
      <c r="T417" s="262"/>
      <c r="U417" s="266"/>
      <c r="V417" s="266"/>
    </row>
    <row r="418">
      <c r="B418" s="14"/>
      <c r="E418" s="262"/>
      <c r="F418" s="266"/>
      <c r="G418" s="266"/>
      <c r="H418" s="262"/>
      <c r="I418" s="266"/>
      <c r="J418" s="266"/>
      <c r="K418" s="262"/>
      <c r="L418" s="266"/>
      <c r="M418" s="266"/>
      <c r="N418" s="262"/>
      <c r="O418" s="266"/>
      <c r="P418" s="266"/>
      <c r="Q418" s="262"/>
      <c r="R418" s="266"/>
      <c r="S418" s="266"/>
      <c r="T418" s="262"/>
      <c r="U418" s="266"/>
      <c r="V418" s="266"/>
    </row>
    <row r="419">
      <c r="B419" s="14"/>
      <c r="E419" s="262"/>
      <c r="F419" s="266"/>
      <c r="G419" s="266"/>
      <c r="H419" s="262"/>
      <c r="I419" s="266"/>
      <c r="J419" s="266"/>
      <c r="K419" s="262"/>
      <c r="L419" s="266"/>
      <c r="M419" s="266"/>
      <c r="N419" s="262"/>
      <c r="O419" s="266"/>
      <c r="P419" s="266"/>
      <c r="Q419" s="262"/>
      <c r="R419" s="266"/>
      <c r="S419" s="266"/>
      <c r="T419" s="262"/>
      <c r="U419" s="266"/>
      <c r="V419" s="266"/>
    </row>
    <row r="420">
      <c r="B420" s="14"/>
      <c r="E420" s="262"/>
      <c r="F420" s="266"/>
      <c r="G420" s="266"/>
      <c r="H420" s="262"/>
      <c r="I420" s="266"/>
      <c r="J420" s="266"/>
      <c r="K420" s="262"/>
      <c r="L420" s="266"/>
      <c r="M420" s="266"/>
      <c r="N420" s="262"/>
      <c r="O420" s="266"/>
      <c r="P420" s="266"/>
      <c r="Q420" s="262"/>
      <c r="R420" s="266"/>
      <c r="S420" s="266"/>
      <c r="T420" s="262"/>
      <c r="U420" s="266"/>
      <c r="V420" s="266"/>
    </row>
    <row r="421">
      <c r="B421" s="14"/>
      <c r="E421" s="262"/>
      <c r="F421" s="266"/>
      <c r="G421" s="266"/>
      <c r="H421" s="262"/>
      <c r="I421" s="266"/>
      <c r="J421" s="266"/>
      <c r="K421" s="262"/>
      <c r="L421" s="266"/>
      <c r="M421" s="266"/>
      <c r="N421" s="262"/>
      <c r="O421" s="266"/>
      <c r="P421" s="266"/>
      <c r="Q421" s="262"/>
      <c r="R421" s="266"/>
      <c r="S421" s="266"/>
      <c r="T421" s="262"/>
      <c r="U421" s="266"/>
      <c r="V421" s="266"/>
    </row>
    <row r="422">
      <c r="B422" s="14"/>
      <c r="E422" s="262"/>
      <c r="F422" s="266"/>
      <c r="G422" s="266"/>
      <c r="H422" s="262"/>
      <c r="I422" s="266"/>
      <c r="J422" s="266"/>
      <c r="K422" s="262"/>
      <c r="L422" s="266"/>
      <c r="M422" s="266"/>
      <c r="N422" s="262"/>
      <c r="O422" s="266"/>
      <c r="P422" s="266"/>
      <c r="Q422" s="262"/>
      <c r="R422" s="266"/>
      <c r="S422" s="266"/>
      <c r="T422" s="262"/>
      <c r="U422" s="266"/>
      <c r="V422" s="266"/>
    </row>
    <row r="423">
      <c r="B423" s="14"/>
      <c r="E423" s="262"/>
      <c r="F423" s="266"/>
      <c r="G423" s="266"/>
      <c r="H423" s="262"/>
      <c r="I423" s="266"/>
      <c r="J423" s="266"/>
      <c r="K423" s="262"/>
      <c r="L423" s="266"/>
      <c r="M423" s="266"/>
      <c r="N423" s="262"/>
      <c r="O423" s="266"/>
      <c r="P423" s="266"/>
      <c r="Q423" s="262"/>
      <c r="R423" s="266"/>
      <c r="S423" s="266"/>
      <c r="T423" s="262"/>
      <c r="U423" s="266"/>
      <c r="V423" s="266"/>
    </row>
    <row r="424">
      <c r="B424" s="14"/>
      <c r="E424" s="262"/>
      <c r="F424" s="266"/>
      <c r="G424" s="266"/>
      <c r="H424" s="262"/>
      <c r="I424" s="266"/>
      <c r="J424" s="266"/>
      <c r="K424" s="262"/>
      <c r="L424" s="266"/>
      <c r="M424" s="266"/>
      <c r="N424" s="262"/>
      <c r="O424" s="266"/>
      <c r="P424" s="266"/>
      <c r="Q424" s="262"/>
      <c r="R424" s="266"/>
      <c r="S424" s="266"/>
      <c r="T424" s="262"/>
      <c r="U424" s="266"/>
      <c r="V424" s="266"/>
    </row>
    <row r="425">
      <c r="B425" s="14"/>
      <c r="E425" s="262"/>
      <c r="F425" s="266"/>
      <c r="G425" s="266"/>
      <c r="H425" s="262"/>
      <c r="I425" s="266"/>
      <c r="J425" s="266"/>
      <c r="K425" s="262"/>
      <c r="L425" s="266"/>
      <c r="M425" s="266"/>
      <c r="N425" s="262"/>
      <c r="O425" s="266"/>
      <c r="P425" s="266"/>
      <c r="Q425" s="262"/>
      <c r="R425" s="266"/>
      <c r="S425" s="266"/>
      <c r="T425" s="262"/>
      <c r="U425" s="266"/>
      <c r="V425" s="266"/>
    </row>
    <row r="426">
      <c r="B426" s="14"/>
      <c r="E426" s="262"/>
      <c r="F426" s="266"/>
      <c r="G426" s="266"/>
      <c r="H426" s="262"/>
      <c r="I426" s="266"/>
      <c r="J426" s="266"/>
      <c r="K426" s="262"/>
      <c r="L426" s="266"/>
      <c r="M426" s="266"/>
      <c r="N426" s="262"/>
      <c r="O426" s="266"/>
      <c r="P426" s="266"/>
      <c r="Q426" s="262"/>
      <c r="R426" s="266"/>
      <c r="S426" s="266"/>
      <c r="T426" s="262"/>
      <c r="U426" s="266"/>
      <c r="V426" s="266"/>
    </row>
    <row r="427">
      <c r="B427" s="14"/>
      <c r="E427" s="262"/>
      <c r="F427" s="266"/>
      <c r="G427" s="266"/>
      <c r="H427" s="262"/>
      <c r="I427" s="266"/>
      <c r="J427" s="266"/>
      <c r="K427" s="262"/>
      <c r="L427" s="266"/>
      <c r="M427" s="266"/>
      <c r="N427" s="262"/>
      <c r="O427" s="266"/>
      <c r="P427" s="266"/>
      <c r="Q427" s="262"/>
      <c r="R427" s="266"/>
      <c r="S427" s="266"/>
      <c r="T427" s="262"/>
      <c r="U427" s="266"/>
      <c r="V427" s="266"/>
    </row>
    <row r="428">
      <c r="B428" s="14"/>
      <c r="E428" s="262"/>
      <c r="F428" s="266"/>
      <c r="G428" s="266"/>
      <c r="H428" s="262"/>
      <c r="I428" s="266"/>
      <c r="J428" s="266"/>
      <c r="K428" s="262"/>
      <c r="L428" s="266"/>
      <c r="M428" s="266"/>
      <c r="N428" s="262"/>
      <c r="O428" s="266"/>
      <c r="P428" s="266"/>
      <c r="Q428" s="262"/>
      <c r="R428" s="266"/>
      <c r="S428" s="266"/>
      <c r="T428" s="262"/>
      <c r="U428" s="266"/>
      <c r="V428" s="266"/>
    </row>
    <row r="429">
      <c r="B429" s="14"/>
      <c r="E429" s="262"/>
      <c r="F429" s="266"/>
      <c r="G429" s="266"/>
      <c r="H429" s="262"/>
      <c r="I429" s="266"/>
      <c r="J429" s="266"/>
      <c r="K429" s="262"/>
      <c r="L429" s="266"/>
      <c r="M429" s="266"/>
      <c r="N429" s="262"/>
      <c r="O429" s="266"/>
      <c r="P429" s="266"/>
      <c r="Q429" s="262"/>
      <c r="R429" s="266"/>
      <c r="S429" s="266"/>
      <c r="T429" s="262"/>
      <c r="U429" s="266"/>
      <c r="V429" s="266"/>
    </row>
    <row r="430">
      <c r="B430" s="14"/>
      <c r="E430" s="262"/>
      <c r="F430" s="266"/>
      <c r="G430" s="266"/>
      <c r="H430" s="262"/>
      <c r="I430" s="266"/>
      <c r="J430" s="266"/>
      <c r="K430" s="262"/>
      <c r="L430" s="266"/>
      <c r="M430" s="266"/>
      <c r="N430" s="262"/>
      <c r="O430" s="266"/>
      <c r="P430" s="266"/>
      <c r="Q430" s="262"/>
      <c r="R430" s="266"/>
      <c r="S430" s="266"/>
      <c r="T430" s="262"/>
      <c r="U430" s="266"/>
      <c r="V430" s="266"/>
    </row>
    <row r="431">
      <c r="B431" s="14"/>
      <c r="E431" s="262"/>
      <c r="F431" s="266"/>
      <c r="G431" s="266"/>
      <c r="H431" s="262"/>
      <c r="I431" s="266"/>
      <c r="J431" s="266"/>
      <c r="K431" s="262"/>
      <c r="L431" s="266"/>
      <c r="M431" s="266"/>
      <c r="N431" s="262"/>
      <c r="O431" s="266"/>
      <c r="P431" s="266"/>
      <c r="Q431" s="262"/>
      <c r="R431" s="266"/>
      <c r="S431" s="266"/>
      <c r="T431" s="262"/>
      <c r="U431" s="266"/>
      <c r="V431" s="266"/>
    </row>
    <row r="432">
      <c r="B432" s="14"/>
      <c r="E432" s="262"/>
      <c r="F432" s="266"/>
      <c r="G432" s="266"/>
      <c r="H432" s="262"/>
      <c r="I432" s="266"/>
      <c r="J432" s="266"/>
      <c r="K432" s="262"/>
      <c r="L432" s="266"/>
      <c r="M432" s="266"/>
      <c r="N432" s="262"/>
      <c r="O432" s="266"/>
      <c r="P432" s="266"/>
      <c r="Q432" s="262"/>
      <c r="R432" s="266"/>
      <c r="S432" s="266"/>
      <c r="T432" s="262"/>
      <c r="U432" s="266"/>
      <c r="V432" s="266"/>
    </row>
    <row r="433">
      <c r="B433" s="14"/>
      <c r="E433" s="262"/>
      <c r="F433" s="266"/>
      <c r="G433" s="266"/>
      <c r="H433" s="262"/>
      <c r="I433" s="266"/>
      <c r="J433" s="266"/>
      <c r="K433" s="262"/>
      <c r="L433" s="266"/>
      <c r="M433" s="266"/>
      <c r="N433" s="262"/>
      <c r="O433" s="266"/>
      <c r="P433" s="266"/>
      <c r="Q433" s="262"/>
      <c r="R433" s="266"/>
      <c r="S433" s="266"/>
      <c r="T433" s="262"/>
      <c r="U433" s="266"/>
      <c r="V433" s="266"/>
    </row>
    <row r="434">
      <c r="B434" s="14"/>
      <c r="E434" s="262"/>
      <c r="F434" s="266"/>
      <c r="G434" s="266"/>
      <c r="H434" s="262"/>
      <c r="I434" s="266"/>
      <c r="J434" s="266"/>
      <c r="K434" s="262"/>
      <c r="L434" s="266"/>
      <c r="M434" s="266"/>
      <c r="N434" s="262"/>
      <c r="O434" s="266"/>
      <c r="P434" s="266"/>
      <c r="Q434" s="262"/>
      <c r="R434" s="266"/>
      <c r="S434" s="266"/>
      <c r="T434" s="262"/>
      <c r="U434" s="266"/>
      <c r="V434" s="266"/>
    </row>
    <row r="435">
      <c r="B435" s="14"/>
      <c r="E435" s="262"/>
      <c r="F435" s="266"/>
      <c r="G435" s="266"/>
      <c r="H435" s="262"/>
      <c r="I435" s="266"/>
      <c r="J435" s="266"/>
      <c r="K435" s="262"/>
      <c r="L435" s="266"/>
      <c r="M435" s="266"/>
      <c r="N435" s="262"/>
      <c r="O435" s="266"/>
      <c r="P435" s="266"/>
      <c r="Q435" s="262"/>
      <c r="R435" s="266"/>
      <c r="S435" s="266"/>
      <c r="T435" s="262"/>
      <c r="U435" s="266"/>
      <c r="V435" s="266"/>
    </row>
    <row r="436">
      <c r="B436" s="14"/>
      <c r="E436" s="262"/>
      <c r="F436" s="266"/>
      <c r="G436" s="266"/>
      <c r="H436" s="262"/>
      <c r="I436" s="266"/>
      <c r="J436" s="266"/>
      <c r="K436" s="262"/>
      <c r="L436" s="266"/>
      <c r="M436" s="266"/>
      <c r="N436" s="262"/>
      <c r="O436" s="266"/>
      <c r="P436" s="266"/>
      <c r="Q436" s="262"/>
      <c r="R436" s="266"/>
      <c r="S436" s="266"/>
      <c r="T436" s="262"/>
      <c r="U436" s="266"/>
      <c r="V436" s="266"/>
    </row>
    <row r="437">
      <c r="B437" s="14"/>
      <c r="E437" s="262"/>
      <c r="F437" s="266"/>
      <c r="G437" s="266"/>
      <c r="H437" s="262"/>
      <c r="I437" s="266"/>
      <c r="J437" s="266"/>
      <c r="K437" s="262"/>
      <c r="L437" s="266"/>
      <c r="M437" s="266"/>
      <c r="N437" s="262"/>
      <c r="O437" s="266"/>
      <c r="P437" s="266"/>
      <c r="Q437" s="262"/>
      <c r="R437" s="266"/>
      <c r="S437" s="266"/>
      <c r="T437" s="262"/>
      <c r="U437" s="266"/>
      <c r="V437" s="266"/>
    </row>
    <row r="438">
      <c r="B438" s="14"/>
      <c r="E438" s="262"/>
      <c r="F438" s="266"/>
      <c r="G438" s="266"/>
      <c r="H438" s="262"/>
      <c r="I438" s="266"/>
      <c r="J438" s="266"/>
      <c r="K438" s="262"/>
      <c r="L438" s="266"/>
      <c r="M438" s="266"/>
      <c r="N438" s="262"/>
      <c r="O438" s="266"/>
      <c r="P438" s="266"/>
      <c r="Q438" s="262"/>
      <c r="R438" s="266"/>
      <c r="S438" s="266"/>
      <c r="T438" s="262"/>
      <c r="U438" s="266"/>
      <c r="V438" s="266"/>
    </row>
    <row r="439">
      <c r="B439" s="14"/>
      <c r="E439" s="262"/>
      <c r="F439" s="266"/>
      <c r="G439" s="266"/>
      <c r="H439" s="262"/>
      <c r="I439" s="266"/>
      <c r="J439" s="266"/>
      <c r="K439" s="262"/>
      <c r="L439" s="266"/>
      <c r="M439" s="266"/>
      <c r="N439" s="262"/>
      <c r="O439" s="266"/>
      <c r="P439" s="266"/>
      <c r="Q439" s="262"/>
      <c r="R439" s="266"/>
      <c r="S439" s="266"/>
      <c r="T439" s="262"/>
      <c r="U439" s="266"/>
      <c r="V439" s="266"/>
    </row>
    <row r="440">
      <c r="B440" s="14"/>
      <c r="E440" s="262"/>
      <c r="F440" s="266"/>
      <c r="G440" s="266"/>
      <c r="H440" s="262"/>
      <c r="I440" s="266"/>
      <c r="J440" s="266"/>
      <c r="K440" s="262"/>
      <c r="L440" s="266"/>
      <c r="M440" s="266"/>
      <c r="N440" s="262"/>
      <c r="O440" s="266"/>
      <c r="P440" s="266"/>
      <c r="Q440" s="262"/>
      <c r="R440" s="266"/>
      <c r="S440" s="266"/>
      <c r="T440" s="262"/>
      <c r="U440" s="266"/>
      <c r="V440" s="266"/>
    </row>
    <row r="441">
      <c r="B441" s="14"/>
      <c r="E441" s="262"/>
      <c r="F441" s="266"/>
      <c r="G441" s="266"/>
      <c r="H441" s="262"/>
      <c r="I441" s="266"/>
      <c r="J441" s="266"/>
      <c r="K441" s="262"/>
      <c r="L441" s="266"/>
      <c r="M441" s="266"/>
      <c r="N441" s="262"/>
      <c r="O441" s="266"/>
      <c r="P441" s="266"/>
      <c r="Q441" s="262"/>
      <c r="R441" s="266"/>
      <c r="S441" s="266"/>
      <c r="T441" s="262"/>
      <c r="U441" s="266"/>
      <c r="V441" s="266"/>
    </row>
    <row r="442">
      <c r="B442" s="14"/>
      <c r="E442" s="262"/>
      <c r="F442" s="266"/>
      <c r="G442" s="266"/>
      <c r="H442" s="262"/>
      <c r="I442" s="266"/>
      <c r="J442" s="266"/>
      <c r="K442" s="262"/>
      <c r="L442" s="266"/>
      <c r="M442" s="266"/>
      <c r="N442" s="262"/>
      <c r="O442" s="266"/>
      <c r="P442" s="266"/>
      <c r="Q442" s="262"/>
      <c r="R442" s="266"/>
      <c r="S442" s="266"/>
      <c r="T442" s="262"/>
      <c r="U442" s="266"/>
      <c r="V442" s="266"/>
    </row>
    <row r="443">
      <c r="B443" s="14"/>
      <c r="E443" s="262"/>
      <c r="F443" s="266"/>
      <c r="G443" s="266"/>
      <c r="H443" s="262"/>
      <c r="I443" s="266"/>
      <c r="J443" s="266"/>
      <c r="K443" s="262"/>
      <c r="L443" s="266"/>
      <c r="M443" s="266"/>
      <c r="N443" s="262"/>
      <c r="O443" s="266"/>
      <c r="P443" s="266"/>
      <c r="Q443" s="262"/>
      <c r="R443" s="266"/>
      <c r="S443" s="266"/>
      <c r="T443" s="262"/>
      <c r="U443" s="266"/>
      <c r="V443" s="266"/>
    </row>
    <row r="444">
      <c r="B444" s="14"/>
      <c r="E444" s="262"/>
      <c r="F444" s="266"/>
      <c r="G444" s="266"/>
      <c r="H444" s="262"/>
      <c r="I444" s="266"/>
      <c r="J444" s="266"/>
      <c r="K444" s="262"/>
      <c r="L444" s="266"/>
      <c r="M444" s="266"/>
      <c r="N444" s="262"/>
      <c r="O444" s="266"/>
      <c r="P444" s="266"/>
      <c r="Q444" s="262"/>
      <c r="R444" s="266"/>
      <c r="S444" s="266"/>
      <c r="T444" s="262"/>
      <c r="U444" s="266"/>
      <c r="V444" s="266"/>
    </row>
    <row r="445">
      <c r="B445" s="14"/>
      <c r="E445" s="262"/>
      <c r="F445" s="266"/>
      <c r="G445" s="266"/>
      <c r="H445" s="262"/>
      <c r="I445" s="266"/>
      <c r="J445" s="266"/>
      <c r="K445" s="262"/>
      <c r="L445" s="266"/>
      <c r="M445" s="266"/>
      <c r="N445" s="262"/>
      <c r="O445" s="266"/>
      <c r="P445" s="266"/>
      <c r="Q445" s="262"/>
      <c r="R445" s="266"/>
      <c r="S445" s="266"/>
      <c r="T445" s="262"/>
      <c r="U445" s="266"/>
      <c r="V445" s="266"/>
    </row>
    <row r="446">
      <c r="B446" s="14"/>
      <c r="E446" s="262"/>
      <c r="F446" s="266"/>
      <c r="G446" s="266"/>
      <c r="H446" s="262"/>
      <c r="I446" s="266"/>
      <c r="J446" s="266"/>
      <c r="K446" s="262"/>
      <c r="L446" s="266"/>
      <c r="M446" s="266"/>
      <c r="N446" s="262"/>
      <c r="O446" s="266"/>
      <c r="P446" s="266"/>
      <c r="Q446" s="262"/>
      <c r="R446" s="266"/>
      <c r="S446" s="266"/>
      <c r="T446" s="262"/>
      <c r="U446" s="266"/>
      <c r="V446" s="266"/>
    </row>
    <row r="447">
      <c r="B447" s="14"/>
      <c r="E447" s="262"/>
      <c r="F447" s="266"/>
      <c r="G447" s="266"/>
      <c r="H447" s="262"/>
      <c r="I447" s="266"/>
      <c r="J447" s="266"/>
      <c r="K447" s="262"/>
      <c r="L447" s="266"/>
      <c r="M447" s="266"/>
      <c r="N447" s="262"/>
      <c r="O447" s="266"/>
      <c r="P447" s="266"/>
      <c r="Q447" s="262"/>
      <c r="R447" s="266"/>
      <c r="S447" s="266"/>
      <c r="T447" s="262"/>
      <c r="U447" s="266"/>
      <c r="V447" s="266"/>
    </row>
    <row r="448">
      <c r="B448" s="14"/>
      <c r="E448" s="262"/>
      <c r="F448" s="266"/>
      <c r="G448" s="266"/>
      <c r="H448" s="262"/>
      <c r="I448" s="266"/>
      <c r="J448" s="266"/>
      <c r="K448" s="262"/>
      <c r="L448" s="266"/>
      <c r="M448" s="266"/>
      <c r="N448" s="262"/>
      <c r="O448" s="266"/>
      <c r="P448" s="266"/>
      <c r="Q448" s="262"/>
      <c r="R448" s="266"/>
      <c r="S448" s="266"/>
      <c r="T448" s="262"/>
      <c r="U448" s="266"/>
      <c r="V448" s="266"/>
    </row>
    <row r="449">
      <c r="B449" s="14"/>
      <c r="E449" s="262"/>
      <c r="F449" s="266"/>
      <c r="G449" s="266"/>
      <c r="H449" s="262"/>
      <c r="I449" s="266"/>
      <c r="J449" s="266"/>
      <c r="K449" s="262"/>
      <c r="L449" s="266"/>
      <c r="M449" s="266"/>
      <c r="N449" s="262"/>
      <c r="O449" s="266"/>
      <c r="P449" s="266"/>
      <c r="Q449" s="262"/>
      <c r="R449" s="266"/>
      <c r="S449" s="266"/>
      <c r="T449" s="262"/>
      <c r="U449" s="266"/>
      <c r="V449" s="266"/>
    </row>
    <row r="450">
      <c r="B450" s="14"/>
      <c r="E450" s="262"/>
      <c r="F450" s="266"/>
      <c r="G450" s="266"/>
      <c r="H450" s="262"/>
      <c r="I450" s="266"/>
      <c r="J450" s="266"/>
      <c r="K450" s="262"/>
      <c r="L450" s="266"/>
      <c r="M450" s="266"/>
      <c r="N450" s="262"/>
      <c r="O450" s="266"/>
      <c r="P450" s="266"/>
      <c r="Q450" s="262"/>
      <c r="R450" s="266"/>
      <c r="S450" s="266"/>
      <c r="T450" s="262"/>
      <c r="U450" s="266"/>
      <c r="V450" s="266"/>
    </row>
    <row r="451">
      <c r="B451" s="14"/>
      <c r="E451" s="262"/>
      <c r="F451" s="266"/>
      <c r="G451" s="266"/>
      <c r="H451" s="262"/>
      <c r="I451" s="266"/>
      <c r="J451" s="266"/>
      <c r="K451" s="262"/>
      <c r="L451" s="266"/>
      <c r="M451" s="266"/>
      <c r="N451" s="262"/>
      <c r="O451" s="266"/>
      <c r="P451" s="266"/>
      <c r="Q451" s="262"/>
      <c r="R451" s="266"/>
      <c r="S451" s="266"/>
      <c r="T451" s="262"/>
      <c r="U451" s="266"/>
      <c r="V451" s="266"/>
    </row>
    <row r="452">
      <c r="B452" s="14"/>
      <c r="E452" s="262"/>
      <c r="F452" s="266"/>
      <c r="G452" s="266"/>
      <c r="H452" s="262"/>
      <c r="I452" s="266"/>
      <c r="J452" s="266"/>
      <c r="K452" s="262"/>
      <c r="L452" s="266"/>
      <c r="M452" s="266"/>
      <c r="N452" s="262"/>
      <c r="O452" s="266"/>
      <c r="P452" s="266"/>
      <c r="Q452" s="262"/>
      <c r="R452" s="266"/>
      <c r="S452" s="266"/>
      <c r="T452" s="262"/>
      <c r="U452" s="266"/>
      <c r="V452" s="266"/>
    </row>
    <row r="453">
      <c r="B453" s="14"/>
      <c r="E453" s="262"/>
      <c r="F453" s="266"/>
      <c r="G453" s="266"/>
      <c r="H453" s="262"/>
      <c r="I453" s="266"/>
      <c r="J453" s="266"/>
      <c r="K453" s="262"/>
      <c r="L453" s="266"/>
      <c r="M453" s="266"/>
      <c r="N453" s="262"/>
      <c r="O453" s="266"/>
      <c r="P453" s="266"/>
      <c r="Q453" s="262"/>
      <c r="R453" s="266"/>
      <c r="S453" s="266"/>
      <c r="T453" s="262"/>
      <c r="U453" s="266"/>
      <c r="V453" s="266"/>
    </row>
    <row r="454">
      <c r="B454" s="14"/>
      <c r="E454" s="262"/>
      <c r="F454" s="266"/>
      <c r="G454" s="266"/>
      <c r="H454" s="262"/>
      <c r="I454" s="266"/>
      <c r="J454" s="266"/>
      <c r="K454" s="262"/>
      <c r="L454" s="266"/>
      <c r="M454" s="266"/>
      <c r="N454" s="262"/>
      <c r="O454" s="266"/>
      <c r="P454" s="266"/>
      <c r="Q454" s="262"/>
      <c r="R454" s="266"/>
      <c r="S454" s="266"/>
      <c r="T454" s="262"/>
      <c r="U454" s="266"/>
      <c r="V454" s="266"/>
    </row>
    <row r="455">
      <c r="B455" s="14"/>
      <c r="E455" s="262"/>
      <c r="F455" s="266"/>
      <c r="G455" s="266"/>
      <c r="H455" s="262"/>
      <c r="I455" s="266"/>
      <c r="J455" s="266"/>
      <c r="K455" s="262"/>
      <c r="L455" s="266"/>
      <c r="M455" s="266"/>
      <c r="N455" s="262"/>
      <c r="O455" s="266"/>
      <c r="P455" s="266"/>
      <c r="Q455" s="262"/>
      <c r="R455" s="266"/>
      <c r="S455" s="266"/>
      <c r="T455" s="262"/>
      <c r="U455" s="266"/>
      <c r="V455" s="266"/>
    </row>
    <row r="456">
      <c r="B456" s="14"/>
      <c r="E456" s="262"/>
      <c r="F456" s="266"/>
      <c r="G456" s="266"/>
      <c r="H456" s="262"/>
      <c r="I456" s="266"/>
      <c r="J456" s="266"/>
      <c r="K456" s="262"/>
      <c r="L456" s="266"/>
      <c r="M456" s="266"/>
      <c r="N456" s="262"/>
      <c r="O456" s="266"/>
      <c r="P456" s="266"/>
      <c r="Q456" s="262"/>
      <c r="R456" s="266"/>
      <c r="S456" s="266"/>
      <c r="T456" s="262"/>
      <c r="U456" s="266"/>
      <c r="V456" s="266"/>
    </row>
    <row r="457">
      <c r="B457" s="14"/>
      <c r="E457" s="262"/>
      <c r="F457" s="266"/>
      <c r="G457" s="266"/>
      <c r="H457" s="262"/>
      <c r="I457" s="266"/>
      <c r="J457" s="266"/>
      <c r="K457" s="262"/>
      <c r="L457" s="266"/>
      <c r="M457" s="266"/>
      <c r="N457" s="262"/>
      <c r="O457" s="266"/>
      <c r="P457" s="266"/>
      <c r="Q457" s="262"/>
      <c r="R457" s="266"/>
      <c r="S457" s="266"/>
      <c r="T457" s="262"/>
      <c r="U457" s="266"/>
      <c r="V457" s="266"/>
    </row>
    <row r="458">
      <c r="B458" s="14"/>
      <c r="E458" s="262"/>
      <c r="F458" s="266"/>
      <c r="G458" s="266"/>
      <c r="H458" s="262"/>
      <c r="I458" s="266"/>
      <c r="J458" s="266"/>
      <c r="K458" s="262"/>
      <c r="L458" s="266"/>
      <c r="M458" s="266"/>
      <c r="N458" s="262"/>
      <c r="O458" s="266"/>
      <c r="P458" s="266"/>
      <c r="Q458" s="262"/>
      <c r="R458" s="266"/>
      <c r="S458" s="266"/>
      <c r="T458" s="262"/>
      <c r="U458" s="266"/>
      <c r="V458" s="266"/>
    </row>
    <row r="459">
      <c r="B459" s="14"/>
      <c r="E459" s="262"/>
      <c r="F459" s="266"/>
      <c r="G459" s="266"/>
      <c r="H459" s="262"/>
      <c r="I459" s="266"/>
      <c r="J459" s="266"/>
      <c r="K459" s="262"/>
      <c r="L459" s="266"/>
      <c r="M459" s="266"/>
      <c r="N459" s="262"/>
      <c r="O459" s="266"/>
      <c r="P459" s="266"/>
      <c r="Q459" s="262"/>
      <c r="R459" s="266"/>
      <c r="S459" s="266"/>
      <c r="T459" s="262"/>
      <c r="U459" s="266"/>
      <c r="V459" s="266"/>
    </row>
    <row r="460">
      <c r="B460" s="14"/>
      <c r="E460" s="262"/>
      <c r="F460" s="266"/>
      <c r="G460" s="266"/>
      <c r="H460" s="262"/>
      <c r="I460" s="266"/>
      <c r="J460" s="266"/>
      <c r="K460" s="262"/>
      <c r="L460" s="266"/>
      <c r="M460" s="266"/>
      <c r="N460" s="262"/>
      <c r="O460" s="266"/>
      <c r="P460" s="266"/>
      <c r="Q460" s="262"/>
      <c r="R460" s="266"/>
      <c r="S460" s="266"/>
      <c r="T460" s="262"/>
      <c r="U460" s="266"/>
      <c r="V460" s="266"/>
    </row>
    <row r="461">
      <c r="B461" s="14"/>
      <c r="E461" s="262"/>
      <c r="F461" s="266"/>
      <c r="G461" s="266"/>
      <c r="H461" s="262"/>
      <c r="I461" s="266"/>
      <c r="J461" s="266"/>
      <c r="K461" s="262"/>
      <c r="L461" s="266"/>
      <c r="M461" s="266"/>
      <c r="N461" s="262"/>
      <c r="O461" s="266"/>
      <c r="P461" s="266"/>
      <c r="Q461" s="262"/>
      <c r="R461" s="266"/>
      <c r="S461" s="266"/>
      <c r="T461" s="262"/>
      <c r="U461" s="266"/>
      <c r="V461" s="266"/>
    </row>
    <row r="462">
      <c r="B462" s="14"/>
      <c r="E462" s="262"/>
      <c r="F462" s="266"/>
      <c r="G462" s="266"/>
      <c r="H462" s="262"/>
      <c r="I462" s="266"/>
      <c r="J462" s="266"/>
      <c r="K462" s="262"/>
      <c r="L462" s="266"/>
      <c r="M462" s="266"/>
      <c r="N462" s="262"/>
      <c r="O462" s="266"/>
      <c r="P462" s="266"/>
      <c r="Q462" s="262"/>
      <c r="R462" s="266"/>
      <c r="S462" s="266"/>
      <c r="T462" s="262"/>
      <c r="U462" s="266"/>
      <c r="V462" s="266"/>
    </row>
    <row r="463">
      <c r="B463" s="14"/>
      <c r="E463" s="262"/>
      <c r="F463" s="266"/>
      <c r="G463" s="266"/>
      <c r="H463" s="262"/>
      <c r="I463" s="266"/>
      <c r="J463" s="266"/>
      <c r="K463" s="262"/>
      <c r="L463" s="266"/>
      <c r="M463" s="266"/>
      <c r="N463" s="262"/>
      <c r="O463" s="266"/>
      <c r="P463" s="266"/>
      <c r="Q463" s="262"/>
      <c r="R463" s="266"/>
      <c r="S463" s="266"/>
      <c r="T463" s="262"/>
      <c r="U463" s="266"/>
      <c r="V463" s="266"/>
    </row>
    <row r="464">
      <c r="B464" s="14"/>
      <c r="E464" s="262"/>
      <c r="F464" s="266"/>
      <c r="G464" s="266"/>
      <c r="H464" s="262"/>
      <c r="I464" s="266"/>
      <c r="J464" s="266"/>
      <c r="K464" s="262"/>
      <c r="L464" s="266"/>
      <c r="M464" s="266"/>
      <c r="N464" s="262"/>
      <c r="O464" s="266"/>
      <c r="P464" s="266"/>
      <c r="Q464" s="262"/>
      <c r="R464" s="266"/>
      <c r="S464" s="266"/>
      <c r="T464" s="262"/>
      <c r="U464" s="266"/>
      <c r="V464" s="266"/>
    </row>
    <row r="465">
      <c r="B465" s="14"/>
      <c r="E465" s="262"/>
      <c r="F465" s="266"/>
      <c r="G465" s="266"/>
      <c r="H465" s="262"/>
      <c r="I465" s="266"/>
      <c r="J465" s="266"/>
      <c r="K465" s="262"/>
      <c r="L465" s="266"/>
      <c r="M465" s="266"/>
      <c r="N465" s="262"/>
      <c r="O465" s="266"/>
      <c r="P465" s="266"/>
      <c r="Q465" s="262"/>
      <c r="R465" s="266"/>
      <c r="S465" s="266"/>
      <c r="T465" s="262"/>
      <c r="U465" s="266"/>
      <c r="V465" s="266"/>
    </row>
    <row r="466">
      <c r="B466" s="14"/>
      <c r="E466" s="262"/>
      <c r="F466" s="266"/>
      <c r="G466" s="266"/>
      <c r="H466" s="262"/>
      <c r="I466" s="266"/>
      <c r="J466" s="266"/>
      <c r="K466" s="262"/>
      <c r="L466" s="266"/>
      <c r="M466" s="266"/>
      <c r="N466" s="262"/>
      <c r="O466" s="266"/>
      <c r="P466" s="266"/>
      <c r="Q466" s="262"/>
      <c r="R466" s="266"/>
      <c r="S466" s="266"/>
      <c r="T466" s="262"/>
      <c r="U466" s="266"/>
      <c r="V466" s="266"/>
    </row>
    <row r="467">
      <c r="B467" s="14"/>
      <c r="E467" s="262"/>
      <c r="F467" s="266"/>
      <c r="G467" s="266"/>
      <c r="H467" s="262"/>
      <c r="I467" s="266"/>
      <c r="J467" s="266"/>
      <c r="K467" s="262"/>
      <c r="L467" s="266"/>
      <c r="M467" s="266"/>
      <c r="N467" s="262"/>
      <c r="O467" s="266"/>
      <c r="P467" s="266"/>
      <c r="Q467" s="262"/>
      <c r="R467" s="266"/>
      <c r="S467" s="266"/>
      <c r="T467" s="262"/>
      <c r="U467" s="266"/>
      <c r="V467" s="266"/>
    </row>
    <row r="468">
      <c r="B468" s="14"/>
      <c r="E468" s="262"/>
      <c r="F468" s="266"/>
      <c r="G468" s="266"/>
      <c r="H468" s="262"/>
      <c r="I468" s="266"/>
      <c r="J468" s="266"/>
      <c r="K468" s="262"/>
      <c r="L468" s="266"/>
      <c r="M468" s="266"/>
      <c r="N468" s="262"/>
      <c r="O468" s="266"/>
      <c r="P468" s="266"/>
      <c r="Q468" s="262"/>
      <c r="R468" s="266"/>
      <c r="S468" s="266"/>
      <c r="T468" s="262"/>
      <c r="U468" s="266"/>
      <c r="V468" s="266"/>
    </row>
    <row r="469">
      <c r="B469" s="14"/>
      <c r="E469" s="262"/>
      <c r="F469" s="266"/>
      <c r="G469" s="266"/>
      <c r="H469" s="262"/>
      <c r="I469" s="266"/>
      <c r="J469" s="266"/>
      <c r="K469" s="262"/>
      <c r="L469" s="266"/>
      <c r="M469" s="266"/>
      <c r="N469" s="262"/>
      <c r="O469" s="266"/>
      <c r="P469" s="266"/>
      <c r="Q469" s="262"/>
      <c r="R469" s="266"/>
      <c r="S469" s="266"/>
      <c r="T469" s="262"/>
      <c r="U469" s="266"/>
      <c r="V469" s="266"/>
    </row>
    <row r="470">
      <c r="B470" s="14"/>
      <c r="E470" s="262"/>
      <c r="F470" s="266"/>
      <c r="G470" s="266"/>
      <c r="H470" s="262"/>
      <c r="I470" s="266"/>
      <c r="J470" s="266"/>
      <c r="K470" s="262"/>
      <c r="L470" s="266"/>
      <c r="M470" s="266"/>
      <c r="N470" s="262"/>
      <c r="O470" s="266"/>
      <c r="P470" s="266"/>
      <c r="Q470" s="262"/>
      <c r="R470" s="266"/>
      <c r="S470" s="266"/>
      <c r="T470" s="262"/>
      <c r="U470" s="266"/>
      <c r="V470" s="266"/>
    </row>
    <row r="471">
      <c r="B471" s="14"/>
      <c r="E471" s="262"/>
      <c r="F471" s="266"/>
      <c r="G471" s="266"/>
      <c r="H471" s="262"/>
      <c r="I471" s="266"/>
      <c r="J471" s="266"/>
      <c r="K471" s="262"/>
      <c r="L471" s="266"/>
      <c r="M471" s="266"/>
      <c r="N471" s="262"/>
      <c r="O471" s="266"/>
      <c r="P471" s="266"/>
      <c r="Q471" s="262"/>
      <c r="R471" s="266"/>
      <c r="S471" s="266"/>
      <c r="T471" s="262"/>
      <c r="U471" s="266"/>
      <c r="V471" s="266"/>
    </row>
    <row r="472">
      <c r="B472" s="14"/>
      <c r="E472" s="262"/>
      <c r="F472" s="266"/>
      <c r="G472" s="266"/>
      <c r="H472" s="262"/>
      <c r="I472" s="266"/>
      <c r="J472" s="266"/>
      <c r="K472" s="262"/>
      <c r="L472" s="266"/>
      <c r="M472" s="266"/>
      <c r="N472" s="262"/>
      <c r="O472" s="266"/>
      <c r="P472" s="266"/>
      <c r="Q472" s="262"/>
      <c r="R472" s="266"/>
      <c r="S472" s="266"/>
      <c r="T472" s="262"/>
      <c r="U472" s="266"/>
      <c r="V472" s="266"/>
    </row>
    <row r="473">
      <c r="B473" s="14"/>
      <c r="E473" s="262"/>
      <c r="F473" s="266"/>
      <c r="G473" s="266"/>
      <c r="H473" s="262"/>
      <c r="I473" s="266"/>
      <c r="J473" s="266"/>
      <c r="K473" s="262"/>
      <c r="L473" s="266"/>
      <c r="M473" s="266"/>
      <c r="N473" s="262"/>
      <c r="O473" s="266"/>
      <c r="P473" s="266"/>
      <c r="Q473" s="262"/>
      <c r="R473" s="266"/>
      <c r="S473" s="266"/>
      <c r="T473" s="262"/>
      <c r="U473" s="266"/>
      <c r="V473" s="266"/>
    </row>
    <row r="474">
      <c r="B474" s="14"/>
      <c r="E474" s="262"/>
      <c r="F474" s="266"/>
      <c r="G474" s="266"/>
      <c r="H474" s="262"/>
      <c r="I474" s="266"/>
      <c r="J474" s="266"/>
      <c r="K474" s="262"/>
      <c r="L474" s="266"/>
      <c r="M474" s="266"/>
      <c r="N474" s="262"/>
      <c r="O474" s="266"/>
      <c r="P474" s="266"/>
      <c r="Q474" s="262"/>
      <c r="R474" s="266"/>
      <c r="S474" s="266"/>
      <c r="T474" s="262"/>
      <c r="U474" s="266"/>
      <c r="V474" s="266"/>
    </row>
    <row r="475">
      <c r="B475" s="14"/>
      <c r="E475" s="262"/>
      <c r="F475" s="266"/>
      <c r="G475" s="266"/>
      <c r="H475" s="262"/>
      <c r="I475" s="266"/>
      <c r="J475" s="266"/>
      <c r="K475" s="262"/>
      <c r="L475" s="266"/>
      <c r="M475" s="266"/>
      <c r="N475" s="262"/>
      <c r="O475" s="266"/>
      <c r="P475" s="266"/>
      <c r="Q475" s="262"/>
      <c r="R475" s="266"/>
      <c r="S475" s="266"/>
      <c r="T475" s="262"/>
      <c r="U475" s="266"/>
      <c r="V475" s="266"/>
    </row>
    <row r="476">
      <c r="B476" s="14"/>
      <c r="E476" s="262"/>
      <c r="F476" s="266"/>
      <c r="G476" s="266"/>
      <c r="H476" s="262"/>
      <c r="I476" s="266"/>
      <c r="J476" s="266"/>
      <c r="K476" s="262"/>
      <c r="L476" s="266"/>
      <c r="M476" s="266"/>
      <c r="N476" s="262"/>
      <c r="O476" s="266"/>
      <c r="P476" s="266"/>
      <c r="Q476" s="262"/>
      <c r="R476" s="266"/>
      <c r="S476" s="266"/>
      <c r="T476" s="262"/>
      <c r="U476" s="266"/>
      <c r="V476" s="266"/>
    </row>
    <row r="477">
      <c r="B477" s="14"/>
      <c r="E477" s="262"/>
      <c r="F477" s="266"/>
      <c r="G477" s="266"/>
      <c r="H477" s="262"/>
      <c r="I477" s="266"/>
      <c r="J477" s="266"/>
      <c r="K477" s="262"/>
      <c r="L477" s="266"/>
      <c r="M477" s="266"/>
      <c r="N477" s="262"/>
      <c r="O477" s="266"/>
      <c r="P477" s="266"/>
      <c r="Q477" s="262"/>
      <c r="R477" s="266"/>
      <c r="S477" s="266"/>
      <c r="T477" s="262"/>
      <c r="U477" s="266"/>
      <c r="V477" s="266"/>
    </row>
    <row r="478">
      <c r="B478" s="14"/>
      <c r="E478" s="262"/>
      <c r="F478" s="266"/>
      <c r="G478" s="266"/>
      <c r="H478" s="262"/>
      <c r="I478" s="266"/>
      <c r="J478" s="266"/>
      <c r="K478" s="262"/>
      <c r="L478" s="266"/>
      <c r="M478" s="266"/>
      <c r="N478" s="262"/>
      <c r="O478" s="266"/>
      <c r="P478" s="266"/>
      <c r="Q478" s="262"/>
      <c r="R478" s="266"/>
      <c r="S478" s="266"/>
      <c r="T478" s="262"/>
      <c r="U478" s="266"/>
      <c r="V478" s="266"/>
    </row>
    <row r="479">
      <c r="B479" s="14"/>
      <c r="E479" s="262"/>
      <c r="F479" s="266"/>
      <c r="G479" s="266"/>
      <c r="H479" s="262"/>
      <c r="I479" s="266"/>
      <c r="J479" s="266"/>
      <c r="K479" s="262"/>
      <c r="L479" s="266"/>
      <c r="M479" s="266"/>
      <c r="N479" s="262"/>
      <c r="O479" s="266"/>
      <c r="P479" s="266"/>
      <c r="Q479" s="262"/>
      <c r="R479" s="266"/>
      <c r="S479" s="266"/>
      <c r="T479" s="262"/>
      <c r="U479" s="266"/>
      <c r="V479" s="266"/>
    </row>
    <row r="480">
      <c r="B480" s="14"/>
      <c r="E480" s="262"/>
      <c r="F480" s="266"/>
      <c r="G480" s="266"/>
      <c r="H480" s="262"/>
      <c r="I480" s="266"/>
      <c r="J480" s="266"/>
      <c r="K480" s="262"/>
      <c r="L480" s="266"/>
      <c r="M480" s="266"/>
      <c r="N480" s="262"/>
      <c r="O480" s="266"/>
      <c r="P480" s="266"/>
      <c r="Q480" s="262"/>
      <c r="R480" s="266"/>
      <c r="S480" s="266"/>
      <c r="T480" s="262"/>
      <c r="U480" s="266"/>
      <c r="V480" s="266"/>
    </row>
    <row r="481">
      <c r="B481" s="14"/>
      <c r="E481" s="262"/>
      <c r="F481" s="266"/>
      <c r="G481" s="266"/>
      <c r="H481" s="262"/>
      <c r="I481" s="266"/>
      <c r="J481" s="266"/>
      <c r="K481" s="262"/>
      <c r="L481" s="266"/>
      <c r="M481" s="266"/>
      <c r="N481" s="262"/>
      <c r="O481" s="266"/>
      <c r="P481" s="266"/>
      <c r="Q481" s="262"/>
      <c r="R481" s="266"/>
      <c r="S481" s="266"/>
      <c r="T481" s="262"/>
      <c r="U481" s="266"/>
      <c r="V481" s="266"/>
    </row>
    <row r="482">
      <c r="B482" s="14"/>
      <c r="E482" s="262"/>
      <c r="F482" s="266"/>
      <c r="G482" s="266"/>
      <c r="H482" s="262"/>
      <c r="I482" s="266"/>
      <c r="J482" s="266"/>
      <c r="K482" s="262"/>
      <c r="L482" s="266"/>
      <c r="M482" s="266"/>
      <c r="N482" s="262"/>
      <c r="O482" s="266"/>
      <c r="P482" s="266"/>
      <c r="Q482" s="262"/>
      <c r="R482" s="266"/>
      <c r="S482" s="266"/>
      <c r="T482" s="262"/>
      <c r="U482" s="266"/>
      <c r="V482" s="266"/>
    </row>
    <row r="483">
      <c r="B483" s="14"/>
      <c r="E483" s="262"/>
      <c r="F483" s="266"/>
      <c r="G483" s="266"/>
      <c r="H483" s="262"/>
      <c r="I483" s="266"/>
      <c r="J483" s="266"/>
      <c r="K483" s="262"/>
      <c r="L483" s="266"/>
      <c r="M483" s="266"/>
      <c r="N483" s="262"/>
      <c r="O483" s="266"/>
      <c r="P483" s="266"/>
      <c r="Q483" s="262"/>
      <c r="R483" s="266"/>
      <c r="S483" s="266"/>
      <c r="T483" s="262"/>
      <c r="U483" s="266"/>
      <c r="V483" s="266"/>
    </row>
    <row r="484">
      <c r="B484" s="14"/>
      <c r="E484" s="262"/>
      <c r="F484" s="266"/>
      <c r="G484" s="266"/>
      <c r="H484" s="262"/>
      <c r="I484" s="266"/>
      <c r="J484" s="266"/>
      <c r="K484" s="262"/>
      <c r="L484" s="266"/>
      <c r="M484" s="266"/>
      <c r="N484" s="262"/>
      <c r="O484" s="266"/>
      <c r="P484" s="266"/>
      <c r="Q484" s="262"/>
      <c r="R484" s="266"/>
      <c r="S484" s="266"/>
      <c r="T484" s="262"/>
      <c r="U484" s="266"/>
      <c r="V484" s="266"/>
    </row>
    <row r="485">
      <c r="B485" s="14"/>
      <c r="E485" s="262"/>
      <c r="F485" s="266"/>
      <c r="G485" s="266"/>
      <c r="H485" s="262"/>
      <c r="I485" s="266"/>
      <c r="J485" s="266"/>
      <c r="K485" s="262"/>
      <c r="L485" s="266"/>
      <c r="M485" s="266"/>
      <c r="N485" s="262"/>
      <c r="O485" s="266"/>
      <c r="P485" s="266"/>
      <c r="Q485" s="262"/>
      <c r="R485" s="266"/>
      <c r="S485" s="266"/>
      <c r="T485" s="262"/>
      <c r="U485" s="266"/>
      <c r="V485" s="266"/>
    </row>
    <row r="486">
      <c r="B486" s="14"/>
      <c r="E486" s="262"/>
      <c r="F486" s="266"/>
      <c r="G486" s="266"/>
      <c r="H486" s="262"/>
      <c r="I486" s="266"/>
      <c r="J486" s="266"/>
      <c r="K486" s="262"/>
      <c r="L486" s="266"/>
      <c r="M486" s="266"/>
      <c r="N486" s="262"/>
      <c r="O486" s="266"/>
      <c r="P486" s="266"/>
      <c r="Q486" s="262"/>
      <c r="R486" s="266"/>
      <c r="S486" s="266"/>
      <c r="T486" s="262"/>
      <c r="U486" s="266"/>
      <c r="V486" s="266"/>
    </row>
    <row r="487">
      <c r="B487" s="14"/>
      <c r="E487" s="262"/>
      <c r="F487" s="266"/>
      <c r="G487" s="266"/>
      <c r="H487" s="262"/>
      <c r="I487" s="266"/>
      <c r="J487" s="266"/>
      <c r="K487" s="262"/>
      <c r="L487" s="266"/>
      <c r="M487" s="266"/>
      <c r="N487" s="262"/>
      <c r="O487" s="266"/>
      <c r="P487" s="266"/>
      <c r="Q487" s="262"/>
      <c r="R487" s="266"/>
      <c r="S487" s="266"/>
      <c r="T487" s="262"/>
      <c r="U487" s="266"/>
      <c r="V487" s="266"/>
    </row>
    <row r="488">
      <c r="B488" s="14"/>
      <c r="E488" s="262"/>
      <c r="F488" s="266"/>
      <c r="G488" s="266"/>
      <c r="H488" s="262"/>
      <c r="I488" s="266"/>
      <c r="J488" s="266"/>
      <c r="K488" s="262"/>
      <c r="L488" s="266"/>
      <c r="M488" s="266"/>
      <c r="N488" s="262"/>
      <c r="O488" s="266"/>
      <c r="P488" s="266"/>
      <c r="Q488" s="262"/>
      <c r="R488" s="266"/>
      <c r="S488" s="266"/>
      <c r="T488" s="262"/>
      <c r="U488" s="266"/>
      <c r="V488" s="266"/>
    </row>
    <row r="489">
      <c r="B489" s="14"/>
      <c r="E489" s="262"/>
      <c r="F489" s="266"/>
      <c r="G489" s="266"/>
      <c r="H489" s="262"/>
      <c r="I489" s="266"/>
      <c r="J489" s="266"/>
      <c r="K489" s="262"/>
      <c r="L489" s="266"/>
      <c r="M489" s="266"/>
      <c r="N489" s="262"/>
      <c r="O489" s="266"/>
      <c r="P489" s="266"/>
      <c r="Q489" s="262"/>
      <c r="R489" s="266"/>
      <c r="S489" s="266"/>
      <c r="T489" s="262"/>
      <c r="U489" s="266"/>
      <c r="V489" s="266"/>
    </row>
    <row r="490">
      <c r="B490" s="14"/>
      <c r="E490" s="262"/>
      <c r="F490" s="266"/>
      <c r="G490" s="266"/>
      <c r="H490" s="262"/>
      <c r="I490" s="266"/>
      <c r="J490" s="266"/>
      <c r="K490" s="262"/>
      <c r="L490" s="266"/>
      <c r="M490" s="266"/>
      <c r="N490" s="262"/>
      <c r="O490" s="266"/>
      <c r="P490" s="266"/>
      <c r="Q490" s="262"/>
      <c r="R490" s="266"/>
      <c r="S490" s="266"/>
      <c r="T490" s="262"/>
      <c r="U490" s="266"/>
      <c r="V490" s="266"/>
    </row>
    <row r="491">
      <c r="B491" s="14"/>
      <c r="E491" s="262"/>
      <c r="F491" s="266"/>
      <c r="G491" s="266"/>
      <c r="H491" s="262"/>
      <c r="I491" s="266"/>
      <c r="J491" s="266"/>
      <c r="K491" s="262"/>
      <c r="L491" s="266"/>
      <c r="M491" s="266"/>
      <c r="N491" s="262"/>
      <c r="O491" s="266"/>
      <c r="P491" s="266"/>
      <c r="Q491" s="262"/>
      <c r="R491" s="266"/>
      <c r="S491" s="266"/>
      <c r="T491" s="262"/>
      <c r="U491" s="266"/>
      <c r="V491" s="266"/>
    </row>
    <row r="492">
      <c r="B492" s="14"/>
      <c r="E492" s="262"/>
      <c r="F492" s="266"/>
      <c r="G492" s="266"/>
      <c r="H492" s="262"/>
      <c r="I492" s="266"/>
      <c r="J492" s="266"/>
      <c r="K492" s="262"/>
      <c r="L492" s="266"/>
      <c r="M492" s="266"/>
      <c r="N492" s="262"/>
      <c r="O492" s="266"/>
      <c r="P492" s="266"/>
      <c r="Q492" s="262"/>
      <c r="R492" s="266"/>
      <c r="S492" s="266"/>
      <c r="T492" s="262"/>
      <c r="U492" s="266"/>
      <c r="V492" s="266"/>
    </row>
    <row r="493">
      <c r="B493" s="14"/>
      <c r="E493" s="262"/>
      <c r="F493" s="266"/>
      <c r="G493" s="266"/>
      <c r="H493" s="262"/>
      <c r="I493" s="266"/>
      <c r="J493" s="266"/>
      <c r="K493" s="262"/>
      <c r="L493" s="266"/>
      <c r="M493" s="266"/>
      <c r="N493" s="262"/>
      <c r="O493" s="266"/>
      <c r="P493" s="266"/>
      <c r="Q493" s="262"/>
      <c r="R493" s="266"/>
      <c r="S493" s="266"/>
      <c r="T493" s="262"/>
      <c r="U493" s="266"/>
      <c r="V493" s="266"/>
    </row>
    <row r="494">
      <c r="B494" s="14"/>
      <c r="E494" s="262"/>
      <c r="F494" s="266"/>
      <c r="G494" s="266"/>
      <c r="H494" s="262"/>
      <c r="I494" s="266"/>
      <c r="J494" s="266"/>
      <c r="K494" s="262"/>
      <c r="L494" s="266"/>
      <c r="M494" s="266"/>
      <c r="N494" s="262"/>
      <c r="O494" s="266"/>
      <c r="P494" s="266"/>
      <c r="Q494" s="262"/>
      <c r="R494" s="266"/>
      <c r="S494" s="266"/>
      <c r="T494" s="262"/>
      <c r="U494" s="266"/>
      <c r="V494" s="266"/>
    </row>
    <row r="495">
      <c r="B495" s="14"/>
      <c r="E495" s="262"/>
      <c r="F495" s="266"/>
      <c r="G495" s="266"/>
      <c r="H495" s="262"/>
      <c r="I495" s="266"/>
      <c r="J495" s="266"/>
      <c r="K495" s="262"/>
      <c r="L495" s="266"/>
      <c r="M495" s="266"/>
      <c r="N495" s="262"/>
      <c r="O495" s="266"/>
      <c r="P495" s="266"/>
      <c r="Q495" s="262"/>
      <c r="R495" s="266"/>
      <c r="S495" s="266"/>
      <c r="T495" s="262"/>
      <c r="U495" s="266"/>
      <c r="V495" s="266"/>
    </row>
    <row r="496">
      <c r="B496" s="14"/>
      <c r="E496" s="262"/>
      <c r="F496" s="266"/>
      <c r="G496" s="266"/>
      <c r="H496" s="262"/>
      <c r="I496" s="266"/>
      <c r="J496" s="266"/>
      <c r="K496" s="262"/>
      <c r="L496" s="266"/>
      <c r="M496" s="266"/>
      <c r="N496" s="262"/>
      <c r="O496" s="266"/>
      <c r="P496" s="266"/>
      <c r="Q496" s="262"/>
      <c r="R496" s="266"/>
      <c r="S496" s="266"/>
      <c r="T496" s="262"/>
      <c r="U496" s="266"/>
      <c r="V496" s="266"/>
    </row>
    <row r="497">
      <c r="B497" s="14"/>
      <c r="E497" s="262"/>
      <c r="F497" s="266"/>
      <c r="G497" s="266"/>
      <c r="H497" s="262"/>
      <c r="I497" s="266"/>
      <c r="J497" s="266"/>
      <c r="K497" s="262"/>
      <c r="L497" s="266"/>
      <c r="M497" s="266"/>
      <c r="N497" s="262"/>
      <c r="O497" s="266"/>
      <c r="P497" s="266"/>
      <c r="Q497" s="262"/>
      <c r="R497" s="266"/>
      <c r="S497" s="266"/>
      <c r="T497" s="262"/>
      <c r="U497" s="266"/>
      <c r="V497" s="266"/>
    </row>
    <row r="498">
      <c r="B498" s="14"/>
      <c r="E498" s="262"/>
      <c r="F498" s="266"/>
      <c r="G498" s="266"/>
      <c r="H498" s="262"/>
      <c r="I498" s="266"/>
      <c r="J498" s="266"/>
      <c r="K498" s="262"/>
      <c r="L498" s="266"/>
      <c r="M498" s="266"/>
      <c r="N498" s="262"/>
      <c r="O498" s="266"/>
      <c r="P498" s="266"/>
      <c r="Q498" s="262"/>
      <c r="R498" s="266"/>
      <c r="S498" s="266"/>
      <c r="T498" s="262"/>
      <c r="U498" s="266"/>
      <c r="V498" s="266"/>
    </row>
    <row r="499">
      <c r="B499" s="14"/>
      <c r="E499" s="262"/>
      <c r="F499" s="266"/>
      <c r="G499" s="266"/>
      <c r="H499" s="262"/>
      <c r="I499" s="266"/>
      <c r="J499" s="266"/>
      <c r="K499" s="262"/>
      <c r="L499" s="266"/>
      <c r="M499" s="266"/>
      <c r="N499" s="262"/>
      <c r="O499" s="266"/>
      <c r="P499" s="266"/>
      <c r="Q499" s="262"/>
      <c r="R499" s="266"/>
      <c r="S499" s="266"/>
      <c r="T499" s="262"/>
      <c r="U499" s="266"/>
      <c r="V499" s="266"/>
    </row>
    <row r="500">
      <c r="B500" s="14"/>
      <c r="E500" s="262"/>
      <c r="F500" s="266"/>
      <c r="G500" s="266"/>
      <c r="H500" s="262"/>
      <c r="I500" s="266"/>
      <c r="J500" s="266"/>
      <c r="K500" s="262"/>
      <c r="L500" s="266"/>
      <c r="M500" s="266"/>
      <c r="N500" s="262"/>
      <c r="O500" s="266"/>
      <c r="P500" s="266"/>
      <c r="Q500" s="262"/>
      <c r="R500" s="266"/>
      <c r="S500" s="266"/>
      <c r="T500" s="262"/>
      <c r="U500" s="266"/>
      <c r="V500" s="266"/>
    </row>
    <row r="501">
      <c r="B501" s="14"/>
      <c r="E501" s="262"/>
      <c r="F501" s="266"/>
      <c r="G501" s="266"/>
      <c r="H501" s="262"/>
      <c r="I501" s="266"/>
      <c r="J501" s="266"/>
      <c r="K501" s="262"/>
      <c r="L501" s="266"/>
      <c r="M501" s="266"/>
      <c r="N501" s="262"/>
      <c r="O501" s="266"/>
      <c r="P501" s="266"/>
      <c r="Q501" s="262"/>
      <c r="R501" s="266"/>
      <c r="S501" s="266"/>
      <c r="T501" s="262"/>
      <c r="U501" s="266"/>
      <c r="V501" s="266"/>
    </row>
    <row r="502">
      <c r="B502" s="14"/>
      <c r="E502" s="262"/>
      <c r="F502" s="266"/>
      <c r="G502" s="266"/>
      <c r="H502" s="262"/>
      <c r="I502" s="266"/>
      <c r="J502" s="266"/>
      <c r="K502" s="262"/>
      <c r="L502" s="266"/>
      <c r="M502" s="266"/>
      <c r="N502" s="262"/>
      <c r="O502" s="266"/>
      <c r="P502" s="266"/>
      <c r="Q502" s="262"/>
      <c r="R502" s="266"/>
      <c r="S502" s="266"/>
      <c r="T502" s="262"/>
      <c r="U502" s="266"/>
      <c r="V502" s="266"/>
    </row>
    <row r="503">
      <c r="B503" s="14"/>
      <c r="E503" s="262"/>
      <c r="F503" s="266"/>
      <c r="G503" s="266"/>
      <c r="H503" s="262"/>
      <c r="I503" s="266"/>
      <c r="J503" s="266"/>
      <c r="K503" s="262"/>
      <c r="L503" s="266"/>
      <c r="M503" s="266"/>
      <c r="N503" s="262"/>
      <c r="O503" s="266"/>
      <c r="P503" s="266"/>
      <c r="Q503" s="262"/>
      <c r="R503" s="266"/>
      <c r="S503" s="266"/>
      <c r="T503" s="262"/>
      <c r="U503" s="266"/>
      <c r="V503" s="266"/>
    </row>
    <row r="504">
      <c r="B504" s="14"/>
      <c r="E504" s="262"/>
      <c r="F504" s="266"/>
      <c r="G504" s="266"/>
      <c r="H504" s="262"/>
      <c r="I504" s="266"/>
      <c r="J504" s="266"/>
      <c r="K504" s="262"/>
      <c r="L504" s="266"/>
      <c r="M504" s="266"/>
      <c r="N504" s="262"/>
      <c r="O504" s="266"/>
      <c r="P504" s="266"/>
      <c r="Q504" s="262"/>
      <c r="R504" s="266"/>
      <c r="S504" s="266"/>
      <c r="T504" s="262"/>
      <c r="U504" s="266"/>
      <c r="V504" s="266"/>
    </row>
    <row r="505">
      <c r="B505" s="14"/>
      <c r="E505" s="262"/>
      <c r="F505" s="266"/>
      <c r="G505" s="266"/>
      <c r="H505" s="262"/>
      <c r="I505" s="266"/>
      <c r="J505" s="266"/>
      <c r="K505" s="262"/>
      <c r="L505" s="266"/>
      <c r="M505" s="266"/>
      <c r="N505" s="262"/>
      <c r="O505" s="266"/>
      <c r="P505" s="266"/>
      <c r="Q505" s="262"/>
      <c r="R505" s="266"/>
      <c r="S505" s="266"/>
      <c r="T505" s="262"/>
      <c r="U505" s="266"/>
      <c r="V505" s="266"/>
    </row>
    <row r="506">
      <c r="B506" s="14"/>
      <c r="E506" s="262"/>
      <c r="F506" s="266"/>
      <c r="G506" s="266"/>
      <c r="H506" s="262"/>
      <c r="I506" s="266"/>
      <c r="J506" s="266"/>
      <c r="K506" s="262"/>
      <c r="L506" s="266"/>
      <c r="M506" s="266"/>
      <c r="N506" s="262"/>
      <c r="O506" s="266"/>
      <c r="P506" s="266"/>
      <c r="Q506" s="262"/>
      <c r="R506" s="266"/>
      <c r="S506" s="266"/>
      <c r="T506" s="262"/>
      <c r="U506" s="266"/>
      <c r="V506" s="266"/>
    </row>
    <row r="507">
      <c r="B507" s="14"/>
      <c r="E507" s="262"/>
      <c r="F507" s="266"/>
      <c r="G507" s="266"/>
      <c r="H507" s="262"/>
      <c r="I507" s="266"/>
      <c r="J507" s="266"/>
      <c r="K507" s="262"/>
      <c r="L507" s="266"/>
      <c r="M507" s="266"/>
      <c r="N507" s="262"/>
      <c r="O507" s="266"/>
      <c r="P507" s="266"/>
      <c r="Q507" s="262"/>
      <c r="R507" s="266"/>
      <c r="S507" s="266"/>
      <c r="T507" s="262"/>
      <c r="U507" s="266"/>
      <c r="V507" s="266"/>
    </row>
    <row r="508">
      <c r="B508" s="14"/>
      <c r="E508" s="262"/>
      <c r="F508" s="266"/>
      <c r="G508" s="266"/>
      <c r="H508" s="262"/>
      <c r="I508" s="266"/>
      <c r="J508" s="266"/>
      <c r="K508" s="262"/>
      <c r="L508" s="266"/>
      <c r="M508" s="266"/>
      <c r="N508" s="262"/>
      <c r="O508" s="266"/>
      <c r="P508" s="266"/>
      <c r="Q508" s="262"/>
      <c r="R508" s="266"/>
      <c r="S508" s="266"/>
      <c r="T508" s="262"/>
      <c r="U508" s="266"/>
      <c r="V508" s="266"/>
    </row>
    <row r="509">
      <c r="B509" s="14"/>
      <c r="E509" s="262"/>
      <c r="F509" s="266"/>
      <c r="G509" s="266"/>
      <c r="H509" s="262"/>
      <c r="I509" s="266"/>
      <c r="J509" s="266"/>
      <c r="K509" s="262"/>
      <c r="L509" s="266"/>
      <c r="M509" s="266"/>
      <c r="N509" s="262"/>
      <c r="O509" s="266"/>
      <c r="P509" s="266"/>
      <c r="Q509" s="262"/>
      <c r="R509" s="266"/>
      <c r="S509" s="266"/>
      <c r="T509" s="262"/>
      <c r="U509" s="266"/>
      <c r="V509" s="266"/>
    </row>
    <row r="510">
      <c r="B510" s="14"/>
      <c r="E510" s="262"/>
      <c r="F510" s="266"/>
      <c r="G510" s="266"/>
      <c r="H510" s="262"/>
      <c r="I510" s="266"/>
      <c r="J510" s="266"/>
      <c r="K510" s="262"/>
      <c r="L510" s="266"/>
      <c r="M510" s="266"/>
      <c r="N510" s="262"/>
      <c r="O510" s="266"/>
      <c r="P510" s="266"/>
      <c r="Q510" s="262"/>
      <c r="R510" s="266"/>
      <c r="S510" s="266"/>
      <c r="T510" s="262"/>
      <c r="U510" s="266"/>
      <c r="V510" s="266"/>
    </row>
    <row r="511">
      <c r="B511" s="14"/>
      <c r="E511" s="262"/>
      <c r="F511" s="266"/>
      <c r="G511" s="266"/>
      <c r="H511" s="262"/>
      <c r="I511" s="266"/>
      <c r="J511" s="266"/>
      <c r="K511" s="262"/>
      <c r="L511" s="266"/>
      <c r="M511" s="266"/>
      <c r="N511" s="262"/>
      <c r="O511" s="266"/>
      <c r="P511" s="266"/>
      <c r="Q511" s="262"/>
      <c r="R511" s="266"/>
      <c r="S511" s="266"/>
      <c r="T511" s="262"/>
      <c r="U511" s="266"/>
      <c r="V511" s="266"/>
    </row>
    <row r="512">
      <c r="B512" s="14"/>
      <c r="E512" s="262"/>
      <c r="F512" s="266"/>
      <c r="G512" s="266"/>
      <c r="H512" s="262"/>
      <c r="I512" s="266"/>
      <c r="J512" s="266"/>
      <c r="K512" s="262"/>
      <c r="L512" s="266"/>
      <c r="M512" s="266"/>
      <c r="N512" s="262"/>
      <c r="O512" s="266"/>
      <c r="P512" s="266"/>
      <c r="Q512" s="262"/>
      <c r="R512" s="266"/>
      <c r="S512" s="266"/>
      <c r="T512" s="262"/>
      <c r="U512" s="266"/>
      <c r="V512" s="266"/>
    </row>
    <row r="513">
      <c r="B513" s="14"/>
      <c r="E513" s="262"/>
      <c r="F513" s="266"/>
      <c r="G513" s="266"/>
      <c r="H513" s="262"/>
      <c r="I513" s="266"/>
      <c r="J513" s="266"/>
      <c r="K513" s="262"/>
      <c r="L513" s="266"/>
      <c r="M513" s="266"/>
      <c r="N513" s="262"/>
      <c r="O513" s="266"/>
      <c r="P513" s="266"/>
      <c r="Q513" s="262"/>
      <c r="R513" s="266"/>
      <c r="S513" s="266"/>
      <c r="T513" s="262"/>
      <c r="U513" s="266"/>
      <c r="V513" s="266"/>
    </row>
    <row r="514">
      <c r="B514" s="14"/>
      <c r="E514" s="262"/>
      <c r="F514" s="266"/>
      <c r="G514" s="266"/>
      <c r="H514" s="262"/>
      <c r="I514" s="266"/>
      <c r="J514" s="266"/>
      <c r="K514" s="262"/>
      <c r="L514" s="266"/>
      <c r="M514" s="266"/>
      <c r="N514" s="262"/>
      <c r="O514" s="266"/>
      <c r="P514" s="266"/>
      <c r="Q514" s="262"/>
      <c r="R514" s="266"/>
      <c r="S514" s="266"/>
      <c r="T514" s="262"/>
      <c r="U514" s="266"/>
      <c r="V514" s="266"/>
    </row>
    <row r="515">
      <c r="B515" s="14"/>
      <c r="E515" s="262"/>
      <c r="F515" s="266"/>
      <c r="G515" s="266"/>
      <c r="H515" s="262"/>
      <c r="I515" s="266"/>
      <c r="J515" s="266"/>
      <c r="K515" s="262"/>
      <c r="L515" s="266"/>
      <c r="M515" s="266"/>
      <c r="N515" s="262"/>
      <c r="O515" s="266"/>
      <c r="P515" s="266"/>
      <c r="Q515" s="262"/>
      <c r="R515" s="266"/>
      <c r="S515" s="266"/>
      <c r="T515" s="262"/>
      <c r="U515" s="266"/>
      <c r="V515" s="266"/>
    </row>
    <row r="516">
      <c r="B516" s="14"/>
      <c r="E516" s="262"/>
      <c r="F516" s="266"/>
      <c r="G516" s="266"/>
      <c r="H516" s="262"/>
      <c r="I516" s="266"/>
      <c r="J516" s="266"/>
      <c r="K516" s="262"/>
      <c r="L516" s="266"/>
      <c r="M516" s="266"/>
      <c r="N516" s="262"/>
      <c r="O516" s="266"/>
      <c r="P516" s="266"/>
      <c r="Q516" s="262"/>
      <c r="R516" s="266"/>
      <c r="S516" s="266"/>
      <c r="T516" s="262"/>
      <c r="U516" s="266"/>
      <c r="V516" s="266"/>
    </row>
    <row r="517">
      <c r="B517" s="14"/>
      <c r="E517" s="262"/>
      <c r="F517" s="266"/>
      <c r="G517" s="266"/>
      <c r="H517" s="262"/>
      <c r="I517" s="266"/>
      <c r="J517" s="266"/>
      <c r="K517" s="262"/>
      <c r="L517" s="266"/>
      <c r="M517" s="266"/>
      <c r="N517" s="262"/>
      <c r="O517" s="266"/>
      <c r="P517" s="266"/>
      <c r="Q517" s="262"/>
      <c r="R517" s="266"/>
      <c r="S517" s="266"/>
      <c r="T517" s="262"/>
      <c r="U517" s="266"/>
      <c r="V517" s="266"/>
    </row>
    <row r="518">
      <c r="B518" s="14"/>
      <c r="E518" s="262"/>
      <c r="F518" s="266"/>
      <c r="G518" s="266"/>
      <c r="H518" s="262"/>
      <c r="I518" s="266"/>
      <c r="J518" s="266"/>
      <c r="K518" s="262"/>
      <c r="L518" s="266"/>
      <c r="M518" s="266"/>
      <c r="N518" s="262"/>
      <c r="O518" s="266"/>
      <c r="P518" s="266"/>
      <c r="Q518" s="262"/>
      <c r="R518" s="266"/>
      <c r="S518" s="266"/>
      <c r="T518" s="262"/>
      <c r="U518" s="266"/>
      <c r="V518" s="266"/>
    </row>
    <row r="519">
      <c r="B519" s="14"/>
      <c r="E519" s="262"/>
      <c r="F519" s="266"/>
      <c r="G519" s="266"/>
      <c r="H519" s="262"/>
      <c r="I519" s="266"/>
      <c r="J519" s="266"/>
      <c r="K519" s="262"/>
      <c r="L519" s="266"/>
      <c r="M519" s="266"/>
      <c r="N519" s="262"/>
      <c r="O519" s="266"/>
      <c r="P519" s="266"/>
      <c r="Q519" s="262"/>
      <c r="R519" s="266"/>
      <c r="S519" s="266"/>
      <c r="T519" s="262"/>
      <c r="U519" s="266"/>
      <c r="V519" s="266"/>
    </row>
    <row r="520">
      <c r="B520" s="14"/>
      <c r="E520" s="262"/>
      <c r="F520" s="266"/>
      <c r="G520" s="266"/>
      <c r="H520" s="262"/>
      <c r="I520" s="266"/>
      <c r="J520" s="266"/>
      <c r="K520" s="262"/>
      <c r="L520" s="266"/>
      <c r="M520" s="266"/>
      <c r="N520" s="262"/>
      <c r="O520" s="266"/>
      <c r="P520" s="266"/>
      <c r="Q520" s="262"/>
      <c r="R520" s="266"/>
      <c r="S520" s="266"/>
      <c r="T520" s="262"/>
      <c r="U520" s="266"/>
      <c r="V520" s="266"/>
    </row>
    <row r="521">
      <c r="B521" s="14"/>
      <c r="E521" s="262"/>
      <c r="F521" s="266"/>
      <c r="G521" s="266"/>
      <c r="H521" s="262"/>
      <c r="I521" s="266"/>
      <c r="J521" s="266"/>
      <c r="K521" s="262"/>
      <c r="L521" s="266"/>
      <c r="M521" s="266"/>
      <c r="N521" s="262"/>
      <c r="O521" s="266"/>
      <c r="P521" s="266"/>
      <c r="Q521" s="262"/>
      <c r="R521" s="266"/>
      <c r="S521" s="266"/>
      <c r="T521" s="262"/>
      <c r="U521" s="266"/>
      <c r="V521" s="266"/>
    </row>
    <row r="522">
      <c r="B522" s="14"/>
      <c r="E522" s="262"/>
      <c r="F522" s="266"/>
      <c r="G522" s="266"/>
      <c r="H522" s="262"/>
      <c r="I522" s="266"/>
      <c r="J522" s="266"/>
      <c r="K522" s="262"/>
      <c r="L522" s="266"/>
      <c r="M522" s="266"/>
      <c r="N522" s="262"/>
      <c r="O522" s="266"/>
      <c r="P522" s="266"/>
      <c r="Q522" s="262"/>
      <c r="R522" s="266"/>
      <c r="S522" s="266"/>
      <c r="T522" s="262"/>
      <c r="U522" s="266"/>
      <c r="V522" s="266"/>
    </row>
    <row r="523">
      <c r="B523" s="14"/>
      <c r="E523" s="262"/>
      <c r="F523" s="266"/>
      <c r="G523" s="266"/>
      <c r="H523" s="262"/>
      <c r="I523" s="266"/>
      <c r="J523" s="266"/>
      <c r="K523" s="262"/>
      <c r="L523" s="266"/>
      <c r="M523" s="266"/>
      <c r="N523" s="262"/>
      <c r="O523" s="266"/>
      <c r="P523" s="266"/>
      <c r="Q523" s="262"/>
      <c r="R523" s="266"/>
      <c r="S523" s="266"/>
      <c r="T523" s="262"/>
      <c r="U523" s="266"/>
      <c r="V523" s="266"/>
    </row>
    <row r="524">
      <c r="B524" s="14"/>
      <c r="E524" s="262"/>
      <c r="F524" s="266"/>
      <c r="G524" s="266"/>
      <c r="H524" s="262"/>
      <c r="I524" s="266"/>
      <c r="J524" s="266"/>
      <c r="K524" s="262"/>
      <c r="L524" s="266"/>
      <c r="M524" s="266"/>
      <c r="N524" s="262"/>
      <c r="O524" s="266"/>
      <c r="P524" s="266"/>
      <c r="Q524" s="262"/>
      <c r="R524" s="266"/>
      <c r="S524" s="266"/>
      <c r="T524" s="262"/>
      <c r="U524" s="266"/>
      <c r="V524" s="266"/>
    </row>
    <row r="525">
      <c r="B525" s="14"/>
      <c r="E525" s="262"/>
      <c r="F525" s="266"/>
      <c r="G525" s="266"/>
      <c r="H525" s="262"/>
      <c r="I525" s="266"/>
      <c r="J525" s="266"/>
      <c r="K525" s="262"/>
      <c r="L525" s="266"/>
      <c r="M525" s="266"/>
      <c r="N525" s="262"/>
      <c r="O525" s="266"/>
      <c r="P525" s="266"/>
      <c r="Q525" s="262"/>
      <c r="R525" s="266"/>
      <c r="S525" s="266"/>
      <c r="T525" s="262"/>
      <c r="U525" s="266"/>
      <c r="V525" s="266"/>
    </row>
    <row r="526">
      <c r="B526" s="14"/>
      <c r="E526" s="262"/>
      <c r="F526" s="266"/>
      <c r="G526" s="266"/>
      <c r="H526" s="262"/>
      <c r="I526" s="266"/>
      <c r="J526" s="266"/>
      <c r="K526" s="262"/>
      <c r="L526" s="266"/>
      <c r="M526" s="266"/>
      <c r="N526" s="262"/>
      <c r="O526" s="266"/>
      <c r="P526" s="266"/>
      <c r="Q526" s="262"/>
      <c r="R526" s="266"/>
      <c r="S526" s="266"/>
      <c r="T526" s="262"/>
      <c r="U526" s="266"/>
      <c r="V526" s="266"/>
    </row>
    <row r="527">
      <c r="B527" s="14"/>
      <c r="E527" s="262"/>
      <c r="F527" s="266"/>
      <c r="G527" s="266"/>
      <c r="H527" s="262"/>
      <c r="I527" s="266"/>
      <c r="J527" s="266"/>
      <c r="K527" s="262"/>
      <c r="L527" s="266"/>
      <c r="M527" s="266"/>
      <c r="N527" s="262"/>
      <c r="O527" s="266"/>
      <c r="P527" s="266"/>
      <c r="Q527" s="262"/>
      <c r="R527" s="266"/>
      <c r="S527" s="266"/>
      <c r="T527" s="262"/>
      <c r="U527" s="266"/>
      <c r="V527" s="266"/>
    </row>
    <row r="528">
      <c r="B528" s="14"/>
      <c r="E528" s="262"/>
      <c r="F528" s="266"/>
      <c r="G528" s="266"/>
      <c r="H528" s="262"/>
      <c r="I528" s="266"/>
      <c r="J528" s="266"/>
      <c r="K528" s="262"/>
      <c r="L528" s="266"/>
      <c r="M528" s="266"/>
      <c r="N528" s="262"/>
      <c r="O528" s="266"/>
      <c r="P528" s="266"/>
      <c r="Q528" s="262"/>
      <c r="R528" s="266"/>
      <c r="S528" s="266"/>
      <c r="T528" s="262"/>
      <c r="U528" s="266"/>
      <c r="V528" s="266"/>
    </row>
    <row r="529">
      <c r="B529" s="14"/>
      <c r="E529" s="262"/>
      <c r="F529" s="266"/>
      <c r="G529" s="266"/>
      <c r="H529" s="262"/>
      <c r="I529" s="266"/>
      <c r="J529" s="266"/>
      <c r="K529" s="262"/>
      <c r="L529" s="266"/>
      <c r="M529" s="266"/>
      <c r="N529" s="262"/>
      <c r="O529" s="266"/>
      <c r="P529" s="266"/>
      <c r="Q529" s="262"/>
      <c r="R529" s="266"/>
      <c r="S529" s="266"/>
      <c r="T529" s="262"/>
      <c r="U529" s="266"/>
      <c r="V529" s="266"/>
    </row>
    <row r="530">
      <c r="B530" s="14"/>
      <c r="E530" s="262"/>
      <c r="F530" s="266"/>
      <c r="G530" s="266"/>
      <c r="H530" s="262"/>
      <c r="I530" s="266"/>
      <c r="J530" s="266"/>
      <c r="K530" s="262"/>
      <c r="L530" s="266"/>
      <c r="M530" s="266"/>
      <c r="N530" s="262"/>
      <c r="O530" s="266"/>
      <c r="P530" s="266"/>
      <c r="Q530" s="262"/>
      <c r="R530" s="266"/>
      <c r="S530" s="266"/>
      <c r="T530" s="262"/>
      <c r="U530" s="266"/>
      <c r="V530" s="266"/>
    </row>
    <row r="531">
      <c r="B531" s="14"/>
      <c r="E531" s="262"/>
      <c r="F531" s="266"/>
      <c r="G531" s="266"/>
      <c r="H531" s="262"/>
      <c r="I531" s="266"/>
      <c r="J531" s="266"/>
      <c r="K531" s="262"/>
      <c r="L531" s="266"/>
      <c r="M531" s="266"/>
      <c r="N531" s="262"/>
      <c r="O531" s="266"/>
      <c r="P531" s="266"/>
      <c r="Q531" s="262"/>
      <c r="R531" s="266"/>
      <c r="S531" s="266"/>
      <c r="T531" s="262"/>
      <c r="U531" s="266"/>
      <c r="V531" s="266"/>
    </row>
    <row r="532">
      <c r="B532" s="14"/>
      <c r="E532" s="262"/>
      <c r="F532" s="266"/>
      <c r="G532" s="266"/>
      <c r="H532" s="262"/>
      <c r="I532" s="266"/>
      <c r="J532" s="266"/>
      <c r="K532" s="262"/>
      <c r="L532" s="266"/>
      <c r="M532" s="266"/>
      <c r="N532" s="262"/>
      <c r="O532" s="266"/>
      <c r="P532" s="266"/>
      <c r="Q532" s="262"/>
      <c r="R532" s="266"/>
      <c r="S532" s="266"/>
      <c r="T532" s="262"/>
      <c r="U532" s="266"/>
      <c r="V532" s="266"/>
    </row>
    <row r="533">
      <c r="B533" s="14"/>
      <c r="E533" s="262"/>
      <c r="F533" s="266"/>
      <c r="G533" s="266"/>
      <c r="H533" s="262"/>
      <c r="I533" s="266"/>
      <c r="J533" s="266"/>
      <c r="K533" s="262"/>
      <c r="L533" s="266"/>
      <c r="M533" s="266"/>
      <c r="N533" s="262"/>
      <c r="O533" s="266"/>
      <c r="P533" s="266"/>
      <c r="Q533" s="262"/>
      <c r="R533" s="266"/>
      <c r="S533" s="266"/>
      <c r="T533" s="262"/>
      <c r="U533" s="266"/>
      <c r="V533" s="266"/>
    </row>
    <row r="534">
      <c r="B534" s="14"/>
      <c r="E534" s="262"/>
      <c r="F534" s="266"/>
      <c r="G534" s="266"/>
      <c r="H534" s="262"/>
      <c r="I534" s="266"/>
      <c r="J534" s="266"/>
      <c r="K534" s="262"/>
      <c r="L534" s="266"/>
      <c r="M534" s="266"/>
      <c r="N534" s="262"/>
      <c r="O534" s="266"/>
      <c r="P534" s="266"/>
      <c r="Q534" s="262"/>
      <c r="R534" s="266"/>
      <c r="S534" s="266"/>
      <c r="T534" s="262"/>
      <c r="U534" s="266"/>
      <c r="V534" s="266"/>
    </row>
    <row r="535">
      <c r="B535" s="14"/>
      <c r="E535" s="262"/>
      <c r="F535" s="266"/>
      <c r="G535" s="266"/>
      <c r="H535" s="262"/>
      <c r="I535" s="266"/>
      <c r="J535" s="266"/>
      <c r="K535" s="262"/>
      <c r="L535" s="266"/>
      <c r="M535" s="266"/>
      <c r="N535" s="262"/>
      <c r="O535" s="266"/>
      <c r="P535" s="266"/>
      <c r="Q535" s="262"/>
      <c r="R535" s="266"/>
      <c r="S535" s="266"/>
      <c r="T535" s="262"/>
      <c r="U535" s="266"/>
      <c r="V535" s="266"/>
    </row>
    <row r="536">
      <c r="B536" s="14"/>
      <c r="E536" s="262"/>
      <c r="F536" s="266"/>
      <c r="G536" s="266"/>
      <c r="H536" s="262"/>
      <c r="I536" s="266"/>
      <c r="J536" s="266"/>
      <c r="K536" s="262"/>
      <c r="L536" s="266"/>
      <c r="M536" s="266"/>
      <c r="N536" s="262"/>
      <c r="O536" s="266"/>
      <c r="P536" s="266"/>
      <c r="Q536" s="262"/>
      <c r="R536" s="266"/>
      <c r="S536" s="266"/>
      <c r="T536" s="262"/>
      <c r="U536" s="266"/>
      <c r="V536" s="266"/>
    </row>
    <row r="537">
      <c r="B537" s="14"/>
      <c r="E537" s="262"/>
      <c r="F537" s="266"/>
      <c r="G537" s="266"/>
      <c r="H537" s="262"/>
      <c r="I537" s="266"/>
      <c r="J537" s="266"/>
      <c r="K537" s="262"/>
      <c r="L537" s="266"/>
      <c r="M537" s="266"/>
      <c r="N537" s="262"/>
      <c r="O537" s="266"/>
      <c r="P537" s="266"/>
      <c r="Q537" s="262"/>
      <c r="R537" s="266"/>
      <c r="S537" s="266"/>
      <c r="T537" s="262"/>
      <c r="U537" s="266"/>
      <c r="V537" s="266"/>
    </row>
    <row r="538">
      <c r="B538" s="14"/>
      <c r="E538" s="262"/>
      <c r="F538" s="266"/>
      <c r="G538" s="266"/>
      <c r="H538" s="262"/>
      <c r="I538" s="266"/>
      <c r="J538" s="266"/>
      <c r="K538" s="262"/>
      <c r="L538" s="266"/>
      <c r="M538" s="266"/>
      <c r="N538" s="262"/>
      <c r="O538" s="266"/>
      <c r="P538" s="266"/>
      <c r="Q538" s="262"/>
      <c r="R538" s="266"/>
      <c r="S538" s="266"/>
      <c r="T538" s="262"/>
      <c r="U538" s="266"/>
      <c r="V538" s="266"/>
    </row>
    <row r="539">
      <c r="B539" s="14"/>
      <c r="E539" s="262"/>
      <c r="F539" s="266"/>
      <c r="G539" s="266"/>
      <c r="H539" s="262"/>
      <c r="I539" s="266"/>
      <c r="J539" s="266"/>
      <c r="K539" s="262"/>
      <c r="L539" s="266"/>
      <c r="M539" s="266"/>
      <c r="N539" s="262"/>
      <c r="O539" s="266"/>
      <c r="P539" s="266"/>
      <c r="Q539" s="262"/>
      <c r="R539" s="266"/>
      <c r="S539" s="266"/>
      <c r="T539" s="262"/>
      <c r="U539" s="266"/>
      <c r="V539" s="266"/>
    </row>
    <row r="540">
      <c r="B540" s="14"/>
      <c r="E540" s="262"/>
      <c r="F540" s="266"/>
      <c r="G540" s="266"/>
      <c r="H540" s="262"/>
      <c r="I540" s="266"/>
      <c r="J540" s="266"/>
      <c r="K540" s="262"/>
      <c r="L540" s="266"/>
      <c r="M540" s="266"/>
      <c r="N540" s="262"/>
      <c r="O540" s="266"/>
      <c r="P540" s="266"/>
      <c r="Q540" s="262"/>
      <c r="R540" s="266"/>
      <c r="S540" s="266"/>
      <c r="T540" s="262"/>
      <c r="U540" s="266"/>
      <c r="V540" s="266"/>
    </row>
    <row r="541">
      <c r="B541" s="14"/>
      <c r="E541" s="262"/>
      <c r="F541" s="266"/>
      <c r="G541" s="266"/>
      <c r="H541" s="262"/>
      <c r="I541" s="266"/>
      <c r="J541" s="266"/>
      <c r="K541" s="262"/>
      <c r="L541" s="266"/>
      <c r="M541" s="266"/>
      <c r="N541" s="262"/>
      <c r="O541" s="266"/>
      <c r="P541" s="266"/>
      <c r="Q541" s="262"/>
      <c r="R541" s="266"/>
      <c r="S541" s="266"/>
      <c r="T541" s="262"/>
      <c r="U541" s="266"/>
      <c r="V541" s="266"/>
    </row>
    <row r="542">
      <c r="B542" s="14"/>
      <c r="E542" s="262"/>
      <c r="F542" s="266"/>
      <c r="G542" s="266"/>
      <c r="H542" s="262"/>
      <c r="I542" s="266"/>
      <c r="J542" s="266"/>
      <c r="K542" s="262"/>
      <c r="L542" s="266"/>
      <c r="M542" s="266"/>
      <c r="N542" s="262"/>
      <c r="O542" s="266"/>
      <c r="P542" s="266"/>
      <c r="Q542" s="262"/>
      <c r="R542" s="266"/>
      <c r="S542" s="266"/>
      <c r="T542" s="262"/>
      <c r="U542" s="266"/>
      <c r="V542" s="266"/>
    </row>
    <row r="543">
      <c r="B543" s="14"/>
      <c r="E543" s="262"/>
      <c r="F543" s="266"/>
      <c r="G543" s="266"/>
      <c r="H543" s="262"/>
      <c r="I543" s="266"/>
      <c r="J543" s="266"/>
      <c r="K543" s="262"/>
      <c r="L543" s="266"/>
      <c r="M543" s="266"/>
      <c r="N543" s="262"/>
      <c r="O543" s="266"/>
      <c r="P543" s="266"/>
      <c r="Q543" s="262"/>
      <c r="R543" s="266"/>
      <c r="S543" s="266"/>
      <c r="T543" s="262"/>
      <c r="U543" s="266"/>
      <c r="V543" s="266"/>
    </row>
    <row r="544">
      <c r="B544" s="14"/>
      <c r="E544" s="262"/>
      <c r="F544" s="266"/>
      <c r="G544" s="266"/>
      <c r="H544" s="262"/>
      <c r="I544" s="266"/>
      <c r="J544" s="266"/>
      <c r="K544" s="262"/>
      <c r="L544" s="266"/>
      <c r="M544" s="266"/>
      <c r="N544" s="262"/>
      <c r="O544" s="266"/>
      <c r="P544" s="266"/>
      <c r="Q544" s="262"/>
      <c r="R544" s="266"/>
      <c r="S544" s="266"/>
      <c r="T544" s="262"/>
      <c r="U544" s="266"/>
      <c r="V544" s="266"/>
    </row>
    <row r="545">
      <c r="B545" s="14"/>
      <c r="E545" s="262"/>
      <c r="F545" s="266"/>
      <c r="G545" s="266"/>
      <c r="H545" s="262"/>
      <c r="I545" s="266"/>
      <c r="J545" s="266"/>
      <c r="K545" s="262"/>
      <c r="L545" s="266"/>
      <c r="M545" s="266"/>
      <c r="N545" s="262"/>
      <c r="O545" s="266"/>
      <c r="P545" s="266"/>
      <c r="Q545" s="262"/>
      <c r="R545" s="266"/>
      <c r="S545" s="266"/>
      <c r="T545" s="262"/>
      <c r="U545" s="266"/>
      <c r="V545" s="266"/>
    </row>
    <row r="546">
      <c r="B546" s="14"/>
      <c r="E546" s="262"/>
      <c r="F546" s="266"/>
      <c r="G546" s="266"/>
      <c r="H546" s="262"/>
      <c r="I546" s="266"/>
      <c r="J546" s="266"/>
      <c r="K546" s="262"/>
      <c r="L546" s="266"/>
      <c r="M546" s="266"/>
      <c r="N546" s="262"/>
      <c r="O546" s="266"/>
      <c r="P546" s="266"/>
      <c r="Q546" s="262"/>
      <c r="R546" s="266"/>
      <c r="S546" s="266"/>
      <c r="T546" s="262"/>
      <c r="U546" s="266"/>
      <c r="V546" s="266"/>
    </row>
    <row r="547">
      <c r="B547" s="14"/>
      <c r="E547" s="262"/>
      <c r="F547" s="266"/>
      <c r="G547" s="266"/>
      <c r="H547" s="262"/>
      <c r="I547" s="266"/>
      <c r="J547" s="266"/>
      <c r="K547" s="262"/>
      <c r="L547" s="266"/>
      <c r="M547" s="266"/>
      <c r="N547" s="262"/>
      <c r="O547" s="266"/>
      <c r="P547" s="266"/>
      <c r="Q547" s="262"/>
      <c r="R547" s="266"/>
      <c r="S547" s="266"/>
      <c r="T547" s="262"/>
      <c r="U547" s="266"/>
      <c r="V547" s="266"/>
    </row>
    <row r="548">
      <c r="B548" s="14"/>
      <c r="E548" s="262"/>
      <c r="F548" s="266"/>
      <c r="G548" s="266"/>
      <c r="H548" s="262"/>
      <c r="I548" s="266"/>
      <c r="J548" s="266"/>
      <c r="K548" s="262"/>
      <c r="L548" s="266"/>
      <c r="M548" s="266"/>
      <c r="N548" s="262"/>
      <c r="O548" s="266"/>
      <c r="P548" s="266"/>
      <c r="Q548" s="262"/>
      <c r="R548" s="266"/>
      <c r="S548" s="266"/>
      <c r="T548" s="262"/>
      <c r="U548" s="266"/>
      <c r="V548" s="266"/>
    </row>
    <row r="549">
      <c r="B549" s="14"/>
      <c r="E549" s="262"/>
      <c r="F549" s="266"/>
      <c r="G549" s="266"/>
      <c r="H549" s="262"/>
      <c r="I549" s="266"/>
      <c r="J549" s="266"/>
      <c r="K549" s="262"/>
      <c r="L549" s="266"/>
      <c r="M549" s="266"/>
      <c r="N549" s="262"/>
      <c r="O549" s="266"/>
      <c r="P549" s="266"/>
      <c r="Q549" s="262"/>
      <c r="R549" s="266"/>
      <c r="S549" s="266"/>
      <c r="T549" s="262"/>
      <c r="U549" s="266"/>
      <c r="V549" s="266"/>
    </row>
    <row r="550">
      <c r="B550" s="14"/>
      <c r="E550" s="262"/>
      <c r="F550" s="266"/>
      <c r="G550" s="266"/>
      <c r="H550" s="262"/>
      <c r="I550" s="266"/>
      <c r="J550" s="266"/>
      <c r="K550" s="262"/>
      <c r="L550" s="266"/>
      <c r="M550" s="266"/>
      <c r="N550" s="262"/>
      <c r="O550" s="266"/>
      <c r="P550" s="266"/>
      <c r="Q550" s="262"/>
      <c r="R550" s="266"/>
      <c r="S550" s="266"/>
      <c r="T550" s="262"/>
      <c r="U550" s="266"/>
      <c r="V550" s="266"/>
    </row>
    <row r="551">
      <c r="B551" s="14"/>
      <c r="E551" s="262"/>
      <c r="F551" s="266"/>
      <c r="G551" s="266"/>
      <c r="H551" s="262"/>
      <c r="I551" s="266"/>
      <c r="J551" s="266"/>
      <c r="K551" s="262"/>
      <c r="L551" s="266"/>
      <c r="M551" s="266"/>
      <c r="N551" s="262"/>
      <c r="O551" s="266"/>
      <c r="P551" s="266"/>
      <c r="Q551" s="262"/>
      <c r="R551" s="266"/>
      <c r="S551" s="266"/>
      <c r="T551" s="262"/>
      <c r="U551" s="266"/>
      <c r="V551" s="266"/>
    </row>
    <row r="552">
      <c r="B552" s="14"/>
      <c r="E552" s="262"/>
      <c r="F552" s="266"/>
      <c r="G552" s="266"/>
      <c r="H552" s="262"/>
      <c r="I552" s="266"/>
      <c r="J552" s="266"/>
      <c r="K552" s="262"/>
      <c r="L552" s="266"/>
      <c r="M552" s="266"/>
      <c r="N552" s="262"/>
      <c r="O552" s="266"/>
      <c r="P552" s="266"/>
      <c r="Q552" s="262"/>
      <c r="R552" s="266"/>
      <c r="S552" s="266"/>
      <c r="T552" s="262"/>
      <c r="U552" s="266"/>
      <c r="V552" s="266"/>
    </row>
    <row r="553">
      <c r="B553" s="14"/>
      <c r="E553" s="262"/>
      <c r="F553" s="266"/>
      <c r="G553" s="266"/>
      <c r="H553" s="262"/>
      <c r="I553" s="266"/>
      <c r="J553" s="266"/>
      <c r="K553" s="262"/>
      <c r="L553" s="266"/>
      <c r="M553" s="266"/>
      <c r="N553" s="262"/>
      <c r="O553" s="266"/>
      <c r="P553" s="266"/>
      <c r="Q553" s="262"/>
      <c r="R553" s="266"/>
      <c r="S553" s="266"/>
      <c r="T553" s="262"/>
      <c r="U553" s="266"/>
      <c r="V553" s="266"/>
    </row>
    <row r="554">
      <c r="B554" s="14"/>
      <c r="E554" s="262"/>
      <c r="F554" s="266"/>
      <c r="G554" s="266"/>
      <c r="H554" s="262"/>
      <c r="I554" s="266"/>
      <c r="J554" s="266"/>
      <c r="K554" s="262"/>
      <c r="L554" s="266"/>
      <c r="M554" s="266"/>
      <c r="N554" s="262"/>
      <c r="O554" s="266"/>
      <c r="P554" s="266"/>
      <c r="Q554" s="262"/>
      <c r="R554" s="266"/>
      <c r="S554" s="266"/>
      <c r="T554" s="262"/>
      <c r="U554" s="266"/>
      <c r="V554" s="266"/>
    </row>
    <row r="555">
      <c r="B555" s="14"/>
      <c r="E555" s="262"/>
      <c r="F555" s="266"/>
      <c r="G555" s="266"/>
      <c r="H555" s="262"/>
      <c r="I555" s="266"/>
      <c r="J555" s="266"/>
      <c r="K555" s="262"/>
      <c r="L555" s="266"/>
      <c r="M555" s="266"/>
      <c r="N555" s="262"/>
      <c r="O555" s="266"/>
      <c r="P555" s="266"/>
      <c r="Q555" s="262"/>
      <c r="R555" s="266"/>
      <c r="S555" s="266"/>
      <c r="T555" s="262"/>
      <c r="U555" s="266"/>
      <c r="V555" s="266"/>
    </row>
    <row r="556">
      <c r="B556" s="14"/>
      <c r="E556" s="262"/>
      <c r="F556" s="266"/>
      <c r="G556" s="266"/>
      <c r="H556" s="262"/>
      <c r="I556" s="266"/>
      <c r="J556" s="266"/>
      <c r="K556" s="262"/>
      <c r="L556" s="266"/>
      <c r="M556" s="266"/>
      <c r="N556" s="262"/>
      <c r="O556" s="266"/>
      <c r="P556" s="266"/>
      <c r="Q556" s="262"/>
      <c r="R556" s="266"/>
      <c r="S556" s="266"/>
      <c r="T556" s="262"/>
      <c r="U556" s="266"/>
      <c r="V556" s="266"/>
    </row>
    <row r="557">
      <c r="B557" s="14"/>
      <c r="E557" s="262"/>
      <c r="F557" s="266"/>
      <c r="G557" s="266"/>
      <c r="H557" s="262"/>
      <c r="I557" s="266"/>
      <c r="J557" s="266"/>
      <c r="K557" s="262"/>
      <c r="L557" s="266"/>
      <c r="M557" s="266"/>
      <c r="N557" s="262"/>
      <c r="O557" s="266"/>
      <c r="P557" s="266"/>
      <c r="Q557" s="262"/>
      <c r="R557" s="266"/>
      <c r="S557" s="266"/>
      <c r="T557" s="262"/>
      <c r="U557" s="266"/>
      <c r="V557" s="266"/>
    </row>
    <row r="558">
      <c r="B558" s="14"/>
      <c r="E558" s="262"/>
      <c r="F558" s="266"/>
      <c r="G558" s="266"/>
      <c r="H558" s="262"/>
      <c r="I558" s="266"/>
      <c r="J558" s="266"/>
      <c r="K558" s="262"/>
      <c r="L558" s="266"/>
      <c r="M558" s="266"/>
      <c r="N558" s="262"/>
      <c r="O558" s="266"/>
      <c r="P558" s="266"/>
      <c r="Q558" s="262"/>
      <c r="R558" s="266"/>
      <c r="S558" s="266"/>
      <c r="T558" s="262"/>
      <c r="U558" s="266"/>
      <c r="V558" s="266"/>
    </row>
    <row r="559">
      <c r="B559" s="14"/>
      <c r="E559" s="262"/>
      <c r="F559" s="266"/>
      <c r="G559" s="266"/>
      <c r="H559" s="262"/>
      <c r="I559" s="266"/>
      <c r="J559" s="266"/>
      <c r="K559" s="262"/>
      <c r="L559" s="266"/>
      <c r="M559" s="266"/>
      <c r="N559" s="262"/>
      <c r="O559" s="266"/>
      <c r="P559" s="266"/>
      <c r="Q559" s="262"/>
      <c r="R559" s="266"/>
      <c r="S559" s="266"/>
      <c r="T559" s="262"/>
      <c r="U559" s="266"/>
      <c r="V559" s="266"/>
    </row>
    <row r="560">
      <c r="B560" s="14"/>
      <c r="E560" s="262"/>
      <c r="F560" s="266"/>
      <c r="G560" s="266"/>
      <c r="H560" s="262"/>
      <c r="I560" s="266"/>
      <c r="J560" s="266"/>
      <c r="K560" s="262"/>
      <c r="L560" s="266"/>
      <c r="M560" s="266"/>
      <c r="N560" s="262"/>
      <c r="O560" s="266"/>
      <c r="P560" s="266"/>
      <c r="Q560" s="262"/>
      <c r="R560" s="266"/>
      <c r="S560" s="266"/>
      <c r="T560" s="262"/>
      <c r="U560" s="266"/>
      <c r="V560" s="266"/>
    </row>
    <row r="561">
      <c r="B561" s="14"/>
      <c r="E561" s="262"/>
      <c r="F561" s="266"/>
      <c r="G561" s="266"/>
      <c r="H561" s="262"/>
      <c r="I561" s="266"/>
      <c r="J561" s="266"/>
      <c r="K561" s="262"/>
      <c r="L561" s="266"/>
      <c r="M561" s="266"/>
      <c r="N561" s="262"/>
      <c r="O561" s="266"/>
      <c r="P561" s="266"/>
      <c r="Q561" s="262"/>
      <c r="R561" s="266"/>
      <c r="S561" s="266"/>
      <c r="T561" s="262"/>
      <c r="U561" s="266"/>
      <c r="V561" s="266"/>
    </row>
    <row r="562">
      <c r="B562" s="14"/>
      <c r="E562" s="262"/>
      <c r="F562" s="266"/>
      <c r="G562" s="266"/>
      <c r="H562" s="262"/>
      <c r="I562" s="266"/>
      <c r="J562" s="266"/>
      <c r="K562" s="262"/>
      <c r="L562" s="266"/>
      <c r="M562" s="266"/>
      <c r="N562" s="262"/>
      <c r="O562" s="266"/>
      <c r="P562" s="266"/>
      <c r="Q562" s="262"/>
      <c r="R562" s="266"/>
      <c r="S562" s="266"/>
      <c r="T562" s="262"/>
      <c r="U562" s="266"/>
      <c r="V562" s="266"/>
    </row>
    <row r="563">
      <c r="B563" s="14"/>
      <c r="E563" s="262"/>
      <c r="F563" s="266"/>
      <c r="G563" s="266"/>
      <c r="H563" s="262"/>
      <c r="I563" s="266"/>
      <c r="J563" s="266"/>
      <c r="K563" s="262"/>
      <c r="L563" s="266"/>
      <c r="M563" s="266"/>
      <c r="N563" s="262"/>
      <c r="O563" s="266"/>
      <c r="P563" s="266"/>
      <c r="Q563" s="262"/>
      <c r="R563" s="266"/>
      <c r="S563" s="266"/>
      <c r="T563" s="262"/>
      <c r="U563" s="266"/>
      <c r="V563" s="266"/>
    </row>
    <row r="564">
      <c r="B564" s="14"/>
      <c r="E564" s="262"/>
      <c r="F564" s="266"/>
      <c r="G564" s="266"/>
      <c r="H564" s="262"/>
      <c r="I564" s="266"/>
      <c r="J564" s="266"/>
      <c r="K564" s="262"/>
      <c r="L564" s="266"/>
      <c r="M564" s="266"/>
      <c r="N564" s="262"/>
      <c r="O564" s="266"/>
      <c r="P564" s="266"/>
      <c r="Q564" s="262"/>
      <c r="R564" s="266"/>
      <c r="S564" s="266"/>
      <c r="T564" s="262"/>
      <c r="U564" s="266"/>
      <c r="V564" s="266"/>
    </row>
    <row r="565">
      <c r="B565" s="14"/>
      <c r="E565" s="262"/>
      <c r="F565" s="266"/>
      <c r="G565" s="266"/>
      <c r="H565" s="262"/>
      <c r="I565" s="266"/>
      <c r="J565" s="266"/>
      <c r="K565" s="262"/>
      <c r="L565" s="266"/>
      <c r="M565" s="266"/>
      <c r="N565" s="262"/>
      <c r="O565" s="266"/>
      <c r="P565" s="266"/>
      <c r="Q565" s="262"/>
      <c r="R565" s="266"/>
      <c r="S565" s="266"/>
      <c r="T565" s="262"/>
      <c r="U565" s="266"/>
      <c r="V565" s="266"/>
    </row>
    <row r="566">
      <c r="B566" s="14"/>
      <c r="E566" s="262"/>
      <c r="F566" s="266"/>
      <c r="G566" s="266"/>
      <c r="H566" s="262"/>
      <c r="I566" s="266"/>
      <c r="J566" s="266"/>
      <c r="K566" s="262"/>
      <c r="L566" s="266"/>
      <c r="M566" s="266"/>
      <c r="N566" s="262"/>
      <c r="O566" s="266"/>
      <c r="P566" s="266"/>
      <c r="Q566" s="262"/>
      <c r="R566" s="266"/>
      <c r="S566" s="266"/>
      <c r="T566" s="262"/>
      <c r="U566" s="266"/>
      <c r="V566" s="266"/>
    </row>
    <row r="567">
      <c r="B567" s="14"/>
      <c r="E567" s="262"/>
      <c r="F567" s="266"/>
      <c r="G567" s="266"/>
      <c r="H567" s="262"/>
      <c r="I567" s="266"/>
      <c r="J567" s="266"/>
      <c r="K567" s="262"/>
      <c r="L567" s="266"/>
      <c r="M567" s="266"/>
      <c r="N567" s="262"/>
      <c r="O567" s="266"/>
      <c r="P567" s="266"/>
      <c r="Q567" s="262"/>
      <c r="R567" s="266"/>
      <c r="S567" s="266"/>
      <c r="T567" s="262"/>
      <c r="U567" s="266"/>
      <c r="V567" s="266"/>
    </row>
    <row r="568">
      <c r="B568" s="14"/>
      <c r="E568" s="262"/>
      <c r="F568" s="266"/>
      <c r="G568" s="266"/>
      <c r="H568" s="262"/>
      <c r="I568" s="266"/>
      <c r="J568" s="266"/>
      <c r="K568" s="262"/>
      <c r="L568" s="266"/>
      <c r="M568" s="266"/>
      <c r="N568" s="262"/>
      <c r="O568" s="266"/>
      <c r="P568" s="266"/>
      <c r="Q568" s="262"/>
      <c r="R568" s="266"/>
      <c r="S568" s="266"/>
      <c r="T568" s="262"/>
      <c r="U568" s="266"/>
      <c r="V568" s="266"/>
    </row>
    <row r="569">
      <c r="B569" s="14"/>
      <c r="E569" s="262"/>
      <c r="F569" s="266"/>
      <c r="G569" s="266"/>
      <c r="H569" s="262"/>
      <c r="I569" s="266"/>
      <c r="J569" s="266"/>
      <c r="K569" s="262"/>
      <c r="L569" s="266"/>
      <c r="M569" s="266"/>
      <c r="N569" s="262"/>
      <c r="O569" s="266"/>
      <c r="P569" s="266"/>
      <c r="Q569" s="262"/>
      <c r="R569" s="266"/>
      <c r="S569" s="266"/>
      <c r="T569" s="262"/>
      <c r="U569" s="266"/>
      <c r="V569" s="266"/>
    </row>
    <row r="570">
      <c r="B570" s="14"/>
      <c r="E570" s="262"/>
      <c r="F570" s="266"/>
      <c r="G570" s="266"/>
      <c r="H570" s="262"/>
      <c r="I570" s="266"/>
      <c r="J570" s="266"/>
      <c r="K570" s="262"/>
      <c r="L570" s="266"/>
      <c r="M570" s="266"/>
      <c r="N570" s="262"/>
      <c r="O570" s="266"/>
      <c r="P570" s="266"/>
      <c r="Q570" s="262"/>
      <c r="R570" s="266"/>
      <c r="S570" s="266"/>
      <c r="T570" s="262"/>
      <c r="U570" s="266"/>
      <c r="V570" s="266"/>
    </row>
    <row r="571">
      <c r="B571" s="14"/>
      <c r="E571" s="262"/>
      <c r="F571" s="266"/>
      <c r="G571" s="266"/>
      <c r="H571" s="262"/>
      <c r="I571" s="266"/>
      <c r="J571" s="266"/>
      <c r="K571" s="262"/>
      <c r="L571" s="266"/>
      <c r="M571" s="266"/>
      <c r="N571" s="262"/>
      <c r="O571" s="266"/>
      <c r="P571" s="266"/>
      <c r="Q571" s="262"/>
      <c r="R571" s="266"/>
      <c r="S571" s="266"/>
      <c r="T571" s="262"/>
      <c r="U571" s="266"/>
      <c r="V571" s="266"/>
    </row>
    <row r="572">
      <c r="B572" s="14"/>
      <c r="E572" s="262"/>
      <c r="F572" s="266"/>
      <c r="G572" s="266"/>
      <c r="H572" s="262"/>
      <c r="I572" s="266"/>
      <c r="J572" s="266"/>
      <c r="K572" s="262"/>
      <c r="L572" s="266"/>
      <c r="M572" s="266"/>
      <c r="N572" s="262"/>
      <c r="O572" s="266"/>
      <c r="P572" s="266"/>
      <c r="Q572" s="262"/>
      <c r="R572" s="266"/>
      <c r="S572" s="266"/>
      <c r="T572" s="262"/>
      <c r="U572" s="266"/>
      <c r="V572" s="266"/>
    </row>
    <row r="573">
      <c r="B573" s="14"/>
      <c r="E573" s="262"/>
      <c r="F573" s="266"/>
      <c r="G573" s="266"/>
      <c r="H573" s="262"/>
      <c r="I573" s="266"/>
      <c r="J573" s="266"/>
      <c r="K573" s="262"/>
      <c r="L573" s="266"/>
      <c r="M573" s="266"/>
      <c r="N573" s="262"/>
      <c r="O573" s="266"/>
      <c r="P573" s="266"/>
      <c r="Q573" s="262"/>
      <c r="R573" s="266"/>
      <c r="S573" s="266"/>
      <c r="T573" s="262"/>
      <c r="U573" s="266"/>
      <c r="V573" s="266"/>
    </row>
    <row r="574">
      <c r="B574" s="14"/>
      <c r="E574" s="262"/>
      <c r="F574" s="266"/>
      <c r="G574" s="266"/>
      <c r="H574" s="262"/>
      <c r="I574" s="266"/>
      <c r="J574" s="266"/>
      <c r="K574" s="262"/>
      <c r="L574" s="266"/>
      <c r="M574" s="266"/>
      <c r="N574" s="262"/>
      <c r="O574" s="266"/>
      <c r="P574" s="266"/>
      <c r="Q574" s="262"/>
      <c r="R574" s="266"/>
      <c r="S574" s="266"/>
      <c r="T574" s="262"/>
      <c r="U574" s="266"/>
      <c r="V574" s="266"/>
    </row>
    <row r="575">
      <c r="B575" s="14"/>
      <c r="E575" s="262"/>
      <c r="F575" s="266"/>
      <c r="G575" s="266"/>
      <c r="H575" s="262"/>
      <c r="I575" s="266"/>
      <c r="J575" s="266"/>
      <c r="K575" s="262"/>
      <c r="L575" s="266"/>
      <c r="M575" s="266"/>
      <c r="N575" s="262"/>
      <c r="O575" s="266"/>
      <c r="P575" s="266"/>
      <c r="Q575" s="262"/>
      <c r="R575" s="266"/>
      <c r="S575" s="266"/>
      <c r="T575" s="262"/>
      <c r="U575" s="266"/>
      <c r="V575" s="266"/>
    </row>
    <row r="576">
      <c r="B576" s="14"/>
      <c r="E576" s="262"/>
      <c r="F576" s="266"/>
      <c r="G576" s="266"/>
      <c r="H576" s="262"/>
      <c r="I576" s="266"/>
      <c r="J576" s="266"/>
      <c r="K576" s="262"/>
      <c r="L576" s="266"/>
      <c r="M576" s="266"/>
      <c r="N576" s="262"/>
      <c r="O576" s="266"/>
      <c r="P576" s="266"/>
      <c r="Q576" s="262"/>
      <c r="R576" s="266"/>
      <c r="S576" s="266"/>
      <c r="T576" s="262"/>
      <c r="U576" s="266"/>
      <c r="V576" s="266"/>
    </row>
    <row r="577">
      <c r="B577" s="14"/>
      <c r="E577" s="262"/>
      <c r="F577" s="266"/>
      <c r="G577" s="266"/>
      <c r="H577" s="262"/>
      <c r="I577" s="266"/>
      <c r="J577" s="266"/>
      <c r="K577" s="262"/>
      <c r="L577" s="266"/>
      <c r="M577" s="266"/>
      <c r="N577" s="262"/>
      <c r="O577" s="266"/>
      <c r="P577" s="266"/>
      <c r="Q577" s="262"/>
      <c r="R577" s="266"/>
      <c r="S577" s="266"/>
      <c r="T577" s="262"/>
      <c r="U577" s="266"/>
      <c r="V577" s="266"/>
    </row>
    <row r="578">
      <c r="B578" s="14"/>
      <c r="E578" s="262"/>
      <c r="F578" s="266"/>
      <c r="G578" s="266"/>
      <c r="H578" s="262"/>
      <c r="I578" s="266"/>
      <c r="J578" s="266"/>
      <c r="K578" s="262"/>
      <c r="L578" s="266"/>
      <c r="M578" s="266"/>
      <c r="N578" s="262"/>
      <c r="O578" s="266"/>
      <c r="P578" s="266"/>
      <c r="Q578" s="262"/>
      <c r="R578" s="266"/>
      <c r="S578" s="266"/>
      <c r="T578" s="262"/>
      <c r="U578" s="266"/>
      <c r="V578" s="266"/>
    </row>
    <row r="579">
      <c r="B579" s="14"/>
      <c r="E579" s="262"/>
      <c r="F579" s="266"/>
      <c r="G579" s="266"/>
      <c r="H579" s="262"/>
      <c r="I579" s="266"/>
      <c r="J579" s="266"/>
      <c r="K579" s="262"/>
      <c r="L579" s="266"/>
      <c r="M579" s="266"/>
      <c r="N579" s="262"/>
      <c r="O579" s="266"/>
      <c r="P579" s="266"/>
      <c r="Q579" s="262"/>
      <c r="R579" s="266"/>
      <c r="S579" s="266"/>
      <c r="T579" s="262"/>
      <c r="U579" s="266"/>
      <c r="V579" s="266"/>
    </row>
    <row r="580">
      <c r="B580" s="14"/>
      <c r="E580" s="262"/>
      <c r="F580" s="266"/>
      <c r="G580" s="266"/>
      <c r="H580" s="262"/>
      <c r="I580" s="266"/>
      <c r="J580" s="266"/>
      <c r="K580" s="262"/>
      <c r="L580" s="266"/>
      <c r="M580" s="266"/>
      <c r="N580" s="262"/>
      <c r="O580" s="266"/>
      <c r="P580" s="266"/>
      <c r="Q580" s="262"/>
      <c r="R580" s="266"/>
      <c r="S580" s="266"/>
      <c r="T580" s="262"/>
      <c r="U580" s="266"/>
      <c r="V580" s="266"/>
    </row>
    <row r="581">
      <c r="B581" s="14"/>
      <c r="E581" s="262"/>
      <c r="F581" s="266"/>
      <c r="G581" s="266"/>
      <c r="H581" s="262"/>
      <c r="I581" s="266"/>
      <c r="J581" s="266"/>
      <c r="K581" s="262"/>
      <c r="L581" s="266"/>
      <c r="M581" s="266"/>
      <c r="N581" s="262"/>
      <c r="O581" s="266"/>
      <c r="P581" s="266"/>
      <c r="Q581" s="262"/>
      <c r="R581" s="266"/>
      <c r="S581" s="266"/>
      <c r="T581" s="262"/>
      <c r="U581" s="266"/>
      <c r="V581" s="266"/>
    </row>
    <row r="582">
      <c r="B582" s="14"/>
      <c r="E582" s="262"/>
      <c r="F582" s="266"/>
      <c r="G582" s="266"/>
      <c r="H582" s="262"/>
      <c r="I582" s="266"/>
      <c r="J582" s="266"/>
      <c r="K582" s="262"/>
      <c r="L582" s="266"/>
      <c r="M582" s="266"/>
      <c r="N582" s="262"/>
      <c r="O582" s="266"/>
      <c r="P582" s="266"/>
      <c r="Q582" s="262"/>
      <c r="R582" s="266"/>
      <c r="S582" s="266"/>
      <c r="T582" s="262"/>
      <c r="U582" s="266"/>
      <c r="V582" s="266"/>
    </row>
    <row r="583">
      <c r="B583" s="14"/>
      <c r="E583" s="262"/>
      <c r="F583" s="266"/>
      <c r="G583" s="266"/>
      <c r="H583" s="262"/>
      <c r="I583" s="266"/>
      <c r="J583" s="266"/>
      <c r="K583" s="262"/>
      <c r="L583" s="266"/>
      <c r="M583" s="266"/>
      <c r="N583" s="262"/>
      <c r="O583" s="266"/>
      <c r="P583" s="266"/>
      <c r="Q583" s="262"/>
      <c r="R583" s="266"/>
      <c r="S583" s="266"/>
      <c r="T583" s="262"/>
      <c r="U583" s="266"/>
      <c r="V583" s="266"/>
    </row>
    <row r="584">
      <c r="B584" s="14"/>
      <c r="E584" s="262"/>
      <c r="F584" s="266"/>
      <c r="G584" s="266"/>
      <c r="H584" s="262"/>
      <c r="I584" s="266"/>
      <c r="J584" s="266"/>
      <c r="K584" s="262"/>
      <c r="L584" s="266"/>
      <c r="M584" s="266"/>
      <c r="N584" s="262"/>
      <c r="O584" s="266"/>
      <c r="P584" s="266"/>
      <c r="Q584" s="262"/>
      <c r="R584" s="266"/>
      <c r="S584" s="266"/>
      <c r="T584" s="262"/>
      <c r="U584" s="266"/>
      <c r="V584" s="266"/>
    </row>
    <row r="585">
      <c r="B585" s="14"/>
      <c r="E585" s="262"/>
      <c r="F585" s="266"/>
      <c r="G585" s="266"/>
      <c r="H585" s="262"/>
      <c r="I585" s="266"/>
      <c r="J585" s="266"/>
      <c r="K585" s="262"/>
      <c r="L585" s="266"/>
      <c r="M585" s="266"/>
      <c r="N585" s="262"/>
      <c r="O585" s="266"/>
      <c r="P585" s="266"/>
      <c r="Q585" s="262"/>
      <c r="R585" s="266"/>
      <c r="S585" s="266"/>
      <c r="T585" s="262"/>
      <c r="U585" s="266"/>
      <c r="V585" s="266"/>
    </row>
    <row r="586">
      <c r="B586" s="14"/>
      <c r="E586" s="262"/>
      <c r="F586" s="266"/>
      <c r="G586" s="266"/>
      <c r="H586" s="262"/>
      <c r="I586" s="266"/>
      <c r="J586" s="266"/>
      <c r="K586" s="262"/>
      <c r="L586" s="266"/>
      <c r="M586" s="266"/>
      <c r="N586" s="262"/>
      <c r="O586" s="266"/>
      <c r="P586" s="266"/>
      <c r="Q586" s="262"/>
      <c r="R586" s="266"/>
      <c r="S586" s="266"/>
      <c r="T586" s="262"/>
      <c r="U586" s="266"/>
      <c r="V586" s="266"/>
    </row>
    <row r="587">
      <c r="B587" s="14"/>
      <c r="E587" s="262"/>
      <c r="F587" s="266"/>
      <c r="G587" s="266"/>
      <c r="H587" s="262"/>
      <c r="I587" s="266"/>
      <c r="J587" s="266"/>
      <c r="K587" s="262"/>
      <c r="L587" s="266"/>
      <c r="M587" s="266"/>
      <c r="N587" s="262"/>
      <c r="O587" s="266"/>
      <c r="P587" s="266"/>
      <c r="Q587" s="262"/>
      <c r="R587" s="266"/>
      <c r="S587" s="266"/>
      <c r="T587" s="262"/>
      <c r="U587" s="266"/>
      <c r="V587" s="266"/>
    </row>
    <row r="588">
      <c r="B588" s="14"/>
      <c r="E588" s="262"/>
      <c r="F588" s="266"/>
      <c r="G588" s="266"/>
      <c r="H588" s="262"/>
      <c r="I588" s="266"/>
      <c r="J588" s="266"/>
      <c r="K588" s="262"/>
      <c r="L588" s="266"/>
      <c r="M588" s="266"/>
      <c r="N588" s="262"/>
      <c r="O588" s="266"/>
      <c r="P588" s="266"/>
      <c r="Q588" s="262"/>
      <c r="R588" s="266"/>
      <c r="S588" s="266"/>
      <c r="T588" s="262"/>
      <c r="U588" s="266"/>
      <c r="V588" s="266"/>
    </row>
    <row r="589">
      <c r="B589" s="14"/>
      <c r="E589" s="262"/>
      <c r="F589" s="266"/>
      <c r="G589" s="266"/>
      <c r="H589" s="262"/>
      <c r="I589" s="266"/>
      <c r="J589" s="266"/>
      <c r="K589" s="262"/>
      <c r="L589" s="266"/>
      <c r="M589" s="266"/>
      <c r="N589" s="262"/>
      <c r="O589" s="266"/>
      <c r="P589" s="266"/>
      <c r="Q589" s="262"/>
      <c r="R589" s="266"/>
      <c r="S589" s="266"/>
      <c r="T589" s="262"/>
      <c r="U589" s="266"/>
      <c r="V589" s="266"/>
    </row>
    <row r="590">
      <c r="B590" s="14"/>
      <c r="E590" s="262"/>
      <c r="F590" s="266"/>
      <c r="G590" s="266"/>
      <c r="H590" s="262"/>
      <c r="I590" s="266"/>
      <c r="J590" s="266"/>
      <c r="K590" s="262"/>
      <c r="L590" s="266"/>
      <c r="M590" s="266"/>
      <c r="N590" s="262"/>
      <c r="O590" s="266"/>
      <c r="P590" s="266"/>
      <c r="Q590" s="262"/>
      <c r="R590" s="266"/>
      <c r="S590" s="266"/>
      <c r="T590" s="262"/>
      <c r="U590" s="266"/>
      <c r="V590" s="266"/>
    </row>
    <row r="591">
      <c r="B591" s="14"/>
      <c r="E591" s="262"/>
      <c r="F591" s="266"/>
      <c r="G591" s="266"/>
      <c r="H591" s="262"/>
      <c r="I591" s="266"/>
      <c r="J591" s="266"/>
      <c r="K591" s="262"/>
      <c r="L591" s="266"/>
      <c r="M591" s="266"/>
      <c r="N591" s="262"/>
      <c r="O591" s="266"/>
      <c r="P591" s="266"/>
      <c r="Q591" s="262"/>
      <c r="R591" s="266"/>
      <c r="S591" s="266"/>
      <c r="T591" s="262"/>
      <c r="U591" s="266"/>
      <c r="V591" s="266"/>
    </row>
    <row r="592">
      <c r="B592" s="14"/>
      <c r="E592" s="262"/>
      <c r="F592" s="266"/>
      <c r="G592" s="266"/>
      <c r="H592" s="262"/>
      <c r="I592" s="266"/>
      <c r="J592" s="266"/>
      <c r="K592" s="262"/>
      <c r="L592" s="266"/>
      <c r="M592" s="266"/>
      <c r="N592" s="262"/>
      <c r="O592" s="266"/>
      <c r="P592" s="266"/>
      <c r="Q592" s="262"/>
      <c r="R592" s="266"/>
      <c r="S592" s="266"/>
      <c r="T592" s="262"/>
      <c r="U592" s="266"/>
      <c r="V592" s="266"/>
    </row>
    <row r="593">
      <c r="B593" s="14"/>
      <c r="E593" s="262"/>
      <c r="F593" s="266"/>
      <c r="G593" s="266"/>
      <c r="H593" s="262"/>
      <c r="I593" s="266"/>
      <c r="J593" s="266"/>
      <c r="K593" s="262"/>
      <c r="L593" s="266"/>
      <c r="M593" s="266"/>
      <c r="N593" s="262"/>
      <c r="O593" s="266"/>
      <c r="P593" s="266"/>
      <c r="Q593" s="262"/>
      <c r="R593" s="266"/>
      <c r="S593" s="266"/>
      <c r="T593" s="262"/>
      <c r="U593" s="266"/>
      <c r="V593" s="266"/>
    </row>
    <row r="594">
      <c r="B594" s="14"/>
      <c r="E594" s="262"/>
      <c r="F594" s="266"/>
      <c r="G594" s="266"/>
      <c r="H594" s="262"/>
      <c r="I594" s="266"/>
      <c r="J594" s="266"/>
      <c r="K594" s="262"/>
      <c r="L594" s="266"/>
      <c r="M594" s="266"/>
      <c r="N594" s="262"/>
      <c r="O594" s="266"/>
      <c r="P594" s="266"/>
      <c r="Q594" s="262"/>
      <c r="R594" s="266"/>
      <c r="S594" s="266"/>
      <c r="T594" s="262"/>
      <c r="U594" s="266"/>
      <c r="V594" s="266"/>
    </row>
    <row r="595">
      <c r="B595" s="14"/>
      <c r="E595" s="262"/>
      <c r="F595" s="266"/>
      <c r="G595" s="266"/>
      <c r="H595" s="262"/>
      <c r="I595" s="266"/>
      <c r="J595" s="266"/>
      <c r="K595" s="262"/>
      <c r="L595" s="266"/>
      <c r="M595" s="266"/>
      <c r="N595" s="262"/>
      <c r="O595" s="266"/>
      <c r="P595" s="266"/>
      <c r="Q595" s="262"/>
      <c r="R595" s="266"/>
      <c r="S595" s="266"/>
      <c r="T595" s="262"/>
      <c r="U595" s="266"/>
      <c r="V595" s="266"/>
    </row>
    <row r="596">
      <c r="B596" s="14"/>
      <c r="E596" s="262"/>
      <c r="F596" s="266"/>
      <c r="G596" s="266"/>
      <c r="H596" s="262"/>
      <c r="I596" s="266"/>
      <c r="J596" s="266"/>
      <c r="K596" s="262"/>
      <c r="L596" s="266"/>
      <c r="M596" s="266"/>
      <c r="N596" s="262"/>
      <c r="O596" s="266"/>
      <c r="P596" s="266"/>
      <c r="Q596" s="262"/>
      <c r="R596" s="266"/>
      <c r="S596" s="266"/>
      <c r="T596" s="262"/>
      <c r="U596" s="266"/>
      <c r="V596" s="266"/>
    </row>
    <row r="597">
      <c r="B597" s="14"/>
      <c r="E597" s="262"/>
      <c r="F597" s="266"/>
      <c r="G597" s="266"/>
      <c r="H597" s="262"/>
      <c r="I597" s="266"/>
      <c r="J597" s="266"/>
      <c r="K597" s="262"/>
      <c r="L597" s="266"/>
      <c r="M597" s="266"/>
      <c r="N597" s="262"/>
      <c r="O597" s="266"/>
      <c r="P597" s="266"/>
      <c r="Q597" s="262"/>
      <c r="R597" s="266"/>
      <c r="S597" s="266"/>
      <c r="T597" s="262"/>
      <c r="U597" s="266"/>
      <c r="V597" s="266"/>
    </row>
    <row r="598">
      <c r="B598" s="14"/>
      <c r="E598" s="262"/>
      <c r="F598" s="266"/>
      <c r="G598" s="266"/>
      <c r="H598" s="262"/>
      <c r="I598" s="266"/>
      <c r="J598" s="266"/>
      <c r="K598" s="262"/>
      <c r="L598" s="266"/>
      <c r="M598" s="266"/>
      <c r="N598" s="262"/>
      <c r="O598" s="266"/>
      <c r="P598" s="266"/>
      <c r="Q598" s="262"/>
      <c r="R598" s="266"/>
      <c r="S598" s="266"/>
      <c r="T598" s="262"/>
      <c r="U598" s="266"/>
      <c r="V598" s="266"/>
    </row>
    <row r="599">
      <c r="B599" s="14"/>
      <c r="E599" s="262"/>
      <c r="F599" s="266"/>
      <c r="G599" s="266"/>
      <c r="H599" s="262"/>
      <c r="I599" s="266"/>
      <c r="J599" s="266"/>
      <c r="K599" s="262"/>
      <c r="L599" s="266"/>
      <c r="M599" s="266"/>
      <c r="N599" s="262"/>
      <c r="O599" s="266"/>
      <c r="P599" s="266"/>
      <c r="Q599" s="262"/>
      <c r="R599" s="266"/>
      <c r="S599" s="266"/>
      <c r="T599" s="262"/>
      <c r="U599" s="266"/>
      <c r="V599" s="266"/>
    </row>
    <row r="600">
      <c r="B600" s="14"/>
      <c r="E600" s="262"/>
      <c r="F600" s="266"/>
      <c r="G600" s="266"/>
      <c r="H600" s="262"/>
      <c r="I600" s="266"/>
      <c r="J600" s="266"/>
      <c r="K600" s="262"/>
      <c r="L600" s="266"/>
      <c r="M600" s="266"/>
      <c r="N600" s="262"/>
      <c r="O600" s="266"/>
      <c r="P600" s="266"/>
      <c r="Q600" s="262"/>
      <c r="R600" s="266"/>
      <c r="S600" s="266"/>
      <c r="T600" s="262"/>
      <c r="U600" s="266"/>
      <c r="V600" s="266"/>
    </row>
    <row r="601">
      <c r="B601" s="14"/>
      <c r="E601" s="262"/>
      <c r="F601" s="266"/>
      <c r="G601" s="266"/>
      <c r="H601" s="262"/>
      <c r="I601" s="266"/>
      <c r="J601" s="266"/>
      <c r="K601" s="262"/>
      <c r="L601" s="266"/>
      <c r="M601" s="266"/>
      <c r="N601" s="262"/>
      <c r="O601" s="266"/>
      <c r="P601" s="266"/>
      <c r="Q601" s="262"/>
      <c r="R601" s="266"/>
      <c r="S601" s="266"/>
      <c r="T601" s="262"/>
      <c r="U601" s="266"/>
      <c r="V601" s="266"/>
    </row>
    <row r="602">
      <c r="B602" s="14"/>
      <c r="E602" s="262"/>
      <c r="F602" s="266"/>
      <c r="G602" s="266"/>
      <c r="H602" s="262"/>
      <c r="I602" s="266"/>
      <c r="J602" s="266"/>
      <c r="K602" s="262"/>
      <c r="L602" s="266"/>
      <c r="M602" s="266"/>
      <c r="N602" s="262"/>
      <c r="O602" s="266"/>
      <c r="P602" s="266"/>
      <c r="Q602" s="262"/>
      <c r="R602" s="266"/>
      <c r="S602" s="266"/>
      <c r="T602" s="262"/>
      <c r="U602" s="266"/>
      <c r="V602" s="266"/>
    </row>
    <row r="603">
      <c r="B603" s="14"/>
      <c r="E603" s="262"/>
      <c r="F603" s="266"/>
      <c r="G603" s="266"/>
      <c r="H603" s="262"/>
      <c r="I603" s="266"/>
      <c r="J603" s="266"/>
      <c r="K603" s="262"/>
      <c r="L603" s="266"/>
      <c r="M603" s="266"/>
      <c r="N603" s="262"/>
      <c r="O603" s="266"/>
      <c r="P603" s="266"/>
      <c r="Q603" s="262"/>
      <c r="R603" s="266"/>
      <c r="S603" s="266"/>
      <c r="T603" s="262"/>
      <c r="U603" s="266"/>
      <c r="V603" s="266"/>
    </row>
    <row r="604">
      <c r="B604" s="14"/>
      <c r="E604" s="262"/>
      <c r="F604" s="266"/>
      <c r="G604" s="266"/>
      <c r="H604" s="262"/>
      <c r="I604" s="266"/>
      <c r="J604" s="266"/>
      <c r="K604" s="262"/>
      <c r="L604" s="266"/>
      <c r="M604" s="266"/>
      <c r="N604" s="262"/>
      <c r="O604" s="266"/>
      <c r="P604" s="266"/>
      <c r="Q604" s="262"/>
      <c r="R604" s="266"/>
      <c r="S604" s="266"/>
      <c r="T604" s="262"/>
      <c r="U604" s="266"/>
      <c r="V604" s="266"/>
    </row>
    <row r="605">
      <c r="B605" s="14"/>
      <c r="E605" s="262"/>
      <c r="F605" s="266"/>
      <c r="G605" s="266"/>
      <c r="H605" s="262"/>
      <c r="I605" s="266"/>
      <c r="J605" s="266"/>
      <c r="K605" s="262"/>
      <c r="L605" s="266"/>
      <c r="M605" s="266"/>
      <c r="N605" s="262"/>
      <c r="O605" s="266"/>
      <c r="P605" s="266"/>
      <c r="Q605" s="262"/>
      <c r="R605" s="266"/>
      <c r="S605" s="266"/>
      <c r="T605" s="262"/>
      <c r="U605" s="266"/>
      <c r="V605" s="266"/>
    </row>
    <row r="606">
      <c r="B606" s="14"/>
      <c r="E606" s="262"/>
      <c r="F606" s="266"/>
      <c r="G606" s="266"/>
      <c r="H606" s="262"/>
      <c r="I606" s="266"/>
      <c r="J606" s="266"/>
      <c r="K606" s="262"/>
      <c r="L606" s="266"/>
      <c r="M606" s="266"/>
      <c r="N606" s="262"/>
      <c r="O606" s="266"/>
      <c r="P606" s="266"/>
      <c r="Q606" s="262"/>
      <c r="R606" s="266"/>
      <c r="S606" s="266"/>
      <c r="T606" s="262"/>
      <c r="U606" s="266"/>
      <c r="V606" s="266"/>
    </row>
    <row r="607">
      <c r="B607" s="14"/>
      <c r="E607" s="262"/>
      <c r="F607" s="266"/>
      <c r="G607" s="266"/>
      <c r="H607" s="262"/>
      <c r="I607" s="266"/>
      <c r="J607" s="266"/>
      <c r="K607" s="262"/>
      <c r="L607" s="266"/>
      <c r="M607" s="266"/>
      <c r="N607" s="262"/>
      <c r="O607" s="266"/>
      <c r="P607" s="266"/>
      <c r="Q607" s="262"/>
      <c r="R607" s="266"/>
      <c r="S607" s="266"/>
      <c r="T607" s="262"/>
      <c r="U607" s="266"/>
      <c r="V607" s="266"/>
    </row>
    <row r="608">
      <c r="B608" s="14"/>
      <c r="E608" s="262"/>
      <c r="F608" s="266"/>
      <c r="G608" s="266"/>
      <c r="H608" s="262"/>
      <c r="I608" s="266"/>
      <c r="J608" s="266"/>
      <c r="K608" s="262"/>
      <c r="L608" s="266"/>
      <c r="M608" s="266"/>
      <c r="N608" s="262"/>
      <c r="O608" s="266"/>
      <c r="P608" s="266"/>
      <c r="Q608" s="262"/>
      <c r="R608" s="266"/>
      <c r="S608" s="266"/>
      <c r="T608" s="262"/>
      <c r="U608" s="266"/>
      <c r="V608" s="266"/>
    </row>
    <row r="609">
      <c r="B609" s="14"/>
      <c r="E609" s="262"/>
      <c r="F609" s="266"/>
      <c r="G609" s="266"/>
      <c r="H609" s="262"/>
      <c r="I609" s="266"/>
      <c r="J609" s="266"/>
      <c r="K609" s="262"/>
      <c r="L609" s="266"/>
      <c r="M609" s="266"/>
      <c r="N609" s="262"/>
      <c r="O609" s="266"/>
      <c r="P609" s="266"/>
      <c r="Q609" s="262"/>
      <c r="R609" s="266"/>
      <c r="S609" s="266"/>
      <c r="T609" s="262"/>
      <c r="U609" s="266"/>
      <c r="V609" s="266"/>
    </row>
    <row r="610">
      <c r="B610" s="14"/>
      <c r="E610" s="262"/>
      <c r="F610" s="266"/>
      <c r="G610" s="266"/>
      <c r="H610" s="262"/>
      <c r="I610" s="266"/>
      <c r="J610" s="266"/>
      <c r="K610" s="262"/>
      <c r="L610" s="266"/>
      <c r="M610" s="266"/>
      <c r="N610" s="262"/>
      <c r="O610" s="266"/>
      <c r="P610" s="266"/>
      <c r="Q610" s="262"/>
      <c r="R610" s="266"/>
      <c r="S610" s="266"/>
      <c r="T610" s="262"/>
      <c r="U610" s="266"/>
      <c r="V610" s="266"/>
    </row>
    <row r="611">
      <c r="B611" s="14"/>
      <c r="E611" s="262"/>
      <c r="F611" s="266"/>
      <c r="G611" s="266"/>
      <c r="H611" s="262"/>
      <c r="I611" s="266"/>
      <c r="J611" s="266"/>
      <c r="K611" s="262"/>
      <c r="L611" s="266"/>
      <c r="M611" s="266"/>
      <c r="N611" s="262"/>
      <c r="O611" s="266"/>
      <c r="P611" s="266"/>
      <c r="Q611" s="262"/>
      <c r="R611" s="266"/>
      <c r="S611" s="266"/>
      <c r="T611" s="262"/>
      <c r="U611" s="266"/>
      <c r="V611" s="266"/>
    </row>
    <row r="612">
      <c r="B612" s="14"/>
      <c r="E612" s="262"/>
      <c r="F612" s="266"/>
      <c r="G612" s="266"/>
      <c r="H612" s="262"/>
      <c r="I612" s="266"/>
      <c r="J612" s="266"/>
      <c r="K612" s="262"/>
      <c r="L612" s="266"/>
      <c r="M612" s="266"/>
      <c r="N612" s="262"/>
      <c r="O612" s="266"/>
      <c r="P612" s="266"/>
      <c r="Q612" s="262"/>
      <c r="R612" s="266"/>
      <c r="S612" s="266"/>
      <c r="T612" s="262"/>
      <c r="U612" s="266"/>
      <c r="V612" s="266"/>
    </row>
    <row r="613">
      <c r="B613" s="14"/>
      <c r="E613" s="262"/>
      <c r="F613" s="266"/>
      <c r="G613" s="266"/>
      <c r="H613" s="262"/>
      <c r="I613" s="266"/>
      <c r="J613" s="266"/>
      <c r="K613" s="262"/>
      <c r="L613" s="266"/>
      <c r="M613" s="266"/>
      <c r="N613" s="262"/>
      <c r="O613" s="266"/>
      <c r="P613" s="266"/>
      <c r="Q613" s="262"/>
      <c r="R613" s="266"/>
      <c r="S613" s="266"/>
      <c r="T613" s="262"/>
      <c r="U613" s="266"/>
      <c r="V613" s="266"/>
    </row>
    <row r="614">
      <c r="B614" s="14"/>
      <c r="E614" s="262"/>
      <c r="F614" s="266"/>
      <c r="G614" s="266"/>
      <c r="H614" s="262"/>
      <c r="I614" s="266"/>
      <c r="J614" s="266"/>
      <c r="K614" s="262"/>
      <c r="L614" s="266"/>
      <c r="M614" s="266"/>
      <c r="N614" s="262"/>
      <c r="O614" s="266"/>
      <c r="P614" s="266"/>
      <c r="Q614" s="262"/>
      <c r="R614" s="266"/>
      <c r="S614" s="266"/>
      <c r="T614" s="262"/>
      <c r="U614" s="266"/>
      <c r="V614" s="266"/>
    </row>
    <row r="615">
      <c r="B615" s="14"/>
      <c r="E615" s="262"/>
      <c r="F615" s="266"/>
      <c r="G615" s="266"/>
      <c r="H615" s="262"/>
      <c r="I615" s="266"/>
      <c r="J615" s="266"/>
      <c r="K615" s="262"/>
      <c r="L615" s="266"/>
      <c r="M615" s="266"/>
      <c r="N615" s="262"/>
      <c r="O615" s="266"/>
      <c r="P615" s="266"/>
      <c r="Q615" s="262"/>
      <c r="R615" s="266"/>
      <c r="S615" s="266"/>
      <c r="T615" s="262"/>
      <c r="U615" s="266"/>
      <c r="V615" s="266"/>
    </row>
    <row r="616">
      <c r="B616" s="14"/>
      <c r="E616" s="262"/>
      <c r="F616" s="266"/>
      <c r="G616" s="266"/>
      <c r="H616" s="262"/>
      <c r="I616" s="266"/>
      <c r="J616" s="266"/>
      <c r="K616" s="262"/>
      <c r="L616" s="266"/>
      <c r="M616" s="266"/>
      <c r="N616" s="262"/>
      <c r="O616" s="266"/>
      <c r="P616" s="266"/>
      <c r="Q616" s="262"/>
      <c r="R616" s="266"/>
      <c r="S616" s="266"/>
      <c r="T616" s="262"/>
      <c r="U616" s="266"/>
      <c r="V616" s="266"/>
    </row>
    <row r="617">
      <c r="B617" s="14"/>
      <c r="E617" s="262"/>
      <c r="F617" s="266"/>
      <c r="G617" s="266"/>
      <c r="H617" s="262"/>
      <c r="I617" s="266"/>
      <c r="J617" s="266"/>
      <c r="K617" s="262"/>
      <c r="L617" s="266"/>
      <c r="M617" s="266"/>
      <c r="N617" s="262"/>
      <c r="O617" s="266"/>
      <c r="P617" s="266"/>
      <c r="Q617" s="262"/>
      <c r="R617" s="266"/>
      <c r="S617" s="266"/>
      <c r="T617" s="262"/>
      <c r="U617" s="266"/>
      <c r="V617" s="266"/>
    </row>
    <row r="618">
      <c r="B618" s="14"/>
      <c r="E618" s="262"/>
      <c r="F618" s="266"/>
      <c r="G618" s="266"/>
      <c r="H618" s="262"/>
      <c r="I618" s="266"/>
      <c r="J618" s="266"/>
      <c r="K618" s="262"/>
      <c r="L618" s="266"/>
      <c r="M618" s="266"/>
      <c r="N618" s="262"/>
      <c r="O618" s="266"/>
      <c r="P618" s="266"/>
      <c r="Q618" s="262"/>
      <c r="R618" s="266"/>
      <c r="S618" s="266"/>
      <c r="T618" s="262"/>
      <c r="U618" s="266"/>
      <c r="V618" s="266"/>
    </row>
    <row r="619">
      <c r="B619" s="14"/>
      <c r="E619" s="262"/>
      <c r="F619" s="266"/>
      <c r="G619" s="266"/>
      <c r="H619" s="262"/>
      <c r="I619" s="266"/>
      <c r="J619" s="266"/>
      <c r="K619" s="262"/>
      <c r="L619" s="266"/>
      <c r="M619" s="266"/>
      <c r="N619" s="262"/>
      <c r="O619" s="266"/>
      <c r="P619" s="266"/>
      <c r="Q619" s="262"/>
      <c r="R619" s="266"/>
      <c r="S619" s="266"/>
      <c r="T619" s="262"/>
      <c r="U619" s="266"/>
      <c r="V619" s="266"/>
    </row>
    <row r="620">
      <c r="B620" s="14"/>
      <c r="E620" s="262"/>
      <c r="F620" s="266"/>
      <c r="G620" s="266"/>
      <c r="H620" s="262"/>
      <c r="I620" s="266"/>
      <c r="J620" s="266"/>
      <c r="K620" s="262"/>
      <c r="L620" s="266"/>
      <c r="M620" s="266"/>
      <c r="N620" s="262"/>
      <c r="O620" s="266"/>
      <c r="P620" s="266"/>
      <c r="Q620" s="262"/>
      <c r="R620" s="266"/>
      <c r="S620" s="266"/>
      <c r="T620" s="262"/>
      <c r="U620" s="266"/>
      <c r="V620" s="266"/>
    </row>
    <row r="621">
      <c r="B621" s="14"/>
      <c r="E621" s="262"/>
      <c r="F621" s="266"/>
      <c r="G621" s="266"/>
      <c r="H621" s="262"/>
      <c r="I621" s="266"/>
      <c r="J621" s="266"/>
      <c r="K621" s="262"/>
      <c r="L621" s="266"/>
      <c r="M621" s="266"/>
      <c r="N621" s="262"/>
      <c r="O621" s="266"/>
      <c r="P621" s="266"/>
      <c r="Q621" s="262"/>
      <c r="R621" s="266"/>
      <c r="S621" s="266"/>
      <c r="T621" s="262"/>
      <c r="U621" s="266"/>
      <c r="V621" s="266"/>
    </row>
    <row r="622">
      <c r="B622" s="14"/>
      <c r="E622" s="262"/>
      <c r="F622" s="266"/>
      <c r="G622" s="266"/>
      <c r="H622" s="262"/>
      <c r="I622" s="266"/>
      <c r="J622" s="266"/>
      <c r="K622" s="262"/>
      <c r="L622" s="266"/>
      <c r="M622" s="266"/>
      <c r="N622" s="262"/>
      <c r="O622" s="266"/>
      <c r="P622" s="266"/>
      <c r="Q622" s="262"/>
      <c r="R622" s="266"/>
      <c r="S622" s="266"/>
      <c r="T622" s="262"/>
      <c r="U622" s="266"/>
      <c r="V622" s="266"/>
    </row>
    <row r="623">
      <c r="B623" s="14"/>
      <c r="E623" s="262"/>
      <c r="F623" s="266"/>
      <c r="G623" s="266"/>
      <c r="H623" s="262"/>
      <c r="I623" s="266"/>
      <c r="J623" s="266"/>
      <c r="K623" s="262"/>
      <c r="L623" s="266"/>
      <c r="M623" s="266"/>
      <c r="N623" s="262"/>
      <c r="O623" s="266"/>
      <c r="P623" s="266"/>
      <c r="Q623" s="262"/>
      <c r="R623" s="266"/>
      <c r="S623" s="266"/>
      <c r="T623" s="262"/>
      <c r="U623" s="266"/>
      <c r="V623" s="266"/>
    </row>
    <row r="624">
      <c r="B624" s="14"/>
      <c r="E624" s="262"/>
      <c r="F624" s="266"/>
      <c r="G624" s="266"/>
      <c r="H624" s="262"/>
      <c r="I624" s="266"/>
      <c r="J624" s="266"/>
      <c r="K624" s="262"/>
      <c r="L624" s="266"/>
      <c r="M624" s="266"/>
      <c r="N624" s="262"/>
      <c r="O624" s="266"/>
      <c r="P624" s="266"/>
      <c r="Q624" s="262"/>
      <c r="R624" s="266"/>
      <c r="S624" s="266"/>
      <c r="T624" s="262"/>
      <c r="U624" s="266"/>
      <c r="V624" s="266"/>
    </row>
    <row r="625">
      <c r="B625" s="14"/>
      <c r="E625" s="262"/>
      <c r="F625" s="266"/>
      <c r="G625" s="266"/>
      <c r="H625" s="262"/>
      <c r="I625" s="266"/>
      <c r="J625" s="266"/>
      <c r="K625" s="262"/>
      <c r="L625" s="266"/>
      <c r="M625" s="266"/>
      <c r="N625" s="262"/>
      <c r="O625" s="266"/>
      <c r="P625" s="266"/>
      <c r="Q625" s="262"/>
      <c r="R625" s="266"/>
      <c r="S625" s="266"/>
      <c r="T625" s="262"/>
      <c r="U625" s="266"/>
      <c r="V625" s="266"/>
    </row>
    <row r="626">
      <c r="B626" s="14"/>
      <c r="E626" s="262"/>
      <c r="F626" s="266"/>
      <c r="G626" s="266"/>
      <c r="H626" s="262"/>
      <c r="I626" s="266"/>
      <c r="J626" s="266"/>
      <c r="K626" s="262"/>
      <c r="L626" s="266"/>
      <c r="M626" s="266"/>
      <c r="N626" s="262"/>
      <c r="O626" s="266"/>
      <c r="P626" s="266"/>
      <c r="Q626" s="262"/>
      <c r="R626" s="266"/>
      <c r="S626" s="266"/>
      <c r="T626" s="262"/>
      <c r="U626" s="266"/>
      <c r="V626" s="266"/>
    </row>
    <row r="627">
      <c r="B627" s="14"/>
      <c r="E627" s="262"/>
      <c r="F627" s="266"/>
      <c r="G627" s="266"/>
      <c r="H627" s="262"/>
      <c r="I627" s="266"/>
      <c r="J627" s="266"/>
      <c r="K627" s="262"/>
      <c r="L627" s="266"/>
      <c r="M627" s="266"/>
      <c r="N627" s="262"/>
      <c r="O627" s="266"/>
      <c r="P627" s="266"/>
      <c r="Q627" s="262"/>
      <c r="R627" s="266"/>
      <c r="S627" s="266"/>
      <c r="T627" s="262"/>
      <c r="U627" s="266"/>
      <c r="V627" s="266"/>
    </row>
    <row r="628">
      <c r="B628" s="14"/>
      <c r="E628" s="262"/>
      <c r="F628" s="266"/>
      <c r="G628" s="266"/>
      <c r="H628" s="262"/>
      <c r="I628" s="266"/>
      <c r="J628" s="266"/>
      <c r="K628" s="262"/>
      <c r="L628" s="266"/>
      <c r="M628" s="266"/>
      <c r="N628" s="262"/>
      <c r="O628" s="266"/>
      <c r="P628" s="266"/>
      <c r="Q628" s="262"/>
      <c r="R628" s="266"/>
      <c r="S628" s="266"/>
      <c r="T628" s="262"/>
      <c r="U628" s="266"/>
      <c r="V628" s="266"/>
    </row>
    <row r="629">
      <c r="B629" s="14"/>
      <c r="E629" s="262"/>
      <c r="F629" s="266"/>
      <c r="G629" s="266"/>
      <c r="H629" s="262"/>
      <c r="I629" s="266"/>
      <c r="J629" s="266"/>
      <c r="K629" s="262"/>
      <c r="L629" s="266"/>
      <c r="M629" s="266"/>
      <c r="N629" s="262"/>
      <c r="O629" s="266"/>
      <c r="P629" s="266"/>
      <c r="Q629" s="262"/>
      <c r="R629" s="266"/>
      <c r="S629" s="266"/>
      <c r="T629" s="262"/>
      <c r="U629" s="266"/>
      <c r="V629" s="266"/>
    </row>
    <row r="630">
      <c r="B630" s="14"/>
      <c r="E630" s="262"/>
      <c r="F630" s="266"/>
      <c r="G630" s="266"/>
      <c r="H630" s="262"/>
      <c r="I630" s="266"/>
      <c r="J630" s="266"/>
      <c r="K630" s="262"/>
      <c r="L630" s="266"/>
      <c r="M630" s="266"/>
      <c r="N630" s="262"/>
      <c r="O630" s="266"/>
      <c r="P630" s="266"/>
      <c r="Q630" s="262"/>
      <c r="R630" s="266"/>
      <c r="S630" s="266"/>
      <c r="T630" s="262"/>
      <c r="U630" s="266"/>
      <c r="V630" s="266"/>
    </row>
    <row r="631">
      <c r="B631" s="14"/>
      <c r="E631" s="262"/>
      <c r="F631" s="266"/>
      <c r="G631" s="266"/>
      <c r="H631" s="262"/>
      <c r="I631" s="266"/>
      <c r="J631" s="266"/>
      <c r="K631" s="262"/>
      <c r="L631" s="266"/>
      <c r="M631" s="266"/>
      <c r="N631" s="262"/>
      <c r="O631" s="266"/>
      <c r="P631" s="266"/>
      <c r="Q631" s="262"/>
      <c r="R631" s="266"/>
      <c r="S631" s="266"/>
      <c r="T631" s="262"/>
      <c r="U631" s="266"/>
      <c r="V631" s="266"/>
    </row>
    <row r="632">
      <c r="B632" s="14"/>
      <c r="E632" s="262"/>
      <c r="F632" s="266"/>
      <c r="G632" s="266"/>
      <c r="H632" s="262"/>
      <c r="I632" s="266"/>
      <c r="J632" s="266"/>
      <c r="K632" s="262"/>
      <c r="L632" s="266"/>
      <c r="M632" s="266"/>
      <c r="N632" s="262"/>
      <c r="O632" s="266"/>
      <c r="P632" s="266"/>
      <c r="Q632" s="262"/>
      <c r="R632" s="266"/>
      <c r="S632" s="266"/>
      <c r="T632" s="262"/>
      <c r="U632" s="266"/>
      <c r="V632" s="266"/>
    </row>
    <row r="633">
      <c r="B633" s="14"/>
      <c r="E633" s="262"/>
      <c r="F633" s="266"/>
      <c r="G633" s="266"/>
      <c r="H633" s="262"/>
      <c r="I633" s="266"/>
      <c r="J633" s="266"/>
      <c r="K633" s="262"/>
      <c r="L633" s="266"/>
      <c r="M633" s="266"/>
      <c r="N633" s="262"/>
      <c r="O633" s="266"/>
      <c r="P633" s="266"/>
      <c r="Q633" s="262"/>
      <c r="R633" s="266"/>
      <c r="S633" s="266"/>
      <c r="T633" s="262"/>
      <c r="U633" s="266"/>
      <c r="V633" s="266"/>
    </row>
    <row r="634">
      <c r="B634" s="14"/>
      <c r="E634" s="262"/>
      <c r="F634" s="266"/>
      <c r="G634" s="266"/>
      <c r="H634" s="262"/>
      <c r="I634" s="266"/>
      <c r="J634" s="266"/>
      <c r="K634" s="262"/>
      <c r="L634" s="266"/>
      <c r="M634" s="266"/>
      <c r="N634" s="262"/>
      <c r="O634" s="266"/>
      <c r="P634" s="266"/>
      <c r="Q634" s="262"/>
      <c r="R634" s="266"/>
      <c r="S634" s="266"/>
      <c r="T634" s="262"/>
      <c r="U634" s="266"/>
      <c r="V634" s="266"/>
    </row>
    <row r="635">
      <c r="B635" s="14"/>
      <c r="E635" s="262"/>
      <c r="F635" s="266"/>
      <c r="G635" s="266"/>
      <c r="H635" s="262"/>
      <c r="I635" s="266"/>
      <c r="J635" s="266"/>
      <c r="K635" s="262"/>
      <c r="L635" s="266"/>
      <c r="M635" s="266"/>
      <c r="N635" s="262"/>
      <c r="O635" s="266"/>
      <c r="P635" s="266"/>
      <c r="Q635" s="262"/>
      <c r="R635" s="266"/>
      <c r="S635" s="266"/>
      <c r="T635" s="262"/>
      <c r="U635" s="266"/>
      <c r="V635" s="266"/>
    </row>
    <row r="636">
      <c r="B636" s="14"/>
      <c r="E636" s="262"/>
      <c r="F636" s="266"/>
      <c r="G636" s="266"/>
      <c r="H636" s="262"/>
      <c r="I636" s="266"/>
      <c r="J636" s="266"/>
      <c r="K636" s="262"/>
      <c r="L636" s="266"/>
      <c r="M636" s="266"/>
      <c r="N636" s="262"/>
      <c r="O636" s="266"/>
      <c r="P636" s="266"/>
      <c r="Q636" s="262"/>
      <c r="R636" s="266"/>
      <c r="S636" s="266"/>
      <c r="T636" s="262"/>
      <c r="U636" s="266"/>
      <c r="V636" s="266"/>
    </row>
    <row r="637">
      <c r="B637" s="14"/>
      <c r="E637" s="262"/>
      <c r="F637" s="266"/>
      <c r="G637" s="266"/>
      <c r="H637" s="262"/>
      <c r="I637" s="266"/>
      <c r="J637" s="266"/>
      <c r="K637" s="262"/>
      <c r="L637" s="266"/>
      <c r="M637" s="266"/>
      <c r="N637" s="262"/>
      <c r="O637" s="266"/>
      <c r="P637" s="266"/>
      <c r="Q637" s="262"/>
      <c r="R637" s="266"/>
      <c r="S637" s="266"/>
      <c r="T637" s="262"/>
      <c r="U637" s="266"/>
      <c r="V637" s="266"/>
    </row>
    <row r="638">
      <c r="B638" s="14"/>
      <c r="E638" s="262"/>
      <c r="F638" s="266"/>
      <c r="G638" s="266"/>
      <c r="H638" s="262"/>
      <c r="I638" s="266"/>
      <c r="J638" s="266"/>
      <c r="K638" s="262"/>
      <c r="L638" s="266"/>
      <c r="M638" s="266"/>
      <c r="N638" s="262"/>
      <c r="O638" s="266"/>
      <c r="P638" s="266"/>
      <c r="Q638" s="262"/>
      <c r="R638" s="266"/>
      <c r="S638" s="266"/>
      <c r="T638" s="262"/>
      <c r="U638" s="266"/>
      <c r="V638" s="266"/>
    </row>
    <row r="639">
      <c r="B639" s="14"/>
      <c r="E639" s="262"/>
      <c r="F639" s="266"/>
      <c r="G639" s="266"/>
      <c r="H639" s="262"/>
      <c r="I639" s="266"/>
      <c r="J639" s="266"/>
      <c r="K639" s="262"/>
      <c r="L639" s="266"/>
      <c r="M639" s="266"/>
      <c r="N639" s="262"/>
      <c r="O639" s="266"/>
      <c r="P639" s="266"/>
      <c r="Q639" s="262"/>
      <c r="R639" s="266"/>
      <c r="S639" s="266"/>
      <c r="T639" s="262"/>
      <c r="U639" s="266"/>
      <c r="V639" s="266"/>
    </row>
    <row r="640">
      <c r="B640" s="14"/>
      <c r="E640" s="262"/>
      <c r="F640" s="266"/>
      <c r="G640" s="266"/>
      <c r="H640" s="262"/>
      <c r="I640" s="266"/>
      <c r="J640" s="266"/>
      <c r="K640" s="262"/>
      <c r="L640" s="266"/>
      <c r="M640" s="266"/>
      <c r="N640" s="262"/>
      <c r="O640" s="266"/>
      <c r="P640" s="266"/>
      <c r="Q640" s="262"/>
      <c r="R640" s="266"/>
      <c r="S640" s="266"/>
      <c r="T640" s="262"/>
      <c r="U640" s="266"/>
      <c r="V640" s="266"/>
    </row>
    <row r="641">
      <c r="B641" s="14"/>
      <c r="E641" s="262"/>
      <c r="F641" s="266"/>
      <c r="G641" s="266"/>
      <c r="H641" s="262"/>
      <c r="I641" s="266"/>
      <c r="J641" s="266"/>
      <c r="K641" s="262"/>
      <c r="L641" s="266"/>
      <c r="M641" s="266"/>
      <c r="N641" s="262"/>
      <c r="O641" s="266"/>
      <c r="P641" s="266"/>
      <c r="Q641" s="262"/>
      <c r="R641" s="266"/>
      <c r="S641" s="266"/>
      <c r="T641" s="262"/>
      <c r="U641" s="266"/>
      <c r="V641" s="266"/>
    </row>
    <row r="642">
      <c r="B642" s="14"/>
      <c r="E642" s="262"/>
      <c r="F642" s="266"/>
      <c r="G642" s="266"/>
      <c r="H642" s="262"/>
      <c r="I642" s="266"/>
      <c r="J642" s="266"/>
      <c r="K642" s="262"/>
      <c r="L642" s="266"/>
      <c r="M642" s="266"/>
      <c r="N642" s="262"/>
      <c r="O642" s="266"/>
      <c r="P642" s="266"/>
      <c r="Q642" s="262"/>
      <c r="R642" s="266"/>
      <c r="S642" s="266"/>
      <c r="T642" s="262"/>
      <c r="U642" s="266"/>
      <c r="V642" s="266"/>
    </row>
    <row r="643">
      <c r="B643" s="14"/>
      <c r="E643" s="262"/>
      <c r="F643" s="266"/>
      <c r="G643" s="266"/>
      <c r="H643" s="262"/>
      <c r="I643" s="266"/>
      <c r="J643" s="266"/>
      <c r="K643" s="262"/>
      <c r="L643" s="266"/>
      <c r="M643" s="266"/>
      <c r="N643" s="262"/>
      <c r="O643" s="266"/>
      <c r="P643" s="266"/>
      <c r="Q643" s="262"/>
      <c r="R643" s="266"/>
      <c r="S643" s="266"/>
      <c r="T643" s="262"/>
      <c r="U643" s="266"/>
      <c r="V643" s="266"/>
    </row>
    <row r="644">
      <c r="B644" s="14"/>
      <c r="E644" s="262"/>
      <c r="F644" s="266"/>
      <c r="G644" s="266"/>
      <c r="H644" s="262"/>
      <c r="I644" s="266"/>
      <c r="J644" s="266"/>
      <c r="K644" s="262"/>
      <c r="L644" s="266"/>
      <c r="M644" s="266"/>
      <c r="N644" s="262"/>
      <c r="O644" s="266"/>
      <c r="P644" s="266"/>
      <c r="Q644" s="262"/>
      <c r="R644" s="266"/>
      <c r="S644" s="266"/>
      <c r="T644" s="262"/>
      <c r="U644" s="266"/>
      <c r="V644" s="266"/>
    </row>
    <row r="645">
      <c r="B645" s="14"/>
      <c r="E645" s="262"/>
      <c r="F645" s="266"/>
      <c r="G645" s="266"/>
      <c r="H645" s="262"/>
      <c r="I645" s="266"/>
      <c r="J645" s="266"/>
      <c r="K645" s="262"/>
      <c r="L645" s="266"/>
      <c r="M645" s="266"/>
      <c r="N645" s="262"/>
      <c r="O645" s="266"/>
      <c r="P645" s="266"/>
      <c r="Q645" s="262"/>
      <c r="R645" s="266"/>
      <c r="S645" s="266"/>
      <c r="T645" s="262"/>
      <c r="U645" s="266"/>
      <c r="V645" s="266"/>
    </row>
    <row r="646">
      <c r="B646" s="14"/>
      <c r="E646" s="262"/>
      <c r="F646" s="266"/>
      <c r="G646" s="266"/>
      <c r="H646" s="262"/>
      <c r="I646" s="266"/>
      <c r="J646" s="266"/>
      <c r="K646" s="262"/>
      <c r="L646" s="266"/>
      <c r="M646" s="266"/>
      <c r="N646" s="262"/>
      <c r="O646" s="266"/>
      <c r="P646" s="266"/>
      <c r="Q646" s="262"/>
      <c r="R646" s="266"/>
      <c r="S646" s="266"/>
      <c r="T646" s="262"/>
      <c r="U646" s="266"/>
      <c r="V646" s="266"/>
    </row>
    <row r="647">
      <c r="B647" s="14"/>
      <c r="E647" s="262"/>
      <c r="F647" s="266"/>
      <c r="G647" s="266"/>
      <c r="H647" s="262"/>
      <c r="I647" s="266"/>
      <c r="J647" s="266"/>
      <c r="K647" s="262"/>
      <c r="L647" s="266"/>
      <c r="M647" s="266"/>
      <c r="N647" s="262"/>
      <c r="O647" s="266"/>
      <c r="P647" s="266"/>
      <c r="Q647" s="262"/>
      <c r="R647" s="266"/>
      <c r="S647" s="266"/>
      <c r="T647" s="262"/>
      <c r="U647" s="266"/>
      <c r="V647" s="266"/>
    </row>
    <row r="648">
      <c r="B648" s="14"/>
      <c r="E648" s="262"/>
      <c r="F648" s="266"/>
      <c r="G648" s="266"/>
      <c r="H648" s="262"/>
      <c r="I648" s="266"/>
      <c r="J648" s="266"/>
      <c r="K648" s="262"/>
      <c r="L648" s="266"/>
      <c r="M648" s="266"/>
      <c r="N648" s="262"/>
      <c r="O648" s="266"/>
      <c r="P648" s="266"/>
      <c r="Q648" s="262"/>
      <c r="R648" s="266"/>
      <c r="S648" s="266"/>
      <c r="T648" s="262"/>
      <c r="U648" s="266"/>
      <c r="V648" s="266"/>
    </row>
    <row r="649">
      <c r="B649" s="14"/>
      <c r="E649" s="262"/>
      <c r="F649" s="266"/>
      <c r="G649" s="266"/>
      <c r="H649" s="262"/>
      <c r="I649" s="266"/>
      <c r="J649" s="266"/>
      <c r="K649" s="262"/>
      <c r="L649" s="266"/>
      <c r="M649" s="266"/>
      <c r="N649" s="262"/>
      <c r="O649" s="266"/>
      <c r="P649" s="266"/>
      <c r="Q649" s="262"/>
      <c r="R649" s="266"/>
      <c r="S649" s="266"/>
      <c r="T649" s="262"/>
      <c r="U649" s="266"/>
      <c r="V649" s="266"/>
    </row>
    <row r="650">
      <c r="B650" s="14"/>
      <c r="E650" s="262"/>
      <c r="F650" s="266"/>
      <c r="G650" s="266"/>
      <c r="H650" s="262"/>
      <c r="I650" s="266"/>
      <c r="J650" s="266"/>
      <c r="K650" s="262"/>
      <c r="L650" s="266"/>
      <c r="M650" s="266"/>
      <c r="N650" s="262"/>
      <c r="O650" s="266"/>
      <c r="P650" s="266"/>
      <c r="Q650" s="262"/>
      <c r="R650" s="266"/>
      <c r="S650" s="266"/>
      <c r="T650" s="262"/>
      <c r="U650" s="266"/>
      <c r="V650" s="266"/>
    </row>
    <row r="651">
      <c r="B651" s="14"/>
      <c r="E651" s="262"/>
      <c r="F651" s="266"/>
      <c r="G651" s="266"/>
      <c r="H651" s="262"/>
      <c r="I651" s="266"/>
      <c r="J651" s="266"/>
      <c r="K651" s="262"/>
      <c r="L651" s="266"/>
      <c r="M651" s="266"/>
      <c r="N651" s="262"/>
      <c r="O651" s="266"/>
      <c r="P651" s="266"/>
      <c r="Q651" s="262"/>
      <c r="R651" s="266"/>
      <c r="S651" s="266"/>
      <c r="T651" s="262"/>
      <c r="U651" s="266"/>
      <c r="V651" s="266"/>
    </row>
    <row r="652">
      <c r="B652" s="14"/>
      <c r="E652" s="262"/>
      <c r="F652" s="266"/>
      <c r="G652" s="266"/>
      <c r="H652" s="262"/>
      <c r="I652" s="266"/>
      <c r="J652" s="266"/>
      <c r="K652" s="262"/>
      <c r="L652" s="266"/>
      <c r="M652" s="266"/>
      <c r="N652" s="262"/>
      <c r="O652" s="266"/>
      <c r="P652" s="266"/>
      <c r="Q652" s="262"/>
      <c r="R652" s="266"/>
      <c r="S652" s="266"/>
      <c r="T652" s="262"/>
      <c r="U652" s="266"/>
      <c r="V652" s="266"/>
    </row>
    <row r="653">
      <c r="B653" s="14"/>
      <c r="E653" s="262"/>
      <c r="F653" s="266"/>
      <c r="G653" s="266"/>
      <c r="H653" s="262"/>
      <c r="I653" s="266"/>
      <c r="J653" s="266"/>
      <c r="K653" s="262"/>
      <c r="L653" s="266"/>
      <c r="M653" s="266"/>
      <c r="N653" s="262"/>
      <c r="O653" s="266"/>
      <c r="P653" s="266"/>
      <c r="Q653" s="262"/>
      <c r="R653" s="266"/>
      <c r="S653" s="266"/>
      <c r="T653" s="262"/>
      <c r="U653" s="266"/>
      <c r="V653" s="266"/>
    </row>
    <row r="654">
      <c r="B654" s="14"/>
      <c r="E654" s="262"/>
      <c r="F654" s="266"/>
      <c r="G654" s="266"/>
      <c r="H654" s="262"/>
      <c r="I654" s="266"/>
      <c r="J654" s="266"/>
      <c r="K654" s="262"/>
      <c r="L654" s="266"/>
      <c r="M654" s="266"/>
      <c r="N654" s="262"/>
      <c r="O654" s="266"/>
      <c r="P654" s="266"/>
      <c r="Q654" s="262"/>
      <c r="R654" s="266"/>
      <c r="S654" s="266"/>
      <c r="T654" s="262"/>
      <c r="U654" s="266"/>
      <c r="V654" s="266"/>
    </row>
    <row r="655">
      <c r="B655" s="14"/>
      <c r="E655" s="262"/>
      <c r="F655" s="266"/>
      <c r="G655" s="266"/>
      <c r="H655" s="262"/>
      <c r="I655" s="266"/>
      <c r="J655" s="266"/>
      <c r="K655" s="262"/>
      <c r="L655" s="266"/>
      <c r="M655" s="266"/>
      <c r="N655" s="262"/>
      <c r="O655" s="266"/>
      <c r="P655" s="266"/>
      <c r="Q655" s="262"/>
      <c r="R655" s="266"/>
      <c r="S655" s="266"/>
      <c r="T655" s="262"/>
      <c r="U655" s="266"/>
      <c r="V655" s="266"/>
    </row>
    <row r="656">
      <c r="B656" s="14"/>
      <c r="E656" s="262"/>
      <c r="F656" s="266"/>
      <c r="G656" s="266"/>
      <c r="H656" s="262"/>
      <c r="I656" s="266"/>
      <c r="J656" s="266"/>
      <c r="K656" s="262"/>
      <c r="L656" s="266"/>
      <c r="M656" s="266"/>
      <c r="N656" s="262"/>
      <c r="O656" s="266"/>
      <c r="P656" s="266"/>
      <c r="Q656" s="262"/>
      <c r="R656" s="266"/>
      <c r="S656" s="266"/>
      <c r="T656" s="262"/>
      <c r="U656" s="266"/>
      <c r="V656" s="266"/>
    </row>
    <row r="657">
      <c r="B657" s="14"/>
      <c r="E657" s="262"/>
      <c r="F657" s="266"/>
      <c r="G657" s="266"/>
      <c r="H657" s="262"/>
      <c r="I657" s="266"/>
      <c r="J657" s="266"/>
      <c r="K657" s="262"/>
      <c r="L657" s="266"/>
      <c r="M657" s="266"/>
      <c r="N657" s="262"/>
      <c r="O657" s="266"/>
      <c r="P657" s="266"/>
      <c r="Q657" s="262"/>
      <c r="R657" s="266"/>
      <c r="S657" s="266"/>
      <c r="T657" s="262"/>
      <c r="U657" s="266"/>
      <c r="V657" s="266"/>
    </row>
    <row r="658">
      <c r="B658" s="14"/>
      <c r="E658" s="262"/>
      <c r="F658" s="266"/>
      <c r="G658" s="266"/>
      <c r="H658" s="262"/>
      <c r="I658" s="266"/>
      <c r="J658" s="266"/>
      <c r="K658" s="262"/>
      <c r="L658" s="266"/>
      <c r="M658" s="266"/>
      <c r="N658" s="262"/>
      <c r="O658" s="266"/>
      <c r="P658" s="266"/>
      <c r="Q658" s="262"/>
      <c r="R658" s="266"/>
      <c r="S658" s="266"/>
      <c r="T658" s="262"/>
      <c r="U658" s="266"/>
      <c r="V658" s="266"/>
    </row>
    <row r="659">
      <c r="B659" s="14"/>
      <c r="E659" s="262"/>
      <c r="F659" s="266"/>
      <c r="G659" s="266"/>
      <c r="H659" s="262"/>
      <c r="I659" s="266"/>
      <c r="J659" s="266"/>
      <c r="K659" s="262"/>
      <c r="L659" s="266"/>
      <c r="M659" s="266"/>
      <c r="N659" s="262"/>
      <c r="O659" s="266"/>
      <c r="P659" s="266"/>
      <c r="Q659" s="262"/>
      <c r="R659" s="266"/>
      <c r="S659" s="266"/>
      <c r="T659" s="262"/>
      <c r="U659" s="266"/>
      <c r="V659" s="266"/>
    </row>
    <row r="660">
      <c r="B660" s="14"/>
      <c r="E660" s="262"/>
      <c r="F660" s="266"/>
      <c r="G660" s="266"/>
      <c r="H660" s="262"/>
      <c r="I660" s="266"/>
      <c r="J660" s="266"/>
      <c r="K660" s="262"/>
      <c r="L660" s="266"/>
      <c r="M660" s="266"/>
      <c r="N660" s="262"/>
      <c r="O660" s="266"/>
      <c r="P660" s="266"/>
      <c r="Q660" s="262"/>
      <c r="R660" s="266"/>
      <c r="S660" s="266"/>
      <c r="T660" s="262"/>
      <c r="U660" s="266"/>
      <c r="V660" s="266"/>
    </row>
    <row r="661">
      <c r="B661" s="14"/>
      <c r="E661" s="262"/>
      <c r="F661" s="266"/>
      <c r="G661" s="266"/>
      <c r="H661" s="262"/>
      <c r="I661" s="266"/>
      <c r="J661" s="266"/>
      <c r="K661" s="262"/>
      <c r="L661" s="266"/>
      <c r="M661" s="266"/>
      <c r="N661" s="262"/>
      <c r="O661" s="266"/>
      <c r="P661" s="266"/>
      <c r="Q661" s="262"/>
      <c r="R661" s="266"/>
      <c r="S661" s="266"/>
      <c r="T661" s="262"/>
      <c r="U661" s="266"/>
      <c r="V661" s="266"/>
    </row>
    <row r="662">
      <c r="B662" s="14"/>
      <c r="E662" s="262"/>
      <c r="F662" s="266"/>
      <c r="G662" s="266"/>
      <c r="H662" s="262"/>
      <c r="I662" s="266"/>
      <c r="J662" s="266"/>
      <c r="K662" s="262"/>
      <c r="L662" s="266"/>
      <c r="M662" s="266"/>
      <c r="N662" s="262"/>
      <c r="O662" s="266"/>
      <c r="P662" s="266"/>
      <c r="Q662" s="262"/>
      <c r="R662" s="266"/>
      <c r="S662" s="266"/>
      <c r="T662" s="262"/>
      <c r="U662" s="266"/>
      <c r="V662" s="266"/>
    </row>
    <row r="663">
      <c r="B663" s="14"/>
      <c r="E663" s="262"/>
      <c r="F663" s="266"/>
      <c r="G663" s="266"/>
      <c r="H663" s="262"/>
      <c r="I663" s="266"/>
      <c r="J663" s="266"/>
      <c r="K663" s="262"/>
      <c r="L663" s="266"/>
      <c r="M663" s="266"/>
      <c r="N663" s="262"/>
      <c r="O663" s="266"/>
      <c r="P663" s="266"/>
      <c r="Q663" s="262"/>
      <c r="R663" s="266"/>
      <c r="S663" s="266"/>
      <c r="T663" s="262"/>
      <c r="U663" s="266"/>
      <c r="V663" s="266"/>
    </row>
    <row r="664">
      <c r="B664" s="14"/>
      <c r="E664" s="262"/>
      <c r="F664" s="266"/>
      <c r="G664" s="266"/>
      <c r="H664" s="262"/>
      <c r="I664" s="266"/>
      <c r="J664" s="266"/>
      <c r="K664" s="262"/>
      <c r="L664" s="266"/>
      <c r="M664" s="266"/>
      <c r="N664" s="262"/>
      <c r="O664" s="266"/>
      <c r="P664" s="266"/>
      <c r="Q664" s="262"/>
      <c r="R664" s="266"/>
      <c r="S664" s="266"/>
      <c r="T664" s="262"/>
      <c r="U664" s="266"/>
      <c r="V664" s="266"/>
    </row>
    <row r="665">
      <c r="B665" s="14"/>
      <c r="E665" s="262"/>
      <c r="F665" s="266"/>
      <c r="G665" s="266"/>
      <c r="H665" s="262"/>
      <c r="I665" s="266"/>
      <c r="J665" s="266"/>
      <c r="K665" s="262"/>
      <c r="L665" s="266"/>
      <c r="M665" s="266"/>
      <c r="N665" s="262"/>
      <c r="O665" s="266"/>
      <c r="P665" s="266"/>
      <c r="Q665" s="262"/>
      <c r="R665" s="266"/>
      <c r="S665" s="266"/>
      <c r="T665" s="262"/>
      <c r="U665" s="266"/>
      <c r="V665" s="266"/>
    </row>
    <row r="666">
      <c r="B666" s="14"/>
      <c r="E666" s="262"/>
      <c r="F666" s="266"/>
      <c r="G666" s="266"/>
      <c r="H666" s="262"/>
      <c r="I666" s="266"/>
      <c r="J666" s="266"/>
      <c r="K666" s="262"/>
      <c r="L666" s="266"/>
      <c r="M666" s="266"/>
      <c r="N666" s="262"/>
      <c r="O666" s="266"/>
      <c r="P666" s="266"/>
      <c r="Q666" s="262"/>
      <c r="R666" s="266"/>
      <c r="S666" s="266"/>
      <c r="T666" s="262"/>
      <c r="U666" s="266"/>
      <c r="V666" s="266"/>
    </row>
    <row r="667">
      <c r="B667" s="14"/>
      <c r="E667" s="262"/>
      <c r="F667" s="266"/>
      <c r="G667" s="266"/>
      <c r="H667" s="262"/>
      <c r="I667" s="266"/>
      <c r="J667" s="266"/>
      <c r="K667" s="262"/>
      <c r="L667" s="266"/>
      <c r="M667" s="266"/>
      <c r="N667" s="262"/>
      <c r="O667" s="266"/>
      <c r="P667" s="266"/>
      <c r="Q667" s="262"/>
      <c r="R667" s="266"/>
      <c r="S667" s="266"/>
      <c r="T667" s="262"/>
      <c r="U667" s="266"/>
      <c r="V667" s="266"/>
    </row>
    <row r="668">
      <c r="B668" s="14"/>
      <c r="E668" s="262"/>
      <c r="F668" s="266"/>
      <c r="G668" s="266"/>
      <c r="H668" s="262"/>
      <c r="I668" s="266"/>
      <c r="J668" s="266"/>
      <c r="K668" s="262"/>
      <c r="L668" s="266"/>
      <c r="M668" s="266"/>
      <c r="N668" s="262"/>
      <c r="O668" s="266"/>
      <c r="P668" s="266"/>
      <c r="Q668" s="262"/>
      <c r="R668" s="266"/>
      <c r="S668" s="266"/>
      <c r="T668" s="262"/>
      <c r="U668" s="266"/>
      <c r="V668" s="266"/>
    </row>
    <row r="669">
      <c r="B669" s="14"/>
      <c r="E669" s="262"/>
      <c r="F669" s="266"/>
      <c r="G669" s="266"/>
      <c r="H669" s="262"/>
      <c r="I669" s="266"/>
      <c r="J669" s="266"/>
      <c r="K669" s="262"/>
      <c r="L669" s="266"/>
      <c r="M669" s="266"/>
      <c r="N669" s="262"/>
      <c r="O669" s="266"/>
      <c r="P669" s="266"/>
      <c r="Q669" s="262"/>
      <c r="R669" s="266"/>
      <c r="S669" s="266"/>
      <c r="T669" s="262"/>
      <c r="U669" s="266"/>
      <c r="V669" s="266"/>
    </row>
    <row r="670">
      <c r="B670" s="14"/>
      <c r="E670" s="262"/>
      <c r="F670" s="266"/>
      <c r="G670" s="266"/>
      <c r="H670" s="262"/>
      <c r="I670" s="266"/>
      <c r="J670" s="266"/>
      <c r="K670" s="262"/>
      <c r="L670" s="266"/>
      <c r="M670" s="266"/>
      <c r="N670" s="262"/>
      <c r="O670" s="266"/>
      <c r="P670" s="266"/>
      <c r="Q670" s="262"/>
      <c r="R670" s="266"/>
      <c r="S670" s="266"/>
      <c r="T670" s="262"/>
      <c r="U670" s="266"/>
      <c r="V670" s="266"/>
    </row>
    <row r="671">
      <c r="B671" s="14"/>
      <c r="E671" s="262"/>
      <c r="F671" s="266"/>
      <c r="G671" s="266"/>
      <c r="H671" s="262"/>
      <c r="I671" s="266"/>
      <c r="J671" s="266"/>
      <c r="K671" s="262"/>
      <c r="L671" s="266"/>
      <c r="M671" s="266"/>
      <c r="N671" s="262"/>
      <c r="O671" s="266"/>
      <c r="P671" s="266"/>
      <c r="Q671" s="262"/>
      <c r="R671" s="266"/>
      <c r="S671" s="266"/>
      <c r="T671" s="262"/>
      <c r="U671" s="266"/>
      <c r="V671" s="266"/>
    </row>
    <row r="672">
      <c r="B672" s="14"/>
      <c r="E672" s="262"/>
      <c r="F672" s="266"/>
      <c r="G672" s="266"/>
      <c r="H672" s="262"/>
      <c r="I672" s="266"/>
      <c r="J672" s="266"/>
      <c r="K672" s="262"/>
      <c r="L672" s="266"/>
      <c r="M672" s="266"/>
      <c r="N672" s="262"/>
      <c r="O672" s="266"/>
      <c r="P672" s="266"/>
      <c r="Q672" s="262"/>
      <c r="R672" s="266"/>
      <c r="S672" s="266"/>
      <c r="T672" s="262"/>
      <c r="U672" s="266"/>
      <c r="V672" s="266"/>
    </row>
    <row r="673">
      <c r="B673" s="14"/>
      <c r="E673" s="262"/>
      <c r="F673" s="266"/>
      <c r="G673" s="266"/>
      <c r="H673" s="262"/>
      <c r="I673" s="266"/>
      <c r="J673" s="266"/>
      <c r="K673" s="262"/>
      <c r="L673" s="266"/>
      <c r="M673" s="266"/>
      <c r="N673" s="262"/>
      <c r="O673" s="266"/>
      <c r="P673" s="266"/>
      <c r="Q673" s="262"/>
      <c r="R673" s="266"/>
      <c r="S673" s="266"/>
      <c r="T673" s="262"/>
      <c r="U673" s="266"/>
      <c r="V673" s="266"/>
    </row>
    <row r="674">
      <c r="B674" s="14"/>
      <c r="E674" s="262"/>
      <c r="F674" s="266"/>
      <c r="G674" s="266"/>
      <c r="H674" s="262"/>
      <c r="I674" s="266"/>
      <c r="J674" s="266"/>
      <c r="K674" s="262"/>
      <c r="L674" s="266"/>
      <c r="M674" s="266"/>
      <c r="N674" s="262"/>
      <c r="O674" s="266"/>
      <c r="P674" s="266"/>
      <c r="Q674" s="262"/>
      <c r="R674" s="266"/>
      <c r="S674" s="266"/>
      <c r="T674" s="262"/>
      <c r="U674" s="266"/>
      <c r="V674" s="266"/>
    </row>
    <row r="675">
      <c r="B675" s="14"/>
      <c r="E675" s="262"/>
      <c r="F675" s="266"/>
      <c r="G675" s="266"/>
      <c r="H675" s="262"/>
      <c r="I675" s="266"/>
      <c r="J675" s="266"/>
      <c r="K675" s="262"/>
      <c r="L675" s="266"/>
      <c r="M675" s="266"/>
      <c r="N675" s="262"/>
      <c r="O675" s="266"/>
      <c r="P675" s="266"/>
      <c r="Q675" s="262"/>
      <c r="R675" s="266"/>
      <c r="S675" s="266"/>
      <c r="T675" s="262"/>
      <c r="U675" s="266"/>
      <c r="V675" s="266"/>
    </row>
    <row r="676">
      <c r="B676" s="14"/>
      <c r="E676" s="262"/>
      <c r="F676" s="266"/>
      <c r="G676" s="266"/>
      <c r="H676" s="262"/>
      <c r="I676" s="266"/>
      <c r="J676" s="266"/>
      <c r="K676" s="262"/>
      <c r="L676" s="266"/>
      <c r="M676" s="266"/>
      <c r="N676" s="262"/>
      <c r="O676" s="266"/>
      <c r="P676" s="266"/>
      <c r="Q676" s="262"/>
      <c r="R676" s="266"/>
      <c r="S676" s="266"/>
      <c r="T676" s="262"/>
      <c r="U676" s="266"/>
      <c r="V676" s="266"/>
    </row>
    <row r="677">
      <c r="B677" s="14"/>
      <c r="E677" s="262"/>
      <c r="F677" s="266"/>
      <c r="G677" s="266"/>
      <c r="H677" s="262"/>
      <c r="I677" s="266"/>
      <c r="J677" s="266"/>
      <c r="K677" s="262"/>
      <c r="L677" s="266"/>
      <c r="M677" s="266"/>
      <c r="N677" s="262"/>
      <c r="O677" s="266"/>
      <c r="P677" s="266"/>
      <c r="Q677" s="262"/>
      <c r="R677" s="266"/>
      <c r="S677" s="266"/>
      <c r="T677" s="262"/>
      <c r="U677" s="266"/>
      <c r="V677" s="266"/>
    </row>
    <row r="678">
      <c r="B678" s="14"/>
      <c r="E678" s="262"/>
      <c r="F678" s="266"/>
      <c r="G678" s="266"/>
      <c r="H678" s="262"/>
      <c r="I678" s="266"/>
      <c r="J678" s="266"/>
      <c r="K678" s="262"/>
      <c r="L678" s="266"/>
      <c r="M678" s="266"/>
      <c r="N678" s="262"/>
      <c r="O678" s="266"/>
      <c r="P678" s="266"/>
      <c r="Q678" s="262"/>
      <c r="R678" s="266"/>
      <c r="S678" s="266"/>
      <c r="T678" s="262"/>
      <c r="U678" s="266"/>
      <c r="V678" s="266"/>
    </row>
    <row r="679">
      <c r="B679" s="14"/>
      <c r="E679" s="262"/>
      <c r="F679" s="266"/>
      <c r="G679" s="266"/>
      <c r="H679" s="262"/>
      <c r="I679" s="266"/>
      <c r="J679" s="266"/>
      <c r="K679" s="262"/>
      <c r="L679" s="266"/>
      <c r="M679" s="266"/>
      <c r="N679" s="262"/>
      <c r="O679" s="266"/>
      <c r="P679" s="266"/>
      <c r="Q679" s="262"/>
      <c r="R679" s="266"/>
      <c r="S679" s="266"/>
      <c r="T679" s="262"/>
      <c r="U679" s="266"/>
      <c r="V679" s="266"/>
    </row>
    <row r="680">
      <c r="B680" s="14"/>
      <c r="E680" s="262"/>
      <c r="F680" s="266"/>
      <c r="G680" s="266"/>
      <c r="H680" s="262"/>
      <c r="I680" s="266"/>
      <c r="J680" s="266"/>
      <c r="K680" s="262"/>
      <c r="L680" s="266"/>
      <c r="M680" s="266"/>
      <c r="N680" s="262"/>
      <c r="O680" s="266"/>
      <c r="P680" s="266"/>
      <c r="Q680" s="262"/>
      <c r="R680" s="266"/>
      <c r="S680" s="266"/>
      <c r="T680" s="262"/>
      <c r="U680" s="266"/>
      <c r="V680" s="266"/>
    </row>
    <row r="681">
      <c r="B681" s="14"/>
      <c r="E681" s="262"/>
      <c r="F681" s="266"/>
      <c r="G681" s="266"/>
      <c r="H681" s="262"/>
      <c r="I681" s="266"/>
      <c r="J681" s="266"/>
      <c r="K681" s="262"/>
      <c r="L681" s="266"/>
      <c r="M681" s="266"/>
      <c r="N681" s="262"/>
      <c r="O681" s="266"/>
      <c r="P681" s="266"/>
      <c r="Q681" s="262"/>
      <c r="R681" s="266"/>
      <c r="S681" s="266"/>
      <c r="T681" s="262"/>
      <c r="U681" s="266"/>
      <c r="V681" s="266"/>
    </row>
    <row r="682">
      <c r="B682" s="14"/>
      <c r="E682" s="262"/>
      <c r="F682" s="266"/>
      <c r="G682" s="266"/>
      <c r="H682" s="262"/>
      <c r="I682" s="266"/>
      <c r="J682" s="266"/>
      <c r="K682" s="262"/>
      <c r="L682" s="266"/>
      <c r="M682" s="266"/>
      <c r="N682" s="262"/>
      <c r="O682" s="266"/>
      <c r="P682" s="266"/>
      <c r="Q682" s="262"/>
      <c r="R682" s="266"/>
      <c r="S682" s="266"/>
      <c r="T682" s="262"/>
      <c r="U682" s="266"/>
      <c r="V682" s="266"/>
    </row>
    <row r="683">
      <c r="B683" s="14"/>
      <c r="E683" s="262"/>
      <c r="F683" s="266"/>
      <c r="G683" s="266"/>
      <c r="H683" s="262"/>
      <c r="I683" s="266"/>
      <c r="J683" s="266"/>
      <c r="K683" s="262"/>
      <c r="L683" s="266"/>
      <c r="M683" s="266"/>
      <c r="N683" s="262"/>
      <c r="O683" s="266"/>
      <c r="P683" s="266"/>
      <c r="Q683" s="262"/>
      <c r="R683" s="266"/>
      <c r="S683" s="266"/>
      <c r="T683" s="262"/>
      <c r="U683" s="266"/>
      <c r="V683" s="266"/>
    </row>
    <row r="684">
      <c r="B684" s="14"/>
      <c r="E684" s="262"/>
      <c r="F684" s="266"/>
      <c r="G684" s="266"/>
      <c r="H684" s="262"/>
      <c r="I684" s="266"/>
      <c r="J684" s="266"/>
      <c r="K684" s="262"/>
      <c r="L684" s="266"/>
      <c r="M684" s="266"/>
      <c r="N684" s="262"/>
      <c r="O684" s="266"/>
      <c r="P684" s="266"/>
      <c r="Q684" s="262"/>
      <c r="R684" s="266"/>
      <c r="S684" s="266"/>
      <c r="T684" s="262"/>
      <c r="U684" s="266"/>
      <c r="V684" s="266"/>
    </row>
    <row r="685">
      <c r="B685" s="14"/>
      <c r="E685" s="262"/>
      <c r="F685" s="266"/>
      <c r="G685" s="266"/>
      <c r="H685" s="262"/>
      <c r="I685" s="266"/>
      <c r="J685" s="266"/>
      <c r="K685" s="262"/>
      <c r="L685" s="266"/>
      <c r="M685" s="266"/>
      <c r="N685" s="262"/>
      <c r="O685" s="266"/>
      <c r="P685" s="266"/>
      <c r="Q685" s="262"/>
      <c r="R685" s="266"/>
      <c r="S685" s="266"/>
      <c r="T685" s="262"/>
      <c r="U685" s="266"/>
      <c r="V685" s="266"/>
    </row>
    <row r="686">
      <c r="B686" s="14"/>
      <c r="E686" s="262"/>
      <c r="F686" s="266"/>
      <c r="G686" s="266"/>
      <c r="H686" s="262"/>
      <c r="I686" s="266"/>
      <c r="J686" s="266"/>
      <c r="K686" s="262"/>
      <c r="L686" s="266"/>
      <c r="M686" s="266"/>
      <c r="N686" s="262"/>
      <c r="O686" s="266"/>
      <c r="P686" s="266"/>
      <c r="Q686" s="262"/>
      <c r="R686" s="266"/>
      <c r="S686" s="266"/>
      <c r="T686" s="262"/>
      <c r="U686" s="266"/>
      <c r="V686" s="266"/>
    </row>
    <row r="687">
      <c r="B687" s="14"/>
      <c r="E687" s="262"/>
      <c r="F687" s="266"/>
      <c r="G687" s="266"/>
      <c r="H687" s="262"/>
      <c r="I687" s="266"/>
      <c r="J687" s="266"/>
      <c r="K687" s="262"/>
      <c r="L687" s="266"/>
      <c r="M687" s="266"/>
      <c r="N687" s="262"/>
      <c r="O687" s="266"/>
      <c r="P687" s="266"/>
      <c r="Q687" s="262"/>
      <c r="R687" s="266"/>
      <c r="S687" s="266"/>
      <c r="T687" s="262"/>
      <c r="U687" s="266"/>
      <c r="V687" s="266"/>
    </row>
    <row r="688">
      <c r="B688" s="14"/>
      <c r="E688" s="262"/>
      <c r="F688" s="266"/>
      <c r="G688" s="266"/>
      <c r="H688" s="262"/>
      <c r="I688" s="266"/>
      <c r="J688" s="266"/>
      <c r="K688" s="262"/>
      <c r="L688" s="266"/>
      <c r="M688" s="266"/>
      <c r="N688" s="262"/>
      <c r="O688" s="266"/>
      <c r="P688" s="266"/>
      <c r="Q688" s="262"/>
      <c r="R688" s="266"/>
      <c r="S688" s="266"/>
      <c r="T688" s="262"/>
      <c r="U688" s="266"/>
      <c r="V688" s="266"/>
    </row>
    <row r="689">
      <c r="B689" s="14"/>
      <c r="E689" s="262"/>
      <c r="F689" s="266"/>
      <c r="G689" s="266"/>
      <c r="H689" s="262"/>
      <c r="I689" s="266"/>
      <c r="J689" s="266"/>
      <c r="K689" s="262"/>
      <c r="L689" s="266"/>
      <c r="M689" s="266"/>
      <c r="N689" s="262"/>
      <c r="O689" s="266"/>
      <c r="P689" s="266"/>
      <c r="Q689" s="262"/>
      <c r="R689" s="266"/>
      <c r="S689" s="266"/>
      <c r="T689" s="262"/>
      <c r="U689" s="266"/>
      <c r="V689" s="266"/>
    </row>
    <row r="690">
      <c r="B690" s="14"/>
      <c r="E690" s="262"/>
      <c r="F690" s="266"/>
      <c r="G690" s="266"/>
      <c r="H690" s="262"/>
      <c r="I690" s="266"/>
      <c r="J690" s="266"/>
      <c r="K690" s="262"/>
      <c r="L690" s="266"/>
      <c r="M690" s="266"/>
      <c r="N690" s="262"/>
      <c r="O690" s="266"/>
      <c r="P690" s="266"/>
      <c r="Q690" s="262"/>
      <c r="R690" s="266"/>
      <c r="S690" s="266"/>
      <c r="T690" s="262"/>
      <c r="U690" s="266"/>
      <c r="V690" s="266"/>
    </row>
    <row r="691">
      <c r="B691" s="14"/>
      <c r="E691" s="262"/>
      <c r="F691" s="266"/>
      <c r="G691" s="266"/>
      <c r="H691" s="262"/>
      <c r="I691" s="266"/>
      <c r="J691" s="266"/>
      <c r="K691" s="262"/>
      <c r="L691" s="266"/>
      <c r="M691" s="266"/>
      <c r="N691" s="262"/>
      <c r="O691" s="266"/>
      <c r="P691" s="266"/>
      <c r="Q691" s="262"/>
      <c r="R691" s="266"/>
      <c r="S691" s="266"/>
      <c r="T691" s="262"/>
      <c r="U691" s="266"/>
      <c r="V691" s="266"/>
    </row>
    <row r="692">
      <c r="B692" s="14"/>
      <c r="E692" s="262"/>
      <c r="F692" s="266"/>
      <c r="G692" s="266"/>
      <c r="H692" s="262"/>
      <c r="I692" s="266"/>
      <c r="J692" s="266"/>
      <c r="K692" s="262"/>
      <c r="L692" s="266"/>
      <c r="M692" s="266"/>
      <c r="N692" s="262"/>
      <c r="O692" s="266"/>
      <c r="P692" s="266"/>
      <c r="Q692" s="262"/>
      <c r="R692" s="266"/>
      <c r="S692" s="266"/>
      <c r="T692" s="262"/>
      <c r="U692" s="266"/>
      <c r="V692" s="266"/>
    </row>
    <row r="693">
      <c r="B693" s="14"/>
      <c r="E693" s="262"/>
      <c r="F693" s="266"/>
      <c r="G693" s="266"/>
      <c r="H693" s="262"/>
      <c r="I693" s="266"/>
      <c r="J693" s="266"/>
      <c r="K693" s="262"/>
      <c r="L693" s="266"/>
      <c r="M693" s="266"/>
      <c r="N693" s="262"/>
      <c r="O693" s="266"/>
      <c r="P693" s="266"/>
      <c r="Q693" s="262"/>
      <c r="R693" s="266"/>
      <c r="S693" s="266"/>
      <c r="T693" s="262"/>
      <c r="U693" s="266"/>
      <c r="V693" s="266"/>
    </row>
    <row r="694">
      <c r="B694" s="14"/>
      <c r="E694" s="262"/>
      <c r="F694" s="266"/>
      <c r="G694" s="266"/>
      <c r="H694" s="262"/>
      <c r="I694" s="266"/>
      <c r="J694" s="266"/>
      <c r="K694" s="262"/>
      <c r="L694" s="266"/>
      <c r="M694" s="266"/>
      <c r="N694" s="262"/>
      <c r="O694" s="266"/>
      <c r="P694" s="266"/>
      <c r="Q694" s="262"/>
      <c r="R694" s="266"/>
      <c r="S694" s="266"/>
      <c r="T694" s="262"/>
      <c r="U694" s="266"/>
      <c r="V694" s="266"/>
    </row>
    <row r="695">
      <c r="B695" s="14"/>
      <c r="E695" s="262"/>
      <c r="F695" s="266"/>
      <c r="G695" s="266"/>
      <c r="H695" s="262"/>
      <c r="I695" s="266"/>
      <c r="J695" s="266"/>
      <c r="K695" s="262"/>
      <c r="L695" s="266"/>
      <c r="M695" s="266"/>
      <c r="N695" s="262"/>
      <c r="O695" s="266"/>
      <c r="P695" s="266"/>
      <c r="Q695" s="262"/>
      <c r="R695" s="266"/>
      <c r="S695" s="266"/>
      <c r="T695" s="262"/>
      <c r="U695" s="266"/>
      <c r="V695" s="266"/>
    </row>
    <row r="696">
      <c r="B696" s="14"/>
      <c r="E696" s="262"/>
      <c r="F696" s="266"/>
      <c r="G696" s="266"/>
      <c r="H696" s="262"/>
      <c r="I696" s="266"/>
      <c r="J696" s="266"/>
      <c r="K696" s="262"/>
      <c r="L696" s="266"/>
      <c r="M696" s="266"/>
      <c r="N696" s="262"/>
      <c r="O696" s="266"/>
      <c r="P696" s="266"/>
      <c r="Q696" s="262"/>
      <c r="R696" s="266"/>
      <c r="S696" s="266"/>
      <c r="T696" s="262"/>
      <c r="U696" s="266"/>
      <c r="V696" s="266"/>
    </row>
    <row r="697">
      <c r="B697" s="14"/>
      <c r="E697" s="262"/>
      <c r="F697" s="266"/>
      <c r="G697" s="266"/>
      <c r="H697" s="262"/>
      <c r="I697" s="266"/>
      <c r="J697" s="266"/>
      <c r="K697" s="262"/>
      <c r="L697" s="266"/>
      <c r="M697" s="266"/>
      <c r="N697" s="262"/>
      <c r="O697" s="266"/>
      <c r="P697" s="266"/>
      <c r="Q697" s="262"/>
      <c r="R697" s="266"/>
      <c r="S697" s="266"/>
      <c r="T697" s="262"/>
      <c r="U697" s="266"/>
      <c r="V697" s="266"/>
    </row>
    <row r="698">
      <c r="B698" s="14"/>
      <c r="E698" s="262"/>
      <c r="F698" s="266"/>
      <c r="G698" s="266"/>
      <c r="H698" s="262"/>
      <c r="I698" s="266"/>
      <c r="J698" s="266"/>
      <c r="K698" s="262"/>
      <c r="L698" s="266"/>
      <c r="M698" s="266"/>
      <c r="N698" s="262"/>
      <c r="O698" s="266"/>
      <c r="P698" s="266"/>
      <c r="Q698" s="262"/>
      <c r="R698" s="266"/>
      <c r="S698" s="266"/>
      <c r="T698" s="262"/>
      <c r="U698" s="266"/>
      <c r="V698" s="266"/>
    </row>
    <row r="699">
      <c r="B699" s="14"/>
      <c r="E699" s="262"/>
      <c r="F699" s="266"/>
      <c r="G699" s="266"/>
      <c r="H699" s="262"/>
      <c r="I699" s="266"/>
      <c r="J699" s="266"/>
      <c r="K699" s="262"/>
      <c r="L699" s="266"/>
      <c r="M699" s="266"/>
      <c r="N699" s="262"/>
      <c r="O699" s="266"/>
      <c r="P699" s="266"/>
      <c r="Q699" s="262"/>
      <c r="R699" s="266"/>
      <c r="S699" s="266"/>
      <c r="T699" s="262"/>
      <c r="U699" s="266"/>
      <c r="V699" s="266"/>
    </row>
    <row r="700">
      <c r="B700" s="14"/>
      <c r="E700" s="262"/>
      <c r="F700" s="266"/>
      <c r="G700" s="266"/>
      <c r="H700" s="262"/>
      <c r="I700" s="266"/>
      <c r="J700" s="266"/>
      <c r="K700" s="262"/>
      <c r="L700" s="266"/>
      <c r="M700" s="266"/>
      <c r="N700" s="262"/>
      <c r="O700" s="266"/>
      <c r="P700" s="266"/>
      <c r="Q700" s="262"/>
      <c r="R700" s="266"/>
      <c r="S700" s="266"/>
      <c r="T700" s="262"/>
      <c r="U700" s="266"/>
      <c r="V700" s="266"/>
    </row>
    <row r="701">
      <c r="B701" s="14"/>
      <c r="E701" s="262"/>
      <c r="F701" s="266"/>
      <c r="G701" s="266"/>
      <c r="H701" s="262"/>
      <c r="I701" s="266"/>
      <c r="J701" s="266"/>
      <c r="K701" s="262"/>
      <c r="L701" s="266"/>
      <c r="M701" s="266"/>
      <c r="N701" s="262"/>
      <c r="O701" s="266"/>
      <c r="P701" s="266"/>
      <c r="Q701" s="262"/>
      <c r="R701" s="266"/>
      <c r="S701" s="266"/>
      <c r="T701" s="262"/>
      <c r="U701" s="266"/>
      <c r="V701" s="266"/>
    </row>
    <row r="702">
      <c r="B702" s="14"/>
      <c r="E702" s="262"/>
      <c r="F702" s="266"/>
      <c r="G702" s="266"/>
      <c r="H702" s="262"/>
      <c r="I702" s="266"/>
      <c r="J702" s="266"/>
      <c r="K702" s="262"/>
      <c r="L702" s="266"/>
      <c r="M702" s="266"/>
      <c r="N702" s="262"/>
      <c r="O702" s="266"/>
      <c r="P702" s="266"/>
      <c r="Q702" s="262"/>
      <c r="R702" s="266"/>
      <c r="S702" s="266"/>
      <c r="T702" s="262"/>
      <c r="U702" s="266"/>
      <c r="V702" s="266"/>
    </row>
    <row r="703">
      <c r="B703" s="14"/>
      <c r="E703" s="262"/>
      <c r="F703" s="266"/>
      <c r="G703" s="266"/>
      <c r="H703" s="262"/>
      <c r="I703" s="266"/>
      <c r="J703" s="266"/>
      <c r="K703" s="262"/>
      <c r="L703" s="266"/>
      <c r="M703" s="266"/>
      <c r="N703" s="262"/>
      <c r="O703" s="266"/>
      <c r="P703" s="266"/>
      <c r="Q703" s="262"/>
      <c r="R703" s="266"/>
      <c r="S703" s="266"/>
      <c r="T703" s="262"/>
      <c r="U703" s="266"/>
      <c r="V703" s="266"/>
    </row>
    <row r="704">
      <c r="B704" s="14"/>
      <c r="E704" s="262"/>
      <c r="F704" s="266"/>
      <c r="G704" s="266"/>
      <c r="H704" s="262"/>
      <c r="I704" s="266"/>
      <c r="J704" s="266"/>
      <c r="K704" s="262"/>
      <c r="L704" s="266"/>
      <c r="M704" s="266"/>
      <c r="N704" s="262"/>
      <c r="O704" s="266"/>
      <c r="P704" s="266"/>
      <c r="Q704" s="262"/>
      <c r="R704" s="266"/>
      <c r="S704" s="266"/>
      <c r="T704" s="262"/>
      <c r="U704" s="266"/>
      <c r="V704" s="266"/>
    </row>
    <row r="705">
      <c r="B705" s="14"/>
      <c r="E705" s="262"/>
      <c r="F705" s="266"/>
      <c r="G705" s="266"/>
      <c r="H705" s="262"/>
      <c r="I705" s="266"/>
      <c r="J705" s="266"/>
      <c r="K705" s="262"/>
      <c r="L705" s="266"/>
      <c r="M705" s="266"/>
      <c r="N705" s="262"/>
      <c r="O705" s="266"/>
      <c r="P705" s="266"/>
      <c r="Q705" s="262"/>
      <c r="R705" s="266"/>
      <c r="S705" s="266"/>
      <c r="T705" s="262"/>
      <c r="U705" s="266"/>
      <c r="V705" s="266"/>
    </row>
    <row r="706">
      <c r="B706" s="14"/>
      <c r="E706" s="262"/>
      <c r="F706" s="266"/>
      <c r="G706" s="266"/>
      <c r="H706" s="262"/>
      <c r="I706" s="266"/>
      <c r="J706" s="266"/>
      <c r="K706" s="262"/>
      <c r="L706" s="266"/>
      <c r="M706" s="266"/>
      <c r="N706" s="262"/>
      <c r="O706" s="266"/>
      <c r="P706" s="266"/>
      <c r="Q706" s="262"/>
      <c r="R706" s="266"/>
      <c r="S706" s="266"/>
      <c r="T706" s="262"/>
      <c r="U706" s="266"/>
      <c r="V706" s="266"/>
    </row>
    <row r="707">
      <c r="B707" s="14"/>
      <c r="E707" s="262"/>
      <c r="F707" s="266"/>
      <c r="G707" s="266"/>
      <c r="H707" s="262"/>
      <c r="I707" s="266"/>
      <c r="J707" s="266"/>
      <c r="K707" s="262"/>
      <c r="L707" s="266"/>
      <c r="M707" s="266"/>
      <c r="N707" s="262"/>
      <c r="O707" s="266"/>
      <c r="P707" s="266"/>
      <c r="Q707" s="262"/>
      <c r="R707" s="266"/>
      <c r="S707" s="266"/>
      <c r="T707" s="262"/>
      <c r="U707" s="266"/>
      <c r="V707" s="266"/>
    </row>
    <row r="708">
      <c r="B708" s="14"/>
      <c r="E708" s="262"/>
      <c r="F708" s="266"/>
      <c r="G708" s="266"/>
      <c r="H708" s="262"/>
      <c r="I708" s="266"/>
      <c r="J708" s="266"/>
      <c r="K708" s="262"/>
      <c r="L708" s="266"/>
      <c r="M708" s="266"/>
      <c r="N708" s="262"/>
      <c r="O708" s="266"/>
      <c r="P708" s="266"/>
      <c r="Q708" s="262"/>
      <c r="R708" s="266"/>
      <c r="S708" s="266"/>
      <c r="T708" s="262"/>
      <c r="U708" s="266"/>
      <c r="V708" s="266"/>
    </row>
    <row r="709">
      <c r="B709" s="14"/>
      <c r="E709" s="262"/>
      <c r="F709" s="266"/>
      <c r="G709" s="266"/>
      <c r="H709" s="262"/>
      <c r="I709" s="266"/>
      <c r="J709" s="266"/>
      <c r="K709" s="262"/>
      <c r="L709" s="266"/>
      <c r="M709" s="266"/>
      <c r="N709" s="262"/>
      <c r="O709" s="266"/>
      <c r="P709" s="266"/>
      <c r="Q709" s="262"/>
      <c r="R709" s="266"/>
      <c r="S709" s="266"/>
      <c r="T709" s="262"/>
      <c r="U709" s="266"/>
      <c r="V709" s="266"/>
    </row>
    <row r="710">
      <c r="B710" s="14"/>
      <c r="E710" s="262"/>
      <c r="F710" s="266"/>
      <c r="G710" s="266"/>
      <c r="H710" s="262"/>
      <c r="I710" s="266"/>
      <c r="J710" s="266"/>
      <c r="K710" s="262"/>
      <c r="L710" s="266"/>
      <c r="M710" s="266"/>
      <c r="N710" s="262"/>
      <c r="O710" s="266"/>
      <c r="P710" s="266"/>
      <c r="Q710" s="262"/>
      <c r="R710" s="266"/>
      <c r="S710" s="266"/>
      <c r="T710" s="262"/>
      <c r="U710" s="266"/>
      <c r="V710" s="266"/>
    </row>
    <row r="711">
      <c r="B711" s="14"/>
      <c r="E711" s="262"/>
      <c r="F711" s="266"/>
      <c r="G711" s="266"/>
      <c r="H711" s="262"/>
      <c r="I711" s="266"/>
      <c r="J711" s="266"/>
      <c r="K711" s="262"/>
      <c r="L711" s="266"/>
      <c r="M711" s="266"/>
      <c r="N711" s="262"/>
      <c r="O711" s="266"/>
      <c r="P711" s="266"/>
      <c r="Q711" s="262"/>
      <c r="R711" s="266"/>
      <c r="S711" s="266"/>
      <c r="T711" s="262"/>
      <c r="U711" s="266"/>
      <c r="V711" s="266"/>
    </row>
    <row r="712">
      <c r="B712" s="14"/>
      <c r="E712" s="262"/>
      <c r="F712" s="266"/>
      <c r="G712" s="266"/>
      <c r="H712" s="262"/>
      <c r="I712" s="266"/>
      <c r="J712" s="266"/>
      <c r="K712" s="262"/>
      <c r="L712" s="266"/>
      <c r="M712" s="266"/>
      <c r="N712" s="262"/>
      <c r="O712" s="266"/>
      <c r="P712" s="266"/>
      <c r="Q712" s="262"/>
      <c r="R712" s="266"/>
      <c r="S712" s="266"/>
      <c r="T712" s="262"/>
      <c r="U712" s="266"/>
      <c r="V712" s="266"/>
    </row>
    <row r="713">
      <c r="B713" s="14"/>
      <c r="E713" s="262"/>
      <c r="F713" s="266"/>
      <c r="G713" s="266"/>
      <c r="H713" s="262"/>
      <c r="I713" s="266"/>
      <c r="J713" s="266"/>
      <c r="K713" s="262"/>
      <c r="L713" s="266"/>
      <c r="M713" s="266"/>
      <c r="N713" s="262"/>
      <c r="O713" s="266"/>
      <c r="P713" s="266"/>
      <c r="Q713" s="262"/>
      <c r="R713" s="266"/>
      <c r="S713" s="266"/>
      <c r="T713" s="262"/>
      <c r="U713" s="266"/>
      <c r="V713" s="266"/>
    </row>
    <row r="714">
      <c r="B714" s="14"/>
      <c r="E714" s="262"/>
      <c r="F714" s="266"/>
      <c r="G714" s="266"/>
      <c r="H714" s="262"/>
      <c r="I714" s="266"/>
      <c r="J714" s="266"/>
      <c r="K714" s="262"/>
      <c r="L714" s="266"/>
      <c r="M714" s="266"/>
      <c r="N714" s="262"/>
      <c r="O714" s="266"/>
      <c r="P714" s="266"/>
      <c r="Q714" s="262"/>
      <c r="R714" s="266"/>
      <c r="S714" s="266"/>
      <c r="T714" s="262"/>
      <c r="U714" s="266"/>
      <c r="V714" s="266"/>
    </row>
    <row r="715">
      <c r="B715" s="14"/>
      <c r="E715" s="262"/>
      <c r="F715" s="266"/>
      <c r="G715" s="266"/>
      <c r="H715" s="262"/>
      <c r="I715" s="266"/>
      <c r="J715" s="266"/>
      <c r="K715" s="262"/>
      <c r="L715" s="266"/>
      <c r="M715" s="266"/>
      <c r="N715" s="262"/>
      <c r="O715" s="266"/>
      <c r="P715" s="266"/>
      <c r="Q715" s="262"/>
      <c r="R715" s="266"/>
      <c r="S715" s="266"/>
      <c r="T715" s="262"/>
      <c r="U715" s="266"/>
      <c r="V715" s="266"/>
    </row>
    <row r="716">
      <c r="B716" s="14"/>
      <c r="E716" s="262"/>
      <c r="F716" s="266"/>
      <c r="G716" s="266"/>
      <c r="H716" s="262"/>
      <c r="I716" s="266"/>
      <c r="J716" s="266"/>
      <c r="K716" s="262"/>
      <c r="L716" s="266"/>
      <c r="M716" s="266"/>
      <c r="N716" s="262"/>
      <c r="O716" s="266"/>
      <c r="P716" s="266"/>
      <c r="Q716" s="262"/>
      <c r="R716" s="266"/>
      <c r="S716" s="266"/>
      <c r="T716" s="262"/>
      <c r="U716" s="266"/>
      <c r="V716" s="266"/>
    </row>
    <row r="717">
      <c r="B717" s="14"/>
      <c r="E717" s="262"/>
      <c r="F717" s="266"/>
      <c r="G717" s="266"/>
      <c r="H717" s="262"/>
      <c r="I717" s="266"/>
      <c r="J717" s="266"/>
      <c r="K717" s="262"/>
      <c r="L717" s="266"/>
      <c r="M717" s="266"/>
      <c r="N717" s="262"/>
      <c r="O717" s="266"/>
      <c r="P717" s="266"/>
      <c r="Q717" s="262"/>
      <c r="R717" s="266"/>
      <c r="S717" s="266"/>
      <c r="T717" s="262"/>
      <c r="U717" s="266"/>
      <c r="V717" s="266"/>
    </row>
    <row r="718">
      <c r="B718" s="14"/>
      <c r="E718" s="262"/>
      <c r="F718" s="266"/>
      <c r="G718" s="266"/>
      <c r="H718" s="262"/>
      <c r="I718" s="266"/>
      <c r="J718" s="266"/>
      <c r="K718" s="262"/>
      <c r="L718" s="266"/>
      <c r="M718" s="266"/>
      <c r="N718" s="262"/>
      <c r="O718" s="266"/>
      <c r="P718" s="266"/>
      <c r="Q718" s="262"/>
      <c r="R718" s="266"/>
      <c r="S718" s="266"/>
      <c r="T718" s="262"/>
      <c r="U718" s="266"/>
      <c r="V718" s="266"/>
    </row>
    <row r="719">
      <c r="B719" s="14"/>
      <c r="E719" s="262"/>
      <c r="F719" s="266"/>
      <c r="G719" s="266"/>
      <c r="H719" s="262"/>
      <c r="I719" s="266"/>
      <c r="J719" s="266"/>
      <c r="K719" s="262"/>
      <c r="L719" s="266"/>
      <c r="M719" s="266"/>
      <c r="N719" s="262"/>
      <c r="O719" s="266"/>
      <c r="P719" s="266"/>
      <c r="Q719" s="262"/>
      <c r="R719" s="266"/>
      <c r="S719" s="266"/>
      <c r="T719" s="262"/>
      <c r="U719" s="266"/>
      <c r="V719" s="266"/>
    </row>
    <row r="720">
      <c r="B720" s="14"/>
      <c r="E720" s="262"/>
      <c r="F720" s="266"/>
      <c r="G720" s="266"/>
      <c r="H720" s="262"/>
      <c r="I720" s="266"/>
      <c r="J720" s="266"/>
      <c r="K720" s="262"/>
      <c r="L720" s="266"/>
      <c r="M720" s="266"/>
      <c r="N720" s="262"/>
      <c r="O720" s="266"/>
      <c r="P720" s="266"/>
      <c r="Q720" s="262"/>
      <c r="R720" s="266"/>
      <c r="S720" s="266"/>
      <c r="T720" s="262"/>
      <c r="U720" s="266"/>
      <c r="V720" s="266"/>
    </row>
    <row r="721">
      <c r="B721" s="14"/>
      <c r="E721" s="262"/>
      <c r="F721" s="266"/>
      <c r="G721" s="266"/>
      <c r="H721" s="262"/>
      <c r="I721" s="266"/>
      <c r="J721" s="266"/>
      <c r="K721" s="262"/>
      <c r="L721" s="266"/>
      <c r="M721" s="266"/>
      <c r="N721" s="262"/>
      <c r="O721" s="266"/>
      <c r="P721" s="266"/>
      <c r="Q721" s="262"/>
      <c r="R721" s="266"/>
      <c r="S721" s="266"/>
      <c r="T721" s="262"/>
      <c r="U721" s="266"/>
      <c r="V721" s="266"/>
    </row>
    <row r="722">
      <c r="B722" s="14"/>
      <c r="E722" s="262"/>
      <c r="F722" s="266"/>
      <c r="G722" s="266"/>
      <c r="H722" s="262"/>
      <c r="I722" s="266"/>
      <c r="J722" s="266"/>
      <c r="K722" s="262"/>
      <c r="L722" s="266"/>
      <c r="M722" s="266"/>
      <c r="N722" s="262"/>
      <c r="O722" s="266"/>
      <c r="P722" s="266"/>
      <c r="Q722" s="262"/>
      <c r="R722" s="266"/>
      <c r="S722" s="266"/>
      <c r="T722" s="262"/>
      <c r="U722" s="266"/>
      <c r="V722" s="266"/>
    </row>
    <row r="723">
      <c r="B723" s="14"/>
      <c r="E723" s="262"/>
      <c r="F723" s="266"/>
      <c r="G723" s="266"/>
      <c r="H723" s="262"/>
      <c r="I723" s="266"/>
      <c r="J723" s="266"/>
      <c r="K723" s="262"/>
      <c r="L723" s="266"/>
      <c r="M723" s="266"/>
      <c r="N723" s="262"/>
      <c r="O723" s="266"/>
      <c r="P723" s="266"/>
      <c r="Q723" s="262"/>
      <c r="R723" s="266"/>
      <c r="S723" s="266"/>
      <c r="T723" s="262"/>
      <c r="U723" s="266"/>
      <c r="V723" s="266"/>
    </row>
    <row r="724">
      <c r="B724" s="14"/>
      <c r="E724" s="262"/>
      <c r="F724" s="266"/>
      <c r="G724" s="266"/>
      <c r="H724" s="262"/>
      <c r="I724" s="266"/>
      <c r="J724" s="266"/>
      <c r="K724" s="262"/>
      <c r="L724" s="266"/>
      <c r="M724" s="266"/>
      <c r="N724" s="262"/>
      <c r="O724" s="266"/>
      <c r="P724" s="266"/>
      <c r="Q724" s="262"/>
      <c r="R724" s="266"/>
      <c r="S724" s="266"/>
      <c r="T724" s="262"/>
      <c r="U724" s="266"/>
      <c r="V724" s="266"/>
    </row>
    <row r="725">
      <c r="B725" s="14"/>
      <c r="E725" s="262"/>
      <c r="F725" s="266"/>
      <c r="G725" s="266"/>
      <c r="H725" s="262"/>
      <c r="I725" s="266"/>
      <c r="J725" s="266"/>
      <c r="K725" s="262"/>
      <c r="L725" s="266"/>
      <c r="M725" s="266"/>
      <c r="N725" s="262"/>
      <c r="O725" s="266"/>
      <c r="P725" s="266"/>
      <c r="Q725" s="262"/>
      <c r="R725" s="266"/>
      <c r="S725" s="266"/>
      <c r="T725" s="262"/>
      <c r="U725" s="266"/>
      <c r="V725" s="266"/>
    </row>
    <row r="726">
      <c r="B726" s="14"/>
      <c r="E726" s="262"/>
      <c r="F726" s="266"/>
      <c r="G726" s="266"/>
      <c r="H726" s="262"/>
      <c r="I726" s="266"/>
      <c r="J726" s="266"/>
      <c r="K726" s="262"/>
      <c r="L726" s="266"/>
      <c r="M726" s="266"/>
      <c r="N726" s="262"/>
      <c r="O726" s="266"/>
      <c r="P726" s="266"/>
      <c r="Q726" s="262"/>
      <c r="R726" s="266"/>
      <c r="S726" s="266"/>
      <c r="T726" s="262"/>
      <c r="U726" s="266"/>
      <c r="V726" s="266"/>
    </row>
    <row r="727">
      <c r="B727" s="14"/>
      <c r="E727" s="262"/>
      <c r="F727" s="266"/>
      <c r="G727" s="266"/>
      <c r="H727" s="262"/>
      <c r="I727" s="266"/>
      <c r="J727" s="266"/>
      <c r="K727" s="262"/>
      <c r="L727" s="266"/>
      <c r="M727" s="266"/>
      <c r="N727" s="262"/>
      <c r="O727" s="266"/>
      <c r="P727" s="266"/>
      <c r="Q727" s="262"/>
      <c r="R727" s="266"/>
      <c r="S727" s="266"/>
      <c r="T727" s="262"/>
      <c r="U727" s="266"/>
      <c r="V727" s="266"/>
    </row>
    <row r="728">
      <c r="B728" s="14"/>
      <c r="E728" s="262"/>
      <c r="F728" s="266"/>
      <c r="G728" s="266"/>
      <c r="H728" s="262"/>
      <c r="I728" s="266"/>
      <c r="J728" s="266"/>
      <c r="K728" s="262"/>
      <c r="L728" s="266"/>
      <c r="M728" s="266"/>
      <c r="N728" s="262"/>
      <c r="O728" s="266"/>
      <c r="P728" s="266"/>
      <c r="Q728" s="262"/>
      <c r="R728" s="266"/>
      <c r="S728" s="266"/>
      <c r="T728" s="262"/>
      <c r="U728" s="266"/>
      <c r="V728" s="266"/>
    </row>
    <row r="729">
      <c r="B729" s="14"/>
      <c r="E729" s="262"/>
      <c r="F729" s="266"/>
      <c r="G729" s="266"/>
      <c r="H729" s="262"/>
      <c r="I729" s="266"/>
      <c r="J729" s="266"/>
      <c r="K729" s="262"/>
      <c r="L729" s="266"/>
      <c r="M729" s="266"/>
      <c r="N729" s="262"/>
      <c r="O729" s="266"/>
      <c r="P729" s="266"/>
      <c r="Q729" s="262"/>
      <c r="R729" s="266"/>
      <c r="S729" s="266"/>
      <c r="T729" s="262"/>
      <c r="U729" s="266"/>
      <c r="V729" s="266"/>
    </row>
    <row r="730">
      <c r="B730" s="14"/>
      <c r="E730" s="262"/>
      <c r="F730" s="266"/>
      <c r="G730" s="266"/>
      <c r="H730" s="262"/>
      <c r="I730" s="266"/>
      <c r="J730" s="266"/>
      <c r="K730" s="262"/>
      <c r="L730" s="266"/>
      <c r="M730" s="266"/>
      <c r="N730" s="262"/>
      <c r="O730" s="266"/>
      <c r="P730" s="266"/>
      <c r="Q730" s="262"/>
      <c r="R730" s="266"/>
      <c r="S730" s="266"/>
      <c r="T730" s="262"/>
      <c r="U730" s="266"/>
      <c r="V730" s="266"/>
    </row>
    <row r="731">
      <c r="B731" s="14"/>
      <c r="E731" s="262"/>
      <c r="F731" s="266"/>
      <c r="G731" s="266"/>
      <c r="H731" s="262"/>
      <c r="I731" s="266"/>
      <c r="J731" s="266"/>
      <c r="K731" s="262"/>
      <c r="L731" s="266"/>
      <c r="M731" s="266"/>
      <c r="N731" s="262"/>
      <c r="O731" s="266"/>
      <c r="P731" s="266"/>
      <c r="Q731" s="262"/>
      <c r="R731" s="266"/>
      <c r="S731" s="266"/>
      <c r="T731" s="262"/>
      <c r="U731" s="266"/>
      <c r="V731" s="266"/>
    </row>
    <row r="732">
      <c r="B732" s="14"/>
      <c r="E732" s="262"/>
      <c r="F732" s="266"/>
      <c r="G732" s="266"/>
      <c r="H732" s="262"/>
      <c r="I732" s="266"/>
      <c r="J732" s="266"/>
      <c r="K732" s="262"/>
      <c r="L732" s="266"/>
      <c r="M732" s="266"/>
      <c r="N732" s="262"/>
      <c r="O732" s="266"/>
      <c r="P732" s="266"/>
      <c r="Q732" s="262"/>
      <c r="R732" s="266"/>
      <c r="S732" s="266"/>
      <c r="T732" s="262"/>
      <c r="U732" s="266"/>
      <c r="V732" s="266"/>
    </row>
    <row r="733">
      <c r="B733" s="14"/>
      <c r="E733" s="262"/>
      <c r="F733" s="266"/>
      <c r="G733" s="266"/>
      <c r="H733" s="262"/>
      <c r="I733" s="266"/>
      <c r="J733" s="266"/>
      <c r="K733" s="262"/>
      <c r="L733" s="266"/>
      <c r="M733" s="266"/>
      <c r="N733" s="262"/>
      <c r="O733" s="266"/>
      <c r="P733" s="266"/>
      <c r="Q733" s="262"/>
      <c r="R733" s="266"/>
      <c r="S733" s="266"/>
      <c r="T733" s="262"/>
      <c r="U733" s="266"/>
      <c r="V733" s="266"/>
    </row>
    <row r="734">
      <c r="B734" s="14"/>
      <c r="E734" s="262"/>
      <c r="F734" s="266"/>
      <c r="G734" s="266"/>
      <c r="H734" s="262"/>
      <c r="I734" s="266"/>
      <c r="J734" s="266"/>
      <c r="K734" s="262"/>
      <c r="L734" s="266"/>
      <c r="M734" s="266"/>
      <c r="N734" s="262"/>
      <c r="O734" s="266"/>
      <c r="P734" s="266"/>
      <c r="Q734" s="262"/>
      <c r="R734" s="266"/>
      <c r="S734" s="266"/>
      <c r="T734" s="262"/>
      <c r="U734" s="266"/>
      <c r="V734" s="266"/>
    </row>
    <row r="735">
      <c r="B735" s="14"/>
      <c r="E735" s="262"/>
      <c r="F735" s="266"/>
      <c r="G735" s="266"/>
      <c r="H735" s="262"/>
      <c r="I735" s="266"/>
      <c r="J735" s="266"/>
      <c r="K735" s="262"/>
      <c r="L735" s="266"/>
      <c r="M735" s="266"/>
      <c r="N735" s="262"/>
      <c r="O735" s="266"/>
      <c r="P735" s="266"/>
      <c r="Q735" s="262"/>
      <c r="R735" s="266"/>
      <c r="S735" s="266"/>
      <c r="T735" s="262"/>
      <c r="U735" s="266"/>
      <c r="V735" s="266"/>
    </row>
    <row r="736">
      <c r="B736" s="14"/>
      <c r="E736" s="262"/>
      <c r="F736" s="266"/>
      <c r="G736" s="266"/>
      <c r="H736" s="262"/>
      <c r="I736" s="266"/>
      <c r="J736" s="266"/>
      <c r="K736" s="262"/>
      <c r="L736" s="266"/>
      <c r="M736" s="266"/>
      <c r="N736" s="262"/>
      <c r="O736" s="266"/>
      <c r="P736" s="266"/>
      <c r="Q736" s="262"/>
      <c r="R736" s="266"/>
      <c r="S736" s="266"/>
      <c r="T736" s="262"/>
      <c r="U736" s="266"/>
      <c r="V736" s="266"/>
    </row>
    <row r="737">
      <c r="B737" s="14"/>
      <c r="E737" s="262"/>
      <c r="F737" s="266"/>
      <c r="G737" s="266"/>
      <c r="H737" s="262"/>
      <c r="I737" s="266"/>
      <c r="J737" s="266"/>
      <c r="K737" s="262"/>
      <c r="L737" s="266"/>
      <c r="M737" s="266"/>
      <c r="N737" s="262"/>
      <c r="O737" s="266"/>
      <c r="P737" s="266"/>
      <c r="Q737" s="262"/>
      <c r="R737" s="266"/>
      <c r="S737" s="266"/>
      <c r="T737" s="262"/>
      <c r="U737" s="266"/>
      <c r="V737" s="266"/>
    </row>
    <row r="738">
      <c r="B738" s="14"/>
      <c r="E738" s="262"/>
      <c r="F738" s="266"/>
      <c r="G738" s="266"/>
      <c r="H738" s="262"/>
      <c r="I738" s="266"/>
      <c r="J738" s="266"/>
      <c r="K738" s="262"/>
      <c r="L738" s="266"/>
      <c r="M738" s="266"/>
      <c r="N738" s="262"/>
      <c r="O738" s="266"/>
      <c r="P738" s="266"/>
      <c r="Q738" s="262"/>
      <c r="R738" s="266"/>
      <c r="S738" s="266"/>
      <c r="T738" s="262"/>
      <c r="U738" s="266"/>
      <c r="V738" s="266"/>
    </row>
    <row r="739">
      <c r="B739" s="14"/>
      <c r="E739" s="262"/>
      <c r="F739" s="266"/>
      <c r="G739" s="266"/>
      <c r="H739" s="262"/>
      <c r="I739" s="266"/>
      <c r="J739" s="266"/>
      <c r="K739" s="262"/>
      <c r="L739" s="266"/>
      <c r="M739" s="266"/>
      <c r="N739" s="262"/>
      <c r="O739" s="266"/>
      <c r="P739" s="266"/>
      <c r="Q739" s="262"/>
      <c r="R739" s="266"/>
      <c r="S739" s="266"/>
      <c r="T739" s="262"/>
      <c r="U739" s="266"/>
      <c r="V739" s="266"/>
    </row>
    <row r="740">
      <c r="B740" s="14"/>
      <c r="E740" s="262"/>
      <c r="F740" s="266"/>
      <c r="G740" s="266"/>
      <c r="H740" s="262"/>
      <c r="I740" s="266"/>
      <c r="J740" s="266"/>
      <c r="K740" s="262"/>
      <c r="L740" s="266"/>
      <c r="M740" s="266"/>
      <c r="N740" s="262"/>
      <c r="O740" s="266"/>
      <c r="P740" s="266"/>
      <c r="Q740" s="262"/>
      <c r="R740" s="266"/>
      <c r="S740" s="266"/>
      <c r="T740" s="262"/>
      <c r="U740" s="266"/>
      <c r="V740" s="266"/>
    </row>
    <row r="741">
      <c r="B741" s="14"/>
      <c r="E741" s="262"/>
      <c r="F741" s="266"/>
      <c r="G741" s="266"/>
      <c r="H741" s="262"/>
      <c r="I741" s="266"/>
      <c r="J741" s="266"/>
      <c r="K741" s="262"/>
      <c r="L741" s="266"/>
      <c r="M741" s="266"/>
      <c r="N741" s="262"/>
      <c r="O741" s="266"/>
      <c r="P741" s="266"/>
      <c r="Q741" s="262"/>
      <c r="R741" s="266"/>
      <c r="S741" s="266"/>
      <c r="T741" s="262"/>
      <c r="U741" s="266"/>
      <c r="V741" s="266"/>
    </row>
    <row r="742">
      <c r="B742" s="14"/>
      <c r="E742" s="262"/>
      <c r="F742" s="266"/>
      <c r="G742" s="266"/>
      <c r="H742" s="262"/>
      <c r="I742" s="266"/>
      <c r="J742" s="266"/>
      <c r="K742" s="262"/>
      <c r="L742" s="266"/>
      <c r="M742" s="266"/>
      <c r="N742" s="262"/>
      <c r="O742" s="266"/>
      <c r="P742" s="266"/>
      <c r="Q742" s="262"/>
      <c r="R742" s="266"/>
      <c r="S742" s="266"/>
      <c r="T742" s="262"/>
      <c r="U742" s="266"/>
      <c r="V742" s="266"/>
    </row>
    <row r="743">
      <c r="B743" s="14"/>
      <c r="E743" s="262"/>
      <c r="F743" s="266"/>
      <c r="G743" s="266"/>
      <c r="H743" s="262"/>
      <c r="I743" s="266"/>
      <c r="J743" s="266"/>
      <c r="K743" s="262"/>
      <c r="L743" s="266"/>
      <c r="M743" s="266"/>
      <c r="N743" s="262"/>
      <c r="O743" s="266"/>
      <c r="P743" s="266"/>
      <c r="Q743" s="262"/>
      <c r="R743" s="266"/>
      <c r="S743" s="266"/>
      <c r="T743" s="262"/>
      <c r="U743" s="266"/>
      <c r="V743" s="266"/>
    </row>
    <row r="744">
      <c r="B744" s="14"/>
      <c r="E744" s="262"/>
      <c r="F744" s="266"/>
      <c r="G744" s="266"/>
      <c r="H744" s="262"/>
      <c r="I744" s="266"/>
      <c r="J744" s="266"/>
      <c r="K744" s="262"/>
      <c r="L744" s="266"/>
      <c r="M744" s="266"/>
      <c r="N744" s="262"/>
      <c r="O744" s="266"/>
      <c r="P744" s="266"/>
      <c r="Q744" s="262"/>
      <c r="R744" s="266"/>
      <c r="S744" s="266"/>
      <c r="T744" s="262"/>
      <c r="U744" s="266"/>
      <c r="V744" s="266"/>
    </row>
    <row r="745">
      <c r="B745" s="14"/>
      <c r="E745" s="262"/>
      <c r="F745" s="266"/>
      <c r="G745" s="266"/>
      <c r="H745" s="262"/>
      <c r="I745" s="266"/>
      <c r="J745" s="266"/>
      <c r="K745" s="262"/>
      <c r="L745" s="266"/>
      <c r="M745" s="266"/>
      <c r="N745" s="262"/>
      <c r="O745" s="266"/>
      <c r="P745" s="266"/>
      <c r="Q745" s="262"/>
      <c r="R745" s="266"/>
      <c r="S745" s="266"/>
      <c r="T745" s="262"/>
      <c r="U745" s="266"/>
      <c r="V745" s="266"/>
    </row>
    <row r="746">
      <c r="B746" s="14"/>
      <c r="E746" s="262"/>
      <c r="F746" s="266"/>
      <c r="G746" s="266"/>
      <c r="H746" s="262"/>
      <c r="I746" s="266"/>
      <c r="J746" s="266"/>
      <c r="K746" s="262"/>
      <c r="L746" s="266"/>
      <c r="M746" s="266"/>
      <c r="N746" s="262"/>
      <c r="O746" s="266"/>
      <c r="P746" s="266"/>
      <c r="Q746" s="262"/>
      <c r="R746" s="266"/>
      <c r="S746" s="266"/>
      <c r="T746" s="262"/>
      <c r="U746" s="266"/>
      <c r="V746" s="266"/>
    </row>
    <row r="747">
      <c r="B747" s="14"/>
      <c r="E747" s="262"/>
      <c r="F747" s="266"/>
      <c r="G747" s="266"/>
      <c r="H747" s="262"/>
      <c r="I747" s="266"/>
      <c r="J747" s="266"/>
      <c r="K747" s="262"/>
      <c r="L747" s="266"/>
      <c r="M747" s="266"/>
      <c r="N747" s="262"/>
      <c r="O747" s="266"/>
      <c r="P747" s="266"/>
      <c r="Q747" s="262"/>
      <c r="R747" s="266"/>
      <c r="S747" s="266"/>
      <c r="T747" s="262"/>
      <c r="U747" s="266"/>
      <c r="V747" s="266"/>
    </row>
    <row r="748">
      <c r="B748" s="14"/>
      <c r="E748" s="262"/>
      <c r="F748" s="266"/>
      <c r="G748" s="266"/>
      <c r="H748" s="262"/>
      <c r="I748" s="266"/>
      <c r="J748" s="266"/>
      <c r="K748" s="262"/>
      <c r="L748" s="266"/>
      <c r="M748" s="266"/>
      <c r="N748" s="262"/>
      <c r="O748" s="266"/>
      <c r="P748" s="266"/>
      <c r="Q748" s="262"/>
      <c r="R748" s="266"/>
      <c r="S748" s="266"/>
      <c r="T748" s="262"/>
      <c r="U748" s="266"/>
      <c r="V748" s="266"/>
    </row>
    <row r="749">
      <c r="B749" s="14"/>
      <c r="E749" s="262"/>
      <c r="F749" s="266"/>
      <c r="G749" s="266"/>
      <c r="H749" s="262"/>
      <c r="I749" s="266"/>
      <c r="J749" s="266"/>
      <c r="K749" s="262"/>
      <c r="L749" s="266"/>
      <c r="M749" s="266"/>
      <c r="N749" s="262"/>
      <c r="O749" s="266"/>
      <c r="P749" s="266"/>
      <c r="Q749" s="262"/>
      <c r="R749" s="266"/>
      <c r="S749" s="266"/>
      <c r="T749" s="262"/>
      <c r="U749" s="266"/>
      <c r="V749" s="266"/>
    </row>
    <row r="750">
      <c r="B750" s="14"/>
      <c r="E750" s="262"/>
      <c r="F750" s="266"/>
      <c r="G750" s="266"/>
      <c r="H750" s="262"/>
      <c r="I750" s="266"/>
      <c r="J750" s="266"/>
      <c r="K750" s="262"/>
      <c r="L750" s="266"/>
      <c r="M750" s="266"/>
      <c r="N750" s="262"/>
      <c r="O750" s="266"/>
      <c r="P750" s="266"/>
      <c r="Q750" s="262"/>
      <c r="R750" s="266"/>
      <c r="S750" s="266"/>
      <c r="T750" s="262"/>
      <c r="U750" s="266"/>
      <c r="V750" s="266"/>
    </row>
    <row r="751">
      <c r="B751" s="14"/>
      <c r="E751" s="262"/>
      <c r="F751" s="266"/>
      <c r="G751" s="266"/>
      <c r="H751" s="262"/>
      <c r="I751" s="266"/>
      <c r="J751" s="266"/>
      <c r="K751" s="262"/>
      <c r="L751" s="266"/>
      <c r="M751" s="266"/>
      <c r="N751" s="262"/>
      <c r="O751" s="266"/>
      <c r="P751" s="266"/>
      <c r="Q751" s="262"/>
      <c r="R751" s="266"/>
      <c r="S751" s="266"/>
      <c r="T751" s="262"/>
      <c r="U751" s="266"/>
      <c r="V751" s="266"/>
    </row>
    <row r="752">
      <c r="B752" s="14"/>
      <c r="E752" s="262"/>
      <c r="F752" s="266"/>
      <c r="G752" s="266"/>
      <c r="H752" s="262"/>
      <c r="I752" s="266"/>
      <c r="J752" s="266"/>
      <c r="K752" s="262"/>
      <c r="L752" s="266"/>
      <c r="M752" s="266"/>
      <c r="N752" s="262"/>
      <c r="O752" s="266"/>
      <c r="P752" s="266"/>
      <c r="Q752" s="262"/>
      <c r="R752" s="266"/>
      <c r="S752" s="266"/>
      <c r="T752" s="262"/>
      <c r="U752" s="266"/>
      <c r="V752" s="266"/>
    </row>
    <row r="753">
      <c r="B753" s="14"/>
      <c r="E753" s="262"/>
      <c r="F753" s="266"/>
      <c r="G753" s="266"/>
      <c r="H753" s="262"/>
      <c r="I753" s="266"/>
      <c r="J753" s="266"/>
      <c r="K753" s="262"/>
      <c r="L753" s="266"/>
      <c r="M753" s="266"/>
      <c r="N753" s="262"/>
      <c r="O753" s="266"/>
      <c r="P753" s="266"/>
      <c r="Q753" s="262"/>
      <c r="R753" s="266"/>
      <c r="S753" s="266"/>
      <c r="T753" s="262"/>
      <c r="U753" s="266"/>
      <c r="V753" s="266"/>
    </row>
    <row r="754">
      <c r="B754" s="14"/>
      <c r="E754" s="262"/>
      <c r="F754" s="266"/>
      <c r="G754" s="266"/>
      <c r="H754" s="262"/>
      <c r="I754" s="266"/>
      <c r="J754" s="266"/>
      <c r="K754" s="262"/>
      <c r="L754" s="266"/>
      <c r="M754" s="266"/>
      <c r="N754" s="262"/>
      <c r="O754" s="266"/>
      <c r="P754" s="266"/>
      <c r="Q754" s="262"/>
      <c r="R754" s="266"/>
      <c r="S754" s="266"/>
      <c r="T754" s="262"/>
      <c r="U754" s="266"/>
      <c r="V754" s="266"/>
    </row>
    <row r="755">
      <c r="B755" s="14"/>
      <c r="E755" s="262"/>
      <c r="F755" s="266"/>
      <c r="G755" s="266"/>
      <c r="H755" s="262"/>
      <c r="I755" s="266"/>
      <c r="J755" s="266"/>
      <c r="K755" s="262"/>
      <c r="L755" s="266"/>
      <c r="M755" s="266"/>
      <c r="N755" s="262"/>
      <c r="O755" s="266"/>
      <c r="P755" s="266"/>
      <c r="Q755" s="262"/>
      <c r="R755" s="266"/>
      <c r="S755" s="266"/>
      <c r="T755" s="262"/>
      <c r="U755" s="266"/>
      <c r="V755" s="266"/>
    </row>
    <row r="756">
      <c r="B756" s="14"/>
      <c r="E756" s="262"/>
      <c r="F756" s="266"/>
      <c r="G756" s="266"/>
      <c r="H756" s="262"/>
      <c r="I756" s="266"/>
      <c r="J756" s="266"/>
      <c r="K756" s="262"/>
      <c r="L756" s="266"/>
      <c r="M756" s="266"/>
      <c r="N756" s="262"/>
      <c r="O756" s="266"/>
      <c r="P756" s="266"/>
      <c r="Q756" s="262"/>
      <c r="R756" s="266"/>
      <c r="S756" s="266"/>
      <c r="T756" s="262"/>
      <c r="U756" s="266"/>
      <c r="V756" s="266"/>
    </row>
    <row r="757">
      <c r="B757" s="14"/>
      <c r="E757" s="262"/>
      <c r="F757" s="266"/>
      <c r="G757" s="266"/>
      <c r="H757" s="262"/>
      <c r="I757" s="266"/>
      <c r="J757" s="266"/>
      <c r="K757" s="262"/>
      <c r="L757" s="266"/>
      <c r="M757" s="266"/>
      <c r="N757" s="262"/>
      <c r="O757" s="266"/>
      <c r="P757" s="266"/>
      <c r="Q757" s="262"/>
      <c r="R757" s="266"/>
      <c r="S757" s="266"/>
      <c r="T757" s="262"/>
      <c r="U757" s="266"/>
      <c r="V757" s="266"/>
    </row>
    <row r="758">
      <c r="B758" s="14"/>
      <c r="E758" s="262"/>
      <c r="F758" s="266"/>
      <c r="G758" s="266"/>
      <c r="H758" s="262"/>
      <c r="I758" s="266"/>
      <c r="J758" s="266"/>
      <c r="K758" s="262"/>
      <c r="L758" s="266"/>
      <c r="M758" s="266"/>
      <c r="N758" s="262"/>
      <c r="O758" s="266"/>
      <c r="P758" s="266"/>
      <c r="Q758" s="262"/>
      <c r="R758" s="266"/>
      <c r="S758" s="266"/>
      <c r="T758" s="262"/>
      <c r="U758" s="266"/>
      <c r="V758" s="266"/>
    </row>
    <row r="759">
      <c r="B759" s="14"/>
      <c r="E759" s="262"/>
      <c r="F759" s="266"/>
      <c r="G759" s="266"/>
      <c r="H759" s="262"/>
      <c r="I759" s="266"/>
      <c r="J759" s="266"/>
      <c r="K759" s="262"/>
      <c r="L759" s="266"/>
      <c r="M759" s="266"/>
      <c r="N759" s="262"/>
      <c r="O759" s="266"/>
      <c r="P759" s="266"/>
      <c r="Q759" s="262"/>
      <c r="R759" s="266"/>
      <c r="S759" s="266"/>
      <c r="T759" s="262"/>
      <c r="U759" s="266"/>
      <c r="V759" s="266"/>
    </row>
    <row r="760">
      <c r="B760" s="14"/>
      <c r="E760" s="262"/>
      <c r="F760" s="266"/>
      <c r="G760" s="266"/>
      <c r="H760" s="262"/>
      <c r="I760" s="266"/>
      <c r="J760" s="266"/>
      <c r="K760" s="262"/>
      <c r="L760" s="266"/>
      <c r="M760" s="266"/>
      <c r="N760" s="262"/>
      <c r="O760" s="266"/>
      <c r="P760" s="266"/>
      <c r="Q760" s="262"/>
      <c r="R760" s="266"/>
      <c r="S760" s="266"/>
      <c r="T760" s="262"/>
      <c r="U760" s="266"/>
      <c r="V760" s="266"/>
    </row>
    <row r="761">
      <c r="B761" s="14"/>
      <c r="E761" s="262"/>
      <c r="F761" s="266"/>
      <c r="G761" s="266"/>
      <c r="H761" s="262"/>
      <c r="I761" s="266"/>
      <c r="J761" s="266"/>
      <c r="K761" s="262"/>
      <c r="L761" s="266"/>
      <c r="M761" s="266"/>
      <c r="N761" s="262"/>
      <c r="O761" s="266"/>
      <c r="P761" s="266"/>
      <c r="Q761" s="262"/>
      <c r="R761" s="266"/>
      <c r="S761" s="266"/>
      <c r="T761" s="262"/>
      <c r="U761" s="266"/>
      <c r="V761" s="266"/>
    </row>
    <row r="762">
      <c r="B762" s="14"/>
      <c r="E762" s="262"/>
      <c r="F762" s="266"/>
      <c r="G762" s="266"/>
      <c r="H762" s="262"/>
      <c r="I762" s="266"/>
      <c r="J762" s="266"/>
      <c r="K762" s="262"/>
      <c r="L762" s="266"/>
      <c r="M762" s="266"/>
      <c r="N762" s="262"/>
      <c r="O762" s="266"/>
      <c r="P762" s="266"/>
      <c r="Q762" s="262"/>
      <c r="R762" s="266"/>
      <c r="S762" s="266"/>
      <c r="T762" s="262"/>
      <c r="U762" s="266"/>
      <c r="V762" s="266"/>
    </row>
    <row r="763">
      <c r="B763" s="14"/>
      <c r="E763" s="262"/>
      <c r="F763" s="266"/>
      <c r="G763" s="266"/>
      <c r="H763" s="262"/>
      <c r="I763" s="266"/>
      <c r="J763" s="266"/>
      <c r="K763" s="262"/>
      <c r="L763" s="266"/>
      <c r="M763" s="266"/>
      <c r="N763" s="262"/>
      <c r="O763" s="266"/>
      <c r="P763" s="266"/>
      <c r="Q763" s="262"/>
      <c r="R763" s="266"/>
      <c r="S763" s="266"/>
      <c r="T763" s="262"/>
      <c r="U763" s="266"/>
      <c r="V763" s="266"/>
    </row>
    <row r="764">
      <c r="B764" s="14"/>
      <c r="E764" s="262"/>
      <c r="F764" s="266"/>
      <c r="G764" s="266"/>
      <c r="H764" s="262"/>
      <c r="I764" s="266"/>
      <c r="J764" s="266"/>
      <c r="K764" s="262"/>
      <c r="L764" s="266"/>
      <c r="M764" s="266"/>
      <c r="N764" s="262"/>
      <c r="O764" s="266"/>
      <c r="P764" s="266"/>
      <c r="Q764" s="262"/>
      <c r="R764" s="266"/>
      <c r="S764" s="266"/>
      <c r="T764" s="262"/>
      <c r="U764" s="266"/>
      <c r="V764" s="266"/>
    </row>
    <row r="765">
      <c r="B765" s="14"/>
      <c r="E765" s="262"/>
      <c r="F765" s="266"/>
      <c r="G765" s="266"/>
      <c r="H765" s="262"/>
      <c r="I765" s="266"/>
      <c r="J765" s="266"/>
      <c r="K765" s="262"/>
      <c r="L765" s="266"/>
      <c r="M765" s="266"/>
      <c r="N765" s="262"/>
      <c r="O765" s="266"/>
      <c r="P765" s="266"/>
      <c r="Q765" s="262"/>
      <c r="R765" s="266"/>
      <c r="S765" s="266"/>
      <c r="T765" s="262"/>
      <c r="U765" s="266"/>
      <c r="V765" s="266"/>
    </row>
    <row r="766">
      <c r="B766" s="14"/>
      <c r="E766" s="262"/>
      <c r="F766" s="266"/>
      <c r="G766" s="266"/>
      <c r="H766" s="262"/>
      <c r="I766" s="266"/>
      <c r="J766" s="266"/>
      <c r="K766" s="262"/>
      <c r="L766" s="266"/>
      <c r="M766" s="266"/>
      <c r="N766" s="262"/>
      <c r="O766" s="266"/>
      <c r="P766" s="266"/>
      <c r="Q766" s="262"/>
      <c r="R766" s="266"/>
      <c r="S766" s="266"/>
      <c r="T766" s="262"/>
      <c r="U766" s="266"/>
      <c r="V766" s="266"/>
    </row>
    <row r="767">
      <c r="B767" s="14"/>
      <c r="E767" s="262"/>
      <c r="F767" s="266"/>
      <c r="G767" s="266"/>
      <c r="H767" s="262"/>
      <c r="I767" s="266"/>
      <c r="J767" s="266"/>
      <c r="K767" s="262"/>
      <c r="L767" s="266"/>
      <c r="M767" s="266"/>
      <c r="N767" s="262"/>
      <c r="O767" s="266"/>
      <c r="P767" s="266"/>
      <c r="Q767" s="262"/>
      <c r="R767" s="266"/>
      <c r="S767" s="266"/>
      <c r="T767" s="262"/>
      <c r="U767" s="266"/>
      <c r="V767" s="266"/>
    </row>
    <row r="768">
      <c r="B768" s="14"/>
      <c r="E768" s="262"/>
      <c r="F768" s="266"/>
      <c r="G768" s="266"/>
      <c r="H768" s="262"/>
      <c r="I768" s="266"/>
      <c r="J768" s="266"/>
      <c r="K768" s="262"/>
      <c r="L768" s="266"/>
      <c r="M768" s="266"/>
      <c r="N768" s="262"/>
      <c r="O768" s="266"/>
      <c r="P768" s="266"/>
      <c r="Q768" s="262"/>
      <c r="R768" s="266"/>
      <c r="S768" s="266"/>
      <c r="T768" s="262"/>
      <c r="U768" s="266"/>
      <c r="V768" s="266"/>
    </row>
    <row r="769">
      <c r="B769" s="14"/>
      <c r="E769" s="262"/>
      <c r="F769" s="266"/>
      <c r="G769" s="266"/>
      <c r="H769" s="262"/>
      <c r="I769" s="266"/>
      <c r="J769" s="266"/>
      <c r="K769" s="262"/>
      <c r="L769" s="266"/>
      <c r="M769" s="266"/>
      <c r="N769" s="262"/>
      <c r="O769" s="266"/>
      <c r="P769" s="266"/>
      <c r="Q769" s="262"/>
      <c r="R769" s="266"/>
      <c r="S769" s="266"/>
      <c r="T769" s="262"/>
      <c r="U769" s="266"/>
      <c r="V769" s="266"/>
    </row>
    <row r="770">
      <c r="B770" s="14"/>
      <c r="E770" s="262"/>
      <c r="F770" s="266"/>
      <c r="G770" s="266"/>
      <c r="H770" s="262"/>
      <c r="I770" s="266"/>
      <c r="J770" s="266"/>
      <c r="K770" s="262"/>
      <c r="L770" s="266"/>
      <c r="M770" s="266"/>
      <c r="N770" s="262"/>
      <c r="O770" s="266"/>
      <c r="P770" s="266"/>
      <c r="Q770" s="262"/>
      <c r="R770" s="266"/>
      <c r="S770" s="266"/>
      <c r="T770" s="262"/>
      <c r="U770" s="266"/>
      <c r="V770" s="266"/>
    </row>
    <row r="771">
      <c r="B771" s="14"/>
      <c r="E771" s="262"/>
      <c r="F771" s="266"/>
      <c r="G771" s="266"/>
      <c r="H771" s="262"/>
      <c r="I771" s="266"/>
      <c r="J771" s="266"/>
      <c r="K771" s="262"/>
      <c r="L771" s="266"/>
      <c r="M771" s="266"/>
      <c r="N771" s="262"/>
      <c r="O771" s="266"/>
      <c r="P771" s="266"/>
      <c r="Q771" s="262"/>
      <c r="R771" s="266"/>
      <c r="S771" s="266"/>
      <c r="T771" s="262"/>
      <c r="U771" s="266"/>
      <c r="V771" s="266"/>
    </row>
    <row r="772">
      <c r="B772" s="14"/>
      <c r="E772" s="262"/>
      <c r="F772" s="266"/>
      <c r="G772" s="266"/>
      <c r="H772" s="262"/>
      <c r="I772" s="266"/>
      <c r="J772" s="266"/>
      <c r="K772" s="262"/>
      <c r="L772" s="266"/>
      <c r="M772" s="266"/>
      <c r="N772" s="262"/>
      <c r="O772" s="266"/>
      <c r="P772" s="266"/>
      <c r="Q772" s="262"/>
      <c r="R772" s="266"/>
      <c r="S772" s="266"/>
      <c r="T772" s="262"/>
      <c r="U772" s="266"/>
      <c r="V772" s="266"/>
    </row>
    <row r="773">
      <c r="B773" s="14"/>
      <c r="E773" s="262"/>
      <c r="F773" s="266"/>
      <c r="G773" s="266"/>
      <c r="H773" s="262"/>
      <c r="I773" s="266"/>
      <c r="J773" s="266"/>
      <c r="K773" s="262"/>
      <c r="L773" s="266"/>
      <c r="M773" s="266"/>
      <c r="N773" s="262"/>
      <c r="O773" s="266"/>
      <c r="P773" s="266"/>
      <c r="Q773" s="262"/>
      <c r="R773" s="266"/>
      <c r="S773" s="266"/>
      <c r="T773" s="262"/>
      <c r="U773" s="266"/>
      <c r="V773" s="266"/>
    </row>
    <row r="774">
      <c r="B774" s="14"/>
      <c r="E774" s="262"/>
      <c r="F774" s="266"/>
      <c r="G774" s="266"/>
      <c r="H774" s="262"/>
      <c r="I774" s="266"/>
      <c r="J774" s="266"/>
      <c r="K774" s="262"/>
      <c r="L774" s="266"/>
      <c r="M774" s="266"/>
      <c r="N774" s="262"/>
      <c r="O774" s="266"/>
      <c r="P774" s="266"/>
      <c r="Q774" s="262"/>
      <c r="R774" s="266"/>
      <c r="S774" s="266"/>
      <c r="T774" s="262"/>
      <c r="U774" s="266"/>
      <c r="V774" s="266"/>
    </row>
    <row r="775">
      <c r="B775" s="14"/>
      <c r="E775" s="262"/>
      <c r="F775" s="266"/>
      <c r="G775" s="266"/>
      <c r="H775" s="262"/>
      <c r="I775" s="266"/>
      <c r="J775" s="266"/>
      <c r="K775" s="262"/>
      <c r="L775" s="266"/>
      <c r="M775" s="266"/>
      <c r="N775" s="262"/>
      <c r="O775" s="266"/>
      <c r="P775" s="266"/>
      <c r="Q775" s="262"/>
      <c r="R775" s="266"/>
      <c r="S775" s="266"/>
      <c r="T775" s="262"/>
      <c r="U775" s="266"/>
      <c r="V775" s="266"/>
    </row>
    <row r="776">
      <c r="B776" s="14"/>
      <c r="E776" s="262"/>
      <c r="F776" s="266"/>
      <c r="G776" s="266"/>
      <c r="H776" s="262"/>
      <c r="I776" s="266"/>
      <c r="J776" s="266"/>
      <c r="K776" s="262"/>
      <c r="L776" s="266"/>
      <c r="M776" s="266"/>
      <c r="N776" s="262"/>
      <c r="O776" s="266"/>
      <c r="P776" s="266"/>
      <c r="Q776" s="262"/>
      <c r="R776" s="266"/>
      <c r="S776" s="266"/>
      <c r="T776" s="262"/>
      <c r="U776" s="266"/>
      <c r="V776" s="266"/>
    </row>
    <row r="777">
      <c r="B777" s="14"/>
      <c r="E777" s="262"/>
      <c r="F777" s="266"/>
      <c r="G777" s="266"/>
      <c r="H777" s="262"/>
      <c r="I777" s="266"/>
      <c r="J777" s="266"/>
      <c r="K777" s="262"/>
      <c r="L777" s="266"/>
      <c r="M777" s="266"/>
      <c r="N777" s="262"/>
      <c r="O777" s="266"/>
      <c r="P777" s="266"/>
      <c r="Q777" s="262"/>
      <c r="R777" s="266"/>
      <c r="S777" s="266"/>
      <c r="T777" s="262"/>
      <c r="U777" s="266"/>
      <c r="V777" s="266"/>
    </row>
    <row r="778">
      <c r="B778" s="14"/>
      <c r="E778" s="262"/>
      <c r="F778" s="266"/>
      <c r="G778" s="266"/>
      <c r="H778" s="262"/>
      <c r="I778" s="266"/>
      <c r="J778" s="266"/>
      <c r="K778" s="262"/>
      <c r="L778" s="266"/>
      <c r="M778" s="266"/>
      <c r="N778" s="262"/>
      <c r="O778" s="266"/>
      <c r="P778" s="266"/>
      <c r="Q778" s="262"/>
      <c r="R778" s="266"/>
      <c r="S778" s="266"/>
      <c r="T778" s="262"/>
      <c r="U778" s="266"/>
      <c r="V778" s="266"/>
    </row>
    <row r="779">
      <c r="B779" s="14"/>
      <c r="E779" s="262"/>
      <c r="F779" s="266"/>
      <c r="G779" s="266"/>
      <c r="H779" s="262"/>
      <c r="I779" s="266"/>
      <c r="J779" s="266"/>
      <c r="K779" s="262"/>
      <c r="L779" s="266"/>
      <c r="M779" s="266"/>
      <c r="N779" s="262"/>
      <c r="O779" s="266"/>
      <c r="P779" s="266"/>
      <c r="Q779" s="262"/>
      <c r="R779" s="266"/>
      <c r="S779" s="266"/>
      <c r="T779" s="262"/>
      <c r="U779" s="266"/>
      <c r="V779" s="266"/>
    </row>
    <row r="780">
      <c r="B780" s="14"/>
      <c r="E780" s="262"/>
      <c r="F780" s="266"/>
      <c r="G780" s="266"/>
      <c r="H780" s="262"/>
      <c r="I780" s="266"/>
      <c r="J780" s="266"/>
      <c r="K780" s="262"/>
      <c r="L780" s="266"/>
      <c r="M780" s="266"/>
      <c r="N780" s="262"/>
      <c r="O780" s="266"/>
      <c r="P780" s="266"/>
      <c r="Q780" s="262"/>
      <c r="R780" s="266"/>
      <c r="S780" s="266"/>
      <c r="T780" s="262"/>
      <c r="U780" s="266"/>
      <c r="V780" s="266"/>
    </row>
    <row r="781">
      <c r="B781" s="14"/>
      <c r="E781" s="262"/>
      <c r="F781" s="266"/>
      <c r="G781" s="266"/>
      <c r="H781" s="262"/>
      <c r="I781" s="266"/>
      <c r="J781" s="266"/>
      <c r="K781" s="262"/>
      <c r="L781" s="266"/>
      <c r="M781" s="266"/>
      <c r="N781" s="262"/>
      <c r="O781" s="266"/>
      <c r="P781" s="266"/>
      <c r="Q781" s="262"/>
      <c r="R781" s="266"/>
      <c r="S781" s="266"/>
      <c r="T781" s="262"/>
      <c r="U781" s="266"/>
      <c r="V781" s="266"/>
    </row>
    <row r="782">
      <c r="B782" s="14"/>
      <c r="E782" s="262"/>
      <c r="F782" s="266"/>
      <c r="G782" s="266"/>
      <c r="H782" s="262"/>
      <c r="I782" s="266"/>
      <c r="J782" s="266"/>
      <c r="K782" s="262"/>
      <c r="L782" s="266"/>
      <c r="M782" s="266"/>
      <c r="N782" s="262"/>
      <c r="O782" s="266"/>
      <c r="P782" s="266"/>
      <c r="Q782" s="262"/>
      <c r="R782" s="266"/>
      <c r="S782" s="266"/>
      <c r="T782" s="262"/>
      <c r="U782" s="266"/>
      <c r="V782" s="266"/>
    </row>
    <row r="783">
      <c r="B783" s="14"/>
      <c r="E783" s="262"/>
      <c r="F783" s="266"/>
      <c r="G783" s="266"/>
      <c r="H783" s="262"/>
      <c r="I783" s="266"/>
      <c r="J783" s="266"/>
      <c r="K783" s="262"/>
      <c r="L783" s="266"/>
      <c r="M783" s="266"/>
      <c r="N783" s="262"/>
      <c r="O783" s="266"/>
      <c r="P783" s="266"/>
      <c r="Q783" s="262"/>
      <c r="R783" s="266"/>
      <c r="S783" s="266"/>
      <c r="T783" s="262"/>
      <c r="U783" s="266"/>
      <c r="V783" s="266"/>
    </row>
    <row r="784">
      <c r="B784" s="14"/>
      <c r="E784" s="262"/>
      <c r="F784" s="266"/>
      <c r="G784" s="266"/>
      <c r="H784" s="262"/>
      <c r="I784" s="266"/>
      <c r="J784" s="266"/>
      <c r="K784" s="262"/>
      <c r="L784" s="266"/>
      <c r="M784" s="266"/>
      <c r="N784" s="262"/>
      <c r="O784" s="266"/>
      <c r="P784" s="266"/>
      <c r="Q784" s="262"/>
      <c r="R784" s="266"/>
      <c r="S784" s="266"/>
      <c r="T784" s="262"/>
      <c r="U784" s="266"/>
      <c r="V784" s="266"/>
    </row>
    <row r="785">
      <c r="B785" s="14"/>
      <c r="E785" s="262"/>
      <c r="F785" s="266"/>
      <c r="G785" s="266"/>
      <c r="H785" s="262"/>
      <c r="I785" s="266"/>
      <c r="J785" s="266"/>
      <c r="K785" s="262"/>
      <c r="L785" s="266"/>
      <c r="M785" s="266"/>
      <c r="N785" s="262"/>
      <c r="O785" s="266"/>
      <c r="P785" s="266"/>
      <c r="Q785" s="262"/>
      <c r="R785" s="266"/>
      <c r="S785" s="266"/>
      <c r="T785" s="262"/>
      <c r="U785" s="266"/>
      <c r="V785" s="266"/>
    </row>
    <row r="786">
      <c r="B786" s="14"/>
      <c r="E786" s="262"/>
      <c r="F786" s="266"/>
      <c r="G786" s="266"/>
      <c r="H786" s="262"/>
      <c r="I786" s="266"/>
      <c r="J786" s="266"/>
      <c r="K786" s="262"/>
      <c r="L786" s="266"/>
      <c r="M786" s="266"/>
      <c r="N786" s="262"/>
      <c r="O786" s="266"/>
      <c r="P786" s="266"/>
      <c r="Q786" s="262"/>
      <c r="R786" s="266"/>
      <c r="S786" s="266"/>
      <c r="T786" s="262"/>
      <c r="U786" s="266"/>
      <c r="V786" s="266"/>
    </row>
    <row r="787">
      <c r="B787" s="14"/>
      <c r="E787" s="262"/>
      <c r="F787" s="266"/>
      <c r="G787" s="266"/>
      <c r="H787" s="262"/>
      <c r="I787" s="266"/>
      <c r="J787" s="266"/>
      <c r="K787" s="262"/>
      <c r="L787" s="266"/>
      <c r="M787" s="266"/>
      <c r="N787" s="262"/>
      <c r="O787" s="266"/>
      <c r="P787" s="266"/>
      <c r="Q787" s="262"/>
      <c r="R787" s="266"/>
      <c r="S787" s="266"/>
      <c r="T787" s="262"/>
      <c r="U787" s="266"/>
      <c r="V787" s="266"/>
    </row>
    <row r="788">
      <c r="B788" s="14"/>
      <c r="E788" s="262"/>
      <c r="F788" s="266"/>
      <c r="G788" s="266"/>
      <c r="H788" s="262"/>
      <c r="I788" s="266"/>
      <c r="J788" s="266"/>
      <c r="K788" s="262"/>
      <c r="L788" s="266"/>
      <c r="M788" s="266"/>
      <c r="N788" s="262"/>
      <c r="O788" s="266"/>
      <c r="P788" s="266"/>
      <c r="Q788" s="262"/>
      <c r="R788" s="266"/>
      <c r="S788" s="266"/>
      <c r="T788" s="262"/>
      <c r="U788" s="266"/>
      <c r="V788" s="266"/>
    </row>
    <row r="789">
      <c r="B789" s="14"/>
      <c r="E789" s="262"/>
      <c r="F789" s="266"/>
      <c r="G789" s="266"/>
      <c r="H789" s="262"/>
      <c r="I789" s="266"/>
      <c r="J789" s="266"/>
      <c r="K789" s="262"/>
      <c r="L789" s="266"/>
      <c r="M789" s="266"/>
      <c r="N789" s="262"/>
      <c r="O789" s="266"/>
      <c r="P789" s="266"/>
      <c r="Q789" s="262"/>
      <c r="R789" s="266"/>
      <c r="S789" s="266"/>
      <c r="T789" s="262"/>
      <c r="U789" s="266"/>
      <c r="V789" s="266"/>
    </row>
    <row r="790">
      <c r="B790" s="14"/>
      <c r="E790" s="262"/>
      <c r="F790" s="266"/>
      <c r="G790" s="266"/>
      <c r="H790" s="262"/>
      <c r="I790" s="266"/>
      <c r="J790" s="266"/>
      <c r="K790" s="262"/>
      <c r="L790" s="266"/>
      <c r="M790" s="266"/>
      <c r="N790" s="262"/>
      <c r="O790" s="266"/>
      <c r="P790" s="266"/>
      <c r="Q790" s="262"/>
      <c r="R790" s="266"/>
      <c r="S790" s="266"/>
      <c r="T790" s="262"/>
      <c r="U790" s="266"/>
      <c r="V790" s="266"/>
    </row>
    <row r="791">
      <c r="B791" s="14"/>
      <c r="E791" s="262"/>
      <c r="F791" s="266"/>
      <c r="G791" s="266"/>
      <c r="H791" s="262"/>
      <c r="I791" s="266"/>
      <c r="J791" s="266"/>
      <c r="K791" s="262"/>
      <c r="L791" s="266"/>
      <c r="M791" s="266"/>
      <c r="N791" s="262"/>
      <c r="O791" s="266"/>
      <c r="P791" s="266"/>
      <c r="Q791" s="262"/>
      <c r="R791" s="266"/>
      <c r="S791" s="266"/>
      <c r="T791" s="262"/>
      <c r="U791" s="266"/>
      <c r="V791" s="266"/>
    </row>
    <row r="792">
      <c r="B792" s="14"/>
      <c r="E792" s="262"/>
      <c r="F792" s="266"/>
      <c r="G792" s="266"/>
      <c r="H792" s="262"/>
      <c r="I792" s="266"/>
      <c r="J792" s="266"/>
      <c r="K792" s="262"/>
      <c r="L792" s="266"/>
      <c r="M792" s="266"/>
      <c r="N792" s="262"/>
      <c r="O792" s="266"/>
      <c r="P792" s="266"/>
      <c r="Q792" s="262"/>
      <c r="R792" s="266"/>
      <c r="S792" s="266"/>
      <c r="T792" s="262"/>
      <c r="U792" s="266"/>
      <c r="V792" s="266"/>
    </row>
    <row r="793">
      <c r="B793" s="14"/>
      <c r="E793" s="262"/>
      <c r="F793" s="266"/>
      <c r="G793" s="266"/>
      <c r="H793" s="262"/>
      <c r="I793" s="266"/>
      <c r="J793" s="266"/>
      <c r="K793" s="262"/>
      <c r="L793" s="266"/>
      <c r="M793" s="266"/>
      <c r="N793" s="262"/>
      <c r="O793" s="266"/>
      <c r="P793" s="266"/>
      <c r="Q793" s="262"/>
      <c r="R793" s="266"/>
      <c r="S793" s="266"/>
      <c r="T793" s="262"/>
      <c r="U793" s="266"/>
      <c r="V793" s="266"/>
    </row>
    <row r="794">
      <c r="B794" s="14"/>
      <c r="E794" s="262"/>
      <c r="F794" s="266"/>
      <c r="G794" s="266"/>
      <c r="H794" s="262"/>
      <c r="I794" s="266"/>
      <c r="J794" s="266"/>
      <c r="K794" s="262"/>
      <c r="L794" s="266"/>
      <c r="M794" s="266"/>
      <c r="N794" s="262"/>
      <c r="O794" s="266"/>
      <c r="P794" s="266"/>
      <c r="Q794" s="262"/>
      <c r="R794" s="266"/>
      <c r="S794" s="266"/>
      <c r="T794" s="262"/>
      <c r="U794" s="266"/>
      <c r="V794" s="266"/>
    </row>
    <row r="795">
      <c r="B795" s="14"/>
      <c r="E795" s="262"/>
      <c r="F795" s="266"/>
      <c r="G795" s="266"/>
      <c r="H795" s="262"/>
      <c r="I795" s="266"/>
      <c r="J795" s="266"/>
      <c r="K795" s="262"/>
      <c r="L795" s="266"/>
      <c r="M795" s="266"/>
      <c r="N795" s="262"/>
      <c r="O795" s="266"/>
      <c r="P795" s="266"/>
      <c r="Q795" s="262"/>
      <c r="R795" s="266"/>
      <c r="S795" s="266"/>
      <c r="T795" s="262"/>
      <c r="U795" s="266"/>
      <c r="V795" s="266"/>
    </row>
    <row r="796">
      <c r="B796" s="14"/>
      <c r="E796" s="262"/>
      <c r="F796" s="266"/>
      <c r="G796" s="266"/>
      <c r="H796" s="262"/>
      <c r="I796" s="266"/>
      <c r="J796" s="266"/>
      <c r="K796" s="262"/>
      <c r="L796" s="266"/>
      <c r="M796" s="266"/>
      <c r="N796" s="262"/>
      <c r="O796" s="266"/>
      <c r="P796" s="266"/>
      <c r="Q796" s="262"/>
      <c r="R796" s="266"/>
      <c r="S796" s="266"/>
      <c r="T796" s="262"/>
      <c r="U796" s="266"/>
      <c r="V796" s="266"/>
    </row>
    <row r="797">
      <c r="B797" s="14"/>
      <c r="E797" s="262"/>
      <c r="F797" s="266"/>
      <c r="G797" s="266"/>
      <c r="H797" s="262"/>
      <c r="I797" s="266"/>
      <c r="J797" s="266"/>
      <c r="K797" s="262"/>
      <c r="L797" s="266"/>
      <c r="M797" s="266"/>
      <c r="N797" s="262"/>
      <c r="O797" s="266"/>
      <c r="P797" s="266"/>
      <c r="Q797" s="262"/>
      <c r="R797" s="266"/>
      <c r="S797" s="266"/>
      <c r="T797" s="262"/>
      <c r="U797" s="266"/>
      <c r="V797" s="266"/>
    </row>
    <row r="798">
      <c r="B798" s="14"/>
      <c r="E798" s="262"/>
      <c r="F798" s="266"/>
      <c r="G798" s="266"/>
      <c r="H798" s="262"/>
      <c r="I798" s="266"/>
      <c r="J798" s="266"/>
      <c r="K798" s="262"/>
      <c r="L798" s="266"/>
      <c r="M798" s="266"/>
      <c r="N798" s="262"/>
      <c r="O798" s="266"/>
      <c r="P798" s="266"/>
      <c r="Q798" s="262"/>
      <c r="R798" s="266"/>
      <c r="S798" s="266"/>
      <c r="T798" s="262"/>
      <c r="U798" s="266"/>
      <c r="V798" s="266"/>
    </row>
    <row r="799">
      <c r="B799" s="14"/>
      <c r="E799" s="262"/>
      <c r="F799" s="266"/>
      <c r="G799" s="266"/>
      <c r="H799" s="262"/>
      <c r="I799" s="266"/>
      <c r="J799" s="266"/>
      <c r="K799" s="262"/>
      <c r="L799" s="266"/>
      <c r="M799" s="266"/>
      <c r="N799" s="262"/>
      <c r="O799" s="266"/>
      <c r="P799" s="266"/>
      <c r="Q799" s="262"/>
      <c r="R799" s="266"/>
      <c r="S799" s="266"/>
      <c r="T799" s="262"/>
      <c r="U799" s="266"/>
      <c r="V799" s="266"/>
    </row>
    <row r="800">
      <c r="B800" s="14"/>
      <c r="E800" s="262"/>
      <c r="F800" s="266"/>
      <c r="G800" s="266"/>
      <c r="H800" s="262"/>
      <c r="I800" s="266"/>
      <c r="J800" s="266"/>
      <c r="K800" s="262"/>
      <c r="L800" s="266"/>
      <c r="M800" s="266"/>
      <c r="N800" s="262"/>
      <c r="O800" s="266"/>
      <c r="P800" s="266"/>
      <c r="Q800" s="262"/>
      <c r="R800" s="266"/>
      <c r="S800" s="266"/>
      <c r="T800" s="262"/>
      <c r="U800" s="266"/>
      <c r="V800" s="266"/>
    </row>
    <row r="801">
      <c r="B801" s="14"/>
      <c r="E801" s="262"/>
      <c r="F801" s="266"/>
      <c r="G801" s="266"/>
      <c r="H801" s="262"/>
      <c r="I801" s="266"/>
      <c r="J801" s="266"/>
      <c r="K801" s="262"/>
      <c r="L801" s="266"/>
      <c r="M801" s="266"/>
      <c r="N801" s="262"/>
      <c r="O801" s="266"/>
      <c r="P801" s="266"/>
      <c r="Q801" s="262"/>
      <c r="R801" s="266"/>
      <c r="S801" s="266"/>
      <c r="T801" s="262"/>
      <c r="U801" s="266"/>
      <c r="V801" s="266"/>
    </row>
    <row r="802">
      <c r="B802" s="14"/>
      <c r="E802" s="262"/>
      <c r="F802" s="266"/>
      <c r="G802" s="266"/>
      <c r="H802" s="262"/>
      <c r="I802" s="266"/>
      <c r="J802" s="266"/>
      <c r="K802" s="262"/>
      <c r="L802" s="266"/>
      <c r="M802" s="266"/>
      <c r="N802" s="262"/>
      <c r="O802" s="266"/>
      <c r="P802" s="266"/>
      <c r="Q802" s="262"/>
      <c r="R802" s="266"/>
      <c r="S802" s="266"/>
      <c r="T802" s="262"/>
      <c r="U802" s="266"/>
      <c r="V802" s="266"/>
    </row>
    <row r="803">
      <c r="B803" s="14"/>
      <c r="E803" s="262"/>
      <c r="F803" s="266"/>
      <c r="G803" s="266"/>
      <c r="H803" s="262"/>
      <c r="I803" s="266"/>
      <c r="J803" s="266"/>
      <c r="K803" s="262"/>
      <c r="L803" s="266"/>
      <c r="M803" s="266"/>
      <c r="N803" s="262"/>
      <c r="O803" s="266"/>
      <c r="P803" s="266"/>
      <c r="Q803" s="262"/>
      <c r="R803" s="266"/>
      <c r="S803" s="266"/>
      <c r="T803" s="262"/>
      <c r="U803" s="266"/>
      <c r="V803" s="266"/>
    </row>
    <row r="804">
      <c r="B804" s="14"/>
      <c r="E804" s="262"/>
      <c r="F804" s="266"/>
      <c r="G804" s="266"/>
      <c r="H804" s="262"/>
      <c r="I804" s="266"/>
      <c r="J804" s="266"/>
      <c r="K804" s="262"/>
      <c r="L804" s="266"/>
      <c r="M804" s="266"/>
      <c r="N804" s="262"/>
      <c r="O804" s="266"/>
      <c r="P804" s="266"/>
      <c r="Q804" s="262"/>
      <c r="R804" s="266"/>
      <c r="S804" s="266"/>
      <c r="T804" s="262"/>
      <c r="U804" s="266"/>
      <c r="V804" s="266"/>
    </row>
    <row r="805">
      <c r="B805" s="14"/>
      <c r="E805" s="262"/>
      <c r="F805" s="266"/>
      <c r="G805" s="266"/>
      <c r="H805" s="262"/>
      <c r="I805" s="266"/>
      <c r="J805" s="266"/>
      <c r="K805" s="262"/>
      <c r="L805" s="266"/>
      <c r="M805" s="266"/>
      <c r="N805" s="262"/>
      <c r="O805" s="266"/>
      <c r="P805" s="266"/>
      <c r="Q805" s="262"/>
      <c r="R805" s="266"/>
      <c r="S805" s="266"/>
      <c r="T805" s="262"/>
      <c r="U805" s="266"/>
      <c r="V805" s="266"/>
    </row>
    <row r="806">
      <c r="B806" s="14"/>
      <c r="E806" s="262"/>
      <c r="F806" s="266"/>
      <c r="G806" s="266"/>
      <c r="H806" s="262"/>
      <c r="I806" s="266"/>
      <c r="J806" s="266"/>
      <c r="K806" s="262"/>
      <c r="L806" s="266"/>
      <c r="M806" s="266"/>
      <c r="N806" s="262"/>
      <c r="O806" s="266"/>
      <c r="P806" s="266"/>
      <c r="Q806" s="262"/>
      <c r="R806" s="266"/>
      <c r="S806" s="266"/>
      <c r="T806" s="262"/>
      <c r="U806" s="266"/>
      <c r="V806" s="266"/>
    </row>
    <row r="807">
      <c r="B807" s="14"/>
      <c r="E807" s="262"/>
      <c r="F807" s="266"/>
      <c r="G807" s="266"/>
      <c r="H807" s="262"/>
      <c r="I807" s="266"/>
      <c r="J807" s="266"/>
      <c r="K807" s="262"/>
      <c r="L807" s="266"/>
      <c r="M807" s="266"/>
      <c r="N807" s="262"/>
      <c r="O807" s="266"/>
      <c r="P807" s="266"/>
      <c r="Q807" s="262"/>
      <c r="R807" s="266"/>
      <c r="S807" s="266"/>
      <c r="T807" s="262"/>
      <c r="U807" s="266"/>
      <c r="V807" s="266"/>
    </row>
    <row r="808">
      <c r="B808" s="14"/>
      <c r="E808" s="262"/>
      <c r="F808" s="266"/>
      <c r="G808" s="266"/>
      <c r="H808" s="262"/>
      <c r="I808" s="266"/>
      <c r="J808" s="266"/>
      <c r="K808" s="262"/>
      <c r="L808" s="266"/>
      <c r="M808" s="266"/>
      <c r="N808" s="262"/>
      <c r="O808" s="266"/>
      <c r="P808" s="266"/>
      <c r="Q808" s="262"/>
      <c r="R808" s="266"/>
      <c r="S808" s="266"/>
      <c r="T808" s="262"/>
      <c r="U808" s="266"/>
      <c r="V808" s="266"/>
    </row>
    <row r="809">
      <c r="B809" s="14"/>
      <c r="E809" s="262"/>
      <c r="F809" s="266"/>
      <c r="G809" s="266"/>
      <c r="H809" s="262"/>
      <c r="I809" s="266"/>
      <c r="J809" s="266"/>
      <c r="K809" s="262"/>
      <c r="L809" s="266"/>
      <c r="M809" s="266"/>
      <c r="N809" s="262"/>
      <c r="O809" s="266"/>
      <c r="P809" s="266"/>
      <c r="Q809" s="262"/>
      <c r="R809" s="266"/>
      <c r="S809" s="266"/>
      <c r="T809" s="262"/>
      <c r="U809" s="266"/>
      <c r="V809" s="266"/>
    </row>
    <row r="810">
      <c r="B810" s="14"/>
      <c r="E810" s="262"/>
      <c r="F810" s="266"/>
      <c r="G810" s="266"/>
      <c r="H810" s="262"/>
      <c r="I810" s="266"/>
      <c r="J810" s="266"/>
      <c r="K810" s="262"/>
      <c r="L810" s="266"/>
      <c r="M810" s="266"/>
      <c r="N810" s="262"/>
      <c r="O810" s="266"/>
      <c r="P810" s="266"/>
      <c r="Q810" s="262"/>
      <c r="R810" s="266"/>
      <c r="S810" s="266"/>
      <c r="T810" s="262"/>
      <c r="U810" s="266"/>
      <c r="V810" s="266"/>
    </row>
    <row r="811">
      <c r="B811" s="14"/>
      <c r="E811" s="262"/>
      <c r="F811" s="266"/>
      <c r="G811" s="266"/>
      <c r="H811" s="262"/>
      <c r="I811" s="266"/>
      <c r="J811" s="266"/>
      <c r="K811" s="262"/>
      <c r="L811" s="266"/>
      <c r="M811" s="266"/>
      <c r="N811" s="262"/>
      <c r="O811" s="266"/>
      <c r="P811" s="266"/>
      <c r="Q811" s="262"/>
      <c r="R811" s="266"/>
      <c r="S811" s="266"/>
      <c r="T811" s="262"/>
      <c r="U811" s="266"/>
      <c r="V811" s="266"/>
    </row>
    <row r="812">
      <c r="B812" s="14"/>
      <c r="E812" s="262"/>
      <c r="F812" s="266"/>
      <c r="G812" s="266"/>
      <c r="H812" s="262"/>
      <c r="I812" s="266"/>
      <c r="J812" s="266"/>
      <c r="K812" s="262"/>
      <c r="L812" s="266"/>
      <c r="M812" s="266"/>
      <c r="N812" s="262"/>
      <c r="O812" s="266"/>
      <c r="P812" s="266"/>
      <c r="Q812" s="262"/>
      <c r="R812" s="266"/>
      <c r="S812" s="266"/>
      <c r="T812" s="262"/>
      <c r="U812" s="266"/>
      <c r="V812" s="266"/>
    </row>
    <row r="813">
      <c r="B813" s="14"/>
      <c r="E813" s="262"/>
      <c r="F813" s="266"/>
      <c r="G813" s="266"/>
      <c r="H813" s="262"/>
      <c r="I813" s="266"/>
      <c r="J813" s="266"/>
      <c r="K813" s="262"/>
      <c r="L813" s="266"/>
      <c r="M813" s="266"/>
      <c r="N813" s="262"/>
      <c r="O813" s="266"/>
      <c r="P813" s="266"/>
      <c r="Q813" s="262"/>
      <c r="R813" s="266"/>
      <c r="S813" s="266"/>
      <c r="T813" s="262"/>
      <c r="U813" s="266"/>
      <c r="V813" s="266"/>
    </row>
    <row r="814">
      <c r="B814" s="14"/>
      <c r="E814" s="262"/>
      <c r="F814" s="266"/>
      <c r="G814" s="266"/>
      <c r="H814" s="262"/>
      <c r="I814" s="266"/>
      <c r="J814" s="266"/>
      <c r="K814" s="262"/>
      <c r="L814" s="266"/>
      <c r="M814" s="266"/>
      <c r="N814" s="262"/>
      <c r="O814" s="266"/>
      <c r="P814" s="266"/>
      <c r="Q814" s="262"/>
      <c r="R814" s="266"/>
      <c r="S814" s="266"/>
      <c r="T814" s="262"/>
      <c r="U814" s="266"/>
      <c r="V814" s="266"/>
    </row>
    <row r="815">
      <c r="B815" s="14"/>
      <c r="E815" s="262"/>
      <c r="F815" s="266"/>
      <c r="G815" s="266"/>
      <c r="H815" s="262"/>
      <c r="I815" s="266"/>
      <c r="J815" s="266"/>
      <c r="K815" s="262"/>
      <c r="L815" s="266"/>
      <c r="M815" s="266"/>
      <c r="N815" s="262"/>
      <c r="O815" s="266"/>
      <c r="P815" s="266"/>
      <c r="Q815" s="262"/>
      <c r="R815" s="266"/>
      <c r="S815" s="266"/>
      <c r="T815" s="262"/>
      <c r="U815" s="266"/>
      <c r="V815" s="266"/>
    </row>
    <row r="816">
      <c r="B816" s="14"/>
      <c r="E816" s="262"/>
      <c r="F816" s="266"/>
      <c r="G816" s="266"/>
      <c r="H816" s="262"/>
      <c r="I816" s="266"/>
      <c r="J816" s="266"/>
      <c r="K816" s="262"/>
      <c r="L816" s="266"/>
      <c r="M816" s="266"/>
      <c r="N816" s="262"/>
      <c r="O816" s="266"/>
      <c r="P816" s="266"/>
      <c r="Q816" s="262"/>
      <c r="R816" s="266"/>
      <c r="S816" s="266"/>
      <c r="T816" s="262"/>
      <c r="U816" s="266"/>
      <c r="V816" s="266"/>
    </row>
    <row r="817">
      <c r="B817" s="14"/>
      <c r="E817" s="262"/>
      <c r="F817" s="266"/>
      <c r="G817" s="266"/>
      <c r="H817" s="262"/>
      <c r="I817" s="266"/>
      <c r="J817" s="266"/>
      <c r="K817" s="262"/>
      <c r="L817" s="266"/>
      <c r="M817" s="266"/>
      <c r="N817" s="262"/>
      <c r="O817" s="266"/>
      <c r="P817" s="266"/>
      <c r="Q817" s="262"/>
      <c r="R817" s="266"/>
      <c r="S817" s="266"/>
      <c r="T817" s="262"/>
      <c r="U817" s="266"/>
      <c r="V817" s="266"/>
    </row>
    <row r="818">
      <c r="B818" s="14"/>
      <c r="E818" s="262"/>
      <c r="F818" s="266"/>
      <c r="G818" s="266"/>
      <c r="H818" s="262"/>
      <c r="I818" s="266"/>
      <c r="J818" s="266"/>
      <c r="K818" s="262"/>
      <c r="L818" s="266"/>
      <c r="M818" s="266"/>
      <c r="N818" s="262"/>
      <c r="O818" s="266"/>
      <c r="P818" s="266"/>
      <c r="Q818" s="262"/>
      <c r="R818" s="266"/>
      <c r="S818" s="266"/>
      <c r="T818" s="262"/>
      <c r="U818" s="266"/>
      <c r="V818" s="266"/>
    </row>
    <row r="819">
      <c r="B819" s="14"/>
      <c r="E819" s="262"/>
      <c r="F819" s="266"/>
      <c r="G819" s="266"/>
      <c r="H819" s="262"/>
      <c r="I819" s="266"/>
      <c r="J819" s="266"/>
      <c r="K819" s="262"/>
      <c r="L819" s="266"/>
      <c r="M819" s="266"/>
      <c r="N819" s="262"/>
      <c r="O819" s="266"/>
      <c r="P819" s="266"/>
      <c r="Q819" s="262"/>
      <c r="R819" s="266"/>
      <c r="S819" s="266"/>
      <c r="T819" s="262"/>
      <c r="U819" s="266"/>
      <c r="V819" s="266"/>
    </row>
    <row r="820">
      <c r="B820" s="14"/>
      <c r="E820" s="262"/>
      <c r="F820" s="266"/>
      <c r="G820" s="266"/>
      <c r="H820" s="262"/>
      <c r="I820" s="266"/>
      <c r="J820" s="266"/>
      <c r="K820" s="262"/>
      <c r="L820" s="266"/>
      <c r="M820" s="266"/>
      <c r="N820" s="262"/>
      <c r="O820" s="266"/>
      <c r="P820" s="266"/>
      <c r="Q820" s="262"/>
      <c r="R820" s="266"/>
      <c r="S820" s="266"/>
      <c r="T820" s="262"/>
      <c r="U820" s="266"/>
      <c r="V820" s="266"/>
    </row>
    <row r="821">
      <c r="B821" s="14"/>
      <c r="E821" s="262"/>
      <c r="F821" s="266"/>
      <c r="G821" s="266"/>
      <c r="H821" s="262"/>
      <c r="I821" s="266"/>
      <c r="J821" s="266"/>
      <c r="K821" s="262"/>
      <c r="L821" s="266"/>
      <c r="M821" s="266"/>
      <c r="N821" s="262"/>
      <c r="O821" s="266"/>
      <c r="P821" s="266"/>
      <c r="Q821" s="262"/>
      <c r="R821" s="266"/>
      <c r="S821" s="266"/>
      <c r="T821" s="262"/>
      <c r="U821" s="266"/>
      <c r="V821" s="266"/>
    </row>
    <row r="822">
      <c r="B822" s="14"/>
      <c r="E822" s="262"/>
      <c r="F822" s="266"/>
      <c r="G822" s="266"/>
      <c r="H822" s="262"/>
      <c r="I822" s="266"/>
      <c r="J822" s="266"/>
      <c r="K822" s="262"/>
      <c r="L822" s="266"/>
      <c r="M822" s="266"/>
      <c r="N822" s="262"/>
      <c r="O822" s="266"/>
      <c r="P822" s="266"/>
      <c r="Q822" s="262"/>
      <c r="R822" s="266"/>
      <c r="S822" s="266"/>
      <c r="T822" s="262"/>
      <c r="U822" s="266"/>
      <c r="V822" s="266"/>
    </row>
    <row r="823">
      <c r="B823" s="14"/>
      <c r="E823" s="262"/>
      <c r="F823" s="266"/>
      <c r="G823" s="266"/>
      <c r="H823" s="262"/>
      <c r="I823" s="266"/>
      <c r="J823" s="266"/>
      <c r="K823" s="262"/>
      <c r="L823" s="266"/>
      <c r="M823" s="266"/>
      <c r="N823" s="262"/>
      <c r="O823" s="266"/>
      <c r="P823" s="266"/>
      <c r="Q823" s="262"/>
      <c r="R823" s="266"/>
      <c r="S823" s="266"/>
      <c r="T823" s="262"/>
      <c r="U823" s="266"/>
      <c r="V823" s="266"/>
    </row>
    <row r="824">
      <c r="B824" s="14"/>
      <c r="E824" s="262"/>
      <c r="F824" s="266"/>
      <c r="G824" s="266"/>
      <c r="H824" s="262"/>
      <c r="I824" s="266"/>
      <c r="J824" s="266"/>
      <c r="K824" s="262"/>
      <c r="L824" s="266"/>
      <c r="M824" s="266"/>
      <c r="N824" s="262"/>
      <c r="O824" s="266"/>
      <c r="P824" s="266"/>
      <c r="Q824" s="262"/>
      <c r="R824" s="266"/>
      <c r="S824" s="266"/>
      <c r="T824" s="262"/>
      <c r="U824" s="266"/>
      <c r="V824" s="266"/>
    </row>
    <row r="825">
      <c r="B825" s="14"/>
      <c r="E825" s="262"/>
      <c r="F825" s="266"/>
      <c r="G825" s="266"/>
      <c r="H825" s="262"/>
      <c r="I825" s="266"/>
      <c r="J825" s="266"/>
      <c r="K825" s="262"/>
      <c r="L825" s="266"/>
      <c r="M825" s="266"/>
      <c r="N825" s="262"/>
      <c r="O825" s="266"/>
      <c r="P825" s="266"/>
      <c r="Q825" s="262"/>
      <c r="R825" s="266"/>
      <c r="S825" s="266"/>
      <c r="T825" s="262"/>
      <c r="U825" s="266"/>
      <c r="V825" s="266"/>
    </row>
    <row r="826">
      <c r="B826" s="14"/>
      <c r="E826" s="262"/>
      <c r="F826" s="266"/>
      <c r="G826" s="266"/>
      <c r="H826" s="262"/>
      <c r="I826" s="266"/>
      <c r="J826" s="266"/>
      <c r="K826" s="262"/>
      <c r="L826" s="266"/>
      <c r="M826" s="266"/>
      <c r="N826" s="262"/>
      <c r="O826" s="266"/>
      <c r="P826" s="266"/>
      <c r="Q826" s="262"/>
      <c r="R826" s="266"/>
      <c r="S826" s="266"/>
      <c r="T826" s="262"/>
      <c r="U826" s="266"/>
      <c r="V826" s="266"/>
    </row>
    <row r="827">
      <c r="B827" s="14"/>
      <c r="E827" s="262"/>
      <c r="F827" s="266"/>
      <c r="G827" s="266"/>
      <c r="H827" s="262"/>
      <c r="I827" s="266"/>
      <c r="J827" s="266"/>
      <c r="K827" s="262"/>
      <c r="L827" s="266"/>
      <c r="M827" s="266"/>
      <c r="N827" s="262"/>
      <c r="O827" s="266"/>
      <c r="P827" s="266"/>
      <c r="Q827" s="262"/>
      <c r="R827" s="266"/>
      <c r="S827" s="266"/>
      <c r="T827" s="262"/>
      <c r="U827" s="266"/>
      <c r="V827" s="266"/>
    </row>
    <row r="828">
      <c r="B828" s="14"/>
      <c r="E828" s="262"/>
      <c r="F828" s="266"/>
      <c r="G828" s="266"/>
      <c r="H828" s="262"/>
      <c r="I828" s="266"/>
      <c r="J828" s="266"/>
      <c r="K828" s="262"/>
      <c r="L828" s="266"/>
      <c r="M828" s="266"/>
      <c r="N828" s="262"/>
      <c r="O828" s="266"/>
      <c r="P828" s="266"/>
      <c r="Q828" s="262"/>
      <c r="R828" s="266"/>
      <c r="S828" s="266"/>
      <c r="T828" s="262"/>
      <c r="U828" s="266"/>
      <c r="V828" s="266"/>
    </row>
    <row r="829">
      <c r="B829" s="14"/>
      <c r="E829" s="262"/>
      <c r="F829" s="266"/>
      <c r="G829" s="266"/>
      <c r="H829" s="262"/>
      <c r="I829" s="266"/>
      <c r="J829" s="266"/>
      <c r="K829" s="262"/>
      <c r="L829" s="266"/>
      <c r="M829" s="266"/>
      <c r="N829" s="262"/>
      <c r="O829" s="266"/>
      <c r="P829" s="266"/>
      <c r="Q829" s="262"/>
      <c r="R829" s="266"/>
      <c r="S829" s="266"/>
      <c r="T829" s="262"/>
      <c r="U829" s="266"/>
      <c r="V829" s="266"/>
    </row>
    <row r="830">
      <c r="B830" s="14"/>
      <c r="E830" s="262"/>
      <c r="F830" s="266"/>
      <c r="G830" s="266"/>
      <c r="H830" s="262"/>
      <c r="I830" s="266"/>
      <c r="J830" s="266"/>
      <c r="K830" s="262"/>
      <c r="L830" s="266"/>
      <c r="M830" s="266"/>
      <c r="N830" s="262"/>
      <c r="O830" s="266"/>
      <c r="P830" s="266"/>
      <c r="Q830" s="262"/>
      <c r="R830" s="266"/>
      <c r="S830" s="266"/>
      <c r="T830" s="262"/>
      <c r="U830" s="266"/>
      <c r="V830" s="266"/>
    </row>
    <row r="831">
      <c r="B831" s="14"/>
      <c r="E831" s="262"/>
      <c r="F831" s="266"/>
      <c r="G831" s="266"/>
      <c r="H831" s="262"/>
      <c r="I831" s="266"/>
      <c r="J831" s="266"/>
      <c r="K831" s="262"/>
      <c r="L831" s="266"/>
      <c r="M831" s="266"/>
      <c r="N831" s="262"/>
      <c r="O831" s="266"/>
      <c r="P831" s="266"/>
      <c r="Q831" s="262"/>
      <c r="R831" s="266"/>
      <c r="S831" s="266"/>
      <c r="T831" s="262"/>
      <c r="U831" s="266"/>
      <c r="V831" s="266"/>
    </row>
    <row r="832">
      <c r="B832" s="14"/>
      <c r="E832" s="262"/>
      <c r="F832" s="266"/>
      <c r="G832" s="266"/>
      <c r="H832" s="262"/>
      <c r="I832" s="266"/>
      <c r="J832" s="266"/>
      <c r="K832" s="262"/>
      <c r="L832" s="266"/>
      <c r="M832" s="266"/>
      <c r="N832" s="262"/>
      <c r="O832" s="266"/>
      <c r="P832" s="266"/>
      <c r="Q832" s="262"/>
      <c r="R832" s="266"/>
      <c r="S832" s="266"/>
      <c r="T832" s="262"/>
      <c r="U832" s="266"/>
      <c r="V832" s="266"/>
    </row>
    <row r="833">
      <c r="B833" s="14"/>
      <c r="E833" s="262"/>
      <c r="F833" s="266"/>
      <c r="G833" s="266"/>
      <c r="H833" s="262"/>
      <c r="I833" s="266"/>
      <c r="J833" s="266"/>
      <c r="K833" s="262"/>
      <c r="L833" s="266"/>
      <c r="M833" s="266"/>
      <c r="N833" s="262"/>
      <c r="O833" s="266"/>
      <c r="P833" s="266"/>
      <c r="Q833" s="262"/>
      <c r="R833" s="266"/>
      <c r="S833" s="266"/>
      <c r="T833" s="262"/>
      <c r="U833" s="266"/>
      <c r="V833" s="266"/>
    </row>
    <row r="834">
      <c r="B834" s="14"/>
      <c r="E834" s="262"/>
      <c r="F834" s="266"/>
      <c r="G834" s="266"/>
      <c r="H834" s="262"/>
      <c r="I834" s="266"/>
      <c r="J834" s="266"/>
      <c r="K834" s="262"/>
      <c r="L834" s="266"/>
      <c r="M834" s="266"/>
      <c r="N834" s="262"/>
      <c r="O834" s="266"/>
      <c r="P834" s="266"/>
      <c r="Q834" s="262"/>
      <c r="R834" s="266"/>
      <c r="S834" s="266"/>
      <c r="T834" s="262"/>
      <c r="U834" s="266"/>
      <c r="V834" s="266"/>
    </row>
    <row r="835">
      <c r="B835" s="14"/>
      <c r="E835" s="262"/>
      <c r="F835" s="266"/>
      <c r="G835" s="266"/>
      <c r="H835" s="262"/>
      <c r="I835" s="266"/>
      <c r="J835" s="266"/>
      <c r="K835" s="262"/>
      <c r="L835" s="266"/>
      <c r="M835" s="266"/>
      <c r="N835" s="262"/>
      <c r="O835" s="266"/>
      <c r="P835" s="266"/>
      <c r="Q835" s="262"/>
      <c r="R835" s="266"/>
      <c r="S835" s="266"/>
      <c r="T835" s="262"/>
      <c r="U835" s="266"/>
      <c r="V835" s="266"/>
    </row>
    <row r="836">
      <c r="B836" s="14"/>
      <c r="E836" s="262"/>
      <c r="F836" s="266"/>
      <c r="G836" s="266"/>
      <c r="H836" s="262"/>
      <c r="I836" s="266"/>
      <c r="J836" s="266"/>
      <c r="K836" s="262"/>
      <c r="L836" s="266"/>
      <c r="M836" s="266"/>
      <c r="N836" s="262"/>
      <c r="O836" s="266"/>
      <c r="P836" s="266"/>
      <c r="Q836" s="262"/>
      <c r="R836" s="266"/>
      <c r="S836" s="266"/>
      <c r="T836" s="262"/>
      <c r="U836" s="266"/>
      <c r="V836" s="266"/>
    </row>
    <row r="837">
      <c r="B837" s="14"/>
      <c r="E837" s="262"/>
      <c r="F837" s="266"/>
      <c r="G837" s="266"/>
      <c r="H837" s="262"/>
      <c r="I837" s="266"/>
      <c r="J837" s="266"/>
      <c r="K837" s="262"/>
      <c r="L837" s="266"/>
      <c r="M837" s="266"/>
      <c r="N837" s="262"/>
      <c r="O837" s="266"/>
      <c r="P837" s="266"/>
      <c r="Q837" s="262"/>
      <c r="R837" s="266"/>
      <c r="S837" s="266"/>
      <c r="T837" s="262"/>
      <c r="U837" s="266"/>
      <c r="V837" s="266"/>
    </row>
    <row r="838">
      <c r="B838" s="14"/>
      <c r="E838" s="262"/>
      <c r="F838" s="266"/>
      <c r="G838" s="266"/>
      <c r="H838" s="262"/>
      <c r="I838" s="266"/>
      <c r="J838" s="266"/>
      <c r="K838" s="262"/>
      <c r="L838" s="266"/>
      <c r="M838" s="266"/>
      <c r="N838" s="262"/>
      <c r="O838" s="266"/>
      <c r="P838" s="266"/>
      <c r="Q838" s="262"/>
      <c r="R838" s="266"/>
      <c r="S838" s="266"/>
      <c r="T838" s="262"/>
      <c r="U838" s="266"/>
      <c r="V838" s="266"/>
    </row>
    <row r="839">
      <c r="B839" s="14"/>
      <c r="E839" s="262"/>
      <c r="F839" s="266"/>
      <c r="G839" s="266"/>
      <c r="H839" s="262"/>
      <c r="I839" s="266"/>
      <c r="J839" s="266"/>
      <c r="K839" s="262"/>
      <c r="L839" s="266"/>
      <c r="M839" s="266"/>
      <c r="N839" s="262"/>
      <c r="O839" s="266"/>
      <c r="P839" s="266"/>
      <c r="Q839" s="262"/>
      <c r="R839" s="266"/>
      <c r="S839" s="266"/>
      <c r="T839" s="262"/>
      <c r="U839" s="266"/>
      <c r="V839" s="266"/>
    </row>
    <row r="840">
      <c r="B840" s="14"/>
      <c r="E840" s="262"/>
      <c r="F840" s="266"/>
      <c r="G840" s="266"/>
      <c r="H840" s="262"/>
      <c r="I840" s="266"/>
      <c r="J840" s="266"/>
      <c r="K840" s="262"/>
      <c r="L840" s="266"/>
      <c r="M840" s="266"/>
      <c r="N840" s="262"/>
      <c r="O840" s="266"/>
      <c r="P840" s="266"/>
      <c r="Q840" s="262"/>
      <c r="R840" s="266"/>
      <c r="S840" s="266"/>
      <c r="T840" s="262"/>
      <c r="U840" s="266"/>
      <c r="V840" s="266"/>
    </row>
    <row r="841">
      <c r="B841" s="14"/>
      <c r="E841" s="262"/>
      <c r="F841" s="266"/>
      <c r="G841" s="266"/>
      <c r="H841" s="262"/>
      <c r="I841" s="266"/>
      <c r="J841" s="266"/>
      <c r="K841" s="262"/>
      <c r="L841" s="266"/>
      <c r="M841" s="266"/>
      <c r="N841" s="262"/>
      <c r="O841" s="266"/>
      <c r="P841" s="266"/>
      <c r="Q841" s="262"/>
      <c r="R841" s="266"/>
      <c r="S841" s="266"/>
      <c r="T841" s="262"/>
      <c r="U841" s="266"/>
      <c r="V841" s="266"/>
    </row>
    <row r="842">
      <c r="B842" s="14"/>
      <c r="E842" s="262"/>
      <c r="F842" s="266"/>
      <c r="G842" s="266"/>
      <c r="H842" s="262"/>
      <c r="I842" s="266"/>
      <c r="J842" s="266"/>
      <c r="K842" s="262"/>
      <c r="L842" s="266"/>
      <c r="M842" s="266"/>
      <c r="N842" s="262"/>
      <c r="O842" s="266"/>
      <c r="P842" s="266"/>
      <c r="Q842" s="262"/>
      <c r="R842" s="266"/>
      <c r="S842" s="266"/>
      <c r="T842" s="262"/>
      <c r="U842" s="266"/>
      <c r="V842" s="266"/>
    </row>
    <row r="843">
      <c r="B843" s="14"/>
      <c r="E843" s="262"/>
      <c r="F843" s="266"/>
      <c r="G843" s="266"/>
      <c r="H843" s="262"/>
      <c r="I843" s="266"/>
      <c r="J843" s="266"/>
      <c r="K843" s="262"/>
      <c r="L843" s="266"/>
      <c r="M843" s="266"/>
      <c r="N843" s="262"/>
      <c r="O843" s="266"/>
      <c r="P843" s="266"/>
      <c r="Q843" s="262"/>
      <c r="R843" s="266"/>
      <c r="S843" s="266"/>
      <c r="T843" s="262"/>
      <c r="U843" s="266"/>
      <c r="V843" s="266"/>
    </row>
    <row r="844">
      <c r="B844" s="14"/>
      <c r="E844" s="262"/>
      <c r="F844" s="266"/>
      <c r="G844" s="266"/>
      <c r="H844" s="262"/>
      <c r="I844" s="266"/>
      <c r="J844" s="266"/>
      <c r="K844" s="262"/>
      <c r="L844" s="266"/>
      <c r="M844" s="266"/>
      <c r="N844" s="262"/>
      <c r="O844" s="266"/>
      <c r="P844" s="266"/>
      <c r="Q844" s="262"/>
      <c r="R844" s="266"/>
      <c r="S844" s="266"/>
      <c r="T844" s="262"/>
      <c r="U844" s="266"/>
      <c r="V844" s="266"/>
    </row>
    <row r="845">
      <c r="B845" s="14"/>
      <c r="E845" s="262"/>
      <c r="F845" s="266"/>
      <c r="G845" s="266"/>
      <c r="H845" s="262"/>
      <c r="I845" s="266"/>
      <c r="J845" s="266"/>
      <c r="K845" s="262"/>
      <c r="L845" s="266"/>
      <c r="M845" s="266"/>
      <c r="N845" s="262"/>
      <c r="O845" s="266"/>
      <c r="P845" s="266"/>
      <c r="Q845" s="262"/>
      <c r="R845" s="266"/>
      <c r="S845" s="266"/>
      <c r="T845" s="262"/>
      <c r="U845" s="266"/>
      <c r="V845" s="266"/>
    </row>
    <row r="846">
      <c r="B846" s="14"/>
      <c r="E846" s="262"/>
      <c r="F846" s="266"/>
      <c r="G846" s="266"/>
      <c r="H846" s="262"/>
      <c r="I846" s="266"/>
      <c r="J846" s="266"/>
      <c r="K846" s="262"/>
      <c r="L846" s="266"/>
      <c r="M846" s="266"/>
      <c r="N846" s="262"/>
      <c r="O846" s="266"/>
      <c r="P846" s="266"/>
      <c r="Q846" s="262"/>
      <c r="R846" s="266"/>
      <c r="S846" s="266"/>
      <c r="T846" s="262"/>
      <c r="U846" s="266"/>
      <c r="V846" s="266"/>
    </row>
    <row r="847">
      <c r="B847" s="14"/>
      <c r="E847" s="262"/>
      <c r="F847" s="266"/>
      <c r="G847" s="266"/>
      <c r="H847" s="262"/>
      <c r="I847" s="266"/>
      <c r="J847" s="266"/>
      <c r="K847" s="262"/>
      <c r="L847" s="266"/>
      <c r="M847" s="266"/>
      <c r="N847" s="262"/>
      <c r="O847" s="266"/>
      <c r="P847" s="266"/>
      <c r="Q847" s="262"/>
      <c r="R847" s="266"/>
      <c r="S847" s="266"/>
      <c r="T847" s="262"/>
      <c r="U847" s="266"/>
      <c r="V847" s="266"/>
    </row>
    <row r="848">
      <c r="B848" s="14"/>
      <c r="E848" s="262"/>
      <c r="F848" s="266"/>
      <c r="G848" s="266"/>
      <c r="H848" s="262"/>
      <c r="I848" s="266"/>
      <c r="J848" s="266"/>
      <c r="K848" s="262"/>
      <c r="L848" s="266"/>
      <c r="M848" s="266"/>
      <c r="N848" s="262"/>
      <c r="O848" s="266"/>
      <c r="P848" s="266"/>
      <c r="Q848" s="262"/>
      <c r="R848" s="266"/>
      <c r="S848" s="266"/>
      <c r="T848" s="262"/>
      <c r="U848" s="266"/>
      <c r="V848" s="266"/>
    </row>
    <row r="849">
      <c r="B849" s="14"/>
      <c r="E849" s="262"/>
      <c r="F849" s="266"/>
      <c r="G849" s="266"/>
      <c r="H849" s="262"/>
      <c r="I849" s="266"/>
      <c r="J849" s="266"/>
      <c r="K849" s="262"/>
      <c r="L849" s="266"/>
      <c r="M849" s="266"/>
      <c r="N849" s="262"/>
      <c r="O849" s="266"/>
      <c r="P849" s="266"/>
      <c r="Q849" s="262"/>
      <c r="R849" s="266"/>
      <c r="S849" s="266"/>
      <c r="T849" s="262"/>
      <c r="U849" s="266"/>
      <c r="V849" s="266"/>
    </row>
    <row r="850">
      <c r="B850" s="14"/>
      <c r="E850" s="262"/>
      <c r="F850" s="266"/>
      <c r="G850" s="266"/>
      <c r="H850" s="262"/>
      <c r="I850" s="266"/>
      <c r="J850" s="266"/>
      <c r="K850" s="262"/>
      <c r="L850" s="266"/>
      <c r="M850" s="266"/>
      <c r="N850" s="262"/>
      <c r="O850" s="266"/>
      <c r="P850" s="266"/>
      <c r="Q850" s="262"/>
      <c r="R850" s="266"/>
      <c r="S850" s="266"/>
      <c r="T850" s="262"/>
      <c r="U850" s="266"/>
      <c r="V850" s="266"/>
    </row>
    <row r="851">
      <c r="B851" s="14"/>
      <c r="E851" s="262"/>
      <c r="F851" s="266"/>
      <c r="G851" s="266"/>
      <c r="H851" s="262"/>
      <c r="I851" s="266"/>
      <c r="J851" s="266"/>
      <c r="K851" s="262"/>
      <c r="L851" s="266"/>
      <c r="M851" s="266"/>
      <c r="N851" s="262"/>
      <c r="O851" s="266"/>
      <c r="P851" s="266"/>
      <c r="Q851" s="262"/>
      <c r="R851" s="266"/>
      <c r="S851" s="266"/>
      <c r="T851" s="262"/>
      <c r="U851" s="266"/>
      <c r="V851" s="266"/>
    </row>
    <row r="852">
      <c r="B852" s="14"/>
      <c r="E852" s="262"/>
      <c r="F852" s="266"/>
      <c r="G852" s="266"/>
      <c r="H852" s="262"/>
      <c r="I852" s="266"/>
      <c r="J852" s="266"/>
      <c r="K852" s="262"/>
      <c r="L852" s="266"/>
      <c r="M852" s="266"/>
      <c r="N852" s="262"/>
      <c r="O852" s="266"/>
      <c r="P852" s="266"/>
      <c r="Q852" s="262"/>
      <c r="R852" s="266"/>
      <c r="S852" s="266"/>
      <c r="T852" s="262"/>
      <c r="U852" s="266"/>
      <c r="V852" s="266"/>
    </row>
    <row r="853">
      <c r="B853" s="14"/>
      <c r="E853" s="262"/>
      <c r="F853" s="266"/>
      <c r="G853" s="266"/>
      <c r="H853" s="262"/>
      <c r="I853" s="266"/>
      <c r="J853" s="266"/>
      <c r="K853" s="262"/>
      <c r="L853" s="266"/>
      <c r="M853" s="266"/>
      <c r="N853" s="262"/>
      <c r="O853" s="266"/>
      <c r="P853" s="266"/>
      <c r="Q853" s="262"/>
      <c r="R853" s="266"/>
      <c r="S853" s="266"/>
      <c r="T853" s="262"/>
      <c r="U853" s="266"/>
      <c r="V853" s="266"/>
    </row>
    <row r="854">
      <c r="B854" s="14"/>
      <c r="E854" s="262"/>
      <c r="F854" s="266"/>
      <c r="G854" s="266"/>
      <c r="H854" s="262"/>
      <c r="I854" s="266"/>
      <c r="J854" s="266"/>
      <c r="K854" s="262"/>
      <c r="L854" s="266"/>
      <c r="M854" s="266"/>
      <c r="N854" s="262"/>
      <c r="O854" s="266"/>
      <c r="P854" s="266"/>
      <c r="Q854" s="262"/>
      <c r="R854" s="266"/>
      <c r="S854" s="266"/>
      <c r="T854" s="262"/>
      <c r="U854" s="266"/>
      <c r="V854" s="266"/>
    </row>
    <row r="855">
      <c r="B855" s="14"/>
      <c r="E855" s="262"/>
      <c r="F855" s="266"/>
      <c r="G855" s="266"/>
      <c r="H855" s="262"/>
      <c r="I855" s="266"/>
      <c r="J855" s="266"/>
      <c r="K855" s="262"/>
      <c r="L855" s="266"/>
      <c r="M855" s="266"/>
      <c r="N855" s="262"/>
      <c r="O855" s="266"/>
      <c r="P855" s="266"/>
      <c r="Q855" s="262"/>
      <c r="R855" s="266"/>
      <c r="S855" s="266"/>
      <c r="T855" s="262"/>
      <c r="U855" s="266"/>
      <c r="V855" s="266"/>
    </row>
    <row r="856">
      <c r="B856" s="14"/>
      <c r="E856" s="262"/>
      <c r="F856" s="266"/>
      <c r="G856" s="266"/>
      <c r="H856" s="262"/>
      <c r="I856" s="266"/>
      <c r="J856" s="266"/>
      <c r="K856" s="262"/>
      <c r="L856" s="266"/>
      <c r="M856" s="266"/>
      <c r="N856" s="262"/>
      <c r="O856" s="266"/>
      <c r="P856" s="266"/>
      <c r="Q856" s="262"/>
      <c r="R856" s="266"/>
      <c r="S856" s="266"/>
      <c r="T856" s="262"/>
      <c r="U856" s="266"/>
      <c r="V856" s="266"/>
    </row>
    <row r="857">
      <c r="B857" s="14"/>
      <c r="E857" s="262"/>
      <c r="F857" s="266"/>
      <c r="G857" s="266"/>
      <c r="H857" s="262"/>
      <c r="I857" s="266"/>
      <c r="J857" s="266"/>
      <c r="K857" s="262"/>
      <c r="L857" s="266"/>
      <c r="M857" s="266"/>
      <c r="N857" s="262"/>
      <c r="O857" s="266"/>
      <c r="P857" s="266"/>
      <c r="Q857" s="262"/>
      <c r="R857" s="266"/>
      <c r="S857" s="266"/>
      <c r="T857" s="262"/>
      <c r="U857" s="266"/>
      <c r="V857" s="266"/>
    </row>
    <row r="858">
      <c r="B858" s="14"/>
      <c r="E858" s="262"/>
      <c r="F858" s="266"/>
      <c r="G858" s="266"/>
      <c r="H858" s="262"/>
      <c r="I858" s="266"/>
      <c r="J858" s="266"/>
      <c r="K858" s="262"/>
      <c r="L858" s="266"/>
      <c r="M858" s="266"/>
      <c r="N858" s="262"/>
      <c r="O858" s="266"/>
      <c r="P858" s="266"/>
      <c r="Q858" s="262"/>
      <c r="R858" s="266"/>
      <c r="S858" s="266"/>
      <c r="T858" s="262"/>
      <c r="U858" s="266"/>
      <c r="V858" s="266"/>
    </row>
    <row r="859">
      <c r="B859" s="14"/>
      <c r="E859" s="262"/>
      <c r="F859" s="266"/>
      <c r="G859" s="266"/>
      <c r="H859" s="262"/>
      <c r="I859" s="266"/>
      <c r="J859" s="266"/>
      <c r="K859" s="262"/>
      <c r="L859" s="266"/>
      <c r="M859" s="266"/>
      <c r="N859" s="262"/>
      <c r="O859" s="266"/>
      <c r="P859" s="266"/>
      <c r="Q859" s="262"/>
      <c r="R859" s="266"/>
      <c r="S859" s="266"/>
      <c r="T859" s="262"/>
      <c r="U859" s="266"/>
      <c r="V859" s="266"/>
    </row>
    <row r="860">
      <c r="B860" s="14"/>
      <c r="E860" s="262"/>
      <c r="F860" s="266"/>
      <c r="G860" s="266"/>
      <c r="H860" s="262"/>
      <c r="I860" s="266"/>
      <c r="J860" s="266"/>
      <c r="K860" s="262"/>
      <c r="L860" s="266"/>
      <c r="M860" s="266"/>
      <c r="N860" s="262"/>
      <c r="O860" s="266"/>
      <c r="P860" s="266"/>
      <c r="Q860" s="262"/>
      <c r="R860" s="266"/>
      <c r="S860" s="266"/>
      <c r="T860" s="262"/>
      <c r="U860" s="266"/>
      <c r="V860" s="266"/>
    </row>
    <row r="861">
      <c r="B861" s="14"/>
      <c r="E861" s="262"/>
      <c r="F861" s="266"/>
      <c r="G861" s="266"/>
      <c r="H861" s="262"/>
      <c r="I861" s="266"/>
      <c r="J861" s="266"/>
      <c r="K861" s="262"/>
      <c r="L861" s="266"/>
      <c r="M861" s="266"/>
      <c r="N861" s="262"/>
      <c r="O861" s="266"/>
      <c r="P861" s="266"/>
      <c r="Q861" s="262"/>
      <c r="R861" s="266"/>
      <c r="S861" s="266"/>
      <c r="T861" s="262"/>
      <c r="U861" s="266"/>
      <c r="V861" s="266"/>
    </row>
    <row r="862">
      <c r="B862" s="14"/>
      <c r="E862" s="262"/>
      <c r="F862" s="266"/>
      <c r="G862" s="266"/>
      <c r="H862" s="262"/>
      <c r="I862" s="266"/>
      <c r="J862" s="266"/>
      <c r="K862" s="262"/>
      <c r="L862" s="266"/>
      <c r="M862" s="266"/>
      <c r="N862" s="262"/>
      <c r="O862" s="266"/>
      <c r="P862" s="266"/>
      <c r="Q862" s="262"/>
      <c r="R862" s="266"/>
      <c r="S862" s="266"/>
      <c r="T862" s="262"/>
      <c r="U862" s="266"/>
      <c r="V862" s="266"/>
    </row>
    <row r="863">
      <c r="B863" s="14"/>
      <c r="E863" s="262"/>
      <c r="F863" s="266"/>
      <c r="G863" s="266"/>
      <c r="H863" s="262"/>
      <c r="I863" s="266"/>
      <c r="J863" s="266"/>
      <c r="K863" s="262"/>
      <c r="L863" s="266"/>
      <c r="M863" s="266"/>
      <c r="N863" s="262"/>
      <c r="O863" s="266"/>
      <c r="P863" s="266"/>
      <c r="Q863" s="262"/>
      <c r="R863" s="266"/>
      <c r="S863" s="266"/>
      <c r="T863" s="262"/>
      <c r="U863" s="266"/>
      <c r="V863" s="266"/>
    </row>
    <row r="864">
      <c r="B864" s="14"/>
      <c r="E864" s="262"/>
      <c r="F864" s="266"/>
      <c r="G864" s="266"/>
      <c r="H864" s="262"/>
      <c r="I864" s="266"/>
      <c r="J864" s="266"/>
      <c r="K864" s="262"/>
      <c r="L864" s="266"/>
      <c r="M864" s="266"/>
      <c r="N864" s="262"/>
      <c r="O864" s="266"/>
      <c r="P864" s="266"/>
      <c r="Q864" s="262"/>
      <c r="R864" s="266"/>
      <c r="S864" s="266"/>
      <c r="T864" s="262"/>
      <c r="U864" s="266"/>
      <c r="V864" s="266"/>
    </row>
    <row r="865">
      <c r="B865" s="14"/>
      <c r="E865" s="262"/>
      <c r="F865" s="266"/>
      <c r="G865" s="266"/>
      <c r="H865" s="262"/>
      <c r="I865" s="266"/>
      <c r="J865" s="266"/>
      <c r="K865" s="262"/>
      <c r="L865" s="266"/>
      <c r="M865" s="266"/>
      <c r="N865" s="262"/>
      <c r="O865" s="266"/>
      <c r="P865" s="266"/>
      <c r="Q865" s="262"/>
      <c r="R865" s="266"/>
      <c r="S865" s="266"/>
      <c r="T865" s="262"/>
      <c r="U865" s="266"/>
      <c r="V865" s="266"/>
    </row>
    <row r="866">
      <c r="B866" s="14"/>
      <c r="E866" s="262"/>
      <c r="F866" s="266"/>
      <c r="G866" s="266"/>
      <c r="H866" s="262"/>
      <c r="I866" s="266"/>
      <c r="J866" s="266"/>
      <c r="K866" s="262"/>
      <c r="L866" s="266"/>
      <c r="M866" s="266"/>
      <c r="N866" s="262"/>
      <c r="O866" s="266"/>
      <c r="P866" s="266"/>
      <c r="Q866" s="262"/>
      <c r="R866" s="266"/>
      <c r="S866" s="266"/>
      <c r="T866" s="262"/>
      <c r="U866" s="266"/>
      <c r="V866" s="266"/>
    </row>
    <row r="867">
      <c r="B867" s="14"/>
      <c r="E867" s="262"/>
      <c r="F867" s="266"/>
      <c r="G867" s="266"/>
      <c r="H867" s="262"/>
      <c r="I867" s="266"/>
      <c r="J867" s="266"/>
      <c r="K867" s="262"/>
      <c r="L867" s="266"/>
      <c r="M867" s="266"/>
      <c r="N867" s="262"/>
      <c r="O867" s="266"/>
      <c r="P867" s="266"/>
      <c r="Q867" s="262"/>
      <c r="R867" s="266"/>
      <c r="S867" s="266"/>
      <c r="T867" s="262"/>
      <c r="U867" s="266"/>
      <c r="V867" s="266"/>
    </row>
    <row r="868">
      <c r="B868" s="14"/>
      <c r="E868" s="262"/>
      <c r="F868" s="266"/>
      <c r="G868" s="266"/>
      <c r="H868" s="262"/>
      <c r="I868" s="266"/>
      <c r="J868" s="266"/>
      <c r="K868" s="262"/>
      <c r="L868" s="266"/>
      <c r="M868" s="266"/>
      <c r="N868" s="262"/>
      <c r="O868" s="266"/>
      <c r="P868" s="266"/>
      <c r="Q868" s="262"/>
      <c r="R868" s="266"/>
      <c r="S868" s="266"/>
      <c r="T868" s="262"/>
      <c r="U868" s="266"/>
      <c r="V868" s="266"/>
    </row>
    <row r="869">
      <c r="B869" s="14"/>
      <c r="E869" s="262"/>
      <c r="F869" s="266"/>
      <c r="G869" s="266"/>
      <c r="H869" s="262"/>
      <c r="I869" s="266"/>
      <c r="J869" s="266"/>
      <c r="K869" s="262"/>
      <c r="L869" s="266"/>
      <c r="M869" s="266"/>
      <c r="N869" s="262"/>
      <c r="O869" s="266"/>
      <c r="P869" s="266"/>
      <c r="Q869" s="262"/>
      <c r="R869" s="266"/>
      <c r="S869" s="266"/>
      <c r="T869" s="262"/>
      <c r="U869" s="266"/>
      <c r="V869" s="266"/>
    </row>
    <row r="870">
      <c r="B870" s="14"/>
      <c r="E870" s="262"/>
      <c r="F870" s="266"/>
      <c r="G870" s="266"/>
      <c r="H870" s="262"/>
      <c r="I870" s="266"/>
      <c r="J870" s="266"/>
      <c r="K870" s="262"/>
      <c r="L870" s="266"/>
      <c r="M870" s="266"/>
      <c r="N870" s="262"/>
      <c r="O870" s="266"/>
      <c r="P870" s="266"/>
      <c r="Q870" s="262"/>
      <c r="R870" s="266"/>
      <c r="S870" s="266"/>
      <c r="T870" s="262"/>
      <c r="U870" s="266"/>
      <c r="V870" s="266"/>
    </row>
    <row r="871">
      <c r="B871" s="14"/>
      <c r="E871" s="262"/>
      <c r="F871" s="266"/>
      <c r="G871" s="266"/>
      <c r="H871" s="262"/>
      <c r="I871" s="266"/>
      <c r="J871" s="266"/>
      <c r="K871" s="262"/>
      <c r="L871" s="266"/>
      <c r="M871" s="266"/>
      <c r="N871" s="262"/>
      <c r="O871" s="266"/>
      <c r="P871" s="266"/>
      <c r="Q871" s="262"/>
      <c r="R871" s="266"/>
      <c r="S871" s="266"/>
      <c r="T871" s="262"/>
      <c r="U871" s="266"/>
      <c r="V871" s="266"/>
    </row>
    <row r="872">
      <c r="B872" s="14"/>
      <c r="E872" s="262"/>
      <c r="F872" s="266"/>
      <c r="G872" s="266"/>
      <c r="H872" s="262"/>
      <c r="I872" s="266"/>
      <c r="J872" s="266"/>
      <c r="K872" s="262"/>
      <c r="L872" s="266"/>
      <c r="M872" s="266"/>
      <c r="N872" s="262"/>
      <c r="O872" s="266"/>
      <c r="P872" s="266"/>
      <c r="Q872" s="262"/>
      <c r="R872" s="266"/>
      <c r="S872" s="266"/>
      <c r="T872" s="262"/>
      <c r="U872" s="266"/>
      <c r="V872" s="266"/>
    </row>
    <row r="873">
      <c r="B873" s="14"/>
      <c r="E873" s="262"/>
      <c r="F873" s="266"/>
      <c r="G873" s="266"/>
      <c r="H873" s="262"/>
      <c r="I873" s="266"/>
      <c r="J873" s="266"/>
      <c r="K873" s="262"/>
      <c r="L873" s="266"/>
      <c r="M873" s="266"/>
      <c r="N873" s="262"/>
      <c r="O873" s="266"/>
      <c r="P873" s="266"/>
      <c r="Q873" s="262"/>
      <c r="R873" s="266"/>
      <c r="S873" s="266"/>
      <c r="T873" s="262"/>
      <c r="U873" s="266"/>
      <c r="V873" s="266"/>
    </row>
    <row r="874">
      <c r="B874" s="14"/>
      <c r="E874" s="262"/>
      <c r="F874" s="266"/>
      <c r="G874" s="266"/>
      <c r="H874" s="262"/>
      <c r="I874" s="266"/>
      <c r="J874" s="266"/>
      <c r="K874" s="262"/>
      <c r="L874" s="266"/>
      <c r="M874" s="266"/>
      <c r="N874" s="262"/>
      <c r="O874" s="266"/>
      <c r="P874" s="266"/>
      <c r="Q874" s="262"/>
      <c r="R874" s="266"/>
      <c r="S874" s="266"/>
      <c r="T874" s="262"/>
      <c r="U874" s="266"/>
      <c r="V874" s="266"/>
    </row>
    <row r="875">
      <c r="B875" s="14"/>
      <c r="E875" s="262"/>
      <c r="F875" s="266"/>
      <c r="G875" s="266"/>
      <c r="H875" s="262"/>
      <c r="I875" s="266"/>
      <c r="J875" s="266"/>
      <c r="K875" s="262"/>
      <c r="L875" s="266"/>
      <c r="M875" s="266"/>
      <c r="N875" s="262"/>
      <c r="O875" s="266"/>
      <c r="P875" s="266"/>
      <c r="Q875" s="262"/>
      <c r="R875" s="266"/>
      <c r="S875" s="266"/>
      <c r="T875" s="262"/>
      <c r="U875" s="266"/>
      <c r="V875" s="266"/>
    </row>
    <row r="876">
      <c r="B876" s="14"/>
      <c r="E876" s="262"/>
      <c r="F876" s="266"/>
      <c r="G876" s="266"/>
      <c r="H876" s="262"/>
      <c r="I876" s="266"/>
      <c r="J876" s="266"/>
      <c r="K876" s="262"/>
      <c r="L876" s="266"/>
      <c r="M876" s="266"/>
      <c r="N876" s="262"/>
      <c r="O876" s="266"/>
      <c r="P876" s="266"/>
      <c r="Q876" s="262"/>
      <c r="R876" s="266"/>
      <c r="S876" s="266"/>
      <c r="T876" s="262"/>
      <c r="U876" s="266"/>
      <c r="V876" s="266"/>
    </row>
    <row r="877">
      <c r="B877" s="14"/>
      <c r="E877" s="262"/>
      <c r="F877" s="266"/>
      <c r="G877" s="266"/>
      <c r="H877" s="262"/>
      <c r="I877" s="266"/>
      <c r="J877" s="266"/>
      <c r="K877" s="262"/>
      <c r="L877" s="266"/>
      <c r="M877" s="266"/>
      <c r="N877" s="262"/>
      <c r="O877" s="266"/>
      <c r="P877" s="266"/>
      <c r="Q877" s="262"/>
      <c r="R877" s="266"/>
      <c r="S877" s="266"/>
      <c r="T877" s="262"/>
      <c r="U877" s="266"/>
      <c r="V877" s="266"/>
    </row>
    <row r="878">
      <c r="B878" s="14"/>
      <c r="E878" s="262"/>
      <c r="F878" s="266"/>
      <c r="G878" s="266"/>
      <c r="H878" s="262"/>
      <c r="I878" s="266"/>
      <c r="J878" s="266"/>
      <c r="K878" s="262"/>
      <c r="L878" s="266"/>
      <c r="M878" s="266"/>
      <c r="N878" s="262"/>
      <c r="O878" s="266"/>
      <c r="P878" s="266"/>
      <c r="Q878" s="262"/>
      <c r="R878" s="266"/>
      <c r="S878" s="266"/>
      <c r="T878" s="262"/>
      <c r="U878" s="266"/>
      <c r="V878" s="266"/>
    </row>
    <row r="879">
      <c r="B879" s="14"/>
      <c r="E879" s="262"/>
      <c r="F879" s="266"/>
      <c r="G879" s="266"/>
      <c r="H879" s="262"/>
      <c r="I879" s="266"/>
      <c r="J879" s="266"/>
      <c r="K879" s="262"/>
      <c r="L879" s="266"/>
      <c r="M879" s="266"/>
      <c r="N879" s="262"/>
      <c r="O879" s="266"/>
      <c r="P879" s="266"/>
      <c r="Q879" s="262"/>
      <c r="R879" s="266"/>
      <c r="S879" s="266"/>
      <c r="T879" s="262"/>
      <c r="U879" s="266"/>
      <c r="V879" s="266"/>
    </row>
    <row r="880">
      <c r="B880" s="14"/>
      <c r="E880" s="262"/>
      <c r="F880" s="266"/>
      <c r="G880" s="266"/>
      <c r="H880" s="262"/>
      <c r="I880" s="266"/>
      <c r="J880" s="266"/>
      <c r="K880" s="262"/>
      <c r="L880" s="266"/>
      <c r="M880" s="266"/>
      <c r="N880" s="262"/>
      <c r="O880" s="266"/>
      <c r="P880" s="266"/>
      <c r="Q880" s="262"/>
      <c r="R880" s="266"/>
      <c r="S880" s="266"/>
      <c r="T880" s="262"/>
      <c r="U880" s="266"/>
      <c r="V880" s="266"/>
    </row>
    <row r="881">
      <c r="B881" s="14"/>
      <c r="E881" s="262"/>
      <c r="F881" s="266"/>
      <c r="G881" s="266"/>
      <c r="H881" s="262"/>
      <c r="I881" s="266"/>
      <c r="J881" s="266"/>
      <c r="K881" s="262"/>
      <c r="L881" s="266"/>
      <c r="M881" s="266"/>
      <c r="N881" s="262"/>
      <c r="O881" s="266"/>
      <c r="P881" s="266"/>
      <c r="Q881" s="262"/>
      <c r="R881" s="266"/>
      <c r="S881" s="266"/>
      <c r="T881" s="262"/>
      <c r="U881" s="266"/>
      <c r="V881" s="266"/>
    </row>
    <row r="882">
      <c r="B882" s="14"/>
      <c r="E882" s="262"/>
      <c r="F882" s="266"/>
      <c r="G882" s="266"/>
      <c r="H882" s="262"/>
      <c r="I882" s="266"/>
      <c r="J882" s="266"/>
      <c r="K882" s="262"/>
      <c r="L882" s="266"/>
      <c r="M882" s="266"/>
      <c r="N882" s="262"/>
      <c r="O882" s="266"/>
      <c r="P882" s="266"/>
      <c r="Q882" s="262"/>
      <c r="R882" s="266"/>
      <c r="S882" s="266"/>
      <c r="T882" s="262"/>
      <c r="U882" s="266"/>
      <c r="V882" s="266"/>
    </row>
    <row r="883">
      <c r="B883" s="14"/>
      <c r="E883" s="262"/>
      <c r="F883" s="266"/>
      <c r="G883" s="266"/>
      <c r="H883" s="262"/>
      <c r="I883" s="266"/>
      <c r="J883" s="266"/>
      <c r="K883" s="262"/>
      <c r="L883" s="266"/>
      <c r="M883" s="266"/>
      <c r="N883" s="262"/>
      <c r="O883" s="266"/>
      <c r="P883" s="266"/>
      <c r="Q883" s="262"/>
      <c r="R883" s="266"/>
      <c r="S883" s="266"/>
      <c r="T883" s="262"/>
      <c r="U883" s="266"/>
      <c r="V883" s="266"/>
    </row>
    <row r="884">
      <c r="B884" s="14"/>
      <c r="E884" s="262"/>
      <c r="F884" s="266"/>
      <c r="G884" s="266"/>
      <c r="H884" s="262"/>
      <c r="I884" s="266"/>
      <c r="J884" s="266"/>
      <c r="K884" s="262"/>
      <c r="L884" s="266"/>
      <c r="M884" s="266"/>
      <c r="N884" s="262"/>
      <c r="O884" s="266"/>
      <c r="P884" s="266"/>
      <c r="Q884" s="262"/>
      <c r="R884" s="266"/>
      <c r="S884" s="266"/>
      <c r="T884" s="262"/>
      <c r="U884" s="266"/>
      <c r="V884" s="266"/>
    </row>
    <row r="885">
      <c r="B885" s="14"/>
      <c r="E885" s="262"/>
      <c r="F885" s="266"/>
      <c r="G885" s="266"/>
      <c r="H885" s="262"/>
      <c r="I885" s="266"/>
      <c r="J885" s="266"/>
      <c r="K885" s="262"/>
      <c r="L885" s="266"/>
      <c r="M885" s="266"/>
      <c r="N885" s="262"/>
      <c r="O885" s="266"/>
      <c r="P885" s="266"/>
      <c r="Q885" s="262"/>
      <c r="R885" s="266"/>
      <c r="S885" s="266"/>
      <c r="T885" s="262"/>
      <c r="U885" s="266"/>
      <c r="V885" s="266"/>
    </row>
    <row r="886">
      <c r="B886" s="14"/>
      <c r="E886" s="262"/>
      <c r="F886" s="266"/>
      <c r="G886" s="266"/>
      <c r="H886" s="262"/>
      <c r="I886" s="266"/>
      <c r="J886" s="266"/>
      <c r="K886" s="262"/>
      <c r="L886" s="266"/>
      <c r="M886" s="266"/>
      <c r="N886" s="262"/>
      <c r="O886" s="266"/>
      <c r="P886" s="266"/>
      <c r="Q886" s="262"/>
      <c r="R886" s="266"/>
      <c r="S886" s="266"/>
      <c r="T886" s="262"/>
      <c r="U886" s="266"/>
      <c r="V886" s="266"/>
    </row>
    <row r="887">
      <c r="B887" s="14"/>
      <c r="E887" s="262"/>
      <c r="F887" s="266"/>
      <c r="G887" s="266"/>
      <c r="H887" s="262"/>
      <c r="I887" s="266"/>
      <c r="J887" s="266"/>
      <c r="K887" s="262"/>
      <c r="L887" s="266"/>
      <c r="M887" s="266"/>
      <c r="N887" s="262"/>
      <c r="O887" s="266"/>
      <c r="P887" s="266"/>
      <c r="Q887" s="262"/>
      <c r="R887" s="266"/>
      <c r="S887" s="266"/>
      <c r="T887" s="262"/>
      <c r="U887" s="266"/>
      <c r="V887" s="266"/>
    </row>
    <row r="888">
      <c r="B888" s="14"/>
      <c r="E888" s="262"/>
      <c r="F888" s="266"/>
      <c r="G888" s="266"/>
      <c r="H888" s="262"/>
      <c r="I888" s="266"/>
      <c r="J888" s="266"/>
      <c r="K888" s="262"/>
      <c r="L888" s="266"/>
      <c r="M888" s="266"/>
      <c r="N888" s="262"/>
      <c r="O888" s="266"/>
      <c r="P888" s="266"/>
      <c r="Q888" s="262"/>
      <c r="R888" s="266"/>
      <c r="S888" s="266"/>
      <c r="T888" s="262"/>
      <c r="U888" s="266"/>
      <c r="V888" s="266"/>
    </row>
    <row r="889">
      <c r="B889" s="14"/>
      <c r="E889" s="262"/>
      <c r="F889" s="266"/>
      <c r="G889" s="266"/>
      <c r="H889" s="262"/>
      <c r="I889" s="266"/>
      <c r="J889" s="266"/>
      <c r="K889" s="262"/>
      <c r="L889" s="266"/>
      <c r="M889" s="266"/>
      <c r="N889" s="262"/>
      <c r="O889" s="266"/>
      <c r="P889" s="266"/>
      <c r="Q889" s="262"/>
      <c r="R889" s="266"/>
      <c r="S889" s="266"/>
      <c r="T889" s="262"/>
      <c r="U889" s="266"/>
      <c r="V889" s="266"/>
    </row>
    <row r="890">
      <c r="B890" s="14"/>
      <c r="E890" s="262"/>
      <c r="F890" s="266"/>
      <c r="G890" s="266"/>
      <c r="H890" s="262"/>
      <c r="I890" s="266"/>
      <c r="J890" s="266"/>
      <c r="K890" s="262"/>
      <c r="L890" s="266"/>
      <c r="M890" s="266"/>
      <c r="N890" s="262"/>
      <c r="O890" s="266"/>
      <c r="P890" s="266"/>
      <c r="Q890" s="262"/>
      <c r="R890" s="266"/>
      <c r="S890" s="266"/>
      <c r="T890" s="262"/>
      <c r="U890" s="266"/>
      <c r="V890" s="266"/>
    </row>
    <row r="891">
      <c r="B891" s="14"/>
      <c r="E891" s="262"/>
      <c r="F891" s="266"/>
      <c r="G891" s="266"/>
      <c r="H891" s="262"/>
      <c r="I891" s="266"/>
      <c r="J891" s="266"/>
      <c r="K891" s="262"/>
      <c r="L891" s="266"/>
      <c r="M891" s="266"/>
      <c r="N891" s="262"/>
      <c r="O891" s="266"/>
      <c r="P891" s="266"/>
      <c r="Q891" s="262"/>
      <c r="R891" s="266"/>
      <c r="S891" s="266"/>
      <c r="T891" s="262"/>
      <c r="U891" s="266"/>
      <c r="V891" s="266"/>
    </row>
    <row r="892">
      <c r="B892" s="14"/>
      <c r="E892" s="262"/>
      <c r="F892" s="266"/>
      <c r="G892" s="266"/>
      <c r="H892" s="262"/>
      <c r="I892" s="266"/>
      <c r="J892" s="266"/>
      <c r="K892" s="262"/>
      <c r="L892" s="266"/>
      <c r="M892" s="266"/>
      <c r="N892" s="262"/>
      <c r="O892" s="266"/>
      <c r="P892" s="266"/>
      <c r="Q892" s="262"/>
      <c r="R892" s="266"/>
      <c r="S892" s="266"/>
      <c r="T892" s="262"/>
      <c r="U892" s="266"/>
      <c r="V892" s="266"/>
    </row>
    <row r="893">
      <c r="B893" s="14"/>
      <c r="E893" s="262"/>
      <c r="F893" s="266"/>
      <c r="G893" s="266"/>
      <c r="H893" s="262"/>
      <c r="I893" s="266"/>
      <c r="J893" s="266"/>
      <c r="K893" s="262"/>
      <c r="L893" s="266"/>
      <c r="M893" s="266"/>
      <c r="N893" s="262"/>
      <c r="O893" s="266"/>
      <c r="P893" s="266"/>
      <c r="Q893" s="262"/>
      <c r="R893" s="266"/>
      <c r="S893" s="266"/>
      <c r="T893" s="262"/>
      <c r="U893" s="266"/>
      <c r="V893" s="266"/>
    </row>
    <row r="894">
      <c r="B894" s="14"/>
      <c r="E894" s="262"/>
      <c r="F894" s="266"/>
      <c r="G894" s="266"/>
      <c r="H894" s="262"/>
      <c r="I894" s="266"/>
      <c r="J894" s="266"/>
      <c r="K894" s="262"/>
      <c r="L894" s="266"/>
      <c r="M894" s="266"/>
      <c r="N894" s="262"/>
      <c r="O894" s="266"/>
      <c r="P894" s="266"/>
      <c r="Q894" s="262"/>
      <c r="R894" s="266"/>
      <c r="S894" s="266"/>
      <c r="T894" s="262"/>
      <c r="U894" s="266"/>
      <c r="V894" s="266"/>
    </row>
    <row r="895">
      <c r="B895" s="14"/>
      <c r="E895" s="262"/>
      <c r="F895" s="266"/>
      <c r="G895" s="266"/>
      <c r="H895" s="262"/>
      <c r="I895" s="266"/>
      <c r="J895" s="266"/>
      <c r="K895" s="262"/>
      <c r="L895" s="266"/>
      <c r="M895" s="266"/>
      <c r="N895" s="262"/>
      <c r="O895" s="266"/>
      <c r="P895" s="266"/>
      <c r="Q895" s="262"/>
      <c r="R895" s="266"/>
      <c r="S895" s="266"/>
      <c r="T895" s="262"/>
      <c r="U895" s="266"/>
      <c r="V895" s="266"/>
    </row>
    <row r="896">
      <c r="B896" s="14"/>
      <c r="E896" s="262"/>
      <c r="F896" s="266"/>
      <c r="G896" s="266"/>
      <c r="H896" s="262"/>
      <c r="I896" s="266"/>
      <c r="J896" s="266"/>
      <c r="K896" s="262"/>
      <c r="L896" s="266"/>
      <c r="M896" s="266"/>
      <c r="N896" s="262"/>
      <c r="O896" s="266"/>
      <c r="P896" s="266"/>
      <c r="Q896" s="262"/>
      <c r="R896" s="266"/>
      <c r="S896" s="266"/>
      <c r="T896" s="262"/>
      <c r="U896" s="266"/>
      <c r="V896" s="266"/>
    </row>
    <row r="897">
      <c r="B897" s="14"/>
      <c r="E897" s="262"/>
      <c r="F897" s="266"/>
      <c r="G897" s="266"/>
      <c r="H897" s="262"/>
      <c r="I897" s="266"/>
      <c r="J897" s="266"/>
      <c r="K897" s="262"/>
      <c r="L897" s="266"/>
      <c r="M897" s="266"/>
      <c r="N897" s="262"/>
      <c r="O897" s="266"/>
      <c r="P897" s="266"/>
      <c r="Q897" s="262"/>
      <c r="R897" s="266"/>
      <c r="S897" s="266"/>
      <c r="T897" s="262"/>
      <c r="U897" s="266"/>
      <c r="V897" s="266"/>
    </row>
    <row r="898">
      <c r="B898" s="14"/>
      <c r="E898" s="262"/>
      <c r="F898" s="266"/>
      <c r="G898" s="266"/>
      <c r="H898" s="262"/>
      <c r="I898" s="266"/>
      <c r="J898" s="266"/>
      <c r="K898" s="262"/>
      <c r="L898" s="266"/>
      <c r="M898" s="266"/>
      <c r="N898" s="262"/>
      <c r="O898" s="266"/>
      <c r="P898" s="266"/>
      <c r="Q898" s="262"/>
      <c r="R898" s="266"/>
      <c r="S898" s="266"/>
      <c r="T898" s="262"/>
      <c r="U898" s="266"/>
      <c r="V898" s="266"/>
    </row>
    <row r="899">
      <c r="B899" s="14"/>
      <c r="E899" s="262"/>
      <c r="F899" s="266"/>
      <c r="G899" s="266"/>
      <c r="H899" s="262"/>
      <c r="I899" s="266"/>
      <c r="J899" s="266"/>
      <c r="K899" s="262"/>
      <c r="L899" s="266"/>
      <c r="M899" s="266"/>
      <c r="N899" s="262"/>
      <c r="O899" s="266"/>
      <c r="P899" s="266"/>
      <c r="Q899" s="262"/>
      <c r="R899" s="266"/>
      <c r="S899" s="266"/>
      <c r="T899" s="262"/>
      <c r="U899" s="266"/>
      <c r="V899" s="266"/>
    </row>
    <row r="900">
      <c r="B900" s="14"/>
      <c r="E900" s="262"/>
      <c r="F900" s="266"/>
      <c r="G900" s="266"/>
      <c r="H900" s="262"/>
      <c r="I900" s="266"/>
      <c r="J900" s="266"/>
      <c r="K900" s="262"/>
      <c r="L900" s="266"/>
      <c r="M900" s="266"/>
      <c r="N900" s="262"/>
      <c r="O900" s="266"/>
      <c r="P900" s="266"/>
      <c r="Q900" s="262"/>
      <c r="R900" s="266"/>
      <c r="S900" s="266"/>
      <c r="T900" s="262"/>
      <c r="U900" s="266"/>
      <c r="V900" s="266"/>
    </row>
    <row r="901">
      <c r="B901" s="14"/>
      <c r="E901" s="262"/>
      <c r="F901" s="266"/>
      <c r="G901" s="266"/>
      <c r="H901" s="262"/>
      <c r="I901" s="266"/>
      <c r="J901" s="266"/>
      <c r="K901" s="262"/>
      <c r="L901" s="266"/>
      <c r="M901" s="266"/>
      <c r="N901" s="262"/>
      <c r="O901" s="266"/>
      <c r="P901" s="266"/>
      <c r="Q901" s="262"/>
      <c r="R901" s="266"/>
      <c r="S901" s="266"/>
      <c r="T901" s="262"/>
      <c r="U901" s="266"/>
      <c r="V901" s="266"/>
    </row>
    <row r="902">
      <c r="B902" s="14"/>
      <c r="E902" s="262"/>
      <c r="F902" s="266"/>
      <c r="G902" s="266"/>
      <c r="H902" s="262"/>
      <c r="I902" s="266"/>
      <c r="J902" s="266"/>
      <c r="K902" s="262"/>
      <c r="L902" s="266"/>
      <c r="M902" s="266"/>
      <c r="N902" s="262"/>
      <c r="O902" s="266"/>
      <c r="P902" s="266"/>
      <c r="Q902" s="262"/>
      <c r="R902" s="266"/>
      <c r="S902" s="266"/>
      <c r="T902" s="262"/>
      <c r="U902" s="266"/>
      <c r="V902" s="266"/>
    </row>
    <row r="903">
      <c r="B903" s="14"/>
      <c r="E903" s="262"/>
      <c r="F903" s="266"/>
      <c r="G903" s="266"/>
      <c r="H903" s="262"/>
      <c r="I903" s="266"/>
      <c r="J903" s="266"/>
      <c r="K903" s="262"/>
      <c r="L903" s="266"/>
      <c r="M903" s="266"/>
      <c r="N903" s="262"/>
      <c r="O903" s="266"/>
      <c r="P903" s="266"/>
      <c r="Q903" s="262"/>
      <c r="R903" s="266"/>
      <c r="S903" s="266"/>
      <c r="T903" s="262"/>
      <c r="U903" s="266"/>
      <c r="V903" s="266"/>
    </row>
    <row r="904">
      <c r="B904" s="14"/>
      <c r="E904" s="262"/>
      <c r="F904" s="266"/>
      <c r="G904" s="266"/>
      <c r="H904" s="262"/>
      <c r="I904" s="266"/>
      <c r="J904" s="266"/>
      <c r="K904" s="262"/>
      <c r="L904" s="266"/>
      <c r="M904" s="266"/>
      <c r="N904" s="262"/>
      <c r="O904" s="266"/>
      <c r="P904" s="266"/>
      <c r="Q904" s="262"/>
      <c r="R904" s="266"/>
      <c r="S904" s="266"/>
      <c r="T904" s="262"/>
      <c r="U904" s="266"/>
      <c r="V904" s="266"/>
    </row>
    <row r="905">
      <c r="B905" s="14"/>
      <c r="E905" s="262"/>
      <c r="F905" s="266"/>
      <c r="G905" s="266"/>
      <c r="H905" s="262"/>
      <c r="I905" s="266"/>
      <c r="J905" s="266"/>
      <c r="K905" s="262"/>
      <c r="L905" s="266"/>
      <c r="M905" s="266"/>
      <c r="N905" s="262"/>
      <c r="O905" s="266"/>
      <c r="P905" s="266"/>
      <c r="Q905" s="262"/>
      <c r="R905" s="266"/>
      <c r="S905" s="266"/>
      <c r="T905" s="262"/>
      <c r="U905" s="266"/>
      <c r="V905" s="266"/>
    </row>
    <row r="906">
      <c r="B906" s="14"/>
      <c r="E906" s="262"/>
      <c r="F906" s="266"/>
      <c r="G906" s="266"/>
      <c r="H906" s="262"/>
      <c r="I906" s="266"/>
      <c r="J906" s="266"/>
      <c r="K906" s="262"/>
      <c r="L906" s="266"/>
      <c r="M906" s="266"/>
      <c r="N906" s="262"/>
      <c r="O906" s="266"/>
      <c r="P906" s="266"/>
      <c r="Q906" s="262"/>
      <c r="R906" s="266"/>
      <c r="S906" s="266"/>
      <c r="T906" s="262"/>
      <c r="U906" s="266"/>
      <c r="V906" s="266"/>
    </row>
    <row r="907">
      <c r="B907" s="14"/>
      <c r="E907" s="262"/>
      <c r="F907" s="266"/>
      <c r="G907" s="266"/>
      <c r="H907" s="262"/>
      <c r="I907" s="266"/>
      <c r="J907" s="266"/>
      <c r="K907" s="262"/>
      <c r="L907" s="266"/>
      <c r="M907" s="266"/>
      <c r="N907" s="262"/>
      <c r="O907" s="266"/>
      <c r="P907" s="266"/>
      <c r="Q907" s="262"/>
      <c r="R907" s="266"/>
      <c r="S907" s="266"/>
      <c r="T907" s="262"/>
      <c r="U907" s="266"/>
      <c r="V907" s="266"/>
    </row>
    <row r="908">
      <c r="B908" s="14"/>
      <c r="E908" s="262"/>
      <c r="F908" s="266"/>
      <c r="G908" s="266"/>
      <c r="H908" s="262"/>
      <c r="I908" s="266"/>
      <c r="J908" s="266"/>
      <c r="K908" s="262"/>
      <c r="L908" s="266"/>
      <c r="M908" s="266"/>
      <c r="N908" s="262"/>
      <c r="O908" s="266"/>
      <c r="P908" s="266"/>
      <c r="Q908" s="262"/>
      <c r="R908" s="266"/>
      <c r="S908" s="266"/>
      <c r="T908" s="262"/>
      <c r="U908" s="266"/>
      <c r="V908" s="266"/>
    </row>
    <row r="909">
      <c r="B909" s="14"/>
      <c r="E909" s="262"/>
      <c r="F909" s="266"/>
      <c r="G909" s="266"/>
      <c r="H909" s="262"/>
      <c r="I909" s="266"/>
      <c r="J909" s="266"/>
      <c r="K909" s="262"/>
      <c r="L909" s="266"/>
      <c r="M909" s="266"/>
      <c r="N909" s="262"/>
      <c r="O909" s="266"/>
      <c r="P909" s="266"/>
      <c r="Q909" s="262"/>
      <c r="R909" s="266"/>
      <c r="S909" s="266"/>
      <c r="T909" s="262"/>
      <c r="U909" s="266"/>
      <c r="V909" s="266"/>
    </row>
    <row r="910">
      <c r="B910" s="14"/>
      <c r="E910" s="262"/>
      <c r="F910" s="266"/>
      <c r="G910" s="266"/>
      <c r="H910" s="262"/>
      <c r="I910" s="266"/>
      <c r="J910" s="266"/>
      <c r="K910" s="262"/>
      <c r="L910" s="266"/>
      <c r="M910" s="266"/>
      <c r="N910" s="262"/>
      <c r="O910" s="266"/>
      <c r="P910" s="266"/>
      <c r="Q910" s="262"/>
      <c r="R910" s="266"/>
      <c r="S910" s="266"/>
      <c r="T910" s="262"/>
      <c r="U910" s="266"/>
      <c r="V910" s="266"/>
    </row>
    <row r="911">
      <c r="B911" s="14"/>
      <c r="E911" s="262"/>
      <c r="F911" s="266"/>
      <c r="G911" s="266"/>
      <c r="H911" s="262"/>
      <c r="I911" s="266"/>
      <c r="J911" s="266"/>
      <c r="K911" s="262"/>
      <c r="L911" s="266"/>
      <c r="M911" s="266"/>
      <c r="N911" s="262"/>
      <c r="O911" s="266"/>
      <c r="P911" s="266"/>
      <c r="Q911" s="262"/>
      <c r="R911" s="266"/>
      <c r="S911" s="266"/>
      <c r="T911" s="262"/>
      <c r="U911" s="266"/>
      <c r="V911" s="266"/>
    </row>
    <row r="912">
      <c r="B912" s="14"/>
      <c r="E912" s="262"/>
      <c r="F912" s="266"/>
      <c r="G912" s="266"/>
      <c r="H912" s="262"/>
      <c r="I912" s="266"/>
      <c r="J912" s="266"/>
      <c r="K912" s="262"/>
      <c r="L912" s="266"/>
      <c r="M912" s="266"/>
      <c r="N912" s="262"/>
      <c r="O912" s="266"/>
      <c r="P912" s="266"/>
      <c r="Q912" s="262"/>
      <c r="R912" s="266"/>
      <c r="S912" s="266"/>
      <c r="T912" s="262"/>
      <c r="U912" s="266"/>
      <c r="V912" s="266"/>
    </row>
    <row r="913">
      <c r="B913" s="14"/>
      <c r="E913" s="262"/>
      <c r="F913" s="266"/>
      <c r="G913" s="266"/>
      <c r="H913" s="262"/>
      <c r="I913" s="266"/>
      <c r="J913" s="266"/>
      <c r="K913" s="262"/>
      <c r="L913" s="266"/>
      <c r="M913" s="266"/>
      <c r="N913" s="262"/>
      <c r="O913" s="266"/>
      <c r="P913" s="266"/>
      <c r="Q913" s="262"/>
      <c r="R913" s="266"/>
      <c r="S913" s="266"/>
      <c r="T913" s="262"/>
      <c r="U913" s="266"/>
      <c r="V913" s="266"/>
    </row>
    <row r="914">
      <c r="B914" s="14"/>
      <c r="E914" s="262"/>
      <c r="F914" s="266"/>
      <c r="G914" s="266"/>
      <c r="H914" s="262"/>
      <c r="I914" s="266"/>
      <c r="J914" s="266"/>
      <c r="K914" s="262"/>
      <c r="L914" s="266"/>
      <c r="M914" s="266"/>
      <c r="N914" s="262"/>
      <c r="O914" s="266"/>
      <c r="P914" s="266"/>
      <c r="Q914" s="262"/>
      <c r="R914" s="266"/>
      <c r="S914" s="266"/>
      <c r="T914" s="262"/>
      <c r="U914" s="266"/>
      <c r="V914" s="266"/>
    </row>
    <row r="915">
      <c r="B915" s="14"/>
      <c r="E915" s="262"/>
      <c r="F915" s="266"/>
      <c r="G915" s="266"/>
      <c r="H915" s="262"/>
      <c r="I915" s="266"/>
      <c r="J915" s="266"/>
      <c r="K915" s="262"/>
      <c r="L915" s="266"/>
      <c r="M915" s="266"/>
      <c r="N915" s="262"/>
      <c r="O915" s="266"/>
      <c r="P915" s="266"/>
      <c r="Q915" s="262"/>
      <c r="R915" s="266"/>
      <c r="S915" s="266"/>
      <c r="T915" s="262"/>
      <c r="U915" s="266"/>
      <c r="V915" s="266"/>
    </row>
    <row r="916">
      <c r="B916" s="14"/>
      <c r="E916" s="262"/>
      <c r="F916" s="266"/>
      <c r="G916" s="266"/>
      <c r="H916" s="262"/>
      <c r="I916" s="266"/>
      <c r="J916" s="266"/>
      <c r="K916" s="262"/>
      <c r="L916" s="266"/>
      <c r="M916" s="266"/>
      <c r="N916" s="262"/>
      <c r="O916" s="266"/>
      <c r="P916" s="266"/>
      <c r="Q916" s="262"/>
      <c r="R916" s="266"/>
      <c r="S916" s="266"/>
      <c r="T916" s="262"/>
      <c r="U916" s="266"/>
      <c r="V916" s="266"/>
    </row>
    <row r="917">
      <c r="B917" s="14"/>
      <c r="E917" s="262"/>
      <c r="F917" s="266"/>
      <c r="G917" s="266"/>
      <c r="H917" s="262"/>
      <c r="I917" s="266"/>
      <c r="J917" s="266"/>
      <c r="K917" s="262"/>
      <c r="L917" s="266"/>
      <c r="M917" s="266"/>
      <c r="N917" s="262"/>
      <c r="O917" s="266"/>
      <c r="P917" s="266"/>
      <c r="Q917" s="262"/>
      <c r="R917" s="266"/>
      <c r="S917" s="266"/>
      <c r="T917" s="262"/>
      <c r="U917" s="266"/>
      <c r="V917" s="266"/>
    </row>
    <row r="918">
      <c r="B918" s="14"/>
      <c r="E918" s="262"/>
      <c r="F918" s="266"/>
      <c r="G918" s="266"/>
      <c r="H918" s="262"/>
      <c r="I918" s="266"/>
      <c r="J918" s="266"/>
      <c r="K918" s="262"/>
      <c r="L918" s="266"/>
      <c r="M918" s="266"/>
      <c r="N918" s="262"/>
      <c r="O918" s="266"/>
      <c r="P918" s="266"/>
      <c r="Q918" s="262"/>
      <c r="R918" s="266"/>
      <c r="S918" s="266"/>
      <c r="T918" s="262"/>
      <c r="U918" s="266"/>
      <c r="V918" s="266"/>
    </row>
    <row r="919">
      <c r="B919" s="14"/>
      <c r="E919" s="262"/>
      <c r="F919" s="266"/>
      <c r="G919" s="266"/>
      <c r="H919" s="262"/>
      <c r="I919" s="266"/>
      <c r="J919" s="266"/>
      <c r="K919" s="262"/>
      <c r="L919" s="266"/>
      <c r="M919" s="266"/>
      <c r="N919" s="262"/>
      <c r="O919" s="266"/>
      <c r="P919" s="266"/>
      <c r="Q919" s="262"/>
      <c r="R919" s="266"/>
      <c r="S919" s="266"/>
      <c r="T919" s="262"/>
      <c r="U919" s="266"/>
      <c r="V919" s="266"/>
    </row>
    <row r="920">
      <c r="B920" s="14"/>
      <c r="E920" s="262"/>
      <c r="F920" s="266"/>
      <c r="G920" s="266"/>
      <c r="H920" s="262"/>
      <c r="I920" s="266"/>
      <c r="J920" s="266"/>
      <c r="K920" s="262"/>
      <c r="L920" s="266"/>
      <c r="M920" s="266"/>
      <c r="N920" s="262"/>
      <c r="O920" s="266"/>
      <c r="P920" s="266"/>
      <c r="Q920" s="262"/>
      <c r="R920" s="266"/>
      <c r="S920" s="266"/>
      <c r="T920" s="262"/>
      <c r="U920" s="266"/>
      <c r="V920" s="266"/>
    </row>
    <row r="921">
      <c r="B921" s="14"/>
      <c r="E921" s="262"/>
      <c r="F921" s="266"/>
      <c r="G921" s="266"/>
      <c r="H921" s="262"/>
      <c r="I921" s="266"/>
      <c r="J921" s="266"/>
      <c r="K921" s="262"/>
      <c r="L921" s="266"/>
      <c r="M921" s="266"/>
      <c r="N921" s="262"/>
      <c r="O921" s="266"/>
      <c r="P921" s="266"/>
      <c r="Q921" s="262"/>
      <c r="R921" s="266"/>
      <c r="S921" s="266"/>
      <c r="T921" s="262"/>
      <c r="U921" s="266"/>
      <c r="V921" s="266"/>
    </row>
    <row r="922">
      <c r="B922" s="14"/>
      <c r="E922" s="262"/>
      <c r="F922" s="266"/>
      <c r="G922" s="266"/>
      <c r="H922" s="262"/>
      <c r="I922" s="266"/>
      <c r="J922" s="266"/>
      <c r="K922" s="262"/>
      <c r="L922" s="266"/>
      <c r="M922" s="266"/>
      <c r="N922" s="262"/>
      <c r="O922" s="266"/>
      <c r="P922" s="266"/>
      <c r="Q922" s="262"/>
      <c r="R922" s="266"/>
      <c r="S922" s="266"/>
      <c r="T922" s="262"/>
      <c r="U922" s="266"/>
      <c r="V922" s="266"/>
    </row>
    <row r="923">
      <c r="B923" s="14"/>
      <c r="E923" s="262"/>
      <c r="F923" s="266"/>
      <c r="G923" s="266"/>
      <c r="H923" s="262"/>
      <c r="I923" s="266"/>
      <c r="J923" s="266"/>
      <c r="K923" s="262"/>
      <c r="L923" s="266"/>
      <c r="M923" s="266"/>
      <c r="N923" s="262"/>
      <c r="O923" s="266"/>
      <c r="P923" s="266"/>
      <c r="Q923" s="262"/>
      <c r="R923" s="266"/>
      <c r="S923" s="266"/>
      <c r="T923" s="262"/>
      <c r="U923" s="266"/>
      <c r="V923" s="266"/>
    </row>
    <row r="924">
      <c r="B924" s="14"/>
      <c r="E924" s="262"/>
      <c r="F924" s="266"/>
      <c r="G924" s="266"/>
      <c r="H924" s="262"/>
      <c r="I924" s="266"/>
      <c r="J924" s="266"/>
      <c r="K924" s="262"/>
      <c r="L924" s="266"/>
      <c r="M924" s="266"/>
      <c r="N924" s="262"/>
      <c r="O924" s="266"/>
      <c r="P924" s="266"/>
      <c r="Q924" s="262"/>
      <c r="R924" s="266"/>
      <c r="S924" s="266"/>
      <c r="T924" s="262"/>
      <c r="U924" s="266"/>
      <c r="V924" s="266"/>
    </row>
    <row r="925">
      <c r="B925" s="14"/>
      <c r="E925" s="262"/>
      <c r="F925" s="266"/>
      <c r="G925" s="266"/>
      <c r="H925" s="262"/>
      <c r="I925" s="266"/>
      <c r="J925" s="266"/>
      <c r="K925" s="262"/>
      <c r="L925" s="266"/>
      <c r="M925" s="266"/>
      <c r="N925" s="262"/>
      <c r="O925" s="266"/>
      <c r="P925" s="266"/>
      <c r="Q925" s="262"/>
      <c r="R925" s="266"/>
      <c r="S925" s="266"/>
      <c r="T925" s="262"/>
      <c r="U925" s="266"/>
      <c r="V925" s="266"/>
    </row>
    <row r="926">
      <c r="B926" s="14"/>
      <c r="E926" s="262"/>
      <c r="F926" s="266"/>
      <c r="G926" s="266"/>
      <c r="H926" s="262"/>
      <c r="I926" s="266"/>
      <c r="J926" s="266"/>
      <c r="K926" s="262"/>
      <c r="L926" s="266"/>
      <c r="M926" s="266"/>
      <c r="N926" s="262"/>
      <c r="O926" s="266"/>
      <c r="P926" s="266"/>
      <c r="Q926" s="262"/>
      <c r="R926" s="266"/>
      <c r="S926" s="266"/>
      <c r="T926" s="262"/>
      <c r="U926" s="266"/>
      <c r="V926" s="266"/>
    </row>
    <row r="927">
      <c r="B927" s="14"/>
      <c r="E927" s="262"/>
      <c r="F927" s="266"/>
      <c r="G927" s="266"/>
      <c r="H927" s="262"/>
      <c r="I927" s="266"/>
      <c r="J927" s="266"/>
      <c r="K927" s="262"/>
      <c r="L927" s="266"/>
      <c r="M927" s="266"/>
      <c r="N927" s="262"/>
      <c r="O927" s="266"/>
      <c r="P927" s="266"/>
      <c r="Q927" s="262"/>
      <c r="R927" s="266"/>
      <c r="S927" s="266"/>
      <c r="T927" s="262"/>
      <c r="U927" s="266"/>
      <c r="V927" s="266"/>
    </row>
    <row r="928">
      <c r="B928" s="14"/>
      <c r="E928" s="262"/>
      <c r="F928" s="266"/>
      <c r="G928" s="266"/>
      <c r="H928" s="262"/>
      <c r="I928" s="266"/>
      <c r="J928" s="266"/>
      <c r="K928" s="262"/>
      <c r="L928" s="266"/>
      <c r="M928" s="266"/>
      <c r="N928" s="262"/>
      <c r="O928" s="266"/>
      <c r="P928" s="266"/>
      <c r="Q928" s="262"/>
      <c r="R928" s="266"/>
      <c r="S928" s="266"/>
      <c r="T928" s="262"/>
      <c r="U928" s="266"/>
      <c r="V928" s="266"/>
    </row>
    <row r="929">
      <c r="B929" s="14"/>
      <c r="E929" s="262"/>
      <c r="F929" s="266"/>
      <c r="G929" s="266"/>
      <c r="H929" s="262"/>
      <c r="I929" s="266"/>
      <c r="J929" s="266"/>
      <c r="K929" s="262"/>
      <c r="L929" s="266"/>
      <c r="M929" s="266"/>
      <c r="N929" s="262"/>
      <c r="O929" s="266"/>
      <c r="P929" s="266"/>
      <c r="Q929" s="262"/>
      <c r="R929" s="266"/>
      <c r="S929" s="266"/>
      <c r="T929" s="262"/>
      <c r="U929" s="266"/>
      <c r="V929" s="266"/>
    </row>
    <row r="930">
      <c r="B930" s="14"/>
      <c r="E930" s="262"/>
      <c r="F930" s="266"/>
      <c r="G930" s="266"/>
      <c r="H930" s="262"/>
      <c r="I930" s="266"/>
      <c r="J930" s="266"/>
      <c r="K930" s="262"/>
      <c r="L930" s="266"/>
      <c r="M930" s="266"/>
      <c r="N930" s="262"/>
      <c r="O930" s="266"/>
      <c r="P930" s="266"/>
      <c r="Q930" s="262"/>
      <c r="R930" s="266"/>
      <c r="S930" s="266"/>
      <c r="T930" s="262"/>
      <c r="U930" s="266"/>
      <c r="V930" s="266"/>
    </row>
    <row r="931">
      <c r="B931" s="14"/>
      <c r="E931" s="262"/>
      <c r="F931" s="266"/>
      <c r="G931" s="266"/>
      <c r="H931" s="262"/>
      <c r="I931" s="266"/>
      <c r="J931" s="266"/>
      <c r="K931" s="262"/>
      <c r="L931" s="266"/>
      <c r="M931" s="266"/>
      <c r="N931" s="262"/>
      <c r="O931" s="266"/>
      <c r="P931" s="266"/>
      <c r="Q931" s="262"/>
      <c r="R931" s="266"/>
      <c r="S931" s="266"/>
      <c r="T931" s="262"/>
      <c r="U931" s="266"/>
      <c r="V931" s="266"/>
    </row>
    <row r="932">
      <c r="B932" s="14"/>
      <c r="E932" s="262"/>
      <c r="F932" s="266"/>
      <c r="G932" s="266"/>
      <c r="H932" s="262"/>
      <c r="I932" s="266"/>
      <c r="J932" s="266"/>
      <c r="K932" s="262"/>
      <c r="L932" s="266"/>
      <c r="M932" s="266"/>
      <c r="N932" s="262"/>
      <c r="O932" s="266"/>
      <c r="P932" s="266"/>
      <c r="Q932" s="262"/>
      <c r="R932" s="266"/>
      <c r="S932" s="266"/>
      <c r="T932" s="262"/>
      <c r="U932" s="266"/>
      <c r="V932" s="266"/>
    </row>
    <row r="933">
      <c r="B933" s="14"/>
      <c r="E933" s="262"/>
      <c r="F933" s="266"/>
      <c r="G933" s="266"/>
      <c r="H933" s="262"/>
      <c r="I933" s="266"/>
      <c r="J933" s="266"/>
      <c r="K933" s="262"/>
      <c r="L933" s="266"/>
      <c r="M933" s="266"/>
      <c r="N933" s="262"/>
      <c r="O933" s="266"/>
      <c r="P933" s="266"/>
      <c r="Q933" s="262"/>
      <c r="R933" s="266"/>
      <c r="S933" s="266"/>
      <c r="T933" s="262"/>
      <c r="U933" s="266"/>
      <c r="V933" s="266"/>
    </row>
    <row r="934">
      <c r="B934" s="14"/>
      <c r="E934" s="262"/>
      <c r="F934" s="266"/>
      <c r="G934" s="266"/>
      <c r="H934" s="262"/>
      <c r="I934" s="266"/>
      <c r="J934" s="266"/>
      <c r="K934" s="262"/>
      <c r="L934" s="266"/>
      <c r="M934" s="266"/>
      <c r="N934" s="262"/>
      <c r="O934" s="266"/>
      <c r="P934" s="266"/>
      <c r="Q934" s="262"/>
      <c r="R934" s="266"/>
      <c r="S934" s="266"/>
      <c r="T934" s="262"/>
      <c r="U934" s="266"/>
      <c r="V934" s="266"/>
    </row>
    <row r="935">
      <c r="B935" s="14"/>
      <c r="E935" s="262"/>
      <c r="F935" s="266"/>
      <c r="G935" s="266"/>
      <c r="H935" s="262"/>
      <c r="I935" s="266"/>
      <c r="J935" s="266"/>
      <c r="K935" s="262"/>
      <c r="L935" s="266"/>
      <c r="M935" s="266"/>
      <c r="N935" s="262"/>
      <c r="O935" s="266"/>
      <c r="P935" s="266"/>
      <c r="Q935" s="262"/>
      <c r="R935" s="266"/>
      <c r="S935" s="266"/>
      <c r="T935" s="262"/>
      <c r="U935" s="266"/>
      <c r="V935" s="266"/>
    </row>
    <row r="936">
      <c r="B936" s="14"/>
      <c r="E936" s="262"/>
      <c r="F936" s="266"/>
      <c r="G936" s="266"/>
      <c r="H936" s="262"/>
      <c r="I936" s="266"/>
      <c r="J936" s="266"/>
      <c r="K936" s="262"/>
      <c r="L936" s="266"/>
      <c r="M936" s="266"/>
      <c r="N936" s="262"/>
      <c r="O936" s="266"/>
      <c r="P936" s="266"/>
      <c r="Q936" s="262"/>
      <c r="R936" s="266"/>
      <c r="S936" s="266"/>
      <c r="T936" s="262"/>
      <c r="U936" s="266"/>
      <c r="V936" s="266"/>
    </row>
    <row r="937">
      <c r="B937" s="14"/>
      <c r="E937" s="262"/>
      <c r="F937" s="266"/>
      <c r="G937" s="266"/>
      <c r="H937" s="262"/>
      <c r="I937" s="266"/>
      <c r="J937" s="266"/>
      <c r="K937" s="262"/>
      <c r="L937" s="266"/>
      <c r="M937" s="266"/>
      <c r="N937" s="262"/>
      <c r="O937" s="266"/>
      <c r="P937" s="266"/>
      <c r="Q937" s="262"/>
      <c r="R937" s="266"/>
      <c r="S937" s="266"/>
      <c r="T937" s="262"/>
      <c r="U937" s="266"/>
      <c r="V937" s="266"/>
    </row>
    <row r="938">
      <c r="B938" s="14"/>
      <c r="E938" s="262"/>
      <c r="F938" s="266"/>
      <c r="G938" s="266"/>
      <c r="H938" s="262"/>
      <c r="I938" s="266"/>
      <c r="J938" s="266"/>
      <c r="K938" s="262"/>
      <c r="L938" s="266"/>
      <c r="M938" s="266"/>
      <c r="N938" s="262"/>
      <c r="O938" s="266"/>
      <c r="P938" s="266"/>
      <c r="Q938" s="262"/>
      <c r="R938" s="266"/>
      <c r="S938" s="266"/>
      <c r="T938" s="262"/>
      <c r="U938" s="266"/>
      <c r="V938" s="266"/>
    </row>
    <row r="939">
      <c r="B939" s="14"/>
      <c r="E939" s="262"/>
      <c r="F939" s="266"/>
      <c r="G939" s="266"/>
      <c r="H939" s="262"/>
      <c r="I939" s="266"/>
      <c r="J939" s="266"/>
      <c r="K939" s="262"/>
      <c r="L939" s="266"/>
      <c r="M939" s="266"/>
      <c r="N939" s="262"/>
      <c r="O939" s="266"/>
      <c r="P939" s="266"/>
      <c r="Q939" s="262"/>
      <c r="R939" s="266"/>
      <c r="S939" s="266"/>
      <c r="T939" s="262"/>
      <c r="U939" s="266"/>
      <c r="V939" s="266"/>
    </row>
    <row r="940">
      <c r="B940" s="14"/>
      <c r="E940" s="262"/>
      <c r="F940" s="266"/>
      <c r="G940" s="266"/>
      <c r="H940" s="262"/>
      <c r="I940" s="266"/>
      <c r="J940" s="266"/>
      <c r="K940" s="262"/>
      <c r="L940" s="266"/>
      <c r="M940" s="266"/>
      <c r="N940" s="262"/>
      <c r="O940" s="266"/>
      <c r="P940" s="266"/>
      <c r="Q940" s="262"/>
      <c r="R940" s="266"/>
      <c r="S940" s="266"/>
      <c r="T940" s="262"/>
      <c r="U940" s="266"/>
      <c r="V940" s="266"/>
    </row>
    <row r="941">
      <c r="B941" s="14"/>
      <c r="E941" s="262"/>
      <c r="F941" s="266"/>
      <c r="G941" s="266"/>
      <c r="H941" s="262"/>
      <c r="I941" s="266"/>
      <c r="J941" s="266"/>
      <c r="K941" s="262"/>
      <c r="L941" s="266"/>
      <c r="M941" s="266"/>
      <c r="N941" s="262"/>
      <c r="O941" s="266"/>
      <c r="P941" s="266"/>
      <c r="Q941" s="262"/>
      <c r="R941" s="266"/>
      <c r="S941" s="266"/>
      <c r="T941" s="262"/>
      <c r="U941" s="266"/>
      <c r="V941" s="266"/>
    </row>
    <row r="942">
      <c r="B942" s="14"/>
      <c r="E942" s="262"/>
      <c r="F942" s="266"/>
      <c r="G942" s="266"/>
      <c r="H942" s="262"/>
      <c r="I942" s="266"/>
      <c r="J942" s="266"/>
      <c r="K942" s="262"/>
      <c r="L942" s="266"/>
      <c r="M942" s="266"/>
      <c r="N942" s="262"/>
      <c r="O942" s="266"/>
      <c r="P942" s="266"/>
      <c r="Q942" s="262"/>
      <c r="R942" s="266"/>
      <c r="S942" s="266"/>
      <c r="T942" s="262"/>
      <c r="U942" s="266"/>
      <c r="V942" s="266"/>
    </row>
    <row r="943">
      <c r="B943" s="14"/>
      <c r="E943" s="262"/>
      <c r="F943" s="266"/>
      <c r="G943" s="266"/>
      <c r="H943" s="262"/>
      <c r="I943" s="266"/>
      <c r="J943" s="266"/>
      <c r="K943" s="262"/>
      <c r="L943" s="266"/>
      <c r="M943" s="266"/>
      <c r="N943" s="262"/>
      <c r="O943" s="266"/>
      <c r="P943" s="266"/>
      <c r="Q943" s="262"/>
      <c r="R943" s="266"/>
      <c r="S943" s="266"/>
      <c r="T943" s="262"/>
      <c r="U943" s="266"/>
      <c r="V943" s="266"/>
    </row>
    <row r="944">
      <c r="B944" s="14"/>
      <c r="E944" s="262"/>
      <c r="F944" s="266"/>
      <c r="G944" s="266"/>
      <c r="H944" s="262"/>
      <c r="I944" s="266"/>
      <c r="J944" s="266"/>
      <c r="K944" s="262"/>
      <c r="L944" s="266"/>
      <c r="M944" s="266"/>
      <c r="N944" s="262"/>
      <c r="O944" s="266"/>
      <c r="P944" s="266"/>
      <c r="Q944" s="262"/>
      <c r="R944" s="266"/>
      <c r="S944" s="266"/>
      <c r="T944" s="262"/>
      <c r="U944" s="266"/>
      <c r="V944" s="266"/>
    </row>
    <row r="945">
      <c r="B945" s="14"/>
      <c r="E945" s="262"/>
      <c r="F945" s="266"/>
      <c r="G945" s="266"/>
      <c r="H945" s="262"/>
      <c r="I945" s="266"/>
      <c r="J945" s="266"/>
      <c r="K945" s="262"/>
      <c r="L945" s="266"/>
      <c r="M945" s="266"/>
      <c r="N945" s="262"/>
      <c r="O945" s="266"/>
      <c r="P945" s="266"/>
      <c r="Q945" s="262"/>
      <c r="R945" s="266"/>
      <c r="S945" s="266"/>
      <c r="T945" s="262"/>
      <c r="U945" s="266"/>
      <c r="V945" s="266"/>
    </row>
    <row r="946">
      <c r="B946" s="14"/>
      <c r="E946" s="262"/>
      <c r="F946" s="266"/>
      <c r="G946" s="266"/>
      <c r="H946" s="262"/>
      <c r="I946" s="266"/>
      <c r="J946" s="266"/>
      <c r="K946" s="262"/>
      <c r="L946" s="266"/>
      <c r="M946" s="266"/>
      <c r="N946" s="262"/>
      <c r="O946" s="266"/>
      <c r="P946" s="266"/>
      <c r="Q946" s="262"/>
      <c r="R946" s="266"/>
      <c r="S946" s="266"/>
      <c r="T946" s="262"/>
      <c r="U946" s="266"/>
      <c r="V946" s="266"/>
    </row>
    <row r="947">
      <c r="B947" s="14"/>
      <c r="E947" s="262"/>
      <c r="F947" s="266"/>
      <c r="G947" s="266"/>
      <c r="H947" s="262"/>
      <c r="I947" s="266"/>
      <c r="J947" s="266"/>
      <c r="K947" s="262"/>
      <c r="L947" s="266"/>
      <c r="M947" s="266"/>
      <c r="N947" s="262"/>
      <c r="O947" s="266"/>
      <c r="P947" s="266"/>
      <c r="Q947" s="262"/>
      <c r="R947" s="266"/>
      <c r="S947" s="266"/>
      <c r="T947" s="262"/>
      <c r="U947" s="266"/>
      <c r="V947" s="266"/>
    </row>
    <row r="948">
      <c r="B948" s="14"/>
      <c r="E948" s="262"/>
      <c r="F948" s="266"/>
      <c r="G948" s="266"/>
      <c r="H948" s="262"/>
      <c r="I948" s="266"/>
      <c r="J948" s="266"/>
      <c r="K948" s="262"/>
      <c r="L948" s="266"/>
      <c r="M948" s="266"/>
      <c r="N948" s="262"/>
      <c r="O948" s="266"/>
      <c r="P948" s="266"/>
      <c r="Q948" s="262"/>
      <c r="R948" s="266"/>
      <c r="S948" s="266"/>
      <c r="T948" s="262"/>
      <c r="U948" s="266"/>
      <c r="V948" s="266"/>
    </row>
    <row r="949">
      <c r="B949" s="14"/>
      <c r="E949" s="262"/>
      <c r="F949" s="266"/>
      <c r="G949" s="266"/>
      <c r="H949" s="262"/>
      <c r="I949" s="266"/>
      <c r="J949" s="266"/>
      <c r="K949" s="262"/>
      <c r="L949" s="266"/>
      <c r="M949" s="266"/>
      <c r="N949" s="262"/>
      <c r="O949" s="266"/>
      <c r="P949" s="266"/>
      <c r="Q949" s="262"/>
      <c r="R949" s="266"/>
      <c r="S949" s="266"/>
      <c r="T949" s="262"/>
      <c r="U949" s="266"/>
      <c r="V949" s="266"/>
    </row>
    <row r="950">
      <c r="B950" s="14"/>
      <c r="E950" s="262"/>
      <c r="F950" s="266"/>
      <c r="G950" s="266"/>
      <c r="H950" s="262"/>
      <c r="I950" s="266"/>
      <c r="J950" s="266"/>
      <c r="K950" s="262"/>
      <c r="L950" s="266"/>
      <c r="M950" s="266"/>
      <c r="N950" s="262"/>
      <c r="O950" s="266"/>
      <c r="P950" s="266"/>
      <c r="Q950" s="262"/>
      <c r="R950" s="266"/>
      <c r="S950" s="266"/>
      <c r="T950" s="262"/>
      <c r="U950" s="266"/>
      <c r="V950" s="266"/>
    </row>
    <row r="951">
      <c r="B951" s="14"/>
      <c r="E951" s="262"/>
      <c r="F951" s="266"/>
      <c r="G951" s="266"/>
      <c r="H951" s="262"/>
      <c r="I951" s="266"/>
      <c r="J951" s="266"/>
      <c r="K951" s="262"/>
      <c r="L951" s="266"/>
      <c r="M951" s="266"/>
      <c r="N951" s="262"/>
      <c r="O951" s="266"/>
      <c r="P951" s="266"/>
      <c r="Q951" s="262"/>
      <c r="R951" s="266"/>
      <c r="S951" s="266"/>
      <c r="T951" s="262"/>
      <c r="U951" s="266"/>
      <c r="V951" s="266"/>
    </row>
    <row r="952">
      <c r="B952" s="14"/>
      <c r="E952" s="262"/>
      <c r="F952" s="266"/>
      <c r="G952" s="266"/>
      <c r="H952" s="262"/>
      <c r="I952" s="266"/>
      <c r="J952" s="266"/>
      <c r="K952" s="262"/>
      <c r="L952" s="266"/>
      <c r="M952" s="266"/>
      <c r="N952" s="262"/>
      <c r="O952" s="266"/>
      <c r="P952" s="266"/>
      <c r="Q952" s="262"/>
      <c r="R952" s="266"/>
      <c r="S952" s="266"/>
      <c r="T952" s="262"/>
      <c r="U952" s="266"/>
      <c r="V952" s="266"/>
    </row>
    <row r="953">
      <c r="B953" s="14"/>
      <c r="E953" s="262"/>
      <c r="F953" s="266"/>
      <c r="G953" s="266"/>
      <c r="H953" s="262"/>
      <c r="I953" s="266"/>
      <c r="J953" s="266"/>
      <c r="K953" s="262"/>
      <c r="L953" s="266"/>
      <c r="M953" s="266"/>
      <c r="N953" s="262"/>
      <c r="O953" s="266"/>
      <c r="P953" s="266"/>
      <c r="Q953" s="262"/>
      <c r="R953" s="266"/>
      <c r="S953" s="266"/>
      <c r="T953" s="262"/>
      <c r="U953" s="266"/>
      <c r="V953" s="266"/>
    </row>
    <row r="954">
      <c r="B954" s="14"/>
      <c r="E954" s="262"/>
      <c r="F954" s="266"/>
      <c r="G954" s="266"/>
      <c r="H954" s="262"/>
      <c r="I954" s="266"/>
      <c r="J954" s="266"/>
      <c r="K954" s="262"/>
      <c r="L954" s="266"/>
      <c r="M954" s="266"/>
      <c r="N954" s="262"/>
      <c r="O954" s="266"/>
      <c r="P954" s="266"/>
      <c r="Q954" s="262"/>
      <c r="R954" s="266"/>
      <c r="S954" s="266"/>
      <c r="T954" s="262"/>
      <c r="U954" s="266"/>
      <c r="V954" s="266"/>
    </row>
    <row r="955">
      <c r="B955" s="14"/>
      <c r="E955" s="262"/>
      <c r="F955" s="266"/>
      <c r="G955" s="266"/>
      <c r="H955" s="262"/>
      <c r="I955" s="266"/>
      <c r="J955" s="266"/>
      <c r="K955" s="262"/>
      <c r="L955" s="266"/>
      <c r="M955" s="266"/>
      <c r="N955" s="262"/>
      <c r="O955" s="266"/>
      <c r="P955" s="266"/>
      <c r="Q955" s="262"/>
      <c r="R955" s="266"/>
      <c r="S955" s="266"/>
      <c r="T955" s="262"/>
      <c r="U955" s="266"/>
      <c r="V955" s="266"/>
    </row>
    <row r="956">
      <c r="B956" s="14"/>
      <c r="E956" s="262"/>
      <c r="F956" s="266"/>
      <c r="G956" s="266"/>
      <c r="H956" s="262"/>
      <c r="I956" s="266"/>
      <c r="J956" s="266"/>
      <c r="K956" s="262"/>
      <c r="L956" s="266"/>
      <c r="M956" s="266"/>
      <c r="N956" s="262"/>
      <c r="O956" s="266"/>
      <c r="P956" s="266"/>
      <c r="Q956" s="262"/>
      <c r="R956" s="266"/>
      <c r="S956" s="266"/>
      <c r="T956" s="262"/>
      <c r="U956" s="266"/>
      <c r="V956" s="266"/>
    </row>
    <row r="957">
      <c r="B957" s="14"/>
      <c r="E957" s="262"/>
      <c r="F957" s="266"/>
      <c r="G957" s="266"/>
      <c r="H957" s="262"/>
      <c r="I957" s="266"/>
      <c r="J957" s="266"/>
      <c r="K957" s="262"/>
      <c r="L957" s="266"/>
      <c r="M957" s="266"/>
      <c r="N957" s="262"/>
      <c r="O957" s="266"/>
      <c r="P957" s="266"/>
      <c r="Q957" s="262"/>
      <c r="R957" s="266"/>
      <c r="S957" s="266"/>
      <c r="T957" s="262"/>
      <c r="U957" s="266"/>
      <c r="V957" s="266"/>
    </row>
    <row r="958">
      <c r="B958" s="14"/>
      <c r="E958" s="262"/>
      <c r="F958" s="266"/>
      <c r="G958" s="266"/>
      <c r="H958" s="262"/>
      <c r="I958" s="266"/>
      <c r="J958" s="266"/>
      <c r="K958" s="262"/>
      <c r="L958" s="266"/>
      <c r="M958" s="266"/>
      <c r="N958" s="262"/>
      <c r="O958" s="266"/>
      <c r="P958" s="266"/>
      <c r="Q958" s="262"/>
      <c r="R958" s="266"/>
      <c r="S958" s="266"/>
      <c r="T958" s="262"/>
      <c r="U958" s="266"/>
      <c r="V958" s="266"/>
    </row>
    <row r="959">
      <c r="B959" s="14"/>
      <c r="E959" s="262"/>
      <c r="F959" s="266"/>
      <c r="G959" s="266"/>
      <c r="H959" s="262"/>
      <c r="I959" s="266"/>
      <c r="J959" s="266"/>
      <c r="K959" s="262"/>
      <c r="L959" s="266"/>
      <c r="M959" s="266"/>
      <c r="N959" s="262"/>
      <c r="O959" s="266"/>
      <c r="P959" s="266"/>
      <c r="Q959" s="262"/>
      <c r="R959" s="266"/>
      <c r="S959" s="266"/>
      <c r="T959" s="262"/>
      <c r="U959" s="266"/>
      <c r="V959" s="266"/>
    </row>
    <row r="960">
      <c r="B960" s="14"/>
      <c r="E960" s="262"/>
      <c r="F960" s="266"/>
      <c r="G960" s="266"/>
      <c r="H960" s="262"/>
      <c r="I960" s="266"/>
      <c r="J960" s="266"/>
      <c r="K960" s="262"/>
      <c r="L960" s="266"/>
      <c r="M960" s="266"/>
      <c r="N960" s="262"/>
      <c r="O960" s="266"/>
      <c r="P960" s="266"/>
      <c r="Q960" s="262"/>
      <c r="R960" s="266"/>
      <c r="S960" s="266"/>
      <c r="T960" s="262"/>
      <c r="U960" s="266"/>
      <c r="V960" s="266"/>
    </row>
    <row r="961">
      <c r="B961" s="14"/>
      <c r="E961" s="262"/>
      <c r="F961" s="266"/>
      <c r="G961" s="266"/>
      <c r="H961" s="262"/>
      <c r="I961" s="266"/>
      <c r="J961" s="266"/>
      <c r="K961" s="262"/>
      <c r="L961" s="266"/>
      <c r="M961" s="266"/>
      <c r="N961" s="262"/>
      <c r="O961" s="266"/>
      <c r="P961" s="266"/>
      <c r="Q961" s="262"/>
      <c r="R961" s="266"/>
      <c r="S961" s="266"/>
      <c r="T961" s="262"/>
      <c r="U961" s="266"/>
      <c r="V961" s="266"/>
    </row>
    <row r="962">
      <c r="B962" s="14"/>
      <c r="E962" s="262"/>
      <c r="F962" s="266"/>
      <c r="G962" s="266"/>
      <c r="H962" s="262"/>
      <c r="I962" s="266"/>
      <c r="J962" s="266"/>
      <c r="K962" s="262"/>
      <c r="L962" s="266"/>
      <c r="M962" s="266"/>
      <c r="N962" s="262"/>
      <c r="O962" s="266"/>
      <c r="P962" s="266"/>
      <c r="Q962" s="262"/>
      <c r="R962" s="266"/>
      <c r="S962" s="266"/>
      <c r="T962" s="262"/>
      <c r="U962" s="266"/>
      <c r="V962" s="266"/>
    </row>
    <row r="963">
      <c r="B963" s="14"/>
      <c r="E963" s="262"/>
      <c r="F963" s="266"/>
      <c r="G963" s="266"/>
      <c r="H963" s="262"/>
      <c r="I963" s="266"/>
      <c r="J963" s="266"/>
      <c r="K963" s="262"/>
      <c r="L963" s="266"/>
      <c r="M963" s="266"/>
      <c r="N963" s="262"/>
      <c r="O963" s="266"/>
      <c r="P963" s="266"/>
      <c r="Q963" s="262"/>
      <c r="R963" s="266"/>
      <c r="S963" s="266"/>
      <c r="T963" s="262"/>
      <c r="U963" s="266"/>
      <c r="V963" s="266"/>
    </row>
    <row r="964">
      <c r="B964" s="14"/>
      <c r="E964" s="262"/>
      <c r="F964" s="266"/>
      <c r="G964" s="266"/>
      <c r="H964" s="262"/>
      <c r="I964" s="266"/>
      <c r="J964" s="266"/>
      <c r="K964" s="262"/>
      <c r="L964" s="266"/>
      <c r="M964" s="266"/>
      <c r="N964" s="262"/>
      <c r="O964" s="266"/>
      <c r="P964" s="266"/>
      <c r="Q964" s="262"/>
      <c r="R964" s="266"/>
      <c r="S964" s="266"/>
      <c r="T964" s="262"/>
      <c r="U964" s="266"/>
      <c r="V964" s="266"/>
    </row>
    <row r="965">
      <c r="B965" s="14"/>
      <c r="E965" s="262"/>
      <c r="F965" s="266"/>
      <c r="G965" s="266"/>
      <c r="H965" s="262"/>
      <c r="I965" s="266"/>
      <c r="J965" s="266"/>
      <c r="K965" s="262"/>
      <c r="L965" s="266"/>
      <c r="M965" s="266"/>
      <c r="N965" s="262"/>
      <c r="O965" s="266"/>
      <c r="P965" s="266"/>
      <c r="Q965" s="262"/>
      <c r="R965" s="266"/>
      <c r="S965" s="266"/>
      <c r="T965" s="262"/>
      <c r="U965" s="266"/>
      <c r="V965" s="266"/>
    </row>
    <row r="966">
      <c r="B966" s="14"/>
      <c r="E966" s="262"/>
      <c r="F966" s="266"/>
      <c r="G966" s="266"/>
      <c r="H966" s="262"/>
      <c r="I966" s="266"/>
      <c r="J966" s="266"/>
      <c r="K966" s="262"/>
      <c r="L966" s="266"/>
      <c r="M966" s="266"/>
      <c r="N966" s="262"/>
      <c r="O966" s="266"/>
      <c r="P966" s="266"/>
      <c r="Q966" s="262"/>
      <c r="R966" s="266"/>
      <c r="S966" s="266"/>
      <c r="T966" s="262"/>
      <c r="U966" s="266"/>
      <c r="V966" s="266"/>
    </row>
    <row r="967">
      <c r="B967" s="14"/>
      <c r="E967" s="262"/>
      <c r="F967" s="266"/>
      <c r="G967" s="266"/>
      <c r="H967" s="262"/>
      <c r="I967" s="266"/>
      <c r="J967" s="266"/>
      <c r="K967" s="262"/>
      <c r="L967" s="266"/>
      <c r="M967" s="266"/>
      <c r="N967" s="262"/>
      <c r="O967" s="266"/>
      <c r="P967" s="266"/>
      <c r="Q967" s="262"/>
      <c r="R967" s="266"/>
      <c r="S967" s="266"/>
      <c r="T967" s="262"/>
      <c r="U967" s="266"/>
      <c r="V967" s="266"/>
    </row>
    <row r="968">
      <c r="B968" s="14"/>
      <c r="E968" s="262"/>
      <c r="F968" s="266"/>
      <c r="G968" s="266"/>
      <c r="H968" s="262"/>
      <c r="I968" s="266"/>
      <c r="J968" s="266"/>
      <c r="K968" s="262"/>
      <c r="L968" s="266"/>
      <c r="M968" s="266"/>
      <c r="N968" s="262"/>
      <c r="O968" s="266"/>
      <c r="P968" s="266"/>
      <c r="Q968" s="262"/>
      <c r="R968" s="266"/>
      <c r="S968" s="266"/>
      <c r="T968" s="262"/>
      <c r="U968" s="266"/>
      <c r="V968" s="266"/>
    </row>
    <row r="969">
      <c r="B969" s="14"/>
      <c r="E969" s="262"/>
      <c r="F969" s="266"/>
      <c r="G969" s="266"/>
      <c r="H969" s="262"/>
      <c r="I969" s="266"/>
      <c r="J969" s="266"/>
      <c r="K969" s="262"/>
      <c r="L969" s="266"/>
      <c r="M969" s="266"/>
      <c r="N969" s="262"/>
      <c r="O969" s="266"/>
      <c r="P969" s="266"/>
      <c r="Q969" s="262"/>
      <c r="R969" s="266"/>
      <c r="S969" s="266"/>
      <c r="T969" s="262"/>
      <c r="U969" s="266"/>
      <c r="V969" s="266"/>
    </row>
    <row r="970">
      <c r="B970" s="14"/>
      <c r="E970" s="262"/>
      <c r="F970" s="266"/>
      <c r="G970" s="266"/>
      <c r="H970" s="262"/>
      <c r="I970" s="266"/>
      <c r="J970" s="266"/>
      <c r="K970" s="262"/>
      <c r="L970" s="266"/>
      <c r="M970" s="266"/>
      <c r="N970" s="262"/>
      <c r="O970" s="266"/>
      <c r="P970" s="266"/>
      <c r="Q970" s="262"/>
      <c r="R970" s="266"/>
      <c r="S970" s="266"/>
      <c r="T970" s="262"/>
      <c r="U970" s="266"/>
      <c r="V970" s="266"/>
    </row>
    <row r="971">
      <c r="B971" s="14"/>
      <c r="E971" s="262"/>
      <c r="F971" s="266"/>
      <c r="G971" s="266"/>
      <c r="H971" s="262"/>
      <c r="I971" s="266"/>
      <c r="J971" s="266"/>
      <c r="K971" s="262"/>
      <c r="L971" s="266"/>
      <c r="M971" s="266"/>
      <c r="N971" s="262"/>
      <c r="O971" s="266"/>
      <c r="P971" s="266"/>
      <c r="Q971" s="262"/>
      <c r="R971" s="266"/>
      <c r="S971" s="266"/>
      <c r="T971" s="262"/>
      <c r="U971" s="266"/>
      <c r="V971" s="266"/>
    </row>
    <row r="972">
      <c r="B972" s="14"/>
      <c r="E972" s="262"/>
      <c r="F972" s="266"/>
      <c r="G972" s="266"/>
      <c r="H972" s="262"/>
      <c r="I972" s="266"/>
      <c r="J972" s="266"/>
      <c r="K972" s="262"/>
      <c r="L972" s="266"/>
      <c r="M972" s="266"/>
      <c r="N972" s="262"/>
      <c r="O972" s="266"/>
      <c r="P972" s="266"/>
      <c r="Q972" s="262"/>
      <c r="R972" s="266"/>
      <c r="S972" s="266"/>
      <c r="T972" s="262"/>
      <c r="U972" s="266"/>
      <c r="V972" s="266"/>
    </row>
    <row r="973">
      <c r="B973" s="14"/>
      <c r="E973" s="262"/>
      <c r="F973" s="266"/>
      <c r="G973" s="266"/>
      <c r="H973" s="262"/>
      <c r="I973" s="266"/>
      <c r="J973" s="266"/>
      <c r="K973" s="262"/>
      <c r="L973" s="266"/>
      <c r="M973" s="266"/>
      <c r="N973" s="262"/>
      <c r="O973" s="266"/>
      <c r="P973" s="266"/>
      <c r="Q973" s="262"/>
      <c r="R973" s="266"/>
      <c r="S973" s="266"/>
      <c r="T973" s="262"/>
      <c r="U973" s="266"/>
      <c r="V973" s="266"/>
    </row>
    <row r="974">
      <c r="B974" s="14"/>
      <c r="E974" s="262"/>
      <c r="F974" s="266"/>
      <c r="G974" s="266"/>
      <c r="H974" s="262"/>
      <c r="I974" s="266"/>
      <c r="J974" s="266"/>
      <c r="K974" s="262"/>
      <c r="L974" s="266"/>
      <c r="M974" s="266"/>
      <c r="N974" s="262"/>
      <c r="O974" s="266"/>
      <c r="P974" s="266"/>
      <c r="Q974" s="262"/>
      <c r="R974" s="266"/>
      <c r="S974" s="266"/>
      <c r="T974" s="262"/>
      <c r="U974" s="266"/>
      <c r="V974" s="266"/>
    </row>
    <row r="975">
      <c r="B975" s="14"/>
      <c r="E975" s="262"/>
      <c r="F975" s="266"/>
      <c r="G975" s="266"/>
      <c r="H975" s="262"/>
      <c r="I975" s="266"/>
      <c r="J975" s="266"/>
      <c r="K975" s="262"/>
      <c r="L975" s="266"/>
      <c r="M975" s="266"/>
      <c r="N975" s="262"/>
      <c r="O975" s="266"/>
      <c r="P975" s="266"/>
      <c r="Q975" s="262"/>
      <c r="R975" s="266"/>
      <c r="S975" s="266"/>
      <c r="T975" s="262"/>
      <c r="U975" s="266"/>
      <c r="V975" s="266"/>
    </row>
    <row r="976">
      <c r="B976" s="14"/>
      <c r="E976" s="262"/>
      <c r="F976" s="266"/>
      <c r="G976" s="266"/>
      <c r="H976" s="262"/>
      <c r="I976" s="266"/>
      <c r="J976" s="266"/>
      <c r="K976" s="262"/>
      <c r="L976" s="266"/>
      <c r="M976" s="266"/>
      <c r="N976" s="262"/>
      <c r="O976" s="266"/>
      <c r="P976" s="266"/>
      <c r="Q976" s="262"/>
      <c r="R976" s="266"/>
      <c r="S976" s="266"/>
      <c r="T976" s="262"/>
      <c r="U976" s="266"/>
      <c r="V976" s="266"/>
    </row>
    <row r="977">
      <c r="B977" s="14"/>
      <c r="E977" s="262"/>
      <c r="F977" s="266"/>
      <c r="G977" s="266"/>
      <c r="H977" s="262"/>
      <c r="I977" s="266"/>
      <c r="J977" s="266"/>
      <c r="K977" s="262"/>
      <c r="L977" s="266"/>
      <c r="M977" s="266"/>
      <c r="N977" s="262"/>
      <c r="O977" s="266"/>
      <c r="P977" s="266"/>
      <c r="Q977" s="262"/>
      <c r="R977" s="266"/>
      <c r="S977" s="266"/>
      <c r="T977" s="262"/>
      <c r="U977" s="266"/>
      <c r="V977" s="266"/>
    </row>
    <row r="978">
      <c r="B978" s="14"/>
      <c r="E978" s="262"/>
      <c r="F978" s="266"/>
      <c r="G978" s="266"/>
      <c r="H978" s="262"/>
      <c r="I978" s="266"/>
      <c r="J978" s="266"/>
      <c r="K978" s="262"/>
      <c r="L978" s="266"/>
      <c r="M978" s="266"/>
      <c r="N978" s="262"/>
      <c r="O978" s="266"/>
      <c r="P978" s="266"/>
      <c r="Q978" s="262"/>
      <c r="R978" s="266"/>
      <c r="S978" s="266"/>
      <c r="T978" s="262"/>
      <c r="U978" s="266"/>
      <c r="V978" s="266"/>
    </row>
    <row r="979">
      <c r="B979" s="14"/>
      <c r="E979" s="262"/>
      <c r="F979" s="266"/>
      <c r="G979" s="266"/>
      <c r="H979" s="262"/>
      <c r="I979" s="266"/>
      <c r="J979" s="266"/>
      <c r="K979" s="262"/>
      <c r="L979" s="266"/>
      <c r="M979" s="266"/>
      <c r="N979" s="262"/>
      <c r="O979" s="266"/>
      <c r="P979" s="266"/>
      <c r="Q979" s="262"/>
      <c r="R979" s="266"/>
      <c r="S979" s="266"/>
      <c r="T979" s="262"/>
      <c r="U979" s="266"/>
      <c r="V979" s="266"/>
    </row>
    <row r="980">
      <c r="B980" s="14"/>
      <c r="E980" s="262"/>
      <c r="F980" s="266"/>
      <c r="G980" s="266"/>
      <c r="H980" s="262"/>
      <c r="I980" s="266"/>
      <c r="J980" s="266"/>
      <c r="K980" s="262"/>
      <c r="L980" s="266"/>
      <c r="M980" s="266"/>
      <c r="N980" s="262"/>
      <c r="O980" s="266"/>
      <c r="P980" s="266"/>
      <c r="Q980" s="262"/>
      <c r="R980" s="266"/>
      <c r="S980" s="266"/>
      <c r="T980" s="262"/>
      <c r="U980" s="266"/>
      <c r="V980" s="266"/>
    </row>
    <row r="981">
      <c r="B981" s="14"/>
      <c r="E981" s="262"/>
      <c r="F981" s="266"/>
      <c r="G981" s="266"/>
      <c r="H981" s="262"/>
      <c r="I981" s="266"/>
      <c r="J981" s="266"/>
      <c r="K981" s="262"/>
      <c r="L981" s="266"/>
      <c r="M981" s="266"/>
      <c r="N981" s="262"/>
      <c r="O981" s="266"/>
      <c r="P981" s="266"/>
      <c r="Q981" s="262"/>
      <c r="R981" s="266"/>
      <c r="S981" s="266"/>
      <c r="T981" s="262"/>
      <c r="U981" s="266"/>
      <c r="V981" s="266"/>
    </row>
    <row r="982">
      <c r="B982" s="14"/>
      <c r="E982" s="262"/>
      <c r="F982" s="266"/>
      <c r="G982" s="266"/>
      <c r="H982" s="262"/>
      <c r="I982" s="266"/>
      <c r="J982" s="266"/>
      <c r="K982" s="262"/>
      <c r="L982" s="266"/>
      <c r="M982" s="266"/>
      <c r="N982" s="262"/>
      <c r="O982" s="266"/>
      <c r="P982" s="266"/>
      <c r="Q982" s="262"/>
      <c r="R982" s="266"/>
      <c r="S982" s="266"/>
      <c r="T982" s="262"/>
      <c r="U982" s="266"/>
      <c r="V982" s="266"/>
    </row>
    <row r="983">
      <c r="B983" s="14"/>
      <c r="E983" s="262"/>
      <c r="F983" s="266"/>
      <c r="G983" s="266"/>
      <c r="H983" s="262"/>
      <c r="I983" s="266"/>
      <c r="J983" s="266"/>
      <c r="K983" s="262"/>
      <c r="L983" s="266"/>
      <c r="M983" s="266"/>
      <c r="N983" s="262"/>
      <c r="O983" s="266"/>
      <c r="P983" s="266"/>
      <c r="Q983" s="262"/>
      <c r="R983" s="266"/>
      <c r="S983" s="266"/>
      <c r="T983" s="262"/>
      <c r="U983" s="266"/>
      <c r="V983" s="266"/>
    </row>
    <row r="984">
      <c r="B984" s="14"/>
      <c r="E984" s="262"/>
      <c r="F984" s="266"/>
      <c r="G984" s="266"/>
      <c r="H984" s="262"/>
      <c r="I984" s="266"/>
      <c r="J984" s="266"/>
      <c r="K984" s="262"/>
      <c r="L984" s="266"/>
      <c r="M984" s="266"/>
      <c r="N984" s="262"/>
      <c r="O984" s="266"/>
      <c r="P984" s="266"/>
      <c r="Q984" s="262"/>
      <c r="R984" s="266"/>
      <c r="S984" s="266"/>
      <c r="T984" s="262"/>
      <c r="U984" s="266"/>
      <c r="V984" s="266"/>
    </row>
    <row r="985">
      <c r="B985" s="14"/>
      <c r="E985" s="262"/>
      <c r="F985" s="266"/>
      <c r="G985" s="266"/>
      <c r="H985" s="262"/>
      <c r="I985" s="266"/>
      <c r="J985" s="266"/>
      <c r="K985" s="262"/>
      <c r="L985" s="266"/>
      <c r="M985" s="266"/>
      <c r="N985" s="262"/>
      <c r="O985" s="266"/>
      <c r="P985" s="266"/>
      <c r="Q985" s="262"/>
      <c r="R985" s="266"/>
      <c r="S985" s="266"/>
      <c r="T985" s="262"/>
      <c r="U985" s="266"/>
      <c r="V985" s="266"/>
    </row>
    <row r="986">
      <c r="B986" s="14"/>
      <c r="E986" s="262"/>
      <c r="F986" s="266"/>
      <c r="G986" s="266"/>
      <c r="H986" s="262"/>
      <c r="I986" s="266"/>
      <c r="J986" s="266"/>
      <c r="K986" s="262"/>
      <c r="L986" s="266"/>
      <c r="M986" s="266"/>
      <c r="N986" s="262"/>
      <c r="O986" s="266"/>
      <c r="P986" s="266"/>
      <c r="Q986" s="262"/>
      <c r="R986" s="266"/>
      <c r="S986" s="266"/>
      <c r="T986" s="262"/>
      <c r="U986" s="266"/>
      <c r="V986" s="266"/>
    </row>
    <row r="987">
      <c r="B987" s="14"/>
      <c r="E987" s="262"/>
      <c r="F987" s="266"/>
      <c r="G987" s="266"/>
      <c r="H987" s="262"/>
      <c r="I987" s="266"/>
      <c r="J987" s="266"/>
      <c r="K987" s="262"/>
      <c r="L987" s="266"/>
      <c r="M987" s="266"/>
      <c r="N987" s="262"/>
      <c r="O987" s="266"/>
      <c r="P987" s="266"/>
      <c r="Q987" s="262"/>
      <c r="R987" s="266"/>
      <c r="S987" s="266"/>
      <c r="T987" s="262"/>
      <c r="U987" s="266"/>
      <c r="V987" s="266"/>
    </row>
    <row r="988">
      <c r="B988" s="14"/>
      <c r="E988" s="262"/>
      <c r="F988" s="266"/>
      <c r="G988" s="266"/>
      <c r="H988" s="262"/>
      <c r="I988" s="266"/>
      <c r="J988" s="266"/>
      <c r="K988" s="262"/>
      <c r="L988" s="266"/>
      <c r="M988" s="266"/>
      <c r="N988" s="262"/>
      <c r="O988" s="266"/>
      <c r="P988" s="266"/>
      <c r="Q988" s="262"/>
      <c r="R988" s="266"/>
      <c r="S988" s="266"/>
      <c r="T988" s="262"/>
      <c r="U988" s="266"/>
      <c r="V988" s="266"/>
    </row>
    <row r="989">
      <c r="B989" s="14"/>
      <c r="E989" s="262"/>
      <c r="F989" s="266"/>
      <c r="G989" s="266"/>
      <c r="H989" s="262"/>
      <c r="I989" s="266"/>
      <c r="J989" s="266"/>
      <c r="K989" s="262"/>
      <c r="L989" s="266"/>
      <c r="M989" s="266"/>
      <c r="N989" s="262"/>
      <c r="O989" s="266"/>
      <c r="P989" s="266"/>
      <c r="Q989" s="262"/>
      <c r="R989" s="266"/>
      <c r="S989" s="266"/>
      <c r="T989" s="262"/>
      <c r="U989" s="266"/>
      <c r="V989" s="266"/>
    </row>
    <row r="990">
      <c r="B990" s="14"/>
      <c r="E990" s="262"/>
      <c r="F990" s="266"/>
      <c r="G990" s="266"/>
      <c r="H990" s="262"/>
      <c r="I990" s="266"/>
      <c r="J990" s="266"/>
      <c r="K990" s="262"/>
      <c r="L990" s="266"/>
      <c r="M990" s="266"/>
      <c r="N990" s="262"/>
      <c r="O990" s="266"/>
      <c r="P990" s="266"/>
      <c r="Q990" s="262"/>
      <c r="R990" s="266"/>
      <c r="S990" s="266"/>
      <c r="T990" s="262"/>
      <c r="U990" s="266"/>
      <c r="V990" s="266"/>
    </row>
  </sheetData>
  <mergeCells count="6">
    <mergeCell ref="E2:G2"/>
    <mergeCell ref="H2:J2"/>
    <mergeCell ref="K2:M2"/>
    <mergeCell ref="N2:P2"/>
    <mergeCell ref="Q2:S2"/>
    <mergeCell ref="T2:V2"/>
  </mergeCells>
  <hyperlinks>
    <hyperlink r:id="rId4" ref="G51"/>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0"/>
    <col customWidth="1" min="5" max="5" width="13.75"/>
    <col customWidth="1" min="6" max="6" width="14.25"/>
    <col customWidth="1" min="7" max="7" width="15.25"/>
    <col customWidth="1" min="8" max="8" width="15.0"/>
    <col customWidth="1" min="9" max="9" width="14.75"/>
    <col customWidth="1" min="10" max="10" width="27.63"/>
  </cols>
  <sheetData>
    <row r="1">
      <c r="A1" s="250" t="s">
        <v>4474</v>
      </c>
      <c r="B1" s="251" t="s">
        <v>4475</v>
      </c>
      <c r="C1" s="250" t="s">
        <v>4477</v>
      </c>
      <c r="D1" s="267" t="s">
        <v>4723</v>
      </c>
      <c r="E1" s="267" t="s">
        <v>4724</v>
      </c>
      <c r="F1" s="267" t="s">
        <v>4725</v>
      </c>
      <c r="G1" s="267" t="s">
        <v>4726</v>
      </c>
      <c r="H1" s="267" t="s">
        <v>4727</v>
      </c>
      <c r="I1" s="267" t="s">
        <v>4728</v>
      </c>
    </row>
    <row r="2">
      <c r="A2" s="250" t="s">
        <v>4729</v>
      </c>
      <c r="B2" s="251" t="s">
        <v>4730</v>
      </c>
      <c r="C2" s="250" t="s">
        <v>1274</v>
      </c>
      <c r="D2" s="268">
        <v>1.5006944444444446</v>
      </c>
      <c r="E2" s="269">
        <v>0.7479166666666667</v>
      </c>
      <c r="F2" s="268">
        <v>0.6638888888888889</v>
      </c>
      <c r="G2" s="270"/>
      <c r="H2" s="270"/>
      <c r="I2" s="270"/>
    </row>
    <row r="3" ht="15.0" customHeight="1">
      <c r="A3" s="250" t="s">
        <v>4729</v>
      </c>
      <c r="B3" s="251" t="s">
        <v>4731</v>
      </c>
      <c r="C3" s="250" t="s">
        <v>4501</v>
      </c>
      <c r="D3" s="267">
        <v>0.7909722222222222</v>
      </c>
      <c r="E3" s="269">
        <v>0.6791666666666667</v>
      </c>
      <c r="F3" s="268">
        <v>1.6652777777777779</v>
      </c>
      <c r="G3" s="270"/>
      <c r="H3" s="270"/>
      <c r="I3" s="270"/>
    </row>
    <row r="4" ht="15.0" customHeight="1">
      <c r="A4" s="250" t="s">
        <v>4729</v>
      </c>
      <c r="B4" s="251" t="s">
        <v>4732</v>
      </c>
      <c r="C4" s="250" t="s">
        <v>1339</v>
      </c>
      <c r="D4" s="267">
        <v>0.75625</v>
      </c>
      <c r="E4" s="271"/>
      <c r="F4" s="268">
        <v>0.7930555555555555</v>
      </c>
      <c r="G4" s="270"/>
      <c r="H4" s="270"/>
      <c r="I4" s="270"/>
    </row>
    <row r="5">
      <c r="A5" s="250" t="s">
        <v>4729</v>
      </c>
      <c r="B5" s="251" t="s">
        <v>4733</v>
      </c>
      <c r="C5" s="250" t="s">
        <v>4503</v>
      </c>
      <c r="D5" s="269">
        <v>0.9798611111111111</v>
      </c>
      <c r="E5" s="269">
        <v>1.1055555555555556</v>
      </c>
      <c r="F5" s="268">
        <v>1.0986111111111112</v>
      </c>
      <c r="G5" s="270"/>
      <c r="H5" s="270"/>
      <c r="I5" s="270"/>
    </row>
    <row r="6">
      <c r="A6" s="250" t="s">
        <v>4729</v>
      </c>
      <c r="B6" s="251" t="s">
        <v>4734</v>
      </c>
      <c r="C6" s="250" t="s">
        <v>1314</v>
      </c>
      <c r="D6" s="269">
        <v>1.8034722222222221</v>
      </c>
      <c r="E6" s="269">
        <v>1.3319444444444444</v>
      </c>
      <c r="F6" s="268">
        <v>1.3354166666666667</v>
      </c>
      <c r="G6" s="268"/>
      <c r="H6" s="270"/>
      <c r="I6" s="270"/>
    </row>
    <row r="7">
      <c r="A7" s="250" t="s">
        <v>4729</v>
      </c>
      <c r="B7" s="251" t="s">
        <v>4732</v>
      </c>
      <c r="C7" s="250" t="s">
        <v>4505</v>
      </c>
      <c r="D7" s="269">
        <v>1.5180555555555555</v>
      </c>
      <c r="F7" s="269">
        <v>1.2513888888888889</v>
      </c>
      <c r="G7" s="270"/>
      <c r="H7" s="270"/>
      <c r="I7" s="270"/>
    </row>
    <row r="8">
      <c r="A8" s="250" t="s">
        <v>4729</v>
      </c>
      <c r="B8" s="251" t="s">
        <v>4732</v>
      </c>
      <c r="C8" s="250" t="s">
        <v>1368</v>
      </c>
      <c r="D8" s="269">
        <v>0.7701388888888889</v>
      </c>
      <c r="E8" s="271"/>
      <c r="F8" s="268">
        <v>0.7402777777777778</v>
      </c>
      <c r="G8" s="270"/>
      <c r="H8" s="270"/>
      <c r="I8" s="270"/>
    </row>
    <row r="9">
      <c r="A9" s="250" t="s">
        <v>4729</v>
      </c>
      <c r="B9" s="250" t="s">
        <v>4734</v>
      </c>
      <c r="C9" s="250" t="s">
        <v>1186</v>
      </c>
      <c r="D9" s="269">
        <v>0.7027777777777777</v>
      </c>
      <c r="E9" s="269">
        <v>1.0041666666666667</v>
      </c>
      <c r="F9" s="268">
        <v>1.0902777777777777</v>
      </c>
      <c r="G9" s="270"/>
      <c r="H9" s="270"/>
      <c r="I9" s="270"/>
    </row>
    <row r="10">
      <c r="A10" s="250" t="s">
        <v>4729</v>
      </c>
      <c r="B10" s="250" t="s">
        <v>4735</v>
      </c>
      <c r="C10" s="250" t="s">
        <v>1320</v>
      </c>
      <c r="D10" s="269">
        <v>1.0506944444444444</v>
      </c>
      <c r="E10" s="269">
        <v>1.3319444444444444</v>
      </c>
      <c r="F10" s="268">
        <v>1.3354166666666667</v>
      </c>
      <c r="G10" s="268">
        <v>1.2798611111111111</v>
      </c>
      <c r="H10" s="270"/>
      <c r="I10" s="270"/>
    </row>
    <row r="11">
      <c r="A11" s="250" t="s">
        <v>4729</v>
      </c>
      <c r="B11" s="250" t="s">
        <v>4732</v>
      </c>
      <c r="C11" s="250" t="s">
        <v>1123</v>
      </c>
      <c r="D11" s="269">
        <v>1.261111111111111</v>
      </c>
      <c r="E11" s="271"/>
      <c r="F11" s="268">
        <v>0.7583333333333333</v>
      </c>
      <c r="G11" s="270"/>
      <c r="H11" s="270"/>
      <c r="I11" s="270"/>
    </row>
    <row r="12">
      <c r="A12" s="250" t="s">
        <v>4729</v>
      </c>
      <c r="B12" s="250" t="s">
        <v>4730</v>
      </c>
      <c r="C12" s="250" t="s">
        <v>670</v>
      </c>
      <c r="D12" s="269">
        <v>0.8819444444444444</v>
      </c>
      <c r="E12" s="269">
        <v>0.48680555555555555</v>
      </c>
      <c r="F12" s="268">
        <v>1.7520833333333334</v>
      </c>
      <c r="G12" s="268">
        <v>1.292361111111111</v>
      </c>
      <c r="H12" s="268">
        <v>1.03125</v>
      </c>
      <c r="I12" s="268">
        <v>1.2631944444444445</v>
      </c>
    </row>
    <row r="13">
      <c r="A13" s="250" t="s">
        <v>4729</v>
      </c>
      <c r="B13" s="250" t="s">
        <v>4731</v>
      </c>
      <c r="C13" s="250" t="s">
        <v>1680</v>
      </c>
      <c r="D13" s="269">
        <v>1.0041666666666667</v>
      </c>
      <c r="E13" s="269">
        <v>1.21875</v>
      </c>
      <c r="F13" s="268">
        <v>0.9604166666666667</v>
      </c>
      <c r="G13" s="268">
        <v>0.95</v>
      </c>
      <c r="H13" s="270"/>
      <c r="I13" s="270"/>
    </row>
    <row r="14">
      <c r="A14" s="250" t="s">
        <v>4729</v>
      </c>
      <c r="B14" s="250" t="s">
        <v>4736</v>
      </c>
      <c r="C14" s="250" t="s">
        <v>1147</v>
      </c>
      <c r="D14" s="269">
        <v>0.7277777777777777</v>
      </c>
      <c r="E14" s="269">
        <v>0.7791666666666667</v>
      </c>
      <c r="F14" s="268">
        <v>0.8659722222222223</v>
      </c>
      <c r="G14" s="268">
        <v>0.8833333333333333</v>
      </c>
      <c r="H14" s="270"/>
      <c r="I14" s="270"/>
    </row>
    <row r="15">
      <c r="A15" s="250" t="s">
        <v>4729</v>
      </c>
      <c r="B15" s="250" t="s">
        <v>4730</v>
      </c>
      <c r="C15" s="250" t="s">
        <v>1485</v>
      </c>
      <c r="E15" s="269">
        <v>1.6375</v>
      </c>
      <c r="F15" s="269">
        <v>1.0416666666666667</v>
      </c>
      <c r="G15" s="268">
        <v>0.9493055555555555</v>
      </c>
      <c r="H15" s="270"/>
      <c r="I15" s="270"/>
    </row>
    <row r="16">
      <c r="A16" s="250" t="s">
        <v>4729</v>
      </c>
      <c r="B16" s="250" t="s">
        <v>4732</v>
      </c>
      <c r="C16" s="250" t="s">
        <v>1328</v>
      </c>
      <c r="D16" s="269">
        <v>1.5006944444444446</v>
      </c>
      <c r="F16" s="268">
        <v>1.7840277777777778</v>
      </c>
      <c r="G16" s="270"/>
      <c r="H16" s="270"/>
      <c r="I16" s="270"/>
    </row>
    <row r="17">
      <c r="A17" s="250" t="s">
        <v>4729</v>
      </c>
      <c r="B17" s="250" t="s">
        <v>4734</v>
      </c>
      <c r="C17" s="250" t="s">
        <v>1499</v>
      </c>
      <c r="D17" s="269">
        <v>0.9097222222222222</v>
      </c>
      <c r="E17" s="269">
        <v>0.9659722222222222</v>
      </c>
      <c r="F17" s="268">
        <v>1.0604166666666666</v>
      </c>
      <c r="G17" s="268">
        <v>1.3902777777777777</v>
      </c>
      <c r="I17" s="270"/>
    </row>
    <row r="18">
      <c r="A18" s="250"/>
      <c r="B18" s="250"/>
      <c r="C18" s="250"/>
      <c r="D18" s="269"/>
      <c r="E18" s="271"/>
      <c r="F18" s="268"/>
      <c r="G18" s="270"/>
      <c r="H18" s="270"/>
      <c r="I18" s="270"/>
    </row>
    <row r="19">
      <c r="A19" s="250" t="s">
        <v>4729</v>
      </c>
      <c r="B19" s="250" t="s">
        <v>4732</v>
      </c>
      <c r="C19" s="250" t="s">
        <v>1624</v>
      </c>
      <c r="D19" s="269">
        <v>1.125</v>
      </c>
      <c r="E19" s="271"/>
      <c r="F19" s="268">
        <v>0.9569444444444445</v>
      </c>
      <c r="G19" s="270"/>
      <c r="H19" s="270"/>
      <c r="I19" s="270"/>
    </row>
    <row r="20">
      <c r="A20" s="250" t="s">
        <v>4729</v>
      </c>
      <c r="B20" s="250" t="s">
        <v>4732</v>
      </c>
      <c r="C20" s="250" t="s">
        <v>1650</v>
      </c>
      <c r="D20" s="269">
        <v>0.7736111111111111</v>
      </c>
      <c r="E20" s="271"/>
      <c r="F20" s="268">
        <v>1.836111111111111</v>
      </c>
      <c r="G20" s="270"/>
      <c r="H20" s="270"/>
      <c r="I20" s="270"/>
    </row>
    <row r="21">
      <c r="A21" s="250" t="s">
        <v>4729</v>
      </c>
      <c r="B21" s="250" t="s">
        <v>4732</v>
      </c>
      <c r="C21" s="250" t="s">
        <v>1608</v>
      </c>
      <c r="D21" s="269">
        <v>1.2951388888888888</v>
      </c>
      <c r="E21" s="271"/>
      <c r="F21" s="268">
        <v>0.6625</v>
      </c>
      <c r="G21" s="270"/>
      <c r="H21" s="270"/>
      <c r="I21" s="270"/>
    </row>
    <row r="22">
      <c r="A22" s="250" t="s">
        <v>4729</v>
      </c>
      <c r="B22" s="250" t="s">
        <v>4732</v>
      </c>
      <c r="C22" s="250" t="s">
        <v>1373</v>
      </c>
      <c r="D22" s="269">
        <v>1.0715277777777779</v>
      </c>
      <c r="E22" s="271"/>
      <c r="F22" s="268">
        <v>0.9784722222222222</v>
      </c>
      <c r="G22" s="270"/>
      <c r="H22" s="270"/>
      <c r="I22" s="270"/>
    </row>
    <row r="23">
      <c r="A23" s="250" t="s">
        <v>4729</v>
      </c>
      <c r="B23" s="250" t="s">
        <v>4732</v>
      </c>
      <c r="C23" s="250" t="s">
        <v>1298</v>
      </c>
      <c r="D23" s="269">
        <v>1.5986111111111112</v>
      </c>
      <c r="E23" s="271"/>
      <c r="F23" s="268">
        <v>1.7666666666666666</v>
      </c>
      <c r="G23" s="270"/>
      <c r="H23" s="270"/>
      <c r="I23" s="270"/>
    </row>
    <row r="24">
      <c r="A24" s="250" t="s">
        <v>4729</v>
      </c>
      <c r="B24" s="250" t="s">
        <v>4731</v>
      </c>
      <c r="C24" s="250" t="s">
        <v>1155</v>
      </c>
      <c r="D24" s="269">
        <v>1.6854166666666666</v>
      </c>
      <c r="E24" s="269">
        <v>1.2131944444444445</v>
      </c>
      <c r="F24" s="268">
        <v>1.2777777777777777</v>
      </c>
      <c r="G24" s="270"/>
      <c r="H24" s="270"/>
      <c r="I24" s="270"/>
    </row>
    <row r="25">
      <c r="A25" s="250" t="s">
        <v>4729</v>
      </c>
      <c r="B25" s="250" t="s">
        <v>4733</v>
      </c>
      <c r="C25" s="250" t="s">
        <v>1572</v>
      </c>
      <c r="D25" s="271"/>
      <c r="E25" s="269">
        <v>0.9888888888888889</v>
      </c>
      <c r="F25" s="268">
        <v>1.1645833333333333</v>
      </c>
      <c r="G25" s="270"/>
      <c r="H25" s="268">
        <v>0.6951388888888889</v>
      </c>
      <c r="I25" s="270"/>
    </row>
    <row r="26">
      <c r="A26" s="250" t="s">
        <v>4729</v>
      </c>
      <c r="B26" s="250" t="s">
        <v>4737</v>
      </c>
      <c r="C26" s="250" t="s">
        <v>1134</v>
      </c>
      <c r="D26" s="269">
        <v>0.6013888888888889</v>
      </c>
      <c r="E26" s="269">
        <v>1.1861111111111111</v>
      </c>
      <c r="F26" s="268">
        <v>1.2416666666666667</v>
      </c>
      <c r="G26" s="270"/>
      <c r="H26" s="270"/>
      <c r="I26" s="270"/>
    </row>
    <row r="27">
      <c r="A27" s="250" t="s">
        <v>4729</v>
      </c>
      <c r="B27" s="250" t="s">
        <v>4736</v>
      </c>
      <c r="C27" s="250" t="s">
        <v>1306</v>
      </c>
      <c r="D27" s="269">
        <v>0.7701388888888889</v>
      </c>
      <c r="E27" s="271"/>
      <c r="F27" s="268">
        <v>1.1131944444444444</v>
      </c>
      <c r="G27" s="268">
        <v>1.2027777777777777</v>
      </c>
      <c r="H27" s="270"/>
      <c r="I27" s="270"/>
    </row>
    <row r="28">
      <c r="A28" s="250" t="s">
        <v>4729</v>
      </c>
      <c r="B28" s="250" t="s">
        <v>4731</v>
      </c>
      <c r="C28" s="250" t="s">
        <v>1900</v>
      </c>
      <c r="D28" s="269">
        <v>1.1388888888888888</v>
      </c>
      <c r="E28" s="269">
        <v>1.2416666666666667</v>
      </c>
      <c r="F28" s="268">
        <v>1.6777777777777778</v>
      </c>
      <c r="G28" s="270"/>
      <c r="H28" s="270"/>
      <c r="I28" s="270"/>
    </row>
    <row r="29">
      <c r="A29" s="250" t="s">
        <v>4729</v>
      </c>
      <c r="B29" s="250" t="s">
        <v>4732</v>
      </c>
      <c r="C29" s="250" t="s">
        <v>1635</v>
      </c>
      <c r="D29" s="269">
        <v>0.8625</v>
      </c>
      <c r="E29" s="271"/>
      <c r="F29" s="268">
        <v>1.9708333333333334</v>
      </c>
      <c r="G29" s="270"/>
      <c r="H29" s="270"/>
      <c r="I29" s="270"/>
    </row>
    <row r="30">
      <c r="A30" s="250" t="s">
        <v>4729</v>
      </c>
      <c r="B30" s="250" t="s">
        <v>4736</v>
      </c>
      <c r="C30" s="250" t="s">
        <v>2055</v>
      </c>
      <c r="D30" s="269">
        <v>0.5993055555555555</v>
      </c>
      <c r="E30" s="269">
        <v>1.0444444444444445</v>
      </c>
      <c r="F30" s="268">
        <v>0.89375</v>
      </c>
      <c r="G30" s="268">
        <v>1.275</v>
      </c>
      <c r="H30" s="270"/>
      <c r="I30" s="270"/>
    </row>
    <row r="31">
      <c r="A31" s="250" t="s">
        <v>4729</v>
      </c>
      <c r="B31" s="250" t="s">
        <v>4731</v>
      </c>
      <c r="C31" s="250" t="s">
        <v>1480</v>
      </c>
      <c r="D31" s="269">
        <v>1.4048611111111111</v>
      </c>
      <c r="E31" s="269">
        <v>1.5395833333333333</v>
      </c>
      <c r="F31" s="268">
        <v>1.5333333333333334</v>
      </c>
      <c r="G31" s="270"/>
      <c r="H31" s="270"/>
      <c r="I31" s="270"/>
    </row>
    <row r="32">
      <c r="A32" s="250" t="s">
        <v>4729</v>
      </c>
      <c r="B32" s="250" t="s">
        <v>4732</v>
      </c>
      <c r="C32" s="250" t="s">
        <v>1360</v>
      </c>
      <c r="D32" s="268">
        <v>1.5833333333333333</v>
      </c>
      <c r="E32" s="271"/>
      <c r="F32" s="269">
        <v>1.6847222222222222</v>
      </c>
      <c r="G32" s="270"/>
      <c r="H32" s="270"/>
      <c r="I32" s="270"/>
    </row>
    <row r="33">
      <c r="A33" s="250" t="s">
        <v>4729</v>
      </c>
      <c r="B33" s="250" t="s">
        <v>4730</v>
      </c>
      <c r="C33" s="250" t="s">
        <v>4518</v>
      </c>
      <c r="D33" s="269">
        <v>0.8479166666666667</v>
      </c>
      <c r="E33" s="269">
        <v>1.2069444444444444</v>
      </c>
      <c r="F33" s="268">
        <v>1.1395833333333334</v>
      </c>
      <c r="G33" s="270"/>
      <c r="H33" s="270"/>
      <c r="I33" s="270"/>
    </row>
    <row r="34">
      <c r="A34" s="250" t="s">
        <v>4729</v>
      </c>
      <c r="B34" s="250" t="s">
        <v>4735</v>
      </c>
      <c r="C34" s="250" t="s">
        <v>1541</v>
      </c>
      <c r="D34" s="269">
        <v>1.4125</v>
      </c>
      <c r="E34" s="269">
        <v>1.4583333333333333</v>
      </c>
      <c r="F34" s="268">
        <v>1.3729166666666666</v>
      </c>
      <c r="G34" s="268">
        <v>1.6131944444444444</v>
      </c>
      <c r="H34" s="270"/>
      <c r="I34" s="270"/>
    </row>
    <row r="35">
      <c r="A35" s="250" t="s">
        <v>4729</v>
      </c>
      <c r="B35" s="250" t="s">
        <v>4736</v>
      </c>
      <c r="C35" s="250" t="s">
        <v>1211</v>
      </c>
      <c r="D35" s="269">
        <v>1.8715277777777777</v>
      </c>
      <c r="E35" s="269">
        <v>1.632638888888889</v>
      </c>
      <c r="F35" s="268">
        <v>1.7861111111111112</v>
      </c>
      <c r="G35" s="268">
        <v>1.6833333333333333</v>
      </c>
      <c r="H35" s="270"/>
      <c r="I35" s="270"/>
    </row>
    <row r="36">
      <c r="A36" s="250" t="s">
        <v>4729</v>
      </c>
      <c r="B36" s="250" t="s">
        <v>4730</v>
      </c>
      <c r="C36" s="250" t="s">
        <v>4519</v>
      </c>
      <c r="D36" s="269">
        <v>0.9715277777777778</v>
      </c>
      <c r="E36" s="269">
        <v>0.8055555555555556</v>
      </c>
      <c r="F36" s="268">
        <v>0.8381944444444445</v>
      </c>
      <c r="G36" s="270"/>
      <c r="H36" s="270"/>
      <c r="I36" s="270"/>
    </row>
    <row r="37">
      <c r="A37" s="250" t="s">
        <v>4729</v>
      </c>
      <c r="B37" s="250" t="s">
        <v>4731</v>
      </c>
      <c r="C37" s="250" t="s">
        <v>1248</v>
      </c>
      <c r="D37" s="269">
        <v>1.042361111111111</v>
      </c>
      <c r="E37" s="269">
        <v>1.0743055555555556</v>
      </c>
      <c r="F37" s="269">
        <v>1.042361111111111</v>
      </c>
      <c r="G37" s="270"/>
      <c r="H37" s="270"/>
      <c r="I37" s="270"/>
    </row>
    <row r="38">
      <c r="A38" s="250" t="s">
        <v>4729</v>
      </c>
      <c r="B38" s="250" t="s">
        <v>4737</v>
      </c>
      <c r="C38" s="250" t="s">
        <v>2559</v>
      </c>
      <c r="D38" s="269">
        <v>2.079861111111111</v>
      </c>
      <c r="E38" s="269">
        <v>1.8652777777777778</v>
      </c>
      <c r="F38" s="268">
        <v>1.8680555555555556</v>
      </c>
      <c r="G38" s="268">
        <v>0.7166666666666667</v>
      </c>
      <c r="H38" s="270"/>
      <c r="I38" s="270"/>
    </row>
    <row r="39">
      <c r="A39" s="250" t="s">
        <v>4729</v>
      </c>
      <c r="B39" s="250" t="s">
        <v>4732</v>
      </c>
      <c r="C39" s="250" t="s">
        <v>1352</v>
      </c>
      <c r="D39" s="269">
        <v>1.4513888888888888</v>
      </c>
      <c r="E39" s="271"/>
      <c r="F39" s="268">
        <v>1.5840277777777778</v>
      </c>
      <c r="G39" s="270"/>
      <c r="H39" s="270"/>
      <c r="I39" s="270"/>
    </row>
    <row r="40">
      <c r="A40" s="250" t="s">
        <v>4729</v>
      </c>
      <c r="B40" s="250" t="s">
        <v>4734</v>
      </c>
      <c r="C40" s="250" t="s">
        <v>2311</v>
      </c>
      <c r="D40" s="271"/>
      <c r="E40" s="269">
        <v>1.2090277777777778</v>
      </c>
      <c r="F40" s="268">
        <v>1.525</v>
      </c>
      <c r="G40" s="268">
        <v>1.5972222222222223</v>
      </c>
      <c r="H40" s="270"/>
      <c r="I40" s="270"/>
    </row>
    <row r="41">
      <c r="A41" s="250" t="s">
        <v>4729</v>
      </c>
      <c r="B41" s="250" t="s">
        <v>4732</v>
      </c>
      <c r="C41" s="250" t="s">
        <v>1809</v>
      </c>
      <c r="D41" s="269">
        <v>1.2541666666666667</v>
      </c>
      <c r="E41" s="271"/>
      <c r="F41" s="268">
        <v>1.4131944444444444</v>
      </c>
      <c r="G41" s="270"/>
      <c r="H41" s="270"/>
      <c r="I41" s="270"/>
    </row>
    <row r="42">
      <c r="A42" s="250" t="s">
        <v>4729</v>
      </c>
      <c r="B42" s="250" t="s">
        <v>4732</v>
      </c>
      <c r="C42" s="250" t="s">
        <v>1346</v>
      </c>
      <c r="D42" s="269">
        <v>1.2152777777777777</v>
      </c>
      <c r="E42" s="271"/>
      <c r="F42" s="268">
        <v>1.425</v>
      </c>
      <c r="G42" s="270"/>
      <c r="H42" s="270"/>
      <c r="I42" s="270"/>
    </row>
    <row r="43">
      <c r="A43" s="250" t="s">
        <v>4729</v>
      </c>
      <c r="B43" s="250" t="s">
        <v>4733</v>
      </c>
      <c r="C43" s="250" t="s">
        <v>1461</v>
      </c>
      <c r="D43" s="269">
        <v>1.1576388888888889</v>
      </c>
      <c r="E43" s="269">
        <v>1.0722222222222222</v>
      </c>
      <c r="F43" s="268">
        <v>0.7472222222222222</v>
      </c>
      <c r="G43" s="268">
        <v>1.0979166666666667</v>
      </c>
      <c r="H43" s="270"/>
      <c r="I43" s="270"/>
    </row>
    <row r="44">
      <c r="A44" s="250" t="s">
        <v>4729</v>
      </c>
      <c r="B44" s="250" t="s">
        <v>4733</v>
      </c>
      <c r="C44" s="250" t="s">
        <v>4522</v>
      </c>
      <c r="D44" s="269">
        <v>0.3277777777777778</v>
      </c>
      <c r="E44" s="269">
        <v>0.7708333333333334</v>
      </c>
      <c r="F44" s="268">
        <v>0.9319444444444445</v>
      </c>
      <c r="G44" s="268">
        <v>1.2451388888888888</v>
      </c>
      <c r="H44" s="270"/>
      <c r="I44" s="270"/>
    </row>
    <row r="45">
      <c r="A45" s="250" t="s">
        <v>4729</v>
      </c>
      <c r="B45" s="250" t="s">
        <v>4732</v>
      </c>
      <c r="C45" s="250" t="s">
        <v>4524</v>
      </c>
      <c r="D45" s="269">
        <v>1.9715277777777778</v>
      </c>
      <c r="E45" s="271"/>
      <c r="F45" s="268">
        <v>1.58125</v>
      </c>
      <c r="G45" s="270"/>
      <c r="H45" s="270"/>
      <c r="I45" s="270"/>
    </row>
    <row r="46">
      <c r="A46" s="250" t="s">
        <v>4729</v>
      </c>
      <c r="B46" s="250" t="s">
        <v>4737</v>
      </c>
      <c r="C46" s="250" t="s">
        <v>4526</v>
      </c>
      <c r="D46" s="269">
        <v>1.5694444444444444</v>
      </c>
      <c r="E46" s="269">
        <v>1.4958333333333333</v>
      </c>
      <c r="F46" s="268">
        <v>1.4104166666666667</v>
      </c>
      <c r="G46" s="270"/>
      <c r="H46" s="270"/>
      <c r="I46" s="270"/>
    </row>
    <row r="47">
      <c r="A47" s="250" t="s">
        <v>4729</v>
      </c>
      <c r="B47" s="250" t="s">
        <v>4737</v>
      </c>
      <c r="C47" s="250" t="s">
        <v>4527</v>
      </c>
      <c r="D47" s="269">
        <v>1.323611111111111</v>
      </c>
      <c r="E47" s="269">
        <v>1.4520833333333334</v>
      </c>
      <c r="F47" s="268">
        <v>1.0090277777777779</v>
      </c>
      <c r="G47" s="270"/>
      <c r="H47" s="270"/>
      <c r="I47" s="270"/>
    </row>
    <row r="48">
      <c r="A48" s="250" t="s">
        <v>4729</v>
      </c>
      <c r="B48" s="250" t="s">
        <v>4735</v>
      </c>
      <c r="C48" s="250" t="s">
        <v>4528</v>
      </c>
      <c r="D48" s="269">
        <v>1.1666666666666667</v>
      </c>
      <c r="E48" s="271"/>
      <c r="F48" s="268">
        <v>1.5715277777777779</v>
      </c>
      <c r="G48" s="270"/>
      <c r="H48" s="270"/>
      <c r="I48" s="270"/>
    </row>
    <row r="49">
      <c r="A49" s="250" t="s">
        <v>4729</v>
      </c>
      <c r="B49" s="250" t="s">
        <v>4733</v>
      </c>
      <c r="C49" s="250" t="s">
        <v>4530</v>
      </c>
      <c r="D49" s="269">
        <v>0.25069444444444444</v>
      </c>
      <c r="E49" s="269">
        <v>0.7458333333333333</v>
      </c>
      <c r="F49" s="268">
        <v>1.24375</v>
      </c>
      <c r="G49" s="270"/>
      <c r="H49" s="270"/>
      <c r="I49" s="270"/>
    </row>
    <row r="50">
      <c r="A50" s="250" t="s">
        <v>4729</v>
      </c>
      <c r="B50" s="250" t="s">
        <v>4737</v>
      </c>
      <c r="C50" s="250" t="s">
        <v>3058</v>
      </c>
      <c r="D50" s="269">
        <v>1.1493055555555556</v>
      </c>
      <c r="E50" s="269">
        <v>1.0458333333333334</v>
      </c>
      <c r="F50" s="268">
        <v>1.0541666666666667</v>
      </c>
      <c r="G50" s="270"/>
      <c r="H50" s="270"/>
      <c r="I50" s="270"/>
    </row>
    <row r="51">
      <c r="A51" s="250" t="s">
        <v>4729</v>
      </c>
      <c r="B51" s="250" t="s">
        <v>4736</v>
      </c>
      <c r="C51" s="250" t="s">
        <v>3050</v>
      </c>
      <c r="D51" s="269">
        <v>1.0041666666666667</v>
      </c>
      <c r="E51" s="269">
        <v>0.8715277777777778</v>
      </c>
      <c r="F51" s="268">
        <v>1.0375</v>
      </c>
      <c r="G51" s="270"/>
      <c r="H51" s="270"/>
      <c r="I51" s="270"/>
    </row>
    <row r="52">
      <c r="A52" s="250" t="s">
        <v>4729</v>
      </c>
      <c r="B52" s="250" t="s">
        <v>4732</v>
      </c>
      <c r="C52" s="250" t="s">
        <v>1132</v>
      </c>
      <c r="D52" s="269">
        <v>0.875</v>
      </c>
      <c r="E52" s="271"/>
      <c r="F52" s="268">
        <v>2.317361111111111</v>
      </c>
      <c r="G52" s="270"/>
      <c r="H52" s="270"/>
      <c r="I52" s="270"/>
    </row>
    <row r="53">
      <c r="A53" s="250" t="s">
        <v>4729</v>
      </c>
      <c r="B53" s="250" t="s">
        <v>4732</v>
      </c>
      <c r="C53" s="250" t="s">
        <v>3304</v>
      </c>
      <c r="D53" s="269">
        <v>0.9611111111111111</v>
      </c>
      <c r="E53" s="271"/>
      <c r="F53" s="268">
        <v>1.0034722222222223</v>
      </c>
      <c r="G53" s="270"/>
      <c r="H53" s="270"/>
      <c r="I53" s="270"/>
    </row>
    <row r="54">
      <c r="A54" s="250" t="s">
        <v>4729</v>
      </c>
      <c r="B54" s="250" t="s">
        <v>4737</v>
      </c>
      <c r="C54" s="250" t="s">
        <v>4533</v>
      </c>
      <c r="D54" s="269">
        <v>1.0458333333333334</v>
      </c>
      <c r="E54" s="269">
        <v>0.9625</v>
      </c>
      <c r="F54" s="268">
        <v>0.8756944444444444</v>
      </c>
      <c r="G54" s="270"/>
      <c r="H54" s="270"/>
      <c r="I54" s="270"/>
    </row>
    <row r="55">
      <c r="A55" s="250" t="s">
        <v>4729</v>
      </c>
      <c r="B55" s="250" t="s">
        <v>4732</v>
      </c>
      <c r="C55" s="250" t="s">
        <v>2810</v>
      </c>
      <c r="D55" s="269">
        <v>1.3375</v>
      </c>
      <c r="E55" s="271"/>
      <c r="F55" s="268">
        <v>0.8756944444444444</v>
      </c>
      <c r="G55" s="270"/>
      <c r="H55" s="270"/>
      <c r="I55" s="270"/>
    </row>
    <row r="56">
      <c r="A56" s="250" t="s">
        <v>4729</v>
      </c>
      <c r="B56" s="250" t="s">
        <v>4737</v>
      </c>
      <c r="C56" s="250" t="s">
        <v>3168</v>
      </c>
      <c r="D56" s="269">
        <v>1.4916666666666667</v>
      </c>
      <c r="E56" s="268">
        <v>0.7423611111111111</v>
      </c>
      <c r="F56" s="268">
        <v>1.0979166666666667</v>
      </c>
      <c r="G56" s="270"/>
      <c r="H56" s="270"/>
      <c r="I56" s="270"/>
    </row>
    <row r="57">
      <c r="A57" s="250" t="s">
        <v>4729</v>
      </c>
      <c r="B57" s="250" t="s">
        <v>4733</v>
      </c>
      <c r="C57" s="250" t="s">
        <v>4534</v>
      </c>
      <c r="D57" s="269">
        <v>0.9756944444444444</v>
      </c>
      <c r="E57" s="269">
        <v>0.71875</v>
      </c>
      <c r="F57" s="268">
        <v>0.66875</v>
      </c>
      <c r="G57" s="270"/>
      <c r="H57" s="270"/>
      <c r="I57" s="270"/>
    </row>
    <row r="58">
      <c r="A58" s="250" t="s">
        <v>4729</v>
      </c>
      <c r="B58" s="250" t="s">
        <v>4733</v>
      </c>
      <c r="C58" s="250" t="s">
        <v>4535</v>
      </c>
      <c r="D58" s="269">
        <v>1.5381944444444444</v>
      </c>
      <c r="E58" s="269">
        <v>1.4305555555555556</v>
      </c>
      <c r="F58" s="268">
        <v>0.725</v>
      </c>
      <c r="G58" s="268">
        <v>1.5979166666666667</v>
      </c>
      <c r="H58" s="270"/>
      <c r="I58" s="270"/>
    </row>
    <row r="59">
      <c r="A59" s="250" t="s">
        <v>4729</v>
      </c>
      <c r="B59" s="250" t="s">
        <v>4735</v>
      </c>
      <c r="C59" s="250" t="s">
        <v>4536</v>
      </c>
      <c r="E59" s="269">
        <v>1.448611111111111</v>
      </c>
      <c r="F59" s="269">
        <v>1.23125</v>
      </c>
      <c r="G59" s="268">
        <v>1.0472222222222223</v>
      </c>
      <c r="H59" s="270"/>
      <c r="I59" s="270"/>
    </row>
    <row r="60">
      <c r="A60" s="250" t="s">
        <v>4729</v>
      </c>
      <c r="B60" s="250" t="s">
        <v>4738</v>
      </c>
      <c r="C60" s="250" t="s">
        <v>4538</v>
      </c>
      <c r="D60" s="269">
        <v>1.28125</v>
      </c>
      <c r="E60" s="269">
        <v>0.7597222222222222</v>
      </c>
      <c r="F60" s="268">
        <v>0.7923611111111111</v>
      </c>
      <c r="G60" s="270"/>
      <c r="H60" s="270"/>
      <c r="I60" s="270"/>
    </row>
    <row r="61">
      <c r="A61" s="250" t="s">
        <v>4729</v>
      </c>
      <c r="B61" s="250" t="s">
        <v>4732</v>
      </c>
      <c r="C61" s="250" t="s">
        <v>3201</v>
      </c>
      <c r="D61" s="269">
        <v>1.6597222222222223</v>
      </c>
      <c r="E61" s="271"/>
      <c r="F61" s="268">
        <v>0.8972222222222223</v>
      </c>
      <c r="G61" s="270"/>
      <c r="H61" s="270"/>
      <c r="I61" s="270"/>
    </row>
    <row r="62">
      <c r="A62" s="250" t="s">
        <v>4729</v>
      </c>
      <c r="B62" s="250" t="s">
        <v>4734</v>
      </c>
      <c r="C62" s="250" t="s">
        <v>3472</v>
      </c>
      <c r="D62" s="269">
        <v>0.6506944444444445</v>
      </c>
      <c r="E62" s="269">
        <v>0.9895833333333334</v>
      </c>
      <c r="F62" s="268">
        <v>0.5166666666666667</v>
      </c>
      <c r="G62" s="268">
        <v>0.4708333333333333</v>
      </c>
      <c r="H62" s="270"/>
      <c r="I62" s="270"/>
    </row>
    <row r="63">
      <c r="A63" s="250" t="s">
        <v>4729</v>
      </c>
      <c r="B63" s="250" t="s">
        <v>4732</v>
      </c>
      <c r="C63" s="250" t="s">
        <v>2916</v>
      </c>
      <c r="D63" s="269">
        <v>0.7368055555555556</v>
      </c>
      <c r="E63" s="271"/>
      <c r="F63" s="268">
        <v>1.0180555555555555</v>
      </c>
      <c r="G63" s="270"/>
      <c r="H63" s="270"/>
      <c r="I63" s="270"/>
    </row>
    <row r="64">
      <c r="A64" s="250" t="s">
        <v>4729</v>
      </c>
      <c r="B64" s="250" t="s">
        <v>4732</v>
      </c>
      <c r="C64" s="250" t="s">
        <v>3086</v>
      </c>
      <c r="D64" s="269">
        <v>1.113888888888889</v>
      </c>
      <c r="E64" s="271"/>
      <c r="F64" s="268">
        <v>0.125</v>
      </c>
      <c r="G64" s="270"/>
      <c r="H64" s="270"/>
      <c r="I64" s="270"/>
    </row>
    <row r="65">
      <c r="A65" s="250" t="s">
        <v>4729</v>
      </c>
      <c r="B65" s="250" t="s">
        <v>4734</v>
      </c>
      <c r="C65" s="250" t="s">
        <v>4539</v>
      </c>
      <c r="D65" s="269">
        <v>0.9333333333333333</v>
      </c>
      <c r="E65" s="269">
        <v>1.1166666666666667</v>
      </c>
      <c r="F65" s="268">
        <v>1.2270833333333333</v>
      </c>
      <c r="G65" s="270"/>
      <c r="H65" s="270"/>
      <c r="I65" s="270"/>
    </row>
    <row r="66">
      <c r="A66" s="250" t="s">
        <v>4729</v>
      </c>
      <c r="B66" s="250" t="s">
        <v>4732</v>
      </c>
      <c r="C66" s="250" t="s">
        <v>4540</v>
      </c>
      <c r="D66" s="269">
        <v>0.3034722222222222</v>
      </c>
      <c r="E66" s="271"/>
      <c r="F66" s="268">
        <v>0.7305555555555555</v>
      </c>
      <c r="G66" s="270"/>
      <c r="H66" s="270"/>
      <c r="I66" s="270"/>
    </row>
    <row r="67">
      <c r="A67" s="250" t="s">
        <v>4729</v>
      </c>
      <c r="B67" s="250" t="s">
        <v>4732</v>
      </c>
      <c r="C67" s="250" t="s">
        <v>3241</v>
      </c>
      <c r="D67" s="269">
        <v>1.1347222222222222</v>
      </c>
      <c r="E67" s="271"/>
      <c r="F67" s="268">
        <v>1.363888888888889</v>
      </c>
      <c r="G67" s="270"/>
      <c r="H67" s="270"/>
      <c r="I67" s="270"/>
    </row>
    <row r="68">
      <c r="A68" s="250" t="s">
        <v>4729</v>
      </c>
      <c r="B68" s="250" t="s">
        <v>4730</v>
      </c>
      <c r="C68" s="250" t="s">
        <v>2885</v>
      </c>
      <c r="D68" s="269">
        <v>0.6916666666666667</v>
      </c>
      <c r="E68" s="269">
        <v>1.1243055555555554</v>
      </c>
      <c r="F68" s="268">
        <v>1.4229166666666666</v>
      </c>
      <c r="G68" s="270"/>
      <c r="H68" s="270"/>
      <c r="I68" s="270"/>
    </row>
    <row r="69">
      <c r="A69" s="250" t="s">
        <v>4729</v>
      </c>
      <c r="B69" s="250" t="s">
        <v>4737</v>
      </c>
      <c r="C69" s="250" t="s">
        <v>4543</v>
      </c>
      <c r="D69" s="269">
        <v>1.1180555555555556</v>
      </c>
      <c r="E69" s="269">
        <v>1.09375</v>
      </c>
      <c r="F69" s="268">
        <v>1.011111111111111</v>
      </c>
      <c r="G69" s="270"/>
      <c r="H69" s="270"/>
      <c r="I69" s="270"/>
    </row>
    <row r="70">
      <c r="A70" s="250" t="s">
        <v>4729</v>
      </c>
      <c r="B70" s="250" t="s">
        <v>4737</v>
      </c>
      <c r="C70" s="250" t="s">
        <v>4544</v>
      </c>
      <c r="D70" s="269">
        <v>1.9680555555555554</v>
      </c>
      <c r="E70" s="271"/>
      <c r="F70" s="268">
        <v>1.1625</v>
      </c>
      <c r="G70" s="270"/>
      <c r="H70" s="270"/>
      <c r="I70" s="270"/>
    </row>
    <row r="71">
      <c r="A71" s="250" t="s">
        <v>4729</v>
      </c>
      <c r="B71" s="250" t="s">
        <v>4735</v>
      </c>
      <c r="C71" s="250" t="s">
        <v>3021</v>
      </c>
      <c r="D71" s="269">
        <v>1.44375</v>
      </c>
      <c r="E71" s="269">
        <v>0.7104166666666667</v>
      </c>
      <c r="F71" s="268">
        <v>0.9125</v>
      </c>
      <c r="G71" s="268">
        <v>0.7388888888888889</v>
      </c>
      <c r="H71" s="270"/>
      <c r="I71" s="270"/>
    </row>
    <row r="72">
      <c r="A72" s="250" t="s">
        <v>4729</v>
      </c>
      <c r="B72" s="250" t="s">
        <v>4731</v>
      </c>
      <c r="C72" s="250" t="s">
        <v>3072</v>
      </c>
      <c r="D72" s="269">
        <v>0.9798611111111111</v>
      </c>
      <c r="E72" s="269">
        <v>1.2715277777777778</v>
      </c>
      <c r="F72" s="268">
        <v>1.2326388888888888</v>
      </c>
      <c r="G72" s="270"/>
      <c r="H72" s="270"/>
      <c r="I72" s="270"/>
    </row>
    <row r="73">
      <c r="A73" s="250" t="s">
        <v>4729</v>
      </c>
      <c r="B73" s="250" t="s">
        <v>4733</v>
      </c>
      <c r="C73" s="250" t="s">
        <v>2899</v>
      </c>
      <c r="D73" s="269">
        <v>1.05</v>
      </c>
      <c r="E73" s="269">
        <v>1.58125</v>
      </c>
      <c r="F73" s="268">
        <v>1.5486111111111112</v>
      </c>
      <c r="G73" s="268">
        <v>1.4458333333333333</v>
      </c>
      <c r="H73" s="270"/>
      <c r="I73" s="270"/>
    </row>
    <row r="74">
      <c r="A74" s="8" t="s">
        <v>4739</v>
      </c>
      <c r="B74" s="8" t="s">
        <v>4732</v>
      </c>
      <c r="C74" s="8" t="s">
        <v>2477</v>
      </c>
      <c r="D74" s="268">
        <v>1.2131944444444445</v>
      </c>
      <c r="E74" s="270"/>
      <c r="F74" s="268">
        <v>0.8194444444444444</v>
      </c>
      <c r="G74" s="270"/>
      <c r="H74" s="270"/>
      <c r="I74" s="270"/>
    </row>
    <row r="75">
      <c r="A75" s="8" t="s">
        <v>4739</v>
      </c>
      <c r="B75" s="8" t="s">
        <v>4738</v>
      </c>
      <c r="C75" s="8" t="s">
        <v>2471</v>
      </c>
      <c r="D75" s="268">
        <v>1.238888888888889</v>
      </c>
      <c r="E75" s="268">
        <v>0.65</v>
      </c>
      <c r="F75" s="8" t="s">
        <v>4740</v>
      </c>
      <c r="G75" s="270"/>
      <c r="H75" s="270"/>
      <c r="I75" s="270"/>
    </row>
    <row r="76">
      <c r="A76" s="8" t="s">
        <v>4739</v>
      </c>
      <c r="B76" s="8" t="s">
        <v>4734</v>
      </c>
      <c r="C76" s="8" t="s">
        <v>2154</v>
      </c>
      <c r="D76" s="268">
        <v>0.9673611111111111</v>
      </c>
      <c r="E76" s="268">
        <v>1.0819444444444444</v>
      </c>
      <c r="F76" s="268">
        <v>1.4645833333333333</v>
      </c>
      <c r="G76" s="270"/>
      <c r="H76" s="270"/>
      <c r="I76" s="270"/>
    </row>
    <row r="77">
      <c r="A77" s="250" t="s">
        <v>4739</v>
      </c>
      <c r="B77" s="250" t="s">
        <v>4732</v>
      </c>
      <c r="C77" s="250" t="s">
        <v>2100</v>
      </c>
      <c r="D77" s="268">
        <v>0.9673611111111111</v>
      </c>
      <c r="E77" s="271"/>
      <c r="F77" s="268">
        <v>1.0569444444444445</v>
      </c>
      <c r="G77" s="270"/>
      <c r="H77" s="270"/>
      <c r="I77" s="270"/>
    </row>
    <row r="78">
      <c r="A78" s="250" t="s">
        <v>4739</v>
      </c>
      <c r="B78" s="250" t="s">
        <v>4731</v>
      </c>
      <c r="C78" s="250" t="s">
        <v>1817</v>
      </c>
      <c r="D78" s="269">
        <v>1.2875</v>
      </c>
      <c r="E78" s="269">
        <v>1.475</v>
      </c>
      <c r="F78" s="268">
        <v>1.3819444444444444</v>
      </c>
      <c r="G78" s="270"/>
      <c r="H78" s="270"/>
      <c r="I78" s="270"/>
    </row>
    <row r="79">
      <c r="A79" s="250" t="s">
        <v>4739</v>
      </c>
      <c r="B79" s="250" t="s">
        <v>4738</v>
      </c>
      <c r="C79" s="250" t="s">
        <v>2084</v>
      </c>
      <c r="D79" s="269">
        <v>1.0145833333333334</v>
      </c>
      <c r="E79" s="268">
        <v>0.7423611111111111</v>
      </c>
      <c r="F79" s="268">
        <v>0.2375</v>
      </c>
      <c r="G79" s="270"/>
      <c r="H79" s="270"/>
      <c r="I79" s="270"/>
    </row>
    <row r="80">
      <c r="A80" s="250" t="s">
        <v>4739</v>
      </c>
      <c r="B80" s="250" t="s">
        <v>4730</v>
      </c>
      <c r="C80" s="250" t="s">
        <v>2463</v>
      </c>
      <c r="D80" s="269">
        <v>0.47638888888888886</v>
      </c>
      <c r="E80" s="269">
        <v>0.7479166666666667</v>
      </c>
      <c r="F80" s="268">
        <v>0.65</v>
      </c>
      <c r="G80" s="270"/>
      <c r="H80" s="270"/>
      <c r="I80" s="270"/>
    </row>
    <row r="81">
      <c r="A81" s="250" t="s">
        <v>4739</v>
      </c>
      <c r="B81" s="250" t="s">
        <v>4732</v>
      </c>
      <c r="C81" s="250" t="s">
        <v>2765</v>
      </c>
      <c r="D81" s="269">
        <v>1.2326388888888888</v>
      </c>
      <c r="E81" s="271"/>
      <c r="F81" s="268">
        <v>1.2208333333333334</v>
      </c>
      <c r="G81" s="270"/>
      <c r="H81" s="270"/>
      <c r="I81" s="270"/>
    </row>
    <row r="82">
      <c r="A82" s="250" t="s">
        <v>4739</v>
      </c>
      <c r="B82" s="250" t="s">
        <v>4732</v>
      </c>
      <c r="C82" s="250" t="s">
        <v>2119</v>
      </c>
      <c r="D82" s="269">
        <v>0.8180555555555555</v>
      </c>
      <c r="E82" s="271"/>
      <c r="F82" s="268">
        <v>1.5486111111111112</v>
      </c>
      <c r="G82" s="270"/>
      <c r="H82" s="270"/>
      <c r="I82" s="270"/>
    </row>
    <row r="83">
      <c r="A83" s="250" t="s">
        <v>4741</v>
      </c>
      <c r="B83" s="250" t="s">
        <v>4732</v>
      </c>
      <c r="C83" s="250" t="s">
        <v>1885</v>
      </c>
      <c r="D83" s="269">
        <v>1.0854166666666667</v>
      </c>
      <c r="E83" s="271"/>
      <c r="F83" s="268">
        <v>0.9368055555555556</v>
      </c>
      <c r="G83" s="270"/>
      <c r="H83" s="270"/>
      <c r="I83" s="270"/>
    </row>
    <row r="84">
      <c r="A84" s="250" t="s">
        <v>4741</v>
      </c>
      <c r="B84" s="250" t="s">
        <v>4734</v>
      </c>
      <c r="C84" s="250" t="s">
        <v>2273</v>
      </c>
      <c r="E84" s="269">
        <v>1.15625</v>
      </c>
      <c r="F84" s="269">
        <v>1.2354166666666666</v>
      </c>
      <c r="G84" s="268">
        <v>1.0520833333333333</v>
      </c>
      <c r="H84" s="270"/>
      <c r="I84" s="270"/>
    </row>
    <row r="85">
      <c r="A85" s="250" t="s">
        <v>4741</v>
      </c>
      <c r="B85" s="250" t="s">
        <v>4732</v>
      </c>
      <c r="C85" s="250" t="s">
        <v>2544</v>
      </c>
      <c r="D85" s="269">
        <v>2.1381944444444443</v>
      </c>
      <c r="E85" s="271"/>
      <c r="F85" s="268">
        <v>2.095138888888889</v>
      </c>
      <c r="G85" s="270"/>
      <c r="H85" s="270"/>
      <c r="I85" s="270"/>
    </row>
    <row r="86">
      <c r="A86" s="250" t="s">
        <v>4741</v>
      </c>
      <c r="B86" s="250" t="s">
        <v>4732</v>
      </c>
      <c r="C86" s="250" t="s">
        <v>2551</v>
      </c>
      <c r="D86" s="269">
        <v>0.5597222222222222</v>
      </c>
      <c r="E86" s="271"/>
      <c r="F86" s="268">
        <v>1.11875</v>
      </c>
      <c r="G86" s="270"/>
      <c r="H86" s="270"/>
      <c r="I86" s="270"/>
    </row>
    <row r="87">
      <c r="A87" s="250" t="s">
        <v>4742</v>
      </c>
      <c r="B87" s="250" t="s">
        <v>4738</v>
      </c>
      <c r="C87" s="250" t="s">
        <v>2203</v>
      </c>
      <c r="D87" s="269">
        <v>1.3486111111111112</v>
      </c>
      <c r="E87" s="269">
        <v>0.74375</v>
      </c>
      <c r="F87" s="268">
        <v>1.1888888888888889</v>
      </c>
      <c r="G87" s="270"/>
      <c r="H87" s="270"/>
      <c r="I87" s="270"/>
    </row>
    <row r="88">
      <c r="A88" s="250" t="s">
        <v>4742</v>
      </c>
      <c r="B88" s="250" t="s">
        <v>4731</v>
      </c>
      <c r="C88" s="250" t="s">
        <v>2167</v>
      </c>
      <c r="D88" s="269">
        <v>2.685416666666667</v>
      </c>
      <c r="E88" s="269">
        <v>1.8527777777777779</v>
      </c>
      <c r="F88" s="268">
        <v>1.1888888888888889</v>
      </c>
      <c r="G88" s="270"/>
      <c r="H88" s="270"/>
      <c r="I88" s="270"/>
    </row>
    <row r="89">
      <c r="A89" s="250" t="s">
        <v>4742</v>
      </c>
      <c r="B89" s="250" t="s">
        <v>4732</v>
      </c>
      <c r="C89" s="250" t="s">
        <v>4553</v>
      </c>
      <c r="D89" s="269">
        <v>1.0520833333333333</v>
      </c>
      <c r="E89" s="271"/>
      <c r="F89" s="268">
        <v>0.9847222222222223</v>
      </c>
      <c r="G89" s="270"/>
      <c r="H89" s="270"/>
      <c r="I89" s="270"/>
    </row>
    <row r="90">
      <c r="A90" s="250" t="s">
        <v>4742</v>
      </c>
      <c r="B90" s="250" t="s">
        <v>4731</v>
      </c>
      <c r="C90" s="250" t="s">
        <v>1784</v>
      </c>
      <c r="D90" s="269">
        <v>1.3583333333333334</v>
      </c>
      <c r="E90" s="271"/>
      <c r="F90" s="268">
        <v>1.8465277777777778</v>
      </c>
      <c r="G90" s="268">
        <v>1.4375</v>
      </c>
      <c r="H90" s="268">
        <v>1.6680555555555556</v>
      </c>
      <c r="I90" s="270"/>
    </row>
    <row r="91">
      <c r="A91" s="250" t="s">
        <v>4742</v>
      </c>
      <c r="B91" s="250" t="s">
        <v>4735</v>
      </c>
      <c r="C91" s="250" t="s">
        <v>1825</v>
      </c>
      <c r="D91" s="269">
        <v>1.667361111111111</v>
      </c>
      <c r="E91" s="269">
        <v>1.7756944444444445</v>
      </c>
      <c r="F91" s="268">
        <v>1.3381944444444445</v>
      </c>
      <c r="G91" s="270"/>
      <c r="H91" s="270"/>
      <c r="I91" s="270"/>
    </row>
    <row r="92">
      <c r="A92" s="250" t="s">
        <v>4742</v>
      </c>
      <c r="B92" s="250" t="s">
        <v>4732</v>
      </c>
      <c r="C92" s="250" t="s">
        <v>2265</v>
      </c>
      <c r="D92" s="269">
        <v>1.479861111111111</v>
      </c>
      <c r="E92" s="271"/>
      <c r="F92" s="268">
        <v>1.5131944444444445</v>
      </c>
      <c r="G92" s="270"/>
      <c r="H92" s="270"/>
      <c r="I92" s="270"/>
    </row>
    <row r="93">
      <c r="A93" s="250" t="s">
        <v>4742</v>
      </c>
      <c r="B93" s="250" t="s">
        <v>4736</v>
      </c>
      <c r="C93" s="250" t="s">
        <v>1670</v>
      </c>
      <c r="D93" s="269">
        <v>1.2777777777777777</v>
      </c>
      <c r="E93" s="269">
        <v>1.5895833333333333</v>
      </c>
      <c r="F93" s="268">
        <v>1.18125</v>
      </c>
      <c r="G93" s="270"/>
      <c r="H93" s="270"/>
      <c r="I93" s="270"/>
    </row>
    <row r="94">
      <c r="A94" s="250" t="s">
        <v>4742</v>
      </c>
      <c r="B94" s="250" t="s">
        <v>4732</v>
      </c>
      <c r="C94" s="250" t="s">
        <v>2731</v>
      </c>
      <c r="D94" s="269">
        <v>1.3104166666666666</v>
      </c>
      <c r="E94" s="271"/>
      <c r="F94" s="268">
        <v>1.6506944444444445</v>
      </c>
      <c r="G94" s="270"/>
      <c r="H94" s="270"/>
      <c r="I94" s="270"/>
    </row>
    <row r="95">
      <c r="A95" s="250" t="s">
        <v>4742</v>
      </c>
      <c r="B95" s="250" t="s">
        <v>4732</v>
      </c>
      <c r="C95" s="250" t="s">
        <v>2531</v>
      </c>
      <c r="D95" s="269">
        <v>1.05625</v>
      </c>
      <c r="E95" s="271"/>
      <c r="F95" s="268">
        <v>0.8222222222222222</v>
      </c>
      <c r="G95" s="270"/>
      <c r="H95" s="270"/>
      <c r="I95" s="270"/>
    </row>
    <row r="96">
      <c r="A96" s="250" t="s">
        <v>4742</v>
      </c>
      <c r="B96" s="250" t="s">
        <v>4731</v>
      </c>
      <c r="C96" s="250" t="s">
        <v>1978</v>
      </c>
      <c r="D96" s="271"/>
      <c r="E96" s="269">
        <v>0.7486111111111111</v>
      </c>
      <c r="F96" s="268">
        <v>0.45694444444444443</v>
      </c>
      <c r="G96" s="270"/>
      <c r="H96" s="270"/>
      <c r="I96" s="270"/>
    </row>
    <row r="97">
      <c r="A97" s="250" t="s">
        <v>4742</v>
      </c>
      <c r="B97" s="250" t="s">
        <v>4732</v>
      </c>
      <c r="C97" s="250" t="s">
        <v>1954</v>
      </c>
      <c r="D97" s="269">
        <v>1.4715277777777778</v>
      </c>
      <c r="E97" s="271"/>
      <c r="F97" s="268">
        <v>1.7645833333333334</v>
      </c>
      <c r="G97" s="270"/>
      <c r="H97" s="270"/>
      <c r="I97" s="270"/>
    </row>
    <row r="98">
      <c r="A98" s="250" t="s">
        <v>4742</v>
      </c>
      <c r="B98" s="250" t="s">
        <v>4736</v>
      </c>
      <c r="C98" s="250" t="s">
        <v>1793</v>
      </c>
      <c r="D98" s="269">
        <v>1.523611111111111</v>
      </c>
      <c r="E98" s="269">
        <v>1.8069444444444445</v>
      </c>
      <c r="F98" s="268">
        <v>1.6527777777777777</v>
      </c>
      <c r="G98" s="270"/>
      <c r="H98" s="270"/>
      <c r="I98" s="270"/>
    </row>
    <row r="99">
      <c r="A99" s="250" t="s">
        <v>4743</v>
      </c>
      <c r="B99" s="250" t="s">
        <v>4732</v>
      </c>
      <c r="C99" s="250" t="s">
        <v>4557</v>
      </c>
      <c r="D99" s="269">
        <v>1.7083333333333333</v>
      </c>
      <c r="E99" s="271"/>
      <c r="F99" s="268">
        <v>1.83125</v>
      </c>
      <c r="G99" s="270"/>
      <c r="H99" s="270"/>
      <c r="I99" s="270"/>
    </row>
    <row r="100">
      <c r="A100" s="250" t="s">
        <v>4743</v>
      </c>
      <c r="B100" s="250" t="s">
        <v>4733</v>
      </c>
      <c r="C100" s="250" t="s">
        <v>4559</v>
      </c>
      <c r="D100" s="269">
        <v>0.95</v>
      </c>
      <c r="E100" s="269">
        <v>1.15625</v>
      </c>
      <c r="F100" s="268">
        <v>1.4826388888888888</v>
      </c>
      <c r="G100" s="268">
        <v>1.2833333333333334</v>
      </c>
      <c r="H100" s="270"/>
      <c r="I100" s="270"/>
    </row>
    <row r="101">
      <c r="A101" s="250" t="s">
        <v>4743</v>
      </c>
      <c r="B101" s="250" t="s">
        <v>4732</v>
      </c>
      <c r="C101" s="250" t="s">
        <v>4560</v>
      </c>
      <c r="D101" s="269">
        <v>0.9381944444444444</v>
      </c>
      <c r="E101" s="271"/>
      <c r="F101" s="268">
        <v>0.9854166666666667</v>
      </c>
      <c r="G101" s="270"/>
      <c r="H101" s="270"/>
      <c r="I101" s="270"/>
    </row>
    <row r="102">
      <c r="A102" s="250" t="s">
        <v>4743</v>
      </c>
      <c r="B102" s="250" t="s">
        <v>4738</v>
      </c>
      <c r="C102" s="250" t="s">
        <v>4561</v>
      </c>
      <c r="D102" s="269">
        <v>0.8944444444444445</v>
      </c>
      <c r="E102" s="269">
        <v>0.7159722222222222</v>
      </c>
      <c r="F102" s="268">
        <v>0.9444444444444444</v>
      </c>
      <c r="G102" s="270"/>
      <c r="H102" s="270"/>
      <c r="I102" s="270"/>
    </row>
    <row r="103">
      <c r="A103" s="250" t="s">
        <v>4743</v>
      </c>
      <c r="B103" s="250" t="s">
        <v>4735</v>
      </c>
      <c r="C103" s="250" t="s">
        <v>4562</v>
      </c>
      <c r="D103" s="269">
        <v>1.1930555555555555</v>
      </c>
      <c r="E103" s="269">
        <v>1.3895833333333334</v>
      </c>
      <c r="F103" s="268">
        <v>1.4048611111111111</v>
      </c>
      <c r="G103" s="270"/>
      <c r="H103" s="270"/>
      <c r="I103" s="270"/>
    </row>
    <row r="104">
      <c r="A104" s="250" t="s">
        <v>4743</v>
      </c>
      <c r="B104" s="250" t="s">
        <v>4734</v>
      </c>
      <c r="C104" s="250" t="s">
        <v>1969</v>
      </c>
      <c r="D104" s="269">
        <v>1.3965277777777778</v>
      </c>
      <c r="E104" s="272">
        <v>0.9881944444444445</v>
      </c>
      <c r="F104" s="268">
        <v>0.9388888888888889</v>
      </c>
      <c r="G104" s="270"/>
      <c r="H104" s="270"/>
      <c r="I104" s="270"/>
      <c r="J104" s="273"/>
    </row>
    <row r="105">
      <c r="A105" s="250" t="s">
        <v>4743</v>
      </c>
      <c r="B105" s="250" t="s">
        <v>4738</v>
      </c>
      <c r="C105" s="250" t="s">
        <v>2092</v>
      </c>
      <c r="D105" s="269">
        <v>1.323611111111111</v>
      </c>
      <c r="E105" s="269">
        <v>1.2090277777777778</v>
      </c>
      <c r="F105" s="268">
        <v>1.167361111111111</v>
      </c>
      <c r="G105" s="270"/>
      <c r="H105" s="270"/>
      <c r="I105" s="270"/>
    </row>
    <row r="106">
      <c r="A106" s="250" t="s">
        <v>4743</v>
      </c>
      <c r="B106" s="250" t="s">
        <v>4738</v>
      </c>
      <c r="C106" s="250" t="s">
        <v>2537</v>
      </c>
      <c r="D106" s="269">
        <v>1.45625</v>
      </c>
      <c r="E106" s="269">
        <v>1.4541666666666666</v>
      </c>
      <c r="F106" s="268">
        <v>4.096527777777778</v>
      </c>
      <c r="G106" s="270"/>
      <c r="H106" s="270"/>
      <c r="I106" s="270"/>
    </row>
    <row r="107">
      <c r="A107" s="250" t="s">
        <v>4744</v>
      </c>
      <c r="B107" s="250" t="s">
        <v>4733</v>
      </c>
      <c r="C107" s="250" t="s">
        <v>1491</v>
      </c>
      <c r="D107" s="269">
        <v>1.5256944444444445</v>
      </c>
      <c r="E107" s="269">
        <v>1.51875</v>
      </c>
      <c r="F107" s="268">
        <v>1.6784722222222221</v>
      </c>
      <c r="G107" s="270"/>
      <c r="H107" s="270"/>
      <c r="I107" s="270"/>
    </row>
    <row r="108">
      <c r="A108" s="250" t="s">
        <v>4744</v>
      </c>
      <c r="B108" s="250" t="s">
        <v>4732</v>
      </c>
      <c r="C108" s="250" t="s">
        <v>2015</v>
      </c>
      <c r="D108" s="269">
        <v>0.8784722222222222</v>
      </c>
      <c r="E108" s="271"/>
      <c r="F108" s="268">
        <v>2.182638888888889</v>
      </c>
      <c r="G108" s="270"/>
      <c r="H108" s="270"/>
      <c r="I108" s="270"/>
    </row>
    <row r="109">
      <c r="A109" s="250" t="s">
        <v>4744</v>
      </c>
      <c r="B109" s="250" t="s">
        <v>4733</v>
      </c>
      <c r="C109" s="250" t="s">
        <v>1423</v>
      </c>
      <c r="D109" s="269">
        <v>1.7368055555555555</v>
      </c>
      <c r="E109" s="269">
        <v>1.8590277777777777</v>
      </c>
      <c r="F109" s="268">
        <v>1.8777777777777778</v>
      </c>
      <c r="G109" s="270"/>
      <c r="H109" s="270"/>
      <c r="I109" s="270"/>
    </row>
    <row r="110">
      <c r="A110" s="250" t="s">
        <v>4744</v>
      </c>
      <c r="B110" s="250" t="s">
        <v>4735</v>
      </c>
      <c r="C110" s="8" t="s">
        <v>1468</v>
      </c>
      <c r="D110" s="268">
        <v>0.4888888888888889</v>
      </c>
      <c r="E110" s="268">
        <v>0.9722222222222222</v>
      </c>
      <c r="F110" s="268">
        <v>1.3520833333333333</v>
      </c>
      <c r="G110" s="270"/>
      <c r="H110" s="270"/>
      <c r="I110" s="270"/>
    </row>
    <row r="111">
      <c r="A111" s="250" t="s">
        <v>4744</v>
      </c>
      <c r="B111" s="250" t="s">
        <v>4736</v>
      </c>
      <c r="C111" s="8" t="s">
        <v>1505</v>
      </c>
      <c r="D111" s="268">
        <v>0.7034722222222223</v>
      </c>
      <c r="E111" s="268">
        <v>0.6548611111111111</v>
      </c>
      <c r="F111" s="268">
        <v>0.64375</v>
      </c>
      <c r="G111" s="270"/>
      <c r="H111" s="270"/>
      <c r="I111" s="270"/>
    </row>
    <row r="112">
      <c r="A112" s="250" t="s">
        <v>4744</v>
      </c>
      <c r="B112" s="250" t="s">
        <v>4732</v>
      </c>
      <c r="C112" s="8" t="s">
        <v>1714</v>
      </c>
      <c r="D112" s="268">
        <v>1.1083333333333334</v>
      </c>
      <c r="E112" s="270"/>
      <c r="F112" s="268">
        <v>1.0763888888888888</v>
      </c>
      <c r="G112" s="270"/>
      <c r="H112" s="270"/>
      <c r="I112" s="270"/>
    </row>
    <row r="113">
      <c r="A113" s="250" t="s">
        <v>4744</v>
      </c>
      <c r="B113" s="250" t="s">
        <v>4738</v>
      </c>
      <c r="C113" s="8" t="s">
        <v>1438</v>
      </c>
      <c r="D113" s="268">
        <v>1.7486111111111111</v>
      </c>
      <c r="E113" s="268">
        <v>1.6541666666666666</v>
      </c>
      <c r="F113" s="268">
        <v>1.8652777777777778</v>
      </c>
      <c r="G113" s="270"/>
      <c r="H113" s="270"/>
      <c r="I113" s="270"/>
    </row>
    <row r="114">
      <c r="A114" s="250" t="s">
        <v>4744</v>
      </c>
      <c r="B114" s="250" t="s">
        <v>4735</v>
      </c>
      <c r="C114" s="8" t="s">
        <v>1643</v>
      </c>
      <c r="D114" s="268">
        <v>1.1083333333333334</v>
      </c>
      <c r="E114" s="268">
        <v>1.2833333333333334</v>
      </c>
      <c r="F114" s="268">
        <v>1.0951388888888889</v>
      </c>
      <c r="G114" s="270"/>
      <c r="H114" s="270"/>
      <c r="I114" s="270"/>
    </row>
    <row r="115">
      <c r="A115" s="250" t="s">
        <v>4745</v>
      </c>
      <c r="B115" s="250" t="s">
        <v>4733</v>
      </c>
      <c r="C115" s="250" t="s">
        <v>1771</v>
      </c>
      <c r="D115" s="269">
        <v>1.461111111111111</v>
      </c>
      <c r="E115" s="269">
        <v>1.0215277777777778</v>
      </c>
      <c r="F115" s="268">
        <v>1.1444444444444444</v>
      </c>
      <c r="G115" s="270"/>
      <c r="H115" s="270"/>
      <c r="I115" s="270"/>
    </row>
    <row r="116">
      <c r="A116" s="8" t="s">
        <v>4745</v>
      </c>
      <c r="B116" s="8" t="s">
        <v>4733</v>
      </c>
      <c r="C116" s="8" t="s">
        <v>4565</v>
      </c>
      <c r="D116" s="268">
        <v>0.5041666666666667</v>
      </c>
      <c r="E116" s="268">
        <v>0.5506944444444445</v>
      </c>
      <c r="F116" s="268">
        <v>0.65</v>
      </c>
      <c r="G116" s="270"/>
      <c r="H116" s="270"/>
      <c r="I116" s="270"/>
    </row>
    <row r="117">
      <c r="A117" s="250" t="s">
        <v>4745</v>
      </c>
      <c r="B117" s="250" t="s">
        <v>4736</v>
      </c>
      <c r="C117" s="250" t="s">
        <v>4567</v>
      </c>
      <c r="D117" s="269">
        <v>1.3118055555555554</v>
      </c>
      <c r="E117" s="269">
        <v>1.1708333333333334</v>
      </c>
      <c r="F117" s="268">
        <v>1.1041666666666667</v>
      </c>
      <c r="G117" s="270"/>
      <c r="H117" s="270"/>
      <c r="I117" s="270"/>
    </row>
    <row r="118">
      <c r="A118" s="8" t="s">
        <v>4745</v>
      </c>
      <c r="B118" s="8" t="s">
        <v>4732</v>
      </c>
      <c r="C118" s="8" t="s">
        <v>4568</v>
      </c>
      <c r="D118" s="268">
        <v>1.4111111111111112</v>
      </c>
      <c r="E118" s="270"/>
      <c r="F118" s="268">
        <v>1.4111111111111112</v>
      </c>
      <c r="G118" s="270"/>
      <c r="H118" s="270"/>
      <c r="I118" s="270"/>
    </row>
    <row r="119">
      <c r="A119" s="250" t="s">
        <v>4745</v>
      </c>
      <c r="B119" s="250" t="s">
        <v>4730</v>
      </c>
      <c r="C119" s="250" t="s">
        <v>4569</v>
      </c>
      <c r="D119" s="269">
        <v>1.0395833333333333</v>
      </c>
      <c r="E119" s="269">
        <v>0.9381944444444444</v>
      </c>
      <c r="F119" s="268">
        <v>0.8604166666666667</v>
      </c>
      <c r="G119" s="270"/>
      <c r="H119" s="270"/>
      <c r="I119" s="270"/>
    </row>
    <row r="120">
      <c r="A120" s="250" t="s">
        <v>4745</v>
      </c>
      <c r="B120" s="250" t="s">
        <v>4732</v>
      </c>
      <c r="C120" s="250" t="s">
        <v>4570</v>
      </c>
      <c r="D120" s="269">
        <v>0.8131944444444444</v>
      </c>
      <c r="E120" s="271"/>
      <c r="F120" s="268">
        <v>0.9486111111111111</v>
      </c>
      <c r="G120" s="270"/>
      <c r="H120" s="270"/>
      <c r="I120" s="270"/>
    </row>
    <row r="121">
      <c r="A121" s="250" t="s">
        <v>4745</v>
      </c>
      <c r="B121" s="250" t="s">
        <v>4738</v>
      </c>
      <c r="C121" s="250" t="s">
        <v>4571</v>
      </c>
      <c r="D121" s="269">
        <v>1.363888888888889</v>
      </c>
      <c r="E121" s="269">
        <v>1.1666666666666667</v>
      </c>
      <c r="F121" s="268">
        <v>1.1097222222222223</v>
      </c>
      <c r="G121" s="270"/>
      <c r="H121" s="270"/>
      <c r="I121" s="270"/>
    </row>
    <row r="122">
      <c r="A122" s="250" t="s">
        <v>4745</v>
      </c>
      <c r="B122" s="250" t="s">
        <v>4736</v>
      </c>
      <c r="C122" s="250" t="s">
        <v>4572</v>
      </c>
      <c r="D122" s="269">
        <v>0.7020833333333333</v>
      </c>
      <c r="E122" s="269">
        <v>0.7118055555555556</v>
      </c>
      <c r="F122" s="268">
        <v>0.7340277777777777</v>
      </c>
      <c r="G122" s="270"/>
      <c r="H122" s="270"/>
      <c r="I122" s="270"/>
    </row>
    <row r="123">
      <c r="A123" s="250" t="s">
        <v>4745</v>
      </c>
      <c r="B123" s="250" t="s">
        <v>4737</v>
      </c>
      <c r="C123" s="250" t="s">
        <v>4573</v>
      </c>
      <c r="D123" s="269">
        <v>1.5895833333333333</v>
      </c>
      <c r="E123" s="269">
        <v>1.9006944444444445</v>
      </c>
      <c r="F123" s="268">
        <v>1.7229166666666667</v>
      </c>
      <c r="G123" s="270"/>
      <c r="H123" s="270"/>
      <c r="I123" s="270"/>
    </row>
    <row r="124">
      <c r="A124" s="250" t="s">
        <v>4745</v>
      </c>
      <c r="B124" s="250" t="s">
        <v>4732</v>
      </c>
      <c r="C124" s="250" t="s">
        <v>2795</v>
      </c>
      <c r="D124" s="269">
        <v>1.1520833333333333</v>
      </c>
      <c r="E124" s="271"/>
      <c r="F124" s="268">
        <v>1.0847222222222221</v>
      </c>
      <c r="G124" s="270"/>
      <c r="H124" s="270"/>
      <c r="I124" s="270"/>
    </row>
    <row r="125">
      <c r="A125" s="250" t="s">
        <v>4745</v>
      </c>
      <c r="B125" s="250" t="s">
        <v>4736</v>
      </c>
      <c r="C125" s="250" t="s">
        <v>4574</v>
      </c>
      <c r="D125" s="269">
        <v>1.4708333333333334</v>
      </c>
      <c r="E125" s="269">
        <v>1.1854166666666666</v>
      </c>
      <c r="F125" s="268">
        <v>1.0375</v>
      </c>
      <c r="G125" s="270"/>
      <c r="H125" s="270"/>
      <c r="I125" s="270"/>
    </row>
    <row r="126">
      <c r="A126" s="250" t="s">
        <v>4745</v>
      </c>
      <c r="B126" s="250" t="s">
        <v>4730</v>
      </c>
      <c r="C126" s="250" t="s">
        <v>2802</v>
      </c>
      <c r="D126" s="269">
        <v>1.3722222222222222</v>
      </c>
      <c r="E126" s="269">
        <v>1.176388888888889</v>
      </c>
      <c r="F126" s="268">
        <v>0.4444444444444444</v>
      </c>
      <c r="G126" s="270"/>
      <c r="H126" s="270"/>
      <c r="I126" s="270"/>
    </row>
    <row r="127">
      <c r="A127" s="250" t="s">
        <v>4745</v>
      </c>
      <c r="B127" s="250" t="s">
        <v>4732</v>
      </c>
      <c r="C127" s="250" t="s">
        <v>2454</v>
      </c>
      <c r="D127" s="269">
        <v>5.636111111111111</v>
      </c>
      <c r="E127" s="271"/>
      <c r="F127" s="268">
        <v>3.0479166666666666</v>
      </c>
      <c r="G127" s="270"/>
      <c r="H127" s="270"/>
      <c r="I127" s="270"/>
    </row>
    <row r="128">
      <c r="A128" s="250" t="s">
        <v>4746</v>
      </c>
      <c r="B128" s="250" t="s">
        <v>4732</v>
      </c>
      <c r="C128" s="250" t="s">
        <v>4575</v>
      </c>
      <c r="D128" s="269">
        <v>0.48194444444444445</v>
      </c>
      <c r="E128" s="271"/>
      <c r="F128" s="268">
        <v>0.6236111111111111</v>
      </c>
      <c r="G128" s="270"/>
      <c r="H128" s="270"/>
      <c r="I128" s="270"/>
    </row>
    <row r="129">
      <c r="A129" s="250" t="s">
        <v>4746</v>
      </c>
      <c r="B129" s="250" t="s">
        <v>4732</v>
      </c>
      <c r="C129" s="250" t="s">
        <v>4576</v>
      </c>
      <c r="D129" s="269">
        <v>1.5006944444444446</v>
      </c>
      <c r="E129" s="271"/>
      <c r="F129" s="268">
        <v>1.5208333333333333</v>
      </c>
      <c r="G129" s="270"/>
      <c r="H129" s="270"/>
      <c r="I129" s="270"/>
    </row>
    <row r="130">
      <c r="A130" s="250" t="s">
        <v>4746</v>
      </c>
      <c r="B130" s="250" t="s">
        <v>4732</v>
      </c>
      <c r="C130" s="250" t="s">
        <v>4578</v>
      </c>
      <c r="D130" s="269">
        <v>1.5659722222222223</v>
      </c>
      <c r="E130" s="271"/>
      <c r="F130" s="268">
        <v>1.0284722222222222</v>
      </c>
      <c r="G130" s="270"/>
      <c r="H130" s="270"/>
      <c r="I130" s="270"/>
    </row>
    <row r="131">
      <c r="A131" s="250" t="s">
        <v>4746</v>
      </c>
      <c r="B131" s="250" t="s">
        <v>4731</v>
      </c>
      <c r="C131" s="250" t="s">
        <v>2595</v>
      </c>
      <c r="D131" s="269">
        <v>1.5777777777777777</v>
      </c>
      <c r="E131" s="269">
        <v>1.582638888888889</v>
      </c>
      <c r="F131" s="268">
        <v>1.5708333333333333</v>
      </c>
      <c r="G131" s="270"/>
      <c r="H131" s="270"/>
      <c r="I131" s="270"/>
    </row>
    <row r="132">
      <c r="A132" s="250" t="s">
        <v>4747</v>
      </c>
      <c r="B132" s="250" t="s">
        <v>4730</v>
      </c>
      <c r="C132" s="250" t="s">
        <v>4579</v>
      </c>
      <c r="D132" s="269">
        <v>1.1291666666666667</v>
      </c>
      <c r="E132" s="269">
        <v>1.8034722222222221</v>
      </c>
      <c r="F132" s="268">
        <v>1.7090277777777778</v>
      </c>
      <c r="G132" s="270"/>
      <c r="H132" s="270"/>
      <c r="I132" s="270"/>
    </row>
    <row r="133">
      <c r="A133" s="250" t="s">
        <v>4747</v>
      </c>
      <c r="B133" s="250" t="s">
        <v>4732</v>
      </c>
      <c r="C133" s="250" t="s">
        <v>4580</v>
      </c>
      <c r="D133" s="269">
        <v>1.9680555555555554</v>
      </c>
      <c r="E133" s="271"/>
      <c r="F133" s="268">
        <v>1.5965277777777778</v>
      </c>
      <c r="G133" s="270"/>
      <c r="H133" s="270"/>
      <c r="I133" s="270"/>
    </row>
    <row r="134">
      <c r="A134" s="250" t="s">
        <v>4747</v>
      </c>
      <c r="B134" s="250" t="s">
        <v>4732</v>
      </c>
      <c r="C134" s="250" t="s">
        <v>4581</v>
      </c>
      <c r="D134" s="269">
        <v>1.0291666666666666</v>
      </c>
      <c r="E134" s="271"/>
      <c r="F134" s="268">
        <v>1.04375</v>
      </c>
      <c r="G134" s="270"/>
      <c r="H134" s="270"/>
      <c r="I134" s="270"/>
    </row>
    <row r="135">
      <c r="A135" s="250" t="s">
        <v>4747</v>
      </c>
      <c r="B135" s="250" t="s">
        <v>4737</v>
      </c>
      <c r="C135" s="250" t="s">
        <v>4582</v>
      </c>
      <c r="D135" s="269">
        <v>0.90625</v>
      </c>
      <c r="E135" s="269">
        <v>0.42291666666666666</v>
      </c>
      <c r="F135" s="268">
        <v>0.1388888888888889</v>
      </c>
      <c r="G135" s="270"/>
      <c r="H135" s="270"/>
      <c r="I135" s="270"/>
    </row>
    <row r="136">
      <c r="A136" s="250" t="s">
        <v>4747</v>
      </c>
      <c r="B136" s="250" t="s">
        <v>4738</v>
      </c>
      <c r="C136" s="250" t="s">
        <v>4583</v>
      </c>
      <c r="D136" s="269">
        <v>1.1263888888888889</v>
      </c>
      <c r="E136" s="269">
        <v>0.6208333333333333</v>
      </c>
      <c r="F136" s="268">
        <v>0.5409722222222222</v>
      </c>
      <c r="G136" s="268">
        <v>0.7784722222222222</v>
      </c>
      <c r="H136" s="270"/>
      <c r="I136" s="270"/>
    </row>
    <row r="137">
      <c r="A137" s="250" t="s">
        <v>4747</v>
      </c>
      <c r="B137" s="250" t="s">
        <v>4738</v>
      </c>
      <c r="C137" s="250" t="s">
        <v>4584</v>
      </c>
      <c r="D137" s="269">
        <v>0.6909722222222222</v>
      </c>
      <c r="E137" s="269">
        <v>0.6229166666666667</v>
      </c>
      <c r="F137" s="268">
        <v>0.5666666666666667</v>
      </c>
      <c r="G137" s="270"/>
      <c r="H137" s="270"/>
      <c r="I137" s="270"/>
    </row>
    <row r="138">
      <c r="A138" s="250" t="s">
        <v>4747</v>
      </c>
      <c r="B138" s="250" t="s">
        <v>4735</v>
      </c>
      <c r="C138" s="250" t="s">
        <v>4585</v>
      </c>
      <c r="D138" s="269">
        <v>1.8472222222222223</v>
      </c>
      <c r="E138" s="269">
        <v>1.6375</v>
      </c>
      <c r="F138" s="268">
        <v>1.6979166666666667</v>
      </c>
      <c r="G138" s="270"/>
      <c r="H138" s="270"/>
      <c r="I138" s="270"/>
    </row>
    <row r="139">
      <c r="A139" s="250" t="s">
        <v>4747</v>
      </c>
      <c r="B139" s="250" t="s">
        <v>4732</v>
      </c>
      <c r="C139" s="250" t="s">
        <v>4586</v>
      </c>
      <c r="D139" s="269">
        <v>1.7402777777777778</v>
      </c>
      <c r="F139" s="269">
        <v>0.8583333333333333</v>
      </c>
      <c r="G139" s="270"/>
      <c r="H139" s="270"/>
      <c r="I139" s="270"/>
    </row>
    <row r="140">
      <c r="A140" s="250" t="s">
        <v>4748</v>
      </c>
      <c r="B140" s="250" t="s">
        <v>4732</v>
      </c>
      <c r="C140" s="250" t="s">
        <v>4587</v>
      </c>
      <c r="D140" s="269">
        <v>1.425</v>
      </c>
      <c r="E140" s="271"/>
      <c r="F140" s="268">
        <v>1.28125</v>
      </c>
      <c r="G140" s="270"/>
      <c r="H140" s="270"/>
      <c r="I140" s="270"/>
    </row>
    <row r="141">
      <c r="A141" s="250" t="s">
        <v>4748</v>
      </c>
      <c r="B141" s="250" t="s">
        <v>4732</v>
      </c>
      <c r="C141" s="250" t="s">
        <v>4588</v>
      </c>
      <c r="D141" s="269">
        <v>1.2770833333333333</v>
      </c>
      <c r="E141" s="271"/>
      <c r="F141" s="268">
        <v>1.2708333333333333</v>
      </c>
      <c r="G141" s="270"/>
      <c r="H141" s="270"/>
      <c r="I141" s="270"/>
    </row>
    <row r="142">
      <c r="A142" s="250" t="s">
        <v>4748</v>
      </c>
      <c r="B142" s="250" t="s">
        <v>4732</v>
      </c>
      <c r="C142" s="250" t="s">
        <v>4589</v>
      </c>
      <c r="D142" s="269">
        <v>0.6041666666666666</v>
      </c>
      <c r="E142" s="271"/>
      <c r="F142" s="268">
        <v>0.08958333333333333</v>
      </c>
      <c r="G142" s="270"/>
      <c r="H142" s="270"/>
      <c r="I142" s="270"/>
    </row>
    <row r="143">
      <c r="A143" s="250" t="s">
        <v>4748</v>
      </c>
      <c r="B143" s="250" t="s">
        <v>4738</v>
      </c>
      <c r="C143" s="250" t="s">
        <v>1095</v>
      </c>
      <c r="D143" s="271"/>
      <c r="E143" s="268">
        <v>0.4826388888888889</v>
      </c>
      <c r="F143" s="274">
        <v>0.7256944444444444</v>
      </c>
      <c r="G143" s="270"/>
      <c r="H143" s="270"/>
      <c r="I143" s="270"/>
    </row>
    <row r="144">
      <c r="A144" s="250" t="s">
        <v>4748</v>
      </c>
      <c r="B144" s="250" t="s">
        <v>4732</v>
      </c>
      <c r="C144" s="250" t="s">
        <v>4591</v>
      </c>
      <c r="D144" s="269">
        <v>1.4673611111111111</v>
      </c>
      <c r="E144" s="271"/>
      <c r="F144" s="268">
        <v>1.6055555555555556</v>
      </c>
      <c r="G144" s="270"/>
      <c r="H144" s="270"/>
      <c r="I144" s="270"/>
    </row>
    <row r="145">
      <c r="A145" s="250" t="s">
        <v>4748</v>
      </c>
      <c r="B145" s="250" t="s">
        <v>4731</v>
      </c>
      <c r="C145" s="250" t="s">
        <v>4592</v>
      </c>
      <c r="D145" s="269">
        <v>0.8027777777777778</v>
      </c>
      <c r="E145" s="269">
        <v>0.8145833333333333</v>
      </c>
      <c r="F145" s="268">
        <v>0.6909722222222222</v>
      </c>
      <c r="G145" s="270"/>
      <c r="H145" s="270"/>
      <c r="I145" s="270"/>
    </row>
    <row r="146">
      <c r="A146" s="250" t="s">
        <v>4748</v>
      </c>
      <c r="B146" s="250" t="s">
        <v>4731</v>
      </c>
      <c r="C146" s="250" t="s">
        <v>4593</v>
      </c>
      <c r="D146" s="269">
        <v>0.9208333333333333</v>
      </c>
      <c r="E146" s="269">
        <v>1.1555555555555554</v>
      </c>
      <c r="F146" s="270"/>
      <c r="G146" s="270"/>
      <c r="H146" s="268">
        <v>0.4048611111111111</v>
      </c>
      <c r="I146" s="268">
        <v>1.4951388888888888</v>
      </c>
    </row>
    <row r="147">
      <c r="A147" s="250" t="s">
        <v>4748</v>
      </c>
      <c r="B147" s="250" t="s">
        <v>4736</v>
      </c>
      <c r="C147" s="250" t="s">
        <v>3718</v>
      </c>
      <c r="D147" s="269">
        <v>0.9958333333333333</v>
      </c>
      <c r="E147" s="269">
        <v>1.0430555555555556</v>
      </c>
      <c r="F147" s="268">
        <v>1.5430555555555556</v>
      </c>
      <c r="G147" s="268">
        <v>1.492361111111111</v>
      </c>
      <c r="H147" s="268">
        <v>0.8576388888888888</v>
      </c>
      <c r="I147" s="270"/>
    </row>
    <row r="148">
      <c r="A148" s="8" t="s">
        <v>4748</v>
      </c>
      <c r="B148" s="8" t="s">
        <v>4734</v>
      </c>
      <c r="C148" s="8" t="s">
        <v>4594</v>
      </c>
      <c r="D148" s="268">
        <v>0.8993055555555556</v>
      </c>
      <c r="E148" s="268">
        <v>0.5993055555555555</v>
      </c>
      <c r="F148" s="268">
        <v>0.5993055555555555</v>
      </c>
      <c r="G148" s="270"/>
      <c r="H148" s="270"/>
      <c r="I148" s="270"/>
    </row>
    <row r="149">
      <c r="A149" s="250" t="s">
        <v>4748</v>
      </c>
      <c r="B149" s="250" t="s">
        <v>4732</v>
      </c>
      <c r="C149" s="250" t="s">
        <v>4595</v>
      </c>
      <c r="D149" s="269">
        <v>1.1506944444444445</v>
      </c>
      <c r="E149" s="271"/>
      <c r="F149" s="268">
        <v>0.6909722222222222</v>
      </c>
      <c r="G149" s="270"/>
      <c r="H149" s="270"/>
      <c r="I149" s="270"/>
    </row>
    <row r="150">
      <c r="A150" s="250" t="s">
        <v>4748</v>
      </c>
      <c r="B150" s="250" t="s">
        <v>4733</v>
      </c>
      <c r="C150" s="250" t="s">
        <v>4124</v>
      </c>
      <c r="D150" s="269">
        <v>0.20902777777777778</v>
      </c>
      <c r="E150" s="269">
        <v>0.76875</v>
      </c>
      <c r="F150" s="268">
        <v>1.2222222222222223</v>
      </c>
      <c r="G150" s="268">
        <v>1.0041666666666667</v>
      </c>
      <c r="H150" s="268">
        <v>0.5701388888888889</v>
      </c>
      <c r="I150" s="270"/>
    </row>
    <row r="151">
      <c r="A151" s="250" t="s">
        <v>4748</v>
      </c>
      <c r="B151" s="250" t="s">
        <v>4732</v>
      </c>
      <c r="C151" s="250" t="s">
        <v>4596</v>
      </c>
      <c r="D151" s="269">
        <v>0.8611111111111112</v>
      </c>
      <c r="E151" s="271"/>
      <c r="F151" s="268">
        <v>0.7708333333333334</v>
      </c>
      <c r="G151" s="270"/>
      <c r="H151" s="270"/>
      <c r="I151" s="270"/>
    </row>
    <row r="152">
      <c r="A152" s="250" t="s">
        <v>4748</v>
      </c>
      <c r="B152" s="250" t="s">
        <v>4736</v>
      </c>
      <c r="C152" s="250" t="s">
        <v>4597</v>
      </c>
      <c r="D152" s="269">
        <v>1.0340277777777778</v>
      </c>
      <c r="E152" s="269">
        <v>1.2201388888888889</v>
      </c>
      <c r="F152" s="268">
        <v>0.9888888888888889</v>
      </c>
      <c r="G152" s="270"/>
      <c r="H152" s="268">
        <v>0.6916666666666667</v>
      </c>
      <c r="I152" s="268">
        <v>0.8534722222222222</v>
      </c>
    </row>
    <row r="153">
      <c r="A153" s="250" t="s">
        <v>4748</v>
      </c>
      <c r="B153" s="250" t="s">
        <v>4735</v>
      </c>
      <c r="C153" s="250" t="s">
        <v>4598</v>
      </c>
      <c r="D153" s="269">
        <v>1.4958333333333333</v>
      </c>
      <c r="E153" s="269">
        <v>1.4006944444444445</v>
      </c>
      <c r="F153" s="268">
        <v>1.4222222222222223</v>
      </c>
      <c r="G153" s="270"/>
      <c r="H153" s="270"/>
      <c r="I153" s="270"/>
    </row>
    <row r="154">
      <c r="A154" s="250" t="s">
        <v>4748</v>
      </c>
      <c r="B154" s="250" t="s">
        <v>4730</v>
      </c>
      <c r="C154" s="250" t="s">
        <v>4599</v>
      </c>
      <c r="D154" s="269">
        <v>1.4993055555555554</v>
      </c>
      <c r="E154" s="269">
        <v>1.2479166666666666</v>
      </c>
      <c r="F154" s="268">
        <v>1.59375</v>
      </c>
      <c r="G154" s="268">
        <v>1.1569444444444446</v>
      </c>
      <c r="H154" s="270"/>
      <c r="I154" s="270"/>
    </row>
    <row r="155">
      <c r="A155" s="250" t="s">
        <v>4748</v>
      </c>
      <c r="B155" s="250" t="s">
        <v>4736</v>
      </c>
      <c r="C155" s="250" t="s">
        <v>4600</v>
      </c>
      <c r="D155" s="269">
        <v>1.3458333333333334</v>
      </c>
      <c r="E155" s="269">
        <v>1.2069444444444444</v>
      </c>
      <c r="F155" s="268">
        <v>1.288888888888889</v>
      </c>
      <c r="G155" s="270"/>
      <c r="H155" s="270"/>
      <c r="I155" s="270"/>
    </row>
    <row r="156">
      <c r="A156" s="250" t="s">
        <v>4748</v>
      </c>
      <c r="B156" s="250" t="s">
        <v>4732</v>
      </c>
      <c r="C156" s="250" t="s">
        <v>4601</v>
      </c>
      <c r="D156" s="269">
        <v>0.5993055555555555</v>
      </c>
      <c r="E156" s="271"/>
      <c r="F156" s="268">
        <v>0.47638888888888886</v>
      </c>
      <c r="G156" s="270"/>
      <c r="H156" s="270"/>
      <c r="I156" s="270"/>
    </row>
    <row r="157">
      <c r="A157" s="250" t="s">
        <v>4748</v>
      </c>
      <c r="B157" s="250" t="s">
        <v>4738</v>
      </c>
      <c r="C157" s="250" t="s">
        <v>4602</v>
      </c>
      <c r="D157" s="269">
        <v>1.4347222222222222</v>
      </c>
      <c r="E157" s="269">
        <v>0.9979166666666667</v>
      </c>
      <c r="F157" s="268">
        <v>1.511111111111111</v>
      </c>
      <c r="G157" s="270"/>
      <c r="H157" s="270"/>
      <c r="I157" s="270"/>
    </row>
    <row r="158">
      <c r="A158" s="250" t="s">
        <v>4748</v>
      </c>
      <c r="B158" s="250" t="s">
        <v>4735</v>
      </c>
      <c r="C158" s="250" t="s">
        <v>4603</v>
      </c>
      <c r="D158" s="269">
        <v>1.0569444444444445</v>
      </c>
      <c r="E158" s="269">
        <v>0.7131944444444445</v>
      </c>
      <c r="F158" s="268">
        <v>0.9395833333333333</v>
      </c>
      <c r="G158" s="270"/>
      <c r="H158" s="270"/>
      <c r="I158" s="270"/>
    </row>
    <row r="159">
      <c r="A159" s="250" t="s">
        <v>4748</v>
      </c>
      <c r="B159" s="250" t="s">
        <v>4732</v>
      </c>
      <c r="C159" s="250" t="s">
        <v>4604</v>
      </c>
      <c r="D159" s="269">
        <v>0.9868055555555556</v>
      </c>
      <c r="E159" s="271"/>
      <c r="F159" s="268">
        <v>0.6902777777777778</v>
      </c>
      <c r="G159" s="270"/>
      <c r="H159" s="270"/>
      <c r="I159" s="270"/>
    </row>
    <row r="160">
      <c r="A160" s="250" t="s">
        <v>4748</v>
      </c>
      <c r="B160" s="250" t="s">
        <v>4730</v>
      </c>
      <c r="C160" s="250" t="s">
        <v>4605</v>
      </c>
      <c r="D160" s="271"/>
      <c r="E160" s="269">
        <v>0.6201388888888889</v>
      </c>
      <c r="F160" s="268">
        <v>0.7034722222222223</v>
      </c>
      <c r="G160" s="270"/>
      <c r="H160" s="270"/>
      <c r="I160" s="270"/>
      <c r="J160" s="238"/>
    </row>
    <row r="161">
      <c r="A161" s="250" t="s">
        <v>4748</v>
      </c>
      <c r="B161" s="250" t="s">
        <v>4738</v>
      </c>
      <c r="C161" s="250" t="s">
        <v>4606</v>
      </c>
      <c r="D161" s="269">
        <v>0.7791666666666667</v>
      </c>
      <c r="E161" s="269">
        <v>0.42569444444444443</v>
      </c>
      <c r="F161" s="268">
        <v>0.8097222222222222</v>
      </c>
      <c r="G161" s="270"/>
      <c r="H161" s="270"/>
      <c r="I161" s="270"/>
    </row>
    <row r="162">
      <c r="A162" s="250" t="s">
        <v>4748</v>
      </c>
      <c r="B162" s="250" t="s">
        <v>4735</v>
      </c>
      <c r="C162" s="250" t="s">
        <v>4119</v>
      </c>
      <c r="D162" s="271"/>
      <c r="E162" s="269">
        <v>0.18819444444444444</v>
      </c>
      <c r="F162" s="268">
        <v>1.3180555555555555</v>
      </c>
      <c r="G162" s="268">
        <v>1.1729166666666666</v>
      </c>
      <c r="H162" s="268">
        <v>1.36875</v>
      </c>
      <c r="I162" s="270"/>
    </row>
    <row r="163">
      <c r="A163" s="250" t="s">
        <v>4748</v>
      </c>
      <c r="B163" s="250" t="s">
        <v>4730</v>
      </c>
      <c r="C163" s="250" t="s">
        <v>4607</v>
      </c>
      <c r="D163" s="269">
        <v>0.9888888888888889</v>
      </c>
      <c r="E163" s="269">
        <v>0.9805555555555555</v>
      </c>
      <c r="F163" s="268">
        <v>1.0784722222222223</v>
      </c>
      <c r="G163" s="268">
        <v>1.0527777777777778</v>
      </c>
      <c r="H163" s="270"/>
      <c r="I163" s="270"/>
    </row>
    <row r="164">
      <c r="A164" s="250" t="s">
        <v>4748</v>
      </c>
      <c r="B164" s="250" t="s">
        <v>4733</v>
      </c>
      <c r="C164" s="250" t="s">
        <v>4608</v>
      </c>
      <c r="D164" s="269">
        <v>0.4423611111111111</v>
      </c>
      <c r="E164" s="269">
        <v>0.8645833333333334</v>
      </c>
      <c r="F164" s="268">
        <v>0.8930555555555556</v>
      </c>
      <c r="G164" s="268">
        <v>0.975</v>
      </c>
      <c r="H164" s="270"/>
      <c r="I164" s="270"/>
    </row>
    <row r="165">
      <c r="A165" s="250" t="s">
        <v>4748</v>
      </c>
      <c r="B165" s="250" t="s">
        <v>4737</v>
      </c>
      <c r="C165" s="250" t="s">
        <v>4609</v>
      </c>
      <c r="D165" s="269">
        <v>0.94375</v>
      </c>
      <c r="E165" s="271"/>
      <c r="F165" s="268">
        <v>1.1388888888888888</v>
      </c>
      <c r="G165" s="268">
        <v>0.8388888888888889</v>
      </c>
      <c r="H165" s="270"/>
      <c r="I165" s="270"/>
    </row>
    <row r="166">
      <c r="A166" s="250" t="s">
        <v>4748</v>
      </c>
      <c r="B166" s="250" t="s">
        <v>4736</v>
      </c>
      <c r="C166" s="250" t="s">
        <v>4202</v>
      </c>
      <c r="D166" s="269">
        <v>0.6979166666666666</v>
      </c>
      <c r="E166" s="269">
        <v>0.6805555555555556</v>
      </c>
      <c r="F166" s="268">
        <v>0.4875</v>
      </c>
      <c r="G166" s="268">
        <v>0.7270833333333333</v>
      </c>
      <c r="H166" s="268">
        <v>0.9340277777777778</v>
      </c>
      <c r="I166" s="270"/>
    </row>
    <row r="167">
      <c r="A167" s="250" t="s">
        <v>4748</v>
      </c>
      <c r="B167" s="250" t="s">
        <v>4730</v>
      </c>
      <c r="C167" s="250" t="s">
        <v>4610</v>
      </c>
      <c r="D167" s="269">
        <v>0.5756944444444444</v>
      </c>
      <c r="E167" s="269">
        <v>0.47430555555555554</v>
      </c>
      <c r="F167" s="268">
        <v>0.45694444444444443</v>
      </c>
      <c r="G167" s="270"/>
      <c r="H167" s="270"/>
      <c r="I167" s="270"/>
    </row>
    <row r="168">
      <c r="A168" s="250" t="s">
        <v>4748</v>
      </c>
      <c r="B168" s="250" t="s">
        <v>4736</v>
      </c>
      <c r="C168" s="250" t="s">
        <v>4611</v>
      </c>
      <c r="D168" s="269">
        <v>0.5326388888888889</v>
      </c>
      <c r="E168" s="269">
        <v>0.8006944444444445</v>
      </c>
      <c r="F168" s="268">
        <v>1.1513888888888888</v>
      </c>
      <c r="G168" s="270"/>
      <c r="H168" s="270"/>
      <c r="I168" s="270"/>
    </row>
    <row r="169">
      <c r="A169" s="250" t="s">
        <v>4748</v>
      </c>
      <c r="B169" s="250" t="s">
        <v>4732</v>
      </c>
      <c r="C169" s="250" t="s">
        <v>4612</v>
      </c>
      <c r="D169" s="269">
        <v>0.7986111111111112</v>
      </c>
      <c r="E169" s="271"/>
      <c r="F169" s="268">
        <v>0.6076388888888888</v>
      </c>
      <c r="G169" s="270"/>
      <c r="H169" s="270"/>
      <c r="I169" s="270"/>
    </row>
    <row r="170">
      <c r="A170" s="250" t="s">
        <v>4748</v>
      </c>
      <c r="B170" s="250" t="s">
        <v>4738</v>
      </c>
      <c r="C170" s="250" t="s">
        <v>4613</v>
      </c>
      <c r="D170" s="269">
        <v>1.7555555555555555</v>
      </c>
      <c r="E170" s="269">
        <v>1.9409722222222223</v>
      </c>
      <c r="F170" s="268">
        <v>1.7645833333333334</v>
      </c>
      <c r="G170" s="270"/>
      <c r="H170" s="270"/>
      <c r="I170" s="270"/>
    </row>
    <row r="171">
      <c r="A171" s="250" t="s">
        <v>4748</v>
      </c>
      <c r="B171" s="250" t="s">
        <v>4738</v>
      </c>
      <c r="C171" s="250" t="s">
        <v>4614</v>
      </c>
      <c r="D171" s="269">
        <v>1.08125</v>
      </c>
      <c r="E171" s="269">
        <v>0.7770833333333333</v>
      </c>
      <c r="F171" s="268">
        <v>0.8569444444444444</v>
      </c>
      <c r="G171" s="270"/>
      <c r="H171" s="270"/>
      <c r="I171" s="270"/>
    </row>
    <row r="172">
      <c r="A172" s="250" t="s">
        <v>4748</v>
      </c>
      <c r="B172" s="250" t="s">
        <v>4735</v>
      </c>
      <c r="C172" s="250" t="s">
        <v>4615</v>
      </c>
      <c r="D172" s="269">
        <v>0.9361111111111111</v>
      </c>
      <c r="E172" s="269">
        <v>1.0298611111111111</v>
      </c>
      <c r="F172" s="268">
        <v>1.5430555555555556</v>
      </c>
      <c r="G172" s="270"/>
      <c r="H172" s="270"/>
      <c r="I172" s="270"/>
    </row>
    <row r="173">
      <c r="A173" s="250" t="s">
        <v>4748</v>
      </c>
      <c r="B173" s="250" t="s">
        <v>4735</v>
      </c>
      <c r="C173" s="250" t="s">
        <v>4616</v>
      </c>
      <c r="D173" s="269">
        <v>0.8916666666666667</v>
      </c>
      <c r="E173" s="269">
        <v>1.09375</v>
      </c>
      <c r="F173" s="268">
        <v>1.1215277777777777</v>
      </c>
      <c r="G173" s="270"/>
      <c r="H173" s="270"/>
      <c r="I173" s="270"/>
    </row>
    <row r="174">
      <c r="A174" s="250" t="s">
        <v>4748</v>
      </c>
      <c r="B174" s="250" t="s">
        <v>4732</v>
      </c>
      <c r="C174" s="250" t="s">
        <v>4617</v>
      </c>
      <c r="D174" s="269">
        <v>1.2826388888888889</v>
      </c>
      <c r="E174" s="271"/>
      <c r="F174" s="268">
        <v>1.0659722222222223</v>
      </c>
      <c r="G174" s="270"/>
      <c r="H174" s="270"/>
      <c r="I174" s="270"/>
    </row>
    <row r="175">
      <c r="A175" s="250" t="s">
        <v>4748</v>
      </c>
      <c r="B175" s="250" t="s">
        <v>4730</v>
      </c>
      <c r="C175" s="250" t="s">
        <v>4618</v>
      </c>
      <c r="D175" s="269">
        <v>1.3708333333333333</v>
      </c>
      <c r="E175" s="269">
        <v>0.9152777777777777</v>
      </c>
      <c r="F175" s="268">
        <v>1.4180555555555556</v>
      </c>
      <c r="G175" s="270"/>
      <c r="H175" s="270"/>
      <c r="I175" s="270"/>
    </row>
    <row r="176">
      <c r="A176" s="250" t="s">
        <v>4748</v>
      </c>
      <c r="B176" s="250" t="s">
        <v>4732</v>
      </c>
      <c r="C176" s="250" t="s">
        <v>4619</v>
      </c>
      <c r="D176" s="269">
        <v>0.85</v>
      </c>
      <c r="E176" s="271"/>
      <c r="F176" s="268">
        <v>0.6618055555555555</v>
      </c>
      <c r="G176" s="270"/>
      <c r="H176" s="270"/>
      <c r="I176" s="270"/>
    </row>
    <row r="177">
      <c r="A177" s="250" t="s">
        <v>4748</v>
      </c>
      <c r="B177" s="250" t="s">
        <v>4731</v>
      </c>
      <c r="C177" s="250" t="s">
        <v>4620</v>
      </c>
      <c r="D177" s="269">
        <v>1.3555555555555556</v>
      </c>
      <c r="E177" s="269">
        <v>1.648611111111111</v>
      </c>
      <c r="F177" s="268">
        <v>1.3055555555555556</v>
      </c>
      <c r="G177" s="268">
        <v>1.1895833333333334</v>
      </c>
      <c r="H177" s="270"/>
      <c r="I177" s="270"/>
    </row>
    <row r="178">
      <c r="A178" s="250" t="s">
        <v>4748</v>
      </c>
      <c r="B178" s="250" t="s">
        <v>4730</v>
      </c>
      <c r="C178" s="250" t="s">
        <v>4621</v>
      </c>
      <c r="D178" s="269">
        <v>1.2652777777777777</v>
      </c>
      <c r="E178" s="269">
        <v>1.2916666666666667</v>
      </c>
      <c r="F178" s="268">
        <v>1.4694444444444446</v>
      </c>
      <c r="G178" s="270"/>
      <c r="H178" s="270"/>
      <c r="I178" s="270"/>
    </row>
    <row r="179">
      <c r="A179" s="250" t="s">
        <v>4748</v>
      </c>
      <c r="B179" s="250" t="s">
        <v>4734</v>
      </c>
      <c r="C179" s="250" t="s">
        <v>564</v>
      </c>
      <c r="D179" s="269">
        <v>0.6472222222222223</v>
      </c>
      <c r="E179" s="269">
        <v>0.7069444444444445</v>
      </c>
      <c r="F179" s="268">
        <v>1.1895833333333334</v>
      </c>
      <c r="G179" s="270"/>
      <c r="H179" s="270"/>
      <c r="I179" s="270"/>
    </row>
    <row r="180">
      <c r="A180" s="273" t="s">
        <v>4749</v>
      </c>
      <c r="B180" s="273" t="s">
        <v>4737</v>
      </c>
      <c r="C180" s="273" t="s">
        <v>4667</v>
      </c>
      <c r="D180" s="272">
        <v>0.7583333333333333</v>
      </c>
      <c r="E180" s="272">
        <v>0.39166666666666666</v>
      </c>
      <c r="F180" s="272">
        <v>1.3756944444444446</v>
      </c>
      <c r="G180" s="275"/>
      <c r="H180" s="275"/>
      <c r="I180" s="275"/>
      <c r="J180" s="210"/>
      <c r="K180" s="210"/>
      <c r="L180" s="210"/>
    </row>
    <row r="181">
      <c r="A181" s="273" t="s">
        <v>4749</v>
      </c>
      <c r="B181" s="273" t="s">
        <v>4737</v>
      </c>
      <c r="C181" s="273" t="s">
        <v>4669</v>
      </c>
      <c r="D181" s="272">
        <v>1.4125</v>
      </c>
      <c r="E181" s="272">
        <v>0.7791666666666667</v>
      </c>
      <c r="F181" s="272">
        <v>0.8722222222222222</v>
      </c>
      <c r="G181" s="272">
        <v>0.9152777777777777</v>
      </c>
      <c r="H181" s="272">
        <v>1.0222222222222221</v>
      </c>
      <c r="I181" s="275"/>
      <c r="J181" s="210"/>
      <c r="K181" s="210"/>
      <c r="L181" s="210"/>
    </row>
    <row r="182">
      <c r="A182" s="273" t="s">
        <v>4749</v>
      </c>
      <c r="B182" s="273" t="s">
        <v>4732</v>
      </c>
      <c r="C182" s="273" t="s">
        <v>4670</v>
      </c>
      <c r="D182" s="272">
        <v>1.6208333333333333</v>
      </c>
      <c r="E182" s="272">
        <v>1.5847222222222221</v>
      </c>
      <c r="F182" s="275"/>
      <c r="G182" s="275"/>
      <c r="H182" s="275"/>
      <c r="I182" s="275"/>
      <c r="J182" s="210"/>
      <c r="K182" s="210"/>
      <c r="L182" s="210"/>
    </row>
    <row r="183">
      <c r="A183" s="273" t="s">
        <v>4749</v>
      </c>
      <c r="B183" s="273" t="s">
        <v>4736</v>
      </c>
      <c r="C183" s="273" t="s">
        <v>3762</v>
      </c>
      <c r="D183" s="275"/>
      <c r="E183" s="272">
        <v>2.3159722222222223</v>
      </c>
      <c r="F183" s="272">
        <v>2.41875</v>
      </c>
      <c r="G183" s="272">
        <v>2.1909722222222223</v>
      </c>
      <c r="H183" s="272">
        <v>1.6305555555555555</v>
      </c>
      <c r="I183" s="272">
        <v>1.1666666666666667</v>
      </c>
      <c r="J183" s="210"/>
      <c r="K183" s="210"/>
      <c r="L183" s="210"/>
    </row>
    <row r="184">
      <c r="A184" s="273" t="s">
        <v>4749</v>
      </c>
      <c r="B184" s="273" t="s">
        <v>4738</v>
      </c>
      <c r="C184" s="273" t="s">
        <v>4671</v>
      </c>
      <c r="D184" s="272">
        <v>0.9458333333333333</v>
      </c>
      <c r="E184" s="272">
        <v>1.0541666666666667</v>
      </c>
      <c r="F184" s="272">
        <v>0.9465277777777777</v>
      </c>
      <c r="G184" s="275"/>
      <c r="H184" s="275"/>
      <c r="I184" s="275"/>
      <c r="J184" s="210"/>
      <c r="K184" s="210"/>
      <c r="L184" s="210"/>
    </row>
    <row r="185">
      <c r="A185" s="273" t="s">
        <v>4749</v>
      </c>
      <c r="B185" s="273" t="s">
        <v>4732</v>
      </c>
      <c r="C185" s="273" t="s">
        <v>4672</v>
      </c>
      <c r="D185" s="275"/>
      <c r="E185" s="272">
        <v>2.3229166666666665</v>
      </c>
      <c r="F185" s="272">
        <v>1.554861111111111</v>
      </c>
      <c r="G185" s="275"/>
      <c r="H185" s="275"/>
      <c r="I185" s="275"/>
      <c r="J185" s="210"/>
      <c r="K185" s="210"/>
      <c r="L185" s="210"/>
    </row>
    <row r="186">
      <c r="A186" s="273" t="s">
        <v>4749</v>
      </c>
      <c r="B186" s="273" t="s">
        <v>4732</v>
      </c>
      <c r="C186" s="273" t="s">
        <v>4673</v>
      </c>
      <c r="D186" s="272">
        <v>1.9965277777777777</v>
      </c>
      <c r="E186" s="275"/>
      <c r="F186" s="272">
        <v>1.582638888888889</v>
      </c>
      <c r="G186" s="275"/>
      <c r="H186" s="275"/>
      <c r="I186" s="275"/>
      <c r="J186" s="210"/>
      <c r="K186" s="210"/>
      <c r="L186" s="210"/>
    </row>
    <row r="187">
      <c r="A187" s="273" t="s">
        <v>4749</v>
      </c>
      <c r="B187" s="273" t="s">
        <v>4735</v>
      </c>
      <c r="C187" s="273" t="s">
        <v>3820</v>
      </c>
      <c r="D187" s="210"/>
      <c r="E187" s="272">
        <v>0.9597222222222223</v>
      </c>
      <c r="F187" s="272">
        <v>1.4840277777777777</v>
      </c>
      <c r="G187" s="272">
        <v>1.0618055555555554</v>
      </c>
      <c r="H187" s="272">
        <v>1.2347222222222223</v>
      </c>
      <c r="I187" s="275"/>
      <c r="J187" s="210"/>
      <c r="K187" s="210"/>
      <c r="L187" s="210"/>
    </row>
    <row r="188">
      <c r="A188" s="250" t="s">
        <v>4750</v>
      </c>
      <c r="B188" s="250" t="s">
        <v>4732</v>
      </c>
      <c r="C188" s="250" t="s">
        <v>4622</v>
      </c>
      <c r="D188" s="269">
        <v>1.4125</v>
      </c>
      <c r="E188" s="271"/>
      <c r="F188" s="268">
        <v>1.2722222222222221</v>
      </c>
      <c r="G188" s="270"/>
      <c r="H188" s="270"/>
      <c r="I188" s="270"/>
    </row>
    <row r="189">
      <c r="A189" s="250" t="s">
        <v>4750</v>
      </c>
      <c r="B189" s="250" t="s">
        <v>4732</v>
      </c>
      <c r="C189" s="250" t="s">
        <v>4623</v>
      </c>
      <c r="D189" s="269">
        <v>1.2895833333333333</v>
      </c>
      <c r="E189" s="271"/>
      <c r="F189" s="268">
        <v>0.8493055555555555</v>
      </c>
      <c r="G189" s="270"/>
      <c r="H189" s="270"/>
      <c r="I189" s="270"/>
    </row>
    <row r="190">
      <c r="A190" s="250" t="s">
        <v>4750</v>
      </c>
      <c r="B190" s="250" t="s">
        <v>4734</v>
      </c>
      <c r="C190" s="250" t="s">
        <v>4624</v>
      </c>
      <c r="D190" s="269">
        <v>1.3076388888888888</v>
      </c>
      <c r="E190" s="269">
        <v>1.804861111111111</v>
      </c>
      <c r="F190" s="268">
        <v>1.1041666666666667</v>
      </c>
      <c r="G190" s="270"/>
      <c r="H190" s="270"/>
      <c r="I190" s="270"/>
    </row>
    <row r="191">
      <c r="A191" s="250" t="s">
        <v>4750</v>
      </c>
      <c r="B191" s="250" t="s">
        <v>4734</v>
      </c>
      <c r="C191" s="250" t="s">
        <v>4625</v>
      </c>
      <c r="D191" s="269">
        <v>0.8694444444444445</v>
      </c>
      <c r="E191" s="269">
        <v>0.7694444444444445</v>
      </c>
      <c r="F191" s="268">
        <v>0.9166666666666666</v>
      </c>
      <c r="G191" s="270"/>
      <c r="H191" s="270"/>
      <c r="I191" s="270"/>
    </row>
    <row r="192">
      <c r="A192" s="250" t="s">
        <v>4750</v>
      </c>
      <c r="B192" s="250" t="s">
        <v>4738</v>
      </c>
      <c r="C192" s="250" t="s">
        <v>3706</v>
      </c>
      <c r="D192" s="271"/>
      <c r="E192" s="269">
        <v>0.5034722222222222</v>
      </c>
      <c r="F192" s="268">
        <v>1.2097222222222221</v>
      </c>
      <c r="G192" s="268">
        <v>1.2729166666666667</v>
      </c>
      <c r="H192" s="268">
        <v>2.1243055555555554</v>
      </c>
      <c r="I192" s="270"/>
    </row>
    <row r="193">
      <c r="A193" s="250" t="s">
        <v>4750</v>
      </c>
      <c r="B193" s="250" t="s">
        <v>4733</v>
      </c>
      <c r="C193" s="250" t="s">
        <v>4626</v>
      </c>
      <c r="D193" s="269">
        <v>1.6409722222222223</v>
      </c>
      <c r="E193" s="269">
        <v>1.4645833333333333</v>
      </c>
      <c r="F193" s="268">
        <v>1.5472222222222223</v>
      </c>
      <c r="G193" s="270"/>
      <c r="H193" s="270"/>
      <c r="I193" s="270"/>
    </row>
    <row r="194">
      <c r="A194" s="250" t="s">
        <v>4750</v>
      </c>
      <c r="B194" s="250" t="s">
        <v>4732</v>
      </c>
      <c r="C194" s="250" t="s">
        <v>4627</v>
      </c>
      <c r="D194" s="269">
        <v>1.4013888888888888</v>
      </c>
      <c r="E194" s="271"/>
      <c r="F194" s="268">
        <v>1.0930555555555554</v>
      </c>
      <c r="G194" s="270"/>
      <c r="H194" s="270"/>
      <c r="I194" s="270"/>
    </row>
    <row r="195">
      <c r="A195" s="250" t="s">
        <v>4750</v>
      </c>
      <c r="B195" s="250" t="s">
        <v>4730</v>
      </c>
      <c r="C195" s="250" t="s">
        <v>3712</v>
      </c>
      <c r="D195" s="269">
        <v>0.90625</v>
      </c>
      <c r="E195" s="269">
        <v>1.3166666666666667</v>
      </c>
      <c r="F195" s="268">
        <v>1.2256944444444444</v>
      </c>
      <c r="G195" s="268">
        <v>1.261111111111111</v>
      </c>
      <c r="H195" s="270"/>
      <c r="I195" s="270"/>
    </row>
    <row r="196">
      <c r="A196" s="250" t="s">
        <v>4750</v>
      </c>
      <c r="B196" s="250" t="s">
        <v>4736</v>
      </c>
      <c r="C196" s="250" t="s">
        <v>4628</v>
      </c>
      <c r="D196" s="269">
        <v>0.6881944444444444</v>
      </c>
      <c r="E196" s="269">
        <v>0.8840277777777777</v>
      </c>
      <c r="F196" s="268">
        <v>0.8416666666666667</v>
      </c>
      <c r="G196" s="270"/>
      <c r="H196" s="270"/>
      <c r="I196" s="270"/>
    </row>
    <row r="197">
      <c r="A197" s="250" t="s">
        <v>4750</v>
      </c>
      <c r="B197" s="250" t="s">
        <v>4731</v>
      </c>
      <c r="C197" s="250" t="s">
        <v>4629</v>
      </c>
      <c r="D197" s="271"/>
      <c r="E197" s="269">
        <v>1.4854166666666666</v>
      </c>
      <c r="F197" s="268">
        <v>0.8847222222222222</v>
      </c>
      <c r="G197" s="268">
        <v>1.5368055555555555</v>
      </c>
      <c r="H197" s="270"/>
      <c r="I197" s="270"/>
    </row>
    <row r="198">
      <c r="A198" s="250" t="s">
        <v>4751</v>
      </c>
      <c r="B198" s="250" t="s">
        <v>4732</v>
      </c>
      <c r="C198" s="250" t="s">
        <v>4630</v>
      </c>
      <c r="D198" s="269">
        <v>0.29930555555555555</v>
      </c>
      <c r="E198" s="271"/>
      <c r="F198" s="268">
        <v>1.0145833333333334</v>
      </c>
      <c r="G198" s="270"/>
      <c r="H198" s="270"/>
      <c r="I198" s="270"/>
    </row>
    <row r="199">
      <c r="A199" s="250" t="s">
        <v>4751</v>
      </c>
      <c r="B199" s="250" t="s">
        <v>4732</v>
      </c>
      <c r="C199" s="250" t="s">
        <v>4631</v>
      </c>
      <c r="D199" s="269">
        <v>1.3972222222222221</v>
      </c>
      <c r="E199" s="271"/>
      <c r="F199" s="268">
        <v>1.0145833333333334</v>
      </c>
      <c r="G199" s="270"/>
      <c r="H199" s="270"/>
      <c r="I199" s="270"/>
    </row>
    <row r="200">
      <c r="A200" s="250" t="s">
        <v>4751</v>
      </c>
      <c r="B200" s="250" t="s">
        <v>4733</v>
      </c>
      <c r="C200" s="250" t="s">
        <v>4632</v>
      </c>
      <c r="D200" s="269">
        <v>1.1840277777777777</v>
      </c>
      <c r="E200" s="269">
        <v>0.9243055555555556</v>
      </c>
      <c r="F200" s="268">
        <v>0.6805555555555556</v>
      </c>
      <c r="G200" s="270"/>
      <c r="H200" s="270"/>
      <c r="I200" s="270"/>
    </row>
    <row r="201">
      <c r="A201" s="250" t="s">
        <v>4751</v>
      </c>
      <c r="B201" s="250" t="s">
        <v>4733</v>
      </c>
      <c r="C201" s="250" t="s">
        <v>4633</v>
      </c>
      <c r="D201" s="269">
        <v>1.5097222222222222</v>
      </c>
      <c r="E201" s="269">
        <v>1.5868055555555556</v>
      </c>
      <c r="F201" s="268">
        <v>1.3375</v>
      </c>
      <c r="G201" s="270"/>
      <c r="H201" s="270"/>
      <c r="I201" s="270"/>
    </row>
    <row r="202">
      <c r="A202" s="250" t="s">
        <v>4752</v>
      </c>
      <c r="B202" s="250" t="s">
        <v>4735</v>
      </c>
      <c r="C202" s="250" t="s">
        <v>4634</v>
      </c>
      <c r="D202" s="269">
        <v>0.7340277777777777</v>
      </c>
      <c r="E202" s="269">
        <v>0.7597222222222222</v>
      </c>
      <c r="F202" s="268">
        <v>0.36875</v>
      </c>
      <c r="G202" s="270"/>
      <c r="H202" s="270"/>
      <c r="I202" s="270"/>
    </row>
    <row r="203">
      <c r="A203" s="250" t="s">
        <v>4752</v>
      </c>
      <c r="B203" s="250" t="s">
        <v>4732</v>
      </c>
      <c r="C203" s="250" t="s">
        <v>4635</v>
      </c>
      <c r="D203" s="269">
        <v>1.332638888888889</v>
      </c>
      <c r="E203" s="271"/>
      <c r="F203" s="268">
        <v>1.0875</v>
      </c>
      <c r="G203" s="270"/>
      <c r="H203" s="270"/>
      <c r="I203" s="270"/>
    </row>
    <row r="204">
      <c r="A204" s="250" t="s">
        <v>4752</v>
      </c>
      <c r="B204" s="250" t="s">
        <v>4732</v>
      </c>
      <c r="C204" s="250" t="s">
        <v>4636</v>
      </c>
      <c r="E204" s="269">
        <v>1.1659722222222222</v>
      </c>
      <c r="F204" s="268">
        <v>0.4236111111111111</v>
      </c>
      <c r="G204" s="270"/>
      <c r="H204" s="270"/>
      <c r="I204" s="270"/>
    </row>
    <row r="205">
      <c r="A205" s="250" t="s">
        <v>4752</v>
      </c>
      <c r="B205" s="250" t="s">
        <v>4732</v>
      </c>
      <c r="C205" s="250" t="s">
        <v>4637</v>
      </c>
      <c r="D205" s="269">
        <v>1.5055555555555555</v>
      </c>
      <c r="E205" s="271"/>
      <c r="F205" s="268">
        <v>1.4472222222222222</v>
      </c>
      <c r="G205" s="270"/>
      <c r="H205" s="270"/>
      <c r="I205" s="270"/>
    </row>
    <row r="206">
      <c r="A206" s="250" t="s">
        <v>4752</v>
      </c>
      <c r="B206" s="250" t="s">
        <v>4732</v>
      </c>
      <c r="C206" s="250" t="s">
        <v>4638</v>
      </c>
      <c r="D206" s="269">
        <v>0.6694444444444444</v>
      </c>
      <c r="E206" s="271"/>
      <c r="F206" s="268">
        <v>1.7465277777777777</v>
      </c>
      <c r="G206" s="270"/>
      <c r="H206" s="270"/>
      <c r="I206" s="270"/>
    </row>
    <row r="207">
      <c r="A207" s="250" t="s">
        <v>4752</v>
      </c>
      <c r="B207" s="250" t="s">
        <v>4733</v>
      </c>
      <c r="C207" s="250" t="s">
        <v>4639</v>
      </c>
      <c r="D207" s="269">
        <v>0.9861111111111112</v>
      </c>
      <c r="E207" s="269">
        <v>0.8611111111111112</v>
      </c>
      <c r="F207" s="268">
        <v>1.0444444444444445</v>
      </c>
      <c r="G207" s="270"/>
      <c r="H207" s="270"/>
      <c r="I207" s="270"/>
    </row>
    <row r="208">
      <c r="A208" s="250" t="s">
        <v>4752</v>
      </c>
      <c r="B208" s="250" t="s">
        <v>4735</v>
      </c>
      <c r="C208" s="250" t="s">
        <v>4640</v>
      </c>
      <c r="D208" s="269">
        <v>1.8645833333333333</v>
      </c>
      <c r="E208" s="269">
        <v>1.1034722222222222</v>
      </c>
      <c r="F208" s="268">
        <v>1.788888888888889</v>
      </c>
      <c r="G208" s="270"/>
      <c r="H208" s="270"/>
      <c r="I208" s="270"/>
    </row>
    <row r="209">
      <c r="A209" s="250" t="s">
        <v>4752</v>
      </c>
      <c r="B209" s="250" t="s">
        <v>4732</v>
      </c>
      <c r="C209" s="250" t="s">
        <v>4641</v>
      </c>
      <c r="D209" s="269">
        <v>1.8944444444444444</v>
      </c>
      <c r="E209" s="271"/>
      <c r="F209" s="268">
        <v>1.4777777777777779</v>
      </c>
      <c r="G209" s="270"/>
      <c r="H209" s="270"/>
      <c r="I209" s="270"/>
    </row>
    <row r="210">
      <c r="A210" s="250" t="s">
        <v>4752</v>
      </c>
      <c r="B210" s="250" t="s">
        <v>4732</v>
      </c>
      <c r="C210" s="250" t="s">
        <v>4642</v>
      </c>
      <c r="D210" s="269">
        <v>0.6027777777777777</v>
      </c>
      <c r="E210" s="271"/>
      <c r="F210" s="268">
        <v>0.5763888888888888</v>
      </c>
      <c r="G210" s="270"/>
      <c r="H210" s="270"/>
      <c r="I210" s="270"/>
    </row>
    <row r="211">
      <c r="A211" s="250" t="s">
        <v>4752</v>
      </c>
      <c r="B211" s="250" t="s">
        <v>4732</v>
      </c>
      <c r="C211" s="250" t="s">
        <v>4643</v>
      </c>
      <c r="D211" s="269">
        <v>0.64375</v>
      </c>
      <c r="E211" s="271"/>
      <c r="F211" s="268">
        <v>0.6013888888888889</v>
      </c>
      <c r="G211" s="270"/>
      <c r="H211" s="270"/>
      <c r="I211" s="270"/>
    </row>
    <row r="212">
      <c r="A212" s="250" t="s">
        <v>4752</v>
      </c>
      <c r="B212" s="250" t="s">
        <v>4730</v>
      </c>
      <c r="C212" s="250" t="s">
        <v>393</v>
      </c>
      <c r="D212" s="269">
        <v>0.7993055555555556</v>
      </c>
      <c r="E212" s="268">
        <v>0.7194444444444444</v>
      </c>
      <c r="F212" s="268">
        <v>0.9131944444444444</v>
      </c>
      <c r="G212" s="270"/>
      <c r="H212" s="270"/>
      <c r="I212" s="270"/>
    </row>
    <row r="213">
      <c r="A213" s="250" t="s">
        <v>4752</v>
      </c>
      <c r="B213" s="250" t="s">
        <v>4732</v>
      </c>
      <c r="C213" s="250" t="s">
        <v>4644</v>
      </c>
      <c r="D213" s="268">
        <v>1.15625</v>
      </c>
      <c r="E213" s="271"/>
      <c r="F213" s="269">
        <v>1.13125</v>
      </c>
      <c r="G213" s="270"/>
      <c r="H213" s="270"/>
      <c r="I213" s="270"/>
    </row>
    <row r="214">
      <c r="A214" s="250" t="s">
        <v>4752</v>
      </c>
      <c r="B214" s="250" t="s">
        <v>4734</v>
      </c>
      <c r="C214" s="250" t="s">
        <v>4645</v>
      </c>
      <c r="D214" s="269">
        <v>0.9847222222222223</v>
      </c>
      <c r="E214" s="271"/>
      <c r="F214" s="270"/>
      <c r="G214" s="270"/>
      <c r="H214" s="268">
        <v>0.9229166666666667</v>
      </c>
      <c r="I214" s="268">
        <v>1.1729166666666666</v>
      </c>
    </row>
    <row r="215">
      <c r="A215" s="250" t="s">
        <v>4752</v>
      </c>
      <c r="B215" s="250" t="s">
        <v>4732</v>
      </c>
      <c r="C215" s="250" t="s">
        <v>4646</v>
      </c>
      <c r="D215" s="269">
        <v>0.49444444444444446</v>
      </c>
      <c r="E215" s="271"/>
      <c r="F215" s="268">
        <v>0.5979166666666667</v>
      </c>
      <c r="G215" s="270"/>
      <c r="H215" s="270"/>
      <c r="I215" s="270"/>
    </row>
    <row r="216">
      <c r="A216" s="250" t="s">
        <v>4752</v>
      </c>
      <c r="B216" s="250" t="s">
        <v>4732</v>
      </c>
      <c r="C216" s="250" t="s">
        <v>4647</v>
      </c>
      <c r="D216" s="269">
        <v>1.3215277777777779</v>
      </c>
      <c r="E216" s="271"/>
      <c r="F216" s="268">
        <v>1.7625</v>
      </c>
      <c r="G216" s="270"/>
      <c r="H216" s="270"/>
      <c r="I216" s="270"/>
    </row>
    <row r="217">
      <c r="A217" s="250" t="s">
        <v>4752</v>
      </c>
      <c r="B217" s="250" t="s">
        <v>4736</v>
      </c>
      <c r="C217" s="250" t="s">
        <v>4648</v>
      </c>
      <c r="D217" s="271"/>
      <c r="E217" s="269">
        <v>0.7027777777777777</v>
      </c>
      <c r="F217" s="270"/>
      <c r="G217" s="270"/>
      <c r="H217" s="270"/>
      <c r="I217" s="270"/>
    </row>
    <row r="218">
      <c r="A218" s="250" t="s">
        <v>4752</v>
      </c>
      <c r="B218" s="250" t="s">
        <v>4736</v>
      </c>
      <c r="C218" s="250" t="s">
        <v>4650</v>
      </c>
      <c r="D218" s="269">
        <v>1.6708333333333334</v>
      </c>
      <c r="E218" s="269">
        <v>1.0708333333333333</v>
      </c>
      <c r="F218" s="268">
        <v>0.8263888888888888</v>
      </c>
      <c r="G218" s="270"/>
      <c r="H218" s="270"/>
      <c r="I218" s="270"/>
    </row>
    <row r="219">
      <c r="A219" s="250" t="s">
        <v>4752</v>
      </c>
      <c r="B219" s="250" t="s">
        <v>4734</v>
      </c>
      <c r="C219" s="250" t="s">
        <v>4651</v>
      </c>
      <c r="D219" s="269">
        <v>1.0375</v>
      </c>
      <c r="E219" s="269">
        <v>0.8756944444444444</v>
      </c>
      <c r="F219" s="268">
        <v>0.7930555555555555</v>
      </c>
      <c r="G219" s="270"/>
      <c r="H219" s="270"/>
      <c r="I219" s="270"/>
    </row>
    <row r="220">
      <c r="A220" s="250" t="s">
        <v>4752</v>
      </c>
      <c r="B220" s="250" t="s">
        <v>4733</v>
      </c>
      <c r="C220" s="250" t="s">
        <v>4652</v>
      </c>
      <c r="D220" s="269">
        <v>0.5826388888888889</v>
      </c>
      <c r="E220" s="269">
        <v>0.6354166666666666</v>
      </c>
      <c r="F220" s="268">
        <v>0.65</v>
      </c>
      <c r="G220" s="270"/>
      <c r="H220" s="270"/>
      <c r="I220" s="270"/>
    </row>
    <row r="221">
      <c r="A221" s="250" t="s">
        <v>4752</v>
      </c>
      <c r="B221" s="250" t="s">
        <v>4733</v>
      </c>
      <c r="C221" s="250" t="s">
        <v>4653</v>
      </c>
      <c r="D221" s="269">
        <v>0.7881944444444444</v>
      </c>
      <c r="E221" s="269">
        <v>0.54375</v>
      </c>
      <c r="F221" s="268">
        <v>0.4979166666666667</v>
      </c>
      <c r="G221" s="270"/>
      <c r="H221" s="270"/>
      <c r="I221" s="270"/>
    </row>
    <row r="222">
      <c r="A222" s="250" t="s">
        <v>4752</v>
      </c>
      <c r="B222" s="250" t="s">
        <v>4731</v>
      </c>
      <c r="C222" s="250" t="s">
        <v>4654</v>
      </c>
      <c r="D222" s="269">
        <v>1.9381944444444446</v>
      </c>
      <c r="E222" s="269">
        <v>1.4777777777777779</v>
      </c>
      <c r="F222" s="268">
        <v>1.5395833333333333</v>
      </c>
      <c r="G222" s="270"/>
      <c r="H222" s="270"/>
      <c r="I222" s="270"/>
    </row>
    <row r="223">
      <c r="A223" s="250" t="s">
        <v>4753</v>
      </c>
      <c r="B223" s="250" t="s">
        <v>4734</v>
      </c>
      <c r="C223" s="250" t="s">
        <v>4655</v>
      </c>
      <c r="D223" s="269">
        <v>1.2618055555555556</v>
      </c>
      <c r="E223" s="269">
        <v>1.3270833333333334</v>
      </c>
      <c r="F223" s="268">
        <v>0.9402777777777778</v>
      </c>
      <c r="G223" s="270"/>
      <c r="H223" s="270"/>
      <c r="I223" s="270"/>
    </row>
    <row r="224">
      <c r="A224" s="250" t="s">
        <v>4753</v>
      </c>
      <c r="B224" s="250" t="s">
        <v>4734</v>
      </c>
      <c r="C224" s="250" t="s">
        <v>4656</v>
      </c>
      <c r="D224" s="269">
        <v>1.2451388888888888</v>
      </c>
      <c r="E224" s="269">
        <v>1.3486111111111112</v>
      </c>
      <c r="F224" s="268">
        <v>1.78125</v>
      </c>
      <c r="G224" s="270"/>
      <c r="H224" s="270"/>
      <c r="I224" s="270"/>
    </row>
    <row r="225">
      <c r="A225" s="250" t="s">
        <v>4753</v>
      </c>
      <c r="B225" s="250" t="s">
        <v>4732</v>
      </c>
      <c r="C225" s="250" t="s">
        <v>4657</v>
      </c>
      <c r="D225" s="269">
        <v>1.0895833333333333</v>
      </c>
      <c r="E225" s="271"/>
      <c r="F225" s="268">
        <v>1.1736111111111112</v>
      </c>
      <c r="G225" s="270"/>
      <c r="H225" s="270"/>
      <c r="I225" s="270"/>
    </row>
    <row r="226">
      <c r="A226" s="250" t="s">
        <v>4753</v>
      </c>
      <c r="B226" s="250" t="s">
        <v>4738</v>
      </c>
      <c r="C226" s="250" t="s">
        <v>4658</v>
      </c>
      <c r="D226" s="269">
        <v>1.5756944444444445</v>
      </c>
      <c r="E226" s="269">
        <v>1.4618055555555556</v>
      </c>
      <c r="F226" s="268">
        <v>0.6416666666666667</v>
      </c>
      <c r="G226" s="268">
        <v>1.7208333333333334</v>
      </c>
      <c r="H226" s="270"/>
      <c r="I226" s="270"/>
    </row>
    <row r="227">
      <c r="A227" s="250" t="s">
        <v>4753</v>
      </c>
      <c r="B227" s="250" t="s">
        <v>4731</v>
      </c>
      <c r="C227" s="250" t="s">
        <v>4659</v>
      </c>
      <c r="D227" s="269">
        <v>1.06875</v>
      </c>
      <c r="E227" s="269">
        <v>0.4965277777777778</v>
      </c>
      <c r="F227" s="269">
        <v>0.4965277777777778</v>
      </c>
      <c r="G227" s="270"/>
      <c r="H227" s="268">
        <v>0.5541666666666667</v>
      </c>
      <c r="I227" s="270"/>
    </row>
    <row r="228">
      <c r="A228" s="250" t="s">
        <v>4753</v>
      </c>
      <c r="B228" s="250" t="s">
        <v>4731</v>
      </c>
      <c r="C228" s="250" t="s">
        <v>4660</v>
      </c>
      <c r="D228" s="269">
        <v>0.8743055555555556</v>
      </c>
      <c r="E228" s="269">
        <v>0.6916666666666667</v>
      </c>
      <c r="F228" s="268">
        <v>0.5375</v>
      </c>
      <c r="G228" s="270"/>
      <c r="H228" s="268">
        <v>0.8805555555555555</v>
      </c>
      <c r="I228" s="270"/>
    </row>
    <row r="229">
      <c r="A229" s="250" t="s">
        <v>4754</v>
      </c>
      <c r="B229" s="250" t="s">
        <v>4737</v>
      </c>
      <c r="C229" s="250" t="s">
        <v>4661</v>
      </c>
      <c r="D229" s="269">
        <v>0.7652777777777777</v>
      </c>
      <c r="E229" s="269">
        <v>0.4909722222222222</v>
      </c>
      <c r="F229" s="268">
        <v>0.5277777777777778</v>
      </c>
      <c r="G229" s="270"/>
      <c r="H229" s="270"/>
      <c r="I229" s="270"/>
    </row>
    <row r="230">
      <c r="A230" s="250" t="s">
        <v>4754</v>
      </c>
      <c r="B230" s="250" t="s">
        <v>4733</v>
      </c>
      <c r="C230" s="250" t="s">
        <v>4662</v>
      </c>
      <c r="D230" s="269">
        <v>1.4388888888888889</v>
      </c>
      <c r="E230" s="269">
        <v>1.2708333333333333</v>
      </c>
      <c r="F230" s="268">
        <v>1.4479166666666667</v>
      </c>
      <c r="G230" s="270"/>
      <c r="H230" s="268">
        <v>1.5590277777777777</v>
      </c>
      <c r="I230" s="270"/>
    </row>
    <row r="231">
      <c r="A231" s="250" t="s">
        <v>4754</v>
      </c>
      <c r="B231" s="250" t="s">
        <v>4732</v>
      </c>
      <c r="C231" s="250" t="s">
        <v>4663</v>
      </c>
      <c r="D231" s="269">
        <v>1.3041666666666667</v>
      </c>
      <c r="E231" s="271"/>
      <c r="F231" s="268">
        <v>1.6111111111111112</v>
      </c>
      <c r="G231" s="270"/>
      <c r="H231" s="270"/>
      <c r="I231" s="270"/>
    </row>
    <row r="232">
      <c r="A232" s="250" t="s">
        <v>4755</v>
      </c>
      <c r="B232" s="250" t="s">
        <v>4736</v>
      </c>
      <c r="C232" s="250" t="s">
        <v>4664</v>
      </c>
      <c r="D232" s="269">
        <v>1.1604166666666667</v>
      </c>
      <c r="E232" s="269">
        <v>0.7020833333333333</v>
      </c>
      <c r="F232" s="268">
        <v>0.8868055555555555</v>
      </c>
      <c r="G232" s="270"/>
      <c r="H232" s="270"/>
      <c r="I232" s="270"/>
    </row>
    <row r="233">
      <c r="A233" s="250" t="s">
        <v>4755</v>
      </c>
      <c r="B233" s="250" t="s">
        <v>4730</v>
      </c>
      <c r="C233" s="250" t="s">
        <v>779</v>
      </c>
      <c r="D233" s="269">
        <v>0.7006944444444444</v>
      </c>
      <c r="E233" s="269">
        <v>0.9756944444444444</v>
      </c>
      <c r="F233" s="272">
        <v>1.7125</v>
      </c>
      <c r="G233" s="270"/>
      <c r="H233" s="270"/>
      <c r="I233" s="270"/>
      <c r="J233" s="276"/>
    </row>
    <row r="234">
      <c r="A234" s="250" t="s">
        <v>4755</v>
      </c>
      <c r="B234" s="250" t="s">
        <v>4732</v>
      </c>
      <c r="C234" s="250" t="s">
        <v>4665</v>
      </c>
      <c r="D234" s="269">
        <v>1.288888888888889</v>
      </c>
      <c r="E234" s="271"/>
      <c r="F234" s="268">
        <v>1.4125</v>
      </c>
      <c r="G234" s="270"/>
      <c r="H234" s="270"/>
      <c r="I234" s="270"/>
    </row>
    <row r="235">
      <c r="A235" s="250" t="s">
        <v>4755</v>
      </c>
      <c r="B235" s="250" t="s">
        <v>4734</v>
      </c>
      <c r="C235" s="250" t="s">
        <v>4666</v>
      </c>
      <c r="D235" s="269">
        <v>0.4131944444444444</v>
      </c>
      <c r="E235" s="269">
        <v>0.275</v>
      </c>
      <c r="F235" s="268">
        <v>0.9965277777777778</v>
      </c>
      <c r="G235" s="270"/>
      <c r="H235" s="270"/>
      <c r="I235" s="270"/>
    </row>
    <row r="236">
      <c r="A236" s="250" t="s">
        <v>4749</v>
      </c>
      <c r="B236" s="250" t="s">
        <v>4737</v>
      </c>
      <c r="C236" s="250" t="s">
        <v>4667</v>
      </c>
      <c r="D236" s="269">
        <v>0.7631944444444444</v>
      </c>
      <c r="E236" s="269">
        <v>0.39166666666666666</v>
      </c>
      <c r="F236" s="268">
        <v>1.3756944444444446</v>
      </c>
      <c r="G236" s="270"/>
      <c r="H236" s="270"/>
      <c r="I236" s="270"/>
    </row>
    <row r="237">
      <c r="A237" s="250" t="s">
        <v>4749</v>
      </c>
      <c r="B237" s="250" t="s">
        <v>4737</v>
      </c>
      <c r="C237" s="250" t="s">
        <v>4669</v>
      </c>
      <c r="D237" s="269">
        <v>1.4125</v>
      </c>
      <c r="E237" s="269">
        <v>0.7791666666666667</v>
      </c>
      <c r="F237" s="268">
        <v>0.8722222222222222</v>
      </c>
      <c r="G237" s="268">
        <v>0.9152777777777777</v>
      </c>
      <c r="H237" s="268">
        <v>1.0222222222222221</v>
      </c>
      <c r="I237" s="270"/>
    </row>
    <row r="238">
      <c r="A238" s="250" t="s">
        <v>4749</v>
      </c>
      <c r="B238" s="250" t="s">
        <v>4732</v>
      </c>
      <c r="C238" s="250" t="s">
        <v>4670</v>
      </c>
      <c r="D238" s="269">
        <v>1.6208333333333333</v>
      </c>
      <c r="E238" s="269">
        <v>1.5847222222222221</v>
      </c>
      <c r="F238" s="270"/>
      <c r="G238" s="270"/>
      <c r="H238" s="270"/>
      <c r="I238" s="270"/>
    </row>
    <row r="239">
      <c r="A239" s="250" t="s">
        <v>4749</v>
      </c>
      <c r="B239" s="250" t="s">
        <v>4736</v>
      </c>
      <c r="C239" s="250" t="s">
        <v>3762</v>
      </c>
      <c r="D239" s="271"/>
      <c r="E239" s="269">
        <v>2.3159722222222223</v>
      </c>
      <c r="F239" s="268">
        <v>2.41875</v>
      </c>
      <c r="G239" s="268">
        <v>2.1909722222222223</v>
      </c>
      <c r="H239" s="268">
        <v>1.6305555555555555</v>
      </c>
      <c r="I239" s="268">
        <v>1.1666666666666667</v>
      </c>
    </row>
    <row r="240">
      <c r="A240" s="250" t="s">
        <v>4749</v>
      </c>
      <c r="B240" s="250" t="s">
        <v>4738</v>
      </c>
      <c r="C240" s="250" t="s">
        <v>4671</v>
      </c>
      <c r="D240" s="269">
        <v>0.9451388888888889</v>
      </c>
      <c r="E240" s="269">
        <v>1.0541666666666667</v>
      </c>
      <c r="F240" s="268">
        <v>0.9465277777777777</v>
      </c>
      <c r="G240" s="270"/>
      <c r="H240" s="270"/>
      <c r="I240" s="270"/>
    </row>
    <row r="241">
      <c r="A241" s="250" t="s">
        <v>4749</v>
      </c>
      <c r="B241" s="250" t="s">
        <v>4732</v>
      </c>
      <c r="C241" s="250" t="s">
        <v>4672</v>
      </c>
      <c r="D241" s="271"/>
      <c r="E241" s="269">
        <v>2.3229166666666665</v>
      </c>
      <c r="F241" s="268">
        <v>1.554861111111111</v>
      </c>
      <c r="G241" s="270"/>
      <c r="H241" s="270"/>
      <c r="I241" s="270"/>
    </row>
    <row r="242">
      <c r="A242" s="250" t="s">
        <v>4749</v>
      </c>
      <c r="B242" s="250" t="s">
        <v>4732</v>
      </c>
      <c r="C242" s="250" t="s">
        <v>4673</v>
      </c>
      <c r="D242" s="269">
        <v>1.9965277777777777</v>
      </c>
      <c r="E242" s="271"/>
      <c r="F242" s="268">
        <v>1.582638888888889</v>
      </c>
      <c r="G242" s="270"/>
      <c r="H242" s="270"/>
      <c r="I242" s="270"/>
    </row>
    <row r="243">
      <c r="A243" s="250" t="s">
        <v>4749</v>
      </c>
      <c r="B243" s="250" t="s">
        <v>4735</v>
      </c>
      <c r="C243" s="250" t="s">
        <v>3820</v>
      </c>
      <c r="D243" s="271"/>
      <c r="E243" s="269">
        <v>0.9597222222222223</v>
      </c>
      <c r="F243" s="268">
        <v>1.4840277777777777</v>
      </c>
      <c r="G243" s="268">
        <v>1.0618055555555554</v>
      </c>
      <c r="H243" s="268">
        <v>1.2347222222222223</v>
      </c>
      <c r="I243" s="270"/>
    </row>
    <row r="244">
      <c r="A244" s="250" t="s">
        <v>4756</v>
      </c>
      <c r="B244" s="250" t="s">
        <v>4732</v>
      </c>
      <c r="C244" s="250" t="s">
        <v>4674</v>
      </c>
      <c r="D244" s="269">
        <v>1.03125</v>
      </c>
      <c r="E244" s="271"/>
      <c r="F244" s="268">
        <v>1.2881944444444444</v>
      </c>
      <c r="G244" s="270"/>
      <c r="H244" s="270"/>
      <c r="I244" s="270"/>
    </row>
    <row r="245">
      <c r="A245" s="250" t="s">
        <v>4756</v>
      </c>
      <c r="B245" s="250" t="s">
        <v>4733</v>
      </c>
      <c r="C245" s="250" t="s">
        <v>4675</v>
      </c>
      <c r="D245" s="269">
        <v>0.8527777777777777</v>
      </c>
      <c r="E245" s="269">
        <v>0.9583333333333334</v>
      </c>
      <c r="F245" s="268">
        <v>0.8375</v>
      </c>
      <c r="G245" s="268">
        <v>1.0194444444444444</v>
      </c>
      <c r="H245" s="268">
        <v>1.2229166666666667</v>
      </c>
      <c r="I245" s="268">
        <v>0.6916666666666667</v>
      </c>
    </row>
    <row r="246">
      <c r="A246" s="250" t="s">
        <v>4756</v>
      </c>
      <c r="B246" s="250" t="s">
        <v>4730</v>
      </c>
      <c r="C246" s="250" t="s">
        <v>4676</v>
      </c>
      <c r="D246" s="269">
        <v>2.852777777777778</v>
      </c>
      <c r="E246" s="269">
        <v>2.5791666666666666</v>
      </c>
      <c r="F246" s="268">
        <v>2.81875</v>
      </c>
      <c r="G246" s="268">
        <v>2.7090277777777776</v>
      </c>
      <c r="H246" s="268">
        <v>0.42986111111111114</v>
      </c>
      <c r="I246" s="268">
        <v>1.7340277777777777</v>
      </c>
    </row>
    <row r="247">
      <c r="A247" s="250" t="s">
        <v>4756</v>
      </c>
      <c r="B247" s="250" t="s">
        <v>4734</v>
      </c>
      <c r="C247" s="250" t="s">
        <v>4677</v>
      </c>
      <c r="D247" s="269">
        <v>1.3027777777777778</v>
      </c>
      <c r="E247" s="269">
        <v>1.4569444444444444</v>
      </c>
      <c r="F247" s="268">
        <v>0.5895833333333333</v>
      </c>
      <c r="G247" s="268">
        <v>1.4402777777777778</v>
      </c>
      <c r="H247" s="268">
        <v>1.5618055555555554</v>
      </c>
      <c r="I247" s="270"/>
    </row>
    <row r="248">
      <c r="A248" s="250" t="s">
        <v>4756</v>
      </c>
      <c r="B248" s="250" t="s">
        <v>4732</v>
      </c>
      <c r="C248" s="250" t="s">
        <v>4678</v>
      </c>
      <c r="D248" s="269">
        <v>0.9340277777777778</v>
      </c>
      <c r="E248" s="271"/>
      <c r="F248" s="268">
        <v>1.1583333333333334</v>
      </c>
      <c r="G248" s="270"/>
      <c r="H248" s="270"/>
      <c r="I248" s="270"/>
    </row>
    <row r="249">
      <c r="A249" s="250" t="s">
        <v>4757</v>
      </c>
      <c r="B249" s="250" t="s">
        <v>4730</v>
      </c>
      <c r="C249" s="250" t="s">
        <v>4679</v>
      </c>
      <c r="D249" s="269">
        <v>1.9305555555555556</v>
      </c>
      <c r="E249" s="269">
        <v>2.198611111111111</v>
      </c>
      <c r="F249" s="268">
        <v>1.7104166666666667</v>
      </c>
      <c r="G249" s="268">
        <v>0.8847222222222222</v>
      </c>
      <c r="H249" s="268">
        <v>1.7104166666666667</v>
      </c>
      <c r="I249" s="270"/>
    </row>
    <row r="250">
      <c r="A250" s="250" t="s">
        <v>4757</v>
      </c>
      <c r="B250" s="250" t="s">
        <v>4735</v>
      </c>
      <c r="C250" s="250" t="s">
        <v>4680</v>
      </c>
      <c r="D250" s="269">
        <v>0.6270833333333333</v>
      </c>
      <c r="E250" s="269">
        <v>0.5736111111111111</v>
      </c>
      <c r="F250" s="268">
        <v>1.070138888888889</v>
      </c>
      <c r="G250" s="270"/>
      <c r="H250" s="270"/>
      <c r="I250" s="270"/>
    </row>
    <row r="251">
      <c r="A251" s="250" t="s">
        <v>4757</v>
      </c>
      <c r="B251" s="250" t="s">
        <v>4738</v>
      </c>
      <c r="C251" s="250" t="s">
        <v>4681</v>
      </c>
      <c r="D251" s="269">
        <v>1.0263888888888888</v>
      </c>
      <c r="E251" s="269">
        <v>0.91875</v>
      </c>
      <c r="F251" s="268">
        <v>0.9131944444444444</v>
      </c>
      <c r="G251" s="270"/>
      <c r="H251" s="270"/>
      <c r="I251" s="270"/>
    </row>
    <row r="252">
      <c r="A252" s="250" t="s">
        <v>4757</v>
      </c>
      <c r="B252" s="250" t="s">
        <v>4737</v>
      </c>
      <c r="C252" s="250" t="s">
        <v>4682</v>
      </c>
      <c r="D252" s="269">
        <v>1.0868055555555556</v>
      </c>
      <c r="E252" s="269">
        <v>1.3604166666666666</v>
      </c>
      <c r="F252" s="268">
        <v>1.0354166666666667</v>
      </c>
      <c r="G252" s="270"/>
      <c r="H252" s="270"/>
      <c r="I252" s="270"/>
    </row>
    <row r="253">
      <c r="A253" s="250" t="s">
        <v>4757</v>
      </c>
      <c r="B253" s="250" t="s">
        <v>4736</v>
      </c>
      <c r="C253" s="250" t="s">
        <v>4683</v>
      </c>
      <c r="D253" s="269">
        <v>1.2659722222222223</v>
      </c>
      <c r="E253" s="269">
        <v>0.81875</v>
      </c>
      <c r="F253" s="268">
        <v>0.9958333333333333</v>
      </c>
      <c r="G253" s="270"/>
      <c r="H253" s="270"/>
      <c r="I253" s="270"/>
    </row>
    <row r="254">
      <c r="A254" s="250" t="s">
        <v>4757</v>
      </c>
      <c r="B254" s="250" t="s">
        <v>4735</v>
      </c>
      <c r="C254" s="250" t="s">
        <v>4684</v>
      </c>
      <c r="D254" s="269">
        <v>1.082638888888889</v>
      </c>
      <c r="E254" s="269">
        <v>0.81875</v>
      </c>
      <c r="F254" s="268">
        <v>0.7972222222222223</v>
      </c>
      <c r="G254" s="270"/>
      <c r="H254" s="270"/>
      <c r="I254" s="270"/>
    </row>
    <row r="255">
      <c r="A255" s="250" t="s">
        <v>4757</v>
      </c>
      <c r="B255" s="250" t="s">
        <v>4730</v>
      </c>
      <c r="C255" s="250" t="s">
        <v>4685</v>
      </c>
      <c r="D255" s="269">
        <v>1.2479166666666666</v>
      </c>
      <c r="E255" s="269">
        <v>0.99375</v>
      </c>
      <c r="F255" s="268">
        <v>1.31875</v>
      </c>
      <c r="G255" s="270"/>
      <c r="H255" s="270"/>
      <c r="I255" s="270"/>
    </row>
    <row r="256">
      <c r="A256" s="250" t="s">
        <v>4758</v>
      </c>
      <c r="B256" s="250" t="s">
        <v>4732</v>
      </c>
      <c r="C256" s="250" t="s">
        <v>4686</v>
      </c>
      <c r="D256" s="269">
        <v>1.9083333333333334</v>
      </c>
      <c r="E256" s="271"/>
      <c r="F256" s="268">
        <v>2.182638888888889</v>
      </c>
      <c r="G256" s="270"/>
      <c r="H256" s="270"/>
      <c r="I256" s="270"/>
    </row>
    <row r="257">
      <c r="A257" s="250" t="s">
        <v>4758</v>
      </c>
      <c r="B257" s="250" t="s">
        <v>4732</v>
      </c>
      <c r="C257" s="250" t="s">
        <v>4687</v>
      </c>
      <c r="D257" s="269">
        <v>1.64375</v>
      </c>
      <c r="E257" s="271"/>
      <c r="F257" s="268">
        <v>1.3104166666666666</v>
      </c>
      <c r="G257" s="270"/>
      <c r="H257" s="270"/>
      <c r="I257" s="270"/>
    </row>
    <row r="258">
      <c r="A258" s="250" t="s">
        <v>4758</v>
      </c>
      <c r="B258" s="250" t="s">
        <v>4732</v>
      </c>
      <c r="C258" s="250" t="s">
        <v>4688</v>
      </c>
      <c r="D258" s="269">
        <v>1.6527777777777777</v>
      </c>
      <c r="E258" s="271"/>
      <c r="F258" s="268">
        <v>1.4548611111111112</v>
      </c>
      <c r="G258" s="270"/>
      <c r="H258" s="270"/>
      <c r="I258" s="270"/>
    </row>
    <row r="259">
      <c r="A259" s="250" t="s">
        <v>4758</v>
      </c>
      <c r="B259" s="250" t="s">
        <v>4732</v>
      </c>
      <c r="C259" s="250" t="s">
        <v>4689</v>
      </c>
      <c r="D259" s="269">
        <v>1.351388888888889</v>
      </c>
      <c r="E259" s="271"/>
      <c r="F259" s="268">
        <v>1.913888888888889</v>
      </c>
      <c r="G259" s="270"/>
      <c r="H259" s="270"/>
      <c r="I259" s="270"/>
    </row>
    <row r="260">
      <c r="A260" s="250" t="s">
        <v>4758</v>
      </c>
      <c r="B260" s="250" t="s">
        <v>4730</v>
      </c>
      <c r="C260" s="250" t="s">
        <v>4690</v>
      </c>
      <c r="D260" s="269">
        <v>2.11875</v>
      </c>
      <c r="E260" s="269">
        <v>1.9694444444444446</v>
      </c>
      <c r="F260" s="268">
        <v>2.0680555555555555</v>
      </c>
      <c r="G260" s="270"/>
      <c r="H260" s="270"/>
      <c r="I260" s="270"/>
    </row>
    <row r="261">
      <c r="A261" s="250" t="s">
        <v>4758</v>
      </c>
      <c r="B261" s="250" t="s">
        <v>4730</v>
      </c>
      <c r="C261" s="250" t="s">
        <v>4691</v>
      </c>
      <c r="D261" s="269">
        <v>1.275</v>
      </c>
      <c r="E261" s="269">
        <v>1.2840277777777778</v>
      </c>
      <c r="F261" s="268">
        <v>1.64375</v>
      </c>
      <c r="G261" s="270"/>
      <c r="H261" s="270"/>
      <c r="I261" s="270"/>
    </row>
    <row r="262">
      <c r="A262" s="250" t="s">
        <v>4758</v>
      </c>
      <c r="B262" s="250" t="s">
        <v>4732</v>
      </c>
      <c r="C262" s="250" t="s">
        <v>4692</v>
      </c>
      <c r="D262" s="269">
        <v>1.9666666666666666</v>
      </c>
      <c r="E262" s="271"/>
      <c r="F262" s="268">
        <v>1.554861111111111</v>
      </c>
      <c r="G262" s="270"/>
      <c r="H262" s="270"/>
      <c r="I262" s="270"/>
    </row>
    <row r="263">
      <c r="A263" s="250" t="s">
        <v>4758</v>
      </c>
      <c r="B263" s="250" t="s">
        <v>4731</v>
      </c>
      <c r="C263" s="250" t="s">
        <v>4693</v>
      </c>
      <c r="D263" s="269">
        <v>1.9201388888888888</v>
      </c>
      <c r="E263" s="269">
        <v>1.4875</v>
      </c>
      <c r="F263" s="268">
        <v>1.4638888888888888</v>
      </c>
      <c r="G263" s="270"/>
      <c r="H263" s="270"/>
      <c r="I263" s="270"/>
    </row>
    <row r="264">
      <c r="A264" s="250" t="s">
        <v>4759</v>
      </c>
      <c r="B264" s="250" t="s">
        <v>4737</v>
      </c>
      <c r="C264" s="250" t="s">
        <v>4694</v>
      </c>
      <c r="D264" s="269">
        <v>1.1097222222222223</v>
      </c>
      <c r="E264" s="269">
        <v>0.9493055555555555</v>
      </c>
      <c r="F264" s="268">
        <v>0.6673611111111111</v>
      </c>
      <c r="G264" s="270"/>
      <c r="H264" s="270"/>
      <c r="I264" s="270"/>
    </row>
    <row r="265">
      <c r="A265" s="250" t="s">
        <v>4759</v>
      </c>
      <c r="B265" s="250" t="s">
        <v>4732</v>
      </c>
      <c r="C265" s="250" t="s">
        <v>3909</v>
      </c>
      <c r="D265" s="269">
        <v>1.5534722222222221</v>
      </c>
      <c r="E265" s="271"/>
      <c r="F265" s="268">
        <v>0.5333333333333333</v>
      </c>
      <c r="G265" s="270"/>
      <c r="H265" s="270"/>
      <c r="I265" s="270"/>
    </row>
    <row r="266">
      <c r="A266" s="250" t="s">
        <v>4759</v>
      </c>
      <c r="B266" s="250" t="s">
        <v>4732</v>
      </c>
      <c r="C266" s="250" t="s">
        <v>4076</v>
      </c>
      <c r="D266" s="269">
        <v>1.48125</v>
      </c>
      <c r="E266" s="271"/>
      <c r="F266" s="268">
        <v>1.0041666666666667</v>
      </c>
      <c r="G266" s="270"/>
      <c r="H266" s="270"/>
      <c r="I266" s="270"/>
    </row>
    <row r="267">
      <c r="A267" s="250" t="s">
        <v>4759</v>
      </c>
      <c r="B267" s="250" t="s">
        <v>4732</v>
      </c>
      <c r="C267" s="250" t="s">
        <v>3926</v>
      </c>
      <c r="D267" s="269">
        <v>1.3458333333333334</v>
      </c>
      <c r="E267" s="271"/>
      <c r="F267" s="268">
        <v>1.1388888888888888</v>
      </c>
      <c r="G267" s="270"/>
      <c r="H267" s="270"/>
      <c r="I267" s="270"/>
    </row>
    <row r="268">
      <c r="A268" s="250" t="s">
        <v>4759</v>
      </c>
      <c r="B268" s="250" t="s">
        <v>4737</v>
      </c>
      <c r="C268" s="250" t="s">
        <v>4064</v>
      </c>
      <c r="D268" s="269">
        <v>0.975</v>
      </c>
      <c r="E268" s="269">
        <v>0.975</v>
      </c>
      <c r="F268" s="268">
        <v>1.2090277777777778</v>
      </c>
      <c r="G268" s="270"/>
      <c r="H268" s="270"/>
      <c r="I268" s="270"/>
    </row>
    <row r="269">
      <c r="A269" s="250" t="s">
        <v>4759</v>
      </c>
      <c r="B269" s="250" t="s">
        <v>4738</v>
      </c>
      <c r="C269" s="250" t="s">
        <v>4276</v>
      </c>
      <c r="D269" s="271"/>
      <c r="E269" s="271"/>
      <c r="F269" s="270"/>
      <c r="G269" s="268">
        <v>0.9798611111111111</v>
      </c>
      <c r="H269" s="268">
        <v>1.1513888888888888</v>
      </c>
      <c r="I269" s="268">
        <v>1.1701388888888888</v>
      </c>
    </row>
    <row r="270">
      <c r="A270" s="250" t="s">
        <v>4759</v>
      </c>
      <c r="B270" s="250" t="s">
        <v>4738</v>
      </c>
      <c r="C270" s="250" t="s">
        <v>3961</v>
      </c>
      <c r="D270" s="269">
        <v>1.5444444444444445</v>
      </c>
      <c r="E270" s="269">
        <v>0.6673611111111111</v>
      </c>
      <c r="F270" s="268">
        <v>1.3354166666666667</v>
      </c>
      <c r="G270" s="268">
        <v>1.1666666666666667</v>
      </c>
      <c r="H270" s="268">
        <v>1.1791666666666667</v>
      </c>
      <c r="I270" s="270"/>
    </row>
    <row r="271">
      <c r="A271" s="250" t="s">
        <v>4759</v>
      </c>
      <c r="B271" s="250" t="s">
        <v>4736</v>
      </c>
      <c r="C271" s="250" t="s">
        <v>4005</v>
      </c>
      <c r="D271" s="269">
        <v>1.0208333333333333</v>
      </c>
      <c r="E271" s="269">
        <v>0.8118055555555556</v>
      </c>
      <c r="F271" s="268">
        <v>0.73125</v>
      </c>
      <c r="G271" s="270"/>
      <c r="H271" s="270"/>
      <c r="I271" s="270"/>
    </row>
    <row r="272">
      <c r="A272" s="250" t="s">
        <v>4759</v>
      </c>
      <c r="B272" s="250" t="s">
        <v>4737</v>
      </c>
      <c r="C272" s="250" t="s">
        <v>4695</v>
      </c>
      <c r="D272" s="269">
        <v>0.8451388888888889</v>
      </c>
      <c r="E272" s="269">
        <v>0.5305555555555556</v>
      </c>
      <c r="F272" s="268">
        <v>0.8159722222222222</v>
      </c>
      <c r="G272" s="268">
        <v>0.23680555555555555</v>
      </c>
      <c r="H272" s="268">
        <v>0.7930555555555555</v>
      </c>
      <c r="I272" s="270"/>
    </row>
    <row r="273">
      <c r="A273" s="250" t="s">
        <v>4759</v>
      </c>
      <c r="B273" s="250" t="s">
        <v>4735</v>
      </c>
      <c r="C273" s="250" t="s">
        <v>4128</v>
      </c>
      <c r="D273" s="271"/>
      <c r="E273" s="269">
        <v>1.5180555555555555</v>
      </c>
      <c r="F273" s="268">
        <v>1.9770833333333333</v>
      </c>
      <c r="G273" s="268">
        <v>2.1708333333333334</v>
      </c>
      <c r="H273" s="268">
        <v>1.9715277777777778</v>
      </c>
      <c r="I273" s="270"/>
    </row>
    <row r="274">
      <c r="A274" s="250" t="s">
        <v>4759</v>
      </c>
      <c r="B274" s="250" t="s">
        <v>4735</v>
      </c>
      <c r="C274" s="250" t="s">
        <v>3887</v>
      </c>
      <c r="D274" s="269">
        <v>0.9027777777777778</v>
      </c>
      <c r="E274" s="269">
        <v>0.8645833333333334</v>
      </c>
      <c r="F274" s="268">
        <v>0.8659722222222223</v>
      </c>
      <c r="G274" s="270"/>
      <c r="H274" s="270"/>
      <c r="I274" s="270"/>
    </row>
    <row r="275">
      <c r="A275" s="250" t="s">
        <v>4759</v>
      </c>
      <c r="B275" s="250" t="s">
        <v>4732</v>
      </c>
      <c r="C275" s="250" t="s">
        <v>4109</v>
      </c>
      <c r="D275" s="269">
        <v>0.9777777777777777</v>
      </c>
      <c r="E275" s="271"/>
      <c r="F275" s="268">
        <v>0.375</v>
      </c>
      <c r="G275" s="270"/>
      <c r="H275" s="270"/>
      <c r="I275" s="270"/>
    </row>
    <row r="276">
      <c r="A276" s="250" t="s">
        <v>4759</v>
      </c>
      <c r="B276" s="250" t="s">
        <v>4735</v>
      </c>
      <c r="C276" s="250" t="s">
        <v>4190</v>
      </c>
      <c r="D276" s="269">
        <v>1.867361111111111</v>
      </c>
      <c r="E276" s="269">
        <v>1.632638888888889</v>
      </c>
      <c r="F276" s="268">
        <v>0.6166666666666667</v>
      </c>
      <c r="G276" s="270"/>
      <c r="H276" s="270"/>
      <c r="I276" s="270"/>
    </row>
    <row r="277">
      <c r="A277" s="250" t="s">
        <v>4759</v>
      </c>
      <c r="B277" s="250" t="s">
        <v>4732</v>
      </c>
      <c r="C277" s="250" t="s">
        <v>3844</v>
      </c>
      <c r="D277" s="269">
        <v>1.2486111111111111</v>
      </c>
      <c r="E277" s="271"/>
      <c r="F277" s="268">
        <v>1.40625</v>
      </c>
      <c r="G277" s="270"/>
      <c r="H277" s="270"/>
      <c r="I277" s="270"/>
    </row>
    <row r="278">
      <c r="A278" s="250" t="s">
        <v>4759</v>
      </c>
      <c r="B278" s="250" t="s">
        <v>4730</v>
      </c>
      <c r="C278" s="250" t="s">
        <v>4217</v>
      </c>
      <c r="D278" s="269">
        <v>0.7715277777777778</v>
      </c>
      <c r="E278" s="269">
        <v>0.8361111111111111</v>
      </c>
      <c r="F278" s="268">
        <v>0.8</v>
      </c>
      <c r="G278" s="268">
        <v>0.825</v>
      </c>
      <c r="H278" s="270"/>
      <c r="I278" s="270"/>
    </row>
    <row r="279">
      <c r="A279" s="250" t="s">
        <v>4759</v>
      </c>
      <c r="B279" s="250" t="s">
        <v>4732</v>
      </c>
      <c r="C279" s="250" t="s">
        <v>3955</v>
      </c>
      <c r="D279" s="269">
        <v>1.2472222222222222</v>
      </c>
      <c r="E279" s="271"/>
      <c r="F279" s="268">
        <v>1.2291666666666667</v>
      </c>
      <c r="G279" s="270"/>
      <c r="H279" s="270"/>
      <c r="I279" s="270"/>
    </row>
    <row r="280">
      <c r="A280" s="250" t="s">
        <v>4759</v>
      </c>
      <c r="B280" s="250" t="s">
        <v>4731</v>
      </c>
      <c r="C280" s="250" t="s">
        <v>4134</v>
      </c>
      <c r="D280" s="269"/>
      <c r="E280" s="268">
        <v>1.1909722222222223</v>
      </c>
      <c r="F280" s="269">
        <v>1.4743055555555555</v>
      </c>
      <c r="G280" s="268">
        <v>1.4951388888888888</v>
      </c>
      <c r="H280" s="270"/>
      <c r="I280" s="270"/>
    </row>
    <row r="281">
      <c r="A281" s="250" t="s">
        <v>4759</v>
      </c>
      <c r="B281" s="250" t="s">
        <v>4738</v>
      </c>
      <c r="C281" s="250" t="s">
        <v>4696</v>
      </c>
      <c r="D281" s="269">
        <v>1.1104166666666666</v>
      </c>
      <c r="E281" s="269">
        <v>1.1006944444444444</v>
      </c>
      <c r="F281" s="268">
        <v>1.0145833333333334</v>
      </c>
      <c r="G281" s="270"/>
      <c r="H281" s="270"/>
      <c r="I281" s="270"/>
    </row>
    <row r="282">
      <c r="A282" s="250" t="s">
        <v>4759</v>
      </c>
      <c r="B282" s="250" t="s">
        <v>4733</v>
      </c>
      <c r="C282" s="250" t="s">
        <v>3915</v>
      </c>
      <c r="D282" s="269">
        <v>1.507638888888889</v>
      </c>
      <c r="E282" s="269">
        <v>1.6847222222222222</v>
      </c>
      <c r="F282" s="268">
        <v>1.8881944444444445</v>
      </c>
      <c r="G282" s="268">
        <v>1.3819444444444444</v>
      </c>
      <c r="H282" s="270"/>
      <c r="I282" s="270"/>
    </row>
    <row r="283">
      <c r="A283" s="250" t="s">
        <v>4759</v>
      </c>
      <c r="B283" s="250" t="s">
        <v>4738</v>
      </c>
      <c r="C283" s="250" t="s">
        <v>4279</v>
      </c>
      <c r="D283" s="271"/>
      <c r="E283" s="271"/>
      <c r="F283" s="268">
        <v>1.3819444444444444</v>
      </c>
      <c r="G283" s="268">
        <v>0.59375</v>
      </c>
      <c r="H283" s="268">
        <v>1.1590277777777778</v>
      </c>
      <c r="I283" s="270"/>
    </row>
    <row r="284">
      <c r="A284" s="250" t="s">
        <v>4759</v>
      </c>
      <c r="B284" s="250" t="s">
        <v>4733</v>
      </c>
      <c r="C284" s="250" t="s">
        <v>4022</v>
      </c>
      <c r="D284" s="269">
        <v>0.48194444444444445</v>
      </c>
      <c r="E284" s="269">
        <v>0.7138888888888889</v>
      </c>
      <c r="F284" s="268">
        <v>1.0777777777777777</v>
      </c>
      <c r="G284" s="270"/>
      <c r="H284" s="270"/>
      <c r="I284" s="270"/>
    </row>
    <row r="285">
      <c r="A285" s="250" t="s">
        <v>4759</v>
      </c>
      <c r="B285" s="250" t="s">
        <v>4734</v>
      </c>
      <c r="C285" s="250" t="s">
        <v>4697</v>
      </c>
      <c r="D285" s="269">
        <v>0.9069444444444444</v>
      </c>
      <c r="E285" s="269">
        <v>1.2597222222222222</v>
      </c>
      <c r="F285" s="268">
        <v>1.1930555555555555</v>
      </c>
      <c r="G285" s="270"/>
      <c r="H285" s="270"/>
      <c r="I285" s="270"/>
    </row>
    <row r="286">
      <c r="A286" s="250" t="s">
        <v>4759</v>
      </c>
      <c r="B286" s="250" t="s">
        <v>4738</v>
      </c>
      <c r="C286" s="250" t="s">
        <v>3920</v>
      </c>
      <c r="D286" s="269">
        <v>1.229861111111111</v>
      </c>
      <c r="E286" s="269">
        <v>0.8888888888888888</v>
      </c>
      <c r="F286" s="268">
        <v>1.1819444444444445</v>
      </c>
      <c r="G286" s="268">
        <v>0.9125</v>
      </c>
      <c r="H286" s="270"/>
      <c r="I286" s="270"/>
    </row>
    <row r="287">
      <c r="A287" s="250" t="s">
        <v>4759</v>
      </c>
      <c r="B287" s="250" t="s">
        <v>4732</v>
      </c>
      <c r="C287" s="250" t="s">
        <v>3977</v>
      </c>
      <c r="D287" s="269">
        <v>1.5972222222222223</v>
      </c>
      <c r="E287" s="271"/>
      <c r="F287" s="268">
        <v>1.0930555555555554</v>
      </c>
      <c r="G287" s="270"/>
      <c r="H287" s="270"/>
      <c r="I287" s="270"/>
    </row>
    <row r="288">
      <c r="A288" s="250" t="s">
        <v>4759</v>
      </c>
      <c r="B288" s="250" t="s">
        <v>4737</v>
      </c>
      <c r="C288" s="250" t="s">
        <v>4698</v>
      </c>
      <c r="D288" s="271"/>
      <c r="E288" s="271"/>
      <c r="F288" s="270"/>
      <c r="G288" s="270"/>
      <c r="H288" s="270"/>
      <c r="I288" s="270"/>
    </row>
    <row r="289">
      <c r="A289" s="250" t="s">
        <v>4759</v>
      </c>
      <c r="B289" s="250" t="s">
        <v>4731</v>
      </c>
      <c r="C289" s="250" t="s">
        <v>4699</v>
      </c>
      <c r="D289" s="269">
        <v>0.7618055555555555</v>
      </c>
      <c r="E289" s="269">
        <v>0.9</v>
      </c>
      <c r="F289" s="268">
        <v>1.3555555555555556</v>
      </c>
      <c r="G289" s="270"/>
      <c r="H289" s="270"/>
      <c r="I289" s="270"/>
    </row>
    <row r="290">
      <c r="A290" s="250" t="s">
        <v>4760</v>
      </c>
      <c r="B290" s="250" t="s">
        <v>4732</v>
      </c>
      <c r="C290" s="250" t="s">
        <v>4700</v>
      </c>
      <c r="D290" s="269">
        <v>0.5944444444444444</v>
      </c>
      <c r="E290" s="271"/>
      <c r="F290" s="268">
        <v>0.7770833333333333</v>
      </c>
      <c r="G290" s="270"/>
      <c r="H290" s="270"/>
      <c r="I290" s="270"/>
    </row>
    <row r="291">
      <c r="A291" s="250" t="s">
        <v>4760</v>
      </c>
      <c r="B291" s="250" t="s">
        <v>4733</v>
      </c>
      <c r="C291" s="250" t="s">
        <v>3857</v>
      </c>
      <c r="D291" s="269">
        <v>1.0923611111111111</v>
      </c>
      <c r="E291" s="269">
        <v>0.9701388888888889</v>
      </c>
      <c r="F291" s="268">
        <v>0.9208333333333333</v>
      </c>
      <c r="G291" s="270"/>
      <c r="H291" s="270"/>
      <c r="I291" s="270"/>
    </row>
    <row r="292">
      <c r="A292" s="250" t="s">
        <v>4760</v>
      </c>
      <c r="B292" s="250" t="s">
        <v>4737</v>
      </c>
      <c r="C292" s="250" t="s">
        <v>4002</v>
      </c>
      <c r="D292" s="269">
        <v>0.65</v>
      </c>
      <c r="E292" s="269">
        <v>0.6020833333333333</v>
      </c>
      <c r="F292" s="268">
        <v>1.3104166666666666</v>
      </c>
      <c r="G292" s="270"/>
      <c r="H292" s="270"/>
      <c r="I292" s="270"/>
    </row>
    <row r="293">
      <c r="A293" s="250" t="s">
        <v>4760</v>
      </c>
      <c r="B293" s="250" t="s">
        <v>4734</v>
      </c>
      <c r="C293" s="250" t="s">
        <v>3944</v>
      </c>
      <c r="D293" s="269">
        <v>1.2673611111111112</v>
      </c>
      <c r="E293" s="269">
        <v>1.2673611111111112</v>
      </c>
      <c r="F293" s="268">
        <v>1.1493055555555556</v>
      </c>
      <c r="G293" s="270"/>
      <c r="H293" s="270"/>
      <c r="I293" s="270"/>
    </row>
    <row r="294">
      <c r="A294" s="250" t="s">
        <v>4760</v>
      </c>
      <c r="B294" s="250" t="s">
        <v>4732</v>
      </c>
      <c r="C294" s="250" t="s">
        <v>4019</v>
      </c>
      <c r="D294" s="269">
        <v>1.0881944444444445</v>
      </c>
      <c r="E294" s="271"/>
      <c r="F294" s="268">
        <v>1.5625</v>
      </c>
      <c r="G294" s="270"/>
      <c r="H294" s="270"/>
      <c r="I294" s="270"/>
    </row>
    <row r="295">
      <c r="A295" s="250" t="s">
        <v>4760</v>
      </c>
      <c r="B295" s="250" t="s">
        <v>4732</v>
      </c>
      <c r="C295" s="250" t="s">
        <v>3995</v>
      </c>
      <c r="D295" s="269">
        <v>0.3368055555555556</v>
      </c>
      <c r="E295" s="271"/>
      <c r="F295" s="268">
        <v>0.5243055555555556</v>
      </c>
      <c r="G295" s="270"/>
      <c r="H295" s="270"/>
      <c r="I295" s="270"/>
    </row>
    <row r="296">
      <c r="A296" s="250" t="s">
        <v>4761</v>
      </c>
      <c r="B296" s="250" t="s">
        <v>4730</v>
      </c>
      <c r="C296" s="250" t="s">
        <v>3868</v>
      </c>
      <c r="D296" s="269">
        <v>1.5090277777777779</v>
      </c>
      <c r="E296" s="269">
        <v>1.929861111111111</v>
      </c>
      <c r="F296" s="268">
        <v>1.9569444444444444</v>
      </c>
      <c r="G296" s="268">
        <v>0.6256944444444444</v>
      </c>
      <c r="H296" s="268">
        <v>1.6368055555555556</v>
      </c>
      <c r="I296" s="270"/>
    </row>
    <row r="297">
      <c r="A297" s="250" t="s">
        <v>4761</v>
      </c>
      <c r="B297" s="250" t="s">
        <v>4736</v>
      </c>
      <c r="C297" s="250" t="s">
        <v>3881</v>
      </c>
      <c r="D297" s="269">
        <v>1.3972222222222221</v>
      </c>
      <c r="E297" s="269">
        <v>1.1</v>
      </c>
      <c r="F297" s="268">
        <v>1.4208333333333334</v>
      </c>
      <c r="G297" s="270"/>
      <c r="H297" s="270"/>
      <c r="I297" s="270"/>
    </row>
    <row r="298">
      <c r="A298" s="250" t="s">
        <v>4761</v>
      </c>
      <c r="B298" s="250" t="s">
        <v>4736</v>
      </c>
      <c r="C298" s="250" t="s">
        <v>4011</v>
      </c>
      <c r="D298" s="269">
        <v>2.0909722222222222</v>
      </c>
      <c r="E298" s="269">
        <v>1.7006944444444445</v>
      </c>
      <c r="F298" s="268">
        <v>2.2125</v>
      </c>
      <c r="G298" s="270"/>
      <c r="H298" s="270"/>
      <c r="I298" s="270"/>
    </row>
    <row r="299">
      <c r="A299" s="250" t="s">
        <v>4761</v>
      </c>
      <c r="B299" s="250" t="s">
        <v>4734</v>
      </c>
      <c r="C299" s="250" t="s">
        <v>4701</v>
      </c>
      <c r="D299" s="269">
        <v>0.4847222222222222</v>
      </c>
      <c r="E299" s="269">
        <v>0.4222222222222222</v>
      </c>
      <c r="F299" s="268">
        <v>1.3333333333333333</v>
      </c>
      <c r="G299" s="270"/>
      <c r="H299" s="270"/>
      <c r="I299" s="270"/>
    </row>
    <row r="300">
      <c r="A300" s="250" t="s">
        <v>4762</v>
      </c>
      <c r="B300" s="250" t="s">
        <v>4731</v>
      </c>
      <c r="C300" s="250" t="s">
        <v>4702</v>
      </c>
      <c r="D300" s="269">
        <v>0.8513888888888889</v>
      </c>
      <c r="E300" s="269">
        <v>0.7993055555555556</v>
      </c>
      <c r="F300" s="268">
        <v>0.5152777777777777</v>
      </c>
      <c r="G300" s="270"/>
      <c r="H300" s="270"/>
      <c r="I300" s="270"/>
    </row>
    <row r="301">
      <c r="A301" s="250" t="s">
        <v>4762</v>
      </c>
      <c r="B301" s="250" t="s">
        <v>4738</v>
      </c>
      <c r="C301" s="250" t="s">
        <v>4703</v>
      </c>
      <c r="D301" s="269">
        <v>0.9215277777777777</v>
      </c>
      <c r="E301" s="269">
        <v>1.2256944444444444</v>
      </c>
      <c r="F301" s="268">
        <v>1.0916666666666666</v>
      </c>
      <c r="G301" s="270"/>
      <c r="H301" s="270"/>
      <c r="I301" s="270"/>
    </row>
    <row r="302">
      <c r="A302" s="250" t="s">
        <v>4762</v>
      </c>
      <c r="B302" s="250" t="s">
        <v>4732</v>
      </c>
      <c r="C302" s="250" t="s">
        <v>4704</v>
      </c>
      <c r="D302" s="269">
        <v>0.7875</v>
      </c>
      <c r="E302" s="271"/>
      <c r="F302" s="268">
        <v>0.8888888888888888</v>
      </c>
      <c r="G302" s="270"/>
      <c r="H302" s="270"/>
      <c r="I302" s="270"/>
    </row>
    <row r="303">
      <c r="A303" s="250" t="s">
        <v>4762</v>
      </c>
      <c r="B303" s="250" t="s">
        <v>4737</v>
      </c>
      <c r="C303" s="250" t="s">
        <v>4705</v>
      </c>
      <c r="D303" s="269">
        <v>1.104861111111111</v>
      </c>
      <c r="E303" s="269">
        <v>1.0958333333333334</v>
      </c>
      <c r="F303" s="268">
        <v>1.1076388888888888</v>
      </c>
      <c r="G303" s="270"/>
      <c r="H303" s="270"/>
      <c r="I303" s="270"/>
    </row>
    <row r="304">
      <c r="A304" s="250" t="s">
        <v>4762</v>
      </c>
      <c r="B304" s="250" t="s">
        <v>4735</v>
      </c>
      <c r="C304" s="250" t="s">
        <v>4706</v>
      </c>
      <c r="D304" s="271"/>
      <c r="E304" s="269">
        <v>1.4347222222222222</v>
      </c>
      <c r="F304" s="270"/>
      <c r="G304" s="270"/>
      <c r="H304" s="268">
        <v>1.2138888888888888</v>
      </c>
      <c r="I304" s="268">
        <v>1.2680555555555555</v>
      </c>
    </row>
    <row r="305">
      <c r="A305" s="250" t="s">
        <v>4762</v>
      </c>
      <c r="B305" s="250" t="s">
        <v>4732</v>
      </c>
      <c r="C305" s="250" t="s">
        <v>4707</v>
      </c>
      <c r="D305" s="269">
        <v>0.7402777777777778</v>
      </c>
      <c r="E305" s="271"/>
      <c r="F305" s="268">
        <v>1.9013888888888888</v>
      </c>
      <c r="G305" s="270"/>
      <c r="H305" s="270"/>
      <c r="I305" s="270"/>
    </row>
    <row r="306">
      <c r="A306" s="250" t="s">
        <v>4762</v>
      </c>
      <c r="B306" s="250" t="s">
        <v>4737</v>
      </c>
      <c r="C306" s="250" t="s">
        <v>4708</v>
      </c>
      <c r="D306" s="271"/>
      <c r="E306" s="269">
        <v>0.4625</v>
      </c>
      <c r="F306" s="268">
        <v>0.14583333333333334</v>
      </c>
      <c r="G306" s="268">
        <v>0.7680555555555556</v>
      </c>
      <c r="H306" s="270"/>
      <c r="I306" s="270"/>
    </row>
    <row r="307">
      <c r="A307" s="250" t="s">
        <v>4762</v>
      </c>
      <c r="B307" s="250" t="s">
        <v>4731</v>
      </c>
      <c r="C307" s="250" t="s">
        <v>4709</v>
      </c>
      <c r="D307" s="269">
        <v>1.2722222222222221</v>
      </c>
      <c r="E307" s="269">
        <v>0.7284722222222222</v>
      </c>
      <c r="F307" s="268">
        <v>0.6055555555555555</v>
      </c>
      <c r="G307" s="268">
        <v>0.4930555555555556</v>
      </c>
      <c r="H307" s="268">
        <v>0.41875</v>
      </c>
      <c r="I307" s="268">
        <v>0.8534722222222222</v>
      </c>
    </row>
    <row r="308">
      <c r="A308" s="250" t="s">
        <v>4762</v>
      </c>
      <c r="B308" s="250" t="s">
        <v>4737</v>
      </c>
      <c r="C308" s="250" t="s">
        <v>4710</v>
      </c>
      <c r="D308" s="271"/>
      <c r="E308" s="269">
        <v>0.7041666666666667</v>
      </c>
      <c r="F308" s="268">
        <v>0.30416666666666664</v>
      </c>
      <c r="G308" s="268">
        <v>0.6048611111111111</v>
      </c>
      <c r="H308" s="270"/>
      <c r="I308" s="268">
        <v>0.7041666666666667</v>
      </c>
    </row>
    <row r="309">
      <c r="A309" s="250" t="s">
        <v>4762</v>
      </c>
      <c r="B309" s="250" t="s">
        <v>4734</v>
      </c>
      <c r="C309" s="250" t="s">
        <v>4711</v>
      </c>
      <c r="D309" s="269">
        <v>0.5</v>
      </c>
      <c r="E309" s="269">
        <v>0.9888888888888889</v>
      </c>
      <c r="F309" s="268">
        <v>0.7326388888888888</v>
      </c>
      <c r="G309" s="270"/>
      <c r="H309" s="270"/>
      <c r="I309" s="270"/>
    </row>
    <row r="310">
      <c r="A310" s="250" t="s">
        <v>4762</v>
      </c>
      <c r="B310" s="250" t="s">
        <v>4732</v>
      </c>
      <c r="C310" s="250" t="s">
        <v>4712</v>
      </c>
      <c r="D310" s="269">
        <v>0.6944444444444444</v>
      </c>
      <c r="E310" s="271"/>
      <c r="F310" s="268">
        <v>0.8805555555555555</v>
      </c>
      <c r="G310" s="270"/>
      <c r="H310" s="270"/>
      <c r="I310" s="270"/>
    </row>
    <row r="311">
      <c r="A311" s="250" t="s">
        <v>4762</v>
      </c>
      <c r="B311" s="250" t="s">
        <v>4732</v>
      </c>
      <c r="C311" s="250" t="s">
        <v>4713</v>
      </c>
      <c r="D311" s="269">
        <v>1.426388888888889</v>
      </c>
      <c r="E311" s="271"/>
      <c r="F311" s="268">
        <v>0.7263888888888889</v>
      </c>
      <c r="G311" s="270"/>
      <c r="H311" s="270"/>
      <c r="I311" s="270"/>
    </row>
    <row r="312">
      <c r="A312" s="250" t="s">
        <v>4762</v>
      </c>
      <c r="B312" s="250" t="s">
        <v>4734</v>
      </c>
      <c r="C312" s="250" t="s">
        <v>4447</v>
      </c>
      <c r="D312" s="269">
        <v>0.7555555555555555</v>
      </c>
      <c r="E312" s="269">
        <v>0.10972222222222222</v>
      </c>
      <c r="F312" s="268">
        <v>0.8986111111111111</v>
      </c>
      <c r="G312" s="268">
        <v>0.8965277777777778</v>
      </c>
      <c r="H312" s="268">
        <v>0.9729166666666667</v>
      </c>
      <c r="I312" s="270"/>
    </row>
    <row r="313">
      <c r="A313" s="250" t="s">
        <v>4762</v>
      </c>
      <c r="B313" s="250" t="s">
        <v>4737</v>
      </c>
      <c r="C313" s="250" t="s">
        <v>4715</v>
      </c>
      <c r="D313" s="269">
        <v>0.59375</v>
      </c>
      <c r="E313" s="271"/>
      <c r="F313" s="268">
        <v>0.36319444444444443</v>
      </c>
      <c r="G313" s="268">
        <v>0.7923611111111111</v>
      </c>
      <c r="H313" s="270"/>
      <c r="I313" s="270"/>
    </row>
    <row r="314">
      <c r="A314" s="250" t="s">
        <v>4762</v>
      </c>
      <c r="B314" s="250" t="s">
        <v>4731</v>
      </c>
      <c r="C314" s="250" t="s">
        <v>4716</v>
      </c>
      <c r="D314" s="269">
        <v>0.8194444444444444</v>
      </c>
      <c r="E314" s="269">
        <v>0.8194444444444444</v>
      </c>
      <c r="F314" s="268">
        <v>0.3819444444444444</v>
      </c>
      <c r="G314" s="268">
        <v>0.49236111111111114</v>
      </c>
      <c r="H314" s="270"/>
      <c r="I314" s="270"/>
    </row>
    <row r="315">
      <c r="A315" s="250" t="s">
        <v>4762</v>
      </c>
      <c r="B315" s="250" t="s">
        <v>4737</v>
      </c>
      <c r="C315" s="250" t="s">
        <v>4717</v>
      </c>
      <c r="D315" s="269">
        <v>2.225</v>
      </c>
      <c r="E315" s="269">
        <v>2.2159722222222222</v>
      </c>
      <c r="F315" s="268">
        <v>2.627083333333333</v>
      </c>
      <c r="G315" s="270"/>
      <c r="H315" s="268">
        <v>1.875</v>
      </c>
      <c r="I315" s="270"/>
    </row>
    <row r="316">
      <c r="A316" s="250" t="s">
        <v>4762</v>
      </c>
      <c r="B316" s="250" t="s">
        <v>4736</v>
      </c>
      <c r="C316" s="250" t="s">
        <v>4718</v>
      </c>
      <c r="D316" s="269">
        <v>0.9291666666666667</v>
      </c>
      <c r="E316" s="269">
        <v>0.9034722222222222</v>
      </c>
      <c r="F316" s="268">
        <v>0.7826388888888889</v>
      </c>
      <c r="G316" s="270"/>
      <c r="H316" s="270"/>
      <c r="I316" s="270"/>
    </row>
    <row r="317">
      <c r="A317" s="250" t="s">
        <v>4762</v>
      </c>
      <c r="B317" s="250" t="s">
        <v>4734</v>
      </c>
      <c r="C317" s="250" t="s">
        <v>4719</v>
      </c>
      <c r="D317" s="269">
        <v>1.0430555555555556</v>
      </c>
      <c r="E317" s="269">
        <v>0.8180555555555555</v>
      </c>
      <c r="F317" s="268">
        <v>0.8840277777777777</v>
      </c>
      <c r="G317" s="270"/>
      <c r="H317" s="270"/>
      <c r="I317" s="270"/>
    </row>
    <row r="318">
      <c r="A318" s="250" t="s">
        <v>4762</v>
      </c>
      <c r="B318" s="250" t="s">
        <v>4731</v>
      </c>
      <c r="C318" s="250" t="s">
        <v>4720</v>
      </c>
      <c r="D318" s="269">
        <v>1.3833333333333333</v>
      </c>
      <c r="E318" s="269">
        <v>1.20625</v>
      </c>
      <c r="F318" s="268">
        <v>1.5708333333333333</v>
      </c>
      <c r="G318" s="270"/>
      <c r="H318" s="270"/>
      <c r="I318" s="270"/>
    </row>
    <row r="319">
      <c r="A319" s="250" t="s">
        <v>4762</v>
      </c>
      <c r="B319" s="250" t="s">
        <v>4735</v>
      </c>
      <c r="C319" s="250" t="s">
        <v>4721</v>
      </c>
      <c r="D319" s="269">
        <v>1.0611111111111111</v>
      </c>
      <c r="E319" s="269">
        <v>1.0472222222222223</v>
      </c>
      <c r="F319" s="268">
        <v>1.2430555555555556</v>
      </c>
      <c r="G319" s="270"/>
      <c r="H319" s="268">
        <v>0.9694444444444444</v>
      </c>
      <c r="I319" s="268">
        <v>1.2069444444444444</v>
      </c>
    </row>
    <row r="320">
      <c r="A320" s="250" t="s">
        <v>4722</v>
      </c>
      <c r="B320" s="250" t="s">
        <v>4722</v>
      </c>
      <c r="C320" s="250" t="s">
        <v>4722</v>
      </c>
      <c r="D320" s="250" t="s">
        <v>4722</v>
      </c>
      <c r="E320" s="250" t="s">
        <v>4722</v>
      </c>
      <c r="F320" s="250" t="s">
        <v>4722</v>
      </c>
      <c r="G320" s="250" t="s">
        <v>4722</v>
      </c>
      <c r="H320" s="250" t="s">
        <v>4722</v>
      </c>
      <c r="I320" s="250" t="s">
        <v>4722</v>
      </c>
      <c r="J320" s="250"/>
      <c r="K320" s="250" t="s">
        <v>4722</v>
      </c>
      <c r="L320" s="250" t="s">
        <v>4722</v>
      </c>
    </row>
    <row r="321">
      <c r="A321" s="253"/>
      <c r="B321" s="253"/>
      <c r="C321" s="253"/>
      <c r="D321" s="271"/>
      <c r="E321" s="271"/>
      <c r="F321" s="270"/>
      <c r="G321" s="270"/>
      <c r="H321" s="270"/>
      <c r="I321" s="270"/>
    </row>
    <row r="322">
      <c r="A322" s="253"/>
      <c r="B322" s="253"/>
      <c r="C322" s="253"/>
      <c r="D322" s="271"/>
      <c r="E322" s="271"/>
      <c r="F322" s="270"/>
      <c r="G322" s="270"/>
      <c r="H322" s="270"/>
      <c r="I322" s="270"/>
    </row>
    <row r="323">
      <c r="A323" s="253"/>
      <c r="B323" s="253"/>
      <c r="C323" s="253"/>
      <c r="D323" s="271"/>
      <c r="E323" s="271"/>
      <c r="F323" s="270"/>
      <c r="G323" s="270"/>
      <c r="H323" s="270"/>
      <c r="I323" s="270"/>
    </row>
    <row r="324">
      <c r="A324" s="253"/>
      <c r="B324" s="253"/>
      <c r="C324" s="253"/>
      <c r="D324" s="271"/>
      <c r="E324" s="271"/>
      <c r="F324" s="270"/>
      <c r="G324" s="270"/>
      <c r="H324" s="270"/>
      <c r="I324" s="270"/>
    </row>
    <row r="325">
      <c r="A325" s="253"/>
      <c r="B325" s="253"/>
      <c r="C325" s="253"/>
      <c r="D325" s="271"/>
      <c r="E325" s="271"/>
      <c r="F325" s="270"/>
      <c r="G325" s="270"/>
      <c r="H325" s="270"/>
      <c r="I325" s="270"/>
    </row>
    <row r="326">
      <c r="A326" s="253"/>
      <c r="B326" s="253"/>
      <c r="C326" s="253"/>
      <c r="D326" s="271"/>
      <c r="E326" s="271"/>
      <c r="F326" s="270"/>
      <c r="G326" s="270"/>
      <c r="H326" s="270"/>
      <c r="I326" s="270"/>
    </row>
    <row r="327">
      <c r="A327" s="253"/>
      <c r="B327" s="253"/>
      <c r="C327" s="253"/>
      <c r="D327" s="271"/>
      <c r="E327" s="271"/>
      <c r="F327" s="270"/>
      <c r="G327" s="270"/>
      <c r="H327" s="270"/>
      <c r="I327" s="270"/>
    </row>
    <row r="328">
      <c r="A328" s="253"/>
      <c r="B328" s="253"/>
      <c r="C328" s="253"/>
      <c r="D328" s="271"/>
      <c r="E328" s="271"/>
      <c r="F328" s="270"/>
      <c r="G328" s="270"/>
      <c r="H328" s="270"/>
      <c r="I328" s="270"/>
    </row>
    <row r="329">
      <c r="A329" s="253"/>
      <c r="B329" s="253"/>
      <c r="C329" s="253"/>
      <c r="D329" s="271"/>
      <c r="E329" s="271"/>
      <c r="F329" s="270"/>
      <c r="G329" s="270"/>
      <c r="H329" s="270"/>
      <c r="I329" s="270"/>
    </row>
    <row r="330">
      <c r="A330" s="253"/>
      <c r="B330" s="253"/>
      <c r="C330" s="253"/>
      <c r="D330" s="271"/>
      <c r="E330" s="271"/>
      <c r="F330" s="270"/>
      <c r="G330" s="270"/>
      <c r="H330" s="270"/>
      <c r="I330" s="270"/>
    </row>
    <row r="331">
      <c r="A331" s="253"/>
      <c r="B331" s="253"/>
      <c r="C331" s="253"/>
      <c r="D331" s="271"/>
      <c r="E331" s="271"/>
      <c r="F331" s="270"/>
      <c r="G331" s="270"/>
      <c r="H331" s="270"/>
      <c r="I331" s="270"/>
    </row>
    <row r="332">
      <c r="A332" s="253"/>
      <c r="B332" s="253"/>
      <c r="C332" s="253"/>
      <c r="D332" s="271"/>
      <c r="E332" s="271"/>
      <c r="F332" s="270"/>
      <c r="G332" s="270"/>
      <c r="H332" s="270"/>
      <c r="I332" s="270"/>
    </row>
    <row r="333">
      <c r="A333" s="253"/>
      <c r="B333" s="253"/>
      <c r="C333" s="253"/>
      <c r="D333" s="271"/>
      <c r="E333" s="271"/>
      <c r="F333" s="270"/>
      <c r="G333" s="270"/>
      <c r="H333" s="270"/>
      <c r="I333" s="270"/>
    </row>
    <row r="334">
      <c r="A334" s="253"/>
      <c r="B334" s="253"/>
      <c r="C334" s="253"/>
      <c r="D334" s="271"/>
      <c r="E334" s="271"/>
      <c r="F334" s="270"/>
      <c r="G334" s="270"/>
      <c r="H334" s="270"/>
      <c r="I334" s="270"/>
    </row>
    <row r="335">
      <c r="A335" s="253"/>
      <c r="B335" s="253"/>
      <c r="C335" s="253"/>
      <c r="D335" s="271"/>
      <c r="E335" s="271"/>
      <c r="F335" s="270"/>
      <c r="G335" s="270"/>
      <c r="H335" s="270"/>
      <c r="I335" s="270"/>
    </row>
    <row r="336">
      <c r="A336" s="253"/>
      <c r="B336" s="253"/>
      <c r="C336" s="253"/>
      <c r="D336" s="271"/>
      <c r="E336" s="271"/>
      <c r="F336" s="270"/>
      <c r="G336" s="270"/>
      <c r="H336" s="270"/>
      <c r="I336" s="270"/>
    </row>
    <row r="337">
      <c r="A337" s="253"/>
      <c r="B337" s="253"/>
      <c r="C337" s="253"/>
      <c r="D337" s="271"/>
      <c r="E337" s="271"/>
      <c r="F337" s="270"/>
      <c r="G337" s="270"/>
      <c r="H337" s="270"/>
      <c r="I337" s="270"/>
    </row>
    <row r="338">
      <c r="A338" s="253"/>
      <c r="B338" s="253"/>
      <c r="C338" s="253"/>
      <c r="D338" s="271"/>
      <c r="E338" s="271"/>
      <c r="F338" s="270"/>
      <c r="G338" s="270"/>
      <c r="H338" s="270"/>
      <c r="I338" s="270"/>
    </row>
    <row r="339">
      <c r="A339" s="253"/>
      <c r="B339" s="253"/>
      <c r="C339" s="253"/>
      <c r="D339" s="271"/>
      <c r="E339" s="271"/>
      <c r="F339" s="270"/>
      <c r="G339" s="270"/>
      <c r="H339" s="270"/>
      <c r="I339" s="270"/>
    </row>
    <row r="340">
      <c r="A340" s="253"/>
      <c r="B340" s="253"/>
      <c r="C340" s="253"/>
      <c r="D340" s="271"/>
      <c r="E340" s="271"/>
      <c r="F340" s="270"/>
      <c r="G340" s="270"/>
      <c r="H340" s="270"/>
      <c r="I340" s="270"/>
    </row>
    <row r="341">
      <c r="A341" s="253"/>
      <c r="B341" s="253"/>
      <c r="C341" s="253"/>
      <c r="D341" s="271"/>
      <c r="E341" s="271"/>
      <c r="F341" s="270"/>
      <c r="G341" s="270"/>
      <c r="H341" s="270"/>
      <c r="I341" s="270"/>
    </row>
    <row r="342">
      <c r="A342" s="253"/>
      <c r="B342" s="253"/>
      <c r="C342" s="253"/>
      <c r="D342" s="271"/>
      <c r="E342" s="271"/>
      <c r="F342" s="270"/>
      <c r="G342" s="270"/>
      <c r="H342" s="270"/>
      <c r="I342" s="270"/>
    </row>
    <row r="343">
      <c r="A343" s="253"/>
      <c r="B343" s="253"/>
      <c r="C343" s="253"/>
      <c r="D343" s="271"/>
      <c r="E343" s="271"/>
      <c r="F343" s="270"/>
      <c r="G343" s="270"/>
      <c r="H343" s="270"/>
      <c r="I343" s="270"/>
    </row>
    <row r="344">
      <c r="A344" s="253"/>
      <c r="B344" s="253"/>
      <c r="C344" s="253"/>
      <c r="D344" s="271"/>
      <c r="E344" s="271"/>
      <c r="F344" s="270"/>
      <c r="G344" s="270"/>
      <c r="H344" s="270"/>
      <c r="I344" s="270"/>
    </row>
    <row r="345">
      <c r="A345" s="253"/>
      <c r="B345" s="253"/>
      <c r="C345" s="253"/>
      <c r="D345" s="271"/>
      <c r="E345" s="271"/>
      <c r="F345" s="270"/>
      <c r="G345" s="270"/>
      <c r="H345" s="270"/>
      <c r="I345" s="270"/>
    </row>
    <row r="346">
      <c r="A346" s="253"/>
      <c r="B346" s="253"/>
      <c r="C346" s="253"/>
      <c r="D346" s="271"/>
      <c r="E346" s="271"/>
      <c r="F346" s="270"/>
      <c r="G346" s="270"/>
      <c r="H346" s="270"/>
      <c r="I346" s="270"/>
    </row>
    <row r="347">
      <c r="A347" s="253"/>
      <c r="B347" s="253"/>
      <c r="C347" s="253"/>
      <c r="D347" s="271"/>
      <c r="E347" s="271"/>
      <c r="F347" s="270"/>
      <c r="G347" s="270"/>
      <c r="H347" s="270"/>
      <c r="I347" s="270"/>
    </row>
    <row r="348">
      <c r="A348" s="253"/>
      <c r="B348" s="253"/>
      <c r="C348" s="253"/>
      <c r="D348" s="271"/>
      <c r="E348" s="271"/>
      <c r="F348" s="270"/>
      <c r="G348" s="270"/>
      <c r="H348" s="270"/>
      <c r="I348" s="270"/>
    </row>
    <row r="349">
      <c r="A349" s="253"/>
      <c r="B349" s="253"/>
      <c r="C349" s="253"/>
      <c r="D349" s="271"/>
      <c r="E349" s="271"/>
      <c r="F349" s="270"/>
      <c r="G349" s="270"/>
      <c r="H349" s="270"/>
      <c r="I349" s="270"/>
    </row>
    <row r="350">
      <c r="A350" s="253"/>
      <c r="B350" s="253"/>
      <c r="C350" s="253"/>
      <c r="D350" s="271"/>
      <c r="E350" s="271"/>
      <c r="F350" s="270"/>
      <c r="G350" s="270"/>
      <c r="H350" s="270"/>
      <c r="I350" s="270"/>
    </row>
    <row r="351">
      <c r="A351" s="253"/>
      <c r="B351" s="253"/>
      <c r="C351" s="253"/>
      <c r="D351" s="271"/>
      <c r="E351" s="271"/>
      <c r="F351" s="270"/>
      <c r="G351" s="270"/>
      <c r="H351" s="270"/>
      <c r="I351" s="270"/>
    </row>
    <row r="352">
      <c r="A352" s="253"/>
      <c r="B352" s="253"/>
      <c r="C352" s="253"/>
      <c r="D352" s="271"/>
      <c r="E352" s="271"/>
      <c r="F352" s="270"/>
      <c r="G352" s="270"/>
      <c r="H352" s="270"/>
      <c r="I352" s="270"/>
    </row>
    <row r="353">
      <c r="A353" s="253"/>
      <c r="B353" s="253"/>
      <c r="C353" s="253"/>
      <c r="D353" s="271"/>
      <c r="E353" s="271"/>
      <c r="F353" s="270"/>
      <c r="G353" s="270"/>
      <c r="H353" s="270"/>
      <c r="I353" s="270"/>
    </row>
    <row r="354">
      <c r="A354" s="253"/>
      <c r="B354" s="253"/>
      <c r="C354" s="253"/>
      <c r="D354" s="271"/>
      <c r="E354" s="271"/>
      <c r="F354" s="270"/>
      <c r="G354" s="270"/>
      <c r="H354" s="270"/>
      <c r="I354" s="270"/>
    </row>
    <row r="355">
      <c r="A355" s="253"/>
      <c r="B355" s="253"/>
      <c r="C355" s="253"/>
      <c r="D355" s="271"/>
      <c r="E355" s="271"/>
      <c r="F355" s="270"/>
      <c r="G355" s="270"/>
      <c r="H355" s="270"/>
      <c r="I355" s="270"/>
    </row>
    <row r="356">
      <c r="A356" s="253"/>
      <c r="B356" s="253"/>
      <c r="C356" s="253"/>
      <c r="D356" s="271"/>
      <c r="E356" s="271"/>
      <c r="F356" s="270"/>
      <c r="G356" s="270"/>
      <c r="H356" s="270"/>
      <c r="I356" s="270"/>
    </row>
    <row r="357">
      <c r="A357" s="253"/>
      <c r="B357" s="253"/>
      <c r="C357" s="253"/>
      <c r="D357" s="271"/>
      <c r="E357" s="271"/>
      <c r="F357" s="270"/>
      <c r="G357" s="270"/>
      <c r="H357" s="270"/>
      <c r="I357" s="270"/>
    </row>
    <row r="358">
      <c r="A358" s="253"/>
      <c r="B358" s="253"/>
      <c r="C358" s="253"/>
      <c r="D358" s="271"/>
      <c r="E358" s="271"/>
      <c r="F358" s="270"/>
      <c r="G358" s="270"/>
      <c r="H358" s="270"/>
      <c r="I358" s="270"/>
    </row>
    <row r="359">
      <c r="A359" s="253"/>
      <c r="B359" s="253"/>
      <c r="C359" s="253"/>
      <c r="D359" s="271"/>
      <c r="E359" s="271"/>
      <c r="F359" s="270"/>
      <c r="G359" s="270"/>
      <c r="H359" s="270"/>
      <c r="I359" s="270"/>
    </row>
    <row r="360">
      <c r="A360" s="253"/>
      <c r="B360" s="253"/>
      <c r="C360" s="253"/>
      <c r="D360" s="271"/>
      <c r="E360" s="271"/>
      <c r="F360" s="270"/>
      <c r="G360" s="270"/>
      <c r="H360" s="270"/>
      <c r="I360" s="270"/>
    </row>
    <row r="361">
      <c r="A361" s="253"/>
      <c r="B361" s="253"/>
      <c r="C361" s="253"/>
      <c r="D361" s="271"/>
      <c r="E361" s="271"/>
      <c r="F361" s="270"/>
      <c r="G361" s="270"/>
      <c r="H361" s="270"/>
      <c r="I361" s="270"/>
    </row>
    <row r="362">
      <c r="A362" s="253"/>
      <c r="B362" s="253"/>
      <c r="C362" s="253"/>
      <c r="D362" s="271"/>
      <c r="E362" s="271"/>
      <c r="F362" s="270"/>
      <c r="G362" s="270"/>
      <c r="H362" s="270"/>
      <c r="I362" s="270"/>
    </row>
    <row r="363">
      <c r="A363" s="253"/>
      <c r="B363" s="253"/>
      <c r="C363" s="253"/>
      <c r="D363" s="271"/>
      <c r="E363" s="271"/>
      <c r="F363" s="270"/>
      <c r="G363" s="270"/>
      <c r="H363" s="270"/>
      <c r="I363" s="270"/>
    </row>
    <row r="364">
      <c r="A364" s="253"/>
      <c r="B364" s="253"/>
      <c r="C364" s="253"/>
      <c r="D364" s="271"/>
      <c r="E364" s="271"/>
      <c r="F364" s="270"/>
      <c r="G364" s="270"/>
      <c r="H364" s="270"/>
      <c r="I364" s="270"/>
    </row>
    <row r="365">
      <c r="A365" s="253"/>
      <c r="B365" s="253"/>
      <c r="C365" s="253"/>
      <c r="D365" s="271"/>
      <c r="E365" s="271"/>
      <c r="F365" s="270"/>
      <c r="G365" s="270"/>
      <c r="H365" s="270"/>
      <c r="I365" s="270"/>
    </row>
    <row r="366">
      <c r="A366" s="253"/>
      <c r="B366" s="253"/>
      <c r="C366" s="253"/>
      <c r="D366" s="271"/>
      <c r="E366" s="271"/>
      <c r="F366" s="270"/>
      <c r="G366" s="270"/>
      <c r="H366" s="270"/>
      <c r="I366" s="270"/>
    </row>
    <row r="367">
      <c r="A367" s="253"/>
      <c r="B367" s="253"/>
      <c r="C367" s="253"/>
      <c r="D367" s="271"/>
      <c r="E367" s="271"/>
      <c r="F367" s="270"/>
      <c r="G367" s="270"/>
      <c r="H367" s="270"/>
      <c r="I367" s="270"/>
    </row>
    <row r="368">
      <c r="A368" s="253"/>
      <c r="B368" s="253"/>
      <c r="C368" s="253"/>
      <c r="D368" s="271"/>
      <c r="E368" s="271"/>
      <c r="F368" s="270"/>
      <c r="G368" s="270"/>
      <c r="H368" s="270"/>
      <c r="I368" s="270"/>
    </row>
    <row r="369">
      <c r="A369" s="253"/>
      <c r="B369" s="253"/>
      <c r="C369" s="253"/>
      <c r="D369" s="271"/>
      <c r="E369" s="271"/>
      <c r="F369" s="270"/>
      <c r="G369" s="270"/>
      <c r="H369" s="270"/>
      <c r="I369" s="270"/>
    </row>
    <row r="370">
      <c r="A370" s="253"/>
      <c r="B370" s="253"/>
      <c r="C370" s="253"/>
      <c r="D370" s="271"/>
      <c r="E370" s="271"/>
      <c r="F370" s="270"/>
      <c r="G370" s="270"/>
      <c r="H370" s="270"/>
      <c r="I370" s="270"/>
    </row>
    <row r="371">
      <c r="A371" s="253"/>
      <c r="B371" s="253"/>
      <c r="C371" s="253"/>
      <c r="D371" s="271"/>
      <c r="E371" s="271"/>
      <c r="F371" s="270"/>
      <c r="G371" s="270"/>
      <c r="H371" s="270"/>
      <c r="I371" s="270"/>
    </row>
    <row r="372">
      <c r="A372" s="253"/>
      <c r="B372" s="253"/>
      <c r="C372" s="253"/>
      <c r="D372" s="271"/>
      <c r="E372" s="271"/>
      <c r="F372" s="270"/>
      <c r="G372" s="270"/>
      <c r="H372" s="270"/>
      <c r="I372" s="270"/>
    </row>
    <row r="373">
      <c r="A373" s="253"/>
      <c r="B373" s="253"/>
      <c r="C373" s="253"/>
      <c r="D373" s="271"/>
      <c r="E373" s="271"/>
      <c r="F373" s="270"/>
      <c r="G373" s="270"/>
      <c r="H373" s="270"/>
      <c r="I373" s="270"/>
    </row>
    <row r="374">
      <c r="A374" s="253"/>
      <c r="B374" s="253"/>
      <c r="C374" s="253"/>
      <c r="D374" s="271"/>
      <c r="E374" s="271"/>
      <c r="F374" s="270"/>
      <c r="G374" s="270"/>
      <c r="H374" s="270"/>
      <c r="I374" s="270"/>
    </row>
    <row r="375">
      <c r="A375" s="253"/>
      <c r="B375" s="253"/>
      <c r="C375" s="253"/>
      <c r="D375" s="271"/>
      <c r="E375" s="271"/>
      <c r="F375" s="270"/>
      <c r="G375" s="270"/>
      <c r="H375" s="270"/>
      <c r="I375" s="270"/>
    </row>
    <row r="376">
      <c r="A376" s="253"/>
      <c r="B376" s="253"/>
      <c r="C376" s="253"/>
      <c r="D376" s="271"/>
      <c r="E376" s="271"/>
      <c r="F376" s="270"/>
      <c r="G376" s="270"/>
      <c r="H376" s="270"/>
      <c r="I376" s="270"/>
    </row>
    <row r="377">
      <c r="A377" s="253"/>
      <c r="B377" s="253"/>
      <c r="C377" s="253"/>
      <c r="D377" s="271"/>
      <c r="E377" s="271"/>
      <c r="F377" s="270"/>
      <c r="G377" s="270"/>
      <c r="H377" s="270"/>
      <c r="I377" s="270"/>
    </row>
    <row r="378">
      <c r="A378" s="253"/>
      <c r="B378" s="253"/>
      <c r="C378" s="253"/>
      <c r="D378" s="271"/>
      <c r="E378" s="271"/>
      <c r="F378" s="270"/>
      <c r="G378" s="270"/>
      <c r="H378" s="270"/>
      <c r="I378" s="270"/>
    </row>
    <row r="379">
      <c r="A379" s="253"/>
      <c r="B379" s="253"/>
      <c r="C379" s="253"/>
      <c r="D379" s="271"/>
      <c r="E379" s="271"/>
      <c r="F379" s="270"/>
      <c r="G379" s="270"/>
      <c r="H379" s="270"/>
      <c r="I379" s="270"/>
    </row>
    <row r="380">
      <c r="A380" s="253"/>
      <c r="B380" s="253"/>
      <c r="C380" s="253"/>
      <c r="D380" s="271"/>
      <c r="E380" s="271"/>
      <c r="F380" s="270"/>
      <c r="G380" s="270"/>
      <c r="H380" s="270"/>
      <c r="I380" s="270"/>
    </row>
    <row r="381">
      <c r="A381" s="253"/>
      <c r="B381" s="253"/>
      <c r="C381" s="253"/>
      <c r="D381" s="271"/>
      <c r="E381" s="271"/>
      <c r="F381" s="270"/>
      <c r="G381" s="270"/>
      <c r="H381" s="270"/>
      <c r="I381" s="270"/>
    </row>
    <row r="382">
      <c r="A382" s="253"/>
      <c r="B382" s="253"/>
      <c r="C382" s="253"/>
      <c r="D382" s="271"/>
      <c r="E382" s="271"/>
      <c r="F382" s="270"/>
      <c r="G382" s="270"/>
      <c r="H382" s="270"/>
      <c r="I382" s="270"/>
    </row>
    <row r="383">
      <c r="A383" s="253"/>
      <c r="B383" s="253"/>
      <c r="C383" s="253"/>
      <c r="D383" s="271"/>
      <c r="E383" s="271"/>
      <c r="F383" s="270"/>
      <c r="G383" s="270"/>
      <c r="H383" s="270"/>
      <c r="I383" s="270"/>
    </row>
    <row r="384">
      <c r="A384" s="253"/>
      <c r="B384" s="253"/>
      <c r="C384" s="253"/>
      <c r="D384" s="271"/>
      <c r="E384" s="271"/>
      <c r="F384" s="270"/>
      <c r="G384" s="270"/>
      <c r="H384" s="270"/>
      <c r="I384" s="270"/>
    </row>
    <row r="385">
      <c r="A385" s="253"/>
      <c r="B385" s="253"/>
      <c r="C385" s="253"/>
      <c r="D385" s="271"/>
      <c r="E385" s="271"/>
      <c r="F385" s="270"/>
      <c r="G385" s="270"/>
      <c r="H385" s="270"/>
      <c r="I385" s="270"/>
    </row>
    <row r="386">
      <c r="A386" s="253"/>
      <c r="B386" s="253"/>
      <c r="C386" s="253"/>
      <c r="D386" s="271"/>
      <c r="E386" s="271"/>
      <c r="F386" s="270"/>
      <c r="G386" s="270"/>
      <c r="H386" s="270"/>
      <c r="I386" s="270"/>
    </row>
    <row r="387">
      <c r="A387" s="253"/>
      <c r="B387" s="253"/>
      <c r="C387" s="253"/>
      <c r="D387" s="271"/>
      <c r="E387" s="271"/>
      <c r="F387" s="270"/>
      <c r="G387" s="270"/>
      <c r="H387" s="270"/>
      <c r="I387" s="270"/>
    </row>
    <row r="388">
      <c r="A388" s="253"/>
      <c r="B388" s="253"/>
      <c r="C388" s="253"/>
      <c r="D388" s="271"/>
      <c r="E388" s="271"/>
      <c r="F388" s="270"/>
      <c r="G388" s="270"/>
      <c r="H388" s="270"/>
      <c r="I388" s="270"/>
    </row>
    <row r="389">
      <c r="A389" s="253"/>
      <c r="B389" s="253"/>
      <c r="C389" s="253"/>
      <c r="D389" s="271"/>
      <c r="E389" s="271"/>
      <c r="F389" s="270"/>
      <c r="G389" s="270"/>
      <c r="H389" s="270"/>
      <c r="I389" s="270"/>
    </row>
    <row r="390">
      <c r="A390" s="253"/>
      <c r="B390" s="253"/>
      <c r="C390" s="253"/>
      <c r="D390" s="271"/>
      <c r="E390" s="271"/>
      <c r="F390" s="270"/>
      <c r="G390" s="270"/>
      <c r="H390" s="270"/>
      <c r="I390" s="270"/>
    </row>
    <row r="391">
      <c r="A391" s="253"/>
      <c r="B391" s="253"/>
      <c r="C391" s="253"/>
      <c r="D391" s="271"/>
      <c r="E391" s="271"/>
      <c r="F391" s="270"/>
      <c r="G391" s="270"/>
      <c r="H391" s="270"/>
      <c r="I391" s="270"/>
    </row>
    <row r="392">
      <c r="A392" s="253"/>
      <c r="B392" s="253"/>
      <c r="C392" s="253"/>
      <c r="D392" s="271"/>
      <c r="E392" s="271"/>
      <c r="F392" s="270"/>
      <c r="G392" s="270"/>
      <c r="H392" s="270"/>
      <c r="I392" s="270"/>
    </row>
    <row r="393">
      <c r="A393" s="253"/>
      <c r="B393" s="253"/>
      <c r="C393" s="253"/>
      <c r="D393" s="271"/>
      <c r="E393" s="271"/>
      <c r="F393" s="270"/>
      <c r="G393" s="270"/>
      <c r="H393" s="270"/>
      <c r="I393" s="270"/>
    </row>
    <row r="394">
      <c r="A394" s="253"/>
      <c r="B394" s="253"/>
      <c r="C394" s="253"/>
      <c r="D394" s="271"/>
      <c r="E394" s="271"/>
      <c r="F394" s="270"/>
      <c r="G394" s="270"/>
      <c r="H394" s="270"/>
      <c r="I394" s="270"/>
    </row>
    <row r="395">
      <c r="A395" s="253"/>
      <c r="B395" s="253"/>
      <c r="C395" s="253"/>
      <c r="D395" s="271"/>
      <c r="E395" s="271"/>
      <c r="F395" s="270"/>
      <c r="G395" s="270"/>
      <c r="H395" s="270"/>
      <c r="I395" s="270"/>
    </row>
    <row r="396">
      <c r="A396" s="253"/>
      <c r="B396" s="253"/>
      <c r="C396" s="253"/>
      <c r="D396" s="271"/>
      <c r="E396" s="271"/>
      <c r="F396" s="270"/>
      <c r="G396" s="270"/>
      <c r="H396" s="270"/>
      <c r="I396" s="270"/>
    </row>
    <row r="397">
      <c r="A397" s="253"/>
      <c r="B397" s="253"/>
      <c r="C397" s="253"/>
      <c r="D397" s="271"/>
      <c r="E397" s="271"/>
      <c r="F397" s="270"/>
      <c r="G397" s="270"/>
      <c r="H397" s="270"/>
      <c r="I397" s="270"/>
    </row>
    <row r="398">
      <c r="A398" s="253"/>
      <c r="B398" s="253"/>
      <c r="C398" s="253"/>
      <c r="D398" s="271"/>
      <c r="E398" s="271"/>
      <c r="F398" s="270"/>
      <c r="G398" s="270"/>
      <c r="H398" s="270"/>
      <c r="I398" s="270"/>
    </row>
    <row r="399">
      <c r="A399" s="253"/>
      <c r="B399" s="253"/>
      <c r="C399" s="253"/>
      <c r="D399" s="271"/>
      <c r="E399" s="271"/>
      <c r="F399" s="270"/>
      <c r="G399" s="270"/>
      <c r="H399" s="270"/>
      <c r="I399" s="270"/>
    </row>
    <row r="400">
      <c r="A400" s="253"/>
      <c r="B400" s="253"/>
      <c r="C400" s="253"/>
      <c r="D400" s="271"/>
      <c r="E400" s="271"/>
      <c r="F400" s="270"/>
      <c r="G400" s="270"/>
      <c r="H400" s="270"/>
      <c r="I400" s="270"/>
    </row>
    <row r="401">
      <c r="A401" s="253"/>
      <c r="B401" s="253"/>
      <c r="C401" s="253"/>
      <c r="D401" s="271"/>
      <c r="E401" s="271"/>
      <c r="F401" s="270"/>
      <c r="G401" s="270"/>
      <c r="H401" s="270"/>
      <c r="I401" s="270"/>
    </row>
    <row r="402">
      <c r="A402" s="253"/>
      <c r="B402" s="253"/>
      <c r="C402" s="253"/>
      <c r="D402" s="271"/>
      <c r="E402" s="271"/>
      <c r="F402" s="270"/>
      <c r="G402" s="270"/>
      <c r="H402" s="270"/>
      <c r="I402" s="270"/>
    </row>
    <row r="403">
      <c r="A403" s="253"/>
      <c r="B403" s="253"/>
      <c r="C403" s="253"/>
      <c r="D403" s="271"/>
      <c r="E403" s="271"/>
      <c r="F403" s="270"/>
      <c r="G403" s="270"/>
      <c r="H403" s="270"/>
      <c r="I403" s="270"/>
    </row>
    <row r="404">
      <c r="A404" s="253"/>
      <c r="B404" s="253"/>
      <c r="C404" s="253"/>
      <c r="D404" s="271"/>
      <c r="E404" s="271"/>
      <c r="F404" s="270"/>
      <c r="G404" s="270"/>
      <c r="H404" s="270"/>
      <c r="I404" s="270"/>
    </row>
    <row r="405">
      <c r="A405" s="253"/>
      <c r="B405" s="253"/>
      <c r="C405" s="253"/>
      <c r="D405" s="271"/>
      <c r="E405" s="271"/>
      <c r="F405" s="270"/>
      <c r="G405" s="270"/>
      <c r="H405" s="270"/>
      <c r="I405" s="270"/>
    </row>
    <row r="406">
      <c r="A406" s="253"/>
      <c r="B406" s="253"/>
      <c r="C406" s="253"/>
      <c r="D406" s="271"/>
      <c r="E406" s="271"/>
      <c r="F406" s="270"/>
      <c r="G406" s="270"/>
      <c r="H406" s="270"/>
      <c r="I406" s="270"/>
    </row>
    <row r="407">
      <c r="A407" s="253"/>
      <c r="B407" s="253"/>
      <c r="C407" s="253"/>
      <c r="D407" s="271"/>
      <c r="E407" s="271"/>
      <c r="F407" s="270"/>
      <c r="G407" s="270"/>
      <c r="H407" s="270"/>
      <c r="I407" s="270"/>
    </row>
    <row r="408">
      <c r="A408" s="253"/>
      <c r="B408" s="253"/>
      <c r="C408" s="253"/>
      <c r="D408" s="271"/>
      <c r="E408" s="271"/>
      <c r="F408" s="270"/>
      <c r="G408" s="270"/>
      <c r="H408" s="270"/>
      <c r="I408" s="270"/>
    </row>
    <row r="409">
      <c r="A409" s="253"/>
      <c r="B409" s="253"/>
      <c r="C409" s="253"/>
      <c r="D409" s="271"/>
      <c r="E409" s="271"/>
      <c r="F409" s="270"/>
      <c r="G409" s="270"/>
      <c r="H409" s="270"/>
      <c r="I409" s="270"/>
    </row>
    <row r="410">
      <c r="A410" s="253"/>
      <c r="B410" s="253"/>
      <c r="C410" s="253"/>
      <c r="D410" s="271"/>
      <c r="E410" s="271"/>
      <c r="F410" s="270"/>
      <c r="G410" s="270"/>
      <c r="H410" s="270"/>
      <c r="I410" s="270"/>
    </row>
    <row r="411">
      <c r="A411" s="253"/>
      <c r="B411" s="253"/>
      <c r="C411" s="253"/>
      <c r="D411" s="271"/>
      <c r="E411" s="271"/>
      <c r="F411" s="270"/>
      <c r="G411" s="270"/>
      <c r="H411" s="270"/>
      <c r="I411" s="270"/>
    </row>
    <row r="412">
      <c r="A412" s="253"/>
      <c r="B412" s="253"/>
      <c r="C412" s="253"/>
      <c r="D412" s="271"/>
      <c r="E412" s="271"/>
      <c r="F412" s="270"/>
      <c r="G412" s="270"/>
      <c r="H412" s="270"/>
      <c r="I412" s="270"/>
    </row>
    <row r="413">
      <c r="A413" s="253"/>
      <c r="B413" s="253"/>
      <c r="C413" s="253"/>
      <c r="D413" s="271"/>
      <c r="E413" s="271"/>
      <c r="F413" s="270"/>
      <c r="G413" s="270"/>
      <c r="H413" s="270"/>
      <c r="I413" s="270"/>
    </row>
    <row r="414">
      <c r="A414" s="253"/>
      <c r="B414" s="253"/>
      <c r="C414" s="253"/>
      <c r="D414" s="271"/>
      <c r="E414" s="271"/>
      <c r="F414" s="270"/>
      <c r="G414" s="270"/>
      <c r="H414" s="270"/>
      <c r="I414" s="270"/>
    </row>
    <row r="415">
      <c r="A415" s="253"/>
      <c r="B415" s="253"/>
      <c r="C415" s="253"/>
      <c r="D415" s="271"/>
      <c r="E415" s="271"/>
      <c r="F415" s="270"/>
      <c r="G415" s="270"/>
      <c r="H415" s="270"/>
      <c r="I415" s="270"/>
    </row>
    <row r="416">
      <c r="A416" s="253"/>
      <c r="B416" s="253"/>
      <c r="C416" s="253"/>
      <c r="D416" s="271"/>
      <c r="E416" s="271"/>
      <c r="F416" s="270"/>
      <c r="G416" s="270"/>
      <c r="H416" s="270"/>
      <c r="I416" s="270"/>
    </row>
    <row r="417">
      <c r="A417" s="253"/>
      <c r="B417" s="253"/>
      <c r="C417" s="253"/>
      <c r="D417" s="271"/>
      <c r="E417" s="271"/>
      <c r="F417" s="270"/>
      <c r="G417" s="270"/>
      <c r="H417" s="270"/>
      <c r="I417" s="270"/>
    </row>
    <row r="418">
      <c r="A418" s="253"/>
      <c r="B418" s="253"/>
      <c r="C418" s="253"/>
      <c r="D418" s="271"/>
      <c r="E418" s="271"/>
      <c r="F418" s="270"/>
      <c r="G418" s="270"/>
      <c r="H418" s="270"/>
      <c r="I418" s="270"/>
    </row>
    <row r="419">
      <c r="A419" s="253"/>
      <c r="B419" s="253"/>
      <c r="C419" s="253"/>
      <c r="D419" s="271"/>
      <c r="E419" s="271"/>
      <c r="F419" s="270"/>
      <c r="G419" s="270"/>
      <c r="H419" s="270"/>
      <c r="I419" s="270"/>
    </row>
    <row r="420">
      <c r="A420" s="253"/>
      <c r="B420" s="253"/>
      <c r="C420" s="253"/>
      <c r="D420" s="271"/>
      <c r="E420" s="271"/>
      <c r="F420" s="270"/>
      <c r="G420" s="270"/>
      <c r="H420" s="270"/>
      <c r="I420" s="270"/>
    </row>
    <row r="421">
      <c r="A421" s="253"/>
      <c r="B421" s="253"/>
      <c r="C421" s="253"/>
      <c r="D421" s="271"/>
      <c r="E421" s="271"/>
      <c r="F421" s="270"/>
      <c r="G421" s="270"/>
      <c r="H421" s="270"/>
      <c r="I421" s="270"/>
    </row>
    <row r="422">
      <c r="A422" s="253"/>
      <c r="B422" s="253"/>
      <c r="C422" s="253"/>
      <c r="D422" s="271"/>
      <c r="E422" s="271"/>
      <c r="F422" s="270"/>
      <c r="G422" s="270"/>
      <c r="H422" s="270"/>
      <c r="I422" s="270"/>
    </row>
    <row r="423">
      <c r="A423" s="253"/>
      <c r="B423" s="253"/>
      <c r="C423" s="253"/>
      <c r="D423" s="271"/>
      <c r="E423" s="271"/>
      <c r="F423" s="270"/>
      <c r="G423" s="270"/>
      <c r="H423" s="270"/>
      <c r="I423" s="270"/>
    </row>
    <row r="424">
      <c r="A424" s="253"/>
      <c r="B424" s="253"/>
      <c r="C424" s="253"/>
      <c r="D424" s="271"/>
      <c r="E424" s="271"/>
      <c r="F424" s="270"/>
      <c r="G424" s="270"/>
      <c r="H424" s="270"/>
      <c r="I424" s="270"/>
    </row>
    <row r="425">
      <c r="A425" s="253"/>
      <c r="B425" s="253"/>
      <c r="C425" s="253"/>
      <c r="D425" s="271"/>
      <c r="E425" s="271"/>
      <c r="F425" s="270"/>
      <c r="G425" s="270"/>
      <c r="H425" s="270"/>
      <c r="I425" s="270"/>
    </row>
    <row r="426">
      <c r="A426" s="253"/>
      <c r="B426" s="253"/>
      <c r="C426" s="253"/>
      <c r="D426" s="271"/>
      <c r="E426" s="271"/>
      <c r="F426" s="270"/>
      <c r="G426" s="270"/>
      <c r="H426" s="270"/>
      <c r="I426" s="270"/>
    </row>
    <row r="427">
      <c r="A427" s="253"/>
      <c r="B427" s="253"/>
      <c r="C427" s="253"/>
      <c r="D427" s="271"/>
      <c r="E427" s="271"/>
      <c r="F427" s="270"/>
      <c r="G427" s="270"/>
      <c r="H427" s="270"/>
      <c r="I427" s="270"/>
    </row>
    <row r="428">
      <c r="A428" s="253"/>
      <c r="B428" s="253"/>
      <c r="C428" s="253"/>
      <c r="D428" s="271"/>
      <c r="E428" s="271"/>
      <c r="F428" s="270"/>
      <c r="G428" s="270"/>
      <c r="H428" s="270"/>
      <c r="I428" s="270"/>
    </row>
    <row r="429">
      <c r="A429" s="253"/>
      <c r="B429" s="253"/>
      <c r="C429" s="253"/>
      <c r="D429" s="271"/>
      <c r="E429" s="271"/>
      <c r="F429" s="270"/>
      <c r="G429" s="270"/>
      <c r="H429" s="270"/>
      <c r="I429" s="270"/>
    </row>
    <row r="430">
      <c r="A430" s="253"/>
      <c r="B430" s="253"/>
      <c r="C430" s="253"/>
      <c r="D430" s="271"/>
      <c r="E430" s="271"/>
      <c r="F430" s="270"/>
      <c r="G430" s="270"/>
      <c r="H430" s="270"/>
      <c r="I430" s="270"/>
    </row>
    <row r="431">
      <c r="A431" s="253"/>
      <c r="B431" s="253"/>
      <c r="C431" s="253"/>
      <c r="D431" s="271"/>
      <c r="E431" s="271"/>
      <c r="F431" s="270"/>
      <c r="G431" s="270"/>
      <c r="H431" s="270"/>
      <c r="I431" s="270"/>
    </row>
    <row r="432">
      <c r="A432" s="253"/>
      <c r="B432" s="253"/>
      <c r="C432" s="253"/>
      <c r="D432" s="271"/>
      <c r="E432" s="271"/>
      <c r="F432" s="270"/>
      <c r="G432" s="270"/>
      <c r="H432" s="270"/>
      <c r="I432" s="270"/>
    </row>
    <row r="433">
      <c r="A433" s="253"/>
      <c r="B433" s="253"/>
      <c r="C433" s="253"/>
      <c r="D433" s="271"/>
      <c r="E433" s="271"/>
      <c r="F433" s="270"/>
      <c r="G433" s="270"/>
      <c r="H433" s="270"/>
      <c r="I433" s="270"/>
    </row>
    <row r="434">
      <c r="A434" s="253"/>
      <c r="B434" s="253"/>
      <c r="C434" s="253"/>
      <c r="D434" s="271"/>
      <c r="E434" s="271"/>
      <c r="F434" s="270"/>
      <c r="G434" s="270"/>
      <c r="H434" s="270"/>
      <c r="I434" s="270"/>
    </row>
    <row r="435">
      <c r="A435" s="253"/>
      <c r="B435" s="253"/>
      <c r="C435" s="253"/>
      <c r="D435" s="271"/>
      <c r="E435" s="271"/>
      <c r="F435" s="270"/>
      <c r="G435" s="270"/>
      <c r="H435" s="270"/>
      <c r="I435" s="270"/>
    </row>
    <row r="436">
      <c r="A436" s="253"/>
      <c r="B436" s="253"/>
      <c r="C436" s="253"/>
      <c r="D436" s="271"/>
      <c r="E436" s="271"/>
      <c r="F436" s="270"/>
      <c r="G436" s="270"/>
      <c r="H436" s="270"/>
      <c r="I436" s="270"/>
    </row>
    <row r="437">
      <c r="A437" s="253"/>
      <c r="B437" s="253"/>
      <c r="C437" s="253"/>
      <c r="D437" s="271"/>
      <c r="E437" s="271"/>
      <c r="F437" s="270"/>
      <c r="G437" s="270"/>
      <c r="H437" s="270"/>
      <c r="I437" s="270"/>
    </row>
    <row r="438">
      <c r="A438" s="253"/>
      <c r="B438" s="253"/>
      <c r="C438" s="253"/>
      <c r="D438" s="271"/>
      <c r="E438" s="271"/>
      <c r="F438" s="270"/>
      <c r="G438" s="270"/>
      <c r="H438" s="270"/>
      <c r="I438" s="270"/>
    </row>
    <row r="439">
      <c r="A439" s="253"/>
      <c r="B439" s="253"/>
      <c r="C439" s="253"/>
      <c r="D439" s="271"/>
      <c r="E439" s="271"/>
      <c r="F439" s="270"/>
      <c r="G439" s="270"/>
      <c r="H439" s="270"/>
      <c r="I439" s="270"/>
    </row>
    <row r="440">
      <c r="A440" s="253"/>
      <c r="B440" s="253"/>
      <c r="C440" s="253"/>
      <c r="D440" s="271"/>
      <c r="E440" s="271"/>
      <c r="F440" s="270"/>
      <c r="G440" s="270"/>
      <c r="H440" s="270"/>
      <c r="I440" s="270"/>
    </row>
    <row r="441">
      <c r="A441" s="253"/>
      <c r="B441" s="253"/>
      <c r="C441" s="253"/>
      <c r="D441" s="271"/>
      <c r="E441" s="271"/>
      <c r="F441" s="270"/>
      <c r="G441" s="270"/>
      <c r="H441" s="270"/>
      <c r="I441" s="270"/>
    </row>
    <row r="442">
      <c r="A442" s="253"/>
      <c r="B442" s="253"/>
      <c r="C442" s="253"/>
      <c r="D442" s="271"/>
      <c r="E442" s="271"/>
      <c r="F442" s="270"/>
      <c r="G442" s="270"/>
      <c r="H442" s="270"/>
      <c r="I442" s="270"/>
    </row>
    <row r="443">
      <c r="A443" s="253"/>
      <c r="B443" s="253"/>
      <c r="C443" s="253"/>
      <c r="D443" s="271"/>
      <c r="E443" s="271"/>
      <c r="F443" s="270"/>
      <c r="G443" s="270"/>
      <c r="H443" s="270"/>
      <c r="I443" s="270"/>
    </row>
    <row r="444">
      <c r="A444" s="253"/>
      <c r="B444" s="253"/>
      <c r="C444" s="253"/>
      <c r="D444" s="271"/>
      <c r="E444" s="271"/>
      <c r="F444" s="270"/>
      <c r="G444" s="270"/>
      <c r="H444" s="270"/>
      <c r="I444" s="270"/>
    </row>
    <row r="445">
      <c r="A445" s="253"/>
      <c r="B445" s="253"/>
      <c r="C445" s="253"/>
      <c r="D445" s="271"/>
      <c r="E445" s="271"/>
      <c r="F445" s="270"/>
      <c r="G445" s="270"/>
      <c r="H445" s="270"/>
      <c r="I445" s="270"/>
    </row>
    <row r="446">
      <c r="A446" s="253"/>
      <c r="B446" s="253"/>
      <c r="C446" s="253"/>
      <c r="D446" s="271"/>
      <c r="E446" s="271"/>
      <c r="F446" s="270"/>
      <c r="G446" s="270"/>
      <c r="H446" s="270"/>
      <c r="I446" s="270"/>
    </row>
    <row r="447">
      <c r="A447" s="253"/>
      <c r="B447" s="253"/>
      <c r="C447" s="253"/>
      <c r="D447" s="271"/>
      <c r="E447" s="271"/>
      <c r="F447" s="270"/>
      <c r="G447" s="270"/>
      <c r="H447" s="270"/>
      <c r="I447" s="270"/>
    </row>
    <row r="448">
      <c r="A448" s="253"/>
      <c r="B448" s="253"/>
      <c r="C448" s="253"/>
      <c r="D448" s="271"/>
      <c r="E448" s="271"/>
      <c r="F448" s="270"/>
      <c r="G448" s="270"/>
      <c r="H448" s="270"/>
      <c r="I448" s="270"/>
    </row>
    <row r="449">
      <c r="A449" s="253"/>
      <c r="B449" s="253"/>
      <c r="C449" s="253"/>
      <c r="D449" s="271"/>
      <c r="E449" s="271"/>
      <c r="F449" s="270"/>
      <c r="G449" s="270"/>
      <c r="H449" s="270"/>
      <c r="I449" s="270"/>
    </row>
    <row r="450">
      <c r="A450" s="253"/>
      <c r="B450" s="253"/>
      <c r="C450" s="253"/>
      <c r="D450" s="271"/>
      <c r="E450" s="271"/>
      <c r="F450" s="270"/>
      <c r="G450" s="270"/>
      <c r="H450" s="270"/>
      <c r="I450" s="270"/>
    </row>
    <row r="451">
      <c r="A451" s="253"/>
      <c r="B451" s="253"/>
      <c r="C451" s="253"/>
      <c r="D451" s="271"/>
      <c r="E451" s="271"/>
      <c r="F451" s="270"/>
      <c r="G451" s="270"/>
      <c r="H451" s="270"/>
      <c r="I451" s="270"/>
    </row>
    <row r="452">
      <c r="A452" s="253"/>
      <c r="B452" s="253"/>
      <c r="C452" s="253"/>
      <c r="D452" s="271"/>
      <c r="E452" s="271"/>
      <c r="F452" s="270"/>
      <c r="G452" s="270"/>
      <c r="H452" s="270"/>
      <c r="I452" s="270"/>
    </row>
    <row r="453">
      <c r="A453" s="253"/>
      <c r="B453" s="253"/>
      <c r="C453" s="253"/>
      <c r="D453" s="271"/>
      <c r="E453" s="271"/>
      <c r="F453" s="270"/>
      <c r="G453" s="270"/>
      <c r="H453" s="270"/>
      <c r="I453" s="270"/>
    </row>
    <row r="454">
      <c r="A454" s="253"/>
      <c r="B454" s="253"/>
      <c r="C454" s="253"/>
      <c r="D454" s="271"/>
      <c r="E454" s="271"/>
      <c r="F454" s="270"/>
      <c r="G454" s="270"/>
      <c r="H454" s="270"/>
      <c r="I454" s="270"/>
    </row>
    <row r="455">
      <c r="A455" s="253"/>
      <c r="B455" s="253"/>
      <c r="C455" s="253"/>
      <c r="D455" s="271"/>
      <c r="E455" s="271"/>
      <c r="F455" s="270"/>
      <c r="G455" s="270"/>
      <c r="H455" s="270"/>
      <c r="I455" s="270"/>
    </row>
    <row r="456">
      <c r="A456" s="253"/>
      <c r="B456" s="253"/>
      <c r="C456" s="253"/>
      <c r="D456" s="271"/>
      <c r="E456" s="271"/>
      <c r="F456" s="270"/>
      <c r="G456" s="270"/>
      <c r="H456" s="270"/>
      <c r="I456" s="270"/>
    </row>
    <row r="457">
      <c r="A457" s="253"/>
      <c r="B457" s="253"/>
      <c r="C457" s="253"/>
      <c r="D457" s="271"/>
      <c r="E457" s="271"/>
      <c r="F457" s="270"/>
      <c r="G457" s="270"/>
      <c r="H457" s="270"/>
      <c r="I457" s="270"/>
    </row>
    <row r="458">
      <c r="A458" s="253"/>
      <c r="B458" s="253"/>
      <c r="C458" s="253"/>
      <c r="D458" s="271"/>
      <c r="E458" s="271"/>
      <c r="F458" s="270"/>
      <c r="G458" s="270"/>
      <c r="H458" s="270"/>
      <c r="I458" s="270"/>
    </row>
    <row r="459">
      <c r="A459" s="253"/>
      <c r="B459" s="253"/>
      <c r="C459" s="253"/>
      <c r="D459" s="271"/>
      <c r="E459" s="271"/>
      <c r="F459" s="270"/>
      <c r="G459" s="270"/>
      <c r="H459" s="270"/>
      <c r="I459" s="270"/>
    </row>
    <row r="460">
      <c r="A460" s="253"/>
      <c r="B460" s="253"/>
      <c r="C460" s="253"/>
      <c r="D460" s="271"/>
      <c r="E460" s="271"/>
      <c r="F460" s="270"/>
      <c r="G460" s="270"/>
      <c r="H460" s="270"/>
      <c r="I460" s="270"/>
    </row>
    <row r="461">
      <c r="A461" s="253"/>
      <c r="B461" s="253"/>
      <c r="C461" s="253"/>
      <c r="D461" s="271"/>
      <c r="E461" s="271"/>
      <c r="F461" s="270"/>
      <c r="G461" s="270"/>
      <c r="H461" s="270"/>
      <c r="I461" s="270"/>
    </row>
    <row r="462">
      <c r="A462" s="253"/>
      <c r="B462" s="253"/>
      <c r="C462" s="253"/>
      <c r="D462" s="271"/>
      <c r="E462" s="271"/>
      <c r="F462" s="270"/>
      <c r="G462" s="270"/>
      <c r="H462" s="270"/>
      <c r="I462" s="270"/>
    </row>
    <row r="463">
      <c r="A463" s="253"/>
      <c r="B463" s="253"/>
      <c r="C463" s="253"/>
      <c r="D463" s="271"/>
      <c r="E463" s="271"/>
      <c r="F463" s="270"/>
      <c r="G463" s="270"/>
      <c r="H463" s="270"/>
      <c r="I463" s="270"/>
    </row>
    <row r="464">
      <c r="A464" s="253"/>
      <c r="B464" s="253"/>
      <c r="C464" s="253"/>
      <c r="D464" s="271"/>
      <c r="E464" s="271"/>
      <c r="F464" s="270"/>
      <c r="G464" s="270"/>
      <c r="H464" s="270"/>
      <c r="I464" s="270"/>
    </row>
    <row r="465">
      <c r="A465" s="253"/>
      <c r="B465" s="253"/>
      <c r="C465" s="253"/>
      <c r="D465" s="271"/>
      <c r="E465" s="271"/>
      <c r="F465" s="270"/>
      <c r="G465" s="270"/>
      <c r="H465" s="270"/>
      <c r="I465" s="270"/>
    </row>
    <row r="466">
      <c r="A466" s="253"/>
      <c r="B466" s="253"/>
      <c r="C466" s="253"/>
      <c r="D466" s="271"/>
      <c r="E466" s="271"/>
      <c r="F466" s="270"/>
      <c r="G466" s="270"/>
      <c r="H466" s="270"/>
      <c r="I466" s="270"/>
    </row>
    <row r="467">
      <c r="A467" s="253"/>
      <c r="B467" s="253"/>
      <c r="C467" s="253"/>
      <c r="D467" s="271"/>
      <c r="E467" s="271"/>
      <c r="F467" s="270"/>
      <c r="G467" s="270"/>
      <c r="H467" s="270"/>
      <c r="I467" s="270"/>
    </row>
    <row r="468">
      <c r="A468" s="253"/>
      <c r="B468" s="253"/>
      <c r="C468" s="253"/>
      <c r="D468" s="271"/>
      <c r="E468" s="271"/>
      <c r="F468" s="270"/>
      <c r="G468" s="270"/>
      <c r="H468" s="270"/>
      <c r="I468" s="270"/>
    </row>
    <row r="469">
      <c r="A469" s="253"/>
      <c r="B469" s="253"/>
      <c r="C469" s="253"/>
      <c r="D469" s="271"/>
      <c r="E469" s="271"/>
      <c r="F469" s="270"/>
      <c r="G469" s="270"/>
      <c r="H469" s="270"/>
      <c r="I469" s="270"/>
    </row>
    <row r="470">
      <c r="A470" s="253"/>
      <c r="B470" s="253"/>
      <c r="C470" s="253"/>
      <c r="D470" s="271"/>
      <c r="E470" s="271"/>
      <c r="F470" s="270"/>
      <c r="G470" s="270"/>
      <c r="H470" s="270"/>
      <c r="I470" s="270"/>
    </row>
    <row r="471">
      <c r="A471" s="253"/>
      <c r="B471" s="253"/>
      <c r="C471" s="253"/>
      <c r="D471" s="271"/>
      <c r="E471" s="271"/>
      <c r="F471" s="270"/>
      <c r="G471" s="270"/>
      <c r="H471" s="270"/>
      <c r="I471" s="270"/>
    </row>
    <row r="472">
      <c r="A472" s="253"/>
      <c r="B472" s="253"/>
      <c r="C472" s="253"/>
      <c r="D472" s="271"/>
      <c r="E472" s="271"/>
      <c r="F472" s="270"/>
      <c r="G472" s="270"/>
      <c r="H472" s="270"/>
      <c r="I472" s="270"/>
    </row>
    <row r="473">
      <c r="A473" s="253"/>
      <c r="B473" s="253"/>
      <c r="C473" s="253"/>
      <c r="D473" s="271"/>
      <c r="E473" s="271"/>
      <c r="F473" s="270"/>
      <c r="G473" s="270"/>
      <c r="H473" s="270"/>
      <c r="I473" s="270"/>
    </row>
    <row r="474">
      <c r="A474" s="253"/>
      <c r="B474" s="253"/>
      <c r="C474" s="253"/>
      <c r="D474" s="271"/>
      <c r="E474" s="271"/>
      <c r="F474" s="270"/>
      <c r="G474" s="270"/>
      <c r="H474" s="270"/>
      <c r="I474" s="270"/>
    </row>
    <row r="475">
      <c r="A475" s="253"/>
      <c r="B475" s="253"/>
      <c r="C475" s="253"/>
      <c r="D475" s="271"/>
      <c r="E475" s="271"/>
      <c r="F475" s="270"/>
      <c r="G475" s="270"/>
      <c r="H475" s="270"/>
      <c r="I475" s="270"/>
    </row>
    <row r="476">
      <c r="A476" s="253"/>
      <c r="B476" s="253"/>
      <c r="C476" s="253"/>
      <c r="D476" s="271"/>
      <c r="E476" s="271"/>
      <c r="F476" s="270"/>
      <c r="G476" s="270"/>
      <c r="H476" s="270"/>
      <c r="I476" s="270"/>
    </row>
    <row r="477">
      <c r="A477" s="253"/>
      <c r="B477" s="253"/>
      <c r="C477" s="253"/>
      <c r="D477" s="271"/>
      <c r="E477" s="271"/>
      <c r="F477" s="270"/>
      <c r="G477" s="270"/>
      <c r="H477" s="270"/>
      <c r="I477" s="270"/>
    </row>
    <row r="478">
      <c r="A478" s="253"/>
      <c r="B478" s="253"/>
      <c r="C478" s="253"/>
      <c r="D478" s="271"/>
      <c r="E478" s="271"/>
      <c r="F478" s="270"/>
      <c r="G478" s="270"/>
      <c r="H478" s="270"/>
      <c r="I478" s="270"/>
    </row>
    <row r="479">
      <c r="A479" s="253"/>
      <c r="B479" s="253"/>
      <c r="C479" s="253"/>
      <c r="D479" s="271"/>
      <c r="E479" s="271"/>
      <c r="F479" s="270"/>
      <c r="G479" s="270"/>
      <c r="H479" s="270"/>
      <c r="I479" s="270"/>
    </row>
    <row r="480">
      <c r="A480" s="253"/>
      <c r="B480" s="253"/>
      <c r="C480" s="253"/>
      <c r="D480" s="271"/>
      <c r="E480" s="271"/>
      <c r="F480" s="270"/>
      <c r="G480" s="270"/>
      <c r="H480" s="270"/>
      <c r="I480" s="270"/>
    </row>
    <row r="481">
      <c r="A481" s="253"/>
      <c r="B481" s="253"/>
      <c r="C481" s="253"/>
      <c r="D481" s="271"/>
      <c r="E481" s="271"/>
      <c r="F481" s="270"/>
      <c r="G481" s="270"/>
      <c r="H481" s="270"/>
      <c r="I481" s="270"/>
    </row>
    <row r="482">
      <c r="A482" s="253"/>
      <c r="B482" s="253"/>
      <c r="C482" s="253"/>
      <c r="D482" s="271"/>
      <c r="E482" s="271"/>
      <c r="F482" s="270"/>
      <c r="G482" s="270"/>
      <c r="H482" s="270"/>
      <c r="I482" s="270"/>
    </row>
    <row r="483">
      <c r="A483" s="253"/>
      <c r="B483" s="253"/>
      <c r="C483" s="253"/>
      <c r="D483" s="271"/>
      <c r="E483" s="271"/>
      <c r="F483" s="270"/>
      <c r="G483" s="270"/>
      <c r="H483" s="270"/>
      <c r="I483" s="270"/>
    </row>
    <row r="484">
      <c r="A484" s="253"/>
      <c r="B484" s="253"/>
      <c r="C484" s="253"/>
      <c r="D484" s="271"/>
      <c r="E484" s="271"/>
      <c r="F484" s="270"/>
      <c r="G484" s="270"/>
      <c r="H484" s="270"/>
      <c r="I484" s="270"/>
    </row>
    <row r="485">
      <c r="A485" s="253"/>
      <c r="B485" s="253"/>
      <c r="C485" s="253"/>
      <c r="D485" s="271"/>
      <c r="E485" s="271"/>
      <c r="F485" s="270"/>
      <c r="G485" s="270"/>
      <c r="H485" s="270"/>
      <c r="I485" s="270"/>
    </row>
    <row r="486">
      <c r="A486" s="253"/>
      <c r="B486" s="253"/>
      <c r="C486" s="253"/>
      <c r="D486" s="271"/>
      <c r="E486" s="271"/>
      <c r="F486" s="270"/>
      <c r="G486" s="270"/>
      <c r="H486" s="270"/>
      <c r="I486" s="270"/>
    </row>
    <row r="487">
      <c r="A487" s="253"/>
      <c r="B487" s="253"/>
      <c r="C487" s="253"/>
      <c r="D487" s="271"/>
      <c r="E487" s="271"/>
      <c r="F487" s="270"/>
      <c r="G487" s="270"/>
      <c r="H487" s="270"/>
      <c r="I487" s="270"/>
    </row>
    <row r="488">
      <c r="A488" s="253"/>
      <c r="B488" s="253"/>
      <c r="C488" s="253"/>
      <c r="D488" s="271"/>
      <c r="E488" s="271"/>
      <c r="F488" s="270"/>
      <c r="G488" s="270"/>
      <c r="H488" s="270"/>
      <c r="I488" s="270"/>
    </row>
    <row r="489">
      <c r="A489" s="253"/>
      <c r="B489" s="253"/>
      <c r="C489" s="253"/>
      <c r="D489" s="271"/>
      <c r="E489" s="271"/>
      <c r="F489" s="270"/>
      <c r="G489" s="270"/>
      <c r="H489" s="270"/>
      <c r="I489" s="270"/>
    </row>
    <row r="490">
      <c r="A490" s="253"/>
      <c r="B490" s="253"/>
      <c r="C490" s="253"/>
      <c r="D490" s="271"/>
      <c r="E490" s="271"/>
      <c r="F490" s="270"/>
      <c r="G490" s="270"/>
      <c r="H490" s="270"/>
      <c r="I490" s="270"/>
    </row>
    <row r="491">
      <c r="A491" s="253"/>
      <c r="B491" s="253"/>
      <c r="C491" s="253"/>
      <c r="D491" s="271"/>
      <c r="E491" s="271"/>
      <c r="F491" s="270"/>
      <c r="G491" s="270"/>
      <c r="H491" s="270"/>
      <c r="I491" s="270"/>
    </row>
    <row r="492">
      <c r="A492" s="253"/>
      <c r="B492" s="253"/>
      <c r="C492" s="253"/>
      <c r="D492" s="271"/>
      <c r="E492" s="271"/>
      <c r="F492" s="270"/>
      <c r="G492" s="270"/>
      <c r="H492" s="270"/>
      <c r="I492" s="270"/>
    </row>
    <row r="493">
      <c r="A493" s="253"/>
      <c r="B493" s="253"/>
      <c r="C493" s="253"/>
      <c r="D493" s="271"/>
      <c r="E493" s="271"/>
      <c r="F493" s="270"/>
      <c r="G493" s="270"/>
      <c r="H493" s="270"/>
      <c r="I493" s="270"/>
    </row>
    <row r="494">
      <c r="A494" s="253"/>
      <c r="B494" s="253"/>
      <c r="C494" s="253"/>
      <c r="D494" s="271"/>
      <c r="E494" s="271"/>
      <c r="F494" s="270"/>
      <c r="G494" s="270"/>
      <c r="H494" s="270"/>
      <c r="I494" s="270"/>
    </row>
    <row r="495">
      <c r="A495" s="253"/>
      <c r="B495" s="253"/>
      <c r="C495" s="253"/>
      <c r="D495" s="271"/>
      <c r="E495" s="271"/>
      <c r="F495" s="270"/>
      <c r="G495" s="270"/>
      <c r="H495" s="270"/>
      <c r="I495" s="270"/>
    </row>
    <row r="496">
      <c r="A496" s="253"/>
      <c r="B496" s="253"/>
      <c r="C496" s="253"/>
      <c r="D496" s="271"/>
      <c r="E496" s="271"/>
      <c r="F496" s="270"/>
      <c r="G496" s="270"/>
      <c r="H496" s="270"/>
      <c r="I496" s="270"/>
    </row>
    <row r="497">
      <c r="A497" s="253"/>
      <c r="B497" s="253"/>
      <c r="C497" s="253"/>
      <c r="D497" s="271"/>
      <c r="E497" s="271"/>
      <c r="F497" s="270"/>
      <c r="G497" s="270"/>
      <c r="H497" s="270"/>
      <c r="I497" s="270"/>
    </row>
    <row r="498">
      <c r="A498" s="253"/>
      <c r="B498" s="253"/>
      <c r="C498" s="253"/>
      <c r="D498" s="271"/>
      <c r="E498" s="271"/>
      <c r="F498" s="270"/>
      <c r="G498" s="270"/>
      <c r="H498" s="270"/>
      <c r="I498" s="270"/>
    </row>
    <row r="499">
      <c r="A499" s="253"/>
      <c r="B499" s="253"/>
      <c r="C499" s="253"/>
      <c r="D499" s="271"/>
      <c r="E499" s="271"/>
      <c r="F499" s="270"/>
      <c r="G499" s="270"/>
      <c r="H499" s="270"/>
      <c r="I499" s="270"/>
    </row>
    <row r="500">
      <c r="A500" s="253"/>
      <c r="B500" s="253"/>
      <c r="C500" s="253"/>
      <c r="D500" s="271"/>
      <c r="E500" s="271"/>
      <c r="F500" s="270"/>
      <c r="G500" s="270"/>
      <c r="H500" s="270"/>
      <c r="I500" s="270"/>
    </row>
    <row r="501">
      <c r="A501" s="253"/>
      <c r="B501" s="253"/>
      <c r="C501" s="253"/>
      <c r="D501" s="271"/>
      <c r="E501" s="271"/>
      <c r="F501" s="270"/>
      <c r="G501" s="270"/>
      <c r="H501" s="270"/>
      <c r="I501" s="270"/>
    </row>
    <row r="502">
      <c r="A502" s="253"/>
      <c r="B502" s="253"/>
      <c r="C502" s="253"/>
      <c r="D502" s="271"/>
      <c r="E502" s="271"/>
      <c r="F502" s="270"/>
      <c r="G502" s="270"/>
      <c r="H502" s="270"/>
      <c r="I502" s="270"/>
    </row>
    <row r="503">
      <c r="A503" s="253"/>
      <c r="B503" s="253"/>
      <c r="C503" s="253"/>
      <c r="D503" s="271"/>
      <c r="E503" s="271"/>
      <c r="F503" s="270"/>
      <c r="G503" s="270"/>
      <c r="H503" s="270"/>
      <c r="I503" s="270"/>
    </row>
    <row r="504">
      <c r="A504" s="253"/>
      <c r="B504" s="253"/>
      <c r="C504" s="253"/>
      <c r="D504" s="271"/>
      <c r="E504" s="271"/>
      <c r="F504" s="270"/>
      <c r="G504" s="270"/>
      <c r="H504" s="270"/>
      <c r="I504" s="270"/>
    </row>
    <row r="505">
      <c r="A505" s="253"/>
      <c r="B505" s="253"/>
      <c r="C505" s="253"/>
      <c r="D505" s="271"/>
      <c r="E505" s="271"/>
      <c r="F505" s="270"/>
      <c r="G505" s="270"/>
      <c r="H505" s="270"/>
      <c r="I505" s="270"/>
    </row>
    <row r="506">
      <c r="A506" s="253"/>
      <c r="B506" s="253"/>
      <c r="C506" s="253"/>
      <c r="D506" s="271"/>
      <c r="E506" s="271"/>
      <c r="F506" s="270"/>
      <c r="G506" s="270"/>
      <c r="H506" s="270"/>
      <c r="I506" s="270"/>
    </row>
    <row r="507">
      <c r="A507" s="253"/>
      <c r="B507" s="253"/>
      <c r="C507" s="253"/>
      <c r="D507" s="271"/>
      <c r="E507" s="271"/>
      <c r="F507" s="270"/>
      <c r="G507" s="270"/>
      <c r="H507" s="270"/>
      <c r="I507" s="270"/>
    </row>
    <row r="508">
      <c r="A508" s="253"/>
      <c r="B508" s="253"/>
      <c r="C508" s="253"/>
      <c r="D508" s="271"/>
      <c r="E508" s="271"/>
      <c r="F508" s="270"/>
      <c r="G508" s="270"/>
      <c r="H508" s="270"/>
      <c r="I508" s="270"/>
    </row>
    <row r="509">
      <c r="A509" s="253"/>
      <c r="B509" s="253"/>
      <c r="C509" s="253"/>
      <c r="D509" s="271"/>
      <c r="E509" s="271"/>
      <c r="F509" s="270"/>
      <c r="G509" s="270"/>
      <c r="H509" s="270"/>
      <c r="I509" s="270"/>
    </row>
    <row r="510">
      <c r="A510" s="253"/>
      <c r="B510" s="253"/>
      <c r="C510" s="253"/>
      <c r="D510" s="271"/>
      <c r="E510" s="271"/>
      <c r="F510" s="270"/>
      <c r="G510" s="270"/>
      <c r="H510" s="270"/>
      <c r="I510" s="270"/>
    </row>
    <row r="511">
      <c r="A511" s="253"/>
      <c r="B511" s="253"/>
      <c r="C511" s="253"/>
      <c r="D511" s="271"/>
      <c r="E511" s="271"/>
      <c r="F511" s="270"/>
      <c r="G511" s="270"/>
      <c r="H511" s="270"/>
      <c r="I511" s="270"/>
    </row>
    <row r="512">
      <c r="A512" s="253"/>
      <c r="B512" s="253"/>
      <c r="C512" s="253"/>
      <c r="D512" s="271"/>
      <c r="E512" s="271"/>
      <c r="F512" s="270"/>
      <c r="G512" s="270"/>
      <c r="H512" s="270"/>
      <c r="I512" s="270"/>
    </row>
    <row r="513">
      <c r="A513" s="253"/>
      <c r="B513" s="253"/>
      <c r="C513" s="253"/>
      <c r="D513" s="271"/>
      <c r="E513" s="271"/>
      <c r="F513" s="270"/>
      <c r="G513" s="270"/>
      <c r="H513" s="270"/>
      <c r="I513" s="270"/>
    </row>
    <row r="514">
      <c r="A514" s="253"/>
      <c r="B514" s="253"/>
      <c r="C514" s="253"/>
      <c r="D514" s="271"/>
      <c r="E514" s="271"/>
      <c r="F514" s="270"/>
      <c r="G514" s="270"/>
      <c r="H514" s="270"/>
      <c r="I514" s="270"/>
    </row>
    <row r="515">
      <c r="A515" s="253"/>
      <c r="B515" s="253"/>
      <c r="C515" s="253"/>
      <c r="D515" s="271"/>
      <c r="E515" s="271"/>
      <c r="F515" s="270"/>
      <c r="G515" s="270"/>
      <c r="H515" s="270"/>
      <c r="I515" s="270"/>
    </row>
    <row r="516">
      <c r="A516" s="253"/>
      <c r="B516" s="253"/>
      <c r="C516" s="253"/>
      <c r="D516" s="271"/>
      <c r="E516" s="271"/>
      <c r="F516" s="270"/>
      <c r="G516" s="270"/>
      <c r="H516" s="270"/>
      <c r="I516" s="270"/>
    </row>
    <row r="517">
      <c r="A517" s="253"/>
      <c r="B517" s="253"/>
      <c r="C517" s="253"/>
      <c r="D517" s="271"/>
      <c r="E517" s="271"/>
      <c r="F517" s="270"/>
      <c r="G517" s="270"/>
      <c r="H517" s="270"/>
      <c r="I517" s="270"/>
    </row>
    <row r="518">
      <c r="A518" s="253"/>
      <c r="B518" s="253"/>
      <c r="C518" s="253"/>
      <c r="D518" s="271"/>
      <c r="E518" s="271"/>
      <c r="F518" s="270"/>
      <c r="G518" s="270"/>
      <c r="H518" s="270"/>
      <c r="I518" s="270"/>
    </row>
    <row r="519">
      <c r="A519" s="253"/>
      <c r="B519" s="253"/>
      <c r="C519" s="253"/>
      <c r="D519" s="271"/>
      <c r="E519" s="271"/>
      <c r="F519" s="270"/>
      <c r="G519" s="270"/>
      <c r="H519" s="270"/>
      <c r="I519" s="270"/>
    </row>
    <row r="520">
      <c r="A520" s="253"/>
      <c r="B520" s="253"/>
      <c r="C520" s="253"/>
      <c r="D520" s="271"/>
      <c r="E520" s="271"/>
      <c r="F520" s="270"/>
      <c r="G520" s="270"/>
      <c r="H520" s="270"/>
      <c r="I520" s="270"/>
    </row>
    <row r="521">
      <c r="A521" s="253"/>
      <c r="B521" s="253"/>
      <c r="C521" s="253"/>
      <c r="D521" s="271"/>
      <c r="E521" s="271"/>
      <c r="F521" s="270"/>
      <c r="G521" s="270"/>
      <c r="H521" s="270"/>
      <c r="I521" s="270"/>
    </row>
    <row r="522">
      <c r="A522" s="253"/>
      <c r="B522" s="253"/>
      <c r="C522" s="253"/>
      <c r="D522" s="271"/>
      <c r="E522" s="271"/>
      <c r="F522" s="270"/>
      <c r="G522" s="270"/>
      <c r="H522" s="270"/>
      <c r="I522" s="270"/>
    </row>
    <row r="523">
      <c r="A523" s="253"/>
      <c r="B523" s="253"/>
      <c r="C523" s="253"/>
      <c r="D523" s="271"/>
      <c r="E523" s="271"/>
      <c r="F523" s="270"/>
      <c r="G523" s="270"/>
      <c r="H523" s="270"/>
      <c r="I523" s="270"/>
    </row>
    <row r="524">
      <c r="A524" s="253"/>
      <c r="B524" s="253"/>
      <c r="C524" s="253"/>
      <c r="D524" s="271"/>
      <c r="E524" s="271"/>
      <c r="F524" s="270"/>
      <c r="G524" s="270"/>
      <c r="H524" s="270"/>
      <c r="I524" s="270"/>
    </row>
    <row r="525">
      <c r="A525" s="253"/>
      <c r="B525" s="253"/>
      <c r="C525" s="253"/>
      <c r="D525" s="271"/>
      <c r="E525" s="271"/>
      <c r="F525" s="270"/>
      <c r="G525" s="270"/>
      <c r="H525" s="270"/>
      <c r="I525" s="270"/>
    </row>
    <row r="526">
      <c r="A526" s="253"/>
      <c r="B526" s="253"/>
      <c r="C526" s="253"/>
      <c r="D526" s="271"/>
      <c r="E526" s="271"/>
      <c r="F526" s="270"/>
      <c r="G526" s="270"/>
      <c r="H526" s="270"/>
      <c r="I526" s="270"/>
    </row>
    <row r="527">
      <c r="A527" s="253"/>
      <c r="B527" s="253"/>
      <c r="C527" s="253"/>
      <c r="D527" s="271"/>
      <c r="E527" s="271"/>
      <c r="F527" s="270"/>
      <c r="G527" s="270"/>
      <c r="H527" s="270"/>
      <c r="I527" s="270"/>
    </row>
    <row r="528">
      <c r="A528" s="253"/>
      <c r="B528" s="253"/>
      <c r="C528" s="253"/>
      <c r="D528" s="271"/>
      <c r="E528" s="271"/>
      <c r="F528" s="270"/>
      <c r="G528" s="270"/>
      <c r="H528" s="270"/>
      <c r="I528" s="270"/>
    </row>
    <row r="529">
      <c r="A529" s="253"/>
      <c r="B529" s="253"/>
      <c r="C529" s="253"/>
      <c r="D529" s="271"/>
      <c r="E529" s="271"/>
      <c r="F529" s="270"/>
      <c r="G529" s="270"/>
      <c r="H529" s="270"/>
      <c r="I529" s="270"/>
    </row>
    <row r="530">
      <c r="A530" s="253"/>
      <c r="B530" s="253"/>
      <c r="C530" s="253"/>
      <c r="D530" s="271"/>
      <c r="E530" s="271"/>
      <c r="F530" s="270"/>
      <c r="G530" s="270"/>
      <c r="H530" s="270"/>
      <c r="I530" s="270"/>
    </row>
    <row r="531">
      <c r="A531" s="253"/>
      <c r="B531" s="253"/>
      <c r="C531" s="253"/>
      <c r="D531" s="271"/>
      <c r="E531" s="271"/>
      <c r="F531" s="270"/>
      <c r="G531" s="270"/>
      <c r="H531" s="270"/>
      <c r="I531" s="270"/>
    </row>
    <row r="532">
      <c r="A532" s="253"/>
      <c r="B532" s="253"/>
      <c r="C532" s="253"/>
      <c r="D532" s="271"/>
      <c r="E532" s="271"/>
      <c r="F532" s="270"/>
      <c r="G532" s="270"/>
      <c r="H532" s="270"/>
      <c r="I532" s="270"/>
    </row>
    <row r="533">
      <c r="A533" s="253"/>
      <c r="B533" s="253"/>
      <c r="C533" s="253"/>
      <c r="D533" s="271"/>
      <c r="E533" s="271"/>
      <c r="F533" s="270"/>
      <c r="G533" s="270"/>
      <c r="H533" s="270"/>
      <c r="I533" s="270"/>
    </row>
    <row r="534">
      <c r="A534" s="253"/>
      <c r="B534" s="253"/>
      <c r="C534" s="253"/>
      <c r="D534" s="271"/>
      <c r="E534" s="271"/>
      <c r="F534" s="270"/>
      <c r="G534" s="270"/>
      <c r="H534" s="270"/>
      <c r="I534" s="270"/>
    </row>
    <row r="535">
      <c r="A535" s="253"/>
      <c r="B535" s="253"/>
      <c r="C535" s="253"/>
      <c r="D535" s="271"/>
      <c r="E535" s="271"/>
      <c r="F535" s="270"/>
      <c r="G535" s="270"/>
      <c r="H535" s="270"/>
      <c r="I535" s="270"/>
    </row>
    <row r="536">
      <c r="A536" s="253"/>
      <c r="B536" s="253"/>
      <c r="C536" s="253"/>
      <c r="D536" s="271"/>
      <c r="E536" s="271"/>
      <c r="F536" s="270"/>
      <c r="G536" s="270"/>
      <c r="H536" s="270"/>
      <c r="I536" s="270"/>
    </row>
    <row r="537">
      <c r="A537" s="253"/>
      <c r="B537" s="253"/>
      <c r="C537" s="253"/>
      <c r="D537" s="271"/>
      <c r="E537" s="271"/>
      <c r="F537" s="270"/>
      <c r="G537" s="270"/>
      <c r="H537" s="270"/>
      <c r="I537" s="270"/>
    </row>
    <row r="538">
      <c r="A538" s="253"/>
      <c r="B538" s="253"/>
      <c r="C538" s="253"/>
      <c r="D538" s="271"/>
      <c r="E538" s="271"/>
      <c r="F538" s="270"/>
      <c r="G538" s="270"/>
      <c r="H538" s="270"/>
      <c r="I538" s="270"/>
    </row>
    <row r="539">
      <c r="A539" s="253"/>
      <c r="B539" s="253"/>
      <c r="C539" s="253"/>
      <c r="D539" s="271"/>
      <c r="E539" s="271"/>
      <c r="F539" s="270"/>
      <c r="G539" s="270"/>
      <c r="H539" s="270"/>
      <c r="I539" s="270"/>
    </row>
    <row r="540">
      <c r="A540" s="253"/>
      <c r="B540" s="253"/>
      <c r="C540" s="253"/>
      <c r="D540" s="271"/>
      <c r="E540" s="271"/>
      <c r="F540" s="270"/>
      <c r="G540" s="270"/>
      <c r="H540" s="270"/>
      <c r="I540" s="270"/>
    </row>
    <row r="541">
      <c r="A541" s="253"/>
      <c r="B541" s="253"/>
      <c r="C541" s="253"/>
      <c r="D541" s="271"/>
      <c r="E541" s="271"/>
      <c r="F541" s="270"/>
      <c r="G541" s="270"/>
      <c r="H541" s="270"/>
      <c r="I541" s="270"/>
    </row>
    <row r="542">
      <c r="A542" s="253"/>
      <c r="B542" s="253"/>
      <c r="C542" s="253"/>
      <c r="D542" s="271"/>
      <c r="E542" s="271"/>
      <c r="F542" s="270"/>
      <c r="G542" s="270"/>
      <c r="H542" s="270"/>
      <c r="I542" s="270"/>
    </row>
    <row r="543">
      <c r="A543" s="253"/>
      <c r="B543" s="253"/>
      <c r="C543" s="253"/>
      <c r="D543" s="271"/>
      <c r="E543" s="271"/>
      <c r="F543" s="270"/>
      <c r="G543" s="270"/>
      <c r="H543" s="270"/>
      <c r="I543" s="270"/>
    </row>
    <row r="544">
      <c r="A544" s="253"/>
      <c r="B544" s="253"/>
      <c r="C544" s="253"/>
      <c r="D544" s="271"/>
      <c r="E544" s="271"/>
      <c r="F544" s="270"/>
      <c r="G544" s="270"/>
      <c r="H544" s="270"/>
      <c r="I544" s="270"/>
    </row>
    <row r="545">
      <c r="A545" s="253"/>
      <c r="B545" s="253"/>
      <c r="C545" s="253"/>
      <c r="D545" s="271"/>
      <c r="E545" s="271"/>
      <c r="F545" s="270"/>
      <c r="G545" s="270"/>
      <c r="H545" s="270"/>
      <c r="I545" s="270"/>
    </row>
    <row r="546">
      <c r="A546" s="253"/>
      <c r="B546" s="253"/>
      <c r="C546" s="253"/>
      <c r="D546" s="271"/>
      <c r="E546" s="271"/>
      <c r="F546" s="270"/>
      <c r="G546" s="270"/>
      <c r="H546" s="270"/>
      <c r="I546" s="270"/>
    </row>
    <row r="547">
      <c r="A547" s="253"/>
      <c r="B547" s="253"/>
      <c r="C547" s="253"/>
      <c r="D547" s="271"/>
      <c r="E547" s="271"/>
      <c r="F547" s="270"/>
      <c r="G547" s="270"/>
      <c r="H547" s="270"/>
      <c r="I547" s="270"/>
    </row>
    <row r="548">
      <c r="A548" s="253"/>
      <c r="B548" s="253"/>
      <c r="C548" s="253"/>
      <c r="D548" s="271"/>
      <c r="E548" s="271"/>
      <c r="F548" s="270"/>
      <c r="G548" s="270"/>
      <c r="H548" s="270"/>
      <c r="I548" s="270"/>
    </row>
    <row r="549">
      <c r="A549" s="253"/>
      <c r="B549" s="253"/>
      <c r="C549" s="253"/>
      <c r="D549" s="271"/>
      <c r="E549" s="271"/>
      <c r="F549" s="270"/>
      <c r="G549" s="270"/>
      <c r="H549" s="270"/>
      <c r="I549" s="270"/>
    </row>
    <row r="550">
      <c r="A550" s="253"/>
      <c r="B550" s="253"/>
      <c r="C550" s="253"/>
      <c r="D550" s="271"/>
      <c r="E550" s="271"/>
      <c r="F550" s="270"/>
      <c r="G550" s="270"/>
      <c r="H550" s="270"/>
      <c r="I550" s="270"/>
    </row>
    <row r="551">
      <c r="A551" s="253"/>
      <c r="B551" s="253"/>
      <c r="C551" s="253"/>
      <c r="D551" s="271"/>
      <c r="E551" s="271"/>
      <c r="F551" s="270"/>
      <c r="G551" s="270"/>
      <c r="H551" s="270"/>
      <c r="I551" s="270"/>
    </row>
    <row r="552">
      <c r="A552" s="253"/>
      <c r="B552" s="253"/>
      <c r="C552" s="253"/>
      <c r="D552" s="271"/>
      <c r="E552" s="271"/>
      <c r="F552" s="270"/>
      <c r="G552" s="270"/>
      <c r="H552" s="270"/>
      <c r="I552" s="270"/>
    </row>
    <row r="553">
      <c r="A553" s="253"/>
      <c r="B553" s="253"/>
      <c r="C553" s="253"/>
      <c r="D553" s="271"/>
      <c r="E553" s="271"/>
      <c r="F553" s="270"/>
      <c r="G553" s="270"/>
      <c r="H553" s="270"/>
      <c r="I553" s="270"/>
    </row>
    <row r="554">
      <c r="A554" s="253"/>
      <c r="B554" s="253"/>
      <c r="C554" s="253"/>
      <c r="D554" s="271"/>
      <c r="E554" s="271"/>
      <c r="F554" s="270"/>
      <c r="G554" s="270"/>
      <c r="H554" s="270"/>
      <c r="I554" s="270"/>
    </row>
    <row r="555">
      <c r="A555" s="253"/>
      <c r="B555" s="253"/>
      <c r="C555" s="253"/>
      <c r="D555" s="271"/>
      <c r="E555" s="271"/>
      <c r="F555" s="270"/>
      <c r="G555" s="270"/>
      <c r="H555" s="270"/>
      <c r="I555" s="270"/>
    </row>
    <row r="556">
      <c r="A556" s="253"/>
      <c r="B556" s="253"/>
      <c r="C556" s="253"/>
      <c r="D556" s="271"/>
      <c r="E556" s="271"/>
      <c r="F556" s="270"/>
      <c r="G556" s="270"/>
      <c r="H556" s="270"/>
      <c r="I556" s="270"/>
    </row>
    <row r="557">
      <c r="A557" s="253"/>
      <c r="B557" s="253"/>
      <c r="C557" s="253"/>
      <c r="D557" s="271"/>
      <c r="E557" s="271"/>
      <c r="F557" s="270"/>
      <c r="G557" s="270"/>
      <c r="H557" s="270"/>
      <c r="I557" s="270"/>
    </row>
    <row r="558">
      <c r="A558" s="253"/>
      <c r="B558" s="253"/>
      <c r="C558" s="253"/>
      <c r="D558" s="271"/>
      <c r="E558" s="271"/>
      <c r="F558" s="270"/>
      <c r="G558" s="270"/>
      <c r="H558" s="270"/>
      <c r="I558" s="270"/>
    </row>
    <row r="559">
      <c r="A559" s="253"/>
      <c r="B559" s="253"/>
      <c r="C559" s="253"/>
      <c r="D559" s="271"/>
      <c r="E559" s="271"/>
      <c r="F559" s="270"/>
      <c r="G559" s="270"/>
      <c r="H559" s="270"/>
      <c r="I559" s="270"/>
    </row>
    <row r="560">
      <c r="A560" s="253"/>
      <c r="B560" s="253"/>
      <c r="C560" s="253"/>
      <c r="D560" s="271"/>
      <c r="E560" s="271"/>
      <c r="F560" s="270"/>
      <c r="G560" s="270"/>
      <c r="H560" s="270"/>
      <c r="I560" s="270"/>
    </row>
    <row r="561">
      <c r="A561" s="253"/>
      <c r="B561" s="253"/>
      <c r="C561" s="253"/>
      <c r="D561" s="271"/>
      <c r="E561" s="271"/>
      <c r="F561" s="270"/>
      <c r="G561" s="270"/>
      <c r="H561" s="270"/>
      <c r="I561" s="270"/>
    </row>
    <row r="562">
      <c r="A562" s="253"/>
      <c r="B562" s="253"/>
      <c r="C562" s="253"/>
      <c r="D562" s="271"/>
      <c r="E562" s="271"/>
      <c r="F562" s="270"/>
      <c r="G562" s="270"/>
      <c r="H562" s="270"/>
      <c r="I562" s="270"/>
    </row>
    <row r="563">
      <c r="A563" s="253"/>
      <c r="B563" s="253"/>
      <c r="C563" s="253"/>
      <c r="D563" s="271"/>
      <c r="E563" s="271"/>
      <c r="F563" s="270"/>
      <c r="G563" s="270"/>
      <c r="H563" s="270"/>
      <c r="I563" s="270"/>
    </row>
    <row r="564">
      <c r="A564" s="253"/>
      <c r="B564" s="253"/>
      <c r="C564" s="253"/>
      <c r="D564" s="271"/>
      <c r="E564" s="271"/>
      <c r="F564" s="270"/>
      <c r="G564" s="270"/>
      <c r="H564" s="270"/>
      <c r="I564" s="270"/>
    </row>
    <row r="565">
      <c r="A565" s="253"/>
      <c r="B565" s="253"/>
      <c r="C565" s="253"/>
      <c r="D565" s="271"/>
      <c r="E565" s="271"/>
      <c r="F565" s="270"/>
      <c r="G565" s="270"/>
      <c r="H565" s="270"/>
      <c r="I565" s="270"/>
    </row>
    <row r="566">
      <c r="A566" s="253"/>
      <c r="B566" s="253"/>
      <c r="C566" s="253"/>
      <c r="D566" s="271"/>
      <c r="E566" s="271"/>
      <c r="F566" s="270"/>
      <c r="G566" s="270"/>
      <c r="H566" s="270"/>
      <c r="I566" s="270"/>
    </row>
    <row r="567">
      <c r="A567" s="253"/>
      <c r="B567" s="253"/>
      <c r="C567" s="253"/>
      <c r="D567" s="271"/>
      <c r="E567" s="271"/>
      <c r="F567" s="270"/>
      <c r="G567" s="270"/>
      <c r="H567" s="270"/>
      <c r="I567" s="270"/>
    </row>
    <row r="568">
      <c r="A568" s="253"/>
      <c r="B568" s="253"/>
      <c r="C568" s="253"/>
      <c r="D568" s="271"/>
      <c r="E568" s="271"/>
      <c r="F568" s="270"/>
      <c r="G568" s="270"/>
      <c r="H568" s="270"/>
      <c r="I568" s="270"/>
    </row>
    <row r="569">
      <c r="A569" s="253"/>
      <c r="B569" s="253"/>
      <c r="C569" s="253"/>
      <c r="D569" s="271"/>
      <c r="E569" s="271"/>
      <c r="F569" s="270"/>
      <c r="G569" s="270"/>
      <c r="H569" s="270"/>
      <c r="I569" s="270"/>
    </row>
    <row r="570">
      <c r="A570" s="253"/>
      <c r="B570" s="253"/>
      <c r="C570" s="253"/>
      <c r="D570" s="271"/>
      <c r="E570" s="271"/>
      <c r="F570" s="270"/>
      <c r="G570" s="270"/>
      <c r="H570" s="270"/>
      <c r="I570" s="270"/>
    </row>
    <row r="571">
      <c r="A571" s="253"/>
      <c r="B571" s="253"/>
      <c r="C571" s="253"/>
      <c r="D571" s="271"/>
      <c r="E571" s="271"/>
      <c r="F571" s="270"/>
      <c r="G571" s="270"/>
      <c r="H571" s="270"/>
      <c r="I571" s="270"/>
    </row>
    <row r="572">
      <c r="A572" s="253"/>
      <c r="B572" s="253"/>
      <c r="C572" s="253"/>
      <c r="D572" s="271"/>
      <c r="E572" s="271"/>
      <c r="F572" s="270"/>
      <c r="G572" s="270"/>
      <c r="H572" s="270"/>
      <c r="I572" s="270"/>
    </row>
    <row r="573">
      <c r="A573" s="253"/>
      <c r="B573" s="253"/>
      <c r="C573" s="253"/>
      <c r="D573" s="271"/>
      <c r="E573" s="271"/>
      <c r="F573" s="270"/>
      <c r="G573" s="270"/>
      <c r="H573" s="270"/>
      <c r="I573" s="270"/>
    </row>
    <row r="574">
      <c r="A574" s="253"/>
      <c r="B574" s="253"/>
      <c r="C574" s="253"/>
      <c r="D574" s="271"/>
      <c r="E574" s="271"/>
      <c r="F574" s="270"/>
      <c r="G574" s="270"/>
      <c r="H574" s="270"/>
      <c r="I574" s="270"/>
    </row>
    <row r="575">
      <c r="A575" s="253"/>
      <c r="B575" s="253"/>
      <c r="C575" s="253"/>
      <c r="D575" s="271"/>
      <c r="E575" s="271"/>
      <c r="F575" s="270"/>
      <c r="G575" s="270"/>
      <c r="H575" s="270"/>
      <c r="I575" s="270"/>
    </row>
    <row r="576">
      <c r="A576" s="253"/>
      <c r="B576" s="253"/>
      <c r="C576" s="253"/>
      <c r="D576" s="271"/>
      <c r="E576" s="271"/>
      <c r="F576" s="270"/>
      <c r="G576" s="270"/>
      <c r="H576" s="270"/>
      <c r="I576" s="270"/>
    </row>
    <row r="577">
      <c r="A577" s="253"/>
      <c r="B577" s="253"/>
      <c r="C577" s="253"/>
      <c r="D577" s="271"/>
      <c r="E577" s="271"/>
      <c r="F577" s="270"/>
      <c r="G577" s="270"/>
      <c r="H577" s="270"/>
      <c r="I577" s="270"/>
    </row>
    <row r="578">
      <c r="A578" s="253"/>
      <c r="B578" s="253"/>
      <c r="C578" s="253"/>
      <c r="D578" s="271"/>
      <c r="E578" s="271"/>
      <c r="F578" s="270"/>
      <c r="G578" s="270"/>
      <c r="H578" s="270"/>
      <c r="I578" s="270"/>
    </row>
    <row r="579">
      <c r="A579" s="253"/>
      <c r="B579" s="253"/>
      <c r="C579" s="253"/>
      <c r="D579" s="271"/>
      <c r="E579" s="271"/>
      <c r="F579" s="270"/>
      <c r="G579" s="270"/>
      <c r="H579" s="270"/>
      <c r="I579" s="270"/>
    </row>
    <row r="580">
      <c r="A580" s="253"/>
      <c r="B580" s="253"/>
      <c r="C580" s="253"/>
      <c r="D580" s="271"/>
      <c r="E580" s="271"/>
      <c r="F580" s="270"/>
      <c r="G580" s="270"/>
      <c r="H580" s="270"/>
      <c r="I580" s="270"/>
    </row>
    <row r="581">
      <c r="A581" s="253"/>
      <c r="B581" s="253"/>
      <c r="C581" s="253"/>
      <c r="D581" s="271"/>
      <c r="E581" s="271"/>
      <c r="F581" s="270"/>
      <c r="G581" s="270"/>
      <c r="H581" s="270"/>
      <c r="I581" s="270"/>
    </row>
    <row r="582">
      <c r="A582" s="253"/>
      <c r="B582" s="253"/>
      <c r="C582" s="253"/>
      <c r="D582" s="271"/>
      <c r="E582" s="271"/>
      <c r="F582" s="270"/>
      <c r="G582" s="270"/>
      <c r="H582" s="270"/>
      <c r="I582" s="270"/>
    </row>
    <row r="583">
      <c r="A583" s="253"/>
      <c r="B583" s="253"/>
      <c r="C583" s="253"/>
      <c r="D583" s="271"/>
      <c r="E583" s="271"/>
      <c r="F583" s="270"/>
      <c r="G583" s="270"/>
      <c r="H583" s="270"/>
      <c r="I583" s="270"/>
    </row>
    <row r="584">
      <c r="A584" s="253"/>
      <c r="B584" s="253"/>
      <c r="C584" s="253"/>
      <c r="D584" s="271"/>
      <c r="E584" s="271"/>
      <c r="F584" s="270"/>
      <c r="G584" s="270"/>
      <c r="H584" s="270"/>
      <c r="I584" s="270"/>
    </row>
    <row r="585">
      <c r="A585" s="253"/>
      <c r="B585" s="253"/>
      <c r="C585" s="253"/>
      <c r="D585" s="271"/>
      <c r="E585" s="271"/>
      <c r="F585" s="270"/>
      <c r="G585" s="270"/>
      <c r="H585" s="270"/>
      <c r="I585" s="270"/>
    </row>
    <row r="586">
      <c r="A586" s="253"/>
      <c r="B586" s="253"/>
      <c r="C586" s="253"/>
      <c r="D586" s="271"/>
      <c r="E586" s="271"/>
      <c r="F586" s="270"/>
      <c r="G586" s="270"/>
      <c r="H586" s="270"/>
      <c r="I586" s="270"/>
    </row>
    <row r="587">
      <c r="A587" s="253"/>
      <c r="B587" s="253"/>
      <c r="C587" s="253"/>
      <c r="D587" s="271"/>
      <c r="E587" s="271"/>
      <c r="F587" s="270"/>
      <c r="G587" s="270"/>
      <c r="H587" s="270"/>
      <c r="I587" s="270"/>
    </row>
    <row r="588">
      <c r="A588" s="253"/>
      <c r="B588" s="253"/>
      <c r="C588" s="253"/>
      <c r="D588" s="271"/>
      <c r="E588" s="271"/>
      <c r="F588" s="270"/>
      <c r="G588" s="270"/>
      <c r="H588" s="270"/>
      <c r="I588" s="270"/>
    </row>
    <row r="589">
      <c r="A589" s="253"/>
      <c r="B589" s="253"/>
      <c r="C589" s="253"/>
      <c r="D589" s="271"/>
      <c r="E589" s="271"/>
      <c r="F589" s="270"/>
      <c r="G589" s="270"/>
      <c r="H589" s="270"/>
      <c r="I589" s="270"/>
    </row>
    <row r="590">
      <c r="A590" s="253"/>
      <c r="B590" s="253"/>
      <c r="C590" s="253"/>
      <c r="D590" s="271"/>
      <c r="E590" s="271"/>
      <c r="F590" s="270"/>
      <c r="G590" s="270"/>
      <c r="H590" s="270"/>
      <c r="I590" s="270"/>
    </row>
    <row r="591">
      <c r="A591" s="253"/>
      <c r="B591" s="253"/>
      <c r="C591" s="253"/>
      <c r="D591" s="271"/>
      <c r="E591" s="271"/>
      <c r="F591" s="270"/>
      <c r="G591" s="270"/>
      <c r="H591" s="270"/>
      <c r="I591" s="270"/>
    </row>
    <row r="592">
      <c r="A592" s="253"/>
      <c r="B592" s="253"/>
      <c r="C592" s="253"/>
      <c r="D592" s="271"/>
      <c r="E592" s="271"/>
      <c r="F592" s="270"/>
      <c r="G592" s="270"/>
      <c r="H592" s="270"/>
      <c r="I592" s="270"/>
    </row>
    <row r="593">
      <c r="A593" s="253"/>
      <c r="B593" s="253"/>
      <c r="C593" s="253"/>
      <c r="D593" s="271"/>
      <c r="E593" s="271"/>
      <c r="F593" s="270"/>
      <c r="G593" s="270"/>
      <c r="H593" s="270"/>
      <c r="I593" s="270"/>
    </row>
    <row r="594">
      <c r="A594" s="253"/>
      <c r="B594" s="253"/>
      <c r="C594" s="253"/>
      <c r="D594" s="271"/>
      <c r="E594" s="271"/>
      <c r="F594" s="270"/>
      <c r="G594" s="270"/>
      <c r="H594" s="270"/>
      <c r="I594" s="270"/>
    </row>
    <row r="595">
      <c r="A595" s="253"/>
      <c r="B595" s="253"/>
      <c r="C595" s="253"/>
      <c r="D595" s="271"/>
      <c r="E595" s="271"/>
      <c r="F595" s="270"/>
      <c r="G595" s="270"/>
      <c r="H595" s="270"/>
      <c r="I595" s="270"/>
    </row>
    <row r="596">
      <c r="A596" s="253"/>
      <c r="B596" s="253"/>
      <c r="C596" s="253"/>
      <c r="D596" s="271"/>
      <c r="E596" s="271"/>
      <c r="F596" s="270"/>
      <c r="G596" s="270"/>
      <c r="H596" s="270"/>
      <c r="I596" s="270"/>
    </row>
    <row r="597">
      <c r="A597" s="253"/>
      <c r="B597" s="253"/>
      <c r="C597" s="253"/>
      <c r="D597" s="271"/>
      <c r="E597" s="271"/>
      <c r="F597" s="270"/>
      <c r="G597" s="270"/>
      <c r="H597" s="270"/>
      <c r="I597" s="270"/>
    </row>
    <row r="598">
      <c r="A598" s="253"/>
      <c r="B598" s="253"/>
      <c r="C598" s="253"/>
      <c r="D598" s="271"/>
      <c r="E598" s="271"/>
      <c r="F598" s="270"/>
      <c r="G598" s="270"/>
      <c r="H598" s="270"/>
      <c r="I598" s="270"/>
    </row>
    <row r="599">
      <c r="A599" s="253"/>
      <c r="B599" s="253"/>
      <c r="C599" s="253"/>
      <c r="D599" s="271"/>
      <c r="E599" s="271"/>
      <c r="F599" s="270"/>
      <c r="G599" s="270"/>
      <c r="H599" s="270"/>
      <c r="I599" s="270"/>
    </row>
    <row r="600">
      <c r="A600" s="253"/>
      <c r="B600" s="253"/>
      <c r="C600" s="253"/>
      <c r="D600" s="271"/>
      <c r="E600" s="271"/>
      <c r="F600" s="270"/>
      <c r="G600" s="270"/>
      <c r="H600" s="270"/>
      <c r="I600" s="270"/>
    </row>
    <row r="601">
      <c r="A601" s="253"/>
      <c r="B601" s="253"/>
      <c r="C601" s="253"/>
      <c r="D601" s="271"/>
      <c r="E601" s="271"/>
      <c r="F601" s="270"/>
      <c r="G601" s="270"/>
      <c r="H601" s="270"/>
      <c r="I601" s="270"/>
    </row>
    <row r="602">
      <c r="A602" s="253"/>
      <c r="B602" s="253"/>
      <c r="C602" s="253"/>
      <c r="D602" s="271"/>
      <c r="E602" s="271"/>
      <c r="F602" s="270"/>
      <c r="G602" s="270"/>
      <c r="H602" s="270"/>
      <c r="I602" s="270"/>
    </row>
    <row r="603">
      <c r="A603" s="253"/>
      <c r="B603" s="253"/>
      <c r="C603" s="253"/>
      <c r="D603" s="271"/>
      <c r="E603" s="271"/>
      <c r="F603" s="270"/>
      <c r="G603" s="270"/>
      <c r="H603" s="270"/>
      <c r="I603" s="270"/>
    </row>
    <row r="604">
      <c r="A604" s="253"/>
      <c r="B604" s="253"/>
      <c r="C604" s="253"/>
      <c r="D604" s="271"/>
      <c r="E604" s="271"/>
      <c r="F604" s="270"/>
      <c r="G604" s="270"/>
      <c r="H604" s="270"/>
      <c r="I604" s="270"/>
    </row>
    <row r="605">
      <c r="A605" s="253"/>
      <c r="B605" s="253"/>
      <c r="C605" s="253"/>
      <c r="D605" s="271"/>
      <c r="E605" s="271"/>
      <c r="F605" s="270"/>
      <c r="G605" s="270"/>
      <c r="H605" s="270"/>
      <c r="I605" s="270"/>
    </row>
    <row r="606">
      <c r="A606" s="253"/>
      <c r="B606" s="253"/>
      <c r="C606" s="253"/>
      <c r="D606" s="271"/>
      <c r="E606" s="271"/>
      <c r="F606" s="270"/>
      <c r="G606" s="270"/>
      <c r="H606" s="270"/>
      <c r="I606" s="270"/>
    </row>
    <row r="607">
      <c r="A607" s="253"/>
      <c r="B607" s="253"/>
      <c r="C607" s="253"/>
      <c r="D607" s="271"/>
      <c r="E607" s="271"/>
      <c r="F607" s="270"/>
      <c r="G607" s="270"/>
      <c r="H607" s="270"/>
      <c r="I607" s="270"/>
    </row>
    <row r="608">
      <c r="A608" s="253"/>
      <c r="B608" s="253"/>
      <c r="C608" s="253"/>
      <c r="D608" s="271"/>
      <c r="E608" s="271"/>
      <c r="F608" s="270"/>
      <c r="G608" s="270"/>
      <c r="H608" s="270"/>
      <c r="I608" s="270"/>
    </row>
    <row r="609">
      <c r="A609" s="253"/>
      <c r="B609" s="253"/>
      <c r="C609" s="253"/>
      <c r="D609" s="271"/>
      <c r="E609" s="271"/>
      <c r="F609" s="270"/>
      <c r="G609" s="270"/>
      <c r="H609" s="270"/>
      <c r="I609" s="270"/>
    </row>
    <row r="610">
      <c r="A610" s="253"/>
      <c r="B610" s="253"/>
      <c r="C610" s="253"/>
      <c r="D610" s="271"/>
      <c r="E610" s="271"/>
      <c r="F610" s="270"/>
      <c r="G610" s="270"/>
      <c r="H610" s="270"/>
      <c r="I610" s="270"/>
    </row>
    <row r="611">
      <c r="A611" s="253"/>
      <c r="B611" s="253"/>
      <c r="C611" s="253"/>
      <c r="D611" s="271"/>
      <c r="E611" s="271"/>
      <c r="F611" s="270"/>
      <c r="G611" s="270"/>
      <c r="H611" s="270"/>
      <c r="I611" s="270"/>
    </row>
    <row r="612">
      <c r="A612" s="253"/>
      <c r="B612" s="253"/>
      <c r="C612" s="253"/>
      <c r="D612" s="271"/>
      <c r="E612" s="271"/>
      <c r="F612" s="270"/>
      <c r="G612" s="270"/>
      <c r="H612" s="270"/>
      <c r="I612" s="270"/>
    </row>
    <row r="613">
      <c r="A613" s="253"/>
      <c r="B613" s="253"/>
      <c r="C613" s="253"/>
      <c r="D613" s="271"/>
      <c r="E613" s="271"/>
      <c r="F613" s="270"/>
      <c r="G613" s="270"/>
      <c r="H613" s="270"/>
      <c r="I613" s="270"/>
    </row>
    <row r="614">
      <c r="A614" s="253"/>
      <c r="B614" s="253"/>
      <c r="C614" s="253"/>
      <c r="D614" s="271"/>
      <c r="E614" s="271"/>
      <c r="F614" s="270"/>
      <c r="G614" s="270"/>
      <c r="H614" s="270"/>
      <c r="I614" s="270"/>
    </row>
    <row r="615">
      <c r="A615" s="253"/>
      <c r="B615" s="253"/>
      <c r="C615" s="253"/>
      <c r="D615" s="271"/>
      <c r="E615" s="271"/>
      <c r="F615" s="270"/>
      <c r="G615" s="270"/>
      <c r="H615" s="270"/>
      <c r="I615" s="270"/>
    </row>
    <row r="616">
      <c r="A616" s="253"/>
      <c r="B616" s="253"/>
      <c r="C616" s="253"/>
      <c r="D616" s="271"/>
      <c r="E616" s="271"/>
      <c r="F616" s="270"/>
      <c r="G616" s="270"/>
      <c r="H616" s="270"/>
      <c r="I616" s="270"/>
    </row>
    <row r="617">
      <c r="A617" s="253"/>
      <c r="B617" s="253"/>
      <c r="C617" s="253"/>
      <c r="D617" s="271"/>
      <c r="E617" s="271"/>
      <c r="F617" s="270"/>
      <c r="G617" s="270"/>
      <c r="H617" s="270"/>
      <c r="I617" s="270"/>
    </row>
    <row r="618">
      <c r="A618" s="253"/>
      <c r="B618" s="253"/>
      <c r="C618" s="253"/>
      <c r="D618" s="271"/>
      <c r="E618" s="271"/>
      <c r="F618" s="270"/>
      <c r="G618" s="270"/>
      <c r="H618" s="270"/>
      <c r="I618" s="270"/>
    </row>
    <row r="619">
      <c r="A619" s="253"/>
      <c r="B619" s="253"/>
      <c r="C619" s="253"/>
      <c r="D619" s="271"/>
      <c r="E619" s="271"/>
      <c r="F619" s="270"/>
      <c r="G619" s="270"/>
      <c r="H619" s="270"/>
      <c r="I619" s="270"/>
    </row>
    <row r="620">
      <c r="A620" s="253"/>
      <c r="B620" s="253"/>
      <c r="C620" s="253"/>
      <c r="D620" s="271"/>
      <c r="E620" s="271"/>
      <c r="F620" s="270"/>
      <c r="G620" s="270"/>
      <c r="H620" s="270"/>
      <c r="I620" s="270"/>
    </row>
    <row r="621">
      <c r="A621" s="253"/>
      <c r="B621" s="253"/>
      <c r="C621" s="253"/>
      <c r="D621" s="271"/>
      <c r="E621" s="271"/>
      <c r="F621" s="270"/>
      <c r="G621" s="270"/>
      <c r="H621" s="270"/>
      <c r="I621" s="270"/>
    </row>
    <row r="622">
      <c r="A622" s="253"/>
      <c r="B622" s="253"/>
      <c r="C622" s="253"/>
      <c r="D622" s="271"/>
      <c r="E622" s="271"/>
      <c r="F622" s="270"/>
      <c r="G622" s="270"/>
      <c r="H622" s="270"/>
      <c r="I622" s="270"/>
    </row>
    <row r="623">
      <c r="A623" s="253"/>
      <c r="B623" s="253"/>
      <c r="C623" s="253"/>
      <c r="D623" s="271"/>
      <c r="E623" s="271"/>
      <c r="F623" s="270"/>
      <c r="G623" s="270"/>
      <c r="H623" s="270"/>
      <c r="I623" s="270"/>
    </row>
    <row r="624">
      <c r="A624" s="253"/>
      <c r="B624" s="253"/>
      <c r="C624" s="253"/>
      <c r="D624" s="271"/>
      <c r="E624" s="271"/>
      <c r="F624" s="270"/>
      <c r="G624" s="270"/>
      <c r="H624" s="270"/>
      <c r="I624" s="270"/>
    </row>
    <row r="625">
      <c r="A625" s="253"/>
      <c r="B625" s="253"/>
      <c r="C625" s="253"/>
      <c r="D625" s="271"/>
      <c r="E625" s="271"/>
      <c r="F625" s="270"/>
      <c r="G625" s="270"/>
      <c r="H625" s="270"/>
      <c r="I625" s="270"/>
    </row>
    <row r="626">
      <c r="A626" s="253"/>
      <c r="B626" s="253"/>
      <c r="C626" s="253"/>
      <c r="D626" s="271"/>
      <c r="E626" s="271"/>
      <c r="F626" s="270"/>
      <c r="G626" s="270"/>
      <c r="H626" s="270"/>
      <c r="I626" s="270"/>
    </row>
    <row r="627">
      <c r="A627" s="253"/>
      <c r="B627" s="253"/>
      <c r="C627" s="253"/>
      <c r="D627" s="271"/>
      <c r="E627" s="271"/>
      <c r="F627" s="270"/>
      <c r="G627" s="270"/>
      <c r="H627" s="270"/>
      <c r="I627" s="270"/>
    </row>
    <row r="628">
      <c r="A628" s="253"/>
      <c r="B628" s="253"/>
      <c r="C628" s="253"/>
      <c r="D628" s="271"/>
      <c r="E628" s="271"/>
      <c r="F628" s="270"/>
      <c r="G628" s="270"/>
      <c r="H628" s="270"/>
      <c r="I628" s="270"/>
    </row>
    <row r="629">
      <c r="A629" s="253"/>
      <c r="B629" s="253"/>
      <c r="C629" s="253"/>
      <c r="D629" s="271"/>
      <c r="E629" s="271"/>
      <c r="F629" s="270"/>
      <c r="G629" s="270"/>
      <c r="H629" s="270"/>
      <c r="I629" s="270"/>
    </row>
    <row r="630">
      <c r="A630" s="253"/>
      <c r="B630" s="253"/>
      <c r="C630" s="253"/>
      <c r="D630" s="271"/>
      <c r="E630" s="271"/>
      <c r="F630" s="270"/>
      <c r="G630" s="270"/>
      <c r="H630" s="270"/>
      <c r="I630" s="270"/>
    </row>
    <row r="631">
      <c r="A631" s="253"/>
      <c r="B631" s="253"/>
      <c r="C631" s="253"/>
      <c r="D631" s="271"/>
      <c r="E631" s="271"/>
      <c r="F631" s="270"/>
      <c r="G631" s="270"/>
      <c r="H631" s="270"/>
      <c r="I631" s="270"/>
    </row>
    <row r="632">
      <c r="A632" s="253"/>
      <c r="B632" s="253"/>
      <c r="C632" s="253"/>
      <c r="D632" s="271"/>
      <c r="E632" s="271"/>
      <c r="F632" s="270"/>
      <c r="G632" s="270"/>
      <c r="H632" s="270"/>
      <c r="I632" s="270"/>
    </row>
    <row r="633">
      <c r="A633" s="253"/>
      <c r="B633" s="253"/>
      <c r="C633" s="253"/>
      <c r="D633" s="271"/>
      <c r="E633" s="271"/>
      <c r="F633" s="270"/>
      <c r="G633" s="270"/>
      <c r="H633" s="270"/>
      <c r="I633" s="270"/>
    </row>
    <row r="634">
      <c r="A634" s="253"/>
      <c r="B634" s="253"/>
      <c r="C634" s="253"/>
      <c r="D634" s="271"/>
      <c r="E634" s="271"/>
      <c r="F634" s="270"/>
      <c r="G634" s="270"/>
      <c r="H634" s="270"/>
      <c r="I634" s="270"/>
    </row>
    <row r="635">
      <c r="A635" s="253"/>
      <c r="B635" s="253"/>
      <c r="C635" s="253"/>
      <c r="D635" s="271"/>
      <c r="E635" s="271"/>
      <c r="F635" s="270"/>
      <c r="G635" s="270"/>
      <c r="H635" s="270"/>
      <c r="I635" s="270"/>
    </row>
    <row r="636">
      <c r="A636" s="253"/>
      <c r="B636" s="253"/>
      <c r="C636" s="253"/>
      <c r="D636" s="271"/>
      <c r="E636" s="271"/>
      <c r="F636" s="270"/>
      <c r="G636" s="270"/>
      <c r="H636" s="270"/>
      <c r="I636" s="270"/>
    </row>
    <row r="637">
      <c r="A637" s="253"/>
      <c r="B637" s="253"/>
      <c r="C637" s="253"/>
      <c r="D637" s="271"/>
      <c r="E637" s="271"/>
      <c r="F637" s="270"/>
      <c r="G637" s="270"/>
      <c r="H637" s="270"/>
      <c r="I637" s="270"/>
    </row>
    <row r="638">
      <c r="A638" s="253"/>
      <c r="B638" s="253"/>
      <c r="C638" s="253"/>
      <c r="D638" s="271"/>
      <c r="E638" s="271"/>
      <c r="F638" s="270"/>
      <c r="G638" s="270"/>
      <c r="H638" s="270"/>
      <c r="I638" s="270"/>
    </row>
    <row r="639">
      <c r="A639" s="253"/>
      <c r="B639" s="253"/>
      <c r="C639" s="253"/>
      <c r="D639" s="271"/>
      <c r="E639" s="271"/>
      <c r="F639" s="270"/>
      <c r="G639" s="270"/>
      <c r="H639" s="270"/>
      <c r="I639" s="270"/>
    </row>
    <row r="640">
      <c r="A640" s="253"/>
      <c r="B640" s="253"/>
      <c r="C640" s="253"/>
      <c r="D640" s="271"/>
      <c r="E640" s="271"/>
      <c r="F640" s="270"/>
      <c r="G640" s="270"/>
      <c r="H640" s="270"/>
      <c r="I640" s="270"/>
    </row>
    <row r="641">
      <c r="A641" s="253"/>
      <c r="B641" s="253"/>
      <c r="C641" s="253"/>
      <c r="D641" s="271"/>
      <c r="E641" s="271"/>
      <c r="F641" s="270"/>
      <c r="G641" s="270"/>
      <c r="H641" s="270"/>
      <c r="I641" s="270"/>
    </row>
    <row r="642">
      <c r="A642" s="253"/>
      <c r="B642" s="253"/>
      <c r="C642" s="253"/>
      <c r="D642" s="271"/>
      <c r="E642" s="271"/>
      <c r="F642" s="270"/>
      <c r="G642" s="270"/>
      <c r="H642" s="270"/>
      <c r="I642" s="270"/>
    </row>
    <row r="643">
      <c r="A643" s="253"/>
      <c r="B643" s="253"/>
      <c r="C643" s="253"/>
      <c r="D643" s="271"/>
      <c r="E643" s="271"/>
      <c r="F643" s="270"/>
      <c r="G643" s="270"/>
      <c r="H643" s="270"/>
      <c r="I643" s="270"/>
    </row>
    <row r="644">
      <c r="A644" s="253"/>
      <c r="B644" s="253"/>
      <c r="C644" s="253"/>
      <c r="D644" s="271"/>
      <c r="E644" s="271"/>
      <c r="F644" s="270"/>
      <c r="G644" s="270"/>
      <c r="H644" s="270"/>
      <c r="I644" s="270"/>
    </row>
    <row r="645">
      <c r="A645" s="253"/>
      <c r="B645" s="253"/>
      <c r="C645" s="253"/>
      <c r="D645" s="271"/>
      <c r="E645" s="271"/>
      <c r="F645" s="270"/>
      <c r="G645" s="270"/>
      <c r="H645" s="270"/>
      <c r="I645" s="270"/>
    </row>
    <row r="646">
      <c r="A646" s="253"/>
      <c r="B646" s="253"/>
      <c r="C646" s="253"/>
      <c r="D646" s="271"/>
      <c r="E646" s="271"/>
      <c r="F646" s="270"/>
      <c r="G646" s="270"/>
      <c r="H646" s="270"/>
      <c r="I646" s="270"/>
    </row>
    <row r="647">
      <c r="A647" s="253"/>
      <c r="B647" s="253"/>
      <c r="C647" s="253"/>
      <c r="D647" s="271"/>
      <c r="E647" s="271"/>
      <c r="F647" s="270"/>
      <c r="G647" s="270"/>
      <c r="H647" s="270"/>
      <c r="I647" s="270"/>
    </row>
    <row r="648">
      <c r="A648" s="253"/>
      <c r="B648" s="253"/>
      <c r="C648" s="253"/>
      <c r="D648" s="271"/>
      <c r="E648" s="271"/>
      <c r="F648" s="270"/>
      <c r="G648" s="270"/>
      <c r="H648" s="270"/>
      <c r="I648" s="270"/>
    </row>
    <row r="649">
      <c r="A649" s="253"/>
      <c r="B649" s="253"/>
      <c r="C649" s="253"/>
      <c r="D649" s="271"/>
      <c r="E649" s="271"/>
      <c r="F649" s="270"/>
      <c r="G649" s="270"/>
      <c r="H649" s="270"/>
      <c r="I649" s="270"/>
    </row>
    <row r="650">
      <c r="A650" s="253"/>
      <c r="B650" s="253"/>
      <c r="C650" s="253"/>
      <c r="D650" s="271"/>
      <c r="E650" s="271"/>
      <c r="F650" s="270"/>
      <c r="G650" s="270"/>
      <c r="H650" s="270"/>
      <c r="I650" s="270"/>
    </row>
    <row r="651">
      <c r="A651" s="253"/>
      <c r="B651" s="253"/>
      <c r="C651" s="253"/>
      <c r="D651" s="271"/>
      <c r="E651" s="271"/>
      <c r="F651" s="270"/>
      <c r="G651" s="270"/>
      <c r="H651" s="270"/>
      <c r="I651" s="270"/>
    </row>
    <row r="652">
      <c r="A652" s="253"/>
      <c r="B652" s="253"/>
      <c r="C652" s="253"/>
      <c r="D652" s="271"/>
      <c r="E652" s="271"/>
      <c r="F652" s="270"/>
      <c r="G652" s="270"/>
      <c r="H652" s="270"/>
      <c r="I652" s="270"/>
    </row>
    <row r="653">
      <c r="A653" s="253"/>
      <c r="B653" s="253"/>
      <c r="C653" s="253"/>
      <c r="D653" s="271"/>
      <c r="E653" s="271"/>
      <c r="F653" s="270"/>
      <c r="G653" s="270"/>
      <c r="H653" s="270"/>
      <c r="I653" s="270"/>
    </row>
    <row r="654">
      <c r="A654" s="253"/>
      <c r="B654" s="253"/>
      <c r="C654" s="253"/>
      <c r="D654" s="271"/>
      <c r="E654" s="271"/>
      <c r="F654" s="270"/>
      <c r="G654" s="270"/>
      <c r="H654" s="270"/>
      <c r="I654" s="270"/>
    </row>
    <row r="655">
      <c r="A655" s="253"/>
      <c r="B655" s="253"/>
      <c r="C655" s="253"/>
      <c r="D655" s="271"/>
      <c r="E655" s="271"/>
      <c r="F655" s="270"/>
      <c r="G655" s="270"/>
      <c r="H655" s="270"/>
      <c r="I655" s="270"/>
    </row>
    <row r="656">
      <c r="A656" s="253"/>
      <c r="B656" s="253"/>
      <c r="C656" s="253"/>
      <c r="D656" s="271"/>
      <c r="E656" s="271"/>
      <c r="F656" s="270"/>
      <c r="G656" s="270"/>
      <c r="H656" s="270"/>
      <c r="I656" s="270"/>
    </row>
    <row r="657">
      <c r="A657" s="253"/>
      <c r="B657" s="253"/>
      <c r="C657" s="253"/>
      <c r="D657" s="271"/>
      <c r="E657" s="271"/>
      <c r="F657" s="270"/>
      <c r="G657" s="270"/>
      <c r="H657" s="270"/>
      <c r="I657" s="270"/>
    </row>
    <row r="658">
      <c r="A658" s="253"/>
      <c r="B658" s="253"/>
      <c r="C658" s="253"/>
      <c r="D658" s="271"/>
      <c r="E658" s="271"/>
      <c r="F658" s="270"/>
      <c r="G658" s="270"/>
      <c r="H658" s="270"/>
      <c r="I658" s="270"/>
    </row>
    <row r="659">
      <c r="A659" s="253"/>
      <c r="B659" s="253"/>
      <c r="C659" s="253"/>
      <c r="D659" s="271"/>
      <c r="E659" s="271"/>
      <c r="F659" s="270"/>
      <c r="G659" s="270"/>
      <c r="H659" s="270"/>
      <c r="I659" s="270"/>
    </row>
    <row r="660">
      <c r="A660" s="253"/>
      <c r="B660" s="253"/>
      <c r="C660" s="253"/>
      <c r="D660" s="271"/>
      <c r="E660" s="271"/>
      <c r="F660" s="270"/>
      <c r="G660" s="270"/>
      <c r="H660" s="270"/>
      <c r="I660" s="270"/>
    </row>
    <row r="661">
      <c r="A661" s="253"/>
      <c r="B661" s="253"/>
      <c r="C661" s="253"/>
      <c r="D661" s="271"/>
      <c r="E661" s="271"/>
      <c r="F661" s="270"/>
      <c r="G661" s="270"/>
      <c r="H661" s="270"/>
      <c r="I661" s="270"/>
    </row>
    <row r="662">
      <c r="A662" s="253"/>
      <c r="B662" s="253"/>
      <c r="C662" s="253"/>
      <c r="D662" s="271"/>
      <c r="E662" s="271"/>
      <c r="F662" s="270"/>
      <c r="G662" s="270"/>
      <c r="H662" s="270"/>
      <c r="I662" s="270"/>
    </row>
    <row r="663">
      <c r="A663" s="253"/>
      <c r="B663" s="253"/>
      <c r="C663" s="253"/>
      <c r="D663" s="271"/>
      <c r="E663" s="271"/>
      <c r="F663" s="270"/>
      <c r="G663" s="270"/>
      <c r="H663" s="270"/>
      <c r="I663" s="270"/>
    </row>
    <row r="664">
      <c r="A664" s="253"/>
      <c r="B664" s="253"/>
      <c r="C664" s="253"/>
      <c r="D664" s="271"/>
      <c r="E664" s="271"/>
      <c r="F664" s="270"/>
      <c r="G664" s="270"/>
      <c r="H664" s="270"/>
      <c r="I664" s="270"/>
    </row>
    <row r="665">
      <c r="A665" s="253"/>
      <c r="B665" s="253"/>
      <c r="C665" s="253"/>
      <c r="D665" s="271"/>
      <c r="E665" s="271"/>
      <c r="F665" s="270"/>
      <c r="G665" s="270"/>
      <c r="H665" s="270"/>
      <c r="I665" s="270"/>
    </row>
    <row r="666">
      <c r="A666" s="253"/>
      <c r="B666" s="253"/>
      <c r="C666" s="253"/>
      <c r="D666" s="271"/>
      <c r="E666" s="271"/>
      <c r="F666" s="270"/>
      <c r="G666" s="270"/>
      <c r="H666" s="270"/>
      <c r="I666" s="270"/>
    </row>
    <row r="667">
      <c r="A667" s="253"/>
      <c r="B667" s="253"/>
      <c r="C667" s="253"/>
      <c r="D667" s="271"/>
      <c r="E667" s="271"/>
      <c r="F667" s="270"/>
      <c r="G667" s="270"/>
      <c r="H667" s="270"/>
      <c r="I667" s="270"/>
    </row>
    <row r="668">
      <c r="A668" s="253"/>
      <c r="B668" s="253"/>
      <c r="C668" s="253"/>
      <c r="D668" s="271"/>
      <c r="E668" s="271"/>
      <c r="F668" s="270"/>
      <c r="G668" s="270"/>
      <c r="H668" s="270"/>
      <c r="I668" s="270"/>
    </row>
    <row r="669">
      <c r="A669" s="253"/>
      <c r="B669" s="253"/>
      <c r="C669" s="253"/>
      <c r="D669" s="271"/>
      <c r="E669" s="271"/>
      <c r="F669" s="270"/>
      <c r="G669" s="270"/>
      <c r="H669" s="270"/>
      <c r="I669" s="270"/>
    </row>
    <row r="670">
      <c r="A670" s="253"/>
      <c r="B670" s="253"/>
      <c r="C670" s="253"/>
      <c r="D670" s="271"/>
      <c r="E670" s="271"/>
      <c r="F670" s="270"/>
      <c r="G670" s="270"/>
      <c r="H670" s="270"/>
      <c r="I670" s="270"/>
    </row>
    <row r="671">
      <c r="A671" s="253"/>
      <c r="B671" s="253"/>
      <c r="C671" s="253"/>
      <c r="D671" s="271"/>
      <c r="E671" s="271"/>
      <c r="F671" s="270"/>
      <c r="G671" s="270"/>
      <c r="H671" s="270"/>
      <c r="I671" s="270"/>
    </row>
    <row r="672">
      <c r="A672" s="253"/>
      <c r="B672" s="253"/>
      <c r="C672" s="253"/>
      <c r="D672" s="271"/>
      <c r="E672" s="271"/>
      <c r="F672" s="270"/>
      <c r="G672" s="270"/>
      <c r="H672" s="270"/>
      <c r="I672" s="270"/>
    </row>
    <row r="673">
      <c r="A673" s="253"/>
      <c r="B673" s="253"/>
      <c r="C673" s="253"/>
      <c r="D673" s="271"/>
      <c r="E673" s="271"/>
      <c r="F673" s="270"/>
      <c r="G673" s="270"/>
      <c r="H673" s="270"/>
      <c r="I673" s="270"/>
    </row>
    <row r="674">
      <c r="A674" s="253"/>
      <c r="B674" s="253"/>
      <c r="C674" s="253"/>
      <c r="D674" s="271"/>
      <c r="E674" s="271"/>
      <c r="F674" s="270"/>
      <c r="G674" s="270"/>
      <c r="H674" s="270"/>
      <c r="I674" s="270"/>
    </row>
    <row r="675">
      <c r="A675" s="253"/>
      <c r="B675" s="253"/>
      <c r="C675" s="253"/>
      <c r="D675" s="271"/>
      <c r="E675" s="271"/>
      <c r="F675" s="270"/>
      <c r="G675" s="270"/>
      <c r="H675" s="270"/>
      <c r="I675" s="270"/>
    </row>
    <row r="676">
      <c r="A676" s="253"/>
      <c r="B676" s="253"/>
      <c r="C676" s="253"/>
      <c r="D676" s="271"/>
      <c r="E676" s="271"/>
      <c r="F676" s="270"/>
      <c r="G676" s="270"/>
      <c r="H676" s="270"/>
      <c r="I676" s="270"/>
    </row>
    <row r="677">
      <c r="A677" s="253"/>
      <c r="B677" s="253"/>
      <c r="C677" s="253"/>
      <c r="D677" s="271"/>
      <c r="E677" s="271"/>
      <c r="F677" s="270"/>
      <c r="G677" s="270"/>
      <c r="H677" s="270"/>
      <c r="I677" s="270"/>
    </row>
    <row r="678">
      <c r="A678" s="253"/>
      <c r="B678" s="253"/>
      <c r="C678" s="253"/>
      <c r="D678" s="271"/>
      <c r="E678" s="271"/>
      <c r="F678" s="270"/>
      <c r="G678" s="270"/>
      <c r="H678" s="270"/>
      <c r="I678" s="270"/>
    </row>
    <row r="679">
      <c r="A679" s="253"/>
      <c r="B679" s="253"/>
      <c r="C679" s="253"/>
      <c r="D679" s="271"/>
      <c r="E679" s="271"/>
      <c r="F679" s="270"/>
      <c r="G679" s="270"/>
      <c r="H679" s="270"/>
      <c r="I679" s="270"/>
    </row>
    <row r="680">
      <c r="A680" s="253"/>
      <c r="B680" s="253"/>
      <c r="C680" s="253"/>
      <c r="D680" s="271"/>
      <c r="E680" s="271"/>
      <c r="F680" s="270"/>
      <c r="G680" s="270"/>
      <c r="H680" s="270"/>
      <c r="I680" s="270"/>
    </row>
    <row r="681">
      <c r="A681" s="253"/>
      <c r="B681" s="253"/>
      <c r="C681" s="253"/>
      <c r="D681" s="271"/>
      <c r="E681" s="271"/>
      <c r="F681" s="270"/>
      <c r="G681" s="270"/>
      <c r="H681" s="270"/>
      <c r="I681" s="270"/>
    </row>
    <row r="682">
      <c r="A682" s="253"/>
      <c r="B682" s="253"/>
      <c r="C682" s="253"/>
      <c r="D682" s="271"/>
      <c r="E682" s="271"/>
      <c r="F682" s="270"/>
      <c r="G682" s="270"/>
      <c r="H682" s="270"/>
      <c r="I682" s="270"/>
    </row>
    <row r="683">
      <c r="A683" s="253"/>
      <c r="B683" s="253"/>
      <c r="C683" s="253"/>
      <c r="D683" s="271"/>
      <c r="E683" s="271"/>
      <c r="F683" s="270"/>
      <c r="G683" s="270"/>
      <c r="H683" s="270"/>
      <c r="I683" s="270"/>
    </row>
    <row r="684">
      <c r="A684" s="253"/>
      <c r="B684" s="253"/>
      <c r="C684" s="253"/>
      <c r="D684" s="271"/>
      <c r="E684" s="271"/>
      <c r="F684" s="270"/>
      <c r="G684" s="270"/>
      <c r="H684" s="270"/>
      <c r="I684" s="270"/>
    </row>
    <row r="685">
      <c r="A685" s="253"/>
      <c r="B685" s="253"/>
      <c r="C685" s="253"/>
      <c r="D685" s="271"/>
      <c r="E685" s="271"/>
      <c r="F685" s="270"/>
      <c r="G685" s="270"/>
      <c r="H685" s="270"/>
      <c r="I685" s="270"/>
    </row>
    <row r="686">
      <c r="A686" s="253"/>
      <c r="B686" s="253"/>
      <c r="C686" s="253"/>
      <c r="D686" s="271"/>
      <c r="E686" s="271"/>
      <c r="F686" s="270"/>
      <c r="G686" s="270"/>
      <c r="H686" s="270"/>
      <c r="I686" s="270"/>
    </row>
    <row r="687">
      <c r="A687" s="253"/>
      <c r="B687" s="253"/>
      <c r="C687" s="253"/>
      <c r="D687" s="271"/>
      <c r="E687" s="271"/>
      <c r="F687" s="270"/>
      <c r="G687" s="270"/>
      <c r="H687" s="270"/>
      <c r="I687" s="270"/>
    </row>
    <row r="688">
      <c r="A688" s="253"/>
      <c r="B688" s="253"/>
      <c r="C688" s="253"/>
      <c r="D688" s="271"/>
      <c r="E688" s="271"/>
      <c r="F688" s="270"/>
      <c r="G688" s="270"/>
      <c r="H688" s="270"/>
      <c r="I688" s="270"/>
    </row>
    <row r="689">
      <c r="A689" s="253"/>
      <c r="B689" s="253"/>
      <c r="C689" s="253"/>
      <c r="D689" s="271"/>
      <c r="E689" s="271"/>
      <c r="F689" s="270"/>
      <c r="G689" s="270"/>
      <c r="H689" s="270"/>
      <c r="I689" s="270"/>
    </row>
    <row r="690">
      <c r="A690" s="253"/>
      <c r="B690" s="253"/>
      <c r="C690" s="253"/>
      <c r="D690" s="271"/>
      <c r="E690" s="271"/>
      <c r="F690" s="270"/>
      <c r="G690" s="270"/>
      <c r="H690" s="270"/>
      <c r="I690" s="270"/>
    </row>
    <row r="691">
      <c r="A691" s="253"/>
      <c r="B691" s="253"/>
      <c r="C691" s="253"/>
      <c r="D691" s="271"/>
      <c r="E691" s="271"/>
      <c r="F691" s="270"/>
      <c r="G691" s="270"/>
      <c r="H691" s="270"/>
      <c r="I691" s="270"/>
    </row>
    <row r="692">
      <c r="A692" s="253"/>
      <c r="B692" s="253"/>
      <c r="C692" s="253"/>
      <c r="D692" s="271"/>
      <c r="E692" s="271"/>
      <c r="F692" s="270"/>
      <c r="G692" s="270"/>
      <c r="H692" s="270"/>
      <c r="I692" s="270"/>
    </row>
    <row r="693">
      <c r="A693" s="253"/>
      <c r="B693" s="253"/>
      <c r="C693" s="253"/>
      <c r="D693" s="271"/>
      <c r="E693" s="271"/>
      <c r="F693" s="270"/>
      <c r="G693" s="270"/>
      <c r="H693" s="270"/>
      <c r="I693" s="270"/>
    </row>
    <row r="694">
      <c r="A694" s="253"/>
      <c r="B694" s="253"/>
      <c r="C694" s="253"/>
      <c r="D694" s="271"/>
      <c r="E694" s="271"/>
      <c r="F694" s="270"/>
      <c r="G694" s="270"/>
      <c r="H694" s="270"/>
      <c r="I694" s="270"/>
    </row>
    <row r="695">
      <c r="A695" s="253"/>
      <c r="B695" s="253"/>
      <c r="C695" s="253"/>
      <c r="D695" s="271"/>
      <c r="E695" s="271"/>
      <c r="F695" s="270"/>
      <c r="G695" s="270"/>
      <c r="H695" s="270"/>
      <c r="I695" s="270"/>
    </row>
    <row r="696">
      <c r="A696" s="253"/>
      <c r="B696" s="253"/>
      <c r="C696" s="253"/>
      <c r="D696" s="271"/>
      <c r="E696" s="271"/>
      <c r="F696" s="270"/>
      <c r="G696" s="270"/>
      <c r="H696" s="270"/>
      <c r="I696" s="270"/>
    </row>
    <row r="697">
      <c r="A697" s="253"/>
      <c r="B697" s="253"/>
      <c r="C697" s="253"/>
      <c r="D697" s="271"/>
      <c r="E697" s="271"/>
      <c r="F697" s="270"/>
      <c r="G697" s="270"/>
      <c r="H697" s="270"/>
      <c r="I697" s="270"/>
    </row>
    <row r="698">
      <c r="A698" s="253"/>
      <c r="B698" s="253"/>
      <c r="C698" s="253"/>
      <c r="D698" s="271"/>
      <c r="E698" s="271"/>
      <c r="F698" s="270"/>
      <c r="G698" s="270"/>
      <c r="H698" s="270"/>
      <c r="I698" s="270"/>
    </row>
    <row r="699">
      <c r="A699" s="253"/>
      <c r="B699" s="253"/>
      <c r="C699" s="253"/>
      <c r="D699" s="271"/>
      <c r="E699" s="271"/>
      <c r="F699" s="270"/>
      <c r="G699" s="270"/>
      <c r="H699" s="270"/>
      <c r="I699" s="270"/>
    </row>
    <row r="700">
      <c r="A700" s="253"/>
      <c r="B700" s="253"/>
      <c r="C700" s="253"/>
      <c r="D700" s="271"/>
      <c r="E700" s="271"/>
      <c r="F700" s="270"/>
      <c r="G700" s="270"/>
      <c r="H700" s="270"/>
      <c r="I700" s="270"/>
    </row>
    <row r="701">
      <c r="A701" s="253"/>
      <c r="B701" s="253"/>
      <c r="C701" s="253"/>
      <c r="D701" s="271"/>
      <c r="E701" s="271"/>
      <c r="F701" s="270"/>
      <c r="G701" s="270"/>
      <c r="H701" s="270"/>
      <c r="I701" s="270"/>
    </row>
    <row r="702">
      <c r="A702" s="253"/>
      <c r="B702" s="253"/>
      <c r="C702" s="253"/>
      <c r="D702" s="271"/>
      <c r="E702" s="271"/>
      <c r="F702" s="270"/>
      <c r="G702" s="270"/>
      <c r="H702" s="270"/>
      <c r="I702" s="270"/>
    </row>
    <row r="703">
      <c r="A703" s="253"/>
      <c r="B703" s="253"/>
      <c r="C703" s="253"/>
      <c r="D703" s="271"/>
      <c r="E703" s="271"/>
      <c r="F703" s="270"/>
      <c r="G703" s="270"/>
      <c r="H703" s="270"/>
      <c r="I703" s="270"/>
    </row>
    <row r="704">
      <c r="A704" s="253"/>
      <c r="B704" s="253"/>
      <c r="C704" s="253"/>
      <c r="D704" s="271"/>
      <c r="E704" s="271"/>
      <c r="F704" s="270"/>
      <c r="G704" s="270"/>
      <c r="H704" s="270"/>
      <c r="I704" s="270"/>
    </row>
    <row r="705">
      <c r="A705" s="253"/>
      <c r="B705" s="253"/>
      <c r="C705" s="253"/>
      <c r="D705" s="271"/>
      <c r="E705" s="271"/>
      <c r="F705" s="270"/>
      <c r="G705" s="270"/>
      <c r="H705" s="270"/>
      <c r="I705" s="270"/>
    </row>
    <row r="706">
      <c r="A706" s="253"/>
      <c r="B706" s="253"/>
      <c r="C706" s="253"/>
      <c r="D706" s="271"/>
      <c r="E706" s="271"/>
      <c r="F706" s="270"/>
      <c r="G706" s="270"/>
      <c r="H706" s="270"/>
      <c r="I706" s="270"/>
    </row>
    <row r="707">
      <c r="A707" s="253"/>
      <c r="B707" s="253"/>
      <c r="C707" s="253"/>
      <c r="D707" s="271"/>
      <c r="E707" s="271"/>
      <c r="F707" s="270"/>
      <c r="G707" s="270"/>
      <c r="H707" s="270"/>
      <c r="I707" s="270"/>
    </row>
    <row r="708">
      <c r="A708" s="253"/>
      <c r="B708" s="253"/>
      <c r="C708" s="253"/>
      <c r="D708" s="271"/>
      <c r="E708" s="271"/>
      <c r="F708" s="270"/>
      <c r="G708" s="270"/>
      <c r="H708" s="270"/>
      <c r="I708" s="270"/>
    </row>
    <row r="709">
      <c r="A709" s="253"/>
      <c r="B709" s="253"/>
      <c r="C709" s="253"/>
      <c r="D709" s="271"/>
      <c r="E709" s="271"/>
      <c r="F709" s="270"/>
      <c r="G709" s="270"/>
      <c r="H709" s="270"/>
      <c r="I709" s="270"/>
    </row>
    <row r="710">
      <c r="A710" s="253"/>
      <c r="B710" s="253"/>
      <c r="C710" s="253"/>
      <c r="D710" s="271"/>
      <c r="E710" s="271"/>
      <c r="F710" s="270"/>
      <c r="G710" s="270"/>
      <c r="H710" s="270"/>
      <c r="I710" s="270"/>
    </row>
    <row r="711">
      <c r="A711" s="253"/>
      <c r="B711" s="253"/>
      <c r="C711" s="253"/>
      <c r="D711" s="271"/>
      <c r="E711" s="271"/>
      <c r="F711" s="270"/>
      <c r="G711" s="270"/>
      <c r="H711" s="270"/>
      <c r="I711" s="270"/>
    </row>
    <row r="712">
      <c r="A712" s="253"/>
      <c r="B712" s="253"/>
      <c r="C712" s="253"/>
      <c r="D712" s="271"/>
      <c r="E712" s="271"/>
      <c r="F712" s="270"/>
      <c r="G712" s="270"/>
      <c r="H712" s="270"/>
      <c r="I712" s="270"/>
    </row>
    <row r="713">
      <c r="A713" s="253"/>
      <c r="B713" s="253"/>
      <c r="C713" s="253"/>
      <c r="D713" s="271"/>
      <c r="E713" s="271"/>
      <c r="F713" s="270"/>
      <c r="G713" s="270"/>
      <c r="H713" s="270"/>
      <c r="I713" s="270"/>
    </row>
    <row r="714">
      <c r="A714" s="253"/>
      <c r="B714" s="253"/>
      <c r="C714" s="253"/>
      <c r="D714" s="271"/>
      <c r="E714" s="271"/>
      <c r="F714" s="270"/>
      <c r="G714" s="270"/>
      <c r="H714" s="270"/>
      <c r="I714" s="270"/>
    </row>
    <row r="715">
      <c r="A715" s="253"/>
      <c r="B715" s="253"/>
      <c r="C715" s="253"/>
      <c r="D715" s="271"/>
      <c r="E715" s="271"/>
      <c r="F715" s="270"/>
      <c r="G715" s="270"/>
      <c r="H715" s="270"/>
      <c r="I715" s="270"/>
    </row>
    <row r="716">
      <c r="A716" s="253"/>
      <c r="B716" s="253"/>
      <c r="C716" s="253"/>
      <c r="D716" s="271"/>
      <c r="E716" s="271"/>
      <c r="F716" s="270"/>
      <c r="G716" s="270"/>
      <c r="H716" s="270"/>
      <c r="I716" s="270"/>
    </row>
    <row r="717">
      <c r="A717" s="253"/>
      <c r="B717" s="253"/>
      <c r="C717" s="253"/>
      <c r="D717" s="271"/>
      <c r="E717" s="271"/>
      <c r="F717" s="270"/>
      <c r="G717" s="270"/>
      <c r="H717" s="270"/>
      <c r="I717" s="270"/>
    </row>
    <row r="718">
      <c r="A718" s="253"/>
      <c r="B718" s="253"/>
      <c r="C718" s="253"/>
      <c r="D718" s="271"/>
      <c r="E718" s="271"/>
      <c r="F718" s="270"/>
      <c r="G718" s="270"/>
      <c r="H718" s="270"/>
      <c r="I718" s="270"/>
    </row>
    <row r="719">
      <c r="A719" s="253"/>
      <c r="B719" s="253"/>
      <c r="C719" s="253"/>
      <c r="D719" s="271"/>
      <c r="E719" s="271"/>
      <c r="F719" s="270"/>
      <c r="G719" s="270"/>
      <c r="H719" s="270"/>
      <c r="I719" s="270"/>
    </row>
    <row r="720">
      <c r="A720" s="253"/>
      <c r="B720" s="253"/>
      <c r="C720" s="253"/>
      <c r="D720" s="271"/>
      <c r="E720" s="271"/>
      <c r="F720" s="270"/>
      <c r="G720" s="270"/>
      <c r="H720" s="270"/>
      <c r="I720" s="270"/>
    </row>
    <row r="721">
      <c r="A721" s="253"/>
      <c r="B721" s="253"/>
      <c r="C721" s="253"/>
      <c r="D721" s="271"/>
      <c r="E721" s="271"/>
      <c r="F721" s="270"/>
      <c r="G721" s="270"/>
      <c r="H721" s="270"/>
      <c r="I721" s="270"/>
    </row>
    <row r="722">
      <c r="A722" s="253"/>
      <c r="B722" s="253"/>
      <c r="C722" s="253"/>
      <c r="D722" s="271"/>
      <c r="E722" s="271"/>
      <c r="F722" s="270"/>
      <c r="G722" s="270"/>
      <c r="H722" s="270"/>
      <c r="I722" s="270"/>
    </row>
    <row r="723">
      <c r="A723" s="253"/>
      <c r="B723" s="253"/>
      <c r="C723" s="253"/>
      <c r="D723" s="271"/>
      <c r="E723" s="271"/>
      <c r="F723" s="270"/>
      <c r="G723" s="270"/>
      <c r="H723" s="270"/>
      <c r="I723" s="270"/>
    </row>
    <row r="724">
      <c r="A724" s="253"/>
      <c r="B724" s="253"/>
      <c r="C724" s="253"/>
      <c r="D724" s="271"/>
      <c r="E724" s="271"/>
      <c r="F724" s="270"/>
      <c r="G724" s="270"/>
      <c r="H724" s="270"/>
      <c r="I724" s="270"/>
    </row>
    <row r="725">
      <c r="A725" s="253"/>
      <c r="B725" s="253"/>
      <c r="C725" s="253"/>
      <c r="D725" s="271"/>
      <c r="E725" s="271"/>
      <c r="F725" s="270"/>
      <c r="G725" s="270"/>
      <c r="H725" s="270"/>
      <c r="I725" s="270"/>
    </row>
    <row r="726">
      <c r="A726" s="253"/>
      <c r="B726" s="253"/>
      <c r="C726" s="253"/>
      <c r="D726" s="271"/>
      <c r="E726" s="271"/>
      <c r="F726" s="270"/>
      <c r="G726" s="270"/>
      <c r="H726" s="270"/>
      <c r="I726" s="270"/>
    </row>
    <row r="727">
      <c r="A727" s="253"/>
      <c r="B727" s="253"/>
      <c r="C727" s="253"/>
      <c r="D727" s="271"/>
      <c r="E727" s="271"/>
      <c r="F727" s="270"/>
      <c r="G727" s="270"/>
      <c r="H727" s="270"/>
      <c r="I727" s="270"/>
    </row>
    <row r="728">
      <c r="A728" s="253"/>
      <c r="B728" s="253"/>
      <c r="C728" s="253"/>
      <c r="D728" s="271"/>
      <c r="E728" s="271"/>
      <c r="F728" s="270"/>
      <c r="G728" s="270"/>
      <c r="H728" s="270"/>
      <c r="I728" s="270"/>
    </row>
    <row r="729">
      <c r="A729" s="253"/>
      <c r="B729" s="253"/>
      <c r="C729" s="253"/>
      <c r="D729" s="271"/>
      <c r="E729" s="271"/>
      <c r="F729" s="270"/>
      <c r="G729" s="270"/>
      <c r="H729" s="270"/>
      <c r="I729" s="270"/>
    </row>
    <row r="730">
      <c r="A730" s="253"/>
      <c r="B730" s="253"/>
      <c r="C730" s="253"/>
      <c r="D730" s="271"/>
      <c r="E730" s="271"/>
      <c r="F730" s="270"/>
      <c r="G730" s="270"/>
      <c r="H730" s="270"/>
      <c r="I730" s="270"/>
    </row>
    <row r="731">
      <c r="A731" s="253"/>
      <c r="B731" s="253"/>
      <c r="C731" s="253"/>
      <c r="D731" s="271"/>
      <c r="E731" s="271"/>
      <c r="F731" s="270"/>
      <c r="G731" s="270"/>
      <c r="H731" s="270"/>
      <c r="I731" s="270"/>
    </row>
    <row r="732">
      <c r="A732" s="253"/>
      <c r="B732" s="253"/>
      <c r="C732" s="253"/>
      <c r="D732" s="271"/>
      <c r="E732" s="271"/>
      <c r="F732" s="270"/>
      <c r="G732" s="270"/>
      <c r="H732" s="270"/>
      <c r="I732" s="270"/>
    </row>
    <row r="733">
      <c r="A733" s="253"/>
      <c r="B733" s="253"/>
      <c r="C733" s="253"/>
      <c r="D733" s="271"/>
      <c r="E733" s="271"/>
      <c r="F733" s="270"/>
      <c r="G733" s="270"/>
      <c r="H733" s="270"/>
      <c r="I733" s="270"/>
    </row>
    <row r="734">
      <c r="A734" s="253"/>
      <c r="B734" s="253"/>
      <c r="C734" s="253"/>
      <c r="D734" s="271"/>
      <c r="E734" s="271"/>
      <c r="F734" s="270"/>
      <c r="G734" s="270"/>
      <c r="H734" s="270"/>
      <c r="I734" s="270"/>
    </row>
    <row r="735">
      <c r="A735" s="253"/>
      <c r="B735" s="253"/>
      <c r="C735" s="253"/>
      <c r="D735" s="271"/>
      <c r="E735" s="271"/>
      <c r="F735" s="270"/>
      <c r="G735" s="270"/>
      <c r="H735" s="270"/>
      <c r="I735" s="270"/>
    </row>
    <row r="736">
      <c r="A736" s="253"/>
      <c r="B736" s="253"/>
      <c r="C736" s="253"/>
      <c r="D736" s="271"/>
      <c r="E736" s="271"/>
      <c r="F736" s="270"/>
      <c r="G736" s="270"/>
      <c r="H736" s="270"/>
      <c r="I736" s="270"/>
    </row>
    <row r="737">
      <c r="A737" s="253"/>
      <c r="B737" s="253"/>
      <c r="C737" s="253"/>
      <c r="D737" s="271"/>
      <c r="E737" s="271"/>
      <c r="F737" s="270"/>
      <c r="G737" s="270"/>
      <c r="H737" s="270"/>
      <c r="I737" s="270"/>
    </row>
    <row r="738">
      <c r="A738" s="253"/>
      <c r="B738" s="253"/>
      <c r="C738" s="253"/>
      <c r="D738" s="271"/>
      <c r="E738" s="271"/>
      <c r="F738" s="270"/>
      <c r="G738" s="270"/>
      <c r="H738" s="270"/>
      <c r="I738" s="270"/>
    </row>
    <row r="739">
      <c r="A739" s="253"/>
      <c r="B739" s="253"/>
      <c r="C739" s="253"/>
      <c r="D739" s="271"/>
      <c r="E739" s="271"/>
      <c r="F739" s="270"/>
      <c r="G739" s="270"/>
      <c r="H739" s="270"/>
      <c r="I739" s="270"/>
    </row>
    <row r="740">
      <c r="A740" s="253"/>
      <c r="B740" s="253"/>
      <c r="C740" s="253"/>
      <c r="D740" s="271"/>
      <c r="E740" s="271"/>
      <c r="F740" s="270"/>
      <c r="G740" s="270"/>
      <c r="H740" s="270"/>
      <c r="I740" s="270"/>
    </row>
    <row r="741">
      <c r="A741" s="253"/>
      <c r="B741" s="253"/>
      <c r="C741" s="253"/>
      <c r="D741" s="271"/>
      <c r="E741" s="271"/>
      <c r="F741" s="270"/>
      <c r="G741" s="270"/>
      <c r="H741" s="270"/>
      <c r="I741" s="270"/>
    </row>
    <row r="742">
      <c r="A742" s="253"/>
      <c r="B742" s="253"/>
      <c r="C742" s="253"/>
      <c r="D742" s="271"/>
      <c r="E742" s="271"/>
      <c r="F742" s="270"/>
      <c r="G742" s="270"/>
      <c r="H742" s="270"/>
      <c r="I742" s="270"/>
    </row>
    <row r="743">
      <c r="A743" s="253"/>
      <c r="B743" s="253"/>
      <c r="C743" s="253"/>
      <c r="D743" s="271"/>
      <c r="E743" s="271"/>
      <c r="F743" s="270"/>
      <c r="G743" s="270"/>
      <c r="H743" s="270"/>
      <c r="I743" s="270"/>
    </row>
    <row r="744">
      <c r="A744" s="253"/>
      <c r="B744" s="253"/>
      <c r="C744" s="253"/>
      <c r="D744" s="271"/>
      <c r="E744" s="271"/>
      <c r="F744" s="270"/>
      <c r="G744" s="270"/>
      <c r="H744" s="270"/>
      <c r="I744" s="270"/>
    </row>
    <row r="745">
      <c r="A745" s="253"/>
      <c r="B745" s="253"/>
      <c r="C745" s="253"/>
      <c r="D745" s="271"/>
      <c r="E745" s="271"/>
      <c r="F745" s="270"/>
      <c r="G745" s="270"/>
      <c r="H745" s="270"/>
      <c r="I745" s="270"/>
    </row>
    <row r="746">
      <c r="A746" s="253"/>
      <c r="B746" s="253"/>
      <c r="C746" s="253"/>
      <c r="D746" s="271"/>
      <c r="E746" s="271"/>
      <c r="F746" s="270"/>
      <c r="G746" s="270"/>
      <c r="H746" s="270"/>
      <c r="I746" s="270"/>
    </row>
    <row r="747">
      <c r="A747" s="253"/>
      <c r="B747" s="253"/>
      <c r="C747" s="253"/>
      <c r="D747" s="271"/>
      <c r="E747" s="271"/>
      <c r="F747" s="270"/>
      <c r="G747" s="270"/>
      <c r="H747" s="270"/>
      <c r="I747" s="270"/>
    </row>
    <row r="748">
      <c r="A748" s="253"/>
      <c r="B748" s="253"/>
      <c r="C748" s="253"/>
      <c r="D748" s="271"/>
      <c r="E748" s="271"/>
      <c r="F748" s="270"/>
      <c r="G748" s="270"/>
      <c r="H748" s="270"/>
      <c r="I748" s="270"/>
    </row>
    <row r="749">
      <c r="A749" s="253"/>
      <c r="B749" s="253"/>
      <c r="C749" s="253"/>
      <c r="D749" s="271"/>
      <c r="E749" s="271"/>
      <c r="F749" s="270"/>
      <c r="G749" s="270"/>
      <c r="H749" s="270"/>
      <c r="I749" s="270"/>
    </row>
    <row r="750">
      <c r="A750" s="253"/>
      <c r="B750" s="253"/>
      <c r="C750" s="253"/>
      <c r="D750" s="271"/>
      <c r="E750" s="271"/>
      <c r="F750" s="270"/>
      <c r="G750" s="270"/>
      <c r="H750" s="270"/>
      <c r="I750" s="270"/>
    </row>
    <row r="751">
      <c r="A751" s="253"/>
      <c r="B751" s="253"/>
      <c r="C751" s="253"/>
      <c r="D751" s="271"/>
      <c r="E751" s="271"/>
      <c r="F751" s="270"/>
      <c r="G751" s="270"/>
      <c r="H751" s="270"/>
      <c r="I751" s="270"/>
    </row>
    <row r="752">
      <c r="A752" s="253"/>
      <c r="B752" s="253"/>
      <c r="C752" s="253"/>
      <c r="D752" s="271"/>
      <c r="E752" s="271"/>
      <c r="F752" s="270"/>
      <c r="G752" s="270"/>
      <c r="H752" s="270"/>
      <c r="I752" s="270"/>
    </row>
    <row r="753">
      <c r="A753" s="253"/>
      <c r="B753" s="253"/>
      <c r="C753" s="253"/>
      <c r="D753" s="271"/>
      <c r="E753" s="271"/>
      <c r="F753" s="270"/>
      <c r="G753" s="270"/>
      <c r="H753" s="270"/>
      <c r="I753" s="270"/>
    </row>
    <row r="754">
      <c r="A754" s="253"/>
      <c r="B754" s="253"/>
      <c r="C754" s="253"/>
      <c r="D754" s="271"/>
      <c r="E754" s="271"/>
      <c r="F754" s="270"/>
      <c r="G754" s="270"/>
      <c r="H754" s="270"/>
      <c r="I754" s="270"/>
    </row>
    <row r="755">
      <c r="A755" s="253"/>
      <c r="B755" s="253"/>
      <c r="C755" s="253"/>
      <c r="D755" s="271"/>
      <c r="E755" s="271"/>
      <c r="F755" s="270"/>
      <c r="G755" s="270"/>
      <c r="H755" s="270"/>
      <c r="I755" s="270"/>
    </row>
    <row r="756">
      <c r="A756" s="253"/>
      <c r="B756" s="253"/>
      <c r="C756" s="253"/>
      <c r="D756" s="271"/>
      <c r="E756" s="271"/>
      <c r="F756" s="270"/>
      <c r="G756" s="270"/>
      <c r="H756" s="270"/>
      <c r="I756" s="270"/>
    </row>
    <row r="757">
      <c r="A757" s="253"/>
      <c r="B757" s="253"/>
      <c r="C757" s="253"/>
      <c r="D757" s="271"/>
      <c r="E757" s="271"/>
      <c r="F757" s="270"/>
      <c r="G757" s="270"/>
      <c r="H757" s="270"/>
      <c r="I757" s="270"/>
    </row>
    <row r="758">
      <c r="A758" s="253"/>
      <c r="B758" s="253"/>
      <c r="C758" s="253"/>
      <c r="D758" s="271"/>
      <c r="E758" s="271"/>
      <c r="F758" s="270"/>
      <c r="G758" s="270"/>
      <c r="H758" s="270"/>
      <c r="I758" s="270"/>
    </row>
    <row r="759">
      <c r="A759" s="253"/>
      <c r="B759" s="253"/>
      <c r="C759" s="253"/>
      <c r="D759" s="271"/>
      <c r="E759" s="271"/>
      <c r="F759" s="270"/>
      <c r="G759" s="270"/>
      <c r="H759" s="270"/>
      <c r="I759" s="270"/>
    </row>
    <row r="760">
      <c r="A760" s="253"/>
      <c r="B760" s="253"/>
      <c r="C760" s="253"/>
      <c r="D760" s="271"/>
      <c r="E760" s="271"/>
      <c r="F760" s="270"/>
      <c r="G760" s="270"/>
      <c r="H760" s="270"/>
      <c r="I760" s="270"/>
    </row>
    <row r="761">
      <c r="A761" s="253"/>
      <c r="B761" s="253"/>
      <c r="C761" s="253"/>
      <c r="D761" s="271"/>
      <c r="E761" s="271"/>
      <c r="F761" s="270"/>
      <c r="G761" s="270"/>
      <c r="H761" s="270"/>
      <c r="I761" s="270"/>
    </row>
    <row r="762">
      <c r="A762" s="253"/>
      <c r="B762" s="253"/>
      <c r="C762" s="253"/>
      <c r="D762" s="271"/>
      <c r="E762" s="271"/>
      <c r="F762" s="270"/>
      <c r="G762" s="270"/>
      <c r="H762" s="270"/>
      <c r="I762" s="270"/>
    </row>
    <row r="763">
      <c r="A763" s="253"/>
      <c r="B763" s="253"/>
      <c r="C763" s="253"/>
      <c r="D763" s="271"/>
      <c r="E763" s="271"/>
      <c r="F763" s="270"/>
      <c r="G763" s="270"/>
      <c r="H763" s="270"/>
      <c r="I763" s="270"/>
    </row>
    <row r="764">
      <c r="A764" s="253"/>
      <c r="B764" s="253"/>
      <c r="C764" s="253"/>
      <c r="D764" s="271"/>
      <c r="E764" s="271"/>
      <c r="F764" s="270"/>
      <c r="G764" s="270"/>
      <c r="H764" s="270"/>
      <c r="I764" s="270"/>
    </row>
    <row r="765">
      <c r="A765" s="253"/>
      <c r="B765" s="253"/>
      <c r="C765" s="253"/>
      <c r="D765" s="271"/>
      <c r="E765" s="271"/>
      <c r="F765" s="270"/>
      <c r="G765" s="270"/>
      <c r="H765" s="270"/>
      <c r="I765" s="270"/>
    </row>
    <row r="766">
      <c r="A766" s="253"/>
      <c r="B766" s="253"/>
      <c r="C766" s="253"/>
      <c r="D766" s="271"/>
      <c r="E766" s="271"/>
      <c r="F766" s="270"/>
      <c r="G766" s="270"/>
      <c r="H766" s="270"/>
      <c r="I766" s="270"/>
    </row>
    <row r="767">
      <c r="A767" s="253"/>
      <c r="B767" s="253"/>
      <c r="C767" s="253"/>
      <c r="D767" s="271"/>
      <c r="E767" s="271"/>
      <c r="F767" s="270"/>
      <c r="G767" s="270"/>
      <c r="H767" s="270"/>
      <c r="I767" s="270"/>
    </row>
    <row r="768">
      <c r="A768" s="253"/>
      <c r="B768" s="253"/>
      <c r="C768" s="253"/>
      <c r="D768" s="271"/>
      <c r="E768" s="271"/>
      <c r="F768" s="270"/>
      <c r="G768" s="270"/>
      <c r="H768" s="270"/>
      <c r="I768" s="270"/>
    </row>
    <row r="769">
      <c r="A769" s="253"/>
      <c r="B769" s="253"/>
      <c r="C769" s="253"/>
      <c r="D769" s="271"/>
      <c r="E769" s="271"/>
      <c r="F769" s="270"/>
      <c r="G769" s="270"/>
      <c r="H769" s="270"/>
      <c r="I769" s="270"/>
    </row>
    <row r="770">
      <c r="A770" s="253"/>
      <c r="B770" s="253"/>
      <c r="C770" s="253"/>
      <c r="D770" s="271"/>
      <c r="E770" s="271"/>
      <c r="F770" s="270"/>
      <c r="G770" s="270"/>
      <c r="H770" s="270"/>
      <c r="I770" s="270"/>
    </row>
    <row r="771">
      <c r="A771" s="253"/>
      <c r="B771" s="253"/>
      <c r="C771" s="253"/>
      <c r="D771" s="271"/>
      <c r="E771" s="271"/>
      <c r="F771" s="270"/>
      <c r="G771" s="270"/>
      <c r="H771" s="270"/>
      <c r="I771" s="270"/>
    </row>
    <row r="772">
      <c r="A772" s="253"/>
      <c r="B772" s="253"/>
      <c r="C772" s="253"/>
      <c r="D772" s="271"/>
      <c r="E772" s="271"/>
      <c r="F772" s="270"/>
      <c r="G772" s="270"/>
      <c r="H772" s="270"/>
      <c r="I772" s="270"/>
    </row>
    <row r="773">
      <c r="A773" s="253"/>
      <c r="B773" s="253"/>
      <c r="C773" s="253"/>
      <c r="D773" s="271"/>
      <c r="E773" s="271"/>
      <c r="F773" s="270"/>
      <c r="G773" s="270"/>
      <c r="H773" s="270"/>
      <c r="I773" s="270"/>
    </row>
    <row r="774">
      <c r="A774" s="253"/>
      <c r="B774" s="253"/>
      <c r="C774" s="253"/>
      <c r="D774" s="271"/>
      <c r="E774" s="271"/>
      <c r="F774" s="270"/>
      <c r="G774" s="270"/>
      <c r="H774" s="270"/>
      <c r="I774" s="270"/>
    </row>
    <row r="775">
      <c r="A775" s="253"/>
      <c r="B775" s="253"/>
      <c r="C775" s="253"/>
      <c r="D775" s="271"/>
      <c r="E775" s="271"/>
      <c r="F775" s="270"/>
      <c r="G775" s="270"/>
      <c r="H775" s="270"/>
      <c r="I775" s="270"/>
    </row>
    <row r="776">
      <c r="A776" s="253"/>
      <c r="B776" s="253"/>
      <c r="C776" s="253"/>
      <c r="D776" s="271"/>
      <c r="E776" s="271"/>
      <c r="F776" s="270"/>
      <c r="G776" s="270"/>
      <c r="H776" s="270"/>
      <c r="I776" s="270"/>
    </row>
    <row r="777">
      <c r="A777" s="253"/>
      <c r="B777" s="253"/>
      <c r="C777" s="253"/>
      <c r="D777" s="271"/>
      <c r="E777" s="271"/>
      <c r="F777" s="270"/>
      <c r="G777" s="270"/>
      <c r="H777" s="270"/>
      <c r="I777" s="270"/>
    </row>
    <row r="778">
      <c r="A778" s="253"/>
      <c r="B778" s="253"/>
      <c r="C778" s="253"/>
      <c r="D778" s="271"/>
      <c r="E778" s="271"/>
      <c r="F778" s="270"/>
      <c r="G778" s="270"/>
      <c r="H778" s="270"/>
      <c r="I778" s="270"/>
    </row>
    <row r="779">
      <c r="A779" s="253"/>
      <c r="B779" s="253"/>
      <c r="C779" s="253"/>
      <c r="D779" s="271"/>
      <c r="E779" s="271"/>
      <c r="F779" s="270"/>
      <c r="G779" s="270"/>
      <c r="H779" s="270"/>
      <c r="I779" s="270"/>
    </row>
    <row r="780">
      <c r="A780" s="253"/>
      <c r="B780" s="253"/>
      <c r="C780" s="253"/>
      <c r="D780" s="271"/>
      <c r="E780" s="271"/>
      <c r="F780" s="270"/>
      <c r="G780" s="270"/>
      <c r="H780" s="270"/>
      <c r="I780" s="270"/>
    </row>
    <row r="781">
      <c r="A781" s="253"/>
      <c r="B781" s="253"/>
      <c r="C781" s="253"/>
      <c r="D781" s="271"/>
      <c r="E781" s="271"/>
      <c r="F781" s="270"/>
      <c r="G781" s="270"/>
      <c r="H781" s="270"/>
      <c r="I781" s="270"/>
    </row>
    <row r="782">
      <c r="A782" s="253"/>
      <c r="B782" s="253"/>
      <c r="C782" s="253"/>
      <c r="D782" s="271"/>
      <c r="E782" s="271"/>
      <c r="F782" s="270"/>
      <c r="G782" s="270"/>
      <c r="H782" s="270"/>
      <c r="I782" s="270"/>
    </row>
    <row r="783">
      <c r="A783" s="253"/>
      <c r="B783" s="253"/>
      <c r="C783" s="253"/>
      <c r="D783" s="271"/>
      <c r="E783" s="271"/>
      <c r="F783" s="270"/>
      <c r="G783" s="270"/>
      <c r="H783" s="270"/>
      <c r="I783" s="270"/>
    </row>
    <row r="784">
      <c r="A784" s="253"/>
      <c r="B784" s="253"/>
      <c r="C784" s="253"/>
      <c r="D784" s="271"/>
      <c r="E784" s="271"/>
      <c r="F784" s="270"/>
      <c r="G784" s="270"/>
      <c r="H784" s="270"/>
      <c r="I784" s="270"/>
    </row>
    <row r="785">
      <c r="A785" s="253"/>
      <c r="B785" s="253"/>
      <c r="C785" s="253"/>
      <c r="D785" s="271"/>
      <c r="E785" s="271"/>
      <c r="F785" s="270"/>
      <c r="G785" s="270"/>
      <c r="H785" s="270"/>
      <c r="I785" s="270"/>
    </row>
    <row r="786">
      <c r="A786" s="253"/>
      <c r="B786" s="253"/>
      <c r="C786" s="253"/>
      <c r="D786" s="271"/>
      <c r="E786" s="271"/>
      <c r="F786" s="270"/>
      <c r="G786" s="270"/>
      <c r="H786" s="270"/>
      <c r="I786" s="270"/>
    </row>
    <row r="787">
      <c r="A787" s="253"/>
      <c r="B787" s="253"/>
      <c r="C787" s="253"/>
      <c r="D787" s="271"/>
      <c r="E787" s="271"/>
      <c r="F787" s="270"/>
      <c r="G787" s="270"/>
      <c r="H787" s="270"/>
      <c r="I787" s="270"/>
    </row>
    <row r="788">
      <c r="A788" s="253"/>
      <c r="B788" s="253"/>
      <c r="C788" s="253"/>
      <c r="D788" s="271"/>
      <c r="E788" s="271"/>
      <c r="F788" s="270"/>
      <c r="G788" s="270"/>
      <c r="H788" s="270"/>
      <c r="I788" s="270"/>
    </row>
    <row r="789">
      <c r="A789" s="253"/>
      <c r="B789" s="253"/>
      <c r="C789" s="253"/>
      <c r="D789" s="271"/>
      <c r="E789" s="271"/>
      <c r="F789" s="270"/>
      <c r="G789" s="270"/>
      <c r="H789" s="270"/>
      <c r="I789" s="270"/>
    </row>
    <row r="790">
      <c r="A790" s="253"/>
      <c r="B790" s="253"/>
      <c r="C790" s="253"/>
      <c r="D790" s="271"/>
      <c r="E790" s="271"/>
      <c r="F790" s="270"/>
      <c r="G790" s="270"/>
      <c r="H790" s="270"/>
      <c r="I790" s="270"/>
    </row>
    <row r="791">
      <c r="A791" s="253"/>
      <c r="B791" s="253"/>
      <c r="C791" s="253"/>
      <c r="D791" s="271"/>
      <c r="E791" s="271"/>
      <c r="F791" s="270"/>
      <c r="G791" s="270"/>
      <c r="H791" s="270"/>
      <c r="I791" s="270"/>
    </row>
    <row r="792">
      <c r="A792" s="253"/>
      <c r="B792" s="253"/>
      <c r="C792" s="253"/>
      <c r="D792" s="271"/>
      <c r="E792" s="271"/>
      <c r="F792" s="270"/>
      <c r="G792" s="270"/>
      <c r="H792" s="270"/>
      <c r="I792" s="270"/>
    </row>
    <row r="793">
      <c r="A793" s="253"/>
      <c r="B793" s="253"/>
      <c r="C793" s="253"/>
      <c r="D793" s="271"/>
      <c r="E793" s="271"/>
      <c r="F793" s="270"/>
      <c r="G793" s="270"/>
      <c r="H793" s="270"/>
      <c r="I793" s="270"/>
    </row>
    <row r="794">
      <c r="A794" s="253"/>
      <c r="B794" s="253"/>
      <c r="C794" s="253"/>
      <c r="D794" s="271"/>
      <c r="E794" s="271"/>
      <c r="F794" s="270"/>
      <c r="G794" s="270"/>
      <c r="H794" s="270"/>
      <c r="I794" s="270"/>
    </row>
    <row r="795">
      <c r="A795" s="253"/>
      <c r="B795" s="253"/>
      <c r="C795" s="253"/>
      <c r="D795" s="271"/>
      <c r="E795" s="271"/>
      <c r="F795" s="270"/>
      <c r="G795" s="270"/>
      <c r="H795" s="270"/>
      <c r="I795" s="270"/>
    </row>
    <row r="796">
      <c r="A796" s="253"/>
      <c r="B796" s="253"/>
      <c r="C796" s="253"/>
      <c r="D796" s="271"/>
      <c r="E796" s="271"/>
      <c r="F796" s="270"/>
      <c r="G796" s="270"/>
      <c r="H796" s="270"/>
      <c r="I796" s="270"/>
    </row>
    <row r="797">
      <c r="A797" s="253"/>
      <c r="B797" s="253"/>
      <c r="C797" s="253"/>
      <c r="D797" s="271"/>
      <c r="E797" s="271"/>
      <c r="F797" s="270"/>
      <c r="G797" s="270"/>
      <c r="H797" s="270"/>
      <c r="I797" s="270"/>
    </row>
    <row r="798">
      <c r="A798" s="253"/>
      <c r="B798" s="253"/>
      <c r="C798" s="253"/>
      <c r="D798" s="271"/>
      <c r="E798" s="271"/>
      <c r="F798" s="270"/>
      <c r="G798" s="270"/>
      <c r="H798" s="270"/>
      <c r="I798" s="270"/>
    </row>
    <row r="799">
      <c r="A799" s="253"/>
      <c r="B799" s="253"/>
      <c r="C799" s="253"/>
      <c r="D799" s="271"/>
      <c r="E799" s="271"/>
      <c r="F799" s="270"/>
      <c r="G799" s="270"/>
      <c r="H799" s="270"/>
      <c r="I799" s="270"/>
    </row>
    <row r="800">
      <c r="A800" s="253"/>
      <c r="B800" s="253"/>
      <c r="C800" s="253"/>
      <c r="D800" s="271"/>
      <c r="E800" s="271"/>
      <c r="F800" s="270"/>
      <c r="G800" s="270"/>
      <c r="H800" s="270"/>
      <c r="I800" s="270"/>
    </row>
    <row r="801">
      <c r="A801" s="253"/>
      <c r="B801" s="253"/>
      <c r="C801" s="253"/>
      <c r="D801" s="271"/>
      <c r="E801" s="271"/>
      <c r="F801" s="270"/>
      <c r="G801" s="270"/>
      <c r="H801" s="270"/>
      <c r="I801" s="270"/>
    </row>
    <row r="802">
      <c r="A802" s="253"/>
      <c r="B802" s="253"/>
      <c r="C802" s="253"/>
      <c r="D802" s="271"/>
      <c r="E802" s="271"/>
      <c r="F802" s="270"/>
      <c r="G802" s="270"/>
      <c r="H802" s="270"/>
      <c r="I802" s="270"/>
    </row>
    <row r="803">
      <c r="A803" s="253"/>
      <c r="B803" s="253"/>
      <c r="C803" s="253"/>
      <c r="D803" s="271"/>
      <c r="E803" s="271"/>
      <c r="F803" s="270"/>
      <c r="G803" s="270"/>
      <c r="H803" s="270"/>
      <c r="I803" s="270"/>
    </row>
    <row r="804">
      <c r="A804" s="253"/>
      <c r="B804" s="253"/>
      <c r="C804" s="253"/>
      <c r="D804" s="271"/>
      <c r="E804" s="271"/>
      <c r="F804" s="270"/>
      <c r="G804" s="270"/>
      <c r="H804" s="270"/>
      <c r="I804" s="270"/>
    </row>
    <row r="805">
      <c r="A805" s="253"/>
      <c r="B805" s="253"/>
      <c r="C805" s="253"/>
      <c r="D805" s="271"/>
      <c r="E805" s="271"/>
      <c r="F805" s="270"/>
      <c r="G805" s="270"/>
      <c r="H805" s="270"/>
      <c r="I805" s="270"/>
    </row>
    <row r="806">
      <c r="A806" s="253"/>
      <c r="B806" s="253"/>
      <c r="C806" s="253"/>
      <c r="D806" s="271"/>
      <c r="E806" s="271"/>
      <c r="F806" s="270"/>
      <c r="G806" s="270"/>
      <c r="H806" s="270"/>
      <c r="I806" s="270"/>
    </row>
    <row r="807">
      <c r="A807" s="253"/>
      <c r="B807" s="253"/>
      <c r="C807" s="253"/>
      <c r="D807" s="271"/>
      <c r="E807" s="271"/>
      <c r="F807" s="270"/>
      <c r="G807" s="270"/>
      <c r="H807" s="270"/>
      <c r="I807" s="270"/>
    </row>
    <row r="808">
      <c r="A808" s="253"/>
      <c r="B808" s="253"/>
      <c r="C808" s="253"/>
      <c r="D808" s="271"/>
      <c r="E808" s="271"/>
      <c r="F808" s="270"/>
      <c r="G808" s="270"/>
      <c r="H808" s="270"/>
      <c r="I808" s="270"/>
    </row>
    <row r="809">
      <c r="A809" s="253"/>
      <c r="B809" s="253"/>
      <c r="C809" s="253"/>
      <c r="D809" s="271"/>
      <c r="E809" s="271"/>
      <c r="F809" s="270"/>
      <c r="G809" s="270"/>
      <c r="H809" s="270"/>
      <c r="I809" s="270"/>
    </row>
    <row r="810">
      <c r="A810" s="253"/>
      <c r="B810" s="253"/>
      <c r="C810" s="253"/>
      <c r="D810" s="271"/>
      <c r="E810" s="271"/>
      <c r="F810" s="270"/>
      <c r="G810" s="270"/>
      <c r="H810" s="270"/>
      <c r="I810" s="270"/>
    </row>
    <row r="811">
      <c r="A811" s="253"/>
      <c r="B811" s="253"/>
      <c r="C811" s="253"/>
      <c r="D811" s="271"/>
      <c r="E811" s="271"/>
      <c r="F811" s="270"/>
      <c r="G811" s="270"/>
      <c r="H811" s="270"/>
      <c r="I811" s="270"/>
    </row>
    <row r="812">
      <c r="A812" s="253"/>
      <c r="B812" s="253"/>
      <c r="C812" s="253"/>
      <c r="D812" s="271"/>
      <c r="E812" s="271"/>
      <c r="F812" s="270"/>
      <c r="G812" s="270"/>
      <c r="H812" s="270"/>
      <c r="I812" s="270"/>
    </row>
    <row r="813">
      <c r="A813" s="253"/>
      <c r="B813" s="253"/>
      <c r="C813" s="253"/>
      <c r="D813" s="271"/>
      <c r="E813" s="271"/>
      <c r="F813" s="270"/>
      <c r="G813" s="270"/>
      <c r="H813" s="270"/>
      <c r="I813" s="270"/>
    </row>
    <row r="814">
      <c r="A814" s="253"/>
      <c r="B814" s="253"/>
      <c r="C814" s="253"/>
      <c r="D814" s="271"/>
      <c r="E814" s="271"/>
      <c r="F814" s="270"/>
      <c r="G814" s="270"/>
      <c r="H814" s="270"/>
      <c r="I814" s="270"/>
    </row>
    <row r="815">
      <c r="A815" s="253"/>
      <c r="B815" s="253"/>
      <c r="C815" s="253"/>
      <c r="D815" s="271"/>
      <c r="E815" s="271"/>
      <c r="F815" s="270"/>
      <c r="G815" s="270"/>
      <c r="H815" s="270"/>
      <c r="I815" s="270"/>
    </row>
    <row r="816">
      <c r="A816" s="253"/>
      <c r="B816" s="253"/>
      <c r="C816" s="253"/>
      <c r="D816" s="271"/>
      <c r="E816" s="271"/>
      <c r="F816" s="270"/>
      <c r="G816" s="270"/>
      <c r="H816" s="270"/>
      <c r="I816" s="270"/>
    </row>
    <row r="817">
      <c r="A817" s="253"/>
      <c r="B817" s="253"/>
      <c r="C817" s="253"/>
      <c r="D817" s="271"/>
      <c r="E817" s="271"/>
      <c r="F817" s="270"/>
      <c r="G817" s="270"/>
      <c r="H817" s="270"/>
      <c r="I817" s="270"/>
    </row>
    <row r="818">
      <c r="A818" s="253"/>
      <c r="B818" s="253"/>
      <c r="C818" s="253"/>
      <c r="D818" s="271"/>
      <c r="E818" s="271"/>
      <c r="F818" s="270"/>
      <c r="G818" s="270"/>
      <c r="H818" s="270"/>
      <c r="I818" s="270"/>
    </row>
    <row r="819">
      <c r="A819" s="253"/>
      <c r="B819" s="253"/>
      <c r="C819" s="253"/>
      <c r="D819" s="271"/>
      <c r="E819" s="271"/>
      <c r="F819" s="270"/>
      <c r="G819" s="270"/>
      <c r="H819" s="270"/>
      <c r="I819" s="270"/>
    </row>
    <row r="820">
      <c r="A820" s="253"/>
      <c r="B820" s="253"/>
      <c r="C820" s="253"/>
      <c r="D820" s="271"/>
      <c r="E820" s="271"/>
      <c r="F820" s="270"/>
      <c r="G820" s="270"/>
      <c r="H820" s="270"/>
      <c r="I820" s="270"/>
    </row>
    <row r="821">
      <c r="A821" s="253"/>
      <c r="B821" s="253"/>
      <c r="C821" s="253"/>
      <c r="D821" s="271"/>
      <c r="E821" s="271"/>
      <c r="F821" s="270"/>
      <c r="G821" s="270"/>
      <c r="H821" s="270"/>
      <c r="I821" s="270"/>
    </row>
    <row r="822">
      <c r="A822" s="253"/>
      <c r="B822" s="253"/>
      <c r="C822" s="253"/>
      <c r="D822" s="271"/>
      <c r="E822" s="271"/>
      <c r="F822" s="270"/>
      <c r="G822" s="270"/>
      <c r="H822" s="270"/>
      <c r="I822" s="270"/>
    </row>
    <row r="823">
      <c r="A823" s="253"/>
      <c r="B823" s="253"/>
      <c r="C823" s="253"/>
      <c r="D823" s="271"/>
      <c r="E823" s="271"/>
      <c r="F823" s="270"/>
      <c r="G823" s="270"/>
      <c r="H823" s="270"/>
      <c r="I823" s="270"/>
    </row>
    <row r="824">
      <c r="A824" s="253"/>
      <c r="B824" s="253"/>
      <c r="C824" s="253"/>
      <c r="D824" s="271"/>
      <c r="E824" s="271"/>
      <c r="F824" s="270"/>
      <c r="G824" s="270"/>
      <c r="H824" s="270"/>
      <c r="I824" s="270"/>
    </row>
    <row r="825">
      <c r="A825" s="253"/>
      <c r="B825" s="253"/>
      <c r="C825" s="253"/>
      <c r="D825" s="271"/>
      <c r="E825" s="271"/>
      <c r="F825" s="270"/>
      <c r="G825" s="270"/>
      <c r="H825" s="270"/>
      <c r="I825" s="270"/>
    </row>
    <row r="826">
      <c r="A826" s="253"/>
      <c r="B826" s="253"/>
      <c r="C826" s="253"/>
      <c r="D826" s="271"/>
      <c r="E826" s="271"/>
      <c r="F826" s="270"/>
      <c r="G826" s="270"/>
      <c r="H826" s="270"/>
      <c r="I826" s="270"/>
    </row>
    <row r="827">
      <c r="A827" s="253"/>
      <c r="B827" s="253"/>
      <c r="C827" s="253"/>
      <c r="D827" s="271"/>
      <c r="E827" s="271"/>
      <c r="F827" s="270"/>
      <c r="G827" s="270"/>
      <c r="H827" s="270"/>
      <c r="I827" s="270"/>
    </row>
    <row r="828">
      <c r="A828" s="253"/>
      <c r="B828" s="253"/>
      <c r="C828" s="253"/>
      <c r="D828" s="271"/>
      <c r="E828" s="271"/>
      <c r="F828" s="270"/>
      <c r="G828" s="270"/>
      <c r="H828" s="270"/>
      <c r="I828" s="270"/>
    </row>
    <row r="829">
      <c r="A829" s="253"/>
      <c r="B829" s="253"/>
      <c r="C829" s="253"/>
      <c r="D829" s="271"/>
      <c r="E829" s="271"/>
      <c r="F829" s="270"/>
      <c r="G829" s="270"/>
      <c r="H829" s="270"/>
      <c r="I829" s="270"/>
    </row>
    <row r="830">
      <c r="A830" s="253"/>
      <c r="B830" s="253"/>
      <c r="C830" s="253"/>
      <c r="D830" s="271"/>
      <c r="E830" s="271"/>
      <c r="F830" s="270"/>
      <c r="G830" s="270"/>
      <c r="H830" s="270"/>
      <c r="I830" s="270"/>
    </row>
    <row r="831">
      <c r="A831" s="253"/>
      <c r="B831" s="253"/>
      <c r="C831" s="253"/>
      <c r="D831" s="271"/>
      <c r="E831" s="271"/>
      <c r="F831" s="270"/>
      <c r="G831" s="270"/>
      <c r="H831" s="270"/>
      <c r="I831" s="270"/>
    </row>
    <row r="832">
      <c r="A832" s="253"/>
      <c r="B832" s="253"/>
      <c r="C832" s="253"/>
      <c r="D832" s="271"/>
      <c r="E832" s="271"/>
      <c r="F832" s="270"/>
      <c r="G832" s="270"/>
      <c r="H832" s="270"/>
      <c r="I832" s="270"/>
    </row>
    <row r="833">
      <c r="A833" s="253"/>
      <c r="B833" s="253"/>
      <c r="C833" s="253"/>
      <c r="D833" s="271"/>
      <c r="E833" s="271"/>
      <c r="F833" s="270"/>
      <c r="G833" s="270"/>
      <c r="H833" s="270"/>
      <c r="I833" s="270"/>
    </row>
    <row r="834">
      <c r="A834" s="253"/>
      <c r="B834" s="253"/>
      <c r="C834" s="253"/>
      <c r="D834" s="271"/>
      <c r="E834" s="271"/>
      <c r="F834" s="270"/>
      <c r="G834" s="270"/>
      <c r="H834" s="270"/>
      <c r="I834" s="270"/>
    </row>
    <row r="835">
      <c r="A835" s="253"/>
      <c r="B835" s="253"/>
      <c r="C835" s="253"/>
      <c r="D835" s="271"/>
      <c r="E835" s="271"/>
      <c r="F835" s="270"/>
      <c r="G835" s="270"/>
      <c r="H835" s="270"/>
      <c r="I835" s="270"/>
    </row>
    <row r="836">
      <c r="A836" s="253"/>
      <c r="B836" s="253"/>
      <c r="C836" s="253"/>
      <c r="D836" s="271"/>
      <c r="E836" s="271"/>
      <c r="F836" s="270"/>
      <c r="G836" s="270"/>
      <c r="H836" s="270"/>
      <c r="I836" s="270"/>
    </row>
    <row r="837">
      <c r="A837" s="253"/>
      <c r="B837" s="253"/>
      <c r="C837" s="253"/>
      <c r="D837" s="271"/>
      <c r="E837" s="271"/>
      <c r="F837" s="270"/>
      <c r="G837" s="270"/>
      <c r="H837" s="270"/>
      <c r="I837" s="270"/>
    </row>
    <row r="838">
      <c r="A838" s="253"/>
      <c r="B838" s="253"/>
      <c r="C838" s="253"/>
      <c r="D838" s="271"/>
      <c r="E838" s="271"/>
      <c r="F838" s="270"/>
      <c r="G838" s="270"/>
      <c r="H838" s="270"/>
      <c r="I838" s="270"/>
    </row>
    <row r="839">
      <c r="A839" s="253"/>
      <c r="B839" s="253"/>
      <c r="C839" s="253"/>
      <c r="D839" s="271"/>
      <c r="E839" s="271"/>
      <c r="F839" s="270"/>
      <c r="G839" s="270"/>
      <c r="H839" s="270"/>
      <c r="I839" s="270"/>
    </row>
    <row r="840">
      <c r="A840" s="253"/>
      <c r="B840" s="253"/>
      <c r="C840" s="253"/>
      <c r="D840" s="271"/>
      <c r="E840" s="271"/>
      <c r="F840" s="270"/>
      <c r="G840" s="270"/>
      <c r="H840" s="270"/>
      <c r="I840" s="270"/>
    </row>
    <row r="841">
      <c r="A841" s="253"/>
      <c r="B841" s="253"/>
      <c r="C841" s="253"/>
      <c r="D841" s="271"/>
      <c r="E841" s="271"/>
      <c r="F841" s="270"/>
      <c r="G841" s="270"/>
      <c r="H841" s="270"/>
      <c r="I841" s="270"/>
    </row>
    <row r="842">
      <c r="A842" s="253"/>
      <c r="B842" s="253"/>
      <c r="C842" s="253"/>
      <c r="D842" s="271"/>
      <c r="E842" s="271"/>
      <c r="F842" s="270"/>
      <c r="G842" s="270"/>
      <c r="H842" s="270"/>
      <c r="I842" s="270"/>
    </row>
    <row r="843">
      <c r="A843" s="253"/>
      <c r="B843" s="253"/>
      <c r="C843" s="253"/>
      <c r="D843" s="271"/>
      <c r="E843" s="271"/>
      <c r="F843" s="270"/>
      <c r="G843" s="270"/>
      <c r="H843" s="270"/>
      <c r="I843" s="270"/>
    </row>
    <row r="844">
      <c r="A844" s="253"/>
      <c r="B844" s="253"/>
      <c r="C844" s="253"/>
      <c r="D844" s="271"/>
      <c r="E844" s="271"/>
      <c r="F844" s="270"/>
      <c r="G844" s="270"/>
      <c r="H844" s="270"/>
      <c r="I844" s="270"/>
    </row>
    <row r="845">
      <c r="A845" s="253"/>
      <c r="B845" s="253"/>
      <c r="C845" s="253"/>
      <c r="D845" s="271"/>
      <c r="E845" s="271"/>
      <c r="F845" s="270"/>
      <c r="G845" s="270"/>
      <c r="H845" s="270"/>
      <c r="I845" s="270"/>
    </row>
    <row r="846">
      <c r="A846" s="253"/>
      <c r="B846" s="253"/>
      <c r="C846" s="253"/>
      <c r="D846" s="271"/>
      <c r="E846" s="271"/>
      <c r="F846" s="270"/>
      <c r="G846" s="270"/>
      <c r="H846" s="270"/>
      <c r="I846" s="270"/>
    </row>
    <row r="847">
      <c r="A847" s="253"/>
      <c r="B847" s="253"/>
      <c r="C847" s="253"/>
      <c r="D847" s="271"/>
      <c r="E847" s="271"/>
      <c r="F847" s="270"/>
      <c r="G847" s="270"/>
      <c r="H847" s="270"/>
      <c r="I847" s="270"/>
    </row>
    <row r="848">
      <c r="A848" s="253"/>
      <c r="B848" s="253"/>
      <c r="C848" s="253"/>
      <c r="D848" s="271"/>
      <c r="E848" s="271"/>
      <c r="F848" s="270"/>
      <c r="G848" s="270"/>
      <c r="H848" s="270"/>
      <c r="I848" s="270"/>
    </row>
    <row r="849">
      <c r="A849" s="253"/>
      <c r="B849" s="253"/>
      <c r="C849" s="253"/>
      <c r="D849" s="271"/>
      <c r="E849" s="271"/>
      <c r="F849" s="270"/>
      <c r="G849" s="270"/>
      <c r="H849" s="270"/>
      <c r="I849" s="270"/>
    </row>
    <row r="850">
      <c r="A850" s="253"/>
      <c r="B850" s="253"/>
      <c r="C850" s="253"/>
      <c r="D850" s="271"/>
      <c r="E850" s="271"/>
      <c r="F850" s="270"/>
      <c r="G850" s="270"/>
      <c r="H850" s="270"/>
      <c r="I850" s="270"/>
    </row>
    <row r="851">
      <c r="A851" s="253"/>
      <c r="B851" s="253"/>
      <c r="C851" s="253"/>
      <c r="D851" s="271"/>
      <c r="E851" s="271"/>
      <c r="F851" s="270"/>
      <c r="G851" s="270"/>
      <c r="H851" s="270"/>
      <c r="I851" s="270"/>
    </row>
    <row r="852">
      <c r="A852" s="253"/>
      <c r="B852" s="253"/>
      <c r="C852" s="253"/>
      <c r="D852" s="271"/>
      <c r="E852" s="271"/>
      <c r="F852" s="270"/>
      <c r="G852" s="270"/>
      <c r="H852" s="270"/>
      <c r="I852" s="270"/>
    </row>
    <row r="853">
      <c r="A853" s="253"/>
      <c r="B853" s="253"/>
      <c r="C853" s="253"/>
      <c r="D853" s="271"/>
      <c r="E853" s="271"/>
      <c r="F853" s="270"/>
      <c r="G853" s="270"/>
      <c r="H853" s="270"/>
      <c r="I853" s="270"/>
    </row>
    <row r="854">
      <c r="A854" s="253"/>
      <c r="B854" s="253"/>
      <c r="C854" s="253"/>
      <c r="D854" s="271"/>
      <c r="E854" s="271"/>
      <c r="F854" s="270"/>
      <c r="G854" s="270"/>
      <c r="H854" s="270"/>
      <c r="I854" s="270"/>
    </row>
    <row r="855">
      <c r="A855" s="253"/>
      <c r="B855" s="253"/>
      <c r="C855" s="253"/>
      <c r="D855" s="271"/>
      <c r="E855" s="271"/>
      <c r="F855" s="270"/>
      <c r="G855" s="270"/>
      <c r="H855" s="270"/>
      <c r="I855" s="270"/>
    </row>
    <row r="856">
      <c r="A856" s="253"/>
      <c r="B856" s="253"/>
      <c r="C856" s="253"/>
      <c r="D856" s="271"/>
      <c r="E856" s="271"/>
      <c r="F856" s="270"/>
      <c r="G856" s="270"/>
      <c r="H856" s="270"/>
      <c r="I856" s="270"/>
    </row>
    <row r="857">
      <c r="A857" s="253"/>
      <c r="B857" s="253"/>
      <c r="C857" s="253"/>
      <c r="D857" s="271"/>
      <c r="E857" s="271"/>
      <c r="F857" s="270"/>
      <c r="G857" s="270"/>
      <c r="H857" s="270"/>
      <c r="I857" s="270"/>
    </row>
    <row r="858">
      <c r="A858" s="253"/>
      <c r="B858" s="253"/>
      <c r="C858" s="253"/>
      <c r="D858" s="271"/>
      <c r="E858" s="271"/>
      <c r="F858" s="270"/>
      <c r="G858" s="270"/>
      <c r="H858" s="270"/>
      <c r="I858" s="270"/>
    </row>
    <row r="859">
      <c r="A859" s="253"/>
      <c r="B859" s="253"/>
      <c r="C859" s="253"/>
      <c r="D859" s="271"/>
      <c r="E859" s="271"/>
      <c r="F859" s="270"/>
      <c r="G859" s="270"/>
      <c r="H859" s="270"/>
      <c r="I859" s="270"/>
    </row>
    <row r="860">
      <c r="A860" s="253"/>
      <c r="B860" s="253"/>
      <c r="C860" s="253"/>
      <c r="D860" s="271"/>
      <c r="E860" s="271"/>
      <c r="F860" s="270"/>
      <c r="G860" s="270"/>
      <c r="H860" s="270"/>
      <c r="I860" s="270"/>
    </row>
    <row r="861">
      <c r="A861" s="253"/>
      <c r="B861" s="253"/>
      <c r="C861" s="253"/>
      <c r="D861" s="271"/>
      <c r="E861" s="271"/>
      <c r="F861" s="270"/>
      <c r="G861" s="270"/>
      <c r="H861" s="270"/>
      <c r="I861" s="270"/>
    </row>
    <row r="862">
      <c r="A862" s="253"/>
      <c r="B862" s="253"/>
      <c r="C862" s="253"/>
      <c r="D862" s="271"/>
      <c r="E862" s="271"/>
      <c r="F862" s="270"/>
      <c r="G862" s="270"/>
      <c r="H862" s="270"/>
      <c r="I862" s="270"/>
    </row>
    <row r="863">
      <c r="A863" s="253"/>
      <c r="B863" s="253"/>
      <c r="C863" s="253"/>
      <c r="D863" s="271"/>
      <c r="E863" s="271"/>
      <c r="F863" s="270"/>
      <c r="G863" s="270"/>
      <c r="H863" s="270"/>
      <c r="I863" s="270"/>
    </row>
    <row r="864">
      <c r="A864" s="253"/>
      <c r="B864" s="253"/>
      <c r="C864" s="253"/>
      <c r="D864" s="271"/>
      <c r="E864" s="271"/>
      <c r="F864" s="270"/>
      <c r="G864" s="270"/>
      <c r="H864" s="270"/>
      <c r="I864" s="270"/>
    </row>
    <row r="865">
      <c r="A865" s="253"/>
      <c r="B865" s="253"/>
      <c r="C865" s="253"/>
      <c r="D865" s="271"/>
      <c r="E865" s="271"/>
      <c r="F865" s="270"/>
      <c r="G865" s="270"/>
      <c r="H865" s="270"/>
      <c r="I865" s="270"/>
    </row>
    <row r="866">
      <c r="A866" s="253"/>
      <c r="B866" s="253"/>
      <c r="C866" s="253"/>
      <c r="D866" s="271"/>
      <c r="E866" s="271"/>
      <c r="F866" s="270"/>
      <c r="G866" s="270"/>
      <c r="H866" s="270"/>
      <c r="I866" s="270"/>
    </row>
    <row r="867">
      <c r="A867" s="253"/>
      <c r="B867" s="253"/>
      <c r="C867" s="253"/>
      <c r="D867" s="271"/>
      <c r="E867" s="271"/>
      <c r="F867" s="270"/>
      <c r="G867" s="270"/>
      <c r="H867" s="270"/>
      <c r="I867" s="270"/>
    </row>
    <row r="868">
      <c r="A868" s="253"/>
      <c r="B868" s="253"/>
      <c r="C868" s="253"/>
      <c r="D868" s="271"/>
      <c r="E868" s="271"/>
      <c r="F868" s="270"/>
      <c r="G868" s="270"/>
      <c r="H868" s="270"/>
      <c r="I868" s="270"/>
    </row>
    <row r="869">
      <c r="A869" s="253"/>
      <c r="B869" s="253"/>
      <c r="C869" s="253"/>
      <c r="D869" s="271"/>
      <c r="E869" s="271"/>
      <c r="F869" s="270"/>
      <c r="G869" s="270"/>
      <c r="H869" s="270"/>
      <c r="I869" s="270"/>
    </row>
    <row r="870">
      <c r="A870" s="253"/>
      <c r="B870" s="253"/>
      <c r="C870" s="253"/>
      <c r="D870" s="271"/>
      <c r="E870" s="271"/>
      <c r="F870" s="270"/>
      <c r="G870" s="270"/>
      <c r="H870" s="270"/>
      <c r="I870" s="270"/>
    </row>
    <row r="871">
      <c r="A871" s="253"/>
      <c r="B871" s="253"/>
      <c r="C871" s="253"/>
      <c r="D871" s="271"/>
      <c r="E871" s="271"/>
      <c r="F871" s="270"/>
      <c r="G871" s="270"/>
      <c r="H871" s="270"/>
      <c r="I871" s="270"/>
    </row>
    <row r="872">
      <c r="A872" s="253"/>
      <c r="B872" s="253"/>
      <c r="C872" s="253"/>
      <c r="D872" s="271"/>
      <c r="E872" s="271"/>
      <c r="F872" s="270"/>
      <c r="G872" s="270"/>
      <c r="H872" s="270"/>
      <c r="I872" s="270"/>
    </row>
    <row r="873">
      <c r="A873" s="253"/>
      <c r="B873" s="253"/>
      <c r="C873" s="253"/>
      <c r="D873" s="271"/>
      <c r="E873" s="271"/>
      <c r="F873" s="270"/>
      <c r="G873" s="270"/>
      <c r="H873" s="270"/>
      <c r="I873" s="270"/>
    </row>
    <row r="874">
      <c r="A874" s="253"/>
      <c r="B874" s="253"/>
      <c r="C874" s="253"/>
      <c r="D874" s="271"/>
      <c r="E874" s="271"/>
      <c r="F874" s="270"/>
      <c r="G874" s="270"/>
      <c r="H874" s="270"/>
      <c r="I874" s="270"/>
    </row>
    <row r="875">
      <c r="A875" s="253"/>
      <c r="B875" s="253"/>
      <c r="C875" s="253"/>
      <c r="D875" s="271"/>
      <c r="E875" s="271"/>
      <c r="F875" s="270"/>
      <c r="G875" s="270"/>
      <c r="H875" s="270"/>
      <c r="I875" s="270"/>
    </row>
    <row r="876">
      <c r="A876" s="253"/>
      <c r="B876" s="253"/>
      <c r="C876" s="253"/>
      <c r="D876" s="271"/>
      <c r="E876" s="271"/>
      <c r="F876" s="270"/>
      <c r="G876" s="270"/>
      <c r="H876" s="270"/>
      <c r="I876" s="270"/>
    </row>
    <row r="877">
      <c r="A877" s="253"/>
      <c r="B877" s="253"/>
      <c r="C877" s="253"/>
      <c r="D877" s="271"/>
      <c r="E877" s="271"/>
      <c r="F877" s="270"/>
      <c r="G877" s="270"/>
      <c r="H877" s="270"/>
      <c r="I877" s="270"/>
    </row>
    <row r="878">
      <c r="A878" s="253"/>
      <c r="B878" s="253"/>
      <c r="C878" s="253"/>
      <c r="D878" s="271"/>
      <c r="E878" s="271"/>
      <c r="F878" s="270"/>
      <c r="G878" s="270"/>
      <c r="H878" s="270"/>
      <c r="I878" s="270"/>
    </row>
    <row r="879">
      <c r="A879" s="253"/>
      <c r="B879" s="253"/>
      <c r="C879" s="253"/>
      <c r="D879" s="271"/>
      <c r="E879" s="271"/>
      <c r="F879" s="270"/>
      <c r="G879" s="270"/>
      <c r="H879" s="270"/>
      <c r="I879" s="270"/>
    </row>
    <row r="880">
      <c r="A880" s="253"/>
      <c r="B880" s="253"/>
      <c r="C880" s="253"/>
      <c r="D880" s="271"/>
      <c r="E880" s="271"/>
      <c r="F880" s="270"/>
      <c r="G880" s="270"/>
      <c r="H880" s="270"/>
      <c r="I880" s="270"/>
    </row>
    <row r="881">
      <c r="A881" s="253"/>
      <c r="B881" s="253"/>
      <c r="C881" s="253"/>
      <c r="D881" s="271"/>
      <c r="E881" s="271"/>
      <c r="F881" s="270"/>
      <c r="G881" s="270"/>
      <c r="H881" s="270"/>
      <c r="I881" s="270"/>
    </row>
    <row r="882">
      <c r="A882" s="253"/>
      <c r="B882" s="253"/>
      <c r="C882" s="253"/>
      <c r="D882" s="271"/>
      <c r="E882" s="271"/>
      <c r="F882" s="270"/>
      <c r="G882" s="270"/>
      <c r="H882" s="270"/>
      <c r="I882" s="270"/>
    </row>
    <row r="883">
      <c r="A883" s="253"/>
      <c r="B883" s="253"/>
      <c r="C883" s="253"/>
      <c r="D883" s="271"/>
      <c r="E883" s="271"/>
      <c r="F883" s="270"/>
      <c r="G883" s="270"/>
      <c r="H883" s="270"/>
      <c r="I883" s="270"/>
    </row>
    <row r="884">
      <c r="A884" s="253"/>
      <c r="B884" s="253"/>
      <c r="C884" s="253"/>
      <c r="D884" s="271"/>
      <c r="E884" s="271"/>
      <c r="F884" s="270"/>
      <c r="G884" s="270"/>
      <c r="H884" s="270"/>
      <c r="I884" s="270"/>
    </row>
    <row r="885">
      <c r="A885" s="253"/>
      <c r="B885" s="253"/>
      <c r="C885" s="253"/>
      <c r="D885" s="271"/>
      <c r="E885" s="271"/>
      <c r="F885" s="270"/>
      <c r="G885" s="270"/>
      <c r="H885" s="270"/>
      <c r="I885" s="270"/>
    </row>
    <row r="886">
      <c r="A886" s="253"/>
      <c r="B886" s="253"/>
      <c r="C886" s="253"/>
      <c r="D886" s="271"/>
      <c r="E886" s="271"/>
      <c r="F886" s="270"/>
      <c r="G886" s="270"/>
      <c r="H886" s="270"/>
      <c r="I886" s="270"/>
    </row>
    <row r="887">
      <c r="A887" s="253"/>
      <c r="B887" s="253"/>
      <c r="C887" s="253"/>
      <c r="D887" s="271"/>
      <c r="E887" s="271"/>
      <c r="F887" s="270"/>
      <c r="G887" s="270"/>
      <c r="H887" s="270"/>
      <c r="I887" s="270"/>
    </row>
    <row r="888">
      <c r="A888" s="253"/>
      <c r="B888" s="253"/>
      <c r="C888" s="253"/>
      <c r="D888" s="271"/>
      <c r="E888" s="271"/>
      <c r="F888" s="270"/>
      <c r="G888" s="270"/>
      <c r="H888" s="270"/>
      <c r="I888" s="270"/>
    </row>
    <row r="889">
      <c r="A889" s="253"/>
      <c r="B889" s="253"/>
      <c r="C889" s="253"/>
      <c r="D889" s="271"/>
      <c r="E889" s="271"/>
      <c r="F889" s="270"/>
      <c r="G889" s="270"/>
      <c r="H889" s="270"/>
      <c r="I889" s="270"/>
    </row>
    <row r="890">
      <c r="A890" s="253"/>
      <c r="B890" s="253"/>
      <c r="C890" s="253"/>
      <c r="D890" s="271"/>
      <c r="E890" s="271"/>
      <c r="F890" s="270"/>
      <c r="G890" s="270"/>
      <c r="H890" s="270"/>
      <c r="I890" s="270"/>
    </row>
    <row r="891">
      <c r="A891" s="253"/>
      <c r="B891" s="253"/>
      <c r="C891" s="253"/>
      <c r="D891" s="271"/>
      <c r="E891" s="271"/>
      <c r="F891" s="270"/>
      <c r="G891" s="270"/>
      <c r="H891" s="270"/>
      <c r="I891" s="270"/>
    </row>
    <row r="892">
      <c r="A892" s="253"/>
      <c r="B892" s="253"/>
      <c r="C892" s="253"/>
      <c r="D892" s="271"/>
      <c r="E892" s="271"/>
      <c r="F892" s="270"/>
      <c r="G892" s="270"/>
      <c r="H892" s="270"/>
      <c r="I892" s="270"/>
    </row>
    <row r="893">
      <c r="A893" s="253"/>
      <c r="B893" s="253"/>
      <c r="C893" s="253"/>
      <c r="D893" s="271"/>
      <c r="E893" s="271"/>
      <c r="F893" s="270"/>
      <c r="G893" s="270"/>
      <c r="H893" s="270"/>
      <c r="I893" s="270"/>
    </row>
    <row r="894">
      <c r="A894" s="253"/>
      <c r="B894" s="253"/>
      <c r="C894" s="253"/>
      <c r="D894" s="271"/>
      <c r="E894" s="271"/>
      <c r="F894" s="270"/>
      <c r="G894" s="270"/>
      <c r="H894" s="270"/>
      <c r="I894" s="270"/>
    </row>
    <row r="895">
      <c r="A895" s="253"/>
      <c r="B895" s="253"/>
      <c r="C895" s="253"/>
      <c r="D895" s="271"/>
      <c r="E895" s="271"/>
      <c r="F895" s="270"/>
      <c r="G895" s="270"/>
      <c r="H895" s="270"/>
      <c r="I895" s="270"/>
    </row>
    <row r="896">
      <c r="A896" s="253"/>
      <c r="B896" s="253"/>
      <c r="C896" s="253"/>
      <c r="D896" s="271"/>
      <c r="E896" s="271"/>
      <c r="F896" s="270"/>
      <c r="G896" s="270"/>
      <c r="H896" s="270"/>
      <c r="I896" s="270"/>
    </row>
    <row r="897">
      <c r="A897" s="253"/>
      <c r="B897" s="253"/>
      <c r="C897" s="253"/>
      <c r="D897" s="271"/>
      <c r="E897" s="271"/>
      <c r="F897" s="270"/>
      <c r="G897" s="270"/>
      <c r="H897" s="270"/>
      <c r="I897" s="270"/>
    </row>
    <row r="898">
      <c r="A898" s="253"/>
      <c r="B898" s="253"/>
      <c r="C898" s="253"/>
      <c r="D898" s="271"/>
      <c r="E898" s="271"/>
      <c r="F898" s="270"/>
      <c r="G898" s="270"/>
      <c r="H898" s="270"/>
      <c r="I898" s="270"/>
    </row>
    <row r="899">
      <c r="A899" s="253"/>
      <c r="B899" s="253"/>
      <c r="C899" s="253"/>
      <c r="D899" s="271"/>
      <c r="E899" s="271"/>
      <c r="F899" s="270"/>
      <c r="G899" s="270"/>
      <c r="H899" s="270"/>
      <c r="I899" s="270"/>
    </row>
    <row r="900">
      <c r="A900" s="253"/>
      <c r="B900" s="253"/>
      <c r="C900" s="253"/>
      <c r="D900" s="271"/>
      <c r="E900" s="271"/>
      <c r="F900" s="270"/>
      <c r="G900" s="270"/>
      <c r="H900" s="270"/>
      <c r="I900" s="270"/>
    </row>
    <row r="901">
      <c r="A901" s="253"/>
      <c r="B901" s="253"/>
      <c r="C901" s="253"/>
      <c r="D901" s="271"/>
      <c r="E901" s="271"/>
      <c r="F901" s="270"/>
      <c r="G901" s="270"/>
      <c r="H901" s="270"/>
      <c r="I901" s="270"/>
    </row>
    <row r="902">
      <c r="A902" s="253"/>
      <c r="B902" s="253"/>
      <c r="C902" s="253"/>
      <c r="D902" s="271"/>
      <c r="E902" s="271"/>
      <c r="F902" s="270"/>
      <c r="G902" s="270"/>
      <c r="H902" s="270"/>
      <c r="I902" s="270"/>
    </row>
    <row r="903">
      <c r="A903" s="253"/>
      <c r="B903" s="253"/>
      <c r="C903" s="253"/>
      <c r="D903" s="271"/>
      <c r="E903" s="271"/>
      <c r="F903" s="270"/>
      <c r="G903" s="270"/>
      <c r="H903" s="270"/>
      <c r="I903" s="270"/>
    </row>
    <row r="904">
      <c r="A904" s="253"/>
      <c r="B904" s="253"/>
      <c r="C904" s="253"/>
      <c r="D904" s="271"/>
      <c r="E904" s="271"/>
      <c r="F904" s="270"/>
      <c r="G904" s="270"/>
      <c r="H904" s="270"/>
      <c r="I904" s="270"/>
    </row>
    <row r="905">
      <c r="A905" s="253"/>
      <c r="B905" s="253"/>
      <c r="C905" s="253"/>
      <c r="D905" s="271"/>
      <c r="E905" s="271"/>
      <c r="F905" s="270"/>
      <c r="G905" s="270"/>
      <c r="H905" s="270"/>
      <c r="I905" s="270"/>
    </row>
    <row r="906">
      <c r="A906" s="253"/>
      <c r="B906" s="253"/>
      <c r="C906" s="253"/>
      <c r="D906" s="271"/>
      <c r="E906" s="271"/>
      <c r="F906" s="270"/>
      <c r="G906" s="270"/>
      <c r="H906" s="270"/>
      <c r="I906" s="270"/>
    </row>
    <row r="907">
      <c r="A907" s="253"/>
      <c r="B907" s="253"/>
      <c r="C907" s="253"/>
      <c r="D907" s="271"/>
      <c r="E907" s="271"/>
      <c r="F907" s="270"/>
      <c r="G907" s="270"/>
      <c r="H907" s="270"/>
      <c r="I907" s="270"/>
    </row>
    <row r="908">
      <c r="A908" s="253"/>
      <c r="B908" s="253"/>
      <c r="C908" s="253"/>
      <c r="D908" s="271"/>
      <c r="E908" s="271"/>
      <c r="F908" s="270"/>
      <c r="G908" s="270"/>
      <c r="H908" s="270"/>
      <c r="I908" s="270"/>
    </row>
    <row r="909">
      <c r="A909" s="253"/>
      <c r="B909" s="253"/>
      <c r="C909" s="253"/>
      <c r="D909" s="271"/>
      <c r="E909" s="271"/>
      <c r="F909" s="270"/>
      <c r="G909" s="270"/>
      <c r="H909" s="270"/>
      <c r="I909" s="270"/>
    </row>
    <row r="910">
      <c r="A910" s="253"/>
      <c r="B910" s="253"/>
      <c r="C910" s="253"/>
      <c r="D910" s="271"/>
      <c r="E910" s="271"/>
      <c r="F910" s="270"/>
      <c r="G910" s="270"/>
      <c r="H910" s="270"/>
      <c r="I910" s="270"/>
    </row>
    <row r="911">
      <c r="A911" s="253"/>
      <c r="B911" s="253"/>
      <c r="C911" s="253"/>
      <c r="D911" s="271"/>
      <c r="E911" s="271"/>
      <c r="F911" s="270"/>
      <c r="G911" s="270"/>
      <c r="H911" s="270"/>
      <c r="I911" s="270"/>
    </row>
    <row r="912">
      <c r="A912" s="253"/>
      <c r="B912" s="253"/>
      <c r="C912" s="253"/>
      <c r="D912" s="271"/>
      <c r="E912" s="271"/>
      <c r="F912" s="270"/>
      <c r="G912" s="270"/>
      <c r="H912" s="270"/>
      <c r="I912" s="270"/>
    </row>
    <row r="913">
      <c r="A913" s="253"/>
      <c r="B913" s="253"/>
      <c r="C913" s="253"/>
      <c r="D913" s="271"/>
      <c r="E913" s="271"/>
      <c r="F913" s="270"/>
      <c r="G913" s="270"/>
      <c r="H913" s="270"/>
      <c r="I913" s="270"/>
    </row>
    <row r="914">
      <c r="A914" s="253"/>
      <c r="B914" s="253"/>
      <c r="C914" s="253"/>
      <c r="D914" s="271"/>
      <c r="E914" s="271"/>
      <c r="F914" s="270"/>
      <c r="G914" s="270"/>
      <c r="H914" s="270"/>
      <c r="I914" s="270"/>
    </row>
    <row r="915">
      <c r="A915" s="253"/>
      <c r="B915" s="253"/>
      <c r="C915" s="253"/>
      <c r="D915" s="271"/>
      <c r="E915" s="271"/>
      <c r="F915" s="270"/>
      <c r="G915" s="270"/>
      <c r="H915" s="270"/>
      <c r="I915" s="270"/>
    </row>
    <row r="916">
      <c r="A916" s="253"/>
      <c r="B916" s="253"/>
      <c r="C916" s="253"/>
      <c r="D916" s="271"/>
      <c r="E916" s="271"/>
      <c r="F916" s="270"/>
      <c r="G916" s="270"/>
      <c r="H916" s="270"/>
      <c r="I916" s="270"/>
    </row>
    <row r="917">
      <c r="A917" s="253"/>
      <c r="B917" s="253"/>
      <c r="C917" s="253"/>
      <c r="D917" s="271"/>
      <c r="E917" s="271"/>
      <c r="F917" s="270"/>
      <c r="G917" s="270"/>
      <c r="H917" s="270"/>
      <c r="I917" s="270"/>
    </row>
    <row r="918">
      <c r="A918" s="253"/>
      <c r="B918" s="253"/>
      <c r="C918" s="253"/>
      <c r="D918" s="271"/>
      <c r="E918" s="271"/>
      <c r="F918" s="270"/>
      <c r="G918" s="270"/>
      <c r="H918" s="270"/>
      <c r="I918" s="270"/>
    </row>
    <row r="919">
      <c r="A919" s="253"/>
      <c r="B919" s="253"/>
      <c r="C919" s="253"/>
      <c r="D919" s="271"/>
      <c r="E919" s="271"/>
      <c r="F919" s="270"/>
      <c r="G919" s="270"/>
      <c r="H919" s="270"/>
      <c r="I919" s="270"/>
    </row>
    <row r="920">
      <c r="A920" s="253"/>
      <c r="B920" s="253"/>
      <c r="C920" s="253"/>
      <c r="D920" s="271"/>
      <c r="E920" s="271"/>
      <c r="F920" s="270"/>
      <c r="G920" s="270"/>
      <c r="H920" s="270"/>
      <c r="I920" s="270"/>
    </row>
    <row r="921">
      <c r="A921" s="253"/>
      <c r="B921" s="253"/>
      <c r="C921" s="253"/>
      <c r="D921" s="271"/>
      <c r="E921" s="271"/>
      <c r="F921" s="270"/>
      <c r="G921" s="270"/>
      <c r="H921" s="270"/>
      <c r="I921" s="270"/>
    </row>
    <row r="922">
      <c r="A922" s="253"/>
      <c r="B922" s="253"/>
      <c r="C922" s="253"/>
      <c r="D922" s="271"/>
      <c r="E922" s="271"/>
      <c r="F922" s="270"/>
      <c r="G922" s="270"/>
      <c r="H922" s="270"/>
      <c r="I922" s="270"/>
    </row>
    <row r="923">
      <c r="A923" s="253"/>
      <c r="B923" s="253"/>
      <c r="C923" s="253"/>
      <c r="D923" s="271"/>
      <c r="E923" s="271"/>
      <c r="F923" s="270"/>
      <c r="G923" s="270"/>
      <c r="H923" s="270"/>
      <c r="I923" s="270"/>
    </row>
    <row r="924">
      <c r="A924" s="253"/>
      <c r="B924" s="253"/>
      <c r="C924" s="253"/>
      <c r="D924" s="271"/>
      <c r="E924" s="271"/>
      <c r="F924" s="270"/>
      <c r="G924" s="270"/>
      <c r="H924" s="270"/>
      <c r="I924" s="270"/>
    </row>
    <row r="925">
      <c r="A925" s="253"/>
      <c r="B925" s="253"/>
      <c r="C925" s="253"/>
      <c r="D925" s="271"/>
      <c r="E925" s="271"/>
      <c r="F925" s="270"/>
      <c r="G925" s="270"/>
      <c r="H925" s="270"/>
      <c r="I925" s="270"/>
    </row>
    <row r="926">
      <c r="A926" s="253"/>
      <c r="B926" s="253"/>
      <c r="C926" s="253"/>
      <c r="D926" s="271"/>
      <c r="E926" s="271"/>
      <c r="F926" s="270"/>
      <c r="G926" s="270"/>
      <c r="H926" s="270"/>
      <c r="I926" s="270"/>
    </row>
    <row r="927">
      <c r="A927" s="253"/>
      <c r="B927" s="253"/>
      <c r="C927" s="253"/>
      <c r="D927" s="271"/>
      <c r="E927" s="271"/>
      <c r="F927" s="270"/>
      <c r="G927" s="270"/>
      <c r="H927" s="270"/>
      <c r="I927" s="270"/>
    </row>
    <row r="928">
      <c r="A928" s="253"/>
      <c r="B928" s="253"/>
      <c r="C928" s="253"/>
      <c r="D928" s="271"/>
      <c r="E928" s="271"/>
      <c r="F928" s="270"/>
      <c r="G928" s="270"/>
      <c r="H928" s="270"/>
      <c r="I928" s="270"/>
    </row>
    <row r="929">
      <c r="A929" s="253"/>
      <c r="B929" s="253"/>
      <c r="C929" s="253"/>
      <c r="D929" s="271"/>
      <c r="E929" s="271"/>
      <c r="F929" s="270"/>
      <c r="G929" s="270"/>
      <c r="H929" s="270"/>
      <c r="I929" s="270"/>
    </row>
    <row r="930">
      <c r="A930" s="253"/>
      <c r="B930" s="253"/>
      <c r="C930" s="253"/>
      <c r="D930" s="271"/>
      <c r="E930" s="271"/>
      <c r="F930" s="270"/>
      <c r="G930" s="270"/>
      <c r="H930" s="270"/>
      <c r="I930" s="270"/>
    </row>
    <row r="931">
      <c r="A931" s="253"/>
      <c r="B931" s="253"/>
      <c r="C931" s="253"/>
      <c r="D931" s="271"/>
      <c r="E931" s="271"/>
      <c r="F931" s="270"/>
      <c r="G931" s="270"/>
      <c r="H931" s="270"/>
      <c r="I931" s="270"/>
    </row>
    <row r="932">
      <c r="A932" s="253"/>
      <c r="B932" s="253"/>
      <c r="C932" s="253"/>
      <c r="D932" s="271"/>
      <c r="E932" s="271"/>
      <c r="F932" s="270"/>
      <c r="G932" s="270"/>
      <c r="H932" s="270"/>
      <c r="I932" s="270"/>
    </row>
    <row r="933">
      <c r="A933" s="253"/>
      <c r="B933" s="253"/>
      <c r="C933" s="253"/>
      <c r="D933" s="271"/>
      <c r="E933" s="271"/>
      <c r="F933" s="270"/>
      <c r="G933" s="270"/>
      <c r="H933" s="270"/>
      <c r="I933" s="270"/>
    </row>
    <row r="934">
      <c r="A934" s="253"/>
      <c r="B934" s="253"/>
      <c r="C934" s="253"/>
      <c r="D934" s="271"/>
      <c r="E934" s="271"/>
      <c r="F934" s="270"/>
      <c r="G934" s="270"/>
      <c r="H934" s="270"/>
      <c r="I934" s="270"/>
    </row>
    <row r="935">
      <c r="A935" s="253"/>
      <c r="B935" s="253"/>
      <c r="C935" s="253"/>
      <c r="D935" s="271"/>
      <c r="E935" s="271"/>
      <c r="F935" s="270"/>
      <c r="G935" s="270"/>
      <c r="H935" s="270"/>
      <c r="I935" s="270"/>
    </row>
    <row r="936">
      <c r="A936" s="253"/>
      <c r="B936" s="253"/>
      <c r="C936" s="253"/>
      <c r="D936" s="271"/>
      <c r="E936" s="271"/>
      <c r="F936" s="270"/>
      <c r="G936" s="270"/>
      <c r="H936" s="270"/>
      <c r="I936" s="270"/>
    </row>
    <row r="937">
      <c r="A937" s="253"/>
      <c r="B937" s="253"/>
      <c r="C937" s="253"/>
      <c r="D937" s="271"/>
      <c r="E937" s="271"/>
      <c r="F937" s="270"/>
      <c r="G937" s="270"/>
      <c r="H937" s="270"/>
      <c r="I937" s="270"/>
    </row>
    <row r="938">
      <c r="A938" s="253"/>
      <c r="B938" s="253"/>
      <c r="C938" s="253"/>
      <c r="D938" s="271"/>
      <c r="E938" s="271"/>
      <c r="F938" s="270"/>
      <c r="G938" s="270"/>
      <c r="H938" s="270"/>
      <c r="I938" s="270"/>
    </row>
    <row r="939">
      <c r="A939" s="253"/>
      <c r="B939" s="253"/>
      <c r="C939" s="253"/>
      <c r="D939" s="271"/>
      <c r="E939" s="271"/>
      <c r="F939" s="270"/>
      <c r="G939" s="270"/>
      <c r="H939" s="270"/>
      <c r="I939" s="270"/>
    </row>
    <row r="940">
      <c r="A940" s="253"/>
      <c r="B940" s="253"/>
      <c r="C940" s="253"/>
      <c r="D940" s="271"/>
      <c r="E940" s="271"/>
      <c r="F940" s="270"/>
      <c r="G940" s="270"/>
      <c r="H940" s="270"/>
      <c r="I940" s="270"/>
    </row>
    <row r="941">
      <c r="A941" s="253"/>
      <c r="B941" s="253"/>
      <c r="C941" s="253"/>
      <c r="D941" s="271"/>
      <c r="E941" s="271"/>
      <c r="F941" s="270"/>
      <c r="G941" s="270"/>
      <c r="H941" s="270"/>
      <c r="I941" s="270"/>
    </row>
    <row r="942">
      <c r="A942" s="253"/>
      <c r="B942" s="253"/>
      <c r="C942" s="253"/>
      <c r="D942" s="271"/>
      <c r="E942" s="271"/>
      <c r="F942" s="270"/>
      <c r="G942" s="270"/>
      <c r="H942" s="270"/>
      <c r="I942" s="270"/>
    </row>
    <row r="943">
      <c r="A943" s="253"/>
      <c r="B943" s="253"/>
      <c r="C943" s="253"/>
      <c r="D943" s="271"/>
      <c r="E943" s="271"/>
      <c r="F943" s="270"/>
      <c r="G943" s="270"/>
      <c r="H943" s="270"/>
      <c r="I943" s="270"/>
    </row>
    <row r="944">
      <c r="A944" s="253"/>
      <c r="B944" s="253"/>
      <c r="C944" s="253"/>
      <c r="D944" s="271"/>
      <c r="E944" s="271"/>
      <c r="F944" s="270"/>
      <c r="G944" s="270"/>
      <c r="H944" s="270"/>
      <c r="I944" s="270"/>
    </row>
    <row r="945">
      <c r="A945" s="253"/>
      <c r="B945" s="253"/>
      <c r="C945" s="253"/>
      <c r="D945" s="271"/>
      <c r="E945" s="271"/>
      <c r="F945" s="270"/>
      <c r="G945" s="270"/>
      <c r="H945" s="270"/>
      <c r="I945" s="270"/>
    </row>
    <row r="946">
      <c r="A946" s="253"/>
      <c r="B946" s="253"/>
      <c r="C946" s="253"/>
      <c r="D946" s="271"/>
      <c r="E946" s="271"/>
      <c r="F946" s="270"/>
      <c r="G946" s="270"/>
      <c r="H946" s="270"/>
      <c r="I946" s="270"/>
    </row>
    <row r="947">
      <c r="A947" s="253"/>
      <c r="B947" s="253"/>
      <c r="C947" s="253"/>
      <c r="D947" s="271"/>
      <c r="E947" s="271"/>
      <c r="F947" s="270"/>
      <c r="G947" s="270"/>
      <c r="H947" s="270"/>
      <c r="I947" s="270"/>
    </row>
    <row r="948">
      <c r="A948" s="253"/>
      <c r="B948" s="253"/>
      <c r="C948" s="253"/>
      <c r="D948" s="271"/>
      <c r="E948" s="271"/>
      <c r="F948" s="270"/>
      <c r="G948" s="270"/>
      <c r="H948" s="270"/>
      <c r="I948" s="270"/>
    </row>
    <row r="949">
      <c r="A949" s="253"/>
      <c r="B949" s="253"/>
      <c r="C949" s="253"/>
      <c r="D949" s="271"/>
      <c r="E949" s="271"/>
      <c r="F949" s="270"/>
      <c r="G949" s="270"/>
      <c r="H949" s="270"/>
      <c r="I949" s="270"/>
    </row>
    <row r="950">
      <c r="A950" s="253"/>
      <c r="B950" s="253"/>
      <c r="C950" s="253"/>
      <c r="D950" s="271"/>
      <c r="E950" s="271"/>
      <c r="F950" s="270"/>
      <c r="G950" s="270"/>
      <c r="H950" s="270"/>
      <c r="I950" s="270"/>
    </row>
    <row r="951">
      <c r="A951" s="253"/>
      <c r="B951" s="253"/>
      <c r="C951" s="253"/>
      <c r="D951" s="271"/>
      <c r="E951" s="271"/>
      <c r="F951" s="270"/>
      <c r="G951" s="270"/>
      <c r="H951" s="270"/>
      <c r="I951" s="270"/>
    </row>
    <row r="952">
      <c r="A952" s="253"/>
      <c r="B952" s="253"/>
      <c r="C952" s="253"/>
      <c r="D952" s="271"/>
      <c r="E952" s="271"/>
      <c r="F952" s="270"/>
      <c r="G952" s="270"/>
      <c r="H952" s="270"/>
      <c r="I952" s="270"/>
    </row>
    <row r="953">
      <c r="A953" s="253"/>
      <c r="B953" s="253"/>
      <c r="C953" s="253"/>
      <c r="D953" s="271"/>
      <c r="E953" s="271"/>
      <c r="F953" s="270"/>
      <c r="G953" s="270"/>
      <c r="H953" s="270"/>
      <c r="I953" s="270"/>
    </row>
    <row r="954">
      <c r="A954" s="253"/>
      <c r="B954" s="253"/>
      <c r="C954" s="253"/>
      <c r="D954" s="271"/>
      <c r="E954" s="271"/>
      <c r="F954" s="270"/>
      <c r="G954" s="270"/>
      <c r="H954" s="270"/>
      <c r="I954" s="270"/>
    </row>
    <row r="955">
      <c r="A955" s="253"/>
      <c r="B955" s="253"/>
      <c r="C955" s="253"/>
      <c r="D955" s="271"/>
      <c r="E955" s="271"/>
      <c r="F955" s="270"/>
      <c r="G955" s="270"/>
      <c r="H955" s="270"/>
      <c r="I955" s="270"/>
    </row>
    <row r="956">
      <c r="A956" s="253"/>
      <c r="B956" s="253"/>
      <c r="C956" s="253"/>
      <c r="D956" s="271"/>
      <c r="E956" s="271"/>
      <c r="F956" s="270"/>
      <c r="G956" s="270"/>
      <c r="H956" s="270"/>
      <c r="I956" s="270"/>
    </row>
    <row r="957">
      <c r="A957" s="253"/>
      <c r="B957" s="253"/>
      <c r="C957" s="253"/>
      <c r="D957" s="271"/>
      <c r="E957" s="271"/>
      <c r="F957" s="270"/>
      <c r="G957" s="270"/>
      <c r="H957" s="270"/>
      <c r="I957" s="270"/>
    </row>
    <row r="958">
      <c r="A958" s="253"/>
      <c r="B958" s="253"/>
      <c r="C958" s="253"/>
      <c r="D958" s="271"/>
      <c r="E958" s="271"/>
      <c r="F958" s="270"/>
      <c r="G958" s="270"/>
      <c r="H958" s="270"/>
      <c r="I958" s="270"/>
    </row>
    <row r="959">
      <c r="A959" s="253"/>
      <c r="B959" s="253"/>
      <c r="C959" s="253"/>
      <c r="D959" s="271"/>
      <c r="E959" s="271"/>
      <c r="F959" s="270"/>
      <c r="G959" s="270"/>
      <c r="H959" s="270"/>
      <c r="I959" s="270"/>
    </row>
    <row r="960">
      <c r="A960" s="253"/>
      <c r="B960" s="253"/>
      <c r="C960" s="253"/>
      <c r="D960" s="271"/>
      <c r="E960" s="271"/>
      <c r="F960" s="270"/>
      <c r="G960" s="270"/>
      <c r="H960" s="270"/>
      <c r="I960" s="270"/>
    </row>
    <row r="961">
      <c r="A961" s="253"/>
      <c r="B961" s="253"/>
      <c r="C961" s="253"/>
      <c r="D961" s="271"/>
      <c r="E961" s="271"/>
      <c r="F961" s="270"/>
      <c r="G961" s="270"/>
      <c r="H961" s="270"/>
      <c r="I961" s="270"/>
    </row>
    <row r="962">
      <c r="A962" s="253"/>
      <c r="B962" s="253"/>
      <c r="C962" s="253"/>
      <c r="D962" s="271"/>
      <c r="E962" s="271"/>
      <c r="F962" s="270"/>
      <c r="G962" s="270"/>
      <c r="H962" s="270"/>
      <c r="I962" s="270"/>
    </row>
    <row r="963">
      <c r="A963" s="253"/>
      <c r="B963" s="253"/>
      <c r="C963" s="253"/>
      <c r="D963" s="271"/>
      <c r="E963" s="271"/>
      <c r="F963" s="270"/>
      <c r="G963" s="270"/>
      <c r="H963" s="270"/>
      <c r="I963" s="270"/>
    </row>
    <row r="964">
      <c r="A964" s="253"/>
      <c r="B964" s="253"/>
      <c r="C964" s="253"/>
      <c r="D964" s="271"/>
      <c r="E964" s="271"/>
      <c r="F964" s="270"/>
      <c r="G964" s="270"/>
      <c r="H964" s="270"/>
      <c r="I964" s="270"/>
    </row>
    <row r="965">
      <c r="A965" s="253"/>
      <c r="B965" s="253"/>
      <c r="C965" s="253"/>
      <c r="D965" s="271"/>
      <c r="E965" s="271"/>
      <c r="F965" s="270"/>
      <c r="G965" s="270"/>
      <c r="H965" s="270"/>
      <c r="I965" s="270"/>
    </row>
    <row r="966">
      <c r="A966" s="253"/>
      <c r="B966" s="253"/>
      <c r="C966" s="253"/>
      <c r="D966" s="271"/>
      <c r="E966" s="271"/>
      <c r="F966" s="270"/>
      <c r="G966" s="270"/>
      <c r="H966" s="270"/>
      <c r="I966" s="270"/>
    </row>
    <row r="967">
      <c r="A967" s="253"/>
      <c r="B967" s="253"/>
      <c r="C967" s="253"/>
      <c r="D967" s="271"/>
      <c r="E967" s="271"/>
      <c r="F967" s="270"/>
      <c r="G967" s="270"/>
      <c r="H967" s="270"/>
      <c r="I967" s="270"/>
    </row>
    <row r="968">
      <c r="A968" s="253"/>
      <c r="B968" s="253"/>
      <c r="C968" s="253"/>
      <c r="D968" s="271"/>
      <c r="E968" s="271"/>
      <c r="F968" s="270"/>
      <c r="G968" s="270"/>
      <c r="H968" s="270"/>
      <c r="I968" s="270"/>
    </row>
    <row r="969">
      <c r="A969" s="253"/>
      <c r="B969" s="253"/>
      <c r="C969" s="253"/>
      <c r="D969" s="271"/>
      <c r="E969" s="271"/>
      <c r="F969" s="270"/>
      <c r="G969" s="270"/>
      <c r="H969" s="270"/>
      <c r="I969" s="270"/>
    </row>
    <row r="970">
      <c r="A970" s="253"/>
      <c r="B970" s="253"/>
      <c r="C970" s="253"/>
      <c r="D970" s="271"/>
      <c r="E970" s="271"/>
      <c r="F970" s="270"/>
      <c r="G970" s="270"/>
      <c r="H970" s="270"/>
      <c r="I970" s="270"/>
    </row>
    <row r="971">
      <c r="A971" s="253"/>
      <c r="B971" s="253"/>
      <c r="C971" s="253"/>
      <c r="D971" s="271"/>
      <c r="E971" s="271"/>
      <c r="F971" s="270"/>
      <c r="G971" s="270"/>
      <c r="H971" s="270"/>
      <c r="I971" s="270"/>
    </row>
    <row r="972">
      <c r="A972" s="253"/>
      <c r="B972" s="253"/>
      <c r="C972" s="253"/>
      <c r="D972" s="271"/>
      <c r="E972" s="271"/>
      <c r="F972" s="270"/>
      <c r="G972" s="270"/>
      <c r="H972" s="270"/>
      <c r="I972" s="270"/>
    </row>
    <row r="973">
      <c r="A973" s="253"/>
      <c r="B973" s="253"/>
      <c r="C973" s="253"/>
      <c r="D973" s="271"/>
      <c r="E973" s="271"/>
      <c r="F973" s="270"/>
      <c r="G973" s="270"/>
      <c r="H973" s="270"/>
      <c r="I973" s="270"/>
    </row>
    <row r="974">
      <c r="A974" s="253"/>
      <c r="B974" s="253"/>
      <c r="C974" s="253"/>
      <c r="D974" s="271"/>
      <c r="E974" s="271"/>
      <c r="F974" s="270"/>
      <c r="G974" s="270"/>
      <c r="H974" s="270"/>
      <c r="I974" s="270"/>
    </row>
    <row r="975">
      <c r="A975" s="253"/>
      <c r="B975" s="253"/>
      <c r="C975" s="253"/>
      <c r="D975" s="271"/>
      <c r="E975" s="271"/>
      <c r="F975" s="270"/>
      <c r="G975" s="270"/>
      <c r="H975" s="270"/>
      <c r="I975" s="270"/>
    </row>
    <row r="976">
      <c r="A976" s="253"/>
      <c r="B976" s="253"/>
      <c r="C976" s="253"/>
      <c r="D976" s="271"/>
      <c r="E976" s="271"/>
      <c r="F976" s="270"/>
      <c r="G976" s="270"/>
      <c r="H976" s="270"/>
      <c r="I976" s="270"/>
    </row>
    <row r="977">
      <c r="A977" s="253"/>
      <c r="B977" s="253"/>
      <c r="C977" s="253"/>
      <c r="D977" s="271"/>
      <c r="E977" s="271"/>
      <c r="F977" s="270"/>
      <c r="G977" s="270"/>
      <c r="H977" s="270"/>
      <c r="I977" s="270"/>
    </row>
    <row r="978">
      <c r="A978" s="253"/>
      <c r="B978" s="253"/>
      <c r="C978" s="253"/>
      <c r="D978" s="271"/>
      <c r="E978" s="271"/>
      <c r="F978" s="270"/>
      <c r="G978" s="270"/>
      <c r="H978" s="270"/>
      <c r="I978" s="270"/>
    </row>
    <row r="979">
      <c r="A979" s="253"/>
      <c r="B979" s="253"/>
      <c r="C979" s="253"/>
      <c r="D979" s="271"/>
      <c r="E979" s="271"/>
      <c r="F979" s="270"/>
      <c r="G979" s="270"/>
      <c r="H979" s="270"/>
      <c r="I979" s="270"/>
    </row>
    <row r="980">
      <c r="A980" s="253"/>
      <c r="B980" s="253"/>
      <c r="C980" s="253"/>
      <c r="D980" s="271"/>
      <c r="E980" s="271"/>
      <c r="F980" s="270"/>
      <c r="G980" s="270"/>
      <c r="H980" s="270"/>
      <c r="I980" s="270"/>
    </row>
    <row r="981">
      <c r="A981" s="253"/>
      <c r="B981" s="253"/>
      <c r="C981" s="253"/>
      <c r="D981" s="271"/>
      <c r="E981" s="271"/>
      <c r="F981" s="270"/>
      <c r="G981" s="270"/>
      <c r="H981" s="270"/>
      <c r="I981" s="270"/>
    </row>
    <row r="982">
      <c r="A982" s="253"/>
      <c r="B982" s="253"/>
      <c r="C982" s="253"/>
      <c r="D982" s="271"/>
      <c r="E982" s="271"/>
      <c r="F982" s="270"/>
      <c r="G982" s="270"/>
      <c r="H982" s="270"/>
      <c r="I982" s="270"/>
    </row>
    <row r="983">
      <c r="A983" s="253"/>
      <c r="B983" s="253"/>
      <c r="C983" s="253"/>
      <c r="D983" s="271"/>
      <c r="E983" s="271"/>
      <c r="F983" s="270"/>
      <c r="G983" s="270"/>
      <c r="H983" s="270"/>
      <c r="I983" s="270"/>
    </row>
    <row r="984">
      <c r="A984" s="253"/>
      <c r="B984" s="253"/>
      <c r="C984" s="253"/>
      <c r="D984" s="271"/>
      <c r="E984" s="271"/>
      <c r="F984" s="270"/>
      <c r="G984" s="270"/>
      <c r="H984" s="270"/>
      <c r="I984" s="270"/>
    </row>
    <row r="985">
      <c r="A985" s="253"/>
      <c r="B985" s="253"/>
      <c r="C985" s="253"/>
      <c r="D985" s="271"/>
      <c r="E985" s="271"/>
      <c r="F985" s="270"/>
      <c r="G985" s="270"/>
      <c r="H985" s="270"/>
      <c r="I985" s="270"/>
    </row>
    <row r="986">
      <c r="A986" s="253"/>
      <c r="B986" s="253"/>
      <c r="C986" s="253"/>
      <c r="D986" s="271"/>
      <c r="E986" s="271"/>
      <c r="F986" s="270"/>
      <c r="G986" s="270"/>
      <c r="H986" s="270"/>
      <c r="I986" s="270"/>
    </row>
    <row r="987">
      <c r="A987" s="253"/>
      <c r="B987" s="253"/>
      <c r="C987" s="253"/>
      <c r="D987" s="271"/>
      <c r="E987" s="271"/>
      <c r="F987" s="270"/>
      <c r="G987" s="270"/>
      <c r="H987" s="270"/>
      <c r="I987" s="270"/>
    </row>
    <row r="988">
      <c r="A988" s="253"/>
      <c r="B988" s="253"/>
      <c r="C988" s="253"/>
      <c r="D988" s="271"/>
      <c r="E988" s="271"/>
      <c r="F988" s="270"/>
      <c r="G988" s="270"/>
      <c r="H988" s="270"/>
      <c r="I988" s="270"/>
    </row>
    <row r="989">
      <c r="A989" s="253"/>
      <c r="B989" s="253"/>
      <c r="C989" s="253"/>
      <c r="D989" s="271"/>
      <c r="E989" s="271"/>
      <c r="F989" s="270"/>
      <c r="G989" s="270"/>
      <c r="H989" s="270"/>
      <c r="I989" s="270"/>
    </row>
    <row r="990">
      <c r="A990" s="253"/>
      <c r="B990" s="253"/>
      <c r="C990" s="253"/>
      <c r="D990" s="271"/>
      <c r="E990" s="271"/>
      <c r="F990" s="270"/>
      <c r="G990" s="270"/>
      <c r="H990" s="270"/>
      <c r="I990" s="270"/>
    </row>
    <row r="991">
      <c r="A991" s="253"/>
      <c r="B991" s="253"/>
      <c r="C991" s="253"/>
      <c r="D991" s="271"/>
      <c r="E991" s="271"/>
      <c r="F991" s="270"/>
      <c r="G991" s="270"/>
      <c r="H991" s="270"/>
      <c r="I991" s="270"/>
    </row>
    <row r="992">
      <c r="A992" s="253"/>
      <c r="B992" s="253"/>
      <c r="C992" s="253"/>
      <c r="D992" s="271"/>
      <c r="E992" s="271"/>
      <c r="F992" s="270"/>
      <c r="G992" s="270"/>
      <c r="H992" s="270"/>
      <c r="I992" s="270"/>
    </row>
    <row r="993">
      <c r="A993" s="253"/>
      <c r="B993" s="253"/>
      <c r="C993" s="253"/>
      <c r="D993" s="271"/>
      <c r="E993" s="271"/>
      <c r="F993" s="270"/>
      <c r="G993" s="270"/>
      <c r="H993" s="270"/>
      <c r="I993" s="270"/>
    </row>
    <row r="994">
      <c r="A994" s="253"/>
      <c r="B994" s="253"/>
      <c r="C994" s="253"/>
      <c r="D994" s="271"/>
      <c r="E994" s="271"/>
      <c r="F994" s="270"/>
      <c r="G994" s="270"/>
      <c r="H994" s="270"/>
      <c r="I994" s="270"/>
    </row>
    <row r="995">
      <c r="A995" s="253"/>
      <c r="B995" s="253"/>
      <c r="C995" s="253"/>
      <c r="D995" s="271"/>
      <c r="E995" s="271"/>
      <c r="F995" s="270"/>
      <c r="G995" s="270"/>
      <c r="H995" s="270"/>
      <c r="I995" s="270"/>
    </row>
    <row r="996">
      <c r="A996" s="253"/>
      <c r="B996" s="253"/>
      <c r="C996" s="253"/>
      <c r="D996" s="271"/>
      <c r="E996" s="271"/>
      <c r="F996" s="270"/>
      <c r="G996" s="270"/>
      <c r="H996" s="270"/>
      <c r="I996" s="270"/>
    </row>
    <row r="997">
      <c r="A997" s="253"/>
      <c r="B997" s="253"/>
      <c r="C997" s="253"/>
      <c r="D997" s="271"/>
      <c r="E997" s="271"/>
      <c r="F997" s="270"/>
      <c r="G997" s="270"/>
      <c r="H997" s="270"/>
      <c r="I997" s="270"/>
    </row>
    <row r="998">
      <c r="A998" s="253"/>
      <c r="B998" s="253"/>
      <c r="C998" s="253"/>
      <c r="D998" s="271"/>
      <c r="E998" s="271"/>
      <c r="F998" s="270"/>
      <c r="G998" s="270"/>
      <c r="H998" s="270"/>
      <c r="I998" s="270"/>
    </row>
    <row r="999">
      <c r="A999" s="253"/>
      <c r="B999" s="253"/>
      <c r="C999" s="253"/>
      <c r="D999" s="271"/>
      <c r="E999" s="271"/>
      <c r="F999" s="270"/>
      <c r="G999" s="270"/>
      <c r="H999" s="270"/>
      <c r="I999" s="270"/>
    </row>
    <row r="1000">
      <c r="A1000" s="253"/>
      <c r="B1000" s="253"/>
      <c r="C1000" s="253"/>
      <c r="D1000" s="271"/>
      <c r="E1000" s="271"/>
      <c r="F1000" s="270"/>
      <c r="G1000" s="270"/>
      <c r="H1000" s="270"/>
      <c r="I1000" s="270"/>
    </row>
  </sheetData>
  <conditionalFormatting sqref="D3:D4">
    <cfRule type="expression" dxfId="1" priority="1">
      <formula>AND(D3&lt;&gt;"", D3&lt;&gt;"Yes", D3&lt;&gt;"Not Found", COUNTIF($D$1:$L$997, D3) &gt; 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7.75"/>
    <col customWidth="1" min="4" max="4" width="37.0"/>
    <col customWidth="1" min="5" max="5" width="31.13"/>
    <col customWidth="1" min="6" max="6" width="20.5"/>
    <col customWidth="1" min="7" max="7" width="15.25"/>
    <col customWidth="1" min="8" max="8" width="11.0"/>
    <col customWidth="1" min="9" max="9" width="13.13"/>
    <col customWidth="1" min="10" max="10" width="20.13"/>
    <col customWidth="1" min="11" max="11" width="18.75"/>
    <col customWidth="1" min="12" max="12" width="11.63"/>
    <col customWidth="1" min="13" max="13" width="11.0"/>
    <col customWidth="1" min="14" max="14" width="22.63"/>
    <col customWidth="1" min="15" max="15" width="16.38"/>
    <col customWidth="1" min="16" max="16" width="18.13"/>
    <col customWidth="1" min="17" max="17" width="22.63"/>
    <col customWidth="1" min="18" max="19" width="18.5"/>
    <col customWidth="1" min="20" max="20" width="15.0"/>
    <col customWidth="1" min="21" max="21" width="17.5"/>
    <col customWidth="1" min="22" max="22" width="16.0"/>
    <col customWidth="1" min="23" max="23" width="26.63"/>
    <col customWidth="1" min="24" max="24" width="15.5"/>
    <col customWidth="1" min="25" max="25" width="17.88"/>
    <col customWidth="1" min="26" max="26" width="15.75"/>
    <col customWidth="1" min="27" max="27" width="17.25"/>
    <col customWidth="1" min="28" max="28" width="15.5"/>
    <col customWidth="1" min="29" max="29" width="17.25"/>
    <col customWidth="1" min="30" max="30" width="16.13"/>
    <col customWidth="1" min="31" max="31" width="17.75"/>
    <col customWidth="1" min="32" max="32" width="10.25"/>
    <col customWidth="1" min="33" max="33" width="10.5"/>
    <col customWidth="1" min="34" max="36" width="10.0"/>
    <col customWidth="1" min="37" max="37" width="9.75"/>
    <col customWidth="1" min="38" max="38" width="20.5"/>
    <col customWidth="1" min="39" max="56" width="20.63"/>
  </cols>
  <sheetData>
    <row r="1">
      <c r="A1" s="277" t="s">
        <v>4474</v>
      </c>
      <c r="B1" s="277" t="s">
        <v>4763</v>
      </c>
      <c r="C1" s="278" t="s">
        <v>4764</v>
      </c>
      <c r="D1" s="278" t="s">
        <v>4765</v>
      </c>
      <c r="E1" s="278" t="s">
        <v>4766</v>
      </c>
      <c r="F1" s="278" t="s">
        <v>4767</v>
      </c>
      <c r="G1" s="278" t="s">
        <v>4768</v>
      </c>
      <c r="H1" s="278" t="s">
        <v>4769</v>
      </c>
      <c r="I1" s="277" t="s">
        <v>4770</v>
      </c>
      <c r="J1" s="278" t="s">
        <v>4771</v>
      </c>
      <c r="K1" s="278" t="s">
        <v>4772</v>
      </c>
      <c r="L1" s="278" t="s">
        <v>4773</v>
      </c>
      <c r="M1" s="278" t="s">
        <v>4774</v>
      </c>
      <c r="N1" s="279" t="s">
        <v>4775</v>
      </c>
      <c r="O1" s="279" t="s">
        <v>4776</v>
      </c>
      <c r="P1" s="279" t="s">
        <v>4777</v>
      </c>
      <c r="Q1" s="278" t="s">
        <v>4778</v>
      </c>
      <c r="R1" s="278" t="s">
        <v>4779</v>
      </c>
      <c r="S1" s="277" t="s">
        <v>4780</v>
      </c>
      <c r="T1" s="278" t="s">
        <v>4781</v>
      </c>
      <c r="U1" s="278" t="s">
        <v>4782</v>
      </c>
      <c r="V1" s="278" t="s">
        <v>4783</v>
      </c>
      <c r="W1" s="278" t="s">
        <v>4784</v>
      </c>
      <c r="X1" s="278" t="s">
        <v>4785</v>
      </c>
      <c r="Y1" s="278" t="s">
        <v>4786</v>
      </c>
      <c r="Z1" s="278" t="s">
        <v>4787</v>
      </c>
      <c r="AA1" s="278" t="s">
        <v>4788</v>
      </c>
      <c r="AB1" s="278" t="s">
        <v>4789</v>
      </c>
      <c r="AC1" s="278" t="s">
        <v>4790</v>
      </c>
      <c r="AD1" s="278" t="s">
        <v>4791</v>
      </c>
      <c r="AE1" s="278" t="s">
        <v>4792</v>
      </c>
      <c r="AF1" s="278" t="s">
        <v>4793</v>
      </c>
      <c r="AG1" s="278" t="s">
        <v>4794</v>
      </c>
      <c r="AH1" s="278" t="s">
        <v>4795</v>
      </c>
      <c r="AI1" s="278" t="s">
        <v>4796</v>
      </c>
      <c r="AJ1" s="278" t="s">
        <v>4797</v>
      </c>
      <c r="AK1" s="278" t="s">
        <v>4798</v>
      </c>
      <c r="AL1" s="280" t="s">
        <v>4799</v>
      </c>
      <c r="AM1" s="280" t="s">
        <v>4800</v>
      </c>
      <c r="AN1" s="280" t="s">
        <v>4801</v>
      </c>
      <c r="AO1" s="280" t="s">
        <v>4802</v>
      </c>
      <c r="AP1" s="280" t="s">
        <v>4803</v>
      </c>
      <c r="AQ1" s="280" t="s">
        <v>4804</v>
      </c>
      <c r="AR1" s="281" t="s">
        <v>4805</v>
      </c>
      <c r="AS1" s="281" t="s">
        <v>4806</v>
      </c>
      <c r="AT1" s="281" t="s">
        <v>4807</v>
      </c>
      <c r="AU1" s="281" t="s">
        <v>4808</v>
      </c>
      <c r="AV1" s="281" t="s">
        <v>4809</v>
      </c>
      <c r="AW1" s="281" t="s">
        <v>4810</v>
      </c>
      <c r="AX1" s="281" t="s">
        <v>4811</v>
      </c>
      <c r="AY1" s="281" t="s">
        <v>4812</v>
      </c>
      <c r="AZ1" s="281" t="s">
        <v>4813</v>
      </c>
      <c r="BA1" s="281" t="s">
        <v>4814</v>
      </c>
      <c r="BB1" s="281" t="s">
        <v>4815</v>
      </c>
      <c r="BC1" s="281" t="s">
        <v>4816</v>
      </c>
      <c r="BD1" s="282"/>
    </row>
    <row r="2">
      <c r="A2" s="283" t="str">
        <f>IFERROR(__xludf.DUMMYFUNCTION("VLOOKUP($B2,IMPORTRANGE(""https://docs.google.com/spreadsheets/d/1VNXDITjs75AcgdBSW27oL1VZH31udDprJSsBcE5xlp4/edit?gid=1551188038#gid=1551188038"", ""Sheet9!$B:$E""),2,false)"),"Lahore")</f>
        <v>Lahore</v>
      </c>
      <c r="B2" s="283" t="s">
        <v>1274</v>
      </c>
      <c r="C2" s="284" t="str">
        <f>IFERROR(__xludf.DUMMYFUNCTION("VLOOKUP(TRIM($B2), IMPORTRANGE(""https://docs.google.com/spreadsheets/d/1aSOrU4PTpuBZqfitKaH1Rfww6-YOiNCKoBpPl8XBHaw/edit?gid=0#gid=0"", ""sheet3!$B:$C""), 2, FALSE)
"),"Jamia Masjid Main Bazar Kahchu Pura Lahore")</f>
        <v>Jamia Masjid Main Bazar Kahchu Pura Lahore</v>
      </c>
      <c r="D2" s="284" t="str">
        <f>IFERROR(__xludf.DUMMYFUNCTION("IFERROR(
  INDEX(
    FILTER(
      IMPORTRANGE(""1aSOrU4PTpuBZqfitKaH1Rfww6-YOiNCKoBpPl8XBHaw/edit?gid=0#gid=0"",""Sheet1!G:G""),
      IMPORTRANGE(""1aSOrU4PTpuBZqfitKaH1Rfww6-YOiNCKoBpPl8XBHaw/edit?gid=0#gid=0"",""Sheet1!C:C"")=$B2
    ),
    1
  ),
  "&amp;"""Not Found""
)"),"Women Religious Info Share")</f>
        <v>Women Religious Info Share</v>
      </c>
      <c r="E2" s="284" t="str">
        <f>VLOOKUP(B2,'Juma Recording forms'!A:E,5,false)</f>
        <v>Jamia Masjid Main Bazar Kahchu Pura Lahore</v>
      </c>
      <c r="F2" s="284" t="str">
        <f>IFERROR(__xludf.DUMMYFUNCTION("IFERROR(
  INDEX(
    FILTER(
      IMPORTRANGE(""1Cxrhp3-_-HS7v9uuqQliiIfrmMP4VaFoDNDWyUFy2J8/edit?gid=0#gid=0"",""Sheet1!Q:Q""),
      IMPORTRANGE(""1Cxrhp3-_-HS7v9uuqQliiIfrmMP4VaFoDNDWyUFy2J8/edit?gid=0#gid=0"",""Sheet1!K:K"")=$B2
    ),
    1
  ),
  "&amp;"""Not Found""
)"),"Moulana mukhtar siyalvi")</f>
        <v>Moulana mukhtar siyalvi</v>
      </c>
      <c r="G2" s="284">
        <v>1930.0</v>
      </c>
      <c r="H2" s="284"/>
      <c r="I2" s="285"/>
      <c r="J2" s="286">
        <v>2.0</v>
      </c>
      <c r="K2" s="287" t="str">
        <f>VLOOKUP($B2,'Mosque Locations'!$A:$E,3,FALSE)
</f>
        <v>https://maps.google.com/maps?q=31.5856453%2C74.3374512&amp;z=17&amp;hl=en</v>
      </c>
      <c r="L2" s="286">
        <f>VLOOKUP($B2,'Mosque Locations'!$A:$E,4,FALSE)
</f>
        <v>31.58565</v>
      </c>
      <c r="M2" s="286">
        <f>VLOOKUP($B2,'Mosque Locations'!$A:$E,5,false)</f>
        <v>74.33745</v>
      </c>
      <c r="N2" s="288"/>
      <c r="O2" s="288"/>
      <c r="P2" s="288"/>
      <c r="Q2" s="289" t="str">
        <f>IFERROR(__xludf.DUMMYFUNCTION("IFERROR(
  INDEX(
    FILTER(
      IMPORTRANGE(""1DccNxjBgurEr0ABkI_rBagJT5phB5HaHG5N_mTm_BiA"",""Form Responses 1!T:T""),
      TRIM(IMPORTRANGE(""1DccNxjBgurEr0ABkI_rBagJT5phB5HaHG5N_mTm_BiA"",""Form Responses 1!E:E""))=TRIM($B2)
    ),
    1
  ),
  """&amp;"Not Found""
)
"),"https://drive.google.com/open?id=1H_ZIx3dj6t3cXMIKqKVv98wg_JODhDjw")</f>
        <v>https://drive.google.com/open?id=1H_ZIx3dj6t3cXMIKqKVv98wg_JODhDjw</v>
      </c>
      <c r="R2" s="290" t="str">
        <f>IFERROR(__xludf.DUMMYFUNCTION("IFERROR(
  INDEX(
    FILTER(
      IMPORTRANGE(""1DccNxjBgurEr0ABkI_rBagJT5phB5HaHG5N_mTm_BiA"",""Form Responses 1!S:S""),
      TRIM(IMPORTRANGE(""1DccNxjBgurEr0ABkI_rBagJT5phB5HaHG5N_mTm_BiA"",""Form Responses 1!E:E""))=TRIM($B2)
    ),
    1
  ),
  """&amp;"Not Found""
)
"),"https://drive.google.com/open?id=17aeyAKYo66IfHcBCBPMOquVG8-Woe81l")</f>
        <v>https://drive.google.com/open?id=17aeyAKYo66IfHcBCBPMOquVG8-Woe81l</v>
      </c>
      <c r="S2" s="285"/>
      <c r="T2" s="290" t="str">
        <f>VLOOKUP($B2,'Master Tracker'!$D:$E,2,false)</f>
        <v>https://drive.google.com/open?id=1VL0Zqf8wXGt4tdaLBxJacFsZxlFn_mjy</v>
      </c>
      <c r="U2" s="291" t="str">
        <f>VLOOKUP($B2,'Master Tracker'!$D:$T,4,FALSE)
</f>
        <v>https://drive.google.com/open?id=1ns2YtbbOJyreAUER_MSBz-YGsv2IgZYw</v>
      </c>
      <c r="V2" s="290" t="str">
        <f>VLOOKUP($B2,'Master Tracker'!$D:$T,5,false)</f>
        <v>https://drive.google.com/open?id=1IbLr7uhuNkb1eCBCmaa2HZoHrxZ5AuY0</v>
      </c>
      <c r="W2" s="291" t="str">
        <f>VLOOKUP($B2,'Master Tracker'!$D:$T,7,false)</f>
        <v>https://drive.google.com/open?id=1iFiJ-_kR4AZmmaPpzNfZNecY3g6aFUPc</v>
      </c>
      <c r="X2" s="290" t="str">
        <f>VLOOKUP($B2,'Master Tracker'!$D:$T,8,false)</f>
        <v>https://drive.google.com/open?id=1Zc4gwY5jGyX1W4gpeh8pYagIFjo7kMmB</v>
      </c>
      <c r="Y2" s="291" t="str">
        <f>VLOOKUP($B2,'Master Tracker'!$D:$T,10,false)</f>
        <v>https://drive.google.com/open?id=1rR3Mk0AidOQRV76-iPE8y_MfFIB6swKX</v>
      </c>
      <c r="Z2" s="284" t="str">
        <f>VLOOKUP($B2,'Master Tracker'!$D:$T,11,false)</f>
        <v>Not Found</v>
      </c>
      <c r="AA2" s="292" t="str">
        <f>VLOOKUP($B2,'Master Tracker'!$D:$T,13,false)</f>
        <v>Not Found</v>
      </c>
      <c r="AB2" s="284" t="str">
        <f>VLOOKUP($B2,'Master Tracker'!$D:$T,14,false)</f>
        <v>Not Found</v>
      </c>
      <c r="AC2" s="292" t="str">
        <f>VLOOKUP($B2,'Master Tracker'!$D:$T,16,false)</f>
        <v>Not Found</v>
      </c>
      <c r="AD2" s="292" t="str">
        <f>VLOOKUP($B2,'Master Tracker'!$D:$T,17,false)</f>
        <v>Not Found</v>
      </c>
      <c r="AE2" s="292" t="str">
        <f>VLOOKUP($B2,'Master Tracker'!$D:$V,19,false)</f>
        <v>Not Found</v>
      </c>
      <c r="AF2" s="292">
        <f>IFERROR(__xludf.DUMMYFUNCTION("IFERROR(
  INDEX(
    FILTER(
      'Juma Recording forms'!$G:$G,
      TRIM('Juma Recording forms'!$F:$F) = TRIM($B2),
      'Juma Recording forms'!$AA:$AA = 1
    ),
    1
  ),
  ""Not Found""
)"),448.0)</f>
        <v>448</v>
      </c>
      <c r="AG2" s="292">
        <f>IFERROR(__xludf.DUMMYFUNCTION("IFERROR(
  INDEX(
    FILTER(
      'Juma Recording forms'!$G:$G,
      TRIM('Juma Recording forms'!$F:$F) = TRIM($B2),
      'Juma Recording forms'!$AA:$AA = 2
    ),
    1
  ),
  ""Not Found""
)"),420.0)</f>
        <v>420</v>
      </c>
      <c r="AH2" s="292">
        <f>IFERROR(__xludf.DUMMYFUNCTION("IFERROR(
  INDEX(
    FILTER(
      'Juma Recording forms'!$G:$G,
      TRIM('Juma Recording forms'!$F:$F) = TRIM($B2),
      'Juma Recording forms'!$AA:$AA = 3
    ),
    1
  ),
  ""Not Found""
)"),490.0)</f>
        <v>490</v>
      </c>
      <c r="AI2" s="292" t="str">
        <f>IFERROR(__xludf.DUMMYFUNCTION("IFERROR(
  INDEX(
    FILTER(
      'Juma Recording forms'!$G:$G,
      TRIM('Juma Recording forms'!$F:$F) = TRIM($B2),
      'Juma Recording forms'!$AA:$AA = 4
    ),
    1
  ),
  ""Not Found""
)"),"Not Found")</f>
        <v>Not Found</v>
      </c>
      <c r="AJ2" s="292" t="str">
        <f>IFERROR(__xludf.DUMMYFUNCTION("IFERROR(
  INDEX(
    FILTER(
      'Juma Recording forms'!$G:$G,
      TRIM('Juma Recording forms'!$F:$F) = TRIM($B2),
      'Juma Recording forms'!$AA:$AA = 5
    ),
    1
  ),
  ""Not Found""
)"),"Not Found")</f>
        <v>Not Found</v>
      </c>
      <c r="AK2" s="292" t="str">
        <f>IFERROR(__xludf.DUMMYFUNCTION("IFERROR(
  INDEX(
    FILTER(
      'Juma Recording forms'!$G:$G,
      TRIM('Juma Recording forms'!$F:$F) = TRIM($B2),
      'Juma Recording forms'!$AA:$AA = 6
    ),
    1
  ),
  ""Not Found""
)"),"Not Found")</f>
        <v>Not Found</v>
      </c>
      <c r="AL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 *
        (IMPORTRANGE(""https://docs.google.com/spreadsheets/d/161aHT6vVT3SLneTKD19N5qVWtnj_jIT8CSsOmUVKmaA/edi"&amp;"t?gid=1761053510"",
          ""Haris_Form responses 1!$AQ:$AQ"")=1)
      ),
      1
    ),
    ""0""
  ),
  ""Form not found""
)
"),"10")</f>
        <v>10</v>
      </c>
      <c r="AM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 *
        (IMPORTRANGE(""https://docs.google.com/spreadsheets/d/161aHT6vVT3SLneTKD19N5qVWtnj_jIT8CSsOmUVKmaA/edi"&amp;"t?gid=1761053510"",
          ""Haris_Form responses 1!$AQ:$AQ"")=2)
      ),
      1
    ),
    ""0""
  ),
  ""Form not found""
)
"),"10")</f>
        <v>10</v>
      </c>
      <c r="AN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 *
        (IMPORTRANGE(""https://docs.google.com/spreadsheets/d/161aHT6vVT3SLneTKD19N5qVWtnj_jIT8CSsOmUVKmaA/edi"&amp;"t?gid=1761053510"",
          ""Haris_Form responses 1!$AQ:$AQ"")=3)
      ),
      1
    ),
    ""0""
  ),
  ""Form not found""
)
"),"0")</f>
        <v>0</v>
      </c>
      <c r="AO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 *
        (IMPORTRANGE(""https://docs.google.com/spreadsheets/d/161aHT6vVT3SLneTKD19N5qVWtnj_jIT8CSsOmUVKmaA/edi"&amp;"t?gid=1761053510"",
          ""Haris_Form responses 1!$AQ:$AQ"")=4)
      ),
      1
    ),
    ""0""
  ),
  ""Form not found""
)
"),"Form not found")</f>
        <v>Form not found</v>
      </c>
      <c r="AP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 *
        (IMPORTRANGE(""https://docs.google.com/spreadsheets/d/161aHT6vVT3SLneTKD19N5qVWtnj_jIT8CSsOmUVKmaA/edi"&amp;"t?gid=1761053510"",
          ""Haris_Form responses 1!$AQ:$AQ"")=5)
      ),
      1
    ),
    ""0""
  ),
  ""Form not found""
)
"),"Form not found")</f>
        <v>Form not found</v>
      </c>
      <c r="AQ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 *
        (IMPORTRANGE(""https://docs.google.com/spreadsheets/d/161aHT6vVT3SLneTKD19N5qVWtnj_jIT8CSsOmUVKmaA/edi"&amp;"t?gid=1761053510"",
          ""Haris_Form responses 1!$AQ:$AQ"")=6)
      ),
      1
    ),
    ""0""
  ),
  ""Form not found""
)
"),"Form not found")</f>
        <v>Form not found</v>
      </c>
      <c r="AR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 *
        (IMPORTRANGE(""https://docs.google.com/spreadsheets/d/161aHT6vVT3SLneTKD19N5qVWtnj_jIT8CSsOmUVKmaA/edi"&amp;"t?gid=1761053510"",
          ""Haris_Form responses 1!$AQ:$AQ"")=1)
      ),
      1
    ),
    ""0""
  ),
  ""Form not found""
)
"),"0")</f>
        <v>0</v>
      </c>
      <c r="AS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 *
        (IMPORTRANGE(""https://docs.google.com/spreadsheets/d/161aHT6vVT3SLneTKD19N5qVWtnj_jIT8CSsOmUVKmaA/edi"&amp;"t?gid=1761053510"",
          ""Haris_Form responses 1!$AQ:$AQ"")=2)
      ),
      1
    ),
    ""0""
  ),
  ""Form not found""
)
"),"0")</f>
        <v>0</v>
      </c>
      <c r="AT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 *
        (IMPORTRANGE(""https://docs.google.com/spreadsheets/d/161aHT6vVT3SLneTKD19N5qVWtnj_jIT8CSsOmUVKmaA/edi"&amp;"t?gid=1761053510"",
          ""Haris_Form responses 1!$AQ:$AQ"")=3)
      ),
      1
    ),
    ""0""
  ),
  ""Form not found""
)
"),"0")</f>
        <v>0</v>
      </c>
      <c r="AU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 *
        (IMPORTRANGE(""https://docs.google.com/spreadsheets/d/161aHT6vVT3SLneTKD19N5qVWtnj_jIT8CSsOmUVKmaA/edi"&amp;"t?gid=1761053510"",
          ""Haris_Form responses 1!$AQ:$AQ"")=4)
      ),
      1
    ),
    ""0""
  ),
  ""Form not found""
)
"),"Form not found")</f>
        <v>Form not found</v>
      </c>
      <c r="AV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 *
        (IMPORTRANGE(""https://docs.google.com/spreadsheets/d/161aHT6vVT3SLneTKD19N5qVWtnj_jIT8CSsOmUVKmaA/edi"&amp;"t?gid=1761053510"",
          ""Haris_Form responses 1!$AQ:$AQ"")=5)
      ),
      1
    ),
    ""0""
  ),
  ""Form not found""
)
"),"Form not found")</f>
        <v>Form not found</v>
      </c>
      <c r="AW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 *
        (IMPORTRANGE(""https://docs.google.com/spreadsheets/d/161aHT6vVT3SLneTKD19N5qVWtnj_jIT8CSsOmUVKmaA/edi"&amp;"t?gid=1761053510"",
          ""Haris_Form responses 1!$AQ:$AQ"")=6)
      ),
      1
    ),
    ""0""
  ),
  ""Form not found""
)
"),"Form not found")</f>
        <v>Form not found</v>
      </c>
      <c r="AX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 *
        (IMPORTRANGE(""https://docs.google.com/spreadsheets/d/161aHT6vVT3SLneTKD19N5qVWtnj_jIT8CSsOmUVKmaA/edi"&amp;"t?gid=1761053510"",
          ""Haris_Form responses 1!$AQ:$AQ"")=1)
      ),
      1
    ),
    ""0""
  ),
  ""Form not found""
)
"),"10")</f>
        <v>10</v>
      </c>
      <c r="AY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 *
        (IMPORTRANGE(""https://docs.google.com/spreadsheets/d/161aHT6vVT3SLneTKD19N5qVWtnj_jIT8CSsOmUVKmaA/edi"&amp;"t?gid=1761053510"",
          ""Haris_Form responses 1!$AQ:$AQ"")=2)
      ),
      1
    ),
    ""0""
  ),
  ""Form not found""
)
"),"10")</f>
        <v>10</v>
      </c>
      <c r="AZ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 *
        (IMPORTRANGE(""https://docs.google.com/spreadsheets/d/161aHT6vVT3SLneTKD19N5qVWtnj_jIT8CSsOmUVKmaA/edi"&amp;"t?gid=1761053510"",
          ""Haris_Form responses 1!$AQ:$AQ"")=3)
      ),
      1
    ),
    ""0""
  ),
  ""Form not found""
)
"),"0")</f>
        <v>0</v>
      </c>
      <c r="BA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 *
        (IMPORTRANGE(""https://docs.google.com/spreadsheets/d/161aHT6vVT3SLneTKD19N5qVWtnj_jIT8CSsOmUVKmaA/edi"&amp;"t?gid=1761053510"",
          ""Haris_Form responses 1!$AQ:$AQ"")=4)
      ),
      1
    ),
    ""0""
  ),
  ""Form not found""
)
"),"Form not found")</f>
        <v>Form not found</v>
      </c>
      <c r="BB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 *
        (IMPORTRANGE(""https://docs.google.com/spreadsheets/d/161aHT6vVT3SLneTKD19N5qVWtnj_jIT8CSsOmUVKmaA/edi"&amp;"t?gid=1761053510"",
          ""Haris_Form responses 1!$AQ:$AQ"")=5)
      ),
      1
    ),
    ""0""
  ),
  ""Form not found""
)
"),"Form not found")</f>
        <v>Form not found</v>
      </c>
      <c r="BC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 *
        (IMPORTRANGE(""https://docs.google.com/spreadsheets/d/161aHT6vVT3SLneTKD19N5qVWtnj_jIT8CSsOmUVKmaA/edi"&amp;"t?gid=1761053510"",
          ""Haris_Form responses 1!$AQ:$AQ"")=6)
      ),
      1
    ),
    ""0""
  ),
  ""Form not found""
)
"),"Form not found")</f>
        <v>Form not found</v>
      </c>
      <c r="BD2" s="293"/>
    </row>
    <row r="3">
      <c r="A3" s="283" t="str">
        <f>IFERROR(__xludf.DUMMYFUNCTION("VLOOKUP($B3,IMPORTRANGE(""https://docs.google.com/spreadsheets/d/1VNXDITjs75AcgdBSW27oL1VZH31udDprJSsBcE5xlp4/edit?gid=1551188038#gid=1551188038"", ""Sheet9!$B:$E""),2,false)"),"Lahore")</f>
        <v>Lahore</v>
      </c>
      <c r="B3" s="283" t="s">
        <v>4501</v>
      </c>
      <c r="C3" s="284" t="str">
        <f>IFERROR(__xludf.DUMMYFUNCTION("VLOOKUP(TRIM($B3), IMPORTRANGE(""https://docs.google.com/spreadsheets/d/1aSOrU4PTpuBZqfitKaH1Rfww6-YOiNCKoBpPl8XBHaw/edit?gid=0#gid=0"", ""sheet3!$B:$C""), 2, FALSE)
"),"Jamia Masjid Bilal Mesri Shah Lahore")</f>
        <v>Jamia Masjid Bilal Mesri Shah Lahore</v>
      </c>
      <c r="D3" s="284" t="str">
        <f>IFERROR(__xludf.DUMMYFUNCTION("IFERROR(
  INDEX(
    FILTER(
      IMPORTRANGE(""1aSOrU4PTpuBZqfitKaH1Rfww6-YOiNCKoBpPl8XBHaw/edit?gid=0#gid=0"",""Sheet1!G:G""),
      IMPORTRANGE(""1aSOrU4PTpuBZqfitKaH1Rfww6-YOiNCKoBpPl8XBHaw/edit?gid=0#gid=0"",""Sheet1!C:C"")=$B3
    ),
    1
  ),
  "&amp;"""Not Found""
)"),"Community Religious Info Share")</f>
        <v>Community Religious Info Share</v>
      </c>
      <c r="E3" s="284" t="str">
        <f>VLOOKUP(B3,'Juma Recording forms'!A:E,5,false)</f>
        <v>Jamia Masjid Bilal Nawab Colony Misri Shah</v>
      </c>
      <c r="F3" s="284" t="str">
        <f>IFERROR(__xludf.DUMMYFUNCTION("IFERROR(
  INDEX(
    FILTER(
      IMPORTRANGE(""1Cxrhp3-_-HS7v9uuqQliiIfrmMP4VaFoDNDWyUFy2J8/edit?gid=0#gid=0"",""Sheet1!Q:Q""),
      IMPORTRANGE(""1Cxrhp3-_-HS7v9uuqQliiIfrmMP4VaFoDNDWyUFy2J8/edit?gid=0#gid=0"",""Sheet1!K:K"")=$B3
    ),
    1
  ),
  "&amp;"""Not Found""
)"),"Mufti moulana Muhammad qamar Nadeem")</f>
        <v>Mufti moulana Muhammad qamar Nadeem</v>
      </c>
      <c r="G3" s="284">
        <v>1971.0</v>
      </c>
      <c r="H3" s="284"/>
      <c r="I3" s="285"/>
      <c r="J3" s="286">
        <v>2.0</v>
      </c>
      <c r="K3" s="287" t="str">
        <f>VLOOKUP($B3,'Mosque Locations'!$A:$E,3,FALSE)
</f>
        <v>https://maps.app.goo.gl/oa993sUtC2BtQQUd7</v>
      </c>
      <c r="L3" s="286">
        <f>VLOOKUP($B3,'Mosque Locations'!$A:$E,4,FALSE)
</f>
        <v>31.56854</v>
      </c>
      <c r="M3" s="286">
        <f>VLOOKUP($B3,'Mosque Locations'!$A:$E,5,false)</f>
        <v>74.31941</v>
      </c>
      <c r="N3" s="288"/>
      <c r="O3" s="288"/>
      <c r="P3" s="288"/>
      <c r="Q3" s="289" t="str">
        <f>IFERROR(__xludf.DUMMYFUNCTION("IFERROR(
  INDEX(
    FILTER(
      IMPORTRANGE(""1DccNxjBgurEr0ABkI_rBagJT5phB5HaHG5N_mTm_BiA"",""Form Responses 1!T:T""),
      TRIM(IMPORTRANGE(""1DccNxjBgurEr0ABkI_rBagJT5phB5HaHG5N_mTm_BiA"",""Form Responses 1!E:E""))=TRIM($B3)
    ),
    1
  ),
  """&amp;"Not Found""
)
"),"https://drive.google.com/file/d/122tUmXEUg4ddWb1l0dkKc6hEEen6owgu/view")</f>
        <v>https://drive.google.com/file/d/122tUmXEUg4ddWb1l0dkKc6hEEen6owgu/view</v>
      </c>
      <c r="R3" s="289" t="str">
        <f>IFERROR(__xludf.DUMMYFUNCTION("IFERROR(
  INDEX(
    FILTER(
      IMPORTRANGE(""1DccNxjBgurEr0ABkI_rBagJT5phB5HaHG5N_mTm_BiA"",""Form Responses 1!S:S""),
      TRIM(IMPORTRANGE(""1DccNxjBgurEr0ABkI_rBagJT5phB5HaHG5N_mTm_BiA"",""Form Responses 1!E:E""))=TRIM($B3)
    ),
    1
  ),
  """&amp;"Not Found""
)
"),"https://drive.google.com/open?id=1lmaZTHQKhaT8-MxvQt-NjUCEsFSmbSKm")</f>
        <v>https://drive.google.com/open?id=1lmaZTHQKhaT8-MxvQt-NjUCEsFSmbSKm</v>
      </c>
      <c r="S3" s="285"/>
      <c r="T3" s="290" t="str">
        <f>VLOOKUP($B3,'Master Tracker'!$D:$E,2,false)</f>
        <v>https://drive.google.com/open?id=1L7wX4_HQWYqVKifBsaF9rGJuiTqSpFh3</v>
      </c>
      <c r="U3" s="291" t="str">
        <f>VLOOKUP($B3,'Master Tracker'!$D:$T,4,FALSE)
</f>
        <v>https://drive.google.com/open?id=1nHvEtwO7qgTGX4k8iwxCjvoxFPfcmvzx</v>
      </c>
      <c r="V3" s="290" t="str">
        <f>VLOOKUP($B3,'Master Tracker'!$D:$T,5,false)</f>
        <v>https://drive.google.com/open?id=1iSBYCO7Vcul7mApUbalVju-7IQ_O-XVm</v>
      </c>
      <c r="W3" s="291" t="str">
        <f>VLOOKUP($B3,'Master Tracker'!$D:$T,7,false)</f>
        <v>https://drive.google.com/open?id=1yEMuLrycHklyiqRqTixGGMTyKUIQwfi0</v>
      </c>
      <c r="X3" s="290" t="str">
        <f>VLOOKUP($B3,'Master Tracker'!$D:$T,8,false)</f>
        <v>https://drive.google.com/open?id=1BqXzbxVRL7RAEj8StbNN7A6FYYOpG5-m</v>
      </c>
      <c r="Y3" s="291" t="str">
        <f>VLOOKUP($B3,'Master Tracker'!$D:$T,10,false)</f>
        <v>https://drive.google.com/open?id=1sncYxqQEqDaNZyd6kbB4hrAUCzVJrsa7</v>
      </c>
      <c r="Z3" s="284" t="str">
        <f>VLOOKUP($B3,'Master Tracker'!$D:$T,11,false)</f>
        <v>Not Found</v>
      </c>
      <c r="AA3" s="292" t="str">
        <f>VLOOKUP($B3,'Master Tracker'!$D:$T,13,false)</f>
        <v>Not Found</v>
      </c>
      <c r="AB3" s="284" t="str">
        <f>VLOOKUP($B3,'Master Tracker'!$D:$T,14,false)</f>
        <v>Not Found</v>
      </c>
      <c r="AC3" s="292" t="str">
        <f>VLOOKUP($B3,'Master Tracker'!$D:$T,16,false)</f>
        <v>Not Found</v>
      </c>
      <c r="AD3" s="292" t="str">
        <f>VLOOKUP($B3,'Master Tracker'!$D:$T,17,false)</f>
        <v>Not Found</v>
      </c>
      <c r="AE3" s="292" t="str">
        <f>VLOOKUP($B3,'Master Tracker'!$D:$V,19,false)</f>
        <v>Not Found</v>
      </c>
      <c r="AF3" s="292">
        <f>IFERROR(__xludf.DUMMYFUNCTION("IFERROR(
  INDEX(
    FILTER(
      'Juma Recording forms'!$G:$G,
      TRIM('Juma Recording forms'!$F:$F) = TRIM($B3),
      'Juma Recording forms'!$AA:$AA = 1
    ),
    1
  ),
  ""Not Found""
)"),220.0)</f>
        <v>220</v>
      </c>
      <c r="AG3" s="292">
        <f>IFERROR(__xludf.DUMMYFUNCTION("IFERROR(
  INDEX(
    FILTER(
      'Juma Recording forms'!$G:$G,
      TRIM('Juma Recording forms'!$F:$F) = TRIM($B3),
      'Juma Recording forms'!$AA:$AA = 2
    ),
    1
  ),
  ""Not Found""
)"),225.0)</f>
        <v>225</v>
      </c>
      <c r="AH3" s="292">
        <f>IFERROR(__xludf.DUMMYFUNCTION("IFERROR(
  INDEX(
    FILTER(
      'Juma Recording forms'!$G:$G,
      TRIM('Juma Recording forms'!$F:$F) = TRIM($B3),
      'Juma Recording forms'!$AA:$AA = 3
    ),
    1
  ),
  ""Not Found""
)"),220.0)</f>
        <v>220</v>
      </c>
      <c r="AI3" s="292" t="str">
        <f>IFERROR(__xludf.DUMMYFUNCTION("IFERROR(
  INDEX(
    FILTER(
      'Juma Recording forms'!$G:$G,
      TRIM('Juma Recording forms'!$F:$F) = TRIM($B3),
      'Juma Recording forms'!$AA:$AA = 4
    ),
    1
  ),
  ""Not Found""
)"),"Not Found")</f>
        <v>Not Found</v>
      </c>
      <c r="AJ3" s="292" t="str">
        <f>IFERROR(__xludf.DUMMYFUNCTION("IFERROR(
  INDEX(
    FILTER(
      'Juma Recording forms'!$G:$G,
      TRIM('Juma Recording forms'!$F:$F) = TRIM($B3),
      'Juma Recording forms'!$AA:$AA = 5
    ),
    1
  ),
  ""Not Found""
)"),"Not Found")</f>
        <v>Not Found</v>
      </c>
      <c r="AK3" s="292" t="str">
        <f>IFERROR(__xludf.DUMMYFUNCTION("IFERROR(
  INDEX(
    FILTER(
      'Juma Recording forms'!$G:$G,
      TRIM('Juma Recording forms'!$F:$F) = TRIM($B3),
      'Juma Recording forms'!$AA:$AA = 6
    ),
    1
  ),
  ""Not Found""
)"),"Not Found")</f>
        <v>Not Found</v>
      </c>
      <c r="AL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 *
        (IMPORTRANGE(""https://docs.google.com/spreadsheets/d/161aHT6vVT3SLneTKD19N5qVWtnj_jIT8CSsOmUVKmaA/edi"&amp;"t?gid=1761053510"",
          ""Haris_Form responses 1!$AQ:$AQ"")=1)
      ),
      1
    ),
    ""0""
  ),
  ""Form not found""
)
"),"10")</f>
        <v>10</v>
      </c>
      <c r="AM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 *
        (IMPORTRANGE(""https://docs.google.com/spreadsheets/d/161aHT6vVT3SLneTKD19N5qVWtnj_jIT8CSsOmUVKmaA/edi"&amp;"t?gid=1761053510"",
          ""Haris_Form responses 1!$AQ:$AQ"")=2)
      ),
      1
    ),
    ""0""
  ),
  ""Form not found""
)
"),"10")</f>
        <v>10</v>
      </c>
      <c r="AN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 *
        (IMPORTRANGE(""https://docs.google.com/spreadsheets/d/161aHT6vVT3SLneTKD19N5qVWtnj_jIT8CSsOmUVKmaA/edi"&amp;"t?gid=1761053510"",
          ""Haris_Form responses 1!$AQ:$AQ"")=3)
      ),
      1
    ),
    ""0""
  ),
  ""Form not found""
)
"),"0")</f>
        <v>0</v>
      </c>
      <c r="AO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 *
        (IMPORTRANGE(""https://docs.google.com/spreadsheets/d/161aHT6vVT3SLneTKD19N5qVWtnj_jIT8CSsOmUVKmaA/edi"&amp;"t?gid=1761053510"",
          ""Haris_Form responses 1!$AQ:$AQ"")=4)
      ),
      1
    ),
    ""0""
  ),
  ""Form not found""
)
"),"Form not found")</f>
        <v>Form not found</v>
      </c>
      <c r="AP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 *
        (IMPORTRANGE(""https://docs.google.com/spreadsheets/d/161aHT6vVT3SLneTKD19N5qVWtnj_jIT8CSsOmUVKmaA/edi"&amp;"t?gid=1761053510"",
          ""Haris_Form responses 1!$AQ:$AQ"")=5)
      ),
      1
    ),
    ""0""
  ),
  ""Form not found""
)
"),"Form not found")</f>
        <v>Form not found</v>
      </c>
      <c r="AQ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 *
        (IMPORTRANGE(""https://docs.google.com/spreadsheets/d/161aHT6vVT3SLneTKD19N5qVWtnj_jIT8CSsOmUVKmaA/edi"&amp;"t?gid=1761053510"",
          ""Haris_Form responses 1!$AQ:$AQ"")=6)
      ),
      1
    ),
    ""0""
  ),
  ""Form not found""
)
"),"Form not found")</f>
        <v>Form not found</v>
      </c>
      <c r="AR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 *
        (IMPORTRANGE(""https://docs.google.com/spreadsheets/d/161aHT6vVT3SLneTKD19N5qVWtnj_jIT8CSsOmUVKmaA/edi"&amp;"t?gid=1761053510"",
          ""Haris_Form responses 1!$AQ:$AQ"")=1)
      ),
      1
    ),
    ""0""
  ),
  ""Form not found""
)
"),"10")</f>
        <v>10</v>
      </c>
      <c r="AS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 *
        (IMPORTRANGE(""https://docs.google.com/spreadsheets/d/161aHT6vVT3SLneTKD19N5qVWtnj_jIT8CSsOmUVKmaA/edi"&amp;"t?gid=1761053510"",
          ""Haris_Form responses 1!$AQ:$AQ"")=2)
      ),
      1
    ),
    ""0""
  ),
  ""Form not found""
)
"),"10")</f>
        <v>10</v>
      </c>
      <c r="AT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 *
        (IMPORTRANGE(""https://docs.google.com/spreadsheets/d/161aHT6vVT3SLneTKD19N5qVWtnj_jIT8CSsOmUVKmaA/edi"&amp;"t?gid=1761053510"",
          ""Haris_Form responses 1!$AQ:$AQ"")=3)
      ),
      1
    ),
    ""0""
  ),
  ""Form not found""
)
"),"0")</f>
        <v>0</v>
      </c>
      <c r="AU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 *
        (IMPORTRANGE(""https://docs.google.com/spreadsheets/d/161aHT6vVT3SLneTKD19N5qVWtnj_jIT8CSsOmUVKmaA/edi"&amp;"t?gid=1761053510"",
          ""Haris_Form responses 1!$AQ:$AQ"")=4)
      ),
      1
    ),
    ""0""
  ),
  ""Form not found""
)
"),"Form not found")</f>
        <v>Form not found</v>
      </c>
      <c r="AV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 *
        (IMPORTRANGE(""https://docs.google.com/spreadsheets/d/161aHT6vVT3SLneTKD19N5qVWtnj_jIT8CSsOmUVKmaA/edi"&amp;"t?gid=1761053510"",
          ""Haris_Form responses 1!$AQ:$AQ"")=5)
      ),
      1
    ),
    ""0""
  ),
  ""Form not found""
)
"),"Form not found")</f>
        <v>Form not found</v>
      </c>
      <c r="AW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 *
        (IMPORTRANGE(""https://docs.google.com/spreadsheets/d/161aHT6vVT3SLneTKD19N5qVWtnj_jIT8CSsOmUVKmaA/edi"&amp;"t?gid=1761053510"",
          ""Haris_Form responses 1!$AQ:$AQ"")=6)
      ),
      1
    ),
    ""0""
  ),
  ""Form not found""
)
"),"Form not found")</f>
        <v>Form not found</v>
      </c>
      <c r="AX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 *
        (IMPORTRANGE(""https://docs.google.com/spreadsheets/d/161aHT6vVT3SLneTKD19N5qVWtnj_jIT8CSsOmUVKmaA/edi"&amp;"t?gid=1761053510"",
          ""Haris_Form responses 1!$AQ:$AQ"")=1)
      ),
      1
    ),
    ""0""
  ),
  ""Form not found""
)
"),"0")</f>
        <v>0</v>
      </c>
      <c r="AY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 *
        (IMPORTRANGE(""https://docs.google.com/spreadsheets/d/161aHT6vVT3SLneTKD19N5qVWtnj_jIT8CSsOmUVKmaA/edi"&amp;"t?gid=1761053510"",
          ""Haris_Form responses 1!$AQ:$AQ"")=2)
      ),
      1
    ),
    ""0""
  ),
  ""Form not found""
)
"),"0")</f>
        <v>0</v>
      </c>
      <c r="AZ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 *
        (IMPORTRANGE(""https://docs.google.com/spreadsheets/d/161aHT6vVT3SLneTKD19N5qVWtnj_jIT8CSsOmUVKmaA/edi"&amp;"t?gid=1761053510"",
          ""Haris_Form responses 1!$AQ:$AQ"")=3)
      ),
      1
    ),
    ""0""
  ),
  ""Form not found""
)
"),"0")</f>
        <v>0</v>
      </c>
      <c r="BA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 *
        (IMPORTRANGE(""https://docs.google.com/spreadsheets/d/161aHT6vVT3SLneTKD19N5qVWtnj_jIT8CSsOmUVKmaA/edi"&amp;"t?gid=1761053510"",
          ""Haris_Form responses 1!$AQ:$AQ"")=4)
      ),
      1
    ),
    ""0""
  ),
  ""Form not found""
)
"),"Form not found")</f>
        <v>Form not found</v>
      </c>
      <c r="BB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 *
        (IMPORTRANGE(""https://docs.google.com/spreadsheets/d/161aHT6vVT3SLneTKD19N5qVWtnj_jIT8CSsOmUVKmaA/edi"&amp;"t?gid=1761053510"",
          ""Haris_Form responses 1!$AQ:$AQ"")=5)
      ),
      1
    ),
    ""0""
  ),
  ""Form not found""
)
"),"Form not found")</f>
        <v>Form not found</v>
      </c>
      <c r="BC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 *
        (IMPORTRANGE(""https://docs.google.com/spreadsheets/d/161aHT6vVT3SLneTKD19N5qVWtnj_jIT8CSsOmUVKmaA/edi"&amp;"t?gid=1761053510"",
          ""Haris_Form responses 1!$AQ:$AQ"")=6)
      ),
      1
    ),
    ""0""
  ),
  ""Form not found""
)
"),"Form not found")</f>
        <v>Form not found</v>
      </c>
      <c r="BD3" s="293"/>
    </row>
    <row r="4">
      <c r="A4" s="283" t="str">
        <f>IFERROR(__xludf.DUMMYFUNCTION("VLOOKUP($B4,IMPORTRANGE(""https://docs.google.com/spreadsheets/d/1VNXDITjs75AcgdBSW27oL1VZH31udDprJSsBcE5xlp4/edit?gid=1551188038#gid=1551188038"", ""Sheet9!$B:$E""),2,false)"),"Lahore")</f>
        <v>Lahore</v>
      </c>
      <c r="B4" s="283" t="s">
        <v>1339</v>
      </c>
      <c r="C4" s="284" t="str">
        <f>IFERROR(__xludf.DUMMYFUNCTION("VLOOKUP(TRIM($B4), IMPORTRANGE(""https://docs.google.com/spreadsheets/d/1aSOrU4PTpuBZqfitKaH1Rfww6-YOiNCKoBpPl8XBHaw/edit?gid=0#gid=0"", ""sheet3!$B:$C""), 2, FALSE)
"),"Jamia Masjid Hanfiya Farookia Khrishan Nagar Lahore")</f>
        <v>Jamia Masjid Hanfiya Farookia Khrishan Nagar Lahore</v>
      </c>
      <c r="D4" s="284" t="str">
        <f>IFERROR(__xludf.DUMMYFUNCTION("IFERROR(
  INDEX(
    FILTER(
      IMPORTRANGE(""1aSOrU4PTpuBZqfitKaH1Rfww6-YOiNCKoBpPl8XBHaw/edit?gid=0#gid=0"",""Sheet1!G:G""),
      IMPORTRANGE(""1aSOrU4PTpuBZqfitKaH1Rfww6-YOiNCKoBpPl8XBHaw/edit?gid=0#gid=0"",""Sheet1!C:C"")=$B4
    ),
    1
  ),
  "&amp;"""Not Found""
)"),"Control")</f>
        <v>Control</v>
      </c>
      <c r="E4" s="284" t="str">
        <f>VLOOKUP(B4,'Juma Recording forms'!A:E,5,false)</f>
        <v>Jamia Masjid Hanfiya Farookia Khrishan Nagar Lahore</v>
      </c>
      <c r="F4" s="284" t="str">
        <f>IFERROR(__xludf.DUMMYFUNCTION("IFERROR(
  INDEX(
    FILTER(
      IMPORTRANGE(""1Cxrhp3-_-HS7v9uuqQliiIfrmMP4VaFoDNDWyUFy2J8/edit?gid=0#gid=0"",""Sheet1!Q:Q""),
      IMPORTRANGE(""1Cxrhp3-_-HS7v9uuqQliiIfrmMP4VaFoDNDWyUFy2J8/edit?gid=0#gid=0"",""Sheet1!K:K"")=$B4
    ),
    1
  ),
  "&amp;"""Not Found""
)"),"Kashif jameel")</f>
        <v>Kashif jameel</v>
      </c>
      <c r="G4" s="284">
        <v>1955.0</v>
      </c>
      <c r="H4" s="284"/>
      <c r="I4" s="285"/>
      <c r="J4" s="286">
        <v>2.0</v>
      </c>
      <c r="K4" s="287" t="str">
        <f>VLOOKUP($B4,'Mosque Locations'!$A:$E,3,FALSE)
</f>
        <v>https://maps.google.com/maps?q=31.5647601%2C74.2908442&amp;z=17&amp;hl=en</v>
      </c>
      <c r="L4" s="286">
        <f>VLOOKUP($B4,'Mosque Locations'!$A:$E,4,FALSE)
</f>
        <v>31.5647601</v>
      </c>
      <c r="M4" s="286">
        <f>VLOOKUP($B4,'Mosque Locations'!$A:$E,5,false)</f>
        <v>74.2908442</v>
      </c>
      <c r="N4" s="288"/>
      <c r="O4" s="288"/>
      <c r="P4" s="288"/>
      <c r="Q4" s="294" t="str">
        <f>IFERROR(__xludf.DUMMYFUNCTION("IFERROR(
  INDEX(
    FILTER(
      IMPORTRANGE(""1DccNxjBgurEr0ABkI_rBagJT5phB5HaHG5N_mTm_BiA"",""Form Responses 1!T:T""),
      TRIM(IMPORTRANGE(""1DccNxjBgurEr0ABkI_rBagJT5phB5HaHG5N_mTm_BiA"",""Form Responses 1!E:E""))=TRIM($B4)
    ),
    1
  ),
  """&amp;"Not Found""
)
"),"https://drive.google.com/open?id=16pXnPiIhPDOjIXHQgtSGsllNsEtkI-UJ, https://drive.google.com/open?id=1KqrgEW38ov6jOaeZRTOZuTI_3F181xQS")</f>
        <v>https://drive.google.com/open?id=16pXnPiIhPDOjIXHQgtSGsllNsEtkI-UJ, https://drive.google.com/open?id=1KqrgEW38ov6jOaeZRTOZuTI_3F181xQS</v>
      </c>
      <c r="R4" s="289" t="str">
        <f>IFERROR(__xludf.DUMMYFUNCTION("IFERROR(
  INDEX(
    FILTER(
      IMPORTRANGE(""1DccNxjBgurEr0ABkI_rBagJT5phB5HaHG5N_mTm_BiA"",""Form Responses 1!S:S""),
      TRIM(IMPORTRANGE(""1DccNxjBgurEr0ABkI_rBagJT5phB5HaHG5N_mTm_BiA"",""Form Responses 1!E:E""))=TRIM($B4)
    ),
    1
  ),
  """&amp;"Not Found""
)
"),"https://drive.google.com/open?id=1mxHwUZux-dFQTkRcUIazA3xQSeXRtqPg")</f>
        <v>https://drive.google.com/open?id=1mxHwUZux-dFQTkRcUIazA3xQSeXRtqPg</v>
      </c>
      <c r="S4" s="285"/>
      <c r="T4" s="290" t="str">
        <f>VLOOKUP($B4,'Master Tracker'!$D:$E,2,false)</f>
        <v>https://drive.google.com/open?id=1RcW7-oCuoZ7r0-TavCG2R-Srtk6WIv2w</v>
      </c>
      <c r="U4" s="291" t="str">
        <f>VLOOKUP($B4,'Master Tracker'!$D:$T,4,FALSE)
</f>
        <v>https://drive.google.com/open?id=1gqKo-0j9qJLx7zLlA_Ae_8BfQt4CUhpT</v>
      </c>
      <c r="V4" s="284" t="str">
        <f>VLOOKUP($B4,'Master Tracker'!$D:$T,5,false)</f>
        <v>Not Found</v>
      </c>
      <c r="W4" s="292" t="str">
        <f>VLOOKUP($B4,'Master Tracker'!$D:$T,7,false)</f>
        <v>Not Found</v>
      </c>
      <c r="X4" s="290" t="str">
        <f>VLOOKUP($B4,'Master Tracker'!$D:$T,8,false)</f>
        <v>https://drive.google.com/open?id=15qd3A3eppIx9uk8Rlku9ZcL765ru7Ji6</v>
      </c>
      <c r="Y4" s="291" t="str">
        <f>VLOOKUP($B4,'Master Tracker'!$D:$T,10,false)</f>
        <v>https://drive.google.com/open?id=1tejVE87sSmdlnvWvwkPhc3qCuZdYG3cD</v>
      </c>
      <c r="Z4" s="284" t="str">
        <f>VLOOKUP($B4,'Master Tracker'!$D:$T,11,false)</f>
        <v>Not Found</v>
      </c>
      <c r="AA4" s="292" t="str">
        <f>VLOOKUP($B4,'Master Tracker'!$D:$T,13,false)</f>
        <v>Not Found</v>
      </c>
      <c r="AB4" s="284" t="str">
        <f>VLOOKUP($B4,'Master Tracker'!$D:$T,14,false)</f>
        <v>Not Found</v>
      </c>
      <c r="AC4" s="292" t="str">
        <f>VLOOKUP($B4,'Master Tracker'!$D:$T,16,false)</f>
        <v>Not Found</v>
      </c>
      <c r="AD4" s="292" t="str">
        <f>VLOOKUP($B4,'Master Tracker'!$D:$T,17,false)</f>
        <v>Not Found</v>
      </c>
      <c r="AE4" s="292" t="str">
        <f>VLOOKUP($B4,'Master Tracker'!$D:$V,19,false)</f>
        <v>Not Found</v>
      </c>
      <c r="AF4" s="292">
        <f>IFERROR(__xludf.DUMMYFUNCTION("IFERROR(
  INDEX(
    FILTER(
      'Juma Recording forms'!$G:$G,
      TRIM('Juma Recording forms'!$F:$F) = TRIM($B4),
      'Juma Recording forms'!$AA:$AA = 1
    ),
    1
  ),
  ""Not Found""
)"),329.0)</f>
        <v>329</v>
      </c>
      <c r="AG4" s="292" t="str">
        <f>IFERROR(__xludf.DUMMYFUNCTION("IFERROR(
  INDEX(
    FILTER(
      'Juma Recording forms'!$G:$G,
      TRIM('Juma Recording forms'!$F:$F) = TRIM($B4),
      'Juma Recording forms'!$AA:$AA = 2
    ),
    1
  ),
  ""Not Found""
)"),"Not Found")</f>
        <v>Not Found</v>
      </c>
      <c r="AH4" s="292">
        <f>IFERROR(__xludf.DUMMYFUNCTION("IFERROR(
  INDEX(
    FILTER(
      'Juma Recording forms'!$G:$G,
      TRIM('Juma Recording forms'!$F:$F) = TRIM($B4),
      'Juma Recording forms'!$AA:$AA = 3
    ),
    1
  ),
  ""Not Found""
)"),300.0)</f>
        <v>300</v>
      </c>
      <c r="AI4" s="292" t="str">
        <f>IFERROR(__xludf.DUMMYFUNCTION("IFERROR(
  INDEX(
    FILTER(
      'Juma Recording forms'!$G:$G,
      TRIM('Juma Recording forms'!$F:$F) = TRIM($B4),
      'Juma Recording forms'!$AA:$AA = 4
    ),
    1
  ),
  ""Not Found""
)"),"Not Found")</f>
        <v>Not Found</v>
      </c>
      <c r="AJ4" s="292" t="str">
        <f>IFERROR(__xludf.DUMMYFUNCTION("IFERROR(
  INDEX(
    FILTER(
      'Juma Recording forms'!$G:$G,
      TRIM('Juma Recording forms'!$F:$F) = TRIM($B4),
      'Juma Recording forms'!$AA:$AA = 5
    ),
    1
  ),
  ""Not Found""
)"),"Not Found")</f>
        <v>Not Found</v>
      </c>
      <c r="AK4" s="292"/>
      <c r="AL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 *
        (IMPORTRANGE(""https://docs.google.com/spreadsheets/d/161aHT6vVT3SLneTKD19N5qVWtnj_jIT8CSsOmUVKmaA/edi"&amp;"t?gid=1761053510"",
          ""Haris_Form responses 1!$AQ:$AQ"")=1)
      ),
      1
    ),
    ""0""
  ),
  ""Form not found""
)
"),"0")</f>
        <v>0</v>
      </c>
      <c r="AM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 *
        (IMPORTRANGE(""https://docs.google.com/spreadsheets/d/161aHT6vVT3SLneTKD19N5qVWtnj_jIT8CSsOmUVKmaA/edi"&amp;"t?gid=1761053510"",
          ""Haris_Form responses 1!$AQ:$AQ"")=2)
      ),
      1
    ),
    ""0""
  ),
  ""Form not found""
)
"),"Form not found")</f>
        <v>Form not found</v>
      </c>
      <c r="AN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 *
        (IMPORTRANGE(""https://docs.google.com/spreadsheets/d/161aHT6vVT3SLneTKD19N5qVWtnj_jIT8CSsOmUVKmaA/edi"&amp;"t?gid=1761053510"",
          ""Haris_Form responses 1!$AQ:$AQ"")=3)
      ),
      1
    ),
    ""0""
  ),
  ""Form not found""
)
"),"0")</f>
        <v>0</v>
      </c>
      <c r="AO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 *
        (IMPORTRANGE(""https://docs.google.com/spreadsheets/d/161aHT6vVT3SLneTKD19N5qVWtnj_jIT8CSsOmUVKmaA/edi"&amp;"t?gid=1761053510"",
          ""Haris_Form responses 1!$AQ:$AQ"")=4)
      ),
      1
    ),
    ""0""
  ),
  ""Form not found""
)
"),"Form not found")</f>
        <v>Form not found</v>
      </c>
      <c r="AP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 *
        (IMPORTRANGE(""https://docs.google.com/spreadsheets/d/161aHT6vVT3SLneTKD19N5qVWtnj_jIT8CSsOmUVKmaA/edi"&amp;"t?gid=1761053510"",
          ""Haris_Form responses 1!$AQ:$AQ"")=5)
      ),
      1
    ),
    ""0""
  ),
  ""Form not found""
)
"),"Form not found")</f>
        <v>Form not found</v>
      </c>
      <c r="AQ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 *
        (IMPORTRANGE(""https://docs.google.com/spreadsheets/d/161aHT6vVT3SLneTKD19N5qVWtnj_jIT8CSsOmUVKmaA/edi"&amp;"t?gid=1761053510"",
          ""Haris_Form responses 1!$AQ:$AQ"")=6)
      ),
      1
    ),
    ""0""
  ),
  ""Form not found""
)
"),"Form not found")</f>
        <v>Form not found</v>
      </c>
      <c r="AR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 *
        (IMPORTRANGE(""https://docs.google.com/spreadsheets/d/161aHT6vVT3SLneTKD19N5qVWtnj_jIT8CSsOmUVKmaA/edi"&amp;"t?gid=1761053510"",
          ""Haris_Form responses 1!$AQ:$AQ"")=1)
      ),
      1
    ),
    ""0""
  ),
  ""Form not found""
)
"),"0")</f>
        <v>0</v>
      </c>
      <c r="AS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 *
        (IMPORTRANGE(""https://docs.google.com/spreadsheets/d/161aHT6vVT3SLneTKD19N5qVWtnj_jIT8CSsOmUVKmaA/edi"&amp;"t?gid=1761053510"",
          ""Haris_Form responses 1!$AQ:$AQ"")=2)
      ),
      1
    ),
    ""0""
  ),
  ""Form not found""
)
"),"Form not found")</f>
        <v>Form not found</v>
      </c>
      <c r="AT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 *
        (IMPORTRANGE(""https://docs.google.com/spreadsheets/d/161aHT6vVT3SLneTKD19N5qVWtnj_jIT8CSsOmUVKmaA/edi"&amp;"t?gid=1761053510"",
          ""Haris_Form responses 1!$AQ:$AQ"")=3)
      ),
      1
    ),
    ""0""
  ),
  ""Form not found""
)
"),"0")</f>
        <v>0</v>
      </c>
      <c r="AU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 *
        (IMPORTRANGE(""https://docs.google.com/spreadsheets/d/161aHT6vVT3SLneTKD19N5qVWtnj_jIT8CSsOmUVKmaA/edi"&amp;"t?gid=1761053510"",
          ""Haris_Form responses 1!$AQ:$AQ"")=4)
      ),
      1
    ),
    ""0""
  ),
  ""Form not found""
)
"),"Form not found")</f>
        <v>Form not found</v>
      </c>
      <c r="AV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 *
        (IMPORTRANGE(""https://docs.google.com/spreadsheets/d/161aHT6vVT3SLneTKD19N5qVWtnj_jIT8CSsOmUVKmaA/edi"&amp;"t?gid=1761053510"",
          ""Haris_Form responses 1!$AQ:$AQ"")=5)
      ),
      1
    ),
    ""0""
  ),
  ""Form not found""
)
"),"Form not found")</f>
        <v>Form not found</v>
      </c>
      <c r="AW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 *
        (IMPORTRANGE(""https://docs.google.com/spreadsheets/d/161aHT6vVT3SLneTKD19N5qVWtnj_jIT8CSsOmUVKmaA/edi"&amp;"t?gid=1761053510"",
          ""Haris_Form responses 1!$AQ:$AQ"")=6)
      ),
      1
    ),
    ""0""
  ),
  ""Form not found""
)
"),"Form not found")</f>
        <v>Form not found</v>
      </c>
      <c r="AX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 *
        (IMPORTRANGE(""https://docs.google.com/spreadsheets/d/161aHT6vVT3SLneTKD19N5qVWtnj_jIT8CSsOmUVKmaA/edi"&amp;"t?gid=1761053510"",
          ""Haris_Form responses 1!$AQ:$AQ"")=1)
      ),
      1
    ),
    ""0""
  ),
  ""Form not found""
)
"),"0")</f>
        <v>0</v>
      </c>
      <c r="AY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 *
        (IMPORTRANGE(""https://docs.google.com/spreadsheets/d/161aHT6vVT3SLneTKD19N5qVWtnj_jIT8CSsOmUVKmaA/edi"&amp;"t?gid=1761053510"",
          ""Haris_Form responses 1!$AQ:$AQ"")=2)
      ),
      1
    ),
    ""0""
  ),
  ""Form not found""
)
"),"Form not found")</f>
        <v>Form not found</v>
      </c>
      <c r="AZ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 *
        (IMPORTRANGE(""https://docs.google.com/spreadsheets/d/161aHT6vVT3SLneTKD19N5qVWtnj_jIT8CSsOmUVKmaA/edi"&amp;"t?gid=1761053510"",
          ""Haris_Form responses 1!$AQ:$AQ"")=3)
      ),
      1
    ),
    ""0""
  ),
  ""Form not found""
)
"),"0")</f>
        <v>0</v>
      </c>
      <c r="BA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 *
        (IMPORTRANGE(""https://docs.google.com/spreadsheets/d/161aHT6vVT3SLneTKD19N5qVWtnj_jIT8CSsOmUVKmaA/edi"&amp;"t?gid=1761053510"",
          ""Haris_Form responses 1!$AQ:$AQ"")=4)
      ),
      1
    ),
    ""0""
  ),
  ""Form not found""
)
"),"Form not found")</f>
        <v>Form not found</v>
      </c>
      <c r="BB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 *
        (IMPORTRANGE(""https://docs.google.com/spreadsheets/d/161aHT6vVT3SLneTKD19N5qVWtnj_jIT8CSsOmUVKmaA/edi"&amp;"t?gid=1761053510"",
          ""Haris_Form responses 1!$AQ:$AQ"")=5)
      ),
      1
    ),
    ""0""
  ),
  ""Form not found""
)
"),"Form not found")</f>
        <v>Form not found</v>
      </c>
      <c r="BC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 *
        (IMPORTRANGE(""https://docs.google.com/spreadsheets/d/161aHT6vVT3SLneTKD19N5qVWtnj_jIT8CSsOmUVKmaA/edi"&amp;"t?gid=1761053510"",
          ""Haris_Form responses 1!$AQ:$AQ"")=6)
      ),
      1
    ),
    ""0""
  ),
  ""Form not found""
)
"),"Form not found")</f>
        <v>Form not found</v>
      </c>
      <c r="BD4" s="293"/>
    </row>
    <row r="5">
      <c r="A5" s="283" t="str">
        <f>IFERROR(__xludf.DUMMYFUNCTION("VLOOKUP($B5,IMPORTRANGE(""https://docs.google.com/spreadsheets/d/1VNXDITjs75AcgdBSW27oL1VZH31udDprJSsBcE5xlp4/edit?gid=1551188038#gid=1551188038"", ""Sheet9!$B:$E""),2,false)"),"Lahore")</f>
        <v>Lahore</v>
      </c>
      <c r="B5" s="283" t="s">
        <v>4503</v>
      </c>
      <c r="C5" s="284" t="str">
        <f>IFERROR(__xludf.DUMMYFUNCTION("VLOOKUP(TRIM($B5), IMPORTRANGE(""https://docs.google.com/spreadsheets/d/1aSOrU4PTpuBZqfitKaH1Rfww6-YOiNCKoBpPl8XBHaw/edit?gid=0#gid=0"", ""sheet3!$B:$C""), 2, FALSE)
"),"Jamia Masjid Aali Nooh Coat Lahore")</f>
        <v>Jamia Masjid Aali Nooh Coat Lahore</v>
      </c>
      <c r="D5" s="284" t="str">
        <f>IFERROR(__xludf.DUMMYFUNCTION("IFERROR(
  INDEX(
    FILTER(
      IMPORTRANGE(""1aSOrU4PTpuBZqfitKaH1Rfww6-YOiNCKoBpPl8XBHaw/edit?gid=0#gid=0"",""Sheet1!G:G""),
      IMPORTRANGE(""1aSOrU4PTpuBZqfitKaH1Rfww6-YOiNCKoBpPl8XBHaw/edit?gid=0#gid=0"",""Sheet1!C:C"")=$B5
    ),
    1
  ),
  "&amp;"""Not Found""
)"),"Community Religious No Info Share")</f>
        <v>Community Religious No Info Share</v>
      </c>
      <c r="E5" s="284" t="str">
        <f>VLOOKUP(B5,'Juma Recording forms'!A:E,5,false)</f>
        <v>Jamia masjid Aali</v>
      </c>
      <c r="F5" s="284" t="str">
        <f>IFERROR(__xludf.DUMMYFUNCTION("IFERROR(
  INDEX(
    FILTER(
      IMPORTRANGE(""1Cxrhp3-_-HS7v9uuqQliiIfrmMP4VaFoDNDWyUFy2J8/edit?gid=0#gid=0"",""Sheet1!Q:Q""),
      IMPORTRANGE(""1Cxrhp3-_-HS7v9uuqQliiIfrmMP4VaFoDNDWyUFy2J8/edit?gid=0#gid=0"",""Sheet1!K:K"")=$B5
    ),
    1
  ),
  "&amp;"""Not Found""
)"),"Mufti Allah Nawaz")</f>
        <v>Mufti Allah Nawaz</v>
      </c>
      <c r="G5" s="284">
        <v>1951.0</v>
      </c>
      <c r="H5" s="284"/>
      <c r="I5" s="285"/>
      <c r="J5" s="286">
        <v>2.0</v>
      </c>
      <c r="K5" s="287" t="str">
        <f>VLOOKUP($B5,'Mosque Locations'!$A:$E,3,FALSE)
</f>
        <v>https://maps.google.com/maps?q=31.504318%2C74.2550115&amp;z=17&amp;hl=en</v>
      </c>
      <c r="L5" s="286">
        <f>VLOOKUP($B5,'Mosque Locations'!$A:$E,4,FALSE)
</f>
        <v>31.504318</v>
      </c>
      <c r="M5" s="286">
        <f>VLOOKUP($B5,'Mosque Locations'!$A:$E,5,false)</f>
        <v>74.2550115</v>
      </c>
      <c r="N5" s="288"/>
      <c r="O5" s="288"/>
      <c r="P5" s="288"/>
      <c r="Q5" s="290" t="str">
        <f>IFERROR(__xludf.DUMMYFUNCTION("IFERROR(
  INDEX(
    FILTER(
      IMPORTRANGE(""1DccNxjBgurEr0ABkI_rBagJT5phB5HaHG5N_mTm_BiA"",""Form Responses 1!T:T""),
      TRIM(IMPORTRANGE(""1DccNxjBgurEr0ABkI_rBagJT5phB5HaHG5N_mTm_BiA"",""Form Responses 1!E:E""))=TRIM($B5)
    ),
    1
  ),
  """&amp;"Not Found""
)
"),"https://drive.google.com/file/d/1ov-sXGP8FxUARhrVpz8NShnkciaAukYP/view")</f>
        <v>https://drive.google.com/file/d/1ov-sXGP8FxUARhrVpz8NShnkciaAukYP/view</v>
      </c>
      <c r="R5" s="290" t="str">
        <f>IFERROR(__xludf.DUMMYFUNCTION("IFERROR(
  INDEX(
    FILTER(
      IMPORTRANGE(""1DccNxjBgurEr0ABkI_rBagJT5phB5HaHG5N_mTm_BiA"",""Form Responses 1!S:S""),
      TRIM(IMPORTRANGE(""1DccNxjBgurEr0ABkI_rBagJT5phB5HaHG5N_mTm_BiA"",""Form Responses 1!E:E""))=TRIM($B5)
    ),
    1
  ),
  """&amp;"Not Found""
)
"),"https://drive.google.com/open?id=1Q8r1mY4OGi1vN3XRKZaVPlDUdDRaNVv5")</f>
        <v>https://drive.google.com/open?id=1Q8r1mY4OGi1vN3XRKZaVPlDUdDRaNVv5</v>
      </c>
      <c r="S5" s="285"/>
      <c r="T5" s="290" t="str">
        <f>VLOOKUP($B5,'Master Tracker'!$D:$E,2,false)</f>
        <v>https://drive.google.com/file/d/1lwUmi7qlZtrpKXjJtQgE0-IKd8Wwldlj/view?usp=drive_link</v>
      </c>
      <c r="U5" s="291" t="str">
        <f>VLOOKUP($B5,'Master Tracker'!$D:$T,4,FALSE)
</f>
        <v>https://drive.google.com/open?id=1I3bgwYp0ObX2ibU_KzVeTr74c2GqBekG</v>
      </c>
      <c r="V5" s="290" t="str">
        <f>VLOOKUP($B5,'Master Tracker'!$D:$T,5,false)</f>
        <v>https://drive.google.com/file/d/1JinnoD2-Bb_UH8mJIti3TQUiFHlQBKPR/view?usp=drive_link</v>
      </c>
      <c r="W5" s="291" t="str">
        <f>VLOOKUP($B5,'Master Tracker'!$D:$T,7,false)</f>
        <v>https://drive.google.com/open?id=1MGA9NFAiUv-7BuUE-znOELBki2JQ6k2V</v>
      </c>
      <c r="X5" s="290" t="str">
        <f>VLOOKUP($B5,'Master Tracker'!$D:$T,8,false)</f>
        <v>https://drive.google.com/file/d/1rBfJYIww--HNLCpMqHiOkWsYlQK27CdJ/view?usp=sharing</v>
      </c>
      <c r="Y5" s="291" t="str">
        <f>VLOOKUP($B5,'Master Tracker'!$D:$T,10,false)</f>
        <v>https://drive.google.com/open?id=1NXUit1DsznvMZ5LDr78bcATe6p42KwhH</v>
      </c>
      <c r="Z5" s="284" t="str">
        <f>VLOOKUP($B5,'Master Tracker'!$D:$T,11,false)</f>
        <v>Not Found</v>
      </c>
      <c r="AA5" s="292" t="str">
        <f>VLOOKUP($B5,'Master Tracker'!$D:$T,13,false)</f>
        <v>Not Found</v>
      </c>
      <c r="AB5" s="284" t="str">
        <f>VLOOKUP($B5,'Master Tracker'!$D:$T,14,false)</f>
        <v>Not Found</v>
      </c>
      <c r="AC5" s="292" t="str">
        <f>VLOOKUP($B5,'Master Tracker'!$D:$T,16,false)</f>
        <v>Not Found</v>
      </c>
      <c r="AD5" s="292" t="str">
        <f>VLOOKUP($B5,'Master Tracker'!$D:$T,17,false)</f>
        <v>Not Found</v>
      </c>
      <c r="AE5" s="292" t="str">
        <f>VLOOKUP($B5,'Master Tracker'!$D:$V,19,false)</f>
        <v>Not Found</v>
      </c>
      <c r="AF5" s="292">
        <f>IFERROR(__xludf.DUMMYFUNCTION("IFERROR(
  INDEX(
    FILTER(
      'Juma Recording forms'!$G:$G,
      TRIM('Juma Recording forms'!$F:$F) = TRIM($B5),
      'Juma Recording forms'!$AA:$AA = 1
    ),
    1
  ),
  ""Not Found""
)"),120.0)</f>
        <v>120</v>
      </c>
      <c r="AG5" s="292">
        <f>IFERROR(__xludf.DUMMYFUNCTION("IFERROR(
  INDEX(
    FILTER(
      'Juma Recording forms'!$G:$G,
      TRIM('Juma Recording forms'!$F:$F) = TRIM($B5),
      'Juma Recording forms'!$AA:$AA = 2
    ),
    1
  ),
  ""Not Found""
)"),105.0)</f>
        <v>105</v>
      </c>
      <c r="AH5" s="292">
        <f>IFERROR(__xludf.DUMMYFUNCTION("IFERROR(
  INDEX(
    FILTER(
      'Juma Recording forms'!$G:$G,
      TRIM('Juma Recording forms'!$F:$F) = TRIM($B5),
      'Juma Recording forms'!$AA:$AA = 3
    ),
    1
  ),
  ""Not Found""
)"),116.0)</f>
        <v>116</v>
      </c>
      <c r="AI5" s="292" t="str">
        <f>IFERROR(__xludf.DUMMYFUNCTION("IFERROR(
  INDEX(
    FILTER(
      'Juma Recording forms'!$G:$G,
      TRIM('Juma Recording forms'!$F:$F) = TRIM($B5),
      'Juma Recording forms'!$AA:$AA = 4
    ),
    1
  ),
  ""Not Found""
)"),"Not Found")</f>
        <v>Not Found</v>
      </c>
      <c r="AJ5" s="292" t="str">
        <f>IFERROR(__xludf.DUMMYFUNCTION("IFERROR(
  INDEX(
    FILTER(
      'Juma Recording forms'!$G:$G,
      TRIM('Juma Recording forms'!$F:$F) = TRIM($B5),
      'Juma Recording forms'!$AA:$AA = 5
    ),
    1
  ),
  ""Not Found""
)"),"Not Found")</f>
        <v>Not Found</v>
      </c>
      <c r="AK5" s="292" t="str">
        <f>IFERROR(__xludf.DUMMYFUNCTION("IFERROR(
  INDEX(
    FILTER(
      'Juma Recording forms'!$G:$G,
      TRIM('Juma Recording forms'!$F:$F) = TRIM($B5),
      'Juma Recording forms'!$AA:$AA = 6
    ),
    1
  ),
  ""Not Found""
)"),"Not Found")</f>
        <v>Not Found</v>
      </c>
      <c r="AL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 *
        (IMPORTRANGE(""https://docs.google.com/spreadsheets/d/161aHT6vVT3SLneTKD19N5qVWtnj_jIT8CSsOmUVKmaA/edi"&amp;"t?gid=1761053510"",
          ""Haris_Form responses 1!$AQ:$AQ"")=1)
      ),
      1
    ),
    ""0""
  ),
  ""Form not found""
)
"),"10")</f>
        <v>10</v>
      </c>
      <c r="AM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 *
        (IMPORTRANGE(""https://docs.google.com/spreadsheets/d/161aHT6vVT3SLneTKD19N5qVWtnj_jIT8CSsOmUVKmaA/edi"&amp;"t?gid=1761053510"",
          ""Haris_Form responses 1!$AQ:$AQ"")=2)
      ),
      1
    ),
    ""0""
  ),
  ""Form not found""
)
"),"10")</f>
        <v>10</v>
      </c>
      <c r="AN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 *
        (IMPORTRANGE(""https://docs.google.com/spreadsheets/d/161aHT6vVT3SLneTKD19N5qVWtnj_jIT8CSsOmUVKmaA/edi"&amp;"t?gid=1761053510"",
          ""Haris_Form responses 1!$AQ:$AQ"")=3)
      ),
      1
    ),
    ""0""
  ),
  ""Form not found""
)
"),"2")</f>
        <v>2</v>
      </c>
      <c r="AO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 *
        (IMPORTRANGE(""https://docs.google.com/spreadsheets/d/161aHT6vVT3SLneTKD19N5qVWtnj_jIT8CSsOmUVKmaA/edi"&amp;"t?gid=1761053510"",
          ""Haris_Form responses 1!$AQ:$AQ"")=4)
      ),
      1
    ),
    ""0""
  ),
  ""Form not found""
)
"),"Form not found")</f>
        <v>Form not found</v>
      </c>
      <c r="AP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 *
        (IMPORTRANGE(""https://docs.google.com/spreadsheets/d/161aHT6vVT3SLneTKD19N5qVWtnj_jIT8CSsOmUVKmaA/edi"&amp;"t?gid=1761053510"",
          ""Haris_Form responses 1!$AQ:$AQ"")=5)
      ),
      1
    ),
    ""0""
  ),
  ""Form not found""
)
"),"Form not found")</f>
        <v>Form not found</v>
      </c>
      <c r="AQ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 *
        (IMPORTRANGE(""https://docs.google.com/spreadsheets/d/161aHT6vVT3SLneTKD19N5qVWtnj_jIT8CSsOmUVKmaA/edi"&amp;"t?gid=1761053510"",
          ""Haris_Form responses 1!$AQ:$AQ"")=6)
      ),
      1
    ),
    ""0""
  ),
  ""Form not found""
)
"),"Form not found")</f>
        <v>Form not found</v>
      </c>
      <c r="AR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 *
        (IMPORTRANGE(""https://docs.google.com/spreadsheets/d/161aHT6vVT3SLneTKD19N5qVWtnj_jIT8CSsOmUVKmaA/edi"&amp;"t?gid=1761053510"",
          ""Haris_Form responses 1!$AQ:$AQ"")=1)
      ),
      1
    ),
    ""0""
  ),
  ""Form not found""
)
"),"8")</f>
        <v>8</v>
      </c>
      <c r="AS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 *
        (IMPORTRANGE(""https://docs.google.com/spreadsheets/d/161aHT6vVT3SLneTKD19N5qVWtnj_jIT8CSsOmUVKmaA/edi"&amp;"t?gid=1761053510"",
          ""Haris_Form responses 1!$AQ:$AQ"")=2)
      ),
      1
    ),
    ""0""
  ),
  ""Form not found""
)
"),"10")</f>
        <v>10</v>
      </c>
      <c r="AT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 *
        (IMPORTRANGE(""https://docs.google.com/spreadsheets/d/161aHT6vVT3SLneTKD19N5qVWtnj_jIT8CSsOmUVKmaA/edi"&amp;"t?gid=1761053510"",
          ""Haris_Form responses 1!$AQ:$AQ"")=3)
      ),
      1
    ),
    ""0""
  ),
  ""Form not found""
)
"),"2")</f>
        <v>2</v>
      </c>
      <c r="AU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 *
        (IMPORTRANGE(""https://docs.google.com/spreadsheets/d/161aHT6vVT3SLneTKD19N5qVWtnj_jIT8CSsOmUVKmaA/edi"&amp;"t?gid=1761053510"",
          ""Haris_Form responses 1!$AQ:$AQ"")=4)
      ),
      1
    ),
    ""0""
  ),
  ""Form not found""
)
"),"Form not found")</f>
        <v>Form not found</v>
      </c>
      <c r="AV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 *
        (IMPORTRANGE(""https://docs.google.com/spreadsheets/d/161aHT6vVT3SLneTKD19N5qVWtnj_jIT8CSsOmUVKmaA/edi"&amp;"t?gid=1761053510"",
          ""Haris_Form responses 1!$AQ:$AQ"")=5)
      ),
      1
    ),
    ""0""
  ),
  ""Form not found""
)
"),"Form not found")</f>
        <v>Form not found</v>
      </c>
      <c r="AW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 *
        (IMPORTRANGE(""https://docs.google.com/spreadsheets/d/161aHT6vVT3SLneTKD19N5qVWtnj_jIT8CSsOmUVKmaA/edi"&amp;"t?gid=1761053510"",
          ""Haris_Form responses 1!$AQ:$AQ"")=6)
      ),
      1
    ),
    ""0""
  ),
  ""Form not found""
)
"),"Form not found")</f>
        <v>Form not found</v>
      </c>
      <c r="AX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 *
        (IMPORTRANGE(""https://docs.google.com/spreadsheets/d/161aHT6vVT3SLneTKD19N5qVWtnj_jIT8CSsOmUVKmaA/edi"&amp;"t?gid=1761053510"",
          ""Haris_Form responses 1!$AQ:$AQ"")=1)
      ),
      1
    ),
    ""0""
  ),
  ""Form not found""
)
"),"0")</f>
        <v>0</v>
      </c>
      <c r="AY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 *
        (IMPORTRANGE(""https://docs.google.com/spreadsheets/d/161aHT6vVT3SLneTKD19N5qVWtnj_jIT8CSsOmUVKmaA/edi"&amp;"t?gid=1761053510"",
          ""Haris_Form responses 1!$AQ:$AQ"")=2)
      ),
      1
    ),
    ""0""
  ),
  ""Form not found""
)
"),"0")</f>
        <v>0</v>
      </c>
      <c r="AZ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 *
        (IMPORTRANGE(""https://docs.google.com/spreadsheets/d/161aHT6vVT3SLneTKD19N5qVWtnj_jIT8CSsOmUVKmaA/edi"&amp;"t?gid=1761053510"",
          ""Haris_Form responses 1!$AQ:$AQ"")=3)
      ),
      1
    ),
    ""0""
  ),
  ""Form not found""
)
"),"0")</f>
        <v>0</v>
      </c>
      <c r="BA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 *
        (IMPORTRANGE(""https://docs.google.com/spreadsheets/d/161aHT6vVT3SLneTKD19N5qVWtnj_jIT8CSsOmUVKmaA/edi"&amp;"t?gid=1761053510"",
          ""Haris_Form responses 1!$AQ:$AQ"")=4)
      ),
      1
    ),
    ""0""
  ),
  ""Form not found""
)
"),"Form not found")</f>
        <v>Form not found</v>
      </c>
      <c r="BB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 *
        (IMPORTRANGE(""https://docs.google.com/spreadsheets/d/161aHT6vVT3SLneTKD19N5qVWtnj_jIT8CSsOmUVKmaA/edi"&amp;"t?gid=1761053510"",
          ""Haris_Form responses 1!$AQ:$AQ"")=5)
      ),
      1
    ),
    ""0""
  ),
  ""Form not found""
)
"),"Form not found")</f>
        <v>Form not found</v>
      </c>
      <c r="BC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 *
        (IMPORTRANGE(""https://docs.google.com/spreadsheets/d/161aHT6vVT3SLneTKD19N5qVWtnj_jIT8CSsOmUVKmaA/edi"&amp;"t?gid=1761053510"",
          ""Haris_Form responses 1!$AQ:$AQ"")=6)
      ),
      1
    ),
    ""0""
  ),
  ""Form not found""
)
"),"Form not found")</f>
        <v>Form not found</v>
      </c>
      <c r="BD5" s="293"/>
    </row>
    <row r="6">
      <c r="A6" s="283" t="str">
        <f>IFERROR(__xludf.DUMMYFUNCTION("VLOOKUP($B6,IMPORTRANGE(""https://docs.google.com/spreadsheets/d/1VNXDITjs75AcgdBSW27oL1VZH31udDprJSsBcE5xlp4/edit?gid=1551188038#gid=1551188038"", ""Sheet9!$B:$E""),2,false)"),"Lahore")</f>
        <v>Lahore</v>
      </c>
      <c r="B6" s="283" t="s">
        <v>1314</v>
      </c>
      <c r="C6" s="284" t="str">
        <f>IFERROR(__xludf.DUMMYFUNCTION("VLOOKUP(TRIM($B6), IMPORTRANGE(""https://docs.google.com/spreadsheets/d/1aSOrU4PTpuBZqfitKaH1Rfww6-YOiNCKoBpPl8XBHaw/edit?gid=0#gid=0"", ""sheet3!$B:$C""), 2, FALSE)
"),"Jamia Masjid Hanfiya Muslim Ganj Kahchu Pura Lahore")</f>
        <v>Jamia Masjid Hanfiya Muslim Ganj Kahchu Pura Lahore</v>
      </c>
      <c r="D6" s="284" t="str">
        <f>IFERROR(__xludf.DUMMYFUNCTION("IFERROR(
  INDEX(
    FILTER(
      IMPORTRANGE(""1aSOrU4PTpuBZqfitKaH1Rfww6-YOiNCKoBpPl8XBHaw/edit?gid=0#gid=0"",""Sheet1!G:G""),
      IMPORTRANGE(""1aSOrU4PTpuBZqfitKaH1Rfww6-YOiNCKoBpPl8XBHaw/edit?gid=0#gid=0"",""Sheet1!C:C"")=$B6
    ),
    1
  ),
  "&amp;"""Not Found""
)"),"Women Secular Info Share")</f>
        <v>Women Secular Info Share</v>
      </c>
      <c r="E6" s="284" t="str">
        <f>VLOOKUP(B6,'Juma Recording forms'!A:E,5,false)</f>
        <v>Jamia Masjid Hanfiya Muslim Gunj Kahchu Pura </v>
      </c>
      <c r="F6" s="284" t="str">
        <f>IFERROR(__xludf.DUMMYFUNCTION("IFERROR(
  INDEX(
    FILTER(
      IMPORTRANGE(""1Cxrhp3-_-HS7v9uuqQliiIfrmMP4VaFoDNDWyUFy2J8/edit?gid=0#gid=0"",""Sheet1!Q:Q""),
      IMPORTRANGE(""1Cxrhp3-_-HS7v9uuqQliiIfrmMP4VaFoDNDWyUFy2J8/edit?gid=0#gid=0"",""Sheet1!K:K"")=$B6
    ),
    1
  ),
  "&amp;"""Not Found""
)"),"Qari idrees")</f>
        <v>Qari idrees</v>
      </c>
      <c r="G6" s="284">
        <v>1940.0</v>
      </c>
      <c r="H6" s="284"/>
      <c r="I6" s="285"/>
      <c r="J6" s="286">
        <v>2.0</v>
      </c>
      <c r="K6" s="287" t="str">
        <f>VLOOKUP($B6,'Mosque Locations'!$A:$E,3,FALSE)
</f>
        <v>https://maps.google.com/maps?q=31.5842233%2C74.3376036&amp;z=17&amp;hl=en</v>
      </c>
      <c r="L6" s="286">
        <f>VLOOKUP($B6,'Mosque Locations'!$A:$E,4,FALSE)
</f>
        <v>31.58422</v>
      </c>
      <c r="M6" s="286">
        <f>VLOOKUP($B6,'Mosque Locations'!$A:$E,5,false)</f>
        <v>74.3376</v>
      </c>
      <c r="N6" s="288"/>
      <c r="O6" s="288"/>
      <c r="P6" s="288"/>
      <c r="Q6" s="289" t="str">
        <f>IFERROR(__xludf.DUMMYFUNCTION("IFERROR(
  INDEX(
    FILTER(
      IMPORTRANGE(""1DccNxjBgurEr0ABkI_rBagJT5phB5HaHG5N_mTm_BiA"",""Form Responses 1!T:T""),
      TRIM(IMPORTRANGE(""1DccNxjBgurEr0ABkI_rBagJT5phB5HaHG5N_mTm_BiA"",""Form Responses 1!E:E""))=TRIM($B6)
    ),
    1
  ),
  """&amp;"Not Found""
)
"),"https://drive.google.com/open?id=1Jj1xZFyCp2OSZ0NNv2fuhv4t5-2ZIRc9")</f>
        <v>https://drive.google.com/open?id=1Jj1xZFyCp2OSZ0NNv2fuhv4t5-2ZIRc9</v>
      </c>
      <c r="R6" s="289" t="str">
        <f>IFERROR(__xludf.DUMMYFUNCTION("IFERROR(
  INDEX(
    FILTER(
      IMPORTRANGE(""1DccNxjBgurEr0ABkI_rBagJT5phB5HaHG5N_mTm_BiA"",""Form Responses 1!S:S""),
      TRIM(IMPORTRANGE(""1DccNxjBgurEr0ABkI_rBagJT5phB5HaHG5N_mTm_BiA"",""Form Responses 1!E:E""))=TRIM($B6)
    ),
    1
  ),
  """&amp;"Not Found""
)
"),"https://drive.google.com/open?id=1GqC_iC5CjQYKHebfX_WziXQXrM9TMHPm")</f>
        <v>https://drive.google.com/open?id=1GqC_iC5CjQYKHebfX_WziXQXrM9TMHPm</v>
      </c>
      <c r="S6" s="285"/>
      <c r="T6" s="290" t="str">
        <f>VLOOKUP($B6,'Master Tracker'!$D:$E,2,false)</f>
        <v>https://drive.google.com/open?id=1WSY6RHhHBCdPG7x3BBGuAsgoVOOQ5jwy</v>
      </c>
      <c r="U6" s="291" t="str">
        <f>VLOOKUP($B6,'Master Tracker'!$D:$T,4,FALSE)
</f>
        <v>https://drive.google.com/open?id=11jtIA617Sw5GZbL-UTcVx7EqDNhI-_8n</v>
      </c>
      <c r="V6" s="290" t="str">
        <f>VLOOKUP($B6,'Master Tracker'!$D:$T,5,false)</f>
        <v>https://drive.google.com/open?id=1TC2WjqZKV9lBde8amtMEmAd7EvG31gsq</v>
      </c>
      <c r="W6" s="291" t="str">
        <f>VLOOKUP($B6,'Master Tracker'!$D:$T,7,false)</f>
        <v>https://drive.google.com/open?id=1lcVBlohMDVJPHuldW-ky0OZPTRQwTITs</v>
      </c>
      <c r="X6" s="290" t="str">
        <f>VLOOKUP($B6,'Master Tracker'!$D:$T,8,false)</f>
        <v>https://drive.google.com/open?id=12qDw6sDi_pMHu6Daknb3eJtz0sT1qZ4Z</v>
      </c>
      <c r="Y6" s="291" t="str">
        <f>VLOOKUP($B6,'Master Tracker'!$D:$T,10,false)</f>
        <v>https://drive.google.com/open?id=1h2TRnBRnD7Ed2iXQgDo3nEqHsqvyymk8</v>
      </c>
      <c r="Z6" s="284" t="str">
        <f>VLOOKUP($B6,'Master Tracker'!$D:$T,11,false)</f>
        <v>Not Found</v>
      </c>
      <c r="AA6" s="292" t="str">
        <f>VLOOKUP($B6,'Master Tracker'!$D:$T,13,false)</f>
        <v>Not Found</v>
      </c>
      <c r="AB6" s="284" t="str">
        <f>VLOOKUP($B6,'Master Tracker'!$D:$T,14,false)</f>
        <v>Not Found</v>
      </c>
      <c r="AC6" s="292" t="str">
        <f>VLOOKUP($B6,'Master Tracker'!$D:$T,16,false)</f>
        <v>Not Found</v>
      </c>
      <c r="AD6" s="292" t="str">
        <f>VLOOKUP($B6,'Master Tracker'!$D:$T,17,false)</f>
        <v>Not Found</v>
      </c>
      <c r="AE6" s="292" t="str">
        <f>VLOOKUP($B6,'Master Tracker'!$D:$V,19,false)</f>
        <v>Not Found</v>
      </c>
      <c r="AF6" s="292">
        <f>IFERROR(__xludf.DUMMYFUNCTION("IFERROR(
  INDEX(
    FILTER(
      'Juma Recording forms'!$G:$G,
      TRIM('Juma Recording forms'!$F:$F) = TRIM($B6),
      'Juma Recording forms'!$AA:$AA = 1
    ),
    1
  ),
  ""Not Found""
)"),110.0)</f>
        <v>110</v>
      </c>
      <c r="AG6" s="292">
        <f>IFERROR(__xludf.DUMMYFUNCTION("IFERROR(
  INDEX(
    FILTER(
      'Juma Recording forms'!$G:$G,
      TRIM('Juma Recording forms'!$F:$F) = TRIM($B6),
      'Juma Recording forms'!$AA:$AA = 2
    ),
    1
  ),
  ""Not Found""
)"),115.0)</f>
        <v>115</v>
      </c>
      <c r="AH6" s="292">
        <f>IFERROR(__xludf.DUMMYFUNCTION("IFERROR(
  INDEX(
    FILTER(
      'Juma Recording forms'!$G:$G,
      TRIM('Juma Recording forms'!$F:$F) = TRIM($B6),
      'Juma Recording forms'!$AA:$AA = 3
    ),
    1
  ),
  ""Not Found""
)"),122.0)</f>
        <v>122</v>
      </c>
      <c r="AI6" s="292" t="str">
        <f>IFERROR(__xludf.DUMMYFUNCTION("IFERROR(
  INDEX(
    FILTER(
      'Juma Recording forms'!$G:$G,
      TRIM('Juma Recording forms'!$F:$F) = TRIM($B6),
      'Juma Recording forms'!$AA:$AA = 4
    ),
    1
  ),
  ""Not Found""
)"),"Not Found")</f>
        <v>Not Found</v>
      </c>
      <c r="AJ6" s="292" t="str">
        <f>IFERROR(__xludf.DUMMYFUNCTION("IFERROR(
  INDEX(
    FILTER(
      'Juma Recording forms'!$G:$G,
      TRIM('Juma Recording forms'!$F:$F) = TRIM($B6),
      'Juma Recording forms'!$AA:$AA = 5
    ),
    1
  ),
  ""Not Found""
)"),"Not Found")</f>
        <v>Not Found</v>
      </c>
      <c r="AK6" s="292" t="str">
        <f>IFERROR(__xludf.DUMMYFUNCTION("IFERROR(
  INDEX(
    FILTER(
      'Juma Recording forms'!$G:$G,
      TRIM('Juma Recording forms'!$F:$F) = TRIM($B6),
      'Juma Recording forms'!$AA:$AA = 6
    ),
    1
  ),
  ""Not Found""
)"),"Not Found")</f>
        <v>Not Found</v>
      </c>
      <c r="AL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 *
        (IMPORTRANGE(""https://docs.google.com/spreadsheets/d/161aHT6vVT3SLneTKD19N5qVWtnj_jIT8CSsOmUVKmaA/edi"&amp;"t?gid=1761053510"",
          ""Haris_Form responses 1!$AQ:$AQ"")=1)
      ),
      1
    ),
    ""0""
  ),
  ""Form not found""
)
"),"10")</f>
        <v>10</v>
      </c>
      <c r="AM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 *
        (IMPORTRANGE(""https://docs.google.com/spreadsheets/d/161aHT6vVT3SLneTKD19N5qVWtnj_jIT8CSsOmUVKmaA/edi"&amp;"t?gid=1761053510"",
          ""Haris_Form responses 1!$AQ:$AQ"")=2)
      ),
      1
    ),
    ""0""
  ),
  ""Form not found""
)
"),"10")</f>
        <v>10</v>
      </c>
      <c r="AN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 *
        (IMPORTRANGE(""https://docs.google.com/spreadsheets/d/161aHT6vVT3SLneTKD19N5qVWtnj_jIT8CSsOmUVKmaA/edi"&amp;"t?gid=1761053510"",
          ""Haris_Form responses 1!$AQ:$AQ"")=3)
      ),
      1
    ),
    ""0""
  ),
  ""Form not found""
)
"),"0")</f>
        <v>0</v>
      </c>
      <c r="AO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 *
        (IMPORTRANGE(""https://docs.google.com/spreadsheets/d/161aHT6vVT3SLneTKD19N5qVWtnj_jIT8CSsOmUVKmaA/edi"&amp;"t?gid=1761053510"",
          ""Haris_Form responses 1!$AQ:$AQ"")=4)
      ),
      1
    ),
    ""0""
  ),
  ""Form not found""
)
"),"Form not found")</f>
        <v>Form not found</v>
      </c>
      <c r="AP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 *
        (IMPORTRANGE(""https://docs.google.com/spreadsheets/d/161aHT6vVT3SLneTKD19N5qVWtnj_jIT8CSsOmUVKmaA/edi"&amp;"t?gid=1761053510"",
          ""Haris_Form responses 1!$AQ:$AQ"")=5)
      ),
      1
    ),
    ""0""
  ),
  ""Form not found""
)
"),"Form not found")</f>
        <v>Form not found</v>
      </c>
      <c r="AQ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 *
        (IMPORTRANGE(""https://docs.google.com/spreadsheets/d/161aHT6vVT3SLneTKD19N5qVWtnj_jIT8CSsOmUVKmaA/edi"&amp;"t?gid=1761053510"",
          ""Haris_Form responses 1!$AQ:$AQ"")=6)
      ),
      1
    ),
    ""0""
  ),
  ""Form not found""
)
"),"Form not found")</f>
        <v>Form not found</v>
      </c>
      <c r="AR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 *
        (IMPORTRANGE(""https://docs.google.com/spreadsheets/d/161aHT6vVT3SLneTKD19N5qVWtnj_jIT8CSsOmUVKmaA/edi"&amp;"t?gid=1761053510"",
          ""Haris_Form responses 1!$AQ:$AQ"")=1)
      ),
      1
    ),
    ""0""
  ),
  ""Form not found""
)
"),"0")</f>
        <v>0</v>
      </c>
      <c r="AS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 *
        (IMPORTRANGE(""https://docs.google.com/spreadsheets/d/161aHT6vVT3SLneTKD19N5qVWtnj_jIT8CSsOmUVKmaA/edi"&amp;"t?gid=1761053510"",
          ""Haris_Form responses 1!$AQ:$AQ"")=2)
      ),
      1
    ),
    ""0""
  ),
  ""Form not found""
)
"),"0")</f>
        <v>0</v>
      </c>
      <c r="AT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 *
        (IMPORTRANGE(""https://docs.google.com/spreadsheets/d/161aHT6vVT3SLneTKD19N5qVWtnj_jIT8CSsOmUVKmaA/edi"&amp;"t?gid=1761053510"",
          ""Haris_Form responses 1!$AQ:$AQ"")=3)
      ),
      1
    ),
    ""0""
  ),
  ""Form not found""
)
"),"0")</f>
        <v>0</v>
      </c>
      <c r="AU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 *
        (IMPORTRANGE(""https://docs.google.com/spreadsheets/d/161aHT6vVT3SLneTKD19N5qVWtnj_jIT8CSsOmUVKmaA/edi"&amp;"t?gid=1761053510"",
          ""Haris_Form responses 1!$AQ:$AQ"")=4)
      ),
      1
    ),
    ""0""
  ),
  ""Form not found""
)
"),"Form not found")</f>
        <v>Form not found</v>
      </c>
      <c r="AV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 *
        (IMPORTRANGE(""https://docs.google.com/spreadsheets/d/161aHT6vVT3SLneTKD19N5qVWtnj_jIT8CSsOmUVKmaA/edi"&amp;"t?gid=1761053510"",
          ""Haris_Form responses 1!$AQ:$AQ"")=5)
      ),
      1
    ),
    ""0""
  ),
  ""Form not found""
)
"),"Form not found")</f>
        <v>Form not found</v>
      </c>
      <c r="AW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 *
        (IMPORTRANGE(""https://docs.google.com/spreadsheets/d/161aHT6vVT3SLneTKD19N5qVWtnj_jIT8CSsOmUVKmaA/edi"&amp;"t?gid=1761053510"",
          ""Haris_Form responses 1!$AQ:$AQ"")=6)
      ),
      1
    ),
    ""0""
  ),
  ""Form not found""
)
"),"Form not found")</f>
        <v>Form not found</v>
      </c>
      <c r="AX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 *
        (IMPORTRANGE(""https://docs.google.com/spreadsheets/d/161aHT6vVT3SLneTKD19N5qVWtnj_jIT8CSsOmUVKmaA/edi"&amp;"t?gid=1761053510"",
          ""Haris_Form responses 1!$AQ:$AQ"")=1)
      ),
      1
    ),
    ""0""
  ),
  ""Form not found""
)
"),"10")</f>
        <v>10</v>
      </c>
      <c r="AY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 *
        (IMPORTRANGE(""https://docs.google.com/spreadsheets/d/161aHT6vVT3SLneTKD19N5qVWtnj_jIT8CSsOmUVKmaA/edi"&amp;"t?gid=1761053510"",
          ""Haris_Form responses 1!$AQ:$AQ"")=2)
      ),
      1
    ),
    ""0""
  ),
  ""Form not found""
)
"),"10")</f>
        <v>10</v>
      </c>
      <c r="AZ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 *
        (IMPORTRANGE(""https://docs.google.com/spreadsheets/d/161aHT6vVT3SLneTKD19N5qVWtnj_jIT8CSsOmUVKmaA/edi"&amp;"t?gid=1761053510"",
          ""Haris_Form responses 1!$AQ:$AQ"")=3)
      ),
      1
    ),
    ""0""
  ),
  ""Form not found""
)
"),"0")</f>
        <v>0</v>
      </c>
      <c r="BA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 *
        (IMPORTRANGE(""https://docs.google.com/spreadsheets/d/161aHT6vVT3SLneTKD19N5qVWtnj_jIT8CSsOmUVKmaA/edi"&amp;"t?gid=1761053510"",
          ""Haris_Form responses 1!$AQ:$AQ"")=4)
      ),
      1
    ),
    ""0""
  ),
  ""Form not found""
)
"),"Form not found")</f>
        <v>Form not found</v>
      </c>
      <c r="BB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 *
        (IMPORTRANGE(""https://docs.google.com/spreadsheets/d/161aHT6vVT3SLneTKD19N5qVWtnj_jIT8CSsOmUVKmaA/edi"&amp;"t?gid=1761053510"",
          ""Haris_Form responses 1!$AQ:$AQ"")=5)
      ),
      1
    ),
    ""0""
  ),
  ""Form not found""
)
"),"Form not found")</f>
        <v>Form not found</v>
      </c>
      <c r="BC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 *
        (IMPORTRANGE(""https://docs.google.com/spreadsheets/d/161aHT6vVT3SLneTKD19N5qVWtnj_jIT8CSsOmUVKmaA/edi"&amp;"t?gid=1761053510"",
          ""Haris_Form responses 1!$AQ:$AQ"")=6)
      ),
      1
    ),
    ""0""
  ),
  ""Form not found""
)
"),"Form not found")</f>
        <v>Form not found</v>
      </c>
      <c r="BD6" s="293"/>
    </row>
    <row r="7">
      <c r="A7" s="283" t="str">
        <f>IFERROR(__xludf.DUMMYFUNCTION("VLOOKUP($B7,IMPORTRANGE(""https://docs.google.com/spreadsheets/d/1VNXDITjs75AcgdBSW27oL1VZH31udDprJSsBcE5xlp4/edit?gid=1551188038#gid=1551188038"", ""Sheet9!$B:$E""),2,false)"),"Lahore")</f>
        <v>Lahore</v>
      </c>
      <c r="B7" s="283" t="s">
        <v>4505</v>
      </c>
      <c r="C7" s="284" t="str">
        <f>IFERROR(__xludf.DUMMYFUNCTION("VLOOKUP(TRIM($B7), IMPORTRANGE(""https://docs.google.com/spreadsheets/d/1aSOrU4PTpuBZqfitKaH1Rfww6-YOiNCKoBpPl8XBHaw/edit?gid=0#gid=0"", ""sheet3!$B:$C""), 2, FALSE)
"),"Jamia Masjid Madina Township Lahore")</f>
        <v>Jamia Masjid Madina Township Lahore</v>
      </c>
      <c r="D7" s="284" t="str">
        <f>IFERROR(__xludf.DUMMYFUNCTION("IFERROR(
  INDEX(
    FILTER(
      IMPORTRANGE(""1aSOrU4PTpuBZqfitKaH1Rfww6-YOiNCKoBpPl8XBHaw/edit?gid=0#gid=0"",""Sheet1!G:G""),
      IMPORTRANGE(""1aSOrU4PTpuBZqfitKaH1Rfww6-YOiNCKoBpPl8XBHaw/edit?gid=0#gid=0"",""Sheet1!C:C"")=$B7
    ),
    1
  ),
  "&amp;"""Not Found""
)"),"Control")</f>
        <v>Control</v>
      </c>
      <c r="E7" s="284" t="str">
        <f>VLOOKUP(B7,'Juma Recording forms'!A:E,5,false)</f>
        <v>Jamia masjid Madina</v>
      </c>
      <c r="F7" s="284" t="str">
        <f>IFERROR(__xludf.DUMMYFUNCTION("IFERROR(
  INDEX(
    FILTER(
      IMPORTRANGE(""1Cxrhp3-_-HS7v9uuqQliiIfrmMP4VaFoDNDWyUFy2J8/edit?gid=0#gid=0"",""Sheet1!Q:Q""),
      IMPORTRANGE(""1Cxrhp3-_-HS7v9uuqQliiIfrmMP4VaFoDNDWyUFy2J8/edit?gid=0#gid=0"",""Sheet1!K:K"")=$B7
    ),
    1
  ),
  "&amp;"""Not Found""
)"),"Maulana Syed iftkhar")</f>
        <v>Maulana Syed iftkhar</v>
      </c>
      <c r="G7" s="292">
        <v>1982.0</v>
      </c>
      <c r="H7" s="284"/>
      <c r="I7" s="285"/>
      <c r="J7" s="286">
        <v>2.0</v>
      </c>
      <c r="K7" s="287" t="str">
        <f>VLOOKUP($B7,'Mosque Locations'!$A:$E,3,FALSE)
</f>
        <v>https://maps.google.com/maps?q=31.4619799%2C74.3099538&amp;z=17&amp;hl=en</v>
      </c>
      <c r="L7" s="286">
        <f>VLOOKUP($B7,'Mosque Locations'!$A:$E,4,FALSE)
</f>
        <v>31.46198</v>
      </c>
      <c r="M7" s="286">
        <f>VLOOKUP($B7,'Mosque Locations'!$A:$E,5,false)</f>
        <v>74.30995</v>
      </c>
      <c r="N7" s="288"/>
      <c r="O7" s="288"/>
      <c r="P7" s="288"/>
      <c r="Q7" s="289" t="str">
        <f>IFERROR(__xludf.DUMMYFUNCTION("IFERROR(
  INDEX(
    FILTER(
      IMPORTRANGE(""1DccNxjBgurEr0ABkI_rBagJT5phB5HaHG5N_mTm_BiA"",""Form Responses 1!T:T""),
      TRIM(IMPORTRANGE(""1DccNxjBgurEr0ABkI_rBagJT5phB5HaHG5N_mTm_BiA"",""Form Responses 1!E:E""))=TRIM($B7)
    ),
    1
  ),
  """&amp;"Not Found""
)
"),"https://drive.google.com/open?id=1N3FML6AKuFiNMOLTCwwsdHmr_-I4CF38")</f>
        <v>https://drive.google.com/open?id=1N3FML6AKuFiNMOLTCwwsdHmr_-I4CF38</v>
      </c>
      <c r="R7" s="289" t="str">
        <f>IFERROR(__xludf.DUMMYFUNCTION("IFERROR(
  INDEX(
    FILTER(
      IMPORTRANGE(""1DccNxjBgurEr0ABkI_rBagJT5phB5HaHG5N_mTm_BiA"",""Form Responses 1!S:S""),
      TRIM(IMPORTRANGE(""1DccNxjBgurEr0ABkI_rBagJT5phB5HaHG5N_mTm_BiA"",""Form Responses 1!E:E""))=TRIM($B7)
    ),
    1
  ),
  """&amp;"Not Found""
)
"),"https://drive.google.com/open?id=1cgfqUDFBKjMELy30jAEWBRGL1I8aaUiQ")</f>
        <v>https://drive.google.com/open?id=1cgfqUDFBKjMELy30jAEWBRGL1I8aaUiQ</v>
      </c>
      <c r="S7" s="285"/>
      <c r="T7" s="290" t="str">
        <f>VLOOKUP($B7,'Master Tracker'!$D:$E,2,false)</f>
        <v>https://drive.google.com/open?id=1R39GHkipONP0TJ15WsxscBRWTl5vchoO</v>
      </c>
      <c r="U7" s="291" t="str">
        <f>VLOOKUP($B7,'Master Tracker'!$D:$T,4,FALSE)
</f>
        <v>https://drive.google.com/file/d/1QGBivu8hqfeJU9bpIjockJkIwES9QHWJ/view?usp=drive_link</v>
      </c>
      <c r="V7" s="284" t="str">
        <f>VLOOKUP($B7,'Master Tracker'!$D:$T,5,false)</f>
        <v>Not Found</v>
      </c>
      <c r="W7" s="292" t="str">
        <f>VLOOKUP($B7,'Master Tracker'!$D:$T,7,false)</f>
        <v>Not Found</v>
      </c>
      <c r="X7" s="290" t="str">
        <f>VLOOKUP($B7,'Master Tracker'!$D:$T,8,false)</f>
        <v>https://drive.google.com/open?id=1Ty3sHgkycx2xu8aL6BHuhUMOcnV5DUpR</v>
      </c>
      <c r="Y7" s="291" t="str">
        <f>VLOOKUP($B7,'Master Tracker'!$D:$T,10,false)</f>
        <v>https://drive.google.com/file/d/12kauSy_tAhsdVObkZFh6a94WFPV_4jDo/view?usp=drive_link</v>
      </c>
      <c r="Z7" s="284" t="str">
        <f>VLOOKUP($B7,'Master Tracker'!$D:$T,11,false)</f>
        <v>Not Found</v>
      </c>
      <c r="AA7" s="292" t="str">
        <f>VLOOKUP($B7,'Master Tracker'!$D:$T,13,false)</f>
        <v>Not Found</v>
      </c>
      <c r="AB7" s="284" t="str">
        <f>VLOOKUP($B7,'Master Tracker'!$D:$T,14,false)</f>
        <v>Not Found</v>
      </c>
      <c r="AC7" s="292" t="str">
        <f>VLOOKUP($B7,'Master Tracker'!$D:$T,16,false)</f>
        <v>Not Found</v>
      </c>
      <c r="AD7" s="292" t="str">
        <f>VLOOKUP($B7,'Master Tracker'!$D:$T,17,false)</f>
        <v>Not Found</v>
      </c>
      <c r="AE7" s="292" t="str">
        <f>VLOOKUP($B7,'Master Tracker'!$D:$V,19,false)</f>
        <v>Not Found</v>
      </c>
      <c r="AF7" s="292">
        <f>IFERROR(__xludf.DUMMYFUNCTION("IFERROR(
  INDEX(
    FILTER(
      'Juma Recording forms'!$G:$G,
      TRIM('Juma Recording forms'!$F:$F) = TRIM($B7),
      'Juma Recording forms'!$AA:$AA = 1
    ),
    1
  ),
  ""Not Found""
)"),300.0)</f>
        <v>300</v>
      </c>
      <c r="AG7" s="292" t="str">
        <f>IFERROR(__xludf.DUMMYFUNCTION("IFERROR(
  INDEX(
    FILTER(
      'Juma Recording forms'!$G:$G,
      TRIM('Juma Recording forms'!$F:$F) = TRIM($B7),
      'Juma Recording forms'!$AA:$AA = 2
    ),
    1
  ),
  ""Not Found""
)"),"Not Found")</f>
        <v>Not Found</v>
      </c>
      <c r="AH7" s="292">
        <f>IFERROR(__xludf.DUMMYFUNCTION("IFERROR(
  INDEX(
    FILTER(
      'Juma Recording forms'!$G:$G,
      TRIM('Juma Recording forms'!$F:$F) = TRIM($B7),
      'Juma Recording forms'!$AA:$AA = 3
    ),
    1
  ),
  ""Not Found""
)"),320.0)</f>
        <v>320</v>
      </c>
      <c r="AI7" s="292" t="str">
        <f>IFERROR(__xludf.DUMMYFUNCTION("IFERROR(
  INDEX(
    FILTER(
      'Juma Recording forms'!$G:$G,
      TRIM('Juma Recording forms'!$F:$F) = TRIM($B7),
      'Juma Recording forms'!$AA:$AA = 4
    ),
    1
  ),
  ""Not Found""
)"),"Not Found")</f>
        <v>Not Found</v>
      </c>
      <c r="AJ7" s="292" t="str">
        <f>IFERROR(__xludf.DUMMYFUNCTION("IFERROR(
  INDEX(
    FILTER(
      'Juma Recording forms'!$G:$G,
      TRIM('Juma Recording forms'!$F:$F) = TRIM($B7),
      'Juma Recording forms'!$AA:$AA = 5
    ),
    1
  ),
  ""Not Found""
)"),"Not Found")</f>
        <v>Not Found</v>
      </c>
      <c r="AK7" s="284"/>
      <c r="AL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 *
        (IMPORTRANGE(""https://docs.google.com/spreadsheets/d/161aHT6vVT3SLneTKD19N5qVWtnj_jIT8CSsOmUVKmaA/edi"&amp;"t?gid=1761053510"",
          ""Haris_Form responses 1!$AQ:$AQ"")=1)
      ),
      1
    ),
    ""0""
  ),
  ""Form not found""
)
"),"0")</f>
        <v>0</v>
      </c>
      <c r="AM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 *
        (IMPORTRANGE(""https://docs.google.com/spreadsheets/d/161aHT6vVT3SLneTKD19N5qVWtnj_jIT8CSsOmUVKmaA/edi"&amp;"t?gid=1761053510"",
          ""Haris_Form responses 1!$AQ:$AQ"")=2)
      ),
      1
    ),
    ""0""
  ),
  ""Form not found""
)
"),"Form not found")</f>
        <v>Form not found</v>
      </c>
      <c r="AN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 *
        (IMPORTRANGE(""https://docs.google.com/spreadsheets/d/161aHT6vVT3SLneTKD19N5qVWtnj_jIT8CSsOmUVKmaA/edi"&amp;"t?gid=1761053510"",
          ""Haris_Form responses 1!$AQ:$AQ"")=3)
      ),
      1
    ),
    ""0""
  ),
  ""Form not found""
)
"),"0")</f>
        <v>0</v>
      </c>
      <c r="AO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 *
        (IMPORTRANGE(""https://docs.google.com/spreadsheets/d/161aHT6vVT3SLneTKD19N5qVWtnj_jIT8CSsOmUVKmaA/edi"&amp;"t?gid=1761053510"",
          ""Haris_Form responses 1!$AQ:$AQ"")=4)
      ),
      1
    ),
    ""0""
  ),
  ""Form not found""
)
"),"Form not found")</f>
        <v>Form not found</v>
      </c>
      <c r="AP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 *
        (IMPORTRANGE(""https://docs.google.com/spreadsheets/d/161aHT6vVT3SLneTKD19N5qVWtnj_jIT8CSsOmUVKmaA/edi"&amp;"t?gid=1761053510"",
          ""Haris_Form responses 1!$AQ:$AQ"")=5)
      ),
      1
    ),
    ""0""
  ),
  ""Form not found""
)
"),"Form not found")</f>
        <v>Form not found</v>
      </c>
      <c r="AQ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 *
        (IMPORTRANGE(""https://docs.google.com/spreadsheets/d/161aHT6vVT3SLneTKD19N5qVWtnj_jIT8CSsOmUVKmaA/edi"&amp;"t?gid=1761053510"",
          ""Haris_Form responses 1!$AQ:$AQ"")=6)
      ),
      1
    ),
    ""0""
  ),
  ""Form not found""
)
"),"Form not found")</f>
        <v>Form not found</v>
      </c>
      <c r="AR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 *
        (IMPORTRANGE(""https://docs.google.com/spreadsheets/d/161aHT6vVT3SLneTKD19N5qVWtnj_jIT8CSsOmUVKmaA/edi"&amp;"t?gid=1761053510"",
          ""Haris_Form responses 1!$AQ:$AQ"")=1)
      ),
      1
    ),
    ""0""
  ),
  ""Form not found""
)
"),"0")</f>
        <v>0</v>
      </c>
      <c r="AS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 *
        (IMPORTRANGE(""https://docs.google.com/spreadsheets/d/161aHT6vVT3SLneTKD19N5qVWtnj_jIT8CSsOmUVKmaA/edi"&amp;"t?gid=1761053510"",
          ""Haris_Form responses 1!$AQ:$AQ"")=2)
      ),
      1
    ),
    ""0""
  ),
  ""Form not found""
)
"),"Form not found")</f>
        <v>Form not found</v>
      </c>
      <c r="AT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 *
        (IMPORTRANGE(""https://docs.google.com/spreadsheets/d/161aHT6vVT3SLneTKD19N5qVWtnj_jIT8CSsOmUVKmaA/edi"&amp;"t?gid=1761053510"",
          ""Haris_Form responses 1!$AQ:$AQ"")=3)
      ),
      1
    ),
    ""0""
  ),
  ""Form not found""
)
"),"0")</f>
        <v>0</v>
      </c>
      <c r="AU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 *
        (IMPORTRANGE(""https://docs.google.com/spreadsheets/d/161aHT6vVT3SLneTKD19N5qVWtnj_jIT8CSsOmUVKmaA/edi"&amp;"t?gid=1761053510"",
          ""Haris_Form responses 1!$AQ:$AQ"")=4)
      ),
      1
    ),
    ""0""
  ),
  ""Form not found""
)
"),"Form not found")</f>
        <v>Form not found</v>
      </c>
      <c r="AV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 *
        (IMPORTRANGE(""https://docs.google.com/spreadsheets/d/161aHT6vVT3SLneTKD19N5qVWtnj_jIT8CSsOmUVKmaA/edi"&amp;"t?gid=1761053510"",
          ""Haris_Form responses 1!$AQ:$AQ"")=5)
      ),
      1
    ),
    ""0""
  ),
  ""Form not found""
)
"),"Form not found")</f>
        <v>Form not found</v>
      </c>
      <c r="AW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 *
        (IMPORTRANGE(""https://docs.google.com/spreadsheets/d/161aHT6vVT3SLneTKD19N5qVWtnj_jIT8CSsOmUVKmaA/edi"&amp;"t?gid=1761053510"",
          ""Haris_Form responses 1!$AQ:$AQ"")=6)
      ),
      1
    ),
    ""0""
  ),
  ""Form not found""
)
"),"Form not found")</f>
        <v>Form not found</v>
      </c>
      <c r="AX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 *
        (IMPORTRANGE(""https://docs.google.com/spreadsheets/d/161aHT6vVT3SLneTKD19N5qVWtnj_jIT8CSsOmUVKmaA/edi"&amp;"t?gid=1761053510"",
          ""Haris_Form responses 1!$AQ:$AQ"")=1)
      ),
      1
    ),
    ""0""
  ),
  ""Form not found""
)
"),"0")</f>
        <v>0</v>
      </c>
      <c r="AY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 *
        (IMPORTRANGE(""https://docs.google.com/spreadsheets/d/161aHT6vVT3SLneTKD19N5qVWtnj_jIT8CSsOmUVKmaA/edi"&amp;"t?gid=1761053510"",
          ""Haris_Form responses 1!$AQ:$AQ"")=2)
      ),
      1
    ),
    ""0""
  ),
  ""Form not found""
)
"),"Form not found")</f>
        <v>Form not found</v>
      </c>
      <c r="AZ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 *
        (IMPORTRANGE(""https://docs.google.com/spreadsheets/d/161aHT6vVT3SLneTKD19N5qVWtnj_jIT8CSsOmUVKmaA/edi"&amp;"t?gid=1761053510"",
          ""Haris_Form responses 1!$AQ:$AQ"")=3)
      ),
      1
    ),
    ""0""
  ),
  ""Form not found""
)
"),"0")</f>
        <v>0</v>
      </c>
      <c r="BA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 *
        (IMPORTRANGE(""https://docs.google.com/spreadsheets/d/161aHT6vVT3SLneTKD19N5qVWtnj_jIT8CSsOmUVKmaA/edi"&amp;"t?gid=1761053510"",
          ""Haris_Form responses 1!$AQ:$AQ"")=4)
      ),
      1
    ),
    ""0""
  ),
  ""Form not found""
)
"),"Form not found")</f>
        <v>Form not found</v>
      </c>
      <c r="BB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 *
        (IMPORTRANGE(""https://docs.google.com/spreadsheets/d/161aHT6vVT3SLneTKD19N5qVWtnj_jIT8CSsOmUVKmaA/edi"&amp;"t?gid=1761053510"",
          ""Haris_Form responses 1!$AQ:$AQ"")=5)
      ),
      1
    ),
    ""0""
  ),
  ""Form not found""
)
"),"Form not found")</f>
        <v>Form not found</v>
      </c>
      <c r="BC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 *
        (IMPORTRANGE(""https://docs.google.com/spreadsheets/d/161aHT6vVT3SLneTKD19N5qVWtnj_jIT8CSsOmUVKmaA/edi"&amp;"t?gid=1761053510"",
          ""Haris_Form responses 1!$AQ:$AQ"")=6)
      ),
      1
    ),
    ""0""
  ),
  ""Form not found""
)
"),"Form not found")</f>
        <v>Form not found</v>
      </c>
      <c r="BD7" s="293"/>
    </row>
    <row r="8">
      <c r="A8" s="283" t="str">
        <f>IFERROR(__xludf.DUMMYFUNCTION("VLOOKUP($B8,IMPORTRANGE(""https://docs.google.com/spreadsheets/d/1VNXDITjs75AcgdBSW27oL1VZH31udDprJSsBcE5xlp4/edit?gid=1551188038#gid=1551188038"", ""Sheet9!$B:$E""),2,false)"),"Lahore")</f>
        <v>Lahore</v>
      </c>
      <c r="B8" s="283" t="s">
        <v>1368</v>
      </c>
      <c r="C8" s="284" t="str">
        <f>IFERROR(__xludf.DUMMYFUNCTION("VLOOKUP(TRIM($B8), IMPORTRANGE(""https://docs.google.com/spreadsheets/d/1aSOrU4PTpuBZqfitKaH1Rfww6-YOiNCKoBpPl8XBHaw/edit?gid=0#gid=0"", ""sheet3!$B:$C""), 2, FALSE)
"),"Jamia Masjid Molve Taaaj Deen Lahore")</f>
        <v>Jamia Masjid Molve Taaaj Deen Lahore</v>
      </c>
      <c r="D8" s="284" t="str">
        <f>IFERROR(__xludf.DUMMYFUNCTION("IFERROR(
  INDEX(
    FILTER(
      IMPORTRANGE(""1aSOrU4PTpuBZqfitKaH1Rfww6-YOiNCKoBpPl8XBHaw/edit?gid=0#gid=0"",""Sheet1!G:G""),
      IMPORTRANGE(""1aSOrU4PTpuBZqfitKaH1Rfww6-YOiNCKoBpPl8XBHaw/edit?gid=0#gid=0"",""Sheet1!C:C"")=$B8
    ),
    1
  ),
  "&amp;"""Not Found""
)"),"Control")</f>
        <v>Control</v>
      </c>
      <c r="E8" s="284" t="str">
        <f>VLOOKUP(B8,'Juma Recording forms'!A:E,5,false)</f>
        <v>Jamia Masjid Molve taaj Deen Lahore </v>
      </c>
      <c r="F8" s="284" t="str">
        <f>IFERROR(__xludf.DUMMYFUNCTION("IFERROR(
  INDEX(
    FILTER(
      IMPORTRANGE(""1Cxrhp3-_-HS7v9uuqQliiIfrmMP4VaFoDNDWyUFy2J8/edit?gid=0#gid=0"",""Sheet1!Q:Q""),
      IMPORTRANGE(""1Cxrhp3-_-HS7v9uuqQliiIfrmMP4VaFoDNDWyUFy2J8/edit?gid=0#gid=0"",""Sheet1!K:K"")=$B8
    ),
    1
  ),
  "&amp;"""Not Found""
)"),"Qari Ziaullah")</f>
        <v>Qari Ziaullah</v>
      </c>
      <c r="G8" s="284">
        <v>1945.0</v>
      </c>
      <c r="H8" s="284"/>
      <c r="I8" s="285"/>
      <c r="J8" s="286">
        <v>2.0</v>
      </c>
      <c r="K8" s="287" t="str">
        <f>VLOOKUP($B8,'Mosque Locations'!$A:$E,3,FALSE)
</f>
        <v>https://maps.google.com/maps?q=31.5607%2C74.3604519&amp;z=17&amp;hl=en</v>
      </c>
      <c r="L8" s="286">
        <f>VLOOKUP($B8,'Mosque Locations'!$A:$E,4,FALSE)
</f>
        <v>31.5607</v>
      </c>
      <c r="M8" s="286">
        <f>VLOOKUP($B8,'Mosque Locations'!$A:$E,5,false)</f>
        <v>74.36045</v>
      </c>
      <c r="N8" s="288"/>
      <c r="O8" s="288"/>
      <c r="P8" s="288"/>
      <c r="Q8" s="289" t="str">
        <f>IFERROR(__xludf.DUMMYFUNCTION("IFERROR(
  INDEX(
    FILTER(
      IMPORTRANGE(""1DccNxjBgurEr0ABkI_rBagJT5phB5HaHG5N_mTm_BiA"",""Form Responses 1!T:T""),
      TRIM(IMPORTRANGE(""1DccNxjBgurEr0ABkI_rBagJT5phB5HaHG5N_mTm_BiA"",""Form Responses 1!E:E""))=TRIM($B8)
    ),
    1
  ),
  """&amp;"Not Found""
)
"),"https://drive.google.com/open?id=1IF0hpL4hE4msbeUIC9CzXRpNZYKuFZov")</f>
        <v>https://drive.google.com/open?id=1IF0hpL4hE4msbeUIC9CzXRpNZYKuFZov</v>
      </c>
      <c r="R8" s="289" t="str">
        <f>IFERROR(__xludf.DUMMYFUNCTION("IFERROR(
  INDEX(
    FILTER(
      IMPORTRANGE(""1DccNxjBgurEr0ABkI_rBagJT5phB5HaHG5N_mTm_BiA"",""Form Responses 1!S:S""),
      TRIM(IMPORTRANGE(""1DccNxjBgurEr0ABkI_rBagJT5phB5HaHG5N_mTm_BiA"",""Form Responses 1!E:E""))=TRIM($B8)
    ),
    1
  ),
  """&amp;"Not Found""
)
"),"https://drive.google.com/open?id=176HZkSVZyrk50mDt5YIhUpqhJ7iJD1ch")</f>
        <v>https://drive.google.com/open?id=176HZkSVZyrk50mDt5YIhUpqhJ7iJD1ch</v>
      </c>
      <c r="S8" s="285"/>
      <c r="T8" s="290" t="str">
        <f>VLOOKUP($B8,'Master Tracker'!$D:$E,2,false)</f>
        <v>https://drive.google.com/open?id=1AnkmZeeNFxYh3KJ-iXmc-TeysuTSS74y</v>
      </c>
      <c r="U8" s="291" t="str">
        <f>VLOOKUP($B8,'Master Tracker'!$D:$T,4,FALSE)
</f>
        <v>https://drive.google.com/open?id=1WDmH039tU-WuEwPwuYNPzHXIoCmuFdJc</v>
      </c>
      <c r="V8" s="284" t="str">
        <f>VLOOKUP($B8,'Master Tracker'!$D:$T,5,false)</f>
        <v>Not Found</v>
      </c>
      <c r="W8" s="292" t="str">
        <f>VLOOKUP($B8,'Master Tracker'!$D:$T,7,false)</f>
        <v>Not Found</v>
      </c>
      <c r="X8" s="290" t="str">
        <f>VLOOKUP($B8,'Master Tracker'!$D:$T,8,false)</f>
        <v>https://drive.google.com/open?id=1NLdjUUqbODtbnYvK7WLMWw5z9l1WKbzp</v>
      </c>
      <c r="Y8" s="291" t="str">
        <f>VLOOKUP($B8,'Master Tracker'!$D:$T,10,false)</f>
        <v>https://drive.google.com/open?id=1yCdiwV_r_j-D0yUQd7m2jDu5njl5ZyP9</v>
      </c>
      <c r="Z8" s="284" t="str">
        <f>VLOOKUP($B8,'Master Tracker'!$D:$T,11,false)</f>
        <v>Not Found</v>
      </c>
      <c r="AA8" s="292" t="str">
        <f>VLOOKUP($B8,'Master Tracker'!$D:$T,13,false)</f>
        <v>Not Found</v>
      </c>
      <c r="AB8" s="284" t="str">
        <f>VLOOKUP($B8,'Master Tracker'!$D:$T,14,false)</f>
        <v>Not Found</v>
      </c>
      <c r="AC8" s="292" t="str">
        <f>VLOOKUP($B8,'Master Tracker'!$D:$T,16,false)</f>
        <v>Not Found</v>
      </c>
      <c r="AD8" s="292" t="str">
        <f>VLOOKUP($B8,'Master Tracker'!$D:$T,17,false)</f>
        <v>Not Found</v>
      </c>
      <c r="AE8" s="292" t="str">
        <f>VLOOKUP($B8,'Master Tracker'!$D:$V,19,false)</f>
        <v>Not Found</v>
      </c>
      <c r="AF8" s="292">
        <f>IFERROR(__xludf.DUMMYFUNCTION("IFERROR(
  INDEX(
    FILTER(
      'Juma Recording forms'!$G:$G,
      TRIM('Juma Recording forms'!$F:$F) = TRIM($B8),
      'Juma Recording forms'!$AA:$AA = 1
    ),
    1
  ),
  ""Not Found""
)"),205.0)</f>
        <v>205</v>
      </c>
      <c r="AG8" s="292" t="str">
        <f>IFERROR(__xludf.DUMMYFUNCTION("IFERROR(
  INDEX(
    FILTER(
      'Juma Recording forms'!$G:$G,
      TRIM('Juma Recording forms'!$F:$F) = TRIM($B8),
      'Juma Recording forms'!$AA:$AA = 2
    ),
    1
  ),
  ""Not Found""
)"),"Not Found")</f>
        <v>Not Found</v>
      </c>
      <c r="AH8" s="292">
        <f>IFERROR(__xludf.DUMMYFUNCTION("IFERROR(
  INDEX(
    FILTER(
      'Juma Recording forms'!$G:$G,
      TRIM('Juma Recording forms'!$F:$F) = TRIM($B8),
      'Juma Recording forms'!$AA:$AA = 3
    ),
    1
  ),
  ""Not Found""
)"),215.0)</f>
        <v>215</v>
      </c>
      <c r="AI8" s="292" t="str">
        <f>IFERROR(__xludf.DUMMYFUNCTION("IFERROR(
  INDEX(
    FILTER(
      'Juma Recording forms'!$G:$G,
      TRIM('Juma Recording forms'!$F:$F) = TRIM($B8),
      'Juma Recording forms'!$AA:$AA = 4
    ),
    1
  ),
  ""Not Found""
)"),"Not Found")</f>
        <v>Not Found</v>
      </c>
      <c r="AJ8" s="292" t="str">
        <f>IFERROR(__xludf.DUMMYFUNCTION("IFERROR(
  INDEX(
    FILTER(
      'Juma Recording forms'!$G:$G,
      TRIM('Juma Recording forms'!$F:$F) = TRIM($B8),
      'Juma Recording forms'!$AA:$AA = 5
    ),
    1
  ),
  ""Not Found""
)"),"Not Found")</f>
        <v>Not Found</v>
      </c>
      <c r="AK8" s="292"/>
      <c r="AL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 *
        (IMPORTRANGE(""https://docs.google.com/spreadsheets/d/161aHT6vVT3SLneTKD19N5qVWtnj_jIT8CSsOmUVKmaA/edi"&amp;"t?gid=1761053510"",
          ""Haris_Form responses 1!$AQ:$AQ"")=1)
      ),
      1
    ),
    ""0""
  ),
  ""Form not found""
)
"),"0")</f>
        <v>0</v>
      </c>
      <c r="AM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 *
        (IMPORTRANGE(""https://docs.google.com/spreadsheets/d/161aHT6vVT3SLneTKD19N5qVWtnj_jIT8CSsOmUVKmaA/edi"&amp;"t?gid=1761053510"",
          ""Haris_Form responses 1!$AQ:$AQ"")=2)
      ),
      1
    ),
    ""0""
  ),
  ""Form not found""
)
"),"Form not found")</f>
        <v>Form not found</v>
      </c>
      <c r="AN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 *
        (IMPORTRANGE(""https://docs.google.com/spreadsheets/d/161aHT6vVT3SLneTKD19N5qVWtnj_jIT8CSsOmUVKmaA/edi"&amp;"t?gid=1761053510"",
          ""Haris_Form responses 1!$AQ:$AQ"")=3)
      ),
      1
    ),
    ""0""
  ),
  ""Form not found""
)
"),"0")</f>
        <v>0</v>
      </c>
      <c r="AO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 *
        (IMPORTRANGE(""https://docs.google.com/spreadsheets/d/161aHT6vVT3SLneTKD19N5qVWtnj_jIT8CSsOmUVKmaA/edi"&amp;"t?gid=1761053510"",
          ""Haris_Form responses 1!$AQ:$AQ"")=4)
      ),
      1
    ),
    ""0""
  ),
  ""Form not found""
)
"),"Form not found")</f>
        <v>Form not found</v>
      </c>
      <c r="AP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 *
        (IMPORTRANGE(""https://docs.google.com/spreadsheets/d/161aHT6vVT3SLneTKD19N5qVWtnj_jIT8CSsOmUVKmaA/edi"&amp;"t?gid=1761053510"",
          ""Haris_Form responses 1!$AQ:$AQ"")=5)
      ),
      1
    ),
    ""0""
  ),
  ""Form not found""
)
"),"Form not found")</f>
        <v>Form not found</v>
      </c>
      <c r="AQ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 *
        (IMPORTRANGE(""https://docs.google.com/spreadsheets/d/161aHT6vVT3SLneTKD19N5qVWtnj_jIT8CSsOmUVKmaA/edi"&amp;"t?gid=1761053510"",
          ""Haris_Form responses 1!$AQ:$AQ"")=6)
      ),
      1
    ),
    ""0""
  ),
  ""Form not found""
)
"),"Form not found")</f>
        <v>Form not found</v>
      </c>
      <c r="AR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 *
        (IMPORTRANGE(""https://docs.google.com/spreadsheets/d/161aHT6vVT3SLneTKD19N5qVWtnj_jIT8CSsOmUVKmaA/edi"&amp;"t?gid=1761053510"",
          ""Haris_Form responses 1!$AQ:$AQ"")=1)
      ),
      1
    ),
    ""0""
  ),
  ""Form not found""
)
"),"0")</f>
        <v>0</v>
      </c>
      <c r="AS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 *
        (IMPORTRANGE(""https://docs.google.com/spreadsheets/d/161aHT6vVT3SLneTKD19N5qVWtnj_jIT8CSsOmUVKmaA/edi"&amp;"t?gid=1761053510"",
          ""Haris_Form responses 1!$AQ:$AQ"")=2)
      ),
      1
    ),
    ""0""
  ),
  ""Form not found""
)
"),"Form not found")</f>
        <v>Form not found</v>
      </c>
      <c r="AT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 *
        (IMPORTRANGE(""https://docs.google.com/spreadsheets/d/161aHT6vVT3SLneTKD19N5qVWtnj_jIT8CSsOmUVKmaA/edi"&amp;"t?gid=1761053510"",
          ""Haris_Form responses 1!$AQ:$AQ"")=3)
      ),
      1
    ),
    ""0""
  ),
  ""Form not found""
)
"),"0")</f>
        <v>0</v>
      </c>
      <c r="AU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 *
        (IMPORTRANGE(""https://docs.google.com/spreadsheets/d/161aHT6vVT3SLneTKD19N5qVWtnj_jIT8CSsOmUVKmaA/edi"&amp;"t?gid=1761053510"",
          ""Haris_Form responses 1!$AQ:$AQ"")=4)
      ),
      1
    ),
    ""0""
  ),
  ""Form not found""
)
"),"Form not found")</f>
        <v>Form not found</v>
      </c>
      <c r="AV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 *
        (IMPORTRANGE(""https://docs.google.com/spreadsheets/d/161aHT6vVT3SLneTKD19N5qVWtnj_jIT8CSsOmUVKmaA/edi"&amp;"t?gid=1761053510"",
          ""Haris_Form responses 1!$AQ:$AQ"")=5)
      ),
      1
    ),
    ""0""
  ),
  ""Form not found""
)
"),"Form not found")</f>
        <v>Form not found</v>
      </c>
      <c r="AW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 *
        (IMPORTRANGE(""https://docs.google.com/spreadsheets/d/161aHT6vVT3SLneTKD19N5qVWtnj_jIT8CSsOmUVKmaA/edi"&amp;"t?gid=1761053510"",
          ""Haris_Form responses 1!$AQ:$AQ"")=6)
      ),
      1
    ),
    ""0""
  ),
  ""Form not found""
)
"),"Form not found")</f>
        <v>Form not found</v>
      </c>
      <c r="AX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 *
        (IMPORTRANGE(""https://docs.google.com/spreadsheets/d/161aHT6vVT3SLneTKD19N5qVWtnj_jIT8CSsOmUVKmaA/edi"&amp;"t?gid=1761053510"",
          ""Haris_Form responses 1!$AQ:$AQ"")=1)
      ),
      1
    ),
    ""0""
  ),
  ""Form not found""
)
"),"0")</f>
        <v>0</v>
      </c>
      <c r="AY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 *
        (IMPORTRANGE(""https://docs.google.com/spreadsheets/d/161aHT6vVT3SLneTKD19N5qVWtnj_jIT8CSsOmUVKmaA/edi"&amp;"t?gid=1761053510"",
          ""Haris_Form responses 1!$AQ:$AQ"")=2)
      ),
      1
    ),
    ""0""
  ),
  ""Form not found""
)
"),"Form not found")</f>
        <v>Form not found</v>
      </c>
      <c r="AZ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 *
        (IMPORTRANGE(""https://docs.google.com/spreadsheets/d/161aHT6vVT3SLneTKD19N5qVWtnj_jIT8CSsOmUVKmaA/edi"&amp;"t?gid=1761053510"",
          ""Haris_Form responses 1!$AQ:$AQ"")=3)
      ),
      1
    ),
    ""0""
  ),
  ""Form not found""
)
"),"0")</f>
        <v>0</v>
      </c>
      <c r="BA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 *
        (IMPORTRANGE(""https://docs.google.com/spreadsheets/d/161aHT6vVT3SLneTKD19N5qVWtnj_jIT8CSsOmUVKmaA/edi"&amp;"t?gid=1761053510"",
          ""Haris_Form responses 1!$AQ:$AQ"")=4)
      ),
      1
    ),
    ""0""
  ),
  ""Form not found""
)
"),"Form not found")</f>
        <v>Form not found</v>
      </c>
      <c r="BB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 *
        (IMPORTRANGE(""https://docs.google.com/spreadsheets/d/161aHT6vVT3SLneTKD19N5qVWtnj_jIT8CSsOmUVKmaA/edi"&amp;"t?gid=1761053510"",
          ""Haris_Form responses 1!$AQ:$AQ"")=5)
      ),
      1
    ),
    ""0""
  ),
  ""Form not found""
)
"),"Form not found")</f>
        <v>Form not found</v>
      </c>
      <c r="BC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 *
        (IMPORTRANGE(""https://docs.google.com/spreadsheets/d/161aHT6vVT3SLneTKD19N5qVWtnj_jIT8CSsOmUVKmaA/edi"&amp;"t?gid=1761053510"",
          ""Haris_Form responses 1!$AQ:$AQ"")=6)
      ),
      1
    ),
    ""0""
  ),
  ""Form not found""
)
"),"Form not found")</f>
        <v>Form not found</v>
      </c>
      <c r="BD8" s="293"/>
    </row>
    <row r="9">
      <c r="A9" s="283" t="str">
        <f>IFERROR(__xludf.DUMMYFUNCTION("VLOOKUP($B9,IMPORTRANGE(""https://docs.google.com/spreadsheets/d/1VNXDITjs75AcgdBSW27oL1VZH31udDprJSsBcE5xlp4/edit?gid=1551188038#gid=1551188038"", ""Sheet9!$B:$E""),2,false)"),"Lahore")</f>
        <v>Lahore</v>
      </c>
      <c r="B9" s="283" t="s">
        <v>1186</v>
      </c>
      <c r="C9" s="284" t="str">
        <f>IFERROR(__xludf.DUMMYFUNCTION("VLOOKUP(TRIM($B9), IMPORTRANGE(""https://docs.google.com/spreadsheets/d/1aSOrU4PTpuBZqfitKaH1Rfww6-YOiNCKoBpPl8XBHaw/edit?gid=0#gid=0"", ""sheet3!$B:$C""), 2, FALSE)
"),"Jamia Masjid Shiekh Sikandar Lahore")</f>
        <v>Jamia Masjid Shiekh Sikandar Lahore</v>
      </c>
      <c r="D9" s="284" t="str">
        <f>IFERROR(__xludf.DUMMYFUNCTION("IFERROR(
  INDEX(
    FILTER(
      IMPORTRANGE(""1aSOrU4PTpuBZqfitKaH1Rfww6-YOiNCKoBpPl8XBHaw/edit?gid=0#gid=0"",""Sheet1!G:G""),
      IMPORTRANGE(""1aSOrU4PTpuBZqfitKaH1Rfww6-YOiNCKoBpPl8XBHaw/edit?gid=0#gid=0"",""Sheet1!C:C"")=$B9
    ),
    1
  ),
  "&amp;"""Not Found""
)"),"Women Secular Info Share")</f>
        <v>Women Secular Info Share</v>
      </c>
      <c r="E9" s="284" t="str">
        <f>VLOOKUP(B9,'Juma Recording forms'!A:E,5,false)</f>
        <v>Jamiea masjid sheikh sikandar </v>
      </c>
      <c r="F9" s="284" t="str">
        <f>IFERROR(__xludf.DUMMYFUNCTION("IFERROR(
  INDEX(
    FILTER(
      IMPORTRANGE(""1Cxrhp3-_-HS7v9uuqQliiIfrmMP4VaFoDNDWyUFy2J8/edit?gid=0#gid=0"",""Sheet1!Q:Q""),
      IMPORTRANGE(""1Cxrhp3-_-HS7v9uuqQliiIfrmMP4VaFoDNDWyUFy2J8/edit?gid=0#gid=0"",""Sheet1!K:K"")=$B9
    ),
    1
  ),
  "&amp;"""Not Found""
)"),"Qari Muhammad imtiaz")</f>
        <v>Qari Muhammad imtiaz</v>
      </c>
      <c r="G9" s="284">
        <v>1900.0</v>
      </c>
      <c r="H9" s="284"/>
      <c r="I9" s="285"/>
      <c r="J9" s="286">
        <v>2.0</v>
      </c>
      <c r="K9" s="287" t="str">
        <f>VLOOKUP($B9,'Mosque Locations'!$A:$E,3,FALSE)
</f>
        <v>https://maps.google.com/maps?q=31.5478558%2C74.3761134&amp;z=17&amp;hl=en</v>
      </c>
      <c r="L9" s="286">
        <f>VLOOKUP($B9,'Mosque Locations'!$A:$E,4,FALSE)
</f>
        <v>31.54786</v>
      </c>
      <c r="M9" s="286">
        <f>VLOOKUP($B9,'Mosque Locations'!$A:$E,5,false)</f>
        <v>74.37611</v>
      </c>
      <c r="N9" s="288"/>
      <c r="O9" s="288"/>
      <c r="P9" s="288"/>
      <c r="Q9" s="284" t="str">
        <f>IFERROR(__xludf.DUMMYFUNCTION("IFERROR(
  INDEX(
    FILTER(
      IMPORTRANGE(""1DccNxjBgurEr0ABkI_rBagJT5phB5HaHG5N_mTm_BiA"",""Form Responses 1!T:T""),
      TRIM(IMPORTRANGE(""1DccNxjBgurEr0ABkI_rBagJT5phB5HaHG5N_mTm_BiA"",""Form Responses 1!E:E""))=TRIM($B9)
    ),
    1
  ),
  """&amp;"Not Found""
)
"),"https://drive.google.com/open?id=1bIZ7Wvf2OjQ1xNQs-bU6ICb9Koye1dvq, https://drive.google.com/open?id=1FmKaCliLM_pM3-YSeRH1irY7wyZPoYlA, https://drive.google.com/open?id=1pRRSj7aPSuB4g5ZSrMGWD_g9jOxFZLkt, https://drive.google.com/open?id=1mQ7UMVBJFF5-ljX1_"&amp;"okeEfLO3uIbM8tC, https://drive.google.com/open?id=146dyxcBm0zvm3tYqwzSep_q7QemJ9O7C")</f>
        <v>https://drive.google.com/open?id=1bIZ7Wvf2OjQ1xNQs-bU6ICb9Koye1dvq, https://drive.google.com/open?id=1FmKaCliLM_pM3-YSeRH1irY7wyZPoYlA, https://drive.google.com/open?id=1pRRSj7aPSuB4g5ZSrMGWD_g9jOxFZLkt, https://drive.google.com/open?id=1mQ7UMVBJFF5-ljX1_okeEfLO3uIbM8tC, https://drive.google.com/open?id=146dyxcBm0zvm3tYqwzSep_q7QemJ9O7C</v>
      </c>
      <c r="R9" s="284" t="str">
        <f>IFERROR(__xludf.DUMMYFUNCTION("IFERROR(
  INDEX(
    FILTER(
      IMPORTRANGE(""1DccNxjBgurEr0ABkI_rBagJT5phB5HaHG5N_mTm_BiA"",""Form Responses 1!S:S""),
      TRIM(IMPORTRANGE(""1DccNxjBgurEr0ABkI_rBagJT5phB5HaHG5N_mTm_BiA"",""Form Responses 1!E:E""))=TRIM($B9)
    ),
    1
  ),
  """&amp;"Not Found""
)
"),"https://drive.google.com/open?id=1QQAy0rcgQ4qQ0ywXokEUF3p4U0GAsNph, https://drive.google.com/open?id=1XJHt05f4yVoF9eWqnfblFtorMpTgwE6y, https://drive.google.com/open?id=1a_ObuWi7aUpMPVDGRDVeyR47KFffSrqd")</f>
        <v>https://drive.google.com/open?id=1QQAy0rcgQ4qQ0ywXokEUF3p4U0GAsNph, https://drive.google.com/open?id=1XJHt05f4yVoF9eWqnfblFtorMpTgwE6y, https://drive.google.com/open?id=1a_ObuWi7aUpMPVDGRDVeyR47KFffSrqd</v>
      </c>
      <c r="S9" s="285"/>
      <c r="T9" s="284" t="str">
        <f>VLOOKUP($B9,'Master Tracker'!$D:$E,2,false)</f>
        <v>https://drive.google.com/open?id=1yzwYTfRT2T2jBCL1WiElUqqcHeBWfYSb, https://drive.google.com/open?id=11n-V8KrTVvX42kSw9hm_pcbVEMxc7Fu9</v>
      </c>
      <c r="U9" s="291" t="str">
        <f>VLOOKUP($B9,'Master Tracker'!$D:$T,4,FALSE)
</f>
        <v>https://drive.google.com/open?id=1pfGJ-RzkIV8jWpr1910c0v2P0L1c9TVg</v>
      </c>
      <c r="V9" s="290" t="str">
        <f>VLOOKUP($B9,'Master Tracker'!$D:$T,5,false)</f>
        <v>https://drive.google.com/file/d/1OOULq03OADBmQwn7vae42nITrSABHYWA/view?usp=drive_link</v>
      </c>
      <c r="W9" s="291" t="str">
        <f>VLOOKUP($B9,'Master Tracker'!$D:$T,7,false)</f>
        <v>https://docs.google.com/document/d/1PFEKaOjmr2c78NdCk07OX0A8o-EUvUsq/edit?usp=drive_link&amp;ouid=117122465010506134151&amp;rtpof=true&amp;sd=true</v>
      </c>
      <c r="X9" s="284" t="str">
        <f>VLOOKUP($B9,'Master Tracker'!$D:$T,8,false)</f>
        <v>https://drive.google.com/open?id=1HrvzLinb1OnQr2TiUe1XTOXhJNNRP8Sp, https://drive.google.com/open?id=1fyE2sQNR3ttm3WATCfIIQFBClFtZn5v1</v>
      </c>
      <c r="Y9" s="291" t="str">
        <f>VLOOKUP($B9,'Master Tracker'!$D:$T,10,false)</f>
        <v>https://docs.google.com/document/d/1o48mLLrRZX7GAYZji39gCWnhkiVtg2VmIIPaDY5AeWw/edit?tab=t.0</v>
      </c>
      <c r="Z9" s="284" t="str">
        <f>VLOOKUP($B9,'Master Tracker'!$D:$T,11,false)</f>
        <v>Not Found</v>
      </c>
      <c r="AA9" s="292" t="str">
        <f>VLOOKUP($B9,'Master Tracker'!$D:$T,13,false)</f>
        <v>Not Found</v>
      </c>
      <c r="AB9" s="284" t="str">
        <f>VLOOKUP($B9,'Master Tracker'!$D:$T,14,false)</f>
        <v>Not Found</v>
      </c>
      <c r="AC9" s="292" t="str">
        <f>VLOOKUP($B9,'Master Tracker'!$D:$T,16,false)</f>
        <v>Not Found</v>
      </c>
      <c r="AD9" s="292" t="str">
        <f>VLOOKUP($B9,'Master Tracker'!$D:$T,17,false)</f>
        <v>Not Found</v>
      </c>
      <c r="AE9" s="292" t="str">
        <f>VLOOKUP($B9,'Master Tracker'!$D:$V,19,false)</f>
        <v>Not Found</v>
      </c>
      <c r="AF9" s="292">
        <f>IFERROR(__xludf.DUMMYFUNCTION("IFERROR(
  INDEX(
    FILTER(
      'Juma Recording forms'!$G:$G,
      TRIM('Juma Recording forms'!$F:$F) = TRIM($B9),
      'Juma Recording forms'!$AA:$AA = 1
    ),
    1
  ),
  ""Not Found""
)"),190.0)</f>
        <v>190</v>
      </c>
      <c r="AG9" s="292">
        <f>IFERROR(__xludf.DUMMYFUNCTION("IFERROR(
  INDEX(
    FILTER(
      'Juma Recording forms'!$G:$G,
      TRIM('Juma Recording forms'!$F:$F) = TRIM($B9),
      'Juma Recording forms'!$AA:$AA = 2
    ),
    1
  ),
  ""Not Found""
)"),200.0)</f>
        <v>200</v>
      </c>
      <c r="AH9" s="292">
        <f>IFERROR(__xludf.DUMMYFUNCTION("IFERROR(
  INDEX(
    FILTER(
      'Juma Recording forms'!$G:$G,
      TRIM('Juma Recording forms'!$F:$F) = TRIM($B9),
      'Juma Recording forms'!$AA:$AA = 3
    ),
    1
  ),
  ""Not Found""
)"),200.0)</f>
        <v>200</v>
      </c>
      <c r="AI9" s="292" t="str">
        <f>IFERROR(__xludf.DUMMYFUNCTION("IFERROR(
  INDEX(
    FILTER(
      'Juma Recording forms'!$G:$G,
      TRIM('Juma Recording forms'!$F:$F) = TRIM($B9),
      'Juma Recording forms'!$AA:$AA = 4
    ),
    1
  ),
  ""Not Found""
)"),"Not Found")</f>
        <v>Not Found</v>
      </c>
      <c r="AJ9" s="292" t="str">
        <f>IFERROR(__xludf.DUMMYFUNCTION("IFERROR(
  INDEX(
    FILTER(
      'Juma Recording forms'!$G:$G,
      TRIM('Juma Recording forms'!$F:$F) = TRIM($B9),
      'Juma Recording forms'!$AA:$AA = 5
    ),
    1
  ),
  ""Not Found""
)"),"Not Found")</f>
        <v>Not Found</v>
      </c>
      <c r="AK9" s="292" t="str">
        <f>IFERROR(__xludf.DUMMYFUNCTION("IFERROR(
  INDEX(
    FILTER(
      'Juma Recording forms'!$G:$G,
      TRIM('Juma Recording forms'!$F:$F) = TRIM($B9),
      'Juma Recording forms'!$AA:$AA = 6
    ),
    1
  ),
  ""Not Found""
)"),"Not Found")</f>
        <v>Not Found</v>
      </c>
      <c r="AL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 *
        (IMPORTRANGE(""https://docs.google.com/spreadsheets/d/161aHT6vVT3SLneTKD19N5qVWtnj_jIT8CSsOmUVKmaA/edi"&amp;"t?gid=1761053510"",
          ""Haris_Form responses 1!$AQ:$AQ"")=1)
      ),
      1
    ),
    ""0""
  ),
  ""Form not found""
)
"),"0")</f>
        <v>0</v>
      </c>
      <c r="AM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 *
        (IMPORTRANGE(""https://docs.google.com/spreadsheets/d/161aHT6vVT3SLneTKD19N5qVWtnj_jIT8CSsOmUVKmaA/edi"&amp;"t?gid=1761053510"",
          ""Haris_Form responses 1!$AQ:$AQ"")=2)
      ),
      1
    ),
    ""0""
  ),
  ""Form not found""
)
"),"10")</f>
        <v>10</v>
      </c>
      <c r="AN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 *
        (IMPORTRANGE(""https://docs.google.com/spreadsheets/d/161aHT6vVT3SLneTKD19N5qVWtnj_jIT8CSsOmUVKmaA/edi"&amp;"t?gid=1761053510"",
          ""Haris_Form responses 1!$AQ:$AQ"")=3)
      ),
      1
    ),
    ""0""
  ),
  ""Form not found""
)
"),"2")</f>
        <v>2</v>
      </c>
      <c r="AO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 *
        (IMPORTRANGE(""https://docs.google.com/spreadsheets/d/161aHT6vVT3SLneTKD19N5qVWtnj_jIT8CSsOmUVKmaA/edi"&amp;"t?gid=1761053510"",
          ""Haris_Form responses 1!$AQ:$AQ"")=4)
      ),
      1
    ),
    ""0""
  ),
  ""Form not found""
)
"),"Form not found")</f>
        <v>Form not found</v>
      </c>
      <c r="AP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 *
        (IMPORTRANGE(""https://docs.google.com/spreadsheets/d/161aHT6vVT3SLneTKD19N5qVWtnj_jIT8CSsOmUVKmaA/edi"&amp;"t?gid=1761053510"",
          ""Haris_Form responses 1!$AQ:$AQ"")=5)
      ),
      1
    ),
    ""0""
  ),
  ""Form not found""
)
"),"Form not found")</f>
        <v>Form not found</v>
      </c>
      <c r="AQ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 *
        (IMPORTRANGE(""https://docs.google.com/spreadsheets/d/161aHT6vVT3SLneTKD19N5qVWtnj_jIT8CSsOmUVKmaA/edi"&amp;"t?gid=1761053510"",
          ""Haris_Form responses 1!$AQ:$AQ"")=6)
      ),
      1
    ),
    ""0""
  ),
  ""Form not found""
)
"),"Form not found")</f>
        <v>Form not found</v>
      </c>
      <c r="AR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 *
        (IMPORTRANGE(""https://docs.google.com/spreadsheets/d/161aHT6vVT3SLneTKD19N5qVWtnj_jIT8CSsOmUVKmaA/edi"&amp;"t?gid=1761053510"",
          ""Haris_Form responses 1!$AQ:$AQ"")=1)
      ),
      1
    ),
    ""0""
  ),
  ""Form not found""
)
"),"0")</f>
        <v>0</v>
      </c>
      <c r="AS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 *
        (IMPORTRANGE(""https://docs.google.com/spreadsheets/d/161aHT6vVT3SLneTKD19N5qVWtnj_jIT8CSsOmUVKmaA/edi"&amp;"t?gid=1761053510"",
          ""Haris_Form responses 1!$AQ:$AQ"")=2)
      ),
      1
    ),
    ""0""
  ),
  ""Form not found""
)
"),"0")</f>
        <v>0</v>
      </c>
      <c r="AT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 *
        (IMPORTRANGE(""https://docs.google.com/spreadsheets/d/161aHT6vVT3SLneTKD19N5qVWtnj_jIT8CSsOmUVKmaA/edi"&amp;"t?gid=1761053510"",
          ""Haris_Form responses 1!$AQ:$AQ"")=3)
      ),
      1
    ),
    ""0""
  ),
  ""Form not found""
)
"),"0")</f>
        <v>0</v>
      </c>
      <c r="AU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 *
        (IMPORTRANGE(""https://docs.google.com/spreadsheets/d/161aHT6vVT3SLneTKD19N5qVWtnj_jIT8CSsOmUVKmaA/edi"&amp;"t?gid=1761053510"",
          ""Haris_Form responses 1!$AQ:$AQ"")=4)
      ),
      1
    ),
    ""0""
  ),
  ""Form not found""
)
"),"Form not found")</f>
        <v>Form not found</v>
      </c>
      <c r="AV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 *
        (IMPORTRANGE(""https://docs.google.com/spreadsheets/d/161aHT6vVT3SLneTKD19N5qVWtnj_jIT8CSsOmUVKmaA/edi"&amp;"t?gid=1761053510"",
          ""Haris_Form responses 1!$AQ:$AQ"")=5)
      ),
      1
    ),
    ""0""
  ),
  ""Form not found""
)
"),"Form not found")</f>
        <v>Form not found</v>
      </c>
      <c r="AW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 *
        (IMPORTRANGE(""https://docs.google.com/spreadsheets/d/161aHT6vVT3SLneTKD19N5qVWtnj_jIT8CSsOmUVKmaA/edi"&amp;"t?gid=1761053510"",
          ""Haris_Form responses 1!$AQ:$AQ"")=6)
      ),
      1
    ),
    ""0""
  ),
  ""Form not found""
)
"),"Form not found")</f>
        <v>Form not found</v>
      </c>
      <c r="AX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 *
        (IMPORTRANGE(""https://docs.google.com/spreadsheets/d/161aHT6vVT3SLneTKD19N5qVWtnj_jIT8CSsOmUVKmaA/edi"&amp;"t?gid=1761053510"",
          ""Haris_Form responses 1!$AQ:$AQ"")=1)
      ),
      1
    ),
    ""0""
  ),
  ""Form not found""
)
"),"0")</f>
        <v>0</v>
      </c>
      <c r="AY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 *
        (IMPORTRANGE(""https://docs.google.com/spreadsheets/d/161aHT6vVT3SLneTKD19N5qVWtnj_jIT8CSsOmUVKmaA/edi"&amp;"t?gid=1761053510"",
          ""Haris_Form responses 1!$AQ:$AQ"")=2)
      ),
      1
    ),
    ""0""
  ),
  ""Form not found""
)
"),"10")</f>
        <v>10</v>
      </c>
      <c r="AZ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 *
        (IMPORTRANGE(""https://docs.google.com/spreadsheets/d/161aHT6vVT3SLneTKD19N5qVWtnj_jIT8CSsOmUVKmaA/edi"&amp;"t?gid=1761053510"",
          ""Haris_Form responses 1!$AQ:$AQ"")=3)
      ),
      1
    ),
    ""0""
  ),
  ""Form not found""
)
"),"1")</f>
        <v>1</v>
      </c>
      <c r="BA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 *
        (IMPORTRANGE(""https://docs.google.com/spreadsheets/d/161aHT6vVT3SLneTKD19N5qVWtnj_jIT8CSsOmUVKmaA/edi"&amp;"t?gid=1761053510"",
          ""Haris_Form responses 1!$AQ:$AQ"")=4)
      ),
      1
    ),
    ""0""
  ),
  ""Form not found""
)
"),"Form not found")</f>
        <v>Form not found</v>
      </c>
      <c r="BB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 *
        (IMPORTRANGE(""https://docs.google.com/spreadsheets/d/161aHT6vVT3SLneTKD19N5qVWtnj_jIT8CSsOmUVKmaA/edi"&amp;"t?gid=1761053510"",
          ""Haris_Form responses 1!$AQ:$AQ"")=5)
      ),
      1
    ),
    ""0""
  ),
  ""Form not found""
)
"),"Form not found")</f>
        <v>Form not found</v>
      </c>
      <c r="BC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 *
        (IMPORTRANGE(""https://docs.google.com/spreadsheets/d/161aHT6vVT3SLneTKD19N5qVWtnj_jIT8CSsOmUVKmaA/edi"&amp;"t?gid=1761053510"",
          ""Haris_Form responses 1!$AQ:$AQ"")=6)
      ),
      1
    ),
    ""0""
  ),
  ""Form not found""
)
"),"Form not found")</f>
        <v>Form not found</v>
      </c>
      <c r="BD9" s="293"/>
    </row>
    <row r="10">
      <c r="A10" s="283" t="str">
        <f>IFERROR(__xludf.DUMMYFUNCTION("VLOOKUP($B10,IMPORTRANGE(""https://docs.google.com/spreadsheets/d/1VNXDITjs75AcgdBSW27oL1VZH31udDprJSsBcE5xlp4/edit?gid=1551188038#gid=1551188038"", ""Sheet9!$B:$E""),2,false)"),"Lahore")</f>
        <v>Lahore</v>
      </c>
      <c r="B10" s="283" t="s">
        <v>1320</v>
      </c>
      <c r="C10" s="284" t="str">
        <f>IFERROR(__xludf.DUMMYFUNCTION("VLOOKUP(TRIM($B10), IMPORTRANGE(""https://docs.google.com/spreadsheets/d/1aSOrU4PTpuBZqfitKaH1Rfww6-YOiNCKoBpPl8XBHaw/edit?gid=0#gid=0"", ""sheet3!$B:$C""), 2, FALSE)
"),"Jamia Masjid Walton Lahore")</f>
        <v>Jamia Masjid Walton Lahore</v>
      </c>
      <c r="D10" s="284" t="str">
        <f>IFERROR(__xludf.DUMMYFUNCTION("IFERROR(
  INDEX(
    FILTER(
      IMPORTRANGE(""1aSOrU4PTpuBZqfitKaH1Rfww6-YOiNCKoBpPl8XBHaw/edit?gid=0#gid=0"",""Sheet1!G:G""),
      IMPORTRANGE(""1aSOrU4PTpuBZqfitKaH1Rfww6-YOiNCKoBpPl8XBHaw/edit?gid=0#gid=0"",""Sheet1!C:C"")=$B10
    ),
    1
  ),
 "&amp;" ""Not Found""
)"),"Community Secular No Info Share")</f>
        <v>Community Secular No Info Share</v>
      </c>
      <c r="E10" s="284" t="str">
        <f>VLOOKUP(B10,'Juma Recording forms'!A:E,5,false)</f>
        <v>jamia masjid walton road </v>
      </c>
      <c r="F10" s="284" t="str">
        <f>IFERROR(__xludf.DUMMYFUNCTION("IFERROR(
  INDEX(
    FILTER(
      IMPORTRANGE(""1Cxrhp3-_-HS7v9uuqQliiIfrmMP4VaFoDNDWyUFy2J8/edit?gid=0#gid=0"",""Sheet1!Q:Q""),
      IMPORTRANGE(""1Cxrhp3-_-HS7v9uuqQliiIfrmMP4VaFoDNDWyUFy2J8/edit?gid=0#gid=0"",""Sheet1!K:K"")=$B10
    ),
    1
  ),
 "&amp;" ""Not Found""
)"),"Maulana Amjad Ali")</f>
        <v>Maulana Amjad Ali</v>
      </c>
      <c r="G10" s="284"/>
      <c r="H10" s="284"/>
      <c r="I10" s="285"/>
      <c r="J10" s="286">
        <v>2.0</v>
      </c>
      <c r="K10" s="287" t="str">
        <f>VLOOKUP($B10,'Mosque Locations'!$A:$E,3,FALSE)
</f>
        <v>https://maps.google.com/maps?q=31.5709116%2C74.3776771&amp;z=17&amp;hl=en</v>
      </c>
      <c r="L10" s="286">
        <f>VLOOKUP($B10,'Mosque Locations'!$A:$E,4,FALSE)
</f>
        <v>31.57091</v>
      </c>
      <c r="M10" s="286">
        <f>VLOOKUP($B10,'Mosque Locations'!$A:$E,5,false)</f>
        <v>74.37768</v>
      </c>
      <c r="N10" s="288"/>
      <c r="O10" s="288"/>
      <c r="P10" s="288"/>
      <c r="Q10" s="289" t="str">
        <f>IFERROR(__xludf.DUMMYFUNCTION("IFERROR(
  INDEX(
    FILTER(
      IMPORTRANGE(""1DccNxjBgurEr0ABkI_rBagJT5phB5HaHG5N_mTm_BiA"",""Form Responses 1!T:T""),
      TRIM(IMPORTRANGE(""1DccNxjBgurEr0ABkI_rBagJT5phB5HaHG5N_mTm_BiA"",""Form Responses 1!E:E""))=TRIM($B10)
    ),
    1
  ),
  "&amp;"""Not Found""
)
"),"https://drive.google.com/open?id=1F0zwMrcJovTlaBBtXlidGnN5AfZTKwQc")</f>
        <v>https://drive.google.com/open?id=1F0zwMrcJovTlaBBtXlidGnN5AfZTKwQc</v>
      </c>
      <c r="R10" s="290" t="str">
        <f>IFERROR(__xludf.DUMMYFUNCTION("IFERROR(
  INDEX(
    FILTER(
      IMPORTRANGE(""1DccNxjBgurEr0ABkI_rBagJT5phB5HaHG5N_mTm_BiA"",""Form Responses 1!S:S""),
      TRIM(IMPORTRANGE(""1DccNxjBgurEr0ABkI_rBagJT5phB5HaHG5N_mTm_BiA"",""Form Responses 1!E:E""))=TRIM($B10)
    ),
    1
  ),
  "&amp;"""Not Found""
)
"),"https://drive.google.com/file/d/1eaRutIbfjbc5tsIhU6Ciw3K88czzAS5Y/view")</f>
        <v>https://drive.google.com/file/d/1eaRutIbfjbc5tsIhU6Ciw3K88czzAS5Y/view</v>
      </c>
      <c r="S10" s="285"/>
      <c r="T10" s="290" t="str">
        <f>VLOOKUP($B10,'Master Tracker'!$D:$E,2,false)</f>
        <v>https://drive.google.com/open?id=1peG0mo2kdOukoA4FY4kbpIKR51AKGAC7</v>
      </c>
      <c r="U10" s="291" t="str">
        <f>VLOOKUP($B10,'Master Tracker'!$D:$T,4,FALSE)
</f>
        <v>https://drive.google.com/open?id=1vlOcECUuUqwfh9VNUJ9BLBcN6mka85dZ</v>
      </c>
      <c r="V10" s="290" t="str">
        <f>VLOOKUP($B10,'Master Tracker'!$D:$T,5,false)</f>
        <v>https://drive.google.com/open?id=1e6MLpEvXEcYJxDEk0rH59lrv2XuEaP9T</v>
      </c>
      <c r="W10" s="291" t="str">
        <f>VLOOKUP($B10,'Master Tracker'!$D:$T,7,false)</f>
        <v>https://drive.google.com/open?id=1tGITvqp9OU-zcEpWFhZTgGG05IzmPFpi</v>
      </c>
      <c r="X10" s="290" t="str">
        <f>VLOOKUP($B10,'Master Tracker'!$D:$T,8,false)</f>
        <v>https://drive.google.com/open?id=1jPo9Fgose9IPb34EDwrkXK9q8wJkk4UX</v>
      </c>
      <c r="Y10" s="291" t="str">
        <f>VLOOKUP($B10,'Master Tracker'!$D:$T,10,false)</f>
        <v>https://docs.google.com/document/d/1NR2vhN6PwOyAxBTKX-lUyLXEIMUgBXmT/edit?usp=drive_link&amp;ouid=114985145944407922695&amp;rtpof=true&amp;sd=true</v>
      </c>
      <c r="Z10" s="290" t="str">
        <f>VLOOKUP($B10,'Master Tracker'!$D:$T,11,false)</f>
        <v>https://drive.google.com/open?id=1ItZmACpKFuKweVLmqVfnP7k_h0FEw7qR</v>
      </c>
      <c r="AA10" s="291" t="str">
        <f>VLOOKUP($B10,'Master Tracker'!$D:$T,13,false)</f>
        <v>https://drive.google.com/open?id=1wvDsQ5a8ISLw_V0BB2RpqI6x9xAqTJgBCVyu68F40q0</v>
      </c>
      <c r="AB10" s="284" t="str">
        <f>VLOOKUP($B10,'Master Tracker'!$D:$T,14,false)</f>
        <v>Not Found</v>
      </c>
      <c r="AC10" s="292" t="str">
        <f>VLOOKUP($B10,'Master Tracker'!$D:$T,16,false)</f>
        <v>Not Found</v>
      </c>
      <c r="AD10" s="292" t="str">
        <f>VLOOKUP($B10,'Master Tracker'!$D:$T,17,false)</f>
        <v>Not Found</v>
      </c>
      <c r="AE10" s="292" t="str">
        <f>VLOOKUP($B10,'Master Tracker'!$D:$V,19,false)</f>
        <v>Not Found</v>
      </c>
      <c r="AF10" s="292">
        <f>IFERROR(__xludf.DUMMYFUNCTION("IFERROR(
  INDEX(
    FILTER(
      'Juma Recording forms'!$G:$G,
      TRIM('Juma Recording forms'!$F:$F) = TRIM($B10),
      'Juma Recording forms'!$AA:$AA = 1
    ),
    1
  ),
  ""Not Found""
)"),730.0)</f>
        <v>730</v>
      </c>
      <c r="AG10" s="292">
        <f>IFERROR(__xludf.DUMMYFUNCTION("IFERROR(
  INDEX(
    FILTER(
      'Juma Recording forms'!$G:$G,
      TRIM('Juma Recording forms'!$F:$F) = TRIM($B10),
      'Juma Recording forms'!$AA:$AA = 2
    ),
    1
  ),
  ""Not Found""
)"),745.0)</f>
        <v>745</v>
      </c>
      <c r="AH10" s="292">
        <f>IFERROR(__xludf.DUMMYFUNCTION("IFERROR(
  INDEX(
    FILTER(
      'Juma Recording forms'!$G:$G,
      TRIM('Juma Recording forms'!$F:$F) = TRIM($B10),
      'Juma Recording forms'!$AA:$AA = 3
    ),
    1
  ),
  ""Not Found""
)"),710.0)</f>
        <v>710</v>
      </c>
      <c r="AI10" s="292">
        <f>IFERROR(__xludf.DUMMYFUNCTION("IFERROR(
  INDEX(
    FILTER(
      'Juma Recording forms'!$G:$G,
      TRIM('Juma Recording forms'!$F:$F) = TRIM($B10),
      'Juma Recording forms'!$AA:$AA = 4
    ),
    1
  ),
  ""Not Found""
)"),735.0)</f>
        <v>735</v>
      </c>
      <c r="AJ10" s="292" t="str">
        <f>IFERROR(__xludf.DUMMYFUNCTION("IFERROR(
  INDEX(
    FILTER(
      'Juma Recording forms'!$G:$G,
      TRIM('Juma Recording forms'!$F:$F) = TRIM($B10),
      'Juma Recording forms'!$AA:$AA = 5
    ),
    1
  ),
  ""Not Found""
)"),"Not Found")</f>
        <v>Not Found</v>
      </c>
      <c r="AK10" s="292" t="str">
        <f>IFERROR(__xludf.DUMMYFUNCTION("IFERROR(
  INDEX(
    FILTER(
      'Juma Recording forms'!$G:$G,
      TRIM('Juma Recording forms'!$F:$F) = TRIM($B10),
      'Juma Recording forms'!$AA:$AA = 6
    ),
    1
  ),
  ""Not Found""
)"),"Not Found")</f>
        <v>Not Found</v>
      </c>
      <c r="AL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 *
        (IMPORTRANGE(""https://docs.google.com/spreadsheets/d/161aHT6vVT3SLneTKD19N5qVWtnj_jIT8CSsOmUVKmaA/ed"&amp;"it?gid=1761053510"",
          ""Haris_Form responses 1!$AQ:$AQ"")=1)
      ),
      1
    ),
    ""0""
  ),
  ""Form not found""
)
"),"0")</f>
        <v>0</v>
      </c>
      <c r="AM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 *
        (IMPORTRANGE(""https://docs.google.com/spreadsheets/d/161aHT6vVT3SLneTKD19N5qVWtnj_jIT8CSsOmUVKmaA/ed"&amp;"it?gid=1761053510"",
          ""Haris_Form responses 1!$AQ:$AQ"")=2)
      ),
      1
    ),
    ""0""
  ),
  ""Form not found""
)
"),"10")</f>
        <v>10</v>
      </c>
      <c r="AN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 *
        (IMPORTRANGE(""https://docs.google.com/spreadsheets/d/161aHT6vVT3SLneTKD19N5qVWtnj_jIT8CSsOmUVKmaA/ed"&amp;"it?gid=1761053510"",
          ""Haris_Form responses 1!$AQ:$AQ"")=3)
      ),
      1
    ),
    ""0""
  ),
  ""Form not found""
)
"),"0")</f>
        <v>0</v>
      </c>
      <c r="AO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 *
        (IMPORTRANGE(""https://docs.google.com/spreadsheets/d/161aHT6vVT3SLneTKD19N5qVWtnj_jIT8CSsOmUVKmaA/ed"&amp;"it?gid=1761053510"",
          ""Haris_Form responses 1!$AQ:$AQ"")=4)
      ),
      1
    ),
    ""0""
  ),
  ""Form not found""
)
"),"7")</f>
        <v>7</v>
      </c>
      <c r="AP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 *
        (IMPORTRANGE(""https://docs.google.com/spreadsheets/d/161aHT6vVT3SLneTKD19N5qVWtnj_jIT8CSsOmUVKmaA/ed"&amp;"it?gid=1761053510"",
          ""Haris_Form responses 1!$AQ:$AQ"")=5)
      ),
      1
    ),
    ""0""
  ),
  ""Form not found""
)
"),"Form not found")</f>
        <v>Form not found</v>
      </c>
      <c r="AQ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 *
        (IMPORTRANGE(""https://docs.google.com/spreadsheets/d/161aHT6vVT3SLneTKD19N5qVWtnj_jIT8CSsOmUVKmaA/ed"&amp;"it?gid=1761053510"",
          ""Haris_Form responses 1!$AQ:$AQ"")=6)
      ),
      1
    ),
    ""0""
  ),
  ""Form not found""
)
"),"Form not found")</f>
        <v>Form not found</v>
      </c>
      <c r="AR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 *
        (IMPORTRANGE(""https://docs.google.com/spreadsheets/d/161aHT6vVT3SLneTKD19N5qVWtnj_jIT8CSsOmUVKmaA/ed"&amp;"it?gid=1761053510"",
          ""Haris_Form responses 1!$AQ:$AQ"")=1)
      ),
      1
    ),
    ""0""
  ),
  ""Form not found""
)
"),"0")</f>
        <v>0</v>
      </c>
      <c r="AS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 *
        (IMPORTRANGE(""https://docs.google.com/spreadsheets/d/161aHT6vVT3SLneTKD19N5qVWtnj_jIT8CSsOmUVKmaA/ed"&amp;"it?gid=1761053510"",
          ""Haris_Form responses 1!$AQ:$AQ"")=2)
      ),
      1
    ),
    ""0""
  ),
  ""Form not found""
)
"),"8")</f>
        <v>8</v>
      </c>
      <c r="AT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 *
        (IMPORTRANGE(""https://docs.google.com/spreadsheets/d/161aHT6vVT3SLneTKD19N5qVWtnj_jIT8CSsOmUVKmaA/ed"&amp;"it?gid=1761053510"",
          ""Haris_Form responses 1!$AQ:$AQ"")=3)
      ),
      1
    ),
    ""0""
  ),
  ""Form not found""
)
"),"0")</f>
        <v>0</v>
      </c>
      <c r="AU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 *
        (IMPORTRANGE(""https://docs.google.com/spreadsheets/d/161aHT6vVT3SLneTKD19N5qVWtnj_jIT8CSsOmUVKmaA/ed"&amp;"it?gid=1761053510"",
          ""Haris_Form responses 1!$AQ:$AQ"")=4)
      ),
      1
    ),
    ""0""
  ),
  ""Form not found""
)
"),"7")</f>
        <v>7</v>
      </c>
      <c r="AV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 *
        (IMPORTRANGE(""https://docs.google.com/spreadsheets/d/161aHT6vVT3SLneTKD19N5qVWtnj_jIT8CSsOmUVKmaA/ed"&amp;"it?gid=1761053510"",
          ""Haris_Form responses 1!$AQ:$AQ"")=5)
      ),
      1
    ),
    ""0""
  ),
  ""Form not found""
)
"),"Form not found")</f>
        <v>Form not found</v>
      </c>
      <c r="AW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 *
        (IMPORTRANGE(""https://docs.google.com/spreadsheets/d/161aHT6vVT3SLneTKD19N5qVWtnj_jIT8CSsOmUVKmaA/ed"&amp;"it?gid=1761053510"",
          ""Haris_Form responses 1!$AQ:$AQ"")=6)
      ),
      1
    ),
    ""0""
  ),
  ""Form not found""
)
"),"Form not found")</f>
        <v>Form not found</v>
      </c>
      <c r="AX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 *
        (IMPORTRANGE(""https://docs.google.com/spreadsheets/d/161aHT6vVT3SLneTKD19N5qVWtnj_jIT8CSsOmUVKmaA/ed"&amp;"it?gid=1761053510"",
          ""Haris_Form responses 1!$AQ:$AQ"")=1)
      ),
      1
    ),
    ""0""
  ),
  ""Form not found""
)
"),"0")</f>
        <v>0</v>
      </c>
      <c r="AY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 *
        (IMPORTRANGE(""https://docs.google.com/spreadsheets/d/161aHT6vVT3SLneTKD19N5qVWtnj_jIT8CSsOmUVKmaA/ed"&amp;"it?gid=1761053510"",
          ""Haris_Form responses 1!$AQ:$AQ"")=2)
      ),
      1
    ),
    ""0""
  ),
  ""Form not found""
)
"),"0")</f>
        <v>0</v>
      </c>
      <c r="AZ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 *
        (IMPORTRANGE(""https://docs.google.com/spreadsheets/d/161aHT6vVT3SLneTKD19N5qVWtnj_jIT8CSsOmUVKmaA/ed"&amp;"it?gid=1761053510"",
          ""Haris_Form responses 1!$AQ:$AQ"")=3)
      ),
      1
    ),
    ""0""
  ),
  ""Form not found""
)
"),"0")</f>
        <v>0</v>
      </c>
      <c r="BA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 *
        (IMPORTRANGE(""https://docs.google.com/spreadsheets/d/161aHT6vVT3SLneTKD19N5qVWtnj_jIT8CSsOmUVKmaA/ed"&amp;"it?gid=1761053510"",
          ""Haris_Form responses 1!$AQ:$AQ"")=4)
      ),
      1
    ),
    ""0""
  ),
  ""Form not found""
)
"),"0")</f>
        <v>0</v>
      </c>
      <c r="BB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 *
        (IMPORTRANGE(""https://docs.google.com/spreadsheets/d/161aHT6vVT3SLneTKD19N5qVWtnj_jIT8CSsOmUVKmaA/ed"&amp;"it?gid=1761053510"",
          ""Haris_Form responses 1!$AQ:$AQ"")=5)
      ),
      1
    ),
    ""0""
  ),
  ""Form not found""
)
"),"Form not found")</f>
        <v>Form not found</v>
      </c>
      <c r="BC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 *
        (IMPORTRANGE(""https://docs.google.com/spreadsheets/d/161aHT6vVT3SLneTKD19N5qVWtnj_jIT8CSsOmUVKmaA/ed"&amp;"it?gid=1761053510"",
          ""Haris_Form responses 1!$AQ:$AQ"")=6)
      ),
      1
    ),
    ""0""
  ),
  ""Form not found""
)
"),"Form not found")</f>
        <v>Form not found</v>
      </c>
      <c r="BD10" s="293"/>
    </row>
    <row r="11">
      <c r="A11" s="283" t="str">
        <f>IFERROR(__xludf.DUMMYFUNCTION("VLOOKUP($B11,IMPORTRANGE(""https://docs.google.com/spreadsheets/d/1VNXDITjs75AcgdBSW27oL1VZH31udDprJSsBcE5xlp4/edit?gid=1551188038#gid=1551188038"", ""Sheet9!$B:$E""),2,false)"),"Lahore")</f>
        <v>Lahore</v>
      </c>
      <c r="B11" s="283" t="s">
        <v>1123</v>
      </c>
      <c r="C11" s="284" t="str">
        <f>IFERROR(__xludf.DUMMYFUNCTION("VLOOKUP(TRIM($B11), IMPORTRANGE(""https://docs.google.com/spreadsheets/d/1aSOrU4PTpuBZqfitKaH1Rfww6-YOiNCKoBpPl8XBHaw/edit?gid=0#gid=0"", ""sheet3!$B:$C""), 2, FALSE)
"),"Jamia Masjid Takiya Hazoori Shah Lahore")</f>
        <v>Jamia Masjid Takiya Hazoori Shah Lahore</v>
      </c>
      <c r="D11" s="284" t="str">
        <f>IFERROR(__xludf.DUMMYFUNCTION("IFERROR(
  INDEX(
    FILTER(
      IMPORTRANGE(""1aSOrU4PTpuBZqfitKaH1Rfww6-YOiNCKoBpPl8XBHaw/edit?gid=0#gid=0"",""Sheet1!G:G""),
      IMPORTRANGE(""1aSOrU4PTpuBZqfitKaH1Rfww6-YOiNCKoBpPl8XBHaw/edit?gid=0#gid=0"",""Sheet1!C:C"")=$B11
    ),
    1
  ),
 "&amp;" ""Not Found""
)"),"Control")</f>
        <v>Control</v>
      </c>
      <c r="E11" s="284" t="str">
        <f>VLOOKUP(B11,'Juma Recording forms'!A:E,5,false)</f>
        <v>Jamya masjid hazore sha</v>
      </c>
      <c r="F11" s="284" t="str">
        <f>IFERROR(__xludf.DUMMYFUNCTION("IFERROR(
  INDEX(
    FILTER(
      IMPORTRANGE(""1Cxrhp3-_-HS7v9uuqQliiIfrmMP4VaFoDNDWyUFy2J8/edit?gid=0#gid=0"",""Sheet1!Q:Q""),
      IMPORTRANGE(""1Cxrhp3-_-HS7v9uuqQliiIfrmMP4VaFoDNDWyUFy2J8/edit?gid=0#gid=0"",""Sheet1!K:K"")=$B11
    ),
    1
  ),
 "&amp;" ""Not Found""
)"),"Qari asad")</f>
        <v>Qari asad</v>
      </c>
      <c r="G11" s="284">
        <v>1950.0</v>
      </c>
      <c r="H11" s="284" t="s">
        <v>4817</v>
      </c>
      <c r="I11" s="285"/>
      <c r="J11" s="286">
        <v>2.0</v>
      </c>
      <c r="K11" s="287" t="str">
        <f>VLOOKUP($B11,'Mosque Locations'!$A:$E,3,FALSE)
</f>
        <v>https://maps.google.com/maps?q=31.5877677%2C74.345873&amp;z=17&amp;hl=en</v>
      </c>
      <c r="L11" s="286">
        <f>VLOOKUP($B11,'Mosque Locations'!$A:$E,4,FALSE)
</f>
        <v>31.58777</v>
      </c>
      <c r="M11" s="286">
        <f>VLOOKUP($B11,'Mosque Locations'!$A:$E,5,false)</f>
        <v>74.34587</v>
      </c>
      <c r="N11" s="288"/>
      <c r="O11" s="288"/>
      <c r="P11" s="288"/>
      <c r="Q11" s="290" t="str">
        <f>IFERROR(__xludf.DUMMYFUNCTION("IFERROR(
  INDEX(
    FILTER(
      IMPORTRANGE(""1DccNxjBgurEr0ABkI_rBagJT5phB5HaHG5N_mTm_BiA"",""Form Responses 1!T:T""),
      TRIM(IMPORTRANGE(""1DccNxjBgurEr0ABkI_rBagJT5phB5HaHG5N_mTm_BiA"",""Form Responses 1!E:E""))=TRIM($B11)
    ),
    1
  ),
  "&amp;"""Not Found""
)
"),"https://drive.google.com/open?id=1CBJuyR2LwoDZmMz6Vx5nuAxyLMQSL2CG")</f>
        <v>https://drive.google.com/open?id=1CBJuyR2LwoDZmMz6Vx5nuAxyLMQSL2CG</v>
      </c>
      <c r="R11" s="290" t="str">
        <f>IFERROR(__xludf.DUMMYFUNCTION("IFERROR(
  INDEX(
    FILTER(
      IMPORTRANGE(""1DccNxjBgurEr0ABkI_rBagJT5phB5HaHG5N_mTm_BiA"",""Form Responses 1!S:S""),
      TRIM(IMPORTRANGE(""1DccNxjBgurEr0ABkI_rBagJT5phB5HaHG5N_mTm_BiA"",""Form Responses 1!E:E""))=TRIM($B11)
    ),
    1
  ),
  "&amp;"""Not Found""
)
"),"https://drive.google.com/open?id=1zNgHGQZIZmtEo_84SrGOw-b-46PWEcU3")</f>
        <v>https://drive.google.com/open?id=1zNgHGQZIZmtEo_84SrGOw-b-46PWEcU3</v>
      </c>
      <c r="S11" s="285"/>
      <c r="T11" s="290" t="str">
        <f>VLOOKUP($B11,'Master Tracker'!$D:$E,2,false)</f>
        <v>https://drive.google.com/open?id=1WjAQVPgXlATxKte7gb59tvuyd8xHsF1b</v>
      </c>
      <c r="U11" s="291" t="str">
        <f>VLOOKUP($B11,'Master Tracker'!$D:$T,4,FALSE)
</f>
        <v>https://drive.google.com/open?id=1THXCDuENZb6NZQvHiUew_VFm0aP03RDg</v>
      </c>
      <c r="V11" s="284" t="str">
        <f>VLOOKUP($B11,'Master Tracker'!$D:$T,5,false)</f>
        <v>Not Found</v>
      </c>
      <c r="W11" s="292" t="str">
        <f>VLOOKUP($B11,'Master Tracker'!$D:$T,7,false)</f>
        <v>Not Found</v>
      </c>
      <c r="X11" s="290" t="str">
        <f>VLOOKUP($B11,'Master Tracker'!$D:$T,8,false)</f>
        <v>https://drive.google.com/open?id=1da9m8LMMlGOTpICfFZFuYWjRZM9-6N0A</v>
      </c>
      <c r="Y11" s="291" t="str">
        <f>VLOOKUP($B11,'Master Tracker'!$D:$T,10,false)</f>
        <v>https://drive.google.com/open?id=1gla039sz-fHKAeeM_o95bQxaTFnab2r6</v>
      </c>
      <c r="Z11" s="284" t="str">
        <f>VLOOKUP($B11,'Master Tracker'!$D:$T,11,false)</f>
        <v>Not Found</v>
      </c>
      <c r="AA11" s="292" t="str">
        <f>VLOOKUP($B11,'Master Tracker'!$D:$T,13,false)</f>
        <v>Not Found</v>
      </c>
      <c r="AB11" s="284" t="str">
        <f>VLOOKUP($B11,'Master Tracker'!$D:$T,14,false)</f>
        <v>Not Found</v>
      </c>
      <c r="AC11" s="292" t="str">
        <f>VLOOKUP($B11,'Master Tracker'!$D:$T,16,false)</f>
        <v>Not Found</v>
      </c>
      <c r="AD11" s="292" t="str">
        <f>VLOOKUP($B11,'Master Tracker'!$D:$T,17,false)</f>
        <v>Not Found</v>
      </c>
      <c r="AE11" s="292" t="str">
        <f>VLOOKUP($B11,'Master Tracker'!$D:$V,19,false)</f>
        <v>Not Found</v>
      </c>
      <c r="AF11" s="292">
        <f>IFERROR(__xludf.DUMMYFUNCTION("IFERROR(
  INDEX(
    FILTER(
      'Juma Recording forms'!$G:$G,
      TRIM('Juma Recording forms'!$F:$F) = TRIM($B11),
      'Juma Recording forms'!$AA:$AA = 1
    ),
    1
  ),
  ""Not Found""
)"),200.0)</f>
        <v>200</v>
      </c>
      <c r="AG11" s="292" t="str">
        <f>IFERROR(__xludf.DUMMYFUNCTION("IFERROR(
  INDEX(
    FILTER(
      'Juma Recording forms'!$G:$G,
      TRIM('Juma Recording forms'!$F:$F) = TRIM($B11),
      'Juma Recording forms'!$AA:$AA = 2
    ),
    1
  ),
  ""Not Found""
)"),"Not Found")</f>
        <v>Not Found</v>
      </c>
      <c r="AH11" s="292">
        <f>IFERROR(__xludf.DUMMYFUNCTION("IFERROR(
  INDEX(
    FILTER(
      'Juma Recording forms'!$G:$G,
      TRIM('Juma Recording forms'!$F:$F) = TRIM($B11),
      'Juma Recording forms'!$AA:$AA = 3
    ),
    1
  ),
  ""Not Found""
)"),245.0)</f>
        <v>245</v>
      </c>
      <c r="AI11" s="292" t="str">
        <f>IFERROR(__xludf.DUMMYFUNCTION("IFERROR(
  INDEX(
    FILTER(
      'Juma Recording forms'!$G:$G,
      TRIM('Juma Recording forms'!$F:$F) = TRIM($B11),
      'Juma Recording forms'!$AA:$AA = 4
    ),
    1
  ),
  ""Not Found""
)"),"Not Found")</f>
        <v>Not Found</v>
      </c>
      <c r="AJ11" s="292" t="str">
        <f>IFERROR(__xludf.DUMMYFUNCTION("IFERROR(
  INDEX(
    FILTER(
      'Juma Recording forms'!$G:$G,
      TRIM('Juma Recording forms'!$F:$F) = TRIM($B11),
      'Juma Recording forms'!$AA:$AA = 5
    ),
    1
  ),
  ""Not Found""
)"),"Not Found")</f>
        <v>Not Found</v>
      </c>
      <c r="AK11" s="292"/>
      <c r="AL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 *
        (IMPORTRANGE(""https://docs.google.com/spreadsheets/d/161aHT6vVT3SLneTKD19N5qVWtnj_jIT8CSsOmUVKmaA/ed"&amp;"it?gid=1761053510"",
          ""Haris_Form responses 1!$AQ:$AQ"")=1)
      ),
      1
    ),
    ""0""
  ),
  ""Form not found""
)
"),"0")</f>
        <v>0</v>
      </c>
      <c r="AM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 *
        (IMPORTRANGE(""https://docs.google.com/spreadsheets/d/161aHT6vVT3SLneTKD19N5qVWtnj_jIT8CSsOmUVKmaA/ed"&amp;"it?gid=1761053510"",
          ""Haris_Form responses 1!$AQ:$AQ"")=2)
      ),
      1
    ),
    ""0""
  ),
  ""Form not found""
)
"),"Form not found")</f>
        <v>Form not found</v>
      </c>
      <c r="AN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 *
        (IMPORTRANGE(""https://docs.google.com/spreadsheets/d/161aHT6vVT3SLneTKD19N5qVWtnj_jIT8CSsOmUVKmaA/ed"&amp;"it?gid=1761053510"",
          ""Haris_Form responses 1!$AQ:$AQ"")=3)
      ),
      1
    ),
    ""0""
  ),
  ""Form not found""
)
"),"0")</f>
        <v>0</v>
      </c>
      <c r="AO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 *
        (IMPORTRANGE(""https://docs.google.com/spreadsheets/d/161aHT6vVT3SLneTKD19N5qVWtnj_jIT8CSsOmUVKmaA/ed"&amp;"it?gid=1761053510"",
          ""Haris_Form responses 1!$AQ:$AQ"")=4)
      ),
      1
    ),
    ""0""
  ),
  ""Form not found""
)
"),"Form not found")</f>
        <v>Form not found</v>
      </c>
      <c r="AP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 *
        (IMPORTRANGE(""https://docs.google.com/spreadsheets/d/161aHT6vVT3SLneTKD19N5qVWtnj_jIT8CSsOmUVKmaA/ed"&amp;"it?gid=1761053510"",
          ""Haris_Form responses 1!$AQ:$AQ"")=5)
      ),
      1
    ),
    ""0""
  ),
  ""Form not found""
)
"),"Form not found")</f>
        <v>Form not found</v>
      </c>
      <c r="AQ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 *
        (IMPORTRANGE(""https://docs.google.com/spreadsheets/d/161aHT6vVT3SLneTKD19N5qVWtnj_jIT8CSsOmUVKmaA/ed"&amp;"it?gid=1761053510"",
          ""Haris_Form responses 1!$AQ:$AQ"")=6)
      ),
      1
    ),
    ""0""
  ),
  ""Form not found""
)
"),"Form not found")</f>
        <v>Form not found</v>
      </c>
      <c r="AR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 *
        (IMPORTRANGE(""https://docs.google.com/spreadsheets/d/161aHT6vVT3SLneTKD19N5qVWtnj_jIT8CSsOmUVKmaA/ed"&amp;"it?gid=1761053510"",
          ""Haris_Form responses 1!$AQ:$AQ"")=1)
      ),
      1
    ),
    ""0""
  ),
  ""Form not found""
)
"),"0")</f>
        <v>0</v>
      </c>
      <c r="AS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 *
        (IMPORTRANGE(""https://docs.google.com/spreadsheets/d/161aHT6vVT3SLneTKD19N5qVWtnj_jIT8CSsOmUVKmaA/ed"&amp;"it?gid=1761053510"",
          ""Haris_Form responses 1!$AQ:$AQ"")=2)
      ),
      1
    ),
    ""0""
  ),
  ""Form not found""
)
"),"Form not found")</f>
        <v>Form not found</v>
      </c>
      <c r="AT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 *
        (IMPORTRANGE(""https://docs.google.com/spreadsheets/d/161aHT6vVT3SLneTKD19N5qVWtnj_jIT8CSsOmUVKmaA/ed"&amp;"it?gid=1761053510"",
          ""Haris_Form responses 1!$AQ:$AQ"")=3)
      ),
      1
    ),
    ""0""
  ),
  ""Form not found""
)
"),"0")</f>
        <v>0</v>
      </c>
      <c r="AU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 *
        (IMPORTRANGE(""https://docs.google.com/spreadsheets/d/161aHT6vVT3SLneTKD19N5qVWtnj_jIT8CSsOmUVKmaA/ed"&amp;"it?gid=1761053510"",
          ""Haris_Form responses 1!$AQ:$AQ"")=4)
      ),
      1
    ),
    ""0""
  ),
  ""Form not found""
)
"),"Form not found")</f>
        <v>Form not found</v>
      </c>
      <c r="AV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 *
        (IMPORTRANGE(""https://docs.google.com/spreadsheets/d/161aHT6vVT3SLneTKD19N5qVWtnj_jIT8CSsOmUVKmaA/ed"&amp;"it?gid=1761053510"",
          ""Haris_Form responses 1!$AQ:$AQ"")=5)
      ),
      1
    ),
    ""0""
  ),
  ""Form not found""
)
"),"Form not found")</f>
        <v>Form not found</v>
      </c>
      <c r="AW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 *
        (IMPORTRANGE(""https://docs.google.com/spreadsheets/d/161aHT6vVT3SLneTKD19N5qVWtnj_jIT8CSsOmUVKmaA/ed"&amp;"it?gid=1761053510"",
          ""Haris_Form responses 1!$AQ:$AQ"")=6)
      ),
      1
    ),
    ""0""
  ),
  ""Form not found""
)
"),"Form not found")</f>
        <v>Form not found</v>
      </c>
      <c r="AX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 *
        (IMPORTRANGE(""https://docs.google.com/spreadsheets/d/161aHT6vVT3SLneTKD19N5qVWtnj_jIT8CSsOmUVKmaA/ed"&amp;"it?gid=1761053510"",
          ""Haris_Form responses 1!$AQ:$AQ"")=1)
      ),
      1
    ),
    ""0""
  ),
  ""Form not found""
)
"),"0")</f>
        <v>0</v>
      </c>
      <c r="AY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 *
        (IMPORTRANGE(""https://docs.google.com/spreadsheets/d/161aHT6vVT3SLneTKD19N5qVWtnj_jIT8CSsOmUVKmaA/ed"&amp;"it?gid=1761053510"",
          ""Haris_Form responses 1!$AQ:$AQ"")=2)
      ),
      1
    ),
    ""0""
  ),
  ""Form not found""
)
"),"Form not found")</f>
        <v>Form not found</v>
      </c>
      <c r="AZ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 *
        (IMPORTRANGE(""https://docs.google.com/spreadsheets/d/161aHT6vVT3SLneTKD19N5qVWtnj_jIT8CSsOmUVKmaA/ed"&amp;"it?gid=1761053510"",
          ""Haris_Form responses 1!$AQ:$AQ"")=3)
      ),
      1
    ),
    ""0""
  ),
  ""Form not found""
)
"),"0")</f>
        <v>0</v>
      </c>
      <c r="BA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 *
        (IMPORTRANGE(""https://docs.google.com/spreadsheets/d/161aHT6vVT3SLneTKD19N5qVWtnj_jIT8CSsOmUVKmaA/ed"&amp;"it?gid=1761053510"",
          ""Haris_Form responses 1!$AQ:$AQ"")=4)
      ),
      1
    ),
    ""0""
  ),
  ""Form not found""
)
"),"Form not found")</f>
        <v>Form not found</v>
      </c>
      <c r="BB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 *
        (IMPORTRANGE(""https://docs.google.com/spreadsheets/d/161aHT6vVT3SLneTKD19N5qVWtnj_jIT8CSsOmUVKmaA/ed"&amp;"it?gid=1761053510"",
          ""Haris_Form responses 1!$AQ:$AQ"")=5)
      ),
      1
    ),
    ""0""
  ),
  ""Form not found""
)
"),"Form not found")</f>
        <v>Form not found</v>
      </c>
      <c r="BC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 *
        (IMPORTRANGE(""https://docs.google.com/spreadsheets/d/161aHT6vVT3SLneTKD19N5qVWtnj_jIT8CSsOmUVKmaA/ed"&amp;"it?gid=1761053510"",
          ""Haris_Form responses 1!$AQ:$AQ"")=6)
      ),
      1
    ),
    ""0""
  ),
  ""Form not found""
)
"),"Form not found")</f>
        <v>Form not found</v>
      </c>
      <c r="BD11" s="293"/>
    </row>
    <row r="12">
      <c r="A12" s="283" t="str">
        <f>IFERROR(__xludf.DUMMYFUNCTION("VLOOKUP($B12,IMPORTRANGE(""https://docs.google.com/spreadsheets/d/1VNXDITjs75AcgdBSW27oL1VZH31udDprJSsBcE5xlp4/edit?gid=1551188038#gid=1551188038"", ""Sheet9!$B:$E""),2,false)"),"Lahore")</f>
        <v>Lahore</v>
      </c>
      <c r="B12" s="283" t="s">
        <v>670</v>
      </c>
      <c r="C12" s="284" t="str">
        <f>IFERROR(__xludf.DUMMYFUNCTION("VLOOKUP(TRIM($B12), IMPORTRANGE(""https://docs.google.com/spreadsheets/d/1aSOrU4PTpuBZqfitKaH1Rfww6-YOiNCKoBpPl8XBHaw/edit?gid=0#gid=0"", ""sheet3!$B:$C""), 2, FALSE)
"),"Jamia Masjid Shah Shams Qadari Lahore")</f>
        <v>Jamia Masjid Shah Shams Qadari Lahore</v>
      </c>
      <c r="D12" s="284" t="str">
        <f>IFERROR(__xludf.DUMMYFUNCTION("IFERROR(
  INDEX(
    FILTER(
      IMPORTRANGE(""1aSOrU4PTpuBZqfitKaH1Rfww6-YOiNCKoBpPl8XBHaw/edit?gid=0#gid=0"",""Sheet1!G:G""),
      IMPORTRANGE(""1aSOrU4PTpuBZqfitKaH1Rfww6-YOiNCKoBpPl8XBHaw/edit?gid=0#gid=0"",""Sheet1!C:C"")=$B12
    ),
    1
  ),
 "&amp;" ""Not Found""
)"),"Women Religious Info Share")</f>
        <v>Women Religious Info Share</v>
      </c>
      <c r="E12" s="284" t="str">
        <f>VLOOKUP(B12,'Juma Recording forms'!A:E,5,false)</f>
        <v>Jamia Masjid Shah Shamas Qadri Lahore </v>
      </c>
      <c r="F12" s="284" t="str">
        <f>IFERROR(__xludf.DUMMYFUNCTION("IFERROR(
  INDEX(
    FILTER(
      IMPORTRANGE(""1Cxrhp3-_-HS7v9uuqQliiIfrmMP4VaFoDNDWyUFy2J8/edit?gid=0#gid=0"",""Sheet1!Q:Q""),
      IMPORTRANGE(""1Cxrhp3-_-HS7v9uuqQliiIfrmMP4VaFoDNDWyUFy2J8/edit?gid=0#gid=0"",""Sheet1!K:K"")=$B12
    ),
    1
  ),
 "&amp;" ""Not Found""
)"),"Not Found")</f>
        <v>Not Found</v>
      </c>
      <c r="G12" s="284"/>
      <c r="H12" s="284"/>
      <c r="I12" s="285"/>
      <c r="J12" s="286">
        <v>2.0</v>
      </c>
      <c r="K12" s="287" t="str">
        <f>VLOOKUP($B12,'Mosque Locations'!$A:$E,3,FALSE)
</f>
        <v>https://maps.google.com/maps?q=31.5486526%2C74.3390041&amp;z=17&amp;hl=en</v>
      </c>
      <c r="L12" s="286">
        <f>VLOOKUP($B12,'Mosque Locations'!$A:$E,4,FALSE)
</f>
        <v>31.54865</v>
      </c>
      <c r="M12" s="286">
        <f>VLOOKUP($B12,'Mosque Locations'!$A:$E,5,false)</f>
        <v>74.339</v>
      </c>
      <c r="N12" s="288"/>
      <c r="O12" s="288"/>
      <c r="P12" s="288"/>
      <c r="Q12" s="289" t="str">
        <f>IFERROR(__xludf.DUMMYFUNCTION("IFERROR(
  INDEX(
    FILTER(
      IMPORTRANGE(""1DccNxjBgurEr0ABkI_rBagJT5phB5HaHG5N_mTm_BiA"",""Form Responses 1!T:T""),
      TRIM(IMPORTRANGE(""1DccNxjBgurEr0ABkI_rBagJT5phB5HaHG5N_mTm_BiA"",""Form Responses 1!E:E""))=TRIM($B12)
    ),
    1
  ),
  "&amp;"""Not Found""
)
"),"https://drive.google.com/file/d/1q_hWdJJ7QuIznIvLdiHIKX2Dyo6bT9Vc/view")</f>
        <v>https://drive.google.com/file/d/1q_hWdJJ7QuIznIvLdiHIKX2Dyo6bT9Vc/view</v>
      </c>
      <c r="R12" s="289" t="str">
        <f>IFERROR(__xludf.DUMMYFUNCTION("IFERROR(
  INDEX(
    FILTER(
      IMPORTRANGE(""1DccNxjBgurEr0ABkI_rBagJT5phB5HaHG5N_mTm_BiA"",""Form Responses 1!S:S""),
      TRIM(IMPORTRANGE(""1DccNxjBgurEr0ABkI_rBagJT5phB5HaHG5N_mTm_BiA"",""Form Responses 1!E:E""))=TRIM($B12)
    ),
    1
  ),
  "&amp;"""Not Found""
)
"),"https://drive.google.com/open?id=1N6vrjjKx2UFEieUUvhtePkSsQ-NO4mgu")</f>
        <v>https://drive.google.com/open?id=1N6vrjjKx2UFEieUUvhtePkSsQ-NO4mgu</v>
      </c>
      <c r="S12" s="285"/>
      <c r="T12" s="290" t="str">
        <f>VLOOKUP($B12,'Master Tracker'!$D:$E,2,false)</f>
        <v>https://drive.google.com/open?id=1fwweJfdEGZcJmnnrKsLBjpNn-6wnrJB_</v>
      </c>
      <c r="U12" s="291" t="str">
        <f>VLOOKUP($B12,'Master Tracker'!$D:$T,4,FALSE)
</f>
        <v>https://drive.google.com/open?id=1HNfsmY8nusCBntaHFo4hIDU6d90fxrGU</v>
      </c>
      <c r="V12" s="290" t="str">
        <f>VLOOKUP($B12,'Master Tracker'!$D:$T,5,false)</f>
        <v>https://drive.google.com/open?id=16O1JUFkR4Mev64TMmZlriBveLKpjVstA</v>
      </c>
      <c r="W12" s="291" t="str">
        <f>VLOOKUP($B12,'Master Tracker'!$D:$T,7,false)</f>
        <v>https://drive.google.com/open?id=1ndenLttbML2V3rEMt_nzOnq-Hfg4Z3lm</v>
      </c>
      <c r="X12" s="290" t="str">
        <f>VLOOKUP($B12,'Master Tracker'!$D:$T,8,false)</f>
        <v>https://drive.google.com/open?id=1FTokLh63CMcpmK4WsTW0_WvMXBODsiM_</v>
      </c>
      <c r="Y12" s="291" t="str">
        <f>VLOOKUP($B12,'Master Tracker'!$D:$T,10,false)</f>
        <v>https://drive.google.com/open?id=1RBM_fLwrmA2QzIUL0oi2No0CEcYad_xH</v>
      </c>
      <c r="Z12" s="290" t="str">
        <f>VLOOKUP($B12,'Master Tracker'!$D:$T,11,false)</f>
        <v>https://drive.google.com/open?id=1_RDda9LwN5GN_fFSzELQZTCoumsbnjVj</v>
      </c>
      <c r="AA12" s="291" t="str">
        <f>VLOOKUP($B12,'Master Tracker'!$D:$T,13,false)</f>
        <v>https://drive.google.com/open?id=1n_YF7WJA2iBKSIOm2HAHhnqkeyrrTZI8</v>
      </c>
      <c r="AB12" s="290" t="str">
        <f>VLOOKUP($B12,'Master Tracker'!$D:$T,14,false)</f>
        <v>https://drive.google.com/open?id=1GTaYN_65bVCDWhUJDME9Wn8tgzBSjyJq</v>
      </c>
      <c r="AC12" s="291" t="str">
        <f>VLOOKUP($B12,'Master Tracker'!$D:$T,16,false)</f>
        <v>https://drive.google.com/open?id=1A19PweIHe-ltS9bh1OAf9LzxotwX3WiA</v>
      </c>
      <c r="AD12" s="291" t="str">
        <f>VLOOKUP($B12,'Master Tracker'!$D:$T,17,false)</f>
        <v>https://drive.google.com/open?id=12IxK8T9AF9e8TWnOEiBRV-tlSXgDhC-E</v>
      </c>
      <c r="AE12" s="291" t="str">
        <f>VLOOKUP($B12,'Master Tracker'!$D:$V,19,false)</f>
        <v>https://drive.google.com/open?id=1206zr9eLigalQaKSEitjgxQFFg464SD_</v>
      </c>
      <c r="AF12" s="292">
        <f>IFERROR(__xludf.DUMMYFUNCTION("IFERROR(
  INDEX(
    FILTER(
      'Juma Recording forms'!$G:$G,
      TRIM('Juma Recording forms'!$F:$F) = TRIM($B12),
      'Juma Recording forms'!$AA:$AA = 1
    ),
    1
  ),
  ""Not Found""
)"),200.0)</f>
        <v>200</v>
      </c>
      <c r="AG12" s="292">
        <f>IFERROR(__xludf.DUMMYFUNCTION("IFERROR(
  INDEX(
    FILTER(
      'Juma Recording forms'!$G:$G,
      TRIM('Juma Recording forms'!$F:$F) = TRIM($B12),
      'Juma Recording forms'!$AA:$AA = 2
    ),
    1
  ),
  ""Not Found""
)"),188.0)</f>
        <v>188</v>
      </c>
      <c r="AH12" s="292" t="str">
        <f>IFERROR(__xludf.DUMMYFUNCTION("IFERROR(
  INDEX(
    FILTER(
      'Juma Recording forms'!$G:$G,
      TRIM('Juma Recording forms'!$F:$F) = TRIM($B12),
      'Juma Recording forms'!$AA:$AA = 3
    ),
    1
  ),
  ""Not Found""
)"),"Not Found")</f>
        <v>Not Found</v>
      </c>
      <c r="AI12" s="292" t="str">
        <f>IFERROR(__xludf.DUMMYFUNCTION("IFERROR(
  INDEX(
    FILTER(
      'Juma Recording forms'!$G:$G,
      TRIM('Juma Recording forms'!$F:$F) = TRIM($B12),
      'Juma Recording forms'!$AA:$AA = 4
    ),
    1
  ),
  ""Not Found""
)"),"Not Found")</f>
        <v>Not Found</v>
      </c>
      <c r="AJ12" s="292">
        <f>IFERROR(__xludf.DUMMYFUNCTION("IFERROR(
  INDEX(
    FILTER(
      'Juma Recording forms'!$G:$G,
      TRIM('Juma Recording forms'!$F:$F) = TRIM($B12),
      'Juma Recording forms'!$AA:$AA = 5
    ),
    1
  ),
  ""Not Found""
)"),176.0)</f>
        <v>176</v>
      </c>
      <c r="AK12" s="292">
        <f>IFERROR(__xludf.DUMMYFUNCTION("IFERROR(
  INDEX(
    FILTER(
      'Juma Recording forms'!$G:$G,
      TRIM('Juma Recording forms'!$F:$F) = TRIM($B12),
      'Juma Recording forms'!$AA:$AA = 6
    ),
    1
  ),
  ""Not Found""
)"),189.0)</f>
        <v>189</v>
      </c>
      <c r="AL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 *
        (IMPORTRANGE(""https://docs.google.com/spreadsheets/d/161aHT6vVT3SLneTKD19N5qVWtnj_jIT8CSsOmUVKmaA/ed"&amp;"it?gid=1761053510"",
          ""Haris_Form responses 1!$AQ:$AQ"")=1)
      ),
      1
    ),
    ""0""
  ),
  ""Form not found""
)
"),"0")</f>
        <v>0</v>
      </c>
      <c r="AM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 *
        (IMPORTRANGE(""https://docs.google.com/spreadsheets/d/161aHT6vVT3SLneTKD19N5qVWtnj_jIT8CSsOmUVKmaA/ed"&amp;"it?gid=1761053510"",
          ""Haris_Form responses 1!$AQ:$AQ"")=2)
      ),
      1
    ),
    ""0""
  ),
  ""Form not found""
)
"),"0")</f>
        <v>0</v>
      </c>
      <c r="AN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 *
        (IMPORTRANGE(""https://docs.google.com/spreadsheets/d/161aHT6vVT3SLneTKD19N5qVWtnj_jIT8CSsOmUVKmaA/ed"&amp;"it?gid=1761053510"",
          ""Haris_Form responses 1!$AQ:$AQ"")=3)
      ),
      1
    ),
    ""0""
  ),
  ""Form not found""
)
"),"0")</f>
        <v>0</v>
      </c>
      <c r="AO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 *
        (IMPORTRANGE(""https://docs.google.com/spreadsheets/d/161aHT6vVT3SLneTKD19N5qVWtnj_jIT8CSsOmUVKmaA/ed"&amp;"it?gid=1761053510"",
          ""Haris_Form responses 1!$AQ:$AQ"")=4)
      ),
      1
    ),
    ""0""
  ),
  ""Form not found""
)
"),"0")</f>
        <v>0</v>
      </c>
      <c r="AP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 *
        (IMPORTRANGE(""https://docs.google.com/spreadsheets/d/161aHT6vVT3SLneTKD19N5qVWtnj_jIT8CSsOmUVKmaA/ed"&amp;"it?gid=1761053510"",
          ""Haris_Form responses 1!$AQ:$AQ"")=5)
      ),
      1
    ),
    ""0""
  ),
  ""Form not found""
)
"),"9")</f>
        <v>9</v>
      </c>
      <c r="AQ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 *
        (IMPORTRANGE(""https://docs.google.com/spreadsheets/d/161aHT6vVT3SLneTKD19N5qVWtnj_jIT8CSsOmUVKmaA/ed"&amp;"it?gid=1761053510"",
          ""Haris_Form responses 1!$AQ:$AQ"")=6)
      ),
      1
    ),
    ""0""
  ),
  ""Form not found""
)
"),"9")</f>
        <v>9</v>
      </c>
      <c r="AR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 *
        (IMPORTRANGE(""https://docs.google.com/spreadsheets/d/161aHT6vVT3SLneTKD19N5qVWtnj_jIT8CSsOmUVKmaA/ed"&amp;"it?gid=1761053510"",
          ""Haris_Form responses 1!$AQ:$AQ"")=1)
      ),
      1
    ),
    ""0""
  ),
  ""Form not found""
)
"),"0")</f>
        <v>0</v>
      </c>
      <c r="AS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 *
        (IMPORTRANGE(""https://docs.google.com/spreadsheets/d/161aHT6vVT3SLneTKD19N5qVWtnj_jIT8CSsOmUVKmaA/ed"&amp;"it?gid=1761053510"",
          ""Haris_Form responses 1!$AQ:$AQ"")=2)
      ),
      1
    ),
    ""0""
  ),
  ""Form not found""
)
"),"0")</f>
        <v>0</v>
      </c>
      <c r="AT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 *
        (IMPORTRANGE(""https://docs.google.com/spreadsheets/d/161aHT6vVT3SLneTKD19N5qVWtnj_jIT8CSsOmUVKmaA/ed"&amp;"it?gid=1761053510"",
          ""Haris_Form responses 1!$AQ:$AQ"")=3)
      ),
      1
    ),
    ""0""
  ),
  ""Form not found""
)
"),"6")</f>
        <v>6</v>
      </c>
      <c r="AU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 *
        (IMPORTRANGE(""https://docs.google.com/spreadsheets/d/161aHT6vVT3SLneTKD19N5qVWtnj_jIT8CSsOmUVKmaA/ed"&amp;"it?gid=1761053510"",
          ""Haris_Form responses 1!$AQ:$AQ"")=4)
      ),
      1
    ),
    ""0""
  ),
  ""Form not found""
)
"),"8")</f>
        <v>8</v>
      </c>
      <c r="AV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 *
        (IMPORTRANGE(""https://docs.google.com/spreadsheets/d/161aHT6vVT3SLneTKD19N5qVWtnj_jIT8CSsOmUVKmaA/ed"&amp;"it?gid=1761053510"",
          ""Haris_Form responses 1!$AQ:$AQ"")=5)
      ),
      1
    ),
    ""0""
  ),
  ""Form not found""
)
"),"0")</f>
        <v>0</v>
      </c>
      <c r="AW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 *
        (IMPORTRANGE(""https://docs.google.com/spreadsheets/d/161aHT6vVT3SLneTKD19N5qVWtnj_jIT8CSsOmUVKmaA/ed"&amp;"it?gid=1761053510"",
          ""Haris_Form responses 1!$AQ:$AQ"")=6)
      ),
      1
    ),
    ""0""
  ),
  ""Form not found""
)
"),"0")</f>
        <v>0</v>
      </c>
      <c r="AX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 *
        (IMPORTRANGE(""https://docs.google.com/spreadsheets/d/161aHT6vVT3SLneTKD19N5qVWtnj_jIT8CSsOmUVKmaA/ed"&amp;"it?gid=1761053510"",
          ""Haris_Form responses 1!$AQ:$AQ"")=1)
      ),
      1
    ),
    ""0""
  ),
  ""Form not found""
)
"),"0")</f>
        <v>0</v>
      </c>
      <c r="AY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 *
        (IMPORTRANGE(""https://docs.google.com/spreadsheets/d/161aHT6vVT3SLneTKD19N5qVWtnj_jIT8CSsOmUVKmaA/ed"&amp;"it?gid=1761053510"",
          ""Haris_Form responses 1!$AQ:$AQ"")=2)
      ),
      1
    ),
    ""0""
  ),
  ""Form not found""
)
"),"0")</f>
        <v>0</v>
      </c>
      <c r="AZ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 *
        (IMPORTRANGE(""https://docs.google.com/spreadsheets/d/161aHT6vVT3SLneTKD19N5qVWtnj_jIT8CSsOmUVKmaA/ed"&amp;"it?gid=1761053510"",
          ""Haris_Form responses 1!$AQ:$AQ"")=3)
      ),
      1
    ),
    ""0""
  ),
  ""Form not found""
)
"),"0")</f>
        <v>0</v>
      </c>
      <c r="BA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 *
        (IMPORTRANGE(""https://docs.google.com/spreadsheets/d/161aHT6vVT3SLneTKD19N5qVWtnj_jIT8CSsOmUVKmaA/ed"&amp;"it?gid=1761053510"",
          ""Haris_Form responses 1!$AQ:$AQ"")=4)
      ),
      1
    ),
    ""0""
  ),
  ""Form not found""
)
"),"0")</f>
        <v>0</v>
      </c>
      <c r="BB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 *
        (IMPORTRANGE(""https://docs.google.com/spreadsheets/d/161aHT6vVT3SLneTKD19N5qVWtnj_jIT8CSsOmUVKmaA/ed"&amp;"it?gid=1761053510"",
          ""Haris_Form responses 1!$AQ:$AQ"")=5)
      ),
      1
    ),
    ""0""
  ),
  ""Form not found""
)
"),"9")</f>
        <v>9</v>
      </c>
      <c r="BC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 *
        (IMPORTRANGE(""https://docs.google.com/spreadsheets/d/161aHT6vVT3SLneTKD19N5qVWtnj_jIT8CSsOmUVKmaA/ed"&amp;"it?gid=1761053510"",
          ""Haris_Form responses 1!$AQ:$AQ"")=6)
      ),
      1
    ),
    ""0""
  ),
  ""Form not found""
)
"),"9")</f>
        <v>9</v>
      </c>
      <c r="BD12" s="293"/>
    </row>
    <row r="13">
      <c r="A13" s="283" t="str">
        <f>IFERROR(__xludf.DUMMYFUNCTION("VLOOKUP($B13,IMPORTRANGE(""https://docs.google.com/spreadsheets/d/1VNXDITjs75AcgdBSW27oL1VZH31udDprJSsBcE5xlp4/edit?gid=1551188038#gid=1551188038"", ""Sheet9!$B:$E""),2,false)"),"Lahore")</f>
        <v>Lahore</v>
      </c>
      <c r="B13" s="283" t="s">
        <v>1680</v>
      </c>
      <c r="C13" s="284" t="str">
        <f>IFERROR(__xludf.DUMMYFUNCTION("VLOOKUP(TRIM($B13), IMPORTRANGE(""https://docs.google.com/spreadsheets/d/1aSOrU4PTpuBZqfitKaH1Rfww6-YOiNCKoBpPl8XBHaw/edit?gid=0#gid=0"", ""sheet3!$B:$C""), 2, FALSE)
"),"Jamia Masjid Australia Lahore")</f>
        <v>Jamia Masjid Australia Lahore</v>
      </c>
      <c r="D13" s="284" t="str">
        <f>IFERROR(__xludf.DUMMYFUNCTION("IFERROR(
  INDEX(
    FILTER(
      IMPORTRANGE(""1aSOrU4PTpuBZqfitKaH1Rfww6-YOiNCKoBpPl8XBHaw/edit?gid=0#gid=0"",""Sheet1!G:G""),
      IMPORTRANGE(""1aSOrU4PTpuBZqfitKaH1Rfww6-YOiNCKoBpPl8XBHaw/edit?gid=0#gid=0"",""Sheet1!C:C"")=$B13
    ),
    1
  ),
 "&amp;" ""Not Found""
)"),"Community Religious Info Share")</f>
        <v>Community Religious Info Share</v>
      </c>
      <c r="E13" s="284" t="str">
        <f>VLOOKUP(B13,'Juma Recording forms'!A:E,5,false)</f>
        <v>Jamia Masjid Australia </v>
      </c>
      <c r="F13" s="284" t="str">
        <f>IFERROR(__xludf.DUMMYFUNCTION("IFERROR(
  INDEX(
    FILTER(
      IMPORTRANGE(""1Cxrhp3-_-HS7v9uuqQliiIfrmMP4VaFoDNDWyUFy2J8/edit?gid=0#gid=0"",""Sheet1!Q:Q""),
      IMPORTRANGE(""1Cxrhp3-_-HS7v9uuqQliiIfrmMP4VaFoDNDWyUFy2J8/edit?gid=0#gid=0"",""Sheet1!K:K"")=$B13
    ),
    1
  ),
 "&amp;" ""Not Found""
)"),"Not Found")</f>
        <v>Not Found</v>
      </c>
      <c r="G13" s="284"/>
      <c r="H13" s="284"/>
      <c r="I13" s="285"/>
      <c r="J13" s="286">
        <v>2.0</v>
      </c>
      <c r="K13" s="287" t="str">
        <f>VLOOKUP($B13,'Mosque Locations'!$A:$E,3,FALSE)
</f>
        <v>https://maps.google.com/maps?q=31.576193%2C74.3336292&amp;z=17&amp;hl=en</v>
      </c>
      <c r="L13" s="286">
        <f>VLOOKUP($B13,'Mosque Locations'!$A:$E,4,FALSE)
</f>
        <v>31.57619</v>
      </c>
      <c r="M13" s="286">
        <f>VLOOKUP($B13,'Mosque Locations'!$A:$E,5,false)</f>
        <v>74.33363</v>
      </c>
      <c r="N13" s="288"/>
      <c r="O13" s="288"/>
      <c r="P13" s="288"/>
      <c r="Q13" s="289" t="str">
        <f>IFERROR(__xludf.DUMMYFUNCTION("IFERROR(
  INDEX(
    FILTER(
      IMPORTRANGE(""1DccNxjBgurEr0ABkI_rBagJT5phB5HaHG5N_mTm_BiA"",""Form Responses 1!T:T""),
      TRIM(IMPORTRANGE(""1DccNxjBgurEr0ABkI_rBagJT5phB5HaHG5N_mTm_BiA"",""Form Responses 1!E:E""))=TRIM($B13)
    ),
    1
  ),
  "&amp;"""Not Found""
)
"),"https://drive.google.com/open?id=1xn8RV5tV_K5P2NIWjCkMVYbc8Cdcrt5C")</f>
        <v>https://drive.google.com/open?id=1xn8RV5tV_K5P2NIWjCkMVYbc8Cdcrt5C</v>
      </c>
      <c r="R13" s="289" t="str">
        <f>IFERROR(__xludf.DUMMYFUNCTION("IFERROR(
  INDEX(
    FILTER(
      IMPORTRANGE(""1DccNxjBgurEr0ABkI_rBagJT5phB5HaHG5N_mTm_BiA"",""Form Responses 1!S:S""),
      TRIM(IMPORTRANGE(""1DccNxjBgurEr0ABkI_rBagJT5phB5HaHG5N_mTm_BiA"",""Form Responses 1!E:E""))=TRIM($B13)
    ),
    1
  ),
  "&amp;"""Not Found""
)
"),"https://drive.google.com/open?id=1goIv0_ci-4qxIt7I7paXMf_Bjb7fePCV")</f>
        <v>https://drive.google.com/open?id=1goIv0_ci-4qxIt7I7paXMf_Bjb7fePCV</v>
      </c>
      <c r="S13" s="285"/>
      <c r="T13" s="290" t="str">
        <f>VLOOKUP($B13,'Master Tracker'!$D:$E,2,false)</f>
        <v>https://drive.google.com/open?id=1Kniam6Czmn2Cc9493GXJd4iAFRXf_z4n</v>
      </c>
      <c r="U13" s="291" t="str">
        <f>VLOOKUP($B13,'Master Tracker'!$D:$T,4,FALSE)
</f>
        <v>https://drive.google.com/open?id=1J34zeyDiFzj_NJf6nhMjn-VJZRcD5cgZ</v>
      </c>
      <c r="V13" s="290" t="str">
        <f>VLOOKUP($B13,'Master Tracker'!$D:$T,5,false)</f>
        <v>https://drive.google.com/open?id=1NHvCxlJulyMVu8rr0_9h3cfGPvzKyMA3</v>
      </c>
      <c r="W13" s="291" t="str">
        <f>VLOOKUP($B13,'Master Tracker'!$D:$T,7,false)</f>
        <v>https://drive.google.com/open?id=1E1Q2x04Zyox5w-L9KMtDoNqQSpo3-JZ3</v>
      </c>
      <c r="X13" s="290" t="str">
        <f>VLOOKUP($B13,'Master Tracker'!$D:$T,8,false)</f>
        <v>https://drive.google.com/open?id=1zmKm6su4u2NNqCEEpBIl-lfdcAc-cnkv</v>
      </c>
      <c r="Y13" s="291" t="str">
        <f>VLOOKUP($B13,'Master Tracker'!$D:$T,10,false)</f>
        <v>https://drive.google.com/open?id=1h-nV5eX6kblc6Cj7L2gUd824gemcpSsW</v>
      </c>
      <c r="Z13" s="290" t="str">
        <f>VLOOKUP($B13,'Master Tracker'!$D:$T,11,false)</f>
        <v>https://drive.google.com/open?id=1LWNokqgHxJH1saY1YDbkPCrR6iLd-Qls</v>
      </c>
      <c r="AA13" s="291" t="str">
        <f>VLOOKUP($B13,'Master Tracker'!$D:$T,13,false)</f>
        <v>https://drive.google.com/open?id=1omvi7fM6kW-XYLVKK8POcmU1f6X1l3Eh</v>
      </c>
      <c r="AB13" s="284" t="str">
        <f>VLOOKUP($B13,'Master Tracker'!$D:$T,14,false)</f>
        <v>Not Found</v>
      </c>
      <c r="AC13" s="292" t="str">
        <f>VLOOKUP($B13,'Master Tracker'!$D:$T,16,false)</f>
        <v>Not Found</v>
      </c>
      <c r="AD13" s="292" t="str">
        <f>VLOOKUP($B13,'Master Tracker'!$D:$T,17,false)</f>
        <v>Not Found</v>
      </c>
      <c r="AE13" s="292" t="str">
        <f>VLOOKUP($B13,'Master Tracker'!$D:$V,19,false)</f>
        <v>Not Found</v>
      </c>
      <c r="AF13" s="292">
        <f>IFERROR(__xludf.DUMMYFUNCTION("IFERROR(
  INDEX(
    FILTER(
      'Juma Recording forms'!$G:$G,
      TRIM('Juma Recording forms'!$F:$F) = TRIM($B13),
      'Juma Recording forms'!$AA:$AA = 1
    ),
    1
  ),
  ""Not Found""
)"),2080.0)</f>
        <v>2080</v>
      </c>
      <c r="AG13" s="292">
        <f>IFERROR(__xludf.DUMMYFUNCTION("IFERROR(
  INDEX(
    FILTER(
      'Juma Recording forms'!$G:$G,
      TRIM('Juma Recording forms'!$F:$F) = TRIM($B13),
      'Juma Recording forms'!$AA:$AA = 2
    ),
    1
  ),
  ""Not Found""
)"),2050.0)</f>
        <v>2050</v>
      </c>
      <c r="AH13" s="292">
        <f>IFERROR(__xludf.DUMMYFUNCTION("IFERROR(
  INDEX(
    FILTER(
      'Juma Recording forms'!$G:$G,
      TRIM('Juma Recording forms'!$F:$F) = TRIM($B13),
      'Juma Recording forms'!$AA:$AA = 3
    ),
    1
  ),
  ""Not Found""
)"),2150.0)</f>
        <v>2150</v>
      </c>
      <c r="AI13" s="292">
        <f>IFERROR(__xludf.DUMMYFUNCTION("IFERROR(
  INDEX(
    FILTER(
      'Juma Recording forms'!$G:$G,
      TRIM('Juma Recording forms'!$F:$F) = TRIM($B13),
      'Juma Recording forms'!$AA:$AA = 4
    ),
    1
  ),
  ""Not Found""
)"),2210.0)</f>
        <v>2210</v>
      </c>
      <c r="AJ13" s="292" t="str">
        <f>IFERROR(__xludf.DUMMYFUNCTION("IFERROR(
  INDEX(
    FILTER(
      'Juma Recording forms'!$G:$G,
      TRIM('Juma Recording forms'!$F:$F) = TRIM($B13),
      'Juma Recording forms'!$AA:$AA = 5
    ),
    1
  ),
  ""Not Found""
)"),"Not Found")</f>
        <v>Not Found</v>
      </c>
      <c r="AK13" s="292" t="str">
        <f>IFERROR(__xludf.DUMMYFUNCTION("IFERROR(
  INDEX(
    FILTER(
      'Juma Recording forms'!$G:$G,
      TRIM('Juma Recording forms'!$F:$F) = TRIM($B13),
      'Juma Recording forms'!$AA:$AA = 6
    ),
    1
  ),
  ""Not Found""
)"),"Not Found")</f>
        <v>Not Found</v>
      </c>
      <c r="AL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 *
        (IMPORTRANGE(""https://docs.google.com/spreadsheets/d/161aHT6vVT3SLneTKD19N5qVWtnj_jIT8CSsOmUVKmaA/ed"&amp;"it?gid=1761053510"",
          ""Haris_Form responses 1!$AQ:$AQ"")=1)
      ),
      1
    ),
    ""0""
  ),
  ""Form not found""
)
"),"10")</f>
        <v>10</v>
      </c>
      <c r="AM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 *
        (IMPORTRANGE(""https://docs.google.com/spreadsheets/d/161aHT6vVT3SLneTKD19N5qVWtnj_jIT8CSsOmUVKmaA/ed"&amp;"it?gid=1761053510"",
          ""Haris_Form responses 1!$AQ:$AQ"")=2)
      ),
      1
    ),
    ""0""
  ),
  ""Form not found""
)
"),"0")</f>
        <v>0</v>
      </c>
      <c r="AN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 *
        (IMPORTRANGE(""https://docs.google.com/spreadsheets/d/161aHT6vVT3SLneTKD19N5qVWtnj_jIT8CSsOmUVKmaA/ed"&amp;"it?gid=1761053510"",
          ""Haris_Form responses 1!$AQ:$AQ"")=3)
      ),
      1
    ),
    ""0""
  ),
  ""Form not found""
)
"),"10")</f>
        <v>10</v>
      </c>
      <c r="AO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 *
        (IMPORTRANGE(""https://docs.google.com/spreadsheets/d/161aHT6vVT3SLneTKD19N5qVWtnj_jIT8CSsOmUVKmaA/ed"&amp;"it?gid=1761053510"",
          ""Haris_Form responses 1!$AQ:$AQ"")=4)
      ),
      1
    ),
    ""0""
  ),
  ""Form not found""
)
"),"0")</f>
        <v>0</v>
      </c>
      <c r="AP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 *
        (IMPORTRANGE(""https://docs.google.com/spreadsheets/d/161aHT6vVT3SLneTKD19N5qVWtnj_jIT8CSsOmUVKmaA/ed"&amp;"it?gid=1761053510"",
          ""Haris_Form responses 1!$AQ:$AQ"")=5)
      ),
      1
    ),
    ""0""
  ),
  ""Form not found""
)
"),"Form not found")</f>
        <v>Form not found</v>
      </c>
      <c r="AQ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 *
        (IMPORTRANGE(""https://docs.google.com/spreadsheets/d/161aHT6vVT3SLneTKD19N5qVWtnj_jIT8CSsOmUVKmaA/ed"&amp;"it?gid=1761053510"",
          ""Haris_Form responses 1!$AQ:$AQ"")=6)
      ),
      1
    ),
    ""0""
  ),
  ""Form not found""
)
"),"Form not found")</f>
        <v>Form not found</v>
      </c>
      <c r="AR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 *
        (IMPORTRANGE(""https://docs.google.com/spreadsheets/d/161aHT6vVT3SLneTKD19N5qVWtnj_jIT8CSsOmUVKmaA/ed"&amp;"it?gid=1761053510"",
          ""Haris_Form responses 1!$AQ:$AQ"")=1)
      ),
      1
    ),
    ""0""
  ),
  ""Form not found""
)
"),"10")</f>
        <v>10</v>
      </c>
      <c r="AS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 *
        (IMPORTRANGE(""https://docs.google.com/spreadsheets/d/161aHT6vVT3SLneTKD19N5qVWtnj_jIT8CSsOmUVKmaA/ed"&amp;"it?gid=1761053510"",
          ""Haris_Form responses 1!$AQ:$AQ"")=2)
      ),
      1
    ),
    ""0""
  ),
  ""Form not found""
)
"),"0")</f>
        <v>0</v>
      </c>
      <c r="AT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 *
        (IMPORTRANGE(""https://docs.google.com/spreadsheets/d/161aHT6vVT3SLneTKD19N5qVWtnj_jIT8CSsOmUVKmaA/ed"&amp;"it?gid=1761053510"",
          ""Haris_Form responses 1!$AQ:$AQ"")=3)
      ),
      1
    ),
    ""0""
  ),
  ""Form not found""
)
"),"9")</f>
        <v>9</v>
      </c>
      <c r="AU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 *
        (IMPORTRANGE(""https://docs.google.com/spreadsheets/d/161aHT6vVT3SLneTKD19N5qVWtnj_jIT8CSsOmUVKmaA/ed"&amp;"it?gid=1761053510"",
          ""Haris_Form responses 1!$AQ:$AQ"")=4)
      ),
      1
    ),
    ""0""
  ),
  ""Form not found""
)
"),"0")</f>
        <v>0</v>
      </c>
      <c r="AV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 *
        (IMPORTRANGE(""https://docs.google.com/spreadsheets/d/161aHT6vVT3SLneTKD19N5qVWtnj_jIT8CSsOmUVKmaA/ed"&amp;"it?gid=1761053510"",
          ""Haris_Form responses 1!$AQ:$AQ"")=5)
      ),
      1
    ),
    ""0""
  ),
  ""Form not found""
)
"),"Form not found")</f>
        <v>Form not found</v>
      </c>
      <c r="AW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 *
        (IMPORTRANGE(""https://docs.google.com/spreadsheets/d/161aHT6vVT3SLneTKD19N5qVWtnj_jIT8CSsOmUVKmaA/ed"&amp;"it?gid=1761053510"",
          ""Haris_Form responses 1!$AQ:$AQ"")=6)
      ),
      1
    ),
    ""0""
  ),
  ""Form not found""
)
"),"Form not found")</f>
        <v>Form not found</v>
      </c>
      <c r="AX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 *
        (IMPORTRANGE(""https://docs.google.com/spreadsheets/d/161aHT6vVT3SLneTKD19N5qVWtnj_jIT8CSsOmUVKmaA/ed"&amp;"it?gid=1761053510"",
          ""Haris_Form responses 1!$AQ:$AQ"")=1)
      ),
      1
    ),
    ""0""
  ),
  ""Form not found""
)
"),"0")</f>
        <v>0</v>
      </c>
      <c r="AY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 *
        (IMPORTRANGE(""https://docs.google.com/spreadsheets/d/161aHT6vVT3SLneTKD19N5qVWtnj_jIT8CSsOmUVKmaA/ed"&amp;"it?gid=1761053510"",
          ""Haris_Form responses 1!$AQ:$AQ"")=2)
      ),
      1
    ),
    ""0""
  ),
  ""Form not found""
)
"),"0")</f>
        <v>0</v>
      </c>
      <c r="AZ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 *
        (IMPORTRANGE(""https://docs.google.com/spreadsheets/d/161aHT6vVT3SLneTKD19N5qVWtnj_jIT8CSsOmUVKmaA/ed"&amp;"it?gid=1761053510"",
          ""Haris_Form responses 1!$AQ:$AQ"")=3)
      ),
      1
    ),
    ""0""
  ),
  ""Form not found""
)
"),"0")</f>
        <v>0</v>
      </c>
      <c r="BA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 *
        (IMPORTRANGE(""https://docs.google.com/spreadsheets/d/161aHT6vVT3SLneTKD19N5qVWtnj_jIT8CSsOmUVKmaA/ed"&amp;"it?gid=1761053510"",
          ""Haris_Form responses 1!$AQ:$AQ"")=4)
      ),
      1
    ),
    ""0""
  ),
  ""Form not found""
)
"),"0")</f>
        <v>0</v>
      </c>
      <c r="BB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 *
        (IMPORTRANGE(""https://docs.google.com/spreadsheets/d/161aHT6vVT3SLneTKD19N5qVWtnj_jIT8CSsOmUVKmaA/ed"&amp;"it?gid=1761053510"",
          ""Haris_Form responses 1!$AQ:$AQ"")=5)
      ),
      1
    ),
    ""0""
  ),
  ""Form not found""
)
"),"Form not found")</f>
        <v>Form not found</v>
      </c>
      <c r="BC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 *
        (IMPORTRANGE(""https://docs.google.com/spreadsheets/d/161aHT6vVT3SLneTKD19N5qVWtnj_jIT8CSsOmUVKmaA/ed"&amp;"it?gid=1761053510"",
          ""Haris_Form responses 1!$AQ:$AQ"")=6)
      ),
      1
    ),
    ""0""
  ),
  ""Form not found""
)
"),"Form not found")</f>
        <v>Form not found</v>
      </c>
      <c r="BD13" s="293"/>
    </row>
    <row r="14">
      <c r="A14" s="283" t="str">
        <f>IFERROR(__xludf.DUMMYFUNCTION("VLOOKUP($B14,IMPORTRANGE(""https://docs.google.com/spreadsheets/d/1VNXDITjs75AcgdBSW27oL1VZH31udDprJSsBcE5xlp4/edit?gid=1551188038#gid=1551188038"", ""Sheet9!$B:$E""),2,false)"),"Lahore")</f>
        <v>Lahore</v>
      </c>
      <c r="B14" s="283" t="s">
        <v>1147</v>
      </c>
      <c r="C14" s="284" t="str">
        <f>IFERROR(__xludf.DUMMYFUNCTION("VLOOKUP(TRIM($B14), IMPORTRANGE(""https://docs.google.com/spreadsheets/d/1aSOrU4PTpuBZqfitKaH1Rfww6-YOiNCKoBpPl8XBHaw/edit?gid=0#gid=0"", ""sheet3!$B:$C""), 2, FALSE)
"),"Jamia Masjid Shah Ali Rungareez Lahore")</f>
        <v>Jamia Masjid Shah Ali Rungareez Lahore</v>
      </c>
      <c r="D14" s="284" t="str">
        <f>IFERROR(__xludf.DUMMYFUNCTION("IFERROR(
  INDEX(
    FILTER(
      IMPORTRANGE(""1aSOrU4PTpuBZqfitKaH1Rfww6-YOiNCKoBpPl8XBHaw/edit?gid=0#gid=0"",""Sheet1!G:G""),
      IMPORTRANGE(""1aSOrU4PTpuBZqfitKaH1Rfww6-YOiNCKoBpPl8XBHaw/edit?gid=0#gid=0"",""Sheet1!C:C"")=$B14
    ),
    1
  ),
 "&amp;" ""Not Found""
)"),"Community Secular Info Share")</f>
        <v>Community Secular Info Share</v>
      </c>
      <c r="E14" s="284" t="str">
        <f>VLOOKUP(B14,'Juma Recording forms'!A:E,5,false)</f>
        <v>Jaima masjid Ali shah rungareez</v>
      </c>
      <c r="F14" s="284" t="str">
        <f>IFERROR(__xludf.DUMMYFUNCTION("IFERROR(
  INDEX(
    FILTER(
      IMPORTRANGE(""1Cxrhp3-_-HS7v9uuqQliiIfrmMP4VaFoDNDWyUFy2J8/edit?gid=0#gid=0"",""Sheet1!Q:Q""),
      IMPORTRANGE(""1Cxrhp3-_-HS7v9uuqQliiIfrmMP4VaFoDNDWyUFy2J8/edit?gid=0#gid=0"",""Sheet1!K:K"")=$B14
    ),
    1
  ),
 "&amp;" ""Not Found""
)"),"Molana rehmat jalil")</f>
        <v>Molana rehmat jalil</v>
      </c>
      <c r="G14" s="284">
        <v>1890.0</v>
      </c>
      <c r="H14" s="284" t="s">
        <v>4818</v>
      </c>
      <c r="I14" s="285"/>
      <c r="J14" s="286">
        <v>2.0</v>
      </c>
      <c r="K14" s="287" t="str">
        <f>VLOOKUP($B14,'Mosque Locations'!$A:$E,3,FALSE)
</f>
        <v>https://maps.google.com/maps?q=31.5693412%2C74.3370371&amp;z=17&amp;hl=en</v>
      </c>
      <c r="L14" s="286">
        <f>VLOOKUP($B14,'Mosque Locations'!$A:$E,4,FALSE)
</f>
        <v>31.56934</v>
      </c>
      <c r="M14" s="286">
        <f>VLOOKUP($B14,'Mosque Locations'!$A:$E,5,false)</f>
        <v>74.33704</v>
      </c>
      <c r="N14" s="288"/>
      <c r="O14" s="288"/>
      <c r="P14" s="288"/>
      <c r="Q14" s="289" t="str">
        <f>IFERROR(__xludf.DUMMYFUNCTION("IFERROR(
  INDEX(
    FILTER(
      IMPORTRANGE(""1DccNxjBgurEr0ABkI_rBagJT5phB5HaHG5N_mTm_BiA"",""Form Responses 1!T:T""),
      TRIM(IMPORTRANGE(""1DccNxjBgurEr0ABkI_rBagJT5phB5HaHG5N_mTm_BiA"",""Form Responses 1!E:E""))=TRIM($B14)
    ),
    1
  ),
  "&amp;"""Not Found""
)
"),"https://drive.google.com/open?id=1Ecqqge_Th-hOWYxVCnSObMeyNKlvkI1K")</f>
        <v>https://drive.google.com/open?id=1Ecqqge_Th-hOWYxVCnSObMeyNKlvkI1K</v>
      </c>
      <c r="R14" s="289" t="str">
        <f>IFERROR(__xludf.DUMMYFUNCTION("IFERROR(
  INDEX(
    FILTER(
      IMPORTRANGE(""1DccNxjBgurEr0ABkI_rBagJT5phB5HaHG5N_mTm_BiA"",""Form Responses 1!S:S""),
      TRIM(IMPORTRANGE(""1DccNxjBgurEr0ABkI_rBagJT5phB5HaHG5N_mTm_BiA"",""Form Responses 1!E:E""))=TRIM($B14)
    ),
    1
  ),
  "&amp;"""Not Found""
)
"),"https://drive.google.com/open?id=13IvzXX7w8wtefWKRPD2SB6k7GqjLkgL-")</f>
        <v>https://drive.google.com/open?id=13IvzXX7w8wtefWKRPD2SB6k7GqjLkgL-</v>
      </c>
      <c r="S14" s="285"/>
      <c r="T14" s="290" t="str">
        <f>VLOOKUP($B14,'Master Tracker'!$D:$E,2,false)</f>
        <v>https://drive.google.com/open?id=1pXgXrGaG0bTvVmClhccpP7w3OiEynF0m</v>
      </c>
      <c r="U14" s="291" t="str">
        <f>VLOOKUP($B14,'Master Tracker'!$D:$T,4,FALSE)
</f>
        <v>https://drive.google.com/open?id=1o8EFoMPLaDXYXQayfZCSvql00rRyfgqE</v>
      </c>
      <c r="V14" s="290" t="str">
        <f>VLOOKUP($B14,'Master Tracker'!$D:$T,5,false)</f>
        <v>https://drive.google.com/open?id=1teRxO8T2SXJk7o7qNZ_gO1aGJidB6TVF</v>
      </c>
      <c r="W14" s="291" t="str">
        <f>VLOOKUP($B14,'Master Tracker'!$D:$T,7,false)</f>
        <v>https://drive.google.com/open?id=11eUklKQBXkrlLJBTWiGY5EPYYfxRB2Vt</v>
      </c>
      <c r="X14" s="290" t="str">
        <f>VLOOKUP($B14,'Master Tracker'!$D:$T,8,false)</f>
        <v>https://drive.google.com/open?id=1_exkS--n8ZhIoNB46myakyF-OGZrqgp7</v>
      </c>
      <c r="Y14" s="291" t="str">
        <f>VLOOKUP($B14,'Master Tracker'!$D:$T,10,false)</f>
        <v>https://drive.google.com/open?id=1SwQZDy53oq7YCA4DzRaFYpgb-qixCZv-</v>
      </c>
      <c r="Z14" s="290" t="str">
        <f>VLOOKUP($B14,'Master Tracker'!$D:$T,11,false)</f>
        <v>https://drive.google.com/open?id=1cPJswgGP0xJ3tQ_D7xdoSijsuph3oqSg</v>
      </c>
      <c r="AA14" s="291" t="str">
        <f>VLOOKUP($B14,'Master Tracker'!$D:$T,13,false)</f>
        <v>https://drive.google.com/open?id=1gm_Gvqe7dhDcvZP2u4Leg-N7YK4lKiF9</v>
      </c>
      <c r="AB14" s="284" t="str">
        <f>VLOOKUP($B14,'Master Tracker'!$D:$T,14,false)</f>
        <v>Not Found</v>
      </c>
      <c r="AC14" s="292" t="str">
        <f>VLOOKUP($B14,'Master Tracker'!$D:$T,16,false)</f>
        <v>Not Found</v>
      </c>
      <c r="AD14" s="292" t="str">
        <f>VLOOKUP($B14,'Master Tracker'!$D:$T,17,false)</f>
        <v>Not Found</v>
      </c>
      <c r="AE14" s="292" t="str">
        <f>VLOOKUP($B14,'Master Tracker'!$D:$V,19,false)</f>
        <v>Not Found</v>
      </c>
      <c r="AF14" s="292">
        <f>IFERROR(__xludf.DUMMYFUNCTION("IFERROR(
  INDEX(
    FILTER(
      'Juma Recording forms'!$G:$G,
      TRIM('Juma Recording forms'!$F:$F) = TRIM($B14),
      'Juma Recording forms'!$AA:$AA = 1
    ),
    1
  ),
  ""Not Found""
)"),143.0)</f>
        <v>143</v>
      </c>
      <c r="AG14" s="292">
        <f>IFERROR(__xludf.DUMMYFUNCTION("IFERROR(
  INDEX(
    FILTER(
      'Juma Recording forms'!$G:$G,
      TRIM('Juma Recording forms'!$F:$F) = TRIM($B14),
      'Juma Recording forms'!$AA:$AA = 2
    ),
    1
  ),
  ""Not Found""
)"),144.0)</f>
        <v>144</v>
      </c>
      <c r="AH14" s="292">
        <f>IFERROR(__xludf.DUMMYFUNCTION("IFERROR(
  INDEX(
    FILTER(
      'Juma Recording forms'!$G:$G,
      TRIM('Juma Recording forms'!$F:$F) = TRIM($B14),
      'Juma Recording forms'!$AA:$AA = 3
    ),
    1
  ),
  ""Not Found""
)"),150.0)</f>
        <v>150</v>
      </c>
      <c r="AI14" s="292">
        <f>IFERROR(__xludf.DUMMYFUNCTION("IFERROR(
  INDEX(
    FILTER(
      'Juma Recording forms'!$G:$G,
      TRIM('Juma Recording forms'!$F:$F) = TRIM($B14),
      'Juma Recording forms'!$AA:$AA = 4
    ),
    1
  ),
  ""Not Found""
)"),154.0)</f>
        <v>154</v>
      </c>
      <c r="AJ14" s="292" t="str">
        <f>IFERROR(__xludf.DUMMYFUNCTION("IFERROR(
  INDEX(
    FILTER(
      'Juma Recording forms'!$G:$G,
      TRIM('Juma Recording forms'!$F:$F) = TRIM($B14),
      'Juma Recording forms'!$AA:$AA = 5
    ),
    1
  ),
  ""Not Found""
)"),"Not Found")</f>
        <v>Not Found</v>
      </c>
      <c r="AK14" s="292" t="str">
        <f>IFERROR(__xludf.DUMMYFUNCTION("IFERROR(
  INDEX(
    FILTER(
      'Juma Recording forms'!$G:$G,
      TRIM('Juma Recording forms'!$F:$F) = TRIM($B14),
      'Juma Recording forms'!$AA:$AA = 6
    ),
    1
  ),
  ""Not Found""
)"),"Not Found")</f>
        <v>Not Found</v>
      </c>
      <c r="AL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 *
        (IMPORTRANGE(""https://docs.google.com/spreadsheets/d/161aHT6vVT3SLneTKD19N5qVWtnj_jIT8CSsOmUVKmaA/ed"&amp;"it?gid=1761053510"",
          ""Haris_Form responses 1!$AQ:$AQ"")=1)
      ),
      1
    ),
    ""0""
  ),
  ""Form not found""
)
"),"8")</f>
        <v>8</v>
      </c>
      <c r="AM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 *
        (IMPORTRANGE(""https://docs.google.com/spreadsheets/d/161aHT6vVT3SLneTKD19N5qVWtnj_jIT8CSsOmUVKmaA/ed"&amp;"it?gid=1761053510"",
          ""Haris_Form responses 1!$AQ:$AQ"")=2)
      ),
      1
    ),
    ""0""
  ),
  ""Form not found""
)
"),"10")</f>
        <v>10</v>
      </c>
      <c r="AN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 *
        (IMPORTRANGE(""https://docs.google.com/spreadsheets/d/161aHT6vVT3SLneTKD19N5qVWtnj_jIT8CSsOmUVKmaA/ed"&amp;"it?gid=1761053510"",
          ""Haris_Form responses 1!$AQ:$AQ"")=3)
      ),
      1
    ),
    ""0""
  ),
  ""Form not found""
)
"),"0")</f>
        <v>0</v>
      </c>
      <c r="AO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 *
        (IMPORTRANGE(""https://docs.google.com/spreadsheets/d/161aHT6vVT3SLneTKD19N5qVWtnj_jIT8CSsOmUVKmaA/ed"&amp;"it?gid=1761053510"",
          ""Haris_Form responses 1!$AQ:$AQ"")=4)
      ),
      1
    ),
    ""0""
  ),
  ""Form not found""
)
"),"0")</f>
        <v>0</v>
      </c>
      <c r="AP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 *
        (IMPORTRANGE(""https://docs.google.com/spreadsheets/d/161aHT6vVT3SLneTKD19N5qVWtnj_jIT8CSsOmUVKmaA/ed"&amp;"it?gid=1761053510"",
          ""Haris_Form responses 1!$AQ:$AQ"")=5)
      ),
      1
    ),
    ""0""
  ),
  ""Form not found""
)
"),"Form not found")</f>
        <v>Form not found</v>
      </c>
      <c r="AQ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 *
        (IMPORTRANGE(""https://docs.google.com/spreadsheets/d/161aHT6vVT3SLneTKD19N5qVWtnj_jIT8CSsOmUVKmaA/ed"&amp;"it?gid=1761053510"",
          ""Haris_Form responses 1!$AQ:$AQ"")=6)
      ),
      1
    ),
    ""0""
  ),
  ""Form not found""
)
"),"Form not found")</f>
        <v>Form not found</v>
      </c>
      <c r="AR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 *
        (IMPORTRANGE(""https://docs.google.com/spreadsheets/d/161aHT6vVT3SLneTKD19N5qVWtnj_jIT8CSsOmUVKmaA/ed"&amp;"it?gid=1761053510"",
          ""Haris_Form responses 1!$AQ:$AQ"")=1)
      ),
      1
    ),
    ""0""
  ),
  ""Form not found""
)
"),"9")</f>
        <v>9</v>
      </c>
      <c r="AS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 *
        (IMPORTRANGE(""https://docs.google.com/spreadsheets/d/161aHT6vVT3SLneTKD19N5qVWtnj_jIT8CSsOmUVKmaA/ed"&amp;"it?gid=1761053510"",
          ""Haris_Form responses 1!$AQ:$AQ"")=2)
      ),
      1
    ),
    ""0""
  ),
  ""Form not found""
)
"),"10")</f>
        <v>10</v>
      </c>
      <c r="AT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 *
        (IMPORTRANGE(""https://docs.google.com/spreadsheets/d/161aHT6vVT3SLneTKD19N5qVWtnj_jIT8CSsOmUVKmaA/ed"&amp;"it?gid=1761053510"",
          ""Haris_Form responses 1!$AQ:$AQ"")=3)
      ),
      1
    ),
    ""0""
  ),
  ""Form not found""
)
"),"0")</f>
        <v>0</v>
      </c>
      <c r="AU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 *
        (IMPORTRANGE(""https://docs.google.com/spreadsheets/d/161aHT6vVT3SLneTKD19N5qVWtnj_jIT8CSsOmUVKmaA/ed"&amp;"it?gid=1761053510"",
          ""Haris_Form responses 1!$AQ:$AQ"")=4)
      ),
      1
    ),
    ""0""
  ),
  ""Form not found""
)
"),"0")</f>
        <v>0</v>
      </c>
      <c r="AV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 *
        (IMPORTRANGE(""https://docs.google.com/spreadsheets/d/161aHT6vVT3SLneTKD19N5qVWtnj_jIT8CSsOmUVKmaA/ed"&amp;"it?gid=1761053510"",
          ""Haris_Form responses 1!$AQ:$AQ"")=5)
      ),
      1
    ),
    ""0""
  ),
  ""Form not found""
)
"),"Form not found")</f>
        <v>Form not found</v>
      </c>
      <c r="AW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 *
        (IMPORTRANGE(""https://docs.google.com/spreadsheets/d/161aHT6vVT3SLneTKD19N5qVWtnj_jIT8CSsOmUVKmaA/ed"&amp;"it?gid=1761053510"",
          ""Haris_Form responses 1!$AQ:$AQ"")=6)
      ),
      1
    ),
    ""0""
  ),
  ""Form not found""
)
"),"Form not found")</f>
        <v>Form not found</v>
      </c>
      <c r="AX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 *
        (IMPORTRANGE(""https://docs.google.com/spreadsheets/d/161aHT6vVT3SLneTKD19N5qVWtnj_jIT8CSsOmUVKmaA/ed"&amp;"it?gid=1761053510"",
          ""Haris_Form responses 1!$AQ:$AQ"")=1)
      ),
      1
    ),
    ""0""
  ),
  ""Form not found""
)
"),"0")</f>
        <v>0</v>
      </c>
      <c r="AY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 *
        (IMPORTRANGE(""https://docs.google.com/spreadsheets/d/161aHT6vVT3SLneTKD19N5qVWtnj_jIT8CSsOmUVKmaA/ed"&amp;"it?gid=1761053510"",
          ""Haris_Form responses 1!$AQ:$AQ"")=2)
      ),
      1
    ),
    ""0""
  ),
  ""Form not found""
)
"),"0")</f>
        <v>0</v>
      </c>
      <c r="AZ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 *
        (IMPORTRANGE(""https://docs.google.com/spreadsheets/d/161aHT6vVT3SLneTKD19N5qVWtnj_jIT8CSsOmUVKmaA/ed"&amp;"it?gid=1761053510"",
          ""Haris_Form responses 1!$AQ:$AQ"")=3)
      ),
      1
    ),
    ""0""
  ),
  ""Form not found""
)
"),"0")</f>
        <v>0</v>
      </c>
      <c r="BA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 *
        (IMPORTRANGE(""https://docs.google.com/spreadsheets/d/161aHT6vVT3SLneTKD19N5qVWtnj_jIT8CSsOmUVKmaA/ed"&amp;"it?gid=1761053510"",
          ""Haris_Form responses 1!$AQ:$AQ"")=4)
      ),
      1
    ),
    ""0""
  ),
  ""Form not found""
)
"),"0")</f>
        <v>0</v>
      </c>
      <c r="BB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 *
        (IMPORTRANGE(""https://docs.google.com/spreadsheets/d/161aHT6vVT3SLneTKD19N5qVWtnj_jIT8CSsOmUVKmaA/ed"&amp;"it?gid=1761053510"",
          ""Haris_Form responses 1!$AQ:$AQ"")=5)
      ),
      1
    ),
    ""0""
  ),
  ""Form not found""
)
"),"Form not found")</f>
        <v>Form not found</v>
      </c>
      <c r="BC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 *
        (IMPORTRANGE(""https://docs.google.com/spreadsheets/d/161aHT6vVT3SLneTKD19N5qVWtnj_jIT8CSsOmUVKmaA/ed"&amp;"it?gid=1761053510"",
          ""Haris_Form responses 1!$AQ:$AQ"")=6)
      ),
      1
    ),
    ""0""
  ),
  ""Form not found""
)
"),"Form not found")</f>
        <v>Form not found</v>
      </c>
      <c r="BD14" s="293"/>
    </row>
    <row r="15">
      <c r="A15" s="283" t="str">
        <f>IFERROR(__xludf.DUMMYFUNCTION("VLOOKUP($B15,IMPORTRANGE(""https://docs.google.com/spreadsheets/d/1VNXDITjs75AcgdBSW27oL1VZH31udDprJSsBcE5xlp4/edit?gid=1551188038#gid=1551188038"", ""Sheet9!$B:$E""),2,false)"),"Lahore")</f>
        <v>Lahore</v>
      </c>
      <c r="B15" s="283" t="s">
        <v>1485</v>
      </c>
      <c r="C15" s="284" t="str">
        <f>IFERROR(__xludf.DUMMYFUNCTION("VLOOKUP(TRIM($B15), IMPORTRANGE(""https://docs.google.com/spreadsheets/d/1aSOrU4PTpuBZqfitKaH1Rfww6-YOiNCKoBpPl8XBHaw/edit?gid=0#gid=0"", ""sheet3!$B:$C""), 2, FALSE)
"),"Jamia Masjid Ghangaara Nawali Lahore")</f>
        <v>Jamia Masjid Ghangaara Nawali Lahore</v>
      </c>
      <c r="D15" s="284" t="str">
        <f>IFERROR(__xludf.DUMMYFUNCTION("IFERROR(
  INDEX(
    FILTER(
      IMPORTRANGE(""1aSOrU4PTpuBZqfitKaH1Rfww6-YOiNCKoBpPl8XBHaw/edit?gid=0#gid=0"",""Sheet1!G:G""),
      IMPORTRANGE(""1aSOrU4PTpuBZqfitKaH1Rfww6-YOiNCKoBpPl8XBHaw/edit?gid=0#gid=0"",""Sheet1!C:C"")=$B15
    ),
    1
  ),
 "&amp;" ""Not Found""
)"),"Women Religious Info Share")</f>
        <v>Women Religious Info Share</v>
      </c>
      <c r="E15" s="284" t="str">
        <f>VLOOKUP(B15,'Juma Recording forms'!A:E,5,false)</f>
        <v>Jamia Masjid Kingrian wali Mozang</v>
      </c>
      <c r="F15" s="284" t="str">
        <f>IFERROR(__xludf.DUMMYFUNCTION("IFERROR(
  INDEX(
    FILTER(
      IMPORTRANGE(""1Cxrhp3-_-HS7v9uuqQliiIfrmMP4VaFoDNDWyUFy2J8/edit?gid=0#gid=0"",""Sheet1!Q:Q""),
      IMPORTRANGE(""1Cxrhp3-_-HS7v9uuqQliiIfrmMP4VaFoDNDWyUFy2J8/edit?gid=0#gid=0"",""Sheet1!K:K"")=$B15
    ),
    1
  ),
 "&amp;" ""Not Found""
)"),"Moulana hafeez ur rehman")</f>
        <v>Moulana hafeez ur rehman</v>
      </c>
      <c r="G15" s="284">
        <v>1890.0</v>
      </c>
      <c r="H15" s="284"/>
      <c r="I15" s="285"/>
      <c r="J15" s="286">
        <v>2.0</v>
      </c>
      <c r="K15" s="287" t="str">
        <f>VLOOKUP($B15,'Mosque Locations'!$A:$E,3,FALSE)
</f>
        <v>https://maps.google.com/maps?q=31.5586574%2C74.3135574&amp;z=17&amp;hl=en</v>
      </c>
      <c r="L15" s="286">
        <f>VLOOKUP($B15,'Mosque Locations'!$A:$E,4,FALSE)
</f>
        <v>31.5586574</v>
      </c>
      <c r="M15" s="286">
        <f>VLOOKUP($B15,'Mosque Locations'!$A:$E,5,false)</f>
        <v>74.3135574</v>
      </c>
      <c r="N15" s="288"/>
      <c r="O15" s="288"/>
      <c r="P15" s="288"/>
      <c r="Q15" s="289" t="str">
        <f>IFERROR(__xludf.DUMMYFUNCTION("IFERROR(
  INDEX(
    FILTER(
      IMPORTRANGE(""1DccNxjBgurEr0ABkI_rBagJT5phB5HaHG5N_mTm_BiA"",""Form Responses 1!T:T""),
      TRIM(IMPORTRANGE(""1DccNxjBgurEr0ABkI_rBagJT5phB5HaHG5N_mTm_BiA"",""Form Responses 1!E:E""))=TRIM($B15)
    ),
    1
  ),
  "&amp;"""Not Found""
)
"),"https://drive.google.com/open?id=1uy6qDWU5appuycefutCYc43w_8FaxnGH")</f>
        <v>https://drive.google.com/open?id=1uy6qDWU5appuycefutCYc43w_8FaxnGH</v>
      </c>
      <c r="R15" s="290" t="str">
        <f>IFERROR(__xludf.DUMMYFUNCTION("IFERROR(
  INDEX(
    FILTER(
      IMPORTRANGE(""1DccNxjBgurEr0ABkI_rBagJT5phB5HaHG5N_mTm_BiA"",""Form Responses 1!S:S""),
      TRIM(IMPORTRANGE(""1DccNxjBgurEr0ABkI_rBagJT5phB5HaHG5N_mTm_BiA"",""Form Responses 1!E:E""))=TRIM($B15)
    ),
    1
  ),
  "&amp;"""Not Found""
)
"),"https://drive.google.com/open?id=1Sx20HJD3ulbIKFxPjmy0VYTjn7DEU2oy")</f>
        <v>https://drive.google.com/open?id=1Sx20HJD3ulbIKFxPjmy0VYTjn7DEU2oy</v>
      </c>
      <c r="S15" s="285"/>
      <c r="T15" s="284" t="str">
        <f>VLOOKUP($B15,'Master Tracker'!$D:$E,2,false)</f>
        <v>skiped duee to imam</v>
      </c>
      <c r="U15" s="292" t="str">
        <f>VLOOKUP($B15,'Master Tracker'!$D:$T,4,FALSE)
</f>
        <v>Not Found</v>
      </c>
      <c r="V15" s="290" t="str">
        <f>VLOOKUP($B15,'Master Tracker'!$D:$T,5,false)</f>
        <v>https://drive.google.com/open?id=1s13hgqYE3w1sNIyBqZcw3y4YRuBwd5ls</v>
      </c>
      <c r="W15" s="291" t="str">
        <f>VLOOKUP($B15,'Master Tracker'!$D:$T,7,false)</f>
        <v>https://drive.google.com/open?id=1ghA7xZDVSS5NbPsi3PULp4RSHglo7TJs</v>
      </c>
      <c r="X15" s="290" t="str">
        <f>VLOOKUP($B15,'Master Tracker'!$D:$T,8,false)</f>
        <v>https://drive.google.com/open?id=1YwDtR46yEUP6HXfVdFoy7PvumqpEf9g1</v>
      </c>
      <c r="Y15" s="291" t="str">
        <f>VLOOKUP($B15,'Master Tracker'!$D:$T,10,false)</f>
        <v>https://drive.google.com/open?id=1VvQUZ_OfIsYuxn58dXh6vUJuNfozVBdR</v>
      </c>
      <c r="Z15" s="290" t="str">
        <f>VLOOKUP($B15,'Master Tracker'!$D:$T,11,false)</f>
        <v>https://drive.google.com/open?id=1Gi9w74SvJhR-w7JnJUR1xvvzRIHySmR6</v>
      </c>
      <c r="AA15" s="291" t="str">
        <f>VLOOKUP($B15,'Master Tracker'!$D:$T,13,false)</f>
        <v>https://drive.google.com/open?id=1u-9NUNkk3LuekH6_nYXuXSET6EI1CLvb</v>
      </c>
      <c r="AB15" s="284" t="str">
        <f>VLOOKUP($B15,'Master Tracker'!$D:$T,14,false)</f>
        <v>Not Found</v>
      </c>
      <c r="AC15" s="292" t="str">
        <f>VLOOKUP($B15,'Master Tracker'!$D:$T,16,false)</f>
        <v>Not Found</v>
      </c>
      <c r="AD15" s="292" t="str">
        <f>VLOOKUP($B15,'Master Tracker'!$D:$T,17,false)</f>
        <v>Not Found</v>
      </c>
      <c r="AE15" s="292" t="str">
        <f>VLOOKUP($B15,'Master Tracker'!$D:$V,19,false)</f>
        <v>Not Found</v>
      </c>
      <c r="AF15" s="292" t="str">
        <f>IFERROR(__xludf.DUMMYFUNCTION("IFERROR(
  INDEX(
    FILTER(
      'Juma Recording forms'!$G:$G,
      TRIM('Juma Recording forms'!$F:$F) = TRIM($B15),
      'Juma Recording forms'!$AA:$AA = 1
    ),
    1
  ),
  ""Not Found""
)"),"Not Found")</f>
        <v>Not Found</v>
      </c>
      <c r="AG15" s="292">
        <f>IFERROR(__xludf.DUMMYFUNCTION("IFERROR(
  INDEX(
    FILTER(
      'Juma Recording forms'!$G:$G,
      TRIM('Juma Recording forms'!$F:$F) = TRIM($B15),
      'Juma Recording forms'!$AA:$AA = 2
    ),
    1
  ),
  ""Not Found""
)"),150.0)</f>
        <v>150</v>
      </c>
      <c r="AH15" s="292">
        <f>IFERROR(__xludf.DUMMYFUNCTION("IFERROR(
  INDEX(
    FILTER(
      'Juma Recording forms'!$G:$G,
      TRIM('Juma Recording forms'!$F:$F) = TRIM($B15),
      'Juma Recording forms'!$AA:$AA = 3
    ),
    1
  ),
  ""Not Found""
)"),150.0)</f>
        <v>150</v>
      </c>
      <c r="AI15" s="292">
        <f>IFERROR(__xludf.DUMMYFUNCTION("IFERROR(
  INDEX(
    FILTER(
      'Juma Recording forms'!$G:$G,
      TRIM('Juma Recording forms'!$F:$F) = TRIM($B15),
      'Juma Recording forms'!$AA:$AA = 4
    ),
    1
  ),
  ""Not Found""
)"),170.0)</f>
        <v>170</v>
      </c>
      <c r="AJ15" s="292" t="str">
        <f>IFERROR(__xludf.DUMMYFUNCTION("IFERROR(
  INDEX(
    FILTER(
      'Juma Recording forms'!$G:$G,
      TRIM('Juma Recording forms'!$F:$F) = TRIM($B15),
      'Juma Recording forms'!$AA:$AA = 5
    ),
    1
  ),
  ""Not Found""
)"),"Not Found")</f>
        <v>Not Found</v>
      </c>
      <c r="AK15" s="292" t="str">
        <f>IFERROR(__xludf.DUMMYFUNCTION("IFERROR(
  INDEX(
    FILTER(
      'Juma Recording forms'!$G:$G,
      TRIM('Juma Recording forms'!$F:$F) = TRIM($B15),
      'Juma Recording forms'!$AA:$AA = 6
    ),
    1
  ),
  ""Not Found""
)"),"Not Found")</f>
        <v>Not Found</v>
      </c>
      <c r="AL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 *
        (IMPORTRANGE(""https://docs.google.com/spreadsheets/d/161aHT6vVT3SLneTKD19N5qVWtnj_jIT8CSsOmUVKmaA/ed"&amp;"it?gid=1761053510"",
          ""Haris_Form responses 1!$AQ:$AQ"")=1)
      ),
      1
    ),
    ""0""
  ),
  ""Form not found""
)
"),"Form not found")</f>
        <v>Form not found</v>
      </c>
      <c r="AM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 *
        (IMPORTRANGE(""https://docs.google.com/spreadsheets/d/161aHT6vVT3SLneTKD19N5qVWtnj_jIT8CSsOmUVKmaA/ed"&amp;"it?gid=1761053510"",
          ""Haris_Form responses 1!$AQ:$AQ"")=2)
      ),
      1
    ),
    ""0""
  ),
  ""Form not found""
)
"),"10")</f>
        <v>10</v>
      </c>
      <c r="AN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 *
        (IMPORTRANGE(""https://docs.google.com/spreadsheets/d/161aHT6vVT3SLneTKD19N5qVWtnj_jIT8CSsOmUVKmaA/ed"&amp;"it?gid=1761053510"",
          ""Haris_Form responses 1!$AQ:$AQ"")=3)
      ),
      1
    ),
    ""0""
  ),
  ""Form not found""
)
"),"0")</f>
        <v>0</v>
      </c>
      <c r="AO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 *
        (IMPORTRANGE(""https://docs.google.com/spreadsheets/d/161aHT6vVT3SLneTKD19N5qVWtnj_jIT8CSsOmUVKmaA/ed"&amp;"it?gid=1761053510"",
          ""Haris_Form responses 1!$AQ:$AQ"")=4)
      ),
      1
    ),
    ""0""
  ),
  ""Form not found""
)
"),"0")</f>
        <v>0</v>
      </c>
      <c r="AP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 *
        (IMPORTRANGE(""https://docs.google.com/spreadsheets/d/161aHT6vVT3SLneTKD19N5qVWtnj_jIT8CSsOmUVKmaA/ed"&amp;"it?gid=1761053510"",
          ""Haris_Form responses 1!$AQ:$AQ"")=5)
      ),
      1
    ),
    ""0""
  ),
  ""Form not found""
)
"),"Form not found")</f>
        <v>Form not found</v>
      </c>
      <c r="AQ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 *
        (IMPORTRANGE(""https://docs.google.com/spreadsheets/d/161aHT6vVT3SLneTKD19N5qVWtnj_jIT8CSsOmUVKmaA/ed"&amp;"it?gid=1761053510"",
          ""Haris_Form responses 1!$AQ:$AQ"")=6)
      ),
      1
    ),
    ""0""
  ),
  ""Form not found""
)
"),"Form not found")</f>
        <v>Form not found</v>
      </c>
      <c r="AR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 *
        (IMPORTRANGE(""https://docs.google.com/spreadsheets/d/161aHT6vVT3SLneTKD19N5qVWtnj_jIT8CSsOmUVKmaA/ed"&amp;"it?gid=1761053510"",
          ""Haris_Form responses 1!$AQ:$AQ"")=1)
      ),
      1
    ),
    ""0""
  ),
  ""Form not found""
)
"),"Form not found")</f>
        <v>Form not found</v>
      </c>
      <c r="AS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 *
        (IMPORTRANGE(""https://docs.google.com/spreadsheets/d/161aHT6vVT3SLneTKD19N5qVWtnj_jIT8CSsOmUVKmaA/ed"&amp;"it?gid=1761053510"",
          ""Haris_Form responses 1!$AQ:$AQ"")=2)
      ),
      1
    ),
    ""0""
  ),
  ""Form not found""
)
"),"0")</f>
        <v>0</v>
      </c>
      <c r="AT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 *
        (IMPORTRANGE(""https://docs.google.com/spreadsheets/d/161aHT6vVT3SLneTKD19N5qVWtnj_jIT8CSsOmUVKmaA/ed"&amp;"it?gid=1761053510"",
          ""Haris_Form responses 1!$AQ:$AQ"")=3)
      ),
      1
    ),
    ""0""
  ),
  ""Form not found""
)
"),"0")</f>
        <v>0</v>
      </c>
      <c r="AU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 *
        (IMPORTRANGE(""https://docs.google.com/spreadsheets/d/161aHT6vVT3SLneTKD19N5qVWtnj_jIT8CSsOmUVKmaA/ed"&amp;"it?gid=1761053510"",
          ""Haris_Form responses 1!$AQ:$AQ"")=4)
      ),
      1
    ),
    ""0""
  ),
  ""Form not found""
)
"),"2")</f>
        <v>2</v>
      </c>
      <c r="AV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 *
        (IMPORTRANGE(""https://docs.google.com/spreadsheets/d/161aHT6vVT3SLneTKD19N5qVWtnj_jIT8CSsOmUVKmaA/ed"&amp;"it?gid=1761053510"",
          ""Haris_Form responses 1!$AQ:$AQ"")=5)
      ),
      1
    ),
    ""0""
  ),
  ""Form not found""
)
"),"Form not found")</f>
        <v>Form not found</v>
      </c>
      <c r="AW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 *
        (IMPORTRANGE(""https://docs.google.com/spreadsheets/d/161aHT6vVT3SLneTKD19N5qVWtnj_jIT8CSsOmUVKmaA/ed"&amp;"it?gid=1761053510"",
          ""Haris_Form responses 1!$AQ:$AQ"")=6)
      ),
      1
    ),
    ""0""
  ),
  ""Form not found""
)
"),"Form not found")</f>
        <v>Form not found</v>
      </c>
      <c r="AX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 *
        (IMPORTRANGE(""https://docs.google.com/spreadsheets/d/161aHT6vVT3SLneTKD19N5qVWtnj_jIT8CSsOmUVKmaA/ed"&amp;"it?gid=1761053510"",
          ""Haris_Form responses 1!$AQ:$AQ"")=1)
      ),
      1
    ),
    ""0""
  ),
  ""Form not found""
)
"),"Form not found")</f>
        <v>Form not found</v>
      </c>
      <c r="AY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 *
        (IMPORTRANGE(""https://docs.google.com/spreadsheets/d/161aHT6vVT3SLneTKD19N5qVWtnj_jIT8CSsOmUVKmaA/ed"&amp;"it?gid=1761053510"",
          ""Haris_Form responses 1!$AQ:$AQ"")=2)
      ),
      1
    ),
    ""0""
  ),
  ""Form not found""
)
"),"10")</f>
        <v>10</v>
      </c>
      <c r="AZ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 *
        (IMPORTRANGE(""https://docs.google.com/spreadsheets/d/161aHT6vVT3SLneTKD19N5qVWtnj_jIT8CSsOmUVKmaA/ed"&amp;"it?gid=1761053510"",
          ""Haris_Form responses 1!$AQ:$AQ"")=3)
      ),
      1
    ),
    ""0""
  ),
  ""Form not found""
)
"),"0")</f>
        <v>0</v>
      </c>
      <c r="BA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 *
        (IMPORTRANGE(""https://docs.google.com/spreadsheets/d/161aHT6vVT3SLneTKD19N5qVWtnj_jIT8CSsOmUVKmaA/ed"&amp;"it?gid=1761053510"",
          ""Haris_Form responses 1!$AQ:$AQ"")=4)
      ),
      1
    ),
    ""0""
  ),
  ""Form not found""
)
"),"0")</f>
        <v>0</v>
      </c>
      <c r="BB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 *
        (IMPORTRANGE(""https://docs.google.com/spreadsheets/d/161aHT6vVT3SLneTKD19N5qVWtnj_jIT8CSsOmUVKmaA/ed"&amp;"it?gid=1761053510"",
          ""Haris_Form responses 1!$AQ:$AQ"")=5)
      ),
      1
    ),
    ""0""
  ),
  ""Form not found""
)
"),"Form not found")</f>
        <v>Form not found</v>
      </c>
      <c r="BC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 *
        (IMPORTRANGE(""https://docs.google.com/spreadsheets/d/161aHT6vVT3SLneTKD19N5qVWtnj_jIT8CSsOmUVKmaA/ed"&amp;"it?gid=1761053510"",
          ""Haris_Form responses 1!$AQ:$AQ"")=6)
      ),
      1
    ),
    ""0""
  ),
  ""Form not found""
)
"),"Form not found")</f>
        <v>Form not found</v>
      </c>
      <c r="BD15" s="293"/>
    </row>
    <row r="16">
      <c r="A16" s="283" t="str">
        <f>IFERROR(__xludf.DUMMYFUNCTION("VLOOKUP($B16,IMPORTRANGE(""https://docs.google.com/spreadsheets/d/1VNXDITjs75AcgdBSW27oL1VZH31udDprJSsBcE5xlp4/edit?gid=1551188038#gid=1551188038"", ""Sheet9!$B:$E""),2,false)"),"Lahore")</f>
        <v>Lahore</v>
      </c>
      <c r="B16" s="283" t="s">
        <v>1328</v>
      </c>
      <c r="C16" s="284" t="str">
        <f>IFERROR(__xludf.DUMMYFUNCTION("VLOOKUP(TRIM($B16), IMPORTRANGE(""https://docs.google.com/spreadsheets/d/1aSOrU4PTpuBZqfitKaH1Rfww6-YOiNCKoBpPl8XBHaw/edit?gid=0#gid=0"", ""sheet3!$B:$C""), 2, FALSE)
"),"Jamia Masjid Takiya Abdul Wahaab Lahore")</f>
        <v>Jamia Masjid Takiya Abdul Wahaab Lahore</v>
      </c>
      <c r="D16" s="284" t="str">
        <f>IFERROR(__xludf.DUMMYFUNCTION("IFERROR(
  INDEX(
    FILTER(
      IMPORTRANGE(""1aSOrU4PTpuBZqfitKaH1Rfww6-YOiNCKoBpPl8XBHaw/edit?gid=0#gid=0"",""Sheet1!G:G""),
      IMPORTRANGE(""1aSOrU4PTpuBZqfitKaH1Rfww6-YOiNCKoBpPl8XBHaw/edit?gid=0#gid=0"",""Sheet1!C:C"")=$B16
    ),
    1
  ),
 "&amp;" ""Not Found""
)"),"Control")</f>
        <v>Control</v>
      </c>
      <c r="E16" s="284" t="str">
        <f>VLOOKUP(B16,'Juma Recording forms'!A:E,5,false)</f>
        <v>Jamia Masjid Sakhi Abdul Wahab </v>
      </c>
      <c r="F16" s="284" t="str">
        <f>IFERROR(__xludf.DUMMYFUNCTION("IFERROR(
  INDEX(
    FILTER(
      IMPORTRANGE(""1Cxrhp3-_-HS7v9uuqQliiIfrmMP4VaFoDNDWyUFy2J8/edit?gid=0#gid=0"",""Sheet1!Q:Q""),
      IMPORTRANGE(""1Cxrhp3-_-HS7v9uuqQliiIfrmMP4VaFoDNDWyUFy2J8/edit?gid=0#gid=0"",""Sheet1!K:K"")=$B16
    ),
    1
  ),
 "&amp;" ""Not Found""
)"),"Mukhtar Ahmed chisti")</f>
        <v>Mukhtar Ahmed chisti</v>
      </c>
      <c r="G16" s="284">
        <v>1920.0</v>
      </c>
      <c r="H16" s="284"/>
      <c r="I16" s="285"/>
      <c r="J16" s="286">
        <v>2.0</v>
      </c>
      <c r="K16" s="287" t="str">
        <f>VLOOKUP($B16,'Mosque Locations'!$A:$E,3,FALSE)
</f>
        <v>https://maps.google.com/maps?q=31.5534798%2C74.3125106&amp;z=17&amp;hl=en</v>
      </c>
      <c r="L16" s="286">
        <f>VLOOKUP($B16,'Mosque Locations'!$A:$E,4,FALSE)
</f>
        <v>31.5534798</v>
      </c>
      <c r="M16" s="286">
        <f>VLOOKUP($B16,'Mosque Locations'!$A:$E,5,false)</f>
        <v>74.3125106</v>
      </c>
      <c r="N16" s="288"/>
      <c r="O16" s="288"/>
      <c r="P16" s="288"/>
      <c r="Q16" s="289" t="str">
        <f>IFERROR(__xludf.DUMMYFUNCTION("IFERROR(
  INDEX(
    FILTER(
      IMPORTRANGE(""1DccNxjBgurEr0ABkI_rBagJT5phB5HaHG5N_mTm_BiA"",""Form Responses 1!T:T""),
      TRIM(IMPORTRANGE(""1DccNxjBgurEr0ABkI_rBagJT5phB5HaHG5N_mTm_BiA"",""Form Responses 1!E:E""))=TRIM($B16)
    ),
    1
  ),
  "&amp;"""Not Found""
)
"),"https://drive.google.com/open?id=1dQpZB2ZZr7YzzDhQRhiyfJBGYBJYPaoG")</f>
        <v>https://drive.google.com/open?id=1dQpZB2ZZr7YzzDhQRhiyfJBGYBJYPaoG</v>
      </c>
      <c r="R16" s="289" t="str">
        <f>IFERROR(__xludf.DUMMYFUNCTION("IFERROR(
  INDEX(
    FILTER(
      IMPORTRANGE(""1DccNxjBgurEr0ABkI_rBagJT5phB5HaHG5N_mTm_BiA"",""Form Responses 1!S:S""),
      TRIM(IMPORTRANGE(""1DccNxjBgurEr0ABkI_rBagJT5phB5HaHG5N_mTm_BiA"",""Form Responses 1!E:E""))=TRIM($B16)
    ),
    1
  ),
  "&amp;"""Not Found""
)
"),"https://drive.google.com/open?id=1YV8RvDiS3nOTbKovf2rZtvVoQizGmGtA")</f>
        <v>https://drive.google.com/open?id=1YV8RvDiS3nOTbKovf2rZtvVoQizGmGtA</v>
      </c>
      <c r="S16" s="285"/>
      <c r="T16" s="290" t="str">
        <f>VLOOKUP($B16,'Master Tracker'!$D:$E,2,false)</f>
        <v>https://drive.google.com/open?id=1B1t76Ga60ld94Y1IQ_DulkO8hdUnlfxq</v>
      </c>
      <c r="U16" s="291" t="str">
        <f>VLOOKUP($B16,'Master Tracker'!$D:$T,4,FALSE)
</f>
        <v>https://drive.google.com/open?id=1HGG9WXpilL888EoLqp-mWcMvBFNV2LR4</v>
      </c>
      <c r="V16" s="284" t="str">
        <f>VLOOKUP($B16,'Master Tracker'!$D:$T,5,false)</f>
        <v>Not Found</v>
      </c>
      <c r="W16" s="292" t="str">
        <f>VLOOKUP($B16,'Master Tracker'!$D:$T,7,false)</f>
        <v>Not Found</v>
      </c>
      <c r="X16" s="290" t="str">
        <f>VLOOKUP($B16,'Master Tracker'!$D:$T,8,false)</f>
        <v>https://drive.google.com/open?id=16GwmzVRw-adnS8j1_LVDt-UbPQ80wqdm</v>
      </c>
      <c r="Y16" s="291" t="str">
        <f>VLOOKUP($B16,'Master Tracker'!$D:$T,10,false)</f>
        <v>https://drive.google.com/open?id=1r1t4dTo4TXoKaIhQyczqd02NKYLfGFFE</v>
      </c>
      <c r="Z16" s="284" t="str">
        <f>VLOOKUP($B16,'Master Tracker'!$D:$T,11,false)</f>
        <v>Not Found</v>
      </c>
      <c r="AA16" s="292" t="str">
        <f>VLOOKUP($B16,'Master Tracker'!$D:$T,13,false)</f>
        <v>Not Found</v>
      </c>
      <c r="AB16" s="284" t="str">
        <f>VLOOKUP($B16,'Master Tracker'!$D:$T,14,false)</f>
        <v>Not Found</v>
      </c>
      <c r="AC16" s="292" t="str">
        <f>VLOOKUP($B16,'Master Tracker'!$D:$T,16,false)</f>
        <v>Not Found</v>
      </c>
      <c r="AD16" s="292" t="str">
        <f>VLOOKUP($B16,'Master Tracker'!$D:$T,17,false)</f>
        <v>Not Found</v>
      </c>
      <c r="AE16" s="292" t="str">
        <f>VLOOKUP($B16,'Master Tracker'!$D:$V,19,false)</f>
        <v>Not Found</v>
      </c>
      <c r="AF16" s="292">
        <f>IFERROR(__xludf.DUMMYFUNCTION("IFERROR(
  INDEX(
    FILTER(
      'Juma Recording forms'!$G:$G,
      TRIM('Juma Recording forms'!$F:$F) = TRIM($B16),
      'Juma Recording forms'!$AA:$AA = 1
    ),
    1
  ),
  ""Not Found""
)"),95.0)</f>
        <v>95</v>
      </c>
      <c r="AG16" s="292" t="str">
        <f>IFERROR(__xludf.DUMMYFUNCTION("IFERROR(
  INDEX(
    FILTER(
      'Juma Recording forms'!$G:$G,
      TRIM('Juma Recording forms'!$F:$F) = TRIM($B16),
      'Juma Recording forms'!$AA:$AA = 2
    ),
    1
  ),
  ""Not Found""
)"),"Not Found")</f>
        <v>Not Found</v>
      </c>
      <c r="AH16" s="292">
        <f>IFERROR(__xludf.DUMMYFUNCTION("IFERROR(
  INDEX(
    FILTER(
      'Juma Recording forms'!$G:$G,
      TRIM('Juma Recording forms'!$F:$F) = TRIM($B16),
      'Juma Recording forms'!$AA:$AA = 3
    ),
    1
  ),
  ""Not Found""
)"),92.0)</f>
        <v>92</v>
      </c>
      <c r="AI16" s="292" t="str">
        <f>IFERROR(__xludf.DUMMYFUNCTION("IFERROR(
  INDEX(
    FILTER(
      'Juma Recording forms'!$G:$G,
      TRIM('Juma Recording forms'!$F:$F) = TRIM($B16),
      'Juma Recording forms'!$AA:$AA = 4
    ),
    1
  ),
  ""Not Found""
)"),"Not Found")</f>
        <v>Not Found</v>
      </c>
      <c r="AJ16" s="292" t="str">
        <f>IFERROR(__xludf.DUMMYFUNCTION("IFERROR(
  INDEX(
    FILTER(
      'Juma Recording forms'!$G:$G,
      TRIM('Juma Recording forms'!$F:$F) = TRIM($B16),
      'Juma Recording forms'!$AA:$AA = 5
    ),
    1
  ),
  ""Not Found""
)"),"Not Found")</f>
        <v>Not Found</v>
      </c>
      <c r="AK16" s="292"/>
      <c r="AL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 *
        (IMPORTRANGE(""https://docs.google.com/spreadsheets/d/161aHT6vVT3SLneTKD19N5qVWtnj_jIT8CSsOmUVKmaA/ed"&amp;"it?gid=1761053510"",
          ""Haris_Form responses 1!$AQ:$AQ"")=1)
      ),
      1
    ),
    ""0""
  ),
  ""Form not found""
)
"),"0")</f>
        <v>0</v>
      </c>
      <c r="AM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 *
        (IMPORTRANGE(""https://docs.google.com/spreadsheets/d/161aHT6vVT3SLneTKD19N5qVWtnj_jIT8CSsOmUVKmaA/ed"&amp;"it?gid=1761053510"",
          ""Haris_Form responses 1!$AQ:$AQ"")=2)
      ),
      1
    ),
    ""0""
  ),
  ""Form not found""
)
"),"Form not found")</f>
        <v>Form not found</v>
      </c>
      <c r="AN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 *
        (IMPORTRANGE(""https://docs.google.com/spreadsheets/d/161aHT6vVT3SLneTKD19N5qVWtnj_jIT8CSsOmUVKmaA/ed"&amp;"it?gid=1761053510"",
          ""Haris_Form responses 1!$AQ:$AQ"")=3)
      ),
      1
    ),
    ""0""
  ),
  ""Form not found""
)
"),"0")</f>
        <v>0</v>
      </c>
      <c r="AO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 *
        (IMPORTRANGE(""https://docs.google.com/spreadsheets/d/161aHT6vVT3SLneTKD19N5qVWtnj_jIT8CSsOmUVKmaA/ed"&amp;"it?gid=1761053510"",
          ""Haris_Form responses 1!$AQ:$AQ"")=4)
      ),
      1
    ),
    ""0""
  ),
  ""Form not found""
)
"),"Form not found")</f>
        <v>Form not found</v>
      </c>
      <c r="AP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 *
        (IMPORTRANGE(""https://docs.google.com/spreadsheets/d/161aHT6vVT3SLneTKD19N5qVWtnj_jIT8CSsOmUVKmaA/ed"&amp;"it?gid=1761053510"",
          ""Haris_Form responses 1!$AQ:$AQ"")=5)
      ),
      1
    ),
    ""0""
  ),
  ""Form not found""
)
"),"Form not found")</f>
        <v>Form not found</v>
      </c>
      <c r="AQ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 *
        (IMPORTRANGE(""https://docs.google.com/spreadsheets/d/161aHT6vVT3SLneTKD19N5qVWtnj_jIT8CSsOmUVKmaA/ed"&amp;"it?gid=1761053510"",
          ""Haris_Form responses 1!$AQ:$AQ"")=6)
      ),
      1
    ),
    ""0""
  ),
  ""Form not found""
)
"),"Form not found")</f>
        <v>Form not found</v>
      </c>
      <c r="AR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 *
        (IMPORTRANGE(""https://docs.google.com/spreadsheets/d/161aHT6vVT3SLneTKD19N5qVWtnj_jIT8CSsOmUVKmaA/ed"&amp;"it?gid=1761053510"",
          ""Haris_Form responses 1!$AQ:$AQ"")=1)
      ),
      1
    ),
    ""0""
  ),
  ""Form not found""
)
"),"0")</f>
        <v>0</v>
      </c>
      <c r="AS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 *
        (IMPORTRANGE(""https://docs.google.com/spreadsheets/d/161aHT6vVT3SLneTKD19N5qVWtnj_jIT8CSsOmUVKmaA/ed"&amp;"it?gid=1761053510"",
          ""Haris_Form responses 1!$AQ:$AQ"")=2)
      ),
      1
    ),
    ""0""
  ),
  ""Form not found""
)
"),"Form not found")</f>
        <v>Form not found</v>
      </c>
      <c r="AT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 *
        (IMPORTRANGE(""https://docs.google.com/spreadsheets/d/161aHT6vVT3SLneTKD19N5qVWtnj_jIT8CSsOmUVKmaA/ed"&amp;"it?gid=1761053510"",
          ""Haris_Form responses 1!$AQ:$AQ"")=3)
      ),
      1
    ),
    ""0""
  ),
  ""Form not found""
)
"),"0")</f>
        <v>0</v>
      </c>
      <c r="AU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 *
        (IMPORTRANGE(""https://docs.google.com/spreadsheets/d/161aHT6vVT3SLneTKD19N5qVWtnj_jIT8CSsOmUVKmaA/ed"&amp;"it?gid=1761053510"",
          ""Haris_Form responses 1!$AQ:$AQ"")=4)
      ),
      1
    ),
    ""0""
  ),
  ""Form not found""
)
"),"Form not found")</f>
        <v>Form not found</v>
      </c>
      <c r="AV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 *
        (IMPORTRANGE(""https://docs.google.com/spreadsheets/d/161aHT6vVT3SLneTKD19N5qVWtnj_jIT8CSsOmUVKmaA/ed"&amp;"it?gid=1761053510"",
          ""Haris_Form responses 1!$AQ:$AQ"")=5)
      ),
      1
    ),
    ""0""
  ),
  ""Form not found""
)
"),"Form not found")</f>
        <v>Form not found</v>
      </c>
      <c r="AW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 *
        (IMPORTRANGE(""https://docs.google.com/spreadsheets/d/161aHT6vVT3SLneTKD19N5qVWtnj_jIT8CSsOmUVKmaA/ed"&amp;"it?gid=1761053510"",
          ""Haris_Form responses 1!$AQ:$AQ"")=6)
      ),
      1
    ),
    ""0""
  ),
  ""Form not found""
)
"),"Form not found")</f>
        <v>Form not found</v>
      </c>
      <c r="AX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 *
        (IMPORTRANGE(""https://docs.google.com/spreadsheets/d/161aHT6vVT3SLneTKD19N5qVWtnj_jIT8CSsOmUVKmaA/ed"&amp;"it?gid=1761053510"",
          ""Haris_Form responses 1!$AQ:$AQ"")=1)
      ),
      1
    ),
    ""0""
  ),
  ""Form not found""
)
"),"5")</f>
        <v>5</v>
      </c>
      <c r="AY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 *
        (IMPORTRANGE(""https://docs.google.com/spreadsheets/d/161aHT6vVT3SLneTKD19N5qVWtnj_jIT8CSsOmUVKmaA/ed"&amp;"it?gid=1761053510"",
          ""Haris_Form responses 1!$AQ:$AQ"")=2)
      ),
      1
    ),
    ""0""
  ),
  ""Form not found""
)
"),"Form not found")</f>
        <v>Form not found</v>
      </c>
      <c r="AZ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 *
        (IMPORTRANGE(""https://docs.google.com/spreadsheets/d/161aHT6vVT3SLneTKD19N5qVWtnj_jIT8CSsOmUVKmaA/ed"&amp;"it?gid=1761053510"",
          ""Haris_Form responses 1!$AQ:$AQ"")=3)
      ),
      1
    ),
    ""0""
  ),
  ""Form not found""
)
"),"0")</f>
        <v>0</v>
      </c>
      <c r="BA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 *
        (IMPORTRANGE(""https://docs.google.com/spreadsheets/d/161aHT6vVT3SLneTKD19N5qVWtnj_jIT8CSsOmUVKmaA/ed"&amp;"it?gid=1761053510"",
          ""Haris_Form responses 1!$AQ:$AQ"")=4)
      ),
      1
    ),
    ""0""
  ),
  ""Form not found""
)
"),"Form not found")</f>
        <v>Form not found</v>
      </c>
      <c r="BB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 *
        (IMPORTRANGE(""https://docs.google.com/spreadsheets/d/161aHT6vVT3SLneTKD19N5qVWtnj_jIT8CSsOmUVKmaA/ed"&amp;"it?gid=1761053510"",
          ""Haris_Form responses 1!$AQ:$AQ"")=5)
      ),
      1
    ),
    ""0""
  ),
  ""Form not found""
)
"),"Form not found")</f>
        <v>Form not found</v>
      </c>
      <c r="BC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 *
        (IMPORTRANGE(""https://docs.google.com/spreadsheets/d/161aHT6vVT3SLneTKD19N5qVWtnj_jIT8CSsOmUVKmaA/ed"&amp;"it?gid=1761053510"",
          ""Haris_Form responses 1!$AQ:$AQ"")=6)
      ),
      1
    ),
    ""0""
  ),
  ""Form not found""
)
"),"Form not found")</f>
        <v>Form not found</v>
      </c>
      <c r="BD16" s="293"/>
    </row>
    <row r="17">
      <c r="A17" s="283" t="str">
        <f>IFERROR(__xludf.DUMMYFUNCTION("VLOOKUP($B17,IMPORTRANGE(""https://docs.google.com/spreadsheets/d/1VNXDITjs75AcgdBSW27oL1VZH31udDprJSsBcE5xlp4/edit?gid=1551188038#gid=1551188038"", ""Sheet9!$B:$E""),2,false)"),"Lahore")</f>
        <v>Lahore</v>
      </c>
      <c r="B17" s="283" t="s">
        <v>1499</v>
      </c>
      <c r="C17" s="284" t="str">
        <f>IFERROR(__xludf.DUMMYFUNCTION("VLOOKUP(TRIM($B17), IMPORTRANGE(""https://docs.google.com/spreadsheets/d/1aSOrU4PTpuBZqfitKaH1Rfww6-YOiNCKoBpPl8XBHaw/edit?gid=0#gid=0"", ""sheet3!$B:$C""), 2, FALSE)
"),"Jamia Masjid Chowk Dalkara Lahore")</f>
        <v>Jamia Masjid Chowk Dalkara Lahore</v>
      </c>
      <c r="D17" s="284" t="str">
        <f>IFERROR(__xludf.DUMMYFUNCTION("IFERROR(
  INDEX(
    FILTER(
      IMPORTRANGE(""1aSOrU4PTpuBZqfitKaH1Rfww6-YOiNCKoBpPl8XBHaw/edit?gid=0#gid=0"",""Sheet1!G:G""),
      IMPORTRANGE(""1aSOrU4PTpuBZqfitKaH1Rfww6-YOiNCKoBpPl8XBHaw/edit?gid=0#gid=0"",""Sheet1!C:C"")=$B17
    ),
    1
  ),
 "&amp;" ""Not Found""
)"),"Women Secular Info Share")</f>
        <v>Women Secular Info Share</v>
      </c>
      <c r="E17" s="284" t="str">
        <f>VLOOKUP(B17,'Juma Recording forms'!A:E,5,false)</f>
        <v>Jamia Masjid Chowk Dalkara Lahore</v>
      </c>
      <c r="F17" s="284" t="str">
        <f>IFERROR(__xludf.DUMMYFUNCTION("IFERROR(
  INDEX(
    FILTER(
      IMPORTRANGE(""1Cxrhp3-_-HS7v9uuqQliiIfrmMP4VaFoDNDWyUFy2J8/edit?gid=0#gid=0"",""Sheet1!Q:Q""),
      IMPORTRANGE(""1Cxrhp3-_-HS7v9uuqQliiIfrmMP4VaFoDNDWyUFy2J8/edit?gid=0#gid=0"",""Sheet1!K:K"")=$B17
    ),
    1
  ),
 "&amp;" ""Not Found""
)"),"Maulana fayaz Hussain Shah ")</f>
        <v>Maulana fayaz Hussain Shah </v>
      </c>
      <c r="G17" s="284">
        <v>1974.0</v>
      </c>
      <c r="H17" s="284"/>
      <c r="I17" s="285"/>
      <c r="J17" s="286">
        <v>2.0</v>
      </c>
      <c r="K17" s="287" t="str">
        <f>VLOOKUP($B17,'Mosque Locations'!$A:$E,3,FALSE)
</f>
        <v>https://maps.google.com/maps?q=31.5755784%2C74.3292907&amp;z=17&amp;hl=en</v>
      </c>
      <c r="L17" s="286">
        <f>VLOOKUP($B17,'Mosque Locations'!$A:$E,4,FALSE)
</f>
        <v>31.57558</v>
      </c>
      <c r="M17" s="286">
        <f>VLOOKUP($B17,'Mosque Locations'!$A:$E,5,false)</f>
        <v>74.32929</v>
      </c>
      <c r="N17" s="288"/>
      <c r="O17" s="288"/>
      <c r="P17" s="288"/>
      <c r="Q17" s="289" t="str">
        <f>IFERROR(__xludf.DUMMYFUNCTION("IFERROR(
  INDEX(
    FILTER(
      IMPORTRANGE(""1DccNxjBgurEr0ABkI_rBagJT5phB5HaHG5N_mTm_BiA"",""Form Responses 1!T:T""),
      TRIM(IMPORTRANGE(""1DccNxjBgurEr0ABkI_rBagJT5phB5HaHG5N_mTm_BiA"",""Form Responses 1!E:E""))=TRIM($B17)
    ),
    1
  ),
  "&amp;"""Not Found""
)
"),"https://drive.google.com/open?id=16dWKNJGmt8AGL7fEnGIN71_I-eGYDPAH")</f>
        <v>https://drive.google.com/open?id=16dWKNJGmt8AGL7fEnGIN71_I-eGYDPAH</v>
      </c>
      <c r="R17" s="289" t="str">
        <f>IFERROR(__xludf.DUMMYFUNCTION("IFERROR(
  INDEX(
    FILTER(
      IMPORTRANGE(""1DccNxjBgurEr0ABkI_rBagJT5phB5HaHG5N_mTm_BiA"",""Form Responses 1!S:S""),
      TRIM(IMPORTRANGE(""1DccNxjBgurEr0ABkI_rBagJT5phB5HaHG5N_mTm_BiA"",""Form Responses 1!E:E""))=TRIM($B17)
    ),
    1
  ),
  "&amp;"""Not Found""
)
"),"https://drive.google.com/open?id=1nDBlAkLDGzuDR3ZekNzPwNjQDq4CqNER")</f>
        <v>https://drive.google.com/open?id=1nDBlAkLDGzuDR3ZekNzPwNjQDq4CqNER</v>
      </c>
      <c r="S17" s="285"/>
      <c r="T17" s="290" t="str">
        <f>VLOOKUP($B17,'Master Tracker'!$D:$E,2,false)</f>
        <v>https://drive.google.com/open?id=1aE8FMoMOs4oIeK0LRThhO-jpE7Ptm3b4</v>
      </c>
      <c r="U17" s="291" t="str">
        <f>VLOOKUP($B17,'Master Tracker'!$D:$T,4,FALSE)
</f>
        <v>https://drive.google.com/open?id=1oV81VlGI-RzB36Yz2ty0IreqaOmUbBW3</v>
      </c>
      <c r="V17" s="290" t="str">
        <f>VLOOKUP($B17,'Master Tracker'!$D:$T,5,false)</f>
        <v>https://drive.google.com/open?id=1UrzgFv_fjkkDkuA04F0kBPlldeIKh-qV</v>
      </c>
      <c r="W17" s="291" t="str">
        <f>VLOOKUP($B17,'Master Tracker'!$D:$T,7,false)</f>
        <v>https://drive.google.com/open?id=1LBL5F3Y1qgPx2SA03jKT5RJ66b-gZ_41</v>
      </c>
      <c r="X17" s="290" t="str">
        <f>VLOOKUP($B17,'Master Tracker'!$D:$T,8,false)</f>
        <v>https://drive.google.com/open?id=1g7_grmFRdbxr6QenbCNNxj-nCgU8Du_z</v>
      </c>
      <c r="Y17" s="291" t="str">
        <f>VLOOKUP($B17,'Master Tracker'!$D:$T,10,false)</f>
        <v>https://drive.google.com/open?id=1AGYglcUrUzITYZT_P0xQ-jx745cq3zz1</v>
      </c>
      <c r="Z17" s="290" t="str">
        <f>VLOOKUP($B17,'Master Tracker'!$D:$T,11,false)</f>
        <v>https://drive.google.com/open?id=106ZBaIwZixMXQXNfnwxk6ogYmHF3uvMN</v>
      </c>
      <c r="AA17" s="291" t="str">
        <f>VLOOKUP($B17,'Master Tracker'!$D:$T,13,false)</f>
        <v>https://drive.google.com/open?id=1pXc6e2KSlhax2blaYK_aVanzK5WNcI9e</v>
      </c>
      <c r="AB17" s="284" t="str">
        <f>VLOOKUP($B17,'Master Tracker'!$D:$T,14,false)</f>
        <v>Not Found</v>
      </c>
      <c r="AC17" s="292" t="str">
        <f>VLOOKUP($B17,'Master Tracker'!$D:$T,16,false)</f>
        <v>Not Found</v>
      </c>
      <c r="AD17" s="292" t="str">
        <f>VLOOKUP($B17,'Master Tracker'!$D:$T,17,false)</f>
        <v>Not Found</v>
      </c>
      <c r="AE17" s="292" t="str">
        <f>VLOOKUP($B17,'Master Tracker'!$D:$V,19,false)</f>
        <v>Not Found</v>
      </c>
      <c r="AF17" s="292">
        <f>IFERROR(__xludf.DUMMYFUNCTION("IFERROR(
  INDEX(
    FILTER(
      'Juma Recording forms'!$G:$G,
      TRIM('Juma Recording forms'!$F:$F) = TRIM($B17),
      'Juma Recording forms'!$AA:$AA = 1
    ),
    1
  ),
  ""Not Found""
)"),390.0)</f>
        <v>390</v>
      </c>
      <c r="AG17" s="292">
        <f>IFERROR(__xludf.DUMMYFUNCTION("IFERROR(
  INDEX(
    FILTER(
      'Juma Recording forms'!$G:$G,
      TRIM('Juma Recording forms'!$F:$F) = TRIM($B17),
      'Juma Recording forms'!$AA:$AA = 2
    ),
    1
  ),
  ""Not Found""
)"),410.0)</f>
        <v>410</v>
      </c>
      <c r="AH17" s="292">
        <f>IFERROR(__xludf.DUMMYFUNCTION("IFERROR(
  INDEX(
    FILTER(
      'Juma Recording forms'!$G:$G,
      TRIM('Juma Recording forms'!$F:$F) = TRIM($B17),
      'Juma Recording forms'!$AA:$AA = 3
    ),
    1
  ),
  ""Not Found""
)"),380.0)</f>
        <v>380</v>
      </c>
      <c r="AI17" s="292">
        <f>IFERROR(__xludf.DUMMYFUNCTION("IFERROR(
  INDEX(
    FILTER(
      'Juma Recording forms'!$G:$G,
      TRIM('Juma Recording forms'!$F:$F) = TRIM($B17),
      'Juma Recording forms'!$AA:$AA = 4
    ),
    1
  ),
  ""Not Found""
)"),385.0)</f>
        <v>385</v>
      </c>
      <c r="AJ17" s="292" t="str">
        <f>IFERROR(__xludf.DUMMYFUNCTION("IFERROR(
  INDEX(
    FILTER(
      'Juma Recording forms'!$G:$G,
      TRIM('Juma Recording forms'!$F:$F) = TRIM($B17),
      'Juma Recording forms'!$AA:$AA = 5
    ),
    1
  ),
  ""Not Found""
)"),"Not Found")</f>
        <v>Not Found</v>
      </c>
      <c r="AK17" s="292" t="str">
        <f>IFERROR(__xludf.DUMMYFUNCTION("IFERROR(
  INDEX(
    FILTER(
      'Juma Recording forms'!$G:$G,
      TRIM('Juma Recording forms'!$F:$F) = TRIM($B17),
      'Juma Recording forms'!$AA:$AA = 6
    ),
    1
  ),
  ""Not Found""
)"),"Not Found")</f>
        <v>Not Found</v>
      </c>
      <c r="AL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 *
        (IMPORTRANGE(""https://docs.google.com/spreadsheets/d/161aHT6vVT3SLneTKD19N5qVWtnj_jIT8CSsOmUVKmaA/ed"&amp;"it?gid=1761053510"",
          ""Haris_Form responses 1!$AQ:$AQ"")=1)
      ),
      1
    ),
    ""0""
  ),
  ""Form not found""
)
"),"0")</f>
        <v>0</v>
      </c>
      <c r="AM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 *
        (IMPORTRANGE(""https://docs.google.com/spreadsheets/d/161aHT6vVT3SLneTKD19N5qVWtnj_jIT8CSsOmUVKmaA/ed"&amp;"it?gid=1761053510"",
          ""Haris_Form responses 1!$AQ:$AQ"")=2)
      ),
      1
    ),
    ""0""
  ),
  ""Form not found""
)
"),"5")</f>
        <v>5</v>
      </c>
      <c r="AN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 *
        (IMPORTRANGE(""https://docs.google.com/spreadsheets/d/161aHT6vVT3SLneTKD19N5qVWtnj_jIT8CSsOmUVKmaA/ed"&amp;"it?gid=1761053510"",
          ""Haris_Form responses 1!$AQ:$AQ"")=3)
      ),
      1
    ),
    ""0""
  ),
  ""Form not found""
)
"),"0")</f>
        <v>0</v>
      </c>
      <c r="AO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 *
        (IMPORTRANGE(""https://docs.google.com/spreadsheets/d/161aHT6vVT3SLneTKD19N5qVWtnj_jIT8CSsOmUVKmaA/ed"&amp;"it?gid=1761053510"",
          ""Haris_Form responses 1!$AQ:$AQ"")=4)
      ),
      1
    ),
    ""0""
  ),
  ""Form not found""
)
"),"0")</f>
        <v>0</v>
      </c>
      <c r="AP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 *
        (IMPORTRANGE(""https://docs.google.com/spreadsheets/d/161aHT6vVT3SLneTKD19N5qVWtnj_jIT8CSsOmUVKmaA/ed"&amp;"it?gid=1761053510"",
          ""Haris_Form responses 1!$AQ:$AQ"")=5)
      ),
      1
    ),
    ""0""
  ),
  ""Form not found""
)
"),"Form not found")</f>
        <v>Form not found</v>
      </c>
      <c r="AQ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 *
        (IMPORTRANGE(""https://docs.google.com/spreadsheets/d/161aHT6vVT3SLneTKD19N5qVWtnj_jIT8CSsOmUVKmaA/ed"&amp;"it?gid=1761053510"",
          ""Haris_Form responses 1!$AQ:$AQ"")=6)
      ),
      1
    ),
    ""0""
  ),
  ""Form not found""
)
"),"Form not found")</f>
        <v>Form not found</v>
      </c>
      <c r="AR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 *
        (IMPORTRANGE(""https://docs.google.com/spreadsheets/d/161aHT6vVT3SLneTKD19N5qVWtnj_jIT8CSsOmUVKmaA/ed"&amp;"it?gid=1761053510"",
          ""Haris_Form responses 1!$AQ:$AQ"")=1)
      ),
      1
    ),
    ""0""
  ),
  ""Form not found""
)
"),"0")</f>
        <v>0</v>
      </c>
      <c r="AS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 *
        (IMPORTRANGE(""https://docs.google.com/spreadsheets/d/161aHT6vVT3SLneTKD19N5qVWtnj_jIT8CSsOmUVKmaA/ed"&amp;"it?gid=1761053510"",
          ""Haris_Form responses 1!$AQ:$AQ"")=2)
      ),
      1
    ),
    ""0""
  ),
  ""Form not found""
)
"),"0")</f>
        <v>0</v>
      </c>
      <c r="AT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 *
        (IMPORTRANGE(""https://docs.google.com/spreadsheets/d/161aHT6vVT3SLneTKD19N5qVWtnj_jIT8CSsOmUVKmaA/ed"&amp;"it?gid=1761053510"",
          ""Haris_Form responses 1!$AQ:$AQ"")=3)
      ),
      1
    ),
    ""0""
  ),
  ""Form not found""
)
"),"0")</f>
        <v>0</v>
      </c>
      <c r="AU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 *
        (IMPORTRANGE(""https://docs.google.com/spreadsheets/d/161aHT6vVT3SLneTKD19N5qVWtnj_jIT8CSsOmUVKmaA/ed"&amp;"it?gid=1761053510"",
          ""Haris_Form responses 1!$AQ:$AQ"")=4)
      ),
      1
    ),
    ""0""
  ),
  ""Form not found""
)
"),"0")</f>
        <v>0</v>
      </c>
      <c r="AV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 *
        (IMPORTRANGE(""https://docs.google.com/spreadsheets/d/161aHT6vVT3SLneTKD19N5qVWtnj_jIT8CSsOmUVKmaA/ed"&amp;"it?gid=1761053510"",
          ""Haris_Form responses 1!$AQ:$AQ"")=5)
      ),
      1
    ),
    ""0""
  ),
  ""Form not found""
)
"),"Form not found")</f>
        <v>Form not found</v>
      </c>
      <c r="AW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 *
        (IMPORTRANGE(""https://docs.google.com/spreadsheets/d/161aHT6vVT3SLneTKD19N5qVWtnj_jIT8CSsOmUVKmaA/ed"&amp;"it?gid=1761053510"",
          ""Haris_Form responses 1!$AQ:$AQ"")=6)
      ),
      1
    ),
    ""0""
  ),
  ""Form not found""
)
"),"Form not found")</f>
        <v>Form not found</v>
      </c>
      <c r="AX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 *
        (IMPORTRANGE(""https://docs.google.com/spreadsheets/d/161aHT6vVT3SLneTKD19N5qVWtnj_jIT8CSsOmUVKmaA/ed"&amp;"it?gid=1761053510"",
          ""Haris_Form responses 1!$AQ:$AQ"")=1)
      ),
      1
    ),
    ""0""
  ),
  ""Form not found""
)
"),"0")</f>
        <v>0</v>
      </c>
      <c r="AY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 *
        (IMPORTRANGE(""https://docs.google.com/spreadsheets/d/161aHT6vVT3SLneTKD19N5qVWtnj_jIT8CSsOmUVKmaA/ed"&amp;"it?gid=1761053510"",
          ""Haris_Form responses 1!$AQ:$AQ"")=2)
      ),
      1
    ),
    ""0""
  ),
  ""Form not found""
)
"),"5")</f>
        <v>5</v>
      </c>
      <c r="AZ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 *
        (IMPORTRANGE(""https://docs.google.com/spreadsheets/d/161aHT6vVT3SLneTKD19N5qVWtnj_jIT8CSsOmUVKmaA/ed"&amp;"it?gid=1761053510"",
          ""Haris_Form responses 1!$AQ:$AQ"")=3)
      ),
      1
    ),
    ""0""
  ),
  ""Form not found""
)
"),"0")</f>
        <v>0</v>
      </c>
      <c r="BA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 *
        (IMPORTRANGE(""https://docs.google.com/spreadsheets/d/161aHT6vVT3SLneTKD19N5qVWtnj_jIT8CSsOmUVKmaA/ed"&amp;"it?gid=1761053510"",
          ""Haris_Form responses 1!$AQ:$AQ"")=4)
      ),
      1
    ),
    ""0""
  ),
  ""Form not found""
)
"),"0")</f>
        <v>0</v>
      </c>
      <c r="BB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 *
        (IMPORTRANGE(""https://docs.google.com/spreadsheets/d/161aHT6vVT3SLneTKD19N5qVWtnj_jIT8CSsOmUVKmaA/ed"&amp;"it?gid=1761053510"",
          ""Haris_Form responses 1!$AQ:$AQ"")=5)
      ),
      1
    ),
    ""0""
  ),
  ""Form not found""
)
"),"Form not found")</f>
        <v>Form not found</v>
      </c>
      <c r="BC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 *
        (IMPORTRANGE(""https://docs.google.com/spreadsheets/d/161aHT6vVT3SLneTKD19N5qVWtnj_jIT8CSsOmUVKmaA/ed"&amp;"it?gid=1761053510"",
          ""Haris_Form responses 1!$AQ:$AQ"")=6)
      ),
      1
    ),
    ""0""
  ),
  ""Form not found""
)
"),"Form not found")</f>
        <v>Form not found</v>
      </c>
      <c r="BD17" s="293"/>
    </row>
    <row r="18">
      <c r="A18" s="283" t="str">
        <f>IFERROR(__xludf.DUMMYFUNCTION("VLOOKUP($B18,IMPORTRANGE(""https://docs.google.com/spreadsheets/d/1VNXDITjs75AcgdBSW27oL1VZH31udDprJSsBcE5xlp4/edit?gid=1551188038#gid=1551188038"", ""Sheet9!$B:$E""),2,false)"),"Lahore")</f>
        <v>Lahore</v>
      </c>
      <c r="B18" s="283" t="s">
        <v>1624</v>
      </c>
      <c r="C18" s="284" t="str">
        <f>IFERROR(__xludf.DUMMYFUNCTION("VLOOKUP(TRIM($B18), IMPORTRANGE(""https://docs.google.com/spreadsheets/d/1aSOrU4PTpuBZqfitKaH1Rfww6-YOiNCKoBpPl8XBHaw/edit?gid=0#gid=0"", ""sheet3!$B:$C""), 2, FALSE)
"),"Jamia Masjid Darbar Shah Chiraag Lahore")</f>
        <v>Jamia Masjid Darbar Shah Chiraag Lahore</v>
      </c>
      <c r="D18" s="284" t="str">
        <f>IFERROR(__xludf.DUMMYFUNCTION("IFERROR(
  INDEX(
    FILTER(
      IMPORTRANGE(""1aSOrU4PTpuBZqfitKaH1Rfww6-YOiNCKoBpPl8XBHaw/edit?gid=0#gid=0"",""Sheet1!G:G""),
      IMPORTRANGE(""1aSOrU4PTpuBZqfitKaH1Rfww6-YOiNCKoBpPl8XBHaw/edit?gid=0#gid=0"",""Sheet1!C:C"")=$B18
    ),
    1
  ),
 "&amp;" ""Not Found""
)"),"Control")</f>
        <v>Control</v>
      </c>
      <c r="E18" s="284" t="str">
        <f>VLOOKUP(B18,'Juma Recording forms'!A:E,5,false)</f>
        <v>Jamia Masjid Darbar Shah Chiraag Lahore</v>
      </c>
      <c r="F18" s="284" t="str">
        <f>IFERROR(__xludf.DUMMYFUNCTION("IFERROR(
  INDEX(
    FILTER(
      IMPORTRANGE(""1Cxrhp3-_-HS7v9uuqQliiIfrmMP4VaFoDNDWyUFy2J8/edit?gid=0#gid=0"",""Sheet1!Q:Q""),
      IMPORTRANGE(""1Cxrhp3-_-HS7v9uuqQliiIfrmMP4VaFoDNDWyUFy2J8/edit?gid=0#gid=0"",""Sheet1!K:K"")=$B18
    ),
    1
  ),
 "&amp;" ""Not Found""
)"),"Maulana Muhammad Qasim ")</f>
        <v>Maulana Muhammad Qasim </v>
      </c>
      <c r="G18" s="284">
        <v>1995.0</v>
      </c>
      <c r="H18" s="284" t="s">
        <v>4819</v>
      </c>
      <c r="I18" s="285"/>
      <c r="J18" s="286">
        <v>2.0</v>
      </c>
      <c r="K18" s="287" t="str">
        <f>VLOOKUP($B18,'Mosque Locations'!$A:$E,3,FALSE)
</f>
        <v>https://maps.google.com/maps?q=31.5662015%2C74.3146421&amp;z=17&amp;hl=en</v>
      </c>
      <c r="L18" s="286">
        <f>VLOOKUP($B18,'Mosque Locations'!$A:$E,4,FALSE)
</f>
        <v>31.5662015</v>
      </c>
      <c r="M18" s="286">
        <f>VLOOKUP($B18,'Mosque Locations'!$A:$E,5,false)</f>
        <v>74.3146421</v>
      </c>
      <c r="N18" s="288"/>
      <c r="O18" s="288"/>
      <c r="P18" s="288"/>
      <c r="Q18" s="289" t="str">
        <f>IFERROR(__xludf.DUMMYFUNCTION("IFERROR(
  INDEX(
    FILTER(
      IMPORTRANGE(""1DccNxjBgurEr0ABkI_rBagJT5phB5HaHG5N_mTm_BiA"",""Form Responses 1!T:T""),
      TRIM(IMPORTRANGE(""1DccNxjBgurEr0ABkI_rBagJT5phB5HaHG5N_mTm_BiA"",""Form Responses 1!E:E""))=TRIM($B18)
    ),
    1
  ),
  "&amp;"""Not Found""
)
"),"https://drive.google.com/open?id=1YWOoS0DiquUAtmmJ1dliaAlutOygRw0s")</f>
        <v>https://drive.google.com/open?id=1YWOoS0DiquUAtmmJ1dliaAlutOygRw0s</v>
      </c>
      <c r="R18" s="290" t="str">
        <f>IFERROR(__xludf.DUMMYFUNCTION("IFERROR(
  INDEX(
    FILTER(
      IMPORTRANGE(""1DccNxjBgurEr0ABkI_rBagJT5phB5HaHG5N_mTm_BiA"",""Form Responses 1!S:S""),
      TRIM(IMPORTRANGE(""1DccNxjBgurEr0ABkI_rBagJT5phB5HaHG5N_mTm_BiA"",""Form Responses 1!E:E""))=TRIM($B18)
    ),
    1
  ),
  "&amp;"""Not Found""
)
"),"https://drive.google.com/open?id=1d1WSb3zzd0ot7FSnh7qTVvRykbsnPH3i")</f>
        <v>https://drive.google.com/open?id=1d1WSb3zzd0ot7FSnh7qTVvRykbsnPH3i</v>
      </c>
      <c r="S18" s="285"/>
      <c r="T18" s="290" t="str">
        <f>VLOOKUP($B18,'Master Tracker'!$D:$E,2,false)</f>
        <v>https://drive.google.com/open?id=1-2Eh4bcLrPaRU29snlyWpok9d5Z9kSnE</v>
      </c>
      <c r="U18" s="291" t="str">
        <f>VLOOKUP($B18,'Master Tracker'!$D:$T,4,FALSE)
</f>
        <v>https://drive.google.com/open?id=1LiOfHglLiIIL7gqo_Hi1E6CgNHqkNUDH</v>
      </c>
      <c r="V18" s="284" t="str">
        <f>VLOOKUP($B18,'Master Tracker'!$D:$T,5,false)</f>
        <v>Not Found</v>
      </c>
      <c r="W18" s="292" t="str">
        <f>VLOOKUP($B18,'Master Tracker'!$D:$T,7,false)</f>
        <v>Not Found</v>
      </c>
      <c r="X18" s="290" t="str">
        <f>VLOOKUP($B18,'Master Tracker'!$D:$T,8,false)</f>
        <v>https://drive.google.com/open?id=1Ocug-wCRf-GoMWs9kKlNjdiKTu5Z06VJ</v>
      </c>
      <c r="Y18" s="291" t="str">
        <f>VLOOKUP($B18,'Master Tracker'!$D:$T,10,false)</f>
        <v>https://drive.google.com/open?id=1JqW0bqKBRzr1RstP1xNiP2bogrWXzRLY</v>
      </c>
      <c r="Z18" s="284" t="str">
        <f>VLOOKUP($B18,'Master Tracker'!$D:$T,11,false)</f>
        <v>Not Found</v>
      </c>
      <c r="AA18" s="292" t="str">
        <f>VLOOKUP($B18,'Master Tracker'!$D:$T,13,false)</f>
        <v>Not Found</v>
      </c>
      <c r="AB18" s="284" t="str">
        <f>VLOOKUP($B18,'Master Tracker'!$D:$T,14,false)</f>
        <v>Not Found</v>
      </c>
      <c r="AC18" s="292" t="str">
        <f>VLOOKUP($B18,'Master Tracker'!$D:$T,16,false)</f>
        <v>Not Found</v>
      </c>
      <c r="AD18" s="292" t="str">
        <f>VLOOKUP($B18,'Master Tracker'!$D:$T,17,false)</f>
        <v>Not Found</v>
      </c>
      <c r="AE18" s="292" t="str">
        <f>VLOOKUP($B18,'Master Tracker'!$D:$V,19,false)</f>
        <v>Not Found</v>
      </c>
      <c r="AF18" s="292">
        <f>IFERROR(__xludf.DUMMYFUNCTION("IFERROR(
  INDEX(
    FILTER(
      'Juma Recording forms'!$G:$G,
      TRIM('Juma Recording forms'!$F:$F) = TRIM($B18),
      'Juma Recording forms'!$AA:$AA = 1
    ),
    1
  ),
  ""Not Found""
)"),600.0)</f>
        <v>600</v>
      </c>
      <c r="AG18" s="292" t="str">
        <f>IFERROR(__xludf.DUMMYFUNCTION("IFERROR(
  INDEX(
    FILTER(
      'Juma Recording forms'!$G:$G,
      TRIM('Juma Recording forms'!$F:$F) = TRIM($B18),
      'Juma Recording forms'!$AA:$AA = 2
    ),
    1
  ),
  ""Not Found""
)"),"Not Found")</f>
        <v>Not Found</v>
      </c>
      <c r="AH18" s="292">
        <f>IFERROR(__xludf.DUMMYFUNCTION("IFERROR(
  INDEX(
    FILTER(
      'Juma Recording forms'!$G:$G,
      TRIM('Juma Recording forms'!$F:$F) = TRIM($B18),
      'Juma Recording forms'!$AA:$AA = 3
    ),
    1
  ),
  ""Not Found""
)"),630.0)</f>
        <v>630</v>
      </c>
      <c r="AI18" s="292" t="str">
        <f>IFERROR(__xludf.DUMMYFUNCTION("IFERROR(
  INDEX(
    FILTER(
      'Juma Recording forms'!$G:$G,
      TRIM('Juma Recording forms'!$F:$F) = TRIM($B18),
      'Juma Recording forms'!$AA:$AA = 4
    ),
    1
  ),
  ""Not Found""
)"),"Not Found")</f>
        <v>Not Found</v>
      </c>
      <c r="AJ18" s="292" t="str">
        <f>IFERROR(__xludf.DUMMYFUNCTION("IFERROR(
  INDEX(
    FILTER(
      'Juma Recording forms'!$G:$G,
      TRIM('Juma Recording forms'!$F:$F) = TRIM($B18),
      'Juma Recording forms'!$AA:$AA = 5
    ),
    1
  ),
  ""Not Found""
)"),"Not Found")</f>
        <v>Not Found</v>
      </c>
      <c r="AK18" s="292"/>
      <c r="AL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 *
        (IMPORTRANGE(""https://docs.google.com/spreadsheets/d/161aHT6vVT3SLneTKD19N5qVWtnj_jIT8CSsOmUVKmaA/ed"&amp;"it?gid=1761053510"",
          ""Haris_Form responses 1!$AQ:$AQ"")=1)
      ),
      1
    ),
    ""0""
  ),
  ""Form not found""
)
"),"0")</f>
        <v>0</v>
      </c>
      <c r="AM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 *
        (IMPORTRANGE(""https://docs.google.com/spreadsheets/d/161aHT6vVT3SLneTKD19N5qVWtnj_jIT8CSsOmUVKmaA/ed"&amp;"it?gid=1761053510"",
          ""Haris_Form responses 1!$AQ:$AQ"")=2)
      ),
      1
    ),
    ""0""
  ),
  ""Form not found""
)
"),"Form not found")</f>
        <v>Form not found</v>
      </c>
      <c r="AN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 *
        (IMPORTRANGE(""https://docs.google.com/spreadsheets/d/161aHT6vVT3SLneTKD19N5qVWtnj_jIT8CSsOmUVKmaA/ed"&amp;"it?gid=1761053510"",
          ""Haris_Form responses 1!$AQ:$AQ"")=3)
      ),
      1
    ),
    ""0""
  ),
  ""Form not found""
)
"),"0")</f>
        <v>0</v>
      </c>
      <c r="AO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 *
        (IMPORTRANGE(""https://docs.google.com/spreadsheets/d/161aHT6vVT3SLneTKD19N5qVWtnj_jIT8CSsOmUVKmaA/ed"&amp;"it?gid=1761053510"",
          ""Haris_Form responses 1!$AQ:$AQ"")=4)
      ),
      1
    ),
    ""0""
  ),
  ""Form not found""
)
"),"Form not found")</f>
        <v>Form not found</v>
      </c>
      <c r="AP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 *
        (IMPORTRANGE(""https://docs.google.com/spreadsheets/d/161aHT6vVT3SLneTKD19N5qVWtnj_jIT8CSsOmUVKmaA/ed"&amp;"it?gid=1761053510"",
          ""Haris_Form responses 1!$AQ:$AQ"")=5)
      ),
      1
    ),
    ""0""
  ),
  ""Form not found""
)
"),"Form not found")</f>
        <v>Form not found</v>
      </c>
      <c r="AQ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 *
        (IMPORTRANGE(""https://docs.google.com/spreadsheets/d/161aHT6vVT3SLneTKD19N5qVWtnj_jIT8CSsOmUVKmaA/ed"&amp;"it?gid=1761053510"",
          ""Haris_Form responses 1!$AQ:$AQ"")=6)
      ),
      1
    ),
    ""0""
  ),
  ""Form not found""
)
"),"Form not found")</f>
        <v>Form not found</v>
      </c>
      <c r="AR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 *
        (IMPORTRANGE(""https://docs.google.com/spreadsheets/d/161aHT6vVT3SLneTKD19N5qVWtnj_jIT8CSsOmUVKmaA/ed"&amp;"it?gid=1761053510"",
          ""Haris_Form responses 1!$AQ:$AQ"")=1)
      ),
      1
    ),
    ""0""
  ),
  ""Form not found""
)
"),"0")</f>
        <v>0</v>
      </c>
      <c r="AS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 *
        (IMPORTRANGE(""https://docs.google.com/spreadsheets/d/161aHT6vVT3SLneTKD19N5qVWtnj_jIT8CSsOmUVKmaA/ed"&amp;"it?gid=1761053510"",
          ""Haris_Form responses 1!$AQ:$AQ"")=2)
      ),
      1
    ),
    ""0""
  ),
  ""Form not found""
)
"),"Form not found")</f>
        <v>Form not found</v>
      </c>
      <c r="AT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 *
        (IMPORTRANGE(""https://docs.google.com/spreadsheets/d/161aHT6vVT3SLneTKD19N5qVWtnj_jIT8CSsOmUVKmaA/ed"&amp;"it?gid=1761053510"",
          ""Haris_Form responses 1!$AQ:$AQ"")=3)
      ),
      1
    ),
    ""0""
  ),
  ""Form not found""
)
"),"0")</f>
        <v>0</v>
      </c>
      <c r="AU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 *
        (IMPORTRANGE(""https://docs.google.com/spreadsheets/d/161aHT6vVT3SLneTKD19N5qVWtnj_jIT8CSsOmUVKmaA/ed"&amp;"it?gid=1761053510"",
          ""Haris_Form responses 1!$AQ:$AQ"")=4)
      ),
      1
    ),
    ""0""
  ),
  ""Form not found""
)
"),"Form not found")</f>
        <v>Form not found</v>
      </c>
      <c r="AV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 *
        (IMPORTRANGE(""https://docs.google.com/spreadsheets/d/161aHT6vVT3SLneTKD19N5qVWtnj_jIT8CSsOmUVKmaA/ed"&amp;"it?gid=1761053510"",
          ""Haris_Form responses 1!$AQ:$AQ"")=5)
      ),
      1
    ),
    ""0""
  ),
  ""Form not found""
)
"),"Form not found")</f>
        <v>Form not found</v>
      </c>
      <c r="AW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 *
        (IMPORTRANGE(""https://docs.google.com/spreadsheets/d/161aHT6vVT3SLneTKD19N5qVWtnj_jIT8CSsOmUVKmaA/ed"&amp;"it?gid=1761053510"",
          ""Haris_Form responses 1!$AQ:$AQ"")=6)
      ),
      1
    ),
    ""0""
  ),
  ""Form not found""
)
"),"Form not found")</f>
        <v>Form not found</v>
      </c>
      <c r="AX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 *
        (IMPORTRANGE(""https://docs.google.com/spreadsheets/d/161aHT6vVT3SLneTKD19N5qVWtnj_jIT8CSsOmUVKmaA/ed"&amp;"it?gid=1761053510"",
          ""Haris_Form responses 1!$AQ:$AQ"")=1)
      ),
      1
    ),
    ""0""
  ),
  ""Form not found""
)
"),"0")</f>
        <v>0</v>
      </c>
      <c r="AY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 *
        (IMPORTRANGE(""https://docs.google.com/spreadsheets/d/161aHT6vVT3SLneTKD19N5qVWtnj_jIT8CSsOmUVKmaA/ed"&amp;"it?gid=1761053510"",
          ""Haris_Form responses 1!$AQ:$AQ"")=2)
      ),
      1
    ),
    ""0""
  ),
  ""Form not found""
)
"),"Form not found")</f>
        <v>Form not found</v>
      </c>
      <c r="AZ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 *
        (IMPORTRANGE(""https://docs.google.com/spreadsheets/d/161aHT6vVT3SLneTKD19N5qVWtnj_jIT8CSsOmUVKmaA/ed"&amp;"it?gid=1761053510"",
          ""Haris_Form responses 1!$AQ:$AQ"")=3)
      ),
      1
    ),
    ""0""
  ),
  ""Form not found""
)
"),"0")</f>
        <v>0</v>
      </c>
      <c r="BA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 *
        (IMPORTRANGE(""https://docs.google.com/spreadsheets/d/161aHT6vVT3SLneTKD19N5qVWtnj_jIT8CSsOmUVKmaA/ed"&amp;"it?gid=1761053510"",
          ""Haris_Form responses 1!$AQ:$AQ"")=4)
      ),
      1
    ),
    ""0""
  ),
  ""Form not found""
)
"),"Form not found")</f>
        <v>Form not found</v>
      </c>
      <c r="BB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 *
        (IMPORTRANGE(""https://docs.google.com/spreadsheets/d/161aHT6vVT3SLneTKD19N5qVWtnj_jIT8CSsOmUVKmaA/ed"&amp;"it?gid=1761053510"",
          ""Haris_Form responses 1!$AQ:$AQ"")=5)
      ),
      1
    ),
    ""0""
  ),
  ""Form not found""
)
"),"Form not found")</f>
        <v>Form not found</v>
      </c>
      <c r="BC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 *
        (IMPORTRANGE(""https://docs.google.com/spreadsheets/d/161aHT6vVT3SLneTKD19N5qVWtnj_jIT8CSsOmUVKmaA/ed"&amp;"it?gid=1761053510"",
          ""Haris_Form responses 1!$AQ:$AQ"")=6)
      ),
      1
    ),
    ""0""
  ),
  ""Form not found""
)
"),"Form not found")</f>
        <v>Form not found</v>
      </c>
      <c r="BD18" s="293"/>
    </row>
    <row r="19">
      <c r="A19" s="283" t="str">
        <f>IFERROR(__xludf.DUMMYFUNCTION("VLOOKUP($B19,IMPORTRANGE(""https://docs.google.com/spreadsheets/d/1VNXDITjs75AcgdBSW27oL1VZH31udDprJSsBcE5xlp4/edit?gid=1551188038#gid=1551188038"", ""Sheet9!$B:$E""),2,false)"),"Lahore")</f>
        <v>Lahore</v>
      </c>
      <c r="B19" s="283" t="s">
        <v>1650</v>
      </c>
      <c r="C19" s="284" t="str">
        <f>IFERROR(__xludf.DUMMYFUNCTION("VLOOKUP(TRIM($B19), IMPORTRANGE(""https://docs.google.com/spreadsheets/d/1aSOrU4PTpuBZqfitKaH1Rfww6-YOiNCKoBpPl8XBHaw/edit?gid=0#gid=0"", ""sheet3!$B:$C""), 2, FALSE)
"),"Jamia Masjid Rasool Shaheya Landa Bazar Lahore")</f>
        <v>Jamia Masjid Rasool Shaheya Landa Bazar Lahore</v>
      </c>
      <c r="D19" s="284" t="str">
        <f>IFERROR(__xludf.DUMMYFUNCTION("IFERROR(
  INDEX(
    FILTER(
      IMPORTRANGE(""1aSOrU4PTpuBZqfitKaH1Rfww6-YOiNCKoBpPl8XBHaw/edit?gid=0#gid=0"",""Sheet1!G:G""),
      IMPORTRANGE(""1aSOrU4PTpuBZqfitKaH1Rfww6-YOiNCKoBpPl8XBHaw/edit?gid=0#gid=0"",""Sheet1!C:C"")=$B19
    ),
    1
  ),
 "&amp;" ""Not Found""
)"),"Control")</f>
        <v>Control</v>
      </c>
      <c r="E19" s="284" t="str">
        <f>VLOOKUP(B19,'Juma Recording forms'!A:E,5,false)</f>
        <v>Jamia Masjid Rasool Shaheya Landa Bazar Lahore</v>
      </c>
      <c r="F19" s="284" t="str">
        <f>IFERROR(__xludf.DUMMYFUNCTION("IFERROR(
  INDEX(
    FILTER(
      IMPORTRANGE(""1Cxrhp3-_-HS7v9uuqQliiIfrmMP4VaFoDNDWyUFy2J8/edit?gid=0#gid=0"",""Sheet1!Q:Q""),
      IMPORTRANGE(""1Cxrhp3-_-HS7v9uuqQliiIfrmMP4VaFoDNDWyUFy2J8/edit?gid=0#gid=0"",""Sheet1!K:K"")=$B19
    ),
    1
  ),
 "&amp;" ""Not Found""
)"),"Khalil ur Rehman")</f>
        <v>Khalil ur Rehman</v>
      </c>
      <c r="G19" s="284">
        <v>1900.0</v>
      </c>
      <c r="H19" s="284"/>
      <c r="I19" s="285"/>
      <c r="J19" s="286">
        <v>2.0</v>
      </c>
      <c r="K19" s="287" t="str">
        <f>VLOOKUP($B19,'Mosque Locations'!$A:$E,3,FALSE)
</f>
        <v>https://maps.google.com/maps?q=31.5877677%2C74.345873&amp;z=17&amp;hl=en</v>
      </c>
      <c r="L19" s="286">
        <f>VLOOKUP($B19,'Mosque Locations'!$A:$E,4,FALSE)
</f>
        <v>31.58777</v>
      </c>
      <c r="M19" s="286">
        <f>VLOOKUP($B19,'Mosque Locations'!$A:$E,5,false)</f>
        <v>74.34587</v>
      </c>
      <c r="N19" s="288"/>
      <c r="O19" s="288"/>
      <c r="P19" s="288"/>
      <c r="Q19" s="289" t="str">
        <f>IFERROR(__xludf.DUMMYFUNCTION("IFERROR(
  INDEX(
    FILTER(
      IMPORTRANGE(""1DccNxjBgurEr0ABkI_rBagJT5phB5HaHG5N_mTm_BiA"",""Form Responses 1!T:T""),
      TRIM(IMPORTRANGE(""1DccNxjBgurEr0ABkI_rBagJT5phB5HaHG5N_mTm_BiA"",""Form Responses 1!E:E""))=TRIM($B19)
    ),
    1
  ),
  "&amp;"""Not Found""
)
"),"https://drive.google.com/file/d/1ocmf0DW1NU2yCLmXoADOEttVtbzzNBSt/view?usp=sharing")</f>
        <v>https://drive.google.com/file/d/1ocmf0DW1NU2yCLmXoADOEttVtbzzNBSt/view?usp=sharing</v>
      </c>
      <c r="R19" s="289" t="str">
        <f>IFERROR(__xludf.DUMMYFUNCTION("IFERROR(
  INDEX(
    FILTER(
      IMPORTRANGE(""1DccNxjBgurEr0ABkI_rBagJT5phB5HaHG5N_mTm_BiA"",""Form Responses 1!S:S""),
      TRIM(IMPORTRANGE(""1DccNxjBgurEr0ABkI_rBagJT5phB5HaHG5N_mTm_BiA"",""Form Responses 1!E:E""))=TRIM($B19)
    ),
    1
  ),
  "&amp;"""Not Found""
)
"),"https://drive.google.com/file/d/1ZE7YlLp-92AV_5ncC3NUeMb-_TkTxTnY/view?usp=sharing")</f>
        <v>https://drive.google.com/file/d/1ZE7YlLp-92AV_5ncC3NUeMb-_TkTxTnY/view?usp=sharing</v>
      </c>
      <c r="S19" s="285"/>
      <c r="T19" s="290" t="str">
        <f>VLOOKUP($B19,'Master Tracker'!$D:$E,2,false)</f>
        <v>https://drive.google.com/open?id=1xoK_W2JlOQyG1S7a2PZYXy15TT0lVKTL</v>
      </c>
      <c r="U19" s="291" t="str">
        <f>VLOOKUP($B19,'Master Tracker'!$D:$T,4,FALSE)
</f>
        <v>https://drive.google.com/open?id=1KFhXwXpPD9AWjFvoNHKN0KP6PcChOMq4</v>
      </c>
      <c r="V19" s="284" t="str">
        <f>VLOOKUP($B19,'Master Tracker'!$D:$T,5,false)</f>
        <v>Not Found</v>
      </c>
      <c r="W19" s="292" t="str">
        <f>VLOOKUP($B19,'Master Tracker'!$D:$T,7,false)</f>
        <v>Not Found</v>
      </c>
      <c r="X19" s="284" t="str">
        <f>VLOOKUP($B19,'Master Tracker'!$D:$T,8,false)</f>
        <v>https://drive.google.com/open?id=10pBDS9LuusDrHPUNAzAlUMjT77ks8NrV, https://drive.google.com/open?id=1kc74Awqt2wp5auBXwZsPkPr3ltHUDR70</v>
      </c>
      <c r="Y19" s="291" t="str">
        <f>VLOOKUP($B19,'Master Tracker'!$D:$T,10,false)</f>
        <v>https://drive.google.com/open?id=1taA2gdtcS5Whf2W1-LzHf3BNL3b844Ld</v>
      </c>
      <c r="Z19" s="284" t="str">
        <f>VLOOKUP($B19,'Master Tracker'!$D:$T,11,false)</f>
        <v>Not Found</v>
      </c>
      <c r="AA19" s="292" t="str">
        <f>VLOOKUP($B19,'Master Tracker'!$D:$T,13,false)</f>
        <v>Not Found</v>
      </c>
      <c r="AB19" s="284" t="str">
        <f>VLOOKUP($B19,'Master Tracker'!$D:$T,14,false)</f>
        <v>Not Found</v>
      </c>
      <c r="AC19" s="292" t="str">
        <f>VLOOKUP($B19,'Master Tracker'!$D:$T,16,false)</f>
        <v>Not Found</v>
      </c>
      <c r="AD19" s="292" t="str">
        <f>VLOOKUP($B19,'Master Tracker'!$D:$T,17,false)</f>
        <v>Not Found</v>
      </c>
      <c r="AE19" s="292" t="str">
        <f>VLOOKUP($B19,'Master Tracker'!$D:$V,19,false)</f>
        <v>Not Found</v>
      </c>
      <c r="AF19" s="292">
        <f>IFERROR(__xludf.DUMMYFUNCTION("IFERROR(
  INDEX(
    FILTER(
      'Juma Recording forms'!$G:$G,
      TRIM('Juma Recording forms'!$F:$F) = TRIM($B19),
      'Juma Recording forms'!$AA:$AA = 1
    ),
    1
  ),
  ""Not Found""
)"),155.0)</f>
        <v>155</v>
      </c>
      <c r="AG19" s="292" t="str">
        <f>IFERROR(__xludf.DUMMYFUNCTION("IFERROR(
  INDEX(
    FILTER(
      'Juma Recording forms'!$G:$G,
      TRIM('Juma Recording forms'!$F:$F) = TRIM($B19),
      'Juma Recording forms'!$AA:$AA = 2
    ),
    1
  ),
  ""Not Found""
)"),"Not Found")</f>
        <v>Not Found</v>
      </c>
      <c r="AH19" s="292">
        <f>IFERROR(__xludf.DUMMYFUNCTION("IFERROR(
  INDEX(
    FILTER(
      'Juma Recording forms'!$G:$G,
      TRIM('Juma Recording forms'!$F:$F) = TRIM($B19),
      'Juma Recording forms'!$AA:$AA = 3
    ),
    1
  ),
  ""Not Found""
)"),160.0)</f>
        <v>160</v>
      </c>
      <c r="AI19" s="292" t="str">
        <f>IFERROR(__xludf.DUMMYFUNCTION("IFERROR(
  INDEX(
    FILTER(
      'Juma Recording forms'!$G:$G,
      TRIM('Juma Recording forms'!$F:$F) = TRIM($B19),
      'Juma Recording forms'!$AA:$AA = 4
    ),
    1
  ),
  ""Not Found""
)"),"Not Found")</f>
        <v>Not Found</v>
      </c>
      <c r="AJ19" s="292" t="str">
        <f>IFERROR(__xludf.DUMMYFUNCTION("IFERROR(
  INDEX(
    FILTER(
      'Juma Recording forms'!$G:$G,
      TRIM('Juma Recording forms'!$F:$F) = TRIM($B19),
      'Juma Recording forms'!$AA:$AA = 5
    ),
    1
  ),
  ""Not Found""
)"),"Not Found")</f>
        <v>Not Found</v>
      </c>
      <c r="AK19" s="292"/>
      <c r="AL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 *
        (IMPORTRANGE(""https://docs.google.com/spreadsheets/d/161aHT6vVT3SLneTKD19N5qVWtnj_jIT8CSsOmUVKmaA/ed"&amp;"it?gid=1761053510"",
          ""Haris_Form responses 1!$AQ:$AQ"")=1)
      ),
      1
    ),
    ""0""
  ),
  ""Form not found""
)
"),"0")</f>
        <v>0</v>
      </c>
      <c r="AM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 *
        (IMPORTRANGE(""https://docs.google.com/spreadsheets/d/161aHT6vVT3SLneTKD19N5qVWtnj_jIT8CSsOmUVKmaA/ed"&amp;"it?gid=1761053510"",
          ""Haris_Form responses 1!$AQ:$AQ"")=2)
      ),
      1
    ),
    ""0""
  ),
  ""Form not found""
)
"),"Form not found")</f>
        <v>Form not found</v>
      </c>
      <c r="AN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 *
        (IMPORTRANGE(""https://docs.google.com/spreadsheets/d/161aHT6vVT3SLneTKD19N5qVWtnj_jIT8CSsOmUVKmaA/ed"&amp;"it?gid=1761053510"",
          ""Haris_Form responses 1!$AQ:$AQ"")=3)
      ),
      1
    ),
    ""0""
  ),
  ""Form not found""
)
"),"0")</f>
        <v>0</v>
      </c>
      <c r="AO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 *
        (IMPORTRANGE(""https://docs.google.com/spreadsheets/d/161aHT6vVT3SLneTKD19N5qVWtnj_jIT8CSsOmUVKmaA/ed"&amp;"it?gid=1761053510"",
          ""Haris_Form responses 1!$AQ:$AQ"")=4)
      ),
      1
    ),
    ""0""
  ),
  ""Form not found""
)
"),"Form not found")</f>
        <v>Form not found</v>
      </c>
      <c r="AP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 *
        (IMPORTRANGE(""https://docs.google.com/spreadsheets/d/161aHT6vVT3SLneTKD19N5qVWtnj_jIT8CSsOmUVKmaA/ed"&amp;"it?gid=1761053510"",
          ""Haris_Form responses 1!$AQ:$AQ"")=5)
      ),
      1
    ),
    ""0""
  ),
  ""Form not found""
)
"),"Form not found")</f>
        <v>Form not found</v>
      </c>
      <c r="AQ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 *
        (IMPORTRANGE(""https://docs.google.com/spreadsheets/d/161aHT6vVT3SLneTKD19N5qVWtnj_jIT8CSsOmUVKmaA/ed"&amp;"it?gid=1761053510"",
          ""Haris_Form responses 1!$AQ:$AQ"")=6)
      ),
      1
    ),
    ""0""
  ),
  ""Form not found""
)
"),"Form not found")</f>
        <v>Form not found</v>
      </c>
      <c r="AR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 *
        (IMPORTRANGE(""https://docs.google.com/spreadsheets/d/161aHT6vVT3SLneTKD19N5qVWtnj_jIT8CSsOmUVKmaA/ed"&amp;"it?gid=1761053510"",
          ""Haris_Form responses 1!$AQ:$AQ"")=1)
      ),
      1
    ),
    ""0""
  ),
  ""Form not found""
)
"),"0")</f>
        <v>0</v>
      </c>
      <c r="AS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 *
        (IMPORTRANGE(""https://docs.google.com/spreadsheets/d/161aHT6vVT3SLneTKD19N5qVWtnj_jIT8CSsOmUVKmaA/ed"&amp;"it?gid=1761053510"",
          ""Haris_Form responses 1!$AQ:$AQ"")=2)
      ),
      1
    ),
    ""0""
  ),
  ""Form not found""
)
"),"Form not found")</f>
        <v>Form not found</v>
      </c>
      <c r="AT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 *
        (IMPORTRANGE(""https://docs.google.com/spreadsheets/d/161aHT6vVT3SLneTKD19N5qVWtnj_jIT8CSsOmUVKmaA/ed"&amp;"it?gid=1761053510"",
          ""Haris_Form responses 1!$AQ:$AQ"")=3)
      ),
      1
    ),
    ""0""
  ),
  ""Form not found""
)
"),"0")</f>
        <v>0</v>
      </c>
      <c r="AU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 *
        (IMPORTRANGE(""https://docs.google.com/spreadsheets/d/161aHT6vVT3SLneTKD19N5qVWtnj_jIT8CSsOmUVKmaA/ed"&amp;"it?gid=1761053510"",
          ""Haris_Form responses 1!$AQ:$AQ"")=4)
      ),
      1
    ),
    ""0""
  ),
  ""Form not found""
)
"),"Form not found")</f>
        <v>Form not found</v>
      </c>
      <c r="AV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 *
        (IMPORTRANGE(""https://docs.google.com/spreadsheets/d/161aHT6vVT3SLneTKD19N5qVWtnj_jIT8CSsOmUVKmaA/ed"&amp;"it?gid=1761053510"",
          ""Haris_Form responses 1!$AQ:$AQ"")=5)
      ),
      1
    ),
    ""0""
  ),
  ""Form not found""
)
"),"Form not found")</f>
        <v>Form not found</v>
      </c>
      <c r="AW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 *
        (IMPORTRANGE(""https://docs.google.com/spreadsheets/d/161aHT6vVT3SLneTKD19N5qVWtnj_jIT8CSsOmUVKmaA/ed"&amp;"it?gid=1761053510"",
          ""Haris_Form responses 1!$AQ:$AQ"")=6)
      ),
      1
    ),
    ""0""
  ),
  ""Form not found""
)
"),"Form not found")</f>
        <v>Form not found</v>
      </c>
      <c r="AX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 *
        (IMPORTRANGE(""https://docs.google.com/spreadsheets/d/161aHT6vVT3SLneTKD19N5qVWtnj_jIT8CSsOmUVKmaA/ed"&amp;"it?gid=1761053510"",
          ""Haris_Form responses 1!$AQ:$AQ"")=1)
      ),
      1
    ),
    ""0""
  ),
  ""Form not found""
)
"),"0")</f>
        <v>0</v>
      </c>
      <c r="AY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 *
        (IMPORTRANGE(""https://docs.google.com/spreadsheets/d/161aHT6vVT3SLneTKD19N5qVWtnj_jIT8CSsOmUVKmaA/ed"&amp;"it?gid=1761053510"",
          ""Haris_Form responses 1!$AQ:$AQ"")=2)
      ),
      1
    ),
    ""0""
  ),
  ""Form not found""
)
"),"Form not found")</f>
        <v>Form not found</v>
      </c>
      <c r="AZ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 *
        (IMPORTRANGE(""https://docs.google.com/spreadsheets/d/161aHT6vVT3SLneTKD19N5qVWtnj_jIT8CSsOmUVKmaA/ed"&amp;"it?gid=1761053510"",
          ""Haris_Form responses 1!$AQ:$AQ"")=3)
      ),
      1
    ),
    ""0""
  ),
  ""Form not found""
)
"),"0")</f>
        <v>0</v>
      </c>
      <c r="BA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 *
        (IMPORTRANGE(""https://docs.google.com/spreadsheets/d/161aHT6vVT3SLneTKD19N5qVWtnj_jIT8CSsOmUVKmaA/ed"&amp;"it?gid=1761053510"",
          ""Haris_Form responses 1!$AQ:$AQ"")=4)
      ),
      1
    ),
    ""0""
  ),
  ""Form not found""
)
"),"Form not found")</f>
        <v>Form not found</v>
      </c>
      <c r="BB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 *
        (IMPORTRANGE(""https://docs.google.com/spreadsheets/d/161aHT6vVT3SLneTKD19N5qVWtnj_jIT8CSsOmUVKmaA/ed"&amp;"it?gid=1761053510"",
          ""Haris_Form responses 1!$AQ:$AQ"")=5)
      ),
      1
    ),
    ""0""
  ),
  ""Form not found""
)
"),"Form not found")</f>
        <v>Form not found</v>
      </c>
      <c r="BC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 *
        (IMPORTRANGE(""https://docs.google.com/spreadsheets/d/161aHT6vVT3SLneTKD19N5qVWtnj_jIT8CSsOmUVKmaA/ed"&amp;"it?gid=1761053510"",
          ""Haris_Form responses 1!$AQ:$AQ"")=6)
      ),
      1
    ),
    ""0""
  ),
  ""Form not found""
)
"),"Form not found")</f>
        <v>Form not found</v>
      </c>
      <c r="BD19" s="293"/>
    </row>
    <row r="20">
      <c r="A20" s="283" t="str">
        <f>IFERROR(__xludf.DUMMYFUNCTION("VLOOKUP($B20,IMPORTRANGE(""https://docs.google.com/spreadsheets/d/1VNXDITjs75AcgdBSW27oL1VZH31udDprJSsBcE5xlp4/edit?gid=1551188038#gid=1551188038"", ""Sheet9!$B:$E""),2,false)"),"Lahore")</f>
        <v>Lahore</v>
      </c>
      <c r="B20" s="283" t="s">
        <v>1608</v>
      </c>
      <c r="C20" s="284" t="str">
        <f>IFERROR(__xludf.DUMMYFUNCTION("VLOOKUP(TRIM($B20), IMPORTRANGE(""https://docs.google.com/spreadsheets/d/1aSOrU4PTpuBZqfitKaH1Rfww6-YOiNCKoBpPl8XBHaw/edit?gid=0#gid=0"", ""sheet3!$B:$C""), 2, FALSE)
"),"Jamia Masjid Hanfiya Peer Hakum Shah Lahore")</f>
        <v>Jamia Masjid Hanfiya Peer Hakum Shah Lahore</v>
      </c>
      <c r="D20" s="284" t="str">
        <f>IFERROR(__xludf.DUMMYFUNCTION("IFERROR(
  INDEX(
    FILTER(
      IMPORTRANGE(""1aSOrU4PTpuBZqfitKaH1Rfww6-YOiNCKoBpPl8XBHaw/edit?gid=0#gid=0"",""Sheet1!G:G""),
      IMPORTRANGE(""1aSOrU4PTpuBZqfitKaH1Rfww6-YOiNCKoBpPl8XBHaw/edit?gid=0#gid=0"",""Sheet1!C:C"")=$B20
    ),
    1
  ),
 "&amp;" ""Not Found""
)"),"Control")</f>
        <v>Control</v>
      </c>
      <c r="E20" s="284" t="str">
        <f>VLOOKUP(B20,'Juma Recording forms'!A:E,5,false)</f>
        <v>Jamiya masjid hanfiya peer hakum shah</v>
      </c>
      <c r="F20" s="284" t="str">
        <f>IFERROR(__xludf.DUMMYFUNCTION("IFERROR(
  INDEX(
    FILTER(
      IMPORTRANGE(""1Cxrhp3-_-HS7v9uuqQliiIfrmMP4VaFoDNDWyUFy2J8/edit?gid=0#gid=0"",""Sheet1!Q:Q""),
      IMPORTRANGE(""1Cxrhp3-_-HS7v9uuqQliiIfrmMP4VaFoDNDWyUFy2J8/edit?gid=0#gid=0"",""Sheet1!K:K"")=$B20
    ),
    1
  ),
 "&amp;" ""Not Found""
)"),"Qari zakir Hussain ")</f>
        <v>Qari zakir Hussain </v>
      </c>
      <c r="G20" s="284">
        <v>1956.0</v>
      </c>
      <c r="H20" s="284" t="s">
        <v>4820</v>
      </c>
      <c r="I20" s="285"/>
      <c r="J20" s="286">
        <v>2.0</v>
      </c>
      <c r="K20" s="287" t="str">
        <f>VLOOKUP($B20,'Mosque Locations'!$A:$E,3,FALSE)
</f>
        <v>https://maps.google.com/maps?q=31.5651681%2C74.3229816&amp;z=17&amp;hl=en</v>
      </c>
      <c r="L20" s="286">
        <f>VLOOKUP($B20,'Mosque Locations'!$A:$E,4,FALSE)
</f>
        <v>31.56517</v>
      </c>
      <c r="M20" s="286">
        <f>VLOOKUP($B20,'Mosque Locations'!$A:$E,5,false)</f>
        <v>74.32298</v>
      </c>
      <c r="N20" s="288"/>
      <c r="O20" s="288"/>
      <c r="P20" s="288"/>
      <c r="Q20" s="289" t="str">
        <f>IFERROR(__xludf.DUMMYFUNCTION("IFERROR(
  INDEX(
    FILTER(
      IMPORTRANGE(""1DccNxjBgurEr0ABkI_rBagJT5phB5HaHG5N_mTm_BiA"",""Form Responses 1!T:T""),
      TRIM(IMPORTRANGE(""1DccNxjBgurEr0ABkI_rBagJT5phB5HaHG5N_mTm_BiA"",""Form Responses 1!E:E""))=TRIM($B20)
    ),
    1
  ),
  "&amp;"""Not Found""
)
"),"https://drive.google.com/open?id=1znZ-eB3GTnmq6riifjKvjuUCrhGEixSJ")</f>
        <v>https://drive.google.com/open?id=1znZ-eB3GTnmq6riifjKvjuUCrhGEixSJ</v>
      </c>
      <c r="R20" s="289" t="str">
        <f>IFERROR(__xludf.DUMMYFUNCTION("IFERROR(
  INDEX(
    FILTER(
      IMPORTRANGE(""1DccNxjBgurEr0ABkI_rBagJT5phB5HaHG5N_mTm_BiA"",""Form Responses 1!S:S""),
      TRIM(IMPORTRANGE(""1DccNxjBgurEr0ABkI_rBagJT5phB5HaHG5N_mTm_BiA"",""Form Responses 1!E:E""))=TRIM($B20)
    ),
    1
  ),
  "&amp;"""Not Found""
)
"),"https://drive.google.com/open?id=1Vo1YJV-wa2qMb8zAYI3ljudCLIwhy-hE")</f>
        <v>https://drive.google.com/open?id=1Vo1YJV-wa2qMb8zAYI3ljudCLIwhy-hE</v>
      </c>
      <c r="S20" s="285"/>
      <c r="T20" s="290" t="str">
        <f>VLOOKUP($B20,'Master Tracker'!$D:$E,2,false)</f>
        <v>https://drive.google.com/open?id=1cvIqk8lDUB7l-xaAalD6V_snORVOSeFQ</v>
      </c>
      <c r="U20" s="291" t="str">
        <f>VLOOKUP($B20,'Master Tracker'!$D:$T,4,FALSE)
</f>
        <v>https://drive.google.com/open?id=1GxtipGQZALfZfxUNmp_e1UxX-t8etcqH</v>
      </c>
      <c r="V20" s="284" t="str">
        <f>VLOOKUP($B20,'Master Tracker'!$D:$T,5,false)</f>
        <v>Not Found</v>
      </c>
      <c r="W20" s="292" t="str">
        <f>VLOOKUP($B20,'Master Tracker'!$D:$T,7,false)</f>
        <v>Not Found</v>
      </c>
      <c r="X20" s="290" t="str">
        <f>VLOOKUP($B20,'Master Tracker'!$D:$T,8,false)</f>
        <v>https://drive.google.com/open?id=1_wU7gzAJJWj7llvS6C4CPHhVYA0SQst5</v>
      </c>
      <c r="Y20" s="291" t="str">
        <f>VLOOKUP($B20,'Master Tracker'!$D:$T,10,false)</f>
        <v>https://drive.google.com/open?id=1AboayjPgAb3WK_AxSilQU8iXbpR-xHnn</v>
      </c>
      <c r="Z20" s="284" t="str">
        <f>VLOOKUP($B20,'Master Tracker'!$D:$T,11,false)</f>
        <v>Not Found</v>
      </c>
      <c r="AA20" s="292" t="str">
        <f>VLOOKUP($B20,'Master Tracker'!$D:$T,13,false)</f>
        <v>Not Found</v>
      </c>
      <c r="AB20" s="284" t="str">
        <f>VLOOKUP($B20,'Master Tracker'!$D:$T,14,false)</f>
        <v>Not Found</v>
      </c>
      <c r="AC20" s="292" t="str">
        <f>VLOOKUP($B20,'Master Tracker'!$D:$T,16,false)</f>
        <v>Not Found</v>
      </c>
      <c r="AD20" s="292" t="str">
        <f>VLOOKUP($B20,'Master Tracker'!$D:$T,17,false)</f>
        <v>Not Found</v>
      </c>
      <c r="AE20" s="292" t="str">
        <f>VLOOKUP($B20,'Master Tracker'!$D:$V,19,false)</f>
        <v>Not Found</v>
      </c>
      <c r="AF20" s="292">
        <f>IFERROR(__xludf.DUMMYFUNCTION("IFERROR(
  INDEX(
    FILTER(
      'Juma Recording forms'!$G:$G,
      TRIM('Juma Recording forms'!$F:$F) = TRIM($B20),
      'Juma Recording forms'!$AA:$AA = 1
    ),
    1
  ),
  ""Not Found""
)"),450.0)</f>
        <v>450</v>
      </c>
      <c r="AG20" s="292" t="str">
        <f>IFERROR(__xludf.DUMMYFUNCTION("IFERROR(
  INDEX(
    FILTER(
      'Juma Recording forms'!$G:$G,
      TRIM('Juma Recording forms'!$F:$F) = TRIM($B20),
      'Juma Recording forms'!$AA:$AA = 2
    ),
    1
  ),
  ""Not Found""
)"),"Not Found")</f>
        <v>Not Found</v>
      </c>
      <c r="AH20" s="292">
        <f>IFERROR(__xludf.DUMMYFUNCTION("IFERROR(
  INDEX(
    FILTER(
      'Juma Recording forms'!$G:$G,
      TRIM('Juma Recording forms'!$F:$F) = TRIM($B20),
      'Juma Recording forms'!$AA:$AA = 3
    ),
    1
  ),
  ""Not Found""
)"),420.0)</f>
        <v>420</v>
      </c>
      <c r="AI20" s="292" t="str">
        <f>IFERROR(__xludf.DUMMYFUNCTION("IFERROR(
  INDEX(
    FILTER(
      'Juma Recording forms'!$G:$G,
      TRIM('Juma Recording forms'!$F:$F) = TRIM($B20),
      'Juma Recording forms'!$AA:$AA = 4
    ),
    1
  ),
  ""Not Found""
)"),"Not Found")</f>
        <v>Not Found</v>
      </c>
      <c r="AJ20" s="292" t="str">
        <f>IFERROR(__xludf.DUMMYFUNCTION("IFERROR(
  INDEX(
    FILTER(
      'Juma Recording forms'!$G:$G,
      TRIM('Juma Recording forms'!$F:$F) = TRIM($B20),
      'Juma Recording forms'!$AA:$AA = 5
    ),
    1
  ),
  ""Not Found""
)"),"Not Found")</f>
        <v>Not Found</v>
      </c>
      <c r="AK20" s="292"/>
      <c r="AL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 *
        (IMPORTRANGE(""https://docs.google.com/spreadsheets/d/161aHT6vVT3SLneTKD19N5qVWtnj_jIT8CSsOmUVKmaA/ed"&amp;"it?gid=1761053510"",
          ""Haris_Form responses 1!$AQ:$AQ"")=1)
      ),
      1
    ),
    ""0""
  ),
  ""Form not found""
)
"),"0")</f>
        <v>0</v>
      </c>
      <c r="AM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 *
        (IMPORTRANGE(""https://docs.google.com/spreadsheets/d/161aHT6vVT3SLneTKD19N5qVWtnj_jIT8CSsOmUVKmaA/ed"&amp;"it?gid=1761053510"",
          ""Haris_Form responses 1!$AQ:$AQ"")=2)
      ),
      1
    ),
    ""0""
  ),
  ""Form not found""
)
"),"Form not found")</f>
        <v>Form not found</v>
      </c>
      <c r="AN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 *
        (IMPORTRANGE(""https://docs.google.com/spreadsheets/d/161aHT6vVT3SLneTKD19N5qVWtnj_jIT8CSsOmUVKmaA/ed"&amp;"it?gid=1761053510"",
          ""Haris_Form responses 1!$AQ:$AQ"")=3)
      ),
      1
    ),
    ""0""
  ),
  ""Form not found""
)
"),"0")</f>
        <v>0</v>
      </c>
      <c r="AO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 *
        (IMPORTRANGE(""https://docs.google.com/spreadsheets/d/161aHT6vVT3SLneTKD19N5qVWtnj_jIT8CSsOmUVKmaA/ed"&amp;"it?gid=1761053510"",
          ""Haris_Form responses 1!$AQ:$AQ"")=4)
      ),
      1
    ),
    ""0""
  ),
  ""Form not found""
)
"),"Form not found")</f>
        <v>Form not found</v>
      </c>
      <c r="AP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 *
        (IMPORTRANGE(""https://docs.google.com/spreadsheets/d/161aHT6vVT3SLneTKD19N5qVWtnj_jIT8CSsOmUVKmaA/ed"&amp;"it?gid=1761053510"",
          ""Haris_Form responses 1!$AQ:$AQ"")=5)
      ),
      1
    ),
    ""0""
  ),
  ""Form not found""
)
"),"Form not found")</f>
        <v>Form not found</v>
      </c>
      <c r="AQ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 *
        (IMPORTRANGE(""https://docs.google.com/spreadsheets/d/161aHT6vVT3SLneTKD19N5qVWtnj_jIT8CSsOmUVKmaA/ed"&amp;"it?gid=1761053510"",
          ""Haris_Form responses 1!$AQ:$AQ"")=6)
      ),
      1
    ),
    ""0""
  ),
  ""Form not found""
)
"),"Form not found")</f>
        <v>Form not found</v>
      </c>
      <c r="AR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 *
        (IMPORTRANGE(""https://docs.google.com/spreadsheets/d/161aHT6vVT3SLneTKD19N5qVWtnj_jIT8CSsOmUVKmaA/ed"&amp;"it?gid=1761053510"",
          ""Haris_Form responses 1!$AQ:$AQ"")=1)
      ),
      1
    ),
    ""0""
  ),
  ""Form not found""
)
"),"0")</f>
        <v>0</v>
      </c>
      <c r="AS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 *
        (IMPORTRANGE(""https://docs.google.com/spreadsheets/d/161aHT6vVT3SLneTKD19N5qVWtnj_jIT8CSsOmUVKmaA/ed"&amp;"it?gid=1761053510"",
          ""Haris_Form responses 1!$AQ:$AQ"")=2)
      ),
      1
    ),
    ""0""
  ),
  ""Form not found""
)
"),"Form not found")</f>
        <v>Form not found</v>
      </c>
      <c r="AT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 *
        (IMPORTRANGE(""https://docs.google.com/spreadsheets/d/161aHT6vVT3SLneTKD19N5qVWtnj_jIT8CSsOmUVKmaA/ed"&amp;"it?gid=1761053510"",
          ""Haris_Form responses 1!$AQ:$AQ"")=3)
      ),
      1
    ),
    ""0""
  ),
  ""Form not found""
)
"),"0")</f>
        <v>0</v>
      </c>
      <c r="AU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 *
        (IMPORTRANGE(""https://docs.google.com/spreadsheets/d/161aHT6vVT3SLneTKD19N5qVWtnj_jIT8CSsOmUVKmaA/ed"&amp;"it?gid=1761053510"",
          ""Haris_Form responses 1!$AQ:$AQ"")=4)
      ),
      1
    ),
    ""0""
  ),
  ""Form not found""
)
"),"Form not found")</f>
        <v>Form not found</v>
      </c>
      <c r="AV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 *
        (IMPORTRANGE(""https://docs.google.com/spreadsheets/d/161aHT6vVT3SLneTKD19N5qVWtnj_jIT8CSsOmUVKmaA/ed"&amp;"it?gid=1761053510"",
          ""Haris_Form responses 1!$AQ:$AQ"")=5)
      ),
      1
    ),
    ""0""
  ),
  ""Form not found""
)
"),"Form not found")</f>
        <v>Form not found</v>
      </c>
      <c r="AW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 *
        (IMPORTRANGE(""https://docs.google.com/spreadsheets/d/161aHT6vVT3SLneTKD19N5qVWtnj_jIT8CSsOmUVKmaA/ed"&amp;"it?gid=1761053510"",
          ""Haris_Form responses 1!$AQ:$AQ"")=6)
      ),
      1
    ),
    ""0""
  ),
  ""Form not found""
)
"),"Form not found")</f>
        <v>Form not found</v>
      </c>
      <c r="AX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 *
        (IMPORTRANGE(""https://docs.google.com/spreadsheets/d/161aHT6vVT3SLneTKD19N5qVWtnj_jIT8CSsOmUVKmaA/ed"&amp;"it?gid=1761053510"",
          ""Haris_Form responses 1!$AQ:$AQ"")=1)
      ),
      1
    ),
    ""0""
  ),
  ""Form not found""
)
"),"0")</f>
        <v>0</v>
      </c>
      <c r="AY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 *
        (IMPORTRANGE(""https://docs.google.com/spreadsheets/d/161aHT6vVT3SLneTKD19N5qVWtnj_jIT8CSsOmUVKmaA/ed"&amp;"it?gid=1761053510"",
          ""Haris_Form responses 1!$AQ:$AQ"")=2)
      ),
      1
    ),
    ""0""
  ),
  ""Form not found""
)
"),"Form not found")</f>
        <v>Form not found</v>
      </c>
      <c r="AZ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 *
        (IMPORTRANGE(""https://docs.google.com/spreadsheets/d/161aHT6vVT3SLneTKD19N5qVWtnj_jIT8CSsOmUVKmaA/ed"&amp;"it?gid=1761053510"",
          ""Haris_Form responses 1!$AQ:$AQ"")=3)
      ),
      1
    ),
    ""0""
  ),
  ""Form not found""
)
"),"0")</f>
        <v>0</v>
      </c>
      <c r="BA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 *
        (IMPORTRANGE(""https://docs.google.com/spreadsheets/d/161aHT6vVT3SLneTKD19N5qVWtnj_jIT8CSsOmUVKmaA/ed"&amp;"it?gid=1761053510"",
          ""Haris_Form responses 1!$AQ:$AQ"")=4)
      ),
      1
    ),
    ""0""
  ),
  ""Form not found""
)
"),"Form not found")</f>
        <v>Form not found</v>
      </c>
      <c r="BB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 *
        (IMPORTRANGE(""https://docs.google.com/spreadsheets/d/161aHT6vVT3SLneTKD19N5qVWtnj_jIT8CSsOmUVKmaA/ed"&amp;"it?gid=1761053510"",
          ""Haris_Form responses 1!$AQ:$AQ"")=5)
      ),
      1
    ),
    ""0""
  ),
  ""Form not found""
)
"),"Form not found")</f>
        <v>Form not found</v>
      </c>
      <c r="BC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 *
        (IMPORTRANGE(""https://docs.google.com/spreadsheets/d/161aHT6vVT3SLneTKD19N5qVWtnj_jIT8CSsOmUVKmaA/ed"&amp;"it?gid=1761053510"",
          ""Haris_Form responses 1!$AQ:$AQ"")=6)
      ),
      1
    ),
    ""0""
  ),
  ""Form not found""
)
"),"Form not found")</f>
        <v>Form not found</v>
      </c>
      <c r="BD20" s="293"/>
    </row>
    <row r="21">
      <c r="A21" s="283" t="str">
        <f>IFERROR(__xludf.DUMMYFUNCTION("VLOOKUP($B21,IMPORTRANGE(""https://docs.google.com/spreadsheets/d/1VNXDITjs75AcgdBSW27oL1VZH31udDprJSsBcE5xlp4/edit?gid=1551188038#gid=1551188038"", ""Sheet9!$B:$E""),2,false)"),"Lahore")</f>
        <v>Lahore</v>
      </c>
      <c r="B21" s="283" t="s">
        <v>1373</v>
      </c>
      <c r="C21" s="284" t="str">
        <f>IFERROR(__xludf.DUMMYFUNCTION("VLOOKUP(TRIM($B21), IMPORTRANGE(""https://docs.google.com/spreadsheets/d/1aSOrU4PTpuBZqfitKaH1Rfww6-YOiNCKoBpPl8XBHaw/edit?gid=0#gid=0"", ""sheet3!$B:$C""), 2, FALSE)
"),"Jamia Masjid Muslim Luhari Gate Lahore")</f>
        <v>Jamia Masjid Muslim Luhari Gate Lahore</v>
      </c>
      <c r="D21" s="284" t="str">
        <f>IFERROR(__xludf.DUMMYFUNCTION("IFERROR(
  INDEX(
    FILTER(
      IMPORTRANGE(""1aSOrU4PTpuBZqfitKaH1Rfww6-YOiNCKoBpPl8XBHaw/edit?gid=0#gid=0"",""Sheet1!G:G""),
      IMPORTRANGE(""1aSOrU4PTpuBZqfitKaH1Rfww6-YOiNCKoBpPl8XBHaw/edit?gid=0#gid=0"",""Sheet1!C:C"")=$B21
    ),
    1
  ),
 "&amp;" ""Not Found""
)"),"Control")</f>
        <v>Control</v>
      </c>
      <c r="E21" s="284" t="str">
        <f>VLOOKUP(B21,'Juma Recording forms'!A:E,5,false)</f>
        <v>Jamia Masjid Muslim Luhari Gate Lahore</v>
      </c>
      <c r="F21" s="284" t="str">
        <f>IFERROR(__xludf.DUMMYFUNCTION("IFERROR(
  INDEX(
    FILTER(
      IMPORTRANGE(""1Cxrhp3-_-HS7v9uuqQliiIfrmMP4VaFoDNDWyUFy2J8/edit?gid=0#gid=0"",""Sheet1!Q:Q""),
      IMPORTRANGE(""1Cxrhp3-_-HS7v9uuqQliiIfrmMP4VaFoDNDWyUFy2J8/edit?gid=0#gid=0"",""Sheet1!K:K"")=$B21
    ),
    1
  ),
 "&amp;" ""Not Found""
)"),"Not Found")</f>
        <v>Not Found</v>
      </c>
      <c r="G21" s="284"/>
      <c r="H21" s="284"/>
      <c r="I21" s="285"/>
      <c r="J21" s="286">
        <v>2.0</v>
      </c>
      <c r="K21" s="287" t="str">
        <f>VLOOKUP($B21,'Mosque Locations'!$A:$E,3,FALSE)
</f>
        <v>https://maps.google.com/maps?q=31.5767703%2C74.3136464&amp;z=17&amp;hl=en</v>
      </c>
      <c r="L21" s="286">
        <f>VLOOKUP($B21,'Mosque Locations'!$A:$E,4,FALSE)
</f>
        <v>31.57677</v>
      </c>
      <c r="M21" s="286">
        <f>VLOOKUP($B21,'Mosque Locations'!$A:$E,5,false)</f>
        <v>74.31365</v>
      </c>
      <c r="N21" s="288"/>
      <c r="O21" s="288"/>
      <c r="P21" s="288"/>
      <c r="Q21" s="289" t="str">
        <f>IFERROR(__xludf.DUMMYFUNCTION("IFERROR(
  INDEX(
    FILTER(
      IMPORTRANGE(""1DccNxjBgurEr0ABkI_rBagJT5phB5HaHG5N_mTm_BiA"",""Form Responses 1!T:T""),
      TRIM(IMPORTRANGE(""1DccNxjBgurEr0ABkI_rBagJT5phB5HaHG5N_mTm_BiA"",""Form Responses 1!E:E""))=TRIM($B21)
    ),
    1
  ),
  "&amp;"""Not Found""
)
"),"https://drive.google.com/open?id=1nOrFDFX0ECaJ3B4pJc-zVMM08bFAmrNd")</f>
        <v>https://drive.google.com/open?id=1nOrFDFX0ECaJ3B4pJc-zVMM08bFAmrNd</v>
      </c>
      <c r="R21" s="289" t="str">
        <f>IFERROR(__xludf.DUMMYFUNCTION("IFERROR(
  INDEX(
    FILTER(
      IMPORTRANGE(""1DccNxjBgurEr0ABkI_rBagJT5phB5HaHG5N_mTm_BiA"",""Form Responses 1!S:S""),
      TRIM(IMPORTRANGE(""1DccNxjBgurEr0ABkI_rBagJT5phB5HaHG5N_mTm_BiA"",""Form Responses 1!E:E""))=TRIM($B21)
    ),
    1
  ),
  "&amp;"""Not Found""
)
"),"https://drive.google.com/open?id=1U4cs7QX9XT6TBau0UX1OHsAgEXmT4Hi7")</f>
        <v>https://drive.google.com/open?id=1U4cs7QX9XT6TBau0UX1OHsAgEXmT4Hi7</v>
      </c>
      <c r="S21" s="285"/>
      <c r="T21" s="290" t="str">
        <f>VLOOKUP($B21,'Master Tracker'!$D:$E,2,false)</f>
        <v>https://drive.google.com/open?id=1YWdhcNOdYO5YlBIGaQ5AHwEunrz_Aw9Q</v>
      </c>
      <c r="U21" s="291" t="str">
        <f>VLOOKUP($B21,'Master Tracker'!$D:$T,4,FALSE)
</f>
        <v>https://drive.google.com/open?id=10_GsRL5PMmbvyvAOOqWjNTDBjymhVjrE</v>
      </c>
      <c r="V21" s="284" t="str">
        <f>VLOOKUP($B21,'Master Tracker'!$D:$T,5,false)</f>
        <v>Not Found</v>
      </c>
      <c r="W21" s="292" t="str">
        <f>VLOOKUP($B21,'Master Tracker'!$D:$T,7,false)</f>
        <v>Not Found</v>
      </c>
      <c r="X21" s="290" t="str">
        <f>VLOOKUP($B21,'Master Tracker'!$D:$T,8,false)</f>
        <v>https://drive.google.com/open?id=1hr6Soq_WEJi6-FyAp7kO38ijuRyv3Pxx</v>
      </c>
      <c r="Y21" s="291" t="str">
        <f>VLOOKUP($B21,'Master Tracker'!$D:$T,10,false)</f>
        <v>https://drive.google.com/open?id=1NHodf9jf5qc_ZV4V0yalreH0bxVd8cye</v>
      </c>
      <c r="Z21" s="284" t="str">
        <f>VLOOKUP($B21,'Master Tracker'!$D:$T,11,false)</f>
        <v>Not Found</v>
      </c>
      <c r="AA21" s="292" t="str">
        <f>VLOOKUP($B21,'Master Tracker'!$D:$T,13,false)</f>
        <v>Not Found</v>
      </c>
      <c r="AB21" s="284" t="str">
        <f>VLOOKUP($B21,'Master Tracker'!$D:$T,14,false)</f>
        <v>Not Found</v>
      </c>
      <c r="AC21" s="292" t="str">
        <f>VLOOKUP($B21,'Master Tracker'!$D:$T,16,false)</f>
        <v>Not Found</v>
      </c>
      <c r="AD21" s="292" t="str">
        <f>VLOOKUP($B21,'Master Tracker'!$D:$T,17,false)</f>
        <v>Not Found</v>
      </c>
      <c r="AE21" s="292" t="str">
        <f>VLOOKUP($B21,'Master Tracker'!$D:$V,19,false)</f>
        <v>Not Found</v>
      </c>
      <c r="AF21" s="292">
        <f>IFERROR(__xludf.DUMMYFUNCTION("IFERROR(
  INDEX(
    FILTER(
      'Juma Recording forms'!$G:$G,
      TRIM('Juma Recording forms'!$F:$F) = TRIM($B21),
      'Juma Recording forms'!$AA:$AA = 1
    ),
    1
  ),
  ""Not Found""
)"),230.0)</f>
        <v>230</v>
      </c>
      <c r="AG21" s="292" t="str">
        <f>IFERROR(__xludf.DUMMYFUNCTION("IFERROR(
  INDEX(
    FILTER(
      'Juma Recording forms'!$G:$G,
      TRIM('Juma Recording forms'!$F:$F) = TRIM($B21),
      'Juma Recording forms'!$AA:$AA = 2
    ),
    1
  ),
  ""Not Found""
)"),"Not Found")</f>
        <v>Not Found</v>
      </c>
      <c r="AH21" s="292">
        <f>IFERROR(__xludf.DUMMYFUNCTION("IFERROR(
  INDEX(
    FILTER(
      'Juma Recording forms'!$G:$G,
      TRIM('Juma Recording forms'!$F:$F) = TRIM($B21),
      'Juma Recording forms'!$AA:$AA = 3
    ),
    1
  ),
  ""Not Found""
)"),255.0)</f>
        <v>255</v>
      </c>
      <c r="AI21" s="292" t="str">
        <f>IFERROR(__xludf.DUMMYFUNCTION("IFERROR(
  INDEX(
    FILTER(
      'Juma Recording forms'!$G:$G,
      TRIM('Juma Recording forms'!$F:$F) = TRIM($B21),
      'Juma Recording forms'!$AA:$AA = 4
    ),
    1
  ),
  ""Not Found""
)"),"Not Found")</f>
        <v>Not Found</v>
      </c>
      <c r="AJ21" s="292" t="str">
        <f>IFERROR(__xludf.DUMMYFUNCTION("IFERROR(
  INDEX(
    FILTER(
      'Juma Recording forms'!$G:$G,
      TRIM('Juma Recording forms'!$F:$F) = TRIM($B21),
      'Juma Recording forms'!$AA:$AA = 5
    ),
    1
  ),
  ""Not Found""
)"),"Not Found")</f>
        <v>Not Found</v>
      </c>
      <c r="AK21" s="292"/>
      <c r="AL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 *
        (IMPORTRANGE(""https://docs.google.com/spreadsheets/d/161aHT6vVT3SLneTKD19N5qVWtnj_jIT8CSsOmUVKmaA/ed"&amp;"it?gid=1761053510"",
          ""Haris_Form responses 1!$AQ:$AQ"")=1)
      ),
      1
    ),
    ""0""
  ),
  ""Form not found""
)
"),"0")</f>
        <v>0</v>
      </c>
      <c r="AM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 *
        (IMPORTRANGE(""https://docs.google.com/spreadsheets/d/161aHT6vVT3SLneTKD19N5qVWtnj_jIT8CSsOmUVKmaA/ed"&amp;"it?gid=1761053510"",
          ""Haris_Form responses 1!$AQ:$AQ"")=2)
      ),
      1
    ),
    ""0""
  ),
  ""Form not found""
)
"),"Form not found")</f>
        <v>Form not found</v>
      </c>
      <c r="AN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 *
        (IMPORTRANGE(""https://docs.google.com/spreadsheets/d/161aHT6vVT3SLneTKD19N5qVWtnj_jIT8CSsOmUVKmaA/ed"&amp;"it?gid=1761053510"",
          ""Haris_Form responses 1!$AQ:$AQ"")=3)
      ),
      1
    ),
    ""0""
  ),
  ""Form not found""
)
"),"0")</f>
        <v>0</v>
      </c>
      <c r="AO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 *
        (IMPORTRANGE(""https://docs.google.com/spreadsheets/d/161aHT6vVT3SLneTKD19N5qVWtnj_jIT8CSsOmUVKmaA/ed"&amp;"it?gid=1761053510"",
          ""Haris_Form responses 1!$AQ:$AQ"")=4)
      ),
      1
    ),
    ""0""
  ),
  ""Form not found""
)
"),"Form not found")</f>
        <v>Form not found</v>
      </c>
      <c r="AP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 *
        (IMPORTRANGE(""https://docs.google.com/spreadsheets/d/161aHT6vVT3SLneTKD19N5qVWtnj_jIT8CSsOmUVKmaA/ed"&amp;"it?gid=1761053510"",
          ""Haris_Form responses 1!$AQ:$AQ"")=5)
      ),
      1
    ),
    ""0""
  ),
  ""Form not found""
)
"),"Form not found")</f>
        <v>Form not found</v>
      </c>
      <c r="AQ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 *
        (IMPORTRANGE(""https://docs.google.com/spreadsheets/d/161aHT6vVT3SLneTKD19N5qVWtnj_jIT8CSsOmUVKmaA/ed"&amp;"it?gid=1761053510"",
          ""Haris_Form responses 1!$AQ:$AQ"")=6)
      ),
      1
    ),
    ""0""
  ),
  ""Form not found""
)
"),"Form not found")</f>
        <v>Form not found</v>
      </c>
      <c r="AR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 *
        (IMPORTRANGE(""https://docs.google.com/spreadsheets/d/161aHT6vVT3SLneTKD19N5qVWtnj_jIT8CSsOmUVKmaA/ed"&amp;"it?gid=1761053510"",
          ""Haris_Form responses 1!$AQ:$AQ"")=1)
      ),
      1
    ),
    ""0""
  ),
  ""Form not found""
)
"),"0")</f>
        <v>0</v>
      </c>
      <c r="AS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 *
        (IMPORTRANGE(""https://docs.google.com/spreadsheets/d/161aHT6vVT3SLneTKD19N5qVWtnj_jIT8CSsOmUVKmaA/ed"&amp;"it?gid=1761053510"",
          ""Haris_Form responses 1!$AQ:$AQ"")=2)
      ),
      1
    ),
    ""0""
  ),
  ""Form not found""
)
"),"Form not found")</f>
        <v>Form not found</v>
      </c>
      <c r="AT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 *
        (IMPORTRANGE(""https://docs.google.com/spreadsheets/d/161aHT6vVT3SLneTKD19N5qVWtnj_jIT8CSsOmUVKmaA/ed"&amp;"it?gid=1761053510"",
          ""Haris_Form responses 1!$AQ:$AQ"")=3)
      ),
      1
    ),
    ""0""
  ),
  ""Form not found""
)
"),"0")</f>
        <v>0</v>
      </c>
      <c r="AU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 *
        (IMPORTRANGE(""https://docs.google.com/spreadsheets/d/161aHT6vVT3SLneTKD19N5qVWtnj_jIT8CSsOmUVKmaA/ed"&amp;"it?gid=1761053510"",
          ""Haris_Form responses 1!$AQ:$AQ"")=4)
      ),
      1
    ),
    ""0""
  ),
  ""Form not found""
)
"),"Form not found")</f>
        <v>Form not found</v>
      </c>
      <c r="AV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 *
        (IMPORTRANGE(""https://docs.google.com/spreadsheets/d/161aHT6vVT3SLneTKD19N5qVWtnj_jIT8CSsOmUVKmaA/ed"&amp;"it?gid=1761053510"",
          ""Haris_Form responses 1!$AQ:$AQ"")=5)
      ),
      1
    ),
    ""0""
  ),
  ""Form not found""
)
"),"Form not found")</f>
        <v>Form not found</v>
      </c>
      <c r="AW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 *
        (IMPORTRANGE(""https://docs.google.com/spreadsheets/d/161aHT6vVT3SLneTKD19N5qVWtnj_jIT8CSsOmUVKmaA/ed"&amp;"it?gid=1761053510"",
          ""Haris_Form responses 1!$AQ:$AQ"")=6)
      ),
      1
    ),
    ""0""
  ),
  ""Form not found""
)
"),"Form not found")</f>
        <v>Form not found</v>
      </c>
      <c r="AX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 *
        (IMPORTRANGE(""https://docs.google.com/spreadsheets/d/161aHT6vVT3SLneTKD19N5qVWtnj_jIT8CSsOmUVKmaA/ed"&amp;"it?gid=1761053510"",
          ""Haris_Form responses 1!$AQ:$AQ"")=1)
      ),
      1
    ),
    ""0""
  ),
  ""Form not found""
)
"),"0")</f>
        <v>0</v>
      </c>
      <c r="AY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 *
        (IMPORTRANGE(""https://docs.google.com/spreadsheets/d/161aHT6vVT3SLneTKD19N5qVWtnj_jIT8CSsOmUVKmaA/ed"&amp;"it?gid=1761053510"",
          ""Haris_Form responses 1!$AQ:$AQ"")=2)
      ),
      1
    ),
    ""0""
  ),
  ""Form not found""
)
"),"Form not found")</f>
        <v>Form not found</v>
      </c>
      <c r="AZ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 *
        (IMPORTRANGE(""https://docs.google.com/spreadsheets/d/161aHT6vVT3SLneTKD19N5qVWtnj_jIT8CSsOmUVKmaA/ed"&amp;"it?gid=1761053510"",
          ""Haris_Form responses 1!$AQ:$AQ"")=3)
      ),
      1
    ),
    ""0""
  ),
  ""Form not found""
)
"),"0")</f>
        <v>0</v>
      </c>
      <c r="BA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 *
        (IMPORTRANGE(""https://docs.google.com/spreadsheets/d/161aHT6vVT3SLneTKD19N5qVWtnj_jIT8CSsOmUVKmaA/ed"&amp;"it?gid=1761053510"",
          ""Haris_Form responses 1!$AQ:$AQ"")=4)
      ),
      1
    ),
    ""0""
  ),
  ""Form not found""
)
"),"Form not found")</f>
        <v>Form not found</v>
      </c>
      <c r="BB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 *
        (IMPORTRANGE(""https://docs.google.com/spreadsheets/d/161aHT6vVT3SLneTKD19N5qVWtnj_jIT8CSsOmUVKmaA/ed"&amp;"it?gid=1761053510"",
          ""Haris_Form responses 1!$AQ:$AQ"")=5)
      ),
      1
    ),
    ""0""
  ),
  ""Form not found""
)
"),"Form not found")</f>
        <v>Form not found</v>
      </c>
      <c r="BC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 *
        (IMPORTRANGE(""https://docs.google.com/spreadsheets/d/161aHT6vVT3SLneTKD19N5qVWtnj_jIT8CSsOmUVKmaA/ed"&amp;"it?gid=1761053510"",
          ""Haris_Form responses 1!$AQ:$AQ"")=6)
      ),
      1
    ),
    ""0""
  ),
  ""Form not found""
)
"),"Form not found")</f>
        <v>Form not found</v>
      </c>
      <c r="BD21" s="293"/>
    </row>
    <row r="22">
      <c r="A22" s="283" t="str">
        <f>IFERROR(__xludf.DUMMYFUNCTION("VLOOKUP($B22,IMPORTRANGE(""https://docs.google.com/spreadsheets/d/1VNXDITjs75AcgdBSW27oL1VZH31udDprJSsBcE5xlp4/edit?gid=1551188038#gid=1551188038"", ""Sheet9!$B:$E""),2,false)"),"Lahore")</f>
        <v>Lahore</v>
      </c>
      <c r="B22" s="283" t="s">
        <v>1298</v>
      </c>
      <c r="C22" s="284" t="str">
        <f>IFERROR(__xludf.DUMMYFUNCTION("VLOOKUP(TRIM($B22), IMPORTRANGE(""https://docs.google.com/spreadsheets/d/1aSOrU4PTpuBZqfitKaH1Rfww6-YOiNCKoBpPl8XBHaw/edit?gid=0#gid=0"", ""sheet3!$B:$C""), 2, FALSE)
"),"Jamia Masjid Gamti Bazar Lahore")</f>
        <v>Jamia Masjid Gamti Bazar Lahore</v>
      </c>
      <c r="D22" s="284" t="str">
        <f>IFERROR(__xludf.DUMMYFUNCTION("IFERROR(
  INDEX(
    FILTER(
      IMPORTRANGE(""1aSOrU4PTpuBZqfitKaH1Rfww6-YOiNCKoBpPl8XBHaw/edit?gid=0#gid=0"",""Sheet1!G:G""),
      IMPORTRANGE(""1aSOrU4PTpuBZqfitKaH1Rfww6-YOiNCKoBpPl8XBHaw/edit?gid=0#gid=0"",""Sheet1!C:C"")=$B22
    ),
    1
  ),
 "&amp;" ""Not Found""
)"),"Control")</f>
        <v>Control</v>
      </c>
      <c r="E22" s="284" t="str">
        <f>VLOOKUP(B22,'Juma Recording forms'!A:E,5,false)</f>
        <v>Jamia Syedna Abubakar Siddique Gumti Bazar</v>
      </c>
      <c r="F22" s="284" t="str">
        <f>IFERROR(__xludf.DUMMYFUNCTION("IFERROR(
  INDEX(
    FILTER(
      IMPORTRANGE(""1Cxrhp3-_-HS7v9uuqQliiIfrmMP4VaFoDNDWyUFy2J8/edit?gid=0#gid=0"",""Sheet1!Q:Q""),
      IMPORTRANGE(""1Cxrhp3-_-HS7v9uuqQliiIfrmMP4VaFoDNDWyUFy2J8/edit?gid=0#gid=0"",""Sheet1!K:K"")=$B22
    ),
    1
  ),
 "&amp;" ""Not Found""
)"),"Hafiz Muhammad Hanif")</f>
        <v>Hafiz Muhammad Hanif</v>
      </c>
      <c r="G22" s="284">
        <v>2010.0</v>
      </c>
      <c r="H22" s="284"/>
      <c r="I22" s="285"/>
      <c r="J22" s="286">
        <v>2.0</v>
      </c>
      <c r="K22" s="287" t="str">
        <f>VLOOKUP($B22,'Mosque Locations'!$A:$E,3,FALSE)
</f>
        <v>https://maps.google.com/maps?q=31.5822219%2C74.3164097&amp;z=17&amp;hl=en</v>
      </c>
      <c r="L22" s="286">
        <f>VLOOKUP($B22,'Mosque Locations'!$A:$E,4,FALSE)
</f>
        <v>31.5829</v>
      </c>
      <c r="M22" s="286">
        <f>VLOOKUP($B22,'Mosque Locations'!$A:$E,5,false)</f>
        <v>74.30598</v>
      </c>
      <c r="N22" s="288"/>
      <c r="O22" s="288"/>
      <c r="P22" s="288"/>
      <c r="Q22" s="290" t="str">
        <f>IFERROR(__xludf.DUMMYFUNCTION("IFERROR(
  INDEX(
    FILTER(
      IMPORTRANGE(""1DccNxjBgurEr0ABkI_rBagJT5phB5HaHG5N_mTm_BiA"",""Form Responses 1!T:T""),
      TRIM(IMPORTRANGE(""1DccNxjBgurEr0ABkI_rBagJT5phB5HaHG5N_mTm_BiA"",""Form Responses 1!E:E""))=TRIM($B22)
    ),
    1
  ),
  "&amp;"""Not Found""
)
"),"https://drive.google.com/open?id=1WmgbYJtNNhnsQ0uTFF72wi-vt0rWT_Y5")</f>
        <v>https://drive.google.com/open?id=1WmgbYJtNNhnsQ0uTFF72wi-vt0rWT_Y5</v>
      </c>
      <c r="R22" s="289" t="str">
        <f>IFERROR(__xludf.DUMMYFUNCTION("IFERROR(
  INDEX(
    FILTER(
      IMPORTRANGE(""1DccNxjBgurEr0ABkI_rBagJT5phB5HaHG5N_mTm_BiA"",""Form Responses 1!S:S""),
      TRIM(IMPORTRANGE(""1DccNxjBgurEr0ABkI_rBagJT5phB5HaHG5N_mTm_BiA"",""Form Responses 1!E:E""))=TRIM($B22)
    ),
    1
  ),
  "&amp;"""Not Found""
)
"),"https://drive.google.com/open?id=1NN2UYQIiEDPrBhgu7UPa9vEcxT_gcfc-")</f>
        <v>https://drive.google.com/open?id=1NN2UYQIiEDPrBhgu7UPa9vEcxT_gcfc-</v>
      </c>
      <c r="S22" s="285"/>
      <c r="T22" s="290" t="str">
        <f>VLOOKUP($B22,'Master Tracker'!$D:$E,2,false)</f>
        <v>https://drive.google.com/open?id=1OIuzy2QqiuVNDwPueEXxpO7o9WwTXCze</v>
      </c>
      <c r="U22" s="291" t="str">
        <f>VLOOKUP($B22,'Master Tracker'!$D:$T,4,FALSE)
</f>
        <v>https://drive.google.com/open?id=1TkPSg-mRz9bPNQVg0ryNaT75unsbR8D1</v>
      </c>
      <c r="V22" s="284" t="str">
        <f>VLOOKUP($B22,'Master Tracker'!$D:$T,5,false)</f>
        <v>Not Found</v>
      </c>
      <c r="W22" s="292" t="str">
        <f>VLOOKUP($B22,'Master Tracker'!$D:$T,7,false)</f>
        <v>Not Found</v>
      </c>
      <c r="X22" s="290" t="str">
        <f>VLOOKUP($B22,'Master Tracker'!$D:$T,8,false)</f>
        <v>https://drive.google.com/open?id=1weynkTrBVdWY2Y-gJehrckdGd9AJ8iz6</v>
      </c>
      <c r="Y22" s="291" t="str">
        <f>VLOOKUP($B22,'Master Tracker'!$D:$T,10,false)</f>
        <v>https://drive.google.com/open?id=1VHMnJTUWuOUWnJUJBLeo_ryzZqrrVkp5</v>
      </c>
      <c r="Z22" s="284" t="str">
        <f>VLOOKUP($B22,'Master Tracker'!$D:$T,11,false)</f>
        <v>Not Found</v>
      </c>
      <c r="AA22" s="292" t="str">
        <f>VLOOKUP($B22,'Master Tracker'!$D:$T,13,false)</f>
        <v>Not Found</v>
      </c>
      <c r="AB22" s="284" t="str">
        <f>VLOOKUP($B22,'Master Tracker'!$D:$T,14,false)</f>
        <v>Not Found</v>
      </c>
      <c r="AC22" s="292" t="str">
        <f>VLOOKUP($B22,'Master Tracker'!$D:$T,16,false)</f>
        <v>Not Found</v>
      </c>
      <c r="AD22" s="292" t="str">
        <f>VLOOKUP($B22,'Master Tracker'!$D:$T,17,false)</f>
        <v>Not Found</v>
      </c>
      <c r="AE22" s="292" t="str">
        <f>VLOOKUP($B22,'Master Tracker'!$D:$V,19,false)</f>
        <v>Not Found</v>
      </c>
      <c r="AF22" s="292">
        <f>IFERROR(__xludf.DUMMYFUNCTION("IFERROR(
  INDEX(
    FILTER(
      'Juma Recording forms'!$G:$G,
      TRIM('Juma Recording forms'!$F:$F) = TRIM($B22),
      'Juma Recording forms'!$AA:$AA = 1
    ),
    1
  ),
  ""Not Found""
)"),200.0)</f>
        <v>200</v>
      </c>
      <c r="AG22" s="292" t="str">
        <f>IFERROR(__xludf.DUMMYFUNCTION("IFERROR(
  INDEX(
    FILTER(
      'Juma Recording forms'!$G:$G,
      TRIM('Juma Recording forms'!$F:$F) = TRIM($B22),
      'Juma Recording forms'!$AA:$AA = 2
    ),
    1
  ),
  ""Not Found""
)"),"Not Found")</f>
        <v>Not Found</v>
      </c>
      <c r="AH22" s="292">
        <f>IFERROR(__xludf.DUMMYFUNCTION("IFERROR(
  INDEX(
    FILTER(
      'Juma Recording forms'!$G:$G,
      TRIM('Juma Recording forms'!$F:$F) = TRIM($B22),
      'Juma Recording forms'!$AA:$AA = 3
    ),
    1
  ),
  ""Not Found""
)"),250.0)</f>
        <v>250</v>
      </c>
      <c r="AI22" s="292" t="str">
        <f>IFERROR(__xludf.DUMMYFUNCTION("IFERROR(
  INDEX(
    FILTER(
      'Juma Recording forms'!$G:$G,
      TRIM('Juma Recording forms'!$F:$F) = TRIM($B22),
      'Juma Recording forms'!$AA:$AA = 4
    ),
    1
  ),
  ""Not Found""
)"),"Not Found")</f>
        <v>Not Found</v>
      </c>
      <c r="AJ22" s="292" t="str">
        <f>IFERROR(__xludf.DUMMYFUNCTION("IFERROR(
  INDEX(
    FILTER(
      'Juma Recording forms'!$G:$G,
      TRIM('Juma Recording forms'!$F:$F) = TRIM($B22),
      'Juma Recording forms'!$AA:$AA = 5
    ),
    1
  ),
  ""Not Found""
)"),"Not Found")</f>
        <v>Not Found</v>
      </c>
      <c r="AK22" s="292"/>
      <c r="AL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 *
        (IMPORTRANGE(""https://docs.google.com/spreadsheets/d/161aHT6vVT3SLneTKD19N5qVWtnj_jIT8CSsOmUVKmaA/ed"&amp;"it?gid=1761053510"",
          ""Haris_Form responses 1!$AQ:$AQ"")=1)
      ),
      1
    ),
    ""0""
  ),
  ""Form not found""
)
"),"0")</f>
        <v>0</v>
      </c>
      <c r="AM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 *
        (IMPORTRANGE(""https://docs.google.com/spreadsheets/d/161aHT6vVT3SLneTKD19N5qVWtnj_jIT8CSsOmUVKmaA/ed"&amp;"it?gid=1761053510"",
          ""Haris_Form responses 1!$AQ:$AQ"")=2)
      ),
      1
    ),
    ""0""
  ),
  ""Form not found""
)
"),"Form not found")</f>
        <v>Form not found</v>
      </c>
      <c r="AN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 *
        (IMPORTRANGE(""https://docs.google.com/spreadsheets/d/161aHT6vVT3SLneTKD19N5qVWtnj_jIT8CSsOmUVKmaA/ed"&amp;"it?gid=1761053510"",
          ""Haris_Form responses 1!$AQ:$AQ"")=3)
      ),
      1
    ),
    ""0""
  ),
  ""Form not found""
)
"),"0")</f>
        <v>0</v>
      </c>
      <c r="AO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 *
        (IMPORTRANGE(""https://docs.google.com/spreadsheets/d/161aHT6vVT3SLneTKD19N5qVWtnj_jIT8CSsOmUVKmaA/ed"&amp;"it?gid=1761053510"",
          ""Haris_Form responses 1!$AQ:$AQ"")=4)
      ),
      1
    ),
    ""0""
  ),
  ""Form not found""
)
"),"Form not found")</f>
        <v>Form not found</v>
      </c>
      <c r="AP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 *
        (IMPORTRANGE(""https://docs.google.com/spreadsheets/d/161aHT6vVT3SLneTKD19N5qVWtnj_jIT8CSsOmUVKmaA/ed"&amp;"it?gid=1761053510"",
          ""Haris_Form responses 1!$AQ:$AQ"")=5)
      ),
      1
    ),
    ""0""
  ),
  ""Form not found""
)
"),"Form not found")</f>
        <v>Form not found</v>
      </c>
      <c r="AQ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 *
        (IMPORTRANGE(""https://docs.google.com/spreadsheets/d/161aHT6vVT3SLneTKD19N5qVWtnj_jIT8CSsOmUVKmaA/ed"&amp;"it?gid=1761053510"",
          ""Haris_Form responses 1!$AQ:$AQ"")=6)
      ),
      1
    ),
    ""0""
  ),
  ""Form not found""
)
"),"Form not found")</f>
        <v>Form not found</v>
      </c>
      <c r="AR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 *
        (IMPORTRANGE(""https://docs.google.com/spreadsheets/d/161aHT6vVT3SLneTKD19N5qVWtnj_jIT8CSsOmUVKmaA/ed"&amp;"it?gid=1761053510"",
          ""Haris_Form responses 1!$AQ:$AQ"")=1)
      ),
      1
    ),
    ""0""
  ),
  ""Form not found""
)
"),"0")</f>
        <v>0</v>
      </c>
      <c r="AS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 *
        (IMPORTRANGE(""https://docs.google.com/spreadsheets/d/161aHT6vVT3SLneTKD19N5qVWtnj_jIT8CSsOmUVKmaA/ed"&amp;"it?gid=1761053510"",
          ""Haris_Form responses 1!$AQ:$AQ"")=2)
      ),
      1
    ),
    ""0""
  ),
  ""Form not found""
)
"),"Form not found")</f>
        <v>Form not found</v>
      </c>
      <c r="AT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 *
        (IMPORTRANGE(""https://docs.google.com/spreadsheets/d/161aHT6vVT3SLneTKD19N5qVWtnj_jIT8CSsOmUVKmaA/ed"&amp;"it?gid=1761053510"",
          ""Haris_Form responses 1!$AQ:$AQ"")=3)
      ),
      1
    ),
    ""0""
  ),
  ""Form not found""
)
"),"0")</f>
        <v>0</v>
      </c>
      <c r="AU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 *
        (IMPORTRANGE(""https://docs.google.com/spreadsheets/d/161aHT6vVT3SLneTKD19N5qVWtnj_jIT8CSsOmUVKmaA/ed"&amp;"it?gid=1761053510"",
          ""Haris_Form responses 1!$AQ:$AQ"")=4)
      ),
      1
    ),
    ""0""
  ),
  ""Form not found""
)
"),"Form not found")</f>
        <v>Form not found</v>
      </c>
      <c r="AV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 *
        (IMPORTRANGE(""https://docs.google.com/spreadsheets/d/161aHT6vVT3SLneTKD19N5qVWtnj_jIT8CSsOmUVKmaA/ed"&amp;"it?gid=1761053510"",
          ""Haris_Form responses 1!$AQ:$AQ"")=5)
      ),
      1
    ),
    ""0""
  ),
  ""Form not found""
)
"),"Form not found")</f>
        <v>Form not found</v>
      </c>
      <c r="AW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 *
        (IMPORTRANGE(""https://docs.google.com/spreadsheets/d/161aHT6vVT3SLneTKD19N5qVWtnj_jIT8CSsOmUVKmaA/ed"&amp;"it?gid=1761053510"",
          ""Haris_Form responses 1!$AQ:$AQ"")=6)
      ),
      1
    ),
    ""0""
  ),
  ""Form not found""
)
"),"Form not found")</f>
        <v>Form not found</v>
      </c>
      <c r="AX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 *
        (IMPORTRANGE(""https://docs.google.com/spreadsheets/d/161aHT6vVT3SLneTKD19N5qVWtnj_jIT8CSsOmUVKmaA/ed"&amp;"it?gid=1761053510"",
          ""Haris_Form responses 1!$AQ:$AQ"")=1)
      ),
      1
    ),
    ""0""
  ),
  ""Form not found""
)
"),"0")</f>
        <v>0</v>
      </c>
      <c r="AY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 *
        (IMPORTRANGE(""https://docs.google.com/spreadsheets/d/161aHT6vVT3SLneTKD19N5qVWtnj_jIT8CSsOmUVKmaA/ed"&amp;"it?gid=1761053510"",
          ""Haris_Form responses 1!$AQ:$AQ"")=2)
      ),
      1
    ),
    ""0""
  ),
  ""Form not found""
)
"),"Form not found")</f>
        <v>Form not found</v>
      </c>
      <c r="AZ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 *
        (IMPORTRANGE(""https://docs.google.com/spreadsheets/d/161aHT6vVT3SLneTKD19N5qVWtnj_jIT8CSsOmUVKmaA/ed"&amp;"it?gid=1761053510"",
          ""Haris_Form responses 1!$AQ:$AQ"")=3)
      ),
      1
    ),
    ""0""
  ),
  ""Form not found""
)
"),"0")</f>
        <v>0</v>
      </c>
      <c r="BA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 *
        (IMPORTRANGE(""https://docs.google.com/spreadsheets/d/161aHT6vVT3SLneTKD19N5qVWtnj_jIT8CSsOmUVKmaA/ed"&amp;"it?gid=1761053510"",
          ""Haris_Form responses 1!$AQ:$AQ"")=4)
      ),
      1
    ),
    ""0""
  ),
  ""Form not found""
)
"),"Form not found")</f>
        <v>Form not found</v>
      </c>
      <c r="BB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 *
        (IMPORTRANGE(""https://docs.google.com/spreadsheets/d/161aHT6vVT3SLneTKD19N5qVWtnj_jIT8CSsOmUVKmaA/ed"&amp;"it?gid=1761053510"",
          ""Haris_Form responses 1!$AQ:$AQ"")=5)
      ),
      1
    ),
    ""0""
  ),
  ""Form not found""
)
"),"Form not found")</f>
        <v>Form not found</v>
      </c>
      <c r="BC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 *
        (IMPORTRANGE(""https://docs.google.com/spreadsheets/d/161aHT6vVT3SLneTKD19N5qVWtnj_jIT8CSsOmUVKmaA/ed"&amp;"it?gid=1761053510"",
          ""Haris_Form responses 1!$AQ:$AQ"")=6)
      ),
      1
    ),
    ""0""
  ),
  ""Form not found""
)
"),"Form not found")</f>
        <v>Form not found</v>
      </c>
      <c r="BD22" s="293"/>
    </row>
    <row r="23">
      <c r="A23" s="283" t="str">
        <f>IFERROR(__xludf.DUMMYFUNCTION("VLOOKUP($B23,IMPORTRANGE(""https://docs.google.com/spreadsheets/d/1VNXDITjs75AcgdBSW27oL1VZH31udDprJSsBcE5xlp4/edit?gid=1551188038#gid=1551188038"", ""Sheet9!$B:$E""),2,false)"),"Lahore")</f>
        <v>Lahore</v>
      </c>
      <c r="B23" s="283" t="s">
        <v>1155</v>
      </c>
      <c r="C23" s="284" t="str">
        <f>IFERROR(__xludf.DUMMYFUNCTION("VLOOKUP(TRIM($B23), IMPORTRANGE(""https://docs.google.com/spreadsheets/d/1aSOrU4PTpuBZqfitKaH1Rfww6-YOiNCKoBpPl8XBHaw/edit?gid=0#gid=0"", ""sheet3!$B:$C""), 2, FALSE)
"),"Jamia Masjid Takiya Sain Sardaara Lahore")</f>
        <v>Jamia Masjid Takiya Sain Sardaara Lahore</v>
      </c>
      <c r="D23" s="284" t="str">
        <f>IFERROR(__xludf.DUMMYFUNCTION("IFERROR(
  INDEX(
    FILTER(
      IMPORTRANGE(""1aSOrU4PTpuBZqfitKaH1Rfww6-YOiNCKoBpPl8XBHaw/edit?gid=0#gid=0"",""Sheet1!G:G""),
      IMPORTRANGE(""1aSOrU4PTpuBZqfitKaH1Rfww6-YOiNCKoBpPl8XBHaw/edit?gid=0#gid=0"",""Sheet1!C:C"")=$B23
    ),
    1
  ),
 "&amp;" ""Not Found""
)"),"Community Religious Info Share")</f>
        <v>Community Religious Info Share</v>
      </c>
      <c r="E23" s="284" t="str">
        <f>VLOOKUP(B23,'Juma Recording forms'!A:E,5,false)</f>
        <v>Jamia Masjid Takiya Sain Sardaara Lahore</v>
      </c>
      <c r="F23" s="284" t="str">
        <f>IFERROR(__xludf.DUMMYFUNCTION("IFERROR(
  INDEX(
    FILTER(
      IMPORTRANGE(""1Cxrhp3-_-HS7v9uuqQliiIfrmMP4VaFoDNDWyUFy2J8/edit?gid=0#gid=0"",""Sheet1!Q:Q""),
      IMPORTRANGE(""1Cxrhp3-_-HS7v9uuqQliiIfrmMP4VaFoDNDWyUFy2J8/edit?gid=0#gid=0"",""Sheet1!K:K"")=$B23
    ),
    1
  ),
 "&amp;" ""Not Found""
)"),"Qari Muhammad Ramzan")</f>
        <v>Qari Muhammad Ramzan</v>
      </c>
      <c r="G23" s="284">
        <v>1950.0</v>
      </c>
      <c r="H23" s="284" t="s">
        <v>4821</v>
      </c>
      <c r="I23" s="285"/>
      <c r="J23" s="286">
        <v>2.0</v>
      </c>
      <c r="K23" s="287" t="str">
        <f>VLOOKUP($B23,'Mosque Locations'!$A:$E,3,FALSE)
</f>
        <v>https://maps.google.com/maps?q=31.5524641%2C74.3175409&amp;z=17&amp;hl=en</v>
      </c>
      <c r="L23" s="286">
        <f>VLOOKUP($B23,'Mosque Locations'!$A:$E,4,FALSE)
</f>
        <v>31.5524641</v>
      </c>
      <c r="M23" s="286">
        <f>VLOOKUP($B23,'Mosque Locations'!$A:$E,5,false)</f>
        <v>74.3175409</v>
      </c>
      <c r="N23" s="288"/>
      <c r="O23" s="288"/>
      <c r="P23" s="288"/>
      <c r="Q23" s="289" t="str">
        <f>IFERROR(__xludf.DUMMYFUNCTION("IFERROR(
  INDEX(
    FILTER(
      IMPORTRANGE(""1DccNxjBgurEr0ABkI_rBagJT5phB5HaHG5N_mTm_BiA"",""Form Responses 1!T:T""),
      TRIM(IMPORTRANGE(""1DccNxjBgurEr0ABkI_rBagJT5phB5HaHG5N_mTm_BiA"",""Form Responses 1!E:E""))=TRIM($B23)
    ),
    1
  ),
  "&amp;"""Not Found""
)
"),"https://drive.google.com/open?id=1OJU-0hIZcS7BvsT0Hs4Z85U2OAszd5aR")</f>
        <v>https://drive.google.com/open?id=1OJU-0hIZcS7BvsT0Hs4Z85U2OAszd5aR</v>
      </c>
      <c r="R23" s="289" t="str">
        <f>IFERROR(__xludf.DUMMYFUNCTION("IFERROR(
  INDEX(
    FILTER(
      IMPORTRANGE(""1DccNxjBgurEr0ABkI_rBagJT5phB5HaHG5N_mTm_BiA"",""Form Responses 1!S:S""),
      TRIM(IMPORTRANGE(""1DccNxjBgurEr0ABkI_rBagJT5phB5HaHG5N_mTm_BiA"",""Form Responses 1!E:E""))=TRIM($B23)
    ),
    1
  ),
  "&amp;"""Not Found""
)
"),"https://drive.google.com/file/d/1sF_n_2OyD_wEGOTyLM3jj-IPCKk43z2g/view")</f>
        <v>https://drive.google.com/file/d/1sF_n_2OyD_wEGOTyLM3jj-IPCKk43z2g/view</v>
      </c>
      <c r="S23" s="285"/>
      <c r="T23" s="290" t="str">
        <f>VLOOKUP($B23,'Master Tracker'!$D:$E,2,false)</f>
        <v>https://drive.google.com/open?id=1pbvV0wfvf_PcOhC28q0zN6KKOWQP1HQm</v>
      </c>
      <c r="U23" s="291" t="str">
        <f>VLOOKUP($B23,'Master Tracker'!$D:$T,4,FALSE)
</f>
        <v>https://drive.google.com/open?id=11_sVNMsLVXLfuly7KPEUpm2Z-5Z8Qdwt</v>
      </c>
      <c r="V23" s="290" t="str">
        <f>VLOOKUP($B23,'Master Tracker'!$D:$T,5,false)</f>
        <v>https://drive.google.com/open?id=1MdjdFqxkn5wff15D8ksjid99cZz-gkR4</v>
      </c>
      <c r="W23" s="291" t="str">
        <f>VLOOKUP($B23,'Master Tracker'!$D:$T,7,false)</f>
        <v>https://drive.google.com/open?id=1f6AwixGaN3W8eov0rluxYbVx0OSWdpOR</v>
      </c>
      <c r="X23" s="290" t="str">
        <f>VLOOKUP($B23,'Master Tracker'!$D:$T,8,false)</f>
        <v>https://drive.google.com/open?id=1oFCst-zhCdKB8ctPgZ0wSQVtIKt9ZKB-</v>
      </c>
      <c r="Y23" s="291" t="str">
        <f>VLOOKUP($B23,'Master Tracker'!$D:$T,10,false)</f>
        <v>https://drive.google.com/open?id=1fHd8ESr_GA0708aRHwMPS0KgnmRP0c4g</v>
      </c>
      <c r="Z23" s="284" t="str">
        <f>VLOOKUP($B23,'Master Tracker'!$D:$T,11,false)</f>
        <v>Not Found</v>
      </c>
      <c r="AA23" s="292" t="str">
        <f>VLOOKUP($B23,'Master Tracker'!$D:$T,13,false)</f>
        <v>Not Found</v>
      </c>
      <c r="AB23" s="284" t="str">
        <f>VLOOKUP($B23,'Master Tracker'!$D:$T,14,false)</f>
        <v>Not Found</v>
      </c>
      <c r="AC23" s="292" t="str">
        <f>VLOOKUP($B23,'Master Tracker'!$D:$T,16,false)</f>
        <v>Not Found</v>
      </c>
      <c r="AD23" s="292" t="str">
        <f>VLOOKUP($B23,'Master Tracker'!$D:$T,17,false)</f>
        <v>Not Found</v>
      </c>
      <c r="AE23" s="292" t="str">
        <f>VLOOKUP($B23,'Master Tracker'!$D:$V,19,false)</f>
        <v>Not Found</v>
      </c>
      <c r="AF23" s="292">
        <f>IFERROR(__xludf.DUMMYFUNCTION("IFERROR(
  INDEX(
    FILTER(
      'Juma Recording forms'!$G:$G,
      TRIM('Juma Recording forms'!$F:$F) = TRIM($B23),
      'Juma Recording forms'!$AA:$AA = 1
    ),
    1
  ),
  ""Not Found""
)"),440.0)</f>
        <v>440</v>
      </c>
      <c r="AG23" s="292">
        <f>IFERROR(__xludf.DUMMYFUNCTION("IFERROR(
  INDEX(
    FILTER(
      'Juma Recording forms'!$G:$G,
      TRIM('Juma Recording forms'!$F:$F) = TRIM($B23),
      'Juma Recording forms'!$AA:$AA = 2
    ),
    1
  ),
  ""Not Found""
)"),478.0)</f>
        <v>478</v>
      </c>
      <c r="AH23" s="292">
        <f>IFERROR(__xludf.DUMMYFUNCTION("IFERROR(
  INDEX(
    FILTER(
      'Juma Recording forms'!$G:$G,
      TRIM('Juma Recording forms'!$F:$F) = TRIM($B23),
      'Juma Recording forms'!$AA:$AA = 3
    ),
    1
  ),
  ""Not Found""
)"),455.0)</f>
        <v>455</v>
      </c>
      <c r="AI23" s="292" t="str">
        <f>IFERROR(__xludf.DUMMYFUNCTION("IFERROR(
  INDEX(
    FILTER(
      'Juma Recording forms'!$G:$G,
      TRIM('Juma Recording forms'!$F:$F) = TRIM($B23),
      'Juma Recording forms'!$AA:$AA = 4
    ),
    1
  ),
  ""Not Found""
)"),"Not Found")</f>
        <v>Not Found</v>
      </c>
      <c r="AJ23" s="292" t="str">
        <f>IFERROR(__xludf.DUMMYFUNCTION("IFERROR(
  INDEX(
    FILTER(
      'Juma Recording forms'!$G:$G,
      TRIM('Juma Recording forms'!$F:$F) = TRIM($B23),
      'Juma Recording forms'!$AA:$AA = 5
    ),
    1
  ),
  ""Not Found""
)"),"Not Found")</f>
        <v>Not Found</v>
      </c>
      <c r="AK23" s="292" t="str">
        <f>IFERROR(__xludf.DUMMYFUNCTION("IFERROR(
  INDEX(
    FILTER(
      'Juma Recording forms'!$G:$G,
      TRIM('Juma Recording forms'!$F:$F) = TRIM($B23),
      'Juma Recording forms'!$AA:$AA = 6
    ),
    1
  ),
  ""Not Found""
)"),"Not Found")</f>
        <v>Not Found</v>
      </c>
      <c r="AL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 *
        (IMPORTRANGE(""https://docs.google.com/spreadsheets/d/161aHT6vVT3SLneTKD19N5qVWtnj_jIT8CSsOmUVKmaA/ed"&amp;"it?gid=1761053510"",
          ""Haris_Form responses 1!$AQ:$AQ"")=1)
      ),
      1
    ),
    ""0""
  ),
  ""Form not found""
)
"),"10")</f>
        <v>10</v>
      </c>
      <c r="AM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 *
        (IMPORTRANGE(""https://docs.google.com/spreadsheets/d/161aHT6vVT3SLneTKD19N5qVWtnj_jIT8CSsOmUVKmaA/ed"&amp;"it?gid=1761053510"",
          ""Haris_Form responses 1!$AQ:$AQ"")=2)
      ),
      1
    ),
    ""0""
  ),
  ""Form not found""
)
"),"8")</f>
        <v>8</v>
      </c>
      <c r="AN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 *
        (IMPORTRANGE(""https://docs.google.com/spreadsheets/d/161aHT6vVT3SLneTKD19N5qVWtnj_jIT8CSsOmUVKmaA/ed"&amp;"it?gid=1761053510"",
          ""Haris_Form responses 1!$AQ:$AQ"")=3)
      ),
      1
    ),
    ""0""
  ),
  ""Form not found""
)
"),"0")</f>
        <v>0</v>
      </c>
      <c r="AO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 *
        (IMPORTRANGE(""https://docs.google.com/spreadsheets/d/161aHT6vVT3SLneTKD19N5qVWtnj_jIT8CSsOmUVKmaA/ed"&amp;"it?gid=1761053510"",
          ""Haris_Form responses 1!$AQ:$AQ"")=4)
      ),
      1
    ),
    ""0""
  ),
  ""Form not found""
)
"),"Form not found")</f>
        <v>Form not found</v>
      </c>
      <c r="AP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 *
        (IMPORTRANGE(""https://docs.google.com/spreadsheets/d/161aHT6vVT3SLneTKD19N5qVWtnj_jIT8CSsOmUVKmaA/ed"&amp;"it?gid=1761053510"",
          ""Haris_Form responses 1!$AQ:$AQ"")=5)
      ),
      1
    ),
    ""0""
  ),
  ""Form not found""
)
"),"Form not found")</f>
        <v>Form not found</v>
      </c>
      <c r="AQ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 *
        (IMPORTRANGE(""https://docs.google.com/spreadsheets/d/161aHT6vVT3SLneTKD19N5qVWtnj_jIT8CSsOmUVKmaA/ed"&amp;"it?gid=1761053510"",
          ""Haris_Form responses 1!$AQ:$AQ"")=6)
      ),
      1
    ),
    ""0""
  ),
  ""Form not found""
)
"),"Form not found")</f>
        <v>Form not found</v>
      </c>
      <c r="AR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 *
        (IMPORTRANGE(""https://docs.google.com/spreadsheets/d/161aHT6vVT3SLneTKD19N5qVWtnj_jIT8CSsOmUVKmaA/ed"&amp;"it?gid=1761053510"",
          ""Haris_Form responses 1!$AQ:$AQ"")=1)
      ),
      1
    ),
    ""0""
  ),
  ""Form not found""
)
"),"10")</f>
        <v>10</v>
      </c>
      <c r="AS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 *
        (IMPORTRANGE(""https://docs.google.com/spreadsheets/d/161aHT6vVT3SLneTKD19N5qVWtnj_jIT8CSsOmUVKmaA/ed"&amp;"it?gid=1761053510"",
          ""Haris_Form responses 1!$AQ:$AQ"")=2)
      ),
      1
    ),
    ""0""
  ),
  ""Form not found""
)
"),"8")</f>
        <v>8</v>
      </c>
      <c r="AT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 *
        (IMPORTRANGE(""https://docs.google.com/spreadsheets/d/161aHT6vVT3SLneTKD19N5qVWtnj_jIT8CSsOmUVKmaA/ed"&amp;"it?gid=1761053510"",
          ""Haris_Form responses 1!$AQ:$AQ"")=3)
      ),
      1
    ),
    ""0""
  ),
  ""Form not found""
)
"),"0")</f>
        <v>0</v>
      </c>
      <c r="AU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 *
        (IMPORTRANGE(""https://docs.google.com/spreadsheets/d/161aHT6vVT3SLneTKD19N5qVWtnj_jIT8CSsOmUVKmaA/ed"&amp;"it?gid=1761053510"",
          ""Haris_Form responses 1!$AQ:$AQ"")=4)
      ),
      1
    ),
    ""0""
  ),
  ""Form not found""
)
"),"Form not found")</f>
        <v>Form not found</v>
      </c>
      <c r="AV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 *
        (IMPORTRANGE(""https://docs.google.com/spreadsheets/d/161aHT6vVT3SLneTKD19N5qVWtnj_jIT8CSsOmUVKmaA/ed"&amp;"it?gid=1761053510"",
          ""Haris_Form responses 1!$AQ:$AQ"")=5)
      ),
      1
    ),
    ""0""
  ),
  ""Form not found""
)
"),"Form not found")</f>
        <v>Form not found</v>
      </c>
      <c r="AW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 *
        (IMPORTRANGE(""https://docs.google.com/spreadsheets/d/161aHT6vVT3SLneTKD19N5qVWtnj_jIT8CSsOmUVKmaA/ed"&amp;"it?gid=1761053510"",
          ""Haris_Form responses 1!$AQ:$AQ"")=6)
      ),
      1
    ),
    ""0""
  ),
  ""Form not found""
)
"),"Form not found")</f>
        <v>Form not found</v>
      </c>
      <c r="AX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 *
        (IMPORTRANGE(""https://docs.google.com/spreadsheets/d/161aHT6vVT3SLneTKD19N5qVWtnj_jIT8CSsOmUVKmaA/ed"&amp;"it?gid=1761053510"",
          ""Haris_Form responses 1!$AQ:$AQ"")=1)
      ),
      1
    ),
    ""0""
  ),
  ""Form not found""
)
"),"0")</f>
        <v>0</v>
      </c>
      <c r="AY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 *
        (IMPORTRANGE(""https://docs.google.com/spreadsheets/d/161aHT6vVT3SLneTKD19N5qVWtnj_jIT8CSsOmUVKmaA/ed"&amp;"it?gid=1761053510"",
          ""Haris_Form responses 1!$AQ:$AQ"")=2)
      ),
      1
    ),
    ""0""
  ),
  ""Form not found""
)
"),"0")</f>
        <v>0</v>
      </c>
      <c r="AZ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 *
        (IMPORTRANGE(""https://docs.google.com/spreadsheets/d/161aHT6vVT3SLneTKD19N5qVWtnj_jIT8CSsOmUVKmaA/ed"&amp;"it?gid=1761053510"",
          ""Haris_Form responses 1!$AQ:$AQ"")=3)
      ),
      1
    ),
    ""0""
  ),
  ""Form not found""
)
"),"0")</f>
        <v>0</v>
      </c>
      <c r="BA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 *
        (IMPORTRANGE(""https://docs.google.com/spreadsheets/d/161aHT6vVT3SLneTKD19N5qVWtnj_jIT8CSsOmUVKmaA/ed"&amp;"it?gid=1761053510"",
          ""Haris_Form responses 1!$AQ:$AQ"")=4)
      ),
      1
    ),
    ""0""
  ),
  ""Form not found""
)
"),"Form not found")</f>
        <v>Form not found</v>
      </c>
      <c r="BB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 *
        (IMPORTRANGE(""https://docs.google.com/spreadsheets/d/161aHT6vVT3SLneTKD19N5qVWtnj_jIT8CSsOmUVKmaA/ed"&amp;"it?gid=1761053510"",
          ""Haris_Form responses 1!$AQ:$AQ"")=5)
      ),
      1
    ),
    ""0""
  ),
  ""Form not found""
)
"),"Form not found")</f>
        <v>Form not found</v>
      </c>
      <c r="BC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 *
        (IMPORTRANGE(""https://docs.google.com/spreadsheets/d/161aHT6vVT3SLneTKD19N5qVWtnj_jIT8CSsOmUVKmaA/ed"&amp;"it?gid=1761053510"",
          ""Haris_Form responses 1!$AQ:$AQ"")=6)
      ),
      1
    ),
    ""0""
  ),
  ""Form not found""
)
"),"Form not found")</f>
        <v>Form not found</v>
      </c>
      <c r="BD23" s="293"/>
    </row>
    <row r="24">
      <c r="A24" s="283" t="str">
        <f>IFERROR(__xludf.DUMMYFUNCTION("VLOOKUP($B24,IMPORTRANGE(""https://docs.google.com/spreadsheets/d/1VNXDITjs75AcgdBSW27oL1VZH31udDprJSsBcE5xlp4/edit?gid=1551188038#gid=1551188038"", ""Sheet9!$B:$E""),2,false)"),"Lahore")</f>
        <v>Lahore</v>
      </c>
      <c r="B24" s="283" t="s">
        <v>1572</v>
      </c>
      <c r="C24" s="284" t="str">
        <f>IFERROR(__xludf.DUMMYFUNCTION("VLOOKUP(TRIM($B24), IMPORTRANGE(""https://docs.google.com/spreadsheets/d/1aSOrU4PTpuBZqfitKaH1Rfww6-YOiNCKoBpPl8XBHaw/edit?gid=0#gid=0"", ""sheet3!$B:$C""), 2, FALSE)
"),"Jamia Masjid Madina Purani Anarkali Lahore")</f>
        <v>Jamia Masjid Madina Purani Anarkali Lahore</v>
      </c>
      <c r="D24" s="284" t="str">
        <f>IFERROR(__xludf.DUMMYFUNCTION("IFERROR(
  INDEX(
    FILTER(
      IMPORTRANGE(""1aSOrU4PTpuBZqfitKaH1Rfww6-YOiNCKoBpPl8XBHaw/edit?gid=0#gid=0"",""Sheet1!G:G""),
      IMPORTRANGE(""1aSOrU4PTpuBZqfitKaH1Rfww6-YOiNCKoBpPl8XBHaw/edit?gid=0#gid=0"",""Sheet1!C:C"")=$B24
    ),
    1
  ),
 "&amp;" ""Not Found""
)"),"Community Religious No Info Share")</f>
        <v>Community Religious No Info Share</v>
      </c>
      <c r="E24" s="284" t="str">
        <f>VLOOKUP(B24,'Juma Recording forms'!A:E,5,false)</f>
        <v>Madina masjid purani anarkali</v>
      </c>
      <c r="F24" s="284" t="str">
        <f>IFERROR(__xludf.DUMMYFUNCTION("IFERROR(
  INDEX(
    FILTER(
      IMPORTRANGE(""1Cxrhp3-_-HS7v9uuqQliiIfrmMP4VaFoDNDWyUFy2J8/edit?gid=0#gid=0"",""Sheet1!Q:Q""),
      IMPORTRANGE(""1Cxrhp3-_-HS7v9uuqQliiIfrmMP4VaFoDNDWyUFy2J8/edit?gid=0#gid=0"",""Sheet1!K:K"")=$B24
    ),
    1
  ),
 "&amp;" ""Not Found""
)"),"Maulana Nazim Ashraf")</f>
        <v>Maulana Nazim Ashraf</v>
      </c>
      <c r="G24" s="284">
        <v>2012.0</v>
      </c>
      <c r="H24" s="284"/>
      <c r="I24" s="285"/>
      <c r="J24" s="286">
        <v>2.0</v>
      </c>
      <c r="K24" s="287" t="str">
        <f>VLOOKUP($B24,'Mosque Locations'!$A:$E,3,FALSE)
</f>
        <v>https://maps.google.com/maps?q=31.5644595%2C74.3106655&amp;z=17&amp;hl=en</v>
      </c>
      <c r="L24" s="286">
        <f>VLOOKUP($B24,'Mosque Locations'!$A:$E,4,FALSE)
</f>
        <v>31.5644595</v>
      </c>
      <c r="M24" s="286">
        <f>VLOOKUP($B24,'Mosque Locations'!$A:$E,5,false)</f>
        <v>74.3106655</v>
      </c>
      <c r="N24" s="288"/>
      <c r="O24" s="288"/>
      <c r="P24" s="288"/>
      <c r="Q24" s="290" t="str">
        <f>IFERROR(__xludf.DUMMYFUNCTION("IFERROR(
  INDEX(
    FILTER(
      IMPORTRANGE(""1DccNxjBgurEr0ABkI_rBagJT5phB5HaHG5N_mTm_BiA"",""Form Responses 1!T:T""),
      TRIM(IMPORTRANGE(""1DccNxjBgurEr0ABkI_rBagJT5phB5HaHG5N_mTm_BiA"",""Form Responses 1!E:E""))=TRIM($B24)
    ),
    1
  ),
  "&amp;"""Not Found""
)
"),"https://drive.google.com/open?id=18yVdX2rk1ZP8NH0vaobRxFVXCpFCHmJ_")</f>
        <v>https://drive.google.com/open?id=18yVdX2rk1ZP8NH0vaobRxFVXCpFCHmJ_</v>
      </c>
      <c r="R24" s="290" t="str">
        <f>IFERROR(__xludf.DUMMYFUNCTION("IFERROR(
  INDEX(
    FILTER(
      IMPORTRANGE(""1DccNxjBgurEr0ABkI_rBagJT5phB5HaHG5N_mTm_BiA"",""Form Responses 1!S:S""),
      TRIM(IMPORTRANGE(""1DccNxjBgurEr0ABkI_rBagJT5phB5HaHG5N_mTm_BiA"",""Form Responses 1!E:E""))=TRIM($B24)
    ),
    1
  ),
  "&amp;"""Not Found""
)
"),"https://drive.google.com/open?id=12wHTasG807YamjS4PrN4rVWxUmYGVYV6")</f>
        <v>https://drive.google.com/open?id=12wHTasG807YamjS4PrN4rVWxUmYGVYV6</v>
      </c>
      <c r="S24" s="285"/>
      <c r="T24" s="284" t="str">
        <f>VLOOKUP($B24,'Master Tracker'!$D:$E,2,false)</f>
        <v>skpped due to imam</v>
      </c>
      <c r="U24" s="292" t="str">
        <f>VLOOKUP($B24,'Master Tracker'!$D:$T,4,FALSE)
</f>
        <v>Not Found</v>
      </c>
      <c r="V24" s="290" t="str">
        <f>VLOOKUP($B24,'Master Tracker'!$D:$T,5,false)</f>
        <v>https://drive.google.com/open?id=1qAxiHQa_-28MKa5mlldT9_LF6tPE411m</v>
      </c>
      <c r="W24" s="291" t="str">
        <f>VLOOKUP($B24,'Master Tracker'!$D:$T,7,false)</f>
        <v>https://drive.google.com/open?id=16x1ey0tVhnd_FKbygJqMXAQlj-ndl7VR</v>
      </c>
      <c r="X24" s="290" t="str">
        <f>VLOOKUP($B24,'Master Tracker'!$D:$T,8,false)</f>
        <v>https://drive.google.com/open?id=1PKeUCt8QFKq71ufGzjrxvwpEQS0bpoux</v>
      </c>
      <c r="Y24" s="291" t="str">
        <f>VLOOKUP($B24,'Master Tracker'!$D:$T,10,false)</f>
        <v>https://drive.google.com/open?id=1jLDIMt3OlETNQ2yBJvULkkgqiuZzEpTA</v>
      </c>
      <c r="Z24" s="284" t="str">
        <f>VLOOKUP($B24,'Master Tracker'!$D:$T,11,false)</f>
        <v>skipped</v>
      </c>
      <c r="AA24" s="292" t="str">
        <f>VLOOKUP($B24,'Master Tracker'!$D:$T,13,false)</f>
        <v>Not Found</v>
      </c>
      <c r="AB24" s="290" t="str">
        <f>VLOOKUP($B24,'Master Tracker'!$D:$T,14,false)</f>
        <v>https://drive.google.com/open?id=1XRaAJrZVyyZax-zPYQuPBs1CWBKL-Qwe</v>
      </c>
      <c r="AC24" s="291" t="str">
        <f>VLOOKUP($B24,'Master Tracker'!$D:$T,16,false)</f>
        <v>https://drive.google.com/open?id=1WbAu82LKqLJHcasXKQBNZjOFWdiM-ARP</v>
      </c>
      <c r="AD24" s="292" t="str">
        <f>VLOOKUP($B24,'Master Tracker'!$D:$T,17,false)</f>
        <v>Not Found</v>
      </c>
      <c r="AE24" s="292" t="str">
        <f>VLOOKUP($B24,'Master Tracker'!$D:$V,19,false)</f>
        <v>Not Found</v>
      </c>
      <c r="AF24" s="292" t="str">
        <f>IFERROR(__xludf.DUMMYFUNCTION("IFERROR(
  INDEX(
    FILTER(
      'Juma Recording forms'!$G:$G,
      TRIM('Juma Recording forms'!$F:$F) = TRIM($B24),
      'Juma Recording forms'!$AA:$AA = 1
    ),
    1
  ),
  ""Not Found""
)"),"Not Found")</f>
        <v>Not Found</v>
      </c>
      <c r="AG24" s="292">
        <f>IFERROR(__xludf.DUMMYFUNCTION("IFERROR(
  INDEX(
    FILTER(
      'Juma Recording forms'!$G:$G,
      TRIM('Juma Recording forms'!$F:$F) = TRIM($B24),
      'Juma Recording forms'!$AA:$AA = 2
    ),
    1
  ),
  ""Not Found""
)"),320.0)</f>
        <v>320</v>
      </c>
      <c r="AH24" s="292">
        <f>IFERROR(__xludf.DUMMYFUNCTION("IFERROR(
  INDEX(
    FILTER(
      'Juma Recording forms'!$G:$G,
      TRIM('Juma Recording forms'!$F:$F) = TRIM($B24),
      'Juma Recording forms'!$AA:$AA = 3
    ),
    1
  ),
  ""Not Found""
)"),370.0)</f>
        <v>370</v>
      </c>
      <c r="AI24" s="292">
        <f>IFERROR(__xludf.DUMMYFUNCTION("IFERROR(
  INDEX(
    FILTER(
      'Juma Recording forms'!$G:$G,
      TRIM('Juma Recording forms'!$F:$F) = TRIM($B24),
      'Juma Recording forms'!$AA:$AA = 4
    ),
    1
  ),
  ""Not Found""
)"),320.0)</f>
        <v>320</v>
      </c>
      <c r="AJ24" s="292">
        <f>IFERROR(__xludf.DUMMYFUNCTION("IFERROR(
  INDEX(
    FILTER(
      'Juma Recording forms'!$G:$G,
      TRIM('Juma Recording forms'!$F:$F) = TRIM($B24),
      'Juma Recording forms'!$AA:$AA = 5
    ),
    1
  ),
  ""Not Found""
)"),360.0)</f>
        <v>360</v>
      </c>
      <c r="AK24" s="292" t="str">
        <f>IFERROR(__xludf.DUMMYFUNCTION("IFERROR(
  INDEX(
    FILTER(
      'Juma Recording forms'!$G:$G,
      TRIM('Juma Recording forms'!$F:$F) = TRIM($B24),
      'Juma Recording forms'!$AA:$AA = 6
    ),
    1
  ),
  ""Not Found""
)"),"Not Found")</f>
        <v>Not Found</v>
      </c>
      <c r="AL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 *
        (IMPORTRANGE(""https://docs.google.com/spreadsheets/d/161aHT6vVT3SLneTKD19N5qVWtnj_jIT8CSsOmUVKmaA/ed"&amp;"it?gid=1761053510"",
          ""Haris_Form responses 1!$AQ:$AQ"")=1)
      ),
      1
    ),
    ""0""
  ),
  ""Form not found""
)
"),"Form not found")</f>
        <v>Form not found</v>
      </c>
      <c r="AM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 *
        (IMPORTRANGE(""https://docs.google.com/spreadsheets/d/161aHT6vVT3SLneTKD19N5qVWtnj_jIT8CSsOmUVKmaA/ed"&amp;"it?gid=1761053510"",
          ""Haris_Form responses 1!$AQ:$AQ"")=2)
      ),
      1
    ),
    ""0""
  ),
  ""Form not found""
)
"),"0")</f>
        <v>0</v>
      </c>
      <c r="AN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 *
        (IMPORTRANGE(""https://docs.google.com/spreadsheets/d/161aHT6vVT3SLneTKD19N5qVWtnj_jIT8CSsOmUVKmaA/ed"&amp;"it?gid=1761053510"",
          ""Haris_Form responses 1!$AQ:$AQ"")=3)
      ),
      1
    ),
    ""0""
  ),
  ""Form not found""
)
"),"0")</f>
        <v>0</v>
      </c>
      <c r="AO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 *
        (IMPORTRANGE(""https://docs.google.com/spreadsheets/d/161aHT6vVT3SLneTKD19N5qVWtnj_jIT8CSsOmUVKmaA/ed"&amp;"it?gid=1761053510"",
          ""Haris_Form responses 1!$AQ:$AQ"")=4)
      ),
      1
    ),
    ""0""
  ),
  ""Form not found""
)
"),"Form not found")</f>
        <v>Form not found</v>
      </c>
      <c r="AP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 *
        (IMPORTRANGE(""https://docs.google.com/spreadsheets/d/161aHT6vVT3SLneTKD19N5qVWtnj_jIT8CSsOmUVKmaA/ed"&amp;"it?gid=1761053510"",
          ""Haris_Form responses 1!$AQ:$AQ"")=5)
      ),
      1
    ),
    ""0""
  ),
  ""Form not found""
)
"),"0")</f>
        <v>0</v>
      </c>
      <c r="AQ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 *
        (IMPORTRANGE(""https://docs.google.com/spreadsheets/d/161aHT6vVT3SLneTKD19N5qVWtnj_jIT8CSsOmUVKmaA/ed"&amp;"it?gid=1761053510"",
          ""Haris_Form responses 1!$AQ:$AQ"")=6)
      ),
      1
    ),
    ""0""
  ),
  ""Form not found""
)
"),"Form not found")</f>
        <v>Form not found</v>
      </c>
      <c r="AR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 *
        (IMPORTRANGE(""https://docs.google.com/spreadsheets/d/161aHT6vVT3SLneTKD19N5qVWtnj_jIT8CSsOmUVKmaA/ed"&amp;"it?gid=1761053510"",
          ""Haris_Form responses 1!$AQ:$AQ"")=1)
      ),
      1
    ),
    ""0""
  ),
  ""Form not found""
)
"),"Form not found")</f>
        <v>Form not found</v>
      </c>
      <c r="AS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 *
        (IMPORTRANGE(""https://docs.google.com/spreadsheets/d/161aHT6vVT3SLneTKD19N5qVWtnj_jIT8CSsOmUVKmaA/ed"&amp;"it?gid=1761053510"",
          ""Haris_Form responses 1!$AQ:$AQ"")=2)
      ),
      1
    ),
    ""0""
  ),
  ""Form not found""
)
"),"0")</f>
        <v>0</v>
      </c>
      <c r="AT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 *
        (IMPORTRANGE(""https://docs.google.com/spreadsheets/d/161aHT6vVT3SLneTKD19N5qVWtnj_jIT8CSsOmUVKmaA/ed"&amp;"it?gid=1761053510"",
          ""Haris_Form responses 1!$AQ:$AQ"")=3)
      ),
      1
    ),
    ""0""
  ),
  ""Form not found""
)
"),"0")</f>
        <v>0</v>
      </c>
      <c r="AU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 *
        (IMPORTRANGE(""https://docs.google.com/spreadsheets/d/161aHT6vVT3SLneTKD19N5qVWtnj_jIT8CSsOmUVKmaA/ed"&amp;"it?gid=1761053510"",
          ""Haris_Form responses 1!$AQ:$AQ"")=4)
      ),
      1
    ),
    ""0""
  ),
  ""Form not found""
)
"),"Form not found")</f>
        <v>Form not found</v>
      </c>
      <c r="AV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 *
        (IMPORTRANGE(""https://docs.google.com/spreadsheets/d/161aHT6vVT3SLneTKD19N5qVWtnj_jIT8CSsOmUVKmaA/ed"&amp;"it?gid=1761053510"",
          ""Haris_Form responses 1!$AQ:$AQ"")=5)
      ),
      1
    ),
    ""0""
  ),
  ""Form not found""
)
"),"0")</f>
        <v>0</v>
      </c>
      <c r="AW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 *
        (IMPORTRANGE(""https://docs.google.com/spreadsheets/d/161aHT6vVT3SLneTKD19N5qVWtnj_jIT8CSsOmUVKmaA/ed"&amp;"it?gid=1761053510"",
          ""Haris_Form responses 1!$AQ:$AQ"")=6)
      ),
      1
    ),
    ""0""
  ),
  ""Form not found""
)
"),"Form not found")</f>
        <v>Form not found</v>
      </c>
      <c r="AX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 *
        (IMPORTRANGE(""https://docs.google.com/spreadsheets/d/161aHT6vVT3SLneTKD19N5qVWtnj_jIT8CSsOmUVKmaA/ed"&amp;"it?gid=1761053510"",
          ""Haris_Form responses 1!$AQ:$AQ"")=1)
      ),
      1
    ),
    ""0""
  ),
  ""Form not found""
)
"),"Form not found")</f>
        <v>Form not found</v>
      </c>
      <c r="AY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 *
        (IMPORTRANGE(""https://docs.google.com/spreadsheets/d/161aHT6vVT3SLneTKD19N5qVWtnj_jIT8CSsOmUVKmaA/ed"&amp;"it?gid=1761053510"",
          ""Haris_Form responses 1!$AQ:$AQ"")=2)
      ),
      1
    ),
    ""0""
  ),
  ""Form not found""
)
"),"0")</f>
        <v>0</v>
      </c>
      <c r="AZ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 *
        (IMPORTRANGE(""https://docs.google.com/spreadsheets/d/161aHT6vVT3SLneTKD19N5qVWtnj_jIT8CSsOmUVKmaA/ed"&amp;"it?gid=1761053510"",
          ""Haris_Form responses 1!$AQ:$AQ"")=3)
      ),
      1
    ),
    ""0""
  ),
  ""Form not found""
)
"),"5")</f>
        <v>5</v>
      </c>
      <c r="BA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 *
        (IMPORTRANGE(""https://docs.google.com/spreadsheets/d/161aHT6vVT3SLneTKD19N5qVWtnj_jIT8CSsOmUVKmaA/ed"&amp;"it?gid=1761053510"",
          ""Haris_Form responses 1!$AQ:$AQ"")=4)
      ),
      1
    ),
    ""0""
  ),
  ""Form not found""
)
"),"Form not found")</f>
        <v>Form not found</v>
      </c>
      <c r="BB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 *
        (IMPORTRANGE(""https://docs.google.com/spreadsheets/d/161aHT6vVT3SLneTKD19N5qVWtnj_jIT8CSsOmUVKmaA/ed"&amp;"it?gid=1761053510"",
          ""Haris_Form responses 1!$AQ:$AQ"")=5)
      ),
      1
    ),
    ""0""
  ),
  ""Form not found""
)
"),"0")</f>
        <v>0</v>
      </c>
      <c r="BC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 *
        (IMPORTRANGE(""https://docs.google.com/spreadsheets/d/161aHT6vVT3SLneTKD19N5qVWtnj_jIT8CSsOmUVKmaA/ed"&amp;"it?gid=1761053510"",
          ""Haris_Form responses 1!$AQ:$AQ"")=6)
      ),
      1
    ),
    ""0""
  ),
  ""Form not found""
)
"),"Form not found")</f>
        <v>Form not found</v>
      </c>
      <c r="BD24" s="293"/>
    </row>
    <row r="25">
      <c r="A25" s="283" t="str">
        <f>IFERROR(__xludf.DUMMYFUNCTION("VLOOKUP($B25,IMPORTRANGE(""https://docs.google.com/spreadsheets/d/1VNXDITjs75AcgdBSW27oL1VZH31udDprJSsBcE5xlp4/edit?gid=1551188038#gid=1551188038"", ""Sheet9!$B:$E""),2,false)"),"Lahore")</f>
        <v>Lahore</v>
      </c>
      <c r="B25" s="283" t="s">
        <v>1134</v>
      </c>
      <c r="C25" s="284" t="str">
        <f>IFERROR(__xludf.DUMMYFUNCTION("VLOOKUP(TRIM($B25), IMPORTRANGE(""https://docs.google.com/spreadsheets/d/1aSOrU4PTpuBZqfitKaH1Rfww6-YOiNCKoBpPl8XBHaw/edit?gid=0#gid=0"", ""sheet3!$B:$C""), 2, FALSE)
"),"Jamia Masjid Abu Bakar Sadiq Jalu Moor Lahore")</f>
        <v>Jamia Masjid Abu Bakar Sadiq Jalu Moor Lahore</v>
      </c>
      <c r="D25" s="284" t="str">
        <f>IFERROR(__xludf.DUMMYFUNCTION("IFERROR(
  INDEX(
    FILTER(
      IMPORTRANGE(""1aSOrU4PTpuBZqfitKaH1Rfww6-YOiNCKoBpPl8XBHaw/edit?gid=0#gid=0"",""Sheet1!G:G""),
      IMPORTRANGE(""1aSOrU4PTpuBZqfitKaH1Rfww6-YOiNCKoBpPl8XBHaw/edit?gid=0#gid=0"",""Sheet1!C:C"")=$B25
    ),
    1
  ),
 "&amp;" ""Not Found""
)"),"Women Religious No Info Share")</f>
        <v>Women Religious No Info Share</v>
      </c>
      <c r="E25" s="284" t="str">
        <f>VLOOKUP(B25,'Juma Recording forms'!A:E,5,false)</f>
        <v>Jamya masjid abubakar sadiq </v>
      </c>
      <c r="F25" s="284" t="str">
        <f>IFERROR(__xludf.DUMMYFUNCTION("IFERROR(
  INDEX(
    FILTER(
      IMPORTRANGE(""1Cxrhp3-_-HS7v9uuqQliiIfrmMP4VaFoDNDWyUFy2J8/edit?gid=0#gid=0"",""Sheet1!Q:Q""),
      IMPORTRANGE(""1Cxrhp3-_-HS7v9uuqQliiIfrmMP4VaFoDNDWyUFy2J8/edit?gid=0#gid=0"",""Sheet1!K:K"")=$B25
    ),
    1
  ),
 "&amp;" ""Not Found""
)"),"Syed awais mehboob shah")</f>
        <v>Syed awais mehboob shah</v>
      </c>
      <c r="G25" s="284">
        <v>1940.0</v>
      </c>
      <c r="H25" s="284"/>
      <c r="I25" s="285"/>
      <c r="J25" s="286">
        <v>2.0</v>
      </c>
      <c r="K25" s="287" t="str">
        <f>VLOOKUP($B25,'Mosque Locations'!$A:$E,3,FALSE)
</f>
        <v>https://maps.google.com/maps?q=31.596572%2C74.4995227&amp;z=17&amp;hl=en</v>
      </c>
      <c r="L25" s="286">
        <f>VLOOKUP($B25,'Mosque Locations'!$A:$E,4,FALSE)
</f>
        <v>31.59657</v>
      </c>
      <c r="M25" s="286">
        <f>VLOOKUP($B25,'Mosque Locations'!$A:$E,5,false)</f>
        <v>74.49952</v>
      </c>
      <c r="N25" s="288"/>
      <c r="O25" s="288"/>
      <c r="P25" s="288"/>
      <c r="Q25" s="294" t="str">
        <f>IFERROR(__xludf.DUMMYFUNCTION("IFERROR(
  INDEX(
    FILTER(
      IMPORTRANGE(""1DccNxjBgurEr0ABkI_rBagJT5phB5HaHG5N_mTm_BiA"",""Form Responses 1!T:T""),
      TRIM(IMPORTRANGE(""1DccNxjBgurEr0ABkI_rBagJT5phB5HaHG5N_mTm_BiA"",""Form Responses 1!E:E""))=TRIM($B25)
    ),
    1
  ),
  "&amp;"""Not Found""
)
"),"https://drive.google.com/open?id=1iOIs2wHP75aoXAp-VGa-g-UOHgxUoxG0, https://drive.google.com/open?id=1YY1fSeBoRpPcQ8oFuqi6njM1EmPKrfPj, https://drive.google.com/open?id=1oFV1AjTO0L8iNGcfYzMySYdQK1702erp")</f>
        <v>https://drive.google.com/open?id=1iOIs2wHP75aoXAp-VGa-g-UOHgxUoxG0, https://drive.google.com/open?id=1YY1fSeBoRpPcQ8oFuqi6njM1EmPKrfPj, https://drive.google.com/open?id=1oFV1AjTO0L8iNGcfYzMySYdQK1702erp</v>
      </c>
      <c r="R25" s="289" t="str">
        <f>IFERROR(__xludf.DUMMYFUNCTION("IFERROR(
  INDEX(
    FILTER(
      IMPORTRANGE(""1DccNxjBgurEr0ABkI_rBagJT5phB5HaHG5N_mTm_BiA"",""Form Responses 1!S:S""),
      TRIM(IMPORTRANGE(""1DccNxjBgurEr0ABkI_rBagJT5phB5HaHG5N_mTm_BiA"",""Form Responses 1!E:E""))=TRIM($B25)
    ),
    1
  ),
  "&amp;"""Not Found""
)
"),"https://drive.google.com/open?id=1Ee7FFGdUFodpiYZ1-W8JCqp_JfLKSmyb")</f>
        <v>https://drive.google.com/open?id=1Ee7FFGdUFodpiYZ1-W8JCqp_JfLKSmyb</v>
      </c>
      <c r="S25" s="285"/>
      <c r="T25" s="290" t="str">
        <f>VLOOKUP($B25,'Master Tracker'!$D:$E,2,false)</f>
        <v>https://drive.google.com/open?id=1auIwHPYeeWqcq_6b2EtZom9fLuON1gYi</v>
      </c>
      <c r="U25" s="291" t="str">
        <f>VLOOKUP($B25,'Master Tracker'!$D:$T,4,FALSE)
</f>
        <v>https://drive.google.com/open?id=1_-5vnWszRPTCqEbt7_qNSahjEgd5eaqA</v>
      </c>
      <c r="V25" s="290" t="str">
        <f>VLOOKUP($B25,'Master Tracker'!$D:$T,5,false)</f>
        <v>https://drive.google.com/open?id=1P063TMlPFMvsBsQPB7rBBz3M4YD55DPU</v>
      </c>
      <c r="W25" s="291" t="str">
        <f>VLOOKUP($B25,'Master Tracker'!$D:$T,7,false)</f>
        <v>https://drive.google.com/open?id=1WTJs1mYvgHpDNTqArxSn55STKBWWnpv8</v>
      </c>
      <c r="X25" s="290" t="str">
        <f>VLOOKUP($B25,'Master Tracker'!$D:$T,8,false)</f>
        <v>https://drive.google.com/open?id=1uYMjMoLu7eJCNZlRLVSVDyrHLOOKrm7d</v>
      </c>
      <c r="Y25" s="291" t="str">
        <f>VLOOKUP($B25,'Master Tracker'!$D:$T,10,false)</f>
        <v>https://drive.google.com/open?id=19T1gmW62F-7DpvlMmFhI63LCaqDy9wQ0</v>
      </c>
      <c r="Z25" s="284" t="str">
        <f>VLOOKUP($B25,'Master Tracker'!$D:$T,11,false)</f>
        <v>Not Found</v>
      </c>
      <c r="AA25" s="292" t="str">
        <f>VLOOKUP($B25,'Master Tracker'!$D:$T,13,false)</f>
        <v>Not Found</v>
      </c>
      <c r="AB25" s="284" t="str">
        <f>VLOOKUP($B25,'Master Tracker'!$D:$T,14,false)</f>
        <v>Not Found</v>
      </c>
      <c r="AC25" s="292" t="str">
        <f>VLOOKUP($B25,'Master Tracker'!$D:$T,16,false)</f>
        <v>Not Found</v>
      </c>
      <c r="AD25" s="292" t="str">
        <f>VLOOKUP($B25,'Master Tracker'!$D:$T,17,false)</f>
        <v>Not Found</v>
      </c>
      <c r="AE25" s="292" t="str">
        <f>VLOOKUP($B25,'Master Tracker'!$D:$V,19,false)</f>
        <v>Not Found</v>
      </c>
      <c r="AF25" s="292">
        <f>IFERROR(__xludf.DUMMYFUNCTION("IFERROR(
  INDEX(
    FILTER(
      'Juma Recording forms'!$G:$G,
      TRIM('Juma Recording forms'!$F:$F) = TRIM($B25),
      'Juma Recording forms'!$AA:$AA = 1
    ),
    1
  ),
  ""Not Found""
)"),205.0)</f>
        <v>205</v>
      </c>
      <c r="AG25" s="292">
        <f>IFERROR(__xludf.DUMMYFUNCTION("IFERROR(
  INDEX(
    FILTER(
      'Juma Recording forms'!$G:$G,
      TRIM('Juma Recording forms'!$F:$F) = TRIM($B25),
      'Juma Recording forms'!$AA:$AA = 2
    ),
    1
  ),
  ""Not Found""
)"),220.0)</f>
        <v>220</v>
      </c>
      <c r="AH25" s="292">
        <f>IFERROR(__xludf.DUMMYFUNCTION("IFERROR(
  INDEX(
    FILTER(
      'Juma Recording forms'!$G:$G,
      TRIM('Juma Recording forms'!$F:$F) = TRIM($B25),
      'Juma Recording forms'!$AA:$AA = 3
    ),
    1
  ),
  ""Not Found""
)"),200.0)</f>
        <v>200</v>
      </c>
      <c r="AI25" s="292" t="str">
        <f>IFERROR(__xludf.DUMMYFUNCTION("IFERROR(
  INDEX(
    FILTER(
      'Juma Recording forms'!$G:$G,
      TRIM('Juma Recording forms'!$F:$F) = TRIM($B25),
      'Juma Recording forms'!$AA:$AA = 4
    ),
    1
  ),
  ""Not Found""
)"),"Not Found")</f>
        <v>Not Found</v>
      </c>
      <c r="AJ25" s="292" t="str">
        <f>IFERROR(__xludf.DUMMYFUNCTION("IFERROR(
  INDEX(
    FILTER(
      'Juma Recording forms'!$G:$G,
      TRIM('Juma Recording forms'!$F:$F) = TRIM($B25),
      'Juma Recording forms'!$AA:$AA = 5
    ),
    1
  ),
  ""Not Found""
)"),"Not Found")</f>
        <v>Not Found</v>
      </c>
      <c r="AK25" s="292" t="str">
        <f>IFERROR(__xludf.DUMMYFUNCTION("IFERROR(
  INDEX(
    FILTER(
      'Juma Recording forms'!$G:$G,
      TRIM('Juma Recording forms'!$F:$F) = TRIM($B25),
      'Juma Recording forms'!$AA:$AA = 6
    ),
    1
  ),
  ""Not Found""
)"),"Not Found")</f>
        <v>Not Found</v>
      </c>
      <c r="AL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 *
        (IMPORTRANGE(""https://docs.google.com/spreadsheets/d/161aHT6vVT3SLneTKD19N5qVWtnj_jIT8CSsOmUVKmaA/ed"&amp;"it?gid=1761053510"",
          ""Haris_Form responses 1!$AQ:$AQ"")=1)
      ),
      1
    ),
    ""0""
  ),
  ""Form not found""
)
"),"10")</f>
        <v>10</v>
      </c>
      <c r="AM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 *
        (IMPORTRANGE(""https://docs.google.com/spreadsheets/d/161aHT6vVT3SLneTKD19N5qVWtnj_jIT8CSsOmUVKmaA/ed"&amp;"it?gid=1761053510"",
          ""Haris_Form responses 1!$AQ:$AQ"")=2)
      ),
      1
    ),
    ""0""
  ),
  ""Form not found""
)
"),"10")</f>
        <v>10</v>
      </c>
      <c r="AN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 *
        (IMPORTRANGE(""https://docs.google.com/spreadsheets/d/161aHT6vVT3SLneTKD19N5qVWtnj_jIT8CSsOmUVKmaA/ed"&amp;"it?gid=1761053510"",
          ""Haris_Form responses 1!$AQ:$AQ"")=3)
      ),
      1
    ),
    ""0""
  ),
  ""Form not found""
)
"),"0")</f>
        <v>0</v>
      </c>
      <c r="AO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 *
        (IMPORTRANGE(""https://docs.google.com/spreadsheets/d/161aHT6vVT3SLneTKD19N5qVWtnj_jIT8CSsOmUVKmaA/ed"&amp;"it?gid=1761053510"",
          ""Haris_Form responses 1!$AQ:$AQ"")=4)
      ),
      1
    ),
    ""0""
  ),
  ""Form not found""
)
"),"Form not found")</f>
        <v>Form not found</v>
      </c>
      <c r="AP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 *
        (IMPORTRANGE(""https://docs.google.com/spreadsheets/d/161aHT6vVT3SLneTKD19N5qVWtnj_jIT8CSsOmUVKmaA/ed"&amp;"it?gid=1761053510"",
          ""Haris_Form responses 1!$AQ:$AQ"")=5)
      ),
      1
    ),
    ""0""
  ),
  ""Form not found""
)
"),"Form not found")</f>
        <v>Form not found</v>
      </c>
      <c r="AQ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 *
        (IMPORTRANGE(""https://docs.google.com/spreadsheets/d/161aHT6vVT3SLneTKD19N5qVWtnj_jIT8CSsOmUVKmaA/ed"&amp;"it?gid=1761053510"",
          ""Haris_Form responses 1!$AQ:$AQ"")=6)
      ),
      1
    ),
    ""0""
  ),
  ""Form not found""
)
"),"Form not found")</f>
        <v>Form not found</v>
      </c>
      <c r="AR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 *
        (IMPORTRANGE(""https://docs.google.com/spreadsheets/d/161aHT6vVT3SLneTKD19N5qVWtnj_jIT8CSsOmUVKmaA/ed"&amp;"it?gid=1761053510"",
          ""Haris_Form responses 1!$AQ:$AQ"")=1)
      ),
      1
    ),
    ""0""
  ),
  ""Form not found""
)
"),"0")</f>
        <v>0</v>
      </c>
      <c r="AS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 *
        (IMPORTRANGE(""https://docs.google.com/spreadsheets/d/161aHT6vVT3SLneTKD19N5qVWtnj_jIT8CSsOmUVKmaA/ed"&amp;"it?gid=1761053510"",
          ""Haris_Form responses 1!$AQ:$AQ"")=2)
      ),
      1
    ),
    ""0""
  ),
  ""Form not found""
)
"),"0")</f>
        <v>0</v>
      </c>
      <c r="AT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 *
        (IMPORTRANGE(""https://docs.google.com/spreadsheets/d/161aHT6vVT3SLneTKD19N5qVWtnj_jIT8CSsOmUVKmaA/ed"&amp;"it?gid=1761053510"",
          ""Haris_Form responses 1!$AQ:$AQ"")=3)
      ),
      1
    ),
    ""0""
  ),
  ""Form not found""
)
"),"0")</f>
        <v>0</v>
      </c>
      <c r="AU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 *
        (IMPORTRANGE(""https://docs.google.com/spreadsheets/d/161aHT6vVT3SLneTKD19N5qVWtnj_jIT8CSsOmUVKmaA/ed"&amp;"it?gid=1761053510"",
          ""Haris_Form responses 1!$AQ:$AQ"")=4)
      ),
      1
    ),
    ""0""
  ),
  ""Form not found""
)
"),"Form not found")</f>
        <v>Form not found</v>
      </c>
      <c r="AV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 *
        (IMPORTRANGE(""https://docs.google.com/spreadsheets/d/161aHT6vVT3SLneTKD19N5qVWtnj_jIT8CSsOmUVKmaA/ed"&amp;"it?gid=1761053510"",
          ""Haris_Form responses 1!$AQ:$AQ"")=5)
      ),
      1
    ),
    ""0""
  ),
  ""Form not found""
)
"),"Form not found")</f>
        <v>Form not found</v>
      </c>
      <c r="AW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 *
        (IMPORTRANGE(""https://docs.google.com/spreadsheets/d/161aHT6vVT3SLneTKD19N5qVWtnj_jIT8CSsOmUVKmaA/ed"&amp;"it?gid=1761053510"",
          ""Haris_Form responses 1!$AQ:$AQ"")=6)
      ),
      1
    ),
    ""0""
  ),
  ""Form not found""
)
"),"Form not found")</f>
        <v>Form not found</v>
      </c>
      <c r="AX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 *
        (IMPORTRANGE(""https://docs.google.com/spreadsheets/d/161aHT6vVT3SLneTKD19N5qVWtnj_jIT8CSsOmUVKmaA/ed"&amp;"it?gid=1761053510"",
          ""Haris_Form responses 1!$AQ:$AQ"")=1)
      ),
      1
    ),
    ""0""
  ),
  ""Form not found""
)
"),"10")</f>
        <v>10</v>
      </c>
      <c r="AY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 *
        (IMPORTRANGE(""https://docs.google.com/spreadsheets/d/161aHT6vVT3SLneTKD19N5qVWtnj_jIT8CSsOmUVKmaA/ed"&amp;"it?gid=1761053510"",
          ""Haris_Form responses 1!$AQ:$AQ"")=2)
      ),
      1
    ),
    ""0""
  ),
  ""Form not found""
)
"),"10")</f>
        <v>10</v>
      </c>
      <c r="AZ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 *
        (IMPORTRANGE(""https://docs.google.com/spreadsheets/d/161aHT6vVT3SLneTKD19N5qVWtnj_jIT8CSsOmUVKmaA/ed"&amp;"it?gid=1761053510"",
          ""Haris_Form responses 1!$AQ:$AQ"")=3)
      ),
      1
    ),
    ""0""
  ),
  ""Form not found""
)
"),"0")</f>
        <v>0</v>
      </c>
      <c r="BA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 *
        (IMPORTRANGE(""https://docs.google.com/spreadsheets/d/161aHT6vVT3SLneTKD19N5qVWtnj_jIT8CSsOmUVKmaA/ed"&amp;"it?gid=1761053510"",
          ""Haris_Form responses 1!$AQ:$AQ"")=4)
      ),
      1
    ),
    ""0""
  ),
  ""Form not found""
)
"),"Form not found")</f>
        <v>Form not found</v>
      </c>
      <c r="BB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 *
        (IMPORTRANGE(""https://docs.google.com/spreadsheets/d/161aHT6vVT3SLneTKD19N5qVWtnj_jIT8CSsOmUVKmaA/ed"&amp;"it?gid=1761053510"",
          ""Haris_Form responses 1!$AQ:$AQ"")=5)
      ),
      1
    ),
    ""0""
  ),
  ""Form not found""
)
"),"Form not found")</f>
        <v>Form not found</v>
      </c>
      <c r="BC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 *
        (IMPORTRANGE(""https://docs.google.com/spreadsheets/d/161aHT6vVT3SLneTKD19N5qVWtnj_jIT8CSsOmUVKmaA/ed"&amp;"it?gid=1761053510"",
          ""Haris_Form responses 1!$AQ:$AQ"")=6)
      ),
      1
    ),
    ""0""
  ),
  ""Form not found""
)
"),"Form not found")</f>
        <v>Form not found</v>
      </c>
      <c r="BD25" s="293"/>
    </row>
    <row r="26">
      <c r="A26" s="283" t="str">
        <f>IFERROR(__xludf.DUMMYFUNCTION("VLOOKUP($B26,IMPORTRANGE(""https://docs.google.com/spreadsheets/d/1VNXDITjs75AcgdBSW27oL1VZH31udDprJSsBcE5xlp4/edit?gid=1551188038#gid=1551188038"", ""Sheet9!$B:$E""),2,false)"),"Lahore")</f>
        <v>Lahore</v>
      </c>
      <c r="B26" s="283" t="s">
        <v>1900</v>
      </c>
      <c r="C26" s="284" t="str">
        <f>IFERROR(__xludf.DUMMYFUNCTION("VLOOKUP(TRIM($B26), IMPORTRANGE(""https://docs.google.com/spreadsheets/d/1aSOrU4PTpuBZqfitKaH1Rfww6-YOiNCKoBpPl8XBHaw/edit?gid=0#gid=0"", ""sheet3!$B:$C""), 2, FALSE)
"),"Jamia Masjid Darbar Meer Hussain Rangani Lahore")</f>
        <v>Jamia Masjid Darbar Meer Hussain Rangani Lahore</v>
      </c>
      <c r="D26" s="284" t="str">
        <f>IFERROR(__xludf.DUMMYFUNCTION("IFERROR(
  INDEX(
    FILTER(
      IMPORTRANGE(""1aSOrU4PTpuBZqfitKaH1Rfww6-YOiNCKoBpPl8XBHaw/edit?gid=0#gid=0"",""Sheet1!G:G""),
      IMPORTRANGE(""1aSOrU4PTpuBZqfitKaH1Rfww6-YOiNCKoBpPl8XBHaw/edit?gid=0#gid=0"",""Sheet1!C:C"")=$B26
    ),
    1
  ),
 "&amp;" ""Not Found""
)"),"Community Religious Info Share")</f>
        <v>Community Religious Info Share</v>
      </c>
      <c r="E26" s="284" t="str">
        <f>VLOOKUP(B26,'Juma Recording forms'!A:E,5,false)</f>
        <v>Jamia masjid meeran hussain ranjani</v>
      </c>
      <c r="F26" s="284" t="str">
        <f>IFERROR(__xludf.DUMMYFUNCTION("IFERROR(
  INDEX(
    FILTER(
      IMPORTRANGE(""1Cxrhp3-_-HS7v9uuqQliiIfrmMP4VaFoDNDWyUFy2J8/edit?gid=0#gid=0"",""Sheet1!Q:Q""),
      IMPORTRANGE(""1Cxrhp3-_-HS7v9uuqQliiIfrmMP4VaFoDNDWyUFy2J8/edit?gid=0#gid=0"",""Sheet1!K:K"")=$B26
    ),
    1
  ),
 "&amp;" ""Not Found""
)"),"Not Found")</f>
        <v>Not Found</v>
      </c>
      <c r="G26" s="284"/>
      <c r="H26" s="284"/>
      <c r="I26" s="285"/>
      <c r="J26" s="286">
        <v>2.0</v>
      </c>
      <c r="K26" s="287" t="str">
        <f>VLOOKUP($B26,'Mosque Locations'!$A:$E,3,FALSE)
</f>
        <v>https://maps.google.com/maps?q=31.5862196%2C74.3449832&amp;z=17&amp;hl=en</v>
      </c>
      <c r="L26" s="286">
        <f>VLOOKUP($B26,'Mosque Locations'!$A:$E,4,FALSE)
</f>
        <v>31.58622</v>
      </c>
      <c r="M26" s="286">
        <f>VLOOKUP($B26,'Mosque Locations'!$A:$E,5,false)</f>
        <v>74.34498</v>
      </c>
      <c r="N26" s="288"/>
      <c r="O26" s="288"/>
      <c r="P26" s="288"/>
      <c r="Q26" s="289" t="str">
        <f>IFERROR(__xludf.DUMMYFUNCTION("IFERROR(
  INDEX(
    FILTER(
      IMPORTRANGE(""1DccNxjBgurEr0ABkI_rBagJT5phB5HaHG5N_mTm_BiA"",""Form Responses 1!T:T""),
      TRIM(IMPORTRANGE(""1DccNxjBgurEr0ABkI_rBagJT5phB5HaHG5N_mTm_BiA"",""Form Responses 1!E:E""))=TRIM($B26)
    ),
    1
  ),
  "&amp;"""Not Found""
)
"),"https://drive.google.com/open?id=1xiu1_Q8NtK6FoCiUixH9dekcUkseyfba")</f>
        <v>https://drive.google.com/open?id=1xiu1_Q8NtK6FoCiUixH9dekcUkseyfba</v>
      </c>
      <c r="R26" s="289" t="str">
        <f>IFERROR(__xludf.DUMMYFUNCTION("IFERROR(
  INDEX(
    FILTER(
      IMPORTRANGE(""1DccNxjBgurEr0ABkI_rBagJT5phB5HaHG5N_mTm_BiA"",""Form Responses 1!S:S""),
      TRIM(IMPORTRANGE(""1DccNxjBgurEr0ABkI_rBagJT5phB5HaHG5N_mTm_BiA"",""Form Responses 1!E:E""))=TRIM($B26)
    ),
    1
  ),
  "&amp;"""Not Found""
)
"),"https://drive.google.com/open?id=1WY3tsNfCSkvGRzQckXAOK8QuzfeTi_S_")</f>
        <v>https://drive.google.com/open?id=1WY3tsNfCSkvGRzQckXAOK8QuzfeTi_S_</v>
      </c>
      <c r="S26" s="285"/>
      <c r="T26" s="290" t="str">
        <f>VLOOKUP($B26,'Master Tracker'!$D:$E,2,false)</f>
        <v>https://drive.google.com/open?id=1lvKLw2_cOGoRc39eLYc2buzqm7rdQtD0</v>
      </c>
      <c r="U26" s="291" t="str">
        <f>VLOOKUP($B26,'Master Tracker'!$D:$T,4,FALSE)
</f>
        <v>https://drive.google.com/open?id=1VjppDLZGyaV3WxzZBbodubZuVqmRP4Do</v>
      </c>
      <c r="V26" s="290" t="str">
        <f>VLOOKUP($B26,'Master Tracker'!$D:$T,5,false)</f>
        <v>https://drive.google.com/open?id=1y7CD9ikF4b3sIfwq9imC_0KMQjm7Xlii</v>
      </c>
      <c r="W26" s="291" t="str">
        <f>VLOOKUP($B26,'Master Tracker'!$D:$T,7,false)</f>
        <v>https://drive.google.com/open?id=1xMJM_TGgwYhokNDF1RqkRbfkIdyIisK2</v>
      </c>
      <c r="X26" s="290" t="str">
        <f>VLOOKUP($B26,'Master Tracker'!$D:$T,8,false)</f>
        <v>https://drive.google.com/open?id=1vYnsO4R2DAYT_0WlYOI4TGC3nljQRlYr</v>
      </c>
      <c r="Y26" s="291" t="str">
        <f>VLOOKUP($B26,'Master Tracker'!$D:$T,10,false)</f>
        <v>https://drive.google.com/open?id=1Soqxuq_sAUHRJkuDF8hmJCMXlO2cWhf5</v>
      </c>
      <c r="Z26" s="284" t="str">
        <f>VLOOKUP($B26,'Master Tracker'!$D:$T,11,false)</f>
        <v>Not Found</v>
      </c>
      <c r="AA26" s="292" t="str">
        <f>VLOOKUP($B26,'Master Tracker'!$D:$T,13,false)</f>
        <v>Not Found</v>
      </c>
      <c r="AB26" s="284" t="str">
        <f>VLOOKUP($B26,'Master Tracker'!$D:$T,14,false)</f>
        <v>Not Found</v>
      </c>
      <c r="AC26" s="292" t="str">
        <f>VLOOKUP($B26,'Master Tracker'!$D:$T,16,false)</f>
        <v>Not Found</v>
      </c>
      <c r="AD26" s="292" t="str">
        <f>VLOOKUP($B26,'Master Tracker'!$D:$T,17,false)</f>
        <v>Not Found</v>
      </c>
      <c r="AE26" s="292" t="str">
        <f>VLOOKUP($B26,'Master Tracker'!$D:$V,19,false)</f>
        <v>Not Found</v>
      </c>
      <c r="AF26" s="292">
        <f>IFERROR(__xludf.DUMMYFUNCTION("IFERROR(
  INDEX(
    FILTER(
      'Juma Recording forms'!$G:$G,
      TRIM('Juma Recording forms'!$F:$F) = TRIM($B26),
      'Juma Recording forms'!$AA:$AA = 1
    ),
    1
  ),
  ""Not Found""
)"),520.0)</f>
        <v>520</v>
      </c>
      <c r="AG26" s="292">
        <f>IFERROR(__xludf.DUMMYFUNCTION("IFERROR(
  INDEX(
    FILTER(
      'Juma Recording forms'!$G:$G,
      TRIM('Juma Recording forms'!$F:$F) = TRIM($B26),
      'Juma Recording forms'!$AA:$AA = 2
    ),
    1
  ),
  ""Not Found""
)"),540.0)</f>
        <v>540</v>
      </c>
      <c r="AH26" s="292">
        <f>IFERROR(__xludf.DUMMYFUNCTION("IFERROR(
  INDEX(
    FILTER(
      'Juma Recording forms'!$G:$G,
      TRIM('Juma Recording forms'!$F:$F) = TRIM($B26),
      'Juma Recording forms'!$AA:$AA = 3
    ),
    1
  ),
  ""Not Found""
)"),521.0)</f>
        <v>521</v>
      </c>
      <c r="AI26" s="292" t="str">
        <f>IFERROR(__xludf.DUMMYFUNCTION("IFERROR(
  INDEX(
    FILTER(
      'Juma Recording forms'!$G:$G,
      TRIM('Juma Recording forms'!$F:$F) = TRIM($B26),
      'Juma Recording forms'!$AA:$AA = 4
    ),
    1
  ),
  ""Not Found""
)"),"Not Found")</f>
        <v>Not Found</v>
      </c>
      <c r="AJ26" s="292" t="str">
        <f>IFERROR(__xludf.DUMMYFUNCTION("IFERROR(
  INDEX(
    FILTER(
      'Juma Recording forms'!$G:$G,
      TRIM('Juma Recording forms'!$F:$F) = TRIM($B26),
      'Juma Recording forms'!$AA:$AA = 5
    ),
    1
  ),
  ""Not Found""
)"),"Not Found")</f>
        <v>Not Found</v>
      </c>
      <c r="AK26" s="292" t="str">
        <f>IFERROR(__xludf.DUMMYFUNCTION("IFERROR(
  INDEX(
    FILTER(
      'Juma Recording forms'!$G:$G,
      TRIM('Juma Recording forms'!$F:$F) = TRIM($B26),
      'Juma Recording forms'!$AA:$AA = 6
    ),
    1
  ),
  ""Not Found""
)"),"Not Found")</f>
        <v>Not Found</v>
      </c>
      <c r="AL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 *
        (IMPORTRANGE(""https://docs.google.com/spreadsheets/d/161aHT6vVT3SLneTKD19N5qVWtnj_jIT8CSsOmUVKmaA/ed"&amp;"it?gid=1761053510"",
          ""Haris_Form responses 1!$AQ:$AQ"")=1)
      ),
      1
    ),
    ""0""
  ),
  ""Form not found""
)
"),"10")</f>
        <v>10</v>
      </c>
      <c r="AM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 *
        (IMPORTRANGE(""https://docs.google.com/spreadsheets/d/161aHT6vVT3SLneTKD19N5qVWtnj_jIT8CSsOmUVKmaA/ed"&amp;"it?gid=1761053510"",
          ""Haris_Form responses 1!$AQ:$AQ"")=2)
      ),
      1
    ),
    ""0""
  ),
  ""Form not found""
)
"),"4")</f>
        <v>4</v>
      </c>
      <c r="AN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 *
        (IMPORTRANGE(""https://docs.google.com/spreadsheets/d/161aHT6vVT3SLneTKD19N5qVWtnj_jIT8CSsOmUVKmaA/ed"&amp;"it?gid=1761053510"",
          ""Haris_Form responses 1!$AQ:$AQ"")=3)
      ),
      1
    ),
    ""0""
  ),
  ""Form not found""
)
"),"0")</f>
        <v>0</v>
      </c>
      <c r="AO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 *
        (IMPORTRANGE(""https://docs.google.com/spreadsheets/d/161aHT6vVT3SLneTKD19N5qVWtnj_jIT8CSsOmUVKmaA/ed"&amp;"it?gid=1761053510"",
          ""Haris_Form responses 1!$AQ:$AQ"")=4)
      ),
      1
    ),
    ""0""
  ),
  ""Form not found""
)
"),"Form not found")</f>
        <v>Form not found</v>
      </c>
      <c r="AP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 *
        (IMPORTRANGE(""https://docs.google.com/spreadsheets/d/161aHT6vVT3SLneTKD19N5qVWtnj_jIT8CSsOmUVKmaA/ed"&amp;"it?gid=1761053510"",
          ""Haris_Form responses 1!$AQ:$AQ"")=5)
      ),
      1
    ),
    ""0""
  ),
  ""Form not found""
)
"),"Form not found")</f>
        <v>Form not found</v>
      </c>
      <c r="AQ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 *
        (IMPORTRANGE(""https://docs.google.com/spreadsheets/d/161aHT6vVT3SLneTKD19N5qVWtnj_jIT8CSsOmUVKmaA/ed"&amp;"it?gid=1761053510"",
          ""Haris_Form responses 1!$AQ:$AQ"")=6)
      ),
      1
    ),
    ""0""
  ),
  ""Form not found""
)
"),"Form not found")</f>
        <v>Form not found</v>
      </c>
      <c r="AR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 *
        (IMPORTRANGE(""https://docs.google.com/spreadsheets/d/161aHT6vVT3SLneTKD19N5qVWtnj_jIT8CSsOmUVKmaA/ed"&amp;"it?gid=1761053510"",
          ""Haris_Form responses 1!$AQ:$AQ"")=1)
      ),
      1
    ),
    ""0""
  ),
  ""Form not found""
)
"),"10")</f>
        <v>10</v>
      </c>
      <c r="AS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 *
        (IMPORTRANGE(""https://docs.google.com/spreadsheets/d/161aHT6vVT3SLneTKD19N5qVWtnj_jIT8CSsOmUVKmaA/ed"&amp;"it?gid=1761053510"",
          ""Haris_Form responses 1!$AQ:$AQ"")=2)
      ),
      1
    ),
    ""0""
  ),
  ""Form not found""
)
"),"4")</f>
        <v>4</v>
      </c>
      <c r="AT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 *
        (IMPORTRANGE(""https://docs.google.com/spreadsheets/d/161aHT6vVT3SLneTKD19N5qVWtnj_jIT8CSsOmUVKmaA/ed"&amp;"it?gid=1761053510"",
          ""Haris_Form responses 1!$AQ:$AQ"")=3)
      ),
      1
    ),
    ""0""
  ),
  ""Form not found""
)
"),"0")</f>
        <v>0</v>
      </c>
      <c r="AU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 *
        (IMPORTRANGE(""https://docs.google.com/spreadsheets/d/161aHT6vVT3SLneTKD19N5qVWtnj_jIT8CSsOmUVKmaA/ed"&amp;"it?gid=1761053510"",
          ""Haris_Form responses 1!$AQ:$AQ"")=4)
      ),
      1
    ),
    ""0""
  ),
  ""Form not found""
)
"),"Form not found")</f>
        <v>Form not found</v>
      </c>
      <c r="AV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 *
        (IMPORTRANGE(""https://docs.google.com/spreadsheets/d/161aHT6vVT3SLneTKD19N5qVWtnj_jIT8CSsOmUVKmaA/ed"&amp;"it?gid=1761053510"",
          ""Haris_Form responses 1!$AQ:$AQ"")=5)
      ),
      1
    ),
    ""0""
  ),
  ""Form not found""
)
"),"Form not found")</f>
        <v>Form not found</v>
      </c>
      <c r="AW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 *
        (IMPORTRANGE(""https://docs.google.com/spreadsheets/d/161aHT6vVT3SLneTKD19N5qVWtnj_jIT8CSsOmUVKmaA/ed"&amp;"it?gid=1761053510"",
          ""Haris_Form responses 1!$AQ:$AQ"")=6)
      ),
      1
    ),
    ""0""
  ),
  ""Form not found""
)
"),"Form not found")</f>
        <v>Form not found</v>
      </c>
      <c r="AX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 *
        (IMPORTRANGE(""https://docs.google.com/spreadsheets/d/161aHT6vVT3SLneTKD19N5qVWtnj_jIT8CSsOmUVKmaA/ed"&amp;"it?gid=1761053510"",
          ""Haris_Form responses 1!$AQ:$AQ"")=1)
      ),
      1
    ),
    ""0""
  ),
  ""Form not found""
)
"),"0")</f>
        <v>0</v>
      </c>
      <c r="AY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 *
        (IMPORTRANGE(""https://docs.google.com/spreadsheets/d/161aHT6vVT3SLneTKD19N5qVWtnj_jIT8CSsOmUVKmaA/ed"&amp;"it?gid=1761053510"",
          ""Haris_Form responses 1!$AQ:$AQ"")=2)
      ),
      1
    ),
    ""0""
  ),
  ""Form not found""
)
"),"0")</f>
        <v>0</v>
      </c>
      <c r="AZ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 *
        (IMPORTRANGE(""https://docs.google.com/spreadsheets/d/161aHT6vVT3SLneTKD19N5qVWtnj_jIT8CSsOmUVKmaA/ed"&amp;"it?gid=1761053510"",
          ""Haris_Form responses 1!$AQ:$AQ"")=3)
      ),
      1
    ),
    ""0""
  ),
  ""Form not found""
)
"),"0")</f>
        <v>0</v>
      </c>
      <c r="BA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 *
        (IMPORTRANGE(""https://docs.google.com/spreadsheets/d/161aHT6vVT3SLneTKD19N5qVWtnj_jIT8CSsOmUVKmaA/ed"&amp;"it?gid=1761053510"",
          ""Haris_Form responses 1!$AQ:$AQ"")=4)
      ),
      1
    ),
    ""0""
  ),
  ""Form not found""
)
"),"Form not found")</f>
        <v>Form not found</v>
      </c>
      <c r="BB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 *
        (IMPORTRANGE(""https://docs.google.com/spreadsheets/d/161aHT6vVT3SLneTKD19N5qVWtnj_jIT8CSsOmUVKmaA/ed"&amp;"it?gid=1761053510"",
          ""Haris_Form responses 1!$AQ:$AQ"")=5)
      ),
      1
    ),
    ""0""
  ),
  ""Form not found""
)
"),"Form not found")</f>
        <v>Form not found</v>
      </c>
      <c r="BC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 *
        (IMPORTRANGE(""https://docs.google.com/spreadsheets/d/161aHT6vVT3SLneTKD19N5qVWtnj_jIT8CSsOmUVKmaA/ed"&amp;"it?gid=1761053510"",
          ""Haris_Form responses 1!$AQ:$AQ"")=6)
      ),
      1
    ),
    ""0""
  ),
  ""Form not found""
)
"),"Form not found")</f>
        <v>Form not found</v>
      </c>
      <c r="BD26" s="293"/>
    </row>
    <row r="27">
      <c r="A27" s="283" t="str">
        <f>IFERROR(__xludf.DUMMYFUNCTION("VLOOKUP($B27,IMPORTRANGE(""https://docs.google.com/spreadsheets/d/1VNXDITjs75AcgdBSW27oL1VZH31udDprJSsBcE5xlp4/edit?gid=1551188038#gid=1551188038"", ""Sheet9!$B:$E""),2,false)"),"Lahore")</f>
        <v>Lahore</v>
      </c>
      <c r="B27" s="283" t="s">
        <v>1635</v>
      </c>
      <c r="C27" s="284" t="str">
        <f>IFERROR(__xludf.DUMMYFUNCTION("VLOOKUP(TRIM($B27), IMPORTRANGE(""https://docs.google.com/spreadsheets/d/1aSOrU4PTpuBZqfitKaH1Rfww6-YOiNCKoBpPl8XBHaw/edit?gid=0#gid=0"", ""sheet3!$B:$C""), 2, FALSE)
"),"Jamia Masjid Neela Gumbat Lahore")</f>
        <v>Jamia Masjid Neela Gumbat Lahore</v>
      </c>
      <c r="D27" s="284" t="str">
        <f>IFERROR(__xludf.DUMMYFUNCTION("IFERROR(
  INDEX(
    FILTER(
      IMPORTRANGE(""1aSOrU4PTpuBZqfitKaH1Rfww6-YOiNCKoBpPl8XBHaw/edit?gid=0#gid=0"",""Sheet1!G:G""),
      IMPORTRANGE(""1aSOrU4PTpuBZqfitKaH1Rfww6-YOiNCKoBpPl8XBHaw/edit?gid=0#gid=0"",""Sheet1!C:C"")=$B27
    ),
    1
  ),
 "&amp;" ""Not Found""
)"),"Control")</f>
        <v>Control</v>
      </c>
      <c r="E27" s="284" t="str">
        <f>VLOOKUP(B27,'Juma Recording forms'!A:E,5,false)</f>
        <v>Jamiyan Masjid Nila Gumbad New Anarkali Lahore</v>
      </c>
      <c r="F27" s="284" t="str">
        <f>IFERROR(__xludf.DUMMYFUNCTION("IFERROR(
  INDEX(
    FILTER(
      IMPORTRANGE(""1Cxrhp3-_-HS7v9uuqQliiIfrmMP4VaFoDNDWyUFy2J8/edit?gid=0#gid=0"",""Sheet1!Q:Q""),
      IMPORTRANGE(""1Cxrhp3-_-HS7v9uuqQliiIfrmMP4VaFoDNDWyUFy2J8/edit?gid=0#gid=0"",""Sheet1!K:K"")=$B27
    ),
    1
  ),
 "&amp;" ""Not Found""
)"),"Moulana Abu bakar")</f>
        <v>Moulana Abu bakar</v>
      </c>
      <c r="G27" s="284">
        <v>1970.0</v>
      </c>
      <c r="H27" s="284"/>
      <c r="I27" s="285"/>
      <c r="J27" s="286">
        <v>2.0</v>
      </c>
      <c r="K27" s="287" t="str">
        <f>VLOOKUP($B27,'Mosque Locations'!$A:$E,3,FALSE)
</f>
        <v>https://maps.app.goo.gl/Rxz7YGn4yDVtgsDJ7</v>
      </c>
      <c r="L27" s="286">
        <f>VLOOKUP($B27,'Mosque Locations'!$A:$E,4,FALSE)
</f>
        <v>31.5699308</v>
      </c>
      <c r="M27" s="286">
        <f>VLOOKUP($B27,'Mosque Locations'!$A:$E,5,false)</f>
        <v>74.3089839</v>
      </c>
      <c r="N27" s="288"/>
      <c r="O27" s="288"/>
      <c r="P27" s="288"/>
      <c r="Q27" s="289" t="str">
        <f>IFERROR(__xludf.DUMMYFUNCTION("IFERROR(
  INDEX(
    FILTER(
      IMPORTRANGE(""1DccNxjBgurEr0ABkI_rBagJT5phB5HaHG5N_mTm_BiA"",""Form Responses 1!T:T""),
      TRIM(IMPORTRANGE(""1DccNxjBgurEr0ABkI_rBagJT5phB5HaHG5N_mTm_BiA"",""Form Responses 1!E:E""))=TRIM($B27)
    ),
    1
  ),
  "&amp;"""Not Found""
)
"),"https://drive.google.com/open?id=1jOLXk57WXLNZG68w6ZSIkXjfcS7o5OF4")</f>
        <v>https://drive.google.com/open?id=1jOLXk57WXLNZG68w6ZSIkXjfcS7o5OF4</v>
      </c>
      <c r="R27" s="289" t="str">
        <f>IFERROR(__xludf.DUMMYFUNCTION("IFERROR(
  INDEX(
    FILTER(
      IMPORTRANGE(""1DccNxjBgurEr0ABkI_rBagJT5phB5HaHG5N_mTm_BiA"",""Form Responses 1!S:S""),
      TRIM(IMPORTRANGE(""1DccNxjBgurEr0ABkI_rBagJT5phB5HaHG5N_mTm_BiA"",""Form Responses 1!E:E""))=TRIM($B27)
    ),
    1
  ),
  "&amp;"""Not Found""
)
"),"https://drive.google.com/open?id=1sUjnlN3muEANEsRC9RCdy_cbJjwlvcOZ")</f>
        <v>https://drive.google.com/open?id=1sUjnlN3muEANEsRC9RCdy_cbJjwlvcOZ</v>
      </c>
      <c r="S27" s="285"/>
      <c r="T27" s="290" t="str">
        <f>VLOOKUP($B27,'Master Tracker'!$D:$E,2,false)</f>
        <v>https://drive.google.com/open?id=1xdMC6hVCECPqpRPuffotCq4iGWcT_FH_</v>
      </c>
      <c r="U27" s="291" t="str">
        <f>VLOOKUP($B27,'Master Tracker'!$D:$T,4,FALSE)
</f>
        <v>https://drive.google.com/open?id=1XbMLD__VB60mqF8wT-oFedt05wiJIKbo</v>
      </c>
      <c r="V27" s="284" t="str">
        <f>VLOOKUP($B27,'Master Tracker'!$D:$T,5,false)</f>
        <v>Not Found</v>
      </c>
      <c r="W27" s="292" t="str">
        <f>VLOOKUP($B27,'Master Tracker'!$D:$T,7,false)</f>
        <v>Not Found</v>
      </c>
      <c r="X27" s="290" t="str">
        <f>VLOOKUP($B27,'Master Tracker'!$D:$T,8,false)</f>
        <v>https://drive.google.com/open?id=1Zm36mkMdwUDbm9e8x7xaqiXgzvjbiMqO</v>
      </c>
      <c r="Y27" s="291" t="str">
        <f>VLOOKUP($B27,'Master Tracker'!$D:$T,10,false)</f>
        <v>https://drive.google.com/open?id=1AV5uiEOVaySroryGxzNCyHGrW2bDUItl</v>
      </c>
      <c r="Z27" s="284" t="str">
        <f>VLOOKUP($B27,'Master Tracker'!$D:$T,11,false)</f>
        <v>Not Found</v>
      </c>
      <c r="AA27" s="292" t="str">
        <f>VLOOKUP($B27,'Master Tracker'!$D:$T,13,false)</f>
        <v>Not Found</v>
      </c>
      <c r="AB27" s="284" t="str">
        <f>VLOOKUP($B27,'Master Tracker'!$D:$T,14,false)</f>
        <v>Not Found</v>
      </c>
      <c r="AC27" s="292" t="str">
        <f>VLOOKUP($B27,'Master Tracker'!$D:$T,16,false)</f>
        <v>Not Found</v>
      </c>
      <c r="AD27" s="292" t="str">
        <f>VLOOKUP($B27,'Master Tracker'!$D:$T,17,false)</f>
        <v>Not Found</v>
      </c>
      <c r="AE27" s="292" t="str">
        <f>VLOOKUP($B27,'Master Tracker'!$D:$V,19,false)</f>
        <v>Not Found</v>
      </c>
      <c r="AF27" s="292">
        <f>IFERROR(__xludf.DUMMYFUNCTION("IFERROR(
  INDEX(
    FILTER(
      'Juma Recording forms'!$G:$G,
      TRIM('Juma Recording forms'!$F:$F) = TRIM($B27),
      'Juma Recording forms'!$AA:$AA = 1
    ),
    1
  ),
  ""Not Found""
)"),230.0)</f>
        <v>230</v>
      </c>
      <c r="AG27" s="292" t="str">
        <f>IFERROR(__xludf.DUMMYFUNCTION("IFERROR(
  INDEX(
    FILTER(
      'Juma Recording forms'!$G:$G,
      TRIM('Juma Recording forms'!$F:$F) = TRIM($B27),
      'Juma Recording forms'!$AA:$AA = 2
    ),
    1
  ),
  ""Not Found""
)"),"Not Found")</f>
        <v>Not Found</v>
      </c>
      <c r="AH27" s="292">
        <f>IFERROR(__xludf.DUMMYFUNCTION("IFERROR(
  INDEX(
    FILTER(
      'Juma Recording forms'!$G:$G,
      TRIM('Juma Recording forms'!$F:$F) = TRIM($B27),
      'Juma Recording forms'!$AA:$AA = 3
    ),
    1
  ),
  ""Not Found""
)"),255.0)</f>
        <v>255</v>
      </c>
      <c r="AI27" s="292" t="str">
        <f>IFERROR(__xludf.DUMMYFUNCTION("IFERROR(
  INDEX(
    FILTER(
      'Juma Recording forms'!$G:$G,
      TRIM('Juma Recording forms'!$F:$F) = TRIM($B27),
      'Juma Recording forms'!$AA:$AA = 4
    ),
    1
  ),
  ""Not Found""
)"),"Not Found")</f>
        <v>Not Found</v>
      </c>
      <c r="AJ27" s="292" t="str">
        <f>IFERROR(__xludf.DUMMYFUNCTION("IFERROR(
  INDEX(
    FILTER(
      'Juma Recording forms'!$G:$G,
      TRIM('Juma Recording forms'!$F:$F) = TRIM($B27),
      'Juma Recording forms'!$AA:$AA = 5
    ),
    1
  ),
  ""Not Found""
)"),"Not Found")</f>
        <v>Not Found</v>
      </c>
      <c r="AK27" s="292"/>
      <c r="AL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 *
        (IMPORTRANGE(""https://docs.google.com/spreadsheets/d/161aHT6vVT3SLneTKD19N5qVWtnj_jIT8CSsOmUVKmaA/ed"&amp;"it?gid=1761053510"",
          ""Haris_Form responses 1!$AQ:$AQ"")=1)
      ),
      1
    ),
    ""0""
  ),
  ""Form not found""
)
"),"0")</f>
        <v>0</v>
      </c>
      <c r="AM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 *
        (IMPORTRANGE(""https://docs.google.com/spreadsheets/d/161aHT6vVT3SLneTKD19N5qVWtnj_jIT8CSsOmUVKmaA/ed"&amp;"it?gid=1761053510"",
          ""Haris_Form responses 1!$AQ:$AQ"")=2)
      ),
      1
    ),
    ""0""
  ),
  ""Form not found""
)
"),"Form not found")</f>
        <v>Form not found</v>
      </c>
      <c r="AN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 *
        (IMPORTRANGE(""https://docs.google.com/spreadsheets/d/161aHT6vVT3SLneTKD19N5qVWtnj_jIT8CSsOmUVKmaA/ed"&amp;"it?gid=1761053510"",
          ""Haris_Form responses 1!$AQ:$AQ"")=3)
      ),
      1
    ),
    ""0""
  ),
  ""Form not found""
)
"),"0")</f>
        <v>0</v>
      </c>
      <c r="AO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 *
        (IMPORTRANGE(""https://docs.google.com/spreadsheets/d/161aHT6vVT3SLneTKD19N5qVWtnj_jIT8CSsOmUVKmaA/ed"&amp;"it?gid=1761053510"",
          ""Haris_Form responses 1!$AQ:$AQ"")=4)
      ),
      1
    ),
    ""0""
  ),
  ""Form not found""
)
"),"Form not found")</f>
        <v>Form not found</v>
      </c>
      <c r="AP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 *
        (IMPORTRANGE(""https://docs.google.com/spreadsheets/d/161aHT6vVT3SLneTKD19N5qVWtnj_jIT8CSsOmUVKmaA/ed"&amp;"it?gid=1761053510"",
          ""Haris_Form responses 1!$AQ:$AQ"")=5)
      ),
      1
    ),
    ""0""
  ),
  ""Form not found""
)
"),"Form not found")</f>
        <v>Form not found</v>
      </c>
      <c r="AQ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 *
        (IMPORTRANGE(""https://docs.google.com/spreadsheets/d/161aHT6vVT3SLneTKD19N5qVWtnj_jIT8CSsOmUVKmaA/ed"&amp;"it?gid=1761053510"",
          ""Haris_Form responses 1!$AQ:$AQ"")=6)
      ),
      1
    ),
    ""0""
  ),
  ""Form not found""
)
"),"Form not found")</f>
        <v>Form not found</v>
      </c>
      <c r="AR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 *
        (IMPORTRANGE(""https://docs.google.com/spreadsheets/d/161aHT6vVT3SLneTKD19N5qVWtnj_jIT8CSsOmUVKmaA/ed"&amp;"it?gid=1761053510"",
          ""Haris_Form responses 1!$AQ:$AQ"")=1)
      ),
      1
    ),
    ""0""
  ),
  ""Form not found""
)
"),"0")</f>
        <v>0</v>
      </c>
      <c r="AS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 *
        (IMPORTRANGE(""https://docs.google.com/spreadsheets/d/161aHT6vVT3SLneTKD19N5qVWtnj_jIT8CSsOmUVKmaA/ed"&amp;"it?gid=1761053510"",
          ""Haris_Form responses 1!$AQ:$AQ"")=2)
      ),
      1
    ),
    ""0""
  ),
  ""Form not found""
)
"),"Form not found")</f>
        <v>Form not found</v>
      </c>
      <c r="AT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 *
        (IMPORTRANGE(""https://docs.google.com/spreadsheets/d/161aHT6vVT3SLneTKD19N5qVWtnj_jIT8CSsOmUVKmaA/ed"&amp;"it?gid=1761053510"",
          ""Haris_Form responses 1!$AQ:$AQ"")=3)
      ),
      1
    ),
    ""0""
  ),
  ""Form not found""
)
"),"0")</f>
        <v>0</v>
      </c>
      <c r="AU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 *
        (IMPORTRANGE(""https://docs.google.com/spreadsheets/d/161aHT6vVT3SLneTKD19N5qVWtnj_jIT8CSsOmUVKmaA/ed"&amp;"it?gid=1761053510"",
          ""Haris_Form responses 1!$AQ:$AQ"")=4)
      ),
      1
    ),
    ""0""
  ),
  ""Form not found""
)
"),"Form not found")</f>
        <v>Form not found</v>
      </c>
      <c r="AV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 *
        (IMPORTRANGE(""https://docs.google.com/spreadsheets/d/161aHT6vVT3SLneTKD19N5qVWtnj_jIT8CSsOmUVKmaA/ed"&amp;"it?gid=1761053510"",
          ""Haris_Form responses 1!$AQ:$AQ"")=5)
      ),
      1
    ),
    ""0""
  ),
  ""Form not found""
)
"),"Form not found")</f>
        <v>Form not found</v>
      </c>
      <c r="AW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 *
        (IMPORTRANGE(""https://docs.google.com/spreadsheets/d/161aHT6vVT3SLneTKD19N5qVWtnj_jIT8CSsOmUVKmaA/ed"&amp;"it?gid=1761053510"",
          ""Haris_Form responses 1!$AQ:$AQ"")=6)
      ),
      1
    ),
    ""0""
  ),
  ""Form not found""
)
"),"Form not found")</f>
        <v>Form not found</v>
      </c>
      <c r="AX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 *
        (IMPORTRANGE(""https://docs.google.com/spreadsheets/d/161aHT6vVT3SLneTKD19N5qVWtnj_jIT8CSsOmUVKmaA/ed"&amp;"it?gid=1761053510"",
          ""Haris_Form responses 1!$AQ:$AQ"")=1)
      ),
      1
    ),
    ""0""
  ),
  ""Form not found""
)
"),"0")</f>
        <v>0</v>
      </c>
      <c r="AY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 *
        (IMPORTRANGE(""https://docs.google.com/spreadsheets/d/161aHT6vVT3SLneTKD19N5qVWtnj_jIT8CSsOmUVKmaA/ed"&amp;"it?gid=1761053510"",
          ""Haris_Form responses 1!$AQ:$AQ"")=2)
      ),
      1
    ),
    ""0""
  ),
  ""Form not found""
)
"),"Form not found")</f>
        <v>Form not found</v>
      </c>
      <c r="AZ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 *
        (IMPORTRANGE(""https://docs.google.com/spreadsheets/d/161aHT6vVT3SLneTKD19N5qVWtnj_jIT8CSsOmUVKmaA/ed"&amp;"it?gid=1761053510"",
          ""Haris_Form responses 1!$AQ:$AQ"")=3)
      ),
      1
    ),
    ""0""
  ),
  ""Form not found""
)
"),"0")</f>
        <v>0</v>
      </c>
      <c r="BA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 *
        (IMPORTRANGE(""https://docs.google.com/spreadsheets/d/161aHT6vVT3SLneTKD19N5qVWtnj_jIT8CSsOmUVKmaA/ed"&amp;"it?gid=1761053510"",
          ""Haris_Form responses 1!$AQ:$AQ"")=4)
      ),
      1
    ),
    ""0""
  ),
  ""Form not found""
)
"),"Form not found")</f>
        <v>Form not found</v>
      </c>
      <c r="BB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 *
        (IMPORTRANGE(""https://docs.google.com/spreadsheets/d/161aHT6vVT3SLneTKD19N5qVWtnj_jIT8CSsOmUVKmaA/ed"&amp;"it?gid=1761053510"",
          ""Haris_Form responses 1!$AQ:$AQ"")=5)
      ),
      1
    ),
    ""0""
  ),
  ""Form not found""
)
"),"Form not found")</f>
        <v>Form not found</v>
      </c>
      <c r="BC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 *
        (IMPORTRANGE(""https://docs.google.com/spreadsheets/d/161aHT6vVT3SLneTKD19N5qVWtnj_jIT8CSsOmUVKmaA/ed"&amp;"it?gid=1761053510"",
          ""Haris_Form responses 1!$AQ:$AQ"")=6)
      ),
      1
    ),
    ""0""
  ),
  ""Form not found""
)
"),"Form not found")</f>
        <v>Form not found</v>
      </c>
      <c r="BD27" s="293"/>
    </row>
    <row r="28">
      <c r="A28" s="283" t="str">
        <f>IFERROR(__xludf.DUMMYFUNCTION("VLOOKUP($B28,IMPORTRANGE(""https://docs.google.com/spreadsheets/d/1VNXDITjs75AcgdBSW27oL1VZH31udDprJSsBcE5xlp4/edit?gid=1551188038#gid=1551188038"", ""Sheet9!$B:$E""),2,false)"),"Lahore")</f>
        <v>Lahore</v>
      </c>
      <c r="B28" s="283" t="s">
        <v>2055</v>
      </c>
      <c r="C28" s="284" t="str">
        <f>IFERROR(__xludf.DUMMYFUNCTION("VLOOKUP(TRIM($B28), IMPORTRANGE(""https://docs.google.com/spreadsheets/d/1aSOrU4PTpuBZqfitKaH1Rfww6-YOiNCKoBpPl8XBHaw/edit?gid=0#gid=0"", ""sheet3!$B:$C""), 2, FALSE)
"),"Jamia Masjid Esha Shahab Lahore")</f>
        <v>Jamia Masjid Esha Shahab Lahore</v>
      </c>
      <c r="D28" s="284" t="str">
        <f>IFERROR(__xludf.DUMMYFUNCTION("IFERROR(
  INDEX(
    FILTER(
      IMPORTRANGE(""1aSOrU4PTpuBZqfitKaH1Rfww6-YOiNCKoBpPl8XBHaw/edit?gid=0#gid=0"",""Sheet1!G:G""),
      IMPORTRANGE(""1aSOrU4PTpuBZqfitKaH1Rfww6-YOiNCKoBpPl8XBHaw/edit?gid=0#gid=0"",""Sheet1!C:C"")=$B28
    ),
    1
  ),
 "&amp;" ""Not Found""
)"),"Community Secular Info Share")</f>
        <v>Community Secular Info Share</v>
      </c>
      <c r="E28" s="284" t="str">
        <f>VLOOKUP(B28,'Juma Recording forms'!A:E,5,false)</f>
        <v>zhcjl	Jamia Masjid Esha Shahab Lahore	</v>
      </c>
      <c r="F28" s="284" t="str">
        <f>IFERROR(__xludf.DUMMYFUNCTION("IFERROR(
  INDEX(
    FILTER(
      IMPORTRANGE(""1Cxrhp3-_-HS7v9uuqQliiIfrmMP4VaFoDNDWyUFy2J8/edit?gid=0#gid=0"",""Sheet1!Q:Q""),
      IMPORTRANGE(""1Cxrhp3-_-HS7v9uuqQliiIfrmMP4VaFoDNDWyUFy2J8/edit?gid=0#gid=0"",""Sheet1!K:K"")=$B28
    ),
    1
  ),
 "&amp;" ""Not Found""
)"),"Not Found")</f>
        <v>Not Found</v>
      </c>
      <c r="G28" s="284"/>
      <c r="H28" s="284"/>
      <c r="I28" s="285"/>
      <c r="J28" s="286">
        <v>2.0</v>
      </c>
      <c r="K28" s="287" t="str">
        <f>VLOOKUP($B28,'Mosque Locations'!$A:$E,3,FALSE)
</f>
        <v>https://maps.google.com/maps?q=31.5806818%2C74.3605627&amp;z=17&amp;hl=en</v>
      </c>
      <c r="L28" s="286">
        <f>VLOOKUP($B28,'Mosque Locations'!$A:$E,4,FALSE)
</f>
        <v>31.58068</v>
      </c>
      <c r="M28" s="286">
        <f>VLOOKUP($B28,'Mosque Locations'!$A:$E,5,false)</f>
        <v>74.36056</v>
      </c>
      <c r="N28" s="288"/>
      <c r="O28" s="288"/>
      <c r="P28" s="288"/>
      <c r="Q28" s="294" t="str">
        <f>IFERROR(__xludf.DUMMYFUNCTION("IFERROR(
  INDEX(
    FILTER(
      IMPORTRANGE(""1DccNxjBgurEr0ABkI_rBagJT5phB5HaHG5N_mTm_BiA"",""Form Responses 1!T:T""),
      TRIM(IMPORTRANGE(""1DccNxjBgurEr0ABkI_rBagJT5phB5HaHG5N_mTm_BiA"",""Form Responses 1!E:E""))=TRIM($B28)
    ),
    1
  ),
  "&amp;"""Not Found""
)
"),"https://drive.google.com/open?id=1035jVkTF3uYMT6KeIsGiKlqQ_d6UC2-Y, https://drive.google.com/open?id=1J0BHJFkZ4OmEi6_w5UvkNyTIa4rEn0VJ, https://drive.google.com/open?id=11SGSxztIlGwXWDEVUxhAQjY32Hy75r8m, https://drive.google.com/open?id=1hwbZrtJj46zRoFDs-"&amp;"yEYjb7MoKUBTT3N, https://drive.google.com/open?id=1pQ-ZyiIT4Krfn6YO6d1T023gy7SwtJTz")</f>
        <v>https://drive.google.com/open?id=1035jVkTF3uYMT6KeIsGiKlqQ_d6UC2-Y, https://drive.google.com/open?id=1J0BHJFkZ4OmEi6_w5UvkNyTIa4rEn0VJ, https://drive.google.com/open?id=11SGSxztIlGwXWDEVUxhAQjY32Hy75r8m, https://drive.google.com/open?id=1hwbZrtJj46zRoFDs-yEYjb7MoKUBTT3N, https://drive.google.com/open?id=1pQ-ZyiIT4Krfn6YO6d1T023gy7SwtJTz</v>
      </c>
      <c r="R28" s="289" t="str">
        <f>IFERROR(__xludf.DUMMYFUNCTION("IFERROR(
  INDEX(
    FILTER(
      IMPORTRANGE(""1DccNxjBgurEr0ABkI_rBagJT5phB5HaHG5N_mTm_BiA"",""Form Responses 1!S:S""),
      TRIM(IMPORTRANGE(""1DccNxjBgurEr0ABkI_rBagJT5phB5HaHG5N_mTm_BiA"",""Form Responses 1!E:E""))=TRIM($B28)
    ),
    1
  ),
  "&amp;"""Not Found""
)
"),"https://drive.google.com/open?id=11yNedQOuXH6q0UmCH9MYob3dQrKTPi6j")</f>
        <v>https://drive.google.com/open?id=11yNedQOuXH6q0UmCH9MYob3dQrKTPi6j</v>
      </c>
      <c r="S28" s="285"/>
      <c r="T28" s="290" t="str">
        <f>VLOOKUP($B28,'Master Tracker'!$D:$E,2,false)</f>
        <v>https://drive.google.com/open?id=10nGn9fxzNLp--BcYN6GqfQ_XaHa9XnXa</v>
      </c>
      <c r="U28" s="291" t="str">
        <f>VLOOKUP($B28,'Master Tracker'!$D:$T,4,FALSE)
</f>
        <v>https://drive.google.com/open?id=1_wN0aUkIwRzYQt-MwpKAm2qS4iSBU3eB</v>
      </c>
      <c r="V28" s="290" t="str">
        <f>VLOOKUP($B28,'Master Tracker'!$D:$T,5,false)</f>
        <v>https://drive.google.com/open?id=1mEJ51F4C0fh2D0JdwZp-eVEAmTOMss5F</v>
      </c>
      <c r="W28" s="291" t="str">
        <f>VLOOKUP($B28,'Master Tracker'!$D:$T,7,false)</f>
        <v>https://drive.google.com/open?id=1DKMieTLEVkYw2ZpFOqK28tsVlfURcxjC</v>
      </c>
      <c r="X28" s="290" t="str">
        <f>VLOOKUP($B28,'Master Tracker'!$D:$T,8,false)</f>
        <v>https://drive.google.com/open?id=1PiP70_blk6Y2azs1Asfim0EOrri1X4FV</v>
      </c>
      <c r="Y28" s="291" t="str">
        <f>VLOOKUP($B28,'Master Tracker'!$D:$T,10,false)</f>
        <v>https://drive.google.com/open?id=1OIzIsMoetYvw5gygHnEPXf1vLqFLC88q</v>
      </c>
      <c r="Z28" s="290" t="str">
        <f>VLOOKUP($B28,'Master Tracker'!$D:$T,11,false)</f>
        <v>https://drive.google.com/open?id=17PScrfLWCy6sYiNxLWUDCyCdBLM6Mwxy</v>
      </c>
      <c r="AA28" s="291" t="str">
        <f>VLOOKUP($B28,'Master Tracker'!$D:$T,13,false)</f>
        <v>https://drive.google.com/open?id=1M0plmwqzLNohcYP360bzsXn29UTQSO7R</v>
      </c>
      <c r="AB28" s="284" t="str">
        <f>VLOOKUP($B28,'Master Tracker'!$D:$T,14,false)</f>
        <v>Not Found</v>
      </c>
      <c r="AC28" s="292" t="str">
        <f>VLOOKUP($B28,'Master Tracker'!$D:$T,16,false)</f>
        <v>Not Found</v>
      </c>
      <c r="AD28" s="292" t="str">
        <f>VLOOKUP($B28,'Master Tracker'!$D:$T,17,false)</f>
        <v>Not Found</v>
      </c>
      <c r="AE28" s="292" t="str">
        <f>VLOOKUP($B28,'Master Tracker'!$D:$V,19,false)</f>
        <v>Not Found</v>
      </c>
      <c r="AF28" s="292">
        <f>IFERROR(__xludf.DUMMYFUNCTION("IFERROR(
  INDEX(
    FILTER(
      'Juma Recording forms'!$G:$G,
      TRIM('Juma Recording forms'!$F:$F) = TRIM($B28),
      'Juma Recording forms'!$AA:$AA = 1
    ),
    1
  ),
  ""Not Found""
)"),340.0)</f>
        <v>340</v>
      </c>
      <c r="AG28" s="292">
        <f>IFERROR(__xludf.DUMMYFUNCTION("IFERROR(
  INDEX(
    FILTER(
      'Juma Recording forms'!$G:$G,
      TRIM('Juma Recording forms'!$F:$F) = TRIM($B28),
      'Juma Recording forms'!$AA:$AA = 2
    ),
    1
  ),
  ""Not Found""
)"),350.0)</f>
        <v>350</v>
      </c>
      <c r="AH28" s="292">
        <f>IFERROR(__xludf.DUMMYFUNCTION("IFERROR(
  INDEX(
    FILTER(
      'Juma Recording forms'!$G:$G,
      TRIM('Juma Recording forms'!$F:$F) = TRIM($B28),
      'Juma Recording forms'!$AA:$AA = 3
    ),
    1
  ),
  ""Not Found""
)"),345.0)</f>
        <v>345</v>
      </c>
      <c r="AI28" s="292">
        <f>IFERROR(__xludf.DUMMYFUNCTION("IFERROR(
  INDEX(
    FILTER(
      'Juma Recording forms'!$G:$G,
      TRIM('Juma Recording forms'!$F:$F) = TRIM($B28),
      'Juma Recording forms'!$AA:$AA = 4
    ),
    1
  ),
  ""Not Found""
)"),320.0)</f>
        <v>320</v>
      </c>
      <c r="AJ28" s="292" t="str">
        <f>IFERROR(__xludf.DUMMYFUNCTION("IFERROR(
  INDEX(
    FILTER(
      'Juma Recording forms'!$G:$G,
      TRIM('Juma Recording forms'!$F:$F) = TRIM($B28),
      'Juma Recording forms'!$AA:$AA = 5
    ),
    1
  ),
  ""Not Found""
)"),"Not Found")</f>
        <v>Not Found</v>
      </c>
      <c r="AK28" s="292" t="str">
        <f>IFERROR(__xludf.DUMMYFUNCTION("IFERROR(
  INDEX(
    FILTER(
      'Juma Recording forms'!$G:$G,
      TRIM('Juma Recording forms'!$F:$F) = TRIM($B28),
      'Juma Recording forms'!$AA:$AA = 6
    ),
    1
  ),
  ""Not Found""
)"),"Not Found")</f>
        <v>Not Found</v>
      </c>
      <c r="AL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 *
        (IMPORTRANGE(""https://docs.google.com/spreadsheets/d/161aHT6vVT3SLneTKD19N5qVWtnj_jIT8CSsOmUVKmaA/ed"&amp;"it?gid=1761053510"",
          ""Haris_Form responses 1!$AQ:$AQ"")=1)
      ),
      1
    ),
    ""0""
  ),
  ""Form not found""
)
"),"0")</f>
        <v>0</v>
      </c>
      <c r="AM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 *
        (IMPORTRANGE(""https://docs.google.com/spreadsheets/d/161aHT6vVT3SLneTKD19N5qVWtnj_jIT8CSsOmUVKmaA/ed"&amp;"it?gid=1761053510"",
          ""Haris_Form responses 1!$AQ:$AQ"")=2)
      ),
      1
    ),
    ""0""
  ),
  ""Form not found""
)
"),"0")</f>
        <v>0</v>
      </c>
      <c r="AN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 *
        (IMPORTRANGE(""https://docs.google.com/spreadsheets/d/161aHT6vVT3SLneTKD19N5qVWtnj_jIT8CSsOmUVKmaA/ed"&amp;"it?gid=1761053510"",
          ""Haris_Form responses 1!$AQ:$AQ"")=3)
      ),
      1
    ),
    ""0""
  ),
  ""Form not found""
)
"),"1")</f>
        <v>1</v>
      </c>
      <c r="AO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 *
        (IMPORTRANGE(""https://docs.google.com/spreadsheets/d/161aHT6vVT3SLneTKD19N5qVWtnj_jIT8CSsOmUVKmaA/ed"&amp;"it?gid=1761053510"",
          ""Haris_Form responses 1!$AQ:$AQ"")=4)
      ),
      1
    ),
    ""0""
  ),
  ""Form not found""
)
"),"3")</f>
        <v>3</v>
      </c>
      <c r="AP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 *
        (IMPORTRANGE(""https://docs.google.com/spreadsheets/d/161aHT6vVT3SLneTKD19N5qVWtnj_jIT8CSsOmUVKmaA/ed"&amp;"it?gid=1761053510"",
          ""Haris_Form responses 1!$AQ:$AQ"")=5)
      ),
      1
    ),
    ""0""
  ),
  ""Form not found""
)
"),"Form not found")</f>
        <v>Form not found</v>
      </c>
      <c r="AQ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 *
        (IMPORTRANGE(""https://docs.google.com/spreadsheets/d/161aHT6vVT3SLneTKD19N5qVWtnj_jIT8CSsOmUVKmaA/ed"&amp;"it?gid=1761053510"",
          ""Haris_Form responses 1!$AQ:$AQ"")=6)
      ),
      1
    ),
    ""0""
  ),
  ""Form not found""
)
"),"Form not found")</f>
        <v>Form not found</v>
      </c>
      <c r="AR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 *
        (IMPORTRANGE(""https://docs.google.com/spreadsheets/d/161aHT6vVT3SLneTKD19N5qVWtnj_jIT8CSsOmUVKmaA/ed"&amp;"it?gid=1761053510"",
          ""Haris_Form responses 1!$AQ:$AQ"")=1)
      ),
      1
    ),
    ""0""
  ),
  ""Form not found""
)
"),"0")</f>
        <v>0</v>
      </c>
      <c r="AS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 *
        (IMPORTRANGE(""https://docs.google.com/spreadsheets/d/161aHT6vVT3SLneTKD19N5qVWtnj_jIT8CSsOmUVKmaA/ed"&amp;"it?gid=1761053510"",
          ""Haris_Form responses 1!$AQ:$AQ"")=2)
      ),
      1
    ),
    ""0""
  ),
  ""Form not found""
)
"),"0")</f>
        <v>0</v>
      </c>
      <c r="AT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 *
        (IMPORTRANGE(""https://docs.google.com/spreadsheets/d/161aHT6vVT3SLneTKD19N5qVWtnj_jIT8CSsOmUVKmaA/ed"&amp;"it?gid=1761053510"",
          ""Haris_Form responses 1!$AQ:$AQ"")=3)
      ),
      1
    ),
    ""0""
  ),
  ""Form not found""
)
"),"1")</f>
        <v>1</v>
      </c>
      <c r="AU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 *
        (IMPORTRANGE(""https://docs.google.com/spreadsheets/d/161aHT6vVT3SLneTKD19N5qVWtnj_jIT8CSsOmUVKmaA/ed"&amp;"it?gid=1761053510"",
          ""Haris_Form responses 1!$AQ:$AQ"")=4)
      ),
      1
    ),
    ""0""
  ),
  ""Form not found""
)
"),"1")</f>
        <v>1</v>
      </c>
      <c r="AV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 *
        (IMPORTRANGE(""https://docs.google.com/spreadsheets/d/161aHT6vVT3SLneTKD19N5qVWtnj_jIT8CSsOmUVKmaA/ed"&amp;"it?gid=1761053510"",
          ""Haris_Form responses 1!$AQ:$AQ"")=5)
      ),
      1
    ),
    ""0""
  ),
  ""Form not found""
)
"),"Form not found")</f>
        <v>Form not found</v>
      </c>
      <c r="AW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 *
        (IMPORTRANGE(""https://docs.google.com/spreadsheets/d/161aHT6vVT3SLneTKD19N5qVWtnj_jIT8CSsOmUVKmaA/ed"&amp;"it?gid=1761053510"",
          ""Haris_Form responses 1!$AQ:$AQ"")=6)
      ),
      1
    ),
    ""0""
  ),
  ""Form not found""
)
"),"Form not found")</f>
        <v>Form not found</v>
      </c>
      <c r="AX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 *
        (IMPORTRANGE(""https://docs.google.com/spreadsheets/d/161aHT6vVT3SLneTKD19N5qVWtnj_jIT8CSsOmUVKmaA/ed"&amp;"it?gid=1761053510"",
          ""Haris_Form responses 1!$AQ:$AQ"")=1)
      ),
      1
    ),
    ""0""
  ),
  ""Form not found""
)
"),"0")</f>
        <v>0</v>
      </c>
      <c r="AY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 *
        (IMPORTRANGE(""https://docs.google.com/spreadsheets/d/161aHT6vVT3SLneTKD19N5qVWtnj_jIT8CSsOmUVKmaA/ed"&amp;"it?gid=1761053510"",
          ""Haris_Form responses 1!$AQ:$AQ"")=2)
      ),
      1
    ),
    ""0""
  ),
  ""Form not found""
)
"),"0")</f>
        <v>0</v>
      </c>
      <c r="AZ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 *
        (IMPORTRANGE(""https://docs.google.com/spreadsheets/d/161aHT6vVT3SLneTKD19N5qVWtnj_jIT8CSsOmUVKmaA/ed"&amp;"it?gid=1761053510"",
          ""Haris_Form responses 1!$AQ:$AQ"")=3)
      ),
      1
    ),
    ""0""
  ),
  ""Form not found""
)
"),"0")</f>
        <v>0</v>
      </c>
      <c r="BA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 *
        (IMPORTRANGE(""https://docs.google.com/spreadsheets/d/161aHT6vVT3SLneTKD19N5qVWtnj_jIT8CSsOmUVKmaA/ed"&amp;"it?gid=1761053510"",
          ""Haris_Form responses 1!$AQ:$AQ"")=4)
      ),
      1
    ),
    ""0""
  ),
  ""Form not found""
)
"),"2")</f>
        <v>2</v>
      </c>
      <c r="BB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 *
        (IMPORTRANGE(""https://docs.google.com/spreadsheets/d/161aHT6vVT3SLneTKD19N5qVWtnj_jIT8CSsOmUVKmaA/ed"&amp;"it?gid=1761053510"",
          ""Haris_Form responses 1!$AQ:$AQ"")=5)
      ),
      1
    ),
    ""0""
  ),
  ""Form not found""
)
"),"Form not found")</f>
        <v>Form not found</v>
      </c>
      <c r="BC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 *
        (IMPORTRANGE(""https://docs.google.com/spreadsheets/d/161aHT6vVT3SLneTKD19N5qVWtnj_jIT8CSsOmUVKmaA/ed"&amp;"it?gid=1761053510"",
          ""Haris_Form responses 1!$AQ:$AQ"")=6)
      ),
      1
    ),
    ""0""
  ),
  ""Form not found""
)
"),"Form not found")</f>
        <v>Form not found</v>
      </c>
      <c r="BD28" s="293"/>
    </row>
    <row r="29">
      <c r="A29" s="283" t="str">
        <f>IFERROR(__xludf.DUMMYFUNCTION("VLOOKUP($B29,IMPORTRANGE(""https://docs.google.com/spreadsheets/d/1VNXDITjs75AcgdBSW27oL1VZH31udDprJSsBcE5xlp4/edit?gid=1551188038#gid=1551188038"", ""Sheet9!$B:$E""),2,false)"),"Lahore")</f>
        <v>Lahore</v>
      </c>
      <c r="B29" s="283" t="s">
        <v>1480</v>
      </c>
      <c r="C29" s="284" t="str">
        <f>IFERROR(__xludf.DUMMYFUNCTION("VLOOKUP(TRIM($B29), IMPORTRANGE(""https://docs.google.com/spreadsheets/d/1aSOrU4PTpuBZqfitKaH1Rfww6-YOiNCKoBpPl8XBHaw/edit?gid=0#gid=0"", ""sheet3!$B:$C""), 2, FALSE)
"),"Jamia Masjid Hamam Wali Sotar Mandi Lahore")</f>
        <v>Jamia Masjid Hamam Wali Sotar Mandi Lahore</v>
      </c>
      <c r="D29" s="284" t="str">
        <f>IFERROR(__xludf.DUMMYFUNCTION("IFERROR(
  INDEX(
    FILTER(
      IMPORTRANGE(""1aSOrU4PTpuBZqfitKaH1Rfww6-YOiNCKoBpPl8XBHaw/edit?gid=0#gid=0"",""Sheet1!G:G""),
      IMPORTRANGE(""1aSOrU4PTpuBZqfitKaH1Rfww6-YOiNCKoBpPl8XBHaw/edit?gid=0#gid=0"",""Sheet1!C:C"")=$B29
    ),
    1
  ),
 "&amp;" ""Not Found""
)"),"Community Religious Info Share")</f>
        <v>Community Religious Info Share</v>
      </c>
      <c r="E29" s="284" t="str">
        <f>VLOOKUP(B29,'Juma Recording forms'!A:E,5,false)</f>
        <v>	Jamia Masjid Hamam Wali Sotar Mandi Lahore	</v>
      </c>
      <c r="F29" s="284" t="str">
        <f>IFERROR(__xludf.DUMMYFUNCTION("IFERROR(
  INDEX(
    FILTER(
      IMPORTRANGE(""1Cxrhp3-_-HS7v9uuqQliiIfrmMP4VaFoDNDWyUFy2J8/edit?gid=0#gid=0"",""Sheet1!Q:Q""),
      IMPORTRANGE(""1Cxrhp3-_-HS7v9uuqQliiIfrmMP4VaFoDNDWyUFy2J8/edit?gid=0#gid=0"",""Sheet1!K:K"")=$B29
    ),
    1
  ),
 "&amp;" ""Not Found""
)"),"Allama Ghulam Abbas")</f>
        <v>Allama Ghulam Abbas</v>
      </c>
      <c r="G29" s="284">
        <v>1940.0</v>
      </c>
      <c r="H29" s="284"/>
      <c r="I29" s="285"/>
      <c r="J29" s="286">
        <v>2.0</v>
      </c>
      <c r="K29" s="287" t="str">
        <f>VLOOKUP($B29,'Mosque Locations'!$A:$E,3,FALSE)
</f>
        <v>https://maps.google.com/maps?q=31.5801501%2C74.3153044&amp;z=17&amp;hl=en</v>
      </c>
      <c r="L29" s="286">
        <f>VLOOKUP($B29,'Mosque Locations'!$A:$E,4,FALSE)
</f>
        <v>31.58015</v>
      </c>
      <c r="M29" s="286">
        <f>VLOOKUP($B29,'Mosque Locations'!$A:$E,5,false)</f>
        <v>74.3153</v>
      </c>
      <c r="N29" s="288"/>
      <c r="O29" s="288"/>
      <c r="P29" s="288"/>
      <c r="Q29" s="294" t="str">
        <f>IFERROR(__xludf.DUMMYFUNCTION("IFERROR(
  INDEX(
    FILTER(
      IMPORTRANGE(""1DccNxjBgurEr0ABkI_rBagJT5phB5HaHG5N_mTm_BiA"",""Form Responses 1!T:T""),
      TRIM(IMPORTRANGE(""1DccNxjBgurEr0ABkI_rBagJT5phB5HaHG5N_mTm_BiA"",""Form Responses 1!E:E""))=TRIM($B29)
    ),
    1
  ),
  "&amp;"""Not Found""
)
"),"https://drive.google.com/open?id=1QukZ6nRpLeOmvQIFmKYTLxIopMDuUeMq, https://drive.google.com/open?id=1STfeR7XXoFCxE7Ol_qjO8lziHpCIw9WU, https://drive.google.com/open?id=1QHuYk57zWRYnEe6wWLfOMXJTgOVpsnyd")</f>
        <v>https://drive.google.com/open?id=1QukZ6nRpLeOmvQIFmKYTLxIopMDuUeMq, https://drive.google.com/open?id=1STfeR7XXoFCxE7Ol_qjO8lziHpCIw9WU, https://drive.google.com/open?id=1QHuYk57zWRYnEe6wWLfOMXJTgOVpsnyd</v>
      </c>
      <c r="R29" s="294" t="str">
        <f>IFERROR(__xludf.DUMMYFUNCTION("IFERROR(
  INDEX(
    FILTER(
      IMPORTRANGE(""1DccNxjBgurEr0ABkI_rBagJT5phB5HaHG5N_mTm_BiA"",""Form Responses 1!S:S""),
      TRIM(IMPORTRANGE(""1DccNxjBgurEr0ABkI_rBagJT5phB5HaHG5N_mTm_BiA"",""Form Responses 1!E:E""))=TRIM($B29)
    ),
    1
  ),
  "&amp;"""Not Found""
)
"),"https://drive.google.com/open?id=1h7Wh14_K2YMlEnPuWkoSQC41oRoT_0Wc, https://drive.google.com/open?id=1Hrmf3ogjL89TnzUzwsb6Z1WJ0Z3yEmbC, https://drive.google.com/open?id=1T4FW05JhPGvDtatlUq-1lmBj2bCosqqW")</f>
        <v>https://drive.google.com/open?id=1h7Wh14_K2YMlEnPuWkoSQC41oRoT_0Wc, https://drive.google.com/open?id=1Hrmf3ogjL89TnzUzwsb6Z1WJ0Z3yEmbC, https://drive.google.com/open?id=1T4FW05JhPGvDtatlUq-1lmBj2bCosqqW</v>
      </c>
      <c r="S29" s="285"/>
      <c r="T29" s="290" t="str">
        <f>VLOOKUP($B29,'Master Tracker'!$D:$E,2,false)</f>
        <v>https://drive.google.com/open?id=14XRkcbypigP8gEuE1QQzaSFoCdg_LzxJ</v>
      </c>
      <c r="U29" s="291" t="str">
        <f>VLOOKUP($B29,'Master Tracker'!$D:$T,4,FALSE)
</f>
        <v>https://drive.google.com/open?id=1kn-c0frbRNLN4gUg77EivyI-4Tea0DTZ</v>
      </c>
      <c r="V29" s="290" t="str">
        <f>VLOOKUP($B29,'Master Tracker'!$D:$T,5,false)</f>
        <v>https://drive.google.com/open?id=1Ur-pf15KR3B_bClJXx1mHMcEos7tIbVd</v>
      </c>
      <c r="W29" s="291" t="str">
        <f>VLOOKUP($B29,'Master Tracker'!$D:$T,7,false)</f>
        <v>https://drive.google.com/open?id=1cDoPiEb-sCimcictySGPkmuZoL0Bpplg</v>
      </c>
      <c r="X29" s="290" t="str">
        <f>VLOOKUP($B29,'Master Tracker'!$D:$T,8,false)</f>
        <v>https://drive.google.com/open?id=1HPg-fxdADyJzVSk6bbPjDRLfJ1_YSoy1</v>
      </c>
      <c r="Y29" s="291" t="str">
        <f>VLOOKUP($B29,'Master Tracker'!$D:$T,10,false)</f>
        <v>https://drive.google.com/open?id=19vQBsfdHcS2gMneQij4Ih551AMxVrDVo</v>
      </c>
      <c r="Z29" s="284" t="str">
        <f>VLOOKUP($B29,'Master Tracker'!$D:$T,11,false)</f>
        <v>Not Found</v>
      </c>
      <c r="AA29" s="292" t="str">
        <f>VLOOKUP($B29,'Master Tracker'!$D:$T,13,false)</f>
        <v>Not Found</v>
      </c>
      <c r="AB29" s="284" t="str">
        <f>VLOOKUP($B29,'Master Tracker'!$D:$T,14,false)</f>
        <v>Not Found</v>
      </c>
      <c r="AC29" s="292" t="str">
        <f>VLOOKUP($B29,'Master Tracker'!$D:$T,16,false)</f>
        <v>Not Found</v>
      </c>
      <c r="AD29" s="292" t="str">
        <f>VLOOKUP($B29,'Master Tracker'!$D:$T,17,false)</f>
        <v>Not Found</v>
      </c>
      <c r="AE29" s="292" t="str">
        <f>VLOOKUP($B29,'Master Tracker'!$D:$V,19,false)</f>
        <v>Not Found</v>
      </c>
      <c r="AF29" s="292">
        <f>IFERROR(__xludf.DUMMYFUNCTION("IFERROR(
  INDEX(
    FILTER(
      'Juma Recording forms'!$G:$G,
      TRIM('Juma Recording forms'!$F:$F) = TRIM($B29),
      'Juma Recording forms'!$AA:$AA = 1
    ),
    1
  ),
  ""Not Found""
)"),350.0)</f>
        <v>350</v>
      </c>
      <c r="AG29" s="292">
        <f>IFERROR(__xludf.DUMMYFUNCTION("IFERROR(
  INDEX(
    FILTER(
      'Juma Recording forms'!$G:$G,
      TRIM('Juma Recording forms'!$F:$F) = TRIM($B29),
      'Juma Recording forms'!$AA:$AA = 2
    ),
    1
  ),
  ""Not Found""
)"),345.0)</f>
        <v>345</v>
      </c>
      <c r="AH29" s="292">
        <f>IFERROR(__xludf.DUMMYFUNCTION("IFERROR(
  INDEX(
    FILTER(
      'Juma Recording forms'!$G:$G,
      TRIM('Juma Recording forms'!$F:$F) = TRIM($B29),
      'Juma Recording forms'!$AA:$AA = 3
    ),
    1
  ),
  ""Not Found""
)"),350.0)</f>
        <v>350</v>
      </c>
      <c r="AI29" s="292" t="str">
        <f>IFERROR(__xludf.DUMMYFUNCTION("IFERROR(
  INDEX(
    FILTER(
      'Juma Recording forms'!$G:$G,
      TRIM('Juma Recording forms'!$F:$F) = TRIM($B29),
      'Juma Recording forms'!$AA:$AA = 4
    ),
    1
  ),
  ""Not Found""
)"),"Not Found")</f>
        <v>Not Found</v>
      </c>
      <c r="AJ29" s="292" t="str">
        <f>IFERROR(__xludf.DUMMYFUNCTION("IFERROR(
  INDEX(
    FILTER(
      'Juma Recording forms'!$G:$G,
      TRIM('Juma Recording forms'!$F:$F) = TRIM($B29),
      'Juma Recording forms'!$AA:$AA = 5
    ),
    1
  ),
  ""Not Found""
)"),"Not Found")</f>
        <v>Not Found</v>
      </c>
      <c r="AK29" s="292" t="str">
        <f>IFERROR(__xludf.DUMMYFUNCTION("IFERROR(
  INDEX(
    FILTER(
      'Juma Recording forms'!$G:$G,
      TRIM('Juma Recording forms'!$F:$F) = TRIM($B29),
      'Juma Recording forms'!$AA:$AA = 6
    ),
    1
  ),
  ""Not Found""
)"),"Not Found")</f>
        <v>Not Found</v>
      </c>
      <c r="AL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 *
        (IMPORTRANGE(""https://docs.google.com/spreadsheets/d/161aHT6vVT3SLneTKD19N5qVWtnj_jIT8CSsOmUVKmaA/ed"&amp;"it?gid=1761053510"",
          ""Haris_Form responses 1!$AQ:$AQ"")=1)
      ),
      1
    ),
    ""0""
  ),
  ""Form not found""
)
"),"6")</f>
        <v>6</v>
      </c>
      <c r="AM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 *
        (IMPORTRANGE(""https://docs.google.com/spreadsheets/d/161aHT6vVT3SLneTKD19N5qVWtnj_jIT8CSsOmUVKmaA/ed"&amp;"it?gid=1761053510"",
          ""Haris_Form responses 1!$AQ:$AQ"")=2)
      ),
      1
    ),
    ""0""
  ),
  ""Form not found""
)
"),"9")</f>
        <v>9</v>
      </c>
      <c r="AN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 *
        (IMPORTRANGE(""https://docs.google.com/spreadsheets/d/161aHT6vVT3SLneTKD19N5qVWtnj_jIT8CSsOmUVKmaA/ed"&amp;"it?gid=1761053510"",
          ""Haris_Form responses 1!$AQ:$AQ"")=3)
      ),
      1
    ),
    ""0""
  ),
  ""Form not found""
)
"),"0")</f>
        <v>0</v>
      </c>
      <c r="AO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 *
        (IMPORTRANGE(""https://docs.google.com/spreadsheets/d/161aHT6vVT3SLneTKD19N5qVWtnj_jIT8CSsOmUVKmaA/ed"&amp;"it?gid=1761053510"",
          ""Haris_Form responses 1!$AQ:$AQ"")=4)
      ),
      1
    ),
    ""0""
  ),
  ""Form not found""
)
"),"Form not found")</f>
        <v>Form not found</v>
      </c>
      <c r="AP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 *
        (IMPORTRANGE(""https://docs.google.com/spreadsheets/d/161aHT6vVT3SLneTKD19N5qVWtnj_jIT8CSsOmUVKmaA/ed"&amp;"it?gid=1761053510"",
          ""Haris_Form responses 1!$AQ:$AQ"")=5)
      ),
      1
    ),
    ""0""
  ),
  ""Form not found""
)
"),"Form not found")</f>
        <v>Form not found</v>
      </c>
      <c r="AQ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 *
        (IMPORTRANGE(""https://docs.google.com/spreadsheets/d/161aHT6vVT3SLneTKD19N5qVWtnj_jIT8CSsOmUVKmaA/ed"&amp;"it?gid=1761053510"",
          ""Haris_Form responses 1!$AQ:$AQ"")=6)
      ),
      1
    ),
    ""0""
  ),
  ""Form not found""
)
"),"Form not found")</f>
        <v>Form not found</v>
      </c>
      <c r="AR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 *
        (IMPORTRANGE(""https://docs.google.com/spreadsheets/d/161aHT6vVT3SLneTKD19N5qVWtnj_jIT8CSsOmUVKmaA/ed"&amp;"it?gid=1761053510"",
          ""Haris_Form responses 1!$AQ:$AQ"")=1)
      ),
      1
    ),
    ""0""
  ),
  ""Form not found""
)
"),"6")</f>
        <v>6</v>
      </c>
      <c r="AS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 *
        (IMPORTRANGE(""https://docs.google.com/spreadsheets/d/161aHT6vVT3SLneTKD19N5qVWtnj_jIT8CSsOmUVKmaA/ed"&amp;"it?gid=1761053510"",
          ""Haris_Form responses 1!$AQ:$AQ"")=2)
      ),
      1
    ),
    ""0""
  ),
  ""Form not found""
)
"),"9")</f>
        <v>9</v>
      </c>
      <c r="AT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 *
        (IMPORTRANGE(""https://docs.google.com/spreadsheets/d/161aHT6vVT3SLneTKD19N5qVWtnj_jIT8CSsOmUVKmaA/ed"&amp;"it?gid=1761053510"",
          ""Haris_Form responses 1!$AQ:$AQ"")=3)
      ),
      1
    ),
    ""0""
  ),
  ""Form not found""
)
"),"0")</f>
        <v>0</v>
      </c>
      <c r="AU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 *
        (IMPORTRANGE(""https://docs.google.com/spreadsheets/d/161aHT6vVT3SLneTKD19N5qVWtnj_jIT8CSsOmUVKmaA/ed"&amp;"it?gid=1761053510"",
          ""Haris_Form responses 1!$AQ:$AQ"")=4)
      ),
      1
    ),
    ""0""
  ),
  ""Form not found""
)
"),"Form not found")</f>
        <v>Form not found</v>
      </c>
      <c r="AV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 *
        (IMPORTRANGE(""https://docs.google.com/spreadsheets/d/161aHT6vVT3SLneTKD19N5qVWtnj_jIT8CSsOmUVKmaA/ed"&amp;"it?gid=1761053510"",
          ""Haris_Form responses 1!$AQ:$AQ"")=5)
      ),
      1
    ),
    ""0""
  ),
  ""Form not found""
)
"),"Form not found")</f>
        <v>Form not found</v>
      </c>
      <c r="AW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 *
        (IMPORTRANGE(""https://docs.google.com/spreadsheets/d/161aHT6vVT3SLneTKD19N5qVWtnj_jIT8CSsOmUVKmaA/ed"&amp;"it?gid=1761053510"",
          ""Haris_Form responses 1!$AQ:$AQ"")=6)
      ),
      1
    ),
    ""0""
  ),
  ""Form not found""
)
"),"Form not found")</f>
        <v>Form not found</v>
      </c>
      <c r="AX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 *
        (IMPORTRANGE(""https://docs.google.com/spreadsheets/d/161aHT6vVT3SLneTKD19N5qVWtnj_jIT8CSsOmUVKmaA/ed"&amp;"it?gid=1761053510"",
          ""Haris_Form responses 1!$AQ:$AQ"")=1)
      ),
      1
    ),
    ""0""
  ),
  ""Form not found""
)
"),"0")</f>
        <v>0</v>
      </c>
      <c r="AY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 *
        (IMPORTRANGE(""https://docs.google.com/spreadsheets/d/161aHT6vVT3SLneTKD19N5qVWtnj_jIT8CSsOmUVKmaA/ed"&amp;"it?gid=1761053510"",
          ""Haris_Form responses 1!$AQ:$AQ"")=2)
      ),
      1
    ),
    ""0""
  ),
  ""Form not found""
)
"),"0")</f>
        <v>0</v>
      </c>
      <c r="AZ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 *
        (IMPORTRANGE(""https://docs.google.com/spreadsheets/d/161aHT6vVT3SLneTKD19N5qVWtnj_jIT8CSsOmUVKmaA/ed"&amp;"it?gid=1761053510"",
          ""Haris_Form responses 1!$AQ:$AQ"")=3)
      ),
      1
    ),
    ""0""
  ),
  ""Form not found""
)
"),"0")</f>
        <v>0</v>
      </c>
      <c r="BA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 *
        (IMPORTRANGE(""https://docs.google.com/spreadsheets/d/161aHT6vVT3SLneTKD19N5qVWtnj_jIT8CSsOmUVKmaA/ed"&amp;"it?gid=1761053510"",
          ""Haris_Form responses 1!$AQ:$AQ"")=4)
      ),
      1
    ),
    ""0""
  ),
  ""Form not found""
)
"),"Form not found")</f>
        <v>Form not found</v>
      </c>
      <c r="BB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 *
        (IMPORTRANGE(""https://docs.google.com/spreadsheets/d/161aHT6vVT3SLneTKD19N5qVWtnj_jIT8CSsOmUVKmaA/ed"&amp;"it?gid=1761053510"",
          ""Haris_Form responses 1!$AQ:$AQ"")=5)
      ),
      1
    ),
    ""0""
  ),
  ""Form not found""
)
"),"Form not found")</f>
        <v>Form not found</v>
      </c>
      <c r="BC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 *
        (IMPORTRANGE(""https://docs.google.com/spreadsheets/d/161aHT6vVT3SLneTKD19N5qVWtnj_jIT8CSsOmUVKmaA/ed"&amp;"it?gid=1761053510"",
          ""Haris_Form responses 1!$AQ:$AQ"")=6)
      ),
      1
    ),
    ""0""
  ),
  ""Form not found""
)
"),"Form not found")</f>
        <v>Form not found</v>
      </c>
      <c r="BD29" s="293"/>
    </row>
    <row r="30">
      <c r="A30" s="283" t="str">
        <f>IFERROR(__xludf.DUMMYFUNCTION("VLOOKUP($B30,IMPORTRANGE(""https://docs.google.com/spreadsheets/d/1VNXDITjs75AcgdBSW27oL1VZH31udDprJSsBcE5xlp4/edit?gid=1551188038#gid=1551188038"", ""Sheet9!$B:$E""),2,false)"),"Lahore")</f>
        <v>Lahore</v>
      </c>
      <c r="B30" s="283" t="s">
        <v>1360</v>
      </c>
      <c r="C30" s="284" t="str">
        <f>IFERROR(__xludf.DUMMYFUNCTION("VLOOKUP(TRIM($B30), IMPORTRANGE(""https://docs.google.com/spreadsheets/d/1aSOrU4PTpuBZqfitKaH1Rfww6-YOiNCKoBpPl8XBHaw/edit?gid=0#gid=0"", ""sheet3!$B:$C""), 2, FALSE)
"),"Darbar Hazrat Gohar peer Shah")</f>
        <v>Darbar Hazrat Gohar peer Shah</v>
      </c>
      <c r="D30" s="284" t="str">
        <f>IFERROR(__xludf.DUMMYFUNCTION("IFERROR(
  INDEX(
    FILTER(
      IMPORTRANGE(""1aSOrU4PTpuBZqfitKaH1Rfww6-YOiNCKoBpPl8XBHaw/edit?gid=0#gid=0"",""Sheet1!G:G""),
      IMPORTRANGE(""1aSOrU4PTpuBZqfitKaH1Rfww6-YOiNCKoBpPl8XBHaw/edit?gid=0#gid=0"",""Sheet1!C:C"")=$B30
    ),
    1
  ),
 "&amp;" ""Not Found""
)"),"Control")</f>
        <v>Control</v>
      </c>
      <c r="E30" s="284" t="str">
        <f>VLOOKUP(B30,'Juma Recording forms'!A:E,5,false)</f>
        <v>Jamia Masjid Darbar Shah Gohar peer </v>
      </c>
      <c r="F30" s="284" t="str">
        <f>IFERROR(__xludf.DUMMYFUNCTION("IFERROR(
  INDEX(
    FILTER(
      IMPORTRANGE(""1Cxrhp3-_-HS7v9uuqQliiIfrmMP4VaFoDNDWyUFy2J8/edit?gid=0#gid=0"",""Sheet1!Q:Q""),
      IMPORTRANGE(""1Cxrhp3-_-HS7v9uuqQliiIfrmMP4VaFoDNDWyUFy2J8/edit?gid=0#gid=0"",""Sheet1!K:K"")=$B30
    ),
    1
  ),
 "&amp;" ""Not Found""
)"),"Hafiz Muhammad Sadeeq Akbar")</f>
        <v>Hafiz Muhammad Sadeeq Akbar</v>
      </c>
      <c r="G30" s="284">
        <v>1980.0</v>
      </c>
      <c r="H30" s="284" t="s">
        <v>4822</v>
      </c>
      <c r="I30" s="285"/>
      <c r="J30" s="286">
        <v>2.0</v>
      </c>
      <c r="K30" s="287" t="str">
        <f>VLOOKUP($B30,'Mosque Locations'!$A:$E,3,FALSE)
</f>
        <v>https://maps.google.com/maps?q=31.6009372%2C74.3954905&amp;z=17&amp;hl=en</v>
      </c>
      <c r="L30" s="286">
        <f>VLOOKUP($B30,'Mosque Locations'!$A:$E,4,FALSE)
</f>
        <v>31.60094</v>
      </c>
      <c r="M30" s="286">
        <f>VLOOKUP($B30,'Mosque Locations'!$A:$E,5,false)</f>
        <v>74.39549</v>
      </c>
      <c r="N30" s="288"/>
      <c r="O30" s="288"/>
      <c r="P30" s="288"/>
      <c r="Q30" s="290" t="str">
        <f>IFERROR(__xludf.DUMMYFUNCTION("IFERROR(
  INDEX(
    FILTER(
      IMPORTRANGE(""1DccNxjBgurEr0ABkI_rBagJT5phB5HaHG5N_mTm_BiA"",""Form Responses 1!T:T""),
      TRIM(IMPORTRANGE(""1DccNxjBgurEr0ABkI_rBagJT5phB5HaHG5N_mTm_BiA"",""Form Responses 1!E:E""))=TRIM($B30)
    ),
    1
  ),
  "&amp;"""Not Found""
)
"),"https://drive.google.com/open?id=1PQOeRvaZYILlt888BY6jYhhKjtjEBSHx")</f>
        <v>https://drive.google.com/open?id=1PQOeRvaZYILlt888BY6jYhhKjtjEBSHx</v>
      </c>
      <c r="R30" s="289" t="str">
        <f>IFERROR(__xludf.DUMMYFUNCTION("IFERROR(
  INDEX(
    FILTER(
      IMPORTRANGE(""1DccNxjBgurEr0ABkI_rBagJT5phB5HaHG5N_mTm_BiA"",""Form Responses 1!S:S""),
      TRIM(IMPORTRANGE(""1DccNxjBgurEr0ABkI_rBagJT5phB5HaHG5N_mTm_BiA"",""Form Responses 1!E:E""))=TRIM($B30)
    ),
    1
  ),
  "&amp;"""Not Found""
)
"),"https://drive.google.com/open?id=1B2xTPAtHwcZMGMn9ihvZKGr6DuAWccgb")</f>
        <v>https://drive.google.com/open?id=1B2xTPAtHwcZMGMn9ihvZKGr6DuAWccgb</v>
      </c>
      <c r="S30" s="285"/>
      <c r="T30" s="290" t="str">
        <f>VLOOKUP($B30,'Master Tracker'!$D:$E,2,false)</f>
        <v>https://drive.google.com/open?id=1nAY21rV52-XfQmP8ZMgUw78KA-rl9zsi</v>
      </c>
      <c r="U30" s="291" t="str">
        <f>VLOOKUP($B30,'Master Tracker'!$D:$T,4,FALSE)
</f>
        <v>https://drive.google.com/open?id=1osfKJTVeNekXLi320hwwXj6avqVD0sDI</v>
      </c>
      <c r="V30" s="284" t="str">
        <f>VLOOKUP($B30,'Master Tracker'!$D:$T,5,false)</f>
        <v>Not Found</v>
      </c>
      <c r="W30" s="292" t="str">
        <f>VLOOKUP($B30,'Master Tracker'!$D:$T,7,false)</f>
        <v>Not Found</v>
      </c>
      <c r="X30" s="290" t="str">
        <f>VLOOKUP($B30,'Master Tracker'!$D:$T,8,false)</f>
        <v>https://drive.google.com/open?id=1ElibYT8yZUnQZ-ksmskqtl56Wo93UjcN</v>
      </c>
      <c r="Y30" s="291" t="str">
        <f>VLOOKUP($B30,'Master Tracker'!$D:$T,10,false)</f>
        <v>https://drive.google.com/open?id=13xgyvi3qYOHflDOKhadcwjRY-EYWdqSb</v>
      </c>
      <c r="Z30" s="284" t="str">
        <f>VLOOKUP($B30,'Master Tracker'!$D:$T,11,false)</f>
        <v>Not Found</v>
      </c>
      <c r="AA30" s="292" t="str">
        <f>VLOOKUP($B30,'Master Tracker'!$D:$T,13,false)</f>
        <v>Not Found</v>
      </c>
      <c r="AB30" s="284" t="str">
        <f>VLOOKUP($B30,'Master Tracker'!$D:$T,14,false)</f>
        <v>Not Found</v>
      </c>
      <c r="AC30" s="292" t="str">
        <f>VLOOKUP($B30,'Master Tracker'!$D:$T,16,false)</f>
        <v>Not Found</v>
      </c>
      <c r="AD30" s="292" t="str">
        <f>VLOOKUP($B30,'Master Tracker'!$D:$T,17,false)</f>
        <v>Not Found</v>
      </c>
      <c r="AE30" s="292" t="str">
        <f>VLOOKUP($B30,'Master Tracker'!$D:$V,19,false)</f>
        <v>Not Found</v>
      </c>
      <c r="AF30" s="292">
        <f>IFERROR(__xludf.DUMMYFUNCTION("IFERROR(
  INDEX(
    FILTER(
      'Juma Recording forms'!$G:$G,
      TRIM('Juma Recording forms'!$F:$F) = TRIM($B30),
      'Juma Recording forms'!$AA:$AA = 1
    ),
    1
  ),
  ""Not Found""
)"),120.0)</f>
        <v>120</v>
      </c>
      <c r="AG30" s="292" t="str">
        <f>IFERROR(__xludf.DUMMYFUNCTION("IFERROR(
  INDEX(
    FILTER(
      'Juma Recording forms'!$G:$G,
      TRIM('Juma Recording forms'!$F:$F) = TRIM($B30),
      'Juma Recording forms'!$AA:$AA = 2
    ),
    1
  ),
  ""Not Found""
)"),"Not Found")</f>
        <v>Not Found</v>
      </c>
      <c r="AH30" s="292">
        <f>IFERROR(__xludf.DUMMYFUNCTION("IFERROR(
  INDEX(
    FILTER(
      'Juma Recording forms'!$G:$G,
      TRIM('Juma Recording forms'!$F:$F) = TRIM($B30),
      'Juma Recording forms'!$AA:$AA = 3
    ),
    1
  ),
  ""Not Found""
)"),130.0)</f>
        <v>130</v>
      </c>
      <c r="AI30" s="292" t="str">
        <f>IFERROR(__xludf.DUMMYFUNCTION("IFERROR(
  INDEX(
    FILTER(
      'Juma Recording forms'!$G:$G,
      TRIM('Juma Recording forms'!$F:$F) = TRIM($B30),
      'Juma Recording forms'!$AA:$AA = 4
    ),
    1
  ),
  ""Not Found""
)"),"Not Found")</f>
        <v>Not Found</v>
      </c>
      <c r="AJ30" s="292" t="str">
        <f>IFERROR(__xludf.DUMMYFUNCTION("IFERROR(
  INDEX(
    FILTER(
      'Juma Recording forms'!$G:$G,
      TRIM('Juma Recording forms'!$F:$F) = TRIM($B30),
      'Juma Recording forms'!$AA:$AA = 5
    ),
    1
  ),
  ""Not Found""
)"),"Not Found")</f>
        <v>Not Found</v>
      </c>
      <c r="AK30" s="292"/>
      <c r="AL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 *
        (IMPORTRANGE(""https://docs.google.com/spreadsheets/d/161aHT6vVT3SLneTKD19N5qVWtnj_jIT8CSsOmUVKmaA/ed"&amp;"it?gid=1761053510"",
          ""Haris_Form responses 1!$AQ:$AQ"")=1)
      ),
      1
    ),
    ""0""
  ),
  ""Form not found""
)
"),"0")</f>
        <v>0</v>
      </c>
      <c r="AM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 *
        (IMPORTRANGE(""https://docs.google.com/spreadsheets/d/161aHT6vVT3SLneTKD19N5qVWtnj_jIT8CSsOmUVKmaA/ed"&amp;"it?gid=1761053510"",
          ""Haris_Form responses 1!$AQ:$AQ"")=2)
      ),
      1
    ),
    ""0""
  ),
  ""Form not found""
)
"),"Form not found")</f>
        <v>Form not found</v>
      </c>
      <c r="AN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 *
        (IMPORTRANGE(""https://docs.google.com/spreadsheets/d/161aHT6vVT3SLneTKD19N5qVWtnj_jIT8CSsOmUVKmaA/ed"&amp;"it?gid=1761053510"",
          ""Haris_Form responses 1!$AQ:$AQ"")=3)
      ),
      1
    ),
    ""0""
  ),
  ""Form not found""
)
"),"0")</f>
        <v>0</v>
      </c>
      <c r="AO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 *
        (IMPORTRANGE(""https://docs.google.com/spreadsheets/d/161aHT6vVT3SLneTKD19N5qVWtnj_jIT8CSsOmUVKmaA/ed"&amp;"it?gid=1761053510"",
          ""Haris_Form responses 1!$AQ:$AQ"")=4)
      ),
      1
    ),
    ""0""
  ),
  ""Form not found""
)
"),"Form not found")</f>
        <v>Form not found</v>
      </c>
      <c r="AP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 *
        (IMPORTRANGE(""https://docs.google.com/spreadsheets/d/161aHT6vVT3SLneTKD19N5qVWtnj_jIT8CSsOmUVKmaA/ed"&amp;"it?gid=1761053510"",
          ""Haris_Form responses 1!$AQ:$AQ"")=5)
      ),
      1
    ),
    ""0""
  ),
  ""Form not found""
)
"),"Form not found")</f>
        <v>Form not found</v>
      </c>
      <c r="AQ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 *
        (IMPORTRANGE(""https://docs.google.com/spreadsheets/d/161aHT6vVT3SLneTKD19N5qVWtnj_jIT8CSsOmUVKmaA/ed"&amp;"it?gid=1761053510"",
          ""Haris_Form responses 1!$AQ:$AQ"")=6)
      ),
      1
    ),
    ""0""
  ),
  ""Form not found""
)
"),"Form not found")</f>
        <v>Form not found</v>
      </c>
      <c r="AR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 *
        (IMPORTRANGE(""https://docs.google.com/spreadsheets/d/161aHT6vVT3SLneTKD19N5qVWtnj_jIT8CSsOmUVKmaA/ed"&amp;"it?gid=1761053510"",
          ""Haris_Form responses 1!$AQ:$AQ"")=1)
      ),
      1
    ),
    ""0""
  ),
  ""Form not found""
)
"),"4")</f>
        <v>4</v>
      </c>
      <c r="AS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 *
        (IMPORTRANGE(""https://docs.google.com/spreadsheets/d/161aHT6vVT3SLneTKD19N5qVWtnj_jIT8CSsOmUVKmaA/ed"&amp;"it?gid=1761053510"",
          ""Haris_Form responses 1!$AQ:$AQ"")=2)
      ),
      1
    ),
    ""0""
  ),
  ""Form not found""
)
"),"Form not found")</f>
        <v>Form not found</v>
      </c>
      <c r="AT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 *
        (IMPORTRANGE(""https://docs.google.com/spreadsheets/d/161aHT6vVT3SLneTKD19N5qVWtnj_jIT8CSsOmUVKmaA/ed"&amp;"it?gid=1761053510"",
          ""Haris_Form responses 1!$AQ:$AQ"")=3)
      ),
      1
    ),
    ""0""
  ),
  ""Form not found""
)
"),"0")</f>
        <v>0</v>
      </c>
      <c r="AU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 *
        (IMPORTRANGE(""https://docs.google.com/spreadsheets/d/161aHT6vVT3SLneTKD19N5qVWtnj_jIT8CSsOmUVKmaA/ed"&amp;"it?gid=1761053510"",
          ""Haris_Form responses 1!$AQ:$AQ"")=4)
      ),
      1
    ),
    ""0""
  ),
  ""Form not found""
)
"),"Form not found")</f>
        <v>Form not found</v>
      </c>
      <c r="AV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 *
        (IMPORTRANGE(""https://docs.google.com/spreadsheets/d/161aHT6vVT3SLneTKD19N5qVWtnj_jIT8CSsOmUVKmaA/ed"&amp;"it?gid=1761053510"",
          ""Haris_Form responses 1!$AQ:$AQ"")=5)
      ),
      1
    ),
    ""0""
  ),
  ""Form not found""
)
"),"Form not found")</f>
        <v>Form not found</v>
      </c>
      <c r="AW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 *
        (IMPORTRANGE(""https://docs.google.com/spreadsheets/d/161aHT6vVT3SLneTKD19N5qVWtnj_jIT8CSsOmUVKmaA/ed"&amp;"it?gid=1761053510"",
          ""Haris_Form responses 1!$AQ:$AQ"")=6)
      ),
      1
    ),
    ""0""
  ),
  ""Form not found""
)
"),"Form not found")</f>
        <v>Form not found</v>
      </c>
      <c r="AX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 *
        (IMPORTRANGE(""https://docs.google.com/spreadsheets/d/161aHT6vVT3SLneTKD19N5qVWtnj_jIT8CSsOmUVKmaA/ed"&amp;"it?gid=1761053510"",
          ""Haris_Form responses 1!$AQ:$AQ"")=1)
      ),
      1
    ),
    ""0""
  ),
  ""Form not found""
)
"),"2")</f>
        <v>2</v>
      </c>
      <c r="AY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 *
        (IMPORTRANGE(""https://docs.google.com/spreadsheets/d/161aHT6vVT3SLneTKD19N5qVWtnj_jIT8CSsOmUVKmaA/ed"&amp;"it?gid=1761053510"",
          ""Haris_Form responses 1!$AQ:$AQ"")=2)
      ),
      1
    ),
    ""0""
  ),
  ""Form not found""
)
"),"Form not found")</f>
        <v>Form not found</v>
      </c>
      <c r="AZ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 *
        (IMPORTRANGE(""https://docs.google.com/spreadsheets/d/161aHT6vVT3SLneTKD19N5qVWtnj_jIT8CSsOmUVKmaA/ed"&amp;"it?gid=1761053510"",
          ""Haris_Form responses 1!$AQ:$AQ"")=3)
      ),
      1
    ),
    ""0""
  ),
  ""Form not found""
)
"),"0")</f>
        <v>0</v>
      </c>
      <c r="BA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 *
        (IMPORTRANGE(""https://docs.google.com/spreadsheets/d/161aHT6vVT3SLneTKD19N5qVWtnj_jIT8CSsOmUVKmaA/ed"&amp;"it?gid=1761053510"",
          ""Haris_Form responses 1!$AQ:$AQ"")=4)
      ),
      1
    ),
    ""0""
  ),
  ""Form not found""
)
"),"Form not found")</f>
        <v>Form not found</v>
      </c>
      <c r="BB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 *
        (IMPORTRANGE(""https://docs.google.com/spreadsheets/d/161aHT6vVT3SLneTKD19N5qVWtnj_jIT8CSsOmUVKmaA/ed"&amp;"it?gid=1761053510"",
          ""Haris_Form responses 1!$AQ:$AQ"")=5)
      ),
      1
    ),
    ""0""
  ),
  ""Form not found""
)
"),"Form not found")</f>
        <v>Form not found</v>
      </c>
      <c r="BC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 *
        (IMPORTRANGE(""https://docs.google.com/spreadsheets/d/161aHT6vVT3SLneTKD19N5qVWtnj_jIT8CSsOmUVKmaA/ed"&amp;"it?gid=1761053510"",
          ""Haris_Form responses 1!$AQ:$AQ"")=6)
      ),
      1
    ),
    ""0""
  ),
  ""Form not found""
)
"),"Form not found")</f>
        <v>Form not found</v>
      </c>
      <c r="BD30" s="293"/>
    </row>
    <row r="31">
      <c r="A31" s="283" t="str">
        <f>IFERROR(__xludf.DUMMYFUNCTION("VLOOKUP($B31,IMPORTRANGE(""https://docs.google.com/spreadsheets/d/1VNXDITjs75AcgdBSW27oL1VZH31udDprJSsBcE5xlp4/edit?gid=1551188038#gid=1551188038"", ""Sheet9!$B:$E""),2,false)"),"Lahore")</f>
        <v>Lahore</v>
      </c>
      <c r="B31" s="283" t="s">
        <v>4518</v>
      </c>
      <c r="C31" s="284" t="str">
        <f>IFERROR(__xludf.DUMMYFUNCTION("VLOOKUP(TRIM($B31), IMPORTRANGE(""https://docs.google.com/spreadsheets/d/1aSOrU4PTpuBZqfitKaH1Rfww6-YOiNCKoBpPl8XBHaw/edit?gid=0#gid=0"", ""sheet3!$B:$C""), 2, FALSE)
"),"Jamia Mosjid Noorani Qasaban Wali")</f>
        <v>Jamia Mosjid Noorani Qasaban Wali</v>
      </c>
      <c r="D31" s="284" t="str">
        <f>IFERROR(__xludf.DUMMYFUNCTION("IFERROR(
  INDEX(
    FILTER(
      IMPORTRANGE(""1aSOrU4PTpuBZqfitKaH1Rfww6-YOiNCKoBpPl8XBHaw/edit?gid=0#gid=0"",""Sheet1!G:G""),
      IMPORTRANGE(""1aSOrU4PTpuBZqfitKaH1Rfww6-YOiNCKoBpPl8XBHaw/edit?gid=0#gid=0"",""Sheet1!C:C"")=$B31
    ),
    1
  ),
 "&amp;" ""Not Found""
)"),"Women Religious Info Share")</f>
        <v>Women Religious Info Share</v>
      </c>
      <c r="E31" s="284" t="str">
        <f>VLOOKUP(B31,'Juma Recording forms'!A:E,5,false)</f>
        <v>Noorani jamia masjid</v>
      </c>
      <c r="F31" s="284" t="str">
        <f>IFERROR(__xludf.DUMMYFUNCTION("IFERROR(
  INDEX(
    FILTER(
      IMPORTRANGE(""1Cxrhp3-_-HS7v9uuqQliiIfrmMP4VaFoDNDWyUFy2J8/edit?gid=0#gid=0"",""Sheet1!Q:Q""),
      IMPORTRANGE(""1Cxrhp3-_-HS7v9uuqQliiIfrmMP4VaFoDNDWyUFy2J8/edit?gid=0#gid=0"",""Sheet1!K:K"")=$B31
    ),
    1
  ),
 "&amp;" ""Not Found""
)"),"Qari Zulfiqar ")</f>
        <v>Qari Zulfiqar </v>
      </c>
      <c r="G31" s="284">
        <v>1957.0</v>
      </c>
      <c r="H31" s="284"/>
      <c r="I31" s="285"/>
      <c r="J31" s="286">
        <v>2.0</v>
      </c>
      <c r="K31" s="287" t="str">
        <f>VLOOKUP($B31,'Mosque Locations'!$A:$E,3,FALSE)
</f>
        <v>https://maps.google.com/maps?q=31.5499248%2C74.3756515&amp;z=17&amp;hl=en</v>
      </c>
      <c r="L31" s="286">
        <f>VLOOKUP($B31,'Mosque Locations'!$A:$E,4,FALSE)
</f>
        <v>31.54992</v>
      </c>
      <c r="M31" s="286">
        <f>VLOOKUP($B31,'Mosque Locations'!$A:$E,5,false)</f>
        <v>74.37565</v>
      </c>
      <c r="N31" s="288"/>
      <c r="O31" s="288"/>
      <c r="P31" s="288"/>
      <c r="Q31" s="290" t="str">
        <f>IFERROR(__xludf.DUMMYFUNCTION("IFERROR(
  INDEX(
    FILTER(
      IMPORTRANGE(""1DccNxjBgurEr0ABkI_rBagJT5phB5HaHG5N_mTm_BiA"",""Form Responses 1!T:T""),
      TRIM(IMPORTRANGE(""1DccNxjBgurEr0ABkI_rBagJT5phB5HaHG5N_mTm_BiA"",""Form Responses 1!E:E""))=TRIM($B31)
    ),
    1
  ),
  "&amp;"""Not Found""
)
"),"https://drive.google.com/open?id=1uK5cfAmapH9y3qz_xwxMHPuJzk0B7owb")</f>
        <v>https://drive.google.com/open?id=1uK5cfAmapH9y3qz_xwxMHPuJzk0B7owb</v>
      </c>
      <c r="R31" s="290" t="str">
        <f>IFERROR(__xludf.DUMMYFUNCTION("IFERROR(
  INDEX(
    FILTER(
      IMPORTRANGE(""1DccNxjBgurEr0ABkI_rBagJT5phB5HaHG5N_mTm_BiA"",""Form Responses 1!S:S""),
      TRIM(IMPORTRANGE(""1DccNxjBgurEr0ABkI_rBagJT5phB5HaHG5N_mTm_BiA"",""Form Responses 1!E:E""))=TRIM($B31)
    ),
    1
  ),
  "&amp;"""Not Found""
)
"),"https://drive.google.com/open?id=1t28c_QM80AEFd4lDriCXH7vdGLm7V1BF")</f>
        <v>https://drive.google.com/open?id=1t28c_QM80AEFd4lDriCXH7vdGLm7V1BF</v>
      </c>
      <c r="S31" s="285"/>
      <c r="T31" s="290" t="str">
        <f>VLOOKUP($B31,'Master Tracker'!$D:$E,2,false)</f>
        <v>https://drive.google.com/open?id=1sA0rzef59Gh1VSSQg0mKdH6vFXEg5Ixs</v>
      </c>
      <c r="U31" s="291" t="str">
        <f>VLOOKUP($B31,'Master Tracker'!$D:$T,4,FALSE)
</f>
        <v>https://drive.google.com/open?id=1yBi7ylRGYnl20fRBdN1yj33AfLL3fUc9</v>
      </c>
      <c r="V31" s="290" t="str">
        <f>VLOOKUP($B31,'Master Tracker'!$D:$T,5,false)</f>
        <v>https://drive.google.com/open?id=1SVcV4e9R2f6o0MtoDuY6E8rEF17q8VyH</v>
      </c>
      <c r="W31" s="291" t="str">
        <f>VLOOKUP($B31,'Master Tracker'!$D:$T,7,false)</f>
        <v>https://drive.google.com/open?id=1KXcnbLoieVN-GfhWDn5zdBZnogTt4HS3</v>
      </c>
      <c r="X31" s="290" t="str">
        <f>VLOOKUP($B31,'Master Tracker'!$D:$T,8,false)</f>
        <v>https://drive.google.com/open?id=1fKV3SMdp5FxSn84-kTa7U7k4DqLXH7Dy</v>
      </c>
      <c r="Y31" s="291" t="str">
        <f>VLOOKUP($B31,'Master Tracker'!$D:$T,10,false)</f>
        <v>https://drive.google.com/open?id=1asVtJ8kD-9mckkgasbHxECSg-zWlddPL</v>
      </c>
      <c r="Z31" s="284" t="str">
        <f>VLOOKUP($B31,'Master Tracker'!$D:$T,11,false)</f>
        <v>Not Found</v>
      </c>
      <c r="AA31" s="292" t="str">
        <f>VLOOKUP($B31,'Master Tracker'!$D:$T,13,false)</f>
        <v>Not Found</v>
      </c>
      <c r="AB31" s="284" t="str">
        <f>VLOOKUP($B31,'Master Tracker'!$D:$T,14,false)</f>
        <v>Not Found</v>
      </c>
      <c r="AC31" s="292" t="str">
        <f>VLOOKUP($B31,'Master Tracker'!$D:$T,16,false)</f>
        <v>Not Found</v>
      </c>
      <c r="AD31" s="292" t="str">
        <f>VLOOKUP($B31,'Master Tracker'!$D:$T,17,false)</f>
        <v>Not Found</v>
      </c>
      <c r="AE31" s="292" t="str">
        <f>VLOOKUP($B31,'Master Tracker'!$D:$V,19,false)</f>
        <v>Not Found</v>
      </c>
      <c r="AF31" s="292">
        <f>IFERROR(__xludf.DUMMYFUNCTION("IFERROR(
  INDEX(
    FILTER(
      'Juma Recording forms'!$G:$G,
      TRIM('Juma Recording forms'!$F:$F) = TRIM($B31),
      'Juma Recording forms'!$AA:$AA = 1
    ),
    1
  ),
  ""Not Found""
)"),466.0)</f>
        <v>466</v>
      </c>
      <c r="AG31" s="292">
        <f>IFERROR(__xludf.DUMMYFUNCTION("IFERROR(
  INDEX(
    FILTER(
      'Juma Recording forms'!$G:$G,
      TRIM('Juma Recording forms'!$F:$F) = TRIM($B31),
      'Juma Recording forms'!$AA:$AA = 2
    ),
    1
  ),
  ""Not Found""
)"),430.0)</f>
        <v>430</v>
      </c>
      <c r="AH31" s="292">
        <f>IFERROR(__xludf.DUMMYFUNCTION("IFERROR(
  INDEX(
    FILTER(
      'Juma Recording forms'!$G:$G,
      TRIM('Juma Recording forms'!$F:$F) = TRIM($B31),
      'Juma Recording forms'!$AA:$AA = 3
    ),
    1
  ),
  ""Not Found""
)"),470.0)</f>
        <v>470</v>
      </c>
      <c r="AI31" s="292" t="str">
        <f>IFERROR(__xludf.DUMMYFUNCTION("IFERROR(
  INDEX(
    FILTER(
      'Juma Recording forms'!$G:$G,
      TRIM('Juma Recording forms'!$F:$F) = TRIM($B31),
      'Juma Recording forms'!$AA:$AA = 4
    ),
    1
  ),
  ""Not Found""
)"),"Not Found")</f>
        <v>Not Found</v>
      </c>
      <c r="AJ31" s="292" t="str">
        <f>IFERROR(__xludf.DUMMYFUNCTION("IFERROR(
  INDEX(
    FILTER(
      'Juma Recording forms'!$G:$G,
      TRIM('Juma Recording forms'!$F:$F) = TRIM($B31),
      'Juma Recording forms'!$AA:$AA = 5
    ),
    1
  ),
  ""Not Found""
)"),"Not Found")</f>
        <v>Not Found</v>
      </c>
      <c r="AK31" s="292" t="str">
        <f>IFERROR(__xludf.DUMMYFUNCTION("IFERROR(
  INDEX(
    FILTER(
      'Juma Recording forms'!$G:$G,
      TRIM('Juma Recording forms'!$F:$F) = TRIM($B31),
      'Juma Recording forms'!$AA:$AA = 6
    ),
    1
  ),
  ""Not Found""
)"),"Not Found")</f>
        <v>Not Found</v>
      </c>
      <c r="AL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 *
        (IMPORTRANGE(""https://docs.google.com/spreadsheets/d/161aHT6vVT3SLneTKD19N5qVWtnj_jIT8CSsOmUVKmaA/ed"&amp;"it?gid=1761053510"",
          ""Haris_Form responses 1!$AQ:$AQ"")=1)
      ),
      1
    ),
    ""0""
  ),
  ""Form not found""
)
"),"10")</f>
        <v>10</v>
      </c>
      <c r="AM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 *
        (IMPORTRANGE(""https://docs.google.com/spreadsheets/d/161aHT6vVT3SLneTKD19N5qVWtnj_jIT8CSsOmUVKmaA/ed"&amp;"it?gid=1761053510"",
          ""Haris_Form responses 1!$AQ:$AQ"")=2)
      ),
      1
    ),
    ""0""
  ),
  ""Form not found""
)
"),"10")</f>
        <v>10</v>
      </c>
      <c r="AN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 *
        (IMPORTRANGE(""https://docs.google.com/spreadsheets/d/161aHT6vVT3SLneTKD19N5qVWtnj_jIT8CSsOmUVKmaA/ed"&amp;"it?gid=1761053510"",
          ""Haris_Form responses 1!$AQ:$AQ"")=3)
      ),
      1
    ),
    ""0""
  ),
  ""Form not found""
)
"),"0")</f>
        <v>0</v>
      </c>
      <c r="AO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 *
        (IMPORTRANGE(""https://docs.google.com/spreadsheets/d/161aHT6vVT3SLneTKD19N5qVWtnj_jIT8CSsOmUVKmaA/ed"&amp;"it?gid=1761053510"",
          ""Haris_Form responses 1!$AQ:$AQ"")=4)
      ),
      1
    ),
    ""0""
  ),
  ""Form not found""
)
"),"Form not found")</f>
        <v>Form not found</v>
      </c>
      <c r="AP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 *
        (IMPORTRANGE(""https://docs.google.com/spreadsheets/d/161aHT6vVT3SLneTKD19N5qVWtnj_jIT8CSsOmUVKmaA/ed"&amp;"it?gid=1761053510"",
          ""Haris_Form responses 1!$AQ:$AQ"")=5)
      ),
      1
    ),
    ""0""
  ),
  ""Form not found""
)
"),"Form not found")</f>
        <v>Form not found</v>
      </c>
      <c r="AQ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 *
        (IMPORTRANGE(""https://docs.google.com/spreadsheets/d/161aHT6vVT3SLneTKD19N5qVWtnj_jIT8CSsOmUVKmaA/ed"&amp;"it?gid=1761053510"",
          ""Haris_Form responses 1!$AQ:$AQ"")=6)
      ),
      1
    ),
    ""0""
  ),
  ""Form not found""
)
"),"Form not found")</f>
        <v>Form not found</v>
      </c>
      <c r="AR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 *
        (IMPORTRANGE(""https://docs.google.com/spreadsheets/d/161aHT6vVT3SLneTKD19N5qVWtnj_jIT8CSsOmUVKmaA/ed"&amp;"it?gid=1761053510"",
          ""Haris_Form responses 1!$AQ:$AQ"")=1)
      ),
      1
    ),
    ""0""
  ),
  ""Form not found""
)
"),"0")</f>
        <v>0</v>
      </c>
      <c r="AS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 *
        (IMPORTRANGE(""https://docs.google.com/spreadsheets/d/161aHT6vVT3SLneTKD19N5qVWtnj_jIT8CSsOmUVKmaA/ed"&amp;"it?gid=1761053510"",
          ""Haris_Form responses 1!$AQ:$AQ"")=2)
      ),
      1
    ),
    ""0""
  ),
  ""Form not found""
)
"),"0")</f>
        <v>0</v>
      </c>
      <c r="AT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 *
        (IMPORTRANGE(""https://docs.google.com/spreadsheets/d/161aHT6vVT3SLneTKD19N5qVWtnj_jIT8CSsOmUVKmaA/ed"&amp;"it?gid=1761053510"",
          ""Haris_Form responses 1!$AQ:$AQ"")=3)
      ),
      1
    ),
    ""0""
  ),
  ""Form not found""
)
"),"0")</f>
        <v>0</v>
      </c>
      <c r="AU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 *
        (IMPORTRANGE(""https://docs.google.com/spreadsheets/d/161aHT6vVT3SLneTKD19N5qVWtnj_jIT8CSsOmUVKmaA/ed"&amp;"it?gid=1761053510"",
          ""Haris_Form responses 1!$AQ:$AQ"")=4)
      ),
      1
    ),
    ""0""
  ),
  ""Form not found""
)
"),"Form not found")</f>
        <v>Form not found</v>
      </c>
      <c r="AV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 *
        (IMPORTRANGE(""https://docs.google.com/spreadsheets/d/161aHT6vVT3SLneTKD19N5qVWtnj_jIT8CSsOmUVKmaA/ed"&amp;"it?gid=1761053510"",
          ""Haris_Form responses 1!$AQ:$AQ"")=5)
      ),
      1
    ),
    ""0""
  ),
  ""Form not found""
)
"),"Form not found")</f>
        <v>Form not found</v>
      </c>
      <c r="AW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 *
        (IMPORTRANGE(""https://docs.google.com/spreadsheets/d/161aHT6vVT3SLneTKD19N5qVWtnj_jIT8CSsOmUVKmaA/ed"&amp;"it?gid=1761053510"",
          ""Haris_Form responses 1!$AQ:$AQ"")=6)
      ),
      1
    ),
    ""0""
  ),
  ""Form not found""
)
"),"Form not found")</f>
        <v>Form not found</v>
      </c>
      <c r="AX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 *
        (IMPORTRANGE(""https://docs.google.com/spreadsheets/d/161aHT6vVT3SLneTKD19N5qVWtnj_jIT8CSsOmUVKmaA/ed"&amp;"it?gid=1761053510"",
          ""Haris_Form responses 1!$AQ:$AQ"")=1)
      ),
      1
    ),
    ""0""
  ),
  ""Form not found""
)
"),"10")</f>
        <v>10</v>
      </c>
      <c r="AY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 *
        (IMPORTRANGE(""https://docs.google.com/spreadsheets/d/161aHT6vVT3SLneTKD19N5qVWtnj_jIT8CSsOmUVKmaA/ed"&amp;"it?gid=1761053510"",
          ""Haris_Form responses 1!$AQ:$AQ"")=2)
      ),
      1
    ),
    ""0""
  ),
  ""Form not found""
)
"),"10")</f>
        <v>10</v>
      </c>
      <c r="AZ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 *
        (IMPORTRANGE(""https://docs.google.com/spreadsheets/d/161aHT6vVT3SLneTKD19N5qVWtnj_jIT8CSsOmUVKmaA/ed"&amp;"it?gid=1761053510"",
          ""Haris_Form responses 1!$AQ:$AQ"")=3)
      ),
      1
    ),
    ""0""
  ),
  ""Form not found""
)
"),"0")</f>
        <v>0</v>
      </c>
      <c r="BA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 *
        (IMPORTRANGE(""https://docs.google.com/spreadsheets/d/161aHT6vVT3SLneTKD19N5qVWtnj_jIT8CSsOmUVKmaA/ed"&amp;"it?gid=1761053510"",
          ""Haris_Form responses 1!$AQ:$AQ"")=4)
      ),
      1
    ),
    ""0""
  ),
  ""Form not found""
)
"),"Form not found")</f>
        <v>Form not found</v>
      </c>
      <c r="BB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 *
        (IMPORTRANGE(""https://docs.google.com/spreadsheets/d/161aHT6vVT3SLneTKD19N5qVWtnj_jIT8CSsOmUVKmaA/ed"&amp;"it?gid=1761053510"",
          ""Haris_Form responses 1!$AQ:$AQ"")=5)
      ),
      1
    ),
    ""0""
  ),
  ""Form not found""
)
"),"Form not found")</f>
        <v>Form not found</v>
      </c>
      <c r="BC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 *
        (IMPORTRANGE(""https://docs.google.com/spreadsheets/d/161aHT6vVT3SLneTKD19N5qVWtnj_jIT8CSsOmUVKmaA/ed"&amp;"it?gid=1761053510"",
          ""Haris_Form responses 1!$AQ:$AQ"")=6)
      ),
      1
    ),
    ""0""
  ),
  ""Form not found""
)
"),"Form not found")</f>
        <v>Form not found</v>
      </c>
      <c r="BD31" s="293"/>
    </row>
    <row r="32">
      <c r="A32" s="283" t="str">
        <f>IFERROR(__xludf.DUMMYFUNCTION("VLOOKUP($B32,IMPORTRANGE(""https://docs.google.com/spreadsheets/d/1VNXDITjs75AcgdBSW27oL1VZH31udDprJSsBcE5xlp4/edit?gid=1551188038#gid=1551188038"", ""Sheet9!$B:$E""),2,false)"),"Lahore")</f>
        <v>Lahore</v>
      </c>
      <c r="B32" s="283" t="s">
        <v>1541</v>
      </c>
      <c r="C32" s="284" t="str">
        <f>IFERROR(__xludf.DUMMYFUNCTION("VLOOKUP(TRIM($B32), IMPORTRANGE(""https://docs.google.com/spreadsheets/d/1aSOrU4PTpuBZqfitKaH1Rfww6-YOiNCKoBpPl8XBHaw/edit?gid=0#gid=0"", ""sheet3!$B:$C""), 2, FALSE)
"),"Jamia Masjid Hanifya Ghosia Scheme # 2 Lahore")</f>
        <v>Jamia Masjid Hanifya Ghosia Scheme # 2 Lahore</v>
      </c>
      <c r="D32" s="284" t="str">
        <f>IFERROR(__xludf.DUMMYFUNCTION("IFERROR(
  INDEX(
    FILTER(
      IMPORTRANGE(""1aSOrU4PTpuBZqfitKaH1Rfww6-YOiNCKoBpPl8XBHaw/edit?gid=0#gid=0"",""Sheet1!G:G""),
      IMPORTRANGE(""1aSOrU4PTpuBZqfitKaH1Rfww6-YOiNCKoBpPl8XBHaw/edit?gid=0#gid=0"",""Sheet1!C:C"")=$B32
    ),
    1
  ),
 "&amp;" ""Not Found""
)"),"Community Secular No Info Share")</f>
        <v>Community Secular No Info Share</v>
      </c>
      <c r="E32" s="284" t="str">
        <f>VLOOKUP(B32,'Juma Recording forms'!A:E,5,false)</f>
        <v>Jamia Masjid Hanfiya Ghosia Scheme 2 Lahore</v>
      </c>
      <c r="F32" s="284" t="str">
        <f>IFERROR(__xludf.DUMMYFUNCTION("IFERROR(
  INDEX(
    FILTER(
      IMPORTRANGE(""1Cxrhp3-_-HS7v9uuqQliiIfrmMP4VaFoDNDWyUFy2J8/edit?gid=0#gid=0"",""Sheet1!Q:Q""),
      IMPORTRANGE(""1Cxrhp3-_-HS7v9uuqQliiIfrmMP4VaFoDNDWyUFy2J8/edit?gid=0#gid=0"",""Sheet1!K:K"")=$B32
    ),
    1
  ),
 "&amp;" ""Not Found""
)"),"Qari mufti Muhammad imran")</f>
        <v>Qari mufti Muhammad imran</v>
      </c>
      <c r="G32" s="284">
        <v>1995.0</v>
      </c>
      <c r="H32" s="284"/>
      <c r="I32" s="285"/>
      <c r="J32" s="286">
        <v>2.0</v>
      </c>
      <c r="K32" s="287" t="str">
        <f>VLOOKUP($B32,'Mosque Locations'!$A:$E,3,FALSE)
</f>
        <v>https://maps.google.com/maps?q=31.5883979%2C74.3940933&amp;z=17&amp;hl=en</v>
      </c>
      <c r="L32" s="286">
        <f>VLOOKUP($B32,'Mosque Locations'!$A:$E,4,FALSE)
</f>
        <v>31.5884</v>
      </c>
      <c r="M32" s="286">
        <f>VLOOKUP($B32,'Mosque Locations'!$A:$E,5,false)</f>
        <v>74.39409</v>
      </c>
      <c r="N32" s="288"/>
      <c r="O32" s="288"/>
      <c r="P32" s="288"/>
      <c r="Q32" s="289" t="str">
        <f>IFERROR(__xludf.DUMMYFUNCTION("IFERROR(
  INDEX(
    FILTER(
      IMPORTRANGE(""1DccNxjBgurEr0ABkI_rBagJT5phB5HaHG5N_mTm_BiA"",""Form Responses 1!T:T""),
      TRIM(IMPORTRANGE(""1DccNxjBgurEr0ABkI_rBagJT5phB5HaHG5N_mTm_BiA"",""Form Responses 1!E:E""))=TRIM($B32)
    ),
    1
  ),
  "&amp;"""Not Found""
)
"),"https://drive.google.com/open?id=1hwExPMXfydUM6QbRn4LkWtXUX25WHulQ")</f>
        <v>https://drive.google.com/open?id=1hwExPMXfydUM6QbRn4LkWtXUX25WHulQ</v>
      </c>
      <c r="R32" s="289" t="str">
        <f>IFERROR(__xludf.DUMMYFUNCTION("IFERROR(
  INDEX(
    FILTER(
      IMPORTRANGE(""1DccNxjBgurEr0ABkI_rBagJT5phB5HaHG5N_mTm_BiA"",""Form Responses 1!S:S""),
      TRIM(IMPORTRANGE(""1DccNxjBgurEr0ABkI_rBagJT5phB5HaHG5N_mTm_BiA"",""Form Responses 1!E:E""))=TRIM($B32)
    ),
    1
  ),
  "&amp;"""Not Found""
)
"),"https://drive.google.com/open?id=1-2QpoEeJL5e_V0oLaThQKGFWREeeY5B3")</f>
        <v>https://drive.google.com/open?id=1-2QpoEeJL5e_V0oLaThQKGFWREeeY5B3</v>
      </c>
      <c r="S32" s="285"/>
      <c r="T32" s="290" t="str">
        <f>VLOOKUP($B32,'Master Tracker'!$D:$E,2,false)</f>
        <v>https://drive.google.com/open?id=10ekFBlqlvCwt-hJG1XhzTtrZ9QtL3NsA</v>
      </c>
      <c r="U32" s="291" t="str">
        <f>VLOOKUP($B32,'Master Tracker'!$D:$T,4,FALSE)
</f>
        <v>https://drive.google.com/open?id=1es3OoYKVAlj5tLPXgcOC8Bo6ioM0JV82</v>
      </c>
      <c r="V32" s="290" t="str">
        <f>VLOOKUP($B32,'Master Tracker'!$D:$T,5,false)</f>
        <v>https://drive.google.com/open?id=1RPbf1bZ7_VzntBnTXLC1vw9NFRnrkVIJ</v>
      </c>
      <c r="W32" s="291" t="str">
        <f>VLOOKUP($B32,'Master Tracker'!$D:$T,7,false)</f>
        <v>https://drive.google.com/open?id=1LTlvonKkPHsed0PG2_OIzYBU0wYHYx1n</v>
      </c>
      <c r="X32" s="290" t="str">
        <f>VLOOKUP($B32,'Master Tracker'!$D:$T,8,false)</f>
        <v>https://drive.google.com/open?id=1r8QJykvHA7s_VKJr8kPOGLw7gxL-6cs5</v>
      </c>
      <c r="Y32" s="291" t="str">
        <f>VLOOKUP($B32,'Master Tracker'!$D:$T,10,false)</f>
        <v>https://drive.google.com/open?id=1II6ttXBLGbckOP1XBXmDGo34jZFVe48V</v>
      </c>
      <c r="Z32" s="290" t="str">
        <f>VLOOKUP($B32,'Master Tracker'!$D:$T,11,false)</f>
        <v>https://drive.google.com/open?id=1A7Z68n4hVUhrDPejiGR58Nfffn2Pe5ar</v>
      </c>
      <c r="AA32" s="291" t="str">
        <f>VLOOKUP($B32,'Master Tracker'!$D:$T,13,false)</f>
        <v>https://drive.google.com/open?id=1tM75_FduDOfZMzEK2Qcszmyb8otSTSRD</v>
      </c>
      <c r="AB32" s="284" t="str">
        <f>VLOOKUP($B32,'Master Tracker'!$D:$T,14,false)</f>
        <v>Not Found</v>
      </c>
      <c r="AC32" s="292" t="str">
        <f>VLOOKUP($B32,'Master Tracker'!$D:$T,16,false)</f>
        <v>Not Found</v>
      </c>
      <c r="AD32" s="292" t="str">
        <f>VLOOKUP($B32,'Master Tracker'!$D:$T,17,false)</f>
        <v>Not Found</v>
      </c>
      <c r="AE32" s="292" t="str">
        <f>VLOOKUP($B32,'Master Tracker'!$D:$V,19,false)</f>
        <v>Not Found</v>
      </c>
      <c r="AF32" s="292">
        <f>IFERROR(__xludf.DUMMYFUNCTION("IFERROR(
  INDEX(
    FILTER(
      'Juma Recording forms'!$G:$G,
      TRIM('Juma Recording forms'!$F:$F) = TRIM($B32),
      'Juma Recording forms'!$AA:$AA = 1
    ),
    1
  ),
  ""Not Found""
)"),665.0)</f>
        <v>665</v>
      </c>
      <c r="AG32" s="292">
        <f>IFERROR(__xludf.DUMMYFUNCTION("IFERROR(
  INDEX(
    FILTER(
      'Juma Recording forms'!$G:$G,
      TRIM('Juma Recording forms'!$F:$F) = TRIM($B32),
      'Juma Recording forms'!$AA:$AA = 2
    ),
    1
  ),
  ""Not Found""
)"),680.0)</f>
        <v>680</v>
      </c>
      <c r="AH32" s="292">
        <f>IFERROR(__xludf.DUMMYFUNCTION("IFERROR(
  INDEX(
    FILTER(
      'Juma Recording forms'!$G:$G,
      TRIM('Juma Recording forms'!$F:$F) = TRIM($B32),
      'Juma Recording forms'!$AA:$AA = 3
    ),
    1
  ),
  ""Not Found""
)"),645.0)</f>
        <v>645</v>
      </c>
      <c r="AI32" s="292">
        <f>IFERROR(__xludf.DUMMYFUNCTION("IFERROR(
  INDEX(
    FILTER(
      'Juma Recording forms'!$G:$G,
      TRIM('Juma Recording forms'!$F:$F) = TRIM($B32),
      'Juma Recording forms'!$AA:$AA = 4
    ),
    1
  ),
  ""Not Found""
)"),610.0)</f>
        <v>610</v>
      </c>
      <c r="AJ32" s="292" t="str">
        <f>IFERROR(__xludf.DUMMYFUNCTION("IFERROR(
  INDEX(
    FILTER(
      'Juma Recording forms'!$G:$G,
      TRIM('Juma Recording forms'!$F:$F) = TRIM($B32),
      'Juma Recording forms'!$AA:$AA = 5
    ),
    1
  ),
  ""Not Found""
)"),"Not Found")</f>
        <v>Not Found</v>
      </c>
      <c r="AK32" s="292" t="str">
        <f>IFERROR(__xludf.DUMMYFUNCTION("IFERROR(
  INDEX(
    FILTER(
      'Juma Recording forms'!$G:$G,
      TRIM('Juma Recording forms'!$F:$F) = TRIM($B32),
      'Juma Recording forms'!$AA:$AA = 6
    ),
    1
  ),
  ""Not Found""
)"),"Not Found")</f>
        <v>Not Found</v>
      </c>
      <c r="AL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1!$E:$E"")=$B32) *
        (IMPORTRANGE(""https://docs.google.com/spreadsheets/d/161aHT6vVT3SLneTKD19N5qVWtnj_jIT8CSsOmUVKmaA/ed"&amp;"it?gid=1761053510"",
          ""Haris_Form responses 1!$AQ:$AQ"")=1)
      ),
      1
    ),
    ""0""
  ),
  ""Form not found""
)
"),"0")</f>
        <v>0</v>
      </c>
      <c r="AM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1!$E:$E"")=$B32) *
        (IMPORTRANGE(""https://docs.google.com/spreadsheets/d/161aHT6vVT3SLneTKD19N5qVWtnj_jIT8CSsOmUVKmaA/ed"&amp;"it?gid=1761053510"",
          ""Haris_Form responses 1!$AQ:$AQ"")=2)
      ),
      1
    ),
    ""0""
  ),
  ""Form not found""
)
"),"10")</f>
        <v>10</v>
      </c>
      <c r="AN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1!$E:$E"")=$B32) *
        (IMPORTRANGE(""https://docs.google.com/spreadsheets/d/161aHT6vVT3SLneTKD19N5qVWtnj_jIT8CSsOmUVKmaA/ed"&amp;"it?gid=1761053510"",
          ""Haris_Form responses 1!$AQ:$AQ"")=3)
      ),
      1
    ),
    ""0""
  ),
  ""Form not found""
)
"),"0")</f>
        <v>0</v>
      </c>
      <c r="AO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1!$E:$E"")=$B32) *
        (IMPORTRANGE(""https://docs.google.com/spreadsheets/d/161aHT6vVT3SLneTKD19N5qVWtnj_jIT8CSsOmUVKmaA/ed"&amp;"it?gid=1761053510"",
          ""Haris_Form responses 1!$AQ:$AQ"")=4)
      ),
      1
    ),
    ""0""
  ),
  ""Form not found""
)
"),"0")</f>
        <v>0</v>
      </c>
      <c r="AP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1!$E:$E"")=$B32) *
        (IMPORTRANGE(""https://docs.google.com/spreadsheets/d/161aHT6vVT3SLneTKD19N5qVWtnj_jIT8CSsOmUVKmaA/ed"&amp;"it?gid=1761053510"",
          ""Haris_Form responses 1!$AQ:$AQ"")=5)
      ),
      1
    ),
    ""0""
  ),
  ""Form not found""
)
"),"Form not found")</f>
        <v>Form not found</v>
      </c>
      <c r="AQ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1!$E:$E"")=$B32) *
        (IMPORTRANGE(""https://docs.google.com/spreadsheets/d/161aHT6vVT3SLneTKD19N5qVWtnj_jIT8CSsOmUVKmaA/ed"&amp;"it?gid=1761053510"",
          ""Haris_Form responses 1!$AQ:$AQ"")=6)
      ),
      1
    ),
    ""0""
  ),
  ""Form not found""
)
"),"Form not found")</f>
        <v>Form not found</v>
      </c>
      <c r="AR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1!$E:$E"")=$B32) *
        (IMPORTRANGE(""https://docs.google.com/spreadsheets/d/161aHT6vVT3SLneTKD19N5qVWtnj_jIT8CSsOmUVKmaA/ed"&amp;"it?gid=1761053510"",
          ""Haris_Form responses 1!$AQ:$AQ"")=1)
      ),
      1
    ),
    ""0""
  ),
  ""Form not found""
)
"),"0")</f>
        <v>0</v>
      </c>
      <c r="AS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1!$E:$E"")=$B32) *
        (IMPORTRANGE(""https://docs.google.com/spreadsheets/d/161aHT6vVT3SLneTKD19N5qVWtnj_jIT8CSsOmUVKmaA/ed"&amp;"it?gid=1761053510"",
          ""Haris_Form responses 1!$AQ:$AQ"")=2)
      ),
      1
    ),
    ""0""
  ),
  ""Form not found""
)
"),"10")</f>
        <v>10</v>
      </c>
      <c r="AT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1!$E:$E"")=$B32) *
        (IMPORTRANGE(""https://docs.google.com/spreadsheets/d/161aHT6vVT3SLneTKD19N5qVWtnj_jIT8CSsOmUVKmaA/ed"&amp;"it?gid=1761053510"",
          ""Haris_Form responses 1!$AQ:$AQ"")=3)
      ),
      1
    ),
    ""0""
  ),
  ""Form not found""
)
"),"0")</f>
        <v>0</v>
      </c>
      <c r="AU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1!$E:$E"")=$B32) *
        (IMPORTRANGE(""https://docs.google.com/spreadsheets/d/161aHT6vVT3SLneTKD19N5qVWtnj_jIT8CSsOmUVKmaA/ed"&amp;"it?gid=1761053510"",
          ""Haris_Form responses 1!$AQ:$AQ"")=4)
      ),
      1
    ),
    ""0""
  ),
  ""Form not found""
)
"),"0")</f>
        <v>0</v>
      </c>
      <c r="AV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1!$E:$E"")=$B32) *
        (IMPORTRANGE(""https://docs.google.com/spreadsheets/d/161aHT6vVT3SLneTKD19N5qVWtnj_jIT8CSsOmUVKmaA/ed"&amp;"it?gid=1761053510"",
          ""Haris_Form responses 1!$AQ:$AQ"")=5)
      ),
      1
    ),
    ""0""
  ),
  ""Form not found""
)
"),"Form not found")</f>
        <v>Form not found</v>
      </c>
      <c r="AW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1!$E:$E"")=$B32) *
        (IMPORTRANGE(""https://docs.google.com/spreadsheets/d/161aHT6vVT3SLneTKD19N5qVWtnj_jIT8CSsOmUVKmaA/ed"&amp;"it?gid=1761053510"",
          ""Haris_Form responses 1!$AQ:$AQ"")=6)
      ),
      1
    ),
    ""0""
  ),
  ""Form not found""
)
"),"Form not found")</f>
        <v>Form not found</v>
      </c>
      <c r="AX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1!$E:$E"")=$B32) *
        (IMPORTRANGE(""https://docs.google.com/spreadsheets/d/161aHT6vVT3SLneTKD19N5qVWtnj_jIT8CSsOmUVKmaA/ed"&amp;"it?gid=1761053510"",
          ""Haris_Form responses 1!$AQ:$AQ"")=1)
      ),
      1
    ),
    ""0""
  ),
  ""Form not found""
)
"),"0")</f>
        <v>0</v>
      </c>
      <c r="AY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1!$E:$E"")=$B32) *
        (IMPORTRANGE(""https://docs.google.com/spreadsheets/d/161aHT6vVT3SLneTKD19N5qVWtnj_jIT8CSsOmUVKmaA/ed"&amp;"it?gid=1761053510"",
          ""Haris_Form responses 1!$AQ:$AQ"")=2)
      ),
      1
    ),
    ""0""
  ),
  ""Form not found""
)
"),"0")</f>
        <v>0</v>
      </c>
      <c r="AZ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1!$E:$E"")=$B32) *
        (IMPORTRANGE(""https://docs.google.com/spreadsheets/d/161aHT6vVT3SLneTKD19N5qVWtnj_jIT8CSsOmUVKmaA/ed"&amp;"it?gid=1761053510"",
          ""Haris_Form responses 1!$AQ:$AQ"")=3)
      ),
      1
    ),
    ""0""
  ),
  ""Form not found""
)
"),"0")</f>
        <v>0</v>
      </c>
      <c r="BA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1!$E:$E"")=$B32) *
        (IMPORTRANGE(""https://docs.google.com/spreadsheets/d/161aHT6vVT3SLneTKD19N5qVWtnj_jIT8CSsOmUVKmaA/ed"&amp;"it?gid=1761053510"",
          ""Haris_Form responses 1!$AQ:$AQ"")=4)
      ),
      1
    ),
    ""0""
  ),
  ""Form not found""
)
"),"1")</f>
        <v>1</v>
      </c>
      <c r="BB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1!$E:$E"")=$B32) *
        (IMPORTRANGE(""https://docs.google.com/spreadsheets/d/161aHT6vVT3SLneTKD19N5qVWtnj_jIT8CSsOmUVKmaA/ed"&amp;"it?gid=1761053510"",
          ""Haris_Form responses 1!$AQ:$AQ"")=5)
      ),
      1
    ),
    ""0""
  ),
  ""Form not found""
)
"),"Form not found")</f>
        <v>Form not found</v>
      </c>
      <c r="BC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1!$E:$E"")=$B32) *
        (IMPORTRANGE(""https://docs.google.com/spreadsheets/d/161aHT6vVT3SLneTKD19N5qVWtnj_jIT8CSsOmUVKmaA/ed"&amp;"it?gid=1761053510"",
          ""Haris_Form responses 1!$AQ:$AQ"")=6)
      ),
      1
    ),
    ""0""
  ),
  ""Form not found""
)
"),"Form not found")</f>
        <v>Form not found</v>
      </c>
      <c r="BD32" s="293"/>
    </row>
    <row r="33">
      <c r="A33" s="283" t="str">
        <f>IFERROR(__xludf.DUMMYFUNCTION("VLOOKUP($B33,IMPORTRANGE(""https://docs.google.com/spreadsheets/d/1VNXDITjs75AcgdBSW27oL1VZH31udDprJSsBcE5xlp4/edit?gid=1551188038#gid=1551188038"", ""Sheet9!$B:$E""),2,false)"),"Lahore")</f>
        <v>Lahore</v>
      </c>
      <c r="B33" s="283" t="s">
        <v>1211</v>
      </c>
      <c r="C33" s="285" t="str">
        <f>IFERROR(__xludf.DUMMYFUNCTION("VLOOKUP(TRIM($B33), IMPORTRANGE(""https://docs.google.com/spreadsheets/d/1aSOrU4PTpuBZqfitKaH1Rfww6-YOiNCKoBpPl8XBHaw/edit?gid=0#gid=0"", ""sheet3!$B:$C""), 2, FALSE)
"),"Jamia Masjid Bedian Road Lahore")</f>
        <v>Jamia Masjid Bedian Road Lahore</v>
      </c>
      <c r="D33" s="284" t="str">
        <f>IFERROR(__xludf.DUMMYFUNCTION("IFERROR(
  INDEX(
    FILTER(
      IMPORTRANGE(""1aSOrU4PTpuBZqfitKaH1Rfww6-YOiNCKoBpPl8XBHaw/edit?gid=0#gid=0"",""Sheet1!G:G""),
      IMPORTRANGE(""1aSOrU4PTpuBZqfitKaH1Rfww6-YOiNCKoBpPl8XBHaw/edit?gid=0#gid=0"",""Sheet1!C:C"")=$B33
    ),
    1
  ),
 "&amp;" ""Not Found""
)"),"Community Secular Info Share")</f>
        <v>Community Secular Info Share</v>
      </c>
      <c r="E33" s="284" t="str">
        <f>VLOOKUP(B33,'Juma Recording forms'!A:E,5,false)</f>
        <v>جامع مسجد حنفیہ گلی نمبر 9 بیڈن روڈ لاہور </v>
      </c>
      <c r="F33" s="284" t="str">
        <f>IFERROR(__xludf.DUMMYFUNCTION("IFERROR(
  INDEX(
    FILTER(
      IMPORTRANGE(""1Cxrhp3-_-HS7v9uuqQliiIfrmMP4VaFoDNDWyUFy2J8/edit?gid=0#gid=0"",""Sheet1!Q:Q""),
      IMPORTRANGE(""1Cxrhp3-_-HS7v9uuqQliiIfrmMP4VaFoDNDWyUFy2J8/edit?gid=0#gid=0"",""Sheet1!K:K"")=$B33
    ),
    1
  ),
 "&amp;" ""Not Found""
)"),"Noor Muhammad Qadri")</f>
        <v>Noor Muhammad Qadri</v>
      </c>
      <c r="G33" s="284">
        <v>1965.0</v>
      </c>
      <c r="H33" s="284"/>
      <c r="I33" s="285"/>
      <c r="J33" s="286">
        <v>2.0</v>
      </c>
      <c r="K33" s="287" t="str">
        <f>VLOOKUP($B33,'Mosque Locations'!$A:$E,3,FALSE)
</f>
        <v>https://maps.app.goo.gl/5nuf3PNZkhGtgEDX7</v>
      </c>
      <c r="L33" s="286" t="str">
        <f>VLOOKUP($B33,'Mosque Locations'!$A:$E,4,FALSE)
</f>
        <v>31°33'49.5</v>
      </c>
      <c r="M33" s="286" t="str">
        <f>VLOOKUP($B33,'Mosque Locations'!$A:$E,5,false)</f>
        <v>74°19'19.1</v>
      </c>
      <c r="N33" s="288"/>
      <c r="O33" s="288"/>
      <c r="P33" s="288"/>
      <c r="Q33" s="294" t="str">
        <f>IFERROR(__xludf.DUMMYFUNCTION("IFERROR(
  INDEX(
    FILTER(
      IMPORTRANGE(""1DccNxjBgurEr0ABkI_rBagJT5phB5HaHG5N_mTm_BiA"",""Form Responses 1!T:T""),
      TRIM(IMPORTRANGE(""1DccNxjBgurEr0ABkI_rBagJT5phB5HaHG5N_mTm_BiA"",""Form Responses 1!E:E""))=TRIM($B33)
    ),
    1
  ),
  "&amp;"""Not Found""
)
"),"https://drive.google.com/open?id=1XpWpu-VL2Aw7U0QALrvjmTNV1Sxg1fCR, https://drive.google.com/open?id=1dkr122OOeVYCq16Ktbvlrp0haiO2-6C6, https://drive.google.com/open?id=1YVfTZwXjGwtwb6q5P0vbQC51R5vO6EgY")</f>
        <v>https://drive.google.com/open?id=1XpWpu-VL2Aw7U0QALrvjmTNV1Sxg1fCR, https://drive.google.com/open?id=1dkr122OOeVYCq16Ktbvlrp0haiO2-6C6, https://drive.google.com/open?id=1YVfTZwXjGwtwb6q5P0vbQC51R5vO6EgY</v>
      </c>
      <c r="R33" s="290" t="str">
        <f>IFERROR(__xludf.DUMMYFUNCTION("IFERROR(
  INDEX(
    FILTER(
      IMPORTRANGE(""1DccNxjBgurEr0ABkI_rBagJT5phB5HaHG5N_mTm_BiA"",""Form Responses 1!S:S""),
      TRIM(IMPORTRANGE(""1DccNxjBgurEr0ABkI_rBagJT5phB5HaHG5N_mTm_BiA"",""Form Responses 1!E:E""))=TRIM($B33)
    ),
    1
  ),
  "&amp;"""Not Found""
)
"),"https://drive.google.com/file/d/1lACen18TA9y0Ss173c9rxbwesbrW9d3n/view")</f>
        <v>https://drive.google.com/file/d/1lACen18TA9y0Ss173c9rxbwesbrW9d3n/view</v>
      </c>
      <c r="S33" s="285"/>
      <c r="T33" s="290" t="str">
        <f>VLOOKUP($B33,'Master Tracker'!$D:$E,2,false)</f>
        <v>https://drive.google.com/open?id=1a4ox4sDxspprphXzSgyXEBric3ic4frP</v>
      </c>
      <c r="U33" s="291" t="str">
        <f>VLOOKUP($B33,'Master Tracker'!$D:$T,4,FALSE)
</f>
        <v>https://drive.google.com/open?id=1ZPrItpxCu7yb5L_iOmIzm69ja-xoFH2R</v>
      </c>
      <c r="V33" s="290" t="str">
        <f>VLOOKUP($B33,'Master Tracker'!$D:$T,5,false)</f>
        <v>https://drive.google.com/open?id=1bcOfjJcJ1rqA_z_IR3L_vY3U4oU58MKB</v>
      </c>
      <c r="W33" s="291" t="str">
        <f>VLOOKUP($B33,'Master Tracker'!$D:$T,7,false)</f>
        <v>https://drive.google.com/open?id=1Fft1er_k-8eslzrwjyHGLPFHdRRed7B3</v>
      </c>
      <c r="X33" s="290" t="str">
        <f>VLOOKUP($B33,'Master Tracker'!$D:$T,8,false)</f>
        <v>https://drive.google.com/open?id=1Y9o6WCHjga1aHzc8FmEAiBCWhloMZySK</v>
      </c>
      <c r="Y33" s="291" t="str">
        <f>VLOOKUP($B33,'Master Tracker'!$D:$T,10,false)</f>
        <v>https://drive.google.com/open?id=1rDtQ1P5sbhEkOcCchFQjagdd5JBqYYQD</v>
      </c>
      <c r="Z33" s="290" t="str">
        <f>VLOOKUP($B33,'Master Tracker'!$D:$T,11,false)</f>
        <v>https://drive.google.com/open?id=1MXM1sl6TEKCqcmAtJO5lGU2Z5WVMRP3W</v>
      </c>
      <c r="AA33" s="291" t="str">
        <f>VLOOKUP($B33,'Master Tracker'!$D:$T,13,false)</f>
        <v>https://drive.google.com/open?id=1g1h1sGwfxElJlyCiv552pMG619gp9nfv</v>
      </c>
      <c r="AB33" s="284" t="str">
        <f>VLOOKUP($B33,'Master Tracker'!$D:$T,14,false)</f>
        <v>Not Found</v>
      </c>
      <c r="AC33" s="292" t="str">
        <f>VLOOKUP($B33,'Master Tracker'!$D:$T,16,false)</f>
        <v>Not Found</v>
      </c>
      <c r="AD33" s="292" t="str">
        <f>VLOOKUP($B33,'Master Tracker'!$D:$T,17,false)</f>
        <v>Not Found</v>
      </c>
      <c r="AE33" s="292" t="str">
        <f>VLOOKUP($B33,'Master Tracker'!$D:$V,19,false)</f>
        <v>Not Found</v>
      </c>
      <c r="AF33" s="292">
        <f>IFERROR(__xludf.DUMMYFUNCTION("IFERROR(
  INDEX(
    FILTER(
      'Juma Recording forms'!$G:$G,
      TRIM('Juma Recording forms'!$F:$F) = TRIM($B33),
      'Juma Recording forms'!$AA:$AA = 1
    ),
    1
  ),
  ""Not Found""
)"),230.0)</f>
        <v>230</v>
      </c>
      <c r="AG33" s="292">
        <f>IFERROR(__xludf.DUMMYFUNCTION("IFERROR(
  INDEX(
    FILTER(
      'Juma Recording forms'!$G:$G,
      TRIM('Juma Recording forms'!$F:$F) = TRIM($B33),
      'Juma Recording forms'!$AA:$AA = 2
    ),
    1
  ),
  ""Not Found""
)"),260.0)</f>
        <v>260</v>
      </c>
      <c r="AH33" s="292">
        <f>IFERROR(__xludf.DUMMYFUNCTION("IFERROR(
  INDEX(
    FILTER(
      'Juma Recording forms'!$G:$G,
      TRIM('Juma Recording forms'!$F:$F) = TRIM($B33),
      'Juma Recording forms'!$AA:$AA = 3
    ),
    1
  ),
  ""Not Found""
)"),265.0)</f>
        <v>265</v>
      </c>
      <c r="AI33" s="292">
        <f>IFERROR(__xludf.DUMMYFUNCTION("IFERROR(
  INDEX(
    FILTER(
      'Juma Recording forms'!$G:$G,
      TRIM('Juma Recording forms'!$F:$F) = TRIM($B33),
      'Juma Recording forms'!$AA:$AA = 4
    ),
    1
  ),
  ""Not Found""
)"),277.0)</f>
        <v>277</v>
      </c>
      <c r="AJ33" s="292" t="str">
        <f>IFERROR(__xludf.DUMMYFUNCTION("IFERROR(
  INDEX(
    FILTER(
      'Juma Recording forms'!$G:$G,
      TRIM('Juma Recording forms'!$F:$F) = TRIM($B33),
      'Juma Recording forms'!$AA:$AA = 5
    ),
    1
  ),
  ""Not Found""
)"),"Not Found")</f>
        <v>Not Found</v>
      </c>
      <c r="AK33" s="292" t="str">
        <f>IFERROR(__xludf.DUMMYFUNCTION("IFERROR(
  INDEX(
    FILTER(
      'Juma Recording forms'!$G:$G,
      TRIM('Juma Recording forms'!$F:$F) = TRIM($B33),
      'Juma Recording forms'!$AA:$AA = 6
    ),
    1
  ),
  ""Not Found""
)"),"Not Found")</f>
        <v>Not Found</v>
      </c>
      <c r="AL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1!$E:$E"")=$B33) *
        (IMPORTRANGE(""https://docs.google.com/spreadsheets/d/161aHT6vVT3SLneTKD19N5qVWtnj_jIT8CSsOmUVKmaA/ed"&amp;"it?gid=1761053510"",
          ""Haris_Form responses 1!$AQ:$AQ"")=1)
      ),
      1
    ),
    ""0""
  ),
  ""Form not found""
)
"),"0")</f>
        <v>0</v>
      </c>
      <c r="AM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1!$E:$E"")=$B33) *
        (IMPORTRANGE(""https://docs.google.com/spreadsheets/d/161aHT6vVT3SLneTKD19N5qVWtnj_jIT8CSsOmUVKmaA/ed"&amp;"it?gid=1761053510"",
          ""Haris_Form responses 1!$AQ:$AQ"")=2)
      ),
      1
    ),
    ""0""
  ),
  ""Form not found""
)
"),"6")</f>
        <v>6</v>
      </c>
      <c r="AN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1!$E:$E"")=$B33) *
        (IMPORTRANGE(""https://docs.google.com/spreadsheets/d/161aHT6vVT3SLneTKD19N5qVWtnj_jIT8CSsOmUVKmaA/ed"&amp;"it?gid=1761053510"",
          ""Haris_Form responses 1!$AQ:$AQ"")=3)
      ),
      1
    ),
    ""0""
  ),
  ""Form not found""
)
"),"9")</f>
        <v>9</v>
      </c>
      <c r="AO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1!$E:$E"")=$B33) *
        (IMPORTRANGE(""https://docs.google.com/spreadsheets/d/161aHT6vVT3SLneTKD19N5qVWtnj_jIT8CSsOmUVKmaA/ed"&amp;"it?gid=1761053510"",
          ""Haris_Form responses 1!$AQ:$AQ"")=4)
      ),
      1
    ),
    ""0""
  ),
  ""Form not found""
)
"),"0")</f>
        <v>0</v>
      </c>
      <c r="AP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1!$E:$E"")=$B33) *
        (IMPORTRANGE(""https://docs.google.com/spreadsheets/d/161aHT6vVT3SLneTKD19N5qVWtnj_jIT8CSsOmUVKmaA/ed"&amp;"it?gid=1761053510"",
          ""Haris_Form responses 1!$AQ:$AQ"")=5)
      ),
      1
    ),
    ""0""
  ),
  ""Form not found""
)
"),"Form not found")</f>
        <v>Form not found</v>
      </c>
      <c r="AQ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1!$E:$E"")=$B33) *
        (IMPORTRANGE(""https://docs.google.com/spreadsheets/d/161aHT6vVT3SLneTKD19N5qVWtnj_jIT8CSsOmUVKmaA/ed"&amp;"it?gid=1761053510"",
          ""Haris_Form responses 1!$AQ:$AQ"")=6)
      ),
      1
    ),
    ""0""
  ),
  ""Form not found""
)
"),"Form not found")</f>
        <v>Form not found</v>
      </c>
      <c r="AR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1!$E:$E"")=$B33) *
        (IMPORTRANGE(""https://docs.google.com/spreadsheets/d/161aHT6vVT3SLneTKD19N5qVWtnj_jIT8CSsOmUVKmaA/ed"&amp;"it?gid=1761053510"",
          ""Haris_Form responses 1!$AQ:$AQ"")=1)
      ),
      1
    ),
    ""0""
  ),
  ""Form not found""
)
"),"0")</f>
        <v>0</v>
      </c>
      <c r="AS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1!$E:$E"")=$B33) *
        (IMPORTRANGE(""https://docs.google.com/spreadsheets/d/161aHT6vVT3SLneTKD19N5qVWtnj_jIT8CSsOmUVKmaA/ed"&amp;"it?gid=1761053510"",
          ""Haris_Form responses 1!$AQ:$AQ"")=2)
      ),
      1
    ),
    ""0""
  ),
  ""Form not found""
)
"),"6")</f>
        <v>6</v>
      </c>
      <c r="AT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1!$E:$E"")=$B33) *
        (IMPORTRANGE(""https://docs.google.com/spreadsheets/d/161aHT6vVT3SLneTKD19N5qVWtnj_jIT8CSsOmUVKmaA/ed"&amp;"it?gid=1761053510"",
          ""Haris_Form responses 1!$AQ:$AQ"")=3)
      ),
      1
    ),
    ""0""
  ),
  ""Form not found""
)
"),"8")</f>
        <v>8</v>
      </c>
      <c r="AU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1!$E:$E"")=$B33) *
        (IMPORTRANGE(""https://docs.google.com/spreadsheets/d/161aHT6vVT3SLneTKD19N5qVWtnj_jIT8CSsOmUVKmaA/ed"&amp;"it?gid=1761053510"",
          ""Haris_Form responses 1!$AQ:$AQ"")=4)
      ),
      1
    ),
    ""0""
  ),
  ""Form not found""
)
"),"0")</f>
        <v>0</v>
      </c>
      <c r="AV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1!$E:$E"")=$B33) *
        (IMPORTRANGE(""https://docs.google.com/spreadsheets/d/161aHT6vVT3SLneTKD19N5qVWtnj_jIT8CSsOmUVKmaA/ed"&amp;"it?gid=1761053510"",
          ""Haris_Form responses 1!$AQ:$AQ"")=5)
      ),
      1
    ),
    ""0""
  ),
  ""Form not found""
)
"),"Form not found")</f>
        <v>Form not found</v>
      </c>
      <c r="AW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1!$E:$E"")=$B33) *
        (IMPORTRANGE(""https://docs.google.com/spreadsheets/d/161aHT6vVT3SLneTKD19N5qVWtnj_jIT8CSsOmUVKmaA/ed"&amp;"it?gid=1761053510"",
          ""Haris_Form responses 1!$AQ:$AQ"")=6)
      ),
      1
    ),
    ""0""
  ),
  ""Form not found""
)
"),"Form not found")</f>
        <v>Form not found</v>
      </c>
      <c r="AX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1!$E:$E"")=$B33) *
        (IMPORTRANGE(""https://docs.google.com/spreadsheets/d/161aHT6vVT3SLneTKD19N5qVWtnj_jIT8CSsOmUVKmaA/ed"&amp;"it?gid=1761053510"",
          ""Haris_Form responses 1!$AQ:$AQ"")=1)
      ),
      1
    ),
    ""0""
  ),
  ""Form not found""
)
"),"0")</f>
        <v>0</v>
      </c>
      <c r="AY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1!$E:$E"")=$B33) *
        (IMPORTRANGE(""https://docs.google.com/spreadsheets/d/161aHT6vVT3SLneTKD19N5qVWtnj_jIT8CSsOmUVKmaA/ed"&amp;"it?gid=1761053510"",
          ""Haris_Form responses 1!$AQ:$AQ"")=2)
      ),
      1
    ),
    ""0""
  ),
  ""Form not found""
)
"),"0")</f>
        <v>0</v>
      </c>
      <c r="AZ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1!$E:$E"")=$B33) *
        (IMPORTRANGE(""https://docs.google.com/spreadsheets/d/161aHT6vVT3SLneTKD19N5qVWtnj_jIT8CSsOmUVKmaA/ed"&amp;"it?gid=1761053510"",
          ""Haris_Form responses 1!$AQ:$AQ"")=3)
      ),
      1
    ),
    ""0""
  ),
  ""Form not found""
)
"),"2")</f>
        <v>2</v>
      </c>
      <c r="BA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1!$E:$E"")=$B33) *
        (IMPORTRANGE(""https://docs.google.com/spreadsheets/d/161aHT6vVT3SLneTKD19N5qVWtnj_jIT8CSsOmUVKmaA/ed"&amp;"it?gid=1761053510"",
          ""Haris_Form responses 1!$AQ:$AQ"")=4)
      ),
      1
    ),
    ""0""
  ),
  ""Form not found""
)
"),"0")</f>
        <v>0</v>
      </c>
      <c r="BB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1!$E:$E"")=$B33) *
        (IMPORTRANGE(""https://docs.google.com/spreadsheets/d/161aHT6vVT3SLneTKD19N5qVWtnj_jIT8CSsOmUVKmaA/ed"&amp;"it?gid=1761053510"",
          ""Haris_Form responses 1!$AQ:$AQ"")=5)
      ),
      1
    ),
    ""0""
  ),
  ""Form not found""
)
"),"Form not found")</f>
        <v>Form not found</v>
      </c>
      <c r="BC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1!$E:$E"")=$B33) *
        (IMPORTRANGE(""https://docs.google.com/spreadsheets/d/161aHT6vVT3SLneTKD19N5qVWtnj_jIT8CSsOmUVKmaA/ed"&amp;"it?gid=1761053510"",
          ""Haris_Form responses 1!$AQ:$AQ"")=6)
      ),
      1
    ),
    ""0""
  ),
  ""Form not found""
)
"),"Form not found")</f>
        <v>Form not found</v>
      </c>
      <c r="BD33" s="293"/>
    </row>
    <row r="34">
      <c r="A34" s="283" t="str">
        <f>IFERROR(__xludf.DUMMYFUNCTION("VLOOKUP($B34,IMPORTRANGE(""https://docs.google.com/spreadsheets/d/1VNXDITjs75AcgdBSW27oL1VZH31udDprJSsBcE5xlp4/edit?gid=1551188038#gid=1551188038"", ""Sheet9!$B:$E""),2,false)"),"Lahore")</f>
        <v>Lahore</v>
      </c>
      <c r="B34" s="283" t="s">
        <v>4519</v>
      </c>
      <c r="C34" s="284" t="str">
        <f>IFERROR(__xludf.DUMMYFUNCTION("VLOOKUP(TRIM($B34), IMPORTRANGE(""https://docs.google.com/spreadsheets/d/1aSOrU4PTpuBZqfitKaH1Rfww6-YOiNCKoBpPl8XBHaw/edit?gid=0#gid=0"", ""sheet3!$B:$C""), 2, FALSE)
"),"Jamia Masjid Dehli Muslim Lahore")</f>
        <v>Jamia Masjid Dehli Muslim Lahore</v>
      </c>
      <c r="D34" s="284" t="str">
        <f>IFERROR(__xludf.DUMMYFUNCTION("IFERROR(
  INDEX(
    FILTER(
      IMPORTRANGE(""1aSOrU4PTpuBZqfitKaH1Rfww6-YOiNCKoBpPl8XBHaw/edit?gid=0#gid=0"",""Sheet1!G:G""),
      IMPORTRANGE(""1aSOrU4PTpuBZqfitKaH1Rfww6-YOiNCKoBpPl8XBHaw/edit?gid=0#gid=0"",""Sheet1!C:C"")=$B34
    ),
    1
  ),
 "&amp;" ""Not Found""
)"),"Women Religious Info Share")</f>
        <v>Women Religious Info Share</v>
      </c>
      <c r="E34" s="284" t="str">
        <f>VLOOKUP(B34,'Juma Recording forms'!A:E,5,false)</f>
        <v>Jamia masjid dehli muslim</v>
      </c>
      <c r="F34" s="284" t="str">
        <f>IFERROR(__xludf.DUMMYFUNCTION("IFERROR(
  INDEX(
    FILTER(
      IMPORTRANGE(""1Cxrhp3-_-HS7v9uuqQliiIfrmMP4VaFoDNDWyUFy2J8/edit?gid=0#gid=0"",""Sheet1!Q:Q""),
      IMPORTRANGE(""1Cxrhp3-_-HS7v9uuqQliiIfrmMP4VaFoDNDWyUFy2J8/edit?gid=0#gid=0"",""Sheet1!K:K"")=$B34
    ),
    1
  ),
 "&amp;" ""Not Found""
)"),"Allah Nawaz")</f>
        <v>Allah Nawaz</v>
      </c>
      <c r="G34" s="284">
        <v>1960.0</v>
      </c>
      <c r="H34" s="284"/>
      <c r="I34" s="285"/>
      <c r="J34" s="286">
        <v>2.0</v>
      </c>
      <c r="K34" s="287" t="str">
        <f>VLOOKUP($B34,'Mosque Locations'!$A:$E,3,FALSE)
</f>
        <v>https://maps.google.com/maps?q=31.5740767%2C74.3134663&amp;z=17&amp;hl=en</v>
      </c>
      <c r="L34" s="286">
        <f>VLOOKUP($B34,'Mosque Locations'!$A:$E,4,FALSE)
</f>
        <v>31.57408</v>
      </c>
      <c r="M34" s="286">
        <f>VLOOKUP($B34,'Mosque Locations'!$A:$E,5,false)</f>
        <v>74.31347</v>
      </c>
      <c r="N34" s="288"/>
      <c r="O34" s="288"/>
      <c r="P34" s="288"/>
      <c r="Q34" s="290" t="str">
        <f>IFERROR(__xludf.DUMMYFUNCTION("IFERROR(
  INDEX(
    FILTER(
      IMPORTRANGE(""1DccNxjBgurEr0ABkI_rBagJT5phB5HaHG5N_mTm_BiA"",""Form Responses 1!T:T""),
      TRIM(IMPORTRANGE(""1DccNxjBgurEr0ABkI_rBagJT5phB5HaHG5N_mTm_BiA"",""Form Responses 1!E:E""))=TRIM($B34)
    ),
    1
  ),
  "&amp;"""Not Found""
)
"),"https://drive.google.com/open?id=1x_Z2tLnluG4DjOHBD5VaYFUVejq9AUas")</f>
        <v>https://drive.google.com/open?id=1x_Z2tLnluG4DjOHBD5VaYFUVejq9AUas</v>
      </c>
      <c r="R34" s="295" t="str">
        <f>IFERROR(__xludf.DUMMYFUNCTION("IFERROR(
  INDEX(
    FILTER(
      IMPORTRANGE(""1DccNxjBgurEr0ABkI_rBagJT5phB5HaHG5N_mTm_BiA"",""Form Responses 1!S:S""),
      TRIM(IMPORTRANGE(""1DccNxjBgurEr0ABkI_rBagJT5phB5HaHG5N_mTm_BiA"",""Form Responses 1!E:E""))=TRIM($B34)
    ),
    1
  ),
  "&amp;"""Not Found""
)
"),"https://drive.google.com/open?id=1yBoHJKJAs-dN8lP-ZYYrlowalQvAD8Y_")</f>
        <v>https://drive.google.com/open?id=1yBoHJKJAs-dN8lP-ZYYrlowalQvAD8Y_</v>
      </c>
      <c r="S34" s="285"/>
      <c r="T34" s="290" t="str">
        <f>VLOOKUP($B34,'Master Tracker'!$D:$E,2,false)</f>
        <v>https://drive.google.com/open?id=1qL5pNc0cGybPR3eQUic6MzwuRa3-KZ3j</v>
      </c>
      <c r="U34" s="291" t="str">
        <f>VLOOKUP($B34,'Master Tracker'!$D:$T,4,FALSE)
</f>
        <v>https://drive.google.com/open?id=1kGSPtzr8t7cSB6RC4V5kAM91WiutqjBT</v>
      </c>
      <c r="V34" s="290" t="str">
        <f>VLOOKUP($B34,'Master Tracker'!$D:$T,5,false)</f>
        <v>https://drive.google.com/open?id=1YYIY1HQu7CPeZNNeq32z_XX53G9DmIPq</v>
      </c>
      <c r="W34" s="291" t="str">
        <f>VLOOKUP($B34,'Master Tracker'!$D:$T,7,false)</f>
        <v>https://drive.google.com/open?id=1aFo5rGCRUmkIfgbNoE4uVl3RWL4lg2pC</v>
      </c>
      <c r="X34" s="290" t="str">
        <f>VLOOKUP($B34,'Master Tracker'!$D:$T,8,false)</f>
        <v>https://drive.google.com/open?id=18V_uQoQbhgtJ9-sK2wZZcswokMK5WktS</v>
      </c>
      <c r="Y34" s="291" t="str">
        <f>VLOOKUP($B34,'Master Tracker'!$D:$T,10,false)</f>
        <v>https://drive.google.com/open?id=1cdjafLq7HCnxQ-FTgfsiFk5-uBvZEzre</v>
      </c>
      <c r="Z34" s="284" t="str">
        <f>VLOOKUP($B34,'Master Tracker'!$D:$T,11,false)</f>
        <v>Not Found</v>
      </c>
      <c r="AA34" s="292" t="str">
        <f>VLOOKUP($B34,'Master Tracker'!$D:$T,13,false)</f>
        <v>Not Found</v>
      </c>
      <c r="AB34" s="284" t="str">
        <f>VLOOKUP($B34,'Master Tracker'!$D:$T,14,false)</f>
        <v>Not Found</v>
      </c>
      <c r="AC34" s="292" t="str">
        <f>VLOOKUP($B34,'Master Tracker'!$D:$T,16,false)</f>
        <v>Not Found</v>
      </c>
      <c r="AD34" s="292" t="str">
        <f>VLOOKUP($B34,'Master Tracker'!$D:$T,17,false)</f>
        <v>Not Found</v>
      </c>
      <c r="AE34" s="292" t="str">
        <f>VLOOKUP($B34,'Master Tracker'!$D:$V,19,false)</f>
        <v>Not Found</v>
      </c>
      <c r="AF34" s="292">
        <f>IFERROR(__xludf.DUMMYFUNCTION("IFERROR(
  INDEX(
    FILTER(
      'Juma Recording forms'!$G:$G,
      TRIM('Juma Recording forms'!$F:$F) = TRIM($B34),
      'Juma Recording forms'!$AA:$AA = 1
    ),
    1
  ),
  ""Not Found""
)"),432.0)</f>
        <v>432</v>
      </c>
      <c r="AG34" s="292">
        <f>IFERROR(__xludf.DUMMYFUNCTION("IFERROR(
  INDEX(
    FILTER(
      'Juma Recording forms'!$G:$G,
      TRIM('Juma Recording forms'!$F:$F) = TRIM($B34),
      'Juma Recording forms'!$AA:$AA = 2
    ),
    1
  ),
  ""Not Found""
)"),429.0)</f>
        <v>429</v>
      </c>
      <c r="AH34" s="292">
        <f>IFERROR(__xludf.DUMMYFUNCTION("IFERROR(
  INDEX(
    FILTER(
      'Juma Recording forms'!$G:$G,
      TRIM('Juma Recording forms'!$F:$F) = TRIM($B34),
      'Juma Recording forms'!$AA:$AA = 3
    ),
    1
  ),
  ""Not Found""
)"),437.0)</f>
        <v>437</v>
      </c>
      <c r="AI34" s="292" t="str">
        <f>IFERROR(__xludf.DUMMYFUNCTION("IFERROR(
  INDEX(
    FILTER(
      'Juma Recording forms'!$G:$G,
      TRIM('Juma Recording forms'!$F:$F) = TRIM($B34),
      'Juma Recording forms'!$AA:$AA = 4
    ),
    1
  ),
  ""Not Found""
)"),"Not Found")</f>
        <v>Not Found</v>
      </c>
      <c r="AJ34" s="292" t="str">
        <f>IFERROR(__xludf.DUMMYFUNCTION("IFERROR(
  INDEX(
    FILTER(
      'Juma Recording forms'!$G:$G,
      TRIM('Juma Recording forms'!$F:$F) = TRIM($B34),
      'Juma Recording forms'!$AA:$AA = 5
    ),
    1
  ),
  ""Not Found""
)"),"Not Found")</f>
        <v>Not Found</v>
      </c>
      <c r="AK34" s="292" t="str">
        <f>IFERROR(__xludf.DUMMYFUNCTION("IFERROR(
  INDEX(
    FILTER(
      'Juma Recording forms'!$G:$G,
      TRIM('Juma Recording forms'!$F:$F) = TRIM($B34),
      'Juma Recording forms'!$AA:$AA = 6
    ),
    1
  ),
  ""Not Found""
)"),"Not Found")</f>
        <v>Not Found</v>
      </c>
      <c r="AL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1!$E:$E"")=$B34) *
        (IMPORTRANGE(""https://docs.google.com/spreadsheets/d/161aHT6vVT3SLneTKD19N5qVWtnj_jIT8CSsOmUVKmaA/ed"&amp;"it?gid=1761053510"",
          ""Haris_Form responses 1!$AQ:$AQ"")=1)
      ),
      1
    ),
    ""0""
  ),
  ""Form not found""
)
"),"10")</f>
        <v>10</v>
      </c>
      <c r="AM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1!$E:$E"")=$B34) *
        (IMPORTRANGE(""https://docs.google.com/spreadsheets/d/161aHT6vVT3SLneTKD19N5qVWtnj_jIT8CSsOmUVKmaA/ed"&amp;"it?gid=1761053510"",
          ""Haris_Form responses 1!$AQ:$AQ"")=2)
      ),
      1
    ),
    ""0""
  ),
  ""Form not found""
)
"),"10")</f>
        <v>10</v>
      </c>
      <c r="AN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1!$E:$E"")=$B34) *
        (IMPORTRANGE(""https://docs.google.com/spreadsheets/d/161aHT6vVT3SLneTKD19N5qVWtnj_jIT8CSsOmUVKmaA/ed"&amp;"it?gid=1761053510"",
          ""Haris_Form responses 1!$AQ:$AQ"")=3)
      ),
      1
    ),
    ""0""
  ),
  ""Form not found""
)
"),"8")</f>
        <v>8</v>
      </c>
      <c r="AO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1!$E:$E"")=$B34) *
        (IMPORTRANGE(""https://docs.google.com/spreadsheets/d/161aHT6vVT3SLneTKD19N5qVWtnj_jIT8CSsOmUVKmaA/ed"&amp;"it?gid=1761053510"",
          ""Haris_Form responses 1!$AQ:$AQ"")=4)
      ),
      1
    ),
    ""0""
  ),
  ""Form not found""
)
"),"Form not found")</f>
        <v>Form not found</v>
      </c>
      <c r="AP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1!$E:$E"")=$B34) *
        (IMPORTRANGE(""https://docs.google.com/spreadsheets/d/161aHT6vVT3SLneTKD19N5qVWtnj_jIT8CSsOmUVKmaA/ed"&amp;"it?gid=1761053510"",
          ""Haris_Form responses 1!$AQ:$AQ"")=5)
      ),
      1
    ),
    ""0""
  ),
  ""Form not found""
)
"),"Form not found")</f>
        <v>Form not found</v>
      </c>
      <c r="AQ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1!$E:$E"")=$B34) *
        (IMPORTRANGE(""https://docs.google.com/spreadsheets/d/161aHT6vVT3SLneTKD19N5qVWtnj_jIT8CSsOmUVKmaA/ed"&amp;"it?gid=1761053510"",
          ""Haris_Form responses 1!$AQ:$AQ"")=6)
      ),
      1
    ),
    ""0""
  ),
  ""Form not found""
)
"),"Form not found")</f>
        <v>Form not found</v>
      </c>
      <c r="AR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1!$E:$E"")=$B34) *
        (IMPORTRANGE(""https://docs.google.com/spreadsheets/d/161aHT6vVT3SLneTKD19N5qVWtnj_jIT8CSsOmUVKmaA/ed"&amp;"it?gid=1761053510"",
          ""Haris_Form responses 1!$AQ:$AQ"")=1)
      ),
      1
    ),
    ""0""
  ),
  ""Form not found""
)
"),"0")</f>
        <v>0</v>
      </c>
      <c r="AS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1!$E:$E"")=$B34) *
        (IMPORTRANGE(""https://docs.google.com/spreadsheets/d/161aHT6vVT3SLneTKD19N5qVWtnj_jIT8CSsOmUVKmaA/ed"&amp;"it?gid=1761053510"",
          ""Haris_Form responses 1!$AQ:$AQ"")=2)
      ),
      1
    ),
    ""0""
  ),
  ""Form not found""
)
"),"0")</f>
        <v>0</v>
      </c>
      <c r="AT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1!$E:$E"")=$B34) *
        (IMPORTRANGE(""https://docs.google.com/spreadsheets/d/161aHT6vVT3SLneTKD19N5qVWtnj_jIT8CSsOmUVKmaA/ed"&amp;"it?gid=1761053510"",
          ""Haris_Form responses 1!$AQ:$AQ"")=3)
      ),
      1
    ),
    ""0""
  ),
  ""Form not found""
)
"),"0")</f>
        <v>0</v>
      </c>
      <c r="AU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1!$E:$E"")=$B34) *
        (IMPORTRANGE(""https://docs.google.com/spreadsheets/d/161aHT6vVT3SLneTKD19N5qVWtnj_jIT8CSsOmUVKmaA/ed"&amp;"it?gid=1761053510"",
          ""Haris_Form responses 1!$AQ:$AQ"")=4)
      ),
      1
    ),
    ""0""
  ),
  ""Form not found""
)
"),"Form not found")</f>
        <v>Form not found</v>
      </c>
      <c r="AV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1!$E:$E"")=$B34) *
        (IMPORTRANGE(""https://docs.google.com/spreadsheets/d/161aHT6vVT3SLneTKD19N5qVWtnj_jIT8CSsOmUVKmaA/ed"&amp;"it?gid=1761053510"",
          ""Haris_Form responses 1!$AQ:$AQ"")=5)
      ),
      1
    ),
    ""0""
  ),
  ""Form not found""
)
"),"Form not found")</f>
        <v>Form not found</v>
      </c>
      <c r="AW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1!$E:$E"")=$B34) *
        (IMPORTRANGE(""https://docs.google.com/spreadsheets/d/161aHT6vVT3SLneTKD19N5qVWtnj_jIT8CSsOmUVKmaA/ed"&amp;"it?gid=1761053510"",
          ""Haris_Form responses 1!$AQ:$AQ"")=6)
      ),
      1
    ),
    ""0""
  ),
  ""Form not found""
)
"),"Form not found")</f>
        <v>Form not found</v>
      </c>
      <c r="AX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1!$E:$E"")=$B34) *
        (IMPORTRANGE(""https://docs.google.com/spreadsheets/d/161aHT6vVT3SLneTKD19N5qVWtnj_jIT8CSsOmUVKmaA/ed"&amp;"it?gid=1761053510"",
          ""Haris_Form responses 1!$AQ:$AQ"")=1)
      ),
      1
    ),
    ""0""
  ),
  ""Form not found""
)
"),"10")</f>
        <v>10</v>
      </c>
      <c r="AY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1!$E:$E"")=$B34) *
        (IMPORTRANGE(""https://docs.google.com/spreadsheets/d/161aHT6vVT3SLneTKD19N5qVWtnj_jIT8CSsOmUVKmaA/ed"&amp;"it?gid=1761053510"",
          ""Haris_Form responses 1!$AQ:$AQ"")=2)
      ),
      1
    ),
    ""0""
  ),
  ""Form not found""
)
"),"10")</f>
        <v>10</v>
      </c>
      <c r="AZ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1!$E:$E"")=$B34) *
        (IMPORTRANGE(""https://docs.google.com/spreadsheets/d/161aHT6vVT3SLneTKD19N5qVWtnj_jIT8CSsOmUVKmaA/ed"&amp;"it?gid=1761053510"",
          ""Haris_Form responses 1!$AQ:$AQ"")=3)
      ),
      1
    ),
    ""0""
  ),
  ""Form not found""
)
"),"8")</f>
        <v>8</v>
      </c>
      <c r="BA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1!$E:$E"")=$B34) *
        (IMPORTRANGE(""https://docs.google.com/spreadsheets/d/161aHT6vVT3SLneTKD19N5qVWtnj_jIT8CSsOmUVKmaA/ed"&amp;"it?gid=1761053510"",
          ""Haris_Form responses 1!$AQ:$AQ"")=4)
      ),
      1
    ),
    ""0""
  ),
  ""Form not found""
)
"),"Form not found")</f>
        <v>Form not found</v>
      </c>
      <c r="BB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1!$E:$E"")=$B34) *
        (IMPORTRANGE(""https://docs.google.com/spreadsheets/d/161aHT6vVT3SLneTKD19N5qVWtnj_jIT8CSsOmUVKmaA/ed"&amp;"it?gid=1761053510"",
          ""Haris_Form responses 1!$AQ:$AQ"")=5)
      ),
      1
    ),
    ""0""
  ),
  ""Form not found""
)
"),"Form not found")</f>
        <v>Form not found</v>
      </c>
      <c r="BC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1!$E:$E"")=$B34) *
        (IMPORTRANGE(""https://docs.google.com/spreadsheets/d/161aHT6vVT3SLneTKD19N5qVWtnj_jIT8CSsOmUVKmaA/ed"&amp;"it?gid=1761053510"",
          ""Haris_Form responses 1!$AQ:$AQ"")=6)
      ),
      1
    ),
    ""0""
  ),
  ""Form not found""
)
"),"Form not found")</f>
        <v>Form not found</v>
      </c>
      <c r="BD34" s="293"/>
    </row>
    <row r="35">
      <c r="A35" s="283" t="str">
        <f>IFERROR(__xludf.DUMMYFUNCTION("VLOOKUP($B35,IMPORTRANGE(""https://docs.google.com/spreadsheets/d/1VNXDITjs75AcgdBSW27oL1VZH31udDprJSsBcE5xlp4/edit?gid=1551188038#gid=1551188038"", ""Sheet9!$B:$E""),2,false)"),"Lahore")</f>
        <v>Lahore</v>
      </c>
      <c r="B35" s="283" t="s">
        <v>1248</v>
      </c>
      <c r="C35" s="284" t="str">
        <f>IFERROR(__xludf.DUMMYFUNCTION("VLOOKUP(TRIM($B35), IMPORTRANGE(""https://docs.google.com/spreadsheets/d/1aSOrU4PTpuBZqfitKaH1Rfww6-YOiNCKoBpPl8XBHaw/edit?gid=0#gid=0"", ""sheet3!$B:$C""), 2, FALSE)
"),"Jamia Masjid Takiya Peer Hassan Shah Wali Lahore")</f>
        <v>Jamia Masjid Takiya Peer Hassan Shah Wali Lahore</v>
      </c>
      <c r="D35" s="284" t="str">
        <f>IFERROR(__xludf.DUMMYFUNCTION("IFERROR(
  INDEX(
    FILTER(
      IMPORTRANGE(""1aSOrU4PTpuBZqfitKaH1Rfww6-YOiNCKoBpPl8XBHaw/edit?gid=0#gid=0"",""Sheet1!G:G""),
      IMPORTRANGE(""1aSOrU4PTpuBZqfitKaH1Rfww6-YOiNCKoBpPl8XBHaw/edit?gid=0#gid=0"",""Sheet1!C:C"")=$B35
    ),
    1
  ),
 "&amp;" ""Not Found""
)"),"Community Religious Info Share")</f>
        <v>Community Religious Info Share</v>
      </c>
      <c r="E35" s="284" t="str">
        <f>VLOOKUP(B35,'Juma Recording forms'!A:E,5,false)</f>
        <v>	Jamia Masjid Takiya Peer Hassan Shah Wali Lahore	</v>
      </c>
      <c r="F35" s="284" t="str">
        <f>IFERROR(__xludf.DUMMYFUNCTION("IFERROR(
  INDEX(
    FILTER(
      IMPORTRANGE(""1Cxrhp3-_-HS7v9uuqQliiIfrmMP4VaFoDNDWyUFy2J8/edit?gid=0#gid=0"",""Sheet1!Q:Q""),
      IMPORTRANGE(""1Cxrhp3-_-HS7v9uuqQliiIfrmMP4VaFoDNDWyUFy2J8/edit?gid=0#gid=0"",""Sheet1!K:K"")=$B35
    ),
    1
  ),
 "&amp;" ""Not Found""
)"),"Qari naseer Qureshi ")</f>
        <v>Qari naseer Qureshi </v>
      </c>
      <c r="G35" s="284">
        <v>1991.0</v>
      </c>
      <c r="H35" s="284" t="s">
        <v>4823</v>
      </c>
      <c r="I35" s="285"/>
      <c r="J35" s="286">
        <v>2.0</v>
      </c>
      <c r="K35" s="287" t="str">
        <f>VLOOKUP($B35,'Mosque Locations'!$A:$E,3,FALSE)
</f>
        <v>https://maps.app.goo.gl/pgSCi6dwrComz1HGA</v>
      </c>
      <c r="L35" s="286" t="str">
        <f>VLOOKUP($B35,'Mosque Locations'!$A:$E,4,FALSE)
</f>
        <v>31°34'07.2</v>
      </c>
      <c r="M35" s="286" t="str">
        <f>VLOOKUP($B35,'Mosque Locations'!$A:$E,5,false)</f>
        <v>74°19'52.7</v>
      </c>
      <c r="N35" s="288"/>
      <c r="O35" s="288"/>
      <c r="P35" s="288"/>
      <c r="Q35" s="294" t="str">
        <f>IFERROR(__xludf.DUMMYFUNCTION("IFERROR(
  INDEX(
    FILTER(
      IMPORTRANGE(""1DccNxjBgurEr0ABkI_rBagJT5phB5HaHG5N_mTm_BiA"",""Form Responses 1!T:T""),
      TRIM(IMPORTRANGE(""1DccNxjBgurEr0ABkI_rBagJT5phB5HaHG5N_mTm_BiA"",""Form Responses 1!E:E""))=TRIM($B35)
    ),
    1
  ),
  "&amp;"""Not Found""
)
"),"https://drive.google.com/open?id=1-l1I5klAhcLgCEZsVv2LScdhK0bON72K, https://drive.google.com/open?id=1XhLMgQUF3hRwytO8XJN3ss5HuqZAIKCL")</f>
        <v>https://drive.google.com/open?id=1-l1I5klAhcLgCEZsVv2LScdhK0bON72K, https://drive.google.com/open?id=1XhLMgQUF3hRwytO8XJN3ss5HuqZAIKCL</v>
      </c>
      <c r="R35" s="294" t="str">
        <f>IFERROR(__xludf.DUMMYFUNCTION("IFERROR(
  INDEX(
    FILTER(
      IMPORTRANGE(""1DccNxjBgurEr0ABkI_rBagJT5phB5HaHG5N_mTm_BiA"",""Form Responses 1!S:S""),
      TRIM(IMPORTRANGE(""1DccNxjBgurEr0ABkI_rBagJT5phB5HaHG5N_mTm_BiA"",""Form Responses 1!E:E""))=TRIM($B35)
    ),
    1
  ),
  "&amp;"""Not Found""
)
"),"https://drive.google.com/open?id=1A_Yo_HZAGYieGkyKDf3bNnoiylo104hY, https://drive.google.com/open?id=1sv72v86YI7mD9tBXtK_3BW3xSo0ol2JH, https://drive.google.com/open?id=1HJ7e4yPc6hh6SqyzEVm4lbLguVOPwD8c")</f>
        <v>https://drive.google.com/open?id=1A_Yo_HZAGYieGkyKDf3bNnoiylo104hY, https://drive.google.com/open?id=1sv72v86YI7mD9tBXtK_3BW3xSo0ol2JH, https://drive.google.com/open?id=1HJ7e4yPc6hh6SqyzEVm4lbLguVOPwD8c</v>
      </c>
      <c r="S35" s="285"/>
      <c r="T35" s="290" t="str">
        <f>VLOOKUP($B35,'Master Tracker'!$D:$E,2,false)</f>
        <v>https://drive.google.com/open?id=1PRSMEqDe9sYxRIeoCCTFoc5hvHIx24KS</v>
      </c>
      <c r="U35" s="291" t="str">
        <f>VLOOKUP($B35,'Master Tracker'!$D:$T,4,FALSE)
</f>
        <v>https://drive.google.com/open?id=1NMzrLihuOtKPnV79JOY2jlhgGs-W746x</v>
      </c>
      <c r="V35" s="290" t="str">
        <f>VLOOKUP($B35,'Master Tracker'!$D:$T,5,false)</f>
        <v>https://drive.google.com/open?id=1kebdCI1z2x3Hg-hFHkRIwU9ARDmzSC7f</v>
      </c>
      <c r="W35" s="291" t="str">
        <f>VLOOKUP($B35,'Master Tracker'!$D:$T,7,false)</f>
        <v>https://drive.google.com/open?id=1nBW4wYdL6VcYO5XfKImoQfAdaDbU2ic_</v>
      </c>
      <c r="X35" s="290" t="str">
        <f>VLOOKUP($B35,'Master Tracker'!$D:$T,8,false)</f>
        <v>https://drive.google.com/open?id=1u3CMxlGOsXBKu1SCOi6cEEpsCu11EtcV</v>
      </c>
      <c r="Y35" s="291" t="str">
        <f>VLOOKUP($B35,'Master Tracker'!$D:$T,10,false)</f>
        <v>https://drive.google.com/open?id=1nvfBpZgn3XIIu_bhVh81vdmt4Wlw7Dr8</v>
      </c>
      <c r="Z35" s="284" t="str">
        <f>VLOOKUP($B35,'Master Tracker'!$D:$T,11,false)</f>
        <v>Not Found</v>
      </c>
      <c r="AA35" s="292" t="str">
        <f>VLOOKUP($B35,'Master Tracker'!$D:$T,13,false)</f>
        <v>Not Found</v>
      </c>
      <c r="AB35" s="284" t="str">
        <f>VLOOKUP($B35,'Master Tracker'!$D:$T,14,false)</f>
        <v>Not Found</v>
      </c>
      <c r="AC35" s="292" t="str">
        <f>VLOOKUP($B35,'Master Tracker'!$D:$T,16,false)</f>
        <v>Not Found</v>
      </c>
      <c r="AD35" s="292" t="str">
        <f>VLOOKUP($B35,'Master Tracker'!$D:$T,17,false)</f>
        <v>Not Found</v>
      </c>
      <c r="AE35" s="292" t="str">
        <f>VLOOKUP($B35,'Master Tracker'!$D:$V,19,false)</f>
        <v>Not Found</v>
      </c>
      <c r="AF35" s="292">
        <f>IFERROR(__xludf.DUMMYFUNCTION("IFERROR(
  INDEX(
    FILTER(
      'Juma Recording forms'!$G:$G,
      TRIM('Juma Recording forms'!$F:$F) = TRIM($B35),
      'Juma Recording forms'!$AA:$AA = 1
    ),
    1
  ),
  ""Not Found""
)"),140.0)</f>
        <v>140</v>
      </c>
      <c r="AG35" s="292">
        <f>IFERROR(__xludf.DUMMYFUNCTION("IFERROR(
  INDEX(
    FILTER(
      'Juma Recording forms'!$G:$G,
      TRIM('Juma Recording forms'!$F:$F) = TRIM($B35),
      'Juma Recording forms'!$AA:$AA = 2
    ),
    1
  ),
  ""Not Found""
)"),130.0)</f>
        <v>130</v>
      </c>
      <c r="AH35" s="292">
        <f>IFERROR(__xludf.DUMMYFUNCTION("IFERROR(
  INDEX(
    FILTER(
      'Juma Recording forms'!$G:$G,
      TRIM('Juma Recording forms'!$F:$F) = TRIM($B35),
      'Juma Recording forms'!$AA:$AA = 3
    ),
    1
  ),
  ""Not Found""
)"),165.0)</f>
        <v>165</v>
      </c>
      <c r="AI35" s="292" t="str">
        <f>IFERROR(__xludf.DUMMYFUNCTION("IFERROR(
  INDEX(
    FILTER(
      'Juma Recording forms'!$G:$G,
      TRIM('Juma Recording forms'!$F:$F) = TRIM($B35),
      'Juma Recording forms'!$AA:$AA = 4
    ),
    1
  ),
  ""Not Found""
)"),"Not Found")</f>
        <v>Not Found</v>
      </c>
      <c r="AJ35" s="292" t="str">
        <f>IFERROR(__xludf.DUMMYFUNCTION("IFERROR(
  INDEX(
    FILTER(
      'Juma Recording forms'!$G:$G,
      TRIM('Juma Recording forms'!$F:$F) = TRIM($B35),
      'Juma Recording forms'!$AA:$AA = 5
    ),
    1
  ),
  ""Not Found""
)"),"Not Found")</f>
        <v>Not Found</v>
      </c>
      <c r="AK35" s="292" t="str">
        <f>IFERROR(__xludf.DUMMYFUNCTION("IFERROR(
  INDEX(
    FILTER(
      'Juma Recording forms'!$G:$G,
      TRIM('Juma Recording forms'!$F:$F) = TRIM($B35),
      'Juma Recording forms'!$AA:$AA = 6
    ),
    1
  ),
  ""Not Found""
)"),"Not Found")</f>
        <v>Not Found</v>
      </c>
      <c r="AL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1!$E:$E"")=$B35) *
        (IMPORTRANGE(""https://docs.google.com/spreadsheets/d/161aHT6vVT3SLneTKD19N5qVWtnj_jIT8CSsOmUVKmaA/ed"&amp;"it?gid=1761053510"",
          ""Haris_Form responses 1!$AQ:$AQ"")=1)
      ),
      1
    ),
    ""0""
  ),
  ""Form not found""
)
"),"6")</f>
        <v>6</v>
      </c>
      <c r="AM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1!$E:$E"")=$B35) *
        (IMPORTRANGE(""https://docs.google.com/spreadsheets/d/161aHT6vVT3SLneTKD19N5qVWtnj_jIT8CSsOmUVKmaA/ed"&amp;"it?gid=1761053510"",
          ""Haris_Form responses 1!$AQ:$AQ"")=2)
      ),
      1
    ),
    ""0""
  ),
  ""Form not found""
)
"),"9")</f>
        <v>9</v>
      </c>
      <c r="AN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1!$E:$E"")=$B35) *
        (IMPORTRANGE(""https://docs.google.com/spreadsheets/d/161aHT6vVT3SLneTKD19N5qVWtnj_jIT8CSsOmUVKmaA/ed"&amp;"it?gid=1761053510"",
          ""Haris_Form responses 1!$AQ:$AQ"")=3)
      ),
      1
    ),
    ""0""
  ),
  ""Form not found""
)
"),"5")</f>
        <v>5</v>
      </c>
      <c r="AO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1!$E:$E"")=$B35) *
        (IMPORTRANGE(""https://docs.google.com/spreadsheets/d/161aHT6vVT3SLneTKD19N5qVWtnj_jIT8CSsOmUVKmaA/ed"&amp;"it?gid=1761053510"",
          ""Haris_Form responses 1!$AQ:$AQ"")=4)
      ),
      1
    ),
    ""0""
  ),
  ""Form not found""
)
"),"Form not found")</f>
        <v>Form not found</v>
      </c>
      <c r="AP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1!$E:$E"")=$B35) *
        (IMPORTRANGE(""https://docs.google.com/spreadsheets/d/161aHT6vVT3SLneTKD19N5qVWtnj_jIT8CSsOmUVKmaA/ed"&amp;"it?gid=1761053510"",
          ""Haris_Form responses 1!$AQ:$AQ"")=5)
      ),
      1
    ),
    ""0""
  ),
  ""Form not found""
)
"),"Form not found")</f>
        <v>Form not found</v>
      </c>
      <c r="AQ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1!$E:$E"")=$B35) *
        (IMPORTRANGE(""https://docs.google.com/spreadsheets/d/161aHT6vVT3SLneTKD19N5qVWtnj_jIT8CSsOmUVKmaA/ed"&amp;"it?gid=1761053510"",
          ""Haris_Form responses 1!$AQ:$AQ"")=6)
      ),
      1
    ),
    ""0""
  ),
  ""Form not found""
)
"),"Form not found")</f>
        <v>Form not found</v>
      </c>
      <c r="AR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1!$E:$E"")=$B35) *
        (IMPORTRANGE(""https://docs.google.com/spreadsheets/d/161aHT6vVT3SLneTKD19N5qVWtnj_jIT8CSsOmUVKmaA/ed"&amp;"it?gid=1761053510"",
          ""Haris_Form responses 1!$AQ:$AQ"")=1)
      ),
      1
    ),
    ""0""
  ),
  ""Form not found""
)
"),"6")</f>
        <v>6</v>
      </c>
      <c r="AS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1!$E:$E"")=$B35) *
        (IMPORTRANGE(""https://docs.google.com/spreadsheets/d/161aHT6vVT3SLneTKD19N5qVWtnj_jIT8CSsOmUVKmaA/ed"&amp;"it?gid=1761053510"",
          ""Haris_Form responses 1!$AQ:$AQ"")=2)
      ),
      1
    ),
    ""0""
  ),
  ""Form not found""
)
"),"8")</f>
        <v>8</v>
      </c>
      <c r="AT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1!$E:$E"")=$B35) *
        (IMPORTRANGE(""https://docs.google.com/spreadsheets/d/161aHT6vVT3SLneTKD19N5qVWtnj_jIT8CSsOmUVKmaA/ed"&amp;"it?gid=1761053510"",
          ""Haris_Form responses 1!$AQ:$AQ"")=3)
      ),
      1
    ),
    ""0""
  ),
  ""Form not found""
)
"),"5")</f>
        <v>5</v>
      </c>
      <c r="AU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1!$E:$E"")=$B35) *
        (IMPORTRANGE(""https://docs.google.com/spreadsheets/d/161aHT6vVT3SLneTKD19N5qVWtnj_jIT8CSsOmUVKmaA/ed"&amp;"it?gid=1761053510"",
          ""Haris_Form responses 1!$AQ:$AQ"")=4)
      ),
      1
    ),
    ""0""
  ),
  ""Form not found""
)
"),"Form not found")</f>
        <v>Form not found</v>
      </c>
      <c r="AV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1!$E:$E"")=$B35) *
        (IMPORTRANGE(""https://docs.google.com/spreadsheets/d/161aHT6vVT3SLneTKD19N5qVWtnj_jIT8CSsOmUVKmaA/ed"&amp;"it?gid=1761053510"",
          ""Haris_Form responses 1!$AQ:$AQ"")=5)
      ),
      1
    ),
    ""0""
  ),
  ""Form not found""
)
"),"Form not found")</f>
        <v>Form not found</v>
      </c>
      <c r="AW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1!$E:$E"")=$B35) *
        (IMPORTRANGE(""https://docs.google.com/spreadsheets/d/161aHT6vVT3SLneTKD19N5qVWtnj_jIT8CSsOmUVKmaA/ed"&amp;"it?gid=1761053510"",
          ""Haris_Form responses 1!$AQ:$AQ"")=6)
      ),
      1
    ),
    ""0""
  ),
  ""Form not found""
)
"),"Form not found")</f>
        <v>Form not found</v>
      </c>
      <c r="AX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1!$E:$E"")=$B35) *
        (IMPORTRANGE(""https://docs.google.com/spreadsheets/d/161aHT6vVT3SLneTKD19N5qVWtnj_jIT8CSsOmUVKmaA/ed"&amp;"it?gid=1761053510"",
          ""Haris_Form responses 1!$AQ:$AQ"")=1)
      ),
      1
    ),
    ""0""
  ),
  ""Form not found""
)
"),"0")</f>
        <v>0</v>
      </c>
      <c r="AY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1!$E:$E"")=$B35) *
        (IMPORTRANGE(""https://docs.google.com/spreadsheets/d/161aHT6vVT3SLneTKD19N5qVWtnj_jIT8CSsOmUVKmaA/ed"&amp;"it?gid=1761053510"",
          ""Haris_Form responses 1!$AQ:$AQ"")=2)
      ),
      1
    ),
    ""0""
  ),
  ""Form not found""
)
"),"0")</f>
        <v>0</v>
      </c>
      <c r="AZ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1!$E:$E"")=$B35) *
        (IMPORTRANGE(""https://docs.google.com/spreadsheets/d/161aHT6vVT3SLneTKD19N5qVWtnj_jIT8CSsOmUVKmaA/ed"&amp;"it?gid=1761053510"",
          ""Haris_Form responses 1!$AQ:$AQ"")=3)
      ),
      1
    ),
    ""0""
  ),
  ""Form not found""
)
"),"0")</f>
        <v>0</v>
      </c>
      <c r="BA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1!$E:$E"")=$B35) *
        (IMPORTRANGE(""https://docs.google.com/spreadsheets/d/161aHT6vVT3SLneTKD19N5qVWtnj_jIT8CSsOmUVKmaA/ed"&amp;"it?gid=1761053510"",
          ""Haris_Form responses 1!$AQ:$AQ"")=4)
      ),
      1
    ),
    ""0""
  ),
  ""Form not found""
)
"),"Form not found")</f>
        <v>Form not found</v>
      </c>
      <c r="BB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1!$E:$E"")=$B35) *
        (IMPORTRANGE(""https://docs.google.com/spreadsheets/d/161aHT6vVT3SLneTKD19N5qVWtnj_jIT8CSsOmUVKmaA/ed"&amp;"it?gid=1761053510"",
          ""Haris_Form responses 1!$AQ:$AQ"")=5)
      ),
      1
    ),
    ""0""
  ),
  ""Form not found""
)
"),"Form not found")</f>
        <v>Form not found</v>
      </c>
      <c r="BC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1!$E:$E"")=$B35) *
        (IMPORTRANGE(""https://docs.google.com/spreadsheets/d/161aHT6vVT3SLneTKD19N5qVWtnj_jIT8CSsOmUVKmaA/ed"&amp;"it?gid=1761053510"",
          ""Haris_Form responses 1!$AQ:$AQ"")=6)
      ),
      1
    ),
    ""0""
  ),
  ""Form not found""
)
"),"Form not found")</f>
        <v>Form not found</v>
      </c>
      <c r="BD35" s="293"/>
    </row>
    <row r="36">
      <c r="A36" s="283" t="str">
        <f>IFERROR(__xludf.DUMMYFUNCTION("VLOOKUP($B36,IMPORTRANGE(""https://docs.google.com/spreadsheets/d/1VNXDITjs75AcgdBSW27oL1VZH31udDprJSsBcE5xlp4/edit?gid=1551188038#gid=1551188038"", ""Sheet9!$B:$E""),2,false)"),"Lahore")</f>
        <v>Lahore</v>
      </c>
      <c r="B36" s="283" t="s">
        <v>2559</v>
      </c>
      <c r="C36" s="284" t="str">
        <f>IFERROR(__xludf.DUMMYFUNCTION("VLOOKUP(TRIM($B36), IMPORTRANGE(""https://docs.google.com/spreadsheets/d/1aSOrU4PTpuBZqfitKaH1Rfww6-YOiNCKoBpPl8XBHaw/edit?gid=0#gid=0"", ""sheet3!$B:$C""), 2, FALSE)
"),"Jamia Masjid Noor Eman Wali Kashmir Bazar Lahore")</f>
        <v>Jamia Masjid Noor Eman Wali Kashmir Bazar Lahore</v>
      </c>
      <c r="D36" s="284" t="str">
        <f>IFERROR(__xludf.DUMMYFUNCTION("IFERROR(
  INDEX(
    FILTER(
      IMPORTRANGE(""1aSOrU4PTpuBZqfitKaH1Rfww6-YOiNCKoBpPl8XBHaw/edit?gid=0#gid=0"",""Sheet1!G:G""),
      IMPORTRANGE(""1aSOrU4PTpuBZqfitKaH1Rfww6-YOiNCKoBpPl8XBHaw/edit?gid=0#gid=0"",""Sheet1!C:C"")=$B36
    ),
    1
  ),
 "&amp;" ""Not Found""
)"),"Women Religious No Info Share")</f>
        <v>Women Religious No Info Share</v>
      </c>
      <c r="E36" s="284" t="str">
        <f>VLOOKUP(B36,'Juma Recording forms'!A:E,5,false)</f>
        <v>Jamia Masjid Noor Eman Wala</v>
      </c>
      <c r="F36" s="284" t="str">
        <f>IFERROR(__xludf.DUMMYFUNCTION("IFERROR(
  INDEX(
    FILTER(
      IMPORTRANGE(""1Cxrhp3-_-HS7v9uuqQliiIfrmMP4VaFoDNDWyUFy2J8/edit?gid=0#gid=0"",""Sheet1!Q:Q""),
      IMPORTRANGE(""1Cxrhp3-_-HS7v9uuqQliiIfrmMP4VaFoDNDWyUFy2J8/edit?gid=0#gid=0"",""Sheet1!K:K"")=$B36
    ),
    1
  ),
 "&amp;" ""Not Found""
)"),"Qari moulana Shafiq ")</f>
        <v>Qari moulana Shafiq </v>
      </c>
      <c r="G36" s="284">
        <v>1970.0</v>
      </c>
      <c r="H36" s="284"/>
      <c r="I36" s="285"/>
      <c r="J36" s="286">
        <v>2.0</v>
      </c>
      <c r="K36" s="287" t="str">
        <f>VLOOKUP($B36,'Mosque Locations'!$A:$E,3,FALSE)
</f>
        <v>https://maps.google.com/maps?q=31.5835261%2C74.3226613&amp;z=17&amp;hl=en</v>
      </c>
      <c r="L36" s="286">
        <f>VLOOKUP($B36,'Mosque Locations'!$A:$E,4,FALSE)
</f>
        <v>31.5835261</v>
      </c>
      <c r="M36" s="286">
        <f>VLOOKUP($B36,'Mosque Locations'!$A:$E,5,false)</f>
        <v>74.3226613</v>
      </c>
      <c r="N36" s="288"/>
      <c r="O36" s="288"/>
      <c r="P36" s="288"/>
      <c r="Q36" s="290" t="str">
        <f>IFERROR(__xludf.DUMMYFUNCTION("IFERROR(
  INDEX(
    FILTER(
      IMPORTRANGE(""1DccNxjBgurEr0ABkI_rBagJT5phB5HaHG5N_mTm_BiA"",""Form Responses 1!T:T""),
      TRIM(IMPORTRANGE(""1DccNxjBgurEr0ABkI_rBagJT5phB5HaHG5N_mTm_BiA"",""Form Responses 1!E:E""))=TRIM($B36)
    ),
    1
  ),
  "&amp;"""Not Found""
)
"),"https://drive.google.com/file/d/1BKYwxunTVjmTGQVZO24H-64oVlGGxz2p/view")</f>
        <v>https://drive.google.com/file/d/1BKYwxunTVjmTGQVZO24H-64oVlGGxz2p/view</v>
      </c>
      <c r="R36" s="290" t="str">
        <f>IFERROR(__xludf.DUMMYFUNCTION("IFERROR(
  INDEX(
    FILTER(
      IMPORTRANGE(""1DccNxjBgurEr0ABkI_rBagJT5phB5HaHG5N_mTm_BiA"",""Form Responses 1!S:S""),
      TRIM(IMPORTRANGE(""1DccNxjBgurEr0ABkI_rBagJT5phB5HaHG5N_mTm_BiA"",""Form Responses 1!E:E""))=TRIM($B36)
    ),
    1
  ),
  "&amp;"""Not Found""
)
"),"https://drive.google.com/open?id=1HWK2N4ppCDwY1Kc258Lr8Dg8SdFbol6b")</f>
        <v>https://drive.google.com/open?id=1HWK2N4ppCDwY1Kc258Lr8Dg8SdFbol6b</v>
      </c>
      <c r="S36" s="285"/>
      <c r="T36" s="290" t="str">
        <f>VLOOKUP($B36,'Master Tracker'!$D:$E,2,false)</f>
        <v>https://drive.google.com/open?id=1mJbDNYlkHSJWfb_1vLE6XDAqeVHe6j3e</v>
      </c>
      <c r="U36" s="291" t="str">
        <f>VLOOKUP($B36,'Master Tracker'!$D:$T,4,FALSE)
</f>
        <v>https://drive.google.com/open?id=1sriZAgkpS-Jo825Fu2WUIT37wXpGhBsY</v>
      </c>
      <c r="V36" s="290" t="str">
        <f>VLOOKUP($B36,'Master Tracker'!$D:$T,5,false)</f>
        <v>https://drive.google.com/open?id=1h0CmlQPJme3hIEMkKNoeU5mnnvOBp97p</v>
      </c>
      <c r="W36" s="291" t="str">
        <f>VLOOKUP($B36,'Master Tracker'!$D:$T,7,false)</f>
        <v>https://drive.google.com/open?id=1uZvbBBuXbhAlijca2704oXUbxei4Kipd</v>
      </c>
      <c r="X36" s="290" t="str">
        <f>VLOOKUP($B36,'Master Tracker'!$D:$T,8,false)</f>
        <v>https://drive.google.com/open?id=1CR9Cq3iFEcntYoD27a0mRFPWDXyKKLPx</v>
      </c>
      <c r="Y36" s="291" t="str">
        <f>VLOOKUP($B36,'Master Tracker'!$D:$T,10,false)</f>
        <v>https://drive.google.com/open?id=1S2DK-KiufFLxqgIYd8dGrwbvnmhcfL09</v>
      </c>
      <c r="Z36" s="290" t="str">
        <f>VLOOKUP($B36,'Master Tracker'!$D:$T,11,false)</f>
        <v>https://drive.google.com/open?id=1uUAu7vXdzuxneWAVRBBP_fAA3bSn1Gen</v>
      </c>
      <c r="AA36" s="291" t="str">
        <f>VLOOKUP($B36,'Master Tracker'!$D:$T,13,false)</f>
        <v>https://drive.google.com/open?id=1LCSsaZBoNjyIycgEL5JrJ6fS-1CmK7m_</v>
      </c>
      <c r="AB36" s="284" t="str">
        <f>VLOOKUP($B36,'Master Tracker'!$D:$T,14,false)</f>
        <v>Not Found</v>
      </c>
      <c r="AC36" s="292" t="str">
        <f>VLOOKUP($B36,'Master Tracker'!$D:$T,16,false)</f>
        <v>Not Found</v>
      </c>
      <c r="AD36" s="292" t="str">
        <f>VLOOKUP($B36,'Master Tracker'!$D:$T,17,false)</f>
        <v>Not Found</v>
      </c>
      <c r="AE36" s="292" t="str">
        <f>VLOOKUP($B36,'Master Tracker'!$D:$V,19,false)</f>
        <v>Not Found</v>
      </c>
      <c r="AF36" s="292">
        <f>IFERROR(__xludf.DUMMYFUNCTION("IFERROR(
  INDEX(
    FILTER(
      'Juma Recording forms'!$G:$G,
      TRIM('Juma Recording forms'!$F:$F) = TRIM($B36),
      'Juma Recording forms'!$AA:$AA = 1
    ),
    1
  ),
  ""Not Found""
)"),93.0)</f>
        <v>93</v>
      </c>
      <c r="AG36" s="292">
        <f>IFERROR(__xludf.DUMMYFUNCTION("IFERROR(
  INDEX(
    FILTER(
      'Juma Recording forms'!$G:$G,
      TRIM('Juma Recording forms'!$F:$F) = TRIM($B36),
      'Juma Recording forms'!$AA:$AA = 2
    ),
    1
  ),
  ""Not Found""
)"),97.0)</f>
        <v>97</v>
      </c>
      <c r="AH36" s="292">
        <f>IFERROR(__xludf.DUMMYFUNCTION("IFERROR(
  INDEX(
    FILTER(
      'Juma Recording forms'!$G:$G,
      TRIM('Juma Recording forms'!$F:$F) = TRIM($B36),
      'Juma Recording forms'!$AA:$AA = 3
    ),
    1
  ),
  ""Not Found""
)"),97.0)</f>
        <v>97</v>
      </c>
      <c r="AI36" s="292">
        <f>IFERROR(__xludf.DUMMYFUNCTION("IFERROR(
  INDEX(
    FILTER(
      'Juma Recording forms'!$G:$G,
      TRIM('Juma Recording forms'!$F:$F) = TRIM($B36),
      'Juma Recording forms'!$AA:$AA = 4
    ),
    1
  ),
  ""Not Found""
)"),92.0)</f>
        <v>92</v>
      </c>
      <c r="AJ36" s="292" t="str">
        <f>IFERROR(__xludf.DUMMYFUNCTION("IFERROR(
  INDEX(
    FILTER(
      'Juma Recording forms'!$G:$G,
      TRIM('Juma Recording forms'!$F:$F) = TRIM($B36),
      'Juma Recording forms'!$AA:$AA = 5
    ),
    1
  ),
  ""Not Found""
)"),"Not Found")</f>
        <v>Not Found</v>
      </c>
      <c r="AK36" s="292" t="str">
        <f>IFERROR(__xludf.DUMMYFUNCTION("IFERROR(
  INDEX(
    FILTER(
      'Juma Recording forms'!$G:$G,
      TRIM('Juma Recording forms'!$F:$F) = TRIM($B36),
      'Juma Recording forms'!$AA:$AA = 6
    ),
    1
  ),
  ""Not Found""
)"),"Not Found")</f>
        <v>Not Found</v>
      </c>
      <c r="AL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1!$E:$E"")=$B36) *
        (IMPORTRANGE(""https://docs.google.com/spreadsheets/d/161aHT6vVT3SLneTKD19N5qVWtnj_jIT8CSsOmUVKmaA/ed"&amp;"it?gid=1761053510"",
          ""Haris_Form responses 1!$AQ:$AQ"")=1)
      ),
      1
    ),
    ""0""
  ),
  ""Form not found""
)
"),"0")</f>
        <v>0</v>
      </c>
      <c r="AM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1!$E:$E"")=$B36) *
        (IMPORTRANGE(""https://docs.google.com/spreadsheets/d/161aHT6vVT3SLneTKD19N5qVWtnj_jIT8CSsOmUVKmaA/ed"&amp;"it?gid=1761053510"",
          ""Haris_Form responses 1!$AQ:$AQ"")=2)
      ),
      1
    ),
    ""0""
  ),
  ""Form not found""
)
"),"0")</f>
        <v>0</v>
      </c>
      <c r="AN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1!$E:$E"")=$B36) *
        (IMPORTRANGE(""https://docs.google.com/spreadsheets/d/161aHT6vVT3SLneTKD19N5qVWtnj_jIT8CSsOmUVKmaA/ed"&amp;"it?gid=1761053510"",
          ""Haris_Form responses 1!$AQ:$AQ"")=3)
      ),
      1
    ),
    ""0""
  ),
  ""Form not found""
)
"),"10")</f>
        <v>10</v>
      </c>
      <c r="AO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1!$E:$E"")=$B36) *
        (IMPORTRANGE(""https://docs.google.com/spreadsheets/d/161aHT6vVT3SLneTKD19N5qVWtnj_jIT8CSsOmUVKmaA/ed"&amp;"it?gid=1761053510"",
          ""Haris_Form responses 1!$AQ:$AQ"")=4)
      ),
      1
    ),
    ""0""
  ),
  ""Form not found""
)
"),"0")</f>
        <v>0</v>
      </c>
      <c r="AP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1!$E:$E"")=$B36) *
        (IMPORTRANGE(""https://docs.google.com/spreadsheets/d/161aHT6vVT3SLneTKD19N5qVWtnj_jIT8CSsOmUVKmaA/ed"&amp;"it?gid=1761053510"",
          ""Haris_Form responses 1!$AQ:$AQ"")=5)
      ),
      1
    ),
    ""0""
  ),
  ""Form not found""
)
"),"Form not found")</f>
        <v>Form not found</v>
      </c>
      <c r="AQ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1!$E:$E"")=$B36) *
        (IMPORTRANGE(""https://docs.google.com/spreadsheets/d/161aHT6vVT3SLneTKD19N5qVWtnj_jIT8CSsOmUVKmaA/ed"&amp;"it?gid=1761053510"",
          ""Haris_Form responses 1!$AQ:$AQ"")=6)
      ),
      1
    ),
    ""0""
  ),
  ""Form not found""
)
"),"Form not found")</f>
        <v>Form not found</v>
      </c>
      <c r="AR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1!$E:$E"")=$B36) *
        (IMPORTRANGE(""https://docs.google.com/spreadsheets/d/161aHT6vVT3SLneTKD19N5qVWtnj_jIT8CSsOmUVKmaA/ed"&amp;"it?gid=1761053510"",
          ""Haris_Form responses 1!$AQ:$AQ"")=1)
      ),
      1
    ),
    ""0""
  ),
  ""Form not found""
)
"),"0")</f>
        <v>0</v>
      </c>
      <c r="AS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1!$E:$E"")=$B36) *
        (IMPORTRANGE(""https://docs.google.com/spreadsheets/d/161aHT6vVT3SLneTKD19N5qVWtnj_jIT8CSsOmUVKmaA/ed"&amp;"it?gid=1761053510"",
          ""Haris_Form responses 1!$AQ:$AQ"")=2)
      ),
      1
    ),
    ""0""
  ),
  ""Form not found""
)
"),"0")</f>
        <v>0</v>
      </c>
      <c r="AT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1!$E:$E"")=$B36) *
        (IMPORTRANGE(""https://docs.google.com/spreadsheets/d/161aHT6vVT3SLneTKD19N5qVWtnj_jIT8CSsOmUVKmaA/ed"&amp;"it?gid=1761053510"",
          ""Haris_Form responses 1!$AQ:$AQ"")=3)
      ),
      1
    ),
    ""0""
  ),
  ""Form not found""
)
"),"0")</f>
        <v>0</v>
      </c>
      <c r="AU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1!$E:$E"")=$B36) *
        (IMPORTRANGE(""https://docs.google.com/spreadsheets/d/161aHT6vVT3SLneTKD19N5qVWtnj_jIT8CSsOmUVKmaA/ed"&amp;"it?gid=1761053510"",
          ""Haris_Form responses 1!$AQ:$AQ"")=4)
      ),
      1
    ),
    ""0""
  ),
  ""Form not found""
)
"),"0")</f>
        <v>0</v>
      </c>
      <c r="AV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1!$E:$E"")=$B36) *
        (IMPORTRANGE(""https://docs.google.com/spreadsheets/d/161aHT6vVT3SLneTKD19N5qVWtnj_jIT8CSsOmUVKmaA/ed"&amp;"it?gid=1761053510"",
          ""Haris_Form responses 1!$AQ:$AQ"")=5)
      ),
      1
    ),
    ""0""
  ),
  ""Form not found""
)
"),"Form not found")</f>
        <v>Form not found</v>
      </c>
      <c r="AW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1!$E:$E"")=$B36) *
        (IMPORTRANGE(""https://docs.google.com/spreadsheets/d/161aHT6vVT3SLneTKD19N5qVWtnj_jIT8CSsOmUVKmaA/ed"&amp;"it?gid=1761053510"",
          ""Haris_Form responses 1!$AQ:$AQ"")=6)
      ),
      1
    ),
    ""0""
  ),
  ""Form not found""
)
"),"Form not found")</f>
        <v>Form not found</v>
      </c>
      <c r="AX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1!$E:$E"")=$B36) *
        (IMPORTRANGE(""https://docs.google.com/spreadsheets/d/161aHT6vVT3SLneTKD19N5qVWtnj_jIT8CSsOmUVKmaA/ed"&amp;"it?gid=1761053510"",
          ""Haris_Form responses 1!$AQ:$AQ"")=1)
      ),
      1
    ),
    ""0""
  ),
  ""Form not found""
)
"),"0")</f>
        <v>0</v>
      </c>
      <c r="AY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1!$E:$E"")=$B36) *
        (IMPORTRANGE(""https://docs.google.com/spreadsheets/d/161aHT6vVT3SLneTKD19N5qVWtnj_jIT8CSsOmUVKmaA/ed"&amp;"it?gid=1761053510"",
          ""Haris_Form responses 1!$AQ:$AQ"")=2)
      ),
      1
    ),
    ""0""
  ),
  ""Form not found""
)
"),"0")</f>
        <v>0</v>
      </c>
      <c r="AZ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1!$E:$E"")=$B36) *
        (IMPORTRANGE(""https://docs.google.com/spreadsheets/d/161aHT6vVT3SLneTKD19N5qVWtnj_jIT8CSsOmUVKmaA/ed"&amp;"it?gid=1761053510"",
          ""Haris_Form responses 1!$AQ:$AQ"")=3)
      ),
      1
    ),
    ""0""
  ),
  ""Form not found""
)
"),"10")</f>
        <v>10</v>
      </c>
      <c r="BA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1!$E:$E"")=$B36) *
        (IMPORTRANGE(""https://docs.google.com/spreadsheets/d/161aHT6vVT3SLneTKD19N5qVWtnj_jIT8CSsOmUVKmaA/ed"&amp;"it?gid=1761053510"",
          ""Haris_Form responses 1!$AQ:$AQ"")=4)
      ),
      1
    ),
    ""0""
  ),
  ""Form not found""
)
"),"0")</f>
        <v>0</v>
      </c>
      <c r="BB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1!$E:$E"")=$B36) *
        (IMPORTRANGE(""https://docs.google.com/spreadsheets/d/161aHT6vVT3SLneTKD19N5qVWtnj_jIT8CSsOmUVKmaA/ed"&amp;"it?gid=1761053510"",
          ""Haris_Form responses 1!$AQ:$AQ"")=5)
      ),
      1
    ),
    ""0""
  ),
  ""Form not found""
)
"),"Form not found")</f>
        <v>Form not found</v>
      </c>
      <c r="BC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1!$E:$E"")=$B36) *
        (IMPORTRANGE(""https://docs.google.com/spreadsheets/d/161aHT6vVT3SLneTKD19N5qVWtnj_jIT8CSsOmUVKmaA/ed"&amp;"it?gid=1761053510"",
          ""Haris_Form responses 1!$AQ:$AQ"")=6)
      ),
      1
    ),
    ""0""
  ),
  ""Form not found""
)
"),"Form not found")</f>
        <v>Form not found</v>
      </c>
      <c r="BD36" s="293"/>
    </row>
    <row r="37">
      <c r="A37" s="283" t="str">
        <f>IFERROR(__xludf.DUMMYFUNCTION("VLOOKUP($B37,IMPORTRANGE(""https://docs.google.com/spreadsheets/d/1VNXDITjs75AcgdBSW27oL1VZH31udDprJSsBcE5xlp4/edit?gid=1551188038#gid=1551188038"", ""Sheet9!$B:$E""),2,false)"),"Lahore")</f>
        <v>Lahore</v>
      </c>
      <c r="B37" s="283" t="s">
        <v>1352</v>
      </c>
      <c r="C37" s="284" t="str">
        <f>IFERROR(__xludf.DUMMYFUNCTION("VLOOKUP(TRIM($B37), IMPORTRANGE(""https://docs.google.com/spreadsheets/d/1aSOrU4PTpuBZqfitKaH1Rfww6-YOiNCKoBpPl8XBHaw/edit?gid=0#gid=0"", ""sheet3!$B:$C""), 2, FALSE)
"),"Jamia Masjid Bibi Pak Daman Lahore")</f>
        <v>Jamia Masjid Bibi Pak Daman Lahore</v>
      </c>
      <c r="D37" s="284" t="str">
        <f>IFERROR(__xludf.DUMMYFUNCTION("IFERROR(
  INDEX(
    FILTER(
      IMPORTRANGE(""1aSOrU4PTpuBZqfitKaH1Rfww6-YOiNCKoBpPl8XBHaw/edit?gid=0#gid=0"",""Sheet1!G:G""),
      IMPORTRANGE(""1aSOrU4PTpuBZqfitKaH1Rfww6-YOiNCKoBpPl8XBHaw/edit?gid=0#gid=0"",""Sheet1!C:C"")=$B37
    ),
    1
  ),
 "&amp;" ""Not Found""
)"),"Control")</f>
        <v>Control</v>
      </c>
      <c r="E37" s="284" t="str">
        <f>VLOOKUP(B37,'Juma Recording forms'!A:E,5,false)</f>
        <v>Jamia Masjid Bibi Pak Daman </v>
      </c>
      <c r="F37" s="284" t="str">
        <f>IFERROR(__xludf.DUMMYFUNCTION("IFERROR(
  INDEX(
    FILTER(
      IMPORTRANGE(""1Cxrhp3-_-HS7v9uuqQliiIfrmMP4VaFoDNDWyUFy2J8/edit?gid=0#gid=0"",""Sheet1!Q:Q""),
      IMPORTRANGE(""1Cxrhp3-_-HS7v9uuqQliiIfrmMP4VaFoDNDWyUFy2J8/edit?gid=0#gid=0"",""Sheet1!K:K"")=$B37
    ),
    1
  ),
 "&amp;" ""Not Found""
)"),"")</f>
        <v/>
      </c>
      <c r="G37" s="284"/>
      <c r="H37" s="284"/>
      <c r="I37" s="285"/>
      <c r="J37" s="286">
        <v>2.0</v>
      </c>
      <c r="K37" s="287" t="str">
        <f>VLOOKUP($B37,'Mosque Locations'!$A:$E,3,FALSE)
</f>
        <v>https://maps.google.com/maps?q=31.5644371%2C74.3387827&amp;z=17&amp;hl=en</v>
      </c>
      <c r="L37" s="286">
        <f>VLOOKUP($B37,'Mosque Locations'!$A:$E,4,FALSE)
</f>
        <v>31.56444</v>
      </c>
      <c r="M37" s="286">
        <f>VLOOKUP($B37,'Mosque Locations'!$A:$E,5,false)</f>
        <v>74.33878</v>
      </c>
      <c r="N37" s="288"/>
      <c r="O37" s="288"/>
      <c r="P37" s="288"/>
      <c r="Q37" s="289" t="str">
        <f>IFERROR(__xludf.DUMMYFUNCTION("IFERROR(
  INDEX(
    FILTER(
      IMPORTRANGE(""1DccNxjBgurEr0ABkI_rBagJT5phB5HaHG5N_mTm_BiA"",""Form Responses 1!T:T""),
      TRIM(IMPORTRANGE(""1DccNxjBgurEr0ABkI_rBagJT5phB5HaHG5N_mTm_BiA"",""Form Responses 1!E:E""))=TRIM($B37)
    ),
    1
  ),
  "&amp;"""Not Found""
)
"),"https://drive.google.com/open?id=1TpgfThCI1PmY7jUNgRw2hm6hNFF1loIR")</f>
        <v>https://drive.google.com/open?id=1TpgfThCI1PmY7jUNgRw2hm6hNFF1loIR</v>
      </c>
      <c r="R37" s="289" t="str">
        <f>IFERROR(__xludf.DUMMYFUNCTION("IFERROR(
  INDEX(
    FILTER(
      IMPORTRANGE(""1DccNxjBgurEr0ABkI_rBagJT5phB5HaHG5N_mTm_BiA"",""Form Responses 1!S:S""),
      TRIM(IMPORTRANGE(""1DccNxjBgurEr0ABkI_rBagJT5phB5HaHG5N_mTm_BiA"",""Form Responses 1!E:E""))=TRIM($B37)
    ),
    1
  ),
  "&amp;"""Not Found""
)
"),"https://drive.google.com/open?id=1m6KDaILkzom45SameYZu-JX6HvSVOYSM")</f>
        <v>https://drive.google.com/open?id=1m6KDaILkzom45SameYZu-JX6HvSVOYSM</v>
      </c>
      <c r="S37" s="285"/>
      <c r="T37" s="290" t="str">
        <f>VLOOKUP($B37,'Master Tracker'!$D:$E,2,false)</f>
        <v>https://drive.google.com/open?id=1yfgpu58wKMSdGbg3cEeXHU5S80thzp6D</v>
      </c>
      <c r="U37" s="291" t="str">
        <f>VLOOKUP($B37,'Master Tracker'!$D:$T,4,FALSE)
</f>
        <v>https://drive.google.com/open?id=1-lX5x7ZsAkaX9fP7x7V7M_kbq0yQRAtb</v>
      </c>
      <c r="V37" s="284" t="str">
        <f>VLOOKUP($B37,'Master Tracker'!$D:$T,5,false)</f>
        <v>Not Found</v>
      </c>
      <c r="W37" s="292" t="str">
        <f>VLOOKUP($B37,'Master Tracker'!$D:$T,7,false)</f>
        <v>Not Found</v>
      </c>
      <c r="X37" s="290" t="str">
        <f>VLOOKUP($B37,'Master Tracker'!$D:$T,8,false)</f>
        <v>https://drive.google.com/open?id=1Jtet982nrjyc3_gFoXM5WqIyQ54Ehbc3</v>
      </c>
      <c r="Y37" s="291" t="str">
        <f>VLOOKUP($B37,'Master Tracker'!$D:$T,10,false)</f>
        <v>https://drive.google.com/open?id=1nO4vLvFIMR0fJYgKOXV7gzLpN5EGO-4P</v>
      </c>
      <c r="Z37" s="284" t="str">
        <f>VLOOKUP($B37,'Master Tracker'!$D:$T,11,false)</f>
        <v>Not Found</v>
      </c>
      <c r="AA37" s="292" t="str">
        <f>VLOOKUP($B37,'Master Tracker'!$D:$T,13,false)</f>
        <v>Not Found</v>
      </c>
      <c r="AB37" s="284" t="str">
        <f>VLOOKUP($B37,'Master Tracker'!$D:$T,14,false)</f>
        <v>Not Found</v>
      </c>
      <c r="AC37" s="292" t="str">
        <f>VLOOKUP($B37,'Master Tracker'!$D:$T,16,false)</f>
        <v>Not Found</v>
      </c>
      <c r="AD37" s="292" t="str">
        <f>VLOOKUP($B37,'Master Tracker'!$D:$T,17,false)</f>
        <v>Not Found</v>
      </c>
      <c r="AE37" s="292" t="str">
        <f>VLOOKUP($B37,'Master Tracker'!$D:$V,19,false)</f>
        <v>Not Found</v>
      </c>
      <c r="AF37" s="292">
        <f>IFERROR(__xludf.DUMMYFUNCTION("IFERROR(
  INDEX(
    FILTER(
      'Juma Recording forms'!$G:$G,
      TRIM('Juma Recording forms'!$F:$F) = TRIM($B37),
      'Juma Recording forms'!$AA:$AA = 1
    ),
    1
  ),
  ""Not Found""
)"),350.0)</f>
        <v>350</v>
      </c>
      <c r="AG37" s="292" t="str">
        <f>IFERROR(__xludf.DUMMYFUNCTION("IFERROR(
  INDEX(
    FILTER(
      'Juma Recording forms'!$G:$G,
      TRIM('Juma Recording forms'!$F:$F) = TRIM($B37),
      'Juma Recording forms'!$AA:$AA = 2
    ),
    1
  ),
  ""Not Found""
)"),"Not Found")</f>
        <v>Not Found</v>
      </c>
      <c r="AH37" s="292">
        <f>IFERROR(__xludf.DUMMYFUNCTION("IFERROR(
  INDEX(
    FILTER(
      'Juma Recording forms'!$G:$G,
      TRIM('Juma Recording forms'!$F:$F) = TRIM($B37),
      'Juma Recording forms'!$AA:$AA = 3
    ),
    1
  ),
  ""Not Found""
)"),360.0)</f>
        <v>360</v>
      </c>
      <c r="AI37" s="292" t="str">
        <f>IFERROR(__xludf.DUMMYFUNCTION("IFERROR(
  INDEX(
    FILTER(
      'Juma Recording forms'!$G:$G,
      TRIM('Juma Recording forms'!$F:$F) = TRIM($B37),
      'Juma Recording forms'!$AA:$AA = 4
    ),
    1
  ),
  ""Not Found""
)"),"Not Found")</f>
        <v>Not Found</v>
      </c>
      <c r="AJ37" s="292" t="str">
        <f>IFERROR(__xludf.DUMMYFUNCTION("IFERROR(
  INDEX(
    FILTER(
      'Juma Recording forms'!$G:$G,
      TRIM('Juma Recording forms'!$F:$F) = TRIM($B37),
      'Juma Recording forms'!$AA:$AA = 5
    ),
    1
  ),
  ""Not Found""
)"),"Not Found")</f>
        <v>Not Found</v>
      </c>
      <c r="AK37" s="292"/>
      <c r="AL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1!$E:$E"")=$B37) *
        (IMPORTRANGE(""https://docs.google.com/spreadsheets/d/161aHT6vVT3SLneTKD19N5qVWtnj_jIT8CSsOmUVKmaA/ed"&amp;"it?gid=1761053510"",
          ""Haris_Form responses 1!$AQ:$AQ"")=1)
      ),
      1
    ),
    ""0""
  ),
  ""Form not found""
)
"),"0")</f>
        <v>0</v>
      </c>
      <c r="AM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1!$E:$E"")=$B37) *
        (IMPORTRANGE(""https://docs.google.com/spreadsheets/d/161aHT6vVT3SLneTKD19N5qVWtnj_jIT8CSsOmUVKmaA/ed"&amp;"it?gid=1761053510"",
          ""Haris_Form responses 1!$AQ:$AQ"")=2)
      ),
      1
    ),
    ""0""
  ),
  ""Form not found""
)
"),"Form not found")</f>
        <v>Form not found</v>
      </c>
      <c r="AN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1!$E:$E"")=$B37) *
        (IMPORTRANGE(""https://docs.google.com/spreadsheets/d/161aHT6vVT3SLneTKD19N5qVWtnj_jIT8CSsOmUVKmaA/ed"&amp;"it?gid=1761053510"",
          ""Haris_Form responses 1!$AQ:$AQ"")=3)
      ),
      1
    ),
    ""0""
  ),
  ""Form not found""
)
"),"0")</f>
        <v>0</v>
      </c>
      <c r="AO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1!$E:$E"")=$B37) *
        (IMPORTRANGE(""https://docs.google.com/spreadsheets/d/161aHT6vVT3SLneTKD19N5qVWtnj_jIT8CSsOmUVKmaA/ed"&amp;"it?gid=1761053510"",
          ""Haris_Form responses 1!$AQ:$AQ"")=4)
      ),
      1
    ),
    ""0""
  ),
  ""Form not found""
)
"),"Form not found")</f>
        <v>Form not found</v>
      </c>
      <c r="AP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1!$E:$E"")=$B37) *
        (IMPORTRANGE(""https://docs.google.com/spreadsheets/d/161aHT6vVT3SLneTKD19N5qVWtnj_jIT8CSsOmUVKmaA/ed"&amp;"it?gid=1761053510"",
          ""Haris_Form responses 1!$AQ:$AQ"")=5)
      ),
      1
    ),
    ""0""
  ),
  ""Form not found""
)
"),"Form not found")</f>
        <v>Form not found</v>
      </c>
      <c r="AQ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1!$E:$E"")=$B37) *
        (IMPORTRANGE(""https://docs.google.com/spreadsheets/d/161aHT6vVT3SLneTKD19N5qVWtnj_jIT8CSsOmUVKmaA/ed"&amp;"it?gid=1761053510"",
          ""Haris_Form responses 1!$AQ:$AQ"")=6)
      ),
      1
    ),
    ""0""
  ),
  ""Form not found""
)
"),"Form not found")</f>
        <v>Form not found</v>
      </c>
      <c r="AR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1!$E:$E"")=$B37) *
        (IMPORTRANGE(""https://docs.google.com/spreadsheets/d/161aHT6vVT3SLneTKD19N5qVWtnj_jIT8CSsOmUVKmaA/ed"&amp;"it?gid=1761053510"",
          ""Haris_Form responses 1!$AQ:$AQ"")=1)
      ),
      1
    ),
    ""0""
  ),
  ""Form not found""
)
"),"0")</f>
        <v>0</v>
      </c>
      <c r="AS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1!$E:$E"")=$B37) *
        (IMPORTRANGE(""https://docs.google.com/spreadsheets/d/161aHT6vVT3SLneTKD19N5qVWtnj_jIT8CSsOmUVKmaA/ed"&amp;"it?gid=1761053510"",
          ""Haris_Form responses 1!$AQ:$AQ"")=2)
      ),
      1
    ),
    ""0""
  ),
  ""Form not found""
)
"),"Form not found")</f>
        <v>Form not found</v>
      </c>
      <c r="AT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1!$E:$E"")=$B37) *
        (IMPORTRANGE(""https://docs.google.com/spreadsheets/d/161aHT6vVT3SLneTKD19N5qVWtnj_jIT8CSsOmUVKmaA/ed"&amp;"it?gid=1761053510"",
          ""Haris_Form responses 1!$AQ:$AQ"")=3)
      ),
      1
    ),
    ""0""
  ),
  ""Form not found""
)
"),"0")</f>
        <v>0</v>
      </c>
      <c r="AU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1!$E:$E"")=$B37) *
        (IMPORTRANGE(""https://docs.google.com/spreadsheets/d/161aHT6vVT3SLneTKD19N5qVWtnj_jIT8CSsOmUVKmaA/ed"&amp;"it?gid=1761053510"",
          ""Haris_Form responses 1!$AQ:$AQ"")=4)
      ),
      1
    ),
    ""0""
  ),
  ""Form not found""
)
"),"Form not found")</f>
        <v>Form not found</v>
      </c>
      <c r="AV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1!$E:$E"")=$B37) *
        (IMPORTRANGE(""https://docs.google.com/spreadsheets/d/161aHT6vVT3SLneTKD19N5qVWtnj_jIT8CSsOmUVKmaA/ed"&amp;"it?gid=1761053510"",
          ""Haris_Form responses 1!$AQ:$AQ"")=5)
      ),
      1
    ),
    ""0""
  ),
  ""Form not found""
)
"),"Form not found")</f>
        <v>Form not found</v>
      </c>
      <c r="AW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1!$E:$E"")=$B37) *
        (IMPORTRANGE(""https://docs.google.com/spreadsheets/d/161aHT6vVT3SLneTKD19N5qVWtnj_jIT8CSsOmUVKmaA/ed"&amp;"it?gid=1761053510"",
          ""Haris_Form responses 1!$AQ:$AQ"")=6)
      ),
      1
    ),
    ""0""
  ),
  ""Form not found""
)
"),"Form not found")</f>
        <v>Form not found</v>
      </c>
      <c r="AX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1!$E:$E"")=$B37) *
        (IMPORTRANGE(""https://docs.google.com/spreadsheets/d/161aHT6vVT3SLneTKD19N5qVWtnj_jIT8CSsOmUVKmaA/ed"&amp;"it?gid=1761053510"",
          ""Haris_Form responses 1!$AQ:$AQ"")=1)
      ),
      1
    ),
    ""0""
  ),
  ""Form not found""
)
"),"0")</f>
        <v>0</v>
      </c>
      <c r="AY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1!$E:$E"")=$B37) *
        (IMPORTRANGE(""https://docs.google.com/spreadsheets/d/161aHT6vVT3SLneTKD19N5qVWtnj_jIT8CSsOmUVKmaA/ed"&amp;"it?gid=1761053510"",
          ""Haris_Form responses 1!$AQ:$AQ"")=2)
      ),
      1
    ),
    ""0""
  ),
  ""Form not found""
)
"),"Form not found")</f>
        <v>Form not found</v>
      </c>
      <c r="AZ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1!$E:$E"")=$B37) *
        (IMPORTRANGE(""https://docs.google.com/spreadsheets/d/161aHT6vVT3SLneTKD19N5qVWtnj_jIT8CSsOmUVKmaA/ed"&amp;"it?gid=1761053510"",
          ""Haris_Form responses 1!$AQ:$AQ"")=3)
      ),
      1
    ),
    ""0""
  ),
  ""Form not found""
)
"),"0")</f>
        <v>0</v>
      </c>
      <c r="BA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1!$E:$E"")=$B37) *
        (IMPORTRANGE(""https://docs.google.com/spreadsheets/d/161aHT6vVT3SLneTKD19N5qVWtnj_jIT8CSsOmUVKmaA/ed"&amp;"it?gid=1761053510"",
          ""Haris_Form responses 1!$AQ:$AQ"")=4)
      ),
      1
    ),
    ""0""
  ),
  ""Form not found""
)
"),"Form not found")</f>
        <v>Form not found</v>
      </c>
      <c r="BB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1!$E:$E"")=$B37) *
        (IMPORTRANGE(""https://docs.google.com/spreadsheets/d/161aHT6vVT3SLneTKD19N5qVWtnj_jIT8CSsOmUVKmaA/ed"&amp;"it?gid=1761053510"",
          ""Haris_Form responses 1!$AQ:$AQ"")=5)
      ),
      1
    ),
    ""0""
  ),
  ""Form not found""
)
"),"Form not found")</f>
        <v>Form not found</v>
      </c>
      <c r="BC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1!$E:$E"")=$B37) *
        (IMPORTRANGE(""https://docs.google.com/spreadsheets/d/161aHT6vVT3SLneTKD19N5qVWtnj_jIT8CSsOmUVKmaA/ed"&amp;"it?gid=1761053510"",
          ""Haris_Form responses 1!$AQ:$AQ"")=6)
      ),
      1
    ),
    ""0""
  ),
  ""Form not found""
)
"),"Form not found")</f>
        <v>Form not found</v>
      </c>
      <c r="BD37" s="293"/>
    </row>
    <row r="38">
      <c r="A38" s="283" t="str">
        <f>IFERROR(__xludf.DUMMYFUNCTION("VLOOKUP($B38,IMPORTRANGE(""https://docs.google.com/spreadsheets/d/1VNXDITjs75AcgdBSW27oL1VZH31udDprJSsBcE5xlp4/edit?gid=1551188038#gid=1551188038"", ""Sheet9!$B:$E""),2,false)"),"Lahore")</f>
        <v>Lahore</v>
      </c>
      <c r="B38" s="283" t="s">
        <v>2311</v>
      </c>
      <c r="C38" s="284" t="str">
        <f>IFERROR(__xludf.DUMMYFUNCTION("VLOOKUP(TRIM($B38), IMPORTRANGE(""https://docs.google.com/spreadsheets/d/1aSOrU4PTpuBZqfitKaH1Rfww6-YOiNCKoBpPl8XBHaw/edit?gid=0#gid=0"", ""sheet3!$B:$C""), 2, FALSE)
"),"Jamia Masjid Darbar Madu Laal Hussain Lahore")</f>
        <v>Jamia Masjid Darbar Madu Laal Hussain Lahore</v>
      </c>
      <c r="D38" s="284" t="str">
        <f>IFERROR(__xludf.DUMMYFUNCTION("IFERROR(
  INDEX(
    FILTER(
      IMPORTRANGE(""1aSOrU4PTpuBZqfitKaH1Rfww6-YOiNCKoBpPl8XBHaw/edit?gid=0#gid=0"",""Sheet1!G:G""),
      IMPORTRANGE(""1aSOrU4PTpuBZqfitKaH1Rfww6-YOiNCKoBpPl8XBHaw/edit?gid=0#gid=0"",""Sheet1!C:C"")=$B38
    ),
    1
  ),
 "&amp;" ""Not Found""
)"),"Women Secular Info Share")</f>
        <v>Women Secular Info Share</v>
      </c>
      <c r="E38" s="284" t="str">
        <f>VLOOKUP(B38,'Juma Recording forms'!A:E,5,false)</f>
        <v>Jamia Masjid Darbar Madoh Laal Hussain</v>
      </c>
      <c r="F38" s="284" t="str">
        <f>IFERROR(__xludf.DUMMYFUNCTION("IFERROR(
  INDEX(
    FILTER(
      IMPORTRANGE(""1Cxrhp3-_-HS7v9uuqQliiIfrmMP4VaFoDNDWyUFy2J8/edit?gid=0#gid=0"",""Sheet1!Q:Q""),
      IMPORTRANGE(""1Cxrhp3-_-HS7v9uuqQliiIfrmMP4VaFoDNDWyUFy2J8/edit?gid=0#gid=0"",""Sheet1!K:K"")=$B38
    ),
    1
  ),
 "&amp;" ""Not Found""
)"),"Qari Tanveer sab")</f>
        <v>Qari Tanveer sab</v>
      </c>
      <c r="G38" s="284">
        <v>2012.0</v>
      </c>
      <c r="H38" s="284" t="s">
        <v>4824</v>
      </c>
      <c r="I38" s="285"/>
      <c r="J38" s="286">
        <v>2.0</v>
      </c>
      <c r="K38" s="287" t="str">
        <f>VLOOKUP($B38,'Mosque Locations'!$A:$E,3,FALSE)
</f>
        <v>https://maps.google.com/maps?q=31.5856288%2C74.3742518&amp;z=17&amp;hl=en</v>
      </c>
      <c r="L38" s="286">
        <f>VLOOKUP($B38,'Mosque Locations'!$A:$E,4,FALSE)
</f>
        <v>31.58563</v>
      </c>
      <c r="M38" s="286">
        <f>VLOOKUP($B38,'Mosque Locations'!$A:$E,5,false)</f>
        <v>74.37425</v>
      </c>
      <c r="N38" s="288"/>
      <c r="O38" s="288"/>
      <c r="P38" s="288"/>
      <c r="Q38" s="290" t="str">
        <f>IFERROR(__xludf.DUMMYFUNCTION("IFERROR(
  INDEX(
    FILTER(
      IMPORTRANGE(""1DccNxjBgurEr0ABkI_rBagJT5phB5HaHG5N_mTm_BiA"",""Form Responses 1!T:T""),
      TRIM(IMPORTRANGE(""1DccNxjBgurEr0ABkI_rBagJT5phB5HaHG5N_mTm_BiA"",""Form Responses 1!E:E""))=TRIM($B38)
    ),
    1
  ),
  "&amp;"""Not Found""
)
"),"https://drive.google.com/open?id=1_cHM-eiykRp8CPVA1M2RZ-4BYRIzV3kV")</f>
        <v>https://drive.google.com/open?id=1_cHM-eiykRp8CPVA1M2RZ-4BYRIzV3kV</v>
      </c>
      <c r="R38" s="290" t="str">
        <f>IFERROR(__xludf.DUMMYFUNCTION("IFERROR(
  INDEX(
    FILTER(
      IMPORTRANGE(""1DccNxjBgurEr0ABkI_rBagJT5phB5HaHG5N_mTm_BiA"",""Form Responses 1!S:S""),
      TRIM(IMPORTRANGE(""1DccNxjBgurEr0ABkI_rBagJT5phB5HaHG5N_mTm_BiA"",""Form Responses 1!E:E""))=TRIM($B38)
    ),
    1
  ),
  "&amp;"""Not Found""
)
"),"https://drive.google.com/open?id=1BICpKMbXfQ2YNjoqkeKahQOsHeV2GPIq")</f>
        <v>https://drive.google.com/open?id=1BICpKMbXfQ2YNjoqkeKahQOsHeV2GPIq</v>
      </c>
      <c r="S38" s="285"/>
      <c r="T38" s="284" t="str">
        <f>VLOOKUP($B38,'Master Tracker'!$D:$E,2,false)</f>
        <v>skipped</v>
      </c>
      <c r="U38" s="292" t="str">
        <f>VLOOKUP($B38,'Master Tracker'!$D:$T,4,FALSE)
</f>
        <v>Not Found</v>
      </c>
      <c r="V38" s="290" t="str">
        <f>VLOOKUP($B38,'Master Tracker'!$D:$T,5,false)</f>
        <v>https://drive.google.com/open?id=1ZzrcTeOidPtfIDnrBfHbmjIQexw5Ox7Y</v>
      </c>
      <c r="W38" s="291" t="str">
        <f>VLOOKUP($B38,'Master Tracker'!$D:$T,7,false)</f>
        <v>https://drive.google.com/open?id=1tJi5qntb5jqbIFqMp7SCpHoi5uXuPWBc</v>
      </c>
      <c r="X38" s="290" t="str">
        <f>VLOOKUP($B38,'Master Tracker'!$D:$T,8,false)</f>
        <v>https://drive.google.com/open?id=1b4ROcWLTkFo9wz14FvoPPxYUhwwwBVdK</v>
      </c>
      <c r="Y38" s="291" t="str">
        <f>VLOOKUP($B38,'Master Tracker'!$D:$T,10,false)</f>
        <v>https://docs.google.com/document/d/1KA2tMyHqxv6H73QYm9C6vaWmfEkyY3NB/edit?usp=drivesdk&amp;ouid=109063318554935188656&amp;rtpof=true&amp;sd=true</v>
      </c>
      <c r="Z38" s="290" t="str">
        <f>VLOOKUP($B38,'Master Tracker'!$D:$T,11,false)</f>
        <v>https://drive.google.com/open?id=1cLw96iCvYktrXAiEVYNUGSqT0FXkul0e</v>
      </c>
      <c r="AA38" s="291" t="str">
        <f>VLOOKUP($B38,'Master Tracker'!$D:$T,13,false)</f>
        <v>https://drive.google.com/open?id=1bP1qQkYb5PEmwUnxQZmkTL5UJ0F0mgUz</v>
      </c>
      <c r="AB38" s="284" t="str">
        <f>VLOOKUP($B38,'Master Tracker'!$D:$T,14,false)</f>
        <v>Not Found</v>
      </c>
      <c r="AC38" s="292" t="str">
        <f>VLOOKUP($B38,'Master Tracker'!$D:$T,16,false)</f>
        <v>Not Found</v>
      </c>
      <c r="AD38" s="292" t="str">
        <f>VLOOKUP($B38,'Master Tracker'!$D:$T,17,false)</f>
        <v>Not Found</v>
      </c>
      <c r="AE38" s="292" t="str">
        <f>VLOOKUP($B38,'Master Tracker'!$D:$V,19,false)</f>
        <v>Not Found</v>
      </c>
      <c r="AF38" s="292" t="str">
        <f>IFERROR(__xludf.DUMMYFUNCTION("IFERROR(
  INDEX(
    FILTER(
      'Juma Recording forms'!$G:$G,
      TRIM('Juma Recording forms'!$F:$F) = TRIM($B38),
      'Juma Recording forms'!$AA:$AA = 1
    ),
    1
  ),
  ""Not Found""
)"),"Not Found")</f>
        <v>Not Found</v>
      </c>
      <c r="AG38" s="292">
        <f>IFERROR(__xludf.DUMMYFUNCTION("IFERROR(
  INDEX(
    FILTER(
      'Juma Recording forms'!$G:$G,
      TRIM('Juma Recording forms'!$F:$F) = TRIM($B38),
      'Juma Recording forms'!$AA:$AA = 2
    ),
    1
  ),
  ""Not Found""
)"),620.0)</f>
        <v>620</v>
      </c>
      <c r="AH38" s="292">
        <f>IFERROR(__xludf.DUMMYFUNCTION("IFERROR(
  INDEX(
    FILTER(
      'Juma Recording forms'!$G:$G,
      TRIM('Juma Recording forms'!$F:$F) = TRIM($B38),
      'Juma Recording forms'!$AA:$AA = 3
    ),
    1
  ),
  ""Not Found""
)"),640.0)</f>
        <v>640</v>
      </c>
      <c r="AI38" s="292">
        <f>IFERROR(__xludf.DUMMYFUNCTION("IFERROR(
  INDEX(
    FILTER(
      'Juma Recording forms'!$G:$G,
      TRIM('Juma Recording forms'!$F:$F) = TRIM($B38),
      'Juma Recording forms'!$AA:$AA = 4
    ),
    1
  ),
  ""Not Found""
)"),680.0)</f>
        <v>680</v>
      </c>
      <c r="AJ38" s="292" t="str">
        <f>IFERROR(__xludf.DUMMYFUNCTION("IFERROR(
  INDEX(
    FILTER(
      'Juma Recording forms'!$G:$G,
      TRIM('Juma Recording forms'!$F:$F) = TRIM($B38),
      'Juma Recording forms'!$AA:$AA = 5
    ),
    1
  ),
  ""Not Found""
)"),"Not Found")</f>
        <v>Not Found</v>
      </c>
      <c r="AK38" s="292" t="str">
        <f>IFERROR(__xludf.DUMMYFUNCTION("IFERROR(
  INDEX(
    FILTER(
      'Juma Recording forms'!$G:$G,
      TRIM('Juma Recording forms'!$F:$F) = TRIM($B38),
      'Juma Recording forms'!$AA:$AA = 6
    ),
    1
  ),
  ""Not Found""
)"),"Not Found")</f>
        <v>Not Found</v>
      </c>
      <c r="AL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1!$E:$E"")=$B38) *
        (IMPORTRANGE(""https://docs.google.com/spreadsheets/d/161aHT6vVT3SLneTKD19N5qVWtnj_jIT8CSsOmUVKmaA/ed"&amp;"it?gid=1761053510"",
          ""Haris_Form responses 1!$AQ:$AQ"")=1)
      ),
      1
    ),
    ""0""
  ),
  ""Form not found""
)
"),"Form not found")</f>
        <v>Form not found</v>
      </c>
      <c r="AM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1!$E:$E"")=$B38) *
        (IMPORTRANGE(""https://docs.google.com/spreadsheets/d/161aHT6vVT3SLneTKD19N5qVWtnj_jIT8CSsOmUVKmaA/ed"&amp;"it?gid=1761053510"",
          ""Haris_Form responses 1!$AQ:$AQ"")=2)
      ),
      1
    ),
    ""0""
  ),
  ""Form not found""
)
"),"10")</f>
        <v>10</v>
      </c>
      <c r="AN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1!$E:$E"")=$B38) *
        (IMPORTRANGE(""https://docs.google.com/spreadsheets/d/161aHT6vVT3SLneTKD19N5qVWtnj_jIT8CSsOmUVKmaA/ed"&amp;"it?gid=1761053510"",
          ""Haris_Form responses 1!$AQ:$AQ"")=3)
      ),
      1
    ),
    ""0""
  ),
  ""Form not found""
)
"),"10")</f>
        <v>10</v>
      </c>
      <c r="AO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1!$E:$E"")=$B38) *
        (IMPORTRANGE(""https://docs.google.com/spreadsheets/d/161aHT6vVT3SLneTKD19N5qVWtnj_jIT8CSsOmUVKmaA/ed"&amp;"it?gid=1761053510"",
          ""Haris_Form responses 1!$AQ:$AQ"")=4)
      ),
      1
    ),
    ""0""
  ),
  ""Form not found""
)
"),"0")</f>
        <v>0</v>
      </c>
      <c r="AP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1!$E:$E"")=$B38) *
        (IMPORTRANGE(""https://docs.google.com/spreadsheets/d/161aHT6vVT3SLneTKD19N5qVWtnj_jIT8CSsOmUVKmaA/ed"&amp;"it?gid=1761053510"",
          ""Haris_Form responses 1!$AQ:$AQ"")=5)
      ),
      1
    ),
    ""0""
  ),
  ""Form not found""
)
"),"Form not found")</f>
        <v>Form not found</v>
      </c>
      <c r="AQ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1!$E:$E"")=$B38) *
        (IMPORTRANGE(""https://docs.google.com/spreadsheets/d/161aHT6vVT3SLneTKD19N5qVWtnj_jIT8CSsOmUVKmaA/ed"&amp;"it?gid=1761053510"",
          ""Haris_Form responses 1!$AQ:$AQ"")=6)
      ),
      1
    ),
    ""0""
  ),
  ""Form not found""
)
"),"Form not found")</f>
        <v>Form not found</v>
      </c>
      <c r="AR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1!$E:$E"")=$B38) *
        (IMPORTRANGE(""https://docs.google.com/spreadsheets/d/161aHT6vVT3SLneTKD19N5qVWtnj_jIT8CSsOmUVKmaA/ed"&amp;"it?gid=1761053510"",
          ""Haris_Form responses 1!$AQ:$AQ"")=1)
      ),
      1
    ),
    ""0""
  ),
  ""Form not found""
)
"),"Form not found")</f>
        <v>Form not found</v>
      </c>
      <c r="AS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1!$E:$E"")=$B38) *
        (IMPORTRANGE(""https://docs.google.com/spreadsheets/d/161aHT6vVT3SLneTKD19N5qVWtnj_jIT8CSsOmUVKmaA/ed"&amp;"it?gid=1761053510"",
          ""Haris_Form responses 1!$AQ:$AQ"")=2)
      ),
      1
    ),
    ""0""
  ),
  ""Form not found""
)
"),"0")</f>
        <v>0</v>
      </c>
      <c r="AT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1!$E:$E"")=$B38) *
        (IMPORTRANGE(""https://docs.google.com/spreadsheets/d/161aHT6vVT3SLneTKD19N5qVWtnj_jIT8CSsOmUVKmaA/ed"&amp;"it?gid=1761053510"",
          ""Haris_Form responses 1!$AQ:$AQ"")=3)
      ),
      1
    ),
    ""0""
  ),
  ""Form not found""
)
"),"0")</f>
        <v>0</v>
      </c>
      <c r="AU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1!$E:$E"")=$B38) *
        (IMPORTRANGE(""https://docs.google.com/spreadsheets/d/161aHT6vVT3SLneTKD19N5qVWtnj_jIT8CSsOmUVKmaA/ed"&amp;"it?gid=1761053510"",
          ""Haris_Form responses 1!$AQ:$AQ"")=4)
      ),
      1
    ),
    ""0""
  ),
  ""Form not found""
)
"),"0")</f>
        <v>0</v>
      </c>
      <c r="AV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1!$E:$E"")=$B38) *
        (IMPORTRANGE(""https://docs.google.com/spreadsheets/d/161aHT6vVT3SLneTKD19N5qVWtnj_jIT8CSsOmUVKmaA/ed"&amp;"it?gid=1761053510"",
          ""Haris_Form responses 1!$AQ:$AQ"")=5)
      ),
      1
    ),
    ""0""
  ),
  ""Form not found""
)
"),"Form not found")</f>
        <v>Form not found</v>
      </c>
      <c r="AW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1!$E:$E"")=$B38) *
        (IMPORTRANGE(""https://docs.google.com/spreadsheets/d/161aHT6vVT3SLneTKD19N5qVWtnj_jIT8CSsOmUVKmaA/ed"&amp;"it?gid=1761053510"",
          ""Haris_Form responses 1!$AQ:$AQ"")=6)
      ),
      1
    ),
    ""0""
  ),
  ""Form not found""
)
"),"Form not found")</f>
        <v>Form not found</v>
      </c>
      <c r="AX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1!$E:$E"")=$B38) *
        (IMPORTRANGE(""https://docs.google.com/spreadsheets/d/161aHT6vVT3SLneTKD19N5qVWtnj_jIT8CSsOmUVKmaA/ed"&amp;"it?gid=1761053510"",
          ""Haris_Form responses 1!$AQ:$AQ"")=1)
      ),
      1
    ),
    ""0""
  ),
  ""Form not found""
)
"),"Form not found")</f>
        <v>Form not found</v>
      </c>
      <c r="AY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1!$E:$E"")=$B38) *
        (IMPORTRANGE(""https://docs.google.com/spreadsheets/d/161aHT6vVT3SLneTKD19N5qVWtnj_jIT8CSsOmUVKmaA/ed"&amp;"it?gid=1761053510"",
          ""Haris_Form responses 1!$AQ:$AQ"")=2)
      ),
      1
    ),
    ""0""
  ),
  ""Form not found""
)
"),"10")</f>
        <v>10</v>
      </c>
      <c r="AZ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1!$E:$E"")=$B38) *
        (IMPORTRANGE(""https://docs.google.com/spreadsheets/d/161aHT6vVT3SLneTKD19N5qVWtnj_jIT8CSsOmUVKmaA/ed"&amp;"it?gid=1761053510"",
          ""Haris_Form responses 1!$AQ:$AQ"")=3)
      ),
      1
    ),
    ""0""
  ),
  ""Form not found""
)
"),"10")</f>
        <v>10</v>
      </c>
      <c r="BA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1!$E:$E"")=$B38) *
        (IMPORTRANGE(""https://docs.google.com/spreadsheets/d/161aHT6vVT3SLneTKD19N5qVWtnj_jIT8CSsOmUVKmaA/ed"&amp;"it?gid=1761053510"",
          ""Haris_Form responses 1!$AQ:$AQ"")=4)
      ),
      1
    ),
    ""0""
  ),
  ""Form not found""
)
"),"0")</f>
        <v>0</v>
      </c>
      <c r="BB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1!$E:$E"")=$B38) *
        (IMPORTRANGE(""https://docs.google.com/spreadsheets/d/161aHT6vVT3SLneTKD19N5qVWtnj_jIT8CSsOmUVKmaA/ed"&amp;"it?gid=1761053510"",
          ""Haris_Form responses 1!$AQ:$AQ"")=5)
      ),
      1
    ),
    ""0""
  ),
  ""Form not found""
)
"),"Form not found")</f>
        <v>Form not found</v>
      </c>
      <c r="BC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1!$E:$E"")=$B38) *
        (IMPORTRANGE(""https://docs.google.com/spreadsheets/d/161aHT6vVT3SLneTKD19N5qVWtnj_jIT8CSsOmUVKmaA/ed"&amp;"it?gid=1761053510"",
          ""Haris_Form responses 1!$AQ:$AQ"")=6)
      ),
      1
    ),
    ""0""
  ),
  ""Form not found""
)
"),"Form not found")</f>
        <v>Form not found</v>
      </c>
      <c r="BD38" s="293"/>
    </row>
    <row r="39">
      <c r="A39" s="283" t="str">
        <f>IFERROR(__xludf.DUMMYFUNCTION("VLOOKUP($B39,IMPORTRANGE(""https://docs.google.com/spreadsheets/d/1VNXDITjs75AcgdBSW27oL1VZH31udDprJSsBcE5xlp4/edit?gid=1551188038#gid=1551188038"", ""Sheet9!$B:$E""),2,false)"),"Lahore")</f>
        <v>Lahore</v>
      </c>
      <c r="B39" s="283" t="s">
        <v>1809</v>
      </c>
      <c r="C39" s="284" t="str">
        <f>IFERROR(__xludf.DUMMYFUNCTION("VLOOKUP(TRIM($B39), IMPORTRANGE(""https://docs.google.com/spreadsheets/d/1aSOrU4PTpuBZqfitKaH1Rfww6-YOiNCKoBpPl8XBHaw/edit?gid=0#gid=0"", ""sheet3!$B:$C""), 2, FALSE)
"),"Jamia Masjid Ghosia Masti Gate Lahore")</f>
        <v>Jamia Masjid Ghosia Masti Gate Lahore</v>
      </c>
      <c r="D39" s="284" t="str">
        <f>IFERROR(__xludf.DUMMYFUNCTION("IFERROR(
  INDEX(
    FILTER(
      IMPORTRANGE(""1aSOrU4PTpuBZqfitKaH1Rfww6-YOiNCKoBpPl8XBHaw/edit?gid=0#gid=0"",""Sheet1!G:G""),
      IMPORTRANGE(""1aSOrU4PTpuBZqfitKaH1Rfww6-YOiNCKoBpPl8XBHaw/edit?gid=0#gid=0"",""Sheet1!C:C"")=$B39
    ),
    1
  ),
 "&amp;" ""Not Found""
)"),"Control")</f>
        <v>Control</v>
      </c>
      <c r="E39" s="284" t="str">
        <f>VLOOKUP(B39,'Juma Recording forms'!A:E,5,false)</f>
        <v>Jamia Masjid Ghosia Masti Gate Lahore</v>
      </c>
      <c r="F39" s="284" t="str">
        <f>IFERROR(__xludf.DUMMYFUNCTION("IFERROR(
  INDEX(
    FILTER(
      IMPORTRANGE(""1Cxrhp3-_-HS7v9uuqQliiIfrmMP4VaFoDNDWyUFy2J8/edit?gid=0#gid=0"",""Sheet1!Q:Q""),
      IMPORTRANGE(""1Cxrhp3-_-HS7v9uuqQliiIfrmMP4VaFoDNDWyUFy2J8/edit?gid=0#gid=0"",""Sheet1!K:K"")=$B39
    ),
    1
  ),
 "&amp;" ""Not Found""
)"),"Qari Naeem ur Rehman 
")</f>
        <v>Qari Naeem ur Rehman 
</v>
      </c>
      <c r="G39" s="284">
        <v>1930.0</v>
      </c>
      <c r="H39" s="284"/>
      <c r="I39" s="285"/>
      <c r="J39" s="286">
        <v>2.0</v>
      </c>
      <c r="K39" s="287" t="str">
        <f>VLOOKUP($B39,'Mosque Locations'!$A:$E,3,FALSE)
</f>
        <v>https://maps.google.com/maps?q=31.5884155%2C74.3190388&amp;z=17&amp;hl=en</v>
      </c>
      <c r="L39" s="286">
        <f>VLOOKUP($B39,'Mosque Locations'!$A:$E,4,FALSE)
</f>
        <v>31.5884155</v>
      </c>
      <c r="M39" s="286">
        <f>VLOOKUP($B39,'Mosque Locations'!$A:$E,5,false)</f>
        <v>74.3190388</v>
      </c>
      <c r="N39" s="288"/>
      <c r="O39" s="288"/>
      <c r="P39" s="288"/>
      <c r="Q39" s="290" t="str">
        <f>IFERROR(__xludf.DUMMYFUNCTION("IFERROR(
  INDEX(
    FILTER(
      IMPORTRANGE(""1DccNxjBgurEr0ABkI_rBagJT5phB5HaHG5N_mTm_BiA"",""Form Responses 1!T:T""),
      TRIM(IMPORTRANGE(""1DccNxjBgurEr0ABkI_rBagJT5phB5HaHG5N_mTm_BiA"",""Form Responses 1!E:E""))=TRIM($B39)
    ),
    1
  ),
  "&amp;"""Not Found""
)
"),"https://drive.google.com/open?id=1QGEfcnx1TqdnyNh49u227GSkvHSLIFDN")</f>
        <v>https://drive.google.com/open?id=1QGEfcnx1TqdnyNh49u227GSkvHSLIFDN</v>
      </c>
      <c r="R39" s="289" t="str">
        <f>IFERROR(__xludf.DUMMYFUNCTION("IFERROR(
  INDEX(
    FILTER(
      IMPORTRANGE(""1DccNxjBgurEr0ABkI_rBagJT5phB5HaHG5N_mTm_BiA"",""Form Responses 1!S:S""),
      TRIM(IMPORTRANGE(""1DccNxjBgurEr0ABkI_rBagJT5phB5HaHG5N_mTm_BiA"",""Form Responses 1!E:E""))=TRIM($B39)
    ),
    1
  ),
  "&amp;"""Not Found""
)
"),"https://drive.google.com/open?id=1EWh1wYRomzuc_q17BUhrGFYpT6-YsWYw")</f>
        <v>https://drive.google.com/open?id=1EWh1wYRomzuc_q17BUhrGFYpT6-YsWYw</v>
      </c>
      <c r="S39" s="285"/>
      <c r="T39" s="290" t="str">
        <f>VLOOKUP($B39,'Master Tracker'!$D:$E,2,false)</f>
        <v>https://drive.google.com/file/d/1linZt5zkTNX_BYSbs6uz1rqFJpZqb9fV/view?usp=drive_link</v>
      </c>
      <c r="U39" s="291" t="str">
        <f>VLOOKUP($B39,'Master Tracker'!$D:$T,4,FALSE)
</f>
        <v>https://drive.google.com/open?id=1lgliwNu_DkDwTCoPSDn3wT7bkRFXTzxz</v>
      </c>
      <c r="V39" s="284" t="str">
        <f>VLOOKUP($B39,'Master Tracker'!$D:$T,5,false)</f>
        <v>Not Found</v>
      </c>
      <c r="W39" s="292" t="str">
        <f>VLOOKUP($B39,'Master Tracker'!$D:$T,7,false)</f>
        <v>Not Found</v>
      </c>
      <c r="X39" s="290" t="str">
        <f>VLOOKUP($B39,'Master Tracker'!$D:$T,8,false)</f>
        <v>https://drive.google.com/open?id=1HW9q0BtiI_cLBRHkdwpteSFwDgrljlAN</v>
      </c>
      <c r="Y39" s="291" t="str">
        <f>VLOOKUP($B39,'Master Tracker'!$D:$T,10,false)</f>
        <v>https://drive.google.com/open?id=153DedlwyZSZk_XNECoggINfCeN718EyU</v>
      </c>
      <c r="Z39" s="284" t="str">
        <f>VLOOKUP($B39,'Master Tracker'!$D:$T,11,false)</f>
        <v>Not Found</v>
      </c>
      <c r="AA39" s="292" t="str">
        <f>VLOOKUP($B39,'Master Tracker'!$D:$T,13,false)</f>
        <v>Not Found</v>
      </c>
      <c r="AB39" s="284" t="str">
        <f>VLOOKUP($B39,'Master Tracker'!$D:$T,14,false)</f>
        <v>Not Found</v>
      </c>
      <c r="AC39" s="292" t="str">
        <f>VLOOKUP($B39,'Master Tracker'!$D:$T,16,false)</f>
        <v>Not Found</v>
      </c>
      <c r="AD39" s="292" t="str">
        <f>VLOOKUP($B39,'Master Tracker'!$D:$T,17,false)</f>
        <v>Not Found</v>
      </c>
      <c r="AE39" s="292" t="str">
        <f>VLOOKUP($B39,'Master Tracker'!$D:$V,19,false)</f>
        <v>Not Found</v>
      </c>
      <c r="AF39" s="292">
        <f>IFERROR(__xludf.DUMMYFUNCTION("IFERROR(
  INDEX(
    FILTER(
      'Juma Recording forms'!$G:$G,
      TRIM('Juma Recording forms'!$F:$F) = TRIM($B39),
      'Juma Recording forms'!$AA:$AA = 1
    ),
    1
  ),
  ""Not Found""
)"),165.0)</f>
        <v>165</v>
      </c>
      <c r="AG39" s="292" t="str">
        <f>IFERROR(__xludf.DUMMYFUNCTION("IFERROR(
  INDEX(
    FILTER(
      'Juma Recording forms'!$G:$G,
      TRIM('Juma Recording forms'!$F:$F) = TRIM($B39),
      'Juma Recording forms'!$AA:$AA = 2
    ),
    1
  ),
  ""Not Found""
)"),"Not Found")</f>
        <v>Not Found</v>
      </c>
      <c r="AH39" s="292">
        <f>IFERROR(__xludf.DUMMYFUNCTION("IFERROR(
  INDEX(
    FILTER(
      'Juma Recording forms'!$G:$G,
      TRIM('Juma Recording forms'!$F:$F) = TRIM($B39),
      'Juma Recording forms'!$AA:$AA = 3
    ),
    1
  ),
  ""Not Found""
)"),180.0)</f>
        <v>180</v>
      </c>
      <c r="AI39" s="292" t="str">
        <f>IFERROR(__xludf.DUMMYFUNCTION("IFERROR(
  INDEX(
    FILTER(
      'Juma Recording forms'!$G:$G,
      TRIM('Juma Recording forms'!$F:$F) = TRIM($B39),
      'Juma Recording forms'!$AA:$AA = 4
    ),
    1
  ),
  ""Not Found""
)"),"Not Found")</f>
        <v>Not Found</v>
      </c>
      <c r="AJ39" s="292" t="str">
        <f>IFERROR(__xludf.DUMMYFUNCTION("IFERROR(
  INDEX(
    FILTER(
      'Juma Recording forms'!$G:$G,
      TRIM('Juma Recording forms'!$F:$F) = TRIM($B39),
      'Juma Recording forms'!$AA:$AA = 5
    ),
    1
  ),
  ""Not Found""
)"),"Not Found")</f>
        <v>Not Found</v>
      </c>
      <c r="AK39" s="292"/>
      <c r="AL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1!$E:$E"")=$B39) *
        (IMPORTRANGE(""https://docs.google.com/spreadsheets/d/161aHT6vVT3SLneTKD19N5qVWtnj_jIT8CSsOmUVKmaA/ed"&amp;"it?gid=1761053510"",
          ""Haris_Form responses 1!$AQ:$AQ"")=1)
      ),
      1
    ),
    ""0""
  ),
  ""Form not found""
)
"),"0")</f>
        <v>0</v>
      </c>
      <c r="AM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1!$E:$E"")=$B39) *
        (IMPORTRANGE(""https://docs.google.com/spreadsheets/d/161aHT6vVT3SLneTKD19N5qVWtnj_jIT8CSsOmUVKmaA/ed"&amp;"it?gid=1761053510"",
          ""Haris_Form responses 1!$AQ:$AQ"")=2)
      ),
      1
    ),
    ""0""
  ),
  ""Form not found""
)
"),"Form not found")</f>
        <v>Form not found</v>
      </c>
      <c r="AN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1!$E:$E"")=$B39) *
        (IMPORTRANGE(""https://docs.google.com/spreadsheets/d/161aHT6vVT3SLneTKD19N5qVWtnj_jIT8CSsOmUVKmaA/ed"&amp;"it?gid=1761053510"",
          ""Haris_Form responses 1!$AQ:$AQ"")=3)
      ),
      1
    ),
    ""0""
  ),
  ""Form not found""
)
"),"0")</f>
        <v>0</v>
      </c>
      <c r="AO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1!$E:$E"")=$B39) *
        (IMPORTRANGE(""https://docs.google.com/spreadsheets/d/161aHT6vVT3SLneTKD19N5qVWtnj_jIT8CSsOmUVKmaA/ed"&amp;"it?gid=1761053510"",
          ""Haris_Form responses 1!$AQ:$AQ"")=4)
      ),
      1
    ),
    ""0""
  ),
  ""Form not found""
)
"),"Form not found")</f>
        <v>Form not found</v>
      </c>
      <c r="AP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1!$E:$E"")=$B39) *
        (IMPORTRANGE(""https://docs.google.com/spreadsheets/d/161aHT6vVT3SLneTKD19N5qVWtnj_jIT8CSsOmUVKmaA/ed"&amp;"it?gid=1761053510"",
          ""Haris_Form responses 1!$AQ:$AQ"")=5)
      ),
      1
    ),
    ""0""
  ),
  ""Form not found""
)
"),"Form not found")</f>
        <v>Form not found</v>
      </c>
      <c r="AQ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1!$E:$E"")=$B39) *
        (IMPORTRANGE(""https://docs.google.com/spreadsheets/d/161aHT6vVT3SLneTKD19N5qVWtnj_jIT8CSsOmUVKmaA/ed"&amp;"it?gid=1761053510"",
          ""Haris_Form responses 1!$AQ:$AQ"")=6)
      ),
      1
    ),
    ""0""
  ),
  ""Form not found""
)
"),"Form not found")</f>
        <v>Form not found</v>
      </c>
      <c r="AR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1!$E:$E"")=$B39) *
        (IMPORTRANGE(""https://docs.google.com/spreadsheets/d/161aHT6vVT3SLneTKD19N5qVWtnj_jIT8CSsOmUVKmaA/ed"&amp;"it?gid=1761053510"",
          ""Haris_Form responses 1!$AQ:$AQ"")=1)
      ),
      1
    ),
    ""0""
  ),
  ""Form not found""
)
"),"0")</f>
        <v>0</v>
      </c>
      <c r="AS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1!$E:$E"")=$B39) *
        (IMPORTRANGE(""https://docs.google.com/spreadsheets/d/161aHT6vVT3SLneTKD19N5qVWtnj_jIT8CSsOmUVKmaA/ed"&amp;"it?gid=1761053510"",
          ""Haris_Form responses 1!$AQ:$AQ"")=2)
      ),
      1
    ),
    ""0""
  ),
  ""Form not found""
)
"),"Form not found")</f>
        <v>Form not found</v>
      </c>
      <c r="AT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1!$E:$E"")=$B39) *
        (IMPORTRANGE(""https://docs.google.com/spreadsheets/d/161aHT6vVT3SLneTKD19N5qVWtnj_jIT8CSsOmUVKmaA/ed"&amp;"it?gid=1761053510"",
          ""Haris_Form responses 1!$AQ:$AQ"")=3)
      ),
      1
    ),
    ""0""
  ),
  ""Form not found""
)
"),"0")</f>
        <v>0</v>
      </c>
      <c r="AU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1!$E:$E"")=$B39) *
        (IMPORTRANGE(""https://docs.google.com/spreadsheets/d/161aHT6vVT3SLneTKD19N5qVWtnj_jIT8CSsOmUVKmaA/ed"&amp;"it?gid=1761053510"",
          ""Haris_Form responses 1!$AQ:$AQ"")=4)
      ),
      1
    ),
    ""0""
  ),
  ""Form not found""
)
"),"Form not found")</f>
        <v>Form not found</v>
      </c>
      <c r="AV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1!$E:$E"")=$B39) *
        (IMPORTRANGE(""https://docs.google.com/spreadsheets/d/161aHT6vVT3SLneTKD19N5qVWtnj_jIT8CSsOmUVKmaA/ed"&amp;"it?gid=1761053510"",
          ""Haris_Form responses 1!$AQ:$AQ"")=5)
      ),
      1
    ),
    ""0""
  ),
  ""Form not found""
)
"),"Form not found")</f>
        <v>Form not found</v>
      </c>
      <c r="AW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1!$E:$E"")=$B39) *
        (IMPORTRANGE(""https://docs.google.com/spreadsheets/d/161aHT6vVT3SLneTKD19N5qVWtnj_jIT8CSsOmUVKmaA/ed"&amp;"it?gid=1761053510"",
          ""Haris_Form responses 1!$AQ:$AQ"")=6)
      ),
      1
    ),
    ""0""
  ),
  ""Form not found""
)
"),"Form not found")</f>
        <v>Form not found</v>
      </c>
      <c r="AX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1!$E:$E"")=$B39) *
        (IMPORTRANGE(""https://docs.google.com/spreadsheets/d/161aHT6vVT3SLneTKD19N5qVWtnj_jIT8CSsOmUVKmaA/ed"&amp;"it?gid=1761053510"",
          ""Haris_Form responses 1!$AQ:$AQ"")=1)
      ),
      1
    ),
    ""0""
  ),
  ""Form not found""
)
"),"0")</f>
        <v>0</v>
      </c>
      <c r="AY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1!$E:$E"")=$B39) *
        (IMPORTRANGE(""https://docs.google.com/spreadsheets/d/161aHT6vVT3SLneTKD19N5qVWtnj_jIT8CSsOmUVKmaA/ed"&amp;"it?gid=1761053510"",
          ""Haris_Form responses 1!$AQ:$AQ"")=2)
      ),
      1
    ),
    ""0""
  ),
  ""Form not found""
)
"),"Form not found")</f>
        <v>Form not found</v>
      </c>
      <c r="AZ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1!$E:$E"")=$B39) *
        (IMPORTRANGE(""https://docs.google.com/spreadsheets/d/161aHT6vVT3SLneTKD19N5qVWtnj_jIT8CSsOmUVKmaA/ed"&amp;"it?gid=1761053510"",
          ""Haris_Form responses 1!$AQ:$AQ"")=3)
      ),
      1
    ),
    ""0""
  ),
  ""Form not found""
)
"),"0")</f>
        <v>0</v>
      </c>
      <c r="BA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1!$E:$E"")=$B39) *
        (IMPORTRANGE(""https://docs.google.com/spreadsheets/d/161aHT6vVT3SLneTKD19N5qVWtnj_jIT8CSsOmUVKmaA/ed"&amp;"it?gid=1761053510"",
          ""Haris_Form responses 1!$AQ:$AQ"")=4)
      ),
      1
    ),
    ""0""
  ),
  ""Form not found""
)
"),"Form not found")</f>
        <v>Form not found</v>
      </c>
      <c r="BB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1!$E:$E"")=$B39) *
        (IMPORTRANGE(""https://docs.google.com/spreadsheets/d/161aHT6vVT3SLneTKD19N5qVWtnj_jIT8CSsOmUVKmaA/ed"&amp;"it?gid=1761053510"",
          ""Haris_Form responses 1!$AQ:$AQ"")=5)
      ),
      1
    ),
    ""0""
  ),
  ""Form not found""
)
"),"Form not found")</f>
        <v>Form not found</v>
      </c>
      <c r="BC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1!$E:$E"")=$B39) *
        (IMPORTRANGE(""https://docs.google.com/spreadsheets/d/161aHT6vVT3SLneTKD19N5qVWtnj_jIT8CSsOmUVKmaA/ed"&amp;"it?gid=1761053510"",
          ""Haris_Form responses 1!$AQ:$AQ"")=6)
      ),
      1
    ),
    ""0""
  ),
  ""Form not found""
)
"),"Form not found")</f>
        <v>Form not found</v>
      </c>
      <c r="BD39" s="293"/>
    </row>
    <row r="40">
      <c r="A40" s="283" t="str">
        <f>IFERROR(__xludf.DUMMYFUNCTION("VLOOKUP($B40,IMPORTRANGE(""https://docs.google.com/spreadsheets/d/1VNXDITjs75AcgdBSW27oL1VZH31udDprJSsBcE5xlp4/edit?gid=1551188038#gid=1551188038"", ""Sheet9!$B:$E""),2,false)"),"Lahore")</f>
        <v>Lahore</v>
      </c>
      <c r="B40" s="283" t="s">
        <v>1346</v>
      </c>
      <c r="C40" s="284" t="str">
        <f>IFERROR(__xludf.DUMMYFUNCTION("VLOOKUP(TRIM($B40), IMPORTRANGE(""https://docs.google.com/spreadsheets/d/1aSOrU4PTpuBZqfitKaH1Rfww6-YOiNCKoBpPl8XBHaw/edit?gid=0#gid=0"", ""sheet3!$B:$C""), 2, FALSE)
"),"Jamia Masjid Qurban Ali Shah Lahore / Darbar hazrat Qurban Ali shah")</f>
        <v>Jamia Masjid Qurban Ali Shah Lahore / Darbar hazrat Qurban Ali shah</v>
      </c>
      <c r="D40" s="284" t="str">
        <f>IFERROR(__xludf.DUMMYFUNCTION("IFERROR(
  INDEX(
    FILTER(
      IMPORTRANGE(""1aSOrU4PTpuBZqfitKaH1Rfww6-YOiNCKoBpPl8XBHaw/edit?gid=0#gid=0"",""Sheet1!G:G""),
      IMPORTRANGE(""1aSOrU4PTpuBZqfitKaH1Rfww6-YOiNCKoBpPl8XBHaw/edit?gid=0#gid=0"",""Sheet1!C:C"")=$B40
    ),
    1
  ),
 "&amp;" ""Not Found""
)"),"Control")</f>
        <v>Control</v>
      </c>
      <c r="E40" s="284" t="str">
        <f>VLOOKUP(B40,'Juma Recording forms'!A:E,5,false)</f>
        <v>Jamia Masjid Darbar Qurban Ali Shah </v>
      </c>
      <c r="F40" s="284" t="str">
        <f>IFERROR(__xludf.DUMMYFUNCTION("IFERROR(
  INDEX(
    FILTER(
      IMPORTRANGE(""1Cxrhp3-_-HS7v9uuqQliiIfrmMP4VaFoDNDWyUFy2J8/edit?gid=0#gid=0"",""Sheet1!Q:Q""),
      IMPORTRANGE(""1Cxrhp3-_-HS7v9uuqQliiIfrmMP4VaFoDNDWyUFy2J8/edit?gid=0#gid=0"",""Sheet1!K:K"")=$B40
    ),
    1
  ),
 "&amp;" ""Not Found""
)"),"Qari Shahid aslam")</f>
        <v>Qari Shahid aslam</v>
      </c>
      <c r="G40" s="284">
        <v>1940.0</v>
      </c>
      <c r="H40" s="284" t="s">
        <v>4825</v>
      </c>
      <c r="I40" s="285"/>
      <c r="J40" s="286">
        <v>2.0</v>
      </c>
      <c r="K40" s="287" t="str">
        <f>VLOOKUP($B40,'Mosque Locations'!$A:$E,3,FALSE)
</f>
        <v>https://maps.google.com/maps?q=31.5883979%2C74.3940933&amp;z=17&amp;hl=en</v>
      </c>
      <c r="L40" s="286">
        <f>VLOOKUP($B40,'Mosque Locations'!$A:$E,4,FALSE)
</f>
        <v>31.5884</v>
      </c>
      <c r="M40" s="286">
        <f>VLOOKUP($B40,'Mosque Locations'!$A:$E,5,false)</f>
        <v>74.39409</v>
      </c>
      <c r="N40" s="288"/>
      <c r="O40" s="288"/>
      <c r="P40" s="288"/>
      <c r="Q40" s="289" t="str">
        <f>IFERROR(__xludf.DUMMYFUNCTION("IFERROR(
  INDEX(
    FILTER(
      IMPORTRANGE(""1DccNxjBgurEr0ABkI_rBagJT5phB5HaHG5N_mTm_BiA"",""Form Responses 1!T:T""),
      TRIM(IMPORTRANGE(""1DccNxjBgurEr0ABkI_rBagJT5phB5HaHG5N_mTm_BiA"",""Form Responses 1!E:E""))=TRIM($B40)
    ),
    1
  ),
  "&amp;"""Not Found""
)
"),"https://drive.google.com/open?id=1Emo4eURiL-L2d7JQ985fFa3vmrkSU68u")</f>
        <v>https://drive.google.com/open?id=1Emo4eURiL-L2d7JQ985fFa3vmrkSU68u</v>
      </c>
      <c r="R40" s="290" t="str">
        <f>IFERROR(__xludf.DUMMYFUNCTION("IFERROR(
  INDEX(
    FILTER(
      IMPORTRANGE(""1DccNxjBgurEr0ABkI_rBagJT5phB5HaHG5N_mTm_BiA"",""Form Responses 1!S:S""),
      TRIM(IMPORTRANGE(""1DccNxjBgurEr0ABkI_rBagJT5phB5HaHG5N_mTm_BiA"",""Form Responses 1!E:E""))=TRIM($B40)
    ),
    1
  ),
  "&amp;"""Not Found""
)
"),"https://drive.google.com/open?id=1xlaQEx8qgwsdjSNZC2mcq-vCgMLKcuch")</f>
        <v>https://drive.google.com/open?id=1xlaQEx8qgwsdjSNZC2mcq-vCgMLKcuch</v>
      </c>
      <c r="S40" s="285"/>
      <c r="T40" s="290" t="str">
        <f>VLOOKUP($B40,'Master Tracker'!$D:$E,2,false)</f>
        <v>https://drive.google.com/open?id=12vsiCJ7XNWBQwEpOeF4JSoa2IAohh1AB</v>
      </c>
      <c r="U40" s="291" t="str">
        <f>VLOOKUP($B40,'Master Tracker'!$D:$T,4,FALSE)
</f>
        <v>https://drive.google.com/open?id=19zU4n52kLeSzwrXTxg7jsVYKNybQhKCK</v>
      </c>
      <c r="V40" s="284" t="str">
        <f>VLOOKUP($B40,'Master Tracker'!$D:$T,5,false)</f>
        <v>Not Found</v>
      </c>
      <c r="W40" s="292" t="str">
        <f>VLOOKUP($B40,'Master Tracker'!$D:$T,7,false)</f>
        <v>Not Found</v>
      </c>
      <c r="X40" s="284" t="str">
        <f>VLOOKUP($B40,'Master Tracker'!$D:$T,8,false)</f>
        <v>https://drive.google.com/open?id=1Vf3E66eV1dwir-8erQOEouErFxbdrsux, https://drive.google.com/open?id=1jxSbFG8UaR2Z57yNr0NMQDGJfJ5fQIso</v>
      </c>
      <c r="Y40" s="291" t="str">
        <f>VLOOKUP($B40,'Master Tracker'!$D:$T,10,false)</f>
        <v>https://drive.google.com/open?id=1MrJEylDKFSjTsacre8Zkwpj0tGoBRiAu</v>
      </c>
      <c r="Z40" s="284" t="str">
        <f>VLOOKUP($B40,'Master Tracker'!$D:$T,11,false)</f>
        <v>Not Found</v>
      </c>
      <c r="AA40" s="292" t="str">
        <f>VLOOKUP($B40,'Master Tracker'!$D:$T,13,false)</f>
        <v>Not Found</v>
      </c>
      <c r="AB40" s="284" t="str">
        <f>VLOOKUP($B40,'Master Tracker'!$D:$T,14,false)</f>
        <v>Not Found</v>
      </c>
      <c r="AC40" s="292" t="str">
        <f>VLOOKUP($B40,'Master Tracker'!$D:$T,16,false)</f>
        <v>Not Found</v>
      </c>
      <c r="AD40" s="292" t="str">
        <f>VLOOKUP($B40,'Master Tracker'!$D:$T,17,false)</f>
        <v>Not Found</v>
      </c>
      <c r="AE40" s="292" t="str">
        <f>VLOOKUP($B40,'Master Tracker'!$D:$V,19,false)</f>
        <v>Not Found</v>
      </c>
      <c r="AF40" s="292">
        <f>IFERROR(__xludf.DUMMYFUNCTION("IFERROR(
  INDEX(
    FILTER(
      'Juma Recording forms'!$G:$G,
      TRIM('Juma Recording forms'!$F:$F) = TRIM($B40),
      'Juma Recording forms'!$AA:$AA = 1
    ),
    1
  ),
  ""Not Found""
)"),190.0)</f>
        <v>190</v>
      </c>
      <c r="AG40" s="292" t="str">
        <f>IFERROR(__xludf.DUMMYFUNCTION("IFERROR(
  INDEX(
    FILTER(
      'Juma Recording forms'!$G:$G,
      TRIM('Juma Recording forms'!$F:$F) = TRIM($B40),
      'Juma Recording forms'!$AA:$AA = 2
    ),
    1
  ),
  ""Not Found""
)"),"Not Found")</f>
        <v>Not Found</v>
      </c>
      <c r="AH40" s="292">
        <f>IFERROR(__xludf.DUMMYFUNCTION("IFERROR(
  INDEX(
    FILTER(
      'Juma Recording forms'!$G:$G,
      TRIM('Juma Recording forms'!$F:$F) = TRIM($B40),
      'Juma Recording forms'!$AA:$AA = 3
    ),
    1
  ),
  ""Not Found""
)"),210.0)</f>
        <v>210</v>
      </c>
      <c r="AI40" s="292" t="str">
        <f>IFERROR(__xludf.DUMMYFUNCTION("IFERROR(
  INDEX(
    FILTER(
      'Juma Recording forms'!$G:$G,
      TRIM('Juma Recording forms'!$F:$F) = TRIM($B40),
      'Juma Recording forms'!$AA:$AA = 4
    ),
    1
  ),
  ""Not Found""
)"),"Not Found")</f>
        <v>Not Found</v>
      </c>
      <c r="AJ40" s="292" t="str">
        <f>IFERROR(__xludf.DUMMYFUNCTION("IFERROR(
  INDEX(
    FILTER(
      'Juma Recording forms'!$G:$G,
      TRIM('Juma Recording forms'!$F:$F) = TRIM($B40),
      'Juma Recording forms'!$AA:$AA = 5
    ),
    1
  ),
  ""Not Found""
)"),"Not Found")</f>
        <v>Not Found</v>
      </c>
      <c r="AK40" s="292"/>
      <c r="AL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1!$E:$E"")=$B40) *
        (IMPORTRANGE(""https://docs.google.com/spreadsheets/d/161aHT6vVT3SLneTKD19N5qVWtnj_jIT8CSsOmUVKmaA/ed"&amp;"it?gid=1761053510"",
          ""Haris_Form responses 1!$AQ:$AQ"")=1)
      ),
      1
    ),
    ""0""
  ),
  ""Form not found""
)
"),"0")</f>
        <v>0</v>
      </c>
      <c r="AM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1!$E:$E"")=$B40) *
        (IMPORTRANGE(""https://docs.google.com/spreadsheets/d/161aHT6vVT3SLneTKD19N5qVWtnj_jIT8CSsOmUVKmaA/ed"&amp;"it?gid=1761053510"",
          ""Haris_Form responses 1!$AQ:$AQ"")=2)
      ),
      1
    ),
    ""0""
  ),
  ""Form not found""
)
"),"Form not found")</f>
        <v>Form not found</v>
      </c>
      <c r="AN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1!$E:$E"")=$B40) *
        (IMPORTRANGE(""https://docs.google.com/spreadsheets/d/161aHT6vVT3SLneTKD19N5qVWtnj_jIT8CSsOmUVKmaA/ed"&amp;"it?gid=1761053510"",
          ""Haris_Form responses 1!$AQ:$AQ"")=3)
      ),
      1
    ),
    ""0""
  ),
  ""Form not found""
)
"),"0")</f>
        <v>0</v>
      </c>
      <c r="AO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1!$E:$E"")=$B40) *
        (IMPORTRANGE(""https://docs.google.com/spreadsheets/d/161aHT6vVT3SLneTKD19N5qVWtnj_jIT8CSsOmUVKmaA/ed"&amp;"it?gid=1761053510"",
          ""Haris_Form responses 1!$AQ:$AQ"")=4)
      ),
      1
    ),
    ""0""
  ),
  ""Form not found""
)
"),"Form not found")</f>
        <v>Form not found</v>
      </c>
      <c r="AP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1!$E:$E"")=$B40) *
        (IMPORTRANGE(""https://docs.google.com/spreadsheets/d/161aHT6vVT3SLneTKD19N5qVWtnj_jIT8CSsOmUVKmaA/ed"&amp;"it?gid=1761053510"",
          ""Haris_Form responses 1!$AQ:$AQ"")=5)
      ),
      1
    ),
    ""0""
  ),
  ""Form not found""
)
"),"Form not found")</f>
        <v>Form not found</v>
      </c>
      <c r="AQ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1!$E:$E"")=$B40) *
        (IMPORTRANGE(""https://docs.google.com/spreadsheets/d/161aHT6vVT3SLneTKD19N5qVWtnj_jIT8CSsOmUVKmaA/ed"&amp;"it?gid=1761053510"",
          ""Haris_Form responses 1!$AQ:$AQ"")=6)
      ),
      1
    ),
    ""0""
  ),
  ""Form not found""
)
"),"Form not found")</f>
        <v>Form not found</v>
      </c>
      <c r="AR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1!$E:$E"")=$B40) *
        (IMPORTRANGE(""https://docs.google.com/spreadsheets/d/161aHT6vVT3SLneTKD19N5qVWtnj_jIT8CSsOmUVKmaA/ed"&amp;"it?gid=1761053510"",
          ""Haris_Form responses 1!$AQ:$AQ"")=1)
      ),
      1
    ),
    ""0""
  ),
  ""Form not found""
)
"),"0")</f>
        <v>0</v>
      </c>
      <c r="AS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1!$E:$E"")=$B40) *
        (IMPORTRANGE(""https://docs.google.com/spreadsheets/d/161aHT6vVT3SLneTKD19N5qVWtnj_jIT8CSsOmUVKmaA/ed"&amp;"it?gid=1761053510"",
          ""Haris_Form responses 1!$AQ:$AQ"")=2)
      ),
      1
    ),
    ""0""
  ),
  ""Form not found""
)
"),"Form not found")</f>
        <v>Form not found</v>
      </c>
      <c r="AT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1!$E:$E"")=$B40) *
        (IMPORTRANGE(""https://docs.google.com/spreadsheets/d/161aHT6vVT3SLneTKD19N5qVWtnj_jIT8CSsOmUVKmaA/ed"&amp;"it?gid=1761053510"",
          ""Haris_Form responses 1!$AQ:$AQ"")=3)
      ),
      1
    ),
    ""0""
  ),
  ""Form not found""
)
"),"0")</f>
        <v>0</v>
      </c>
      <c r="AU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1!$E:$E"")=$B40) *
        (IMPORTRANGE(""https://docs.google.com/spreadsheets/d/161aHT6vVT3SLneTKD19N5qVWtnj_jIT8CSsOmUVKmaA/ed"&amp;"it?gid=1761053510"",
          ""Haris_Form responses 1!$AQ:$AQ"")=4)
      ),
      1
    ),
    ""0""
  ),
  ""Form not found""
)
"),"Form not found")</f>
        <v>Form not found</v>
      </c>
      <c r="AV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1!$E:$E"")=$B40) *
        (IMPORTRANGE(""https://docs.google.com/spreadsheets/d/161aHT6vVT3SLneTKD19N5qVWtnj_jIT8CSsOmUVKmaA/ed"&amp;"it?gid=1761053510"",
          ""Haris_Form responses 1!$AQ:$AQ"")=5)
      ),
      1
    ),
    ""0""
  ),
  ""Form not found""
)
"),"Form not found")</f>
        <v>Form not found</v>
      </c>
      <c r="AW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1!$E:$E"")=$B40) *
        (IMPORTRANGE(""https://docs.google.com/spreadsheets/d/161aHT6vVT3SLneTKD19N5qVWtnj_jIT8CSsOmUVKmaA/ed"&amp;"it?gid=1761053510"",
          ""Haris_Form responses 1!$AQ:$AQ"")=6)
      ),
      1
    ),
    ""0""
  ),
  ""Form not found""
)
"),"Form not found")</f>
        <v>Form not found</v>
      </c>
      <c r="AX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1!$E:$E"")=$B40) *
        (IMPORTRANGE(""https://docs.google.com/spreadsheets/d/161aHT6vVT3SLneTKD19N5qVWtnj_jIT8CSsOmUVKmaA/ed"&amp;"it?gid=1761053510"",
          ""Haris_Form responses 1!$AQ:$AQ"")=1)
      ),
      1
    ),
    ""0""
  ),
  ""Form not found""
)
"),"0")</f>
        <v>0</v>
      </c>
      <c r="AY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1!$E:$E"")=$B40) *
        (IMPORTRANGE(""https://docs.google.com/spreadsheets/d/161aHT6vVT3SLneTKD19N5qVWtnj_jIT8CSsOmUVKmaA/ed"&amp;"it?gid=1761053510"",
          ""Haris_Form responses 1!$AQ:$AQ"")=2)
      ),
      1
    ),
    ""0""
  ),
  ""Form not found""
)
"),"Form not found")</f>
        <v>Form not found</v>
      </c>
      <c r="AZ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1!$E:$E"")=$B40) *
        (IMPORTRANGE(""https://docs.google.com/spreadsheets/d/161aHT6vVT3SLneTKD19N5qVWtnj_jIT8CSsOmUVKmaA/ed"&amp;"it?gid=1761053510"",
          ""Haris_Form responses 1!$AQ:$AQ"")=3)
      ),
      1
    ),
    ""0""
  ),
  ""Form not found""
)
"),"0")</f>
        <v>0</v>
      </c>
      <c r="BA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1!$E:$E"")=$B40) *
        (IMPORTRANGE(""https://docs.google.com/spreadsheets/d/161aHT6vVT3SLneTKD19N5qVWtnj_jIT8CSsOmUVKmaA/ed"&amp;"it?gid=1761053510"",
          ""Haris_Form responses 1!$AQ:$AQ"")=4)
      ),
      1
    ),
    ""0""
  ),
  ""Form not found""
)
"),"Form not found")</f>
        <v>Form not found</v>
      </c>
      <c r="BB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1!$E:$E"")=$B40) *
        (IMPORTRANGE(""https://docs.google.com/spreadsheets/d/161aHT6vVT3SLneTKD19N5qVWtnj_jIT8CSsOmUVKmaA/ed"&amp;"it?gid=1761053510"",
          ""Haris_Form responses 1!$AQ:$AQ"")=5)
      ),
      1
    ),
    ""0""
  ),
  ""Form not found""
)
"),"Form not found")</f>
        <v>Form not found</v>
      </c>
      <c r="BC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1!$E:$E"")=$B40) *
        (IMPORTRANGE(""https://docs.google.com/spreadsheets/d/161aHT6vVT3SLneTKD19N5qVWtnj_jIT8CSsOmUVKmaA/ed"&amp;"it?gid=1761053510"",
          ""Haris_Form responses 1!$AQ:$AQ"")=6)
      ),
      1
    ),
    ""0""
  ),
  ""Form not found""
)
"),"Form not found")</f>
        <v>Form not found</v>
      </c>
      <c r="BD40" s="293"/>
    </row>
    <row r="41">
      <c r="A41" s="283" t="str">
        <f>IFERROR(__xludf.DUMMYFUNCTION("VLOOKUP($B41,IMPORTRANGE(""https://docs.google.com/spreadsheets/d/1VNXDITjs75AcgdBSW27oL1VZH31udDprJSsBcE5xlp4/edit?gid=1551188038#gid=1551188038"", ""Sheet9!$B:$E""),2,false)"),"Lahore")</f>
        <v>Lahore</v>
      </c>
      <c r="B41" s="283" t="s">
        <v>1461</v>
      </c>
      <c r="C41" s="284" t="str">
        <f>IFERROR(__xludf.DUMMYFUNCTION("VLOOKUP(TRIM($B41), IMPORTRANGE(""https://docs.google.com/spreadsheets/d/1aSOrU4PTpuBZqfitKaH1Rfww6-YOiNCKoBpPl8XBHaw/edit?gid=0#gid=0"", ""sheet3!$B:$C""), 2, FALSE)
"),"Jamia Masjid Hanifia Railway Road Gawaal Mandi Lahore")</f>
        <v>Jamia Masjid Hanifia Railway Road Gawaal Mandi Lahore</v>
      </c>
      <c r="D41" s="284" t="str">
        <f>IFERROR(__xludf.DUMMYFUNCTION("IFERROR(
  INDEX(
    FILTER(
      IMPORTRANGE(""1aSOrU4PTpuBZqfitKaH1Rfww6-YOiNCKoBpPl8XBHaw/edit?gid=0#gid=0"",""Sheet1!G:G""),
      IMPORTRANGE(""1aSOrU4PTpuBZqfitKaH1Rfww6-YOiNCKoBpPl8XBHaw/edit?gid=0#gid=0"",""Sheet1!C:C"")=$B41
    ),
    1
  ),
 "&amp;" ""Not Found""
)"),"Community Religious No Info Share")</f>
        <v>Community Religious No Info Share</v>
      </c>
      <c r="E41" s="284" t="str">
        <f>VLOOKUP(B41,'Juma Recording forms'!A:E,5,false)</f>
        <v>Jamia Masjid Hanfia Railway</v>
      </c>
      <c r="F41" s="284" t="str">
        <f>IFERROR(__xludf.DUMMYFUNCTION("IFERROR(
  INDEX(
    FILTER(
      IMPORTRANGE(""1Cxrhp3-_-HS7v9uuqQliiIfrmMP4VaFoDNDWyUFy2J8/edit?gid=0#gid=0"",""Sheet1!Q:Q""),
      IMPORTRANGE(""1Cxrhp3-_-HS7v9uuqQliiIfrmMP4VaFoDNDWyUFy2J8/edit?gid=0#gid=0"",""Sheet1!K:K"")=$B41
    ),
    1
  ),
 "&amp;" ""Not Found""
)"),"Moulana sheer zaman")</f>
        <v>Moulana sheer zaman</v>
      </c>
      <c r="G41" s="284">
        <v>1900.0</v>
      </c>
      <c r="H41" s="284"/>
      <c r="I41" s="285"/>
      <c r="J41" s="286">
        <v>2.0</v>
      </c>
      <c r="K41" s="287" t="str">
        <f>VLOOKUP($B41,'Mosque Locations'!$A:$E,3,FALSE)
</f>
        <v>https://maps.google.com/maps?q=31.5734758%2C74.3221654&amp;z=17&amp;hl=en</v>
      </c>
      <c r="L41" s="286">
        <f>VLOOKUP($B41,'Mosque Locations'!$A:$E,4,FALSE)
</f>
        <v>31.57348</v>
      </c>
      <c r="M41" s="286">
        <f>VLOOKUP($B41,'Mosque Locations'!$A:$E,5,false)</f>
        <v>74.32217</v>
      </c>
      <c r="N41" s="288"/>
      <c r="O41" s="288"/>
      <c r="P41" s="288"/>
      <c r="Q41" s="289" t="str">
        <f>IFERROR(__xludf.DUMMYFUNCTION("IFERROR(
  INDEX(
    FILTER(
      IMPORTRANGE(""1DccNxjBgurEr0ABkI_rBagJT5phB5HaHG5N_mTm_BiA"",""Form Responses 1!T:T""),
      TRIM(IMPORTRANGE(""1DccNxjBgurEr0ABkI_rBagJT5phB5HaHG5N_mTm_BiA"",""Form Responses 1!E:E""))=TRIM($B41)
    ),
    1
  ),
  "&amp;"""Not Found""
)
"),"https://drive.google.com/open?id=1HcmO-vwPUaUHr0CjXBD9j4Tk7OfZDpka")</f>
        <v>https://drive.google.com/open?id=1HcmO-vwPUaUHr0CjXBD9j4Tk7OfZDpka</v>
      </c>
      <c r="R41" s="289" t="str">
        <f>IFERROR(__xludf.DUMMYFUNCTION("IFERROR(
  INDEX(
    FILTER(
      IMPORTRANGE(""1DccNxjBgurEr0ABkI_rBagJT5phB5HaHG5N_mTm_BiA"",""Form Responses 1!S:S""),
      TRIM(IMPORTRANGE(""1DccNxjBgurEr0ABkI_rBagJT5phB5HaHG5N_mTm_BiA"",""Form Responses 1!E:E""))=TRIM($B41)
    ),
    1
  ),
  "&amp;"""Not Found""
)
"),"https://drive.google.com/open?id=1qhXJ0Rg25OUeWrKLVgLRKn1BDH2jxlSy")</f>
        <v>https://drive.google.com/open?id=1qhXJ0Rg25OUeWrKLVgLRKn1BDH2jxlSy</v>
      </c>
      <c r="S41" s="285"/>
      <c r="T41" s="290" t="str">
        <f>VLOOKUP($B41,'Master Tracker'!$D:$E,2,false)</f>
        <v>https://drive.google.com/open?id=1OqbJFz-b6N44O91q7bIxAEuEeAe_0mKh</v>
      </c>
      <c r="U41" s="291" t="str">
        <f>VLOOKUP($B41,'Master Tracker'!$D:$T,4,FALSE)
</f>
        <v>https://drive.google.com/open?id=14CRaZReg7B0ONCigQGUBjg9U-fHNCBhA</v>
      </c>
      <c r="V41" s="290" t="str">
        <f>VLOOKUP($B41,'Master Tracker'!$D:$T,5,false)</f>
        <v>https://drive.google.com/open?id=1EVoQyHNuBQMcNaHDQL2sLlQ1UFY2rA-N, https://drive.google.com/open?id=1EPAWYm6_De3_c7sAfWjkWXHuOrJK5xz7</v>
      </c>
      <c r="W41" s="291" t="str">
        <f>VLOOKUP($B41,'Master Tracker'!$D:$T,7,false)</f>
        <v>https://drive.google.com/open?id=1_lp0GhAoS4v1qS108R77TArEbAHLm1RJ</v>
      </c>
      <c r="X41" s="290" t="str">
        <f>VLOOKUP($B41,'Master Tracker'!$D:$T,8,false)</f>
        <v>https://drive.google.com/open?id=17Omk1xU_6g4J2WKpyLrIMEAljHH-zjUr</v>
      </c>
      <c r="Y41" s="291" t="str">
        <f>VLOOKUP($B41,'Master Tracker'!$D:$T,10,false)</f>
        <v>https://drive.google.com/open?id=1elQZA4uP3z1Vuvtu8xVO3anQ1nxvk8eq</v>
      </c>
      <c r="Z41" s="290" t="str">
        <f>VLOOKUP($B41,'Master Tracker'!$D:$T,11,false)</f>
        <v>https://drive.google.com/open?id=1q0pdsVdKS5CmiD_IdmjItf1JSpuRlYRr</v>
      </c>
      <c r="AA41" s="291" t="str">
        <f>VLOOKUP($B41,'Master Tracker'!$D:$T,13,false)</f>
        <v>https://drive.google.com/open?id=1Jt7NvwRUl4sGdEC4X3Mb-sJc2E-cZ1hw</v>
      </c>
      <c r="AB41" s="284" t="str">
        <f>VLOOKUP($B41,'Master Tracker'!$D:$T,14,false)</f>
        <v>Not Found</v>
      </c>
      <c r="AC41" s="292" t="str">
        <f>VLOOKUP($B41,'Master Tracker'!$D:$T,16,false)</f>
        <v>Not Found</v>
      </c>
      <c r="AD41" s="292" t="str">
        <f>VLOOKUP($B41,'Master Tracker'!$D:$T,17,false)</f>
        <v>Not Found</v>
      </c>
      <c r="AE41" s="292" t="str">
        <f>VLOOKUP($B41,'Master Tracker'!$D:$V,19,false)</f>
        <v>Not Found</v>
      </c>
      <c r="AF41" s="292">
        <f>IFERROR(__xludf.DUMMYFUNCTION("IFERROR(
  INDEX(
    FILTER(
      'Juma Recording forms'!$G:$G,
      TRIM('Juma Recording forms'!$F:$F) = TRIM($B41),
      'Juma Recording forms'!$AA:$AA = 1
    ),
    1
  ),
  ""Not Found""
)"),390.0)</f>
        <v>390</v>
      </c>
      <c r="AG41" s="292">
        <f>IFERROR(__xludf.DUMMYFUNCTION("IFERROR(
  INDEX(
    FILTER(
      'Juma Recording forms'!$G:$G,
      TRIM('Juma Recording forms'!$F:$F) = TRIM($B41),
      'Juma Recording forms'!$AA:$AA = 2
    ),
    1
  ),
  ""Not Found""
)"),400.0)</f>
        <v>400</v>
      </c>
      <c r="AH41" s="292">
        <f>IFERROR(__xludf.DUMMYFUNCTION("IFERROR(
  INDEX(
    FILTER(
      'Juma Recording forms'!$G:$G,
      TRIM('Juma Recording forms'!$F:$F) = TRIM($B41),
      'Juma Recording forms'!$AA:$AA = 3
    ),
    1
  ),
  ""Not Found""
)"),385.0)</f>
        <v>385</v>
      </c>
      <c r="AI41" s="292">
        <f>IFERROR(__xludf.DUMMYFUNCTION("IFERROR(
  INDEX(
    FILTER(
      'Juma Recording forms'!$G:$G,
      TRIM('Juma Recording forms'!$F:$F) = TRIM($B41),
      'Juma Recording forms'!$AA:$AA = 4
    ),
    1
  ),
  ""Not Found""
)"),345.0)</f>
        <v>345</v>
      </c>
      <c r="AJ41" s="292" t="str">
        <f>IFERROR(__xludf.DUMMYFUNCTION("IFERROR(
  INDEX(
    FILTER(
      'Juma Recording forms'!$G:$G,
      TRIM('Juma Recording forms'!$F:$F) = TRIM($B41),
      'Juma Recording forms'!$AA:$AA = 5
    ),
    1
  ),
  ""Not Found""
)"),"Not Found")</f>
        <v>Not Found</v>
      </c>
      <c r="AK41" s="292" t="str">
        <f>IFERROR(__xludf.DUMMYFUNCTION("IFERROR(
  INDEX(
    FILTER(
      'Juma Recording forms'!$G:$G,
      TRIM('Juma Recording forms'!$F:$F) = TRIM($B41),
      'Juma Recording forms'!$AA:$AA = 6
    ),
    1
  ),
  ""Not Found""
)"),"Not Found")</f>
        <v>Not Found</v>
      </c>
      <c r="AL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1!$E:$E"")=$B41) *
        (IMPORTRANGE(""https://docs.google.com/spreadsheets/d/161aHT6vVT3SLneTKD19N5qVWtnj_jIT8CSsOmUVKmaA/ed"&amp;"it?gid=1761053510"",
          ""Haris_Form responses 1!$AQ:$AQ"")=1)
      ),
      1
    ),
    ""0""
  ),
  ""Form not found""
)
"),"0")</f>
        <v>0</v>
      </c>
      <c r="AM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1!$E:$E"")=$B41) *
        (IMPORTRANGE(""https://docs.google.com/spreadsheets/d/161aHT6vVT3SLneTKD19N5qVWtnj_jIT8CSsOmUVKmaA/ed"&amp;"it?gid=1761053510"",
          ""Haris_Form responses 1!$AQ:$AQ"")=2)
      ),
      1
    ),
    ""0""
  ),
  ""Form not found""
)
"),"9")</f>
        <v>9</v>
      </c>
      <c r="AN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1!$E:$E"")=$B41) *
        (IMPORTRANGE(""https://docs.google.com/spreadsheets/d/161aHT6vVT3SLneTKD19N5qVWtnj_jIT8CSsOmUVKmaA/ed"&amp;"it?gid=1761053510"",
          ""Haris_Form responses 1!$AQ:$AQ"")=3)
      ),
      1
    ),
    ""0""
  ),
  ""Form not found""
)
"),"0")</f>
        <v>0</v>
      </c>
      <c r="AO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1!$E:$E"")=$B41) *
        (IMPORTRANGE(""https://docs.google.com/spreadsheets/d/161aHT6vVT3SLneTKD19N5qVWtnj_jIT8CSsOmUVKmaA/ed"&amp;"it?gid=1761053510"",
          ""Haris_Form responses 1!$AQ:$AQ"")=4)
      ),
      1
    ),
    ""0""
  ),
  ""Form not found""
)
"),"2")</f>
        <v>2</v>
      </c>
      <c r="AP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1!$E:$E"")=$B41) *
        (IMPORTRANGE(""https://docs.google.com/spreadsheets/d/161aHT6vVT3SLneTKD19N5qVWtnj_jIT8CSsOmUVKmaA/ed"&amp;"it?gid=1761053510"",
          ""Haris_Form responses 1!$AQ:$AQ"")=5)
      ),
      1
    ),
    ""0""
  ),
  ""Form not found""
)
"),"Form not found")</f>
        <v>Form not found</v>
      </c>
      <c r="AQ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1!$E:$E"")=$B41) *
        (IMPORTRANGE(""https://docs.google.com/spreadsheets/d/161aHT6vVT3SLneTKD19N5qVWtnj_jIT8CSsOmUVKmaA/ed"&amp;"it?gid=1761053510"",
          ""Haris_Form responses 1!$AQ:$AQ"")=6)
      ),
      1
    ),
    ""0""
  ),
  ""Form not found""
)
"),"Form not found")</f>
        <v>Form not found</v>
      </c>
      <c r="AR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1!$E:$E"")=$B41) *
        (IMPORTRANGE(""https://docs.google.com/spreadsheets/d/161aHT6vVT3SLneTKD19N5qVWtnj_jIT8CSsOmUVKmaA/ed"&amp;"it?gid=1761053510"",
          ""Haris_Form responses 1!$AQ:$AQ"")=1)
      ),
      1
    ),
    ""0""
  ),
  ""Form not found""
)
"),"0")</f>
        <v>0</v>
      </c>
      <c r="AS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1!$E:$E"")=$B41) *
        (IMPORTRANGE(""https://docs.google.com/spreadsheets/d/161aHT6vVT3SLneTKD19N5qVWtnj_jIT8CSsOmUVKmaA/ed"&amp;"it?gid=1761053510"",
          ""Haris_Form responses 1!$AQ:$AQ"")=2)
      ),
      1
    ),
    ""0""
  ),
  ""Form not found""
)
"),"9")</f>
        <v>9</v>
      </c>
      <c r="AT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1!$E:$E"")=$B41) *
        (IMPORTRANGE(""https://docs.google.com/spreadsheets/d/161aHT6vVT3SLneTKD19N5qVWtnj_jIT8CSsOmUVKmaA/ed"&amp;"it?gid=1761053510"",
          ""Haris_Form responses 1!$AQ:$AQ"")=3)
      ),
      1
    ),
    ""0""
  ),
  ""Form not found""
)
"),"0")</f>
        <v>0</v>
      </c>
      <c r="AU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1!$E:$E"")=$B41) *
        (IMPORTRANGE(""https://docs.google.com/spreadsheets/d/161aHT6vVT3SLneTKD19N5qVWtnj_jIT8CSsOmUVKmaA/ed"&amp;"it?gid=1761053510"",
          ""Haris_Form responses 1!$AQ:$AQ"")=4)
      ),
      1
    ),
    ""0""
  ),
  ""Form not found""
)
"),"2")</f>
        <v>2</v>
      </c>
      <c r="AV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1!$E:$E"")=$B41) *
        (IMPORTRANGE(""https://docs.google.com/spreadsheets/d/161aHT6vVT3SLneTKD19N5qVWtnj_jIT8CSsOmUVKmaA/ed"&amp;"it?gid=1761053510"",
          ""Haris_Form responses 1!$AQ:$AQ"")=5)
      ),
      1
    ),
    ""0""
  ),
  ""Form not found""
)
"),"Form not found")</f>
        <v>Form not found</v>
      </c>
      <c r="AW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1!$E:$E"")=$B41) *
        (IMPORTRANGE(""https://docs.google.com/spreadsheets/d/161aHT6vVT3SLneTKD19N5qVWtnj_jIT8CSsOmUVKmaA/ed"&amp;"it?gid=1761053510"",
          ""Haris_Form responses 1!$AQ:$AQ"")=6)
      ),
      1
    ),
    ""0""
  ),
  ""Form not found""
)
"),"Form not found")</f>
        <v>Form not found</v>
      </c>
      <c r="AX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1!$E:$E"")=$B41) *
        (IMPORTRANGE(""https://docs.google.com/spreadsheets/d/161aHT6vVT3SLneTKD19N5qVWtnj_jIT8CSsOmUVKmaA/ed"&amp;"it?gid=1761053510"",
          ""Haris_Form responses 1!$AQ:$AQ"")=1)
      ),
      1
    ),
    ""0""
  ),
  ""Form not found""
)
"),"0")</f>
        <v>0</v>
      </c>
      <c r="AY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1!$E:$E"")=$B41) *
        (IMPORTRANGE(""https://docs.google.com/spreadsheets/d/161aHT6vVT3SLneTKD19N5qVWtnj_jIT8CSsOmUVKmaA/ed"&amp;"it?gid=1761053510"",
          ""Haris_Form responses 1!$AQ:$AQ"")=2)
      ),
      1
    ),
    ""0""
  ),
  ""Form not found""
)
"),"0")</f>
        <v>0</v>
      </c>
      <c r="AZ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1!$E:$E"")=$B41) *
        (IMPORTRANGE(""https://docs.google.com/spreadsheets/d/161aHT6vVT3SLneTKD19N5qVWtnj_jIT8CSsOmUVKmaA/ed"&amp;"it?gid=1761053510"",
          ""Haris_Form responses 1!$AQ:$AQ"")=3)
      ),
      1
    ),
    ""0""
  ),
  ""Form not found""
)
"),"0")</f>
        <v>0</v>
      </c>
      <c r="BA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1!$E:$E"")=$B41) *
        (IMPORTRANGE(""https://docs.google.com/spreadsheets/d/161aHT6vVT3SLneTKD19N5qVWtnj_jIT8CSsOmUVKmaA/ed"&amp;"it?gid=1761053510"",
          ""Haris_Form responses 1!$AQ:$AQ"")=4)
      ),
      1
    ),
    ""0""
  ),
  ""Form not found""
)
"),"0")</f>
        <v>0</v>
      </c>
      <c r="BB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1!$E:$E"")=$B41) *
        (IMPORTRANGE(""https://docs.google.com/spreadsheets/d/161aHT6vVT3SLneTKD19N5qVWtnj_jIT8CSsOmUVKmaA/ed"&amp;"it?gid=1761053510"",
          ""Haris_Form responses 1!$AQ:$AQ"")=5)
      ),
      1
    ),
    ""0""
  ),
  ""Form not found""
)
"),"Form not found")</f>
        <v>Form not found</v>
      </c>
      <c r="BC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1!$E:$E"")=$B41) *
        (IMPORTRANGE(""https://docs.google.com/spreadsheets/d/161aHT6vVT3SLneTKD19N5qVWtnj_jIT8CSsOmUVKmaA/ed"&amp;"it?gid=1761053510"",
          ""Haris_Form responses 1!$AQ:$AQ"")=6)
      ),
      1
    ),
    ""0""
  ),
  ""Form not found""
)
"),"Form not found")</f>
        <v>Form not found</v>
      </c>
      <c r="BD41" s="293"/>
    </row>
    <row r="42">
      <c r="A42" s="283" t="str">
        <f>IFERROR(__xludf.DUMMYFUNCTION("VLOOKUP($B42,IMPORTRANGE(""https://docs.google.com/spreadsheets/d/1VNXDITjs75AcgdBSW27oL1VZH31udDprJSsBcE5xlp4/edit?gid=1551188038#gid=1551188038"", ""Sheet9!$B:$E""),2,false)"),"Lahore")</f>
        <v>Lahore</v>
      </c>
      <c r="B42" s="283" t="s">
        <v>4522</v>
      </c>
      <c r="C42" s="284" t="str">
        <f>IFERROR(__xludf.DUMMYFUNCTION("VLOOKUP(TRIM($B42), IMPORTRANGE(""https://docs.google.com/spreadsheets/d/1aSOrU4PTpuBZqfitKaH1Rfww6-YOiNCKoBpPl8XBHaw/edit?gid=0#gid=0"", ""sheet3!$B:$C""), 2, FALSE)
"),"Jamia Masjid Allah Joya Aabkaari Road Lahore")</f>
        <v>Jamia Masjid Allah Joya Aabkaari Road Lahore</v>
      </c>
      <c r="D42" s="284" t="str">
        <f>IFERROR(__xludf.DUMMYFUNCTION("IFERROR(
  INDEX(
    FILTER(
      IMPORTRANGE(""1aSOrU4PTpuBZqfitKaH1Rfww6-YOiNCKoBpPl8XBHaw/edit?gid=0#gid=0"",""Sheet1!G:G""),
      IMPORTRANGE(""1aSOrU4PTpuBZqfitKaH1Rfww6-YOiNCKoBpPl8XBHaw/edit?gid=0#gid=0"",""Sheet1!C:C"")=$B42
    ),
    1
  ),
 "&amp;" ""Not Found""
)"),"Community Religious No Info Share")</f>
        <v>Community Religious No Info Share</v>
      </c>
      <c r="E42" s="284" t="str">
        <f>VLOOKUP(B42,'Juma Recording forms'!A:E,5,false)</f>
        <v>Jamia Masjid Allah Joya Aabkaari Road</v>
      </c>
      <c r="F42" s="284" t="str">
        <f>IFERROR(__xludf.DUMMYFUNCTION("IFERROR(
  INDEX(
    FILTER(
      IMPORTRANGE(""1Cxrhp3-_-HS7v9uuqQliiIfrmMP4VaFoDNDWyUFy2J8/edit?gid=0#gid=0"",""Sheet1!Q:Q""),
      IMPORTRANGE(""1Cxrhp3-_-HS7v9uuqQliiIfrmMP4VaFoDNDWyUFy2J8/edit?gid=0#gid=0"",""Sheet1!K:K"")=$B42
    ),
    1
  ),
 "&amp;" ""Not Found""
)"),"Aziz Rabani")</f>
        <v>Aziz Rabani</v>
      </c>
      <c r="G42" s="284">
        <v>1920.0</v>
      </c>
      <c r="H42" s="284"/>
      <c r="I42" s="285"/>
      <c r="J42" s="286">
        <v>2.0</v>
      </c>
      <c r="K42" s="287" t="str">
        <f>VLOOKUP($B42,'Mosque Locations'!$A:$E,3,FALSE)
</f>
        <v>https://maps.google.com/maps?q=31.5743089%2C74.3114858&amp;z=17&amp;hl=en</v>
      </c>
      <c r="L42" s="286">
        <f>VLOOKUP($B42,'Mosque Locations'!$A:$E,4,FALSE)
</f>
        <v>31.57431</v>
      </c>
      <c r="M42" s="286">
        <f>VLOOKUP($B42,'Mosque Locations'!$A:$E,5,false)</f>
        <v>74.31149</v>
      </c>
      <c r="N42" s="288"/>
      <c r="O42" s="288"/>
      <c r="P42" s="288"/>
      <c r="Q42" s="289" t="str">
        <f>IFERROR(__xludf.DUMMYFUNCTION("IFERROR(
  INDEX(
    FILTER(
      IMPORTRANGE(""1SnQ_YxUmBUYKsKc82GyPPovLO-EPrfZxsJ0V0UbhezI/edit?gid=590869320#gid=590869320"",""Form Responses 1!AB:AB""),
      IMPORTRANGE(""1SnQ_YxUmBUYKsKc82GyPPovLO-EPrfZxsJ0V0UbhezI/edit?gid=590869320#gid=59086932"&amp;"0"",""Form Responses 1!E:E"")=$B42
    ),
    1
  ),
  ""Not Found""
)"),"https://drive.google.com/open?id=1F6DVXJ2IUexy6v78_iaoA0vZfWTuaiF5")</f>
        <v>https://drive.google.com/open?id=1F6DVXJ2IUexy6v78_iaoA0vZfWTuaiF5</v>
      </c>
      <c r="R42" s="295" t="str">
        <f>IFERROR(__xludf.DUMMYFUNCTION("IFERROR(
  INDEX(
    FILTER(
      IMPORTRANGE(""1SnQ_YxUmBUYKsKc82GyPPovLO-EPrfZxsJ0V0UbhezI"",""Form Responses 1!AA:AA""),
      TRIM(IMPORTRANGE(""1SnQ_YxUmBUYKsKc82GyPPovLO-EPrfZxsJ0V0UbhezI"",""Form Responses 1!E:E""))=TRIM($B42)
    ),
    1
  ),
 "&amp;" ""Not Found""
)
"),"https://drive.google.com/open?id=1Jh9GjKKDjUZD4P2oHg_BAnOvkW5XeCen")</f>
        <v>https://drive.google.com/open?id=1Jh9GjKKDjUZD4P2oHg_BAnOvkW5XeCen</v>
      </c>
      <c r="S42" s="285"/>
      <c r="T42" s="290" t="str">
        <f>VLOOKUP($B42,'Master Tracker'!$D:$E,2,false)</f>
        <v>https://drive.google.com/open?id=13h1tCoNige3OfFolXUEVxscEwwG-KsUE</v>
      </c>
      <c r="U42" s="291" t="str">
        <f>VLOOKUP($B42,'Master Tracker'!$D:$T,4,FALSE)
</f>
        <v>https://drive.google.com/open?id=15WbhlARN4Y3XFA7StPTASakDWlk0VyEl</v>
      </c>
      <c r="V42" s="290" t="str">
        <f>VLOOKUP($B42,'Master Tracker'!$D:$T,5,false)</f>
        <v>https://drive.google.com/open?id=1CpApQO9KEI7-Ha6NSJovw1ClU57zdGQZ</v>
      </c>
      <c r="W42" s="291" t="str">
        <f>VLOOKUP($B42,'Master Tracker'!$D:$T,7,false)</f>
        <v>https://drive.google.com/open?id=1HENc2nTnl-UUtKcSR-pbTAR_1cRa6dGJ</v>
      </c>
      <c r="X42" s="290" t="str">
        <f>VLOOKUP($B42,'Master Tracker'!$D:$T,8,false)</f>
        <v>https://drive.google.com/open?id=14QAcZ3_TFLA3gF-9eoV1NvM0VHfrYKtV</v>
      </c>
      <c r="Y42" s="291" t="str">
        <f>VLOOKUP($B42,'Master Tracker'!$D:$T,10,false)</f>
        <v>https://drive.google.com/open?id=1jJTqMTPKCyYHLXz17UdqgOn7EabV5YQZ</v>
      </c>
      <c r="Z42" s="290" t="str">
        <f>VLOOKUP($B42,'Master Tracker'!$D:$T,11,false)</f>
        <v>https://drive.google.com/open?id=1ykS-HZnFyDnsk746xm0NyhbtbPNKfyPN</v>
      </c>
      <c r="AA42" s="291" t="str">
        <f>VLOOKUP($B42,'Master Tracker'!$D:$T,13,false)</f>
        <v>https://drive.google.com/open?id=19Z4aqsXzFkNJTF99CZJKozIKfouW6xUa</v>
      </c>
      <c r="AB42" s="284" t="str">
        <f>VLOOKUP($B42,'Master Tracker'!$D:$T,14,false)</f>
        <v>Not Found</v>
      </c>
      <c r="AC42" s="292" t="str">
        <f>VLOOKUP($B42,'Master Tracker'!$D:$T,16,false)</f>
        <v>Not Found</v>
      </c>
      <c r="AD42" s="292" t="str">
        <f>VLOOKUP($B42,'Master Tracker'!$D:$T,17,false)</f>
        <v>Not Found</v>
      </c>
      <c r="AE42" s="292" t="str">
        <f>VLOOKUP($B42,'Master Tracker'!$D:$V,19,false)</f>
        <v>Not Found</v>
      </c>
      <c r="AF42" s="292">
        <f>IFERROR(__xludf.DUMMYFUNCTION("IFERROR(
  INDEX(
    FILTER(
      'Juma Recording forms'!$G:$G,
      TRIM('Juma Recording forms'!$F:$F) = TRIM($B42),
      'Juma Recording forms'!$AA:$AA = 1
    ),
    1
  ),
  ""Not Found""
)"),850.0)</f>
        <v>850</v>
      </c>
      <c r="AG42" s="292">
        <f>IFERROR(__xludf.DUMMYFUNCTION("IFERROR(
  INDEX(
    FILTER(
      'Juma Recording forms'!$G:$G,
      TRIM('Juma Recording forms'!$F:$F) = TRIM($B42),
      'Juma Recording forms'!$AA:$AA = 2
    ),
    1
  ),
  ""Not Found""
)"),778.0)</f>
        <v>778</v>
      </c>
      <c r="AH42" s="292">
        <f>IFERROR(__xludf.DUMMYFUNCTION("IFERROR(
  INDEX(
    FILTER(
      'Juma Recording forms'!$G:$G,
      TRIM('Juma Recording forms'!$F:$F) = TRIM($B42),
      'Juma Recording forms'!$AA:$AA = 3
    ),
    1
  ),
  ""Not Found""
)"),800.0)</f>
        <v>800</v>
      </c>
      <c r="AI42" s="292">
        <f>IFERROR(__xludf.DUMMYFUNCTION("IFERROR(
  INDEX(
    FILTER(
      'Juma Recording forms'!$G:$G,
      TRIM('Juma Recording forms'!$F:$F) = TRIM($B42),
      'Juma Recording forms'!$AA:$AA = 4
    ),
    1
  ),
  ""Not Found""
)"),790.0)</f>
        <v>790</v>
      </c>
      <c r="AJ42" s="292" t="str">
        <f>IFERROR(__xludf.DUMMYFUNCTION("IFERROR(
  INDEX(
    FILTER(
      'Juma Recording forms'!$G:$G,
      TRIM('Juma Recording forms'!$F:$F) = TRIM($B42),
      'Juma Recording forms'!$AA:$AA = 5
    ),
    1
  ),
  ""Not Found""
)"),"Not Found")</f>
        <v>Not Found</v>
      </c>
      <c r="AK42" s="292" t="str">
        <f>IFERROR(__xludf.DUMMYFUNCTION("IFERROR(
  INDEX(
    FILTER(
      'Juma Recording forms'!$G:$G,
      TRIM('Juma Recording forms'!$F:$F) = TRIM($B42),
      'Juma Recording forms'!$AA:$AA = 6
    ),
    1
  ),
  ""Not Found""
)"),"Not Found")</f>
        <v>Not Found</v>
      </c>
      <c r="AL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1!$E:$E"")=$B42) *
        (IMPORTRANGE(""https://docs.google.com/spreadsheets/d/161aHT6vVT3SLneTKD19N5qVWtnj_jIT8CSsOmUVKmaA/ed"&amp;"it?gid=1761053510"",
          ""Haris_Form responses 1!$AQ:$AQ"")=1)
      ),
      1
    ),
    ""0""
  ),
  ""Form not found""
)
"),"7")</f>
        <v>7</v>
      </c>
      <c r="AM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1!$E:$E"")=$B42) *
        (IMPORTRANGE(""https://docs.google.com/spreadsheets/d/161aHT6vVT3SLneTKD19N5qVWtnj_jIT8CSsOmUVKmaA/ed"&amp;"it?gid=1761053510"",
          ""Haris_Form responses 1!$AQ:$AQ"")=2)
      ),
      1
    ),
    ""0""
  ),
  ""Form not found""
)
"),"3")</f>
        <v>3</v>
      </c>
      <c r="AN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1!$E:$E"")=$B42) *
        (IMPORTRANGE(""https://docs.google.com/spreadsheets/d/161aHT6vVT3SLneTKD19N5qVWtnj_jIT8CSsOmUVKmaA/ed"&amp;"it?gid=1761053510"",
          ""Haris_Form responses 1!$AQ:$AQ"")=3)
      ),
      1
    ),
    ""0""
  ),
  ""Form not found""
)
"),"0")</f>
        <v>0</v>
      </c>
      <c r="AO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1!$E:$E"")=$B42) *
        (IMPORTRANGE(""https://docs.google.com/spreadsheets/d/161aHT6vVT3SLneTKD19N5qVWtnj_jIT8CSsOmUVKmaA/ed"&amp;"it?gid=1761053510"",
          ""Haris_Form responses 1!$AQ:$AQ"")=4)
      ),
      1
    ),
    ""0""
  ),
  ""Form not found""
)
"),"9")</f>
        <v>9</v>
      </c>
      <c r="AP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1!$E:$E"")=$B42) *
        (IMPORTRANGE(""https://docs.google.com/spreadsheets/d/161aHT6vVT3SLneTKD19N5qVWtnj_jIT8CSsOmUVKmaA/ed"&amp;"it?gid=1761053510"",
          ""Haris_Form responses 1!$AQ:$AQ"")=5)
      ),
      1
    ),
    ""0""
  ),
  ""Form not found""
)
"),"Form not found")</f>
        <v>Form not found</v>
      </c>
      <c r="AQ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1!$E:$E"")=$B42) *
        (IMPORTRANGE(""https://docs.google.com/spreadsheets/d/161aHT6vVT3SLneTKD19N5qVWtnj_jIT8CSsOmUVKmaA/ed"&amp;"it?gid=1761053510"",
          ""Haris_Form responses 1!$AQ:$AQ"")=6)
      ),
      1
    ),
    ""0""
  ),
  ""Form not found""
)
"),"Form not found")</f>
        <v>Form not found</v>
      </c>
      <c r="AR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1!$E:$E"")=$B42) *
        (IMPORTRANGE(""https://docs.google.com/spreadsheets/d/161aHT6vVT3SLneTKD19N5qVWtnj_jIT8CSsOmUVKmaA/ed"&amp;"it?gid=1761053510"",
          ""Haris_Form responses 1!$AQ:$AQ"")=1)
      ),
      1
    ),
    ""0""
  ),
  ""Form not found""
)
"),"7")</f>
        <v>7</v>
      </c>
      <c r="AS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1!$E:$E"")=$B42) *
        (IMPORTRANGE(""https://docs.google.com/spreadsheets/d/161aHT6vVT3SLneTKD19N5qVWtnj_jIT8CSsOmUVKmaA/ed"&amp;"it?gid=1761053510"",
          ""Haris_Form responses 1!$AQ:$AQ"")=2)
      ),
      1
    ),
    ""0""
  ),
  ""Form not found""
)
"),"3")</f>
        <v>3</v>
      </c>
      <c r="AT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1!$E:$E"")=$B42) *
        (IMPORTRANGE(""https://docs.google.com/spreadsheets/d/161aHT6vVT3SLneTKD19N5qVWtnj_jIT8CSsOmUVKmaA/ed"&amp;"it?gid=1761053510"",
          ""Haris_Form responses 1!$AQ:$AQ"")=3)
      ),
      1
    ),
    ""0""
  ),
  ""Form not found""
)
"),"0")</f>
        <v>0</v>
      </c>
      <c r="AU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1!$E:$E"")=$B42) *
        (IMPORTRANGE(""https://docs.google.com/spreadsheets/d/161aHT6vVT3SLneTKD19N5qVWtnj_jIT8CSsOmUVKmaA/ed"&amp;"it?gid=1761053510"",
          ""Haris_Form responses 1!$AQ:$AQ"")=4)
      ),
      1
    ),
    ""0""
  ),
  ""Form not found""
)
"),"9")</f>
        <v>9</v>
      </c>
      <c r="AV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1!$E:$E"")=$B42) *
        (IMPORTRANGE(""https://docs.google.com/spreadsheets/d/161aHT6vVT3SLneTKD19N5qVWtnj_jIT8CSsOmUVKmaA/ed"&amp;"it?gid=1761053510"",
          ""Haris_Form responses 1!$AQ:$AQ"")=5)
      ),
      1
    ),
    ""0""
  ),
  ""Form not found""
)
"),"Form not found")</f>
        <v>Form not found</v>
      </c>
      <c r="AW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1!$E:$E"")=$B42) *
        (IMPORTRANGE(""https://docs.google.com/spreadsheets/d/161aHT6vVT3SLneTKD19N5qVWtnj_jIT8CSsOmUVKmaA/ed"&amp;"it?gid=1761053510"",
          ""Haris_Form responses 1!$AQ:$AQ"")=6)
      ),
      1
    ),
    ""0""
  ),
  ""Form not found""
)
"),"Form not found")</f>
        <v>Form not found</v>
      </c>
      <c r="AX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1!$E:$E"")=$B42) *
        (IMPORTRANGE(""https://docs.google.com/spreadsheets/d/161aHT6vVT3SLneTKD19N5qVWtnj_jIT8CSsOmUVKmaA/ed"&amp;"it?gid=1761053510"",
          ""Haris_Form responses 1!$AQ:$AQ"")=1)
      ),
      1
    ),
    ""0""
  ),
  ""Form not found""
)
"),"0")</f>
        <v>0</v>
      </c>
      <c r="AY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1!$E:$E"")=$B42) *
        (IMPORTRANGE(""https://docs.google.com/spreadsheets/d/161aHT6vVT3SLneTKD19N5qVWtnj_jIT8CSsOmUVKmaA/ed"&amp;"it?gid=1761053510"",
          ""Haris_Form responses 1!$AQ:$AQ"")=2)
      ),
      1
    ),
    ""0""
  ),
  ""Form not found""
)
"),"0")</f>
        <v>0</v>
      </c>
      <c r="AZ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1!$E:$E"")=$B42) *
        (IMPORTRANGE(""https://docs.google.com/spreadsheets/d/161aHT6vVT3SLneTKD19N5qVWtnj_jIT8CSsOmUVKmaA/ed"&amp;"it?gid=1761053510"",
          ""Haris_Form responses 1!$AQ:$AQ"")=3)
      ),
      1
    ),
    ""0""
  ),
  ""Form not found""
)
"),"0")</f>
        <v>0</v>
      </c>
      <c r="BA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1!$E:$E"")=$B42) *
        (IMPORTRANGE(""https://docs.google.com/spreadsheets/d/161aHT6vVT3SLneTKD19N5qVWtnj_jIT8CSsOmUVKmaA/ed"&amp;"it?gid=1761053510"",
          ""Haris_Form responses 1!$AQ:$AQ"")=4)
      ),
      1
    ),
    ""0""
  ),
  ""Form not found""
)
"),"0")</f>
        <v>0</v>
      </c>
      <c r="BB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1!$E:$E"")=$B42) *
        (IMPORTRANGE(""https://docs.google.com/spreadsheets/d/161aHT6vVT3SLneTKD19N5qVWtnj_jIT8CSsOmUVKmaA/ed"&amp;"it?gid=1761053510"",
          ""Haris_Form responses 1!$AQ:$AQ"")=5)
      ),
      1
    ),
    ""0""
  ),
  ""Form not found""
)
"),"Form not found")</f>
        <v>Form not found</v>
      </c>
      <c r="BC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1!$E:$E"")=$B42) *
        (IMPORTRANGE(""https://docs.google.com/spreadsheets/d/161aHT6vVT3SLneTKD19N5qVWtnj_jIT8CSsOmUVKmaA/ed"&amp;"it?gid=1761053510"",
          ""Haris_Form responses 1!$AQ:$AQ"")=6)
      ),
      1
    ),
    ""0""
  ),
  ""Form not found""
)
"),"Form not found")</f>
        <v>Form not found</v>
      </c>
      <c r="BD42" s="293"/>
    </row>
    <row r="43">
      <c r="A43" s="283" t="str">
        <f>IFERROR(__xludf.DUMMYFUNCTION("VLOOKUP($B43,IMPORTRANGE(""https://docs.google.com/spreadsheets/d/1VNXDITjs75AcgdBSW27oL1VZH31udDprJSsBcE5xlp4/edit?gid=1551188038#gid=1551188038"", ""Sheet9!$B:$E""),2,false)"),"Lahore")</f>
        <v>Lahore</v>
      </c>
      <c r="B43" s="283" t="s">
        <v>4524</v>
      </c>
      <c r="C43" s="284" t="str">
        <f>IFERROR(__xludf.DUMMYFUNCTION("VLOOKUP(TRIM($B43), IMPORTRANGE(""https://docs.google.com/spreadsheets/d/1aSOrU4PTpuBZqfitKaH1Rfww6-YOiNCKoBpPl8XBHaw/edit?gid=0#gid=0"", ""sheet3!$B:$C""), 2, FALSE)
"),"Jamia Masjid Laal Shah Alam Market Lahore")</f>
        <v>Jamia Masjid Laal Shah Alam Market Lahore</v>
      </c>
      <c r="D43" s="284" t="str">
        <f>IFERROR(__xludf.DUMMYFUNCTION("IFERROR(
  INDEX(
    FILTER(
      IMPORTRANGE(""1aSOrU4PTpuBZqfitKaH1Rfww6-YOiNCKoBpPl8XBHaw/edit?gid=0#gid=0"",""Sheet1!G:G""),
      IMPORTRANGE(""1aSOrU4PTpuBZqfitKaH1Rfww6-YOiNCKoBpPl8XBHaw/edit?gid=0#gid=0"",""Sheet1!C:C"")=$B43
    ),
    1
  ),
 "&amp;" ""Not Found""
)"),"Control")</f>
        <v>Control</v>
      </c>
      <c r="E43" s="284" t="str">
        <f>VLOOKUP(B43,'Juma Recording forms'!A:E,5,false)</f>
        <v>Jamia Masjid Laal Shah Alam Market </v>
      </c>
      <c r="F43" s="284" t="str">
        <f>IFERROR(__xludf.DUMMYFUNCTION("IFERROR(
  INDEX(
    FILTER(
      IMPORTRANGE(""1Cxrhp3-_-HS7v9uuqQliiIfrmMP4VaFoDNDWyUFy2J8/edit?gid=0#gid=0"",""Sheet1!Q:Q""),
      IMPORTRANGE(""1Cxrhp3-_-HS7v9uuqQliiIfrmMP4VaFoDNDWyUFy2J8/edit?gid=0#gid=0"",""Sheet1!K:K"")=$B43
    ),
    1
  ),
 "&amp;" ""Not Found""
)"),"Riaz awaisi")</f>
        <v>Riaz awaisi</v>
      </c>
      <c r="G43" s="284">
        <v>1925.0</v>
      </c>
      <c r="H43" s="284"/>
      <c r="I43" s="285"/>
      <c r="J43" s="286">
        <v>2.0</v>
      </c>
      <c r="K43" s="287" t="str">
        <f>VLOOKUP($B43,'Mosque Locations'!$A:$E,3,FALSE)
</f>
        <v>https://maps.google.com/maps?q=31.5773349%2C74.3171632&amp;z=17&amp;hl=en</v>
      </c>
      <c r="L43" s="286">
        <f>VLOOKUP($B43,'Mosque Locations'!$A:$E,4,FALSE)
</f>
        <v>31.57733</v>
      </c>
      <c r="M43" s="286">
        <f>VLOOKUP($B43,'Mosque Locations'!$A:$E,5,false)</f>
        <v>74.31716</v>
      </c>
      <c r="N43" s="288"/>
      <c r="O43" s="288"/>
      <c r="P43" s="288"/>
      <c r="Q43" s="294" t="str">
        <f>IFERROR(__xludf.DUMMYFUNCTION("IFERROR(
  INDEX(
    FILTER(
      IMPORTRANGE(""1SnQ_YxUmBUYKsKc82GyPPovLO-EPrfZxsJ0V0UbhezI/edit?gid=590869320#gid=590869320"",""Form Responses 1!AB:AB""),
      IMPORTRANGE(""1SnQ_YxUmBUYKsKc82GyPPovLO-EPrfZxsJ0V0UbhezI/edit?gid=590869320#gid=59086932"&amp;"0"",""Form Responses 1!E:E"")=$B43
    ),
    1
  ),
  ""Not Found""
)"),"https://drive.google.com/open?id=1LAX8Q4tLTx-0Z_UOA8q2blhA_jajfTnE, https://drive.google.com/open?id=1iINc8bVAcwkBZPg0tchYOQXUaPTGeWFi")</f>
        <v>https://drive.google.com/open?id=1LAX8Q4tLTx-0Z_UOA8q2blhA_jajfTnE, https://drive.google.com/open?id=1iINc8bVAcwkBZPg0tchYOQXUaPTGeWFi</v>
      </c>
      <c r="R43" s="289" t="str">
        <f>IFERROR(__xludf.DUMMYFUNCTION("IFERROR(
  INDEX(
    FILTER(
      IMPORTRANGE(""1SnQ_YxUmBUYKsKc82GyPPovLO-EPrfZxsJ0V0UbhezI"",""Form Responses 1!AA:AA""),
      TRIM(IMPORTRANGE(""1SnQ_YxUmBUYKsKc82GyPPovLO-EPrfZxsJ0V0UbhezI"",""Form Responses 1!E:E""))=TRIM($B43)
    ),
    1
  ),
 "&amp;" ""Not Found""
)
"),"https://drive.google.com/file/d/1RMXRYgCgveSewAJwnhmeXer5WbcvGY5j")</f>
        <v>https://drive.google.com/file/d/1RMXRYgCgveSewAJwnhmeXer5WbcvGY5j</v>
      </c>
      <c r="S43" s="285"/>
      <c r="T43" s="290" t="str">
        <f>VLOOKUP($B43,'Master Tracker'!$D:$E,2,false)</f>
        <v>https://drive.google.com/open?id=1BMmZxOPRsi5AyIluw6qXijL78PhmuixY</v>
      </c>
      <c r="U43" s="291" t="str">
        <f>VLOOKUP($B43,'Master Tracker'!$D:$T,4,FALSE)
</f>
        <v>https://drive.google.com/open?id=1TieWik7eBWsqSJmQCoqlcgObRxUkJj1w</v>
      </c>
      <c r="V43" s="284" t="str">
        <f>VLOOKUP($B43,'Master Tracker'!$D:$T,5,false)</f>
        <v>Not Found</v>
      </c>
      <c r="W43" s="292" t="str">
        <f>VLOOKUP($B43,'Master Tracker'!$D:$T,7,false)</f>
        <v>Not Found</v>
      </c>
      <c r="X43" s="290" t="str">
        <f>VLOOKUP($B43,'Master Tracker'!$D:$T,8,false)</f>
        <v>https://drive.google.com/open?id=190uB9gtbyeZSCipDErf3rhOnnG8SHww3</v>
      </c>
      <c r="Y43" s="291" t="str">
        <f>VLOOKUP($B43,'Master Tracker'!$D:$T,10,false)</f>
        <v>https://drive.google.com/open?id=16eKfwTo225F-ON0s6cQhEVYica6FpSyq</v>
      </c>
      <c r="Z43" s="284" t="str">
        <f>VLOOKUP($B43,'Master Tracker'!$D:$T,11,false)</f>
        <v>Not Found</v>
      </c>
      <c r="AA43" s="292" t="str">
        <f>VLOOKUP($B43,'Master Tracker'!$D:$T,13,false)</f>
        <v>Not Found</v>
      </c>
      <c r="AB43" s="284" t="str">
        <f>VLOOKUP($B43,'Master Tracker'!$D:$T,14,false)</f>
        <v>Not Found</v>
      </c>
      <c r="AC43" s="292" t="str">
        <f>VLOOKUP($B43,'Master Tracker'!$D:$T,16,false)</f>
        <v>Not Found</v>
      </c>
      <c r="AD43" s="292" t="str">
        <f>VLOOKUP($B43,'Master Tracker'!$D:$T,17,false)</f>
        <v>Not Found</v>
      </c>
      <c r="AE43" s="292" t="str">
        <f>VLOOKUP($B43,'Master Tracker'!$D:$V,19,false)</f>
        <v>Not Found</v>
      </c>
      <c r="AF43" s="292">
        <f>IFERROR(__xludf.DUMMYFUNCTION("IFERROR(
  INDEX(
    FILTER(
      'Juma Recording forms'!$G:$G,
      TRIM('Juma Recording forms'!$F:$F) = TRIM($B43),
      'Juma Recording forms'!$AA:$AA = 1
    ),
    1
  ),
  ""Not Found""
)"),500.0)</f>
        <v>500</v>
      </c>
      <c r="AG43" s="292" t="str">
        <f>IFERROR(__xludf.DUMMYFUNCTION("IFERROR(
  INDEX(
    FILTER(
      'Juma Recording forms'!$G:$G,
      TRIM('Juma Recording forms'!$F:$F) = TRIM($B43),
      'Juma Recording forms'!$AA:$AA = 2
    ),
    1
  ),
  ""Not Found""
)"),"Not Found")</f>
        <v>Not Found</v>
      </c>
      <c r="AH43" s="292">
        <f>IFERROR(__xludf.DUMMYFUNCTION("IFERROR(
  INDEX(
    FILTER(
      'Juma Recording forms'!$G:$G,
      TRIM('Juma Recording forms'!$F:$F) = TRIM($B43),
      'Juma Recording forms'!$AA:$AA = 3
    ),
    1
  ),
  ""Not Found""
)"),540.0)</f>
        <v>540</v>
      </c>
      <c r="AI43" s="292" t="str">
        <f>IFERROR(__xludf.DUMMYFUNCTION("IFERROR(
  INDEX(
    FILTER(
      'Juma Recording forms'!$G:$G,
      TRIM('Juma Recording forms'!$F:$F) = TRIM($B43),
      'Juma Recording forms'!$AA:$AA = 4
    ),
    1
  ),
  ""Not Found""
)"),"Not Found")</f>
        <v>Not Found</v>
      </c>
      <c r="AJ43" s="292" t="str">
        <f>IFERROR(__xludf.DUMMYFUNCTION("IFERROR(
  INDEX(
    FILTER(
      'Juma Recording forms'!$G:$G,
      TRIM('Juma Recording forms'!$F:$F) = TRIM($B43),
      'Juma Recording forms'!$AA:$AA = 5
    ),
    1
  ),
  ""Not Found""
)"),"Not Found")</f>
        <v>Not Found</v>
      </c>
      <c r="AK43" s="292"/>
      <c r="AL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1!$E:$E"")=$B43) *
        (IMPORTRANGE(""https://docs.google.com/spreadsheets/d/161aHT6vVT3SLneTKD19N5qVWtnj_jIT8CSsOmUVKmaA/ed"&amp;"it?gid=1761053510"",
          ""Haris_Form responses 1!$AQ:$AQ"")=1)
      ),
      1
    ),
    ""0""
  ),
  ""Form not found""
)
"),"0")</f>
        <v>0</v>
      </c>
      <c r="AM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1!$E:$E"")=$B43) *
        (IMPORTRANGE(""https://docs.google.com/spreadsheets/d/161aHT6vVT3SLneTKD19N5qVWtnj_jIT8CSsOmUVKmaA/ed"&amp;"it?gid=1761053510"",
          ""Haris_Form responses 1!$AQ:$AQ"")=2)
      ),
      1
    ),
    ""0""
  ),
  ""Form not found""
)
"),"Form not found")</f>
        <v>Form not found</v>
      </c>
      <c r="AN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1!$E:$E"")=$B43) *
        (IMPORTRANGE(""https://docs.google.com/spreadsheets/d/161aHT6vVT3SLneTKD19N5qVWtnj_jIT8CSsOmUVKmaA/ed"&amp;"it?gid=1761053510"",
          ""Haris_Form responses 1!$AQ:$AQ"")=3)
      ),
      1
    ),
    ""0""
  ),
  ""Form not found""
)
"),"0")</f>
        <v>0</v>
      </c>
      <c r="AO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1!$E:$E"")=$B43) *
        (IMPORTRANGE(""https://docs.google.com/spreadsheets/d/161aHT6vVT3SLneTKD19N5qVWtnj_jIT8CSsOmUVKmaA/ed"&amp;"it?gid=1761053510"",
          ""Haris_Form responses 1!$AQ:$AQ"")=4)
      ),
      1
    ),
    ""0""
  ),
  ""Form not found""
)
"),"Form not found")</f>
        <v>Form not found</v>
      </c>
      <c r="AP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1!$E:$E"")=$B43) *
        (IMPORTRANGE(""https://docs.google.com/spreadsheets/d/161aHT6vVT3SLneTKD19N5qVWtnj_jIT8CSsOmUVKmaA/ed"&amp;"it?gid=1761053510"",
          ""Haris_Form responses 1!$AQ:$AQ"")=5)
      ),
      1
    ),
    ""0""
  ),
  ""Form not found""
)
"),"Form not found")</f>
        <v>Form not found</v>
      </c>
      <c r="AQ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1!$E:$E"")=$B43) *
        (IMPORTRANGE(""https://docs.google.com/spreadsheets/d/161aHT6vVT3SLneTKD19N5qVWtnj_jIT8CSsOmUVKmaA/ed"&amp;"it?gid=1761053510"",
          ""Haris_Form responses 1!$AQ:$AQ"")=6)
      ),
      1
    ),
    ""0""
  ),
  ""Form not found""
)
"),"Form not found")</f>
        <v>Form not found</v>
      </c>
      <c r="AR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1!$E:$E"")=$B43) *
        (IMPORTRANGE(""https://docs.google.com/spreadsheets/d/161aHT6vVT3SLneTKD19N5qVWtnj_jIT8CSsOmUVKmaA/ed"&amp;"it?gid=1761053510"",
          ""Haris_Form responses 1!$AQ:$AQ"")=1)
      ),
      1
    ),
    ""0""
  ),
  ""Form not found""
)
"),"0")</f>
        <v>0</v>
      </c>
      <c r="AS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1!$E:$E"")=$B43) *
        (IMPORTRANGE(""https://docs.google.com/spreadsheets/d/161aHT6vVT3SLneTKD19N5qVWtnj_jIT8CSsOmUVKmaA/ed"&amp;"it?gid=1761053510"",
          ""Haris_Form responses 1!$AQ:$AQ"")=2)
      ),
      1
    ),
    ""0""
  ),
  ""Form not found""
)
"),"Form not found")</f>
        <v>Form not found</v>
      </c>
      <c r="AT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1!$E:$E"")=$B43) *
        (IMPORTRANGE(""https://docs.google.com/spreadsheets/d/161aHT6vVT3SLneTKD19N5qVWtnj_jIT8CSsOmUVKmaA/ed"&amp;"it?gid=1761053510"",
          ""Haris_Form responses 1!$AQ:$AQ"")=3)
      ),
      1
    ),
    ""0""
  ),
  ""Form not found""
)
"),"0")</f>
        <v>0</v>
      </c>
      <c r="AU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1!$E:$E"")=$B43) *
        (IMPORTRANGE(""https://docs.google.com/spreadsheets/d/161aHT6vVT3SLneTKD19N5qVWtnj_jIT8CSsOmUVKmaA/ed"&amp;"it?gid=1761053510"",
          ""Haris_Form responses 1!$AQ:$AQ"")=4)
      ),
      1
    ),
    ""0""
  ),
  ""Form not found""
)
"),"Form not found")</f>
        <v>Form not found</v>
      </c>
      <c r="AV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1!$E:$E"")=$B43) *
        (IMPORTRANGE(""https://docs.google.com/spreadsheets/d/161aHT6vVT3SLneTKD19N5qVWtnj_jIT8CSsOmUVKmaA/ed"&amp;"it?gid=1761053510"",
          ""Haris_Form responses 1!$AQ:$AQ"")=5)
      ),
      1
    ),
    ""0""
  ),
  ""Form not found""
)
"),"Form not found")</f>
        <v>Form not found</v>
      </c>
      <c r="AW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1!$E:$E"")=$B43) *
        (IMPORTRANGE(""https://docs.google.com/spreadsheets/d/161aHT6vVT3SLneTKD19N5qVWtnj_jIT8CSsOmUVKmaA/ed"&amp;"it?gid=1761053510"",
          ""Haris_Form responses 1!$AQ:$AQ"")=6)
      ),
      1
    ),
    ""0""
  ),
  ""Form not found""
)
"),"Form not found")</f>
        <v>Form not found</v>
      </c>
      <c r="AX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1!$E:$E"")=$B43) *
        (IMPORTRANGE(""https://docs.google.com/spreadsheets/d/161aHT6vVT3SLneTKD19N5qVWtnj_jIT8CSsOmUVKmaA/ed"&amp;"it?gid=1761053510"",
          ""Haris_Form responses 1!$AQ:$AQ"")=1)
      ),
      1
    ),
    ""0""
  ),
  ""Form not found""
)
"),"0")</f>
        <v>0</v>
      </c>
      <c r="AY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1!$E:$E"")=$B43) *
        (IMPORTRANGE(""https://docs.google.com/spreadsheets/d/161aHT6vVT3SLneTKD19N5qVWtnj_jIT8CSsOmUVKmaA/ed"&amp;"it?gid=1761053510"",
          ""Haris_Form responses 1!$AQ:$AQ"")=2)
      ),
      1
    ),
    ""0""
  ),
  ""Form not found""
)
"),"Form not found")</f>
        <v>Form not found</v>
      </c>
      <c r="AZ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1!$E:$E"")=$B43) *
        (IMPORTRANGE(""https://docs.google.com/spreadsheets/d/161aHT6vVT3SLneTKD19N5qVWtnj_jIT8CSsOmUVKmaA/ed"&amp;"it?gid=1761053510"",
          ""Haris_Form responses 1!$AQ:$AQ"")=3)
      ),
      1
    ),
    ""0""
  ),
  ""Form not found""
)
"),"2")</f>
        <v>2</v>
      </c>
      <c r="BA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1!$E:$E"")=$B43) *
        (IMPORTRANGE(""https://docs.google.com/spreadsheets/d/161aHT6vVT3SLneTKD19N5qVWtnj_jIT8CSsOmUVKmaA/ed"&amp;"it?gid=1761053510"",
          ""Haris_Form responses 1!$AQ:$AQ"")=4)
      ),
      1
    ),
    ""0""
  ),
  ""Form not found""
)
"),"Form not found")</f>
        <v>Form not found</v>
      </c>
      <c r="BB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1!$E:$E"")=$B43) *
        (IMPORTRANGE(""https://docs.google.com/spreadsheets/d/161aHT6vVT3SLneTKD19N5qVWtnj_jIT8CSsOmUVKmaA/ed"&amp;"it?gid=1761053510"",
          ""Haris_Form responses 1!$AQ:$AQ"")=5)
      ),
      1
    ),
    ""0""
  ),
  ""Form not found""
)
"),"Form not found")</f>
        <v>Form not found</v>
      </c>
      <c r="BC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1!$E:$E"")=$B43) *
        (IMPORTRANGE(""https://docs.google.com/spreadsheets/d/161aHT6vVT3SLneTKD19N5qVWtnj_jIT8CSsOmUVKmaA/ed"&amp;"it?gid=1761053510"",
          ""Haris_Form responses 1!$AQ:$AQ"")=6)
      ),
      1
    ),
    ""0""
  ),
  ""Form not found""
)
"),"Form not found")</f>
        <v>Form not found</v>
      </c>
      <c r="BD43" s="293"/>
    </row>
    <row r="44">
      <c r="A44" s="283" t="str">
        <f>IFERROR(__xludf.DUMMYFUNCTION("VLOOKUP($B44,IMPORTRANGE(""https://docs.google.com/spreadsheets/d/1VNXDITjs75AcgdBSW27oL1VZH31udDprJSsBcE5xlp4/edit?gid=1551188038#gid=1551188038"", ""Sheet9!$B:$E""),2,false)"),"Lahore")</f>
        <v>Lahore</v>
      </c>
      <c r="B44" s="283" t="s">
        <v>4526</v>
      </c>
      <c r="C44" s="284" t="str">
        <f>IFERROR(__xludf.DUMMYFUNCTION("VLOOKUP(TRIM($B44), IMPORTRANGE(""https://docs.google.com/spreadsheets/d/1aSOrU4PTpuBZqfitKaH1Rfww6-YOiNCKoBpPl8XBHaw/edit?gid=0#gid=0"", ""sheet3!$B:$C""), 2, FALSE)
"),"Jamia Masjid Barkat Bibi Lahore")</f>
        <v>Jamia Masjid Barkat Bibi Lahore</v>
      </c>
      <c r="D44" s="284" t="str">
        <f>IFERROR(__xludf.DUMMYFUNCTION("IFERROR(
  INDEX(
    FILTER(
      IMPORTRANGE(""1aSOrU4PTpuBZqfitKaH1Rfww6-YOiNCKoBpPl8XBHaw/edit?gid=0#gid=0"",""Sheet1!G:G""),
      IMPORTRANGE(""1aSOrU4PTpuBZqfitKaH1Rfww6-YOiNCKoBpPl8XBHaw/edit?gid=0#gid=0"",""Sheet1!C:C"")=$B44
    ),
    1
  ),
 "&amp;" ""Not Found""
)"),"Women Religious No Info Share")</f>
        <v>Women Religious No Info Share</v>
      </c>
      <c r="E44" s="284" t="str">
        <f>VLOOKUP(B44,'Juma Recording forms'!A:E,5,false)</f>
        <v>جامعہ مسجد برکت بیبی</v>
      </c>
      <c r="F44" s="284" t="str">
        <f>IFERROR(__xludf.DUMMYFUNCTION("IFERROR(
  INDEX(
    FILTER(
      IMPORTRANGE(""1Cxrhp3-_-HS7v9uuqQliiIfrmMP4VaFoDNDWyUFy2J8/edit?gid=0#gid=0"",""Sheet1!Q:Q""),
      IMPORTRANGE(""1Cxrhp3-_-HS7v9uuqQliiIfrmMP4VaFoDNDWyUFy2J8/edit?gid=0#gid=0"",""Sheet1!K:K"")=$B44
    ),
    1
  ),
 "&amp;" ""Not Found""
)"),"Naseer_zia")</f>
        <v>Naseer_zia</v>
      </c>
      <c r="G44" s="284">
        <v>1980.0</v>
      </c>
      <c r="H44" s="284"/>
      <c r="I44" s="285"/>
      <c r="J44" s="286">
        <v>2.0</v>
      </c>
      <c r="K44" s="287" t="str">
        <f>VLOOKUP($B44,'Mosque Locations'!$A:$E,3,FALSE)
</f>
        <v>https://maps.google.com/maps?q=31.5873974%2C74.3040215&amp;z=17&amp;hl=en</v>
      </c>
      <c r="L44" s="286">
        <f>VLOOKUP($B44,'Mosque Locations'!$A:$E,4,FALSE)
</f>
        <v>31.5874</v>
      </c>
      <c r="M44" s="286">
        <f>VLOOKUP($B44,'Mosque Locations'!$A:$E,5,false)</f>
        <v>74.30402</v>
      </c>
      <c r="N44" s="288"/>
      <c r="O44" s="288"/>
      <c r="P44" s="288"/>
      <c r="Q44" s="289" t="str">
        <f>IFERROR(__xludf.DUMMYFUNCTION("IFERROR(
  INDEX(
    FILTER(
      IMPORTRANGE(""1SnQ_YxUmBUYKsKc82GyPPovLO-EPrfZxsJ0V0UbhezI/edit?gid=590869320#gid=590869320"",""Form Responses 1!AB:AB""),
      IMPORTRANGE(""1SnQ_YxUmBUYKsKc82GyPPovLO-EPrfZxsJ0V0UbhezI/edit?gid=590869320#gid=59086932"&amp;"0"",""Form Responses 1!E:E"")=$B44
    ),
    1
  ),
  ""Not Found""
)"),"https://drive.google.com/open?id=12Pos9A782qERH9H5fs3Ld7nN6YnKpaf8")</f>
        <v>https://drive.google.com/open?id=12Pos9A782qERH9H5fs3Ld7nN6YnKpaf8</v>
      </c>
      <c r="R44" s="289" t="str">
        <f>IFERROR(__xludf.DUMMYFUNCTION("IFERROR(
  INDEX(
    FILTER(
      IMPORTRANGE(""1SnQ_YxUmBUYKsKc82GyPPovLO-EPrfZxsJ0V0UbhezI"",""Form Responses 1!AA:AA""),
      TRIM(IMPORTRANGE(""1SnQ_YxUmBUYKsKc82GyPPovLO-EPrfZxsJ0V0UbhezI"",""Form Responses 1!E:E""))=TRIM($B44)
    ),
    1
  ),
 "&amp;" ""Not Found""
)
"),"https://drive.google.com/open?id=1FxjmIOMvtOxnlNyAfhudwwFiimWhJV2f")</f>
        <v>https://drive.google.com/open?id=1FxjmIOMvtOxnlNyAfhudwwFiimWhJV2f</v>
      </c>
      <c r="S44" s="285"/>
      <c r="T44" s="290" t="str">
        <f>VLOOKUP($B44,'Master Tracker'!$D:$E,2,false)</f>
        <v>https://drive.google.com/open?id=1f9S6l913TiomJgIVIQmiSHHH9Gw0Jre9</v>
      </c>
      <c r="U44" s="291" t="str">
        <f>VLOOKUP($B44,'Master Tracker'!$D:$T,4,FALSE)
</f>
        <v>https://drive.google.com/open?id=132T7Gtw7hWXGyB3cpT9M5p4rVFtCvsb-</v>
      </c>
      <c r="V44" s="290" t="str">
        <f>VLOOKUP($B44,'Master Tracker'!$D:$T,5,false)</f>
        <v>https://drive.google.com/open?id=17ZxIxqlMo4D4LkCaH_7YQZD9NKtUVqJQ</v>
      </c>
      <c r="W44" s="291" t="str">
        <f>VLOOKUP($B44,'Master Tracker'!$D:$T,7,false)</f>
        <v>https://drive.google.com/open?id=1l1gLrD1ebqmWkOxz9K4UZvZlNVT3vZ0a</v>
      </c>
      <c r="X44" s="290" t="str">
        <f>VLOOKUP($B44,'Master Tracker'!$D:$T,8,false)</f>
        <v>https://drive.google.com/open?id=1FZWz3As8oaVI6CLFNnL9sPIcS7O0ClqF</v>
      </c>
      <c r="Y44" s="291" t="str">
        <f>VLOOKUP($B44,'Master Tracker'!$D:$T,10,false)</f>
        <v>https://drive.google.com/open?id=1abeb3M3Hbxrveh_qXsT_goMdrVc921Ce</v>
      </c>
      <c r="Z44" s="284" t="str">
        <f>VLOOKUP($B44,'Master Tracker'!$D:$T,11,false)</f>
        <v>Not Found</v>
      </c>
      <c r="AA44" s="292" t="str">
        <f>VLOOKUP($B44,'Master Tracker'!$D:$T,13,false)</f>
        <v>Not Found</v>
      </c>
      <c r="AB44" s="284" t="str">
        <f>VLOOKUP($B44,'Master Tracker'!$D:$T,14,false)</f>
        <v>Not Found</v>
      </c>
      <c r="AC44" s="292" t="str">
        <f>VLOOKUP($B44,'Master Tracker'!$D:$T,16,false)</f>
        <v>Not Found</v>
      </c>
      <c r="AD44" s="292" t="str">
        <f>VLOOKUP($B44,'Master Tracker'!$D:$T,17,false)</f>
        <v>Not Found</v>
      </c>
      <c r="AE44" s="292" t="str">
        <f>VLOOKUP($B44,'Master Tracker'!$D:$V,19,false)</f>
        <v>Not Found</v>
      </c>
      <c r="AF44" s="292">
        <f>IFERROR(__xludf.DUMMYFUNCTION("IFERROR(
  INDEX(
    FILTER(
      'Juma Recording forms'!$G:$G,
      TRIM('Juma Recording forms'!$F:$F) = TRIM($B44),
      'Juma Recording forms'!$AA:$AA = 1
    ),
    1
  ),
  ""Not Found""
)"),117.0)</f>
        <v>117</v>
      </c>
      <c r="AG44" s="292">
        <f>IFERROR(__xludf.DUMMYFUNCTION("IFERROR(
  INDEX(
    FILTER(
      'Juma Recording forms'!$G:$G,
      TRIM('Juma Recording forms'!$F:$F) = TRIM($B44),
      'Juma Recording forms'!$AA:$AA = 2
    ),
    1
  ),
  ""Not Found""
)"),105.0)</f>
        <v>105</v>
      </c>
      <c r="AH44" s="292">
        <f>IFERROR(__xludf.DUMMYFUNCTION("IFERROR(
  INDEX(
    FILTER(
      'Juma Recording forms'!$G:$G,
      TRIM('Juma Recording forms'!$F:$F) = TRIM($B44),
      'Juma Recording forms'!$AA:$AA = 3
    ),
    1
  ),
  ""Not Found""
)"),108.0)</f>
        <v>108</v>
      </c>
      <c r="AI44" s="292" t="str">
        <f>IFERROR(__xludf.DUMMYFUNCTION("IFERROR(
  INDEX(
    FILTER(
      'Juma Recording forms'!$G:$G,
      TRIM('Juma Recording forms'!$F:$F) = TRIM($B44),
      'Juma Recording forms'!$AA:$AA = 4
    ),
    1
  ),
  ""Not Found""
)"),"Not Found")</f>
        <v>Not Found</v>
      </c>
      <c r="AJ44" s="292" t="str">
        <f>IFERROR(__xludf.DUMMYFUNCTION("IFERROR(
  INDEX(
    FILTER(
      'Juma Recording forms'!$G:$G,
      TRIM('Juma Recording forms'!$F:$F) = TRIM($B44),
      'Juma Recording forms'!$AA:$AA = 5
    ),
    1
  ),
  ""Not Found""
)"),"Not Found")</f>
        <v>Not Found</v>
      </c>
      <c r="AK44" s="292" t="str">
        <f>IFERROR(__xludf.DUMMYFUNCTION("IFERROR(
  INDEX(
    FILTER(
      'Juma Recording forms'!$G:$G,
      TRIM('Juma Recording forms'!$F:$F) = TRIM($B44),
      'Juma Recording forms'!$AA:$AA = 6
    ),
    1
  ),
  ""Not Found""
)"),"Not Found")</f>
        <v>Not Found</v>
      </c>
      <c r="AL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1!$E:$E"")=$B44) *
        (IMPORTRANGE(""https://docs.google.com/spreadsheets/d/161aHT6vVT3SLneTKD19N5qVWtnj_jIT8CSsOmUVKmaA/ed"&amp;"it?gid=1761053510"",
          ""Haris_Form responses 1!$AQ:$AQ"")=1)
      ),
      1
    ),
    ""0""
  ),
  ""Form not found""
)
"),"10")</f>
        <v>10</v>
      </c>
      <c r="AM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1!$E:$E"")=$B44) *
        (IMPORTRANGE(""https://docs.google.com/spreadsheets/d/161aHT6vVT3SLneTKD19N5qVWtnj_jIT8CSsOmUVKmaA/ed"&amp;"it?gid=1761053510"",
          ""Haris_Form responses 1!$AQ:$AQ"")=2)
      ),
      1
    ),
    ""0""
  ),
  ""Form not found""
)
"),"9")</f>
        <v>9</v>
      </c>
      <c r="AN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1!$E:$E"")=$B44) *
        (IMPORTRANGE(""https://docs.google.com/spreadsheets/d/161aHT6vVT3SLneTKD19N5qVWtnj_jIT8CSsOmUVKmaA/ed"&amp;"it?gid=1761053510"",
          ""Haris_Form responses 1!$AQ:$AQ"")=3)
      ),
      1
    ),
    ""0""
  ),
  ""Form not found""
)
"),"0")</f>
        <v>0</v>
      </c>
      <c r="AO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1!$E:$E"")=$B44) *
        (IMPORTRANGE(""https://docs.google.com/spreadsheets/d/161aHT6vVT3SLneTKD19N5qVWtnj_jIT8CSsOmUVKmaA/ed"&amp;"it?gid=1761053510"",
          ""Haris_Form responses 1!$AQ:$AQ"")=4)
      ),
      1
    ),
    ""0""
  ),
  ""Form not found""
)
"),"Form not found")</f>
        <v>Form not found</v>
      </c>
      <c r="AP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1!$E:$E"")=$B44) *
        (IMPORTRANGE(""https://docs.google.com/spreadsheets/d/161aHT6vVT3SLneTKD19N5qVWtnj_jIT8CSsOmUVKmaA/ed"&amp;"it?gid=1761053510"",
          ""Haris_Form responses 1!$AQ:$AQ"")=5)
      ),
      1
    ),
    ""0""
  ),
  ""Form not found""
)
"),"Form not found")</f>
        <v>Form not found</v>
      </c>
      <c r="AQ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1!$E:$E"")=$B44) *
        (IMPORTRANGE(""https://docs.google.com/spreadsheets/d/161aHT6vVT3SLneTKD19N5qVWtnj_jIT8CSsOmUVKmaA/ed"&amp;"it?gid=1761053510"",
          ""Haris_Form responses 1!$AQ:$AQ"")=6)
      ),
      1
    ),
    ""0""
  ),
  ""Form not found""
)
"),"Form not found")</f>
        <v>Form not found</v>
      </c>
      <c r="AR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1!$E:$E"")=$B44) *
        (IMPORTRANGE(""https://docs.google.com/spreadsheets/d/161aHT6vVT3SLneTKD19N5qVWtnj_jIT8CSsOmUVKmaA/ed"&amp;"it?gid=1761053510"",
          ""Haris_Form responses 1!$AQ:$AQ"")=1)
      ),
      1
    ),
    ""0""
  ),
  ""Form not found""
)
"),"0")</f>
        <v>0</v>
      </c>
      <c r="AS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1!$E:$E"")=$B44) *
        (IMPORTRANGE(""https://docs.google.com/spreadsheets/d/161aHT6vVT3SLneTKD19N5qVWtnj_jIT8CSsOmUVKmaA/ed"&amp;"it?gid=1761053510"",
          ""Haris_Form responses 1!$AQ:$AQ"")=2)
      ),
      1
    ),
    ""0""
  ),
  ""Form not found""
)
"),"0")</f>
        <v>0</v>
      </c>
      <c r="AT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1!$E:$E"")=$B44) *
        (IMPORTRANGE(""https://docs.google.com/spreadsheets/d/161aHT6vVT3SLneTKD19N5qVWtnj_jIT8CSsOmUVKmaA/ed"&amp;"it?gid=1761053510"",
          ""Haris_Form responses 1!$AQ:$AQ"")=3)
      ),
      1
    ),
    ""0""
  ),
  ""Form not found""
)
"),"0")</f>
        <v>0</v>
      </c>
      <c r="AU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1!$E:$E"")=$B44) *
        (IMPORTRANGE(""https://docs.google.com/spreadsheets/d/161aHT6vVT3SLneTKD19N5qVWtnj_jIT8CSsOmUVKmaA/ed"&amp;"it?gid=1761053510"",
          ""Haris_Form responses 1!$AQ:$AQ"")=4)
      ),
      1
    ),
    ""0""
  ),
  ""Form not found""
)
"),"Form not found")</f>
        <v>Form not found</v>
      </c>
      <c r="AV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1!$E:$E"")=$B44) *
        (IMPORTRANGE(""https://docs.google.com/spreadsheets/d/161aHT6vVT3SLneTKD19N5qVWtnj_jIT8CSsOmUVKmaA/ed"&amp;"it?gid=1761053510"",
          ""Haris_Form responses 1!$AQ:$AQ"")=5)
      ),
      1
    ),
    ""0""
  ),
  ""Form not found""
)
"),"Form not found")</f>
        <v>Form not found</v>
      </c>
      <c r="AW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1!$E:$E"")=$B44) *
        (IMPORTRANGE(""https://docs.google.com/spreadsheets/d/161aHT6vVT3SLneTKD19N5qVWtnj_jIT8CSsOmUVKmaA/ed"&amp;"it?gid=1761053510"",
          ""Haris_Form responses 1!$AQ:$AQ"")=6)
      ),
      1
    ),
    ""0""
  ),
  ""Form not found""
)
"),"Form not found")</f>
        <v>Form not found</v>
      </c>
      <c r="AX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1!$E:$E"")=$B44) *
        (IMPORTRANGE(""https://docs.google.com/spreadsheets/d/161aHT6vVT3SLneTKD19N5qVWtnj_jIT8CSsOmUVKmaA/ed"&amp;"it?gid=1761053510"",
          ""Haris_Form responses 1!$AQ:$AQ"")=1)
      ),
      1
    ),
    ""0""
  ),
  ""Form not found""
)
"),"10")</f>
        <v>10</v>
      </c>
      <c r="AY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1!$E:$E"")=$B44) *
        (IMPORTRANGE(""https://docs.google.com/spreadsheets/d/161aHT6vVT3SLneTKD19N5qVWtnj_jIT8CSsOmUVKmaA/ed"&amp;"it?gid=1761053510"",
          ""Haris_Form responses 1!$AQ:$AQ"")=2)
      ),
      1
    ),
    ""0""
  ),
  ""Form not found""
)
"),"9")</f>
        <v>9</v>
      </c>
      <c r="AZ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1!$E:$E"")=$B44) *
        (IMPORTRANGE(""https://docs.google.com/spreadsheets/d/161aHT6vVT3SLneTKD19N5qVWtnj_jIT8CSsOmUVKmaA/ed"&amp;"it?gid=1761053510"",
          ""Haris_Form responses 1!$AQ:$AQ"")=3)
      ),
      1
    ),
    ""0""
  ),
  ""Form not found""
)
"),"0")</f>
        <v>0</v>
      </c>
      <c r="BA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1!$E:$E"")=$B44) *
        (IMPORTRANGE(""https://docs.google.com/spreadsheets/d/161aHT6vVT3SLneTKD19N5qVWtnj_jIT8CSsOmUVKmaA/ed"&amp;"it?gid=1761053510"",
          ""Haris_Form responses 1!$AQ:$AQ"")=4)
      ),
      1
    ),
    ""0""
  ),
  ""Form not found""
)
"),"Form not found")</f>
        <v>Form not found</v>
      </c>
      <c r="BB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1!$E:$E"")=$B44) *
        (IMPORTRANGE(""https://docs.google.com/spreadsheets/d/161aHT6vVT3SLneTKD19N5qVWtnj_jIT8CSsOmUVKmaA/ed"&amp;"it?gid=1761053510"",
          ""Haris_Form responses 1!$AQ:$AQ"")=5)
      ),
      1
    ),
    ""0""
  ),
  ""Form not found""
)
"),"Form not found")</f>
        <v>Form not found</v>
      </c>
      <c r="BC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1!$E:$E"")=$B44) *
        (IMPORTRANGE(""https://docs.google.com/spreadsheets/d/161aHT6vVT3SLneTKD19N5qVWtnj_jIT8CSsOmUVKmaA/ed"&amp;"it?gid=1761053510"",
          ""Haris_Form responses 1!$AQ:$AQ"")=6)
      ),
      1
    ),
    ""0""
  ),
  ""Form not found""
)
"),"Form not found")</f>
        <v>Form not found</v>
      </c>
      <c r="BD44" s="293"/>
    </row>
    <row r="45">
      <c r="A45" s="283" t="str">
        <f>IFERROR(__xludf.DUMMYFUNCTION("VLOOKUP($B45,IMPORTRANGE(""https://docs.google.com/spreadsheets/d/1VNXDITjs75AcgdBSW27oL1VZH31udDprJSsBcE5xlp4/edit?gid=1551188038#gid=1551188038"", ""Sheet9!$B:$E""),2,false)"),"Lahore")</f>
        <v>Lahore</v>
      </c>
      <c r="B45" s="283" t="s">
        <v>4527</v>
      </c>
      <c r="C45" s="284" t="str">
        <f>IFERROR(__xludf.DUMMYFUNCTION("VLOOKUP(TRIM($B45), IMPORTRANGE(""https://docs.google.com/spreadsheets/d/1aSOrU4PTpuBZqfitKaH1Rfww6-YOiNCKoBpPl8XBHaw/edit?gid=0#gid=0"", ""sheet3!$B:$C""), 2, FALSE)
"),"Jamia Masjid Peshawari Neela Gumbat Lahore")</f>
        <v>Jamia Masjid Peshawari Neela Gumbat Lahore</v>
      </c>
      <c r="D45" s="284" t="str">
        <f>IFERROR(__xludf.DUMMYFUNCTION("IFERROR(
  INDEX(
    FILTER(
      IMPORTRANGE(""1aSOrU4PTpuBZqfitKaH1Rfww6-YOiNCKoBpPl8XBHaw/edit?gid=0#gid=0"",""Sheet1!G:G""),
      IMPORTRANGE(""1aSOrU4PTpuBZqfitKaH1Rfww6-YOiNCKoBpPl8XBHaw/edit?gid=0#gid=0"",""Sheet1!C:C"")=$B45
    ),
    1
  ),
 "&amp;" ""Not Found""
)"),"Women Religious No Info Share")</f>
        <v>Women Religious No Info Share</v>
      </c>
      <c r="E45" s="284" t="str">
        <f>VLOOKUP(B45,'Juma Recording forms'!A:E,5,false)</f>
        <v>Jamia Masjid Peshawari Neela Gumbat Lahore</v>
      </c>
      <c r="F45" s="284" t="str">
        <f>IFERROR(__xludf.DUMMYFUNCTION("IFERROR(
  INDEX(
    FILTER(
      IMPORTRANGE(""1Cxrhp3-_-HS7v9uuqQliiIfrmMP4VaFoDNDWyUFy2J8/edit?gid=0#gid=0"",""Sheet1!Q:Q""),
      IMPORTRANGE(""1Cxrhp3-_-HS7v9uuqQliiIfrmMP4VaFoDNDWyUFy2J8/edit?gid=0#gid=0"",""Sheet1!K:K"")=$B45
    ),
    1
  ),
 "&amp;" ""Not Found""
)"),"Mussayab_Akram")</f>
        <v>Mussayab_Akram</v>
      </c>
      <c r="G45" s="284">
        <v>1925.0</v>
      </c>
      <c r="H45" s="284"/>
      <c r="I45" s="285"/>
      <c r="J45" s="286">
        <v>2.0</v>
      </c>
      <c r="K45" s="287" t="str">
        <f>VLOOKUP($B45,'Mosque Locations'!$A:$E,3,FALSE)
</f>
        <v>https://maps.google.com/maps?q=31.5691184%2C74.3111879&amp;z=17&amp;hl=en</v>
      </c>
      <c r="L45" s="286">
        <f>VLOOKUP($B45,'Mosque Locations'!$A:$E,4,FALSE)
</f>
        <v>31.5691184</v>
      </c>
      <c r="M45" s="286">
        <f>VLOOKUP($B45,'Mosque Locations'!$A:$E,5,false)</f>
        <v>74.3111879</v>
      </c>
      <c r="N45" s="288"/>
      <c r="O45" s="288"/>
      <c r="P45" s="288"/>
      <c r="Q45" s="289" t="str">
        <f>IFERROR(__xludf.DUMMYFUNCTION("IFERROR(
  INDEX(
    FILTER(
      IMPORTRANGE(""1SnQ_YxUmBUYKsKc82GyPPovLO-EPrfZxsJ0V0UbhezI/edit?gid=590869320#gid=590869320"",""Form Responses 1!AB:AB""),
      IMPORTRANGE(""1SnQ_YxUmBUYKsKc82GyPPovLO-EPrfZxsJ0V0UbhezI/edit?gid=590869320#gid=59086932"&amp;"0"",""Form Responses 1!E:E"")=$B45
    ),
    1
  ),
  ""Not Found""
)"),"https://drive.google.com/open?id=1A-dvB0iiEMTi1IcEp_H3SVSXp-sOSh2u")</f>
        <v>https://drive.google.com/open?id=1A-dvB0iiEMTi1IcEp_H3SVSXp-sOSh2u</v>
      </c>
      <c r="R45" s="289" t="str">
        <f>IFERROR(__xludf.DUMMYFUNCTION("IFERROR(
  INDEX(
    FILTER(
      IMPORTRANGE(""1SnQ_YxUmBUYKsKc82GyPPovLO-EPrfZxsJ0V0UbhezI"",""Form Responses 1!AA:AA""),
      TRIM(IMPORTRANGE(""1SnQ_YxUmBUYKsKc82GyPPovLO-EPrfZxsJ0V0UbhezI"",""Form Responses 1!E:E""))=TRIM($B45)
    ),
    1
  ),
 "&amp;" ""Not Found""
)
"),"https://drive.google.com/open?id=1UmI2zDxvF2PJPHkm9jKPSevcGLb2cExx")</f>
        <v>https://drive.google.com/open?id=1UmI2zDxvF2PJPHkm9jKPSevcGLb2cExx</v>
      </c>
      <c r="S45" s="285"/>
      <c r="T45" s="290" t="str">
        <f>VLOOKUP($B45,'Master Tracker'!$D:$E,2,false)</f>
        <v>https://drive.google.com/open?id=1vszGO_p_HH7SiA_Aqk1RkMg2T8CbvWTw</v>
      </c>
      <c r="U45" s="291" t="str">
        <f>VLOOKUP($B45,'Master Tracker'!$D:$T,4,FALSE)
</f>
        <v>https://drive.google.com/open?id=1ubCkhJxE1iai3Tl-6L7lTiEzGPlY8LDz</v>
      </c>
      <c r="V45" s="290" t="str">
        <f>VLOOKUP($B45,'Master Tracker'!$D:$T,5,false)</f>
        <v>https://drive.google.com/open?id=1rSbj8PRpevn1nT0sKg-5JHxLxJr_Qcls</v>
      </c>
      <c r="W45" s="291" t="str">
        <f>VLOOKUP($B45,'Master Tracker'!$D:$T,7,false)</f>
        <v>https://drive.google.com/open?id=1rU5FSiyoLNqB2BYbIashm7K1E_1xOG5T</v>
      </c>
      <c r="X45" s="290" t="str">
        <f>VLOOKUP($B45,'Master Tracker'!$D:$T,8,false)</f>
        <v>https://drive.google.com/open?id=1FpAopcaW_zkHrizISu0eS2EJf90MOBk6</v>
      </c>
      <c r="Y45" s="291" t="str">
        <f>VLOOKUP($B45,'Master Tracker'!$D:$T,10,false)</f>
        <v>https://drive.google.com/open?id=1QMnYyuhMDK8FjGFxoxzgjXVuUG7H7l3U</v>
      </c>
      <c r="Z45" s="284" t="str">
        <f>VLOOKUP($B45,'Master Tracker'!$D:$T,11,false)</f>
        <v>Not Found</v>
      </c>
      <c r="AA45" s="292" t="str">
        <f>VLOOKUP($B45,'Master Tracker'!$D:$T,13,false)</f>
        <v>Not Found</v>
      </c>
      <c r="AB45" s="284" t="str">
        <f>VLOOKUP($B45,'Master Tracker'!$D:$T,14,false)</f>
        <v>Not Found</v>
      </c>
      <c r="AC45" s="292" t="str">
        <f>VLOOKUP($B45,'Master Tracker'!$D:$T,16,false)</f>
        <v>Not Found</v>
      </c>
      <c r="AD45" s="292" t="str">
        <f>VLOOKUP($B45,'Master Tracker'!$D:$T,17,false)</f>
        <v>Not Found</v>
      </c>
      <c r="AE45" s="292" t="str">
        <f>VLOOKUP($B45,'Master Tracker'!$D:$V,19,false)</f>
        <v>Not Found</v>
      </c>
      <c r="AF45" s="292">
        <f>IFERROR(__xludf.DUMMYFUNCTION("IFERROR(
  INDEX(
    FILTER(
      'Juma Recording forms'!$G:$G,
      TRIM('Juma Recording forms'!$F:$F) = TRIM($B45),
      'Juma Recording forms'!$AA:$AA = 1
    ),
    1
  ),
  ""Not Found""
)"),60.0)</f>
        <v>60</v>
      </c>
      <c r="AG45" s="292">
        <f>IFERROR(__xludf.DUMMYFUNCTION("IFERROR(
  INDEX(
    FILTER(
      'Juma Recording forms'!$G:$G,
      TRIM('Juma Recording forms'!$F:$F) = TRIM($B45),
      'Juma Recording forms'!$AA:$AA = 2
    ),
    1
  ),
  ""Not Found""
)"),65.0)</f>
        <v>65</v>
      </c>
      <c r="AH45" s="292">
        <f>IFERROR(__xludf.DUMMYFUNCTION("IFERROR(
  INDEX(
    FILTER(
      'Juma Recording forms'!$G:$G,
      TRIM('Juma Recording forms'!$F:$F) = TRIM($B45),
      'Juma Recording forms'!$AA:$AA = 3
    ),
    1
  ),
  ""Not Found""
)"),64.0)</f>
        <v>64</v>
      </c>
      <c r="AI45" s="292" t="str">
        <f>IFERROR(__xludf.DUMMYFUNCTION("IFERROR(
  INDEX(
    FILTER(
      'Juma Recording forms'!$G:$G,
      TRIM('Juma Recording forms'!$F:$F) = TRIM($B45),
      'Juma Recording forms'!$AA:$AA = 4
    ),
    1
  ),
  ""Not Found""
)"),"Not Found")</f>
        <v>Not Found</v>
      </c>
      <c r="AJ45" s="292" t="str">
        <f>IFERROR(__xludf.DUMMYFUNCTION("IFERROR(
  INDEX(
    FILTER(
      'Juma Recording forms'!$G:$G,
      TRIM('Juma Recording forms'!$F:$F) = TRIM($B45),
      'Juma Recording forms'!$AA:$AA = 5
    ),
    1
  ),
  ""Not Found""
)"),"Not Found")</f>
        <v>Not Found</v>
      </c>
      <c r="AK45" s="292" t="str">
        <f>IFERROR(__xludf.DUMMYFUNCTION("IFERROR(
  INDEX(
    FILTER(
      'Juma Recording forms'!$G:$G,
      TRIM('Juma Recording forms'!$F:$F) = TRIM($B45),
      'Juma Recording forms'!$AA:$AA = 6
    ),
    1
  ),
  ""Not Found""
)"),"Not Found")</f>
        <v>Not Found</v>
      </c>
      <c r="AL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1!$E:$E"")=$B45) *
        (IMPORTRANGE(""https://docs.google.com/spreadsheets/d/161aHT6vVT3SLneTKD19N5qVWtnj_jIT8CSsOmUVKmaA/ed"&amp;"it?gid=1761053510"",
          ""Haris_Form responses 1!$AQ:$AQ"")=1)
      ),
      1
    ),
    ""0""
  ),
  ""Form not found""
)
"),"10")</f>
        <v>10</v>
      </c>
      <c r="AM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1!$E:$E"")=$B45) *
        (IMPORTRANGE(""https://docs.google.com/spreadsheets/d/161aHT6vVT3SLneTKD19N5qVWtnj_jIT8CSsOmUVKmaA/ed"&amp;"it?gid=1761053510"",
          ""Haris_Form responses 1!$AQ:$AQ"")=2)
      ),
      1
    ),
    ""0""
  ),
  ""Form not found""
)
"),"10")</f>
        <v>10</v>
      </c>
      <c r="AN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1!$E:$E"")=$B45) *
        (IMPORTRANGE(""https://docs.google.com/spreadsheets/d/161aHT6vVT3SLneTKD19N5qVWtnj_jIT8CSsOmUVKmaA/ed"&amp;"it?gid=1761053510"",
          ""Haris_Form responses 1!$AQ:$AQ"")=3)
      ),
      1
    ),
    ""0""
  ),
  ""Form not found""
)
"),"0")</f>
        <v>0</v>
      </c>
      <c r="AO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1!$E:$E"")=$B45) *
        (IMPORTRANGE(""https://docs.google.com/spreadsheets/d/161aHT6vVT3SLneTKD19N5qVWtnj_jIT8CSsOmUVKmaA/ed"&amp;"it?gid=1761053510"",
          ""Haris_Form responses 1!$AQ:$AQ"")=4)
      ),
      1
    ),
    ""0""
  ),
  ""Form not found""
)
"),"Form not found")</f>
        <v>Form not found</v>
      </c>
      <c r="AP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1!$E:$E"")=$B45) *
        (IMPORTRANGE(""https://docs.google.com/spreadsheets/d/161aHT6vVT3SLneTKD19N5qVWtnj_jIT8CSsOmUVKmaA/ed"&amp;"it?gid=1761053510"",
          ""Haris_Form responses 1!$AQ:$AQ"")=5)
      ),
      1
    ),
    ""0""
  ),
  ""Form not found""
)
"),"Form not found")</f>
        <v>Form not found</v>
      </c>
      <c r="AQ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1!$E:$E"")=$B45) *
        (IMPORTRANGE(""https://docs.google.com/spreadsheets/d/161aHT6vVT3SLneTKD19N5qVWtnj_jIT8CSsOmUVKmaA/ed"&amp;"it?gid=1761053510"",
          ""Haris_Form responses 1!$AQ:$AQ"")=6)
      ),
      1
    ),
    ""0""
  ),
  ""Form not found""
)
"),"Form not found")</f>
        <v>Form not found</v>
      </c>
      <c r="AR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1!$E:$E"")=$B45) *
        (IMPORTRANGE(""https://docs.google.com/spreadsheets/d/161aHT6vVT3SLneTKD19N5qVWtnj_jIT8CSsOmUVKmaA/ed"&amp;"it?gid=1761053510"",
          ""Haris_Form responses 1!$AQ:$AQ"")=1)
      ),
      1
    ),
    ""0""
  ),
  ""Form not found""
)
"),"0")</f>
        <v>0</v>
      </c>
      <c r="AS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1!$E:$E"")=$B45) *
        (IMPORTRANGE(""https://docs.google.com/spreadsheets/d/161aHT6vVT3SLneTKD19N5qVWtnj_jIT8CSsOmUVKmaA/ed"&amp;"it?gid=1761053510"",
          ""Haris_Form responses 1!$AQ:$AQ"")=2)
      ),
      1
    ),
    ""0""
  ),
  ""Form not found""
)
"),"0")</f>
        <v>0</v>
      </c>
      <c r="AT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1!$E:$E"")=$B45) *
        (IMPORTRANGE(""https://docs.google.com/spreadsheets/d/161aHT6vVT3SLneTKD19N5qVWtnj_jIT8CSsOmUVKmaA/ed"&amp;"it?gid=1761053510"",
          ""Haris_Form responses 1!$AQ:$AQ"")=3)
      ),
      1
    ),
    ""0""
  ),
  ""Form not found""
)
"),"0")</f>
        <v>0</v>
      </c>
      <c r="AU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1!$E:$E"")=$B45) *
        (IMPORTRANGE(""https://docs.google.com/spreadsheets/d/161aHT6vVT3SLneTKD19N5qVWtnj_jIT8CSsOmUVKmaA/ed"&amp;"it?gid=1761053510"",
          ""Haris_Form responses 1!$AQ:$AQ"")=4)
      ),
      1
    ),
    ""0""
  ),
  ""Form not found""
)
"),"Form not found")</f>
        <v>Form not found</v>
      </c>
      <c r="AV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1!$E:$E"")=$B45) *
        (IMPORTRANGE(""https://docs.google.com/spreadsheets/d/161aHT6vVT3SLneTKD19N5qVWtnj_jIT8CSsOmUVKmaA/ed"&amp;"it?gid=1761053510"",
          ""Haris_Form responses 1!$AQ:$AQ"")=5)
      ),
      1
    ),
    ""0""
  ),
  ""Form not found""
)
"),"Form not found")</f>
        <v>Form not found</v>
      </c>
      <c r="AW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1!$E:$E"")=$B45) *
        (IMPORTRANGE(""https://docs.google.com/spreadsheets/d/161aHT6vVT3SLneTKD19N5qVWtnj_jIT8CSsOmUVKmaA/ed"&amp;"it?gid=1761053510"",
          ""Haris_Form responses 1!$AQ:$AQ"")=6)
      ),
      1
    ),
    ""0""
  ),
  ""Form not found""
)
"),"Form not found")</f>
        <v>Form not found</v>
      </c>
      <c r="AX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1!$E:$E"")=$B45) *
        (IMPORTRANGE(""https://docs.google.com/spreadsheets/d/161aHT6vVT3SLneTKD19N5qVWtnj_jIT8CSsOmUVKmaA/ed"&amp;"it?gid=1761053510"",
          ""Haris_Form responses 1!$AQ:$AQ"")=1)
      ),
      1
    ),
    ""0""
  ),
  ""Form not found""
)
"),"10")</f>
        <v>10</v>
      </c>
      <c r="AY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1!$E:$E"")=$B45) *
        (IMPORTRANGE(""https://docs.google.com/spreadsheets/d/161aHT6vVT3SLneTKD19N5qVWtnj_jIT8CSsOmUVKmaA/ed"&amp;"it?gid=1761053510"",
          ""Haris_Form responses 1!$AQ:$AQ"")=2)
      ),
      1
    ),
    ""0""
  ),
  ""Form not found""
)
"),"9")</f>
        <v>9</v>
      </c>
      <c r="AZ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1!$E:$E"")=$B45) *
        (IMPORTRANGE(""https://docs.google.com/spreadsheets/d/161aHT6vVT3SLneTKD19N5qVWtnj_jIT8CSsOmUVKmaA/ed"&amp;"it?gid=1761053510"",
          ""Haris_Form responses 1!$AQ:$AQ"")=3)
      ),
      1
    ),
    ""0""
  ),
  ""Form not found""
)
"),"0")</f>
        <v>0</v>
      </c>
      <c r="BA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1!$E:$E"")=$B45) *
        (IMPORTRANGE(""https://docs.google.com/spreadsheets/d/161aHT6vVT3SLneTKD19N5qVWtnj_jIT8CSsOmUVKmaA/ed"&amp;"it?gid=1761053510"",
          ""Haris_Form responses 1!$AQ:$AQ"")=4)
      ),
      1
    ),
    ""0""
  ),
  ""Form not found""
)
"),"Form not found")</f>
        <v>Form not found</v>
      </c>
      <c r="BB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1!$E:$E"")=$B45) *
        (IMPORTRANGE(""https://docs.google.com/spreadsheets/d/161aHT6vVT3SLneTKD19N5qVWtnj_jIT8CSsOmUVKmaA/ed"&amp;"it?gid=1761053510"",
          ""Haris_Form responses 1!$AQ:$AQ"")=5)
      ),
      1
    ),
    ""0""
  ),
  ""Form not found""
)
"),"Form not found")</f>
        <v>Form not found</v>
      </c>
      <c r="BC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1!$E:$E"")=$B45) *
        (IMPORTRANGE(""https://docs.google.com/spreadsheets/d/161aHT6vVT3SLneTKD19N5qVWtnj_jIT8CSsOmUVKmaA/ed"&amp;"it?gid=1761053510"",
          ""Haris_Form responses 1!$AQ:$AQ"")=6)
      ),
      1
    ),
    ""0""
  ),
  ""Form not found""
)
"),"Form not found")</f>
        <v>Form not found</v>
      </c>
      <c r="BD45" s="293"/>
    </row>
    <row r="46">
      <c r="A46" s="283" t="str">
        <f>IFERROR(__xludf.DUMMYFUNCTION("VLOOKUP($B46,IMPORTRANGE(""https://docs.google.com/spreadsheets/d/1VNXDITjs75AcgdBSW27oL1VZH31udDprJSsBcE5xlp4/edit?gid=1551188038#gid=1551188038"", ""Sheet9!$B:$E""),2,false)"),"Lahore")</f>
        <v>Lahore</v>
      </c>
      <c r="B46" s="283" t="s">
        <v>4528</v>
      </c>
      <c r="C46" s="284" t="str">
        <f>IFERROR(__xludf.DUMMYFUNCTION("VLOOKUP(TRIM($B46), IMPORTRANGE(""https://docs.google.com/spreadsheets/d/1aSOrU4PTpuBZqfitKaH1Rfww6-YOiNCKoBpPl8XBHaw/edit?gid=0#gid=0"", ""sheet3!$B:$C""), 2, FALSE)
"),"Jamia Masjid Neevin Bhati Gate Lahore")</f>
        <v>Jamia Masjid Neevin Bhati Gate Lahore</v>
      </c>
      <c r="D46" s="284" t="str">
        <f>IFERROR(__xludf.DUMMYFUNCTION("IFERROR(
  INDEX(
    FILTER(
      IMPORTRANGE(""1aSOrU4PTpuBZqfitKaH1Rfww6-YOiNCKoBpPl8XBHaw/edit?gid=0#gid=0"",""Sheet1!G:G""),
      IMPORTRANGE(""1aSOrU4PTpuBZqfitKaH1Rfww6-YOiNCKoBpPl8XBHaw/edit?gid=0#gid=0"",""Sheet1!C:C"")=$B46
    ),
    1
  ),
 "&amp;" ""Not Found""
)"),"Community Secular No Info Share")</f>
        <v>Community Secular No Info Share</v>
      </c>
      <c r="E46" s="284" t="str">
        <f>IFERROR(__xludf.DUMMYFUNCTION("VLOOKUP(TRIM($B46), IMPORTRANGE(""https://docs.google.com/spreadsheets/d/1aSOrU4PTpuBZqfitKaH1Rfww6-YOiNCKoBpPl8XBHaw/edit?gid=0#gid=0"", ""sheet3!$B:$C""), 2, FALSE)
"),"Jamia Masjid Neevin Bhati Gate Lahore")</f>
        <v>Jamia Masjid Neevin Bhati Gate Lahore</v>
      </c>
      <c r="F46" s="284" t="str">
        <f>IFERROR(__xludf.DUMMYFUNCTION("IFERROR(
  INDEX(
    FILTER(
      IMPORTRANGE(""1Cxrhp3-_-HS7v9uuqQliiIfrmMP4VaFoDNDWyUFy2J8/edit?gid=0#gid=0"",""Sheet1!Q:Q""),
      IMPORTRANGE(""1Cxrhp3-_-HS7v9uuqQliiIfrmMP4VaFoDNDWyUFy2J8/edit?gid=0#gid=0"",""Sheet1!K:K"")=$B46
    ),
    1
  ),
 "&amp;" ""Not Found""
)"),"Moulana Muhammad Amin")</f>
        <v>Moulana Muhammad Amin</v>
      </c>
      <c r="G46" s="284">
        <v>1930.0</v>
      </c>
      <c r="H46" s="284"/>
      <c r="I46" s="285"/>
      <c r="J46" s="286">
        <v>2.0</v>
      </c>
      <c r="K46" s="287" t="str">
        <f>VLOOKUP($B46,'Mosque Locations'!$A:$E,3,FALSE)
</f>
        <v>https://maps.google.com/maps?q=31.5817083%2C74.3049283&amp;z=17&amp;hl=en</v>
      </c>
      <c r="L46" s="286">
        <f>VLOOKUP($B46,'Mosque Locations'!$A:$E,4,FALSE)
</f>
        <v>31.5817083</v>
      </c>
      <c r="M46" s="286">
        <f>VLOOKUP($B46,'Mosque Locations'!$A:$E,5,false)</f>
        <v>74.3049283</v>
      </c>
      <c r="N46" s="288"/>
      <c r="O46" s="288"/>
      <c r="P46" s="288"/>
      <c r="Q46" s="289" t="str">
        <f>IFERROR(__xludf.DUMMYFUNCTION("IFERROR(
  INDEX(
    FILTER(
      IMPORTRANGE(""1SnQ_YxUmBUYKsKc82GyPPovLO-EPrfZxsJ0V0UbhezI/edit?gid=590869320#gid=590869320"",""Form Responses 1!AB:AB""),
      IMPORTRANGE(""1SnQ_YxUmBUYKsKc82GyPPovLO-EPrfZxsJ0V0UbhezI/edit?gid=590869320#gid=59086932"&amp;"0"",""Form Responses 1!E:E"")=$B46
    ),
    1
  ),
  ""Not Found""
)"),"https://drive.google.com/open?id=1Ig9PIzdAU7r2km9PJP2Al_UpTswM72Eg")</f>
        <v>https://drive.google.com/open?id=1Ig9PIzdAU7r2km9PJP2Al_UpTswM72Eg</v>
      </c>
      <c r="R46" s="289" t="str">
        <f>IFERROR(__xludf.DUMMYFUNCTION("IFERROR(
  INDEX(
    FILTER(
      IMPORTRANGE(""1SnQ_YxUmBUYKsKc82GyPPovLO-EPrfZxsJ0V0UbhezI"",""Form Responses 1!AA:AA""),
      TRIM(IMPORTRANGE(""1SnQ_YxUmBUYKsKc82GyPPovLO-EPrfZxsJ0V0UbhezI"",""Form Responses 1!E:E""))=TRIM($B46)
    ),
    1
  ),
 "&amp;" ""Not Found""
)
"),"https://drive.google.com/open?id=1cVPP3avDSRjsamGRk188ArARddqBS0gu")</f>
        <v>https://drive.google.com/open?id=1cVPP3avDSRjsamGRk188ArARddqBS0gu</v>
      </c>
      <c r="S46" s="285"/>
      <c r="T46" s="290" t="str">
        <f>VLOOKUP($B46,'Master Tracker'!$D:$E,2,false)</f>
        <v>https://drive.google.com/open?id=1-xBKrEDz7WSqvmommp3t-HXpY5vMGLcW</v>
      </c>
      <c r="U46" s="291" t="str">
        <f>VLOOKUP($B46,'Master Tracker'!$D:$T,4,FALSE)
</f>
        <v>https://drive.google.com/open?id=1pwTTh8nYh-5XgO4SoBQ1W5nOK4oz4PuO</v>
      </c>
      <c r="V46" s="284" t="str">
        <f>VLOOKUP($B46,'Master Tracker'!$D:$T,5,false)</f>
        <v>Not Found</v>
      </c>
      <c r="W46" s="292" t="str">
        <f>VLOOKUP($B46,'Master Tracker'!$D:$T,7,false)</f>
        <v>Not Found</v>
      </c>
      <c r="X46" s="290" t="str">
        <f>VLOOKUP($B46,'Master Tracker'!$D:$T,8,false)</f>
        <v>https://drive.google.com/open?id=1w198BMvMurve52I-sXCaz7TEVS8vKVbt</v>
      </c>
      <c r="Y46" s="291" t="str">
        <f>VLOOKUP($B46,'Master Tracker'!$D:$T,10,false)</f>
        <v>https://drive.google.com/open?id=1ydib4UtsFy1-dtAHV6tqmvug4fAuV4nq</v>
      </c>
      <c r="Z46" s="284" t="str">
        <f>VLOOKUP($B46,'Master Tracker'!$D:$T,11,false)</f>
        <v>Not Found</v>
      </c>
      <c r="AA46" s="292" t="str">
        <f>VLOOKUP($B46,'Master Tracker'!$D:$T,13,false)</f>
        <v>Not Found</v>
      </c>
      <c r="AB46" s="284" t="str">
        <f>VLOOKUP($B46,'Master Tracker'!$D:$T,14,false)</f>
        <v>Not Found</v>
      </c>
      <c r="AC46" s="292" t="str">
        <f>VLOOKUP($B46,'Master Tracker'!$D:$T,16,false)</f>
        <v>Not Found</v>
      </c>
      <c r="AD46" s="292" t="str">
        <f>VLOOKUP($B46,'Master Tracker'!$D:$T,17,false)</f>
        <v>Not Found</v>
      </c>
      <c r="AE46" s="292" t="str">
        <f>VLOOKUP($B46,'Master Tracker'!$D:$V,19,false)</f>
        <v>Not Found</v>
      </c>
      <c r="AF46" s="292">
        <f>IFERROR(__xludf.DUMMYFUNCTION("IFERROR(
  INDEX(
    FILTER(
      'Juma Recording forms'!$G:$G,
      TRIM('Juma Recording forms'!$F:$F) = TRIM($B46),
      'Juma Recording forms'!$AA:$AA = 1
    ),
    1
  ),
  ""Not Found""
)"),140.0)</f>
        <v>140</v>
      </c>
      <c r="AG46" s="292" t="str">
        <f>IFERROR(__xludf.DUMMYFUNCTION("IFERROR(
  INDEX(
    FILTER(
      'Juma Recording forms'!$G:$G,
      TRIM('Juma Recording forms'!$F:$F) = TRIM($B46),
      'Juma Recording forms'!$AA:$AA = 2
    ),
    1
  ),
  ""Not Found""
)"),"Not Found")</f>
        <v>Not Found</v>
      </c>
      <c r="AH46" s="292">
        <f>IFERROR(__xludf.DUMMYFUNCTION("IFERROR(
  INDEX(
    FILTER(
      'Juma Recording forms'!$G:$G,
      TRIM('Juma Recording forms'!$F:$F) = TRIM($B46),
      'Juma Recording forms'!$AA:$AA = 3
    ),
    1
  ),
  ""Not Found""
)"),128.0)</f>
        <v>128</v>
      </c>
      <c r="AI46" s="292" t="str">
        <f>IFERROR(__xludf.DUMMYFUNCTION("IFERROR(
  INDEX(
    FILTER(
      'Juma Recording forms'!$G:$G,
      TRIM('Juma Recording forms'!$F:$F) = TRIM($B46),
      'Juma Recording forms'!$AA:$AA = 4
    ),
    1
  ),
  ""Not Found""
)"),"Not Found")</f>
        <v>Not Found</v>
      </c>
      <c r="AJ46" s="292" t="str">
        <f>IFERROR(__xludf.DUMMYFUNCTION("IFERROR(
  INDEX(
    FILTER(
      'Juma Recording forms'!$G:$G,
      TRIM('Juma Recording forms'!$F:$F) = TRIM($B46),
      'Juma Recording forms'!$AA:$AA = 5
    ),
    1
  ),
  ""Not Found""
)"),"Not Found")</f>
        <v>Not Found</v>
      </c>
      <c r="AK46" s="292" t="str">
        <f>IFERROR(__xludf.DUMMYFUNCTION("IFERROR(
  INDEX(
    FILTER(
      'Juma Recording forms'!$G:$G,
      TRIM('Juma Recording forms'!$F:$F) = TRIM($B46),
      'Juma Recording forms'!$AA:$AA = 6
    ),
    1
  ),
  ""Not Found""
)"),"Not Found")</f>
        <v>Not Found</v>
      </c>
      <c r="AL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1!$E:$E"")=$B46) *
        (IMPORTRANGE(""https://docs.google.com/spreadsheets/d/161aHT6vVT3SLneTKD19N5qVWtnj_jIT8CSsOmUVKmaA/ed"&amp;"it?gid=1761053510"",
          ""Haris_Form responses 1!$AQ:$AQ"")=1)
      ),
      1
    ),
    ""0""
  ),
  ""Form not found""
)
"),"2")</f>
        <v>2</v>
      </c>
      <c r="AM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1!$E:$E"")=$B46) *
        (IMPORTRANGE(""https://docs.google.com/spreadsheets/d/161aHT6vVT3SLneTKD19N5qVWtnj_jIT8CSsOmUVKmaA/ed"&amp;"it?gid=1761053510"",
          ""Haris_Form responses 1!$AQ:$AQ"")=2)
      ),
      1
    ),
    ""0""
  ),
  ""Form not found""
)
"),"Form not found")</f>
        <v>Form not found</v>
      </c>
      <c r="AN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1!$E:$E"")=$B46) *
        (IMPORTRANGE(""https://docs.google.com/spreadsheets/d/161aHT6vVT3SLneTKD19N5qVWtnj_jIT8CSsOmUVKmaA/ed"&amp;"it?gid=1761053510"",
          ""Haris_Form responses 1!$AQ:$AQ"")=3)
      ),
      1
    ),
    ""0""
  ),
  ""Form not found""
)
"),"0")</f>
        <v>0</v>
      </c>
      <c r="AO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1!$E:$E"")=$B46) *
        (IMPORTRANGE(""https://docs.google.com/spreadsheets/d/161aHT6vVT3SLneTKD19N5qVWtnj_jIT8CSsOmUVKmaA/ed"&amp;"it?gid=1761053510"",
          ""Haris_Form responses 1!$AQ:$AQ"")=4)
      ),
      1
    ),
    ""0""
  ),
  ""Form not found""
)
"),"Form not found")</f>
        <v>Form not found</v>
      </c>
      <c r="AP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1!$E:$E"")=$B46) *
        (IMPORTRANGE(""https://docs.google.com/spreadsheets/d/161aHT6vVT3SLneTKD19N5qVWtnj_jIT8CSsOmUVKmaA/ed"&amp;"it?gid=1761053510"",
          ""Haris_Form responses 1!$AQ:$AQ"")=5)
      ),
      1
    ),
    ""0""
  ),
  ""Form not found""
)
"),"Form not found")</f>
        <v>Form not found</v>
      </c>
      <c r="AQ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1!$E:$E"")=$B46) *
        (IMPORTRANGE(""https://docs.google.com/spreadsheets/d/161aHT6vVT3SLneTKD19N5qVWtnj_jIT8CSsOmUVKmaA/ed"&amp;"it?gid=1761053510"",
          ""Haris_Form responses 1!$AQ:$AQ"")=6)
      ),
      1
    ),
    ""0""
  ),
  ""Form not found""
)
"),"Form not found")</f>
        <v>Form not found</v>
      </c>
      <c r="AR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1!$E:$E"")=$B46) *
        (IMPORTRANGE(""https://docs.google.com/spreadsheets/d/161aHT6vVT3SLneTKD19N5qVWtnj_jIT8CSsOmUVKmaA/ed"&amp;"it?gid=1761053510"",
          ""Haris_Form responses 1!$AQ:$AQ"")=1)
      ),
      1
    ),
    ""0""
  ),
  ""Form not found""
)
"),"2")</f>
        <v>2</v>
      </c>
      <c r="AS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1!$E:$E"")=$B46) *
        (IMPORTRANGE(""https://docs.google.com/spreadsheets/d/161aHT6vVT3SLneTKD19N5qVWtnj_jIT8CSsOmUVKmaA/ed"&amp;"it?gid=1761053510"",
          ""Haris_Form responses 1!$AQ:$AQ"")=2)
      ),
      1
    ),
    ""0""
  ),
  ""Form not found""
)
"),"Form not found")</f>
        <v>Form not found</v>
      </c>
      <c r="AT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1!$E:$E"")=$B46) *
        (IMPORTRANGE(""https://docs.google.com/spreadsheets/d/161aHT6vVT3SLneTKD19N5qVWtnj_jIT8CSsOmUVKmaA/ed"&amp;"it?gid=1761053510"",
          ""Haris_Form responses 1!$AQ:$AQ"")=3)
      ),
      1
    ),
    ""0""
  ),
  ""Form not found""
)
"),"0")</f>
        <v>0</v>
      </c>
      <c r="AU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1!$E:$E"")=$B46) *
        (IMPORTRANGE(""https://docs.google.com/spreadsheets/d/161aHT6vVT3SLneTKD19N5qVWtnj_jIT8CSsOmUVKmaA/ed"&amp;"it?gid=1761053510"",
          ""Haris_Form responses 1!$AQ:$AQ"")=4)
      ),
      1
    ),
    ""0""
  ),
  ""Form not found""
)
"),"Form not found")</f>
        <v>Form not found</v>
      </c>
      <c r="AV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1!$E:$E"")=$B46) *
        (IMPORTRANGE(""https://docs.google.com/spreadsheets/d/161aHT6vVT3SLneTKD19N5qVWtnj_jIT8CSsOmUVKmaA/ed"&amp;"it?gid=1761053510"",
          ""Haris_Form responses 1!$AQ:$AQ"")=5)
      ),
      1
    ),
    ""0""
  ),
  ""Form not found""
)
"),"Form not found")</f>
        <v>Form not found</v>
      </c>
      <c r="AW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1!$E:$E"")=$B46) *
        (IMPORTRANGE(""https://docs.google.com/spreadsheets/d/161aHT6vVT3SLneTKD19N5qVWtnj_jIT8CSsOmUVKmaA/ed"&amp;"it?gid=1761053510"",
          ""Haris_Form responses 1!$AQ:$AQ"")=6)
      ),
      1
    ),
    ""0""
  ),
  ""Form not found""
)
"),"Form not found")</f>
        <v>Form not found</v>
      </c>
      <c r="AX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1!$E:$E"")=$B46) *
        (IMPORTRANGE(""https://docs.google.com/spreadsheets/d/161aHT6vVT3SLneTKD19N5qVWtnj_jIT8CSsOmUVKmaA/ed"&amp;"it?gid=1761053510"",
          ""Haris_Form responses 1!$AQ:$AQ"")=1)
      ),
      1
    ),
    ""0""
  ),
  ""Form not found""
)
"),"0")</f>
        <v>0</v>
      </c>
      <c r="AY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1!$E:$E"")=$B46) *
        (IMPORTRANGE(""https://docs.google.com/spreadsheets/d/161aHT6vVT3SLneTKD19N5qVWtnj_jIT8CSsOmUVKmaA/ed"&amp;"it?gid=1761053510"",
          ""Haris_Form responses 1!$AQ:$AQ"")=2)
      ),
      1
    ),
    ""0""
  ),
  ""Form not found""
)
"),"Form not found")</f>
        <v>Form not found</v>
      </c>
      <c r="AZ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1!$E:$E"")=$B46) *
        (IMPORTRANGE(""https://docs.google.com/spreadsheets/d/161aHT6vVT3SLneTKD19N5qVWtnj_jIT8CSsOmUVKmaA/ed"&amp;"it?gid=1761053510"",
          ""Haris_Form responses 1!$AQ:$AQ"")=3)
      ),
      1
    ),
    ""0""
  ),
  ""Form not found""
)
"),"0")</f>
        <v>0</v>
      </c>
      <c r="BA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1!$E:$E"")=$B46) *
        (IMPORTRANGE(""https://docs.google.com/spreadsheets/d/161aHT6vVT3SLneTKD19N5qVWtnj_jIT8CSsOmUVKmaA/ed"&amp;"it?gid=1761053510"",
          ""Haris_Form responses 1!$AQ:$AQ"")=4)
      ),
      1
    ),
    ""0""
  ),
  ""Form not found""
)
"),"Form not found")</f>
        <v>Form not found</v>
      </c>
      <c r="BB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1!$E:$E"")=$B46) *
        (IMPORTRANGE(""https://docs.google.com/spreadsheets/d/161aHT6vVT3SLneTKD19N5qVWtnj_jIT8CSsOmUVKmaA/ed"&amp;"it?gid=1761053510"",
          ""Haris_Form responses 1!$AQ:$AQ"")=5)
      ),
      1
    ),
    ""0""
  ),
  ""Form not found""
)
"),"Form not found")</f>
        <v>Form not found</v>
      </c>
      <c r="BC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1!$E:$E"")=$B46) *
        (IMPORTRANGE(""https://docs.google.com/spreadsheets/d/161aHT6vVT3SLneTKD19N5qVWtnj_jIT8CSsOmUVKmaA/ed"&amp;"it?gid=1761053510"",
          ""Haris_Form responses 1!$AQ:$AQ"")=6)
      ),
      1
    ),
    ""0""
  ),
  ""Form not found""
)
"),"Form not found")</f>
        <v>Form not found</v>
      </c>
      <c r="BD46" s="293"/>
    </row>
    <row r="47">
      <c r="A47" s="283" t="str">
        <f>IFERROR(__xludf.DUMMYFUNCTION("VLOOKUP($B47,IMPORTRANGE(""https://docs.google.com/spreadsheets/d/1VNXDITjs75AcgdBSW27oL1VZH31udDprJSsBcE5xlp4/edit?gid=1551188038#gid=1551188038"", ""Sheet9!$B:$E""),2,false)"),"Lahore")</f>
        <v>Lahore</v>
      </c>
      <c r="B47" s="283" t="s">
        <v>4530</v>
      </c>
      <c r="C47" s="284" t="str">
        <f>IFERROR(__xludf.DUMMYFUNCTION("VLOOKUP(TRIM($B47), IMPORTRANGE(""https://docs.google.com/spreadsheets/d/1aSOrU4PTpuBZqfitKaH1Rfww6-YOiNCKoBpPl8XBHaw/edit?gid=0#gid=0"", ""sheet3!$B:$C""), 2, FALSE)
"),"Jamia Masjid Abdul Ghani Lahore")</f>
        <v>Jamia Masjid Abdul Ghani Lahore</v>
      </c>
      <c r="D47" s="284" t="str">
        <f>IFERROR(__xludf.DUMMYFUNCTION("IFERROR(
  INDEX(
    FILTER(
      IMPORTRANGE(""1aSOrU4PTpuBZqfitKaH1Rfww6-YOiNCKoBpPl8XBHaw/edit?gid=0#gid=0"",""Sheet1!G:G""),
      IMPORTRANGE(""1aSOrU4PTpuBZqfitKaH1Rfww6-YOiNCKoBpPl8XBHaw/edit?gid=0#gid=0"",""Sheet1!C:C"")=$B47
    ),
    1
  ),
 "&amp;" ""Not Found""
)"),"Community Religious No Info Share")</f>
        <v>Community Religious No Info Share</v>
      </c>
      <c r="E47" s="284" t="str">
        <f>VLOOKUP(B47,'Juma Recording forms'!A:E,5,false)</f>
        <v>Jamia Masjid Abdul Ghani </v>
      </c>
      <c r="F47" s="284" t="str">
        <f>IFERROR(__xludf.DUMMYFUNCTION("IFERROR(
  INDEX(
    FILTER(
      IMPORTRANGE(""1Cxrhp3-_-HS7v9uuqQliiIfrmMP4VaFoDNDWyUFy2J8/edit?gid=0#gid=0"",""Sheet1!Q:Q""),
      IMPORTRANGE(""1Cxrhp3-_-HS7v9uuqQliiIfrmMP4VaFoDNDWyUFy2J8/edit?gid=0#gid=0"",""Sheet1!K:K"")=$B47
    ),
    1
  ),
 "&amp;" ""Not Found""
)"),"Khalil_ur_Rehman")</f>
        <v>Khalil_ur_Rehman</v>
      </c>
      <c r="G47" s="284">
        <v>1960.0</v>
      </c>
      <c r="H47" s="284" t="s">
        <v>1377</v>
      </c>
      <c r="I47" s="285"/>
      <c r="J47" s="286">
        <v>2.0</v>
      </c>
      <c r="K47" s="287" t="str">
        <f>VLOOKUP($B47,'Mosque Locations'!$A:$E,3,FALSE)
</f>
        <v>https://maps.google.com/maps?q=31.5848695%2C74.3767757&amp;z=17&amp;hl=en</v>
      </c>
      <c r="L47" s="286">
        <f>VLOOKUP($B47,'Mosque Locations'!$A:$E,4,FALSE)
</f>
        <v>31.58487</v>
      </c>
      <c r="M47" s="286">
        <f>VLOOKUP($B47,'Mosque Locations'!$A:$E,5,false)</f>
        <v>74.37678</v>
      </c>
      <c r="N47" s="288"/>
      <c r="O47" s="288"/>
      <c r="P47" s="288"/>
      <c r="Q47" s="289" t="str">
        <f>IFERROR(__xludf.DUMMYFUNCTION("IFERROR(
  INDEX(
    FILTER(
      IMPORTRANGE(""1SnQ_YxUmBUYKsKc82GyPPovLO-EPrfZxsJ0V0UbhezI/edit?gid=590869320#gid=590869320"",""Form Responses 1!AB:AB""),
      IMPORTRANGE(""1SnQ_YxUmBUYKsKc82GyPPovLO-EPrfZxsJ0V0UbhezI/edit?gid=590869320#gid=59086932"&amp;"0"",""Form Responses 1!E:E"")=$B47
    ),
    1
  ),
  ""Not Found""
)"),"https://drive.google.com/open?id=17QtOxWYxvII7vukhmUYJzaEiDR4IqxHM")</f>
        <v>https://drive.google.com/open?id=17QtOxWYxvII7vukhmUYJzaEiDR4IqxHM</v>
      </c>
      <c r="R47" s="295" t="str">
        <f>IFERROR(__xludf.DUMMYFUNCTION("IFERROR(
  INDEX(
    FILTER(
      IMPORTRANGE(""1SnQ_YxUmBUYKsKc82GyPPovLO-EPrfZxsJ0V0UbhezI"",""Form Responses 1!AA:AA""),
      TRIM(IMPORTRANGE(""1SnQ_YxUmBUYKsKc82GyPPovLO-EPrfZxsJ0V0UbhezI"",""Form Responses 1!E:E""))=TRIM($B47)
    ),
    1
  ),
 "&amp;" ""Not Found""
)
"),"https://drive.google.com/file/d/136e2a420Q42dJRq0yxTOR6ez07sOFpN7/view")</f>
        <v>https://drive.google.com/file/d/136e2a420Q42dJRq0yxTOR6ez07sOFpN7/view</v>
      </c>
      <c r="S47" s="285"/>
      <c r="T47" s="290" t="str">
        <f>VLOOKUP($B47,'Master Tracker'!$D:$E,2,false)</f>
        <v>https://drive.google.com/open?id=13TCvSMBFW_bqgdYX8zsdblb32U0XgOSj</v>
      </c>
      <c r="U47" s="291" t="str">
        <f>VLOOKUP($B47,'Master Tracker'!$D:$T,4,FALSE)
</f>
        <v>https://drive.google.com/open?id=1KmOUD75NssVwphApVq7SZE-meTsh3bTJ</v>
      </c>
      <c r="V47" s="290" t="str">
        <f>VLOOKUP($B47,'Master Tracker'!$D:$T,5,false)</f>
        <v>https://drive.google.com/open?id=1r-REydTm7F_NXO1_7uM6xTuE7cm49NyQ</v>
      </c>
      <c r="W47" s="291" t="str">
        <f>VLOOKUP($B47,'Master Tracker'!$D:$T,7,false)</f>
        <v>https://drive.google.com/open?id=1A6Pmgj2WTd-f5v7ME11KvpdcdmRpry-a</v>
      </c>
      <c r="X47" s="290" t="str">
        <f>VLOOKUP($B47,'Master Tracker'!$D:$T,8,false)</f>
        <v>https://drive.google.com/open?id=1M7ts-bvYaSWsF0pRNcAyvJbEguTo5Kg7</v>
      </c>
      <c r="Y47" s="291" t="str">
        <f>VLOOKUP($B47,'Master Tracker'!$D:$T,10,false)</f>
        <v>https://drive.google.com/open?id=1CTOTa6yACncISJa68605b5jeJHde7UPh</v>
      </c>
      <c r="Z47" s="284" t="str">
        <f>VLOOKUP($B47,'Master Tracker'!$D:$T,11,false)</f>
        <v>Not Found</v>
      </c>
      <c r="AA47" s="292" t="str">
        <f>VLOOKUP($B47,'Master Tracker'!$D:$T,13,false)</f>
        <v>Not Found</v>
      </c>
      <c r="AB47" s="284" t="str">
        <f>VLOOKUP($B47,'Master Tracker'!$D:$T,14,false)</f>
        <v>Not Found</v>
      </c>
      <c r="AC47" s="292" t="str">
        <f>VLOOKUP($B47,'Master Tracker'!$D:$T,16,false)</f>
        <v>Not Found</v>
      </c>
      <c r="AD47" s="292" t="str">
        <f>VLOOKUP($B47,'Master Tracker'!$D:$T,17,false)</f>
        <v>Not Found</v>
      </c>
      <c r="AE47" s="292" t="str">
        <f>VLOOKUP($B47,'Master Tracker'!$D:$V,19,false)</f>
        <v>Not Found</v>
      </c>
      <c r="AF47" s="292">
        <f>IFERROR(__xludf.DUMMYFUNCTION("IFERROR(
  INDEX(
    FILTER(
      'Juma Recording forms'!$G:$G,
      TRIM('Juma Recording forms'!$F:$F) = TRIM($B47),
      'Juma Recording forms'!$AA:$AA = 1
    ),
    1
  ),
  ""Not Found""
)"),164.0)</f>
        <v>164</v>
      </c>
      <c r="AG47" s="292">
        <f>IFERROR(__xludf.DUMMYFUNCTION("IFERROR(
  INDEX(
    FILTER(
      'Juma Recording forms'!$G:$G,
      TRIM('Juma Recording forms'!$F:$F) = TRIM($B47),
      'Juma Recording forms'!$AA:$AA = 2
    ),
    1
  ),
  ""Not Found""
)"),162.0)</f>
        <v>162</v>
      </c>
      <c r="AH47" s="292">
        <f>IFERROR(__xludf.DUMMYFUNCTION("IFERROR(
  INDEX(
    FILTER(
      'Juma Recording forms'!$G:$G,
      TRIM('Juma Recording forms'!$F:$F) = TRIM($B47),
      'Juma Recording forms'!$AA:$AA = 3
    ),
    1
  ),
  ""Not Found""
)"),172.0)</f>
        <v>172</v>
      </c>
      <c r="AI47" s="292" t="str">
        <f>IFERROR(__xludf.DUMMYFUNCTION("IFERROR(
  INDEX(
    FILTER(
      'Juma Recording forms'!$G:$G,
      TRIM('Juma Recording forms'!$F:$F) = TRIM($B47),
      'Juma Recording forms'!$AA:$AA = 4
    ),
    1
  ),
  ""Not Found""
)"),"Not Found")</f>
        <v>Not Found</v>
      </c>
      <c r="AJ47" s="292" t="str">
        <f>IFERROR(__xludf.DUMMYFUNCTION("IFERROR(
  INDEX(
    FILTER(
      'Juma Recording forms'!$G:$G,
      TRIM('Juma Recording forms'!$F:$F) = TRIM($B47),
      'Juma Recording forms'!$AA:$AA = 5
    ),
    1
  ),
  ""Not Found""
)"),"Not Found")</f>
        <v>Not Found</v>
      </c>
      <c r="AK47" s="292" t="str">
        <f>IFERROR(__xludf.DUMMYFUNCTION("IFERROR(
  INDEX(
    FILTER(
      'Juma Recording forms'!$G:$G,
      TRIM('Juma Recording forms'!$F:$F) = TRIM($B47),
      'Juma Recording forms'!$AA:$AA = 6
    ),
    1
  ),
  ""Not Found""
)"),"Not Found")</f>
        <v>Not Found</v>
      </c>
      <c r="AL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1!$E:$E"")=$B47) *
        (IMPORTRANGE(""https://docs.google.com/spreadsheets/d/161aHT6vVT3SLneTKD19N5qVWtnj_jIT8CSsOmUVKmaA/ed"&amp;"it?gid=1761053510"",
          ""Haris_Form responses 1!$AQ:$AQ"")=1)
      ),
      1
    ),
    ""0""
  ),
  ""Form not found""
)
"),"10")</f>
        <v>10</v>
      </c>
      <c r="AM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1!$E:$E"")=$B47) *
        (IMPORTRANGE(""https://docs.google.com/spreadsheets/d/161aHT6vVT3SLneTKD19N5qVWtnj_jIT8CSsOmUVKmaA/ed"&amp;"it?gid=1761053510"",
          ""Haris_Form responses 1!$AQ:$AQ"")=2)
      ),
      1
    ),
    ""0""
  ),
  ""Form not found""
)
"),"10")</f>
        <v>10</v>
      </c>
      <c r="AN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1!$E:$E"")=$B47) *
        (IMPORTRANGE(""https://docs.google.com/spreadsheets/d/161aHT6vVT3SLneTKD19N5qVWtnj_jIT8CSsOmUVKmaA/ed"&amp;"it?gid=1761053510"",
          ""Haris_Form responses 1!$AQ:$AQ"")=3)
      ),
      1
    ),
    ""0""
  ),
  ""Form not found""
)
"),"0")</f>
        <v>0</v>
      </c>
      <c r="AO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1!$E:$E"")=$B47) *
        (IMPORTRANGE(""https://docs.google.com/spreadsheets/d/161aHT6vVT3SLneTKD19N5qVWtnj_jIT8CSsOmUVKmaA/ed"&amp;"it?gid=1761053510"",
          ""Haris_Form responses 1!$AQ:$AQ"")=4)
      ),
      1
    ),
    ""0""
  ),
  ""Form not found""
)
"),"Form not found")</f>
        <v>Form not found</v>
      </c>
      <c r="AP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1!$E:$E"")=$B47) *
        (IMPORTRANGE(""https://docs.google.com/spreadsheets/d/161aHT6vVT3SLneTKD19N5qVWtnj_jIT8CSsOmUVKmaA/ed"&amp;"it?gid=1761053510"",
          ""Haris_Form responses 1!$AQ:$AQ"")=5)
      ),
      1
    ),
    ""0""
  ),
  ""Form not found""
)
"),"Form not found")</f>
        <v>Form not found</v>
      </c>
      <c r="AQ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1!$E:$E"")=$B47) *
        (IMPORTRANGE(""https://docs.google.com/spreadsheets/d/161aHT6vVT3SLneTKD19N5qVWtnj_jIT8CSsOmUVKmaA/ed"&amp;"it?gid=1761053510"",
          ""Haris_Form responses 1!$AQ:$AQ"")=6)
      ),
      1
    ),
    ""0""
  ),
  ""Form not found""
)
"),"Form not found")</f>
        <v>Form not found</v>
      </c>
      <c r="AR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1!$E:$E"")=$B47) *
        (IMPORTRANGE(""https://docs.google.com/spreadsheets/d/161aHT6vVT3SLneTKD19N5qVWtnj_jIT8CSsOmUVKmaA/ed"&amp;"it?gid=1761053510"",
          ""Haris_Form responses 1!$AQ:$AQ"")=1)
      ),
      1
    ),
    ""0""
  ),
  ""Form not found""
)
"),"9")</f>
        <v>9</v>
      </c>
      <c r="AS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1!$E:$E"")=$B47) *
        (IMPORTRANGE(""https://docs.google.com/spreadsheets/d/161aHT6vVT3SLneTKD19N5qVWtnj_jIT8CSsOmUVKmaA/ed"&amp;"it?gid=1761053510"",
          ""Haris_Form responses 1!$AQ:$AQ"")=2)
      ),
      1
    ),
    ""0""
  ),
  ""Form not found""
)
"),"10")</f>
        <v>10</v>
      </c>
      <c r="AT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1!$E:$E"")=$B47) *
        (IMPORTRANGE(""https://docs.google.com/spreadsheets/d/161aHT6vVT3SLneTKD19N5qVWtnj_jIT8CSsOmUVKmaA/ed"&amp;"it?gid=1761053510"",
          ""Haris_Form responses 1!$AQ:$AQ"")=3)
      ),
      1
    ),
    ""0""
  ),
  ""Form not found""
)
"),"0")</f>
        <v>0</v>
      </c>
      <c r="AU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1!$E:$E"")=$B47) *
        (IMPORTRANGE(""https://docs.google.com/spreadsheets/d/161aHT6vVT3SLneTKD19N5qVWtnj_jIT8CSsOmUVKmaA/ed"&amp;"it?gid=1761053510"",
          ""Haris_Form responses 1!$AQ:$AQ"")=4)
      ),
      1
    ),
    ""0""
  ),
  ""Form not found""
)
"),"Form not found")</f>
        <v>Form not found</v>
      </c>
      <c r="AV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1!$E:$E"")=$B47) *
        (IMPORTRANGE(""https://docs.google.com/spreadsheets/d/161aHT6vVT3SLneTKD19N5qVWtnj_jIT8CSsOmUVKmaA/ed"&amp;"it?gid=1761053510"",
          ""Haris_Form responses 1!$AQ:$AQ"")=5)
      ),
      1
    ),
    ""0""
  ),
  ""Form not found""
)
"),"Form not found")</f>
        <v>Form not found</v>
      </c>
      <c r="AW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1!$E:$E"")=$B47) *
        (IMPORTRANGE(""https://docs.google.com/spreadsheets/d/161aHT6vVT3SLneTKD19N5qVWtnj_jIT8CSsOmUVKmaA/ed"&amp;"it?gid=1761053510"",
          ""Haris_Form responses 1!$AQ:$AQ"")=6)
      ),
      1
    ),
    ""0""
  ),
  ""Form not found""
)
"),"Form not found")</f>
        <v>Form not found</v>
      </c>
      <c r="AX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1!$E:$E"")=$B47) *
        (IMPORTRANGE(""https://docs.google.com/spreadsheets/d/161aHT6vVT3SLneTKD19N5qVWtnj_jIT8CSsOmUVKmaA/ed"&amp;"it?gid=1761053510"",
          ""Haris_Form responses 1!$AQ:$AQ"")=1)
      ),
      1
    ),
    ""0""
  ),
  ""Form not found""
)
"),"0")</f>
        <v>0</v>
      </c>
      <c r="AY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1!$E:$E"")=$B47) *
        (IMPORTRANGE(""https://docs.google.com/spreadsheets/d/161aHT6vVT3SLneTKD19N5qVWtnj_jIT8CSsOmUVKmaA/ed"&amp;"it?gid=1761053510"",
          ""Haris_Form responses 1!$AQ:$AQ"")=2)
      ),
      1
    ),
    ""0""
  ),
  ""Form not found""
)
"),"0")</f>
        <v>0</v>
      </c>
      <c r="AZ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1!$E:$E"")=$B47) *
        (IMPORTRANGE(""https://docs.google.com/spreadsheets/d/161aHT6vVT3SLneTKD19N5qVWtnj_jIT8CSsOmUVKmaA/ed"&amp;"it?gid=1761053510"",
          ""Haris_Form responses 1!$AQ:$AQ"")=3)
      ),
      1
    ),
    ""0""
  ),
  ""Form not found""
)
"),"0")</f>
        <v>0</v>
      </c>
      <c r="BA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1!$E:$E"")=$B47) *
        (IMPORTRANGE(""https://docs.google.com/spreadsheets/d/161aHT6vVT3SLneTKD19N5qVWtnj_jIT8CSsOmUVKmaA/ed"&amp;"it?gid=1761053510"",
          ""Haris_Form responses 1!$AQ:$AQ"")=4)
      ),
      1
    ),
    ""0""
  ),
  ""Form not found""
)
"),"Form not found")</f>
        <v>Form not found</v>
      </c>
      <c r="BB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1!$E:$E"")=$B47) *
        (IMPORTRANGE(""https://docs.google.com/spreadsheets/d/161aHT6vVT3SLneTKD19N5qVWtnj_jIT8CSsOmUVKmaA/ed"&amp;"it?gid=1761053510"",
          ""Haris_Form responses 1!$AQ:$AQ"")=5)
      ),
      1
    ),
    ""0""
  ),
  ""Form not found""
)
"),"Form not found")</f>
        <v>Form not found</v>
      </c>
      <c r="BC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1!$E:$E"")=$B47) *
        (IMPORTRANGE(""https://docs.google.com/spreadsheets/d/161aHT6vVT3SLneTKD19N5qVWtnj_jIT8CSsOmUVKmaA/ed"&amp;"it?gid=1761053510"",
          ""Haris_Form responses 1!$AQ:$AQ"")=6)
      ),
      1
    ),
    ""0""
  ),
  ""Form not found""
)
"),"Form not found")</f>
        <v>Form not found</v>
      </c>
      <c r="BD47" s="293"/>
    </row>
    <row r="48">
      <c r="A48" s="283" t="str">
        <f>IFERROR(__xludf.DUMMYFUNCTION("VLOOKUP($B48,IMPORTRANGE(""https://docs.google.com/spreadsheets/d/1VNXDITjs75AcgdBSW27oL1VZH31udDprJSsBcE5xlp4/edit?gid=1551188038#gid=1551188038"", ""Sheet9!$B:$E""),2,false)"),"Lahore")</f>
        <v>Lahore</v>
      </c>
      <c r="B48" s="283" t="s">
        <v>3058</v>
      </c>
      <c r="C48" s="284" t="str">
        <f>IFERROR(__xludf.DUMMYFUNCTION("VLOOKUP(TRIM($B48), IMPORTRANGE(""https://docs.google.com/spreadsheets/d/1aSOrU4PTpuBZqfitKaH1Rfww6-YOiNCKoBpPl8XBHaw/edit?gid=0#gid=0"", ""sheet3!$B:$C""), 2, FALSE)
"),"Jamia Masjid Shaleha Ghumbo Mochi Gate Lahore")</f>
        <v>Jamia Masjid Shaleha Ghumbo Mochi Gate Lahore</v>
      </c>
      <c r="D48" s="284" t="str">
        <f>IFERROR(__xludf.DUMMYFUNCTION("IFERROR(
  INDEX(
    FILTER(
      IMPORTRANGE(""1aSOrU4PTpuBZqfitKaH1Rfww6-YOiNCKoBpPl8XBHaw/edit?gid=0#gid=0"",""Sheet1!G:G""),
      IMPORTRANGE(""1aSOrU4PTpuBZqfitKaH1Rfww6-YOiNCKoBpPl8XBHaw/edit?gid=0#gid=0"",""Sheet1!C:C"")=$B48
    ),
    1
  ),
 "&amp;" ""Not Found""
)"),"Women Religious No Info Share")</f>
        <v>Women Religious No Info Share</v>
      </c>
      <c r="E48" s="284" t="str">
        <f>VLOOKUP(B48,'Juma Recording forms'!A:E,5,false)</f>
        <v>gnvlx	جامع مسجد صالحہ کمبوہ موچی گیٹ لاہور	Jamia Masjid Shaleha Ghumbo Mochi Gate Lahore</v>
      </c>
      <c r="F48" s="284" t="str">
        <f>IFERROR(__xludf.DUMMYFUNCTION("IFERROR(
  INDEX(
    FILTER(
      IMPORTRANGE(""1Cxrhp3-_-HS7v9uuqQliiIfrmMP4VaFoDNDWyUFy2J8/edit?gid=0#gid=0"",""Sheet1!Q:Q""),
      IMPORTRANGE(""1Cxrhp3-_-HS7v9uuqQliiIfrmMP4VaFoDNDWyUFy2J8/edit?gid=0#gid=0"",""Sheet1!K:K"")=$B48
    ),
    1
  ),
 "&amp;" ""Not Found""
)"),"Not Found")</f>
        <v>Not Found</v>
      </c>
      <c r="G48" s="284"/>
      <c r="H48" s="284"/>
      <c r="I48" s="285"/>
      <c r="J48" s="286">
        <v>2.0</v>
      </c>
      <c r="K48" s="287" t="str">
        <f>VLOOKUP($B48,'Mosque Locations'!$A:$E,3,FALSE)
</f>
        <v>https://maps.google.com/maps?q=31.5773126%2C74.3215007&amp;z=17&amp;hl=en</v>
      </c>
      <c r="L48" s="286">
        <f>VLOOKUP($B48,'Mosque Locations'!$A:$E,4,FALSE)
</f>
        <v>31.5773126</v>
      </c>
      <c r="M48" s="286">
        <f>VLOOKUP($B48,'Mosque Locations'!$A:$E,5,false)</f>
        <v>74.3215007</v>
      </c>
      <c r="N48" s="288"/>
      <c r="O48" s="288"/>
      <c r="P48" s="288"/>
      <c r="Q48" s="284" t="str">
        <f>IFERROR(__xludf.DUMMYFUNCTION("IFERROR(
  INDEX(
    FILTER(
      IMPORTRANGE(""1SnQ_YxUmBUYKsKc82GyPPovLO-EPrfZxsJ0V0UbhezI/edit?gid=590869320#gid=590869320"",""Form Responses 1!AB:AB""),
      IMPORTRANGE(""1SnQ_YxUmBUYKsKc82GyPPovLO-EPrfZxsJ0V0UbhezI/edit?gid=590869320#gid=59086932"&amp;"0"",""Form Responses 1!E:E"")=$B48
    ),
    1
  ),
  ""Not Found""
)"),"https://drive.google.com/open?id=1wSQioLU3ZBXoURCQhL9lZeBA9sYrtPfr, https://drive.google.com/open?id=16th3w86NxhnUmjHsJx0IvG0M_l_lse8S, https://drive.google.com/open?id=10T7x5sDZnP7xKTQKKIbHH7wreTtKWbOA, https://drive.google.com/open?id=1cbVAXUzIPojIpEegV"&amp;"2exqtpznPBJ7QnH, https://drive.google.com/open?id=1ilHIHxV5_w0CJKMBaBuYmOncr1CDkWRR")</f>
        <v>https://drive.google.com/open?id=1wSQioLU3ZBXoURCQhL9lZeBA9sYrtPfr, https://drive.google.com/open?id=16th3w86NxhnUmjHsJx0IvG0M_l_lse8S, https://drive.google.com/open?id=10T7x5sDZnP7xKTQKKIbHH7wreTtKWbOA, https://drive.google.com/open?id=1cbVAXUzIPojIpEegV2exqtpznPBJ7QnH, https://drive.google.com/open?id=1ilHIHxV5_w0CJKMBaBuYmOncr1CDkWRR</v>
      </c>
      <c r="R48" s="285" t="str">
        <f>IFERROR(__xludf.DUMMYFUNCTION("IFERROR(
  INDEX(
    FILTER(
      IMPORTRANGE(""1SnQ_YxUmBUYKsKc82GyPPovLO-EPrfZxsJ0V0UbhezI"",""Form Responses 1!AA:AA""),
      TRIM(IMPORTRANGE(""1SnQ_YxUmBUYKsKc82GyPPovLO-EPrfZxsJ0V0UbhezI"",""Form Responses 1!E:E""))=TRIM($B48)
    ),
    1
  ),
 "&amp;" ""Not Found""
)
"),"https://drive.google.com/open?id=1vlQYx1jooZ20TFV3vP56nzsHu4qXTF-v, https://drive.google.com/open?id=1J7M8p3qnGP7oo3dYAMRHOQUjhFyyTx-b, https://drive.google.com/open?id=137W7lTByUwhdpNSOv_Zqb9dIJhCPxezL, https://drive.google.com/open?id=19ns_b8Jl4t-N9bQHs"&amp;"F95TNwZLuah93Zb, https://drive.google.com/open?id=1NGRsIJbXJLeq7v6gH80YftXVkezgHzeq")</f>
        <v>https://drive.google.com/open?id=1vlQYx1jooZ20TFV3vP56nzsHu4qXTF-v, https://drive.google.com/open?id=1J7M8p3qnGP7oo3dYAMRHOQUjhFyyTx-b, https://drive.google.com/open?id=137W7lTByUwhdpNSOv_Zqb9dIJhCPxezL, https://drive.google.com/open?id=19ns_b8Jl4t-N9bQHsF95TNwZLuah93Zb, https://drive.google.com/open?id=1NGRsIJbXJLeq7v6gH80YftXVkezgHzeq</v>
      </c>
      <c r="S48" s="285"/>
      <c r="T48" s="290" t="str">
        <f>VLOOKUP($B48,'Master Tracker'!$D:$E,2,false)</f>
        <v>https://drive.google.com/open?id=1gicFTcQk-_QdH2yU9UA0vD0lSq0Gwfgc</v>
      </c>
      <c r="U48" s="291" t="str">
        <f>VLOOKUP($B48,'Master Tracker'!$D:$T,4,FALSE)
</f>
        <v>https://drive.google.com/file/d/1E2nLMdT6bKFCOEUcLAl-5xp3C_BbASSY/view?usp=drive_link</v>
      </c>
      <c r="V48" s="290" t="str">
        <f>VLOOKUP($B48,'Master Tracker'!$D:$T,5,false)</f>
        <v>https://drive.google.com/open?id=1T1q_XIYgKwu3_ElbddsMYCxHDcEJObdl</v>
      </c>
      <c r="W48" s="291" t="str">
        <f>VLOOKUP($B48,'Master Tracker'!$D:$T,7,false)</f>
        <v>https://drive.google.com/open?id=1d_1tspO0x_TvJwQHQbsnE0BFmDjXLtO3</v>
      </c>
      <c r="X48" s="290" t="str">
        <f>VLOOKUP($B48,'Master Tracker'!$D:$T,8,false)</f>
        <v>https://drive.google.com/open?id=1_xII8cy5N_UWbbJBcE2mVq-0lUwiLD47</v>
      </c>
      <c r="Y48" s="291" t="str">
        <f>VLOOKUP($B48,'Master Tracker'!$D:$T,10,false)</f>
        <v>https://drive.google.com/open?id=14Dk_UOciQGEXLDmYPO9pvMz9hP1F2zAK</v>
      </c>
      <c r="Z48" s="284" t="str">
        <f>VLOOKUP($B48,'Master Tracker'!$D:$T,11,false)</f>
        <v>Not Found</v>
      </c>
      <c r="AA48" s="292" t="str">
        <f>VLOOKUP($B48,'Master Tracker'!$D:$T,13,false)</f>
        <v>Not Found</v>
      </c>
      <c r="AB48" s="284" t="str">
        <f>VLOOKUP($B48,'Master Tracker'!$D:$T,14,false)</f>
        <v>Not Found</v>
      </c>
      <c r="AC48" s="292" t="str">
        <f>VLOOKUP($B48,'Master Tracker'!$D:$T,16,false)</f>
        <v>Not Found</v>
      </c>
      <c r="AD48" s="292" t="str">
        <f>VLOOKUP($B48,'Master Tracker'!$D:$T,17,false)</f>
        <v>Not Found</v>
      </c>
      <c r="AE48" s="292" t="str">
        <f>VLOOKUP($B48,'Master Tracker'!$D:$V,19,false)</f>
        <v>Not Found</v>
      </c>
      <c r="AF48" s="292">
        <f>IFERROR(__xludf.DUMMYFUNCTION("IFERROR(
  INDEX(
    FILTER(
      'Juma Recording forms'!$G:$G,
      TRIM('Juma Recording forms'!$F:$F) = TRIM($B48),
      'Juma Recording forms'!$AA:$AA = 1
    ),
    1
  ),
  ""Not Found""
)"),65.0)</f>
        <v>65</v>
      </c>
      <c r="AG48" s="292">
        <f>IFERROR(__xludf.DUMMYFUNCTION("IFERROR(
  INDEX(
    FILTER(
      'Juma Recording forms'!$G:$G,
      TRIM('Juma Recording forms'!$F:$F) = TRIM($B48),
      'Juma Recording forms'!$AA:$AA = 2
    ),
    1
  ),
  ""Not Found""
)"),65.0)</f>
        <v>65</v>
      </c>
      <c r="AH48" s="292">
        <f>IFERROR(__xludf.DUMMYFUNCTION("IFERROR(
  INDEX(
    FILTER(
      'Juma Recording forms'!$G:$G,
      TRIM('Juma Recording forms'!$F:$F) = TRIM($B48),
      'Juma Recording forms'!$AA:$AA = 3
    ),
    1
  ),
  ""Not Found""
)"),70.0)</f>
        <v>70</v>
      </c>
      <c r="AI48" s="292" t="str">
        <f>IFERROR(__xludf.DUMMYFUNCTION("IFERROR(
  INDEX(
    FILTER(
      'Juma Recording forms'!$G:$G,
      TRIM('Juma Recording forms'!$F:$F) = TRIM($B48),
      'Juma Recording forms'!$AA:$AA = 4
    ),
    1
  ),
  ""Not Found""
)"),"Not Found")</f>
        <v>Not Found</v>
      </c>
      <c r="AJ48" s="292" t="str">
        <f>IFERROR(__xludf.DUMMYFUNCTION("IFERROR(
  INDEX(
    FILTER(
      'Juma Recording forms'!$G:$G,
      TRIM('Juma Recording forms'!$F:$F) = TRIM($B48),
      'Juma Recording forms'!$AA:$AA = 5
    ),
    1
  ),
  ""Not Found""
)"),"Not Found")</f>
        <v>Not Found</v>
      </c>
      <c r="AK48" s="292" t="str">
        <f>IFERROR(__xludf.DUMMYFUNCTION("IFERROR(
  INDEX(
    FILTER(
      'Juma Recording forms'!$G:$G,
      TRIM('Juma Recording forms'!$F:$F) = TRIM($B48),
      'Juma Recording forms'!$AA:$AA = 6
    ),
    1
  ),
  ""Not Found""
)"),"Not Found")</f>
        <v>Not Found</v>
      </c>
      <c r="AL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1!$E:$E"")=$B48) *
        (IMPORTRANGE(""https://docs.google.com/spreadsheets/d/161aHT6vVT3SLneTKD19N5qVWtnj_jIT8CSsOmUVKmaA/ed"&amp;"it?gid=1761053510"",
          ""Haris_Form responses 1!$AQ:$AQ"")=1)
      ),
      1
    ),
    ""0""
  ),
  ""Form not found""
)
"),"10")</f>
        <v>10</v>
      </c>
      <c r="AM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1!$E:$E"")=$B48) *
        (IMPORTRANGE(""https://docs.google.com/spreadsheets/d/161aHT6vVT3SLneTKD19N5qVWtnj_jIT8CSsOmUVKmaA/ed"&amp;"it?gid=1761053510"",
          ""Haris_Form responses 1!$AQ:$AQ"")=2)
      ),
      1
    ),
    ""0""
  ),
  ""Form not found""
)
"),"10")</f>
        <v>10</v>
      </c>
      <c r="AN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1!$E:$E"")=$B48) *
        (IMPORTRANGE(""https://docs.google.com/spreadsheets/d/161aHT6vVT3SLneTKD19N5qVWtnj_jIT8CSsOmUVKmaA/ed"&amp;"it?gid=1761053510"",
          ""Haris_Form responses 1!$AQ:$AQ"")=3)
      ),
      1
    ),
    ""0""
  ),
  ""Form not found""
)
"),"0")</f>
        <v>0</v>
      </c>
      <c r="AO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1!$E:$E"")=$B48) *
        (IMPORTRANGE(""https://docs.google.com/spreadsheets/d/161aHT6vVT3SLneTKD19N5qVWtnj_jIT8CSsOmUVKmaA/ed"&amp;"it?gid=1761053510"",
          ""Haris_Form responses 1!$AQ:$AQ"")=4)
      ),
      1
    ),
    ""0""
  ),
  ""Form not found""
)
"),"Form not found")</f>
        <v>Form not found</v>
      </c>
      <c r="AP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1!$E:$E"")=$B48) *
        (IMPORTRANGE(""https://docs.google.com/spreadsheets/d/161aHT6vVT3SLneTKD19N5qVWtnj_jIT8CSsOmUVKmaA/ed"&amp;"it?gid=1761053510"",
          ""Haris_Form responses 1!$AQ:$AQ"")=5)
      ),
      1
    ),
    ""0""
  ),
  ""Form not found""
)
"),"Form not found")</f>
        <v>Form not found</v>
      </c>
      <c r="AQ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1!$E:$E"")=$B48) *
        (IMPORTRANGE(""https://docs.google.com/spreadsheets/d/161aHT6vVT3SLneTKD19N5qVWtnj_jIT8CSsOmUVKmaA/ed"&amp;"it?gid=1761053510"",
          ""Haris_Form responses 1!$AQ:$AQ"")=6)
      ),
      1
    ),
    ""0""
  ),
  ""Form not found""
)
"),"Form not found")</f>
        <v>Form not found</v>
      </c>
      <c r="AR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1!$E:$E"")=$B48) *
        (IMPORTRANGE(""https://docs.google.com/spreadsheets/d/161aHT6vVT3SLneTKD19N5qVWtnj_jIT8CSsOmUVKmaA/ed"&amp;"it?gid=1761053510"",
          ""Haris_Form responses 1!$AQ:$AQ"")=1)
      ),
      1
    ),
    ""0""
  ),
  ""Form not found""
)
"),"0")</f>
        <v>0</v>
      </c>
      <c r="AS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1!$E:$E"")=$B48) *
        (IMPORTRANGE(""https://docs.google.com/spreadsheets/d/161aHT6vVT3SLneTKD19N5qVWtnj_jIT8CSsOmUVKmaA/ed"&amp;"it?gid=1761053510"",
          ""Haris_Form responses 1!$AQ:$AQ"")=2)
      ),
      1
    ),
    ""0""
  ),
  ""Form not found""
)
"),"0")</f>
        <v>0</v>
      </c>
      <c r="AT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1!$E:$E"")=$B48) *
        (IMPORTRANGE(""https://docs.google.com/spreadsheets/d/161aHT6vVT3SLneTKD19N5qVWtnj_jIT8CSsOmUVKmaA/ed"&amp;"it?gid=1761053510"",
          ""Haris_Form responses 1!$AQ:$AQ"")=3)
      ),
      1
    ),
    ""0""
  ),
  ""Form not found""
)
"),"0")</f>
        <v>0</v>
      </c>
      <c r="AU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1!$E:$E"")=$B48) *
        (IMPORTRANGE(""https://docs.google.com/spreadsheets/d/161aHT6vVT3SLneTKD19N5qVWtnj_jIT8CSsOmUVKmaA/ed"&amp;"it?gid=1761053510"",
          ""Haris_Form responses 1!$AQ:$AQ"")=4)
      ),
      1
    ),
    ""0""
  ),
  ""Form not found""
)
"),"Form not found")</f>
        <v>Form not found</v>
      </c>
      <c r="AV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1!$E:$E"")=$B48) *
        (IMPORTRANGE(""https://docs.google.com/spreadsheets/d/161aHT6vVT3SLneTKD19N5qVWtnj_jIT8CSsOmUVKmaA/ed"&amp;"it?gid=1761053510"",
          ""Haris_Form responses 1!$AQ:$AQ"")=5)
      ),
      1
    ),
    ""0""
  ),
  ""Form not found""
)
"),"Form not found")</f>
        <v>Form not found</v>
      </c>
      <c r="AW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1!$E:$E"")=$B48) *
        (IMPORTRANGE(""https://docs.google.com/spreadsheets/d/161aHT6vVT3SLneTKD19N5qVWtnj_jIT8CSsOmUVKmaA/ed"&amp;"it?gid=1761053510"",
          ""Haris_Form responses 1!$AQ:$AQ"")=6)
      ),
      1
    ),
    ""0""
  ),
  ""Form not found""
)
"),"Form not found")</f>
        <v>Form not found</v>
      </c>
      <c r="AX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1!$E:$E"")=$B48) *
        (IMPORTRANGE(""https://docs.google.com/spreadsheets/d/161aHT6vVT3SLneTKD19N5qVWtnj_jIT8CSsOmUVKmaA/ed"&amp;"it?gid=1761053510"",
          ""Haris_Form responses 1!$AQ:$AQ"")=1)
      ),
      1
    ),
    ""0""
  ),
  ""Form not found""
)
"),"10")</f>
        <v>10</v>
      </c>
      <c r="AY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1!$E:$E"")=$B48) *
        (IMPORTRANGE(""https://docs.google.com/spreadsheets/d/161aHT6vVT3SLneTKD19N5qVWtnj_jIT8CSsOmUVKmaA/ed"&amp;"it?gid=1761053510"",
          ""Haris_Form responses 1!$AQ:$AQ"")=2)
      ),
      1
    ),
    ""0""
  ),
  ""Form not found""
)
"),"9")</f>
        <v>9</v>
      </c>
      <c r="AZ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1!$E:$E"")=$B48) *
        (IMPORTRANGE(""https://docs.google.com/spreadsheets/d/161aHT6vVT3SLneTKD19N5qVWtnj_jIT8CSsOmUVKmaA/ed"&amp;"it?gid=1761053510"",
          ""Haris_Form responses 1!$AQ:$AQ"")=3)
      ),
      1
    ),
    ""0""
  ),
  ""Form not found""
)
"),"0")</f>
        <v>0</v>
      </c>
      <c r="BA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1!$E:$E"")=$B48) *
        (IMPORTRANGE(""https://docs.google.com/spreadsheets/d/161aHT6vVT3SLneTKD19N5qVWtnj_jIT8CSsOmUVKmaA/ed"&amp;"it?gid=1761053510"",
          ""Haris_Form responses 1!$AQ:$AQ"")=4)
      ),
      1
    ),
    ""0""
  ),
  ""Form not found""
)
"),"Form not found")</f>
        <v>Form not found</v>
      </c>
      <c r="BB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1!$E:$E"")=$B48) *
        (IMPORTRANGE(""https://docs.google.com/spreadsheets/d/161aHT6vVT3SLneTKD19N5qVWtnj_jIT8CSsOmUVKmaA/ed"&amp;"it?gid=1761053510"",
          ""Haris_Form responses 1!$AQ:$AQ"")=5)
      ),
      1
    ),
    ""0""
  ),
  ""Form not found""
)
"),"Form not found")</f>
        <v>Form not found</v>
      </c>
      <c r="BC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1!$E:$E"")=$B48) *
        (IMPORTRANGE(""https://docs.google.com/spreadsheets/d/161aHT6vVT3SLneTKD19N5qVWtnj_jIT8CSsOmUVKmaA/ed"&amp;"it?gid=1761053510"",
          ""Haris_Form responses 1!$AQ:$AQ"")=6)
      ),
      1
    ),
    ""0""
  ),
  ""Form not found""
)
"),"Form not found")</f>
        <v>Form not found</v>
      </c>
      <c r="BD48" s="293"/>
    </row>
    <row r="49">
      <c r="A49" s="283" t="str">
        <f>IFERROR(__xludf.DUMMYFUNCTION("VLOOKUP($B49,IMPORTRANGE(""https://docs.google.com/spreadsheets/d/1VNXDITjs75AcgdBSW27oL1VZH31udDprJSsBcE5xlp4/edit?gid=1551188038#gid=1551188038"", ""Sheet9!$B:$E""),2,false)"),"Lahore")</f>
        <v>Lahore</v>
      </c>
      <c r="B49" s="283" t="s">
        <v>3050</v>
      </c>
      <c r="C49" s="284" t="str">
        <f>IFERROR(__xludf.DUMMYFUNCTION("VLOOKUP(TRIM($B49), IMPORTRANGE(""https://docs.google.com/spreadsheets/d/1aSOrU4PTpuBZqfitKaH1Rfww6-YOiNCKoBpPl8XBHaw/edit?gid=0#gid=0"", ""sheet3!$B:$C""), 2, FALSE)
"),"Jamia Masjid Bhohaar Wali Lohari Gate Lahore")</f>
        <v>Jamia Masjid Bhohaar Wali Lohari Gate Lahore</v>
      </c>
      <c r="D49" s="284" t="str">
        <f>IFERROR(__xludf.DUMMYFUNCTION("IFERROR(
  INDEX(
    FILTER(
      IMPORTRANGE(""1aSOrU4PTpuBZqfitKaH1Rfww6-YOiNCKoBpPl8XBHaw/edit?gid=0#gid=0"",""Sheet1!G:G""),
      IMPORTRANGE(""1aSOrU4PTpuBZqfitKaH1Rfww6-YOiNCKoBpPl8XBHaw/edit?gid=0#gid=0"",""Sheet1!C:C"")=$B49
    ),
    1
  ),
 "&amp;" ""Not Found""
)"),"Community Secular Info Share")</f>
        <v>Community Secular Info Share</v>
      </c>
      <c r="E49" s="284" t="str">
        <f>VLOOKUP(B49,'Juma Recording forms'!A:E,5,false)</f>
        <v>Jaima majid bhohaar wali lahore Gate </v>
      </c>
      <c r="F49" s="284" t="str">
        <f>IFERROR(__xludf.DUMMYFUNCTION("IFERROR(
  INDEX(
    FILTER(
      IMPORTRANGE(""1Cxrhp3-_-HS7v9uuqQliiIfrmMP4VaFoDNDWyUFy2J8/edit?gid=0#gid=0"",""Sheet1!Q:Q""),
      IMPORTRANGE(""1Cxrhp3-_-HS7v9uuqQliiIfrmMP4VaFoDNDWyUFy2J8/edit?gid=0#gid=0"",""Sheet1!K:K"")=$B49
    ),
    1
  ),
 "&amp;" ""Not Found""
)"),"Liaqat Ali")</f>
        <v>Liaqat Ali</v>
      </c>
      <c r="G49" s="284">
        <v>2002.0</v>
      </c>
      <c r="H49" s="284"/>
      <c r="I49" s="285"/>
      <c r="J49" s="286">
        <v>2.0</v>
      </c>
      <c r="K49" s="287" t="str">
        <f>VLOOKUP($B49,'Mosque Locations'!$A:$E,3,FALSE)
</f>
        <v>https://maps.google.com/maps?q=31.5813669%2C74.3137182&amp;z=17&amp;hl=en</v>
      </c>
      <c r="L49" s="286">
        <f>VLOOKUP($B49,'Mosque Locations'!$A:$E,4,FALSE)
</f>
        <v>31.5813669</v>
      </c>
      <c r="M49" s="286">
        <f>VLOOKUP($B49,'Mosque Locations'!$A:$E,5,false)</f>
        <v>74.3137182</v>
      </c>
      <c r="N49" s="288"/>
      <c r="O49" s="288"/>
      <c r="P49" s="288"/>
      <c r="Q49" s="289" t="str">
        <f>IFERROR(__xludf.DUMMYFUNCTION("IFERROR(
  INDEX(
    FILTER(
      IMPORTRANGE(""1SnQ_YxUmBUYKsKc82GyPPovLO-EPrfZxsJ0V0UbhezI/edit?gid=590869320#gid=590869320"",""Form Responses 1!AB:AB""),
      IMPORTRANGE(""1SnQ_YxUmBUYKsKc82GyPPovLO-EPrfZxsJ0V0UbhezI/edit?gid=590869320#gid=59086932"&amp;"0"",""Form Responses 1!E:E"")=$B49
    ),
    1
  ),
  ""Not Found""
)"),"https://drive.google.com/open?id=1zKWBBCSB0E4Z0_FJ0Hyu0-xC3iFhLSRA")</f>
        <v>https://drive.google.com/open?id=1zKWBBCSB0E4Z0_FJ0Hyu0-xC3iFhLSRA</v>
      </c>
      <c r="R49" s="289" t="str">
        <f>IFERROR(__xludf.DUMMYFUNCTION("IFERROR(
  INDEX(
    FILTER(
      IMPORTRANGE(""1SnQ_YxUmBUYKsKc82GyPPovLO-EPrfZxsJ0V0UbhezI"",""Form Responses 1!AA:AA""),
      TRIM(IMPORTRANGE(""1SnQ_YxUmBUYKsKc82GyPPovLO-EPrfZxsJ0V0UbhezI"",""Form Responses 1!E:E""))=TRIM($B49)
    ),
    1
  ),
 "&amp;" ""Not Found""
)
"),"https://drive.google.com/open?id=14BYIHkC0fZdvN078JsWxG5CxvITbe41g")</f>
        <v>https://drive.google.com/open?id=14BYIHkC0fZdvN078JsWxG5CxvITbe41g</v>
      </c>
      <c r="S49" s="285"/>
      <c r="T49" s="290" t="str">
        <f>VLOOKUP($B49,'Master Tracker'!$D:$E,2,false)</f>
        <v>https://drive.google.com/open?id=1lY0Nh6eGClNmRUr0qSNxxtfCvKa8xp0k</v>
      </c>
      <c r="U49" s="291" t="str">
        <f>VLOOKUP($B49,'Master Tracker'!$D:$T,4,FALSE)
</f>
        <v>https://drive.google.com/open?id=1rAX0n3LUlDU_Um53O6ie9-wPvZE-Ubyj</v>
      </c>
      <c r="V49" s="290" t="str">
        <f>VLOOKUP($B49,'Master Tracker'!$D:$T,5,false)</f>
        <v>https://drive.google.com/open?id=1NGMwYqpWMWATWTucq3sFrdpCl9K_5v8w</v>
      </c>
      <c r="W49" s="291" t="str">
        <f>VLOOKUP($B49,'Master Tracker'!$D:$T,7,false)</f>
        <v>https://drive.google.com/open?id=1-B-LE23gtDIabp76cwDES8uVNbWHEd2r</v>
      </c>
      <c r="X49" s="290" t="str">
        <f>VLOOKUP($B49,'Master Tracker'!$D:$T,8,false)</f>
        <v>https://drive.google.com/open?id=1b3LTQASZsJHic1F_aly23JVfU2nR_e9i</v>
      </c>
      <c r="Y49" s="291" t="str">
        <f>VLOOKUP($B49,'Master Tracker'!$D:$T,10,false)</f>
        <v>https://drive.google.com/open?id=12L1ejTiAh8HHG9xqc-sD5RHI2Zu5tAYn</v>
      </c>
      <c r="Z49" s="284" t="str">
        <f>VLOOKUP($B49,'Master Tracker'!$D:$T,11,false)</f>
        <v>Not Found</v>
      </c>
      <c r="AA49" s="292" t="str">
        <f>VLOOKUP($B49,'Master Tracker'!$D:$T,13,false)</f>
        <v>Not Found</v>
      </c>
      <c r="AB49" s="284" t="str">
        <f>VLOOKUP($B49,'Master Tracker'!$D:$T,14,false)</f>
        <v>Not Found</v>
      </c>
      <c r="AC49" s="292" t="str">
        <f>VLOOKUP($B49,'Master Tracker'!$D:$T,16,false)</f>
        <v>Not Found</v>
      </c>
      <c r="AD49" s="292" t="str">
        <f>VLOOKUP($B49,'Master Tracker'!$D:$T,17,false)</f>
        <v>Not Found</v>
      </c>
      <c r="AE49" s="292" t="str">
        <f>VLOOKUP($B49,'Master Tracker'!$D:$V,19,false)</f>
        <v>Not Found</v>
      </c>
      <c r="AF49" s="292">
        <f>IFERROR(__xludf.DUMMYFUNCTION("IFERROR(
  INDEX(
    FILTER(
      'Juma Recording forms'!$G:$G,
      TRIM('Juma Recording forms'!$F:$F) = TRIM($B49),
      'Juma Recording forms'!$AA:$AA = 1
    ),
    1
  ),
  ""Not Found""
)"),310.0)</f>
        <v>310</v>
      </c>
      <c r="AG49" s="292">
        <f>IFERROR(__xludf.DUMMYFUNCTION("IFERROR(
  INDEX(
    FILTER(
      'Juma Recording forms'!$G:$G,
      TRIM('Juma Recording forms'!$F:$F) = TRIM($B49),
      'Juma Recording forms'!$AA:$AA = 2
    ),
    1
  ),
  ""Not Found""
)"),300.0)</f>
        <v>300</v>
      </c>
      <c r="AH49" s="292">
        <f>IFERROR(__xludf.DUMMYFUNCTION("IFERROR(
  INDEX(
    FILTER(
      'Juma Recording forms'!$G:$G,
      TRIM('Juma Recording forms'!$F:$F) = TRIM($B49),
      'Juma Recording forms'!$AA:$AA = 3
    ),
    1
  ),
  ""Not Found""
)"),290.0)</f>
        <v>290</v>
      </c>
      <c r="AI49" s="292" t="str">
        <f>IFERROR(__xludf.DUMMYFUNCTION("IFERROR(
  INDEX(
    FILTER(
      'Juma Recording forms'!$G:$G,
      TRIM('Juma Recording forms'!$F:$F) = TRIM($B49),
      'Juma Recording forms'!$AA:$AA = 4
    ),
    1
  ),
  ""Not Found""
)"),"Not Found")</f>
        <v>Not Found</v>
      </c>
      <c r="AJ49" s="292" t="str">
        <f>IFERROR(__xludf.DUMMYFUNCTION("IFERROR(
  INDEX(
    FILTER(
      'Juma Recording forms'!$G:$G,
      TRIM('Juma Recording forms'!$F:$F) = TRIM($B49),
      'Juma Recording forms'!$AA:$AA = 5
    ),
    1
  ),
  ""Not Found""
)"),"Not Found")</f>
        <v>Not Found</v>
      </c>
      <c r="AK49" s="292" t="str">
        <f>IFERROR(__xludf.DUMMYFUNCTION("IFERROR(
  INDEX(
    FILTER(
      'Juma Recording forms'!$G:$G,
      TRIM('Juma Recording forms'!$F:$F) = TRIM($B49),
      'Juma Recording forms'!$AA:$AA = 6
    ),
    1
  ),
  ""Not Found""
)"),"Not Found")</f>
        <v>Not Found</v>
      </c>
      <c r="AL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1!$E:$E"")=$B49) *
        (IMPORTRANGE(""https://docs.google.com/spreadsheets/d/161aHT6vVT3SLneTKD19N5qVWtnj_jIT8CSsOmUVKmaA/ed"&amp;"it?gid=1761053510"",
          ""Haris_Form responses 1!$AQ:$AQ"")=1)
      ),
      1
    ),
    ""0""
  ),
  ""Form not found""
)
"),"9")</f>
        <v>9</v>
      </c>
      <c r="AM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1!$E:$E"")=$B49) *
        (IMPORTRANGE(""https://docs.google.com/spreadsheets/d/161aHT6vVT3SLneTKD19N5qVWtnj_jIT8CSsOmUVKmaA/ed"&amp;"it?gid=1761053510"",
          ""Haris_Form responses 1!$AQ:$AQ"")=2)
      ),
      1
    ),
    ""0""
  ),
  ""Form not found""
)
"),"9")</f>
        <v>9</v>
      </c>
      <c r="AN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1!$E:$E"")=$B49) *
        (IMPORTRANGE(""https://docs.google.com/spreadsheets/d/161aHT6vVT3SLneTKD19N5qVWtnj_jIT8CSsOmUVKmaA/ed"&amp;"it?gid=1761053510"",
          ""Haris_Form responses 1!$AQ:$AQ"")=3)
      ),
      1
    ),
    ""0""
  ),
  ""Form not found""
)
"),"3")</f>
        <v>3</v>
      </c>
      <c r="AO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1!$E:$E"")=$B49) *
        (IMPORTRANGE(""https://docs.google.com/spreadsheets/d/161aHT6vVT3SLneTKD19N5qVWtnj_jIT8CSsOmUVKmaA/ed"&amp;"it?gid=1761053510"",
          ""Haris_Form responses 1!$AQ:$AQ"")=4)
      ),
      1
    ),
    ""0""
  ),
  ""Form not found""
)
"),"Form not found")</f>
        <v>Form not found</v>
      </c>
      <c r="AP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1!$E:$E"")=$B49) *
        (IMPORTRANGE(""https://docs.google.com/spreadsheets/d/161aHT6vVT3SLneTKD19N5qVWtnj_jIT8CSsOmUVKmaA/ed"&amp;"it?gid=1761053510"",
          ""Haris_Form responses 1!$AQ:$AQ"")=5)
      ),
      1
    ),
    ""0""
  ),
  ""Form not found""
)
"),"Form not found")</f>
        <v>Form not found</v>
      </c>
      <c r="AQ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1!$E:$E"")=$B49) *
        (IMPORTRANGE(""https://docs.google.com/spreadsheets/d/161aHT6vVT3SLneTKD19N5qVWtnj_jIT8CSsOmUVKmaA/ed"&amp;"it?gid=1761053510"",
          ""Haris_Form responses 1!$AQ:$AQ"")=6)
      ),
      1
    ),
    ""0""
  ),
  ""Form not found""
)
"),"Form not found")</f>
        <v>Form not found</v>
      </c>
      <c r="AR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1!$E:$E"")=$B49) *
        (IMPORTRANGE(""https://docs.google.com/spreadsheets/d/161aHT6vVT3SLneTKD19N5qVWtnj_jIT8CSsOmUVKmaA/ed"&amp;"it?gid=1761053510"",
          ""Haris_Form responses 1!$AQ:$AQ"")=1)
      ),
      1
    ),
    ""0""
  ),
  ""Form not found""
)
"),"9")</f>
        <v>9</v>
      </c>
      <c r="AS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1!$E:$E"")=$B49) *
        (IMPORTRANGE(""https://docs.google.com/spreadsheets/d/161aHT6vVT3SLneTKD19N5qVWtnj_jIT8CSsOmUVKmaA/ed"&amp;"it?gid=1761053510"",
          ""Haris_Form responses 1!$AQ:$AQ"")=2)
      ),
      1
    ),
    ""0""
  ),
  ""Form not found""
)
"),"9")</f>
        <v>9</v>
      </c>
      <c r="AT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1!$E:$E"")=$B49) *
        (IMPORTRANGE(""https://docs.google.com/spreadsheets/d/161aHT6vVT3SLneTKD19N5qVWtnj_jIT8CSsOmUVKmaA/ed"&amp;"it?gid=1761053510"",
          ""Haris_Form responses 1!$AQ:$AQ"")=3)
      ),
      1
    ),
    ""0""
  ),
  ""Form not found""
)
"),"3")</f>
        <v>3</v>
      </c>
      <c r="AU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1!$E:$E"")=$B49) *
        (IMPORTRANGE(""https://docs.google.com/spreadsheets/d/161aHT6vVT3SLneTKD19N5qVWtnj_jIT8CSsOmUVKmaA/ed"&amp;"it?gid=1761053510"",
          ""Haris_Form responses 1!$AQ:$AQ"")=4)
      ),
      1
    ),
    ""0""
  ),
  ""Form not found""
)
"),"Form not found")</f>
        <v>Form not found</v>
      </c>
      <c r="AV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1!$E:$E"")=$B49) *
        (IMPORTRANGE(""https://docs.google.com/spreadsheets/d/161aHT6vVT3SLneTKD19N5qVWtnj_jIT8CSsOmUVKmaA/ed"&amp;"it?gid=1761053510"",
          ""Haris_Form responses 1!$AQ:$AQ"")=5)
      ),
      1
    ),
    ""0""
  ),
  ""Form not found""
)
"),"Form not found")</f>
        <v>Form not found</v>
      </c>
      <c r="AW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1!$E:$E"")=$B49) *
        (IMPORTRANGE(""https://docs.google.com/spreadsheets/d/161aHT6vVT3SLneTKD19N5qVWtnj_jIT8CSsOmUVKmaA/ed"&amp;"it?gid=1761053510"",
          ""Haris_Form responses 1!$AQ:$AQ"")=6)
      ),
      1
    ),
    ""0""
  ),
  ""Form not found""
)
"),"Form not found")</f>
        <v>Form not found</v>
      </c>
      <c r="AX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1!$E:$E"")=$B49) *
        (IMPORTRANGE(""https://docs.google.com/spreadsheets/d/161aHT6vVT3SLneTKD19N5qVWtnj_jIT8CSsOmUVKmaA/ed"&amp;"it?gid=1761053510"",
          ""Haris_Form responses 1!$AQ:$AQ"")=1)
      ),
      1
    ),
    ""0""
  ),
  ""Form not found""
)
"),"0")</f>
        <v>0</v>
      </c>
      <c r="AY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1!$E:$E"")=$B49) *
        (IMPORTRANGE(""https://docs.google.com/spreadsheets/d/161aHT6vVT3SLneTKD19N5qVWtnj_jIT8CSsOmUVKmaA/ed"&amp;"it?gid=1761053510"",
          ""Haris_Form responses 1!$AQ:$AQ"")=2)
      ),
      1
    ),
    ""0""
  ),
  ""Form not found""
)
"),"1")</f>
        <v>1</v>
      </c>
      <c r="AZ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1!$E:$E"")=$B49) *
        (IMPORTRANGE(""https://docs.google.com/spreadsheets/d/161aHT6vVT3SLneTKD19N5qVWtnj_jIT8CSsOmUVKmaA/ed"&amp;"it?gid=1761053510"",
          ""Haris_Form responses 1!$AQ:$AQ"")=3)
      ),
      1
    ),
    ""0""
  ),
  ""Form not found""
)
"),"0")</f>
        <v>0</v>
      </c>
      <c r="BA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1!$E:$E"")=$B49) *
        (IMPORTRANGE(""https://docs.google.com/spreadsheets/d/161aHT6vVT3SLneTKD19N5qVWtnj_jIT8CSsOmUVKmaA/ed"&amp;"it?gid=1761053510"",
          ""Haris_Form responses 1!$AQ:$AQ"")=4)
      ),
      1
    ),
    ""0""
  ),
  ""Form not found""
)
"),"Form not found")</f>
        <v>Form not found</v>
      </c>
      <c r="BB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1!$E:$E"")=$B49) *
        (IMPORTRANGE(""https://docs.google.com/spreadsheets/d/161aHT6vVT3SLneTKD19N5qVWtnj_jIT8CSsOmUVKmaA/ed"&amp;"it?gid=1761053510"",
          ""Haris_Form responses 1!$AQ:$AQ"")=5)
      ),
      1
    ),
    ""0""
  ),
  ""Form not found""
)
"),"Form not found")</f>
        <v>Form not found</v>
      </c>
      <c r="BC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1!$E:$E"")=$B49) *
        (IMPORTRANGE(""https://docs.google.com/spreadsheets/d/161aHT6vVT3SLneTKD19N5qVWtnj_jIT8CSsOmUVKmaA/ed"&amp;"it?gid=1761053510"",
          ""Haris_Form responses 1!$AQ:$AQ"")=6)
      ),
      1
    ),
    ""0""
  ),
  ""Form not found""
)
"),"Form not found")</f>
        <v>Form not found</v>
      </c>
      <c r="BD49" s="293"/>
    </row>
    <row r="50">
      <c r="A50" s="283" t="str">
        <f>IFERROR(__xludf.DUMMYFUNCTION("VLOOKUP($B50,IMPORTRANGE(""https://docs.google.com/spreadsheets/d/1VNXDITjs75AcgdBSW27oL1VZH31udDprJSsBcE5xlp4/edit?gid=1551188038#gid=1551188038"", ""Sheet9!$B:$E""),2,false)"),"Lahore")</f>
        <v>Lahore</v>
      </c>
      <c r="B50" s="283" t="s">
        <v>1132</v>
      </c>
      <c r="C50" s="284" t="str">
        <f>IFERROR(__xludf.DUMMYFUNCTION("VLOOKUP(TRIM($B50), IMPORTRANGE(""https://docs.google.com/spreadsheets/d/1aSOrU4PTpuBZqfitKaH1Rfww6-YOiNCKoBpPl8XBHaw/edit?gid=0#gid=0"", ""sheet3!$B:$C""), 2, FALSE)
"),"Jamia Masjid Mian Karaam Bakhs Pani Wala Talaab Lahore")</f>
        <v>Jamia Masjid Mian Karaam Bakhs Pani Wala Talaab Lahore</v>
      </c>
      <c r="D50" s="284" t="str">
        <f>IFERROR(__xludf.DUMMYFUNCTION("IFERROR(
  INDEX(
    FILTER(
      IMPORTRANGE(""1aSOrU4PTpuBZqfitKaH1Rfww6-YOiNCKoBpPl8XBHaw/edit?gid=0#gid=0"",""Sheet1!G:G""),
      IMPORTRANGE(""1aSOrU4PTpuBZqfitKaH1Rfww6-YOiNCKoBpPl8XBHaw/edit?gid=0#gid=0"",""Sheet1!C:C"")=$B50
    ),
    1
  ),
 "&amp;" ""Not Found""
)"),"Control")</f>
        <v>Control</v>
      </c>
      <c r="E50" s="284" t="str">
        <f>VLOOKUP(B50,'Juma Recording forms'!A:E,5,false)</f>
        <v>Jamia Masjid Mian Karaam Bakhs Pani Wala Talaab Lahore</v>
      </c>
      <c r="F50" s="284" t="str">
        <f>IFERROR(__xludf.DUMMYFUNCTION("IFERROR(
  INDEX(
    FILTER(
      IMPORTRANGE(""1Cxrhp3-_-HS7v9uuqQliiIfrmMP4VaFoDNDWyUFy2J8/edit?gid=0#gid=0"",""Sheet1!Q:Q""),
      IMPORTRANGE(""1Cxrhp3-_-HS7v9uuqQliiIfrmMP4VaFoDNDWyUFy2J8/edit?gid=0#gid=0"",""Sheet1!K:K"")=$B50
    ),
    1
  ),
 "&amp;" ""Not Found""
)"),"Sabir_Hussain")</f>
        <v>Sabir_Hussain</v>
      </c>
      <c r="G50" s="284">
        <v>1940.0</v>
      </c>
      <c r="H50" s="284"/>
      <c r="I50" s="285"/>
      <c r="J50" s="286">
        <v>2.0</v>
      </c>
      <c r="K50" s="287" t="str">
        <f>VLOOKUP($B50,'Mosque Locations'!$A:$E,3,FALSE)
</f>
        <v>https://maps.google.com/maps?q=31.5839243%2C74.3165669&amp;z=17&amp;hl=en</v>
      </c>
      <c r="L50" s="286">
        <f>VLOOKUP($B50,'Mosque Locations'!$A:$E,4,FALSE)
</f>
        <v>31.5839243</v>
      </c>
      <c r="M50" s="286">
        <f>VLOOKUP($B50,'Mosque Locations'!$A:$E,5,false)</f>
        <v>74.3165669</v>
      </c>
      <c r="N50" s="288"/>
      <c r="O50" s="288"/>
      <c r="P50" s="288"/>
      <c r="Q50" s="289" t="str">
        <f>IFERROR(__xludf.DUMMYFUNCTION("IFERROR(
  INDEX(
    FILTER(
      IMPORTRANGE(""1SnQ_YxUmBUYKsKc82GyPPovLO-EPrfZxsJ0V0UbhezI/edit?gid=590869320#gid=590869320"",""Form Responses 1!AB:AB""),
      IMPORTRANGE(""1SnQ_YxUmBUYKsKc82GyPPovLO-EPrfZxsJ0V0UbhezI/edit?gid=590869320#gid=59086932"&amp;"0"",""Form Responses 1!E:E"")=$B50
    ),
    1
  ),
  ""Not Found""
)"),"https://drive.google.com/file/d/1BX_br0ho5SGkqi6l-4Y1AqJDnbiPPP3y/view")</f>
        <v>https://drive.google.com/file/d/1BX_br0ho5SGkqi6l-4Y1AqJDnbiPPP3y/view</v>
      </c>
      <c r="R50" s="289" t="str">
        <f>IFERROR(__xludf.DUMMYFUNCTION("IFERROR(
  INDEX(
    FILTER(
      IMPORTRANGE(""1SnQ_YxUmBUYKsKc82GyPPovLO-EPrfZxsJ0V0UbhezI"",""Form Responses 1!AA:AA""),
      TRIM(IMPORTRANGE(""1SnQ_YxUmBUYKsKc82GyPPovLO-EPrfZxsJ0V0UbhezI"",""Form Responses 1!E:E""))=TRIM($B50)
    ),
    1
  ),
 "&amp;" ""Not Found""
)
"),"https://drive.google.com/file/d/1qnKEyMLihKcNEk19PXBM9MB7kSC0utpu/view")</f>
        <v>https://drive.google.com/file/d/1qnKEyMLihKcNEk19PXBM9MB7kSC0utpu/view</v>
      </c>
      <c r="S50" s="285"/>
      <c r="T50" s="290" t="str">
        <f>VLOOKUP($B50,'Master Tracker'!$D:$E,2,false)</f>
        <v>https://drive.google.com/file/d/10t5dEi-iadyBUES3Xt9I0YDO3RreLvLn/view?usp=drive_link</v>
      </c>
      <c r="U50" s="291" t="str">
        <f>VLOOKUP($B50,'Master Tracker'!$D:$T,4,FALSE)
</f>
        <v>https://drive.google.com/open?id=1G5BZOT-IGJHK--PASd_eGs4ZIR4_Ij6d</v>
      </c>
      <c r="V50" s="284" t="str">
        <f>VLOOKUP($B50,'Master Tracker'!$D:$T,5,false)</f>
        <v>Not Found</v>
      </c>
      <c r="W50" s="292" t="str">
        <f>VLOOKUP($B50,'Master Tracker'!$D:$T,7,false)</f>
        <v>Not Found</v>
      </c>
      <c r="X50" s="290" t="str">
        <f>VLOOKUP($B50,'Master Tracker'!$D:$T,8,false)</f>
        <v>https://drive.google.com/open?id=1QOvOPJhmZky9b-jN9akyFd5_h8L1FadB</v>
      </c>
      <c r="Y50" s="291" t="str">
        <f>VLOOKUP($B50,'Master Tracker'!$D:$T,10,false)</f>
        <v>https://drive.google.com/open?id=1dAMeMnxBS_hj-ujumPptLJdN9d9HWjcb</v>
      </c>
      <c r="Z50" s="284" t="str">
        <f>VLOOKUP($B50,'Master Tracker'!$D:$T,11,false)</f>
        <v>Not Found</v>
      </c>
      <c r="AA50" s="292" t="str">
        <f>VLOOKUP($B50,'Master Tracker'!$D:$T,13,false)</f>
        <v>Not Found</v>
      </c>
      <c r="AB50" s="284" t="str">
        <f>VLOOKUP($B50,'Master Tracker'!$D:$T,14,false)</f>
        <v>Not Found</v>
      </c>
      <c r="AC50" s="292" t="str">
        <f>VLOOKUP($B50,'Master Tracker'!$D:$T,16,false)</f>
        <v>Not Found</v>
      </c>
      <c r="AD50" s="292" t="str">
        <f>VLOOKUP($B50,'Master Tracker'!$D:$T,17,false)</f>
        <v>Not Found</v>
      </c>
      <c r="AE50" s="292" t="str">
        <f>VLOOKUP($B50,'Master Tracker'!$D:$V,19,false)</f>
        <v>Not Found</v>
      </c>
      <c r="AF50" s="292">
        <f>IFERROR(__xludf.DUMMYFUNCTION("IFERROR(
  INDEX(
    FILTER(
      'Juma Recording forms'!$G:$G,
      TRIM('Juma Recording forms'!$F:$F) = TRIM($B50),
      'Juma Recording forms'!$AA:$AA = 1
    ),
    1
  ),
  ""Not Found""
)"),180.0)</f>
        <v>180</v>
      </c>
      <c r="AG50" s="292" t="str">
        <f>IFERROR(__xludf.DUMMYFUNCTION("IFERROR(
  INDEX(
    FILTER(
      'Juma Recording forms'!$G:$G,
      TRIM('Juma Recording forms'!$F:$F) = TRIM($B50),
      'Juma Recording forms'!$AA:$AA = 2
    ),
    1
  ),
  ""Not Found""
)"),"Not Found")</f>
        <v>Not Found</v>
      </c>
      <c r="AH50" s="292">
        <f>IFERROR(__xludf.DUMMYFUNCTION("IFERROR(
  INDEX(
    FILTER(
      'Juma Recording forms'!$G:$G,
      TRIM('Juma Recording forms'!$F:$F) = TRIM($B50),
      'Juma Recording forms'!$AA:$AA = 3
    ),
    1
  ),
  ""Not Found""
)"),175.0)</f>
        <v>175</v>
      </c>
      <c r="AI50" s="292" t="str">
        <f>IFERROR(__xludf.DUMMYFUNCTION("IFERROR(
  INDEX(
    FILTER(
      'Juma Recording forms'!$G:$G,
      TRIM('Juma Recording forms'!$F:$F) = TRIM($B50),
      'Juma Recording forms'!$AA:$AA = 4
    ),
    1
  ),
  ""Not Found""
)"),"Not Found")</f>
        <v>Not Found</v>
      </c>
      <c r="AJ50" s="292" t="str">
        <f>IFERROR(__xludf.DUMMYFUNCTION("IFERROR(
  INDEX(
    FILTER(
      'Juma Recording forms'!$G:$G,
      TRIM('Juma Recording forms'!$F:$F) = TRIM($B50),
      'Juma Recording forms'!$AA:$AA = 5
    ),
    1
  ),
  ""Not Found""
)"),"Not Found")</f>
        <v>Not Found</v>
      </c>
      <c r="AK50" s="292"/>
      <c r="AL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1!$E:$E"")=$B50) *
        (IMPORTRANGE(""https://docs.google.com/spreadsheets/d/161aHT6vVT3SLneTKD19N5qVWtnj_jIT8CSsOmUVKmaA/ed"&amp;"it?gid=1761053510"",
          ""Haris_Form responses 1!$AQ:$AQ"")=1)
      ),
      1
    ),
    ""0""
  ),
  ""Form not found""
)
"),"0")</f>
        <v>0</v>
      </c>
      <c r="AM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1!$E:$E"")=$B50) *
        (IMPORTRANGE(""https://docs.google.com/spreadsheets/d/161aHT6vVT3SLneTKD19N5qVWtnj_jIT8CSsOmUVKmaA/ed"&amp;"it?gid=1761053510"",
          ""Haris_Form responses 1!$AQ:$AQ"")=2)
      ),
      1
    ),
    ""0""
  ),
  ""Form not found""
)
"),"Form not found")</f>
        <v>Form not found</v>
      </c>
      <c r="AN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1!$E:$E"")=$B50) *
        (IMPORTRANGE(""https://docs.google.com/spreadsheets/d/161aHT6vVT3SLneTKD19N5qVWtnj_jIT8CSsOmUVKmaA/ed"&amp;"it?gid=1761053510"",
          ""Haris_Form responses 1!$AQ:$AQ"")=3)
      ),
      1
    ),
    ""0""
  ),
  ""Form not found""
)
"),"0")</f>
        <v>0</v>
      </c>
      <c r="AO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1!$E:$E"")=$B50) *
        (IMPORTRANGE(""https://docs.google.com/spreadsheets/d/161aHT6vVT3SLneTKD19N5qVWtnj_jIT8CSsOmUVKmaA/ed"&amp;"it?gid=1761053510"",
          ""Haris_Form responses 1!$AQ:$AQ"")=4)
      ),
      1
    ),
    ""0""
  ),
  ""Form not found""
)
"),"Form not found")</f>
        <v>Form not found</v>
      </c>
      <c r="AP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1!$E:$E"")=$B50) *
        (IMPORTRANGE(""https://docs.google.com/spreadsheets/d/161aHT6vVT3SLneTKD19N5qVWtnj_jIT8CSsOmUVKmaA/ed"&amp;"it?gid=1761053510"",
          ""Haris_Form responses 1!$AQ:$AQ"")=5)
      ),
      1
    ),
    ""0""
  ),
  ""Form not found""
)
"),"Form not found")</f>
        <v>Form not found</v>
      </c>
      <c r="AQ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1!$E:$E"")=$B50) *
        (IMPORTRANGE(""https://docs.google.com/spreadsheets/d/161aHT6vVT3SLneTKD19N5qVWtnj_jIT8CSsOmUVKmaA/ed"&amp;"it?gid=1761053510"",
          ""Haris_Form responses 1!$AQ:$AQ"")=6)
      ),
      1
    ),
    ""0""
  ),
  ""Form not found""
)
"),"Form not found")</f>
        <v>Form not found</v>
      </c>
      <c r="AR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1!$E:$E"")=$B50) *
        (IMPORTRANGE(""https://docs.google.com/spreadsheets/d/161aHT6vVT3SLneTKD19N5qVWtnj_jIT8CSsOmUVKmaA/ed"&amp;"it?gid=1761053510"",
          ""Haris_Form responses 1!$AQ:$AQ"")=1)
      ),
      1
    ),
    ""0""
  ),
  ""Form not found""
)
"),"0")</f>
        <v>0</v>
      </c>
      <c r="AS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1!$E:$E"")=$B50) *
        (IMPORTRANGE(""https://docs.google.com/spreadsheets/d/161aHT6vVT3SLneTKD19N5qVWtnj_jIT8CSsOmUVKmaA/ed"&amp;"it?gid=1761053510"",
          ""Haris_Form responses 1!$AQ:$AQ"")=2)
      ),
      1
    ),
    ""0""
  ),
  ""Form not found""
)
"),"Form not found")</f>
        <v>Form not found</v>
      </c>
      <c r="AT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1!$E:$E"")=$B50) *
        (IMPORTRANGE(""https://docs.google.com/spreadsheets/d/161aHT6vVT3SLneTKD19N5qVWtnj_jIT8CSsOmUVKmaA/ed"&amp;"it?gid=1761053510"",
          ""Haris_Form responses 1!$AQ:$AQ"")=3)
      ),
      1
    ),
    ""0""
  ),
  ""Form not found""
)
"),"0")</f>
        <v>0</v>
      </c>
      <c r="AU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1!$E:$E"")=$B50) *
        (IMPORTRANGE(""https://docs.google.com/spreadsheets/d/161aHT6vVT3SLneTKD19N5qVWtnj_jIT8CSsOmUVKmaA/ed"&amp;"it?gid=1761053510"",
          ""Haris_Form responses 1!$AQ:$AQ"")=4)
      ),
      1
    ),
    ""0""
  ),
  ""Form not found""
)
"),"Form not found")</f>
        <v>Form not found</v>
      </c>
      <c r="AV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1!$E:$E"")=$B50) *
        (IMPORTRANGE(""https://docs.google.com/spreadsheets/d/161aHT6vVT3SLneTKD19N5qVWtnj_jIT8CSsOmUVKmaA/ed"&amp;"it?gid=1761053510"",
          ""Haris_Form responses 1!$AQ:$AQ"")=5)
      ),
      1
    ),
    ""0""
  ),
  ""Form not found""
)
"),"Form not found")</f>
        <v>Form not found</v>
      </c>
      <c r="AW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1!$E:$E"")=$B50) *
        (IMPORTRANGE(""https://docs.google.com/spreadsheets/d/161aHT6vVT3SLneTKD19N5qVWtnj_jIT8CSsOmUVKmaA/ed"&amp;"it?gid=1761053510"",
          ""Haris_Form responses 1!$AQ:$AQ"")=6)
      ),
      1
    ),
    ""0""
  ),
  ""Form not found""
)
"),"Form not found")</f>
        <v>Form not found</v>
      </c>
      <c r="AX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1!$E:$E"")=$B50) *
        (IMPORTRANGE(""https://docs.google.com/spreadsheets/d/161aHT6vVT3SLneTKD19N5qVWtnj_jIT8CSsOmUVKmaA/ed"&amp;"it?gid=1761053510"",
          ""Haris_Form responses 1!$AQ:$AQ"")=1)
      ),
      1
    ),
    ""0""
  ),
  ""Form not found""
)
"),"0")</f>
        <v>0</v>
      </c>
      <c r="AY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1!$E:$E"")=$B50) *
        (IMPORTRANGE(""https://docs.google.com/spreadsheets/d/161aHT6vVT3SLneTKD19N5qVWtnj_jIT8CSsOmUVKmaA/ed"&amp;"it?gid=1761053510"",
          ""Haris_Form responses 1!$AQ:$AQ"")=2)
      ),
      1
    ),
    ""0""
  ),
  ""Form not found""
)
"),"Form not found")</f>
        <v>Form not found</v>
      </c>
      <c r="AZ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1!$E:$E"")=$B50) *
        (IMPORTRANGE(""https://docs.google.com/spreadsheets/d/161aHT6vVT3SLneTKD19N5qVWtnj_jIT8CSsOmUVKmaA/ed"&amp;"it?gid=1761053510"",
          ""Haris_Form responses 1!$AQ:$AQ"")=3)
      ),
      1
    ),
    ""0""
  ),
  ""Form not found""
)
"),"10")</f>
        <v>10</v>
      </c>
      <c r="BA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1!$E:$E"")=$B50) *
        (IMPORTRANGE(""https://docs.google.com/spreadsheets/d/161aHT6vVT3SLneTKD19N5qVWtnj_jIT8CSsOmUVKmaA/ed"&amp;"it?gid=1761053510"",
          ""Haris_Form responses 1!$AQ:$AQ"")=4)
      ),
      1
    ),
    ""0""
  ),
  ""Form not found""
)
"),"Form not found")</f>
        <v>Form not found</v>
      </c>
      <c r="BB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1!$E:$E"")=$B50) *
        (IMPORTRANGE(""https://docs.google.com/spreadsheets/d/161aHT6vVT3SLneTKD19N5qVWtnj_jIT8CSsOmUVKmaA/ed"&amp;"it?gid=1761053510"",
          ""Haris_Form responses 1!$AQ:$AQ"")=5)
      ),
      1
    ),
    ""0""
  ),
  ""Form not found""
)
"),"Form not found")</f>
        <v>Form not found</v>
      </c>
      <c r="BC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1!$E:$E"")=$B50) *
        (IMPORTRANGE(""https://docs.google.com/spreadsheets/d/161aHT6vVT3SLneTKD19N5qVWtnj_jIT8CSsOmUVKmaA/ed"&amp;"it?gid=1761053510"",
          ""Haris_Form responses 1!$AQ:$AQ"")=6)
      ),
      1
    ),
    ""0""
  ),
  ""Form not found""
)
"),"Form not found")</f>
        <v>Form not found</v>
      </c>
      <c r="BD50" s="293"/>
    </row>
    <row r="51">
      <c r="A51" s="283" t="str">
        <f>IFERROR(__xludf.DUMMYFUNCTION("VLOOKUP($B51,IMPORTRANGE(""https://docs.google.com/spreadsheets/d/1VNXDITjs75AcgdBSW27oL1VZH31udDprJSsBcE5xlp4/edit?gid=1551188038#gid=1551188038"", ""Sheet9!$B:$E""),2,false)"),"Lahore")</f>
        <v>Lahore</v>
      </c>
      <c r="B51" s="283" t="s">
        <v>3304</v>
      </c>
      <c r="C51" s="284" t="str">
        <f>IFERROR(__xludf.DUMMYFUNCTION("VLOOKUP(TRIM($B51), IMPORTRANGE(""https://docs.google.com/spreadsheets/d/1aSOrU4PTpuBZqfitKaH1Rfww6-YOiNCKoBpPl8XBHaw/edit?gid=0#gid=0"", ""sheet3!$B:$C""), 2, FALSE)
"),"Jamia Masjid Noor Din Pepal Wehra Lahore")</f>
        <v>Jamia Masjid Noor Din Pepal Wehra Lahore</v>
      </c>
      <c r="D51" s="284" t="str">
        <f>IFERROR(__xludf.DUMMYFUNCTION("IFERROR(
  INDEX(
    FILTER(
      IMPORTRANGE(""1aSOrU4PTpuBZqfitKaH1Rfww6-YOiNCKoBpPl8XBHaw/edit?gid=0#gid=0"",""Sheet1!G:G""),
      IMPORTRANGE(""1aSOrU4PTpuBZqfitKaH1Rfww6-YOiNCKoBpPl8XBHaw/edit?gid=0#gid=0"",""Sheet1!C:C"")=$B51
    ),
    1
  ),
 "&amp;" ""Not Found""
)"),"Control")</f>
        <v>Control</v>
      </c>
      <c r="E51" s="284" t="str">
        <f>VLOOKUP(B51,'Juma Recording forms'!A:E,5,false)</f>
        <v>kscal	Jamia Masjid Noor Din Pepal Wehra Lahore</v>
      </c>
      <c r="F51" s="284" t="str">
        <f>IFERROR(__xludf.DUMMYFUNCTION("IFERROR(
  INDEX(
    FILTER(
      IMPORTRANGE(""1Cxrhp3-_-HS7v9uuqQliiIfrmMP4VaFoDNDWyUFy2J8/edit?gid=0#gid=0"",""Sheet1!Q:Q""),
      IMPORTRANGE(""1Cxrhp3-_-HS7v9uuqQliiIfrmMP4VaFoDNDWyUFy2J8/edit?gid=0#gid=0"",""Sheet1!K:K"")=$B51
    ),
    1
  ),
 "&amp;" ""Not Found""
)"),"Muhammad Arif")</f>
        <v>Muhammad Arif</v>
      </c>
      <c r="G51" s="284">
        <v>2020.0</v>
      </c>
      <c r="H51" s="284"/>
      <c r="I51" s="285"/>
      <c r="J51" s="286">
        <v>2.0</v>
      </c>
      <c r="K51" s="287" t="str">
        <f>VLOOKUP($B51,'Mosque Locations'!$A:$E,3,FALSE)
</f>
        <v>https://maps.google.com/maps?q=31.5790724%2C74.3201252&amp;z=17&amp;hl=en</v>
      </c>
      <c r="L51" s="286">
        <f>VLOOKUP($B51,'Mosque Locations'!$A:$E,4,FALSE)
</f>
        <v>31.57907</v>
      </c>
      <c r="M51" s="286">
        <f>VLOOKUP($B51,'Mosque Locations'!$A:$E,5,false)</f>
        <v>74.32013</v>
      </c>
      <c r="N51" s="288"/>
      <c r="O51" s="288"/>
      <c r="P51" s="288"/>
      <c r="Q51" s="290" t="str">
        <f>IFERROR(__xludf.DUMMYFUNCTION("IFERROR(
  INDEX(
    FILTER(
      IMPORTRANGE(""1SnQ_YxUmBUYKsKc82GyPPovLO-EPrfZxsJ0V0UbhezI/edit?gid=590869320#gid=590869320"",""Form Responses 1!AB:AB""),
      IMPORTRANGE(""1SnQ_YxUmBUYKsKc82GyPPovLO-EPrfZxsJ0V0UbhezI/edit?gid=590869320#gid=59086932"&amp;"0"",""Form Responses 1!E:E"")=$B51
    ),
    1
  ),
  ""Not Found""
)"),"https://drive.google.com/file/d/1KBVrTDZtyLoNoMnI3cqdARp5QT2zHW2o/view")</f>
        <v>https://drive.google.com/file/d/1KBVrTDZtyLoNoMnI3cqdARp5QT2zHW2o/view</v>
      </c>
      <c r="R51" s="295" t="str">
        <f>IFERROR(__xludf.DUMMYFUNCTION("IFERROR(
  INDEX(
    FILTER(
      IMPORTRANGE(""1SnQ_YxUmBUYKsKc82GyPPovLO-EPrfZxsJ0V0UbhezI"",""Form Responses 1!AA:AA""),
      TRIM(IMPORTRANGE(""1SnQ_YxUmBUYKsKc82GyPPovLO-EPrfZxsJ0V0UbhezI"",""Form Responses 1!E:E""))=TRIM($B51)
    ),
    1
  ),
 "&amp;" ""Not Found""
)
"),"https://drive.google.com/open?id=1sJ72mR1gDjs5E-Ifjrlj2ngyGkLu9NzT")</f>
        <v>https://drive.google.com/open?id=1sJ72mR1gDjs5E-Ifjrlj2ngyGkLu9NzT</v>
      </c>
      <c r="S51" s="285"/>
      <c r="T51" s="290" t="str">
        <f>VLOOKUP($B51,'Master Tracker'!$D:$E,2,false)</f>
        <v>https://drive.google.com/open?id=1Q03uSOK2D5Zl2DjZAMouMa_gAPerOaz5</v>
      </c>
      <c r="U51" s="291" t="str">
        <f>VLOOKUP($B51,'Master Tracker'!$D:$T,4,FALSE)
</f>
        <v>https://drive.google.com/open?id=1KXVwZxf4RcqwtG_KKLxPvtjk8ABjSXSV</v>
      </c>
      <c r="V51" s="284" t="str">
        <f>VLOOKUP($B51,'Master Tracker'!$D:$T,5,false)</f>
        <v>Not Found</v>
      </c>
      <c r="W51" s="292" t="str">
        <f>VLOOKUP($B51,'Master Tracker'!$D:$T,7,false)</f>
        <v>Not Found</v>
      </c>
      <c r="X51" s="290" t="str">
        <f>VLOOKUP($B51,'Master Tracker'!$D:$T,8,false)</f>
        <v>https://drive.google.com/open?id=1MQOcyurhjq27OQU_3Cv0nS144v_iL3rE</v>
      </c>
      <c r="Y51" s="291" t="str">
        <f>VLOOKUP($B51,'Master Tracker'!$D:$T,10,false)</f>
        <v>https://drive.google.com/open?id=1AJscQ5nm3ni23yD6I78zRuX00HK_rs-8</v>
      </c>
      <c r="Z51" s="284" t="str">
        <f>VLOOKUP($B51,'Master Tracker'!$D:$T,11,false)</f>
        <v>Not Found</v>
      </c>
      <c r="AA51" s="292" t="str">
        <f>VLOOKUP($B51,'Master Tracker'!$D:$T,13,false)</f>
        <v>Not Found</v>
      </c>
      <c r="AB51" s="284" t="str">
        <f>VLOOKUP($B51,'Master Tracker'!$D:$T,14,false)</f>
        <v>Not Found</v>
      </c>
      <c r="AC51" s="292" t="str">
        <f>VLOOKUP($B51,'Master Tracker'!$D:$T,16,false)</f>
        <v>Not Found</v>
      </c>
      <c r="AD51" s="292" t="str">
        <f>VLOOKUP($B51,'Master Tracker'!$D:$T,17,false)</f>
        <v>Not Found</v>
      </c>
      <c r="AE51" s="292" t="str">
        <f>VLOOKUP($B51,'Master Tracker'!$D:$V,19,false)</f>
        <v>Not Found</v>
      </c>
      <c r="AF51" s="292">
        <f>IFERROR(__xludf.DUMMYFUNCTION("IFERROR(
  INDEX(
    FILTER(
      'Juma Recording forms'!$G:$G,
      TRIM('Juma Recording forms'!$F:$F) = TRIM($B51),
      'Juma Recording forms'!$AA:$AA = 1
    ),
    1
  ),
  ""Not Found""
)"),139.0)</f>
        <v>139</v>
      </c>
      <c r="AG51" s="292" t="str">
        <f>IFERROR(__xludf.DUMMYFUNCTION("IFERROR(
  INDEX(
    FILTER(
      'Juma Recording forms'!$G:$G,
      TRIM('Juma Recording forms'!$F:$F) = TRIM($B51),
      'Juma Recording forms'!$AA:$AA = 2
    ),
    1
  ),
  ""Not Found""
)"),"Not Found")</f>
        <v>Not Found</v>
      </c>
      <c r="AH51" s="292">
        <f>IFERROR(__xludf.DUMMYFUNCTION("IFERROR(
  INDEX(
    FILTER(
      'Juma Recording forms'!$G:$G,
      TRIM('Juma Recording forms'!$F:$F) = TRIM($B51),
      'Juma Recording forms'!$AA:$AA = 3
    ),
    1
  ),
  ""Not Found""
)"),145.0)</f>
        <v>145</v>
      </c>
      <c r="AI51" s="292" t="str">
        <f>IFERROR(__xludf.DUMMYFUNCTION("IFERROR(
  INDEX(
    FILTER(
      'Juma Recording forms'!$G:$G,
      TRIM('Juma Recording forms'!$F:$F) = TRIM($B51),
      'Juma Recording forms'!$AA:$AA = 4
    ),
    1
  ),
  ""Not Found""
)"),"Not Found")</f>
        <v>Not Found</v>
      </c>
      <c r="AJ51" s="292" t="str">
        <f>IFERROR(__xludf.DUMMYFUNCTION("IFERROR(
  INDEX(
    FILTER(
      'Juma Recording forms'!$G:$G,
      TRIM('Juma Recording forms'!$F:$F) = TRIM($B51),
      'Juma Recording forms'!$AA:$AA = 5
    ),
    1
  ),
  ""Not Found""
)"),"Not Found")</f>
        <v>Not Found</v>
      </c>
      <c r="AK51" s="292"/>
      <c r="AL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1!$E:$E"")=$B51) *
        (IMPORTRANGE(""https://docs.google.com/spreadsheets/d/161aHT6vVT3SLneTKD19N5qVWtnj_jIT8CSsOmUVKmaA/ed"&amp;"it?gid=1761053510"",
          ""Haris_Form responses 1!$AQ:$AQ"")=1)
      ),
      1
    ),
    ""0""
  ),
  ""Form not found""
)
"),"0")</f>
        <v>0</v>
      </c>
      <c r="AM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1!$E:$E"")=$B51) *
        (IMPORTRANGE(""https://docs.google.com/spreadsheets/d/161aHT6vVT3SLneTKD19N5qVWtnj_jIT8CSsOmUVKmaA/ed"&amp;"it?gid=1761053510"",
          ""Haris_Form responses 1!$AQ:$AQ"")=2)
      ),
      1
    ),
    ""0""
  ),
  ""Form not found""
)
"),"Form not found")</f>
        <v>Form not found</v>
      </c>
      <c r="AN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1!$E:$E"")=$B51) *
        (IMPORTRANGE(""https://docs.google.com/spreadsheets/d/161aHT6vVT3SLneTKD19N5qVWtnj_jIT8CSsOmUVKmaA/ed"&amp;"it?gid=1761053510"",
          ""Haris_Form responses 1!$AQ:$AQ"")=3)
      ),
      1
    ),
    ""0""
  ),
  ""Form not found""
)
"),"0")</f>
        <v>0</v>
      </c>
      <c r="AO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1!$E:$E"")=$B51) *
        (IMPORTRANGE(""https://docs.google.com/spreadsheets/d/161aHT6vVT3SLneTKD19N5qVWtnj_jIT8CSsOmUVKmaA/ed"&amp;"it?gid=1761053510"",
          ""Haris_Form responses 1!$AQ:$AQ"")=4)
      ),
      1
    ),
    ""0""
  ),
  ""Form not found""
)
"),"Form not found")</f>
        <v>Form not found</v>
      </c>
      <c r="AP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1!$E:$E"")=$B51) *
        (IMPORTRANGE(""https://docs.google.com/spreadsheets/d/161aHT6vVT3SLneTKD19N5qVWtnj_jIT8CSsOmUVKmaA/ed"&amp;"it?gid=1761053510"",
          ""Haris_Form responses 1!$AQ:$AQ"")=5)
      ),
      1
    ),
    ""0""
  ),
  ""Form not found""
)
"),"Form not found")</f>
        <v>Form not found</v>
      </c>
      <c r="AQ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1!$E:$E"")=$B51) *
        (IMPORTRANGE(""https://docs.google.com/spreadsheets/d/161aHT6vVT3SLneTKD19N5qVWtnj_jIT8CSsOmUVKmaA/ed"&amp;"it?gid=1761053510"",
          ""Haris_Form responses 1!$AQ:$AQ"")=6)
      ),
      1
    ),
    ""0""
  ),
  ""Form not found""
)
"),"Form not found")</f>
        <v>Form not found</v>
      </c>
      <c r="AR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1!$E:$E"")=$B51) *
        (IMPORTRANGE(""https://docs.google.com/spreadsheets/d/161aHT6vVT3SLneTKD19N5qVWtnj_jIT8CSsOmUVKmaA/ed"&amp;"it?gid=1761053510"",
          ""Haris_Form responses 1!$AQ:$AQ"")=1)
      ),
      1
    ),
    ""0""
  ),
  ""Form not found""
)
"),"0")</f>
        <v>0</v>
      </c>
      <c r="AS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1!$E:$E"")=$B51) *
        (IMPORTRANGE(""https://docs.google.com/spreadsheets/d/161aHT6vVT3SLneTKD19N5qVWtnj_jIT8CSsOmUVKmaA/ed"&amp;"it?gid=1761053510"",
          ""Haris_Form responses 1!$AQ:$AQ"")=2)
      ),
      1
    ),
    ""0""
  ),
  ""Form not found""
)
"),"Form not found")</f>
        <v>Form not found</v>
      </c>
      <c r="AT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1!$E:$E"")=$B51) *
        (IMPORTRANGE(""https://docs.google.com/spreadsheets/d/161aHT6vVT3SLneTKD19N5qVWtnj_jIT8CSsOmUVKmaA/ed"&amp;"it?gid=1761053510"",
          ""Haris_Form responses 1!$AQ:$AQ"")=3)
      ),
      1
    ),
    ""0""
  ),
  ""Form not found""
)
"),"0")</f>
        <v>0</v>
      </c>
      <c r="AU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1!$E:$E"")=$B51) *
        (IMPORTRANGE(""https://docs.google.com/spreadsheets/d/161aHT6vVT3SLneTKD19N5qVWtnj_jIT8CSsOmUVKmaA/ed"&amp;"it?gid=1761053510"",
          ""Haris_Form responses 1!$AQ:$AQ"")=4)
      ),
      1
    ),
    ""0""
  ),
  ""Form not found""
)
"),"Form not found")</f>
        <v>Form not found</v>
      </c>
      <c r="AV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1!$E:$E"")=$B51) *
        (IMPORTRANGE(""https://docs.google.com/spreadsheets/d/161aHT6vVT3SLneTKD19N5qVWtnj_jIT8CSsOmUVKmaA/ed"&amp;"it?gid=1761053510"",
          ""Haris_Form responses 1!$AQ:$AQ"")=5)
      ),
      1
    ),
    ""0""
  ),
  ""Form not found""
)
"),"Form not found")</f>
        <v>Form not found</v>
      </c>
      <c r="AW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1!$E:$E"")=$B51) *
        (IMPORTRANGE(""https://docs.google.com/spreadsheets/d/161aHT6vVT3SLneTKD19N5qVWtnj_jIT8CSsOmUVKmaA/ed"&amp;"it?gid=1761053510"",
          ""Haris_Form responses 1!$AQ:$AQ"")=6)
      ),
      1
    ),
    ""0""
  ),
  ""Form not found""
)
"),"Form not found")</f>
        <v>Form not found</v>
      </c>
      <c r="AX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1!$E:$E"")=$B51) *
        (IMPORTRANGE(""https://docs.google.com/spreadsheets/d/161aHT6vVT3SLneTKD19N5qVWtnj_jIT8CSsOmUVKmaA/ed"&amp;"it?gid=1761053510"",
          ""Haris_Form responses 1!$AQ:$AQ"")=1)
      ),
      1
    ),
    ""0""
  ),
  ""Form not found""
)
"),"0")</f>
        <v>0</v>
      </c>
      <c r="AY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1!$E:$E"")=$B51) *
        (IMPORTRANGE(""https://docs.google.com/spreadsheets/d/161aHT6vVT3SLneTKD19N5qVWtnj_jIT8CSsOmUVKmaA/ed"&amp;"it?gid=1761053510"",
          ""Haris_Form responses 1!$AQ:$AQ"")=2)
      ),
      1
    ),
    ""0""
  ),
  ""Form not found""
)
"),"Form not found")</f>
        <v>Form not found</v>
      </c>
      <c r="AZ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1!$E:$E"")=$B51) *
        (IMPORTRANGE(""https://docs.google.com/spreadsheets/d/161aHT6vVT3SLneTKD19N5qVWtnj_jIT8CSsOmUVKmaA/ed"&amp;"it?gid=1761053510"",
          ""Haris_Form responses 1!$AQ:$AQ"")=3)
      ),
      1
    ),
    ""0""
  ),
  ""Form not found""
)
"),"0")</f>
        <v>0</v>
      </c>
      <c r="BA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1!$E:$E"")=$B51) *
        (IMPORTRANGE(""https://docs.google.com/spreadsheets/d/161aHT6vVT3SLneTKD19N5qVWtnj_jIT8CSsOmUVKmaA/ed"&amp;"it?gid=1761053510"",
          ""Haris_Form responses 1!$AQ:$AQ"")=4)
      ),
      1
    ),
    ""0""
  ),
  ""Form not found""
)
"),"Form not found")</f>
        <v>Form not found</v>
      </c>
      <c r="BB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1!$E:$E"")=$B51) *
        (IMPORTRANGE(""https://docs.google.com/spreadsheets/d/161aHT6vVT3SLneTKD19N5qVWtnj_jIT8CSsOmUVKmaA/ed"&amp;"it?gid=1761053510"",
          ""Haris_Form responses 1!$AQ:$AQ"")=5)
      ),
      1
    ),
    ""0""
  ),
  ""Form not found""
)
"),"Form not found")</f>
        <v>Form not found</v>
      </c>
      <c r="BC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1!$E:$E"")=$B51) *
        (IMPORTRANGE(""https://docs.google.com/spreadsheets/d/161aHT6vVT3SLneTKD19N5qVWtnj_jIT8CSsOmUVKmaA/ed"&amp;"it?gid=1761053510"",
          ""Haris_Form responses 1!$AQ:$AQ"")=6)
      ),
      1
    ),
    ""0""
  ),
  ""Form not found""
)
"),"Form not found")</f>
        <v>Form not found</v>
      </c>
      <c r="BD51" s="293"/>
    </row>
    <row r="52">
      <c r="A52" s="283" t="str">
        <f>IFERROR(__xludf.DUMMYFUNCTION("VLOOKUP($B52,IMPORTRANGE(""https://docs.google.com/spreadsheets/d/1VNXDITjs75AcgdBSW27oL1VZH31udDprJSsBcE5xlp4/edit?gid=1551188038#gid=1551188038"", ""Sheet9!$B:$E""),2,false)"),"Lahore")</f>
        <v>Lahore</v>
      </c>
      <c r="B52" s="283" t="s">
        <v>4533</v>
      </c>
      <c r="C52" s="284" t="str">
        <f>IFERROR(__xludf.DUMMYFUNCTION("VLOOKUP(TRIM($B52), IMPORTRANGE(""https://docs.google.com/spreadsheets/d/1aSOrU4PTpuBZqfitKaH1Rfww6-YOiNCKoBpPl8XBHaw/edit?gid=0#gid=0"", ""sheet3!$B:$C""), 2, FALSE)
"),"Jamia Masjid Noor Emaan Wali Kashmri Bazar Lahore")</f>
        <v>Jamia Masjid Noor Emaan Wali Kashmri Bazar Lahore</v>
      </c>
      <c r="D52" s="284" t="str">
        <f>IFERROR(__xludf.DUMMYFUNCTION("IFERROR(
  INDEX(
    FILTER(
      IMPORTRANGE(""1aSOrU4PTpuBZqfitKaH1Rfww6-YOiNCKoBpPl8XBHaw/edit?gid=0#gid=0"",""Sheet1!G:G""),
      IMPORTRANGE(""1aSOrU4PTpuBZqfitKaH1Rfww6-YOiNCKoBpPl8XBHaw/edit?gid=0#gid=0"",""Sheet1!C:C"")=$B52
    ),
    1
  ),
 "&amp;" ""Not Found""
)"),"Women Religious No Info Share")</f>
        <v>Women Religious No Info Share</v>
      </c>
      <c r="E52" s="284" t="str">
        <f>VLOOKUP(B52,'Juma Recording forms'!A:E,5,false)</f>
        <v>Jamia Masjid Noor Emaan Wali</v>
      </c>
      <c r="F52" s="284" t="str">
        <f>IFERROR(__xludf.DUMMYFUNCTION("IFERROR(
  INDEX(
    FILTER(
      IMPORTRANGE(""1Cxrhp3-_-HS7v9uuqQliiIfrmMP4VaFoDNDWyUFy2J8/edit?gid=0#gid=0"",""Sheet1!Q:Q""),
      IMPORTRANGE(""1Cxrhp3-_-HS7v9uuqQliiIfrmMP4VaFoDNDWyUFy2J8/edit?gid=0#gid=0"",""Sheet1!K:K"")=$B52
    ),
    1
  ),
 "&amp;" ""Not Found""
)"),"Not Found")</f>
        <v>Not Found</v>
      </c>
      <c r="G52" s="284"/>
      <c r="H52" s="284"/>
      <c r="I52" s="285"/>
      <c r="J52" s="286">
        <v>2.0</v>
      </c>
      <c r="K52" s="287" t="str">
        <f>VLOOKUP($B52,'Mosque Locations'!$A:$E,3,FALSE)
</f>
        <v>https://maps.google.com/maps?q=31.5834478%2C74.3211755&amp;z=17&amp;hl=en</v>
      </c>
      <c r="L52" s="286">
        <f>VLOOKUP($B52,'Mosque Locations'!$A:$E,4,FALSE)
</f>
        <v>31.5834478</v>
      </c>
      <c r="M52" s="286">
        <f>VLOOKUP($B52,'Mosque Locations'!$A:$E,5,false)</f>
        <v>74.3211755</v>
      </c>
      <c r="N52" s="288"/>
      <c r="O52" s="288"/>
      <c r="P52" s="288"/>
      <c r="Q52" s="294" t="str">
        <f>IFERROR(__xludf.DUMMYFUNCTION("IFERROR(
  INDEX(
    FILTER(
      IMPORTRANGE(""1SnQ_YxUmBUYKsKc82GyPPovLO-EPrfZxsJ0V0UbhezI/edit?gid=590869320#gid=590869320"",""Form Responses 1!AB:AB""),
      IMPORTRANGE(""1SnQ_YxUmBUYKsKc82GyPPovLO-EPrfZxsJ0V0UbhezI/edit?gid=590869320#gid=59086932"&amp;"0"",""Form Responses 1!E:E"")=$B52
    ),
    1
  ),
  ""Not Found""
)"),"https://drive.google.com/open?id=19qWJTPblKN5qGD4KzFhfq2SO0yFbKsq_, https://drive.google.com/open?id=1mfqsxnRVIUxFQMYApjSOa2tnSVdzacqV, https://drive.google.com/open?id=1HjkwZbUozozKJSk-J9-p-BOHZLfOD7fb, https://drive.google.com/open?id=1VwXSaCHUeNrndzJKd"&amp;"EyrlgKL_1J3wIHy, https://drive.google.com/open?id=1SQCumJvFhpLDS23rYZn0mufyyXsRkFoG")</f>
        <v>https://drive.google.com/open?id=19qWJTPblKN5qGD4KzFhfq2SO0yFbKsq_, https://drive.google.com/open?id=1mfqsxnRVIUxFQMYApjSOa2tnSVdzacqV, https://drive.google.com/open?id=1HjkwZbUozozKJSk-J9-p-BOHZLfOD7fb, https://drive.google.com/open?id=1VwXSaCHUeNrndzJKdEyrlgKL_1J3wIHy, https://drive.google.com/open?id=1SQCumJvFhpLDS23rYZn0mufyyXsRkFoG</v>
      </c>
      <c r="R52" s="295" t="str">
        <f>IFERROR(__xludf.DUMMYFUNCTION("IFERROR(
  INDEX(
    FILTER(
      IMPORTRANGE(""1SnQ_YxUmBUYKsKc82GyPPovLO-EPrfZxsJ0V0UbhezI"",""Form Responses 1!AA:AA""),
      TRIM(IMPORTRANGE(""1SnQ_YxUmBUYKsKc82GyPPovLO-EPrfZxsJ0V0UbhezI"",""Form Responses 1!E:E""))=TRIM($B52)
    ),
    1
  ),
 "&amp;" ""Not Found""
)
"),"https://drive.google.com/open?id=1MBDSG4Sjh7PFJk_mBSZ4cAODRQKaQHYy")</f>
        <v>https://drive.google.com/open?id=1MBDSG4Sjh7PFJk_mBSZ4cAODRQKaQHYy</v>
      </c>
      <c r="S52" s="285"/>
      <c r="T52" s="290" t="str">
        <f>VLOOKUP($B52,'Master Tracker'!$D:$E,2,false)</f>
        <v>https://drive.google.com/open?id=10sWc5-n4napXsYsMN3LSHmHgcXloioee</v>
      </c>
      <c r="U52" s="291" t="str">
        <f>VLOOKUP($B52,'Master Tracker'!$D:$T,4,FALSE)
</f>
        <v>https://drive.google.com/open?id=1jD0jHzkqi7mFiALo_dIVNCqSQs5YIe5H</v>
      </c>
      <c r="V52" s="290" t="str">
        <f>VLOOKUP($B52,'Master Tracker'!$D:$T,5,false)</f>
        <v>https://drive.google.com/open?id=1AXg2St0N26WfkkCwMtI0d8CI1LiIWtNT</v>
      </c>
      <c r="W52" s="291" t="str">
        <f>VLOOKUP($B52,'Master Tracker'!$D:$T,7,false)</f>
        <v>https://drive.google.com/open?id=1C-eHhc2JEyFrFU7q6_T12Am-rlE4iqEp</v>
      </c>
      <c r="X52" s="290" t="str">
        <f>VLOOKUP($B52,'Master Tracker'!$D:$T,8,false)</f>
        <v>https://drive.google.com/open?id=1aI1lllkcvF2FsGcX1HbcORYwNgKf6RvR</v>
      </c>
      <c r="Y52" s="291" t="str">
        <f>VLOOKUP($B52,'Master Tracker'!$D:$T,10,false)</f>
        <v>https://drive.google.com/open?id=1-NxnkksGkHl3KHMbk4743Vx4x1kHH44n</v>
      </c>
      <c r="Z52" s="284" t="str">
        <f>VLOOKUP($B52,'Master Tracker'!$D:$T,11,false)</f>
        <v>Not Found</v>
      </c>
      <c r="AA52" s="292" t="str">
        <f>VLOOKUP($B52,'Master Tracker'!$D:$T,13,false)</f>
        <v>Not Found</v>
      </c>
      <c r="AB52" s="284" t="str">
        <f>VLOOKUP($B52,'Master Tracker'!$D:$T,14,false)</f>
        <v>Not Found</v>
      </c>
      <c r="AC52" s="292" t="str">
        <f>VLOOKUP($B52,'Master Tracker'!$D:$T,16,false)</f>
        <v>Not Found</v>
      </c>
      <c r="AD52" s="292" t="str">
        <f>VLOOKUP($B52,'Master Tracker'!$D:$T,17,false)</f>
        <v>Not Found</v>
      </c>
      <c r="AE52" s="292" t="str">
        <f>VLOOKUP($B52,'Master Tracker'!$D:$V,19,false)</f>
        <v>Not Found</v>
      </c>
      <c r="AF52" s="292">
        <f>IFERROR(__xludf.DUMMYFUNCTION("IFERROR(
  INDEX(
    FILTER(
      'Juma Recording forms'!$G:$G,
      TRIM('Juma Recording forms'!$F:$F) = TRIM($B52),
      'Juma Recording forms'!$AA:$AA = 1
    ),
    1
  ),
  ""Not Found""
)"),112.0)</f>
        <v>112</v>
      </c>
      <c r="AG52" s="292">
        <f>IFERROR(__xludf.DUMMYFUNCTION("IFERROR(
  INDEX(
    FILTER(
      'Juma Recording forms'!$G:$G,
      TRIM('Juma Recording forms'!$F:$F) = TRIM($B52),
      'Juma Recording forms'!$AA:$AA = 2
    ),
    1
  ),
  ""Not Found""
)"),105.0)</f>
        <v>105</v>
      </c>
      <c r="AH52" s="292">
        <f>IFERROR(__xludf.DUMMYFUNCTION("IFERROR(
  INDEX(
    FILTER(
      'Juma Recording forms'!$G:$G,
      TRIM('Juma Recording forms'!$F:$F) = TRIM($B52),
      'Juma Recording forms'!$AA:$AA = 3
    ),
    1
  ),
  ""Not Found""
)"),102.0)</f>
        <v>102</v>
      </c>
      <c r="AI52" s="292" t="str">
        <f>IFERROR(__xludf.DUMMYFUNCTION("IFERROR(
  INDEX(
    FILTER(
      'Juma Recording forms'!$G:$G,
      TRIM('Juma Recording forms'!$F:$F) = TRIM($B52),
      'Juma Recording forms'!$AA:$AA = 4
    ),
    1
  ),
  ""Not Found""
)"),"Not Found")</f>
        <v>Not Found</v>
      </c>
      <c r="AJ52" s="292" t="str">
        <f>IFERROR(__xludf.DUMMYFUNCTION("IFERROR(
  INDEX(
    FILTER(
      'Juma Recording forms'!$G:$G,
      TRIM('Juma Recording forms'!$F:$F) = TRIM($B52),
      'Juma Recording forms'!$AA:$AA = 5
    ),
    1
  ),
  ""Not Found""
)"),"Not Found")</f>
        <v>Not Found</v>
      </c>
      <c r="AK52" s="292" t="str">
        <f>IFERROR(__xludf.DUMMYFUNCTION("IFERROR(
  INDEX(
    FILTER(
      'Juma Recording forms'!$G:$G,
      TRIM('Juma Recording forms'!$F:$F) = TRIM($B52),
      'Juma Recording forms'!$AA:$AA = 6
    ),
    1
  ),
  ""Not Found""
)"),"Not Found")</f>
        <v>Not Found</v>
      </c>
      <c r="AL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1!$E:$E"")=$B52) *
        (IMPORTRANGE(""https://docs.google.com/spreadsheets/d/161aHT6vVT3SLneTKD19N5qVWtnj_jIT8CSsOmUVKmaA/ed"&amp;"it?gid=1761053510"",
          ""Haris_Form responses 1!$AQ:$AQ"")=1)
      ),
      1
    ),
    ""0""
  ),
  ""Form not found""
)
"),"10")</f>
        <v>10</v>
      </c>
      <c r="AM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1!$E:$E"")=$B52) *
        (IMPORTRANGE(""https://docs.google.com/spreadsheets/d/161aHT6vVT3SLneTKD19N5qVWtnj_jIT8CSsOmUVKmaA/ed"&amp;"it?gid=1761053510"",
          ""Haris_Form responses 1!$AQ:$AQ"")=2)
      ),
      1
    ),
    ""0""
  ),
  ""Form not found""
)
"),"10")</f>
        <v>10</v>
      </c>
      <c r="AN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1!$E:$E"")=$B52) *
        (IMPORTRANGE(""https://docs.google.com/spreadsheets/d/161aHT6vVT3SLneTKD19N5qVWtnj_jIT8CSsOmUVKmaA/ed"&amp;"it?gid=1761053510"",
          ""Haris_Form responses 1!$AQ:$AQ"")=3)
      ),
      1
    ),
    ""0""
  ),
  ""Form not found""
)
"),"0")</f>
        <v>0</v>
      </c>
      <c r="AO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1!$E:$E"")=$B52) *
        (IMPORTRANGE(""https://docs.google.com/spreadsheets/d/161aHT6vVT3SLneTKD19N5qVWtnj_jIT8CSsOmUVKmaA/ed"&amp;"it?gid=1761053510"",
          ""Haris_Form responses 1!$AQ:$AQ"")=4)
      ),
      1
    ),
    ""0""
  ),
  ""Form not found""
)
"),"Form not found")</f>
        <v>Form not found</v>
      </c>
      <c r="AP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1!$E:$E"")=$B52) *
        (IMPORTRANGE(""https://docs.google.com/spreadsheets/d/161aHT6vVT3SLneTKD19N5qVWtnj_jIT8CSsOmUVKmaA/ed"&amp;"it?gid=1761053510"",
          ""Haris_Form responses 1!$AQ:$AQ"")=5)
      ),
      1
    ),
    ""0""
  ),
  ""Form not found""
)
"),"Form not found")</f>
        <v>Form not found</v>
      </c>
      <c r="AQ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1!$E:$E"")=$B52) *
        (IMPORTRANGE(""https://docs.google.com/spreadsheets/d/161aHT6vVT3SLneTKD19N5qVWtnj_jIT8CSsOmUVKmaA/ed"&amp;"it?gid=1761053510"",
          ""Haris_Form responses 1!$AQ:$AQ"")=6)
      ),
      1
    ),
    ""0""
  ),
  ""Form not found""
)
"),"Form not found")</f>
        <v>Form not found</v>
      </c>
      <c r="AR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1!$E:$E"")=$B52) *
        (IMPORTRANGE(""https://docs.google.com/spreadsheets/d/161aHT6vVT3SLneTKD19N5qVWtnj_jIT8CSsOmUVKmaA/ed"&amp;"it?gid=1761053510"",
          ""Haris_Form responses 1!$AQ:$AQ"")=1)
      ),
      1
    ),
    ""0""
  ),
  ""Form not found""
)
"),"0")</f>
        <v>0</v>
      </c>
      <c r="AS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1!$E:$E"")=$B52) *
        (IMPORTRANGE(""https://docs.google.com/spreadsheets/d/161aHT6vVT3SLneTKD19N5qVWtnj_jIT8CSsOmUVKmaA/ed"&amp;"it?gid=1761053510"",
          ""Haris_Form responses 1!$AQ:$AQ"")=2)
      ),
      1
    ),
    ""0""
  ),
  ""Form not found""
)
"),"0")</f>
        <v>0</v>
      </c>
      <c r="AT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1!$E:$E"")=$B52) *
        (IMPORTRANGE(""https://docs.google.com/spreadsheets/d/161aHT6vVT3SLneTKD19N5qVWtnj_jIT8CSsOmUVKmaA/ed"&amp;"it?gid=1761053510"",
          ""Haris_Form responses 1!$AQ:$AQ"")=3)
      ),
      1
    ),
    ""0""
  ),
  ""Form not found""
)
"),"0")</f>
        <v>0</v>
      </c>
      <c r="AU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1!$E:$E"")=$B52) *
        (IMPORTRANGE(""https://docs.google.com/spreadsheets/d/161aHT6vVT3SLneTKD19N5qVWtnj_jIT8CSsOmUVKmaA/ed"&amp;"it?gid=1761053510"",
          ""Haris_Form responses 1!$AQ:$AQ"")=4)
      ),
      1
    ),
    ""0""
  ),
  ""Form not found""
)
"),"Form not found")</f>
        <v>Form not found</v>
      </c>
      <c r="AV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1!$E:$E"")=$B52) *
        (IMPORTRANGE(""https://docs.google.com/spreadsheets/d/161aHT6vVT3SLneTKD19N5qVWtnj_jIT8CSsOmUVKmaA/ed"&amp;"it?gid=1761053510"",
          ""Haris_Form responses 1!$AQ:$AQ"")=5)
      ),
      1
    ),
    ""0""
  ),
  ""Form not found""
)
"),"Form not found")</f>
        <v>Form not found</v>
      </c>
      <c r="AW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1!$E:$E"")=$B52) *
        (IMPORTRANGE(""https://docs.google.com/spreadsheets/d/161aHT6vVT3SLneTKD19N5qVWtnj_jIT8CSsOmUVKmaA/ed"&amp;"it?gid=1761053510"",
          ""Haris_Form responses 1!$AQ:$AQ"")=6)
      ),
      1
    ),
    ""0""
  ),
  ""Form not found""
)
"),"Form not found")</f>
        <v>Form not found</v>
      </c>
      <c r="AX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1!$E:$E"")=$B52) *
        (IMPORTRANGE(""https://docs.google.com/spreadsheets/d/161aHT6vVT3SLneTKD19N5qVWtnj_jIT8CSsOmUVKmaA/ed"&amp;"it?gid=1761053510"",
          ""Haris_Form responses 1!$AQ:$AQ"")=1)
      ),
      1
    ),
    ""0""
  ),
  ""Form not found""
)
"),"10")</f>
        <v>10</v>
      </c>
      <c r="AY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1!$E:$E"")=$B52) *
        (IMPORTRANGE(""https://docs.google.com/spreadsheets/d/161aHT6vVT3SLneTKD19N5qVWtnj_jIT8CSsOmUVKmaA/ed"&amp;"it?gid=1761053510"",
          ""Haris_Form responses 1!$AQ:$AQ"")=2)
      ),
      1
    ),
    ""0""
  ),
  ""Form not found""
)
"),"9")</f>
        <v>9</v>
      </c>
      <c r="AZ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1!$E:$E"")=$B52) *
        (IMPORTRANGE(""https://docs.google.com/spreadsheets/d/161aHT6vVT3SLneTKD19N5qVWtnj_jIT8CSsOmUVKmaA/ed"&amp;"it?gid=1761053510"",
          ""Haris_Form responses 1!$AQ:$AQ"")=3)
      ),
      1
    ),
    ""0""
  ),
  ""Form not found""
)
"),"0")</f>
        <v>0</v>
      </c>
      <c r="BA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1!$E:$E"")=$B52) *
        (IMPORTRANGE(""https://docs.google.com/spreadsheets/d/161aHT6vVT3SLneTKD19N5qVWtnj_jIT8CSsOmUVKmaA/ed"&amp;"it?gid=1761053510"",
          ""Haris_Form responses 1!$AQ:$AQ"")=4)
      ),
      1
    ),
    ""0""
  ),
  ""Form not found""
)
"),"Form not found")</f>
        <v>Form not found</v>
      </c>
      <c r="BB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1!$E:$E"")=$B52) *
        (IMPORTRANGE(""https://docs.google.com/spreadsheets/d/161aHT6vVT3SLneTKD19N5qVWtnj_jIT8CSsOmUVKmaA/ed"&amp;"it?gid=1761053510"",
          ""Haris_Form responses 1!$AQ:$AQ"")=5)
      ),
      1
    ),
    ""0""
  ),
  ""Form not found""
)
"),"Form not found")</f>
        <v>Form not found</v>
      </c>
      <c r="BC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1!$E:$E"")=$B52) *
        (IMPORTRANGE(""https://docs.google.com/spreadsheets/d/161aHT6vVT3SLneTKD19N5qVWtnj_jIT8CSsOmUVKmaA/ed"&amp;"it?gid=1761053510"",
          ""Haris_Form responses 1!$AQ:$AQ"")=6)
      ),
      1
    ),
    ""0""
  ),
  ""Form not found""
)
"),"Form not found")</f>
        <v>Form not found</v>
      </c>
      <c r="BD52" s="293"/>
    </row>
    <row r="53">
      <c r="A53" s="283" t="str">
        <f>IFERROR(__xludf.DUMMYFUNCTION("VLOOKUP($B53,IMPORTRANGE(""https://docs.google.com/spreadsheets/d/1VNXDITjs75AcgdBSW27oL1VZH31udDprJSsBcE5xlp4/edit?gid=1551188038#gid=1551188038"", ""Sheet9!$B:$E""),2,false)"),"Lahore")</f>
        <v>Lahore</v>
      </c>
      <c r="B53" s="283" t="s">
        <v>2810</v>
      </c>
      <c r="C53" s="284" t="str">
        <f>IFERROR(__xludf.DUMMYFUNCTION("VLOOKUP(TRIM($B53), IMPORTRANGE(""https://docs.google.com/spreadsheets/d/1aSOrU4PTpuBZqfitKaH1Rfww6-YOiNCKoBpPl8XBHaw/edit?gid=0#gid=0"", ""sheet3!$B:$C""), 2, FALSE)
"),"Jamia Masjid Chila Gah Tabha Fareed Lahore")</f>
        <v>Jamia Masjid Chila Gah Tabha Fareed Lahore</v>
      </c>
      <c r="D53" s="284" t="str">
        <f>IFERROR(__xludf.DUMMYFUNCTION("IFERROR(
  INDEX(
    FILTER(
      IMPORTRANGE(""1aSOrU4PTpuBZqfitKaH1Rfww6-YOiNCKoBpPl8XBHaw/edit?gid=0#gid=0"",""Sheet1!G:G""),
      IMPORTRANGE(""1aSOrU4PTpuBZqfitKaH1Rfww6-YOiNCKoBpPl8XBHaw/edit?gid=0#gid=0"",""Sheet1!C:C"")=$B53
    ),
    1
  ),
 "&amp;" ""Not Found""
)"),"Control")</f>
        <v>Control</v>
      </c>
      <c r="E53" s="284" t="str">
        <f>VLOOKUP(B53,'Juma Recording forms'!A:E,5,false)</f>
        <v>Jamia Masjid Chila Gah Tabha Fareed Lahore</v>
      </c>
      <c r="F53" s="284" t="str">
        <f>IFERROR(__xludf.DUMMYFUNCTION("IFERROR(
  INDEX(
    FILTER(
      IMPORTRANGE(""1Cxrhp3-_-HS7v9uuqQliiIfrmMP4VaFoDNDWyUFy2J8/edit?gid=0#gid=0"",""Sheet1!Q:Q""),
      IMPORTRANGE(""1Cxrhp3-_-HS7v9uuqQliiIfrmMP4VaFoDNDWyUFy2J8/edit?gid=0#gid=0"",""Sheet1!K:K"")=$B53
    ),
    1
  ),
 "&amp;" ""Not Found""
)"),"")</f>
        <v/>
      </c>
      <c r="G53" s="284"/>
      <c r="H53" s="284"/>
      <c r="I53" s="285"/>
      <c r="J53" s="286">
        <v>2.0</v>
      </c>
      <c r="K53" s="287" t="str">
        <f>VLOOKUP($B53,'Mosque Locations'!$A:$E,3,FALSE)
</f>
        <v>https://maps.google.com/maps?q=31.5742044%2C74.3040166&amp;z=17&amp;hl=en</v>
      </c>
      <c r="L53" s="286">
        <f>VLOOKUP($B53,'Mosque Locations'!$A:$E,4,FALSE)
</f>
        <v>31.5742</v>
      </c>
      <c r="M53" s="286">
        <f>VLOOKUP($B53,'Mosque Locations'!$A:$E,5,false)</f>
        <v>74.30402</v>
      </c>
      <c r="N53" s="288"/>
      <c r="O53" s="288"/>
      <c r="P53" s="288"/>
      <c r="Q53" s="289" t="str">
        <f>IFERROR(__xludf.DUMMYFUNCTION("IFERROR(
  INDEX(
    FILTER(
      IMPORTRANGE(""1SnQ_YxUmBUYKsKc82GyPPovLO-EPrfZxsJ0V0UbhezI/edit?gid=590869320#gid=590869320"",""Form Responses 1!AB:AB""),
      IMPORTRANGE(""1SnQ_YxUmBUYKsKc82GyPPovLO-EPrfZxsJ0V0UbhezI/edit?gid=590869320#gid=59086932"&amp;"0"",""Form Responses 1!E:E"")=$B53
    ),
    1
  ),
  ""Not Found""
)"),"https://drive.google.com/open?id=1qS1P1yo_u52C6euKkHYZKN7fDPFFfnS0")</f>
        <v>https://drive.google.com/open?id=1qS1P1yo_u52C6euKkHYZKN7fDPFFfnS0</v>
      </c>
      <c r="R53" s="289" t="str">
        <f>IFERROR(__xludf.DUMMYFUNCTION("IFERROR(
  INDEX(
    FILTER(
      IMPORTRANGE(""1SnQ_YxUmBUYKsKc82GyPPovLO-EPrfZxsJ0V0UbhezI"",""Form Responses 1!AA:AA""),
      TRIM(IMPORTRANGE(""1SnQ_YxUmBUYKsKc82GyPPovLO-EPrfZxsJ0V0UbhezI"",""Form Responses 1!E:E""))=TRIM($B53)
    ),
    1
  ),
 "&amp;" ""Not Found""
)
"),"https://drive.google.com/open?id=1xohUUxuKkWjqcnSP66Tz6ehkeInU3zsC")</f>
        <v>https://drive.google.com/open?id=1xohUUxuKkWjqcnSP66Tz6ehkeInU3zsC</v>
      </c>
      <c r="S53" s="285"/>
      <c r="T53" s="290" t="str">
        <f>VLOOKUP($B53,'Master Tracker'!$D:$E,2,false)</f>
        <v>https://drive.google.com/open?id=14s_s1TPKNFL8wI3hLRFX1yX5h55vjw7W</v>
      </c>
      <c r="U53" s="291" t="str">
        <f>VLOOKUP($B53,'Master Tracker'!$D:$T,4,FALSE)
</f>
        <v>https://drive.google.com/open?id=1iRHoG6RjIXvuDV6eRAd34Hsq0PKBPFTg</v>
      </c>
      <c r="V53" s="284" t="str">
        <f>VLOOKUP($B53,'Master Tracker'!$D:$T,5,false)</f>
        <v>Not Found</v>
      </c>
      <c r="W53" s="292" t="str">
        <f>VLOOKUP($B53,'Master Tracker'!$D:$T,7,false)</f>
        <v>Not Found</v>
      </c>
      <c r="X53" s="290" t="str">
        <f>VLOOKUP($B53,'Master Tracker'!$D:$T,8,false)</f>
        <v>https://drive.google.com/open?id=1dMgLhYglTQfqWQEeCWGsQnHaZXp3WIyk</v>
      </c>
      <c r="Y53" s="291" t="str">
        <f>VLOOKUP($B53,'Master Tracker'!$D:$T,10,false)</f>
        <v>https://drive.google.com/open?id=1PAjh4PJKWgMI4KgPWZ8P_ntUMZo_2xtv</v>
      </c>
      <c r="Z53" s="284" t="str">
        <f>VLOOKUP($B53,'Master Tracker'!$D:$T,11,false)</f>
        <v>Not Found</v>
      </c>
      <c r="AA53" s="292" t="str">
        <f>VLOOKUP($B53,'Master Tracker'!$D:$T,13,false)</f>
        <v>Not Found</v>
      </c>
      <c r="AB53" s="284" t="str">
        <f>VLOOKUP($B53,'Master Tracker'!$D:$T,14,false)</f>
        <v>Not Found</v>
      </c>
      <c r="AC53" s="292" t="str">
        <f>VLOOKUP($B53,'Master Tracker'!$D:$T,16,false)</f>
        <v>Not Found</v>
      </c>
      <c r="AD53" s="292" t="str">
        <f>VLOOKUP($B53,'Master Tracker'!$D:$T,17,false)</f>
        <v>Not Found</v>
      </c>
      <c r="AE53" s="292" t="str">
        <f>VLOOKUP($B53,'Master Tracker'!$D:$V,19,false)</f>
        <v>Not Found</v>
      </c>
      <c r="AF53" s="292">
        <f>IFERROR(__xludf.DUMMYFUNCTION("IFERROR(
  INDEX(
    FILTER(
      'Juma Recording forms'!$G:$G,
      TRIM('Juma Recording forms'!$F:$F) = TRIM($B53),
      'Juma Recording forms'!$AA:$AA = 1
    ),
    1
  ),
  ""Not Found""
)"),220.0)</f>
        <v>220</v>
      </c>
      <c r="AG53" s="292" t="str">
        <f>IFERROR(__xludf.DUMMYFUNCTION("IFERROR(
  INDEX(
    FILTER(
      'Juma Recording forms'!$G:$G,
      TRIM('Juma Recording forms'!$F:$F) = TRIM($B53),
      'Juma Recording forms'!$AA:$AA = 2
    ),
    1
  ),
  ""Not Found""
)"),"Not Found")</f>
        <v>Not Found</v>
      </c>
      <c r="AH53" s="292">
        <f>IFERROR(__xludf.DUMMYFUNCTION("IFERROR(
  INDEX(
    FILTER(
      'Juma Recording forms'!$G:$G,
      TRIM('Juma Recording forms'!$F:$F) = TRIM($B53),
      'Juma Recording forms'!$AA:$AA = 3
    ),
    1
  ),
  ""Not Found""
)"),255.0)</f>
        <v>255</v>
      </c>
      <c r="AI53" s="292" t="str">
        <f>IFERROR(__xludf.DUMMYFUNCTION("IFERROR(
  INDEX(
    FILTER(
      'Juma Recording forms'!$G:$G,
      TRIM('Juma Recording forms'!$F:$F) = TRIM($B53),
      'Juma Recording forms'!$AA:$AA = 4
    ),
    1
  ),
  ""Not Found""
)"),"Not Found")</f>
        <v>Not Found</v>
      </c>
      <c r="AJ53" s="292" t="str">
        <f>IFERROR(__xludf.DUMMYFUNCTION("IFERROR(
  INDEX(
    FILTER(
      'Juma Recording forms'!$G:$G,
      TRIM('Juma Recording forms'!$F:$F) = TRIM($B53),
      'Juma Recording forms'!$AA:$AA = 5
    ),
    1
  ),
  ""Not Found""
)"),"Not Found")</f>
        <v>Not Found</v>
      </c>
      <c r="AK53" s="292"/>
      <c r="AL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1!$E:$E"")=$B53) *
        (IMPORTRANGE(""https://docs.google.com/spreadsheets/d/161aHT6vVT3SLneTKD19N5qVWtnj_jIT8CSsOmUVKmaA/ed"&amp;"it?gid=1761053510"",
          ""Haris_Form responses 1!$AQ:$AQ"")=1)
      ),
      1
    ),
    ""0""
  ),
  ""Form not found""
)
"),"0")</f>
        <v>0</v>
      </c>
      <c r="AM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1!$E:$E"")=$B53) *
        (IMPORTRANGE(""https://docs.google.com/spreadsheets/d/161aHT6vVT3SLneTKD19N5qVWtnj_jIT8CSsOmUVKmaA/ed"&amp;"it?gid=1761053510"",
          ""Haris_Form responses 1!$AQ:$AQ"")=2)
      ),
      1
    ),
    ""0""
  ),
  ""Form not found""
)
"),"Form not found")</f>
        <v>Form not found</v>
      </c>
      <c r="AN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1!$E:$E"")=$B53) *
        (IMPORTRANGE(""https://docs.google.com/spreadsheets/d/161aHT6vVT3SLneTKD19N5qVWtnj_jIT8CSsOmUVKmaA/ed"&amp;"it?gid=1761053510"",
          ""Haris_Form responses 1!$AQ:$AQ"")=3)
      ),
      1
    ),
    ""0""
  ),
  ""Form not found""
)
"),"0")</f>
        <v>0</v>
      </c>
      <c r="AO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1!$E:$E"")=$B53) *
        (IMPORTRANGE(""https://docs.google.com/spreadsheets/d/161aHT6vVT3SLneTKD19N5qVWtnj_jIT8CSsOmUVKmaA/ed"&amp;"it?gid=1761053510"",
          ""Haris_Form responses 1!$AQ:$AQ"")=4)
      ),
      1
    ),
    ""0""
  ),
  ""Form not found""
)
"),"Form not found")</f>
        <v>Form not found</v>
      </c>
      <c r="AP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1!$E:$E"")=$B53) *
        (IMPORTRANGE(""https://docs.google.com/spreadsheets/d/161aHT6vVT3SLneTKD19N5qVWtnj_jIT8CSsOmUVKmaA/ed"&amp;"it?gid=1761053510"",
          ""Haris_Form responses 1!$AQ:$AQ"")=5)
      ),
      1
    ),
    ""0""
  ),
  ""Form not found""
)
"),"Form not found")</f>
        <v>Form not found</v>
      </c>
      <c r="AQ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1!$E:$E"")=$B53) *
        (IMPORTRANGE(""https://docs.google.com/spreadsheets/d/161aHT6vVT3SLneTKD19N5qVWtnj_jIT8CSsOmUVKmaA/ed"&amp;"it?gid=1761053510"",
          ""Haris_Form responses 1!$AQ:$AQ"")=6)
      ),
      1
    ),
    ""0""
  ),
  ""Form not found""
)
"),"Form not found")</f>
        <v>Form not found</v>
      </c>
      <c r="AR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1!$E:$E"")=$B53) *
        (IMPORTRANGE(""https://docs.google.com/spreadsheets/d/161aHT6vVT3SLneTKD19N5qVWtnj_jIT8CSsOmUVKmaA/ed"&amp;"it?gid=1761053510"",
          ""Haris_Form responses 1!$AQ:$AQ"")=1)
      ),
      1
    ),
    ""0""
  ),
  ""Form not found""
)
"),"0")</f>
        <v>0</v>
      </c>
      <c r="AS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1!$E:$E"")=$B53) *
        (IMPORTRANGE(""https://docs.google.com/spreadsheets/d/161aHT6vVT3SLneTKD19N5qVWtnj_jIT8CSsOmUVKmaA/ed"&amp;"it?gid=1761053510"",
          ""Haris_Form responses 1!$AQ:$AQ"")=2)
      ),
      1
    ),
    ""0""
  ),
  ""Form not found""
)
"),"Form not found")</f>
        <v>Form not found</v>
      </c>
      <c r="AT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1!$E:$E"")=$B53) *
        (IMPORTRANGE(""https://docs.google.com/spreadsheets/d/161aHT6vVT3SLneTKD19N5qVWtnj_jIT8CSsOmUVKmaA/ed"&amp;"it?gid=1761053510"",
          ""Haris_Form responses 1!$AQ:$AQ"")=3)
      ),
      1
    ),
    ""0""
  ),
  ""Form not found""
)
"),"0")</f>
        <v>0</v>
      </c>
      <c r="AU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1!$E:$E"")=$B53) *
        (IMPORTRANGE(""https://docs.google.com/spreadsheets/d/161aHT6vVT3SLneTKD19N5qVWtnj_jIT8CSsOmUVKmaA/ed"&amp;"it?gid=1761053510"",
          ""Haris_Form responses 1!$AQ:$AQ"")=4)
      ),
      1
    ),
    ""0""
  ),
  ""Form not found""
)
"),"Form not found")</f>
        <v>Form not found</v>
      </c>
      <c r="AV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1!$E:$E"")=$B53) *
        (IMPORTRANGE(""https://docs.google.com/spreadsheets/d/161aHT6vVT3SLneTKD19N5qVWtnj_jIT8CSsOmUVKmaA/ed"&amp;"it?gid=1761053510"",
          ""Haris_Form responses 1!$AQ:$AQ"")=5)
      ),
      1
    ),
    ""0""
  ),
  ""Form not found""
)
"),"Form not found")</f>
        <v>Form not found</v>
      </c>
      <c r="AW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1!$E:$E"")=$B53) *
        (IMPORTRANGE(""https://docs.google.com/spreadsheets/d/161aHT6vVT3SLneTKD19N5qVWtnj_jIT8CSsOmUVKmaA/ed"&amp;"it?gid=1761053510"",
          ""Haris_Form responses 1!$AQ:$AQ"")=6)
      ),
      1
    ),
    ""0""
  ),
  ""Form not found""
)
"),"Form not found")</f>
        <v>Form not found</v>
      </c>
      <c r="AX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1!$E:$E"")=$B53) *
        (IMPORTRANGE(""https://docs.google.com/spreadsheets/d/161aHT6vVT3SLneTKD19N5qVWtnj_jIT8CSsOmUVKmaA/ed"&amp;"it?gid=1761053510"",
          ""Haris_Form responses 1!$AQ:$AQ"")=1)
      ),
      1
    ),
    ""0""
  ),
  ""Form not found""
)
"),"4")</f>
        <v>4</v>
      </c>
      <c r="AY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1!$E:$E"")=$B53) *
        (IMPORTRANGE(""https://docs.google.com/spreadsheets/d/161aHT6vVT3SLneTKD19N5qVWtnj_jIT8CSsOmUVKmaA/ed"&amp;"it?gid=1761053510"",
          ""Haris_Form responses 1!$AQ:$AQ"")=2)
      ),
      1
    ),
    ""0""
  ),
  ""Form not found""
)
"),"Form not found")</f>
        <v>Form not found</v>
      </c>
      <c r="AZ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1!$E:$E"")=$B53) *
        (IMPORTRANGE(""https://docs.google.com/spreadsheets/d/161aHT6vVT3SLneTKD19N5qVWtnj_jIT8CSsOmUVKmaA/ed"&amp;"it?gid=1761053510"",
          ""Haris_Form responses 1!$AQ:$AQ"")=3)
      ),
      1
    ),
    ""0""
  ),
  ""Form not found""
)
"),"0")</f>
        <v>0</v>
      </c>
      <c r="BA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1!$E:$E"")=$B53) *
        (IMPORTRANGE(""https://docs.google.com/spreadsheets/d/161aHT6vVT3SLneTKD19N5qVWtnj_jIT8CSsOmUVKmaA/ed"&amp;"it?gid=1761053510"",
          ""Haris_Form responses 1!$AQ:$AQ"")=4)
      ),
      1
    ),
    ""0""
  ),
  ""Form not found""
)
"),"Form not found")</f>
        <v>Form not found</v>
      </c>
      <c r="BB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1!$E:$E"")=$B53) *
        (IMPORTRANGE(""https://docs.google.com/spreadsheets/d/161aHT6vVT3SLneTKD19N5qVWtnj_jIT8CSsOmUVKmaA/ed"&amp;"it?gid=1761053510"",
          ""Haris_Form responses 1!$AQ:$AQ"")=5)
      ),
      1
    ),
    ""0""
  ),
  ""Form not found""
)
"),"Form not found")</f>
        <v>Form not found</v>
      </c>
      <c r="BC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1!$E:$E"")=$B53) *
        (IMPORTRANGE(""https://docs.google.com/spreadsheets/d/161aHT6vVT3SLneTKD19N5qVWtnj_jIT8CSsOmUVKmaA/ed"&amp;"it?gid=1761053510"",
          ""Haris_Form responses 1!$AQ:$AQ"")=6)
      ),
      1
    ),
    ""0""
  ),
  ""Form not found""
)
"),"Form not found")</f>
        <v>Form not found</v>
      </c>
      <c r="BD53" s="293"/>
    </row>
    <row r="54">
      <c r="A54" s="283" t="str">
        <f>IFERROR(__xludf.DUMMYFUNCTION("VLOOKUP($B54,IMPORTRANGE(""https://docs.google.com/spreadsheets/d/1VNXDITjs75AcgdBSW27oL1VZH31udDprJSsBcE5xlp4/edit?gid=1551188038#gid=1551188038"", ""Sheet9!$B:$E""),2,false)"),"Lahore")</f>
        <v>Lahore</v>
      </c>
      <c r="B54" s="283" t="s">
        <v>3168</v>
      </c>
      <c r="C54" s="284" t="str">
        <f>IFERROR(__xludf.DUMMYFUNCTION("VLOOKUP(TRIM($B54), IMPORTRANGE(""https://docs.google.com/spreadsheets/d/1aSOrU4PTpuBZqfitKaH1Rfww6-YOiNCKoBpPl8XBHaw/edit?gid=0#gid=0"", ""sheet3!$B:$C""), 2, FALSE)
"),"Jamia Masjid Unchee Laal Kuh Mochi Darwaza Lahore")</f>
        <v>Jamia Masjid Unchee Laal Kuh Mochi Darwaza Lahore</v>
      </c>
      <c r="D54" s="284" t="str">
        <f>IFERROR(__xludf.DUMMYFUNCTION("IFERROR(
  INDEX(
    FILTER(
      IMPORTRANGE(""1aSOrU4PTpuBZqfitKaH1Rfww6-YOiNCKoBpPl8XBHaw/edit?gid=0#gid=0"",""Sheet1!G:G""),
      IMPORTRANGE(""1aSOrU4PTpuBZqfitKaH1Rfww6-YOiNCKoBpPl8XBHaw/edit?gid=0#gid=0"",""Sheet1!C:C"")=$B54
    ),
    1
  ),
 "&amp;" ""Not Found""
)"),"Women Religious No Info Share")</f>
        <v>Women Religious No Info Share</v>
      </c>
      <c r="E54" s="284" t="str">
        <f>VLOOKUP(B54,'Juma Recording forms'!A:E,5,false)</f>
        <v>Jamia Masjid Unchee Laal Kuh</v>
      </c>
      <c r="F54" s="284" t="str">
        <f>IFERROR(__xludf.DUMMYFUNCTION("IFERROR(
  INDEX(
    FILTER(
      IMPORTRANGE(""1Cxrhp3-_-HS7v9uuqQliiIfrmMP4VaFoDNDWyUFy2J8/edit?gid=0#gid=0"",""Sheet1!Q:Q""),
      IMPORTRANGE(""1Cxrhp3-_-HS7v9uuqQliiIfrmMP4VaFoDNDWyUFy2J8/edit?gid=0#gid=0"",""Sheet1!K:K"")=$B54
    ),
    1
  ),
 "&amp;" ""Not Found""
)"),"Hafiz Muhammad Waseem")</f>
        <v>Hafiz Muhammad Waseem</v>
      </c>
      <c r="G54" s="284">
        <v>1970.0</v>
      </c>
      <c r="H54" s="284"/>
      <c r="I54" s="285"/>
      <c r="J54" s="286">
        <v>2.0</v>
      </c>
      <c r="K54" s="287" t="str">
        <f>VLOOKUP($B54,'Mosque Locations'!$A:$E,3,FALSE)
</f>
        <v>https://maps.google.com/maps?q=31.5782971%2C74.3222366&amp;z=17&amp;hl=en</v>
      </c>
      <c r="L54" s="286">
        <f>VLOOKUP($B54,'Mosque Locations'!$A:$E,4,FALSE)
</f>
        <v>31.5782971</v>
      </c>
      <c r="M54" s="286">
        <f>VLOOKUP($B54,'Mosque Locations'!$A:$E,5,false)</f>
        <v>74.3222366</v>
      </c>
      <c r="N54" s="288"/>
      <c r="O54" s="288"/>
      <c r="P54" s="288"/>
      <c r="Q54" s="295" t="str">
        <f>IFERROR(__xludf.DUMMYFUNCTION("IFERROR(
  INDEX(
    FILTER(
      IMPORTRANGE(""1SnQ_YxUmBUYKsKc82GyPPovLO-EPrfZxsJ0V0UbhezI/edit?gid=590869320#gid=590869320"",""Form Responses 1!AB:AB""),
      IMPORTRANGE(""1SnQ_YxUmBUYKsKc82GyPPovLO-EPrfZxsJ0V0UbhezI/edit?gid=590869320#gid=59086932"&amp;"0"",""Form Responses 1!E:E"")=$B54
    ),
    1
  ),
  ""Not Found""
)"),"https://drive.google.com/file/d/1EAEFtnaCVb6rXTQOq7gECS77MPRxQQXN/view")</f>
        <v>https://drive.google.com/file/d/1EAEFtnaCVb6rXTQOq7gECS77MPRxQQXN/view</v>
      </c>
      <c r="R54" s="295" t="str">
        <f>IFERROR(__xludf.DUMMYFUNCTION("IFERROR(
  INDEX(
    FILTER(
      IMPORTRANGE(""1SnQ_YxUmBUYKsKc82GyPPovLO-EPrfZxsJ0V0UbhezI"",""Form Responses 1!AA:AA""),
      TRIM(IMPORTRANGE(""1SnQ_YxUmBUYKsKc82GyPPovLO-EPrfZxsJ0V0UbhezI"",""Form Responses 1!E:E""))=TRIM($B54)
    ),
    1
  ),
 "&amp;" ""Not Found""
)
"),"https://drive.google.com/file/d/1PuHIx6y2GTICmfaDE4lrlJV0bamgkRDb/view")</f>
        <v>https://drive.google.com/file/d/1PuHIx6y2GTICmfaDE4lrlJV0bamgkRDb/view</v>
      </c>
      <c r="S54" s="285"/>
      <c r="T54" s="290" t="str">
        <f>VLOOKUP($B54,'Master Tracker'!$D:$E,2,false)</f>
        <v>https://drive.google.com/open?id=1hTbwtKwdS6PakGRLv7hVOhS7QPBc3E0m</v>
      </c>
      <c r="U54" s="291" t="str">
        <f>VLOOKUP($B54,'Master Tracker'!$D:$T,4,FALSE)
</f>
        <v>https://drive.google.com/open?id=1hkFJo8MMqmu6zrFJylALE9U7VuNt6agj</v>
      </c>
      <c r="V54" s="290" t="str">
        <f>VLOOKUP($B54,'Master Tracker'!$D:$T,5,false)</f>
        <v>https://drive.google.com/open?id=1XtIMKP4DZyVduAae4ESBSeJajMP_LQem</v>
      </c>
      <c r="W54" s="291" t="str">
        <f>VLOOKUP($B54,'Master Tracker'!$D:$T,7,false)</f>
        <v>https://drive.google.com/open?id=1wSzRokkb8g0TiF5pCYRVaiNC45EA_Zqm</v>
      </c>
      <c r="X54" s="290" t="str">
        <f>VLOOKUP($B54,'Master Tracker'!$D:$T,8,false)</f>
        <v>https://drive.google.com/open?id=1SvmaCo-C2Z7CCyQ5qjJUCgZDFXmha1rK</v>
      </c>
      <c r="Y54" s="291" t="str">
        <f>VLOOKUP($B54,'Master Tracker'!$D:$T,10,false)</f>
        <v>https://drive.google.com/open?id=1kXpAmvrmIKwEHXU2A3wocVtyKJ0onczQ</v>
      </c>
      <c r="Z54" s="284" t="str">
        <f>VLOOKUP($B54,'Master Tracker'!$D:$T,11,false)</f>
        <v>Not Found</v>
      </c>
      <c r="AA54" s="292" t="str">
        <f>VLOOKUP($B54,'Master Tracker'!$D:$T,13,false)</f>
        <v>Not Found</v>
      </c>
      <c r="AB54" s="284" t="str">
        <f>VLOOKUP($B54,'Master Tracker'!$D:$T,14,false)</f>
        <v>Not Found</v>
      </c>
      <c r="AC54" s="292" t="str">
        <f>VLOOKUP($B54,'Master Tracker'!$D:$T,16,false)</f>
        <v>Not Found</v>
      </c>
      <c r="AD54" s="292" t="str">
        <f>VLOOKUP($B54,'Master Tracker'!$D:$T,17,false)</f>
        <v>Not Found</v>
      </c>
      <c r="AE54" s="292" t="str">
        <f>VLOOKUP($B54,'Master Tracker'!$D:$V,19,false)</f>
        <v>Not Found</v>
      </c>
      <c r="AF54" s="292">
        <f>IFERROR(__xludf.DUMMYFUNCTION("IFERROR(
  INDEX(
    FILTER(
      'Juma Recording forms'!$G:$G,
      TRIM('Juma Recording forms'!$F:$F) = TRIM($B54),
      'Juma Recording forms'!$AA:$AA = 1
    ),
    1
  ),
  ""Not Found""
)"),145.0)</f>
        <v>145</v>
      </c>
      <c r="AG54" s="292">
        <f>IFERROR(__xludf.DUMMYFUNCTION("IFERROR(
  INDEX(
    FILTER(
      'Juma Recording forms'!$G:$G,
      TRIM('Juma Recording forms'!$F:$F) = TRIM($B54),
      'Juma Recording forms'!$AA:$AA = 2
    ),
    1
  ),
  ""Not Found""
)"),160.0)</f>
        <v>160</v>
      </c>
      <c r="AH54" s="292">
        <f>IFERROR(__xludf.DUMMYFUNCTION("IFERROR(
  INDEX(
    FILTER(
      'Juma Recording forms'!$G:$G,
      TRIM('Juma Recording forms'!$F:$F) = TRIM($B54),
      'Juma Recording forms'!$AA:$AA = 3
    ),
    1
  ),
  ""Not Found""
)"),135.0)</f>
        <v>135</v>
      </c>
      <c r="AI54" s="292" t="str">
        <f>IFERROR(__xludf.DUMMYFUNCTION("IFERROR(
  INDEX(
    FILTER(
      'Juma Recording forms'!$G:$G,
      TRIM('Juma Recording forms'!$F:$F) = TRIM($B54),
      'Juma Recording forms'!$AA:$AA = 4
    ),
    1
  ),
  ""Not Found""
)"),"Not Found")</f>
        <v>Not Found</v>
      </c>
      <c r="AJ54" s="292" t="str">
        <f>IFERROR(__xludf.DUMMYFUNCTION("IFERROR(
  INDEX(
    FILTER(
      'Juma Recording forms'!$G:$G,
      TRIM('Juma Recording forms'!$F:$F) = TRIM($B54),
      'Juma Recording forms'!$AA:$AA = 5
    ),
    1
  ),
  ""Not Found""
)"),"Not Found")</f>
        <v>Not Found</v>
      </c>
      <c r="AK54" s="292" t="str">
        <f>IFERROR(__xludf.DUMMYFUNCTION("IFERROR(
  INDEX(
    FILTER(
      'Juma Recording forms'!$G:$G,
      TRIM('Juma Recording forms'!$F:$F) = TRIM($B54),
      'Juma Recording forms'!$AA:$AA = 6
    ),
    1
  ),
  ""Not Found""
)"),"Not Found")</f>
        <v>Not Found</v>
      </c>
      <c r="AL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1!$E:$E"")=$B54) *
        (IMPORTRANGE(""https://docs.google.com/spreadsheets/d/161aHT6vVT3SLneTKD19N5qVWtnj_jIT8CSsOmUVKmaA/ed"&amp;"it?gid=1761053510"",
          ""Haris_Form responses 1!$AQ:$AQ"")=1)
      ),
      1
    ),
    ""0""
  ),
  ""Form not found""
)
"),"10")</f>
        <v>10</v>
      </c>
      <c r="AM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1!$E:$E"")=$B54) *
        (IMPORTRANGE(""https://docs.google.com/spreadsheets/d/161aHT6vVT3SLneTKD19N5qVWtnj_jIT8CSsOmUVKmaA/ed"&amp;"it?gid=1761053510"",
          ""Haris_Form responses 1!$AQ:$AQ"")=2)
      ),
      1
    ),
    ""0""
  ),
  ""Form not found""
)
"),"7")</f>
        <v>7</v>
      </c>
      <c r="AN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1!$E:$E"")=$B54) *
        (IMPORTRANGE(""https://docs.google.com/spreadsheets/d/161aHT6vVT3SLneTKD19N5qVWtnj_jIT8CSsOmUVKmaA/ed"&amp;"it?gid=1761053510"",
          ""Haris_Form responses 1!$AQ:$AQ"")=3)
      ),
      1
    ),
    ""0""
  ),
  ""Form not found""
)
"),"0")</f>
        <v>0</v>
      </c>
      <c r="AO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1!$E:$E"")=$B54) *
        (IMPORTRANGE(""https://docs.google.com/spreadsheets/d/161aHT6vVT3SLneTKD19N5qVWtnj_jIT8CSsOmUVKmaA/ed"&amp;"it?gid=1761053510"",
          ""Haris_Form responses 1!$AQ:$AQ"")=4)
      ),
      1
    ),
    ""0""
  ),
  ""Form not found""
)
"),"Form not found")</f>
        <v>Form not found</v>
      </c>
      <c r="AP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1!$E:$E"")=$B54) *
        (IMPORTRANGE(""https://docs.google.com/spreadsheets/d/161aHT6vVT3SLneTKD19N5qVWtnj_jIT8CSsOmUVKmaA/ed"&amp;"it?gid=1761053510"",
          ""Haris_Form responses 1!$AQ:$AQ"")=5)
      ),
      1
    ),
    ""0""
  ),
  ""Form not found""
)
"),"Form not found")</f>
        <v>Form not found</v>
      </c>
      <c r="AQ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1!$E:$E"")=$B54) *
        (IMPORTRANGE(""https://docs.google.com/spreadsheets/d/161aHT6vVT3SLneTKD19N5qVWtnj_jIT8CSsOmUVKmaA/ed"&amp;"it?gid=1761053510"",
          ""Haris_Form responses 1!$AQ:$AQ"")=6)
      ),
      1
    ),
    ""0""
  ),
  ""Form not found""
)
"),"Form not found")</f>
        <v>Form not found</v>
      </c>
      <c r="AR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1!$E:$E"")=$B54) *
        (IMPORTRANGE(""https://docs.google.com/spreadsheets/d/161aHT6vVT3SLneTKD19N5qVWtnj_jIT8CSsOmUVKmaA/ed"&amp;"it?gid=1761053510"",
          ""Haris_Form responses 1!$AQ:$AQ"")=1)
      ),
      1
    ),
    ""0""
  ),
  ""Form not found""
)
"),"0")</f>
        <v>0</v>
      </c>
      <c r="AS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1!$E:$E"")=$B54) *
        (IMPORTRANGE(""https://docs.google.com/spreadsheets/d/161aHT6vVT3SLneTKD19N5qVWtnj_jIT8CSsOmUVKmaA/ed"&amp;"it?gid=1761053510"",
          ""Haris_Form responses 1!$AQ:$AQ"")=2)
      ),
      1
    ),
    ""0""
  ),
  ""Form not found""
)
"),"0")</f>
        <v>0</v>
      </c>
      <c r="AT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1!$E:$E"")=$B54) *
        (IMPORTRANGE(""https://docs.google.com/spreadsheets/d/161aHT6vVT3SLneTKD19N5qVWtnj_jIT8CSsOmUVKmaA/ed"&amp;"it?gid=1761053510"",
          ""Haris_Form responses 1!$AQ:$AQ"")=3)
      ),
      1
    ),
    ""0""
  ),
  ""Form not found""
)
"),"0")</f>
        <v>0</v>
      </c>
      <c r="AU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1!$E:$E"")=$B54) *
        (IMPORTRANGE(""https://docs.google.com/spreadsheets/d/161aHT6vVT3SLneTKD19N5qVWtnj_jIT8CSsOmUVKmaA/ed"&amp;"it?gid=1761053510"",
          ""Haris_Form responses 1!$AQ:$AQ"")=4)
      ),
      1
    ),
    ""0""
  ),
  ""Form not found""
)
"),"Form not found")</f>
        <v>Form not found</v>
      </c>
      <c r="AV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1!$E:$E"")=$B54) *
        (IMPORTRANGE(""https://docs.google.com/spreadsheets/d/161aHT6vVT3SLneTKD19N5qVWtnj_jIT8CSsOmUVKmaA/ed"&amp;"it?gid=1761053510"",
          ""Haris_Form responses 1!$AQ:$AQ"")=5)
      ),
      1
    ),
    ""0""
  ),
  ""Form not found""
)
"),"Form not found")</f>
        <v>Form not found</v>
      </c>
      <c r="AW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1!$E:$E"")=$B54) *
        (IMPORTRANGE(""https://docs.google.com/spreadsheets/d/161aHT6vVT3SLneTKD19N5qVWtnj_jIT8CSsOmUVKmaA/ed"&amp;"it?gid=1761053510"",
          ""Haris_Form responses 1!$AQ:$AQ"")=6)
      ),
      1
    ),
    ""0""
  ),
  ""Form not found""
)
"),"Form not found")</f>
        <v>Form not found</v>
      </c>
      <c r="AX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1!$E:$E"")=$B54) *
        (IMPORTRANGE(""https://docs.google.com/spreadsheets/d/161aHT6vVT3SLneTKD19N5qVWtnj_jIT8CSsOmUVKmaA/ed"&amp;"it?gid=1761053510"",
          ""Haris_Form responses 1!$AQ:$AQ"")=1)
      ),
      1
    ),
    ""0""
  ),
  ""Form not found""
)
"),"10")</f>
        <v>10</v>
      </c>
      <c r="AY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1!$E:$E"")=$B54) *
        (IMPORTRANGE(""https://docs.google.com/spreadsheets/d/161aHT6vVT3SLneTKD19N5qVWtnj_jIT8CSsOmUVKmaA/ed"&amp;"it?gid=1761053510"",
          ""Haris_Form responses 1!$AQ:$AQ"")=2)
      ),
      1
    ),
    ""0""
  ),
  ""Form not found""
)
"),"7")</f>
        <v>7</v>
      </c>
      <c r="AZ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1!$E:$E"")=$B54) *
        (IMPORTRANGE(""https://docs.google.com/spreadsheets/d/161aHT6vVT3SLneTKD19N5qVWtnj_jIT8CSsOmUVKmaA/ed"&amp;"it?gid=1761053510"",
          ""Haris_Form responses 1!$AQ:$AQ"")=3)
      ),
      1
    ),
    ""0""
  ),
  ""Form not found""
)
"),"0")</f>
        <v>0</v>
      </c>
      <c r="BA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1!$E:$E"")=$B54) *
        (IMPORTRANGE(""https://docs.google.com/spreadsheets/d/161aHT6vVT3SLneTKD19N5qVWtnj_jIT8CSsOmUVKmaA/ed"&amp;"it?gid=1761053510"",
          ""Haris_Form responses 1!$AQ:$AQ"")=4)
      ),
      1
    ),
    ""0""
  ),
  ""Form not found""
)
"),"Form not found")</f>
        <v>Form not found</v>
      </c>
      <c r="BB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1!$E:$E"")=$B54) *
        (IMPORTRANGE(""https://docs.google.com/spreadsheets/d/161aHT6vVT3SLneTKD19N5qVWtnj_jIT8CSsOmUVKmaA/ed"&amp;"it?gid=1761053510"",
          ""Haris_Form responses 1!$AQ:$AQ"")=5)
      ),
      1
    ),
    ""0""
  ),
  ""Form not found""
)
"),"Form not found")</f>
        <v>Form not found</v>
      </c>
      <c r="BC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1!$E:$E"")=$B54) *
        (IMPORTRANGE(""https://docs.google.com/spreadsheets/d/161aHT6vVT3SLneTKD19N5qVWtnj_jIT8CSsOmUVKmaA/ed"&amp;"it?gid=1761053510"",
          ""Haris_Form responses 1!$AQ:$AQ"")=6)
      ),
      1
    ),
    ""0""
  ),
  ""Form not found""
)
"),"Form not found")</f>
        <v>Form not found</v>
      </c>
      <c r="BD54" s="293"/>
    </row>
    <row r="55">
      <c r="A55" s="283" t="str">
        <f>IFERROR(__xludf.DUMMYFUNCTION("VLOOKUP($B55,IMPORTRANGE(""https://docs.google.com/spreadsheets/d/1VNXDITjs75AcgdBSW27oL1VZH31udDprJSsBcE5xlp4/edit?gid=1551188038#gid=1551188038"", ""Sheet9!$B:$E""),2,false)"),"Lahore")</f>
        <v>Lahore</v>
      </c>
      <c r="B55" s="283" t="s">
        <v>4534</v>
      </c>
      <c r="C55" s="284" t="str">
        <f>IFERROR(__xludf.DUMMYFUNCTION("VLOOKUP(TRIM($B55), IMPORTRANGE(""https://docs.google.com/spreadsheets/d/1aSOrU4PTpuBZqfitKaH1Rfww6-YOiNCKoBpPl8XBHaw/edit?gid=0#gid=0"", ""sheet3!$B:$C""), 2, FALSE)
"),"Jamia Masjid Hanfiya Takiya Saduwah Lahore")</f>
        <v>Jamia Masjid Hanfiya Takiya Saduwah Lahore</v>
      </c>
      <c r="D55" s="284" t="str">
        <f>IFERROR(__xludf.DUMMYFUNCTION("IFERROR(
  INDEX(
    FILTER(
      IMPORTRANGE(""1aSOrU4PTpuBZqfitKaH1Rfww6-YOiNCKoBpPl8XBHaw/edit?gid=0#gid=0"",""Sheet1!G:G""),
      IMPORTRANGE(""1aSOrU4PTpuBZqfitKaH1Rfww6-YOiNCKoBpPl8XBHaw/edit?gid=0#gid=0"",""Sheet1!C:C"")=$B55
    ),
    1
  ),
 "&amp;" ""Not Found""
)"),"Community Religious No Info Share")</f>
        <v>Community Religious No Info Share</v>
      </c>
      <c r="E55" s="284" t="str">
        <f>VLOOKUP(B55,'Juma Recording forms'!A:E,5,false)</f>
        <v>Jamia masjid hanfia takia saduwah lahore</v>
      </c>
      <c r="F55" s="284" t="str">
        <f>IFERROR(__xludf.DUMMYFUNCTION("IFERROR(
  INDEX(
    FILTER(
      IMPORTRANGE(""1Cxrhp3-_-HS7v9uuqQliiIfrmMP4VaFoDNDWyUFy2J8/edit?gid=0#gid=0"",""Sheet1!Q:Q""),
      IMPORTRANGE(""1Cxrhp3-_-HS7v9uuqQliiIfrmMP4VaFoDNDWyUFy2J8/edit?gid=0#gid=0"",""Sheet1!K:K"")=$B55
    ),
    1
  ),
 "&amp;" ""Not Found""
)"),"Masood.ur.Rehman")</f>
        <v>Masood.ur.Rehman</v>
      </c>
      <c r="G55" s="284">
        <v>1955.0</v>
      </c>
      <c r="H55" s="284"/>
      <c r="I55" s="285"/>
      <c r="J55" s="286">
        <v>2.0</v>
      </c>
      <c r="K55" s="287" t="str">
        <f>VLOOKUP($B55,'Mosque Locations'!$A:$E,3,FALSE)
</f>
        <v>https://maps.google.com/maps?q=31.5813779%2C74.3214262&amp;z=17&amp;hl=en</v>
      </c>
      <c r="L55" s="286">
        <f>VLOOKUP($B55,'Mosque Locations'!$A:$E,4,FALSE)
</f>
        <v>31.5813779</v>
      </c>
      <c r="M55" s="286">
        <f>VLOOKUP($B55,'Mosque Locations'!$A:$E,5,false)</f>
        <v>74.3214262</v>
      </c>
      <c r="N55" s="288"/>
      <c r="O55" s="288"/>
      <c r="P55" s="288"/>
      <c r="Q55" s="289" t="str">
        <f>IFERROR(__xludf.DUMMYFUNCTION("IFERROR(
  INDEX(
    FILTER(
      IMPORTRANGE(""1SnQ_YxUmBUYKsKc82GyPPovLO-EPrfZxsJ0V0UbhezI/edit?gid=590869320#gid=590869320"",""Form Responses 1!AB:AB""),
      IMPORTRANGE(""1SnQ_YxUmBUYKsKc82GyPPovLO-EPrfZxsJ0V0UbhezI/edit?gid=590869320#gid=59086932"&amp;"0"",""Form Responses 1!E:E"")=$B55
    ),
    1
  ),
  ""Not Found""
)"),"https://drive.google.com/open?id=1szyDiDalkVvawHBIKN7rWUzqXxkooTfs")</f>
        <v>https://drive.google.com/open?id=1szyDiDalkVvawHBIKN7rWUzqXxkooTfs</v>
      </c>
      <c r="R55" s="296" t="str">
        <f>IFERROR(__xludf.DUMMYFUNCTION("IFERROR(
  INDEX(
    FILTER(
      IMPORTRANGE(""1SnQ_YxUmBUYKsKc82GyPPovLO-EPrfZxsJ0V0UbhezI"",""Form Responses 1!AA:AA""),
      TRIM(IMPORTRANGE(""1SnQ_YxUmBUYKsKc82GyPPovLO-EPrfZxsJ0V0UbhezI"",""Form Responses 1!E:E""))=TRIM($B55)
    ),
    1
  ),
 "&amp;" ""Not Found""
)
"),"https://drive.google.com/open?id=1t9OLpaWT0OqlHtHaDtWCBhL9547YkJp9")</f>
        <v>https://drive.google.com/open?id=1t9OLpaWT0OqlHtHaDtWCBhL9547YkJp9</v>
      </c>
      <c r="S55" s="285"/>
      <c r="T55" s="290" t="str">
        <f>VLOOKUP($B55,'Master Tracker'!$D:$E,2,false)</f>
        <v>https://drive.google.com/open?id=1pMLoBXMz0iwHYBtK8Dk5u5KY8akq-FI_</v>
      </c>
      <c r="U55" s="291" t="str">
        <f>VLOOKUP($B55,'Master Tracker'!$D:$T,4,FALSE)
</f>
        <v>https://drive.google.com/open?id=1D76QD3BECTn1SkV_gnBFwvbe66ETrZqP</v>
      </c>
      <c r="V55" s="290" t="str">
        <f>VLOOKUP($B55,'Master Tracker'!$D:$T,5,false)</f>
        <v>https://drive.google.com/open?id=1OxqiD7HDIVJuna4PoHuESDR9zQReS7L6</v>
      </c>
      <c r="W55" s="291" t="str">
        <f>VLOOKUP($B55,'Master Tracker'!$D:$T,7,false)</f>
        <v>https://drive.google.com/open?id=10SiDtrimX2lxDAsQgDgKwmAAzUwQitP3</v>
      </c>
      <c r="X55" s="290" t="str">
        <f>VLOOKUP($B55,'Master Tracker'!$D:$T,8,false)</f>
        <v>https://drive.google.com/open?id=1zixiE1mJAFFkz1xiFiaAzBYl6hlrUER7</v>
      </c>
      <c r="Y55" s="291" t="str">
        <f>VLOOKUP($B55,'Master Tracker'!$D:$T,10,false)</f>
        <v>https://drive.google.com/open?id=189TXpa3pPo0mNVfA2UZkiMxfXG3Sm8-O</v>
      </c>
      <c r="Z55" s="284" t="str">
        <f>VLOOKUP($B55,'Master Tracker'!$D:$T,11,false)</f>
        <v>Not Found</v>
      </c>
      <c r="AA55" s="292" t="str">
        <f>VLOOKUP($B55,'Master Tracker'!$D:$T,13,false)</f>
        <v>Not Found</v>
      </c>
      <c r="AB55" s="284" t="str">
        <f>VLOOKUP($B55,'Master Tracker'!$D:$T,14,false)</f>
        <v>Not Found</v>
      </c>
      <c r="AC55" s="292" t="str">
        <f>VLOOKUP($B55,'Master Tracker'!$D:$T,16,false)</f>
        <v>Not Found</v>
      </c>
      <c r="AD55" s="292" t="str">
        <f>VLOOKUP($B55,'Master Tracker'!$D:$T,17,false)</f>
        <v>Not Found</v>
      </c>
      <c r="AE55" s="292" t="str">
        <f>VLOOKUP($B55,'Master Tracker'!$D:$V,19,false)</f>
        <v>Not Found</v>
      </c>
      <c r="AF55" s="292">
        <f>IFERROR(__xludf.DUMMYFUNCTION("IFERROR(
  INDEX(
    FILTER(
      'Juma Recording forms'!$G:$G,
      TRIM('Juma Recording forms'!$F:$F) = TRIM($B55),
      'Juma Recording forms'!$AA:$AA = 1
    ),
    1
  ),
  ""Not Found""
)"),230.0)</f>
        <v>230</v>
      </c>
      <c r="AG55" s="292">
        <f>IFERROR(__xludf.DUMMYFUNCTION("IFERROR(
  INDEX(
    FILTER(
      'Juma Recording forms'!$G:$G,
      TRIM('Juma Recording forms'!$F:$F) = TRIM($B55),
      'Juma Recording forms'!$AA:$AA = 2
    ),
    1
  ),
  ""Not Found""
)"),220.0)</f>
        <v>220</v>
      </c>
      <c r="AH55" s="292">
        <f>IFERROR(__xludf.DUMMYFUNCTION("IFERROR(
  INDEX(
    FILTER(
      'Juma Recording forms'!$G:$G,
      TRIM('Juma Recording forms'!$F:$F) = TRIM($B55),
      'Juma Recording forms'!$AA:$AA = 3
    ),
    1
  ),
  ""Not Found""
)"),215.0)</f>
        <v>215</v>
      </c>
      <c r="AI55" s="292" t="str">
        <f>IFERROR(__xludf.DUMMYFUNCTION("IFERROR(
  INDEX(
    FILTER(
      'Juma Recording forms'!$G:$G,
      TRIM('Juma Recording forms'!$F:$F) = TRIM($B55),
      'Juma Recording forms'!$AA:$AA = 4
    ),
    1
  ),
  ""Not Found""
)"),"Not Found")</f>
        <v>Not Found</v>
      </c>
      <c r="AJ55" s="292" t="str">
        <f>IFERROR(__xludf.DUMMYFUNCTION("IFERROR(
  INDEX(
    FILTER(
      'Juma Recording forms'!$G:$G,
      TRIM('Juma Recording forms'!$F:$F) = TRIM($B55),
      'Juma Recording forms'!$AA:$AA = 5
    ),
    1
  ),
  ""Not Found""
)"),"Not Found")</f>
        <v>Not Found</v>
      </c>
      <c r="AK55" s="292" t="str">
        <f>IFERROR(__xludf.DUMMYFUNCTION("IFERROR(
  INDEX(
    FILTER(
      'Juma Recording forms'!$G:$G,
      TRIM('Juma Recording forms'!$F:$F) = TRIM($B55),
      'Juma Recording forms'!$AA:$AA = 6
    ),
    1
  ),
  ""Not Found""
)"),"Not Found")</f>
        <v>Not Found</v>
      </c>
      <c r="AL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1!$E:$E"")=$B55) *
        (IMPORTRANGE(""https://docs.google.com/spreadsheets/d/161aHT6vVT3SLneTKD19N5qVWtnj_jIT8CSsOmUVKmaA/ed"&amp;"it?gid=1761053510"",
          ""Haris_Form responses 1!$AQ:$AQ"")=1)
      ),
      1
    ),
    ""0""
  ),
  ""Form not found""
)
"),"7")</f>
        <v>7</v>
      </c>
      <c r="AM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1!$E:$E"")=$B55) *
        (IMPORTRANGE(""https://docs.google.com/spreadsheets/d/161aHT6vVT3SLneTKD19N5qVWtnj_jIT8CSsOmUVKmaA/ed"&amp;"it?gid=1761053510"",
          ""Haris_Form responses 1!$AQ:$AQ"")=2)
      ),
      1
    ),
    ""0""
  ),
  ""Form not found""
)
"),"10")</f>
        <v>10</v>
      </c>
      <c r="AN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1!$E:$E"")=$B55) *
        (IMPORTRANGE(""https://docs.google.com/spreadsheets/d/161aHT6vVT3SLneTKD19N5qVWtnj_jIT8CSsOmUVKmaA/ed"&amp;"it?gid=1761053510"",
          ""Haris_Form responses 1!$AQ:$AQ"")=3)
      ),
      1
    ),
    ""0""
  ),
  ""Form not found""
)
"),"0")</f>
        <v>0</v>
      </c>
      <c r="AO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1!$E:$E"")=$B55) *
        (IMPORTRANGE(""https://docs.google.com/spreadsheets/d/161aHT6vVT3SLneTKD19N5qVWtnj_jIT8CSsOmUVKmaA/ed"&amp;"it?gid=1761053510"",
          ""Haris_Form responses 1!$AQ:$AQ"")=4)
      ),
      1
    ),
    ""0""
  ),
  ""Form not found""
)
"),"Form not found")</f>
        <v>Form not found</v>
      </c>
      <c r="AP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1!$E:$E"")=$B55) *
        (IMPORTRANGE(""https://docs.google.com/spreadsheets/d/161aHT6vVT3SLneTKD19N5qVWtnj_jIT8CSsOmUVKmaA/ed"&amp;"it?gid=1761053510"",
          ""Haris_Form responses 1!$AQ:$AQ"")=5)
      ),
      1
    ),
    ""0""
  ),
  ""Form not found""
)
"),"Form not found")</f>
        <v>Form not found</v>
      </c>
      <c r="AQ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1!$E:$E"")=$B55) *
        (IMPORTRANGE(""https://docs.google.com/spreadsheets/d/161aHT6vVT3SLneTKD19N5qVWtnj_jIT8CSsOmUVKmaA/ed"&amp;"it?gid=1761053510"",
          ""Haris_Form responses 1!$AQ:$AQ"")=6)
      ),
      1
    ),
    ""0""
  ),
  ""Form not found""
)
"),"Form not found")</f>
        <v>Form not found</v>
      </c>
      <c r="AR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1!$E:$E"")=$B55) *
        (IMPORTRANGE(""https://docs.google.com/spreadsheets/d/161aHT6vVT3SLneTKD19N5qVWtnj_jIT8CSsOmUVKmaA/ed"&amp;"it?gid=1761053510"",
          ""Haris_Form responses 1!$AQ:$AQ"")=1)
      ),
      1
    ),
    ""0""
  ),
  ""Form not found""
)
"),"7")</f>
        <v>7</v>
      </c>
      <c r="AS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1!$E:$E"")=$B55) *
        (IMPORTRANGE(""https://docs.google.com/spreadsheets/d/161aHT6vVT3SLneTKD19N5qVWtnj_jIT8CSsOmUVKmaA/ed"&amp;"it?gid=1761053510"",
          ""Haris_Form responses 1!$AQ:$AQ"")=2)
      ),
      1
    ),
    ""0""
  ),
  ""Form not found""
)
"),"10")</f>
        <v>10</v>
      </c>
      <c r="AT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1!$E:$E"")=$B55) *
        (IMPORTRANGE(""https://docs.google.com/spreadsheets/d/161aHT6vVT3SLneTKD19N5qVWtnj_jIT8CSsOmUVKmaA/ed"&amp;"it?gid=1761053510"",
          ""Haris_Form responses 1!$AQ:$AQ"")=3)
      ),
      1
    ),
    ""0""
  ),
  ""Form not found""
)
"),"0")</f>
        <v>0</v>
      </c>
      <c r="AU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1!$E:$E"")=$B55) *
        (IMPORTRANGE(""https://docs.google.com/spreadsheets/d/161aHT6vVT3SLneTKD19N5qVWtnj_jIT8CSsOmUVKmaA/ed"&amp;"it?gid=1761053510"",
          ""Haris_Form responses 1!$AQ:$AQ"")=4)
      ),
      1
    ),
    ""0""
  ),
  ""Form not found""
)
"),"Form not found")</f>
        <v>Form not found</v>
      </c>
      <c r="AV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1!$E:$E"")=$B55) *
        (IMPORTRANGE(""https://docs.google.com/spreadsheets/d/161aHT6vVT3SLneTKD19N5qVWtnj_jIT8CSsOmUVKmaA/ed"&amp;"it?gid=1761053510"",
          ""Haris_Form responses 1!$AQ:$AQ"")=5)
      ),
      1
    ),
    ""0""
  ),
  ""Form not found""
)
"),"Form not found")</f>
        <v>Form not found</v>
      </c>
      <c r="AW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1!$E:$E"")=$B55) *
        (IMPORTRANGE(""https://docs.google.com/spreadsheets/d/161aHT6vVT3SLneTKD19N5qVWtnj_jIT8CSsOmUVKmaA/ed"&amp;"it?gid=1761053510"",
          ""Haris_Form responses 1!$AQ:$AQ"")=6)
      ),
      1
    ),
    ""0""
  ),
  ""Form not found""
)
"),"Form not found")</f>
        <v>Form not found</v>
      </c>
      <c r="AX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1!$E:$E"")=$B55) *
        (IMPORTRANGE(""https://docs.google.com/spreadsheets/d/161aHT6vVT3SLneTKD19N5qVWtnj_jIT8CSsOmUVKmaA/ed"&amp;"it?gid=1761053510"",
          ""Haris_Form responses 1!$AQ:$AQ"")=1)
      ),
      1
    ),
    ""0""
  ),
  ""Form not found""
)
"),"0")</f>
        <v>0</v>
      </c>
      <c r="AY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1!$E:$E"")=$B55) *
        (IMPORTRANGE(""https://docs.google.com/spreadsheets/d/161aHT6vVT3SLneTKD19N5qVWtnj_jIT8CSsOmUVKmaA/ed"&amp;"it?gid=1761053510"",
          ""Haris_Form responses 1!$AQ:$AQ"")=2)
      ),
      1
    ),
    ""0""
  ),
  ""Form not found""
)
"),"0")</f>
        <v>0</v>
      </c>
      <c r="AZ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1!$E:$E"")=$B55) *
        (IMPORTRANGE(""https://docs.google.com/spreadsheets/d/161aHT6vVT3SLneTKD19N5qVWtnj_jIT8CSsOmUVKmaA/ed"&amp;"it?gid=1761053510"",
          ""Haris_Form responses 1!$AQ:$AQ"")=3)
      ),
      1
    ),
    ""0""
  ),
  ""Form not found""
)
"),"0")</f>
        <v>0</v>
      </c>
      <c r="BA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1!$E:$E"")=$B55) *
        (IMPORTRANGE(""https://docs.google.com/spreadsheets/d/161aHT6vVT3SLneTKD19N5qVWtnj_jIT8CSsOmUVKmaA/ed"&amp;"it?gid=1761053510"",
          ""Haris_Form responses 1!$AQ:$AQ"")=4)
      ),
      1
    ),
    ""0""
  ),
  ""Form not found""
)
"),"Form not found")</f>
        <v>Form not found</v>
      </c>
      <c r="BB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1!$E:$E"")=$B55) *
        (IMPORTRANGE(""https://docs.google.com/spreadsheets/d/161aHT6vVT3SLneTKD19N5qVWtnj_jIT8CSsOmUVKmaA/ed"&amp;"it?gid=1761053510"",
          ""Haris_Form responses 1!$AQ:$AQ"")=5)
      ),
      1
    ),
    ""0""
  ),
  ""Form not found""
)
"),"Form not found")</f>
        <v>Form not found</v>
      </c>
      <c r="BC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1!$E:$E"")=$B55) *
        (IMPORTRANGE(""https://docs.google.com/spreadsheets/d/161aHT6vVT3SLneTKD19N5qVWtnj_jIT8CSsOmUVKmaA/ed"&amp;"it?gid=1761053510"",
          ""Haris_Form responses 1!$AQ:$AQ"")=6)
      ),
      1
    ),
    ""0""
  ),
  ""Form not found""
)
"),"Form not found")</f>
        <v>Form not found</v>
      </c>
      <c r="BD55" s="293"/>
    </row>
    <row r="56">
      <c r="A56" s="283" t="str">
        <f>IFERROR(__xludf.DUMMYFUNCTION("VLOOKUP($B56,IMPORTRANGE(""https://docs.google.com/spreadsheets/d/1VNXDITjs75AcgdBSW27oL1VZH31udDprJSsBcE5xlp4/edit?gid=1551188038#gid=1551188038"", ""Sheet9!$B:$E""),2,false)"),"Lahore")</f>
        <v>Lahore</v>
      </c>
      <c r="B56" s="283" t="s">
        <v>4535</v>
      </c>
      <c r="C56" s="284" t="str">
        <f>IFERROR(__xludf.DUMMYFUNCTION("VLOOKUP(TRIM($B56), IMPORTRANGE(""https://docs.google.com/spreadsheets/d/1aSOrU4PTpuBZqfitKaH1Rfww6-YOiNCKoBpPl8XBHaw/edit?gid=0#gid=0"", ""sheet3!$B:$C""), 2, FALSE)
"),"Jamia Masjid Taxsali Gate Lahore")</f>
        <v>Jamia Masjid Taxsali Gate Lahore</v>
      </c>
      <c r="D56" s="284" t="str">
        <f>IFERROR(__xludf.DUMMYFUNCTION("IFERROR(
  INDEX(
    FILTER(
      IMPORTRANGE(""1aSOrU4PTpuBZqfitKaH1Rfww6-YOiNCKoBpPl8XBHaw/edit?gid=0#gid=0"",""Sheet1!G:G""),
      IMPORTRANGE(""1aSOrU4PTpuBZqfitKaH1Rfww6-YOiNCKoBpPl8XBHaw/edit?gid=0#gid=0"",""Sheet1!C:C"")=$B56
    ),
    1
  ),
 "&amp;" ""Not Found""
)"),"Community Religious No Info Share")</f>
        <v>Community Religious No Info Share</v>
      </c>
      <c r="E56" s="284" t="str">
        <f>VLOOKUP(B56,'Juma Recording forms'!A:E,5,false)</f>
        <v>FITMR	Jamia Masjid Taxsali Gate Lahore	Maulana Abdul Baais</v>
      </c>
      <c r="F56" s="284" t="str">
        <f>IFERROR(__xludf.DUMMYFUNCTION("IFERROR(
  INDEX(
    FILTER(
      IMPORTRANGE(""1Cxrhp3-_-HS7v9uuqQliiIfrmMP4VaFoDNDWyUFy2J8/edit?gid=0#gid=0"",""Sheet1!Q:Q""),
      IMPORTRANGE(""1Cxrhp3-_-HS7v9uuqQliiIfrmMP4VaFoDNDWyUFy2J8/edit?gid=0#gid=0"",""Sheet1!K:K"")=$B56
    ),
    1
  ),
 "&amp;" ""Not Found""
)"),"Moulana Abdul Baais")</f>
        <v>Moulana Abdul Baais</v>
      </c>
      <c r="G56" s="284">
        <v>1870.0</v>
      </c>
      <c r="H56" s="284"/>
      <c r="I56" s="285"/>
      <c r="J56" s="286">
        <v>2.0</v>
      </c>
      <c r="K56" s="287" t="str">
        <f>VLOOKUP($B56,'Mosque Locations'!$A:$E,3,FALSE)
</f>
        <v>https://maps.google.com/maps?q=31.5860839%2C74.3080745&amp;z=17&amp;hl=en</v>
      </c>
      <c r="L56" s="286">
        <f>VLOOKUP($B56,'Mosque Locations'!$A:$E,4,FALSE)
</f>
        <v>31.58608</v>
      </c>
      <c r="M56" s="286">
        <f>VLOOKUP($B56,'Mosque Locations'!$A:$E,5,false)</f>
        <v>74.30807</v>
      </c>
      <c r="N56" s="288"/>
      <c r="O56" s="288"/>
      <c r="P56" s="288"/>
      <c r="Q56" s="295" t="str">
        <f>IFERROR(__xludf.DUMMYFUNCTION("IFERROR(
  INDEX(
    FILTER(
      IMPORTRANGE(""1SnQ_YxUmBUYKsKc82GyPPovLO-EPrfZxsJ0V0UbhezI/edit?gid=590869320#gid=590869320"",""Form Responses 1!AB:AB""),
      IMPORTRANGE(""1SnQ_YxUmBUYKsKc82GyPPovLO-EPrfZxsJ0V0UbhezI/edit?gid=590869320#gid=59086932"&amp;"0"",""Form Responses 1!E:E"")=$B56
    ),
    1
  ),
  ""Not Found""
)"),"https://drive.google.com/file/d/1TJmbwwQalYjH2XS4a-tYg3ku7mwy6BWI/view")</f>
        <v>https://drive.google.com/file/d/1TJmbwwQalYjH2XS4a-tYg3ku7mwy6BWI/view</v>
      </c>
      <c r="R56" s="289" t="str">
        <f>IFERROR(__xludf.DUMMYFUNCTION("IFERROR(
  INDEX(
    FILTER(
      IMPORTRANGE(""1SnQ_YxUmBUYKsKc82GyPPovLO-EPrfZxsJ0V0UbhezI"",""Form Responses 1!AA:AA""),
      TRIM(IMPORTRANGE(""1SnQ_YxUmBUYKsKc82GyPPovLO-EPrfZxsJ0V0UbhezI"",""Form Responses 1!E:E""))=TRIM($B56)
    ),
    1
  ),
 "&amp;" ""Not Found""
)
"),"https://drive.google.com/file/d/1Ihk6aTiQ0xPV5A_xdwIoSV__ykaCLMvr/view")</f>
        <v>https://drive.google.com/file/d/1Ihk6aTiQ0xPV5A_xdwIoSV__ykaCLMvr/view</v>
      </c>
      <c r="S56" s="285"/>
      <c r="T56" s="290" t="str">
        <f>VLOOKUP($B56,'Master Tracker'!$D:$E,2,false)</f>
        <v>https://drive.google.com/open?id=1Av2xVSAweq63bf0BaYZJFKX7n-fHc8W-</v>
      </c>
      <c r="U56" s="291" t="str">
        <f>VLOOKUP($B56,'Master Tracker'!$D:$T,4,FALSE)
</f>
        <v>https://drive.google.com/open?id=1cSO6tLLNGXdiQN0KKxsqjeKW8iS__Li5</v>
      </c>
      <c r="V56" s="290" t="str">
        <f>VLOOKUP($B56,'Master Tracker'!$D:$T,5,false)</f>
        <v>https://drive.google.com/open?id=1vb2VT3BIxCYFIQc06u1ijRHcCt_a2iPB, https://drive.google.com/open?id=1MsRN2-kjEFKoy_6tHyE5y7G7u9XnGEpy</v>
      </c>
      <c r="W56" s="291" t="str">
        <f>VLOOKUP($B56,'Master Tracker'!$D:$T,7,false)</f>
        <v>https://drive.google.com/open?id=1JwMLp1VMOGzuqaxmZQpSyNvLfIS9GrDr</v>
      </c>
      <c r="X56" s="290" t="str">
        <f>VLOOKUP($B56,'Master Tracker'!$D:$T,8,false)</f>
        <v>https://drive.google.com/open?id=1vYC2g6J7trmUn2_bGucJ-EsH1BrmQo8V</v>
      </c>
      <c r="Y56" s="291" t="str">
        <f>VLOOKUP($B56,'Master Tracker'!$D:$T,10,false)</f>
        <v>https://drive.google.com/open?id=14lfGntALIMdqDLfHCs9cByjNUI_tStof</v>
      </c>
      <c r="Z56" s="290" t="str">
        <f>VLOOKUP($B56,'Master Tracker'!$D:$T,11,false)</f>
        <v>https://drive.google.com/open?id=1-2PUrCvzMn80RnZDvJjW6eaQ1zHorori</v>
      </c>
      <c r="AA56" s="291" t="str">
        <f>VLOOKUP($B56,'Master Tracker'!$D:$T,13,false)</f>
        <v>https://drive.google.com/open?id=1hetbHvYmN55-yHJoKC1yWmUwXqp978rI</v>
      </c>
      <c r="AB56" s="284" t="str">
        <f>VLOOKUP($B56,'Master Tracker'!$D:$T,14,false)</f>
        <v>Not Found</v>
      </c>
      <c r="AC56" s="292" t="str">
        <f>VLOOKUP($B56,'Master Tracker'!$D:$T,16,false)</f>
        <v>Not Found</v>
      </c>
      <c r="AD56" s="292" t="str">
        <f>VLOOKUP($B56,'Master Tracker'!$D:$T,17,false)</f>
        <v>Not Found</v>
      </c>
      <c r="AE56" s="292" t="str">
        <f>VLOOKUP($B56,'Master Tracker'!$D:$V,19,false)</f>
        <v>Not Found</v>
      </c>
      <c r="AF56" s="292">
        <f>IFERROR(__xludf.DUMMYFUNCTION("IFERROR(
  INDEX(
    FILTER(
      'Juma Recording forms'!$G:$G,
      TRIM('Juma Recording forms'!$F:$F) = TRIM($B56),
      'Juma Recording forms'!$AA:$AA = 1
    ),
    1
  ),
  ""Not Found""
)"),110.0)</f>
        <v>110</v>
      </c>
      <c r="AG56" s="292">
        <f>IFERROR(__xludf.DUMMYFUNCTION("IFERROR(
  INDEX(
    FILTER(
      'Juma Recording forms'!$G:$G,
      TRIM('Juma Recording forms'!$F:$F) = TRIM($B56),
      'Juma Recording forms'!$AA:$AA = 2
    ),
    1
  ),
  ""Not Found""
)"),130.0)</f>
        <v>130</v>
      </c>
      <c r="AH56" s="292">
        <f>IFERROR(__xludf.DUMMYFUNCTION("IFERROR(
  INDEX(
    FILTER(
      'Juma Recording forms'!$G:$G,
      TRIM('Juma Recording forms'!$F:$F) = TRIM($B56),
      'Juma Recording forms'!$AA:$AA = 3
    ),
    1
  ),
  ""Not Found""
)"),133.0)</f>
        <v>133</v>
      </c>
      <c r="AI56" s="292">
        <f>IFERROR(__xludf.DUMMYFUNCTION("IFERROR(
  INDEX(
    FILTER(
      'Juma Recording forms'!$G:$G,
      TRIM('Juma Recording forms'!$F:$F) = TRIM($B56),
      'Juma Recording forms'!$AA:$AA = 4
    ),
    1
  ),
  ""Not Found""
)"),134.0)</f>
        <v>134</v>
      </c>
      <c r="AJ56" s="292" t="str">
        <f>IFERROR(__xludf.DUMMYFUNCTION("IFERROR(
  INDEX(
    FILTER(
      'Juma Recording forms'!$G:$G,
      TRIM('Juma Recording forms'!$F:$F) = TRIM($B56),
      'Juma Recording forms'!$AA:$AA = 5
    ),
    1
  ),
  ""Not Found""
)"),"Not Found")</f>
        <v>Not Found</v>
      </c>
      <c r="AK56" s="292" t="str">
        <f>IFERROR(__xludf.DUMMYFUNCTION("IFERROR(
  INDEX(
    FILTER(
      'Juma Recording forms'!$G:$G,
      TRIM('Juma Recording forms'!$F:$F) = TRIM($B56),
      'Juma Recording forms'!$AA:$AA = 6
    ),
    1
  ),
  ""Not Found""
)"),"Not Found")</f>
        <v>Not Found</v>
      </c>
      <c r="AL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1!$E:$E"")=$B56) *
        (IMPORTRANGE(""https://docs.google.com/spreadsheets/d/161aHT6vVT3SLneTKD19N5qVWtnj_jIT8CSsOmUVKmaA/ed"&amp;"it?gid=1761053510"",
          ""Haris_Form responses 1!$AQ:$AQ"")=1)
      ),
      1
    ),
    ""0""
  ),
  ""Form not found""
)
"),"5")</f>
        <v>5</v>
      </c>
      <c r="AM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1!$E:$E"")=$B56) *
        (IMPORTRANGE(""https://docs.google.com/spreadsheets/d/161aHT6vVT3SLneTKD19N5qVWtnj_jIT8CSsOmUVKmaA/ed"&amp;"it?gid=1761053510"",
          ""Haris_Form responses 1!$AQ:$AQ"")=2)
      ),
      1
    ),
    ""0""
  ),
  ""Form not found""
)
"),"3")</f>
        <v>3</v>
      </c>
      <c r="AN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1!$E:$E"")=$B56) *
        (IMPORTRANGE(""https://docs.google.com/spreadsheets/d/161aHT6vVT3SLneTKD19N5qVWtnj_jIT8CSsOmUVKmaA/ed"&amp;"it?gid=1761053510"",
          ""Haris_Form responses 1!$AQ:$AQ"")=3)
      ),
      1
    ),
    ""0""
  ),
  ""Form not found""
)
"),"0")</f>
        <v>0</v>
      </c>
      <c r="AO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1!$E:$E"")=$B56) *
        (IMPORTRANGE(""https://docs.google.com/spreadsheets/d/161aHT6vVT3SLneTKD19N5qVWtnj_jIT8CSsOmUVKmaA/ed"&amp;"it?gid=1761053510"",
          ""Haris_Form responses 1!$AQ:$AQ"")=4)
      ),
      1
    ),
    ""0""
  ),
  ""Form not found""
)
"),"5")</f>
        <v>5</v>
      </c>
      <c r="AP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1!$E:$E"")=$B56) *
        (IMPORTRANGE(""https://docs.google.com/spreadsheets/d/161aHT6vVT3SLneTKD19N5qVWtnj_jIT8CSsOmUVKmaA/ed"&amp;"it?gid=1761053510"",
          ""Haris_Form responses 1!$AQ:$AQ"")=5)
      ),
      1
    ),
    ""0""
  ),
  ""Form not found""
)
"),"Form not found")</f>
        <v>Form not found</v>
      </c>
      <c r="AQ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1!$E:$E"")=$B56) *
        (IMPORTRANGE(""https://docs.google.com/spreadsheets/d/161aHT6vVT3SLneTKD19N5qVWtnj_jIT8CSsOmUVKmaA/ed"&amp;"it?gid=1761053510"",
          ""Haris_Form responses 1!$AQ:$AQ"")=6)
      ),
      1
    ),
    ""0""
  ),
  ""Form not found""
)
"),"Form not found")</f>
        <v>Form not found</v>
      </c>
      <c r="AR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1!$E:$E"")=$B56) *
        (IMPORTRANGE(""https://docs.google.com/spreadsheets/d/161aHT6vVT3SLneTKD19N5qVWtnj_jIT8CSsOmUVKmaA/ed"&amp;"it?gid=1761053510"",
          ""Haris_Form responses 1!$AQ:$AQ"")=1)
      ),
      1
    ),
    ""0""
  ),
  ""Form not found""
)
"),"5")</f>
        <v>5</v>
      </c>
      <c r="AS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1!$E:$E"")=$B56) *
        (IMPORTRANGE(""https://docs.google.com/spreadsheets/d/161aHT6vVT3SLneTKD19N5qVWtnj_jIT8CSsOmUVKmaA/ed"&amp;"it?gid=1761053510"",
          ""Haris_Form responses 1!$AQ:$AQ"")=2)
      ),
      1
    ),
    ""0""
  ),
  ""Form not found""
)
"),"3")</f>
        <v>3</v>
      </c>
      <c r="AT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1!$E:$E"")=$B56) *
        (IMPORTRANGE(""https://docs.google.com/spreadsheets/d/161aHT6vVT3SLneTKD19N5qVWtnj_jIT8CSsOmUVKmaA/ed"&amp;"it?gid=1761053510"",
          ""Haris_Form responses 1!$AQ:$AQ"")=3)
      ),
      1
    ),
    ""0""
  ),
  ""Form not found""
)
"),"0")</f>
        <v>0</v>
      </c>
      <c r="AU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1!$E:$E"")=$B56) *
        (IMPORTRANGE(""https://docs.google.com/spreadsheets/d/161aHT6vVT3SLneTKD19N5qVWtnj_jIT8CSsOmUVKmaA/ed"&amp;"it?gid=1761053510"",
          ""Haris_Form responses 1!$AQ:$AQ"")=4)
      ),
      1
    ),
    ""0""
  ),
  ""Form not found""
)
"),"5")</f>
        <v>5</v>
      </c>
      <c r="AV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1!$E:$E"")=$B56) *
        (IMPORTRANGE(""https://docs.google.com/spreadsheets/d/161aHT6vVT3SLneTKD19N5qVWtnj_jIT8CSsOmUVKmaA/ed"&amp;"it?gid=1761053510"",
          ""Haris_Form responses 1!$AQ:$AQ"")=5)
      ),
      1
    ),
    ""0""
  ),
  ""Form not found""
)
"),"Form not found")</f>
        <v>Form not found</v>
      </c>
      <c r="AW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1!$E:$E"")=$B56) *
        (IMPORTRANGE(""https://docs.google.com/spreadsheets/d/161aHT6vVT3SLneTKD19N5qVWtnj_jIT8CSsOmUVKmaA/ed"&amp;"it?gid=1761053510"",
          ""Haris_Form responses 1!$AQ:$AQ"")=6)
      ),
      1
    ),
    ""0""
  ),
  ""Form not found""
)
"),"Form not found")</f>
        <v>Form not found</v>
      </c>
      <c r="AX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1!$E:$E"")=$B56) *
        (IMPORTRANGE(""https://docs.google.com/spreadsheets/d/161aHT6vVT3SLneTKD19N5qVWtnj_jIT8CSsOmUVKmaA/ed"&amp;"it?gid=1761053510"",
          ""Haris_Form responses 1!$AQ:$AQ"")=1)
      ),
      1
    ),
    ""0""
  ),
  ""Form not found""
)
"),"0")</f>
        <v>0</v>
      </c>
      <c r="AY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1!$E:$E"")=$B56) *
        (IMPORTRANGE(""https://docs.google.com/spreadsheets/d/161aHT6vVT3SLneTKD19N5qVWtnj_jIT8CSsOmUVKmaA/ed"&amp;"it?gid=1761053510"",
          ""Haris_Form responses 1!$AQ:$AQ"")=2)
      ),
      1
    ),
    ""0""
  ),
  ""Form not found""
)
"),"0")</f>
        <v>0</v>
      </c>
      <c r="AZ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1!$E:$E"")=$B56) *
        (IMPORTRANGE(""https://docs.google.com/spreadsheets/d/161aHT6vVT3SLneTKD19N5qVWtnj_jIT8CSsOmUVKmaA/ed"&amp;"it?gid=1761053510"",
          ""Haris_Form responses 1!$AQ:$AQ"")=3)
      ),
      1
    ),
    ""0""
  ),
  ""Form not found""
)
"),"0")</f>
        <v>0</v>
      </c>
      <c r="BA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1!$E:$E"")=$B56) *
        (IMPORTRANGE(""https://docs.google.com/spreadsheets/d/161aHT6vVT3SLneTKD19N5qVWtnj_jIT8CSsOmUVKmaA/ed"&amp;"it?gid=1761053510"",
          ""Haris_Form responses 1!$AQ:$AQ"")=4)
      ),
      1
    ),
    ""0""
  ),
  ""Form not found""
)
"),"0")</f>
        <v>0</v>
      </c>
      <c r="BB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1!$E:$E"")=$B56) *
        (IMPORTRANGE(""https://docs.google.com/spreadsheets/d/161aHT6vVT3SLneTKD19N5qVWtnj_jIT8CSsOmUVKmaA/ed"&amp;"it?gid=1761053510"",
          ""Haris_Form responses 1!$AQ:$AQ"")=5)
      ),
      1
    ),
    ""0""
  ),
  ""Form not found""
)
"),"Form not found")</f>
        <v>Form not found</v>
      </c>
      <c r="BC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1!$E:$E"")=$B56) *
        (IMPORTRANGE(""https://docs.google.com/spreadsheets/d/161aHT6vVT3SLneTKD19N5qVWtnj_jIT8CSsOmUVKmaA/ed"&amp;"it?gid=1761053510"",
          ""Haris_Form responses 1!$AQ:$AQ"")=6)
      ),
      1
    ),
    ""0""
  ),
  ""Form not found""
)
"),"Form not found")</f>
        <v>Form not found</v>
      </c>
      <c r="BD56" s="293"/>
    </row>
    <row r="57">
      <c r="A57" s="283" t="str">
        <f>IFERROR(__xludf.DUMMYFUNCTION("VLOOKUP($B57,IMPORTRANGE(""https://docs.google.com/spreadsheets/d/1VNXDITjs75AcgdBSW27oL1VZH31udDprJSsBcE5xlp4/edit?gid=1551188038#gid=1551188038"", ""Sheet9!$B:$E""),2,false)"),"Lahore")</f>
        <v>Lahore</v>
      </c>
      <c r="B57" s="283" t="s">
        <v>4536</v>
      </c>
      <c r="C57" s="284" t="str">
        <f>IFERROR(__xludf.DUMMYFUNCTION("VLOOKUP(TRIM($B57), IMPORTRANGE(""https://docs.google.com/spreadsheets/d/1aSOrU4PTpuBZqfitKaH1Rfww6-YOiNCKoBpPl8XBHaw/edit?gid=0#gid=0"", ""sheet3!$B:$C""), 2, FALSE)
"),"Jamia Masjid Maki New Anarkali Lahore")</f>
        <v>Jamia Masjid Maki New Anarkali Lahore</v>
      </c>
      <c r="D57" s="284" t="str">
        <f>IFERROR(__xludf.DUMMYFUNCTION("IFERROR(
  INDEX(
    FILTER(
      IMPORTRANGE(""1aSOrU4PTpuBZqfitKaH1Rfww6-YOiNCKoBpPl8XBHaw/edit?gid=0#gid=0"",""Sheet1!G:G""),
      IMPORTRANGE(""1aSOrU4PTpuBZqfitKaH1Rfww6-YOiNCKoBpPl8XBHaw/edit?gid=0#gid=0"",""Sheet1!C:C"")=$B57
    ),
    1
  ),
 "&amp;" ""Not Found""
)"),"Community Secular No Info Share")</f>
        <v>Community Secular No Info Share</v>
      </c>
      <c r="E57" s="284" t="str">
        <f>VLOOKUP(B57,'Juma Recording forms'!A:E,5,false)</f>
        <v>Jamia Masjid Makki New Anarkali</v>
      </c>
      <c r="F57" s="284" t="str">
        <f>IFERROR(__xludf.DUMMYFUNCTION("IFERROR(
  INDEX(
    FILTER(
      IMPORTRANGE(""1Cxrhp3-_-HS7v9uuqQliiIfrmMP4VaFoDNDWyUFy2J8/edit?gid=0#gid=0"",""Sheet1!Q:Q""),
      IMPORTRANGE(""1Cxrhp3-_-HS7v9uuqQliiIfrmMP4VaFoDNDWyUFy2J8/edit?gid=0#gid=0"",""Sheet1!K:K"")=$B57
    ),
    1
  ),
 "&amp;" ""Not Found""
)"),"Ubaid ul Rehman ")</f>
        <v>Ubaid ul Rehman </v>
      </c>
      <c r="G57" s="284">
        <v>1962.0</v>
      </c>
      <c r="H57" s="284"/>
      <c r="I57" s="285"/>
      <c r="J57" s="286">
        <v>2.0</v>
      </c>
      <c r="K57" s="287" t="str">
        <f>VLOOKUP($B57,'Mosque Locations'!$A:$E,3,FALSE)
</f>
        <v>https://maps.google.com/maps?q=31.5760629%2C74.3130287&amp;z=17&amp;hl=en</v>
      </c>
      <c r="L57" s="286">
        <f>VLOOKUP($B57,'Mosque Locations'!$A:$E,4,FALSE)
</f>
        <v>31.57606</v>
      </c>
      <c r="M57" s="286">
        <f>VLOOKUP($B57,'Mosque Locations'!$A:$E,5,false)</f>
        <v>74.31303</v>
      </c>
      <c r="N57" s="288"/>
      <c r="O57" s="288"/>
      <c r="P57" s="288"/>
      <c r="Q57" s="290" t="str">
        <f>IFERROR(__xludf.DUMMYFUNCTION("IFERROR(
  INDEX(
    FILTER(
      IMPORTRANGE(""1SnQ_YxUmBUYKsKc82GyPPovLO-EPrfZxsJ0V0UbhezI/edit?gid=590869320#gid=590869320"",""Form Responses 1!AB:AB""),
      IMPORTRANGE(""1SnQ_YxUmBUYKsKc82GyPPovLO-EPrfZxsJ0V0UbhezI/edit?gid=590869320#gid=59086932"&amp;"0"",""Form Responses 1!E:E"")=$B57
    ),
    1
  ),
  ""Not Found""
)"),"https://drive.google.com/open?id=15svQt3YI4h5vxYr_xz1EOl37KOh29YHw")</f>
        <v>https://drive.google.com/open?id=15svQt3YI4h5vxYr_xz1EOl37KOh29YHw</v>
      </c>
      <c r="R57" s="295" t="str">
        <f>IFERROR(__xludf.DUMMYFUNCTION("IFERROR(
  INDEX(
    FILTER(
      IMPORTRANGE(""1SnQ_YxUmBUYKsKc82GyPPovLO-EPrfZxsJ0V0UbhezI"",""Form Responses 1!AA:AA""),
      TRIM(IMPORTRANGE(""1SnQ_YxUmBUYKsKc82GyPPovLO-EPrfZxsJ0V0UbhezI"",""Form Responses 1!E:E""))=TRIM($B57)
    ),
    1
  ),
 "&amp;" ""Not Found""
)
"),"https://drive.google.com/open?id=1ttGVp-xj-LiTThGIL6Bfnc5LZmuWY17q")</f>
        <v>https://drive.google.com/open?id=1ttGVp-xj-LiTThGIL6Bfnc5LZmuWY17q</v>
      </c>
      <c r="S57" s="285"/>
      <c r="T57" s="284" t="str">
        <f>VLOOKUP($B57,'Master Tracker'!$D:$E,2,false)</f>
        <v>skipped due to imam</v>
      </c>
      <c r="U57" s="292" t="str">
        <f>VLOOKUP($B57,'Master Tracker'!$D:$T,4,FALSE)
</f>
        <v>Not Found</v>
      </c>
      <c r="V57" s="290" t="str">
        <f>VLOOKUP($B57,'Master Tracker'!$D:$T,5,false)</f>
        <v>https://drive.google.com/open?id=1Eg1xS5WCieGh6scwQVw4-AhjddvSdDBC</v>
      </c>
      <c r="W57" s="291" t="str">
        <f>VLOOKUP($B57,'Master Tracker'!$D:$T,7,false)</f>
        <v>https://drive.google.com/open?id=11AaebASSOASxzrecTrSeJQGOm9dFryG-</v>
      </c>
      <c r="X57" s="290" t="str">
        <f>VLOOKUP($B57,'Master Tracker'!$D:$T,8,false)</f>
        <v>https://drive.google.com/open?id=1PRi40oAZlWXxNfk6I-NlWC4VDp_va0c8</v>
      </c>
      <c r="Y57" s="291" t="str">
        <f>VLOOKUP($B57,'Master Tracker'!$D:$T,10,false)</f>
        <v>https://drive.google.com/open?id=1wJUK4Z0UHPH8zNLsuk_uRt9P_MgTOnKw</v>
      </c>
      <c r="Z57" s="290" t="str">
        <f>VLOOKUP($B57,'Master Tracker'!$D:$T,11,false)</f>
        <v>https://drive.google.com/open?id=1WNPn9YxCxqy22p76jgsPOD93Zpov4lLM</v>
      </c>
      <c r="AA57" s="291" t="str">
        <f>VLOOKUP($B57,'Master Tracker'!$D:$T,13,false)</f>
        <v>https://drive.google.com/open?id=1yvWGZH-iYGg_yvypOH7KTK2YVLr58Hzj</v>
      </c>
      <c r="AB57" s="284" t="str">
        <f>VLOOKUP($B57,'Master Tracker'!$D:$T,14,false)</f>
        <v>Not Found</v>
      </c>
      <c r="AC57" s="292" t="str">
        <f>VLOOKUP($B57,'Master Tracker'!$D:$T,16,false)</f>
        <v>Not Found</v>
      </c>
      <c r="AD57" s="292" t="str">
        <f>VLOOKUP($B57,'Master Tracker'!$D:$T,17,false)</f>
        <v>Not Found</v>
      </c>
      <c r="AE57" s="292" t="str">
        <f>VLOOKUP($B57,'Master Tracker'!$D:$V,19,false)</f>
        <v>Not Found</v>
      </c>
      <c r="AF57" s="292" t="str">
        <f>IFERROR(__xludf.DUMMYFUNCTION("IFERROR(
  INDEX(
    FILTER(
      'Juma Recording forms'!$G:$G,
      TRIM('Juma Recording forms'!$F:$F) = TRIM($B57),
      'Juma Recording forms'!$AA:$AA = 1
    ),
    1
  ),
  ""Not Found""
)"),"Not Found")</f>
        <v>Not Found</v>
      </c>
      <c r="AG57" s="292">
        <f>IFERROR(__xludf.DUMMYFUNCTION("IFERROR(
  INDEX(
    FILTER(
      'Juma Recording forms'!$G:$G,
      TRIM('Juma Recording forms'!$F:$F) = TRIM($B57),
      'Juma Recording forms'!$AA:$AA = 2
    ),
    1
  ),
  ""Not Found""
)"),483.0)</f>
        <v>483</v>
      </c>
      <c r="AH57" s="292">
        <f>IFERROR(__xludf.DUMMYFUNCTION("IFERROR(
  INDEX(
    FILTER(
      'Juma Recording forms'!$G:$G,
      TRIM('Juma Recording forms'!$F:$F) = TRIM($B57),
      'Juma Recording forms'!$AA:$AA = 3
    ),
    1
  ),
  ""Not Found""
)"),513.0)</f>
        <v>513</v>
      </c>
      <c r="AI57" s="292">
        <f>IFERROR(__xludf.DUMMYFUNCTION("IFERROR(
  INDEX(
    FILTER(
      'Juma Recording forms'!$G:$G,
      TRIM('Juma Recording forms'!$F:$F) = TRIM($B57),
      'Juma Recording forms'!$AA:$AA = 4
    ),
    1
  ),
  ""Not Found""
)"),508.0)</f>
        <v>508</v>
      </c>
      <c r="AJ57" s="292" t="str">
        <f>IFERROR(__xludf.DUMMYFUNCTION("IFERROR(
  INDEX(
    FILTER(
      'Juma Recording forms'!$G:$G,
      TRIM('Juma Recording forms'!$F:$F) = TRIM($B57),
      'Juma Recording forms'!$AA:$AA = 5
    ),
    1
  ),
  ""Not Found""
)"),"Not Found")</f>
        <v>Not Found</v>
      </c>
      <c r="AK57" s="292" t="str">
        <f>IFERROR(__xludf.DUMMYFUNCTION("IFERROR(
  INDEX(
    FILTER(
      'Juma Recording forms'!$G:$G,
      TRIM('Juma Recording forms'!$F:$F) = TRIM($B57),
      'Juma Recording forms'!$AA:$AA = 6
    ),
    1
  ),
  ""Not Found""
)"),"Not Found")</f>
        <v>Not Found</v>
      </c>
      <c r="AL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1!$E:$E"")=$B57) *
        (IMPORTRANGE(""https://docs.google.com/spreadsheets/d/161aHT6vVT3SLneTKD19N5qVWtnj_jIT8CSsOmUVKmaA/ed"&amp;"it?gid=1761053510"",
          ""Haris_Form responses 1!$AQ:$AQ"")=1)
      ),
      1
    ),
    ""0""
  ),
  ""Form not found""
)
"),"Form not found")</f>
        <v>Form not found</v>
      </c>
      <c r="AM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1!$E:$E"")=$B57) *
        (IMPORTRANGE(""https://docs.google.com/spreadsheets/d/161aHT6vVT3SLneTKD19N5qVWtnj_jIT8CSsOmUVKmaA/ed"&amp;"it?gid=1761053510"",
          ""Haris_Form responses 1!$AQ:$AQ"")=2)
      ),
      1
    ),
    ""0""
  ),
  ""Form not found""
)
"),"0")</f>
        <v>0</v>
      </c>
      <c r="AN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1!$E:$E"")=$B57) *
        (IMPORTRANGE(""https://docs.google.com/spreadsheets/d/161aHT6vVT3SLneTKD19N5qVWtnj_jIT8CSsOmUVKmaA/ed"&amp;"it?gid=1761053510"",
          ""Haris_Form responses 1!$AQ:$AQ"")=3)
      ),
      1
    ),
    ""0""
  ),
  ""Form not found""
)
"),"6")</f>
        <v>6</v>
      </c>
      <c r="AO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1!$E:$E"")=$B57) *
        (IMPORTRANGE(""https://docs.google.com/spreadsheets/d/161aHT6vVT3SLneTKD19N5qVWtnj_jIT8CSsOmUVKmaA/ed"&amp;"it?gid=1761053510"",
          ""Haris_Form responses 1!$AQ:$AQ"")=4)
      ),
      1
    ),
    ""0""
  ),
  ""Form not found""
)
"),"10")</f>
        <v>10</v>
      </c>
      <c r="AP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1!$E:$E"")=$B57) *
        (IMPORTRANGE(""https://docs.google.com/spreadsheets/d/161aHT6vVT3SLneTKD19N5qVWtnj_jIT8CSsOmUVKmaA/ed"&amp;"it?gid=1761053510"",
          ""Haris_Form responses 1!$AQ:$AQ"")=5)
      ),
      1
    ),
    ""0""
  ),
  ""Form not found""
)
"),"Form not found")</f>
        <v>Form not found</v>
      </c>
      <c r="AQ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1!$E:$E"")=$B57) *
        (IMPORTRANGE(""https://docs.google.com/spreadsheets/d/161aHT6vVT3SLneTKD19N5qVWtnj_jIT8CSsOmUVKmaA/ed"&amp;"it?gid=1761053510"",
          ""Haris_Form responses 1!$AQ:$AQ"")=6)
      ),
      1
    ),
    ""0""
  ),
  ""Form not found""
)
"),"Form not found")</f>
        <v>Form not found</v>
      </c>
      <c r="AR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1!$E:$E"")=$B57) *
        (IMPORTRANGE(""https://docs.google.com/spreadsheets/d/161aHT6vVT3SLneTKD19N5qVWtnj_jIT8CSsOmUVKmaA/ed"&amp;"it?gid=1761053510"",
          ""Haris_Form responses 1!$AQ:$AQ"")=1)
      ),
      1
    ),
    ""0""
  ),
  ""Form not found""
)
"),"Form not found")</f>
        <v>Form not found</v>
      </c>
      <c r="AS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1!$E:$E"")=$B57) *
        (IMPORTRANGE(""https://docs.google.com/spreadsheets/d/161aHT6vVT3SLneTKD19N5qVWtnj_jIT8CSsOmUVKmaA/ed"&amp;"it?gid=1761053510"",
          ""Haris_Form responses 1!$AQ:$AQ"")=2)
      ),
      1
    ),
    ""0""
  ),
  ""Form not found""
)
"),"0")</f>
        <v>0</v>
      </c>
      <c r="AT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1!$E:$E"")=$B57) *
        (IMPORTRANGE(""https://docs.google.com/spreadsheets/d/161aHT6vVT3SLneTKD19N5qVWtnj_jIT8CSsOmUVKmaA/ed"&amp;"it?gid=1761053510"",
          ""Haris_Form responses 1!$AQ:$AQ"")=3)
      ),
      1
    ),
    ""0""
  ),
  ""Form not found""
)
"),"6")</f>
        <v>6</v>
      </c>
      <c r="AU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1!$E:$E"")=$B57) *
        (IMPORTRANGE(""https://docs.google.com/spreadsheets/d/161aHT6vVT3SLneTKD19N5qVWtnj_jIT8CSsOmUVKmaA/ed"&amp;"it?gid=1761053510"",
          ""Haris_Form responses 1!$AQ:$AQ"")=4)
      ),
      1
    ),
    ""0""
  ),
  ""Form not found""
)
"),"10")</f>
        <v>10</v>
      </c>
      <c r="AV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1!$E:$E"")=$B57) *
        (IMPORTRANGE(""https://docs.google.com/spreadsheets/d/161aHT6vVT3SLneTKD19N5qVWtnj_jIT8CSsOmUVKmaA/ed"&amp;"it?gid=1761053510"",
          ""Haris_Form responses 1!$AQ:$AQ"")=5)
      ),
      1
    ),
    ""0""
  ),
  ""Form not found""
)
"),"Form not found")</f>
        <v>Form not found</v>
      </c>
      <c r="AW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1!$E:$E"")=$B57) *
        (IMPORTRANGE(""https://docs.google.com/spreadsheets/d/161aHT6vVT3SLneTKD19N5qVWtnj_jIT8CSsOmUVKmaA/ed"&amp;"it?gid=1761053510"",
          ""Haris_Form responses 1!$AQ:$AQ"")=6)
      ),
      1
    ),
    ""0""
  ),
  ""Form not found""
)
"),"Form not found")</f>
        <v>Form not found</v>
      </c>
      <c r="AX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1!$E:$E"")=$B57) *
        (IMPORTRANGE(""https://docs.google.com/spreadsheets/d/161aHT6vVT3SLneTKD19N5qVWtnj_jIT8CSsOmUVKmaA/ed"&amp;"it?gid=1761053510"",
          ""Haris_Form responses 1!$AQ:$AQ"")=1)
      ),
      1
    ),
    ""0""
  ),
  ""Form not found""
)
"),"Form not found")</f>
        <v>Form not found</v>
      </c>
      <c r="AY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1!$E:$E"")=$B57) *
        (IMPORTRANGE(""https://docs.google.com/spreadsheets/d/161aHT6vVT3SLneTKD19N5qVWtnj_jIT8CSsOmUVKmaA/ed"&amp;"it?gid=1761053510"",
          ""Haris_Form responses 1!$AQ:$AQ"")=2)
      ),
      1
    ),
    ""0""
  ),
  ""Form not found""
)
"),"0")</f>
        <v>0</v>
      </c>
      <c r="AZ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1!$E:$E"")=$B57) *
        (IMPORTRANGE(""https://docs.google.com/spreadsheets/d/161aHT6vVT3SLneTKD19N5qVWtnj_jIT8CSsOmUVKmaA/ed"&amp;"it?gid=1761053510"",
          ""Haris_Form responses 1!$AQ:$AQ"")=3)
      ),
      1
    ),
    ""0""
  ),
  ""Form not found""
)
"),"0")</f>
        <v>0</v>
      </c>
      <c r="BA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1!$E:$E"")=$B57) *
        (IMPORTRANGE(""https://docs.google.com/spreadsheets/d/161aHT6vVT3SLneTKD19N5qVWtnj_jIT8CSsOmUVKmaA/ed"&amp;"it?gid=1761053510"",
          ""Haris_Form responses 1!$AQ:$AQ"")=4)
      ),
      1
    ),
    ""0""
  ),
  ""Form not found""
)
"),"0")</f>
        <v>0</v>
      </c>
      <c r="BB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1!$E:$E"")=$B57) *
        (IMPORTRANGE(""https://docs.google.com/spreadsheets/d/161aHT6vVT3SLneTKD19N5qVWtnj_jIT8CSsOmUVKmaA/ed"&amp;"it?gid=1761053510"",
          ""Haris_Form responses 1!$AQ:$AQ"")=5)
      ),
      1
    ),
    ""0""
  ),
  ""Form not found""
)
"),"Form not found")</f>
        <v>Form not found</v>
      </c>
      <c r="BC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1!$E:$E"")=$B57) *
        (IMPORTRANGE(""https://docs.google.com/spreadsheets/d/161aHT6vVT3SLneTKD19N5qVWtnj_jIT8CSsOmUVKmaA/ed"&amp;"it?gid=1761053510"",
          ""Haris_Form responses 1!$AQ:$AQ"")=6)
      ),
      1
    ),
    ""0""
  ),
  ""Form not found""
)
"),"Form not found")</f>
        <v>Form not found</v>
      </c>
      <c r="BD57" s="293"/>
    </row>
    <row r="58">
      <c r="A58" s="283" t="str">
        <f>IFERROR(__xludf.DUMMYFUNCTION("VLOOKUP($B58,IMPORTRANGE(""https://docs.google.com/spreadsheets/d/1VNXDITjs75AcgdBSW27oL1VZH31udDprJSsBcE5xlp4/edit?gid=1551188038#gid=1551188038"", ""Sheet9!$B:$E""),2,false)"),"Lahore")</f>
        <v>Lahore</v>
      </c>
      <c r="B58" s="283" t="s">
        <v>4538</v>
      </c>
      <c r="C58" s="284" t="str">
        <f>IFERROR(__xludf.DUMMYFUNCTION("VLOOKUP(TRIM($B58), IMPORTRANGE(""https://docs.google.com/spreadsheets/d/1aSOrU4PTpuBZqfitKaH1Rfww6-YOiNCKoBpPl8XBHaw/edit?gid=0#gid=0"", ""sheet3!$B:$C""), 2, FALSE)
"),"Jamia Masjid Takiya Puter Nagha Lahore")</f>
        <v>Jamia Masjid Takiya Puter Nagha Lahore</v>
      </c>
      <c r="D58" s="284" t="str">
        <f>IFERROR(__xludf.DUMMYFUNCTION("IFERROR(
  INDEX(
    FILTER(
      IMPORTRANGE(""1aSOrU4PTpuBZqfitKaH1Rfww6-YOiNCKoBpPl8XBHaw/edit?gid=0#gid=0"",""Sheet1!G:G""),
      IMPORTRANGE(""1aSOrU4PTpuBZqfitKaH1Rfww6-YOiNCKoBpPl8XBHaw/edit?gid=0#gid=0"",""Sheet1!C:C"")=$B58
    ),
    1
  ),
 "&amp;" ""Not Found""
)"),"Women Secular No Info Share")</f>
        <v>Women Secular No Info Share</v>
      </c>
      <c r="E58" s="284" t="str">
        <f>VLOOKUP(B58,'Juma Recording forms'!A:E,5,false)</f>
        <v>Jamia Masjid Takiya Puter Nagha Lahore</v>
      </c>
      <c r="F58" s="284" t="str">
        <f>IFERROR(__xludf.DUMMYFUNCTION("IFERROR(
  INDEX(
    FILTER(
      IMPORTRANGE(""1Cxrhp3-_-HS7v9uuqQliiIfrmMP4VaFoDNDWyUFy2J8/edit?gid=0#gid=0"",""Sheet1!Q:Q""),
      IMPORTRANGE(""1Cxrhp3-_-HS7v9uuqQliiIfrmMP4VaFoDNDWyUFy2J8/edit?gid=0#gid=0"",""Sheet1!K:K"")=$B58
    ),
    1
  ),
 "&amp;" ""Not Found""
)"),"Qari Muhammad Azam")</f>
        <v>Qari Muhammad Azam</v>
      </c>
      <c r="G58" s="284">
        <v>1945.0</v>
      </c>
      <c r="H58" s="284"/>
      <c r="I58" s="285"/>
      <c r="J58" s="286">
        <v>2.0</v>
      </c>
      <c r="K58" s="287" t="str">
        <f>VLOOKUP($B58,'Mosque Locations'!$A:$E,3,FALSE)
</f>
        <v>https://maps.google.com/maps?q=31.5828981%2C74.3059768&amp;z=17&amp;hl=en</v>
      </c>
      <c r="L58" s="286">
        <f>VLOOKUP($B58,'Mosque Locations'!$A:$E,4,FALSE)
</f>
        <v>31.5829</v>
      </c>
      <c r="M58" s="286">
        <f>VLOOKUP($B58,'Mosque Locations'!$A:$E,5,false)</f>
        <v>74.30598</v>
      </c>
      <c r="N58" s="288"/>
      <c r="O58" s="288"/>
      <c r="P58" s="288"/>
      <c r="Q58" s="289" t="str">
        <f>IFERROR(__xludf.DUMMYFUNCTION("IFERROR(
  INDEX(
    FILTER(
      IMPORTRANGE(""1SnQ_YxUmBUYKsKc82GyPPovLO-EPrfZxsJ0V0UbhezI/edit?gid=590869320#gid=590869320"",""Form Responses 1!AB:AB""),
      IMPORTRANGE(""1SnQ_YxUmBUYKsKc82GyPPovLO-EPrfZxsJ0V0UbhezI/edit?gid=590869320#gid=59086932"&amp;"0"",""Form Responses 1!E:E"")=$B58
    ),
    1
  ),
  ""Not Found""
)"),"https://drive.google.com/open?id=1HGimRFK9XZ6o0q94ZmyJPguOG_aLXgCT")</f>
        <v>https://drive.google.com/open?id=1HGimRFK9XZ6o0q94ZmyJPguOG_aLXgCT</v>
      </c>
      <c r="R58" s="289" t="str">
        <f>IFERROR(__xludf.DUMMYFUNCTION("IFERROR(
  INDEX(
    FILTER(
      IMPORTRANGE(""1SnQ_YxUmBUYKsKc82GyPPovLO-EPrfZxsJ0V0UbhezI"",""Form Responses 1!AA:AA""),
      TRIM(IMPORTRANGE(""1SnQ_YxUmBUYKsKc82GyPPovLO-EPrfZxsJ0V0UbhezI"",""Form Responses 1!E:E""))=TRIM($B58)
    ),
    1
  ),
 "&amp;" ""Not Found""
)
"),"https://drive.google.com/file/d/149FosAjYgkFmXiczg2dV2FoxlRovEPtU/view")</f>
        <v>https://drive.google.com/file/d/149FosAjYgkFmXiczg2dV2FoxlRovEPtU/view</v>
      </c>
      <c r="S58" s="285"/>
      <c r="T58" s="290" t="str">
        <f>VLOOKUP($B58,'Master Tracker'!$D:$E,2,false)</f>
        <v>https://drive.google.com/open?id=1WYGS2lm-SkYOnBe7Mv_TeARYirx5tPw6</v>
      </c>
      <c r="U58" s="291" t="str">
        <f>VLOOKUP($B58,'Master Tracker'!$D:$T,4,FALSE)
</f>
        <v>https://drive.google.com/open?id=1CrhWG--K7K7mYhRjUYMPQlqZoGx7TFD1</v>
      </c>
      <c r="V58" s="290" t="str">
        <f>VLOOKUP($B58,'Master Tracker'!$D:$T,5,false)</f>
        <v>https://drive.google.com/open?id=1XnI6oOsYkBAVza3lSZQ55XZRovLyB8xS</v>
      </c>
      <c r="W58" s="291" t="str">
        <f>VLOOKUP($B58,'Master Tracker'!$D:$T,7,false)</f>
        <v>https://drive.google.com/open?id=1pJ8dAW2wvLar-CEsk1xKN69pDVl0uV4K</v>
      </c>
      <c r="X58" s="290" t="str">
        <f>VLOOKUP($B58,'Master Tracker'!$D:$T,8,false)</f>
        <v>https://drive.google.com/open?id=1iAztDv-Z6REWEjU_N6u8NVWApFHE5nSN</v>
      </c>
      <c r="Y58" s="291" t="str">
        <f>VLOOKUP($B58,'Master Tracker'!$D:$T,10,false)</f>
        <v>https://drive.google.com/open?id=1Romwhq8HLuRSj9icXjiwETkTmx02cf_9</v>
      </c>
      <c r="Z58" s="284" t="str">
        <f>VLOOKUP($B58,'Master Tracker'!$D:$T,11,false)</f>
        <v>Not Found</v>
      </c>
      <c r="AA58" s="292" t="str">
        <f>VLOOKUP($B58,'Master Tracker'!$D:$T,13,false)</f>
        <v>Not Found</v>
      </c>
      <c r="AB58" s="284" t="str">
        <f>VLOOKUP($B58,'Master Tracker'!$D:$T,14,false)</f>
        <v>Not Found</v>
      </c>
      <c r="AC58" s="292" t="str">
        <f>VLOOKUP($B58,'Master Tracker'!$D:$T,16,false)</f>
        <v>Not Found</v>
      </c>
      <c r="AD58" s="292" t="str">
        <f>VLOOKUP($B58,'Master Tracker'!$D:$T,17,false)</f>
        <v>Not Found</v>
      </c>
      <c r="AE58" s="292" t="str">
        <f>VLOOKUP($B58,'Master Tracker'!$D:$V,19,false)</f>
        <v>Not Found</v>
      </c>
      <c r="AF58" s="292">
        <f>IFERROR(__xludf.DUMMYFUNCTION("IFERROR(
  INDEX(
    FILTER(
      'Juma Recording forms'!$G:$G,
      TRIM('Juma Recording forms'!$F:$F) = TRIM($B58),
      'Juma Recording forms'!$AA:$AA = 1
    ),
    1
  ),
  ""Not Found""
)"),75.0)</f>
        <v>75</v>
      </c>
      <c r="AG58" s="292">
        <f>IFERROR(__xludf.DUMMYFUNCTION("IFERROR(
  INDEX(
    FILTER(
      'Juma Recording forms'!$G:$G,
      TRIM('Juma Recording forms'!$F:$F) = TRIM($B58),
      'Juma Recording forms'!$AA:$AA = 2
    ),
    1
  ),
  ""Not Found""
)"),94.0)</f>
        <v>94</v>
      </c>
      <c r="AH58" s="292">
        <f>IFERROR(__xludf.DUMMYFUNCTION("IFERROR(
  INDEX(
    FILTER(
      'Juma Recording forms'!$G:$G,
      TRIM('Juma Recording forms'!$F:$F) = TRIM($B58),
      'Juma Recording forms'!$AA:$AA = 3
    ),
    1
  ),
  ""Not Found""
)"),94.0)</f>
        <v>94</v>
      </c>
      <c r="AI58" s="292" t="str">
        <f>IFERROR(__xludf.DUMMYFUNCTION("IFERROR(
  INDEX(
    FILTER(
      'Juma Recording forms'!$G:$G,
      TRIM('Juma Recording forms'!$F:$F) = TRIM($B58),
      'Juma Recording forms'!$AA:$AA = 4
    ),
    1
  ),
  ""Not Found""
)"),"Not Found")</f>
        <v>Not Found</v>
      </c>
      <c r="AJ58" s="292" t="str">
        <f>IFERROR(__xludf.DUMMYFUNCTION("IFERROR(
  INDEX(
    FILTER(
      'Juma Recording forms'!$G:$G,
      TRIM('Juma Recording forms'!$F:$F) = TRIM($B58),
      'Juma Recording forms'!$AA:$AA = 5
    ),
    1
  ),
  ""Not Found""
)"),"Not Found")</f>
        <v>Not Found</v>
      </c>
      <c r="AK58" s="292" t="str">
        <f>IFERROR(__xludf.DUMMYFUNCTION("IFERROR(
  INDEX(
    FILTER(
      'Juma Recording forms'!$G:$G,
      TRIM('Juma Recording forms'!$F:$F) = TRIM($B58),
      'Juma Recording forms'!$AA:$AA = 6
    ),
    1
  ),
  ""Not Found""
)"),"Not Found")</f>
        <v>Not Found</v>
      </c>
      <c r="AL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1!$E:$E"")=$B58) *
        (IMPORTRANGE(""https://docs.google.com/spreadsheets/d/161aHT6vVT3SLneTKD19N5qVWtnj_jIT8CSsOmUVKmaA/ed"&amp;"it?gid=1761053510"",
          ""Haris_Form responses 1!$AQ:$AQ"")=1)
      ),
      1
    ),
    ""0""
  ),
  ""Form not found""
)
"),"9")</f>
        <v>9</v>
      </c>
      <c r="AM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1!$E:$E"")=$B58) *
        (IMPORTRANGE(""https://docs.google.com/spreadsheets/d/161aHT6vVT3SLneTKD19N5qVWtnj_jIT8CSsOmUVKmaA/ed"&amp;"it?gid=1761053510"",
          ""Haris_Form responses 1!$AQ:$AQ"")=2)
      ),
      1
    ),
    ""0""
  ),
  ""Form not found""
)
"),"10")</f>
        <v>10</v>
      </c>
      <c r="AN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1!$E:$E"")=$B58) *
        (IMPORTRANGE(""https://docs.google.com/spreadsheets/d/161aHT6vVT3SLneTKD19N5qVWtnj_jIT8CSsOmUVKmaA/ed"&amp;"it?gid=1761053510"",
          ""Haris_Form responses 1!$AQ:$AQ"")=3)
      ),
      1
    ),
    ""0""
  ),
  ""Form not found""
)
"),"0")</f>
        <v>0</v>
      </c>
      <c r="AO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1!$E:$E"")=$B58) *
        (IMPORTRANGE(""https://docs.google.com/spreadsheets/d/161aHT6vVT3SLneTKD19N5qVWtnj_jIT8CSsOmUVKmaA/ed"&amp;"it?gid=1761053510"",
          ""Haris_Form responses 1!$AQ:$AQ"")=4)
      ),
      1
    ),
    ""0""
  ),
  ""Form not found""
)
"),"Form not found")</f>
        <v>Form not found</v>
      </c>
      <c r="AP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1!$E:$E"")=$B58) *
        (IMPORTRANGE(""https://docs.google.com/spreadsheets/d/161aHT6vVT3SLneTKD19N5qVWtnj_jIT8CSsOmUVKmaA/ed"&amp;"it?gid=1761053510"",
          ""Haris_Form responses 1!$AQ:$AQ"")=5)
      ),
      1
    ),
    ""0""
  ),
  ""Form not found""
)
"),"Form not found")</f>
        <v>Form not found</v>
      </c>
      <c r="AQ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1!$E:$E"")=$B58) *
        (IMPORTRANGE(""https://docs.google.com/spreadsheets/d/161aHT6vVT3SLneTKD19N5qVWtnj_jIT8CSsOmUVKmaA/ed"&amp;"it?gid=1761053510"",
          ""Haris_Form responses 1!$AQ:$AQ"")=6)
      ),
      1
    ),
    ""0""
  ),
  ""Form not found""
)
"),"Form not found")</f>
        <v>Form not found</v>
      </c>
      <c r="AR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1!$E:$E"")=$B58) *
        (IMPORTRANGE(""https://docs.google.com/spreadsheets/d/161aHT6vVT3SLneTKD19N5qVWtnj_jIT8CSsOmUVKmaA/ed"&amp;"it?gid=1761053510"",
          ""Haris_Form responses 1!$AQ:$AQ"")=1)
      ),
      1
    ),
    ""0""
  ),
  ""Form not found""
)
"),"1")</f>
        <v>1</v>
      </c>
      <c r="AS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1!$E:$E"")=$B58) *
        (IMPORTRANGE(""https://docs.google.com/spreadsheets/d/161aHT6vVT3SLneTKD19N5qVWtnj_jIT8CSsOmUVKmaA/ed"&amp;"it?gid=1761053510"",
          ""Haris_Form responses 1!$AQ:$AQ"")=2)
      ),
      1
    ),
    ""0""
  ),
  ""Form not found""
)
"),"0")</f>
        <v>0</v>
      </c>
      <c r="AT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1!$E:$E"")=$B58) *
        (IMPORTRANGE(""https://docs.google.com/spreadsheets/d/161aHT6vVT3SLneTKD19N5qVWtnj_jIT8CSsOmUVKmaA/ed"&amp;"it?gid=1761053510"",
          ""Haris_Form responses 1!$AQ:$AQ"")=3)
      ),
      1
    ),
    ""0""
  ),
  ""Form not found""
)
"),"0")</f>
        <v>0</v>
      </c>
      <c r="AU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1!$E:$E"")=$B58) *
        (IMPORTRANGE(""https://docs.google.com/spreadsheets/d/161aHT6vVT3SLneTKD19N5qVWtnj_jIT8CSsOmUVKmaA/ed"&amp;"it?gid=1761053510"",
          ""Haris_Form responses 1!$AQ:$AQ"")=4)
      ),
      1
    ),
    ""0""
  ),
  ""Form not found""
)
"),"Form not found")</f>
        <v>Form not found</v>
      </c>
      <c r="AV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1!$E:$E"")=$B58) *
        (IMPORTRANGE(""https://docs.google.com/spreadsheets/d/161aHT6vVT3SLneTKD19N5qVWtnj_jIT8CSsOmUVKmaA/ed"&amp;"it?gid=1761053510"",
          ""Haris_Form responses 1!$AQ:$AQ"")=5)
      ),
      1
    ),
    ""0""
  ),
  ""Form not found""
)
"),"Form not found")</f>
        <v>Form not found</v>
      </c>
      <c r="AW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1!$E:$E"")=$B58) *
        (IMPORTRANGE(""https://docs.google.com/spreadsheets/d/161aHT6vVT3SLneTKD19N5qVWtnj_jIT8CSsOmUVKmaA/ed"&amp;"it?gid=1761053510"",
          ""Haris_Form responses 1!$AQ:$AQ"")=6)
      ),
      1
    ),
    ""0""
  ),
  ""Form not found""
)
"),"Form not found")</f>
        <v>Form not found</v>
      </c>
      <c r="AX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1!$E:$E"")=$B58) *
        (IMPORTRANGE(""https://docs.google.com/spreadsheets/d/161aHT6vVT3SLneTKD19N5qVWtnj_jIT8CSsOmUVKmaA/ed"&amp;"it?gid=1761053510"",
          ""Haris_Form responses 1!$AQ:$AQ"")=1)
      ),
      1
    ),
    ""0""
  ),
  ""Form not found""
)
"),"9")</f>
        <v>9</v>
      </c>
      <c r="AY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1!$E:$E"")=$B58) *
        (IMPORTRANGE(""https://docs.google.com/spreadsheets/d/161aHT6vVT3SLneTKD19N5qVWtnj_jIT8CSsOmUVKmaA/ed"&amp;"it?gid=1761053510"",
          ""Haris_Form responses 1!$AQ:$AQ"")=2)
      ),
      1
    ),
    ""0""
  ),
  ""Form not found""
)
"),"10")</f>
        <v>10</v>
      </c>
      <c r="AZ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1!$E:$E"")=$B58) *
        (IMPORTRANGE(""https://docs.google.com/spreadsheets/d/161aHT6vVT3SLneTKD19N5qVWtnj_jIT8CSsOmUVKmaA/ed"&amp;"it?gid=1761053510"",
          ""Haris_Form responses 1!$AQ:$AQ"")=3)
      ),
      1
    ),
    ""0""
  ),
  ""Form not found""
)
"),"0")</f>
        <v>0</v>
      </c>
      <c r="BA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1!$E:$E"")=$B58) *
        (IMPORTRANGE(""https://docs.google.com/spreadsheets/d/161aHT6vVT3SLneTKD19N5qVWtnj_jIT8CSsOmUVKmaA/ed"&amp;"it?gid=1761053510"",
          ""Haris_Form responses 1!$AQ:$AQ"")=4)
      ),
      1
    ),
    ""0""
  ),
  ""Form not found""
)
"),"Form not found")</f>
        <v>Form not found</v>
      </c>
      <c r="BB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1!$E:$E"")=$B58) *
        (IMPORTRANGE(""https://docs.google.com/spreadsheets/d/161aHT6vVT3SLneTKD19N5qVWtnj_jIT8CSsOmUVKmaA/ed"&amp;"it?gid=1761053510"",
          ""Haris_Form responses 1!$AQ:$AQ"")=5)
      ),
      1
    ),
    ""0""
  ),
  ""Form not found""
)
"),"Form not found")</f>
        <v>Form not found</v>
      </c>
      <c r="BC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1!$E:$E"")=$B58) *
        (IMPORTRANGE(""https://docs.google.com/spreadsheets/d/161aHT6vVT3SLneTKD19N5qVWtnj_jIT8CSsOmUVKmaA/ed"&amp;"it?gid=1761053510"",
          ""Haris_Form responses 1!$AQ:$AQ"")=6)
      ),
      1
    ),
    ""0""
  ),
  ""Form not found""
)
"),"Form not found")</f>
        <v>Form not found</v>
      </c>
      <c r="BD58" s="293"/>
    </row>
    <row r="59">
      <c r="A59" s="283" t="str">
        <f>IFERROR(__xludf.DUMMYFUNCTION("VLOOKUP($B59,IMPORTRANGE(""https://docs.google.com/spreadsheets/d/1VNXDITjs75AcgdBSW27oL1VZH31udDprJSsBcE5xlp4/edit?gid=1551188038#gid=1551188038"", ""Sheet9!$B:$E""),2,false)"),"Lahore")</f>
        <v>Lahore</v>
      </c>
      <c r="B59" s="283" t="s">
        <v>3201</v>
      </c>
      <c r="C59" s="284" t="str">
        <f>IFERROR(__xludf.DUMMYFUNCTION("VLOOKUP(TRIM($B59), IMPORTRANGE(""https://docs.google.com/spreadsheets/d/1aSOrU4PTpuBZqfitKaH1Rfww6-YOiNCKoBpPl8XBHaw/edit?gid=0#gid=0"", ""sheet3!$B:$C""), 2, FALSE)
"),"Jamia Masjid Sheer Shah Wali Lahore")</f>
        <v>Jamia Masjid Sheer Shah Wali Lahore</v>
      </c>
      <c r="D59" s="284" t="str">
        <f>IFERROR(__xludf.DUMMYFUNCTION("IFERROR(
  INDEX(
    FILTER(
      IMPORTRANGE(""1aSOrU4PTpuBZqfitKaH1Rfww6-YOiNCKoBpPl8XBHaw/edit?gid=0#gid=0"",""Sheet1!G:G""),
      IMPORTRANGE(""1aSOrU4PTpuBZqfitKaH1Rfww6-YOiNCKoBpPl8XBHaw/edit?gid=0#gid=0"",""Sheet1!C:C"")=$B59
    ),
    1
  ),
 "&amp;" ""Not Found""
)"),"Control")</f>
        <v>Control</v>
      </c>
      <c r="E59" s="284" t="str">
        <f>VLOOKUP(B59,'Juma Recording forms'!A:E,5,false)</f>
        <v>Jamia Masjid Sheer Shah Wali Lahore</v>
      </c>
      <c r="F59" s="284" t="str">
        <f>IFERROR(__xludf.DUMMYFUNCTION("IFERROR(
  INDEX(
    FILTER(
      IMPORTRANGE(""1Cxrhp3-_-HS7v9uuqQliiIfrmMP4VaFoDNDWyUFy2J8/edit?gid=0#gid=0"",""Sheet1!Q:Q""),
      IMPORTRANGE(""1Cxrhp3-_-HS7v9uuqQliiIfrmMP4VaFoDNDWyUFy2J8/edit?gid=0#gid=0"",""Sheet1!K:K"")=$B59
    ),
    1
  ),
 "&amp;" ""Not Found""
)"),"Abu Bakar Farooq")</f>
        <v>Abu Bakar Farooq</v>
      </c>
      <c r="G59" s="284">
        <v>1850.0</v>
      </c>
      <c r="H59" s="284" t="s">
        <v>4826</v>
      </c>
      <c r="I59" s="285"/>
      <c r="J59" s="286">
        <v>2.0</v>
      </c>
      <c r="K59" s="287" t="str">
        <f>VLOOKUP($B59,'Mosque Locations'!$A:$E,3,FALSE)
</f>
        <v>https://maps.google.com/maps?q=31.5908317%2C74.3130167&amp;z=17&amp;hl=en</v>
      </c>
      <c r="L59" s="286">
        <f>VLOOKUP($B59,'Mosque Locations'!$A:$E,4,FALSE)
</f>
        <v>31.5908317</v>
      </c>
      <c r="M59" s="286">
        <f>VLOOKUP($B59,'Mosque Locations'!$A:$E,5,false)</f>
        <v>74.3130167</v>
      </c>
      <c r="N59" s="288"/>
      <c r="O59" s="288"/>
      <c r="P59" s="288"/>
      <c r="Q59" s="289" t="str">
        <f>IFERROR(__xludf.DUMMYFUNCTION("IFERROR(
  INDEX(
    FILTER(
      IMPORTRANGE(""1SnQ_YxUmBUYKsKc82GyPPovLO-EPrfZxsJ0V0UbhezI/edit?gid=590869320#gid=590869320"",""Form Responses 1!AB:AB""),
      IMPORTRANGE(""1SnQ_YxUmBUYKsKc82GyPPovLO-EPrfZxsJ0V0UbhezI/edit?gid=590869320#gid=59086932"&amp;"0"",""Form Responses 1!E:E"")=$B59
    ),
    1
  ),
  ""Not Found""
)"),"https://drive.google.com/open?id=1vOlaOiCwCzUM798ls2idrdbN1erRLgEd")</f>
        <v>https://drive.google.com/open?id=1vOlaOiCwCzUM798ls2idrdbN1erRLgEd</v>
      </c>
      <c r="R59" s="294" t="str">
        <f>IFERROR(__xludf.DUMMYFUNCTION("IFERROR(
  INDEX(
    FILTER(
      IMPORTRANGE(""1SnQ_YxUmBUYKsKc82GyPPovLO-EPrfZxsJ0V0UbhezI"",""Form Responses 1!AA:AA""),
      TRIM(IMPORTRANGE(""1SnQ_YxUmBUYKsKc82GyPPovLO-EPrfZxsJ0V0UbhezI"",""Form Responses 1!E:E""))=TRIM($B59)
    ),
    1
  ),
 "&amp;" ""Not Found""
)
"),"https://drive.google.com/open?id=1x9R0ZU_6hSIn886mneCQ8o7tcmQfbJWR, https://drive.google.com/open?id=1FxhpUGf9kBJ6ejMbOYwtQV5cRaxaB370")</f>
        <v>https://drive.google.com/open?id=1x9R0ZU_6hSIn886mneCQ8o7tcmQfbJWR, https://drive.google.com/open?id=1FxhpUGf9kBJ6ejMbOYwtQV5cRaxaB370</v>
      </c>
      <c r="S59" s="285"/>
      <c r="T59" s="290" t="str">
        <f>VLOOKUP($B59,'Master Tracker'!$D:$E,2,false)</f>
        <v>https://drive.google.com/open?id=1ExJNZBRG7xwZjCAxA2LnWwvh0CiFjXuR</v>
      </c>
      <c r="U59" s="291" t="str">
        <f>VLOOKUP($B59,'Master Tracker'!$D:$T,4,FALSE)
</f>
        <v>https://drive.google.com/open?id=1Bh16WjXasnT6y4TMuYsI0neL05hnSHrd</v>
      </c>
      <c r="V59" s="284" t="str">
        <f>VLOOKUP($B59,'Master Tracker'!$D:$T,5,false)</f>
        <v>Not Found</v>
      </c>
      <c r="W59" s="292" t="str">
        <f>VLOOKUP($B59,'Master Tracker'!$D:$T,7,false)</f>
        <v>Not Found</v>
      </c>
      <c r="X59" s="290" t="str">
        <f>VLOOKUP($B59,'Master Tracker'!$D:$T,8,false)</f>
        <v>https://drive.google.com/open?id=1l56qhoECSePdA3RVPfJ0iiA_yCP9mz9n</v>
      </c>
      <c r="Y59" s="291" t="str">
        <f>VLOOKUP($B59,'Master Tracker'!$D:$T,10,false)</f>
        <v>https://drive.google.com/open?id=1ZYjDlW7xh1fU4U9u-43A6q4NuQLxITBT</v>
      </c>
      <c r="Z59" s="284" t="str">
        <f>VLOOKUP($B59,'Master Tracker'!$D:$T,11,false)</f>
        <v>Not Found</v>
      </c>
      <c r="AA59" s="292" t="str">
        <f>VLOOKUP($B59,'Master Tracker'!$D:$T,13,false)</f>
        <v>Not Found</v>
      </c>
      <c r="AB59" s="284" t="str">
        <f>VLOOKUP($B59,'Master Tracker'!$D:$T,14,false)</f>
        <v>Not Found</v>
      </c>
      <c r="AC59" s="292" t="str">
        <f>VLOOKUP($B59,'Master Tracker'!$D:$T,16,false)</f>
        <v>Not Found</v>
      </c>
      <c r="AD59" s="292" t="str">
        <f>VLOOKUP($B59,'Master Tracker'!$D:$T,17,false)</f>
        <v>Not Found</v>
      </c>
      <c r="AE59" s="292" t="str">
        <f>VLOOKUP($B59,'Master Tracker'!$D:$V,19,false)</f>
        <v>Not Found</v>
      </c>
      <c r="AF59" s="292">
        <f>IFERROR(__xludf.DUMMYFUNCTION("IFERROR(
  INDEX(
    FILTER(
      'Juma Recording forms'!$G:$G,
      TRIM('Juma Recording forms'!$F:$F) = TRIM($B59),
      'Juma Recording forms'!$AA:$AA = 1
    ),
    1
  ),
  ""Not Found""
)"),86.0)</f>
        <v>86</v>
      </c>
      <c r="AG59" s="292" t="str">
        <f>IFERROR(__xludf.DUMMYFUNCTION("IFERROR(
  INDEX(
    FILTER(
      'Juma Recording forms'!$G:$G,
      TRIM('Juma Recording forms'!$F:$F) = TRIM($B59),
      'Juma Recording forms'!$AA:$AA = 2
    ),
    1
  ),
  ""Not Found""
)"),"Not Found")</f>
        <v>Not Found</v>
      </c>
      <c r="AH59" s="292">
        <f>IFERROR(__xludf.DUMMYFUNCTION("IFERROR(
  INDEX(
    FILTER(
      'Juma Recording forms'!$G:$G,
      TRIM('Juma Recording forms'!$F:$F) = TRIM($B59),
      'Juma Recording forms'!$AA:$AA = 3
    ),
    1
  ),
  ""Not Found""
)"),90.0)</f>
        <v>90</v>
      </c>
      <c r="AI59" s="292" t="str">
        <f>IFERROR(__xludf.DUMMYFUNCTION("IFERROR(
  INDEX(
    FILTER(
      'Juma Recording forms'!$G:$G,
      TRIM('Juma Recording forms'!$F:$F) = TRIM($B59),
      'Juma Recording forms'!$AA:$AA = 4
    ),
    1
  ),
  ""Not Found""
)"),"Not Found")</f>
        <v>Not Found</v>
      </c>
      <c r="AJ59" s="292" t="str">
        <f>IFERROR(__xludf.DUMMYFUNCTION("IFERROR(
  INDEX(
    FILTER(
      'Juma Recording forms'!$G:$G,
      TRIM('Juma Recording forms'!$F:$F) = TRIM($B59),
      'Juma Recording forms'!$AA:$AA = 5
    ),
    1
  ),
  ""Not Found""
)"),"Not Found")</f>
        <v>Not Found</v>
      </c>
      <c r="AK59" s="292"/>
      <c r="AL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1!$E:$E"")=$B59) *
        (IMPORTRANGE(""https://docs.google.com/spreadsheets/d/161aHT6vVT3SLneTKD19N5qVWtnj_jIT8CSsOmUVKmaA/ed"&amp;"it?gid=1761053510"",
          ""Haris_Form responses 1!$AQ:$AQ"")=1)
      ),
      1
    ),
    ""0""
  ),
  ""Form not found""
)
"),"0")</f>
        <v>0</v>
      </c>
      <c r="AM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1!$E:$E"")=$B59) *
        (IMPORTRANGE(""https://docs.google.com/spreadsheets/d/161aHT6vVT3SLneTKD19N5qVWtnj_jIT8CSsOmUVKmaA/ed"&amp;"it?gid=1761053510"",
          ""Haris_Form responses 1!$AQ:$AQ"")=2)
      ),
      1
    ),
    ""0""
  ),
  ""Form not found""
)
"),"Form not found")</f>
        <v>Form not found</v>
      </c>
      <c r="AN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1!$E:$E"")=$B59) *
        (IMPORTRANGE(""https://docs.google.com/spreadsheets/d/161aHT6vVT3SLneTKD19N5qVWtnj_jIT8CSsOmUVKmaA/ed"&amp;"it?gid=1761053510"",
          ""Haris_Form responses 1!$AQ:$AQ"")=3)
      ),
      1
    ),
    ""0""
  ),
  ""Form not found""
)
"),"0")</f>
        <v>0</v>
      </c>
      <c r="AO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1!$E:$E"")=$B59) *
        (IMPORTRANGE(""https://docs.google.com/spreadsheets/d/161aHT6vVT3SLneTKD19N5qVWtnj_jIT8CSsOmUVKmaA/ed"&amp;"it?gid=1761053510"",
          ""Haris_Form responses 1!$AQ:$AQ"")=4)
      ),
      1
    ),
    ""0""
  ),
  ""Form not found""
)
"),"Form not found")</f>
        <v>Form not found</v>
      </c>
      <c r="AP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1!$E:$E"")=$B59) *
        (IMPORTRANGE(""https://docs.google.com/spreadsheets/d/161aHT6vVT3SLneTKD19N5qVWtnj_jIT8CSsOmUVKmaA/ed"&amp;"it?gid=1761053510"",
          ""Haris_Form responses 1!$AQ:$AQ"")=5)
      ),
      1
    ),
    ""0""
  ),
  ""Form not found""
)
"),"Form not found")</f>
        <v>Form not found</v>
      </c>
      <c r="AQ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1!$E:$E"")=$B59) *
        (IMPORTRANGE(""https://docs.google.com/spreadsheets/d/161aHT6vVT3SLneTKD19N5qVWtnj_jIT8CSsOmUVKmaA/ed"&amp;"it?gid=1761053510"",
          ""Haris_Form responses 1!$AQ:$AQ"")=6)
      ),
      1
    ),
    ""0""
  ),
  ""Form not found""
)
"),"Form not found")</f>
        <v>Form not found</v>
      </c>
      <c r="AR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1!$E:$E"")=$B59) *
        (IMPORTRANGE(""https://docs.google.com/spreadsheets/d/161aHT6vVT3SLneTKD19N5qVWtnj_jIT8CSsOmUVKmaA/ed"&amp;"it?gid=1761053510"",
          ""Haris_Form responses 1!$AQ:$AQ"")=1)
      ),
      1
    ),
    ""0""
  ),
  ""Form not found""
)
"),"0")</f>
        <v>0</v>
      </c>
      <c r="AS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1!$E:$E"")=$B59) *
        (IMPORTRANGE(""https://docs.google.com/spreadsheets/d/161aHT6vVT3SLneTKD19N5qVWtnj_jIT8CSsOmUVKmaA/ed"&amp;"it?gid=1761053510"",
          ""Haris_Form responses 1!$AQ:$AQ"")=2)
      ),
      1
    ),
    ""0""
  ),
  ""Form not found""
)
"),"Form not found")</f>
        <v>Form not found</v>
      </c>
      <c r="AT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1!$E:$E"")=$B59) *
        (IMPORTRANGE(""https://docs.google.com/spreadsheets/d/161aHT6vVT3SLneTKD19N5qVWtnj_jIT8CSsOmUVKmaA/ed"&amp;"it?gid=1761053510"",
          ""Haris_Form responses 1!$AQ:$AQ"")=3)
      ),
      1
    ),
    ""0""
  ),
  ""Form not found""
)
"),"0")</f>
        <v>0</v>
      </c>
      <c r="AU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1!$E:$E"")=$B59) *
        (IMPORTRANGE(""https://docs.google.com/spreadsheets/d/161aHT6vVT3SLneTKD19N5qVWtnj_jIT8CSsOmUVKmaA/ed"&amp;"it?gid=1761053510"",
          ""Haris_Form responses 1!$AQ:$AQ"")=4)
      ),
      1
    ),
    ""0""
  ),
  ""Form not found""
)
"),"Form not found")</f>
        <v>Form not found</v>
      </c>
      <c r="AV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1!$E:$E"")=$B59) *
        (IMPORTRANGE(""https://docs.google.com/spreadsheets/d/161aHT6vVT3SLneTKD19N5qVWtnj_jIT8CSsOmUVKmaA/ed"&amp;"it?gid=1761053510"",
          ""Haris_Form responses 1!$AQ:$AQ"")=5)
      ),
      1
    ),
    ""0""
  ),
  ""Form not found""
)
"),"Form not found")</f>
        <v>Form not found</v>
      </c>
      <c r="AW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1!$E:$E"")=$B59) *
        (IMPORTRANGE(""https://docs.google.com/spreadsheets/d/161aHT6vVT3SLneTKD19N5qVWtnj_jIT8CSsOmUVKmaA/ed"&amp;"it?gid=1761053510"",
          ""Haris_Form responses 1!$AQ:$AQ"")=6)
      ),
      1
    ),
    ""0""
  ),
  ""Form not found""
)
"),"Form not found")</f>
        <v>Form not found</v>
      </c>
      <c r="AX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1!$E:$E"")=$B59) *
        (IMPORTRANGE(""https://docs.google.com/spreadsheets/d/161aHT6vVT3SLneTKD19N5qVWtnj_jIT8CSsOmUVKmaA/ed"&amp;"it?gid=1761053510"",
          ""Haris_Form responses 1!$AQ:$AQ"")=1)
      ),
      1
    ),
    ""0""
  ),
  ""Form not found""
)
"),"0")</f>
        <v>0</v>
      </c>
      <c r="AY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1!$E:$E"")=$B59) *
        (IMPORTRANGE(""https://docs.google.com/spreadsheets/d/161aHT6vVT3SLneTKD19N5qVWtnj_jIT8CSsOmUVKmaA/ed"&amp;"it?gid=1761053510"",
          ""Haris_Form responses 1!$AQ:$AQ"")=2)
      ),
      1
    ),
    ""0""
  ),
  ""Form not found""
)
"),"Form not found")</f>
        <v>Form not found</v>
      </c>
      <c r="AZ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1!$E:$E"")=$B59) *
        (IMPORTRANGE(""https://docs.google.com/spreadsheets/d/161aHT6vVT3SLneTKD19N5qVWtnj_jIT8CSsOmUVKmaA/ed"&amp;"it?gid=1761053510"",
          ""Haris_Form responses 1!$AQ:$AQ"")=3)
      ),
      1
    ),
    ""0""
  ),
  ""Form not found""
)
"),"0")</f>
        <v>0</v>
      </c>
      <c r="BA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1!$E:$E"")=$B59) *
        (IMPORTRANGE(""https://docs.google.com/spreadsheets/d/161aHT6vVT3SLneTKD19N5qVWtnj_jIT8CSsOmUVKmaA/ed"&amp;"it?gid=1761053510"",
          ""Haris_Form responses 1!$AQ:$AQ"")=4)
      ),
      1
    ),
    ""0""
  ),
  ""Form not found""
)
"),"Form not found")</f>
        <v>Form not found</v>
      </c>
      <c r="BB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1!$E:$E"")=$B59) *
        (IMPORTRANGE(""https://docs.google.com/spreadsheets/d/161aHT6vVT3SLneTKD19N5qVWtnj_jIT8CSsOmUVKmaA/ed"&amp;"it?gid=1761053510"",
          ""Haris_Form responses 1!$AQ:$AQ"")=5)
      ),
      1
    ),
    ""0""
  ),
  ""Form not found""
)
"),"Form not found")</f>
        <v>Form not found</v>
      </c>
      <c r="BC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1!$E:$E"")=$B59) *
        (IMPORTRANGE(""https://docs.google.com/spreadsheets/d/161aHT6vVT3SLneTKD19N5qVWtnj_jIT8CSsOmUVKmaA/ed"&amp;"it?gid=1761053510"",
          ""Haris_Form responses 1!$AQ:$AQ"")=6)
      ),
      1
    ),
    ""0""
  ),
  ""Form not found""
)
"),"Form not found")</f>
        <v>Form not found</v>
      </c>
      <c r="BD59" s="293"/>
    </row>
    <row r="60">
      <c r="A60" s="283" t="str">
        <f>IFERROR(__xludf.DUMMYFUNCTION("VLOOKUP($B60,IMPORTRANGE(""https://docs.google.com/spreadsheets/d/1VNXDITjs75AcgdBSW27oL1VZH31udDprJSsBcE5xlp4/edit?gid=1551188038#gid=1551188038"", ""Sheet9!$B:$E""),2,false)"),"Lahore")</f>
        <v>Lahore</v>
      </c>
      <c r="B60" s="283" t="s">
        <v>3472</v>
      </c>
      <c r="C60" s="284" t="str">
        <f>IFERROR(__xludf.DUMMYFUNCTION("VLOOKUP(TRIM($B60), IMPORTRANGE(""https://docs.google.com/spreadsheets/d/1aSOrU4PTpuBZqfitKaH1Rfww6-YOiNCKoBpPl8XBHaw/edit?gid=0#gid=0"", ""sheet3!$B:$C""), 2, FALSE)
"),"Jamia Masjid Bazaad Hata Lahore")</f>
        <v>Jamia Masjid Bazaad Hata Lahore</v>
      </c>
      <c r="D60" s="284" t="str">
        <f>IFERROR(__xludf.DUMMYFUNCTION("IFERROR(
  INDEX(
    FILTER(
      IMPORTRANGE(""1aSOrU4PTpuBZqfitKaH1Rfww6-YOiNCKoBpPl8XBHaw/edit?gid=0#gid=0"",""Sheet1!G:G""),
      IMPORTRANGE(""1aSOrU4PTpuBZqfitKaH1Rfww6-YOiNCKoBpPl8XBHaw/edit?gid=0#gid=0"",""Sheet1!C:C"")=$B60
    ),
    1
  ),
 "&amp;" ""Not Found""
)"),"Women Secular Info Share")</f>
        <v>Women Secular Info Share</v>
      </c>
      <c r="E60" s="284" t="str">
        <f>VLOOKUP(B60,'Juma Recording forms'!A:E,5,false)</f>
        <v>Masjid Khulfa Rashidin Hata Bazar Rang Mahal</v>
      </c>
      <c r="F60" s="284" t="str">
        <f>IFERROR(__xludf.DUMMYFUNCTION("IFERROR(
  INDEX(
    FILTER(
      IMPORTRANGE(""1Cxrhp3-_-HS7v9uuqQliiIfrmMP4VaFoDNDWyUFy2J8/edit?gid=0#gid=0"",""Sheet1!Q:Q""),
      IMPORTRANGE(""1Cxrhp3-_-HS7v9uuqQliiIfrmMP4VaFoDNDWyUFy2J8/edit?gid=0#gid=0"",""Sheet1!K:K"")=$B60
    ),
    1
  ),
 "&amp;" ""Not Found""
)"),"Abdul Basit")</f>
        <v>Abdul Basit</v>
      </c>
      <c r="G60" s="284">
        <v>1997.0</v>
      </c>
      <c r="H60" s="284"/>
      <c r="I60" s="285"/>
      <c r="J60" s="286">
        <v>2.0</v>
      </c>
      <c r="K60" s="287" t="str">
        <f>VLOOKUP($B60,'Mosque Locations'!$A:$E,3,FALSE)
</f>
        <v>https://maps.google.com/maps?q=31.5831058%2C74.3184517&amp;z=17&amp;hl=en</v>
      </c>
      <c r="L60" s="286">
        <f>VLOOKUP($B60,'Mosque Locations'!$A:$E,4,FALSE)
</f>
        <v>31.58311</v>
      </c>
      <c r="M60" s="286">
        <f>VLOOKUP($B60,'Mosque Locations'!$A:$E,5,false)</f>
        <v>74.31845</v>
      </c>
      <c r="N60" s="288"/>
      <c r="O60" s="288"/>
      <c r="P60" s="288"/>
      <c r="Q60" s="294" t="str">
        <f>IFERROR(__xludf.DUMMYFUNCTION("IFERROR(
  INDEX(
    FILTER(
      IMPORTRANGE(""1SnQ_YxUmBUYKsKc82GyPPovLO-EPrfZxsJ0V0UbhezI/edit?gid=590869320#gid=590869320"",""Form Responses 1!AB:AB""),
      IMPORTRANGE(""1SnQ_YxUmBUYKsKc82GyPPovLO-EPrfZxsJ0V0UbhezI/edit?gid=590869320#gid=59086932"&amp;"0"",""Form Responses 1!E:E"")=$B60
    ),
    1
  ),
  ""Not Found""
)"),"https://drive.google.com/open?id=14KX0GLhDqGB9f2i9oj8iMQ63xAbcB2Rt, https://drive.google.com/open?id=1_djUUqvSO2el91ek7Iu1B2rRAbhPzxxn, https://drive.google.com/open?id=118S8Wz0n82A8qrsO-bk-lrjA_j94MJPQ, https://drive.google.com/open?id=1dp-em5kz4GsePo-MT"&amp;"L1sv6iW15Y-IC8d, https://drive.google.com/open?id=155-J3vxuzEzZMXILCXO922SRx7u650P0")</f>
        <v>https://drive.google.com/open?id=14KX0GLhDqGB9f2i9oj8iMQ63xAbcB2Rt, https://drive.google.com/open?id=1_djUUqvSO2el91ek7Iu1B2rRAbhPzxxn, https://drive.google.com/open?id=118S8Wz0n82A8qrsO-bk-lrjA_j94MJPQ, https://drive.google.com/open?id=1dp-em5kz4GsePo-MTL1sv6iW15Y-IC8d, https://drive.google.com/open?id=155-J3vxuzEzZMXILCXO922SRx7u650P0</v>
      </c>
      <c r="R60" s="294" t="str">
        <f>IFERROR(__xludf.DUMMYFUNCTION("IFERROR(
  INDEX(
    FILTER(
      IMPORTRANGE(""1SnQ_YxUmBUYKsKc82GyPPovLO-EPrfZxsJ0V0UbhezI"",""Form Responses 1!AA:AA""),
      TRIM(IMPORTRANGE(""1SnQ_YxUmBUYKsKc82GyPPovLO-EPrfZxsJ0V0UbhezI"",""Form Responses 1!E:E""))=TRIM($B60)
    ),
    1
  ),
 "&amp;" ""Not Found""
)
"),"https://drive.google.com/open?id=1MsKv_tUrcc0P4YpnbqEhkKZ6UzNtiveo, https://drive.google.com/open?id=13sQQl9eEDspsXNjll5Q_wcU6w4wTvscx, https://drive.google.com/open?id=1oCmhI_HQPhfHoaZl5Vf2vWTh2njz44-0")</f>
        <v>https://drive.google.com/open?id=1MsKv_tUrcc0P4YpnbqEhkKZ6UzNtiveo, https://drive.google.com/open?id=13sQQl9eEDspsXNjll5Q_wcU6w4wTvscx, https://drive.google.com/open?id=1oCmhI_HQPhfHoaZl5Vf2vWTh2njz44-0</v>
      </c>
      <c r="S60" s="285"/>
      <c r="T60" s="290" t="str">
        <f>VLOOKUP($B60,'Master Tracker'!$D:$E,2,false)</f>
        <v>https://drive.google.com/open?id=1n7SieE5OHcQDpxoUe1jNMJO1WoISIyPK</v>
      </c>
      <c r="U60" s="291" t="str">
        <f>VLOOKUP($B60,'Master Tracker'!$D:$T,4,FALSE)
</f>
        <v>https://drive.google.com/open?id=1tBUcXf7Eg23nwxVjX0fyr42z2lmyw_yC</v>
      </c>
      <c r="V60" s="290" t="str">
        <f>VLOOKUP($B60,'Master Tracker'!$D:$T,5,false)</f>
        <v>https://drive.google.com/open?id=1tKfIOxemE2cGXZZ0HAjrm-2eRvptq54x</v>
      </c>
      <c r="W60" s="291" t="str">
        <f>VLOOKUP($B60,'Master Tracker'!$D:$T,7,false)</f>
        <v>https://drive.google.com/open?id=1Dhfbckx-xfBuoGGx0ct5wASikaFW_VeM</v>
      </c>
      <c r="X60" s="290" t="str">
        <f>VLOOKUP($B60,'Master Tracker'!$D:$T,8,false)</f>
        <v>https://drive.google.com/open?id=1kQjag4SARco2L37H2bWZueBTRuBpxibx</v>
      </c>
      <c r="Y60" s="291" t="str">
        <f>VLOOKUP($B60,'Master Tracker'!$D:$T,10,false)</f>
        <v>https://drive.google.com/open?id=1tXo1qlbH2DwiqXQ4cZ1oo-XtB64Xc2Sn</v>
      </c>
      <c r="Z60" s="290" t="str">
        <f>VLOOKUP($B60,'Master Tracker'!$D:$T,11,false)</f>
        <v>https://drive.google.com/open?id=12_OKyRbr-L_haP3oSrEctC30GbLqtXiU</v>
      </c>
      <c r="AA60" s="291" t="str">
        <f>VLOOKUP($B60,'Master Tracker'!$D:$T,13,false)</f>
        <v>https://drive.google.com/open?id=1sv306HZuUHd_fRVu3MOtUdo1zaoG3N2d</v>
      </c>
      <c r="AB60" s="284" t="str">
        <f>VLOOKUP($B60,'Master Tracker'!$D:$T,14,false)</f>
        <v>Not Found</v>
      </c>
      <c r="AC60" s="292" t="str">
        <f>VLOOKUP($B60,'Master Tracker'!$D:$T,16,false)</f>
        <v>Not Found</v>
      </c>
      <c r="AD60" s="292" t="str">
        <f>VLOOKUP($B60,'Master Tracker'!$D:$T,17,false)</f>
        <v>Not Found</v>
      </c>
      <c r="AE60" s="292" t="str">
        <f>VLOOKUP($B60,'Master Tracker'!$D:$V,19,false)</f>
        <v>Not Found</v>
      </c>
      <c r="AF60" s="292">
        <f>IFERROR(__xludf.DUMMYFUNCTION("IFERROR(
  INDEX(
    FILTER(
      'Juma Recording forms'!$G:$G,
      TRIM('Juma Recording forms'!$F:$F) = TRIM($B60),
      'Juma Recording forms'!$AA:$AA = 1
    ),
    1
  ),
  ""Not Found""
)"),220.0)</f>
        <v>220</v>
      </c>
      <c r="AG60" s="292">
        <f>IFERROR(__xludf.DUMMYFUNCTION("IFERROR(
  INDEX(
    FILTER(
      'Juma Recording forms'!$G:$G,
      TRIM('Juma Recording forms'!$F:$F) = TRIM($B60),
      'Juma Recording forms'!$AA:$AA = 2
    ),
    1
  ),
  ""Not Found""
)"),200.0)</f>
        <v>200</v>
      </c>
      <c r="AH60" s="292">
        <f>IFERROR(__xludf.DUMMYFUNCTION("IFERROR(
  INDEX(
    FILTER(
      'Juma Recording forms'!$G:$G,
      TRIM('Juma Recording forms'!$F:$F) = TRIM($B60),
      'Juma Recording forms'!$AA:$AA = 2
    ),
    1
  ),
  ""Not Found""
)"),200.0)</f>
        <v>200</v>
      </c>
      <c r="AI60" s="292">
        <f>IFERROR(__xludf.DUMMYFUNCTION("IFERROR(
  INDEX(
    FILTER(
      'Juma Recording forms'!$G:$G,
      TRIM('Juma Recording forms'!$F:$F) = TRIM($B60),
      'Juma Recording forms'!$AA:$AA = 4
    ),
    1
  ),
  ""Not Found""
)"),210.0)</f>
        <v>210</v>
      </c>
      <c r="AJ60" s="292" t="str">
        <f>IFERROR(__xludf.DUMMYFUNCTION("IFERROR(
  INDEX(
    FILTER(
      'Juma Recording forms'!$G:$G,
      TRIM('Juma Recording forms'!$F:$F) = TRIM($B60),
      'Juma Recording forms'!$AA:$AA = 5
    ),
    1
  ),
  ""Not Found""
)"),"Not Found")</f>
        <v>Not Found</v>
      </c>
      <c r="AK60" s="292" t="str">
        <f>IFERROR(__xludf.DUMMYFUNCTION("IFERROR(
  INDEX(
    FILTER(
      'Juma Recording forms'!$G:$G,
      TRIM('Juma Recording forms'!$F:$F) = TRIM($B60),
      'Juma Recording forms'!$AA:$AA = 6
    ),
    1
  ),
  ""Not Found""
)"),"Not Found")</f>
        <v>Not Found</v>
      </c>
      <c r="AL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1!$E:$E"")=$B60) *
        (IMPORTRANGE(""https://docs.google.com/spreadsheets/d/161aHT6vVT3SLneTKD19N5qVWtnj_jIT8CSsOmUVKmaA/ed"&amp;"it?gid=1761053510"",
          ""Haris_Form responses 1!$AQ:$AQ"")=1)
      ),
      1
    ),
    ""0""
  ),
  ""Form not found""
)
"),"10")</f>
        <v>10</v>
      </c>
      <c r="AM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1!$E:$E"")=$B60) *
        (IMPORTRANGE(""https://docs.google.com/spreadsheets/d/161aHT6vVT3SLneTKD19N5qVWtnj_jIT8CSsOmUVKmaA/ed"&amp;"it?gid=1761053510"",
          ""Haris_Form responses 1!$AQ:$AQ"")=2)
      ),
      1
    ),
    ""0""
  ),
  ""Form not found""
)
"),"9")</f>
        <v>9</v>
      </c>
      <c r="AN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1!$E:$E"")=$B60) *
        (IMPORTRANGE(""https://docs.google.com/spreadsheets/d/161aHT6vVT3SLneTKD19N5qVWtnj_jIT8CSsOmUVKmaA/ed"&amp;"it?gid=1761053510"",
          ""Haris_Form responses 1!$AQ:$AQ"")=3)
      ),
      1
    ),
    ""0""
  ),
  ""Form not found""
)
"),"4")</f>
        <v>4</v>
      </c>
      <c r="AO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1!$E:$E"")=$B60) *
        (IMPORTRANGE(""https://docs.google.com/spreadsheets/d/161aHT6vVT3SLneTKD19N5qVWtnj_jIT8CSsOmUVKmaA/ed"&amp;"it?gid=1761053510"",
          ""Haris_Form responses 1!$AQ:$AQ"")=4)
      ),
      1
    ),
    ""0""
  ),
  ""Form not found""
)
"),"0")</f>
        <v>0</v>
      </c>
      <c r="AP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1!$E:$E"")=$B60) *
        (IMPORTRANGE(""https://docs.google.com/spreadsheets/d/161aHT6vVT3SLneTKD19N5qVWtnj_jIT8CSsOmUVKmaA/ed"&amp;"it?gid=1761053510"",
          ""Haris_Form responses 1!$AQ:$AQ"")=5)
      ),
      1
    ),
    ""0""
  ),
  ""Form not found""
)
"),"Form not found")</f>
        <v>Form not found</v>
      </c>
      <c r="AQ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1!$E:$E"")=$B60) *
        (IMPORTRANGE(""https://docs.google.com/spreadsheets/d/161aHT6vVT3SLneTKD19N5qVWtnj_jIT8CSsOmUVKmaA/ed"&amp;"it?gid=1761053510"",
          ""Haris_Form responses 1!$AQ:$AQ"")=6)
      ),
      1
    ),
    ""0""
  ),
  ""Form not found""
)
"),"Form not found")</f>
        <v>Form not found</v>
      </c>
      <c r="AR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1!$E:$E"")=$B60) *
        (IMPORTRANGE(""https://docs.google.com/spreadsheets/d/161aHT6vVT3SLneTKD19N5qVWtnj_jIT8CSsOmUVKmaA/ed"&amp;"it?gid=1761053510"",
          ""Haris_Form responses 1!$AQ:$AQ"")=1)
      ),
      1
    ),
    ""0""
  ),
  ""Form not found""
)
"),"0")</f>
        <v>0</v>
      </c>
      <c r="AS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1!$E:$E"")=$B60) *
        (IMPORTRANGE(""https://docs.google.com/spreadsheets/d/161aHT6vVT3SLneTKD19N5qVWtnj_jIT8CSsOmUVKmaA/ed"&amp;"it?gid=1761053510"",
          ""Haris_Form responses 1!$AQ:$AQ"")=2)
      ),
      1
    ),
    ""0""
  ),
  ""Form not found""
)
"),"0")</f>
        <v>0</v>
      </c>
      <c r="AT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1!$E:$E"")=$B60) *
        (IMPORTRANGE(""https://docs.google.com/spreadsheets/d/161aHT6vVT3SLneTKD19N5qVWtnj_jIT8CSsOmUVKmaA/ed"&amp;"it?gid=1761053510"",
          ""Haris_Form responses 1!$AQ:$AQ"")=3)
      ),
      1
    ),
    ""0""
  ),
  ""Form not found""
)
"),"0")</f>
        <v>0</v>
      </c>
      <c r="AU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1!$E:$E"")=$B60) *
        (IMPORTRANGE(""https://docs.google.com/spreadsheets/d/161aHT6vVT3SLneTKD19N5qVWtnj_jIT8CSsOmUVKmaA/ed"&amp;"it?gid=1761053510"",
          ""Haris_Form responses 1!$AQ:$AQ"")=4)
      ),
      1
    ),
    ""0""
  ),
  ""Form not found""
)
"),"0")</f>
        <v>0</v>
      </c>
      <c r="AV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1!$E:$E"")=$B60) *
        (IMPORTRANGE(""https://docs.google.com/spreadsheets/d/161aHT6vVT3SLneTKD19N5qVWtnj_jIT8CSsOmUVKmaA/ed"&amp;"it?gid=1761053510"",
          ""Haris_Form responses 1!$AQ:$AQ"")=5)
      ),
      1
    ),
    ""0""
  ),
  ""Form not found""
)
"),"Form not found")</f>
        <v>Form not found</v>
      </c>
      <c r="AW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1!$E:$E"")=$B60) *
        (IMPORTRANGE(""https://docs.google.com/spreadsheets/d/161aHT6vVT3SLneTKD19N5qVWtnj_jIT8CSsOmUVKmaA/ed"&amp;"it?gid=1761053510"",
          ""Haris_Form responses 1!$AQ:$AQ"")=6)
      ),
      1
    ),
    ""0""
  ),
  ""Form not found""
)
"),"Form not found")</f>
        <v>Form not found</v>
      </c>
      <c r="AX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1!$E:$E"")=$B60) *
        (IMPORTRANGE(""https://docs.google.com/spreadsheets/d/161aHT6vVT3SLneTKD19N5qVWtnj_jIT8CSsOmUVKmaA/ed"&amp;"it?gid=1761053510"",
          ""Haris_Form responses 1!$AQ:$AQ"")=1)
      ),
      1
    ),
    ""0""
  ),
  ""Form not found""
)
"),"10")</f>
        <v>10</v>
      </c>
      <c r="AY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1!$E:$E"")=$B60) *
        (IMPORTRANGE(""https://docs.google.com/spreadsheets/d/161aHT6vVT3SLneTKD19N5qVWtnj_jIT8CSsOmUVKmaA/ed"&amp;"it?gid=1761053510"",
          ""Haris_Form responses 1!$AQ:$AQ"")=2)
      ),
      1
    ),
    ""0""
  ),
  ""Form not found""
)
"),"9")</f>
        <v>9</v>
      </c>
      <c r="AZ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1!$E:$E"")=$B60) *
        (IMPORTRANGE(""https://docs.google.com/spreadsheets/d/161aHT6vVT3SLneTKD19N5qVWtnj_jIT8CSsOmUVKmaA/ed"&amp;"it?gid=1761053510"",
          ""Haris_Form responses 1!$AQ:$AQ"")=3)
      ),
      1
    ),
    ""0""
  ),
  ""Form not found""
)
"),"4")</f>
        <v>4</v>
      </c>
      <c r="BA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1!$E:$E"")=$B60) *
        (IMPORTRANGE(""https://docs.google.com/spreadsheets/d/161aHT6vVT3SLneTKD19N5qVWtnj_jIT8CSsOmUVKmaA/ed"&amp;"it?gid=1761053510"",
          ""Haris_Form responses 1!$AQ:$AQ"")=4)
      ),
      1
    ),
    ""0""
  ),
  ""Form not found""
)
"),"0")</f>
        <v>0</v>
      </c>
      <c r="BB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1!$E:$E"")=$B60) *
        (IMPORTRANGE(""https://docs.google.com/spreadsheets/d/161aHT6vVT3SLneTKD19N5qVWtnj_jIT8CSsOmUVKmaA/ed"&amp;"it?gid=1761053510"",
          ""Haris_Form responses 1!$AQ:$AQ"")=5)
      ),
      1
    ),
    ""0""
  ),
  ""Form not found""
)
"),"Form not found")</f>
        <v>Form not found</v>
      </c>
      <c r="BC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1!$E:$E"")=$B60) *
        (IMPORTRANGE(""https://docs.google.com/spreadsheets/d/161aHT6vVT3SLneTKD19N5qVWtnj_jIT8CSsOmUVKmaA/ed"&amp;"it?gid=1761053510"",
          ""Haris_Form responses 1!$AQ:$AQ"")=6)
      ),
      1
    ),
    ""0""
  ),
  ""Form not found""
)
"),"Form not found")</f>
        <v>Form not found</v>
      </c>
      <c r="BD60" s="293"/>
    </row>
    <row r="61">
      <c r="A61" s="283" t="str">
        <f>IFERROR(__xludf.DUMMYFUNCTION("VLOOKUP($B61,IMPORTRANGE(""https://docs.google.com/spreadsheets/d/1VNXDITjs75AcgdBSW27oL1VZH31udDprJSsBcE5xlp4/edit?gid=1551188038#gid=1551188038"", ""Sheet9!$B:$E""),2,false)"),"Lahore")</f>
        <v>Lahore</v>
      </c>
      <c r="B61" s="283" t="s">
        <v>2916</v>
      </c>
      <c r="C61" s="284" t="str">
        <f>IFERROR(__xludf.DUMMYFUNCTION("VLOOKUP(TRIM($B61), IMPORTRANGE(""https://docs.google.com/spreadsheets/d/1aSOrU4PTpuBZqfitKaH1Rfww6-YOiNCKoBpPl8XBHaw/edit?gid=0#gid=0"", ""sheet3!$B:$C""), 2, FALSE)
"),"Jamia Masjid Takiya Kabotar Shah Lahore")</f>
        <v>Jamia Masjid Takiya Kabotar Shah Lahore</v>
      </c>
      <c r="D61" s="284" t="str">
        <f>IFERROR(__xludf.DUMMYFUNCTION("IFERROR(
  INDEX(
    FILTER(
      IMPORTRANGE(""1aSOrU4PTpuBZqfitKaH1Rfww6-YOiNCKoBpPl8XBHaw/edit?gid=0#gid=0"",""Sheet1!G:G""),
      IMPORTRANGE(""1aSOrU4PTpuBZqfitKaH1Rfww6-YOiNCKoBpPl8XBHaw/edit?gid=0#gid=0"",""Sheet1!C:C"")=$B61
    ),
    1
  ),
 "&amp;" ""Not Found""
)"),"Control")</f>
        <v>Control</v>
      </c>
      <c r="E61" s="284" t="str">
        <f>VLOOKUP(B61,'Juma Recording forms'!A:E,5,false)</f>
        <v>Jamia masjid abdula sha bukahre kabotar sha</v>
      </c>
      <c r="F61" s="284" t="str">
        <f>IFERROR(__xludf.DUMMYFUNCTION("IFERROR(
  INDEX(
    FILTER(
      IMPORTRANGE(""1Cxrhp3-_-HS7v9uuqQliiIfrmMP4VaFoDNDWyUFy2J8/edit?gid=0#gid=0"",""Sheet1!Q:Q""),
      IMPORTRANGE(""1Cxrhp3-_-HS7v9uuqQliiIfrmMP4VaFoDNDWyUFy2J8/edit?gid=0#gid=0"",""Sheet1!K:K"")=$B61
    ),
    1
  ),
 "&amp;" ""Not Found""
)"),"Abdur Rehman")</f>
        <v>Abdur Rehman</v>
      </c>
      <c r="G61" s="284"/>
      <c r="H61" s="284"/>
      <c r="I61" s="285"/>
      <c r="J61" s="286">
        <v>2.0</v>
      </c>
      <c r="K61" s="287" t="str">
        <f>VLOOKUP($B61,'Mosque Locations'!$A:$E,3,FALSE)
</f>
        <v>https://maps.google.com/maps?q=31.585691%2C74.3204243&amp;z=17&amp;hl=en</v>
      </c>
      <c r="L61" s="286">
        <f>VLOOKUP($B61,'Mosque Locations'!$A:$E,4,FALSE)
</f>
        <v>31.585691</v>
      </c>
      <c r="M61" s="286">
        <f>VLOOKUP($B61,'Mosque Locations'!$A:$E,5,false)</f>
        <v>74.3204243</v>
      </c>
      <c r="N61" s="288"/>
      <c r="O61" s="288"/>
      <c r="P61" s="288"/>
      <c r="Q61" s="289" t="str">
        <f>IFERROR(__xludf.DUMMYFUNCTION("IFERROR(
  INDEX(
    FILTER(
      IMPORTRANGE(""1SnQ_YxUmBUYKsKc82GyPPovLO-EPrfZxsJ0V0UbhezI/edit?gid=590869320#gid=590869320"",""Form Responses 1!AB:AB""),
      IMPORTRANGE(""1SnQ_YxUmBUYKsKc82GyPPovLO-EPrfZxsJ0V0UbhezI/edit?gid=590869320#gid=59086932"&amp;"0"",""Form Responses 1!E:E"")=$B61
    ),
    1
  ),
  ""Not Found""
)"),"https://drive.google.com/open?id=1_hfzgAv_iU7hl0LJnP2xSGtCq1bufHHF")</f>
        <v>https://drive.google.com/open?id=1_hfzgAv_iU7hl0LJnP2xSGtCq1bufHHF</v>
      </c>
      <c r="R61" s="289" t="str">
        <f>IFERROR(__xludf.DUMMYFUNCTION("IFERROR(
  INDEX(
    FILTER(
      IMPORTRANGE(""1SnQ_YxUmBUYKsKc82GyPPovLO-EPrfZxsJ0V0UbhezI"",""Form Responses 1!AA:AA""),
      TRIM(IMPORTRANGE(""1SnQ_YxUmBUYKsKc82GyPPovLO-EPrfZxsJ0V0UbhezI"",""Form Responses 1!E:E""))=TRIM($B61)
    ),
    1
  ),
 "&amp;" ""Not Found""
)
"),"https://drive.google.com/open?id=1wsfrvaMifpZLuKc6v0AsI6km8pM2NfWd")</f>
        <v>https://drive.google.com/open?id=1wsfrvaMifpZLuKc6v0AsI6km8pM2NfWd</v>
      </c>
      <c r="S61" s="285"/>
      <c r="T61" s="290" t="str">
        <f>VLOOKUP($B61,'Master Tracker'!$D:$E,2,false)</f>
        <v>https://drive.google.com/open?id=1jEvN9-Z_ACXgWxvKVHos8A6m84byWCiS, https://drive.google.com/open?id=1KZwhmooVj1yAu9hSOfsk3v-a-c1CjzXK</v>
      </c>
      <c r="U61" s="291" t="str">
        <f>VLOOKUP($B61,'Master Tracker'!$D:$T,4,FALSE)
</f>
        <v>https://drive.google.com/open?id=1A8rWyxlVLIcNcIvRBjhA4QbhbExHkgWX</v>
      </c>
      <c r="V61" s="284" t="str">
        <f>VLOOKUP($B61,'Master Tracker'!$D:$T,5,false)</f>
        <v>Not Found</v>
      </c>
      <c r="W61" s="292" t="str">
        <f>VLOOKUP($B61,'Master Tracker'!$D:$T,7,false)</f>
        <v>Not Found</v>
      </c>
      <c r="X61" s="290" t="str">
        <f>VLOOKUP($B61,'Master Tracker'!$D:$T,8,false)</f>
        <v>https://drive.google.com/open?id=1SDyShFSbqeg0_cj0GVWemJZpW6aYij8_</v>
      </c>
      <c r="Y61" s="291" t="str">
        <f>VLOOKUP($B61,'Master Tracker'!$D:$T,10,false)</f>
        <v>https://drive.google.com/open?id=1__WLabtwREyLNI8SsMj0VditowCE1Tg6</v>
      </c>
      <c r="Z61" s="284" t="str">
        <f>VLOOKUP($B61,'Master Tracker'!$D:$T,11,false)</f>
        <v>Not Found</v>
      </c>
      <c r="AA61" s="292" t="str">
        <f>VLOOKUP($B61,'Master Tracker'!$D:$T,13,false)</f>
        <v>Not Found</v>
      </c>
      <c r="AB61" s="284" t="str">
        <f>VLOOKUP($B61,'Master Tracker'!$D:$T,14,false)</f>
        <v>Not Found</v>
      </c>
      <c r="AC61" s="292" t="str">
        <f>VLOOKUP($B61,'Master Tracker'!$D:$T,16,false)</f>
        <v>Not Found</v>
      </c>
      <c r="AD61" s="292" t="str">
        <f>VLOOKUP($B61,'Master Tracker'!$D:$T,17,false)</f>
        <v>Not Found</v>
      </c>
      <c r="AE61" s="292" t="str">
        <f>VLOOKUP($B61,'Master Tracker'!$D:$V,19,false)</f>
        <v>Not Found</v>
      </c>
      <c r="AF61" s="292">
        <f>IFERROR(__xludf.DUMMYFUNCTION("IFERROR(
  INDEX(
    FILTER(
      'Juma Recording forms'!$G:$G,
      TRIM('Juma Recording forms'!$F:$F) = TRIM($B61),
      'Juma Recording forms'!$AA:$AA = 1
    ),
    1
  ),
  ""Not Found""
)"),235.0)</f>
        <v>235</v>
      </c>
      <c r="AG61" s="292" t="str">
        <f>IFERROR(__xludf.DUMMYFUNCTION("IFERROR(
  INDEX(
    FILTER(
      'Juma Recording forms'!$G:$G,
      TRIM('Juma Recording forms'!$F:$F) = TRIM($B61),
      'Juma Recording forms'!$AA:$AA = 2
    ),
    1
  ),
  ""Not Found""
)"),"Not Found")</f>
        <v>Not Found</v>
      </c>
      <c r="AH61" s="292">
        <f>IFERROR(__xludf.DUMMYFUNCTION("IFERROR(
  INDEX(
    FILTER(
      'Juma Recording forms'!$G:$G,
      TRIM('Juma Recording forms'!$F:$F) = TRIM($B61),
      'Juma Recording forms'!$AA:$AA = 3
    ),
    1
  ),
  ""Not Found""
)"),222.0)</f>
        <v>222</v>
      </c>
      <c r="AI61" s="292" t="str">
        <f>IFERROR(__xludf.DUMMYFUNCTION("IFERROR(
  INDEX(
    FILTER(
      'Juma Recording forms'!$G:$G,
      TRIM('Juma Recording forms'!$F:$F) = TRIM($B61),
      'Juma Recording forms'!$AA:$AA = 4
    ),
    1
  ),
  ""Not Found""
)"),"Not Found")</f>
        <v>Not Found</v>
      </c>
      <c r="AJ61" s="292" t="str">
        <f>IFERROR(__xludf.DUMMYFUNCTION("IFERROR(
  INDEX(
    FILTER(
      'Juma Recording forms'!$G:$G,
      TRIM('Juma Recording forms'!$F:$F) = TRIM($B61),
      'Juma Recording forms'!$AA:$AA = 5
    ),
    1
  ),
  ""Not Found""
)"),"Not Found")</f>
        <v>Not Found</v>
      </c>
      <c r="AK61" s="292"/>
      <c r="AL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1!$E:$E"")=$B61) *
        (IMPORTRANGE(""https://docs.google.com/spreadsheets/d/161aHT6vVT3SLneTKD19N5qVWtnj_jIT8CSsOmUVKmaA/ed"&amp;"it?gid=1761053510"",
          ""Haris_Form responses 1!$AQ:$AQ"")=1)
      ),
      1
    ),
    ""0""
  ),
  ""Form not found""
)
"),"0")</f>
        <v>0</v>
      </c>
      <c r="AM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1!$E:$E"")=$B61) *
        (IMPORTRANGE(""https://docs.google.com/spreadsheets/d/161aHT6vVT3SLneTKD19N5qVWtnj_jIT8CSsOmUVKmaA/ed"&amp;"it?gid=1761053510"",
          ""Haris_Form responses 1!$AQ:$AQ"")=2)
      ),
      1
    ),
    ""0""
  ),
  ""Form not found""
)
"),"Form not found")</f>
        <v>Form not found</v>
      </c>
      <c r="AN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1!$E:$E"")=$B61) *
        (IMPORTRANGE(""https://docs.google.com/spreadsheets/d/161aHT6vVT3SLneTKD19N5qVWtnj_jIT8CSsOmUVKmaA/ed"&amp;"it?gid=1761053510"",
          ""Haris_Form responses 1!$AQ:$AQ"")=3)
      ),
      1
    ),
    ""0""
  ),
  ""Form not found""
)
"),"0")</f>
        <v>0</v>
      </c>
      <c r="AO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1!$E:$E"")=$B61) *
        (IMPORTRANGE(""https://docs.google.com/spreadsheets/d/161aHT6vVT3SLneTKD19N5qVWtnj_jIT8CSsOmUVKmaA/ed"&amp;"it?gid=1761053510"",
          ""Haris_Form responses 1!$AQ:$AQ"")=4)
      ),
      1
    ),
    ""0""
  ),
  ""Form not found""
)
"),"Form not found")</f>
        <v>Form not found</v>
      </c>
      <c r="AP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1!$E:$E"")=$B61) *
        (IMPORTRANGE(""https://docs.google.com/spreadsheets/d/161aHT6vVT3SLneTKD19N5qVWtnj_jIT8CSsOmUVKmaA/ed"&amp;"it?gid=1761053510"",
          ""Haris_Form responses 1!$AQ:$AQ"")=5)
      ),
      1
    ),
    ""0""
  ),
  ""Form not found""
)
"),"Form not found")</f>
        <v>Form not found</v>
      </c>
      <c r="AQ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1!$E:$E"")=$B61) *
        (IMPORTRANGE(""https://docs.google.com/spreadsheets/d/161aHT6vVT3SLneTKD19N5qVWtnj_jIT8CSsOmUVKmaA/ed"&amp;"it?gid=1761053510"",
          ""Haris_Form responses 1!$AQ:$AQ"")=6)
      ),
      1
    ),
    ""0""
  ),
  ""Form not found""
)
"),"Form not found")</f>
        <v>Form not found</v>
      </c>
      <c r="AR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1!$E:$E"")=$B61) *
        (IMPORTRANGE(""https://docs.google.com/spreadsheets/d/161aHT6vVT3SLneTKD19N5qVWtnj_jIT8CSsOmUVKmaA/ed"&amp;"it?gid=1761053510"",
          ""Haris_Form responses 1!$AQ:$AQ"")=1)
      ),
      1
    ),
    ""0""
  ),
  ""Form not found""
)
"),"0")</f>
        <v>0</v>
      </c>
      <c r="AS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1!$E:$E"")=$B61) *
        (IMPORTRANGE(""https://docs.google.com/spreadsheets/d/161aHT6vVT3SLneTKD19N5qVWtnj_jIT8CSsOmUVKmaA/ed"&amp;"it?gid=1761053510"",
          ""Haris_Form responses 1!$AQ:$AQ"")=2)
      ),
      1
    ),
    ""0""
  ),
  ""Form not found""
)
"),"Form not found")</f>
        <v>Form not found</v>
      </c>
      <c r="AT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1!$E:$E"")=$B61) *
        (IMPORTRANGE(""https://docs.google.com/spreadsheets/d/161aHT6vVT3SLneTKD19N5qVWtnj_jIT8CSsOmUVKmaA/ed"&amp;"it?gid=1761053510"",
          ""Haris_Form responses 1!$AQ:$AQ"")=3)
      ),
      1
    ),
    ""0""
  ),
  ""Form not found""
)
"),"0")</f>
        <v>0</v>
      </c>
      <c r="AU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1!$E:$E"")=$B61) *
        (IMPORTRANGE(""https://docs.google.com/spreadsheets/d/161aHT6vVT3SLneTKD19N5qVWtnj_jIT8CSsOmUVKmaA/ed"&amp;"it?gid=1761053510"",
          ""Haris_Form responses 1!$AQ:$AQ"")=4)
      ),
      1
    ),
    ""0""
  ),
  ""Form not found""
)
"),"Form not found")</f>
        <v>Form not found</v>
      </c>
      <c r="AV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1!$E:$E"")=$B61) *
        (IMPORTRANGE(""https://docs.google.com/spreadsheets/d/161aHT6vVT3SLneTKD19N5qVWtnj_jIT8CSsOmUVKmaA/ed"&amp;"it?gid=1761053510"",
          ""Haris_Form responses 1!$AQ:$AQ"")=5)
      ),
      1
    ),
    ""0""
  ),
  ""Form not found""
)
"),"Form not found")</f>
        <v>Form not found</v>
      </c>
      <c r="AW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1!$E:$E"")=$B61) *
        (IMPORTRANGE(""https://docs.google.com/spreadsheets/d/161aHT6vVT3SLneTKD19N5qVWtnj_jIT8CSsOmUVKmaA/ed"&amp;"it?gid=1761053510"",
          ""Haris_Form responses 1!$AQ:$AQ"")=6)
      ),
      1
    ),
    ""0""
  ),
  ""Form not found""
)
"),"Form not found")</f>
        <v>Form not found</v>
      </c>
      <c r="AX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1!$E:$E"")=$B61) *
        (IMPORTRANGE(""https://docs.google.com/spreadsheets/d/161aHT6vVT3SLneTKD19N5qVWtnj_jIT8CSsOmUVKmaA/ed"&amp;"it?gid=1761053510"",
          ""Haris_Form responses 1!$AQ:$AQ"")=1)
      ),
      1
    ),
    ""0""
  ),
  ""Form not found""
)
"),"0")</f>
        <v>0</v>
      </c>
      <c r="AY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1!$E:$E"")=$B61) *
        (IMPORTRANGE(""https://docs.google.com/spreadsheets/d/161aHT6vVT3SLneTKD19N5qVWtnj_jIT8CSsOmUVKmaA/ed"&amp;"it?gid=1761053510"",
          ""Haris_Form responses 1!$AQ:$AQ"")=2)
      ),
      1
    ),
    ""0""
  ),
  ""Form not found""
)
"),"Form not found")</f>
        <v>Form not found</v>
      </c>
      <c r="AZ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1!$E:$E"")=$B61) *
        (IMPORTRANGE(""https://docs.google.com/spreadsheets/d/161aHT6vVT3SLneTKD19N5qVWtnj_jIT8CSsOmUVKmaA/ed"&amp;"it?gid=1761053510"",
          ""Haris_Form responses 1!$AQ:$AQ"")=3)
      ),
      1
    ),
    ""0""
  ),
  ""Form not found""
)
"),"0")</f>
        <v>0</v>
      </c>
      <c r="BA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1!$E:$E"")=$B61) *
        (IMPORTRANGE(""https://docs.google.com/spreadsheets/d/161aHT6vVT3SLneTKD19N5qVWtnj_jIT8CSsOmUVKmaA/ed"&amp;"it?gid=1761053510"",
          ""Haris_Form responses 1!$AQ:$AQ"")=4)
      ),
      1
    ),
    ""0""
  ),
  ""Form not found""
)
"),"Form not found")</f>
        <v>Form not found</v>
      </c>
      <c r="BB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1!$E:$E"")=$B61) *
        (IMPORTRANGE(""https://docs.google.com/spreadsheets/d/161aHT6vVT3SLneTKD19N5qVWtnj_jIT8CSsOmUVKmaA/ed"&amp;"it?gid=1761053510"",
          ""Haris_Form responses 1!$AQ:$AQ"")=5)
      ),
      1
    ),
    ""0""
  ),
  ""Form not found""
)
"),"Form not found")</f>
        <v>Form not found</v>
      </c>
      <c r="BC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1!$E:$E"")=$B61) *
        (IMPORTRANGE(""https://docs.google.com/spreadsheets/d/161aHT6vVT3SLneTKD19N5qVWtnj_jIT8CSsOmUVKmaA/ed"&amp;"it?gid=1761053510"",
          ""Haris_Form responses 1!$AQ:$AQ"")=6)
      ),
      1
    ),
    ""0""
  ),
  ""Form not found""
)
"),"Form not found")</f>
        <v>Form not found</v>
      </c>
      <c r="BD61" s="293"/>
    </row>
    <row r="62">
      <c r="A62" s="283" t="str">
        <f>IFERROR(__xludf.DUMMYFUNCTION("VLOOKUP($B62,IMPORTRANGE(""https://docs.google.com/spreadsheets/d/1VNXDITjs75AcgdBSW27oL1VZH31udDprJSsBcE5xlp4/edit?gid=1551188038#gid=1551188038"", ""Sheet9!$B:$E""),2,false)"),"Lahore")</f>
        <v>Lahore</v>
      </c>
      <c r="B62" s="283" t="s">
        <v>3086</v>
      </c>
      <c r="C62" s="284" t="str">
        <f>IFERROR(__xludf.DUMMYFUNCTION("VLOOKUP(TRIM($B62), IMPORTRANGE(""https://docs.google.com/spreadsheets/d/1aSOrU4PTpuBZqfitKaH1Rfww6-YOiNCKoBpPl8XBHaw/edit?gid=0#gid=0"", ""sheet3!$B:$C""), 2, FALSE)
"),"Jamia Masjid Darbar Shah Muhammad Ghost Lahore")</f>
        <v>Jamia Masjid Darbar Shah Muhammad Ghost Lahore</v>
      </c>
      <c r="D62" s="284" t="str">
        <f>IFERROR(__xludf.DUMMYFUNCTION("IFERROR(
  INDEX(
    FILTER(
      IMPORTRANGE(""1aSOrU4PTpuBZqfitKaH1Rfww6-YOiNCKoBpPl8XBHaw/edit?gid=0#gid=0"",""Sheet1!G:G""),
      IMPORTRANGE(""1aSOrU4PTpuBZqfitKaH1Rfww6-YOiNCKoBpPl8XBHaw/edit?gid=0#gid=0"",""Sheet1!C:C"")=$B62
    ),
    1
  ),
 "&amp;" ""Not Found""
)"),"Control")</f>
        <v>Control</v>
      </c>
      <c r="E62" s="284" t="str">
        <f>VLOOKUP(B62,'Juma Recording forms'!A:E,5,false)</f>
        <v>Hazrat sakhe sha Muhammad goss</v>
      </c>
      <c r="F62" s="284" t="str">
        <f>IFERROR(__xludf.DUMMYFUNCTION("IFERROR(
  INDEX(
    FILTER(
      IMPORTRANGE(""1Cxrhp3-_-HS7v9uuqQliiIfrmMP4VaFoDNDWyUFy2J8/edit?gid=0#gid=0"",""Sheet1!Q:Q""),
      IMPORTRANGE(""1Cxrhp3-_-HS7v9uuqQliiIfrmMP4VaFoDNDWyUFy2J8/edit?gid=0#gid=0"",""Sheet1!K:K"")=$B62
    ),
    1
  ),
 "&amp;" ""Not Found""
)"),"Naseer ahmed")</f>
        <v>Naseer ahmed</v>
      </c>
      <c r="G62" s="284">
        <v>1940.0</v>
      </c>
      <c r="H62" s="284" t="s">
        <v>4827</v>
      </c>
      <c r="I62" s="285"/>
      <c r="J62" s="286">
        <v>2.0</v>
      </c>
      <c r="K62" s="287" t="str">
        <f>VLOOKUP($B62,'Mosque Locations'!$A:$E,3,FALSE)
</f>
        <v>https://maps.google.com/maps?q=31.58001708984375%2C74.326416015625&amp;z=17&amp;hl=en</v>
      </c>
      <c r="L62" s="286">
        <f>VLOOKUP($B62,'Mosque Locations'!$A:$E,4,FALSE)
</f>
        <v>31.58001709</v>
      </c>
      <c r="M62" s="286">
        <f>VLOOKUP($B62,'Mosque Locations'!$A:$E,5,false)</f>
        <v>74.32641602</v>
      </c>
      <c r="N62" s="288"/>
      <c r="O62" s="288"/>
      <c r="P62" s="288"/>
      <c r="Q62" s="294" t="str">
        <f>IFERROR(__xludf.DUMMYFUNCTION("IFERROR(
  INDEX(
    FILTER(
      IMPORTRANGE(""1SnQ_YxUmBUYKsKc82GyPPovLO-EPrfZxsJ0V0UbhezI/edit?gid=590869320#gid=590869320"",""Form Responses 1!AB:AB""),
      IMPORTRANGE(""1SnQ_YxUmBUYKsKc82GyPPovLO-EPrfZxsJ0V0UbhezI/edit?gid=590869320#gid=59086932"&amp;"0"",""Form Responses 1!E:E"")=$B62
    ),
    1
  ),
  ""Not Found""
)"),"https://drive.google.com/open?id=1XzRpPEKHM_9GLqH-th8ySf4nza6-uc0t, https://drive.google.com/open?id=1sZrUi89e8sfAAwxl28YOjchiv1fscFN0")</f>
        <v>https://drive.google.com/open?id=1XzRpPEKHM_9GLqH-th8ySf4nza6-uc0t, https://drive.google.com/open?id=1sZrUi89e8sfAAwxl28YOjchiv1fscFN0</v>
      </c>
      <c r="R62" s="294" t="str">
        <f>IFERROR(__xludf.DUMMYFUNCTION("IFERROR(
  INDEX(
    FILTER(
      IMPORTRANGE(""1SnQ_YxUmBUYKsKc82GyPPovLO-EPrfZxsJ0V0UbhezI"",""Form Responses 1!AA:AA""),
      TRIM(IMPORTRANGE(""1SnQ_YxUmBUYKsKc82GyPPovLO-EPrfZxsJ0V0UbhezI"",""Form Responses 1!E:E""))=TRIM($B62)
    ),
    1
  ),
 "&amp;" ""Not Found""
)
"),"https://drive.google.com/open?id=1urteYNI850RIeU6YHuP2P3IgDgE6bbzI, https://drive.google.com/open?id=1PTEt-lIX3AzUBPpq3hKcAJIfBwlqq_i9")</f>
        <v>https://drive.google.com/open?id=1urteYNI850RIeU6YHuP2P3IgDgE6bbzI, https://drive.google.com/open?id=1PTEt-lIX3AzUBPpq3hKcAJIfBwlqq_i9</v>
      </c>
      <c r="S62" s="285"/>
      <c r="T62" s="290" t="str">
        <f>VLOOKUP($B62,'Master Tracker'!$D:$E,2,false)</f>
        <v>https://drive.google.com/open?id=10C1CPIb1H21cfrbKHFf-8GFwjBwubYIy, https://drive.google.com/open?id=1hbQl0ReQIhmipdOA93xZ5L9m4N6hQhrF</v>
      </c>
      <c r="U62" s="291" t="str">
        <f>VLOOKUP($B62,'Master Tracker'!$D:$T,4,FALSE)
</f>
        <v>https://drive.google.com/open?id=1NQ1uFjRUPZJ9xbPQ3_8G2BzUkmR2utlS</v>
      </c>
      <c r="V62" s="284" t="str">
        <f>VLOOKUP($B62,'Master Tracker'!$D:$T,5,false)</f>
        <v>Not Found</v>
      </c>
      <c r="W62" s="292" t="str">
        <f>VLOOKUP($B62,'Master Tracker'!$D:$T,7,false)</f>
        <v>Not Found</v>
      </c>
      <c r="X62" s="290" t="str">
        <f>VLOOKUP($B62,'Master Tracker'!$D:$T,8,false)</f>
        <v>https://drive.google.com/open?id=14iiVvH0gSgZEO-D_HncgqNcZwuyslsFx, https://drive.google.com/open?id=1PY0cm_3hShzO1ataP7MLdss0QCvXxm-6</v>
      </c>
      <c r="Y62" s="291" t="str">
        <f>VLOOKUP($B62,'Master Tracker'!$D:$T,10,false)</f>
        <v>https://drive.google.com/open?id=1-VuSSAZz_KG968LD-CG6KFxPe94b7Qss</v>
      </c>
      <c r="Z62" s="284" t="str">
        <f>VLOOKUP($B62,'Master Tracker'!$D:$T,11,false)</f>
        <v>Not Found</v>
      </c>
      <c r="AA62" s="292" t="str">
        <f>VLOOKUP($B62,'Master Tracker'!$D:$T,13,false)</f>
        <v>Not Found</v>
      </c>
      <c r="AB62" s="284" t="str">
        <f>VLOOKUP($B62,'Master Tracker'!$D:$T,14,false)</f>
        <v>Not Found</v>
      </c>
      <c r="AC62" s="292" t="str">
        <f>VLOOKUP($B62,'Master Tracker'!$D:$T,16,false)</f>
        <v>Not Found</v>
      </c>
      <c r="AD62" s="292" t="str">
        <f>VLOOKUP($B62,'Master Tracker'!$D:$T,17,false)</f>
        <v>Not Found</v>
      </c>
      <c r="AE62" s="292" t="str">
        <f>VLOOKUP($B62,'Master Tracker'!$D:$V,19,false)</f>
        <v>Not Found</v>
      </c>
      <c r="AF62" s="292">
        <f>IFERROR(__xludf.DUMMYFUNCTION("IFERROR(
  INDEX(
    FILTER(
      'Juma Recording forms'!$G:$G,
      TRIM('Juma Recording forms'!$F:$F) = TRIM($B62),
      'Juma Recording forms'!$AA:$AA = 1
    ),
    1
  ),
  ""Not Found""
)"),1200.0)</f>
        <v>1200</v>
      </c>
      <c r="AG62" s="292" t="str">
        <f>IFERROR(__xludf.DUMMYFUNCTION("IFERROR(
  INDEX(
    FILTER(
      'Juma Recording forms'!$G:$G,
      TRIM('Juma Recording forms'!$F:$F) = TRIM($B62),
      'Juma Recording forms'!$AA:$AA = 2
    ),
    1
  ),
  ""Not Found""
)"),"Not Found")</f>
        <v>Not Found</v>
      </c>
      <c r="AH62" s="292">
        <f>IFERROR(__xludf.DUMMYFUNCTION("IFERROR(
  INDEX(
    FILTER(
      'Juma Recording forms'!$G:$G,
      TRIM('Juma Recording forms'!$F:$F) = TRIM($B62),
      'Juma Recording forms'!$AA:$AA = 3
    ),
    1
  ),
  ""Not Found""
)"),1350.0)</f>
        <v>1350</v>
      </c>
      <c r="AI62" s="292" t="str">
        <f>IFERROR(__xludf.DUMMYFUNCTION("IFERROR(
  INDEX(
    FILTER(
      'Juma Recording forms'!$G:$G,
      TRIM('Juma Recording forms'!$F:$F) = TRIM($B62),
      'Juma Recording forms'!$AA:$AA = 4
    ),
    1
  ),
  ""Not Found""
)"),"Not Found")</f>
        <v>Not Found</v>
      </c>
      <c r="AJ62" s="292" t="str">
        <f>IFERROR(__xludf.DUMMYFUNCTION("IFERROR(
  INDEX(
    FILTER(
      'Juma Recording forms'!$G:$G,
      TRIM('Juma Recording forms'!$F:$F) = TRIM($B62),
      'Juma Recording forms'!$AA:$AA = 5
    ),
    1
  ),
  ""Not Found""
)"),"Not Found")</f>
        <v>Not Found</v>
      </c>
      <c r="AK62" s="292"/>
      <c r="AL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1!$E:$E"")=$B62) *
        (IMPORTRANGE(""https://docs.google.com/spreadsheets/d/161aHT6vVT3SLneTKD19N5qVWtnj_jIT8CSsOmUVKmaA/ed"&amp;"it?gid=1761053510"",
          ""Haris_Form responses 1!$AQ:$AQ"")=1)
      ),
      1
    ),
    ""0""
  ),
  ""Form not found""
)
"),"0")</f>
        <v>0</v>
      </c>
      <c r="AM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1!$E:$E"")=$B62) *
        (IMPORTRANGE(""https://docs.google.com/spreadsheets/d/161aHT6vVT3SLneTKD19N5qVWtnj_jIT8CSsOmUVKmaA/ed"&amp;"it?gid=1761053510"",
          ""Haris_Form responses 1!$AQ:$AQ"")=2)
      ),
      1
    ),
    ""0""
  ),
  ""Form not found""
)
"),"Form not found")</f>
        <v>Form not found</v>
      </c>
      <c r="AN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1!$E:$E"")=$B62) *
        (IMPORTRANGE(""https://docs.google.com/spreadsheets/d/161aHT6vVT3SLneTKD19N5qVWtnj_jIT8CSsOmUVKmaA/ed"&amp;"it?gid=1761053510"",
          ""Haris_Form responses 1!$AQ:$AQ"")=3)
      ),
      1
    ),
    ""0""
  ),
  ""Form not found""
)
"),"0")</f>
        <v>0</v>
      </c>
      <c r="AO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1!$E:$E"")=$B62) *
        (IMPORTRANGE(""https://docs.google.com/spreadsheets/d/161aHT6vVT3SLneTKD19N5qVWtnj_jIT8CSsOmUVKmaA/ed"&amp;"it?gid=1761053510"",
          ""Haris_Form responses 1!$AQ:$AQ"")=4)
      ),
      1
    ),
    ""0""
  ),
  ""Form not found""
)
"),"Form not found")</f>
        <v>Form not found</v>
      </c>
      <c r="AP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1!$E:$E"")=$B62) *
        (IMPORTRANGE(""https://docs.google.com/spreadsheets/d/161aHT6vVT3SLneTKD19N5qVWtnj_jIT8CSsOmUVKmaA/ed"&amp;"it?gid=1761053510"",
          ""Haris_Form responses 1!$AQ:$AQ"")=5)
      ),
      1
    ),
    ""0""
  ),
  ""Form not found""
)
"),"Form not found")</f>
        <v>Form not found</v>
      </c>
      <c r="AQ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1!$E:$E"")=$B62) *
        (IMPORTRANGE(""https://docs.google.com/spreadsheets/d/161aHT6vVT3SLneTKD19N5qVWtnj_jIT8CSsOmUVKmaA/ed"&amp;"it?gid=1761053510"",
          ""Haris_Form responses 1!$AQ:$AQ"")=6)
      ),
      1
    ),
    ""0""
  ),
  ""Form not found""
)
"),"Form not found")</f>
        <v>Form not found</v>
      </c>
      <c r="AR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1!$E:$E"")=$B62) *
        (IMPORTRANGE(""https://docs.google.com/spreadsheets/d/161aHT6vVT3SLneTKD19N5qVWtnj_jIT8CSsOmUVKmaA/ed"&amp;"it?gid=1761053510"",
          ""Haris_Form responses 1!$AQ:$AQ"")=1)
      ),
      1
    ),
    ""0""
  ),
  ""Form not found""
)
"),"0")</f>
        <v>0</v>
      </c>
      <c r="AS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1!$E:$E"")=$B62) *
        (IMPORTRANGE(""https://docs.google.com/spreadsheets/d/161aHT6vVT3SLneTKD19N5qVWtnj_jIT8CSsOmUVKmaA/ed"&amp;"it?gid=1761053510"",
          ""Haris_Form responses 1!$AQ:$AQ"")=2)
      ),
      1
    ),
    ""0""
  ),
  ""Form not found""
)
"),"Form not found")</f>
        <v>Form not found</v>
      </c>
      <c r="AT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1!$E:$E"")=$B62) *
        (IMPORTRANGE(""https://docs.google.com/spreadsheets/d/161aHT6vVT3SLneTKD19N5qVWtnj_jIT8CSsOmUVKmaA/ed"&amp;"it?gid=1761053510"",
          ""Haris_Form responses 1!$AQ:$AQ"")=3)
      ),
      1
    ),
    ""0""
  ),
  ""Form not found""
)
"),"0")</f>
        <v>0</v>
      </c>
      <c r="AU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1!$E:$E"")=$B62) *
        (IMPORTRANGE(""https://docs.google.com/spreadsheets/d/161aHT6vVT3SLneTKD19N5qVWtnj_jIT8CSsOmUVKmaA/ed"&amp;"it?gid=1761053510"",
          ""Haris_Form responses 1!$AQ:$AQ"")=4)
      ),
      1
    ),
    ""0""
  ),
  ""Form not found""
)
"),"Form not found")</f>
        <v>Form not found</v>
      </c>
      <c r="AV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1!$E:$E"")=$B62) *
        (IMPORTRANGE(""https://docs.google.com/spreadsheets/d/161aHT6vVT3SLneTKD19N5qVWtnj_jIT8CSsOmUVKmaA/ed"&amp;"it?gid=1761053510"",
          ""Haris_Form responses 1!$AQ:$AQ"")=5)
      ),
      1
    ),
    ""0""
  ),
  ""Form not found""
)
"),"Form not found")</f>
        <v>Form not found</v>
      </c>
      <c r="AW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1!$E:$E"")=$B62) *
        (IMPORTRANGE(""https://docs.google.com/spreadsheets/d/161aHT6vVT3SLneTKD19N5qVWtnj_jIT8CSsOmUVKmaA/ed"&amp;"it?gid=1761053510"",
          ""Haris_Form responses 1!$AQ:$AQ"")=6)
      ),
      1
    ),
    ""0""
  ),
  ""Form not found""
)
"),"Form not found")</f>
        <v>Form not found</v>
      </c>
      <c r="AX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1!$E:$E"")=$B62) *
        (IMPORTRANGE(""https://docs.google.com/spreadsheets/d/161aHT6vVT3SLneTKD19N5qVWtnj_jIT8CSsOmUVKmaA/ed"&amp;"it?gid=1761053510"",
          ""Haris_Form responses 1!$AQ:$AQ"")=1)
      ),
      1
    ),
    ""0""
  ),
  ""Form not found""
)
"),"0")</f>
        <v>0</v>
      </c>
      <c r="AY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1!$E:$E"")=$B62) *
        (IMPORTRANGE(""https://docs.google.com/spreadsheets/d/161aHT6vVT3SLneTKD19N5qVWtnj_jIT8CSsOmUVKmaA/ed"&amp;"it?gid=1761053510"",
          ""Haris_Form responses 1!$AQ:$AQ"")=2)
      ),
      1
    ),
    ""0""
  ),
  ""Form not found""
)
"),"Form not found")</f>
        <v>Form not found</v>
      </c>
      <c r="AZ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1!$E:$E"")=$B62) *
        (IMPORTRANGE(""https://docs.google.com/spreadsheets/d/161aHT6vVT3SLneTKD19N5qVWtnj_jIT8CSsOmUVKmaA/ed"&amp;"it?gid=1761053510"",
          ""Haris_Form responses 1!$AQ:$AQ"")=3)
      ),
      1
    ),
    ""0""
  ),
  ""Form not found""
)
"),"0")</f>
        <v>0</v>
      </c>
      <c r="BA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1!$E:$E"")=$B62) *
        (IMPORTRANGE(""https://docs.google.com/spreadsheets/d/161aHT6vVT3SLneTKD19N5qVWtnj_jIT8CSsOmUVKmaA/ed"&amp;"it?gid=1761053510"",
          ""Haris_Form responses 1!$AQ:$AQ"")=4)
      ),
      1
    ),
    ""0""
  ),
  ""Form not found""
)
"),"Form not found")</f>
        <v>Form not found</v>
      </c>
      <c r="BB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1!$E:$E"")=$B62) *
        (IMPORTRANGE(""https://docs.google.com/spreadsheets/d/161aHT6vVT3SLneTKD19N5qVWtnj_jIT8CSsOmUVKmaA/ed"&amp;"it?gid=1761053510"",
          ""Haris_Form responses 1!$AQ:$AQ"")=5)
      ),
      1
    ),
    ""0""
  ),
  ""Form not found""
)
"),"Form not found")</f>
        <v>Form not found</v>
      </c>
      <c r="BC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1!$E:$E"")=$B62) *
        (IMPORTRANGE(""https://docs.google.com/spreadsheets/d/161aHT6vVT3SLneTKD19N5qVWtnj_jIT8CSsOmUVKmaA/ed"&amp;"it?gid=1761053510"",
          ""Haris_Form responses 1!$AQ:$AQ"")=6)
      ),
      1
    ),
    ""0""
  ),
  ""Form not found""
)
"),"Form not found")</f>
        <v>Form not found</v>
      </c>
      <c r="BD62" s="293"/>
    </row>
    <row r="63">
      <c r="A63" s="283" t="str">
        <f>IFERROR(__xludf.DUMMYFUNCTION("VLOOKUP($B63,IMPORTRANGE(""https://docs.google.com/spreadsheets/d/1VNXDITjs75AcgdBSW27oL1VZH31udDprJSsBcE5xlp4/edit?gid=1551188038#gid=1551188038"", ""Sheet9!$B:$E""),2,false)"),"Lahore")</f>
        <v>Lahore</v>
      </c>
      <c r="B63" s="283" t="s">
        <v>4539</v>
      </c>
      <c r="C63" s="284" t="str">
        <f>IFERROR(__xludf.DUMMYFUNCTION("VLOOKUP(TRIM($B63), IMPORTRANGE(""https://docs.google.com/spreadsheets/d/1aSOrU4PTpuBZqfitKaH1Rfww6-YOiNCKoBpPl8XBHaw/edit?gid=0#gid=0"", ""sheet3!$B:$C""), 2, FALSE)
"),"Jamia Masjid Hanfiya Ghosia Shoe Market Lahore")</f>
        <v>Jamia Masjid Hanfiya Ghosia Shoe Market Lahore</v>
      </c>
      <c r="D63" s="284" t="str">
        <f>IFERROR(__xludf.DUMMYFUNCTION("IFERROR(
  INDEX(
    FILTER(
      IMPORTRANGE(""1aSOrU4PTpuBZqfitKaH1Rfww6-YOiNCKoBpPl8XBHaw/edit?gid=0#gid=0"",""Sheet1!G:G""),
      IMPORTRANGE(""1aSOrU4PTpuBZqfitKaH1Rfww6-YOiNCKoBpPl8XBHaw/edit?gid=0#gid=0"",""Sheet1!C:C"")=$B63
    ),
    1
  ),
 "&amp;" ""Not Found""
)"),"Women Secular Info Share")</f>
        <v>Women Secular Info Share</v>
      </c>
      <c r="E63" s="284" t="str">
        <f>VLOOKUP(B63,'Juma Recording forms'!A:E,5,false)</f>
        <v>مسجد جامعہ حنفیہ غوثیہ قادریہ شو و لیدر مارکیٹ شاہ عالم لاہور</v>
      </c>
      <c r="F63" s="284" t="str">
        <f>IFERROR(__xludf.DUMMYFUNCTION("IFERROR(
  INDEX(
    FILTER(
      IMPORTRANGE(""1Cxrhp3-_-HS7v9uuqQliiIfrmMP4VaFoDNDWyUFy2J8/edit?gid=0#gid=0"",""Sheet1!Q:Q""),
      IMPORTRANGE(""1Cxrhp3-_-HS7v9uuqQliiIfrmMP4VaFoDNDWyUFy2J8/edit?gid=0#gid=0"",""Sheet1!K:K"")=$B63
    ),
    1
  ),
 "&amp;" ""Not Found""
)"),"Maulana Irfan")</f>
        <v>Maulana Irfan</v>
      </c>
      <c r="G63" s="284">
        <v>1977.0</v>
      </c>
      <c r="H63" s="284"/>
      <c r="I63" s="285"/>
      <c r="J63" s="286">
        <v>2.0</v>
      </c>
      <c r="K63" s="287" t="str">
        <f>VLOOKUP($B63,'Mosque Locations'!$A:$E,3,FALSE)
</f>
        <v>https://goo.gl/maps/AhMDehoqVPDpSbuv7</v>
      </c>
      <c r="L63" s="286">
        <f>VLOOKUP($B63,'Mosque Locations'!$A:$E,4,FALSE)
</f>
        <v>31.58222</v>
      </c>
      <c r="M63" s="286">
        <f>VLOOKUP($B63,'Mosque Locations'!$A:$E,5,false)</f>
        <v>74.31641</v>
      </c>
      <c r="N63" s="288"/>
      <c r="O63" s="288"/>
      <c r="P63" s="288"/>
      <c r="Q63" s="289" t="str">
        <f>IFERROR(__xludf.DUMMYFUNCTION("IFERROR(
  INDEX(
    FILTER(
      IMPORTRANGE(""1SnQ_YxUmBUYKsKc82GyPPovLO-EPrfZxsJ0V0UbhezI/edit?gid=590869320#gid=590869320"",""Form Responses 1!AB:AB""),
      IMPORTRANGE(""1SnQ_YxUmBUYKsKc82GyPPovLO-EPrfZxsJ0V0UbhezI/edit?gid=590869320#gid=59086932"&amp;"0"",""Form Responses 1!E:E"")=$B63
    ),
    1
  ),
  ""Not Found""
)"),"https://drive.google.com/open?id=1fUkA06yXBaq4nV4Q57P4ctMK9CBNqSNr")</f>
        <v>https://drive.google.com/open?id=1fUkA06yXBaq4nV4Q57P4ctMK9CBNqSNr</v>
      </c>
      <c r="R63" s="289" t="str">
        <f>IFERROR(__xludf.DUMMYFUNCTION("IFERROR(
  INDEX(
    FILTER(
      IMPORTRANGE(""1SnQ_YxUmBUYKsKc82GyPPovLO-EPrfZxsJ0V0UbhezI"",""Form Responses 1!AA:AA""),
      TRIM(IMPORTRANGE(""1SnQ_YxUmBUYKsKc82GyPPovLO-EPrfZxsJ0V0UbhezI"",""Form Responses 1!E:E""))=TRIM($B63)
    ),
    1
  ),
 "&amp;" ""Not Found""
)
"),"https://drive.google.com/open?id=1PAP7GefNjUOFPJ8qwGkWk9rOHmRtFlEg")</f>
        <v>https://drive.google.com/open?id=1PAP7GefNjUOFPJ8qwGkWk9rOHmRtFlEg</v>
      </c>
      <c r="S63" s="285"/>
      <c r="T63" s="290" t="str">
        <f>VLOOKUP($B63,'Master Tracker'!$D:$E,2,false)</f>
        <v>https://drive.google.com/open?id=1iedzbKvs7BdpHGdjtlm0mkunLq0cZdYH</v>
      </c>
      <c r="U63" s="291" t="str">
        <f>VLOOKUP($B63,'Master Tracker'!$D:$T,4,FALSE)
</f>
        <v>https://drive.google.com/open?id=1aNeNESWGqR_XVbIwMjcoKOi-A6m8AzYe</v>
      </c>
      <c r="V63" s="290" t="str">
        <f>VLOOKUP($B63,'Master Tracker'!$D:$T,5,false)</f>
        <v>https://drive.google.com/open?id=17WamdSFwc_DFDWGzXLsyCo6NV_WV2SnJ</v>
      </c>
      <c r="W63" s="291" t="str">
        <f>VLOOKUP($B63,'Master Tracker'!$D:$T,7,false)</f>
        <v>https://drive.google.com/open?id=1d6CLkt8nVoAyBvqA0k2qhEP_tMT7ZZbD</v>
      </c>
      <c r="X63" s="290" t="str">
        <f>VLOOKUP($B63,'Master Tracker'!$D:$T,8,false)</f>
        <v>https://drive.google.com/open?id=1uj59_ZIZ56uL-4-lbtCpAav2EnaEUlTU</v>
      </c>
      <c r="Y63" s="291" t="str">
        <f>VLOOKUP($B63,'Master Tracker'!$D:$T,10,false)</f>
        <v>https://drive.google.com/open?id=1ZF9gnQ22Sy507fxSZa9mOWB5zsmijvE0</v>
      </c>
      <c r="Z63" s="284" t="str">
        <f>VLOOKUP($B63,'Master Tracker'!$D:$T,11,false)</f>
        <v>Not Found</v>
      </c>
      <c r="AA63" s="292" t="str">
        <f>VLOOKUP($B63,'Master Tracker'!$D:$T,13,false)</f>
        <v>Not Found</v>
      </c>
      <c r="AB63" s="284" t="str">
        <f>VLOOKUP($B63,'Master Tracker'!$D:$T,14,false)</f>
        <v>Not Found</v>
      </c>
      <c r="AC63" s="292" t="str">
        <f>VLOOKUP($B63,'Master Tracker'!$D:$T,16,false)</f>
        <v>Not Found</v>
      </c>
      <c r="AD63" s="292" t="str">
        <f>VLOOKUP($B63,'Master Tracker'!$D:$T,17,false)</f>
        <v>Not Found</v>
      </c>
      <c r="AE63" s="292" t="str">
        <f>VLOOKUP($B63,'Master Tracker'!$D:$V,19,false)</f>
        <v>Not Found</v>
      </c>
      <c r="AF63" s="292">
        <f>IFERROR(__xludf.DUMMYFUNCTION("IFERROR(
  INDEX(
    FILTER(
      'Juma Recording forms'!$G:$G,
      TRIM('Juma Recording forms'!$F:$F) = TRIM($B63),
      'Juma Recording forms'!$AA:$AA = 1
    ),
    1
  ),
  ""Not Found""
)"),1250.0)</f>
        <v>1250</v>
      </c>
      <c r="AG63" s="292">
        <f>IFERROR(__xludf.DUMMYFUNCTION("IFERROR(
  INDEX(
    FILTER(
      'Juma Recording forms'!$G:$G,
      TRIM('Juma Recording forms'!$F:$F) = TRIM($B63),
      'Juma Recording forms'!$AA:$AA = 2
    ),
    1
  ),
  ""Not Found""
)"),1245.0)</f>
        <v>1245</v>
      </c>
      <c r="AH63" s="292">
        <f>IFERROR(__xludf.DUMMYFUNCTION("IFERROR(
  INDEX(
    FILTER(
      'Juma Recording forms'!$G:$G,
      TRIM('Juma Recording forms'!$F:$F) = TRIM($B63),
      'Juma Recording forms'!$AA:$AA = 3
    ),
    1
  ),
  ""Not Found""
)"),1170.0)</f>
        <v>1170</v>
      </c>
      <c r="AI63" s="292" t="str">
        <f>IFERROR(__xludf.DUMMYFUNCTION("IFERROR(
  INDEX(
    FILTER(
      'Juma Recording forms'!$G:$G,
      TRIM('Juma Recording forms'!$F:$F) = TRIM($B63),
      'Juma Recording forms'!$AA:$AA = 4
    ),
    1
  ),
  ""Not Found""
)"),"Not Found")</f>
        <v>Not Found</v>
      </c>
      <c r="AJ63" s="292" t="str">
        <f>IFERROR(__xludf.DUMMYFUNCTION("IFERROR(
  INDEX(
    FILTER(
      'Juma Recording forms'!$G:$G,
      TRIM('Juma Recording forms'!$F:$F) = TRIM($B63),
      'Juma Recording forms'!$AA:$AA = 5
    ),
    1
  ),
  ""Not Found""
)"),"Not Found")</f>
        <v>Not Found</v>
      </c>
      <c r="AK63" s="292" t="str">
        <f>IFERROR(__xludf.DUMMYFUNCTION("IFERROR(
  INDEX(
    FILTER(
      'Juma Recording forms'!$G:$G,
      TRIM('Juma Recording forms'!$F:$F) = TRIM($B63),
      'Juma Recording forms'!$AA:$AA = 6
    ),
    1
  ),
  ""Not Found""
)"),"Not Found")</f>
        <v>Not Found</v>
      </c>
      <c r="AL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1!$E:$E"")=$B63) *
        (IMPORTRANGE(""https://docs.google.com/spreadsheets/d/161aHT6vVT3SLneTKD19N5qVWtnj_jIT8CSsOmUVKmaA/ed"&amp;"it?gid=1761053510"",
          ""Haris_Form responses 1!$AQ:$AQ"")=1)
      ),
      1
    ),
    ""0""
  ),
  ""Form not found""
)
"),"10")</f>
        <v>10</v>
      </c>
      <c r="AM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1!$E:$E"")=$B63) *
        (IMPORTRANGE(""https://docs.google.com/spreadsheets/d/161aHT6vVT3SLneTKD19N5qVWtnj_jIT8CSsOmUVKmaA/ed"&amp;"it?gid=1761053510"",
          ""Haris_Form responses 1!$AQ:$AQ"")=2)
      ),
      1
    ),
    ""0""
  ),
  ""Form not found""
)
"),"10")</f>
        <v>10</v>
      </c>
      <c r="AN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1!$E:$E"")=$B63) *
        (IMPORTRANGE(""https://docs.google.com/spreadsheets/d/161aHT6vVT3SLneTKD19N5qVWtnj_jIT8CSsOmUVKmaA/ed"&amp;"it?gid=1761053510"",
          ""Haris_Form responses 1!$AQ:$AQ"")=3)
      ),
      1
    ),
    ""0""
  ),
  ""Form not found""
)
"),"0")</f>
        <v>0</v>
      </c>
      <c r="AO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1!$E:$E"")=$B63) *
        (IMPORTRANGE(""https://docs.google.com/spreadsheets/d/161aHT6vVT3SLneTKD19N5qVWtnj_jIT8CSsOmUVKmaA/ed"&amp;"it?gid=1761053510"",
          ""Haris_Form responses 1!$AQ:$AQ"")=4)
      ),
      1
    ),
    ""0""
  ),
  ""Form not found""
)
"),"Form not found")</f>
        <v>Form not found</v>
      </c>
      <c r="AP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1!$E:$E"")=$B63) *
        (IMPORTRANGE(""https://docs.google.com/spreadsheets/d/161aHT6vVT3SLneTKD19N5qVWtnj_jIT8CSsOmUVKmaA/ed"&amp;"it?gid=1761053510"",
          ""Haris_Form responses 1!$AQ:$AQ"")=5)
      ),
      1
    ),
    ""0""
  ),
  ""Form not found""
)
"),"Form not found")</f>
        <v>Form not found</v>
      </c>
      <c r="AQ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1!$E:$E"")=$B63) *
        (IMPORTRANGE(""https://docs.google.com/spreadsheets/d/161aHT6vVT3SLneTKD19N5qVWtnj_jIT8CSsOmUVKmaA/ed"&amp;"it?gid=1761053510"",
          ""Haris_Form responses 1!$AQ:$AQ"")=6)
      ),
      1
    ),
    ""0""
  ),
  ""Form not found""
)
"),"Form not found")</f>
        <v>Form not found</v>
      </c>
      <c r="AR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1!$E:$E"")=$B63) *
        (IMPORTRANGE(""https://docs.google.com/spreadsheets/d/161aHT6vVT3SLneTKD19N5qVWtnj_jIT8CSsOmUVKmaA/ed"&amp;"it?gid=1761053510"",
          ""Haris_Form responses 1!$AQ:$AQ"")=1)
      ),
      1
    ),
    ""0""
  ),
  ""Form not found""
)
"),"0")</f>
        <v>0</v>
      </c>
      <c r="AS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1!$E:$E"")=$B63) *
        (IMPORTRANGE(""https://docs.google.com/spreadsheets/d/161aHT6vVT3SLneTKD19N5qVWtnj_jIT8CSsOmUVKmaA/ed"&amp;"it?gid=1761053510"",
          ""Haris_Form responses 1!$AQ:$AQ"")=2)
      ),
      1
    ),
    ""0""
  ),
  ""Form not found""
)
"),"0")</f>
        <v>0</v>
      </c>
      <c r="AT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1!$E:$E"")=$B63) *
        (IMPORTRANGE(""https://docs.google.com/spreadsheets/d/161aHT6vVT3SLneTKD19N5qVWtnj_jIT8CSsOmUVKmaA/ed"&amp;"it?gid=1761053510"",
          ""Haris_Form responses 1!$AQ:$AQ"")=3)
      ),
      1
    ),
    ""0""
  ),
  ""Form not found""
)
"),"0")</f>
        <v>0</v>
      </c>
      <c r="AU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1!$E:$E"")=$B63) *
        (IMPORTRANGE(""https://docs.google.com/spreadsheets/d/161aHT6vVT3SLneTKD19N5qVWtnj_jIT8CSsOmUVKmaA/ed"&amp;"it?gid=1761053510"",
          ""Haris_Form responses 1!$AQ:$AQ"")=4)
      ),
      1
    ),
    ""0""
  ),
  ""Form not found""
)
"),"Form not found")</f>
        <v>Form not found</v>
      </c>
      <c r="AV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1!$E:$E"")=$B63) *
        (IMPORTRANGE(""https://docs.google.com/spreadsheets/d/161aHT6vVT3SLneTKD19N5qVWtnj_jIT8CSsOmUVKmaA/ed"&amp;"it?gid=1761053510"",
          ""Haris_Form responses 1!$AQ:$AQ"")=5)
      ),
      1
    ),
    ""0""
  ),
  ""Form not found""
)
"),"Form not found")</f>
        <v>Form not found</v>
      </c>
      <c r="AW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1!$E:$E"")=$B63) *
        (IMPORTRANGE(""https://docs.google.com/spreadsheets/d/161aHT6vVT3SLneTKD19N5qVWtnj_jIT8CSsOmUVKmaA/ed"&amp;"it?gid=1761053510"",
          ""Haris_Form responses 1!$AQ:$AQ"")=6)
      ),
      1
    ),
    ""0""
  ),
  ""Form not found""
)
"),"Form not found")</f>
        <v>Form not found</v>
      </c>
      <c r="AX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1!$E:$E"")=$B63) *
        (IMPORTRANGE(""https://docs.google.com/spreadsheets/d/161aHT6vVT3SLneTKD19N5qVWtnj_jIT8CSsOmUVKmaA/ed"&amp;"it?gid=1761053510"",
          ""Haris_Form responses 1!$AQ:$AQ"")=1)
      ),
      1
    ),
    ""0""
  ),
  ""Form not found""
)
"),"10")</f>
        <v>10</v>
      </c>
      <c r="AY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1!$E:$E"")=$B63) *
        (IMPORTRANGE(""https://docs.google.com/spreadsheets/d/161aHT6vVT3SLneTKD19N5qVWtnj_jIT8CSsOmUVKmaA/ed"&amp;"it?gid=1761053510"",
          ""Haris_Form responses 1!$AQ:$AQ"")=2)
      ),
      1
    ),
    ""0""
  ),
  ""Form not found""
)
"),"10")</f>
        <v>10</v>
      </c>
      <c r="AZ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1!$E:$E"")=$B63) *
        (IMPORTRANGE(""https://docs.google.com/spreadsheets/d/161aHT6vVT3SLneTKD19N5qVWtnj_jIT8CSsOmUVKmaA/ed"&amp;"it?gid=1761053510"",
          ""Haris_Form responses 1!$AQ:$AQ"")=3)
      ),
      1
    ),
    ""0""
  ),
  ""Form not found""
)
"),"0")</f>
        <v>0</v>
      </c>
      <c r="BA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1!$E:$E"")=$B63) *
        (IMPORTRANGE(""https://docs.google.com/spreadsheets/d/161aHT6vVT3SLneTKD19N5qVWtnj_jIT8CSsOmUVKmaA/ed"&amp;"it?gid=1761053510"",
          ""Haris_Form responses 1!$AQ:$AQ"")=4)
      ),
      1
    ),
    ""0""
  ),
  ""Form not found""
)
"),"Form not found")</f>
        <v>Form not found</v>
      </c>
      <c r="BB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1!$E:$E"")=$B63) *
        (IMPORTRANGE(""https://docs.google.com/spreadsheets/d/161aHT6vVT3SLneTKD19N5qVWtnj_jIT8CSsOmUVKmaA/ed"&amp;"it?gid=1761053510"",
          ""Haris_Form responses 1!$AQ:$AQ"")=5)
      ),
      1
    ),
    ""0""
  ),
  ""Form not found""
)
"),"Form not found")</f>
        <v>Form not found</v>
      </c>
      <c r="BC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1!$E:$E"")=$B63) *
        (IMPORTRANGE(""https://docs.google.com/spreadsheets/d/161aHT6vVT3SLneTKD19N5qVWtnj_jIT8CSsOmUVKmaA/ed"&amp;"it?gid=1761053510"",
          ""Haris_Form responses 1!$AQ:$AQ"")=6)
      ),
      1
    ),
    ""0""
  ),
  ""Form not found""
)
"),"Form not found")</f>
        <v>Form not found</v>
      </c>
      <c r="BD63" s="293"/>
    </row>
    <row r="64">
      <c r="A64" s="283" t="str">
        <f>IFERROR(__xludf.DUMMYFUNCTION("VLOOKUP($B64,IMPORTRANGE(""https://docs.google.com/spreadsheets/d/1VNXDITjs75AcgdBSW27oL1VZH31udDprJSsBcE5xlp4/edit?gid=1551188038#gid=1551188038"", ""Sheet9!$B:$E""),2,false)"),"Lahore")</f>
        <v>Lahore</v>
      </c>
      <c r="B64" s="283" t="s">
        <v>4540</v>
      </c>
      <c r="C64" s="284" t="str">
        <f>IFERROR(__xludf.DUMMYFUNCTION("VLOOKUP(TRIM($B64), IMPORTRANGE(""https://docs.google.com/spreadsheets/d/1aSOrU4PTpuBZqfitKaH1Rfww6-YOiNCKoBpPl8XBHaw/edit?gid=0#gid=0"", ""sheet3!$B:$C""), 2, FALSE)
"),"Jamia Masjid Takiya Ujagar Shah Lahore")</f>
        <v>Jamia Masjid Takiya Ujagar Shah Lahore</v>
      </c>
      <c r="D64" s="284" t="str">
        <f>IFERROR(__xludf.DUMMYFUNCTION("IFERROR(
  INDEX(
    FILTER(
      IMPORTRANGE(""1aSOrU4PTpuBZqfitKaH1Rfww6-YOiNCKoBpPl8XBHaw/edit?gid=0#gid=0"",""Sheet1!G:G""),
      IMPORTRANGE(""1aSOrU4PTpuBZqfitKaH1Rfww6-YOiNCKoBpPl8XBHaw/edit?gid=0#gid=0"",""Sheet1!C:C"")=$B64
    ),
    1
  ),
 "&amp;" ""Not Found""
)"),"Control")</f>
        <v>Control</v>
      </c>
      <c r="E64" s="284" t="str">
        <f>VLOOKUP(B64,'Juma Recording forms'!A:E,5,false)</f>
        <v>Jamia Masjid Noor</v>
      </c>
      <c r="F64" s="284" t="str">
        <f>IFERROR(__xludf.DUMMYFUNCTION("IFERROR(
  INDEX(
    FILTER(
      IMPORTRANGE(""1Cxrhp3-_-HS7v9uuqQliiIfrmMP4VaFoDNDWyUFy2J8/edit?gid=0#gid=0"",""Sheet1!Q:Q""),
      IMPORTRANGE(""1Cxrhp3-_-HS7v9uuqQliiIfrmMP4VaFoDNDWyUFy2J8/edit?gid=0#gid=0"",""Sheet1!K:K"")=$B64
    ),
    1
  ),
 "&amp;" ""Not Found""
)"),"Qari Muhammad aqeel ")</f>
        <v>Qari Muhammad aqeel </v>
      </c>
      <c r="G64" s="284">
        <v>1990.0</v>
      </c>
      <c r="H64" s="284"/>
      <c r="I64" s="285"/>
      <c r="J64" s="286">
        <v>2.0</v>
      </c>
      <c r="K64" s="287" t="str">
        <f>VLOOKUP($B64,'Mosque Locations'!$A:$E,3,FALSE)
</f>
        <v>https://maps.google.com/maps?q=31.5884416%2C74.3487115&amp;z=17&amp;hl=en</v>
      </c>
      <c r="L64" s="286">
        <f>VLOOKUP($B64,'Mosque Locations'!$A:$E,4,FALSE)
</f>
        <v>31.58844</v>
      </c>
      <c r="M64" s="286">
        <f>VLOOKUP($B64,'Mosque Locations'!$A:$E,5,false)</f>
        <v>74.34871</v>
      </c>
      <c r="N64" s="288"/>
      <c r="O64" s="288"/>
      <c r="P64" s="288"/>
      <c r="Q64" s="289" t="str">
        <f>IFERROR(__xludf.DUMMYFUNCTION("IFERROR(
  INDEX(
    FILTER(
      IMPORTRANGE(""1SnQ_YxUmBUYKsKc82GyPPovLO-EPrfZxsJ0V0UbhezI/edit?gid=590869320#gid=590869320"",""Form Responses 1!AB:AB""),
      IMPORTRANGE(""1SnQ_YxUmBUYKsKc82GyPPovLO-EPrfZxsJ0V0UbhezI/edit?gid=590869320#gid=59086932"&amp;"0"",""Form Responses 1!E:E"")=$B64
    ),
    1
  ),
  ""Not Found""
)"),"https://drive.google.com/open?id=1ErHoAS0rbUqAx2xmIidJ-gPnYO0IjKx7")</f>
        <v>https://drive.google.com/open?id=1ErHoAS0rbUqAx2xmIidJ-gPnYO0IjKx7</v>
      </c>
      <c r="R64" s="289" t="str">
        <f>IFERROR(__xludf.DUMMYFUNCTION("IFERROR(
  INDEX(
    FILTER(
      IMPORTRANGE(""1SnQ_YxUmBUYKsKc82GyPPovLO-EPrfZxsJ0V0UbhezI"",""Form Responses 1!AA:AA""),
      TRIM(IMPORTRANGE(""1SnQ_YxUmBUYKsKc82GyPPovLO-EPrfZxsJ0V0UbhezI"",""Form Responses 1!E:E""))=TRIM($B64)
    ),
    1
  ),
 "&amp;" ""Not Found""
)
"),"https://drive.google.com/open?id=1zzfXe9-nQE_bEn8D86aM3e6v6Kbk_ii3")</f>
        <v>https://drive.google.com/open?id=1zzfXe9-nQE_bEn8D86aM3e6v6Kbk_ii3</v>
      </c>
      <c r="S64" s="285"/>
      <c r="T64" s="290" t="str">
        <f>VLOOKUP($B64,'Master Tracker'!$D:$E,2,false)</f>
        <v>https://drive.google.com/open?id=1sI2r7kWhk4mTtC8GXBRNPIVuWHQ6ROAT</v>
      </c>
      <c r="U64" s="291" t="str">
        <f>VLOOKUP($B64,'Master Tracker'!$D:$T,4,FALSE)
</f>
        <v>https://drive.google.com/open?id=1pCkb0vZqgxQNjvPg2owOF-rPTEX27C7q</v>
      </c>
      <c r="V64" s="284" t="str">
        <f>VLOOKUP($B64,'Master Tracker'!$D:$T,5,false)</f>
        <v>Not Found</v>
      </c>
      <c r="W64" s="292" t="str">
        <f>VLOOKUP($B64,'Master Tracker'!$D:$T,7,false)</f>
        <v>Not Found</v>
      </c>
      <c r="X64" s="290" t="str">
        <f>VLOOKUP($B64,'Master Tracker'!$D:$T,8,false)</f>
        <v>https://drive.google.com/open?id=1jSuoVEnBpGw1EKvpR68sucYxEHbPQ6I8</v>
      </c>
      <c r="Y64" s="291" t="str">
        <f>VLOOKUP($B64,'Master Tracker'!$D:$T,10,false)</f>
        <v>https://drive.google.com/open?id=1Dobo2Zs_lcLn9YacVniiwyCi-WdSTe8b</v>
      </c>
      <c r="Z64" s="284" t="str">
        <f>VLOOKUP($B64,'Master Tracker'!$D:$T,11,false)</f>
        <v>Not Found</v>
      </c>
      <c r="AA64" s="292" t="str">
        <f>VLOOKUP($B64,'Master Tracker'!$D:$T,13,false)</f>
        <v>Not Found</v>
      </c>
      <c r="AB64" s="284" t="str">
        <f>VLOOKUP($B64,'Master Tracker'!$D:$T,14,false)</f>
        <v>Not Found</v>
      </c>
      <c r="AC64" s="292" t="str">
        <f>VLOOKUP($B64,'Master Tracker'!$D:$T,16,false)</f>
        <v>Not Found</v>
      </c>
      <c r="AD64" s="292" t="str">
        <f>VLOOKUP($B64,'Master Tracker'!$D:$T,17,false)</f>
        <v>Not Found</v>
      </c>
      <c r="AE64" s="292" t="str">
        <f>VLOOKUP($B64,'Master Tracker'!$D:$V,19,false)</f>
        <v>Not Found</v>
      </c>
      <c r="AF64" s="292">
        <f>IFERROR(__xludf.DUMMYFUNCTION("IFERROR(
  INDEX(
    FILTER(
      'Juma Recording forms'!$G:$G,
      TRIM('Juma Recording forms'!$F:$F) = TRIM($B64),
      'Juma Recording forms'!$AA:$AA = 1
    ),
    1
  ),
  ""Not Found""
)"),67.0)</f>
        <v>67</v>
      </c>
      <c r="AG64" s="292" t="str">
        <f>IFERROR(__xludf.DUMMYFUNCTION("IFERROR(
  INDEX(
    FILTER(
      'Juma Recording forms'!$G:$G,
      TRIM('Juma Recording forms'!$F:$F) = TRIM($B64),
      'Juma Recording forms'!$AA:$AA = 2
    ),
    1
  ),
  ""Not Found""
)"),"Not Found")</f>
        <v>Not Found</v>
      </c>
      <c r="AH64" s="292">
        <f>IFERROR(__xludf.DUMMYFUNCTION("IFERROR(
  INDEX(
    FILTER(
      'Juma Recording forms'!$G:$G,
      TRIM('Juma Recording forms'!$F:$F) = TRIM($B64),
      'Juma Recording forms'!$AA:$AA = 3
    ),
    1
  ),
  ""Not Found""
)"),65.0)</f>
        <v>65</v>
      </c>
      <c r="AI64" s="292" t="str">
        <f>IFERROR(__xludf.DUMMYFUNCTION("IFERROR(
  INDEX(
    FILTER(
      'Juma Recording forms'!$G:$G,
      TRIM('Juma Recording forms'!$F:$F) = TRIM($B64),
      'Juma Recording forms'!$AA:$AA = 4
    ),
    1
  ),
  ""Not Found""
)"),"Not Found")</f>
        <v>Not Found</v>
      </c>
      <c r="AJ64" s="292" t="str">
        <f>IFERROR(__xludf.DUMMYFUNCTION("IFERROR(
  INDEX(
    FILTER(
      'Juma Recording forms'!$G:$G,
      TRIM('Juma Recording forms'!$F:$F) = TRIM($B64),
      'Juma Recording forms'!$AA:$AA = 5
    ),
    1
  ),
  ""Not Found""
)"),"Not Found")</f>
        <v>Not Found</v>
      </c>
      <c r="AK64" s="292"/>
      <c r="AL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1!$E:$E"")=$B64) *
        (IMPORTRANGE(""https://docs.google.com/spreadsheets/d/161aHT6vVT3SLneTKD19N5qVWtnj_jIT8CSsOmUVKmaA/ed"&amp;"it?gid=1761053510"",
          ""Haris_Form responses 1!$AQ:$AQ"")=1)
      ),
      1
    ),
    ""0""
  ),
  ""Form not found""
)
"),"0")</f>
        <v>0</v>
      </c>
      <c r="AM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1!$E:$E"")=$B64) *
        (IMPORTRANGE(""https://docs.google.com/spreadsheets/d/161aHT6vVT3SLneTKD19N5qVWtnj_jIT8CSsOmUVKmaA/ed"&amp;"it?gid=1761053510"",
          ""Haris_Form responses 1!$AQ:$AQ"")=2)
      ),
      1
    ),
    ""0""
  ),
  ""Form not found""
)
"),"Form not found")</f>
        <v>Form not found</v>
      </c>
      <c r="AN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1!$E:$E"")=$B64) *
        (IMPORTRANGE(""https://docs.google.com/spreadsheets/d/161aHT6vVT3SLneTKD19N5qVWtnj_jIT8CSsOmUVKmaA/ed"&amp;"it?gid=1761053510"",
          ""Haris_Form responses 1!$AQ:$AQ"")=3)
      ),
      1
    ),
    ""0""
  ),
  ""Form not found""
)
"),"0")</f>
        <v>0</v>
      </c>
      <c r="AO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1!$E:$E"")=$B64) *
        (IMPORTRANGE(""https://docs.google.com/spreadsheets/d/161aHT6vVT3SLneTKD19N5qVWtnj_jIT8CSsOmUVKmaA/ed"&amp;"it?gid=1761053510"",
          ""Haris_Form responses 1!$AQ:$AQ"")=4)
      ),
      1
    ),
    ""0""
  ),
  ""Form not found""
)
"),"Form not found")</f>
        <v>Form not found</v>
      </c>
      <c r="AP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1!$E:$E"")=$B64) *
        (IMPORTRANGE(""https://docs.google.com/spreadsheets/d/161aHT6vVT3SLneTKD19N5qVWtnj_jIT8CSsOmUVKmaA/ed"&amp;"it?gid=1761053510"",
          ""Haris_Form responses 1!$AQ:$AQ"")=5)
      ),
      1
    ),
    ""0""
  ),
  ""Form not found""
)
"),"Form not found")</f>
        <v>Form not found</v>
      </c>
      <c r="AQ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1!$E:$E"")=$B64) *
        (IMPORTRANGE(""https://docs.google.com/spreadsheets/d/161aHT6vVT3SLneTKD19N5qVWtnj_jIT8CSsOmUVKmaA/ed"&amp;"it?gid=1761053510"",
          ""Haris_Form responses 1!$AQ:$AQ"")=6)
      ),
      1
    ),
    ""0""
  ),
  ""Form not found""
)
"),"Form not found")</f>
        <v>Form not found</v>
      </c>
      <c r="AR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1!$E:$E"")=$B64) *
        (IMPORTRANGE(""https://docs.google.com/spreadsheets/d/161aHT6vVT3SLneTKD19N5qVWtnj_jIT8CSsOmUVKmaA/ed"&amp;"it?gid=1761053510"",
          ""Haris_Form responses 1!$AQ:$AQ"")=1)
      ),
      1
    ),
    ""0""
  ),
  ""Form not found""
)
"),"0")</f>
        <v>0</v>
      </c>
      <c r="AS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1!$E:$E"")=$B64) *
        (IMPORTRANGE(""https://docs.google.com/spreadsheets/d/161aHT6vVT3SLneTKD19N5qVWtnj_jIT8CSsOmUVKmaA/ed"&amp;"it?gid=1761053510"",
          ""Haris_Form responses 1!$AQ:$AQ"")=2)
      ),
      1
    ),
    ""0""
  ),
  ""Form not found""
)
"),"Form not found")</f>
        <v>Form not found</v>
      </c>
      <c r="AT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1!$E:$E"")=$B64) *
        (IMPORTRANGE(""https://docs.google.com/spreadsheets/d/161aHT6vVT3SLneTKD19N5qVWtnj_jIT8CSsOmUVKmaA/ed"&amp;"it?gid=1761053510"",
          ""Haris_Form responses 1!$AQ:$AQ"")=3)
      ),
      1
    ),
    ""0""
  ),
  ""Form not found""
)
"),"0")</f>
        <v>0</v>
      </c>
      <c r="AU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1!$E:$E"")=$B64) *
        (IMPORTRANGE(""https://docs.google.com/spreadsheets/d/161aHT6vVT3SLneTKD19N5qVWtnj_jIT8CSsOmUVKmaA/ed"&amp;"it?gid=1761053510"",
          ""Haris_Form responses 1!$AQ:$AQ"")=4)
      ),
      1
    ),
    ""0""
  ),
  ""Form not found""
)
"),"Form not found")</f>
        <v>Form not found</v>
      </c>
      <c r="AV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1!$E:$E"")=$B64) *
        (IMPORTRANGE(""https://docs.google.com/spreadsheets/d/161aHT6vVT3SLneTKD19N5qVWtnj_jIT8CSsOmUVKmaA/ed"&amp;"it?gid=1761053510"",
          ""Haris_Form responses 1!$AQ:$AQ"")=5)
      ),
      1
    ),
    ""0""
  ),
  ""Form not found""
)
"),"Form not found")</f>
        <v>Form not found</v>
      </c>
      <c r="AW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1!$E:$E"")=$B64) *
        (IMPORTRANGE(""https://docs.google.com/spreadsheets/d/161aHT6vVT3SLneTKD19N5qVWtnj_jIT8CSsOmUVKmaA/ed"&amp;"it?gid=1761053510"",
          ""Haris_Form responses 1!$AQ:$AQ"")=6)
      ),
      1
    ),
    ""0""
  ),
  ""Form not found""
)
"),"Form not found")</f>
        <v>Form not found</v>
      </c>
      <c r="AX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1!$E:$E"")=$B64) *
        (IMPORTRANGE(""https://docs.google.com/spreadsheets/d/161aHT6vVT3SLneTKD19N5qVWtnj_jIT8CSsOmUVKmaA/ed"&amp;"it?gid=1761053510"",
          ""Haris_Form responses 1!$AQ:$AQ"")=1)
      ),
      1
    ),
    ""0""
  ),
  ""Form not found""
)
"),"0")</f>
        <v>0</v>
      </c>
      <c r="AY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1!$E:$E"")=$B64) *
        (IMPORTRANGE(""https://docs.google.com/spreadsheets/d/161aHT6vVT3SLneTKD19N5qVWtnj_jIT8CSsOmUVKmaA/ed"&amp;"it?gid=1761053510"",
          ""Haris_Form responses 1!$AQ:$AQ"")=2)
      ),
      1
    ),
    ""0""
  ),
  ""Form not found""
)
"),"Form not found")</f>
        <v>Form not found</v>
      </c>
      <c r="AZ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1!$E:$E"")=$B64) *
        (IMPORTRANGE(""https://docs.google.com/spreadsheets/d/161aHT6vVT3SLneTKD19N5qVWtnj_jIT8CSsOmUVKmaA/ed"&amp;"it?gid=1761053510"",
          ""Haris_Form responses 1!$AQ:$AQ"")=3)
      ),
      1
    ),
    ""0""
  ),
  ""Form not found""
)
"),"0")</f>
        <v>0</v>
      </c>
      <c r="BA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1!$E:$E"")=$B64) *
        (IMPORTRANGE(""https://docs.google.com/spreadsheets/d/161aHT6vVT3SLneTKD19N5qVWtnj_jIT8CSsOmUVKmaA/ed"&amp;"it?gid=1761053510"",
          ""Haris_Form responses 1!$AQ:$AQ"")=4)
      ),
      1
    ),
    ""0""
  ),
  ""Form not found""
)
"),"Form not found")</f>
        <v>Form not found</v>
      </c>
      <c r="BB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1!$E:$E"")=$B64) *
        (IMPORTRANGE(""https://docs.google.com/spreadsheets/d/161aHT6vVT3SLneTKD19N5qVWtnj_jIT8CSsOmUVKmaA/ed"&amp;"it?gid=1761053510"",
          ""Haris_Form responses 1!$AQ:$AQ"")=5)
      ),
      1
    ),
    ""0""
  ),
  ""Form not found""
)
"),"Form not found")</f>
        <v>Form not found</v>
      </c>
      <c r="BC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1!$E:$E"")=$B64) *
        (IMPORTRANGE(""https://docs.google.com/spreadsheets/d/161aHT6vVT3SLneTKD19N5qVWtnj_jIT8CSsOmUVKmaA/ed"&amp;"it?gid=1761053510"",
          ""Haris_Form responses 1!$AQ:$AQ"")=6)
      ),
      1
    ),
    ""0""
  ),
  ""Form not found""
)
"),"Form not found")</f>
        <v>Form not found</v>
      </c>
      <c r="BD64" s="293"/>
    </row>
    <row r="65">
      <c r="A65" s="283" t="str">
        <f>IFERROR(__xludf.DUMMYFUNCTION("VLOOKUP($B65,IMPORTRANGE(""https://docs.google.com/spreadsheets/d/1VNXDITjs75AcgdBSW27oL1VZH31udDprJSsBcE5xlp4/edit?gid=1551188038#gid=1551188038"", ""Sheet9!$B:$E""),2,false)"),"Lahore")</f>
        <v>Lahore</v>
      </c>
      <c r="B65" s="283" t="s">
        <v>3241</v>
      </c>
      <c r="C65" s="284" t="str">
        <f>IFERROR(__xludf.DUMMYFUNCTION("VLOOKUP(TRIM($B65), IMPORTRANGE(""https://docs.google.com/spreadsheets/d/1aSOrU4PTpuBZqfitKaH1Rfww6-YOiNCKoBpPl8XBHaw/edit?gid=0#gid=0"", ""sheet3!$B:$C""), 2, FALSE)
"),"Jamia Masjid Shah Jamal Lahore")</f>
        <v>Jamia Masjid Shah Jamal Lahore</v>
      </c>
      <c r="D65" s="284" t="str">
        <f>IFERROR(__xludf.DUMMYFUNCTION("IFERROR(
  INDEX(
    FILTER(
      IMPORTRANGE(""1aSOrU4PTpuBZqfitKaH1Rfww6-YOiNCKoBpPl8XBHaw/edit?gid=0#gid=0"",""Sheet1!G:G""),
      IMPORTRANGE(""1aSOrU4PTpuBZqfitKaH1Rfww6-YOiNCKoBpPl8XBHaw/edit?gid=0#gid=0"",""Sheet1!C:C"")=$B65
    ),
    1
  ),
 "&amp;" ""Not Found""
)"),"Control")</f>
        <v>Control</v>
      </c>
      <c r="E65" s="284" t="str">
        <f>VLOOKUP(B65,'Juma Recording forms'!A:E,5,false)</f>
        <v>Jamia masjid Shah Jamal</v>
      </c>
      <c r="F65" s="284" t="str">
        <f>IFERROR(__xludf.DUMMYFUNCTION("IFERROR(
  INDEX(
    FILTER(
      IMPORTRANGE(""1Cxrhp3-_-HS7v9uuqQliiIfrmMP4VaFoDNDWyUFy2J8/edit?gid=0#gid=0"",""Sheet1!Q:Q""),
      IMPORTRANGE(""1Cxrhp3-_-HS7v9uuqQliiIfrmMP4VaFoDNDWyUFy2J8/edit?gid=0#gid=0"",""Sheet1!K:K"")=$B65
    ),
    1
  ),
 "&amp;" ""Not Found""
)"),"Akhtar_raza")</f>
        <v>Akhtar_raza</v>
      </c>
      <c r="G65" s="284">
        <v>1925.0</v>
      </c>
      <c r="H65" s="284" t="s">
        <v>4828</v>
      </c>
      <c r="I65" s="285"/>
      <c r="J65" s="286">
        <v>2.0</v>
      </c>
      <c r="K65" s="287" t="str">
        <f>VLOOKUP($B65,'Mosque Locations'!$A:$E,3,FALSE)
</f>
        <v>https://maps.google.com/maps?q=31.52895%2C74.3286083&amp;z=17&amp;hl=en</v>
      </c>
      <c r="L65" s="286">
        <f>VLOOKUP($B65,'Mosque Locations'!$A:$E,4,FALSE)
</f>
        <v>31.52895</v>
      </c>
      <c r="M65" s="286">
        <f>VLOOKUP($B65,'Mosque Locations'!$A:$E,5,false)</f>
        <v>74.32861</v>
      </c>
      <c r="N65" s="288"/>
      <c r="O65" s="288"/>
      <c r="P65" s="288"/>
      <c r="Q65" s="289" t="str">
        <f>IFERROR(__xludf.DUMMYFUNCTION("IFERROR(
  INDEX(
    FILTER(
      IMPORTRANGE(""1SnQ_YxUmBUYKsKc82GyPPovLO-EPrfZxsJ0V0UbhezI/edit?gid=590869320#gid=590869320"",""Form Responses 1!AB:AB""),
      IMPORTRANGE(""1SnQ_YxUmBUYKsKc82GyPPovLO-EPrfZxsJ0V0UbhezI/edit?gid=590869320#gid=59086932"&amp;"0"",""Form Responses 1!E:E"")=$B65
    ),
    1
  ),
  ""Not Found""
)"),"https://drive.google.com/open?id=1zKakeBK82fJGq23lPHGp0HsZd4-4IsOR")</f>
        <v>https://drive.google.com/open?id=1zKakeBK82fJGq23lPHGp0HsZd4-4IsOR</v>
      </c>
      <c r="R65" s="289" t="str">
        <f>IFERROR(__xludf.DUMMYFUNCTION("IFERROR(
  INDEX(
    FILTER(
      IMPORTRANGE(""1SnQ_YxUmBUYKsKc82GyPPovLO-EPrfZxsJ0V0UbhezI"",""Form Responses 1!AA:AA""),
      TRIM(IMPORTRANGE(""1SnQ_YxUmBUYKsKc82GyPPovLO-EPrfZxsJ0V0UbhezI"",""Form Responses 1!E:E""))=TRIM($B65)
    ),
    1
  ),
 "&amp;" ""Not Found""
)
"),"https://drive.google.com/open?id=1PmmRy0sluL9I4ePHxSFGcji9YSyNZL-9")</f>
        <v>https://drive.google.com/open?id=1PmmRy0sluL9I4ePHxSFGcji9YSyNZL-9</v>
      </c>
      <c r="S65" s="285"/>
      <c r="T65" s="290" t="str">
        <f>VLOOKUP($B65,'Master Tracker'!$D:$E,2,false)</f>
        <v>https://drive.google.com/open?id=1GOvrqElphO7EhYTVYf2bSMmnnq_PfY1-</v>
      </c>
      <c r="U65" s="291" t="str">
        <f>VLOOKUP($B65,'Master Tracker'!$D:$T,4,FALSE)
</f>
        <v>https://drive.google.com/open?id=1KkDFdV27Kv6kG_rPKmgHkIj3QyUZ5kPJ</v>
      </c>
      <c r="V65" s="284" t="str">
        <f>VLOOKUP($B65,'Master Tracker'!$D:$T,5,false)</f>
        <v>Not Found</v>
      </c>
      <c r="W65" s="292" t="str">
        <f>VLOOKUP($B65,'Master Tracker'!$D:$T,7,false)</f>
        <v>Not Found</v>
      </c>
      <c r="X65" s="290" t="str">
        <f>VLOOKUP($B65,'Master Tracker'!$D:$T,8,false)</f>
        <v>https://drive.google.com/open?id=1LmaLIIW38_5W_Rsw_39-X-gxhzotFU9Q</v>
      </c>
      <c r="Y65" s="291" t="str">
        <f>VLOOKUP($B65,'Master Tracker'!$D:$T,10,false)</f>
        <v>https://drive.google.com/open?id=1gnzxm-5WbrhZENs9Da2QaLW0FGadimcB</v>
      </c>
      <c r="Z65" s="284" t="str">
        <f>VLOOKUP($B65,'Master Tracker'!$D:$T,11,false)</f>
        <v>Not Found</v>
      </c>
      <c r="AA65" s="292" t="str">
        <f>VLOOKUP($B65,'Master Tracker'!$D:$T,13,false)</f>
        <v>Not Found</v>
      </c>
      <c r="AB65" s="284" t="str">
        <f>VLOOKUP($B65,'Master Tracker'!$D:$T,14,false)</f>
        <v>Not Found</v>
      </c>
      <c r="AC65" s="292" t="str">
        <f>VLOOKUP($B65,'Master Tracker'!$D:$T,16,false)</f>
        <v>Not Found</v>
      </c>
      <c r="AD65" s="292" t="str">
        <f>VLOOKUP($B65,'Master Tracker'!$D:$T,17,false)</f>
        <v>Not Found</v>
      </c>
      <c r="AE65" s="292" t="str">
        <f>VLOOKUP($B65,'Master Tracker'!$D:$V,19,false)</f>
        <v>Not Found</v>
      </c>
      <c r="AF65" s="292">
        <f>IFERROR(__xludf.DUMMYFUNCTION("IFERROR(
  INDEX(
    FILTER(
      'Juma Recording forms'!$G:$G,
      TRIM('Juma Recording forms'!$F:$F) = TRIM($B65),
      'Juma Recording forms'!$AA:$AA = 1
    ),
    1
  ),
  ""Not Found""
)"),380.0)</f>
        <v>380</v>
      </c>
      <c r="AG65" s="292" t="str">
        <f>IFERROR(__xludf.DUMMYFUNCTION("IFERROR(
  INDEX(
    FILTER(
      'Juma Recording forms'!$G:$G,
      TRIM('Juma Recording forms'!$F:$F) = TRIM($B65),
      'Juma Recording forms'!$AA:$AA = 2
    ),
    1
  ),
  ""Not Found""
)"),"Not Found")</f>
        <v>Not Found</v>
      </c>
      <c r="AH65" s="292" t="str">
        <f>IFERROR(__xludf.DUMMYFUNCTION("IFERROR(
  INDEX(
    FILTER(
      'Juma Recording forms'!$G:$G,
      TRIM('Juma Recording forms'!$F:$F) = TRIM($B65),
      'Juma Recording forms'!$AA:$AA = 3
    ),
    1
  ),
  ""Not Found""
)"),"400+")</f>
        <v>400+</v>
      </c>
      <c r="AI65" s="292" t="str">
        <f>IFERROR(__xludf.DUMMYFUNCTION("IFERROR(
  INDEX(
    FILTER(
      'Juma Recording forms'!$G:$G,
      TRIM('Juma Recording forms'!$F:$F) = TRIM($B65),
      'Juma Recording forms'!$AA:$AA = 4
    ),
    1
  ),
  ""Not Found""
)"),"Not Found")</f>
        <v>Not Found</v>
      </c>
      <c r="AJ65" s="292" t="str">
        <f>IFERROR(__xludf.DUMMYFUNCTION("IFERROR(
  INDEX(
    FILTER(
      'Juma Recording forms'!$G:$G,
      TRIM('Juma Recording forms'!$F:$F) = TRIM($B65),
      'Juma Recording forms'!$AA:$AA = 5
    ),
    1
  ),
  ""Not Found""
)"),"Not Found")</f>
        <v>Not Found</v>
      </c>
      <c r="AK65" s="292"/>
      <c r="AL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1!$E:$E"")=$B65) *
        (IMPORTRANGE(""https://docs.google.com/spreadsheets/d/161aHT6vVT3SLneTKD19N5qVWtnj_jIT8CSsOmUVKmaA/ed"&amp;"it?gid=1761053510"",
          ""Haris_Form responses 1!$AQ:$AQ"")=1)
      ),
      1
    ),
    ""0""
  ),
  ""Form not found""
)
"),"0")</f>
        <v>0</v>
      </c>
      <c r="AM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1!$E:$E"")=$B65) *
        (IMPORTRANGE(""https://docs.google.com/spreadsheets/d/161aHT6vVT3SLneTKD19N5qVWtnj_jIT8CSsOmUVKmaA/ed"&amp;"it?gid=1761053510"",
          ""Haris_Form responses 1!$AQ:$AQ"")=2)
      ),
      1
    ),
    ""0""
  ),
  ""Form not found""
)
"),"Form not found")</f>
        <v>Form not found</v>
      </c>
      <c r="AN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1!$E:$E"")=$B65) *
        (IMPORTRANGE(""https://docs.google.com/spreadsheets/d/161aHT6vVT3SLneTKD19N5qVWtnj_jIT8CSsOmUVKmaA/ed"&amp;"it?gid=1761053510"",
          ""Haris_Form responses 1!$AQ:$AQ"")=3)
      ),
      1
    ),
    ""0""
  ),
  ""Form not found""
)
"),"0")</f>
        <v>0</v>
      </c>
      <c r="AO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1!$E:$E"")=$B65) *
        (IMPORTRANGE(""https://docs.google.com/spreadsheets/d/161aHT6vVT3SLneTKD19N5qVWtnj_jIT8CSsOmUVKmaA/ed"&amp;"it?gid=1761053510"",
          ""Haris_Form responses 1!$AQ:$AQ"")=4)
      ),
      1
    ),
    ""0""
  ),
  ""Form not found""
)
"),"Form not found")</f>
        <v>Form not found</v>
      </c>
      <c r="AP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1!$E:$E"")=$B65) *
        (IMPORTRANGE(""https://docs.google.com/spreadsheets/d/161aHT6vVT3SLneTKD19N5qVWtnj_jIT8CSsOmUVKmaA/ed"&amp;"it?gid=1761053510"",
          ""Haris_Form responses 1!$AQ:$AQ"")=5)
      ),
      1
    ),
    ""0""
  ),
  ""Form not found""
)
"),"Form not found")</f>
        <v>Form not found</v>
      </c>
      <c r="AQ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1!$E:$E"")=$B65) *
        (IMPORTRANGE(""https://docs.google.com/spreadsheets/d/161aHT6vVT3SLneTKD19N5qVWtnj_jIT8CSsOmUVKmaA/ed"&amp;"it?gid=1761053510"",
          ""Haris_Form responses 1!$AQ:$AQ"")=6)
      ),
      1
    ),
    ""0""
  ),
  ""Form not found""
)
"),"Form not found")</f>
        <v>Form not found</v>
      </c>
      <c r="AR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1!$E:$E"")=$B65) *
        (IMPORTRANGE(""https://docs.google.com/spreadsheets/d/161aHT6vVT3SLneTKD19N5qVWtnj_jIT8CSsOmUVKmaA/ed"&amp;"it?gid=1761053510"",
          ""Haris_Form responses 1!$AQ:$AQ"")=1)
      ),
      1
    ),
    ""0""
  ),
  ""Form not found""
)
"),"0")</f>
        <v>0</v>
      </c>
      <c r="AS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1!$E:$E"")=$B65) *
        (IMPORTRANGE(""https://docs.google.com/spreadsheets/d/161aHT6vVT3SLneTKD19N5qVWtnj_jIT8CSsOmUVKmaA/ed"&amp;"it?gid=1761053510"",
          ""Haris_Form responses 1!$AQ:$AQ"")=2)
      ),
      1
    ),
    ""0""
  ),
  ""Form not found""
)
"),"Form not found")</f>
        <v>Form not found</v>
      </c>
      <c r="AT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1!$E:$E"")=$B65) *
        (IMPORTRANGE(""https://docs.google.com/spreadsheets/d/161aHT6vVT3SLneTKD19N5qVWtnj_jIT8CSsOmUVKmaA/ed"&amp;"it?gid=1761053510"",
          ""Haris_Form responses 1!$AQ:$AQ"")=3)
      ),
      1
    ),
    ""0""
  ),
  ""Form not found""
)
"),"0")</f>
        <v>0</v>
      </c>
      <c r="AU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1!$E:$E"")=$B65) *
        (IMPORTRANGE(""https://docs.google.com/spreadsheets/d/161aHT6vVT3SLneTKD19N5qVWtnj_jIT8CSsOmUVKmaA/ed"&amp;"it?gid=1761053510"",
          ""Haris_Form responses 1!$AQ:$AQ"")=4)
      ),
      1
    ),
    ""0""
  ),
  ""Form not found""
)
"),"Form not found")</f>
        <v>Form not found</v>
      </c>
      <c r="AV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1!$E:$E"")=$B65) *
        (IMPORTRANGE(""https://docs.google.com/spreadsheets/d/161aHT6vVT3SLneTKD19N5qVWtnj_jIT8CSsOmUVKmaA/ed"&amp;"it?gid=1761053510"",
          ""Haris_Form responses 1!$AQ:$AQ"")=5)
      ),
      1
    ),
    ""0""
  ),
  ""Form not found""
)
"),"Form not found")</f>
        <v>Form not found</v>
      </c>
      <c r="AW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1!$E:$E"")=$B65) *
        (IMPORTRANGE(""https://docs.google.com/spreadsheets/d/161aHT6vVT3SLneTKD19N5qVWtnj_jIT8CSsOmUVKmaA/ed"&amp;"it?gid=1761053510"",
          ""Haris_Form responses 1!$AQ:$AQ"")=6)
      ),
      1
    ),
    ""0""
  ),
  ""Form not found""
)
"),"Form not found")</f>
        <v>Form not found</v>
      </c>
      <c r="AX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1!$E:$E"")=$B65) *
        (IMPORTRANGE(""https://docs.google.com/spreadsheets/d/161aHT6vVT3SLneTKD19N5qVWtnj_jIT8CSsOmUVKmaA/ed"&amp;"it?gid=1761053510"",
          ""Haris_Form responses 1!$AQ:$AQ"")=1)
      ),
      1
    ),
    ""0""
  ),
  ""Form not found""
)
"),"0")</f>
        <v>0</v>
      </c>
      <c r="AY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1!$E:$E"")=$B65) *
        (IMPORTRANGE(""https://docs.google.com/spreadsheets/d/161aHT6vVT3SLneTKD19N5qVWtnj_jIT8CSsOmUVKmaA/ed"&amp;"it?gid=1761053510"",
          ""Haris_Form responses 1!$AQ:$AQ"")=2)
      ),
      1
    ),
    ""0""
  ),
  ""Form not found""
)
"),"Form not found")</f>
        <v>Form not found</v>
      </c>
      <c r="AZ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1!$E:$E"")=$B65) *
        (IMPORTRANGE(""https://docs.google.com/spreadsheets/d/161aHT6vVT3SLneTKD19N5qVWtnj_jIT8CSsOmUVKmaA/ed"&amp;"it?gid=1761053510"",
          ""Haris_Form responses 1!$AQ:$AQ"")=3)
      ),
      1
    ),
    ""0""
  ),
  ""Form not found""
)
"),"0")</f>
        <v>0</v>
      </c>
      <c r="BA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1!$E:$E"")=$B65) *
        (IMPORTRANGE(""https://docs.google.com/spreadsheets/d/161aHT6vVT3SLneTKD19N5qVWtnj_jIT8CSsOmUVKmaA/ed"&amp;"it?gid=1761053510"",
          ""Haris_Form responses 1!$AQ:$AQ"")=4)
      ),
      1
    ),
    ""0""
  ),
  ""Form not found""
)
"),"Form not found")</f>
        <v>Form not found</v>
      </c>
      <c r="BB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1!$E:$E"")=$B65) *
        (IMPORTRANGE(""https://docs.google.com/spreadsheets/d/161aHT6vVT3SLneTKD19N5qVWtnj_jIT8CSsOmUVKmaA/ed"&amp;"it?gid=1761053510"",
          ""Haris_Form responses 1!$AQ:$AQ"")=5)
      ),
      1
    ),
    ""0""
  ),
  ""Form not found""
)
"),"Form not found")</f>
        <v>Form not found</v>
      </c>
      <c r="BC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1!$E:$E"")=$B65) *
        (IMPORTRANGE(""https://docs.google.com/spreadsheets/d/161aHT6vVT3SLneTKD19N5qVWtnj_jIT8CSsOmUVKmaA/ed"&amp;"it?gid=1761053510"",
          ""Haris_Form responses 1!$AQ:$AQ"")=6)
      ),
      1
    ),
    ""0""
  ),
  ""Form not found""
)
"),"Form not found")</f>
        <v>Form not found</v>
      </c>
      <c r="BD65" s="293"/>
    </row>
    <row r="66">
      <c r="A66" s="283" t="str">
        <f>IFERROR(__xludf.DUMMYFUNCTION("VLOOKUP($B66,IMPORTRANGE(""https://docs.google.com/spreadsheets/d/1VNXDITjs75AcgdBSW27oL1VZH31udDprJSsBcE5xlp4/edit?gid=1551188038#gid=1551188038"", ""Sheet9!$B:$E""),2,false)"),"Lahore")</f>
        <v>Lahore</v>
      </c>
      <c r="B66" s="283" t="s">
        <v>2885</v>
      </c>
      <c r="C66" s="284" t="str">
        <f>IFERROR(__xludf.DUMMYFUNCTION("VLOOKUP(TRIM($B66), IMPORTRANGE(""https://docs.google.com/spreadsheets/d/1aSOrU4PTpuBZqfitKaH1Rfww6-YOiNCKoBpPl8XBHaw/edit?gid=0#gid=0"", ""sheet3!$B:$C""), 2, FALSE)
"),"Jamia Masjid Musafir Khana Ghari Shah Lahore")</f>
        <v>Jamia Masjid Musafir Khana Ghari Shah Lahore</v>
      </c>
      <c r="D66" s="284" t="str">
        <f>IFERROR(__xludf.DUMMYFUNCTION("IFERROR(
  INDEX(
    FILTER(
      IMPORTRANGE(""1aSOrU4PTpuBZqfitKaH1Rfww6-YOiNCKoBpPl8XBHaw/edit?gid=0#gid=0"",""Sheet1!G:G""),
      IMPORTRANGE(""1aSOrU4PTpuBZqfitKaH1Rfww6-YOiNCKoBpPl8XBHaw/edit?gid=0#gid=0"",""Sheet1!C:C"")=$B66
    ),
    1
  ),
 "&amp;" ""Not Found""
)"),"Women Religious Info Share")</f>
        <v>Women Religious Info Share</v>
      </c>
      <c r="E66" s="284" t="str">
        <f>VLOOKUP(B66,'Juma Recording forms'!A:E,5,false)</f>
        <v>EMOTN	Jamia Masjid Musafir Khana Ghari Shah Lahore</v>
      </c>
      <c r="F66" s="284" t="str">
        <f>IFERROR(__xludf.DUMMYFUNCTION("IFERROR(
  INDEX(
    FILTER(
      IMPORTRANGE(""1Cxrhp3-_-HS7v9uuqQliiIfrmMP4VaFoDNDWyUFy2J8/edit?gid=0#gid=0"",""Sheet1!Q:Q""),
      IMPORTRANGE(""1Cxrhp3-_-HS7v9uuqQliiIfrmMP4VaFoDNDWyUFy2J8/edit?gid=0#gid=0"",""Sheet1!K:K"")=$B66
    ),
    1
  ),
 "&amp;" ""Not Found""
)"),"Mehboob Hussain")</f>
        <v>Mehboob Hussain</v>
      </c>
      <c r="G66" s="284">
        <v>1955.0</v>
      </c>
      <c r="H66" s="284" t="s">
        <v>4829</v>
      </c>
      <c r="I66" s="285"/>
      <c r="J66" s="286">
        <v>2.0</v>
      </c>
      <c r="K66" s="287" t="str">
        <f>VLOOKUP($B66,'Mosque Locations'!$A:$E,3,FALSE)
</f>
        <v>https://maps.google.com/maps?q=31.5630139%2C74.3433942&amp;z=17&amp;hl=en</v>
      </c>
      <c r="L66" s="286">
        <f>VLOOKUP($B66,'Mosque Locations'!$A:$E,4,FALSE)
</f>
        <v>31.56301</v>
      </c>
      <c r="M66" s="286">
        <f>VLOOKUP($B66,'Mosque Locations'!$A:$E,5,false)</f>
        <v>74.34339</v>
      </c>
      <c r="N66" s="288"/>
      <c r="O66" s="288"/>
      <c r="P66" s="288"/>
      <c r="Q66" s="294" t="str">
        <f>IFERROR(__xludf.DUMMYFUNCTION("IFERROR(
  INDEX(
    FILTER(
      IMPORTRANGE(""1SnQ_YxUmBUYKsKc82GyPPovLO-EPrfZxsJ0V0UbhezI/edit?gid=590869320#gid=590869320"",""Form Responses 1!AB:AB""),
      IMPORTRANGE(""1SnQ_YxUmBUYKsKc82GyPPovLO-EPrfZxsJ0V0UbhezI/edit?gid=590869320#gid=59086932"&amp;"0"",""Form Responses 1!E:E"")=$B66
    ),
    1
  ),
  ""Not Found""
)"),"https://drive.google.com/open?id=1HABFWqH9W8ZngVqm_cVgPBADOILsE0fV, https://drive.google.com/open?id=1zpQ9oCN5O7hbAK7aRIb3bgArx3yJpu-Q")</f>
        <v>https://drive.google.com/open?id=1HABFWqH9W8ZngVqm_cVgPBADOILsE0fV, https://drive.google.com/open?id=1zpQ9oCN5O7hbAK7aRIb3bgArx3yJpu-Q</v>
      </c>
      <c r="R66" s="289" t="str">
        <f>IFERROR(__xludf.DUMMYFUNCTION("IFERROR(
  INDEX(
    FILTER(
      IMPORTRANGE(""1SnQ_YxUmBUYKsKc82GyPPovLO-EPrfZxsJ0V0UbhezI"",""Form Responses 1!AA:AA""),
      TRIM(IMPORTRANGE(""1SnQ_YxUmBUYKsKc82GyPPovLO-EPrfZxsJ0V0UbhezI"",""Form Responses 1!E:E""))=TRIM($B66)
    ),
    1
  ),
 "&amp;" ""Not Found""
)
"),"https://drive.google.com/open?id=1jvlk1Bj_6pn9_JfMefN_2F68hRtdXVqg")</f>
        <v>https://drive.google.com/open?id=1jvlk1Bj_6pn9_JfMefN_2F68hRtdXVqg</v>
      </c>
      <c r="S66" s="285"/>
      <c r="T66" s="290" t="str">
        <f>VLOOKUP($B66,'Master Tracker'!$D:$E,2,false)</f>
        <v>https://drive.google.com/open?id=1CwdfmLH5YiOQyTIrG1q0MCeY04HwNCnW</v>
      </c>
      <c r="U66" s="291" t="str">
        <f>VLOOKUP($B66,'Master Tracker'!$D:$T,4,FALSE)
</f>
        <v>https://drive.google.com/open?id=1ONPn__gcw6Ai491mKT8sb3SSFxWFNQWr</v>
      </c>
      <c r="V66" s="290" t="str">
        <f>VLOOKUP($B66,'Master Tracker'!$D:$T,5,false)</f>
        <v>https://drive.google.com/open?id=1WpDuKMGxbMDMuAvA36cQpeKs4-XLTPIb</v>
      </c>
      <c r="W66" s="291" t="str">
        <f>VLOOKUP($B66,'Master Tracker'!$D:$T,7,false)</f>
        <v>https://docs.google.com/document/d/1H17gw86SdmWkP0AqXVMsOc0t5vSWYHgn/edit</v>
      </c>
      <c r="X66" s="290" t="str">
        <f>VLOOKUP($B66,'Master Tracker'!$D:$T,8,false)</f>
        <v>https://drive.google.com/open?id=1zeiKWe3XFk00J_s8BhHR77bgKcMrIvaH</v>
      </c>
      <c r="Y66" s="291" t="str">
        <f>VLOOKUP($B66,'Master Tracker'!$D:$T,10,false)</f>
        <v>https://drive.google.com/open?id=1Eu_dRE8LsjMe3bc1RlMtnXj44VUHC8Z6</v>
      </c>
      <c r="Z66" s="284" t="str">
        <f>VLOOKUP($B66,'Master Tracker'!$D:$T,11,false)</f>
        <v>Not Found</v>
      </c>
      <c r="AA66" s="292" t="str">
        <f>VLOOKUP($B66,'Master Tracker'!$D:$T,13,false)</f>
        <v>Not Found</v>
      </c>
      <c r="AB66" s="284" t="str">
        <f>VLOOKUP($B66,'Master Tracker'!$D:$T,14,false)</f>
        <v>Not Found</v>
      </c>
      <c r="AC66" s="292" t="str">
        <f>VLOOKUP($B66,'Master Tracker'!$D:$T,16,false)</f>
        <v>Not Found</v>
      </c>
      <c r="AD66" s="292" t="str">
        <f>VLOOKUP($B66,'Master Tracker'!$D:$T,17,false)</f>
        <v>Not Found</v>
      </c>
      <c r="AE66" s="292" t="str">
        <f>VLOOKUP($B66,'Master Tracker'!$D:$V,19,false)</f>
        <v>Not Found</v>
      </c>
      <c r="AF66" s="292">
        <f>IFERROR(__xludf.DUMMYFUNCTION("IFERROR(
  INDEX(
    FILTER(
      'Juma Recording forms'!$G:$G,
      TRIM('Juma Recording forms'!$F:$F) = TRIM($B66),
      'Juma Recording forms'!$AA:$AA = 1
    ),
    1
  ),
  ""Not Found""
)"),357.0)</f>
        <v>357</v>
      </c>
      <c r="AG66" s="292">
        <f>IFERROR(__xludf.DUMMYFUNCTION("IFERROR(
  INDEX(
    FILTER(
      'Juma Recording forms'!$G:$G,
      TRIM('Juma Recording forms'!$F:$F) = TRIM($B66),
      'Juma Recording forms'!$AA:$AA = 2
    ),
    1
  ),
  ""Not Found""
)"),365.0)</f>
        <v>365</v>
      </c>
      <c r="AH66" s="292">
        <f>IFERROR(__xludf.DUMMYFUNCTION("IFERROR(
  INDEX(
    FILTER(
      'Juma Recording forms'!$G:$G,
      TRIM('Juma Recording forms'!$F:$F) = TRIM($B66),
      'Juma Recording forms'!$AA:$AA = 3
    ),
    1
  ),
  ""Not Found""
)"),366.0)</f>
        <v>366</v>
      </c>
      <c r="AI66" s="292" t="str">
        <f>IFERROR(__xludf.DUMMYFUNCTION("IFERROR(
  INDEX(
    FILTER(
      'Juma Recording forms'!$G:$G,
      TRIM('Juma Recording forms'!$F:$F) = TRIM($B66),
      'Juma Recording forms'!$AA:$AA = 4
    ),
    1
  ),
  ""Not Found""
)"),"Not Found")</f>
        <v>Not Found</v>
      </c>
      <c r="AJ66" s="292" t="str">
        <f>IFERROR(__xludf.DUMMYFUNCTION("IFERROR(
  INDEX(
    FILTER(
      'Juma Recording forms'!$G:$G,
      TRIM('Juma Recording forms'!$F:$F) = TRIM($B66),
      'Juma Recording forms'!$AA:$AA = 5
    ),
    1
  ),
  ""Not Found""
)"),"Not Found")</f>
        <v>Not Found</v>
      </c>
      <c r="AK66" s="292" t="str">
        <f>IFERROR(__xludf.DUMMYFUNCTION("IFERROR(
  INDEX(
    FILTER(
      'Juma Recording forms'!$G:$G,
      TRIM('Juma Recording forms'!$F:$F) = TRIM($B66),
      'Juma Recording forms'!$AA:$AA = 6
    ),
    1
  ),
  ""Not Found""
)"),"Not Found")</f>
        <v>Not Found</v>
      </c>
      <c r="AL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1!$E:$E"")=$B66) *
        (IMPORTRANGE(""https://docs.google.com/spreadsheets/d/161aHT6vVT3SLneTKD19N5qVWtnj_jIT8CSsOmUVKmaA/ed"&amp;"it?gid=1761053510"",
          ""Haris_Form responses 1!$AQ:$AQ"")=1)
      ),
      1
    ),
    ""0""
  ),
  ""Form not found""
)
"),"10")</f>
        <v>10</v>
      </c>
      <c r="AM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1!$E:$E"")=$B66) *
        (IMPORTRANGE(""https://docs.google.com/spreadsheets/d/161aHT6vVT3SLneTKD19N5qVWtnj_jIT8CSsOmUVKmaA/ed"&amp;"it?gid=1761053510"",
          ""Haris_Form responses 1!$AQ:$AQ"")=2)
      ),
      1
    ),
    ""0""
  ),
  ""Form not found""
)
"),"10")</f>
        <v>10</v>
      </c>
      <c r="AN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1!$E:$E"")=$B66) *
        (IMPORTRANGE(""https://docs.google.com/spreadsheets/d/161aHT6vVT3SLneTKD19N5qVWtnj_jIT8CSsOmUVKmaA/ed"&amp;"it?gid=1761053510"",
          ""Haris_Form responses 1!$AQ:$AQ"")=3)
      ),
      1
    ),
    ""0""
  ),
  ""Form not found""
)
"),"0")</f>
        <v>0</v>
      </c>
      <c r="AO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1!$E:$E"")=$B66) *
        (IMPORTRANGE(""https://docs.google.com/spreadsheets/d/161aHT6vVT3SLneTKD19N5qVWtnj_jIT8CSsOmUVKmaA/ed"&amp;"it?gid=1761053510"",
          ""Haris_Form responses 1!$AQ:$AQ"")=4)
      ),
      1
    ),
    ""0""
  ),
  ""Form not found""
)
"),"Form not found")</f>
        <v>Form not found</v>
      </c>
      <c r="AP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1!$E:$E"")=$B66) *
        (IMPORTRANGE(""https://docs.google.com/spreadsheets/d/161aHT6vVT3SLneTKD19N5qVWtnj_jIT8CSsOmUVKmaA/ed"&amp;"it?gid=1761053510"",
          ""Haris_Form responses 1!$AQ:$AQ"")=5)
      ),
      1
    ),
    ""0""
  ),
  ""Form not found""
)
"),"Form not found")</f>
        <v>Form not found</v>
      </c>
      <c r="AQ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1!$E:$E"")=$B66) *
        (IMPORTRANGE(""https://docs.google.com/spreadsheets/d/161aHT6vVT3SLneTKD19N5qVWtnj_jIT8CSsOmUVKmaA/ed"&amp;"it?gid=1761053510"",
          ""Haris_Form responses 1!$AQ:$AQ"")=6)
      ),
      1
    ),
    ""0""
  ),
  ""Form not found""
)
"),"Form not found")</f>
        <v>Form not found</v>
      </c>
      <c r="AR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1!$E:$E"")=$B66) *
        (IMPORTRANGE(""https://docs.google.com/spreadsheets/d/161aHT6vVT3SLneTKD19N5qVWtnj_jIT8CSsOmUVKmaA/ed"&amp;"it?gid=1761053510"",
          ""Haris_Form responses 1!$AQ:$AQ"")=1)
      ),
      1
    ),
    ""0""
  ),
  ""Form not found""
)
"),"0")</f>
        <v>0</v>
      </c>
      <c r="AS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1!$E:$E"")=$B66) *
        (IMPORTRANGE(""https://docs.google.com/spreadsheets/d/161aHT6vVT3SLneTKD19N5qVWtnj_jIT8CSsOmUVKmaA/ed"&amp;"it?gid=1761053510"",
          ""Haris_Form responses 1!$AQ:$AQ"")=2)
      ),
      1
    ),
    ""0""
  ),
  ""Form not found""
)
"),"0")</f>
        <v>0</v>
      </c>
      <c r="AT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1!$E:$E"")=$B66) *
        (IMPORTRANGE(""https://docs.google.com/spreadsheets/d/161aHT6vVT3SLneTKD19N5qVWtnj_jIT8CSsOmUVKmaA/ed"&amp;"it?gid=1761053510"",
          ""Haris_Form responses 1!$AQ:$AQ"")=3)
      ),
      1
    ),
    ""0""
  ),
  ""Form not found""
)
"),"0")</f>
        <v>0</v>
      </c>
      <c r="AU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1!$E:$E"")=$B66) *
        (IMPORTRANGE(""https://docs.google.com/spreadsheets/d/161aHT6vVT3SLneTKD19N5qVWtnj_jIT8CSsOmUVKmaA/ed"&amp;"it?gid=1761053510"",
          ""Haris_Form responses 1!$AQ:$AQ"")=4)
      ),
      1
    ),
    ""0""
  ),
  ""Form not found""
)
"),"Form not found")</f>
        <v>Form not found</v>
      </c>
      <c r="AV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1!$E:$E"")=$B66) *
        (IMPORTRANGE(""https://docs.google.com/spreadsheets/d/161aHT6vVT3SLneTKD19N5qVWtnj_jIT8CSsOmUVKmaA/ed"&amp;"it?gid=1761053510"",
          ""Haris_Form responses 1!$AQ:$AQ"")=5)
      ),
      1
    ),
    ""0""
  ),
  ""Form not found""
)
"),"Form not found")</f>
        <v>Form not found</v>
      </c>
      <c r="AW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1!$E:$E"")=$B66) *
        (IMPORTRANGE(""https://docs.google.com/spreadsheets/d/161aHT6vVT3SLneTKD19N5qVWtnj_jIT8CSsOmUVKmaA/ed"&amp;"it?gid=1761053510"",
          ""Haris_Form responses 1!$AQ:$AQ"")=6)
      ),
      1
    ),
    ""0""
  ),
  ""Form not found""
)
"),"Form not found")</f>
        <v>Form not found</v>
      </c>
      <c r="AX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1!$E:$E"")=$B66) *
        (IMPORTRANGE(""https://docs.google.com/spreadsheets/d/161aHT6vVT3SLneTKD19N5qVWtnj_jIT8CSsOmUVKmaA/ed"&amp;"it?gid=1761053510"",
          ""Haris_Form responses 1!$AQ:$AQ"")=1)
      ),
      1
    ),
    ""0""
  ),
  ""Form not found""
)
"),"10")</f>
        <v>10</v>
      </c>
      <c r="AY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1!$E:$E"")=$B66) *
        (IMPORTRANGE(""https://docs.google.com/spreadsheets/d/161aHT6vVT3SLneTKD19N5qVWtnj_jIT8CSsOmUVKmaA/ed"&amp;"it?gid=1761053510"",
          ""Haris_Form responses 1!$AQ:$AQ"")=2)
      ),
      1
    ),
    ""0""
  ),
  ""Form not found""
)
"),"10")</f>
        <v>10</v>
      </c>
      <c r="AZ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1!$E:$E"")=$B66) *
        (IMPORTRANGE(""https://docs.google.com/spreadsheets/d/161aHT6vVT3SLneTKD19N5qVWtnj_jIT8CSsOmUVKmaA/ed"&amp;"it?gid=1761053510"",
          ""Haris_Form responses 1!$AQ:$AQ"")=3)
      ),
      1
    ),
    ""0""
  ),
  ""Form not found""
)
"),"0")</f>
        <v>0</v>
      </c>
      <c r="BA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1!$E:$E"")=$B66) *
        (IMPORTRANGE(""https://docs.google.com/spreadsheets/d/161aHT6vVT3SLneTKD19N5qVWtnj_jIT8CSsOmUVKmaA/ed"&amp;"it?gid=1761053510"",
          ""Haris_Form responses 1!$AQ:$AQ"")=4)
      ),
      1
    ),
    ""0""
  ),
  ""Form not found""
)
"),"Form not found")</f>
        <v>Form not found</v>
      </c>
      <c r="BB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1!$E:$E"")=$B66) *
        (IMPORTRANGE(""https://docs.google.com/spreadsheets/d/161aHT6vVT3SLneTKD19N5qVWtnj_jIT8CSsOmUVKmaA/ed"&amp;"it?gid=1761053510"",
          ""Haris_Form responses 1!$AQ:$AQ"")=5)
      ),
      1
    ),
    ""0""
  ),
  ""Form not found""
)
"),"Form not found")</f>
        <v>Form not found</v>
      </c>
      <c r="BC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1!$E:$E"")=$B66) *
        (IMPORTRANGE(""https://docs.google.com/spreadsheets/d/161aHT6vVT3SLneTKD19N5qVWtnj_jIT8CSsOmUVKmaA/ed"&amp;"it?gid=1761053510"",
          ""Haris_Form responses 1!$AQ:$AQ"")=6)
      ),
      1
    ),
    ""0""
  ),
  ""Form not found""
)
"),"Form not found")</f>
        <v>Form not found</v>
      </c>
      <c r="BD66" s="293"/>
    </row>
    <row r="67">
      <c r="A67" s="283" t="str">
        <f>IFERROR(__xludf.DUMMYFUNCTION("VLOOKUP($B67,IMPORTRANGE(""https://docs.google.com/spreadsheets/d/1VNXDITjs75AcgdBSW27oL1VZH31udDprJSsBcE5xlp4/edit?gid=1551188038#gid=1551188038"", ""Sheet9!$B:$E""),2,false)"),"Lahore")</f>
        <v>Lahore</v>
      </c>
      <c r="B67" s="283" t="s">
        <v>4543</v>
      </c>
      <c r="C67" s="284" t="str">
        <f>IFERROR(__xludf.DUMMYFUNCTION("VLOOKUP(TRIM($B67), IMPORTRANGE(""https://docs.google.com/spreadsheets/d/1aSOrU4PTpuBZqfitKaH1Rfww6-YOiNCKoBpPl8XBHaw/edit?gid=0#gid=0"", ""sheet3!$B:$C""), 2, FALSE)
"),"Jamia Masjid Darbar Peer Hadi Rehnuma Lahore")</f>
        <v>Jamia Masjid Darbar Peer Hadi Rehnuma Lahore</v>
      </c>
      <c r="D67" s="284" t="str">
        <f>IFERROR(__xludf.DUMMYFUNCTION("IFERROR(
  INDEX(
    FILTER(
      IMPORTRANGE(""1aSOrU4PTpuBZqfitKaH1Rfww6-YOiNCKoBpPl8XBHaw/edit?gid=0#gid=0"",""Sheet1!G:G""),
      IMPORTRANGE(""1aSOrU4PTpuBZqfitKaH1Rfww6-YOiNCKoBpPl8XBHaw/edit?gid=0#gid=0"",""Sheet1!C:C"")=$B67
    ),
    1
  ),
 "&amp;" ""Not Found""
)"),"Women Religious No Info Share")</f>
        <v>Women Religious No Info Share</v>
      </c>
      <c r="E67" s="284" t="str">
        <f>VLOOKUP(B67,'Juma Recording forms'!A:E,5,false)</f>
        <v>Jamia masjid peer hadi rehnuma</v>
      </c>
      <c r="F67" s="284" t="str">
        <f>IFERROR(__xludf.DUMMYFUNCTION("IFERROR(
  INDEX(
    FILTER(
      IMPORTRANGE(""1Cxrhp3-_-HS7v9uuqQliiIfrmMP4VaFoDNDWyUFy2J8/edit?gid=0#gid=0"",""Sheet1!Q:Q""),
      IMPORTRANGE(""1Cxrhp3-_-HS7v9uuqQliiIfrmMP4VaFoDNDWyUFy2J8/edit?gid=0#gid=0"",""Sheet1!K:K"")=$B67
    ),
    1
  ),
 "&amp;" ""Not Found""
)"),"Qari Zafar iqbal")</f>
        <v>Qari Zafar iqbal</v>
      </c>
      <c r="G67" s="284">
        <v>1967.0</v>
      </c>
      <c r="H67" s="284" t="s">
        <v>4830</v>
      </c>
      <c r="I67" s="285"/>
      <c r="J67" s="286">
        <v>2.0</v>
      </c>
      <c r="K67" s="287" t="str">
        <f>VLOOKUP($B67,'Mosque Locations'!$A:$E,3,FALSE)
</f>
        <v>https://maps.google.com/maps?q=31.5592031%2C74.3211046&amp;z=17&amp;hl=en</v>
      </c>
      <c r="L67" s="286">
        <f>VLOOKUP($B67,'Mosque Locations'!$A:$E,4,FALSE)
</f>
        <v>31.5592</v>
      </c>
      <c r="M67" s="286">
        <f>VLOOKUP($B67,'Mosque Locations'!$A:$E,5,false)</f>
        <v>74.3211</v>
      </c>
      <c r="N67" s="288"/>
      <c r="O67" s="288"/>
      <c r="P67" s="288"/>
      <c r="Q67" s="289" t="str">
        <f>IFERROR(__xludf.DUMMYFUNCTION("IFERROR(
  INDEX(
    FILTER(
      IMPORTRANGE(""1SnQ_YxUmBUYKsKc82GyPPovLO-EPrfZxsJ0V0UbhezI/edit?gid=590869320#gid=590869320"",""Form Responses 1!AB:AB""),
      IMPORTRANGE(""1SnQ_YxUmBUYKsKc82GyPPovLO-EPrfZxsJ0V0UbhezI/edit?gid=590869320#gid=59086932"&amp;"0"",""Form Responses 1!E:E"")=$B67
    ),
    1
  ),
  ""Not Found""
)"),"https://drive.google.com/open?id=1K5Sl4oCptG5OXH5-1HjzPtkJB-N7ZGtK")</f>
        <v>https://drive.google.com/open?id=1K5Sl4oCptG5OXH5-1HjzPtkJB-N7ZGtK</v>
      </c>
      <c r="R67" s="289" t="str">
        <f>IFERROR(__xludf.DUMMYFUNCTION("IFERROR(
  INDEX(
    FILTER(
      IMPORTRANGE(""1SnQ_YxUmBUYKsKc82GyPPovLO-EPrfZxsJ0V0UbhezI"",""Form Responses 1!AA:AA""),
      TRIM(IMPORTRANGE(""1SnQ_YxUmBUYKsKc82GyPPovLO-EPrfZxsJ0V0UbhezI"",""Form Responses 1!E:E""))=TRIM($B67)
    ),
    1
  ),
 "&amp;" ""Not Found""
)
"),"https://drive.google.com/open?id=1TB4nBp7bgNxMRqKVbb-vAstKlYkNWSWL")</f>
        <v>https://drive.google.com/open?id=1TB4nBp7bgNxMRqKVbb-vAstKlYkNWSWL</v>
      </c>
      <c r="S67" s="285"/>
      <c r="T67" s="290" t="str">
        <f>VLOOKUP($B67,'Master Tracker'!$D:$E,2,false)</f>
        <v>https://drive.google.com/open?id=1d0W0a1RA7Ga6PAKVCu2c9KnudK5ntnjk</v>
      </c>
      <c r="U67" s="291" t="str">
        <f>VLOOKUP($B67,'Master Tracker'!$D:$T,4,FALSE)
</f>
        <v>https://drive.google.com/open?id=1oPWJKKn748a0HcKfgxjQY7OIPrQg83tC</v>
      </c>
      <c r="V67" s="290" t="str">
        <f>VLOOKUP($B67,'Master Tracker'!$D:$T,5,false)</f>
        <v>https://drive.google.com/open?id=1gUYE4OiUPCtfKOxXm8lT8p06GI-tC3fN</v>
      </c>
      <c r="W67" s="291" t="str">
        <f>VLOOKUP($B67,'Master Tracker'!$D:$T,7,false)</f>
        <v>https://drive.google.com/open?id=1CubVPHUdqzVm6PK48JC-42ys4kbNg6Ti</v>
      </c>
      <c r="X67" s="290" t="str">
        <f>VLOOKUP($B67,'Master Tracker'!$D:$T,8,false)</f>
        <v>https://drive.google.com/open?id=1yKKPhvCJoTaBIybcuAcj4vBQAxUMVc7_</v>
      </c>
      <c r="Y67" s="291" t="str">
        <f>VLOOKUP($B67,'Master Tracker'!$D:$T,10,false)</f>
        <v>https://drive.google.com/open?id=1mTtSmwTnC8EtC6zg8NgJv5KNJ2PfoWPm</v>
      </c>
      <c r="Z67" s="284" t="str">
        <f>VLOOKUP($B67,'Master Tracker'!$D:$T,11,false)</f>
        <v>Not Found</v>
      </c>
      <c r="AA67" s="292" t="str">
        <f>VLOOKUP($B67,'Master Tracker'!$D:$T,13,false)</f>
        <v>Not Found</v>
      </c>
      <c r="AB67" s="284" t="str">
        <f>VLOOKUP($B67,'Master Tracker'!$D:$T,14,false)</f>
        <v>Not Found</v>
      </c>
      <c r="AC67" s="292" t="str">
        <f>VLOOKUP($B67,'Master Tracker'!$D:$T,16,false)</f>
        <v>Not Found</v>
      </c>
      <c r="AD67" s="292" t="str">
        <f>VLOOKUP($B67,'Master Tracker'!$D:$T,17,false)</f>
        <v>Not Found</v>
      </c>
      <c r="AE67" s="292" t="str">
        <f>VLOOKUP($B67,'Master Tracker'!$D:$V,19,false)</f>
        <v>Not Found</v>
      </c>
      <c r="AF67" s="292">
        <f>IFERROR(__xludf.DUMMYFUNCTION("IFERROR(
  INDEX(
    FILTER(
      'Juma Recording forms'!$G:$G,
      TRIM('Juma Recording forms'!$F:$F) = TRIM($B67),
      'Juma Recording forms'!$AA:$AA = 1
    ),
    1
  ),
  ""Not Found""
)"),280.0)</f>
        <v>280</v>
      </c>
      <c r="AG67" s="292">
        <f>IFERROR(__xludf.DUMMYFUNCTION("IFERROR(
  INDEX(
    FILTER(
      'Juma Recording forms'!$G:$G,
      TRIM('Juma Recording forms'!$F:$F) = TRIM($B67),
      'Juma Recording forms'!$AA:$AA = 2
    ),
    1
  ),
  ""Not Found""
)"),249.0)</f>
        <v>249</v>
      </c>
      <c r="AH67" s="292">
        <f>IFERROR(__xludf.DUMMYFUNCTION("IFERROR(
  INDEX(
    FILTER(
      'Juma Recording forms'!$G:$G,
      TRIM('Juma Recording forms'!$F:$F) = TRIM($B67),
      'Juma Recording forms'!$AA:$AA = 3
    ),
    1
  ),
  ""Not Found""
)"),240.0)</f>
        <v>240</v>
      </c>
      <c r="AI67" s="292" t="str">
        <f>IFERROR(__xludf.DUMMYFUNCTION("IFERROR(
  INDEX(
    FILTER(
      'Juma Recording forms'!$G:$G,
      TRIM('Juma Recording forms'!$F:$F) = TRIM($B67),
      'Juma Recording forms'!$AA:$AA = 4
    ),
    1
  ),
  ""Not Found""
)"),"Not Found")</f>
        <v>Not Found</v>
      </c>
      <c r="AJ67" s="292" t="str">
        <f>IFERROR(__xludf.DUMMYFUNCTION("IFERROR(
  INDEX(
    FILTER(
      'Juma Recording forms'!$G:$G,
      TRIM('Juma Recording forms'!$F:$F) = TRIM($B67),
      'Juma Recording forms'!$AA:$AA = 5
    ),
    1
  ),
  ""Not Found""
)"),"Not Found")</f>
        <v>Not Found</v>
      </c>
      <c r="AK67" s="292" t="str">
        <f>IFERROR(__xludf.DUMMYFUNCTION("IFERROR(
  INDEX(
    FILTER(
      'Juma Recording forms'!$G:$G,
      TRIM('Juma Recording forms'!$F:$F) = TRIM($B67),
      'Juma Recording forms'!$AA:$AA = 6
    ),
    1
  ),
  ""Not Found""
)"),"Not Found")</f>
        <v>Not Found</v>
      </c>
      <c r="AL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1!$E:$E"")=$B67) *
        (IMPORTRANGE(""https://docs.google.com/spreadsheets/d/161aHT6vVT3SLneTKD19N5qVWtnj_jIT8CSsOmUVKmaA/ed"&amp;"it?gid=1761053510"",
          ""Haris_Form responses 1!$AQ:$AQ"")=1)
      ),
      1
    ),
    ""0""
  ),
  ""Form not found""
)
"),"10")</f>
        <v>10</v>
      </c>
      <c r="AM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1!$E:$E"")=$B67) *
        (IMPORTRANGE(""https://docs.google.com/spreadsheets/d/161aHT6vVT3SLneTKD19N5qVWtnj_jIT8CSsOmUVKmaA/ed"&amp;"it?gid=1761053510"",
          ""Haris_Form responses 1!$AQ:$AQ"")=2)
      ),
      1
    ),
    ""0""
  ),
  ""Form not found""
)
"),"10")</f>
        <v>10</v>
      </c>
      <c r="AN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1!$E:$E"")=$B67) *
        (IMPORTRANGE(""https://docs.google.com/spreadsheets/d/161aHT6vVT3SLneTKD19N5qVWtnj_jIT8CSsOmUVKmaA/ed"&amp;"it?gid=1761053510"",
          ""Haris_Form responses 1!$AQ:$AQ"")=3)
      ),
      1
    ),
    ""0""
  ),
  ""Form not found""
)
"),"10")</f>
        <v>10</v>
      </c>
      <c r="AO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1!$E:$E"")=$B67) *
        (IMPORTRANGE(""https://docs.google.com/spreadsheets/d/161aHT6vVT3SLneTKD19N5qVWtnj_jIT8CSsOmUVKmaA/ed"&amp;"it?gid=1761053510"",
          ""Haris_Form responses 1!$AQ:$AQ"")=4)
      ),
      1
    ),
    ""0""
  ),
  ""Form not found""
)
"),"Form not found")</f>
        <v>Form not found</v>
      </c>
      <c r="AP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1!$E:$E"")=$B67) *
        (IMPORTRANGE(""https://docs.google.com/spreadsheets/d/161aHT6vVT3SLneTKD19N5qVWtnj_jIT8CSsOmUVKmaA/ed"&amp;"it?gid=1761053510"",
          ""Haris_Form responses 1!$AQ:$AQ"")=5)
      ),
      1
    ),
    ""0""
  ),
  ""Form not found""
)
"),"Form not found")</f>
        <v>Form not found</v>
      </c>
      <c r="AQ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1!$E:$E"")=$B67) *
        (IMPORTRANGE(""https://docs.google.com/spreadsheets/d/161aHT6vVT3SLneTKD19N5qVWtnj_jIT8CSsOmUVKmaA/ed"&amp;"it?gid=1761053510"",
          ""Haris_Form responses 1!$AQ:$AQ"")=6)
      ),
      1
    ),
    ""0""
  ),
  ""Form not found""
)
"),"Form not found")</f>
        <v>Form not found</v>
      </c>
      <c r="AR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1!$E:$E"")=$B67) *
        (IMPORTRANGE(""https://docs.google.com/spreadsheets/d/161aHT6vVT3SLneTKD19N5qVWtnj_jIT8CSsOmUVKmaA/ed"&amp;"it?gid=1761053510"",
          ""Haris_Form responses 1!$AQ:$AQ"")=1)
      ),
      1
    ),
    ""0""
  ),
  ""Form not found""
)
"),"0")</f>
        <v>0</v>
      </c>
      <c r="AS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1!$E:$E"")=$B67) *
        (IMPORTRANGE(""https://docs.google.com/spreadsheets/d/161aHT6vVT3SLneTKD19N5qVWtnj_jIT8CSsOmUVKmaA/ed"&amp;"it?gid=1761053510"",
          ""Haris_Form responses 1!$AQ:$AQ"")=2)
      ),
      1
    ),
    ""0""
  ),
  ""Form not found""
)
"),"0")</f>
        <v>0</v>
      </c>
      <c r="AT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1!$E:$E"")=$B67) *
        (IMPORTRANGE(""https://docs.google.com/spreadsheets/d/161aHT6vVT3SLneTKD19N5qVWtnj_jIT8CSsOmUVKmaA/ed"&amp;"it?gid=1761053510"",
          ""Haris_Form responses 1!$AQ:$AQ"")=3)
      ),
      1
    ),
    ""0""
  ),
  ""Form not found""
)
"),"0")</f>
        <v>0</v>
      </c>
      <c r="AU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1!$E:$E"")=$B67) *
        (IMPORTRANGE(""https://docs.google.com/spreadsheets/d/161aHT6vVT3SLneTKD19N5qVWtnj_jIT8CSsOmUVKmaA/ed"&amp;"it?gid=1761053510"",
          ""Haris_Form responses 1!$AQ:$AQ"")=4)
      ),
      1
    ),
    ""0""
  ),
  ""Form not found""
)
"),"Form not found")</f>
        <v>Form not found</v>
      </c>
      <c r="AV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1!$E:$E"")=$B67) *
        (IMPORTRANGE(""https://docs.google.com/spreadsheets/d/161aHT6vVT3SLneTKD19N5qVWtnj_jIT8CSsOmUVKmaA/ed"&amp;"it?gid=1761053510"",
          ""Haris_Form responses 1!$AQ:$AQ"")=5)
      ),
      1
    ),
    ""0""
  ),
  ""Form not found""
)
"),"Form not found")</f>
        <v>Form not found</v>
      </c>
      <c r="AW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1!$E:$E"")=$B67) *
        (IMPORTRANGE(""https://docs.google.com/spreadsheets/d/161aHT6vVT3SLneTKD19N5qVWtnj_jIT8CSsOmUVKmaA/ed"&amp;"it?gid=1761053510"",
          ""Haris_Form responses 1!$AQ:$AQ"")=6)
      ),
      1
    ),
    ""0""
  ),
  ""Form not found""
)
"),"Form not found")</f>
        <v>Form not found</v>
      </c>
      <c r="AX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1!$E:$E"")=$B67) *
        (IMPORTRANGE(""https://docs.google.com/spreadsheets/d/161aHT6vVT3SLneTKD19N5qVWtnj_jIT8CSsOmUVKmaA/ed"&amp;"it?gid=1761053510"",
          ""Haris_Form responses 1!$AQ:$AQ"")=1)
      ),
      1
    ),
    ""0""
  ),
  ""Form not found""
)
"),"10")</f>
        <v>10</v>
      </c>
      <c r="AY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1!$E:$E"")=$B67) *
        (IMPORTRANGE(""https://docs.google.com/spreadsheets/d/161aHT6vVT3SLneTKD19N5qVWtnj_jIT8CSsOmUVKmaA/ed"&amp;"it?gid=1761053510"",
          ""Haris_Form responses 1!$AQ:$AQ"")=2)
      ),
      1
    ),
    ""0""
  ),
  ""Form not found""
)
"),"9")</f>
        <v>9</v>
      </c>
      <c r="AZ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1!$E:$E"")=$B67) *
        (IMPORTRANGE(""https://docs.google.com/spreadsheets/d/161aHT6vVT3SLneTKD19N5qVWtnj_jIT8CSsOmUVKmaA/ed"&amp;"it?gid=1761053510"",
          ""Haris_Form responses 1!$AQ:$AQ"")=3)
      ),
      1
    ),
    ""0""
  ),
  ""Form not found""
)
"),"10")</f>
        <v>10</v>
      </c>
      <c r="BA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1!$E:$E"")=$B67) *
        (IMPORTRANGE(""https://docs.google.com/spreadsheets/d/161aHT6vVT3SLneTKD19N5qVWtnj_jIT8CSsOmUVKmaA/ed"&amp;"it?gid=1761053510"",
          ""Haris_Form responses 1!$AQ:$AQ"")=4)
      ),
      1
    ),
    ""0""
  ),
  ""Form not found""
)
"),"Form not found")</f>
        <v>Form not found</v>
      </c>
      <c r="BB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1!$E:$E"")=$B67) *
        (IMPORTRANGE(""https://docs.google.com/spreadsheets/d/161aHT6vVT3SLneTKD19N5qVWtnj_jIT8CSsOmUVKmaA/ed"&amp;"it?gid=1761053510"",
          ""Haris_Form responses 1!$AQ:$AQ"")=5)
      ),
      1
    ),
    ""0""
  ),
  ""Form not found""
)
"),"Form not found")</f>
        <v>Form not found</v>
      </c>
      <c r="BC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1!$E:$E"")=$B67) *
        (IMPORTRANGE(""https://docs.google.com/spreadsheets/d/161aHT6vVT3SLneTKD19N5qVWtnj_jIT8CSsOmUVKmaA/ed"&amp;"it?gid=1761053510"",
          ""Haris_Form responses 1!$AQ:$AQ"")=6)
      ),
      1
    ),
    ""0""
  ),
  ""Form not found""
)
"),"Form not found")</f>
        <v>Form not found</v>
      </c>
      <c r="BD67" s="293"/>
    </row>
    <row r="68">
      <c r="A68" s="283" t="str">
        <f>IFERROR(__xludf.DUMMYFUNCTION("VLOOKUP($B68,IMPORTRANGE(""https://docs.google.com/spreadsheets/d/1VNXDITjs75AcgdBSW27oL1VZH31udDprJSsBcE5xlp4/edit?gid=1551188038#gid=1551188038"", ""Sheet9!$B:$E""),2,false)"),"Lahore")</f>
        <v>Lahore</v>
      </c>
      <c r="B68" s="283" t="s">
        <v>4544</v>
      </c>
      <c r="C68" s="284" t="str">
        <f>IFERROR(__xludf.DUMMYFUNCTION("VLOOKUP(TRIM($B68), IMPORTRANGE(""https://docs.google.com/spreadsheets/d/1aSOrU4PTpuBZqfitKaH1Rfww6-YOiNCKoBpPl8XBHaw/edit?gid=0#gid=0"", ""sheet3!$B:$C""), 2, FALSE)
"),"Jamia Masjid Takiya Lehri Shah Lahore")</f>
        <v>Jamia Masjid Takiya Lehri Shah Lahore</v>
      </c>
      <c r="D68" s="284" t="str">
        <f>IFERROR(__xludf.DUMMYFUNCTION("IFERROR(
  INDEX(
    FILTER(
      IMPORTRANGE(""1aSOrU4PTpuBZqfitKaH1Rfww6-YOiNCKoBpPl8XBHaw/edit?gid=0#gid=0"",""Sheet1!G:G""),
      IMPORTRANGE(""1aSOrU4PTpuBZqfitKaH1Rfww6-YOiNCKoBpPl8XBHaw/edit?gid=0#gid=0"",""Sheet1!C:C"")=$B68
    ),
    1
  ),
 "&amp;" ""Not Found""
)"),"Women Religious No Info Share")</f>
        <v>Women Religious No Info Share</v>
      </c>
      <c r="E68" s="284" t="str">
        <f>VLOOKUP(B68,'Juma Recording forms'!A:E,5,false)</f>
        <v>Jamia masjid takiya lehri shah</v>
      </c>
      <c r="F68" s="284" t="str">
        <f>IFERROR(__xludf.DUMMYFUNCTION("IFERROR(
  INDEX(
    FILTER(
      IMPORTRANGE(""1Cxrhp3-_-HS7v9uuqQliiIfrmMP4VaFoDNDWyUFy2J8/edit?gid=0#gid=0"",""Sheet1!Q:Q""),
      IMPORTRANGE(""1Cxrhp3-_-HS7v9uuqQliiIfrmMP4VaFoDNDWyUFy2J8/edit?gid=0#gid=0"",""Sheet1!K:K"")=$B68
    ),
    1
  ),
 "&amp;" ""Not Found""
)"),"Not Found")</f>
        <v>Not Found</v>
      </c>
      <c r="G68" s="284"/>
      <c r="H68" s="284"/>
      <c r="I68" s="285"/>
      <c r="J68" s="286">
        <v>2.0</v>
      </c>
      <c r="K68" s="287" t="str">
        <f>VLOOKUP($B68,'Mosque Locations'!$A:$E,3,FALSE)
</f>
        <v>https://maps.google.com/maps?q=31.5315355%2C74.3126097&amp;z=17&amp;hl=en</v>
      </c>
      <c r="L68" s="286">
        <f>VLOOKUP($B68,'Mosque Locations'!$A:$E,4,FALSE)
</f>
        <v>31.53154</v>
      </c>
      <c r="M68" s="286">
        <f>VLOOKUP($B68,'Mosque Locations'!$A:$E,5,false)</f>
        <v>74.31261</v>
      </c>
      <c r="N68" s="288"/>
      <c r="O68" s="288"/>
      <c r="P68" s="288"/>
      <c r="Q68" s="296" t="str">
        <f>IFERROR(__xludf.DUMMYFUNCTION("IFERROR(
  INDEX(
    FILTER(
      IMPORTRANGE(""1SnQ_YxUmBUYKsKc82GyPPovLO-EPrfZxsJ0V0UbhezI/edit?gid=590869320#gid=590869320"",""Form Responses 1!AB:AB""),
      IMPORTRANGE(""1SnQ_YxUmBUYKsKc82GyPPovLO-EPrfZxsJ0V0UbhezI/edit?gid=590869320#gid=59086932"&amp;"0"",""Form Responses 1!E:E"")=$B68
    ),
    1
  ),
  ""Not Found""
)"),"https://drive.google.com/open?id=18hx0sR4R2ZzlXqFLQr0uxecC5sBEmk6S")</f>
        <v>https://drive.google.com/open?id=18hx0sR4R2ZzlXqFLQr0uxecC5sBEmk6S</v>
      </c>
      <c r="R68" s="297" t="str">
        <f>IFERROR(__xludf.DUMMYFUNCTION("IFERROR(
  INDEX(
    FILTER(
      IMPORTRANGE(""1SnQ_YxUmBUYKsKc82GyPPovLO-EPrfZxsJ0V0UbhezI"",""Form Responses 1!AA:AA""),
      TRIM(IMPORTRANGE(""1SnQ_YxUmBUYKsKc82GyPPovLO-EPrfZxsJ0V0UbhezI"",""Form Responses 1!E:E""))=TRIM($B68)
    ),
    1
  ),
 "&amp;" ""Not Found""
)
"),"https://drive.google.com/open?id=1Oa6z4xkLMGeSzWagHS7M6ulGnM-glTVC, https://drive.google.com/open?id=1kkFsGEZ3FK6maD84-rIAydz0cpOjibWv, https://drive.google.com/open?id=1pPVtKC5vBYKA8Urstjwept34p_HMdkgX, https://drive.google.com/open?id=1s3teslxm50YBnNHpi"&amp;"3I16ad8MtyQD5ay")</f>
        <v>https://drive.google.com/open?id=1Oa6z4xkLMGeSzWagHS7M6ulGnM-glTVC, https://drive.google.com/open?id=1kkFsGEZ3FK6maD84-rIAydz0cpOjibWv, https://drive.google.com/open?id=1pPVtKC5vBYKA8Urstjwept34p_HMdkgX, https://drive.google.com/open?id=1s3teslxm50YBnNHpi3I16ad8MtyQD5ay</v>
      </c>
      <c r="S68" s="285"/>
      <c r="T68" s="290" t="str">
        <f>VLOOKUP($B68,'Master Tracker'!$D:$E,2,false)</f>
        <v>https://drive.google.com/open?id=1kI9byMLaSLzeX3x779rPqn4Z3envRG5v</v>
      </c>
      <c r="U68" s="291" t="str">
        <f>VLOOKUP($B68,'Master Tracker'!$D:$T,4,FALSE)
</f>
        <v>https://drive.google.com/open?id=1rtZKuen9qbyeATgq-OqhCh-5dfefJCpJ</v>
      </c>
      <c r="V68" s="284" t="str">
        <f>VLOOKUP($B68,'Master Tracker'!$D:$T,5,false)</f>
        <v>Not Found</v>
      </c>
      <c r="W68" s="292" t="str">
        <f>VLOOKUP($B68,'Master Tracker'!$D:$T,7,false)</f>
        <v>Not Found</v>
      </c>
      <c r="X68" s="290" t="str">
        <f>VLOOKUP($B68,'Master Tracker'!$D:$T,8,false)</f>
        <v>https://drive.google.com/open?id=1HAesk_h7kFzze5_meMqaV9vgNuRSC2Jy</v>
      </c>
      <c r="Y68" s="291" t="str">
        <f>VLOOKUP($B68,'Master Tracker'!$D:$T,10,false)</f>
        <v>https://drive.google.com/open?id=1dcKpMAxEC34Abxg8bHFU9OSas-_Q93mf</v>
      </c>
      <c r="Z68" s="284" t="str">
        <f>VLOOKUP($B68,'Master Tracker'!$D:$T,11,false)</f>
        <v>Not Found</v>
      </c>
      <c r="AA68" s="292" t="str">
        <f>VLOOKUP($B68,'Master Tracker'!$D:$T,13,false)</f>
        <v>Not Found</v>
      </c>
      <c r="AB68" s="284" t="str">
        <f>VLOOKUP($B68,'Master Tracker'!$D:$T,14,false)</f>
        <v>Not Found</v>
      </c>
      <c r="AC68" s="292" t="str">
        <f>VLOOKUP($B68,'Master Tracker'!$D:$T,16,false)</f>
        <v>Not Found</v>
      </c>
      <c r="AD68" s="292" t="str">
        <f>VLOOKUP($B68,'Master Tracker'!$D:$T,17,false)</f>
        <v>Not Found</v>
      </c>
      <c r="AE68" s="292" t="str">
        <f>VLOOKUP($B68,'Master Tracker'!$D:$V,19,false)</f>
        <v>Not Found</v>
      </c>
      <c r="AF68" s="292">
        <f>IFERROR(__xludf.DUMMYFUNCTION("IFERROR(
  INDEX(
    FILTER(
      'Juma Recording forms'!$G:$G,
      TRIM('Juma Recording forms'!$F:$F) = TRIM($B68),
      'Juma Recording forms'!$AA:$AA = 1
    ),
    1
  ),
  ""Not Found""
)"),190.0)</f>
        <v>190</v>
      </c>
      <c r="AG68" s="292" t="str">
        <f>IFERROR(__xludf.DUMMYFUNCTION("IFERROR(
  INDEX(
    FILTER(
      'Juma Recording forms'!$G:$G,
      TRIM('Juma Recording forms'!$F:$F) = TRIM($B68),
      'Juma Recording forms'!$AA:$AA = 2
    ),
    1
  ),
  ""Not Found""
)"),"Not Found")</f>
        <v>Not Found</v>
      </c>
      <c r="AH68" s="292">
        <f>IFERROR(__xludf.DUMMYFUNCTION("IFERROR(
  INDEX(
    FILTER(
      'Juma Recording forms'!$G:$G,
      TRIM('Juma Recording forms'!$F:$F) = TRIM($B68),
      'Juma Recording forms'!$AA:$AA = 3
    ),
    1
  ),
  ""Not Found""
)"),200.0)</f>
        <v>200</v>
      </c>
      <c r="AI68" s="292" t="str">
        <f>IFERROR(__xludf.DUMMYFUNCTION("IFERROR(
  INDEX(
    FILTER(
      'Juma Recording forms'!$G:$G,
      TRIM('Juma Recording forms'!$F:$F) = TRIM($B68),
      'Juma Recording forms'!$AA:$AA = 4
    ),
    1
  ),
  ""Not Found""
)"),"Not Found")</f>
        <v>Not Found</v>
      </c>
      <c r="AJ68" s="292" t="str">
        <f>IFERROR(__xludf.DUMMYFUNCTION("IFERROR(
  INDEX(
    FILTER(
      'Juma Recording forms'!$G:$G,
      TRIM('Juma Recording forms'!$F:$F) = TRIM($B68),
      'Juma Recording forms'!$AA:$AA = 5
    ),
    1
  ),
  ""Not Found""
)"),"Not Found")</f>
        <v>Not Found</v>
      </c>
      <c r="AK68" s="292" t="str">
        <f>IFERROR(__xludf.DUMMYFUNCTION("IFERROR(
  INDEX(
    FILTER(
      'Juma Recording forms'!$G:$G,
      TRIM('Juma Recording forms'!$F:$F) = TRIM($B68),
      'Juma Recording forms'!$AA:$AA = 6
    ),
    1
  ),
  ""Not Found""
)"),"Not Found")</f>
        <v>Not Found</v>
      </c>
      <c r="AL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1!$E:$E"")=$B68) *
        (IMPORTRANGE(""https://docs.google.com/spreadsheets/d/161aHT6vVT3SLneTKD19N5qVWtnj_jIT8CSsOmUVKmaA/ed"&amp;"it?gid=1761053510"",
          ""Haris_Form responses 1!$AQ:$AQ"")=1)
      ),
      1
    ),
    ""0""
  ),
  ""Form not found""
)
"),"10")</f>
        <v>10</v>
      </c>
      <c r="AM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1!$E:$E"")=$B68) *
        (IMPORTRANGE(""https://docs.google.com/spreadsheets/d/161aHT6vVT3SLneTKD19N5qVWtnj_jIT8CSsOmUVKmaA/ed"&amp;"it?gid=1761053510"",
          ""Haris_Form responses 1!$AQ:$AQ"")=2)
      ),
      1
    ),
    ""0""
  ),
  ""Form not found""
)
"),"Form not found")</f>
        <v>Form not found</v>
      </c>
      <c r="AN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1!$E:$E"")=$B68) *
        (IMPORTRANGE(""https://docs.google.com/spreadsheets/d/161aHT6vVT3SLneTKD19N5qVWtnj_jIT8CSsOmUVKmaA/ed"&amp;"it?gid=1761053510"",
          ""Haris_Form responses 1!$AQ:$AQ"")=3)
      ),
      1
    ),
    ""0""
  ),
  ""Form not found""
)
"),"4")</f>
        <v>4</v>
      </c>
      <c r="AO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1!$E:$E"")=$B68) *
        (IMPORTRANGE(""https://docs.google.com/spreadsheets/d/161aHT6vVT3SLneTKD19N5qVWtnj_jIT8CSsOmUVKmaA/ed"&amp;"it?gid=1761053510"",
          ""Haris_Form responses 1!$AQ:$AQ"")=4)
      ),
      1
    ),
    ""0""
  ),
  ""Form not found""
)
"),"Form not found")</f>
        <v>Form not found</v>
      </c>
      <c r="AP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1!$E:$E"")=$B68) *
        (IMPORTRANGE(""https://docs.google.com/spreadsheets/d/161aHT6vVT3SLneTKD19N5qVWtnj_jIT8CSsOmUVKmaA/ed"&amp;"it?gid=1761053510"",
          ""Haris_Form responses 1!$AQ:$AQ"")=5)
      ),
      1
    ),
    ""0""
  ),
  ""Form not found""
)
"),"Form not found")</f>
        <v>Form not found</v>
      </c>
      <c r="AQ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1!$E:$E"")=$B68) *
        (IMPORTRANGE(""https://docs.google.com/spreadsheets/d/161aHT6vVT3SLneTKD19N5qVWtnj_jIT8CSsOmUVKmaA/ed"&amp;"it?gid=1761053510"",
          ""Haris_Form responses 1!$AQ:$AQ"")=6)
      ),
      1
    ),
    ""0""
  ),
  ""Form not found""
)
"),"Form not found")</f>
        <v>Form not found</v>
      </c>
      <c r="AR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1!$E:$E"")=$B68) *
        (IMPORTRANGE(""https://docs.google.com/spreadsheets/d/161aHT6vVT3SLneTKD19N5qVWtnj_jIT8CSsOmUVKmaA/ed"&amp;"it?gid=1761053510"",
          ""Haris_Form responses 1!$AQ:$AQ"")=1)
      ),
      1
    ),
    ""0""
  ),
  ""Form not found""
)
"),"0")</f>
        <v>0</v>
      </c>
      <c r="AS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1!$E:$E"")=$B68) *
        (IMPORTRANGE(""https://docs.google.com/spreadsheets/d/161aHT6vVT3SLneTKD19N5qVWtnj_jIT8CSsOmUVKmaA/ed"&amp;"it?gid=1761053510"",
          ""Haris_Form responses 1!$AQ:$AQ"")=2)
      ),
      1
    ),
    ""0""
  ),
  ""Form not found""
)
"),"Form not found")</f>
        <v>Form not found</v>
      </c>
      <c r="AT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1!$E:$E"")=$B68) *
        (IMPORTRANGE(""https://docs.google.com/spreadsheets/d/161aHT6vVT3SLneTKD19N5qVWtnj_jIT8CSsOmUVKmaA/ed"&amp;"it?gid=1761053510"",
          ""Haris_Form responses 1!$AQ:$AQ"")=3)
      ),
      1
    ),
    ""0""
  ),
  ""Form not found""
)
"),"0")</f>
        <v>0</v>
      </c>
      <c r="AU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1!$E:$E"")=$B68) *
        (IMPORTRANGE(""https://docs.google.com/spreadsheets/d/161aHT6vVT3SLneTKD19N5qVWtnj_jIT8CSsOmUVKmaA/ed"&amp;"it?gid=1761053510"",
          ""Haris_Form responses 1!$AQ:$AQ"")=4)
      ),
      1
    ),
    ""0""
  ),
  ""Form not found""
)
"),"Form not found")</f>
        <v>Form not found</v>
      </c>
      <c r="AV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1!$E:$E"")=$B68) *
        (IMPORTRANGE(""https://docs.google.com/spreadsheets/d/161aHT6vVT3SLneTKD19N5qVWtnj_jIT8CSsOmUVKmaA/ed"&amp;"it?gid=1761053510"",
          ""Haris_Form responses 1!$AQ:$AQ"")=5)
      ),
      1
    ),
    ""0""
  ),
  ""Form not found""
)
"),"Form not found")</f>
        <v>Form not found</v>
      </c>
      <c r="AW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1!$E:$E"")=$B68) *
        (IMPORTRANGE(""https://docs.google.com/spreadsheets/d/161aHT6vVT3SLneTKD19N5qVWtnj_jIT8CSsOmUVKmaA/ed"&amp;"it?gid=1761053510"",
          ""Haris_Form responses 1!$AQ:$AQ"")=6)
      ),
      1
    ),
    ""0""
  ),
  ""Form not found""
)
"),"Form not found")</f>
        <v>Form not found</v>
      </c>
      <c r="AX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1!$E:$E"")=$B68) *
        (IMPORTRANGE(""https://docs.google.com/spreadsheets/d/161aHT6vVT3SLneTKD19N5qVWtnj_jIT8CSsOmUVKmaA/ed"&amp;"it?gid=1761053510"",
          ""Haris_Form responses 1!$AQ:$AQ"")=1)
      ),
      1
    ),
    ""0""
  ),
  ""Form not found""
)
"),"10")</f>
        <v>10</v>
      </c>
      <c r="AY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1!$E:$E"")=$B68) *
        (IMPORTRANGE(""https://docs.google.com/spreadsheets/d/161aHT6vVT3SLneTKD19N5qVWtnj_jIT8CSsOmUVKmaA/ed"&amp;"it?gid=1761053510"",
          ""Haris_Form responses 1!$AQ:$AQ"")=2)
      ),
      1
    ),
    ""0""
  ),
  ""Form not found""
)
"),"Form not found")</f>
        <v>Form not found</v>
      </c>
      <c r="AZ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1!$E:$E"")=$B68) *
        (IMPORTRANGE(""https://docs.google.com/spreadsheets/d/161aHT6vVT3SLneTKD19N5qVWtnj_jIT8CSsOmUVKmaA/ed"&amp;"it?gid=1761053510"",
          ""Haris_Form responses 1!$AQ:$AQ"")=3)
      ),
      1
    ),
    ""0""
  ),
  ""Form not found""
)
"),"4")</f>
        <v>4</v>
      </c>
      <c r="BA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1!$E:$E"")=$B68) *
        (IMPORTRANGE(""https://docs.google.com/spreadsheets/d/161aHT6vVT3SLneTKD19N5qVWtnj_jIT8CSsOmUVKmaA/ed"&amp;"it?gid=1761053510"",
          ""Haris_Form responses 1!$AQ:$AQ"")=4)
      ),
      1
    ),
    ""0""
  ),
  ""Form not found""
)
"),"Form not found")</f>
        <v>Form not found</v>
      </c>
      <c r="BB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1!$E:$E"")=$B68) *
        (IMPORTRANGE(""https://docs.google.com/spreadsheets/d/161aHT6vVT3SLneTKD19N5qVWtnj_jIT8CSsOmUVKmaA/ed"&amp;"it?gid=1761053510"",
          ""Haris_Form responses 1!$AQ:$AQ"")=5)
      ),
      1
    ),
    ""0""
  ),
  ""Form not found""
)
"),"Form not found")</f>
        <v>Form not found</v>
      </c>
      <c r="BC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1!$E:$E"")=$B68) *
        (IMPORTRANGE(""https://docs.google.com/spreadsheets/d/161aHT6vVT3SLneTKD19N5qVWtnj_jIT8CSsOmUVKmaA/ed"&amp;"it?gid=1761053510"",
          ""Haris_Form responses 1!$AQ:$AQ"")=6)
      ),
      1
    ),
    ""0""
  ),
  ""Form not found""
)
"),"Form not found")</f>
        <v>Form not found</v>
      </c>
      <c r="BD68" s="293"/>
    </row>
    <row r="69">
      <c r="A69" s="283" t="str">
        <f>IFERROR(__xludf.DUMMYFUNCTION("VLOOKUP($B69,IMPORTRANGE(""https://docs.google.com/spreadsheets/d/1VNXDITjs75AcgdBSW27oL1VZH31udDprJSsBcE5xlp4/edit?gid=1551188038#gid=1551188038"", ""Sheet9!$B:$E""),2,false)"),"Lahore")</f>
        <v>Lahore</v>
      </c>
      <c r="B69" s="283" t="s">
        <v>3021</v>
      </c>
      <c r="C69" s="284" t="str">
        <f>IFERROR(__xludf.DUMMYFUNCTION("VLOOKUP(TRIM($B69), IMPORTRANGE(""https://docs.google.com/spreadsheets/d/1aSOrU4PTpuBZqfitKaH1Rfww6-YOiNCKoBpPl8XBHaw/edit?gid=0#gid=0"", ""sheet3!$B:$C""), 2, FALSE)
"),"Jamia Masjid Johri Shah Bandagi Lahore")</f>
        <v>Jamia Masjid Johri Shah Bandagi Lahore</v>
      </c>
      <c r="D69" s="284" t="str">
        <f>IFERROR(__xludf.DUMMYFUNCTION("IFERROR(
  INDEX(
    FILTER(
      IMPORTRANGE(""1aSOrU4PTpuBZqfitKaH1Rfww6-YOiNCKoBpPl8XBHaw/edit?gid=0#gid=0"",""Sheet1!G:G""),
      IMPORTRANGE(""1aSOrU4PTpuBZqfitKaH1Rfww6-YOiNCKoBpPl8XBHaw/edit?gid=0#gid=0"",""Sheet1!C:C"")=$B69
    ),
    1
  ),
 "&amp;" ""Not Found""
)"),"Community Secular No Info Share")</f>
        <v>Community Secular No Info Share</v>
      </c>
      <c r="E69" s="284" t="str">
        <f>VLOOKUP(B69,'Juma Recording forms'!A:E,5,false)</f>
        <v>شاہ ابوالمعالی</v>
      </c>
      <c r="F69" s="284" t="str">
        <f>IFERROR(__xludf.DUMMYFUNCTION("IFERROR(
  INDEX(
    FILTER(
      IMPORTRANGE(""1Cxrhp3-_-HS7v9uuqQliiIfrmMP4VaFoDNDWyUFy2J8/edit?gid=0#gid=0"",""Sheet1!Q:Q""),
      IMPORTRANGE(""1Cxrhp3-_-HS7v9uuqQliiIfrmMP4VaFoDNDWyUFy2J8/edit?gid=0#gid=0"",""Sheet1!K:K"")=$B69
    ),
    1
  ),
 "&amp;" ""Not Found""
)"),"Hazrat_Nabi")</f>
        <v>Hazrat_Nabi</v>
      </c>
      <c r="G69" s="284">
        <v>1905.0</v>
      </c>
      <c r="H69" s="284" t="s">
        <v>4831</v>
      </c>
      <c r="I69" s="285"/>
      <c r="J69" s="286">
        <v>2.0</v>
      </c>
      <c r="K69" s="287" t="str">
        <f>VLOOKUP($B69,'Mosque Locations'!$A:$E,3,FALSE)
</f>
        <v>https://maps.google.com/maps?q=31.5721909%2C74.3306608&amp;z=17&amp;hl=en</v>
      </c>
      <c r="L69" s="286">
        <f>VLOOKUP($B69,'Mosque Locations'!$A:$E,4,FALSE)
</f>
        <v>31.57219</v>
      </c>
      <c r="M69" s="286">
        <f>VLOOKUP($B69,'Mosque Locations'!$A:$E,5,false)</f>
        <v>74.33066</v>
      </c>
      <c r="N69" s="288"/>
      <c r="O69" s="288"/>
      <c r="P69" s="288"/>
      <c r="Q69" s="289" t="str">
        <f>IFERROR(__xludf.DUMMYFUNCTION("IFERROR(
  INDEX(
    FILTER(
      IMPORTRANGE(""1SnQ_YxUmBUYKsKc82GyPPovLO-EPrfZxsJ0V0UbhezI/edit?gid=590869320#gid=590869320"",""Form Responses 1!AB:AB""),
      IMPORTRANGE(""1SnQ_YxUmBUYKsKc82GyPPovLO-EPrfZxsJ0V0UbhezI/edit?gid=590869320#gid=59086932"&amp;"0"",""Form Responses 1!E:E"")=$B69
    ),
    1
  ),
  ""Not Found""
)"),"https://drive.google.com/open?id=1jToCv6f_gkYmHD4uYpoNxu_nWNy33KUx")</f>
        <v>https://drive.google.com/open?id=1jToCv6f_gkYmHD4uYpoNxu_nWNy33KUx</v>
      </c>
      <c r="R69" s="289" t="str">
        <f>IFERROR(__xludf.DUMMYFUNCTION("IFERROR(
  INDEX(
    FILTER(
      IMPORTRANGE(""1SnQ_YxUmBUYKsKc82GyPPovLO-EPrfZxsJ0V0UbhezI"",""Form Responses 1!AA:AA""),
      TRIM(IMPORTRANGE(""1SnQ_YxUmBUYKsKc82GyPPovLO-EPrfZxsJ0V0UbhezI"",""Form Responses 1!E:E""))=TRIM($B69)
    ),
    1
  ),
 "&amp;" ""Not Found""
)
"),"https://drive.google.com/open?id=1bfw0bStLuoCeD0zAEMvPg_WExEgdsYcK")</f>
        <v>https://drive.google.com/open?id=1bfw0bStLuoCeD0zAEMvPg_WExEgdsYcK</v>
      </c>
      <c r="S69" s="285"/>
      <c r="T69" s="290" t="str">
        <f>VLOOKUP($B69,'Master Tracker'!$D:$E,2,false)</f>
        <v>https://drive.google.com/open?id=1eRi2QbWd307tny3_Vtgkpj5MJu_Xxawl</v>
      </c>
      <c r="U69" s="291" t="str">
        <f>VLOOKUP($B69,'Master Tracker'!$D:$T,4,FALSE)
</f>
        <v>https://drive.google.com/open?id=1jM17BBHEVehMhVigSU1jIjio2ohBwFzz</v>
      </c>
      <c r="V69" s="290" t="str">
        <f>VLOOKUP($B69,'Master Tracker'!$D:$T,5,false)</f>
        <v>https://drive.google.com/open?id=1fZ2h4NEV5SrFPcsEkE7JxD4TCrm13fxK</v>
      </c>
      <c r="W69" s="291" t="str">
        <f>VLOOKUP($B69,'Master Tracker'!$D:$T,7,false)</f>
        <v>https://drive.google.com/open?id=1bxgUDBHB-KzlPl0BxLg9izK8voyMNi6M</v>
      </c>
      <c r="X69" s="290" t="str">
        <f>VLOOKUP($B69,'Master Tracker'!$D:$T,8,false)</f>
        <v>https://drive.google.com/open?id=1YqU6GCF5J37XmvqafbTjyj6wO8p5Tp0X</v>
      </c>
      <c r="Y69" s="291" t="str">
        <f>VLOOKUP($B69,'Master Tracker'!$D:$T,10,false)</f>
        <v>https://drive.google.com/open?id=17yIW-M2kbupIOtdZM1e_cGUJXfavXVn5</v>
      </c>
      <c r="Z69" s="290" t="str">
        <f>VLOOKUP($B69,'Master Tracker'!$D:$T,11,false)</f>
        <v>https://drive.google.com/open?id=1N5iwG8v4FXf4L7bJt7BnuHVCgyRATD5Y</v>
      </c>
      <c r="AA69" s="291" t="str">
        <f>VLOOKUP($B69,'Master Tracker'!$D:$T,13,false)</f>
        <v>https://drive.google.com/open?id=1Sj6H1Z0Kc1gTW5KwD19WaGnhSYH7XqsO</v>
      </c>
      <c r="AB69" s="284" t="str">
        <f>VLOOKUP($B69,'Master Tracker'!$D:$T,14,false)</f>
        <v>Not Found</v>
      </c>
      <c r="AC69" s="292" t="str">
        <f>VLOOKUP($B69,'Master Tracker'!$D:$T,16,false)</f>
        <v>Not Found</v>
      </c>
      <c r="AD69" s="292" t="str">
        <f>VLOOKUP($B69,'Master Tracker'!$D:$T,17,false)</f>
        <v>Not Found</v>
      </c>
      <c r="AE69" s="292" t="str">
        <f>VLOOKUP($B69,'Master Tracker'!$D:$V,19,false)</f>
        <v>Not Found</v>
      </c>
      <c r="AF69" s="292">
        <f>IFERROR(__xludf.DUMMYFUNCTION("IFERROR(
  INDEX(
    FILTER(
      'Juma Recording forms'!$G:$G,
      TRIM('Juma Recording forms'!$F:$F) = TRIM($B69),
      'Juma Recording forms'!$AA:$AA = 1
    ),
    1
  ),
  ""Not Found""
)"),198.0)</f>
        <v>198</v>
      </c>
      <c r="AG69" s="292">
        <f>IFERROR(__xludf.DUMMYFUNCTION("IFERROR(
  INDEX(
    FILTER(
      'Juma Recording forms'!$G:$G,
      TRIM('Juma Recording forms'!$F:$F) = TRIM($B69),
      'Juma Recording forms'!$AA:$AA = 2
    ),
    1
  ),
  ""Not Found""
)"),180.0)</f>
        <v>180</v>
      </c>
      <c r="AH69" s="292">
        <f>IFERROR(__xludf.DUMMYFUNCTION("IFERROR(
  INDEX(
    FILTER(
      'Juma Recording forms'!$G:$G,
      TRIM('Juma Recording forms'!$F:$F) = TRIM($B69),
      'Juma Recording forms'!$AA:$AA = 3
    ),
    1
  ),
  ""Not Found""
)"),200.0)</f>
        <v>200</v>
      </c>
      <c r="AI69" s="292">
        <f>IFERROR(__xludf.DUMMYFUNCTION("IFERROR(
  INDEX(
    FILTER(
      'Juma Recording forms'!$G:$G,
      TRIM('Juma Recording forms'!$F:$F) = TRIM($B69),
      'Juma Recording forms'!$AA:$AA = 4
    ),
    1
  ),
  ""Not Found""
)"),188.0)</f>
        <v>188</v>
      </c>
      <c r="AJ69" s="292" t="str">
        <f>IFERROR(__xludf.DUMMYFUNCTION("IFERROR(
  INDEX(
    FILTER(
      'Juma Recording forms'!$G:$G,
      TRIM('Juma Recording forms'!$F:$F) = TRIM($B69),
      'Juma Recording forms'!$AA:$AA = 5
    ),
    1
  ),
  ""Not Found""
)"),"Not Found")</f>
        <v>Not Found</v>
      </c>
      <c r="AK69" s="292" t="str">
        <f>IFERROR(__xludf.DUMMYFUNCTION("IFERROR(
  INDEX(
    FILTER(
      'Juma Recording forms'!$G:$G,
      TRIM('Juma Recording forms'!$F:$F) = TRIM($B69),
      'Juma Recording forms'!$AA:$AA = 6
    ),
    1
  ),
  ""Not Found""
)"),"Not Found")</f>
        <v>Not Found</v>
      </c>
      <c r="AL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1!$E:$E"")=$B69) *
        (IMPORTRANGE(""https://docs.google.com/spreadsheets/d/161aHT6vVT3SLneTKD19N5qVWtnj_jIT8CSsOmUVKmaA/ed"&amp;"it?gid=1761053510"",
          ""Haris_Form responses 1!$AQ:$AQ"")=1)
      ),
      1
    ),
    ""0""
  ),
  ""Form not found""
)
"),"0")</f>
        <v>0</v>
      </c>
      <c r="AM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1!$E:$E"")=$B69) *
        (IMPORTRANGE(""https://docs.google.com/spreadsheets/d/161aHT6vVT3SLneTKD19N5qVWtnj_jIT8CSsOmUVKmaA/ed"&amp;"it?gid=1761053510"",
          ""Haris_Form responses 1!$AQ:$AQ"")=2)
      ),
      1
    ),
    ""0""
  ),
  ""Form not found""
)
"),"9")</f>
        <v>9</v>
      </c>
      <c r="AN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1!$E:$E"")=$B69) *
        (IMPORTRANGE(""https://docs.google.com/spreadsheets/d/161aHT6vVT3SLneTKD19N5qVWtnj_jIT8CSsOmUVKmaA/ed"&amp;"it?gid=1761053510"",
          ""Haris_Form responses 1!$AQ:$AQ"")=3)
      ),
      1
    ),
    ""0""
  ),
  ""Form not found""
)
"),"3")</f>
        <v>3</v>
      </c>
      <c r="AO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1!$E:$E"")=$B69) *
        (IMPORTRANGE(""https://docs.google.com/spreadsheets/d/161aHT6vVT3SLneTKD19N5qVWtnj_jIT8CSsOmUVKmaA/ed"&amp;"it?gid=1761053510"",
          ""Haris_Form responses 1!$AQ:$AQ"")=4)
      ),
      1
    ),
    ""0""
  ),
  ""Form not found""
)
"),"9")</f>
        <v>9</v>
      </c>
      <c r="AP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1!$E:$E"")=$B69) *
        (IMPORTRANGE(""https://docs.google.com/spreadsheets/d/161aHT6vVT3SLneTKD19N5qVWtnj_jIT8CSsOmUVKmaA/ed"&amp;"it?gid=1761053510"",
          ""Haris_Form responses 1!$AQ:$AQ"")=5)
      ),
      1
    ),
    ""0""
  ),
  ""Form not found""
)
"),"Form not found")</f>
        <v>Form not found</v>
      </c>
      <c r="AQ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1!$E:$E"")=$B69) *
        (IMPORTRANGE(""https://docs.google.com/spreadsheets/d/161aHT6vVT3SLneTKD19N5qVWtnj_jIT8CSsOmUVKmaA/ed"&amp;"it?gid=1761053510"",
          ""Haris_Form responses 1!$AQ:$AQ"")=6)
      ),
      1
    ),
    ""0""
  ),
  ""Form not found""
)
"),"Form not found")</f>
        <v>Form not found</v>
      </c>
      <c r="AR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1!$E:$E"")=$B69) *
        (IMPORTRANGE(""https://docs.google.com/spreadsheets/d/161aHT6vVT3SLneTKD19N5qVWtnj_jIT8CSsOmUVKmaA/ed"&amp;"it?gid=1761053510"",
          ""Haris_Form responses 1!$AQ:$AQ"")=1)
      ),
      1
    ),
    ""0""
  ),
  ""Form not found""
)
"),"0")</f>
        <v>0</v>
      </c>
      <c r="AS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1!$E:$E"")=$B69) *
        (IMPORTRANGE(""https://docs.google.com/spreadsheets/d/161aHT6vVT3SLneTKD19N5qVWtnj_jIT8CSsOmUVKmaA/ed"&amp;"it?gid=1761053510"",
          ""Haris_Form responses 1!$AQ:$AQ"")=2)
      ),
      1
    ),
    ""0""
  ),
  ""Form not found""
)
"),"9")</f>
        <v>9</v>
      </c>
      <c r="AT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1!$E:$E"")=$B69) *
        (IMPORTRANGE(""https://docs.google.com/spreadsheets/d/161aHT6vVT3SLneTKD19N5qVWtnj_jIT8CSsOmUVKmaA/ed"&amp;"it?gid=1761053510"",
          ""Haris_Form responses 1!$AQ:$AQ"")=3)
      ),
      1
    ),
    ""0""
  ),
  ""Form not found""
)
"),"0")</f>
        <v>0</v>
      </c>
      <c r="AU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1!$E:$E"")=$B69) *
        (IMPORTRANGE(""https://docs.google.com/spreadsheets/d/161aHT6vVT3SLneTKD19N5qVWtnj_jIT8CSsOmUVKmaA/ed"&amp;"it?gid=1761053510"",
          ""Haris_Form responses 1!$AQ:$AQ"")=4)
      ),
      1
    ),
    ""0""
  ),
  ""Form not found""
)
"),"10")</f>
        <v>10</v>
      </c>
      <c r="AV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1!$E:$E"")=$B69) *
        (IMPORTRANGE(""https://docs.google.com/spreadsheets/d/161aHT6vVT3SLneTKD19N5qVWtnj_jIT8CSsOmUVKmaA/ed"&amp;"it?gid=1761053510"",
          ""Haris_Form responses 1!$AQ:$AQ"")=5)
      ),
      1
    ),
    ""0""
  ),
  ""Form not found""
)
"),"Form not found")</f>
        <v>Form not found</v>
      </c>
      <c r="AW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1!$E:$E"")=$B69) *
        (IMPORTRANGE(""https://docs.google.com/spreadsheets/d/161aHT6vVT3SLneTKD19N5qVWtnj_jIT8CSsOmUVKmaA/ed"&amp;"it?gid=1761053510"",
          ""Haris_Form responses 1!$AQ:$AQ"")=6)
      ),
      1
    ),
    ""0""
  ),
  ""Form not found""
)
"),"Form not found")</f>
        <v>Form not found</v>
      </c>
      <c r="AX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1!$E:$E"")=$B69) *
        (IMPORTRANGE(""https://docs.google.com/spreadsheets/d/161aHT6vVT3SLneTKD19N5qVWtnj_jIT8CSsOmUVKmaA/ed"&amp;"it?gid=1761053510"",
          ""Haris_Form responses 1!$AQ:$AQ"")=1)
      ),
      1
    ),
    ""0""
  ),
  ""Form not found""
)
"),"0")</f>
        <v>0</v>
      </c>
      <c r="AY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1!$E:$E"")=$B69) *
        (IMPORTRANGE(""https://docs.google.com/spreadsheets/d/161aHT6vVT3SLneTKD19N5qVWtnj_jIT8CSsOmUVKmaA/ed"&amp;"it?gid=1761053510"",
          ""Haris_Form responses 1!$AQ:$AQ"")=2)
      ),
      1
    ),
    ""0""
  ),
  ""Form not found""
)
"),"1")</f>
        <v>1</v>
      </c>
      <c r="AZ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1!$E:$E"")=$B69) *
        (IMPORTRANGE(""https://docs.google.com/spreadsheets/d/161aHT6vVT3SLneTKD19N5qVWtnj_jIT8CSsOmUVKmaA/ed"&amp;"it?gid=1761053510"",
          ""Haris_Form responses 1!$AQ:$AQ"")=3)
      ),
      1
    ),
    ""0""
  ),
  ""Form not found""
)
"),"0")</f>
        <v>0</v>
      </c>
      <c r="BA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1!$E:$E"")=$B69) *
        (IMPORTRANGE(""https://docs.google.com/spreadsheets/d/161aHT6vVT3SLneTKD19N5qVWtnj_jIT8CSsOmUVKmaA/ed"&amp;"it?gid=1761053510"",
          ""Haris_Form responses 1!$AQ:$AQ"")=4)
      ),
      1
    ),
    ""0""
  ),
  ""Form not found""
)
"),"0")</f>
        <v>0</v>
      </c>
      <c r="BB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1!$E:$E"")=$B69) *
        (IMPORTRANGE(""https://docs.google.com/spreadsheets/d/161aHT6vVT3SLneTKD19N5qVWtnj_jIT8CSsOmUVKmaA/ed"&amp;"it?gid=1761053510"",
          ""Haris_Form responses 1!$AQ:$AQ"")=5)
      ),
      1
    ),
    ""0""
  ),
  ""Form not found""
)
"),"Form not found")</f>
        <v>Form not found</v>
      </c>
      <c r="BC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1!$E:$E"")=$B69) *
        (IMPORTRANGE(""https://docs.google.com/spreadsheets/d/161aHT6vVT3SLneTKD19N5qVWtnj_jIT8CSsOmUVKmaA/ed"&amp;"it?gid=1761053510"",
          ""Haris_Form responses 1!$AQ:$AQ"")=6)
      ),
      1
    ),
    ""0""
  ),
  ""Form not found""
)
"),"Form not found")</f>
        <v>Form not found</v>
      </c>
      <c r="BD69" s="293"/>
    </row>
    <row r="70">
      <c r="A70" s="283" t="str">
        <f>IFERROR(__xludf.DUMMYFUNCTION("VLOOKUP($B70,IMPORTRANGE(""https://docs.google.com/spreadsheets/d/1VNXDITjs75AcgdBSW27oL1VZH31udDprJSsBcE5xlp4/edit?gid=1551188038#gid=1551188038"", ""Sheet9!$B:$E""),2,false)"),"Lahore")</f>
        <v>Lahore</v>
      </c>
      <c r="B70" s="283" t="s">
        <v>3072</v>
      </c>
      <c r="C70" s="284" t="str">
        <f>IFERROR(__xludf.DUMMYFUNCTION("VLOOKUP(TRIM($B70), IMPORTRANGE(""https://docs.google.com/spreadsheets/d/1aSOrU4PTpuBZqfitKaH1Rfww6-YOiNCKoBpPl8XBHaw/edit?gid=0#gid=0"", ""sheet3!$B:$C""), 2, FALSE)
"),"Jamia Masjid Darbr Shah Ghadah Lahore")</f>
        <v>Jamia Masjid Darbr Shah Ghadah Lahore</v>
      </c>
      <c r="D70" s="284" t="str">
        <f>IFERROR(__xludf.DUMMYFUNCTION("IFERROR(
  INDEX(
    FILTER(
      IMPORTRANGE(""1aSOrU4PTpuBZqfitKaH1Rfww6-YOiNCKoBpPl8XBHaw/edit?gid=0#gid=0"",""Sheet1!G:G""),
      IMPORTRANGE(""1aSOrU4PTpuBZqfitKaH1Rfww6-YOiNCKoBpPl8XBHaw/edit?gid=0#gid=0"",""Sheet1!C:C"")=$B70
    ),
    1
  ),
 "&amp;" ""Not Found""
)"),"Community Religious Info Share")</f>
        <v>Community Religious Info Share</v>
      </c>
      <c r="E70" s="284" t="str">
        <f>VLOOKUP(B70,'Juma Recording forms'!A:E,5,false)</f>
        <v>Jamia masjid shah gadah lahore</v>
      </c>
      <c r="F70" s="284" t="str">
        <f>IFERROR(__xludf.DUMMYFUNCTION("IFERROR(
  INDEX(
    FILTER(
      IMPORTRANGE(""1Cxrhp3-_-HS7v9uuqQliiIfrmMP4VaFoDNDWyUFy2J8/edit?gid=0#gid=0"",""Sheet1!Q:Q""),
      IMPORTRANGE(""1Cxrhp3-_-HS7v9uuqQliiIfrmMP4VaFoDNDWyUFy2J8/edit?gid=0#gid=0"",""Sheet1!K:K"")=$B70
    ),
    1
  ),
 "&amp;" ""Not Found""
)"),"Faqeer Ahmed")</f>
        <v>Faqeer Ahmed</v>
      </c>
      <c r="G70" s="284">
        <v>1930.0</v>
      </c>
      <c r="H70" s="284" t="s">
        <v>4832</v>
      </c>
      <c r="I70" s="285"/>
      <c r="J70" s="286">
        <v>2.0</v>
      </c>
      <c r="K70" s="287" t="str">
        <f>VLOOKUP($B70,'Mosque Locations'!$A:$E,3,FALSE)
</f>
        <v>https://maps.google.com/maps?q=31.5680878%2C74.3453139&amp;z=17&amp;hl=en</v>
      </c>
      <c r="L70" s="286">
        <f>VLOOKUP($B70,'Mosque Locations'!$A:$E,4,FALSE)
</f>
        <v>31.56809</v>
      </c>
      <c r="M70" s="286">
        <f>VLOOKUP($B70,'Mosque Locations'!$A:$E,5,false)</f>
        <v>74.34531</v>
      </c>
      <c r="N70" s="288"/>
      <c r="O70" s="288"/>
      <c r="P70" s="288"/>
      <c r="Q70" s="289" t="str">
        <f>IFERROR(__xludf.DUMMYFUNCTION("IFERROR(
  INDEX(
    FILTER(
      IMPORTRANGE(""1SnQ_YxUmBUYKsKc82GyPPovLO-EPrfZxsJ0V0UbhezI/edit?gid=590869320#gid=590869320"",""Form Responses 1!AB:AB""),
      IMPORTRANGE(""1SnQ_YxUmBUYKsKc82GyPPovLO-EPrfZxsJ0V0UbhezI/edit?gid=590869320#gid=59086932"&amp;"0"",""Form Responses 1!E:E"")=$B70
    ),
    1
  ),
  ""Not Found""
)"),"https://drive.google.com/open?id=1jGkgCmpPflXu3r9ZmrCL2oRFtelaUu2f")</f>
        <v>https://drive.google.com/open?id=1jGkgCmpPflXu3r9ZmrCL2oRFtelaUu2f</v>
      </c>
      <c r="R70" s="289" t="str">
        <f>IFERROR(__xludf.DUMMYFUNCTION("IFERROR(
  INDEX(
    FILTER(
      IMPORTRANGE(""1SnQ_YxUmBUYKsKc82GyPPovLO-EPrfZxsJ0V0UbhezI"",""Form Responses 1!AA:AA""),
      TRIM(IMPORTRANGE(""1SnQ_YxUmBUYKsKc82GyPPovLO-EPrfZxsJ0V0UbhezI"",""Form Responses 1!E:E""))=TRIM($B70)
    ),
    1
  ),
 "&amp;" ""Not Found""
)
"),"https://drive.google.com/open?id=1wH1IdkuaN20_lA046EtpsB745KDutPRC")</f>
        <v>https://drive.google.com/open?id=1wH1IdkuaN20_lA046EtpsB745KDutPRC</v>
      </c>
      <c r="S70" s="285"/>
      <c r="T70" s="290" t="str">
        <f>VLOOKUP($B70,'Master Tracker'!$D:$E,2,false)</f>
        <v>https://drive.google.com/open?id=1QcR7Yv7d0r9NUIqjK2O9K2r68yUdGlkG</v>
      </c>
      <c r="U70" s="291" t="str">
        <f>VLOOKUP($B70,'Master Tracker'!$D:$T,4,FALSE)
</f>
        <v>https://drive.google.com/open?id=1K9kOC7GKByY9EZS2kqFtYVjMQ6UfHlc5</v>
      </c>
      <c r="V70" s="290" t="str">
        <f>VLOOKUP($B70,'Master Tracker'!$D:$T,5,false)</f>
        <v>https://drive.google.com/open?id=1WfUVDXiNkugw6BN5Xh_fEW0aA-M6iLEo</v>
      </c>
      <c r="W70" s="291" t="str">
        <f>VLOOKUP($B70,'Master Tracker'!$D:$T,7,false)</f>
        <v>https://drive.google.com/open?id=18L90p5AFiKc4upC7ZutFRjX5qSLEYdn7</v>
      </c>
      <c r="X70" s="290" t="str">
        <f>VLOOKUP($B70,'Master Tracker'!$D:$T,8,false)</f>
        <v>https://drive.google.com/open?id=19t7-r-3awhCryVXpao3CKrRX3e1aTmAu</v>
      </c>
      <c r="Y70" s="291" t="str">
        <f>VLOOKUP($B70,'Master Tracker'!$D:$T,10,false)</f>
        <v>https://drive.google.com/open?id=1NuIAhsIZ0WqfvolayMeLHnQUOdRrcvGG</v>
      </c>
      <c r="Z70" s="284" t="str">
        <f>VLOOKUP($B70,'Master Tracker'!$D:$T,11,false)</f>
        <v>Not Found</v>
      </c>
      <c r="AA70" s="292" t="str">
        <f>VLOOKUP($B70,'Master Tracker'!$D:$T,13,false)</f>
        <v>Not Found</v>
      </c>
      <c r="AB70" s="284" t="str">
        <f>VLOOKUP($B70,'Master Tracker'!$D:$T,14,false)</f>
        <v>Not Found</v>
      </c>
      <c r="AC70" s="292" t="str">
        <f>VLOOKUP($B70,'Master Tracker'!$D:$T,16,false)</f>
        <v>Not Found</v>
      </c>
      <c r="AD70" s="292" t="str">
        <f>VLOOKUP($B70,'Master Tracker'!$D:$T,17,false)</f>
        <v>Not Found</v>
      </c>
      <c r="AE70" s="292" t="str">
        <f>VLOOKUP($B70,'Master Tracker'!$D:$V,19,false)</f>
        <v>Not Found</v>
      </c>
      <c r="AF70" s="292">
        <f>IFERROR(__xludf.DUMMYFUNCTION("IFERROR(
  INDEX(
    FILTER(
      'Juma Recording forms'!$G:$G,
      TRIM('Juma Recording forms'!$F:$F) = TRIM($B70),
      'Juma Recording forms'!$AA:$AA = 1
    ),
    1
  ),
  ""Not Found""
)"),247.0)</f>
        <v>247</v>
      </c>
      <c r="AG70" s="292">
        <f>IFERROR(__xludf.DUMMYFUNCTION("IFERROR(
  INDEX(
    FILTER(
      'Juma Recording forms'!$G:$G,
      TRIM('Juma Recording forms'!$F:$F) = TRIM($B70),
      'Juma Recording forms'!$AA:$AA = 2
    ),
    1
  ),
  ""Not Found""
)"),250.0)</f>
        <v>250</v>
      </c>
      <c r="AH70" s="292">
        <f>IFERROR(__xludf.DUMMYFUNCTION("IFERROR(
  INDEX(
    FILTER(
      'Juma Recording forms'!$G:$G,
      TRIM('Juma Recording forms'!$F:$F) = TRIM($B70),
      'Juma Recording forms'!$AA:$AA = 3
    ),
    1
  ),
  ""Not Found""
)"),240.0)</f>
        <v>240</v>
      </c>
      <c r="AI70" s="292" t="str">
        <f>IFERROR(__xludf.DUMMYFUNCTION("IFERROR(
  INDEX(
    FILTER(
      'Juma Recording forms'!$G:$G,
      TRIM('Juma Recording forms'!$F:$F) = TRIM($B70),
      'Juma Recording forms'!$AA:$AA = 4
    ),
    1
  ),
  ""Not Found""
)"),"Not Found")</f>
        <v>Not Found</v>
      </c>
      <c r="AJ70" s="292" t="str">
        <f>IFERROR(__xludf.DUMMYFUNCTION("IFERROR(
  INDEX(
    FILTER(
      'Juma Recording forms'!$G:$G,
      TRIM('Juma Recording forms'!$F:$F) = TRIM($B70),
      'Juma Recording forms'!$AA:$AA = 5
    ),
    1
  ),
  ""Not Found""
)"),"Not Found")</f>
        <v>Not Found</v>
      </c>
      <c r="AK70" s="292" t="str">
        <f>IFERROR(__xludf.DUMMYFUNCTION("IFERROR(
  INDEX(
    FILTER(
      'Juma Recording forms'!$G:$G,
      TRIM('Juma Recording forms'!$F:$F) = TRIM($B70),
      'Juma Recording forms'!$AA:$AA = 6
    ),
    1
  ),
  ""Not Found""
)"),"Not Found")</f>
        <v>Not Found</v>
      </c>
      <c r="AL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1!$E:$E"")=$B70) *
        (IMPORTRANGE(""https://docs.google.com/spreadsheets/d/161aHT6vVT3SLneTKD19N5qVWtnj_jIT8CSsOmUVKmaA/ed"&amp;"it?gid=1761053510"",
          ""Haris_Form responses 1!$AQ:$AQ"")=1)
      ),
      1
    ),
    ""0""
  ),
  ""Form not found""
)
"),"10")</f>
        <v>10</v>
      </c>
      <c r="AM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1!$E:$E"")=$B70) *
        (IMPORTRANGE(""https://docs.google.com/spreadsheets/d/161aHT6vVT3SLneTKD19N5qVWtnj_jIT8CSsOmUVKmaA/ed"&amp;"it?gid=1761053510"",
          ""Haris_Form responses 1!$AQ:$AQ"")=2)
      ),
      1
    ),
    ""0""
  ),
  ""Form not found""
)
"),"10")</f>
        <v>10</v>
      </c>
      <c r="AN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1!$E:$E"")=$B70) *
        (IMPORTRANGE(""https://docs.google.com/spreadsheets/d/161aHT6vVT3SLneTKD19N5qVWtnj_jIT8CSsOmUVKmaA/ed"&amp;"it?gid=1761053510"",
          ""Haris_Form responses 1!$AQ:$AQ"")=3)
      ),
      1
    ),
    ""0""
  ),
  ""Form not found""
)
"),"0")</f>
        <v>0</v>
      </c>
      <c r="AO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1!$E:$E"")=$B70) *
        (IMPORTRANGE(""https://docs.google.com/spreadsheets/d/161aHT6vVT3SLneTKD19N5qVWtnj_jIT8CSsOmUVKmaA/ed"&amp;"it?gid=1761053510"",
          ""Haris_Form responses 1!$AQ:$AQ"")=4)
      ),
      1
    ),
    ""0""
  ),
  ""Form not found""
)
"),"Form not found")</f>
        <v>Form not found</v>
      </c>
      <c r="AP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1!$E:$E"")=$B70) *
        (IMPORTRANGE(""https://docs.google.com/spreadsheets/d/161aHT6vVT3SLneTKD19N5qVWtnj_jIT8CSsOmUVKmaA/ed"&amp;"it?gid=1761053510"",
          ""Haris_Form responses 1!$AQ:$AQ"")=5)
      ),
      1
    ),
    ""0""
  ),
  ""Form not found""
)
"),"Form not found")</f>
        <v>Form not found</v>
      </c>
      <c r="AQ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1!$E:$E"")=$B70) *
        (IMPORTRANGE(""https://docs.google.com/spreadsheets/d/161aHT6vVT3SLneTKD19N5qVWtnj_jIT8CSsOmUVKmaA/ed"&amp;"it?gid=1761053510"",
          ""Haris_Form responses 1!$AQ:$AQ"")=6)
      ),
      1
    ),
    ""0""
  ),
  ""Form not found""
)
"),"Form not found")</f>
        <v>Form not found</v>
      </c>
      <c r="AR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1!$E:$E"")=$B70) *
        (IMPORTRANGE(""https://docs.google.com/spreadsheets/d/161aHT6vVT3SLneTKD19N5qVWtnj_jIT8CSsOmUVKmaA/ed"&amp;"it?gid=1761053510"",
          ""Haris_Form responses 1!$AQ:$AQ"")=1)
      ),
      1
    ),
    ""0""
  ),
  ""Form not found""
)
"),"10")</f>
        <v>10</v>
      </c>
      <c r="AS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1!$E:$E"")=$B70) *
        (IMPORTRANGE(""https://docs.google.com/spreadsheets/d/161aHT6vVT3SLneTKD19N5qVWtnj_jIT8CSsOmUVKmaA/ed"&amp;"it?gid=1761053510"",
          ""Haris_Form responses 1!$AQ:$AQ"")=2)
      ),
      1
    ),
    ""0""
  ),
  ""Form not found""
)
"),"10")</f>
        <v>10</v>
      </c>
      <c r="AT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1!$E:$E"")=$B70) *
        (IMPORTRANGE(""https://docs.google.com/spreadsheets/d/161aHT6vVT3SLneTKD19N5qVWtnj_jIT8CSsOmUVKmaA/ed"&amp;"it?gid=1761053510"",
          ""Haris_Form responses 1!$AQ:$AQ"")=3)
      ),
      1
    ),
    ""0""
  ),
  ""Form not found""
)
"),"0")</f>
        <v>0</v>
      </c>
      <c r="AU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1!$E:$E"")=$B70) *
        (IMPORTRANGE(""https://docs.google.com/spreadsheets/d/161aHT6vVT3SLneTKD19N5qVWtnj_jIT8CSsOmUVKmaA/ed"&amp;"it?gid=1761053510"",
          ""Haris_Form responses 1!$AQ:$AQ"")=4)
      ),
      1
    ),
    ""0""
  ),
  ""Form not found""
)
"),"Form not found")</f>
        <v>Form not found</v>
      </c>
      <c r="AV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1!$E:$E"")=$B70) *
        (IMPORTRANGE(""https://docs.google.com/spreadsheets/d/161aHT6vVT3SLneTKD19N5qVWtnj_jIT8CSsOmUVKmaA/ed"&amp;"it?gid=1761053510"",
          ""Haris_Form responses 1!$AQ:$AQ"")=5)
      ),
      1
    ),
    ""0""
  ),
  ""Form not found""
)
"),"Form not found")</f>
        <v>Form not found</v>
      </c>
      <c r="AW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1!$E:$E"")=$B70) *
        (IMPORTRANGE(""https://docs.google.com/spreadsheets/d/161aHT6vVT3SLneTKD19N5qVWtnj_jIT8CSsOmUVKmaA/ed"&amp;"it?gid=1761053510"",
          ""Haris_Form responses 1!$AQ:$AQ"")=6)
      ),
      1
    ),
    ""0""
  ),
  ""Form not found""
)
"),"Form not found")</f>
        <v>Form not found</v>
      </c>
      <c r="AX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1!$E:$E"")=$B70) *
        (IMPORTRANGE(""https://docs.google.com/spreadsheets/d/161aHT6vVT3SLneTKD19N5qVWtnj_jIT8CSsOmUVKmaA/ed"&amp;"it?gid=1761053510"",
          ""Haris_Form responses 1!$AQ:$AQ"")=1)
      ),
      1
    ),
    ""0""
  ),
  ""Form not found""
)
"),"0")</f>
        <v>0</v>
      </c>
      <c r="AY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1!$E:$E"")=$B70) *
        (IMPORTRANGE(""https://docs.google.com/spreadsheets/d/161aHT6vVT3SLneTKD19N5qVWtnj_jIT8CSsOmUVKmaA/ed"&amp;"it?gid=1761053510"",
          ""Haris_Form responses 1!$AQ:$AQ"")=2)
      ),
      1
    ),
    ""0""
  ),
  ""Form not found""
)
"),"0")</f>
        <v>0</v>
      </c>
      <c r="AZ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1!$E:$E"")=$B70) *
        (IMPORTRANGE(""https://docs.google.com/spreadsheets/d/161aHT6vVT3SLneTKD19N5qVWtnj_jIT8CSsOmUVKmaA/ed"&amp;"it?gid=1761053510"",
          ""Haris_Form responses 1!$AQ:$AQ"")=3)
      ),
      1
    ),
    ""0""
  ),
  ""Form not found""
)
"),"0")</f>
        <v>0</v>
      </c>
      <c r="BA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1!$E:$E"")=$B70) *
        (IMPORTRANGE(""https://docs.google.com/spreadsheets/d/161aHT6vVT3SLneTKD19N5qVWtnj_jIT8CSsOmUVKmaA/ed"&amp;"it?gid=1761053510"",
          ""Haris_Form responses 1!$AQ:$AQ"")=4)
      ),
      1
    ),
    ""0""
  ),
  ""Form not found""
)
"),"Form not found")</f>
        <v>Form not found</v>
      </c>
      <c r="BB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1!$E:$E"")=$B70) *
        (IMPORTRANGE(""https://docs.google.com/spreadsheets/d/161aHT6vVT3SLneTKD19N5qVWtnj_jIT8CSsOmUVKmaA/ed"&amp;"it?gid=1761053510"",
          ""Haris_Form responses 1!$AQ:$AQ"")=5)
      ),
      1
    ),
    ""0""
  ),
  ""Form not found""
)
"),"Form not found")</f>
        <v>Form not found</v>
      </c>
      <c r="BC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1!$E:$E"")=$B70) *
        (IMPORTRANGE(""https://docs.google.com/spreadsheets/d/161aHT6vVT3SLneTKD19N5qVWtnj_jIT8CSsOmUVKmaA/ed"&amp;"it?gid=1761053510"",
          ""Haris_Form responses 1!$AQ:$AQ"")=6)
      ),
      1
    ),
    ""0""
  ),
  ""Form not found""
)
"),"Form not found")</f>
        <v>Form not found</v>
      </c>
      <c r="BD70" s="293"/>
    </row>
    <row r="71">
      <c r="A71" s="283" t="str">
        <f>IFERROR(__xludf.DUMMYFUNCTION("VLOOKUP($B71,IMPORTRANGE(""https://docs.google.com/spreadsheets/d/1VNXDITjs75AcgdBSW27oL1VZH31udDprJSsBcE5xlp4/edit?gid=1551188038#gid=1551188038"", ""Sheet9!$B:$E""),2,false)"),"Lahore")</f>
        <v>Lahore</v>
      </c>
      <c r="B71" s="283" t="s">
        <v>2899</v>
      </c>
      <c r="C71" s="284" t="str">
        <f>IFERROR(__xludf.DUMMYFUNCTION("VLOOKUP(TRIM($B71), IMPORTRANGE(""https://docs.google.com/spreadsheets/d/1aSOrU4PTpuBZqfitKaH1Rfww6-YOiNCKoBpPl8XBHaw/edit?gid=0#gid=0"", ""sheet3!$B:$C""), 2, FALSE)
"),"Jamia Masjid Darbar Musa Ranjani Lahore")</f>
        <v>Jamia Masjid Darbar Musa Ranjani Lahore</v>
      </c>
      <c r="D71" s="284" t="str">
        <f>IFERROR(__xludf.DUMMYFUNCTION("IFERROR(
  INDEX(
    FILTER(
      IMPORTRANGE(""1aSOrU4PTpuBZqfitKaH1Rfww6-YOiNCKoBpPl8XBHaw/edit?gid=0#gid=0"",""Sheet1!G:G""),
      IMPORTRANGE(""1aSOrU4PTpuBZqfitKaH1Rfww6-YOiNCKoBpPl8XBHaw/edit?gid=0#gid=0"",""Sheet1!C:C"")=$B71
    ),
    1
  ),
 "&amp;" ""Not Found""
)"),"Community Religious No Info Share")</f>
        <v>Community Religious No Info Share</v>
      </c>
      <c r="E71" s="284" t="str">
        <f>VLOOKUP(B71,'Juma Recording forms'!A:E,5,false)</f>
        <v>Jamia masjid meeran hussain zanjanni</v>
      </c>
      <c r="F71" s="284" t="str">
        <f>IFERROR(__xludf.DUMMYFUNCTION("IFERROR(
  INDEX(
    FILTER(
      IMPORTRANGE(""1Cxrhp3-_-HS7v9uuqQliiIfrmMP4VaFoDNDWyUFy2J8/edit?gid=0#gid=0"",""Sheet1!Q:Q""),
      IMPORTRANGE(""1Cxrhp3-_-HS7v9uuqQliiIfrmMP4VaFoDNDWyUFy2J8/edit?gid=0#gid=0"",""Sheet1!K:K"")=$B71
    ),
    1
  ),
 "&amp;" ""Not Found""
)"),"Rab Nawaz Chisti")</f>
        <v>Rab Nawaz Chisti</v>
      </c>
      <c r="G71" s="284">
        <v>1975.0</v>
      </c>
      <c r="H71" s="284" t="s">
        <v>4833</v>
      </c>
      <c r="I71" s="285"/>
      <c r="J71" s="286">
        <v>2.0</v>
      </c>
      <c r="K71" s="287" t="str">
        <f>VLOOKUP($B71,'Mosque Locations'!$A:$E,3,FALSE)
</f>
        <v>https://maps.google.com/maps?q=31.583545%2C74.3398072&amp;z=17&amp;hl=en</v>
      </c>
      <c r="L71" s="286">
        <f>VLOOKUP($B71,'Mosque Locations'!$A:$E,4,FALSE)
</f>
        <v>31.58355</v>
      </c>
      <c r="M71" s="286">
        <f>VLOOKUP($B71,'Mosque Locations'!$A:$E,5,false)</f>
        <v>74.33981</v>
      </c>
      <c r="N71" s="288"/>
      <c r="O71" s="288"/>
      <c r="P71" s="288"/>
      <c r="Q71" s="294" t="str">
        <f>IFERROR(__xludf.DUMMYFUNCTION("IFERROR(
  INDEX(
    FILTER(
      IMPORTRANGE(""1SnQ_YxUmBUYKsKc82GyPPovLO-EPrfZxsJ0V0UbhezI/edit?gid=590869320#gid=590869320"",""Form Responses 1!AB:AB""),
      IMPORTRANGE(""1SnQ_YxUmBUYKsKc82GyPPovLO-EPrfZxsJ0V0UbhezI/edit?gid=590869320#gid=59086932"&amp;"0"",""Form Responses 1!E:E"")=$B71
    ),
    1
  ),
  ""Not Found""
)"),"https://drive.google.com/open?id=1o7XsaISaS7wUFGZMLZB1SSLf6HlKeDFm, https://drive.google.com/open?id=1fRwzibLJ5qiHMXh4YoBNwEJU8H2YdC65")</f>
        <v>https://drive.google.com/open?id=1o7XsaISaS7wUFGZMLZB1SSLf6HlKeDFm, https://drive.google.com/open?id=1fRwzibLJ5qiHMXh4YoBNwEJU8H2YdC65</v>
      </c>
      <c r="R71" s="285" t="str">
        <f>IFERROR(__xludf.DUMMYFUNCTION("IFERROR(
  INDEX(
    FILTER(
      IMPORTRANGE(""1SnQ_YxUmBUYKsKc82GyPPovLO-EPrfZxsJ0V0UbhezI"",""Form Responses 1!AA:AA""),
      TRIM(IMPORTRANGE(""1SnQ_YxUmBUYKsKc82GyPPovLO-EPrfZxsJ0V0UbhezI"",""Form Responses 1!E:E""))=TRIM($B71)
    ),
    1
  ),
 "&amp;" ""Not Found""
)
"),"https://drive.google.com/open?id=1ZVK-kqNrj1B9JHLW6uux1aUfVvdkRZZG, https://drive.google.com/open?id=16FN9kaLlGEe3p-8MKSaxECqJdXFv8_8J")</f>
        <v>https://drive.google.com/open?id=1ZVK-kqNrj1B9JHLW6uux1aUfVvdkRZZG, https://drive.google.com/open?id=16FN9kaLlGEe3p-8MKSaxECqJdXFv8_8J</v>
      </c>
      <c r="S71" s="285"/>
      <c r="T71" s="290" t="str">
        <f>VLOOKUP($B71,'Master Tracker'!$D:$E,2,false)</f>
        <v>https://drive.google.com/open?id=1NJFQJCAjwfx4Eev3SwzJSEUsVnLqw1bD, https://drive.google.com/open?id=18EO0xicOCKGsOY-dh2EPY-axRy2y2SNF, https://drive.google.com/open?id=1QSKJ-nwqwQ4w_bjb27STq5s5Aiu4g3GD</v>
      </c>
      <c r="U71" s="291" t="str">
        <f>VLOOKUP($B71,'Master Tracker'!$D:$T,4,FALSE)
</f>
        <v>https://docs.google.com/document/d/1jD8H1_2zdW8irTwP441-R-LRM5d6shZV/edit?usp=drive_link&amp;ouid=117122465010506134151&amp;rtpof=true&amp;sd=true</v>
      </c>
      <c r="V71" s="290" t="str">
        <f>VLOOKUP($B71,'Master Tracker'!$D:$T,5,false)</f>
        <v>https://drive.google.com/open?id=1tR7gSvGJm8TrAdtQhlLVanXLAvo2oAI5</v>
      </c>
      <c r="W71" s="291" t="str">
        <f>VLOOKUP($B71,'Master Tracker'!$D:$T,7,false)</f>
        <v>https://docs.google.com/document/d/1VPYfcC_rCq8_go_lBR3RUVjPgYRlY8yW/edit?usp=drive_link&amp;ouid=117122465010506134151&amp;rtpof=true&amp;sd=true</v>
      </c>
      <c r="X71" s="290" t="str">
        <f>VLOOKUP($B71,'Master Tracker'!$D:$T,8,false)</f>
        <v>https://drive.google.com/open?id=11ul7nJjb_aU8Pp3T2cVuKstX2_XAepFL</v>
      </c>
      <c r="Y71" s="291" t="str">
        <f>VLOOKUP($B71,'Master Tracker'!$D:$T,10,false)</f>
        <v>https://docs.google.com/document/d/1Kkt_3Z_n1wYIynWDhr-fTwY5zhCm53Lv/edit?usp=drive_link&amp;ouid=117122465010506134151&amp;rtpof=true&amp;sd=true</v>
      </c>
      <c r="Z71" s="290" t="str">
        <f>VLOOKUP($B71,'Master Tracker'!$D:$T,11,false)</f>
        <v>https://drive.google.com/open?id=17A7HCgzE8sV-AAg892oI-PTDe5vTeVCx</v>
      </c>
      <c r="AA71" s="291" t="str">
        <f>VLOOKUP($B71,'Master Tracker'!$D:$T,13,false)</f>
        <v>https://docs.google.com/document/d/13r8Zbf_8jk99BAE54mDQXbQm6bhDV5zJ/edit?usp=drive_web&amp;ouid=117122465010506134151&amp;rtpof=true</v>
      </c>
      <c r="AB71" s="284" t="str">
        <f>VLOOKUP($B71,'Master Tracker'!$D:$T,14,false)</f>
        <v>Not Found</v>
      </c>
      <c r="AC71" s="292" t="str">
        <f>VLOOKUP($B71,'Master Tracker'!$D:$T,16,false)</f>
        <v>Not Found</v>
      </c>
      <c r="AD71" s="292" t="str">
        <f>VLOOKUP($B71,'Master Tracker'!$D:$T,17,false)</f>
        <v>Not Found</v>
      </c>
      <c r="AE71" s="292" t="str">
        <f>VLOOKUP($B71,'Master Tracker'!$D:$V,19,false)</f>
        <v>Not Found</v>
      </c>
      <c r="AF71" s="292">
        <f>IFERROR(__xludf.DUMMYFUNCTION("IFERROR(
  INDEX(
    FILTER(
      'Juma Recording forms'!$G:$G,
      TRIM('Juma Recording forms'!$F:$F) = TRIM($B71),
      'Juma Recording forms'!$AA:$AA = 1
    ),
    1
  ),
  ""Not Found""
)"),630.0)</f>
        <v>630</v>
      </c>
      <c r="AG71" s="292">
        <f>IFERROR(__xludf.DUMMYFUNCTION("IFERROR(
  INDEX(
    FILTER(
      'Juma Recording forms'!$G:$G,
      TRIM('Juma Recording forms'!$F:$F) = TRIM($B71),
      'Juma Recording forms'!$AA:$AA = 2
    ),
    1
  ),
  ""Not Found""
)"),654.0)</f>
        <v>654</v>
      </c>
      <c r="AH71" s="292">
        <f>IFERROR(__xludf.DUMMYFUNCTION("IFERROR(
  INDEX(
    FILTER(
      'Juma Recording forms'!$G:$G,
      TRIM('Juma Recording forms'!$F:$F) = TRIM($B71),
      'Juma Recording forms'!$AA:$AA = 3
    ),
    1
  ),
  ""Not Found""
)"),620.0)</f>
        <v>620</v>
      </c>
      <c r="AI71" s="292">
        <f>IFERROR(__xludf.DUMMYFUNCTION("IFERROR(
  INDEX(
    FILTER(
      'Juma Recording forms'!$G:$G,
      TRIM('Juma Recording forms'!$F:$F) = TRIM($B71),
      'Juma Recording forms'!$AA:$AA = 4
    ),
    1
  ),
  ""Not Found""
)"),590.0)</f>
        <v>590</v>
      </c>
      <c r="AJ71" s="292" t="str">
        <f>IFERROR(__xludf.DUMMYFUNCTION("IFERROR(
  INDEX(
    FILTER(
      'Juma Recording forms'!$G:$G,
      TRIM('Juma Recording forms'!$F:$F) = TRIM($B71),
      'Juma Recording forms'!$AA:$AA = 5
    ),
    1
  ),
  ""Not Found""
)"),"Not Found")</f>
        <v>Not Found</v>
      </c>
      <c r="AK71" s="292" t="str">
        <f>IFERROR(__xludf.DUMMYFUNCTION("IFERROR(
  INDEX(
    FILTER(
      'Juma Recording forms'!$G:$G,
      TRIM('Juma Recording forms'!$F:$F) = TRIM($B71),
      'Juma Recording forms'!$AA:$AA = 6
    ),
    1
  ),
  ""Not Found""
)"),"Not Found")</f>
        <v>Not Found</v>
      </c>
      <c r="AL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1!$E:$E"")=$B71) *
        (IMPORTRANGE(""https://docs.google.com/spreadsheets/d/161aHT6vVT3SLneTKD19N5qVWtnj_jIT8CSsOmUVKmaA/ed"&amp;"it?gid=1761053510"",
          ""Haris_Form responses 1!$AQ:$AQ"")=1)
      ),
      1
    ),
    ""0""
  ),
  ""Form not found""
)
"),"0")</f>
        <v>0</v>
      </c>
      <c r="AM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1!$E:$E"")=$B71) *
        (IMPORTRANGE(""https://docs.google.com/spreadsheets/d/161aHT6vVT3SLneTKD19N5qVWtnj_jIT8CSsOmUVKmaA/ed"&amp;"it?gid=1761053510"",
          ""Haris_Form responses 1!$AQ:$AQ"")=2)
      ),
      1
    ),
    ""0""
  ),
  ""Form not found""
)
"),"0")</f>
        <v>0</v>
      </c>
      <c r="AN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1!$E:$E"")=$B71) *
        (IMPORTRANGE(""https://docs.google.com/spreadsheets/d/161aHT6vVT3SLneTKD19N5qVWtnj_jIT8CSsOmUVKmaA/ed"&amp;"it?gid=1761053510"",
          ""Haris_Form responses 1!$AQ:$AQ"")=3)
      ),
      1
    ),
    ""0""
  ),
  ""Form not found""
)
"),"0")</f>
        <v>0</v>
      </c>
      <c r="AO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1!$E:$E"")=$B71) *
        (IMPORTRANGE(""https://docs.google.com/spreadsheets/d/161aHT6vVT3SLneTKD19N5qVWtnj_jIT8CSsOmUVKmaA/ed"&amp;"it?gid=1761053510"",
          ""Haris_Form responses 1!$AQ:$AQ"")=4)
      ),
      1
    ),
    ""0""
  ),
  ""Form not found""
)
"),"0")</f>
        <v>0</v>
      </c>
      <c r="AP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1!$E:$E"")=$B71) *
        (IMPORTRANGE(""https://docs.google.com/spreadsheets/d/161aHT6vVT3SLneTKD19N5qVWtnj_jIT8CSsOmUVKmaA/ed"&amp;"it?gid=1761053510"",
          ""Haris_Form responses 1!$AQ:$AQ"")=5)
      ),
      1
    ),
    ""0""
  ),
  ""Form not found""
)
"),"Form not found")</f>
        <v>Form not found</v>
      </c>
      <c r="AQ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1!$E:$E"")=$B71) *
        (IMPORTRANGE(""https://docs.google.com/spreadsheets/d/161aHT6vVT3SLneTKD19N5qVWtnj_jIT8CSsOmUVKmaA/ed"&amp;"it?gid=1761053510"",
          ""Haris_Form responses 1!$AQ:$AQ"")=6)
      ),
      1
    ),
    ""0""
  ),
  ""Form not found""
)
"),"Form not found")</f>
        <v>Form not found</v>
      </c>
      <c r="AR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1!$E:$E"")=$B71) *
        (IMPORTRANGE(""https://docs.google.com/spreadsheets/d/161aHT6vVT3SLneTKD19N5qVWtnj_jIT8CSsOmUVKmaA/ed"&amp;"it?gid=1761053510"",
          ""Haris_Form responses 1!$AQ:$AQ"")=1)
      ),
      1
    ),
    ""0""
  ),
  ""Form not found""
)
"),"0")</f>
        <v>0</v>
      </c>
      <c r="AS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1!$E:$E"")=$B71) *
        (IMPORTRANGE(""https://docs.google.com/spreadsheets/d/161aHT6vVT3SLneTKD19N5qVWtnj_jIT8CSsOmUVKmaA/ed"&amp;"it?gid=1761053510"",
          ""Haris_Form responses 1!$AQ:$AQ"")=2)
      ),
      1
    ),
    ""0""
  ),
  ""Form not found""
)
"),"0")</f>
        <v>0</v>
      </c>
      <c r="AT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1!$E:$E"")=$B71) *
        (IMPORTRANGE(""https://docs.google.com/spreadsheets/d/161aHT6vVT3SLneTKD19N5qVWtnj_jIT8CSsOmUVKmaA/ed"&amp;"it?gid=1761053510"",
          ""Haris_Form responses 1!$AQ:$AQ"")=3)
      ),
      1
    ),
    ""0""
  ),
  ""Form not found""
)
"),"0")</f>
        <v>0</v>
      </c>
      <c r="AU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1!$E:$E"")=$B71) *
        (IMPORTRANGE(""https://docs.google.com/spreadsheets/d/161aHT6vVT3SLneTKD19N5qVWtnj_jIT8CSsOmUVKmaA/ed"&amp;"it?gid=1761053510"",
          ""Haris_Form responses 1!$AQ:$AQ"")=4)
      ),
      1
    ),
    ""0""
  ),
  ""Form not found""
)
"),"0")</f>
        <v>0</v>
      </c>
      <c r="AV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1!$E:$E"")=$B71) *
        (IMPORTRANGE(""https://docs.google.com/spreadsheets/d/161aHT6vVT3SLneTKD19N5qVWtnj_jIT8CSsOmUVKmaA/ed"&amp;"it?gid=1761053510"",
          ""Haris_Form responses 1!$AQ:$AQ"")=5)
      ),
      1
    ),
    ""0""
  ),
  ""Form not found""
)
"),"Form not found")</f>
        <v>Form not found</v>
      </c>
      <c r="AW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1!$E:$E"")=$B71) *
        (IMPORTRANGE(""https://docs.google.com/spreadsheets/d/161aHT6vVT3SLneTKD19N5qVWtnj_jIT8CSsOmUVKmaA/ed"&amp;"it?gid=1761053510"",
          ""Haris_Form responses 1!$AQ:$AQ"")=6)
      ),
      1
    ),
    ""0""
  ),
  ""Form not found""
)
"),"Form not found")</f>
        <v>Form not found</v>
      </c>
      <c r="AX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1!$E:$E"")=$B71) *
        (IMPORTRANGE(""https://docs.google.com/spreadsheets/d/161aHT6vVT3SLneTKD19N5qVWtnj_jIT8CSsOmUVKmaA/ed"&amp;"it?gid=1761053510"",
          ""Haris_Form responses 1!$AQ:$AQ"")=1)
      ),
      1
    ),
    ""0""
  ),
  ""Form not found""
)
"),"0")</f>
        <v>0</v>
      </c>
      <c r="AY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1!$E:$E"")=$B71) *
        (IMPORTRANGE(""https://docs.google.com/spreadsheets/d/161aHT6vVT3SLneTKD19N5qVWtnj_jIT8CSsOmUVKmaA/ed"&amp;"it?gid=1761053510"",
          ""Haris_Form responses 1!$AQ:$AQ"")=2)
      ),
      1
    ),
    ""0""
  ),
  ""Form not found""
)
"),"0")</f>
        <v>0</v>
      </c>
      <c r="AZ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1!$E:$E"")=$B71) *
        (IMPORTRANGE(""https://docs.google.com/spreadsheets/d/161aHT6vVT3SLneTKD19N5qVWtnj_jIT8CSsOmUVKmaA/ed"&amp;"it?gid=1761053510"",
          ""Haris_Form responses 1!$AQ:$AQ"")=3)
      ),
      1
    ),
    ""0""
  ),
  ""Form not found""
)
"),"0")</f>
        <v>0</v>
      </c>
      <c r="BA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1!$E:$E"")=$B71) *
        (IMPORTRANGE(""https://docs.google.com/spreadsheets/d/161aHT6vVT3SLneTKD19N5qVWtnj_jIT8CSsOmUVKmaA/ed"&amp;"it?gid=1761053510"",
          ""Haris_Form responses 1!$AQ:$AQ"")=4)
      ),
      1
    ),
    ""0""
  ),
  ""Form not found""
)
"),"0")</f>
        <v>0</v>
      </c>
      <c r="BB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1!$E:$E"")=$B71) *
        (IMPORTRANGE(""https://docs.google.com/spreadsheets/d/161aHT6vVT3SLneTKD19N5qVWtnj_jIT8CSsOmUVKmaA/ed"&amp;"it?gid=1761053510"",
          ""Haris_Form responses 1!$AQ:$AQ"")=5)
      ),
      1
    ),
    ""0""
  ),
  ""Form not found""
)
"),"Form not found")</f>
        <v>Form not found</v>
      </c>
      <c r="BC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1!$E:$E"")=$B71) *
        (IMPORTRANGE(""https://docs.google.com/spreadsheets/d/161aHT6vVT3SLneTKD19N5qVWtnj_jIT8CSsOmUVKmaA/ed"&amp;"it?gid=1761053510"",
          ""Haris_Form responses 1!$AQ:$AQ"")=6)
      ),
      1
    ),
    ""0""
  ),
  ""Form not found""
)
"),"Form not found")</f>
        <v>Form not found</v>
      </c>
      <c r="BD71" s="293"/>
    </row>
    <row r="72">
      <c r="A72" s="283" t="str">
        <f>IFERROR(__xludf.DUMMYFUNCTION("VLOOKUP($B72,IMPORTRANGE(""https://docs.google.com/spreadsheets/d/1VNXDITjs75AcgdBSW27oL1VZH31udDprJSsBcE5xlp4/edit?gid=1551188038#gid=1551188038"", ""Sheet9!$B:$E""),2,false)"),"Lahore")</f>
        <v>Lahore</v>
      </c>
      <c r="B72" s="283" t="s">
        <v>1306</v>
      </c>
      <c r="C72" s="284" t="str">
        <f>IFERROR(__xludf.DUMMYFUNCTION("VLOOKUP(TRIM($B72), IMPORTRANGE(""https://docs.google.com/spreadsheets/d/1aSOrU4PTpuBZqfitKaH1Rfww6-YOiNCKoBpPl8XBHaw/edit?gid=0#gid=0"", ""sheet3!$B:$C""), 2, FALSE)
"),"Jamia Masjid Darbar Ismail Shah Bukhari Lahore")</f>
        <v>Jamia Masjid Darbar Ismail Shah Bukhari Lahore</v>
      </c>
      <c r="D72" s="284" t="str">
        <f>IFERROR(__xludf.DUMMYFUNCTION("IFERROR(
  INDEX(
    FILTER(
      IMPORTRANGE(""1aSOrU4PTpuBZqfitKaH1Rfww6-YOiNCKoBpPl8XBHaw/edit?gid=0#gid=0"",""Sheet1!G:G""),
      IMPORTRANGE(""1aSOrU4PTpuBZqfitKaH1Rfww6-YOiNCKoBpPl8XBHaw/edit?gid=0#gid=0"",""Sheet1!C:C"")=$B72
    ),
    1
  ),
 "&amp;" ""Not Found""
)"),"Community Secular Info Share")</f>
        <v>Community Secular Info Share</v>
      </c>
      <c r="E72" s="284" t="str">
        <f>VLOOKUP(B72,'Juma Recording forms'!A:E,5,false)</f>
        <v>Jamia Masjid Darbar Ismail Shah Bhukari </v>
      </c>
      <c r="F72" s="284" t="str">
        <f>IFERROR(__xludf.DUMMYFUNCTION("IFERROR(
  INDEX(
    FILTER(
      IMPORTRANGE(""1Cxrhp3-_-HS7v9uuqQliiIfrmMP4VaFoDNDWyUFy2J8/edit?gid=0#gid=0"",""Sheet1!Q:Q""),
      IMPORTRANGE(""1Cxrhp3-_-HS7v9uuqQliiIfrmMP4VaFoDNDWyUFy2J8/edit?gid=0#gid=0"",""Sheet1!K:K"")=$B72
    ),
    1
  ),
 "&amp;" ""Not Found""
)"),"Ghulam hussain shah")</f>
        <v>Ghulam hussain shah</v>
      </c>
      <c r="G72" s="284">
        <v>1968.0</v>
      </c>
      <c r="H72" s="284" t="s">
        <v>4834</v>
      </c>
      <c r="I72" s="285"/>
      <c r="J72" s="286">
        <v>2.0</v>
      </c>
      <c r="K72" s="287" t="str">
        <f>VLOOKUP($B72,'Mosque Locations'!$A:$E,3,FALSE)
</f>
        <v>https://maps.google.com/maps?q=31.5646835%2C74.3185463&amp;z=17&amp;hl=en</v>
      </c>
      <c r="L72" s="286">
        <f>VLOOKUP($B72,'Mosque Locations'!$A:$E,4,FALSE)
</f>
        <v>31.56468</v>
      </c>
      <c r="M72" s="286">
        <f>VLOOKUP($B72,'Mosque Locations'!$A:$E,5,false)</f>
        <v>74.31855</v>
      </c>
      <c r="N72" s="288"/>
      <c r="O72" s="288"/>
      <c r="P72" s="288"/>
      <c r="Q72" s="289" t="str">
        <f>IFERROR(__xludf.DUMMYFUNCTION("IFERROR(
  INDEX(
    FILTER(
      IMPORTRANGE(""1DccNxjBgurEr0ABkI_rBagJT5phB5HaHG5N_mTm_BiA"",""Form Responses 1!T:T""),
      TRIM(IMPORTRANGE(""1DccNxjBgurEr0ABkI_rBagJT5phB5HaHG5N_mTm_BiA"",""Form Responses 1!E:E""))=TRIM($B72)
    ),
    1
  ),
  "&amp;"""Not Found""
)
"),"https://drive.google.com/open?id=1ueqfpWigvvrGvNdNNt5VxIUsWCGxr7KN")</f>
        <v>https://drive.google.com/open?id=1ueqfpWigvvrGvNdNNt5VxIUsWCGxr7KN</v>
      </c>
      <c r="R72" s="290" t="str">
        <f>IFERROR(__xludf.DUMMYFUNCTION("IFERROR(
  INDEX(
    FILTER(
      IMPORTRANGE(""1DccNxjBgurEr0ABkI_rBagJT5phB5HaHG5N_mTm_BiA"",""Form Responses 1!S:S""),
      TRIM(IMPORTRANGE(""1DccNxjBgurEr0ABkI_rBagJT5phB5HaHG5N_mTm_BiA"",""Form Responses 1!E:E""))=TRIM($B72)
    ),
    1
  ),
  "&amp;"""Not Found""
)
"),"https://drive.google.com/open?id=1iB0yCbKh9V4fBedekOqYdJTkNFqgsLuQ")</f>
        <v>https://drive.google.com/open?id=1iB0yCbKh9V4fBedekOqYdJTkNFqgsLuQ</v>
      </c>
      <c r="S72" s="285"/>
      <c r="T72" s="290" t="str">
        <f>VLOOKUP($B72,'Master Tracker'!$D:$E,2,false)</f>
        <v>https://drive.google.com/open?id=1sVzmpmCZYJPWcXKbOEV1ltgPkQFvs_Jg</v>
      </c>
      <c r="U72" s="291" t="str">
        <f>VLOOKUP($B72,'Master Tracker'!$D:$T,4,FALSE)
</f>
        <v>https://drive.google.com/open?id=1doKo4nrIPdwwCoddL2NE6HnU5Uv0E7z3</v>
      </c>
      <c r="V72" s="284" t="str">
        <f>VLOOKUP($B72,'Master Tracker'!$D:$T,5,false)</f>
        <v>skipped</v>
      </c>
      <c r="W72" s="292" t="str">
        <f>VLOOKUP($B72,'Master Tracker'!$D:$T,7,false)</f>
        <v>Not Found</v>
      </c>
      <c r="X72" s="290" t="str">
        <f>VLOOKUP($B72,'Master Tracker'!$D:$T,8,false)</f>
        <v>https://drive.google.com/open?id=14inJVTTs-ua6lQ3fD2Jmvd3bAwyMW800</v>
      </c>
      <c r="Y72" s="291" t="str">
        <f>VLOOKUP($B72,'Master Tracker'!$D:$T,10,false)</f>
        <v>https://drive.google.com/open?id=14fqqW1DvWT0_vp1hhL8hFSMxBWc4Hm30</v>
      </c>
      <c r="Z72" s="290" t="str">
        <f>VLOOKUP($B72,'Master Tracker'!$D:$T,11,false)</f>
        <v>https://drive.google.com/open?id=1XWMWFUQrgIgzJV8sOCBNMlfiSwFYmX-2</v>
      </c>
      <c r="AA72" s="291" t="str">
        <f>VLOOKUP($B72,'Master Tracker'!$D:$T,13,false)</f>
        <v>https://drive.google.com/open?id=1s9LcQ3nsdNW-wR3M9dFD2tGpqOslvTY-</v>
      </c>
      <c r="AB72" s="284" t="str">
        <f>VLOOKUP($B72,'Master Tracker'!$D:$T,14,false)</f>
        <v>Not Found</v>
      </c>
      <c r="AC72" s="292" t="str">
        <f>VLOOKUP($B72,'Master Tracker'!$D:$T,16,false)</f>
        <v>Not Found</v>
      </c>
      <c r="AD72" s="292" t="str">
        <f>VLOOKUP($B72,'Master Tracker'!$D:$T,17,false)</f>
        <v>Not Found</v>
      </c>
      <c r="AE72" s="292" t="str">
        <f>VLOOKUP($B72,'Master Tracker'!$D:$V,19,false)</f>
        <v>Not Found</v>
      </c>
      <c r="AF72" s="292">
        <f>IFERROR(__xludf.DUMMYFUNCTION("IFERROR(
  INDEX(
    FILTER(
      'Juma Recording forms'!$G:$G,
      TRIM('Juma Recording forms'!$F:$F) = TRIM($B72),
      'Juma Recording forms'!$AA:$AA = 1
    ),
    1
  ),
  ""Not Found""
)"),180.0)</f>
        <v>180</v>
      </c>
      <c r="AG72" s="292" t="str">
        <f>IFERROR(__xludf.DUMMYFUNCTION("IFERROR(
  INDEX(
    FILTER(
      'Juma Recording forms'!$G:$G,
      TRIM('Juma Recording forms'!$F:$F) = TRIM($B72),
      'Juma Recording forms'!$AA:$AA = 2
    ),
    1
  ),
  ""Not Found""
)"),"Not Found")</f>
        <v>Not Found</v>
      </c>
      <c r="AH72" s="292">
        <f>IFERROR(__xludf.DUMMYFUNCTION("IFERROR(
  INDEX(
    FILTER(
      'Juma Recording forms'!$G:$G,
      TRIM('Juma Recording forms'!$F:$F) = TRIM($B72),
      'Juma Recording forms'!$AA:$AA = 3
    ),
    1
  ),
  ""Not Found""
)"),173.0)</f>
        <v>173</v>
      </c>
      <c r="AI72" s="292">
        <f>IFERROR(__xludf.DUMMYFUNCTION("IFERROR(
  INDEX(
    FILTER(
      'Juma Recording forms'!$G:$G,
      TRIM('Juma Recording forms'!$F:$F) = TRIM($B72),
      'Juma Recording forms'!$AA:$AA = 4
    ),
    1
  ),
  ""Not Found""
)"),188.0)</f>
        <v>188</v>
      </c>
      <c r="AJ72" s="292" t="str">
        <f>IFERROR(__xludf.DUMMYFUNCTION("IFERROR(
  INDEX(
    FILTER(
      'Juma Recording forms'!$G:$G,
      TRIM('Juma Recording forms'!$F:$F) = TRIM($B72),
      'Juma Recording forms'!$AA:$AA = 5
    ),
    1
  ),
  ""Not Found""
)"),"Not Found")</f>
        <v>Not Found</v>
      </c>
      <c r="AK72" s="292" t="str">
        <f>IFERROR(__xludf.DUMMYFUNCTION("IFERROR(
  INDEX(
    FILTER(
      'Juma Recording forms'!$G:$G,
      TRIM('Juma Recording forms'!$F:$F) = TRIM($B72),
      'Juma Recording forms'!$AA:$AA = 6
    ),
    1
  ),
  ""Not Found""
)"),"Not Found")</f>
        <v>Not Found</v>
      </c>
      <c r="AL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1!$E:$E"")=$B72) *
        (IMPORTRANGE(""https://docs.google.com/spreadsheets/d/161aHT6vVT3SLneTKD19N5qVWtnj_jIT8CSsOmUVKmaA/ed"&amp;"it?gid=1761053510"",
          ""Haris_Form responses 1!$AQ:$AQ"")=1)
      ),
      1
    ),
    ""0""
  ),
  ""Form not found""
)
"),"0")</f>
        <v>0</v>
      </c>
      <c r="AM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1!$E:$E"")=$B72) *
        (IMPORTRANGE(""https://docs.google.com/spreadsheets/d/161aHT6vVT3SLneTKD19N5qVWtnj_jIT8CSsOmUVKmaA/ed"&amp;"it?gid=1761053510"",
          ""Haris_Form responses 1!$AQ:$AQ"")=2)
      ),
      1
    ),
    ""0""
  ),
  ""Form not found""
)
"),"Form not found")</f>
        <v>Form not found</v>
      </c>
      <c r="AN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1!$E:$E"")=$B72) *
        (IMPORTRANGE(""https://docs.google.com/spreadsheets/d/161aHT6vVT3SLneTKD19N5qVWtnj_jIT8CSsOmUVKmaA/ed"&amp;"it?gid=1761053510"",
          ""Haris_Form responses 1!$AQ:$AQ"")=3)
      ),
      1
    ),
    ""0""
  ),
  ""Form not found""
)
"),"0")</f>
        <v>0</v>
      </c>
      <c r="AO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1!$E:$E"")=$B72) *
        (IMPORTRANGE(""https://docs.google.com/spreadsheets/d/161aHT6vVT3SLneTKD19N5qVWtnj_jIT8CSsOmUVKmaA/ed"&amp;"it?gid=1761053510"",
          ""Haris_Form responses 1!$AQ:$AQ"")=4)
      ),
      1
    ),
    ""0""
  ),
  ""Form not found""
)
"),"0")</f>
        <v>0</v>
      </c>
      <c r="AP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1!$E:$E"")=$B72) *
        (IMPORTRANGE(""https://docs.google.com/spreadsheets/d/161aHT6vVT3SLneTKD19N5qVWtnj_jIT8CSsOmUVKmaA/ed"&amp;"it?gid=1761053510"",
          ""Haris_Form responses 1!$AQ:$AQ"")=5)
      ),
      1
    ),
    ""0""
  ),
  ""Form not found""
)
"),"Form not found")</f>
        <v>Form not found</v>
      </c>
      <c r="AQ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1!$E:$E"")=$B72) *
        (IMPORTRANGE(""https://docs.google.com/spreadsheets/d/161aHT6vVT3SLneTKD19N5qVWtnj_jIT8CSsOmUVKmaA/ed"&amp;"it?gid=1761053510"",
          ""Haris_Form responses 1!$AQ:$AQ"")=6)
      ),
      1
    ),
    ""0""
  ),
  ""Form not found""
)
"),"Form not found")</f>
        <v>Form not found</v>
      </c>
      <c r="AR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1!$E:$E"")=$B72) *
        (IMPORTRANGE(""https://docs.google.com/spreadsheets/d/161aHT6vVT3SLneTKD19N5qVWtnj_jIT8CSsOmUVKmaA/ed"&amp;"it?gid=1761053510"",
          ""Haris_Form responses 1!$AQ:$AQ"")=1)
      ),
      1
    ),
    ""0""
  ),
  ""Form not found""
)
"),"0")</f>
        <v>0</v>
      </c>
      <c r="AS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1!$E:$E"")=$B72) *
        (IMPORTRANGE(""https://docs.google.com/spreadsheets/d/161aHT6vVT3SLneTKD19N5qVWtnj_jIT8CSsOmUVKmaA/ed"&amp;"it?gid=1761053510"",
          ""Haris_Form responses 1!$AQ:$AQ"")=2)
      ),
      1
    ),
    ""0""
  ),
  ""Form not found""
)
"),"Form not found")</f>
        <v>Form not found</v>
      </c>
      <c r="AT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1!$E:$E"")=$B72) *
        (IMPORTRANGE(""https://docs.google.com/spreadsheets/d/161aHT6vVT3SLneTKD19N5qVWtnj_jIT8CSsOmUVKmaA/ed"&amp;"it?gid=1761053510"",
          ""Haris_Form responses 1!$AQ:$AQ"")=3)
      ),
      1
    ),
    ""0""
  ),
  ""Form not found""
)
"),"0")</f>
        <v>0</v>
      </c>
      <c r="AU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1!$E:$E"")=$B72) *
        (IMPORTRANGE(""https://docs.google.com/spreadsheets/d/161aHT6vVT3SLneTKD19N5qVWtnj_jIT8CSsOmUVKmaA/ed"&amp;"it?gid=1761053510"",
          ""Haris_Form responses 1!$AQ:$AQ"")=4)
      ),
      1
    ),
    ""0""
  ),
  ""Form not found""
)
"),"0")</f>
        <v>0</v>
      </c>
      <c r="AV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1!$E:$E"")=$B72) *
        (IMPORTRANGE(""https://docs.google.com/spreadsheets/d/161aHT6vVT3SLneTKD19N5qVWtnj_jIT8CSsOmUVKmaA/ed"&amp;"it?gid=1761053510"",
          ""Haris_Form responses 1!$AQ:$AQ"")=5)
      ),
      1
    ),
    ""0""
  ),
  ""Form not found""
)
"),"Form not found")</f>
        <v>Form not found</v>
      </c>
      <c r="AW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1!$E:$E"")=$B72) *
        (IMPORTRANGE(""https://docs.google.com/spreadsheets/d/161aHT6vVT3SLneTKD19N5qVWtnj_jIT8CSsOmUVKmaA/ed"&amp;"it?gid=1761053510"",
          ""Haris_Form responses 1!$AQ:$AQ"")=6)
      ),
      1
    ),
    ""0""
  ),
  ""Form not found""
)
"),"Form not found")</f>
        <v>Form not found</v>
      </c>
      <c r="AX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1!$E:$E"")=$B72) *
        (IMPORTRANGE(""https://docs.google.com/spreadsheets/d/161aHT6vVT3SLneTKD19N5qVWtnj_jIT8CSsOmUVKmaA/ed"&amp;"it?gid=1761053510"",
          ""Haris_Form responses 1!$AQ:$AQ"")=1)
      ),
      1
    ),
    ""0""
  ),
  ""Form not found""
)
"),"0")</f>
        <v>0</v>
      </c>
      <c r="AY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1!$E:$E"")=$B72) *
        (IMPORTRANGE(""https://docs.google.com/spreadsheets/d/161aHT6vVT3SLneTKD19N5qVWtnj_jIT8CSsOmUVKmaA/ed"&amp;"it?gid=1761053510"",
          ""Haris_Form responses 1!$AQ:$AQ"")=2)
      ),
      1
    ),
    ""0""
  ),
  ""Form not found""
)
"),"Form not found")</f>
        <v>Form not found</v>
      </c>
      <c r="AZ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1!$E:$E"")=$B72) *
        (IMPORTRANGE(""https://docs.google.com/spreadsheets/d/161aHT6vVT3SLneTKD19N5qVWtnj_jIT8CSsOmUVKmaA/ed"&amp;"it?gid=1761053510"",
          ""Haris_Form responses 1!$AQ:$AQ"")=3)
      ),
      1
    ),
    ""0""
  ),
  ""Form not found""
)
"),"0")</f>
        <v>0</v>
      </c>
      <c r="BA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1!$E:$E"")=$B72) *
        (IMPORTRANGE(""https://docs.google.com/spreadsheets/d/161aHT6vVT3SLneTKD19N5qVWtnj_jIT8CSsOmUVKmaA/ed"&amp;"it?gid=1761053510"",
          ""Haris_Form responses 1!$AQ:$AQ"")=4)
      ),
      1
    ),
    ""0""
  ),
  ""Form not found""
)
"),"0")</f>
        <v>0</v>
      </c>
      <c r="BB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1!$E:$E"")=$B72) *
        (IMPORTRANGE(""https://docs.google.com/spreadsheets/d/161aHT6vVT3SLneTKD19N5qVWtnj_jIT8CSsOmUVKmaA/ed"&amp;"it?gid=1761053510"",
          ""Haris_Form responses 1!$AQ:$AQ"")=5)
      ),
      1
    ),
    ""0""
  ),
  ""Form not found""
)
"),"Form not found")</f>
        <v>Form not found</v>
      </c>
      <c r="BC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1!$E:$E"")=$B72) *
        (IMPORTRANGE(""https://docs.google.com/spreadsheets/d/161aHT6vVT3SLneTKD19N5qVWtnj_jIT8CSsOmUVKmaA/ed"&amp;"it?gid=1761053510"",
          ""Haris_Form responses 1!$AQ:$AQ"")=6)
      ),
      1
    ),
    ""0""
  ),
  ""Form not found""
)
"),"Form not found")</f>
        <v>Form not found</v>
      </c>
      <c r="BD72" s="293"/>
    </row>
    <row r="73">
      <c r="A73" s="283" t="str">
        <f>IFERROR(__xludf.DUMMYFUNCTION("VLOOKUP($B73,IMPORTRANGE(""https://docs.google.com/spreadsheets/d/1VNXDITjs75AcgdBSW27oL1VZH31udDprJSsBcE5xlp4/edit?gid=1551188038#gid=1551188038"", ""Sheet9!$B:$E""),2,false)"),"Gujrawala")</f>
        <v>Gujrawala</v>
      </c>
      <c r="B73" s="283" t="s">
        <v>2477</v>
      </c>
      <c r="C73" s="284" t="str">
        <f>IFERROR(__xludf.DUMMYFUNCTION("VLOOKUP(TRIM($B73), IMPORTRANGE(""https://docs.google.com/spreadsheets/d/1aSOrU4PTpuBZqfitKaH1Rfww6-YOiNCKoBpPl8XBHaw/edit?gid=0#gid=0"", ""sheet3!$B:$C""), 2, FALSE)
"),"Jamia Masjid Chila Gah Sakhi Sarwar Dhoonikal")</f>
        <v>Jamia Masjid Chila Gah Sakhi Sarwar Dhoonikal</v>
      </c>
      <c r="D73" s="284" t="str">
        <f>IFERROR(__xludf.DUMMYFUNCTION("IFERROR(
  INDEX(
    FILTER(
      IMPORTRANGE(""1aSOrU4PTpuBZqfitKaH1Rfww6-YOiNCKoBpPl8XBHaw/edit?gid=0#gid=0"",""Sheet1!G:G""),
      IMPORTRANGE(""1aSOrU4PTpuBZqfitKaH1Rfww6-YOiNCKoBpPl8XBHaw/edit?gid=0#gid=0"",""Sheet1!C:C"")=$B73
    ),
    1
  ),
 "&amp;" ""Not Found""
)"),"Control")</f>
        <v>Control</v>
      </c>
      <c r="E73" s="284" t="str">
        <f>VLOOKUP(B73,'Juma Recording forms'!A:E,5,false)</f>
        <v>Dhonkal chila gha sakhi sarwer</v>
      </c>
      <c r="F73" s="284" t="str">
        <f>IFERROR(__xludf.DUMMYFUNCTION("IFERROR(
  INDEX(
    FILTER(
      IMPORTRANGE(""1Cxrhp3-_-HS7v9uuqQliiIfrmMP4VaFoDNDWyUFy2J8/edit?gid=0#gid=0"",""Sheet1!Q:Q""),
      IMPORTRANGE(""1Cxrhp3-_-HS7v9uuqQliiIfrmMP4VaFoDNDWyUFy2J8/edit?gid=0#gid=0"",""Sheet1!K:K"")=$B73
    ),
    1
  ),
 "&amp;" ""Not Found""
)"),"Not Found")</f>
        <v>Not Found</v>
      </c>
      <c r="G73" s="284"/>
      <c r="H73" s="284"/>
      <c r="I73" s="285"/>
      <c r="J73" s="286">
        <v>1.0</v>
      </c>
      <c r="K73" s="287" t="str">
        <f>VLOOKUP($B73,'Mosque Locations'!$A:$E,3,FALSE)
</f>
        <v>https://maps.google.com/maps?q=32.071094%2C73.7195025&amp;z=17&amp;hl=en</v>
      </c>
      <c r="L73" s="286">
        <f>VLOOKUP($B73,'Mosque Locations'!$A:$E,4,FALSE)
</f>
        <v>32.07109</v>
      </c>
      <c r="M73" s="286">
        <f>VLOOKUP($B73,'Mosque Locations'!$A:$E,5,false)</f>
        <v>73.7195</v>
      </c>
      <c r="N73" s="288"/>
      <c r="O73" s="288"/>
      <c r="P73" s="288"/>
      <c r="Q73" s="296" t="str">
        <f>IFERROR(__xludf.DUMMYFUNCTION("IFERROR(
  INDEX(
    FILTER(
      IMPORTRANGE(""1DccNxjBgurEr0ABkI_rBagJT5phB5HaHG5N_mTm_BiA/edit?gid=1382299152#gid=1382299152"",""Form Responses 1!T:T""),
      IMPORTRANGE(""1DccNxjBgurEr0ABkI_rBagJT5phB5HaHG5N_mTm_BiA/edit?gid=1382299152#gid=1382299"&amp;"152"",""Form Responses 1!E:E"")=$B73
    ),
    1
  ),
  ""Not Found""
)"),"https://drive.google.com/open?id=1NdaZdj5bBZbJ2yWEp5eI8RJHEXxCAExR")</f>
        <v>https://drive.google.com/open?id=1NdaZdj5bBZbJ2yWEp5eI8RJHEXxCAExR</v>
      </c>
      <c r="R73" s="296" t="str">
        <f>IFERROR(__xludf.DUMMYFUNCTION("IFERROR(
  INDEX(
    FILTER(
      IMPORTRANGE(""1DccNxjBgurEr0ABkI_rBagJT5phB5HaHG5N_mTm_BiA/edit?gid=1382299152#gid=1382299152"",""Form Responses 1!S:S""),
      IMPORTRANGE(""1DccNxjBgurEr0ABkI_rBagJT5phB5HaHG5N_mTm_BiA/edit?gid=1382299152#gid=1382299"&amp;"152"",""Form Responses 1!E:E"")=$B73
    ),
    1
  ),
  ""Not Found""
)"),"https://drive.google.com/open?id=1LAonl7Ss_zIjAuZG5zN7IziQg0Fo7RG0")</f>
        <v>https://drive.google.com/open?id=1LAonl7Ss_zIjAuZG5zN7IziQg0Fo7RG0</v>
      </c>
      <c r="S73" s="285"/>
      <c r="T73" s="290" t="str">
        <f>VLOOKUP($B73,'Master Tracker'!$D:$E,2,false)</f>
        <v>https://drive.google.com/file/d/18cu7kWW5VUznFdxR4Qv27ZL9h5AjID0W/view?usp=drive_link</v>
      </c>
      <c r="U73" s="291" t="str">
        <f>VLOOKUP($B73,'Master Tracker'!$D:$T,4,FALSE)
</f>
        <v>https://drive.google.com/open?id=1rgoOJy7pVRaZ7J8VATxW0s5JKcxYaJ5n</v>
      </c>
      <c r="V73" s="284" t="str">
        <f>VLOOKUP($B73,'Master Tracker'!$D:$T,5,false)</f>
        <v>Not Found</v>
      </c>
      <c r="W73" s="292" t="str">
        <f>VLOOKUP($B73,'Master Tracker'!$D:$T,7,false)</f>
        <v>Not Found</v>
      </c>
      <c r="X73" s="290" t="str">
        <f>VLOOKUP($B73,'Master Tracker'!$D:$T,8,false)</f>
        <v>https://drive.google.com/open?id=1ahhQjHRgDocUArHUFqmZKZqDCIdxOGM8</v>
      </c>
      <c r="Y73" s="291" t="str">
        <f>VLOOKUP($B73,'Master Tracker'!$D:$T,10,false)</f>
        <v>https://drive.google.com/open?id=16RvifwsyBaREwZ-XljjMDCWFv52SKKDE</v>
      </c>
      <c r="Z73" s="284" t="str">
        <f>VLOOKUP($B73,'Master Tracker'!$D:$T,11,false)</f>
        <v>Not Found</v>
      </c>
      <c r="AA73" s="292" t="str">
        <f>VLOOKUP($B73,'Master Tracker'!$D:$T,13,false)</f>
        <v>Not Found</v>
      </c>
      <c r="AB73" s="284" t="str">
        <f>VLOOKUP($B73,'Master Tracker'!$D:$T,14,false)</f>
        <v>Not Found</v>
      </c>
      <c r="AC73" s="292" t="str">
        <f>VLOOKUP($B73,'Master Tracker'!$D:$T,16,false)</f>
        <v>Not Found</v>
      </c>
      <c r="AD73" s="292" t="str">
        <f>VLOOKUP($B73,'Master Tracker'!$D:$T,17,false)</f>
        <v>Not Found</v>
      </c>
      <c r="AE73" s="292" t="str">
        <f>VLOOKUP($B73,'Master Tracker'!$D:$V,19,false)</f>
        <v>Not Found</v>
      </c>
      <c r="AF73" s="292">
        <f>IFERROR(__xludf.DUMMYFUNCTION("IFERROR(
  INDEX(
    FILTER(
      'Juma Recording forms'!$G:$G,
      TRIM('Juma Recording forms'!$F:$F) = TRIM($B73),
      'Juma Recording forms'!$AA:$AA = 1
    ),
    1
  ),
  ""Not Found""
)"),105.0)</f>
        <v>105</v>
      </c>
      <c r="AG73" s="292" t="str">
        <f>IFERROR(__xludf.DUMMYFUNCTION("IFERROR(
  INDEX(
    FILTER(
      'Juma Recording forms'!$G:$G,
      TRIM('Juma Recording forms'!$F:$F) = TRIM($B73),
      'Juma Recording forms'!$AA:$AA = 2
    ),
    1
  ),
  ""Not Found""
)"),"Not Found")</f>
        <v>Not Found</v>
      </c>
      <c r="AH73" s="292">
        <f>IFERROR(__xludf.DUMMYFUNCTION("IFERROR(
  INDEX(
    FILTER(
      'Juma Recording forms'!$G:$G,
      TRIM('Juma Recording forms'!$F:$F) = TRIM($B73),
      'Juma Recording forms'!$AA:$AA = 3
    ),
    1
  ),
  ""Not Found""
)"),108.0)</f>
        <v>108</v>
      </c>
      <c r="AI73" s="292" t="str">
        <f>IFERROR(__xludf.DUMMYFUNCTION("IFERROR(
  INDEX(
    FILTER(
      'Juma Recording forms'!$G:$G,
      TRIM('Juma Recording forms'!$F:$F) = TRIM($B73),
      'Juma Recording forms'!$AA:$AA = 4
    ),
    1
  ),
  ""Not Found""
)"),"Not Found")</f>
        <v>Not Found</v>
      </c>
      <c r="AJ73" s="292" t="str">
        <f>IFERROR(__xludf.DUMMYFUNCTION("IFERROR(
  INDEX(
    FILTER(
      'Juma Recording forms'!$G:$G,
      TRIM('Juma Recording forms'!$F:$F) = TRIM($B73),
      'Juma Recording forms'!$AA:$AA = 5
    ),
    1
  ),
  ""Not Found""
)"),"Not Found")</f>
        <v>Not Found</v>
      </c>
      <c r="AK73" s="292"/>
      <c r="AL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1!$E:$E"")=$B73) *
        (IMPORTRANGE(""https://docs.google.com/spreadsheets/d/161aHT6vVT3SLneTKD19N5qVWtnj_jIT8CSsOmUVKmaA/ed"&amp;"it?gid=1761053510"",
          ""Haris_Form responses 1!$AQ:$AQ"")=1)
      ),
      1
    ),
    ""0""
  ),
  ""Form not found""
)
"),"0")</f>
        <v>0</v>
      </c>
      <c r="AM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1!$E:$E"")=$B73) *
        (IMPORTRANGE(""https://docs.google.com/spreadsheets/d/161aHT6vVT3SLneTKD19N5qVWtnj_jIT8CSsOmUVKmaA/ed"&amp;"it?gid=1761053510"",
          ""Haris_Form responses 1!$AQ:$AQ"")=2)
      ),
      1
    ),
    ""0""
  ),
  ""Form not found""
)
"),"Form not found")</f>
        <v>Form not found</v>
      </c>
      <c r="AN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1!$E:$E"")=$B73) *
        (IMPORTRANGE(""https://docs.google.com/spreadsheets/d/161aHT6vVT3SLneTKD19N5qVWtnj_jIT8CSsOmUVKmaA/ed"&amp;"it?gid=1761053510"",
          ""Haris_Form responses 1!$AQ:$AQ"")=3)
      ),
      1
    ),
    ""0""
  ),
  ""Form not found""
)
"),"0")</f>
        <v>0</v>
      </c>
      <c r="AO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1!$E:$E"")=$B73) *
        (IMPORTRANGE(""https://docs.google.com/spreadsheets/d/161aHT6vVT3SLneTKD19N5qVWtnj_jIT8CSsOmUVKmaA/ed"&amp;"it?gid=1761053510"",
          ""Haris_Form responses 1!$AQ:$AQ"")=4)
      ),
      1
    ),
    ""0""
  ),
  ""Form not found""
)
"),"Form not found")</f>
        <v>Form not found</v>
      </c>
      <c r="AP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1!$E:$E"")=$B73) *
        (IMPORTRANGE(""https://docs.google.com/spreadsheets/d/161aHT6vVT3SLneTKD19N5qVWtnj_jIT8CSsOmUVKmaA/ed"&amp;"it?gid=1761053510"",
          ""Haris_Form responses 1!$AQ:$AQ"")=5)
      ),
      1
    ),
    ""0""
  ),
  ""Form not found""
)
"),"Form not found")</f>
        <v>Form not found</v>
      </c>
      <c r="AQ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1!$E:$E"")=$B73) *
        (IMPORTRANGE(""https://docs.google.com/spreadsheets/d/161aHT6vVT3SLneTKD19N5qVWtnj_jIT8CSsOmUVKmaA/ed"&amp;"it?gid=1761053510"",
          ""Haris_Form responses 1!$AQ:$AQ"")=6)
      ),
      1
    ),
    ""0""
  ),
  ""Form not found""
)
"),"Form not found")</f>
        <v>Form not found</v>
      </c>
      <c r="AR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1!$E:$E"")=$B73) *
        (IMPORTRANGE(""https://docs.google.com/spreadsheets/d/161aHT6vVT3SLneTKD19N5qVWtnj_jIT8CSsOmUVKmaA/ed"&amp;"it?gid=1761053510"",
          ""Haris_Form responses 1!$AQ:$AQ"")=1)
      ),
      1
    ),
    ""0""
  ),
  ""Form not found""
)
"),"0")</f>
        <v>0</v>
      </c>
      <c r="AS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1!$E:$E"")=$B73) *
        (IMPORTRANGE(""https://docs.google.com/spreadsheets/d/161aHT6vVT3SLneTKD19N5qVWtnj_jIT8CSsOmUVKmaA/ed"&amp;"it?gid=1761053510"",
          ""Haris_Form responses 1!$AQ:$AQ"")=2)
      ),
      1
    ),
    ""0""
  ),
  ""Form not found""
)
"),"Form not found")</f>
        <v>Form not found</v>
      </c>
      <c r="AT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1!$E:$E"")=$B73) *
        (IMPORTRANGE(""https://docs.google.com/spreadsheets/d/161aHT6vVT3SLneTKD19N5qVWtnj_jIT8CSsOmUVKmaA/ed"&amp;"it?gid=1761053510"",
          ""Haris_Form responses 1!$AQ:$AQ"")=3)
      ),
      1
    ),
    ""0""
  ),
  ""Form not found""
)
"),"0")</f>
        <v>0</v>
      </c>
      <c r="AU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1!$E:$E"")=$B73) *
        (IMPORTRANGE(""https://docs.google.com/spreadsheets/d/161aHT6vVT3SLneTKD19N5qVWtnj_jIT8CSsOmUVKmaA/ed"&amp;"it?gid=1761053510"",
          ""Haris_Form responses 1!$AQ:$AQ"")=4)
      ),
      1
    ),
    ""0""
  ),
  ""Form not found""
)
"),"Form not found")</f>
        <v>Form not found</v>
      </c>
      <c r="AV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1!$E:$E"")=$B73) *
        (IMPORTRANGE(""https://docs.google.com/spreadsheets/d/161aHT6vVT3SLneTKD19N5qVWtnj_jIT8CSsOmUVKmaA/ed"&amp;"it?gid=1761053510"",
          ""Haris_Form responses 1!$AQ:$AQ"")=5)
      ),
      1
    ),
    ""0""
  ),
  ""Form not found""
)
"),"Form not found")</f>
        <v>Form not found</v>
      </c>
      <c r="AW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1!$E:$E"")=$B73) *
        (IMPORTRANGE(""https://docs.google.com/spreadsheets/d/161aHT6vVT3SLneTKD19N5qVWtnj_jIT8CSsOmUVKmaA/ed"&amp;"it?gid=1761053510"",
          ""Haris_Form responses 1!$AQ:$AQ"")=6)
      ),
      1
    ),
    ""0""
  ),
  ""Form not found""
)
"),"Form not found")</f>
        <v>Form not found</v>
      </c>
      <c r="AX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1!$E:$E"")=$B73) *
        (IMPORTRANGE(""https://docs.google.com/spreadsheets/d/161aHT6vVT3SLneTKD19N5qVWtnj_jIT8CSsOmUVKmaA/ed"&amp;"it?gid=1761053510"",
          ""Haris_Form responses 1!$AQ:$AQ"")=1)
      ),
      1
    ),
    ""0""
  ),
  ""Form not found""
)
"),"0")</f>
        <v>0</v>
      </c>
      <c r="AY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1!$E:$E"")=$B73) *
        (IMPORTRANGE(""https://docs.google.com/spreadsheets/d/161aHT6vVT3SLneTKD19N5qVWtnj_jIT8CSsOmUVKmaA/ed"&amp;"it?gid=1761053510"",
          ""Haris_Form responses 1!$AQ:$AQ"")=2)
      ),
      1
    ),
    ""0""
  ),
  ""Form not found""
)
"),"Form not found")</f>
        <v>Form not found</v>
      </c>
      <c r="AZ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1!$E:$E"")=$B73) *
        (IMPORTRANGE(""https://docs.google.com/spreadsheets/d/161aHT6vVT3SLneTKD19N5qVWtnj_jIT8CSsOmUVKmaA/ed"&amp;"it?gid=1761053510"",
          ""Haris_Form responses 1!$AQ:$AQ"")=3)
      ),
      1
    ),
    ""0""
  ),
  ""Form not found""
)
"),"0")</f>
        <v>0</v>
      </c>
      <c r="BA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1!$E:$E"")=$B73) *
        (IMPORTRANGE(""https://docs.google.com/spreadsheets/d/161aHT6vVT3SLneTKD19N5qVWtnj_jIT8CSsOmUVKmaA/ed"&amp;"it?gid=1761053510"",
          ""Haris_Form responses 1!$AQ:$AQ"")=4)
      ),
      1
    ),
    ""0""
  ),
  ""Form not found""
)
"),"Form not found")</f>
        <v>Form not found</v>
      </c>
      <c r="BB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1!$E:$E"")=$B73) *
        (IMPORTRANGE(""https://docs.google.com/spreadsheets/d/161aHT6vVT3SLneTKD19N5qVWtnj_jIT8CSsOmUVKmaA/ed"&amp;"it?gid=1761053510"",
          ""Haris_Form responses 1!$AQ:$AQ"")=5)
      ),
      1
    ),
    ""0""
  ),
  ""Form not found""
)
"),"Form not found")</f>
        <v>Form not found</v>
      </c>
      <c r="BC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1!$E:$E"")=$B73) *
        (IMPORTRANGE(""https://docs.google.com/spreadsheets/d/161aHT6vVT3SLneTKD19N5qVWtnj_jIT8CSsOmUVKmaA/ed"&amp;"it?gid=1761053510"",
          ""Haris_Form responses 1!$AQ:$AQ"")=6)
      ),
      1
    ),
    ""0""
  ),
  ""Form not found""
)
"),"Form not found")</f>
        <v>Form not found</v>
      </c>
      <c r="BD73" s="293"/>
    </row>
    <row r="74">
      <c r="A74" s="283" t="str">
        <f>IFERROR(__xludf.DUMMYFUNCTION("VLOOKUP($B74,IMPORTRANGE(""https://docs.google.com/spreadsheets/d/1VNXDITjs75AcgdBSW27oL1VZH31udDprJSsBcE5xlp4/edit?gid=1551188038#gid=1551188038"", ""Sheet9!$B:$E""),2,false)"),"Gujrawala")</f>
        <v>Gujrawala</v>
      </c>
      <c r="B74" s="283" t="s">
        <v>2471</v>
      </c>
      <c r="C74" s="284" t="str">
        <f>IFERROR(__xludf.DUMMYFUNCTION("VLOOKUP(TRIM($B74), IMPORTRANGE(""https://docs.google.com/spreadsheets/d/1aSOrU4PTpuBZqfitKaH1Rfww6-YOiNCKoBpPl8XBHaw/edit?gid=0#gid=0"", ""sheet3!$B:$C""), 2, FALSE)
"),"Jamia Masjid Molvi Muhammd Hussain Urdu Bazar")</f>
        <v>Jamia Masjid Molvi Muhammd Hussain Urdu Bazar</v>
      </c>
      <c r="D74" s="284" t="str">
        <f>IFERROR(__xludf.DUMMYFUNCTION("IFERROR(
  INDEX(
    FILTER(
      IMPORTRANGE(""1aSOrU4PTpuBZqfitKaH1Rfww6-YOiNCKoBpPl8XBHaw/edit?gid=0#gid=0"",""Sheet1!G:G""),
      IMPORTRANGE(""1aSOrU4PTpuBZqfitKaH1Rfww6-YOiNCKoBpPl8XBHaw/edit?gid=0#gid=0"",""Sheet1!C:C"")=$B74
    ),
    1
  ),
 "&amp;" ""Not Found""
)"),"Women Secular No Info Share")</f>
        <v>Women Secular No Info Share</v>
      </c>
      <c r="E74" s="284" t="str">
        <f>VLOOKUP(B74,'Juma Recording forms'!A:E,5,false)</f>
        <v>Molve Muhammad husain wali Urdu Bazar gujranwala </v>
      </c>
      <c r="F74" s="284" t="str">
        <f>IFERROR(__xludf.DUMMYFUNCTION("IFERROR(
  INDEX(
    FILTER(
      IMPORTRANGE(""1Cxrhp3-_-HS7v9uuqQliiIfrmMP4VaFoDNDWyUFy2J8/edit?gid=0#gid=0"",""Sheet1!Q:Q""),
      IMPORTRANGE(""1Cxrhp3-_-HS7v9uuqQliiIfrmMP4VaFoDNDWyUFy2J8/edit?gid=0#gid=0"",""Sheet1!K:K"")=$B74
    ),
    1
  ),
 "&amp;" ""Not Found""
)"),"Not Found")</f>
        <v>Not Found</v>
      </c>
      <c r="G74" s="284"/>
      <c r="H74" s="284"/>
      <c r="I74" s="285"/>
      <c r="J74" s="286">
        <v>2.0</v>
      </c>
      <c r="K74" s="287" t="str">
        <f>VLOOKUP($B74,'Mosque Locations'!$A:$E,3,FALSE)
</f>
        <v>https://maps.google.com/maps?q=32.166809%2C74.1825237&amp;z=17&amp;hl=en</v>
      </c>
      <c r="L74" s="286">
        <f>VLOOKUP($B74,'Mosque Locations'!$A:$E,4,FALSE)
</f>
        <v>32.16681</v>
      </c>
      <c r="M74" s="286">
        <f>VLOOKUP($B74,'Mosque Locations'!$A:$E,5,false)</f>
        <v>74.18252</v>
      </c>
      <c r="N74" s="288"/>
      <c r="O74" s="288"/>
      <c r="P74" s="288"/>
      <c r="Q74" s="289" t="str">
        <f>IFERROR(__xludf.DUMMYFUNCTION("IFERROR(
  INDEX(
    FILTER(
      IMPORTRANGE(""1DccNxjBgurEr0ABkI_rBagJT5phB5HaHG5N_mTm_BiA/edit?gid=1382299152#gid=1382299152"",""Form Responses 1!T:T""),
      IMPORTRANGE(""1DccNxjBgurEr0ABkI_rBagJT5phB5HaHG5N_mTm_BiA/edit?gid=1382299152#gid=1382299"&amp;"152"",""Form Responses 1!E:E"")=$B74
    ),
    1
  ),
  ""Not Found""
)"),"https://drive.google.com/open?id=1Ba2nKmzbU-HfZk33sWQkj-9UgLJcPuzT")</f>
        <v>https://drive.google.com/open?id=1Ba2nKmzbU-HfZk33sWQkj-9UgLJcPuzT</v>
      </c>
      <c r="R74" s="289" t="str">
        <f>IFERROR(__xludf.DUMMYFUNCTION("IFERROR(
  INDEX(
    FILTER(
      IMPORTRANGE(""1DccNxjBgurEr0ABkI_rBagJT5phB5HaHG5N_mTm_BiA/edit?gid=1382299152#gid=1382299152"",""Form Responses 1!S:S""),
      IMPORTRANGE(""1DccNxjBgurEr0ABkI_rBagJT5phB5HaHG5N_mTm_BiA/edit?gid=1382299152#gid=1382299"&amp;"152"",""Form Responses 1!E:E"")=$B74
    ),
    1
  ),
  ""Not Found""
)"),"https://drive.google.com/open?id=1alHwS3rg5ib6W9yGt5JvE6v3TrAVp-4I")</f>
        <v>https://drive.google.com/open?id=1alHwS3rg5ib6W9yGt5JvE6v3TrAVp-4I</v>
      </c>
      <c r="S74" s="285"/>
      <c r="T74" s="290" t="str">
        <f>VLOOKUP($B74,'Master Tracker'!$D:$E,2,false)</f>
        <v>https://drive.google.com/open?id=1VP_QFVms_N05ghyz_5h2tlDtiJgfLdWU</v>
      </c>
      <c r="U74" s="291" t="str">
        <f>VLOOKUP($B74,'Master Tracker'!$D:$T,4,FALSE)
</f>
        <v>https://drive.google.com/open?id=1mU-CITH0w9PJuUSshQvwtV0iKCN1XyO6</v>
      </c>
      <c r="V74" s="290" t="str">
        <f>VLOOKUP($B74,'Master Tracker'!$D:$T,5,false)</f>
        <v>https://drive.google.com/open?id=1B4Lq_61jZ_c93N0vxrOaHaWzJlXymyjh</v>
      </c>
      <c r="W74" s="291" t="str">
        <f>VLOOKUP($B74,'Master Tracker'!$D:$T,7,false)</f>
        <v>https://drive.google.com/open?id=1qvi6PrTkq7wIGdFkd4sMIPQGgoOiXD56</v>
      </c>
      <c r="X74" s="284" t="str">
        <f>VLOOKUP($B74,'Master Tracker'!$D:$T,8,false)</f>
        <v>https://drive.google.com/open?id=1K510sP4C9TZ8ZXT6MH25qs7n3V_j_VNr, https://drive.google.com/open?id=1gHNQMAQWI5OHXtQpuBmvrCBzAMZocYr_</v>
      </c>
      <c r="Y74" s="291" t="str">
        <f>VLOOKUP($B74,'Master Tracker'!$D:$T,10,false)</f>
        <v>https://drive.google.com/open?id=1VKOzcljp7Z6lrHA2Pm6z_RJ4OsulYAmz</v>
      </c>
      <c r="Z74" s="284" t="str">
        <f>VLOOKUP($B74,'Master Tracker'!$D:$T,11,false)</f>
        <v>Not Found</v>
      </c>
      <c r="AA74" s="292" t="str">
        <f>VLOOKUP($B74,'Master Tracker'!$D:$T,13,false)</f>
        <v>Not Found</v>
      </c>
      <c r="AB74" s="284" t="str">
        <f>VLOOKUP($B74,'Master Tracker'!$D:$T,14,false)</f>
        <v>Not Found</v>
      </c>
      <c r="AC74" s="292" t="str">
        <f>VLOOKUP($B74,'Master Tracker'!$D:$T,16,false)</f>
        <v>Not Found</v>
      </c>
      <c r="AD74" s="292" t="str">
        <f>VLOOKUP($B74,'Master Tracker'!$D:$T,17,false)</f>
        <v>Not Found</v>
      </c>
      <c r="AE74" s="292" t="str">
        <f>VLOOKUP($B74,'Master Tracker'!$D:$V,19,false)</f>
        <v>Not Found</v>
      </c>
      <c r="AF74" s="292">
        <f>IFERROR(__xludf.DUMMYFUNCTION("IFERROR(
  INDEX(
    FILTER(
      'Juma Recording forms'!$G:$G,
      TRIM('Juma Recording forms'!$F:$F) = TRIM($B74),
      'Juma Recording forms'!$AA:$AA = 1
    ),
    1
  ),
  ""Not Found""
)"),140.0)</f>
        <v>140</v>
      </c>
      <c r="AG74" s="292">
        <f>IFERROR(__xludf.DUMMYFUNCTION("IFERROR(
  INDEX(
    FILTER(
      'Juma Recording forms'!$G:$G,
      TRIM('Juma Recording forms'!$F:$F) = TRIM($B74),
      'Juma Recording forms'!$AA:$AA = 2
    ),
    1
  ),
  ""Not Found""
)"),144.0)</f>
        <v>144</v>
      </c>
      <c r="AH74" s="292">
        <f>IFERROR(__xludf.DUMMYFUNCTION("IFERROR(
  INDEX(
    FILTER(
      'Juma Recording forms'!$G:$G,
      TRIM('Juma Recording forms'!$F:$F) = TRIM($B74),
      'Juma Recording forms'!$AA:$AA = 3
    ),
    1
  ),
  ""Not Found""
)"),135.0)</f>
        <v>135</v>
      </c>
      <c r="AI74" s="292" t="str">
        <f>IFERROR(__xludf.DUMMYFUNCTION("IFERROR(
  INDEX(
    FILTER(
      'Juma Recording forms'!$G:$G,
      TRIM('Juma Recording forms'!$F:$F) = TRIM($B74),
      'Juma Recording forms'!$AA:$AA = 4
    ),
    1
  ),
  ""Not Found""
)"),"Not Found")</f>
        <v>Not Found</v>
      </c>
      <c r="AJ74" s="292" t="str">
        <f>IFERROR(__xludf.DUMMYFUNCTION("IFERROR(
  INDEX(
    FILTER(
      'Juma Recording forms'!$G:$G,
      TRIM('Juma Recording forms'!$F:$F) = TRIM($B74),
      'Juma Recording forms'!$AA:$AA = 5
    ),
    1
  ),
  ""Not Found""
)"),"Not Found")</f>
        <v>Not Found</v>
      </c>
      <c r="AK74" s="292" t="str">
        <f>IFERROR(__xludf.DUMMYFUNCTION("IFERROR(
  INDEX(
    FILTER(
      'Juma Recording forms'!$G:$G,
      TRIM('Juma Recording forms'!$F:$F) = TRIM($B74),
      'Juma Recording forms'!$AA:$AA = 6
    ),
    1
  ),
  ""Not Found""
)"),"Not Found")</f>
        <v>Not Found</v>
      </c>
      <c r="AL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1!$E:$E"")=$B74) *
        (IMPORTRANGE(""https://docs.google.com/spreadsheets/d/161aHT6vVT3SLneTKD19N5qVWtnj_jIT8CSsOmUVKmaA/ed"&amp;"it?gid=1761053510"",
          ""Haris_Form responses 1!$AQ:$AQ"")=1)
      ),
      1
    ),
    ""0""
  ),
  ""Form not found""
)
"),"0")</f>
        <v>0</v>
      </c>
      <c r="AM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1!$E:$E"")=$B74) *
        (IMPORTRANGE(""https://docs.google.com/spreadsheets/d/161aHT6vVT3SLneTKD19N5qVWtnj_jIT8CSsOmUVKmaA/ed"&amp;"it?gid=1761053510"",
          ""Haris_Form responses 1!$AQ:$AQ"")=2)
      ),
      1
    ),
    ""0""
  ),
  ""Form not found""
)
"),"0")</f>
        <v>0</v>
      </c>
      <c r="AN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1!$E:$E"")=$B74) *
        (IMPORTRANGE(""https://docs.google.com/spreadsheets/d/161aHT6vVT3SLneTKD19N5qVWtnj_jIT8CSsOmUVKmaA/ed"&amp;"it?gid=1761053510"",
          ""Haris_Form responses 1!$AQ:$AQ"")=3)
      ),
      1
    ),
    ""0""
  ),
  ""Form not found""
)
"),"0")</f>
        <v>0</v>
      </c>
      <c r="AO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1!$E:$E"")=$B74) *
        (IMPORTRANGE(""https://docs.google.com/spreadsheets/d/161aHT6vVT3SLneTKD19N5qVWtnj_jIT8CSsOmUVKmaA/ed"&amp;"it?gid=1761053510"",
          ""Haris_Form responses 1!$AQ:$AQ"")=4)
      ),
      1
    ),
    ""0""
  ),
  ""Form not found""
)
"),"Form not found")</f>
        <v>Form not found</v>
      </c>
      <c r="AP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1!$E:$E"")=$B74) *
        (IMPORTRANGE(""https://docs.google.com/spreadsheets/d/161aHT6vVT3SLneTKD19N5qVWtnj_jIT8CSsOmUVKmaA/ed"&amp;"it?gid=1761053510"",
          ""Haris_Form responses 1!$AQ:$AQ"")=5)
      ),
      1
    ),
    ""0""
  ),
  ""Form not found""
)
"),"Form not found")</f>
        <v>Form not found</v>
      </c>
      <c r="AQ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1!$E:$E"")=$B74) *
        (IMPORTRANGE(""https://docs.google.com/spreadsheets/d/161aHT6vVT3SLneTKD19N5qVWtnj_jIT8CSsOmUVKmaA/ed"&amp;"it?gid=1761053510"",
          ""Haris_Form responses 1!$AQ:$AQ"")=6)
      ),
      1
    ),
    ""0""
  ),
  ""Form not found""
)
"),"Form not found")</f>
        <v>Form not found</v>
      </c>
      <c r="AR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1!$E:$E"")=$B74) *
        (IMPORTRANGE(""https://docs.google.com/spreadsheets/d/161aHT6vVT3SLneTKD19N5qVWtnj_jIT8CSsOmUVKmaA/ed"&amp;"it?gid=1761053510"",
          ""Haris_Form responses 1!$AQ:$AQ"")=1)
      ),
      1
    ),
    ""0""
  ),
  ""Form not found""
)
"),"0")</f>
        <v>0</v>
      </c>
      <c r="AS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1!$E:$E"")=$B74) *
        (IMPORTRANGE(""https://docs.google.com/spreadsheets/d/161aHT6vVT3SLneTKD19N5qVWtnj_jIT8CSsOmUVKmaA/ed"&amp;"it?gid=1761053510"",
          ""Haris_Form responses 1!$AQ:$AQ"")=2)
      ),
      1
    ),
    ""0""
  ),
  ""Form not found""
)
"),"2")</f>
        <v>2</v>
      </c>
      <c r="AT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1!$E:$E"")=$B74) *
        (IMPORTRANGE(""https://docs.google.com/spreadsheets/d/161aHT6vVT3SLneTKD19N5qVWtnj_jIT8CSsOmUVKmaA/ed"&amp;"it?gid=1761053510"",
          ""Haris_Form responses 1!$AQ:$AQ"")=3)
      ),
      1
    ),
    ""0""
  ),
  ""Form not found""
)
"),"0")</f>
        <v>0</v>
      </c>
      <c r="AU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1!$E:$E"")=$B74) *
        (IMPORTRANGE(""https://docs.google.com/spreadsheets/d/161aHT6vVT3SLneTKD19N5qVWtnj_jIT8CSsOmUVKmaA/ed"&amp;"it?gid=1761053510"",
          ""Haris_Form responses 1!$AQ:$AQ"")=4)
      ),
      1
    ),
    ""0""
  ),
  ""Form not found""
)
"),"Form not found")</f>
        <v>Form not found</v>
      </c>
      <c r="AV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1!$E:$E"")=$B74) *
        (IMPORTRANGE(""https://docs.google.com/spreadsheets/d/161aHT6vVT3SLneTKD19N5qVWtnj_jIT8CSsOmUVKmaA/ed"&amp;"it?gid=1761053510"",
          ""Haris_Form responses 1!$AQ:$AQ"")=5)
      ),
      1
    ),
    ""0""
  ),
  ""Form not found""
)
"),"Form not found")</f>
        <v>Form not found</v>
      </c>
      <c r="AW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1!$E:$E"")=$B74) *
        (IMPORTRANGE(""https://docs.google.com/spreadsheets/d/161aHT6vVT3SLneTKD19N5qVWtnj_jIT8CSsOmUVKmaA/ed"&amp;"it?gid=1761053510"",
          ""Haris_Form responses 1!$AQ:$AQ"")=6)
      ),
      1
    ),
    ""0""
  ),
  ""Form not found""
)
"),"Form not found")</f>
        <v>Form not found</v>
      </c>
      <c r="AX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1!$E:$E"")=$B74) *
        (IMPORTRANGE(""https://docs.google.com/spreadsheets/d/161aHT6vVT3SLneTKD19N5qVWtnj_jIT8CSsOmUVKmaA/ed"&amp;"it?gid=1761053510"",
          ""Haris_Form responses 1!$AQ:$AQ"")=1)
      ),
      1
    ),
    ""0""
  ),
  ""Form not found""
)
"),"0")</f>
        <v>0</v>
      </c>
      <c r="AY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1!$E:$E"")=$B74) *
        (IMPORTRANGE(""https://docs.google.com/spreadsheets/d/161aHT6vVT3SLneTKD19N5qVWtnj_jIT8CSsOmUVKmaA/ed"&amp;"it?gid=1761053510"",
          ""Haris_Form responses 1!$AQ:$AQ"")=2)
      ),
      1
    ),
    ""0""
  ),
  ""Form not found""
)
"),"0")</f>
        <v>0</v>
      </c>
      <c r="AZ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1!$E:$E"")=$B74) *
        (IMPORTRANGE(""https://docs.google.com/spreadsheets/d/161aHT6vVT3SLneTKD19N5qVWtnj_jIT8CSsOmUVKmaA/ed"&amp;"it?gid=1761053510"",
          ""Haris_Form responses 1!$AQ:$AQ"")=3)
      ),
      1
    ),
    ""0""
  ),
  ""Form not found""
)
"),"0")</f>
        <v>0</v>
      </c>
      <c r="BA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1!$E:$E"")=$B74) *
        (IMPORTRANGE(""https://docs.google.com/spreadsheets/d/161aHT6vVT3SLneTKD19N5qVWtnj_jIT8CSsOmUVKmaA/ed"&amp;"it?gid=1761053510"",
          ""Haris_Form responses 1!$AQ:$AQ"")=4)
      ),
      1
    ),
    ""0""
  ),
  ""Form not found""
)
"),"Form not found")</f>
        <v>Form not found</v>
      </c>
      <c r="BB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1!$E:$E"")=$B74) *
        (IMPORTRANGE(""https://docs.google.com/spreadsheets/d/161aHT6vVT3SLneTKD19N5qVWtnj_jIT8CSsOmUVKmaA/ed"&amp;"it?gid=1761053510"",
          ""Haris_Form responses 1!$AQ:$AQ"")=5)
      ),
      1
    ),
    ""0""
  ),
  ""Form not found""
)
"),"Form not found")</f>
        <v>Form not found</v>
      </c>
      <c r="BC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1!$E:$E"")=$B74) *
        (IMPORTRANGE(""https://docs.google.com/spreadsheets/d/161aHT6vVT3SLneTKD19N5qVWtnj_jIT8CSsOmUVKmaA/ed"&amp;"it?gid=1761053510"",
          ""Haris_Form responses 1!$AQ:$AQ"")=6)
      ),
      1
    ),
    ""0""
  ),
  ""Form not found""
)
"),"Form not found")</f>
        <v>Form not found</v>
      </c>
      <c r="BD74" s="293"/>
    </row>
    <row r="75">
      <c r="A75" s="283" t="str">
        <f>IFERROR(__xludf.DUMMYFUNCTION("VLOOKUP($B75,IMPORTRANGE(""https://docs.google.com/spreadsheets/d/1VNXDITjs75AcgdBSW27oL1VZH31udDprJSsBcE5xlp4/edit?gid=1551188038#gid=1551188038"", ""Sheet9!$B:$E""),2,false)"),"Gujrawala")</f>
        <v>Gujrawala</v>
      </c>
      <c r="B75" s="283" t="s">
        <v>2154</v>
      </c>
      <c r="C75" s="284" t="str">
        <f>IFERROR(__xludf.DUMMYFUNCTION("VLOOKUP(TRIM($B75), IMPORTRANGE(""https://docs.google.com/spreadsheets/d/1aSOrU4PTpuBZqfitKaH1Rfww6-YOiNCKoBpPl8XBHaw/edit?gid=0#gid=0"", ""sheet3!$B:$C""), 2, FALSE)
"),"Jamia Masjid Qudsia Rizwaiya Civil Line Gujranwala")</f>
        <v>Jamia Masjid Qudsia Rizwaiya Civil Line Gujranwala</v>
      </c>
      <c r="D75" s="284" t="str">
        <f>IFERROR(__xludf.DUMMYFUNCTION("IFERROR(
  INDEX(
    FILTER(
      IMPORTRANGE(""1aSOrU4PTpuBZqfitKaH1Rfww6-YOiNCKoBpPl8XBHaw/edit?gid=0#gid=0"",""Sheet1!G:G""),
      IMPORTRANGE(""1aSOrU4PTpuBZqfitKaH1Rfww6-YOiNCKoBpPl8XBHaw/edit?gid=0#gid=0"",""Sheet1!C:C"")=$B75
    ),
    1
  ),
 "&amp;" ""Not Found""
)"),"Women Secular Info Share")</f>
        <v>Women Secular Info Share</v>
      </c>
      <c r="E75" s="284" t="str">
        <f>VLOOKUP(B75,'Juma Recording forms'!A:E,5,false)</f>
        <v>JAMIA MASJID QUDOOSIA ROZVIYA CIVIL LINE </v>
      </c>
      <c r="F75" s="284" t="str">
        <f>IFERROR(__xludf.DUMMYFUNCTION("IFERROR(
  INDEX(
    FILTER(
      IMPORTRANGE(""1Cxrhp3-_-HS7v9uuqQliiIfrmMP4VaFoDNDWyUFy2J8/edit?gid=0#gid=0"",""Sheet1!Q:Q""),
      IMPORTRANGE(""1Cxrhp3-_-HS7v9uuqQliiIfrmMP4VaFoDNDWyUFy2J8/edit?gid=0#gid=0"",""Sheet1!K:K"")=$B75
    ),
    1
  ),
 "&amp;" ""Not Found""
)"),"Not Found")</f>
        <v>Not Found</v>
      </c>
      <c r="G75" s="284"/>
      <c r="H75" s="284"/>
      <c r="I75" s="285"/>
      <c r="J75" s="286">
        <v>2.0</v>
      </c>
      <c r="K75" s="287" t="str">
        <f>VLOOKUP($B75,'Mosque Locations'!$A:$E,3,FALSE)
</f>
        <v>https://maps.google.com/maps?q=32.1650727%2C74.1907428&amp;z=17&amp;hl=en</v>
      </c>
      <c r="L75" s="286">
        <f>VLOOKUP($B75,'Mosque Locations'!$A:$E,4,FALSE)
</f>
        <v>32.16507</v>
      </c>
      <c r="M75" s="286">
        <f>VLOOKUP($B75,'Mosque Locations'!$A:$E,5,false)</f>
        <v>74.19074</v>
      </c>
      <c r="N75" s="288"/>
      <c r="O75" s="288"/>
      <c r="P75" s="288"/>
      <c r="Q75" s="289" t="str">
        <f>IFERROR(__xludf.DUMMYFUNCTION("IFERROR(
  INDEX(
    FILTER(
      IMPORTRANGE(""1DccNxjBgurEr0ABkI_rBagJT5phB5HaHG5N_mTm_BiA/edit?gid=1382299152#gid=1382299152"",""Form Responses 1!T:T""),
      IMPORTRANGE(""1DccNxjBgurEr0ABkI_rBagJT5phB5HaHG5N_mTm_BiA/edit?gid=1382299152#gid=1382299"&amp;"152"",""Form Responses 1!E:E"")=$B75
    ),
    1
  ),
  ""Not Found""
)"),"https://drive.google.com/open?id=1PSfRpZvj3CFxcIyQ6f5zHTjW40FLlK0a")</f>
        <v>https://drive.google.com/open?id=1PSfRpZvj3CFxcIyQ6f5zHTjW40FLlK0a</v>
      </c>
      <c r="R75" s="296" t="str">
        <f>IFERROR(__xludf.DUMMYFUNCTION("IFERROR(
  INDEX(
    FILTER(
      IMPORTRANGE(""1DccNxjBgurEr0ABkI_rBagJT5phB5HaHG5N_mTm_BiA/edit?gid=1382299152#gid=1382299152"",""Form Responses 1!S:S""),
      IMPORTRANGE(""1DccNxjBgurEr0ABkI_rBagJT5phB5HaHG5N_mTm_BiA/edit?gid=1382299152#gid=1382299"&amp;"152"",""Form Responses 1!E:E"")=$B75
    ),
    1
  ),
  ""Not Found""
)"),"https://drive.google.com/open?id=1RbpkD2I6UMTAxWOskKDijKUwCF7Xv2pi")</f>
        <v>https://drive.google.com/open?id=1RbpkD2I6UMTAxWOskKDijKUwCF7Xv2pi</v>
      </c>
      <c r="S75" s="285"/>
      <c r="T75" s="290" t="str">
        <f>VLOOKUP($B75,'Master Tracker'!$D:$E,2,false)</f>
        <v>https://drive.google.com/open?id=1Aq6bQybetF-Ds6Rj9_EoaZkt3L0hhoBz</v>
      </c>
      <c r="U75" s="291" t="str">
        <f>VLOOKUP($B75,'Master Tracker'!$D:$T,4,FALSE)
</f>
        <v>https://drive.google.com/open?id=1KMURoEIE8d22kC1ckgPB3X97DQn2DaSy</v>
      </c>
      <c r="V75" s="290" t="str">
        <f>VLOOKUP($B75,'Master Tracker'!$D:$T,5,false)</f>
        <v>https://drive.google.com/open?id=1yPVeMI2kifj5qc4NNKsT8k-fj5jS4Kcm</v>
      </c>
      <c r="W75" s="291" t="str">
        <f>VLOOKUP($B75,'Master Tracker'!$D:$T,7,false)</f>
        <v>https://drive.google.com/open?id=17UoJQqE-WXl5MMwx59zyBeUAWylewC6R</v>
      </c>
      <c r="X75" s="290" t="str">
        <f>VLOOKUP($B75,'Master Tracker'!$D:$T,8,false)</f>
        <v>https://drive.google.com/open?id=1XAYBv4JERF96P_u_f_GGQLspUquiQbGH</v>
      </c>
      <c r="Y75" s="291" t="str">
        <f>VLOOKUP($B75,'Master Tracker'!$D:$T,10,false)</f>
        <v>https://drive.google.com/open?id=1oulwJYSCZwFOlwirE9MDGWVffxhj3Typ</v>
      </c>
      <c r="Z75" s="284" t="str">
        <f>VLOOKUP($B75,'Master Tracker'!$D:$T,11,false)</f>
        <v>Not Found</v>
      </c>
      <c r="AA75" s="292" t="str">
        <f>VLOOKUP($B75,'Master Tracker'!$D:$T,13,false)</f>
        <v>Not Found</v>
      </c>
      <c r="AB75" s="284" t="str">
        <f>VLOOKUP($B75,'Master Tracker'!$D:$T,14,false)</f>
        <v>Not Found</v>
      </c>
      <c r="AC75" s="292" t="str">
        <f>VLOOKUP($B75,'Master Tracker'!$D:$T,16,false)</f>
        <v>Not Found</v>
      </c>
      <c r="AD75" s="292" t="str">
        <f>VLOOKUP($B75,'Master Tracker'!$D:$T,17,false)</f>
        <v>Not Found</v>
      </c>
      <c r="AE75" s="292" t="str">
        <f>VLOOKUP($B75,'Master Tracker'!$D:$V,19,false)</f>
        <v>Not Found</v>
      </c>
      <c r="AF75" s="292">
        <f>IFERROR(__xludf.DUMMYFUNCTION("IFERROR(
  INDEX(
    FILTER(
      'Juma Recording forms'!$G:$G,
      TRIM('Juma Recording forms'!$F:$F) = TRIM($B75),
      'Juma Recording forms'!$AA:$AA = 1
    ),
    1
  ),
  ""Not Found""
)"),182.0)</f>
        <v>182</v>
      </c>
      <c r="AG75" s="292">
        <f>IFERROR(__xludf.DUMMYFUNCTION("IFERROR(
  INDEX(
    FILTER(
      'Juma Recording forms'!$G:$G,
      TRIM('Juma Recording forms'!$F:$F) = TRIM($B75),
      'Juma Recording forms'!$AA:$AA = 2
    ),
    1
  ),
  ""Not Found""
)"),180.0)</f>
        <v>180</v>
      </c>
      <c r="AH75" s="292">
        <f>IFERROR(__xludf.DUMMYFUNCTION("IFERROR(
  INDEX(
    FILTER(
      'Juma Recording forms'!$G:$G,
      TRIM('Juma Recording forms'!$F:$F) = TRIM($B75),
      'Juma Recording forms'!$AA:$AA = 3
    ),
    1
  ),
  ""Not Found""
)"),168.0)</f>
        <v>168</v>
      </c>
      <c r="AI75" s="292" t="str">
        <f>IFERROR(__xludf.DUMMYFUNCTION("IFERROR(
  INDEX(
    FILTER(
      'Juma Recording forms'!$G:$G,
      TRIM('Juma Recording forms'!$F:$F) = TRIM($B75),
      'Juma Recording forms'!$AA:$AA = 4
    ),
    1
  ),
  ""Not Found""
)"),"Not Found")</f>
        <v>Not Found</v>
      </c>
      <c r="AJ75" s="292" t="str">
        <f>IFERROR(__xludf.DUMMYFUNCTION("IFERROR(
  INDEX(
    FILTER(
      'Juma Recording forms'!$G:$G,
      TRIM('Juma Recording forms'!$F:$F) = TRIM($B75),
      'Juma Recording forms'!$AA:$AA = 5
    ),
    1
  ),
  ""Not Found""
)"),"Not Found")</f>
        <v>Not Found</v>
      </c>
      <c r="AK75" s="292" t="str">
        <f>IFERROR(__xludf.DUMMYFUNCTION("IFERROR(
  INDEX(
    FILTER(
      'Juma Recording forms'!$G:$G,
      TRIM('Juma Recording forms'!$F:$F) = TRIM($B75),
      'Juma Recording forms'!$AA:$AA = 6
    ),
    1
  ),
  ""Not Found""
)"),"Not Found")</f>
        <v>Not Found</v>
      </c>
      <c r="AL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1!$E:$E"")=$B75) *
        (IMPORTRANGE(""https://docs.google.com/spreadsheets/d/161aHT6vVT3SLneTKD19N5qVWtnj_jIT8CSsOmUVKmaA/ed"&amp;"it?gid=1761053510"",
          ""Haris_Form responses 1!$AQ:$AQ"")=1)
      ),
      1
    ),
    ""0""
  ),
  ""Form not found""
)
"),"0")</f>
        <v>0</v>
      </c>
      <c r="AM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1!$E:$E"")=$B75) *
        (IMPORTRANGE(""https://docs.google.com/spreadsheets/d/161aHT6vVT3SLneTKD19N5qVWtnj_jIT8CSsOmUVKmaA/ed"&amp;"it?gid=1761053510"",
          ""Haris_Form responses 1!$AQ:$AQ"")=2)
      ),
      1
    ),
    ""0""
  ),
  ""Form not found""
)
"),"10")</f>
        <v>10</v>
      </c>
      <c r="AN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1!$E:$E"")=$B75) *
        (IMPORTRANGE(""https://docs.google.com/spreadsheets/d/161aHT6vVT3SLneTKD19N5qVWtnj_jIT8CSsOmUVKmaA/ed"&amp;"it?gid=1761053510"",
          ""Haris_Form responses 1!$AQ:$AQ"")=3)
      ),
      1
    ),
    ""0""
  ),
  ""Form not found""
)
"),"0")</f>
        <v>0</v>
      </c>
      <c r="AO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1!$E:$E"")=$B75) *
        (IMPORTRANGE(""https://docs.google.com/spreadsheets/d/161aHT6vVT3SLneTKD19N5qVWtnj_jIT8CSsOmUVKmaA/ed"&amp;"it?gid=1761053510"",
          ""Haris_Form responses 1!$AQ:$AQ"")=4)
      ),
      1
    ),
    ""0""
  ),
  ""Form not found""
)
"),"Form not found")</f>
        <v>Form not found</v>
      </c>
      <c r="AP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1!$E:$E"")=$B75) *
        (IMPORTRANGE(""https://docs.google.com/spreadsheets/d/161aHT6vVT3SLneTKD19N5qVWtnj_jIT8CSsOmUVKmaA/ed"&amp;"it?gid=1761053510"",
          ""Haris_Form responses 1!$AQ:$AQ"")=5)
      ),
      1
    ),
    ""0""
  ),
  ""Form not found""
)
"),"Form not found")</f>
        <v>Form not found</v>
      </c>
      <c r="AQ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1!$E:$E"")=$B75) *
        (IMPORTRANGE(""https://docs.google.com/spreadsheets/d/161aHT6vVT3SLneTKD19N5qVWtnj_jIT8CSsOmUVKmaA/ed"&amp;"it?gid=1761053510"",
          ""Haris_Form responses 1!$AQ:$AQ"")=6)
      ),
      1
    ),
    ""0""
  ),
  ""Form not found""
)
"),"Form not found")</f>
        <v>Form not found</v>
      </c>
      <c r="AR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1!$E:$E"")=$B75) *
        (IMPORTRANGE(""https://docs.google.com/spreadsheets/d/161aHT6vVT3SLneTKD19N5qVWtnj_jIT8CSsOmUVKmaA/ed"&amp;"it?gid=1761053510"",
          ""Haris_Form responses 1!$AQ:$AQ"")=1)
      ),
      1
    ),
    ""0""
  ),
  ""Form not found""
)
"),"0")</f>
        <v>0</v>
      </c>
      <c r="AS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1!$E:$E"")=$B75) *
        (IMPORTRANGE(""https://docs.google.com/spreadsheets/d/161aHT6vVT3SLneTKD19N5qVWtnj_jIT8CSsOmUVKmaA/ed"&amp;"it?gid=1761053510"",
          ""Haris_Form responses 1!$AQ:$AQ"")=2)
      ),
      1
    ),
    ""0""
  ),
  ""Form not found""
)
"),"0")</f>
        <v>0</v>
      </c>
      <c r="AT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1!$E:$E"")=$B75) *
        (IMPORTRANGE(""https://docs.google.com/spreadsheets/d/161aHT6vVT3SLneTKD19N5qVWtnj_jIT8CSsOmUVKmaA/ed"&amp;"it?gid=1761053510"",
          ""Haris_Form responses 1!$AQ:$AQ"")=3)
      ),
      1
    ),
    ""0""
  ),
  ""Form not found""
)
"),"0")</f>
        <v>0</v>
      </c>
      <c r="AU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1!$E:$E"")=$B75) *
        (IMPORTRANGE(""https://docs.google.com/spreadsheets/d/161aHT6vVT3SLneTKD19N5qVWtnj_jIT8CSsOmUVKmaA/ed"&amp;"it?gid=1761053510"",
          ""Haris_Form responses 1!$AQ:$AQ"")=4)
      ),
      1
    ),
    ""0""
  ),
  ""Form not found""
)
"),"Form not found")</f>
        <v>Form not found</v>
      </c>
      <c r="AV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1!$E:$E"")=$B75) *
        (IMPORTRANGE(""https://docs.google.com/spreadsheets/d/161aHT6vVT3SLneTKD19N5qVWtnj_jIT8CSsOmUVKmaA/ed"&amp;"it?gid=1761053510"",
          ""Haris_Form responses 1!$AQ:$AQ"")=5)
      ),
      1
    ),
    ""0""
  ),
  ""Form not found""
)
"),"Form not found")</f>
        <v>Form not found</v>
      </c>
      <c r="AW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1!$E:$E"")=$B75) *
        (IMPORTRANGE(""https://docs.google.com/spreadsheets/d/161aHT6vVT3SLneTKD19N5qVWtnj_jIT8CSsOmUVKmaA/ed"&amp;"it?gid=1761053510"",
          ""Haris_Form responses 1!$AQ:$AQ"")=6)
      ),
      1
    ),
    ""0""
  ),
  ""Form not found""
)
"),"Form not found")</f>
        <v>Form not found</v>
      </c>
      <c r="AX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1!$E:$E"")=$B75) *
        (IMPORTRANGE(""https://docs.google.com/spreadsheets/d/161aHT6vVT3SLneTKD19N5qVWtnj_jIT8CSsOmUVKmaA/ed"&amp;"it?gid=1761053510"",
          ""Haris_Form responses 1!$AQ:$AQ"")=1)
      ),
      1
    ),
    ""0""
  ),
  ""Form not found""
)
"),"0")</f>
        <v>0</v>
      </c>
      <c r="AY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1!$E:$E"")=$B75) *
        (IMPORTRANGE(""https://docs.google.com/spreadsheets/d/161aHT6vVT3SLneTKD19N5qVWtnj_jIT8CSsOmUVKmaA/ed"&amp;"it?gid=1761053510"",
          ""Haris_Form responses 1!$AQ:$AQ"")=2)
      ),
      1
    ),
    ""0""
  ),
  ""Form not found""
)
"),"10")</f>
        <v>10</v>
      </c>
      <c r="AZ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1!$E:$E"")=$B75) *
        (IMPORTRANGE(""https://docs.google.com/spreadsheets/d/161aHT6vVT3SLneTKD19N5qVWtnj_jIT8CSsOmUVKmaA/ed"&amp;"it?gid=1761053510"",
          ""Haris_Form responses 1!$AQ:$AQ"")=3)
      ),
      1
    ),
    ""0""
  ),
  ""Form not found""
)
"),"0")</f>
        <v>0</v>
      </c>
      <c r="BA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1!$E:$E"")=$B75) *
        (IMPORTRANGE(""https://docs.google.com/spreadsheets/d/161aHT6vVT3SLneTKD19N5qVWtnj_jIT8CSsOmUVKmaA/ed"&amp;"it?gid=1761053510"",
          ""Haris_Form responses 1!$AQ:$AQ"")=4)
      ),
      1
    ),
    ""0""
  ),
  ""Form not found""
)
"),"Form not found")</f>
        <v>Form not found</v>
      </c>
      <c r="BB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1!$E:$E"")=$B75) *
        (IMPORTRANGE(""https://docs.google.com/spreadsheets/d/161aHT6vVT3SLneTKD19N5qVWtnj_jIT8CSsOmUVKmaA/ed"&amp;"it?gid=1761053510"",
          ""Haris_Form responses 1!$AQ:$AQ"")=5)
      ),
      1
    ),
    ""0""
  ),
  ""Form not found""
)
"),"Form not found")</f>
        <v>Form not found</v>
      </c>
      <c r="BC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1!$E:$E"")=$B75) *
        (IMPORTRANGE(""https://docs.google.com/spreadsheets/d/161aHT6vVT3SLneTKD19N5qVWtnj_jIT8CSsOmUVKmaA/ed"&amp;"it?gid=1761053510"",
          ""Haris_Form responses 1!$AQ:$AQ"")=6)
      ),
      1
    ),
    ""0""
  ),
  ""Form not found""
)
"),"Form not found")</f>
        <v>Form not found</v>
      </c>
      <c r="BD75" s="293"/>
    </row>
    <row r="76">
      <c r="A76" s="283" t="str">
        <f>IFERROR(__xludf.DUMMYFUNCTION("VLOOKUP($B76,IMPORTRANGE(""https://docs.google.com/spreadsheets/d/1VNXDITjs75AcgdBSW27oL1VZH31udDprJSsBcE5xlp4/edit?gid=1551188038#gid=1551188038"", ""Sheet9!$B:$E""),2,false)"),"Gujrawala")</f>
        <v>Gujrawala</v>
      </c>
      <c r="B76" s="283" t="s">
        <v>2100</v>
      </c>
      <c r="C76" s="284" t="str">
        <f>IFERROR(__xludf.DUMMYFUNCTION("VLOOKUP(TRIM($B76), IMPORTRANGE(""https://docs.google.com/spreadsheets/d/1aSOrU4PTpuBZqfitKaH1Rfww6-YOiNCKoBpPl8XBHaw/edit?gid=0#gid=0"", ""sheet3!$B:$C""), 2, FALSE)
"),"Jamia Masjid Unchee Lahori Gate")</f>
        <v>Jamia Masjid Unchee Lahori Gate</v>
      </c>
      <c r="D76" s="284" t="str">
        <f>IFERROR(__xludf.DUMMYFUNCTION("IFERROR(
  INDEX(
    FILTER(
      IMPORTRANGE(""1aSOrU4PTpuBZqfitKaH1Rfww6-YOiNCKoBpPl8XBHaw/edit?gid=0#gid=0"",""Sheet1!G:G""),
      IMPORTRANGE(""1aSOrU4PTpuBZqfitKaH1Rfww6-YOiNCKoBpPl8XBHaw/edit?gid=0#gid=0"",""Sheet1!C:C"")=$B76
    ),
    1
  ),
 "&amp;" ""Not Found""
)"),"Control")</f>
        <v>Control</v>
      </c>
      <c r="E76" s="284" t="str">
        <f>VLOOKUP(B76,'Juma Recording forms'!A:E,5,false)</f>
        <v>JAMIA MASJID UCHI LAHORI GATE </v>
      </c>
      <c r="F76" s="284" t="str">
        <f>IFERROR(__xludf.DUMMYFUNCTION("IFERROR(
  INDEX(
    FILTER(
      IMPORTRANGE(""1Cxrhp3-_-HS7v9uuqQliiIfrmMP4VaFoDNDWyUFy2J8/edit?gid=0#gid=0"",""Sheet1!Q:Q""),
      IMPORTRANGE(""1Cxrhp3-_-HS7v9uuqQliiIfrmMP4VaFoDNDWyUFy2J8/edit?gid=0#gid=0"",""Sheet1!K:K"")=$B76
    ),
    1
  ),
 "&amp;" ""Not Found""
)"),"Not Found")</f>
        <v>Not Found</v>
      </c>
      <c r="G76" s="284"/>
      <c r="H76" s="284"/>
      <c r="I76" s="285"/>
      <c r="J76" s="286">
        <v>2.0</v>
      </c>
      <c r="K76" s="287" t="str">
        <f>VLOOKUP($B76,'Mosque Locations'!$A:$E,3,FALSE)
</f>
        <v>https://maps.google.com/maps?q=32.1572555%2C74.1890043&amp;z=17&amp;hl=en</v>
      </c>
      <c r="L76" s="286">
        <f>VLOOKUP($B76,'Mosque Locations'!$A:$E,4,FALSE)
</f>
        <v>32.15726</v>
      </c>
      <c r="M76" s="286">
        <f>VLOOKUP($B76,'Mosque Locations'!$A:$E,5,false)</f>
        <v>74.189</v>
      </c>
      <c r="N76" s="288"/>
      <c r="O76" s="288"/>
      <c r="P76" s="288"/>
      <c r="Q76" s="289" t="str">
        <f>IFERROR(__xludf.DUMMYFUNCTION("IFERROR(
  INDEX(
    FILTER(
      IMPORTRANGE(""1DccNxjBgurEr0ABkI_rBagJT5phB5HaHG5N_mTm_BiA/edit?gid=1382299152#gid=1382299152"",""Form Responses 1!T:T""),
      IMPORTRANGE(""1DccNxjBgurEr0ABkI_rBagJT5phB5HaHG5N_mTm_BiA/edit?gid=1382299152#gid=1382299"&amp;"152"",""Form Responses 1!E:E"")=$B76
    ),
    1
  ),
  ""Not Found""
)"),"https://drive.google.com/open?id=12dZ2oXeWcOtEEi-T1EKVOIY6N6VQ_xDI")</f>
        <v>https://drive.google.com/open?id=12dZ2oXeWcOtEEi-T1EKVOIY6N6VQ_xDI</v>
      </c>
      <c r="R76" s="289" t="str">
        <f>IFERROR(__xludf.DUMMYFUNCTION("IFERROR(
  INDEX(
    FILTER(
      IMPORTRANGE(""1DccNxjBgurEr0ABkI_rBagJT5phB5HaHG5N_mTm_BiA/edit?gid=1382299152#gid=1382299152"",""Form Responses 1!S:S""),
      IMPORTRANGE(""1DccNxjBgurEr0ABkI_rBagJT5phB5HaHG5N_mTm_BiA/edit?gid=1382299152#gid=1382299"&amp;"152"",""Form Responses 1!E:E"")=$B76
    ),
    1
  ),
  ""Not Found""
)"),"https://drive.google.com/open?id=1D5SBbW3iwFU4wg0PIzFTc6_sVBMyyTV1")</f>
        <v>https://drive.google.com/open?id=1D5SBbW3iwFU4wg0PIzFTc6_sVBMyyTV1</v>
      </c>
      <c r="S76" s="285"/>
      <c r="T76" s="290" t="str">
        <f>VLOOKUP($B76,'Master Tracker'!$D:$E,2,false)</f>
        <v>https://drive.google.com/open?id=1C1BzaOZeUWg6rrKdwl4AGrWsW9JonCi5</v>
      </c>
      <c r="U76" s="291" t="str">
        <f>VLOOKUP($B76,'Master Tracker'!$D:$T,4,FALSE)
</f>
        <v>https://drive.google.com/open?id=1_hCqfc5IB5RnFKHsITUz8r6iw-u9tDon</v>
      </c>
      <c r="V76" s="284" t="str">
        <f>VLOOKUP($B76,'Master Tracker'!$D:$T,5,false)</f>
        <v>Not Found</v>
      </c>
      <c r="W76" s="292" t="str">
        <f>VLOOKUP($B76,'Master Tracker'!$D:$T,7,false)</f>
        <v>Not Found</v>
      </c>
      <c r="X76" s="290" t="str">
        <f>VLOOKUP($B76,'Master Tracker'!$D:$T,8,false)</f>
        <v>https://drive.google.com/open?id=1LvN7HmVwDvTuNOPBUNyFjKubq94HTSHZ</v>
      </c>
      <c r="Y76" s="291" t="str">
        <f>VLOOKUP($B76,'Master Tracker'!$D:$T,10,false)</f>
        <v>https://drive.google.com/open?id=1gPqSUuwAqWWLYKPk5p8k4yGfy_2yaZ2M</v>
      </c>
      <c r="Z76" s="284" t="str">
        <f>VLOOKUP($B76,'Master Tracker'!$D:$T,11,false)</f>
        <v>Not Found</v>
      </c>
      <c r="AA76" s="292" t="str">
        <f>VLOOKUP($B76,'Master Tracker'!$D:$T,13,false)</f>
        <v>Not Found</v>
      </c>
      <c r="AB76" s="284" t="str">
        <f>VLOOKUP($B76,'Master Tracker'!$D:$T,14,false)</f>
        <v>Not Found</v>
      </c>
      <c r="AC76" s="292" t="str">
        <f>VLOOKUP($B76,'Master Tracker'!$D:$T,16,false)</f>
        <v>Not Found</v>
      </c>
      <c r="AD76" s="292" t="str">
        <f>VLOOKUP($B76,'Master Tracker'!$D:$T,17,false)</f>
        <v>Not Found</v>
      </c>
      <c r="AE76" s="292" t="str">
        <f>VLOOKUP($B76,'Master Tracker'!$D:$V,19,false)</f>
        <v>Not Found</v>
      </c>
      <c r="AF76" s="292">
        <f>IFERROR(__xludf.DUMMYFUNCTION("IFERROR(
  INDEX(
    FILTER(
      'Juma Recording forms'!$G:$G,
      TRIM('Juma Recording forms'!$F:$F) = TRIM($B76),
      'Juma Recording forms'!$AA:$AA = 1
    ),
    1
  ),
  ""Not Found""
)"),265.0)</f>
        <v>265</v>
      </c>
      <c r="AG76" s="292" t="str">
        <f>IFERROR(__xludf.DUMMYFUNCTION("IFERROR(
  INDEX(
    FILTER(
      'Juma Recording forms'!$G:$G,
      TRIM('Juma Recording forms'!$F:$F) = TRIM($B76),
      'Juma Recording forms'!$AA:$AA = 2
    ),
    1
  ),
  ""Not Found""
)"),"Not Found")</f>
        <v>Not Found</v>
      </c>
      <c r="AH76" s="292">
        <f>IFERROR(__xludf.DUMMYFUNCTION("IFERROR(
  INDEX(
    FILTER(
      'Juma Recording forms'!$G:$G,
      TRIM('Juma Recording forms'!$F:$F) = TRIM($B76),
      'Juma Recording forms'!$AA:$AA = 3
    ),
    1
  ),
  ""Not Found""
)"),270.0)</f>
        <v>270</v>
      </c>
      <c r="AI76" s="292" t="str">
        <f>IFERROR(__xludf.DUMMYFUNCTION("IFERROR(
  INDEX(
    FILTER(
      'Juma Recording forms'!$G:$G,
      TRIM('Juma Recording forms'!$F:$F) = TRIM($B76),
      'Juma Recording forms'!$AA:$AA = 4
    ),
    1
  ),
  ""Not Found""
)"),"Not Found")</f>
        <v>Not Found</v>
      </c>
      <c r="AJ76" s="292" t="str">
        <f>IFERROR(__xludf.DUMMYFUNCTION("IFERROR(
  INDEX(
    FILTER(
      'Juma Recording forms'!$G:$G,
      TRIM('Juma Recording forms'!$F:$F) = TRIM($B76),
      'Juma Recording forms'!$AA:$AA = 5
    ),
    1
  ),
  ""Not Found""
)"),"Not Found")</f>
        <v>Not Found</v>
      </c>
      <c r="AK76" s="292"/>
      <c r="AL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1!$E:$E"")=$B76) *
        (IMPORTRANGE(""https://docs.google.com/spreadsheets/d/161aHT6vVT3SLneTKD19N5qVWtnj_jIT8CSsOmUVKmaA/ed"&amp;"it?gid=1761053510"",
          ""Haris_Form responses 1!$AQ:$AQ"")=1)
      ),
      1
    ),
    ""0""
  ),
  ""Form not found""
)
"),"0")</f>
        <v>0</v>
      </c>
      <c r="AM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1!$E:$E"")=$B76) *
        (IMPORTRANGE(""https://docs.google.com/spreadsheets/d/161aHT6vVT3SLneTKD19N5qVWtnj_jIT8CSsOmUVKmaA/ed"&amp;"it?gid=1761053510"",
          ""Haris_Form responses 1!$AQ:$AQ"")=2)
      ),
      1
    ),
    ""0""
  ),
  ""Form not found""
)
"),"Form not found")</f>
        <v>Form not found</v>
      </c>
      <c r="AN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1!$E:$E"")=$B76) *
        (IMPORTRANGE(""https://docs.google.com/spreadsheets/d/161aHT6vVT3SLneTKD19N5qVWtnj_jIT8CSsOmUVKmaA/ed"&amp;"it?gid=1761053510"",
          ""Haris_Form responses 1!$AQ:$AQ"")=3)
      ),
      1
    ),
    ""0""
  ),
  ""Form not found""
)
"),"0")</f>
        <v>0</v>
      </c>
      <c r="AO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1!$E:$E"")=$B76) *
        (IMPORTRANGE(""https://docs.google.com/spreadsheets/d/161aHT6vVT3SLneTKD19N5qVWtnj_jIT8CSsOmUVKmaA/ed"&amp;"it?gid=1761053510"",
          ""Haris_Form responses 1!$AQ:$AQ"")=4)
      ),
      1
    ),
    ""0""
  ),
  ""Form not found""
)
"),"Form not found")</f>
        <v>Form not found</v>
      </c>
      <c r="AP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1!$E:$E"")=$B76) *
        (IMPORTRANGE(""https://docs.google.com/spreadsheets/d/161aHT6vVT3SLneTKD19N5qVWtnj_jIT8CSsOmUVKmaA/ed"&amp;"it?gid=1761053510"",
          ""Haris_Form responses 1!$AQ:$AQ"")=5)
      ),
      1
    ),
    ""0""
  ),
  ""Form not found""
)
"),"Form not found")</f>
        <v>Form not found</v>
      </c>
      <c r="AQ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1!$E:$E"")=$B76) *
        (IMPORTRANGE(""https://docs.google.com/spreadsheets/d/161aHT6vVT3SLneTKD19N5qVWtnj_jIT8CSsOmUVKmaA/ed"&amp;"it?gid=1761053510"",
          ""Haris_Form responses 1!$AQ:$AQ"")=6)
      ),
      1
    ),
    ""0""
  ),
  ""Form not found""
)
"),"Form not found")</f>
        <v>Form not found</v>
      </c>
      <c r="AR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1!$E:$E"")=$B76) *
        (IMPORTRANGE(""https://docs.google.com/spreadsheets/d/161aHT6vVT3SLneTKD19N5qVWtnj_jIT8CSsOmUVKmaA/ed"&amp;"it?gid=1761053510"",
          ""Haris_Form responses 1!$AQ:$AQ"")=1)
      ),
      1
    ),
    ""0""
  ),
  ""Form not found""
)
"),"0")</f>
        <v>0</v>
      </c>
      <c r="AS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1!$E:$E"")=$B76) *
        (IMPORTRANGE(""https://docs.google.com/spreadsheets/d/161aHT6vVT3SLneTKD19N5qVWtnj_jIT8CSsOmUVKmaA/ed"&amp;"it?gid=1761053510"",
          ""Haris_Form responses 1!$AQ:$AQ"")=2)
      ),
      1
    ),
    ""0""
  ),
  ""Form not found""
)
"),"Form not found")</f>
        <v>Form not found</v>
      </c>
      <c r="AT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1!$E:$E"")=$B76) *
        (IMPORTRANGE(""https://docs.google.com/spreadsheets/d/161aHT6vVT3SLneTKD19N5qVWtnj_jIT8CSsOmUVKmaA/ed"&amp;"it?gid=1761053510"",
          ""Haris_Form responses 1!$AQ:$AQ"")=3)
      ),
      1
    ),
    ""0""
  ),
  ""Form not found""
)
"),"0")</f>
        <v>0</v>
      </c>
      <c r="AU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1!$E:$E"")=$B76) *
        (IMPORTRANGE(""https://docs.google.com/spreadsheets/d/161aHT6vVT3SLneTKD19N5qVWtnj_jIT8CSsOmUVKmaA/ed"&amp;"it?gid=1761053510"",
          ""Haris_Form responses 1!$AQ:$AQ"")=4)
      ),
      1
    ),
    ""0""
  ),
  ""Form not found""
)
"),"Form not found")</f>
        <v>Form not found</v>
      </c>
      <c r="AV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1!$E:$E"")=$B76) *
        (IMPORTRANGE(""https://docs.google.com/spreadsheets/d/161aHT6vVT3SLneTKD19N5qVWtnj_jIT8CSsOmUVKmaA/ed"&amp;"it?gid=1761053510"",
          ""Haris_Form responses 1!$AQ:$AQ"")=5)
      ),
      1
    ),
    ""0""
  ),
  ""Form not found""
)
"),"Form not found")</f>
        <v>Form not found</v>
      </c>
      <c r="AW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1!$E:$E"")=$B76) *
        (IMPORTRANGE(""https://docs.google.com/spreadsheets/d/161aHT6vVT3SLneTKD19N5qVWtnj_jIT8CSsOmUVKmaA/ed"&amp;"it?gid=1761053510"",
          ""Haris_Form responses 1!$AQ:$AQ"")=6)
      ),
      1
    ),
    ""0""
  ),
  ""Form not found""
)
"),"Form not found")</f>
        <v>Form not found</v>
      </c>
      <c r="AX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1!$E:$E"")=$B76) *
        (IMPORTRANGE(""https://docs.google.com/spreadsheets/d/161aHT6vVT3SLneTKD19N5qVWtnj_jIT8CSsOmUVKmaA/ed"&amp;"it?gid=1761053510"",
          ""Haris_Form responses 1!$AQ:$AQ"")=1)
      ),
      1
    ),
    ""0""
  ),
  ""Form not found""
)
"),"0")</f>
        <v>0</v>
      </c>
      <c r="AY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1!$E:$E"")=$B76) *
        (IMPORTRANGE(""https://docs.google.com/spreadsheets/d/161aHT6vVT3SLneTKD19N5qVWtnj_jIT8CSsOmUVKmaA/ed"&amp;"it?gid=1761053510"",
          ""Haris_Form responses 1!$AQ:$AQ"")=2)
      ),
      1
    ),
    ""0""
  ),
  ""Form not found""
)
"),"Form not found")</f>
        <v>Form not found</v>
      </c>
      <c r="AZ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1!$E:$E"")=$B76) *
        (IMPORTRANGE(""https://docs.google.com/spreadsheets/d/161aHT6vVT3SLneTKD19N5qVWtnj_jIT8CSsOmUVKmaA/ed"&amp;"it?gid=1761053510"",
          ""Haris_Form responses 1!$AQ:$AQ"")=3)
      ),
      1
    ),
    ""0""
  ),
  ""Form not found""
)
"),"0")</f>
        <v>0</v>
      </c>
      <c r="BA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1!$E:$E"")=$B76) *
        (IMPORTRANGE(""https://docs.google.com/spreadsheets/d/161aHT6vVT3SLneTKD19N5qVWtnj_jIT8CSsOmUVKmaA/ed"&amp;"it?gid=1761053510"",
          ""Haris_Form responses 1!$AQ:$AQ"")=4)
      ),
      1
    ),
    ""0""
  ),
  ""Form not found""
)
"),"Form not found")</f>
        <v>Form not found</v>
      </c>
      <c r="BB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1!$E:$E"")=$B76) *
        (IMPORTRANGE(""https://docs.google.com/spreadsheets/d/161aHT6vVT3SLneTKD19N5qVWtnj_jIT8CSsOmUVKmaA/ed"&amp;"it?gid=1761053510"",
          ""Haris_Form responses 1!$AQ:$AQ"")=5)
      ),
      1
    ),
    ""0""
  ),
  ""Form not found""
)
"),"Form not found")</f>
        <v>Form not found</v>
      </c>
      <c r="BC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1!$E:$E"")=$B76) *
        (IMPORTRANGE(""https://docs.google.com/spreadsheets/d/161aHT6vVT3SLneTKD19N5qVWtnj_jIT8CSsOmUVKmaA/ed"&amp;"it?gid=1761053510"",
          ""Haris_Form responses 1!$AQ:$AQ"")=6)
      ),
      1
    ),
    ""0""
  ),
  ""Form not found""
)
"),"Form not found")</f>
        <v>Form not found</v>
      </c>
      <c r="BD76" s="293"/>
    </row>
    <row r="77">
      <c r="A77" s="283" t="str">
        <f>IFERROR(__xludf.DUMMYFUNCTION("VLOOKUP($B77,IMPORTRANGE(""https://docs.google.com/spreadsheets/d/1VNXDITjs75AcgdBSW27oL1VZH31udDprJSsBcE5xlp4/edit?gid=1551188038#gid=1551188038"", ""Sheet9!$B:$E""),2,false)"),"Gujrawala")</f>
        <v>Gujrawala</v>
      </c>
      <c r="B77" s="283" t="s">
        <v>1817</v>
      </c>
      <c r="C77" s="284" t="str">
        <f>IFERROR(__xludf.DUMMYFUNCTION("VLOOKUP(TRIM($B77), IMPORTRANGE(""https://docs.google.com/spreadsheets/d/1aSOrU4PTpuBZqfitKaH1Rfww6-YOiNCKoBpPl8XBHaw/edit?gid=0#gid=0"", ""sheet3!$B:$C""), 2, FALSE)
"),"Jamia Masjid Farookiya Chowk Pondanwala Gujranwala")</f>
        <v>Jamia Masjid Farookiya Chowk Pondanwala Gujranwala</v>
      </c>
      <c r="D77" s="284" t="str">
        <f>IFERROR(__xludf.DUMMYFUNCTION("IFERROR(
  INDEX(
    FILTER(
      IMPORTRANGE(""1aSOrU4PTpuBZqfitKaH1Rfww6-YOiNCKoBpPl8XBHaw/edit?gid=0#gid=0"",""Sheet1!G:G""),
      IMPORTRANGE(""1aSOrU4PTpuBZqfitKaH1Rfww6-YOiNCKoBpPl8XBHaw/edit?gid=0#gid=0"",""Sheet1!C:C"")=$B77
    ),
    1
  ),
 "&amp;" ""Not Found""
)"),"Community Religious Info Share")</f>
        <v>Community Religious Info Share</v>
      </c>
      <c r="E77" s="284" t="str">
        <f>VLOOKUP(B77,'Juma Recording forms'!A:E,5,false)</f>
        <v>JAMIA MASJID FAROOQIYA RIZVIYA POWNDAWALA </v>
      </c>
      <c r="F77" s="284" t="str">
        <f>IFERROR(__xludf.DUMMYFUNCTION("IFERROR(
  INDEX(
    FILTER(
      IMPORTRANGE(""1Cxrhp3-_-HS7v9uuqQliiIfrmMP4VaFoDNDWyUFy2J8/edit?gid=0#gid=0"",""Sheet1!Q:Q""),
      IMPORTRANGE(""1Cxrhp3-_-HS7v9uuqQliiIfrmMP4VaFoDNDWyUFy2J8/edit?gid=0#gid=0"",""Sheet1!K:K"")=$B77
    ),
    1
  ),
 "&amp;" ""Not Found""
)"),"QARI ABDUL GAFAAR SAAB")</f>
        <v>QARI ABDUL GAFAAR SAAB</v>
      </c>
      <c r="G77" s="284">
        <v>1965.0</v>
      </c>
      <c r="H77" s="284"/>
      <c r="I77" s="285"/>
      <c r="J77" s="286">
        <v>2.0</v>
      </c>
      <c r="K77" s="287" t="str">
        <f>VLOOKUP($B77,'Mosque Locations'!$A:$E,3,FALSE)
</f>
        <v>https://maps.google.com/maps?q=32.1571609%2C74.1928954&amp;z=17&amp;hl=en</v>
      </c>
      <c r="L77" s="286">
        <f>VLOOKUP($B77,'Mosque Locations'!$A:$E,4,FALSE)
</f>
        <v>32.15716</v>
      </c>
      <c r="M77" s="286">
        <f>VLOOKUP($B77,'Mosque Locations'!$A:$E,5,false)</f>
        <v>74.1929</v>
      </c>
      <c r="N77" s="288"/>
      <c r="O77" s="288"/>
      <c r="P77" s="288"/>
      <c r="Q77" s="289" t="str">
        <f>IFERROR(__xludf.DUMMYFUNCTION("IFERROR(
  INDEX(
    FILTER(
      IMPORTRANGE(""1DccNxjBgurEr0ABkI_rBagJT5phB5HaHG5N_mTm_BiA/edit?gid=1382299152#gid=1382299152"",""Form Responses 1!T:T""),
      IMPORTRANGE(""1DccNxjBgurEr0ABkI_rBagJT5phB5HaHG5N_mTm_BiA/edit?gid=1382299152#gid=1382299"&amp;"152"",""Form Responses 1!E:E"")=$B77
    ),
    1
  ),
  ""Not Found""
)"),"https://drive.google.com/open?id=1Zg1h0JgE-1wTxi6ZXmGj7HszEF4xkDTR")</f>
        <v>https://drive.google.com/open?id=1Zg1h0JgE-1wTxi6ZXmGj7HszEF4xkDTR</v>
      </c>
      <c r="R77" s="289" t="str">
        <f>IFERROR(__xludf.DUMMYFUNCTION("IFERROR(
  INDEX(
    FILTER(
      IMPORTRANGE(""1DccNxjBgurEr0ABkI_rBagJT5phB5HaHG5N_mTm_BiA/edit?gid=1382299152#gid=1382299152"",""Form Responses 1!S:S""),
      IMPORTRANGE(""1DccNxjBgurEr0ABkI_rBagJT5phB5HaHG5N_mTm_BiA/edit?gid=1382299152#gid=1382299"&amp;"152"",""Form Responses 1!E:E"")=$B77
    ),
    1
  ),
  ""Not Found""
)"),"https://drive.google.com/open?id=1lnnS3aNyUDhISeUlfuRuiEhG1E0QfAEI")</f>
        <v>https://drive.google.com/open?id=1lnnS3aNyUDhISeUlfuRuiEhG1E0QfAEI</v>
      </c>
      <c r="S77" s="285"/>
      <c r="T77" s="290" t="str">
        <f>VLOOKUP($B77,'Master Tracker'!$D:$E,2,false)</f>
        <v>https://drive.google.com/open?id=1fuNEuXCOzlFUmqflyHBKeJijcwHnQjfh</v>
      </c>
      <c r="U77" s="291" t="str">
        <f>VLOOKUP($B77,'Master Tracker'!$D:$T,4,FALSE)
</f>
        <v>https://drive.google.com/open?id=1sT4Aux_JzXEzjDH1HlIU8892gl_2CKlS</v>
      </c>
      <c r="V77" s="290" t="str">
        <f>VLOOKUP($B77,'Master Tracker'!$D:$T,5,false)</f>
        <v>https://drive.google.com/open?id=1CrIE2vuM2QGkJesSe-ZAUqFSRoRV_WDZ</v>
      </c>
      <c r="W77" s="291" t="str">
        <f>VLOOKUP($B77,'Master Tracker'!$D:$T,7,false)</f>
        <v>https://drive.google.com/open?id=1gtRlhljrRvaZwmdBIyw_nrpWFRCMzQBA</v>
      </c>
      <c r="X77" s="290" t="str">
        <f>VLOOKUP($B77,'Master Tracker'!$D:$T,8,false)</f>
        <v>https://drive.google.com/open?id=1x63k8BsORceM5st9cFoBfV8kJEZ4zEC4</v>
      </c>
      <c r="Y77" s="291" t="str">
        <f>VLOOKUP($B77,'Master Tracker'!$D:$T,10,false)</f>
        <v>https://drive.google.com/open?id=1BVRT2y3VfL5qPRw3JHpWcvJHLieSruYy</v>
      </c>
      <c r="Z77" s="284" t="str">
        <f>VLOOKUP($B77,'Master Tracker'!$D:$T,11,false)</f>
        <v>Not Found</v>
      </c>
      <c r="AA77" s="292" t="str">
        <f>VLOOKUP($B77,'Master Tracker'!$D:$T,13,false)</f>
        <v>Not Found</v>
      </c>
      <c r="AB77" s="284" t="str">
        <f>VLOOKUP($B77,'Master Tracker'!$D:$T,14,false)</f>
        <v>Not Found</v>
      </c>
      <c r="AC77" s="292" t="str">
        <f>VLOOKUP($B77,'Master Tracker'!$D:$T,16,false)</f>
        <v>Not Found</v>
      </c>
      <c r="AD77" s="292" t="str">
        <f>VLOOKUP($B77,'Master Tracker'!$D:$T,17,false)</f>
        <v>Not Found</v>
      </c>
      <c r="AE77" s="292" t="str">
        <f>VLOOKUP($B77,'Master Tracker'!$D:$V,19,false)</f>
        <v>Not Found</v>
      </c>
      <c r="AF77" s="292">
        <f>IFERROR(__xludf.DUMMYFUNCTION("IFERROR(
  INDEX(
    FILTER(
      'Juma Recording forms'!$G:$G,
      TRIM('Juma Recording forms'!$F:$F) = TRIM($B77),
      'Juma Recording forms'!$AA:$AA = 1
    ),
    1
  ),
  ""Not Found""
)"),165.0)</f>
        <v>165</v>
      </c>
      <c r="AG77" s="292">
        <f>IFERROR(__xludf.DUMMYFUNCTION("IFERROR(
  INDEX(
    FILTER(
      'Juma Recording forms'!$G:$G,
      TRIM('Juma Recording forms'!$F:$F) = TRIM($B77),
      'Juma Recording forms'!$AA:$AA = 2
    ),
    1
  ),
  ""Not Found""
)"),170.0)</f>
        <v>170</v>
      </c>
      <c r="AH77" s="292">
        <f>IFERROR(__xludf.DUMMYFUNCTION("IFERROR(
  INDEX(
    FILTER(
      'Juma Recording forms'!$G:$G,
      TRIM('Juma Recording forms'!$F:$F) = TRIM($B77),
      'Juma Recording forms'!$AA:$AA = 3
    ),
    1
  ),
  ""Not Found""
)"),180.0)</f>
        <v>180</v>
      </c>
      <c r="AI77" s="292" t="str">
        <f>IFERROR(__xludf.DUMMYFUNCTION("IFERROR(
  INDEX(
    FILTER(
      'Juma Recording forms'!$G:$G,
      TRIM('Juma Recording forms'!$F:$F) = TRIM($B77),
      'Juma Recording forms'!$AA:$AA = 4
    ),
    1
  ),
  ""Not Found""
)"),"Not Found")</f>
        <v>Not Found</v>
      </c>
      <c r="AJ77" s="292" t="str">
        <f>IFERROR(__xludf.DUMMYFUNCTION("IFERROR(
  INDEX(
    FILTER(
      'Juma Recording forms'!$G:$G,
      TRIM('Juma Recording forms'!$F:$F) = TRIM($B77),
      'Juma Recording forms'!$AA:$AA = 5
    ),
    1
  ),
  ""Not Found""
)"),"Not Found")</f>
        <v>Not Found</v>
      </c>
      <c r="AK77" s="292" t="str">
        <f>IFERROR(__xludf.DUMMYFUNCTION("IFERROR(
  INDEX(
    FILTER(
      'Juma Recording forms'!$G:$G,
      TRIM('Juma Recording forms'!$F:$F) = TRIM($B77),
      'Juma Recording forms'!$AA:$AA = 6
    ),
    1
  ),
  ""Not Found""
)"),"Not Found")</f>
        <v>Not Found</v>
      </c>
      <c r="AL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1!$E:$E"")=$B77) *
        (IMPORTRANGE(""https://docs.google.com/spreadsheets/d/161aHT6vVT3SLneTKD19N5qVWtnj_jIT8CSsOmUVKmaA/ed"&amp;"it?gid=1761053510"",
          ""Haris_Form responses 1!$AQ:$AQ"")=1)
      ),
      1
    ),
    ""0""
  ),
  ""Form not found""
)
"),"0")</f>
        <v>0</v>
      </c>
      <c r="AM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1!$E:$E"")=$B77) *
        (IMPORTRANGE(""https://docs.google.com/spreadsheets/d/161aHT6vVT3SLneTKD19N5qVWtnj_jIT8CSsOmUVKmaA/ed"&amp;"it?gid=1761053510"",
          ""Haris_Form responses 1!$AQ:$AQ"")=2)
      ),
      1
    ),
    ""0""
  ),
  ""Form not found""
)
"),"10")</f>
        <v>10</v>
      </c>
      <c r="AN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1!$E:$E"")=$B77) *
        (IMPORTRANGE(""https://docs.google.com/spreadsheets/d/161aHT6vVT3SLneTKD19N5qVWtnj_jIT8CSsOmUVKmaA/ed"&amp;"it?gid=1761053510"",
          ""Haris_Form responses 1!$AQ:$AQ"")=3)
      ),
      1
    ),
    ""0""
  ),
  ""Form not found""
)
"),"0")</f>
        <v>0</v>
      </c>
      <c r="AO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1!$E:$E"")=$B77) *
        (IMPORTRANGE(""https://docs.google.com/spreadsheets/d/161aHT6vVT3SLneTKD19N5qVWtnj_jIT8CSsOmUVKmaA/ed"&amp;"it?gid=1761053510"",
          ""Haris_Form responses 1!$AQ:$AQ"")=4)
      ),
      1
    ),
    ""0""
  ),
  ""Form not found""
)
"),"Form not found")</f>
        <v>Form not found</v>
      </c>
      <c r="AP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1!$E:$E"")=$B77) *
        (IMPORTRANGE(""https://docs.google.com/spreadsheets/d/161aHT6vVT3SLneTKD19N5qVWtnj_jIT8CSsOmUVKmaA/ed"&amp;"it?gid=1761053510"",
          ""Haris_Form responses 1!$AQ:$AQ"")=5)
      ),
      1
    ),
    ""0""
  ),
  ""Form not found""
)
"),"Form not found")</f>
        <v>Form not found</v>
      </c>
      <c r="AQ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1!$E:$E"")=$B77) *
        (IMPORTRANGE(""https://docs.google.com/spreadsheets/d/161aHT6vVT3SLneTKD19N5qVWtnj_jIT8CSsOmUVKmaA/ed"&amp;"it?gid=1761053510"",
          ""Haris_Form responses 1!$AQ:$AQ"")=6)
      ),
      1
    ),
    ""0""
  ),
  ""Form not found""
)
"),"Form not found")</f>
        <v>Form not found</v>
      </c>
      <c r="AR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1!$E:$E"")=$B77) *
        (IMPORTRANGE(""https://docs.google.com/spreadsheets/d/161aHT6vVT3SLneTKD19N5qVWtnj_jIT8CSsOmUVKmaA/ed"&amp;"it?gid=1761053510"",
          ""Haris_Form responses 1!$AQ:$AQ"")=1)
      ),
      1
    ),
    ""0""
  ),
  ""Form not found""
)
"),"0")</f>
        <v>0</v>
      </c>
      <c r="AS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1!$E:$E"")=$B77) *
        (IMPORTRANGE(""https://docs.google.com/spreadsheets/d/161aHT6vVT3SLneTKD19N5qVWtnj_jIT8CSsOmUVKmaA/ed"&amp;"it?gid=1761053510"",
          ""Haris_Form responses 1!$AQ:$AQ"")=2)
      ),
      1
    ),
    ""0""
  ),
  ""Form not found""
)
"),"10")</f>
        <v>10</v>
      </c>
      <c r="AT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1!$E:$E"")=$B77) *
        (IMPORTRANGE(""https://docs.google.com/spreadsheets/d/161aHT6vVT3SLneTKD19N5qVWtnj_jIT8CSsOmUVKmaA/ed"&amp;"it?gid=1761053510"",
          ""Haris_Form responses 1!$AQ:$AQ"")=3)
      ),
      1
    ),
    ""0""
  ),
  ""Form not found""
)
"),"0")</f>
        <v>0</v>
      </c>
      <c r="AU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1!$E:$E"")=$B77) *
        (IMPORTRANGE(""https://docs.google.com/spreadsheets/d/161aHT6vVT3SLneTKD19N5qVWtnj_jIT8CSsOmUVKmaA/ed"&amp;"it?gid=1761053510"",
          ""Haris_Form responses 1!$AQ:$AQ"")=4)
      ),
      1
    ),
    ""0""
  ),
  ""Form not found""
)
"),"Form not found")</f>
        <v>Form not found</v>
      </c>
      <c r="AV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1!$E:$E"")=$B77) *
        (IMPORTRANGE(""https://docs.google.com/spreadsheets/d/161aHT6vVT3SLneTKD19N5qVWtnj_jIT8CSsOmUVKmaA/ed"&amp;"it?gid=1761053510"",
          ""Haris_Form responses 1!$AQ:$AQ"")=5)
      ),
      1
    ),
    ""0""
  ),
  ""Form not found""
)
"),"Form not found")</f>
        <v>Form not found</v>
      </c>
      <c r="AW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1!$E:$E"")=$B77) *
        (IMPORTRANGE(""https://docs.google.com/spreadsheets/d/161aHT6vVT3SLneTKD19N5qVWtnj_jIT8CSsOmUVKmaA/ed"&amp;"it?gid=1761053510"",
          ""Haris_Form responses 1!$AQ:$AQ"")=6)
      ),
      1
    ),
    ""0""
  ),
  ""Form not found""
)
"),"Form not found")</f>
        <v>Form not found</v>
      </c>
      <c r="AX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1!$E:$E"")=$B77) *
        (IMPORTRANGE(""https://docs.google.com/spreadsheets/d/161aHT6vVT3SLneTKD19N5qVWtnj_jIT8CSsOmUVKmaA/ed"&amp;"it?gid=1761053510"",
          ""Haris_Form responses 1!$AQ:$AQ"")=1)
      ),
      1
    ),
    ""0""
  ),
  ""Form not found""
)
"),"0")</f>
        <v>0</v>
      </c>
      <c r="AY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1!$E:$E"")=$B77) *
        (IMPORTRANGE(""https://docs.google.com/spreadsheets/d/161aHT6vVT3SLneTKD19N5qVWtnj_jIT8CSsOmUVKmaA/ed"&amp;"it?gid=1761053510"",
          ""Haris_Form responses 1!$AQ:$AQ"")=2)
      ),
      1
    ),
    ""0""
  ),
  ""Form not found""
)
"),"0")</f>
        <v>0</v>
      </c>
      <c r="AZ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1!$E:$E"")=$B77) *
        (IMPORTRANGE(""https://docs.google.com/spreadsheets/d/161aHT6vVT3SLneTKD19N5qVWtnj_jIT8CSsOmUVKmaA/ed"&amp;"it?gid=1761053510"",
          ""Haris_Form responses 1!$AQ:$AQ"")=3)
      ),
      1
    ),
    ""0""
  ),
  ""Form not found""
)
"),"0")</f>
        <v>0</v>
      </c>
      <c r="BA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1!$E:$E"")=$B77) *
        (IMPORTRANGE(""https://docs.google.com/spreadsheets/d/161aHT6vVT3SLneTKD19N5qVWtnj_jIT8CSsOmUVKmaA/ed"&amp;"it?gid=1761053510"",
          ""Haris_Form responses 1!$AQ:$AQ"")=4)
      ),
      1
    ),
    ""0""
  ),
  ""Form not found""
)
"),"Form not found")</f>
        <v>Form not found</v>
      </c>
      <c r="BB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1!$E:$E"")=$B77) *
        (IMPORTRANGE(""https://docs.google.com/spreadsheets/d/161aHT6vVT3SLneTKD19N5qVWtnj_jIT8CSsOmUVKmaA/ed"&amp;"it?gid=1761053510"",
          ""Haris_Form responses 1!$AQ:$AQ"")=5)
      ),
      1
    ),
    ""0""
  ),
  ""Form not found""
)
"),"Form not found")</f>
        <v>Form not found</v>
      </c>
      <c r="BC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1!$E:$E"")=$B77) *
        (IMPORTRANGE(""https://docs.google.com/spreadsheets/d/161aHT6vVT3SLneTKD19N5qVWtnj_jIT8CSsOmUVKmaA/ed"&amp;"it?gid=1761053510"",
          ""Haris_Form responses 1!$AQ:$AQ"")=6)
      ),
      1
    ),
    ""0""
  ),
  ""Form not found""
)
"),"Form not found")</f>
        <v>Form not found</v>
      </c>
      <c r="BD77" s="293"/>
    </row>
    <row r="78">
      <c r="A78" s="283" t="str">
        <f>IFERROR(__xludf.DUMMYFUNCTION("VLOOKUP($B78,IMPORTRANGE(""https://docs.google.com/spreadsheets/d/1VNXDITjs75AcgdBSW27oL1VZH31udDprJSsBcE5xlp4/edit?gid=1551188038#gid=1551188038"", ""Sheet9!$B:$E""),2,false)"),"Gujrawala")</f>
        <v>Gujrawala</v>
      </c>
      <c r="B78" s="283" t="s">
        <v>2084</v>
      </c>
      <c r="C78" s="284" t="str">
        <f>IFERROR(__xludf.DUMMYFUNCTION("VLOOKUP(TRIM($B78), IMPORTRANGE(""https://docs.google.com/spreadsheets/d/1aSOrU4PTpuBZqfitKaH1Rfww6-YOiNCKoBpPl8XBHaw/edit?gid=0#gid=0"", ""sheet3!$B:$C""), 2, FALSE)
"),"Jamia Masjid Miya Rehman Hafizabad")</f>
        <v>Jamia Masjid Miya Rehman Hafizabad</v>
      </c>
      <c r="D78" s="284" t="str">
        <f>IFERROR(__xludf.DUMMYFUNCTION("IFERROR(
  INDEX(
    FILTER(
      IMPORTRANGE(""1aSOrU4PTpuBZqfitKaH1Rfww6-YOiNCKoBpPl8XBHaw/edit?gid=0#gid=0"",""Sheet1!G:G""),
      IMPORTRANGE(""1aSOrU4PTpuBZqfitKaH1Rfww6-YOiNCKoBpPl8XBHaw/edit?gid=0#gid=0"",""Sheet1!C:C"")=$B78
    ),
    1
  ),
 "&amp;" ""Not Found""
)"),"Women Secular No Info Share")</f>
        <v>Women Secular No Info Share</v>
      </c>
      <c r="E78" s="284" t="str">
        <f>VLOOKUP(B78,'Juma Recording forms'!A:E,5,false)</f>
        <v>Jamia masjid mian riman</v>
      </c>
      <c r="F78" s="284" t="str">
        <f>IFERROR(__xludf.DUMMYFUNCTION("IFERROR(
  INDEX(
    FILTER(
      IMPORTRANGE(""1Cxrhp3-_-HS7v9uuqQliiIfrmMP4VaFoDNDWyUFy2J8/edit?gid=0#gid=0"",""Sheet1!Q:Q""),
      IMPORTRANGE(""1Cxrhp3-_-HS7v9uuqQliiIfrmMP4VaFoDNDWyUFy2J8/edit?gid=0#gid=0"",""Sheet1!K:K"")=$B78
    ),
    1
  ),
 "&amp;" ""Not Found""
)"),"QARI M AMEEN")</f>
        <v>QARI M AMEEN</v>
      </c>
      <c r="G78" s="284">
        <v>1950.0</v>
      </c>
      <c r="H78" s="284"/>
      <c r="I78" s="285"/>
      <c r="J78" s="286">
        <v>2.0</v>
      </c>
      <c r="K78" s="287" t="str">
        <f>VLOOKUP($B78,'Mosque Locations'!$A:$E,3,FALSE)
</f>
        <v>https://maps.google.com/maps?q=31.9074519%2C73.6126611&amp;z=17&amp;hl=en</v>
      </c>
      <c r="L78" s="286">
        <f>VLOOKUP($B78,'Mosque Locations'!$A:$E,4,FALSE)
</f>
        <v>31.90745</v>
      </c>
      <c r="M78" s="286">
        <f>VLOOKUP($B78,'Mosque Locations'!$A:$E,5,false)</f>
        <v>73.61266</v>
      </c>
      <c r="N78" s="288"/>
      <c r="O78" s="288"/>
      <c r="P78" s="288"/>
      <c r="Q78" s="294" t="str">
        <f>IFERROR(__xludf.DUMMYFUNCTION("IFERROR(
  INDEX(
    FILTER(
      IMPORTRANGE(""1DccNxjBgurEr0ABkI_rBagJT5phB5HaHG5N_mTm_BiA/edit?gid=1382299152#gid=1382299152"",""Form Responses 1!T:T""),
      IMPORTRANGE(""1DccNxjBgurEr0ABkI_rBagJT5phB5HaHG5N_mTm_BiA/edit?gid=1382299152#gid=1382299"&amp;"152"",""Form Responses 1!E:E"")=$B78
    ),
    1
  ),
  ""Not Found""
)"),"https://drive.google.com/open?id=10AKjP_HKCgRHBHbugJW4NpT3lgWSdHDP, https://drive.google.com/open?id=1FfyxErgKFW8wHNFhTeZt8gyQ1UYW14n6, https://drive.google.com/open?id=1pKMgTskPLeKQA4oWzJ5D_tu7ORaJfcO8, https://drive.google.com/open?id=1iL3nEfMhwUWEk2EPd"&amp;"zeGhDlfTdJe_OMH, https://drive.google.com/open?id=1U510zAP0T-8eCwMkWEQOBvTyu5UONPsx")</f>
        <v>https://drive.google.com/open?id=10AKjP_HKCgRHBHbugJW4NpT3lgWSdHDP, https://drive.google.com/open?id=1FfyxErgKFW8wHNFhTeZt8gyQ1UYW14n6, https://drive.google.com/open?id=1pKMgTskPLeKQA4oWzJ5D_tu7ORaJfcO8, https://drive.google.com/open?id=1iL3nEfMhwUWEk2EPdzeGhDlfTdJe_OMH, https://drive.google.com/open?id=1U510zAP0T-8eCwMkWEQOBvTyu5UONPsx</v>
      </c>
      <c r="R78" s="294" t="str">
        <f>IFERROR(__xludf.DUMMYFUNCTION("IFERROR(
  INDEX(
    FILTER(
      IMPORTRANGE(""1DccNxjBgurEr0ABkI_rBagJT5phB5HaHG5N_mTm_BiA/edit?gid=1382299152#gid=1382299152"",""Form Responses 1!S:S""),
      IMPORTRANGE(""1DccNxjBgurEr0ABkI_rBagJT5phB5HaHG5N_mTm_BiA/edit?gid=1382299152#gid=1382299"&amp;"152"",""Form Responses 1!E:E"")=$B78
    ),
    1
  ),
  ""Not Found""
)"),"https://drive.google.com/open?id=1VpZl20HDSrdMqVZDtB6oL4xECc6y7Kwt, https://drive.google.com/open?id=1xJJQjeaWAIk7e22zUKs3ciSMMCRq2yVK, https://drive.google.com/open?id=1u8kHOBXLyIHIuNpQQ3WIAL240Xo19ykQ, https://drive.google.com/open?id=1pnw-SLI1roXcfTccF"&amp;"afVUclA_T5n8Ozp, https://drive.google.com/open?id=16-wHWfhTwZKBnacGS7_cV2p4kJ2gvsBO")</f>
        <v>https://drive.google.com/open?id=1VpZl20HDSrdMqVZDtB6oL4xECc6y7Kwt, https://drive.google.com/open?id=1xJJQjeaWAIk7e22zUKs3ciSMMCRq2yVK, https://drive.google.com/open?id=1u8kHOBXLyIHIuNpQQ3WIAL240Xo19ykQ, https://drive.google.com/open?id=1pnw-SLI1roXcfTccFafVUclA_T5n8Ozp, https://drive.google.com/open?id=16-wHWfhTwZKBnacGS7_cV2p4kJ2gvsBO</v>
      </c>
      <c r="S78" s="285"/>
      <c r="T78" s="290" t="str">
        <f>VLOOKUP($B78,'Master Tracker'!$D:$E,2,false)</f>
        <v>https://drive.google.com/open?id=1Vbmkdl_7Ei46isaOU8KeRUmtucMEKNlF</v>
      </c>
      <c r="U78" s="291" t="str">
        <f>VLOOKUP($B78,'Master Tracker'!$D:$T,4,FALSE)
</f>
        <v>https://drive.google.com/open?id=1rC7dUA8-Nn9U4Ew4oNOzLcSZDqqS3Jvr</v>
      </c>
      <c r="V78" s="290" t="str">
        <f>VLOOKUP($B78,'Master Tracker'!$D:$T,5,false)</f>
        <v>https://drive.google.com/file/d/1bpFE3U8MIpvTe1QizVQSLQFtKS6jNsPz/view?usp=drive_link</v>
      </c>
      <c r="W78" s="291" t="str">
        <f>VLOOKUP($B78,'Master Tracker'!$D:$T,7,false)</f>
        <v>https://drive.google.com/open?id=1ZhE4_ICYRh1QBqaHdZ4gMy0uysijjb39</v>
      </c>
      <c r="X78" s="290" t="str">
        <f>VLOOKUP($B78,'Master Tracker'!$D:$T,8,false)</f>
        <v>https://drive.google.com/open?id=1Cb_I1345HNBYx9ePwWCzOUi9RczR5qq0</v>
      </c>
      <c r="Y78" s="291" t="str">
        <f>VLOOKUP($B78,'Master Tracker'!$D:$T,10,false)</f>
        <v>https://drive.google.com/open?id=1JcDBbMy0vNFI6NrGMhYA5XYsdm2hJmct</v>
      </c>
      <c r="Z78" s="284" t="str">
        <f>VLOOKUP($B78,'Master Tracker'!$D:$T,11,false)</f>
        <v>Not Found</v>
      </c>
      <c r="AA78" s="292" t="str">
        <f>VLOOKUP($B78,'Master Tracker'!$D:$T,13,false)</f>
        <v>Not Found</v>
      </c>
      <c r="AB78" s="284" t="str">
        <f>VLOOKUP($B78,'Master Tracker'!$D:$T,14,false)</f>
        <v>Not Found</v>
      </c>
      <c r="AC78" s="292" t="str">
        <f>VLOOKUP($B78,'Master Tracker'!$D:$T,16,false)</f>
        <v>Not Found</v>
      </c>
      <c r="AD78" s="292" t="str">
        <f>VLOOKUP($B78,'Master Tracker'!$D:$T,17,false)</f>
        <v>Not Found</v>
      </c>
      <c r="AE78" s="292" t="str">
        <f>VLOOKUP($B78,'Master Tracker'!$D:$V,19,false)</f>
        <v>Not Found</v>
      </c>
      <c r="AF78" s="292">
        <f>IFERROR(__xludf.DUMMYFUNCTION("IFERROR(
  INDEX(
    FILTER(
      'Juma Recording forms'!$G:$G,
      TRIM('Juma Recording forms'!$F:$F) = TRIM($B78),
      'Juma Recording forms'!$AA:$AA = 1
    ),
    1
  ),
  ""Not Found""
)"),115.0)</f>
        <v>115</v>
      </c>
      <c r="AG78" s="292">
        <f>IFERROR(__xludf.DUMMYFUNCTION("IFERROR(
  INDEX(
    FILTER(
      'Juma Recording forms'!$G:$G,
      TRIM('Juma Recording forms'!$F:$F) = TRIM($B78),
      'Juma Recording forms'!$AA:$AA = 2
    ),
    1
  ),
  ""Not Found""
)"),120.0)</f>
        <v>120</v>
      </c>
      <c r="AH78" s="292">
        <f>IFERROR(__xludf.DUMMYFUNCTION("IFERROR(
  INDEX(
    FILTER(
      'Juma Recording forms'!$G:$G,
      TRIM('Juma Recording forms'!$F:$F) = TRIM($B78),
      'Juma Recording forms'!$AA:$AA = 3
    ),
    1
  ),
  ""Not Found""
)"),110.0)</f>
        <v>110</v>
      </c>
      <c r="AI78" s="292" t="str">
        <f>IFERROR(__xludf.DUMMYFUNCTION("IFERROR(
  INDEX(
    FILTER(
      'Juma Recording forms'!$G:$G,
      TRIM('Juma Recording forms'!$F:$F) = TRIM($B78),
      'Juma Recording forms'!$AA:$AA = 4
    ),
    1
  ),
  ""Not Found""
)"),"Not Found")</f>
        <v>Not Found</v>
      </c>
      <c r="AJ78" s="292" t="str">
        <f>IFERROR(__xludf.DUMMYFUNCTION("IFERROR(
  INDEX(
    FILTER(
      'Juma Recording forms'!$G:$G,
      TRIM('Juma Recording forms'!$F:$F) = TRIM($B78),
      'Juma Recording forms'!$AA:$AA = 5
    ),
    1
  ),
  ""Not Found""
)"),"Not Found")</f>
        <v>Not Found</v>
      </c>
      <c r="AK78" s="292" t="str">
        <f>IFERROR(__xludf.DUMMYFUNCTION("IFERROR(
  INDEX(
    FILTER(
      'Juma Recording forms'!$G:$G,
      TRIM('Juma Recording forms'!$F:$F) = TRIM($B78),
      'Juma Recording forms'!$AA:$AA = 6
    ),
    1
  ),
  ""Not Found""
)"),"Not Found")</f>
        <v>Not Found</v>
      </c>
      <c r="AL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1!$E:$E"")=$B78) *
        (IMPORTRANGE(""https://docs.google.com/spreadsheets/d/161aHT6vVT3SLneTKD19N5qVWtnj_jIT8CSsOmUVKmaA/ed"&amp;"it?gid=1761053510"",
          ""Haris_Form responses 1!$AQ:$AQ"")=1)
      ),
      1
    ),
    ""0""
  ),
  ""Form not found""
)
"),"10")</f>
        <v>10</v>
      </c>
      <c r="AM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1!$E:$E"")=$B78) *
        (IMPORTRANGE(""https://docs.google.com/spreadsheets/d/161aHT6vVT3SLneTKD19N5qVWtnj_jIT8CSsOmUVKmaA/ed"&amp;"it?gid=1761053510"",
          ""Haris_Form responses 1!$AQ:$AQ"")=2)
      ),
      1
    ),
    ""0""
  ),
  ""Form not found""
)
"),"10")</f>
        <v>10</v>
      </c>
      <c r="AN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1!$E:$E"")=$B78) *
        (IMPORTRANGE(""https://docs.google.com/spreadsheets/d/161aHT6vVT3SLneTKD19N5qVWtnj_jIT8CSsOmUVKmaA/ed"&amp;"it?gid=1761053510"",
          ""Haris_Form responses 1!$AQ:$AQ"")=3)
      ),
      1
    ),
    ""0""
  ),
  ""Form not found""
)
"),"0")</f>
        <v>0</v>
      </c>
      <c r="AO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1!$E:$E"")=$B78) *
        (IMPORTRANGE(""https://docs.google.com/spreadsheets/d/161aHT6vVT3SLneTKD19N5qVWtnj_jIT8CSsOmUVKmaA/ed"&amp;"it?gid=1761053510"",
          ""Haris_Form responses 1!$AQ:$AQ"")=4)
      ),
      1
    ),
    ""0""
  ),
  ""Form not found""
)
"),"Form not found")</f>
        <v>Form not found</v>
      </c>
      <c r="AP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1!$E:$E"")=$B78) *
        (IMPORTRANGE(""https://docs.google.com/spreadsheets/d/161aHT6vVT3SLneTKD19N5qVWtnj_jIT8CSsOmUVKmaA/ed"&amp;"it?gid=1761053510"",
          ""Haris_Form responses 1!$AQ:$AQ"")=5)
      ),
      1
    ),
    ""0""
  ),
  ""Form not found""
)
"),"Form not found")</f>
        <v>Form not found</v>
      </c>
      <c r="AQ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1!$E:$E"")=$B78) *
        (IMPORTRANGE(""https://docs.google.com/spreadsheets/d/161aHT6vVT3SLneTKD19N5qVWtnj_jIT8CSsOmUVKmaA/ed"&amp;"it?gid=1761053510"",
          ""Haris_Form responses 1!$AQ:$AQ"")=6)
      ),
      1
    ),
    ""0""
  ),
  ""Form not found""
)
"),"Form not found")</f>
        <v>Form not found</v>
      </c>
      <c r="AR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1!$E:$E"")=$B78) *
        (IMPORTRANGE(""https://docs.google.com/spreadsheets/d/161aHT6vVT3SLneTKD19N5qVWtnj_jIT8CSsOmUVKmaA/ed"&amp;"it?gid=1761053510"",
          ""Haris_Form responses 1!$AQ:$AQ"")=1)
      ),
      1
    ),
    ""0""
  ),
  ""Form not found""
)
"),"0")</f>
        <v>0</v>
      </c>
      <c r="AS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1!$E:$E"")=$B78) *
        (IMPORTRANGE(""https://docs.google.com/spreadsheets/d/161aHT6vVT3SLneTKD19N5qVWtnj_jIT8CSsOmUVKmaA/ed"&amp;"it?gid=1761053510"",
          ""Haris_Form responses 1!$AQ:$AQ"")=2)
      ),
      1
    ),
    ""0""
  ),
  ""Form not found""
)
"),"0")</f>
        <v>0</v>
      </c>
      <c r="AT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1!$E:$E"")=$B78) *
        (IMPORTRANGE(""https://docs.google.com/spreadsheets/d/161aHT6vVT3SLneTKD19N5qVWtnj_jIT8CSsOmUVKmaA/ed"&amp;"it?gid=1761053510"",
          ""Haris_Form responses 1!$AQ:$AQ"")=3)
      ),
      1
    ),
    ""0""
  ),
  ""Form not found""
)
"),"0")</f>
        <v>0</v>
      </c>
      <c r="AU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1!$E:$E"")=$B78) *
        (IMPORTRANGE(""https://docs.google.com/spreadsheets/d/161aHT6vVT3SLneTKD19N5qVWtnj_jIT8CSsOmUVKmaA/ed"&amp;"it?gid=1761053510"",
          ""Haris_Form responses 1!$AQ:$AQ"")=4)
      ),
      1
    ),
    ""0""
  ),
  ""Form not found""
)
"),"Form not found")</f>
        <v>Form not found</v>
      </c>
      <c r="AV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1!$E:$E"")=$B78) *
        (IMPORTRANGE(""https://docs.google.com/spreadsheets/d/161aHT6vVT3SLneTKD19N5qVWtnj_jIT8CSsOmUVKmaA/ed"&amp;"it?gid=1761053510"",
          ""Haris_Form responses 1!$AQ:$AQ"")=5)
      ),
      1
    ),
    ""0""
  ),
  ""Form not found""
)
"),"Form not found")</f>
        <v>Form not found</v>
      </c>
      <c r="AW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1!$E:$E"")=$B78) *
        (IMPORTRANGE(""https://docs.google.com/spreadsheets/d/161aHT6vVT3SLneTKD19N5qVWtnj_jIT8CSsOmUVKmaA/ed"&amp;"it?gid=1761053510"",
          ""Haris_Form responses 1!$AQ:$AQ"")=6)
      ),
      1
    ),
    ""0""
  ),
  ""Form not found""
)
"),"Form not found")</f>
        <v>Form not found</v>
      </c>
      <c r="AX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1!$E:$E"")=$B78) *
        (IMPORTRANGE(""https://docs.google.com/spreadsheets/d/161aHT6vVT3SLneTKD19N5qVWtnj_jIT8CSsOmUVKmaA/ed"&amp;"it?gid=1761053510"",
          ""Haris_Form responses 1!$AQ:$AQ"")=1)
      ),
      1
    ),
    ""0""
  ),
  ""Form not found""
)
"),"10")</f>
        <v>10</v>
      </c>
      <c r="AY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1!$E:$E"")=$B78) *
        (IMPORTRANGE(""https://docs.google.com/spreadsheets/d/161aHT6vVT3SLneTKD19N5qVWtnj_jIT8CSsOmUVKmaA/ed"&amp;"it?gid=1761053510"",
          ""Haris_Form responses 1!$AQ:$AQ"")=2)
      ),
      1
    ),
    ""0""
  ),
  ""Form not found""
)
"),"10")</f>
        <v>10</v>
      </c>
      <c r="AZ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1!$E:$E"")=$B78) *
        (IMPORTRANGE(""https://docs.google.com/spreadsheets/d/161aHT6vVT3SLneTKD19N5qVWtnj_jIT8CSsOmUVKmaA/ed"&amp;"it?gid=1761053510"",
          ""Haris_Form responses 1!$AQ:$AQ"")=3)
      ),
      1
    ),
    ""0""
  ),
  ""Form not found""
)
"),"0")</f>
        <v>0</v>
      </c>
      <c r="BA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1!$E:$E"")=$B78) *
        (IMPORTRANGE(""https://docs.google.com/spreadsheets/d/161aHT6vVT3SLneTKD19N5qVWtnj_jIT8CSsOmUVKmaA/ed"&amp;"it?gid=1761053510"",
          ""Haris_Form responses 1!$AQ:$AQ"")=4)
      ),
      1
    ),
    ""0""
  ),
  ""Form not found""
)
"),"Form not found")</f>
        <v>Form not found</v>
      </c>
      <c r="BB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1!$E:$E"")=$B78) *
        (IMPORTRANGE(""https://docs.google.com/spreadsheets/d/161aHT6vVT3SLneTKD19N5qVWtnj_jIT8CSsOmUVKmaA/ed"&amp;"it?gid=1761053510"",
          ""Haris_Form responses 1!$AQ:$AQ"")=5)
      ),
      1
    ),
    ""0""
  ),
  ""Form not found""
)
"),"Form not found")</f>
        <v>Form not found</v>
      </c>
      <c r="BC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1!$E:$E"")=$B78) *
        (IMPORTRANGE(""https://docs.google.com/spreadsheets/d/161aHT6vVT3SLneTKD19N5qVWtnj_jIT8CSsOmUVKmaA/ed"&amp;"it?gid=1761053510"",
          ""Haris_Form responses 1!$AQ:$AQ"")=6)
      ),
      1
    ),
    ""0""
  ),
  ""Form not found""
)
"),"Form not found")</f>
        <v>Form not found</v>
      </c>
      <c r="BD78" s="293"/>
    </row>
    <row r="79">
      <c r="A79" s="283" t="str">
        <f>IFERROR(__xludf.DUMMYFUNCTION("VLOOKUP($B79,IMPORTRANGE(""https://docs.google.com/spreadsheets/d/1VNXDITjs75AcgdBSW27oL1VZH31udDprJSsBcE5xlp4/edit?gid=1551188038#gid=1551188038"", ""Sheet9!$B:$E""),2,false)"),"Gujrawala")</f>
        <v>Gujrawala</v>
      </c>
      <c r="B79" s="283" t="s">
        <v>2463</v>
      </c>
      <c r="C79" s="284" t="str">
        <f>IFERROR(__xludf.DUMMYFUNCTION("VLOOKUP(TRIM($B79), IMPORTRANGE(""https://docs.google.com/spreadsheets/d/1aSOrU4PTpuBZqfitKaH1Rfww6-YOiNCKoBpPl8XBHaw/edit?gid=0#gid=0"", ""sheet3!$B:$C""), 2, FALSE)
"),"Jamia Masjid Darbar Boty Shah Hafizabad")</f>
        <v>Jamia Masjid Darbar Boty Shah Hafizabad</v>
      </c>
      <c r="D79" s="284" t="str">
        <f>IFERROR(__xludf.DUMMYFUNCTION("IFERROR(
  INDEX(
    FILTER(
      IMPORTRANGE(""1aSOrU4PTpuBZqfitKaH1Rfww6-YOiNCKoBpPl8XBHaw/edit?gid=0#gid=0"",""Sheet1!G:G""),
      IMPORTRANGE(""1aSOrU4PTpuBZqfitKaH1Rfww6-YOiNCKoBpPl8XBHaw/edit?gid=0#gid=0"",""Sheet1!C:C"")=$B79
    ),
    1
  ),
 "&amp;" ""Not Found""
)"),"Women Religious Info Share")</f>
        <v>Women Religious Info Share</v>
      </c>
      <c r="E79" s="284" t="str">
        <f>VLOOKUP(B79,'Juma Recording forms'!A:E,5,false)</f>
        <v>Dabar botay sha</v>
      </c>
      <c r="F79" s="284" t="str">
        <f>IFERROR(__xludf.DUMMYFUNCTION("IFERROR(
  INDEX(
    FILTER(
      IMPORTRANGE(""1Cxrhp3-_-HS7v9uuqQliiIfrmMP4VaFoDNDWyUFy2J8/edit?gid=0#gid=0"",""Sheet1!Q:Q""),
      IMPORTRANGE(""1Cxrhp3-_-HS7v9uuqQliiIfrmMP4VaFoDNDWyUFy2J8/edit?gid=0#gid=0"",""Sheet1!K:K"")=$B79
    ),
    1
  ),
 "&amp;" ""Not Found""
)"),"QARI RAFQAT ALI")</f>
        <v>QARI RAFQAT ALI</v>
      </c>
      <c r="G79" s="284">
        <v>1995.0</v>
      </c>
      <c r="H79" s="284" t="s">
        <v>4835</v>
      </c>
      <c r="I79" s="285"/>
      <c r="J79" s="286">
        <v>2.0</v>
      </c>
      <c r="K79" s="287" t="str">
        <f>VLOOKUP($B79,'Mosque Locations'!$A:$E,3,FALSE)
</f>
        <v>https://maps.google.com/maps?q=32.2530001%2C73.6740197&amp;z=17&amp;hl=en</v>
      </c>
      <c r="L79" s="286">
        <f>VLOOKUP($B79,'Mosque Locations'!$A:$E,4,FALSE)
</f>
        <v>32.253</v>
      </c>
      <c r="M79" s="286">
        <f>VLOOKUP($B79,'Mosque Locations'!$A:$E,5,false)</f>
        <v>73.67402</v>
      </c>
      <c r="N79" s="288"/>
      <c r="O79" s="288"/>
      <c r="P79" s="288"/>
      <c r="Q79" s="289" t="str">
        <f>IFERROR(__xludf.DUMMYFUNCTION("IFERROR(
  INDEX(
    FILTER(
      IMPORTRANGE(""1DccNxjBgurEr0ABkI_rBagJT5phB5HaHG5N_mTm_BiA/edit?gid=1382299152#gid=1382299152"",""Form Responses 1!T:T""),
      IMPORTRANGE(""1DccNxjBgurEr0ABkI_rBagJT5phB5HaHG5N_mTm_BiA/edit?gid=1382299152#gid=1382299"&amp;"152"",""Form Responses 1!E:E"")=$B79
    ),
    1
  ),
  ""Not Found""
)"),"https://drive.google.com/open?id=1Z1g-jwYjIZKT50gf5Jip12d276C12nyd")</f>
        <v>https://drive.google.com/open?id=1Z1g-jwYjIZKT50gf5Jip12d276C12nyd</v>
      </c>
      <c r="R79" s="289" t="str">
        <f>IFERROR(__xludf.DUMMYFUNCTION("IFERROR(
  INDEX(
    FILTER(
      IMPORTRANGE(""1DccNxjBgurEr0ABkI_rBagJT5phB5HaHG5N_mTm_BiA/edit?gid=1382299152#gid=1382299152"",""Form Responses 1!S:S""),
      IMPORTRANGE(""1DccNxjBgurEr0ABkI_rBagJT5phB5HaHG5N_mTm_BiA/edit?gid=1382299152#gid=1382299"&amp;"152"",""Form Responses 1!E:E"")=$B79
    ),
    1
  ),
  ""Not Found""
)"),"https://drive.google.com/open?id=1CGMrpivhFuBosObOYVsmztqFEIImh0ZP")</f>
        <v>https://drive.google.com/open?id=1CGMrpivhFuBosObOYVsmztqFEIImh0ZP</v>
      </c>
      <c r="S79" s="285"/>
      <c r="T79" s="290" t="str">
        <f>VLOOKUP($B79,'Master Tracker'!$D:$E,2,false)</f>
        <v>https://drive.google.com/open?id=1GEoarcABVUWbWhJsEc7r7EAERUkbw0oV</v>
      </c>
      <c r="U79" s="291" t="str">
        <f>VLOOKUP($B79,'Master Tracker'!$D:$T,4,FALSE)
</f>
        <v>https://drive.google.com/open?id=1GK3T8k4i5QYvR0SHeI00weddRB1m8HId</v>
      </c>
      <c r="V79" s="290" t="str">
        <f>VLOOKUP($B79,'Master Tracker'!$D:$T,5,false)</f>
        <v>https://drive.google.com/open?id=1iA7fzouz417pdevo4UlU74pYHsAQHMCx</v>
      </c>
      <c r="W79" s="291" t="str">
        <f>VLOOKUP($B79,'Master Tracker'!$D:$T,7,false)</f>
        <v>https://drive.google.com/open?id=1WqEuD5gR_fAC0ySNgHkE6uX127d36zAX</v>
      </c>
      <c r="X79" s="290" t="str">
        <f>VLOOKUP($B79,'Master Tracker'!$D:$T,8,false)</f>
        <v>https://drive.google.com/open?id=1lSWcKtAj2nabWaBBmNyN6GNqrosJ86eh</v>
      </c>
      <c r="Y79" s="291" t="str">
        <f>VLOOKUP($B79,'Master Tracker'!$D:$T,10,false)</f>
        <v>https://drive.google.com/open?id=1_5VwI4MiyhHpJFwTN5-HpT4ibNZqrT9b</v>
      </c>
      <c r="Z79" s="284" t="str">
        <f>VLOOKUP($B79,'Master Tracker'!$D:$T,11,false)</f>
        <v>Not Found</v>
      </c>
      <c r="AA79" s="292" t="str">
        <f>VLOOKUP($B79,'Master Tracker'!$D:$T,13,false)</f>
        <v>Not Found</v>
      </c>
      <c r="AB79" s="284" t="str">
        <f>VLOOKUP($B79,'Master Tracker'!$D:$T,14,false)</f>
        <v>Not Found</v>
      </c>
      <c r="AC79" s="292" t="str">
        <f>VLOOKUP($B79,'Master Tracker'!$D:$T,16,false)</f>
        <v>Not Found</v>
      </c>
      <c r="AD79" s="292" t="str">
        <f>VLOOKUP($B79,'Master Tracker'!$D:$T,17,false)</f>
        <v>Not Found</v>
      </c>
      <c r="AE79" s="292" t="str">
        <f>VLOOKUP($B79,'Master Tracker'!$D:$V,19,false)</f>
        <v>Not Found</v>
      </c>
      <c r="AF79" s="292">
        <f>IFERROR(__xludf.DUMMYFUNCTION("IFERROR(
  INDEX(
    FILTER(
      'Juma Recording forms'!$G:$G,
      TRIM('Juma Recording forms'!$F:$F) = TRIM($B79),
      'Juma Recording forms'!$AA:$AA = 1
    ),
    1
  ),
  ""Not Found""
)"),35.0)</f>
        <v>35</v>
      </c>
      <c r="AG79" s="292">
        <f>IFERROR(__xludf.DUMMYFUNCTION("IFERROR(
  INDEX(
    FILTER(
      'Juma Recording forms'!$G:$G,
      TRIM('Juma Recording forms'!$F:$F) = TRIM($B79),
      'Juma Recording forms'!$AA:$AA = 2
    ),
    1
  ),
  ""Not Found""
)"),27.0)</f>
        <v>27</v>
      </c>
      <c r="AH79" s="292">
        <f>IFERROR(__xludf.DUMMYFUNCTION("IFERROR(
  INDEX(
    FILTER(
      'Juma Recording forms'!$G:$G,
      TRIM('Juma Recording forms'!$F:$F) = TRIM($B79),
      'Juma Recording forms'!$AA:$AA = 3
    ),
    1
  ),
  ""Not Found""
)"),22.0)</f>
        <v>22</v>
      </c>
      <c r="AI79" s="292" t="str">
        <f>IFERROR(__xludf.DUMMYFUNCTION("IFERROR(
  INDEX(
    FILTER(
      'Juma Recording forms'!$G:$G,
      TRIM('Juma Recording forms'!$F:$F) = TRIM($B79),
      'Juma Recording forms'!$AA:$AA = 4
    ),
    1
  ),
  ""Not Found""
)"),"Not Found")</f>
        <v>Not Found</v>
      </c>
      <c r="AJ79" s="292" t="str">
        <f>IFERROR(__xludf.DUMMYFUNCTION("IFERROR(
  INDEX(
    FILTER(
      'Juma Recording forms'!$G:$G,
      TRIM('Juma Recording forms'!$F:$F) = TRIM($B79),
      'Juma Recording forms'!$AA:$AA = 5
    ),
    1
  ),
  ""Not Found""
)"),"Not Found")</f>
        <v>Not Found</v>
      </c>
      <c r="AK79" s="292" t="str">
        <f>IFERROR(__xludf.DUMMYFUNCTION("IFERROR(
  INDEX(
    FILTER(
      'Juma Recording forms'!$G:$G,
      TRIM('Juma Recording forms'!$F:$F) = TRIM($B79),
      'Juma Recording forms'!$AA:$AA = 6
    ),
    1
  ),
  ""Not Found""
)"),"Not Found")</f>
        <v>Not Found</v>
      </c>
      <c r="AL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1!$E:$E"")=$B79) *
        (IMPORTRANGE(""https://docs.google.com/spreadsheets/d/161aHT6vVT3SLneTKD19N5qVWtnj_jIT8CSsOmUVKmaA/ed"&amp;"it?gid=1761053510"",
          ""Haris_Form responses 1!$AQ:$AQ"")=1)
      ),
      1
    ),
    ""0""
  ),
  ""Form not found""
)
"),"10")</f>
        <v>10</v>
      </c>
      <c r="AM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1!$E:$E"")=$B79) *
        (IMPORTRANGE(""https://docs.google.com/spreadsheets/d/161aHT6vVT3SLneTKD19N5qVWtnj_jIT8CSsOmUVKmaA/ed"&amp;"it?gid=1761053510"",
          ""Haris_Form responses 1!$AQ:$AQ"")=2)
      ),
      1
    ),
    ""0""
  ),
  ""Form not found""
)
"),"10")</f>
        <v>10</v>
      </c>
      <c r="AN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1!$E:$E"")=$B79) *
        (IMPORTRANGE(""https://docs.google.com/spreadsheets/d/161aHT6vVT3SLneTKD19N5qVWtnj_jIT8CSsOmUVKmaA/ed"&amp;"it?gid=1761053510"",
          ""Haris_Form responses 1!$AQ:$AQ"")=3)
      ),
      1
    ),
    ""0""
  ),
  ""Form not found""
)
"),"0")</f>
        <v>0</v>
      </c>
      <c r="AO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1!$E:$E"")=$B79) *
        (IMPORTRANGE(""https://docs.google.com/spreadsheets/d/161aHT6vVT3SLneTKD19N5qVWtnj_jIT8CSsOmUVKmaA/ed"&amp;"it?gid=1761053510"",
          ""Haris_Form responses 1!$AQ:$AQ"")=4)
      ),
      1
    ),
    ""0""
  ),
  ""Form not found""
)
"),"Form not found")</f>
        <v>Form not found</v>
      </c>
      <c r="AP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1!$E:$E"")=$B79) *
        (IMPORTRANGE(""https://docs.google.com/spreadsheets/d/161aHT6vVT3SLneTKD19N5qVWtnj_jIT8CSsOmUVKmaA/ed"&amp;"it?gid=1761053510"",
          ""Haris_Form responses 1!$AQ:$AQ"")=5)
      ),
      1
    ),
    ""0""
  ),
  ""Form not found""
)
"),"Form not found")</f>
        <v>Form not found</v>
      </c>
      <c r="AQ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1!$E:$E"")=$B79) *
        (IMPORTRANGE(""https://docs.google.com/spreadsheets/d/161aHT6vVT3SLneTKD19N5qVWtnj_jIT8CSsOmUVKmaA/ed"&amp;"it?gid=1761053510"",
          ""Haris_Form responses 1!$AQ:$AQ"")=6)
      ),
      1
    ),
    ""0""
  ),
  ""Form not found""
)
"),"Form not found")</f>
        <v>Form not found</v>
      </c>
      <c r="AR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1!$E:$E"")=$B79) *
        (IMPORTRANGE(""https://docs.google.com/spreadsheets/d/161aHT6vVT3SLneTKD19N5qVWtnj_jIT8CSsOmUVKmaA/ed"&amp;"it?gid=1761053510"",
          ""Haris_Form responses 1!$AQ:$AQ"")=1)
      ),
      1
    ),
    ""0""
  ),
  ""Form not found""
)
"),"0")</f>
        <v>0</v>
      </c>
      <c r="AS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1!$E:$E"")=$B79) *
        (IMPORTRANGE(""https://docs.google.com/spreadsheets/d/161aHT6vVT3SLneTKD19N5qVWtnj_jIT8CSsOmUVKmaA/ed"&amp;"it?gid=1761053510"",
          ""Haris_Form responses 1!$AQ:$AQ"")=2)
      ),
      1
    ),
    ""0""
  ),
  ""Form not found""
)
"),"0")</f>
        <v>0</v>
      </c>
      <c r="AT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1!$E:$E"")=$B79) *
        (IMPORTRANGE(""https://docs.google.com/spreadsheets/d/161aHT6vVT3SLneTKD19N5qVWtnj_jIT8CSsOmUVKmaA/ed"&amp;"it?gid=1761053510"",
          ""Haris_Form responses 1!$AQ:$AQ"")=3)
      ),
      1
    ),
    ""0""
  ),
  ""Form not found""
)
"),"3")</f>
        <v>3</v>
      </c>
      <c r="AU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1!$E:$E"")=$B79) *
        (IMPORTRANGE(""https://docs.google.com/spreadsheets/d/161aHT6vVT3SLneTKD19N5qVWtnj_jIT8CSsOmUVKmaA/ed"&amp;"it?gid=1761053510"",
          ""Haris_Form responses 1!$AQ:$AQ"")=4)
      ),
      1
    ),
    ""0""
  ),
  ""Form not found""
)
"),"Form not found")</f>
        <v>Form not found</v>
      </c>
      <c r="AV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1!$E:$E"")=$B79) *
        (IMPORTRANGE(""https://docs.google.com/spreadsheets/d/161aHT6vVT3SLneTKD19N5qVWtnj_jIT8CSsOmUVKmaA/ed"&amp;"it?gid=1761053510"",
          ""Haris_Form responses 1!$AQ:$AQ"")=5)
      ),
      1
    ),
    ""0""
  ),
  ""Form not found""
)
"),"Form not found")</f>
        <v>Form not found</v>
      </c>
      <c r="AW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1!$E:$E"")=$B79) *
        (IMPORTRANGE(""https://docs.google.com/spreadsheets/d/161aHT6vVT3SLneTKD19N5qVWtnj_jIT8CSsOmUVKmaA/ed"&amp;"it?gid=1761053510"",
          ""Haris_Form responses 1!$AQ:$AQ"")=6)
      ),
      1
    ),
    ""0""
  ),
  ""Form not found""
)
"),"Form not found")</f>
        <v>Form not found</v>
      </c>
      <c r="AX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1!$E:$E"")=$B79) *
        (IMPORTRANGE(""https://docs.google.com/spreadsheets/d/161aHT6vVT3SLneTKD19N5qVWtnj_jIT8CSsOmUVKmaA/ed"&amp;"it?gid=1761053510"",
          ""Haris_Form responses 1!$AQ:$AQ"")=1)
      ),
      1
    ),
    ""0""
  ),
  ""Form not found""
)
"),"10")</f>
        <v>10</v>
      </c>
      <c r="AY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1!$E:$E"")=$B79) *
        (IMPORTRANGE(""https://docs.google.com/spreadsheets/d/161aHT6vVT3SLneTKD19N5qVWtnj_jIT8CSsOmUVKmaA/ed"&amp;"it?gid=1761053510"",
          ""Haris_Form responses 1!$AQ:$AQ"")=2)
      ),
      1
    ),
    ""0""
  ),
  ""Form not found""
)
"),"10")</f>
        <v>10</v>
      </c>
      <c r="AZ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1!$E:$E"")=$B79) *
        (IMPORTRANGE(""https://docs.google.com/spreadsheets/d/161aHT6vVT3SLneTKD19N5qVWtnj_jIT8CSsOmUVKmaA/ed"&amp;"it?gid=1761053510"",
          ""Haris_Form responses 1!$AQ:$AQ"")=3)
      ),
      1
    ),
    ""0""
  ),
  ""Form not found""
)
"),"0")</f>
        <v>0</v>
      </c>
      <c r="BA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1!$E:$E"")=$B79) *
        (IMPORTRANGE(""https://docs.google.com/spreadsheets/d/161aHT6vVT3SLneTKD19N5qVWtnj_jIT8CSsOmUVKmaA/ed"&amp;"it?gid=1761053510"",
          ""Haris_Form responses 1!$AQ:$AQ"")=4)
      ),
      1
    ),
    ""0""
  ),
  ""Form not found""
)
"),"Form not found")</f>
        <v>Form not found</v>
      </c>
      <c r="BB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1!$E:$E"")=$B79) *
        (IMPORTRANGE(""https://docs.google.com/spreadsheets/d/161aHT6vVT3SLneTKD19N5qVWtnj_jIT8CSsOmUVKmaA/ed"&amp;"it?gid=1761053510"",
          ""Haris_Form responses 1!$AQ:$AQ"")=5)
      ),
      1
    ),
    ""0""
  ),
  ""Form not found""
)
"),"Form not found")</f>
        <v>Form not found</v>
      </c>
      <c r="BC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1!$E:$E"")=$B79) *
        (IMPORTRANGE(""https://docs.google.com/spreadsheets/d/161aHT6vVT3SLneTKD19N5qVWtnj_jIT8CSsOmUVKmaA/ed"&amp;"it?gid=1761053510"",
          ""Haris_Form responses 1!$AQ:$AQ"")=6)
      ),
      1
    ),
    ""0""
  ),
  ""Form not found""
)
"),"Form not found")</f>
        <v>Form not found</v>
      </c>
      <c r="BD79" s="293"/>
    </row>
    <row r="80">
      <c r="A80" s="283" t="str">
        <f>IFERROR(__xludf.DUMMYFUNCTION("VLOOKUP($B80,IMPORTRANGE(""https://docs.google.com/spreadsheets/d/1VNXDITjs75AcgdBSW27oL1VZH31udDprJSsBcE5xlp4/edit?gid=1551188038#gid=1551188038"", ""Sheet9!$B:$E""),2,false)"),"Gujrawala")</f>
        <v>Gujrawala</v>
      </c>
      <c r="B80" s="283" t="s">
        <v>2765</v>
      </c>
      <c r="C80" s="284" t="str">
        <f>IFERROR(__xludf.DUMMYFUNCTION("VLOOKUP(TRIM($B80), IMPORTRANGE(""https://docs.google.com/spreadsheets/d/1aSOrU4PTpuBZqfitKaH1Rfww6-YOiNCKoBpPl8XBHaw/edit?gid=0#gid=0"", ""sheet3!$B:$C""), 2, FALSE)
"),"Jamia Masjid Darbar Gulaab Shah Rasool Langar")</f>
        <v>Jamia Masjid Darbar Gulaab Shah Rasool Langar</v>
      </c>
      <c r="D80" s="284" t="str">
        <f>IFERROR(__xludf.DUMMYFUNCTION("IFERROR(
  INDEX(
    FILTER(
      IMPORTRANGE(""1aSOrU4PTpuBZqfitKaH1Rfww6-YOiNCKoBpPl8XBHaw/edit?gid=0#gid=0"",""Sheet1!G:G""),
      IMPORTRANGE(""1aSOrU4PTpuBZqfitKaH1Rfww6-YOiNCKoBpPl8XBHaw/edit?gid=0#gid=0"",""Sheet1!C:C"")=$B80
    ),
    1
  ),
 "&amp;" ""Not Found""
)"),"Control")</f>
        <v>Control</v>
      </c>
      <c r="E80" s="284" t="str">
        <f>VLOOKUP(B80,'Juma Recording forms'!A:E,5,false)</f>
        <v>Jamia masjid hanfia </v>
      </c>
      <c r="F80" s="284" t="str">
        <f>IFERROR(__xludf.DUMMYFUNCTION("IFERROR(
  INDEX(
    FILTER(
      IMPORTRANGE(""1Cxrhp3-_-HS7v9uuqQliiIfrmMP4VaFoDNDWyUFy2J8/edit?gid=0#gid=0"",""Sheet1!Q:Q""),
      IMPORTRANGE(""1Cxrhp3-_-HS7v9uuqQliiIfrmMP4VaFoDNDWyUFy2J8/edit?gid=0#gid=0"",""Sheet1!K:K"")=$B80
    ),
    1
  ),
 "&amp;" ""Not Found""
)"),"ALEEM UL DIN")</f>
        <v>ALEEM UL DIN</v>
      </c>
      <c r="G80" s="284">
        <v>1930.0</v>
      </c>
      <c r="H80" s="284" t="s">
        <v>4836</v>
      </c>
      <c r="I80" s="285"/>
      <c r="J80" s="286">
        <v>2.0</v>
      </c>
      <c r="K80" s="287" t="str">
        <f>VLOOKUP($B80,'Mosque Locations'!$A:$E,3,FALSE)
</f>
        <v>https://maps.google.com/maps?q=32.3301433%2C73.7796783&amp;z=17&amp;hl=en</v>
      </c>
      <c r="L80" s="286">
        <f>VLOOKUP($B80,'Mosque Locations'!$A:$E,4,FALSE)
</f>
        <v>32.33014</v>
      </c>
      <c r="M80" s="286">
        <f>VLOOKUP($B80,'Mosque Locations'!$A:$E,5,false)</f>
        <v>73.77968</v>
      </c>
      <c r="N80" s="288"/>
      <c r="O80" s="288"/>
      <c r="P80" s="288"/>
      <c r="Q80" s="289" t="str">
        <f>IFERROR(__xludf.DUMMYFUNCTION("IFERROR(
  INDEX(
    FILTER(
      IMPORTRANGE(""1DccNxjBgurEr0ABkI_rBagJT5phB5HaHG5N_mTm_BiA/edit?gid=1382299152#gid=1382299152"",""Form Responses 1!T:T""),
      IMPORTRANGE(""1DccNxjBgurEr0ABkI_rBagJT5phB5HaHG5N_mTm_BiA/edit?gid=1382299152#gid=1382299"&amp;"152"",""Form Responses 1!E:E"")=$B80
    ),
    1
  ),
  ""Not Found""
)"),"https://drive.google.com/open?id=13Vz5Ib4Fx-4f82lRSZXyLQC8MHaS1-l9")</f>
        <v>https://drive.google.com/open?id=13Vz5Ib4Fx-4f82lRSZXyLQC8MHaS1-l9</v>
      </c>
      <c r="R80" s="289" t="str">
        <f>IFERROR(__xludf.DUMMYFUNCTION("IFERROR(
  INDEX(
    FILTER(
      IMPORTRANGE(""1DccNxjBgurEr0ABkI_rBagJT5phB5HaHG5N_mTm_BiA/edit?gid=1382299152#gid=1382299152"",""Form Responses 1!S:S""),
      IMPORTRANGE(""1DccNxjBgurEr0ABkI_rBagJT5phB5HaHG5N_mTm_BiA/edit?gid=1382299152#gid=1382299"&amp;"152"",""Form Responses 1!E:E"")=$B80
    ),
    1
  ),
  ""Not Found""
)"),"https://drive.google.com/open?id=1O3TAQSDArIuUtHqQ_qOBHFSOE2T1VZuY")</f>
        <v>https://drive.google.com/open?id=1O3TAQSDArIuUtHqQ_qOBHFSOE2T1VZuY</v>
      </c>
      <c r="S80" s="285"/>
      <c r="T80" s="290" t="str">
        <f>VLOOKUP($B80,'Master Tracker'!$D:$E,2,false)</f>
        <v>https://drive.google.com/open?id=1R83_pHzl3j9aOO0CMApn-fWmXHtjtFHT</v>
      </c>
      <c r="U80" s="291" t="str">
        <f>VLOOKUP($B80,'Master Tracker'!$D:$T,4,FALSE)
</f>
        <v>https://drive.google.com/open?id=1l4VGGojUkPLs9967EabVmvAwr06txFxo</v>
      </c>
      <c r="V80" s="284" t="str">
        <f>VLOOKUP($B80,'Master Tracker'!$D:$T,5,false)</f>
        <v>Not Found</v>
      </c>
      <c r="W80" s="292" t="str">
        <f>VLOOKUP($B80,'Master Tracker'!$D:$T,7,false)</f>
        <v>Not Found</v>
      </c>
      <c r="X80" s="290" t="str">
        <f>VLOOKUP($B80,'Master Tracker'!$D:$T,8,false)</f>
        <v>https://drive.google.com/open?id=11HmbJxHKjDgNbdpyfSMl8BQst2Z7mc1E</v>
      </c>
      <c r="Y80" s="291" t="str">
        <f>VLOOKUP($B80,'Master Tracker'!$D:$T,10,false)</f>
        <v>https://drive.google.com/open?id=1us5fNk41MqziJwca5YmqXdxmYkyN14Tr</v>
      </c>
      <c r="Z80" s="284" t="str">
        <f>VLOOKUP($B80,'Master Tracker'!$D:$T,11,false)</f>
        <v>Not Found</v>
      </c>
      <c r="AA80" s="292" t="str">
        <f>VLOOKUP($B80,'Master Tracker'!$D:$T,13,false)</f>
        <v>Not Found</v>
      </c>
      <c r="AB80" s="284" t="str">
        <f>VLOOKUP($B80,'Master Tracker'!$D:$T,14,false)</f>
        <v>Not Found</v>
      </c>
      <c r="AC80" s="292" t="str">
        <f>VLOOKUP($B80,'Master Tracker'!$D:$T,16,false)</f>
        <v>Not Found</v>
      </c>
      <c r="AD80" s="292" t="str">
        <f>VLOOKUP($B80,'Master Tracker'!$D:$T,17,false)</f>
        <v>Not Found</v>
      </c>
      <c r="AE80" s="292" t="str">
        <f>VLOOKUP($B80,'Master Tracker'!$D:$V,19,false)</f>
        <v>Not Found</v>
      </c>
      <c r="AF80" s="292">
        <f>IFERROR(__xludf.DUMMYFUNCTION("IFERROR(
  INDEX(
    FILTER(
      'Juma Recording forms'!$G:$G,
      TRIM('Juma Recording forms'!$F:$F) = TRIM($B80),
      'Juma Recording forms'!$AA:$AA = 1
    ),
    1
  ),
  ""Not Found""
)"),300.0)</f>
        <v>300</v>
      </c>
      <c r="AG80" s="292" t="str">
        <f>IFERROR(__xludf.DUMMYFUNCTION("IFERROR(
  INDEX(
    FILTER(
      'Juma Recording forms'!$G:$G,
      TRIM('Juma Recording forms'!$F:$F) = TRIM($B80),
      'Juma Recording forms'!$AA:$AA = 2
    ),
    1
  ),
  ""Not Found""
)"),"Not Found")</f>
        <v>Not Found</v>
      </c>
      <c r="AH80" s="292">
        <f>IFERROR(__xludf.DUMMYFUNCTION("IFERROR(
  INDEX(
    FILTER(
      'Juma Recording forms'!$G:$G,
      TRIM('Juma Recording forms'!$F:$F) = TRIM($B80),
      'Juma Recording forms'!$AA:$AA = 3
    ),
    1
  ),
  ""Not Found""
)"),290.0)</f>
        <v>290</v>
      </c>
      <c r="AI80" s="292" t="str">
        <f>IFERROR(__xludf.DUMMYFUNCTION("IFERROR(
  INDEX(
    FILTER(
      'Juma Recording forms'!$G:$G,
      TRIM('Juma Recording forms'!$F:$F) = TRIM($B80),
      'Juma Recording forms'!$AA:$AA = 4
    ),
    1
  ),
  ""Not Found""
)"),"Not Found")</f>
        <v>Not Found</v>
      </c>
      <c r="AJ80" s="292" t="str">
        <f>IFERROR(__xludf.DUMMYFUNCTION("IFERROR(
  INDEX(
    FILTER(
      'Juma Recording forms'!$G:$G,
      TRIM('Juma Recording forms'!$F:$F) = TRIM($B80),
      'Juma Recording forms'!$AA:$AA = 5
    ),
    1
  ),
  ""Not Found""
)"),"Not Found")</f>
        <v>Not Found</v>
      </c>
      <c r="AK80" s="292"/>
      <c r="AL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1!$E:$E"")=$B80) *
        (IMPORTRANGE(""https://docs.google.com/spreadsheets/d/161aHT6vVT3SLneTKD19N5qVWtnj_jIT8CSsOmUVKmaA/ed"&amp;"it?gid=1761053510"",
          ""Haris_Form responses 1!$AQ:$AQ"")=1)
      ),
      1
    ),
    ""0""
  ),
  ""Form not found""
)
"),"0")</f>
        <v>0</v>
      </c>
      <c r="AM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1!$E:$E"")=$B80) *
        (IMPORTRANGE(""https://docs.google.com/spreadsheets/d/161aHT6vVT3SLneTKD19N5qVWtnj_jIT8CSsOmUVKmaA/ed"&amp;"it?gid=1761053510"",
          ""Haris_Form responses 1!$AQ:$AQ"")=2)
      ),
      1
    ),
    ""0""
  ),
  ""Form not found""
)
"),"Form not found")</f>
        <v>Form not found</v>
      </c>
      <c r="AN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1!$E:$E"")=$B80) *
        (IMPORTRANGE(""https://docs.google.com/spreadsheets/d/161aHT6vVT3SLneTKD19N5qVWtnj_jIT8CSsOmUVKmaA/ed"&amp;"it?gid=1761053510"",
          ""Haris_Form responses 1!$AQ:$AQ"")=3)
      ),
      1
    ),
    ""0""
  ),
  ""Form not found""
)
"),"0")</f>
        <v>0</v>
      </c>
      <c r="AO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1!$E:$E"")=$B80) *
        (IMPORTRANGE(""https://docs.google.com/spreadsheets/d/161aHT6vVT3SLneTKD19N5qVWtnj_jIT8CSsOmUVKmaA/ed"&amp;"it?gid=1761053510"",
          ""Haris_Form responses 1!$AQ:$AQ"")=4)
      ),
      1
    ),
    ""0""
  ),
  ""Form not found""
)
"),"Form not found")</f>
        <v>Form not found</v>
      </c>
      <c r="AP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1!$E:$E"")=$B80) *
        (IMPORTRANGE(""https://docs.google.com/spreadsheets/d/161aHT6vVT3SLneTKD19N5qVWtnj_jIT8CSsOmUVKmaA/ed"&amp;"it?gid=1761053510"",
          ""Haris_Form responses 1!$AQ:$AQ"")=5)
      ),
      1
    ),
    ""0""
  ),
  ""Form not found""
)
"),"Form not found")</f>
        <v>Form not found</v>
      </c>
      <c r="AQ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1!$E:$E"")=$B80) *
        (IMPORTRANGE(""https://docs.google.com/spreadsheets/d/161aHT6vVT3SLneTKD19N5qVWtnj_jIT8CSsOmUVKmaA/ed"&amp;"it?gid=1761053510"",
          ""Haris_Form responses 1!$AQ:$AQ"")=6)
      ),
      1
    ),
    ""0""
  ),
  ""Form not found""
)
"),"Form not found")</f>
        <v>Form not found</v>
      </c>
      <c r="AR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1!$E:$E"")=$B80) *
        (IMPORTRANGE(""https://docs.google.com/spreadsheets/d/161aHT6vVT3SLneTKD19N5qVWtnj_jIT8CSsOmUVKmaA/ed"&amp;"it?gid=1761053510"",
          ""Haris_Form responses 1!$AQ:$AQ"")=1)
      ),
      1
    ),
    ""0""
  ),
  ""Form not found""
)
"),"0")</f>
        <v>0</v>
      </c>
      <c r="AS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1!$E:$E"")=$B80) *
        (IMPORTRANGE(""https://docs.google.com/spreadsheets/d/161aHT6vVT3SLneTKD19N5qVWtnj_jIT8CSsOmUVKmaA/ed"&amp;"it?gid=1761053510"",
          ""Haris_Form responses 1!$AQ:$AQ"")=2)
      ),
      1
    ),
    ""0""
  ),
  ""Form not found""
)
"),"Form not found")</f>
        <v>Form not found</v>
      </c>
      <c r="AT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1!$E:$E"")=$B80) *
        (IMPORTRANGE(""https://docs.google.com/spreadsheets/d/161aHT6vVT3SLneTKD19N5qVWtnj_jIT8CSsOmUVKmaA/ed"&amp;"it?gid=1761053510"",
          ""Haris_Form responses 1!$AQ:$AQ"")=3)
      ),
      1
    ),
    ""0""
  ),
  ""Form not found""
)
"),"0")</f>
        <v>0</v>
      </c>
      <c r="AU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1!$E:$E"")=$B80) *
        (IMPORTRANGE(""https://docs.google.com/spreadsheets/d/161aHT6vVT3SLneTKD19N5qVWtnj_jIT8CSsOmUVKmaA/ed"&amp;"it?gid=1761053510"",
          ""Haris_Form responses 1!$AQ:$AQ"")=4)
      ),
      1
    ),
    ""0""
  ),
  ""Form not found""
)
"),"Form not found")</f>
        <v>Form not found</v>
      </c>
      <c r="AV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1!$E:$E"")=$B80) *
        (IMPORTRANGE(""https://docs.google.com/spreadsheets/d/161aHT6vVT3SLneTKD19N5qVWtnj_jIT8CSsOmUVKmaA/ed"&amp;"it?gid=1761053510"",
          ""Haris_Form responses 1!$AQ:$AQ"")=5)
      ),
      1
    ),
    ""0""
  ),
  ""Form not found""
)
"),"Form not found")</f>
        <v>Form not found</v>
      </c>
      <c r="AW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1!$E:$E"")=$B80) *
        (IMPORTRANGE(""https://docs.google.com/spreadsheets/d/161aHT6vVT3SLneTKD19N5qVWtnj_jIT8CSsOmUVKmaA/ed"&amp;"it?gid=1761053510"",
          ""Haris_Form responses 1!$AQ:$AQ"")=6)
      ),
      1
    ),
    ""0""
  ),
  ""Form not found""
)
"),"Form not found")</f>
        <v>Form not found</v>
      </c>
      <c r="AX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1!$E:$E"")=$B80) *
        (IMPORTRANGE(""https://docs.google.com/spreadsheets/d/161aHT6vVT3SLneTKD19N5qVWtnj_jIT8CSsOmUVKmaA/ed"&amp;"it?gid=1761053510"",
          ""Haris_Form responses 1!$AQ:$AQ"")=1)
      ),
      1
    ),
    ""0""
  ),
  ""Form not found""
)
"),"0")</f>
        <v>0</v>
      </c>
      <c r="AY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1!$E:$E"")=$B80) *
        (IMPORTRANGE(""https://docs.google.com/spreadsheets/d/161aHT6vVT3SLneTKD19N5qVWtnj_jIT8CSsOmUVKmaA/ed"&amp;"it?gid=1761053510"",
          ""Haris_Form responses 1!$AQ:$AQ"")=2)
      ),
      1
    ),
    ""0""
  ),
  ""Form not found""
)
"),"Form not found")</f>
        <v>Form not found</v>
      </c>
      <c r="AZ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1!$E:$E"")=$B80) *
        (IMPORTRANGE(""https://docs.google.com/spreadsheets/d/161aHT6vVT3SLneTKD19N5qVWtnj_jIT8CSsOmUVKmaA/ed"&amp;"it?gid=1761053510"",
          ""Haris_Form responses 1!$AQ:$AQ"")=3)
      ),
      1
    ),
    ""0""
  ),
  ""Form not found""
)
"),"0")</f>
        <v>0</v>
      </c>
      <c r="BA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1!$E:$E"")=$B80) *
        (IMPORTRANGE(""https://docs.google.com/spreadsheets/d/161aHT6vVT3SLneTKD19N5qVWtnj_jIT8CSsOmUVKmaA/ed"&amp;"it?gid=1761053510"",
          ""Haris_Form responses 1!$AQ:$AQ"")=4)
      ),
      1
    ),
    ""0""
  ),
  ""Form not found""
)
"),"Form not found")</f>
        <v>Form not found</v>
      </c>
      <c r="BB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1!$E:$E"")=$B80) *
        (IMPORTRANGE(""https://docs.google.com/spreadsheets/d/161aHT6vVT3SLneTKD19N5qVWtnj_jIT8CSsOmUVKmaA/ed"&amp;"it?gid=1761053510"",
          ""Haris_Form responses 1!$AQ:$AQ"")=5)
      ),
      1
    ),
    ""0""
  ),
  ""Form not found""
)
"),"Form not found")</f>
        <v>Form not found</v>
      </c>
      <c r="BC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1!$E:$E"")=$B80) *
        (IMPORTRANGE(""https://docs.google.com/spreadsheets/d/161aHT6vVT3SLneTKD19N5qVWtnj_jIT8CSsOmUVKmaA/ed"&amp;"it?gid=1761053510"",
          ""Haris_Form responses 1!$AQ:$AQ"")=6)
      ),
      1
    ),
    ""0""
  ),
  ""Form not found""
)
"),"Form not found")</f>
        <v>Form not found</v>
      </c>
      <c r="BD80" s="293"/>
    </row>
    <row r="81">
      <c r="A81" s="283" t="str">
        <f>IFERROR(__xludf.DUMMYFUNCTION("VLOOKUP($B81,IMPORTRANGE(""https://docs.google.com/spreadsheets/d/1VNXDITjs75AcgdBSW27oL1VZH31udDprJSsBcE5xlp4/edit?gid=1551188038#gid=1551188038"", ""Sheet9!$B:$E""),2,false)"),"Gujrawala")</f>
        <v>Gujrawala</v>
      </c>
      <c r="B81" s="283" t="s">
        <v>2119</v>
      </c>
      <c r="C81" s="284" t="str">
        <f>IFERROR(__xludf.DUMMYFUNCTION("VLOOKUP(TRIM($B81), IMPORTRANGE(""https://docs.google.com/spreadsheets/d/1aSOrU4PTpuBZqfitKaH1Rfww6-YOiNCKoBpPl8XBHaw/edit?gid=0#gid=0"", ""sheet3!$B:$C""), 2, FALSE)
"),"Jamia Masjid Darbar Bari Shah Rehman")</f>
        <v>Jamia Masjid Darbar Bari Shah Rehman</v>
      </c>
      <c r="D81" s="284" t="str">
        <f>IFERROR(__xludf.DUMMYFUNCTION("IFERROR(
  INDEX(
    FILTER(
      IMPORTRANGE(""1aSOrU4PTpuBZqfitKaH1Rfww6-YOiNCKoBpPl8XBHaw/edit?gid=0#gid=0"",""Sheet1!G:G""),
      IMPORTRANGE(""1aSOrU4PTpuBZqfitKaH1Rfww6-YOiNCKoBpPl8XBHaw/edit?gid=0#gid=0"",""Sheet1!C:C"")=$B81
    ),
    1
  ),
 "&amp;" ""Not Found""
)"),"Control")</f>
        <v>Control</v>
      </c>
      <c r="E81" s="284" t="str">
        <f>VLOOKUP(B81,'Juma Recording forms'!A:E,5,false)</f>
        <v>JAMIA MASJID BHIRI SHAH REHMAN</v>
      </c>
      <c r="F81" s="284" t="str">
        <f>IFERROR(__xludf.DUMMYFUNCTION("IFERROR(
  INDEX(
    FILTER(
      IMPORTRANGE(""1Cxrhp3-_-HS7v9uuqQliiIfrmMP4VaFoDNDWyUFy2J8/edit?gid=0#gid=0"",""Sheet1!Q:Q""),
      IMPORTRANGE(""1Cxrhp3-_-HS7v9uuqQliiIfrmMP4VaFoDNDWyUFy2J8/edit?gid=0#gid=0"",""Sheet1!K:K"")=$B81
    ),
    1
  ),
 "&amp;" ""Not Found""
)"),"MOLNA NAVEED IFTKHAR")</f>
        <v>MOLNA NAVEED IFTKHAR</v>
      </c>
      <c r="G81" s="284">
        <v>1945.0</v>
      </c>
      <c r="H81" s="284" t="s">
        <v>2528</v>
      </c>
      <c r="I81" s="285"/>
      <c r="J81" s="286">
        <v>2.0</v>
      </c>
      <c r="K81" s="287" t="str">
        <f>VLOOKUP($B81,'Mosque Locations'!$A:$E,3,FALSE)
</f>
        <v>https://maps.google.com/maps?q=32.1328097%2C73.8295923&amp;z=17&amp;hl=en</v>
      </c>
      <c r="L81" s="286">
        <f>VLOOKUP($B81,'Mosque Locations'!$A:$E,4,FALSE)
</f>
        <v>32.13281</v>
      </c>
      <c r="M81" s="286">
        <f>VLOOKUP($B81,'Mosque Locations'!$A:$E,5,false)</f>
        <v>73.82959</v>
      </c>
      <c r="N81" s="288"/>
      <c r="O81" s="288"/>
      <c r="P81" s="288"/>
      <c r="Q81" s="289" t="str">
        <f>IFERROR(__xludf.DUMMYFUNCTION("IFERROR(
  INDEX(
    FILTER(
      IMPORTRANGE(""1DccNxjBgurEr0ABkI_rBagJT5phB5HaHG5N_mTm_BiA/edit?gid=1382299152#gid=1382299152"",""Form Responses 1!T:T""),
      IMPORTRANGE(""1DccNxjBgurEr0ABkI_rBagJT5phB5HaHG5N_mTm_BiA/edit?gid=1382299152#gid=1382299"&amp;"152"",""Form Responses 1!E:E"")=$B81
    ),
    1
  ),
  ""Not Found""
)"),"https://drive.google.com/open?id=1NfqjaDGIZkL1YzDd96_XDunx3ta2K73C")</f>
        <v>https://drive.google.com/open?id=1NfqjaDGIZkL1YzDd96_XDunx3ta2K73C</v>
      </c>
      <c r="R81" s="289" t="str">
        <f>IFERROR(__xludf.DUMMYFUNCTION("IFERROR(
  INDEX(
    FILTER(
      IMPORTRANGE(""1DccNxjBgurEr0ABkI_rBagJT5phB5HaHG5N_mTm_BiA/edit?gid=1382299152#gid=1382299152"",""Form Responses 1!S:S""),
      IMPORTRANGE(""1DccNxjBgurEr0ABkI_rBagJT5phB5HaHG5N_mTm_BiA/edit?gid=1382299152#gid=1382299"&amp;"152"",""Form Responses 1!E:E"")=$B81
    ),
    1
  ),
  ""Not Found""
)"),"https://drive.google.com/open?id=1vjzyv-pjfYw4AnR7MzR3uD8tPMMfcSRk")</f>
        <v>https://drive.google.com/open?id=1vjzyv-pjfYw4AnR7MzR3uD8tPMMfcSRk</v>
      </c>
      <c r="S81" s="285"/>
      <c r="T81" s="290" t="str">
        <f>VLOOKUP($B81,'Master Tracker'!$D:$E,2,false)</f>
        <v>https://drive.google.com/open?id=1Z8KQxH3IRkAxLd5omGkbS0o4w-B71N8i</v>
      </c>
      <c r="U81" s="291" t="str">
        <f>VLOOKUP($B81,'Master Tracker'!$D:$T,4,FALSE)
</f>
        <v>https://drive.google.com/open?id=1QsfAQJkd-h2BcBs8pO2RQ44Mg8uOw-0o</v>
      </c>
      <c r="V81" s="284" t="str">
        <f>VLOOKUP($B81,'Master Tracker'!$D:$T,5,false)</f>
        <v>Not Found</v>
      </c>
      <c r="W81" s="292" t="str">
        <f>VLOOKUP($B81,'Master Tracker'!$D:$T,7,false)</f>
        <v>Not Found</v>
      </c>
      <c r="X81" s="290" t="str">
        <f>VLOOKUP($B81,'Master Tracker'!$D:$T,8,false)</f>
        <v>https://drive.google.com/open?id=1vWi6DND9G6_qE4L8H_U-YRiVogdcKbW6</v>
      </c>
      <c r="Y81" s="291" t="str">
        <f>VLOOKUP($B81,'Master Tracker'!$D:$T,10,false)</f>
        <v>https://drive.google.com/open?id=1sadlfzbXGg7Y5IVba1Aoe65q1nHiEeZd</v>
      </c>
      <c r="Z81" s="284" t="str">
        <f>VLOOKUP($B81,'Master Tracker'!$D:$T,11,false)</f>
        <v>Not Found</v>
      </c>
      <c r="AA81" s="292" t="str">
        <f>VLOOKUP($B81,'Master Tracker'!$D:$T,13,false)</f>
        <v>Not Found</v>
      </c>
      <c r="AB81" s="284" t="str">
        <f>VLOOKUP($B81,'Master Tracker'!$D:$T,14,false)</f>
        <v>Not Found</v>
      </c>
      <c r="AC81" s="292" t="str">
        <f>VLOOKUP($B81,'Master Tracker'!$D:$T,16,false)</f>
        <v>Not Found</v>
      </c>
      <c r="AD81" s="292" t="str">
        <f>VLOOKUP($B81,'Master Tracker'!$D:$T,17,false)</f>
        <v>Not Found</v>
      </c>
      <c r="AE81" s="292" t="str">
        <f>VLOOKUP($B81,'Master Tracker'!$D:$V,19,false)</f>
        <v>Not Found</v>
      </c>
      <c r="AF81" s="292">
        <f>IFERROR(__xludf.DUMMYFUNCTION("IFERROR(
  INDEX(
    FILTER(
      'Juma Recording forms'!$G:$G,
      TRIM('Juma Recording forms'!$F:$F) = TRIM($B81),
      'Juma Recording forms'!$AA:$AA = 1
    ),
    1
  ),
  ""Not Found""
)"),110.0)</f>
        <v>110</v>
      </c>
      <c r="AG81" s="292" t="str">
        <f>IFERROR(__xludf.DUMMYFUNCTION("IFERROR(
  INDEX(
    FILTER(
      'Juma Recording forms'!$G:$G,
      TRIM('Juma Recording forms'!$F:$F) = TRIM($B81),
      'Juma Recording forms'!$AA:$AA = 2
    ),
    1
  ),
  ""Not Found""
)"),"Not Found")</f>
        <v>Not Found</v>
      </c>
      <c r="AH81" s="292">
        <f>IFERROR(__xludf.DUMMYFUNCTION("IFERROR(
  INDEX(
    FILTER(
      'Juma Recording forms'!$G:$G,
      TRIM('Juma Recording forms'!$F:$F) = TRIM($B81),
      'Juma Recording forms'!$AA:$AA = 3
    ),
    1
  ),
  ""Not Found""
)"),99.0)</f>
        <v>99</v>
      </c>
      <c r="AI81" s="292" t="str">
        <f>IFERROR(__xludf.DUMMYFUNCTION("IFERROR(
  INDEX(
    FILTER(
      'Juma Recording forms'!$G:$G,
      TRIM('Juma Recording forms'!$F:$F) = TRIM($B81),
      'Juma Recording forms'!$AA:$AA = 4
    ),
    1
  ),
  ""Not Found""
)"),"Not Found")</f>
        <v>Not Found</v>
      </c>
      <c r="AJ81" s="292" t="str">
        <f>IFERROR(__xludf.DUMMYFUNCTION("IFERROR(
  INDEX(
    FILTER(
      'Juma Recording forms'!$G:$G,
      TRIM('Juma Recording forms'!$F:$F) = TRIM($B81),
      'Juma Recording forms'!$AA:$AA = 5
    ),
    1
  ),
  ""Not Found""
)"),"Not Found")</f>
        <v>Not Found</v>
      </c>
      <c r="AK81" s="292"/>
      <c r="AL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1!$E:$E"")=$B81) *
        (IMPORTRANGE(""https://docs.google.com/spreadsheets/d/161aHT6vVT3SLneTKD19N5qVWtnj_jIT8CSsOmUVKmaA/ed"&amp;"it?gid=1761053510"",
          ""Haris_Form responses 1!$AQ:$AQ"")=1)
      ),
      1
    ),
    ""0""
  ),
  ""Form not found""
)
"),"0")</f>
        <v>0</v>
      </c>
      <c r="AM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1!$E:$E"")=$B81) *
        (IMPORTRANGE(""https://docs.google.com/spreadsheets/d/161aHT6vVT3SLneTKD19N5qVWtnj_jIT8CSsOmUVKmaA/ed"&amp;"it?gid=1761053510"",
          ""Haris_Form responses 1!$AQ:$AQ"")=2)
      ),
      1
    ),
    ""0""
  ),
  ""Form not found""
)
"),"Form not found")</f>
        <v>Form not found</v>
      </c>
      <c r="AN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1!$E:$E"")=$B81) *
        (IMPORTRANGE(""https://docs.google.com/spreadsheets/d/161aHT6vVT3SLneTKD19N5qVWtnj_jIT8CSsOmUVKmaA/ed"&amp;"it?gid=1761053510"",
          ""Haris_Form responses 1!$AQ:$AQ"")=3)
      ),
      1
    ),
    ""0""
  ),
  ""Form not found""
)
"),"0")</f>
        <v>0</v>
      </c>
      <c r="AO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1!$E:$E"")=$B81) *
        (IMPORTRANGE(""https://docs.google.com/spreadsheets/d/161aHT6vVT3SLneTKD19N5qVWtnj_jIT8CSsOmUVKmaA/ed"&amp;"it?gid=1761053510"",
          ""Haris_Form responses 1!$AQ:$AQ"")=4)
      ),
      1
    ),
    ""0""
  ),
  ""Form not found""
)
"),"Form not found")</f>
        <v>Form not found</v>
      </c>
      <c r="AP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1!$E:$E"")=$B81) *
        (IMPORTRANGE(""https://docs.google.com/spreadsheets/d/161aHT6vVT3SLneTKD19N5qVWtnj_jIT8CSsOmUVKmaA/ed"&amp;"it?gid=1761053510"",
          ""Haris_Form responses 1!$AQ:$AQ"")=5)
      ),
      1
    ),
    ""0""
  ),
  ""Form not found""
)
"),"Form not found")</f>
        <v>Form not found</v>
      </c>
      <c r="AQ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1!$E:$E"")=$B81) *
        (IMPORTRANGE(""https://docs.google.com/spreadsheets/d/161aHT6vVT3SLneTKD19N5qVWtnj_jIT8CSsOmUVKmaA/ed"&amp;"it?gid=1761053510"",
          ""Haris_Form responses 1!$AQ:$AQ"")=6)
      ),
      1
    ),
    ""0""
  ),
  ""Form not found""
)
"),"Form not found")</f>
        <v>Form not found</v>
      </c>
      <c r="AR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1!$E:$E"")=$B81) *
        (IMPORTRANGE(""https://docs.google.com/spreadsheets/d/161aHT6vVT3SLneTKD19N5qVWtnj_jIT8CSsOmUVKmaA/ed"&amp;"it?gid=1761053510"",
          ""Haris_Form responses 1!$AQ:$AQ"")=1)
      ),
      1
    ),
    ""0""
  ),
  ""Form not found""
)
"),"0")</f>
        <v>0</v>
      </c>
      <c r="AS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1!$E:$E"")=$B81) *
        (IMPORTRANGE(""https://docs.google.com/spreadsheets/d/161aHT6vVT3SLneTKD19N5qVWtnj_jIT8CSsOmUVKmaA/ed"&amp;"it?gid=1761053510"",
          ""Haris_Form responses 1!$AQ:$AQ"")=2)
      ),
      1
    ),
    ""0""
  ),
  ""Form not found""
)
"),"Form not found")</f>
        <v>Form not found</v>
      </c>
      <c r="AT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1!$E:$E"")=$B81) *
        (IMPORTRANGE(""https://docs.google.com/spreadsheets/d/161aHT6vVT3SLneTKD19N5qVWtnj_jIT8CSsOmUVKmaA/ed"&amp;"it?gid=1761053510"",
          ""Haris_Form responses 1!$AQ:$AQ"")=3)
      ),
      1
    ),
    ""0""
  ),
  ""Form not found""
)
"),"0")</f>
        <v>0</v>
      </c>
      <c r="AU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1!$E:$E"")=$B81) *
        (IMPORTRANGE(""https://docs.google.com/spreadsheets/d/161aHT6vVT3SLneTKD19N5qVWtnj_jIT8CSsOmUVKmaA/ed"&amp;"it?gid=1761053510"",
          ""Haris_Form responses 1!$AQ:$AQ"")=4)
      ),
      1
    ),
    ""0""
  ),
  ""Form not found""
)
"),"Form not found")</f>
        <v>Form not found</v>
      </c>
      <c r="AV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1!$E:$E"")=$B81) *
        (IMPORTRANGE(""https://docs.google.com/spreadsheets/d/161aHT6vVT3SLneTKD19N5qVWtnj_jIT8CSsOmUVKmaA/ed"&amp;"it?gid=1761053510"",
          ""Haris_Form responses 1!$AQ:$AQ"")=5)
      ),
      1
    ),
    ""0""
  ),
  ""Form not found""
)
"),"Form not found")</f>
        <v>Form not found</v>
      </c>
      <c r="AW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1!$E:$E"")=$B81) *
        (IMPORTRANGE(""https://docs.google.com/spreadsheets/d/161aHT6vVT3SLneTKD19N5qVWtnj_jIT8CSsOmUVKmaA/ed"&amp;"it?gid=1761053510"",
          ""Haris_Form responses 1!$AQ:$AQ"")=6)
      ),
      1
    ),
    ""0""
  ),
  ""Form not found""
)
"),"Form not found")</f>
        <v>Form not found</v>
      </c>
      <c r="AX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1!$E:$E"")=$B81) *
        (IMPORTRANGE(""https://docs.google.com/spreadsheets/d/161aHT6vVT3SLneTKD19N5qVWtnj_jIT8CSsOmUVKmaA/ed"&amp;"it?gid=1761053510"",
          ""Haris_Form responses 1!$AQ:$AQ"")=1)
      ),
      1
    ),
    ""0""
  ),
  ""Form not found""
)
"),"0")</f>
        <v>0</v>
      </c>
      <c r="AY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1!$E:$E"")=$B81) *
        (IMPORTRANGE(""https://docs.google.com/spreadsheets/d/161aHT6vVT3SLneTKD19N5qVWtnj_jIT8CSsOmUVKmaA/ed"&amp;"it?gid=1761053510"",
          ""Haris_Form responses 1!$AQ:$AQ"")=2)
      ),
      1
    ),
    ""0""
  ),
  ""Form not found""
)
"),"Form not found")</f>
        <v>Form not found</v>
      </c>
      <c r="AZ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1!$E:$E"")=$B81) *
        (IMPORTRANGE(""https://docs.google.com/spreadsheets/d/161aHT6vVT3SLneTKD19N5qVWtnj_jIT8CSsOmUVKmaA/ed"&amp;"it?gid=1761053510"",
          ""Haris_Form responses 1!$AQ:$AQ"")=3)
      ),
      1
    ),
    ""0""
  ),
  ""Form not found""
)
"),"0")</f>
        <v>0</v>
      </c>
      <c r="BA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1!$E:$E"")=$B81) *
        (IMPORTRANGE(""https://docs.google.com/spreadsheets/d/161aHT6vVT3SLneTKD19N5qVWtnj_jIT8CSsOmUVKmaA/ed"&amp;"it?gid=1761053510"",
          ""Haris_Form responses 1!$AQ:$AQ"")=4)
      ),
      1
    ),
    ""0""
  ),
  ""Form not found""
)
"),"Form not found")</f>
        <v>Form not found</v>
      </c>
      <c r="BB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1!$E:$E"")=$B81) *
        (IMPORTRANGE(""https://docs.google.com/spreadsheets/d/161aHT6vVT3SLneTKD19N5qVWtnj_jIT8CSsOmUVKmaA/ed"&amp;"it?gid=1761053510"",
          ""Haris_Form responses 1!$AQ:$AQ"")=5)
      ),
      1
    ),
    ""0""
  ),
  ""Form not found""
)
"),"Form not found")</f>
        <v>Form not found</v>
      </c>
      <c r="BC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1!$E:$E"")=$B81) *
        (IMPORTRANGE(""https://docs.google.com/spreadsheets/d/161aHT6vVT3SLneTKD19N5qVWtnj_jIT8CSsOmUVKmaA/ed"&amp;"it?gid=1761053510"",
          ""Haris_Form responses 1!$AQ:$AQ"")=6)
      ),
      1
    ),
    ""0""
  ),
  ""Form not found""
)
"),"Form not found")</f>
        <v>Form not found</v>
      </c>
      <c r="BD81" s="293"/>
    </row>
    <row r="82">
      <c r="A82" s="283" t="str">
        <f>IFERROR(__xludf.DUMMYFUNCTION("VLOOKUP($B82,IMPORTRANGE(""https://docs.google.com/spreadsheets/d/1VNXDITjs75AcgdBSW27oL1VZH31udDprJSsBcE5xlp4/edit?gid=1551188038#gid=1551188038"", ""Sheet9!$B:$E""),2,false)"),"Jhelum")</f>
        <v>Jhelum</v>
      </c>
      <c r="B82" s="283" t="s">
        <v>1885</v>
      </c>
      <c r="C82" s="284" t="str">
        <f>IFERROR(__xludf.DUMMYFUNCTION("VLOOKUP(TRIM($B82), IMPORTRANGE(""https://docs.google.com/spreadsheets/d/1aSOrU4PTpuBZqfitKaH1Rfww6-YOiNCKoBpPl8XBHaw/edit?gid=0#gid=0"", ""sheet3!$B:$C""), 2, FALSE)
"),"Jamia masjid Hafiz Noor Jhelum")</f>
        <v>Jamia masjid Hafiz Noor Jhelum</v>
      </c>
      <c r="D82" s="284" t="str">
        <f>IFERROR(__xludf.DUMMYFUNCTION("IFERROR(
  INDEX(
    FILTER(
      IMPORTRANGE(""1aSOrU4PTpuBZqfitKaH1Rfww6-YOiNCKoBpPl8XBHaw/edit?gid=0#gid=0"",""Sheet1!G:G""),
      IMPORTRANGE(""1aSOrU4PTpuBZqfitKaH1Rfww6-YOiNCKoBpPl8XBHaw/edit?gid=0#gid=0"",""Sheet1!C:C"")=$B82
    ),
    1
  ),
 "&amp;" ""Not Found""
)"),"Control")</f>
        <v>Control</v>
      </c>
      <c r="E82" s="284" t="str">
        <f>VLOOKUP(B82,'Juma Recording forms'!A:E,5,false)</f>
        <v>Jamia masjid Hafiz Noor jhelum</v>
      </c>
      <c r="F82" s="284" t="str">
        <f>IFERROR(__xludf.DUMMYFUNCTION("IFERROR(
  INDEX(
    FILTER(
      IMPORTRANGE(""1Cxrhp3-_-HS7v9uuqQliiIfrmMP4VaFoDNDWyUFy2J8/edit?gid=0#gid=0"",""Sheet1!Q:Q""),
      IMPORTRANGE(""1Cxrhp3-_-HS7v9uuqQliiIfrmMP4VaFoDNDWyUFy2J8/edit?gid=0#gid=0"",""Sheet1!K:K"")=$B82
    ),
    1
  ),
 "&amp;" ""Not Found""
)"),"Mulana Abdul Rauf")</f>
        <v>Mulana Abdul Rauf</v>
      </c>
      <c r="G82" s="284">
        <v>1970.0</v>
      </c>
      <c r="H82" s="284"/>
      <c r="I82" s="285"/>
      <c r="J82" s="286">
        <v>2.0</v>
      </c>
      <c r="K82" s="287" t="str">
        <f>VLOOKUP($B82,'Mosque Locations'!$A:$E,3,FALSE)
</f>
        <v>https://maps.google.com/maps?q=32.9284525%2C73.7339202&amp;z=17&amp;hl=en</v>
      </c>
      <c r="L82" s="286">
        <f>VLOOKUP($B82,'Mosque Locations'!$A:$E,4,FALSE)
</f>
        <v>32.9284525</v>
      </c>
      <c r="M82" s="286">
        <f>VLOOKUP($B82,'Mosque Locations'!$A:$E,5,false)</f>
        <v>73.7339202</v>
      </c>
      <c r="N82" s="288"/>
      <c r="O82" s="288"/>
      <c r="P82" s="288"/>
      <c r="Q82" s="289" t="str">
        <f>IFERROR(__xludf.DUMMYFUNCTION("IFERROR(
  INDEX(
    FILTER(
      IMPORTRANGE(""1DccNxjBgurEr0ABkI_rBagJT5phB5HaHG5N_mTm_BiA/edit?gid=1382299152#gid=1382299152"",""Form Responses 1!T:T""),
      IMPORTRANGE(""1DccNxjBgurEr0ABkI_rBagJT5phB5HaHG5N_mTm_BiA/edit?gid=1382299152#gid=1382299"&amp;"152"",""Form Responses 1!E:E"")=$B82
    ),
    1
  ),
  ""Not Found""
)"),"https://drive.google.com/file/d/1xnndrjTvK-aCJK2V3YkLeB-S-4wvzJ-K/view?usp=sharing")</f>
        <v>https://drive.google.com/file/d/1xnndrjTvK-aCJK2V3YkLeB-S-4wvzJ-K/view?usp=sharing</v>
      </c>
      <c r="R82" s="289" t="str">
        <f>IFERROR(__xludf.DUMMYFUNCTION("IFERROR(
  INDEX(
    FILTER(
      IMPORTRANGE(""1DccNxjBgurEr0ABkI_rBagJT5phB5HaHG5N_mTm_BiA/edit?gid=1382299152#gid=1382299152"",""Form Responses 1!S:S""),
      IMPORTRANGE(""1DccNxjBgurEr0ABkI_rBagJT5phB5HaHG5N_mTm_BiA/edit?gid=1382299152#gid=1382299"&amp;"152"",""Form Responses 1!E:E"")=$B82
    ),
    1
  ),
  ""Not Found""
)"),"https://drive.google.com/file/d/17KzOkC3YJ7qDdUTVT7DykL-2-q32knDW/view?usp=sharing")</f>
        <v>https://drive.google.com/file/d/17KzOkC3YJ7qDdUTVT7DykL-2-q32knDW/view?usp=sharing</v>
      </c>
      <c r="S82" s="285"/>
      <c r="T82" s="290" t="str">
        <f>VLOOKUP($B82,'Master Tracker'!$D:$E,2,false)</f>
        <v>https://drive.google.com/open?id=1jjJe_mAxvZl5JPAxoPZcir0TqH3mh637</v>
      </c>
      <c r="U82" s="291" t="str">
        <f>VLOOKUP($B82,'Master Tracker'!$D:$T,4,FALSE)
</f>
        <v>https://drive.google.com/open?id=1Q7rneHPVb8FIXpbfxLYe_flTxcxWtexO</v>
      </c>
      <c r="V82" s="284" t="str">
        <f>VLOOKUP($B82,'Master Tracker'!$D:$T,5,false)</f>
        <v>Not Found</v>
      </c>
      <c r="W82" s="292" t="str">
        <f>VLOOKUP($B82,'Master Tracker'!$D:$T,7,false)</f>
        <v>Not Found</v>
      </c>
      <c r="X82" s="290" t="str">
        <f>VLOOKUP($B82,'Master Tracker'!$D:$T,8,false)</f>
        <v>https://drive.google.com/open?id=1U7KIZPRLGtsXtj_qbKp9NpF8DWg164uX</v>
      </c>
      <c r="Y82" s="291" t="str">
        <f>VLOOKUP($B82,'Master Tracker'!$D:$T,10,false)</f>
        <v>https://drive.google.com/open?id=1T7mXoNb61x1foYh9nhmyNw-itQUUGJ_X</v>
      </c>
      <c r="Z82" s="284" t="str">
        <f>VLOOKUP($B82,'Master Tracker'!$D:$T,11,false)</f>
        <v>Not Found</v>
      </c>
      <c r="AA82" s="292" t="str">
        <f>VLOOKUP($B82,'Master Tracker'!$D:$T,13,false)</f>
        <v>Not Found</v>
      </c>
      <c r="AB82" s="284" t="str">
        <f>VLOOKUP($B82,'Master Tracker'!$D:$T,14,false)</f>
        <v>Not Found</v>
      </c>
      <c r="AC82" s="292" t="str">
        <f>VLOOKUP($B82,'Master Tracker'!$D:$T,16,false)</f>
        <v>Not Found</v>
      </c>
      <c r="AD82" s="292" t="str">
        <f>VLOOKUP($B82,'Master Tracker'!$D:$T,17,false)</f>
        <v>Not Found</v>
      </c>
      <c r="AE82" s="292" t="str">
        <f>VLOOKUP($B82,'Master Tracker'!$D:$V,19,false)</f>
        <v>Not Found</v>
      </c>
      <c r="AF82" s="292">
        <f>IFERROR(__xludf.DUMMYFUNCTION("IFERROR(
  INDEX(
    FILTER(
      'Juma Recording forms'!$G:$G,
      TRIM('Juma Recording forms'!$F:$F) = TRIM($B82),
      'Juma Recording forms'!$AA:$AA = 1
    ),
    1
  ),
  ""Not Found""
)"),190.0)</f>
        <v>190</v>
      </c>
      <c r="AG82" s="292" t="str">
        <f>IFERROR(__xludf.DUMMYFUNCTION("IFERROR(
  INDEX(
    FILTER(
      'Juma Recording forms'!$G:$G,
      TRIM('Juma Recording forms'!$F:$F) = TRIM($B82),
      'Juma Recording forms'!$AA:$AA = 2
    ),
    1
  ),
  ""Not Found""
)"),"Not Found")</f>
        <v>Not Found</v>
      </c>
      <c r="AH82" s="292">
        <f>IFERROR(__xludf.DUMMYFUNCTION("IFERROR(
  INDEX(
    FILTER(
      'Juma Recording forms'!$G:$G,
      TRIM('Juma Recording forms'!$F:$F) = TRIM($B82),
      'Juma Recording forms'!$AA:$AA = 3
    ),
    1
  ),
  ""Not Found""
)"),200.0)</f>
        <v>200</v>
      </c>
      <c r="AI82" s="292" t="str">
        <f>IFERROR(__xludf.DUMMYFUNCTION("IFERROR(
  INDEX(
    FILTER(
      'Juma Recording forms'!$G:$G,
      TRIM('Juma Recording forms'!$F:$F) = TRIM($B82),
      'Juma Recording forms'!$AA:$AA = 4
    ),
    1
  ),
  ""Not Found""
)"),"Not Found")</f>
        <v>Not Found</v>
      </c>
      <c r="AJ82" s="292" t="str">
        <f>IFERROR(__xludf.DUMMYFUNCTION("IFERROR(
  INDEX(
    FILTER(
      'Juma Recording forms'!$G:$G,
      TRIM('Juma Recording forms'!$F:$F) = TRIM($B82),
      'Juma Recording forms'!$AA:$AA = 5
    ),
    1
  ),
  ""Not Found""
)"),"Not Found")</f>
        <v>Not Found</v>
      </c>
      <c r="AK82" s="292"/>
      <c r="AL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1!$E:$E"")=$B82) *
        (IMPORTRANGE(""https://docs.google.com/spreadsheets/d/161aHT6vVT3SLneTKD19N5qVWtnj_jIT8CSsOmUVKmaA/ed"&amp;"it?gid=1761053510"",
          ""Haris_Form responses 1!$AQ:$AQ"")=1)
      ),
      1
    ),
    ""0""
  ),
  ""Form not found""
)
"),"0")</f>
        <v>0</v>
      </c>
      <c r="AM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1!$E:$E"")=$B82) *
        (IMPORTRANGE(""https://docs.google.com/spreadsheets/d/161aHT6vVT3SLneTKD19N5qVWtnj_jIT8CSsOmUVKmaA/ed"&amp;"it?gid=1761053510"",
          ""Haris_Form responses 1!$AQ:$AQ"")=2)
      ),
      1
    ),
    ""0""
  ),
  ""Form not found""
)
"),"Form not found")</f>
        <v>Form not found</v>
      </c>
      <c r="AN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1!$E:$E"")=$B82) *
        (IMPORTRANGE(""https://docs.google.com/spreadsheets/d/161aHT6vVT3SLneTKD19N5qVWtnj_jIT8CSsOmUVKmaA/ed"&amp;"it?gid=1761053510"",
          ""Haris_Form responses 1!$AQ:$AQ"")=3)
      ),
      1
    ),
    ""0""
  ),
  ""Form not found""
)
"),"0")</f>
        <v>0</v>
      </c>
      <c r="AO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1!$E:$E"")=$B82) *
        (IMPORTRANGE(""https://docs.google.com/spreadsheets/d/161aHT6vVT3SLneTKD19N5qVWtnj_jIT8CSsOmUVKmaA/ed"&amp;"it?gid=1761053510"",
          ""Haris_Form responses 1!$AQ:$AQ"")=4)
      ),
      1
    ),
    ""0""
  ),
  ""Form not found""
)
"),"Form not found")</f>
        <v>Form not found</v>
      </c>
      <c r="AP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1!$E:$E"")=$B82) *
        (IMPORTRANGE(""https://docs.google.com/spreadsheets/d/161aHT6vVT3SLneTKD19N5qVWtnj_jIT8CSsOmUVKmaA/ed"&amp;"it?gid=1761053510"",
          ""Haris_Form responses 1!$AQ:$AQ"")=5)
      ),
      1
    ),
    ""0""
  ),
  ""Form not found""
)
"),"Form not found")</f>
        <v>Form not found</v>
      </c>
      <c r="AQ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1!$E:$E"")=$B82) *
        (IMPORTRANGE(""https://docs.google.com/spreadsheets/d/161aHT6vVT3SLneTKD19N5qVWtnj_jIT8CSsOmUVKmaA/ed"&amp;"it?gid=1761053510"",
          ""Haris_Form responses 1!$AQ:$AQ"")=6)
      ),
      1
    ),
    ""0""
  ),
  ""Form not found""
)
"),"Form not found")</f>
        <v>Form not found</v>
      </c>
      <c r="AR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1!$E:$E"")=$B82) *
        (IMPORTRANGE(""https://docs.google.com/spreadsheets/d/161aHT6vVT3SLneTKD19N5qVWtnj_jIT8CSsOmUVKmaA/ed"&amp;"it?gid=1761053510"",
          ""Haris_Form responses 1!$AQ:$AQ"")=1)
      ),
      1
    ),
    ""0""
  ),
  ""Form not found""
)
"),"0")</f>
        <v>0</v>
      </c>
      <c r="AS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1!$E:$E"")=$B82) *
        (IMPORTRANGE(""https://docs.google.com/spreadsheets/d/161aHT6vVT3SLneTKD19N5qVWtnj_jIT8CSsOmUVKmaA/ed"&amp;"it?gid=1761053510"",
          ""Haris_Form responses 1!$AQ:$AQ"")=2)
      ),
      1
    ),
    ""0""
  ),
  ""Form not found""
)
"),"Form not found")</f>
        <v>Form not found</v>
      </c>
      <c r="AT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1!$E:$E"")=$B82) *
        (IMPORTRANGE(""https://docs.google.com/spreadsheets/d/161aHT6vVT3SLneTKD19N5qVWtnj_jIT8CSsOmUVKmaA/ed"&amp;"it?gid=1761053510"",
          ""Haris_Form responses 1!$AQ:$AQ"")=3)
      ),
      1
    ),
    ""0""
  ),
  ""Form not found""
)
"),"0")</f>
        <v>0</v>
      </c>
      <c r="AU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1!$E:$E"")=$B82) *
        (IMPORTRANGE(""https://docs.google.com/spreadsheets/d/161aHT6vVT3SLneTKD19N5qVWtnj_jIT8CSsOmUVKmaA/ed"&amp;"it?gid=1761053510"",
          ""Haris_Form responses 1!$AQ:$AQ"")=4)
      ),
      1
    ),
    ""0""
  ),
  ""Form not found""
)
"),"Form not found")</f>
        <v>Form not found</v>
      </c>
      <c r="AV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1!$E:$E"")=$B82) *
        (IMPORTRANGE(""https://docs.google.com/spreadsheets/d/161aHT6vVT3SLneTKD19N5qVWtnj_jIT8CSsOmUVKmaA/ed"&amp;"it?gid=1761053510"",
          ""Haris_Form responses 1!$AQ:$AQ"")=5)
      ),
      1
    ),
    ""0""
  ),
  ""Form not found""
)
"),"Form not found")</f>
        <v>Form not found</v>
      </c>
      <c r="AW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1!$E:$E"")=$B82) *
        (IMPORTRANGE(""https://docs.google.com/spreadsheets/d/161aHT6vVT3SLneTKD19N5qVWtnj_jIT8CSsOmUVKmaA/ed"&amp;"it?gid=1761053510"",
          ""Haris_Form responses 1!$AQ:$AQ"")=6)
      ),
      1
    ),
    ""0""
  ),
  ""Form not found""
)
"),"Form not found")</f>
        <v>Form not found</v>
      </c>
      <c r="AX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1!$E:$E"")=$B82) *
        (IMPORTRANGE(""https://docs.google.com/spreadsheets/d/161aHT6vVT3SLneTKD19N5qVWtnj_jIT8CSsOmUVKmaA/ed"&amp;"it?gid=1761053510"",
          ""Haris_Form responses 1!$AQ:$AQ"")=1)
      ),
      1
    ),
    ""0""
  ),
  ""Form not found""
)
"),"0")</f>
        <v>0</v>
      </c>
      <c r="AY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1!$E:$E"")=$B82) *
        (IMPORTRANGE(""https://docs.google.com/spreadsheets/d/161aHT6vVT3SLneTKD19N5qVWtnj_jIT8CSsOmUVKmaA/ed"&amp;"it?gid=1761053510"",
          ""Haris_Form responses 1!$AQ:$AQ"")=2)
      ),
      1
    ),
    ""0""
  ),
  ""Form not found""
)
"),"Form not found")</f>
        <v>Form not found</v>
      </c>
      <c r="AZ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1!$E:$E"")=$B82) *
        (IMPORTRANGE(""https://docs.google.com/spreadsheets/d/161aHT6vVT3SLneTKD19N5qVWtnj_jIT8CSsOmUVKmaA/ed"&amp;"it?gid=1761053510"",
          ""Haris_Form responses 1!$AQ:$AQ"")=3)
      ),
      1
    ),
    ""0""
  ),
  ""Form not found""
)
"),"0")</f>
        <v>0</v>
      </c>
      <c r="BA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1!$E:$E"")=$B82) *
        (IMPORTRANGE(""https://docs.google.com/spreadsheets/d/161aHT6vVT3SLneTKD19N5qVWtnj_jIT8CSsOmUVKmaA/ed"&amp;"it?gid=1761053510"",
          ""Haris_Form responses 1!$AQ:$AQ"")=4)
      ),
      1
    ),
    ""0""
  ),
  ""Form not found""
)
"),"Form not found")</f>
        <v>Form not found</v>
      </c>
      <c r="BB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1!$E:$E"")=$B82) *
        (IMPORTRANGE(""https://docs.google.com/spreadsheets/d/161aHT6vVT3SLneTKD19N5qVWtnj_jIT8CSsOmUVKmaA/ed"&amp;"it?gid=1761053510"",
          ""Haris_Form responses 1!$AQ:$AQ"")=5)
      ),
      1
    ),
    ""0""
  ),
  ""Form not found""
)
"),"Form not found")</f>
        <v>Form not found</v>
      </c>
      <c r="BC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1!$E:$E"")=$B82) *
        (IMPORTRANGE(""https://docs.google.com/spreadsheets/d/161aHT6vVT3SLneTKD19N5qVWtnj_jIT8CSsOmUVKmaA/ed"&amp;"it?gid=1761053510"",
          ""Haris_Form responses 1!$AQ:$AQ"")=6)
      ),
      1
    ),
    ""0""
  ),
  ""Form not found""
)
"),"Form not found")</f>
        <v>Form not found</v>
      </c>
      <c r="BD82" s="293"/>
    </row>
    <row r="83">
      <c r="A83" s="283" t="str">
        <f>IFERROR(__xludf.DUMMYFUNCTION("VLOOKUP($B83,IMPORTRANGE(""https://docs.google.com/spreadsheets/d/1VNXDITjs75AcgdBSW27oL1VZH31udDprJSsBcE5xlp4/edit?gid=1551188038#gid=1551188038"", ""Sheet9!$B:$E""),2,false)"),"Jhelum")</f>
        <v>Jhelum</v>
      </c>
      <c r="B83" s="283" t="s">
        <v>2273</v>
      </c>
      <c r="C83" s="284" t="str">
        <f>IFERROR(__xludf.DUMMYFUNCTION("VLOOKUP(TRIM($B83), IMPORTRANGE(""https://docs.google.com/spreadsheets/d/1aSOrU4PTpuBZqfitKaH1Rfww6-YOiNCKoBpPl8XBHaw/edit?gid=0#gid=0"", ""sheet3!$B:$C""), 2, FALSE)
"),"Jamia Masjid afghan Jhelum")</f>
        <v>Jamia Masjid afghan Jhelum</v>
      </c>
      <c r="D83" s="284" t="str">
        <f>IFERROR(__xludf.DUMMYFUNCTION("IFERROR(
  INDEX(
    FILTER(
      IMPORTRANGE(""1aSOrU4PTpuBZqfitKaH1Rfww6-YOiNCKoBpPl8XBHaw/edit?gid=0#gid=0"",""Sheet1!G:G""),
      IMPORTRANGE(""1aSOrU4PTpuBZqfitKaH1Rfww6-YOiNCKoBpPl8XBHaw/edit?gid=0#gid=0"",""Sheet1!C:C"")=$B83
    ),
    1
  ),
 "&amp;" ""Not Found""
)"),"Women Secular Info Share")</f>
        <v>Women Secular Info Share</v>
      </c>
      <c r="E83" s="284" t="str">
        <f>VLOOKUP(B83,'Juma Recording forms'!A:E,5,false)</f>
        <v>جامع مسجد افغاناں </v>
      </c>
      <c r="F83" s="284" t="str">
        <f>IFERROR(__xludf.DUMMYFUNCTION("IFERROR(
  INDEX(
    FILTER(
      IMPORTRANGE(""1Cxrhp3-_-HS7v9uuqQliiIfrmMP4VaFoDNDWyUFy2J8/edit?gid=0#gid=0"",""Sheet1!Q:Q""),
      IMPORTRANGE(""1Cxrhp3-_-HS7v9uuqQliiIfrmMP4VaFoDNDWyUFy2J8/edit?gid=0#gid=0"",""Sheet1!K:K"")=$B83
    ),
    1
  ),
 "&amp;" ""Not Found""
)"),"Mulana Aqil Sultani")</f>
        <v>Mulana Aqil Sultani</v>
      </c>
      <c r="G83" s="284">
        <v>1892.0</v>
      </c>
      <c r="H83" s="284" t="s">
        <v>4837</v>
      </c>
      <c r="I83" s="285"/>
      <c r="J83" s="286">
        <v>2.0</v>
      </c>
      <c r="K83" s="287" t="str">
        <f>VLOOKUP($B83,'Mosque Locations'!$A:$E,3,FALSE)
</f>
        <v>https://maps.google.com/maps?q=32.9248217%2C73.7322679&amp;z=17&amp;hl=en</v>
      </c>
      <c r="L83" s="286">
        <f>VLOOKUP($B83,'Mosque Locations'!$A:$E,4,FALSE)
</f>
        <v>32.9248217</v>
      </c>
      <c r="M83" s="286">
        <f>VLOOKUP($B83,'Mosque Locations'!$A:$E,5,false)</f>
        <v>73.7322679</v>
      </c>
      <c r="N83" s="288"/>
      <c r="O83" s="288"/>
      <c r="P83" s="288"/>
      <c r="Q83" s="290" t="str">
        <f>IFERROR(__xludf.DUMMYFUNCTION("IFERROR(
  INDEX(
    FILTER(
      IMPORTRANGE(""1DccNxjBgurEr0ABkI_rBagJT5phB5HaHG5N_mTm_BiA/edit?gid=1382299152#gid=1382299152"",""Form Responses 1!T:T""),
      IMPORTRANGE(""1DccNxjBgurEr0ABkI_rBagJT5phB5HaHG5N_mTm_BiA/edit?gid=1382299152#gid=1382299"&amp;"152"",""Form Responses 1!E:E"")=$B83
    ),
    1
  ),
  ""Not Found""
)"),"https://drive.google.com/open?id=1cgwCTeWCevys3LxI-93IgDoeXhOp9wO2")</f>
        <v>https://drive.google.com/open?id=1cgwCTeWCevys3LxI-93IgDoeXhOp9wO2</v>
      </c>
      <c r="R83" s="290" t="str">
        <f>IFERROR(__xludf.DUMMYFUNCTION("IFERROR(
  INDEX(
    FILTER(
      IMPORTRANGE(""1DccNxjBgurEr0ABkI_rBagJT5phB5HaHG5N_mTm_BiA/edit?gid=1382299152#gid=1382299152"",""Form Responses 1!S:S""),
      IMPORTRANGE(""1DccNxjBgurEr0ABkI_rBagJT5phB5HaHG5N_mTm_BiA/edit?gid=1382299152#gid=1382299"&amp;"152"",""Form Responses 1!E:E"")=$B83
    ),
    1
  ),
  ""Not Found""
)"),"https://drive.google.com/open?id=1mS4PkYEF6Gs2EXpemEoTAYngjYcyxP_m")</f>
        <v>https://drive.google.com/open?id=1mS4PkYEF6Gs2EXpemEoTAYngjYcyxP_m</v>
      </c>
      <c r="S83" s="285"/>
      <c r="T83" s="284" t="str">
        <f>VLOOKUP($B83,'Master Tracker'!$D:$E,2,false)</f>
        <v>Not Found</v>
      </c>
      <c r="U83" s="292" t="str">
        <f>VLOOKUP($B83,'Master Tracker'!$D:$T,4,FALSE)
</f>
        <v>Not Found</v>
      </c>
      <c r="V83" s="290" t="str">
        <f>VLOOKUP($B83,'Master Tracker'!$D:$T,5,false)</f>
        <v>https://drive.google.com/open?id=19gIcnXZnol8BPgkgFifB8z3F8zr1lepu</v>
      </c>
      <c r="W83" s="291" t="str">
        <f>VLOOKUP($B83,'Master Tracker'!$D:$T,7,false)</f>
        <v>https://drive.google.com/open?id=1hc15aPN2PZ6XyEIsYu9M2Ep0TVrARSLX</v>
      </c>
      <c r="X83" s="290" t="str">
        <f>VLOOKUP($B83,'Master Tracker'!$D:$T,8,false)</f>
        <v>https://drive.google.com/open?id=18ueNhAYV5QQXWjweC8i48vF5_eixUSzk</v>
      </c>
      <c r="Y83" s="291" t="str">
        <f>VLOOKUP($B83,'Master Tracker'!$D:$T,10,false)</f>
        <v>https://drive.google.com/open?id=1hzDKlQblWxzpSIqIBjJBR6BayN3SsWCT</v>
      </c>
      <c r="Z83" s="290" t="str">
        <f>VLOOKUP($B83,'Master Tracker'!$D:$T,11,false)</f>
        <v>https://drive.google.com/open?id=1p4cVf5Z51nbnpi5BP6Y3jdCx7Y8lGWpx</v>
      </c>
      <c r="AA83" s="291" t="str">
        <f>VLOOKUP($B83,'Master Tracker'!$D:$T,13,false)</f>
        <v>https://drive.google.com/open?id=1Ax9woOwW-iBjf1vpo8Y3sGUQi3UA0YvO</v>
      </c>
      <c r="AB83" s="284" t="str">
        <f>VLOOKUP($B83,'Master Tracker'!$D:$T,14,false)</f>
        <v>Not Found</v>
      </c>
      <c r="AC83" s="292" t="str">
        <f>VLOOKUP($B83,'Master Tracker'!$D:$T,16,false)</f>
        <v>Not Found</v>
      </c>
      <c r="AD83" s="292" t="str">
        <f>VLOOKUP($B83,'Master Tracker'!$D:$T,17,false)</f>
        <v>Not Found</v>
      </c>
      <c r="AE83" s="292" t="str">
        <f>VLOOKUP($B83,'Master Tracker'!$D:$V,19,false)</f>
        <v>Not Found</v>
      </c>
      <c r="AF83" s="292" t="str">
        <f>IFERROR(__xludf.DUMMYFUNCTION("IFERROR(
  INDEX(
    FILTER(
      'Juma Recording forms'!$G:$G,
      TRIM('Juma Recording forms'!$F:$F) = TRIM($B83),
      'Juma Recording forms'!$AA:$AA = 1
    ),
    1
  ),
  ""Not Found""
)"),"Not Found")</f>
        <v>Not Found</v>
      </c>
      <c r="AG83" s="292">
        <f>IFERROR(__xludf.DUMMYFUNCTION("IFERROR(
  INDEX(
    FILTER(
      'Juma Recording forms'!$G:$G,
      TRIM('Juma Recording forms'!$F:$F) = TRIM($B83),
      'Juma Recording forms'!$AA:$AA = 2
    ),
    1
  ),
  ""Not Found""
)"),480.0)</f>
        <v>480</v>
      </c>
      <c r="AH83" s="292">
        <f>IFERROR(__xludf.DUMMYFUNCTION("IFERROR(
  INDEX(
    FILTER(
      'Juma Recording forms'!$G:$G,
      TRIM('Juma Recording forms'!$F:$F) = TRIM($B83),
      'Juma Recording forms'!$AA:$AA = 3
    ),
    1
  ),
  ""Not Found""
)"),450.0)</f>
        <v>450</v>
      </c>
      <c r="AI83" s="292">
        <f>IFERROR(__xludf.DUMMYFUNCTION("IFERROR(
  INDEX(
    FILTER(
      'Juma Recording forms'!$G:$G,
      TRIM('Juma Recording forms'!$F:$F) = TRIM($B83),
      'Juma Recording forms'!$AA:$AA = 4
    ),
    1
  ),
  ""Not Found""
)"),403.0)</f>
        <v>403</v>
      </c>
      <c r="AJ83" s="292" t="str">
        <f>IFERROR(__xludf.DUMMYFUNCTION("IFERROR(
  INDEX(
    FILTER(
      'Juma Recording forms'!$G:$G,
      TRIM('Juma Recording forms'!$F:$F) = TRIM($B83),
      'Juma Recording forms'!$AA:$AA = 5
    ),
    1
  ),
  ""Not Found""
)"),"Not Found")</f>
        <v>Not Found</v>
      </c>
      <c r="AK83" s="292" t="str">
        <f>IFERROR(__xludf.DUMMYFUNCTION("IFERROR(
  INDEX(
    FILTER(
      'Juma Recording forms'!$G:$G,
      TRIM('Juma Recording forms'!$F:$F) = TRIM($B83),
      'Juma Recording forms'!$AA:$AA = 6
    ),
    1
  ),
  ""Not Found""
)"),"Not Found")</f>
        <v>Not Found</v>
      </c>
      <c r="AL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1!$E:$E"")=$B83) *
        (IMPORTRANGE(""https://docs.google.com/spreadsheets/d/161aHT6vVT3SLneTKD19N5qVWtnj_jIT8CSsOmUVKmaA/ed"&amp;"it?gid=1761053510"",
          ""Haris_Form responses 1!$AQ:$AQ"")=1)
      ),
      1
    ),
    ""0""
  ),
  ""Form not found""
)
"),"Form not found")</f>
        <v>Form not found</v>
      </c>
      <c r="AM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1!$E:$E"")=$B83) *
        (IMPORTRANGE(""https://docs.google.com/spreadsheets/d/161aHT6vVT3SLneTKD19N5qVWtnj_jIT8CSsOmUVKmaA/ed"&amp;"it?gid=1761053510"",
          ""Haris_Form responses 1!$AQ:$AQ"")=2)
      ),
      1
    ),
    ""0""
  ),
  ""Form not found""
)
"),"10")</f>
        <v>10</v>
      </c>
      <c r="AN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1!$E:$E"")=$B83) *
        (IMPORTRANGE(""https://docs.google.com/spreadsheets/d/161aHT6vVT3SLneTKD19N5qVWtnj_jIT8CSsOmUVKmaA/ed"&amp;"it?gid=1761053510"",
          ""Haris_Form responses 1!$AQ:$AQ"")=3)
      ),
      1
    ),
    ""0""
  ),
  ""Form not found""
)
"),"0")</f>
        <v>0</v>
      </c>
      <c r="AO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1!$E:$E"")=$B83) *
        (IMPORTRANGE(""https://docs.google.com/spreadsheets/d/161aHT6vVT3SLneTKD19N5qVWtnj_jIT8CSsOmUVKmaA/ed"&amp;"it?gid=1761053510"",
          ""Haris_Form responses 1!$AQ:$AQ"")=4)
      ),
      1
    ),
    ""0""
  ),
  ""Form not found""
)
"),"0")</f>
        <v>0</v>
      </c>
      <c r="AP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1!$E:$E"")=$B83) *
        (IMPORTRANGE(""https://docs.google.com/spreadsheets/d/161aHT6vVT3SLneTKD19N5qVWtnj_jIT8CSsOmUVKmaA/ed"&amp;"it?gid=1761053510"",
          ""Haris_Form responses 1!$AQ:$AQ"")=5)
      ),
      1
    ),
    ""0""
  ),
  ""Form not found""
)
"),"Form not found")</f>
        <v>Form not found</v>
      </c>
      <c r="AQ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1!$E:$E"")=$B83) *
        (IMPORTRANGE(""https://docs.google.com/spreadsheets/d/161aHT6vVT3SLneTKD19N5qVWtnj_jIT8CSsOmUVKmaA/ed"&amp;"it?gid=1761053510"",
          ""Haris_Form responses 1!$AQ:$AQ"")=6)
      ),
      1
    ),
    ""0""
  ),
  ""Form not found""
)
"),"Form not found")</f>
        <v>Form not found</v>
      </c>
      <c r="AR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1!$E:$E"")=$B83) *
        (IMPORTRANGE(""https://docs.google.com/spreadsheets/d/161aHT6vVT3SLneTKD19N5qVWtnj_jIT8CSsOmUVKmaA/ed"&amp;"it?gid=1761053510"",
          ""Haris_Form responses 1!$AQ:$AQ"")=1)
      ),
      1
    ),
    ""0""
  ),
  ""Form not found""
)
"),"Form not found")</f>
        <v>Form not found</v>
      </c>
      <c r="AS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1!$E:$E"")=$B83) *
        (IMPORTRANGE(""https://docs.google.com/spreadsheets/d/161aHT6vVT3SLneTKD19N5qVWtnj_jIT8CSsOmUVKmaA/ed"&amp;"it?gid=1761053510"",
          ""Haris_Form responses 1!$AQ:$AQ"")=2)
      ),
      1
    ),
    ""0""
  ),
  ""Form not found""
)
"),"0")</f>
        <v>0</v>
      </c>
      <c r="AT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1!$E:$E"")=$B83) *
        (IMPORTRANGE(""https://docs.google.com/spreadsheets/d/161aHT6vVT3SLneTKD19N5qVWtnj_jIT8CSsOmUVKmaA/ed"&amp;"it?gid=1761053510"",
          ""Haris_Form responses 1!$AQ:$AQ"")=3)
      ),
      1
    ),
    ""0""
  ),
  ""Form not found""
)
"),"0")</f>
        <v>0</v>
      </c>
      <c r="AU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1!$E:$E"")=$B83) *
        (IMPORTRANGE(""https://docs.google.com/spreadsheets/d/161aHT6vVT3SLneTKD19N5qVWtnj_jIT8CSsOmUVKmaA/ed"&amp;"it?gid=1761053510"",
          ""Haris_Form responses 1!$AQ:$AQ"")=4)
      ),
      1
    ),
    ""0""
  ),
  ""Form not found""
)
"),"0")</f>
        <v>0</v>
      </c>
      <c r="AV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1!$E:$E"")=$B83) *
        (IMPORTRANGE(""https://docs.google.com/spreadsheets/d/161aHT6vVT3SLneTKD19N5qVWtnj_jIT8CSsOmUVKmaA/ed"&amp;"it?gid=1761053510"",
          ""Haris_Form responses 1!$AQ:$AQ"")=5)
      ),
      1
    ),
    ""0""
  ),
  ""Form not found""
)
"),"Form not found")</f>
        <v>Form not found</v>
      </c>
      <c r="AW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1!$E:$E"")=$B83) *
        (IMPORTRANGE(""https://docs.google.com/spreadsheets/d/161aHT6vVT3SLneTKD19N5qVWtnj_jIT8CSsOmUVKmaA/ed"&amp;"it?gid=1761053510"",
          ""Haris_Form responses 1!$AQ:$AQ"")=6)
      ),
      1
    ),
    ""0""
  ),
  ""Form not found""
)
"),"Form not found")</f>
        <v>Form not found</v>
      </c>
      <c r="AX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1!$E:$E"")=$B83) *
        (IMPORTRANGE(""https://docs.google.com/spreadsheets/d/161aHT6vVT3SLneTKD19N5qVWtnj_jIT8CSsOmUVKmaA/ed"&amp;"it?gid=1761053510"",
          ""Haris_Form responses 1!$AQ:$AQ"")=1)
      ),
      1
    ),
    ""0""
  ),
  ""Form not found""
)
"),"Form not found")</f>
        <v>Form not found</v>
      </c>
      <c r="AY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1!$E:$E"")=$B83) *
        (IMPORTRANGE(""https://docs.google.com/spreadsheets/d/161aHT6vVT3SLneTKD19N5qVWtnj_jIT8CSsOmUVKmaA/ed"&amp;"it?gid=1761053510"",
          ""Haris_Form responses 1!$AQ:$AQ"")=2)
      ),
      1
    ),
    ""0""
  ),
  ""Form not found""
)
"),"10")</f>
        <v>10</v>
      </c>
      <c r="AZ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1!$E:$E"")=$B83) *
        (IMPORTRANGE(""https://docs.google.com/spreadsheets/d/161aHT6vVT3SLneTKD19N5qVWtnj_jIT8CSsOmUVKmaA/ed"&amp;"it?gid=1761053510"",
          ""Haris_Form responses 1!$AQ:$AQ"")=3)
      ),
      1
    ),
    ""0""
  ),
  ""Form not found""
)
"),"0")</f>
        <v>0</v>
      </c>
      <c r="BA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1!$E:$E"")=$B83) *
        (IMPORTRANGE(""https://docs.google.com/spreadsheets/d/161aHT6vVT3SLneTKD19N5qVWtnj_jIT8CSsOmUVKmaA/ed"&amp;"it?gid=1761053510"",
          ""Haris_Form responses 1!$AQ:$AQ"")=4)
      ),
      1
    ),
    ""0""
  ),
  ""Form not found""
)
"),"0")</f>
        <v>0</v>
      </c>
      <c r="BB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1!$E:$E"")=$B83) *
        (IMPORTRANGE(""https://docs.google.com/spreadsheets/d/161aHT6vVT3SLneTKD19N5qVWtnj_jIT8CSsOmUVKmaA/ed"&amp;"it?gid=1761053510"",
          ""Haris_Form responses 1!$AQ:$AQ"")=5)
      ),
      1
    ),
    ""0""
  ),
  ""Form not found""
)
"),"Form not found")</f>
        <v>Form not found</v>
      </c>
      <c r="BC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1!$E:$E"")=$B83) *
        (IMPORTRANGE(""https://docs.google.com/spreadsheets/d/161aHT6vVT3SLneTKD19N5qVWtnj_jIT8CSsOmUVKmaA/ed"&amp;"it?gid=1761053510"",
          ""Haris_Form responses 1!$AQ:$AQ"")=6)
      ),
      1
    ),
    ""0""
  ),
  ""Form not found""
)
"),"Form not found")</f>
        <v>Form not found</v>
      </c>
      <c r="BD83" s="293"/>
    </row>
    <row r="84">
      <c r="A84" s="283" t="str">
        <f>IFERROR(__xludf.DUMMYFUNCTION("VLOOKUP($B84,IMPORTRANGE(""https://docs.google.com/spreadsheets/d/1VNXDITjs75AcgdBSW27oL1VZH31udDprJSsBcE5xlp4/edit?gid=1551188038#gid=1551188038"", ""Sheet9!$B:$E""),2,false)"),"Jhelum")</f>
        <v>Jhelum</v>
      </c>
      <c r="B84" s="283" t="s">
        <v>2544</v>
      </c>
      <c r="C84" s="284" t="str">
        <f>IFERROR(__xludf.DUMMYFUNCTION("VLOOKUP(TRIM($B84), IMPORTRANGE(""https://docs.google.com/spreadsheets/d/1aSOrU4PTpuBZqfitKaH1Rfww6-YOiNCKoBpPl8XBHaw/edit?gid=0#gid=0"", ""sheet3!$B:$C""), 2, FALSE)
"),"Jamia masjid syaden shah shahrazi chakwal")</f>
        <v>Jamia masjid syaden shah shahrazi chakwal</v>
      </c>
      <c r="D84" s="284" t="str">
        <f>IFERROR(__xludf.DUMMYFUNCTION("IFERROR(
  INDEX(
    FILTER(
      IMPORTRANGE(""1aSOrU4PTpuBZqfitKaH1Rfww6-YOiNCKoBpPl8XBHaw/edit?gid=0#gid=0"",""Sheet1!G:G""),
      IMPORTRANGE(""1aSOrU4PTpuBZqfitKaH1Rfww6-YOiNCKoBpPl8XBHaw/edit?gid=0#gid=0"",""Sheet1!C:C"")=$B84
    ),
    1
  ),
 "&amp;" ""Not Found""
)"),"Control")</f>
        <v>Control</v>
      </c>
      <c r="E84" s="284" t="str">
        <f>VLOOKUP(B84,'Juma Recording forms'!A:E,5,false)</f>
        <v>Jamia Masjid Syaden shah Shahrazi Chakwal</v>
      </c>
      <c r="F84" s="284" t="str">
        <f>IFERROR(__xludf.DUMMYFUNCTION("IFERROR(
  INDEX(
    FILTER(
      IMPORTRANGE(""1Cxrhp3-_-HS7v9uuqQliiIfrmMP4VaFoDNDWyUFy2J8/edit?gid=0#gid=0"",""Sheet1!Q:Q""),
      IMPORTRANGE(""1Cxrhp3-_-HS7v9uuqQliiIfrmMP4VaFoDNDWyUFy2J8/edit?gid=0#gid=0"",""Sheet1!K:K"")=$B84
    ),
    1
  ),
 "&amp;" ""Not Found""
)"),"M. Sharyar Saleem")</f>
        <v>M. Sharyar Saleem</v>
      </c>
      <c r="G84" s="284">
        <v>2007.0</v>
      </c>
      <c r="H84" s="284"/>
      <c r="I84" s="285"/>
      <c r="J84" s="286">
        <v>2.0</v>
      </c>
      <c r="K84" s="287" t="str">
        <f>VLOOKUP($B84,'Mosque Locations'!$A:$E,3,FALSE)
</f>
        <v>https://maps.google.com/maps?q=32.719097%2C72.9852805&amp;z=17&amp;hl=en</v>
      </c>
      <c r="L84" s="286">
        <f>VLOOKUP($B84,'Mosque Locations'!$A:$E,4,FALSE)
</f>
        <v>32.719097</v>
      </c>
      <c r="M84" s="286">
        <f>VLOOKUP($B84,'Mosque Locations'!$A:$E,5,false)</f>
        <v>72.9852805</v>
      </c>
      <c r="N84" s="288"/>
      <c r="O84" s="288"/>
      <c r="P84" s="288"/>
      <c r="Q84" s="295" t="str">
        <f>IFERROR(__xludf.DUMMYFUNCTION("IFERROR(
  INDEX(
    FILTER(
      IMPORTRANGE(""1DccNxjBgurEr0ABkI_rBagJT5phB5HaHG5N_mTm_BiA/edit?gid=1382299152#gid=1382299152"",""Form Responses 1!T:T""),
      IMPORTRANGE(""1DccNxjBgurEr0ABkI_rBagJT5phB5HaHG5N_mTm_BiA/edit?gid=1382299152#gid=1382299"&amp;"152"",""Form Responses 1!E:E"")=$B84
    ),
    1
  ),
  ""Not Found""
)"),"https://drive.google.com/open?id=1PChbFEy925gfFmnARhqjo2T9CihqXFk5")</f>
        <v>https://drive.google.com/open?id=1PChbFEy925gfFmnARhqjo2T9CihqXFk5</v>
      </c>
      <c r="R84" s="289" t="str">
        <f>IFERROR(__xludf.DUMMYFUNCTION("IFERROR(
  INDEX(
    FILTER(
      IMPORTRANGE(""1DccNxjBgurEr0ABkI_rBagJT5phB5HaHG5N_mTm_BiA/edit?gid=1382299152#gid=1382299152"",""Form Responses 1!S:S""),
      IMPORTRANGE(""1DccNxjBgurEr0ABkI_rBagJT5phB5HaHG5N_mTm_BiA/edit?gid=1382299152#gid=1382299"&amp;"152"",""Form Responses 1!E:E"")=$B84
    ),
    1
  ),
  ""Not Found""
)"),"https://drive.google.com/open?id=18xgzlbCySLLYIb1Zd-EYgFU7LSn9MOt5")</f>
        <v>https://drive.google.com/open?id=18xgzlbCySLLYIb1Zd-EYgFU7LSn9MOt5</v>
      </c>
      <c r="S84" s="285"/>
      <c r="T84" s="290" t="str">
        <f>VLOOKUP($B84,'Master Tracker'!$D:$E,2,false)</f>
        <v>https://drive.google.com/open?id=11qwN6dxeRYUsaju4c_51cScOkA-f6jN8</v>
      </c>
      <c r="U84" s="291" t="str">
        <f>VLOOKUP($B84,'Master Tracker'!$D:$T,4,FALSE)
</f>
        <v>https://drive.google.com/open?id=1-PJ6L2S3K_OiGl9j0bK9MmCXO-6x5sHF</v>
      </c>
      <c r="V84" s="284" t="str">
        <f>VLOOKUP($B84,'Master Tracker'!$D:$T,5,false)</f>
        <v>Not Found</v>
      </c>
      <c r="W84" s="292" t="str">
        <f>VLOOKUP($B84,'Master Tracker'!$D:$T,7,false)</f>
        <v>Not Found</v>
      </c>
      <c r="X84" s="290" t="str">
        <f>VLOOKUP($B84,'Master Tracker'!$D:$T,8,false)</f>
        <v>https://drive.google.com/open?id=1Kal1N6K2EwoiVIFdgyLwTla_buY2Trg3</v>
      </c>
      <c r="Y84" s="291" t="str">
        <f>VLOOKUP($B84,'Master Tracker'!$D:$T,10,false)</f>
        <v>https://drive.google.com/open?id=1Y7sAqo3eXE2Sa4_0VeCtveWRPy_NPpPn</v>
      </c>
      <c r="Z84" s="284" t="str">
        <f>VLOOKUP($B84,'Master Tracker'!$D:$T,11,false)</f>
        <v>Not Found</v>
      </c>
      <c r="AA84" s="292" t="str">
        <f>VLOOKUP($B84,'Master Tracker'!$D:$T,13,false)</f>
        <v>Not Found</v>
      </c>
      <c r="AB84" s="284" t="str">
        <f>VLOOKUP($B84,'Master Tracker'!$D:$T,14,false)</f>
        <v>Not Found</v>
      </c>
      <c r="AC84" s="292" t="str">
        <f>VLOOKUP($B84,'Master Tracker'!$D:$T,16,false)</f>
        <v>Not Found</v>
      </c>
      <c r="AD84" s="292" t="str">
        <f>VLOOKUP($B84,'Master Tracker'!$D:$T,17,false)</f>
        <v>Not Found</v>
      </c>
      <c r="AE84" s="292" t="str">
        <f>VLOOKUP($B84,'Master Tracker'!$D:$V,19,false)</f>
        <v>Not Found</v>
      </c>
      <c r="AF84" s="292">
        <f>IFERROR(__xludf.DUMMYFUNCTION("IFERROR(
  INDEX(
    FILTER(
      'Juma Recording forms'!$G:$G,
      TRIM('Juma Recording forms'!$F:$F) = TRIM($B84),
      'Juma Recording forms'!$AA:$AA = 1
    ),
    1
  ),
  ""Not Found""
)"),170.0)</f>
        <v>170</v>
      </c>
      <c r="AG84" s="292" t="str">
        <f>IFERROR(__xludf.DUMMYFUNCTION("IFERROR(
  INDEX(
    FILTER(
      'Juma Recording forms'!$G:$G,
      TRIM('Juma Recording forms'!$F:$F) = TRIM($B84),
      'Juma Recording forms'!$AA:$AA = 2
    ),
    1
  ),
  ""Not Found""
)"),"Not Found")</f>
        <v>Not Found</v>
      </c>
      <c r="AH84" s="292">
        <f>IFERROR(__xludf.DUMMYFUNCTION("IFERROR(
  INDEX(
    FILTER(
      'Juma Recording forms'!$G:$G,
      TRIM('Juma Recording forms'!$F:$F) = TRIM($B84),
      'Juma Recording forms'!$AA:$AA = 3
    ),
    1
  ),
  ""Not Found""
)"),180.0)</f>
        <v>180</v>
      </c>
      <c r="AI84" s="292" t="str">
        <f>IFERROR(__xludf.DUMMYFUNCTION("IFERROR(
  INDEX(
    FILTER(
      'Juma Recording forms'!$G:$G,
      TRIM('Juma Recording forms'!$F:$F) = TRIM($B84),
      'Juma Recording forms'!$AA:$AA = 4
    ),
    1
  ),
  ""Not Found""
)"),"Not Found")</f>
        <v>Not Found</v>
      </c>
      <c r="AJ84" s="292" t="str">
        <f>IFERROR(__xludf.DUMMYFUNCTION("IFERROR(
  INDEX(
    FILTER(
      'Juma Recording forms'!$G:$G,
      TRIM('Juma Recording forms'!$F:$F) = TRIM($B84),
      'Juma Recording forms'!$AA:$AA = 5
    ),
    1
  ),
  ""Not Found""
)"),"Not Found")</f>
        <v>Not Found</v>
      </c>
      <c r="AK84" s="292"/>
      <c r="AL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1!$E:$E"")=$B84) *
        (IMPORTRANGE(""https://docs.google.com/spreadsheets/d/161aHT6vVT3SLneTKD19N5qVWtnj_jIT8CSsOmUVKmaA/ed"&amp;"it?gid=1761053510"",
          ""Haris_Form responses 1!$AQ:$AQ"")=1)
      ),
      1
    ),
    ""0""
  ),
  ""Form not found""
)
"),"0")</f>
        <v>0</v>
      </c>
      <c r="AM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1!$E:$E"")=$B84) *
        (IMPORTRANGE(""https://docs.google.com/spreadsheets/d/161aHT6vVT3SLneTKD19N5qVWtnj_jIT8CSsOmUVKmaA/ed"&amp;"it?gid=1761053510"",
          ""Haris_Form responses 1!$AQ:$AQ"")=2)
      ),
      1
    ),
    ""0""
  ),
  ""Form not found""
)
"),"Form not found")</f>
        <v>Form not found</v>
      </c>
      <c r="AN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1!$E:$E"")=$B84) *
        (IMPORTRANGE(""https://docs.google.com/spreadsheets/d/161aHT6vVT3SLneTKD19N5qVWtnj_jIT8CSsOmUVKmaA/ed"&amp;"it?gid=1761053510"",
          ""Haris_Form responses 1!$AQ:$AQ"")=3)
      ),
      1
    ),
    ""0""
  ),
  ""Form not found""
)
"),"0")</f>
        <v>0</v>
      </c>
      <c r="AO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1!$E:$E"")=$B84) *
        (IMPORTRANGE(""https://docs.google.com/spreadsheets/d/161aHT6vVT3SLneTKD19N5qVWtnj_jIT8CSsOmUVKmaA/ed"&amp;"it?gid=1761053510"",
          ""Haris_Form responses 1!$AQ:$AQ"")=4)
      ),
      1
    ),
    ""0""
  ),
  ""Form not found""
)
"),"Form not found")</f>
        <v>Form not found</v>
      </c>
      <c r="AP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1!$E:$E"")=$B84) *
        (IMPORTRANGE(""https://docs.google.com/spreadsheets/d/161aHT6vVT3SLneTKD19N5qVWtnj_jIT8CSsOmUVKmaA/ed"&amp;"it?gid=1761053510"",
          ""Haris_Form responses 1!$AQ:$AQ"")=5)
      ),
      1
    ),
    ""0""
  ),
  ""Form not found""
)
"),"Form not found")</f>
        <v>Form not found</v>
      </c>
      <c r="AQ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1!$E:$E"")=$B84) *
        (IMPORTRANGE(""https://docs.google.com/spreadsheets/d/161aHT6vVT3SLneTKD19N5qVWtnj_jIT8CSsOmUVKmaA/ed"&amp;"it?gid=1761053510"",
          ""Haris_Form responses 1!$AQ:$AQ"")=6)
      ),
      1
    ),
    ""0""
  ),
  ""Form not found""
)
"),"Form not found")</f>
        <v>Form not found</v>
      </c>
      <c r="AR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1!$E:$E"")=$B84) *
        (IMPORTRANGE(""https://docs.google.com/spreadsheets/d/161aHT6vVT3SLneTKD19N5qVWtnj_jIT8CSsOmUVKmaA/ed"&amp;"it?gid=1761053510"",
          ""Haris_Form responses 1!$AQ:$AQ"")=1)
      ),
      1
    ),
    ""0""
  ),
  ""Form not found""
)
"),"0")</f>
        <v>0</v>
      </c>
      <c r="AS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1!$E:$E"")=$B84) *
        (IMPORTRANGE(""https://docs.google.com/spreadsheets/d/161aHT6vVT3SLneTKD19N5qVWtnj_jIT8CSsOmUVKmaA/ed"&amp;"it?gid=1761053510"",
          ""Haris_Form responses 1!$AQ:$AQ"")=2)
      ),
      1
    ),
    ""0""
  ),
  ""Form not found""
)
"),"Form not found")</f>
        <v>Form not found</v>
      </c>
      <c r="AT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1!$E:$E"")=$B84) *
        (IMPORTRANGE(""https://docs.google.com/spreadsheets/d/161aHT6vVT3SLneTKD19N5qVWtnj_jIT8CSsOmUVKmaA/ed"&amp;"it?gid=1761053510"",
          ""Haris_Form responses 1!$AQ:$AQ"")=3)
      ),
      1
    ),
    ""0""
  ),
  ""Form not found""
)
"),"0")</f>
        <v>0</v>
      </c>
      <c r="AU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1!$E:$E"")=$B84) *
        (IMPORTRANGE(""https://docs.google.com/spreadsheets/d/161aHT6vVT3SLneTKD19N5qVWtnj_jIT8CSsOmUVKmaA/ed"&amp;"it?gid=1761053510"",
          ""Haris_Form responses 1!$AQ:$AQ"")=4)
      ),
      1
    ),
    ""0""
  ),
  ""Form not found""
)
"),"Form not found")</f>
        <v>Form not found</v>
      </c>
      <c r="AV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1!$E:$E"")=$B84) *
        (IMPORTRANGE(""https://docs.google.com/spreadsheets/d/161aHT6vVT3SLneTKD19N5qVWtnj_jIT8CSsOmUVKmaA/ed"&amp;"it?gid=1761053510"",
          ""Haris_Form responses 1!$AQ:$AQ"")=5)
      ),
      1
    ),
    ""0""
  ),
  ""Form not found""
)
"),"Form not found")</f>
        <v>Form not found</v>
      </c>
      <c r="AW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1!$E:$E"")=$B84) *
        (IMPORTRANGE(""https://docs.google.com/spreadsheets/d/161aHT6vVT3SLneTKD19N5qVWtnj_jIT8CSsOmUVKmaA/ed"&amp;"it?gid=1761053510"",
          ""Haris_Form responses 1!$AQ:$AQ"")=6)
      ),
      1
    ),
    ""0""
  ),
  ""Form not found""
)
"),"Form not found")</f>
        <v>Form not found</v>
      </c>
      <c r="AX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1!$E:$E"")=$B84) *
        (IMPORTRANGE(""https://docs.google.com/spreadsheets/d/161aHT6vVT3SLneTKD19N5qVWtnj_jIT8CSsOmUVKmaA/ed"&amp;"it?gid=1761053510"",
          ""Haris_Form responses 1!$AQ:$AQ"")=1)
      ),
      1
    ),
    ""0""
  ),
  ""Form not found""
)
"),"0")</f>
        <v>0</v>
      </c>
      <c r="AY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1!$E:$E"")=$B84) *
        (IMPORTRANGE(""https://docs.google.com/spreadsheets/d/161aHT6vVT3SLneTKD19N5qVWtnj_jIT8CSsOmUVKmaA/ed"&amp;"it?gid=1761053510"",
          ""Haris_Form responses 1!$AQ:$AQ"")=2)
      ),
      1
    ),
    ""0""
  ),
  ""Form not found""
)
"),"Form not found")</f>
        <v>Form not found</v>
      </c>
      <c r="AZ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1!$E:$E"")=$B84) *
        (IMPORTRANGE(""https://docs.google.com/spreadsheets/d/161aHT6vVT3SLneTKD19N5qVWtnj_jIT8CSsOmUVKmaA/ed"&amp;"it?gid=1761053510"",
          ""Haris_Form responses 1!$AQ:$AQ"")=3)
      ),
      1
    ),
    ""0""
  ),
  ""Form not found""
)
"),"0")</f>
        <v>0</v>
      </c>
      <c r="BA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1!$E:$E"")=$B84) *
        (IMPORTRANGE(""https://docs.google.com/spreadsheets/d/161aHT6vVT3SLneTKD19N5qVWtnj_jIT8CSsOmUVKmaA/ed"&amp;"it?gid=1761053510"",
          ""Haris_Form responses 1!$AQ:$AQ"")=4)
      ),
      1
    ),
    ""0""
  ),
  ""Form not found""
)
"),"Form not found")</f>
        <v>Form not found</v>
      </c>
      <c r="BB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1!$E:$E"")=$B84) *
        (IMPORTRANGE(""https://docs.google.com/spreadsheets/d/161aHT6vVT3SLneTKD19N5qVWtnj_jIT8CSsOmUVKmaA/ed"&amp;"it?gid=1761053510"",
          ""Haris_Form responses 1!$AQ:$AQ"")=5)
      ),
      1
    ),
    ""0""
  ),
  ""Form not found""
)
"),"Form not found")</f>
        <v>Form not found</v>
      </c>
      <c r="BC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1!$E:$E"")=$B84) *
        (IMPORTRANGE(""https://docs.google.com/spreadsheets/d/161aHT6vVT3SLneTKD19N5qVWtnj_jIT8CSsOmUVKmaA/ed"&amp;"it?gid=1761053510"",
          ""Haris_Form responses 1!$AQ:$AQ"")=6)
      ),
      1
    ),
    ""0""
  ),
  ""Form not found""
)
"),"Form not found")</f>
        <v>Form not found</v>
      </c>
      <c r="BD84" s="293"/>
    </row>
    <row r="85">
      <c r="A85" s="283" t="str">
        <f>IFERROR(__xludf.DUMMYFUNCTION("VLOOKUP($B85,IMPORTRANGE(""https://docs.google.com/spreadsheets/d/1VNXDITjs75AcgdBSW27oL1VZH31udDprJSsBcE5xlp4/edit?gid=1551188038#gid=1551188038"", ""Sheet9!$B:$E""),2,false)"),"Jhelum")</f>
        <v>Jhelum</v>
      </c>
      <c r="B85" s="283" t="s">
        <v>2551</v>
      </c>
      <c r="C85" s="284" t="str">
        <f>IFERROR(__xludf.DUMMYFUNCTION("VLOOKUP(TRIM($B85), IMPORTRANGE(""https://docs.google.com/spreadsheets/d/1aSOrU4PTpuBZqfitKaH1Rfww6-YOiNCKoBpPl8XBHaw/edit?gid=0#gid=0"", ""sheet3!$B:$C""), 2, FALSE)
"),"Jamia Masjid Eid gah Tala gang chakwal")</f>
        <v>Jamia Masjid Eid gah Tala gang chakwal</v>
      </c>
      <c r="D85" s="284" t="str">
        <f>IFERROR(__xludf.DUMMYFUNCTION("IFERROR(
  INDEX(
    FILTER(
      IMPORTRANGE(""1aSOrU4PTpuBZqfitKaH1Rfww6-YOiNCKoBpPl8XBHaw/edit?gid=0#gid=0"",""Sheet1!G:G""),
      IMPORTRANGE(""1aSOrU4PTpuBZqfitKaH1Rfww6-YOiNCKoBpPl8XBHaw/edit?gid=0#gid=0"",""Sheet1!C:C"")=$B85
    ),
    1
  ),
 "&amp;" ""Not Found""
)"),"Control")</f>
        <v>Control</v>
      </c>
      <c r="E85" s="284" t="str">
        <f>VLOOKUP(B85,'Juma Recording forms'!A:E,5,false)</f>
        <v>Jamia Masjid Eid gah Tala gang chakwal</v>
      </c>
      <c r="F85" s="284" t="str">
        <f>IFERROR(__xludf.DUMMYFUNCTION("IFERROR(
  INDEX(
    FILTER(
      IMPORTRANGE(""1Cxrhp3-_-HS7v9uuqQliiIfrmMP4VaFoDNDWyUFy2J8/edit?gid=0#gid=0"",""Sheet1!Q:Q""),
      IMPORTRANGE(""1Cxrhp3-_-HS7v9uuqQliiIfrmMP4VaFoDNDWyUFy2J8/edit?gid=0#gid=0"",""Sheet1!K:K"")=$B85
    ),
    1
  ),
 "&amp;" ""Not Found""
)"),"Ubaid ur Rehman")</f>
        <v>Ubaid ur Rehman</v>
      </c>
      <c r="G85" s="284">
        <v>1950.0</v>
      </c>
      <c r="H85" s="284"/>
      <c r="I85" s="285"/>
      <c r="J85" s="286">
        <v>2.0</v>
      </c>
      <c r="K85" s="287" t="str">
        <f>VLOOKUP($B85,'Mosque Locations'!$A:$E,3,FALSE)
</f>
        <v>https://maps.google.com/maps?q=32.9257983%2C72.4068136&amp;z=17&amp;hl=en</v>
      </c>
      <c r="L85" s="286">
        <f>VLOOKUP($B85,'Mosque Locations'!$A:$E,4,FALSE)
</f>
        <v>32.9257983</v>
      </c>
      <c r="M85" s="286">
        <f>VLOOKUP($B85,'Mosque Locations'!$A:$E,5,false)</f>
        <v>72.4068136</v>
      </c>
      <c r="N85" s="288"/>
      <c r="O85" s="288"/>
      <c r="P85" s="288"/>
      <c r="Q85" s="289" t="str">
        <f>IFERROR(__xludf.DUMMYFUNCTION("IFERROR(
  INDEX(
    FILTER(
      IMPORTRANGE(""1DccNxjBgurEr0ABkI_rBagJT5phB5HaHG5N_mTm_BiA/edit?gid=1382299152#gid=1382299152"",""Form Responses 1!T:T""),
      IMPORTRANGE(""1DccNxjBgurEr0ABkI_rBagJT5phB5HaHG5N_mTm_BiA/edit?gid=1382299152#gid=1382299"&amp;"152"",""Form Responses 1!E:E"")=$B85
    ),
    1
  ),
  ""Not Found""
)"),"https://drive.google.com/file/d/1-t5dZZW3s_cO8BUj_xf5Bz6cdpUXx76G/view?usp=sharing")</f>
        <v>https://drive.google.com/file/d/1-t5dZZW3s_cO8BUj_xf5Bz6cdpUXx76G/view?usp=sharing</v>
      </c>
      <c r="R85" s="296" t="str">
        <f>IFERROR(__xludf.DUMMYFUNCTION("IFERROR(
  INDEX(
    FILTER(
      IMPORTRANGE(""1DccNxjBgurEr0ABkI_rBagJT5phB5HaHG5N_mTm_BiA/edit?gid=1382299152#gid=1382299152"",""Form Responses 1!S:S""),
      IMPORTRANGE(""1DccNxjBgurEr0ABkI_rBagJT5phB5HaHG5N_mTm_BiA/edit?gid=1382299152#gid=1382299"&amp;"152"",""Form Responses 1!E:E"")=$B85
    ),
    1
  ),
  ""Not Found""
)"),"https://drive.google.com/file/d/1vUvcX__uDw6lLrImzBEXJ680oDSLlITa/view?usp=sharing")</f>
        <v>https://drive.google.com/file/d/1vUvcX__uDw6lLrImzBEXJ680oDSLlITa/view?usp=sharing</v>
      </c>
      <c r="S85" s="285"/>
      <c r="T85" s="290" t="str">
        <f>VLOOKUP($B85,'Master Tracker'!$D:$E,2,false)</f>
        <v>https://drive.google.com/open?id=1zgODESIvP1jNLDbtk-AkveyC4VXzBUbD</v>
      </c>
      <c r="U85" s="291" t="str">
        <f>VLOOKUP($B85,'Master Tracker'!$D:$T,4,FALSE)
</f>
        <v>https://docs.google.com/document/d/1Z_6e_ECLU8RfpHebyyao8_DmicgmsKTi/edit?usp=drive_link&amp;ouid=117122465010506134151&amp;rtpof=true&amp;sd=true</v>
      </c>
      <c r="V85" s="284" t="str">
        <f>VLOOKUP($B85,'Master Tracker'!$D:$T,5,false)</f>
        <v>Not Found</v>
      </c>
      <c r="W85" s="292" t="str">
        <f>VLOOKUP($B85,'Master Tracker'!$D:$T,7,false)</f>
        <v>Not Found</v>
      </c>
      <c r="X85" s="290" t="str">
        <f>VLOOKUP($B85,'Master Tracker'!$D:$T,8,false)</f>
        <v>https://drive.google.com/open?id=19ib_PHZ82TPjh2diJBmBrDw69kyMIe4J</v>
      </c>
      <c r="Y85" s="291" t="str">
        <f>VLOOKUP($B85,'Master Tracker'!$D:$T,10,false)</f>
        <v>https://drive.google.com/open?id=1-uVavsFooO1qZFQjFjIPWSkijQgTo0nb</v>
      </c>
      <c r="Z85" s="284" t="str">
        <f>VLOOKUP($B85,'Master Tracker'!$D:$T,11,false)</f>
        <v>Not Found</v>
      </c>
      <c r="AA85" s="292" t="str">
        <f>VLOOKUP($B85,'Master Tracker'!$D:$T,13,false)</f>
        <v>Not Found</v>
      </c>
      <c r="AB85" s="284" t="str">
        <f>VLOOKUP($B85,'Master Tracker'!$D:$T,14,false)</f>
        <v>Not Found</v>
      </c>
      <c r="AC85" s="292" t="str">
        <f>VLOOKUP($B85,'Master Tracker'!$D:$T,16,false)</f>
        <v>Not Found</v>
      </c>
      <c r="AD85" s="292" t="str">
        <f>VLOOKUP($B85,'Master Tracker'!$D:$T,17,false)</f>
        <v>Not Found</v>
      </c>
      <c r="AE85" s="292" t="str">
        <f>VLOOKUP($B85,'Master Tracker'!$D:$V,19,false)</f>
        <v>Not Found</v>
      </c>
      <c r="AF85" s="292">
        <f>IFERROR(__xludf.DUMMYFUNCTION("IFERROR(
  INDEX(
    FILTER(
      'Juma Recording forms'!$G:$G,
      TRIM('Juma Recording forms'!$F:$F) = TRIM($B85),
      'Juma Recording forms'!$AA:$AA = 1
    ),
    1
  ),
  ""Not Found""
)"),162.0)</f>
        <v>162</v>
      </c>
      <c r="AG85" s="292" t="str">
        <f>IFERROR(__xludf.DUMMYFUNCTION("IFERROR(
  INDEX(
    FILTER(
      'Juma Recording forms'!$G:$G,
      TRIM('Juma Recording forms'!$F:$F) = TRIM($B85),
      'Juma Recording forms'!$AA:$AA = 2
    ),
    1
  ),
  ""Not Found""
)"),"Not Found")</f>
        <v>Not Found</v>
      </c>
      <c r="AH85" s="292">
        <f>IFERROR(__xludf.DUMMYFUNCTION("IFERROR(
  INDEX(
    FILTER(
      'Juma Recording forms'!$G:$G,
      TRIM('Juma Recording forms'!$F:$F) = TRIM($B85),
      'Juma Recording forms'!$AA:$AA = 3
    ),
    1
  ),
  ""Not Found""
)"),166.0)</f>
        <v>166</v>
      </c>
      <c r="AI85" s="292" t="str">
        <f>IFERROR(__xludf.DUMMYFUNCTION("IFERROR(
  INDEX(
    FILTER(
      'Juma Recording forms'!$G:$G,
      TRIM('Juma Recording forms'!$F:$F) = TRIM($B85),
      'Juma Recording forms'!$AA:$AA = 4
    ),
    1
  ),
  ""Not Found""
)"),"Not Found")</f>
        <v>Not Found</v>
      </c>
      <c r="AJ85" s="292" t="str">
        <f>IFERROR(__xludf.DUMMYFUNCTION("IFERROR(
  INDEX(
    FILTER(
      'Juma Recording forms'!$G:$G,
      TRIM('Juma Recording forms'!$F:$F) = TRIM($B85),
      'Juma Recording forms'!$AA:$AA = 5
    ),
    1
  ),
  ""Not Found""
)"),"Not Found")</f>
        <v>Not Found</v>
      </c>
      <c r="AK85" s="292"/>
      <c r="AL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1!$E:$E"")=$B85) *
        (IMPORTRANGE(""https://docs.google.com/spreadsheets/d/161aHT6vVT3SLneTKD19N5qVWtnj_jIT8CSsOmUVKmaA/ed"&amp;"it?gid=1761053510"",
          ""Haris_Form responses 1!$AQ:$AQ"")=1)
      ),
      1
    ),
    ""0""
  ),
  ""Form not found""
)
"),"0")</f>
        <v>0</v>
      </c>
      <c r="AM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1!$E:$E"")=$B85) *
        (IMPORTRANGE(""https://docs.google.com/spreadsheets/d/161aHT6vVT3SLneTKD19N5qVWtnj_jIT8CSsOmUVKmaA/ed"&amp;"it?gid=1761053510"",
          ""Haris_Form responses 1!$AQ:$AQ"")=2)
      ),
      1
    ),
    ""0""
  ),
  ""Form not found""
)
"),"Form not found")</f>
        <v>Form not found</v>
      </c>
      <c r="AN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1!$E:$E"")=$B85) *
        (IMPORTRANGE(""https://docs.google.com/spreadsheets/d/161aHT6vVT3SLneTKD19N5qVWtnj_jIT8CSsOmUVKmaA/ed"&amp;"it?gid=1761053510"",
          ""Haris_Form responses 1!$AQ:$AQ"")=3)
      ),
      1
    ),
    ""0""
  ),
  ""Form not found""
)
"),"0")</f>
        <v>0</v>
      </c>
      <c r="AO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1!$E:$E"")=$B85) *
        (IMPORTRANGE(""https://docs.google.com/spreadsheets/d/161aHT6vVT3SLneTKD19N5qVWtnj_jIT8CSsOmUVKmaA/ed"&amp;"it?gid=1761053510"",
          ""Haris_Form responses 1!$AQ:$AQ"")=4)
      ),
      1
    ),
    ""0""
  ),
  ""Form not found""
)
"),"Form not found")</f>
        <v>Form not found</v>
      </c>
      <c r="AP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1!$E:$E"")=$B85) *
        (IMPORTRANGE(""https://docs.google.com/spreadsheets/d/161aHT6vVT3SLneTKD19N5qVWtnj_jIT8CSsOmUVKmaA/ed"&amp;"it?gid=1761053510"",
          ""Haris_Form responses 1!$AQ:$AQ"")=5)
      ),
      1
    ),
    ""0""
  ),
  ""Form not found""
)
"),"Form not found")</f>
        <v>Form not found</v>
      </c>
      <c r="AQ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1!$E:$E"")=$B85) *
        (IMPORTRANGE(""https://docs.google.com/spreadsheets/d/161aHT6vVT3SLneTKD19N5qVWtnj_jIT8CSsOmUVKmaA/ed"&amp;"it?gid=1761053510"",
          ""Haris_Form responses 1!$AQ:$AQ"")=6)
      ),
      1
    ),
    ""0""
  ),
  ""Form not found""
)
"),"Form not found")</f>
        <v>Form not found</v>
      </c>
      <c r="AR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1!$E:$E"")=$B85) *
        (IMPORTRANGE(""https://docs.google.com/spreadsheets/d/161aHT6vVT3SLneTKD19N5qVWtnj_jIT8CSsOmUVKmaA/ed"&amp;"it?gid=1761053510"",
          ""Haris_Form responses 1!$AQ:$AQ"")=1)
      ),
      1
    ),
    ""0""
  ),
  ""Form not found""
)
"),"0")</f>
        <v>0</v>
      </c>
      <c r="AS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1!$E:$E"")=$B85) *
        (IMPORTRANGE(""https://docs.google.com/spreadsheets/d/161aHT6vVT3SLneTKD19N5qVWtnj_jIT8CSsOmUVKmaA/ed"&amp;"it?gid=1761053510"",
          ""Haris_Form responses 1!$AQ:$AQ"")=2)
      ),
      1
    ),
    ""0""
  ),
  ""Form not found""
)
"),"Form not found")</f>
        <v>Form not found</v>
      </c>
      <c r="AT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1!$E:$E"")=$B85) *
        (IMPORTRANGE(""https://docs.google.com/spreadsheets/d/161aHT6vVT3SLneTKD19N5qVWtnj_jIT8CSsOmUVKmaA/ed"&amp;"it?gid=1761053510"",
          ""Haris_Form responses 1!$AQ:$AQ"")=3)
      ),
      1
    ),
    ""0""
  ),
  ""Form not found""
)
"),"0")</f>
        <v>0</v>
      </c>
      <c r="AU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1!$E:$E"")=$B85) *
        (IMPORTRANGE(""https://docs.google.com/spreadsheets/d/161aHT6vVT3SLneTKD19N5qVWtnj_jIT8CSsOmUVKmaA/ed"&amp;"it?gid=1761053510"",
          ""Haris_Form responses 1!$AQ:$AQ"")=4)
      ),
      1
    ),
    ""0""
  ),
  ""Form not found""
)
"),"Form not found")</f>
        <v>Form not found</v>
      </c>
      <c r="AV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1!$E:$E"")=$B85) *
        (IMPORTRANGE(""https://docs.google.com/spreadsheets/d/161aHT6vVT3SLneTKD19N5qVWtnj_jIT8CSsOmUVKmaA/ed"&amp;"it?gid=1761053510"",
          ""Haris_Form responses 1!$AQ:$AQ"")=5)
      ),
      1
    ),
    ""0""
  ),
  ""Form not found""
)
"),"Form not found")</f>
        <v>Form not found</v>
      </c>
      <c r="AW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1!$E:$E"")=$B85) *
        (IMPORTRANGE(""https://docs.google.com/spreadsheets/d/161aHT6vVT3SLneTKD19N5qVWtnj_jIT8CSsOmUVKmaA/ed"&amp;"it?gid=1761053510"",
          ""Haris_Form responses 1!$AQ:$AQ"")=6)
      ),
      1
    ),
    ""0""
  ),
  ""Form not found""
)
"),"Form not found")</f>
        <v>Form not found</v>
      </c>
      <c r="AX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1!$E:$E"")=$B85) *
        (IMPORTRANGE(""https://docs.google.com/spreadsheets/d/161aHT6vVT3SLneTKD19N5qVWtnj_jIT8CSsOmUVKmaA/ed"&amp;"it?gid=1761053510"",
          ""Haris_Form responses 1!$AQ:$AQ"")=1)
      ),
      1
    ),
    ""0""
  ),
  ""Form not found""
)
"),"0")</f>
        <v>0</v>
      </c>
      <c r="AY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1!$E:$E"")=$B85) *
        (IMPORTRANGE(""https://docs.google.com/spreadsheets/d/161aHT6vVT3SLneTKD19N5qVWtnj_jIT8CSsOmUVKmaA/ed"&amp;"it?gid=1761053510"",
          ""Haris_Form responses 1!$AQ:$AQ"")=2)
      ),
      1
    ),
    ""0""
  ),
  ""Form not found""
)
"),"Form not found")</f>
        <v>Form not found</v>
      </c>
      <c r="AZ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1!$E:$E"")=$B85) *
        (IMPORTRANGE(""https://docs.google.com/spreadsheets/d/161aHT6vVT3SLneTKD19N5qVWtnj_jIT8CSsOmUVKmaA/ed"&amp;"it?gid=1761053510"",
          ""Haris_Form responses 1!$AQ:$AQ"")=3)
      ),
      1
    ),
    ""0""
  ),
  ""Form not found""
)
"),"0")</f>
        <v>0</v>
      </c>
      <c r="BA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1!$E:$E"")=$B85) *
        (IMPORTRANGE(""https://docs.google.com/spreadsheets/d/161aHT6vVT3SLneTKD19N5qVWtnj_jIT8CSsOmUVKmaA/ed"&amp;"it?gid=1761053510"",
          ""Haris_Form responses 1!$AQ:$AQ"")=4)
      ),
      1
    ),
    ""0""
  ),
  ""Form not found""
)
"),"Form not found")</f>
        <v>Form not found</v>
      </c>
      <c r="BB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1!$E:$E"")=$B85) *
        (IMPORTRANGE(""https://docs.google.com/spreadsheets/d/161aHT6vVT3SLneTKD19N5qVWtnj_jIT8CSsOmUVKmaA/ed"&amp;"it?gid=1761053510"",
          ""Haris_Form responses 1!$AQ:$AQ"")=5)
      ),
      1
    ),
    ""0""
  ),
  ""Form not found""
)
"),"Form not found")</f>
        <v>Form not found</v>
      </c>
      <c r="BC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1!$E:$E"")=$B85) *
        (IMPORTRANGE(""https://docs.google.com/spreadsheets/d/161aHT6vVT3SLneTKD19N5qVWtnj_jIT8CSsOmUVKmaA/ed"&amp;"it?gid=1761053510"",
          ""Haris_Form responses 1!$AQ:$AQ"")=6)
      ),
      1
    ),
    ""0""
  ),
  ""Form not found""
)
"),"Form not found")</f>
        <v>Form not found</v>
      </c>
      <c r="BD85" s="293"/>
    </row>
    <row r="86">
      <c r="A86" s="283" t="str">
        <f>IFERROR(__xludf.DUMMYFUNCTION("VLOOKUP($B86,IMPORTRANGE(""https://docs.google.com/spreadsheets/d/1VNXDITjs75AcgdBSW27oL1VZH31udDprJSsBcE5xlp4/edit?gid=1551188038#gid=1551188038"", ""Sheet9!$B:$E""),2,false)"),"Gujrat")</f>
        <v>Gujrat</v>
      </c>
      <c r="B86" s="283" t="s">
        <v>2203</v>
      </c>
      <c r="C86" s="284" t="str">
        <f>IFERROR(__xludf.DUMMYFUNCTION("VLOOKUP(TRIM($B86), IMPORTRANGE(""https://docs.google.com/spreadsheets/d/1aSOrU4PTpuBZqfitKaH1Rfww6-YOiNCKoBpPl8XBHaw/edit?gid=0#gid=0"", ""sheet3!$B:$C""), 2, FALSE)
"),"Jamia Masjid Ghousia Chowk Pakistan Gujrat")</f>
        <v>Jamia Masjid Ghousia Chowk Pakistan Gujrat</v>
      </c>
      <c r="D86" s="284" t="str">
        <f>IFERROR(__xludf.DUMMYFUNCTION("IFERROR(
  INDEX(
    FILTER(
      IMPORTRANGE(""1aSOrU4PTpuBZqfitKaH1Rfww6-YOiNCKoBpPl8XBHaw/edit?gid=0#gid=0"",""Sheet1!G:G""),
      IMPORTRANGE(""1aSOrU4PTpuBZqfitKaH1Rfww6-YOiNCKoBpPl8XBHaw/edit?gid=0#gid=0"",""Sheet1!C:C"")=$B86
    ),
    1
  ),
 "&amp;" ""Not Found""
)"),"Women Secular No Info Share")</f>
        <v>Women Secular No Info Share</v>
      </c>
      <c r="E86" s="284" t="str">
        <f>VLOOKUP(B86,'Juma Recording forms'!A:E,5,false)</f>
        <v>Ghosia musjid </v>
      </c>
      <c r="F86" s="284" t="str">
        <f>IFERROR(__xludf.DUMMYFUNCTION("IFERROR(
  INDEX(
    FILTER(
      IMPORTRANGE(""1Cxrhp3-_-HS7v9uuqQliiIfrmMP4VaFoDNDWyUFy2J8/edit?gid=0#gid=0"",""Sheet1!Q:Q""),
      IMPORTRANGE(""1Cxrhp3-_-HS7v9uuqQliiIfrmMP4VaFoDNDWyUFy2J8/edit?gid=0#gid=0"",""Sheet1!K:K"")=$B86
    ),
    1
  ),
 "&amp;" ""Not Found""
)"),"M faheem")</f>
        <v>M faheem</v>
      </c>
      <c r="G86" s="284"/>
      <c r="H86" s="284"/>
      <c r="I86" s="285"/>
      <c r="J86" s="286">
        <v>2.0</v>
      </c>
      <c r="K86" s="287" t="str">
        <f>VLOOKUP($B86,'Mosque Locations'!$A:$E,3,FALSE)
</f>
        <v>https://maps.google.com/maps?q=32.57686233520508%2C74.08113098144531&amp;z=17&amp;hl=en</v>
      </c>
      <c r="L86" s="286">
        <f>VLOOKUP($B86,'Mosque Locations'!$A:$E,4,FALSE)
</f>
        <v>32.57686</v>
      </c>
      <c r="M86" s="286">
        <f>VLOOKUP($B86,'Mosque Locations'!$A:$E,5,false)</f>
        <v>74.08113</v>
      </c>
      <c r="N86" s="288"/>
      <c r="O86" s="288"/>
      <c r="P86" s="288"/>
      <c r="Q86" s="289" t="str">
        <f>IFERROR(__xludf.DUMMYFUNCTION("IFERROR(
  INDEX(
    FILTER(
      IMPORTRANGE(""1DccNxjBgurEr0ABkI_rBagJT5phB5HaHG5N_mTm_BiA/edit?gid=1382299152#gid=1382299152"",""Form Responses 1!T:T""),
      IMPORTRANGE(""1DccNxjBgurEr0ABkI_rBagJT5phB5HaHG5N_mTm_BiA/edit?gid=1382299152#gid=1382299"&amp;"152"",""Form Responses 1!E:E"")=$B86
    ),
    1
  ),
  ""Not Found""
)"),"https://drive.google.com/open?id=1gcFLkaKZZDZrMIP77Nk9ZbQXBdxDgDTv")</f>
        <v>https://drive.google.com/open?id=1gcFLkaKZZDZrMIP77Nk9ZbQXBdxDgDTv</v>
      </c>
      <c r="R86" s="289" t="str">
        <f>IFERROR(__xludf.DUMMYFUNCTION("IFERROR(
  INDEX(
    FILTER(
      IMPORTRANGE(""1DccNxjBgurEr0ABkI_rBagJT5phB5HaHG5N_mTm_BiA/edit?gid=1382299152#gid=1382299152"",""Form Responses 1!S:S""),
      IMPORTRANGE(""1DccNxjBgurEr0ABkI_rBagJT5phB5HaHG5N_mTm_BiA/edit?gid=1382299152#gid=1382299"&amp;"152"",""Form Responses 1!E:E"")=$B86
    ),
    1
  ),
  ""Not Found""
)"),"https://drive.google.com/open?id=1FE00cJ7grVMyb-Ee7ZLuHZleQFfigdtn")</f>
        <v>https://drive.google.com/open?id=1FE00cJ7grVMyb-Ee7ZLuHZleQFfigdtn</v>
      </c>
      <c r="S86" s="285"/>
      <c r="T86" s="290" t="str">
        <f>VLOOKUP($B86,'Master Tracker'!$D:$E,2,false)</f>
        <v>https://drive.google.com/open?id=1RuOYDxfISpHluT6l39cuNnsHp6jUrfeG</v>
      </c>
      <c r="U86" s="291" t="str">
        <f>VLOOKUP($B86,'Master Tracker'!$D:$T,4,FALSE)
</f>
        <v>https://drive.google.com/open?id=1Fx_IPpdCxerV_EqdtIR03Ozk7WtCYSfR</v>
      </c>
      <c r="V86" s="284" t="str">
        <f>VLOOKUP($B86,'Master Tracker'!$D:$T,5,false)</f>
        <v>https://drive.google.com/open?id=1ckVDCMSvukKdgtnPDaPWhVHxl4aF8wwB, https://drive.google.com/open?id=1ZMzGhWdnym1IVkO1Q8hRi2N4IcH1Glk0</v>
      </c>
      <c r="W86" s="291" t="str">
        <f>VLOOKUP($B86,'Master Tracker'!$D:$T,7,false)</f>
        <v>https://drive.google.com/open?id=113_pjUpx4UIFuRaAKIht9EfNDAeMsBfL</v>
      </c>
      <c r="X86" s="290" t="str">
        <f>VLOOKUP($B86,'Master Tracker'!$D:$T,8,false)</f>
        <v>https://drive.google.com/open?id=1NOnwJqfzOAb_U7myjl-QKV96NEfC_uzc</v>
      </c>
      <c r="Y86" s="291" t="str">
        <f>VLOOKUP($B86,'Master Tracker'!$D:$T,10,false)</f>
        <v>https://drive.google.com/open?id=1xhzL_im0vJmduAOCj-o4URUAMAN7a9jh</v>
      </c>
      <c r="Z86" s="284" t="str">
        <f>VLOOKUP($B86,'Master Tracker'!$D:$T,11,false)</f>
        <v>Not Found</v>
      </c>
      <c r="AA86" s="292" t="str">
        <f>VLOOKUP($B86,'Master Tracker'!$D:$T,13,false)</f>
        <v>Not Found</v>
      </c>
      <c r="AB86" s="284" t="str">
        <f>VLOOKUP($B86,'Master Tracker'!$D:$T,14,false)</f>
        <v>Not Found</v>
      </c>
      <c r="AC86" s="292" t="str">
        <f>VLOOKUP($B86,'Master Tracker'!$D:$T,16,false)</f>
        <v>Not Found</v>
      </c>
      <c r="AD86" s="292" t="str">
        <f>VLOOKUP($B86,'Master Tracker'!$D:$T,17,false)</f>
        <v>Not Found</v>
      </c>
      <c r="AE86" s="292" t="str">
        <f>VLOOKUP($B86,'Master Tracker'!$D:$V,19,false)</f>
        <v>Not Found</v>
      </c>
      <c r="AF86" s="292">
        <f>IFERROR(__xludf.DUMMYFUNCTION("IFERROR(
  INDEX(
    FILTER(
      'Juma Recording forms'!$G:$G,
      TRIM('Juma Recording forms'!$F:$F) = TRIM($B86),
      'Juma Recording forms'!$AA:$AA = 1
    ),
    1
  ),
  ""Not Found""
)"),370.0)</f>
        <v>370</v>
      </c>
      <c r="AG86" s="292">
        <f>IFERROR(__xludf.DUMMYFUNCTION("IFERROR(
  INDEX(
    FILTER(
      'Juma Recording forms'!$G:$G,
      TRIM('Juma Recording forms'!$F:$F) = TRIM($B86),
      'Juma Recording forms'!$AA:$AA = 2
    ),
    1
  ),
  ""Not Found""
)"),350.0)</f>
        <v>350</v>
      </c>
      <c r="AH86" s="292">
        <f>IFERROR(__xludf.DUMMYFUNCTION("IFERROR(
  INDEX(
    FILTER(
      'Juma Recording forms'!$G:$G,
      TRIM('Juma Recording forms'!$F:$F) = TRIM($B86),
      'Juma Recording forms'!$AA:$AA = 3
    ),
    1
  ),
  ""Not Found""
)"),300.0)</f>
        <v>300</v>
      </c>
      <c r="AI86" s="292" t="str">
        <f>IFERROR(__xludf.DUMMYFUNCTION("IFERROR(
  INDEX(
    FILTER(
      'Juma Recording forms'!$G:$G,
      TRIM('Juma Recording forms'!$F:$F) = TRIM($B86),
      'Juma Recording forms'!$AA:$AA = 4
    ),
    1
  ),
  ""Not Found""
)"),"Not Found")</f>
        <v>Not Found</v>
      </c>
      <c r="AJ86" s="292" t="str">
        <f>IFERROR(__xludf.DUMMYFUNCTION("IFERROR(
  INDEX(
    FILTER(
      'Juma Recording forms'!$G:$G,
      TRIM('Juma Recording forms'!$F:$F) = TRIM($B86),
      'Juma Recording forms'!$AA:$AA = 5
    ),
    1
  ),
  ""Not Found""
)"),"Not Found")</f>
        <v>Not Found</v>
      </c>
      <c r="AK86" s="292" t="str">
        <f>IFERROR(__xludf.DUMMYFUNCTION("IFERROR(
  INDEX(
    FILTER(
      'Juma Recording forms'!$G:$G,
      TRIM('Juma Recording forms'!$F:$F) = TRIM($B86),
      'Juma Recording forms'!$AA:$AA = 6
    ),
    1
  ),
  ""Not Found""
)"),"Not Found")</f>
        <v>Not Found</v>
      </c>
      <c r="AL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1!$E:$E"")=$B86) *
        (IMPORTRANGE(""https://docs.google.com/spreadsheets/d/161aHT6vVT3SLneTKD19N5qVWtnj_jIT8CSsOmUVKmaA/ed"&amp;"it?gid=1761053510"",
          ""Haris_Form responses 1!$AQ:$AQ"")=1)
      ),
      1
    ),
    ""0""
  ),
  ""Form not found""
)
"),"0")</f>
        <v>0</v>
      </c>
      <c r="AM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1!$E:$E"")=$B86) *
        (IMPORTRANGE(""https://docs.google.com/spreadsheets/d/161aHT6vVT3SLneTKD19N5qVWtnj_jIT8CSsOmUVKmaA/ed"&amp;"it?gid=1761053510"",
          ""Haris_Form responses 1!$AQ:$AQ"")=2)
      ),
      1
    ),
    ""0""
  ),
  ""Form not found""
)
"),"10")</f>
        <v>10</v>
      </c>
      <c r="AN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1!$E:$E"")=$B86) *
        (IMPORTRANGE(""https://docs.google.com/spreadsheets/d/161aHT6vVT3SLneTKD19N5qVWtnj_jIT8CSsOmUVKmaA/ed"&amp;"it?gid=1761053510"",
          ""Haris_Form responses 1!$AQ:$AQ"")=3)
      ),
      1
    ),
    ""0""
  ),
  ""Form not found""
)
"),"0")</f>
        <v>0</v>
      </c>
      <c r="AO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1!$E:$E"")=$B86) *
        (IMPORTRANGE(""https://docs.google.com/spreadsheets/d/161aHT6vVT3SLneTKD19N5qVWtnj_jIT8CSsOmUVKmaA/ed"&amp;"it?gid=1761053510"",
          ""Haris_Form responses 1!$AQ:$AQ"")=4)
      ),
      1
    ),
    ""0""
  ),
  ""Form not found""
)
"),"Form not found")</f>
        <v>Form not found</v>
      </c>
      <c r="AP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1!$E:$E"")=$B86) *
        (IMPORTRANGE(""https://docs.google.com/spreadsheets/d/161aHT6vVT3SLneTKD19N5qVWtnj_jIT8CSsOmUVKmaA/ed"&amp;"it?gid=1761053510"",
          ""Haris_Form responses 1!$AQ:$AQ"")=5)
      ),
      1
    ),
    ""0""
  ),
  ""Form not found""
)
"),"Form not found")</f>
        <v>Form not found</v>
      </c>
      <c r="AQ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1!$E:$E"")=$B86) *
        (IMPORTRANGE(""https://docs.google.com/spreadsheets/d/161aHT6vVT3SLneTKD19N5qVWtnj_jIT8CSsOmUVKmaA/ed"&amp;"it?gid=1761053510"",
          ""Haris_Form responses 1!$AQ:$AQ"")=6)
      ),
      1
    ),
    ""0""
  ),
  ""Form not found""
)
"),"Form not found")</f>
        <v>Form not found</v>
      </c>
      <c r="AR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1!$E:$E"")=$B86) *
        (IMPORTRANGE(""https://docs.google.com/spreadsheets/d/161aHT6vVT3SLneTKD19N5qVWtnj_jIT8CSsOmUVKmaA/ed"&amp;"it?gid=1761053510"",
          ""Haris_Form responses 1!$AQ:$AQ"")=1)
      ),
      1
    ),
    ""0""
  ),
  ""Form not found""
)
"),"4")</f>
        <v>4</v>
      </c>
      <c r="AS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1!$E:$E"")=$B86) *
        (IMPORTRANGE(""https://docs.google.com/spreadsheets/d/161aHT6vVT3SLneTKD19N5qVWtnj_jIT8CSsOmUVKmaA/ed"&amp;"it?gid=1761053510"",
          ""Haris_Form responses 1!$AQ:$AQ"")=2)
      ),
      1
    ),
    ""0""
  ),
  ""Form not found""
)
"),"0")</f>
        <v>0</v>
      </c>
      <c r="AT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1!$E:$E"")=$B86) *
        (IMPORTRANGE(""https://docs.google.com/spreadsheets/d/161aHT6vVT3SLneTKD19N5qVWtnj_jIT8CSsOmUVKmaA/ed"&amp;"it?gid=1761053510"",
          ""Haris_Form responses 1!$AQ:$AQ"")=3)
      ),
      1
    ),
    ""0""
  ),
  ""Form not found""
)
"),"0")</f>
        <v>0</v>
      </c>
      <c r="AU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1!$E:$E"")=$B86) *
        (IMPORTRANGE(""https://docs.google.com/spreadsheets/d/161aHT6vVT3SLneTKD19N5qVWtnj_jIT8CSsOmUVKmaA/ed"&amp;"it?gid=1761053510"",
          ""Haris_Form responses 1!$AQ:$AQ"")=4)
      ),
      1
    ),
    ""0""
  ),
  ""Form not found""
)
"),"Form not found")</f>
        <v>Form not found</v>
      </c>
      <c r="AV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1!$E:$E"")=$B86) *
        (IMPORTRANGE(""https://docs.google.com/spreadsheets/d/161aHT6vVT3SLneTKD19N5qVWtnj_jIT8CSsOmUVKmaA/ed"&amp;"it?gid=1761053510"",
          ""Haris_Form responses 1!$AQ:$AQ"")=5)
      ),
      1
    ),
    ""0""
  ),
  ""Form not found""
)
"),"Form not found")</f>
        <v>Form not found</v>
      </c>
      <c r="AW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1!$E:$E"")=$B86) *
        (IMPORTRANGE(""https://docs.google.com/spreadsheets/d/161aHT6vVT3SLneTKD19N5qVWtnj_jIT8CSsOmUVKmaA/ed"&amp;"it?gid=1761053510"",
          ""Haris_Form responses 1!$AQ:$AQ"")=6)
      ),
      1
    ),
    ""0""
  ),
  ""Form not found""
)
"),"Form not found")</f>
        <v>Form not found</v>
      </c>
      <c r="AX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1!$E:$E"")=$B86) *
        (IMPORTRANGE(""https://docs.google.com/spreadsheets/d/161aHT6vVT3SLneTKD19N5qVWtnj_jIT8CSsOmUVKmaA/ed"&amp;"it?gid=1761053510"",
          ""Haris_Form responses 1!$AQ:$AQ"")=1)
      ),
      1
    ),
    ""0""
  ),
  ""Form not found""
)
"),"0")</f>
        <v>0</v>
      </c>
      <c r="AY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1!$E:$E"")=$B86) *
        (IMPORTRANGE(""https://docs.google.com/spreadsheets/d/161aHT6vVT3SLneTKD19N5qVWtnj_jIT8CSsOmUVKmaA/ed"&amp;"it?gid=1761053510"",
          ""Haris_Form responses 1!$AQ:$AQ"")=2)
      ),
      1
    ),
    ""0""
  ),
  ""Form not found""
)
"),"10")</f>
        <v>10</v>
      </c>
      <c r="AZ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1!$E:$E"")=$B86) *
        (IMPORTRANGE(""https://docs.google.com/spreadsheets/d/161aHT6vVT3SLneTKD19N5qVWtnj_jIT8CSsOmUVKmaA/ed"&amp;"it?gid=1761053510"",
          ""Haris_Form responses 1!$AQ:$AQ"")=3)
      ),
      1
    ),
    ""0""
  ),
  ""Form not found""
)
"),"0")</f>
        <v>0</v>
      </c>
      <c r="BA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1!$E:$E"")=$B86) *
        (IMPORTRANGE(""https://docs.google.com/spreadsheets/d/161aHT6vVT3SLneTKD19N5qVWtnj_jIT8CSsOmUVKmaA/ed"&amp;"it?gid=1761053510"",
          ""Haris_Form responses 1!$AQ:$AQ"")=4)
      ),
      1
    ),
    ""0""
  ),
  ""Form not found""
)
"),"Form not found")</f>
        <v>Form not found</v>
      </c>
      <c r="BB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1!$E:$E"")=$B86) *
        (IMPORTRANGE(""https://docs.google.com/spreadsheets/d/161aHT6vVT3SLneTKD19N5qVWtnj_jIT8CSsOmUVKmaA/ed"&amp;"it?gid=1761053510"",
          ""Haris_Form responses 1!$AQ:$AQ"")=5)
      ),
      1
    ),
    ""0""
  ),
  ""Form not found""
)
"),"Form not found")</f>
        <v>Form not found</v>
      </c>
      <c r="BC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1!$E:$E"")=$B86) *
        (IMPORTRANGE(""https://docs.google.com/spreadsheets/d/161aHT6vVT3SLneTKD19N5qVWtnj_jIT8CSsOmUVKmaA/ed"&amp;"it?gid=1761053510"",
          ""Haris_Form responses 1!$AQ:$AQ"")=6)
      ),
      1
    ),
    ""0""
  ),
  ""Form not found""
)
"),"Form not found")</f>
        <v>Form not found</v>
      </c>
      <c r="BD86" s="293"/>
    </row>
    <row r="87">
      <c r="A87" s="283" t="str">
        <f>IFERROR(__xludf.DUMMYFUNCTION("VLOOKUP($B87,IMPORTRANGE(""https://docs.google.com/spreadsheets/d/1VNXDITjs75AcgdBSW27oL1VZH31udDprJSsBcE5xlp4/edit?gid=1551188038#gid=1551188038"", ""Sheet9!$B:$E""),2,false)"),"Gujrat")</f>
        <v>Gujrat</v>
      </c>
      <c r="B87" s="283" t="s">
        <v>2167</v>
      </c>
      <c r="C87" s="284" t="str">
        <f>IFERROR(__xludf.DUMMYFUNCTION("VLOOKUP(TRIM($B87), IMPORTRANGE(""https://docs.google.com/spreadsheets/d/1aSOrU4PTpuBZqfitKaH1Rfww6-YOiNCKoBpPl8XBHaw/edit?gid=0#gid=0"", ""sheet3!$B:$C""), 2, FALSE)
"),"Jamia Masjid Darbar Shah Jahangir Gujrat")</f>
        <v>Jamia Masjid Darbar Shah Jahangir Gujrat</v>
      </c>
      <c r="D87" s="284" t="str">
        <f>IFERROR(__xludf.DUMMYFUNCTION("IFERROR(
  INDEX(
    FILTER(
      IMPORTRANGE(""1aSOrU4PTpuBZqfitKaH1Rfww6-YOiNCKoBpPl8XBHaw/edit?gid=0#gid=0"",""Sheet1!G:G""),
      IMPORTRANGE(""1aSOrU4PTpuBZqfitKaH1Rfww6-YOiNCKoBpPl8XBHaw/edit?gid=0#gid=0"",""Sheet1!C:C"")=$B87
    ),
    1
  ),
 "&amp;" ""Not Found""
)"),"Community Religious Info Share")</f>
        <v>Community Religious Info Share</v>
      </c>
      <c r="E87" s="284" t="str">
        <f>VLOOKUP(B87,'Juma Recording forms'!A:E,5,false)</f>
        <v>Jamia Masjid Darbar Shah Jahangir Gujrat</v>
      </c>
      <c r="F87" s="284" t="str">
        <f>IFERROR(__xludf.DUMMYFUNCTION("IFERROR(
  INDEX(
    FILTER(
      IMPORTRANGE(""1Cxrhp3-_-HS7v9uuqQliiIfrmMP4VaFoDNDWyUFy2J8/edit?gid=0#gid=0"",""Sheet1!Q:Q""),
      IMPORTRANGE(""1Cxrhp3-_-HS7v9uuqQliiIfrmMP4VaFoDNDWyUFy2J8/edit?gid=0#gid=0"",""Sheet1!K:K"")=$B87
    ),
    1
  ),
 "&amp;" ""Not Found""
)"),"حافظ ظہیر عباس")</f>
        <v>حافظ ظہیر عباس</v>
      </c>
      <c r="G87" s="284">
        <v>1850.0</v>
      </c>
      <c r="H87" s="284" t="s">
        <v>4838</v>
      </c>
      <c r="I87" s="285"/>
      <c r="J87" s="286">
        <v>2.0</v>
      </c>
      <c r="K87" s="287" t="str">
        <f>VLOOKUP($B87,'Mosque Locations'!$A:$E,3,FALSE)
</f>
        <v>https://maps.google.com/maps?q=32.580035%2C74.09792&amp;z=17&amp;hl=en</v>
      </c>
      <c r="L87" s="286">
        <f>VLOOKUP($B87,'Mosque Locations'!$A:$E,4,FALSE)
</f>
        <v>32.58004</v>
      </c>
      <c r="M87" s="286">
        <f>VLOOKUP($B87,'Mosque Locations'!$A:$E,5,false)</f>
        <v>74.09792</v>
      </c>
      <c r="N87" s="288"/>
      <c r="O87" s="288"/>
      <c r="P87" s="288"/>
      <c r="Q87" s="295" t="str">
        <f>IFERROR(__xludf.DUMMYFUNCTION("IFERROR(
  INDEX(
    FILTER(
      IMPORTRANGE(""1DccNxjBgurEr0ABkI_rBagJT5phB5HaHG5N_mTm_BiA/edit?gid=1382299152#gid=1382299152"",""Form Responses 1!T:T""),
      IMPORTRANGE(""1DccNxjBgurEr0ABkI_rBagJT5phB5HaHG5N_mTm_BiA/edit?gid=1382299152#gid=1382299"&amp;"152"",""Form Responses 1!E:E"")=$B87
    ),
    1
  ),
  ""Not Found""
)"),"https://drive.google.com/open?id=1PJgs2WNfiQZ7wg7A4zHe-hZQV-rjwlkG")</f>
        <v>https://drive.google.com/open?id=1PJgs2WNfiQZ7wg7A4zHe-hZQV-rjwlkG</v>
      </c>
      <c r="R87" s="289" t="str">
        <f>IFERROR(__xludf.DUMMYFUNCTION("IFERROR(
  INDEX(
    FILTER(
      IMPORTRANGE(""1DccNxjBgurEr0ABkI_rBagJT5phB5HaHG5N_mTm_BiA/edit?gid=1382299152#gid=1382299152"",""Form Responses 1!S:S""),
      IMPORTRANGE(""1DccNxjBgurEr0ABkI_rBagJT5phB5HaHG5N_mTm_BiA/edit?gid=1382299152#gid=1382299"&amp;"152"",""Form Responses 1!E:E"")=$B87
    ),
    1
  ),
  ""Not Found""
)"),"https://drive.google.com/open?id=1KmyzPyPu-ErGIbNJdoApjOD-Q37LzEpr")</f>
        <v>https://drive.google.com/open?id=1KmyzPyPu-ErGIbNJdoApjOD-Q37LzEpr</v>
      </c>
      <c r="S87" s="285"/>
      <c r="T87" s="290" t="str">
        <f>VLOOKUP($B87,'Master Tracker'!$D:$E,2,false)</f>
        <v>https://drive.google.com/open?id=14415bcUiIt0OwWttq0MVBRUMY27gpcm-</v>
      </c>
      <c r="U87" s="291" t="str">
        <f>VLOOKUP($B87,'Master Tracker'!$D:$T,4,FALSE)
</f>
        <v>https://drive.google.com/open?id=1F2z5iQSVd-qKjCJxrDnmzdYbfbZYhKWV</v>
      </c>
      <c r="V87" s="290" t="str">
        <f>VLOOKUP($B87,'Master Tracker'!$D:$T,5,false)</f>
        <v>https://drive.google.com/file/d/1Y0P-7dNE2HI7brCBw0iOnCDbgKG-gCPu/view?usp=drive_link</v>
      </c>
      <c r="W87" s="291" t="str">
        <f>VLOOKUP($B87,'Master Tracker'!$D:$T,7,false)</f>
        <v>https://drive.google.com/open?id=14xWcNKCDlM9v3yrtQzc7rWiBRART0kq5</v>
      </c>
      <c r="X87" s="290" t="str">
        <f>VLOOKUP($B87,'Master Tracker'!$D:$T,8,false)</f>
        <v>https://drive.google.com/open?id=14t2__17LvhUtRT6q6oHpoLY0VOujM6H-</v>
      </c>
      <c r="Y87" s="291" t="str">
        <f>VLOOKUP($B87,'Master Tracker'!$D:$T,10,false)</f>
        <v>https://drive.google.com/open?id=1K_ibw9CGqaaxVCrdLMcUX4eb8-ofFyxE</v>
      </c>
      <c r="Z87" s="284" t="str">
        <f>VLOOKUP($B87,'Master Tracker'!$D:$T,11,false)</f>
        <v>Not Found</v>
      </c>
      <c r="AA87" s="292" t="str">
        <f>VLOOKUP($B87,'Master Tracker'!$D:$T,13,false)</f>
        <v>Not Found</v>
      </c>
      <c r="AB87" s="284" t="str">
        <f>VLOOKUP($B87,'Master Tracker'!$D:$T,14,false)</f>
        <v>Not Found</v>
      </c>
      <c r="AC87" s="292" t="str">
        <f>VLOOKUP($B87,'Master Tracker'!$D:$T,16,false)</f>
        <v>Not Found</v>
      </c>
      <c r="AD87" s="292" t="str">
        <f>VLOOKUP($B87,'Master Tracker'!$D:$T,17,false)</f>
        <v>Not Found</v>
      </c>
      <c r="AE87" s="292" t="str">
        <f>VLOOKUP($B87,'Master Tracker'!$D:$V,19,false)</f>
        <v>Not Found</v>
      </c>
      <c r="AF87" s="292">
        <f>IFERROR(__xludf.DUMMYFUNCTION("IFERROR(
  INDEX(
    FILTER(
      'Juma Recording forms'!$G:$G,
      TRIM('Juma Recording forms'!$F:$F) = TRIM($B87),
      'Juma Recording forms'!$AA:$AA = 1
    ),
    1
  ),
  ""Not Found""
)"),150.0)</f>
        <v>150</v>
      </c>
      <c r="AG87" s="292">
        <f>IFERROR(__xludf.DUMMYFUNCTION("IFERROR(
  INDEX(
    FILTER(
      'Juma Recording forms'!$G:$G,
      TRIM('Juma Recording forms'!$F:$F) = TRIM($B87),
      'Juma Recording forms'!$AA:$AA = 2
    ),
    1
  ),
  ""Not Found""
)"),150.0)</f>
        <v>150</v>
      </c>
      <c r="AH87" s="292">
        <f>IFERROR(__xludf.DUMMYFUNCTION("IFERROR(
  INDEX(
    FILTER(
      'Juma Recording forms'!$G:$G,
      TRIM('Juma Recording forms'!$F:$F) = TRIM($B87),
      'Juma Recording forms'!$AA:$AA = 3
    ),
    1
  ),
  ""Not Found""
)"),160.0)</f>
        <v>160</v>
      </c>
      <c r="AI87" s="292" t="str">
        <f>IFERROR(__xludf.DUMMYFUNCTION("IFERROR(
  INDEX(
    FILTER(
      'Juma Recording forms'!$G:$G,
      TRIM('Juma Recording forms'!$F:$F) = TRIM($B87),
      'Juma Recording forms'!$AA:$AA = 4
    ),
    1
  ),
  ""Not Found""
)"),"Not Found")</f>
        <v>Not Found</v>
      </c>
      <c r="AJ87" s="292" t="str">
        <f>IFERROR(__xludf.DUMMYFUNCTION("IFERROR(
  INDEX(
    FILTER(
      'Juma Recording forms'!$G:$G,
      TRIM('Juma Recording forms'!$F:$F) = TRIM($B87),
      'Juma Recording forms'!$AA:$AA = 5
    ),
    1
  ),
  ""Not Found""
)"),"Not Found")</f>
        <v>Not Found</v>
      </c>
      <c r="AK87" s="292" t="str">
        <f>IFERROR(__xludf.DUMMYFUNCTION("IFERROR(
  INDEX(
    FILTER(
      'Juma Recording forms'!$G:$G,
      TRIM('Juma Recording forms'!$F:$F) = TRIM($B87),
      'Juma Recording forms'!$AA:$AA = 6
    ),
    1
  ),
  ""Not Found""
)"),"Not Found")</f>
        <v>Not Found</v>
      </c>
      <c r="AL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1!$E:$E"")=$B87) *
        (IMPORTRANGE(""https://docs.google.com/spreadsheets/d/161aHT6vVT3SLneTKD19N5qVWtnj_jIT8CSsOmUVKmaA/ed"&amp;"it?gid=1761053510"",
          ""Haris_Form responses 1!$AQ:$AQ"")=1)
      ),
      1
    ),
    ""0""
  ),
  ""Form not found""
)
"),"3")</f>
        <v>3</v>
      </c>
      <c r="AM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1!$E:$E"")=$B87) *
        (IMPORTRANGE(""https://docs.google.com/spreadsheets/d/161aHT6vVT3SLneTKD19N5qVWtnj_jIT8CSsOmUVKmaA/ed"&amp;"it?gid=1761053510"",
          ""Haris_Form responses 1!$AQ:$AQ"")=2)
      ),
      1
    ),
    ""0""
  ),
  ""Form not found""
)
"),"4")</f>
        <v>4</v>
      </c>
      <c r="AN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1!$E:$E"")=$B87) *
        (IMPORTRANGE(""https://docs.google.com/spreadsheets/d/161aHT6vVT3SLneTKD19N5qVWtnj_jIT8CSsOmUVKmaA/ed"&amp;"it?gid=1761053510"",
          ""Haris_Form responses 1!$AQ:$AQ"")=3)
      ),
      1
    ),
    ""0""
  ),
  ""Form not found""
)
"),"0")</f>
        <v>0</v>
      </c>
      <c r="AO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1!$E:$E"")=$B87) *
        (IMPORTRANGE(""https://docs.google.com/spreadsheets/d/161aHT6vVT3SLneTKD19N5qVWtnj_jIT8CSsOmUVKmaA/ed"&amp;"it?gid=1761053510"",
          ""Haris_Form responses 1!$AQ:$AQ"")=4)
      ),
      1
    ),
    ""0""
  ),
  ""Form not found""
)
"),"Form not found")</f>
        <v>Form not found</v>
      </c>
      <c r="AP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1!$E:$E"")=$B87) *
        (IMPORTRANGE(""https://docs.google.com/spreadsheets/d/161aHT6vVT3SLneTKD19N5qVWtnj_jIT8CSsOmUVKmaA/ed"&amp;"it?gid=1761053510"",
          ""Haris_Form responses 1!$AQ:$AQ"")=5)
      ),
      1
    ),
    ""0""
  ),
  ""Form not found""
)
"),"Form not found")</f>
        <v>Form not found</v>
      </c>
      <c r="AQ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1!$E:$E"")=$B87) *
        (IMPORTRANGE(""https://docs.google.com/spreadsheets/d/161aHT6vVT3SLneTKD19N5qVWtnj_jIT8CSsOmUVKmaA/ed"&amp;"it?gid=1761053510"",
          ""Haris_Form responses 1!$AQ:$AQ"")=6)
      ),
      1
    ),
    ""0""
  ),
  ""Form not found""
)
"),"Form not found")</f>
        <v>Form not found</v>
      </c>
      <c r="AR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1!$E:$E"")=$B87) *
        (IMPORTRANGE(""https://docs.google.com/spreadsheets/d/161aHT6vVT3SLneTKD19N5qVWtnj_jIT8CSsOmUVKmaA/ed"&amp;"it?gid=1761053510"",
          ""Haris_Form responses 1!$AQ:$AQ"")=1)
      ),
      1
    ),
    ""0""
  ),
  ""Form not found""
)
"),"3")</f>
        <v>3</v>
      </c>
      <c r="AS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1!$E:$E"")=$B87) *
        (IMPORTRANGE(""https://docs.google.com/spreadsheets/d/161aHT6vVT3SLneTKD19N5qVWtnj_jIT8CSsOmUVKmaA/ed"&amp;"it?gid=1761053510"",
          ""Haris_Form responses 1!$AQ:$AQ"")=2)
      ),
      1
    ),
    ""0""
  ),
  ""Form not found""
)
"),"4")</f>
        <v>4</v>
      </c>
      <c r="AT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1!$E:$E"")=$B87) *
        (IMPORTRANGE(""https://docs.google.com/spreadsheets/d/161aHT6vVT3SLneTKD19N5qVWtnj_jIT8CSsOmUVKmaA/ed"&amp;"it?gid=1761053510"",
          ""Haris_Form responses 1!$AQ:$AQ"")=3)
      ),
      1
    ),
    ""0""
  ),
  ""Form not found""
)
"),"0")</f>
        <v>0</v>
      </c>
      <c r="AU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1!$E:$E"")=$B87) *
        (IMPORTRANGE(""https://docs.google.com/spreadsheets/d/161aHT6vVT3SLneTKD19N5qVWtnj_jIT8CSsOmUVKmaA/ed"&amp;"it?gid=1761053510"",
          ""Haris_Form responses 1!$AQ:$AQ"")=4)
      ),
      1
    ),
    ""0""
  ),
  ""Form not found""
)
"),"Form not found")</f>
        <v>Form not found</v>
      </c>
      <c r="AV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1!$E:$E"")=$B87) *
        (IMPORTRANGE(""https://docs.google.com/spreadsheets/d/161aHT6vVT3SLneTKD19N5qVWtnj_jIT8CSsOmUVKmaA/ed"&amp;"it?gid=1761053510"",
          ""Haris_Form responses 1!$AQ:$AQ"")=5)
      ),
      1
    ),
    ""0""
  ),
  ""Form not found""
)
"),"Form not found")</f>
        <v>Form not found</v>
      </c>
      <c r="AW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1!$E:$E"")=$B87) *
        (IMPORTRANGE(""https://docs.google.com/spreadsheets/d/161aHT6vVT3SLneTKD19N5qVWtnj_jIT8CSsOmUVKmaA/ed"&amp;"it?gid=1761053510"",
          ""Haris_Form responses 1!$AQ:$AQ"")=6)
      ),
      1
    ),
    ""0""
  ),
  ""Form not found""
)
"),"Form not found")</f>
        <v>Form not found</v>
      </c>
      <c r="AX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1!$E:$E"")=$B87) *
        (IMPORTRANGE(""https://docs.google.com/spreadsheets/d/161aHT6vVT3SLneTKD19N5qVWtnj_jIT8CSsOmUVKmaA/ed"&amp;"it?gid=1761053510"",
          ""Haris_Form responses 1!$AQ:$AQ"")=1)
      ),
      1
    ),
    ""0""
  ),
  ""Form not found""
)
"),"0")</f>
        <v>0</v>
      </c>
      <c r="AY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1!$E:$E"")=$B87) *
        (IMPORTRANGE(""https://docs.google.com/spreadsheets/d/161aHT6vVT3SLneTKD19N5qVWtnj_jIT8CSsOmUVKmaA/ed"&amp;"it?gid=1761053510"",
          ""Haris_Form responses 1!$AQ:$AQ"")=2)
      ),
      1
    ),
    ""0""
  ),
  ""Form not found""
)
"),"0")</f>
        <v>0</v>
      </c>
      <c r="AZ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1!$E:$E"")=$B87) *
        (IMPORTRANGE(""https://docs.google.com/spreadsheets/d/161aHT6vVT3SLneTKD19N5qVWtnj_jIT8CSsOmUVKmaA/ed"&amp;"it?gid=1761053510"",
          ""Haris_Form responses 1!$AQ:$AQ"")=3)
      ),
      1
    ),
    ""0""
  ),
  ""Form not found""
)
"),"0")</f>
        <v>0</v>
      </c>
      <c r="BA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1!$E:$E"")=$B87) *
        (IMPORTRANGE(""https://docs.google.com/spreadsheets/d/161aHT6vVT3SLneTKD19N5qVWtnj_jIT8CSsOmUVKmaA/ed"&amp;"it?gid=1761053510"",
          ""Haris_Form responses 1!$AQ:$AQ"")=4)
      ),
      1
    ),
    ""0""
  ),
  ""Form not found""
)
"),"Form not found")</f>
        <v>Form not found</v>
      </c>
      <c r="BB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1!$E:$E"")=$B87) *
        (IMPORTRANGE(""https://docs.google.com/spreadsheets/d/161aHT6vVT3SLneTKD19N5qVWtnj_jIT8CSsOmUVKmaA/ed"&amp;"it?gid=1761053510"",
          ""Haris_Form responses 1!$AQ:$AQ"")=5)
      ),
      1
    ),
    ""0""
  ),
  ""Form not found""
)
"),"Form not found")</f>
        <v>Form not found</v>
      </c>
      <c r="BC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1!$E:$E"")=$B87) *
        (IMPORTRANGE(""https://docs.google.com/spreadsheets/d/161aHT6vVT3SLneTKD19N5qVWtnj_jIT8CSsOmUVKmaA/ed"&amp;"it?gid=1761053510"",
          ""Haris_Form responses 1!$AQ:$AQ"")=6)
      ),
      1
    ),
    ""0""
  ),
  ""Form not found""
)
"),"Form not found")</f>
        <v>Form not found</v>
      </c>
      <c r="BD87" s="293"/>
    </row>
    <row r="88">
      <c r="A88" s="283" t="str">
        <f>IFERROR(__xludf.DUMMYFUNCTION("VLOOKUP($B88,IMPORTRANGE(""https://docs.google.com/spreadsheets/d/1VNXDITjs75AcgdBSW27oL1VZH31udDprJSsBcE5xlp4/edit?gid=1551188038#gid=1551188038"", ""Sheet9!$B:$E""),2,false)"),"Gujrat")</f>
        <v>Gujrat</v>
      </c>
      <c r="B88" s="283" t="s">
        <v>4553</v>
      </c>
      <c r="C88" s="284" t="str">
        <f>IFERROR(__xludf.DUMMYFUNCTION("VLOOKUP(TRIM($B88), IMPORTRANGE(""https://docs.google.com/spreadsheets/d/1aSOrU4PTpuBZqfitKaH1Rfww6-YOiNCKoBpPl8XBHaw/edit?gid=0#gid=0"", ""sheet3!$B:$C""), 2, FALSE)
"),"Jamia Masjid Darbar Nagy Shah Gujrat")</f>
        <v>Jamia Masjid Darbar Nagy Shah Gujrat</v>
      </c>
      <c r="D88" s="284" t="str">
        <f>IFERROR(__xludf.DUMMYFUNCTION("IFERROR(
  INDEX(
    FILTER(
      IMPORTRANGE(""1aSOrU4PTpuBZqfitKaH1Rfww6-YOiNCKoBpPl8XBHaw/edit?gid=0#gid=0"",""Sheet1!G:G""),
      IMPORTRANGE(""1aSOrU4PTpuBZqfitKaH1Rfww6-YOiNCKoBpPl8XBHaw/edit?gid=0#gid=0"",""Sheet1!C:C"")=$B88
    ),
    1
  ),
 "&amp;" ""Not Found""
)"),"Control")</f>
        <v>Control</v>
      </c>
      <c r="E88" s="284" t="str">
        <f>VLOOKUP(B88,'Juma Recording forms'!A:E,5,false)</f>
        <v>Jamia masjid derbar naghy shah</v>
      </c>
      <c r="F88" s="284" t="str">
        <f>IFERROR(__xludf.DUMMYFUNCTION("IFERROR(
  INDEX(
    FILTER(
      IMPORTRANGE(""1Cxrhp3-_-HS7v9uuqQliiIfrmMP4VaFoDNDWyUFy2J8/edit?gid=0#gid=0"",""Sheet1!Q:Q""),
      IMPORTRANGE(""1Cxrhp3-_-HS7v9uuqQliiIfrmMP4VaFoDNDWyUFy2J8/edit?gid=0#gid=0"",""Sheet1!K:K"")=$B88
    ),
    1
  ),
 "&amp;" ""Not Found""
)"),"Hafiz Mohammad Tahir ")</f>
        <v>Hafiz Mohammad Tahir </v>
      </c>
      <c r="G88" s="284">
        <v>1960.0</v>
      </c>
      <c r="H88" s="284" t="s">
        <v>4839</v>
      </c>
      <c r="I88" s="285"/>
      <c r="J88" s="286">
        <v>2.0</v>
      </c>
      <c r="K88" s="287" t="str">
        <f>VLOOKUP($B88,'Mosque Locations'!$A:$E,3,FALSE)
</f>
        <v>https://maps.google.com/maps?q=32.5710369%2C74.0883756&amp;z=17&amp;hl=en</v>
      </c>
      <c r="L88" s="286">
        <f>VLOOKUP($B88,'Mosque Locations'!$A:$E,4,FALSE)
</f>
        <v>32.57104</v>
      </c>
      <c r="M88" s="286">
        <f>VLOOKUP($B88,'Mosque Locations'!$A:$E,5,false)</f>
        <v>74.08838</v>
      </c>
      <c r="N88" s="288"/>
      <c r="O88" s="288"/>
      <c r="P88" s="288"/>
      <c r="Q88" s="289" t="str">
        <f>IFERROR(__xludf.DUMMYFUNCTION("IFERROR(
  INDEX(
    FILTER(
      IMPORTRANGE(""1DccNxjBgurEr0ABkI_rBagJT5phB5HaHG5N_mTm_BiA/edit?gid=1382299152#gid=1382299152"",""Form Responses 1!T:T""),
      IMPORTRANGE(""1DccNxjBgurEr0ABkI_rBagJT5phB5HaHG5N_mTm_BiA/edit?gid=1382299152#gid=1382299"&amp;"152"",""Form Responses 1!E:E"")=$B88
    ),
    1
  ),
  ""Not Found""
)"),"https://drive.google.com/open?id=1kW4L8oFyCPKkZ_EdnS7pCyIdYyB9SS7w")</f>
        <v>https://drive.google.com/open?id=1kW4L8oFyCPKkZ_EdnS7pCyIdYyB9SS7w</v>
      </c>
      <c r="R88" s="295" t="str">
        <f>IFERROR(__xludf.DUMMYFUNCTION("IFERROR(
  INDEX(
    FILTER(
      IMPORTRANGE(""1DccNxjBgurEr0ABkI_rBagJT5phB5HaHG5N_mTm_BiA/edit?gid=1382299152#gid=1382299152"",""Form Responses 1!S:S""),
      IMPORTRANGE(""1DccNxjBgurEr0ABkI_rBagJT5phB5HaHG5N_mTm_BiA/edit?gid=1382299152#gid=1382299"&amp;"152"",""Form Responses 1!E:E"")=$B88
    ),
    1
  ),
  ""Not Found""
)"),"https://drive.google.com/open?id=13hrNTsuVlchrsQMcyUeFFAkQRhSeAER8")</f>
        <v>https://drive.google.com/open?id=13hrNTsuVlchrsQMcyUeFFAkQRhSeAER8</v>
      </c>
      <c r="S88" s="285"/>
      <c r="T88" s="290" t="str">
        <f>VLOOKUP($B88,'Master Tracker'!$D:$E,2,false)</f>
        <v>https://drive.google.com/open?id=1qweIClmM2tByKy4Ti5rM5xBmGCFQwUOr</v>
      </c>
      <c r="U88" s="291" t="str">
        <f>VLOOKUP($B88,'Master Tracker'!$D:$T,4,FALSE)
</f>
        <v>https://drive.google.com/open?id=1NqDQjk9JKhs2ADsG34wvHcipt_AesHdh</v>
      </c>
      <c r="V88" s="284" t="str">
        <f>VLOOKUP($B88,'Master Tracker'!$D:$T,5,false)</f>
        <v>Not Found</v>
      </c>
      <c r="W88" s="292" t="str">
        <f>VLOOKUP($B88,'Master Tracker'!$D:$T,7,false)</f>
        <v>Not Found</v>
      </c>
      <c r="X88" s="290" t="str">
        <f>VLOOKUP($B88,'Master Tracker'!$D:$T,8,false)</f>
        <v>https://drive.google.com/open?id=1RLQrBTTu5XMw4C2bDTpyrinIdSfR-8ax</v>
      </c>
      <c r="Y88" s="291" t="str">
        <f>VLOOKUP($B88,'Master Tracker'!$D:$T,10,false)</f>
        <v>https://drive.google.com/open?id=1sMwz9TYJgDMqXasARD-8gxF7PFEuIAZA</v>
      </c>
      <c r="Z88" s="284" t="str">
        <f>VLOOKUP($B88,'Master Tracker'!$D:$T,11,false)</f>
        <v>Not Found</v>
      </c>
      <c r="AA88" s="292" t="str">
        <f>VLOOKUP($B88,'Master Tracker'!$D:$T,13,false)</f>
        <v>Not Found</v>
      </c>
      <c r="AB88" s="284" t="str">
        <f>VLOOKUP($B88,'Master Tracker'!$D:$T,14,false)</f>
        <v>Not Found</v>
      </c>
      <c r="AC88" s="292" t="str">
        <f>VLOOKUP($B88,'Master Tracker'!$D:$T,16,false)</f>
        <v>Not Found</v>
      </c>
      <c r="AD88" s="292" t="str">
        <f>VLOOKUP($B88,'Master Tracker'!$D:$T,17,false)</f>
        <v>Not Found</v>
      </c>
      <c r="AE88" s="292" t="str">
        <f>VLOOKUP($B88,'Master Tracker'!$D:$V,19,false)</f>
        <v>Not Found</v>
      </c>
      <c r="AF88" s="292">
        <f>IFERROR(__xludf.DUMMYFUNCTION("IFERROR(
  INDEX(
    FILTER(
      'Juma Recording forms'!$G:$G,
      TRIM('Juma Recording forms'!$F:$F) = TRIM($B88),
      'Juma Recording forms'!$AA:$AA = 1
    ),
    1
  ),
  ""Not Found""
)"),200.0)</f>
        <v>200</v>
      </c>
      <c r="AG88" s="292" t="str">
        <f>IFERROR(__xludf.DUMMYFUNCTION("IFERROR(
  INDEX(
    FILTER(
      'Juma Recording forms'!$G:$G,
      TRIM('Juma Recording forms'!$F:$F) = TRIM($B88),
      'Juma Recording forms'!$AA:$AA = 2
    ),
    1
  ),
  ""Not Found""
)"),"Not Found")</f>
        <v>Not Found</v>
      </c>
      <c r="AH88" s="292">
        <f>IFERROR(__xludf.DUMMYFUNCTION("IFERROR(
  INDEX(
    FILTER(
      'Juma Recording forms'!$G:$G,
      TRIM('Juma Recording forms'!$F:$F) = TRIM($B88),
      'Juma Recording forms'!$AA:$AA = 3
    ),
    1
  ),
  ""Not Found""
)"),185.0)</f>
        <v>185</v>
      </c>
      <c r="AI88" s="292" t="str">
        <f>IFERROR(__xludf.DUMMYFUNCTION("IFERROR(
  INDEX(
    FILTER(
      'Juma Recording forms'!$G:$G,
      TRIM('Juma Recording forms'!$F:$F) = TRIM($B88),
      'Juma Recording forms'!$AA:$AA = 4
    ),
    1
  ),
  ""Not Found""
)"),"Not Found")</f>
        <v>Not Found</v>
      </c>
      <c r="AJ88" s="292" t="str">
        <f>IFERROR(__xludf.DUMMYFUNCTION("IFERROR(
  INDEX(
    FILTER(
      'Juma Recording forms'!$G:$G,
      TRIM('Juma Recording forms'!$F:$F) = TRIM($B88),
      'Juma Recording forms'!$AA:$AA = 5
    ),
    1
  ),
  ""Not Found""
)"),"Not Found")</f>
        <v>Not Found</v>
      </c>
      <c r="AK88" s="292"/>
      <c r="AL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1!$E:$E"")=$B88) *
        (IMPORTRANGE(""https://docs.google.com/spreadsheets/d/161aHT6vVT3SLneTKD19N5qVWtnj_jIT8CSsOmUVKmaA/ed"&amp;"it?gid=1761053510"",
          ""Haris_Form responses 1!$AQ:$AQ"")=1)
      ),
      1
    ),
    ""0""
  ),
  ""Form not found""
)
"),"0")</f>
        <v>0</v>
      </c>
      <c r="AM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1!$E:$E"")=$B88) *
        (IMPORTRANGE(""https://docs.google.com/spreadsheets/d/161aHT6vVT3SLneTKD19N5qVWtnj_jIT8CSsOmUVKmaA/ed"&amp;"it?gid=1761053510"",
          ""Haris_Form responses 1!$AQ:$AQ"")=2)
      ),
      1
    ),
    ""0""
  ),
  ""Form not found""
)
"),"Form not found")</f>
        <v>Form not found</v>
      </c>
      <c r="AN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1!$E:$E"")=$B88) *
        (IMPORTRANGE(""https://docs.google.com/spreadsheets/d/161aHT6vVT3SLneTKD19N5qVWtnj_jIT8CSsOmUVKmaA/ed"&amp;"it?gid=1761053510"",
          ""Haris_Form responses 1!$AQ:$AQ"")=3)
      ),
      1
    ),
    ""0""
  ),
  ""Form not found""
)
"),"0")</f>
        <v>0</v>
      </c>
      <c r="AO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1!$E:$E"")=$B88) *
        (IMPORTRANGE(""https://docs.google.com/spreadsheets/d/161aHT6vVT3SLneTKD19N5qVWtnj_jIT8CSsOmUVKmaA/ed"&amp;"it?gid=1761053510"",
          ""Haris_Form responses 1!$AQ:$AQ"")=4)
      ),
      1
    ),
    ""0""
  ),
  ""Form not found""
)
"),"Form not found")</f>
        <v>Form not found</v>
      </c>
      <c r="AP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1!$E:$E"")=$B88) *
        (IMPORTRANGE(""https://docs.google.com/spreadsheets/d/161aHT6vVT3SLneTKD19N5qVWtnj_jIT8CSsOmUVKmaA/ed"&amp;"it?gid=1761053510"",
          ""Haris_Form responses 1!$AQ:$AQ"")=5)
      ),
      1
    ),
    ""0""
  ),
  ""Form not found""
)
"),"Form not found")</f>
        <v>Form not found</v>
      </c>
      <c r="AQ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1!$E:$E"")=$B88) *
        (IMPORTRANGE(""https://docs.google.com/spreadsheets/d/161aHT6vVT3SLneTKD19N5qVWtnj_jIT8CSsOmUVKmaA/ed"&amp;"it?gid=1761053510"",
          ""Haris_Form responses 1!$AQ:$AQ"")=6)
      ),
      1
    ),
    ""0""
  ),
  ""Form not found""
)
"),"Form not found")</f>
        <v>Form not found</v>
      </c>
      <c r="AR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1!$E:$E"")=$B88) *
        (IMPORTRANGE(""https://docs.google.com/spreadsheets/d/161aHT6vVT3SLneTKD19N5qVWtnj_jIT8CSsOmUVKmaA/ed"&amp;"it?gid=1761053510"",
          ""Haris_Form responses 1!$AQ:$AQ"")=1)
      ),
      1
    ),
    ""0""
  ),
  ""Form not found""
)
"),"0")</f>
        <v>0</v>
      </c>
      <c r="AS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1!$E:$E"")=$B88) *
        (IMPORTRANGE(""https://docs.google.com/spreadsheets/d/161aHT6vVT3SLneTKD19N5qVWtnj_jIT8CSsOmUVKmaA/ed"&amp;"it?gid=1761053510"",
          ""Haris_Form responses 1!$AQ:$AQ"")=2)
      ),
      1
    ),
    ""0""
  ),
  ""Form not found""
)
"),"Form not found")</f>
        <v>Form not found</v>
      </c>
      <c r="AT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1!$E:$E"")=$B88) *
        (IMPORTRANGE(""https://docs.google.com/spreadsheets/d/161aHT6vVT3SLneTKD19N5qVWtnj_jIT8CSsOmUVKmaA/ed"&amp;"it?gid=1761053510"",
          ""Haris_Form responses 1!$AQ:$AQ"")=3)
      ),
      1
    ),
    ""0""
  ),
  ""Form not found""
)
"),"0")</f>
        <v>0</v>
      </c>
      <c r="AU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1!$E:$E"")=$B88) *
        (IMPORTRANGE(""https://docs.google.com/spreadsheets/d/161aHT6vVT3SLneTKD19N5qVWtnj_jIT8CSsOmUVKmaA/ed"&amp;"it?gid=1761053510"",
          ""Haris_Form responses 1!$AQ:$AQ"")=4)
      ),
      1
    ),
    ""0""
  ),
  ""Form not found""
)
"),"Form not found")</f>
        <v>Form not found</v>
      </c>
      <c r="AV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1!$E:$E"")=$B88) *
        (IMPORTRANGE(""https://docs.google.com/spreadsheets/d/161aHT6vVT3SLneTKD19N5qVWtnj_jIT8CSsOmUVKmaA/ed"&amp;"it?gid=1761053510"",
          ""Haris_Form responses 1!$AQ:$AQ"")=5)
      ),
      1
    ),
    ""0""
  ),
  ""Form not found""
)
"),"Form not found")</f>
        <v>Form not found</v>
      </c>
      <c r="AW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1!$E:$E"")=$B88) *
        (IMPORTRANGE(""https://docs.google.com/spreadsheets/d/161aHT6vVT3SLneTKD19N5qVWtnj_jIT8CSsOmUVKmaA/ed"&amp;"it?gid=1761053510"",
          ""Haris_Form responses 1!$AQ:$AQ"")=6)
      ),
      1
    ),
    ""0""
  ),
  ""Form not found""
)
"),"Form not found")</f>
        <v>Form not found</v>
      </c>
      <c r="AX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1!$E:$E"")=$B88) *
        (IMPORTRANGE(""https://docs.google.com/spreadsheets/d/161aHT6vVT3SLneTKD19N5qVWtnj_jIT8CSsOmUVKmaA/ed"&amp;"it?gid=1761053510"",
          ""Haris_Form responses 1!$AQ:$AQ"")=1)
      ),
      1
    ),
    ""0""
  ),
  ""Form not found""
)
"),"0")</f>
        <v>0</v>
      </c>
      <c r="AY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1!$E:$E"")=$B88) *
        (IMPORTRANGE(""https://docs.google.com/spreadsheets/d/161aHT6vVT3SLneTKD19N5qVWtnj_jIT8CSsOmUVKmaA/ed"&amp;"it?gid=1761053510"",
          ""Haris_Form responses 1!$AQ:$AQ"")=2)
      ),
      1
    ),
    ""0""
  ),
  ""Form not found""
)
"),"Form not found")</f>
        <v>Form not found</v>
      </c>
      <c r="AZ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1!$E:$E"")=$B88) *
        (IMPORTRANGE(""https://docs.google.com/spreadsheets/d/161aHT6vVT3SLneTKD19N5qVWtnj_jIT8CSsOmUVKmaA/ed"&amp;"it?gid=1761053510"",
          ""Haris_Form responses 1!$AQ:$AQ"")=3)
      ),
      1
    ),
    ""0""
  ),
  ""Form not found""
)
"),"0")</f>
        <v>0</v>
      </c>
      <c r="BA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1!$E:$E"")=$B88) *
        (IMPORTRANGE(""https://docs.google.com/spreadsheets/d/161aHT6vVT3SLneTKD19N5qVWtnj_jIT8CSsOmUVKmaA/ed"&amp;"it?gid=1761053510"",
          ""Haris_Form responses 1!$AQ:$AQ"")=4)
      ),
      1
    ),
    ""0""
  ),
  ""Form not found""
)
"),"Form not found")</f>
        <v>Form not found</v>
      </c>
      <c r="BB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1!$E:$E"")=$B88) *
        (IMPORTRANGE(""https://docs.google.com/spreadsheets/d/161aHT6vVT3SLneTKD19N5qVWtnj_jIT8CSsOmUVKmaA/ed"&amp;"it?gid=1761053510"",
          ""Haris_Form responses 1!$AQ:$AQ"")=5)
      ),
      1
    ),
    ""0""
  ),
  ""Form not found""
)
"),"Form not found")</f>
        <v>Form not found</v>
      </c>
      <c r="BC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1!$E:$E"")=$B88) *
        (IMPORTRANGE(""https://docs.google.com/spreadsheets/d/161aHT6vVT3SLneTKD19N5qVWtnj_jIT8CSsOmUVKmaA/ed"&amp;"it?gid=1761053510"",
          ""Haris_Form responses 1!$AQ:$AQ"")=6)
      ),
      1
    ),
    ""0""
  ),
  ""Form not found""
)
"),"Form not found")</f>
        <v>Form not found</v>
      </c>
      <c r="BD88" s="293"/>
    </row>
    <row r="89">
      <c r="A89" s="283" t="str">
        <f>IFERROR(__xludf.DUMMYFUNCTION("VLOOKUP($B89,IMPORTRANGE(""https://docs.google.com/spreadsheets/d/1VNXDITjs75AcgdBSW27oL1VZH31udDprJSsBcE5xlp4/edit?gid=1551188038#gid=1551188038"", ""Sheet9!$B:$E""),2,false)"),"Gujrat")</f>
        <v>Gujrat</v>
      </c>
      <c r="B89" s="283" t="s">
        <v>1784</v>
      </c>
      <c r="C89" s="284" t="str">
        <f>IFERROR(__xludf.DUMMYFUNCTION("VLOOKUP(TRIM($B89), IMPORTRANGE(""https://docs.google.com/spreadsheets/d/1aSOrU4PTpuBZqfitKaH1Rfww6-YOiNCKoBpPl8XBHaw/edit?gid=0#gid=0"", ""sheet3!$B:$C""), 2, FALSE)
"),"Jamia Masjid Shah Hussain Gujrat")</f>
        <v>Jamia Masjid Shah Hussain Gujrat</v>
      </c>
      <c r="D89" s="284" t="str">
        <f>IFERROR(__xludf.DUMMYFUNCTION("IFERROR(
  INDEX(
    FILTER(
      IMPORTRANGE(""1aSOrU4PTpuBZqfitKaH1Rfww6-YOiNCKoBpPl8XBHaw/edit?gid=0#gid=0"",""Sheet1!G:G""),
      IMPORTRANGE(""1aSOrU4PTpuBZqfitKaH1Rfww6-YOiNCKoBpPl8XBHaw/edit?gid=0#gid=0"",""Sheet1!C:C"")=$B89
    ),
    1
  ),
 "&amp;" ""Not Found""
)"),"Community Religious Info Share")</f>
        <v>Community Religious Info Share</v>
      </c>
      <c r="E89" s="284" t="str">
        <f>VLOOKUP(B89,'Juma Recording forms'!A:E,5,false)</f>
        <v>Jamia masjed Shah Hussain </v>
      </c>
      <c r="F89" s="284" t="str">
        <f>IFERROR(__xludf.DUMMYFUNCTION("IFERROR(
  INDEX(
    FILTER(
      IMPORTRANGE(""1Cxrhp3-_-HS7v9uuqQliiIfrmMP4VaFoDNDWyUFy2J8/edit?gid=0#gid=0"",""Sheet1!Q:Q""),
      IMPORTRANGE(""1Cxrhp3-_-HS7v9uuqQliiIfrmMP4VaFoDNDWyUFy2J8/edit?gid=0#gid=0"",""Sheet1!K:K"")=$B89
    ),
    1
  ),
 "&amp;" ""Not Found""
)"),"Not Found")</f>
        <v>Not Found</v>
      </c>
      <c r="G89" s="284"/>
      <c r="H89" s="284"/>
      <c r="I89" s="285"/>
      <c r="J89" s="286">
        <v>2.0</v>
      </c>
      <c r="K89" s="287" t="str">
        <f>VLOOKUP($B89,'Mosque Locations'!$A:$E,3,FALSE)
</f>
        <v>https://www.google.com/maps/place/32%C2%B034'23.1%22N+74%C2%B004'28.3%22E/@32.5730954,74.0719479,17z/data=!3m1!4b1!4m4!3m3!8m2!3d32.5730954!4d74.0745228?entry=ttu&amp;g_ep=EgoyMDI0MTIwMy4wIKXMDSoASAFQAw%3D%3D</v>
      </c>
      <c r="L89" s="286">
        <f>VLOOKUP($B89,'Mosque Locations'!$A:$E,4,FALSE)
</f>
        <v>32.5731</v>
      </c>
      <c r="M89" s="286">
        <f>VLOOKUP($B89,'Mosque Locations'!$A:$E,5,false)</f>
        <v>74.07452</v>
      </c>
      <c r="N89" s="288"/>
      <c r="O89" s="288"/>
      <c r="P89" s="288"/>
      <c r="Q89" s="294" t="str">
        <f>IFERROR(__xludf.DUMMYFUNCTION("IFERROR(
  INDEX(
    FILTER(
      IMPORTRANGE(""1DccNxjBgurEr0ABkI_rBagJT5phB5HaHG5N_mTm_BiA/edit?gid=1382299152#gid=1382299152"",""Form Responses 1!T:T""),
      IMPORTRANGE(""1DccNxjBgurEr0ABkI_rBagJT5phB5HaHG5N_mTm_BiA/edit?gid=1382299152#gid=1382299"&amp;"152"",""Form Responses 1!E:E"")=$B89
    ),
    1
  ),
  ""Not Found""
)"),"https://drive.google.com/open?id=1PPxuxOM2wIMr0JcrITGi7syxIY8JP_KL, https://drive.google.com/open?id=1gJLpNtwDY1D6cife9Thf8IlbH2p3Lsfd, https://drive.google.com/open?id=1k1E0WFHx1KvsQXJsJbptD7UHIVIJkft_, https://drive.google.com/open?id=1QgkF_wWO6CL1zrRB5"&amp;"wGL6wjf8XH8t1n_, https://drive.google.com/open?id=1ICZlEbwqOvCqRq8D43jOybMgweeNK3DN")</f>
        <v>https://drive.google.com/open?id=1PPxuxOM2wIMr0JcrITGi7syxIY8JP_KL, https://drive.google.com/open?id=1gJLpNtwDY1D6cife9Thf8IlbH2p3Lsfd, https://drive.google.com/open?id=1k1E0WFHx1KvsQXJsJbptD7UHIVIJkft_, https://drive.google.com/open?id=1QgkF_wWO6CL1zrRB5wGL6wjf8XH8t1n_, https://drive.google.com/open?id=1ICZlEbwqOvCqRq8D43jOybMgweeNK3DN</v>
      </c>
      <c r="R89" s="294" t="str">
        <f>IFERROR(__xludf.DUMMYFUNCTION("IFERROR(
  INDEX(
    FILTER(
      IMPORTRANGE(""1DccNxjBgurEr0ABkI_rBagJT5phB5HaHG5N_mTm_BiA/edit?gid=1382299152#gid=1382299152"",""Form Responses 1!S:S""),
      IMPORTRANGE(""1DccNxjBgurEr0ABkI_rBagJT5phB5HaHG5N_mTm_BiA/edit?gid=1382299152#gid=1382299"&amp;"152"",""Form Responses 1!E:E"")=$B89
    ),
    1
  ),
  ""Not Found""
)"),"https://drive.google.com/open?id=15za1QhbFaMbj9Dh_Yl--MEkYnTcmVD6Y, https://drive.google.com/open?id=1cJ9OjIOOs4VIIw42vjrqq6i4bmrMaXz2, https://drive.google.com/open?id=1-DqcPEfEpAeOJ3tGLUxO5beoIG0Tkm_A, https://drive.google.com/open?id=1ON72AxvGYjkV9UgsL"&amp;"zz_k-F7yHUakFi-, https://drive.google.com/open?id=19XitYM1Slxx6DkMe4wELyB_pCizJ2f7T")</f>
        <v>https://drive.google.com/open?id=15za1QhbFaMbj9Dh_Yl--MEkYnTcmVD6Y, https://drive.google.com/open?id=1cJ9OjIOOs4VIIw42vjrqq6i4bmrMaXz2, https://drive.google.com/open?id=1-DqcPEfEpAeOJ3tGLUxO5beoIG0Tkm_A, https://drive.google.com/open?id=1ON72AxvGYjkV9UgsLzz_k-F7yHUakFi-, https://drive.google.com/open?id=19XitYM1Slxx6DkMe4wELyB_pCizJ2f7T</v>
      </c>
      <c r="S89" s="285"/>
      <c r="T89" s="290" t="str">
        <f>VLOOKUP($B89,'Master Tracker'!$D:$E,2,false)</f>
        <v>https://drive.google.com/open?id=1mCQQpvebEevHj4A5YAHxfRMVdHTE-elx</v>
      </c>
      <c r="U89" s="291" t="str">
        <f>VLOOKUP($B89,'Master Tracker'!$D:$T,4,FALSE)
</f>
        <v>https://drive.google.com/open?id=1X-Af5qtsijDTmfRCp9eEYbQEjCGCX5V4jtO_3elu5So</v>
      </c>
      <c r="V89" s="284" t="str">
        <f>VLOOKUP($B89,'Master Tracker'!$D:$T,5,false)</f>
        <v>Not Found</v>
      </c>
      <c r="W89" s="292" t="str">
        <f>VLOOKUP($B89,'Master Tracker'!$D:$T,7,false)</f>
        <v>Not Found</v>
      </c>
      <c r="X89" s="290" t="str">
        <f>VLOOKUP($B89,'Master Tracker'!$D:$T,8,false)</f>
        <v>https://drive.google.com/open?id=1V_avPmKOiMbJn_2YVUI74Akm4Iw5TX94</v>
      </c>
      <c r="Y89" s="291" t="str">
        <f>VLOOKUP($B89,'Master Tracker'!$D:$T,10,false)</f>
        <v>https://drive.google.com/open?id=1jMNaiZQQB18oF3jBwGg3249qqkpYMiuL</v>
      </c>
      <c r="Z89" s="290" t="str">
        <f>VLOOKUP($B89,'Master Tracker'!$D:$T,11,false)</f>
        <v>https://drive.google.com/open?id=1exKurshXtwzot_q9Ddmfmx5gz_9ZdsV7</v>
      </c>
      <c r="AA89" s="291" t="str">
        <f>VLOOKUP($B89,'Master Tracker'!$D:$T,13,false)</f>
        <v>https://drive.google.com/open?id=1eaEChAuGZ594tMFM49k1VdwTw_GkUZGp</v>
      </c>
      <c r="AB89" s="290" t="str">
        <f>VLOOKUP($B89,'Master Tracker'!$D:$T,14,false)</f>
        <v>https://drive.google.com/open?id=1kaK-kExn1qlzaEvTZFoNt0_dSj1PyxvC</v>
      </c>
      <c r="AC89" s="291" t="str">
        <f>VLOOKUP($B89,'Master Tracker'!$D:$T,16,false)</f>
        <v>https://drive.google.com/open?id=1ElJrbKstpDZ8tbRdEvJRZfGXNuJO3a86</v>
      </c>
      <c r="AD89" s="292" t="str">
        <f>VLOOKUP($B89,'Master Tracker'!$D:$T,17,false)</f>
        <v>Not Found</v>
      </c>
      <c r="AE89" s="292" t="str">
        <f>VLOOKUP($B89,'Master Tracker'!$D:$V,19,false)</f>
        <v>Not Found</v>
      </c>
      <c r="AF89" s="292">
        <f>IFERROR(__xludf.DUMMYFUNCTION("IFERROR(
  INDEX(
    FILTER(
      'Juma Recording forms'!$G:$G,
      TRIM('Juma Recording forms'!$F:$F) = TRIM($B89),
      'Juma Recording forms'!$AA:$AA = 1
    ),
    1
  ),
  ""Not Found""
)"),214.0)</f>
        <v>214</v>
      </c>
      <c r="AG89" s="292" t="str">
        <f>IFERROR(__xludf.DUMMYFUNCTION("IFERROR(
  INDEX(
    FILTER(
      'Juma Recording forms'!$G:$G,
      TRIM('Juma Recording forms'!$F:$F) = TRIM($B89),
      'Juma Recording forms'!$AA:$AA = 2
    ),
    1
  ),
  ""Not Found""
)"),"Not Found")</f>
        <v>Not Found</v>
      </c>
      <c r="AH89" s="292">
        <f>IFERROR(__xludf.DUMMYFUNCTION("IFERROR(
  INDEX(
    FILTER(
      'Juma Recording forms'!$G:$G,
      TRIM('Juma Recording forms'!$F:$F) = TRIM($B89),
      'Juma Recording forms'!$AA:$AA = 3
    ),
    1
  ),
  ""Not Found""
)"),200.0)</f>
        <v>200</v>
      </c>
      <c r="AI89" s="292">
        <f>IFERROR(__xludf.DUMMYFUNCTION("IFERROR(
  INDEX(
    FILTER(
      'Juma Recording forms'!$G:$G,
      TRIM('Juma Recording forms'!$F:$F) = TRIM($B89),
      'Juma Recording forms'!$AA:$AA = 4
    ),
    1
  ),
  ""Not Found""
)"),190.0)</f>
        <v>190</v>
      </c>
      <c r="AJ89" s="292">
        <f>IFERROR(__xludf.DUMMYFUNCTION("IFERROR(
  INDEX(
    FILTER(
      'Juma Recording forms'!$G:$G,
      TRIM('Juma Recording forms'!$F:$F) = TRIM($B89),
      'Juma Recording forms'!$AA:$AA = 5
    ),
    1
  ),
  ""Not Found""
)"),185.0)</f>
        <v>185</v>
      </c>
      <c r="AK89" s="292" t="str">
        <f>IFERROR(__xludf.DUMMYFUNCTION("IFERROR(
  INDEX(
    FILTER(
      'Juma Recording forms'!$G:$G,
      TRIM('Juma Recording forms'!$F:$F) = TRIM($B89),
      'Juma Recording forms'!$AA:$AA = 6
    ),
    1
  ),
  ""Not Found""
)"),"Not Found")</f>
        <v>Not Found</v>
      </c>
      <c r="AL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1!$E:$E"")=$B89) *
        (IMPORTRANGE(""https://docs.google.com/spreadsheets/d/161aHT6vVT3SLneTKD19N5qVWtnj_jIT8CSsOmUVKmaA/ed"&amp;"it?gid=1761053510"",
          ""Haris_Form responses 1!$AQ:$AQ"")=1)
      ),
      1
    ),
    ""0""
  ),
  ""Form not found""
)
"),"0")</f>
        <v>0</v>
      </c>
      <c r="AM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1!$E:$E"")=$B89) *
        (IMPORTRANGE(""https://docs.google.com/spreadsheets/d/161aHT6vVT3SLneTKD19N5qVWtnj_jIT8CSsOmUVKmaA/ed"&amp;"it?gid=1761053510"",
          ""Haris_Form responses 1!$AQ:$AQ"")=2)
      ),
      1
    ),
    ""0""
  ),
  ""Form not found""
)
"),"Form not found")</f>
        <v>Form not found</v>
      </c>
      <c r="AN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1!$E:$E"")=$B89) *
        (IMPORTRANGE(""https://docs.google.com/spreadsheets/d/161aHT6vVT3SLneTKD19N5qVWtnj_jIT8CSsOmUVKmaA/ed"&amp;"it?gid=1761053510"",
          ""Haris_Form responses 1!$AQ:$AQ"")=3)
      ),
      1
    ),
    ""0""
  ),
  ""Form not found""
)
"),"0")</f>
        <v>0</v>
      </c>
      <c r="AO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1!$E:$E"")=$B89) *
        (IMPORTRANGE(""https://docs.google.com/spreadsheets/d/161aHT6vVT3SLneTKD19N5qVWtnj_jIT8CSsOmUVKmaA/ed"&amp;"it?gid=1761053510"",
          ""Haris_Form responses 1!$AQ:$AQ"")=4)
      ),
      1
    ),
    ""0""
  ),
  ""Form not found""
)
"),"0")</f>
        <v>0</v>
      </c>
      <c r="AP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1!$E:$E"")=$B89) *
        (IMPORTRANGE(""https://docs.google.com/spreadsheets/d/161aHT6vVT3SLneTKD19N5qVWtnj_jIT8CSsOmUVKmaA/ed"&amp;"it?gid=1761053510"",
          ""Haris_Form responses 1!$AQ:$AQ"")=5)
      ),
      1
    ),
    ""0""
  ),
  ""Form not found""
)
"),"0")</f>
        <v>0</v>
      </c>
      <c r="AQ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1!$E:$E"")=$B89) *
        (IMPORTRANGE(""https://docs.google.com/spreadsheets/d/161aHT6vVT3SLneTKD19N5qVWtnj_jIT8CSsOmUVKmaA/ed"&amp;"it?gid=1761053510"",
          ""Haris_Form responses 1!$AQ:$AQ"")=6)
      ),
      1
    ),
    ""0""
  ),
  ""Form not found""
)
"),"Form not found")</f>
        <v>Form not found</v>
      </c>
      <c r="AR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1!$E:$E"")=$B89) *
        (IMPORTRANGE(""https://docs.google.com/spreadsheets/d/161aHT6vVT3SLneTKD19N5qVWtnj_jIT8CSsOmUVKmaA/ed"&amp;"it?gid=1761053510"",
          ""Haris_Form responses 1!$AQ:$AQ"")=1)
      ),
      1
    ),
    ""0""
  ),
  ""Form not found""
)
"),"0")</f>
        <v>0</v>
      </c>
      <c r="AS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1!$E:$E"")=$B89) *
        (IMPORTRANGE(""https://docs.google.com/spreadsheets/d/161aHT6vVT3SLneTKD19N5qVWtnj_jIT8CSsOmUVKmaA/ed"&amp;"it?gid=1761053510"",
          ""Haris_Form responses 1!$AQ:$AQ"")=2)
      ),
      1
    ),
    ""0""
  ),
  ""Form not found""
)
"),"Form not found")</f>
        <v>Form not found</v>
      </c>
      <c r="AT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1!$E:$E"")=$B89) *
        (IMPORTRANGE(""https://docs.google.com/spreadsheets/d/161aHT6vVT3SLneTKD19N5qVWtnj_jIT8CSsOmUVKmaA/ed"&amp;"it?gid=1761053510"",
          ""Haris_Form responses 1!$AQ:$AQ"")=3)
      ),
      1
    ),
    ""0""
  ),
  ""Form not found""
)
"),"0")</f>
        <v>0</v>
      </c>
      <c r="AU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1!$E:$E"")=$B89) *
        (IMPORTRANGE(""https://docs.google.com/spreadsheets/d/161aHT6vVT3SLneTKD19N5qVWtnj_jIT8CSsOmUVKmaA/ed"&amp;"it?gid=1761053510"",
          ""Haris_Form responses 1!$AQ:$AQ"")=4)
      ),
      1
    ),
    ""0""
  ),
  ""Form not found""
)
"),"0")</f>
        <v>0</v>
      </c>
      <c r="AV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1!$E:$E"")=$B89) *
        (IMPORTRANGE(""https://docs.google.com/spreadsheets/d/161aHT6vVT3SLneTKD19N5qVWtnj_jIT8CSsOmUVKmaA/ed"&amp;"it?gid=1761053510"",
          ""Haris_Form responses 1!$AQ:$AQ"")=5)
      ),
      1
    ),
    ""0""
  ),
  ""Form not found""
)
"),"0")</f>
        <v>0</v>
      </c>
      <c r="AW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1!$E:$E"")=$B89) *
        (IMPORTRANGE(""https://docs.google.com/spreadsheets/d/161aHT6vVT3SLneTKD19N5qVWtnj_jIT8CSsOmUVKmaA/ed"&amp;"it?gid=1761053510"",
          ""Haris_Form responses 1!$AQ:$AQ"")=6)
      ),
      1
    ),
    ""0""
  ),
  ""Form not found""
)
"),"Form not found")</f>
        <v>Form not found</v>
      </c>
      <c r="AX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1!$E:$E"")=$B89) *
        (IMPORTRANGE(""https://docs.google.com/spreadsheets/d/161aHT6vVT3SLneTKD19N5qVWtnj_jIT8CSsOmUVKmaA/ed"&amp;"it?gid=1761053510"",
          ""Haris_Form responses 1!$AQ:$AQ"")=1)
      ),
      1
    ),
    ""0""
  ),
  ""Form not found""
)
"),"0")</f>
        <v>0</v>
      </c>
      <c r="AY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1!$E:$E"")=$B89) *
        (IMPORTRANGE(""https://docs.google.com/spreadsheets/d/161aHT6vVT3SLneTKD19N5qVWtnj_jIT8CSsOmUVKmaA/ed"&amp;"it?gid=1761053510"",
          ""Haris_Form responses 1!$AQ:$AQ"")=2)
      ),
      1
    ),
    ""0""
  ),
  ""Form not found""
)
"),"Form not found")</f>
        <v>Form not found</v>
      </c>
      <c r="AZ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1!$E:$E"")=$B89) *
        (IMPORTRANGE(""https://docs.google.com/spreadsheets/d/161aHT6vVT3SLneTKD19N5qVWtnj_jIT8CSsOmUVKmaA/ed"&amp;"it?gid=1761053510"",
          ""Haris_Form responses 1!$AQ:$AQ"")=3)
      ),
      1
    ),
    ""0""
  ),
  ""Form not found""
)
"),"0")</f>
        <v>0</v>
      </c>
      <c r="BA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1!$E:$E"")=$B89) *
        (IMPORTRANGE(""https://docs.google.com/spreadsheets/d/161aHT6vVT3SLneTKD19N5qVWtnj_jIT8CSsOmUVKmaA/ed"&amp;"it?gid=1761053510"",
          ""Haris_Form responses 1!$AQ:$AQ"")=4)
      ),
      1
    ),
    ""0""
  ),
  ""Form not found""
)
"),"9")</f>
        <v>9</v>
      </c>
      <c r="BB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1!$E:$E"")=$B89) *
        (IMPORTRANGE(""https://docs.google.com/spreadsheets/d/161aHT6vVT3SLneTKD19N5qVWtnj_jIT8CSsOmUVKmaA/ed"&amp;"it?gid=1761053510"",
          ""Haris_Form responses 1!$AQ:$AQ"")=5)
      ),
      1
    ),
    ""0""
  ),
  ""Form not found""
)
"),"0")</f>
        <v>0</v>
      </c>
      <c r="BC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1!$E:$E"")=$B89) *
        (IMPORTRANGE(""https://docs.google.com/spreadsheets/d/161aHT6vVT3SLneTKD19N5qVWtnj_jIT8CSsOmUVKmaA/ed"&amp;"it?gid=1761053510"",
          ""Haris_Form responses 1!$AQ:$AQ"")=6)
      ),
      1
    ),
    ""0""
  ),
  ""Form not found""
)
"),"Form not found")</f>
        <v>Form not found</v>
      </c>
      <c r="BD89" s="293"/>
    </row>
    <row r="90">
      <c r="A90" s="283" t="str">
        <f>IFERROR(__xludf.DUMMYFUNCTION("VLOOKUP($B90,IMPORTRANGE(""https://docs.google.com/spreadsheets/d/1VNXDITjs75AcgdBSW27oL1VZH31udDprJSsBcE5xlp4/edit?gid=1551188038#gid=1551188038"", ""Sheet9!$B:$E""),2,false)"),"Gujrat")</f>
        <v>Gujrat</v>
      </c>
      <c r="B90" s="283" t="s">
        <v>1825</v>
      </c>
      <c r="C90" s="284" t="str">
        <f>IFERROR(__xludf.DUMMYFUNCTION("VLOOKUP(TRIM($B90), IMPORTRANGE(""https://docs.google.com/spreadsheets/d/1aSOrU4PTpuBZqfitKaH1Rfww6-YOiNCKoBpPl8XBHaw/edit?gid=0#gid=0"", ""sheet3!$B:$C""), 2, FALSE)
"),"Jamia Masjid Darbar Shiekh Ahmad Wali Gujrat")</f>
        <v>Jamia Masjid Darbar Shiekh Ahmad Wali Gujrat</v>
      </c>
      <c r="D90" s="284" t="str">
        <f>IFERROR(__xludf.DUMMYFUNCTION("IFERROR(
  INDEX(
    FILTER(
      IMPORTRANGE(""1aSOrU4PTpuBZqfitKaH1Rfww6-YOiNCKoBpPl8XBHaw/edit?gid=0#gid=0"",""Sheet1!G:G""),
      IMPORTRANGE(""1aSOrU4PTpuBZqfitKaH1Rfww6-YOiNCKoBpPl8XBHaw/edit?gid=0#gid=0"",""Sheet1!C:C"")=$B90
    ),
    1
  ),
 "&amp;" ""Not Found""
)"),"Community Secular No Info Share")</f>
        <v>Community Secular No Info Share</v>
      </c>
      <c r="E90" s="284" t="str">
        <f>VLOOKUP(B90,'Juma Recording forms'!A:E,5,false)</f>
        <v>جامع مسجد دربار حاجی شیخ احمد ولی</v>
      </c>
      <c r="F90" s="284" t="str">
        <f>IFERROR(__xludf.DUMMYFUNCTION("IFERROR(
  INDEX(
    FILTER(
      IMPORTRANGE(""1Cxrhp3-_-HS7v9uuqQliiIfrmMP4VaFoDNDWyUFy2J8/edit?gid=0#gid=0"",""Sheet1!Q:Q""),
      IMPORTRANGE(""1Cxrhp3-_-HS7v9uuqQliiIfrmMP4VaFoDNDWyUFy2J8/edit?gid=0#gid=0"",""Sheet1!K:K"")=$B90
    ),
    1
  ),
 "&amp;" ""Not Found""
)"),"Not Found")</f>
        <v>Not Found</v>
      </c>
      <c r="G90" s="284"/>
      <c r="H90" s="284"/>
      <c r="I90" s="285"/>
      <c r="J90" s="286">
        <v>2.0</v>
      </c>
      <c r="K90" s="287" t="str">
        <f>VLOOKUP($B90,'Mosque Locations'!$A:$E,3,FALSE)
</f>
        <v>https://maps.google.com/maps?q=32.55938099122827%2C73.2109635245343&amp;z=17&amp;hl=en</v>
      </c>
      <c r="L90" s="286">
        <f>VLOOKUP($B90,'Mosque Locations'!$A:$E,4,FALSE)
</f>
        <v>32.55938</v>
      </c>
      <c r="M90" s="286">
        <f>VLOOKUP($B90,'Mosque Locations'!$A:$E,5,false)</f>
        <v>73.21096</v>
      </c>
      <c r="N90" s="288"/>
      <c r="O90" s="288"/>
      <c r="P90" s="288"/>
      <c r="Q90" s="289" t="str">
        <f>IFERROR(__xludf.DUMMYFUNCTION("IFERROR(
  INDEX(
    FILTER(
      IMPORTRANGE(""1DccNxjBgurEr0ABkI_rBagJT5phB5HaHG5N_mTm_BiA/edit?gid=1382299152#gid=1382299152"",""Form Responses 1!T:T""),
      IMPORTRANGE(""1DccNxjBgurEr0ABkI_rBagJT5phB5HaHG5N_mTm_BiA/edit?gid=1382299152#gid=1382299"&amp;"152"",""Form Responses 1!E:E"")=$B90
    ),
    1
  ),
  ""Not Found""
)"),"https://drive.google.com/open?id=15NA-z75BaMm1oYGaDZXG-oKU9z_ZiBQF")</f>
        <v>https://drive.google.com/open?id=15NA-z75BaMm1oYGaDZXG-oKU9z_ZiBQF</v>
      </c>
      <c r="R90" s="289" t="str">
        <f>IFERROR(__xludf.DUMMYFUNCTION("IFERROR(
  INDEX(
    FILTER(
      IMPORTRANGE(""1DccNxjBgurEr0ABkI_rBagJT5phB5HaHG5N_mTm_BiA/edit?gid=1382299152#gid=1382299152"",""Form Responses 1!S:S""),
      IMPORTRANGE(""1DccNxjBgurEr0ABkI_rBagJT5phB5HaHG5N_mTm_BiA/edit?gid=1382299152#gid=1382299"&amp;"152"",""Form Responses 1!E:E"")=$B90
    ),
    1
  ),
  ""Not Found""
)"),"https://drive.google.com/open?id=1sTd5YlM4l8hLhAHTgL6Sz_2S0SeNoYIK")</f>
        <v>https://drive.google.com/open?id=1sTd5YlM4l8hLhAHTgL6Sz_2S0SeNoYIK</v>
      </c>
      <c r="S90" s="285"/>
      <c r="T90" s="290" t="str">
        <f>VLOOKUP($B90,'Master Tracker'!$D:$E,2,false)</f>
        <v>https://drive.google.com/open?id=1cz5N4dz7rg7W8jk51Ds3r4mmMyR4xRr2</v>
      </c>
      <c r="U90" s="291" t="str">
        <f>VLOOKUP($B90,'Master Tracker'!$D:$T,4,FALSE)
</f>
        <v>https://drive.google.com/open?id=171nH7soYdPStOv6vRgo7SnpT-9SC_rR8</v>
      </c>
      <c r="V90" s="290" t="str">
        <f>VLOOKUP($B90,'Master Tracker'!$D:$T,5,false)</f>
        <v>https://drive.google.com/open?id=1zNoMyQ767m3IYnKiqrKG34M7bddNuKOG</v>
      </c>
      <c r="W90" s="291" t="str">
        <f>VLOOKUP($B90,'Master Tracker'!$D:$T,7,false)</f>
        <v>https://drive.google.com/open?id=1XBlVQeGGfyC_HclznbMh2PbHWAxtWc-8</v>
      </c>
      <c r="X90" s="290" t="str">
        <f>VLOOKUP($B90,'Master Tracker'!$D:$T,8,false)</f>
        <v>https://drive.google.com/file/d/1gl_yX3zPt1zaYzUysmILKsT_0YC-etBj/view?usp=drive_link</v>
      </c>
      <c r="Y90" s="291" t="str">
        <f>VLOOKUP($B90,'Master Tracker'!$D:$T,10,false)</f>
        <v>https://drive.google.com/open?id=1Uo0s6uig252T0i1MgOoWT1wYVFavwov9</v>
      </c>
      <c r="Z90" s="284" t="str">
        <f>VLOOKUP($B90,'Master Tracker'!$D:$T,11,false)</f>
        <v>Not Found</v>
      </c>
      <c r="AA90" s="292" t="str">
        <f>VLOOKUP($B90,'Master Tracker'!$D:$T,13,false)</f>
        <v>Not Found</v>
      </c>
      <c r="AB90" s="284" t="str">
        <f>VLOOKUP($B90,'Master Tracker'!$D:$T,14,false)</f>
        <v>Not Found</v>
      </c>
      <c r="AC90" s="292" t="str">
        <f>VLOOKUP($B90,'Master Tracker'!$D:$T,16,false)</f>
        <v>Not Found</v>
      </c>
      <c r="AD90" s="292" t="str">
        <f>VLOOKUP($B90,'Master Tracker'!$D:$T,17,false)</f>
        <v>Not Found</v>
      </c>
      <c r="AE90" s="292" t="str">
        <f>VLOOKUP($B90,'Master Tracker'!$D:$V,19,false)</f>
        <v>Not Found</v>
      </c>
      <c r="AF90" s="292">
        <f>IFERROR(__xludf.DUMMYFUNCTION("IFERROR(
  INDEX(
    FILTER(
      'Juma Recording forms'!$G:$G,
      TRIM('Juma Recording forms'!$F:$F) = TRIM($B90),
      'Juma Recording forms'!$AA:$AA = 1
    ),
    1
  ),
  ""Not Found""
)"),700.0)</f>
        <v>700</v>
      </c>
      <c r="AG90" s="292">
        <f>IFERROR(__xludf.DUMMYFUNCTION("IFERROR(
  INDEX(
    FILTER(
      'Juma Recording forms'!$G:$G,
      TRIM('Juma Recording forms'!$F:$F) = TRIM($B90),
      'Juma Recording forms'!$AA:$AA = 2
    ),
    1
  ),
  ""Not Found""
)"),740.0)</f>
        <v>740</v>
      </c>
      <c r="AH90" s="292">
        <f>IFERROR(__xludf.DUMMYFUNCTION("IFERROR(
  INDEX(
    FILTER(
      'Juma Recording forms'!$G:$G,
      TRIM('Juma Recording forms'!$F:$F) = TRIM($B90),
      'Juma Recording forms'!$AA:$AA = 3
    ),
    1
  ),
  ""Not Found""
)"),680.0)</f>
        <v>680</v>
      </c>
      <c r="AI90" s="292" t="str">
        <f>IFERROR(__xludf.DUMMYFUNCTION("IFERROR(
  INDEX(
    FILTER(
      'Juma Recording forms'!$G:$G,
      TRIM('Juma Recording forms'!$F:$F) = TRIM($B90),
      'Juma Recording forms'!$AA:$AA = 4
    ),
    1
  ),
  ""Not Found""
)"),"Not Found")</f>
        <v>Not Found</v>
      </c>
      <c r="AJ90" s="292" t="str">
        <f>IFERROR(__xludf.DUMMYFUNCTION("IFERROR(
  INDEX(
    FILTER(
      'Juma Recording forms'!$G:$G,
      TRIM('Juma Recording forms'!$F:$F) = TRIM($B90),
      'Juma Recording forms'!$AA:$AA = 5
    ),
    1
  ),
  ""Not Found""
)"),"Not Found")</f>
        <v>Not Found</v>
      </c>
      <c r="AK90" s="292" t="str">
        <f>IFERROR(__xludf.DUMMYFUNCTION("IFERROR(
  INDEX(
    FILTER(
      'Juma Recording forms'!$G:$G,
      TRIM('Juma Recording forms'!$F:$F) = TRIM($B90),
      'Juma Recording forms'!$AA:$AA = 6
    ),
    1
  ),
  ""Not Found""
)"),"Not Found")</f>
        <v>Not Found</v>
      </c>
      <c r="AL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1!$E:$E"")=$B90) *
        (IMPORTRANGE(""https://docs.google.com/spreadsheets/d/161aHT6vVT3SLneTKD19N5qVWtnj_jIT8CSsOmUVKmaA/ed"&amp;"it?gid=1761053510"",
          ""Haris_Form responses 1!$AQ:$AQ"")=1)
      ),
      1
    ),
    ""0""
  ),
  ""Form not found""
)
"),"10")</f>
        <v>10</v>
      </c>
      <c r="AM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1!$E:$E"")=$B90) *
        (IMPORTRANGE(""https://docs.google.com/spreadsheets/d/161aHT6vVT3SLneTKD19N5qVWtnj_jIT8CSsOmUVKmaA/ed"&amp;"it?gid=1761053510"",
          ""Haris_Form responses 1!$AQ:$AQ"")=2)
      ),
      1
    ),
    ""0""
  ),
  ""Form not found""
)
"),"6")</f>
        <v>6</v>
      </c>
      <c r="AN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1!$E:$E"")=$B90) *
        (IMPORTRANGE(""https://docs.google.com/spreadsheets/d/161aHT6vVT3SLneTKD19N5qVWtnj_jIT8CSsOmUVKmaA/ed"&amp;"it?gid=1761053510"",
          ""Haris_Form responses 1!$AQ:$AQ"")=3)
      ),
      1
    ),
    ""0""
  ),
  ""Form not found""
)
"),"0")</f>
        <v>0</v>
      </c>
      <c r="AO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1!$E:$E"")=$B90) *
        (IMPORTRANGE(""https://docs.google.com/spreadsheets/d/161aHT6vVT3SLneTKD19N5qVWtnj_jIT8CSsOmUVKmaA/ed"&amp;"it?gid=1761053510"",
          ""Haris_Form responses 1!$AQ:$AQ"")=4)
      ),
      1
    ),
    ""0""
  ),
  ""Form not found""
)
"),"Form not found")</f>
        <v>Form not found</v>
      </c>
      <c r="AP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1!$E:$E"")=$B90) *
        (IMPORTRANGE(""https://docs.google.com/spreadsheets/d/161aHT6vVT3SLneTKD19N5qVWtnj_jIT8CSsOmUVKmaA/ed"&amp;"it?gid=1761053510"",
          ""Haris_Form responses 1!$AQ:$AQ"")=5)
      ),
      1
    ),
    ""0""
  ),
  ""Form not found""
)
"),"Form not found")</f>
        <v>Form not found</v>
      </c>
      <c r="AQ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1!$E:$E"")=$B90) *
        (IMPORTRANGE(""https://docs.google.com/spreadsheets/d/161aHT6vVT3SLneTKD19N5qVWtnj_jIT8CSsOmUVKmaA/ed"&amp;"it?gid=1761053510"",
          ""Haris_Form responses 1!$AQ:$AQ"")=6)
      ),
      1
    ),
    ""0""
  ),
  ""Form not found""
)
"),"Form not found")</f>
        <v>Form not found</v>
      </c>
      <c r="AR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1!$E:$E"")=$B90) *
        (IMPORTRANGE(""https://docs.google.com/spreadsheets/d/161aHT6vVT3SLneTKD19N5qVWtnj_jIT8CSsOmUVKmaA/ed"&amp;"it?gid=1761053510"",
          ""Haris_Form responses 1!$AQ:$AQ"")=1)
      ),
      1
    ),
    ""0""
  ),
  ""Form not found""
)
"),"10")</f>
        <v>10</v>
      </c>
      <c r="AS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1!$E:$E"")=$B90) *
        (IMPORTRANGE(""https://docs.google.com/spreadsheets/d/161aHT6vVT3SLneTKD19N5qVWtnj_jIT8CSsOmUVKmaA/ed"&amp;"it?gid=1761053510"",
          ""Haris_Form responses 1!$AQ:$AQ"")=2)
      ),
      1
    ),
    ""0""
  ),
  ""Form not found""
)
"),"6")</f>
        <v>6</v>
      </c>
      <c r="AT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1!$E:$E"")=$B90) *
        (IMPORTRANGE(""https://docs.google.com/spreadsheets/d/161aHT6vVT3SLneTKD19N5qVWtnj_jIT8CSsOmUVKmaA/ed"&amp;"it?gid=1761053510"",
          ""Haris_Form responses 1!$AQ:$AQ"")=3)
      ),
      1
    ),
    ""0""
  ),
  ""Form not found""
)
"),"0")</f>
        <v>0</v>
      </c>
      <c r="AU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1!$E:$E"")=$B90) *
        (IMPORTRANGE(""https://docs.google.com/spreadsheets/d/161aHT6vVT3SLneTKD19N5qVWtnj_jIT8CSsOmUVKmaA/ed"&amp;"it?gid=1761053510"",
          ""Haris_Form responses 1!$AQ:$AQ"")=4)
      ),
      1
    ),
    ""0""
  ),
  ""Form not found""
)
"),"Form not found")</f>
        <v>Form not found</v>
      </c>
      <c r="AV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1!$E:$E"")=$B90) *
        (IMPORTRANGE(""https://docs.google.com/spreadsheets/d/161aHT6vVT3SLneTKD19N5qVWtnj_jIT8CSsOmUVKmaA/ed"&amp;"it?gid=1761053510"",
          ""Haris_Form responses 1!$AQ:$AQ"")=5)
      ),
      1
    ),
    ""0""
  ),
  ""Form not found""
)
"),"Form not found")</f>
        <v>Form not found</v>
      </c>
      <c r="AW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1!$E:$E"")=$B90) *
        (IMPORTRANGE(""https://docs.google.com/spreadsheets/d/161aHT6vVT3SLneTKD19N5qVWtnj_jIT8CSsOmUVKmaA/ed"&amp;"it?gid=1761053510"",
          ""Haris_Form responses 1!$AQ:$AQ"")=6)
      ),
      1
    ),
    ""0""
  ),
  ""Form not found""
)
"),"Form not found")</f>
        <v>Form not found</v>
      </c>
      <c r="AX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1!$E:$E"")=$B90) *
        (IMPORTRANGE(""https://docs.google.com/spreadsheets/d/161aHT6vVT3SLneTKD19N5qVWtnj_jIT8CSsOmUVKmaA/ed"&amp;"it?gid=1761053510"",
          ""Haris_Form responses 1!$AQ:$AQ"")=1)
      ),
      1
    ),
    ""0""
  ),
  ""Form not found""
)
"),"0")</f>
        <v>0</v>
      </c>
      <c r="AY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1!$E:$E"")=$B90) *
        (IMPORTRANGE(""https://docs.google.com/spreadsheets/d/161aHT6vVT3SLneTKD19N5qVWtnj_jIT8CSsOmUVKmaA/ed"&amp;"it?gid=1761053510"",
          ""Haris_Form responses 1!$AQ:$AQ"")=2)
      ),
      1
    ),
    ""0""
  ),
  ""Form not found""
)
"),"0")</f>
        <v>0</v>
      </c>
      <c r="AZ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1!$E:$E"")=$B90) *
        (IMPORTRANGE(""https://docs.google.com/spreadsheets/d/161aHT6vVT3SLneTKD19N5qVWtnj_jIT8CSsOmUVKmaA/ed"&amp;"it?gid=1761053510"",
          ""Haris_Form responses 1!$AQ:$AQ"")=3)
      ),
      1
    ),
    ""0""
  ),
  ""Form not found""
)
"),"0")</f>
        <v>0</v>
      </c>
      <c r="BA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1!$E:$E"")=$B90) *
        (IMPORTRANGE(""https://docs.google.com/spreadsheets/d/161aHT6vVT3SLneTKD19N5qVWtnj_jIT8CSsOmUVKmaA/ed"&amp;"it?gid=1761053510"",
          ""Haris_Form responses 1!$AQ:$AQ"")=4)
      ),
      1
    ),
    ""0""
  ),
  ""Form not found""
)
"),"Form not found")</f>
        <v>Form not found</v>
      </c>
      <c r="BB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1!$E:$E"")=$B90) *
        (IMPORTRANGE(""https://docs.google.com/spreadsheets/d/161aHT6vVT3SLneTKD19N5qVWtnj_jIT8CSsOmUVKmaA/ed"&amp;"it?gid=1761053510"",
          ""Haris_Form responses 1!$AQ:$AQ"")=5)
      ),
      1
    ),
    ""0""
  ),
  ""Form not found""
)
"),"Form not found")</f>
        <v>Form not found</v>
      </c>
      <c r="BC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1!$E:$E"")=$B90) *
        (IMPORTRANGE(""https://docs.google.com/spreadsheets/d/161aHT6vVT3SLneTKD19N5qVWtnj_jIT8CSsOmUVKmaA/ed"&amp;"it?gid=1761053510"",
          ""Haris_Form responses 1!$AQ:$AQ"")=6)
      ),
      1
    ),
    ""0""
  ),
  ""Form not found""
)
"),"Form not found")</f>
        <v>Form not found</v>
      </c>
      <c r="BD90" s="293"/>
    </row>
    <row r="91">
      <c r="A91" s="283" t="str">
        <f>IFERROR(__xludf.DUMMYFUNCTION("VLOOKUP($B91,IMPORTRANGE(""https://docs.google.com/spreadsheets/d/1VNXDITjs75AcgdBSW27oL1VZH31udDprJSsBcE5xlp4/edit?gid=1551188038#gid=1551188038"", ""Sheet9!$B:$E""),2,false)"),"Gujrat")</f>
        <v>Gujrat</v>
      </c>
      <c r="B91" s="283" t="s">
        <v>2265</v>
      </c>
      <c r="C91" s="284" t="str">
        <f>IFERROR(__xludf.DUMMYFUNCTION("VLOOKUP(TRIM($B91), IMPORTRANGE(""https://docs.google.com/spreadsheets/d/1aSOrU4PTpuBZqfitKaH1Rfww6-YOiNCKoBpPl8XBHaw/edit?gid=0#gid=0"", ""sheet3!$B:$C""), 2, FALSE)
"),"Jamia Masjid Darbr Muhri Shareef Gujrat")</f>
        <v>Jamia Masjid Darbr Muhri Shareef Gujrat</v>
      </c>
      <c r="D91" s="284" t="str">
        <f>IFERROR(__xludf.DUMMYFUNCTION("IFERROR(
  INDEX(
    FILTER(
      IMPORTRANGE(""1aSOrU4PTpuBZqfitKaH1Rfww6-YOiNCKoBpPl8XBHaw/edit?gid=0#gid=0"",""Sheet1!G:G""),
      IMPORTRANGE(""1aSOrU4PTpuBZqfitKaH1Rfww6-YOiNCKoBpPl8XBHaw/edit?gid=0#gid=0"",""Sheet1!C:C"")=$B91
    ),
    1
  ),
 "&amp;" ""Not Found""
)"),"Control")</f>
        <v>Control</v>
      </c>
      <c r="E91" s="284" t="str">
        <f>VLOOKUP(B91,'Juma Recording forms'!A:E,5,false)</f>
        <v>Jamia masjid darbar mohri shareef</v>
      </c>
      <c r="F91" s="284" t="str">
        <f>IFERROR(__xludf.DUMMYFUNCTION("IFERROR(
  INDEX(
    FILTER(
      IMPORTRANGE(""1Cxrhp3-_-HS7v9uuqQliiIfrmMP4VaFoDNDWyUFy2J8/edit?gid=0#gid=0"",""Sheet1!Q:Q""),
      IMPORTRANGE(""1Cxrhp3-_-HS7v9uuqQliiIfrmMP4VaFoDNDWyUFy2J8/edit?gid=0#gid=0"",""Sheet1!K:K"")=$B91
    ),
    1
  ),
 "&amp;" ""Not Found""
)"),"Not Found")</f>
        <v>Not Found</v>
      </c>
      <c r="G91" s="284"/>
      <c r="H91" s="284"/>
      <c r="I91" s="285"/>
      <c r="J91" s="286">
        <v>2.0</v>
      </c>
      <c r="K91" s="287" t="str">
        <f>VLOOKUP($B91,'Mosque Locations'!$A:$E,3,FALSE)
</f>
        <v>https://www.google.com/maps?q=32.7960114,73.7892226</v>
      </c>
      <c r="L91" s="286">
        <f>VLOOKUP($B91,'Mosque Locations'!$A:$E,4,FALSE)
</f>
        <v>32.79601</v>
      </c>
      <c r="M91" s="286">
        <f>VLOOKUP($B91,'Mosque Locations'!$A:$E,5,false)</f>
        <v>73.78922</v>
      </c>
      <c r="N91" s="288"/>
      <c r="O91" s="288"/>
      <c r="P91" s="288"/>
      <c r="Q91" s="289" t="str">
        <f>IFERROR(__xludf.DUMMYFUNCTION("IFERROR(
  INDEX(
    FILTER(
      IMPORTRANGE(""1DccNxjBgurEr0ABkI_rBagJT5phB5HaHG5N_mTm_BiA/edit?gid=1382299152#gid=1382299152"",""Form Responses 1!T:T""),
      IMPORTRANGE(""1DccNxjBgurEr0ABkI_rBagJT5phB5HaHG5N_mTm_BiA/edit?gid=1382299152#gid=1382299"&amp;"152"",""Form Responses 1!E:E"")=$B91
    ),
    1
  ),
  ""Not Found""
)"),"https://drive.google.com/open?id=1xri0t6MXIhDdICHaZ5EK0fNYqKrFN21K")</f>
        <v>https://drive.google.com/open?id=1xri0t6MXIhDdICHaZ5EK0fNYqKrFN21K</v>
      </c>
      <c r="R91" s="295" t="str">
        <f>IFERROR(__xludf.DUMMYFUNCTION("IFERROR(
  INDEX(
    FILTER(
      IMPORTRANGE(""1DccNxjBgurEr0ABkI_rBagJT5phB5HaHG5N_mTm_BiA/edit?gid=1382299152#gid=1382299152"",""Form Responses 1!S:S""),
      IMPORTRANGE(""1DccNxjBgurEr0ABkI_rBagJT5phB5HaHG5N_mTm_BiA/edit?gid=1382299152#gid=1382299"&amp;"152"",""Form Responses 1!E:E"")=$B91
    ),
    1
  ),
  ""Not Found""
)"),"https://drive.google.com/open?id=14id7wpXsgIi9xZojwOEGmKP9QSsDhH7m")</f>
        <v>https://drive.google.com/open?id=14id7wpXsgIi9xZojwOEGmKP9QSsDhH7m</v>
      </c>
      <c r="S91" s="285"/>
      <c r="T91" s="290" t="str">
        <f>VLOOKUP($B91,'Master Tracker'!$D:$E,2,false)</f>
        <v>https://drive.google.com/open?id=1yde1CLFiqs8CIBA7xjc9X16TvQebxCCh</v>
      </c>
      <c r="U91" s="291" t="str">
        <f>VLOOKUP($B91,'Master Tracker'!$D:$T,4,FALSE)
</f>
        <v>https://drive.google.com/open?id=1g566FiHwy5Re1pm4CBTCMYJCKHJl1tBXC6OQtZqVjXI</v>
      </c>
      <c r="V91" s="284" t="str">
        <f>VLOOKUP($B91,'Master Tracker'!$D:$T,5,false)</f>
        <v>Not Found</v>
      </c>
      <c r="W91" s="292" t="str">
        <f>VLOOKUP($B91,'Master Tracker'!$D:$T,7,false)</f>
        <v>Not Found</v>
      </c>
      <c r="X91" s="290" t="str">
        <f>VLOOKUP($B91,'Master Tracker'!$D:$T,8,false)</f>
        <v>https://drive.google.com/open?id=14hL-fq34Ysh4rlYw0JBMmHGUIO024xR2</v>
      </c>
      <c r="Y91" s="291" t="str">
        <f>VLOOKUP($B91,'Master Tracker'!$D:$T,10,false)</f>
        <v>https://drive.google.com/open?id=1JzfFujVlkYq_VyrA6_cqzll9oT7_cSR9</v>
      </c>
      <c r="Z91" s="284" t="str">
        <f>VLOOKUP($B91,'Master Tracker'!$D:$T,11,false)</f>
        <v>Not Found</v>
      </c>
      <c r="AA91" s="292" t="str">
        <f>VLOOKUP($B91,'Master Tracker'!$D:$T,13,false)</f>
        <v>Not Found</v>
      </c>
      <c r="AB91" s="284" t="str">
        <f>VLOOKUP($B91,'Master Tracker'!$D:$T,14,false)</f>
        <v>Not Found</v>
      </c>
      <c r="AC91" s="292" t="str">
        <f>VLOOKUP($B91,'Master Tracker'!$D:$T,16,false)</f>
        <v>Not Found</v>
      </c>
      <c r="AD91" s="292" t="str">
        <f>VLOOKUP($B91,'Master Tracker'!$D:$T,17,false)</f>
        <v>Not Found</v>
      </c>
      <c r="AE91" s="292" t="str">
        <f>VLOOKUP($B91,'Master Tracker'!$D:$V,19,false)</f>
        <v>Not Found</v>
      </c>
      <c r="AF91" s="292">
        <f>IFERROR(__xludf.DUMMYFUNCTION("IFERROR(
  INDEX(
    FILTER(
      'Juma Recording forms'!$G:$G,
      TRIM('Juma Recording forms'!$F:$F) = TRIM($B91),
      'Juma Recording forms'!$AA:$AA = 1
    ),
    1
  ),
  ""Not Found""
)"),230.0)</f>
        <v>230</v>
      </c>
      <c r="AG91" s="292" t="str">
        <f>IFERROR(__xludf.DUMMYFUNCTION("IFERROR(
  INDEX(
    FILTER(
      'Juma Recording forms'!$G:$G,
      TRIM('Juma Recording forms'!$F:$F) = TRIM($B91),
      'Juma Recording forms'!$AA:$AA = 2
    ),
    1
  ),
  ""Not Found""
)"),"Not Found")</f>
        <v>Not Found</v>
      </c>
      <c r="AH91" s="292">
        <f>IFERROR(__xludf.DUMMYFUNCTION("IFERROR(
  INDEX(
    FILTER(
      'Juma Recording forms'!$G:$G,
      TRIM('Juma Recording forms'!$F:$F) = TRIM($B91),
      'Juma Recording forms'!$AA:$AA = 3
    ),
    1
  ),
  ""Not Found""
)"),210.0)</f>
        <v>210</v>
      </c>
      <c r="AI91" s="292" t="str">
        <f>IFERROR(__xludf.DUMMYFUNCTION("IFERROR(
  INDEX(
    FILTER(
      'Juma Recording forms'!$G:$G,
      TRIM('Juma Recording forms'!$F:$F) = TRIM($B91),
      'Juma Recording forms'!$AA:$AA = 4
    ),
    1
  ),
  ""Not Found""
)"),"Not Found")</f>
        <v>Not Found</v>
      </c>
      <c r="AJ91" s="292" t="str">
        <f>IFERROR(__xludf.DUMMYFUNCTION("IFERROR(
  INDEX(
    FILTER(
      'Juma Recording forms'!$G:$G,
      TRIM('Juma Recording forms'!$F:$F) = TRIM($B91),
      'Juma Recording forms'!$AA:$AA = 5
    ),
    1
  ),
  ""Not Found""
)"),"Not Found")</f>
        <v>Not Found</v>
      </c>
      <c r="AK91" s="292"/>
      <c r="AL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1!$E:$E"")=$B91) *
        (IMPORTRANGE(""https://docs.google.com/spreadsheets/d/161aHT6vVT3SLneTKD19N5qVWtnj_jIT8CSsOmUVKmaA/ed"&amp;"it?gid=1761053510"",
          ""Haris_Form responses 1!$AQ:$AQ"")=1)
      ),
      1
    ),
    ""0""
  ),
  ""Form not found""
)
"),"0")</f>
        <v>0</v>
      </c>
      <c r="AM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1!$E:$E"")=$B91) *
        (IMPORTRANGE(""https://docs.google.com/spreadsheets/d/161aHT6vVT3SLneTKD19N5qVWtnj_jIT8CSsOmUVKmaA/ed"&amp;"it?gid=1761053510"",
          ""Haris_Form responses 1!$AQ:$AQ"")=2)
      ),
      1
    ),
    ""0""
  ),
  ""Form not found""
)
"),"Form not found")</f>
        <v>Form not found</v>
      </c>
      <c r="AN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1!$E:$E"")=$B91) *
        (IMPORTRANGE(""https://docs.google.com/spreadsheets/d/161aHT6vVT3SLneTKD19N5qVWtnj_jIT8CSsOmUVKmaA/ed"&amp;"it?gid=1761053510"",
          ""Haris_Form responses 1!$AQ:$AQ"")=3)
      ),
      1
    ),
    ""0""
  ),
  ""Form not found""
)
"),"0")</f>
        <v>0</v>
      </c>
      <c r="AO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1!$E:$E"")=$B91) *
        (IMPORTRANGE(""https://docs.google.com/spreadsheets/d/161aHT6vVT3SLneTKD19N5qVWtnj_jIT8CSsOmUVKmaA/ed"&amp;"it?gid=1761053510"",
          ""Haris_Form responses 1!$AQ:$AQ"")=4)
      ),
      1
    ),
    ""0""
  ),
  ""Form not found""
)
"),"Form not found")</f>
        <v>Form not found</v>
      </c>
      <c r="AP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1!$E:$E"")=$B91) *
        (IMPORTRANGE(""https://docs.google.com/spreadsheets/d/161aHT6vVT3SLneTKD19N5qVWtnj_jIT8CSsOmUVKmaA/ed"&amp;"it?gid=1761053510"",
          ""Haris_Form responses 1!$AQ:$AQ"")=5)
      ),
      1
    ),
    ""0""
  ),
  ""Form not found""
)
"),"Form not found")</f>
        <v>Form not found</v>
      </c>
      <c r="AQ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1!$E:$E"")=$B91) *
        (IMPORTRANGE(""https://docs.google.com/spreadsheets/d/161aHT6vVT3SLneTKD19N5qVWtnj_jIT8CSsOmUVKmaA/ed"&amp;"it?gid=1761053510"",
          ""Haris_Form responses 1!$AQ:$AQ"")=6)
      ),
      1
    ),
    ""0""
  ),
  ""Form not found""
)
"),"Form not found")</f>
        <v>Form not found</v>
      </c>
      <c r="AR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1!$E:$E"")=$B91) *
        (IMPORTRANGE(""https://docs.google.com/spreadsheets/d/161aHT6vVT3SLneTKD19N5qVWtnj_jIT8CSsOmUVKmaA/ed"&amp;"it?gid=1761053510"",
          ""Haris_Form responses 1!$AQ:$AQ"")=1)
      ),
      1
    ),
    ""0""
  ),
  ""Form not found""
)
"),"0")</f>
        <v>0</v>
      </c>
      <c r="AS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1!$E:$E"")=$B91) *
        (IMPORTRANGE(""https://docs.google.com/spreadsheets/d/161aHT6vVT3SLneTKD19N5qVWtnj_jIT8CSsOmUVKmaA/ed"&amp;"it?gid=1761053510"",
          ""Haris_Form responses 1!$AQ:$AQ"")=2)
      ),
      1
    ),
    ""0""
  ),
  ""Form not found""
)
"),"Form not found")</f>
        <v>Form not found</v>
      </c>
      <c r="AT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1!$E:$E"")=$B91) *
        (IMPORTRANGE(""https://docs.google.com/spreadsheets/d/161aHT6vVT3SLneTKD19N5qVWtnj_jIT8CSsOmUVKmaA/ed"&amp;"it?gid=1761053510"",
          ""Haris_Form responses 1!$AQ:$AQ"")=3)
      ),
      1
    ),
    ""0""
  ),
  ""Form not found""
)
"),"0")</f>
        <v>0</v>
      </c>
      <c r="AU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1!$E:$E"")=$B91) *
        (IMPORTRANGE(""https://docs.google.com/spreadsheets/d/161aHT6vVT3SLneTKD19N5qVWtnj_jIT8CSsOmUVKmaA/ed"&amp;"it?gid=1761053510"",
          ""Haris_Form responses 1!$AQ:$AQ"")=4)
      ),
      1
    ),
    ""0""
  ),
  ""Form not found""
)
"),"Form not found")</f>
        <v>Form not found</v>
      </c>
      <c r="AV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1!$E:$E"")=$B91) *
        (IMPORTRANGE(""https://docs.google.com/spreadsheets/d/161aHT6vVT3SLneTKD19N5qVWtnj_jIT8CSsOmUVKmaA/ed"&amp;"it?gid=1761053510"",
          ""Haris_Form responses 1!$AQ:$AQ"")=5)
      ),
      1
    ),
    ""0""
  ),
  ""Form not found""
)
"),"Form not found")</f>
        <v>Form not found</v>
      </c>
      <c r="AW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1!$E:$E"")=$B91) *
        (IMPORTRANGE(""https://docs.google.com/spreadsheets/d/161aHT6vVT3SLneTKD19N5qVWtnj_jIT8CSsOmUVKmaA/ed"&amp;"it?gid=1761053510"",
          ""Haris_Form responses 1!$AQ:$AQ"")=6)
      ),
      1
    ),
    ""0""
  ),
  ""Form not found""
)
"),"Form not found")</f>
        <v>Form not found</v>
      </c>
      <c r="AX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1!$E:$E"")=$B91) *
        (IMPORTRANGE(""https://docs.google.com/spreadsheets/d/161aHT6vVT3SLneTKD19N5qVWtnj_jIT8CSsOmUVKmaA/ed"&amp;"it?gid=1761053510"",
          ""Haris_Form responses 1!$AQ:$AQ"")=1)
      ),
      1
    ),
    ""0""
  ),
  ""Form not found""
)
"),"0")</f>
        <v>0</v>
      </c>
      <c r="AY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1!$E:$E"")=$B91) *
        (IMPORTRANGE(""https://docs.google.com/spreadsheets/d/161aHT6vVT3SLneTKD19N5qVWtnj_jIT8CSsOmUVKmaA/ed"&amp;"it?gid=1761053510"",
          ""Haris_Form responses 1!$AQ:$AQ"")=2)
      ),
      1
    ),
    ""0""
  ),
  ""Form not found""
)
"),"Form not found")</f>
        <v>Form not found</v>
      </c>
      <c r="AZ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1!$E:$E"")=$B91) *
        (IMPORTRANGE(""https://docs.google.com/spreadsheets/d/161aHT6vVT3SLneTKD19N5qVWtnj_jIT8CSsOmUVKmaA/ed"&amp;"it?gid=1761053510"",
          ""Haris_Form responses 1!$AQ:$AQ"")=3)
      ),
      1
    ),
    ""0""
  ),
  ""Form not found""
)
"),"0")</f>
        <v>0</v>
      </c>
      <c r="BA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1!$E:$E"")=$B91) *
        (IMPORTRANGE(""https://docs.google.com/spreadsheets/d/161aHT6vVT3SLneTKD19N5qVWtnj_jIT8CSsOmUVKmaA/ed"&amp;"it?gid=1761053510"",
          ""Haris_Form responses 1!$AQ:$AQ"")=4)
      ),
      1
    ),
    ""0""
  ),
  ""Form not found""
)
"),"Form not found")</f>
        <v>Form not found</v>
      </c>
      <c r="BB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1!$E:$E"")=$B91) *
        (IMPORTRANGE(""https://docs.google.com/spreadsheets/d/161aHT6vVT3SLneTKD19N5qVWtnj_jIT8CSsOmUVKmaA/ed"&amp;"it?gid=1761053510"",
          ""Haris_Form responses 1!$AQ:$AQ"")=5)
      ),
      1
    ),
    ""0""
  ),
  ""Form not found""
)
"),"Form not found")</f>
        <v>Form not found</v>
      </c>
      <c r="BC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1!$E:$E"")=$B91) *
        (IMPORTRANGE(""https://docs.google.com/spreadsheets/d/161aHT6vVT3SLneTKD19N5qVWtnj_jIT8CSsOmUVKmaA/ed"&amp;"it?gid=1761053510"",
          ""Haris_Form responses 1!$AQ:$AQ"")=6)
      ),
      1
    ),
    ""0""
  ),
  ""Form not found""
)
"),"Form not found")</f>
        <v>Form not found</v>
      </c>
      <c r="BD91" s="293"/>
    </row>
    <row r="92">
      <c r="A92" s="283" t="str">
        <f>IFERROR(__xludf.DUMMYFUNCTION("VLOOKUP($B92,IMPORTRANGE(""https://docs.google.com/spreadsheets/d/1VNXDITjs75AcgdBSW27oL1VZH31udDprJSsBcE5xlp4/edit?gid=1551188038#gid=1551188038"", ""Sheet9!$B:$E""),2,false)"),"Gujrat")</f>
        <v>Gujrat</v>
      </c>
      <c r="B92" s="283" t="s">
        <v>1670</v>
      </c>
      <c r="C92" s="284" t="str">
        <f>IFERROR(__xludf.DUMMYFUNCTION("VLOOKUP(TRIM($B92), IMPORTRANGE(""https://docs.google.com/spreadsheets/d/1aSOrU4PTpuBZqfitKaH1Rfww6-YOiNCKoBpPl8XBHaw/edit?gid=0#gid=0"", ""sheet3!$B:$C""), 2, FALSE)
"),"Jamia Masjid Darbar Sain Karam Elahe Gujrat")</f>
        <v>Jamia Masjid Darbar Sain Karam Elahe Gujrat</v>
      </c>
      <c r="D92" s="284" t="str">
        <f>IFERROR(__xludf.DUMMYFUNCTION("IFERROR(
  INDEX(
    FILTER(
      IMPORTRANGE(""1aSOrU4PTpuBZqfitKaH1Rfww6-YOiNCKoBpPl8XBHaw/edit?gid=0#gid=0"",""Sheet1!G:G""),
      IMPORTRANGE(""1aSOrU4PTpuBZqfitKaH1Rfww6-YOiNCKoBpPl8XBHaw/edit?gid=0#gid=0"",""Sheet1!C:C"")=$B92
    ),
    1
  ),
 "&amp;" ""Not Found""
)"),"Community Secular Info Share")</f>
        <v>Community Secular Info Share</v>
      </c>
      <c r="E92" s="284" t="str">
        <f>VLOOKUP(B92,'Juma Recording forms'!A:E,5,false)</f>
        <v>Sayen Karam ilahi masjid</v>
      </c>
      <c r="F92" s="284" t="str">
        <f>IFERROR(__xludf.DUMMYFUNCTION("IFERROR(
  INDEX(
    FILTER(
      IMPORTRANGE(""1Cxrhp3-_-HS7v9uuqQliiIfrmMP4VaFoDNDWyUFy2J8/edit?gid=0#gid=0"",""Sheet1!Q:Q""),
      IMPORTRANGE(""1Cxrhp3-_-HS7v9uuqQliiIfrmMP4VaFoDNDWyUFy2J8/edit?gid=0#gid=0"",""Sheet1!K:K"")=$B92
    ),
    1
  ),
 "&amp;" ""Not Found""
)"),"Qari Afzal ahmed")</f>
        <v>Qari Afzal ahmed</v>
      </c>
      <c r="G92" s="284">
        <v>2000.0</v>
      </c>
      <c r="H92" s="284" t="s">
        <v>4840</v>
      </c>
      <c r="I92" s="285"/>
      <c r="J92" s="286">
        <v>2.0</v>
      </c>
      <c r="K92" s="287" t="str">
        <f>VLOOKUP($B92,'Mosque Locations'!$A:$E,3,FALSE)
</f>
        <v>https://maps.google.com/maps?q=32.5912875%2C74.0871527&amp;z=17&amp;hl=en</v>
      </c>
      <c r="L92" s="286">
        <f>VLOOKUP($B92,'Mosque Locations'!$A:$E,4,FALSE)
</f>
        <v>32.59129</v>
      </c>
      <c r="M92" s="286">
        <f>VLOOKUP($B92,'Mosque Locations'!$A:$E,5,false)</f>
        <v>74.08715</v>
      </c>
      <c r="N92" s="288"/>
      <c r="O92" s="288"/>
      <c r="P92" s="288"/>
      <c r="Q92" s="295" t="str">
        <f>IFERROR(__xludf.DUMMYFUNCTION("IFERROR(
  INDEX(
    FILTER(
      IMPORTRANGE(""1DccNxjBgurEr0ABkI_rBagJT5phB5HaHG5N_mTm_BiA/edit?gid=1382299152#gid=1382299152"",""Form Responses 1!T:T""),
      IMPORTRANGE(""1DccNxjBgurEr0ABkI_rBagJT5phB5HaHG5N_mTm_BiA/edit?gid=1382299152#gid=1382299"&amp;"152"",""Form Responses 1!E:E"")=$B92
    ),
    1
  ),
  ""Not Found""
)"),"https://drive.google.com/open?id=15wHuFh1R-BQORy3ZocCawbuixPFxMUmS")</f>
        <v>https://drive.google.com/open?id=15wHuFh1R-BQORy3ZocCawbuixPFxMUmS</v>
      </c>
      <c r="R92" s="295" t="str">
        <f>IFERROR(__xludf.DUMMYFUNCTION("IFERROR(
  INDEX(
    FILTER(
      IMPORTRANGE(""1DccNxjBgurEr0ABkI_rBagJT5phB5HaHG5N_mTm_BiA/edit?gid=1382299152#gid=1382299152"",""Form Responses 1!S:S""),
      IMPORTRANGE(""1DccNxjBgurEr0ABkI_rBagJT5phB5HaHG5N_mTm_BiA/edit?gid=1382299152#gid=1382299"&amp;"152"",""Form Responses 1!E:E"")=$B92
    ),
    1
  ),
  ""Not Found""
)"),"https://drive.google.com/open?id=1DEFU5sDwey5HZzEE_r6baKuOMo-ZWdS4")</f>
        <v>https://drive.google.com/open?id=1DEFU5sDwey5HZzEE_r6baKuOMo-ZWdS4</v>
      </c>
      <c r="S92" s="285"/>
      <c r="T92" s="290" t="str">
        <f>VLOOKUP($B92,'Master Tracker'!$D:$E,2,false)</f>
        <v>https://drive.google.com/open?id=1PUS2Rvl7LmLLYsTJNUW1mJ6dE5J-RL_d</v>
      </c>
      <c r="U92" s="291" t="str">
        <f>VLOOKUP($B92,'Master Tracker'!$D:$T,4,FALSE)
</f>
        <v>https://drive.google.com/open?id=16h1XA25GJ1TU1q7rbls2EMUq8y4kwkzG</v>
      </c>
      <c r="V92" s="290" t="str">
        <f>VLOOKUP($B92,'Master Tracker'!$D:$T,5,false)</f>
        <v>https://drive.google.com/open?id=14_mfupTiwCyq7rKFlaIKyETFZmjXpvu0</v>
      </c>
      <c r="W92" s="291" t="str">
        <f>VLOOKUP($B92,'Master Tracker'!$D:$T,7,false)</f>
        <v>https://drive.google.com/open?id=1EQekoIzq6IDaSzF9LNz5GAuoI9psUx2-</v>
      </c>
      <c r="X92" s="290" t="str">
        <f>VLOOKUP($B92,'Master Tracker'!$D:$T,8,false)</f>
        <v>https://drive.google.com/open?id=1VDHQJPuWDUuWuRpl5-uP1WM43tjpIFMA</v>
      </c>
      <c r="Y92" s="291" t="str">
        <f>VLOOKUP($B92,'Master Tracker'!$D:$T,10,false)</f>
        <v>https://drive.google.com/open?id=1GqsEuSxprax607aNeduU_bQZJ5LnWg_Y</v>
      </c>
      <c r="Z92" s="284" t="str">
        <f>VLOOKUP($B92,'Master Tracker'!$D:$T,11,false)</f>
        <v>Not Found</v>
      </c>
      <c r="AA92" s="292" t="str">
        <f>VLOOKUP($B92,'Master Tracker'!$D:$T,13,false)</f>
        <v>Not Found</v>
      </c>
      <c r="AB92" s="284" t="str">
        <f>VLOOKUP($B92,'Master Tracker'!$D:$T,14,false)</f>
        <v>Not Found</v>
      </c>
      <c r="AC92" s="292" t="str">
        <f>VLOOKUP($B92,'Master Tracker'!$D:$T,16,false)</f>
        <v>Not Found</v>
      </c>
      <c r="AD92" s="292" t="str">
        <f>VLOOKUP($B92,'Master Tracker'!$D:$T,17,false)</f>
        <v>Not Found</v>
      </c>
      <c r="AE92" s="292" t="str">
        <f>VLOOKUP($B92,'Master Tracker'!$D:$V,19,false)</f>
        <v>Not Found</v>
      </c>
      <c r="AF92" s="292">
        <f>IFERROR(__xludf.DUMMYFUNCTION("IFERROR(
  INDEX(
    FILTER(
      'Juma Recording forms'!$G:$G,
      TRIM('Juma Recording forms'!$F:$F) = TRIM($B92),
      'Juma Recording forms'!$AA:$AA = 1
    ),
    1
  ),
  ""Not Found""
)"),150.0)</f>
        <v>150</v>
      </c>
      <c r="AG92" s="292">
        <f>IFERROR(__xludf.DUMMYFUNCTION("IFERROR(
  INDEX(
    FILTER(
      'Juma Recording forms'!$G:$G,
      TRIM('Juma Recording forms'!$F:$F) = TRIM($B92),
      'Juma Recording forms'!$AA:$AA = 2
    ),
    1
  ),
  ""Not Found""
)"),140.0)</f>
        <v>140</v>
      </c>
      <c r="AH92" s="292">
        <f>IFERROR(__xludf.DUMMYFUNCTION("IFERROR(
  INDEX(
    FILTER(
      'Juma Recording forms'!$G:$G,
      TRIM('Juma Recording forms'!$F:$F) = TRIM($B92),
      'Juma Recording forms'!$AA:$AA = 3
    ),
    1
  ),
  ""Not Found""
)"),145.0)</f>
        <v>145</v>
      </c>
      <c r="AI92" s="292" t="str">
        <f>IFERROR(__xludf.DUMMYFUNCTION("IFERROR(
  INDEX(
    FILTER(
      'Juma Recording forms'!$G:$G,
      TRIM('Juma Recording forms'!$F:$F) = TRIM($B92),
      'Juma Recording forms'!$AA:$AA = 4
    ),
    1
  ),
  ""Not Found""
)"),"Not Found")</f>
        <v>Not Found</v>
      </c>
      <c r="AJ92" s="292" t="str">
        <f>IFERROR(__xludf.DUMMYFUNCTION("IFERROR(
  INDEX(
    FILTER(
      'Juma Recording forms'!$G:$G,
      TRIM('Juma Recording forms'!$F:$F) = TRIM($B92),
      'Juma Recording forms'!$AA:$AA = 5
    ),
    1
  ),
  ""Not Found""
)"),"Not Found")</f>
        <v>Not Found</v>
      </c>
      <c r="AK92" s="292" t="str">
        <f>IFERROR(__xludf.DUMMYFUNCTION("IFERROR(
  INDEX(
    FILTER(
      'Juma Recording forms'!$G:$G,
      TRIM('Juma Recording forms'!$F:$F) = TRIM($B92),
      'Juma Recording forms'!$AA:$AA = 6
    ),
    1
  ),
  ""Not Found""
)"),"Not Found")</f>
        <v>Not Found</v>
      </c>
      <c r="AL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1!$E:$E"")=$B92) *
        (IMPORTRANGE(""https://docs.google.com/spreadsheets/d/161aHT6vVT3SLneTKD19N5qVWtnj_jIT8CSsOmUVKmaA/ed"&amp;"it?gid=1761053510"",
          ""Haris_Form responses 1!$AQ:$AQ"")=1)
      ),
      1
    ),
    ""0""
  ),
  ""Form not found""
)
"),"10")</f>
        <v>10</v>
      </c>
      <c r="AM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1!$E:$E"")=$B92) *
        (IMPORTRANGE(""https://docs.google.com/spreadsheets/d/161aHT6vVT3SLneTKD19N5qVWtnj_jIT8CSsOmUVKmaA/ed"&amp;"it?gid=1761053510"",
          ""Haris_Form responses 1!$AQ:$AQ"")=2)
      ),
      1
    ),
    ""0""
  ),
  ""Form not found""
)
"),"0")</f>
        <v>0</v>
      </c>
      <c r="AN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1!$E:$E"")=$B92) *
        (IMPORTRANGE(""https://docs.google.com/spreadsheets/d/161aHT6vVT3SLneTKD19N5qVWtnj_jIT8CSsOmUVKmaA/ed"&amp;"it?gid=1761053510"",
          ""Haris_Form responses 1!$AQ:$AQ"")=3)
      ),
      1
    ),
    ""0""
  ),
  ""Form not found""
)
"),"8")</f>
        <v>8</v>
      </c>
      <c r="AO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1!$E:$E"")=$B92) *
        (IMPORTRANGE(""https://docs.google.com/spreadsheets/d/161aHT6vVT3SLneTKD19N5qVWtnj_jIT8CSsOmUVKmaA/ed"&amp;"it?gid=1761053510"",
          ""Haris_Form responses 1!$AQ:$AQ"")=4)
      ),
      1
    ),
    ""0""
  ),
  ""Form not found""
)
"),"Form not found")</f>
        <v>Form not found</v>
      </c>
      <c r="AP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1!$E:$E"")=$B92) *
        (IMPORTRANGE(""https://docs.google.com/spreadsheets/d/161aHT6vVT3SLneTKD19N5qVWtnj_jIT8CSsOmUVKmaA/ed"&amp;"it?gid=1761053510"",
          ""Haris_Form responses 1!$AQ:$AQ"")=5)
      ),
      1
    ),
    ""0""
  ),
  ""Form not found""
)
"),"Form not found")</f>
        <v>Form not found</v>
      </c>
      <c r="AQ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1!$E:$E"")=$B92) *
        (IMPORTRANGE(""https://docs.google.com/spreadsheets/d/161aHT6vVT3SLneTKD19N5qVWtnj_jIT8CSsOmUVKmaA/ed"&amp;"it?gid=1761053510"",
          ""Haris_Form responses 1!$AQ:$AQ"")=6)
      ),
      1
    ),
    ""0""
  ),
  ""Form not found""
)
"),"Form not found")</f>
        <v>Form not found</v>
      </c>
      <c r="AR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1!$E:$E"")=$B92) *
        (IMPORTRANGE(""https://docs.google.com/spreadsheets/d/161aHT6vVT3SLneTKD19N5qVWtnj_jIT8CSsOmUVKmaA/ed"&amp;"it?gid=1761053510"",
          ""Haris_Form responses 1!$AQ:$AQ"")=1)
      ),
      1
    ),
    ""0""
  ),
  ""Form not found""
)
"),"9")</f>
        <v>9</v>
      </c>
      <c r="AS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1!$E:$E"")=$B92) *
        (IMPORTRANGE(""https://docs.google.com/spreadsheets/d/161aHT6vVT3SLneTKD19N5qVWtnj_jIT8CSsOmUVKmaA/ed"&amp;"it?gid=1761053510"",
          ""Haris_Form responses 1!$AQ:$AQ"")=2)
      ),
      1
    ),
    ""0""
  ),
  ""Form not found""
)
"),"0")</f>
        <v>0</v>
      </c>
      <c r="AT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1!$E:$E"")=$B92) *
        (IMPORTRANGE(""https://docs.google.com/spreadsheets/d/161aHT6vVT3SLneTKD19N5qVWtnj_jIT8CSsOmUVKmaA/ed"&amp;"it?gid=1761053510"",
          ""Haris_Form responses 1!$AQ:$AQ"")=3)
      ),
      1
    ),
    ""0""
  ),
  ""Form not found""
)
"),"8")</f>
        <v>8</v>
      </c>
      <c r="AU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1!$E:$E"")=$B92) *
        (IMPORTRANGE(""https://docs.google.com/spreadsheets/d/161aHT6vVT3SLneTKD19N5qVWtnj_jIT8CSsOmUVKmaA/ed"&amp;"it?gid=1761053510"",
          ""Haris_Form responses 1!$AQ:$AQ"")=4)
      ),
      1
    ),
    ""0""
  ),
  ""Form not found""
)
"),"Form not found")</f>
        <v>Form not found</v>
      </c>
      <c r="AV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1!$E:$E"")=$B92) *
        (IMPORTRANGE(""https://docs.google.com/spreadsheets/d/161aHT6vVT3SLneTKD19N5qVWtnj_jIT8CSsOmUVKmaA/ed"&amp;"it?gid=1761053510"",
          ""Haris_Form responses 1!$AQ:$AQ"")=5)
      ),
      1
    ),
    ""0""
  ),
  ""Form not found""
)
"),"Form not found")</f>
        <v>Form not found</v>
      </c>
      <c r="AW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1!$E:$E"")=$B92) *
        (IMPORTRANGE(""https://docs.google.com/spreadsheets/d/161aHT6vVT3SLneTKD19N5qVWtnj_jIT8CSsOmUVKmaA/ed"&amp;"it?gid=1761053510"",
          ""Haris_Form responses 1!$AQ:$AQ"")=6)
      ),
      1
    ),
    ""0""
  ),
  ""Form not found""
)
"),"Form not found")</f>
        <v>Form not found</v>
      </c>
      <c r="AX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1!$E:$E"")=$B92) *
        (IMPORTRANGE(""https://docs.google.com/spreadsheets/d/161aHT6vVT3SLneTKD19N5qVWtnj_jIT8CSsOmUVKmaA/ed"&amp;"it?gid=1761053510"",
          ""Haris_Form responses 1!$AQ:$AQ"")=1)
      ),
      1
    ),
    ""0""
  ),
  ""Form not found""
)
"),"0")</f>
        <v>0</v>
      </c>
      <c r="AY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1!$E:$E"")=$B92) *
        (IMPORTRANGE(""https://docs.google.com/spreadsheets/d/161aHT6vVT3SLneTKD19N5qVWtnj_jIT8CSsOmUVKmaA/ed"&amp;"it?gid=1761053510"",
          ""Haris_Form responses 1!$AQ:$AQ"")=2)
      ),
      1
    ),
    ""0""
  ),
  ""Form not found""
)
"),"0")</f>
        <v>0</v>
      </c>
      <c r="AZ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1!$E:$E"")=$B92) *
        (IMPORTRANGE(""https://docs.google.com/spreadsheets/d/161aHT6vVT3SLneTKD19N5qVWtnj_jIT8CSsOmUVKmaA/ed"&amp;"it?gid=1761053510"",
          ""Haris_Form responses 1!$AQ:$AQ"")=3)
      ),
      1
    ),
    ""0""
  ),
  ""Form not found""
)
"),"2")</f>
        <v>2</v>
      </c>
      <c r="BA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1!$E:$E"")=$B92) *
        (IMPORTRANGE(""https://docs.google.com/spreadsheets/d/161aHT6vVT3SLneTKD19N5qVWtnj_jIT8CSsOmUVKmaA/ed"&amp;"it?gid=1761053510"",
          ""Haris_Form responses 1!$AQ:$AQ"")=4)
      ),
      1
    ),
    ""0""
  ),
  ""Form not found""
)
"),"Form not found")</f>
        <v>Form not found</v>
      </c>
      <c r="BB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1!$E:$E"")=$B92) *
        (IMPORTRANGE(""https://docs.google.com/spreadsheets/d/161aHT6vVT3SLneTKD19N5qVWtnj_jIT8CSsOmUVKmaA/ed"&amp;"it?gid=1761053510"",
          ""Haris_Form responses 1!$AQ:$AQ"")=5)
      ),
      1
    ),
    ""0""
  ),
  ""Form not found""
)
"),"Form not found")</f>
        <v>Form not found</v>
      </c>
      <c r="BC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1!$E:$E"")=$B92) *
        (IMPORTRANGE(""https://docs.google.com/spreadsheets/d/161aHT6vVT3SLneTKD19N5qVWtnj_jIT8CSsOmUVKmaA/ed"&amp;"it?gid=1761053510"",
          ""Haris_Form responses 1!$AQ:$AQ"")=6)
      ),
      1
    ),
    ""0""
  ),
  ""Form not found""
)
"),"Form not found")</f>
        <v>Form not found</v>
      </c>
      <c r="BD92" s="293"/>
    </row>
    <row r="93">
      <c r="A93" s="283" t="str">
        <f>IFERROR(__xludf.DUMMYFUNCTION("VLOOKUP($B93,IMPORTRANGE(""https://docs.google.com/spreadsheets/d/1VNXDITjs75AcgdBSW27oL1VZH31udDprJSsBcE5xlp4/edit?gid=1551188038#gid=1551188038"", ""Sheet9!$B:$E""),2,false)"),"Gujrat")</f>
        <v>Gujrat</v>
      </c>
      <c r="B93" s="283" t="s">
        <v>2731</v>
      </c>
      <c r="C93" s="284" t="str">
        <f>IFERROR(__xludf.DUMMYFUNCTION("VLOOKUP(TRIM($B93), IMPORTRANGE(""https://docs.google.com/spreadsheets/d/1aSOrU4PTpuBZqfitKaH1Rfww6-YOiNCKoBpPl8XBHaw/edit?gid=0#gid=0"", ""sheet3!$B:$C""), 2, FALSE)
"),"Jamia Masjid Darbar Shah Dhola Gujrat")</f>
        <v>Jamia Masjid Darbar Shah Dhola Gujrat</v>
      </c>
      <c r="D93" s="284" t="str">
        <f>IFERROR(__xludf.DUMMYFUNCTION("IFERROR(
  INDEX(
    FILTER(
      IMPORTRANGE(""1aSOrU4PTpuBZqfitKaH1Rfww6-YOiNCKoBpPl8XBHaw/edit?gid=0#gid=0"",""Sheet1!G:G""),
      IMPORTRANGE(""1aSOrU4PTpuBZqfitKaH1Rfww6-YOiNCKoBpPl8XBHaw/edit?gid=0#gid=0"",""Sheet1!C:C"")=$B93
    ),
    1
  ),
 "&amp;" ""Not Found""
)"),"Control")</f>
        <v>Control</v>
      </c>
      <c r="E93" s="284" t="str">
        <f>VLOOKUP(B93,'Juma Recording forms'!A:E,5,false)</f>
        <v>Jamia masjid shahdola </v>
      </c>
      <c r="F93" s="284" t="str">
        <f>IFERROR(__xludf.DUMMYFUNCTION("IFERROR(
  INDEX(
    FILTER(
      IMPORTRANGE(""1Cxrhp3-_-HS7v9uuqQliiIfrmMP4VaFoDNDWyUFy2J8/edit?gid=0#gid=0"",""Sheet1!Q:Q""),
      IMPORTRANGE(""1Cxrhp3-_-HS7v9uuqQliiIfrmMP4VaFoDNDWyUFy2J8/edit?gid=0#gid=0"",""Sheet1!K:K"")=$B93
    ),
    1
  ),
 "&amp;" ""Not Found""
)"),"Mulana Muhammad Tariq")</f>
        <v>Mulana Muhammad Tariq</v>
      </c>
      <c r="G93" s="284">
        <v>1892.0</v>
      </c>
      <c r="H93" s="284" t="s">
        <v>4841</v>
      </c>
      <c r="I93" s="285"/>
      <c r="J93" s="286">
        <v>2.0</v>
      </c>
      <c r="K93" s="287" t="str">
        <f>VLOOKUP($B93,'Mosque Locations'!$A:$E,3,FALSE)
</f>
        <v>https://maps.google.com/maps?q=32.5714635%2C74.0846047&amp;z=17&amp;hl=en</v>
      </c>
      <c r="L93" s="286">
        <f>VLOOKUP($B93,'Mosque Locations'!$A:$E,4,FALSE)
</f>
        <v>32.57146</v>
      </c>
      <c r="M93" s="286">
        <f>VLOOKUP($B93,'Mosque Locations'!$A:$E,5,false)</f>
        <v>74.0846</v>
      </c>
      <c r="N93" s="288"/>
      <c r="O93" s="288"/>
      <c r="P93" s="288"/>
      <c r="Q93" s="289" t="str">
        <f>IFERROR(__xludf.DUMMYFUNCTION("IFERROR(
  INDEX(
    FILTER(
      IMPORTRANGE(""1DccNxjBgurEr0ABkI_rBagJT5phB5HaHG5N_mTm_BiA/edit?gid=1382299152#gid=1382299152"",""Form Responses 1!T:T""),
      IMPORTRANGE(""1DccNxjBgurEr0ABkI_rBagJT5phB5HaHG5N_mTm_BiA/edit?gid=1382299152#gid=1382299"&amp;"152"",""Form Responses 1!E:E"")=$B93
    ),
    1
  ),
  ""Not Found""
)"),"https://drive.google.com/open?id=1OONC-I2MRr-lL3GvHO-GUQkGBHnHWnFg")</f>
        <v>https://drive.google.com/open?id=1OONC-I2MRr-lL3GvHO-GUQkGBHnHWnFg</v>
      </c>
      <c r="R93" s="289" t="str">
        <f>IFERROR(__xludf.DUMMYFUNCTION("IFERROR(
  INDEX(
    FILTER(
      IMPORTRANGE(""1DccNxjBgurEr0ABkI_rBagJT5phB5HaHG5N_mTm_BiA/edit?gid=1382299152#gid=1382299152"",""Form Responses 1!S:S""),
      IMPORTRANGE(""1DccNxjBgurEr0ABkI_rBagJT5phB5HaHG5N_mTm_BiA/edit?gid=1382299152#gid=1382299"&amp;"152"",""Form Responses 1!E:E"")=$B93
    ),
    1
  ),
  ""Not Found""
)"),"https://drive.google.com/open?id=1DLOJoSadHrZC83TMddMsFS-XOhxX4xaU")</f>
        <v>https://drive.google.com/open?id=1DLOJoSadHrZC83TMddMsFS-XOhxX4xaU</v>
      </c>
      <c r="S93" s="285"/>
      <c r="T93" s="290" t="str">
        <f>VLOOKUP($B93,'Master Tracker'!$D:$E,2,false)</f>
        <v>https://drive.google.com/file/d/1DDVisaPY7tEMr_CDFpqgXHvnUNyIVrZS/view?usp=drive_link</v>
      </c>
      <c r="U93" s="291" t="str">
        <f>VLOOKUP($B93,'Master Tracker'!$D:$T,4,FALSE)
</f>
        <v>https://drive.google.com/open?id=12IIOfwgBJnXlzNs6_9XZV93GJy-MTvFc</v>
      </c>
      <c r="V93" s="284" t="str">
        <f>VLOOKUP($B93,'Master Tracker'!$D:$T,5,false)</f>
        <v>Not Found</v>
      </c>
      <c r="W93" s="292" t="str">
        <f>VLOOKUP($B93,'Master Tracker'!$D:$T,7,false)</f>
        <v>Not Found</v>
      </c>
      <c r="X93" s="290" t="str">
        <f>VLOOKUP($B93,'Master Tracker'!$D:$T,8,false)</f>
        <v>https://drive.google.com/open?id=1T0lWLzbXvsB73dRjKqKuw0JBgMXn7077</v>
      </c>
      <c r="Y93" s="291" t="str">
        <f>VLOOKUP($B93,'Master Tracker'!$D:$T,10,false)</f>
        <v>https://drive.google.com/open?id=111v1kK0I-CrqLff2TNEZryT6UW3xt-lq</v>
      </c>
      <c r="Z93" s="284" t="str">
        <f>VLOOKUP($B93,'Master Tracker'!$D:$T,11,false)</f>
        <v>Not Found</v>
      </c>
      <c r="AA93" s="292" t="str">
        <f>VLOOKUP($B93,'Master Tracker'!$D:$T,13,false)</f>
        <v>Not Found</v>
      </c>
      <c r="AB93" s="284" t="str">
        <f>VLOOKUP($B93,'Master Tracker'!$D:$T,14,false)</f>
        <v>Not Found</v>
      </c>
      <c r="AC93" s="292" t="str">
        <f>VLOOKUP($B93,'Master Tracker'!$D:$T,16,false)</f>
        <v>Not Found</v>
      </c>
      <c r="AD93" s="292" t="str">
        <f>VLOOKUP($B93,'Master Tracker'!$D:$T,17,false)</f>
        <v>Not Found</v>
      </c>
      <c r="AE93" s="292" t="str">
        <f>VLOOKUP($B93,'Master Tracker'!$D:$V,19,false)</f>
        <v>Not Found</v>
      </c>
      <c r="AF93" s="292">
        <f>IFERROR(__xludf.DUMMYFUNCTION("IFERROR(
  INDEX(
    FILTER(
      'Juma Recording forms'!$G:$G,
      TRIM('Juma Recording forms'!$F:$F) = TRIM($B93),
      'Juma Recording forms'!$AA:$AA = 1
    ),
    1
  ),
  ""Not Found""
)"),225.0)</f>
        <v>225</v>
      </c>
      <c r="AG93" s="292" t="str">
        <f>IFERROR(__xludf.DUMMYFUNCTION("IFERROR(
  INDEX(
    FILTER(
      'Juma Recording forms'!$G:$G,
      TRIM('Juma Recording forms'!$F:$F) = TRIM($B93),
      'Juma Recording forms'!$AA:$AA = 2
    ),
    1
  ),
  ""Not Found""
)"),"Not Found")</f>
        <v>Not Found</v>
      </c>
      <c r="AH93" s="292">
        <f>IFERROR(__xludf.DUMMYFUNCTION("IFERROR(
  INDEX(
    FILTER(
      'Juma Recording forms'!$G:$G,
      TRIM('Juma Recording forms'!$F:$F) = TRIM($B93),
      'Juma Recording forms'!$AA:$AA = 3
    ),
    1
  ),
  ""Not Found""
)"),210.0)</f>
        <v>210</v>
      </c>
      <c r="AI93" s="292" t="str">
        <f>IFERROR(__xludf.DUMMYFUNCTION("IFERROR(
  INDEX(
    FILTER(
      'Juma Recording forms'!$G:$G,
      TRIM('Juma Recording forms'!$F:$F) = TRIM($B93),
      'Juma Recording forms'!$AA:$AA = 4
    ),
    1
  ),
  ""Not Found""
)"),"Not Found")</f>
        <v>Not Found</v>
      </c>
      <c r="AJ93" s="292" t="str">
        <f>IFERROR(__xludf.DUMMYFUNCTION("IFERROR(
  INDEX(
    FILTER(
      'Juma Recording forms'!$G:$G,
      TRIM('Juma Recording forms'!$F:$F) = TRIM($B93),
      'Juma Recording forms'!$AA:$AA = 5
    ),
    1
  ),
  ""Not Found""
)"),"Not Found")</f>
        <v>Not Found</v>
      </c>
      <c r="AK93" s="292"/>
      <c r="AL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1!$E:$E"")=$B93) *
        (IMPORTRANGE(""https://docs.google.com/spreadsheets/d/161aHT6vVT3SLneTKD19N5qVWtnj_jIT8CSsOmUVKmaA/ed"&amp;"it?gid=1761053510"",
          ""Haris_Form responses 1!$AQ:$AQ"")=1)
      ),
      1
    ),
    ""0""
  ),
  ""Form not found""
)
"),"0")</f>
        <v>0</v>
      </c>
      <c r="AM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1!$E:$E"")=$B93) *
        (IMPORTRANGE(""https://docs.google.com/spreadsheets/d/161aHT6vVT3SLneTKD19N5qVWtnj_jIT8CSsOmUVKmaA/ed"&amp;"it?gid=1761053510"",
          ""Haris_Form responses 1!$AQ:$AQ"")=2)
      ),
      1
    ),
    ""0""
  ),
  ""Form not found""
)
"),"Form not found")</f>
        <v>Form not found</v>
      </c>
      <c r="AN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1!$E:$E"")=$B93) *
        (IMPORTRANGE(""https://docs.google.com/spreadsheets/d/161aHT6vVT3SLneTKD19N5qVWtnj_jIT8CSsOmUVKmaA/ed"&amp;"it?gid=1761053510"",
          ""Haris_Form responses 1!$AQ:$AQ"")=3)
      ),
      1
    ),
    ""0""
  ),
  ""Form not found""
)
"),"0")</f>
        <v>0</v>
      </c>
      <c r="AO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1!$E:$E"")=$B93) *
        (IMPORTRANGE(""https://docs.google.com/spreadsheets/d/161aHT6vVT3SLneTKD19N5qVWtnj_jIT8CSsOmUVKmaA/ed"&amp;"it?gid=1761053510"",
          ""Haris_Form responses 1!$AQ:$AQ"")=4)
      ),
      1
    ),
    ""0""
  ),
  ""Form not found""
)
"),"Form not found")</f>
        <v>Form not found</v>
      </c>
      <c r="AP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1!$E:$E"")=$B93) *
        (IMPORTRANGE(""https://docs.google.com/spreadsheets/d/161aHT6vVT3SLneTKD19N5qVWtnj_jIT8CSsOmUVKmaA/ed"&amp;"it?gid=1761053510"",
          ""Haris_Form responses 1!$AQ:$AQ"")=5)
      ),
      1
    ),
    ""0""
  ),
  ""Form not found""
)
"),"Form not found")</f>
        <v>Form not found</v>
      </c>
      <c r="AQ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1!$E:$E"")=$B93) *
        (IMPORTRANGE(""https://docs.google.com/spreadsheets/d/161aHT6vVT3SLneTKD19N5qVWtnj_jIT8CSsOmUVKmaA/ed"&amp;"it?gid=1761053510"",
          ""Haris_Form responses 1!$AQ:$AQ"")=6)
      ),
      1
    ),
    ""0""
  ),
  ""Form not found""
)
"),"Form not found")</f>
        <v>Form not found</v>
      </c>
      <c r="AR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1!$E:$E"")=$B93) *
        (IMPORTRANGE(""https://docs.google.com/spreadsheets/d/161aHT6vVT3SLneTKD19N5qVWtnj_jIT8CSsOmUVKmaA/ed"&amp;"it?gid=1761053510"",
          ""Haris_Form responses 1!$AQ:$AQ"")=1)
      ),
      1
    ),
    ""0""
  ),
  ""Form not found""
)
"),"0")</f>
        <v>0</v>
      </c>
      <c r="AS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1!$E:$E"")=$B93) *
        (IMPORTRANGE(""https://docs.google.com/spreadsheets/d/161aHT6vVT3SLneTKD19N5qVWtnj_jIT8CSsOmUVKmaA/ed"&amp;"it?gid=1761053510"",
          ""Haris_Form responses 1!$AQ:$AQ"")=2)
      ),
      1
    ),
    ""0""
  ),
  ""Form not found""
)
"),"Form not found")</f>
        <v>Form not found</v>
      </c>
      <c r="AT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1!$E:$E"")=$B93) *
        (IMPORTRANGE(""https://docs.google.com/spreadsheets/d/161aHT6vVT3SLneTKD19N5qVWtnj_jIT8CSsOmUVKmaA/ed"&amp;"it?gid=1761053510"",
          ""Haris_Form responses 1!$AQ:$AQ"")=3)
      ),
      1
    ),
    ""0""
  ),
  ""Form not found""
)
"),"0")</f>
        <v>0</v>
      </c>
      <c r="AU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1!$E:$E"")=$B93) *
        (IMPORTRANGE(""https://docs.google.com/spreadsheets/d/161aHT6vVT3SLneTKD19N5qVWtnj_jIT8CSsOmUVKmaA/ed"&amp;"it?gid=1761053510"",
          ""Haris_Form responses 1!$AQ:$AQ"")=4)
      ),
      1
    ),
    ""0""
  ),
  ""Form not found""
)
"),"Form not found")</f>
        <v>Form not found</v>
      </c>
      <c r="AV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1!$E:$E"")=$B93) *
        (IMPORTRANGE(""https://docs.google.com/spreadsheets/d/161aHT6vVT3SLneTKD19N5qVWtnj_jIT8CSsOmUVKmaA/ed"&amp;"it?gid=1761053510"",
          ""Haris_Form responses 1!$AQ:$AQ"")=5)
      ),
      1
    ),
    ""0""
  ),
  ""Form not found""
)
"),"Form not found")</f>
        <v>Form not found</v>
      </c>
      <c r="AW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1!$E:$E"")=$B93) *
        (IMPORTRANGE(""https://docs.google.com/spreadsheets/d/161aHT6vVT3SLneTKD19N5qVWtnj_jIT8CSsOmUVKmaA/ed"&amp;"it?gid=1761053510"",
          ""Haris_Form responses 1!$AQ:$AQ"")=6)
      ),
      1
    ),
    ""0""
  ),
  ""Form not found""
)
"),"Form not found")</f>
        <v>Form not found</v>
      </c>
      <c r="AX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1!$E:$E"")=$B93) *
        (IMPORTRANGE(""https://docs.google.com/spreadsheets/d/161aHT6vVT3SLneTKD19N5qVWtnj_jIT8CSsOmUVKmaA/ed"&amp;"it?gid=1761053510"",
          ""Haris_Form responses 1!$AQ:$AQ"")=1)
      ),
      1
    ),
    ""0""
  ),
  ""Form not found""
)
"),"0")</f>
        <v>0</v>
      </c>
      <c r="AY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1!$E:$E"")=$B93) *
        (IMPORTRANGE(""https://docs.google.com/spreadsheets/d/161aHT6vVT3SLneTKD19N5qVWtnj_jIT8CSsOmUVKmaA/ed"&amp;"it?gid=1761053510"",
          ""Haris_Form responses 1!$AQ:$AQ"")=2)
      ),
      1
    ),
    ""0""
  ),
  ""Form not found""
)
"),"Form not found")</f>
        <v>Form not found</v>
      </c>
      <c r="AZ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1!$E:$E"")=$B93) *
        (IMPORTRANGE(""https://docs.google.com/spreadsheets/d/161aHT6vVT3SLneTKD19N5qVWtnj_jIT8CSsOmUVKmaA/ed"&amp;"it?gid=1761053510"",
          ""Haris_Form responses 1!$AQ:$AQ"")=3)
      ),
      1
    ),
    ""0""
  ),
  ""Form not found""
)
"),"0")</f>
        <v>0</v>
      </c>
      <c r="BA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1!$E:$E"")=$B93) *
        (IMPORTRANGE(""https://docs.google.com/spreadsheets/d/161aHT6vVT3SLneTKD19N5qVWtnj_jIT8CSsOmUVKmaA/ed"&amp;"it?gid=1761053510"",
          ""Haris_Form responses 1!$AQ:$AQ"")=4)
      ),
      1
    ),
    ""0""
  ),
  ""Form not found""
)
"),"Form not found")</f>
        <v>Form not found</v>
      </c>
      <c r="BB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1!$E:$E"")=$B93) *
        (IMPORTRANGE(""https://docs.google.com/spreadsheets/d/161aHT6vVT3SLneTKD19N5qVWtnj_jIT8CSsOmUVKmaA/ed"&amp;"it?gid=1761053510"",
          ""Haris_Form responses 1!$AQ:$AQ"")=5)
      ),
      1
    ),
    ""0""
  ),
  ""Form not found""
)
"),"Form not found")</f>
        <v>Form not found</v>
      </c>
      <c r="BC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1!$E:$E"")=$B93) *
        (IMPORTRANGE(""https://docs.google.com/spreadsheets/d/161aHT6vVT3SLneTKD19N5qVWtnj_jIT8CSsOmUVKmaA/ed"&amp;"it?gid=1761053510"",
          ""Haris_Form responses 1!$AQ:$AQ"")=6)
      ),
      1
    ),
    ""0""
  ),
  ""Form not found""
)
"),"Form not found")</f>
        <v>Form not found</v>
      </c>
      <c r="BD93" s="293"/>
    </row>
    <row r="94">
      <c r="A94" s="283" t="str">
        <f>IFERROR(__xludf.DUMMYFUNCTION("VLOOKUP($B94,IMPORTRANGE(""https://docs.google.com/spreadsheets/d/1VNXDITjs75AcgdBSW27oL1VZH31udDprJSsBcE5xlp4/edit?gid=1551188038#gid=1551188038"", ""Sheet9!$B:$E""),2,false)"),"Gujrat")</f>
        <v>Gujrat</v>
      </c>
      <c r="B94" s="283" t="s">
        <v>2531</v>
      </c>
      <c r="C94" s="284" t="str">
        <f>IFERROR(__xludf.DUMMYFUNCTION("VLOOKUP(TRIM($B94), IMPORTRANGE(""https://docs.google.com/spreadsheets/d/1aSOrU4PTpuBZqfitKaH1Rfww6-YOiNCKoBpPl8XBHaw/edit?gid=0#gid=0"", ""sheet3!$B:$C""), 2, FALSE)
"),"Jamia Masjid Haji Muhammad Din Gujrat")</f>
        <v>Jamia Masjid Haji Muhammad Din Gujrat</v>
      </c>
      <c r="D94" s="284" t="str">
        <f>IFERROR(__xludf.DUMMYFUNCTION("IFERROR(
  INDEX(
    FILTER(
      IMPORTRANGE(""1aSOrU4PTpuBZqfitKaH1Rfww6-YOiNCKoBpPl8XBHaw/edit?gid=0#gid=0"",""Sheet1!G:G""),
      IMPORTRANGE(""1aSOrU4PTpuBZqfitKaH1Rfww6-YOiNCKoBpPl8XBHaw/edit?gid=0#gid=0"",""Sheet1!C:C"")=$B94
    ),
    1
  ),
 "&amp;" ""Not Found""
)"),"Control")</f>
        <v>Control</v>
      </c>
      <c r="E94" s="284" t="str">
        <f>VLOOKUP(B94,'Juma Recording forms'!A:E,5,false)</f>
        <v>QVDJF	Jamia Masjid Haji Muhammad Din Gujrat</v>
      </c>
      <c r="F94" s="284" t="str">
        <f>IFERROR(__xludf.DUMMYFUNCTION("IFERROR(
  INDEX(
    FILTER(
      IMPORTRANGE(""1Cxrhp3-_-HS7v9uuqQliiIfrmMP4VaFoDNDWyUFy2J8/edit?gid=0#gid=0"",""Sheet1!Q:Q""),
      IMPORTRANGE(""1Cxrhp3-_-HS7v9uuqQliiIfrmMP4VaFoDNDWyUFy2J8/edit?gid=0#gid=0"",""Sheet1!K:K"")=$B94
    ),
    1
  ),
 "&amp;" ""Not Found""
)"),"Alama mulana mehar hayat ")</f>
        <v>Alama mulana mehar hayat </v>
      </c>
      <c r="G94" s="284">
        <v>1934.0</v>
      </c>
      <c r="H94" s="284" t="s">
        <v>4842</v>
      </c>
      <c r="I94" s="285"/>
      <c r="J94" s="286">
        <v>2.0</v>
      </c>
      <c r="K94" s="287" t="str">
        <f>VLOOKUP($B94,'Mosque Locations'!$A:$E,3,FALSE)
</f>
        <v>https://maps.google.com/maps?q=32.5714801%2C74.0857584&amp;z=17&amp;hl=en</v>
      </c>
      <c r="L94" s="286">
        <f>VLOOKUP($B94,'Mosque Locations'!$A:$E,4,FALSE)
</f>
        <v>32.5714801</v>
      </c>
      <c r="M94" s="286">
        <f>VLOOKUP($B94,'Mosque Locations'!$A:$E,5,false)</f>
        <v>74.0857584</v>
      </c>
      <c r="N94" s="288"/>
      <c r="O94" s="288"/>
      <c r="P94" s="288"/>
      <c r="Q94" s="289" t="str">
        <f>IFERROR(__xludf.DUMMYFUNCTION("IFERROR(
  INDEX(
    FILTER(
      IMPORTRANGE(""1DccNxjBgurEr0ABkI_rBagJT5phB5HaHG5N_mTm_BiA/edit?gid=1382299152#gid=1382299152"",""Form Responses 1!T:T""),
      IMPORTRANGE(""1DccNxjBgurEr0ABkI_rBagJT5phB5HaHG5N_mTm_BiA/edit?gid=1382299152#gid=1382299"&amp;"152"",""Form Responses 1!E:E"")=$B94
    ),
    1
  ),
  ""Not Found""
)"),"https://drive.google.com/file/d/1QjpSiGEHdRRoYdiIG8WMRvCfbRDsWhF6/view?usp=sharing")</f>
        <v>https://drive.google.com/file/d/1QjpSiGEHdRRoYdiIG8WMRvCfbRDsWhF6/view?usp=sharing</v>
      </c>
      <c r="R94" s="289" t="str">
        <f>IFERROR(__xludf.DUMMYFUNCTION("IFERROR(
  INDEX(
    FILTER(
      IMPORTRANGE(""1DccNxjBgurEr0ABkI_rBagJT5phB5HaHG5N_mTm_BiA/edit?gid=1382299152#gid=1382299152"",""Form Responses 1!S:S""),
      IMPORTRANGE(""1DccNxjBgurEr0ABkI_rBagJT5phB5HaHG5N_mTm_BiA/edit?gid=1382299152#gid=1382299"&amp;"152"",""Form Responses 1!E:E"")=$B104
    ),
    1
  ),
  ""Not Found""
)"),"https://drive.google.com/open?id=1L9oSBZYReKTHypvdySBgItyXzsCXL2bp")</f>
        <v>https://drive.google.com/open?id=1L9oSBZYReKTHypvdySBgItyXzsCXL2bp</v>
      </c>
      <c r="S94" s="285"/>
      <c r="T94" s="290" t="str">
        <f>VLOOKUP($B94,'Master Tracker'!$D:$E,2,false)</f>
        <v>https://drive.google.com/open?id=1PV-4uOReqLud32EOLqRLoEiZJOjhbOwJ</v>
      </c>
      <c r="U94" s="291" t="str">
        <f>VLOOKUP($B94,'Master Tracker'!$D:$T,4,FALSE)
</f>
        <v>https://drive.google.com/open?id=19h7zChwHDNVCCHdIrRNac2LexSfKJyDj</v>
      </c>
      <c r="V94" s="284" t="str">
        <f>VLOOKUP($B94,'Master Tracker'!$D:$T,5,false)</f>
        <v>Not Found</v>
      </c>
      <c r="W94" s="292" t="str">
        <f>VLOOKUP($B94,'Master Tracker'!$D:$T,7,false)</f>
        <v>Not Found</v>
      </c>
      <c r="X94" s="290" t="str">
        <f>VLOOKUP($B94,'Master Tracker'!$D:$T,8,false)</f>
        <v>https://drive.google.com/open?id=1ivgG3wJI1fPiOFmTXuzTuwjxGm6uAecT</v>
      </c>
      <c r="Y94" s="291" t="str">
        <f>VLOOKUP($B94,'Master Tracker'!$D:$T,10,false)</f>
        <v>https://drive.google.com/open?id=1FbdtXTblxFDij1sNf_KkqYbv8245PbK2</v>
      </c>
      <c r="Z94" s="284" t="str">
        <f>VLOOKUP($B94,'Master Tracker'!$D:$T,11,false)</f>
        <v>Not Found</v>
      </c>
      <c r="AA94" s="292" t="str">
        <f>VLOOKUP($B94,'Master Tracker'!$D:$T,13,false)</f>
        <v>Not Found</v>
      </c>
      <c r="AB94" s="284" t="str">
        <f>VLOOKUP($B94,'Master Tracker'!$D:$T,14,false)</f>
        <v>Not Found</v>
      </c>
      <c r="AC94" s="292" t="str">
        <f>VLOOKUP($B94,'Master Tracker'!$D:$T,16,false)</f>
        <v>Not Found</v>
      </c>
      <c r="AD94" s="292" t="str">
        <f>VLOOKUP($B94,'Master Tracker'!$D:$T,17,false)</f>
        <v>Not Found</v>
      </c>
      <c r="AE94" s="292" t="str">
        <f>VLOOKUP($B94,'Master Tracker'!$D:$V,19,false)</f>
        <v>Not Found</v>
      </c>
      <c r="AF94" s="292">
        <f>IFERROR(__xludf.DUMMYFUNCTION("IFERROR(
  INDEX(
    FILTER(
      'Juma Recording forms'!$G:$G,
      TRIM('Juma Recording forms'!$F:$F) = TRIM($B94),
      'Juma Recording forms'!$AA:$AA = 1
    ),
    1
  ),
  ""Not Found""
)"),257.0)</f>
        <v>257</v>
      </c>
      <c r="AG94" s="292" t="str">
        <f>IFERROR(__xludf.DUMMYFUNCTION("IFERROR(
  INDEX(
    FILTER(
      'Juma Recording forms'!$G:$G,
      TRIM('Juma Recording forms'!$F:$F) = TRIM($B94),
      'Juma Recording forms'!$AA:$AA = 2
    ),
    1
  ),
  ""Not Found""
)"),"Not Found")</f>
        <v>Not Found</v>
      </c>
      <c r="AH94" s="292">
        <f>IFERROR(__xludf.DUMMYFUNCTION("IFERROR(
  INDEX(
    FILTER(
      'Juma Recording forms'!$G:$G,
      TRIM('Juma Recording forms'!$F:$F) = TRIM($B94),
      'Juma Recording forms'!$AA:$AA = 3
    ),
    1
  ),
  ""Not Found""
)"),268.0)</f>
        <v>268</v>
      </c>
      <c r="AI94" s="292" t="str">
        <f>IFERROR(__xludf.DUMMYFUNCTION("IFERROR(
  INDEX(
    FILTER(
      'Juma Recording forms'!$G:$G,
      TRIM('Juma Recording forms'!$F:$F) = TRIM($B94),
      'Juma Recording forms'!$AA:$AA = 4
    ),
    1
  ),
  ""Not Found""
)"),"Not Found")</f>
        <v>Not Found</v>
      </c>
      <c r="AJ94" s="292" t="str">
        <f>IFERROR(__xludf.DUMMYFUNCTION("IFERROR(
  INDEX(
    FILTER(
      'Juma Recording forms'!$G:$G,
      TRIM('Juma Recording forms'!$F:$F) = TRIM($B94),
      'Juma Recording forms'!$AA:$AA = 5
    ),
    1
  ),
  ""Not Found""
)"),"Not Found")</f>
        <v>Not Found</v>
      </c>
      <c r="AK94" s="292"/>
      <c r="AL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1!$E:$E"")=$B94) *
        (IMPORTRANGE(""https://docs.google.com/spreadsheets/d/161aHT6vVT3SLneTKD19N5qVWtnj_jIT8CSsOmUVKmaA/ed"&amp;"it?gid=1761053510"",
          ""Haris_Form responses 1!$AQ:$AQ"")=1)
      ),
      1
    ),
    ""0""
  ),
  ""Form not found""
)
"),"0")</f>
        <v>0</v>
      </c>
      <c r="AM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1!$E:$E"")=$B94) *
        (IMPORTRANGE(""https://docs.google.com/spreadsheets/d/161aHT6vVT3SLneTKD19N5qVWtnj_jIT8CSsOmUVKmaA/ed"&amp;"it?gid=1761053510"",
          ""Haris_Form responses 1!$AQ:$AQ"")=2)
      ),
      1
    ),
    ""0""
  ),
  ""Form not found""
)
"),"Form not found")</f>
        <v>Form not found</v>
      </c>
      <c r="AN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1!$E:$E"")=$B94) *
        (IMPORTRANGE(""https://docs.google.com/spreadsheets/d/161aHT6vVT3SLneTKD19N5qVWtnj_jIT8CSsOmUVKmaA/ed"&amp;"it?gid=1761053510"",
          ""Haris_Form responses 1!$AQ:$AQ"")=3)
      ),
      1
    ),
    ""0""
  ),
  ""Form not found""
)
"),"0")</f>
        <v>0</v>
      </c>
      <c r="AO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1!$E:$E"")=$B94) *
        (IMPORTRANGE(""https://docs.google.com/spreadsheets/d/161aHT6vVT3SLneTKD19N5qVWtnj_jIT8CSsOmUVKmaA/ed"&amp;"it?gid=1761053510"",
          ""Haris_Form responses 1!$AQ:$AQ"")=4)
      ),
      1
    ),
    ""0""
  ),
  ""Form not found""
)
"),"Form not found")</f>
        <v>Form not found</v>
      </c>
      <c r="AP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1!$E:$E"")=$B94) *
        (IMPORTRANGE(""https://docs.google.com/spreadsheets/d/161aHT6vVT3SLneTKD19N5qVWtnj_jIT8CSsOmUVKmaA/ed"&amp;"it?gid=1761053510"",
          ""Haris_Form responses 1!$AQ:$AQ"")=5)
      ),
      1
    ),
    ""0""
  ),
  ""Form not found""
)
"),"Form not found")</f>
        <v>Form not found</v>
      </c>
      <c r="AQ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1!$E:$E"")=$B94) *
        (IMPORTRANGE(""https://docs.google.com/spreadsheets/d/161aHT6vVT3SLneTKD19N5qVWtnj_jIT8CSsOmUVKmaA/ed"&amp;"it?gid=1761053510"",
          ""Haris_Form responses 1!$AQ:$AQ"")=6)
      ),
      1
    ),
    ""0""
  ),
  ""Form not found""
)
"),"Form not found")</f>
        <v>Form not found</v>
      </c>
      <c r="AR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1!$E:$E"")=$B94) *
        (IMPORTRANGE(""https://docs.google.com/spreadsheets/d/161aHT6vVT3SLneTKD19N5qVWtnj_jIT8CSsOmUVKmaA/ed"&amp;"it?gid=1761053510"",
          ""Haris_Form responses 1!$AQ:$AQ"")=1)
      ),
      1
    ),
    ""0""
  ),
  ""Form not found""
)
"),"0")</f>
        <v>0</v>
      </c>
      <c r="AS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1!$E:$E"")=$B94) *
        (IMPORTRANGE(""https://docs.google.com/spreadsheets/d/161aHT6vVT3SLneTKD19N5qVWtnj_jIT8CSsOmUVKmaA/ed"&amp;"it?gid=1761053510"",
          ""Haris_Form responses 1!$AQ:$AQ"")=2)
      ),
      1
    ),
    ""0""
  ),
  ""Form not found""
)
"),"Form not found")</f>
        <v>Form not found</v>
      </c>
      <c r="AT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1!$E:$E"")=$B94) *
        (IMPORTRANGE(""https://docs.google.com/spreadsheets/d/161aHT6vVT3SLneTKD19N5qVWtnj_jIT8CSsOmUVKmaA/ed"&amp;"it?gid=1761053510"",
          ""Haris_Form responses 1!$AQ:$AQ"")=3)
      ),
      1
    ),
    ""0""
  ),
  ""Form not found""
)
"),"0")</f>
        <v>0</v>
      </c>
      <c r="AU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1!$E:$E"")=$B94) *
        (IMPORTRANGE(""https://docs.google.com/spreadsheets/d/161aHT6vVT3SLneTKD19N5qVWtnj_jIT8CSsOmUVKmaA/ed"&amp;"it?gid=1761053510"",
          ""Haris_Form responses 1!$AQ:$AQ"")=4)
      ),
      1
    ),
    ""0""
  ),
  ""Form not found""
)
"),"Form not found")</f>
        <v>Form not found</v>
      </c>
      <c r="AV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1!$E:$E"")=$B94) *
        (IMPORTRANGE(""https://docs.google.com/spreadsheets/d/161aHT6vVT3SLneTKD19N5qVWtnj_jIT8CSsOmUVKmaA/ed"&amp;"it?gid=1761053510"",
          ""Haris_Form responses 1!$AQ:$AQ"")=5)
      ),
      1
    ),
    ""0""
  ),
  ""Form not found""
)
"),"Form not found")</f>
        <v>Form not found</v>
      </c>
      <c r="AW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1!$E:$E"")=$B94) *
        (IMPORTRANGE(""https://docs.google.com/spreadsheets/d/161aHT6vVT3SLneTKD19N5qVWtnj_jIT8CSsOmUVKmaA/ed"&amp;"it?gid=1761053510"",
          ""Haris_Form responses 1!$AQ:$AQ"")=6)
      ),
      1
    ),
    ""0""
  ),
  ""Form not found""
)
"),"Form not found")</f>
        <v>Form not found</v>
      </c>
      <c r="AX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1!$E:$E"")=$B94) *
        (IMPORTRANGE(""https://docs.google.com/spreadsheets/d/161aHT6vVT3SLneTKD19N5qVWtnj_jIT8CSsOmUVKmaA/ed"&amp;"it?gid=1761053510"",
          ""Haris_Form responses 1!$AQ:$AQ"")=1)
      ),
      1
    ),
    ""0""
  ),
  ""Form not found""
)
"),"0")</f>
        <v>0</v>
      </c>
      <c r="AY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1!$E:$E"")=$B94) *
        (IMPORTRANGE(""https://docs.google.com/spreadsheets/d/161aHT6vVT3SLneTKD19N5qVWtnj_jIT8CSsOmUVKmaA/ed"&amp;"it?gid=1761053510"",
          ""Haris_Form responses 1!$AQ:$AQ"")=2)
      ),
      1
    ),
    ""0""
  ),
  ""Form not found""
)
"),"Form not found")</f>
        <v>Form not found</v>
      </c>
      <c r="AZ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1!$E:$E"")=$B94) *
        (IMPORTRANGE(""https://docs.google.com/spreadsheets/d/161aHT6vVT3SLneTKD19N5qVWtnj_jIT8CSsOmUVKmaA/ed"&amp;"it?gid=1761053510"",
          ""Haris_Form responses 1!$AQ:$AQ"")=3)
      ),
      1
    ),
    ""0""
  ),
  ""Form not found""
)
"),"0")</f>
        <v>0</v>
      </c>
      <c r="BA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1!$E:$E"")=$B94) *
        (IMPORTRANGE(""https://docs.google.com/spreadsheets/d/161aHT6vVT3SLneTKD19N5qVWtnj_jIT8CSsOmUVKmaA/ed"&amp;"it?gid=1761053510"",
          ""Haris_Form responses 1!$AQ:$AQ"")=4)
      ),
      1
    ),
    ""0""
  ),
  ""Form not found""
)
"),"Form not found")</f>
        <v>Form not found</v>
      </c>
      <c r="BB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1!$E:$E"")=$B94) *
        (IMPORTRANGE(""https://docs.google.com/spreadsheets/d/161aHT6vVT3SLneTKD19N5qVWtnj_jIT8CSsOmUVKmaA/ed"&amp;"it?gid=1761053510"",
          ""Haris_Form responses 1!$AQ:$AQ"")=5)
      ),
      1
    ),
    ""0""
  ),
  ""Form not found""
)
"),"Form not found")</f>
        <v>Form not found</v>
      </c>
      <c r="BC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1!$E:$E"")=$B94) *
        (IMPORTRANGE(""https://docs.google.com/spreadsheets/d/161aHT6vVT3SLneTKD19N5qVWtnj_jIT8CSsOmUVKmaA/ed"&amp;"it?gid=1761053510"",
          ""Haris_Form responses 1!$AQ:$AQ"")=6)
      ),
      1
    ),
    ""0""
  ),
  ""Form not found""
)
"),"Form not found")</f>
        <v>Form not found</v>
      </c>
      <c r="BD94" s="293"/>
    </row>
    <row r="95">
      <c r="A95" s="283" t="str">
        <f>IFERROR(__xludf.DUMMYFUNCTION("VLOOKUP($B95,IMPORTRANGE(""https://docs.google.com/spreadsheets/d/1VNXDITjs75AcgdBSW27oL1VZH31udDprJSsBcE5xlp4/edit?gid=1551188038#gid=1551188038"", ""Sheet9!$B:$E""),2,false)"),"Gujrat")</f>
        <v>Gujrat</v>
      </c>
      <c r="B95" s="283" t="s">
        <v>1978</v>
      </c>
      <c r="C95" s="284" t="str">
        <f>IFERROR(__xludf.DUMMYFUNCTION("VLOOKUP(TRIM($B95), IMPORTRANGE(""https://docs.google.com/spreadsheets/d/1aSOrU4PTpuBZqfitKaH1Rfww6-YOiNCKoBpPl8XBHaw/edit?gid=0#gid=0"", ""sheet3!$B:$C""), 2, FALSE)
"),"Jamia Masjid Dars Jhulana Mandi Bahauddin")</f>
        <v>Jamia Masjid Dars Jhulana Mandi Bahauddin</v>
      </c>
      <c r="D95" s="284" t="str">
        <f>IFERROR(__xludf.DUMMYFUNCTION("IFERROR(
  INDEX(
    FILTER(
      IMPORTRANGE(""1aSOrU4PTpuBZqfitKaH1Rfww6-YOiNCKoBpPl8XBHaw/edit?gid=0#gid=0"",""Sheet1!G:G""),
      IMPORTRANGE(""1aSOrU4PTpuBZqfitKaH1Rfww6-YOiNCKoBpPl8XBHaw/edit?gid=0#gid=0"",""Sheet1!C:C"")=$B95
    ),
    1
  ),
 "&amp;" ""Not Found""
)"),"Community Religious Info Share")</f>
        <v>Community Religious Info Share</v>
      </c>
      <c r="E95" s="284" t="str">
        <f>VLOOKUP(B95,'Juma Recording forms'!A:E,5,false)</f>
        <v>Markazi jamia Masjid Sadiq akbar</v>
      </c>
      <c r="F95" s="284" t="str">
        <f>IFERROR(__xludf.DUMMYFUNCTION("IFERROR(
  INDEX(
    FILTER(
      IMPORTRANGE(""1Cxrhp3-_-HS7v9uuqQliiIfrmMP4VaFoDNDWyUFy2J8/edit?gid=0#gid=0"",""Sheet1!Q:Q""),
      IMPORTRANGE(""1Cxrhp3-_-HS7v9uuqQliiIfrmMP4VaFoDNDWyUFy2J8/edit?gid=0#gid=0"",""Sheet1!K:K"")=$B95
    ),
    1
  ),
 "&amp;" ""Not Found""
)"),"Not Found")</f>
        <v>Not Found</v>
      </c>
      <c r="G95" s="284"/>
      <c r="H95" s="284"/>
      <c r="I95" s="285"/>
      <c r="J95" s="286">
        <v>2.0</v>
      </c>
      <c r="K95" s="287" t="str">
        <f>VLOOKUP($B95,'Mosque Locations'!$A:$E,3,FALSE)
</f>
        <v>https://maps.google.com/maps?q=32.5337283%2C73.4838909&amp;z=17&amp;hl=en</v>
      </c>
      <c r="L95" s="286">
        <f>VLOOKUP($B95,'Mosque Locations'!$A:$E,4,FALSE)
</f>
        <v>32.5337283</v>
      </c>
      <c r="M95" s="286">
        <f>VLOOKUP($B95,'Mosque Locations'!$A:$E,5,false)</f>
        <v>73.4838909</v>
      </c>
      <c r="N95" s="288"/>
      <c r="O95" s="288"/>
      <c r="P95" s="288"/>
      <c r="Q95" s="289" t="str">
        <f>IFERROR(__xludf.DUMMYFUNCTION("IFERROR(
  INDEX(
    FILTER(
      IMPORTRANGE(""1DccNxjBgurEr0ABkI_rBagJT5phB5HaHG5N_mTm_BiA/edit?gid=1382299152#gid=1382299152"",""Form Responses 1!T:T""),
      IMPORTRANGE(""1DccNxjBgurEr0ABkI_rBagJT5phB5HaHG5N_mTm_BiA/edit?gid=1382299152#gid=1382299"&amp;"152"",""Form Responses 1!E:E"")=$B95
    ),
    1
  ),
  ""Not Found""
)"),"https://drive.google.com/open?id=1mWVQ1kFfZHSEw7ijRQ55f1ncF5KkcDHB")</f>
        <v>https://drive.google.com/open?id=1mWVQ1kFfZHSEw7ijRQ55f1ncF5KkcDHB</v>
      </c>
      <c r="R95" s="289" t="str">
        <f>IFERROR(__xludf.DUMMYFUNCTION("IFERROR(
  INDEX(
    FILTER(
      IMPORTRANGE(""1DccNxjBgurEr0ABkI_rBagJT5phB5HaHG5N_mTm_BiA/edit?gid=1382299152#gid=1382299152"",""Form Responses 1!S:S""),
      IMPORTRANGE(""1DccNxjBgurEr0ABkI_rBagJT5phB5HaHG5N_mTm_BiA/edit?gid=1382299152#gid=1382299"&amp;"152"",""Form Responses 1!E:E"")=$B95
    ),
    1
  ),
  ""Not Found""
)"),"https://drive.google.com/open?id=1xK2pdMG5wb9sbsVRtsris_JpLwDvJpXA")</f>
        <v>https://drive.google.com/open?id=1xK2pdMG5wb9sbsVRtsris_JpLwDvJpXA</v>
      </c>
      <c r="S95" s="285"/>
      <c r="T95" s="284" t="str">
        <f>VLOOKUP($B95,'Master Tracker'!$D:$E,2,false)</f>
        <v>Not Found</v>
      </c>
      <c r="U95" s="292" t="str">
        <f>VLOOKUP($B95,'Master Tracker'!$D:$T,4,FALSE)
</f>
        <v>Not Found</v>
      </c>
      <c r="V95" s="284" t="str">
        <f>VLOOKUP($B95,'Master Tracker'!$D:$T,5,false)</f>
        <v>https://drive.google.com/open?id=1EGWT-7Ouqv7eQgPxyi_Vm4wt88RiWNMX, https://drive.google.com/open?id=1ey4769qEKRE2o0NqayHKSgD7XeD9PhQc</v>
      </c>
      <c r="W95" s="291" t="str">
        <f>VLOOKUP($B95,'Master Tracker'!$D:$T,7,false)</f>
        <v>https://drive.google.com/open?id=1J7rFlIeZDqhNdNNuO5KONmDyvKCGXPwP</v>
      </c>
      <c r="X95" s="290" t="str">
        <f>VLOOKUP($B95,'Master Tracker'!$D:$T,8,false)</f>
        <v>https://drive.google.com/open?id=1Iv1tZugaeQC2s01kxFgHEBJhsOoKDqF9</v>
      </c>
      <c r="Y95" s="291" t="str">
        <f>VLOOKUP($B95,'Master Tracker'!$D:$T,10,false)</f>
        <v>https://drive.google.com/open?id=1WgiZ3nwZWy2xExerNxneq2VlilD6WUrQ</v>
      </c>
      <c r="Z95" s="284" t="str">
        <f>VLOOKUP($B95,'Master Tracker'!$D:$T,11,false)</f>
        <v>Not Found</v>
      </c>
      <c r="AA95" s="292" t="str">
        <f>VLOOKUP($B95,'Master Tracker'!$D:$T,13,false)</f>
        <v>Not Found</v>
      </c>
      <c r="AB95" s="284" t="str">
        <f>VLOOKUP($B95,'Master Tracker'!$D:$T,14,false)</f>
        <v>Not Found</v>
      </c>
      <c r="AC95" s="292" t="str">
        <f>VLOOKUP($B95,'Master Tracker'!$D:$T,16,false)</f>
        <v>Not Found</v>
      </c>
      <c r="AD95" s="292" t="str">
        <f>VLOOKUP($B95,'Master Tracker'!$D:$T,17,false)</f>
        <v>Not Found</v>
      </c>
      <c r="AE95" s="292" t="str">
        <f>VLOOKUP($B95,'Master Tracker'!$D:$V,19,false)</f>
        <v>Not Found</v>
      </c>
      <c r="AF95" s="292" t="str">
        <f>IFERROR(__xludf.DUMMYFUNCTION("IFERROR(
  INDEX(
    FILTER(
      'Juma Recording forms'!$G:$G,
      TRIM('Juma Recording forms'!$F:$F) = TRIM($B95),
      'Juma Recording forms'!$AA:$AA = 1
    ),
    1
  ),
  ""Not Found""
)"),"Not Found")</f>
        <v>Not Found</v>
      </c>
      <c r="AG95" s="292">
        <f>IFERROR(__xludf.DUMMYFUNCTION("IFERROR(
  INDEX(
    FILTER(
      'Juma Recording forms'!$G:$G,
      TRIM('Juma Recording forms'!$F:$F) = TRIM($B95),
      'Juma Recording forms'!$AA:$AA = 2
    ),
    1
  ),
  ""Not Found""
)"),75.0)</f>
        <v>75</v>
      </c>
      <c r="AH95" s="292">
        <f>IFERROR(__xludf.DUMMYFUNCTION("IFERROR(
  INDEX(
    FILTER(
      'Juma Recording forms'!$G:$G,
      TRIM('Juma Recording forms'!$F:$F) = TRIM($B95),
      'Juma Recording forms'!$AA:$AA = 3
    ),
    1
  ),
  ""Not Found""
)"),80.0)</f>
        <v>80</v>
      </c>
      <c r="AI95" s="292" t="str">
        <f>IFERROR(__xludf.DUMMYFUNCTION("IFERROR(
  INDEX(
    FILTER(
      'Juma Recording forms'!$G:$G,
      TRIM('Juma Recording forms'!$F:$F) = TRIM($B95),
      'Juma Recording forms'!$AA:$AA = 4
    ),
    1
  ),
  ""Not Found""
)"),"Not Found")</f>
        <v>Not Found</v>
      </c>
      <c r="AJ95" s="292" t="str">
        <f>IFERROR(__xludf.DUMMYFUNCTION("IFERROR(
  INDEX(
    FILTER(
      'Juma Recording forms'!$G:$G,
      TRIM('Juma Recording forms'!$F:$F) = TRIM($B95),
      'Juma Recording forms'!$AA:$AA = 5
    ),
    1
  ),
  ""Not Found""
)"),"Not Found")</f>
        <v>Not Found</v>
      </c>
      <c r="AK95" s="292" t="str">
        <f>IFERROR(__xludf.DUMMYFUNCTION("IFERROR(
  INDEX(
    FILTER(
      'Juma Recording forms'!$G:$G,
      TRIM('Juma Recording forms'!$F:$F) = TRIM($B95),
      'Juma Recording forms'!$AA:$AA = 6
    ),
    1
  ),
  ""Not Found""
)"),"Not Found")</f>
        <v>Not Found</v>
      </c>
      <c r="AL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1!$E:$E"")=$B95) *
        (IMPORTRANGE(""https://docs.google.com/spreadsheets/d/161aHT6vVT3SLneTKD19N5qVWtnj_jIT8CSsOmUVKmaA/ed"&amp;"it?gid=1761053510"",
          ""Haris_Form responses 1!$AQ:$AQ"")=1)
      ),
      1
    ),
    ""0""
  ),
  ""Form not found""
)
"),"Form not found")</f>
        <v>Form not found</v>
      </c>
      <c r="AM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1!$E:$E"")=$B95) *
        (IMPORTRANGE(""https://docs.google.com/spreadsheets/d/161aHT6vVT3SLneTKD19N5qVWtnj_jIT8CSsOmUVKmaA/ed"&amp;"it?gid=1761053510"",
          ""Haris_Form responses 1!$AQ:$AQ"")=2)
      ),
      1
    ),
    ""0""
  ),
  ""Form not found""
)
"),"4")</f>
        <v>4</v>
      </c>
      <c r="AN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1!$E:$E"")=$B95) *
        (IMPORTRANGE(""https://docs.google.com/spreadsheets/d/161aHT6vVT3SLneTKD19N5qVWtnj_jIT8CSsOmUVKmaA/ed"&amp;"it?gid=1761053510"",
          ""Haris_Form responses 1!$AQ:$AQ"")=3)
      ),
      1
    ),
    ""0""
  ),
  ""Form not found""
)
"),"8")</f>
        <v>8</v>
      </c>
      <c r="AO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1!$E:$E"")=$B95) *
        (IMPORTRANGE(""https://docs.google.com/spreadsheets/d/161aHT6vVT3SLneTKD19N5qVWtnj_jIT8CSsOmUVKmaA/ed"&amp;"it?gid=1761053510"",
          ""Haris_Form responses 1!$AQ:$AQ"")=4)
      ),
      1
    ),
    ""0""
  ),
  ""Form not found""
)
"),"Form not found")</f>
        <v>Form not found</v>
      </c>
      <c r="AP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1!$E:$E"")=$B95) *
        (IMPORTRANGE(""https://docs.google.com/spreadsheets/d/161aHT6vVT3SLneTKD19N5qVWtnj_jIT8CSsOmUVKmaA/ed"&amp;"it?gid=1761053510"",
          ""Haris_Form responses 1!$AQ:$AQ"")=5)
      ),
      1
    ),
    ""0""
  ),
  ""Form not found""
)
"),"Form not found")</f>
        <v>Form not found</v>
      </c>
      <c r="AQ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1!$E:$E"")=$B95) *
        (IMPORTRANGE(""https://docs.google.com/spreadsheets/d/161aHT6vVT3SLneTKD19N5qVWtnj_jIT8CSsOmUVKmaA/ed"&amp;"it?gid=1761053510"",
          ""Haris_Form responses 1!$AQ:$AQ"")=6)
      ),
      1
    ),
    ""0""
  ),
  ""Form not found""
)
"),"Form not found")</f>
        <v>Form not found</v>
      </c>
      <c r="AR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1!$E:$E"")=$B95) *
        (IMPORTRANGE(""https://docs.google.com/spreadsheets/d/161aHT6vVT3SLneTKD19N5qVWtnj_jIT8CSsOmUVKmaA/ed"&amp;"it?gid=1761053510"",
          ""Haris_Form responses 1!$AQ:$AQ"")=1)
      ),
      1
    ),
    ""0""
  ),
  ""Form not found""
)
"),"Form not found")</f>
        <v>Form not found</v>
      </c>
      <c r="AS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1!$E:$E"")=$B95) *
        (IMPORTRANGE(""https://docs.google.com/spreadsheets/d/161aHT6vVT3SLneTKD19N5qVWtnj_jIT8CSsOmUVKmaA/ed"&amp;"it?gid=1761053510"",
          ""Haris_Form responses 1!$AQ:$AQ"")=2)
      ),
      1
    ),
    ""0""
  ),
  ""Form not found""
)
"),"4")</f>
        <v>4</v>
      </c>
      <c r="AT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1!$E:$E"")=$B95) *
        (IMPORTRANGE(""https://docs.google.com/spreadsheets/d/161aHT6vVT3SLneTKD19N5qVWtnj_jIT8CSsOmUVKmaA/ed"&amp;"it?gid=1761053510"",
          ""Haris_Form responses 1!$AQ:$AQ"")=3)
      ),
      1
    ),
    ""0""
  ),
  ""Form not found""
)
"),"8")</f>
        <v>8</v>
      </c>
      <c r="AU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1!$E:$E"")=$B95) *
        (IMPORTRANGE(""https://docs.google.com/spreadsheets/d/161aHT6vVT3SLneTKD19N5qVWtnj_jIT8CSsOmUVKmaA/ed"&amp;"it?gid=1761053510"",
          ""Haris_Form responses 1!$AQ:$AQ"")=4)
      ),
      1
    ),
    ""0""
  ),
  ""Form not found""
)
"),"Form not found")</f>
        <v>Form not found</v>
      </c>
      <c r="AV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1!$E:$E"")=$B95) *
        (IMPORTRANGE(""https://docs.google.com/spreadsheets/d/161aHT6vVT3SLneTKD19N5qVWtnj_jIT8CSsOmUVKmaA/ed"&amp;"it?gid=1761053510"",
          ""Haris_Form responses 1!$AQ:$AQ"")=5)
      ),
      1
    ),
    ""0""
  ),
  ""Form not found""
)
"),"Form not found")</f>
        <v>Form not found</v>
      </c>
      <c r="AW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1!$E:$E"")=$B95) *
        (IMPORTRANGE(""https://docs.google.com/spreadsheets/d/161aHT6vVT3SLneTKD19N5qVWtnj_jIT8CSsOmUVKmaA/ed"&amp;"it?gid=1761053510"",
          ""Haris_Form responses 1!$AQ:$AQ"")=6)
      ),
      1
    ),
    ""0""
  ),
  ""Form not found""
)
"),"Form not found")</f>
        <v>Form not found</v>
      </c>
      <c r="AX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1!$E:$E"")=$B95) *
        (IMPORTRANGE(""https://docs.google.com/spreadsheets/d/161aHT6vVT3SLneTKD19N5qVWtnj_jIT8CSsOmUVKmaA/ed"&amp;"it?gid=1761053510"",
          ""Haris_Form responses 1!$AQ:$AQ"")=1)
      ),
      1
    ),
    ""0""
  ),
  ""Form not found""
)
"),"Form not found")</f>
        <v>Form not found</v>
      </c>
      <c r="AY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1!$E:$E"")=$B95) *
        (IMPORTRANGE(""https://docs.google.com/spreadsheets/d/161aHT6vVT3SLneTKD19N5qVWtnj_jIT8CSsOmUVKmaA/ed"&amp;"it?gid=1761053510"",
          ""Haris_Form responses 1!$AQ:$AQ"")=2)
      ),
      1
    ),
    ""0""
  ),
  ""Form not found""
)
"),"1")</f>
        <v>1</v>
      </c>
      <c r="AZ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1!$E:$E"")=$B95) *
        (IMPORTRANGE(""https://docs.google.com/spreadsheets/d/161aHT6vVT3SLneTKD19N5qVWtnj_jIT8CSsOmUVKmaA/ed"&amp;"it?gid=1761053510"",
          ""Haris_Form responses 1!$AQ:$AQ"")=3)
      ),
      1
    ),
    ""0""
  ),
  ""Form not found""
)
"),"0")</f>
        <v>0</v>
      </c>
      <c r="BA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1!$E:$E"")=$B95) *
        (IMPORTRANGE(""https://docs.google.com/spreadsheets/d/161aHT6vVT3SLneTKD19N5qVWtnj_jIT8CSsOmUVKmaA/ed"&amp;"it?gid=1761053510"",
          ""Haris_Form responses 1!$AQ:$AQ"")=4)
      ),
      1
    ),
    ""0""
  ),
  ""Form not found""
)
"),"Form not found")</f>
        <v>Form not found</v>
      </c>
      <c r="BB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1!$E:$E"")=$B95) *
        (IMPORTRANGE(""https://docs.google.com/spreadsheets/d/161aHT6vVT3SLneTKD19N5qVWtnj_jIT8CSsOmUVKmaA/ed"&amp;"it?gid=1761053510"",
          ""Haris_Form responses 1!$AQ:$AQ"")=5)
      ),
      1
    ),
    ""0""
  ),
  ""Form not found""
)
"),"Form not found")</f>
        <v>Form not found</v>
      </c>
      <c r="BC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1!$E:$E"")=$B95) *
        (IMPORTRANGE(""https://docs.google.com/spreadsheets/d/161aHT6vVT3SLneTKD19N5qVWtnj_jIT8CSsOmUVKmaA/ed"&amp;"it?gid=1761053510"",
          ""Haris_Form responses 1!$AQ:$AQ"")=6)
      ),
      1
    ),
    ""0""
  ),
  ""Form not found""
)
"),"Form not found")</f>
        <v>Form not found</v>
      </c>
      <c r="BD95" s="293"/>
    </row>
    <row r="96">
      <c r="A96" s="283" t="str">
        <f>IFERROR(__xludf.DUMMYFUNCTION("VLOOKUP($B96,IMPORTRANGE(""https://docs.google.com/spreadsheets/d/1VNXDITjs75AcgdBSW27oL1VZH31udDprJSsBcE5xlp4/edit?gid=1551188038#gid=1551188038"", ""Sheet9!$B:$E""),2,false)"),"Gujrat")</f>
        <v>Gujrat</v>
      </c>
      <c r="B96" s="283" t="s">
        <v>1954</v>
      </c>
      <c r="C96" s="284" t="str">
        <f>IFERROR(__xludf.DUMMYFUNCTION("VLOOKUP(TRIM($B96), IMPORTRANGE(""https://docs.google.com/spreadsheets/d/1aSOrU4PTpuBZqfitKaH1Rfww6-YOiNCKoBpPl8XBHaw/edit?gid=0#gid=0"", ""sheet3!$B:$C""), 2, FALSE)
"),"Jamia Masjid Mandi Bhaludin")</f>
        <v>Jamia Masjid Mandi Bhaludin</v>
      </c>
      <c r="D96" s="284" t="str">
        <f>IFERROR(__xludf.DUMMYFUNCTION("IFERROR(
  INDEX(
    FILTER(
      IMPORTRANGE(""1aSOrU4PTpuBZqfitKaH1Rfww6-YOiNCKoBpPl8XBHaw/edit?gid=0#gid=0"",""Sheet1!G:G""),
      IMPORTRANGE(""1aSOrU4PTpuBZqfitKaH1Rfww6-YOiNCKoBpPl8XBHaw/edit?gid=0#gid=0"",""Sheet1!C:C"")=$B96
    ),
    1
  ),
 "&amp;" ""Not Found""
)"),"Control")</f>
        <v>Control</v>
      </c>
      <c r="E96" s="284" t="str">
        <f>VLOOKUP(B96,'Juma Recording forms'!A:E,5,false)</f>
        <v>Markzi Jamia Masjid Railway Road Mandi Bahauddin </v>
      </c>
      <c r="F96" s="284" t="str">
        <f>IFERROR(__xludf.DUMMYFUNCTION("IFERROR(
  INDEX(
    FILTER(
      IMPORTRANGE(""1Cxrhp3-_-HS7v9uuqQliiIfrmMP4VaFoDNDWyUFy2J8/edit?gid=0#gid=0"",""Sheet1!Q:Q""),
      IMPORTRANGE(""1Cxrhp3-_-HS7v9uuqQliiIfrmMP4VaFoDNDWyUFy2J8/edit?gid=0#gid=0"",""Sheet1!K:K"")=$B96
    ),
    1
  ),
 "&amp;" ""Not Found""
)"),"Mulana Abdul Majid")</f>
        <v>Mulana Abdul Majid</v>
      </c>
      <c r="G96" s="284">
        <v>1933.0</v>
      </c>
      <c r="H96" s="284"/>
      <c r="I96" s="285"/>
      <c r="J96" s="286">
        <v>2.0</v>
      </c>
      <c r="K96" s="287" t="str">
        <f>VLOOKUP($B96,'Mosque Locations'!$A:$E,3,FALSE)
</f>
        <v>https://maps.google.com/maps?q=32.5864601%2C73.4900294&amp;z=17&amp;hl=en</v>
      </c>
      <c r="L96" s="286">
        <f>VLOOKUP($B96,'Mosque Locations'!$A:$E,4,FALSE)
</f>
        <v>32.5864601</v>
      </c>
      <c r="M96" s="286">
        <f>VLOOKUP($B96,'Mosque Locations'!$A:$E,5,false)</f>
        <v>73.4900294</v>
      </c>
      <c r="N96" s="288"/>
      <c r="O96" s="288"/>
      <c r="P96" s="288"/>
      <c r="Q96" s="294" t="str">
        <f>IFERROR(__xludf.DUMMYFUNCTION("IFERROR(
  INDEX(
    FILTER(
      IMPORTRANGE(""1DccNxjBgurEr0ABkI_rBagJT5phB5HaHG5N_mTm_BiA/edit?gid=1382299152#gid=1382299152"",""Form Responses 1!T:T""),
      IMPORTRANGE(""1DccNxjBgurEr0ABkI_rBagJT5phB5HaHG5N_mTm_BiA/edit?gid=1382299152#gid=1382299"&amp;"152"",""Form Responses 1!E:E"")=$B96
    ),
    1
  ),
  ""Not Found""
)"),"https://drive.google.com/open?id=1yBAs75IR4J8fbY4CQ8-51yvf149fOCD-, https://drive.google.com/open?id=1BK9N1IPOhg52CyF3d51axYbs2skZxYB0")</f>
        <v>https://drive.google.com/open?id=1yBAs75IR4J8fbY4CQ8-51yvf149fOCD-, https://drive.google.com/open?id=1BK9N1IPOhg52CyF3d51axYbs2skZxYB0</v>
      </c>
      <c r="R96" s="289" t="str">
        <f>IFERROR(__xludf.DUMMYFUNCTION("IFERROR(
  INDEX(
    FILTER(
      IMPORTRANGE(""1DccNxjBgurEr0ABkI_rBagJT5phB5HaHG5N_mTm_BiA/edit?gid=1382299152#gid=1382299152"",""Form Responses 1!S:S""),
      IMPORTRANGE(""1DccNxjBgurEr0ABkI_rBagJT5phB5HaHG5N_mTm_BiA/edit?gid=1382299152#gid=1382299"&amp;"152"",""Form Responses 1!E:E"")=$B96
    ),
    1
  ),
  ""Not Found""
)"),"https://drive.google.com/open?id=1WI5vLCQK1r5Mn01yJfUfAWKGBSCA-urO")</f>
        <v>https://drive.google.com/open?id=1WI5vLCQK1r5Mn01yJfUfAWKGBSCA-urO</v>
      </c>
      <c r="S96" s="285"/>
      <c r="T96" s="290" t="str">
        <f>VLOOKUP($B96,'Master Tracker'!$D:$E,2,false)</f>
        <v>https://drive.google.com/open?id=1Bld_IDtCUwyQlJPSC2McoKf-bR1dCGE9</v>
      </c>
      <c r="U96" s="291" t="str">
        <f>VLOOKUP($B96,'Master Tracker'!$D:$T,4,FALSE)
</f>
        <v>https://drive.google.com/open?id=1FqdcSlzs92PvCGWv9jftYxKXb0mZNSP1</v>
      </c>
      <c r="V96" s="284" t="str">
        <f>VLOOKUP($B96,'Master Tracker'!$D:$T,5,false)</f>
        <v>Not Found</v>
      </c>
      <c r="W96" s="292" t="str">
        <f>VLOOKUP($B96,'Master Tracker'!$D:$T,7,false)</f>
        <v>Not Found</v>
      </c>
      <c r="X96" s="290" t="str">
        <f>VLOOKUP($B96,'Master Tracker'!$D:$T,8,false)</f>
        <v>https://drive.google.com/open?id=1c9tj8DU0Pjef7QmIuUwtZtxlHiTS_nzs</v>
      </c>
      <c r="Y96" s="291" t="str">
        <f>VLOOKUP($B96,'Master Tracker'!$D:$T,10,false)</f>
        <v>https://drive.google.com/open?id=12Ge_aya4BlwgN3ydOIRZmf7FvfpFw5Sb</v>
      </c>
      <c r="Z96" s="284" t="str">
        <f>VLOOKUP($B96,'Master Tracker'!$D:$T,11,false)</f>
        <v>Not Found</v>
      </c>
      <c r="AA96" s="292" t="str">
        <f>VLOOKUP($B96,'Master Tracker'!$D:$T,13,false)</f>
        <v>Not Found</v>
      </c>
      <c r="AB96" s="284" t="str">
        <f>VLOOKUP($B96,'Master Tracker'!$D:$T,14,false)</f>
        <v>Not Found</v>
      </c>
      <c r="AC96" s="292" t="str">
        <f>VLOOKUP($B96,'Master Tracker'!$D:$T,16,false)</f>
        <v>Not Found</v>
      </c>
      <c r="AD96" s="292" t="str">
        <f>VLOOKUP($B96,'Master Tracker'!$D:$T,17,false)</f>
        <v>Not Found</v>
      </c>
      <c r="AE96" s="292" t="str">
        <f>VLOOKUP($B96,'Master Tracker'!$D:$V,19,false)</f>
        <v>Not Found</v>
      </c>
      <c r="AF96" s="292">
        <f>IFERROR(__xludf.DUMMYFUNCTION("IFERROR(
  INDEX(
    FILTER(
      'Juma Recording forms'!$G:$G,
      TRIM('Juma Recording forms'!$F:$F) = TRIM($B96),
      'Juma Recording forms'!$AA:$AA = 1
    ),
    1
  ),
  ""Not Found""
)"),600.0)</f>
        <v>600</v>
      </c>
      <c r="AG96" s="292" t="str">
        <f>IFERROR(__xludf.DUMMYFUNCTION("IFERROR(
  INDEX(
    FILTER(
      'Juma Recording forms'!$G:$G,
      TRIM('Juma Recording forms'!$F:$F) = TRIM($B96),
      'Juma Recording forms'!$AA:$AA = 2
    ),
    1
  ),
  ""Not Found""
)"),"Not Found")</f>
        <v>Not Found</v>
      </c>
      <c r="AH96" s="292">
        <f>IFERROR(__xludf.DUMMYFUNCTION("IFERROR(
  INDEX(
    FILTER(
      'Juma Recording forms'!$G:$G,
      TRIM('Juma Recording forms'!$F:$F) = TRIM($B96),
      'Juma Recording forms'!$AA:$AA = 3
    ),
    1
  ),
  ""Not Found""
)"),550.0)</f>
        <v>550</v>
      </c>
      <c r="AI96" s="292" t="str">
        <f>IFERROR(__xludf.DUMMYFUNCTION("IFERROR(
  INDEX(
    FILTER(
      'Juma Recording forms'!$G:$G,
      TRIM('Juma Recording forms'!$F:$F) = TRIM($B96),
      'Juma Recording forms'!$AA:$AA = 4
    ),
    1
  ),
  ""Not Found""
)"),"Not Found")</f>
        <v>Not Found</v>
      </c>
      <c r="AJ96" s="292" t="str">
        <f>IFERROR(__xludf.DUMMYFUNCTION("IFERROR(
  INDEX(
    FILTER(
      'Juma Recording forms'!$G:$G,
      TRIM('Juma Recording forms'!$F:$F) = TRIM($B96),
      'Juma Recording forms'!$AA:$AA = 5
    ),
    1
  ),
  ""Not Found""
)"),"Not Found")</f>
        <v>Not Found</v>
      </c>
      <c r="AK96" s="292"/>
      <c r="AL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1!$E:$E"")=$B96) *
        (IMPORTRANGE(""https://docs.google.com/spreadsheets/d/161aHT6vVT3SLneTKD19N5qVWtnj_jIT8CSsOmUVKmaA/ed"&amp;"it?gid=1761053510"",
          ""Haris_Form responses 1!$AQ:$AQ"")=1)
      ),
      1
    ),
    ""0""
  ),
  ""Form not found""
)
"),"0")</f>
        <v>0</v>
      </c>
      <c r="AM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1!$E:$E"")=$B96) *
        (IMPORTRANGE(""https://docs.google.com/spreadsheets/d/161aHT6vVT3SLneTKD19N5qVWtnj_jIT8CSsOmUVKmaA/ed"&amp;"it?gid=1761053510"",
          ""Haris_Form responses 1!$AQ:$AQ"")=2)
      ),
      1
    ),
    ""0""
  ),
  ""Form not found""
)
"),"Form not found")</f>
        <v>Form not found</v>
      </c>
      <c r="AN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1!$E:$E"")=$B96) *
        (IMPORTRANGE(""https://docs.google.com/spreadsheets/d/161aHT6vVT3SLneTKD19N5qVWtnj_jIT8CSsOmUVKmaA/ed"&amp;"it?gid=1761053510"",
          ""Haris_Form responses 1!$AQ:$AQ"")=3)
      ),
      1
    ),
    ""0""
  ),
  ""Form not found""
)
"),"0")</f>
        <v>0</v>
      </c>
      <c r="AO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1!$E:$E"")=$B96) *
        (IMPORTRANGE(""https://docs.google.com/spreadsheets/d/161aHT6vVT3SLneTKD19N5qVWtnj_jIT8CSsOmUVKmaA/ed"&amp;"it?gid=1761053510"",
          ""Haris_Form responses 1!$AQ:$AQ"")=4)
      ),
      1
    ),
    ""0""
  ),
  ""Form not found""
)
"),"Form not found")</f>
        <v>Form not found</v>
      </c>
      <c r="AP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1!$E:$E"")=$B96) *
        (IMPORTRANGE(""https://docs.google.com/spreadsheets/d/161aHT6vVT3SLneTKD19N5qVWtnj_jIT8CSsOmUVKmaA/ed"&amp;"it?gid=1761053510"",
          ""Haris_Form responses 1!$AQ:$AQ"")=5)
      ),
      1
    ),
    ""0""
  ),
  ""Form not found""
)
"),"Form not found")</f>
        <v>Form not found</v>
      </c>
      <c r="AQ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1!$E:$E"")=$B96) *
        (IMPORTRANGE(""https://docs.google.com/spreadsheets/d/161aHT6vVT3SLneTKD19N5qVWtnj_jIT8CSsOmUVKmaA/ed"&amp;"it?gid=1761053510"",
          ""Haris_Form responses 1!$AQ:$AQ"")=6)
      ),
      1
    ),
    ""0""
  ),
  ""Form not found""
)
"),"Form not found")</f>
        <v>Form not found</v>
      </c>
      <c r="AR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1!$E:$E"")=$B96) *
        (IMPORTRANGE(""https://docs.google.com/spreadsheets/d/161aHT6vVT3SLneTKD19N5qVWtnj_jIT8CSsOmUVKmaA/ed"&amp;"it?gid=1761053510"",
          ""Haris_Form responses 1!$AQ:$AQ"")=1)
      ),
      1
    ),
    ""0""
  ),
  ""Form not found""
)
"),"0")</f>
        <v>0</v>
      </c>
      <c r="AS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1!$E:$E"")=$B96) *
        (IMPORTRANGE(""https://docs.google.com/spreadsheets/d/161aHT6vVT3SLneTKD19N5qVWtnj_jIT8CSsOmUVKmaA/ed"&amp;"it?gid=1761053510"",
          ""Haris_Form responses 1!$AQ:$AQ"")=2)
      ),
      1
    ),
    ""0""
  ),
  ""Form not found""
)
"),"Form not found")</f>
        <v>Form not found</v>
      </c>
      <c r="AT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1!$E:$E"")=$B96) *
        (IMPORTRANGE(""https://docs.google.com/spreadsheets/d/161aHT6vVT3SLneTKD19N5qVWtnj_jIT8CSsOmUVKmaA/ed"&amp;"it?gid=1761053510"",
          ""Haris_Form responses 1!$AQ:$AQ"")=3)
      ),
      1
    ),
    ""0""
  ),
  ""Form not found""
)
"),"0")</f>
        <v>0</v>
      </c>
      <c r="AU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1!$E:$E"")=$B96) *
        (IMPORTRANGE(""https://docs.google.com/spreadsheets/d/161aHT6vVT3SLneTKD19N5qVWtnj_jIT8CSsOmUVKmaA/ed"&amp;"it?gid=1761053510"",
          ""Haris_Form responses 1!$AQ:$AQ"")=4)
      ),
      1
    ),
    ""0""
  ),
  ""Form not found""
)
"),"Form not found")</f>
        <v>Form not found</v>
      </c>
      <c r="AV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1!$E:$E"")=$B96) *
        (IMPORTRANGE(""https://docs.google.com/spreadsheets/d/161aHT6vVT3SLneTKD19N5qVWtnj_jIT8CSsOmUVKmaA/ed"&amp;"it?gid=1761053510"",
          ""Haris_Form responses 1!$AQ:$AQ"")=5)
      ),
      1
    ),
    ""0""
  ),
  ""Form not found""
)
"),"Form not found")</f>
        <v>Form not found</v>
      </c>
      <c r="AW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1!$E:$E"")=$B96) *
        (IMPORTRANGE(""https://docs.google.com/spreadsheets/d/161aHT6vVT3SLneTKD19N5qVWtnj_jIT8CSsOmUVKmaA/ed"&amp;"it?gid=1761053510"",
          ""Haris_Form responses 1!$AQ:$AQ"")=6)
      ),
      1
    ),
    ""0""
  ),
  ""Form not found""
)
"),"Form not found")</f>
        <v>Form not found</v>
      </c>
      <c r="AX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1!$E:$E"")=$B96) *
        (IMPORTRANGE(""https://docs.google.com/spreadsheets/d/161aHT6vVT3SLneTKD19N5qVWtnj_jIT8CSsOmUVKmaA/ed"&amp;"it?gid=1761053510"",
          ""Haris_Form responses 1!$AQ:$AQ"")=1)
      ),
      1
    ),
    ""0""
  ),
  ""Form not found""
)
"),"0")</f>
        <v>0</v>
      </c>
      <c r="AY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1!$E:$E"")=$B96) *
        (IMPORTRANGE(""https://docs.google.com/spreadsheets/d/161aHT6vVT3SLneTKD19N5qVWtnj_jIT8CSsOmUVKmaA/ed"&amp;"it?gid=1761053510"",
          ""Haris_Form responses 1!$AQ:$AQ"")=2)
      ),
      1
    ),
    ""0""
  ),
  ""Form not found""
)
"),"Form not found")</f>
        <v>Form not found</v>
      </c>
      <c r="AZ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1!$E:$E"")=$B96) *
        (IMPORTRANGE(""https://docs.google.com/spreadsheets/d/161aHT6vVT3SLneTKD19N5qVWtnj_jIT8CSsOmUVKmaA/ed"&amp;"it?gid=1761053510"",
          ""Haris_Form responses 1!$AQ:$AQ"")=3)
      ),
      1
    ),
    ""0""
  ),
  ""Form not found""
)
"),"0")</f>
        <v>0</v>
      </c>
      <c r="BA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1!$E:$E"")=$B96) *
        (IMPORTRANGE(""https://docs.google.com/spreadsheets/d/161aHT6vVT3SLneTKD19N5qVWtnj_jIT8CSsOmUVKmaA/ed"&amp;"it?gid=1761053510"",
          ""Haris_Form responses 1!$AQ:$AQ"")=4)
      ),
      1
    ),
    ""0""
  ),
  ""Form not found""
)
"),"Form not found")</f>
        <v>Form not found</v>
      </c>
      <c r="BB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1!$E:$E"")=$B96) *
        (IMPORTRANGE(""https://docs.google.com/spreadsheets/d/161aHT6vVT3SLneTKD19N5qVWtnj_jIT8CSsOmUVKmaA/ed"&amp;"it?gid=1761053510"",
          ""Haris_Form responses 1!$AQ:$AQ"")=5)
      ),
      1
    ),
    ""0""
  ),
  ""Form not found""
)
"),"Form not found")</f>
        <v>Form not found</v>
      </c>
      <c r="BC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1!$E:$E"")=$B96) *
        (IMPORTRANGE(""https://docs.google.com/spreadsheets/d/161aHT6vVT3SLneTKD19N5qVWtnj_jIT8CSsOmUVKmaA/ed"&amp;"it?gid=1761053510"",
          ""Haris_Form responses 1!$AQ:$AQ"")=6)
      ),
      1
    ),
    ""0""
  ),
  ""Form not found""
)
"),"Form not found")</f>
        <v>Form not found</v>
      </c>
      <c r="BD96" s="293"/>
    </row>
    <row r="97">
      <c r="A97" s="283" t="str">
        <f>IFERROR(__xludf.DUMMYFUNCTION("VLOOKUP($B97,IMPORTRANGE(""https://docs.google.com/spreadsheets/d/1VNXDITjs75AcgdBSW27oL1VZH31udDprJSsBcE5xlp4/edit?gid=1551188038#gid=1551188038"", ""Sheet9!$B:$E""),2,false)"),"Gujrat")</f>
        <v>Gujrat</v>
      </c>
      <c r="B97" s="283" t="s">
        <v>1793</v>
      </c>
      <c r="C97" s="284" t="str">
        <f>IFERROR(__xludf.DUMMYFUNCTION("VLOOKUP(TRIM($B97), IMPORTRANGE(""https://docs.google.com/spreadsheets/d/1aSOrU4PTpuBZqfitKaH1Rfww6-YOiNCKoBpPl8XBHaw/edit?gid=0#gid=0"", ""sheet3!$B:$C""), 2, FALSE)
"),"Jamia Masjid Ale Sunnat Main Bazar Malakwaal")</f>
        <v>Jamia Masjid Ale Sunnat Main Bazar Malakwaal</v>
      </c>
      <c r="D97" s="284" t="str">
        <f>IFERROR(__xludf.DUMMYFUNCTION("IFERROR(
  INDEX(
    FILTER(
      IMPORTRANGE(""1aSOrU4PTpuBZqfitKaH1Rfww6-YOiNCKoBpPl8XBHaw/edit?gid=0#gid=0"",""Sheet1!G:G""),
      IMPORTRANGE(""1aSOrU4PTpuBZqfitKaH1Rfww6-YOiNCKoBpPl8XBHaw/edit?gid=0#gid=0"",""Sheet1!C:C"")=$B97
    ),
    1
  ),
 "&amp;" ""Not Found""
)"),"Community Secular Info Share")</f>
        <v>Community Secular Info Share</v>
      </c>
      <c r="E97" s="284" t="str">
        <f>VLOOKUP(B97,'Juma Recording forms'!A:E,5,false)</f>
        <v>Jamia markazi Masjid ahl e sunnat railway Chowk malakwal </v>
      </c>
      <c r="F97" s="284" t="str">
        <f>IFERROR(__xludf.DUMMYFUNCTION("IFERROR(
  INDEX(
    FILTER(
      IMPORTRANGE(""1Cxrhp3-_-HS7v9uuqQliiIfrmMP4VaFoDNDWyUFy2J8/edit?gid=0#gid=0"",""Sheet1!Q:Q""),
      IMPORTRANGE(""1Cxrhp3-_-HS7v9uuqQliiIfrmMP4VaFoDNDWyUFy2J8/edit?gid=0#gid=0"",""Sheet1!K:K"")=$B97
    ),
    1
  ),
 "&amp;" ""Not Found""
)"),"Mulana Muhammad Abrar")</f>
        <v>Mulana Muhammad Abrar</v>
      </c>
      <c r="G97" s="284">
        <v>1995.0</v>
      </c>
      <c r="H97" s="284"/>
      <c r="I97" s="285"/>
      <c r="J97" s="286">
        <v>2.0</v>
      </c>
      <c r="K97" s="287" t="str">
        <f>VLOOKUP($B97,'Mosque Locations'!$A:$E,3,FALSE)
</f>
        <v>https://maps.google.com/maps?q=32.5549029%2C73.2125862&amp;z=17&amp;hl=en</v>
      </c>
      <c r="L97" s="286">
        <f>VLOOKUP($B97,'Mosque Locations'!$A:$E,4,FALSE)
</f>
        <v>32.5549029</v>
      </c>
      <c r="M97" s="286">
        <f>VLOOKUP($B97,'Mosque Locations'!$A:$E,5,false)</f>
        <v>73.2125862</v>
      </c>
      <c r="N97" s="288"/>
      <c r="O97" s="288"/>
      <c r="P97" s="288"/>
      <c r="Q97" s="289" t="str">
        <f>IFERROR(__xludf.DUMMYFUNCTION("IFERROR(
  INDEX(
    FILTER(
      IMPORTRANGE(""1DccNxjBgurEr0ABkI_rBagJT5phB5HaHG5N_mTm_BiA/edit?gid=1382299152#gid=1382299152"",""Form Responses 1!T:T""),
      IMPORTRANGE(""1DccNxjBgurEr0ABkI_rBagJT5phB5HaHG5N_mTm_BiA/edit?gid=1382299152#gid=1382299"&amp;"152"",""Form Responses 1!E:E"")=$B97
    ),
    1
  ),
  ""Not Found""
)"),"https://drive.google.com/open?id=1LobgM7p3DcxAYwr9NHrCgNhDmEq-xSOw")</f>
        <v>https://drive.google.com/open?id=1LobgM7p3DcxAYwr9NHrCgNhDmEq-xSOw</v>
      </c>
      <c r="R97" s="294" t="str">
        <f>IFERROR(__xludf.DUMMYFUNCTION("IFERROR(
  INDEX(
    FILTER(
      IMPORTRANGE(""1DccNxjBgurEr0ABkI_rBagJT5phB5HaHG5N_mTm_BiA/edit?gid=1382299152#gid=1382299152"",""Form Responses 1!S:S""),
      IMPORTRANGE(""1DccNxjBgurEr0ABkI_rBagJT5phB5HaHG5N_mTm_BiA/edit?gid=1382299152#gid=1382299"&amp;"152"",""Form Responses 1!E:E"")=$B97
    ),
    1
  ),
  ""Not Found""
)"),"https://drive.google.com/open?id=1jK2Rcu_apHaUS1seJp2VkQ3Um9wdAU5t, https://drive.google.com/open?id=1OStGkkQ4ePS8iBcsNINjdEW4H390-0Ei")</f>
        <v>https://drive.google.com/open?id=1jK2Rcu_apHaUS1seJp2VkQ3Um9wdAU5t, https://drive.google.com/open?id=1OStGkkQ4ePS8iBcsNINjdEW4H390-0Ei</v>
      </c>
      <c r="S97" s="285"/>
      <c r="T97" s="290" t="str">
        <f>VLOOKUP($B97,'Master Tracker'!$D:$E,2,false)</f>
        <v>https://drive.google.com/open?id=1JbJ3KD3V9HyMJ3yCYYal9i3hgzANb85t</v>
      </c>
      <c r="U97" s="291" t="str">
        <f>VLOOKUP($B97,'Master Tracker'!$D:$T,4,FALSE)
</f>
        <v>https://drive.google.com/open?id=14gSHp0AX_RB5fCKKr00mVV3DgJAIfDPc</v>
      </c>
      <c r="V97" s="290" t="str">
        <f>VLOOKUP($B97,'Master Tracker'!$D:$T,5,false)</f>
        <v>https://drive.google.com/open?id=1sn8p9pv3JpeCkea3DJArg2uEM9A_WclQ</v>
      </c>
      <c r="W97" s="291" t="str">
        <f>VLOOKUP($B97,'Master Tracker'!$D:$T,7,false)</f>
        <v>https://drive.google.com/open?id=1xWDkPuPSe-FmFJvCcyvQC3QauT1Yv4-2</v>
      </c>
      <c r="X97" s="290" t="str">
        <f>VLOOKUP($B97,'Master Tracker'!$D:$T,8,false)</f>
        <v>https://drive.google.com/file/d/1bHEHfupAplEkZuLRiRqLlbg2Q5YSkyhm/view?usp=drive_link</v>
      </c>
      <c r="Y97" s="291" t="str">
        <f>VLOOKUP($B97,'Master Tracker'!$D:$T,10,false)</f>
        <v>https://drive.google.com/open?id=1JzPY_Hw_TO5IkBjBMzcGwqZctZ8dT1RL</v>
      </c>
      <c r="Z97" s="284" t="str">
        <f>VLOOKUP($B97,'Master Tracker'!$D:$T,11,false)</f>
        <v>Not Found</v>
      </c>
      <c r="AA97" s="292" t="str">
        <f>VLOOKUP($B97,'Master Tracker'!$D:$T,13,false)</f>
        <v>Not Found</v>
      </c>
      <c r="AB97" s="284" t="str">
        <f>VLOOKUP($B97,'Master Tracker'!$D:$T,14,false)</f>
        <v>Not Found</v>
      </c>
      <c r="AC97" s="292" t="str">
        <f>VLOOKUP($B97,'Master Tracker'!$D:$T,16,false)</f>
        <v>Not Found</v>
      </c>
      <c r="AD97" s="292" t="str">
        <f>VLOOKUP($B97,'Master Tracker'!$D:$T,17,false)</f>
        <v>Not Found</v>
      </c>
      <c r="AE97" s="292" t="str">
        <f>VLOOKUP($B97,'Master Tracker'!$D:$V,19,false)</f>
        <v>Not Found</v>
      </c>
      <c r="AF97" s="292">
        <f>IFERROR(__xludf.DUMMYFUNCTION("IFERROR(
  INDEX(
    FILTER(
      'Juma Recording forms'!$G:$G,
      TRIM('Juma Recording forms'!$F:$F) = TRIM($B97),
      'Juma Recording forms'!$AA:$AA = 1
    ),
    1
  ),
  ""Not Found""
)"),700.0)</f>
        <v>700</v>
      </c>
      <c r="AG97" s="292">
        <f>IFERROR(__xludf.DUMMYFUNCTION("IFERROR(
  INDEX(
    FILTER(
      'Juma Recording forms'!$G:$G,
      TRIM('Juma Recording forms'!$F:$F) = TRIM($B97),
      'Juma Recording forms'!$AA:$AA = 2
    ),
    1
  ),
  ""Not Found""
)"),700.0)</f>
        <v>700</v>
      </c>
      <c r="AH97" s="292">
        <f>IFERROR(__xludf.DUMMYFUNCTION("IFERROR(
  INDEX(
    FILTER(
      'Juma Recording forms'!$G:$G,
      TRIM('Juma Recording forms'!$F:$F) = TRIM($B97),
      'Juma Recording forms'!$AA:$AA = 3
    ),
    1
  ),
  ""Not Found""
)"),685.0)</f>
        <v>685</v>
      </c>
      <c r="AI97" s="292" t="str">
        <f>IFERROR(__xludf.DUMMYFUNCTION("IFERROR(
  INDEX(
    FILTER(
      'Juma Recording forms'!$G:$G,
      TRIM('Juma Recording forms'!$F:$F) = TRIM($B97),
      'Juma Recording forms'!$AA:$AA = 4
    ),
    1
  ),
  ""Not Found""
)"),"Not Found")</f>
        <v>Not Found</v>
      </c>
      <c r="AJ97" s="292" t="str">
        <f>IFERROR(__xludf.DUMMYFUNCTION("IFERROR(
  INDEX(
    FILTER(
      'Juma Recording forms'!$G:$G,
      TRIM('Juma Recording forms'!$F:$F) = TRIM($B97),
      'Juma Recording forms'!$AA:$AA = 5
    ),
    1
  ),
  ""Not Found""
)"),"Not Found")</f>
        <v>Not Found</v>
      </c>
      <c r="AK97" s="292" t="str">
        <f>IFERROR(__xludf.DUMMYFUNCTION("IFERROR(
  INDEX(
    FILTER(
      'Juma Recording forms'!$G:$G,
      TRIM('Juma Recording forms'!$F:$F) = TRIM($B97),
      'Juma Recording forms'!$AA:$AA = 6
    ),
    1
  ),
  ""Not Found""
)"),"Not Found")</f>
        <v>Not Found</v>
      </c>
      <c r="AL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1!$E:$E"")=$B97) *
        (IMPORTRANGE(""https://docs.google.com/spreadsheets/d/161aHT6vVT3SLneTKD19N5qVWtnj_jIT8CSsOmUVKmaA/ed"&amp;"it?gid=1761053510"",
          ""Haris_Form responses 1!$AQ:$AQ"")=1)
      ),
      1
    ),
    ""0""
  ),
  ""Form not found""
)
"),"10")</f>
        <v>10</v>
      </c>
      <c r="AM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1!$E:$E"")=$B97) *
        (IMPORTRANGE(""https://docs.google.com/spreadsheets/d/161aHT6vVT3SLneTKD19N5qVWtnj_jIT8CSsOmUVKmaA/ed"&amp;"it?gid=1761053510"",
          ""Haris_Form responses 1!$AQ:$AQ"")=2)
      ),
      1
    ),
    ""0""
  ),
  ""Form not found""
)
"),"10")</f>
        <v>10</v>
      </c>
      <c r="AN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1!$E:$E"")=$B97) *
        (IMPORTRANGE(""https://docs.google.com/spreadsheets/d/161aHT6vVT3SLneTKD19N5qVWtnj_jIT8CSsOmUVKmaA/ed"&amp;"it?gid=1761053510"",
          ""Haris_Form responses 1!$AQ:$AQ"")=3)
      ),
      1
    ),
    ""0""
  ),
  ""Form not found""
)
"),"0")</f>
        <v>0</v>
      </c>
      <c r="AO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1!$E:$E"")=$B97) *
        (IMPORTRANGE(""https://docs.google.com/spreadsheets/d/161aHT6vVT3SLneTKD19N5qVWtnj_jIT8CSsOmUVKmaA/ed"&amp;"it?gid=1761053510"",
          ""Haris_Form responses 1!$AQ:$AQ"")=4)
      ),
      1
    ),
    ""0""
  ),
  ""Form not found""
)
"),"Form not found")</f>
        <v>Form not found</v>
      </c>
      <c r="AP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1!$E:$E"")=$B97) *
        (IMPORTRANGE(""https://docs.google.com/spreadsheets/d/161aHT6vVT3SLneTKD19N5qVWtnj_jIT8CSsOmUVKmaA/ed"&amp;"it?gid=1761053510"",
          ""Haris_Form responses 1!$AQ:$AQ"")=5)
      ),
      1
    ),
    ""0""
  ),
  ""Form not found""
)
"),"Form not found")</f>
        <v>Form not found</v>
      </c>
      <c r="AQ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1!$E:$E"")=$B97) *
        (IMPORTRANGE(""https://docs.google.com/spreadsheets/d/161aHT6vVT3SLneTKD19N5qVWtnj_jIT8CSsOmUVKmaA/ed"&amp;"it?gid=1761053510"",
          ""Haris_Form responses 1!$AQ:$AQ"")=6)
      ),
      1
    ),
    ""0""
  ),
  ""Form not found""
)
"),"Form not found")</f>
        <v>Form not found</v>
      </c>
      <c r="AR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1!$E:$E"")=$B97) *
        (IMPORTRANGE(""https://docs.google.com/spreadsheets/d/161aHT6vVT3SLneTKD19N5qVWtnj_jIT8CSsOmUVKmaA/ed"&amp;"it?gid=1761053510"",
          ""Haris_Form responses 1!$AQ:$AQ"")=1)
      ),
      1
    ),
    ""0""
  ),
  ""Form not found""
)
"),"10")</f>
        <v>10</v>
      </c>
      <c r="AS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1!$E:$E"")=$B97) *
        (IMPORTRANGE(""https://docs.google.com/spreadsheets/d/161aHT6vVT3SLneTKD19N5qVWtnj_jIT8CSsOmUVKmaA/ed"&amp;"it?gid=1761053510"",
          ""Haris_Form responses 1!$AQ:$AQ"")=2)
      ),
      1
    ),
    ""0""
  ),
  ""Form not found""
)
"),"10")</f>
        <v>10</v>
      </c>
      <c r="AT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1!$E:$E"")=$B97) *
        (IMPORTRANGE(""https://docs.google.com/spreadsheets/d/161aHT6vVT3SLneTKD19N5qVWtnj_jIT8CSsOmUVKmaA/ed"&amp;"it?gid=1761053510"",
          ""Haris_Form responses 1!$AQ:$AQ"")=3)
      ),
      1
    ),
    ""0""
  ),
  ""Form not found""
)
"),"0")</f>
        <v>0</v>
      </c>
      <c r="AU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1!$E:$E"")=$B97) *
        (IMPORTRANGE(""https://docs.google.com/spreadsheets/d/161aHT6vVT3SLneTKD19N5qVWtnj_jIT8CSsOmUVKmaA/ed"&amp;"it?gid=1761053510"",
          ""Haris_Form responses 1!$AQ:$AQ"")=4)
      ),
      1
    ),
    ""0""
  ),
  ""Form not found""
)
"),"Form not found")</f>
        <v>Form not found</v>
      </c>
      <c r="AV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1!$E:$E"")=$B97) *
        (IMPORTRANGE(""https://docs.google.com/spreadsheets/d/161aHT6vVT3SLneTKD19N5qVWtnj_jIT8CSsOmUVKmaA/ed"&amp;"it?gid=1761053510"",
          ""Haris_Form responses 1!$AQ:$AQ"")=5)
      ),
      1
    ),
    ""0""
  ),
  ""Form not found""
)
"),"Form not found")</f>
        <v>Form not found</v>
      </c>
      <c r="AW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1!$E:$E"")=$B97) *
        (IMPORTRANGE(""https://docs.google.com/spreadsheets/d/161aHT6vVT3SLneTKD19N5qVWtnj_jIT8CSsOmUVKmaA/ed"&amp;"it?gid=1761053510"",
          ""Haris_Form responses 1!$AQ:$AQ"")=6)
      ),
      1
    ),
    ""0""
  ),
  ""Form not found""
)
"),"Form not found")</f>
        <v>Form not found</v>
      </c>
      <c r="AX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1!$E:$E"")=$B97) *
        (IMPORTRANGE(""https://docs.google.com/spreadsheets/d/161aHT6vVT3SLneTKD19N5qVWtnj_jIT8CSsOmUVKmaA/ed"&amp;"it?gid=1761053510"",
          ""Haris_Form responses 1!$AQ:$AQ"")=1)
      ),
      1
    ),
    ""0""
  ),
  ""Form not found""
)
"),"0")</f>
        <v>0</v>
      </c>
      <c r="AY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1!$E:$E"")=$B97) *
        (IMPORTRANGE(""https://docs.google.com/spreadsheets/d/161aHT6vVT3SLneTKD19N5qVWtnj_jIT8CSsOmUVKmaA/ed"&amp;"it?gid=1761053510"",
          ""Haris_Form responses 1!$AQ:$AQ"")=2)
      ),
      1
    ),
    ""0""
  ),
  ""Form not found""
)
"),"0")</f>
        <v>0</v>
      </c>
      <c r="AZ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1!$E:$E"")=$B97) *
        (IMPORTRANGE(""https://docs.google.com/spreadsheets/d/161aHT6vVT3SLneTKD19N5qVWtnj_jIT8CSsOmUVKmaA/ed"&amp;"it?gid=1761053510"",
          ""Haris_Form responses 1!$AQ:$AQ"")=3)
      ),
      1
    ),
    ""0""
  ),
  ""Form not found""
)
"),"0")</f>
        <v>0</v>
      </c>
      <c r="BA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1!$E:$E"")=$B97) *
        (IMPORTRANGE(""https://docs.google.com/spreadsheets/d/161aHT6vVT3SLneTKD19N5qVWtnj_jIT8CSsOmUVKmaA/ed"&amp;"it?gid=1761053510"",
          ""Haris_Form responses 1!$AQ:$AQ"")=4)
      ),
      1
    ),
    ""0""
  ),
  ""Form not found""
)
"),"Form not found")</f>
        <v>Form not found</v>
      </c>
      <c r="BB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1!$E:$E"")=$B97) *
        (IMPORTRANGE(""https://docs.google.com/spreadsheets/d/161aHT6vVT3SLneTKD19N5qVWtnj_jIT8CSsOmUVKmaA/ed"&amp;"it?gid=1761053510"",
          ""Haris_Form responses 1!$AQ:$AQ"")=5)
      ),
      1
    ),
    ""0""
  ),
  ""Form not found""
)
"),"Form not found")</f>
        <v>Form not found</v>
      </c>
      <c r="BC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1!$E:$E"")=$B97) *
        (IMPORTRANGE(""https://docs.google.com/spreadsheets/d/161aHT6vVT3SLneTKD19N5qVWtnj_jIT8CSsOmUVKmaA/ed"&amp;"it?gid=1761053510"",
          ""Haris_Form responses 1!$AQ:$AQ"")=6)
      ),
      1
    ),
    ""0""
  ),
  ""Form not found""
)
"),"Form not found")</f>
        <v>Form not found</v>
      </c>
      <c r="BD97" s="293"/>
    </row>
    <row r="98">
      <c r="A98" s="283" t="str">
        <f>IFERROR(__xludf.DUMMYFUNCTION("VLOOKUP($B98,IMPORTRANGE(""https://docs.google.com/spreadsheets/d/1VNXDITjs75AcgdBSW27oL1VZH31udDprJSsBcE5xlp4/edit?gid=1551188038#gid=1551188038"", ""Sheet9!$B:$E""),2,false)"),"Saikot")</f>
        <v>Saikot</v>
      </c>
      <c r="B98" s="283" t="s">
        <v>4557</v>
      </c>
      <c r="C98" s="284" t="str">
        <f>IFERROR(__xludf.DUMMYFUNCTION("VLOOKUP(TRIM($B98), IMPORTRANGE(""https://docs.google.com/spreadsheets/d/1aSOrU4PTpuBZqfitKaH1Rfww6-YOiNCKoBpPl8XBHaw/edit?gid=0#gid=0"", ""sheet3!$B:$C""), 2, FALSE)
"),"Jamia Masjid Darbar Eman Ali Alhaq Sailkot")</f>
        <v>Jamia Masjid Darbar Eman Ali Alhaq Sailkot</v>
      </c>
      <c r="D98" s="284" t="str">
        <f>IFERROR(__xludf.DUMMYFUNCTION("IFERROR(
  INDEX(
    FILTER(
      IMPORTRANGE(""1aSOrU4PTpuBZqfitKaH1Rfww6-YOiNCKoBpPl8XBHaw/edit?gid=0#gid=0"",""Sheet1!G:G""),
      IMPORTRANGE(""1aSOrU4PTpuBZqfitKaH1Rfww6-YOiNCKoBpPl8XBHaw/edit?gid=0#gid=0"",""Sheet1!C:C"")=$B98
    ),
    1
  ),
 "&amp;" ""Not Found""
)"),"Control")</f>
        <v>Control</v>
      </c>
      <c r="E98" s="284" t="str">
        <f>VLOOKUP(B98,'Juma Recording forms'!A:E,5,false)</f>
        <v>Jamia Masjid Emam Ali Alhaq Sialkot </v>
      </c>
      <c r="F98" s="284" t="str">
        <f>IFERROR(__xludf.DUMMYFUNCTION("IFERROR(
  INDEX(
    FILTER(
      IMPORTRANGE(""1Cxrhp3-_-HS7v9uuqQliiIfrmMP4VaFoDNDWyUFy2J8/edit?gid=0#gid=0"",""Sheet1!Q:Q""),
      IMPORTRANGE(""1Cxrhp3-_-HS7v9uuqQliiIfrmMP4VaFoDNDWyUFy2J8/edit?gid=0#gid=0"",""Sheet1!K:K"")=$B98
    ),
    1
  ),
 "&amp;" ""Not Found""
)"),"Not Found")</f>
        <v>Not Found</v>
      </c>
      <c r="G98" s="284"/>
      <c r="H98" s="284"/>
      <c r="I98" s="285"/>
      <c r="J98" s="286">
        <v>2.0</v>
      </c>
      <c r="K98" s="287" t="str">
        <f>VLOOKUP($B98,'Mosque Locations'!$A:$E,3,FALSE)
</f>
        <v>https://maps.google.com/maps?q=32.4882583%2C74.5383817&amp;z=17&amp;hl=en</v>
      </c>
      <c r="L98" s="286">
        <f>VLOOKUP($B98,'Mosque Locations'!$A:$E,4,FALSE)
</f>
        <v>32.4882583</v>
      </c>
      <c r="M98" s="286">
        <f>VLOOKUP($B98,'Mosque Locations'!$A:$E,5,false)</f>
        <v>74.5383817</v>
      </c>
      <c r="N98" s="288"/>
      <c r="O98" s="288"/>
      <c r="P98" s="288"/>
      <c r="Q98" s="289" t="str">
        <f>IFERROR(__xludf.DUMMYFUNCTION("IFERROR(
  INDEX(
    FILTER(
      IMPORTRANGE(""1DccNxjBgurEr0ABkI_rBagJT5phB5HaHG5N_mTm_BiA/edit?gid=1382299152#gid=1382299152"",""Form Responses 1!T:T""),
      IMPORTRANGE(""1DccNxjBgurEr0ABkI_rBagJT5phB5HaHG5N_mTm_BiA/edit?gid=1382299152#gid=1382299"&amp;"152"",""Form Responses 1!E:E"")=$B98
    ),
    1
  ),
  ""Not Found""
)"),"https://drive.google.com/open?id=1ur8FWGCmspeLZOgHtgka3VfOLyuWmbuw")</f>
        <v>https://drive.google.com/open?id=1ur8FWGCmspeLZOgHtgka3VfOLyuWmbuw</v>
      </c>
      <c r="R98" s="289" t="str">
        <f>IFERROR(__xludf.DUMMYFUNCTION("IFERROR(
  INDEX(
    FILTER(
      IMPORTRANGE(""1DccNxjBgurEr0ABkI_rBagJT5phB5HaHG5N_mTm_BiA/edit?gid=1382299152#gid=1382299152"",""Form Responses 1!S:S""),
      IMPORTRANGE(""1DccNxjBgurEr0ABkI_rBagJT5phB5HaHG5N_mTm_BiA/edit?gid=1382299152#gid=1382299"&amp;"152"",""Form Responses 1!E:E"")=$B98
    ),
    1
  ),
  ""Not Found""
)"),"https://drive.google.com/open?id=15s7JlXhj8Q3FTQPlaGi701INPxP1Dngq")</f>
        <v>https://drive.google.com/open?id=15s7JlXhj8Q3FTQPlaGi701INPxP1Dngq</v>
      </c>
      <c r="S98" s="285"/>
      <c r="T98" s="290" t="str">
        <f>VLOOKUP($B98,'Master Tracker'!$D:$E,2,false)</f>
        <v>https://drive.google.com/open?id=1dKJwOx7CbMO34q_FKAkyVpBjnKvFQXZi</v>
      </c>
      <c r="U98" s="291" t="str">
        <f>VLOOKUP($B98,'Master Tracker'!$D:$T,4,FALSE)
</f>
        <v>https://drive.google.com/open?id=1_32s0VOuZM0m8SOI5Z7l7mjV1TLH2jOb</v>
      </c>
      <c r="V98" s="284" t="str">
        <f>VLOOKUP($B98,'Master Tracker'!$D:$T,5,false)</f>
        <v>Not Found</v>
      </c>
      <c r="W98" s="292" t="str">
        <f>VLOOKUP($B98,'Master Tracker'!$D:$T,7,false)</f>
        <v>Not Found</v>
      </c>
      <c r="X98" s="290" t="str">
        <f>VLOOKUP($B98,'Master Tracker'!$D:$T,8,false)</f>
        <v>https://drive.google.com/open?id=1rodmpfrD799QmYvkot0IekWk297TQf8O</v>
      </c>
      <c r="Y98" s="291" t="str">
        <f>VLOOKUP($B98,'Master Tracker'!$D:$T,10,false)</f>
        <v>https://drive.google.com/open?id=18Oh-w4Stp1yKa-C1i3xX7UPyZACVD42T</v>
      </c>
      <c r="Z98" s="284" t="str">
        <f>VLOOKUP($B98,'Master Tracker'!$D:$T,11,false)</f>
        <v>Not Found</v>
      </c>
      <c r="AA98" s="292" t="str">
        <f>VLOOKUP($B98,'Master Tracker'!$D:$T,13,false)</f>
        <v>Not Found</v>
      </c>
      <c r="AB98" s="284" t="str">
        <f>VLOOKUP($B98,'Master Tracker'!$D:$T,14,false)</f>
        <v>Not Found</v>
      </c>
      <c r="AC98" s="292" t="str">
        <f>VLOOKUP($B98,'Master Tracker'!$D:$T,16,false)</f>
        <v>Not Found</v>
      </c>
      <c r="AD98" s="292" t="str">
        <f>VLOOKUP($B98,'Master Tracker'!$D:$T,17,false)</f>
        <v>Not Found</v>
      </c>
      <c r="AE98" s="292" t="str">
        <f>VLOOKUP($B98,'Master Tracker'!$D:$V,19,false)</f>
        <v>Not Found</v>
      </c>
      <c r="AF98" s="292">
        <f>IFERROR(__xludf.DUMMYFUNCTION("IFERROR(
  INDEX(
    FILTER(
      'Juma Recording forms'!$G:$G,
      TRIM('Juma Recording forms'!$F:$F) = TRIM($B98),
      'Juma Recording forms'!$AA:$AA = 1
    ),
    1
  ),
  ""Not Found""
)"),250.0)</f>
        <v>250</v>
      </c>
      <c r="AG98" s="292" t="str">
        <f>IFERROR(__xludf.DUMMYFUNCTION("IFERROR(
  INDEX(
    FILTER(
      'Juma Recording forms'!$G:$G,
      TRIM('Juma Recording forms'!$F:$F) = TRIM($B98),
      'Juma Recording forms'!$AA:$AA = 2
    ),
    1
  ),
  ""Not Found""
)"),"Not Found")</f>
        <v>Not Found</v>
      </c>
      <c r="AH98" s="292">
        <f>IFERROR(__xludf.DUMMYFUNCTION("IFERROR(
  INDEX(
    FILTER(
      'Juma Recording forms'!$G:$G,
      TRIM('Juma Recording forms'!$F:$F) = TRIM($B98),
      'Juma Recording forms'!$AA:$AA = 3
    ),
    1
  ),
  ""Not Found""
)"),270.0)</f>
        <v>270</v>
      </c>
      <c r="AI98" s="292" t="str">
        <f>IFERROR(__xludf.DUMMYFUNCTION("IFERROR(
  INDEX(
    FILTER(
      'Juma Recording forms'!$G:$G,
      TRIM('Juma Recording forms'!$F:$F) = TRIM($B98),
      'Juma Recording forms'!$AA:$AA = 4
    ),
    1
  ),
  ""Not Found""
)"),"Not Found")</f>
        <v>Not Found</v>
      </c>
      <c r="AJ98" s="292" t="str">
        <f>IFERROR(__xludf.DUMMYFUNCTION("IFERROR(
  INDEX(
    FILTER(
      'Juma Recording forms'!$G:$G,
      TRIM('Juma Recording forms'!$F:$F) = TRIM($B98),
      'Juma Recording forms'!$AA:$AA = 5
    ),
    1
  ),
  ""Not Found""
)"),"Not Found")</f>
        <v>Not Found</v>
      </c>
      <c r="AK98" s="292"/>
      <c r="AL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1!$E:$E"")=$B98) *
        (IMPORTRANGE(""https://docs.google.com/spreadsheets/d/161aHT6vVT3SLneTKD19N5qVWtnj_jIT8CSsOmUVKmaA/ed"&amp;"it?gid=1761053510"",
          ""Haris_Form responses 1!$AQ:$AQ"")=1)
      ),
      1
    ),
    ""0""
  ),
  ""Form not found""
)
"),"0")</f>
        <v>0</v>
      </c>
      <c r="AM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1!$E:$E"")=$B98) *
        (IMPORTRANGE(""https://docs.google.com/spreadsheets/d/161aHT6vVT3SLneTKD19N5qVWtnj_jIT8CSsOmUVKmaA/ed"&amp;"it?gid=1761053510"",
          ""Haris_Form responses 1!$AQ:$AQ"")=2)
      ),
      1
    ),
    ""0""
  ),
  ""Form not found""
)
"),"Form not found")</f>
        <v>Form not found</v>
      </c>
      <c r="AN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1!$E:$E"")=$B98) *
        (IMPORTRANGE(""https://docs.google.com/spreadsheets/d/161aHT6vVT3SLneTKD19N5qVWtnj_jIT8CSsOmUVKmaA/ed"&amp;"it?gid=1761053510"",
          ""Haris_Form responses 1!$AQ:$AQ"")=3)
      ),
      1
    ),
    ""0""
  ),
  ""Form not found""
)
"),"0")</f>
        <v>0</v>
      </c>
      <c r="AO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1!$E:$E"")=$B98) *
        (IMPORTRANGE(""https://docs.google.com/spreadsheets/d/161aHT6vVT3SLneTKD19N5qVWtnj_jIT8CSsOmUVKmaA/ed"&amp;"it?gid=1761053510"",
          ""Haris_Form responses 1!$AQ:$AQ"")=4)
      ),
      1
    ),
    ""0""
  ),
  ""Form not found""
)
"),"Form not found")</f>
        <v>Form not found</v>
      </c>
      <c r="AP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1!$E:$E"")=$B98) *
        (IMPORTRANGE(""https://docs.google.com/spreadsheets/d/161aHT6vVT3SLneTKD19N5qVWtnj_jIT8CSsOmUVKmaA/ed"&amp;"it?gid=1761053510"",
          ""Haris_Form responses 1!$AQ:$AQ"")=5)
      ),
      1
    ),
    ""0""
  ),
  ""Form not found""
)
"),"Form not found")</f>
        <v>Form not found</v>
      </c>
      <c r="AQ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1!$E:$E"")=$B98) *
        (IMPORTRANGE(""https://docs.google.com/spreadsheets/d/161aHT6vVT3SLneTKD19N5qVWtnj_jIT8CSsOmUVKmaA/ed"&amp;"it?gid=1761053510"",
          ""Haris_Form responses 1!$AQ:$AQ"")=6)
      ),
      1
    ),
    ""0""
  ),
  ""Form not found""
)
"),"Form not found")</f>
        <v>Form not found</v>
      </c>
      <c r="AR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1!$E:$E"")=$B98) *
        (IMPORTRANGE(""https://docs.google.com/spreadsheets/d/161aHT6vVT3SLneTKD19N5qVWtnj_jIT8CSsOmUVKmaA/ed"&amp;"it?gid=1761053510"",
          ""Haris_Form responses 1!$AQ:$AQ"")=1)
      ),
      1
    ),
    ""0""
  ),
  ""Form not found""
)
"),"0")</f>
        <v>0</v>
      </c>
      <c r="AS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1!$E:$E"")=$B98) *
        (IMPORTRANGE(""https://docs.google.com/spreadsheets/d/161aHT6vVT3SLneTKD19N5qVWtnj_jIT8CSsOmUVKmaA/ed"&amp;"it?gid=1761053510"",
          ""Haris_Form responses 1!$AQ:$AQ"")=2)
      ),
      1
    ),
    ""0""
  ),
  ""Form not found""
)
"),"Form not found")</f>
        <v>Form not found</v>
      </c>
      <c r="AT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1!$E:$E"")=$B98) *
        (IMPORTRANGE(""https://docs.google.com/spreadsheets/d/161aHT6vVT3SLneTKD19N5qVWtnj_jIT8CSsOmUVKmaA/ed"&amp;"it?gid=1761053510"",
          ""Haris_Form responses 1!$AQ:$AQ"")=3)
      ),
      1
    ),
    ""0""
  ),
  ""Form not found""
)
"),"0")</f>
        <v>0</v>
      </c>
      <c r="AU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1!$E:$E"")=$B98) *
        (IMPORTRANGE(""https://docs.google.com/spreadsheets/d/161aHT6vVT3SLneTKD19N5qVWtnj_jIT8CSsOmUVKmaA/ed"&amp;"it?gid=1761053510"",
          ""Haris_Form responses 1!$AQ:$AQ"")=4)
      ),
      1
    ),
    ""0""
  ),
  ""Form not found""
)
"),"Form not found")</f>
        <v>Form not found</v>
      </c>
      <c r="AV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1!$E:$E"")=$B98) *
        (IMPORTRANGE(""https://docs.google.com/spreadsheets/d/161aHT6vVT3SLneTKD19N5qVWtnj_jIT8CSsOmUVKmaA/ed"&amp;"it?gid=1761053510"",
          ""Haris_Form responses 1!$AQ:$AQ"")=5)
      ),
      1
    ),
    ""0""
  ),
  ""Form not found""
)
"),"Form not found")</f>
        <v>Form not found</v>
      </c>
      <c r="AW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1!$E:$E"")=$B98) *
        (IMPORTRANGE(""https://docs.google.com/spreadsheets/d/161aHT6vVT3SLneTKD19N5qVWtnj_jIT8CSsOmUVKmaA/ed"&amp;"it?gid=1761053510"",
          ""Haris_Form responses 1!$AQ:$AQ"")=6)
      ),
      1
    ),
    ""0""
  ),
  ""Form not found""
)
"),"Form not found")</f>
        <v>Form not found</v>
      </c>
      <c r="AX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1!$E:$E"")=$B98) *
        (IMPORTRANGE(""https://docs.google.com/spreadsheets/d/161aHT6vVT3SLneTKD19N5qVWtnj_jIT8CSsOmUVKmaA/ed"&amp;"it?gid=1761053510"",
          ""Haris_Form responses 1!$AQ:$AQ"")=1)
      ),
      1
    ),
    ""0""
  ),
  ""Form not found""
)
"),"0")</f>
        <v>0</v>
      </c>
      <c r="AY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1!$E:$E"")=$B98) *
        (IMPORTRANGE(""https://docs.google.com/spreadsheets/d/161aHT6vVT3SLneTKD19N5qVWtnj_jIT8CSsOmUVKmaA/ed"&amp;"it?gid=1761053510"",
          ""Haris_Form responses 1!$AQ:$AQ"")=2)
      ),
      1
    ),
    ""0""
  ),
  ""Form not found""
)
"),"Form not found")</f>
        <v>Form not found</v>
      </c>
      <c r="AZ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1!$E:$E"")=$B98) *
        (IMPORTRANGE(""https://docs.google.com/spreadsheets/d/161aHT6vVT3SLneTKD19N5qVWtnj_jIT8CSsOmUVKmaA/ed"&amp;"it?gid=1761053510"",
          ""Haris_Form responses 1!$AQ:$AQ"")=3)
      ),
      1
    ),
    ""0""
  ),
  ""Form not found""
)
"),"0")</f>
        <v>0</v>
      </c>
      <c r="BA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1!$E:$E"")=$B98) *
        (IMPORTRANGE(""https://docs.google.com/spreadsheets/d/161aHT6vVT3SLneTKD19N5qVWtnj_jIT8CSsOmUVKmaA/ed"&amp;"it?gid=1761053510"",
          ""Haris_Form responses 1!$AQ:$AQ"")=4)
      ),
      1
    ),
    ""0""
  ),
  ""Form not found""
)
"),"Form not found")</f>
        <v>Form not found</v>
      </c>
      <c r="BB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1!$E:$E"")=$B98) *
        (IMPORTRANGE(""https://docs.google.com/spreadsheets/d/161aHT6vVT3SLneTKD19N5qVWtnj_jIT8CSsOmUVKmaA/ed"&amp;"it?gid=1761053510"",
          ""Haris_Form responses 1!$AQ:$AQ"")=5)
      ),
      1
    ),
    ""0""
  ),
  ""Form not found""
)
"),"Form not found")</f>
        <v>Form not found</v>
      </c>
      <c r="BC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1!$E:$E"")=$B98) *
        (IMPORTRANGE(""https://docs.google.com/spreadsheets/d/161aHT6vVT3SLneTKD19N5qVWtnj_jIT8CSsOmUVKmaA/ed"&amp;"it?gid=1761053510"",
          ""Haris_Form responses 1!$AQ:$AQ"")=6)
      ),
      1
    ),
    ""0""
  ),
  ""Form not found""
)
"),"Form not found")</f>
        <v>Form not found</v>
      </c>
      <c r="BD98" s="293"/>
    </row>
    <row r="99">
      <c r="A99" s="283" t="str">
        <f>IFERROR(__xludf.DUMMYFUNCTION("VLOOKUP($B99,IMPORTRANGE(""https://docs.google.com/spreadsheets/d/1VNXDITjs75AcgdBSW27oL1VZH31udDprJSsBcE5xlp4/edit?gid=1551188038#gid=1551188038"", ""Sheet9!$B:$E""),2,false)"),"Saikot")</f>
        <v>Saikot</v>
      </c>
      <c r="B99" s="283" t="s">
        <v>4559</v>
      </c>
      <c r="C99" s="284" t="str">
        <f>IFERROR(__xludf.DUMMYFUNCTION("VLOOKUP(TRIM($B99), IMPORTRANGE(""https://docs.google.com/spreadsheets/d/1aSOrU4PTpuBZqfitKaH1Rfww6-YOiNCKoBpPl8XBHaw/edit?gid=0#gid=0"", ""sheet3!$B:$C""), 2, FALSE)
"),"Jamia Masjid Darbar Chila Ga Kangna Peera Hamal Pura")</f>
        <v>Jamia Masjid Darbar Chila Ga Kangna Peera Hamal Pura</v>
      </c>
      <c r="D99" s="284" t="str">
        <f>IFERROR(__xludf.DUMMYFUNCTION("IFERROR(
  INDEX(
    FILTER(
      IMPORTRANGE(""1aSOrU4PTpuBZqfitKaH1Rfww6-YOiNCKoBpPl8XBHaw/edit?gid=0#gid=0"",""Sheet1!G:G""),
      IMPORTRANGE(""1aSOrU4PTpuBZqfitKaH1Rfww6-YOiNCKoBpPl8XBHaw/edit?gid=0#gid=0"",""Sheet1!C:C"")=$B99
    ),
    1
  ),
 "&amp;" ""Not Found""
)"),"Community Religious No Info Share")</f>
        <v>Community Religious No Info Share</v>
      </c>
      <c r="E99" s="284" t="str">
        <f>VLOOKUP(B99,'Juma Recording forms'!A:E,5,false)</f>
        <v>Jamia Masjid Dabar Cila Ga KangnaPeera Ahmal Pura Sialkot </v>
      </c>
      <c r="F99" s="284" t="str">
        <f>IFERROR(__xludf.DUMMYFUNCTION("IFERROR(
  INDEX(
    FILTER(
      IMPORTRANGE(""1Cxrhp3-_-HS7v9uuqQliiIfrmMP4VaFoDNDWyUFy2J8/edit?gid=0#gid=0"",""Sheet1!Q:Q""),
      IMPORTRANGE(""1Cxrhp3-_-HS7v9uuqQliiIfrmMP4VaFoDNDWyUFy2J8/edit?gid=0#gid=0"",""Sheet1!K:K"")=$B99
    ),
    1
  ),
 "&amp;" ""Not Found""
)"),"Not Found")</f>
        <v>Not Found</v>
      </c>
      <c r="G99" s="284"/>
      <c r="H99" s="284"/>
      <c r="I99" s="285"/>
      <c r="J99" s="286">
        <v>1.0</v>
      </c>
      <c r="K99" s="287" t="str">
        <f>VLOOKUP($B99,'Mosque Locations'!$A:$E,3,FALSE)
</f>
        <v>https://maps.google.com/maps?q=32.6707567%2C74.5707033&amp;z=17&amp;hl=en</v>
      </c>
      <c r="L99" s="286">
        <f>VLOOKUP($B99,'Mosque Locations'!$A:$E,4,FALSE)
</f>
        <v>32.6707567</v>
      </c>
      <c r="M99" s="286">
        <f>VLOOKUP($B99,'Mosque Locations'!$A:$E,5,false)</f>
        <v>74.5707033</v>
      </c>
      <c r="N99" s="288"/>
      <c r="O99" s="288"/>
      <c r="P99" s="288"/>
      <c r="Q99" s="289" t="str">
        <f>IFERROR(__xludf.DUMMYFUNCTION("IFERROR(
  INDEX(
    FILTER(
      IMPORTRANGE(""1DccNxjBgurEr0ABkI_rBagJT5phB5HaHG5N_mTm_BiA/edit?gid=1382299152#gid=1382299152"",""Form Responses 1!T:T""),
      IMPORTRANGE(""1DccNxjBgurEr0ABkI_rBagJT5phB5HaHG5N_mTm_BiA/edit?gid=1382299152#gid=1382299"&amp;"152"",""Form Responses 1!E:E"")=$B99
    ),
    1
  ),
  ""Not Found""
)"),"https://drive.google.com/open?id=15mUkmgvLthZHhDrA5le5yJn6l8VooUTT")</f>
        <v>https://drive.google.com/open?id=15mUkmgvLthZHhDrA5le5yJn6l8VooUTT</v>
      </c>
      <c r="R99" s="295" t="str">
        <f>IFERROR(__xludf.DUMMYFUNCTION("IFERROR(
  INDEX(
    FILTER(
      IMPORTRANGE(""1DccNxjBgurEr0ABkI_rBagJT5phB5HaHG5N_mTm_BiA/edit?gid=1382299152#gid=1382299152"",""Form Responses 1!S:S""),
      IMPORTRANGE(""1DccNxjBgurEr0ABkI_rBagJT5phB5HaHG5N_mTm_BiA/edit?gid=1382299152#gid=1382299"&amp;"152"",""Form Responses 1!E:E"")=$B99
    ),
    1
  ),
  ""Not Found""
)"),"https://drive.google.com/open?id=1FfjSQOIkXUx0O8p9ieIoOiWa_j66chcf")</f>
        <v>https://drive.google.com/open?id=1FfjSQOIkXUx0O8p9ieIoOiWa_j66chcf</v>
      </c>
      <c r="S99" s="285"/>
      <c r="T99" s="290" t="str">
        <f>VLOOKUP($B99,'Master Tracker'!$D:$E,2,false)</f>
        <v>https://drive.google.com/open?id=1WcEoM3gnUhItmNY3n7QgZgx1z08TKb32</v>
      </c>
      <c r="U99" s="291" t="str">
        <f>VLOOKUP($B99,'Master Tracker'!$D:$T,4,FALSE)
</f>
        <v>https://drive.google.com/open?id=1ib-x7ebUme02xW40b8HA8MGtwedWc1wd</v>
      </c>
      <c r="V99" s="290" t="str">
        <f>VLOOKUP($B99,'Master Tracker'!$D:$T,5,false)</f>
        <v>https://drive.google.com/file/d/1M8UkGI0R_Cf1dxJdZpmdmI8ypWVOrjgY/view?usp=drive_link</v>
      </c>
      <c r="W99" s="291" t="str">
        <f>VLOOKUP($B99,'Master Tracker'!$D:$T,7,false)</f>
        <v>https://docs.google.com/document/d/1VNLeZkdlBHCos9MTP5xvbhjNolV2Sj5N/edit?usp=drive_link&amp;ouid=117122465010506134151&amp;rtpof=true&amp;sd=true</v>
      </c>
      <c r="X99" s="290" t="str">
        <f>VLOOKUP($B99,'Master Tracker'!$D:$T,8,false)</f>
        <v>https://drive.google.com/open?id=1djkDcKLs_JZpfL9r1S56fg5zDIq4I29A</v>
      </c>
      <c r="Y99" s="291" t="str">
        <f>VLOOKUP($B99,'Master Tracker'!$D:$T,10,false)</f>
        <v>https://drive.google.com/open?id=19WWsMGxrKkCnx4sADHWyjLROKC8NMGRg</v>
      </c>
      <c r="Z99" s="290" t="str">
        <f>VLOOKUP($B99,'Master Tracker'!$D:$T,11,false)</f>
        <v>https://drive.google.com/open?id=1PjCi3iQ1E-KBqyqiIaQU5Yll85r9Fy0t</v>
      </c>
      <c r="AA99" s="291" t="str">
        <f>VLOOKUP($B99,'Master Tracker'!$D:$T,13,false)</f>
        <v>https://drive.google.com/open?id=1ji2sfTQ5BaaGMn1rETuykWM4y5FocFjr</v>
      </c>
      <c r="AB99" s="284" t="str">
        <f>VLOOKUP($B99,'Master Tracker'!$D:$T,14,false)</f>
        <v>Not Found</v>
      </c>
      <c r="AC99" s="292" t="str">
        <f>VLOOKUP($B99,'Master Tracker'!$D:$T,16,false)</f>
        <v>Not Found</v>
      </c>
      <c r="AD99" s="292" t="str">
        <f>VLOOKUP($B99,'Master Tracker'!$D:$T,17,false)</f>
        <v>Not Found</v>
      </c>
      <c r="AE99" s="292" t="str">
        <f>VLOOKUP($B99,'Master Tracker'!$D:$V,19,false)</f>
        <v>Not Found</v>
      </c>
      <c r="AF99" s="292">
        <f>IFERROR(__xludf.DUMMYFUNCTION("IFERROR(
  INDEX(
    FILTER(
      'Juma Recording forms'!$G:$G,
      TRIM('Juma Recording forms'!$F:$F) = TRIM($B99),
      'Juma Recording forms'!$AA:$AA = 1
    ),
    1
  ),
  ""Not Found""
)"),215.0)</f>
        <v>215</v>
      </c>
      <c r="AG99" s="292">
        <f>IFERROR(__xludf.DUMMYFUNCTION("IFERROR(
  INDEX(
    FILTER(
      'Juma Recording forms'!$G:$G,
      TRIM('Juma Recording forms'!$F:$F) = TRIM($B99),
      'Juma Recording forms'!$AA:$AA = 2
    ),
    1
  ),
  ""Not Found""
)"),210.0)</f>
        <v>210</v>
      </c>
      <c r="AH99" s="292">
        <f>IFERROR(__xludf.DUMMYFUNCTION("IFERROR(
  INDEX(
    FILTER(
      'Juma Recording forms'!$G:$G,
      TRIM('Juma Recording forms'!$F:$F) = TRIM($B99),
      'Juma Recording forms'!$AA:$AA = 3
    ),
    1
  ),
  ""Not Found""
)"),250.0)</f>
        <v>250</v>
      </c>
      <c r="AI99" s="292">
        <f>IFERROR(__xludf.DUMMYFUNCTION("IFERROR(
  INDEX(
    FILTER(
      'Juma Recording forms'!$G:$G,
      TRIM('Juma Recording forms'!$F:$F) = TRIM($B99),
      'Juma Recording forms'!$AA:$AA = 4
    ),
    1
  ),
  ""Not Found""
)"),220.0)</f>
        <v>220</v>
      </c>
      <c r="AJ99" s="292" t="str">
        <f>IFERROR(__xludf.DUMMYFUNCTION("IFERROR(
  INDEX(
    FILTER(
      'Juma Recording forms'!$G:$G,
      TRIM('Juma Recording forms'!$F:$F) = TRIM($B99),
      'Juma Recording forms'!$AA:$AA = 5
    ),
    1
  ),
  ""Not Found""
)"),"Not Found")</f>
        <v>Not Found</v>
      </c>
      <c r="AK99" s="292" t="str">
        <f>IFERROR(__xludf.DUMMYFUNCTION("IFERROR(
  INDEX(
    FILTER(
      'Juma Recording forms'!$G:$G,
      TRIM('Juma Recording forms'!$F:$F) = TRIM($B99),
      'Juma Recording forms'!$AA:$AA = 6
    ),
    1
  ),
  ""Not Found""
)"),"Not Found")</f>
        <v>Not Found</v>
      </c>
      <c r="AL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1!$E:$E"")=$B99) *
        (IMPORTRANGE(""https://docs.google.com/spreadsheets/d/161aHT6vVT3SLneTKD19N5qVWtnj_jIT8CSsOmUVKmaA/ed"&amp;"it?gid=1761053510"",
          ""Haris_Form responses 1!$AQ:$AQ"")=1)
      ),
      1
    ),
    ""0""
  ),
  ""Form not found""
)
"),"0")</f>
        <v>0</v>
      </c>
      <c r="AM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1!$E:$E"")=$B99) *
        (IMPORTRANGE(""https://docs.google.com/spreadsheets/d/161aHT6vVT3SLneTKD19N5qVWtnj_jIT8CSsOmUVKmaA/ed"&amp;"it?gid=1761053510"",
          ""Haris_Form responses 1!$AQ:$AQ"")=2)
      ),
      1
    ),
    ""0""
  ),
  ""Form not found""
)
"),"10")</f>
        <v>10</v>
      </c>
      <c r="AN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1!$E:$E"")=$B99) *
        (IMPORTRANGE(""https://docs.google.com/spreadsheets/d/161aHT6vVT3SLneTKD19N5qVWtnj_jIT8CSsOmUVKmaA/ed"&amp;"it?gid=1761053510"",
          ""Haris_Form responses 1!$AQ:$AQ"")=3)
      ),
      1
    ),
    ""0""
  ),
  ""Form not found""
)
"),"0")</f>
        <v>0</v>
      </c>
      <c r="AO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1!$E:$E"")=$B99) *
        (IMPORTRANGE(""https://docs.google.com/spreadsheets/d/161aHT6vVT3SLneTKD19N5qVWtnj_jIT8CSsOmUVKmaA/ed"&amp;"it?gid=1761053510"",
          ""Haris_Form responses 1!$AQ:$AQ"")=4)
      ),
      1
    ),
    ""0""
  ),
  ""Form not found""
)
"),"0")</f>
        <v>0</v>
      </c>
      <c r="AP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1!$E:$E"")=$B99) *
        (IMPORTRANGE(""https://docs.google.com/spreadsheets/d/161aHT6vVT3SLneTKD19N5qVWtnj_jIT8CSsOmUVKmaA/ed"&amp;"it?gid=1761053510"",
          ""Haris_Form responses 1!$AQ:$AQ"")=5)
      ),
      1
    ),
    ""0""
  ),
  ""Form not found""
)
"),"Form not found")</f>
        <v>Form not found</v>
      </c>
      <c r="AQ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1!$E:$E"")=$B99) *
        (IMPORTRANGE(""https://docs.google.com/spreadsheets/d/161aHT6vVT3SLneTKD19N5qVWtnj_jIT8CSsOmUVKmaA/ed"&amp;"it?gid=1761053510"",
          ""Haris_Form responses 1!$AQ:$AQ"")=6)
      ),
      1
    ),
    ""0""
  ),
  ""Form not found""
)
"),"Form not found")</f>
        <v>Form not found</v>
      </c>
      <c r="AR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1!$E:$E"")=$B99) *
        (IMPORTRANGE(""https://docs.google.com/spreadsheets/d/161aHT6vVT3SLneTKD19N5qVWtnj_jIT8CSsOmUVKmaA/ed"&amp;"it?gid=1761053510"",
          ""Haris_Form responses 1!$AQ:$AQ"")=1)
      ),
      1
    ),
    ""0""
  ),
  ""Form not found""
)
"),"0")</f>
        <v>0</v>
      </c>
      <c r="AS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1!$E:$E"")=$B99) *
        (IMPORTRANGE(""https://docs.google.com/spreadsheets/d/161aHT6vVT3SLneTKD19N5qVWtnj_jIT8CSsOmUVKmaA/ed"&amp;"it?gid=1761053510"",
          ""Haris_Form responses 1!$AQ:$AQ"")=2)
      ),
      1
    ),
    ""0""
  ),
  ""Form not found""
)
"),"10")</f>
        <v>10</v>
      </c>
      <c r="AT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1!$E:$E"")=$B99) *
        (IMPORTRANGE(""https://docs.google.com/spreadsheets/d/161aHT6vVT3SLneTKD19N5qVWtnj_jIT8CSsOmUVKmaA/ed"&amp;"it?gid=1761053510"",
          ""Haris_Form responses 1!$AQ:$AQ"")=3)
      ),
      1
    ),
    ""0""
  ),
  ""Form not found""
)
"),"0")</f>
        <v>0</v>
      </c>
      <c r="AU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1!$E:$E"")=$B99) *
        (IMPORTRANGE(""https://docs.google.com/spreadsheets/d/161aHT6vVT3SLneTKD19N5qVWtnj_jIT8CSsOmUVKmaA/ed"&amp;"it?gid=1761053510"",
          ""Haris_Form responses 1!$AQ:$AQ"")=4)
      ),
      1
    ),
    ""0""
  ),
  ""Form not found""
)
"),"0")</f>
        <v>0</v>
      </c>
      <c r="AV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1!$E:$E"")=$B99) *
        (IMPORTRANGE(""https://docs.google.com/spreadsheets/d/161aHT6vVT3SLneTKD19N5qVWtnj_jIT8CSsOmUVKmaA/ed"&amp;"it?gid=1761053510"",
          ""Haris_Form responses 1!$AQ:$AQ"")=5)
      ),
      1
    ),
    ""0""
  ),
  ""Form not found""
)
"),"Form not found")</f>
        <v>Form not found</v>
      </c>
      <c r="AW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1!$E:$E"")=$B99) *
        (IMPORTRANGE(""https://docs.google.com/spreadsheets/d/161aHT6vVT3SLneTKD19N5qVWtnj_jIT8CSsOmUVKmaA/ed"&amp;"it?gid=1761053510"",
          ""Haris_Form responses 1!$AQ:$AQ"")=6)
      ),
      1
    ),
    ""0""
  ),
  ""Form not found""
)
"),"Form not found")</f>
        <v>Form not found</v>
      </c>
      <c r="AX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1!$E:$E"")=$B99) *
        (IMPORTRANGE(""https://docs.google.com/spreadsheets/d/161aHT6vVT3SLneTKD19N5qVWtnj_jIT8CSsOmUVKmaA/ed"&amp;"it?gid=1761053510"",
          ""Haris_Form responses 1!$AQ:$AQ"")=1)
      ),
      1
    ),
    ""0""
  ),
  ""Form not found""
)
"),"0")</f>
        <v>0</v>
      </c>
      <c r="AY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1!$E:$E"")=$B99) *
        (IMPORTRANGE(""https://docs.google.com/spreadsheets/d/161aHT6vVT3SLneTKD19N5qVWtnj_jIT8CSsOmUVKmaA/ed"&amp;"it?gid=1761053510"",
          ""Haris_Form responses 1!$AQ:$AQ"")=2)
      ),
      1
    ),
    ""0""
  ),
  ""Form not found""
)
"),"0")</f>
        <v>0</v>
      </c>
      <c r="AZ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1!$E:$E"")=$B99) *
        (IMPORTRANGE(""https://docs.google.com/spreadsheets/d/161aHT6vVT3SLneTKD19N5qVWtnj_jIT8CSsOmUVKmaA/ed"&amp;"it?gid=1761053510"",
          ""Haris_Form responses 1!$AQ:$AQ"")=3)
      ),
      1
    ),
    ""0""
  ),
  ""Form not found""
)
"),"0")</f>
        <v>0</v>
      </c>
      <c r="BA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1!$E:$E"")=$B99) *
        (IMPORTRANGE(""https://docs.google.com/spreadsheets/d/161aHT6vVT3SLneTKD19N5qVWtnj_jIT8CSsOmUVKmaA/ed"&amp;"it?gid=1761053510"",
          ""Haris_Form responses 1!$AQ:$AQ"")=4)
      ),
      1
    ),
    ""0""
  ),
  ""Form not found""
)
"),"0")</f>
        <v>0</v>
      </c>
      <c r="BB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1!$E:$E"")=$B99) *
        (IMPORTRANGE(""https://docs.google.com/spreadsheets/d/161aHT6vVT3SLneTKD19N5qVWtnj_jIT8CSsOmUVKmaA/ed"&amp;"it?gid=1761053510"",
          ""Haris_Form responses 1!$AQ:$AQ"")=5)
      ),
      1
    ),
    ""0""
  ),
  ""Form not found""
)
"),"Form not found")</f>
        <v>Form not found</v>
      </c>
      <c r="BC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1!$E:$E"")=$B99) *
        (IMPORTRANGE(""https://docs.google.com/spreadsheets/d/161aHT6vVT3SLneTKD19N5qVWtnj_jIT8CSsOmUVKmaA/ed"&amp;"it?gid=1761053510"",
          ""Haris_Form responses 1!$AQ:$AQ"")=6)
      ),
      1
    ),
    ""0""
  ),
  ""Form not found""
)
"),"Form not found")</f>
        <v>Form not found</v>
      </c>
      <c r="BD99" s="293"/>
    </row>
    <row r="100">
      <c r="A100" s="283" t="str">
        <f>IFERROR(__xludf.DUMMYFUNCTION("VLOOKUP($B100,IMPORTRANGE(""https://docs.google.com/spreadsheets/d/1VNXDITjs75AcgdBSW27oL1VZH31udDprJSsBcE5xlp4/edit?gid=1551188038#gid=1551188038"", ""Sheet9!$B:$E""),2,false)"),"Saikot")</f>
        <v>Saikot</v>
      </c>
      <c r="B100" s="283" t="s">
        <v>4560</v>
      </c>
      <c r="C100" s="284" t="str">
        <f>IFERROR(__xludf.DUMMYFUNCTION("VLOOKUP(TRIM($B100), IMPORTRANGE(""https://docs.google.com/spreadsheets/d/1aSOrU4PTpuBZqfitKaH1Rfww6-YOiNCKoBpPl8XBHaw/edit?gid=0#gid=0"", ""sheet3!$B:$C""), 2, FALSE)
"),"Jamia Masjid Unchee PansaRiya Sailkot")</f>
        <v>Jamia Masjid Unchee PansaRiya Sailkot</v>
      </c>
      <c r="D100" s="284" t="str">
        <f>IFERROR(__xludf.DUMMYFUNCTION("IFERROR(
  INDEX(
    FILTER(
      IMPORTRANGE(""1aSOrU4PTpuBZqfitKaH1Rfww6-YOiNCKoBpPl8XBHaw/edit?gid=0#gid=0"",""Sheet1!G:G""),
      IMPORTRANGE(""1aSOrU4PTpuBZqfitKaH1Rfww6-YOiNCKoBpPl8XBHaw/edit?gid=0#gid=0"",""Sheet1!C:C"")=$B100
    ),
    1
  ),
"&amp;"  ""Not Found""
)"),"Control")</f>
        <v>Control</v>
      </c>
      <c r="E100" s="284" t="str">
        <f>VLOOKUP(B100,'Juma Recording forms'!A:E,5,false)</f>
        <v>Jamia Masjid Unchee Pansariyan Sialkot</v>
      </c>
      <c r="F100" s="284" t="str">
        <f>IFERROR(__xludf.DUMMYFUNCTION("IFERROR(
  INDEX(
    FILTER(
      IMPORTRANGE(""1Cxrhp3-_-HS7v9uuqQliiIfrmMP4VaFoDNDWyUFy2J8/edit?gid=0#gid=0"",""Sheet1!Q:Q""),
      IMPORTRANGE(""1Cxrhp3-_-HS7v9uuqQliiIfrmMP4VaFoDNDWyUFy2J8/edit?gid=0#gid=0"",""Sheet1!K:K"")=$B100
    ),
    1
  ),
"&amp;"  ""Not Found""
)"),"Not Found")</f>
        <v>Not Found</v>
      </c>
      <c r="G100" s="284"/>
      <c r="H100" s="284"/>
      <c r="I100" s="285"/>
      <c r="J100" s="286">
        <v>2.0</v>
      </c>
      <c r="K100" s="287" t="str">
        <f>VLOOKUP($B100,'Mosque Locations'!$A:$E,3,FALSE)
</f>
        <v>https://maps.google.com/maps?q=32.4924412%2C74.5390548&amp;z=17&amp;hl=en</v>
      </c>
      <c r="L100" s="286">
        <f>VLOOKUP($B100,'Mosque Locations'!$A:$E,4,FALSE)
</f>
        <v>32.4924412</v>
      </c>
      <c r="M100" s="286">
        <f>VLOOKUP($B100,'Mosque Locations'!$A:$E,5,false)</f>
        <v>74.5390548</v>
      </c>
      <c r="N100" s="288"/>
      <c r="O100" s="288"/>
      <c r="P100" s="288"/>
      <c r="Q100" s="289" t="str">
        <f>IFERROR(__xludf.DUMMYFUNCTION("IFERROR(
  INDEX(
    FILTER(
      IMPORTRANGE(""1DccNxjBgurEr0ABkI_rBagJT5phB5HaHG5N_mTm_BiA/edit?gid=1382299152#gid=1382299152"",""Form Responses 1!T:T""),
      IMPORTRANGE(""1DccNxjBgurEr0ABkI_rBagJT5phB5HaHG5N_mTm_BiA/edit?gid=1382299152#gid=1382299"&amp;"152"",""Form Responses 1!E:E"")=$B100
    ),
    1
  ),
  ""Not Found""
)"),"https://drive.google.com/open?id=1k2Zy4yyVDpbv_GzwByc3H6sKNBLvzOX-")</f>
        <v>https://drive.google.com/open?id=1k2Zy4yyVDpbv_GzwByc3H6sKNBLvzOX-</v>
      </c>
      <c r="R100" s="289" t="str">
        <f>IFERROR(__xludf.DUMMYFUNCTION("IFERROR(
  INDEX(
    FILTER(
      IMPORTRANGE(""1DccNxjBgurEr0ABkI_rBagJT5phB5HaHG5N_mTm_BiA/edit?gid=1382299152#gid=1382299152"",""Form Responses 1!S:S""),
      IMPORTRANGE(""1DccNxjBgurEr0ABkI_rBagJT5phB5HaHG5N_mTm_BiA/edit?gid=1382299152#gid=1382299"&amp;"152"",""Form Responses 1!E:E"")=$B100
    ),
    1
  ),
  ""Not Found""
)"),"https://drive.google.com/open?id=11Ug7wCrug_-5fLyi72rh5j4xRtCQZz7S")</f>
        <v>https://drive.google.com/open?id=11Ug7wCrug_-5fLyi72rh5j4xRtCQZz7S</v>
      </c>
      <c r="S100" s="285"/>
      <c r="T100" s="290" t="str">
        <f>VLOOKUP($B100,'Master Tracker'!$D:$E,2,false)</f>
        <v>https://drive.google.com/open?id=1nH97eiujGBeeHMa6teXdAd6BdtSGuylv</v>
      </c>
      <c r="U100" s="291" t="str">
        <f>VLOOKUP($B100,'Master Tracker'!$D:$T,4,FALSE)
</f>
        <v>https://drive.google.com/open?id=1AiXT0B3obD_avWLi6fW7FBnla14Z96t6</v>
      </c>
      <c r="V100" s="284" t="str">
        <f>VLOOKUP($B100,'Master Tracker'!$D:$T,5,false)</f>
        <v>Not Found</v>
      </c>
      <c r="W100" s="292" t="str">
        <f>VLOOKUP($B100,'Master Tracker'!$D:$T,7,false)</f>
        <v>Not Found</v>
      </c>
      <c r="X100" s="290" t="str">
        <f>VLOOKUP($B100,'Master Tracker'!$D:$T,8,false)</f>
        <v>https://drive.google.com/open?id=1AlZCGOf2ABJ-x0hTnEOCl4jGp3hgWW9M</v>
      </c>
      <c r="Y100" s="291" t="str">
        <f>VLOOKUP($B100,'Master Tracker'!$D:$T,10,false)</f>
        <v>https://drive.google.com/open?id=1osEh3c1WHwAe93s5E9Gj0nWzYB7y_L9Q</v>
      </c>
      <c r="Z100" s="284" t="str">
        <f>VLOOKUP($B100,'Master Tracker'!$D:$T,11,false)</f>
        <v>Not Found</v>
      </c>
      <c r="AA100" s="292" t="str">
        <f>VLOOKUP($B100,'Master Tracker'!$D:$T,13,false)</f>
        <v>Not Found</v>
      </c>
      <c r="AB100" s="284" t="str">
        <f>VLOOKUP($B100,'Master Tracker'!$D:$T,14,false)</f>
        <v>Not Found</v>
      </c>
      <c r="AC100" s="292" t="str">
        <f>VLOOKUP($B100,'Master Tracker'!$D:$T,16,false)</f>
        <v>Not Found</v>
      </c>
      <c r="AD100" s="292" t="str">
        <f>VLOOKUP($B100,'Master Tracker'!$D:$T,17,false)</f>
        <v>Not Found</v>
      </c>
      <c r="AE100" s="292" t="str">
        <f>VLOOKUP($B100,'Master Tracker'!$D:$V,19,false)</f>
        <v>Not Found</v>
      </c>
      <c r="AF100" s="292">
        <f>IFERROR(__xludf.DUMMYFUNCTION("IFERROR(
  INDEX(
    FILTER(
      'Juma Recording forms'!$G:$G,
      TRIM('Juma Recording forms'!$F:$F) = TRIM($B100),
      'Juma Recording forms'!$AA:$AA = 1
    ),
    1
  ),
  ""Not Found""
)"),183.0)</f>
        <v>183</v>
      </c>
      <c r="AG100" s="292" t="str">
        <f>IFERROR(__xludf.DUMMYFUNCTION("IFERROR(
  INDEX(
    FILTER(
      'Juma Recording forms'!$G:$G,
      TRIM('Juma Recording forms'!$F:$F) = TRIM($B100),
      'Juma Recording forms'!$AA:$AA = 2
    ),
    1
  ),
  ""Not Found""
)"),"Not Found")</f>
        <v>Not Found</v>
      </c>
      <c r="AH100" s="292">
        <f>IFERROR(__xludf.DUMMYFUNCTION("IFERROR(
  INDEX(
    FILTER(
      'Juma Recording forms'!$G:$G,
      TRIM('Juma Recording forms'!$F:$F) = TRIM($B100),
      'Juma Recording forms'!$AA:$AA = 3
    ),
    1
  ),
  ""Not Found""
)"),177.0)</f>
        <v>177</v>
      </c>
      <c r="AI100" s="292" t="str">
        <f>IFERROR(__xludf.DUMMYFUNCTION("IFERROR(
  INDEX(
    FILTER(
      'Juma Recording forms'!$G:$G,
      TRIM('Juma Recording forms'!$F:$F) = TRIM($B100),
      'Juma Recording forms'!$AA:$AA = 4
    ),
    1
  ),
  ""Not Found""
)"),"Not Found")</f>
        <v>Not Found</v>
      </c>
      <c r="AJ100" s="292" t="str">
        <f>IFERROR(__xludf.DUMMYFUNCTION("IFERROR(
  INDEX(
    FILTER(
      'Juma Recording forms'!$G:$G,
      TRIM('Juma Recording forms'!$F:$F) = TRIM($B100),
      'Juma Recording forms'!$AA:$AA = 5
    ),
    1
  ),
  ""Not Found""
)"),"Not Found")</f>
        <v>Not Found</v>
      </c>
      <c r="AK100" s="292"/>
      <c r="AL1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1!$E:$E"")=$B100) *
        (IMPORTRANGE(""https://docs.google.com/spreadsheets/d/161aHT6vVT3SLneTKD19N5qVWtnj_jIT8CSsOmUVKmaA/e"&amp;"dit?gid=1761053510"",
          ""Haris_Form responses 1!$AQ:$AQ"")=1)
      ),
      1
    ),
    ""0""
  ),
  ""Form not found""
)
"),"0")</f>
        <v>0</v>
      </c>
      <c r="AM1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1!$E:$E"")=$B100) *
        (IMPORTRANGE(""https://docs.google.com/spreadsheets/d/161aHT6vVT3SLneTKD19N5qVWtnj_jIT8CSsOmUVKmaA/e"&amp;"dit?gid=1761053510"",
          ""Haris_Form responses 1!$AQ:$AQ"")=2)
      ),
      1
    ),
    ""0""
  ),
  ""Form not found""
)
"),"Form not found")</f>
        <v>Form not found</v>
      </c>
      <c r="AN1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1!$E:$E"")=$B100) *
        (IMPORTRANGE(""https://docs.google.com/spreadsheets/d/161aHT6vVT3SLneTKD19N5qVWtnj_jIT8CSsOmUVKmaA/e"&amp;"dit?gid=1761053510"",
          ""Haris_Form responses 1!$AQ:$AQ"")=3)
      ),
      1
    ),
    ""0""
  ),
  ""Form not found""
)
"),"0")</f>
        <v>0</v>
      </c>
      <c r="AO1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1!$E:$E"")=$B100) *
        (IMPORTRANGE(""https://docs.google.com/spreadsheets/d/161aHT6vVT3SLneTKD19N5qVWtnj_jIT8CSsOmUVKmaA/e"&amp;"dit?gid=1761053510"",
          ""Haris_Form responses 1!$AQ:$AQ"")=4)
      ),
      1
    ),
    ""0""
  ),
  ""Form not found""
)
"),"Form not found")</f>
        <v>Form not found</v>
      </c>
      <c r="AP1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1!$E:$E"")=$B100) *
        (IMPORTRANGE(""https://docs.google.com/spreadsheets/d/161aHT6vVT3SLneTKD19N5qVWtnj_jIT8CSsOmUVKmaA/e"&amp;"dit?gid=1761053510"",
          ""Haris_Form responses 1!$AQ:$AQ"")=5)
      ),
      1
    ),
    ""0""
  ),
  ""Form not found""
)
"),"Form not found")</f>
        <v>Form not found</v>
      </c>
      <c r="AQ1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1!$E:$E"")=$B100) *
        (IMPORTRANGE(""https://docs.google.com/spreadsheets/d/161aHT6vVT3SLneTKD19N5qVWtnj_jIT8CSsOmUVKmaA/e"&amp;"dit?gid=1761053510"",
          ""Haris_Form responses 1!$AQ:$AQ"")=6)
      ),
      1
    ),
    ""0""
  ),
  ""Form not found""
)
"),"Form not found")</f>
        <v>Form not found</v>
      </c>
      <c r="AR1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1!$E:$E"")=$B100) *
        (IMPORTRANGE(""https://docs.google.com/spreadsheets/d/161aHT6vVT3SLneTKD19N5qVWtnj_jIT8CSsOmUVKmaA/e"&amp;"dit?gid=1761053510"",
          ""Haris_Form responses 1!$AQ:$AQ"")=1)
      ),
      1
    ),
    ""0""
  ),
  ""Form not found""
)
"),"0")</f>
        <v>0</v>
      </c>
      <c r="AS1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1!$E:$E"")=$B100) *
        (IMPORTRANGE(""https://docs.google.com/spreadsheets/d/161aHT6vVT3SLneTKD19N5qVWtnj_jIT8CSsOmUVKmaA/e"&amp;"dit?gid=1761053510"",
          ""Haris_Form responses 1!$AQ:$AQ"")=2)
      ),
      1
    ),
    ""0""
  ),
  ""Form not found""
)
"),"Form not found")</f>
        <v>Form not found</v>
      </c>
      <c r="AT1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1!$E:$E"")=$B100) *
        (IMPORTRANGE(""https://docs.google.com/spreadsheets/d/161aHT6vVT3SLneTKD19N5qVWtnj_jIT8CSsOmUVKmaA/e"&amp;"dit?gid=1761053510"",
          ""Haris_Form responses 1!$AQ:$AQ"")=3)
      ),
      1
    ),
    ""0""
  ),
  ""Form not found""
)
"),"0")</f>
        <v>0</v>
      </c>
      <c r="AU1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1!$E:$E"")=$B100) *
        (IMPORTRANGE(""https://docs.google.com/spreadsheets/d/161aHT6vVT3SLneTKD19N5qVWtnj_jIT8CSsOmUVKmaA/e"&amp;"dit?gid=1761053510"",
          ""Haris_Form responses 1!$AQ:$AQ"")=4)
      ),
      1
    ),
    ""0""
  ),
  ""Form not found""
)
"),"Form not found")</f>
        <v>Form not found</v>
      </c>
      <c r="AV1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1!$E:$E"")=$B100) *
        (IMPORTRANGE(""https://docs.google.com/spreadsheets/d/161aHT6vVT3SLneTKD19N5qVWtnj_jIT8CSsOmUVKmaA/e"&amp;"dit?gid=1761053510"",
          ""Haris_Form responses 1!$AQ:$AQ"")=5)
      ),
      1
    ),
    ""0""
  ),
  ""Form not found""
)
"),"Form not found")</f>
        <v>Form not found</v>
      </c>
      <c r="AW1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1!$E:$E"")=$B100) *
        (IMPORTRANGE(""https://docs.google.com/spreadsheets/d/161aHT6vVT3SLneTKD19N5qVWtnj_jIT8CSsOmUVKmaA/e"&amp;"dit?gid=1761053510"",
          ""Haris_Form responses 1!$AQ:$AQ"")=6)
      ),
      1
    ),
    ""0""
  ),
  ""Form not found""
)
"),"Form not found")</f>
        <v>Form not found</v>
      </c>
      <c r="AX1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1!$E:$E"")=$B100) *
        (IMPORTRANGE(""https://docs.google.com/spreadsheets/d/161aHT6vVT3SLneTKD19N5qVWtnj_jIT8CSsOmUVKmaA/e"&amp;"dit?gid=1761053510"",
          ""Haris_Form responses 1!$AQ:$AQ"")=1)
      ),
      1
    ),
    ""0""
  ),
  ""Form not found""
)
"),"0")</f>
        <v>0</v>
      </c>
      <c r="AY1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1!$E:$E"")=$B100) *
        (IMPORTRANGE(""https://docs.google.com/spreadsheets/d/161aHT6vVT3SLneTKD19N5qVWtnj_jIT8CSsOmUVKmaA/e"&amp;"dit?gid=1761053510"",
          ""Haris_Form responses 1!$AQ:$AQ"")=2)
      ),
      1
    ),
    ""0""
  ),
  ""Form not found""
)
"),"Form not found")</f>
        <v>Form not found</v>
      </c>
      <c r="AZ1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1!$E:$E"")=$B100) *
        (IMPORTRANGE(""https://docs.google.com/spreadsheets/d/161aHT6vVT3SLneTKD19N5qVWtnj_jIT8CSsOmUVKmaA/e"&amp;"dit?gid=1761053510"",
          ""Haris_Form responses 1!$AQ:$AQ"")=3)
      ),
      1
    ),
    ""0""
  ),
  ""Form not found""
)
"),"0")</f>
        <v>0</v>
      </c>
      <c r="BA1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1!$E:$E"")=$B100) *
        (IMPORTRANGE(""https://docs.google.com/spreadsheets/d/161aHT6vVT3SLneTKD19N5qVWtnj_jIT8CSsOmUVKmaA/e"&amp;"dit?gid=1761053510"",
          ""Haris_Form responses 1!$AQ:$AQ"")=4)
      ),
      1
    ),
    ""0""
  ),
  ""Form not found""
)
"),"Form not found")</f>
        <v>Form not found</v>
      </c>
      <c r="BB1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1!$E:$E"")=$B100) *
        (IMPORTRANGE(""https://docs.google.com/spreadsheets/d/161aHT6vVT3SLneTKD19N5qVWtnj_jIT8CSsOmUVKmaA/e"&amp;"dit?gid=1761053510"",
          ""Haris_Form responses 1!$AQ:$AQ"")=5)
      ),
      1
    ),
    ""0""
  ),
  ""Form not found""
)
"),"Form not found")</f>
        <v>Form not found</v>
      </c>
      <c r="BC1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1!$E:$E"")=$B100) *
        (IMPORTRANGE(""https://docs.google.com/spreadsheets/d/161aHT6vVT3SLneTKD19N5qVWtnj_jIT8CSsOmUVKmaA/e"&amp;"dit?gid=1761053510"",
          ""Haris_Form responses 1!$AQ:$AQ"")=6)
      ),
      1
    ),
    ""0""
  ),
  ""Form not found""
)
"),"Form not found")</f>
        <v>Form not found</v>
      </c>
      <c r="BD100" s="293"/>
    </row>
    <row r="101">
      <c r="A101" s="283" t="str">
        <f>IFERROR(__xludf.DUMMYFUNCTION("VLOOKUP($B101,IMPORTRANGE(""https://docs.google.com/spreadsheets/d/1VNXDITjs75AcgdBSW27oL1VZH31udDprJSsBcE5xlp4/edit?gid=1551188038#gid=1551188038"", ""Sheet9!$B:$E""),2,false)"),"Saikot")</f>
        <v>Saikot</v>
      </c>
      <c r="B101" s="283" t="s">
        <v>4561</v>
      </c>
      <c r="C101" s="284" t="str">
        <f>IFERROR(__xludf.DUMMYFUNCTION("VLOOKUP(TRIM($B101), IMPORTRANGE(""https://docs.google.com/spreadsheets/d/1aSOrU4PTpuBZqfitKaH1Rfww6-YOiNCKoBpPl8XBHaw/edit?gid=0#gid=0"", ""sheet3!$B:$C""), 2, FALSE)
"),"Jamia Masjid Safdariya Rangupura Sailkot")</f>
        <v>Jamia Masjid Safdariya Rangupura Sailkot</v>
      </c>
      <c r="D101" s="284" t="str">
        <f>IFERROR(__xludf.DUMMYFUNCTION("IFERROR(
  INDEX(
    FILTER(
      IMPORTRANGE(""1aSOrU4PTpuBZqfitKaH1Rfww6-YOiNCKoBpPl8XBHaw/edit?gid=0#gid=0"",""Sheet1!G:G""),
      IMPORTRANGE(""1aSOrU4PTpuBZqfitKaH1Rfww6-YOiNCKoBpPl8XBHaw/edit?gid=0#gid=0"",""Sheet1!C:C"")=$B101
    ),
    1
  ),
"&amp;"  ""Not Found""
)"),"Women Secular No Info Share")</f>
        <v>Women Secular No Info Share</v>
      </c>
      <c r="E101" s="284" t="str">
        <f>VLOOKUP(B101,'Juma Recording forms'!A:E,5,false)</f>
        <v>Jamia masjid safdariya rangpura sialkot</v>
      </c>
      <c r="F101" s="284" t="str">
        <f>IFERROR(__xludf.DUMMYFUNCTION("IFERROR(
  INDEX(
    FILTER(
      IMPORTRANGE(""1Cxrhp3-_-HS7v9uuqQliiIfrmMP4VaFoDNDWyUFy2J8/edit?gid=0#gid=0"",""Sheet1!Q:Q""),
      IMPORTRANGE(""1Cxrhp3-_-HS7v9uuqQliiIfrmMP4VaFoDNDWyUFy2J8/edit?gid=0#gid=0"",""Sheet1!K:K"")=$B101
    ),
    1
  ),
"&amp;"  ""Not Found""
)"),"Qari Muhammad saleem")</f>
        <v>Qari Muhammad saleem</v>
      </c>
      <c r="G101" s="284">
        <v>1994.0</v>
      </c>
      <c r="H101" s="284"/>
      <c r="I101" s="285"/>
      <c r="J101" s="286">
        <v>2.0</v>
      </c>
      <c r="K101" s="287" t="str">
        <f>VLOOKUP($B101,'Mosque Locations'!$A:$E,3,FALSE)
</f>
        <v>https://maps.google.com/maps?q=32.4948115%2C74.5621511&amp;z=17&amp;hl=en</v>
      </c>
      <c r="L101" s="286">
        <f>VLOOKUP($B101,'Mosque Locations'!$A:$E,4,FALSE)
</f>
        <v>32.4948115</v>
      </c>
      <c r="M101" s="286">
        <f>VLOOKUP($B101,'Mosque Locations'!$A:$E,5,false)</f>
        <v>74.5621511</v>
      </c>
      <c r="N101" s="288"/>
      <c r="O101" s="288"/>
      <c r="P101" s="288"/>
      <c r="Q101" s="290" t="str">
        <f>IFERROR(__xludf.DUMMYFUNCTION("IFERROR(
  INDEX(
    FILTER(
      IMPORTRANGE(""1DccNxjBgurEr0ABkI_rBagJT5phB5HaHG5N_mTm_BiA/edit?gid=1382299152#gid=1382299152"",""Form Responses 1!T:T""),
      IMPORTRANGE(""1DccNxjBgurEr0ABkI_rBagJT5phB5HaHG5N_mTm_BiA/edit?gid=1382299152#gid=1382299"&amp;"152"",""Form Responses 1!E:E"")=$B101
    ),
    1
  ),
  ""Not Found""
)"),"https://drive.google.com/open?id=1ZyZvfCxCln5j--uBznvHFg0mUKshyrlH")</f>
        <v>https://drive.google.com/open?id=1ZyZvfCxCln5j--uBznvHFg0mUKshyrlH</v>
      </c>
      <c r="R101" s="290" t="str">
        <f>IFERROR(__xludf.DUMMYFUNCTION("IFERROR(
  INDEX(
    FILTER(
      IMPORTRANGE(""1DccNxjBgurEr0ABkI_rBagJT5phB5HaHG5N_mTm_BiA/edit?gid=1382299152#gid=1382299152"",""Form Responses 1!S:S""),
      IMPORTRANGE(""1DccNxjBgurEr0ABkI_rBagJT5phB5HaHG5N_mTm_BiA/edit?gid=1382299152#gid=1382299"&amp;"152"",""Form Responses 1!E:E"")=$B101
    ),
    1
  ),
  ""Not Found""
)"),"https://drive.google.com/open?id=1K7Fw_gzV-wPdEp1AEKJduscKYzWtcRlZ")</f>
        <v>https://drive.google.com/open?id=1K7Fw_gzV-wPdEp1AEKJduscKYzWtcRlZ</v>
      </c>
      <c r="S101" s="285"/>
      <c r="T101" s="290" t="str">
        <f>VLOOKUP($B101,'Master Tracker'!$D:$E,2,false)</f>
        <v>https://drive.google.com/open?id=17WsVvW0lC1D4xq2_GPl-KUkUAN8-Rb7M</v>
      </c>
      <c r="U101" s="291" t="str">
        <f>VLOOKUP($B101,'Master Tracker'!$D:$T,4,FALSE)
</f>
        <v>https://drive.google.com/open?id=1SNtrnHA1VIOBICUIQsXA8TcuzfMSf_pK</v>
      </c>
      <c r="V101" s="290" t="str">
        <f>VLOOKUP($B101,'Master Tracker'!$D:$T,5,false)</f>
        <v>https://drive.google.com/open?id=1VjZo7Tptca2B14cLTK6sp0DL8do2dsNB</v>
      </c>
      <c r="W101" s="291" t="str">
        <f>VLOOKUP($B101,'Master Tracker'!$D:$T,7,false)</f>
        <v>https://drive.google.com/open?id=1K3d80QYw-anGZHo8JVXnofe3solUxiWK</v>
      </c>
      <c r="X101" s="290" t="str">
        <f>VLOOKUP($B101,'Master Tracker'!$D:$T,8,false)</f>
        <v>https://drive.google.com/open?id=1vIJ-e0XKs5-aJcM69N3ghozViTpxGnke</v>
      </c>
      <c r="Y101" s="291" t="str">
        <f>VLOOKUP($B101,'Master Tracker'!$D:$T,10,false)</f>
        <v>https://drive.google.com/open?id=1xQug3CNANa-1fJTjvQaAWrGsH-94rhW7</v>
      </c>
      <c r="Z101" s="284" t="str">
        <f>VLOOKUP($B101,'Master Tracker'!$D:$T,11,false)</f>
        <v>Not Found</v>
      </c>
      <c r="AA101" s="292" t="str">
        <f>VLOOKUP($B101,'Master Tracker'!$D:$T,13,false)</f>
        <v>Not Found</v>
      </c>
      <c r="AB101" s="284" t="str">
        <f>VLOOKUP($B101,'Master Tracker'!$D:$T,14,false)</f>
        <v>Not Found</v>
      </c>
      <c r="AC101" s="292" t="str">
        <f>VLOOKUP($B101,'Master Tracker'!$D:$T,16,false)</f>
        <v>Not Found</v>
      </c>
      <c r="AD101" s="292" t="str">
        <f>VLOOKUP($B101,'Master Tracker'!$D:$T,17,false)</f>
        <v>Not Found</v>
      </c>
      <c r="AE101" s="292" t="str">
        <f>VLOOKUP($B101,'Master Tracker'!$D:$V,19,false)</f>
        <v>Not Found</v>
      </c>
      <c r="AF101" s="292">
        <f>IFERROR(__xludf.DUMMYFUNCTION("IFERROR(
  INDEX(
    FILTER(
      'Juma Recording forms'!$G:$G,
      TRIM('Juma Recording forms'!$F:$F) = TRIM($B101),
      'Juma Recording forms'!$AA:$AA = 1
    ),
    1
  ),
  ""Not Found""
)"),185.0)</f>
        <v>185</v>
      </c>
      <c r="AG101" s="292">
        <f>IFERROR(__xludf.DUMMYFUNCTION("IFERROR(
  INDEX(
    FILTER(
      'Juma Recording forms'!$G:$G,
      TRIM('Juma Recording forms'!$F:$F) = TRIM($B101),
      'Juma Recording forms'!$AA:$AA = 2
    ),
    1
  ),
  ""Not Found""
)"),177.0)</f>
        <v>177</v>
      </c>
      <c r="AH101" s="292">
        <f>IFERROR(__xludf.DUMMYFUNCTION("IFERROR(
  INDEX(
    FILTER(
      'Juma Recording forms'!$G:$G,
      TRIM('Juma Recording forms'!$F:$F) = TRIM($B101),
      'Juma Recording forms'!$AA:$AA = 3
    ),
    1
  ),
  ""Not Found""
)"),170.0)</f>
        <v>170</v>
      </c>
      <c r="AI101" s="292" t="str">
        <f>IFERROR(__xludf.DUMMYFUNCTION("IFERROR(
  INDEX(
    FILTER(
      'Juma Recording forms'!$G:$G,
      TRIM('Juma Recording forms'!$F:$F) = TRIM($B101),
      'Juma Recording forms'!$AA:$AA = 4
    ),
    1
  ),
  ""Not Found""
)"),"Not Found")</f>
        <v>Not Found</v>
      </c>
      <c r="AJ101" s="292" t="str">
        <f>IFERROR(__xludf.DUMMYFUNCTION("IFERROR(
  INDEX(
    FILTER(
      'Juma Recording forms'!$G:$G,
      TRIM('Juma Recording forms'!$F:$F) = TRIM($B101),
      'Juma Recording forms'!$AA:$AA = 5
    ),
    1
  ),
  ""Not Found""
)"),"Not Found")</f>
        <v>Not Found</v>
      </c>
      <c r="AK101" s="292" t="str">
        <f>IFERROR(__xludf.DUMMYFUNCTION("IFERROR(
  INDEX(
    FILTER(
      'Juma Recording forms'!$G:$G,
      TRIM('Juma Recording forms'!$F:$F) = TRIM($B101),
      'Juma Recording forms'!$AA:$AA = 6
    ),
    1
  ),
  ""Not Found""
)"),"Not Found")</f>
        <v>Not Found</v>
      </c>
      <c r="AL1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1!$E:$E"")=$B101) *
        (IMPORTRANGE(""https://docs.google.com/spreadsheets/d/161aHT6vVT3SLneTKD19N5qVWtnj_jIT8CSsOmUVKmaA/e"&amp;"dit?gid=1761053510"",
          ""Haris_Form responses 1!$AQ:$AQ"")=1)
      ),
      1
    ),
    ""0""
  ),
  ""Form not found""
)
"),"10")</f>
        <v>10</v>
      </c>
      <c r="AM1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1!$E:$E"")=$B101) *
        (IMPORTRANGE(""https://docs.google.com/spreadsheets/d/161aHT6vVT3SLneTKD19N5qVWtnj_jIT8CSsOmUVKmaA/e"&amp;"dit?gid=1761053510"",
          ""Haris_Form responses 1!$AQ:$AQ"")=2)
      ),
      1
    ),
    ""0""
  ),
  ""Form not found""
)
"),"9")</f>
        <v>9</v>
      </c>
      <c r="AN1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1!$E:$E"")=$B101) *
        (IMPORTRANGE(""https://docs.google.com/spreadsheets/d/161aHT6vVT3SLneTKD19N5qVWtnj_jIT8CSsOmUVKmaA/e"&amp;"dit?gid=1761053510"",
          ""Haris_Form responses 1!$AQ:$AQ"")=3)
      ),
      1
    ),
    ""0""
  ),
  ""Form not found""
)
"),"0")</f>
        <v>0</v>
      </c>
      <c r="AO1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1!$E:$E"")=$B101) *
        (IMPORTRANGE(""https://docs.google.com/spreadsheets/d/161aHT6vVT3SLneTKD19N5qVWtnj_jIT8CSsOmUVKmaA/e"&amp;"dit?gid=1761053510"",
          ""Haris_Form responses 1!$AQ:$AQ"")=4)
      ),
      1
    ),
    ""0""
  ),
  ""Form not found""
)
"),"Form not found")</f>
        <v>Form not found</v>
      </c>
      <c r="AP1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1!$E:$E"")=$B101) *
        (IMPORTRANGE(""https://docs.google.com/spreadsheets/d/161aHT6vVT3SLneTKD19N5qVWtnj_jIT8CSsOmUVKmaA/e"&amp;"dit?gid=1761053510"",
          ""Haris_Form responses 1!$AQ:$AQ"")=5)
      ),
      1
    ),
    ""0""
  ),
  ""Form not found""
)
"),"Form not found")</f>
        <v>Form not found</v>
      </c>
      <c r="AQ1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1!$E:$E"")=$B101) *
        (IMPORTRANGE(""https://docs.google.com/spreadsheets/d/161aHT6vVT3SLneTKD19N5qVWtnj_jIT8CSsOmUVKmaA/e"&amp;"dit?gid=1761053510"",
          ""Haris_Form responses 1!$AQ:$AQ"")=6)
      ),
      1
    ),
    ""0""
  ),
  ""Form not found""
)
"),"Form not found")</f>
        <v>Form not found</v>
      </c>
      <c r="AR1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1!$E:$E"")=$B101) *
        (IMPORTRANGE(""https://docs.google.com/spreadsheets/d/161aHT6vVT3SLneTKD19N5qVWtnj_jIT8CSsOmUVKmaA/e"&amp;"dit?gid=1761053510"",
          ""Haris_Form responses 1!$AQ:$AQ"")=1)
      ),
      1
    ),
    ""0""
  ),
  ""Form not found""
)
"),"0")</f>
        <v>0</v>
      </c>
      <c r="AS1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1!$E:$E"")=$B101) *
        (IMPORTRANGE(""https://docs.google.com/spreadsheets/d/161aHT6vVT3SLneTKD19N5qVWtnj_jIT8CSsOmUVKmaA/e"&amp;"dit?gid=1761053510"",
          ""Haris_Form responses 1!$AQ:$AQ"")=2)
      ),
      1
    ),
    ""0""
  ),
  ""Form not found""
)
"),"0")</f>
        <v>0</v>
      </c>
      <c r="AT1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1!$E:$E"")=$B101) *
        (IMPORTRANGE(""https://docs.google.com/spreadsheets/d/161aHT6vVT3SLneTKD19N5qVWtnj_jIT8CSsOmUVKmaA/e"&amp;"dit?gid=1761053510"",
          ""Haris_Form responses 1!$AQ:$AQ"")=3)
      ),
      1
    ),
    ""0""
  ),
  ""Form not found""
)
"),"0")</f>
        <v>0</v>
      </c>
      <c r="AU1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1!$E:$E"")=$B101) *
        (IMPORTRANGE(""https://docs.google.com/spreadsheets/d/161aHT6vVT3SLneTKD19N5qVWtnj_jIT8CSsOmUVKmaA/e"&amp;"dit?gid=1761053510"",
          ""Haris_Form responses 1!$AQ:$AQ"")=4)
      ),
      1
    ),
    ""0""
  ),
  ""Form not found""
)
"),"Form not found")</f>
        <v>Form not found</v>
      </c>
      <c r="AV1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1!$E:$E"")=$B101) *
        (IMPORTRANGE(""https://docs.google.com/spreadsheets/d/161aHT6vVT3SLneTKD19N5qVWtnj_jIT8CSsOmUVKmaA/e"&amp;"dit?gid=1761053510"",
          ""Haris_Form responses 1!$AQ:$AQ"")=5)
      ),
      1
    ),
    ""0""
  ),
  ""Form not found""
)
"),"Form not found")</f>
        <v>Form not found</v>
      </c>
      <c r="AW1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1!$E:$E"")=$B101) *
        (IMPORTRANGE(""https://docs.google.com/spreadsheets/d/161aHT6vVT3SLneTKD19N5qVWtnj_jIT8CSsOmUVKmaA/e"&amp;"dit?gid=1761053510"",
          ""Haris_Form responses 1!$AQ:$AQ"")=6)
      ),
      1
    ),
    ""0""
  ),
  ""Form not found""
)
"),"Form not found")</f>
        <v>Form not found</v>
      </c>
      <c r="AX1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1!$E:$E"")=$B101) *
        (IMPORTRANGE(""https://docs.google.com/spreadsheets/d/161aHT6vVT3SLneTKD19N5qVWtnj_jIT8CSsOmUVKmaA/e"&amp;"dit?gid=1761053510"",
          ""Haris_Form responses 1!$AQ:$AQ"")=1)
      ),
      1
    ),
    ""0""
  ),
  ""Form not found""
)
"),"10")</f>
        <v>10</v>
      </c>
      <c r="AY1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1!$E:$E"")=$B101) *
        (IMPORTRANGE(""https://docs.google.com/spreadsheets/d/161aHT6vVT3SLneTKD19N5qVWtnj_jIT8CSsOmUVKmaA/e"&amp;"dit?gid=1761053510"",
          ""Haris_Form responses 1!$AQ:$AQ"")=2)
      ),
      1
    ),
    ""0""
  ),
  ""Form not found""
)
"),"9")</f>
        <v>9</v>
      </c>
      <c r="AZ1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1!$E:$E"")=$B101) *
        (IMPORTRANGE(""https://docs.google.com/spreadsheets/d/161aHT6vVT3SLneTKD19N5qVWtnj_jIT8CSsOmUVKmaA/e"&amp;"dit?gid=1761053510"",
          ""Haris_Form responses 1!$AQ:$AQ"")=3)
      ),
      1
    ),
    ""0""
  ),
  ""Form not found""
)
"),"0")</f>
        <v>0</v>
      </c>
      <c r="BA1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1!$E:$E"")=$B101) *
        (IMPORTRANGE(""https://docs.google.com/spreadsheets/d/161aHT6vVT3SLneTKD19N5qVWtnj_jIT8CSsOmUVKmaA/e"&amp;"dit?gid=1761053510"",
          ""Haris_Form responses 1!$AQ:$AQ"")=4)
      ),
      1
    ),
    ""0""
  ),
  ""Form not found""
)
"),"Form not found")</f>
        <v>Form not found</v>
      </c>
      <c r="BB1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1!$E:$E"")=$B101) *
        (IMPORTRANGE(""https://docs.google.com/spreadsheets/d/161aHT6vVT3SLneTKD19N5qVWtnj_jIT8CSsOmUVKmaA/e"&amp;"dit?gid=1761053510"",
          ""Haris_Form responses 1!$AQ:$AQ"")=5)
      ),
      1
    ),
    ""0""
  ),
  ""Form not found""
)
"),"Form not found")</f>
        <v>Form not found</v>
      </c>
      <c r="BC1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1!$E:$E"")=$B101) *
        (IMPORTRANGE(""https://docs.google.com/spreadsheets/d/161aHT6vVT3SLneTKD19N5qVWtnj_jIT8CSsOmUVKmaA/e"&amp;"dit?gid=1761053510"",
          ""Haris_Form responses 1!$AQ:$AQ"")=6)
      ),
      1
    ),
    ""0""
  ),
  ""Form not found""
)
"),"Form not found")</f>
        <v>Form not found</v>
      </c>
      <c r="BD101" s="293"/>
    </row>
    <row r="102">
      <c r="A102" s="283" t="str">
        <f>IFERROR(__xludf.DUMMYFUNCTION("VLOOKUP($B102,IMPORTRANGE(""https://docs.google.com/spreadsheets/d/1VNXDITjs75AcgdBSW27oL1VZH31udDprJSsBcE5xlp4/edit?gid=1551188038#gid=1551188038"", ""Sheet9!$B:$E""),2,false)"),"Saikot")</f>
        <v>Saikot</v>
      </c>
      <c r="B102" s="283" t="s">
        <v>4562</v>
      </c>
      <c r="C102" s="284" t="str">
        <f>IFERROR(__xludf.DUMMYFUNCTION("VLOOKUP(TRIM($B102), IMPORTRANGE(""https://docs.google.com/spreadsheets/d/1aSOrU4PTpuBZqfitKaH1Rfww6-YOiNCKoBpPl8XBHaw/edit?gid=0#gid=0"", ""sheet3!$B:$C""), 2, FALSE)
"),"Jamia Masjid Darbar Peer Milah Reheem Pura Kachian, Tehsil &amp; District Sialkot")</f>
        <v>Jamia Masjid Darbar Peer Milah Reheem Pura Kachian, Tehsil &amp; District Sialkot</v>
      </c>
      <c r="D102" s="284" t="str">
        <f>IFERROR(__xludf.DUMMYFUNCTION("IFERROR(
  INDEX(
    FILTER(
      IMPORTRANGE(""1aSOrU4PTpuBZqfitKaH1Rfww6-YOiNCKoBpPl8XBHaw/edit?gid=0#gid=0"",""Sheet1!G:G""),
      IMPORTRANGE(""1aSOrU4PTpuBZqfitKaH1Rfww6-YOiNCKoBpPl8XBHaw/edit?gid=0#gid=0"",""Sheet1!C:C"")=$B102
    ),
    1
  ),
"&amp;"  ""Not Found""
)"),"Community Secular No Info Share")</f>
        <v>Community Secular No Info Share</v>
      </c>
      <c r="E102" s="284" t="str">
        <f>VLOOKUP(B102,'Juma Recording forms'!A:E,5,false)</f>
        <v>Jamia Masjid Darbar Peer Milah Reheem Pura Kachian, Tehsil &amp; District Sialkot</v>
      </c>
      <c r="F102" s="284" t="str">
        <f>IFERROR(__xludf.DUMMYFUNCTION("IFERROR(
  INDEX(
    FILTER(
      IMPORTRANGE(""1Cxrhp3-_-HS7v9uuqQliiIfrmMP4VaFoDNDWyUFy2J8/edit?gid=0#gid=0"",""Sheet1!Q:Q""),
      IMPORTRANGE(""1Cxrhp3-_-HS7v9uuqQliiIfrmMP4VaFoDNDWyUFy2J8/edit?gid=0#gid=0"",""Sheet1!K:K"")=$B102
    ),
    1
  ),
"&amp;"  ""Not Found""
)"),"Parvaiz Iqbal")</f>
        <v>Parvaiz Iqbal</v>
      </c>
      <c r="G102" s="284">
        <v>2005.0</v>
      </c>
      <c r="H102" s="284" t="s">
        <v>4843</v>
      </c>
      <c r="I102" s="285"/>
      <c r="J102" s="286">
        <v>2.0</v>
      </c>
      <c r="K102" s="287" t="str">
        <f>VLOOKUP($B102,'Mosque Locations'!$A:$E,3,FALSE)
</f>
        <v>https://maps.google.com/maps?q=32.5489782%2C74.5487986&amp;z=17&amp;hl=en</v>
      </c>
      <c r="L102" s="286">
        <f>VLOOKUP($B102,'Mosque Locations'!$A:$E,4,FALSE)
</f>
        <v>32.5489782</v>
      </c>
      <c r="M102" s="286">
        <f>VLOOKUP($B102,'Mosque Locations'!$A:$E,5,false)</f>
        <v>74.5487986</v>
      </c>
      <c r="N102" s="288"/>
      <c r="O102" s="288"/>
      <c r="P102" s="288"/>
      <c r="Q102" s="289" t="str">
        <f>IFERROR(__xludf.DUMMYFUNCTION("IFERROR(
  INDEX(
    FILTER(
      IMPORTRANGE(""1DccNxjBgurEr0ABkI_rBagJT5phB5HaHG5N_mTm_BiA/edit?gid=1382299152#gid=1382299152"",""Form Responses 1!T:T""),
      IMPORTRANGE(""1DccNxjBgurEr0ABkI_rBagJT5phB5HaHG5N_mTm_BiA/edit?gid=1382299152#gid=1382299"&amp;"152"",""Form Responses 1!E:E"")=$B102
    ),
    1
  ),
  ""Not Found""
)"),"https://drive.google.com/open?id=13p_goAQct7KhxsyjwJOOs4f5wCejR0uh")</f>
        <v>https://drive.google.com/open?id=13p_goAQct7KhxsyjwJOOs4f5wCejR0uh</v>
      </c>
      <c r="R102" s="289" t="str">
        <f>IFERROR(__xludf.DUMMYFUNCTION("IFERROR(
  INDEX(
    FILTER(
      IMPORTRANGE(""1DccNxjBgurEr0ABkI_rBagJT5phB5HaHG5N_mTm_BiA/edit?gid=1382299152#gid=1382299152"",""Form Responses 1!S:S""),
      IMPORTRANGE(""1DccNxjBgurEr0ABkI_rBagJT5phB5HaHG5N_mTm_BiA/edit?gid=1382299152#gid=1382299"&amp;"152"",""Form Responses 1!E:E"")=$B102
    ),
    1
  ),
  ""Not Found""
)"),"https://drive.google.com/open?id=12De6V-GYjqqAZVfw9rQHFe7shPS7Y6vQ")</f>
        <v>https://drive.google.com/open?id=12De6V-GYjqqAZVfw9rQHFe7shPS7Y6vQ</v>
      </c>
      <c r="S102" s="285"/>
      <c r="T102" s="290" t="str">
        <f>VLOOKUP($B102,'Master Tracker'!$D:$E,2,false)</f>
        <v>https://drive.google.com/open?id=14qnOoInmDGkfHlNVJIYi-u6ZGmQp91uD</v>
      </c>
      <c r="U102" s="291" t="str">
        <f>VLOOKUP($B102,'Master Tracker'!$D:$T,4,FALSE)
</f>
        <v>https://drive.google.com/open?id=1FevtEaHqBvQ51I6bx4FfR6Q5-fuJuhtA</v>
      </c>
      <c r="V102" s="290" t="str">
        <f>VLOOKUP($B102,'Master Tracker'!$D:$T,5,false)</f>
        <v>https://drive.google.com/open?id=10GeL6ofm6IQ5ZUwKmbEgBIYLk6f5hQFU</v>
      </c>
      <c r="W102" s="291" t="str">
        <f>VLOOKUP($B102,'Master Tracker'!$D:$T,7,false)</f>
        <v>https://drive.google.com/open?id=13JiQlh-tU3PL7CoRdOy75fTcx_Yrw_KR</v>
      </c>
      <c r="X102" s="290" t="str">
        <f>VLOOKUP($B102,'Master Tracker'!$D:$T,8,false)</f>
        <v>https://drive.google.com/open?id=1VxeAdn7KQQVZf32LCsXnHi9K5t6e-m8p</v>
      </c>
      <c r="Y102" s="291" t="str">
        <f>VLOOKUP($B102,'Master Tracker'!$D:$T,10,false)</f>
        <v>https://drive.google.com/open?id=16bPFR0oHDEzzf1U9oc_aWFI5kBs3mTJn</v>
      </c>
      <c r="Z102" s="284" t="str">
        <f>VLOOKUP($B102,'Master Tracker'!$D:$T,11,false)</f>
        <v>Not Found</v>
      </c>
      <c r="AA102" s="292" t="str">
        <f>VLOOKUP($B102,'Master Tracker'!$D:$T,13,false)</f>
        <v>Not Found</v>
      </c>
      <c r="AB102" s="284" t="str">
        <f>VLOOKUP($B102,'Master Tracker'!$D:$T,14,false)</f>
        <v>Not Found</v>
      </c>
      <c r="AC102" s="292" t="str">
        <f>VLOOKUP($B102,'Master Tracker'!$D:$T,16,false)</f>
        <v>Not Found</v>
      </c>
      <c r="AD102" s="292" t="str">
        <f>VLOOKUP($B102,'Master Tracker'!$D:$T,17,false)</f>
        <v>Not Found</v>
      </c>
      <c r="AE102" s="292" t="str">
        <f>VLOOKUP($B102,'Master Tracker'!$D:$V,19,false)</f>
        <v>Not Found</v>
      </c>
      <c r="AF102" s="292">
        <f>IFERROR(__xludf.DUMMYFUNCTION("IFERROR(
  INDEX(
    FILTER(
      'Juma Recording forms'!$G:$G,
      TRIM('Juma Recording forms'!$F:$F) = TRIM($B102),
      'Juma Recording forms'!$AA:$AA = 1
    ),
    1
  ),
  ""Not Found""
)"),370.0)</f>
        <v>370</v>
      </c>
      <c r="AG102" s="292">
        <f>IFERROR(__xludf.DUMMYFUNCTION("IFERROR(
  INDEX(
    FILTER(
      'Juma Recording forms'!$G:$G,
      TRIM('Juma Recording forms'!$F:$F) = TRIM($B102),
      'Juma Recording forms'!$AA:$AA = 2
    ),
    1
  ),
  ""Not Found""
)"),390.0)</f>
        <v>390</v>
      </c>
      <c r="AH102" s="292">
        <f>IFERROR(__xludf.DUMMYFUNCTION("IFERROR(
  INDEX(
    FILTER(
      'Juma Recording forms'!$G:$G,
      TRIM('Juma Recording forms'!$F:$F) = TRIM($B102),
      'Juma Recording forms'!$AA:$AA = 3
    ),
    1
  ),
  ""Not Found""
)"),360.0)</f>
        <v>360</v>
      </c>
      <c r="AI102" s="292" t="str">
        <f>IFERROR(__xludf.DUMMYFUNCTION("IFERROR(
  INDEX(
    FILTER(
      'Juma Recording forms'!$G:$G,
      TRIM('Juma Recording forms'!$F:$F) = TRIM($B102),
      'Juma Recording forms'!$AA:$AA = 4
    ),
    1
  ),
  ""Not Found""
)"),"Not Found")</f>
        <v>Not Found</v>
      </c>
      <c r="AJ102" s="292" t="str">
        <f>IFERROR(__xludf.DUMMYFUNCTION("IFERROR(
  INDEX(
    FILTER(
      'Juma Recording forms'!$G:$G,
      TRIM('Juma Recording forms'!$F:$F) = TRIM($B102),
      'Juma Recording forms'!$AA:$AA = 5
    ),
    1
  ),
  ""Not Found""
)"),"Not Found")</f>
        <v>Not Found</v>
      </c>
      <c r="AK102" s="292" t="str">
        <f>IFERROR(__xludf.DUMMYFUNCTION("IFERROR(
  INDEX(
    FILTER(
      'Juma Recording forms'!$G:$G,
      TRIM('Juma Recording forms'!$F:$F) = TRIM($B102),
      'Juma Recording forms'!$AA:$AA = 6
    ),
    1
  ),
  ""Not Found""
)"),"Not Found")</f>
        <v>Not Found</v>
      </c>
      <c r="AL1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1!$E:$E"")=$B102) *
        (IMPORTRANGE(""https://docs.google.com/spreadsheets/d/161aHT6vVT3SLneTKD19N5qVWtnj_jIT8CSsOmUVKmaA/e"&amp;"dit?gid=1761053510"",
          ""Haris_Form responses 1!$AQ:$AQ"")=1)
      ),
      1
    ),
    ""0""
  ),
  ""Form not found""
)
"),"10")</f>
        <v>10</v>
      </c>
      <c r="AM1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1!$E:$E"")=$B102) *
        (IMPORTRANGE(""https://docs.google.com/spreadsheets/d/161aHT6vVT3SLneTKD19N5qVWtnj_jIT8CSsOmUVKmaA/e"&amp;"dit?gid=1761053510"",
          ""Haris_Form responses 1!$AQ:$AQ"")=2)
      ),
      1
    ),
    ""0""
  ),
  ""Form not found""
)
"),"7")</f>
        <v>7</v>
      </c>
      <c r="AN1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1!$E:$E"")=$B102) *
        (IMPORTRANGE(""https://docs.google.com/spreadsheets/d/161aHT6vVT3SLneTKD19N5qVWtnj_jIT8CSsOmUVKmaA/e"&amp;"dit?gid=1761053510"",
          ""Haris_Form responses 1!$AQ:$AQ"")=3)
      ),
      1
    ),
    ""0""
  ),
  ""Form not found""
)
"),"0")</f>
        <v>0</v>
      </c>
      <c r="AO1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1!$E:$E"")=$B102) *
        (IMPORTRANGE(""https://docs.google.com/spreadsheets/d/161aHT6vVT3SLneTKD19N5qVWtnj_jIT8CSsOmUVKmaA/e"&amp;"dit?gid=1761053510"",
          ""Haris_Form responses 1!$AQ:$AQ"")=4)
      ),
      1
    ),
    ""0""
  ),
  ""Form not found""
)
"),"Form not found")</f>
        <v>Form not found</v>
      </c>
      <c r="AP1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1!$E:$E"")=$B102) *
        (IMPORTRANGE(""https://docs.google.com/spreadsheets/d/161aHT6vVT3SLneTKD19N5qVWtnj_jIT8CSsOmUVKmaA/e"&amp;"dit?gid=1761053510"",
          ""Haris_Form responses 1!$AQ:$AQ"")=5)
      ),
      1
    ),
    ""0""
  ),
  ""Form not found""
)
"),"Form not found")</f>
        <v>Form not found</v>
      </c>
      <c r="AQ1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1!$E:$E"")=$B102) *
        (IMPORTRANGE(""https://docs.google.com/spreadsheets/d/161aHT6vVT3SLneTKD19N5qVWtnj_jIT8CSsOmUVKmaA/e"&amp;"dit?gid=1761053510"",
          ""Haris_Form responses 1!$AQ:$AQ"")=6)
      ),
      1
    ),
    ""0""
  ),
  ""Form not found""
)
"),"Form not found")</f>
        <v>Form not found</v>
      </c>
      <c r="AR1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1!$E:$E"")=$B102) *
        (IMPORTRANGE(""https://docs.google.com/spreadsheets/d/161aHT6vVT3SLneTKD19N5qVWtnj_jIT8CSsOmUVKmaA/e"&amp;"dit?gid=1761053510"",
          ""Haris_Form responses 1!$AQ:$AQ"")=1)
      ),
      1
    ),
    ""0""
  ),
  ""Form not found""
)
"),"10")</f>
        <v>10</v>
      </c>
      <c r="AS1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1!$E:$E"")=$B102) *
        (IMPORTRANGE(""https://docs.google.com/spreadsheets/d/161aHT6vVT3SLneTKD19N5qVWtnj_jIT8CSsOmUVKmaA/e"&amp;"dit?gid=1761053510"",
          ""Haris_Form responses 1!$AQ:$AQ"")=2)
      ),
      1
    ),
    ""0""
  ),
  ""Form not found""
)
"),"7")</f>
        <v>7</v>
      </c>
      <c r="AT1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1!$E:$E"")=$B102) *
        (IMPORTRANGE(""https://docs.google.com/spreadsheets/d/161aHT6vVT3SLneTKD19N5qVWtnj_jIT8CSsOmUVKmaA/e"&amp;"dit?gid=1761053510"",
          ""Haris_Form responses 1!$AQ:$AQ"")=3)
      ),
      1
    ),
    ""0""
  ),
  ""Form not found""
)
"),"0")</f>
        <v>0</v>
      </c>
      <c r="AU1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1!$E:$E"")=$B102) *
        (IMPORTRANGE(""https://docs.google.com/spreadsheets/d/161aHT6vVT3SLneTKD19N5qVWtnj_jIT8CSsOmUVKmaA/e"&amp;"dit?gid=1761053510"",
          ""Haris_Form responses 1!$AQ:$AQ"")=4)
      ),
      1
    ),
    ""0""
  ),
  ""Form not found""
)
"),"Form not found")</f>
        <v>Form not found</v>
      </c>
      <c r="AV1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1!$E:$E"")=$B102) *
        (IMPORTRANGE(""https://docs.google.com/spreadsheets/d/161aHT6vVT3SLneTKD19N5qVWtnj_jIT8CSsOmUVKmaA/e"&amp;"dit?gid=1761053510"",
          ""Haris_Form responses 1!$AQ:$AQ"")=5)
      ),
      1
    ),
    ""0""
  ),
  ""Form not found""
)
"),"Form not found")</f>
        <v>Form not found</v>
      </c>
      <c r="AW1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1!$E:$E"")=$B102) *
        (IMPORTRANGE(""https://docs.google.com/spreadsheets/d/161aHT6vVT3SLneTKD19N5qVWtnj_jIT8CSsOmUVKmaA/e"&amp;"dit?gid=1761053510"",
          ""Haris_Form responses 1!$AQ:$AQ"")=6)
      ),
      1
    ),
    ""0""
  ),
  ""Form not found""
)
"),"Form not found")</f>
        <v>Form not found</v>
      </c>
      <c r="AX1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1!$E:$E"")=$B102) *
        (IMPORTRANGE(""https://docs.google.com/spreadsheets/d/161aHT6vVT3SLneTKD19N5qVWtnj_jIT8CSsOmUVKmaA/e"&amp;"dit?gid=1761053510"",
          ""Haris_Form responses 1!$AQ:$AQ"")=1)
      ),
      1
    ),
    ""0""
  ),
  ""Form not found""
)
"),"0")</f>
        <v>0</v>
      </c>
      <c r="AY1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1!$E:$E"")=$B102) *
        (IMPORTRANGE(""https://docs.google.com/spreadsheets/d/161aHT6vVT3SLneTKD19N5qVWtnj_jIT8CSsOmUVKmaA/e"&amp;"dit?gid=1761053510"",
          ""Haris_Form responses 1!$AQ:$AQ"")=2)
      ),
      1
    ),
    ""0""
  ),
  ""Form not found""
)
"),"0")</f>
        <v>0</v>
      </c>
      <c r="AZ1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1!$E:$E"")=$B102) *
        (IMPORTRANGE(""https://docs.google.com/spreadsheets/d/161aHT6vVT3SLneTKD19N5qVWtnj_jIT8CSsOmUVKmaA/e"&amp;"dit?gid=1761053510"",
          ""Haris_Form responses 1!$AQ:$AQ"")=3)
      ),
      1
    ),
    ""0""
  ),
  ""Form not found""
)
"),"0")</f>
        <v>0</v>
      </c>
      <c r="BA1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1!$E:$E"")=$B102) *
        (IMPORTRANGE(""https://docs.google.com/spreadsheets/d/161aHT6vVT3SLneTKD19N5qVWtnj_jIT8CSsOmUVKmaA/e"&amp;"dit?gid=1761053510"",
          ""Haris_Form responses 1!$AQ:$AQ"")=4)
      ),
      1
    ),
    ""0""
  ),
  ""Form not found""
)
"),"Form not found")</f>
        <v>Form not found</v>
      </c>
      <c r="BB1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1!$E:$E"")=$B102) *
        (IMPORTRANGE(""https://docs.google.com/spreadsheets/d/161aHT6vVT3SLneTKD19N5qVWtnj_jIT8CSsOmUVKmaA/e"&amp;"dit?gid=1761053510"",
          ""Haris_Form responses 1!$AQ:$AQ"")=5)
      ),
      1
    ),
    ""0""
  ),
  ""Form not found""
)
"),"Form not found")</f>
        <v>Form not found</v>
      </c>
      <c r="BC1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1!$E:$E"")=$B102) *
        (IMPORTRANGE(""https://docs.google.com/spreadsheets/d/161aHT6vVT3SLneTKD19N5qVWtnj_jIT8CSsOmUVKmaA/e"&amp;"dit?gid=1761053510"",
          ""Haris_Form responses 1!$AQ:$AQ"")=6)
      ),
      1
    ),
    ""0""
  ),
  ""Form not found""
)
"),"Form not found")</f>
        <v>Form not found</v>
      </c>
      <c r="BD102" s="293"/>
    </row>
    <row r="103">
      <c r="A103" s="283" t="str">
        <f>IFERROR(__xludf.DUMMYFUNCTION("VLOOKUP($B103,IMPORTRANGE(""https://docs.google.com/spreadsheets/d/1VNXDITjs75AcgdBSW27oL1VZH31udDprJSsBcE5xlp4/edit?gid=1551188038#gid=1551188038"", ""Sheet9!$B:$E""),2,false)"),"Saikot")</f>
        <v>Saikot</v>
      </c>
      <c r="B103" s="283" t="s">
        <v>1969</v>
      </c>
      <c r="C103" s="284" t="str">
        <f>IFERROR(__xludf.DUMMYFUNCTION("VLOOKUP(TRIM($B103), IMPORTRANGE(""https://docs.google.com/spreadsheets/d/1aSOrU4PTpuBZqfitKaH1Rfww6-YOiNCKoBpPl8XBHaw/edit?gid=0#gid=0"", ""sheet3!$B:$C""), 2, FALSE)
"),"Jamia Masjid Darbar Abdul Salam Chisti Shakarghar")</f>
        <v>Jamia Masjid Darbar Abdul Salam Chisti Shakarghar</v>
      </c>
      <c r="D103" s="284" t="str">
        <f>IFERROR(__xludf.DUMMYFUNCTION("IFERROR(
  INDEX(
    FILTER(
      IMPORTRANGE(""1aSOrU4PTpuBZqfitKaH1Rfww6-YOiNCKoBpPl8XBHaw/edit?gid=0#gid=0"",""Sheet1!G:G""),
      IMPORTRANGE(""1aSOrU4PTpuBZqfitKaH1Rfww6-YOiNCKoBpPl8XBHaw/edit?gid=0#gid=0"",""Sheet1!C:C"")=$B103
    ),
    1
  ),
"&amp;"  ""Not Found""
)"),"Women Secular Info Share")</f>
        <v>Women Secular Info Share</v>
      </c>
      <c r="E103" s="284" t="str">
        <f>VLOOKUP(B103,'Juma Recording forms'!A:E,5,false)</f>
        <v>Jamia Masjid Darbar Abdul Salam chishti Musroor Shakargarh</v>
      </c>
      <c r="F103" s="284" t="str">
        <f>IFERROR(__xludf.DUMMYFUNCTION("IFERROR(
  INDEX(
    FILTER(
      IMPORTRANGE(""1Cxrhp3-_-HS7v9uuqQliiIfrmMP4VaFoDNDWyUFy2J8/edit?gid=0#gid=0"",""Sheet1!Q:Q""),
      IMPORTRANGE(""1Cxrhp3-_-HS7v9uuqQliiIfrmMP4VaFoDNDWyUFy2J8/edit?gid=0#gid=0"",""Sheet1!K:K"")=$B103
    ),
    1
  ),
"&amp;"  ""Not Found""
)"),"Qari Muhammad Riaz")</f>
        <v>Qari Muhammad Riaz</v>
      </c>
      <c r="G103" s="284">
        <v>2002.0</v>
      </c>
      <c r="H103" s="284" t="s">
        <v>4844</v>
      </c>
      <c r="I103" s="285"/>
      <c r="J103" s="286">
        <v>1.0</v>
      </c>
      <c r="K103" s="287" t="str">
        <f>VLOOKUP($B103,'Mosque Locations'!$A:$E,3,FALSE)
</f>
        <v>https://maps.google.com/maps?q=32.3261997%2C75.3006909&amp;z=17&amp;hl=en</v>
      </c>
      <c r="L103" s="286">
        <f>VLOOKUP($B103,'Mosque Locations'!$A:$E,4,FALSE)
</f>
        <v>32.3261997</v>
      </c>
      <c r="M103" s="286">
        <f>VLOOKUP($B103,'Mosque Locations'!$A:$E,5,false)</f>
        <v>75.3006909</v>
      </c>
      <c r="N103" s="288"/>
      <c r="O103" s="288"/>
      <c r="P103" s="288"/>
      <c r="Q103" s="289" t="str">
        <f>IFERROR(__xludf.DUMMYFUNCTION("IFERROR(
  INDEX(
    FILTER(
      IMPORTRANGE(""1DccNxjBgurEr0ABkI_rBagJT5phB5HaHG5N_mTm_BiA/edit?gid=1382299152#gid=1382299152"",""Form Responses 1!T:T""),
      IMPORTRANGE(""1DccNxjBgurEr0ABkI_rBagJT5phB5HaHG5N_mTm_BiA/edit?gid=1382299152#gid=1382299"&amp;"152"",""Form Responses 1!E:E"")=$B103
    ),
    1
  ),
  ""Not Found""
)"),"https://drive.google.com/open?id=1W9cTMzJUGIto5c2vBD81QLvkRtcDSvWG")</f>
        <v>https://drive.google.com/open?id=1W9cTMzJUGIto5c2vBD81QLvkRtcDSvWG</v>
      </c>
      <c r="R103" s="296" t="str">
        <f>IFERROR(__xludf.DUMMYFUNCTION("IFERROR(
  INDEX(
    FILTER(
      IMPORTRANGE(""1DccNxjBgurEr0ABkI_rBagJT5phB5HaHG5N_mTm_BiA/edit?gid=1382299152#gid=1382299152"",""Form Responses 1!S:S""),
      IMPORTRANGE(""1DccNxjBgurEr0ABkI_rBagJT5phB5HaHG5N_mTm_BiA/edit?gid=1382299152#gid=1382299"&amp;"152"",""Form Responses 1!E:E"")=$B103
    ),
    1
  ),
  ""Not Found""
)"),"https://drive.google.com/open?id=1n5J6O8VFGw2AVuTlbqRcdb2o0u1_1GeY")</f>
        <v>https://drive.google.com/open?id=1n5J6O8VFGw2AVuTlbqRcdb2o0u1_1GeY</v>
      </c>
      <c r="S103" s="285"/>
      <c r="T103" s="290" t="str">
        <f>VLOOKUP($B103,'Master Tracker'!$D:$E,2,false)</f>
        <v>https://drive.google.com/open?id=1Qo8W-7qumF0eSaLqwU_4IgWEfJ9Zx5LZ</v>
      </c>
      <c r="U103" s="291" t="str">
        <f>VLOOKUP($B103,'Master Tracker'!$D:$T,4,FALSE)
</f>
        <v>https://drive.google.com/open?id=11ehwLccGkgal-E47G-c9m2_n_UPeYuIi</v>
      </c>
      <c r="V103" s="284" t="str">
        <f>VLOOKUP($B103,'Master Tracker'!$D:$T,5,false)</f>
        <v>https://drive.google.com/open?id=1pDwSWPR-2e1nr2J90ZoMgm6jgM4lHcH6, https://drive.google.com/open?id=1nr98yzSn7r9kAa-W3PfFN1vg8qpp7eyy</v>
      </c>
      <c r="W103" s="291" t="str">
        <f>VLOOKUP($B103,'Master Tracker'!$D:$T,7,false)</f>
        <v>https://drive.google.com/open?id=1TRmQ0MT6DDmJlnaDcK-UxGQbvEI73kfv</v>
      </c>
      <c r="X103" s="290" t="str">
        <f>VLOOKUP($B103,'Master Tracker'!$D:$T,8,false)</f>
        <v>https://drive.google.com/open?id=1_qR7RQeaJTRp8Gjpegf2z79UVao65NI9</v>
      </c>
      <c r="Y103" s="291" t="str">
        <f>VLOOKUP($B103,'Master Tracker'!$D:$T,10,false)</f>
        <v>https://drive.google.com/open?id=1HJdlQNUPNw5ZZPOWrI5RTpIN5U7Ihipm</v>
      </c>
      <c r="Z103" s="284" t="str">
        <f>VLOOKUP($B103,'Master Tracker'!$D:$T,11,false)</f>
        <v>Not Found</v>
      </c>
      <c r="AA103" s="292" t="str">
        <f>VLOOKUP($B103,'Master Tracker'!$D:$T,13,false)</f>
        <v>Not Found</v>
      </c>
      <c r="AB103" s="284" t="str">
        <f>VLOOKUP($B103,'Master Tracker'!$D:$T,14,false)</f>
        <v>Not Found</v>
      </c>
      <c r="AC103" s="292" t="str">
        <f>VLOOKUP($B103,'Master Tracker'!$D:$T,16,false)</f>
        <v>Not Found</v>
      </c>
      <c r="AD103" s="292" t="str">
        <f>VLOOKUP($B103,'Master Tracker'!$D:$T,17,false)</f>
        <v>Not Found</v>
      </c>
      <c r="AE103" s="292" t="str">
        <f>VLOOKUP($B103,'Master Tracker'!$D:$V,19,false)</f>
        <v>Not Found</v>
      </c>
      <c r="AF103" s="292">
        <f>IFERROR(__xludf.DUMMYFUNCTION("IFERROR(
  INDEX(
    FILTER(
      'Juma Recording forms'!$G:$G,
      TRIM('Juma Recording forms'!$F:$F) = TRIM($B103),
      'Juma Recording forms'!$AA:$AA = 1
    ),
    1
  ),
  ""Not Found""
)"),88.0)</f>
        <v>88</v>
      </c>
      <c r="AG103" s="292">
        <f>IFERROR(__xludf.DUMMYFUNCTION("IFERROR(
  INDEX(
    FILTER(
      'Juma Recording forms'!$G:$G,
      TRIM('Juma Recording forms'!$F:$F) = TRIM($B103),
      'Juma Recording forms'!$AA:$AA = 2
    ),
    1
  ),
  ""Not Found""
)"),82.0)</f>
        <v>82</v>
      </c>
      <c r="AH103" s="292">
        <f>IFERROR(__xludf.DUMMYFUNCTION("IFERROR(
  INDEX(
    FILTER(
      'Juma Recording forms'!$G:$G,
      TRIM('Juma Recording forms'!$F:$F) = TRIM($B103),
      'Juma Recording forms'!$AA:$AA = 3
    ),
    1
  ),
  ""Not Found""
)"),78.0)</f>
        <v>78</v>
      </c>
      <c r="AI103" s="292" t="str">
        <f>IFERROR(__xludf.DUMMYFUNCTION("IFERROR(
  INDEX(
    FILTER(
      'Juma Recording forms'!$G:$G,
      TRIM('Juma Recording forms'!$F:$F) = TRIM($B103),
      'Juma Recording forms'!$AA:$AA = 4
    ),
    1
  ),
  ""Not Found""
)"),"Not Found")</f>
        <v>Not Found</v>
      </c>
      <c r="AJ103" s="292" t="str">
        <f>IFERROR(__xludf.DUMMYFUNCTION("IFERROR(
  INDEX(
    FILTER(
      'Juma Recording forms'!$G:$G,
      TRIM('Juma Recording forms'!$F:$F) = TRIM($B103),
      'Juma Recording forms'!$AA:$AA = 5
    ),
    1
  ),
  ""Not Found""
)"),"Not Found")</f>
        <v>Not Found</v>
      </c>
      <c r="AK103" s="292" t="str">
        <f>IFERROR(__xludf.DUMMYFUNCTION("IFERROR(
  INDEX(
    FILTER(
      'Juma Recording forms'!$G:$G,
      TRIM('Juma Recording forms'!$F:$F) = TRIM($B103),
      'Juma Recording forms'!$AA:$AA = 6
    ),
    1
  ),
  ""Not Found""
)"),"Not Found")</f>
        <v>Not Found</v>
      </c>
      <c r="AL1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1!$E:$E"")=$B103) *
        (IMPORTRANGE(""https://docs.google.com/spreadsheets/d/161aHT6vVT3SLneTKD19N5qVWtnj_jIT8CSsOmUVKmaA/e"&amp;"dit?gid=1761053510"",
          ""Haris_Form responses 1!$AQ:$AQ"")=1)
      ),
      1
    ),
    ""0""
  ),
  ""Form not found""
)
"),"10")</f>
        <v>10</v>
      </c>
      <c r="AM1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1!$E:$E"")=$B103) *
        (IMPORTRANGE(""https://docs.google.com/spreadsheets/d/161aHT6vVT3SLneTKD19N5qVWtnj_jIT8CSsOmUVKmaA/e"&amp;"dit?gid=1761053510"",
          ""Haris_Form responses 1!$AQ:$AQ"")=2)
      ),
      1
    ),
    ""0""
  ),
  ""Form not found""
)
"),"10")</f>
        <v>10</v>
      </c>
      <c r="AN1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1!$E:$E"")=$B103) *
        (IMPORTRANGE(""https://docs.google.com/spreadsheets/d/161aHT6vVT3SLneTKD19N5qVWtnj_jIT8CSsOmUVKmaA/e"&amp;"dit?gid=1761053510"",
          ""Haris_Form responses 1!$AQ:$AQ"")=3)
      ),
      1
    ),
    ""0""
  ),
  ""Form not found""
)
"),"0")</f>
        <v>0</v>
      </c>
      <c r="AO1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1!$E:$E"")=$B103) *
        (IMPORTRANGE(""https://docs.google.com/spreadsheets/d/161aHT6vVT3SLneTKD19N5qVWtnj_jIT8CSsOmUVKmaA/e"&amp;"dit?gid=1761053510"",
          ""Haris_Form responses 1!$AQ:$AQ"")=4)
      ),
      1
    ),
    ""0""
  ),
  ""Form not found""
)
"),"Form not found")</f>
        <v>Form not found</v>
      </c>
      <c r="AP1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1!$E:$E"")=$B103) *
        (IMPORTRANGE(""https://docs.google.com/spreadsheets/d/161aHT6vVT3SLneTKD19N5qVWtnj_jIT8CSsOmUVKmaA/e"&amp;"dit?gid=1761053510"",
          ""Haris_Form responses 1!$AQ:$AQ"")=5)
      ),
      1
    ),
    ""0""
  ),
  ""Form not found""
)
"),"Form not found")</f>
        <v>Form not found</v>
      </c>
      <c r="AQ1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1!$E:$E"")=$B103) *
        (IMPORTRANGE(""https://docs.google.com/spreadsheets/d/161aHT6vVT3SLneTKD19N5qVWtnj_jIT8CSsOmUVKmaA/e"&amp;"dit?gid=1761053510"",
          ""Haris_Form responses 1!$AQ:$AQ"")=6)
      ),
      1
    ),
    ""0""
  ),
  ""Form not found""
)
"),"Form not found")</f>
        <v>Form not found</v>
      </c>
      <c r="AR1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1!$E:$E"")=$B103) *
        (IMPORTRANGE(""https://docs.google.com/spreadsheets/d/161aHT6vVT3SLneTKD19N5qVWtnj_jIT8CSsOmUVKmaA/e"&amp;"dit?gid=1761053510"",
          ""Haris_Form responses 1!$AQ:$AQ"")=1)
      ),
      1
    ),
    ""0""
  ),
  ""Form not found""
)
"),"0")</f>
        <v>0</v>
      </c>
      <c r="AS1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1!$E:$E"")=$B103) *
        (IMPORTRANGE(""https://docs.google.com/spreadsheets/d/161aHT6vVT3SLneTKD19N5qVWtnj_jIT8CSsOmUVKmaA/e"&amp;"dit?gid=1761053510"",
          ""Haris_Form responses 1!$AQ:$AQ"")=2)
      ),
      1
    ),
    ""0""
  ),
  ""Form not found""
)
"),"0")</f>
        <v>0</v>
      </c>
      <c r="AT1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1!$E:$E"")=$B103) *
        (IMPORTRANGE(""https://docs.google.com/spreadsheets/d/161aHT6vVT3SLneTKD19N5qVWtnj_jIT8CSsOmUVKmaA/e"&amp;"dit?gid=1761053510"",
          ""Haris_Form responses 1!$AQ:$AQ"")=3)
      ),
      1
    ),
    ""0""
  ),
  ""Form not found""
)
"),"9")</f>
        <v>9</v>
      </c>
      <c r="AU1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1!$E:$E"")=$B103) *
        (IMPORTRANGE(""https://docs.google.com/spreadsheets/d/161aHT6vVT3SLneTKD19N5qVWtnj_jIT8CSsOmUVKmaA/e"&amp;"dit?gid=1761053510"",
          ""Haris_Form responses 1!$AQ:$AQ"")=4)
      ),
      1
    ),
    ""0""
  ),
  ""Form not found""
)
"),"Form not found")</f>
        <v>Form not found</v>
      </c>
      <c r="AV1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1!$E:$E"")=$B103) *
        (IMPORTRANGE(""https://docs.google.com/spreadsheets/d/161aHT6vVT3SLneTKD19N5qVWtnj_jIT8CSsOmUVKmaA/e"&amp;"dit?gid=1761053510"",
          ""Haris_Form responses 1!$AQ:$AQ"")=5)
      ),
      1
    ),
    ""0""
  ),
  ""Form not found""
)
"),"Form not found")</f>
        <v>Form not found</v>
      </c>
      <c r="AW1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1!$E:$E"")=$B103) *
        (IMPORTRANGE(""https://docs.google.com/spreadsheets/d/161aHT6vVT3SLneTKD19N5qVWtnj_jIT8CSsOmUVKmaA/e"&amp;"dit?gid=1761053510"",
          ""Haris_Form responses 1!$AQ:$AQ"")=6)
      ),
      1
    ),
    ""0""
  ),
  ""Form not found""
)
"),"Form not found")</f>
        <v>Form not found</v>
      </c>
      <c r="AX1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1!$E:$E"")=$B103) *
        (IMPORTRANGE(""https://docs.google.com/spreadsheets/d/161aHT6vVT3SLneTKD19N5qVWtnj_jIT8CSsOmUVKmaA/e"&amp;"dit?gid=1761053510"",
          ""Haris_Form responses 1!$AQ:$AQ"")=1)
      ),
      1
    ),
    ""0""
  ),
  ""Form not found""
)
"),"10")</f>
        <v>10</v>
      </c>
      <c r="AY1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1!$E:$E"")=$B103) *
        (IMPORTRANGE(""https://docs.google.com/spreadsheets/d/161aHT6vVT3SLneTKD19N5qVWtnj_jIT8CSsOmUVKmaA/e"&amp;"dit?gid=1761053510"",
          ""Haris_Form responses 1!$AQ:$AQ"")=2)
      ),
      1
    ),
    ""0""
  ),
  ""Form not found""
)
"),"10")</f>
        <v>10</v>
      </c>
      <c r="AZ1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1!$E:$E"")=$B103) *
        (IMPORTRANGE(""https://docs.google.com/spreadsheets/d/161aHT6vVT3SLneTKD19N5qVWtnj_jIT8CSsOmUVKmaA/e"&amp;"dit?gid=1761053510"",
          ""Haris_Form responses 1!$AQ:$AQ"")=3)
      ),
      1
    ),
    ""0""
  ),
  ""Form not found""
)
"),"0")</f>
        <v>0</v>
      </c>
      <c r="BA1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1!$E:$E"")=$B103) *
        (IMPORTRANGE(""https://docs.google.com/spreadsheets/d/161aHT6vVT3SLneTKD19N5qVWtnj_jIT8CSsOmUVKmaA/e"&amp;"dit?gid=1761053510"",
          ""Haris_Form responses 1!$AQ:$AQ"")=4)
      ),
      1
    ),
    ""0""
  ),
  ""Form not found""
)
"),"Form not found")</f>
        <v>Form not found</v>
      </c>
      <c r="BB1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1!$E:$E"")=$B103) *
        (IMPORTRANGE(""https://docs.google.com/spreadsheets/d/161aHT6vVT3SLneTKD19N5qVWtnj_jIT8CSsOmUVKmaA/e"&amp;"dit?gid=1761053510"",
          ""Haris_Form responses 1!$AQ:$AQ"")=5)
      ),
      1
    ),
    ""0""
  ),
  ""Form not found""
)
"),"Form not found")</f>
        <v>Form not found</v>
      </c>
      <c r="BC1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1!$E:$E"")=$B103) *
        (IMPORTRANGE(""https://docs.google.com/spreadsheets/d/161aHT6vVT3SLneTKD19N5qVWtnj_jIT8CSsOmUVKmaA/e"&amp;"dit?gid=1761053510"",
          ""Haris_Form responses 1!$AQ:$AQ"")=6)
      ),
      1
    ),
    ""0""
  ),
  ""Form not found""
)
"),"Form not found")</f>
        <v>Form not found</v>
      </c>
      <c r="BD103" s="293"/>
    </row>
    <row r="104">
      <c r="A104" s="283" t="str">
        <f>IFERROR(__xludf.DUMMYFUNCTION("VLOOKUP($B104,IMPORTRANGE(""https://docs.google.com/spreadsheets/d/1VNXDITjs75AcgdBSW27oL1VZH31udDprJSsBcE5xlp4/edit?gid=1551188038#gid=1551188038"", ""Sheet9!$B:$E""),2,false)"),"Saikot")</f>
        <v>Saikot</v>
      </c>
      <c r="B104" s="283" t="s">
        <v>2092</v>
      </c>
      <c r="C104" s="284" t="str">
        <f>IFERROR(__xludf.DUMMYFUNCTION("VLOOKUP(TRIM($B104), IMPORTRANGE(""https://docs.google.com/spreadsheets/d/1aSOrU4PTpuBZqfitKaH1Rfww6-YOiNCKoBpPl8XBHaw/edit?gid=0#gid=0"", ""sheet3!$B:$C""), 2, FALSE)
"),"Jamia Masjid Noor Shakarghar")</f>
        <v>Jamia Masjid Noor Shakarghar</v>
      </c>
      <c r="D104" s="284" t="str">
        <f>IFERROR(__xludf.DUMMYFUNCTION("IFERROR(
  INDEX(
    FILTER(
      IMPORTRANGE(""1aSOrU4PTpuBZqfitKaH1Rfww6-YOiNCKoBpPl8XBHaw/edit?gid=0#gid=0"",""Sheet1!G:G""),
      IMPORTRANGE(""1aSOrU4PTpuBZqfitKaH1Rfww6-YOiNCKoBpPl8XBHaw/edit?gid=0#gid=0"",""Sheet1!C:C"")=$B104
    ),
    1
  ),
"&amp;"  ""Not Found""
)"),"Women Secular No Info Share")</f>
        <v>Women Secular No Info Share</v>
      </c>
      <c r="E104" s="284" t="str">
        <f>VLOOKUP(B104,'Juma Recording forms'!A:E,5,false)</f>
        <v>Jamia Masjid Noor  shakar garh</v>
      </c>
      <c r="F104" s="284" t="str">
        <f>IFERROR(__xludf.DUMMYFUNCTION("IFERROR(
  INDEX(
    FILTER(
      IMPORTRANGE(""1Cxrhp3-_-HS7v9uuqQliiIfrmMP4VaFoDNDWyUFy2J8/edit?gid=0#gid=0"",""Sheet1!Q:Q""),
      IMPORTRANGE(""1Cxrhp3-_-HS7v9uuqQliiIfrmMP4VaFoDNDWyUFy2J8/edit?gid=0#gid=0"",""Sheet1!K:K"")=$B104
    ),
    1
  ),
"&amp;"  ""Not Found""
)"),"Molana Abdul Razaq")</f>
        <v>Molana Abdul Razaq</v>
      </c>
      <c r="G104" s="284">
        <v>1965.0</v>
      </c>
      <c r="H104" s="284"/>
      <c r="I104" s="298"/>
      <c r="J104" s="286">
        <v>1.0</v>
      </c>
      <c r="K104" s="287" t="str">
        <f>VLOOKUP($B104,'Mosque Locations'!$A:$E,3,FALSE)
</f>
        <v>https://maps.google.com/maps?q=32.2635931%2C75.1662053&amp;z=17&amp;hl=en</v>
      </c>
      <c r="L104" s="286">
        <f>VLOOKUP($B104,'Mosque Locations'!$A:$E,4,FALSE)
</f>
        <v>32.2635931</v>
      </c>
      <c r="M104" s="286">
        <f>VLOOKUP($B104,'Mosque Locations'!$A:$E,5,false)</f>
        <v>75.1662053</v>
      </c>
      <c r="N104" s="288"/>
      <c r="O104" s="288"/>
      <c r="P104" s="288"/>
      <c r="Q104" s="289" t="str">
        <f>IFERROR(__xludf.DUMMYFUNCTION("IFERROR(
  INDEX(
    FILTER(
      IMPORTRANGE(""1DccNxjBgurEr0ABkI_rBagJT5phB5HaHG5N_mTm_BiA/edit?gid=1382299152#gid=1382299152"",""Form Responses 1!T:T""),
      IMPORTRANGE(""1DccNxjBgurEr0ABkI_rBagJT5phB5HaHG5N_mTm_BiA/edit?gid=1382299152#gid=1382299"&amp;"152"",""Form Responses 1!E:E"")=$B104
    ),
    1
  ),
  ""Not Found""
)"),"https://drive.google.com/open?id=1DgMZOT4N2NVhegCHDzajarK1l2G_xD-m")</f>
        <v>https://drive.google.com/open?id=1DgMZOT4N2NVhegCHDzajarK1l2G_xD-m</v>
      </c>
      <c r="R104" s="299"/>
      <c r="S104" s="298"/>
      <c r="T104" s="290" t="str">
        <f>VLOOKUP($B104,'Master Tracker'!$D:$E,2,false)</f>
        <v>https://drive.google.com/open?id=188qZcmQYILmryMOpP5ifK9X1I7n91rC_</v>
      </c>
      <c r="U104" s="291" t="str">
        <f>VLOOKUP($B104,'Master Tracker'!$D:$T,4,FALSE)
</f>
        <v>https://drive.google.com/open?id=13TfWvyx-aM6g4y9pDEBfkwkozAvlo_3g</v>
      </c>
      <c r="V104" s="290" t="str">
        <f>VLOOKUP($B104,'Master Tracker'!$D:$T,5,false)</f>
        <v>https://drive.google.com/open?id=1sugPYSD-EFCv9i3BUAXVgH7Z6c24zKEu</v>
      </c>
      <c r="W104" s="291" t="str">
        <f>VLOOKUP($B104,'Master Tracker'!$D:$T,7,false)</f>
        <v>https://drive.google.com/open?id=1IrMke4_pYiw2PXdCZhRNZ6LIsTpdYPZE</v>
      </c>
      <c r="X104" s="290" t="str">
        <f>VLOOKUP($B104,'Master Tracker'!$D:$T,8,false)</f>
        <v>https://drive.google.com/open?id=1SuOs5-p_r02aGjll-6Jm--mOWUlkJNC9</v>
      </c>
      <c r="Y104" s="291" t="str">
        <f>VLOOKUP($B104,'Master Tracker'!$D:$T,10,false)</f>
        <v>https://drive.google.com/open?id=1posjZBYfiqa1QPSvQxI9qVH5V2vL78Ke</v>
      </c>
      <c r="Z104" s="284" t="str">
        <f>VLOOKUP($B104,'Master Tracker'!$D:$T,11,false)</f>
        <v>Not Found</v>
      </c>
      <c r="AA104" s="292" t="str">
        <f>VLOOKUP($B104,'Master Tracker'!$D:$T,13,false)</f>
        <v>Not Found</v>
      </c>
      <c r="AB104" s="284" t="str">
        <f>VLOOKUP($B104,'Master Tracker'!$D:$T,14,false)</f>
        <v>Not Found</v>
      </c>
      <c r="AC104" s="292" t="str">
        <f>VLOOKUP($B104,'Master Tracker'!$D:$T,16,false)</f>
        <v>Not Found</v>
      </c>
      <c r="AD104" s="292" t="str">
        <f>VLOOKUP($B104,'Master Tracker'!$D:$T,17,false)</f>
        <v>Not Found</v>
      </c>
      <c r="AE104" s="292" t="str">
        <f>VLOOKUP($B104,'Master Tracker'!$D:$V,19,false)</f>
        <v>Not Found</v>
      </c>
      <c r="AF104" s="292">
        <f>IFERROR(__xludf.DUMMYFUNCTION("IFERROR(
  INDEX(
    FILTER(
      'Juma Recording forms'!$G:$G,
      TRIM('Juma Recording forms'!$F:$F) = TRIM($B104),
      'Juma Recording forms'!$AA:$AA = 1
    ),
    1
  ),
  ""Not Found""
)"),895.0)</f>
        <v>895</v>
      </c>
      <c r="AG104" s="292">
        <f>IFERROR(__xludf.DUMMYFUNCTION("IFERROR(
  INDEX(
    FILTER(
      'Juma Recording forms'!$G:$G,
      TRIM('Juma Recording forms'!$F:$F) = TRIM($B104),
      'Juma Recording forms'!$AA:$AA = 2
    ),
    1
  ),
  ""Not Found""
)"),905.0)</f>
        <v>905</v>
      </c>
      <c r="AH104" s="292">
        <f>IFERROR(__xludf.DUMMYFUNCTION("IFERROR(
  INDEX(
    FILTER(
      'Juma Recording forms'!$G:$G,
      TRIM('Juma Recording forms'!$F:$F) = TRIM($B104),
      'Juma Recording forms'!$AA:$AA = 3
    ),
    1
  ),
  ""Not Found""
)"),917.0)</f>
        <v>917</v>
      </c>
      <c r="AI104" s="292" t="str">
        <f>IFERROR(__xludf.DUMMYFUNCTION("IFERROR(
  INDEX(
    FILTER(
      'Juma Recording forms'!$G:$G,
      TRIM('Juma Recording forms'!$F:$F) = TRIM($B104),
      'Juma Recording forms'!$AA:$AA = 4
    ),
    1
  ),
  ""Not Found""
)"),"Not Found")</f>
        <v>Not Found</v>
      </c>
      <c r="AJ104" s="292" t="str">
        <f>IFERROR(__xludf.DUMMYFUNCTION("IFERROR(
  INDEX(
    FILTER(
      'Juma Recording forms'!$G:$G,
      TRIM('Juma Recording forms'!$F:$F) = TRIM($B104),
      'Juma Recording forms'!$AA:$AA = 5
    ),
    1
  ),
  ""Not Found""
)"),"Not Found")</f>
        <v>Not Found</v>
      </c>
      <c r="AK104" s="292" t="str">
        <f>IFERROR(__xludf.DUMMYFUNCTION("IFERROR(
  INDEX(
    FILTER(
      'Juma Recording forms'!$G:$G,
      TRIM('Juma Recording forms'!$F:$F) = TRIM($B104),
      'Juma Recording forms'!$AA:$AA = 6
    ),
    1
  ),
  ""Not Found""
)"),"Not Found")</f>
        <v>Not Found</v>
      </c>
      <c r="AL1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1!$E:$E"")=$B104) *
        (IMPORTRANGE(""https://docs.google.com/spreadsheets/d/161aHT6vVT3SLneTKD19N5qVWtnj_jIT8CSsOmUVKmaA/e"&amp;"dit?gid=1761053510"",
          ""Haris_Form responses 1!$AQ:$AQ"")=1)
      ),
      1
    ),
    ""0""
  ),
  ""Form not found""
)
"),"10")</f>
        <v>10</v>
      </c>
      <c r="AM1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1!$E:$E"")=$B104) *
        (IMPORTRANGE(""https://docs.google.com/spreadsheets/d/161aHT6vVT3SLneTKD19N5qVWtnj_jIT8CSsOmUVKmaA/e"&amp;"dit?gid=1761053510"",
          ""Haris_Form responses 1!$AQ:$AQ"")=2)
      ),
      1
    ),
    ""0""
  ),
  ""Form not found""
)
"),"10")</f>
        <v>10</v>
      </c>
      <c r="AN1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1!$E:$E"")=$B104) *
        (IMPORTRANGE(""https://docs.google.com/spreadsheets/d/161aHT6vVT3SLneTKD19N5qVWtnj_jIT8CSsOmUVKmaA/e"&amp;"dit?gid=1761053510"",
          ""Haris_Form responses 1!$AQ:$AQ"")=3)
      ),
      1
    ),
    ""0""
  ),
  ""Form not found""
)
"),"0")</f>
        <v>0</v>
      </c>
      <c r="AO1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1!$E:$E"")=$B104) *
        (IMPORTRANGE(""https://docs.google.com/spreadsheets/d/161aHT6vVT3SLneTKD19N5qVWtnj_jIT8CSsOmUVKmaA/e"&amp;"dit?gid=1761053510"",
          ""Haris_Form responses 1!$AQ:$AQ"")=4)
      ),
      1
    ),
    ""0""
  ),
  ""Form not found""
)
"),"Form not found")</f>
        <v>Form not found</v>
      </c>
      <c r="AP1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1!$E:$E"")=$B104) *
        (IMPORTRANGE(""https://docs.google.com/spreadsheets/d/161aHT6vVT3SLneTKD19N5qVWtnj_jIT8CSsOmUVKmaA/e"&amp;"dit?gid=1761053510"",
          ""Haris_Form responses 1!$AQ:$AQ"")=5)
      ),
      1
    ),
    ""0""
  ),
  ""Form not found""
)
"),"Form not found")</f>
        <v>Form not found</v>
      </c>
      <c r="AQ1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1!$E:$E"")=$B104) *
        (IMPORTRANGE(""https://docs.google.com/spreadsheets/d/161aHT6vVT3SLneTKD19N5qVWtnj_jIT8CSsOmUVKmaA/e"&amp;"dit?gid=1761053510"",
          ""Haris_Form responses 1!$AQ:$AQ"")=6)
      ),
      1
    ),
    ""0""
  ),
  ""Form not found""
)
"),"Form not found")</f>
        <v>Form not found</v>
      </c>
      <c r="AR1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1!$E:$E"")=$B104) *
        (IMPORTRANGE(""https://docs.google.com/spreadsheets/d/161aHT6vVT3SLneTKD19N5qVWtnj_jIT8CSsOmUVKmaA/e"&amp;"dit?gid=1761053510"",
          ""Haris_Form responses 1!$AQ:$AQ"")=1)
      ),
      1
    ),
    ""0""
  ),
  ""Form not found""
)
"),"0")</f>
        <v>0</v>
      </c>
      <c r="AS1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1!$E:$E"")=$B104) *
        (IMPORTRANGE(""https://docs.google.com/spreadsheets/d/161aHT6vVT3SLneTKD19N5qVWtnj_jIT8CSsOmUVKmaA/e"&amp;"dit?gid=1761053510"",
          ""Haris_Form responses 1!$AQ:$AQ"")=2)
      ),
      1
    ),
    ""0""
  ),
  ""Form not found""
)
"),"0")</f>
        <v>0</v>
      </c>
      <c r="AT1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1!$E:$E"")=$B104) *
        (IMPORTRANGE(""https://docs.google.com/spreadsheets/d/161aHT6vVT3SLneTKD19N5qVWtnj_jIT8CSsOmUVKmaA/e"&amp;"dit?gid=1761053510"",
          ""Haris_Form responses 1!$AQ:$AQ"")=3)
      ),
      1
    ),
    ""0""
  ),
  ""Form not found""
)
"),"0")</f>
        <v>0</v>
      </c>
      <c r="AU1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1!$E:$E"")=$B104) *
        (IMPORTRANGE(""https://docs.google.com/spreadsheets/d/161aHT6vVT3SLneTKD19N5qVWtnj_jIT8CSsOmUVKmaA/e"&amp;"dit?gid=1761053510"",
          ""Haris_Form responses 1!$AQ:$AQ"")=4)
      ),
      1
    ),
    ""0""
  ),
  ""Form not found""
)
"),"Form not found")</f>
        <v>Form not found</v>
      </c>
      <c r="AV1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1!$E:$E"")=$B104) *
        (IMPORTRANGE(""https://docs.google.com/spreadsheets/d/161aHT6vVT3SLneTKD19N5qVWtnj_jIT8CSsOmUVKmaA/e"&amp;"dit?gid=1761053510"",
          ""Haris_Form responses 1!$AQ:$AQ"")=5)
      ),
      1
    ),
    ""0""
  ),
  ""Form not found""
)
"),"Form not found")</f>
        <v>Form not found</v>
      </c>
      <c r="AW1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1!$E:$E"")=$B104) *
        (IMPORTRANGE(""https://docs.google.com/spreadsheets/d/161aHT6vVT3SLneTKD19N5qVWtnj_jIT8CSsOmUVKmaA/e"&amp;"dit?gid=1761053510"",
          ""Haris_Form responses 1!$AQ:$AQ"")=6)
      ),
      1
    ),
    ""0""
  ),
  ""Form not found""
)
"),"Form not found")</f>
        <v>Form not found</v>
      </c>
      <c r="AX1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1!$E:$E"")=$B104) *
        (IMPORTRANGE(""https://docs.google.com/spreadsheets/d/161aHT6vVT3SLneTKD19N5qVWtnj_jIT8CSsOmUVKmaA/e"&amp;"dit?gid=1761053510"",
          ""Haris_Form responses 1!$AQ:$AQ"")=1)
      ),
      1
    ),
    ""0""
  ),
  ""Form not found""
)
"),"10")</f>
        <v>10</v>
      </c>
      <c r="AY1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1!$E:$E"")=$B104) *
        (IMPORTRANGE(""https://docs.google.com/spreadsheets/d/161aHT6vVT3SLneTKD19N5qVWtnj_jIT8CSsOmUVKmaA/e"&amp;"dit?gid=1761053510"",
          ""Haris_Form responses 1!$AQ:$AQ"")=2)
      ),
      1
    ),
    ""0""
  ),
  ""Form not found""
)
"),"10")</f>
        <v>10</v>
      </c>
      <c r="AZ1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1!$E:$E"")=$B104) *
        (IMPORTRANGE(""https://docs.google.com/spreadsheets/d/161aHT6vVT3SLneTKD19N5qVWtnj_jIT8CSsOmUVKmaA/e"&amp;"dit?gid=1761053510"",
          ""Haris_Form responses 1!$AQ:$AQ"")=3)
      ),
      1
    ),
    ""0""
  ),
  ""Form not found""
)
"),"0")</f>
        <v>0</v>
      </c>
      <c r="BA1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1!$E:$E"")=$B104) *
        (IMPORTRANGE(""https://docs.google.com/spreadsheets/d/161aHT6vVT3SLneTKD19N5qVWtnj_jIT8CSsOmUVKmaA/e"&amp;"dit?gid=1761053510"",
          ""Haris_Form responses 1!$AQ:$AQ"")=4)
      ),
      1
    ),
    ""0""
  ),
  ""Form not found""
)
"),"Form not found")</f>
        <v>Form not found</v>
      </c>
      <c r="BB1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1!$E:$E"")=$B104) *
        (IMPORTRANGE(""https://docs.google.com/spreadsheets/d/161aHT6vVT3SLneTKD19N5qVWtnj_jIT8CSsOmUVKmaA/e"&amp;"dit?gid=1761053510"",
          ""Haris_Form responses 1!$AQ:$AQ"")=5)
      ),
      1
    ),
    ""0""
  ),
  ""Form not found""
)
"),"Form not found")</f>
        <v>Form not found</v>
      </c>
      <c r="BC1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1!$E:$E"")=$B104) *
        (IMPORTRANGE(""https://docs.google.com/spreadsheets/d/161aHT6vVT3SLneTKD19N5qVWtnj_jIT8CSsOmUVKmaA/e"&amp;"dit?gid=1761053510"",
          ""Haris_Form responses 1!$AQ:$AQ"")=6)
      ),
      1
    ),
    ""0""
  ),
  ""Form not found""
)
"),"Form not found")</f>
        <v>Form not found</v>
      </c>
      <c r="BD104" s="293"/>
    </row>
    <row r="105">
      <c r="A105" s="283" t="str">
        <f>IFERROR(__xludf.DUMMYFUNCTION("VLOOKUP($B105,IMPORTRANGE(""https://docs.google.com/spreadsheets/d/1VNXDITjs75AcgdBSW27oL1VZH31udDprJSsBcE5xlp4/edit?gid=1551188038#gid=1551188038"", ""Sheet9!$B:$E""),2,false)"),"Saikot")</f>
        <v>Saikot</v>
      </c>
      <c r="B105" s="283" t="s">
        <v>2537</v>
      </c>
      <c r="C105" s="284" t="str">
        <f>IFERROR(__xludf.DUMMYFUNCTION("VLOOKUP(TRIM($B105), IMPORTRANGE(""https://docs.google.com/spreadsheets/d/1aSOrU4PTpuBZqfitKaH1Rfww6-YOiNCKoBpPl8XBHaw/edit?gid=0#gid=0"", ""sheet3!$B:$C""), 2, FALSE)
"),"Jamia Masjid Darbar Qutab Shah Wali Narowaal")</f>
        <v>Jamia Masjid Darbar Qutab Shah Wali Narowaal</v>
      </c>
      <c r="D105" s="284" t="str">
        <f>IFERROR(__xludf.DUMMYFUNCTION("IFERROR(
  INDEX(
    FILTER(
      IMPORTRANGE(""1aSOrU4PTpuBZqfitKaH1Rfww6-YOiNCKoBpPl8XBHaw/edit?gid=0#gid=0"",""Sheet1!G:G""),
      IMPORTRANGE(""1aSOrU4PTpuBZqfitKaH1Rfww6-YOiNCKoBpPl8XBHaw/edit?gid=0#gid=0"",""Sheet1!C:C"")=$B105
    ),
    1
  ),
"&amp;"  ""Not Found""
)"),"Women Secular No Info Share")</f>
        <v>Women Secular No Info Share</v>
      </c>
      <c r="E105" s="284" t="str">
        <f>VLOOKUP(B105,'Juma Recording forms'!A:E,5,false)</f>
        <v>Qutab Shah wali masjid</v>
      </c>
      <c r="F105" s="284" t="str">
        <f>IFERROR(__xludf.DUMMYFUNCTION("IFERROR(
  INDEX(
    FILTER(
      IMPORTRANGE(""1Cxrhp3-_-HS7v9uuqQliiIfrmMP4VaFoDNDWyUFy2J8/edit?gid=0#gid=0"",""Sheet1!Q:Q""),
      IMPORTRANGE(""1Cxrhp3-_-HS7v9uuqQliiIfrmMP4VaFoDNDWyUFy2J8/edit?gid=0#gid=0"",""Sheet1!K:K"")=$B105
    ),
    1
  ),
"&amp;"  ""Not Found""
)"),"Not Found")</f>
        <v>Not Found</v>
      </c>
      <c r="G105" s="284"/>
      <c r="H105" s="284"/>
      <c r="I105" s="285"/>
      <c r="J105" s="286">
        <v>1.0</v>
      </c>
      <c r="K105" s="287" t="str">
        <f>VLOOKUP($B105,'Mosque Locations'!$A:$E,3,FALSE)
</f>
        <v>https://maps.app.goo.gl/JANsph5o58rwKjzq8</v>
      </c>
      <c r="L105" s="286" t="str">
        <f>VLOOKUP($B105,'Mosque Locations'!$A:$E,4,FALSE)
</f>
        <v>32°05'47.1</v>
      </c>
      <c r="M105" s="286" t="str">
        <f>VLOOKUP($B105,'Mosque Locations'!$A:$E,5,false)</f>
        <v>74°52'48.9</v>
      </c>
      <c r="N105" s="288"/>
      <c r="O105" s="288"/>
      <c r="P105" s="288"/>
      <c r="Q105" s="289" t="str">
        <f>IFERROR(__xludf.DUMMYFUNCTION("IFERROR(
  INDEX(
    FILTER(
      IMPORTRANGE(""1DccNxjBgurEr0ABkI_rBagJT5phB5HaHG5N_mTm_BiA/edit?gid=1382299152#gid=1382299152"",""Form Responses 1!T:T""),
      IMPORTRANGE(""1DccNxjBgurEr0ABkI_rBagJT5phB5HaHG5N_mTm_BiA/edit?gid=1382299152#gid=1382299"&amp;"152"",""Form Responses 1!E:E"")=$B105
    ),
    1
  ),
  ""Not Found""
)"),"https://drive.google.com/open?id=1101oG7TG3wlceoQCEdFlH8bfILiA4hte")</f>
        <v>https://drive.google.com/open?id=1101oG7TG3wlceoQCEdFlH8bfILiA4hte</v>
      </c>
      <c r="R105" s="289" t="str">
        <f>IFERROR(__xludf.DUMMYFUNCTION("IFERROR(
  INDEX(
    FILTER(
      IMPORTRANGE(""1DccNxjBgurEr0ABkI_rBagJT5phB5HaHG5N_mTm_BiA/edit?gid=1382299152#gid=1382299152"",""Form Responses 1!S:S""),
      IMPORTRANGE(""1DccNxjBgurEr0ABkI_rBagJT5phB5HaHG5N_mTm_BiA/edit?gid=1382299152#gid=1382299"&amp;"152"",""Form Responses 1!E:E"")=$B105
    ),
    1
  ),
  ""Not Found""
)"),"https://drive.google.com/open?id=1Wq_qH2W793Iht8HuuSnmlYk2ffuajcWG")</f>
        <v>https://drive.google.com/open?id=1Wq_qH2W793Iht8HuuSnmlYk2ffuajcWG</v>
      </c>
      <c r="S105" s="285"/>
      <c r="T105" s="290" t="str">
        <f>VLOOKUP($B105,'Master Tracker'!$D:$E,2,false)</f>
        <v>https://drive.google.com/open?id=1_Ln9AXybrNYRjOKjFXmKY8FXihiNwOrb</v>
      </c>
      <c r="U105" s="291" t="str">
        <f>VLOOKUP($B105,'Master Tracker'!$D:$T,4,FALSE)
</f>
        <v>https://drive.google.com/open?id=1CvbYDI0ptbl8L3jlY1ojmIecXxVv78fZ</v>
      </c>
      <c r="V105" s="290" t="str">
        <f>VLOOKUP($B105,'Master Tracker'!$D:$T,5,false)</f>
        <v>https://drive.google.com/open?id=1KUWOu7oAN0EOCLTlC8vpCFbV1VY09h9k</v>
      </c>
      <c r="W105" s="291" t="str">
        <f>VLOOKUP($B105,'Master Tracker'!$D:$T,7,false)</f>
        <v>https://drive.google.com/open?id=1hz-tyQHcODUeUAIDeBtFZH_v2noy2UJv</v>
      </c>
      <c r="X105" s="290" t="str">
        <f>VLOOKUP($B105,'Master Tracker'!$D:$T,8,false)</f>
        <v>https://drive.google.com/open?id=1P-I9H7iGnUrf4hVWOYQZJ3lLvZF2doeN</v>
      </c>
      <c r="Y105" s="291" t="str">
        <f>VLOOKUP($B105,'Master Tracker'!$D:$T,10,false)</f>
        <v>https://drive.google.com/open?id=1DwcgWCRVqEMyqjyvWqFchNoZUfgpMdgJ</v>
      </c>
      <c r="Z105" s="284" t="str">
        <f>VLOOKUP($B105,'Master Tracker'!$D:$T,11,false)</f>
        <v>Not Found</v>
      </c>
      <c r="AA105" s="292" t="str">
        <f>VLOOKUP($B105,'Master Tracker'!$D:$T,13,false)</f>
        <v>Not Found</v>
      </c>
      <c r="AB105" s="284" t="str">
        <f>VLOOKUP($B105,'Master Tracker'!$D:$T,14,false)</f>
        <v>Not Found</v>
      </c>
      <c r="AC105" s="292" t="str">
        <f>VLOOKUP($B105,'Master Tracker'!$D:$T,16,false)</f>
        <v>Not Found</v>
      </c>
      <c r="AD105" s="292" t="str">
        <f>VLOOKUP($B105,'Master Tracker'!$D:$T,17,false)</f>
        <v>Not Found</v>
      </c>
      <c r="AE105" s="292" t="str">
        <f>VLOOKUP($B105,'Master Tracker'!$D:$V,19,false)</f>
        <v>Not Found</v>
      </c>
      <c r="AF105" s="292">
        <f>IFERROR(__xludf.DUMMYFUNCTION("IFERROR(
  INDEX(
    FILTER(
      'Juma Recording forms'!$G:$G,
      TRIM('Juma Recording forms'!$F:$F) = TRIM($B105),
      'Juma Recording forms'!$AA:$AA = 1
    ),
    1
  ),
  ""Not Found""
)"),587.0)</f>
        <v>587</v>
      </c>
      <c r="AG105" s="292">
        <f>IFERROR(__xludf.DUMMYFUNCTION("IFERROR(
  INDEX(
    FILTER(
      'Juma Recording forms'!$G:$G,
      TRIM('Juma Recording forms'!$F:$F) = TRIM($B105),
      'Juma Recording forms'!$AA:$AA = 2
    ),
    1
  ),
  ""Not Found""
)"),614.0)</f>
        <v>614</v>
      </c>
      <c r="AH105" s="292">
        <f>IFERROR(__xludf.DUMMYFUNCTION("IFERROR(
  INDEX(
    FILTER(
      'Juma Recording forms'!$G:$G,
      TRIM('Juma Recording forms'!$F:$F) = TRIM($B105),
      'Juma Recording forms'!$AA:$AA = 3
    ),
    1
  ),
  ""Not Found""
)"),685.0)</f>
        <v>685</v>
      </c>
      <c r="AI105" s="292" t="str">
        <f>IFERROR(__xludf.DUMMYFUNCTION("IFERROR(
  INDEX(
    FILTER(
      'Juma Recording forms'!$G:$G,
      TRIM('Juma Recording forms'!$F:$F) = TRIM($B105),
      'Juma Recording forms'!$AA:$AA = 4
    ),
    1
  ),
  ""Not Found""
)"),"Not Found")</f>
        <v>Not Found</v>
      </c>
      <c r="AJ105" s="292" t="str">
        <f>IFERROR(__xludf.DUMMYFUNCTION("IFERROR(
  INDEX(
    FILTER(
      'Juma Recording forms'!$G:$G,
      TRIM('Juma Recording forms'!$F:$F) = TRIM($B105),
      'Juma Recording forms'!$AA:$AA = 5
    ),
    1
  ),
  ""Not Found""
)"),"Not Found")</f>
        <v>Not Found</v>
      </c>
      <c r="AK105" s="292" t="str">
        <f>IFERROR(__xludf.DUMMYFUNCTION("IFERROR(
  INDEX(
    FILTER(
      'Juma Recording forms'!$G:$G,
      TRIM('Juma Recording forms'!$F:$F) = TRIM($B105),
      'Juma Recording forms'!$AA:$AA = 6
    ),
    1
  ),
  ""Not Found""
)"),"Not Found")</f>
        <v>Not Found</v>
      </c>
      <c r="AL1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1!$E:$E"")=$B105) *
        (IMPORTRANGE(""https://docs.google.com/spreadsheets/d/161aHT6vVT3SLneTKD19N5qVWtnj_jIT8CSsOmUVKmaA/e"&amp;"dit?gid=1761053510"",
          ""Haris_Form responses 1!$AQ:$AQ"")=1)
      ),
      1
    ),
    ""0""
  ),
  ""Form not found""
)
"),"10")</f>
        <v>10</v>
      </c>
      <c r="AM1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1!$E:$E"")=$B105) *
        (IMPORTRANGE(""https://docs.google.com/spreadsheets/d/161aHT6vVT3SLneTKD19N5qVWtnj_jIT8CSsOmUVKmaA/e"&amp;"dit?gid=1761053510"",
          ""Haris_Form responses 1!$AQ:$AQ"")=2)
      ),
      1
    ),
    ""0""
  ),
  ""Form not found""
)
"),"10")</f>
        <v>10</v>
      </c>
      <c r="AN1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1!$E:$E"")=$B105) *
        (IMPORTRANGE(""https://docs.google.com/spreadsheets/d/161aHT6vVT3SLneTKD19N5qVWtnj_jIT8CSsOmUVKmaA/e"&amp;"dit?gid=1761053510"",
          ""Haris_Form responses 1!$AQ:$AQ"")=3)
      ),
      1
    ),
    ""0""
  ),
  ""Form not found""
)
"),"0")</f>
        <v>0</v>
      </c>
      <c r="AO1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1!$E:$E"")=$B105) *
        (IMPORTRANGE(""https://docs.google.com/spreadsheets/d/161aHT6vVT3SLneTKD19N5qVWtnj_jIT8CSsOmUVKmaA/e"&amp;"dit?gid=1761053510"",
          ""Haris_Form responses 1!$AQ:$AQ"")=4)
      ),
      1
    ),
    ""0""
  ),
  ""Form not found""
)
"),"Form not found")</f>
        <v>Form not found</v>
      </c>
      <c r="AP1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1!$E:$E"")=$B105) *
        (IMPORTRANGE(""https://docs.google.com/spreadsheets/d/161aHT6vVT3SLneTKD19N5qVWtnj_jIT8CSsOmUVKmaA/e"&amp;"dit?gid=1761053510"",
          ""Haris_Form responses 1!$AQ:$AQ"")=5)
      ),
      1
    ),
    ""0""
  ),
  ""Form not found""
)
"),"Form not found")</f>
        <v>Form not found</v>
      </c>
      <c r="AQ1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1!$E:$E"")=$B105) *
        (IMPORTRANGE(""https://docs.google.com/spreadsheets/d/161aHT6vVT3SLneTKD19N5qVWtnj_jIT8CSsOmUVKmaA/e"&amp;"dit?gid=1761053510"",
          ""Haris_Form responses 1!$AQ:$AQ"")=6)
      ),
      1
    ),
    ""0""
  ),
  ""Form not found""
)
"),"Form not found")</f>
        <v>Form not found</v>
      </c>
      <c r="AR1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1!$E:$E"")=$B105) *
        (IMPORTRANGE(""https://docs.google.com/spreadsheets/d/161aHT6vVT3SLneTKD19N5qVWtnj_jIT8CSsOmUVKmaA/e"&amp;"dit?gid=1761053510"",
          ""Haris_Form responses 1!$AQ:$AQ"")=1)
      ),
      1
    ),
    ""0""
  ),
  ""Form not found""
)
"),"0")</f>
        <v>0</v>
      </c>
      <c r="AS1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1!$E:$E"")=$B105) *
        (IMPORTRANGE(""https://docs.google.com/spreadsheets/d/161aHT6vVT3SLneTKD19N5qVWtnj_jIT8CSsOmUVKmaA/e"&amp;"dit?gid=1761053510"",
          ""Haris_Form responses 1!$AQ:$AQ"")=2)
      ),
      1
    ),
    ""0""
  ),
  ""Form not found""
)
"),"0")</f>
        <v>0</v>
      </c>
      <c r="AT1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1!$E:$E"")=$B105) *
        (IMPORTRANGE(""https://docs.google.com/spreadsheets/d/161aHT6vVT3SLneTKD19N5qVWtnj_jIT8CSsOmUVKmaA/e"&amp;"dit?gid=1761053510"",
          ""Haris_Form responses 1!$AQ:$AQ"")=3)
      ),
      1
    ),
    ""0""
  ),
  ""Form not found""
)
"),"0")</f>
        <v>0</v>
      </c>
      <c r="AU1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1!$E:$E"")=$B105) *
        (IMPORTRANGE(""https://docs.google.com/spreadsheets/d/161aHT6vVT3SLneTKD19N5qVWtnj_jIT8CSsOmUVKmaA/e"&amp;"dit?gid=1761053510"",
          ""Haris_Form responses 1!$AQ:$AQ"")=4)
      ),
      1
    ),
    ""0""
  ),
  ""Form not found""
)
"),"Form not found")</f>
        <v>Form not found</v>
      </c>
      <c r="AV1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1!$E:$E"")=$B105) *
        (IMPORTRANGE(""https://docs.google.com/spreadsheets/d/161aHT6vVT3SLneTKD19N5qVWtnj_jIT8CSsOmUVKmaA/e"&amp;"dit?gid=1761053510"",
          ""Haris_Form responses 1!$AQ:$AQ"")=5)
      ),
      1
    ),
    ""0""
  ),
  ""Form not found""
)
"),"Form not found")</f>
        <v>Form not found</v>
      </c>
      <c r="AW1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1!$E:$E"")=$B105) *
        (IMPORTRANGE(""https://docs.google.com/spreadsheets/d/161aHT6vVT3SLneTKD19N5qVWtnj_jIT8CSsOmUVKmaA/e"&amp;"dit?gid=1761053510"",
          ""Haris_Form responses 1!$AQ:$AQ"")=6)
      ),
      1
    ),
    ""0""
  ),
  ""Form not found""
)
"),"Form not found")</f>
        <v>Form not found</v>
      </c>
      <c r="AX1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1!$E:$E"")=$B105) *
        (IMPORTRANGE(""https://docs.google.com/spreadsheets/d/161aHT6vVT3SLneTKD19N5qVWtnj_jIT8CSsOmUVKmaA/e"&amp;"dit?gid=1761053510"",
          ""Haris_Form responses 1!$AQ:$AQ"")=1)
      ),
      1
    ),
    ""0""
  ),
  ""Form not found""
)
"),"10")</f>
        <v>10</v>
      </c>
      <c r="AY1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1!$E:$E"")=$B105) *
        (IMPORTRANGE(""https://docs.google.com/spreadsheets/d/161aHT6vVT3SLneTKD19N5qVWtnj_jIT8CSsOmUVKmaA/e"&amp;"dit?gid=1761053510"",
          ""Haris_Form responses 1!$AQ:$AQ"")=2)
      ),
      1
    ),
    ""0""
  ),
  ""Form not found""
)
"),"10")</f>
        <v>10</v>
      </c>
      <c r="AZ1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1!$E:$E"")=$B105) *
        (IMPORTRANGE(""https://docs.google.com/spreadsheets/d/161aHT6vVT3SLneTKD19N5qVWtnj_jIT8CSsOmUVKmaA/e"&amp;"dit?gid=1761053510"",
          ""Haris_Form responses 1!$AQ:$AQ"")=3)
      ),
      1
    ),
    ""0""
  ),
  ""Form not found""
)
"),"0")</f>
        <v>0</v>
      </c>
      <c r="BA1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1!$E:$E"")=$B105) *
        (IMPORTRANGE(""https://docs.google.com/spreadsheets/d/161aHT6vVT3SLneTKD19N5qVWtnj_jIT8CSsOmUVKmaA/e"&amp;"dit?gid=1761053510"",
          ""Haris_Form responses 1!$AQ:$AQ"")=4)
      ),
      1
    ),
    ""0""
  ),
  ""Form not found""
)
"),"Form not found")</f>
        <v>Form not found</v>
      </c>
      <c r="BB1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1!$E:$E"")=$B105) *
        (IMPORTRANGE(""https://docs.google.com/spreadsheets/d/161aHT6vVT3SLneTKD19N5qVWtnj_jIT8CSsOmUVKmaA/e"&amp;"dit?gid=1761053510"",
          ""Haris_Form responses 1!$AQ:$AQ"")=5)
      ),
      1
    ),
    ""0""
  ),
  ""Form not found""
)
"),"Form not found")</f>
        <v>Form not found</v>
      </c>
      <c r="BC1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1!$E:$E"")=$B105) *
        (IMPORTRANGE(""https://docs.google.com/spreadsheets/d/161aHT6vVT3SLneTKD19N5qVWtnj_jIT8CSsOmUVKmaA/e"&amp;"dit?gid=1761053510"",
          ""Haris_Form responses 1!$AQ:$AQ"")=6)
      ),
      1
    ),
    ""0""
  ),
  ""Form not found""
)
"),"Form not found")</f>
        <v>Form not found</v>
      </c>
      <c r="BD105" s="293"/>
    </row>
    <row r="106">
      <c r="A106" s="283" t="str">
        <f>IFERROR(__xludf.DUMMYFUNCTION("VLOOKUP($B106,IMPORTRANGE(""https://docs.google.com/spreadsheets/d/1VNXDITjs75AcgdBSW27oL1VZH31udDprJSsBcE5xlp4/edit?gid=1551188038#gid=1551188038"", ""Sheet9!$B:$E""),2,false)"),"Shiekhpura")</f>
        <v>Shiekhpura</v>
      </c>
      <c r="B106" s="283" t="s">
        <v>1491</v>
      </c>
      <c r="C106" s="284" t="str">
        <f>IFERROR(__xludf.DUMMYFUNCTION("VLOOKUP(TRIM($B106), IMPORTRANGE(""https://docs.google.com/spreadsheets/d/1aSOrU4PTpuBZqfitKaH1Rfww6-YOiNCKoBpPl8XBHaw/edit?gid=0#gid=0"", ""sheet3!$B:$C""), 2, FALSE)
"),"Jamia Masjid Syeda Muridke Shiekhupura")</f>
        <v>Jamia Masjid Syeda Muridke Shiekhupura</v>
      </c>
      <c r="D106" s="284" t="str">
        <f>IFERROR(__xludf.DUMMYFUNCTION("IFERROR(
  INDEX(
    FILTER(
      IMPORTRANGE(""1aSOrU4PTpuBZqfitKaH1Rfww6-YOiNCKoBpPl8XBHaw/edit?gid=0#gid=0"",""Sheet1!G:G""),
      IMPORTRANGE(""1aSOrU4PTpuBZqfitKaH1Rfww6-YOiNCKoBpPl8XBHaw/edit?gid=0#gid=0"",""Sheet1!C:C"")=$B106
    ),
    1
  ),
"&amp;"  ""Not Found""
)"),"Community Religious No Info Share")</f>
        <v>Community Religious No Info Share</v>
      </c>
      <c r="E106" s="284" t="str">
        <f>VLOOKUP(B106,'Juma Recording forms'!A:E,5,false)</f>
        <v>Jamia masjid syeda muridka</v>
      </c>
      <c r="F106" s="284" t="str">
        <f>IFERROR(__xludf.DUMMYFUNCTION("IFERROR(
  INDEX(
    FILTER(
      IMPORTRANGE(""1Cxrhp3-_-HS7v9uuqQliiIfrmMP4VaFoDNDWyUFy2J8/edit?gid=0#gid=0"",""Sheet1!Q:Q""),
      IMPORTRANGE(""1Cxrhp3-_-HS7v9uuqQliiIfrmMP4VaFoDNDWyUFy2J8/edit?gid=0#gid=0"",""Sheet1!K:K"")=$B106
    ),
    1
  ),
"&amp;"  ""Not Found""
)"),"M. Fiaz Rizvi")</f>
        <v>M. Fiaz Rizvi</v>
      </c>
      <c r="G106" s="284">
        <v>1956.0</v>
      </c>
      <c r="H106" s="284"/>
      <c r="I106" s="285"/>
      <c r="J106" s="286">
        <v>2.0</v>
      </c>
      <c r="K106" s="287" t="str">
        <f>VLOOKUP($B106,'Mosque Locations'!$A:$E,3,FALSE)
</f>
        <v>https://www.google.com/maps?q=31.8018788,74.2533168</v>
      </c>
      <c r="L106" s="286">
        <f>VLOOKUP($B106,'Mosque Locations'!$A:$E,4,FALSE)
</f>
        <v>31.80188</v>
      </c>
      <c r="M106" s="286">
        <f>VLOOKUP($B106,'Mosque Locations'!$A:$E,5,false)</f>
        <v>74.25332</v>
      </c>
      <c r="N106" s="288"/>
      <c r="O106" s="288"/>
      <c r="P106" s="288"/>
      <c r="Q106" s="289" t="str">
        <f>IFERROR(__xludf.DUMMYFUNCTION("IFERROR(
  INDEX(
    FILTER(
      IMPORTRANGE(""1DccNxjBgurEr0ABkI_rBagJT5phB5HaHG5N_mTm_BiA/edit?gid=1382299152#gid=1382299152"",""Form Responses 1!T:T""),
      IMPORTRANGE(""1DccNxjBgurEr0ABkI_rBagJT5phB5HaHG5N_mTm_BiA/edit?gid=1382299152#gid=1382299"&amp;"152"",""Form Responses 1!E:E"")=$B106
    ),
    1
  ),
  ""Not Found""
)"),"https://drive.google.com/open?id=1yp0_ok3jsVtEj3qrtFoTWF_ctfMourq8")</f>
        <v>https://drive.google.com/open?id=1yp0_ok3jsVtEj3qrtFoTWF_ctfMourq8</v>
      </c>
      <c r="R106" s="289" t="str">
        <f>IFERROR(__xludf.DUMMYFUNCTION("IFERROR(
  INDEX(
    FILTER(
      IMPORTRANGE(""1DccNxjBgurEr0ABkI_rBagJT5phB5HaHG5N_mTm_BiA/edit?gid=1382299152#gid=1382299152"",""Form Responses 1!S:S""),
      IMPORTRANGE(""1DccNxjBgurEr0ABkI_rBagJT5phB5HaHG5N_mTm_BiA/edit?gid=1382299152#gid=1382299"&amp;"152"",""Form Responses 1!E:E"")=$B106
    ),
    1
  ),
  ""Not Found""
)"),"https://drive.google.com/open?id=1OCdKsVx_dIhQijkUuiEDhX8ps_Q409Ki")</f>
        <v>https://drive.google.com/open?id=1OCdKsVx_dIhQijkUuiEDhX8ps_Q409Ki</v>
      </c>
      <c r="S106" s="285"/>
      <c r="T106" s="290" t="str">
        <f>VLOOKUP($B106,'Master Tracker'!$D:$E,2,false)</f>
        <v>https://drive.google.com/open?id=1ZHCraUjMGDwmuj1JCcxsBr0_aLMlJomS</v>
      </c>
      <c r="U106" s="291" t="str">
        <f>VLOOKUP($B106,'Master Tracker'!$D:$T,4,FALSE)
</f>
        <v>https://drive.google.com/open?id=1Iyt_XWIyHKQPrqdxx6AmILw69ezH1y7y</v>
      </c>
      <c r="V106" s="290" t="str">
        <f>VLOOKUP($B106,'Master Tracker'!$D:$T,5,false)</f>
        <v>https://drive.google.com/open?id=1zjE3KrzdbSR_z1C6Cx_b7waHjQcF5yZb</v>
      </c>
      <c r="W106" s="291" t="str">
        <f>VLOOKUP($B106,'Master Tracker'!$D:$T,7,false)</f>
        <v>https://drive.google.com/open?id=1Ybn0BcUtPMxnNQxhSK3OGyeZJZmOp31U</v>
      </c>
      <c r="X106" s="290" t="str">
        <f>VLOOKUP($B106,'Master Tracker'!$D:$T,8,false)</f>
        <v>https://drive.google.com/open?id=1hN4CAnATRIlwcXjnNJivMsMtKF2YhmQM</v>
      </c>
      <c r="Y106" s="291" t="str">
        <f>VLOOKUP($B106,'Master Tracker'!$D:$T,10,false)</f>
        <v>https://drive.google.com/open?id=1TeCc5jH8knK0D_GVEfDrkgxr10WxAlZD</v>
      </c>
      <c r="Z106" s="284" t="str">
        <f>VLOOKUP($B106,'Master Tracker'!$D:$T,11,false)</f>
        <v>Not Found</v>
      </c>
      <c r="AA106" s="292" t="str">
        <f>VLOOKUP($B106,'Master Tracker'!$D:$T,13,false)</f>
        <v>Not Found</v>
      </c>
      <c r="AB106" s="284" t="str">
        <f>VLOOKUP($B106,'Master Tracker'!$D:$T,14,false)</f>
        <v>Not Found</v>
      </c>
      <c r="AC106" s="292" t="str">
        <f>VLOOKUP($B106,'Master Tracker'!$D:$T,16,false)</f>
        <v>Not Found</v>
      </c>
      <c r="AD106" s="292" t="str">
        <f>VLOOKUP($B106,'Master Tracker'!$D:$T,17,false)</f>
        <v>Not Found</v>
      </c>
      <c r="AE106" s="292" t="str">
        <f>VLOOKUP($B106,'Master Tracker'!$D:$V,19,false)</f>
        <v>Not Found</v>
      </c>
      <c r="AF106" s="292">
        <f>IFERROR(__xludf.DUMMYFUNCTION("IFERROR(
  INDEX(
    FILTER(
      'Juma Recording forms'!$G:$G,
      TRIM('Juma Recording forms'!$F:$F) = TRIM($B106),
      'Juma Recording forms'!$AA:$AA = 1
    ),
    1
  ),
  ""Not Found""
)"),370.0)</f>
        <v>370</v>
      </c>
      <c r="AG106" s="292">
        <f>IFERROR(__xludf.DUMMYFUNCTION("IFERROR(
  INDEX(
    FILTER(
      'Juma Recording forms'!$G:$G,
      TRIM('Juma Recording forms'!$F:$F) = TRIM($B106),
      'Juma Recording forms'!$AA:$AA = 2
    ),
    1
  ),
  ""Not Found""
)"),380.0)</f>
        <v>380</v>
      </c>
      <c r="AH106" s="292">
        <f>IFERROR(__xludf.DUMMYFUNCTION("IFERROR(
  INDEX(
    FILTER(
      'Juma Recording forms'!$G:$G,
      TRIM('Juma Recording forms'!$F:$F) = TRIM($B106),
      'Juma Recording forms'!$AA:$AA = 3
    ),
    1
  ),
  ""Not Found""
)"),340.0)</f>
        <v>340</v>
      </c>
      <c r="AI106" s="292" t="str">
        <f>IFERROR(__xludf.DUMMYFUNCTION("IFERROR(
  INDEX(
    FILTER(
      'Juma Recording forms'!$G:$G,
      TRIM('Juma Recording forms'!$F:$F) = TRIM($B106),
      'Juma Recording forms'!$AA:$AA = 4
    ),
    1
  ),
  ""Not Found""
)"),"Not Found")</f>
        <v>Not Found</v>
      </c>
      <c r="AJ106" s="292" t="str">
        <f>IFERROR(__xludf.DUMMYFUNCTION("IFERROR(
  INDEX(
    FILTER(
      'Juma Recording forms'!$G:$G,
      TRIM('Juma Recording forms'!$F:$F) = TRIM($B106),
      'Juma Recording forms'!$AA:$AA = 5
    ),
    1
  ),
  ""Not Found""
)"),"Not Found")</f>
        <v>Not Found</v>
      </c>
      <c r="AK106" s="292" t="str">
        <f>IFERROR(__xludf.DUMMYFUNCTION("IFERROR(
  INDEX(
    FILTER(
      'Juma Recording forms'!$G:$G,
      TRIM('Juma Recording forms'!$F:$F) = TRIM($B106),
      'Juma Recording forms'!$AA:$AA = 6
    ),
    1
  ),
  ""Not Found""
)"),"Not Found")</f>
        <v>Not Found</v>
      </c>
      <c r="AL1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1!$E:$E"")=$B106) *
        (IMPORTRANGE(""https://docs.google.com/spreadsheets/d/161aHT6vVT3SLneTKD19N5qVWtnj_jIT8CSsOmUVKmaA/e"&amp;"dit?gid=1761053510"",
          ""Haris_Form responses 1!$AQ:$AQ"")=1)
      ),
      1
    ),
    ""0""
  ),
  ""Form not found""
)
"),"10")</f>
        <v>10</v>
      </c>
      <c r="AM1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1!$E:$E"")=$B106) *
        (IMPORTRANGE(""https://docs.google.com/spreadsheets/d/161aHT6vVT3SLneTKD19N5qVWtnj_jIT8CSsOmUVKmaA/e"&amp;"dit?gid=1761053510"",
          ""Haris_Form responses 1!$AQ:$AQ"")=2)
      ),
      1
    ),
    ""0""
  ),
  ""Form not found""
)
"),"10")</f>
        <v>10</v>
      </c>
      <c r="AN1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1!$E:$E"")=$B106) *
        (IMPORTRANGE(""https://docs.google.com/spreadsheets/d/161aHT6vVT3SLneTKD19N5qVWtnj_jIT8CSsOmUVKmaA/e"&amp;"dit?gid=1761053510"",
          ""Haris_Form responses 1!$AQ:$AQ"")=3)
      ),
      1
    ),
    ""0""
  ),
  ""Form not found""
)
"),"4")</f>
        <v>4</v>
      </c>
      <c r="AO1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1!$E:$E"")=$B106) *
        (IMPORTRANGE(""https://docs.google.com/spreadsheets/d/161aHT6vVT3SLneTKD19N5qVWtnj_jIT8CSsOmUVKmaA/e"&amp;"dit?gid=1761053510"",
          ""Haris_Form responses 1!$AQ:$AQ"")=4)
      ),
      1
    ),
    ""0""
  ),
  ""Form not found""
)
"),"Form not found")</f>
        <v>Form not found</v>
      </c>
      <c r="AP1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1!$E:$E"")=$B106) *
        (IMPORTRANGE(""https://docs.google.com/spreadsheets/d/161aHT6vVT3SLneTKD19N5qVWtnj_jIT8CSsOmUVKmaA/e"&amp;"dit?gid=1761053510"",
          ""Haris_Form responses 1!$AQ:$AQ"")=5)
      ),
      1
    ),
    ""0""
  ),
  ""Form not found""
)
"),"Form not found")</f>
        <v>Form not found</v>
      </c>
      <c r="AQ1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1!$E:$E"")=$B106) *
        (IMPORTRANGE(""https://docs.google.com/spreadsheets/d/161aHT6vVT3SLneTKD19N5qVWtnj_jIT8CSsOmUVKmaA/e"&amp;"dit?gid=1761053510"",
          ""Haris_Form responses 1!$AQ:$AQ"")=6)
      ),
      1
    ),
    ""0""
  ),
  ""Form not found""
)
"),"Form not found")</f>
        <v>Form not found</v>
      </c>
      <c r="AR1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1!$E:$E"")=$B106) *
        (IMPORTRANGE(""https://docs.google.com/spreadsheets/d/161aHT6vVT3SLneTKD19N5qVWtnj_jIT8CSsOmUVKmaA/e"&amp;"dit?gid=1761053510"",
          ""Haris_Form responses 1!$AQ:$AQ"")=1)
      ),
      1
    ),
    ""0""
  ),
  ""Form not found""
)
"),"9")</f>
        <v>9</v>
      </c>
      <c r="AS1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1!$E:$E"")=$B106) *
        (IMPORTRANGE(""https://docs.google.com/spreadsheets/d/161aHT6vVT3SLneTKD19N5qVWtnj_jIT8CSsOmUVKmaA/e"&amp;"dit?gid=1761053510"",
          ""Haris_Form responses 1!$AQ:$AQ"")=2)
      ),
      1
    ),
    ""0""
  ),
  ""Form not found""
)
"),"9")</f>
        <v>9</v>
      </c>
      <c r="AT1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1!$E:$E"")=$B106) *
        (IMPORTRANGE(""https://docs.google.com/spreadsheets/d/161aHT6vVT3SLneTKD19N5qVWtnj_jIT8CSsOmUVKmaA/e"&amp;"dit?gid=1761053510"",
          ""Haris_Form responses 1!$AQ:$AQ"")=3)
      ),
      1
    ),
    ""0""
  ),
  ""Form not found""
)
"),"4")</f>
        <v>4</v>
      </c>
      <c r="AU1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1!$E:$E"")=$B106) *
        (IMPORTRANGE(""https://docs.google.com/spreadsheets/d/161aHT6vVT3SLneTKD19N5qVWtnj_jIT8CSsOmUVKmaA/e"&amp;"dit?gid=1761053510"",
          ""Haris_Form responses 1!$AQ:$AQ"")=4)
      ),
      1
    ),
    ""0""
  ),
  ""Form not found""
)
"),"Form not found")</f>
        <v>Form not found</v>
      </c>
      <c r="AV1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1!$E:$E"")=$B106) *
        (IMPORTRANGE(""https://docs.google.com/spreadsheets/d/161aHT6vVT3SLneTKD19N5qVWtnj_jIT8CSsOmUVKmaA/e"&amp;"dit?gid=1761053510"",
          ""Haris_Form responses 1!$AQ:$AQ"")=5)
      ),
      1
    ),
    ""0""
  ),
  ""Form not found""
)
"),"Form not found")</f>
        <v>Form not found</v>
      </c>
      <c r="AW1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1!$E:$E"")=$B106) *
        (IMPORTRANGE(""https://docs.google.com/spreadsheets/d/161aHT6vVT3SLneTKD19N5qVWtnj_jIT8CSsOmUVKmaA/e"&amp;"dit?gid=1761053510"",
          ""Haris_Form responses 1!$AQ:$AQ"")=6)
      ),
      1
    ),
    ""0""
  ),
  ""Form not found""
)
"),"Form not found")</f>
        <v>Form not found</v>
      </c>
      <c r="AX1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1!$E:$E"")=$B106) *
        (IMPORTRANGE(""https://docs.google.com/spreadsheets/d/161aHT6vVT3SLneTKD19N5qVWtnj_jIT8CSsOmUVKmaA/e"&amp;"dit?gid=1761053510"",
          ""Haris_Form responses 1!$AQ:$AQ"")=1)
      ),
      1
    ),
    ""0""
  ),
  ""Form not found""
)
"),"0")</f>
        <v>0</v>
      </c>
      <c r="AY1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1!$E:$E"")=$B106) *
        (IMPORTRANGE(""https://docs.google.com/spreadsheets/d/161aHT6vVT3SLneTKD19N5qVWtnj_jIT8CSsOmUVKmaA/e"&amp;"dit?gid=1761053510"",
          ""Haris_Form responses 1!$AQ:$AQ"")=2)
      ),
      1
    ),
    ""0""
  ),
  ""Form not found""
)
"),"0")</f>
        <v>0</v>
      </c>
      <c r="AZ1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1!$E:$E"")=$B106) *
        (IMPORTRANGE(""https://docs.google.com/spreadsheets/d/161aHT6vVT3SLneTKD19N5qVWtnj_jIT8CSsOmUVKmaA/e"&amp;"dit?gid=1761053510"",
          ""Haris_Form responses 1!$AQ:$AQ"")=3)
      ),
      1
    ),
    ""0""
  ),
  ""Form not found""
)
"),"0")</f>
        <v>0</v>
      </c>
      <c r="BA1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1!$E:$E"")=$B106) *
        (IMPORTRANGE(""https://docs.google.com/spreadsheets/d/161aHT6vVT3SLneTKD19N5qVWtnj_jIT8CSsOmUVKmaA/e"&amp;"dit?gid=1761053510"",
          ""Haris_Form responses 1!$AQ:$AQ"")=4)
      ),
      1
    ),
    ""0""
  ),
  ""Form not found""
)
"),"Form not found")</f>
        <v>Form not found</v>
      </c>
      <c r="BB1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1!$E:$E"")=$B106) *
        (IMPORTRANGE(""https://docs.google.com/spreadsheets/d/161aHT6vVT3SLneTKD19N5qVWtnj_jIT8CSsOmUVKmaA/e"&amp;"dit?gid=1761053510"",
          ""Haris_Form responses 1!$AQ:$AQ"")=5)
      ),
      1
    ),
    ""0""
  ),
  ""Form not found""
)
"),"Form not found")</f>
        <v>Form not found</v>
      </c>
      <c r="BC1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1!$E:$E"")=$B106) *
        (IMPORTRANGE(""https://docs.google.com/spreadsheets/d/161aHT6vVT3SLneTKD19N5qVWtnj_jIT8CSsOmUVKmaA/e"&amp;"dit?gid=1761053510"",
          ""Haris_Form responses 1!$AQ:$AQ"")=6)
      ),
      1
    ),
    ""0""
  ),
  ""Form not found""
)
"),"Form not found")</f>
        <v>Form not found</v>
      </c>
      <c r="BD106" s="293"/>
    </row>
    <row r="107">
      <c r="A107" s="283" t="str">
        <f>IFERROR(__xludf.DUMMYFUNCTION("VLOOKUP($B107,IMPORTRANGE(""https://docs.google.com/spreadsheets/d/1VNXDITjs75AcgdBSW27oL1VZH31udDprJSsBcE5xlp4/edit?gid=1551188038#gid=1551188038"", ""Sheet9!$B:$E""),2,false)"),"Shiekhpura")</f>
        <v>Shiekhpura</v>
      </c>
      <c r="B107" s="283" t="s">
        <v>2015</v>
      </c>
      <c r="C107" s="284" t="str">
        <f>IFERROR(__xludf.DUMMYFUNCTION("VLOOKUP(TRIM($B107), IMPORTRANGE(""https://docs.google.com/spreadsheets/d/1aSOrU4PTpuBZqfitKaH1Rfww6-YOiNCKoBpPl8XBHaw/edit?gid=0#gid=0"", ""sheet3!$B:$C""), 2, FALSE)
"),"Jamia Masjid Masa Dewaan Shiekhupura")</f>
        <v>Jamia Masjid Masa Dewaan Shiekhupura</v>
      </c>
      <c r="D107" s="284" t="str">
        <f>IFERROR(__xludf.DUMMYFUNCTION("IFERROR(
  INDEX(
    FILTER(
      IMPORTRANGE(""1aSOrU4PTpuBZqfitKaH1Rfww6-YOiNCKoBpPl8XBHaw/edit?gid=0#gid=0"",""Sheet1!G:G""),
      IMPORTRANGE(""1aSOrU4PTpuBZqfitKaH1Rfww6-YOiNCKoBpPl8XBHaw/edit?gid=0#gid=0"",""Sheet1!C:C"")=$B107
    ),
    1
  ),
"&amp;"  ""Not Found""
)"),"Control")</f>
        <v>Control</v>
      </c>
      <c r="E107" s="284" t="str">
        <f>VLOOKUP(B107,'Juma Recording forms'!A:E,5,false)</f>
        <v>Jamia masjid Musa Dewan </v>
      </c>
      <c r="F107" s="284" t="str">
        <f>IFERROR(__xludf.DUMMYFUNCTION("IFERROR(
  INDEX(
    FILTER(
      IMPORTRANGE(""1Cxrhp3-_-HS7v9uuqQliiIfrmMP4VaFoDNDWyUFy2J8/edit?gid=0#gid=0"",""Sheet1!Q:Q""),
      IMPORTRANGE(""1Cxrhp3-_-HS7v9uuqQliiIfrmMP4VaFoDNDWyUFy2J8/edit?gid=0#gid=0"",""Sheet1!K:K"")=$B107
    ),
    1
  ),
"&amp;"  ""Not Found""
)"),"Hafiz Muhammad Sajid qamer")</f>
        <v>Hafiz Muhammad Sajid qamer</v>
      </c>
      <c r="G107" s="284">
        <v>1980.0</v>
      </c>
      <c r="H107" s="284" t="s">
        <v>4845</v>
      </c>
      <c r="I107" s="285"/>
      <c r="J107" s="286">
        <v>2.0</v>
      </c>
      <c r="K107" s="287" t="str">
        <f>VLOOKUP($B107,'Mosque Locations'!$A:$E,3,FALSE)
</f>
        <v>https://www.google.com/maps?q=32.0023524,74.5603179</v>
      </c>
      <c r="L107" s="286">
        <f>VLOOKUP($B107,'Mosque Locations'!$A:$E,4,FALSE)
</f>
        <v>32.00235</v>
      </c>
      <c r="M107" s="286">
        <f>VLOOKUP($B107,'Mosque Locations'!$A:$E,5,false)</f>
        <v>74.56032</v>
      </c>
      <c r="N107" s="288"/>
      <c r="O107" s="288"/>
      <c r="P107" s="288"/>
      <c r="Q107" s="289" t="str">
        <f>IFERROR(__xludf.DUMMYFUNCTION("IFERROR(
  INDEX(
    FILTER(
      IMPORTRANGE(""1DccNxjBgurEr0ABkI_rBagJT5phB5HaHG5N_mTm_BiA/edit?gid=1382299152#gid=1382299152"",""Form Responses 1!T:T""),
      IMPORTRANGE(""1DccNxjBgurEr0ABkI_rBagJT5phB5HaHG5N_mTm_BiA/edit?gid=1382299152#gid=1382299"&amp;"152"",""Form Responses 1!E:E"")=$B107
    ),
    1
  ),
  ""Not Found""
)"),"https://drive.google.com/open?id=1uUIzKapQdCufoyAjwHNwB8NuhMc8aHTA")</f>
        <v>https://drive.google.com/open?id=1uUIzKapQdCufoyAjwHNwB8NuhMc8aHTA</v>
      </c>
      <c r="R107" s="289" t="str">
        <f>IFERROR(__xludf.DUMMYFUNCTION("IFERROR(
  INDEX(
    FILTER(
      IMPORTRANGE(""1DccNxjBgurEr0ABkI_rBagJT5phB5HaHG5N_mTm_BiA/edit?gid=1382299152#gid=1382299152"",""Form Responses 1!S:S""),
      IMPORTRANGE(""1DccNxjBgurEr0ABkI_rBagJT5phB5HaHG5N_mTm_BiA/edit?gid=1382299152#gid=1382299"&amp;"152"",""Form Responses 1!E:E"")=$B107
    ),
    1
  ),
  ""Not Found""
)"),"https://drive.google.com/open?id=1xNw8Yk6hhh-FRLpIEAo2cQ8RaLXcWGNJ")</f>
        <v>https://drive.google.com/open?id=1xNw8Yk6hhh-FRLpIEAo2cQ8RaLXcWGNJ</v>
      </c>
      <c r="S107" s="285"/>
      <c r="T107" s="290" t="str">
        <f>VLOOKUP($B107,'Master Tracker'!$D:$E,2,false)</f>
        <v>https://drive.google.com/open?id=13o8li6z9Lv1eekScnodE09racX9Y8CLR</v>
      </c>
      <c r="U107" s="291" t="str">
        <f>VLOOKUP($B107,'Master Tracker'!$D:$T,4,FALSE)
</f>
        <v>https://drive.google.com/open?id=1u4DtymKGK5i-2WPEkt4GfrigOS8_wOxq</v>
      </c>
      <c r="V107" s="284" t="str">
        <f>VLOOKUP($B107,'Master Tracker'!$D:$T,5,false)</f>
        <v>Not Found</v>
      </c>
      <c r="W107" s="292" t="str">
        <f>VLOOKUP($B107,'Master Tracker'!$D:$T,7,false)</f>
        <v>Not Found</v>
      </c>
      <c r="X107" s="290" t="str">
        <f>VLOOKUP($B107,'Master Tracker'!$D:$T,8,false)</f>
        <v>https://drive.google.com/file/d/1I4qXJ33kCmfHpPU_08Idy41qKd0sNDUp/view?usp=drive_link</v>
      </c>
      <c r="Y107" s="291" t="str">
        <f>VLOOKUP($B107,'Master Tracker'!$D:$T,10,false)</f>
        <v>https://drive.google.com/open?id=1byMhNS3VcvPWXkP_Hu02eHahVAtlp4ZZ</v>
      </c>
      <c r="Z107" s="284" t="str">
        <f>VLOOKUP($B107,'Master Tracker'!$D:$T,11,false)</f>
        <v>Not Found</v>
      </c>
      <c r="AA107" s="292" t="str">
        <f>VLOOKUP($B107,'Master Tracker'!$D:$T,13,false)</f>
        <v>Not Found</v>
      </c>
      <c r="AB107" s="284" t="str">
        <f>VLOOKUP($B107,'Master Tracker'!$D:$T,14,false)</f>
        <v>Not Found</v>
      </c>
      <c r="AC107" s="292" t="str">
        <f>VLOOKUP($B107,'Master Tracker'!$D:$T,16,false)</f>
        <v>Not Found</v>
      </c>
      <c r="AD107" s="292" t="str">
        <f>VLOOKUP($B107,'Master Tracker'!$D:$T,17,false)</f>
        <v>Not Found</v>
      </c>
      <c r="AE107" s="292" t="str">
        <f>VLOOKUP($B107,'Master Tracker'!$D:$V,19,false)</f>
        <v>Not Found</v>
      </c>
      <c r="AF107" s="292">
        <f>IFERROR(__xludf.DUMMYFUNCTION("IFERROR(
  INDEX(
    FILTER(
      'Juma Recording forms'!$G:$G,
      TRIM('Juma Recording forms'!$F:$F) = TRIM($B107),
      'Juma Recording forms'!$AA:$AA = 1
    ),
    1
  ),
  ""Not Found""
)"),180.0)</f>
        <v>180</v>
      </c>
      <c r="AG107" s="292" t="str">
        <f>IFERROR(__xludf.DUMMYFUNCTION("IFERROR(
  INDEX(
    FILTER(
      'Juma Recording forms'!$G:$G,
      TRIM('Juma Recording forms'!$F:$F) = TRIM($B107),
      'Juma Recording forms'!$AA:$AA = 2
    ),
    1
  ),
  ""Not Found""
)"),"Not Found")</f>
        <v>Not Found</v>
      </c>
      <c r="AH107" s="292">
        <f>IFERROR(__xludf.DUMMYFUNCTION("IFERROR(
  INDEX(
    FILTER(
      'Juma Recording forms'!$G:$G,
      TRIM('Juma Recording forms'!$F:$F) = TRIM($B107),
      'Juma Recording forms'!$AA:$AA = 3
    ),
    1
  ),
  ""Not Found""
)"),195.0)</f>
        <v>195</v>
      </c>
      <c r="AI107" s="292" t="str">
        <f>IFERROR(__xludf.DUMMYFUNCTION("IFERROR(
  INDEX(
    FILTER(
      'Juma Recording forms'!$G:$G,
      TRIM('Juma Recording forms'!$F:$F) = TRIM($B107),
      'Juma Recording forms'!$AA:$AA = 4
    ),
    1
  ),
  ""Not Found""
)"),"Not Found")</f>
        <v>Not Found</v>
      </c>
      <c r="AJ107" s="292" t="str">
        <f>IFERROR(__xludf.DUMMYFUNCTION("IFERROR(
  INDEX(
    FILTER(
      'Juma Recording forms'!$G:$G,
      TRIM('Juma Recording forms'!$F:$F) = TRIM($B107),
      'Juma Recording forms'!$AA:$AA = 5
    ),
    1
  ),
  ""Not Found""
)"),"Not Found")</f>
        <v>Not Found</v>
      </c>
      <c r="AK107" s="292"/>
      <c r="AL1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1!$E:$E"")=$B107) *
        (IMPORTRANGE(""https://docs.google.com/spreadsheets/d/161aHT6vVT3SLneTKD19N5qVWtnj_jIT8CSsOmUVKmaA/e"&amp;"dit?gid=1761053510"",
          ""Haris_Form responses 1!$AQ:$AQ"")=1)
      ),
      1
    ),
    ""0""
  ),
  ""Form not found""
)
"),"0")</f>
        <v>0</v>
      </c>
      <c r="AM1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1!$E:$E"")=$B107) *
        (IMPORTRANGE(""https://docs.google.com/spreadsheets/d/161aHT6vVT3SLneTKD19N5qVWtnj_jIT8CSsOmUVKmaA/e"&amp;"dit?gid=1761053510"",
          ""Haris_Form responses 1!$AQ:$AQ"")=2)
      ),
      1
    ),
    ""0""
  ),
  ""Form not found""
)
"),"Form not found")</f>
        <v>Form not found</v>
      </c>
      <c r="AN1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1!$E:$E"")=$B107) *
        (IMPORTRANGE(""https://docs.google.com/spreadsheets/d/161aHT6vVT3SLneTKD19N5qVWtnj_jIT8CSsOmUVKmaA/e"&amp;"dit?gid=1761053510"",
          ""Haris_Form responses 1!$AQ:$AQ"")=3)
      ),
      1
    ),
    ""0""
  ),
  ""Form not found""
)
"),"0")</f>
        <v>0</v>
      </c>
      <c r="AO1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1!$E:$E"")=$B107) *
        (IMPORTRANGE(""https://docs.google.com/spreadsheets/d/161aHT6vVT3SLneTKD19N5qVWtnj_jIT8CSsOmUVKmaA/e"&amp;"dit?gid=1761053510"",
          ""Haris_Form responses 1!$AQ:$AQ"")=4)
      ),
      1
    ),
    ""0""
  ),
  ""Form not found""
)
"),"Form not found")</f>
        <v>Form not found</v>
      </c>
      <c r="AP1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1!$E:$E"")=$B107) *
        (IMPORTRANGE(""https://docs.google.com/spreadsheets/d/161aHT6vVT3SLneTKD19N5qVWtnj_jIT8CSsOmUVKmaA/e"&amp;"dit?gid=1761053510"",
          ""Haris_Form responses 1!$AQ:$AQ"")=5)
      ),
      1
    ),
    ""0""
  ),
  ""Form not found""
)
"),"Form not found")</f>
        <v>Form not found</v>
      </c>
      <c r="AQ1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1!$E:$E"")=$B107) *
        (IMPORTRANGE(""https://docs.google.com/spreadsheets/d/161aHT6vVT3SLneTKD19N5qVWtnj_jIT8CSsOmUVKmaA/e"&amp;"dit?gid=1761053510"",
          ""Haris_Form responses 1!$AQ:$AQ"")=6)
      ),
      1
    ),
    ""0""
  ),
  ""Form not found""
)
"),"Form not found")</f>
        <v>Form not found</v>
      </c>
      <c r="AR1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1!$E:$E"")=$B107) *
        (IMPORTRANGE(""https://docs.google.com/spreadsheets/d/161aHT6vVT3SLneTKD19N5qVWtnj_jIT8CSsOmUVKmaA/e"&amp;"dit?gid=1761053510"",
          ""Haris_Form responses 1!$AQ:$AQ"")=1)
      ),
      1
    ),
    ""0""
  ),
  ""Form not found""
)
"),"5")</f>
        <v>5</v>
      </c>
      <c r="AS1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1!$E:$E"")=$B107) *
        (IMPORTRANGE(""https://docs.google.com/spreadsheets/d/161aHT6vVT3SLneTKD19N5qVWtnj_jIT8CSsOmUVKmaA/e"&amp;"dit?gid=1761053510"",
          ""Haris_Form responses 1!$AQ:$AQ"")=2)
      ),
      1
    ),
    ""0""
  ),
  ""Form not found""
)
"),"Form not found")</f>
        <v>Form not found</v>
      </c>
      <c r="AT1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1!$E:$E"")=$B107) *
        (IMPORTRANGE(""https://docs.google.com/spreadsheets/d/161aHT6vVT3SLneTKD19N5qVWtnj_jIT8CSsOmUVKmaA/e"&amp;"dit?gid=1761053510"",
          ""Haris_Form responses 1!$AQ:$AQ"")=3)
      ),
      1
    ),
    ""0""
  ),
  ""Form not found""
)
"),"0")</f>
        <v>0</v>
      </c>
      <c r="AU1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1!$E:$E"")=$B107) *
        (IMPORTRANGE(""https://docs.google.com/spreadsheets/d/161aHT6vVT3SLneTKD19N5qVWtnj_jIT8CSsOmUVKmaA/e"&amp;"dit?gid=1761053510"",
          ""Haris_Form responses 1!$AQ:$AQ"")=4)
      ),
      1
    ),
    ""0""
  ),
  ""Form not found""
)
"),"Form not found")</f>
        <v>Form not found</v>
      </c>
      <c r="AV1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1!$E:$E"")=$B107) *
        (IMPORTRANGE(""https://docs.google.com/spreadsheets/d/161aHT6vVT3SLneTKD19N5qVWtnj_jIT8CSsOmUVKmaA/e"&amp;"dit?gid=1761053510"",
          ""Haris_Form responses 1!$AQ:$AQ"")=5)
      ),
      1
    ),
    ""0""
  ),
  ""Form not found""
)
"),"Form not found")</f>
        <v>Form not found</v>
      </c>
      <c r="AW1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1!$E:$E"")=$B107) *
        (IMPORTRANGE(""https://docs.google.com/spreadsheets/d/161aHT6vVT3SLneTKD19N5qVWtnj_jIT8CSsOmUVKmaA/e"&amp;"dit?gid=1761053510"",
          ""Haris_Form responses 1!$AQ:$AQ"")=6)
      ),
      1
    ),
    ""0""
  ),
  ""Form not found""
)
"),"Form not found")</f>
        <v>Form not found</v>
      </c>
      <c r="AX1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1!$E:$E"")=$B107) *
        (IMPORTRANGE(""https://docs.google.com/spreadsheets/d/161aHT6vVT3SLneTKD19N5qVWtnj_jIT8CSsOmUVKmaA/e"&amp;"dit?gid=1761053510"",
          ""Haris_Form responses 1!$AQ:$AQ"")=1)
      ),
      1
    ),
    ""0""
  ),
  ""Form not found""
)
"),"0")</f>
        <v>0</v>
      </c>
      <c r="AY1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1!$E:$E"")=$B107) *
        (IMPORTRANGE(""https://docs.google.com/spreadsheets/d/161aHT6vVT3SLneTKD19N5qVWtnj_jIT8CSsOmUVKmaA/e"&amp;"dit?gid=1761053510"",
          ""Haris_Form responses 1!$AQ:$AQ"")=2)
      ),
      1
    ),
    ""0""
  ),
  ""Form not found""
)
"),"Form not found")</f>
        <v>Form not found</v>
      </c>
      <c r="AZ1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1!$E:$E"")=$B107) *
        (IMPORTRANGE(""https://docs.google.com/spreadsheets/d/161aHT6vVT3SLneTKD19N5qVWtnj_jIT8CSsOmUVKmaA/e"&amp;"dit?gid=1761053510"",
          ""Haris_Form responses 1!$AQ:$AQ"")=3)
      ),
      1
    ),
    ""0""
  ),
  ""Form not found""
)
"),"1")</f>
        <v>1</v>
      </c>
      <c r="BA1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1!$E:$E"")=$B107) *
        (IMPORTRANGE(""https://docs.google.com/spreadsheets/d/161aHT6vVT3SLneTKD19N5qVWtnj_jIT8CSsOmUVKmaA/e"&amp;"dit?gid=1761053510"",
          ""Haris_Form responses 1!$AQ:$AQ"")=4)
      ),
      1
    ),
    ""0""
  ),
  ""Form not found""
)
"),"Form not found")</f>
        <v>Form not found</v>
      </c>
      <c r="BB1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1!$E:$E"")=$B107) *
        (IMPORTRANGE(""https://docs.google.com/spreadsheets/d/161aHT6vVT3SLneTKD19N5qVWtnj_jIT8CSsOmUVKmaA/e"&amp;"dit?gid=1761053510"",
          ""Haris_Form responses 1!$AQ:$AQ"")=5)
      ),
      1
    ),
    ""0""
  ),
  ""Form not found""
)
"),"Form not found")</f>
        <v>Form not found</v>
      </c>
      <c r="BC1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1!$E:$E"")=$B107) *
        (IMPORTRANGE(""https://docs.google.com/spreadsheets/d/161aHT6vVT3SLneTKD19N5qVWtnj_jIT8CSsOmUVKmaA/e"&amp;"dit?gid=1761053510"",
          ""Haris_Form responses 1!$AQ:$AQ"")=6)
      ),
      1
    ),
    ""0""
  ),
  ""Form not found""
)
"),"Form not found")</f>
        <v>Form not found</v>
      </c>
      <c r="BD107" s="293"/>
    </row>
    <row r="108">
      <c r="A108" s="283" t="str">
        <f>IFERROR(__xludf.DUMMYFUNCTION("VLOOKUP($B108,IMPORTRANGE(""https://docs.google.com/spreadsheets/d/1VNXDITjs75AcgdBSW27oL1VZH31udDprJSsBcE5xlp4/edit?gid=1551188038#gid=1551188038"", ""Sheet9!$B:$E""),2,false)"),"Shiekhpura")</f>
        <v>Shiekhpura</v>
      </c>
      <c r="B108" s="283" t="s">
        <v>1423</v>
      </c>
      <c r="C108" s="284" t="str">
        <f>IFERROR(__xludf.DUMMYFUNCTION("VLOOKUP(TRIM($B108), IMPORTRANGE(""https://docs.google.com/spreadsheets/d/1aSOrU4PTpuBZqfitKaH1Rfww6-YOiNCKoBpPl8XBHaw/edit?gid=0#gid=0"", ""sheet3!$B:$C""), 2, FALSE)
"),"Jamia Masjid Amaam Bargha Kala Kachari Shiekhupura")</f>
        <v>Jamia Masjid Amaam Bargha Kala Kachari Shiekhupura</v>
      </c>
      <c r="D108" s="284" t="str">
        <f>IFERROR(__xludf.DUMMYFUNCTION("IFERROR(
  INDEX(
    FILTER(
      IMPORTRANGE(""1aSOrU4PTpuBZqfitKaH1Rfww6-YOiNCKoBpPl8XBHaw/edit?gid=0#gid=0"",""Sheet1!G:G""),
      IMPORTRANGE(""1aSOrU4PTpuBZqfitKaH1Rfww6-YOiNCKoBpPl8XBHaw/edit?gid=0#gid=0"",""Sheet1!C:C"")=$B108
    ),
    1
  ),
"&amp;"  ""Not Found""
)"),"Community Religious No Info Share")</f>
        <v>Community Religious No Info Share</v>
      </c>
      <c r="E108" s="284" t="str">
        <f>VLOOKUP(B108,'Juma Recording forms'!A:E,5,false)</f>
        <v>Jamia Masjid Imam bargah kalan kachary sheikhupura</v>
      </c>
      <c r="F108" s="284" t="str">
        <f>IFERROR(__xludf.DUMMYFUNCTION("IFERROR(
  INDEX(
    FILTER(
      IMPORTRANGE(""1Cxrhp3-_-HS7v9uuqQliiIfrmMP4VaFoDNDWyUFy2J8/edit?gid=0#gid=0"",""Sheet1!Q:Q""),
      IMPORTRANGE(""1Cxrhp3-_-HS7v9uuqQliiIfrmMP4VaFoDNDWyUFy2J8/edit?gid=0#gid=0"",""Sheet1!K:K"")=$B108
    ),
    1
  ),
"&amp;"  ""Not Found""
)"),"Sayed M hadhi al husaini")</f>
        <v>Sayed M hadhi al husaini</v>
      </c>
      <c r="G108" s="284">
        <v>1950.0</v>
      </c>
      <c r="H108" s="284"/>
      <c r="I108" s="285"/>
      <c r="J108" s="286">
        <v>2.0</v>
      </c>
      <c r="K108" s="287" t="str">
        <f>VLOOKUP($B108,'Mosque Locations'!$A:$E,3,FALSE)
</f>
        <v>https://www.google.com/maps?q=31.7864383,73.9766717</v>
      </c>
      <c r="L108" s="286">
        <f>VLOOKUP($B108,'Mosque Locations'!$A:$E,4,FALSE)
</f>
        <v>31.78644</v>
      </c>
      <c r="M108" s="286">
        <f>VLOOKUP($B108,'Mosque Locations'!$A:$E,5,false)</f>
        <v>73.97667</v>
      </c>
      <c r="N108" s="288"/>
      <c r="O108" s="288"/>
      <c r="P108" s="288"/>
      <c r="Q108" s="289" t="str">
        <f>IFERROR(__xludf.DUMMYFUNCTION("IFERROR(
  INDEX(
    FILTER(
      IMPORTRANGE(""1DccNxjBgurEr0ABkI_rBagJT5phB5HaHG5N_mTm_BiA/edit?gid=1382299152#gid=1382299152"",""Form Responses 1!T:T""),
      IMPORTRANGE(""1DccNxjBgurEr0ABkI_rBagJT5phB5HaHG5N_mTm_BiA/edit?gid=1382299152#gid=1382299"&amp;"152"",""Form Responses 1!E:E"")=$B108
    ),
    1
  ),
  ""Not Found""
)"),"https://drive.google.com/open?id=14MFO8hiim9IqEaZKnGdv0CYman08-YU5")</f>
        <v>https://drive.google.com/open?id=14MFO8hiim9IqEaZKnGdv0CYman08-YU5</v>
      </c>
      <c r="R108" s="289" t="str">
        <f>IFERROR(__xludf.DUMMYFUNCTION("IFERROR(
  INDEX(
    FILTER(
      IMPORTRANGE(""1DccNxjBgurEr0ABkI_rBagJT5phB5HaHG5N_mTm_BiA/edit?gid=1382299152#gid=1382299152"",""Form Responses 1!S:S""),
      IMPORTRANGE(""1DccNxjBgurEr0ABkI_rBagJT5phB5HaHG5N_mTm_BiA/edit?gid=1382299152#gid=1382299"&amp;"152"",""Form Responses 1!E:E"")=$B108
    ),
    1
  ),
  ""Not Found""
)"),"https://drive.google.com/open?id=18geZxzFoCRkfa2VF1THh7LKJRgn2eQ87")</f>
        <v>https://drive.google.com/open?id=18geZxzFoCRkfa2VF1THh7LKJRgn2eQ87</v>
      </c>
      <c r="S108" s="285"/>
      <c r="T108" s="290" t="str">
        <f>VLOOKUP($B108,'Master Tracker'!$D:$E,2,false)</f>
        <v>https://drive.google.com/open?id=1aG_lPdlkD2AJrteY90cHiQBE_tMKe1n3</v>
      </c>
      <c r="U108" s="291" t="str">
        <f>VLOOKUP($B108,'Master Tracker'!$D:$T,4,FALSE)
</f>
        <v>https://drive.google.com/open?id=1UlkzXspLbT29hlANoAS1cBWUSR7jLcUT</v>
      </c>
      <c r="V108" s="290" t="str">
        <f>VLOOKUP($B108,'Master Tracker'!$D:$T,5,false)</f>
        <v>https://drive.google.com/open?id=1n6_LK-XExxokeY5R157brhnv04pvjsob</v>
      </c>
      <c r="W108" s="291" t="str">
        <f>VLOOKUP($B108,'Master Tracker'!$D:$T,7,false)</f>
        <v>https://drive.google.com/open?id=1FeknjztnM9Md5u60mT_Zqs9kG1wQnZiK</v>
      </c>
      <c r="X108" s="290" t="str">
        <f>VLOOKUP($B108,'Master Tracker'!$D:$T,8,false)</f>
        <v>https://drive.google.com/open?id=1QzqUN0asolro6kPpb1atqziA_5CbNVRf</v>
      </c>
      <c r="Y108" s="291" t="str">
        <f>VLOOKUP($B108,'Master Tracker'!$D:$T,10,false)</f>
        <v>https://drive.google.com/open?id=1fp99a_STWC8_K5OSTeVplPqYHreuBXdXITcP0poqPGs</v>
      </c>
      <c r="Z108" s="284" t="str">
        <f>VLOOKUP($B108,'Master Tracker'!$D:$T,11,false)</f>
        <v>Not Found</v>
      </c>
      <c r="AA108" s="292" t="str">
        <f>VLOOKUP($B108,'Master Tracker'!$D:$T,13,false)</f>
        <v>Not Found</v>
      </c>
      <c r="AB108" s="284" t="str">
        <f>VLOOKUP($B108,'Master Tracker'!$D:$T,14,false)</f>
        <v>Not Found</v>
      </c>
      <c r="AC108" s="292" t="str">
        <f>VLOOKUP($B108,'Master Tracker'!$D:$T,16,false)</f>
        <v>Not Found</v>
      </c>
      <c r="AD108" s="292" t="str">
        <f>VLOOKUP($B108,'Master Tracker'!$D:$T,17,false)</f>
        <v>Not Found</v>
      </c>
      <c r="AE108" s="292" t="str">
        <f>VLOOKUP($B108,'Master Tracker'!$D:$V,19,false)</f>
        <v>Not Found</v>
      </c>
      <c r="AF108" s="292">
        <f>IFERROR(__xludf.DUMMYFUNCTION("IFERROR(
  INDEX(
    FILTER(
      'Juma Recording forms'!$G:$G,
      TRIM('Juma Recording forms'!$F:$F) = TRIM($B108),
      'Juma Recording forms'!$AA:$AA = 1
    ),
    1
  ),
  ""Not Found""
)"),230.0)</f>
        <v>230</v>
      </c>
      <c r="AG108" s="292">
        <f>IFERROR(__xludf.DUMMYFUNCTION("IFERROR(
  INDEX(
    FILTER(
      'Juma Recording forms'!$G:$G,
      TRIM('Juma Recording forms'!$F:$F) = TRIM($B108),
      'Juma Recording forms'!$AA:$AA = 2
    ),
    1
  ),
  ""Not Found""
)"),220.0)</f>
        <v>220</v>
      </c>
      <c r="AH108" s="292">
        <f>IFERROR(__xludf.DUMMYFUNCTION("IFERROR(
  INDEX(
    FILTER(
      'Juma Recording forms'!$G:$G,
      TRIM('Juma Recording forms'!$F:$F) = TRIM($B108),
      'Juma Recording forms'!$AA:$AA = 3
    ),
    1
  ),
  ""Not Found""
)"),210.0)</f>
        <v>210</v>
      </c>
      <c r="AI108" s="292" t="str">
        <f>IFERROR(__xludf.DUMMYFUNCTION("IFERROR(
  INDEX(
    FILTER(
      'Juma Recording forms'!$G:$G,
      TRIM('Juma Recording forms'!$F:$F) = TRIM($B108),
      'Juma Recording forms'!$AA:$AA = 4
    ),
    1
  ),
  ""Not Found""
)"),"Not Found")</f>
        <v>Not Found</v>
      </c>
      <c r="AJ108" s="292" t="str">
        <f>IFERROR(__xludf.DUMMYFUNCTION("IFERROR(
  INDEX(
    FILTER(
      'Juma Recording forms'!$G:$G,
      TRIM('Juma Recording forms'!$F:$F) = TRIM($B108),
      'Juma Recording forms'!$AA:$AA = 5
    ),
    1
  ),
  ""Not Found""
)"),"Not Found")</f>
        <v>Not Found</v>
      </c>
      <c r="AK108" s="292" t="str">
        <f>IFERROR(__xludf.DUMMYFUNCTION("IFERROR(
  INDEX(
    FILTER(
      'Juma Recording forms'!$G:$G,
      TRIM('Juma Recording forms'!$F:$F) = TRIM($B108),
      'Juma Recording forms'!$AA:$AA = 6
    ),
    1
  ),
  ""Not Found""
)"),"Not Found")</f>
        <v>Not Found</v>
      </c>
      <c r="AL1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1!$E:$E"")=$B108) *
        (IMPORTRANGE(""https://docs.google.com/spreadsheets/d/161aHT6vVT3SLneTKD19N5qVWtnj_jIT8CSsOmUVKmaA/e"&amp;"dit?gid=1761053510"",
          ""Haris_Form responses 1!$AQ:$AQ"")=1)
      ),
      1
    ),
    ""0""
  ),
  ""Form not found""
)
"),"7")</f>
        <v>7</v>
      </c>
      <c r="AM1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1!$E:$E"")=$B108) *
        (IMPORTRANGE(""https://docs.google.com/spreadsheets/d/161aHT6vVT3SLneTKD19N5qVWtnj_jIT8CSsOmUVKmaA/e"&amp;"dit?gid=1761053510"",
          ""Haris_Form responses 1!$AQ:$AQ"")=2)
      ),
      1
    ),
    ""0""
  ),
  ""Form not found""
)
"),"9")</f>
        <v>9</v>
      </c>
      <c r="AN1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1!$E:$E"")=$B108) *
        (IMPORTRANGE(""https://docs.google.com/spreadsheets/d/161aHT6vVT3SLneTKD19N5qVWtnj_jIT8CSsOmUVKmaA/e"&amp;"dit?gid=1761053510"",
          ""Haris_Form responses 1!$AQ:$AQ"")=3)
      ),
      1
    ),
    ""0""
  ),
  ""Form not found""
)
"),"0")</f>
        <v>0</v>
      </c>
      <c r="AO1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1!$E:$E"")=$B108) *
        (IMPORTRANGE(""https://docs.google.com/spreadsheets/d/161aHT6vVT3SLneTKD19N5qVWtnj_jIT8CSsOmUVKmaA/e"&amp;"dit?gid=1761053510"",
          ""Haris_Form responses 1!$AQ:$AQ"")=4)
      ),
      1
    ),
    ""0""
  ),
  ""Form not found""
)
"),"Form not found")</f>
        <v>Form not found</v>
      </c>
      <c r="AP1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1!$E:$E"")=$B108) *
        (IMPORTRANGE(""https://docs.google.com/spreadsheets/d/161aHT6vVT3SLneTKD19N5qVWtnj_jIT8CSsOmUVKmaA/e"&amp;"dit?gid=1761053510"",
          ""Haris_Form responses 1!$AQ:$AQ"")=5)
      ),
      1
    ),
    ""0""
  ),
  ""Form not found""
)
"),"Form not found")</f>
        <v>Form not found</v>
      </c>
      <c r="AQ1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1!$E:$E"")=$B108) *
        (IMPORTRANGE(""https://docs.google.com/spreadsheets/d/161aHT6vVT3SLneTKD19N5qVWtnj_jIT8CSsOmUVKmaA/e"&amp;"dit?gid=1761053510"",
          ""Haris_Form responses 1!$AQ:$AQ"")=6)
      ),
      1
    ),
    ""0""
  ),
  ""Form not found""
)
"),"Form not found")</f>
        <v>Form not found</v>
      </c>
      <c r="AR1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1!$E:$E"")=$B108) *
        (IMPORTRANGE(""https://docs.google.com/spreadsheets/d/161aHT6vVT3SLneTKD19N5qVWtnj_jIT8CSsOmUVKmaA/e"&amp;"dit?gid=1761053510"",
          ""Haris_Form responses 1!$AQ:$AQ"")=1)
      ),
      1
    ),
    ""0""
  ),
  ""Form not found""
)
"),"6")</f>
        <v>6</v>
      </c>
      <c r="AS1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1!$E:$E"")=$B108) *
        (IMPORTRANGE(""https://docs.google.com/spreadsheets/d/161aHT6vVT3SLneTKD19N5qVWtnj_jIT8CSsOmUVKmaA/e"&amp;"dit?gid=1761053510"",
          ""Haris_Form responses 1!$AQ:$AQ"")=2)
      ),
      1
    ),
    ""0""
  ),
  ""Form not found""
)
"),"9")</f>
        <v>9</v>
      </c>
      <c r="AT1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1!$E:$E"")=$B108) *
        (IMPORTRANGE(""https://docs.google.com/spreadsheets/d/161aHT6vVT3SLneTKD19N5qVWtnj_jIT8CSsOmUVKmaA/e"&amp;"dit?gid=1761053510"",
          ""Haris_Form responses 1!$AQ:$AQ"")=3)
      ),
      1
    ),
    ""0""
  ),
  ""Form not found""
)
"),"0")</f>
        <v>0</v>
      </c>
      <c r="AU1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1!$E:$E"")=$B108) *
        (IMPORTRANGE(""https://docs.google.com/spreadsheets/d/161aHT6vVT3SLneTKD19N5qVWtnj_jIT8CSsOmUVKmaA/e"&amp;"dit?gid=1761053510"",
          ""Haris_Form responses 1!$AQ:$AQ"")=4)
      ),
      1
    ),
    ""0""
  ),
  ""Form not found""
)
"),"Form not found")</f>
        <v>Form not found</v>
      </c>
      <c r="AV1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1!$E:$E"")=$B108) *
        (IMPORTRANGE(""https://docs.google.com/spreadsheets/d/161aHT6vVT3SLneTKD19N5qVWtnj_jIT8CSsOmUVKmaA/e"&amp;"dit?gid=1761053510"",
          ""Haris_Form responses 1!$AQ:$AQ"")=5)
      ),
      1
    ),
    ""0""
  ),
  ""Form not found""
)
"),"Form not found")</f>
        <v>Form not found</v>
      </c>
      <c r="AW1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1!$E:$E"")=$B108) *
        (IMPORTRANGE(""https://docs.google.com/spreadsheets/d/161aHT6vVT3SLneTKD19N5qVWtnj_jIT8CSsOmUVKmaA/e"&amp;"dit?gid=1761053510"",
          ""Haris_Form responses 1!$AQ:$AQ"")=6)
      ),
      1
    ),
    ""0""
  ),
  ""Form not found""
)
"),"Form not found")</f>
        <v>Form not found</v>
      </c>
      <c r="AX1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1!$E:$E"")=$B108) *
        (IMPORTRANGE(""https://docs.google.com/spreadsheets/d/161aHT6vVT3SLneTKD19N5qVWtnj_jIT8CSsOmUVKmaA/e"&amp;"dit?gid=1761053510"",
          ""Haris_Form responses 1!$AQ:$AQ"")=1)
      ),
      1
    ),
    ""0""
  ),
  ""Form not found""
)
"),"0")</f>
        <v>0</v>
      </c>
      <c r="AY1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1!$E:$E"")=$B108) *
        (IMPORTRANGE(""https://docs.google.com/spreadsheets/d/161aHT6vVT3SLneTKD19N5qVWtnj_jIT8CSsOmUVKmaA/e"&amp;"dit?gid=1761053510"",
          ""Haris_Form responses 1!$AQ:$AQ"")=2)
      ),
      1
    ),
    ""0""
  ),
  ""Form not found""
)
"),"0")</f>
        <v>0</v>
      </c>
      <c r="AZ1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1!$E:$E"")=$B108) *
        (IMPORTRANGE(""https://docs.google.com/spreadsheets/d/161aHT6vVT3SLneTKD19N5qVWtnj_jIT8CSsOmUVKmaA/e"&amp;"dit?gid=1761053510"",
          ""Haris_Form responses 1!$AQ:$AQ"")=3)
      ),
      1
    ),
    ""0""
  ),
  ""Form not found""
)
"),"0")</f>
        <v>0</v>
      </c>
      <c r="BA1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1!$E:$E"")=$B108) *
        (IMPORTRANGE(""https://docs.google.com/spreadsheets/d/161aHT6vVT3SLneTKD19N5qVWtnj_jIT8CSsOmUVKmaA/e"&amp;"dit?gid=1761053510"",
          ""Haris_Form responses 1!$AQ:$AQ"")=4)
      ),
      1
    ),
    ""0""
  ),
  ""Form not found""
)
"),"Form not found")</f>
        <v>Form not found</v>
      </c>
      <c r="BB1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1!$E:$E"")=$B108) *
        (IMPORTRANGE(""https://docs.google.com/spreadsheets/d/161aHT6vVT3SLneTKD19N5qVWtnj_jIT8CSsOmUVKmaA/e"&amp;"dit?gid=1761053510"",
          ""Haris_Form responses 1!$AQ:$AQ"")=5)
      ),
      1
    ),
    ""0""
  ),
  ""Form not found""
)
"),"Form not found")</f>
        <v>Form not found</v>
      </c>
      <c r="BC1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1!$E:$E"")=$B108) *
        (IMPORTRANGE(""https://docs.google.com/spreadsheets/d/161aHT6vVT3SLneTKD19N5qVWtnj_jIT8CSsOmUVKmaA/e"&amp;"dit?gid=1761053510"",
          ""Haris_Form responses 1!$AQ:$AQ"")=6)
      ),
      1
    ),
    ""0""
  ),
  ""Form not found""
)
"),"Form not found")</f>
        <v>Form not found</v>
      </c>
      <c r="BD108" s="293"/>
    </row>
    <row r="109">
      <c r="A109" s="283" t="str">
        <f>IFERROR(__xludf.DUMMYFUNCTION("VLOOKUP($B109,IMPORTRANGE(""https://docs.google.com/spreadsheets/d/1VNXDITjs75AcgdBSW27oL1VZH31udDprJSsBcE5xlp4/edit?gid=1551188038#gid=1551188038"", ""Sheet9!$B:$E""),2,false)"),"Shiekhpura")</f>
        <v>Shiekhpura</v>
      </c>
      <c r="B109" s="283" t="s">
        <v>1468</v>
      </c>
      <c r="C109" s="284" t="str">
        <f>IFERROR(__xludf.DUMMYFUNCTION("VLOOKUP(TRIM($B109), IMPORTRANGE(""https://docs.google.com/spreadsheets/d/1aSOrU4PTpuBZqfitKaH1Rfww6-YOiNCKoBpPl8XBHaw/edit?gid=0#gid=0"", ""sheet3!$B:$C""), 2, FALSE)
"),"Jamia Masjid Qalander Shah Shiekhupura")</f>
        <v>Jamia Masjid Qalander Shah Shiekhupura</v>
      </c>
      <c r="D109" s="284" t="str">
        <f>IFERROR(__xludf.DUMMYFUNCTION("IFERROR(
  INDEX(
    FILTER(
      IMPORTRANGE(""1aSOrU4PTpuBZqfitKaH1Rfww6-YOiNCKoBpPl8XBHaw/edit?gid=0#gid=0"",""Sheet1!G:G""),
      IMPORTRANGE(""1aSOrU4PTpuBZqfitKaH1Rfww6-YOiNCKoBpPl8XBHaw/edit?gid=0#gid=0"",""Sheet1!C:C"")=$B109
    ),
    1
  ),
"&amp;"  ""Not Found""
)"),"Community Secular No Info Share")</f>
        <v>Community Secular No Info Share</v>
      </c>
      <c r="E109" s="284" t="str">
        <f>VLOOKUP(B109,'Juma Recording forms'!A:E,5,false)</f>
        <v>Jamia masjid qalandar shah </v>
      </c>
      <c r="F109" s="284" t="str">
        <f>IFERROR(__xludf.DUMMYFUNCTION("IFERROR(
  INDEX(
    FILTER(
      IMPORTRANGE(""1Cxrhp3-_-HS7v9uuqQliiIfrmMP4VaFoDNDWyUFy2J8/edit?gid=0#gid=0"",""Sheet1!Q:Q""),
      IMPORTRANGE(""1Cxrhp3-_-HS7v9uuqQliiIfrmMP4VaFoDNDWyUFy2J8/edit?gid=0#gid=0"",""Sheet1!K:K"")=$B109
    ),
    1
  ),
"&amp;"  ""Not Found""
)"),"Muhammad Tahir ")</f>
        <v>Muhammad Tahir </v>
      </c>
      <c r="G109" s="284">
        <v>1953.0</v>
      </c>
      <c r="H109" s="284" t="s">
        <v>2304</v>
      </c>
      <c r="I109" s="285"/>
      <c r="J109" s="286">
        <v>2.0</v>
      </c>
      <c r="K109" s="287" t="str">
        <f>VLOOKUP($B109,'Mosque Locations'!$A:$E,3,FALSE)
</f>
        <v>https://www.google.com/maps?q=31.8714506,74.5247006</v>
      </c>
      <c r="L109" s="286">
        <f>VLOOKUP($B109,'Mosque Locations'!$A:$E,4,FALSE)
</f>
        <v>31.87145</v>
      </c>
      <c r="M109" s="286">
        <f>VLOOKUP($B109,'Mosque Locations'!$A:$E,5,false)</f>
        <v>74.5247</v>
      </c>
      <c r="N109" s="288"/>
      <c r="O109" s="288"/>
      <c r="P109" s="288"/>
      <c r="Q109" s="289" t="str">
        <f>IFERROR(__xludf.DUMMYFUNCTION("IFERROR(
  INDEX(
    FILTER(
      IMPORTRANGE(""1DccNxjBgurEr0ABkI_rBagJT5phB5HaHG5N_mTm_BiA/edit?gid=1382299152#gid=1382299152"",""Form Responses 1!T:T""),
      IMPORTRANGE(""1DccNxjBgurEr0ABkI_rBagJT5phB5HaHG5N_mTm_BiA/edit?gid=1382299152#gid=1382299"&amp;"152"",""Form Responses 1!E:E"")=$B109
    ),
    1
  ),
  ""Not Found""
)"),"https://drive.google.com/open?id=1ssgJLVOPIw-LXyu0hQjJWrXeOS_g5brJ")</f>
        <v>https://drive.google.com/open?id=1ssgJLVOPIw-LXyu0hQjJWrXeOS_g5brJ</v>
      </c>
      <c r="R109" s="290" t="str">
        <f>IFERROR(__xludf.DUMMYFUNCTION("IFERROR(
  INDEX(
    FILTER(
      IMPORTRANGE(""1DccNxjBgurEr0ABkI_rBagJT5phB5HaHG5N_mTm_BiA/edit?gid=1382299152#gid=1382299152"",""Form Responses 1!S:S""),
      IMPORTRANGE(""1DccNxjBgurEr0ABkI_rBagJT5phB5HaHG5N_mTm_BiA/edit?gid=1382299152#gid=1382299"&amp;"152"",""Form Responses 1!E:E"")=$B109
    ),
    1
  ),
  ""Not Found""
)"),"https://drive.google.com/open?id=1BDhjMuz-d4Cm3X4ZTq_1jql_rQL61OxU")</f>
        <v>https://drive.google.com/open?id=1BDhjMuz-d4Cm3X4ZTq_1jql_rQL61OxU</v>
      </c>
      <c r="S109" s="285"/>
      <c r="T109" s="290" t="str">
        <f>VLOOKUP($B109,'Master Tracker'!$D:$E,2,false)</f>
        <v>https://drive.google.com/open?id=10FYTEy4DLnoXBLSjpsgGobesv2hWqqto</v>
      </c>
      <c r="U109" s="291" t="str">
        <f>VLOOKUP($B109,'Master Tracker'!$D:$T,4,FALSE)
</f>
        <v>https://drive.google.com/open?id=13YecQ9mnmWy7-NSaMVdOLwQI54xtvM0C</v>
      </c>
      <c r="V109" s="290" t="str">
        <f>VLOOKUP($B109,'Master Tracker'!$D:$T,5,false)</f>
        <v>https://drive.google.com/open?id=1NaBoTwNPxWAvJNhkP_SzWp1UAREFmDKY</v>
      </c>
      <c r="W109" s="291" t="str">
        <f>VLOOKUP($B109,'Master Tracker'!$D:$T,7,false)</f>
        <v>https://drive.google.com/open?id=1no1yxN52ie-oBOTLTAXWGOgxEID3gT6H</v>
      </c>
      <c r="X109" s="290" t="str">
        <f>VLOOKUP($B109,'Master Tracker'!$D:$T,8,false)</f>
        <v>https://drive.google.com/open?id=11y8S7hTrS5-8lWhXaaITB53iXZo6KZWB</v>
      </c>
      <c r="Y109" s="291" t="str">
        <f>VLOOKUP($B109,'Master Tracker'!$D:$T,10,false)</f>
        <v>https://drive.google.com/open?id=1xaHqB7uwN9MBvKuJ9mOn2Zz-gFHKk5_e</v>
      </c>
      <c r="Z109" s="284" t="str">
        <f>VLOOKUP($B109,'Master Tracker'!$D:$T,11,false)</f>
        <v>Not Found</v>
      </c>
      <c r="AA109" s="292" t="str">
        <f>VLOOKUP($B109,'Master Tracker'!$D:$T,13,false)</f>
        <v>Not Found</v>
      </c>
      <c r="AB109" s="284" t="str">
        <f>VLOOKUP($B109,'Master Tracker'!$D:$T,14,false)</f>
        <v>Not Found</v>
      </c>
      <c r="AC109" s="292" t="str">
        <f>VLOOKUP($B109,'Master Tracker'!$D:$T,16,false)</f>
        <v>Not Found</v>
      </c>
      <c r="AD109" s="292" t="str">
        <f>VLOOKUP($B109,'Master Tracker'!$D:$T,17,false)</f>
        <v>Not Found</v>
      </c>
      <c r="AE109" s="292" t="str">
        <f>VLOOKUP($B109,'Master Tracker'!$D:$V,19,false)</f>
        <v>Not Found</v>
      </c>
      <c r="AF109" s="292">
        <f>IFERROR(__xludf.DUMMYFUNCTION("IFERROR(
  INDEX(
    FILTER(
      'Juma Recording forms'!$G:$G,
      TRIM('Juma Recording forms'!$F:$F) = TRIM($B109),
      'Juma Recording forms'!$AA:$AA = 1
    ),
    1
  ),
  ""Not Found""
)"),200.0)</f>
        <v>200</v>
      </c>
      <c r="AG109" s="292">
        <f>IFERROR(__xludf.DUMMYFUNCTION("IFERROR(
  INDEX(
    FILTER(
      'Juma Recording forms'!$G:$G,
      TRIM('Juma Recording forms'!$F:$F) = TRIM($B109),
      'Juma Recording forms'!$AA:$AA = 2
    ),
    1
  ),
  ""Not Found""
)"),247.0)</f>
        <v>247</v>
      </c>
      <c r="AH109" s="292">
        <f>IFERROR(__xludf.DUMMYFUNCTION("IFERROR(
  INDEX(
    FILTER(
      'Juma Recording forms'!$G:$G,
      TRIM('Juma Recording forms'!$F:$F) = TRIM($B109),
      'Juma Recording forms'!$AA:$AA = 3
    ),
    1
  ),
  ""Not Found""
)"),220.0)</f>
        <v>220</v>
      </c>
      <c r="AI109" s="292" t="str">
        <f>IFERROR(__xludf.DUMMYFUNCTION("IFERROR(
  INDEX(
    FILTER(
      'Juma Recording forms'!$G:$G,
      TRIM('Juma Recording forms'!$F:$F) = TRIM($B109),
      'Juma Recording forms'!$AA:$AA = 4
    ),
    1
  ),
  ""Not Found""
)"),"Not Found")</f>
        <v>Not Found</v>
      </c>
      <c r="AJ109" s="292" t="str">
        <f>IFERROR(__xludf.DUMMYFUNCTION("IFERROR(
  INDEX(
    FILTER(
      'Juma Recording forms'!$G:$G,
      TRIM('Juma Recording forms'!$F:$F) = TRIM($B109),
      'Juma Recording forms'!$AA:$AA = 5
    ),
    1
  ),
  ""Not Found""
)"),"Not Found")</f>
        <v>Not Found</v>
      </c>
      <c r="AK109" s="292" t="str">
        <f>IFERROR(__xludf.DUMMYFUNCTION("IFERROR(
  INDEX(
    FILTER(
      'Juma Recording forms'!$G:$G,
      TRIM('Juma Recording forms'!$F:$F) = TRIM($B109),
      'Juma Recording forms'!$AA:$AA = 6
    ),
    1
  ),
  ""Not Found""
)"),"Not Found")</f>
        <v>Not Found</v>
      </c>
      <c r="AL1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1!$E:$E"")=$B109) *
        (IMPORTRANGE(""https://docs.google.com/spreadsheets/d/161aHT6vVT3SLneTKD19N5qVWtnj_jIT8CSsOmUVKmaA/e"&amp;"dit?gid=1761053510"",
          ""Haris_Form responses 1!$AQ:$AQ"")=1)
      ),
      1
    ),
    ""0""
  ),
  ""Form not found""
)
"),"10")</f>
        <v>10</v>
      </c>
      <c r="AM1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1!$E:$E"")=$B109) *
        (IMPORTRANGE(""https://docs.google.com/spreadsheets/d/161aHT6vVT3SLneTKD19N5qVWtnj_jIT8CSsOmUVKmaA/e"&amp;"dit?gid=1761053510"",
          ""Haris_Form responses 1!$AQ:$AQ"")=2)
      ),
      1
    ),
    ""0""
  ),
  ""Form not found""
)
"),"10")</f>
        <v>10</v>
      </c>
      <c r="AN1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1!$E:$E"")=$B109) *
        (IMPORTRANGE(""https://docs.google.com/spreadsheets/d/161aHT6vVT3SLneTKD19N5qVWtnj_jIT8CSsOmUVKmaA/e"&amp;"dit?gid=1761053510"",
          ""Haris_Form responses 1!$AQ:$AQ"")=3)
      ),
      1
    ),
    ""0""
  ),
  ""Form not found""
)
"),"4")</f>
        <v>4</v>
      </c>
      <c r="AO1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1!$E:$E"")=$B109) *
        (IMPORTRANGE(""https://docs.google.com/spreadsheets/d/161aHT6vVT3SLneTKD19N5qVWtnj_jIT8CSsOmUVKmaA/e"&amp;"dit?gid=1761053510"",
          ""Haris_Form responses 1!$AQ:$AQ"")=4)
      ),
      1
    ),
    ""0""
  ),
  ""Form not found""
)
"),"Form not found")</f>
        <v>Form not found</v>
      </c>
      <c r="AP1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1!$E:$E"")=$B109) *
        (IMPORTRANGE(""https://docs.google.com/spreadsheets/d/161aHT6vVT3SLneTKD19N5qVWtnj_jIT8CSsOmUVKmaA/e"&amp;"dit?gid=1761053510"",
          ""Haris_Form responses 1!$AQ:$AQ"")=5)
      ),
      1
    ),
    ""0""
  ),
  ""Form not found""
)
"),"Form not found")</f>
        <v>Form not found</v>
      </c>
      <c r="AQ1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1!$E:$E"")=$B109) *
        (IMPORTRANGE(""https://docs.google.com/spreadsheets/d/161aHT6vVT3SLneTKD19N5qVWtnj_jIT8CSsOmUVKmaA/e"&amp;"dit?gid=1761053510"",
          ""Haris_Form responses 1!$AQ:$AQ"")=6)
      ),
      1
    ),
    ""0""
  ),
  ""Form not found""
)
"),"Form not found")</f>
        <v>Form not found</v>
      </c>
      <c r="AR1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1!$E:$E"")=$B109) *
        (IMPORTRANGE(""https://docs.google.com/spreadsheets/d/161aHT6vVT3SLneTKD19N5qVWtnj_jIT8CSsOmUVKmaA/e"&amp;"dit?gid=1761053510"",
          ""Haris_Form responses 1!$AQ:$AQ"")=1)
      ),
      1
    ),
    ""0""
  ),
  ""Form not found""
)
"),"10")</f>
        <v>10</v>
      </c>
      <c r="AS1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1!$E:$E"")=$B109) *
        (IMPORTRANGE(""https://docs.google.com/spreadsheets/d/161aHT6vVT3SLneTKD19N5qVWtnj_jIT8CSsOmUVKmaA/e"&amp;"dit?gid=1761053510"",
          ""Haris_Form responses 1!$AQ:$AQ"")=2)
      ),
      1
    ),
    ""0""
  ),
  ""Form not found""
)
"),"10")</f>
        <v>10</v>
      </c>
      <c r="AT1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1!$E:$E"")=$B109) *
        (IMPORTRANGE(""https://docs.google.com/spreadsheets/d/161aHT6vVT3SLneTKD19N5qVWtnj_jIT8CSsOmUVKmaA/e"&amp;"dit?gid=1761053510"",
          ""Haris_Form responses 1!$AQ:$AQ"")=3)
      ),
      1
    ),
    ""0""
  ),
  ""Form not found""
)
"),"3")</f>
        <v>3</v>
      </c>
      <c r="AU1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1!$E:$E"")=$B109) *
        (IMPORTRANGE(""https://docs.google.com/spreadsheets/d/161aHT6vVT3SLneTKD19N5qVWtnj_jIT8CSsOmUVKmaA/e"&amp;"dit?gid=1761053510"",
          ""Haris_Form responses 1!$AQ:$AQ"")=4)
      ),
      1
    ),
    ""0""
  ),
  ""Form not found""
)
"),"Form not found")</f>
        <v>Form not found</v>
      </c>
      <c r="AV1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1!$E:$E"")=$B109) *
        (IMPORTRANGE(""https://docs.google.com/spreadsheets/d/161aHT6vVT3SLneTKD19N5qVWtnj_jIT8CSsOmUVKmaA/e"&amp;"dit?gid=1761053510"",
          ""Haris_Form responses 1!$AQ:$AQ"")=5)
      ),
      1
    ),
    ""0""
  ),
  ""Form not found""
)
"),"Form not found")</f>
        <v>Form not found</v>
      </c>
      <c r="AW1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1!$E:$E"")=$B109) *
        (IMPORTRANGE(""https://docs.google.com/spreadsheets/d/161aHT6vVT3SLneTKD19N5qVWtnj_jIT8CSsOmUVKmaA/e"&amp;"dit?gid=1761053510"",
          ""Haris_Form responses 1!$AQ:$AQ"")=6)
      ),
      1
    ),
    ""0""
  ),
  ""Form not found""
)
"),"Form not found")</f>
        <v>Form not found</v>
      </c>
      <c r="AX1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1!$E:$E"")=$B109) *
        (IMPORTRANGE(""https://docs.google.com/spreadsheets/d/161aHT6vVT3SLneTKD19N5qVWtnj_jIT8CSsOmUVKmaA/e"&amp;"dit?gid=1761053510"",
          ""Haris_Form responses 1!$AQ:$AQ"")=1)
      ),
      1
    ),
    ""0""
  ),
  ""Form not found""
)
"),"0")</f>
        <v>0</v>
      </c>
      <c r="AY1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1!$E:$E"")=$B109) *
        (IMPORTRANGE(""https://docs.google.com/spreadsheets/d/161aHT6vVT3SLneTKD19N5qVWtnj_jIT8CSsOmUVKmaA/e"&amp;"dit?gid=1761053510"",
          ""Haris_Form responses 1!$AQ:$AQ"")=2)
      ),
      1
    ),
    ""0""
  ),
  ""Form not found""
)
"),"0")</f>
        <v>0</v>
      </c>
      <c r="AZ1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1!$E:$E"")=$B109) *
        (IMPORTRANGE(""https://docs.google.com/spreadsheets/d/161aHT6vVT3SLneTKD19N5qVWtnj_jIT8CSsOmUVKmaA/e"&amp;"dit?gid=1761053510"",
          ""Haris_Form responses 1!$AQ:$AQ"")=3)
      ),
      1
    ),
    ""0""
  ),
  ""Form not found""
)
"),"0")</f>
        <v>0</v>
      </c>
      <c r="BA1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1!$E:$E"")=$B109) *
        (IMPORTRANGE(""https://docs.google.com/spreadsheets/d/161aHT6vVT3SLneTKD19N5qVWtnj_jIT8CSsOmUVKmaA/e"&amp;"dit?gid=1761053510"",
          ""Haris_Form responses 1!$AQ:$AQ"")=4)
      ),
      1
    ),
    ""0""
  ),
  ""Form not found""
)
"),"Form not found")</f>
        <v>Form not found</v>
      </c>
      <c r="BB1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1!$E:$E"")=$B109) *
        (IMPORTRANGE(""https://docs.google.com/spreadsheets/d/161aHT6vVT3SLneTKD19N5qVWtnj_jIT8CSsOmUVKmaA/e"&amp;"dit?gid=1761053510"",
          ""Haris_Form responses 1!$AQ:$AQ"")=5)
      ),
      1
    ),
    ""0""
  ),
  ""Form not found""
)
"),"Form not found")</f>
        <v>Form not found</v>
      </c>
      <c r="BC1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1!$E:$E"")=$B109) *
        (IMPORTRANGE(""https://docs.google.com/spreadsheets/d/161aHT6vVT3SLneTKD19N5qVWtnj_jIT8CSsOmUVKmaA/e"&amp;"dit?gid=1761053510"",
          ""Haris_Form responses 1!$AQ:$AQ"")=6)
      ),
      1
    ),
    ""0""
  ),
  ""Form not found""
)
"),"Form not found")</f>
        <v>Form not found</v>
      </c>
      <c r="BD109" s="293"/>
    </row>
    <row r="110">
      <c r="A110" s="283" t="str">
        <f>IFERROR(__xludf.DUMMYFUNCTION("VLOOKUP($B110,IMPORTRANGE(""https://docs.google.com/spreadsheets/d/1VNXDITjs75AcgdBSW27oL1VZH31udDprJSsBcE5xlp4/edit?gid=1551188038#gid=1551188038"", ""Sheet9!$B:$E""),2,false)"),"Shiekhpura")</f>
        <v>Shiekhpura</v>
      </c>
      <c r="B110" s="283" t="s">
        <v>1714</v>
      </c>
      <c r="C110" s="284" t="str">
        <f>IFERROR(__xludf.DUMMYFUNCTION("VLOOKUP(TRIM($B110), IMPORTRANGE(""https://docs.google.com/spreadsheets/d/1aSOrU4PTpuBZqfitKaH1Rfww6-YOiNCKoBpPl8XBHaw/edit?gid=0#gid=0"", ""sheet3!$B:$C""), 2, FALSE)
"),"Jamia Masjid Mirza Ourkaan Shiekhupura")</f>
        <v>Jamia Masjid Mirza Ourkaan Shiekhupura</v>
      </c>
      <c r="D110" s="284" t="str">
        <f>IFERROR(__xludf.DUMMYFUNCTION("IFERROR(
  INDEX(
    FILTER(
      IMPORTRANGE(""1aSOrU4PTpuBZqfitKaH1Rfww6-YOiNCKoBpPl8XBHaw/edit?gid=0#gid=0"",""Sheet1!G:G""),
      IMPORTRANGE(""1aSOrU4PTpuBZqfitKaH1Rfww6-YOiNCKoBpPl8XBHaw/edit?gid=0#gid=0"",""Sheet1!C:C"")=$B110
    ),
    1
  ),
"&amp;"  ""Not Found""
)"),"Control")</f>
        <v>Control</v>
      </c>
      <c r="E110" s="284" t="str">
        <f>VLOOKUP(B110,'Juma Recording forms'!A:E,5,false)</f>
        <v>Jamai masjed Mirza ourkaan Sheikupura </v>
      </c>
      <c r="F110" s="284" t="str">
        <f>IFERROR(__xludf.DUMMYFUNCTION("IFERROR(
  INDEX(
    FILTER(
      IMPORTRANGE(""1Cxrhp3-_-HS7v9uuqQliiIfrmMP4VaFoDNDWyUFy2J8/edit?gid=0#gid=0"",""Sheet1!Q:Q""),
      IMPORTRANGE(""1Cxrhp3-_-HS7v9uuqQliiIfrmMP4VaFoDNDWyUFy2J8/edit?gid=0#gid=0"",""Sheet1!K:K"")=$B110
    ),
    1
  ),
"&amp;"  ""Not Found""
)"),"Mulana Muhammad Ahmed")</f>
        <v>Mulana Muhammad Ahmed</v>
      </c>
      <c r="G110" s="284">
        <v>2007.0</v>
      </c>
      <c r="H110" s="284"/>
      <c r="I110" s="285"/>
      <c r="J110" s="286">
        <v>2.0</v>
      </c>
      <c r="K110" s="287" t="str">
        <f>VLOOKUP($B110,'Mosque Locations'!$A:$E,3,FALSE)
</f>
        <v>https://www.google.com/maps?q=31.7166863,73.9679537</v>
      </c>
      <c r="L110" s="286">
        <f>VLOOKUP($B110,'Mosque Locations'!$A:$E,4,FALSE)
</f>
        <v>31.71669</v>
      </c>
      <c r="M110" s="286">
        <f>VLOOKUP($B110,'Mosque Locations'!$A:$E,5,false)</f>
        <v>73.96795</v>
      </c>
      <c r="N110" s="288"/>
      <c r="O110" s="288"/>
      <c r="P110" s="288"/>
      <c r="Q110" s="289" t="str">
        <f>IFERROR(__xludf.DUMMYFUNCTION("IFERROR(
  INDEX(
    FILTER(
      IMPORTRANGE(""1DccNxjBgurEr0ABkI_rBagJT5phB5HaHG5N_mTm_BiA/edit?gid=1382299152#gid=1382299152"",""Form Responses 1!T:T""),
      IMPORTRANGE(""1DccNxjBgurEr0ABkI_rBagJT5phB5HaHG5N_mTm_BiA/edit?gid=1382299152#gid=1382299"&amp;"152"",""Form Responses 1!E:E"")=$B110
    ),
    1
  ),
  ""Not Found""
)"),"https://drive.google.com/open?id=1wG29YCpZkWChvNKgjNWYexf2CyuWZOqM")</f>
        <v>https://drive.google.com/open?id=1wG29YCpZkWChvNKgjNWYexf2CyuWZOqM</v>
      </c>
      <c r="R110" s="290" t="str">
        <f>IFERROR(__xludf.DUMMYFUNCTION("IFERROR(
  INDEX(
    FILTER(
      IMPORTRANGE(""1DccNxjBgurEr0ABkI_rBagJT5phB5HaHG5N_mTm_BiA/edit?gid=1382299152#gid=1382299152"",""Form Responses 1!S:S""),
      IMPORTRANGE(""1DccNxjBgurEr0ABkI_rBagJT5phB5HaHG5N_mTm_BiA/edit?gid=1382299152#gid=1382299"&amp;"152"",""Form Responses 1!E:E"")=$B110
    ),
    1
  ),
  ""Not Found""
)"),"https://drive.google.com/open?id=1KjtzrwJdWxQGysgO7dDNRIwi-LQgjRgj")</f>
        <v>https://drive.google.com/open?id=1KjtzrwJdWxQGysgO7dDNRIwi-LQgjRgj</v>
      </c>
      <c r="S110" s="285"/>
      <c r="T110" s="290" t="str">
        <f>VLOOKUP($B110,'Master Tracker'!$D:$E,2,false)</f>
        <v>https://drive.google.com/open?id=1Vd6MVyZ15AQ9ajvvpaAiu0B0MwwygEuy</v>
      </c>
      <c r="U110" s="291" t="str">
        <f>VLOOKUP($B110,'Master Tracker'!$D:$T,4,FALSE)
</f>
        <v>https://drive.google.com/open?id=1jhh8s3AufBVVIYIOH7ZF19kVviqg08ahfviy9xaKqQ8</v>
      </c>
      <c r="V110" s="284" t="str">
        <f>VLOOKUP($B110,'Master Tracker'!$D:$T,5,false)</f>
        <v>Not Found</v>
      </c>
      <c r="W110" s="292" t="str">
        <f>VLOOKUP($B110,'Master Tracker'!$D:$T,7,false)</f>
        <v>Not Found</v>
      </c>
      <c r="X110" s="290" t="str">
        <f>VLOOKUP($B110,'Master Tracker'!$D:$T,8,false)</f>
        <v>https://drive.google.com/open?id=1YP_TIrfkQJhnLc4wAEHhtEnmudxtExvE</v>
      </c>
      <c r="Y110" s="291" t="str">
        <f>VLOOKUP($B110,'Master Tracker'!$D:$T,10,false)</f>
        <v>https://drive.google.com/open?id=1LLcUDDeuWE70SUpPwg4kMBONLhvrCtEG0vTm5tA1PXo</v>
      </c>
      <c r="Z110" s="284" t="str">
        <f>VLOOKUP($B110,'Master Tracker'!$D:$T,11,false)</f>
        <v>Not Found</v>
      </c>
      <c r="AA110" s="292" t="str">
        <f>VLOOKUP($B110,'Master Tracker'!$D:$T,13,false)</f>
        <v>Not Found</v>
      </c>
      <c r="AB110" s="284" t="str">
        <f>VLOOKUP($B110,'Master Tracker'!$D:$T,14,false)</f>
        <v>Not Found</v>
      </c>
      <c r="AC110" s="292" t="str">
        <f>VLOOKUP($B110,'Master Tracker'!$D:$T,16,false)</f>
        <v>Not Found</v>
      </c>
      <c r="AD110" s="292" t="str">
        <f>VLOOKUP($B110,'Master Tracker'!$D:$T,17,false)</f>
        <v>Not Found</v>
      </c>
      <c r="AE110" s="292" t="str">
        <f>VLOOKUP($B110,'Master Tracker'!$D:$V,19,false)</f>
        <v>Not Found</v>
      </c>
      <c r="AF110" s="292">
        <f>IFERROR(__xludf.DUMMYFUNCTION("IFERROR(
  INDEX(
    FILTER(
      'Juma Recording forms'!$G:$G,
      TRIM('Juma Recording forms'!$F:$F) = TRIM($B110),
      'Juma Recording forms'!$AA:$AA = 1
    ),
    1
  ),
  ""Not Found""
)"),190.0)</f>
        <v>190</v>
      </c>
      <c r="AG110" s="292" t="str">
        <f>IFERROR(__xludf.DUMMYFUNCTION("IFERROR(
  INDEX(
    FILTER(
      'Juma Recording forms'!$G:$G,
      TRIM('Juma Recording forms'!$F:$F) = TRIM($B110),
      'Juma Recording forms'!$AA:$AA = 2
    ),
    1
  ),
  ""Not Found""
)"),"Not Found")</f>
        <v>Not Found</v>
      </c>
      <c r="AH110" s="292">
        <f>IFERROR(__xludf.DUMMYFUNCTION("IFERROR(
  INDEX(
    FILTER(
      'Juma Recording forms'!$G:$G,
      TRIM('Juma Recording forms'!$F:$F) = TRIM($B110),
      'Juma Recording forms'!$AA:$AA = 3
    ),
    1
  ),
  ""Not Found""
)"),170.0)</f>
        <v>170</v>
      </c>
      <c r="AI110" s="292" t="str">
        <f>IFERROR(__xludf.DUMMYFUNCTION("IFERROR(
  INDEX(
    FILTER(
      'Juma Recording forms'!$G:$G,
      TRIM('Juma Recording forms'!$F:$F) = TRIM($B110),
      'Juma Recording forms'!$AA:$AA = 4
    ),
    1
  ),
  ""Not Found""
)"),"Not Found")</f>
        <v>Not Found</v>
      </c>
      <c r="AJ110" s="292" t="str">
        <f>IFERROR(__xludf.DUMMYFUNCTION("IFERROR(
  INDEX(
    FILTER(
      'Juma Recording forms'!$G:$G,
      TRIM('Juma Recording forms'!$F:$F) = TRIM($B110),
      'Juma Recording forms'!$AA:$AA = 5
    ),
    1
  ),
  ""Not Found""
)"),"Not Found")</f>
        <v>Not Found</v>
      </c>
      <c r="AK110" s="292"/>
      <c r="AL1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1!$E:$E"")=$B110) *
        (IMPORTRANGE(""https://docs.google.com/spreadsheets/d/161aHT6vVT3SLneTKD19N5qVWtnj_jIT8CSsOmUVKmaA/e"&amp;"dit?gid=1761053510"",
          ""Haris_Form responses 1!$AQ:$AQ"")=1)
      ),
      1
    ),
    ""0""
  ),
  ""Form not found""
)
"),"0")</f>
        <v>0</v>
      </c>
      <c r="AM1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1!$E:$E"")=$B110) *
        (IMPORTRANGE(""https://docs.google.com/spreadsheets/d/161aHT6vVT3SLneTKD19N5qVWtnj_jIT8CSsOmUVKmaA/e"&amp;"dit?gid=1761053510"",
          ""Haris_Form responses 1!$AQ:$AQ"")=2)
      ),
      1
    ),
    ""0""
  ),
  ""Form not found""
)
"),"Form not found")</f>
        <v>Form not found</v>
      </c>
      <c r="AN1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1!$E:$E"")=$B110) *
        (IMPORTRANGE(""https://docs.google.com/spreadsheets/d/161aHT6vVT3SLneTKD19N5qVWtnj_jIT8CSsOmUVKmaA/e"&amp;"dit?gid=1761053510"",
          ""Haris_Form responses 1!$AQ:$AQ"")=3)
      ),
      1
    ),
    ""0""
  ),
  ""Form not found""
)
"),"0")</f>
        <v>0</v>
      </c>
      <c r="AO1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1!$E:$E"")=$B110) *
        (IMPORTRANGE(""https://docs.google.com/spreadsheets/d/161aHT6vVT3SLneTKD19N5qVWtnj_jIT8CSsOmUVKmaA/e"&amp;"dit?gid=1761053510"",
          ""Haris_Form responses 1!$AQ:$AQ"")=4)
      ),
      1
    ),
    ""0""
  ),
  ""Form not found""
)
"),"Form not found")</f>
        <v>Form not found</v>
      </c>
      <c r="AP1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1!$E:$E"")=$B110) *
        (IMPORTRANGE(""https://docs.google.com/spreadsheets/d/161aHT6vVT3SLneTKD19N5qVWtnj_jIT8CSsOmUVKmaA/e"&amp;"dit?gid=1761053510"",
          ""Haris_Form responses 1!$AQ:$AQ"")=5)
      ),
      1
    ),
    ""0""
  ),
  ""Form not found""
)
"),"Form not found")</f>
        <v>Form not found</v>
      </c>
      <c r="AQ1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1!$E:$E"")=$B110) *
        (IMPORTRANGE(""https://docs.google.com/spreadsheets/d/161aHT6vVT3SLneTKD19N5qVWtnj_jIT8CSsOmUVKmaA/e"&amp;"dit?gid=1761053510"",
          ""Haris_Form responses 1!$AQ:$AQ"")=6)
      ),
      1
    ),
    ""0""
  ),
  ""Form not found""
)
"),"Form not found")</f>
        <v>Form not found</v>
      </c>
      <c r="AR1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1!$E:$E"")=$B110) *
        (IMPORTRANGE(""https://docs.google.com/spreadsheets/d/161aHT6vVT3SLneTKD19N5qVWtnj_jIT8CSsOmUVKmaA/e"&amp;"dit?gid=1761053510"",
          ""Haris_Form responses 1!$AQ:$AQ"")=1)
      ),
      1
    ),
    ""0""
  ),
  ""Form not found""
)
"),"0")</f>
        <v>0</v>
      </c>
      <c r="AS1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1!$E:$E"")=$B110) *
        (IMPORTRANGE(""https://docs.google.com/spreadsheets/d/161aHT6vVT3SLneTKD19N5qVWtnj_jIT8CSsOmUVKmaA/e"&amp;"dit?gid=1761053510"",
          ""Haris_Form responses 1!$AQ:$AQ"")=2)
      ),
      1
    ),
    ""0""
  ),
  ""Form not found""
)
"),"Form not found")</f>
        <v>Form not found</v>
      </c>
      <c r="AT1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1!$E:$E"")=$B110) *
        (IMPORTRANGE(""https://docs.google.com/spreadsheets/d/161aHT6vVT3SLneTKD19N5qVWtnj_jIT8CSsOmUVKmaA/e"&amp;"dit?gid=1761053510"",
          ""Haris_Form responses 1!$AQ:$AQ"")=3)
      ),
      1
    ),
    ""0""
  ),
  ""Form not found""
)
"),"7")</f>
        <v>7</v>
      </c>
      <c r="AU1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1!$E:$E"")=$B110) *
        (IMPORTRANGE(""https://docs.google.com/spreadsheets/d/161aHT6vVT3SLneTKD19N5qVWtnj_jIT8CSsOmUVKmaA/e"&amp;"dit?gid=1761053510"",
          ""Haris_Form responses 1!$AQ:$AQ"")=4)
      ),
      1
    ),
    ""0""
  ),
  ""Form not found""
)
"),"Form not found")</f>
        <v>Form not found</v>
      </c>
      <c r="AV1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1!$E:$E"")=$B110) *
        (IMPORTRANGE(""https://docs.google.com/spreadsheets/d/161aHT6vVT3SLneTKD19N5qVWtnj_jIT8CSsOmUVKmaA/e"&amp;"dit?gid=1761053510"",
          ""Haris_Form responses 1!$AQ:$AQ"")=5)
      ),
      1
    ),
    ""0""
  ),
  ""Form not found""
)
"),"Form not found")</f>
        <v>Form not found</v>
      </c>
      <c r="AW1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1!$E:$E"")=$B110) *
        (IMPORTRANGE(""https://docs.google.com/spreadsheets/d/161aHT6vVT3SLneTKD19N5qVWtnj_jIT8CSsOmUVKmaA/e"&amp;"dit?gid=1761053510"",
          ""Haris_Form responses 1!$AQ:$AQ"")=6)
      ),
      1
    ),
    ""0""
  ),
  ""Form not found""
)
"),"Form not found")</f>
        <v>Form not found</v>
      </c>
      <c r="AX1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1!$E:$E"")=$B110) *
        (IMPORTRANGE(""https://docs.google.com/spreadsheets/d/161aHT6vVT3SLneTKD19N5qVWtnj_jIT8CSsOmUVKmaA/e"&amp;"dit?gid=1761053510"",
          ""Haris_Form responses 1!$AQ:$AQ"")=1)
      ),
      1
    ),
    ""0""
  ),
  ""Form not found""
)
"),"0")</f>
        <v>0</v>
      </c>
      <c r="AY1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1!$E:$E"")=$B110) *
        (IMPORTRANGE(""https://docs.google.com/spreadsheets/d/161aHT6vVT3SLneTKD19N5qVWtnj_jIT8CSsOmUVKmaA/e"&amp;"dit?gid=1761053510"",
          ""Haris_Form responses 1!$AQ:$AQ"")=2)
      ),
      1
    ),
    ""0""
  ),
  ""Form not found""
)
"),"Form not found")</f>
        <v>Form not found</v>
      </c>
      <c r="AZ1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1!$E:$E"")=$B110) *
        (IMPORTRANGE(""https://docs.google.com/spreadsheets/d/161aHT6vVT3SLneTKD19N5qVWtnj_jIT8CSsOmUVKmaA/e"&amp;"dit?gid=1761053510"",
          ""Haris_Form responses 1!$AQ:$AQ"")=3)
      ),
      1
    ),
    ""0""
  ),
  ""Form not found""
)
"),"0")</f>
        <v>0</v>
      </c>
      <c r="BA1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1!$E:$E"")=$B110) *
        (IMPORTRANGE(""https://docs.google.com/spreadsheets/d/161aHT6vVT3SLneTKD19N5qVWtnj_jIT8CSsOmUVKmaA/e"&amp;"dit?gid=1761053510"",
          ""Haris_Form responses 1!$AQ:$AQ"")=4)
      ),
      1
    ),
    ""0""
  ),
  ""Form not found""
)
"),"Form not found")</f>
        <v>Form not found</v>
      </c>
      <c r="BB1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1!$E:$E"")=$B110) *
        (IMPORTRANGE(""https://docs.google.com/spreadsheets/d/161aHT6vVT3SLneTKD19N5qVWtnj_jIT8CSsOmUVKmaA/e"&amp;"dit?gid=1761053510"",
          ""Haris_Form responses 1!$AQ:$AQ"")=5)
      ),
      1
    ),
    ""0""
  ),
  ""Form not found""
)
"),"Form not found")</f>
        <v>Form not found</v>
      </c>
      <c r="BC1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1!$E:$E"")=$B110) *
        (IMPORTRANGE(""https://docs.google.com/spreadsheets/d/161aHT6vVT3SLneTKD19N5qVWtnj_jIT8CSsOmUVKmaA/e"&amp;"dit?gid=1761053510"",
          ""Haris_Form responses 1!$AQ:$AQ"")=6)
      ),
      1
    ),
    ""0""
  ),
  ""Form not found""
)
"),"Form not found")</f>
        <v>Form not found</v>
      </c>
      <c r="BD110" s="293"/>
    </row>
    <row r="111">
      <c r="A111" s="283" t="str">
        <f>IFERROR(__xludf.DUMMYFUNCTION("VLOOKUP($B111,IMPORTRANGE(""https://docs.google.com/spreadsheets/d/1VNXDITjs75AcgdBSW27oL1VZH31udDprJSsBcE5xlp4/edit?gid=1551188038#gid=1551188038"", ""Sheet9!$B:$E""),2,false)"),"Shiekhpura")</f>
        <v>Shiekhpura</v>
      </c>
      <c r="B111" s="283" t="s">
        <v>1438</v>
      </c>
      <c r="C111" s="284" t="str">
        <f>IFERROR(__xludf.DUMMYFUNCTION("VLOOKUP(TRIM($B111), IMPORTRANGE(""https://docs.google.com/spreadsheets/d/1aSOrU4PTpuBZqfitKaH1Rfww6-YOiNCKoBpPl8XBHaw/edit?gid=0#gid=0"", ""sheet3!$B:$C""), 2, FALSE)
"),"Jamia Masjid Farooka Abaad Shiekhupura")</f>
        <v>Jamia Masjid Farooka Abaad Shiekhupura</v>
      </c>
      <c r="D111" s="284" t="str">
        <f>IFERROR(__xludf.DUMMYFUNCTION("IFERROR(
  INDEX(
    FILTER(
      IMPORTRANGE(""1aSOrU4PTpuBZqfitKaH1Rfww6-YOiNCKoBpPl8XBHaw/edit?gid=0#gid=0"",""Sheet1!G:G""),
      IMPORTRANGE(""1aSOrU4PTpuBZqfitKaH1Rfww6-YOiNCKoBpPl8XBHaw/edit?gid=0#gid=0"",""Sheet1!C:C"")=$B111
    ),
    1
  ),
"&amp;"  ""Not Found""
)"),"Women Secular No Info Share")</f>
        <v>Women Secular No Info Share</v>
      </c>
      <c r="E111" s="284" t="str">
        <f>VLOOKUP(B111,'Juma Recording forms'!A:E,5,false)</f>
        <v>Jamia Masjid Farooq Abad auqaf wali Sheikhupura </v>
      </c>
      <c r="F111" s="284" t="str">
        <f>IFERROR(__xludf.DUMMYFUNCTION("IFERROR(
  INDEX(
    FILTER(
      IMPORTRANGE(""1Cxrhp3-_-HS7v9uuqQliiIfrmMP4VaFoDNDWyUFy2J8/edit?gid=0#gid=0"",""Sheet1!Q:Q""),
      IMPORTRANGE(""1Cxrhp3-_-HS7v9uuqQliiIfrmMP4VaFoDNDWyUFy2J8/edit?gid=0#gid=0"",""Sheet1!K:K"")=$B111
    ),
    1
  ),
"&amp;"  ""Not Found""
)"),"Zafar iqbal")</f>
        <v>Zafar iqbal</v>
      </c>
      <c r="G111" s="284">
        <v>1890.0</v>
      </c>
      <c r="H111" s="284"/>
      <c r="I111" s="285"/>
      <c r="J111" s="286">
        <v>2.0</v>
      </c>
      <c r="K111" s="287" t="str">
        <f>VLOOKUP($B111,'Mosque Locations'!$A:$E,3,FALSE)
</f>
        <v>https://www.google.com/maps?q=31.7409573,73.8311323</v>
      </c>
      <c r="L111" s="286">
        <f>VLOOKUP($B111,'Mosque Locations'!$A:$E,4,FALSE)
</f>
        <v>31.74096</v>
      </c>
      <c r="M111" s="286">
        <f>VLOOKUP($B111,'Mosque Locations'!$A:$E,5,false)</f>
        <v>73.83113</v>
      </c>
      <c r="N111" s="288"/>
      <c r="O111" s="288"/>
      <c r="P111" s="288"/>
      <c r="Q111" s="289" t="str">
        <f>IFERROR(__xludf.DUMMYFUNCTION("IFERROR(
  INDEX(
    FILTER(
      IMPORTRANGE(""1DccNxjBgurEr0ABkI_rBagJT5phB5HaHG5N_mTm_BiA/edit?gid=1382299152#gid=1382299152"",""Form Responses 1!T:T""),
      IMPORTRANGE(""1DccNxjBgurEr0ABkI_rBagJT5phB5HaHG5N_mTm_BiA/edit?gid=1382299152#gid=1382299"&amp;"152"",""Form Responses 1!E:E"")=$B111
    ),
    1
  ),
  ""Not Found""
)"),"https://drive.google.com/open?id=1HmAKCBk05PDeOZpzpQf-HSeIviSNtU7j")</f>
        <v>https://drive.google.com/open?id=1HmAKCBk05PDeOZpzpQf-HSeIviSNtU7j</v>
      </c>
      <c r="R111" s="289" t="str">
        <f>IFERROR(__xludf.DUMMYFUNCTION("IFERROR(
  INDEX(
    FILTER(
      IMPORTRANGE(""1DccNxjBgurEr0ABkI_rBagJT5phB5HaHG5N_mTm_BiA/edit?gid=1382299152#gid=1382299152"",""Form Responses 1!S:S""),
      IMPORTRANGE(""1DccNxjBgurEr0ABkI_rBagJT5phB5HaHG5N_mTm_BiA/edit?gid=1382299152#gid=1382299"&amp;"152"",""Form Responses 1!E:E"")=$B111
    ),
    1
  ),
  ""Not Found""
)"),"https://drive.google.com/open?id=1pLDNfadBTvpEySYyi0sq8oSWJUezq_-1")</f>
        <v>https://drive.google.com/open?id=1pLDNfadBTvpEySYyi0sq8oSWJUezq_-1</v>
      </c>
      <c r="S111" s="285"/>
      <c r="T111" s="290" t="str">
        <f>VLOOKUP($B111,'Master Tracker'!$D:$E,2,false)</f>
        <v>https://drive.google.com/open?id=1kKTaUnuixWZE8jGPha3NahRndQT6p2Bk</v>
      </c>
      <c r="U111" s="291" t="str">
        <f>VLOOKUP($B111,'Master Tracker'!$D:$T,4,FALSE)
</f>
        <v>https://drive.google.com/open?id=1Ab0Ks3x0nk6jT9ilSVIpkKKqhD02WdelM95wNshL5nA</v>
      </c>
      <c r="V111" s="290" t="str">
        <f>VLOOKUP($B111,'Master Tracker'!$D:$T,5,false)</f>
        <v>https://drive.google.com/open?id=1tJSLscdYWEcal01YimyqQs3rHd9n-R-D</v>
      </c>
      <c r="W111" s="291" t="str">
        <f>VLOOKUP($B111,'Master Tracker'!$D:$T,7,false)</f>
        <v>https://drive.google.com/open?id=1fknbXCBVr4Fc8SHYe00ASAwEXLwl6DADhDluGKHDuGs</v>
      </c>
      <c r="X111" s="290" t="str">
        <f>VLOOKUP($B111,'Master Tracker'!$D:$T,8,false)</f>
        <v>https://drive.google.com/open?id=1OKtPFQtWVaVW4eYVGTna_iFG0Yin7v_6</v>
      </c>
      <c r="Y111" s="291" t="str">
        <f>VLOOKUP($B111,'Master Tracker'!$D:$T,10,false)</f>
        <v>https://drive.google.com/open?id=1zLsFcLSZKY0SctIGwn_W3EVtE4JX1nJp</v>
      </c>
      <c r="Z111" s="284" t="str">
        <f>VLOOKUP($B111,'Master Tracker'!$D:$T,11,false)</f>
        <v>Not Found</v>
      </c>
      <c r="AA111" s="292" t="str">
        <f>VLOOKUP($B111,'Master Tracker'!$D:$T,13,false)</f>
        <v>Not Found</v>
      </c>
      <c r="AB111" s="284" t="str">
        <f>VLOOKUP($B111,'Master Tracker'!$D:$T,14,false)</f>
        <v>Not Found</v>
      </c>
      <c r="AC111" s="292" t="str">
        <f>VLOOKUP($B111,'Master Tracker'!$D:$T,16,false)</f>
        <v>Not Found</v>
      </c>
      <c r="AD111" s="292" t="str">
        <f>VLOOKUP($B111,'Master Tracker'!$D:$T,17,false)</f>
        <v>Not Found</v>
      </c>
      <c r="AE111" s="292" t="str">
        <f>VLOOKUP($B111,'Master Tracker'!$D:$V,19,false)</f>
        <v>Not Found</v>
      </c>
      <c r="AF111" s="292">
        <f>IFERROR(__xludf.DUMMYFUNCTION("IFERROR(
  INDEX(
    FILTER(
      'Juma Recording forms'!$G:$G,
      TRIM('Juma Recording forms'!$F:$F) = TRIM($B111),
      'Juma Recording forms'!$AA:$AA = 1
    ),
    1
  ),
  ""Not Found""
)"),418.0)</f>
        <v>418</v>
      </c>
      <c r="AG111" s="292">
        <f>IFERROR(__xludf.DUMMYFUNCTION("IFERROR(
  INDEX(
    FILTER(
      'Juma Recording forms'!$G:$G,
      TRIM('Juma Recording forms'!$F:$F) = TRIM($B111),
      'Juma Recording forms'!$AA:$AA = 2
    ),
    1
  ),
  ""Not Found""
)"),450.0)</f>
        <v>450</v>
      </c>
      <c r="AH111" s="292">
        <f>IFERROR(__xludf.DUMMYFUNCTION("IFERROR(
  INDEX(
    FILTER(
      'Juma Recording forms'!$G:$G,
      TRIM('Juma Recording forms'!$F:$F) = TRIM($B111),
      'Juma Recording forms'!$AA:$AA = 3
    ),
    1
  ),
  ""Not Found""
)"),430.0)</f>
        <v>430</v>
      </c>
      <c r="AI111" s="292" t="str">
        <f>IFERROR(__xludf.DUMMYFUNCTION("IFERROR(
  INDEX(
    FILTER(
      'Juma Recording forms'!$G:$G,
      TRIM('Juma Recording forms'!$F:$F) = TRIM($B111),
      'Juma Recording forms'!$AA:$AA = 4
    ),
    1
  ),
  ""Not Found""
)"),"Not Found")</f>
        <v>Not Found</v>
      </c>
      <c r="AJ111" s="292" t="str">
        <f>IFERROR(__xludf.DUMMYFUNCTION("IFERROR(
  INDEX(
    FILTER(
      'Juma Recording forms'!$G:$G,
      TRIM('Juma Recording forms'!$F:$F) = TRIM($B111),
      'Juma Recording forms'!$AA:$AA = 5
    ),
    1
  ),
  ""Not Found""
)"),"Not Found")</f>
        <v>Not Found</v>
      </c>
      <c r="AK111" s="292" t="str">
        <f>IFERROR(__xludf.DUMMYFUNCTION("IFERROR(
  INDEX(
    FILTER(
      'Juma Recording forms'!$G:$G,
      TRIM('Juma Recording forms'!$F:$F) = TRIM($B111),
      'Juma Recording forms'!$AA:$AA = 6
    ),
    1
  ),
  ""Not Found""
)"),"Not Found")</f>
        <v>Not Found</v>
      </c>
      <c r="AL1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1!$E:$E"")=$B111) *
        (IMPORTRANGE(""https://docs.google.com/spreadsheets/d/161aHT6vVT3SLneTKD19N5qVWtnj_jIT8CSsOmUVKmaA/e"&amp;"dit?gid=1761053510"",
          ""Haris_Form responses 1!$AQ:$AQ"")=1)
      ),
      1
    ),
    ""0""
  ),
  ""Form not found""
)
"),"10")</f>
        <v>10</v>
      </c>
      <c r="AM1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1!$E:$E"")=$B111) *
        (IMPORTRANGE(""https://docs.google.com/spreadsheets/d/161aHT6vVT3SLneTKD19N5qVWtnj_jIT8CSsOmUVKmaA/e"&amp;"dit?gid=1761053510"",
          ""Haris_Form responses 1!$AQ:$AQ"")=2)
      ),
      1
    ),
    ""0""
  ),
  ""Form not found""
)
"),"9")</f>
        <v>9</v>
      </c>
      <c r="AN1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1!$E:$E"")=$B111) *
        (IMPORTRANGE(""https://docs.google.com/spreadsheets/d/161aHT6vVT3SLneTKD19N5qVWtnj_jIT8CSsOmUVKmaA/e"&amp;"dit?gid=1761053510"",
          ""Haris_Form responses 1!$AQ:$AQ"")=3)
      ),
      1
    ),
    ""0""
  ),
  ""Form not found""
)
"),"0")</f>
        <v>0</v>
      </c>
      <c r="AO1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1!$E:$E"")=$B111) *
        (IMPORTRANGE(""https://docs.google.com/spreadsheets/d/161aHT6vVT3SLneTKD19N5qVWtnj_jIT8CSsOmUVKmaA/e"&amp;"dit?gid=1761053510"",
          ""Haris_Form responses 1!$AQ:$AQ"")=4)
      ),
      1
    ),
    ""0""
  ),
  ""Form not found""
)
"),"Form not found")</f>
        <v>Form not found</v>
      </c>
      <c r="AP1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1!$E:$E"")=$B111) *
        (IMPORTRANGE(""https://docs.google.com/spreadsheets/d/161aHT6vVT3SLneTKD19N5qVWtnj_jIT8CSsOmUVKmaA/e"&amp;"dit?gid=1761053510"",
          ""Haris_Form responses 1!$AQ:$AQ"")=5)
      ),
      1
    ),
    ""0""
  ),
  ""Form not found""
)
"),"Form not found")</f>
        <v>Form not found</v>
      </c>
      <c r="AQ1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1!$E:$E"")=$B111) *
        (IMPORTRANGE(""https://docs.google.com/spreadsheets/d/161aHT6vVT3SLneTKD19N5qVWtnj_jIT8CSsOmUVKmaA/e"&amp;"dit?gid=1761053510"",
          ""Haris_Form responses 1!$AQ:$AQ"")=6)
      ),
      1
    ),
    ""0""
  ),
  ""Form not found""
)
"),"Form not found")</f>
        <v>Form not found</v>
      </c>
      <c r="AR1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1!$E:$E"")=$B111) *
        (IMPORTRANGE(""https://docs.google.com/spreadsheets/d/161aHT6vVT3SLneTKD19N5qVWtnj_jIT8CSsOmUVKmaA/e"&amp;"dit?gid=1761053510"",
          ""Haris_Form responses 1!$AQ:$AQ"")=1)
      ),
      1
    ),
    ""0""
  ),
  ""Form not found""
)
"),"0")</f>
        <v>0</v>
      </c>
      <c r="AS1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1!$E:$E"")=$B111) *
        (IMPORTRANGE(""https://docs.google.com/spreadsheets/d/161aHT6vVT3SLneTKD19N5qVWtnj_jIT8CSsOmUVKmaA/e"&amp;"dit?gid=1761053510"",
          ""Haris_Form responses 1!$AQ:$AQ"")=2)
      ),
      1
    ),
    ""0""
  ),
  ""Form not found""
)
"),"0")</f>
        <v>0</v>
      </c>
      <c r="AT1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1!$E:$E"")=$B111) *
        (IMPORTRANGE(""https://docs.google.com/spreadsheets/d/161aHT6vVT3SLneTKD19N5qVWtnj_jIT8CSsOmUVKmaA/e"&amp;"dit?gid=1761053510"",
          ""Haris_Form responses 1!$AQ:$AQ"")=3)
      ),
      1
    ),
    ""0""
  ),
  ""Form not found""
)
"),"0")</f>
        <v>0</v>
      </c>
      <c r="AU1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1!$E:$E"")=$B111) *
        (IMPORTRANGE(""https://docs.google.com/spreadsheets/d/161aHT6vVT3SLneTKD19N5qVWtnj_jIT8CSsOmUVKmaA/e"&amp;"dit?gid=1761053510"",
          ""Haris_Form responses 1!$AQ:$AQ"")=4)
      ),
      1
    ),
    ""0""
  ),
  ""Form not found""
)
"),"Form not found")</f>
        <v>Form not found</v>
      </c>
      <c r="AV1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1!$E:$E"")=$B111) *
        (IMPORTRANGE(""https://docs.google.com/spreadsheets/d/161aHT6vVT3SLneTKD19N5qVWtnj_jIT8CSsOmUVKmaA/e"&amp;"dit?gid=1761053510"",
          ""Haris_Form responses 1!$AQ:$AQ"")=5)
      ),
      1
    ),
    ""0""
  ),
  ""Form not found""
)
"),"Form not found")</f>
        <v>Form not found</v>
      </c>
      <c r="AW1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1!$E:$E"")=$B111) *
        (IMPORTRANGE(""https://docs.google.com/spreadsheets/d/161aHT6vVT3SLneTKD19N5qVWtnj_jIT8CSsOmUVKmaA/e"&amp;"dit?gid=1761053510"",
          ""Haris_Form responses 1!$AQ:$AQ"")=6)
      ),
      1
    ),
    ""0""
  ),
  ""Form not found""
)
"),"Form not found")</f>
        <v>Form not found</v>
      </c>
      <c r="AX1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1!$E:$E"")=$B111) *
        (IMPORTRANGE(""https://docs.google.com/spreadsheets/d/161aHT6vVT3SLneTKD19N5qVWtnj_jIT8CSsOmUVKmaA/e"&amp;"dit?gid=1761053510"",
          ""Haris_Form responses 1!$AQ:$AQ"")=1)
      ),
      1
    ),
    ""0""
  ),
  ""Form not found""
)
"),"10")</f>
        <v>10</v>
      </c>
      <c r="AY1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1!$E:$E"")=$B111) *
        (IMPORTRANGE(""https://docs.google.com/spreadsheets/d/161aHT6vVT3SLneTKD19N5qVWtnj_jIT8CSsOmUVKmaA/e"&amp;"dit?gid=1761053510"",
          ""Haris_Form responses 1!$AQ:$AQ"")=2)
      ),
      1
    ),
    ""0""
  ),
  ""Form not found""
)
"),"9")</f>
        <v>9</v>
      </c>
      <c r="AZ1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1!$E:$E"")=$B111) *
        (IMPORTRANGE(""https://docs.google.com/spreadsheets/d/161aHT6vVT3SLneTKD19N5qVWtnj_jIT8CSsOmUVKmaA/e"&amp;"dit?gid=1761053510"",
          ""Haris_Form responses 1!$AQ:$AQ"")=3)
      ),
      1
    ),
    ""0""
  ),
  ""Form not found""
)
"),"0")</f>
        <v>0</v>
      </c>
      <c r="BA1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1!$E:$E"")=$B111) *
        (IMPORTRANGE(""https://docs.google.com/spreadsheets/d/161aHT6vVT3SLneTKD19N5qVWtnj_jIT8CSsOmUVKmaA/e"&amp;"dit?gid=1761053510"",
          ""Haris_Form responses 1!$AQ:$AQ"")=4)
      ),
      1
    ),
    ""0""
  ),
  ""Form not found""
)
"),"Form not found")</f>
        <v>Form not found</v>
      </c>
      <c r="BB1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1!$E:$E"")=$B111) *
        (IMPORTRANGE(""https://docs.google.com/spreadsheets/d/161aHT6vVT3SLneTKD19N5qVWtnj_jIT8CSsOmUVKmaA/e"&amp;"dit?gid=1761053510"",
          ""Haris_Form responses 1!$AQ:$AQ"")=5)
      ),
      1
    ),
    ""0""
  ),
  ""Form not found""
)
"),"Form not found")</f>
        <v>Form not found</v>
      </c>
      <c r="BC1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1!$E:$E"")=$B111) *
        (IMPORTRANGE(""https://docs.google.com/spreadsheets/d/161aHT6vVT3SLneTKD19N5qVWtnj_jIT8CSsOmUVKmaA/e"&amp;"dit?gid=1761053510"",
          ""Haris_Form responses 1!$AQ:$AQ"")=6)
      ),
      1
    ),
    ""0""
  ),
  ""Form not found""
)
"),"Form not found")</f>
        <v>Form not found</v>
      </c>
      <c r="BD111" s="293"/>
    </row>
    <row r="112">
      <c r="A112" s="283" t="str">
        <f>IFERROR(__xludf.DUMMYFUNCTION("VLOOKUP($B112,IMPORTRANGE(""https://docs.google.com/spreadsheets/d/1VNXDITjs75AcgdBSW27oL1VZH31udDprJSsBcE5xlp4/edit?gid=1551188038#gid=1551188038"", ""Sheet9!$B:$E""),2,false)"),"Shiekhpura")</f>
        <v>Shiekhpura</v>
      </c>
      <c r="B112" s="283" t="s">
        <v>1643</v>
      </c>
      <c r="C112" s="284" t="str">
        <f>IFERROR(__xludf.DUMMYFUNCTION("VLOOKUP(TRIM($B112), IMPORTRANGE(""https://docs.google.com/spreadsheets/d/1aSOrU4PTpuBZqfitKaH1Rfww6-YOiNCKoBpPl8XBHaw/edit?gid=0#gid=0"", ""sheet3!$B:$C""), 2, FALSE)
"),"Jamia Masjid Railway Road Shiekhupura")</f>
        <v>Jamia Masjid Railway Road Shiekhupura</v>
      </c>
      <c r="D112" s="284" t="str">
        <f>IFERROR(__xludf.DUMMYFUNCTION("IFERROR(
  INDEX(
    FILTER(
      IMPORTRANGE(""1aSOrU4PTpuBZqfitKaH1Rfww6-YOiNCKoBpPl8XBHaw/edit?gid=0#gid=0"",""Sheet1!G:G""),
      IMPORTRANGE(""1aSOrU4PTpuBZqfitKaH1Rfww6-YOiNCKoBpPl8XBHaw/edit?gid=0#gid=0"",""Sheet1!C:C"")=$B112
    ),
    1
  ),
"&amp;"  ""Not Found""
)"),"Community Secular No Info Share")</f>
        <v>Community Secular No Info Share</v>
      </c>
      <c r="E112" s="284" t="str">
        <f>VLOOKUP(B112,'Juma Recording forms'!A:E,5,false)</f>
        <v>Jamia Masjid Railway Road Sheikhupura </v>
      </c>
      <c r="F112" s="284" t="str">
        <f>IFERROR(__xludf.DUMMYFUNCTION("IFERROR(
  INDEX(
    FILTER(
      IMPORTRANGE(""1Cxrhp3-_-HS7v9uuqQliiIfrmMP4VaFoDNDWyUFy2J8/edit?gid=0#gid=0"",""Sheet1!Q:Q""),
      IMPORTRANGE(""1Cxrhp3-_-HS7v9uuqQliiIfrmMP4VaFoDNDWyUFy2J8/edit?gid=0#gid=0"",""Sheet1!K:K"")=$B112
    ),
    1
  ),
"&amp;"  ""Not Found""
)"),"Dr M. Usman")</f>
        <v>Dr M. Usman</v>
      </c>
      <c r="G112" s="284">
        <v>1890.0</v>
      </c>
      <c r="H112" s="284"/>
      <c r="I112" s="285"/>
      <c r="J112" s="286">
        <v>2.0</v>
      </c>
      <c r="K112" s="287" t="str">
        <f>VLOOKUP($B112,'Mosque Locations'!$A:$E,3,FALSE)
</f>
        <v>https://www.google.com/maps?q=31.7134701,73.980049</v>
      </c>
      <c r="L112" s="286">
        <f>VLOOKUP($B112,'Mosque Locations'!$A:$E,4,FALSE)
</f>
        <v>31.71347</v>
      </c>
      <c r="M112" s="286">
        <f>VLOOKUP($B112,'Mosque Locations'!$A:$E,5,false)</f>
        <v>73.98005</v>
      </c>
      <c r="N112" s="288"/>
      <c r="O112" s="288"/>
      <c r="P112" s="288"/>
      <c r="Q112" s="289" t="str">
        <f>IFERROR(__xludf.DUMMYFUNCTION("IFERROR(
  INDEX(
    FILTER(
      IMPORTRANGE(""1DccNxjBgurEr0ABkI_rBagJT5phB5HaHG5N_mTm_BiA/edit?gid=1382299152#gid=1382299152"",""Form Responses 1!T:T""),
      IMPORTRANGE(""1DccNxjBgurEr0ABkI_rBagJT5phB5HaHG5N_mTm_BiA/edit?gid=1382299152#gid=1382299"&amp;"152"",""Form Responses 1!E:E"")=$B112
    ),
    1
  ),
  ""Not Found""
)"),"https://drive.google.com/open?id=1OPaxrmCgZK7VNTN9jQLs1fu8AZMtF6Mz")</f>
        <v>https://drive.google.com/open?id=1OPaxrmCgZK7VNTN9jQLs1fu8AZMtF6Mz</v>
      </c>
      <c r="R112" s="289" t="str">
        <f>IFERROR(__xludf.DUMMYFUNCTION("IFERROR(
  INDEX(
    FILTER(
      IMPORTRANGE(""1DccNxjBgurEr0ABkI_rBagJT5phB5HaHG5N_mTm_BiA/edit?gid=1382299152#gid=1382299152"",""Form Responses 1!S:S""),
      IMPORTRANGE(""1DccNxjBgurEr0ABkI_rBagJT5phB5HaHG5N_mTm_BiA/edit?gid=1382299152#gid=1382299"&amp;"152"",""Form Responses 1!E:E"")=$B112
    ),
    1
  ),
  ""Not Found""
)"),"https://drive.google.com/open?id=14vbFK4GZUywQnuN0tWxzgOna9KRitd-X")</f>
        <v>https://drive.google.com/open?id=14vbFK4GZUywQnuN0tWxzgOna9KRitd-X</v>
      </c>
      <c r="S112" s="285"/>
      <c r="T112" s="290" t="str">
        <f>VLOOKUP($B112,'Master Tracker'!$D:$E,2,false)</f>
        <v>https://drive.google.com/open?id=1FdrO0DDVe-0nTBa-GqmK3nzv-TvIrmae</v>
      </c>
      <c r="U112" s="291" t="str">
        <f>VLOOKUP($B112,'Master Tracker'!$D:$T,4,FALSE)
</f>
        <v>https://drive.google.com/open?id=10x6JBoP5t-Tc_PlJqhQQ2USKdyqjKebWbMRmnJfh-r0</v>
      </c>
      <c r="V112" s="290" t="str">
        <f>VLOOKUP($B112,'Master Tracker'!$D:$T,5,false)</f>
        <v>https://drive.google.com/open?id=11HYvcak8k2th0PgLWJblZ1beupJd7lcy</v>
      </c>
      <c r="W112" s="291" t="str">
        <f>VLOOKUP($B112,'Master Tracker'!$D:$T,7,false)</f>
        <v>https://drive.google.com/open?id=1-prVp-mNnYxTdhurubX_s9jNX5bk4jsj</v>
      </c>
      <c r="X112" s="290" t="str">
        <f>VLOOKUP($B112,'Master Tracker'!$D:$T,8,false)</f>
        <v>https://drive.google.com/open?id=1NvJjfbinrXcddUF8xVeXL8QuomFQSVA4</v>
      </c>
      <c r="Y112" s="291" t="str">
        <f>VLOOKUP($B112,'Master Tracker'!$D:$T,10,false)</f>
        <v>https://drive.google.com/open?id=1LUJNeFfanvhoTYiAJ3RKugxKcjT4i7Y-</v>
      </c>
      <c r="Z112" s="284" t="str">
        <f>VLOOKUP($B112,'Master Tracker'!$D:$T,11,false)</f>
        <v>Not Found</v>
      </c>
      <c r="AA112" s="292" t="str">
        <f>VLOOKUP($B112,'Master Tracker'!$D:$T,13,false)</f>
        <v>Not Found</v>
      </c>
      <c r="AB112" s="284" t="str">
        <f>VLOOKUP($B112,'Master Tracker'!$D:$T,14,false)</f>
        <v>Not Found</v>
      </c>
      <c r="AC112" s="292" t="str">
        <f>VLOOKUP($B112,'Master Tracker'!$D:$T,16,false)</f>
        <v>Not Found</v>
      </c>
      <c r="AD112" s="292" t="str">
        <f>VLOOKUP($B112,'Master Tracker'!$D:$T,17,false)</f>
        <v>Not Found</v>
      </c>
      <c r="AE112" s="292" t="str">
        <f>VLOOKUP($B112,'Master Tracker'!$D:$V,19,false)</f>
        <v>Not Found</v>
      </c>
      <c r="AF112" s="292">
        <f>IFERROR(__xludf.DUMMYFUNCTION("IFERROR(
  INDEX(
    FILTER(
      'Juma Recording forms'!$G:$G,
      TRIM('Juma Recording forms'!$F:$F) = TRIM($B112),
      'Juma Recording forms'!$AA:$AA = 1
    ),
    1
  ),
  ""Not Found""
)"),990.0)</f>
        <v>990</v>
      </c>
      <c r="AG112" s="292">
        <f>IFERROR(__xludf.DUMMYFUNCTION("IFERROR(
  INDEX(
    FILTER(
      'Juma Recording forms'!$G:$G,
      TRIM('Juma Recording forms'!$F:$F) = TRIM($B112),
      'Juma Recording forms'!$AA:$AA = 2
    ),
    1
  ),
  ""Not Found""
)"),1050.0)</f>
        <v>1050</v>
      </c>
      <c r="AH112" s="292">
        <f>IFERROR(__xludf.DUMMYFUNCTION("IFERROR(
  INDEX(
    FILTER(
      'Juma Recording forms'!$G:$G,
      TRIM('Juma Recording forms'!$F:$F) = TRIM($B112),
      'Juma Recording forms'!$AA:$AA = 3
    ),
    1
  ),
  ""Not Found""
)"),1100.0)</f>
        <v>1100</v>
      </c>
      <c r="AI112" s="292" t="str">
        <f>IFERROR(__xludf.DUMMYFUNCTION("IFERROR(
  INDEX(
    FILTER(
      'Juma Recording forms'!$G:$G,
      TRIM('Juma Recording forms'!$F:$F) = TRIM($B112),
      'Juma Recording forms'!$AA:$AA = 4
    ),
    1
  ),
  ""Not Found""
)"),"Not Found")</f>
        <v>Not Found</v>
      </c>
      <c r="AJ112" s="292" t="str">
        <f>IFERROR(__xludf.DUMMYFUNCTION("IFERROR(
  INDEX(
    FILTER(
      'Juma Recording forms'!$G:$G,
      TRIM('Juma Recording forms'!$F:$F) = TRIM($B112),
      'Juma Recording forms'!$AA:$AA = 5
    ),
    1
  ),
  ""Not Found""
)"),"Not Found")</f>
        <v>Not Found</v>
      </c>
      <c r="AK112" s="292" t="str">
        <f>IFERROR(__xludf.DUMMYFUNCTION("IFERROR(
  INDEX(
    FILTER(
      'Juma Recording forms'!$G:$G,
      TRIM('Juma Recording forms'!$F:$F) = TRIM($B112),
      'Juma Recording forms'!$AA:$AA = 6
    ),
    1
  ),
  ""Not Found""
)"),"Not Found")</f>
        <v>Not Found</v>
      </c>
      <c r="AL1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1!$E:$E"")=$B112) *
        (IMPORTRANGE(""https://docs.google.com/spreadsheets/d/161aHT6vVT3SLneTKD19N5qVWtnj_jIT8CSsOmUVKmaA/e"&amp;"dit?gid=1761053510"",
          ""Haris_Form responses 1!$AQ:$AQ"")=1)
      ),
      1
    ),
    ""0""
  ),
  ""Form not found""
)
"),"0")</f>
        <v>0</v>
      </c>
      <c r="AM1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1!$E:$E"")=$B112) *
        (IMPORTRANGE(""https://docs.google.com/spreadsheets/d/161aHT6vVT3SLneTKD19N5qVWtnj_jIT8CSsOmUVKmaA/e"&amp;"dit?gid=1761053510"",
          ""Haris_Form responses 1!$AQ:$AQ"")=2)
      ),
      1
    ),
    ""0""
  ),
  ""Form not found""
)
"),"10")</f>
        <v>10</v>
      </c>
      <c r="AN1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1!$E:$E"")=$B112) *
        (IMPORTRANGE(""https://docs.google.com/spreadsheets/d/161aHT6vVT3SLneTKD19N5qVWtnj_jIT8CSsOmUVKmaA/e"&amp;"dit?gid=1761053510"",
          ""Haris_Form responses 1!$AQ:$AQ"")=3)
      ),
      1
    ),
    ""0""
  ),
  ""Form not found""
)
"),"0")</f>
        <v>0</v>
      </c>
      <c r="AO1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1!$E:$E"")=$B112) *
        (IMPORTRANGE(""https://docs.google.com/spreadsheets/d/161aHT6vVT3SLneTKD19N5qVWtnj_jIT8CSsOmUVKmaA/e"&amp;"dit?gid=1761053510"",
          ""Haris_Form responses 1!$AQ:$AQ"")=4)
      ),
      1
    ),
    ""0""
  ),
  ""Form not found""
)
"),"Form not found")</f>
        <v>Form not found</v>
      </c>
      <c r="AP1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1!$E:$E"")=$B112) *
        (IMPORTRANGE(""https://docs.google.com/spreadsheets/d/161aHT6vVT3SLneTKD19N5qVWtnj_jIT8CSsOmUVKmaA/e"&amp;"dit?gid=1761053510"",
          ""Haris_Form responses 1!$AQ:$AQ"")=5)
      ),
      1
    ),
    ""0""
  ),
  ""Form not found""
)
"),"Form not found")</f>
        <v>Form not found</v>
      </c>
      <c r="AQ1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1!$E:$E"")=$B112) *
        (IMPORTRANGE(""https://docs.google.com/spreadsheets/d/161aHT6vVT3SLneTKD19N5qVWtnj_jIT8CSsOmUVKmaA/e"&amp;"dit?gid=1761053510"",
          ""Haris_Form responses 1!$AQ:$AQ"")=6)
      ),
      1
    ),
    ""0""
  ),
  ""Form not found""
)
"),"Form not found")</f>
        <v>Form not found</v>
      </c>
      <c r="AR1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1!$E:$E"")=$B112) *
        (IMPORTRANGE(""https://docs.google.com/spreadsheets/d/161aHT6vVT3SLneTKD19N5qVWtnj_jIT8CSsOmUVKmaA/e"&amp;"dit?gid=1761053510"",
          ""Haris_Form responses 1!$AQ:$AQ"")=1)
      ),
      1
    ),
    ""0""
  ),
  ""Form not found""
)
"),"0")</f>
        <v>0</v>
      </c>
      <c r="AS1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1!$E:$E"")=$B112) *
        (IMPORTRANGE(""https://docs.google.com/spreadsheets/d/161aHT6vVT3SLneTKD19N5qVWtnj_jIT8CSsOmUVKmaA/e"&amp;"dit?gid=1761053510"",
          ""Haris_Form responses 1!$AQ:$AQ"")=2)
      ),
      1
    ),
    ""0""
  ),
  ""Form not found""
)
"),"10")</f>
        <v>10</v>
      </c>
      <c r="AT1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1!$E:$E"")=$B112) *
        (IMPORTRANGE(""https://docs.google.com/spreadsheets/d/161aHT6vVT3SLneTKD19N5qVWtnj_jIT8CSsOmUVKmaA/e"&amp;"dit?gid=1761053510"",
          ""Haris_Form responses 1!$AQ:$AQ"")=3)
      ),
      1
    ),
    ""0""
  ),
  ""Form not found""
)
"),"0")</f>
        <v>0</v>
      </c>
      <c r="AU1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1!$E:$E"")=$B112) *
        (IMPORTRANGE(""https://docs.google.com/spreadsheets/d/161aHT6vVT3SLneTKD19N5qVWtnj_jIT8CSsOmUVKmaA/e"&amp;"dit?gid=1761053510"",
          ""Haris_Form responses 1!$AQ:$AQ"")=4)
      ),
      1
    ),
    ""0""
  ),
  ""Form not found""
)
"),"Form not found")</f>
        <v>Form not found</v>
      </c>
      <c r="AV1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1!$E:$E"")=$B112) *
        (IMPORTRANGE(""https://docs.google.com/spreadsheets/d/161aHT6vVT3SLneTKD19N5qVWtnj_jIT8CSsOmUVKmaA/e"&amp;"dit?gid=1761053510"",
          ""Haris_Form responses 1!$AQ:$AQ"")=5)
      ),
      1
    ),
    ""0""
  ),
  ""Form not found""
)
"),"Form not found")</f>
        <v>Form not found</v>
      </c>
      <c r="AW1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1!$E:$E"")=$B112) *
        (IMPORTRANGE(""https://docs.google.com/spreadsheets/d/161aHT6vVT3SLneTKD19N5qVWtnj_jIT8CSsOmUVKmaA/e"&amp;"dit?gid=1761053510"",
          ""Haris_Form responses 1!$AQ:$AQ"")=6)
      ),
      1
    ),
    ""0""
  ),
  ""Form not found""
)
"),"Form not found")</f>
        <v>Form not found</v>
      </c>
      <c r="AX1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1!$E:$E"")=$B112) *
        (IMPORTRANGE(""https://docs.google.com/spreadsheets/d/161aHT6vVT3SLneTKD19N5qVWtnj_jIT8CSsOmUVKmaA/e"&amp;"dit?gid=1761053510"",
          ""Haris_Form responses 1!$AQ:$AQ"")=1)
      ),
      1
    ),
    ""0""
  ),
  ""Form not found""
)
"),"0")</f>
        <v>0</v>
      </c>
      <c r="AY1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1!$E:$E"")=$B112) *
        (IMPORTRANGE(""https://docs.google.com/spreadsheets/d/161aHT6vVT3SLneTKD19N5qVWtnj_jIT8CSsOmUVKmaA/e"&amp;"dit?gid=1761053510"",
          ""Haris_Form responses 1!$AQ:$AQ"")=2)
      ),
      1
    ),
    ""0""
  ),
  ""Form not found""
)
"),"0")</f>
        <v>0</v>
      </c>
      <c r="AZ1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1!$E:$E"")=$B112) *
        (IMPORTRANGE(""https://docs.google.com/spreadsheets/d/161aHT6vVT3SLneTKD19N5qVWtnj_jIT8CSsOmUVKmaA/e"&amp;"dit?gid=1761053510"",
          ""Haris_Form responses 1!$AQ:$AQ"")=3)
      ),
      1
    ),
    ""0""
  ),
  ""Form not found""
)
"),"0")</f>
        <v>0</v>
      </c>
      <c r="BA1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1!$E:$E"")=$B112) *
        (IMPORTRANGE(""https://docs.google.com/spreadsheets/d/161aHT6vVT3SLneTKD19N5qVWtnj_jIT8CSsOmUVKmaA/e"&amp;"dit?gid=1761053510"",
          ""Haris_Form responses 1!$AQ:$AQ"")=4)
      ),
      1
    ),
    ""0""
  ),
  ""Form not found""
)
"),"Form not found")</f>
        <v>Form not found</v>
      </c>
      <c r="BB1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1!$E:$E"")=$B112) *
        (IMPORTRANGE(""https://docs.google.com/spreadsheets/d/161aHT6vVT3SLneTKD19N5qVWtnj_jIT8CSsOmUVKmaA/e"&amp;"dit?gid=1761053510"",
          ""Haris_Form responses 1!$AQ:$AQ"")=5)
      ),
      1
    ),
    ""0""
  ),
  ""Form not found""
)
"),"Form not found")</f>
        <v>Form not found</v>
      </c>
      <c r="BC1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1!$E:$E"")=$B112) *
        (IMPORTRANGE(""https://docs.google.com/spreadsheets/d/161aHT6vVT3SLneTKD19N5qVWtnj_jIT8CSsOmUVKmaA/e"&amp;"dit?gid=1761053510"",
          ""Haris_Form responses 1!$AQ:$AQ"")=6)
      ),
      1
    ),
    ""0""
  ),
  ""Form not found""
)
"),"Form not found")</f>
        <v>Form not found</v>
      </c>
      <c r="BD112" s="293"/>
    </row>
    <row r="113">
      <c r="A113" s="283" t="str">
        <f>IFERROR(__xludf.DUMMYFUNCTION("VLOOKUP($B113,IMPORTRANGE(""https://docs.google.com/spreadsheets/d/1VNXDITjs75AcgdBSW27oL1VZH31udDprJSsBcE5xlp4/edit?gid=1551188038#gid=1551188038"", ""Sheet9!$B:$E""),2,false)"),"Shiekhpura")</f>
        <v>Shiekhpura</v>
      </c>
      <c r="B113" s="283" t="s">
        <v>4846</v>
      </c>
      <c r="C113" s="284" t="str">
        <f>IFERROR(__xludf.DUMMYFUNCTION("VLOOKUP(TRIM($B113), IMPORTRANGE(""https://docs.google.com/spreadsheets/d/1aSOrU4PTpuBZqfitKaH1Rfww6-YOiNCKoBpPl8XBHaw/edit?gid=0#gid=0"", ""sheet3!$B:$C""), 2, FALSE)
"),"Jamia Masjid Kachari Shiekhupura")</f>
        <v>Jamia Masjid Kachari Shiekhupura</v>
      </c>
      <c r="D113" s="284" t="str">
        <f>IFERROR(__xludf.DUMMYFUNCTION("IFERROR(
  INDEX(
    FILTER(
      IMPORTRANGE(""1aSOrU4PTpuBZqfitKaH1Rfww6-YOiNCKoBpPl8XBHaw/edit?gid=0#gid=0"",""Sheet1!G:G""),
      IMPORTRANGE(""1aSOrU4PTpuBZqfitKaH1Rfww6-YOiNCKoBpPl8XBHaw/edit?gid=0#gid=0"",""Sheet1!C:C"")=$B113
    ),
    1
  ),
"&amp;"  ""Not Found""
)"),"Community Secular Info Share")</f>
        <v>Community Secular Info Share</v>
      </c>
      <c r="E113" s="284" t="str">
        <f>VLOOKUP(B113,'Juma Recording forms'!A:E,5,false)</f>
        <v>Jamia Masjid Auqaf wali session court kachary  sheikhupura</v>
      </c>
      <c r="F113" s="284" t="str">
        <f>IFERROR(__xludf.DUMMYFUNCTION("IFERROR(
  INDEX(
    FILTER(
      IMPORTRANGE(""1Cxrhp3-_-HS7v9uuqQliiIfrmMP4VaFoDNDWyUFy2J8/edit?gid=0#gid=0"",""Sheet1!Q:Q""),
      IMPORTRANGE(""1Cxrhp3-_-HS7v9uuqQliiIfrmMP4VaFoDNDWyUFy2J8/edit?gid=0#gid=0"",""Sheet1!K:K"")=$B113
    ),
    1
  ),
"&amp;"  ""Not Found""
)"),"Qari Maqbool elahi")</f>
        <v>Qari Maqbool elahi</v>
      </c>
      <c r="G113" s="284">
        <v>1970.0</v>
      </c>
      <c r="H113" s="284"/>
      <c r="I113" s="285"/>
      <c r="J113" s="286">
        <v>2.0</v>
      </c>
      <c r="K113" s="287" t="str">
        <f>VLOOKUP($B113,'Mosque Locations'!$A:$E,3,FALSE)
</f>
        <v>https://www.google.com/maps?q=31.7125553,73.9844509</v>
      </c>
      <c r="L113" s="286">
        <f>VLOOKUP($B113,'Mosque Locations'!$A:$E,4,FALSE)
</f>
        <v>31.71256</v>
      </c>
      <c r="M113" s="286">
        <f>VLOOKUP($B113,'Mosque Locations'!$A:$E,5,false)</f>
        <v>73.98445</v>
      </c>
      <c r="N113" s="288"/>
      <c r="O113" s="288"/>
      <c r="P113" s="288"/>
      <c r="Q113" s="289" t="str">
        <f>IFERROR(__xludf.DUMMYFUNCTION("IFERROR(
  INDEX(
    FILTER(
      IMPORTRANGE(""1DccNxjBgurEr0ABkI_rBagJT5phB5HaHG5N_mTm_BiA/edit?gid=1382299152#gid=1382299152"",""Form Responses 1!T:T""),
      IMPORTRANGE(""1DccNxjBgurEr0ABkI_rBagJT5phB5HaHG5N_mTm_BiA/edit?gid=1382299152#gid=1382299"&amp;"152"",""Form Responses 1!E:E"")=$B113
    ),
    1
  ),
  ""Not Found""
)"),"https://drive.google.com/open?id=1OLhB5AqkNJ_F9DTHXjQ6LrhjLARsgOUB")</f>
        <v>https://drive.google.com/open?id=1OLhB5AqkNJ_F9DTHXjQ6LrhjLARsgOUB</v>
      </c>
      <c r="R113" s="289" t="str">
        <f>IFERROR(__xludf.DUMMYFUNCTION("IFERROR(
  INDEX(
    FILTER(
      IMPORTRANGE(""1DccNxjBgurEr0ABkI_rBagJT5phB5HaHG5N_mTm_BiA/edit?gid=1382299152#gid=1382299152"",""Form Responses 1!S:S""),
      IMPORTRANGE(""1DccNxjBgurEr0ABkI_rBagJT5phB5HaHG5N_mTm_BiA/edit?gid=1382299152#gid=1382299"&amp;"152"",""Form Responses 1!E:E"")=$B113
    ),
    1
  ),
  ""Not Found""
)"),"https://drive.google.com/open?id=18sTxYVoR2V_j87J91eWm1SoIz2uWSX-l")</f>
        <v>https://drive.google.com/open?id=18sTxYVoR2V_j87J91eWm1SoIz2uWSX-l</v>
      </c>
      <c r="S113" s="285"/>
      <c r="T113" s="290" t="str">
        <f>VLOOKUP($B113,'Master Tracker'!$D:$E,2,false)</f>
        <v>https://drive.google.com/open?id=1xwdh5pNpDoVwgL7MO2FUx3Psuo80DdSx</v>
      </c>
      <c r="U113" s="291" t="str">
        <f>VLOOKUP($B113,'Master Tracker'!$D:$T,4,FALSE)
</f>
        <v>https://drive.google.com/open?id=17jNVVuJwT9wwvKbgMFNKyfmTEgmBw0Ih</v>
      </c>
      <c r="V113" s="290" t="str">
        <f>VLOOKUP($B113,'Master Tracker'!$D:$T,5,false)</f>
        <v>https://drive.google.com/open?id=1z5fi8to9gw38-_ixzD_uWxh9HpPqMkCj</v>
      </c>
      <c r="W113" s="291" t="str">
        <f>VLOOKUP($B113,'Master Tracker'!$D:$T,7,false)</f>
        <v>https://drive.google.com/open?id=19m6cU6Vt3En6HaD5SNTNq5NPBuzItmP3</v>
      </c>
      <c r="X113" s="290" t="str">
        <f>VLOOKUP($B113,'Master Tracker'!$D:$T,8,false)</f>
        <v>https://drive.google.com/open?id=1nbldnDpDrCTNd9sBvDng1Pmf2ms2Cwcc</v>
      </c>
      <c r="Y113" s="291" t="str">
        <f>VLOOKUP($B113,'Master Tracker'!$D:$T,10,false)</f>
        <v>https://drive.google.com/open?id=1TPcDdtztVlvP62COcXzEXogKuvaYstwJ</v>
      </c>
      <c r="Z113" s="284" t="str">
        <f>VLOOKUP($B113,'Master Tracker'!$D:$T,11,false)</f>
        <v>Not Found</v>
      </c>
      <c r="AA113" s="292" t="str">
        <f>VLOOKUP($B113,'Master Tracker'!$D:$T,13,false)</f>
        <v>Not Found</v>
      </c>
      <c r="AB113" s="284" t="str">
        <f>VLOOKUP($B113,'Master Tracker'!$D:$T,14,false)</f>
        <v>Not Found</v>
      </c>
      <c r="AC113" s="292" t="str">
        <f>VLOOKUP($B113,'Master Tracker'!$D:$T,16,false)</f>
        <v>Not Found</v>
      </c>
      <c r="AD113" s="292" t="str">
        <f>VLOOKUP($B113,'Master Tracker'!$D:$T,17,false)</f>
        <v>Not Found</v>
      </c>
      <c r="AE113" s="292" t="str">
        <f>VLOOKUP($B113,'Master Tracker'!$D:$V,19,false)</f>
        <v>Not Found</v>
      </c>
      <c r="AF113" s="292">
        <f>IFERROR(__xludf.DUMMYFUNCTION("IFERROR(
  INDEX(
    FILTER(
      'Juma Recording forms'!$G:$G,
      TRIM('Juma Recording forms'!$F:$F) = TRIM($B113),
      'Juma Recording forms'!$AA:$AA = 1
    ),
    1
  ),
  ""Not Found""
)"),190.0)</f>
        <v>190</v>
      </c>
      <c r="AG113" s="292">
        <f>IFERROR(__xludf.DUMMYFUNCTION("IFERROR(
  INDEX(
    FILTER(
      'Juma Recording forms'!$G:$G,
      TRIM('Juma Recording forms'!$F:$F) = TRIM($B113),
      'Juma Recording forms'!$AA:$AA = 2
    ),
    1
  ),
  ""Not Found""
)"),205.0)</f>
        <v>205</v>
      </c>
      <c r="AH113" s="292">
        <f>IFERROR(__xludf.DUMMYFUNCTION("IFERROR(
  INDEX(
    FILTER(
      'Juma Recording forms'!$G:$G,
      TRIM('Juma Recording forms'!$F:$F) = TRIM($B113),
      'Juma Recording forms'!$AA:$AA = 3
    ),
    1
  ),
  ""Not Found""
)"),180.0)</f>
        <v>180</v>
      </c>
      <c r="AI113" s="292" t="str">
        <f>IFERROR(__xludf.DUMMYFUNCTION("IFERROR(
  INDEX(
    FILTER(
      'Juma Recording forms'!$G:$G,
      TRIM('Juma Recording forms'!$F:$F) = TRIM($B113),
      'Juma Recording forms'!$AA:$AA = 4
    ),
    1
  ),
  ""Not Found""
)"),"Not Found")</f>
        <v>Not Found</v>
      </c>
      <c r="AJ113" s="292" t="str">
        <f>IFERROR(__xludf.DUMMYFUNCTION("IFERROR(
  INDEX(
    FILTER(
      'Juma Recording forms'!$G:$G,
      TRIM('Juma Recording forms'!$F:$F) = TRIM($B113),
      'Juma Recording forms'!$AA:$AA = 5
    ),
    1
  ),
  ""Not Found""
)"),"Not Found")</f>
        <v>Not Found</v>
      </c>
      <c r="AK113" s="292" t="str">
        <f>IFERROR(__xludf.DUMMYFUNCTION("IFERROR(
  INDEX(
    FILTER(
      'Juma Recording forms'!$G:$G,
      TRIM('Juma Recording forms'!$F:$F) = TRIM($B113),
      'Juma Recording forms'!$AA:$AA = 6
    ),
    1
  ),
  ""Not Found""
)"),"Not Found")</f>
        <v>Not Found</v>
      </c>
      <c r="AL1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1!$E:$E"")=$B113) *
        (IMPORTRANGE(""https://docs.google.com/spreadsheets/d/161aHT6vVT3SLneTKD19N5qVWtnj_jIT8CSsOmUVKmaA/e"&amp;"dit?gid=1761053510"",
          ""Haris_Form responses 1!$AQ:$AQ"")=1)
      ),
      1
    ),
    ""0""
  ),
  ""Form not found""
)
"),"10")</f>
        <v>10</v>
      </c>
      <c r="AM1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1!$E:$E"")=$B113) *
        (IMPORTRANGE(""https://docs.google.com/spreadsheets/d/161aHT6vVT3SLneTKD19N5qVWtnj_jIT8CSsOmUVKmaA/e"&amp;"dit?gid=1761053510"",
          ""Haris_Form responses 1!$AQ:$AQ"")=2)
      ),
      1
    ),
    ""0""
  ),
  ""Form not found""
)
"),"10")</f>
        <v>10</v>
      </c>
      <c r="AN1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1!$E:$E"")=$B113) *
        (IMPORTRANGE(""https://docs.google.com/spreadsheets/d/161aHT6vVT3SLneTKD19N5qVWtnj_jIT8CSsOmUVKmaA/e"&amp;"dit?gid=1761053510"",
          ""Haris_Form responses 1!$AQ:$AQ"")=3)
      ),
      1
    ),
    ""0""
  ),
  ""Form not found""
)
"),"0")</f>
        <v>0</v>
      </c>
      <c r="AO1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1!$E:$E"")=$B113) *
        (IMPORTRANGE(""https://docs.google.com/spreadsheets/d/161aHT6vVT3SLneTKD19N5qVWtnj_jIT8CSsOmUVKmaA/e"&amp;"dit?gid=1761053510"",
          ""Haris_Form responses 1!$AQ:$AQ"")=4)
      ),
      1
    ),
    ""0""
  ),
  ""Form not found""
)
"),"Form not found")</f>
        <v>Form not found</v>
      </c>
      <c r="AP1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1!$E:$E"")=$B113) *
        (IMPORTRANGE(""https://docs.google.com/spreadsheets/d/161aHT6vVT3SLneTKD19N5qVWtnj_jIT8CSsOmUVKmaA/e"&amp;"dit?gid=1761053510"",
          ""Haris_Form responses 1!$AQ:$AQ"")=5)
      ),
      1
    ),
    ""0""
  ),
  ""Form not found""
)
"),"Form not found")</f>
        <v>Form not found</v>
      </c>
      <c r="AQ1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1!$E:$E"")=$B113) *
        (IMPORTRANGE(""https://docs.google.com/spreadsheets/d/161aHT6vVT3SLneTKD19N5qVWtnj_jIT8CSsOmUVKmaA/e"&amp;"dit?gid=1761053510"",
          ""Haris_Form responses 1!$AQ:$AQ"")=6)
      ),
      1
    ),
    ""0""
  ),
  ""Form not found""
)
"),"Form not found")</f>
        <v>Form not found</v>
      </c>
      <c r="AR1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1!$E:$E"")=$B113) *
        (IMPORTRANGE(""https://docs.google.com/spreadsheets/d/161aHT6vVT3SLneTKD19N5qVWtnj_jIT8CSsOmUVKmaA/e"&amp;"dit?gid=1761053510"",
          ""Haris_Form responses 1!$AQ:$AQ"")=1)
      ),
      1
    ),
    ""0""
  ),
  ""Form not found""
)
"),"10")</f>
        <v>10</v>
      </c>
      <c r="AS1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1!$E:$E"")=$B113) *
        (IMPORTRANGE(""https://docs.google.com/spreadsheets/d/161aHT6vVT3SLneTKD19N5qVWtnj_jIT8CSsOmUVKmaA/e"&amp;"dit?gid=1761053510"",
          ""Haris_Form responses 1!$AQ:$AQ"")=2)
      ),
      1
    ),
    ""0""
  ),
  ""Form not found""
)
"),"10")</f>
        <v>10</v>
      </c>
      <c r="AT1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1!$E:$E"")=$B113) *
        (IMPORTRANGE(""https://docs.google.com/spreadsheets/d/161aHT6vVT3SLneTKD19N5qVWtnj_jIT8CSsOmUVKmaA/e"&amp;"dit?gid=1761053510"",
          ""Haris_Form responses 1!$AQ:$AQ"")=3)
      ),
      1
    ),
    ""0""
  ),
  ""Form not found""
)
"),"0")</f>
        <v>0</v>
      </c>
      <c r="AU1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1!$E:$E"")=$B113) *
        (IMPORTRANGE(""https://docs.google.com/spreadsheets/d/161aHT6vVT3SLneTKD19N5qVWtnj_jIT8CSsOmUVKmaA/e"&amp;"dit?gid=1761053510"",
          ""Haris_Form responses 1!$AQ:$AQ"")=4)
      ),
      1
    ),
    ""0""
  ),
  ""Form not found""
)
"),"Form not found")</f>
        <v>Form not found</v>
      </c>
      <c r="AV1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1!$E:$E"")=$B113) *
        (IMPORTRANGE(""https://docs.google.com/spreadsheets/d/161aHT6vVT3SLneTKD19N5qVWtnj_jIT8CSsOmUVKmaA/e"&amp;"dit?gid=1761053510"",
          ""Haris_Form responses 1!$AQ:$AQ"")=5)
      ),
      1
    ),
    ""0""
  ),
  ""Form not found""
)
"),"Form not found")</f>
        <v>Form not found</v>
      </c>
      <c r="AW1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1!$E:$E"")=$B113) *
        (IMPORTRANGE(""https://docs.google.com/spreadsheets/d/161aHT6vVT3SLneTKD19N5qVWtnj_jIT8CSsOmUVKmaA/e"&amp;"dit?gid=1761053510"",
          ""Haris_Form responses 1!$AQ:$AQ"")=6)
      ),
      1
    ),
    ""0""
  ),
  ""Form not found""
)
"),"Form not found")</f>
        <v>Form not found</v>
      </c>
      <c r="AX1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1!$E:$E"")=$B113) *
        (IMPORTRANGE(""https://docs.google.com/spreadsheets/d/161aHT6vVT3SLneTKD19N5qVWtnj_jIT8CSsOmUVKmaA/e"&amp;"dit?gid=1761053510"",
          ""Haris_Form responses 1!$AQ:$AQ"")=1)
      ),
      1
    ),
    ""0""
  ),
  ""Form not found""
)
"),"0")</f>
        <v>0</v>
      </c>
      <c r="AY1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1!$E:$E"")=$B113) *
        (IMPORTRANGE(""https://docs.google.com/spreadsheets/d/161aHT6vVT3SLneTKD19N5qVWtnj_jIT8CSsOmUVKmaA/e"&amp;"dit?gid=1761053510"",
          ""Haris_Form responses 1!$AQ:$AQ"")=2)
      ),
      1
    ),
    ""0""
  ),
  ""Form not found""
)
"),"0")</f>
        <v>0</v>
      </c>
      <c r="AZ1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1!$E:$E"")=$B113) *
        (IMPORTRANGE(""https://docs.google.com/spreadsheets/d/161aHT6vVT3SLneTKD19N5qVWtnj_jIT8CSsOmUVKmaA/e"&amp;"dit?gid=1761053510"",
          ""Haris_Form responses 1!$AQ:$AQ"")=3)
      ),
      1
    ),
    ""0""
  ),
  ""Form not found""
)
"),"0")</f>
        <v>0</v>
      </c>
      <c r="BA1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1!$E:$E"")=$B113) *
        (IMPORTRANGE(""https://docs.google.com/spreadsheets/d/161aHT6vVT3SLneTKD19N5qVWtnj_jIT8CSsOmUVKmaA/e"&amp;"dit?gid=1761053510"",
          ""Haris_Form responses 1!$AQ:$AQ"")=4)
      ),
      1
    ),
    ""0""
  ),
  ""Form not found""
)
"),"Form not found")</f>
        <v>Form not found</v>
      </c>
      <c r="BB1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1!$E:$E"")=$B113) *
        (IMPORTRANGE(""https://docs.google.com/spreadsheets/d/161aHT6vVT3SLneTKD19N5qVWtnj_jIT8CSsOmUVKmaA/e"&amp;"dit?gid=1761053510"",
          ""Haris_Form responses 1!$AQ:$AQ"")=5)
      ),
      1
    ),
    ""0""
  ),
  ""Form not found""
)
"),"Form not found")</f>
        <v>Form not found</v>
      </c>
      <c r="BC1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1!$E:$E"")=$B113) *
        (IMPORTRANGE(""https://docs.google.com/spreadsheets/d/161aHT6vVT3SLneTKD19N5qVWtnj_jIT8CSsOmUVKmaA/e"&amp;"dit?gid=1761053510"",
          ""Haris_Form responses 1!$AQ:$AQ"")=6)
      ),
      1
    ),
    ""0""
  ),
  ""Form not found""
)
"),"Form not found")</f>
        <v>Form not found</v>
      </c>
      <c r="BD113" s="293"/>
    </row>
    <row r="114">
      <c r="A114" s="283" t="str">
        <f>IFERROR(__xludf.DUMMYFUNCTION("VLOOKUP($B114,IMPORTRANGE(""https://docs.google.com/spreadsheets/d/1VNXDITjs75AcgdBSW27oL1VZH31udDprJSsBcE5xlp4/edit?gid=1551188038#gid=1551188038"", ""Sheet9!$B:$E""),2,false)"),"Sargodha")</f>
        <v>Sargodha</v>
      </c>
      <c r="B114" s="283" t="s">
        <v>1771</v>
      </c>
      <c r="C114" s="284" t="str">
        <f>IFERROR(__xludf.DUMMYFUNCTION("VLOOKUP(TRIM($B114), IMPORTRANGE(""https://docs.google.com/spreadsheets/d/1aSOrU4PTpuBZqfitKaH1Rfww6-YOiNCKoBpPl8XBHaw/edit?gid=0#gid=0"", ""sheet3!$B:$C""), 2, FALSE)
"),"Shahe Masjid Chiniot")</f>
        <v>Shahe Masjid Chiniot</v>
      </c>
      <c r="D114" s="284" t="str">
        <f>IFERROR(__xludf.DUMMYFUNCTION("IFERROR(
  INDEX(
    FILTER(
      IMPORTRANGE(""1aSOrU4PTpuBZqfitKaH1Rfww6-YOiNCKoBpPl8XBHaw/edit?gid=0#gid=0"",""Sheet1!G:G""),
      IMPORTRANGE(""1aSOrU4PTpuBZqfitKaH1Rfww6-YOiNCKoBpPl8XBHaw/edit?gid=0#gid=0"",""Sheet1!C:C"")=$B114
    ),
    1
  ),
"&amp;"  ""Not Found""
)"),"Community Religious No Info Share")</f>
        <v>Community Religious No Info Share</v>
      </c>
      <c r="E114" s="284" t="str">
        <f>VLOOKUP(B114,'Juma Recording forms'!A:E,5,false)</f>
        <v>شاہی مسجد چنیوٹ </v>
      </c>
      <c r="F114" s="284" t="str">
        <f>IFERROR(__xludf.DUMMYFUNCTION("IFERROR(
  INDEX(
    FILTER(
      IMPORTRANGE(""1Cxrhp3-_-HS7v9uuqQliiIfrmMP4VaFoDNDWyUFy2J8/edit?gid=0#gid=0"",""Sheet1!Q:Q""),
      IMPORTRANGE(""1Cxrhp3-_-HS7v9uuqQliiIfrmMP4VaFoDNDWyUFy2J8/edit?gid=0#gid=0"",""Sheet1!K:K"")=$B114
    ),
    1
  ),
"&amp;"  ""Not Found""
)"),"Not Found")</f>
        <v>Not Found</v>
      </c>
      <c r="G114" s="284"/>
      <c r="H114" s="284"/>
      <c r="I114" s="285"/>
      <c r="J114" s="286">
        <v>2.0</v>
      </c>
      <c r="K114" s="287" t="str">
        <f>VLOOKUP($B114,'Mosque Locations'!$A:$E,3,FALSE)
</f>
        <v>https://www.google.com/maps?q=31.7201784,72.9772104</v>
      </c>
      <c r="L114" s="286">
        <f>VLOOKUP($B114,'Mosque Locations'!$A:$E,4,FALSE)
</f>
        <v>31.72018</v>
      </c>
      <c r="M114" s="286">
        <f>VLOOKUP($B114,'Mosque Locations'!$A:$E,5,false)</f>
        <v>72.97721</v>
      </c>
      <c r="N114" s="288"/>
      <c r="O114" s="288"/>
      <c r="P114" s="288"/>
      <c r="Q114" s="289" t="str">
        <f>IFERROR(__xludf.DUMMYFUNCTION("IFERROR(
  INDEX(
    FILTER(
      IMPORTRANGE(""1DccNxjBgurEr0ABkI_rBagJT5phB5HaHG5N_mTm_BiA/edit?gid=1382299152#gid=1382299152"",""Form Responses 1!T:T""),
      IMPORTRANGE(""1DccNxjBgurEr0ABkI_rBagJT5phB5HaHG5N_mTm_BiA/edit?gid=1382299152#gid=1382299"&amp;"152"",""Form Responses 1!E:E"")=$B114
    ),
    1
  ),
  ""Not Found""
)"),"https://drive.google.com/open?id=1Iifkb2P8Y4nq8xg0NL-voX5LULJkekwP")</f>
        <v>https://drive.google.com/open?id=1Iifkb2P8Y4nq8xg0NL-voX5LULJkekwP</v>
      </c>
      <c r="R114" s="289" t="str">
        <f>IFERROR(__xludf.DUMMYFUNCTION("IFERROR(
  INDEX(
    FILTER(
      IMPORTRANGE(""1DccNxjBgurEr0ABkI_rBagJT5phB5HaHG5N_mTm_BiA/edit?gid=1382299152#gid=1382299152"",""Form Responses 1!S:S""),
      IMPORTRANGE(""1DccNxjBgurEr0ABkI_rBagJT5phB5HaHG5N_mTm_BiA/edit?gid=1382299152#gid=1382299"&amp;"152"",""Form Responses 1!E:E"")=$B114
    ),
    1
  ),
  ""Not Found""
)"),"https://drive.google.com/open?id=188p23_zJQW4EfyXob-rUzkf2X0cgQK6S")</f>
        <v>https://drive.google.com/open?id=188p23_zJQW4EfyXob-rUzkf2X0cgQK6S</v>
      </c>
      <c r="S114" s="285"/>
      <c r="T114" s="290" t="str">
        <f>VLOOKUP($B114,'Master Tracker'!$D:$E,2,false)</f>
        <v>https://drive.google.com/file/d/1Ger7GrAnAx-MUdWrlAXsCNeh4PkCIrBN/view?usp=sharing</v>
      </c>
      <c r="U114" s="291" t="str">
        <f>VLOOKUP($B114,'Master Tracker'!$D:$T,4,FALSE)
</f>
        <v>https://drive.google.com/open?id=1TYjk-rmVjvr14s6LI0MZYvKHjC4etpD9</v>
      </c>
      <c r="V114" s="290" t="str">
        <f>VLOOKUP($B114,'Master Tracker'!$D:$T,5,false)</f>
        <v>https://drive.google.com/file/d/1khDkS4QC6Pe4TqxcO_YSKt8d9HzTOHXs/view?usp=sharing</v>
      </c>
      <c r="W114" s="291" t="str">
        <f>VLOOKUP($B114,'Master Tracker'!$D:$T,7,false)</f>
        <v>https://drive.google.com/open?id=1MWCbsyuZiCEi89YD1cvdtBfClz_UtoSG</v>
      </c>
      <c r="X114" s="290" t="str">
        <f>VLOOKUP($B114,'Master Tracker'!$D:$T,8,false)</f>
        <v>https://drive.google.com/file/d/1GmExB1ly3LPCq2jRKxd-Z_j33v51ZYHY/view?usp=sharing</v>
      </c>
      <c r="Y114" s="291" t="str">
        <f>VLOOKUP($B114,'Master Tracker'!$D:$T,10,false)</f>
        <v>https://drive.google.com/open?id=19w9sqs77KEdyDJNPn9TNbyUOxCZwlpzC</v>
      </c>
      <c r="Z114" s="284" t="str">
        <f>VLOOKUP($B114,'Master Tracker'!$D:$T,11,false)</f>
        <v>Not Found</v>
      </c>
      <c r="AA114" s="292" t="str">
        <f>VLOOKUP($B114,'Master Tracker'!$D:$T,13,false)</f>
        <v>Not Found</v>
      </c>
      <c r="AB114" s="284" t="str">
        <f>VLOOKUP($B114,'Master Tracker'!$D:$T,14,false)</f>
        <v>Not Found</v>
      </c>
      <c r="AC114" s="292" t="str">
        <f>VLOOKUP($B114,'Master Tracker'!$D:$T,16,false)</f>
        <v>Not Found</v>
      </c>
      <c r="AD114" s="292" t="str">
        <f>VLOOKUP($B114,'Master Tracker'!$D:$T,17,false)</f>
        <v>Not Found</v>
      </c>
      <c r="AE114" s="292" t="str">
        <f>VLOOKUP($B114,'Master Tracker'!$D:$V,19,false)</f>
        <v>Not Found</v>
      </c>
      <c r="AF114" s="292">
        <f>IFERROR(__xludf.DUMMYFUNCTION("IFERROR(
  INDEX(
    FILTER(
      'Juma Recording forms'!$G:$G,
      TRIM('Juma Recording forms'!$F:$F) = TRIM($B114),
      'Juma Recording forms'!$AA:$AA = 1
    ),
    1
  ),
  ""Not Found""
)"),210.0)</f>
        <v>210</v>
      </c>
      <c r="AG114" s="292">
        <f>IFERROR(__xludf.DUMMYFUNCTION("IFERROR(
  INDEX(
    FILTER(
      'Juma Recording forms'!$G:$G,
      TRIM('Juma Recording forms'!$F:$F) = TRIM($B114),
      'Juma Recording forms'!$AA:$AA = 2
    ),
    1
  ),
  ""Not Found""
)"),244.0)</f>
        <v>244</v>
      </c>
      <c r="AH114" s="292">
        <f>IFERROR(__xludf.DUMMYFUNCTION("IFERROR(
  INDEX(
    FILTER(
      'Juma Recording forms'!$G:$G,
      TRIM('Juma Recording forms'!$F:$F) = TRIM($B114),
      'Juma Recording forms'!$AA:$AA = 3
    ),
    1
  ),
  ""Not Found""
)"),223.0)</f>
        <v>223</v>
      </c>
      <c r="AI114" s="292" t="str">
        <f>IFERROR(__xludf.DUMMYFUNCTION("IFERROR(
  INDEX(
    FILTER(
      'Juma Recording forms'!$G:$G,
      TRIM('Juma Recording forms'!$F:$F) = TRIM($B114),
      'Juma Recording forms'!$AA:$AA = 4
    ),
    1
  ),
  ""Not Found""
)"),"Not Found")</f>
        <v>Not Found</v>
      </c>
      <c r="AJ114" s="292" t="str">
        <f>IFERROR(__xludf.DUMMYFUNCTION("IFERROR(
  INDEX(
    FILTER(
      'Juma Recording forms'!$G:$G,
      TRIM('Juma Recording forms'!$F:$F) = TRIM($B114),
      'Juma Recording forms'!$AA:$AA = 5
    ),
    1
  ),
  ""Not Found""
)"),"Not Found")</f>
        <v>Not Found</v>
      </c>
      <c r="AK114" s="292" t="str">
        <f>IFERROR(__xludf.DUMMYFUNCTION("IFERROR(
  INDEX(
    FILTER(
      'Juma Recording forms'!$G:$G,
      TRIM('Juma Recording forms'!$F:$F) = TRIM($B114),
      'Juma Recording forms'!$AA:$AA = 6
    ),
    1
  ),
  ""Not Found""
)"),"Not Found")</f>
        <v>Not Found</v>
      </c>
      <c r="AL1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1!$E:$E"")=$B114) *
        (IMPORTRANGE(""https://docs.google.com/spreadsheets/d/161aHT6vVT3SLneTKD19N5qVWtnj_jIT8CSsOmUVKmaA/e"&amp;"dit?gid=1761053510"",
          ""Haris_Form responses 1!$AQ:$AQ"")=1)
      ),
      1
    ),
    ""0""
  ),
  ""Form not found""
)
"),"9")</f>
        <v>9</v>
      </c>
      <c r="AM1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1!$E:$E"")=$B114) *
        (IMPORTRANGE(""https://docs.google.com/spreadsheets/d/161aHT6vVT3SLneTKD19N5qVWtnj_jIT8CSsOmUVKmaA/e"&amp;"dit?gid=1761053510"",
          ""Haris_Form responses 1!$AQ:$AQ"")=2)
      ),
      1
    ),
    ""0""
  ),
  ""Form not found""
)
"),"0")</f>
        <v>0</v>
      </c>
      <c r="AN1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1!$E:$E"")=$B114) *
        (IMPORTRANGE(""https://docs.google.com/spreadsheets/d/161aHT6vVT3SLneTKD19N5qVWtnj_jIT8CSsOmUVKmaA/e"&amp;"dit?gid=1761053510"",
          ""Haris_Form responses 1!$AQ:$AQ"")=3)
      ),
      1
    ),
    ""0""
  ),
  ""Form not found""
)
"),"0")</f>
        <v>0</v>
      </c>
      <c r="AO1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1!$E:$E"")=$B114) *
        (IMPORTRANGE(""https://docs.google.com/spreadsheets/d/161aHT6vVT3SLneTKD19N5qVWtnj_jIT8CSsOmUVKmaA/e"&amp;"dit?gid=1761053510"",
          ""Haris_Form responses 1!$AQ:$AQ"")=4)
      ),
      1
    ),
    ""0""
  ),
  ""Form not found""
)
"),"Form not found")</f>
        <v>Form not found</v>
      </c>
      <c r="AP1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1!$E:$E"")=$B114) *
        (IMPORTRANGE(""https://docs.google.com/spreadsheets/d/161aHT6vVT3SLneTKD19N5qVWtnj_jIT8CSsOmUVKmaA/e"&amp;"dit?gid=1761053510"",
          ""Haris_Form responses 1!$AQ:$AQ"")=5)
      ),
      1
    ),
    ""0""
  ),
  ""Form not found""
)
"),"Form not found")</f>
        <v>Form not found</v>
      </c>
      <c r="AQ1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1!$E:$E"")=$B114) *
        (IMPORTRANGE(""https://docs.google.com/spreadsheets/d/161aHT6vVT3SLneTKD19N5qVWtnj_jIT8CSsOmUVKmaA/e"&amp;"dit?gid=1761053510"",
          ""Haris_Form responses 1!$AQ:$AQ"")=6)
      ),
      1
    ),
    ""0""
  ),
  ""Form not found""
)
"),"Form not found")</f>
        <v>Form not found</v>
      </c>
      <c r="AR1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1!$E:$E"")=$B114) *
        (IMPORTRANGE(""https://docs.google.com/spreadsheets/d/161aHT6vVT3SLneTKD19N5qVWtnj_jIT8CSsOmUVKmaA/e"&amp;"dit?gid=1761053510"",
          ""Haris_Form responses 1!$AQ:$AQ"")=1)
      ),
      1
    ),
    ""0""
  ),
  ""Form not found""
)
"),"8")</f>
        <v>8</v>
      </c>
      <c r="AS1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1!$E:$E"")=$B114) *
        (IMPORTRANGE(""https://docs.google.com/spreadsheets/d/161aHT6vVT3SLneTKD19N5qVWtnj_jIT8CSsOmUVKmaA/e"&amp;"dit?gid=1761053510"",
          ""Haris_Form responses 1!$AQ:$AQ"")=2)
      ),
      1
    ),
    ""0""
  ),
  ""Form not found""
)
"),"0")</f>
        <v>0</v>
      </c>
      <c r="AT1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1!$E:$E"")=$B114) *
        (IMPORTRANGE(""https://docs.google.com/spreadsheets/d/161aHT6vVT3SLneTKD19N5qVWtnj_jIT8CSsOmUVKmaA/e"&amp;"dit?gid=1761053510"",
          ""Haris_Form responses 1!$AQ:$AQ"")=3)
      ),
      1
    ),
    ""0""
  ),
  ""Form not found""
)
"),"0")</f>
        <v>0</v>
      </c>
      <c r="AU1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1!$E:$E"")=$B114) *
        (IMPORTRANGE(""https://docs.google.com/spreadsheets/d/161aHT6vVT3SLneTKD19N5qVWtnj_jIT8CSsOmUVKmaA/e"&amp;"dit?gid=1761053510"",
          ""Haris_Form responses 1!$AQ:$AQ"")=4)
      ),
      1
    ),
    ""0""
  ),
  ""Form not found""
)
"),"Form not found")</f>
        <v>Form not found</v>
      </c>
      <c r="AV1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1!$E:$E"")=$B114) *
        (IMPORTRANGE(""https://docs.google.com/spreadsheets/d/161aHT6vVT3SLneTKD19N5qVWtnj_jIT8CSsOmUVKmaA/e"&amp;"dit?gid=1761053510"",
          ""Haris_Form responses 1!$AQ:$AQ"")=5)
      ),
      1
    ),
    ""0""
  ),
  ""Form not found""
)
"),"Form not found")</f>
        <v>Form not found</v>
      </c>
      <c r="AW1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1!$E:$E"")=$B114) *
        (IMPORTRANGE(""https://docs.google.com/spreadsheets/d/161aHT6vVT3SLneTKD19N5qVWtnj_jIT8CSsOmUVKmaA/e"&amp;"dit?gid=1761053510"",
          ""Haris_Form responses 1!$AQ:$AQ"")=6)
      ),
      1
    ),
    ""0""
  ),
  ""Form not found""
)
"),"Form not found")</f>
        <v>Form not found</v>
      </c>
      <c r="AX1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1!$E:$E"")=$B114) *
        (IMPORTRANGE(""https://docs.google.com/spreadsheets/d/161aHT6vVT3SLneTKD19N5qVWtnj_jIT8CSsOmUVKmaA/e"&amp;"dit?gid=1761053510"",
          ""Haris_Form responses 1!$AQ:$AQ"")=1)
      ),
      1
    ),
    ""0""
  ),
  ""Form not found""
)
"),"0")</f>
        <v>0</v>
      </c>
      <c r="AY1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1!$E:$E"")=$B114) *
        (IMPORTRANGE(""https://docs.google.com/spreadsheets/d/161aHT6vVT3SLneTKD19N5qVWtnj_jIT8CSsOmUVKmaA/e"&amp;"dit?gid=1761053510"",
          ""Haris_Form responses 1!$AQ:$AQ"")=2)
      ),
      1
    ),
    ""0""
  ),
  ""Form not found""
)
"),"0")</f>
        <v>0</v>
      </c>
      <c r="AZ1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1!$E:$E"")=$B114) *
        (IMPORTRANGE(""https://docs.google.com/spreadsheets/d/161aHT6vVT3SLneTKD19N5qVWtnj_jIT8CSsOmUVKmaA/e"&amp;"dit?gid=1761053510"",
          ""Haris_Form responses 1!$AQ:$AQ"")=3)
      ),
      1
    ),
    ""0""
  ),
  ""Form not found""
)
"),"0")</f>
        <v>0</v>
      </c>
      <c r="BA1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1!$E:$E"")=$B114) *
        (IMPORTRANGE(""https://docs.google.com/spreadsheets/d/161aHT6vVT3SLneTKD19N5qVWtnj_jIT8CSsOmUVKmaA/e"&amp;"dit?gid=1761053510"",
          ""Haris_Form responses 1!$AQ:$AQ"")=4)
      ),
      1
    ),
    ""0""
  ),
  ""Form not found""
)
"),"Form not found")</f>
        <v>Form not found</v>
      </c>
      <c r="BB1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1!$E:$E"")=$B114) *
        (IMPORTRANGE(""https://docs.google.com/spreadsheets/d/161aHT6vVT3SLneTKD19N5qVWtnj_jIT8CSsOmUVKmaA/e"&amp;"dit?gid=1761053510"",
          ""Haris_Form responses 1!$AQ:$AQ"")=5)
      ),
      1
    ),
    ""0""
  ),
  ""Form not found""
)
"),"Form not found")</f>
        <v>Form not found</v>
      </c>
      <c r="BC1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1!$E:$E"")=$B114) *
        (IMPORTRANGE(""https://docs.google.com/spreadsheets/d/161aHT6vVT3SLneTKD19N5qVWtnj_jIT8CSsOmUVKmaA/e"&amp;"dit?gid=1761053510"",
          ""Haris_Form responses 1!$AQ:$AQ"")=6)
      ),
      1
    ),
    ""0""
  ),
  ""Form not found""
)
"),"Form not found")</f>
        <v>Form not found</v>
      </c>
      <c r="BD114" s="293"/>
    </row>
    <row r="115">
      <c r="A115" s="283" t="str">
        <f>IFERROR(__xludf.DUMMYFUNCTION("VLOOKUP($B115,IMPORTRANGE(""https://docs.google.com/spreadsheets/d/1VNXDITjs75AcgdBSW27oL1VZH31udDprJSsBcE5xlp4/edit?gid=1551188038#gid=1551188038"", ""Sheet9!$B:$E""),2,false)"),"Sargodha")</f>
        <v>Sargodha</v>
      </c>
      <c r="B115" s="283" t="s">
        <v>4565</v>
      </c>
      <c r="C115" s="284" t="str">
        <f>IFERROR(__xludf.DUMMYFUNCTION("VLOOKUP(TRIM($B115), IMPORTRANGE(""https://docs.google.com/spreadsheets/d/1aSOrU4PTpuBZqfitKaH1Rfww6-YOiNCKoBpPl8XBHaw/edit?gid=0#gid=0"", ""sheet3!$B:$C""), 2, FALSE)
"),"Jamia Masjid Satellite Town")</f>
        <v>Jamia Masjid Satellite Town</v>
      </c>
      <c r="D115" s="284" t="str">
        <f>IFERROR(__xludf.DUMMYFUNCTION("IFERROR(
  INDEX(
    FILTER(
      IMPORTRANGE(""1aSOrU4PTpuBZqfitKaH1Rfww6-YOiNCKoBpPl8XBHaw/edit?gid=0#gid=0"",""Sheet1!G:G""),
      IMPORTRANGE(""1aSOrU4PTpuBZqfitKaH1Rfww6-YOiNCKoBpPl8XBHaw/edit?gid=0#gid=0"",""Sheet1!C:C"")=$B115
    ),
    1
  ),
"&amp;"  ""Not Found""
)"),"Community Religious No Info Share")</f>
        <v>Community Religious No Info Share</v>
      </c>
      <c r="E115" s="284" t="str">
        <f>VLOOKUP(B115,'Juma Recording forms'!A:E,5,false)</f>
        <v>Markazi Jamia Masjid Satellite Town Sargodha </v>
      </c>
      <c r="F115" s="284" t="str">
        <f>IFERROR(__xludf.DUMMYFUNCTION("IFERROR(
  INDEX(
    FILTER(
      IMPORTRANGE(""1Cxrhp3-_-HS7v9uuqQliiIfrmMP4VaFoDNDWyUFy2J8/edit?gid=0#gid=0"",""Sheet1!Q:Q""),
      IMPORTRANGE(""1Cxrhp3-_-HS7v9uuqQliiIfrmMP4VaFoDNDWyUFy2J8/edit?gid=0#gid=0"",""Sheet1!K:K"")=$B115
    ),
    1
  ),
"&amp;"  ""Not Found""
)"),"Muhammad Abdullah ")</f>
        <v>Muhammad Abdullah </v>
      </c>
      <c r="G115" s="284">
        <v>1954.0</v>
      </c>
      <c r="H115" s="284"/>
      <c r="I115" s="285"/>
      <c r="J115" s="286">
        <v>2.0</v>
      </c>
      <c r="K115" s="287" t="str">
        <f>VLOOKUP($B115,'Mosque Locations'!$A:$E,3,FALSE)
</f>
        <v>https://maps.google.com/?q=32.0846977233887,72.6904144287109</v>
      </c>
      <c r="L115" s="286">
        <f>VLOOKUP($B115,'Mosque Locations'!$A:$E,4,FALSE)
</f>
        <v>32.0847</v>
      </c>
      <c r="M115" s="286">
        <f>VLOOKUP($B115,'Mosque Locations'!$A:$E,5,false)</f>
        <v>72.69041</v>
      </c>
      <c r="N115" s="288"/>
      <c r="O115" s="288"/>
      <c r="P115" s="288"/>
      <c r="Q115" s="289" t="str">
        <f>IFERROR(__xludf.DUMMYFUNCTION("IFERROR(
  INDEX(
    FILTER(
      IMPORTRANGE(""1DccNxjBgurEr0ABkI_rBagJT5phB5HaHG5N_mTm_BiA/edit?gid=1382299152#gid=1382299152"",""Form Responses 1!T:T""),
      IMPORTRANGE(""1DccNxjBgurEr0ABkI_rBagJT5phB5HaHG5N_mTm_BiA/edit?gid=1382299152#gid=1382299"&amp;"152"",""Form Responses 1!E:E"")=$B115
    ),
    1
  ),
  ""Not Found""
)"),"https://drive.google.com/open?id=10XaR1Ab3Bv_v7bwDXpMer6wVYJUgIv71")</f>
        <v>https://drive.google.com/open?id=10XaR1Ab3Bv_v7bwDXpMer6wVYJUgIv71</v>
      </c>
      <c r="R115" s="294" t="str">
        <f>IFERROR(__xludf.DUMMYFUNCTION("IFERROR(
  INDEX(
    FILTER(
      IMPORTRANGE(""1DccNxjBgurEr0ABkI_rBagJT5phB5HaHG5N_mTm_BiA/edit?gid=1382299152#gid=1382299152"",""Form Responses 1!S:S""),
      IMPORTRANGE(""1DccNxjBgurEr0ABkI_rBagJT5phB5HaHG5N_mTm_BiA/edit?gid=1382299152#gid=1382299"&amp;"152"",""Form Responses 1!E:E"")=$B115
    ),
    1
  ),
  ""Not Found""
)"),"https://drive.google.com/open?id=1WCSbUkB9ro7OHdW800JIkoZVmts-Wiuc, https://drive.google.com/open?id=1E5ltVibeHyOwsOgfnSFo0HE9kjtMYTwE")</f>
        <v>https://drive.google.com/open?id=1WCSbUkB9ro7OHdW800JIkoZVmts-Wiuc, https://drive.google.com/open?id=1E5ltVibeHyOwsOgfnSFo0HE9kjtMYTwE</v>
      </c>
      <c r="S115" s="285"/>
      <c r="T115" s="290" t="str">
        <f>VLOOKUP($B115,'Master Tracker'!$D:$E,2,false)</f>
        <v>https://drive.google.com/open?id=1mF_Y4DWeChm-GK-O-rfQ6MvR5Pqq-nfB</v>
      </c>
      <c r="U115" s="292" t="str">
        <f>VLOOKUP($B115,'Master Tracker'!$D:$T,4,FALSE)
</f>
        <v>Not Found</v>
      </c>
      <c r="V115" s="290" t="str">
        <f>VLOOKUP($B115,'Master Tracker'!$D:$T,5,false)</f>
        <v>https://drive.google.com/open?id=18Glgm-JENXIOelSAUHx4c9Vv5ZU9Pbi_</v>
      </c>
      <c r="W115" s="292" t="str">
        <f>VLOOKUP($B115,'Master Tracker'!$D:$T,7,false)</f>
        <v>Not Found</v>
      </c>
      <c r="X115" s="290" t="str">
        <f>VLOOKUP($B115,'Master Tracker'!$D:$T,8,false)</f>
        <v>https://drive.google.com/file/d/1g-n-OmT5GNKP4BHKPeNPIOjUQjzpBF5m/view?usp=drive_link</v>
      </c>
      <c r="Y115" s="291" t="str">
        <f>VLOOKUP($B115,'Master Tracker'!$D:$T,10,false)</f>
        <v>https://drive.google.com/open?id=1Ag8a-t613yBWzbABwyZ_aivXHfD72NCw</v>
      </c>
      <c r="Z115" s="284" t="str">
        <f>VLOOKUP($B115,'Master Tracker'!$D:$T,11,false)</f>
        <v>Not Found</v>
      </c>
      <c r="AA115" s="292" t="str">
        <f>VLOOKUP($B115,'Master Tracker'!$D:$T,13,false)</f>
        <v>Not Found</v>
      </c>
      <c r="AB115" s="284" t="str">
        <f>VLOOKUP($B115,'Master Tracker'!$D:$T,14,false)</f>
        <v>Not Found</v>
      </c>
      <c r="AC115" s="292" t="str">
        <f>VLOOKUP($B115,'Master Tracker'!$D:$T,16,false)</f>
        <v>Not Found</v>
      </c>
      <c r="AD115" s="292" t="str">
        <f>VLOOKUP($B115,'Master Tracker'!$D:$T,17,false)</f>
        <v>Not Found</v>
      </c>
      <c r="AE115" s="292" t="str">
        <f>VLOOKUP($B115,'Master Tracker'!$D:$V,19,false)</f>
        <v>Not Found</v>
      </c>
      <c r="AF115" s="292">
        <f>IFERROR(__xludf.DUMMYFUNCTION("IFERROR(
  INDEX(
    FILTER(
      'Juma Recording forms'!$G:$G,
      TRIM('Juma Recording forms'!$F:$F) = TRIM($B115),
      'Juma Recording forms'!$AA:$AA = 1
    ),
    1
  ),
  ""Not Found""
)"),330.0)</f>
        <v>330</v>
      </c>
      <c r="AG115" s="292">
        <f>IFERROR(__xludf.DUMMYFUNCTION("IFERROR(
  INDEX(
    FILTER(
      'Juma Recording forms'!$G:$G,
      TRIM('Juma Recording forms'!$F:$F) = TRIM($B115),
      'Juma Recording forms'!$AA:$AA = 2
    ),
    1
  ),
  ""Not Found""
)"),307.0)</f>
        <v>307</v>
      </c>
      <c r="AH115" s="292">
        <f>IFERROR(__xludf.DUMMYFUNCTION("IFERROR(
  INDEX(
    FILTER(
      'Juma Recording forms'!$G:$G,
      TRIM('Juma Recording forms'!$F:$F) = TRIM($B115),
      'Juma Recording forms'!$AA:$AA = 3
    ),
    1
  ),
  ""Not Found""
)"),343.0)</f>
        <v>343</v>
      </c>
      <c r="AI115" s="292" t="str">
        <f>IFERROR(__xludf.DUMMYFUNCTION("IFERROR(
  INDEX(
    FILTER(
      'Juma Recording forms'!$G:$G,
      TRIM('Juma Recording forms'!$F:$F) = TRIM($B115),
      'Juma Recording forms'!$AA:$AA = 4
    ),
    1
  ),
  ""Not Found""
)"),"Not Found")</f>
        <v>Not Found</v>
      </c>
      <c r="AJ115" s="292" t="str">
        <f>IFERROR(__xludf.DUMMYFUNCTION("IFERROR(
  INDEX(
    FILTER(
      'Juma Recording forms'!$G:$G,
      TRIM('Juma Recording forms'!$F:$F) = TRIM($B115),
      'Juma Recording forms'!$AA:$AA = 5
    ),
    1
  ),
  ""Not Found""
)"),"Not Found")</f>
        <v>Not Found</v>
      </c>
      <c r="AK115" s="292" t="str">
        <f>IFERROR(__xludf.DUMMYFUNCTION("IFERROR(
  INDEX(
    FILTER(
      'Juma Recording forms'!$G:$G,
      TRIM('Juma Recording forms'!$F:$F) = TRIM($B115),
      'Juma Recording forms'!$AA:$AA = 6
    ),
    1
  ),
  ""Not Found""
)"),"Not Found")</f>
        <v>Not Found</v>
      </c>
      <c r="AL1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1!$E:$E"")=$B115) *
        (IMPORTRANGE(""https://docs.google.com/spreadsheets/d/161aHT6vVT3SLneTKD19N5qVWtnj_jIT8CSsOmUVKmaA/e"&amp;"dit?gid=1761053510"",
          ""Haris_Form responses 1!$AQ:$AQ"")=1)
      ),
      1
    ),
    ""0""
  ),
  ""Form not found""
)
"),"0")</f>
        <v>0</v>
      </c>
      <c r="AM1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1!$E:$E"")=$B115) *
        (IMPORTRANGE(""https://docs.google.com/spreadsheets/d/161aHT6vVT3SLneTKD19N5qVWtnj_jIT8CSsOmUVKmaA/e"&amp;"dit?gid=1761053510"",
          ""Haris_Form responses 1!$AQ:$AQ"")=2)
      ),
      1
    ),
    ""0""
  ),
  ""Form not found""
)
"),"0")</f>
        <v>0</v>
      </c>
      <c r="AN1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1!$E:$E"")=$B115) *
        (IMPORTRANGE(""https://docs.google.com/spreadsheets/d/161aHT6vVT3SLneTKD19N5qVWtnj_jIT8CSsOmUVKmaA/e"&amp;"dit?gid=1761053510"",
          ""Haris_Form responses 1!$AQ:$AQ"")=3)
      ),
      1
    ),
    ""0""
  ),
  ""Form not found""
)
"),"0")</f>
        <v>0</v>
      </c>
      <c r="AO1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1!$E:$E"")=$B115) *
        (IMPORTRANGE(""https://docs.google.com/spreadsheets/d/161aHT6vVT3SLneTKD19N5qVWtnj_jIT8CSsOmUVKmaA/e"&amp;"dit?gid=1761053510"",
          ""Haris_Form responses 1!$AQ:$AQ"")=4)
      ),
      1
    ),
    ""0""
  ),
  ""Form not found""
)
"),"Form not found")</f>
        <v>Form not found</v>
      </c>
      <c r="AP1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1!$E:$E"")=$B115) *
        (IMPORTRANGE(""https://docs.google.com/spreadsheets/d/161aHT6vVT3SLneTKD19N5qVWtnj_jIT8CSsOmUVKmaA/e"&amp;"dit?gid=1761053510"",
          ""Haris_Form responses 1!$AQ:$AQ"")=5)
      ),
      1
    ),
    ""0""
  ),
  ""Form not found""
)
"),"Form not found")</f>
        <v>Form not found</v>
      </c>
      <c r="AQ1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1!$E:$E"")=$B115) *
        (IMPORTRANGE(""https://docs.google.com/spreadsheets/d/161aHT6vVT3SLneTKD19N5qVWtnj_jIT8CSsOmUVKmaA/e"&amp;"dit?gid=1761053510"",
          ""Haris_Form responses 1!$AQ:$AQ"")=6)
      ),
      1
    ),
    ""0""
  ),
  ""Form not found""
)
"),"Form not found")</f>
        <v>Form not found</v>
      </c>
      <c r="AR1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1!$E:$E"")=$B115) *
        (IMPORTRANGE(""https://docs.google.com/spreadsheets/d/161aHT6vVT3SLneTKD19N5qVWtnj_jIT8CSsOmUVKmaA/e"&amp;"dit?gid=1761053510"",
          ""Haris_Form responses 1!$AQ:$AQ"")=1)
      ),
      1
    ),
    ""0""
  ),
  ""Form not found""
)
"),"0")</f>
        <v>0</v>
      </c>
      <c r="AS1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1!$E:$E"")=$B115) *
        (IMPORTRANGE(""https://docs.google.com/spreadsheets/d/161aHT6vVT3SLneTKD19N5qVWtnj_jIT8CSsOmUVKmaA/e"&amp;"dit?gid=1761053510"",
          ""Haris_Form responses 1!$AQ:$AQ"")=2)
      ),
      1
    ),
    ""0""
  ),
  ""Form not found""
)
"),"0")</f>
        <v>0</v>
      </c>
      <c r="AT1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1!$E:$E"")=$B115) *
        (IMPORTRANGE(""https://docs.google.com/spreadsheets/d/161aHT6vVT3SLneTKD19N5qVWtnj_jIT8CSsOmUVKmaA/e"&amp;"dit?gid=1761053510"",
          ""Haris_Form responses 1!$AQ:$AQ"")=3)
      ),
      1
    ),
    ""0""
  ),
  ""Form not found""
)
"),"0")</f>
        <v>0</v>
      </c>
      <c r="AU1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1!$E:$E"")=$B115) *
        (IMPORTRANGE(""https://docs.google.com/spreadsheets/d/161aHT6vVT3SLneTKD19N5qVWtnj_jIT8CSsOmUVKmaA/e"&amp;"dit?gid=1761053510"",
          ""Haris_Form responses 1!$AQ:$AQ"")=4)
      ),
      1
    ),
    ""0""
  ),
  ""Form not found""
)
"),"Form not found")</f>
        <v>Form not found</v>
      </c>
      <c r="AV1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1!$E:$E"")=$B115) *
        (IMPORTRANGE(""https://docs.google.com/spreadsheets/d/161aHT6vVT3SLneTKD19N5qVWtnj_jIT8CSsOmUVKmaA/e"&amp;"dit?gid=1761053510"",
          ""Haris_Form responses 1!$AQ:$AQ"")=5)
      ),
      1
    ),
    ""0""
  ),
  ""Form not found""
)
"),"Form not found")</f>
        <v>Form not found</v>
      </c>
      <c r="AW1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1!$E:$E"")=$B115) *
        (IMPORTRANGE(""https://docs.google.com/spreadsheets/d/161aHT6vVT3SLneTKD19N5qVWtnj_jIT8CSsOmUVKmaA/e"&amp;"dit?gid=1761053510"",
          ""Haris_Form responses 1!$AQ:$AQ"")=6)
      ),
      1
    ),
    ""0""
  ),
  ""Form not found""
)
"),"Form not found")</f>
        <v>Form not found</v>
      </c>
      <c r="AX1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1!$E:$E"")=$B115) *
        (IMPORTRANGE(""https://docs.google.com/spreadsheets/d/161aHT6vVT3SLneTKD19N5qVWtnj_jIT8CSsOmUVKmaA/e"&amp;"dit?gid=1761053510"",
          ""Haris_Form responses 1!$AQ:$AQ"")=1)
      ),
      1
    ),
    ""0""
  ),
  ""Form not found""
)
"),"0")</f>
        <v>0</v>
      </c>
      <c r="AY1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1!$E:$E"")=$B115) *
        (IMPORTRANGE(""https://docs.google.com/spreadsheets/d/161aHT6vVT3SLneTKD19N5qVWtnj_jIT8CSsOmUVKmaA/e"&amp;"dit?gid=1761053510"",
          ""Haris_Form responses 1!$AQ:$AQ"")=2)
      ),
      1
    ),
    ""0""
  ),
  ""Form not found""
)
"),"0")</f>
        <v>0</v>
      </c>
      <c r="AZ1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1!$E:$E"")=$B115) *
        (IMPORTRANGE(""https://docs.google.com/spreadsheets/d/161aHT6vVT3SLneTKD19N5qVWtnj_jIT8CSsOmUVKmaA/e"&amp;"dit?gid=1761053510"",
          ""Haris_Form responses 1!$AQ:$AQ"")=3)
      ),
      1
    ),
    ""0""
  ),
  ""Form not found""
)
"),"0")</f>
        <v>0</v>
      </c>
      <c r="BA1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1!$E:$E"")=$B115) *
        (IMPORTRANGE(""https://docs.google.com/spreadsheets/d/161aHT6vVT3SLneTKD19N5qVWtnj_jIT8CSsOmUVKmaA/e"&amp;"dit?gid=1761053510"",
          ""Haris_Form responses 1!$AQ:$AQ"")=4)
      ),
      1
    ),
    ""0""
  ),
  ""Form not found""
)
"),"Form not found")</f>
        <v>Form not found</v>
      </c>
      <c r="BB1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1!$E:$E"")=$B115) *
        (IMPORTRANGE(""https://docs.google.com/spreadsheets/d/161aHT6vVT3SLneTKD19N5qVWtnj_jIT8CSsOmUVKmaA/e"&amp;"dit?gid=1761053510"",
          ""Haris_Form responses 1!$AQ:$AQ"")=5)
      ),
      1
    ),
    ""0""
  ),
  ""Form not found""
)
"),"Form not found")</f>
        <v>Form not found</v>
      </c>
      <c r="BC1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1!$E:$E"")=$B115) *
        (IMPORTRANGE(""https://docs.google.com/spreadsheets/d/161aHT6vVT3SLneTKD19N5qVWtnj_jIT8CSsOmUVKmaA/e"&amp;"dit?gid=1761053510"",
          ""Haris_Form responses 1!$AQ:$AQ"")=6)
      ),
      1
    ),
    ""0""
  ),
  ""Form not found""
)
"),"Form not found")</f>
        <v>Form not found</v>
      </c>
      <c r="BD115" s="293"/>
    </row>
    <row r="116">
      <c r="A116" s="283" t="str">
        <f>IFERROR(__xludf.DUMMYFUNCTION("VLOOKUP($B116,IMPORTRANGE(""https://docs.google.com/spreadsheets/d/1VNXDITjs75AcgdBSW27oL1VZH31udDprJSsBcE5xlp4/edit?gid=1551188038#gid=1551188038"", ""Sheet9!$B:$E""),2,false)"),"Sargodha")</f>
        <v>Sargodha</v>
      </c>
      <c r="B116" s="283" t="s">
        <v>4567</v>
      </c>
      <c r="C116" s="284" t="str">
        <f>IFERROR(__xludf.DUMMYFUNCTION("VLOOKUP(TRIM($B116), IMPORTRANGE(""https://docs.google.com/spreadsheets/d/1aSOrU4PTpuBZqfitKaH1Rfww6-YOiNCKoBpPl8XBHaw/edit?gid=0#gid=0"", ""sheet3!$B:$C""), 2, FALSE)
"),"Jamia Masjid Main Bazar Bhahwal")</f>
        <v>Jamia Masjid Main Bazar Bhahwal</v>
      </c>
      <c r="D116" s="284" t="str">
        <f>IFERROR(__xludf.DUMMYFUNCTION("IFERROR(
  INDEX(
    FILTER(
      IMPORTRANGE(""1aSOrU4PTpuBZqfitKaH1Rfww6-YOiNCKoBpPl8XBHaw/edit?gid=0#gid=0"",""Sheet1!G:G""),
      IMPORTRANGE(""1aSOrU4PTpuBZqfitKaH1Rfww6-YOiNCKoBpPl8XBHaw/edit?gid=0#gid=0"",""Sheet1!C:C"")=$B116
    ),
    1
  ),
"&amp;"  ""Not Found""
)"),"Community Secular Info Share")</f>
        <v>Community Secular Info Share</v>
      </c>
      <c r="E116" s="284" t="str">
        <f>VLOOKUP(B116,'Juma Recording forms'!A:E,5,false)</f>
        <v>مرکزی جامع مسجد اہلِ سنت والجماعت</v>
      </c>
      <c r="F116" s="284" t="str">
        <f>IFERROR(__xludf.DUMMYFUNCTION("IFERROR(
  INDEX(
    FILTER(
      IMPORTRANGE(""1Cxrhp3-_-HS7v9uuqQliiIfrmMP4VaFoDNDWyUFy2J8/edit?gid=0#gid=0"",""Sheet1!Q:Q""),
      IMPORTRANGE(""1Cxrhp3-_-HS7v9uuqQliiIfrmMP4VaFoDNDWyUFy2J8/edit?gid=0#gid=0"",""Sheet1!K:K"")=$B116
    ),
    1
  ),
"&amp;"  ""Not Found""
)"),"Qari M Abu bakar")</f>
        <v>Qari M Abu bakar</v>
      </c>
      <c r="G116" s="284">
        <v>1905.0</v>
      </c>
      <c r="H116" s="284"/>
      <c r="I116" s="285"/>
      <c r="J116" s="286">
        <v>2.0</v>
      </c>
      <c r="K116" s="287" t="str">
        <f>VLOOKUP($B116,'Mosque Locations'!$A:$E,3,FALSE)
</f>
        <v>https://maps.google.com/?q=32.2664877,72.903632</v>
      </c>
      <c r="L116" s="286">
        <f>VLOOKUP($B116,'Mosque Locations'!$A:$E,4,FALSE)
</f>
        <v>32.26649</v>
      </c>
      <c r="M116" s="286">
        <f>VLOOKUP($B116,'Mosque Locations'!$A:$E,5,false)</f>
        <v>72.90363</v>
      </c>
      <c r="N116" s="288"/>
      <c r="O116" s="288"/>
      <c r="P116" s="288"/>
      <c r="Q116" s="289" t="str">
        <f>IFERROR(__xludf.DUMMYFUNCTION("IFERROR(
  INDEX(
    FILTER(
      IMPORTRANGE(""1DccNxjBgurEr0ABkI_rBagJT5phB5HaHG5N_mTm_BiA/edit?gid=1382299152#gid=1382299152"",""Form Responses 1!T:T""),
      IMPORTRANGE(""1DccNxjBgurEr0ABkI_rBagJT5phB5HaHG5N_mTm_BiA/edit?gid=1382299152#gid=1382299"&amp;"152"",""Form Responses 1!E:E"")=$B116
    ),
    1
  ),
  ""Not Found""
)"),"https://drive.google.com/open?id=1TjcN9mTneladIePIrNoZFTs5Tc3Rcls3")</f>
        <v>https://drive.google.com/open?id=1TjcN9mTneladIePIrNoZFTs5Tc3Rcls3</v>
      </c>
      <c r="R116" s="296" t="str">
        <f>IFERROR(__xludf.DUMMYFUNCTION("IFERROR(
  INDEX(
    FILTER(
      IMPORTRANGE(""1DccNxjBgurEr0ABkI_rBagJT5phB5HaHG5N_mTm_BiA/edit?gid=1382299152#gid=1382299152"",""Form Responses 1!S:S""),
      IMPORTRANGE(""1DccNxjBgurEr0ABkI_rBagJT5phB5HaHG5N_mTm_BiA/edit?gid=1382299152#gid=1382299"&amp;"152"",""Form Responses 1!E:E"")=$B116
    ),
    1
  ),
  ""Not Found""
)"),"https://drive.google.com/open?id=14mEnx_pyiqNGAK6izg95pmJEcIRt8LDQ")</f>
        <v>https://drive.google.com/open?id=14mEnx_pyiqNGAK6izg95pmJEcIRt8LDQ</v>
      </c>
      <c r="S116" s="285"/>
      <c r="T116" s="290" t="str">
        <f>VLOOKUP($B116,'Master Tracker'!$D:$E,2,false)</f>
        <v>https://drive.google.com/open?id=1Sx56JWlqXnN_rDmo7FlIlzxA2JFQQvYK</v>
      </c>
      <c r="U116" s="291" t="str">
        <f>VLOOKUP($B116,'Master Tracker'!$D:$T,4,FALSE)
</f>
        <v>https://drive.google.com/open?id=15ch7cBuUfChLvc-Z5TcgqVuFkIMH0VXu</v>
      </c>
      <c r="V116" s="290" t="str">
        <f>VLOOKUP($B116,'Master Tracker'!$D:$T,5,false)</f>
        <v>https://drive.google.com/open?id=1goAqnN0TFUldbi9B7vOLMXIpAl6SbToh</v>
      </c>
      <c r="W116" s="291" t="str">
        <f>VLOOKUP($B116,'Master Tracker'!$D:$T,7,false)</f>
        <v>https://drive.google.com/open?id=1NgBvmr57d7zvpzt0YE2ozEthbgEI7eYm</v>
      </c>
      <c r="X116" s="290" t="str">
        <f>VLOOKUP($B116,'Master Tracker'!$D:$T,8,false)</f>
        <v>https://drive.google.com/open?id=1jGbvnSaohPxducctb-AOySmbFHvZWNUs</v>
      </c>
      <c r="Y116" s="291" t="str">
        <f>VLOOKUP($B116,'Master Tracker'!$D:$T,10,false)</f>
        <v>https://drive.google.com/open?id=1-iJXkVn2diVcTqSxuzZ-9HYC1wo2zTOx</v>
      </c>
      <c r="Z116" s="284" t="str">
        <f>VLOOKUP($B116,'Master Tracker'!$D:$T,11,false)</f>
        <v>Not Found</v>
      </c>
      <c r="AA116" s="292" t="str">
        <f>VLOOKUP($B116,'Master Tracker'!$D:$T,13,false)</f>
        <v>Not Found</v>
      </c>
      <c r="AB116" s="284" t="str">
        <f>VLOOKUP($B116,'Master Tracker'!$D:$T,14,false)</f>
        <v>Not Found</v>
      </c>
      <c r="AC116" s="292" t="str">
        <f>VLOOKUP($B116,'Master Tracker'!$D:$T,16,false)</f>
        <v>Not Found</v>
      </c>
      <c r="AD116" s="292" t="str">
        <f>VLOOKUP($B116,'Master Tracker'!$D:$T,17,false)</f>
        <v>Not Found</v>
      </c>
      <c r="AE116" s="292" t="str">
        <f>VLOOKUP($B116,'Master Tracker'!$D:$V,19,false)</f>
        <v>Not Found</v>
      </c>
      <c r="AF116" s="292">
        <f>IFERROR(__xludf.DUMMYFUNCTION("IFERROR(
  INDEX(
    FILTER(
      'Juma Recording forms'!$G:$G,
      TRIM('Juma Recording forms'!$F:$F) = TRIM($B116),
      'Juma Recording forms'!$AA:$AA = 1
    ),
    1
  ),
  ""Not Found""
)"),200.0)</f>
        <v>200</v>
      </c>
      <c r="AG116" s="292">
        <f>IFERROR(__xludf.DUMMYFUNCTION("IFERROR(
  INDEX(
    FILTER(
      'Juma Recording forms'!$G:$G,
      TRIM('Juma Recording forms'!$F:$F) = TRIM($B116),
      'Juma Recording forms'!$AA:$AA = 2
    ),
    1
  ),
  ""Not Found""
)"),220.0)</f>
        <v>220</v>
      </c>
      <c r="AH116" s="292">
        <f>IFERROR(__xludf.DUMMYFUNCTION("IFERROR(
  INDEX(
    FILTER(
      'Juma Recording forms'!$G:$G,
      TRIM('Juma Recording forms'!$F:$F) = TRIM($B116),
      'Juma Recording forms'!$AA:$AA = 3
    ),
    1
  ),
  ""Not Found""
)"),250.0)</f>
        <v>250</v>
      </c>
      <c r="AI116" s="292" t="str">
        <f>IFERROR(__xludf.DUMMYFUNCTION("IFERROR(
  INDEX(
    FILTER(
      'Juma Recording forms'!$G:$G,
      TRIM('Juma Recording forms'!$F:$F) = TRIM($B116),
      'Juma Recording forms'!$AA:$AA = 4
    ),
    1
  ),
  ""Not Found""
)"),"Not Found")</f>
        <v>Not Found</v>
      </c>
      <c r="AJ116" s="292" t="str">
        <f>IFERROR(__xludf.DUMMYFUNCTION("IFERROR(
  INDEX(
    FILTER(
      'Juma Recording forms'!$G:$G,
      TRIM('Juma Recording forms'!$F:$F) = TRIM($B116),
      'Juma Recording forms'!$AA:$AA = 5
    ),
    1
  ),
  ""Not Found""
)"),"Not Found")</f>
        <v>Not Found</v>
      </c>
      <c r="AK116" s="292" t="str">
        <f>IFERROR(__xludf.DUMMYFUNCTION("IFERROR(
  INDEX(
    FILTER(
      'Juma Recording forms'!$G:$G,
      TRIM('Juma Recording forms'!$F:$F) = TRIM($B116),
      'Juma Recording forms'!$AA:$AA = 6
    ),
    1
  ),
  ""Not Found""
)"),"Not Found")</f>
        <v>Not Found</v>
      </c>
      <c r="AL1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1!$E:$E"")=$B116) *
        (IMPORTRANGE(""https://docs.google.com/spreadsheets/d/161aHT6vVT3SLneTKD19N5qVWtnj_jIT8CSsOmUVKmaA/e"&amp;"dit?gid=1761053510"",
          ""Haris_Form responses 1!$AQ:$AQ"")=1)
      ),
      1
    ),
    ""0""
  ),
  ""Form not found""
)
"),"8")</f>
        <v>8</v>
      </c>
      <c r="AM1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1!$E:$E"")=$B116) *
        (IMPORTRANGE(""https://docs.google.com/spreadsheets/d/161aHT6vVT3SLneTKD19N5qVWtnj_jIT8CSsOmUVKmaA/e"&amp;"dit?gid=1761053510"",
          ""Haris_Form responses 1!$AQ:$AQ"")=2)
      ),
      1
    ),
    ""0""
  ),
  ""Form not found""
)
"),"9")</f>
        <v>9</v>
      </c>
      <c r="AN1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1!$E:$E"")=$B116) *
        (IMPORTRANGE(""https://docs.google.com/spreadsheets/d/161aHT6vVT3SLneTKD19N5qVWtnj_jIT8CSsOmUVKmaA/e"&amp;"dit?gid=1761053510"",
          ""Haris_Form responses 1!$AQ:$AQ"")=3)
      ),
      1
    ),
    ""0""
  ),
  ""Form not found""
)
"),"4")</f>
        <v>4</v>
      </c>
      <c r="AO1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1!$E:$E"")=$B116) *
        (IMPORTRANGE(""https://docs.google.com/spreadsheets/d/161aHT6vVT3SLneTKD19N5qVWtnj_jIT8CSsOmUVKmaA/e"&amp;"dit?gid=1761053510"",
          ""Haris_Form responses 1!$AQ:$AQ"")=4)
      ),
      1
    ),
    ""0""
  ),
  ""Form not found""
)
"),"Form not found")</f>
        <v>Form not found</v>
      </c>
      <c r="AP1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1!$E:$E"")=$B116) *
        (IMPORTRANGE(""https://docs.google.com/spreadsheets/d/161aHT6vVT3SLneTKD19N5qVWtnj_jIT8CSsOmUVKmaA/e"&amp;"dit?gid=1761053510"",
          ""Haris_Form responses 1!$AQ:$AQ"")=5)
      ),
      1
    ),
    ""0""
  ),
  ""Form not found""
)
"),"Form not found")</f>
        <v>Form not found</v>
      </c>
      <c r="AQ1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1!$E:$E"")=$B116) *
        (IMPORTRANGE(""https://docs.google.com/spreadsheets/d/161aHT6vVT3SLneTKD19N5qVWtnj_jIT8CSsOmUVKmaA/e"&amp;"dit?gid=1761053510"",
          ""Haris_Form responses 1!$AQ:$AQ"")=6)
      ),
      1
    ),
    ""0""
  ),
  ""Form not found""
)
"),"Form not found")</f>
        <v>Form not found</v>
      </c>
      <c r="AR1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1!$E:$E"")=$B116) *
        (IMPORTRANGE(""https://docs.google.com/spreadsheets/d/161aHT6vVT3SLneTKD19N5qVWtnj_jIT8CSsOmUVKmaA/e"&amp;"dit?gid=1761053510"",
          ""Haris_Form responses 1!$AQ:$AQ"")=1)
      ),
      1
    ),
    ""0""
  ),
  ""Form not found""
)
"),"8")</f>
        <v>8</v>
      </c>
      <c r="AS1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1!$E:$E"")=$B116) *
        (IMPORTRANGE(""https://docs.google.com/spreadsheets/d/161aHT6vVT3SLneTKD19N5qVWtnj_jIT8CSsOmUVKmaA/e"&amp;"dit?gid=1761053510"",
          ""Haris_Form responses 1!$AQ:$AQ"")=2)
      ),
      1
    ),
    ""0""
  ),
  ""Form not found""
)
"),"9")</f>
        <v>9</v>
      </c>
      <c r="AT1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1!$E:$E"")=$B116) *
        (IMPORTRANGE(""https://docs.google.com/spreadsheets/d/161aHT6vVT3SLneTKD19N5qVWtnj_jIT8CSsOmUVKmaA/e"&amp;"dit?gid=1761053510"",
          ""Haris_Form responses 1!$AQ:$AQ"")=3)
      ),
      1
    ),
    ""0""
  ),
  ""Form not found""
)
"),"0")</f>
        <v>0</v>
      </c>
      <c r="AU1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1!$E:$E"")=$B116) *
        (IMPORTRANGE(""https://docs.google.com/spreadsheets/d/161aHT6vVT3SLneTKD19N5qVWtnj_jIT8CSsOmUVKmaA/e"&amp;"dit?gid=1761053510"",
          ""Haris_Form responses 1!$AQ:$AQ"")=4)
      ),
      1
    ),
    ""0""
  ),
  ""Form not found""
)
"),"Form not found")</f>
        <v>Form not found</v>
      </c>
      <c r="AV1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1!$E:$E"")=$B116) *
        (IMPORTRANGE(""https://docs.google.com/spreadsheets/d/161aHT6vVT3SLneTKD19N5qVWtnj_jIT8CSsOmUVKmaA/e"&amp;"dit?gid=1761053510"",
          ""Haris_Form responses 1!$AQ:$AQ"")=5)
      ),
      1
    ),
    ""0""
  ),
  ""Form not found""
)
"),"Form not found")</f>
        <v>Form not found</v>
      </c>
      <c r="AW1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1!$E:$E"")=$B116) *
        (IMPORTRANGE(""https://docs.google.com/spreadsheets/d/161aHT6vVT3SLneTKD19N5qVWtnj_jIT8CSsOmUVKmaA/e"&amp;"dit?gid=1761053510"",
          ""Haris_Form responses 1!$AQ:$AQ"")=6)
      ),
      1
    ),
    ""0""
  ),
  ""Form not found""
)
"),"Form not found")</f>
        <v>Form not found</v>
      </c>
      <c r="AX1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1!$E:$E"")=$B116) *
        (IMPORTRANGE(""https://docs.google.com/spreadsheets/d/161aHT6vVT3SLneTKD19N5qVWtnj_jIT8CSsOmUVKmaA/e"&amp;"dit?gid=1761053510"",
          ""Haris_Form responses 1!$AQ:$AQ"")=1)
      ),
      1
    ),
    ""0""
  ),
  ""Form not found""
)
"),"1")</f>
        <v>1</v>
      </c>
      <c r="AY1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1!$E:$E"")=$B116) *
        (IMPORTRANGE(""https://docs.google.com/spreadsheets/d/161aHT6vVT3SLneTKD19N5qVWtnj_jIT8CSsOmUVKmaA/e"&amp;"dit?gid=1761053510"",
          ""Haris_Form responses 1!$AQ:$AQ"")=2)
      ),
      1
    ),
    ""0""
  ),
  ""Form not found""
)
"),"1")</f>
        <v>1</v>
      </c>
      <c r="AZ1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1!$E:$E"")=$B116) *
        (IMPORTRANGE(""https://docs.google.com/spreadsheets/d/161aHT6vVT3SLneTKD19N5qVWtnj_jIT8CSsOmUVKmaA/e"&amp;"dit?gid=1761053510"",
          ""Haris_Form responses 1!$AQ:$AQ"")=3)
      ),
      1
    ),
    ""0""
  ),
  ""Form not found""
)
"),"0")</f>
        <v>0</v>
      </c>
      <c r="BA1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1!$E:$E"")=$B116) *
        (IMPORTRANGE(""https://docs.google.com/spreadsheets/d/161aHT6vVT3SLneTKD19N5qVWtnj_jIT8CSsOmUVKmaA/e"&amp;"dit?gid=1761053510"",
          ""Haris_Form responses 1!$AQ:$AQ"")=4)
      ),
      1
    ),
    ""0""
  ),
  ""Form not found""
)
"),"Form not found")</f>
        <v>Form not found</v>
      </c>
      <c r="BB1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1!$E:$E"")=$B116) *
        (IMPORTRANGE(""https://docs.google.com/spreadsheets/d/161aHT6vVT3SLneTKD19N5qVWtnj_jIT8CSsOmUVKmaA/e"&amp;"dit?gid=1761053510"",
          ""Haris_Form responses 1!$AQ:$AQ"")=5)
      ),
      1
    ),
    ""0""
  ),
  ""Form not found""
)
"),"Form not found")</f>
        <v>Form not found</v>
      </c>
      <c r="BC1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1!$E:$E"")=$B116) *
        (IMPORTRANGE(""https://docs.google.com/spreadsheets/d/161aHT6vVT3SLneTKD19N5qVWtnj_jIT8CSsOmUVKmaA/e"&amp;"dit?gid=1761053510"",
          ""Haris_Form responses 1!$AQ:$AQ"")=6)
      ),
      1
    ),
    ""0""
  ),
  ""Form not found""
)
"),"Form not found")</f>
        <v>Form not found</v>
      </c>
      <c r="BD116" s="293"/>
    </row>
    <row r="117">
      <c r="A117" s="283" t="str">
        <f>IFERROR(__xludf.DUMMYFUNCTION("VLOOKUP($B117,IMPORTRANGE(""https://docs.google.com/spreadsheets/d/1VNXDITjs75AcgdBSW27oL1VZH31udDprJSsBcE5xlp4/edit?gid=1551188038#gid=1551188038"", ""Sheet9!$B:$E""),2,false)"),"Sargodha")</f>
        <v>Sargodha</v>
      </c>
      <c r="B117" s="283" t="s">
        <v>4568</v>
      </c>
      <c r="C117" s="284" t="str">
        <f>IFERROR(__xludf.DUMMYFUNCTION("VLOOKUP(TRIM($B117), IMPORTRANGE(""https://docs.google.com/spreadsheets/d/1aSOrU4PTpuBZqfitKaH1Rfww6-YOiNCKoBpPl8XBHaw/edit?gid=0#gid=0"", ""sheet3!$B:$C""), 2, FALSE)
"),"Jamia Masjid Sakhi Suleman Noori Hazuri")</f>
        <v>Jamia Masjid Sakhi Suleman Noori Hazuri</v>
      </c>
      <c r="D117" s="284" t="str">
        <f>IFERROR(__xludf.DUMMYFUNCTION("IFERROR(
  INDEX(
    FILTER(
      IMPORTRANGE(""1aSOrU4PTpuBZqfitKaH1Rfww6-YOiNCKoBpPl8XBHaw/edit?gid=0#gid=0"",""Sheet1!G:G""),
      IMPORTRANGE(""1aSOrU4PTpuBZqfitKaH1Rfww6-YOiNCKoBpPl8XBHaw/edit?gid=0#gid=0"",""Sheet1!C:C"")=$B117
    ),
    1
  ),
"&amp;"  ""Not Found""
)"),"Control")</f>
        <v>Control</v>
      </c>
      <c r="E117" s="284" t="str">
        <f>VLOOKUP(B117,'Juma Recording forms'!A:E,5,false)</f>
        <v>Jamia masjid sakhi shah suleman noori hazoori bhalwal</v>
      </c>
      <c r="F117" s="284" t="str">
        <f>IFERROR(__xludf.DUMMYFUNCTION("IFERROR(
  INDEX(
    FILTER(
      IMPORTRANGE(""1Cxrhp3-_-HS7v9uuqQliiIfrmMP4VaFoDNDWyUFy2J8/edit?gid=0#gid=0"",""Sheet1!Q:Q""),
      IMPORTRANGE(""1Cxrhp3-_-HS7v9uuqQliiIfrmMP4VaFoDNDWyUFy2J8/edit?gid=0#gid=0"",""Sheet1!K:K"")=$B117
    ),
    1
  ),
"&amp;"  ""Not Found""
)"),"Not Found")</f>
        <v>Not Found</v>
      </c>
      <c r="G117" s="284"/>
      <c r="H117" s="284"/>
      <c r="I117" s="285"/>
      <c r="J117" s="286">
        <v>2.0</v>
      </c>
      <c r="K117" s="287" t="str">
        <f>VLOOKUP($B117,'Mosque Locations'!$A:$E,3,FALSE)
</f>
        <v>https://www.google.com/maps?q=32.2730641,72.8746618</v>
      </c>
      <c r="L117" s="286">
        <f>VLOOKUP($B117,'Mosque Locations'!$A:$E,4,FALSE)
</f>
        <v>32.27306</v>
      </c>
      <c r="M117" s="286">
        <f>VLOOKUP($B117,'Mosque Locations'!$A:$E,5,false)</f>
        <v>72.87466</v>
      </c>
      <c r="N117" s="288"/>
      <c r="O117" s="288"/>
      <c r="P117" s="288"/>
      <c r="Q117" s="289" t="str">
        <f>IFERROR(__xludf.DUMMYFUNCTION("IFERROR(
  INDEX(
    FILTER(
      IMPORTRANGE(""1DccNxjBgurEr0ABkI_rBagJT5phB5HaHG5N_mTm_BiA/edit?gid=1382299152#gid=1382299152"",""Form Responses 1!T:T""),
      IMPORTRANGE(""1DccNxjBgurEr0ABkI_rBagJT5phB5HaHG5N_mTm_BiA/edit?gid=1382299152#gid=1382299"&amp;"152"",""Form Responses 1!E:E"")=$B117
    ),
    1
  ),
  ""Not Found""
)"),"https://drive.google.com/open?id=1j9Rl721qbSgoHWvED1jDlbfVj1ILZ0LL")</f>
        <v>https://drive.google.com/open?id=1j9Rl721qbSgoHWvED1jDlbfVj1ILZ0LL</v>
      </c>
      <c r="R117" s="289" t="str">
        <f>IFERROR(__xludf.DUMMYFUNCTION("IFERROR(
  INDEX(
    FILTER(
      IMPORTRANGE(""1DccNxjBgurEr0ABkI_rBagJT5phB5HaHG5N_mTm_BiA/edit?gid=1382299152#gid=1382299152"",""Form Responses 1!S:S""),
      IMPORTRANGE(""1DccNxjBgurEr0ABkI_rBagJT5phB5HaHG5N_mTm_BiA/edit?gid=1382299152#gid=1382299"&amp;"152"",""Form Responses 1!E:E"")=$B117
    ),
    1
  ),
  ""Not Found""
)"),"https://drive.google.com/open?id=1v7EFQCalHHMLbPP7HMigf0bY_MH7efe1")</f>
        <v>https://drive.google.com/open?id=1v7EFQCalHHMLbPP7HMigf0bY_MH7efe1</v>
      </c>
      <c r="S117" s="285"/>
      <c r="T117" s="290" t="str">
        <f>VLOOKUP($B117,'Master Tracker'!$D:$E,2,false)</f>
        <v>https://drive.google.com/open?id=19GGz7sMm_iND9DwRH3bx4x8lDwZH6CBs</v>
      </c>
      <c r="U117" s="291" t="str">
        <f>VLOOKUP($B117,'Master Tracker'!$D:$T,4,FALSE)
</f>
        <v>https://drive.google.com/open?id=1gTPXuXjjvNSMJGOOWUnIv8ID7FcvG9K6</v>
      </c>
      <c r="V117" s="284" t="str">
        <f>VLOOKUP($B117,'Master Tracker'!$D:$T,5,false)</f>
        <v>Not Found</v>
      </c>
      <c r="W117" s="292" t="str">
        <f>VLOOKUP($B117,'Master Tracker'!$D:$T,7,false)</f>
        <v>Not Found</v>
      </c>
      <c r="X117" s="290" t="str">
        <f>VLOOKUP($B117,'Master Tracker'!$D:$T,8,false)</f>
        <v>https://drive.google.com/open?id=1h58z9A3b0wbNi4ImcIXT0QjTYZ1zvRim</v>
      </c>
      <c r="Y117" s="291" t="str">
        <f>VLOOKUP($B117,'Master Tracker'!$D:$T,10,false)</f>
        <v>https://drive.google.com/open?id=1xcHu2ltKNiOWPE5KKMG11nsyNrWZAItB</v>
      </c>
      <c r="Z117" s="284" t="str">
        <f>VLOOKUP($B117,'Master Tracker'!$D:$T,11,false)</f>
        <v>Not Found</v>
      </c>
      <c r="AA117" s="292" t="str">
        <f>VLOOKUP($B117,'Master Tracker'!$D:$T,13,false)</f>
        <v>Not Found</v>
      </c>
      <c r="AB117" s="284" t="str">
        <f>VLOOKUP($B117,'Master Tracker'!$D:$T,14,false)</f>
        <v>Not Found</v>
      </c>
      <c r="AC117" s="292" t="str">
        <f>VLOOKUP($B117,'Master Tracker'!$D:$T,16,false)</f>
        <v>Not Found</v>
      </c>
      <c r="AD117" s="292" t="str">
        <f>VLOOKUP($B117,'Master Tracker'!$D:$T,17,false)</f>
        <v>Not Found</v>
      </c>
      <c r="AE117" s="292" t="str">
        <f>VLOOKUP($B117,'Master Tracker'!$D:$V,19,false)</f>
        <v>Not Found</v>
      </c>
      <c r="AF117" s="292">
        <f>IFERROR(__xludf.DUMMYFUNCTION("IFERROR(
  INDEX(
    FILTER(
      'Juma Recording forms'!$G:$G,
      TRIM('Juma Recording forms'!$F:$F) = TRIM($B117),
      'Juma Recording forms'!$AA:$AA = 1
    ),
    1
  ),
  ""Not Found""
)"),290.0)</f>
        <v>290</v>
      </c>
      <c r="AG117" s="292" t="str">
        <f>IFERROR(__xludf.DUMMYFUNCTION("IFERROR(
  INDEX(
    FILTER(
      'Juma Recording forms'!$G:$G,
      TRIM('Juma Recording forms'!$F:$F) = TRIM($B117),
      'Juma Recording forms'!$AA:$AA = 2
    ),
    1
  ),
  ""Not Found""
)"),"Not Found")</f>
        <v>Not Found</v>
      </c>
      <c r="AH117" s="292">
        <f>IFERROR(__xludf.DUMMYFUNCTION("IFERROR(
  INDEX(
    FILTER(
      'Juma Recording forms'!$G:$G,
      TRIM('Juma Recording forms'!$F:$F) = TRIM($B117),
      'Juma Recording forms'!$AA:$AA = 3
    ),
    1
  ),
  ""Not Found""
)"),300.0)</f>
        <v>300</v>
      </c>
      <c r="AI117" s="292" t="str">
        <f>IFERROR(__xludf.DUMMYFUNCTION("IFERROR(
  INDEX(
    FILTER(
      'Juma Recording forms'!$G:$G,
      TRIM('Juma Recording forms'!$F:$F) = TRIM($B117),
      'Juma Recording forms'!$AA:$AA = 4
    ),
    1
  ),
  ""Not Found""
)"),"Not Found")</f>
        <v>Not Found</v>
      </c>
      <c r="AJ117" s="292" t="str">
        <f>IFERROR(__xludf.DUMMYFUNCTION("IFERROR(
  INDEX(
    FILTER(
      'Juma Recording forms'!$G:$G,
      TRIM('Juma Recording forms'!$F:$F) = TRIM($B117),
      'Juma Recording forms'!$AA:$AA = 5
    ),
    1
  ),
  ""Not Found""
)"),"Not Found")</f>
        <v>Not Found</v>
      </c>
      <c r="AK117" s="292"/>
      <c r="AL1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1!$E:$E"")=$B117) *
        (IMPORTRANGE(""https://docs.google.com/spreadsheets/d/161aHT6vVT3SLneTKD19N5qVWtnj_jIT8CSsOmUVKmaA/e"&amp;"dit?gid=1761053510"",
          ""Haris_Form responses 1!$AQ:$AQ"")=1)
      ),
      1
    ),
    ""0""
  ),
  ""Form not found""
)
"),"0")</f>
        <v>0</v>
      </c>
      <c r="AM1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1!$E:$E"")=$B117) *
        (IMPORTRANGE(""https://docs.google.com/spreadsheets/d/161aHT6vVT3SLneTKD19N5qVWtnj_jIT8CSsOmUVKmaA/e"&amp;"dit?gid=1761053510"",
          ""Haris_Form responses 1!$AQ:$AQ"")=2)
      ),
      1
    ),
    ""0""
  ),
  ""Form not found""
)
"),"Form not found")</f>
        <v>Form not found</v>
      </c>
      <c r="AN1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1!$E:$E"")=$B117) *
        (IMPORTRANGE(""https://docs.google.com/spreadsheets/d/161aHT6vVT3SLneTKD19N5qVWtnj_jIT8CSsOmUVKmaA/e"&amp;"dit?gid=1761053510"",
          ""Haris_Form responses 1!$AQ:$AQ"")=3)
      ),
      1
    ),
    ""0""
  ),
  ""Form not found""
)
"),"0")</f>
        <v>0</v>
      </c>
      <c r="AO1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1!$E:$E"")=$B117) *
        (IMPORTRANGE(""https://docs.google.com/spreadsheets/d/161aHT6vVT3SLneTKD19N5qVWtnj_jIT8CSsOmUVKmaA/e"&amp;"dit?gid=1761053510"",
          ""Haris_Form responses 1!$AQ:$AQ"")=4)
      ),
      1
    ),
    ""0""
  ),
  ""Form not found""
)
"),"Form not found")</f>
        <v>Form not found</v>
      </c>
      <c r="AP1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1!$E:$E"")=$B117) *
        (IMPORTRANGE(""https://docs.google.com/spreadsheets/d/161aHT6vVT3SLneTKD19N5qVWtnj_jIT8CSsOmUVKmaA/e"&amp;"dit?gid=1761053510"",
          ""Haris_Form responses 1!$AQ:$AQ"")=5)
      ),
      1
    ),
    ""0""
  ),
  ""Form not found""
)
"),"Form not found")</f>
        <v>Form not found</v>
      </c>
      <c r="AQ1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1!$E:$E"")=$B117) *
        (IMPORTRANGE(""https://docs.google.com/spreadsheets/d/161aHT6vVT3SLneTKD19N5qVWtnj_jIT8CSsOmUVKmaA/e"&amp;"dit?gid=1761053510"",
          ""Haris_Form responses 1!$AQ:$AQ"")=6)
      ),
      1
    ),
    ""0""
  ),
  ""Form not found""
)
"),"Form not found")</f>
        <v>Form not found</v>
      </c>
      <c r="AR1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1!$E:$E"")=$B117) *
        (IMPORTRANGE(""https://docs.google.com/spreadsheets/d/161aHT6vVT3SLneTKD19N5qVWtnj_jIT8CSsOmUVKmaA/e"&amp;"dit?gid=1761053510"",
          ""Haris_Form responses 1!$AQ:$AQ"")=1)
      ),
      1
    ),
    ""0""
  ),
  ""Form not found""
)
"),"0")</f>
        <v>0</v>
      </c>
      <c r="AS1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1!$E:$E"")=$B117) *
        (IMPORTRANGE(""https://docs.google.com/spreadsheets/d/161aHT6vVT3SLneTKD19N5qVWtnj_jIT8CSsOmUVKmaA/e"&amp;"dit?gid=1761053510"",
          ""Haris_Form responses 1!$AQ:$AQ"")=2)
      ),
      1
    ),
    ""0""
  ),
  ""Form not found""
)
"),"Form not found")</f>
        <v>Form not found</v>
      </c>
      <c r="AT1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1!$E:$E"")=$B117) *
        (IMPORTRANGE(""https://docs.google.com/spreadsheets/d/161aHT6vVT3SLneTKD19N5qVWtnj_jIT8CSsOmUVKmaA/e"&amp;"dit?gid=1761053510"",
          ""Haris_Form responses 1!$AQ:$AQ"")=3)
      ),
      1
    ),
    ""0""
  ),
  ""Form not found""
)
"),"0")</f>
        <v>0</v>
      </c>
      <c r="AU1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1!$E:$E"")=$B117) *
        (IMPORTRANGE(""https://docs.google.com/spreadsheets/d/161aHT6vVT3SLneTKD19N5qVWtnj_jIT8CSsOmUVKmaA/e"&amp;"dit?gid=1761053510"",
          ""Haris_Form responses 1!$AQ:$AQ"")=4)
      ),
      1
    ),
    ""0""
  ),
  ""Form not found""
)
"),"Form not found")</f>
        <v>Form not found</v>
      </c>
      <c r="AV1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1!$E:$E"")=$B117) *
        (IMPORTRANGE(""https://docs.google.com/spreadsheets/d/161aHT6vVT3SLneTKD19N5qVWtnj_jIT8CSsOmUVKmaA/e"&amp;"dit?gid=1761053510"",
          ""Haris_Form responses 1!$AQ:$AQ"")=5)
      ),
      1
    ),
    ""0""
  ),
  ""Form not found""
)
"),"Form not found")</f>
        <v>Form not found</v>
      </c>
      <c r="AW1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1!$E:$E"")=$B117) *
        (IMPORTRANGE(""https://docs.google.com/spreadsheets/d/161aHT6vVT3SLneTKD19N5qVWtnj_jIT8CSsOmUVKmaA/e"&amp;"dit?gid=1761053510"",
          ""Haris_Form responses 1!$AQ:$AQ"")=6)
      ),
      1
    ),
    ""0""
  ),
  ""Form not found""
)
"),"Form not found")</f>
        <v>Form not found</v>
      </c>
      <c r="AX1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1!$E:$E"")=$B117) *
        (IMPORTRANGE(""https://docs.google.com/spreadsheets/d/161aHT6vVT3SLneTKD19N5qVWtnj_jIT8CSsOmUVKmaA/e"&amp;"dit?gid=1761053510"",
          ""Haris_Form responses 1!$AQ:$AQ"")=1)
      ),
      1
    ),
    ""0""
  ),
  ""Form not found""
)
"),"0")</f>
        <v>0</v>
      </c>
      <c r="AY1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1!$E:$E"")=$B117) *
        (IMPORTRANGE(""https://docs.google.com/spreadsheets/d/161aHT6vVT3SLneTKD19N5qVWtnj_jIT8CSsOmUVKmaA/e"&amp;"dit?gid=1761053510"",
          ""Haris_Form responses 1!$AQ:$AQ"")=2)
      ),
      1
    ),
    ""0""
  ),
  ""Form not found""
)
"),"Form not found")</f>
        <v>Form not found</v>
      </c>
      <c r="AZ1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1!$E:$E"")=$B117) *
        (IMPORTRANGE(""https://docs.google.com/spreadsheets/d/161aHT6vVT3SLneTKD19N5qVWtnj_jIT8CSsOmUVKmaA/e"&amp;"dit?gid=1761053510"",
          ""Haris_Form responses 1!$AQ:$AQ"")=3)
      ),
      1
    ),
    ""0""
  ),
  ""Form not found""
)
"),"0")</f>
        <v>0</v>
      </c>
      <c r="BA1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1!$E:$E"")=$B117) *
        (IMPORTRANGE(""https://docs.google.com/spreadsheets/d/161aHT6vVT3SLneTKD19N5qVWtnj_jIT8CSsOmUVKmaA/e"&amp;"dit?gid=1761053510"",
          ""Haris_Form responses 1!$AQ:$AQ"")=4)
      ),
      1
    ),
    ""0""
  ),
  ""Form not found""
)
"),"Form not found")</f>
        <v>Form not found</v>
      </c>
      <c r="BB1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1!$E:$E"")=$B117) *
        (IMPORTRANGE(""https://docs.google.com/spreadsheets/d/161aHT6vVT3SLneTKD19N5qVWtnj_jIT8CSsOmUVKmaA/e"&amp;"dit?gid=1761053510"",
          ""Haris_Form responses 1!$AQ:$AQ"")=5)
      ),
      1
    ),
    ""0""
  ),
  ""Form not found""
)
"),"Form not found")</f>
        <v>Form not found</v>
      </c>
      <c r="BC1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1!$E:$E"")=$B117) *
        (IMPORTRANGE(""https://docs.google.com/spreadsheets/d/161aHT6vVT3SLneTKD19N5qVWtnj_jIT8CSsOmUVKmaA/e"&amp;"dit?gid=1761053510"",
          ""Haris_Form responses 1!$AQ:$AQ"")=6)
      ),
      1
    ),
    ""0""
  ),
  ""Form not found""
)
"),"Form not found")</f>
        <v>Form not found</v>
      </c>
      <c r="BD117" s="293"/>
    </row>
    <row r="118">
      <c r="A118" s="283" t="str">
        <f>IFERROR(__xludf.DUMMYFUNCTION("VLOOKUP($B118,IMPORTRANGE(""https://docs.google.com/spreadsheets/d/1VNXDITjs75AcgdBSW27oL1VZH31udDprJSsBcE5xlp4/edit?gid=1551188038#gid=1551188038"", ""Sheet9!$B:$E""),2,false)"),"Sargodha")</f>
        <v>Sargodha</v>
      </c>
      <c r="B118" s="283" t="s">
        <v>4569</v>
      </c>
      <c r="C118" s="284" t="str">
        <f>IFERROR(__xludf.DUMMYFUNCTION("VLOOKUP(TRIM($B118), IMPORTRANGE(""https://docs.google.com/spreadsheets/d/1aSOrU4PTpuBZqfitKaH1Rfww6-YOiNCKoBpPl8XBHaw/edit?gid=0#gid=0"", ""sheet3!$B:$C""), 2, FALSE)
"),"Jamia Masjid Galah Mandi Bhalwal")</f>
        <v>Jamia Masjid Galah Mandi Bhalwal</v>
      </c>
      <c r="D118" s="284" t="str">
        <f>IFERROR(__xludf.DUMMYFUNCTION("IFERROR(
  INDEX(
    FILTER(
      IMPORTRANGE(""1aSOrU4PTpuBZqfitKaH1Rfww6-YOiNCKoBpPl8XBHaw/edit?gid=0#gid=0"",""Sheet1!G:G""),
      IMPORTRANGE(""1aSOrU4PTpuBZqfitKaH1Rfww6-YOiNCKoBpPl8XBHaw/edit?gid=0#gid=0"",""Sheet1!C:C"")=$B118
    ),
    1
  ),
"&amp;"  ""Not Found""
)"),"Women Religious Info Share")</f>
        <v>Women Religious Info Share</v>
      </c>
      <c r="E118" s="284" t="str">
        <f>VLOOKUP(B118,'Juma Recording forms'!A:E,5,false)</f>
        <v>Jamia masjid galah mandi bhalwal</v>
      </c>
      <c r="F118" s="284" t="str">
        <f>IFERROR(__xludf.DUMMYFUNCTION("IFERROR(
  INDEX(
    FILTER(
      IMPORTRANGE(""1Cxrhp3-_-HS7v9uuqQliiIfrmMP4VaFoDNDWyUFy2J8/edit?gid=0#gid=0"",""Sheet1!Q:Q""),
      IMPORTRANGE(""1Cxrhp3-_-HS7v9uuqQliiIfrmMP4VaFoDNDWyUFy2J8/edit?gid=0#gid=0"",""Sheet1!K:K"")=$B118
    ),
    1
  ),
"&amp;"  ""Not Found""
)"),"Iftikhar Ahmad ")</f>
        <v>Iftikhar Ahmad </v>
      </c>
      <c r="G118" s="284">
        <v>1975.0</v>
      </c>
      <c r="H118" s="284"/>
      <c r="I118" s="285"/>
      <c r="J118" s="286">
        <v>2.0</v>
      </c>
      <c r="K118" s="287" t="str">
        <f>VLOOKUP($B118,'Mosque Locations'!$A:$E,3,FALSE)
</f>
        <v>https://www.google.com/maps?q=32.266441,72.9051484</v>
      </c>
      <c r="L118" s="286">
        <f>VLOOKUP($B118,'Mosque Locations'!$A:$E,4,FALSE)
</f>
        <v>32.26644</v>
      </c>
      <c r="M118" s="286">
        <f>VLOOKUP($B118,'Mosque Locations'!$A:$E,5,false)</f>
        <v>72.90515</v>
      </c>
      <c r="N118" s="288"/>
      <c r="O118" s="288"/>
      <c r="P118" s="288"/>
      <c r="Q118" s="289" t="str">
        <f>IFERROR(__xludf.DUMMYFUNCTION("IFERROR(
  INDEX(
    FILTER(
      IMPORTRANGE(""1DccNxjBgurEr0ABkI_rBagJT5phB5HaHG5N_mTm_BiA/edit?gid=1382299152#gid=1382299152"",""Form Responses 1!T:T""),
      IMPORTRANGE(""1DccNxjBgurEr0ABkI_rBagJT5phB5HaHG5N_mTm_BiA/edit?gid=1382299152#gid=1382299"&amp;"152"",""Form Responses 1!E:E"")=$B118
    ),
    1
  ),
  ""Not Found""
)"),"https://drive.google.com/open?id=1VLdrZw1jLoJ3fqSOAWmqddq07rccHXlA")</f>
        <v>https://drive.google.com/open?id=1VLdrZw1jLoJ3fqSOAWmqddq07rccHXlA</v>
      </c>
      <c r="R118" s="295" t="str">
        <f>IFERROR(__xludf.DUMMYFUNCTION("IFERROR(
  INDEX(
    FILTER(
      IMPORTRANGE(""1DccNxjBgurEr0ABkI_rBagJT5phB5HaHG5N_mTm_BiA/edit?gid=1382299152#gid=1382299152"",""Form Responses 1!S:S""),
      IMPORTRANGE(""1DccNxjBgurEr0ABkI_rBagJT5phB5HaHG5N_mTm_BiA/edit?gid=1382299152#gid=1382299"&amp;"152"",""Form Responses 1!E:E"")=$B118
    ),
    1
  ),
  ""Not Found""
)"),"https://drive.google.com/open?id=12Cu0f2FYzx3953vFMwN_icmWBXhQ2GKx")</f>
        <v>https://drive.google.com/open?id=12Cu0f2FYzx3953vFMwN_icmWBXhQ2GKx</v>
      </c>
      <c r="S118" s="285"/>
      <c r="T118" s="290" t="str">
        <f>VLOOKUP($B118,'Master Tracker'!$D:$E,2,false)</f>
        <v>https://drive.google.com/open?id=10CdULj9PqPP98DZFODgS3QHEEBAcvtry</v>
      </c>
      <c r="U118" s="291" t="str">
        <f>VLOOKUP($B118,'Master Tracker'!$D:$T,4,FALSE)
</f>
        <v>https://drive.google.com/open?id=1CZGcuDZuGXdQeF4X5iu8gF0nZK79rUKx</v>
      </c>
      <c r="V118" s="290" t="str">
        <f>VLOOKUP($B118,'Master Tracker'!$D:$T,5,false)</f>
        <v>https://drive.google.com/open?id=1w7gR53IHsvEBy30bwV3_8zRiCsjNAZPL</v>
      </c>
      <c r="W118" s="291" t="str">
        <f>VLOOKUP($B118,'Master Tracker'!$D:$T,7,false)</f>
        <v>https://drive.google.com/open?id=1PkiDQOL_GavyBUotvEO5VTE5FK2kcO30</v>
      </c>
      <c r="X118" s="290" t="str">
        <f>VLOOKUP($B118,'Master Tracker'!$D:$T,8,false)</f>
        <v>https://drive.google.com/open?id=1aGseX32o-9Qj3RpZbfdshiPTvsvk8Z6W</v>
      </c>
      <c r="Y118" s="291" t="str">
        <f>VLOOKUP($B118,'Master Tracker'!$D:$T,10,false)</f>
        <v>https://drive.google.com/open?id=124MzHIXQSHMKju7GDFGCb7x8shL_ffR8</v>
      </c>
      <c r="Z118" s="284" t="str">
        <f>VLOOKUP($B118,'Master Tracker'!$D:$T,11,false)</f>
        <v>Not Found</v>
      </c>
      <c r="AA118" s="292" t="str">
        <f>VLOOKUP($B118,'Master Tracker'!$D:$T,13,false)</f>
        <v>Not Found</v>
      </c>
      <c r="AB118" s="284" t="str">
        <f>VLOOKUP($B118,'Master Tracker'!$D:$T,14,false)</f>
        <v>Not Found</v>
      </c>
      <c r="AC118" s="292" t="str">
        <f>VLOOKUP($B118,'Master Tracker'!$D:$T,16,false)</f>
        <v>Not Found</v>
      </c>
      <c r="AD118" s="292" t="str">
        <f>VLOOKUP($B118,'Master Tracker'!$D:$T,17,false)</f>
        <v>Not Found</v>
      </c>
      <c r="AE118" s="292" t="str">
        <f>VLOOKUP($B118,'Master Tracker'!$D:$V,19,false)</f>
        <v>Not Found</v>
      </c>
      <c r="AF118" s="292">
        <f>IFERROR(__xludf.DUMMYFUNCTION("IFERROR(
  INDEX(
    FILTER(
      'Juma Recording forms'!$G:$G,
      TRIM('Juma Recording forms'!$F:$F) = TRIM($B118),
      'Juma Recording forms'!$AA:$AA = 1
    ),
    1
  ),
  ""Not Found""
)"),250.0)</f>
        <v>250</v>
      </c>
      <c r="AG118" s="292">
        <f>IFERROR(__xludf.DUMMYFUNCTION("IFERROR(
  INDEX(
    FILTER(
      'Juma Recording forms'!$G:$G,
      TRIM('Juma Recording forms'!$F:$F) = TRIM($B118),
      'Juma Recording forms'!$AA:$AA = 2
    ),
    1
  ),
  ""Not Found""
)"),270.0)</f>
        <v>270</v>
      </c>
      <c r="AH118" s="292">
        <f>IFERROR(__xludf.DUMMYFUNCTION("IFERROR(
  INDEX(
    FILTER(
      'Juma Recording forms'!$G:$G,
      TRIM('Juma Recording forms'!$F:$F) = TRIM($B118),
      'Juma Recording forms'!$AA:$AA = 3
    ),
    1
  ),
  ""Not Found""
)"),250.0)</f>
        <v>250</v>
      </c>
      <c r="AI118" s="292" t="str">
        <f>IFERROR(__xludf.DUMMYFUNCTION("IFERROR(
  INDEX(
    FILTER(
      'Juma Recording forms'!$G:$G,
      TRIM('Juma Recording forms'!$F:$F) = TRIM($B118),
      'Juma Recording forms'!$AA:$AA = 4
    ),
    1
  ),
  ""Not Found""
)"),"Not Found")</f>
        <v>Not Found</v>
      </c>
      <c r="AJ118" s="292" t="str">
        <f>IFERROR(__xludf.DUMMYFUNCTION("IFERROR(
  INDEX(
    FILTER(
      'Juma Recording forms'!$G:$G,
      TRIM('Juma Recording forms'!$F:$F) = TRIM($B118),
      'Juma Recording forms'!$AA:$AA = 5
    ),
    1
  ),
  ""Not Found""
)"),"Not Found")</f>
        <v>Not Found</v>
      </c>
      <c r="AK118" s="292" t="str">
        <f>IFERROR(__xludf.DUMMYFUNCTION("IFERROR(
  INDEX(
    FILTER(
      'Juma Recording forms'!$G:$G,
      TRIM('Juma Recording forms'!$F:$F) = TRIM($B118),
      'Juma Recording forms'!$AA:$AA = 6
    ),
    1
  ),
  ""Not Found""
)"),"Not Found")</f>
        <v>Not Found</v>
      </c>
      <c r="AL1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1!$E:$E"")=$B118) *
        (IMPORTRANGE(""https://docs.google.com/spreadsheets/d/161aHT6vVT3SLneTKD19N5qVWtnj_jIT8CSsOmUVKmaA/e"&amp;"dit?gid=1761053510"",
          ""Haris_Form responses 1!$AQ:$AQ"")=1)
      ),
      1
    ),
    ""0""
  ),
  ""Form not found""
)
"),"0")</f>
        <v>0</v>
      </c>
      <c r="AM1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1!$E:$E"")=$B118) *
        (IMPORTRANGE(""https://docs.google.com/spreadsheets/d/161aHT6vVT3SLneTKD19N5qVWtnj_jIT8CSsOmUVKmaA/e"&amp;"dit?gid=1761053510"",
          ""Haris_Form responses 1!$AQ:$AQ"")=2)
      ),
      1
    ),
    ""0""
  ),
  ""Form not found""
)
"),"10")</f>
        <v>10</v>
      </c>
      <c r="AN1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1!$E:$E"")=$B118) *
        (IMPORTRANGE(""https://docs.google.com/spreadsheets/d/161aHT6vVT3SLneTKD19N5qVWtnj_jIT8CSsOmUVKmaA/e"&amp;"dit?gid=1761053510"",
          ""Haris_Form responses 1!$AQ:$AQ"")=3)
      ),
      1
    ),
    ""0""
  ),
  ""Form not found""
)
"),"0")</f>
        <v>0</v>
      </c>
      <c r="AO1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1!$E:$E"")=$B118) *
        (IMPORTRANGE(""https://docs.google.com/spreadsheets/d/161aHT6vVT3SLneTKD19N5qVWtnj_jIT8CSsOmUVKmaA/e"&amp;"dit?gid=1761053510"",
          ""Haris_Form responses 1!$AQ:$AQ"")=4)
      ),
      1
    ),
    ""0""
  ),
  ""Form not found""
)
"),"Form not found")</f>
        <v>Form not found</v>
      </c>
      <c r="AP1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1!$E:$E"")=$B118) *
        (IMPORTRANGE(""https://docs.google.com/spreadsheets/d/161aHT6vVT3SLneTKD19N5qVWtnj_jIT8CSsOmUVKmaA/e"&amp;"dit?gid=1761053510"",
          ""Haris_Form responses 1!$AQ:$AQ"")=5)
      ),
      1
    ),
    ""0""
  ),
  ""Form not found""
)
"),"Form not found")</f>
        <v>Form not found</v>
      </c>
      <c r="AQ1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1!$E:$E"")=$B118) *
        (IMPORTRANGE(""https://docs.google.com/spreadsheets/d/161aHT6vVT3SLneTKD19N5qVWtnj_jIT8CSsOmUVKmaA/e"&amp;"dit?gid=1761053510"",
          ""Haris_Form responses 1!$AQ:$AQ"")=6)
      ),
      1
    ),
    ""0""
  ),
  ""Form not found""
)
"),"Form not found")</f>
        <v>Form not found</v>
      </c>
      <c r="AR1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1!$E:$E"")=$B118) *
        (IMPORTRANGE(""https://docs.google.com/spreadsheets/d/161aHT6vVT3SLneTKD19N5qVWtnj_jIT8CSsOmUVKmaA/e"&amp;"dit?gid=1761053510"",
          ""Haris_Form responses 1!$AQ:$AQ"")=1)
      ),
      1
    ),
    ""0""
  ),
  ""Form not found""
)
"),"0")</f>
        <v>0</v>
      </c>
      <c r="AS1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1!$E:$E"")=$B118) *
        (IMPORTRANGE(""https://docs.google.com/spreadsheets/d/161aHT6vVT3SLneTKD19N5qVWtnj_jIT8CSsOmUVKmaA/e"&amp;"dit?gid=1761053510"",
          ""Haris_Form responses 1!$AQ:$AQ"")=2)
      ),
      1
    ),
    ""0""
  ),
  ""Form not found""
)
"),"0")</f>
        <v>0</v>
      </c>
      <c r="AT1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1!$E:$E"")=$B118) *
        (IMPORTRANGE(""https://docs.google.com/spreadsheets/d/161aHT6vVT3SLneTKD19N5qVWtnj_jIT8CSsOmUVKmaA/e"&amp;"dit?gid=1761053510"",
          ""Haris_Form responses 1!$AQ:$AQ"")=3)
      ),
      1
    ),
    ""0""
  ),
  ""Form not found""
)
"),"0")</f>
        <v>0</v>
      </c>
      <c r="AU1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1!$E:$E"")=$B118) *
        (IMPORTRANGE(""https://docs.google.com/spreadsheets/d/161aHT6vVT3SLneTKD19N5qVWtnj_jIT8CSsOmUVKmaA/e"&amp;"dit?gid=1761053510"",
          ""Haris_Form responses 1!$AQ:$AQ"")=4)
      ),
      1
    ),
    ""0""
  ),
  ""Form not found""
)
"),"Form not found")</f>
        <v>Form not found</v>
      </c>
      <c r="AV1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1!$E:$E"")=$B118) *
        (IMPORTRANGE(""https://docs.google.com/spreadsheets/d/161aHT6vVT3SLneTKD19N5qVWtnj_jIT8CSsOmUVKmaA/e"&amp;"dit?gid=1761053510"",
          ""Haris_Form responses 1!$AQ:$AQ"")=5)
      ),
      1
    ),
    ""0""
  ),
  ""Form not found""
)
"),"Form not found")</f>
        <v>Form not found</v>
      </c>
      <c r="AW1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1!$E:$E"")=$B118) *
        (IMPORTRANGE(""https://docs.google.com/spreadsheets/d/161aHT6vVT3SLneTKD19N5qVWtnj_jIT8CSsOmUVKmaA/e"&amp;"dit?gid=1761053510"",
          ""Haris_Form responses 1!$AQ:$AQ"")=6)
      ),
      1
    ),
    ""0""
  ),
  ""Form not found""
)
"),"Form not found")</f>
        <v>Form not found</v>
      </c>
      <c r="AX1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1!$E:$E"")=$B118) *
        (IMPORTRANGE(""https://docs.google.com/spreadsheets/d/161aHT6vVT3SLneTKD19N5qVWtnj_jIT8CSsOmUVKmaA/e"&amp;"dit?gid=1761053510"",
          ""Haris_Form responses 1!$AQ:$AQ"")=1)
      ),
      1
    ),
    ""0""
  ),
  ""Form not found""
)
"),"0")</f>
        <v>0</v>
      </c>
      <c r="AY1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1!$E:$E"")=$B118) *
        (IMPORTRANGE(""https://docs.google.com/spreadsheets/d/161aHT6vVT3SLneTKD19N5qVWtnj_jIT8CSsOmUVKmaA/e"&amp;"dit?gid=1761053510"",
          ""Haris_Form responses 1!$AQ:$AQ"")=2)
      ),
      1
    ),
    ""0""
  ),
  ""Form not found""
)
"),"10")</f>
        <v>10</v>
      </c>
      <c r="AZ1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1!$E:$E"")=$B118) *
        (IMPORTRANGE(""https://docs.google.com/spreadsheets/d/161aHT6vVT3SLneTKD19N5qVWtnj_jIT8CSsOmUVKmaA/e"&amp;"dit?gid=1761053510"",
          ""Haris_Form responses 1!$AQ:$AQ"")=3)
      ),
      1
    ),
    ""0""
  ),
  ""Form not found""
)
"),"0")</f>
        <v>0</v>
      </c>
      <c r="BA1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1!$E:$E"")=$B118) *
        (IMPORTRANGE(""https://docs.google.com/spreadsheets/d/161aHT6vVT3SLneTKD19N5qVWtnj_jIT8CSsOmUVKmaA/e"&amp;"dit?gid=1761053510"",
          ""Haris_Form responses 1!$AQ:$AQ"")=4)
      ),
      1
    ),
    ""0""
  ),
  ""Form not found""
)
"),"Form not found")</f>
        <v>Form not found</v>
      </c>
      <c r="BB1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1!$E:$E"")=$B118) *
        (IMPORTRANGE(""https://docs.google.com/spreadsheets/d/161aHT6vVT3SLneTKD19N5qVWtnj_jIT8CSsOmUVKmaA/e"&amp;"dit?gid=1761053510"",
          ""Haris_Form responses 1!$AQ:$AQ"")=5)
      ),
      1
    ),
    ""0""
  ),
  ""Form not found""
)
"),"Form not found")</f>
        <v>Form not found</v>
      </c>
      <c r="BC1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1!$E:$E"")=$B118) *
        (IMPORTRANGE(""https://docs.google.com/spreadsheets/d/161aHT6vVT3SLneTKD19N5qVWtnj_jIT8CSsOmUVKmaA/e"&amp;"dit?gid=1761053510"",
          ""Haris_Form responses 1!$AQ:$AQ"")=6)
      ),
      1
    ),
    ""0""
  ),
  ""Form not found""
)
"),"Form not found")</f>
        <v>Form not found</v>
      </c>
      <c r="BD118" s="293"/>
    </row>
    <row r="119">
      <c r="A119" s="283" t="str">
        <f>IFERROR(__xludf.DUMMYFUNCTION("VLOOKUP($B119,IMPORTRANGE(""https://docs.google.com/spreadsheets/d/1VNXDITjs75AcgdBSW27oL1VZH31udDprJSsBcE5xlp4/edit?gid=1551188038#gid=1551188038"", ""Sheet9!$B:$E""),2,false)"),"Sargodha")</f>
        <v>Sargodha</v>
      </c>
      <c r="B119" s="283" t="s">
        <v>4570</v>
      </c>
      <c r="C119" s="284" t="str">
        <f>IFERROR(__xludf.DUMMYFUNCTION("VLOOKUP(TRIM($B119), IMPORTRANGE(""https://docs.google.com/spreadsheets/d/1aSOrU4PTpuBZqfitKaH1Rfww6-YOiNCKoBpPl8XBHaw/edit?gid=0#gid=0"", ""sheet3!$B:$C""), 2, FALSE)
"),"Jamia Masjid Phalarwaan Sargodha")</f>
        <v>Jamia Masjid Phalarwaan Sargodha</v>
      </c>
      <c r="D119" s="284" t="str">
        <f>IFERROR(__xludf.DUMMYFUNCTION("IFERROR(
  INDEX(
    FILTER(
      IMPORTRANGE(""1aSOrU4PTpuBZqfitKaH1Rfww6-YOiNCKoBpPl8XBHaw/edit?gid=0#gid=0"",""Sheet1!G:G""),
      IMPORTRANGE(""1aSOrU4PTpuBZqfitKaH1Rfww6-YOiNCKoBpPl8XBHaw/edit?gid=0#gid=0"",""Sheet1!C:C"")=$B119
    ),
    1
  ),
"&amp;"  ""Not Found""
)"),"Control")</f>
        <v>Control</v>
      </c>
      <c r="E119" s="284" t="str">
        <f>VLOOKUP(B119,'Juma Recording forms'!A:E,5,false)</f>
        <v>Jamia masjid phularwan sargodha</v>
      </c>
      <c r="F119" s="284" t="str">
        <f>IFERROR(__xludf.DUMMYFUNCTION("IFERROR(
  INDEX(
    FILTER(
      IMPORTRANGE(""1Cxrhp3-_-HS7v9uuqQliiIfrmMP4VaFoDNDWyUFy2J8/edit?gid=0#gid=0"",""Sheet1!Q:Q""),
      IMPORTRANGE(""1Cxrhp3-_-HS7v9uuqQliiIfrmMP4VaFoDNDWyUFy2J8/edit?gid=0#gid=0"",""Sheet1!K:K"")=$B119
    ),
    1
  ),
"&amp;"  ""Not Found""
)"),"anees ur rahman")</f>
        <v>anees ur rahman</v>
      </c>
      <c r="G119" s="284">
        <v>1932.0</v>
      </c>
      <c r="H119" s="284"/>
      <c r="I119" s="285"/>
      <c r="J119" s="286">
        <v>2.0</v>
      </c>
      <c r="K119" s="287" t="str">
        <f>VLOOKUP($B119,'Mosque Locations'!$A:$E,3,FALSE)
</f>
        <v>https://www.google.com/maps/search/Punjab/@32.3531608581543,73.0109939575195,17z</v>
      </c>
      <c r="L119" s="286">
        <f>VLOOKUP($B119,'Mosque Locations'!$A:$E,4,FALSE)
</f>
        <v>32.35316</v>
      </c>
      <c r="M119" s="286">
        <f>VLOOKUP($B119,'Mosque Locations'!$A:$E,5,false)</f>
        <v>73.01099</v>
      </c>
      <c r="N119" s="288"/>
      <c r="O119" s="288"/>
      <c r="P119" s="288"/>
      <c r="Q119" s="289" t="str">
        <f>IFERROR(__xludf.DUMMYFUNCTION("IFERROR(
  INDEX(
    FILTER(
      IMPORTRANGE(""1DccNxjBgurEr0ABkI_rBagJT5phB5HaHG5N_mTm_BiA/edit?gid=1382299152#gid=1382299152"",""Form Responses 1!T:T""),
      IMPORTRANGE(""1DccNxjBgurEr0ABkI_rBagJT5phB5HaHG5N_mTm_BiA/edit?gid=1382299152#gid=1382299"&amp;"152"",""Form Responses 1!E:E"")=$B119
    ),
    1
  ),
  ""Not Found""
)"),"https://drive.google.com/open?id=1XUBoUG7y2WhuAmWzracbbeRvDzJUqrdz")</f>
        <v>https://drive.google.com/open?id=1XUBoUG7y2WhuAmWzracbbeRvDzJUqrdz</v>
      </c>
      <c r="R119" s="296" t="str">
        <f>IFERROR(__xludf.DUMMYFUNCTION("IFERROR(
  INDEX(
    FILTER(
      IMPORTRANGE(""1DccNxjBgurEr0ABkI_rBagJT5phB5HaHG5N_mTm_BiA/edit?gid=1382299152#gid=1382299152"",""Form Responses 1!S:S""),
      IMPORTRANGE(""1DccNxjBgurEr0ABkI_rBagJT5phB5HaHG5N_mTm_BiA/edit?gid=1382299152#gid=1382299"&amp;"152"",""Form Responses 1!E:E"")=$B119
    ),
    1
  ),
  ""Not Found""
)"),"https://drive.google.com/open?id=1WNVZRwYVuw_CP2Im9_9FVmdiig9Pe1c4")</f>
        <v>https://drive.google.com/open?id=1WNVZRwYVuw_CP2Im9_9FVmdiig9Pe1c4</v>
      </c>
      <c r="S119" s="285"/>
      <c r="T119" s="290" t="str">
        <f>VLOOKUP($B119,'Master Tracker'!$D:$E,2,false)</f>
        <v>https://drive.google.com/open?id=11F34ralsogpPnvOJ3_dtdv1-OTnrQdnS</v>
      </c>
      <c r="U119" s="291" t="str">
        <f>VLOOKUP($B119,'Master Tracker'!$D:$T,4,FALSE)
</f>
        <v>https://drive.google.com/open?id=1h2UB7_Uawa71Gc4JzBLpI3r1BIR0NxR_</v>
      </c>
      <c r="V119" s="284" t="str">
        <f>VLOOKUP($B119,'Master Tracker'!$D:$T,5,false)</f>
        <v>Not Found</v>
      </c>
      <c r="W119" s="292" t="str">
        <f>VLOOKUP($B119,'Master Tracker'!$D:$T,7,false)</f>
        <v>Not Found</v>
      </c>
      <c r="X119" s="290" t="str">
        <f>VLOOKUP($B119,'Master Tracker'!$D:$T,8,false)</f>
        <v>https://drive.google.com/open?id=14C9jO7FsmaoVRXNl8ZQNy6kC4bQ3mAmG</v>
      </c>
      <c r="Y119" s="291" t="str">
        <f>VLOOKUP($B119,'Master Tracker'!$D:$T,10,false)</f>
        <v>https://drive.google.com/open?id=1VDk3QBTq48ok9GjVaEvRyb4xJ9g74BOV</v>
      </c>
      <c r="Z119" s="284" t="str">
        <f>VLOOKUP($B119,'Master Tracker'!$D:$T,11,false)</f>
        <v>Not Found</v>
      </c>
      <c r="AA119" s="292" t="str">
        <f>VLOOKUP($B119,'Master Tracker'!$D:$T,13,false)</f>
        <v>Not Found</v>
      </c>
      <c r="AB119" s="284" t="str">
        <f>VLOOKUP($B119,'Master Tracker'!$D:$T,14,false)</f>
        <v>Not Found</v>
      </c>
      <c r="AC119" s="292" t="str">
        <f>VLOOKUP($B119,'Master Tracker'!$D:$T,16,false)</f>
        <v>Not Found</v>
      </c>
      <c r="AD119" s="292" t="str">
        <f>VLOOKUP($B119,'Master Tracker'!$D:$T,17,false)</f>
        <v>Not Found</v>
      </c>
      <c r="AE119" s="292" t="str">
        <f>VLOOKUP($B119,'Master Tracker'!$D:$V,19,false)</f>
        <v>Not Found</v>
      </c>
      <c r="AF119" s="292">
        <f>IFERROR(__xludf.DUMMYFUNCTION("IFERROR(
  INDEX(
    FILTER(
      'Juma Recording forms'!$G:$G,
      TRIM('Juma Recording forms'!$F:$F) = TRIM($B119),
      'Juma Recording forms'!$AA:$AA = 1
    ),
    1
  ),
  ""Not Found""
)"),225.0)</f>
        <v>225</v>
      </c>
      <c r="AG119" s="292">
        <f>IFERROR(__xludf.DUMMYFUNCTION("IFERROR(
  INDEX(
    FILTER(
      'Juma Recording forms'!$G:$G,
      TRIM('Juma Recording forms'!$F:$F) = TRIM($B119),
      'Juma Recording forms'!$AA:$AA = 2
    ),
    1
  ),
  ""Not Found""
)"),250.0)</f>
        <v>250</v>
      </c>
      <c r="AH119" s="292" t="str">
        <f>IFERROR(__xludf.DUMMYFUNCTION("IFERROR(
  INDEX(
    FILTER(
      'Juma Recording forms'!$G:$G,
      TRIM('Juma Recording forms'!$F:$F) = TRIM($B119),
      'Juma Recording forms'!$AA:$AA = 3
    ),
    1
  ),
  ""Not Found""
)"),"Not Found")</f>
        <v>Not Found</v>
      </c>
      <c r="AI119" s="292" t="str">
        <f>IFERROR(__xludf.DUMMYFUNCTION("IFERROR(
  INDEX(
    FILTER(
      'Juma Recording forms'!$G:$G,
      TRIM('Juma Recording forms'!$F:$F) = TRIM($B119),
      'Juma Recording forms'!$AA:$AA = 4
    ),
    1
  ),
  ""Not Found""
)"),"Not Found")</f>
        <v>Not Found</v>
      </c>
      <c r="AJ119" s="292" t="str">
        <f>IFERROR(__xludf.DUMMYFUNCTION("IFERROR(
  INDEX(
    FILTER(
      'Juma Recording forms'!$G:$G,
      TRIM('Juma Recording forms'!$F:$F) = TRIM($B119),
      'Juma Recording forms'!$AA:$AA = 5
    ),
    1
  ),
  ""Not Found""
)"),"Not Found")</f>
        <v>Not Found</v>
      </c>
      <c r="AK119" s="292"/>
      <c r="AL1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1!$E:$E"")=$B119) *
        (IMPORTRANGE(""https://docs.google.com/spreadsheets/d/161aHT6vVT3SLneTKD19N5qVWtnj_jIT8CSsOmUVKmaA/e"&amp;"dit?gid=1761053510"",
          ""Haris_Form responses 1!$AQ:$AQ"")=1)
      ),
      1
    ),
    ""0""
  ),
  ""Form not found""
)
"),"0")</f>
        <v>0</v>
      </c>
      <c r="AM1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1!$E:$E"")=$B119) *
        (IMPORTRANGE(""https://docs.google.com/spreadsheets/d/161aHT6vVT3SLneTKD19N5qVWtnj_jIT8CSsOmUVKmaA/e"&amp;"dit?gid=1761053510"",
          ""Haris_Form responses 1!$AQ:$AQ"")=2)
      ),
      1
    ),
    ""0""
  ),
  ""Form not found""
)
"),"Form not found")</f>
        <v>Form not found</v>
      </c>
      <c r="AN1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1!$E:$E"")=$B119) *
        (IMPORTRANGE(""https://docs.google.com/spreadsheets/d/161aHT6vVT3SLneTKD19N5qVWtnj_jIT8CSsOmUVKmaA/e"&amp;"dit?gid=1761053510"",
          ""Haris_Form responses 1!$AQ:$AQ"")=3)
      ),
      1
    ),
    ""0""
  ),
  ""Form not found""
)
"),"0")</f>
        <v>0</v>
      </c>
      <c r="AO1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1!$E:$E"")=$B119) *
        (IMPORTRANGE(""https://docs.google.com/spreadsheets/d/161aHT6vVT3SLneTKD19N5qVWtnj_jIT8CSsOmUVKmaA/e"&amp;"dit?gid=1761053510"",
          ""Haris_Form responses 1!$AQ:$AQ"")=4)
      ),
      1
    ),
    ""0""
  ),
  ""Form not found""
)
"),"Form not found")</f>
        <v>Form not found</v>
      </c>
      <c r="AP1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1!$E:$E"")=$B119) *
        (IMPORTRANGE(""https://docs.google.com/spreadsheets/d/161aHT6vVT3SLneTKD19N5qVWtnj_jIT8CSsOmUVKmaA/e"&amp;"dit?gid=1761053510"",
          ""Haris_Form responses 1!$AQ:$AQ"")=5)
      ),
      1
    ),
    ""0""
  ),
  ""Form not found""
)
"),"Form not found")</f>
        <v>Form not found</v>
      </c>
      <c r="AQ1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1!$E:$E"")=$B119) *
        (IMPORTRANGE(""https://docs.google.com/spreadsheets/d/161aHT6vVT3SLneTKD19N5qVWtnj_jIT8CSsOmUVKmaA/e"&amp;"dit?gid=1761053510"",
          ""Haris_Form responses 1!$AQ:$AQ"")=6)
      ),
      1
    ),
    ""0""
  ),
  ""Form not found""
)
"),"Form not found")</f>
        <v>Form not found</v>
      </c>
      <c r="AR1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1!$E:$E"")=$B119) *
        (IMPORTRANGE(""https://docs.google.com/spreadsheets/d/161aHT6vVT3SLneTKD19N5qVWtnj_jIT8CSsOmUVKmaA/e"&amp;"dit?gid=1761053510"",
          ""Haris_Form responses 1!$AQ:$AQ"")=1)
      ),
      1
    ),
    ""0""
  ),
  ""Form not found""
)
"),"0")</f>
        <v>0</v>
      </c>
      <c r="AS1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1!$E:$E"")=$B119) *
        (IMPORTRANGE(""https://docs.google.com/spreadsheets/d/161aHT6vVT3SLneTKD19N5qVWtnj_jIT8CSsOmUVKmaA/e"&amp;"dit?gid=1761053510"",
          ""Haris_Form responses 1!$AQ:$AQ"")=2)
      ),
      1
    ),
    ""0""
  ),
  ""Form not found""
)
"),"Form not found")</f>
        <v>Form not found</v>
      </c>
      <c r="AT1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1!$E:$E"")=$B119) *
        (IMPORTRANGE(""https://docs.google.com/spreadsheets/d/161aHT6vVT3SLneTKD19N5qVWtnj_jIT8CSsOmUVKmaA/e"&amp;"dit?gid=1761053510"",
          ""Haris_Form responses 1!$AQ:$AQ"")=3)
      ),
      1
    ),
    ""0""
  ),
  ""Form not found""
)
"),"0")</f>
        <v>0</v>
      </c>
      <c r="AU1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1!$E:$E"")=$B119) *
        (IMPORTRANGE(""https://docs.google.com/spreadsheets/d/161aHT6vVT3SLneTKD19N5qVWtnj_jIT8CSsOmUVKmaA/e"&amp;"dit?gid=1761053510"",
          ""Haris_Form responses 1!$AQ:$AQ"")=4)
      ),
      1
    ),
    ""0""
  ),
  ""Form not found""
)
"),"Form not found")</f>
        <v>Form not found</v>
      </c>
      <c r="AV1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1!$E:$E"")=$B119) *
        (IMPORTRANGE(""https://docs.google.com/spreadsheets/d/161aHT6vVT3SLneTKD19N5qVWtnj_jIT8CSsOmUVKmaA/e"&amp;"dit?gid=1761053510"",
          ""Haris_Form responses 1!$AQ:$AQ"")=5)
      ),
      1
    ),
    ""0""
  ),
  ""Form not found""
)
"),"Form not found")</f>
        <v>Form not found</v>
      </c>
      <c r="AW1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1!$E:$E"")=$B119) *
        (IMPORTRANGE(""https://docs.google.com/spreadsheets/d/161aHT6vVT3SLneTKD19N5qVWtnj_jIT8CSsOmUVKmaA/e"&amp;"dit?gid=1761053510"",
          ""Haris_Form responses 1!$AQ:$AQ"")=6)
      ),
      1
    ),
    ""0""
  ),
  ""Form not found""
)
"),"Form not found")</f>
        <v>Form not found</v>
      </c>
      <c r="AX1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1!$E:$E"")=$B119) *
        (IMPORTRANGE(""https://docs.google.com/spreadsheets/d/161aHT6vVT3SLneTKD19N5qVWtnj_jIT8CSsOmUVKmaA/e"&amp;"dit?gid=1761053510"",
          ""Haris_Form responses 1!$AQ:$AQ"")=1)
      ),
      1
    ),
    ""0""
  ),
  ""Form not found""
)
"),"0")</f>
        <v>0</v>
      </c>
      <c r="AY1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1!$E:$E"")=$B119) *
        (IMPORTRANGE(""https://docs.google.com/spreadsheets/d/161aHT6vVT3SLneTKD19N5qVWtnj_jIT8CSsOmUVKmaA/e"&amp;"dit?gid=1761053510"",
          ""Haris_Form responses 1!$AQ:$AQ"")=2)
      ),
      1
    ),
    ""0""
  ),
  ""Form not found""
)
"),"Form not found")</f>
        <v>Form not found</v>
      </c>
      <c r="AZ1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1!$E:$E"")=$B119) *
        (IMPORTRANGE(""https://docs.google.com/spreadsheets/d/161aHT6vVT3SLneTKD19N5qVWtnj_jIT8CSsOmUVKmaA/e"&amp;"dit?gid=1761053510"",
          ""Haris_Form responses 1!$AQ:$AQ"")=3)
      ),
      1
    ),
    ""0""
  ),
  ""Form not found""
)
"),"0")</f>
        <v>0</v>
      </c>
      <c r="BA1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1!$E:$E"")=$B119) *
        (IMPORTRANGE(""https://docs.google.com/spreadsheets/d/161aHT6vVT3SLneTKD19N5qVWtnj_jIT8CSsOmUVKmaA/e"&amp;"dit?gid=1761053510"",
          ""Haris_Form responses 1!$AQ:$AQ"")=4)
      ),
      1
    ),
    ""0""
  ),
  ""Form not found""
)
"),"Form not found")</f>
        <v>Form not found</v>
      </c>
      <c r="BB1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1!$E:$E"")=$B119) *
        (IMPORTRANGE(""https://docs.google.com/spreadsheets/d/161aHT6vVT3SLneTKD19N5qVWtnj_jIT8CSsOmUVKmaA/e"&amp;"dit?gid=1761053510"",
          ""Haris_Form responses 1!$AQ:$AQ"")=5)
      ),
      1
    ),
    ""0""
  ),
  ""Form not found""
)
"),"Form not found")</f>
        <v>Form not found</v>
      </c>
      <c r="BC1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1!$E:$E"")=$B119) *
        (IMPORTRANGE(""https://docs.google.com/spreadsheets/d/161aHT6vVT3SLneTKD19N5qVWtnj_jIT8CSsOmUVKmaA/e"&amp;"dit?gid=1761053510"",
          ""Haris_Form responses 1!$AQ:$AQ"")=6)
      ),
      1
    ),
    ""0""
  ),
  ""Form not found""
)
"),"Form not found")</f>
        <v>Form not found</v>
      </c>
      <c r="BD119" s="293"/>
    </row>
    <row r="120">
      <c r="A120" s="283" t="str">
        <f>IFERROR(__xludf.DUMMYFUNCTION("VLOOKUP($B120,IMPORTRANGE(""https://docs.google.com/spreadsheets/d/1VNXDITjs75AcgdBSW27oL1VZH31udDprJSsBcE5xlp4/edit?gid=1551188038#gid=1551188038"", ""Sheet9!$B:$E""),2,false)"),"Sargodha")</f>
        <v>Sargodha</v>
      </c>
      <c r="B120" s="283" t="s">
        <v>4571</v>
      </c>
      <c r="C120" s="284" t="str">
        <f>IFERROR(__xludf.DUMMYFUNCTION("VLOOKUP(TRIM($B120), IMPORTRANGE(""https://docs.google.com/spreadsheets/d/1aSOrU4PTpuBZqfitKaH1Rfww6-YOiNCKoBpPl8XBHaw/edit?gid=0#gid=0"", ""sheet3!$B:$C""), 2, FALSE)
"),"Jamia Masjid Block # 1 Sargodha")</f>
        <v>Jamia Masjid Block # 1 Sargodha</v>
      </c>
      <c r="D120" s="284" t="str">
        <f>IFERROR(__xludf.DUMMYFUNCTION("IFERROR(
  INDEX(
    FILTER(
      IMPORTRANGE(""1aSOrU4PTpuBZqfitKaH1Rfww6-YOiNCKoBpPl8XBHaw/edit?gid=0#gid=0"",""Sheet1!G:G""),
      IMPORTRANGE(""1aSOrU4PTpuBZqfitKaH1Rfww6-YOiNCKoBpPl8XBHaw/edit?gid=0#gid=0"",""Sheet1!C:C"")=$B120
    ),
    1
  ),
"&amp;"  ""Not Found""
)"),"Women Secular No Info Share")</f>
        <v>Women Secular No Info Share</v>
      </c>
      <c r="E120" s="284" t="str">
        <f>VLOOKUP(B120,'Juma Recording forms'!A:E,5,false)</f>
        <v>Jamia masjid block#1 sargodha</v>
      </c>
      <c r="F120" s="284" t="str">
        <f>IFERROR(__xludf.DUMMYFUNCTION("IFERROR(
  INDEX(
    FILTER(
      IMPORTRANGE(""1Cxrhp3-_-HS7v9uuqQliiIfrmMP4VaFoDNDWyUFy2J8/edit?gid=0#gid=0"",""Sheet1!Q:Q""),
      IMPORTRANGE(""1Cxrhp3-_-HS7v9uuqQliiIfrmMP4VaFoDNDWyUFy2J8/edit?gid=0#gid=0"",""Sheet1!K:K"")=$B120
    ),
    1
  ),
"&amp;"  ""Not Found""
)"),"Muhammad affan")</f>
        <v>Muhammad affan</v>
      </c>
      <c r="G120" s="284">
        <v>1899.0</v>
      </c>
      <c r="H120" s="284"/>
      <c r="I120" s="285"/>
      <c r="J120" s="286">
        <v>2.0</v>
      </c>
      <c r="K120" s="287" t="str">
        <f>VLOOKUP($B120,'Mosque Locations'!$A:$E,3,FALSE)
</f>
        <v>https://www.google.com/maps?q=32.0854693,72.6673267</v>
      </c>
      <c r="L120" s="286">
        <f>VLOOKUP($B120,'Mosque Locations'!$A:$E,4,FALSE)
</f>
        <v>32.08547</v>
      </c>
      <c r="M120" s="286">
        <f>VLOOKUP($B120,'Mosque Locations'!$A:$E,5,false)</f>
        <v>72.66733</v>
      </c>
      <c r="N120" s="288"/>
      <c r="O120" s="288"/>
      <c r="P120" s="288"/>
      <c r="Q120" s="289" t="str">
        <f>IFERROR(__xludf.DUMMYFUNCTION("IFERROR(
  INDEX(
    FILTER(
      IMPORTRANGE(""1DccNxjBgurEr0ABkI_rBagJT5phB5HaHG5N_mTm_BiA/edit?gid=1382299152#gid=1382299152"",""Form Responses 1!T:T""),
      IMPORTRANGE(""1DccNxjBgurEr0ABkI_rBagJT5phB5HaHG5N_mTm_BiA/edit?gid=1382299152#gid=1382299"&amp;"152"",""Form Responses 1!E:E"")=$B120
    ),
    1
  ),
  ""Not Found""
)"),"https://drive.google.com/open?id=1oktqcfeKexYsw_rCtvQWP6GDLqzMVWCo")</f>
        <v>https://drive.google.com/open?id=1oktqcfeKexYsw_rCtvQWP6GDLqzMVWCo</v>
      </c>
      <c r="R120" s="296" t="str">
        <f>IFERROR(__xludf.DUMMYFUNCTION("IFERROR(
  INDEX(
    FILTER(
      IMPORTRANGE(""1DccNxjBgurEr0ABkI_rBagJT5phB5HaHG5N_mTm_BiA/edit?gid=1382299152#gid=1382299152"",""Form Responses 1!S:S""),
      IMPORTRANGE(""1DccNxjBgurEr0ABkI_rBagJT5phB5HaHG5N_mTm_BiA/edit?gid=1382299152#gid=1382299"&amp;"152"",""Form Responses 1!E:E"")=$B120
    ),
    1
  ),
  ""Not Found""
)"),"https://drive.google.com/open?id=1cnpBYc_1Un7OFDUkgoA6uBhSUuYf0uUl")</f>
        <v>https://drive.google.com/open?id=1cnpBYc_1Un7OFDUkgoA6uBhSUuYf0uUl</v>
      </c>
      <c r="S120" s="285"/>
      <c r="T120" s="290" t="str">
        <f>VLOOKUP($B120,'Master Tracker'!$D:$E,2,false)</f>
        <v>https://drive.google.com/open?id=13ZWxT3T2XCJDDjT5nLlb17azWQeqv0c3</v>
      </c>
      <c r="U120" s="291" t="str">
        <f>VLOOKUP($B120,'Master Tracker'!$D:$T,4,FALSE)
</f>
        <v>https://drive.google.com/open?id=15YViAJszeR3PyjXyiqjuYYcfife9L3Pd</v>
      </c>
      <c r="V120" s="290" t="str">
        <f>VLOOKUP($B120,'Master Tracker'!$D:$T,5,false)</f>
        <v>https://drive.google.com/open?id=1qicMqBFvOk8qP25ZsGgr__yWSvuyx-mi</v>
      </c>
      <c r="W120" s="291" t="str">
        <f>VLOOKUP($B120,'Master Tracker'!$D:$T,7,false)</f>
        <v>https://drive.google.com/open?id=18MemRO9bqhnKyzzXhbmXiSEa052tPFHx</v>
      </c>
      <c r="X120" s="290" t="str">
        <f>VLOOKUP($B120,'Master Tracker'!$D:$T,8,false)</f>
        <v>https://drive.google.com/open?id=1QDPUBaIEi08CzHiwv_2iUL1ZAQIikutC</v>
      </c>
      <c r="Y120" s="291" t="str">
        <f>VLOOKUP($B120,'Master Tracker'!$D:$T,10,false)</f>
        <v>https://drive.google.com/open?id=1vvCV2smEMNoJeG3eRdeGnXAucQDBuK-3</v>
      </c>
      <c r="Z120" s="284" t="str">
        <f>VLOOKUP($B120,'Master Tracker'!$D:$T,11,false)</f>
        <v>Not Found</v>
      </c>
      <c r="AA120" s="292" t="str">
        <f>VLOOKUP($B120,'Master Tracker'!$D:$T,13,false)</f>
        <v>Not Found</v>
      </c>
      <c r="AB120" s="284" t="str">
        <f>VLOOKUP($B120,'Master Tracker'!$D:$T,14,false)</f>
        <v>Not Found</v>
      </c>
      <c r="AC120" s="292" t="str">
        <f>VLOOKUP($B120,'Master Tracker'!$D:$T,16,false)</f>
        <v>Not Found</v>
      </c>
      <c r="AD120" s="292" t="str">
        <f>VLOOKUP($B120,'Master Tracker'!$D:$T,17,false)</f>
        <v>Not Found</v>
      </c>
      <c r="AE120" s="292" t="str">
        <f>VLOOKUP($B120,'Master Tracker'!$D:$V,19,false)</f>
        <v>Not Found</v>
      </c>
      <c r="AF120" s="292">
        <f>IFERROR(__xludf.DUMMYFUNCTION("IFERROR(
  INDEX(
    FILTER(
      'Juma Recording forms'!$G:$G,
      TRIM('Juma Recording forms'!$F:$F) = TRIM($B120),
      'Juma Recording forms'!$AA:$AA = 1
    ),
    1
  ),
  ""Not Found""
)"),850.0)</f>
        <v>850</v>
      </c>
      <c r="AG120" s="292">
        <f>IFERROR(__xludf.DUMMYFUNCTION("IFERROR(
  INDEX(
    FILTER(
      'Juma Recording forms'!$G:$G,
      TRIM('Juma Recording forms'!$F:$F) = TRIM($B120),
      'Juma Recording forms'!$AA:$AA = 2
    ),
    1
  ),
  ""Not Found""
)"),900.0)</f>
        <v>900</v>
      </c>
      <c r="AH120" s="292">
        <f>IFERROR(__xludf.DUMMYFUNCTION("IFERROR(
  INDEX(
    FILTER(
      'Juma Recording forms'!$G:$G,
      TRIM('Juma Recording forms'!$F:$F) = TRIM($B120),
      'Juma Recording forms'!$AA:$AA = 3
    ),
    1
  ),
  ""Not Found""
)"),820.0)</f>
        <v>820</v>
      </c>
      <c r="AI120" s="292" t="str">
        <f>IFERROR(__xludf.DUMMYFUNCTION("IFERROR(
  INDEX(
    FILTER(
      'Juma Recording forms'!$G:$G,
      TRIM('Juma Recording forms'!$F:$F) = TRIM($B120),
      'Juma Recording forms'!$AA:$AA = 4
    ),
    1
  ),
  ""Not Found""
)"),"Not Found")</f>
        <v>Not Found</v>
      </c>
      <c r="AJ120" s="292" t="str">
        <f>IFERROR(__xludf.DUMMYFUNCTION("IFERROR(
  INDEX(
    FILTER(
      'Juma Recording forms'!$G:$G,
      TRIM('Juma Recording forms'!$F:$F) = TRIM($B120),
      'Juma Recording forms'!$AA:$AA = 5
    ),
    1
  ),
  ""Not Found""
)"),"Not Found")</f>
        <v>Not Found</v>
      </c>
      <c r="AK120" s="292" t="str">
        <f>IFERROR(__xludf.DUMMYFUNCTION("IFERROR(
  INDEX(
    FILTER(
      'Juma Recording forms'!$G:$G,
      TRIM('Juma Recording forms'!$F:$F) = TRIM($B120),
      'Juma Recording forms'!$AA:$AA = 6
    ),
    1
  ),
  ""Not Found""
)"),"Not Found")</f>
        <v>Not Found</v>
      </c>
      <c r="AL1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1!$E:$E"")=$B120) *
        (IMPORTRANGE(""https://docs.google.com/spreadsheets/d/161aHT6vVT3SLneTKD19N5qVWtnj_jIT8CSsOmUVKmaA/e"&amp;"dit?gid=1761053510"",
          ""Haris_Form responses 1!$AQ:$AQ"")=1)
      ),
      1
    ),
    ""0""
  ),
  ""Form not found""
)
"),"0")</f>
        <v>0</v>
      </c>
      <c r="AM1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1!$E:$E"")=$B120) *
        (IMPORTRANGE(""https://docs.google.com/spreadsheets/d/161aHT6vVT3SLneTKD19N5qVWtnj_jIT8CSsOmUVKmaA/e"&amp;"dit?gid=1761053510"",
          ""Haris_Form responses 1!$AQ:$AQ"")=2)
      ),
      1
    ),
    ""0""
  ),
  ""Form not found""
)
"),"0")</f>
        <v>0</v>
      </c>
      <c r="AN1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1!$E:$E"")=$B120) *
        (IMPORTRANGE(""https://docs.google.com/spreadsheets/d/161aHT6vVT3SLneTKD19N5qVWtnj_jIT8CSsOmUVKmaA/e"&amp;"dit?gid=1761053510"",
          ""Haris_Form responses 1!$AQ:$AQ"")=3)
      ),
      1
    ),
    ""0""
  ),
  ""Form not found""
)
"),"0")</f>
        <v>0</v>
      </c>
      <c r="AO1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1!$E:$E"")=$B120) *
        (IMPORTRANGE(""https://docs.google.com/spreadsheets/d/161aHT6vVT3SLneTKD19N5qVWtnj_jIT8CSsOmUVKmaA/e"&amp;"dit?gid=1761053510"",
          ""Haris_Form responses 1!$AQ:$AQ"")=4)
      ),
      1
    ),
    ""0""
  ),
  ""Form not found""
)
"),"Form not found")</f>
        <v>Form not found</v>
      </c>
      <c r="AP1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1!$E:$E"")=$B120) *
        (IMPORTRANGE(""https://docs.google.com/spreadsheets/d/161aHT6vVT3SLneTKD19N5qVWtnj_jIT8CSsOmUVKmaA/e"&amp;"dit?gid=1761053510"",
          ""Haris_Form responses 1!$AQ:$AQ"")=5)
      ),
      1
    ),
    ""0""
  ),
  ""Form not found""
)
"),"Form not found")</f>
        <v>Form not found</v>
      </c>
      <c r="AQ1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1!$E:$E"")=$B120) *
        (IMPORTRANGE(""https://docs.google.com/spreadsheets/d/161aHT6vVT3SLneTKD19N5qVWtnj_jIT8CSsOmUVKmaA/e"&amp;"dit?gid=1761053510"",
          ""Haris_Form responses 1!$AQ:$AQ"")=6)
      ),
      1
    ),
    ""0""
  ),
  ""Form not found""
)
"),"Form not found")</f>
        <v>Form not found</v>
      </c>
      <c r="AR1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1!$E:$E"")=$B120) *
        (IMPORTRANGE(""https://docs.google.com/spreadsheets/d/161aHT6vVT3SLneTKD19N5qVWtnj_jIT8CSsOmUVKmaA/e"&amp;"dit?gid=1761053510"",
          ""Haris_Form responses 1!$AQ:$AQ"")=1)
      ),
      1
    ),
    ""0""
  ),
  ""Form not found""
)
"),"0")</f>
        <v>0</v>
      </c>
      <c r="AS1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1!$E:$E"")=$B120) *
        (IMPORTRANGE(""https://docs.google.com/spreadsheets/d/161aHT6vVT3SLneTKD19N5qVWtnj_jIT8CSsOmUVKmaA/e"&amp;"dit?gid=1761053510"",
          ""Haris_Form responses 1!$AQ:$AQ"")=2)
      ),
      1
    ),
    ""0""
  ),
  ""Form not found""
)
"),"0")</f>
        <v>0</v>
      </c>
      <c r="AT1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1!$E:$E"")=$B120) *
        (IMPORTRANGE(""https://docs.google.com/spreadsheets/d/161aHT6vVT3SLneTKD19N5qVWtnj_jIT8CSsOmUVKmaA/e"&amp;"dit?gid=1761053510"",
          ""Haris_Form responses 1!$AQ:$AQ"")=3)
      ),
      1
    ),
    ""0""
  ),
  ""Form not found""
)
"),"0")</f>
        <v>0</v>
      </c>
      <c r="AU1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1!$E:$E"")=$B120) *
        (IMPORTRANGE(""https://docs.google.com/spreadsheets/d/161aHT6vVT3SLneTKD19N5qVWtnj_jIT8CSsOmUVKmaA/e"&amp;"dit?gid=1761053510"",
          ""Haris_Form responses 1!$AQ:$AQ"")=4)
      ),
      1
    ),
    ""0""
  ),
  ""Form not found""
)
"),"Form not found")</f>
        <v>Form not found</v>
      </c>
      <c r="AV1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1!$E:$E"")=$B120) *
        (IMPORTRANGE(""https://docs.google.com/spreadsheets/d/161aHT6vVT3SLneTKD19N5qVWtnj_jIT8CSsOmUVKmaA/e"&amp;"dit?gid=1761053510"",
          ""Haris_Form responses 1!$AQ:$AQ"")=5)
      ),
      1
    ),
    ""0""
  ),
  ""Form not found""
)
"),"Form not found")</f>
        <v>Form not found</v>
      </c>
      <c r="AW1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1!$E:$E"")=$B120) *
        (IMPORTRANGE(""https://docs.google.com/spreadsheets/d/161aHT6vVT3SLneTKD19N5qVWtnj_jIT8CSsOmUVKmaA/e"&amp;"dit?gid=1761053510"",
          ""Haris_Form responses 1!$AQ:$AQ"")=6)
      ),
      1
    ),
    ""0""
  ),
  ""Form not found""
)
"),"Form not found")</f>
        <v>Form not found</v>
      </c>
      <c r="AX1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1!$E:$E"")=$B120) *
        (IMPORTRANGE(""https://docs.google.com/spreadsheets/d/161aHT6vVT3SLneTKD19N5qVWtnj_jIT8CSsOmUVKmaA/e"&amp;"dit?gid=1761053510"",
          ""Haris_Form responses 1!$AQ:$AQ"")=1)
      ),
      1
    ),
    ""0""
  ),
  ""Form not found""
)
"),"0")</f>
        <v>0</v>
      </c>
      <c r="AY1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1!$E:$E"")=$B120) *
        (IMPORTRANGE(""https://docs.google.com/spreadsheets/d/161aHT6vVT3SLneTKD19N5qVWtnj_jIT8CSsOmUVKmaA/e"&amp;"dit?gid=1761053510"",
          ""Haris_Form responses 1!$AQ:$AQ"")=2)
      ),
      1
    ),
    ""0""
  ),
  ""Form not found""
)
"),"0")</f>
        <v>0</v>
      </c>
      <c r="AZ1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1!$E:$E"")=$B120) *
        (IMPORTRANGE(""https://docs.google.com/spreadsheets/d/161aHT6vVT3SLneTKD19N5qVWtnj_jIT8CSsOmUVKmaA/e"&amp;"dit?gid=1761053510"",
          ""Haris_Form responses 1!$AQ:$AQ"")=3)
      ),
      1
    ),
    ""0""
  ),
  ""Form not found""
)
"),"0")</f>
        <v>0</v>
      </c>
      <c r="BA1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1!$E:$E"")=$B120) *
        (IMPORTRANGE(""https://docs.google.com/spreadsheets/d/161aHT6vVT3SLneTKD19N5qVWtnj_jIT8CSsOmUVKmaA/e"&amp;"dit?gid=1761053510"",
          ""Haris_Form responses 1!$AQ:$AQ"")=4)
      ),
      1
    ),
    ""0""
  ),
  ""Form not found""
)
"),"Form not found")</f>
        <v>Form not found</v>
      </c>
      <c r="BB1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1!$E:$E"")=$B120) *
        (IMPORTRANGE(""https://docs.google.com/spreadsheets/d/161aHT6vVT3SLneTKD19N5qVWtnj_jIT8CSsOmUVKmaA/e"&amp;"dit?gid=1761053510"",
          ""Haris_Form responses 1!$AQ:$AQ"")=5)
      ),
      1
    ),
    ""0""
  ),
  ""Form not found""
)
"),"Form not found")</f>
        <v>Form not found</v>
      </c>
      <c r="BC1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1!$E:$E"")=$B120) *
        (IMPORTRANGE(""https://docs.google.com/spreadsheets/d/161aHT6vVT3SLneTKD19N5qVWtnj_jIT8CSsOmUVKmaA/e"&amp;"dit?gid=1761053510"",
          ""Haris_Form responses 1!$AQ:$AQ"")=6)
      ),
      1
    ),
    ""0""
  ),
  ""Form not found""
)
"),"Form not found")</f>
        <v>Form not found</v>
      </c>
      <c r="BD120" s="293"/>
    </row>
    <row r="121">
      <c r="A121" s="283" t="str">
        <f>IFERROR(__xludf.DUMMYFUNCTION("VLOOKUP($B121,IMPORTRANGE(""https://docs.google.com/spreadsheets/d/1VNXDITjs75AcgdBSW27oL1VZH31udDprJSsBcE5xlp4/edit?gid=1551188038#gid=1551188038"", ""Sheet9!$B:$E""),2,false)"),"Sargodha")</f>
        <v>Sargodha</v>
      </c>
      <c r="B121" s="283" t="s">
        <v>4572</v>
      </c>
      <c r="C121" s="284" t="str">
        <f>IFERROR(__xludf.DUMMYFUNCTION("VLOOKUP(TRIM($B121), IMPORTRANGE(""https://docs.google.com/spreadsheets/d/1aSOrU4PTpuBZqfitKaH1Rfww6-YOiNCKoBpPl8XBHaw/edit?gid=0#gid=0"", ""sheet3!$B:$C""), 2, FALSE)
"),"Jamia Masjid Zia Muzam Abaad Kot Mumin")</f>
        <v>Jamia Masjid Zia Muzam Abaad Kot Mumin</v>
      </c>
      <c r="D121" s="284" t="str">
        <f>IFERROR(__xludf.DUMMYFUNCTION("IFERROR(
  INDEX(
    FILTER(
      IMPORTRANGE(""1aSOrU4PTpuBZqfitKaH1Rfww6-YOiNCKoBpPl8XBHaw/edit?gid=0#gid=0"",""Sheet1!G:G""),
      IMPORTRANGE(""1aSOrU4PTpuBZqfitKaH1Rfww6-YOiNCKoBpPl8XBHaw/edit?gid=0#gid=0"",""Sheet1!C:C"")=$B121
    ),
    1
  ),
"&amp;"  ""Not Found""
)"),"Community Secular Info Share")</f>
        <v>Community Secular Info Share</v>
      </c>
      <c r="E121" s="284" t="str">
        <f>VLOOKUP(B121,'Juma Recording forms'!A:E,5,false)</f>
        <v>Jamia masjid zia </v>
      </c>
      <c r="F121" s="284" t="str">
        <f>IFERROR(__xludf.DUMMYFUNCTION("IFERROR(
  INDEX(
    FILTER(
      IMPORTRANGE(""1Cxrhp3-_-HS7v9uuqQliiIfrmMP4VaFoDNDWyUFy2J8/edit?gid=0#gid=0"",""Sheet1!Q:Q""),
      IMPORTRANGE(""1Cxrhp3-_-HS7v9uuqQliiIfrmMP4VaFoDNDWyUFy2J8/edit?gid=0#gid=0"",""Sheet1!K:K"")=$B121
    ),
    1
  ),
"&amp;"  ""Not Found""
)"),"Qari Muhammad Nawaz ")</f>
        <v>Qari Muhammad Nawaz </v>
      </c>
      <c r="G121" s="284">
        <v>1932.0</v>
      </c>
      <c r="H121" s="284"/>
      <c r="I121" s="285"/>
      <c r="J121" s="286">
        <v>1.0</v>
      </c>
      <c r="K121" s="287" t="str">
        <f>VLOOKUP($B121,'Mosque Locations'!$A:$E,3,FALSE)
</f>
        <v>https://www.google.com/maps/place/32%C2%B009'14.9%22N+72%C2%B055'13.3%22E/@32.1541443,72.9177742,17z/data=!3m1!4b1!4m4!3m3!8m2!3d32.1541443!4d72.9203491?entry=ttu&amp;g_ep=EgoyMDI0MTAxNi4wIKXMDSoASAFQAw%3D%3D</v>
      </c>
      <c r="L121" s="286">
        <f>VLOOKUP($B121,'Mosque Locations'!$A:$E,4,FALSE)
</f>
        <v>32.15414</v>
      </c>
      <c r="M121" s="286">
        <f>VLOOKUP($B121,'Mosque Locations'!$A:$E,5,false)</f>
        <v>72.92035</v>
      </c>
      <c r="N121" s="288"/>
      <c r="O121" s="288"/>
      <c r="P121" s="288"/>
      <c r="Q121" s="289" t="str">
        <f>IFERROR(__xludf.DUMMYFUNCTION("IFERROR(
  INDEX(
    FILTER(
      IMPORTRANGE(""1DccNxjBgurEr0ABkI_rBagJT5phB5HaHG5N_mTm_BiA/edit?gid=1382299152#gid=1382299152"",""Form Responses 1!T:T""),
      IMPORTRANGE(""1DccNxjBgurEr0ABkI_rBagJT5phB5HaHG5N_mTm_BiA/edit?gid=1382299152#gid=1382299"&amp;"152"",""Form Responses 1!E:E"")=$B121
    ),
    1
  ),
  ""Not Found""
)"),"https://drive.google.com/open?id=16IMlOm6xS4rbWeuI7gI-CAbkhIND6wac")</f>
        <v>https://drive.google.com/open?id=16IMlOm6xS4rbWeuI7gI-CAbkhIND6wac</v>
      </c>
      <c r="R121" s="289" t="str">
        <f>IFERROR(__xludf.DUMMYFUNCTION("IFERROR(
  INDEX(
    FILTER(
      IMPORTRANGE(""1DccNxjBgurEr0ABkI_rBagJT5phB5HaHG5N_mTm_BiA/edit?gid=1382299152#gid=1382299152"",""Form Responses 1!S:S""),
      IMPORTRANGE(""1DccNxjBgurEr0ABkI_rBagJT5phB5HaHG5N_mTm_BiA/edit?gid=1382299152#gid=1382299"&amp;"152"",""Form Responses 1!E:E"")=$B121
    ),
    1
  ),
  ""Not Found""
)"),"https://drive.google.com/open?id=1Pa8jxSiNSNHvV8796frRZPauP5q6VoXH")</f>
        <v>https://drive.google.com/open?id=1Pa8jxSiNSNHvV8796frRZPauP5q6VoXH</v>
      </c>
      <c r="S121" s="285"/>
      <c r="T121" s="290" t="str">
        <f>VLOOKUP($B121,'Master Tracker'!$D:$E,2,false)</f>
        <v>https://drive.google.com/open?id=1qv_81oe9RRwO7lbEs6MW27W-z-_uEyvp</v>
      </c>
      <c r="U121" s="291" t="str">
        <f>VLOOKUP($B121,'Master Tracker'!$D:$T,4,FALSE)
</f>
        <v>https://drive.google.com/open?id=1c9diIwVM5mp0luNbOLMc-WEjvSQe-5Ks</v>
      </c>
      <c r="V121" s="290" t="str">
        <f>VLOOKUP($B121,'Master Tracker'!$D:$T,5,false)</f>
        <v>https://drive.google.com/open?id=1Qd6E84zvwsJHC7Q8JZvencSNXxA9P5gL</v>
      </c>
      <c r="W121" s="291" t="str">
        <f>VLOOKUP($B121,'Master Tracker'!$D:$T,7,false)</f>
        <v>https://drive.google.com/open?id=1azBWvJrkLxUXjsNyXa2T1-ZzWgRBuTUb</v>
      </c>
      <c r="X121" s="290" t="str">
        <f>VLOOKUP($B121,'Master Tracker'!$D:$T,8,false)</f>
        <v>https://drive.google.com/open?id=1uQZmplAeW_khsU3rTwrJzv3YRIshkb_Z</v>
      </c>
      <c r="Y121" s="291" t="str">
        <f>VLOOKUP($B121,'Master Tracker'!$D:$T,10,false)</f>
        <v>https://drive.google.com/open?id=181_DY4_b-IpoDQ8jQtHjBdxSyztv0ZZW</v>
      </c>
      <c r="Z121" s="284" t="str">
        <f>VLOOKUP($B121,'Master Tracker'!$D:$T,11,false)</f>
        <v>Not Found</v>
      </c>
      <c r="AA121" s="292" t="str">
        <f>VLOOKUP($B121,'Master Tracker'!$D:$T,13,false)</f>
        <v>Not Found</v>
      </c>
      <c r="AB121" s="284" t="str">
        <f>VLOOKUP($B121,'Master Tracker'!$D:$T,14,false)</f>
        <v>Not Found</v>
      </c>
      <c r="AC121" s="292" t="str">
        <f>VLOOKUP($B121,'Master Tracker'!$D:$T,16,false)</f>
        <v>Not Found</v>
      </c>
      <c r="AD121" s="292" t="str">
        <f>VLOOKUP($B121,'Master Tracker'!$D:$T,17,false)</f>
        <v>Not Found</v>
      </c>
      <c r="AE121" s="292" t="str">
        <f>VLOOKUP($B121,'Master Tracker'!$D:$V,19,false)</f>
        <v>Not Found</v>
      </c>
      <c r="AF121" s="292">
        <f>IFERROR(__xludf.DUMMYFUNCTION("IFERROR(
  INDEX(
    FILTER(
      'Juma Recording forms'!$G:$G,
      TRIM('Juma Recording forms'!$F:$F) = TRIM($B121),
      'Juma Recording forms'!$AA:$AA = 1
    ),
    1
  ),
  ""Not Found""
)"),145.0)</f>
        <v>145</v>
      </c>
      <c r="AG121" s="292">
        <f>IFERROR(__xludf.DUMMYFUNCTION("IFERROR(
  INDEX(
    FILTER(
      'Juma Recording forms'!$G:$G,
      TRIM('Juma Recording forms'!$F:$F) = TRIM($B121),
      'Juma Recording forms'!$AA:$AA = 2
    ),
    1
  ),
  ""Not Found""
)"),150.0)</f>
        <v>150</v>
      </c>
      <c r="AH121" s="292">
        <f>IFERROR(__xludf.DUMMYFUNCTION("IFERROR(
  INDEX(
    FILTER(
      'Juma Recording forms'!$G:$G,
      TRIM('Juma Recording forms'!$F:$F) = TRIM($B121),
      'Juma Recording forms'!$AA:$AA = 3
    ),
    1
  ),
  ""Not Found""
)"),148.0)</f>
        <v>148</v>
      </c>
      <c r="AI121" s="292" t="str">
        <f>IFERROR(__xludf.DUMMYFUNCTION("IFERROR(
  INDEX(
    FILTER(
      'Juma Recording forms'!$G:$G,
      TRIM('Juma Recording forms'!$F:$F) = TRIM($B121),
      'Juma Recording forms'!$AA:$AA = 4
    ),
    1
  ),
  ""Not Found""
)"),"Not Found")</f>
        <v>Not Found</v>
      </c>
      <c r="AJ121" s="292" t="str">
        <f>IFERROR(__xludf.DUMMYFUNCTION("IFERROR(
  INDEX(
    FILTER(
      'Juma Recording forms'!$G:$G,
      TRIM('Juma Recording forms'!$F:$F) = TRIM($B121),
      'Juma Recording forms'!$AA:$AA = 5
    ),
    1
  ),
  ""Not Found""
)"),"Not Found")</f>
        <v>Not Found</v>
      </c>
      <c r="AK121" s="292" t="str">
        <f>IFERROR(__xludf.DUMMYFUNCTION("IFERROR(
  INDEX(
    FILTER(
      'Juma Recording forms'!$G:$G,
      TRIM('Juma Recording forms'!$F:$F) = TRIM($B121),
      'Juma Recording forms'!$AA:$AA = 6
    ),
    1
  ),
  ""Not Found""
)"),"Not Found")</f>
        <v>Not Found</v>
      </c>
      <c r="AL1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1!$E:$E"")=$B121) *
        (IMPORTRANGE(""https://docs.google.com/spreadsheets/d/161aHT6vVT3SLneTKD19N5qVWtnj_jIT8CSsOmUVKmaA/e"&amp;"dit?gid=1761053510"",
          ""Haris_Form responses 1!$AQ:$AQ"")=1)
      ),
      1
    ),
    ""0""
  ),
  ""Form not found""
)
"),"10")</f>
        <v>10</v>
      </c>
      <c r="AM1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1!$E:$E"")=$B121) *
        (IMPORTRANGE(""https://docs.google.com/spreadsheets/d/161aHT6vVT3SLneTKD19N5qVWtnj_jIT8CSsOmUVKmaA/e"&amp;"dit?gid=1761053510"",
          ""Haris_Form responses 1!$AQ:$AQ"")=2)
      ),
      1
    ),
    ""0""
  ),
  ""Form not found""
)
"),"10")</f>
        <v>10</v>
      </c>
      <c r="AN1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1!$E:$E"")=$B121) *
        (IMPORTRANGE(""https://docs.google.com/spreadsheets/d/161aHT6vVT3SLneTKD19N5qVWtnj_jIT8CSsOmUVKmaA/e"&amp;"dit?gid=1761053510"",
          ""Haris_Form responses 1!$AQ:$AQ"")=3)
      ),
      1
    ),
    ""0""
  ),
  ""Form not found""
)
"),"0")</f>
        <v>0</v>
      </c>
      <c r="AO1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1!$E:$E"")=$B121) *
        (IMPORTRANGE(""https://docs.google.com/spreadsheets/d/161aHT6vVT3SLneTKD19N5qVWtnj_jIT8CSsOmUVKmaA/e"&amp;"dit?gid=1761053510"",
          ""Haris_Form responses 1!$AQ:$AQ"")=4)
      ),
      1
    ),
    ""0""
  ),
  ""Form not found""
)
"),"Form not found")</f>
        <v>Form not found</v>
      </c>
      <c r="AP1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1!$E:$E"")=$B121) *
        (IMPORTRANGE(""https://docs.google.com/spreadsheets/d/161aHT6vVT3SLneTKD19N5qVWtnj_jIT8CSsOmUVKmaA/e"&amp;"dit?gid=1761053510"",
          ""Haris_Form responses 1!$AQ:$AQ"")=5)
      ),
      1
    ),
    ""0""
  ),
  ""Form not found""
)
"),"Form not found")</f>
        <v>Form not found</v>
      </c>
      <c r="AQ1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1!$E:$E"")=$B121) *
        (IMPORTRANGE(""https://docs.google.com/spreadsheets/d/161aHT6vVT3SLneTKD19N5qVWtnj_jIT8CSsOmUVKmaA/e"&amp;"dit?gid=1761053510"",
          ""Haris_Form responses 1!$AQ:$AQ"")=6)
      ),
      1
    ),
    ""0""
  ),
  ""Form not found""
)
"),"Form not found")</f>
        <v>Form not found</v>
      </c>
      <c r="AR1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1!$E:$E"")=$B121) *
        (IMPORTRANGE(""https://docs.google.com/spreadsheets/d/161aHT6vVT3SLneTKD19N5qVWtnj_jIT8CSsOmUVKmaA/e"&amp;"dit?gid=1761053510"",
          ""Haris_Form responses 1!$AQ:$AQ"")=1)
      ),
      1
    ),
    ""0""
  ),
  ""Form not found""
)
"),"10")</f>
        <v>10</v>
      </c>
      <c r="AS1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1!$E:$E"")=$B121) *
        (IMPORTRANGE(""https://docs.google.com/spreadsheets/d/161aHT6vVT3SLneTKD19N5qVWtnj_jIT8CSsOmUVKmaA/e"&amp;"dit?gid=1761053510"",
          ""Haris_Form responses 1!$AQ:$AQ"")=2)
      ),
      1
    ),
    ""0""
  ),
  ""Form not found""
)
"),"10")</f>
        <v>10</v>
      </c>
      <c r="AT1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1!$E:$E"")=$B121) *
        (IMPORTRANGE(""https://docs.google.com/spreadsheets/d/161aHT6vVT3SLneTKD19N5qVWtnj_jIT8CSsOmUVKmaA/e"&amp;"dit?gid=1761053510"",
          ""Haris_Form responses 1!$AQ:$AQ"")=3)
      ),
      1
    ),
    ""0""
  ),
  ""Form not found""
)
"),"0")</f>
        <v>0</v>
      </c>
      <c r="AU1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1!$E:$E"")=$B121) *
        (IMPORTRANGE(""https://docs.google.com/spreadsheets/d/161aHT6vVT3SLneTKD19N5qVWtnj_jIT8CSsOmUVKmaA/e"&amp;"dit?gid=1761053510"",
          ""Haris_Form responses 1!$AQ:$AQ"")=4)
      ),
      1
    ),
    ""0""
  ),
  ""Form not found""
)
"),"Form not found")</f>
        <v>Form not found</v>
      </c>
      <c r="AV1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1!$E:$E"")=$B121) *
        (IMPORTRANGE(""https://docs.google.com/spreadsheets/d/161aHT6vVT3SLneTKD19N5qVWtnj_jIT8CSsOmUVKmaA/e"&amp;"dit?gid=1761053510"",
          ""Haris_Form responses 1!$AQ:$AQ"")=5)
      ),
      1
    ),
    ""0""
  ),
  ""Form not found""
)
"),"Form not found")</f>
        <v>Form not found</v>
      </c>
      <c r="AW1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1!$E:$E"")=$B121) *
        (IMPORTRANGE(""https://docs.google.com/spreadsheets/d/161aHT6vVT3SLneTKD19N5qVWtnj_jIT8CSsOmUVKmaA/e"&amp;"dit?gid=1761053510"",
          ""Haris_Form responses 1!$AQ:$AQ"")=6)
      ),
      1
    ),
    ""0""
  ),
  ""Form not found""
)
"),"Form not found")</f>
        <v>Form not found</v>
      </c>
      <c r="AX1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1!$E:$E"")=$B121) *
        (IMPORTRANGE(""https://docs.google.com/spreadsheets/d/161aHT6vVT3SLneTKD19N5qVWtnj_jIT8CSsOmUVKmaA/e"&amp;"dit?gid=1761053510"",
          ""Haris_Form responses 1!$AQ:$AQ"")=1)
      ),
      1
    ),
    ""0""
  ),
  ""Form not found""
)
"),"0")</f>
        <v>0</v>
      </c>
      <c r="AY1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1!$E:$E"")=$B121) *
        (IMPORTRANGE(""https://docs.google.com/spreadsheets/d/161aHT6vVT3SLneTKD19N5qVWtnj_jIT8CSsOmUVKmaA/e"&amp;"dit?gid=1761053510"",
          ""Haris_Form responses 1!$AQ:$AQ"")=2)
      ),
      1
    ),
    ""0""
  ),
  ""Form not found""
)
"),"0")</f>
        <v>0</v>
      </c>
      <c r="AZ1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1!$E:$E"")=$B121) *
        (IMPORTRANGE(""https://docs.google.com/spreadsheets/d/161aHT6vVT3SLneTKD19N5qVWtnj_jIT8CSsOmUVKmaA/e"&amp;"dit?gid=1761053510"",
          ""Haris_Form responses 1!$AQ:$AQ"")=3)
      ),
      1
    ),
    ""0""
  ),
  ""Form not found""
)
"),"0")</f>
        <v>0</v>
      </c>
      <c r="BA1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1!$E:$E"")=$B121) *
        (IMPORTRANGE(""https://docs.google.com/spreadsheets/d/161aHT6vVT3SLneTKD19N5qVWtnj_jIT8CSsOmUVKmaA/e"&amp;"dit?gid=1761053510"",
          ""Haris_Form responses 1!$AQ:$AQ"")=4)
      ),
      1
    ),
    ""0""
  ),
  ""Form not found""
)
"),"Form not found")</f>
        <v>Form not found</v>
      </c>
      <c r="BB1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1!$E:$E"")=$B121) *
        (IMPORTRANGE(""https://docs.google.com/spreadsheets/d/161aHT6vVT3SLneTKD19N5qVWtnj_jIT8CSsOmUVKmaA/e"&amp;"dit?gid=1761053510"",
          ""Haris_Form responses 1!$AQ:$AQ"")=5)
      ),
      1
    ),
    ""0""
  ),
  ""Form not found""
)
"),"Form not found")</f>
        <v>Form not found</v>
      </c>
      <c r="BC1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1!$E:$E"")=$B121) *
        (IMPORTRANGE(""https://docs.google.com/spreadsheets/d/161aHT6vVT3SLneTKD19N5qVWtnj_jIT8CSsOmUVKmaA/e"&amp;"dit?gid=1761053510"",
          ""Haris_Form responses 1!$AQ:$AQ"")=6)
      ),
      1
    ),
    ""0""
  ),
  ""Form not found""
)
"),"Form not found")</f>
        <v>Form not found</v>
      </c>
      <c r="BD121" s="293"/>
    </row>
    <row r="122">
      <c r="A122" s="283" t="str">
        <f>IFERROR(__xludf.DUMMYFUNCTION("VLOOKUP($B122,IMPORTRANGE(""https://docs.google.com/spreadsheets/d/1VNXDITjs75AcgdBSW27oL1VZH31udDprJSsBcE5xlp4/edit?gid=1551188038#gid=1551188038"", ""Sheet9!$B:$E""),2,false)"),"Sargodha")</f>
        <v>Sargodha</v>
      </c>
      <c r="B122" s="283" t="s">
        <v>4573</v>
      </c>
      <c r="C122" s="284" t="str">
        <f>IFERROR(__xludf.DUMMYFUNCTION("VLOOKUP(TRIM($B122), IMPORTRANGE(""https://docs.google.com/spreadsheets/d/1aSOrU4PTpuBZqfitKaH1Rfww6-YOiNCKoBpPl8XBHaw/edit?gid=0#gid=0"", ""sheet3!$B:$C""), 2, FALSE)
"),"Jamia Masjid Ashrafia Gol Chowk Sargodha")</f>
        <v>Jamia Masjid Ashrafia Gol Chowk Sargodha</v>
      </c>
      <c r="D122" s="284" t="str">
        <f>IFERROR(__xludf.DUMMYFUNCTION("IFERROR(
  INDEX(
    FILTER(
      IMPORTRANGE(""1aSOrU4PTpuBZqfitKaH1Rfww6-YOiNCKoBpPl8XBHaw/edit?gid=0#gid=0"",""Sheet1!G:G""),
      IMPORTRANGE(""1aSOrU4PTpuBZqfitKaH1Rfww6-YOiNCKoBpPl8XBHaw/edit?gid=0#gid=0"",""Sheet1!C:C"")=$B122
    ),
    1
  ),
"&amp;"  ""Not Found""
)"),"Women Religious No Info Share")</f>
        <v>Women Religious No Info Share</v>
      </c>
      <c r="E122" s="284" t="str">
        <f>VLOOKUP(B122,'Juma Recording forms'!A:E,5,false)</f>
        <v>Jamia masjid ashrafiya gol chok</v>
      </c>
      <c r="F122" s="284" t="str">
        <f>IFERROR(__xludf.DUMMYFUNCTION("IFERROR(
  INDEX(
    FILTER(
      IMPORTRANGE(""1Cxrhp3-_-HS7v9uuqQliiIfrmMP4VaFoDNDWyUFy2J8/edit?gid=0#gid=0"",""Sheet1!Q:Q""),
      IMPORTRANGE(""1Cxrhp3-_-HS7v9uuqQliiIfrmMP4VaFoDNDWyUFy2J8/edit?gid=0#gid=0"",""Sheet1!K:K"")=$B122
    ),
    1
  ),
"&amp;"  ""Not Found""
)"),"Hafiz abdul wahid")</f>
        <v>Hafiz abdul wahid</v>
      </c>
      <c r="G122" s="284">
        <v>1956.0</v>
      </c>
      <c r="H122" s="284"/>
      <c r="I122" s="285"/>
      <c r="J122" s="286">
        <v>2.0</v>
      </c>
      <c r="K122" s="287" t="str">
        <f>VLOOKUP($B122,'Mosque Locations'!$A:$E,3,FALSE)
</f>
        <v>https://maps.google.com/?q=32.0872034,72.6633718</v>
      </c>
      <c r="L122" s="286">
        <f>VLOOKUP($B122,'Mosque Locations'!$A:$E,4,FALSE)
</f>
        <v>32.0872</v>
      </c>
      <c r="M122" s="286">
        <f>VLOOKUP($B122,'Mosque Locations'!$A:$E,5,false)</f>
        <v>72.66337</v>
      </c>
      <c r="N122" s="288"/>
      <c r="O122" s="288"/>
      <c r="P122" s="288"/>
      <c r="Q122" s="289" t="str">
        <f>IFERROR(__xludf.DUMMYFUNCTION("IFERROR(
  INDEX(
    FILTER(
      IMPORTRANGE(""1DccNxjBgurEr0ABkI_rBagJT5phB5HaHG5N_mTm_BiA/edit?gid=1382299152#gid=1382299152"",""Form Responses 1!T:T""),
      IMPORTRANGE(""1DccNxjBgurEr0ABkI_rBagJT5phB5HaHG5N_mTm_BiA/edit?gid=1382299152#gid=1382299"&amp;"152"",""Form Responses 1!E:E"")=$B122
    ),
    1
  ),
  ""Not Found""
)"),"https://drive.google.com/open?id=1YVrdlw2GkZb-JoJPgVLelwWPLW5A_BzD")</f>
        <v>https://drive.google.com/open?id=1YVrdlw2GkZb-JoJPgVLelwWPLW5A_BzD</v>
      </c>
      <c r="R122" s="289" t="str">
        <f>IFERROR(__xludf.DUMMYFUNCTION("IFERROR(
  INDEX(
    FILTER(
      IMPORTRANGE(""1DccNxjBgurEr0ABkI_rBagJT5phB5HaHG5N_mTm_BiA/edit?gid=1382299152#gid=1382299152"",""Form Responses 1!S:S""),
      IMPORTRANGE(""1DccNxjBgurEr0ABkI_rBagJT5phB5HaHG5N_mTm_BiA/edit?gid=1382299152#gid=1382299"&amp;"152"",""Form Responses 1!E:E"")=$B122
    ),
    1
  ),
  ""Not Found""
)"),"https://drive.google.com/open?id=1GLzbff-eXsn9VzdYCxBf_vADZC9gaCdD")</f>
        <v>https://drive.google.com/open?id=1GLzbff-eXsn9VzdYCxBf_vADZC9gaCdD</v>
      </c>
      <c r="S122" s="285"/>
      <c r="T122" s="290" t="str">
        <f>VLOOKUP($B122,'Master Tracker'!$D:$E,2,false)</f>
        <v>https://drive.google.com/open?id=1twylK2pnxlAIYg9y4grlhYKeO1XawihA</v>
      </c>
      <c r="U122" s="291" t="str">
        <f>VLOOKUP($B122,'Master Tracker'!$D:$T,4,FALSE)
</f>
        <v>https://drive.google.com/open?id=1w_KQjZwrz_zPoIVZHM9H94Ju2E_1PvP1</v>
      </c>
      <c r="V122" s="290" t="str">
        <f>VLOOKUP($B122,'Master Tracker'!$D:$T,5,false)</f>
        <v>https://drive.google.com/open?id=1lcTbEuu-XsOQ-2mujiVeRQXdweOkzDSN</v>
      </c>
      <c r="W122" s="291" t="str">
        <f>VLOOKUP($B122,'Master Tracker'!$D:$T,7,false)</f>
        <v>https://drive.google.com/open?id=1fQkcEBSoxPPyXYiY3a1Za6N14iXGu14u</v>
      </c>
      <c r="X122" s="290" t="str">
        <f>VLOOKUP($B122,'Master Tracker'!$D:$T,8,false)</f>
        <v>https://drive.google.com/open?id=1FDCjAnEm3REAFI9jvsUCZ1V-latlVLMC</v>
      </c>
      <c r="Y122" s="291" t="str">
        <f>VLOOKUP($B122,'Master Tracker'!$D:$T,10,false)</f>
        <v>https://drive.google.com/open?id=1qXdeYwACLUFq7LjAn_JRR-O49n-pak_U</v>
      </c>
      <c r="Z122" s="284" t="str">
        <f>VLOOKUP($B122,'Master Tracker'!$D:$T,11,false)</f>
        <v>Not Found</v>
      </c>
      <c r="AA122" s="292" t="str">
        <f>VLOOKUP($B122,'Master Tracker'!$D:$T,13,false)</f>
        <v>Not Found</v>
      </c>
      <c r="AB122" s="284" t="str">
        <f>VLOOKUP($B122,'Master Tracker'!$D:$T,14,false)</f>
        <v>Not Found</v>
      </c>
      <c r="AC122" s="292" t="str">
        <f>VLOOKUP($B122,'Master Tracker'!$D:$T,16,false)</f>
        <v>Not Found</v>
      </c>
      <c r="AD122" s="292" t="str">
        <f>VLOOKUP($B122,'Master Tracker'!$D:$T,17,false)</f>
        <v>Not Found</v>
      </c>
      <c r="AE122" s="292" t="str">
        <f>VLOOKUP($B122,'Master Tracker'!$D:$V,19,false)</f>
        <v>Not Found</v>
      </c>
      <c r="AF122" s="292">
        <f>IFERROR(__xludf.DUMMYFUNCTION("IFERROR(
  INDEX(
    FILTER(
      'Juma Recording forms'!$G:$G,
      TRIM('Juma Recording forms'!$F:$F) = TRIM($B122),
      'Juma Recording forms'!$AA:$AA = 1
    ),
    1
  ),
  ""Not Found""
)"),775.0)</f>
        <v>775</v>
      </c>
      <c r="AG122" s="292">
        <f>IFERROR(__xludf.DUMMYFUNCTION("IFERROR(
  INDEX(
    FILTER(
      'Juma Recording forms'!$G:$G,
      TRIM('Juma Recording forms'!$F:$F) = TRIM($B122),
      'Juma Recording forms'!$AA:$AA = 2
    ),
    1
  ),
  ""Not Found""
)"),790.0)</f>
        <v>790</v>
      </c>
      <c r="AH122" s="292">
        <f>IFERROR(__xludf.DUMMYFUNCTION("IFERROR(
  INDEX(
    FILTER(
      'Juma Recording forms'!$G:$G,
      TRIM('Juma Recording forms'!$F:$F) = TRIM($B122),
      'Juma Recording forms'!$AA:$AA = 3
    ),
    1
  ),
  ""Not Found""
)"),830.0)</f>
        <v>830</v>
      </c>
      <c r="AI122" s="292" t="str">
        <f>IFERROR(__xludf.DUMMYFUNCTION("IFERROR(
  INDEX(
    FILTER(
      'Juma Recording forms'!$G:$G,
      TRIM('Juma Recording forms'!$F:$F) = TRIM($B122),
      'Juma Recording forms'!$AA:$AA = 4
    ),
    1
  ),
  ""Not Found""
)"),"Not Found")</f>
        <v>Not Found</v>
      </c>
      <c r="AJ122" s="292" t="str">
        <f>IFERROR(__xludf.DUMMYFUNCTION("IFERROR(
  INDEX(
    FILTER(
      'Juma Recording forms'!$G:$G,
      TRIM('Juma Recording forms'!$F:$F) = TRIM($B122),
      'Juma Recording forms'!$AA:$AA = 5
    ),
    1
  ),
  ""Not Found""
)"),"Not Found")</f>
        <v>Not Found</v>
      </c>
      <c r="AK122" s="292" t="str">
        <f>IFERROR(__xludf.DUMMYFUNCTION("IFERROR(
  INDEX(
    FILTER(
      'Juma Recording forms'!$G:$G,
      TRIM('Juma Recording forms'!$F:$F) = TRIM($B122),
      'Juma Recording forms'!$AA:$AA = 6
    ),
    1
  ),
  ""Not Found""
)"),"Not Found")</f>
        <v>Not Found</v>
      </c>
      <c r="AL1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1!$E:$E"")=$B122) *
        (IMPORTRANGE(""https://docs.google.com/spreadsheets/d/161aHT6vVT3SLneTKD19N5qVWtnj_jIT8CSsOmUVKmaA/e"&amp;"dit?gid=1761053510"",
          ""Haris_Form responses 1!$AQ:$AQ"")=1)
      ),
      1
    ),
    ""0""
  ),
  ""Form not found""
)
"),"10")</f>
        <v>10</v>
      </c>
      <c r="AM1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1!$E:$E"")=$B122) *
        (IMPORTRANGE(""https://docs.google.com/spreadsheets/d/161aHT6vVT3SLneTKD19N5qVWtnj_jIT8CSsOmUVKmaA/e"&amp;"dit?gid=1761053510"",
          ""Haris_Form responses 1!$AQ:$AQ"")=2)
      ),
      1
    ),
    ""0""
  ),
  ""Form not found""
)
"),"3")</f>
        <v>3</v>
      </c>
      <c r="AN1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1!$E:$E"")=$B122) *
        (IMPORTRANGE(""https://docs.google.com/spreadsheets/d/161aHT6vVT3SLneTKD19N5qVWtnj_jIT8CSsOmUVKmaA/e"&amp;"dit?gid=1761053510"",
          ""Haris_Form responses 1!$AQ:$AQ"")=3)
      ),
      1
    ),
    ""0""
  ),
  ""Form not found""
)
"),"0")</f>
        <v>0</v>
      </c>
      <c r="AO1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1!$E:$E"")=$B122) *
        (IMPORTRANGE(""https://docs.google.com/spreadsheets/d/161aHT6vVT3SLneTKD19N5qVWtnj_jIT8CSsOmUVKmaA/e"&amp;"dit?gid=1761053510"",
          ""Haris_Form responses 1!$AQ:$AQ"")=4)
      ),
      1
    ),
    ""0""
  ),
  ""Form not found""
)
"),"Form not found")</f>
        <v>Form not found</v>
      </c>
      <c r="AP1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1!$E:$E"")=$B122) *
        (IMPORTRANGE(""https://docs.google.com/spreadsheets/d/161aHT6vVT3SLneTKD19N5qVWtnj_jIT8CSsOmUVKmaA/e"&amp;"dit?gid=1761053510"",
          ""Haris_Form responses 1!$AQ:$AQ"")=5)
      ),
      1
    ),
    ""0""
  ),
  ""Form not found""
)
"),"Form not found")</f>
        <v>Form not found</v>
      </c>
      <c r="AQ1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1!$E:$E"")=$B122) *
        (IMPORTRANGE(""https://docs.google.com/spreadsheets/d/161aHT6vVT3SLneTKD19N5qVWtnj_jIT8CSsOmUVKmaA/e"&amp;"dit?gid=1761053510"",
          ""Haris_Form responses 1!$AQ:$AQ"")=6)
      ),
      1
    ),
    ""0""
  ),
  ""Form not found""
)
"),"Form not found")</f>
        <v>Form not found</v>
      </c>
      <c r="AR1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1!$E:$E"")=$B122) *
        (IMPORTRANGE(""https://docs.google.com/spreadsheets/d/161aHT6vVT3SLneTKD19N5qVWtnj_jIT8CSsOmUVKmaA/e"&amp;"dit?gid=1761053510"",
          ""Haris_Form responses 1!$AQ:$AQ"")=1)
      ),
      1
    ),
    ""0""
  ),
  ""Form not found""
)
"),"0")</f>
        <v>0</v>
      </c>
      <c r="AS1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1!$E:$E"")=$B122) *
        (IMPORTRANGE(""https://docs.google.com/spreadsheets/d/161aHT6vVT3SLneTKD19N5qVWtnj_jIT8CSsOmUVKmaA/e"&amp;"dit?gid=1761053510"",
          ""Haris_Form responses 1!$AQ:$AQ"")=2)
      ),
      1
    ),
    ""0""
  ),
  ""Form not found""
)
"),"7")</f>
        <v>7</v>
      </c>
      <c r="AT1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1!$E:$E"")=$B122) *
        (IMPORTRANGE(""https://docs.google.com/spreadsheets/d/161aHT6vVT3SLneTKD19N5qVWtnj_jIT8CSsOmUVKmaA/e"&amp;"dit?gid=1761053510"",
          ""Haris_Form responses 1!$AQ:$AQ"")=3)
      ),
      1
    ),
    ""0""
  ),
  ""Form not found""
)
"),"0")</f>
        <v>0</v>
      </c>
      <c r="AU1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1!$E:$E"")=$B122) *
        (IMPORTRANGE(""https://docs.google.com/spreadsheets/d/161aHT6vVT3SLneTKD19N5qVWtnj_jIT8CSsOmUVKmaA/e"&amp;"dit?gid=1761053510"",
          ""Haris_Form responses 1!$AQ:$AQ"")=4)
      ),
      1
    ),
    ""0""
  ),
  ""Form not found""
)
"),"Form not found")</f>
        <v>Form not found</v>
      </c>
      <c r="AV1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1!$E:$E"")=$B122) *
        (IMPORTRANGE(""https://docs.google.com/spreadsheets/d/161aHT6vVT3SLneTKD19N5qVWtnj_jIT8CSsOmUVKmaA/e"&amp;"dit?gid=1761053510"",
          ""Haris_Form responses 1!$AQ:$AQ"")=5)
      ),
      1
    ),
    ""0""
  ),
  ""Form not found""
)
"),"Form not found")</f>
        <v>Form not found</v>
      </c>
      <c r="AW1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1!$E:$E"")=$B122) *
        (IMPORTRANGE(""https://docs.google.com/spreadsheets/d/161aHT6vVT3SLneTKD19N5qVWtnj_jIT8CSsOmUVKmaA/e"&amp;"dit?gid=1761053510"",
          ""Haris_Form responses 1!$AQ:$AQ"")=6)
      ),
      1
    ),
    ""0""
  ),
  ""Form not found""
)
"),"Form not found")</f>
        <v>Form not found</v>
      </c>
      <c r="AX1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1!$E:$E"")=$B122) *
        (IMPORTRANGE(""https://docs.google.com/spreadsheets/d/161aHT6vVT3SLneTKD19N5qVWtnj_jIT8CSsOmUVKmaA/e"&amp;"dit?gid=1761053510"",
          ""Haris_Form responses 1!$AQ:$AQ"")=1)
      ),
      1
    ),
    ""0""
  ),
  ""Form not found""
)
"),"10")</f>
        <v>10</v>
      </c>
      <c r="AY1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1!$E:$E"")=$B122) *
        (IMPORTRANGE(""https://docs.google.com/spreadsheets/d/161aHT6vVT3SLneTKD19N5qVWtnj_jIT8CSsOmUVKmaA/e"&amp;"dit?gid=1761053510"",
          ""Haris_Form responses 1!$AQ:$AQ"")=2)
      ),
      1
    ),
    ""0""
  ),
  ""Form not found""
)
"),"3")</f>
        <v>3</v>
      </c>
      <c r="AZ1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1!$E:$E"")=$B122) *
        (IMPORTRANGE(""https://docs.google.com/spreadsheets/d/161aHT6vVT3SLneTKD19N5qVWtnj_jIT8CSsOmUVKmaA/e"&amp;"dit?gid=1761053510"",
          ""Haris_Form responses 1!$AQ:$AQ"")=3)
      ),
      1
    ),
    ""0""
  ),
  ""Form not found""
)
"),"0")</f>
        <v>0</v>
      </c>
      <c r="BA1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1!$E:$E"")=$B122) *
        (IMPORTRANGE(""https://docs.google.com/spreadsheets/d/161aHT6vVT3SLneTKD19N5qVWtnj_jIT8CSsOmUVKmaA/e"&amp;"dit?gid=1761053510"",
          ""Haris_Form responses 1!$AQ:$AQ"")=4)
      ),
      1
    ),
    ""0""
  ),
  ""Form not found""
)
"),"Form not found")</f>
        <v>Form not found</v>
      </c>
      <c r="BB1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1!$E:$E"")=$B122) *
        (IMPORTRANGE(""https://docs.google.com/spreadsheets/d/161aHT6vVT3SLneTKD19N5qVWtnj_jIT8CSsOmUVKmaA/e"&amp;"dit?gid=1761053510"",
          ""Haris_Form responses 1!$AQ:$AQ"")=5)
      ),
      1
    ),
    ""0""
  ),
  ""Form not found""
)
"),"Form not found")</f>
        <v>Form not found</v>
      </c>
      <c r="BC1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1!$E:$E"")=$B122) *
        (IMPORTRANGE(""https://docs.google.com/spreadsheets/d/161aHT6vVT3SLneTKD19N5qVWtnj_jIT8CSsOmUVKmaA/e"&amp;"dit?gid=1761053510"",
          ""Haris_Form responses 1!$AQ:$AQ"")=6)
      ),
      1
    ),
    ""0""
  ),
  ""Form not found""
)
"),"Form not found")</f>
        <v>Form not found</v>
      </c>
      <c r="BD122" s="293"/>
    </row>
    <row r="123">
      <c r="A123" s="283" t="str">
        <f>IFERROR(__xludf.DUMMYFUNCTION("VLOOKUP($B123,IMPORTRANGE(""https://docs.google.com/spreadsheets/d/1VNXDITjs75AcgdBSW27oL1VZH31udDprJSsBcE5xlp4/edit?gid=1551188038#gid=1551188038"", ""Sheet9!$B:$E""),2,false)"),"Sargodha")</f>
        <v>Sargodha</v>
      </c>
      <c r="B123" s="283" t="s">
        <v>2795</v>
      </c>
      <c r="C123" s="284" t="str">
        <f>IFERROR(__xludf.DUMMYFUNCTION("VLOOKUP(TRIM($B123), IMPORTRANGE(""https://docs.google.com/spreadsheets/d/1aSOrU4PTpuBZqfitKaH1Rfww6-YOiNCKoBpPl8XBHaw/edit?gid=0#gid=0"", ""sheet3!$B:$C""), 2, FALSE)
"),"Jamia Masjid Chakwali Darwaza Behra")</f>
        <v>Jamia Masjid Chakwali Darwaza Behra</v>
      </c>
      <c r="D123" s="284" t="str">
        <f>IFERROR(__xludf.DUMMYFUNCTION("IFERROR(
  INDEX(
    FILTER(
      IMPORTRANGE(""1aSOrU4PTpuBZqfitKaH1Rfww6-YOiNCKoBpPl8XBHaw/edit?gid=0#gid=0"",""Sheet1!G:G""),
      IMPORTRANGE(""1aSOrU4PTpuBZqfitKaH1Rfww6-YOiNCKoBpPl8XBHaw/edit?gid=0#gid=0"",""Sheet1!C:C"")=$B123
    ),
    1
  ),
"&amp;"  ""Not Found""
)"),"Control")</f>
        <v>Control</v>
      </c>
      <c r="E123" s="284" t="str">
        <f>VLOOKUP(B123,'Juma Recording forms'!A:E,5,false)</f>
        <v>Jamia Masjid Chakwali Darwaza Behra</v>
      </c>
      <c r="F123" s="284" t="str">
        <f>IFERROR(__xludf.DUMMYFUNCTION("IFERROR(
  INDEX(
    FILTER(
      IMPORTRANGE(""1Cxrhp3-_-HS7v9uuqQliiIfrmMP4VaFoDNDWyUFy2J8/edit?gid=0#gid=0"",""Sheet1!Q:Q""),
      IMPORTRANGE(""1Cxrhp3-_-HS7v9uuqQliiIfrmMP4VaFoDNDWyUFy2J8/edit?gid=0#gid=0"",""Sheet1!K:K"")=$B123
    ),
    1
  ),
"&amp;"  ""Not Found""
)"),"kayfait ullah")</f>
        <v>kayfait ullah</v>
      </c>
      <c r="G123" s="284">
        <v>2003.0</v>
      </c>
      <c r="H123" s="284"/>
      <c r="I123" s="285"/>
      <c r="J123" s="286">
        <v>1.0</v>
      </c>
      <c r="K123" s="287" t="str">
        <f>VLOOKUP($B123,'Mosque Locations'!$A:$E,3,FALSE)
</f>
        <v>https://www.google.com/maps/place/32%C2%B015'59.5%22N+72%C2%B054'12.2%22E/@32.2665196,72.9008033,17z/data=!3m1!4b1!4m4!3m3!8m2!3d32.2665196!4d72.9033782?entry=ttu&amp;g_ep=EgoyMDI0MTAwMS4wIKXMDSoASAFQAw%3D%3D</v>
      </c>
      <c r="L123" s="286">
        <f>VLOOKUP($B123,'Mosque Locations'!$A:$E,4,FALSE)
</f>
        <v>32.26652</v>
      </c>
      <c r="M123" s="286">
        <f>VLOOKUP($B123,'Mosque Locations'!$A:$E,5,false)</f>
        <v>72.90338</v>
      </c>
      <c r="N123" s="288"/>
      <c r="O123" s="288"/>
      <c r="P123" s="288"/>
      <c r="Q123" s="294" t="str">
        <f>IFERROR(__xludf.DUMMYFUNCTION("IFERROR(
  INDEX(
    FILTER(
      IMPORTRANGE(""1DccNxjBgurEr0ABkI_rBagJT5phB5HaHG5N_mTm_BiA/edit?gid=1382299152#gid=1382299152"",""Form Responses 1!T:T""),
      IMPORTRANGE(""1DccNxjBgurEr0ABkI_rBagJT5phB5HaHG5N_mTm_BiA/edit?gid=1382299152#gid=1382299"&amp;"152"",""Form Responses 1!E:E"")=$B123
    ),
    1
  ),
  ""Not Found""
)"),"")</f>
        <v/>
      </c>
      <c r="R123" s="294" t="str">
        <f>IFERROR(__xludf.DUMMYFUNCTION("IFERROR(
  INDEX(
    FILTER(
      IMPORTRANGE(""1DccNxjBgurEr0ABkI_rBagJT5phB5HaHG5N_mTm_BiA/edit?gid=1382299152#gid=1382299152"",""Form Responses 1!S:S""),
      IMPORTRANGE(""1DccNxjBgurEr0ABkI_rBagJT5phB5HaHG5N_mTm_BiA/edit?gid=1382299152#gid=1382299"&amp;"152"",""Form Responses 1!E:E"")=$B123
    ),
    1
  ),
  ""Not Found""
)"),"")</f>
        <v/>
      </c>
      <c r="S123" s="285"/>
      <c r="T123" s="290" t="str">
        <f>VLOOKUP($B123,'Master Tracker'!$D:$E,2,false)</f>
        <v>https://drive.google.com/file/d/1k0Ky5VCh7EcWR8q3oAvh7BFeYFD9xwjt/view?usp=sharing</v>
      </c>
      <c r="U123" s="291" t="str">
        <f>VLOOKUP($B123,'Master Tracker'!$D:$T,4,FALSE)
</f>
        <v>https://drive.google.com/open?id=1mtNqNVKg_Ke-Tk_dFRfHrOWpqfD4FBZ4</v>
      </c>
      <c r="V123" s="284" t="str">
        <f>VLOOKUP($B123,'Master Tracker'!$D:$T,5,false)</f>
        <v>Not Found</v>
      </c>
      <c r="W123" s="292" t="str">
        <f>VLOOKUP($B123,'Master Tracker'!$D:$T,7,false)</f>
        <v>Not Found</v>
      </c>
      <c r="X123" s="290" t="str">
        <f>VLOOKUP($B123,'Master Tracker'!$D:$T,8,false)</f>
        <v>https://drive.google.com/file/d/1CyADveJQLTF0cXAZPdxgYJ-4Cy7SZXYm/view?usp=sharing</v>
      </c>
      <c r="Y123" s="291" t="str">
        <f>VLOOKUP($B123,'Master Tracker'!$D:$T,10,false)</f>
        <v>https://drive.google.com/open?id=1r2PZA5-eGCP-_IH6XgkHP7R0vIch8pba</v>
      </c>
      <c r="Z123" s="284" t="str">
        <f>VLOOKUP($B123,'Master Tracker'!$D:$T,11,false)</f>
        <v>Not Found</v>
      </c>
      <c r="AA123" s="292" t="str">
        <f>VLOOKUP($B123,'Master Tracker'!$D:$T,13,false)</f>
        <v>Not Found</v>
      </c>
      <c r="AB123" s="284" t="str">
        <f>VLOOKUP($B123,'Master Tracker'!$D:$T,14,false)</f>
        <v>Not Found</v>
      </c>
      <c r="AC123" s="292" t="str">
        <f>VLOOKUP($B123,'Master Tracker'!$D:$T,16,false)</f>
        <v>Not Found</v>
      </c>
      <c r="AD123" s="292" t="str">
        <f>VLOOKUP($B123,'Master Tracker'!$D:$T,17,false)</f>
        <v>Not Found</v>
      </c>
      <c r="AE123" s="292" t="str">
        <f>VLOOKUP($B123,'Master Tracker'!$D:$V,19,false)</f>
        <v>Not Found</v>
      </c>
      <c r="AF123" s="292">
        <f>IFERROR(__xludf.DUMMYFUNCTION("IFERROR(
  INDEX(
    FILTER(
      'Juma Recording forms'!$G:$G,
      TRIM('Juma Recording forms'!$F:$F) = TRIM($B123),
      'Juma Recording forms'!$AA:$AA = 1
    ),
    1
  ),
  ""Not Found""
)"),167.0)</f>
        <v>167</v>
      </c>
      <c r="AG123" s="292" t="str">
        <f>IFERROR(__xludf.DUMMYFUNCTION("IFERROR(
  INDEX(
    FILTER(
      'Juma Recording forms'!$G:$G,
      TRIM('Juma Recording forms'!$F:$F) = TRIM($B123),
      'Juma Recording forms'!$AA:$AA = 2
    ),
    1
  ),
  ""Not Found""
)"),"Not Found")</f>
        <v>Not Found</v>
      </c>
      <c r="AH123" s="292">
        <f>IFERROR(__xludf.DUMMYFUNCTION("IFERROR(
  INDEX(
    FILTER(
      'Juma Recording forms'!$G:$G,
      TRIM('Juma Recording forms'!$F:$F) = TRIM($B123),
      'Juma Recording forms'!$AA:$AA = 3
    ),
    1
  ),
  ""Not Found""
)"),180.0)</f>
        <v>180</v>
      </c>
      <c r="AI123" s="292" t="str">
        <f>IFERROR(__xludf.DUMMYFUNCTION("IFERROR(
  INDEX(
    FILTER(
      'Juma Recording forms'!$G:$G,
      TRIM('Juma Recording forms'!$F:$F) = TRIM($B123),
      'Juma Recording forms'!$AA:$AA = 4
    ),
    1
  ),
  ""Not Found""
)"),"Not Found")</f>
        <v>Not Found</v>
      </c>
      <c r="AJ123" s="292" t="str">
        <f>IFERROR(__xludf.DUMMYFUNCTION("IFERROR(
  INDEX(
    FILTER(
      'Juma Recording forms'!$G:$G,
      TRIM('Juma Recording forms'!$F:$F) = TRIM($B123),
      'Juma Recording forms'!$AA:$AA = 5
    ),
    1
  ),
  ""Not Found""
)"),"Not Found")</f>
        <v>Not Found</v>
      </c>
      <c r="AK123" s="292"/>
      <c r="AL1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1!$E:$E"")=$B123) *
        (IMPORTRANGE(""https://docs.google.com/spreadsheets/d/161aHT6vVT3SLneTKD19N5qVWtnj_jIT8CSsOmUVKmaA/e"&amp;"dit?gid=1761053510"",
          ""Haris_Form responses 1!$AQ:$AQ"")=1)
      ),
      1
    ),
    ""0""
  ),
  ""Form not found""
)
"),"0")</f>
        <v>0</v>
      </c>
      <c r="AM1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1!$E:$E"")=$B123) *
        (IMPORTRANGE(""https://docs.google.com/spreadsheets/d/161aHT6vVT3SLneTKD19N5qVWtnj_jIT8CSsOmUVKmaA/e"&amp;"dit?gid=1761053510"",
          ""Haris_Form responses 1!$AQ:$AQ"")=2)
      ),
      1
    ),
    ""0""
  ),
  ""Form not found""
)
"),"Form not found")</f>
        <v>Form not found</v>
      </c>
      <c r="AN1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1!$E:$E"")=$B123) *
        (IMPORTRANGE(""https://docs.google.com/spreadsheets/d/161aHT6vVT3SLneTKD19N5qVWtnj_jIT8CSsOmUVKmaA/e"&amp;"dit?gid=1761053510"",
          ""Haris_Form responses 1!$AQ:$AQ"")=3)
      ),
      1
    ),
    ""0""
  ),
  ""Form not found""
)
"),"0")</f>
        <v>0</v>
      </c>
      <c r="AO1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1!$E:$E"")=$B123) *
        (IMPORTRANGE(""https://docs.google.com/spreadsheets/d/161aHT6vVT3SLneTKD19N5qVWtnj_jIT8CSsOmUVKmaA/e"&amp;"dit?gid=1761053510"",
          ""Haris_Form responses 1!$AQ:$AQ"")=4)
      ),
      1
    ),
    ""0""
  ),
  ""Form not found""
)
"),"Form not found")</f>
        <v>Form not found</v>
      </c>
      <c r="AP1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1!$E:$E"")=$B123) *
        (IMPORTRANGE(""https://docs.google.com/spreadsheets/d/161aHT6vVT3SLneTKD19N5qVWtnj_jIT8CSsOmUVKmaA/e"&amp;"dit?gid=1761053510"",
          ""Haris_Form responses 1!$AQ:$AQ"")=5)
      ),
      1
    ),
    ""0""
  ),
  ""Form not found""
)
"),"Form not found")</f>
        <v>Form not found</v>
      </c>
      <c r="AQ1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1!$E:$E"")=$B123) *
        (IMPORTRANGE(""https://docs.google.com/spreadsheets/d/161aHT6vVT3SLneTKD19N5qVWtnj_jIT8CSsOmUVKmaA/e"&amp;"dit?gid=1761053510"",
          ""Haris_Form responses 1!$AQ:$AQ"")=6)
      ),
      1
    ),
    ""0""
  ),
  ""Form not found""
)
"),"Form not found")</f>
        <v>Form not found</v>
      </c>
      <c r="AR1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1!$E:$E"")=$B123) *
        (IMPORTRANGE(""https://docs.google.com/spreadsheets/d/161aHT6vVT3SLneTKD19N5qVWtnj_jIT8CSsOmUVKmaA/e"&amp;"dit?gid=1761053510"",
          ""Haris_Form responses 1!$AQ:$AQ"")=1)
      ),
      1
    ),
    ""0""
  ),
  ""Form not found""
)
"),"0")</f>
        <v>0</v>
      </c>
      <c r="AS1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1!$E:$E"")=$B123) *
        (IMPORTRANGE(""https://docs.google.com/spreadsheets/d/161aHT6vVT3SLneTKD19N5qVWtnj_jIT8CSsOmUVKmaA/e"&amp;"dit?gid=1761053510"",
          ""Haris_Form responses 1!$AQ:$AQ"")=2)
      ),
      1
    ),
    ""0""
  ),
  ""Form not found""
)
"),"Form not found")</f>
        <v>Form not found</v>
      </c>
      <c r="AT1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1!$E:$E"")=$B123) *
        (IMPORTRANGE(""https://docs.google.com/spreadsheets/d/161aHT6vVT3SLneTKD19N5qVWtnj_jIT8CSsOmUVKmaA/e"&amp;"dit?gid=1761053510"",
          ""Haris_Form responses 1!$AQ:$AQ"")=3)
      ),
      1
    ),
    ""0""
  ),
  ""Form not found""
)
"),"0")</f>
        <v>0</v>
      </c>
      <c r="AU1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1!$E:$E"")=$B123) *
        (IMPORTRANGE(""https://docs.google.com/spreadsheets/d/161aHT6vVT3SLneTKD19N5qVWtnj_jIT8CSsOmUVKmaA/e"&amp;"dit?gid=1761053510"",
          ""Haris_Form responses 1!$AQ:$AQ"")=4)
      ),
      1
    ),
    ""0""
  ),
  ""Form not found""
)
"),"Form not found")</f>
        <v>Form not found</v>
      </c>
      <c r="AV1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1!$E:$E"")=$B123) *
        (IMPORTRANGE(""https://docs.google.com/spreadsheets/d/161aHT6vVT3SLneTKD19N5qVWtnj_jIT8CSsOmUVKmaA/e"&amp;"dit?gid=1761053510"",
          ""Haris_Form responses 1!$AQ:$AQ"")=5)
      ),
      1
    ),
    ""0""
  ),
  ""Form not found""
)
"),"Form not found")</f>
        <v>Form not found</v>
      </c>
      <c r="AW1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1!$E:$E"")=$B123) *
        (IMPORTRANGE(""https://docs.google.com/spreadsheets/d/161aHT6vVT3SLneTKD19N5qVWtnj_jIT8CSsOmUVKmaA/e"&amp;"dit?gid=1761053510"",
          ""Haris_Form responses 1!$AQ:$AQ"")=6)
      ),
      1
    ),
    ""0""
  ),
  ""Form not found""
)
"),"Form not found")</f>
        <v>Form not found</v>
      </c>
      <c r="AX1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1!$E:$E"")=$B123) *
        (IMPORTRANGE(""https://docs.google.com/spreadsheets/d/161aHT6vVT3SLneTKD19N5qVWtnj_jIT8CSsOmUVKmaA/e"&amp;"dit?gid=1761053510"",
          ""Haris_Form responses 1!$AQ:$AQ"")=1)
      ),
      1
    ),
    ""0""
  ),
  ""Form not found""
)
"),"0")</f>
        <v>0</v>
      </c>
      <c r="AY1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1!$E:$E"")=$B123) *
        (IMPORTRANGE(""https://docs.google.com/spreadsheets/d/161aHT6vVT3SLneTKD19N5qVWtnj_jIT8CSsOmUVKmaA/e"&amp;"dit?gid=1761053510"",
          ""Haris_Form responses 1!$AQ:$AQ"")=2)
      ),
      1
    ),
    ""0""
  ),
  ""Form not found""
)
"),"Form not found")</f>
        <v>Form not found</v>
      </c>
      <c r="AZ1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1!$E:$E"")=$B123) *
        (IMPORTRANGE(""https://docs.google.com/spreadsheets/d/161aHT6vVT3SLneTKD19N5qVWtnj_jIT8CSsOmUVKmaA/e"&amp;"dit?gid=1761053510"",
          ""Haris_Form responses 1!$AQ:$AQ"")=3)
      ),
      1
    ),
    ""0""
  ),
  ""Form not found""
)
"),"0")</f>
        <v>0</v>
      </c>
      <c r="BA1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1!$E:$E"")=$B123) *
        (IMPORTRANGE(""https://docs.google.com/spreadsheets/d/161aHT6vVT3SLneTKD19N5qVWtnj_jIT8CSsOmUVKmaA/e"&amp;"dit?gid=1761053510"",
          ""Haris_Form responses 1!$AQ:$AQ"")=4)
      ),
      1
    ),
    ""0""
  ),
  ""Form not found""
)
"),"Form not found")</f>
        <v>Form not found</v>
      </c>
      <c r="BB1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1!$E:$E"")=$B123) *
        (IMPORTRANGE(""https://docs.google.com/spreadsheets/d/161aHT6vVT3SLneTKD19N5qVWtnj_jIT8CSsOmUVKmaA/e"&amp;"dit?gid=1761053510"",
          ""Haris_Form responses 1!$AQ:$AQ"")=5)
      ),
      1
    ),
    ""0""
  ),
  ""Form not found""
)
"),"Form not found")</f>
        <v>Form not found</v>
      </c>
      <c r="BC1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1!$E:$E"")=$B123) *
        (IMPORTRANGE(""https://docs.google.com/spreadsheets/d/161aHT6vVT3SLneTKD19N5qVWtnj_jIT8CSsOmUVKmaA/e"&amp;"dit?gid=1761053510"",
          ""Haris_Form responses 1!$AQ:$AQ"")=6)
      ),
      1
    ),
    ""0""
  ),
  ""Form not found""
)
"),"Form not found")</f>
        <v>Form not found</v>
      </c>
      <c r="BD123" s="293"/>
    </row>
    <row r="124">
      <c r="A124" s="283" t="str">
        <f>IFERROR(__xludf.DUMMYFUNCTION("VLOOKUP($B124,IMPORTRANGE(""https://docs.google.com/spreadsheets/d/1VNXDITjs75AcgdBSW27oL1VZH31udDprJSsBcE5xlp4/edit?gid=1551188038#gid=1551188038"", ""Sheet9!$B:$E""),2,false)"),"Sargodha")</f>
        <v>Sargodha</v>
      </c>
      <c r="B124" s="283" t="s">
        <v>4574</v>
      </c>
      <c r="C124" s="284" t="str">
        <f>IFERROR(__xludf.DUMMYFUNCTION("VLOOKUP(TRIM($B124), IMPORTRANGE(""https://docs.google.com/spreadsheets/d/1aSOrU4PTpuBZqfitKaH1Rfww6-YOiNCKoBpPl8XBHaw/edit?gid=0#gid=0"", ""sheet3!$B:$C""), 2, FALSE)
"),"Jamia Masjid Gulzar Madina 43 Shamali Lari Adah")</f>
        <v>Jamia Masjid Gulzar Madina 43 Shamali Lari Adah</v>
      </c>
      <c r="D124" s="284" t="str">
        <f>IFERROR(__xludf.DUMMYFUNCTION("IFERROR(
  INDEX(
    FILTER(
      IMPORTRANGE(""1aSOrU4PTpuBZqfitKaH1Rfww6-YOiNCKoBpPl8XBHaw/edit?gid=0#gid=0"",""Sheet1!G:G""),
      IMPORTRANGE(""1aSOrU4PTpuBZqfitKaH1Rfww6-YOiNCKoBpPl8XBHaw/edit?gid=0#gid=0"",""Sheet1!C:C"")=$B124
    ),
    1
  ),
"&amp;"  ""Not Found""
)"),"Community Secular Info Share")</f>
        <v>Community Secular Info Share</v>
      </c>
      <c r="E124" s="284" t="str">
        <f>VLOOKUP(B124,'Juma Recording forms'!A:E,5,false)</f>
        <v>Jamia masjid gulzare madina 43 shumali sargodha</v>
      </c>
      <c r="F124" s="284" t="str">
        <f>IFERROR(__xludf.DUMMYFUNCTION("IFERROR(
  INDEX(
    FILTER(
      IMPORTRANGE(""1Cxrhp3-_-HS7v9uuqQliiIfrmMP4VaFoDNDWyUFy2J8/edit?gid=0#gid=0"",""Sheet1!Q:Q""),
      IMPORTRANGE(""1Cxrhp3-_-HS7v9uuqQliiIfrmMP4VaFoDNDWyUFy2J8/edit?gid=0#gid=0"",""Sheet1!K:K"")=$B124
    ),
    1
  ),
"&amp;"  ""Not Found""
)"),"Not Found")</f>
        <v>Not Found</v>
      </c>
      <c r="G124" s="284"/>
      <c r="H124" s="284"/>
      <c r="I124" s="285"/>
      <c r="J124" s="286">
        <v>2.0</v>
      </c>
      <c r="K124" s="287" t="str">
        <f>VLOOKUP($B124,'Mosque Locations'!$A:$E,3,FALSE)
</f>
        <v>https://www.google.com/maps?q=32.0767783,72.6983749</v>
      </c>
      <c r="L124" s="286">
        <f>VLOOKUP($B124,'Mosque Locations'!$A:$E,4,FALSE)
</f>
        <v>32.07678</v>
      </c>
      <c r="M124" s="286">
        <f>VLOOKUP($B124,'Mosque Locations'!$A:$E,5,false)</f>
        <v>72.69837</v>
      </c>
      <c r="N124" s="288"/>
      <c r="O124" s="288"/>
      <c r="P124" s="288"/>
      <c r="Q124" s="289" t="str">
        <f>IFERROR(__xludf.DUMMYFUNCTION("IFERROR(
  INDEX(
    FILTER(
      IMPORTRANGE(""1DccNxjBgurEr0ABkI_rBagJT5phB5HaHG5N_mTm_BiA/edit?gid=1382299152#gid=1382299152"",""Form Responses 1!T:T""),
      IMPORTRANGE(""1DccNxjBgurEr0ABkI_rBagJT5phB5HaHG5N_mTm_BiA/edit?gid=1382299152#gid=1382299"&amp;"152"",""Form Responses 1!E:E"")=$B124
    ),
    1
  ),
  ""Not Found""
)"),"https://drive.google.com/open?id=1xWnfUDtao70QHFbtZsnfx8nOfBNes5K4")</f>
        <v>https://drive.google.com/open?id=1xWnfUDtao70QHFbtZsnfx8nOfBNes5K4</v>
      </c>
      <c r="R124" s="296" t="str">
        <f>IFERROR(__xludf.DUMMYFUNCTION("IFERROR(
  INDEX(
    FILTER(
      IMPORTRANGE(""1DccNxjBgurEr0ABkI_rBagJT5phB5HaHG5N_mTm_BiA/edit?gid=1382299152#gid=1382299152"",""Form Responses 1!S:S""),
      IMPORTRANGE(""1DccNxjBgurEr0ABkI_rBagJT5phB5HaHG5N_mTm_BiA/edit?gid=1382299152#gid=1382299"&amp;"152"",""Form Responses 1!E:E"")=$B124
    ),
    1
  ),
  ""Not Found""
)"),"https://drive.google.com/open?id=1Yi-VhjfvlyM1DaJaN1kt8Cvn1vhFgJOT")</f>
        <v>https://drive.google.com/open?id=1Yi-VhjfvlyM1DaJaN1kt8Cvn1vhFgJOT</v>
      </c>
      <c r="S124" s="285"/>
      <c r="T124" s="290" t="str">
        <f>VLOOKUP($B124,'Master Tracker'!$D:$E,2,false)</f>
        <v>https://drive.google.com/open?id=1-UwuLHYMk7aQU1D-yfyjWOdRJyDpsixk</v>
      </c>
      <c r="U124" s="291" t="str">
        <f>VLOOKUP($B124,'Master Tracker'!$D:$T,4,FALSE)
</f>
        <v>https://drive.google.com/open?id=1RksftLxQTX8_idNL3g6YZ9ih_W2QUtUr</v>
      </c>
      <c r="V124" s="290" t="str">
        <f>VLOOKUP($B124,'Master Tracker'!$D:$T,5,false)</f>
        <v>https://drive.google.com/open?id=1a3MkULfAQBC4I4h314saM1N17ElaQa1_</v>
      </c>
      <c r="W124" s="291" t="str">
        <f>VLOOKUP($B124,'Master Tracker'!$D:$T,7,false)</f>
        <v>https://drive.google.com/open?id=1NQOlqcU4LVCSpZJIBNeNIv1zIJVsC2Ma</v>
      </c>
      <c r="X124" s="290" t="str">
        <f>VLOOKUP($B124,'Master Tracker'!$D:$T,8,false)</f>
        <v>https://drive.google.com/open?id=1Ftk66St4UXBFX60wBZ8g2bkKy78NQjf1</v>
      </c>
      <c r="Y124" s="291" t="str">
        <f>VLOOKUP($B124,'Master Tracker'!$D:$T,10,false)</f>
        <v>https://drive.google.com/open?id=1N-qVbIduScVRcla4rrIE-GXon_am-rfp</v>
      </c>
      <c r="Z124" s="284" t="str">
        <f>VLOOKUP($B124,'Master Tracker'!$D:$T,11,false)</f>
        <v>Not Found</v>
      </c>
      <c r="AA124" s="292" t="str">
        <f>VLOOKUP($B124,'Master Tracker'!$D:$T,13,false)</f>
        <v>Not Found</v>
      </c>
      <c r="AB124" s="284" t="str">
        <f>VLOOKUP($B124,'Master Tracker'!$D:$T,14,false)</f>
        <v>Not Found</v>
      </c>
      <c r="AC124" s="292" t="str">
        <f>VLOOKUP($B124,'Master Tracker'!$D:$T,16,false)</f>
        <v>Not Found</v>
      </c>
      <c r="AD124" s="292" t="str">
        <f>VLOOKUP($B124,'Master Tracker'!$D:$T,17,false)</f>
        <v>Not Found</v>
      </c>
      <c r="AE124" s="292" t="str">
        <f>VLOOKUP($B124,'Master Tracker'!$D:$V,19,false)</f>
        <v>Not Found</v>
      </c>
      <c r="AF124" s="292">
        <f>IFERROR(__xludf.DUMMYFUNCTION("IFERROR(
  INDEX(
    FILTER(
      'Juma Recording forms'!$G:$G,
      TRIM('Juma Recording forms'!$F:$F) = TRIM($B124),
      'Juma Recording forms'!$AA:$AA = 1
    ),
    1
  ),
  ""Not Found""
)"),500.0)</f>
        <v>500</v>
      </c>
      <c r="AG124" s="292">
        <f>IFERROR(__xludf.DUMMYFUNCTION("IFERROR(
  INDEX(
    FILTER(
      'Juma Recording forms'!$G:$G,
      TRIM('Juma Recording forms'!$F:$F) = TRIM($B124),
      'Juma Recording forms'!$AA:$AA = 2
    ),
    1
  ),
  ""Not Found""
)"),450.0)</f>
        <v>450</v>
      </c>
      <c r="AH124" s="292">
        <f>IFERROR(__xludf.DUMMYFUNCTION("IFERROR(
  INDEX(
    FILTER(
      'Juma Recording forms'!$G:$G,
      TRIM('Juma Recording forms'!$F:$F) = TRIM($B124),
      'Juma Recording forms'!$AA:$AA = 3
    ),
    1
  ),
  ""Not Found""
)"),430.0)</f>
        <v>430</v>
      </c>
      <c r="AI124" s="292" t="str">
        <f>IFERROR(__xludf.DUMMYFUNCTION("IFERROR(
  INDEX(
    FILTER(
      'Juma Recording forms'!$G:$G,
      TRIM('Juma Recording forms'!$F:$F) = TRIM($B124),
      'Juma Recording forms'!$AA:$AA = 4
    ),
    1
  ),
  ""Not Found""
)"),"Not Found")</f>
        <v>Not Found</v>
      </c>
      <c r="AJ124" s="292" t="str">
        <f>IFERROR(__xludf.DUMMYFUNCTION("IFERROR(
  INDEX(
    FILTER(
      'Juma Recording forms'!$G:$G,
      TRIM('Juma Recording forms'!$F:$F) = TRIM($B124),
      'Juma Recording forms'!$AA:$AA = 5
    ),
    1
  ),
  ""Not Found""
)"),"Not Found")</f>
        <v>Not Found</v>
      </c>
      <c r="AK124" s="292" t="str">
        <f>IFERROR(__xludf.DUMMYFUNCTION("IFERROR(
  INDEX(
    FILTER(
      'Juma Recording forms'!$G:$G,
      TRIM('Juma Recording forms'!$F:$F) = TRIM($B124),
      'Juma Recording forms'!$AA:$AA = 6
    ),
    1
  ),
  ""Not Found""
)"),"Not Found")</f>
        <v>Not Found</v>
      </c>
      <c r="AL1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1!$E:$E"")=$B124) *
        (IMPORTRANGE(""https://docs.google.com/spreadsheets/d/161aHT6vVT3SLneTKD19N5qVWtnj_jIT8CSsOmUVKmaA/e"&amp;"dit?gid=1761053510"",
          ""Haris_Form responses 1!$AQ:$AQ"")=1)
      ),
      1
    ),
    ""0""
  ),
  ""Form not found""
)
"),"9")</f>
        <v>9</v>
      </c>
      <c r="AM1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1!$E:$E"")=$B124) *
        (IMPORTRANGE(""https://docs.google.com/spreadsheets/d/161aHT6vVT3SLneTKD19N5qVWtnj_jIT8CSsOmUVKmaA/e"&amp;"dit?gid=1761053510"",
          ""Haris_Form responses 1!$AQ:$AQ"")=2)
      ),
      1
    ),
    ""0""
  ),
  ""Form not found""
)
"),"10")</f>
        <v>10</v>
      </c>
      <c r="AN1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1!$E:$E"")=$B124) *
        (IMPORTRANGE(""https://docs.google.com/spreadsheets/d/161aHT6vVT3SLneTKD19N5qVWtnj_jIT8CSsOmUVKmaA/e"&amp;"dit?gid=1761053510"",
          ""Haris_Form responses 1!$AQ:$AQ"")=3)
      ),
      1
    ),
    ""0""
  ),
  ""Form not found""
)
"),"0")</f>
        <v>0</v>
      </c>
      <c r="AO1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1!$E:$E"")=$B124) *
        (IMPORTRANGE(""https://docs.google.com/spreadsheets/d/161aHT6vVT3SLneTKD19N5qVWtnj_jIT8CSsOmUVKmaA/e"&amp;"dit?gid=1761053510"",
          ""Haris_Form responses 1!$AQ:$AQ"")=4)
      ),
      1
    ),
    ""0""
  ),
  ""Form not found""
)
"),"Form not found")</f>
        <v>Form not found</v>
      </c>
      <c r="AP1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1!$E:$E"")=$B124) *
        (IMPORTRANGE(""https://docs.google.com/spreadsheets/d/161aHT6vVT3SLneTKD19N5qVWtnj_jIT8CSsOmUVKmaA/e"&amp;"dit?gid=1761053510"",
          ""Haris_Form responses 1!$AQ:$AQ"")=5)
      ),
      1
    ),
    ""0""
  ),
  ""Form not found""
)
"),"Form not found")</f>
        <v>Form not found</v>
      </c>
      <c r="AQ1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1!$E:$E"")=$B124) *
        (IMPORTRANGE(""https://docs.google.com/spreadsheets/d/161aHT6vVT3SLneTKD19N5qVWtnj_jIT8CSsOmUVKmaA/e"&amp;"dit?gid=1761053510"",
          ""Haris_Form responses 1!$AQ:$AQ"")=6)
      ),
      1
    ),
    ""0""
  ),
  ""Form not found""
)
"),"Form not found")</f>
        <v>Form not found</v>
      </c>
      <c r="AR1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1!$E:$E"")=$B124) *
        (IMPORTRANGE(""https://docs.google.com/spreadsheets/d/161aHT6vVT3SLneTKD19N5qVWtnj_jIT8CSsOmUVKmaA/e"&amp;"dit?gid=1761053510"",
          ""Haris_Form responses 1!$AQ:$AQ"")=1)
      ),
      1
    ),
    ""0""
  ),
  ""Form not found""
)
"),"9")</f>
        <v>9</v>
      </c>
      <c r="AS1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1!$E:$E"")=$B124) *
        (IMPORTRANGE(""https://docs.google.com/spreadsheets/d/161aHT6vVT3SLneTKD19N5qVWtnj_jIT8CSsOmUVKmaA/e"&amp;"dit?gid=1761053510"",
          ""Haris_Form responses 1!$AQ:$AQ"")=2)
      ),
      1
    ),
    ""0""
  ),
  ""Form not found""
)
"),"10")</f>
        <v>10</v>
      </c>
      <c r="AT1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1!$E:$E"")=$B124) *
        (IMPORTRANGE(""https://docs.google.com/spreadsheets/d/161aHT6vVT3SLneTKD19N5qVWtnj_jIT8CSsOmUVKmaA/e"&amp;"dit?gid=1761053510"",
          ""Haris_Form responses 1!$AQ:$AQ"")=3)
      ),
      1
    ),
    ""0""
  ),
  ""Form not found""
)
"),"0")</f>
        <v>0</v>
      </c>
      <c r="AU1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1!$E:$E"")=$B124) *
        (IMPORTRANGE(""https://docs.google.com/spreadsheets/d/161aHT6vVT3SLneTKD19N5qVWtnj_jIT8CSsOmUVKmaA/e"&amp;"dit?gid=1761053510"",
          ""Haris_Form responses 1!$AQ:$AQ"")=4)
      ),
      1
    ),
    ""0""
  ),
  ""Form not found""
)
"),"Form not found")</f>
        <v>Form not found</v>
      </c>
      <c r="AV1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1!$E:$E"")=$B124) *
        (IMPORTRANGE(""https://docs.google.com/spreadsheets/d/161aHT6vVT3SLneTKD19N5qVWtnj_jIT8CSsOmUVKmaA/e"&amp;"dit?gid=1761053510"",
          ""Haris_Form responses 1!$AQ:$AQ"")=5)
      ),
      1
    ),
    ""0""
  ),
  ""Form not found""
)
"),"Form not found")</f>
        <v>Form not found</v>
      </c>
      <c r="AW1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1!$E:$E"")=$B124) *
        (IMPORTRANGE(""https://docs.google.com/spreadsheets/d/161aHT6vVT3SLneTKD19N5qVWtnj_jIT8CSsOmUVKmaA/e"&amp;"dit?gid=1761053510"",
          ""Haris_Form responses 1!$AQ:$AQ"")=6)
      ),
      1
    ),
    ""0""
  ),
  ""Form not found""
)
"),"Form not found")</f>
        <v>Form not found</v>
      </c>
      <c r="AX1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1!$E:$E"")=$B124) *
        (IMPORTRANGE(""https://docs.google.com/spreadsheets/d/161aHT6vVT3SLneTKD19N5qVWtnj_jIT8CSsOmUVKmaA/e"&amp;"dit?gid=1761053510"",
          ""Haris_Form responses 1!$AQ:$AQ"")=1)
      ),
      1
    ),
    ""0""
  ),
  ""Form not found""
)
"),"2")</f>
        <v>2</v>
      </c>
      <c r="AY1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1!$E:$E"")=$B124) *
        (IMPORTRANGE(""https://docs.google.com/spreadsheets/d/161aHT6vVT3SLneTKD19N5qVWtnj_jIT8CSsOmUVKmaA/e"&amp;"dit?gid=1761053510"",
          ""Haris_Form responses 1!$AQ:$AQ"")=2)
      ),
      1
    ),
    ""0""
  ),
  ""Form not found""
)
"),"0")</f>
        <v>0</v>
      </c>
      <c r="AZ1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1!$E:$E"")=$B124) *
        (IMPORTRANGE(""https://docs.google.com/spreadsheets/d/161aHT6vVT3SLneTKD19N5qVWtnj_jIT8CSsOmUVKmaA/e"&amp;"dit?gid=1761053510"",
          ""Haris_Form responses 1!$AQ:$AQ"")=3)
      ),
      1
    ),
    ""0""
  ),
  ""Form not found""
)
"),"0")</f>
        <v>0</v>
      </c>
      <c r="BA1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1!$E:$E"")=$B124) *
        (IMPORTRANGE(""https://docs.google.com/spreadsheets/d/161aHT6vVT3SLneTKD19N5qVWtnj_jIT8CSsOmUVKmaA/e"&amp;"dit?gid=1761053510"",
          ""Haris_Form responses 1!$AQ:$AQ"")=4)
      ),
      1
    ),
    ""0""
  ),
  ""Form not found""
)
"),"Form not found")</f>
        <v>Form not found</v>
      </c>
      <c r="BB1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1!$E:$E"")=$B124) *
        (IMPORTRANGE(""https://docs.google.com/spreadsheets/d/161aHT6vVT3SLneTKD19N5qVWtnj_jIT8CSsOmUVKmaA/e"&amp;"dit?gid=1761053510"",
          ""Haris_Form responses 1!$AQ:$AQ"")=5)
      ),
      1
    ),
    ""0""
  ),
  ""Form not found""
)
"),"Form not found")</f>
        <v>Form not found</v>
      </c>
      <c r="BC1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1!$E:$E"")=$B124) *
        (IMPORTRANGE(""https://docs.google.com/spreadsheets/d/161aHT6vVT3SLneTKD19N5qVWtnj_jIT8CSsOmUVKmaA/e"&amp;"dit?gid=1761053510"",
          ""Haris_Form responses 1!$AQ:$AQ"")=6)
      ),
      1
    ),
    ""0""
  ),
  ""Form not found""
)
"),"Form not found")</f>
        <v>Form not found</v>
      </c>
      <c r="BD124" s="293"/>
    </row>
    <row r="125">
      <c r="A125" s="283" t="str">
        <f>IFERROR(__xludf.DUMMYFUNCTION("VLOOKUP($B125,IMPORTRANGE(""https://docs.google.com/spreadsheets/d/1VNXDITjs75AcgdBSW27oL1VZH31udDprJSsBcE5xlp4/edit?gid=1551188038#gid=1551188038"", ""Sheet9!$B:$E""),2,false)"),"Sargodha")</f>
        <v>Sargodha</v>
      </c>
      <c r="B125" s="283" t="s">
        <v>2802</v>
      </c>
      <c r="C125" s="284" t="str">
        <f>IFERROR(__xludf.DUMMYFUNCTION("VLOOKUP(TRIM($B125), IMPORTRANGE(""https://docs.google.com/spreadsheets/d/1aSOrU4PTpuBZqfitKaH1Rfww6-YOiNCKoBpPl8XBHaw/edit?gid=0#gid=0"", ""sheet3!$B:$C""), 2, FALSE)
"),"Jamia Masjid Galah Mandi Sargodha")</f>
        <v>Jamia Masjid Galah Mandi Sargodha</v>
      </c>
      <c r="D125" s="284" t="str">
        <f>IFERROR(__xludf.DUMMYFUNCTION("IFERROR(
  INDEX(
    FILTER(
      IMPORTRANGE(""1aSOrU4PTpuBZqfitKaH1Rfww6-YOiNCKoBpPl8XBHaw/edit?gid=0#gid=0"",""Sheet1!G:G""),
      IMPORTRANGE(""1aSOrU4PTpuBZqfitKaH1Rfww6-YOiNCKoBpPl8XBHaw/edit?gid=0#gid=0"",""Sheet1!C:C"")=$B125
    ),
    1
  ),
"&amp;"  ""Not Found""
)"),"Women Religious Info Share")</f>
        <v>Women Religious Info Share</v>
      </c>
      <c r="E125" s="284" t="str">
        <f>VLOOKUP(B125,'Juma Recording forms'!A:E,5,false)</f>
        <v>Jamia masjid galah mandi sargodha</v>
      </c>
      <c r="F125" s="284" t="str">
        <f>IFERROR(__xludf.DUMMYFUNCTION("IFERROR(
  INDEX(
    FILTER(
      IMPORTRANGE(""1Cxrhp3-_-HS7v9uuqQliiIfrmMP4VaFoDNDWyUFy2J8/edit?gid=0#gid=0"",""Sheet1!Q:Q""),
      IMPORTRANGE(""1Cxrhp3-_-HS7v9uuqQliiIfrmMP4VaFoDNDWyUFy2J8/edit?gid=0#gid=0"",""Sheet1!K:K"")=$B125
    ),
    1
  ),
"&amp;"  ""Not Found""
)"),"Maulana Saif Ullah khalid")</f>
        <v>Maulana Saif Ullah khalid</v>
      </c>
      <c r="G125" s="284">
        <v>1940.0</v>
      </c>
      <c r="H125" s="284"/>
      <c r="I125" s="285"/>
      <c r="J125" s="286">
        <v>2.0</v>
      </c>
      <c r="K125" s="287" t="str">
        <f>VLOOKUP($B125,'Mosque Locations'!$A:$E,3,FALSE)
</f>
        <v>https://www.google.com/maps?q=32.0853118896484,72.6698379516602</v>
      </c>
      <c r="L125" s="286">
        <f>VLOOKUP($B125,'Mosque Locations'!$A:$E,4,FALSE)
</f>
        <v>32.08531</v>
      </c>
      <c r="M125" s="286">
        <f>VLOOKUP($B125,'Mosque Locations'!$A:$E,5,false)</f>
        <v>72.66984</v>
      </c>
      <c r="N125" s="288"/>
      <c r="O125" s="288"/>
      <c r="P125" s="288"/>
      <c r="Q125" s="289" t="str">
        <f>IFERROR(__xludf.DUMMYFUNCTION("IFERROR(
  INDEX(
    FILTER(
      IMPORTRANGE(""1DccNxjBgurEr0ABkI_rBagJT5phB5HaHG5N_mTm_BiA/edit?gid=1382299152#gid=1382299152"",""Form Responses 1!T:T""),
      IMPORTRANGE(""1DccNxjBgurEr0ABkI_rBagJT5phB5HaHG5N_mTm_BiA/edit?gid=1382299152#gid=1382299"&amp;"152"",""Form Responses 1!E:E"")=$B125
    ),
    1
  ),
  ""Not Found""
)"),"https://drive.google.com/open?id=1zBxdjSEnk-d9DzeIwodD_T7R1fjOWC0n")</f>
        <v>https://drive.google.com/open?id=1zBxdjSEnk-d9DzeIwodD_T7R1fjOWC0n</v>
      </c>
      <c r="R125" s="296" t="str">
        <f>IFERROR(__xludf.DUMMYFUNCTION("IFERROR(
  INDEX(
    FILTER(
      IMPORTRANGE(""1DccNxjBgurEr0ABkI_rBagJT5phB5HaHG5N_mTm_BiA/edit?gid=1382299152#gid=1382299152"",""Form Responses 1!S:S""),
      IMPORTRANGE(""1DccNxjBgurEr0ABkI_rBagJT5phB5HaHG5N_mTm_BiA/edit?gid=1382299152#gid=1382299"&amp;"152"",""Form Responses 1!E:E"")=$B125
    ),
    1
  ),
  ""Not Found""
)"),"https://drive.google.com/open?id=1YzS0YXmkTiMFzV_0khrLKEeR4CaRikk2")</f>
        <v>https://drive.google.com/open?id=1YzS0YXmkTiMFzV_0khrLKEeR4CaRikk2</v>
      </c>
      <c r="S125" s="285"/>
      <c r="T125" s="290" t="str">
        <f>VLOOKUP($B125,'Master Tracker'!$D:$E,2,false)</f>
        <v>https://drive.google.com/open?id=1q8zTSfyTFD5hoFLWNTQbKFPSHGOw22Ch</v>
      </c>
      <c r="U125" s="291" t="str">
        <f>VLOOKUP($B125,'Master Tracker'!$D:$T,4,FALSE)
</f>
        <v>https://drive.google.com/open?id=1q1HhwV8S4KxyUMfP8ibhqj9o1tmxSTXp</v>
      </c>
      <c r="V125" s="290" t="str">
        <f>VLOOKUP($B125,'Master Tracker'!$D:$T,5,false)</f>
        <v>https://drive.google.com/open?id=1dWLKlLGibOenkhX3xu8bpHA7SagKve64</v>
      </c>
      <c r="W125" s="291" t="str">
        <f>VLOOKUP($B125,'Master Tracker'!$D:$T,7,false)</f>
        <v>https://drive.google.com/open?id=1yPPvf3I9MshztUSmETpEinukEnvf6E_R</v>
      </c>
      <c r="X125" s="290" t="str">
        <f>VLOOKUP($B125,'Master Tracker'!$D:$T,8,false)</f>
        <v>https://drive.google.com/open?id=1dJgwn8IXHvGoRkJC590RpoE1Jl_EcUSN</v>
      </c>
      <c r="Y125" s="291" t="str">
        <f>VLOOKUP($B125,'Master Tracker'!$D:$T,10,false)</f>
        <v>https://drive.google.com/open?id=1kIKbBDxSSQaB6_D_6COLtaSWGBx8d1_Y</v>
      </c>
      <c r="Z125" s="284" t="str">
        <f>VLOOKUP($B125,'Master Tracker'!$D:$T,11,false)</f>
        <v>Not Found</v>
      </c>
      <c r="AA125" s="292" t="str">
        <f>VLOOKUP($B125,'Master Tracker'!$D:$T,13,false)</f>
        <v>Not Found</v>
      </c>
      <c r="AB125" s="284" t="str">
        <f>VLOOKUP($B125,'Master Tracker'!$D:$T,14,false)</f>
        <v>Not Found</v>
      </c>
      <c r="AC125" s="292" t="str">
        <f>VLOOKUP($B125,'Master Tracker'!$D:$T,16,false)</f>
        <v>Not Found</v>
      </c>
      <c r="AD125" s="292" t="str">
        <f>VLOOKUP($B125,'Master Tracker'!$D:$T,17,false)</f>
        <v>Not Found</v>
      </c>
      <c r="AE125" s="292" t="str">
        <f>VLOOKUP($B125,'Master Tracker'!$D:$V,19,false)</f>
        <v>Not Found</v>
      </c>
      <c r="AF125" s="292">
        <f>IFERROR(__xludf.DUMMYFUNCTION("IFERROR(
  INDEX(
    FILTER(
      'Juma Recording forms'!$G:$G,
      TRIM('Juma Recording forms'!$F:$F) = TRIM($B125),
      'Juma Recording forms'!$AA:$AA = 1
    ),
    1
  ),
  ""Not Found""
)"),190.0)</f>
        <v>190</v>
      </c>
      <c r="AG125" s="292">
        <f>IFERROR(__xludf.DUMMYFUNCTION("IFERROR(
  INDEX(
    FILTER(
      'Juma Recording forms'!$G:$G,
      TRIM('Juma Recording forms'!$F:$F) = TRIM($B125),
      'Juma Recording forms'!$AA:$AA = 2
    ),
    1
  ),
  ""Not Found""
)"),210.0)</f>
        <v>210</v>
      </c>
      <c r="AH125" s="292">
        <f>IFERROR(__xludf.DUMMYFUNCTION("IFERROR(
  INDEX(
    FILTER(
      'Juma Recording forms'!$G:$G,
      TRIM('Juma Recording forms'!$F:$F) = TRIM($B125),
      'Juma Recording forms'!$AA:$AA = 3
    ),
    1
  ),
  ""Not Found""
)"),200.0)</f>
        <v>200</v>
      </c>
      <c r="AI125" s="292" t="str">
        <f>IFERROR(__xludf.DUMMYFUNCTION("IFERROR(
  INDEX(
    FILTER(
      'Juma Recording forms'!$G:$G,
      TRIM('Juma Recording forms'!$F:$F) = TRIM($B125),
      'Juma Recording forms'!$AA:$AA = 4
    ),
    1
  ),
  ""Not Found""
)"),"Not Found")</f>
        <v>Not Found</v>
      </c>
      <c r="AJ125" s="292" t="str">
        <f>IFERROR(__xludf.DUMMYFUNCTION("IFERROR(
  INDEX(
    FILTER(
      'Juma Recording forms'!$G:$G,
      TRIM('Juma Recording forms'!$F:$F) = TRIM($B125),
      'Juma Recording forms'!$AA:$AA = 5
    ),
    1
  ),
  ""Not Found""
)"),"Not Found")</f>
        <v>Not Found</v>
      </c>
      <c r="AK125" s="292" t="str">
        <f>IFERROR(__xludf.DUMMYFUNCTION("IFERROR(
  INDEX(
    FILTER(
      'Juma Recording forms'!$G:$G,
      TRIM('Juma Recording forms'!$F:$F) = TRIM($B125),
      'Juma Recording forms'!$AA:$AA = 6
    ),
    1
  ),
  ""Not Found""
)"),"Not Found")</f>
        <v>Not Found</v>
      </c>
      <c r="AL1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1!$E:$E"")=$B125) *
        (IMPORTRANGE(""https://docs.google.com/spreadsheets/d/161aHT6vVT3SLneTKD19N5qVWtnj_jIT8CSsOmUVKmaA/e"&amp;"dit?gid=1761053510"",
          ""Haris_Form responses 1!$AQ:$AQ"")=1)
      ),
      1
    ),
    ""0""
  ),
  ""Form not found""
)
"),"10")</f>
        <v>10</v>
      </c>
      <c r="AM1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1!$E:$E"")=$B125) *
        (IMPORTRANGE(""https://docs.google.com/spreadsheets/d/161aHT6vVT3SLneTKD19N5qVWtnj_jIT8CSsOmUVKmaA/e"&amp;"dit?gid=1761053510"",
          ""Haris_Form responses 1!$AQ:$AQ"")=2)
      ),
      1
    ),
    ""0""
  ),
  ""Form not found""
)
"),"0")</f>
        <v>0</v>
      </c>
      <c r="AN1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1!$E:$E"")=$B125) *
        (IMPORTRANGE(""https://docs.google.com/spreadsheets/d/161aHT6vVT3SLneTKD19N5qVWtnj_jIT8CSsOmUVKmaA/e"&amp;"dit?gid=1761053510"",
          ""Haris_Form responses 1!$AQ:$AQ"")=3)
      ),
      1
    ),
    ""0""
  ),
  ""Form not found""
)
"),"0")</f>
        <v>0</v>
      </c>
      <c r="AO1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1!$E:$E"")=$B125) *
        (IMPORTRANGE(""https://docs.google.com/spreadsheets/d/161aHT6vVT3SLneTKD19N5qVWtnj_jIT8CSsOmUVKmaA/e"&amp;"dit?gid=1761053510"",
          ""Haris_Form responses 1!$AQ:$AQ"")=4)
      ),
      1
    ),
    ""0""
  ),
  ""Form not found""
)
"),"Form not found")</f>
        <v>Form not found</v>
      </c>
      <c r="AP1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1!$E:$E"")=$B125) *
        (IMPORTRANGE(""https://docs.google.com/spreadsheets/d/161aHT6vVT3SLneTKD19N5qVWtnj_jIT8CSsOmUVKmaA/e"&amp;"dit?gid=1761053510"",
          ""Haris_Form responses 1!$AQ:$AQ"")=5)
      ),
      1
    ),
    ""0""
  ),
  ""Form not found""
)
"),"Form not found")</f>
        <v>Form not found</v>
      </c>
      <c r="AQ1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1!$E:$E"")=$B125) *
        (IMPORTRANGE(""https://docs.google.com/spreadsheets/d/161aHT6vVT3SLneTKD19N5qVWtnj_jIT8CSsOmUVKmaA/e"&amp;"dit?gid=1761053510"",
          ""Haris_Form responses 1!$AQ:$AQ"")=6)
      ),
      1
    ),
    ""0""
  ),
  ""Form not found""
)
"),"Form not found")</f>
        <v>Form not found</v>
      </c>
      <c r="AR1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1!$E:$E"")=$B125) *
        (IMPORTRANGE(""https://docs.google.com/spreadsheets/d/161aHT6vVT3SLneTKD19N5qVWtnj_jIT8CSsOmUVKmaA/e"&amp;"dit?gid=1761053510"",
          ""Haris_Form responses 1!$AQ:$AQ"")=1)
      ),
      1
    ),
    ""0""
  ),
  ""Form not found""
)
"),"0")</f>
        <v>0</v>
      </c>
      <c r="AS1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1!$E:$E"")=$B125) *
        (IMPORTRANGE(""https://docs.google.com/spreadsheets/d/161aHT6vVT3SLneTKD19N5qVWtnj_jIT8CSsOmUVKmaA/e"&amp;"dit?gid=1761053510"",
          ""Haris_Form responses 1!$AQ:$AQ"")=2)
      ),
      1
    ),
    ""0""
  ),
  ""Form not found""
)
"),"0")</f>
        <v>0</v>
      </c>
      <c r="AT1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1!$E:$E"")=$B125) *
        (IMPORTRANGE(""https://docs.google.com/spreadsheets/d/161aHT6vVT3SLneTKD19N5qVWtnj_jIT8CSsOmUVKmaA/e"&amp;"dit?gid=1761053510"",
          ""Haris_Form responses 1!$AQ:$AQ"")=3)
      ),
      1
    ),
    ""0""
  ),
  ""Form not found""
)
"),"0")</f>
        <v>0</v>
      </c>
      <c r="AU1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1!$E:$E"")=$B125) *
        (IMPORTRANGE(""https://docs.google.com/spreadsheets/d/161aHT6vVT3SLneTKD19N5qVWtnj_jIT8CSsOmUVKmaA/e"&amp;"dit?gid=1761053510"",
          ""Haris_Form responses 1!$AQ:$AQ"")=4)
      ),
      1
    ),
    ""0""
  ),
  ""Form not found""
)
"),"Form not found")</f>
        <v>Form not found</v>
      </c>
      <c r="AV1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1!$E:$E"")=$B125) *
        (IMPORTRANGE(""https://docs.google.com/spreadsheets/d/161aHT6vVT3SLneTKD19N5qVWtnj_jIT8CSsOmUVKmaA/e"&amp;"dit?gid=1761053510"",
          ""Haris_Form responses 1!$AQ:$AQ"")=5)
      ),
      1
    ),
    ""0""
  ),
  ""Form not found""
)
"),"Form not found")</f>
        <v>Form not found</v>
      </c>
      <c r="AW1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1!$E:$E"")=$B125) *
        (IMPORTRANGE(""https://docs.google.com/spreadsheets/d/161aHT6vVT3SLneTKD19N5qVWtnj_jIT8CSsOmUVKmaA/e"&amp;"dit?gid=1761053510"",
          ""Haris_Form responses 1!$AQ:$AQ"")=6)
      ),
      1
    ),
    ""0""
  ),
  ""Form not found""
)
"),"Form not found")</f>
        <v>Form not found</v>
      </c>
      <c r="AX1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1!$E:$E"")=$B125) *
        (IMPORTRANGE(""https://docs.google.com/spreadsheets/d/161aHT6vVT3SLneTKD19N5qVWtnj_jIT8CSsOmUVKmaA/e"&amp;"dit?gid=1761053510"",
          ""Haris_Form responses 1!$AQ:$AQ"")=1)
      ),
      1
    ),
    ""0""
  ),
  ""Form not found""
)
"),"10")</f>
        <v>10</v>
      </c>
      <c r="AY1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1!$E:$E"")=$B125) *
        (IMPORTRANGE(""https://docs.google.com/spreadsheets/d/161aHT6vVT3SLneTKD19N5qVWtnj_jIT8CSsOmUVKmaA/e"&amp;"dit?gid=1761053510"",
          ""Haris_Form responses 1!$AQ:$AQ"")=2)
      ),
      1
    ),
    ""0""
  ),
  ""Form not found""
)
"),"0")</f>
        <v>0</v>
      </c>
      <c r="AZ1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1!$E:$E"")=$B125) *
        (IMPORTRANGE(""https://docs.google.com/spreadsheets/d/161aHT6vVT3SLneTKD19N5qVWtnj_jIT8CSsOmUVKmaA/e"&amp;"dit?gid=1761053510"",
          ""Haris_Form responses 1!$AQ:$AQ"")=3)
      ),
      1
    ),
    ""0""
  ),
  ""Form not found""
)
"),"0")</f>
        <v>0</v>
      </c>
      <c r="BA1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1!$E:$E"")=$B125) *
        (IMPORTRANGE(""https://docs.google.com/spreadsheets/d/161aHT6vVT3SLneTKD19N5qVWtnj_jIT8CSsOmUVKmaA/e"&amp;"dit?gid=1761053510"",
          ""Haris_Form responses 1!$AQ:$AQ"")=4)
      ),
      1
    ),
    ""0""
  ),
  ""Form not found""
)
"),"Form not found")</f>
        <v>Form not found</v>
      </c>
      <c r="BB1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1!$E:$E"")=$B125) *
        (IMPORTRANGE(""https://docs.google.com/spreadsheets/d/161aHT6vVT3SLneTKD19N5qVWtnj_jIT8CSsOmUVKmaA/e"&amp;"dit?gid=1761053510"",
          ""Haris_Form responses 1!$AQ:$AQ"")=5)
      ),
      1
    ),
    ""0""
  ),
  ""Form not found""
)
"),"Form not found")</f>
        <v>Form not found</v>
      </c>
      <c r="BC1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1!$E:$E"")=$B125) *
        (IMPORTRANGE(""https://docs.google.com/spreadsheets/d/161aHT6vVT3SLneTKD19N5qVWtnj_jIT8CSsOmUVKmaA/e"&amp;"dit?gid=1761053510"",
          ""Haris_Form responses 1!$AQ:$AQ"")=6)
      ),
      1
    ),
    ""0""
  ),
  ""Form not found""
)
"),"Form not found")</f>
        <v>Form not found</v>
      </c>
      <c r="BD125" s="293"/>
    </row>
    <row r="126">
      <c r="A126" s="283" t="str">
        <f>IFERROR(__xludf.DUMMYFUNCTION("VLOOKUP($B126,IMPORTRANGE(""https://docs.google.com/spreadsheets/d/1VNXDITjs75AcgdBSW27oL1VZH31udDprJSsBcE5xlp4/edit?gid=1551188038#gid=1551188038"", ""Sheet9!$B:$E""),2,false)"),"Sargodha")</f>
        <v>Sargodha</v>
      </c>
      <c r="B126" s="283" t="s">
        <v>2454</v>
      </c>
      <c r="C126" s="284" t="str">
        <f>IFERROR(__xludf.DUMMYFUNCTION("VLOOKUP(TRIM($B126), IMPORTRANGE(""https://docs.google.com/spreadsheets/d/1aSOrU4PTpuBZqfitKaH1Rfww6-YOiNCKoBpPl8XBHaw/edit?gid=0#gid=0"", ""sheet3!$B:$C""), 2, FALSE)
"),"Jamia Masjid Company Bhaag Sargodha")</f>
        <v>Jamia Masjid Company Bhaag Sargodha</v>
      </c>
      <c r="D126" s="284" t="str">
        <f>IFERROR(__xludf.DUMMYFUNCTION("IFERROR(
  INDEX(
    FILTER(
      IMPORTRANGE(""1aSOrU4PTpuBZqfitKaH1Rfww6-YOiNCKoBpPl8XBHaw/edit?gid=0#gid=0"",""Sheet1!G:G""),
      IMPORTRANGE(""1aSOrU4PTpuBZqfitKaH1Rfww6-YOiNCKoBpPl8XBHaw/edit?gid=0#gid=0"",""Sheet1!C:C"")=$B126
    ),
    1
  ),
"&amp;"  ""Not Found""
)"),"Control")</f>
        <v>Control</v>
      </c>
      <c r="E126" s="284" t="str">
        <f>VLOOKUP(B126,'Juma Recording forms'!A:E,5,false)</f>
        <v>Jamia masjid company Bagh sargodha</v>
      </c>
      <c r="F126" s="284" t="str">
        <f>IFERROR(__xludf.DUMMYFUNCTION("IFERROR(
  INDEX(
    FILTER(
      IMPORTRANGE(""1Cxrhp3-_-HS7v9uuqQliiIfrmMP4VaFoDNDWyUFy2J8/edit?gid=0#gid=0"",""Sheet1!Q:Q""),
      IMPORTRANGE(""1Cxrhp3-_-HS7v9uuqQliiIfrmMP4VaFoDNDWyUFy2J8/edit?gid=0#gid=0"",""Sheet1!K:K"")=$B126
    ),
    1
  ),
"&amp;"  ""Not Found""
)"),"Mulana Ahmed Hassan")</f>
        <v>Mulana Ahmed Hassan</v>
      </c>
      <c r="G126" s="284"/>
      <c r="H126" s="284"/>
      <c r="I126" s="285"/>
      <c r="J126" s="286">
        <v>2.0</v>
      </c>
      <c r="K126" s="287" t="str">
        <f>VLOOKUP($B126,'Mosque Locations'!$A:$E,3,FALSE)
</f>
        <v>https://www.google.com/maps?q=32.0838981,72.664355</v>
      </c>
      <c r="L126" s="286">
        <f>VLOOKUP($B126,'Mosque Locations'!$A:$E,4,FALSE)
</f>
        <v>32.0839</v>
      </c>
      <c r="M126" s="286">
        <f>VLOOKUP($B126,'Mosque Locations'!$A:$E,5,false)</f>
        <v>72.66436</v>
      </c>
      <c r="N126" s="288"/>
      <c r="O126" s="288"/>
      <c r="P126" s="288"/>
      <c r="Q126" s="289" t="str">
        <f>IFERROR(__xludf.DUMMYFUNCTION("IFERROR(
  INDEX(
    FILTER(
      IMPORTRANGE(""1DccNxjBgurEr0ABkI_rBagJT5phB5HaHG5N_mTm_BiA/edit?gid=1382299152#gid=1382299152"",""Form Responses 1!T:T""),
      IMPORTRANGE(""1DccNxjBgurEr0ABkI_rBagJT5phB5HaHG5N_mTm_BiA/edit?gid=1382299152#gid=1382299"&amp;"152"",""Form Responses 1!E:E"")=$B126
    ),
    1
  ),
  ""Not Found""
)"),"https://drive.google.com/open?id=1EH8Rno9C-NygMGf4aoFjOEBgxsHyRvbz")</f>
        <v>https://drive.google.com/open?id=1EH8Rno9C-NygMGf4aoFjOEBgxsHyRvbz</v>
      </c>
      <c r="R126" s="289" t="str">
        <f>IFERROR(__xludf.DUMMYFUNCTION("IFERROR(
  INDEX(
    FILTER(
      IMPORTRANGE(""1DccNxjBgurEr0ABkI_rBagJT5phB5HaHG5N_mTm_BiA/edit?gid=1382299152#gid=1382299152"",""Form Responses 1!S:S""),
      IMPORTRANGE(""1DccNxjBgurEr0ABkI_rBagJT5phB5HaHG5N_mTm_BiA/edit?gid=1382299152#gid=1382299"&amp;"152"",""Form Responses 1!E:E"")=$B126
    ),
    1
  ),
  ""Not Found""
)"),"https://drive.google.com/open?id=1nAnJVI59rc1gvUcdOQvLrognh9msnDq8")</f>
        <v>https://drive.google.com/open?id=1nAnJVI59rc1gvUcdOQvLrognh9msnDq8</v>
      </c>
      <c r="S126" s="285"/>
      <c r="T126" s="290" t="str">
        <f>VLOOKUP($B126,'Master Tracker'!$D:$E,2,false)</f>
        <v>https://drive.google.com/open?id=1QqzLwtK9R-gxHlma3nm7z0JjMaS_7arW</v>
      </c>
      <c r="U126" s="291" t="str">
        <f>VLOOKUP($B126,'Master Tracker'!$D:$T,4,FALSE)
</f>
        <v>https://drive.google.com/open?id=1KubbSS51bMJtdAigoMsTcYndW0TJGfGy</v>
      </c>
      <c r="V126" s="284" t="str">
        <f>VLOOKUP($B126,'Master Tracker'!$D:$T,5,false)</f>
        <v>Not Found</v>
      </c>
      <c r="W126" s="292" t="str">
        <f>VLOOKUP($B126,'Master Tracker'!$D:$T,7,false)</f>
        <v>Not Found</v>
      </c>
      <c r="X126" s="290" t="str">
        <f>VLOOKUP($B126,'Master Tracker'!$D:$T,8,false)</f>
        <v>https://drive.google.com/open?id=1eu85pmOE3QFidy4a9PnlYtUT6ENf01n_</v>
      </c>
      <c r="Y126" s="291" t="str">
        <f>VLOOKUP($B126,'Master Tracker'!$D:$T,10,false)</f>
        <v>https://drive.google.com/open?id=1i5TUeOnYx68kBrJ5v322hP2enmtPN9wa</v>
      </c>
      <c r="Z126" s="284" t="str">
        <f>VLOOKUP($B126,'Master Tracker'!$D:$T,11,false)</f>
        <v>Not Found</v>
      </c>
      <c r="AA126" s="292" t="str">
        <f>VLOOKUP($B126,'Master Tracker'!$D:$T,13,false)</f>
        <v>Not Found</v>
      </c>
      <c r="AB126" s="284" t="str">
        <f>VLOOKUP($B126,'Master Tracker'!$D:$T,14,false)</f>
        <v>Not Found</v>
      </c>
      <c r="AC126" s="292" t="str">
        <f>VLOOKUP($B126,'Master Tracker'!$D:$T,16,false)</f>
        <v>Not Found</v>
      </c>
      <c r="AD126" s="292" t="str">
        <f>VLOOKUP($B126,'Master Tracker'!$D:$T,17,false)</f>
        <v>Not Found</v>
      </c>
      <c r="AE126" s="292" t="str">
        <f>VLOOKUP($B126,'Master Tracker'!$D:$V,19,false)</f>
        <v>Not Found</v>
      </c>
      <c r="AF126" s="292">
        <f>IFERROR(__xludf.DUMMYFUNCTION("IFERROR(
  INDEX(
    FILTER(
      'Juma Recording forms'!$G:$G,
      TRIM('Juma Recording forms'!$F:$F) = TRIM($B126),
      'Juma Recording forms'!$AA:$AA = 1
    ),
    1
  ),
  ""Not Found""
)"),990.0)</f>
        <v>990</v>
      </c>
      <c r="AG126" s="292" t="str">
        <f>IFERROR(__xludf.DUMMYFUNCTION("IFERROR(
  INDEX(
    FILTER(
      'Juma Recording forms'!$G:$G,
      TRIM('Juma Recording forms'!$F:$F) = TRIM($B126),
      'Juma Recording forms'!$AA:$AA = 2
    ),
    1
  ),
  ""Not Found""
)"),"Not Found")</f>
        <v>Not Found</v>
      </c>
      <c r="AH126" s="292">
        <f>IFERROR(__xludf.DUMMYFUNCTION("IFERROR(
  INDEX(
    FILTER(
      'Juma Recording forms'!$G:$G,
      TRIM('Juma Recording forms'!$F:$F) = TRIM($B126),
      'Juma Recording forms'!$AA:$AA = 3
    ),
    1
  ),
  ""Not Found""
)"),950.0)</f>
        <v>950</v>
      </c>
      <c r="AI126" s="292" t="str">
        <f>IFERROR(__xludf.DUMMYFUNCTION("IFERROR(
  INDEX(
    FILTER(
      'Juma Recording forms'!$G:$G,
      TRIM('Juma Recording forms'!$F:$F) = TRIM($B126),
      'Juma Recording forms'!$AA:$AA = 4
    ),
    1
  ),
  ""Not Found""
)"),"Not Found")</f>
        <v>Not Found</v>
      </c>
      <c r="AJ126" s="292" t="str">
        <f>IFERROR(__xludf.DUMMYFUNCTION("IFERROR(
  INDEX(
    FILTER(
      'Juma Recording forms'!$G:$G,
      TRIM('Juma Recording forms'!$F:$F) = TRIM($B126),
      'Juma Recording forms'!$AA:$AA = 5
    ),
    1
  ),
  ""Not Found""
)"),"Not Found")</f>
        <v>Not Found</v>
      </c>
      <c r="AK126" s="292"/>
      <c r="AL1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1!$E:$E"")=$B126) *
        (IMPORTRANGE(""https://docs.google.com/spreadsheets/d/161aHT6vVT3SLneTKD19N5qVWtnj_jIT8CSsOmUVKmaA/e"&amp;"dit?gid=1761053510"",
          ""Haris_Form responses 1!$AQ:$AQ"")=1)
      ),
      1
    ),
    ""0""
  ),
  ""Form not found""
)
"),"0")</f>
        <v>0</v>
      </c>
      <c r="AM1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1!$E:$E"")=$B126) *
        (IMPORTRANGE(""https://docs.google.com/spreadsheets/d/161aHT6vVT3SLneTKD19N5qVWtnj_jIT8CSsOmUVKmaA/e"&amp;"dit?gid=1761053510"",
          ""Haris_Form responses 1!$AQ:$AQ"")=2)
      ),
      1
    ),
    ""0""
  ),
  ""Form not found""
)
"),"Form not found")</f>
        <v>Form not found</v>
      </c>
      <c r="AN1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1!$E:$E"")=$B126) *
        (IMPORTRANGE(""https://docs.google.com/spreadsheets/d/161aHT6vVT3SLneTKD19N5qVWtnj_jIT8CSsOmUVKmaA/e"&amp;"dit?gid=1761053510"",
          ""Haris_Form responses 1!$AQ:$AQ"")=3)
      ),
      1
    ),
    ""0""
  ),
  ""Form not found""
)
"),"0")</f>
        <v>0</v>
      </c>
      <c r="AO1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1!$E:$E"")=$B126) *
        (IMPORTRANGE(""https://docs.google.com/spreadsheets/d/161aHT6vVT3SLneTKD19N5qVWtnj_jIT8CSsOmUVKmaA/e"&amp;"dit?gid=1761053510"",
          ""Haris_Form responses 1!$AQ:$AQ"")=4)
      ),
      1
    ),
    ""0""
  ),
  ""Form not found""
)
"),"Form not found")</f>
        <v>Form not found</v>
      </c>
      <c r="AP1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1!$E:$E"")=$B126) *
        (IMPORTRANGE(""https://docs.google.com/spreadsheets/d/161aHT6vVT3SLneTKD19N5qVWtnj_jIT8CSsOmUVKmaA/e"&amp;"dit?gid=1761053510"",
          ""Haris_Form responses 1!$AQ:$AQ"")=5)
      ),
      1
    ),
    ""0""
  ),
  ""Form not found""
)
"),"Form not found")</f>
        <v>Form not found</v>
      </c>
      <c r="AQ1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1!$E:$E"")=$B126) *
        (IMPORTRANGE(""https://docs.google.com/spreadsheets/d/161aHT6vVT3SLneTKD19N5qVWtnj_jIT8CSsOmUVKmaA/e"&amp;"dit?gid=1761053510"",
          ""Haris_Form responses 1!$AQ:$AQ"")=6)
      ),
      1
    ),
    ""0""
  ),
  ""Form not found""
)
"),"Form not found")</f>
        <v>Form not found</v>
      </c>
      <c r="AR1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1!$E:$E"")=$B126) *
        (IMPORTRANGE(""https://docs.google.com/spreadsheets/d/161aHT6vVT3SLneTKD19N5qVWtnj_jIT8CSsOmUVKmaA/e"&amp;"dit?gid=1761053510"",
          ""Haris_Form responses 1!$AQ:$AQ"")=1)
      ),
      1
    ),
    ""0""
  ),
  ""Form not found""
)
"),"0")</f>
        <v>0</v>
      </c>
      <c r="AS1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1!$E:$E"")=$B126) *
        (IMPORTRANGE(""https://docs.google.com/spreadsheets/d/161aHT6vVT3SLneTKD19N5qVWtnj_jIT8CSsOmUVKmaA/e"&amp;"dit?gid=1761053510"",
          ""Haris_Form responses 1!$AQ:$AQ"")=2)
      ),
      1
    ),
    ""0""
  ),
  ""Form not found""
)
"),"Form not found")</f>
        <v>Form not found</v>
      </c>
      <c r="AT1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1!$E:$E"")=$B126) *
        (IMPORTRANGE(""https://docs.google.com/spreadsheets/d/161aHT6vVT3SLneTKD19N5qVWtnj_jIT8CSsOmUVKmaA/e"&amp;"dit?gid=1761053510"",
          ""Haris_Form responses 1!$AQ:$AQ"")=3)
      ),
      1
    ),
    ""0""
  ),
  ""Form not found""
)
"),"0")</f>
        <v>0</v>
      </c>
      <c r="AU1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1!$E:$E"")=$B126) *
        (IMPORTRANGE(""https://docs.google.com/spreadsheets/d/161aHT6vVT3SLneTKD19N5qVWtnj_jIT8CSsOmUVKmaA/e"&amp;"dit?gid=1761053510"",
          ""Haris_Form responses 1!$AQ:$AQ"")=4)
      ),
      1
    ),
    ""0""
  ),
  ""Form not found""
)
"),"Form not found")</f>
        <v>Form not found</v>
      </c>
      <c r="AV1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1!$E:$E"")=$B126) *
        (IMPORTRANGE(""https://docs.google.com/spreadsheets/d/161aHT6vVT3SLneTKD19N5qVWtnj_jIT8CSsOmUVKmaA/e"&amp;"dit?gid=1761053510"",
          ""Haris_Form responses 1!$AQ:$AQ"")=5)
      ),
      1
    ),
    ""0""
  ),
  ""Form not found""
)
"),"Form not found")</f>
        <v>Form not found</v>
      </c>
      <c r="AW1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1!$E:$E"")=$B126) *
        (IMPORTRANGE(""https://docs.google.com/spreadsheets/d/161aHT6vVT3SLneTKD19N5qVWtnj_jIT8CSsOmUVKmaA/e"&amp;"dit?gid=1761053510"",
          ""Haris_Form responses 1!$AQ:$AQ"")=6)
      ),
      1
    ),
    ""0""
  ),
  ""Form not found""
)
"),"Form not found")</f>
        <v>Form not found</v>
      </c>
      <c r="AX1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1!$E:$E"")=$B126) *
        (IMPORTRANGE(""https://docs.google.com/spreadsheets/d/161aHT6vVT3SLneTKD19N5qVWtnj_jIT8CSsOmUVKmaA/e"&amp;"dit?gid=1761053510"",
          ""Haris_Form responses 1!$AQ:$AQ"")=1)
      ),
      1
    ),
    ""0""
  ),
  ""Form not found""
)
"),"0")</f>
        <v>0</v>
      </c>
      <c r="AY1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1!$E:$E"")=$B126) *
        (IMPORTRANGE(""https://docs.google.com/spreadsheets/d/161aHT6vVT3SLneTKD19N5qVWtnj_jIT8CSsOmUVKmaA/e"&amp;"dit?gid=1761053510"",
          ""Haris_Form responses 1!$AQ:$AQ"")=2)
      ),
      1
    ),
    ""0""
  ),
  ""Form not found""
)
"),"Form not found")</f>
        <v>Form not found</v>
      </c>
      <c r="AZ1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1!$E:$E"")=$B126) *
        (IMPORTRANGE(""https://docs.google.com/spreadsheets/d/161aHT6vVT3SLneTKD19N5qVWtnj_jIT8CSsOmUVKmaA/e"&amp;"dit?gid=1761053510"",
          ""Haris_Form responses 1!$AQ:$AQ"")=3)
      ),
      1
    ),
    ""0""
  ),
  ""Form not found""
)
"),"2")</f>
        <v>2</v>
      </c>
      <c r="BA1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1!$E:$E"")=$B126) *
        (IMPORTRANGE(""https://docs.google.com/spreadsheets/d/161aHT6vVT3SLneTKD19N5qVWtnj_jIT8CSsOmUVKmaA/e"&amp;"dit?gid=1761053510"",
          ""Haris_Form responses 1!$AQ:$AQ"")=4)
      ),
      1
    ),
    ""0""
  ),
  ""Form not found""
)
"),"Form not found")</f>
        <v>Form not found</v>
      </c>
      <c r="BB1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1!$E:$E"")=$B126) *
        (IMPORTRANGE(""https://docs.google.com/spreadsheets/d/161aHT6vVT3SLneTKD19N5qVWtnj_jIT8CSsOmUVKmaA/e"&amp;"dit?gid=1761053510"",
          ""Haris_Form responses 1!$AQ:$AQ"")=5)
      ),
      1
    ),
    ""0""
  ),
  ""Form not found""
)
"),"Form not found")</f>
        <v>Form not found</v>
      </c>
      <c r="BC1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1!$E:$E"")=$B126) *
        (IMPORTRANGE(""https://docs.google.com/spreadsheets/d/161aHT6vVT3SLneTKD19N5qVWtnj_jIT8CSsOmUVKmaA/e"&amp;"dit?gid=1761053510"",
          ""Haris_Form responses 1!$AQ:$AQ"")=6)
      ),
      1
    ),
    ""0""
  ),
  ""Form not found""
)
"),"Form not found")</f>
        <v>Form not found</v>
      </c>
      <c r="BD126" s="293"/>
    </row>
    <row r="127">
      <c r="A127" s="283" t="str">
        <f>IFERROR(__xludf.DUMMYFUNCTION("VLOOKUP($B127,IMPORTRANGE(""https://docs.google.com/spreadsheets/d/1VNXDITjs75AcgdBSW27oL1VZH31udDprJSsBcE5xlp4/edit?gid=1551188038#gid=1551188038"", ""Sheet9!$B:$E""),2,false)"),"Khushab")</f>
        <v>Khushab</v>
      </c>
      <c r="B127" s="283" t="s">
        <v>4575</v>
      </c>
      <c r="C127" s="284" t="str">
        <f>IFERROR(__xludf.DUMMYFUNCTION("VLOOKUP(TRIM($B127), IMPORTRANGE(""https://docs.google.com/spreadsheets/d/1aSOrU4PTpuBZqfitKaH1Rfww6-YOiNCKoBpPl8XBHaw/edit?gid=0#gid=0"", ""sheet3!$B:$C""), 2, FALSE)
"),"Jamia Masjid Main Bazar Khushab")</f>
        <v>Jamia Masjid Main Bazar Khushab</v>
      </c>
      <c r="D127" s="284" t="str">
        <f>IFERROR(__xludf.DUMMYFUNCTION("IFERROR(
  INDEX(
    FILTER(
      IMPORTRANGE(""1aSOrU4PTpuBZqfitKaH1Rfww6-YOiNCKoBpPl8XBHaw/edit?gid=0#gid=0"",""Sheet1!G:G""),
      IMPORTRANGE(""1aSOrU4PTpuBZqfitKaH1Rfww6-YOiNCKoBpPl8XBHaw/edit?gid=0#gid=0"",""Sheet1!C:C"")=$B127
    ),
    1
  ),
"&amp;"  ""Not Found""
)"),"Control")</f>
        <v>Control</v>
      </c>
      <c r="E127" s="284" t="str">
        <f>VLOOKUP(B127,'Juma Recording forms'!A:E,5,false)</f>
        <v>Markazi jamiya msjid maine bazar khushab</v>
      </c>
      <c r="F127" s="284" t="str">
        <f>IFERROR(__xludf.DUMMYFUNCTION("IFERROR(
  INDEX(
    FILTER(
      IMPORTRANGE(""1Cxrhp3-_-HS7v9uuqQliiIfrmMP4VaFoDNDWyUFy2J8/edit?gid=0#gid=0"",""Sheet1!Q:Q""),
      IMPORTRANGE(""1Cxrhp3-_-HS7v9uuqQliiIfrmMP4VaFoDNDWyUFy2J8/edit?gid=0#gid=0"",""Sheet1!K:K"")=$B127
    ),
    1
  ),
"&amp;"  ""Not Found""
)"),"Not Found")</f>
        <v>Not Found</v>
      </c>
      <c r="G127" s="284"/>
      <c r="H127" s="284"/>
      <c r="I127" s="285"/>
      <c r="J127" s="286">
        <v>2.0</v>
      </c>
      <c r="K127" s="287" t="str">
        <f>VLOOKUP($B127,'Mosque Locations'!$A:$E,3,FALSE)
</f>
        <v>https://www.google.com/maps/place/Markazi+Jamiya+Masjid,+Main+Bazar,+Khushab/@32.2941191,72.3500458,17z/data=!4m15!1m8!3m7!1s0x3921162597ce503b:0x2f7ee49841d4b080!2sKhush%C4%81b,+Khushab,+Punjab!3b1!8m2!3d32.2955365!4d72.3488721!16zL20vMDl4bHBr!3m5!1s0x3921163f768b6801:0x64603c0b00fa7cc!8m2!3d32.2935515!4d72.3538443!16s%2Fg%2F1hhwkx8wx?entry=ttu&amp;g_ep=EgoyMDI0MTAwMS4wIKXMDSoASAFQAw%3D%3D</v>
      </c>
      <c r="L127" s="286">
        <f>VLOOKUP($B127,'Mosque Locations'!$A:$E,4,FALSE)
</f>
        <v>32.29355</v>
      </c>
      <c r="M127" s="286">
        <f>VLOOKUP($B127,'Mosque Locations'!$A:$E,5,false)</f>
        <v>72.35384</v>
      </c>
      <c r="N127" s="288"/>
      <c r="O127" s="288"/>
      <c r="P127" s="288"/>
      <c r="Q127" s="289" t="str">
        <f>IFERROR(__xludf.DUMMYFUNCTION("IFERROR(
  INDEX(
    FILTER(
      IMPORTRANGE(""1DccNxjBgurEr0ABkI_rBagJT5phB5HaHG5N_mTm_BiA/edit?gid=1382299152#gid=1382299152"",""Form Responses 1!T:T""),
      IMPORTRANGE(""1DccNxjBgurEr0ABkI_rBagJT5phB5HaHG5N_mTm_BiA/edit?gid=1382299152#gid=1382299"&amp;"152"",""Form Responses 1!E:E"")=$B127
    ),
    1
  ),
  ""Not Found""
)"),"https://drive.google.com/open?id=13-e0QourTePWt4Kp2zbtuX3OR_aU5GRa")</f>
        <v>https://drive.google.com/open?id=13-e0QourTePWt4Kp2zbtuX3OR_aU5GRa</v>
      </c>
      <c r="R127" s="295" t="str">
        <f>IFERROR(__xludf.DUMMYFUNCTION("IFERROR(
  INDEX(
    FILTER(
      IMPORTRANGE(""1DccNxjBgurEr0ABkI_rBagJT5phB5HaHG5N_mTm_BiA/edit?gid=1382299152#gid=1382299152"",""Form Responses 1!S:S""),
      IMPORTRANGE(""1DccNxjBgurEr0ABkI_rBagJT5phB5HaHG5N_mTm_BiA/edit?gid=1382299152#gid=1382299"&amp;"152"",""Form Responses 1!E:E"")=$B127
    ),
    1
  ),
  ""Not Found""
)"),"https://drive.google.com/open?id=1ZgToLWUpFYY1Pz0UUOl_y5_C__vMvXsy")</f>
        <v>https://drive.google.com/open?id=1ZgToLWUpFYY1Pz0UUOl_y5_C__vMvXsy</v>
      </c>
      <c r="S127" s="285"/>
      <c r="T127" s="290" t="str">
        <f>VLOOKUP($B127,'Master Tracker'!$D:$E,2,false)</f>
        <v>https://drive.google.com/open?id=1ePG7YGeGVSwo83uE7xCwzGTgAK-7cArv</v>
      </c>
      <c r="U127" s="291" t="str">
        <f>VLOOKUP($B127,'Master Tracker'!$D:$T,4,FALSE)
</f>
        <v>https://drive.google.com/open?id=1h6UN6M9XMjIF4MHEQFA2sPuKRg7xg0y6</v>
      </c>
      <c r="V127" s="284" t="str">
        <f>VLOOKUP($B127,'Master Tracker'!$D:$T,5,false)</f>
        <v>Not Found</v>
      </c>
      <c r="W127" s="292" t="str">
        <f>VLOOKUP($B127,'Master Tracker'!$D:$T,7,false)</f>
        <v>Not Found</v>
      </c>
      <c r="X127" s="290" t="str">
        <f>VLOOKUP($B127,'Master Tracker'!$D:$T,8,false)</f>
        <v>https://drive.google.com/open?id=1HBWjKVQoK7jE0CqrV68z4C7hHAjETlzI</v>
      </c>
      <c r="Y127" s="291" t="str">
        <f>VLOOKUP($B127,'Master Tracker'!$D:$T,10,false)</f>
        <v>https://drive.google.com/open?id=1bIKKjq5jeSfodgN9XlhLOucgDEjvLYJy</v>
      </c>
      <c r="Z127" s="284" t="str">
        <f>VLOOKUP($B127,'Master Tracker'!$D:$T,11,false)</f>
        <v>Not Found</v>
      </c>
      <c r="AA127" s="292" t="str">
        <f>VLOOKUP($B127,'Master Tracker'!$D:$T,13,false)</f>
        <v>Not Found</v>
      </c>
      <c r="AB127" s="284" t="str">
        <f>VLOOKUP($B127,'Master Tracker'!$D:$T,14,false)</f>
        <v>Not Found</v>
      </c>
      <c r="AC127" s="292" t="str">
        <f>VLOOKUP($B127,'Master Tracker'!$D:$T,16,false)</f>
        <v>Not Found</v>
      </c>
      <c r="AD127" s="292" t="str">
        <f>VLOOKUP($B127,'Master Tracker'!$D:$T,17,false)</f>
        <v>Not Found</v>
      </c>
      <c r="AE127" s="292" t="str">
        <f>VLOOKUP($B127,'Master Tracker'!$D:$V,19,false)</f>
        <v>Not Found</v>
      </c>
      <c r="AF127" s="292">
        <f>IFERROR(__xludf.DUMMYFUNCTION("IFERROR(
  INDEX(
    FILTER(
      'Juma Recording forms'!$G:$G,
      TRIM('Juma Recording forms'!$F:$F) = TRIM($B127),
      'Juma Recording forms'!$AA:$AA = 1
    ),
    1
  ),
  ""Not Found""
)"),980.0)</f>
        <v>980</v>
      </c>
      <c r="AG127" s="292" t="str">
        <f>IFERROR(__xludf.DUMMYFUNCTION("IFERROR(
  INDEX(
    FILTER(
      'Juma Recording forms'!$G:$G,
      TRIM('Juma Recording forms'!$F:$F) = TRIM($B127),
      'Juma Recording forms'!$AA:$AA = 2
    ),
    1
  ),
  ""Not Found""
)"),"Not Found")</f>
        <v>Not Found</v>
      </c>
      <c r="AH127" s="292">
        <f>IFERROR(__xludf.DUMMYFUNCTION("IFERROR(
  INDEX(
    FILTER(
      'Juma Recording forms'!$G:$G,
      TRIM('Juma Recording forms'!$F:$F) = TRIM($B127),
      'Juma Recording forms'!$AA:$AA = 3
    ),
    1
  ),
  ""Not Found""
)"),950.0)</f>
        <v>950</v>
      </c>
      <c r="AI127" s="292" t="str">
        <f>IFERROR(__xludf.DUMMYFUNCTION("IFERROR(
  INDEX(
    FILTER(
      'Juma Recording forms'!$G:$G,
      TRIM('Juma Recording forms'!$F:$F) = TRIM($B127),
      'Juma Recording forms'!$AA:$AA = 4
    ),
    1
  ),
  ""Not Found""
)"),"Not Found")</f>
        <v>Not Found</v>
      </c>
      <c r="AJ127" s="292" t="str">
        <f>IFERROR(__xludf.DUMMYFUNCTION("IFERROR(
  INDEX(
    FILTER(
      'Juma Recording forms'!$G:$G,
      TRIM('Juma Recording forms'!$F:$F) = TRIM($B127),
      'Juma Recording forms'!$AA:$AA = 5
    ),
    1
  ),
  ""Not Found""
)"),"Not Found")</f>
        <v>Not Found</v>
      </c>
      <c r="AK127" s="292"/>
      <c r="AL1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1!$E:$E"")=$B127) *
        (IMPORTRANGE(""https://docs.google.com/spreadsheets/d/161aHT6vVT3SLneTKD19N5qVWtnj_jIT8CSsOmUVKmaA/e"&amp;"dit?gid=1761053510"",
          ""Haris_Form responses 1!$AQ:$AQ"")=1)
      ),
      1
    ),
    ""0""
  ),
  ""Form not found""
)
"),"0")</f>
        <v>0</v>
      </c>
      <c r="AM1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1!$E:$E"")=$B127) *
        (IMPORTRANGE(""https://docs.google.com/spreadsheets/d/161aHT6vVT3SLneTKD19N5qVWtnj_jIT8CSsOmUVKmaA/e"&amp;"dit?gid=1761053510"",
          ""Haris_Form responses 1!$AQ:$AQ"")=2)
      ),
      1
    ),
    ""0""
  ),
  ""Form not found""
)
"),"Form not found")</f>
        <v>Form not found</v>
      </c>
      <c r="AN1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1!$E:$E"")=$B127) *
        (IMPORTRANGE(""https://docs.google.com/spreadsheets/d/161aHT6vVT3SLneTKD19N5qVWtnj_jIT8CSsOmUVKmaA/e"&amp;"dit?gid=1761053510"",
          ""Haris_Form responses 1!$AQ:$AQ"")=3)
      ),
      1
    ),
    ""0""
  ),
  ""Form not found""
)
"),"0")</f>
        <v>0</v>
      </c>
      <c r="AO1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1!$E:$E"")=$B127) *
        (IMPORTRANGE(""https://docs.google.com/spreadsheets/d/161aHT6vVT3SLneTKD19N5qVWtnj_jIT8CSsOmUVKmaA/e"&amp;"dit?gid=1761053510"",
          ""Haris_Form responses 1!$AQ:$AQ"")=4)
      ),
      1
    ),
    ""0""
  ),
  ""Form not found""
)
"),"Form not found")</f>
        <v>Form not found</v>
      </c>
      <c r="AP1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1!$E:$E"")=$B127) *
        (IMPORTRANGE(""https://docs.google.com/spreadsheets/d/161aHT6vVT3SLneTKD19N5qVWtnj_jIT8CSsOmUVKmaA/e"&amp;"dit?gid=1761053510"",
          ""Haris_Form responses 1!$AQ:$AQ"")=5)
      ),
      1
    ),
    ""0""
  ),
  ""Form not found""
)
"),"Form not found")</f>
        <v>Form not found</v>
      </c>
      <c r="AQ1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1!$E:$E"")=$B127) *
        (IMPORTRANGE(""https://docs.google.com/spreadsheets/d/161aHT6vVT3SLneTKD19N5qVWtnj_jIT8CSsOmUVKmaA/e"&amp;"dit?gid=1761053510"",
          ""Haris_Form responses 1!$AQ:$AQ"")=6)
      ),
      1
    ),
    ""0""
  ),
  ""Form not found""
)
"),"Form not found")</f>
        <v>Form not found</v>
      </c>
      <c r="AR1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1!$E:$E"")=$B127) *
        (IMPORTRANGE(""https://docs.google.com/spreadsheets/d/161aHT6vVT3SLneTKD19N5qVWtnj_jIT8CSsOmUVKmaA/e"&amp;"dit?gid=1761053510"",
          ""Haris_Form responses 1!$AQ:$AQ"")=1)
      ),
      1
    ),
    ""0""
  ),
  ""Form not found""
)
"),"0")</f>
        <v>0</v>
      </c>
      <c r="AS1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1!$E:$E"")=$B127) *
        (IMPORTRANGE(""https://docs.google.com/spreadsheets/d/161aHT6vVT3SLneTKD19N5qVWtnj_jIT8CSsOmUVKmaA/e"&amp;"dit?gid=1761053510"",
          ""Haris_Form responses 1!$AQ:$AQ"")=2)
      ),
      1
    ),
    ""0""
  ),
  ""Form not found""
)
"),"Form not found")</f>
        <v>Form not found</v>
      </c>
      <c r="AT1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1!$E:$E"")=$B127) *
        (IMPORTRANGE(""https://docs.google.com/spreadsheets/d/161aHT6vVT3SLneTKD19N5qVWtnj_jIT8CSsOmUVKmaA/e"&amp;"dit?gid=1761053510"",
          ""Haris_Form responses 1!$AQ:$AQ"")=3)
      ),
      1
    ),
    ""0""
  ),
  ""Form not found""
)
"),"0")</f>
        <v>0</v>
      </c>
      <c r="AU1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1!$E:$E"")=$B127) *
        (IMPORTRANGE(""https://docs.google.com/spreadsheets/d/161aHT6vVT3SLneTKD19N5qVWtnj_jIT8CSsOmUVKmaA/e"&amp;"dit?gid=1761053510"",
          ""Haris_Form responses 1!$AQ:$AQ"")=4)
      ),
      1
    ),
    ""0""
  ),
  ""Form not found""
)
"),"Form not found")</f>
        <v>Form not found</v>
      </c>
      <c r="AV1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1!$E:$E"")=$B127) *
        (IMPORTRANGE(""https://docs.google.com/spreadsheets/d/161aHT6vVT3SLneTKD19N5qVWtnj_jIT8CSsOmUVKmaA/e"&amp;"dit?gid=1761053510"",
          ""Haris_Form responses 1!$AQ:$AQ"")=5)
      ),
      1
    ),
    ""0""
  ),
  ""Form not found""
)
"),"Form not found")</f>
        <v>Form not found</v>
      </c>
      <c r="AW1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1!$E:$E"")=$B127) *
        (IMPORTRANGE(""https://docs.google.com/spreadsheets/d/161aHT6vVT3SLneTKD19N5qVWtnj_jIT8CSsOmUVKmaA/e"&amp;"dit?gid=1761053510"",
          ""Haris_Form responses 1!$AQ:$AQ"")=6)
      ),
      1
    ),
    ""0""
  ),
  ""Form not found""
)
"),"Form not found")</f>
        <v>Form not found</v>
      </c>
      <c r="AX1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1!$E:$E"")=$B127) *
        (IMPORTRANGE(""https://docs.google.com/spreadsheets/d/161aHT6vVT3SLneTKD19N5qVWtnj_jIT8CSsOmUVKmaA/e"&amp;"dit?gid=1761053510"",
          ""Haris_Form responses 1!$AQ:$AQ"")=1)
      ),
      1
    ),
    ""0""
  ),
  ""Form not found""
)
"),"0")</f>
        <v>0</v>
      </c>
      <c r="AY1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1!$E:$E"")=$B127) *
        (IMPORTRANGE(""https://docs.google.com/spreadsheets/d/161aHT6vVT3SLneTKD19N5qVWtnj_jIT8CSsOmUVKmaA/e"&amp;"dit?gid=1761053510"",
          ""Haris_Form responses 1!$AQ:$AQ"")=2)
      ),
      1
    ),
    ""0""
  ),
  ""Form not found""
)
"),"Form not found")</f>
        <v>Form not found</v>
      </c>
      <c r="AZ1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1!$E:$E"")=$B127) *
        (IMPORTRANGE(""https://docs.google.com/spreadsheets/d/161aHT6vVT3SLneTKD19N5qVWtnj_jIT8CSsOmUVKmaA/e"&amp;"dit?gid=1761053510"",
          ""Haris_Form responses 1!$AQ:$AQ"")=3)
      ),
      1
    ),
    ""0""
  ),
  ""Form not found""
)
"),"0")</f>
        <v>0</v>
      </c>
      <c r="BA1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1!$E:$E"")=$B127) *
        (IMPORTRANGE(""https://docs.google.com/spreadsheets/d/161aHT6vVT3SLneTKD19N5qVWtnj_jIT8CSsOmUVKmaA/e"&amp;"dit?gid=1761053510"",
          ""Haris_Form responses 1!$AQ:$AQ"")=4)
      ),
      1
    ),
    ""0""
  ),
  ""Form not found""
)
"),"Form not found")</f>
        <v>Form not found</v>
      </c>
      <c r="BB1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1!$E:$E"")=$B127) *
        (IMPORTRANGE(""https://docs.google.com/spreadsheets/d/161aHT6vVT3SLneTKD19N5qVWtnj_jIT8CSsOmUVKmaA/e"&amp;"dit?gid=1761053510"",
          ""Haris_Form responses 1!$AQ:$AQ"")=5)
      ),
      1
    ),
    ""0""
  ),
  ""Form not found""
)
"),"Form not found")</f>
        <v>Form not found</v>
      </c>
      <c r="BC1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1!$E:$E"")=$B127) *
        (IMPORTRANGE(""https://docs.google.com/spreadsheets/d/161aHT6vVT3SLneTKD19N5qVWtnj_jIT8CSsOmUVKmaA/e"&amp;"dit?gid=1761053510"",
          ""Haris_Form responses 1!$AQ:$AQ"")=6)
      ),
      1
    ),
    ""0""
  ),
  ""Form not found""
)
"),"Form not found")</f>
        <v>Form not found</v>
      </c>
      <c r="BD127" s="293"/>
    </row>
    <row r="128">
      <c r="A128" s="283" t="str">
        <f>IFERROR(__xludf.DUMMYFUNCTION("VLOOKUP($B128,IMPORTRANGE(""https://docs.google.com/spreadsheets/d/1VNXDITjs75AcgdBSW27oL1VZH31udDprJSsBcE5xlp4/edit?gid=1551188038#gid=1551188038"", ""Sheet9!$B:$E""),2,false)"),"Khushab")</f>
        <v>Khushab</v>
      </c>
      <c r="B128" s="283" t="s">
        <v>4576</v>
      </c>
      <c r="C128" s="284" t="str">
        <f>IFERROR(__xludf.DUMMYFUNCTION("VLOOKUP(TRIM($B128), IMPORTRANGE(""https://docs.google.com/spreadsheets/d/1aSOrU4PTpuBZqfitKaH1Rfww6-YOiNCKoBpPl8XBHaw/edit?gid=0#gid=0"", ""sheet3!$B:$C""), 2, FALSE)
"),"Jamia Masjid Gulzar Madina Dariya Khan Bhakar")</f>
        <v>Jamia Masjid Gulzar Madina Dariya Khan Bhakar</v>
      </c>
      <c r="D128" s="284" t="str">
        <f>IFERROR(__xludf.DUMMYFUNCTION("IFERROR(
  INDEX(
    FILTER(
      IMPORTRANGE(""1aSOrU4PTpuBZqfitKaH1Rfww6-YOiNCKoBpPl8XBHaw/edit?gid=0#gid=0"",""Sheet1!G:G""),
      IMPORTRANGE(""1aSOrU4PTpuBZqfitKaH1Rfww6-YOiNCKoBpPl8XBHaw/edit?gid=0#gid=0"",""Sheet1!C:C"")=$B128
    ),
    1
  ),
"&amp;"  ""Not Found""
)"),"Control")</f>
        <v>Control</v>
      </c>
      <c r="E128" s="284" t="str">
        <f>VLOOKUP(B128,'Juma Recording forms'!A:E,5,false)</f>
        <v>Jamia masjid gulzar madina</v>
      </c>
      <c r="F128" s="284" t="str">
        <f>IFERROR(__xludf.DUMMYFUNCTION("IFERROR(
  INDEX(
    FILTER(
      IMPORTRANGE(""1Cxrhp3-_-HS7v9uuqQliiIfrmMP4VaFoDNDWyUFy2J8/edit?gid=0#gid=0"",""Sheet1!Q:Q""),
      IMPORTRANGE(""1Cxrhp3-_-HS7v9uuqQliiIfrmMP4VaFoDNDWyUFy2J8/edit?gid=0#gid=0"",""Sheet1!K:K"")=$B128
    ),
    1
  ),
"&amp;"  ""Not Found""
)"),"Allah Baksh ")</f>
        <v>Allah Baksh </v>
      </c>
      <c r="G128" s="284">
        <v>1940.0</v>
      </c>
      <c r="H128" s="284"/>
      <c r="I128" s="285"/>
      <c r="J128" s="286">
        <v>1.0</v>
      </c>
      <c r="K128" s="287" t="str">
        <f>VLOOKUP($B128,'Mosque Locations'!$A:$E,3,FALSE)
</f>
        <v>https://www.google.com/maps?q=31.7884292,71.1076099</v>
      </c>
      <c r="L128" s="286">
        <f>VLOOKUP($B128,'Mosque Locations'!$A:$E,4,FALSE)
</f>
        <v>31.78843</v>
      </c>
      <c r="M128" s="286">
        <f>VLOOKUP($B128,'Mosque Locations'!$A:$E,5,false)</f>
        <v>71.10761</v>
      </c>
      <c r="N128" s="288"/>
      <c r="O128" s="288"/>
      <c r="P128" s="288"/>
      <c r="Q128" s="289" t="str">
        <f>IFERROR(__xludf.DUMMYFUNCTION("IFERROR(
  INDEX(
    FILTER(
      IMPORTRANGE(""1DccNxjBgurEr0ABkI_rBagJT5phB5HaHG5N_mTm_BiA/edit?gid=1382299152#gid=1382299152"",""Form Responses 1!T:T""),
      IMPORTRANGE(""1DccNxjBgurEr0ABkI_rBagJT5phB5HaHG5N_mTm_BiA/edit?gid=1382299152#gid=1382299"&amp;"152"",""Form Responses 1!E:E"")=$B128
    ),
    1
  ),
  ""Not Found""
)"),"https://drive.google.com/open?id=16F058S3ofRLijGkEUOIYMfcU4Q8WDTTC")</f>
        <v>https://drive.google.com/open?id=16F058S3ofRLijGkEUOIYMfcU4Q8WDTTC</v>
      </c>
      <c r="R128" s="289" t="str">
        <f>IFERROR(__xludf.DUMMYFUNCTION("IFERROR(
  INDEX(
    FILTER(
      IMPORTRANGE(""1DccNxjBgurEr0ABkI_rBagJT5phB5HaHG5N_mTm_BiA/edit?gid=1382299152#gid=1382299152"",""Form Responses 1!S:S""),
      IMPORTRANGE(""1DccNxjBgurEr0ABkI_rBagJT5phB5HaHG5N_mTm_BiA/edit?gid=1382299152#gid=1382299"&amp;"152"",""Form Responses 1!E:E"")=$B128
    ),
    1
  ),
  ""Not Found""
)"),"https://drive.google.com/open?id=1gwGulCrdkF7Tc_ff6HejnsfK3JrVTecM")</f>
        <v>https://drive.google.com/open?id=1gwGulCrdkF7Tc_ff6HejnsfK3JrVTecM</v>
      </c>
      <c r="S128" s="285"/>
      <c r="T128" s="290" t="str">
        <f>VLOOKUP($B128,'Master Tracker'!$D:$E,2,false)</f>
        <v>https://drive.google.com/open?id=16NnHDU7JInRK6CHpO-CFj-WZxkxOaPBL</v>
      </c>
      <c r="U128" s="291" t="str">
        <f>VLOOKUP($B128,'Master Tracker'!$D:$T,4,FALSE)
</f>
        <v>https://drive.google.com/open?id=1fzY7Y6dR2e6G8DDeg5Sx30zU5hzS4orw</v>
      </c>
      <c r="V128" s="284" t="str">
        <f>VLOOKUP($B128,'Master Tracker'!$D:$T,5,false)</f>
        <v>Not Found</v>
      </c>
      <c r="W128" s="292" t="str">
        <f>VLOOKUP($B128,'Master Tracker'!$D:$T,7,false)</f>
        <v>Not Found</v>
      </c>
      <c r="X128" s="290" t="str">
        <f>VLOOKUP($B128,'Master Tracker'!$D:$T,8,false)</f>
        <v>https://drive.google.com/open?id=1tgpZfYSqtb9K6VrhSTqZRvr6JikTowev</v>
      </c>
      <c r="Y128" s="291" t="str">
        <f>VLOOKUP($B128,'Master Tracker'!$D:$T,10,false)</f>
        <v>https://drive.google.com/open?id=13C_NdcCSkU4Cq4GWHViT1E0V4hNC_Otq</v>
      </c>
      <c r="Z128" s="284" t="str">
        <f>VLOOKUP($B128,'Master Tracker'!$D:$T,11,false)</f>
        <v>Not Found</v>
      </c>
      <c r="AA128" s="292" t="str">
        <f>VLOOKUP($B128,'Master Tracker'!$D:$T,13,false)</f>
        <v>Not Found</v>
      </c>
      <c r="AB128" s="284" t="str">
        <f>VLOOKUP($B128,'Master Tracker'!$D:$T,14,false)</f>
        <v>Not Found</v>
      </c>
      <c r="AC128" s="292" t="str">
        <f>VLOOKUP($B128,'Master Tracker'!$D:$T,16,false)</f>
        <v>Not Found</v>
      </c>
      <c r="AD128" s="292" t="str">
        <f>VLOOKUP($B128,'Master Tracker'!$D:$T,17,false)</f>
        <v>Not Found</v>
      </c>
      <c r="AE128" s="292" t="str">
        <f>VLOOKUP($B128,'Master Tracker'!$D:$V,19,false)</f>
        <v>Not Found</v>
      </c>
      <c r="AF128" s="292">
        <f>IFERROR(__xludf.DUMMYFUNCTION("IFERROR(
  INDEX(
    FILTER(
      'Juma Recording forms'!$G:$G,
      TRIM('Juma Recording forms'!$F:$F) = TRIM($B128),
      'Juma Recording forms'!$AA:$AA = 1
    ),
    1
  ),
  ""Not Found""
)"),2100.0)</f>
        <v>2100</v>
      </c>
      <c r="AG128" s="292" t="str">
        <f>IFERROR(__xludf.DUMMYFUNCTION("IFERROR(
  INDEX(
    FILTER(
      'Juma Recording forms'!$G:$G,
      TRIM('Juma Recording forms'!$F:$F) = TRIM($B128),
      'Juma Recording forms'!$AA:$AA = 2
    ),
    1
  ),
  ""Not Found""
)"),"Not Found")</f>
        <v>Not Found</v>
      </c>
      <c r="AH128" s="292">
        <f>IFERROR(__xludf.DUMMYFUNCTION("IFERROR(
  INDEX(
    FILTER(
      'Juma Recording forms'!$G:$G,
      TRIM('Juma Recording forms'!$F:$F) = TRIM($B128),
      'Juma Recording forms'!$AA:$AA = 3
    ),
    1
  ),
  ""Not Found""
)"),2150.0)</f>
        <v>2150</v>
      </c>
      <c r="AI128" s="292" t="str">
        <f>IFERROR(__xludf.DUMMYFUNCTION("IFERROR(
  INDEX(
    FILTER(
      'Juma Recording forms'!$G:$G,
      TRIM('Juma Recording forms'!$F:$F) = TRIM($B128),
      'Juma Recording forms'!$AA:$AA = 4
    ),
    1
  ),
  ""Not Found""
)"),"Not Found")</f>
        <v>Not Found</v>
      </c>
      <c r="AJ128" s="292" t="str">
        <f>IFERROR(__xludf.DUMMYFUNCTION("IFERROR(
  INDEX(
    FILTER(
      'Juma Recording forms'!$G:$G,
      TRIM('Juma Recording forms'!$F:$F) = TRIM($B128),
      'Juma Recording forms'!$AA:$AA = 5
    ),
    1
  ),
  ""Not Found""
)"),"Not Found")</f>
        <v>Not Found</v>
      </c>
      <c r="AK128" s="292"/>
      <c r="AL1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1!$E:$E"")=$B128) *
        (IMPORTRANGE(""https://docs.google.com/spreadsheets/d/161aHT6vVT3SLneTKD19N5qVWtnj_jIT8CSsOmUVKmaA/e"&amp;"dit?gid=1761053510"",
          ""Haris_Form responses 1!$AQ:$AQ"")=1)
      ),
      1
    ),
    ""0""
  ),
  ""Form not found""
)
"),"0")</f>
        <v>0</v>
      </c>
      <c r="AM1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1!$E:$E"")=$B128) *
        (IMPORTRANGE(""https://docs.google.com/spreadsheets/d/161aHT6vVT3SLneTKD19N5qVWtnj_jIT8CSsOmUVKmaA/e"&amp;"dit?gid=1761053510"",
          ""Haris_Form responses 1!$AQ:$AQ"")=2)
      ),
      1
    ),
    ""0""
  ),
  ""Form not found""
)
"),"Form not found")</f>
        <v>Form not found</v>
      </c>
      <c r="AN1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1!$E:$E"")=$B128) *
        (IMPORTRANGE(""https://docs.google.com/spreadsheets/d/161aHT6vVT3SLneTKD19N5qVWtnj_jIT8CSsOmUVKmaA/e"&amp;"dit?gid=1761053510"",
          ""Haris_Form responses 1!$AQ:$AQ"")=3)
      ),
      1
    ),
    ""0""
  ),
  ""Form not found""
)
"),"0")</f>
        <v>0</v>
      </c>
      <c r="AO1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1!$E:$E"")=$B128) *
        (IMPORTRANGE(""https://docs.google.com/spreadsheets/d/161aHT6vVT3SLneTKD19N5qVWtnj_jIT8CSsOmUVKmaA/e"&amp;"dit?gid=1761053510"",
          ""Haris_Form responses 1!$AQ:$AQ"")=4)
      ),
      1
    ),
    ""0""
  ),
  ""Form not found""
)
"),"Form not found")</f>
        <v>Form not found</v>
      </c>
      <c r="AP1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1!$E:$E"")=$B128) *
        (IMPORTRANGE(""https://docs.google.com/spreadsheets/d/161aHT6vVT3SLneTKD19N5qVWtnj_jIT8CSsOmUVKmaA/e"&amp;"dit?gid=1761053510"",
          ""Haris_Form responses 1!$AQ:$AQ"")=5)
      ),
      1
    ),
    ""0""
  ),
  ""Form not found""
)
"),"Form not found")</f>
        <v>Form not found</v>
      </c>
      <c r="AQ1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1!$E:$E"")=$B128) *
        (IMPORTRANGE(""https://docs.google.com/spreadsheets/d/161aHT6vVT3SLneTKD19N5qVWtnj_jIT8CSsOmUVKmaA/e"&amp;"dit?gid=1761053510"",
          ""Haris_Form responses 1!$AQ:$AQ"")=6)
      ),
      1
    ),
    ""0""
  ),
  ""Form not found""
)
"),"Form not found")</f>
        <v>Form not found</v>
      </c>
      <c r="AR1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1!$E:$E"")=$B128) *
        (IMPORTRANGE(""https://docs.google.com/spreadsheets/d/161aHT6vVT3SLneTKD19N5qVWtnj_jIT8CSsOmUVKmaA/e"&amp;"dit?gid=1761053510"",
          ""Haris_Form responses 1!$AQ:$AQ"")=1)
      ),
      1
    ),
    ""0""
  ),
  ""Form not found""
)
"),"0")</f>
        <v>0</v>
      </c>
      <c r="AS1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1!$E:$E"")=$B128) *
        (IMPORTRANGE(""https://docs.google.com/spreadsheets/d/161aHT6vVT3SLneTKD19N5qVWtnj_jIT8CSsOmUVKmaA/e"&amp;"dit?gid=1761053510"",
          ""Haris_Form responses 1!$AQ:$AQ"")=2)
      ),
      1
    ),
    ""0""
  ),
  ""Form not found""
)
"),"Form not found")</f>
        <v>Form not found</v>
      </c>
      <c r="AT1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1!$E:$E"")=$B128) *
        (IMPORTRANGE(""https://docs.google.com/spreadsheets/d/161aHT6vVT3SLneTKD19N5qVWtnj_jIT8CSsOmUVKmaA/e"&amp;"dit?gid=1761053510"",
          ""Haris_Form responses 1!$AQ:$AQ"")=3)
      ),
      1
    ),
    ""0""
  ),
  ""Form not found""
)
"),"0")</f>
        <v>0</v>
      </c>
      <c r="AU1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1!$E:$E"")=$B128) *
        (IMPORTRANGE(""https://docs.google.com/spreadsheets/d/161aHT6vVT3SLneTKD19N5qVWtnj_jIT8CSsOmUVKmaA/e"&amp;"dit?gid=1761053510"",
          ""Haris_Form responses 1!$AQ:$AQ"")=4)
      ),
      1
    ),
    ""0""
  ),
  ""Form not found""
)
"),"Form not found")</f>
        <v>Form not found</v>
      </c>
      <c r="AV1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1!$E:$E"")=$B128) *
        (IMPORTRANGE(""https://docs.google.com/spreadsheets/d/161aHT6vVT3SLneTKD19N5qVWtnj_jIT8CSsOmUVKmaA/e"&amp;"dit?gid=1761053510"",
          ""Haris_Form responses 1!$AQ:$AQ"")=5)
      ),
      1
    ),
    ""0""
  ),
  ""Form not found""
)
"),"Form not found")</f>
        <v>Form not found</v>
      </c>
      <c r="AW1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1!$E:$E"")=$B128) *
        (IMPORTRANGE(""https://docs.google.com/spreadsheets/d/161aHT6vVT3SLneTKD19N5qVWtnj_jIT8CSsOmUVKmaA/e"&amp;"dit?gid=1761053510"",
          ""Haris_Form responses 1!$AQ:$AQ"")=6)
      ),
      1
    ),
    ""0""
  ),
  ""Form not found""
)
"),"Form not found")</f>
        <v>Form not found</v>
      </c>
      <c r="AX1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1!$E:$E"")=$B128) *
        (IMPORTRANGE(""https://docs.google.com/spreadsheets/d/161aHT6vVT3SLneTKD19N5qVWtnj_jIT8CSsOmUVKmaA/e"&amp;"dit?gid=1761053510"",
          ""Haris_Form responses 1!$AQ:$AQ"")=1)
      ),
      1
    ),
    ""0""
  ),
  ""Form not found""
)
"),"0")</f>
        <v>0</v>
      </c>
      <c r="AY1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1!$E:$E"")=$B128) *
        (IMPORTRANGE(""https://docs.google.com/spreadsheets/d/161aHT6vVT3SLneTKD19N5qVWtnj_jIT8CSsOmUVKmaA/e"&amp;"dit?gid=1761053510"",
          ""Haris_Form responses 1!$AQ:$AQ"")=2)
      ),
      1
    ),
    ""0""
  ),
  ""Form not found""
)
"),"Form not found")</f>
        <v>Form not found</v>
      </c>
      <c r="AZ1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1!$E:$E"")=$B128) *
        (IMPORTRANGE(""https://docs.google.com/spreadsheets/d/161aHT6vVT3SLneTKD19N5qVWtnj_jIT8CSsOmUVKmaA/e"&amp;"dit?gid=1761053510"",
          ""Haris_Form responses 1!$AQ:$AQ"")=3)
      ),
      1
    ),
    ""0""
  ),
  ""Form not found""
)
"),"0")</f>
        <v>0</v>
      </c>
      <c r="BA1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1!$E:$E"")=$B128) *
        (IMPORTRANGE(""https://docs.google.com/spreadsheets/d/161aHT6vVT3SLneTKD19N5qVWtnj_jIT8CSsOmUVKmaA/e"&amp;"dit?gid=1761053510"",
          ""Haris_Form responses 1!$AQ:$AQ"")=4)
      ),
      1
    ),
    ""0""
  ),
  ""Form not found""
)
"),"Form not found")</f>
        <v>Form not found</v>
      </c>
      <c r="BB1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1!$E:$E"")=$B128) *
        (IMPORTRANGE(""https://docs.google.com/spreadsheets/d/161aHT6vVT3SLneTKD19N5qVWtnj_jIT8CSsOmUVKmaA/e"&amp;"dit?gid=1761053510"",
          ""Haris_Form responses 1!$AQ:$AQ"")=5)
      ),
      1
    ),
    ""0""
  ),
  ""Form not found""
)
"),"Form not found")</f>
        <v>Form not found</v>
      </c>
      <c r="BC1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1!$E:$E"")=$B128) *
        (IMPORTRANGE(""https://docs.google.com/spreadsheets/d/161aHT6vVT3SLneTKD19N5qVWtnj_jIT8CSsOmUVKmaA/e"&amp;"dit?gid=1761053510"",
          ""Haris_Form responses 1!$AQ:$AQ"")=6)
      ),
      1
    ),
    ""0""
  ),
  ""Form not found""
)
"),"Form not found")</f>
        <v>Form not found</v>
      </c>
      <c r="BD128" s="293"/>
    </row>
    <row r="129">
      <c r="A129" s="283" t="str">
        <f>IFERROR(__xludf.DUMMYFUNCTION("VLOOKUP($B129,IMPORTRANGE(""https://docs.google.com/spreadsheets/d/1VNXDITjs75AcgdBSW27oL1VZH31udDprJSsBcE5xlp4/edit?gid=1551188038#gid=1551188038"", ""Sheet9!$B:$E""),2,false)"),"Khushab")</f>
        <v>Khushab</v>
      </c>
      <c r="B129" s="283" t="s">
        <v>4578</v>
      </c>
      <c r="C129" s="284" t="str">
        <f>IFERROR(__xludf.DUMMYFUNCTION("VLOOKUP(TRIM($B129), IMPORTRANGE(""https://docs.google.com/spreadsheets/d/1aSOrU4PTpuBZqfitKaH1Rfww6-YOiNCKoBpPl8XBHaw/edit?gid=0#gid=0"", ""sheet3!$B:$C""), 2, FALSE)
"),"Jamia Masjid Syed Noor Pur Thal")</f>
        <v>Jamia Masjid Syed Noor Pur Thal</v>
      </c>
      <c r="D129" s="284" t="str">
        <f>IFERROR(__xludf.DUMMYFUNCTION("IFERROR(
  INDEX(
    FILTER(
      IMPORTRANGE(""1aSOrU4PTpuBZqfitKaH1Rfww6-YOiNCKoBpPl8XBHaw/edit?gid=0#gid=0"",""Sheet1!G:G""),
      IMPORTRANGE(""1aSOrU4PTpuBZqfitKaH1Rfww6-YOiNCKoBpPl8XBHaw/edit?gid=0#gid=0"",""Sheet1!C:C"")=$B129
    ),
    1
  ),
"&amp;"  ""Not Found""
)"),"Control")</f>
        <v>Control</v>
      </c>
      <c r="E129" s="284" t="str">
        <f>VLOOKUP(B129,'Juma Recording forms'!A:E,5,false)</f>
        <v>مرکزی جامع مسجد دربار شریف حضرت بابا سخی سید محمد سید شاہ</v>
      </c>
      <c r="F129" s="284" t="str">
        <f>IFERROR(__xludf.DUMMYFUNCTION("IFERROR(
  INDEX(
    FILTER(
      IMPORTRANGE(""1Cxrhp3-_-HS7v9uuqQliiIfrmMP4VaFoDNDWyUFy2J8/edit?gid=0#gid=0"",""Sheet1!Q:Q""),
      IMPORTRANGE(""1Cxrhp3-_-HS7v9uuqQliiIfrmMP4VaFoDNDWyUFy2J8/edit?gid=0#gid=0"",""Sheet1!K:K"")=$B129
    ),
    1
  ),
"&amp;"  ""Not Found""
)"),"Qari Muhammad Ismail Syalvi")</f>
        <v>Qari Muhammad Ismail Syalvi</v>
      </c>
      <c r="G129" s="284">
        <v>1810.0</v>
      </c>
      <c r="H129" s="284" t="s">
        <v>4847</v>
      </c>
      <c r="I129" s="285"/>
      <c r="J129" s="286">
        <v>1.0</v>
      </c>
      <c r="K129" s="287" t="str">
        <f>VLOOKUP($B129,'Mosque Locations'!$A:$E,3,FALSE)
</f>
        <v>https://www.google.com/maps?q=31.8793269,71.9037529</v>
      </c>
      <c r="L129" s="286">
        <f>VLOOKUP($B129,'Mosque Locations'!$A:$E,4,FALSE)
</f>
        <v>31.87933</v>
      </c>
      <c r="M129" s="286">
        <f>VLOOKUP($B129,'Mosque Locations'!$A:$E,5,false)</f>
        <v>71.90375</v>
      </c>
      <c r="N129" s="288"/>
      <c r="O129" s="288"/>
      <c r="P129" s="288"/>
      <c r="Q129" s="289" t="str">
        <f>IFERROR(__xludf.DUMMYFUNCTION("IFERROR(
  INDEX(
    FILTER(
      IMPORTRANGE(""1DccNxjBgurEr0ABkI_rBagJT5phB5HaHG5N_mTm_BiA/edit?gid=1382299152#gid=1382299152"",""Form Responses 1!T:T""),
      IMPORTRANGE(""1DccNxjBgurEr0ABkI_rBagJT5phB5HaHG5N_mTm_BiA/edit?gid=1382299152#gid=1382299"&amp;"152"",""Form Responses 1!E:E"")=$B129
    ),
    1
  ),
  ""Not Found""
)"),"https://drive.google.com/open?id=1wG29YCpZkWChvNKgjNWYexf2CyuWZOqM")</f>
        <v>https://drive.google.com/open?id=1wG29YCpZkWChvNKgjNWYexf2CyuWZOqM</v>
      </c>
      <c r="R129" s="295" t="str">
        <f>IFERROR(__xludf.DUMMYFUNCTION("IFERROR(
  INDEX(
    FILTER(
      IMPORTRANGE(""1DccNxjBgurEr0ABkI_rBagJT5phB5HaHG5N_mTm_BiA/edit?gid=1382299152#gid=1382299152"",""Form Responses 1!S:S""),
      IMPORTRANGE(""1DccNxjBgurEr0ABkI_rBagJT5phB5HaHG5N_mTm_BiA/edit?gid=1382299152#gid=1382299"&amp;"152"",""Form Responses 1!E:E"")=$B129
    ),
    1
  ),
  ""Not Found""
)"),"https://drive.google.com/open?id=1zqvaFKnbCUOgZvA5h7GXyadZqC-nKg3p")</f>
        <v>https://drive.google.com/open?id=1zqvaFKnbCUOgZvA5h7GXyadZqC-nKg3p</v>
      </c>
      <c r="S129" s="285"/>
      <c r="T129" s="290" t="str">
        <f>VLOOKUP($B129,'Master Tracker'!$D:$E,2,false)</f>
        <v>https://drive.google.com/open?id=1cKS4Aciad3y2lA-_Np13z6ZIIPGoQsFg</v>
      </c>
      <c r="U129" s="291" t="str">
        <f>VLOOKUP($B129,'Master Tracker'!$D:$T,4,FALSE)
</f>
        <v>https://drive.google.com/open?id=1DP-DOU1atk3VAWJ0ry7rq9xgMlIvf_Th</v>
      </c>
      <c r="V129" s="284" t="str">
        <f>VLOOKUP($B129,'Master Tracker'!$D:$T,5,false)</f>
        <v>Not Found</v>
      </c>
      <c r="W129" s="292" t="str">
        <f>VLOOKUP($B129,'Master Tracker'!$D:$T,7,false)</f>
        <v>Not Found</v>
      </c>
      <c r="X129" s="290" t="str">
        <f>VLOOKUP($B129,'Master Tracker'!$D:$T,8,false)</f>
        <v>https://drive.google.com/open?id=1M8PfEWAaXw0Tuw8obZJJBuoMRMtip6R2</v>
      </c>
      <c r="Y129" s="291" t="str">
        <f>VLOOKUP($B129,'Master Tracker'!$D:$T,10,false)</f>
        <v>https://drive.google.com/open?id=1ZI_gMCg5PeNCbuBaMZOS3R8Nk_wfxOt3</v>
      </c>
      <c r="Z129" s="284" t="str">
        <f>VLOOKUP($B129,'Master Tracker'!$D:$T,11,false)</f>
        <v>Not Found</v>
      </c>
      <c r="AA129" s="292" t="str">
        <f>VLOOKUP($B129,'Master Tracker'!$D:$T,13,false)</f>
        <v>Not Found</v>
      </c>
      <c r="AB129" s="284" t="str">
        <f>VLOOKUP($B129,'Master Tracker'!$D:$T,14,false)</f>
        <v>Not Found</v>
      </c>
      <c r="AC129" s="292" t="str">
        <f>VLOOKUP($B129,'Master Tracker'!$D:$T,16,false)</f>
        <v>Not Found</v>
      </c>
      <c r="AD129" s="292" t="str">
        <f>VLOOKUP($B129,'Master Tracker'!$D:$T,17,false)</f>
        <v>Not Found</v>
      </c>
      <c r="AE129" s="292" t="str">
        <f>VLOOKUP($B129,'Master Tracker'!$D:$V,19,false)</f>
        <v>Not Found</v>
      </c>
      <c r="AF129" s="292">
        <f>IFERROR(__xludf.DUMMYFUNCTION("IFERROR(
  INDEX(
    FILTER(
      'Juma Recording forms'!$G:$G,
      TRIM('Juma Recording forms'!$F:$F) = TRIM($B129),
      'Juma Recording forms'!$AA:$AA = 1
    ),
    1
  ),
  ""Not Found""
)"),300.0)</f>
        <v>300</v>
      </c>
      <c r="AG129" s="292" t="str">
        <f>IFERROR(__xludf.DUMMYFUNCTION("IFERROR(
  INDEX(
    FILTER(
      'Juma Recording forms'!$G:$G,
      TRIM('Juma Recording forms'!$F:$F) = TRIM($B129),
      'Juma Recording forms'!$AA:$AA = 2
    ),
    1
  ),
  ""Not Found""
)"),"Not Found")</f>
        <v>Not Found</v>
      </c>
      <c r="AH129" s="292">
        <f>IFERROR(__xludf.DUMMYFUNCTION("IFERROR(
  INDEX(
    FILTER(
      'Juma Recording forms'!$G:$G,
      TRIM('Juma Recording forms'!$F:$F) = TRIM($B129),
      'Juma Recording forms'!$AA:$AA = 3
    ),
    1
  ),
  ""Not Found""
)"),350.0)</f>
        <v>350</v>
      </c>
      <c r="AI129" s="292" t="str">
        <f>IFERROR(__xludf.DUMMYFUNCTION("IFERROR(
  INDEX(
    FILTER(
      'Juma Recording forms'!$G:$G,
      TRIM('Juma Recording forms'!$F:$F) = TRIM($B129),
      'Juma Recording forms'!$AA:$AA = 4
    ),
    1
  ),
  ""Not Found""
)"),"Not Found")</f>
        <v>Not Found</v>
      </c>
      <c r="AJ129" s="292" t="str">
        <f>IFERROR(__xludf.DUMMYFUNCTION("IFERROR(
  INDEX(
    FILTER(
      'Juma Recording forms'!$G:$G,
      TRIM('Juma Recording forms'!$F:$F) = TRIM($B129),
      'Juma Recording forms'!$AA:$AA = 5
    ),
    1
  ),
  ""Not Found""
)"),"Not Found")</f>
        <v>Not Found</v>
      </c>
      <c r="AK129" s="292"/>
      <c r="AL1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1!$E:$E"")=$B129) *
        (IMPORTRANGE(""https://docs.google.com/spreadsheets/d/161aHT6vVT3SLneTKD19N5qVWtnj_jIT8CSsOmUVKmaA/e"&amp;"dit?gid=1761053510"",
          ""Haris_Form responses 1!$AQ:$AQ"")=1)
      ),
      1
    ),
    ""0""
  ),
  ""Form not found""
)
"),"0")</f>
        <v>0</v>
      </c>
      <c r="AM1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1!$E:$E"")=$B129) *
        (IMPORTRANGE(""https://docs.google.com/spreadsheets/d/161aHT6vVT3SLneTKD19N5qVWtnj_jIT8CSsOmUVKmaA/e"&amp;"dit?gid=1761053510"",
          ""Haris_Form responses 1!$AQ:$AQ"")=2)
      ),
      1
    ),
    ""0""
  ),
  ""Form not found""
)
"),"Form not found")</f>
        <v>Form not found</v>
      </c>
      <c r="AN1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1!$E:$E"")=$B129) *
        (IMPORTRANGE(""https://docs.google.com/spreadsheets/d/161aHT6vVT3SLneTKD19N5qVWtnj_jIT8CSsOmUVKmaA/e"&amp;"dit?gid=1761053510"",
          ""Haris_Form responses 1!$AQ:$AQ"")=3)
      ),
      1
    ),
    ""0""
  ),
  ""Form not found""
)
"),"0")</f>
        <v>0</v>
      </c>
      <c r="AO1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1!$E:$E"")=$B129) *
        (IMPORTRANGE(""https://docs.google.com/spreadsheets/d/161aHT6vVT3SLneTKD19N5qVWtnj_jIT8CSsOmUVKmaA/e"&amp;"dit?gid=1761053510"",
          ""Haris_Form responses 1!$AQ:$AQ"")=4)
      ),
      1
    ),
    ""0""
  ),
  ""Form not found""
)
"),"Form not found")</f>
        <v>Form not found</v>
      </c>
      <c r="AP1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1!$E:$E"")=$B129) *
        (IMPORTRANGE(""https://docs.google.com/spreadsheets/d/161aHT6vVT3SLneTKD19N5qVWtnj_jIT8CSsOmUVKmaA/e"&amp;"dit?gid=1761053510"",
          ""Haris_Form responses 1!$AQ:$AQ"")=5)
      ),
      1
    ),
    ""0""
  ),
  ""Form not found""
)
"),"Form not found")</f>
        <v>Form not found</v>
      </c>
      <c r="AQ1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1!$E:$E"")=$B129) *
        (IMPORTRANGE(""https://docs.google.com/spreadsheets/d/161aHT6vVT3SLneTKD19N5qVWtnj_jIT8CSsOmUVKmaA/e"&amp;"dit?gid=1761053510"",
          ""Haris_Form responses 1!$AQ:$AQ"")=6)
      ),
      1
    ),
    ""0""
  ),
  ""Form not found""
)
"),"Form not found")</f>
        <v>Form not found</v>
      </c>
      <c r="AR1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1!$E:$E"")=$B129) *
        (IMPORTRANGE(""https://docs.google.com/spreadsheets/d/161aHT6vVT3SLneTKD19N5qVWtnj_jIT8CSsOmUVKmaA/e"&amp;"dit?gid=1761053510"",
          ""Haris_Form responses 1!$AQ:$AQ"")=1)
      ),
      1
    ),
    ""0""
  ),
  ""Form not found""
)
"),"0")</f>
        <v>0</v>
      </c>
      <c r="AS1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1!$E:$E"")=$B129) *
        (IMPORTRANGE(""https://docs.google.com/spreadsheets/d/161aHT6vVT3SLneTKD19N5qVWtnj_jIT8CSsOmUVKmaA/e"&amp;"dit?gid=1761053510"",
          ""Haris_Form responses 1!$AQ:$AQ"")=2)
      ),
      1
    ),
    ""0""
  ),
  ""Form not found""
)
"),"Form not found")</f>
        <v>Form not found</v>
      </c>
      <c r="AT1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1!$E:$E"")=$B129) *
        (IMPORTRANGE(""https://docs.google.com/spreadsheets/d/161aHT6vVT3SLneTKD19N5qVWtnj_jIT8CSsOmUVKmaA/e"&amp;"dit?gid=1761053510"",
          ""Haris_Form responses 1!$AQ:$AQ"")=3)
      ),
      1
    ),
    ""0""
  ),
  ""Form not found""
)
"),"0")</f>
        <v>0</v>
      </c>
      <c r="AU1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1!$E:$E"")=$B129) *
        (IMPORTRANGE(""https://docs.google.com/spreadsheets/d/161aHT6vVT3SLneTKD19N5qVWtnj_jIT8CSsOmUVKmaA/e"&amp;"dit?gid=1761053510"",
          ""Haris_Form responses 1!$AQ:$AQ"")=4)
      ),
      1
    ),
    ""0""
  ),
  ""Form not found""
)
"),"Form not found")</f>
        <v>Form not found</v>
      </c>
      <c r="AV1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1!$E:$E"")=$B129) *
        (IMPORTRANGE(""https://docs.google.com/spreadsheets/d/161aHT6vVT3SLneTKD19N5qVWtnj_jIT8CSsOmUVKmaA/e"&amp;"dit?gid=1761053510"",
          ""Haris_Form responses 1!$AQ:$AQ"")=5)
      ),
      1
    ),
    ""0""
  ),
  ""Form not found""
)
"),"Form not found")</f>
        <v>Form not found</v>
      </c>
      <c r="AW1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1!$E:$E"")=$B129) *
        (IMPORTRANGE(""https://docs.google.com/spreadsheets/d/161aHT6vVT3SLneTKD19N5qVWtnj_jIT8CSsOmUVKmaA/e"&amp;"dit?gid=1761053510"",
          ""Haris_Form responses 1!$AQ:$AQ"")=6)
      ),
      1
    ),
    ""0""
  ),
  ""Form not found""
)
"),"Form not found")</f>
        <v>Form not found</v>
      </c>
      <c r="AX1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1!$E:$E"")=$B129) *
        (IMPORTRANGE(""https://docs.google.com/spreadsheets/d/161aHT6vVT3SLneTKD19N5qVWtnj_jIT8CSsOmUVKmaA/e"&amp;"dit?gid=1761053510"",
          ""Haris_Form responses 1!$AQ:$AQ"")=1)
      ),
      1
    ),
    ""0""
  ),
  ""Form not found""
)
"),"0")</f>
        <v>0</v>
      </c>
      <c r="AY1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1!$E:$E"")=$B129) *
        (IMPORTRANGE(""https://docs.google.com/spreadsheets/d/161aHT6vVT3SLneTKD19N5qVWtnj_jIT8CSsOmUVKmaA/e"&amp;"dit?gid=1761053510"",
          ""Haris_Form responses 1!$AQ:$AQ"")=2)
      ),
      1
    ),
    ""0""
  ),
  ""Form not found""
)
"),"Form not found")</f>
        <v>Form not found</v>
      </c>
      <c r="AZ1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1!$E:$E"")=$B129) *
        (IMPORTRANGE(""https://docs.google.com/spreadsheets/d/161aHT6vVT3SLneTKD19N5qVWtnj_jIT8CSsOmUVKmaA/e"&amp;"dit?gid=1761053510"",
          ""Haris_Form responses 1!$AQ:$AQ"")=3)
      ),
      1
    ),
    ""0""
  ),
  ""Form not found""
)
"),"0")</f>
        <v>0</v>
      </c>
      <c r="BA1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1!$E:$E"")=$B129) *
        (IMPORTRANGE(""https://docs.google.com/spreadsheets/d/161aHT6vVT3SLneTKD19N5qVWtnj_jIT8CSsOmUVKmaA/e"&amp;"dit?gid=1761053510"",
          ""Haris_Form responses 1!$AQ:$AQ"")=4)
      ),
      1
    ),
    ""0""
  ),
  ""Form not found""
)
"),"Form not found")</f>
        <v>Form not found</v>
      </c>
      <c r="BB1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1!$E:$E"")=$B129) *
        (IMPORTRANGE(""https://docs.google.com/spreadsheets/d/161aHT6vVT3SLneTKD19N5qVWtnj_jIT8CSsOmUVKmaA/e"&amp;"dit?gid=1761053510"",
          ""Haris_Form responses 1!$AQ:$AQ"")=5)
      ),
      1
    ),
    ""0""
  ),
  ""Form not found""
)
"),"Form not found")</f>
        <v>Form not found</v>
      </c>
      <c r="BC1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1!$E:$E"")=$B129) *
        (IMPORTRANGE(""https://docs.google.com/spreadsheets/d/161aHT6vVT3SLneTKD19N5qVWtnj_jIT8CSsOmUVKmaA/e"&amp;"dit?gid=1761053510"",
          ""Haris_Form responses 1!$AQ:$AQ"")=6)
      ),
      1
    ),
    ""0""
  ),
  ""Form not found""
)
"),"Form not found")</f>
        <v>Form not found</v>
      </c>
      <c r="BD129" s="293"/>
    </row>
    <row r="130">
      <c r="A130" s="283" t="str">
        <f>IFERROR(__xludf.DUMMYFUNCTION("VLOOKUP($B130,IMPORTRANGE(""https://docs.google.com/spreadsheets/d/1VNXDITjs75AcgdBSW27oL1VZH31udDprJSsBcE5xlp4/edit?gid=1551188038#gid=1551188038"", ""Sheet9!$B:$E""),2,false)"),"Khushab")</f>
        <v>Khushab</v>
      </c>
      <c r="B130" s="283" t="s">
        <v>2595</v>
      </c>
      <c r="C130" s="284" t="str">
        <f>IFERROR(__xludf.DUMMYFUNCTION("VLOOKUP(TRIM($B130), IMPORTRANGE(""https://docs.google.com/spreadsheets/d/1aSOrU4PTpuBZqfitKaH1Rfww6-YOiNCKoBpPl8XBHaw/edit?gid=0#gid=0"", ""sheet3!$B:$C""), 2, FALSE)
"),"Jamia Masjid Darbar Badshah Khushab")</f>
        <v>Jamia Masjid Darbar Badshah Khushab</v>
      </c>
      <c r="D130" s="284" t="str">
        <f>IFERROR(__xludf.DUMMYFUNCTION("IFERROR(
  INDEX(
    FILTER(
      IMPORTRANGE(""1aSOrU4PTpuBZqfitKaH1Rfww6-YOiNCKoBpPl8XBHaw/edit?gid=0#gid=0"",""Sheet1!G:G""),
      IMPORTRANGE(""1aSOrU4PTpuBZqfitKaH1Rfww6-YOiNCKoBpPl8XBHaw/edit?gid=0#gid=0"",""Sheet1!C:C"")=$B130
    ),
    1
  ),
"&amp;"  ""Not Found""
)"),"Community Religious Info Share")</f>
        <v>Community Religious Info Share</v>
      </c>
      <c r="E130" s="284" t="str">
        <f>VLOOKUP(B130,'Juma Recording forms'!A:E,5,false)</f>
        <v>Jamia masjid darbar badshan </v>
      </c>
      <c r="F130" s="284" t="str">
        <f>IFERROR(__xludf.DUMMYFUNCTION("IFERROR(
  INDEX(
    FILTER(
      IMPORTRANGE(""1Cxrhp3-_-HS7v9uuqQliiIfrmMP4VaFoDNDWyUFy2J8/edit?gid=0#gid=0"",""Sheet1!Q:Q""),
      IMPORTRANGE(""1Cxrhp3-_-HS7v9uuqQliiIfrmMP4VaFoDNDWyUFy2J8/edit?gid=0#gid=0"",""Sheet1!K:K"")=$B130
    ),
    1
  ),
"&amp;"  ""Not Found""
)"),"Qari Mehmood ul Hasnain")</f>
        <v>Qari Mehmood ul Hasnain</v>
      </c>
      <c r="G130" s="284">
        <v>1800.0</v>
      </c>
      <c r="H130" s="284" t="s">
        <v>4848</v>
      </c>
      <c r="I130" s="285"/>
      <c r="J130" s="286">
        <v>2.0</v>
      </c>
      <c r="K130" s="287" t="str">
        <f>VLOOKUP($B130,'Mosque Locations'!$A:$E,3,FALSE)
</f>
        <v>https://www.google.com/maps?q=32.28773,72.3526019</v>
      </c>
      <c r="L130" s="286">
        <f>VLOOKUP($B130,'Mosque Locations'!$A:$E,4,FALSE)
</f>
        <v>32.28773</v>
      </c>
      <c r="M130" s="286">
        <f>VLOOKUP($B130,'Mosque Locations'!$A:$E,5,false)</f>
        <v>72.3526</v>
      </c>
      <c r="N130" s="288"/>
      <c r="O130" s="288"/>
      <c r="P130" s="288"/>
      <c r="Q130" s="289" t="str">
        <f>IFERROR(__xludf.DUMMYFUNCTION("IFERROR(
  INDEX(
    FILTER(
      IMPORTRANGE(""1DccNxjBgurEr0ABkI_rBagJT5phB5HaHG5N_mTm_BiA/edit?gid=1382299152#gid=1382299152"",""Form Responses 1!T:T""),
      IMPORTRANGE(""1DccNxjBgurEr0ABkI_rBagJT5phB5HaHG5N_mTm_BiA/edit?gid=1382299152#gid=1382299"&amp;"152"",""Form Responses 1!E:E"")=$B130
    ),
    1
  ),
  ""Not Found""
)"),"https://drive.google.com/open?id=1HQJHm8YiVb_kiuSdvrKexHSGOMMVj27K")</f>
        <v>https://drive.google.com/open?id=1HQJHm8YiVb_kiuSdvrKexHSGOMMVj27K</v>
      </c>
      <c r="R130" s="289" t="str">
        <f>IFERROR(__xludf.DUMMYFUNCTION("IFERROR(
  INDEX(
    FILTER(
      IMPORTRANGE(""1DccNxjBgurEr0ABkI_rBagJT5phB5HaHG5N_mTm_BiA/edit?gid=1382299152#gid=1382299152"",""Form Responses 1!S:S""),
      IMPORTRANGE(""1DccNxjBgurEr0ABkI_rBagJT5phB5HaHG5N_mTm_BiA/edit?gid=1382299152#gid=1382299"&amp;"152"",""Form Responses 1!E:E"")=$B130
    ),
    1
  ),
  ""Not Found""
)"),"https://drive.google.com/open?id=1GpvAoCPvg9Z_npesaqGCA-9dn3kkDssu")</f>
        <v>https://drive.google.com/open?id=1GpvAoCPvg9Z_npesaqGCA-9dn3kkDssu</v>
      </c>
      <c r="S130" s="285"/>
      <c r="T130" s="290" t="str">
        <f>VLOOKUP($B130,'Master Tracker'!$D:$E,2,false)</f>
        <v>https://drive.google.com/open?id=1c_WuCNAIfgufoYGzPFYKraNfBZrKAViD</v>
      </c>
      <c r="U130" s="291" t="str">
        <f>VLOOKUP($B130,'Master Tracker'!$D:$T,4,FALSE)
</f>
        <v>https://drive.google.com/open?id=1zcbaA0BbWmBzZRylSNYJGdKUatMO5zUG</v>
      </c>
      <c r="V130" s="290" t="str">
        <f>VLOOKUP($B130,'Master Tracker'!$D:$T,5,false)</f>
        <v>https://drive.google.com/open?id=1jN4FSsIUJL8OisAJWVZhtTCxrKdfjqmr</v>
      </c>
      <c r="W130" s="291" t="str">
        <f>VLOOKUP($B130,'Master Tracker'!$D:$T,7,false)</f>
        <v>https://drive.google.com/open?id=1u0ynlwN89Dx4ZqUKWPB_Zqag63HTFeVk</v>
      </c>
      <c r="X130" s="290" t="str">
        <f>VLOOKUP($B130,'Master Tracker'!$D:$T,8,false)</f>
        <v>https://drive.google.com/open?id=18SVI63sKqR48swQ9Jfq_K6k1xYT4h4tt</v>
      </c>
      <c r="Y130" s="291" t="str">
        <f>VLOOKUP($B130,'Master Tracker'!$D:$T,10,false)</f>
        <v>https://drive.google.com/open?id=15_bCh7TWCLwlON7wlNmJYLf41Vd8_haU</v>
      </c>
      <c r="Z130" s="284" t="str">
        <f>VLOOKUP($B130,'Master Tracker'!$D:$T,11,false)</f>
        <v>Not Found</v>
      </c>
      <c r="AA130" s="292" t="str">
        <f>VLOOKUP($B130,'Master Tracker'!$D:$T,13,false)</f>
        <v>Not Found</v>
      </c>
      <c r="AB130" s="284" t="str">
        <f>VLOOKUP($B130,'Master Tracker'!$D:$T,14,false)</f>
        <v>Not Found</v>
      </c>
      <c r="AC130" s="292" t="str">
        <f>VLOOKUP($B130,'Master Tracker'!$D:$T,16,false)</f>
        <v>Not Found</v>
      </c>
      <c r="AD130" s="292" t="str">
        <f>VLOOKUP($B130,'Master Tracker'!$D:$T,17,false)</f>
        <v>Not Found</v>
      </c>
      <c r="AE130" s="292" t="str">
        <f>VLOOKUP($B130,'Master Tracker'!$D:$V,19,false)</f>
        <v>Not Found</v>
      </c>
      <c r="AF130" s="292">
        <f>IFERROR(__xludf.DUMMYFUNCTION("IFERROR(
  INDEX(
    FILTER(
      'Juma Recording forms'!$G:$G,
      TRIM('Juma Recording forms'!$F:$F) = TRIM($B130),
      'Juma Recording forms'!$AA:$AA = 1
    ),
    1
  ),
  ""Not Found""
)"),320.0)</f>
        <v>320</v>
      </c>
      <c r="AG130" s="292">
        <f>IFERROR(__xludf.DUMMYFUNCTION("IFERROR(
  INDEX(
    FILTER(
      'Juma Recording forms'!$G:$G,
      TRIM('Juma Recording forms'!$F:$F) = TRIM($B130),
      'Juma Recording forms'!$AA:$AA = 2
    ),
    1
  ),
  ""Not Found""
)"),350.0)</f>
        <v>350</v>
      </c>
      <c r="AH130" s="292">
        <f>IFERROR(__xludf.DUMMYFUNCTION("IFERROR(
  INDEX(
    FILTER(
      'Juma Recording forms'!$G:$G,
      TRIM('Juma Recording forms'!$F:$F) = TRIM($B130),
      'Juma Recording forms'!$AA:$AA = 3
    ),
    1
  ),
  ""Not Found""
)"),370.0)</f>
        <v>370</v>
      </c>
      <c r="AI130" s="292" t="str">
        <f>IFERROR(__xludf.DUMMYFUNCTION("IFERROR(
  INDEX(
    FILTER(
      'Juma Recording forms'!$G:$G,
      TRIM('Juma Recording forms'!$F:$F) = TRIM($B130),
      'Juma Recording forms'!$AA:$AA = 4
    ),
    1
  ),
  ""Not Found""
)"),"Not Found")</f>
        <v>Not Found</v>
      </c>
      <c r="AJ130" s="292" t="str">
        <f>IFERROR(__xludf.DUMMYFUNCTION("IFERROR(
  INDEX(
    FILTER(
      'Juma Recording forms'!$G:$G,
      TRIM('Juma Recording forms'!$F:$F) = TRIM($B130),
      'Juma Recording forms'!$AA:$AA = 5
    ),
    1
  ),
  ""Not Found""
)"),"Not Found")</f>
        <v>Not Found</v>
      </c>
      <c r="AK130" s="292" t="str">
        <f>IFERROR(__xludf.DUMMYFUNCTION("IFERROR(
  INDEX(
    FILTER(
      'Juma Recording forms'!$G:$G,
      TRIM('Juma Recording forms'!$F:$F) = TRIM($B130),
      'Juma Recording forms'!$AA:$AA = 6
    ),
    1
  ),
  ""Not Found""
)"),"Not Found")</f>
        <v>Not Found</v>
      </c>
      <c r="AL1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1!$E:$E"")=$B130) *
        (IMPORTRANGE(""https://docs.google.com/spreadsheets/d/161aHT6vVT3SLneTKD19N5qVWtnj_jIT8CSsOmUVKmaA/e"&amp;"dit?gid=1761053510"",
          ""Haris_Form responses 1!$AQ:$AQ"")=1)
      ),
      1
    ),
    ""0""
  ),
  ""Form not found""
)
"),"5")</f>
        <v>5</v>
      </c>
      <c r="AM1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1!$E:$E"")=$B130) *
        (IMPORTRANGE(""https://docs.google.com/spreadsheets/d/161aHT6vVT3SLneTKD19N5qVWtnj_jIT8CSsOmUVKmaA/e"&amp;"dit?gid=1761053510"",
          ""Haris_Form responses 1!$AQ:$AQ"")=2)
      ),
      1
    ),
    ""0""
  ),
  ""Form not found""
)
"),"4")</f>
        <v>4</v>
      </c>
      <c r="AN1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1!$E:$E"")=$B130) *
        (IMPORTRANGE(""https://docs.google.com/spreadsheets/d/161aHT6vVT3SLneTKD19N5qVWtnj_jIT8CSsOmUVKmaA/e"&amp;"dit?gid=1761053510"",
          ""Haris_Form responses 1!$AQ:$AQ"")=3)
      ),
      1
    ),
    ""0""
  ),
  ""Form not found""
)
"),"0")</f>
        <v>0</v>
      </c>
      <c r="AO1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1!$E:$E"")=$B130) *
        (IMPORTRANGE(""https://docs.google.com/spreadsheets/d/161aHT6vVT3SLneTKD19N5qVWtnj_jIT8CSsOmUVKmaA/e"&amp;"dit?gid=1761053510"",
          ""Haris_Form responses 1!$AQ:$AQ"")=4)
      ),
      1
    ),
    ""0""
  ),
  ""Form not found""
)
"),"Form not found")</f>
        <v>Form not found</v>
      </c>
      <c r="AP1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1!$E:$E"")=$B130) *
        (IMPORTRANGE(""https://docs.google.com/spreadsheets/d/161aHT6vVT3SLneTKD19N5qVWtnj_jIT8CSsOmUVKmaA/e"&amp;"dit?gid=1761053510"",
          ""Haris_Form responses 1!$AQ:$AQ"")=5)
      ),
      1
    ),
    ""0""
  ),
  ""Form not found""
)
"),"Form not found")</f>
        <v>Form not found</v>
      </c>
      <c r="AQ1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1!$E:$E"")=$B130) *
        (IMPORTRANGE(""https://docs.google.com/spreadsheets/d/161aHT6vVT3SLneTKD19N5qVWtnj_jIT8CSsOmUVKmaA/e"&amp;"dit?gid=1761053510"",
          ""Haris_Form responses 1!$AQ:$AQ"")=6)
      ),
      1
    ),
    ""0""
  ),
  ""Form not found""
)
"),"Form not found")</f>
        <v>Form not found</v>
      </c>
      <c r="AR1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1!$E:$E"")=$B130) *
        (IMPORTRANGE(""https://docs.google.com/spreadsheets/d/161aHT6vVT3SLneTKD19N5qVWtnj_jIT8CSsOmUVKmaA/e"&amp;"dit?gid=1761053510"",
          ""Haris_Form responses 1!$AQ:$AQ"")=1)
      ),
      1
    ),
    ""0""
  ),
  ""Form not found""
)
"),"4")</f>
        <v>4</v>
      </c>
      <c r="AS1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1!$E:$E"")=$B130) *
        (IMPORTRANGE(""https://docs.google.com/spreadsheets/d/161aHT6vVT3SLneTKD19N5qVWtnj_jIT8CSsOmUVKmaA/e"&amp;"dit?gid=1761053510"",
          ""Haris_Form responses 1!$AQ:$AQ"")=2)
      ),
      1
    ),
    ""0""
  ),
  ""Form not found""
)
"),"4")</f>
        <v>4</v>
      </c>
      <c r="AT1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1!$E:$E"")=$B130) *
        (IMPORTRANGE(""https://docs.google.com/spreadsheets/d/161aHT6vVT3SLneTKD19N5qVWtnj_jIT8CSsOmUVKmaA/e"&amp;"dit?gid=1761053510"",
          ""Haris_Form responses 1!$AQ:$AQ"")=3)
      ),
      1
    ),
    ""0""
  ),
  ""Form not found""
)
"),"0")</f>
        <v>0</v>
      </c>
      <c r="AU1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1!$E:$E"")=$B130) *
        (IMPORTRANGE(""https://docs.google.com/spreadsheets/d/161aHT6vVT3SLneTKD19N5qVWtnj_jIT8CSsOmUVKmaA/e"&amp;"dit?gid=1761053510"",
          ""Haris_Form responses 1!$AQ:$AQ"")=4)
      ),
      1
    ),
    ""0""
  ),
  ""Form not found""
)
"),"Form not found")</f>
        <v>Form not found</v>
      </c>
      <c r="AV1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1!$E:$E"")=$B130) *
        (IMPORTRANGE(""https://docs.google.com/spreadsheets/d/161aHT6vVT3SLneTKD19N5qVWtnj_jIT8CSsOmUVKmaA/e"&amp;"dit?gid=1761053510"",
          ""Haris_Form responses 1!$AQ:$AQ"")=5)
      ),
      1
    ),
    ""0""
  ),
  ""Form not found""
)
"),"Form not found")</f>
        <v>Form not found</v>
      </c>
      <c r="AW1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1!$E:$E"")=$B130) *
        (IMPORTRANGE(""https://docs.google.com/spreadsheets/d/161aHT6vVT3SLneTKD19N5qVWtnj_jIT8CSsOmUVKmaA/e"&amp;"dit?gid=1761053510"",
          ""Haris_Form responses 1!$AQ:$AQ"")=6)
      ),
      1
    ),
    ""0""
  ),
  ""Form not found""
)
"),"Form not found")</f>
        <v>Form not found</v>
      </c>
      <c r="AX1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1!$E:$E"")=$B130) *
        (IMPORTRANGE(""https://docs.google.com/spreadsheets/d/161aHT6vVT3SLneTKD19N5qVWtnj_jIT8CSsOmUVKmaA/e"&amp;"dit?gid=1761053510"",
          ""Haris_Form responses 1!$AQ:$AQ"")=1)
      ),
      1
    ),
    ""0""
  ),
  ""Form not found""
)
"),"1")</f>
        <v>1</v>
      </c>
      <c r="AY1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1!$E:$E"")=$B130) *
        (IMPORTRANGE(""https://docs.google.com/spreadsheets/d/161aHT6vVT3SLneTKD19N5qVWtnj_jIT8CSsOmUVKmaA/e"&amp;"dit?gid=1761053510"",
          ""Haris_Form responses 1!$AQ:$AQ"")=2)
      ),
      1
    ),
    ""0""
  ),
  ""Form not found""
)
"),"0")</f>
        <v>0</v>
      </c>
      <c r="AZ1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1!$E:$E"")=$B130) *
        (IMPORTRANGE(""https://docs.google.com/spreadsheets/d/161aHT6vVT3SLneTKD19N5qVWtnj_jIT8CSsOmUVKmaA/e"&amp;"dit?gid=1761053510"",
          ""Haris_Form responses 1!$AQ:$AQ"")=3)
      ),
      1
    ),
    ""0""
  ),
  ""Form not found""
)
"),"0")</f>
        <v>0</v>
      </c>
      <c r="BA1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1!$E:$E"")=$B130) *
        (IMPORTRANGE(""https://docs.google.com/spreadsheets/d/161aHT6vVT3SLneTKD19N5qVWtnj_jIT8CSsOmUVKmaA/e"&amp;"dit?gid=1761053510"",
          ""Haris_Form responses 1!$AQ:$AQ"")=4)
      ),
      1
    ),
    ""0""
  ),
  ""Form not found""
)
"),"Form not found")</f>
        <v>Form not found</v>
      </c>
      <c r="BB1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1!$E:$E"")=$B130) *
        (IMPORTRANGE(""https://docs.google.com/spreadsheets/d/161aHT6vVT3SLneTKD19N5qVWtnj_jIT8CSsOmUVKmaA/e"&amp;"dit?gid=1761053510"",
          ""Haris_Form responses 1!$AQ:$AQ"")=5)
      ),
      1
    ),
    ""0""
  ),
  ""Form not found""
)
"),"Form not found")</f>
        <v>Form not found</v>
      </c>
      <c r="BC1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1!$E:$E"")=$B130) *
        (IMPORTRANGE(""https://docs.google.com/spreadsheets/d/161aHT6vVT3SLneTKD19N5qVWtnj_jIT8CSsOmUVKmaA/e"&amp;"dit?gid=1761053510"",
          ""Haris_Form responses 1!$AQ:$AQ"")=6)
      ),
      1
    ),
    ""0""
  ),
  ""Form not found""
)
"),"Form not found")</f>
        <v>Form not found</v>
      </c>
      <c r="BD130" s="293"/>
    </row>
    <row r="131">
      <c r="A131" s="283" t="str">
        <f>IFERROR(__xludf.DUMMYFUNCTION("VLOOKUP($B131,IMPORTRANGE(""https://docs.google.com/spreadsheets/d/1VNXDITjs75AcgdBSW27oL1VZH31udDprJSsBcE5xlp4/edit?gid=1551188038#gid=1551188038"", ""Sheet9!$B:$E""),2,false)"),"Muzaffargarh")</f>
        <v>Muzaffargarh</v>
      </c>
      <c r="B131" s="283" t="s">
        <v>4579</v>
      </c>
      <c r="C131" s="284" t="str">
        <f>IFERROR(__xludf.DUMMYFUNCTION("VLOOKUP(TRIM($B131), IMPORTRANGE(""https://docs.google.com/spreadsheets/d/1aSOrU4PTpuBZqfitKaH1Rfww6-YOiNCKoBpPl8XBHaw/edit?gid=0#gid=0"", ""sheet3!$B:$C""), 2, FALSE)
"),"Jamia Masjid Abdulah Shah Bukhari Muzaffargarh")</f>
        <v>Jamia Masjid Abdulah Shah Bukhari Muzaffargarh</v>
      </c>
      <c r="D131" s="284" t="str">
        <f>IFERROR(__xludf.DUMMYFUNCTION("IFERROR(
  INDEX(
    FILTER(
      IMPORTRANGE(""1aSOrU4PTpuBZqfitKaH1Rfww6-YOiNCKoBpPl8XBHaw/edit?gid=0#gid=0"",""Sheet1!G:G""),
      IMPORTRANGE(""1aSOrU4PTpuBZqfitKaH1Rfww6-YOiNCKoBpPl8XBHaw/edit?gid=0#gid=0"",""Sheet1!C:C"")=$B131
    ),
    1
  ),
"&amp;"  ""Not Found""
)"),"Women Religious Info Share")</f>
        <v>Women Religious Info Share</v>
      </c>
      <c r="E131" s="284" t="str">
        <f>VLOOKUP(B131,'Juma Recording forms'!A:E,5,false)</f>
        <v>Jamia Masjid Abdulah Shah Bukhari Chowk Qureshi Muzaffargarh</v>
      </c>
      <c r="F131" s="284" t="str">
        <f>IFERROR(__xludf.DUMMYFUNCTION("IFERROR(
  INDEX(
    FILTER(
      IMPORTRANGE(""1Cxrhp3-_-HS7v9uuqQliiIfrmMP4VaFoDNDWyUFy2J8/edit?gid=0#gid=0"",""Sheet1!Q:Q""),
      IMPORTRANGE(""1Cxrhp3-_-HS7v9uuqQliiIfrmMP4VaFoDNDWyUFy2J8/edit?gid=0#gid=0"",""Sheet1!K:K"")=$B131
    ),
    1
  ),
"&amp;"  ""Not Found""
)"),"riaz hussain")</f>
        <v>riaz hussain</v>
      </c>
      <c r="G131" s="284">
        <v>1984.0</v>
      </c>
      <c r="H131" s="284" t="s">
        <v>4849</v>
      </c>
      <c r="I131" s="285" t="s">
        <v>197</v>
      </c>
      <c r="J131" s="286">
        <v>2.0</v>
      </c>
      <c r="K131" s="287" t="str">
        <f>VLOOKUP($B131,'Mosque Locations'!$A:$E,3,FALSE)
</f>
        <v>https://maps.google.com/?q=30.0758417,70.9654317</v>
      </c>
      <c r="L131" s="286">
        <f>VLOOKUP($B131,'Mosque Locations'!$A:$E,4,FALSE)
</f>
        <v>30.07584</v>
      </c>
      <c r="M131" s="286">
        <f>VLOOKUP($B131,'Mosque Locations'!$A:$E,5,false)</f>
        <v>70.96543</v>
      </c>
      <c r="N131" s="288"/>
      <c r="O131" s="288"/>
      <c r="P131" s="288"/>
      <c r="Q131" s="295" t="str">
        <f>IFERROR(__xludf.DUMMYFUNCTION("IFERROR(
  INDEX(
    FILTER(
      IMPORTRANGE(""1kOrIKZmJfNUkgOVP3sI9BPjaaPA0_a4636oymQxTXg8"",""Form Responses 1!N:N""),
      TRIM(IMPORTRANGE(""1kOrIKZmJfNUkgOVP3sI9BPjaaPA0_a4636oymQxTXg8"",""Form Responses 1!F:F""))=TRIM($B131)
    ),
    1
  ),
  "&amp;"""Not Found""
)
"),"https://drive.google.com/open?id=1qDptjGhCycjyNnkO9E7bq2czvI_h_Ry2")</f>
        <v>https://drive.google.com/open?id=1qDptjGhCycjyNnkO9E7bq2czvI_h_Ry2</v>
      </c>
      <c r="R131" s="295" t="str">
        <f>IFERROR(__xludf.DUMMYFUNCTION("IFERROR(
  INDEX(
    FILTER(
      IMPORTRANGE(""1kOrIKZmJfNUkgOVP3sI9BPjaaPA0_a4636oymQxTXg8"",""Form Responses 1!M:M""),
      TRIM(IMPORTRANGE(""1kOrIKZmJfNUkgOVP3sI9BPjaaPA0_a4636oymQxTXg8"",""Form Responses 1!F:F""))=TRIM($B131)
    ),
    1
  ),
  "&amp;"""Not Found""
)
"),"https://drive.google.com/open?id=1QfCnVRaenEgvHnahznJPc-wHIYrve0qE")</f>
        <v>https://drive.google.com/open?id=1QfCnVRaenEgvHnahznJPc-wHIYrve0qE</v>
      </c>
      <c r="S131" s="285"/>
      <c r="T131" s="290" t="str">
        <f>VLOOKUP($B131,'Master Tracker'!D:E,2,false)</f>
        <v>https://drive.google.com/open?id=1oqEwSBpGVRzh2doPPEgFLHzxC2DPhcvp</v>
      </c>
      <c r="U131" s="291" t="str">
        <f>VLOOKUP($B131,'Master Tracker'!$D:$T,4,FALSE)
</f>
        <v>https://drive.google.com/open?id=1VQvRF2pAodDaoKnhEBFkXsvi5WDcybff</v>
      </c>
      <c r="V131" s="290" t="str">
        <f>VLOOKUP($B131,'Master Tracker'!$D:$T,5,false)</f>
        <v>https://drive.google.com/open?id=1xAKKTHKNv99Gv8uNmN-8KK6F7xbwnG2R</v>
      </c>
      <c r="W131" s="291" t="str">
        <f>VLOOKUP($B131,'Master Tracker'!$D:$T,7,false)</f>
        <v>https://drive.google.com/open?id=1ptCjnS4nZETvwonRVtVh7jqXfXc1x0F6</v>
      </c>
      <c r="X131" s="290" t="str">
        <f>VLOOKUP($B131,'Master Tracker'!$D:$T,8,false)</f>
        <v>https://drive.google.com/open?id=1Tg-dCJUIFeUn9AVvb04qI_6S6-ZRb6Y-</v>
      </c>
      <c r="Y131" s="291" t="str">
        <f>VLOOKUP($B131,'Master Tracker'!$D:$T,10,false)</f>
        <v>https://drive.google.com/open?id=1exRhf6ZZ5uhI_FdFmPe_9LNCL-FEeb0S</v>
      </c>
      <c r="Z131" s="284" t="str">
        <f>VLOOKUP($B131,'Master Tracker'!$D:$T,11,false)</f>
        <v>Not Found</v>
      </c>
      <c r="AA131" s="292" t="str">
        <f>VLOOKUP($B131,'Master Tracker'!$D:$T,13,false)</f>
        <v>Not Found</v>
      </c>
      <c r="AB131" s="284" t="str">
        <f>VLOOKUP($B131,'Master Tracker'!$D:$T,14,false)</f>
        <v>Not Found</v>
      </c>
      <c r="AC131" s="292" t="str">
        <f>VLOOKUP($B131,'Master Tracker'!$D:$T,16,false)</f>
        <v>Not Found</v>
      </c>
      <c r="AD131" s="292" t="str">
        <f>VLOOKUP($B131,'Master Tracker'!$D:$T,17,false)</f>
        <v>Not Found</v>
      </c>
      <c r="AE131" s="292" t="str">
        <f>VLOOKUP($B131,'Master Tracker'!$D:$V,19,false)</f>
        <v>Not Found</v>
      </c>
      <c r="AF131" s="292">
        <f>IFERROR(__xludf.DUMMYFUNCTION("IFERROR(
  INDEX(
    FILTER(
      'Juma Recording forms'!$G:$G,
      TRIM('Juma Recording forms'!$F:$F) = TRIM($B131),
      'Juma Recording forms'!$AA:$AA = 1
    ),
    1
  ),
  ""Not Found""
)"),297.0)</f>
        <v>297</v>
      </c>
      <c r="AG131" s="292">
        <f>IFERROR(__xludf.DUMMYFUNCTION("IFERROR(
  INDEX(
    FILTER(
      'Juma Recording forms'!$G:$G,
      TRIM('Juma Recording forms'!$F:$F) = TRIM($B131),
      'Juma Recording forms'!$AA:$AA = 2
    ),
    1
  ),
  ""Not Found""
)"),307.0)</f>
        <v>307</v>
      </c>
      <c r="AH131" s="292">
        <f>IFERROR(__xludf.DUMMYFUNCTION("IFERROR(
  INDEX(
    FILTER(
      'Juma Recording forms'!$G:$G,
      TRIM('Juma Recording forms'!$F:$F) = TRIM($B131),
      'Juma Recording forms'!$AA:$AA = 3
    ),
    1
  ),
  ""Not Found""
)"),295.0)</f>
        <v>295</v>
      </c>
      <c r="AI131" s="292" t="str">
        <f>IFERROR(__xludf.DUMMYFUNCTION("IFERROR(
  INDEX(
    FILTER(
      'Juma Recording forms'!$G:$G,
      TRIM('Juma Recording forms'!$F:$F) = TRIM($B131),
      'Juma Recording forms'!$AA:$AA = 4
    ),
    1
  ),
  ""Not Found""
)"),"Not Found")</f>
        <v>Not Found</v>
      </c>
      <c r="AJ131" s="292" t="str">
        <f>IFERROR(__xludf.DUMMYFUNCTION("IFERROR(
  INDEX(
    FILTER(
      'Juma Recording forms'!$G:$G,
      TRIM('Juma Recording forms'!$F:$F) = TRIM($B131),
      'Juma Recording forms'!$AA:$AA = 5
    ),
    1
  ),
  ""Not Found""
)"),"Not Found")</f>
        <v>Not Found</v>
      </c>
      <c r="AK131" s="292" t="str">
        <f>IFERROR(__xludf.DUMMYFUNCTION("IFERROR(
  INDEX(
    FILTER(
      'Juma Recording forms'!$G:$G,
      TRIM('Juma Recording forms'!$F:$F) = TRIM($B131),
      'Juma Recording forms'!$AA:$AA = 6
    ),
    1
  ),
  ""Not Found""
)"),"Not Found")</f>
        <v>Not Found</v>
      </c>
      <c r="AL1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1!$E:$E"")=$B131) *
        (IMPORTRANGE(""https://docs.google.com/spreadsheets/d/161aHT6vVT3SLneTKD19N5qVWtnj_jIT8CSsOmUVKmaA/e"&amp;"dit?gid=1761053510"",
          ""Haris_Form responses 1!$AQ:$AQ"")=1)
      ),
      1
    ),
    ""0""
  ),
  ""Form not found""
)
"),"10")</f>
        <v>10</v>
      </c>
      <c r="AM1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1!$E:$E"")=$B131) *
        (IMPORTRANGE(""https://docs.google.com/spreadsheets/d/161aHT6vVT3SLneTKD19N5qVWtnj_jIT8CSsOmUVKmaA/e"&amp;"dit?gid=1761053510"",
          ""Haris_Form responses 1!$AQ:$AQ"")=2)
      ),
      1
    ),
    ""0""
  ),
  ""Form not found""
)
"),"3")</f>
        <v>3</v>
      </c>
      <c r="AN1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1!$E:$E"")=$B131) *
        (IMPORTRANGE(""https://docs.google.com/spreadsheets/d/161aHT6vVT3SLneTKD19N5qVWtnj_jIT8CSsOmUVKmaA/e"&amp;"dit?gid=1761053510"",
          ""Haris_Form responses 1!$AQ:$AQ"")=3)
      ),
      1
    ),
    ""0""
  ),
  ""Form not found""
)
"),"0")</f>
        <v>0</v>
      </c>
      <c r="AO1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1!$E:$E"")=$B131) *
        (IMPORTRANGE(""https://docs.google.com/spreadsheets/d/161aHT6vVT3SLneTKD19N5qVWtnj_jIT8CSsOmUVKmaA/e"&amp;"dit?gid=1761053510"",
          ""Haris_Form responses 1!$AQ:$AQ"")=4)
      ),
      1
    ),
    ""0""
  ),
  ""Form not found""
)
"),"Form not found")</f>
        <v>Form not found</v>
      </c>
      <c r="AP1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1!$E:$E"")=$B131) *
        (IMPORTRANGE(""https://docs.google.com/spreadsheets/d/161aHT6vVT3SLneTKD19N5qVWtnj_jIT8CSsOmUVKmaA/e"&amp;"dit?gid=1761053510"",
          ""Haris_Form responses 1!$AQ:$AQ"")=5)
      ),
      1
    ),
    ""0""
  ),
  ""Form not found""
)
"),"Form not found")</f>
        <v>Form not found</v>
      </c>
      <c r="AQ1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1!$E:$E"")=$B131) *
        (IMPORTRANGE(""https://docs.google.com/spreadsheets/d/161aHT6vVT3SLneTKD19N5qVWtnj_jIT8CSsOmUVKmaA/e"&amp;"dit?gid=1761053510"",
          ""Haris_Form responses 1!$AQ:$AQ"")=6)
      ),
      1
    ),
    ""0""
  ),
  ""Form not found""
)
"),"Form not found")</f>
        <v>Form not found</v>
      </c>
      <c r="AR1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1!$E:$E"")=$B131) *
        (IMPORTRANGE(""https://docs.google.com/spreadsheets/d/161aHT6vVT3SLneTKD19N5qVWtnj_jIT8CSsOmUVKmaA/e"&amp;"dit?gid=1761053510"",
          ""Haris_Form responses 1!$AQ:$AQ"")=1)
      ),
      1
    ),
    ""0""
  ),
  ""Form not found""
)
"),"0")</f>
        <v>0</v>
      </c>
      <c r="AS1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1!$E:$E"")=$B131) *
        (IMPORTRANGE(""https://docs.google.com/spreadsheets/d/161aHT6vVT3SLneTKD19N5qVWtnj_jIT8CSsOmUVKmaA/e"&amp;"dit?gid=1761053510"",
          ""Haris_Form responses 1!$AQ:$AQ"")=2)
      ),
      1
    ),
    ""0""
  ),
  ""Form not found""
)
"),"0")</f>
        <v>0</v>
      </c>
      <c r="AT1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1!$E:$E"")=$B131) *
        (IMPORTRANGE(""https://docs.google.com/spreadsheets/d/161aHT6vVT3SLneTKD19N5qVWtnj_jIT8CSsOmUVKmaA/e"&amp;"dit?gid=1761053510"",
          ""Haris_Form responses 1!$AQ:$AQ"")=3)
      ),
      1
    ),
    ""0""
  ),
  ""Form not found""
)
"),"0")</f>
        <v>0</v>
      </c>
      <c r="AU1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1!$E:$E"")=$B131) *
        (IMPORTRANGE(""https://docs.google.com/spreadsheets/d/161aHT6vVT3SLneTKD19N5qVWtnj_jIT8CSsOmUVKmaA/e"&amp;"dit?gid=1761053510"",
          ""Haris_Form responses 1!$AQ:$AQ"")=4)
      ),
      1
    ),
    ""0""
  ),
  ""Form not found""
)
"),"Form not found")</f>
        <v>Form not found</v>
      </c>
      <c r="AV1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1!$E:$E"")=$B131) *
        (IMPORTRANGE(""https://docs.google.com/spreadsheets/d/161aHT6vVT3SLneTKD19N5qVWtnj_jIT8CSsOmUVKmaA/e"&amp;"dit?gid=1761053510"",
          ""Haris_Form responses 1!$AQ:$AQ"")=5)
      ),
      1
    ),
    ""0""
  ),
  ""Form not found""
)
"),"Form not found")</f>
        <v>Form not found</v>
      </c>
      <c r="AW1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1!$E:$E"")=$B131) *
        (IMPORTRANGE(""https://docs.google.com/spreadsheets/d/161aHT6vVT3SLneTKD19N5qVWtnj_jIT8CSsOmUVKmaA/e"&amp;"dit?gid=1761053510"",
          ""Haris_Form responses 1!$AQ:$AQ"")=6)
      ),
      1
    ),
    ""0""
  ),
  ""Form not found""
)
"),"Form not found")</f>
        <v>Form not found</v>
      </c>
      <c r="AX1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1!$E:$E"")=$B131) *
        (IMPORTRANGE(""https://docs.google.com/spreadsheets/d/161aHT6vVT3SLneTKD19N5qVWtnj_jIT8CSsOmUVKmaA/e"&amp;"dit?gid=1761053510"",
          ""Haris_Form responses 1!$AQ:$AQ"")=1)
      ),
      1
    ),
    ""0""
  ),
  ""Form not found""
)
"),"10")</f>
        <v>10</v>
      </c>
      <c r="AY1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1!$E:$E"")=$B131) *
        (IMPORTRANGE(""https://docs.google.com/spreadsheets/d/161aHT6vVT3SLneTKD19N5qVWtnj_jIT8CSsOmUVKmaA/e"&amp;"dit?gid=1761053510"",
          ""Haris_Form responses 1!$AQ:$AQ"")=2)
      ),
      1
    ),
    ""0""
  ),
  ""Form not found""
)
"),"3")</f>
        <v>3</v>
      </c>
      <c r="AZ1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1!$E:$E"")=$B131) *
        (IMPORTRANGE(""https://docs.google.com/spreadsheets/d/161aHT6vVT3SLneTKD19N5qVWtnj_jIT8CSsOmUVKmaA/e"&amp;"dit?gid=1761053510"",
          ""Haris_Form responses 1!$AQ:$AQ"")=3)
      ),
      1
    ),
    ""0""
  ),
  ""Form not found""
)
"),"0")</f>
        <v>0</v>
      </c>
      <c r="BA1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1!$E:$E"")=$B131) *
        (IMPORTRANGE(""https://docs.google.com/spreadsheets/d/161aHT6vVT3SLneTKD19N5qVWtnj_jIT8CSsOmUVKmaA/e"&amp;"dit?gid=1761053510"",
          ""Haris_Form responses 1!$AQ:$AQ"")=4)
      ),
      1
    ),
    ""0""
  ),
  ""Form not found""
)
"),"Form not found")</f>
        <v>Form not found</v>
      </c>
      <c r="BB1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1!$E:$E"")=$B131) *
        (IMPORTRANGE(""https://docs.google.com/spreadsheets/d/161aHT6vVT3SLneTKD19N5qVWtnj_jIT8CSsOmUVKmaA/e"&amp;"dit?gid=1761053510"",
          ""Haris_Form responses 1!$AQ:$AQ"")=5)
      ),
      1
    ),
    ""0""
  ),
  ""Form not found""
)
"),"Form not found")</f>
        <v>Form not found</v>
      </c>
      <c r="BC1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1!$E:$E"")=$B131) *
        (IMPORTRANGE(""https://docs.google.com/spreadsheets/d/161aHT6vVT3SLneTKD19N5qVWtnj_jIT8CSsOmUVKmaA/e"&amp;"dit?gid=1761053510"",
          ""Haris_Form responses 1!$AQ:$AQ"")=6)
      ),
      1
    ),
    ""0""
  ),
  ""Form not found""
)
"),"Form not found")</f>
        <v>Form not found</v>
      </c>
      <c r="BD131" s="293"/>
    </row>
    <row r="132">
      <c r="A132" s="283" t="str">
        <f>IFERROR(__xludf.DUMMYFUNCTION("VLOOKUP($B132,IMPORTRANGE(""https://docs.google.com/spreadsheets/d/1VNXDITjs75AcgdBSW27oL1VZH31udDprJSsBcE5xlp4/edit?gid=1551188038#gid=1551188038"", ""Sheet9!$B:$E""),2,false)"),"Muzaffargarh")</f>
        <v>Muzaffargarh</v>
      </c>
      <c r="B132" s="283" t="s">
        <v>4580</v>
      </c>
      <c r="C132" s="284" t="str">
        <f>IFERROR(__xludf.DUMMYFUNCTION("VLOOKUP(TRIM($B132), IMPORTRANGE(""https://docs.google.com/spreadsheets/d/1aSOrU4PTpuBZqfitKaH1Rfww6-YOiNCKoBpPl8XBHaw/edit?gid=0#gid=0"", ""sheet3!$B:$C""), 2, FALSE)
"),"Jamia Masjid Darbar Laal Ehsan (Ahle Sunnat )")</f>
        <v>Jamia Masjid Darbar Laal Ehsan (Ahle Sunnat )</v>
      </c>
      <c r="D132" s="284" t="str">
        <f>IFERROR(__xludf.DUMMYFUNCTION("IFERROR(
  INDEX(
    FILTER(
      IMPORTRANGE(""1aSOrU4PTpuBZqfitKaH1Rfww6-YOiNCKoBpPl8XBHaw/edit?gid=0#gid=0"",""Sheet1!G:G""),
      IMPORTRANGE(""1aSOrU4PTpuBZqfitKaH1Rfww6-YOiNCKoBpPl8XBHaw/edit?gid=0#gid=0"",""Sheet1!C:C"")=$B132
    ),
    1
  ),
"&amp;"  ""Not Found""
)"),"Control")</f>
        <v>Control</v>
      </c>
      <c r="E132" s="284" t="str">
        <f>VLOOKUP(B132,'Juma Recording forms'!A:E,5,false)</f>
        <v>Jamia Masjid darbar laal Ehsan</v>
      </c>
      <c r="F132" s="284" t="str">
        <f>IFERROR(__xludf.DUMMYFUNCTION("IFERROR(
  INDEX(
    FILTER(
      IMPORTRANGE(""1Cxrhp3-_-HS7v9uuqQliiIfrmMP4VaFoDNDWyUFy2J8/edit?gid=0#gid=0"",""Sheet1!Q:Q""),
      IMPORTRANGE(""1Cxrhp3-_-HS7v9uuqQliiIfrmMP4VaFoDNDWyUFy2J8/edit?gid=0#gid=0"",""Sheet1!K:K"")=$B132
    ),
    1
  ),
"&amp;"  ""Not Found""
)"),"Not Found")</f>
        <v>Not Found</v>
      </c>
      <c r="G132" s="284"/>
      <c r="H132" s="284"/>
      <c r="I132" s="285" t="s">
        <v>197</v>
      </c>
      <c r="J132" s="286">
        <v>2.0</v>
      </c>
      <c r="K132" s="287" t="str">
        <f>VLOOKUP($B132,'Mosque Locations'!$A:$E,3,FALSE)
</f>
        <v>https://maps.google.com/?q=31.2287769,70.9514165</v>
      </c>
      <c r="L132" s="286">
        <f>VLOOKUP($B132,'Mosque Locations'!$A:$E,4,FALSE)
</f>
        <v>31.22878</v>
      </c>
      <c r="M132" s="286">
        <f>VLOOKUP($B132,'Mosque Locations'!$A:$E,5,false)</f>
        <v>70.95142</v>
      </c>
      <c r="N132" s="288"/>
      <c r="O132" s="288"/>
      <c r="P132" s="288"/>
      <c r="Q132" s="295" t="str">
        <f>IFERROR(__xludf.DUMMYFUNCTION("IFERROR(
  INDEX(
    FILTER(
      IMPORTRANGE(""1kOrIKZmJfNUkgOVP3sI9BPjaaPA0_a4636oymQxTXg8"",""Form Responses 1!N:N""),
      TRIM(IMPORTRANGE(""1kOrIKZmJfNUkgOVP3sI9BPjaaPA0_a4636oymQxTXg8"",""Form Responses 1!F:F""))=TRIM($B132)
    ),
    1
  ),
  "&amp;"""Not Found""
)
"),"https://drive.google.com/open?id=1MSSIljUT9AO3es0u7kgBujoyxgz9WRcD")</f>
        <v>https://drive.google.com/open?id=1MSSIljUT9AO3es0u7kgBujoyxgz9WRcD</v>
      </c>
      <c r="R132" s="295" t="str">
        <f>IFERROR(__xludf.DUMMYFUNCTION("IFERROR(
  INDEX(
    FILTER(
      IMPORTRANGE(""1kOrIKZmJfNUkgOVP3sI9BPjaaPA0_a4636oymQxTXg8"",""Form Responses 1!M:M""),
      TRIM(IMPORTRANGE(""1kOrIKZmJfNUkgOVP3sI9BPjaaPA0_a4636oymQxTXg8"",""Form Responses 1!F:F""))=TRIM($B132)
    ),
    1
  ),
  "&amp;"""Not Found""
)
"),"https://drive.google.com/open?id=1kCATXlU4BMiwHITJoR28s3mdJghhr0jP")</f>
        <v>https://drive.google.com/open?id=1kCATXlU4BMiwHITJoR28s3mdJghhr0jP</v>
      </c>
      <c r="S132" s="285"/>
      <c r="T132" s="290" t="str">
        <f>VLOOKUP($B132,'Master Tracker'!D:E,2,false)</f>
        <v>https://drive.google.com/open?id=1Xj9KzNMsM6WcIG8-GeA1LU1u2JTTf_Bq</v>
      </c>
      <c r="U132" s="291" t="str">
        <f>VLOOKUP($B132,'Master Tracker'!$D:$T,4,FALSE)
</f>
        <v>https://drive.google.com/open?id=1yVArfpB9tr3tu2eWT86fTpYc6IJsBGZu</v>
      </c>
      <c r="V132" s="284" t="str">
        <f>VLOOKUP($B132,'Master Tracker'!$D:$T,5,false)</f>
        <v>Not Found</v>
      </c>
      <c r="W132" s="292" t="str">
        <f>VLOOKUP($B132,'Master Tracker'!$D:$T,7,false)</f>
        <v>Not Found</v>
      </c>
      <c r="X132" s="290" t="str">
        <f>VLOOKUP($B132,'Master Tracker'!$D:$T,8,false)</f>
        <v>https://drive.google.com/open?id=1D69LTpgbrajZvTEVdvjNzYX6ZpsmBm7h</v>
      </c>
      <c r="Y132" s="291" t="str">
        <f>VLOOKUP($B132,'Master Tracker'!$D:$T,10,false)</f>
        <v>https://drive.google.com/open?id=13arCE15PPw-nq2BnEQyqJ6S7O6C6ab1x</v>
      </c>
      <c r="Z132" s="284" t="str">
        <f>VLOOKUP($B132,'Master Tracker'!$D:$T,11,false)</f>
        <v>Not Found</v>
      </c>
      <c r="AA132" s="292" t="str">
        <f>VLOOKUP($B132,'Master Tracker'!$D:$T,13,false)</f>
        <v>Not Found</v>
      </c>
      <c r="AB132" s="284" t="str">
        <f>VLOOKUP($B132,'Master Tracker'!$D:$T,14,false)</f>
        <v>Not Found</v>
      </c>
      <c r="AC132" s="292" t="str">
        <f>VLOOKUP($B132,'Master Tracker'!$D:$T,16,false)</f>
        <v>Not Found</v>
      </c>
      <c r="AD132" s="292" t="str">
        <f>VLOOKUP($B132,'Master Tracker'!$D:$T,17,false)</f>
        <v>Not Found</v>
      </c>
      <c r="AE132" s="292" t="str">
        <f>VLOOKUP($B132,'Master Tracker'!$D:$V,19,false)</f>
        <v>Not Found</v>
      </c>
      <c r="AF132" s="292" t="str">
        <f>IFERROR(__xludf.DUMMYFUNCTION("IFERROR(
  INDEX(
    FILTER(
      'Juma Recording forms'!$G:$G,
      TRIM('Juma Recording forms'!$F:$F) = TRIM($B132),
      'Juma Recording forms'!$AA:$AA = 1
    ),
    1
  ),
  ""Not Found""
)"),"Approximately 300")</f>
        <v>Approximately 300</v>
      </c>
      <c r="AG132" s="292" t="str">
        <f>IFERROR(__xludf.DUMMYFUNCTION("IFERROR(
  INDEX(
    FILTER(
      'Juma Recording forms'!$G:$G,
      TRIM('Juma Recording forms'!$F:$F) = TRIM($B132),
      'Juma Recording forms'!$AA:$AA = 2
    ),
    1
  ),
  ""Not Found""
)"),"Not Found")</f>
        <v>Not Found</v>
      </c>
      <c r="AH132" s="292">
        <f>IFERROR(__xludf.DUMMYFUNCTION("IFERROR(
  INDEX(
    FILTER(
      'Juma Recording forms'!$G:$G,
      TRIM('Juma Recording forms'!$F:$F) = TRIM($B132),
      'Juma Recording forms'!$AA:$AA = 3
    ),
    1
  ),
  ""Not Found""
)"),280.0)</f>
        <v>280</v>
      </c>
      <c r="AI132" s="292" t="str">
        <f>IFERROR(__xludf.DUMMYFUNCTION("IFERROR(
  INDEX(
    FILTER(
      'Juma Recording forms'!$G:$G,
      TRIM('Juma Recording forms'!$F:$F) = TRIM($B132),
      'Juma Recording forms'!$AA:$AA = 4
    ),
    1
  ),
  ""Not Found""
)"),"Not Found")</f>
        <v>Not Found</v>
      </c>
      <c r="AJ132" s="292" t="str">
        <f>IFERROR(__xludf.DUMMYFUNCTION("IFERROR(
  INDEX(
    FILTER(
      'Juma Recording forms'!$G:$G,
      TRIM('Juma Recording forms'!$F:$F) = TRIM($B132),
      'Juma Recording forms'!$AA:$AA = 5
    ),
    1
  ),
  ""Not Found""
)"),"Not Found")</f>
        <v>Not Found</v>
      </c>
      <c r="AK132" s="292"/>
      <c r="AL1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1!$E:$E"")=$B132) *
        (IMPORTRANGE(""https://docs.google.com/spreadsheets/d/161aHT6vVT3SLneTKD19N5qVWtnj_jIT8CSsOmUVKmaA/e"&amp;"dit?gid=1761053510"",
          ""Haris_Form responses 1!$AQ:$AQ"")=1)
      ),
      1
    ),
    ""0""
  ),
  ""Form not found""
)
"),"0")</f>
        <v>0</v>
      </c>
      <c r="AM1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1!$E:$E"")=$B132) *
        (IMPORTRANGE(""https://docs.google.com/spreadsheets/d/161aHT6vVT3SLneTKD19N5qVWtnj_jIT8CSsOmUVKmaA/e"&amp;"dit?gid=1761053510"",
          ""Haris_Form responses 1!$AQ:$AQ"")=2)
      ),
      1
    ),
    ""0""
  ),
  ""Form not found""
)
"),"Form not found")</f>
        <v>Form not found</v>
      </c>
      <c r="AN1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1!$E:$E"")=$B132) *
        (IMPORTRANGE(""https://docs.google.com/spreadsheets/d/161aHT6vVT3SLneTKD19N5qVWtnj_jIT8CSsOmUVKmaA/e"&amp;"dit?gid=1761053510"",
          ""Haris_Form responses 1!$AQ:$AQ"")=3)
      ),
      1
    ),
    ""0""
  ),
  ""Form not found""
)
"),"0")</f>
        <v>0</v>
      </c>
      <c r="AO1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1!$E:$E"")=$B132) *
        (IMPORTRANGE(""https://docs.google.com/spreadsheets/d/161aHT6vVT3SLneTKD19N5qVWtnj_jIT8CSsOmUVKmaA/e"&amp;"dit?gid=1761053510"",
          ""Haris_Form responses 1!$AQ:$AQ"")=4)
      ),
      1
    ),
    ""0""
  ),
  ""Form not found""
)
"),"Form not found")</f>
        <v>Form not found</v>
      </c>
      <c r="AP1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1!$E:$E"")=$B132) *
        (IMPORTRANGE(""https://docs.google.com/spreadsheets/d/161aHT6vVT3SLneTKD19N5qVWtnj_jIT8CSsOmUVKmaA/e"&amp;"dit?gid=1761053510"",
          ""Haris_Form responses 1!$AQ:$AQ"")=5)
      ),
      1
    ),
    ""0""
  ),
  ""Form not found""
)
"),"Form not found")</f>
        <v>Form not found</v>
      </c>
      <c r="AQ1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1!$E:$E"")=$B132) *
        (IMPORTRANGE(""https://docs.google.com/spreadsheets/d/161aHT6vVT3SLneTKD19N5qVWtnj_jIT8CSsOmUVKmaA/e"&amp;"dit?gid=1761053510"",
          ""Haris_Form responses 1!$AQ:$AQ"")=6)
      ),
      1
    ),
    ""0""
  ),
  ""Form not found""
)
"),"Form not found")</f>
        <v>Form not found</v>
      </c>
      <c r="AR1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1!$E:$E"")=$B132) *
        (IMPORTRANGE(""https://docs.google.com/spreadsheets/d/161aHT6vVT3SLneTKD19N5qVWtnj_jIT8CSsOmUVKmaA/e"&amp;"dit?gid=1761053510"",
          ""Haris_Form responses 1!$AQ:$AQ"")=1)
      ),
      1
    ),
    ""0""
  ),
  ""Form not found""
)
"),"0")</f>
        <v>0</v>
      </c>
      <c r="AS1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1!$E:$E"")=$B132) *
        (IMPORTRANGE(""https://docs.google.com/spreadsheets/d/161aHT6vVT3SLneTKD19N5qVWtnj_jIT8CSsOmUVKmaA/e"&amp;"dit?gid=1761053510"",
          ""Haris_Form responses 1!$AQ:$AQ"")=2)
      ),
      1
    ),
    ""0""
  ),
  ""Form not found""
)
"),"Form not found")</f>
        <v>Form not found</v>
      </c>
      <c r="AT1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1!$E:$E"")=$B132) *
        (IMPORTRANGE(""https://docs.google.com/spreadsheets/d/161aHT6vVT3SLneTKD19N5qVWtnj_jIT8CSsOmUVKmaA/e"&amp;"dit?gid=1761053510"",
          ""Haris_Form responses 1!$AQ:$AQ"")=3)
      ),
      1
    ),
    ""0""
  ),
  ""Form not found""
)
"),"0")</f>
        <v>0</v>
      </c>
      <c r="AU1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1!$E:$E"")=$B132) *
        (IMPORTRANGE(""https://docs.google.com/spreadsheets/d/161aHT6vVT3SLneTKD19N5qVWtnj_jIT8CSsOmUVKmaA/e"&amp;"dit?gid=1761053510"",
          ""Haris_Form responses 1!$AQ:$AQ"")=4)
      ),
      1
    ),
    ""0""
  ),
  ""Form not found""
)
"),"Form not found")</f>
        <v>Form not found</v>
      </c>
      <c r="AV1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1!$E:$E"")=$B132) *
        (IMPORTRANGE(""https://docs.google.com/spreadsheets/d/161aHT6vVT3SLneTKD19N5qVWtnj_jIT8CSsOmUVKmaA/e"&amp;"dit?gid=1761053510"",
          ""Haris_Form responses 1!$AQ:$AQ"")=5)
      ),
      1
    ),
    ""0""
  ),
  ""Form not found""
)
"),"Form not found")</f>
        <v>Form not found</v>
      </c>
      <c r="AW1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1!$E:$E"")=$B132) *
        (IMPORTRANGE(""https://docs.google.com/spreadsheets/d/161aHT6vVT3SLneTKD19N5qVWtnj_jIT8CSsOmUVKmaA/e"&amp;"dit?gid=1761053510"",
          ""Haris_Form responses 1!$AQ:$AQ"")=6)
      ),
      1
    ),
    ""0""
  ),
  ""Form not found""
)
"),"Form not found")</f>
        <v>Form not found</v>
      </c>
      <c r="AX1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1!$E:$E"")=$B132) *
        (IMPORTRANGE(""https://docs.google.com/spreadsheets/d/161aHT6vVT3SLneTKD19N5qVWtnj_jIT8CSsOmUVKmaA/e"&amp;"dit?gid=1761053510"",
          ""Haris_Form responses 1!$AQ:$AQ"")=1)
      ),
      1
    ),
    ""0""
  ),
  ""Form not found""
)
"),"0")</f>
        <v>0</v>
      </c>
      <c r="AY1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1!$E:$E"")=$B132) *
        (IMPORTRANGE(""https://docs.google.com/spreadsheets/d/161aHT6vVT3SLneTKD19N5qVWtnj_jIT8CSsOmUVKmaA/e"&amp;"dit?gid=1761053510"",
          ""Haris_Form responses 1!$AQ:$AQ"")=2)
      ),
      1
    ),
    ""0""
  ),
  ""Form not found""
)
"),"Form not found")</f>
        <v>Form not found</v>
      </c>
      <c r="AZ1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1!$E:$E"")=$B132) *
        (IMPORTRANGE(""https://docs.google.com/spreadsheets/d/161aHT6vVT3SLneTKD19N5qVWtnj_jIT8CSsOmUVKmaA/e"&amp;"dit?gid=1761053510"",
          ""Haris_Form responses 1!$AQ:$AQ"")=3)
      ),
      1
    ),
    ""0""
  ),
  ""Form not found""
)
"),"0")</f>
        <v>0</v>
      </c>
      <c r="BA1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1!$E:$E"")=$B132) *
        (IMPORTRANGE(""https://docs.google.com/spreadsheets/d/161aHT6vVT3SLneTKD19N5qVWtnj_jIT8CSsOmUVKmaA/e"&amp;"dit?gid=1761053510"",
          ""Haris_Form responses 1!$AQ:$AQ"")=4)
      ),
      1
    ),
    ""0""
  ),
  ""Form not found""
)
"),"Form not found")</f>
        <v>Form not found</v>
      </c>
      <c r="BB1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1!$E:$E"")=$B132) *
        (IMPORTRANGE(""https://docs.google.com/spreadsheets/d/161aHT6vVT3SLneTKD19N5qVWtnj_jIT8CSsOmUVKmaA/e"&amp;"dit?gid=1761053510"",
          ""Haris_Form responses 1!$AQ:$AQ"")=5)
      ),
      1
    ),
    ""0""
  ),
  ""Form not found""
)
"),"Form not found")</f>
        <v>Form not found</v>
      </c>
      <c r="BC1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1!$E:$E"")=$B132) *
        (IMPORTRANGE(""https://docs.google.com/spreadsheets/d/161aHT6vVT3SLneTKD19N5qVWtnj_jIT8CSsOmUVKmaA/e"&amp;"dit?gid=1761053510"",
          ""Haris_Form responses 1!$AQ:$AQ"")=6)
      ),
      1
    ),
    ""0""
  ),
  ""Form not found""
)
"),"Form not found")</f>
        <v>Form not found</v>
      </c>
      <c r="BD132" s="293"/>
    </row>
    <row r="133">
      <c r="A133" s="283" t="str">
        <f>IFERROR(__xludf.DUMMYFUNCTION("VLOOKUP($B133,IMPORTRANGE(""https://docs.google.com/spreadsheets/d/1VNXDITjs75AcgdBSW27oL1VZH31udDprJSsBcE5xlp4/edit?gid=1551188038#gid=1551188038"", ""Sheet9!$B:$E""),2,false)"),"Muzaffargarh")</f>
        <v>Muzaffargarh</v>
      </c>
      <c r="B133" s="283" t="s">
        <v>4581</v>
      </c>
      <c r="C133" s="284" t="str">
        <f>IFERROR(__xludf.DUMMYFUNCTION("VLOOKUP(TRIM($B133), IMPORTRANGE(""https://docs.google.com/spreadsheets/d/1aSOrU4PTpuBZqfitKaH1Rfww6-YOiNCKoBpPl8XBHaw/edit?gid=0#gid=0"", ""sheet3!$B:$C""), 2, FALSE)
"),"Jamia Masjid Darbar Muhammad Ali Rajan Shah Layyah")</f>
        <v>Jamia Masjid Darbar Muhammad Ali Rajan Shah Layyah</v>
      </c>
      <c r="D133" s="284" t="str">
        <f>IFERROR(__xludf.DUMMYFUNCTION("IFERROR(
  INDEX(
    FILTER(
      IMPORTRANGE(""1aSOrU4PTpuBZqfitKaH1Rfww6-YOiNCKoBpPl8XBHaw/edit?gid=0#gid=0"",""Sheet1!G:G""),
      IMPORTRANGE(""1aSOrU4PTpuBZqfitKaH1Rfww6-YOiNCKoBpPl8XBHaw/edit?gid=0#gid=0"",""Sheet1!C:C"")=$B133
    ),
    1
  ),
"&amp;"  ""Not Found""
)"),"Control")</f>
        <v>Control</v>
      </c>
      <c r="E133" s="284" t="str">
        <f>VLOOKUP(B133,'Juma Recording forms'!A:E,5,false)</f>
        <v>Jamia Masjid Darbar Muhammad Ali Rajan Shah Layyah </v>
      </c>
      <c r="F133" s="284" t="str">
        <f>IFERROR(__xludf.DUMMYFUNCTION("IFERROR(
  INDEX(
    FILTER(
      IMPORTRANGE(""1Cxrhp3-_-HS7v9uuqQliiIfrmMP4VaFoDNDWyUFy2J8/edit?gid=0#gid=0"",""Sheet1!Q:Q""),
      IMPORTRANGE(""1Cxrhp3-_-HS7v9uuqQliiIfrmMP4VaFoDNDWyUFy2J8/edit?gid=0#gid=0"",""Sheet1!K:K"")=$B133
    ),
    1
  ),
"&amp;"  ""Not Found""
)"),"Tahir Raza")</f>
        <v>Tahir Raza</v>
      </c>
      <c r="G133" s="284">
        <v>1770.0</v>
      </c>
      <c r="H133" s="284" t="s">
        <v>4850</v>
      </c>
      <c r="I133" s="285" t="s">
        <v>197</v>
      </c>
      <c r="J133" s="286">
        <v>2.0</v>
      </c>
      <c r="K133" s="287" t="str">
        <f>VLOOKUP($B133,'Mosque Locations'!$A:$E,3,FALSE)
</f>
        <v>https://maps.google.com/?q=31.146174,70.9302588</v>
      </c>
      <c r="L133" s="286">
        <f>VLOOKUP($B133,'Mosque Locations'!$A:$E,4,FALSE)
</f>
        <v>31.14617</v>
      </c>
      <c r="M133" s="300">
        <f>VLOOKUP($B133,'Mosque Locations'!$A:$E,5,false)</f>
        <v>70.93026</v>
      </c>
      <c r="N133" s="288"/>
      <c r="O133" s="288"/>
      <c r="P133" s="288"/>
      <c r="Q133" s="290" t="str">
        <f>IFERROR(__xludf.DUMMYFUNCTION("IFERROR(
  INDEX(
    FILTER(
      IMPORTRANGE(""1kOrIKZmJfNUkgOVP3sI9BPjaaPA0_a4636oymQxTXg8"",""Form Responses 1!N:N""),
      TRIM(IMPORTRANGE(""1kOrIKZmJfNUkgOVP3sI9BPjaaPA0_a4636oymQxTXg8"",""Form Responses 1!F:F""))=TRIM($B133)
    ),
    1
  ),
  "&amp;"""Not Found""
)
"),"https://drive.google.com/open?id=1JIX1NCXBBj2gtYgryzO22l_e_LDad2JB")</f>
        <v>https://drive.google.com/open?id=1JIX1NCXBBj2gtYgryzO22l_e_LDad2JB</v>
      </c>
      <c r="R133" s="290" t="str">
        <f>IFERROR(__xludf.DUMMYFUNCTION("IFERROR(
  INDEX(
    FILTER(
      IMPORTRANGE(""1kOrIKZmJfNUkgOVP3sI9BPjaaPA0_a4636oymQxTXg8"",""Form Responses 1!M:M""),
      TRIM(IMPORTRANGE(""1kOrIKZmJfNUkgOVP3sI9BPjaaPA0_a4636oymQxTXg8"",""Form Responses 1!F:F""))=TRIM($B133)
    ),
    1
  ),
  "&amp;"""Not Found""
)
"),"https://drive.google.com/open?id=14mjJnCRqhzhDqdoZpDgl3sicLHV4uxkn")</f>
        <v>https://drive.google.com/open?id=14mjJnCRqhzhDqdoZpDgl3sicLHV4uxkn</v>
      </c>
      <c r="S133" s="285"/>
      <c r="T133" s="290" t="str">
        <f>VLOOKUP($B133,'Master Tracker'!D:E,2,false)</f>
        <v>https://drive.google.com/open?id=1LFUyp5YRCivmeIbZF-CGoDhgozt6jQbZ</v>
      </c>
      <c r="U133" s="291" t="str">
        <f>VLOOKUP($B133,'Master Tracker'!$D:$T,4,FALSE)
</f>
        <v>https://drive.google.com/open?id=1l2RM_s3S4cjYAlYMWcIsbHyXIOVhBW6P</v>
      </c>
      <c r="V133" s="284" t="str">
        <f>VLOOKUP($B133,'Master Tracker'!$D:$T,5,false)</f>
        <v>Not Found</v>
      </c>
      <c r="W133" s="292" t="str">
        <f>VLOOKUP($B133,'Master Tracker'!$D:$T,7,false)</f>
        <v>Not Found</v>
      </c>
      <c r="X133" s="290" t="str">
        <f>VLOOKUP($B133,'Master Tracker'!$D:$T,8,false)</f>
        <v>https://drive.google.com/open?id=1At97IzXZlLI42vGYNE7orwlAqPjzKIx_</v>
      </c>
      <c r="Y133" s="291" t="str">
        <f>VLOOKUP($B133,'Master Tracker'!$D:$T,10,false)</f>
        <v>https://drive.google.com/open?id=12lYHZuiUR1wiu1qzFfgUXwo5fi1tcSgR</v>
      </c>
      <c r="Z133" s="284" t="str">
        <f>VLOOKUP($B133,'Master Tracker'!$D:$T,11,false)</f>
        <v>Not Found</v>
      </c>
      <c r="AA133" s="292" t="str">
        <f>VLOOKUP($B133,'Master Tracker'!$D:$T,13,false)</f>
        <v>Not Found</v>
      </c>
      <c r="AB133" s="284" t="str">
        <f>VLOOKUP($B133,'Master Tracker'!$D:$T,14,false)</f>
        <v>Not Found</v>
      </c>
      <c r="AC133" s="292" t="str">
        <f>VLOOKUP($B133,'Master Tracker'!$D:$T,16,false)</f>
        <v>Not Found</v>
      </c>
      <c r="AD133" s="292" t="str">
        <f>VLOOKUP($B133,'Master Tracker'!$D:$T,17,false)</f>
        <v>Not Found</v>
      </c>
      <c r="AE133" s="292" t="str">
        <f>VLOOKUP($B133,'Master Tracker'!$D:$V,19,false)</f>
        <v>Not Found</v>
      </c>
      <c r="AF133" s="292">
        <f>IFERROR(__xludf.DUMMYFUNCTION("IFERROR(
  INDEX(
    FILTER(
      'Juma Recording forms'!$G:$G,
      TRIM('Juma Recording forms'!$F:$F) = TRIM($B133),
      'Juma Recording forms'!$AA:$AA = 1
    ),
    1
  ),
  ""Not Found""
)"),199.0)</f>
        <v>199</v>
      </c>
      <c r="AG133" s="292" t="str">
        <f>IFERROR(__xludf.DUMMYFUNCTION("IFERROR(
  INDEX(
    FILTER(
      'Juma Recording forms'!$G:$G,
      TRIM('Juma Recording forms'!$F:$F) = TRIM($B133),
      'Juma Recording forms'!$AA:$AA = 2
    ),
    1
  ),
  ""Not Found""
)"),"Not Found")</f>
        <v>Not Found</v>
      </c>
      <c r="AH133" s="292">
        <f>IFERROR(__xludf.DUMMYFUNCTION("IFERROR(
  INDEX(
    FILTER(
      'Juma Recording forms'!$G:$G,
      TRIM('Juma Recording forms'!$F:$F) = TRIM($B133),
      'Juma Recording forms'!$AA:$AA = 3
    ),
    1
  ),
  ""Not Found""
)"),213.0)</f>
        <v>213</v>
      </c>
      <c r="AI133" s="292" t="str">
        <f>IFERROR(__xludf.DUMMYFUNCTION("IFERROR(
  INDEX(
    FILTER(
      'Juma Recording forms'!$G:$G,
      TRIM('Juma Recording forms'!$F:$F) = TRIM($B133),
      'Juma Recording forms'!$AA:$AA = 4
    ),
    1
  ),
  ""Not Found""
)"),"Not Found")</f>
        <v>Not Found</v>
      </c>
      <c r="AJ133" s="292" t="str">
        <f>IFERROR(__xludf.DUMMYFUNCTION("IFERROR(
  INDEX(
    FILTER(
      'Juma Recording forms'!$G:$G,
      TRIM('Juma Recording forms'!$F:$F) = TRIM($B133),
      'Juma Recording forms'!$AA:$AA = 5
    ),
    1
  ),
  ""Not Found""
)"),"Not Found")</f>
        <v>Not Found</v>
      </c>
      <c r="AK133" s="292"/>
      <c r="AL1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1!$E:$E"")=$B133) *
        (IMPORTRANGE(""https://docs.google.com/spreadsheets/d/161aHT6vVT3SLneTKD19N5qVWtnj_jIT8CSsOmUVKmaA/e"&amp;"dit?gid=1761053510"",
          ""Haris_Form responses 1!$AQ:$AQ"")=1)
      ),
      1
    ),
    ""0""
  ),
  ""Form not found""
)
"),"0")</f>
        <v>0</v>
      </c>
      <c r="AM1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1!$E:$E"")=$B133) *
        (IMPORTRANGE(""https://docs.google.com/spreadsheets/d/161aHT6vVT3SLneTKD19N5qVWtnj_jIT8CSsOmUVKmaA/e"&amp;"dit?gid=1761053510"",
          ""Haris_Form responses 1!$AQ:$AQ"")=2)
      ),
      1
    ),
    ""0""
  ),
  ""Form not found""
)
"),"Form not found")</f>
        <v>Form not found</v>
      </c>
      <c r="AN1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1!$E:$E"")=$B133) *
        (IMPORTRANGE(""https://docs.google.com/spreadsheets/d/161aHT6vVT3SLneTKD19N5qVWtnj_jIT8CSsOmUVKmaA/e"&amp;"dit?gid=1761053510"",
          ""Haris_Form responses 1!$AQ:$AQ"")=3)
      ),
      1
    ),
    ""0""
  ),
  ""Form not found""
)
"),"0")</f>
        <v>0</v>
      </c>
      <c r="AO1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1!$E:$E"")=$B133) *
        (IMPORTRANGE(""https://docs.google.com/spreadsheets/d/161aHT6vVT3SLneTKD19N5qVWtnj_jIT8CSsOmUVKmaA/e"&amp;"dit?gid=1761053510"",
          ""Haris_Form responses 1!$AQ:$AQ"")=4)
      ),
      1
    ),
    ""0""
  ),
  ""Form not found""
)
"),"Form not found")</f>
        <v>Form not found</v>
      </c>
      <c r="AP1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1!$E:$E"")=$B133) *
        (IMPORTRANGE(""https://docs.google.com/spreadsheets/d/161aHT6vVT3SLneTKD19N5qVWtnj_jIT8CSsOmUVKmaA/e"&amp;"dit?gid=1761053510"",
          ""Haris_Form responses 1!$AQ:$AQ"")=5)
      ),
      1
    ),
    ""0""
  ),
  ""Form not found""
)
"),"Form not found")</f>
        <v>Form not found</v>
      </c>
      <c r="AQ1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1!$E:$E"")=$B133) *
        (IMPORTRANGE(""https://docs.google.com/spreadsheets/d/161aHT6vVT3SLneTKD19N5qVWtnj_jIT8CSsOmUVKmaA/e"&amp;"dit?gid=1761053510"",
          ""Haris_Form responses 1!$AQ:$AQ"")=6)
      ),
      1
    ),
    ""0""
  ),
  ""Form not found""
)
"),"Form not found")</f>
        <v>Form not found</v>
      </c>
      <c r="AR1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1!$E:$E"")=$B133) *
        (IMPORTRANGE(""https://docs.google.com/spreadsheets/d/161aHT6vVT3SLneTKD19N5qVWtnj_jIT8CSsOmUVKmaA/e"&amp;"dit?gid=1761053510"",
          ""Haris_Form responses 1!$AQ:$AQ"")=1)
      ),
      1
    ),
    ""0""
  ),
  ""Form not found""
)
"),"0")</f>
        <v>0</v>
      </c>
      <c r="AS1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1!$E:$E"")=$B133) *
        (IMPORTRANGE(""https://docs.google.com/spreadsheets/d/161aHT6vVT3SLneTKD19N5qVWtnj_jIT8CSsOmUVKmaA/e"&amp;"dit?gid=1761053510"",
          ""Haris_Form responses 1!$AQ:$AQ"")=2)
      ),
      1
    ),
    ""0""
  ),
  ""Form not found""
)
"),"Form not found")</f>
        <v>Form not found</v>
      </c>
      <c r="AT1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1!$E:$E"")=$B133) *
        (IMPORTRANGE(""https://docs.google.com/spreadsheets/d/161aHT6vVT3SLneTKD19N5qVWtnj_jIT8CSsOmUVKmaA/e"&amp;"dit?gid=1761053510"",
          ""Haris_Form responses 1!$AQ:$AQ"")=3)
      ),
      1
    ),
    ""0""
  ),
  ""Form not found""
)
"),"0")</f>
        <v>0</v>
      </c>
      <c r="AU1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1!$E:$E"")=$B133) *
        (IMPORTRANGE(""https://docs.google.com/spreadsheets/d/161aHT6vVT3SLneTKD19N5qVWtnj_jIT8CSsOmUVKmaA/e"&amp;"dit?gid=1761053510"",
          ""Haris_Form responses 1!$AQ:$AQ"")=4)
      ),
      1
    ),
    ""0""
  ),
  ""Form not found""
)
"),"Form not found")</f>
        <v>Form not found</v>
      </c>
      <c r="AV1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1!$E:$E"")=$B133) *
        (IMPORTRANGE(""https://docs.google.com/spreadsheets/d/161aHT6vVT3SLneTKD19N5qVWtnj_jIT8CSsOmUVKmaA/e"&amp;"dit?gid=1761053510"",
          ""Haris_Form responses 1!$AQ:$AQ"")=5)
      ),
      1
    ),
    ""0""
  ),
  ""Form not found""
)
"),"Form not found")</f>
        <v>Form not found</v>
      </c>
      <c r="AW1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1!$E:$E"")=$B133) *
        (IMPORTRANGE(""https://docs.google.com/spreadsheets/d/161aHT6vVT3SLneTKD19N5qVWtnj_jIT8CSsOmUVKmaA/e"&amp;"dit?gid=1761053510"",
          ""Haris_Form responses 1!$AQ:$AQ"")=6)
      ),
      1
    ),
    ""0""
  ),
  ""Form not found""
)
"),"Form not found")</f>
        <v>Form not found</v>
      </c>
      <c r="AX1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1!$E:$E"")=$B133) *
        (IMPORTRANGE(""https://docs.google.com/spreadsheets/d/161aHT6vVT3SLneTKD19N5qVWtnj_jIT8CSsOmUVKmaA/e"&amp;"dit?gid=1761053510"",
          ""Haris_Form responses 1!$AQ:$AQ"")=1)
      ),
      1
    ),
    ""0""
  ),
  ""Form not found""
)
"),"0")</f>
        <v>0</v>
      </c>
      <c r="AY1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1!$E:$E"")=$B133) *
        (IMPORTRANGE(""https://docs.google.com/spreadsheets/d/161aHT6vVT3SLneTKD19N5qVWtnj_jIT8CSsOmUVKmaA/e"&amp;"dit?gid=1761053510"",
          ""Haris_Form responses 1!$AQ:$AQ"")=2)
      ),
      1
    ),
    ""0""
  ),
  ""Form not found""
)
"),"Form not found")</f>
        <v>Form not found</v>
      </c>
      <c r="AZ1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1!$E:$E"")=$B133) *
        (IMPORTRANGE(""https://docs.google.com/spreadsheets/d/161aHT6vVT3SLneTKD19N5qVWtnj_jIT8CSsOmUVKmaA/e"&amp;"dit?gid=1761053510"",
          ""Haris_Form responses 1!$AQ:$AQ"")=3)
      ),
      1
    ),
    ""0""
  ),
  ""Form not found""
)
"),"0")</f>
        <v>0</v>
      </c>
      <c r="BA1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1!$E:$E"")=$B133) *
        (IMPORTRANGE(""https://docs.google.com/spreadsheets/d/161aHT6vVT3SLneTKD19N5qVWtnj_jIT8CSsOmUVKmaA/e"&amp;"dit?gid=1761053510"",
          ""Haris_Form responses 1!$AQ:$AQ"")=4)
      ),
      1
    ),
    ""0""
  ),
  ""Form not found""
)
"),"Form not found")</f>
        <v>Form not found</v>
      </c>
      <c r="BB1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1!$E:$E"")=$B133) *
        (IMPORTRANGE(""https://docs.google.com/spreadsheets/d/161aHT6vVT3SLneTKD19N5qVWtnj_jIT8CSsOmUVKmaA/e"&amp;"dit?gid=1761053510"",
          ""Haris_Form responses 1!$AQ:$AQ"")=5)
      ),
      1
    ),
    ""0""
  ),
  ""Form not found""
)
"),"Form not found")</f>
        <v>Form not found</v>
      </c>
      <c r="BC1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1!$E:$E"")=$B133) *
        (IMPORTRANGE(""https://docs.google.com/spreadsheets/d/161aHT6vVT3SLneTKD19N5qVWtnj_jIT8CSsOmUVKmaA/e"&amp;"dit?gid=1761053510"",
          ""Haris_Form responses 1!$AQ:$AQ"")=6)
      ),
      1
    ),
    ""0""
  ),
  ""Form not found""
)
"),"Form not found")</f>
        <v>Form not found</v>
      </c>
      <c r="BD133" s="293"/>
    </row>
    <row r="134">
      <c r="A134" s="283" t="str">
        <f>IFERROR(__xludf.DUMMYFUNCTION("VLOOKUP($B134,IMPORTRANGE(""https://docs.google.com/spreadsheets/d/1VNXDITjs75AcgdBSW27oL1VZH31udDprJSsBcE5xlp4/edit?gid=1551188038#gid=1551188038"", ""Sheet9!$B:$E""),2,false)"),"Muzaffargarh")</f>
        <v>Muzaffargarh</v>
      </c>
      <c r="B134" s="283" t="s">
        <v>4582</v>
      </c>
      <c r="C134" s="284" t="str">
        <f>IFERROR(__xludf.DUMMYFUNCTION("VLOOKUP(TRIM($B134), IMPORTRANGE(""https://docs.google.com/spreadsheets/d/1aSOrU4PTpuBZqfitKaH1Rfww6-YOiNCKoBpPl8XBHaw/edit?gid=0#gid=0"", ""sheet3!$B:$C""), 2, FALSE)
"),"Jamia Masjid Anayat Shah Bhukari Layyah")</f>
        <v>Jamia Masjid Anayat Shah Bhukari Layyah</v>
      </c>
      <c r="D134" s="284" t="str">
        <f>IFERROR(__xludf.DUMMYFUNCTION("IFERROR(
  INDEX(
    FILTER(
      IMPORTRANGE(""1aSOrU4PTpuBZqfitKaH1Rfww6-YOiNCKoBpPl8XBHaw/edit?gid=0#gid=0"",""Sheet1!G:G""),
      IMPORTRANGE(""1aSOrU4PTpuBZqfitKaH1Rfww6-YOiNCKoBpPl8XBHaw/edit?gid=0#gid=0"",""Sheet1!C:C"")=$B134
    ),
    1
  ),
"&amp;"  ""Not Found""
)"),"Women Religious No Info Share")</f>
        <v>Women Religious No Info Share</v>
      </c>
      <c r="E134" s="284" t="str">
        <f>VLOOKUP(B134,'Juma Recording forms'!A:E,5,false)</f>
        <v>Jame Masjid Anaeytia Darbar Hazrat Anayet Shah Bukhari</v>
      </c>
      <c r="F134" s="284" t="str">
        <f>IFERROR(__xludf.DUMMYFUNCTION("IFERROR(
  INDEX(
    FILTER(
      IMPORTRANGE(""1Cxrhp3-_-HS7v9uuqQliiIfrmMP4VaFoDNDWyUFy2J8/edit?gid=0#gid=0"",""Sheet1!Q:Q""),
      IMPORTRANGE(""1Cxrhp3-_-HS7v9uuqQliiIfrmMP4VaFoDNDWyUFy2J8/edit?gid=0#gid=0"",""Sheet1!K:K"")=$B134
    ),
    1
  ),
"&amp;"  ""Not Found""
)"),"Muhammad Fiaz Naeem")</f>
        <v>Muhammad Fiaz Naeem</v>
      </c>
      <c r="G134" s="284">
        <v>1987.0</v>
      </c>
      <c r="H134" s="284" t="s">
        <v>4851</v>
      </c>
      <c r="I134" s="285" t="s">
        <v>197</v>
      </c>
      <c r="J134" s="286">
        <v>2.0</v>
      </c>
      <c r="K134" s="287" t="str">
        <f>VLOOKUP($B134,'Mosque Locations'!$A:$E,3,FALSE)
</f>
        <v>https://maps.google.com/maps?q=31.1440939%2C71.2789281&amp;z=17&amp;hl=en</v>
      </c>
      <c r="L134" s="286">
        <f>VLOOKUP($B134,'Mosque Locations'!$A:$E,4,FALSE)
</f>
        <v>31.14409</v>
      </c>
      <c r="M134" s="286">
        <f>VLOOKUP($B134,'Mosque Locations'!$A:$E,5,false)</f>
        <v>71.27893</v>
      </c>
      <c r="N134" s="288"/>
      <c r="O134" s="288"/>
      <c r="P134" s="288"/>
      <c r="Q134" s="289" t="str">
        <f>IFERROR(__xludf.DUMMYFUNCTION("IFERROR(
  INDEX(
    FILTER(
      IMPORTRANGE(""1kOrIKZmJfNUkgOVP3sI9BPjaaPA0_a4636oymQxTXg8"",""Form Responses 1!N:N""),
      TRIM(IMPORTRANGE(""1kOrIKZmJfNUkgOVP3sI9BPjaaPA0_a4636oymQxTXg8"",""Form Responses 1!F:F""))=TRIM($B134)
    ),
    1
  ),
  "&amp;"""Not Found""
)
"),"https://drive.google.com/open?id=1qqIKQ4DsKIv2VdW9a9mxwZEOrtYMzWsu")</f>
        <v>https://drive.google.com/open?id=1qqIKQ4DsKIv2VdW9a9mxwZEOrtYMzWsu</v>
      </c>
      <c r="R134" s="289" t="str">
        <f>IFERROR(__xludf.DUMMYFUNCTION("IFERROR(
  INDEX(
    FILTER(
      IMPORTRANGE(""1kOrIKZmJfNUkgOVP3sI9BPjaaPA0_a4636oymQxTXg8"",""Form Responses 1!M:M""),
      TRIM(IMPORTRANGE(""1kOrIKZmJfNUkgOVP3sI9BPjaaPA0_a4636oymQxTXg8"",""Form Responses 1!F:F""))=TRIM($B134)
    ),
    1
  ),
  "&amp;"""Not Found""
)
"),"https://drive.google.com/open?id=1ogogmJ8jvjaDNeOJpILJCh_S7Wv6kWdL")</f>
        <v>https://drive.google.com/open?id=1ogogmJ8jvjaDNeOJpILJCh_S7Wv6kWdL</v>
      </c>
      <c r="S134" s="285"/>
      <c r="T134" s="290" t="str">
        <f>VLOOKUP($B134,'Master Tracker'!D:E,2,false)</f>
        <v>https://drive.google.com/open?id=17gZfKbLqYE9ffLFRluzuZqT6gkFX34NH</v>
      </c>
      <c r="U134" s="291" t="str">
        <f>VLOOKUP($B134,'Master Tracker'!$D:$T,4,FALSE)
</f>
        <v>https://drive.google.com/open?id=1PY5lqFjopPZVkILIvD9SGBdiwnG54icfMfHx3Yc-alo</v>
      </c>
      <c r="V134" s="290" t="str">
        <f>VLOOKUP($B134,'Master Tracker'!$D:$T,5,false)</f>
        <v>https://drive.google.com/open?id=16aZUip6NRiOKVNZHuAWubZIgvlGQNxlG</v>
      </c>
      <c r="W134" s="291" t="str">
        <f>VLOOKUP($B134,'Master Tracker'!$D:$T,7,false)</f>
        <v>https://drive.google.com/open?id=1O-MslU7C-HJ_oFA8Jz_1OPjdAlYMSZjS</v>
      </c>
      <c r="X134" s="290" t="str">
        <f>VLOOKUP($B134,'Master Tracker'!$D:$T,8,false)</f>
        <v>https://drive.google.com/open?id=1Z9W4gYDgHbe4RksdggyK1PA5luLIYFwS</v>
      </c>
      <c r="Y134" s="291" t="str">
        <f>VLOOKUP($B134,'Master Tracker'!$D:$T,10,false)</f>
        <v>https://drive.google.com/open?id=1T-xcoPeYbaGKgZ3IomOv1bbKszjolkj6</v>
      </c>
      <c r="Z134" s="284" t="str">
        <f>VLOOKUP($B134,'Master Tracker'!$D:$T,11,false)</f>
        <v>Not Found</v>
      </c>
      <c r="AA134" s="292" t="str">
        <f>VLOOKUP($B134,'Master Tracker'!$D:$T,13,false)</f>
        <v>Not Found</v>
      </c>
      <c r="AB134" s="284" t="str">
        <f>VLOOKUP($B134,'Master Tracker'!$D:$T,14,false)</f>
        <v>Not Found</v>
      </c>
      <c r="AC134" s="292" t="str">
        <f>VLOOKUP($B134,'Master Tracker'!$D:$T,16,false)</f>
        <v>Not Found</v>
      </c>
      <c r="AD134" s="292" t="str">
        <f>VLOOKUP($B134,'Master Tracker'!$D:$T,17,false)</f>
        <v>Not Found</v>
      </c>
      <c r="AE134" s="292" t="str">
        <f>VLOOKUP($B134,'Master Tracker'!$D:$V,19,false)</f>
        <v>Not Found</v>
      </c>
      <c r="AF134" s="292">
        <f>IFERROR(__xludf.DUMMYFUNCTION("IFERROR(
  INDEX(
    FILTER(
      'Juma Recording forms'!$G:$G,
      TRIM('Juma Recording forms'!$F:$F) = TRIM($B134),
      'Juma Recording forms'!$AA:$AA = 1
    ),
    1
  ),
  ""Not Found""
)"),147.0)</f>
        <v>147</v>
      </c>
      <c r="AG134" s="292">
        <f>IFERROR(__xludf.DUMMYFUNCTION("IFERROR(
  INDEX(
    FILTER(
      'Juma Recording forms'!$G:$G,
      TRIM('Juma Recording forms'!$F:$F) = TRIM($B134),
      'Juma Recording forms'!$AA:$AA = 2
    ),
    1
  ),
  ""Not Found""
)"),134.0)</f>
        <v>134</v>
      </c>
      <c r="AH134" s="292">
        <f>IFERROR(__xludf.DUMMYFUNCTION("IFERROR(
  INDEX(
    FILTER(
      'Juma Recording forms'!$G:$G,
      TRIM('Juma Recording forms'!$F:$F) = TRIM($B134),
      'Juma Recording forms'!$AA:$AA = 3
    ),
    1
  ),
  ""Not Found""
)"),140.0)</f>
        <v>140</v>
      </c>
      <c r="AI134" s="292" t="str">
        <f>IFERROR(__xludf.DUMMYFUNCTION("IFERROR(
  INDEX(
    FILTER(
      'Juma Recording forms'!$G:$G,
      TRIM('Juma Recording forms'!$F:$F) = TRIM($B134),
      'Juma Recording forms'!$AA:$AA = 4
    ),
    1
  ),
  ""Not Found""
)"),"Not Found")</f>
        <v>Not Found</v>
      </c>
      <c r="AJ134" s="292" t="str">
        <f>IFERROR(__xludf.DUMMYFUNCTION("IFERROR(
  INDEX(
    FILTER(
      'Juma Recording forms'!$G:$G,
      TRIM('Juma Recording forms'!$F:$F) = TRIM($B134),
      'Juma Recording forms'!$AA:$AA = 5
    ),
    1
  ),
  ""Not Found""
)"),"Not Found")</f>
        <v>Not Found</v>
      </c>
      <c r="AK134" s="292" t="str">
        <f>IFERROR(__xludf.DUMMYFUNCTION("IFERROR(
  INDEX(
    FILTER(
      'Juma Recording forms'!$G:$G,
      TRIM('Juma Recording forms'!$F:$F) = TRIM($B134),
      'Juma Recording forms'!$AA:$AA = 6
    ),
    1
  ),
  ""Not Found""
)"),"Not Found")</f>
        <v>Not Found</v>
      </c>
      <c r="AL1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1!$E:$E"")=$B134) *
        (IMPORTRANGE(""https://docs.google.com/spreadsheets/d/161aHT6vVT3SLneTKD19N5qVWtnj_jIT8CSsOmUVKmaA/e"&amp;"dit?gid=1761053510"",
          ""Haris_Form responses 1!$AQ:$AQ"")=1)
      ),
      1
    ),
    ""0""
  ),
  ""Form not found""
)
"),"10")</f>
        <v>10</v>
      </c>
      <c r="AM1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1!$E:$E"")=$B134) *
        (IMPORTRANGE(""https://docs.google.com/spreadsheets/d/161aHT6vVT3SLneTKD19N5qVWtnj_jIT8CSsOmUVKmaA/e"&amp;"dit?gid=1761053510"",
          ""Haris_Form responses 1!$AQ:$AQ"")=2)
      ),
      1
    ),
    ""0""
  ),
  ""Form not found""
)
"),"10")</f>
        <v>10</v>
      </c>
      <c r="AN1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1!$E:$E"")=$B134) *
        (IMPORTRANGE(""https://docs.google.com/spreadsheets/d/161aHT6vVT3SLneTKD19N5qVWtnj_jIT8CSsOmUVKmaA/e"&amp;"dit?gid=1761053510"",
          ""Haris_Form responses 1!$AQ:$AQ"")=3)
      ),
      1
    ),
    ""0""
  ),
  ""Form not found""
)
"),"0")</f>
        <v>0</v>
      </c>
      <c r="AO1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1!$E:$E"")=$B134) *
        (IMPORTRANGE(""https://docs.google.com/spreadsheets/d/161aHT6vVT3SLneTKD19N5qVWtnj_jIT8CSsOmUVKmaA/e"&amp;"dit?gid=1761053510"",
          ""Haris_Form responses 1!$AQ:$AQ"")=4)
      ),
      1
    ),
    ""0""
  ),
  ""Form not found""
)
"),"Form not found")</f>
        <v>Form not found</v>
      </c>
      <c r="AP1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1!$E:$E"")=$B134) *
        (IMPORTRANGE(""https://docs.google.com/spreadsheets/d/161aHT6vVT3SLneTKD19N5qVWtnj_jIT8CSsOmUVKmaA/e"&amp;"dit?gid=1761053510"",
          ""Haris_Form responses 1!$AQ:$AQ"")=5)
      ),
      1
    ),
    ""0""
  ),
  ""Form not found""
)
"),"Form not found")</f>
        <v>Form not found</v>
      </c>
      <c r="AQ1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1!$E:$E"")=$B134) *
        (IMPORTRANGE(""https://docs.google.com/spreadsheets/d/161aHT6vVT3SLneTKD19N5qVWtnj_jIT8CSsOmUVKmaA/e"&amp;"dit?gid=1761053510"",
          ""Haris_Form responses 1!$AQ:$AQ"")=6)
      ),
      1
    ),
    ""0""
  ),
  ""Form not found""
)
"),"Form not found")</f>
        <v>Form not found</v>
      </c>
      <c r="AR1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1!$E:$E"")=$B134) *
        (IMPORTRANGE(""https://docs.google.com/spreadsheets/d/161aHT6vVT3SLneTKD19N5qVWtnj_jIT8CSsOmUVKmaA/e"&amp;"dit?gid=1761053510"",
          ""Haris_Form responses 1!$AQ:$AQ"")=1)
      ),
      1
    ),
    ""0""
  ),
  ""Form not found""
)
"),"0")</f>
        <v>0</v>
      </c>
      <c r="AS1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1!$E:$E"")=$B134) *
        (IMPORTRANGE(""https://docs.google.com/spreadsheets/d/161aHT6vVT3SLneTKD19N5qVWtnj_jIT8CSsOmUVKmaA/e"&amp;"dit?gid=1761053510"",
          ""Haris_Form responses 1!$AQ:$AQ"")=2)
      ),
      1
    ),
    ""0""
  ),
  ""Form not found""
)
"),"0")</f>
        <v>0</v>
      </c>
      <c r="AT1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1!$E:$E"")=$B134) *
        (IMPORTRANGE(""https://docs.google.com/spreadsheets/d/161aHT6vVT3SLneTKD19N5qVWtnj_jIT8CSsOmUVKmaA/e"&amp;"dit?gid=1761053510"",
          ""Haris_Form responses 1!$AQ:$AQ"")=3)
      ),
      1
    ),
    ""0""
  ),
  ""Form not found""
)
"),"0")</f>
        <v>0</v>
      </c>
      <c r="AU1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1!$E:$E"")=$B134) *
        (IMPORTRANGE(""https://docs.google.com/spreadsheets/d/161aHT6vVT3SLneTKD19N5qVWtnj_jIT8CSsOmUVKmaA/e"&amp;"dit?gid=1761053510"",
          ""Haris_Form responses 1!$AQ:$AQ"")=4)
      ),
      1
    ),
    ""0""
  ),
  ""Form not found""
)
"),"Form not found")</f>
        <v>Form not found</v>
      </c>
      <c r="AV1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1!$E:$E"")=$B134) *
        (IMPORTRANGE(""https://docs.google.com/spreadsheets/d/161aHT6vVT3SLneTKD19N5qVWtnj_jIT8CSsOmUVKmaA/e"&amp;"dit?gid=1761053510"",
          ""Haris_Form responses 1!$AQ:$AQ"")=5)
      ),
      1
    ),
    ""0""
  ),
  ""Form not found""
)
"),"Form not found")</f>
        <v>Form not found</v>
      </c>
      <c r="AW1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1!$E:$E"")=$B134) *
        (IMPORTRANGE(""https://docs.google.com/spreadsheets/d/161aHT6vVT3SLneTKD19N5qVWtnj_jIT8CSsOmUVKmaA/e"&amp;"dit?gid=1761053510"",
          ""Haris_Form responses 1!$AQ:$AQ"")=6)
      ),
      1
    ),
    ""0""
  ),
  ""Form not found""
)
"),"Form not found")</f>
        <v>Form not found</v>
      </c>
      <c r="AX1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1!$E:$E"")=$B134) *
        (IMPORTRANGE(""https://docs.google.com/spreadsheets/d/161aHT6vVT3SLneTKD19N5qVWtnj_jIT8CSsOmUVKmaA/e"&amp;"dit?gid=1761053510"",
          ""Haris_Form responses 1!$AQ:$AQ"")=1)
      ),
      1
    ),
    ""0""
  ),
  ""Form not found""
)
"),"10")</f>
        <v>10</v>
      </c>
      <c r="AY1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1!$E:$E"")=$B134) *
        (IMPORTRANGE(""https://docs.google.com/spreadsheets/d/161aHT6vVT3SLneTKD19N5qVWtnj_jIT8CSsOmUVKmaA/e"&amp;"dit?gid=1761053510"",
          ""Haris_Form responses 1!$AQ:$AQ"")=2)
      ),
      1
    ),
    ""0""
  ),
  ""Form not found""
)
"),"10")</f>
        <v>10</v>
      </c>
      <c r="AZ1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1!$E:$E"")=$B134) *
        (IMPORTRANGE(""https://docs.google.com/spreadsheets/d/161aHT6vVT3SLneTKD19N5qVWtnj_jIT8CSsOmUVKmaA/e"&amp;"dit?gid=1761053510"",
          ""Haris_Form responses 1!$AQ:$AQ"")=3)
      ),
      1
    ),
    ""0""
  ),
  ""Form not found""
)
"),"0")</f>
        <v>0</v>
      </c>
      <c r="BA1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1!$E:$E"")=$B134) *
        (IMPORTRANGE(""https://docs.google.com/spreadsheets/d/161aHT6vVT3SLneTKD19N5qVWtnj_jIT8CSsOmUVKmaA/e"&amp;"dit?gid=1761053510"",
          ""Haris_Form responses 1!$AQ:$AQ"")=4)
      ),
      1
    ),
    ""0""
  ),
  ""Form not found""
)
"),"Form not found")</f>
        <v>Form not found</v>
      </c>
      <c r="BB1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1!$E:$E"")=$B134) *
        (IMPORTRANGE(""https://docs.google.com/spreadsheets/d/161aHT6vVT3SLneTKD19N5qVWtnj_jIT8CSsOmUVKmaA/e"&amp;"dit?gid=1761053510"",
          ""Haris_Form responses 1!$AQ:$AQ"")=5)
      ),
      1
    ),
    ""0""
  ),
  ""Form not found""
)
"),"Form not found")</f>
        <v>Form not found</v>
      </c>
      <c r="BC1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1!$E:$E"")=$B134) *
        (IMPORTRANGE(""https://docs.google.com/spreadsheets/d/161aHT6vVT3SLneTKD19N5qVWtnj_jIT8CSsOmUVKmaA/e"&amp;"dit?gid=1761053510"",
          ""Haris_Form responses 1!$AQ:$AQ"")=6)
      ),
      1
    ),
    ""0""
  ),
  ""Form not found""
)
"),"Form not found")</f>
        <v>Form not found</v>
      </c>
      <c r="BD134" s="293"/>
    </row>
    <row r="135">
      <c r="A135" s="283" t="str">
        <f>IFERROR(__xludf.DUMMYFUNCTION("VLOOKUP($B135,IMPORTRANGE(""https://docs.google.com/spreadsheets/d/1VNXDITjs75AcgdBSW27oL1VZH31udDprJSsBcE5xlp4/edit?gid=1551188038#gid=1551188038"", ""Sheet9!$B:$E""),2,false)"),"Muzaffargarh")</f>
        <v>Muzaffargarh</v>
      </c>
      <c r="B135" s="283" t="s">
        <v>4583</v>
      </c>
      <c r="C135" s="284" t="str">
        <f>IFERROR(__xludf.DUMMYFUNCTION("VLOOKUP(TRIM($B135), IMPORTRANGE(""https://docs.google.com/spreadsheets/d/1aSOrU4PTpuBZqfitKaH1Rfww6-YOiNCKoBpPl8XBHaw/edit?gid=0#gid=0"", ""sheet3!$B:$C""), 2, FALSE)
"),"Jamia Masjid Darbar Shamsher Shah Safri Layyah")</f>
        <v>Jamia Masjid Darbar Shamsher Shah Safri Layyah</v>
      </c>
      <c r="D135" s="284" t="str">
        <f>IFERROR(__xludf.DUMMYFUNCTION("IFERROR(
  INDEX(
    FILTER(
      IMPORTRANGE(""1aSOrU4PTpuBZqfitKaH1Rfww6-YOiNCKoBpPl8XBHaw/edit?gid=0#gid=0"",""Sheet1!G:G""),
      IMPORTRANGE(""1aSOrU4PTpuBZqfitKaH1Rfww6-YOiNCKoBpPl8XBHaw/edit?gid=0#gid=0"",""Sheet1!C:C"")=$B135
    ),
    1
  ),
"&amp;"  ""Not Found""
)"),"Women Secular No Info Share")</f>
        <v>Women Secular No Info Share</v>
      </c>
      <c r="E135" s="284" t="str">
        <f>VLOOKUP(B135,'Juma Recording forms'!A:E,5,false)</f>
        <v>Jamia Masjid Shamsher Shah Safri</v>
      </c>
      <c r="F135" s="284" t="str">
        <f>IFERROR(__xludf.DUMMYFUNCTION("IFERROR(
  INDEX(
    FILTER(
      IMPORTRANGE(""1Cxrhp3-_-HS7v9uuqQliiIfrmMP4VaFoDNDWyUFy2J8/edit?gid=0#gid=0"",""Sheet1!Q:Q""),
      IMPORTRANGE(""1Cxrhp3-_-HS7v9uuqQliiIfrmMP4VaFoDNDWyUFy2J8/edit?gid=0#gid=0"",""Sheet1!K:K"")=$B135
    ),
    1
  ),
"&amp;"  ""Not Found""
)"),"Muhammad Ramzan ")</f>
        <v>Muhammad Ramzan </v>
      </c>
      <c r="G135" s="284">
        <v>1985.0</v>
      </c>
      <c r="H135" s="284" t="s">
        <v>4852</v>
      </c>
      <c r="I135" s="285" t="s">
        <v>197</v>
      </c>
      <c r="J135" s="286">
        <v>2.0</v>
      </c>
      <c r="K135" s="287" t="str">
        <f>VLOOKUP($B135,'Mosque Locations'!$A:$E,3,FALSE)
</f>
        <v>https://www.google.com/maps/place/30%C2%B053'04.0%22N+71%C2%B039'56.7%22E/@30.8844519,71.6631751,17z/data=!3m1!4b1!4m4!3m3!8m2!3d30.8844519!4d71.66575?entry=ttu&amp;g_ep=EgoyMDI1MTExNy4wIKXMDSoASAFQAw%3D%3D</v>
      </c>
      <c r="L135" s="286">
        <f>VLOOKUP($B135,'Mosque Locations'!$A:$E,4,FALSE)
</f>
        <v>30.88445</v>
      </c>
      <c r="M135" s="286">
        <f>VLOOKUP($B135,'Mosque Locations'!$A:$E,5,false)</f>
        <v>71.66575</v>
      </c>
      <c r="N135" s="288"/>
      <c r="O135" s="288"/>
      <c r="P135" s="288"/>
      <c r="Q135" s="290" t="str">
        <f>IFERROR(__xludf.DUMMYFUNCTION("IFERROR(
  INDEX(
    FILTER(
      IMPORTRANGE(""1kOrIKZmJfNUkgOVP3sI9BPjaaPA0_a4636oymQxTXg8"",""Form Responses 1!N:N""),
      TRIM(IMPORTRANGE(""1kOrIKZmJfNUkgOVP3sI9BPjaaPA0_a4636oymQxTXg8"",""Form Responses 1!F:F""))=TRIM($B135)
    ),
    1
  ),
  "&amp;"""Not Found""
)
"),"https://drive.google.com/file/d/1KgtZsC0h19ZvifsE_OQS4Mv4iuyqwpU-/view")</f>
        <v>https://drive.google.com/file/d/1KgtZsC0h19ZvifsE_OQS4Mv4iuyqwpU-/view</v>
      </c>
      <c r="R135" s="294" t="str">
        <f>IFERROR(__xludf.DUMMYFUNCTION("IFERROR(
  INDEX(
    FILTER(
      IMPORTRANGE(""1kOrIKZmJfNUkgOVP3sI9BPjaaPA0_a4636oymQxTXg8"",""Form Responses 1!M:M""),
      TRIM(IMPORTRANGE(""1kOrIKZmJfNUkgOVP3sI9BPjaaPA0_a4636oymQxTXg8"",""Form Responses 1!F:F""))=TRIM($B135)
    ),
    1
  ),
  "&amp;"""Not Found""
)
"),"https://drive.google.com/open?id=1TX2FWrEvnZLhOhUjC78YhpCqRddFNirx, https://drive.google.com/open?id=1KgtZsC0h19ZvifsE_OQS4Mv4iuyqwpU-, https://drive.google.com/open?id=1xkTIZjTcfgc9o_Z-cgOR9dzs19R8m28c, https://drive.google.com/open?id=1VsC2FQSqokx7muAUH"&amp;"9wyRASF31elpIv7")</f>
        <v>https://drive.google.com/open?id=1TX2FWrEvnZLhOhUjC78YhpCqRddFNirx, https://drive.google.com/open?id=1KgtZsC0h19ZvifsE_OQS4Mv4iuyqwpU-, https://drive.google.com/open?id=1xkTIZjTcfgc9o_Z-cgOR9dzs19R8m28c, https://drive.google.com/open?id=1VsC2FQSqokx7muAUH9wyRASF31elpIv7</v>
      </c>
      <c r="S135" s="285"/>
      <c r="T135" s="290" t="str">
        <f>VLOOKUP($B135,'Master Tracker'!D:E,2,false)</f>
        <v>https://drive.google.com/open?id=1d5qFesyD16VT7VtEEMNNkQ2ayNMHZ8AM</v>
      </c>
      <c r="U135" s="291" t="str">
        <f>VLOOKUP($B135,'Master Tracker'!$D:$T,4,FALSE)
</f>
        <v>https://drive.google.com/open?id=1CNFgHiuvvHNtIB6MHqsksCsA4aPxjkfp</v>
      </c>
      <c r="V135" s="290" t="str">
        <f>VLOOKUP($B135,'Master Tracker'!$D:$T,5,false)</f>
        <v>https://drive.google.com/open?id=15F7oQ_MP7wpO6rFb7HlNbHO_I7R0BfdS</v>
      </c>
      <c r="W135" s="291" t="str">
        <f>VLOOKUP($B135,'Master Tracker'!$D:$T,7,false)</f>
        <v>https://drive.google.com/open?id=1-fIxJbyBfHCoTsSJDOVDous8WDi6k8tI</v>
      </c>
      <c r="X135" s="290" t="str">
        <f>VLOOKUP($B135,'Master Tracker'!$D:$T,8,false)</f>
        <v>https://drive.google.com/open?id=15Ue0rGx9gQTY_TsCJr0kySZ6PaUqj37g</v>
      </c>
      <c r="Y135" s="291" t="str">
        <f>VLOOKUP($B135,'Master Tracker'!$D:$T,10,false)</f>
        <v>https://drive.google.com/open?id=1ZtlCsADtO-Yy_N12hKu2SKkySH-lEp7x</v>
      </c>
      <c r="Z135" s="284" t="str">
        <f>VLOOKUP($B135,'Master Tracker'!$D:$T,11,false)</f>
        <v>https://drive.google.com/open?id=16GVdUv3R5lEmhDmikunQgnwn_iyL9Fmr, https://drive.google.com/open?id=1qg0Qj3QDAVmWwyoKGQyP6uf9hYj2IV1j</v>
      </c>
      <c r="AA135" s="291" t="str">
        <f>VLOOKUP($B135,'Master Tracker'!$D:$T,13,false)</f>
        <v>https://drive.google.com/open?id=14PbIXPs6MZMmpQeN3PAKvrmj8dZF4uua</v>
      </c>
      <c r="AB135" s="284" t="str">
        <f>VLOOKUP($B135,'Master Tracker'!$D:$T,14,false)</f>
        <v>Not Found</v>
      </c>
      <c r="AC135" s="292" t="str">
        <f>VLOOKUP($B135,'Master Tracker'!$D:$T,16,false)</f>
        <v>Not Found</v>
      </c>
      <c r="AD135" s="292" t="str">
        <f>VLOOKUP($B135,'Master Tracker'!$D:$T,17,false)</f>
        <v>Not Found</v>
      </c>
      <c r="AE135" s="292" t="str">
        <f>VLOOKUP($B135,'Master Tracker'!$D:$V,19,false)</f>
        <v>Not Found</v>
      </c>
      <c r="AF135" s="292">
        <f>IFERROR(__xludf.DUMMYFUNCTION("IFERROR(
  INDEX(
    FILTER(
      'Juma Recording forms'!$G:$G,
      TRIM('Juma Recording forms'!$F:$F) = TRIM($B135),
      'Juma Recording forms'!$AA:$AA = 1
    ),
    1
  ),
  ""Not Found""
)"),107.0)</f>
        <v>107</v>
      </c>
      <c r="AG135" s="292">
        <f>IFERROR(__xludf.DUMMYFUNCTION("IFERROR(
  INDEX(
    FILTER(
      'Juma Recording forms'!$G:$G,
      TRIM('Juma Recording forms'!$F:$F) = TRIM($B135),
      'Juma Recording forms'!$AA:$AA = 2
    ),
    1
  ),
  ""Not Found""
)"),105.0)</f>
        <v>105</v>
      </c>
      <c r="AH135" s="292">
        <f>IFERROR(__xludf.DUMMYFUNCTION("IFERROR(
  INDEX(
    FILTER(
      'Juma Recording forms'!$G:$G,
      TRIM('Juma Recording forms'!$F:$F) = TRIM($B135),
      'Juma Recording forms'!$AA:$AA = 3
    ),
    1
  ),
  ""Not Found""
)"),103.0)</f>
        <v>103</v>
      </c>
      <c r="AI135" s="292">
        <f>IFERROR(__xludf.DUMMYFUNCTION("IFERROR(
  INDEX(
    FILTER(
      'Juma Recording forms'!$G:$G,
      TRIM('Juma Recording forms'!$F:$F) = TRIM($B135),
      'Juma Recording forms'!$AA:$AA = 4
    ),
    1
  ),
  ""Not Found""
)"),110.0)</f>
        <v>110</v>
      </c>
      <c r="AJ135" s="292" t="str">
        <f>IFERROR(__xludf.DUMMYFUNCTION("IFERROR(
  INDEX(
    FILTER(
      'Juma Recording forms'!$G:$G,
      TRIM('Juma Recording forms'!$F:$F) = TRIM($B135),
      'Juma Recording forms'!$AA:$AA = 5
    ),
    1
  ),
  ""Not Found""
)"),"Not Found")</f>
        <v>Not Found</v>
      </c>
      <c r="AK135" s="292" t="str">
        <f>IFERROR(__xludf.DUMMYFUNCTION("IFERROR(
  INDEX(
    FILTER(
      'Juma Recording forms'!$G:$G,
      TRIM('Juma Recording forms'!$F:$F) = TRIM($B135),
      'Juma Recording forms'!$AA:$AA = 6
    ),
    1
  ),
  ""Not Found""
)"),"Not Found")</f>
        <v>Not Found</v>
      </c>
      <c r="AL1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1!$E:$E"")=$B135) *
        (IMPORTRANGE(""https://docs.google.com/spreadsheets/d/161aHT6vVT3SLneTKD19N5qVWtnj_jIT8CSsOmUVKmaA/e"&amp;"dit?gid=1761053510"",
          ""Haris_Form responses 1!$AQ:$AQ"")=1)
      ),
      1
    ),
    ""0""
  ),
  ""Form not found""
)
"),"10")</f>
        <v>10</v>
      </c>
      <c r="AM1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1!$E:$E"")=$B135) *
        (IMPORTRANGE(""https://docs.google.com/spreadsheets/d/161aHT6vVT3SLneTKD19N5qVWtnj_jIT8CSsOmUVKmaA/e"&amp;"dit?gid=1761053510"",
          ""Haris_Form responses 1!$AQ:$AQ"")=2)
      ),
      1
    ),
    ""0""
  ),
  ""Form not found""
)
"),"3")</f>
        <v>3</v>
      </c>
      <c r="AN1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1!$E:$E"")=$B135) *
        (IMPORTRANGE(""https://docs.google.com/spreadsheets/d/161aHT6vVT3SLneTKD19N5qVWtnj_jIT8CSsOmUVKmaA/e"&amp;"dit?gid=1761053510"",
          ""Haris_Form responses 1!$AQ:$AQ"")=3)
      ),
      1
    ),
    ""0""
  ),
  ""Form not found""
)
"),"10")</f>
        <v>10</v>
      </c>
      <c r="AO1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1!$E:$E"")=$B135) *
        (IMPORTRANGE(""https://docs.google.com/spreadsheets/d/161aHT6vVT3SLneTKD19N5qVWtnj_jIT8CSsOmUVKmaA/e"&amp;"dit?gid=1761053510"",
          ""Haris_Form responses 1!$AQ:$AQ"")=4)
      ),
      1
    ),
    ""0""
  ),
  ""Form not found""
)
"),"0")</f>
        <v>0</v>
      </c>
      <c r="AP1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1!$E:$E"")=$B135) *
        (IMPORTRANGE(""https://docs.google.com/spreadsheets/d/161aHT6vVT3SLneTKD19N5qVWtnj_jIT8CSsOmUVKmaA/e"&amp;"dit?gid=1761053510"",
          ""Haris_Form responses 1!$AQ:$AQ"")=5)
      ),
      1
    ),
    ""0""
  ),
  ""Form not found""
)
"),"Form not found")</f>
        <v>Form not found</v>
      </c>
      <c r="AQ1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1!$E:$E"")=$B135) *
        (IMPORTRANGE(""https://docs.google.com/spreadsheets/d/161aHT6vVT3SLneTKD19N5qVWtnj_jIT8CSsOmUVKmaA/e"&amp;"dit?gid=1761053510"",
          ""Haris_Form responses 1!$AQ:$AQ"")=6)
      ),
      1
    ),
    ""0""
  ),
  ""Form not found""
)
"),"Form not found")</f>
        <v>Form not found</v>
      </c>
      <c r="AR1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1!$E:$E"")=$B135) *
        (IMPORTRANGE(""https://docs.google.com/spreadsheets/d/161aHT6vVT3SLneTKD19N5qVWtnj_jIT8CSsOmUVKmaA/e"&amp;"dit?gid=1761053510"",
          ""Haris_Form responses 1!$AQ:$AQ"")=1)
      ),
      1
    ),
    ""0""
  ),
  ""Form not found""
)
"),"0")</f>
        <v>0</v>
      </c>
      <c r="AS1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1!$E:$E"")=$B135) *
        (IMPORTRANGE(""https://docs.google.com/spreadsheets/d/161aHT6vVT3SLneTKD19N5qVWtnj_jIT8CSsOmUVKmaA/e"&amp;"dit?gid=1761053510"",
          ""Haris_Form responses 1!$AQ:$AQ"")=2)
      ),
      1
    ),
    ""0""
  ),
  ""Form not found""
)
"),"0")</f>
        <v>0</v>
      </c>
      <c r="AT1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1!$E:$E"")=$B135) *
        (IMPORTRANGE(""https://docs.google.com/spreadsheets/d/161aHT6vVT3SLneTKD19N5qVWtnj_jIT8CSsOmUVKmaA/e"&amp;"dit?gid=1761053510"",
          ""Haris_Form responses 1!$AQ:$AQ"")=3)
      ),
      1
    ),
    ""0""
  ),
  ""Form not found""
)
"),"0")</f>
        <v>0</v>
      </c>
      <c r="AU1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1!$E:$E"")=$B135) *
        (IMPORTRANGE(""https://docs.google.com/spreadsheets/d/161aHT6vVT3SLneTKD19N5qVWtnj_jIT8CSsOmUVKmaA/e"&amp;"dit?gid=1761053510"",
          ""Haris_Form responses 1!$AQ:$AQ"")=4)
      ),
      1
    ),
    ""0""
  ),
  ""Form not found""
)
"),"0")</f>
        <v>0</v>
      </c>
      <c r="AV1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1!$E:$E"")=$B135) *
        (IMPORTRANGE(""https://docs.google.com/spreadsheets/d/161aHT6vVT3SLneTKD19N5qVWtnj_jIT8CSsOmUVKmaA/e"&amp;"dit?gid=1761053510"",
          ""Haris_Form responses 1!$AQ:$AQ"")=5)
      ),
      1
    ),
    ""0""
  ),
  ""Form not found""
)
"),"Form not found")</f>
        <v>Form not found</v>
      </c>
      <c r="AW1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1!$E:$E"")=$B135) *
        (IMPORTRANGE(""https://docs.google.com/spreadsheets/d/161aHT6vVT3SLneTKD19N5qVWtnj_jIT8CSsOmUVKmaA/e"&amp;"dit?gid=1761053510"",
          ""Haris_Form responses 1!$AQ:$AQ"")=6)
      ),
      1
    ),
    ""0""
  ),
  ""Form not found""
)
"),"Form not found")</f>
        <v>Form not found</v>
      </c>
      <c r="AX1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1!$E:$E"")=$B135) *
        (IMPORTRANGE(""https://docs.google.com/spreadsheets/d/161aHT6vVT3SLneTKD19N5qVWtnj_jIT8CSsOmUVKmaA/e"&amp;"dit?gid=1761053510"",
          ""Haris_Form responses 1!$AQ:$AQ"")=1)
      ),
      1
    ),
    ""0""
  ),
  ""Form not found""
)
"),"10")</f>
        <v>10</v>
      </c>
      <c r="AY1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1!$E:$E"")=$B135) *
        (IMPORTRANGE(""https://docs.google.com/spreadsheets/d/161aHT6vVT3SLneTKD19N5qVWtnj_jIT8CSsOmUVKmaA/e"&amp;"dit?gid=1761053510"",
          ""Haris_Form responses 1!$AQ:$AQ"")=2)
      ),
      1
    ),
    ""0""
  ),
  ""Form not found""
)
"),"3")</f>
        <v>3</v>
      </c>
      <c r="AZ1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1!$E:$E"")=$B135) *
        (IMPORTRANGE(""https://docs.google.com/spreadsheets/d/161aHT6vVT3SLneTKD19N5qVWtnj_jIT8CSsOmUVKmaA/e"&amp;"dit?gid=1761053510"",
          ""Haris_Form responses 1!$AQ:$AQ"")=3)
      ),
      1
    ),
    ""0""
  ),
  ""Form not found""
)
"),"10")</f>
        <v>10</v>
      </c>
      <c r="BA1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1!$E:$E"")=$B135) *
        (IMPORTRANGE(""https://docs.google.com/spreadsheets/d/161aHT6vVT3SLneTKD19N5qVWtnj_jIT8CSsOmUVKmaA/e"&amp;"dit?gid=1761053510"",
          ""Haris_Form responses 1!$AQ:$AQ"")=4)
      ),
      1
    ),
    ""0""
  ),
  ""Form not found""
)
"),"0")</f>
        <v>0</v>
      </c>
      <c r="BB1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1!$E:$E"")=$B135) *
        (IMPORTRANGE(""https://docs.google.com/spreadsheets/d/161aHT6vVT3SLneTKD19N5qVWtnj_jIT8CSsOmUVKmaA/e"&amp;"dit?gid=1761053510"",
          ""Haris_Form responses 1!$AQ:$AQ"")=5)
      ),
      1
    ),
    ""0""
  ),
  ""Form not found""
)
"),"Form not found")</f>
        <v>Form not found</v>
      </c>
      <c r="BC1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1!$E:$E"")=$B135) *
        (IMPORTRANGE(""https://docs.google.com/spreadsheets/d/161aHT6vVT3SLneTKD19N5qVWtnj_jIT8CSsOmUVKmaA/e"&amp;"dit?gid=1761053510"",
          ""Haris_Form responses 1!$AQ:$AQ"")=6)
      ),
      1
    ),
    ""0""
  ),
  ""Form not found""
)
"),"Form not found")</f>
        <v>Form not found</v>
      </c>
      <c r="BD135" s="293"/>
    </row>
    <row r="136">
      <c r="A136" s="283" t="str">
        <f>IFERROR(__xludf.DUMMYFUNCTION("VLOOKUP($B136,IMPORTRANGE(""https://docs.google.com/spreadsheets/d/1VNXDITjs75AcgdBSW27oL1VZH31udDprJSsBcE5xlp4/edit?gid=1551188038#gid=1551188038"", ""Sheet9!$B:$E""),2,false)"),"Muzaffargarh")</f>
        <v>Muzaffargarh</v>
      </c>
      <c r="B136" s="283" t="s">
        <v>4584</v>
      </c>
      <c r="C136" s="284" t="str">
        <f>IFERROR(__xludf.DUMMYFUNCTION("VLOOKUP(TRIM($B136), IMPORTRANGE(""https://docs.google.com/spreadsheets/d/1aSOrU4PTpuBZqfitKaH1Rfww6-YOiNCKoBpPl8XBHaw/edit?gid=0#gid=0"", ""sheet3!$B:$C""), 2, FALSE)
"),"Jamia Masjid Darbar Saki Shah Habib Layyah")</f>
        <v>Jamia Masjid Darbar Saki Shah Habib Layyah</v>
      </c>
      <c r="D136" s="284" t="str">
        <f>IFERROR(__xludf.DUMMYFUNCTION("IFERROR(
  INDEX(
    FILTER(
      IMPORTRANGE(""1aSOrU4PTpuBZqfitKaH1Rfww6-YOiNCKoBpPl8XBHaw/edit?gid=0#gid=0"",""Sheet1!G:G""),
      IMPORTRANGE(""1aSOrU4PTpuBZqfitKaH1Rfww6-YOiNCKoBpPl8XBHaw/edit?gid=0#gid=0"",""Sheet1!C:C"")=$B136
    ),
    1
  ),
"&amp;"  ""Not Found""
)"),"Women Secular No Info Share")</f>
        <v>Women Secular No Info Share</v>
      </c>
      <c r="E136" s="284" t="str">
        <f>VLOOKUP(B136,'Juma Recording forms'!A:E,5,false)</f>
        <v>Jamia Masjid darbar saki shah habib layyah</v>
      </c>
      <c r="F136" s="284" t="str">
        <f>IFERROR(__xludf.DUMMYFUNCTION("IFERROR(
  INDEX(
    FILTER(
      IMPORTRANGE(""1Cxrhp3-_-HS7v9uuqQliiIfrmMP4VaFoDNDWyUFy2J8/edit?gid=0#gid=0"",""Sheet1!Q:Q""),
      IMPORTRANGE(""1Cxrhp3-_-HS7v9uuqQliiIfrmMP4VaFoDNDWyUFy2J8/edit?gid=0#gid=0"",""Sheet1!K:K"")=$B136
    ),
    1
  ),
"&amp;"  ""Not Found""
)"),"abdul hameed")</f>
        <v>abdul hameed</v>
      </c>
      <c r="G136" s="284"/>
      <c r="H136" s="284" t="s">
        <v>4853</v>
      </c>
      <c r="I136" s="285" t="s">
        <v>197</v>
      </c>
      <c r="J136" s="286">
        <v>1.0</v>
      </c>
      <c r="K136" s="287" t="str">
        <f>VLOOKUP($B136,'Mosque Locations'!$A:$E,3,FALSE)
</f>
        <v>https://www.google.com/maps?q=30.9415533,70.9322</v>
      </c>
      <c r="L136" s="286">
        <f>VLOOKUP($B136,'Mosque Locations'!$A:$E,4,FALSE)
</f>
        <v>30.94155</v>
      </c>
      <c r="M136" s="286">
        <f>VLOOKUP($B136,'Mosque Locations'!$A:$E,5,false)</f>
        <v>70.9322</v>
      </c>
      <c r="N136" s="288"/>
      <c r="O136" s="288"/>
      <c r="P136" s="288"/>
      <c r="Q136" s="295" t="str">
        <f>IFERROR(__xludf.DUMMYFUNCTION("IFERROR(
  INDEX(
    FILTER(
      IMPORTRANGE(""1kOrIKZmJfNUkgOVP3sI9BPjaaPA0_a4636oymQxTXg8"",""Form Responses 1!N:N""),
      TRIM(IMPORTRANGE(""1kOrIKZmJfNUkgOVP3sI9BPjaaPA0_a4636oymQxTXg8"",""Form Responses 1!F:F""))=TRIM($B136)
    ),
    1
  ),
  "&amp;"""Not Found""
)
"),"https://drive.google.com/open?id=1M1qVLgUCUz3zv1BNLH3w8Frlz2mAfrQH")</f>
        <v>https://drive.google.com/open?id=1M1qVLgUCUz3zv1BNLH3w8Frlz2mAfrQH</v>
      </c>
      <c r="R136" s="295" t="str">
        <f>IFERROR(__xludf.DUMMYFUNCTION("IFERROR(
  INDEX(
    FILTER(
      IMPORTRANGE(""1kOrIKZmJfNUkgOVP3sI9BPjaaPA0_a4636oymQxTXg8"",""Form Responses 1!M:M""),
      TRIM(IMPORTRANGE(""1kOrIKZmJfNUkgOVP3sI9BPjaaPA0_a4636oymQxTXg8"",""Form Responses 1!F:F""))=TRIM($B136)
    ),
    1
  ),
  "&amp;"""Not Found""
)
"),"https://drive.google.com/open?id=1ymGS4Xr-2bm5fnZ0YSeya3ED-Sb7ShFH")</f>
        <v>https://drive.google.com/open?id=1ymGS4Xr-2bm5fnZ0YSeya3ED-Sb7ShFH</v>
      </c>
      <c r="S136" s="285"/>
      <c r="T136" s="290" t="str">
        <f>VLOOKUP($B136,'Master Tracker'!D:E,2,false)</f>
        <v>https://drive.google.com/open?id=1cyYbvIqTd7YW_yIoikX3lc-cGcEhy6gc</v>
      </c>
      <c r="U136" s="291" t="str">
        <f>VLOOKUP($B136,'Master Tracker'!$D:$T,4,FALSE)
</f>
        <v>https://drive.google.com/open?id=1V0tqoQSXSxcUZOPfTpeU8tEYXhXLNMD42t1tNGQ8EqU</v>
      </c>
      <c r="V136" s="290" t="str">
        <f>VLOOKUP($B136,'Master Tracker'!$D:$T,5,false)</f>
        <v>https://drive.google.com/open?id=1wwntaRktUlPuANI2j2JOWTdyeOqboeCX</v>
      </c>
      <c r="W136" s="291" t="str">
        <f>VLOOKUP($B136,'Master Tracker'!$D:$T,7,false)</f>
        <v>https://drive.google.com/open?id=1-8q4KR0654RmunPFTUck74oy0wS-Dd0i</v>
      </c>
      <c r="X136" s="290" t="str">
        <f>VLOOKUP($B136,'Master Tracker'!$D:$T,8,false)</f>
        <v>https://drive.google.com/open?id=1J3FWBKpXp-r_o-LmGr4YKw6CfFGXllxr</v>
      </c>
      <c r="Y136" s="291" t="str">
        <f>VLOOKUP($B136,'Master Tracker'!$D:$T,10,false)</f>
        <v>https://drive.google.com/open?id=1FT6oUgtr0Digjfkxhg7ZuYI6kha2ggoR</v>
      </c>
      <c r="Z136" s="284" t="str">
        <f>VLOOKUP($B136,'Master Tracker'!$D:$T,11,false)</f>
        <v>Not Found</v>
      </c>
      <c r="AA136" s="292" t="str">
        <f>VLOOKUP($B136,'Master Tracker'!$D:$T,13,false)</f>
        <v>Not Found</v>
      </c>
      <c r="AB136" s="284" t="str">
        <f>VLOOKUP($B136,'Master Tracker'!$D:$T,14,false)</f>
        <v>Not Found</v>
      </c>
      <c r="AC136" s="292" t="str">
        <f>VLOOKUP($B136,'Master Tracker'!$D:$T,16,false)</f>
        <v>Not Found</v>
      </c>
      <c r="AD136" s="292" t="str">
        <f>VLOOKUP($B136,'Master Tracker'!$D:$T,17,false)</f>
        <v>Not Found</v>
      </c>
      <c r="AE136" s="292" t="str">
        <f>VLOOKUP($B136,'Master Tracker'!$D:$V,19,false)</f>
        <v>Not Found</v>
      </c>
      <c r="AF136" s="292">
        <f>IFERROR(__xludf.DUMMYFUNCTION("IFERROR(
  INDEX(
    FILTER(
      'Juma Recording forms'!$G:$G,
      TRIM('Juma Recording forms'!$F:$F) = TRIM($B136),
      'Juma Recording forms'!$AA:$AA = 1
    ),
    1
  ),
  ""Not Found""
)"),101.0)</f>
        <v>101</v>
      </c>
      <c r="AG136" s="292">
        <f>IFERROR(__xludf.DUMMYFUNCTION("IFERROR(
  INDEX(
    FILTER(
      'Juma Recording forms'!$G:$G,
      TRIM('Juma Recording forms'!$F:$F) = TRIM($B136),
      'Juma Recording forms'!$AA:$AA = 2
    ),
    1
  ),
  ""Not Found""
)"),105.0)</f>
        <v>105</v>
      </c>
      <c r="AH136" s="292">
        <f>IFERROR(__xludf.DUMMYFUNCTION("IFERROR(
  INDEX(
    FILTER(
      'Juma Recording forms'!$G:$G,
      TRIM('Juma Recording forms'!$F:$F) = TRIM($B136),
      'Juma Recording forms'!$AA:$AA = 3
    ),
    1
  ),
  ""Not Found""
)"),110.0)</f>
        <v>110</v>
      </c>
      <c r="AI136" s="292" t="str">
        <f>IFERROR(__xludf.DUMMYFUNCTION("IFERROR(
  INDEX(
    FILTER(
      'Juma Recording forms'!$G:$G,
      TRIM('Juma Recording forms'!$F:$F) = TRIM($B136),
      'Juma Recording forms'!$AA:$AA = 4
    ),
    1
  ),
  ""Not Found""
)"),"Not Found")</f>
        <v>Not Found</v>
      </c>
      <c r="AJ136" s="292" t="str">
        <f>IFERROR(__xludf.DUMMYFUNCTION("IFERROR(
  INDEX(
    FILTER(
      'Juma Recording forms'!$G:$G,
      TRIM('Juma Recording forms'!$F:$F) = TRIM($B136),
      'Juma Recording forms'!$AA:$AA = 5
    ),
    1
  ),
  ""Not Found""
)"),"Not Found")</f>
        <v>Not Found</v>
      </c>
      <c r="AK136" s="292" t="str">
        <f>IFERROR(__xludf.DUMMYFUNCTION("IFERROR(
  INDEX(
    FILTER(
      'Juma Recording forms'!$G:$G,
      TRIM('Juma Recording forms'!$F:$F) = TRIM($B136),
      'Juma Recording forms'!$AA:$AA = 6
    ),
    1
  ),
  ""Not Found""
)"),"Not Found")</f>
        <v>Not Found</v>
      </c>
      <c r="AL1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1!$E:$E"")=$B136) *
        (IMPORTRANGE(""https://docs.google.com/spreadsheets/d/161aHT6vVT3SLneTKD19N5qVWtnj_jIT8CSsOmUVKmaA/e"&amp;"dit?gid=1761053510"",
          ""Haris_Form responses 1!$AQ:$AQ"")=1)
      ),
      1
    ),
    ""0""
  ),
  ""Form not found""
)
"),"10")</f>
        <v>10</v>
      </c>
      <c r="AM1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1!$E:$E"")=$B136) *
        (IMPORTRANGE(""https://docs.google.com/spreadsheets/d/161aHT6vVT3SLneTKD19N5qVWtnj_jIT8CSsOmUVKmaA/e"&amp;"dit?gid=1761053510"",
          ""Haris_Form responses 1!$AQ:$AQ"")=2)
      ),
      1
    ),
    ""0""
  ),
  ""Form not found""
)
"),"10")</f>
        <v>10</v>
      </c>
      <c r="AN1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1!$E:$E"")=$B136) *
        (IMPORTRANGE(""https://docs.google.com/spreadsheets/d/161aHT6vVT3SLneTKD19N5qVWtnj_jIT8CSsOmUVKmaA/e"&amp;"dit?gid=1761053510"",
          ""Haris_Form responses 1!$AQ:$AQ"")=3)
      ),
      1
    ),
    ""0""
  ),
  ""Form not found""
)
"),"0")</f>
        <v>0</v>
      </c>
      <c r="AO1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1!$E:$E"")=$B136) *
        (IMPORTRANGE(""https://docs.google.com/spreadsheets/d/161aHT6vVT3SLneTKD19N5qVWtnj_jIT8CSsOmUVKmaA/e"&amp;"dit?gid=1761053510"",
          ""Haris_Form responses 1!$AQ:$AQ"")=4)
      ),
      1
    ),
    ""0""
  ),
  ""Form not found""
)
"),"Form not found")</f>
        <v>Form not found</v>
      </c>
      <c r="AP1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1!$E:$E"")=$B136) *
        (IMPORTRANGE(""https://docs.google.com/spreadsheets/d/161aHT6vVT3SLneTKD19N5qVWtnj_jIT8CSsOmUVKmaA/e"&amp;"dit?gid=1761053510"",
          ""Haris_Form responses 1!$AQ:$AQ"")=5)
      ),
      1
    ),
    ""0""
  ),
  ""Form not found""
)
"),"Form not found")</f>
        <v>Form not found</v>
      </c>
      <c r="AQ1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1!$E:$E"")=$B136) *
        (IMPORTRANGE(""https://docs.google.com/spreadsheets/d/161aHT6vVT3SLneTKD19N5qVWtnj_jIT8CSsOmUVKmaA/e"&amp;"dit?gid=1761053510"",
          ""Haris_Form responses 1!$AQ:$AQ"")=6)
      ),
      1
    ),
    ""0""
  ),
  ""Form not found""
)
"),"Form not found")</f>
        <v>Form not found</v>
      </c>
      <c r="AR1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1!$E:$E"")=$B136) *
        (IMPORTRANGE(""https://docs.google.com/spreadsheets/d/161aHT6vVT3SLneTKD19N5qVWtnj_jIT8CSsOmUVKmaA/e"&amp;"dit?gid=1761053510"",
          ""Haris_Form responses 1!$AQ:$AQ"")=1)
      ),
      1
    ),
    ""0""
  ),
  ""Form not found""
)
"),"0")</f>
        <v>0</v>
      </c>
      <c r="AS1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1!$E:$E"")=$B136) *
        (IMPORTRANGE(""https://docs.google.com/spreadsheets/d/161aHT6vVT3SLneTKD19N5qVWtnj_jIT8CSsOmUVKmaA/e"&amp;"dit?gid=1761053510"",
          ""Haris_Form responses 1!$AQ:$AQ"")=2)
      ),
      1
    ),
    ""0""
  ),
  ""Form not found""
)
"),"0")</f>
        <v>0</v>
      </c>
      <c r="AT1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1!$E:$E"")=$B136) *
        (IMPORTRANGE(""https://docs.google.com/spreadsheets/d/161aHT6vVT3SLneTKD19N5qVWtnj_jIT8CSsOmUVKmaA/e"&amp;"dit?gid=1761053510"",
          ""Haris_Form responses 1!$AQ:$AQ"")=3)
      ),
      1
    ),
    ""0""
  ),
  ""Form not found""
)
"),"0")</f>
        <v>0</v>
      </c>
      <c r="AU1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1!$E:$E"")=$B136) *
        (IMPORTRANGE(""https://docs.google.com/spreadsheets/d/161aHT6vVT3SLneTKD19N5qVWtnj_jIT8CSsOmUVKmaA/e"&amp;"dit?gid=1761053510"",
          ""Haris_Form responses 1!$AQ:$AQ"")=4)
      ),
      1
    ),
    ""0""
  ),
  ""Form not found""
)
"),"Form not found")</f>
        <v>Form not found</v>
      </c>
      <c r="AV1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1!$E:$E"")=$B136) *
        (IMPORTRANGE(""https://docs.google.com/spreadsheets/d/161aHT6vVT3SLneTKD19N5qVWtnj_jIT8CSsOmUVKmaA/e"&amp;"dit?gid=1761053510"",
          ""Haris_Form responses 1!$AQ:$AQ"")=5)
      ),
      1
    ),
    ""0""
  ),
  ""Form not found""
)
"),"Form not found")</f>
        <v>Form not found</v>
      </c>
      <c r="AW1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1!$E:$E"")=$B136) *
        (IMPORTRANGE(""https://docs.google.com/spreadsheets/d/161aHT6vVT3SLneTKD19N5qVWtnj_jIT8CSsOmUVKmaA/e"&amp;"dit?gid=1761053510"",
          ""Haris_Form responses 1!$AQ:$AQ"")=6)
      ),
      1
    ),
    ""0""
  ),
  ""Form not found""
)
"),"Form not found")</f>
        <v>Form not found</v>
      </c>
      <c r="AX1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1!$E:$E"")=$B136) *
        (IMPORTRANGE(""https://docs.google.com/spreadsheets/d/161aHT6vVT3SLneTKD19N5qVWtnj_jIT8CSsOmUVKmaA/e"&amp;"dit?gid=1761053510"",
          ""Haris_Form responses 1!$AQ:$AQ"")=1)
      ),
      1
    ),
    ""0""
  ),
  ""Form not found""
)
"),"10")</f>
        <v>10</v>
      </c>
      <c r="AY1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1!$E:$E"")=$B136) *
        (IMPORTRANGE(""https://docs.google.com/spreadsheets/d/161aHT6vVT3SLneTKD19N5qVWtnj_jIT8CSsOmUVKmaA/e"&amp;"dit?gid=1761053510"",
          ""Haris_Form responses 1!$AQ:$AQ"")=2)
      ),
      1
    ),
    ""0""
  ),
  ""Form not found""
)
"),"10")</f>
        <v>10</v>
      </c>
      <c r="AZ1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1!$E:$E"")=$B136) *
        (IMPORTRANGE(""https://docs.google.com/spreadsheets/d/161aHT6vVT3SLneTKD19N5qVWtnj_jIT8CSsOmUVKmaA/e"&amp;"dit?gid=1761053510"",
          ""Haris_Form responses 1!$AQ:$AQ"")=3)
      ),
      1
    ),
    ""0""
  ),
  ""Form not found""
)
"),"0")</f>
        <v>0</v>
      </c>
      <c r="BA1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1!$E:$E"")=$B136) *
        (IMPORTRANGE(""https://docs.google.com/spreadsheets/d/161aHT6vVT3SLneTKD19N5qVWtnj_jIT8CSsOmUVKmaA/e"&amp;"dit?gid=1761053510"",
          ""Haris_Form responses 1!$AQ:$AQ"")=4)
      ),
      1
    ),
    ""0""
  ),
  ""Form not found""
)
"),"Form not found")</f>
        <v>Form not found</v>
      </c>
      <c r="BB1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1!$E:$E"")=$B136) *
        (IMPORTRANGE(""https://docs.google.com/spreadsheets/d/161aHT6vVT3SLneTKD19N5qVWtnj_jIT8CSsOmUVKmaA/e"&amp;"dit?gid=1761053510"",
          ""Haris_Form responses 1!$AQ:$AQ"")=5)
      ),
      1
    ),
    ""0""
  ),
  ""Form not found""
)
"),"Form not found")</f>
        <v>Form not found</v>
      </c>
      <c r="BC1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1!$E:$E"")=$B136) *
        (IMPORTRANGE(""https://docs.google.com/spreadsheets/d/161aHT6vVT3SLneTKD19N5qVWtnj_jIT8CSsOmUVKmaA/e"&amp;"dit?gid=1761053510"",
          ""Haris_Form responses 1!$AQ:$AQ"")=6)
      ),
      1
    ),
    ""0""
  ),
  ""Form not found""
)
"),"Form not found")</f>
        <v>Form not found</v>
      </c>
      <c r="BD136" s="293"/>
    </row>
    <row r="137">
      <c r="A137" s="283" t="str">
        <f>IFERROR(__xludf.DUMMYFUNCTION("VLOOKUP($B137,IMPORTRANGE(""https://docs.google.com/spreadsheets/d/1VNXDITjs75AcgdBSW27oL1VZH31udDprJSsBcE5xlp4/edit?gid=1551188038#gid=1551188038"", ""Sheet9!$B:$E""),2,false)"),"Muzaffargarh")</f>
        <v>Muzaffargarh</v>
      </c>
      <c r="B137" s="283" t="s">
        <v>4585</v>
      </c>
      <c r="C137" s="284" t="str">
        <f>IFERROR(__xludf.DUMMYFUNCTION("VLOOKUP(TRIM($B137), IMPORTRANGE(""https://docs.google.com/spreadsheets/d/1aSOrU4PTpuBZqfitKaH1Rfww6-YOiNCKoBpPl8XBHaw/edit?gid=0#gid=0"", ""sheet3!$B:$C""), 2, FALSE)
"),"Jamia Masjid Darbar Abdul Wahaab Shah Bukhari Dera Deen Pnah, Kot Addu")</f>
        <v>Jamia Masjid Darbar Abdul Wahaab Shah Bukhari Dera Deen Pnah, Kot Addu</v>
      </c>
      <c r="D137" s="284" t="str">
        <f>IFERROR(__xludf.DUMMYFUNCTION("IFERROR(
  INDEX(
    FILTER(
      IMPORTRANGE(""1aSOrU4PTpuBZqfitKaH1Rfww6-YOiNCKoBpPl8XBHaw/edit?gid=0#gid=0"",""Sheet1!G:G""),
      IMPORTRANGE(""1aSOrU4PTpuBZqfitKaH1Rfww6-YOiNCKoBpPl8XBHaw/edit?gid=0#gid=0"",""Sheet1!C:C"")=$B137
    ),
    1
  ),
"&amp;"  ""Not Found""
)"),"Community Secular No Info Share")</f>
        <v>Community Secular No Info Share</v>
      </c>
      <c r="E137" s="284" t="str">
        <f>VLOOKUP(B137,'Juma Recording forms'!A:E,5,false)</f>
        <v>Jamia Masjid Abdul wahab Shah bukhari  deera deen pnnah kot addu</v>
      </c>
      <c r="F137" s="284" t="str">
        <f>IFERROR(__xludf.DUMMYFUNCTION("IFERROR(
  INDEX(
    FILTER(
      IMPORTRANGE(""1Cxrhp3-_-HS7v9uuqQliiIfrmMP4VaFoDNDWyUFy2J8/edit?gid=0#gid=0"",""Sheet1!Q:Q""),
      IMPORTRANGE(""1Cxrhp3-_-HS7v9uuqQliiIfrmMP4VaFoDNDWyUFy2J8/edit?gid=0#gid=0"",""Sheet1!K:K"")=$B137
    ),
    1
  ),
"&amp;"  ""Not Found""
)"),"qari habibullah")</f>
        <v>qari habibullah</v>
      </c>
      <c r="G137" s="284">
        <v>1960.0</v>
      </c>
      <c r="H137" s="284" t="s">
        <v>4854</v>
      </c>
      <c r="I137" s="285" t="s">
        <v>197</v>
      </c>
      <c r="J137" s="286">
        <v>1.0</v>
      </c>
      <c r="K137" s="287" t="str">
        <f>VLOOKUP($B137,'Mosque Locations'!$A:$E,3,FALSE)
</f>
        <v>https://www.google.com/maps/place/HWCP%2B4RQ,+Daira+Din+Panah,+Muzaffargarh,+Punjab/@30.5701574,70.9369437,17z/data=!4m5!3m4!1s0x3925162106dc9949:0x177a01b1cd2e979e!8m2!3d30.5703375!4d70.9371094?entry=ttu&amp;g_ep=EgoyMDI0MTEwNS4wIKXMDSoASAFQAw%3D%3D</v>
      </c>
      <c r="L137" s="286">
        <f>VLOOKUP($B137,'Mosque Locations'!$A:$E,4,FALSE)
</f>
        <v>30.57034</v>
      </c>
      <c r="M137" s="286">
        <f>VLOOKUP($B137,'Mosque Locations'!$A:$E,5,false)</f>
        <v>70.93711</v>
      </c>
      <c r="N137" s="288"/>
      <c r="O137" s="288"/>
      <c r="P137" s="288"/>
      <c r="Q137" s="295" t="str">
        <f>IFERROR(__xludf.DUMMYFUNCTION("IFERROR(
  INDEX(
    FILTER(
      IMPORTRANGE(""1kOrIKZmJfNUkgOVP3sI9BPjaaPA0_a4636oymQxTXg8"",""Form Responses 1!N:N""),
      TRIM(IMPORTRANGE(""1kOrIKZmJfNUkgOVP3sI9BPjaaPA0_a4636oymQxTXg8"",""Form Responses 1!F:F""))=TRIM($B137)
    ),
    1
  ),
  "&amp;"""Not Found""
)
"),"https://drive.google.com/open?id=1EIu_TIIll3bDeHzej9nEp0ayzPRteegh")</f>
        <v>https://drive.google.com/open?id=1EIu_TIIll3bDeHzej9nEp0ayzPRteegh</v>
      </c>
      <c r="R137" s="295" t="str">
        <f>IFERROR(__xludf.DUMMYFUNCTION("IFERROR(
  INDEX(
    FILTER(
      IMPORTRANGE(""1kOrIKZmJfNUkgOVP3sI9BPjaaPA0_a4636oymQxTXg8"",""Form Responses 1!M:M""),
      TRIM(IMPORTRANGE(""1kOrIKZmJfNUkgOVP3sI9BPjaaPA0_a4636oymQxTXg8"",""Form Responses 1!F:F""))=TRIM($B137)
    ),
    1
  ),
  "&amp;"""Not Found""
)
"),"https://drive.google.com/open?id=1EkoOm3GzXDpn1bkt8H_ufhE2uAW4ruWA")</f>
        <v>https://drive.google.com/open?id=1EkoOm3GzXDpn1bkt8H_ufhE2uAW4ruWA</v>
      </c>
      <c r="S137" s="285"/>
      <c r="T137" s="290" t="str">
        <f>VLOOKUP($B137,'Master Tracker'!D:E,2,false)</f>
        <v>https://drive.google.com/open?id=14XhJKgcdwfsRvRSFDJSaDwlmh8eJ_XlQ</v>
      </c>
      <c r="U137" s="291" t="str">
        <f>VLOOKUP($B137,'Master Tracker'!$D:$T,4,FALSE)
</f>
        <v>https://drive.google.com/open?id=1d3wNoqPNss044gWldU9BpBgxE3B4d0DMqncOBf2uZkU</v>
      </c>
      <c r="V137" s="290" t="str">
        <f>VLOOKUP($B137,'Master Tracker'!$D:$T,5,false)</f>
        <v>https://drive.google.com/open?id=1d4TzFp0LNeq2XR6E9PTyvBUdm-Ev2oRl</v>
      </c>
      <c r="W137" s="291" t="str">
        <f>VLOOKUP($B137,'Master Tracker'!$D:$T,7,false)</f>
        <v>https://drive.google.com/open?id=1s6QmyaN3J5vP-IcKD42q-pMDzRz-4yjW</v>
      </c>
      <c r="X137" s="290" t="str">
        <f>VLOOKUP($B137,'Master Tracker'!$D:$T,8,false)</f>
        <v>https://drive.google.com/open?id=1AvM4Q2Zr7XFViSgl7k7BDiL-A1oiKad0</v>
      </c>
      <c r="Y137" s="291" t="str">
        <f>VLOOKUP($B137,'Master Tracker'!$D:$T,10,false)</f>
        <v>https://drive.google.com/open?id=1N55w56HFFS0K34dgsOZT4nA78pfI1msPIi5Y_I-KAdQ</v>
      </c>
      <c r="Z137" s="284" t="str">
        <f>VLOOKUP($B137,'Master Tracker'!$D:$T,11,false)</f>
        <v>Not Found</v>
      </c>
      <c r="AA137" s="292" t="str">
        <f>VLOOKUP($B137,'Master Tracker'!$D:$T,13,false)</f>
        <v>Not Found</v>
      </c>
      <c r="AB137" s="284" t="str">
        <f>VLOOKUP($B137,'Master Tracker'!$D:$T,14,false)</f>
        <v>Not Found</v>
      </c>
      <c r="AC137" s="292" t="str">
        <f>VLOOKUP($B137,'Master Tracker'!$D:$T,16,false)</f>
        <v>Not Found</v>
      </c>
      <c r="AD137" s="292" t="str">
        <f>VLOOKUP($B137,'Master Tracker'!$D:$T,17,false)</f>
        <v>Not Found</v>
      </c>
      <c r="AE137" s="292" t="str">
        <f>VLOOKUP($B137,'Master Tracker'!$D:$V,19,false)</f>
        <v>Not Found</v>
      </c>
      <c r="AF137" s="292">
        <f>IFERROR(__xludf.DUMMYFUNCTION("IFERROR(
  INDEX(
    FILTER(
      'Juma Recording forms'!$G:$G,
      TRIM('Juma Recording forms'!$F:$F) = TRIM($B137),
      'Juma Recording forms'!$AA:$AA = 1
    ),
    1
  ),
  ""Not Found""
)"),250.0)</f>
        <v>250</v>
      </c>
      <c r="AG137" s="292">
        <f>IFERROR(__xludf.DUMMYFUNCTION("IFERROR(
  INDEX(
    FILTER(
      'Juma Recording forms'!$G:$G,
      TRIM('Juma Recording forms'!$F:$F) = TRIM($B137),
      'Juma Recording forms'!$AA:$AA = 2
    ),
    1
  ),
  ""Not Found""
)"),240.0)</f>
        <v>240</v>
      </c>
      <c r="AH137" s="292">
        <f>IFERROR(__xludf.DUMMYFUNCTION("IFERROR(
  INDEX(
    FILTER(
      'Juma Recording forms'!$G:$G,
      TRIM('Juma Recording forms'!$F:$F) = TRIM($B137),
      'Juma Recording forms'!$AA:$AA = 3
    ),
    1
  ),
  ""Not Found""
)"),257.0)</f>
        <v>257</v>
      </c>
      <c r="AI137" s="292" t="str">
        <f>IFERROR(__xludf.DUMMYFUNCTION("IFERROR(
  INDEX(
    FILTER(
      'Juma Recording forms'!$G:$G,
      TRIM('Juma Recording forms'!$F:$F) = TRIM($B137),
      'Juma Recording forms'!$AA:$AA = 4
    ),
    1
  ),
  ""Not Found""
)"),"Not Found")</f>
        <v>Not Found</v>
      </c>
      <c r="AJ137" s="292" t="str">
        <f>IFERROR(__xludf.DUMMYFUNCTION("IFERROR(
  INDEX(
    FILTER(
      'Juma Recording forms'!$G:$G,
      TRIM('Juma Recording forms'!$F:$F) = TRIM($B137),
      'Juma Recording forms'!$AA:$AA = 5
    ),
    1
  ),
  ""Not Found""
)"),"Not Found")</f>
        <v>Not Found</v>
      </c>
      <c r="AK137" s="292" t="str">
        <f>IFERROR(__xludf.DUMMYFUNCTION("IFERROR(
  INDEX(
    FILTER(
      'Juma Recording forms'!$G:$G,
      TRIM('Juma Recording forms'!$F:$F) = TRIM($B137),
      'Juma Recording forms'!$AA:$AA = 6
    ),
    1
  ),
  ""Not Found""
)"),"Not Found")</f>
        <v>Not Found</v>
      </c>
      <c r="AL1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1!$E:$E"")=$B137) *
        (IMPORTRANGE(""https://docs.google.com/spreadsheets/d/161aHT6vVT3SLneTKD19N5qVWtnj_jIT8CSsOmUVKmaA/e"&amp;"dit?gid=1761053510"",
          ""Haris_Form responses 1!$AQ:$AQ"")=1)
      ),
      1
    ),
    ""0""
  ),
  ""Form not found""
)
"),"10")</f>
        <v>10</v>
      </c>
      <c r="AM1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1!$E:$E"")=$B137) *
        (IMPORTRANGE(""https://docs.google.com/spreadsheets/d/161aHT6vVT3SLneTKD19N5qVWtnj_jIT8CSsOmUVKmaA/e"&amp;"dit?gid=1761053510"",
          ""Haris_Form responses 1!$AQ:$AQ"")=2)
      ),
      1
    ),
    ""0""
  ),
  ""Form not found""
)
"),"9")</f>
        <v>9</v>
      </c>
      <c r="AN1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1!$E:$E"")=$B137) *
        (IMPORTRANGE(""https://docs.google.com/spreadsheets/d/161aHT6vVT3SLneTKD19N5qVWtnj_jIT8CSsOmUVKmaA/e"&amp;"dit?gid=1761053510"",
          ""Haris_Form responses 1!$AQ:$AQ"")=3)
      ),
      1
    ),
    ""0""
  ),
  ""Form not found""
)
"),"0")</f>
        <v>0</v>
      </c>
      <c r="AO1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1!$E:$E"")=$B137) *
        (IMPORTRANGE(""https://docs.google.com/spreadsheets/d/161aHT6vVT3SLneTKD19N5qVWtnj_jIT8CSsOmUVKmaA/e"&amp;"dit?gid=1761053510"",
          ""Haris_Form responses 1!$AQ:$AQ"")=4)
      ),
      1
    ),
    ""0""
  ),
  ""Form not found""
)
"),"Form not found")</f>
        <v>Form not found</v>
      </c>
      <c r="AP1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1!$E:$E"")=$B137) *
        (IMPORTRANGE(""https://docs.google.com/spreadsheets/d/161aHT6vVT3SLneTKD19N5qVWtnj_jIT8CSsOmUVKmaA/e"&amp;"dit?gid=1761053510"",
          ""Haris_Form responses 1!$AQ:$AQ"")=5)
      ),
      1
    ),
    ""0""
  ),
  ""Form not found""
)
"),"Form not found")</f>
        <v>Form not found</v>
      </c>
      <c r="AQ1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1!$E:$E"")=$B137) *
        (IMPORTRANGE(""https://docs.google.com/spreadsheets/d/161aHT6vVT3SLneTKD19N5qVWtnj_jIT8CSsOmUVKmaA/e"&amp;"dit?gid=1761053510"",
          ""Haris_Form responses 1!$AQ:$AQ"")=6)
      ),
      1
    ),
    ""0""
  ),
  ""Form not found""
)
"),"Form not found")</f>
        <v>Form not found</v>
      </c>
      <c r="AR1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1!$E:$E"")=$B137) *
        (IMPORTRANGE(""https://docs.google.com/spreadsheets/d/161aHT6vVT3SLneTKD19N5qVWtnj_jIT8CSsOmUVKmaA/e"&amp;"dit?gid=1761053510"",
          ""Haris_Form responses 1!$AQ:$AQ"")=1)
      ),
      1
    ),
    ""0""
  ),
  ""Form not found""
)
"),"9")</f>
        <v>9</v>
      </c>
      <c r="AS1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1!$E:$E"")=$B137) *
        (IMPORTRANGE(""https://docs.google.com/spreadsheets/d/161aHT6vVT3SLneTKD19N5qVWtnj_jIT8CSsOmUVKmaA/e"&amp;"dit?gid=1761053510"",
          ""Haris_Form responses 1!$AQ:$AQ"")=2)
      ),
      1
    ),
    ""0""
  ),
  ""Form not found""
)
"),"9")</f>
        <v>9</v>
      </c>
      <c r="AT1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1!$E:$E"")=$B137) *
        (IMPORTRANGE(""https://docs.google.com/spreadsheets/d/161aHT6vVT3SLneTKD19N5qVWtnj_jIT8CSsOmUVKmaA/e"&amp;"dit?gid=1761053510"",
          ""Haris_Form responses 1!$AQ:$AQ"")=3)
      ),
      1
    ),
    ""0""
  ),
  ""Form not found""
)
"),"0")</f>
        <v>0</v>
      </c>
      <c r="AU1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1!$E:$E"")=$B137) *
        (IMPORTRANGE(""https://docs.google.com/spreadsheets/d/161aHT6vVT3SLneTKD19N5qVWtnj_jIT8CSsOmUVKmaA/e"&amp;"dit?gid=1761053510"",
          ""Haris_Form responses 1!$AQ:$AQ"")=4)
      ),
      1
    ),
    ""0""
  ),
  ""Form not found""
)
"),"Form not found")</f>
        <v>Form not found</v>
      </c>
      <c r="AV1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1!$E:$E"")=$B137) *
        (IMPORTRANGE(""https://docs.google.com/spreadsheets/d/161aHT6vVT3SLneTKD19N5qVWtnj_jIT8CSsOmUVKmaA/e"&amp;"dit?gid=1761053510"",
          ""Haris_Form responses 1!$AQ:$AQ"")=5)
      ),
      1
    ),
    ""0""
  ),
  ""Form not found""
)
"),"Form not found")</f>
        <v>Form not found</v>
      </c>
      <c r="AW1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1!$E:$E"")=$B137) *
        (IMPORTRANGE(""https://docs.google.com/spreadsheets/d/161aHT6vVT3SLneTKD19N5qVWtnj_jIT8CSsOmUVKmaA/e"&amp;"dit?gid=1761053510"",
          ""Haris_Form responses 1!$AQ:$AQ"")=6)
      ),
      1
    ),
    ""0""
  ),
  ""Form not found""
)
"),"Form not found")</f>
        <v>Form not found</v>
      </c>
      <c r="AX1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1!$E:$E"")=$B137) *
        (IMPORTRANGE(""https://docs.google.com/spreadsheets/d/161aHT6vVT3SLneTKD19N5qVWtnj_jIT8CSsOmUVKmaA/e"&amp;"dit?gid=1761053510"",
          ""Haris_Form responses 1!$AQ:$AQ"")=1)
      ),
      1
    ),
    ""0""
  ),
  ""Form not found""
)
"),"0")</f>
        <v>0</v>
      </c>
      <c r="AY1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1!$E:$E"")=$B137) *
        (IMPORTRANGE(""https://docs.google.com/spreadsheets/d/161aHT6vVT3SLneTKD19N5qVWtnj_jIT8CSsOmUVKmaA/e"&amp;"dit?gid=1761053510"",
          ""Haris_Form responses 1!$AQ:$AQ"")=2)
      ),
      1
    ),
    ""0""
  ),
  ""Form not found""
)
"),"0")</f>
        <v>0</v>
      </c>
      <c r="AZ1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1!$E:$E"")=$B137) *
        (IMPORTRANGE(""https://docs.google.com/spreadsheets/d/161aHT6vVT3SLneTKD19N5qVWtnj_jIT8CSsOmUVKmaA/e"&amp;"dit?gid=1761053510"",
          ""Haris_Form responses 1!$AQ:$AQ"")=3)
      ),
      1
    ),
    ""0""
  ),
  ""Form not found""
)
"),"0")</f>
        <v>0</v>
      </c>
      <c r="BA1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1!$E:$E"")=$B137) *
        (IMPORTRANGE(""https://docs.google.com/spreadsheets/d/161aHT6vVT3SLneTKD19N5qVWtnj_jIT8CSsOmUVKmaA/e"&amp;"dit?gid=1761053510"",
          ""Haris_Form responses 1!$AQ:$AQ"")=4)
      ),
      1
    ),
    ""0""
  ),
  ""Form not found""
)
"),"Form not found")</f>
        <v>Form not found</v>
      </c>
      <c r="BB1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1!$E:$E"")=$B137) *
        (IMPORTRANGE(""https://docs.google.com/spreadsheets/d/161aHT6vVT3SLneTKD19N5qVWtnj_jIT8CSsOmUVKmaA/e"&amp;"dit?gid=1761053510"",
          ""Haris_Form responses 1!$AQ:$AQ"")=5)
      ),
      1
    ),
    ""0""
  ),
  ""Form not found""
)
"),"Form not found")</f>
        <v>Form not found</v>
      </c>
      <c r="BC1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1!$E:$E"")=$B137) *
        (IMPORTRANGE(""https://docs.google.com/spreadsheets/d/161aHT6vVT3SLneTKD19N5qVWtnj_jIT8CSsOmUVKmaA/e"&amp;"dit?gid=1761053510"",
          ""Haris_Form responses 1!$AQ:$AQ"")=6)
      ),
      1
    ),
    ""0""
  ),
  ""Form not found""
)
"),"Form not found")</f>
        <v>Form not found</v>
      </c>
      <c r="BD137" s="293"/>
    </row>
    <row r="138">
      <c r="A138" s="283" t="str">
        <f>IFERROR(__xludf.DUMMYFUNCTION("VLOOKUP($B138,IMPORTRANGE(""https://docs.google.com/spreadsheets/d/1VNXDITjs75AcgdBSW27oL1VZH31udDprJSsBcE5xlp4/edit?gid=1551188038#gid=1551188038"", ""Sheet9!$B:$E""),2,false)"),"Muzaffargarh")</f>
        <v>Muzaffargarh</v>
      </c>
      <c r="B138" s="283" t="s">
        <v>4586</v>
      </c>
      <c r="C138" s="284" t="str">
        <f>IFERROR(__xludf.DUMMYFUNCTION("VLOOKUP(TRIM($B138), IMPORTRANGE(""https://docs.google.com/spreadsheets/d/1aSOrU4PTpuBZqfitKaH1Rfww6-YOiNCKoBpPl8XBHaw/edit?gid=0#gid=0"", ""sheet3!$B:$C""), 2, FALSE)
"),"Jamia Masjid Darbar Mehab Faqeer Ali Muzaffargarh")</f>
        <v>Jamia Masjid Darbar Mehab Faqeer Ali Muzaffargarh</v>
      </c>
      <c r="D138" s="284" t="str">
        <f>IFERROR(__xludf.DUMMYFUNCTION("IFERROR(
  INDEX(
    FILTER(
      IMPORTRANGE(""1aSOrU4PTpuBZqfitKaH1Rfww6-YOiNCKoBpPl8XBHaw/edit?gid=0#gid=0"",""Sheet1!G:G""),
      IMPORTRANGE(""1aSOrU4PTpuBZqfitKaH1Rfww6-YOiNCKoBpPl8XBHaw/edit?gid=0#gid=0"",""Sheet1!C:C"")=$B138
    ),
    1
  ),
"&amp;"  ""Not Found""
)"),"Control")</f>
        <v>Control</v>
      </c>
      <c r="E138" s="284" t="str">
        <f>VLOOKUP(B138,'Juma Recording forms'!A:E,5,false)</f>
        <v>Jamia masjid Mohib faqeer </v>
      </c>
      <c r="F138" s="284" t="str">
        <f>IFERROR(__xludf.DUMMYFUNCTION("IFERROR(
  INDEX(
    FILTER(
      IMPORTRANGE(""1Cxrhp3-_-HS7v9uuqQliiIfrmMP4VaFoDNDWyUFy2J8/edit?gid=0#gid=0"",""Sheet1!Q:Q""),
      IMPORTRANGE(""1Cxrhp3-_-HS7v9uuqQliiIfrmMP4VaFoDNDWyUFy2J8/edit?gid=0#gid=0"",""Sheet1!K:K"")=$B138
    ),
    1
  ),
"&amp;"  ""Not Found""
)"),"maulana firoz ahmed")</f>
        <v>maulana firoz ahmed</v>
      </c>
      <c r="G138" s="284">
        <v>2004.0</v>
      </c>
      <c r="H138" s="284" t="s">
        <v>4855</v>
      </c>
      <c r="I138" s="285" t="s">
        <v>401</v>
      </c>
      <c r="J138" s="286">
        <v>1.0</v>
      </c>
      <c r="K138" s="287" t="str">
        <f>VLOOKUP($B138,'Mosque Locations'!$A:$E,3,FALSE)
</f>
        <v>https://maps.google.com/maps?q=29.3448033%2C70.8380017&amp;z=17&amp;hl=en</v>
      </c>
      <c r="L138" s="286">
        <f>VLOOKUP($B138,'Mosque Locations'!$A:$E,4,FALSE)
</f>
        <v>29.3448</v>
      </c>
      <c r="M138" s="286">
        <f>VLOOKUP($B138,'Mosque Locations'!$A:$E,5,false)</f>
        <v>70.838</v>
      </c>
      <c r="N138" s="288"/>
      <c r="O138" s="288"/>
      <c r="P138" s="288"/>
      <c r="Q138" s="290" t="str">
        <f>IFERROR(__xludf.DUMMYFUNCTION("IFERROR(
  INDEX(
    FILTER(
      IMPORTRANGE(""1kOrIKZmJfNUkgOVP3sI9BPjaaPA0_a4636oymQxTXg8"",""Form responses 1!N:N""),
      TRIM(IMPORTRANGE(""1kOrIKZmJfNUkgOVP3sI9BPjaaPA0_a4636oymQxTXg8"",""Form responses 1!F:F""))=TRIM($B138)
    ),
    1
  ),
  "&amp;"""Not Found""
)
"),"https://drive.google.com/open?id=1MobpELwlPuvqK-22wmUU7uWW02_cnBWt")</f>
        <v>https://drive.google.com/open?id=1MobpELwlPuvqK-22wmUU7uWW02_cnBWt</v>
      </c>
      <c r="R138" s="289" t="str">
        <f>IFERROR(__xludf.DUMMYFUNCTION("IFERROR(
  INDEX(
    FILTER(
      IMPORTRANGE(""1kOrIKZmJfNUkgOVP3sI9BPjaaPA0_a4636oymQxTXg8"",""Form Responses 1!M:M""),
      TRIM(IMPORTRANGE(""1kOrIKZmJfNUkgOVP3sI9BPjaaPA0_a4636oymQxTXg8"",""Form Responses 1!F:F""))=TRIM($B138)
    ),
    1
  ),
  "&amp;"""Not Found""
)
"),"https://drive.google.com/open?id=14O0xLLRX-aSFYDyoOObhZ8dNMApyI0sK")</f>
        <v>https://drive.google.com/open?id=14O0xLLRX-aSFYDyoOObhZ8dNMApyI0sK</v>
      </c>
      <c r="S138" s="285"/>
      <c r="T138" s="290" t="str">
        <f>VLOOKUP($B138,'Master Tracker'!D:E,2,false)</f>
        <v>https://drive.google.com/file/d/1VDF4OGz0LLwM8trztTChnkz6Q48zBBQn/view?usp=drive_link</v>
      </c>
      <c r="U138" s="291" t="str">
        <f>VLOOKUP($B138,'Master Tracker'!$D:$T,4,FALSE)
</f>
        <v>https://drive.google.com/open?id=1acfPfs_uZs9077l025B91Gkpgx1SpyBw</v>
      </c>
      <c r="V138" s="284" t="str">
        <f>VLOOKUP($B138,'Master Tracker'!$D:$T,5,false)</f>
        <v>Not Found</v>
      </c>
      <c r="W138" s="292" t="str">
        <f>VLOOKUP($B138,'Master Tracker'!$D:$T,7,false)</f>
        <v>Not Found</v>
      </c>
      <c r="X138" s="290" t="str">
        <f>VLOOKUP($B138,'Master Tracker'!$D:$T,8,false)</f>
        <v>https://drive.google.com/open?id=1KsLZ6pml-TA3c5c8z5iG0i6p1IQ28liw</v>
      </c>
      <c r="Y138" s="291" t="str">
        <f>VLOOKUP($B138,'Master Tracker'!$D:$T,10,false)</f>
        <v>https://drive.google.com/open?id=15rwtr8VLU3EIN_FP2bal6VaqzXtkJPS6</v>
      </c>
      <c r="Z138" s="284" t="str">
        <f>VLOOKUP($B138,'Master Tracker'!$D:$T,11,false)</f>
        <v>Not Found</v>
      </c>
      <c r="AA138" s="292" t="str">
        <f>VLOOKUP($B138,'Master Tracker'!$D:$T,13,false)</f>
        <v>Not Found</v>
      </c>
      <c r="AB138" s="284" t="str">
        <f>VLOOKUP($B138,'Master Tracker'!$D:$T,14,false)</f>
        <v>Not Found</v>
      </c>
      <c r="AC138" s="292" t="str">
        <f>VLOOKUP($B138,'Master Tracker'!$D:$T,16,false)</f>
        <v>Not Found</v>
      </c>
      <c r="AD138" s="292" t="str">
        <f>VLOOKUP($B138,'Master Tracker'!$D:$T,17,false)</f>
        <v>Not Found</v>
      </c>
      <c r="AE138" s="292" t="str">
        <f>VLOOKUP($B138,'Master Tracker'!$D:$V,19,false)</f>
        <v>Not Found</v>
      </c>
      <c r="AF138" s="292">
        <f>IFERROR(__xludf.DUMMYFUNCTION("IFERROR(
  INDEX(
    FILTER(
      'Juma Recording forms'!$G:$G,
      TRIM('Juma Recording forms'!$F:$F) = TRIM($B138),
      'Juma Recording forms'!$AA:$AA = 1
    ),
    1
  ),
  ""Not Found""
)"),760.0)</f>
        <v>760</v>
      </c>
      <c r="AG138" s="292" t="str">
        <f>IFERROR(__xludf.DUMMYFUNCTION("IFERROR(
  INDEX(
    FILTER(
      'Juma Recording forms'!$G:$G,
      TRIM('Juma Recording forms'!$F:$F) = TRIM($B138),
      'Juma Recording forms'!$AA:$AA = 2
    ),
    1
  ),
  ""Not Found""
)"),"Not Found")</f>
        <v>Not Found</v>
      </c>
      <c r="AH138" s="292">
        <f>IFERROR(__xludf.DUMMYFUNCTION("IFERROR(
  INDEX(
    FILTER(
      'Juma Recording forms'!$G:$G,
      TRIM('Juma Recording forms'!$F:$F) = TRIM($B138),
      'Juma Recording forms'!$AA:$AA = 3
    ),
    1
  ),
  ""Not Found""
)"),830.0)</f>
        <v>830</v>
      </c>
      <c r="AI138" s="292" t="str">
        <f>IFERROR(__xludf.DUMMYFUNCTION("IFERROR(
  INDEX(
    FILTER(
      'Juma Recording forms'!$G:$G,
      TRIM('Juma Recording forms'!$F:$F) = TRIM($B138),
      'Juma Recording forms'!$AA:$AA = 4
    ),
    1
  ),
  ""Not Found""
)"),"Not Found")</f>
        <v>Not Found</v>
      </c>
      <c r="AJ138" s="292" t="str">
        <f>IFERROR(__xludf.DUMMYFUNCTION("IFERROR(
  INDEX(
    FILTER(
      'Juma Recording forms'!$G:$G,
      TRIM('Juma Recording forms'!$F:$F) = TRIM($B138),
      'Juma Recording forms'!$AA:$AA = 5
    ),
    1
  ),
  ""Not Found""
)"),"Not Found")</f>
        <v>Not Found</v>
      </c>
      <c r="AK138" s="292"/>
      <c r="AL1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1!$E:$E"")=$B138) *
        (IMPORTRANGE(""https://docs.google.com/spreadsheets/d/161aHT6vVT3SLneTKD19N5qVWtnj_jIT8CSsOmUVKmaA/e"&amp;"dit?gid=1761053510"",
          ""Haris_Form responses 1!$AQ:$AQ"")=1)
      ),
      1
    ),
    ""0""
  ),
  ""Form not found""
)
"),"0")</f>
        <v>0</v>
      </c>
      <c r="AM1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1!$E:$E"")=$B138) *
        (IMPORTRANGE(""https://docs.google.com/spreadsheets/d/161aHT6vVT3SLneTKD19N5qVWtnj_jIT8CSsOmUVKmaA/e"&amp;"dit?gid=1761053510"",
          ""Haris_Form responses 1!$AQ:$AQ"")=2)
      ),
      1
    ),
    ""0""
  ),
  ""Form not found""
)
"),"Form not found")</f>
        <v>Form not found</v>
      </c>
      <c r="AN1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1!$E:$E"")=$B138) *
        (IMPORTRANGE(""https://docs.google.com/spreadsheets/d/161aHT6vVT3SLneTKD19N5qVWtnj_jIT8CSsOmUVKmaA/e"&amp;"dit?gid=1761053510"",
          ""Haris_Form responses 1!$AQ:$AQ"")=3)
      ),
      1
    ),
    ""0""
  ),
  ""Form not found""
)
"),"0")</f>
        <v>0</v>
      </c>
      <c r="AO1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1!$E:$E"")=$B138) *
        (IMPORTRANGE(""https://docs.google.com/spreadsheets/d/161aHT6vVT3SLneTKD19N5qVWtnj_jIT8CSsOmUVKmaA/e"&amp;"dit?gid=1761053510"",
          ""Haris_Form responses 1!$AQ:$AQ"")=4)
      ),
      1
    ),
    ""0""
  ),
  ""Form not found""
)
"),"Form not found")</f>
        <v>Form not found</v>
      </c>
      <c r="AP1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1!$E:$E"")=$B138) *
        (IMPORTRANGE(""https://docs.google.com/spreadsheets/d/161aHT6vVT3SLneTKD19N5qVWtnj_jIT8CSsOmUVKmaA/e"&amp;"dit?gid=1761053510"",
          ""Haris_Form responses 1!$AQ:$AQ"")=5)
      ),
      1
    ),
    ""0""
  ),
  ""Form not found""
)
"),"Form not found")</f>
        <v>Form not found</v>
      </c>
      <c r="AQ1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1!$E:$E"")=$B138) *
        (IMPORTRANGE(""https://docs.google.com/spreadsheets/d/161aHT6vVT3SLneTKD19N5qVWtnj_jIT8CSsOmUVKmaA/e"&amp;"dit?gid=1761053510"",
          ""Haris_Form responses 1!$AQ:$AQ"")=6)
      ),
      1
    ),
    ""0""
  ),
  ""Form not found""
)
"),"Form not found")</f>
        <v>Form not found</v>
      </c>
      <c r="AR1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1!$E:$E"")=$B138) *
        (IMPORTRANGE(""https://docs.google.com/spreadsheets/d/161aHT6vVT3SLneTKD19N5qVWtnj_jIT8CSsOmUVKmaA/e"&amp;"dit?gid=1761053510"",
          ""Haris_Form responses 1!$AQ:$AQ"")=1)
      ),
      1
    ),
    ""0""
  ),
  ""Form not found""
)
"),"0")</f>
        <v>0</v>
      </c>
      <c r="AS1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1!$E:$E"")=$B138) *
        (IMPORTRANGE(""https://docs.google.com/spreadsheets/d/161aHT6vVT3SLneTKD19N5qVWtnj_jIT8CSsOmUVKmaA/e"&amp;"dit?gid=1761053510"",
          ""Haris_Form responses 1!$AQ:$AQ"")=2)
      ),
      1
    ),
    ""0""
  ),
  ""Form not found""
)
"),"Form not found")</f>
        <v>Form not found</v>
      </c>
      <c r="AT1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1!$E:$E"")=$B138) *
        (IMPORTRANGE(""https://docs.google.com/spreadsheets/d/161aHT6vVT3SLneTKD19N5qVWtnj_jIT8CSsOmUVKmaA/e"&amp;"dit?gid=1761053510"",
          ""Haris_Form responses 1!$AQ:$AQ"")=3)
      ),
      1
    ),
    ""0""
  ),
  ""Form not found""
)
"),"0")</f>
        <v>0</v>
      </c>
      <c r="AU1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1!$E:$E"")=$B138) *
        (IMPORTRANGE(""https://docs.google.com/spreadsheets/d/161aHT6vVT3SLneTKD19N5qVWtnj_jIT8CSsOmUVKmaA/e"&amp;"dit?gid=1761053510"",
          ""Haris_Form responses 1!$AQ:$AQ"")=4)
      ),
      1
    ),
    ""0""
  ),
  ""Form not found""
)
"),"Form not found")</f>
        <v>Form not found</v>
      </c>
      <c r="AV1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1!$E:$E"")=$B138) *
        (IMPORTRANGE(""https://docs.google.com/spreadsheets/d/161aHT6vVT3SLneTKD19N5qVWtnj_jIT8CSsOmUVKmaA/e"&amp;"dit?gid=1761053510"",
          ""Haris_Form responses 1!$AQ:$AQ"")=5)
      ),
      1
    ),
    ""0""
  ),
  ""Form not found""
)
"),"Form not found")</f>
        <v>Form not found</v>
      </c>
      <c r="AW1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1!$E:$E"")=$B138) *
        (IMPORTRANGE(""https://docs.google.com/spreadsheets/d/161aHT6vVT3SLneTKD19N5qVWtnj_jIT8CSsOmUVKmaA/e"&amp;"dit?gid=1761053510"",
          ""Haris_Form responses 1!$AQ:$AQ"")=6)
      ),
      1
    ),
    ""0""
  ),
  ""Form not found""
)
"),"Form not found")</f>
        <v>Form not found</v>
      </c>
      <c r="AX1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1!$E:$E"")=$B138) *
        (IMPORTRANGE(""https://docs.google.com/spreadsheets/d/161aHT6vVT3SLneTKD19N5qVWtnj_jIT8CSsOmUVKmaA/e"&amp;"dit?gid=1761053510"",
          ""Haris_Form responses 1!$AQ:$AQ"")=1)
      ),
      1
    ),
    ""0""
  ),
  ""Form not found""
)
"),"0")</f>
        <v>0</v>
      </c>
      <c r="AY1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1!$E:$E"")=$B138) *
        (IMPORTRANGE(""https://docs.google.com/spreadsheets/d/161aHT6vVT3SLneTKD19N5qVWtnj_jIT8CSsOmUVKmaA/e"&amp;"dit?gid=1761053510"",
          ""Haris_Form responses 1!$AQ:$AQ"")=2)
      ),
      1
    ),
    ""0""
  ),
  ""Form not found""
)
"),"Form not found")</f>
        <v>Form not found</v>
      </c>
      <c r="AZ1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1!$E:$E"")=$B138) *
        (IMPORTRANGE(""https://docs.google.com/spreadsheets/d/161aHT6vVT3SLneTKD19N5qVWtnj_jIT8CSsOmUVKmaA/e"&amp;"dit?gid=1761053510"",
          ""Haris_Form responses 1!$AQ:$AQ"")=3)
      ),
      1
    ),
    ""0""
  ),
  ""Form not found""
)
"),"0")</f>
        <v>0</v>
      </c>
      <c r="BA1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1!$E:$E"")=$B138) *
        (IMPORTRANGE(""https://docs.google.com/spreadsheets/d/161aHT6vVT3SLneTKD19N5qVWtnj_jIT8CSsOmUVKmaA/e"&amp;"dit?gid=1761053510"",
          ""Haris_Form responses 1!$AQ:$AQ"")=4)
      ),
      1
    ),
    ""0""
  ),
  ""Form not found""
)
"),"Form not found")</f>
        <v>Form not found</v>
      </c>
      <c r="BB1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1!$E:$E"")=$B138) *
        (IMPORTRANGE(""https://docs.google.com/spreadsheets/d/161aHT6vVT3SLneTKD19N5qVWtnj_jIT8CSsOmUVKmaA/e"&amp;"dit?gid=1761053510"",
          ""Haris_Form responses 1!$AQ:$AQ"")=5)
      ),
      1
    ),
    ""0""
  ),
  ""Form not found""
)
"),"Form not found")</f>
        <v>Form not found</v>
      </c>
      <c r="BC1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1!$E:$E"")=$B138) *
        (IMPORTRANGE(""https://docs.google.com/spreadsheets/d/161aHT6vVT3SLneTKD19N5qVWtnj_jIT8CSsOmUVKmaA/e"&amp;"dit?gid=1761053510"",
          ""Haris_Form responses 1!$AQ:$AQ"")=6)
      ),
      1
    ),
    ""0""
  ),
  ""Form not found""
)
"),"Form not found")</f>
        <v>Form not found</v>
      </c>
      <c r="BD138" s="293"/>
    </row>
    <row r="139">
      <c r="A139" s="283" t="str">
        <f>IFERROR(__xludf.DUMMYFUNCTION("VLOOKUP($B139,IMPORTRANGE(""https://docs.google.com/spreadsheets/d/1VNXDITjs75AcgdBSW27oL1VZH31udDprJSsBcE5xlp4/edit?gid=1551188038#gid=1551188038"", ""Sheet9!$B:$E""),2,false)"),"Multan")</f>
        <v>Multan</v>
      </c>
      <c r="B139" s="283" t="s">
        <v>4587</v>
      </c>
      <c r="C139" s="284" t="str">
        <f>IFERROR(__xludf.DUMMYFUNCTION("VLOOKUP(TRIM($B139), IMPORTRANGE(""https://docs.google.com/spreadsheets/d/1aSOrU4PTpuBZqfitKaH1Rfww6-YOiNCKoBpPl8XBHaw/edit?gid=0#gid=0"", ""sheet3!$B:$C""), 2, FALSE)
"),"Jamia Masjid Nawab Ali Muhammad Khan Multan")</f>
        <v>Jamia Masjid Nawab Ali Muhammad Khan Multan</v>
      </c>
      <c r="D139" s="284" t="str">
        <f>IFERROR(__xludf.DUMMYFUNCTION("IFERROR(
  INDEX(
    FILTER(
      IMPORTRANGE(""1aSOrU4PTpuBZqfitKaH1Rfww6-YOiNCKoBpPl8XBHaw/edit?gid=0#gid=0"",""Sheet1!G:G""),
      IMPORTRANGE(""1aSOrU4PTpuBZqfitKaH1Rfww6-YOiNCKoBpPl8XBHaw/edit?gid=0#gid=0"",""Sheet1!C:C"")=$B139
    ),
    1
  ),
"&amp;"  ""Not Found""
)"),"Control")</f>
        <v>Control</v>
      </c>
      <c r="E139" s="284" t="str">
        <f>VLOOKUP(B139,'Juma Recording forms'!A:E,5,false)</f>
        <v>Nawab Muhammad Ali khan wali masjid</v>
      </c>
      <c r="F139" s="284" t="str">
        <f>IFERROR(__xludf.DUMMYFUNCTION("IFERROR(
  INDEX(
    FILTER(
      IMPORTRANGE(""1Cxrhp3-_-HS7v9uuqQliiIfrmMP4VaFoDNDWyUFy2J8/edit?gid=0#gid=0"",""Sheet1!Q:Q""),
      IMPORTRANGE(""1Cxrhp3-_-HS7v9uuqQliiIfrmMP4VaFoDNDWyUFy2J8/edit?gid=0#gid=0"",""Sheet1!K:K"")=$B139
    ),
    1
  ),
"&amp;"  ""Not Found""
)"),"M shafqat javed")</f>
        <v>M shafqat javed</v>
      </c>
      <c r="G139" s="284">
        <v>1171.0</v>
      </c>
      <c r="H139" s="284"/>
      <c r="I139" s="285" t="s">
        <v>197</v>
      </c>
      <c r="J139" s="286">
        <v>2.0</v>
      </c>
      <c r="K139" s="287" t="str">
        <f>VLOOKUP($B139,'Mosque Locations'!$A:$E,3,FALSE)
</f>
        <v>https://maps.google.com/maps?q=30.192173%2C71.4720247&amp;z=17&amp;hl=en</v>
      </c>
      <c r="L139" s="286">
        <f>VLOOKUP($B139,'Mosque Locations'!$A:$E,4,FALSE)
</f>
        <v>30.19217</v>
      </c>
      <c r="M139" s="286">
        <f>VLOOKUP($B139,'Mosque Locations'!$A:$E,5,false)</f>
        <v>71.47202</v>
      </c>
      <c r="N139" s="288"/>
      <c r="O139" s="288"/>
      <c r="P139" s="288"/>
      <c r="Q139" s="295" t="str">
        <f>IFERROR(__xludf.DUMMYFUNCTION("IFERROR(
  INDEX(
    FILTER(
      IMPORTRANGE(""1kOrIKZmJfNUkgOVP3sI9BPjaaPA0_a4636oymQxTXg8"",""Form Responses 1!N:N""),
      TRIM(IMPORTRANGE(""1kOrIKZmJfNUkgOVP3sI9BPjaaPA0_a4636oymQxTXg8"",""Form Responses 1!F:F""))=TRIM($B139)
    ),
    1
  ),
  "&amp;"""Not Found""
)
"),"https://drive.google.com/file/d/1lnNjRkP_NxELM6hKw1uIEdBc9N8pZyH9/view")</f>
        <v>https://drive.google.com/file/d/1lnNjRkP_NxELM6hKw1uIEdBc9N8pZyH9/view</v>
      </c>
      <c r="R139" s="294" t="str">
        <f>IFERROR(__xludf.DUMMYFUNCTION("IFERROR(
  INDEX(
    FILTER(
      IMPORTRANGE(""1kOrIKZmJfNUkgOVP3sI9BPjaaPA0_a4636oymQxTXg8"",""Form Responses 1!M:M""),
      TRIM(IMPORTRANGE(""1kOrIKZmJfNUkgOVP3sI9BPjaaPA0_a4636oymQxTXg8"",""Form Responses 1!F:F""))=TRIM($B139)
    ),
    1
  ),
  "&amp;"""Not Found""
)
"),"https://drive.google.com/open?id=1ukay8KLqNH3LolhU8xO3_fWTt-5O46B9, https://drive.google.com/open?id=1lnNjRkP_NxELM6hKw1uIEdBc9N8pZyH9, https://drive.google.com/open?id=1X1YaJl6d9a_657utw-TqlBpXUeVpLqKU")</f>
        <v>https://drive.google.com/open?id=1ukay8KLqNH3LolhU8xO3_fWTt-5O46B9, https://drive.google.com/open?id=1lnNjRkP_NxELM6hKw1uIEdBc9N8pZyH9, https://drive.google.com/open?id=1X1YaJl6d9a_657utw-TqlBpXUeVpLqKU</v>
      </c>
      <c r="S139" s="285"/>
      <c r="T139" s="290" t="str">
        <f>VLOOKUP($B139,'Master Tracker'!D:E,2,false)</f>
        <v>https://drive.google.com/open?id=1IAC0em-qxuam4fMn-ohWTuJP_a575R8W</v>
      </c>
      <c r="U139" s="291" t="str">
        <f>VLOOKUP($B139,'Master Tracker'!$D:$T,4,FALSE)
</f>
        <v>https://drive.google.com/open?id=1nj6wmzJyzCQonf6ZdsPDicTvgEJSzwc0</v>
      </c>
      <c r="V139" s="284" t="str">
        <f>VLOOKUP($B139,'Master Tracker'!$D:$T,5,false)</f>
        <v>Not Found</v>
      </c>
      <c r="W139" s="292" t="str">
        <f>VLOOKUP($B139,'Master Tracker'!$D:$T,7,false)</f>
        <v>Not Found</v>
      </c>
      <c r="X139" s="290" t="str">
        <f>VLOOKUP($B139,'Master Tracker'!$D:$T,8,false)</f>
        <v>https://drive.google.com/open?id=1znQ1e2xgIl-xER_YhHLktewaGgw-QQQR</v>
      </c>
      <c r="Y139" s="291" t="str">
        <f>VLOOKUP($B139,'Master Tracker'!$D:$T,10,false)</f>
        <v>https://drive.google.com/open?id=1MyPVX4e74m2yDpa3Ceum6oBSgPKLqgDVNg7XL_H6Dzs</v>
      </c>
      <c r="Z139" s="284" t="str">
        <f>VLOOKUP($B139,'Master Tracker'!$D:$T,11,false)</f>
        <v>Not Found</v>
      </c>
      <c r="AA139" s="292" t="str">
        <f>VLOOKUP($B139,'Master Tracker'!$D:$T,13,false)</f>
        <v>Not Found</v>
      </c>
      <c r="AB139" s="284" t="str">
        <f>VLOOKUP($B139,'Master Tracker'!$D:$T,14,false)</f>
        <v>Not Found</v>
      </c>
      <c r="AC139" s="292" t="str">
        <f>VLOOKUP($B139,'Master Tracker'!$D:$T,16,false)</f>
        <v>Not Found</v>
      </c>
      <c r="AD139" s="292" t="str">
        <f>VLOOKUP($B139,'Master Tracker'!$D:$T,17,false)</f>
        <v>Not Found</v>
      </c>
      <c r="AE139" s="292" t="str">
        <f>VLOOKUP($B139,'Master Tracker'!$D:$V,19,false)</f>
        <v>Not Found</v>
      </c>
      <c r="AF139" s="292">
        <f>IFERROR(__xludf.DUMMYFUNCTION("IFERROR(
  INDEX(
    FILTER(
      'Juma Recording forms'!$G:$G,
      TRIM('Juma Recording forms'!$F:$F) = TRIM($B139),
      'Juma Recording forms'!$AA:$AA = 1
    ),
    1
  ),
  ""Not Found""
)"),188.0)</f>
        <v>188</v>
      </c>
      <c r="AG139" s="292" t="str">
        <f>IFERROR(__xludf.DUMMYFUNCTION("IFERROR(
  INDEX(
    FILTER(
      'Juma Recording forms'!$G:$G,
      TRIM('Juma Recording forms'!$F:$F) = TRIM($B139),
      'Juma Recording forms'!$AA:$AA = 2
    ),
    1
  ),
  ""Not Found""
)"),"Not Found")</f>
        <v>Not Found</v>
      </c>
      <c r="AH139" s="292">
        <f>IFERROR(__xludf.DUMMYFUNCTION("IFERROR(
  INDEX(
    FILTER(
      'Juma Recording forms'!$G:$G,
      TRIM('Juma Recording forms'!$F:$F) = TRIM($B139),
      'Juma Recording forms'!$AA:$AA = 3
    ),
    1
  ),
  ""Not Found""
)"),195.0)</f>
        <v>195</v>
      </c>
      <c r="AI139" s="292" t="str">
        <f>IFERROR(__xludf.DUMMYFUNCTION("IFERROR(
  INDEX(
    FILTER(
      'Juma Recording forms'!$G:$G,
      TRIM('Juma Recording forms'!$F:$F) = TRIM($B139),
      'Juma Recording forms'!$AA:$AA = 4
    ),
    1
  ),
  ""Not Found""
)"),"Not Found")</f>
        <v>Not Found</v>
      </c>
      <c r="AJ139" s="292" t="str">
        <f>IFERROR(__xludf.DUMMYFUNCTION("IFERROR(
  INDEX(
    FILTER(
      'Juma Recording forms'!$G:$G,
      TRIM('Juma Recording forms'!$F:$F) = TRIM($B139),
      'Juma Recording forms'!$AA:$AA = 5
    ),
    1
  ),
  ""Not Found""
)"),"Not Found")</f>
        <v>Not Found</v>
      </c>
      <c r="AK139" s="292"/>
      <c r="AL1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1!$E:$E"")=$B139) *
        (IMPORTRANGE(""https://docs.google.com/spreadsheets/d/161aHT6vVT3SLneTKD19N5qVWtnj_jIT8CSsOmUVKmaA/e"&amp;"dit?gid=1761053510"",
          ""Haris_Form responses 1!$AQ:$AQ"")=1)
      ),
      1
    ),
    ""0""
  ),
  ""Form not found""
)
"),"0")</f>
        <v>0</v>
      </c>
      <c r="AM1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1!$E:$E"")=$B139) *
        (IMPORTRANGE(""https://docs.google.com/spreadsheets/d/161aHT6vVT3SLneTKD19N5qVWtnj_jIT8CSsOmUVKmaA/e"&amp;"dit?gid=1761053510"",
          ""Haris_Form responses 1!$AQ:$AQ"")=2)
      ),
      1
    ),
    ""0""
  ),
  ""Form not found""
)
"),"Form not found")</f>
        <v>Form not found</v>
      </c>
      <c r="AN1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1!$E:$E"")=$B139) *
        (IMPORTRANGE(""https://docs.google.com/spreadsheets/d/161aHT6vVT3SLneTKD19N5qVWtnj_jIT8CSsOmUVKmaA/e"&amp;"dit?gid=1761053510"",
          ""Haris_Form responses 1!$AQ:$AQ"")=3)
      ),
      1
    ),
    ""0""
  ),
  ""Form not found""
)
"),"0")</f>
        <v>0</v>
      </c>
      <c r="AO1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1!$E:$E"")=$B139) *
        (IMPORTRANGE(""https://docs.google.com/spreadsheets/d/161aHT6vVT3SLneTKD19N5qVWtnj_jIT8CSsOmUVKmaA/e"&amp;"dit?gid=1761053510"",
          ""Haris_Form responses 1!$AQ:$AQ"")=4)
      ),
      1
    ),
    ""0""
  ),
  ""Form not found""
)
"),"Form not found")</f>
        <v>Form not found</v>
      </c>
      <c r="AP1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1!$E:$E"")=$B139) *
        (IMPORTRANGE(""https://docs.google.com/spreadsheets/d/161aHT6vVT3SLneTKD19N5qVWtnj_jIT8CSsOmUVKmaA/e"&amp;"dit?gid=1761053510"",
          ""Haris_Form responses 1!$AQ:$AQ"")=5)
      ),
      1
    ),
    ""0""
  ),
  ""Form not found""
)
"),"Form not found")</f>
        <v>Form not found</v>
      </c>
      <c r="AQ1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1!$E:$E"")=$B139) *
        (IMPORTRANGE(""https://docs.google.com/spreadsheets/d/161aHT6vVT3SLneTKD19N5qVWtnj_jIT8CSsOmUVKmaA/e"&amp;"dit?gid=1761053510"",
          ""Haris_Form responses 1!$AQ:$AQ"")=6)
      ),
      1
    ),
    ""0""
  ),
  ""Form not found""
)
"),"Form not found")</f>
        <v>Form not found</v>
      </c>
      <c r="AR1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1!$E:$E"")=$B139) *
        (IMPORTRANGE(""https://docs.google.com/spreadsheets/d/161aHT6vVT3SLneTKD19N5qVWtnj_jIT8CSsOmUVKmaA/e"&amp;"dit?gid=1761053510"",
          ""Haris_Form responses 1!$AQ:$AQ"")=1)
      ),
      1
    ),
    ""0""
  ),
  ""Form not found""
)
"),"0")</f>
        <v>0</v>
      </c>
      <c r="AS1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1!$E:$E"")=$B139) *
        (IMPORTRANGE(""https://docs.google.com/spreadsheets/d/161aHT6vVT3SLneTKD19N5qVWtnj_jIT8CSsOmUVKmaA/e"&amp;"dit?gid=1761053510"",
          ""Haris_Form responses 1!$AQ:$AQ"")=2)
      ),
      1
    ),
    ""0""
  ),
  ""Form not found""
)
"),"Form not found")</f>
        <v>Form not found</v>
      </c>
      <c r="AT1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1!$E:$E"")=$B139) *
        (IMPORTRANGE(""https://docs.google.com/spreadsheets/d/161aHT6vVT3SLneTKD19N5qVWtnj_jIT8CSsOmUVKmaA/e"&amp;"dit?gid=1761053510"",
          ""Haris_Form responses 1!$AQ:$AQ"")=3)
      ),
      1
    ),
    ""0""
  ),
  ""Form not found""
)
"),"0")</f>
        <v>0</v>
      </c>
      <c r="AU1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1!$E:$E"")=$B139) *
        (IMPORTRANGE(""https://docs.google.com/spreadsheets/d/161aHT6vVT3SLneTKD19N5qVWtnj_jIT8CSsOmUVKmaA/e"&amp;"dit?gid=1761053510"",
          ""Haris_Form responses 1!$AQ:$AQ"")=4)
      ),
      1
    ),
    ""0""
  ),
  ""Form not found""
)
"),"Form not found")</f>
        <v>Form not found</v>
      </c>
      <c r="AV1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1!$E:$E"")=$B139) *
        (IMPORTRANGE(""https://docs.google.com/spreadsheets/d/161aHT6vVT3SLneTKD19N5qVWtnj_jIT8CSsOmUVKmaA/e"&amp;"dit?gid=1761053510"",
          ""Haris_Form responses 1!$AQ:$AQ"")=5)
      ),
      1
    ),
    ""0""
  ),
  ""Form not found""
)
"),"Form not found")</f>
        <v>Form not found</v>
      </c>
      <c r="AW1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1!$E:$E"")=$B139) *
        (IMPORTRANGE(""https://docs.google.com/spreadsheets/d/161aHT6vVT3SLneTKD19N5qVWtnj_jIT8CSsOmUVKmaA/e"&amp;"dit?gid=1761053510"",
          ""Haris_Form responses 1!$AQ:$AQ"")=6)
      ),
      1
    ),
    ""0""
  ),
  ""Form not found""
)
"),"Form not found")</f>
        <v>Form not found</v>
      </c>
      <c r="AX1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1!$E:$E"")=$B139) *
        (IMPORTRANGE(""https://docs.google.com/spreadsheets/d/161aHT6vVT3SLneTKD19N5qVWtnj_jIT8CSsOmUVKmaA/e"&amp;"dit?gid=1761053510"",
          ""Haris_Form responses 1!$AQ:$AQ"")=1)
      ),
      1
    ),
    ""0""
  ),
  ""Form not found""
)
"),"0")</f>
        <v>0</v>
      </c>
      <c r="AY1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1!$E:$E"")=$B139) *
        (IMPORTRANGE(""https://docs.google.com/spreadsheets/d/161aHT6vVT3SLneTKD19N5qVWtnj_jIT8CSsOmUVKmaA/e"&amp;"dit?gid=1761053510"",
          ""Haris_Form responses 1!$AQ:$AQ"")=2)
      ),
      1
    ),
    ""0""
  ),
  ""Form not found""
)
"),"Form not found")</f>
        <v>Form not found</v>
      </c>
      <c r="AZ1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1!$E:$E"")=$B139) *
        (IMPORTRANGE(""https://docs.google.com/spreadsheets/d/161aHT6vVT3SLneTKD19N5qVWtnj_jIT8CSsOmUVKmaA/e"&amp;"dit?gid=1761053510"",
          ""Haris_Form responses 1!$AQ:$AQ"")=3)
      ),
      1
    ),
    ""0""
  ),
  ""Form not found""
)
"),"0")</f>
        <v>0</v>
      </c>
      <c r="BA1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1!$E:$E"")=$B139) *
        (IMPORTRANGE(""https://docs.google.com/spreadsheets/d/161aHT6vVT3SLneTKD19N5qVWtnj_jIT8CSsOmUVKmaA/e"&amp;"dit?gid=1761053510"",
          ""Haris_Form responses 1!$AQ:$AQ"")=4)
      ),
      1
    ),
    ""0""
  ),
  ""Form not found""
)
"),"Form not found")</f>
        <v>Form not found</v>
      </c>
      <c r="BB1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1!$E:$E"")=$B139) *
        (IMPORTRANGE(""https://docs.google.com/spreadsheets/d/161aHT6vVT3SLneTKD19N5qVWtnj_jIT8CSsOmUVKmaA/e"&amp;"dit?gid=1761053510"",
          ""Haris_Form responses 1!$AQ:$AQ"")=5)
      ),
      1
    ),
    ""0""
  ),
  ""Form not found""
)
"),"Form not found")</f>
        <v>Form not found</v>
      </c>
      <c r="BC1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1!$E:$E"")=$B139) *
        (IMPORTRANGE(""https://docs.google.com/spreadsheets/d/161aHT6vVT3SLneTKD19N5qVWtnj_jIT8CSsOmUVKmaA/e"&amp;"dit?gid=1761053510"",
          ""Haris_Form responses 1!$AQ:$AQ"")=6)
      ),
      1
    ),
    ""0""
  ),
  ""Form not found""
)
"),"Form not found")</f>
        <v>Form not found</v>
      </c>
      <c r="BD139" s="293"/>
    </row>
    <row r="140">
      <c r="A140" s="283" t="str">
        <f>IFERROR(__xludf.DUMMYFUNCTION("VLOOKUP($B140,IMPORTRANGE(""https://docs.google.com/spreadsheets/d/1VNXDITjs75AcgdBSW27oL1VZH31udDprJSsBcE5xlp4/edit?gid=1551188038#gid=1551188038"", ""Sheet9!$B:$E""),2,false)"),"Multan")</f>
        <v>Multan</v>
      </c>
      <c r="B140" s="283" t="s">
        <v>4588</v>
      </c>
      <c r="C140" s="284" t="str">
        <f>IFERROR(__xludf.DUMMYFUNCTION("VLOOKUP(TRIM($B140), IMPORTRANGE(""https://docs.google.com/spreadsheets/d/1aSOrU4PTpuBZqfitKaH1Rfww6-YOiNCKoBpPl8XBHaw/edit?gid=0#gid=0"", ""sheet3!$B:$C""), 2, FALSE)
"),"Jamia Masjid Zain Ul Abdain Multan")</f>
        <v>Jamia Masjid Zain Ul Abdain Multan</v>
      </c>
      <c r="D140" s="284" t="str">
        <f>IFERROR(__xludf.DUMMYFUNCTION("IFERROR(
  INDEX(
    FILTER(
      IMPORTRANGE(""1aSOrU4PTpuBZqfitKaH1Rfww6-YOiNCKoBpPl8XBHaw/edit?gid=0#gid=0"",""Sheet1!G:G""),
      IMPORTRANGE(""1aSOrU4PTpuBZqfitKaH1Rfww6-YOiNCKoBpPl8XBHaw/edit?gid=0#gid=0"",""Sheet1!C:C"")=$B140
    ),
    1
  ),
"&amp;"  ""Not Found""
)"),"Control")</f>
        <v>Control</v>
      </c>
      <c r="E140" s="284" t="str">
        <f>VLOOKUP(B140,'Juma Recording forms'!A:E,5,false)</f>
        <v>Zain ull abidin0</v>
      </c>
      <c r="F140" s="284" t="str">
        <f>IFERROR(__xludf.DUMMYFUNCTION("IFERROR(
  INDEX(
    FILTER(
      IMPORTRANGE(""1Cxrhp3-_-HS7v9uuqQliiIfrmMP4VaFoDNDWyUFy2J8/edit?gid=0#gid=0"",""Sheet1!Q:Q""),
      IMPORTRANGE(""1Cxrhp3-_-HS7v9uuqQliiIfrmMP4VaFoDNDWyUFy2J8/edit?gid=0#gid=0"",""Sheet1!K:K"")=$B140
    ),
    1
  ),
"&amp;"  ""Not Found""
)"),"maulana fayazuo hassan")</f>
        <v>maulana fayazuo hassan</v>
      </c>
      <c r="G140" s="284">
        <v>1730.0</v>
      </c>
      <c r="H140" s="284" t="s">
        <v>4856</v>
      </c>
      <c r="I140" s="285" t="s">
        <v>197</v>
      </c>
      <c r="J140" s="286">
        <v>2.0</v>
      </c>
      <c r="K140" s="287" t="str">
        <f>VLOOKUP($B140,'Mosque Locations'!$A:$E,3,FALSE)
</f>
        <v>https://goo.gl/maps/wqRxtfXKwtn7eZFz9</v>
      </c>
      <c r="L140" s="286">
        <f>VLOOKUP($B140,'Mosque Locations'!$A:$E,4,FALSE)
</f>
        <v>30.19057</v>
      </c>
      <c r="M140" s="286" t="str">
        <f>VLOOKUP($B140,'Mosque Locations'!$A:$E,5,false)</f>
        <v>71.471095 (approx)</v>
      </c>
      <c r="N140" s="288"/>
      <c r="O140" s="288"/>
      <c r="P140" s="288"/>
      <c r="Q140" s="294" t="str">
        <f>IFERROR(__xludf.DUMMYFUNCTION("IFERROR(
  INDEX(
    FILTER(
      IMPORTRANGE(""1kOrIKZmJfNUkgOVP3sI9BPjaaPA0_a4636oymQxTXg8"",""Form Responses 1!N:N""),
      TRIM(IMPORTRANGE(""1kOrIKZmJfNUkgOVP3sI9BPjaaPA0_a4636oymQxTXg8"",""Form Responses 1!F:F""))=TRIM($B140)
    ),
    1
  ),
  "&amp;"""Not Found""
)
"),"https://drive.google.com/open?id=1wnOcqZzLQ4UhQgJkn5nVZLNtlolU0BV0, https://drive.google.com/open?id=1bu9j_fDYaMATRjZCb_p5cbTxtP5HZX4N, https://drive.google.com/open?id=1X6GCV_HBMzRSZUp4o2mY71fLeo7Arrgg")</f>
        <v>https://drive.google.com/open?id=1wnOcqZzLQ4UhQgJkn5nVZLNtlolU0BV0, https://drive.google.com/open?id=1bu9j_fDYaMATRjZCb_p5cbTxtP5HZX4N, https://drive.google.com/open?id=1X6GCV_HBMzRSZUp4o2mY71fLeo7Arrgg</v>
      </c>
      <c r="R140" s="294" t="str">
        <f>IFERROR(__xludf.DUMMYFUNCTION("IFERROR(
  INDEX(
    FILTER(
      IMPORTRANGE(""1kOrIKZmJfNUkgOVP3sI9BPjaaPA0_a4636oymQxTXg8"",""Form Responses 1!M:M""),
      TRIM(IMPORTRANGE(""1kOrIKZmJfNUkgOVP3sI9BPjaaPA0_a4636oymQxTXg8"",""Form Responses 1!F:F""))=TRIM($B140)
    ),
    1
  ),
  "&amp;"""Not Found""
)
"),"https://drive.google.com/open?id=10BtvzO-AF5hmF_0_MlGIpsKlJDsgo1rZ, https://drive.google.com/open?id=1FDAwfUAB8a9zY8vcyAcixcQpxGHq9VpH, https://drive.google.com/open?id=10cssJyDSDdZXaK2tBQH3zQrumKqU8V99")</f>
        <v>https://drive.google.com/open?id=10BtvzO-AF5hmF_0_MlGIpsKlJDsgo1rZ, https://drive.google.com/open?id=1FDAwfUAB8a9zY8vcyAcixcQpxGHq9VpH, https://drive.google.com/open?id=10cssJyDSDdZXaK2tBQH3zQrumKqU8V99</v>
      </c>
      <c r="S140" s="285"/>
      <c r="T140" s="290" t="str">
        <f>VLOOKUP($B140,'Master Tracker'!D:E,2,false)</f>
        <v>https://drive.google.com/open?id=1il8VlVf4u1DsmGYlZlmhD3Bqg8NFu3ak</v>
      </c>
      <c r="U140" s="291" t="str">
        <f>VLOOKUP($B140,'Master Tracker'!$D:$T,4,FALSE)
</f>
        <v>https://drive.google.com/open?id=1UDQVwYci6X0tjHZzkQf19vJC8ml_SzofCEA1AZsjZdM</v>
      </c>
      <c r="V140" s="284" t="str">
        <f>VLOOKUP($B140,'Master Tracker'!$D:$T,5,false)</f>
        <v>Not Found</v>
      </c>
      <c r="W140" s="292" t="str">
        <f>VLOOKUP($B140,'Master Tracker'!$D:$T,7,false)</f>
        <v>Not Found</v>
      </c>
      <c r="X140" s="290" t="str">
        <f>VLOOKUP($B140,'Master Tracker'!$D:$T,8,false)</f>
        <v>https://drive.google.com/open?id=1Irp6_73Iyj6GJIYZ8nYigggzj56vc_cB</v>
      </c>
      <c r="Y140" s="291" t="str">
        <f>VLOOKUP($B140,'Master Tracker'!$D:$T,10,false)</f>
        <v>https://drive.google.com/open?id=1GF1z3Rljm701VSWb1KTFpww8Dwknz0vX</v>
      </c>
      <c r="Z140" s="284" t="str">
        <f>VLOOKUP($B140,'Master Tracker'!$D:$T,11,false)</f>
        <v>Not Found</v>
      </c>
      <c r="AA140" s="292" t="str">
        <f>VLOOKUP($B140,'Master Tracker'!$D:$T,13,false)</f>
        <v>Not Found</v>
      </c>
      <c r="AB140" s="284" t="str">
        <f>VLOOKUP($B140,'Master Tracker'!$D:$T,14,false)</f>
        <v>Not Found</v>
      </c>
      <c r="AC140" s="292" t="str">
        <f>VLOOKUP($B140,'Master Tracker'!$D:$T,16,false)</f>
        <v>Not Found</v>
      </c>
      <c r="AD140" s="292" t="str">
        <f>VLOOKUP($B140,'Master Tracker'!$D:$T,17,false)</f>
        <v>Not Found</v>
      </c>
      <c r="AE140" s="292" t="str">
        <f>VLOOKUP($B140,'Master Tracker'!$D:$V,19,false)</f>
        <v>Not Found</v>
      </c>
      <c r="AF140" s="292">
        <f>IFERROR(__xludf.DUMMYFUNCTION("IFERROR(
  INDEX(
    FILTER(
      'Juma Recording forms'!$G:$G,
      TRIM('Juma Recording forms'!$F:$F) = TRIM($B140),
      'Juma Recording forms'!$AA:$AA = 1
    ),
    1
  ),
  ""Not Found""
)"),410.0)</f>
        <v>410</v>
      </c>
      <c r="AG140" s="292" t="str">
        <f>IFERROR(__xludf.DUMMYFUNCTION("IFERROR(
  INDEX(
    FILTER(
      'Juma Recording forms'!$G:$G,
      TRIM('Juma Recording forms'!$F:$F) = TRIM($B140),
      'Juma Recording forms'!$AA:$AA = 2
    ),
    1
  ),
  ""Not Found""
)"),"Not Found")</f>
        <v>Not Found</v>
      </c>
      <c r="AH140" s="292">
        <f>IFERROR(__xludf.DUMMYFUNCTION("IFERROR(
  INDEX(
    FILTER(
      'Juma Recording forms'!$G:$G,
      TRIM('Juma Recording forms'!$F:$F) = TRIM($B140),
      'Juma Recording forms'!$AA:$AA = 3
    ),
    1
  ),
  ""Not Found""
)"),390.0)</f>
        <v>390</v>
      </c>
      <c r="AI140" s="292" t="str">
        <f>IFERROR(__xludf.DUMMYFUNCTION("IFERROR(
  INDEX(
    FILTER(
      'Juma Recording forms'!$G:$G,
      TRIM('Juma Recording forms'!$F:$F) = TRIM($B140),
      'Juma Recording forms'!$AA:$AA = 4
    ),
    1
  ),
  ""Not Found""
)"),"Not Found")</f>
        <v>Not Found</v>
      </c>
      <c r="AJ140" s="292" t="str">
        <f>IFERROR(__xludf.DUMMYFUNCTION("IFERROR(
  INDEX(
    FILTER(
      'Juma Recording forms'!$G:$G,
      TRIM('Juma Recording forms'!$F:$F) = TRIM($B140),
      'Juma Recording forms'!$AA:$AA = 5
    ),
    1
  ),
  ""Not Found""
)"),"Not Found")</f>
        <v>Not Found</v>
      </c>
      <c r="AK140" s="292"/>
      <c r="AL1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1!$E:$E"")=$B140) *
        (IMPORTRANGE(""https://docs.google.com/spreadsheets/d/161aHT6vVT3SLneTKD19N5qVWtnj_jIT8CSsOmUVKmaA/e"&amp;"dit?gid=1761053510"",
          ""Haris_Form responses 1!$AQ:$AQ"")=1)
      ),
      1
    ),
    ""0""
  ),
  ""Form not found""
)
"),"0")</f>
        <v>0</v>
      </c>
      <c r="AM1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1!$E:$E"")=$B140) *
        (IMPORTRANGE(""https://docs.google.com/spreadsheets/d/161aHT6vVT3SLneTKD19N5qVWtnj_jIT8CSsOmUVKmaA/e"&amp;"dit?gid=1761053510"",
          ""Haris_Form responses 1!$AQ:$AQ"")=2)
      ),
      1
    ),
    ""0""
  ),
  ""Form not found""
)
"),"Form not found")</f>
        <v>Form not found</v>
      </c>
      <c r="AN1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1!$E:$E"")=$B140) *
        (IMPORTRANGE(""https://docs.google.com/spreadsheets/d/161aHT6vVT3SLneTKD19N5qVWtnj_jIT8CSsOmUVKmaA/e"&amp;"dit?gid=1761053510"",
          ""Haris_Form responses 1!$AQ:$AQ"")=3)
      ),
      1
    ),
    ""0""
  ),
  ""Form not found""
)
"),"0")</f>
        <v>0</v>
      </c>
      <c r="AO1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1!$E:$E"")=$B140) *
        (IMPORTRANGE(""https://docs.google.com/spreadsheets/d/161aHT6vVT3SLneTKD19N5qVWtnj_jIT8CSsOmUVKmaA/e"&amp;"dit?gid=1761053510"",
          ""Haris_Form responses 1!$AQ:$AQ"")=4)
      ),
      1
    ),
    ""0""
  ),
  ""Form not found""
)
"),"Form not found")</f>
        <v>Form not found</v>
      </c>
      <c r="AP1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1!$E:$E"")=$B140) *
        (IMPORTRANGE(""https://docs.google.com/spreadsheets/d/161aHT6vVT3SLneTKD19N5qVWtnj_jIT8CSsOmUVKmaA/e"&amp;"dit?gid=1761053510"",
          ""Haris_Form responses 1!$AQ:$AQ"")=5)
      ),
      1
    ),
    ""0""
  ),
  ""Form not found""
)
"),"Form not found")</f>
        <v>Form not found</v>
      </c>
      <c r="AQ1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1!$E:$E"")=$B140) *
        (IMPORTRANGE(""https://docs.google.com/spreadsheets/d/161aHT6vVT3SLneTKD19N5qVWtnj_jIT8CSsOmUVKmaA/e"&amp;"dit?gid=1761053510"",
          ""Haris_Form responses 1!$AQ:$AQ"")=6)
      ),
      1
    ),
    ""0""
  ),
  ""Form not found""
)
"),"Form not found")</f>
        <v>Form not found</v>
      </c>
      <c r="AR1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1!$E:$E"")=$B140) *
        (IMPORTRANGE(""https://docs.google.com/spreadsheets/d/161aHT6vVT3SLneTKD19N5qVWtnj_jIT8CSsOmUVKmaA/e"&amp;"dit?gid=1761053510"",
          ""Haris_Form responses 1!$AQ:$AQ"")=1)
      ),
      1
    ),
    ""0""
  ),
  ""Form not found""
)
"),"0")</f>
        <v>0</v>
      </c>
      <c r="AS1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1!$E:$E"")=$B140) *
        (IMPORTRANGE(""https://docs.google.com/spreadsheets/d/161aHT6vVT3SLneTKD19N5qVWtnj_jIT8CSsOmUVKmaA/e"&amp;"dit?gid=1761053510"",
          ""Haris_Form responses 1!$AQ:$AQ"")=2)
      ),
      1
    ),
    ""0""
  ),
  ""Form not found""
)
"),"Form not found")</f>
        <v>Form not found</v>
      </c>
      <c r="AT1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1!$E:$E"")=$B140) *
        (IMPORTRANGE(""https://docs.google.com/spreadsheets/d/161aHT6vVT3SLneTKD19N5qVWtnj_jIT8CSsOmUVKmaA/e"&amp;"dit?gid=1761053510"",
          ""Haris_Form responses 1!$AQ:$AQ"")=3)
      ),
      1
    ),
    ""0""
  ),
  ""Form not found""
)
"),"0")</f>
        <v>0</v>
      </c>
      <c r="AU1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1!$E:$E"")=$B140) *
        (IMPORTRANGE(""https://docs.google.com/spreadsheets/d/161aHT6vVT3SLneTKD19N5qVWtnj_jIT8CSsOmUVKmaA/e"&amp;"dit?gid=1761053510"",
          ""Haris_Form responses 1!$AQ:$AQ"")=4)
      ),
      1
    ),
    ""0""
  ),
  ""Form not found""
)
"),"Form not found")</f>
        <v>Form not found</v>
      </c>
      <c r="AV1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1!$E:$E"")=$B140) *
        (IMPORTRANGE(""https://docs.google.com/spreadsheets/d/161aHT6vVT3SLneTKD19N5qVWtnj_jIT8CSsOmUVKmaA/e"&amp;"dit?gid=1761053510"",
          ""Haris_Form responses 1!$AQ:$AQ"")=5)
      ),
      1
    ),
    ""0""
  ),
  ""Form not found""
)
"),"Form not found")</f>
        <v>Form not found</v>
      </c>
      <c r="AW1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1!$E:$E"")=$B140) *
        (IMPORTRANGE(""https://docs.google.com/spreadsheets/d/161aHT6vVT3SLneTKD19N5qVWtnj_jIT8CSsOmUVKmaA/e"&amp;"dit?gid=1761053510"",
          ""Haris_Form responses 1!$AQ:$AQ"")=6)
      ),
      1
    ),
    ""0""
  ),
  ""Form not found""
)
"),"Form not found")</f>
        <v>Form not found</v>
      </c>
      <c r="AX1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1!$E:$E"")=$B140) *
        (IMPORTRANGE(""https://docs.google.com/spreadsheets/d/161aHT6vVT3SLneTKD19N5qVWtnj_jIT8CSsOmUVKmaA/e"&amp;"dit?gid=1761053510"",
          ""Haris_Form responses 1!$AQ:$AQ"")=1)
      ),
      1
    ),
    ""0""
  ),
  ""Form not found""
)
"),"0")</f>
        <v>0</v>
      </c>
      <c r="AY1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1!$E:$E"")=$B140) *
        (IMPORTRANGE(""https://docs.google.com/spreadsheets/d/161aHT6vVT3SLneTKD19N5qVWtnj_jIT8CSsOmUVKmaA/e"&amp;"dit?gid=1761053510"",
          ""Haris_Form responses 1!$AQ:$AQ"")=2)
      ),
      1
    ),
    ""0""
  ),
  ""Form not found""
)
"),"Form not found")</f>
        <v>Form not found</v>
      </c>
      <c r="AZ1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1!$E:$E"")=$B140) *
        (IMPORTRANGE(""https://docs.google.com/spreadsheets/d/161aHT6vVT3SLneTKD19N5qVWtnj_jIT8CSsOmUVKmaA/e"&amp;"dit?gid=1761053510"",
          ""Haris_Form responses 1!$AQ:$AQ"")=3)
      ),
      1
    ),
    ""0""
  ),
  ""Form not found""
)
"),"0")</f>
        <v>0</v>
      </c>
      <c r="BA1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1!$E:$E"")=$B140) *
        (IMPORTRANGE(""https://docs.google.com/spreadsheets/d/161aHT6vVT3SLneTKD19N5qVWtnj_jIT8CSsOmUVKmaA/e"&amp;"dit?gid=1761053510"",
          ""Haris_Form responses 1!$AQ:$AQ"")=4)
      ),
      1
    ),
    ""0""
  ),
  ""Form not found""
)
"),"Form not found")</f>
        <v>Form not found</v>
      </c>
      <c r="BB1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1!$E:$E"")=$B140) *
        (IMPORTRANGE(""https://docs.google.com/spreadsheets/d/161aHT6vVT3SLneTKD19N5qVWtnj_jIT8CSsOmUVKmaA/e"&amp;"dit?gid=1761053510"",
          ""Haris_Form responses 1!$AQ:$AQ"")=5)
      ),
      1
    ),
    ""0""
  ),
  ""Form not found""
)
"),"Form not found")</f>
        <v>Form not found</v>
      </c>
      <c r="BC1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1!$E:$E"")=$B140) *
        (IMPORTRANGE(""https://docs.google.com/spreadsheets/d/161aHT6vVT3SLneTKD19N5qVWtnj_jIT8CSsOmUVKmaA/e"&amp;"dit?gid=1761053510"",
          ""Haris_Form responses 1!$AQ:$AQ"")=6)
      ),
      1
    ),
    ""0""
  ),
  ""Form not found""
)
"),"Form not found")</f>
        <v>Form not found</v>
      </c>
      <c r="BD140" s="293"/>
    </row>
    <row r="141">
      <c r="A141" s="283" t="str">
        <f>IFERROR(__xludf.DUMMYFUNCTION("VLOOKUP($B141,IMPORTRANGE(""https://docs.google.com/spreadsheets/d/1VNXDITjs75AcgdBSW27oL1VZH31udDprJSsBcE5xlp4/edit?gid=1551188038#gid=1551188038"", ""Sheet9!$B:$E""),2,false)"),"Multan")</f>
        <v>Multan</v>
      </c>
      <c r="B141" s="283" t="s">
        <v>4589</v>
      </c>
      <c r="C141" s="284" t="str">
        <f>IFERROR(__xludf.DUMMYFUNCTION("VLOOKUP(TRIM($B141), IMPORTRANGE(""https://docs.google.com/spreadsheets/d/1aSOrU4PTpuBZqfitKaH1Rfww6-YOiNCKoBpPl8XBHaw/edit?gid=0#gid=0"", ""sheet3!$B:$C""), 2, FALSE)
"),"Jamia Masjid Peer Ashaq Khawani Burj Multan")</f>
        <v>Jamia Masjid Peer Ashaq Khawani Burj Multan</v>
      </c>
      <c r="D141" s="284" t="str">
        <f>IFERROR(__xludf.DUMMYFUNCTION("IFERROR(
  INDEX(
    FILTER(
      IMPORTRANGE(""1aSOrU4PTpuBZqfitKaH1Rfww6-YOiNCKoBpPl8XBHaw/edit?gid=0#gid=0"",""Sheet1!G:G""),
      IMPORTRANGE(""1aSOrU4PTpuBZqfitKaH1Rfww6-YOiNCKoBpPl8XBHaw/edit?gid=0#gid=0"",""Sheet1!C:C"")=$B141
    ),
    1
  ),
"&amp;"  ""Not Found""
)"),"Control")</f>
        <v>Control</v>
      </c>
      <c r="E141" s="284" t="str">
        <f>VLOOKUP(B141,'Juma Recording forms'!A:E,5,false)</f>
        <v>Jamia Masjid Peer Ishaq</v>
      </c>
      <c r="F141" s="284" t="str">
        <f>IFERROR(__xludf.DUMMYFUNCTION("IFERROR(
  INDEX(
    FILTER(
      IMPORTRANGE(""1Cxrhp3-_-HS7v9uuqQliiIfrmMP4VaFoDNDWyUFy2J8/edit?gid=0#gid=0"",""Sheet1!Q:Q""),
      IMPORTRANGE(""1Cxrhp3-_-HS7v9uuqQliiIfrmMP4VaFoDNDWyUFy2J8/edit?gid=0#gid=0"",""Sheet1!K:K"")=$B141
    ),
    1
  ),
"&amp;"  ""Not Found""
)"),"Hafiz Muhammad haroon hashmi")</f>
        <v>Hafiz Muhammad haroon hashmi</v>
      </c>
      <c r="G141" s="284">
        <v>1947.0</v>
      </c>
      <c r="H141" s="284"/>
      <c r="I141" s="285"/>
      <c r="J141" s="286">
        <v>2.0</v>
      </c>
      <c r="K141" s="287" t="str">
        <f>VLOOKUP($B141,'Mosque Locations'!$A:$E,3,FALSE)
</f>
        <v>https://www.google.com/maps?q=30.18822,71.4762925</v>
      </c>
      <c r="L141" s="286">
        <f>VLOOKUP($B141,'Mosque Locations'!$A:$E,4,FALSE)
</f>
        <v>30.18822</v>
      </c>
      <c r="M141" s="286">
        <f>VLOOKUP($B141,'Mosque Locations'!$A:$E,5,false)</f>
        <v>71.47629</v>
      </c>
      <c r="N141" s="288"/>
      <c r="O141" s="288"/>
      <c r="P141" s="288"/>
      <c r="Q141" s="290" t="str">
        <f>IFERROR(__xludf.DUMMYFUNCTION("IFERROR(
  INDEX(
    FILTER(
      IMPORTRANGE(""1kOrIKZmJfNUkgOVP3sI9BPjaaPA0_a4636oymQxTXg8"",""Form Responses 1!N:N""),
      TRIM(IMPORTRANGE(""1kOrIKZmJfNUkgOVP3sI9BPjaaPA0_a4636oymQxTXg8"",""Form Responses 1!F:F""))=TRIM($B141)
    ),
    1
  ),
  "&amp;"""Not Found""
)
"),"https://drive.google.com/open?id=1u8Pc_sVkp4Mp0nBDRLZv1uoeIJQnUDIe")</f>
        <v>https://drive.google.com/open?id=1u8Pc_sVkp4Mp0nBDRLZv1uoeIJQnUDIe</v>
      </c>
      <c r="R141" s="290" t="str">
        <f>IFERROR(__xludf.DUMMYFUNCTION("IFERROR(
  INDEX(
    FILTER(
      IMPORTRANGE(""1kOrIKZmJfNUkgOVP3sI9BPjaaPA0_a4636oymQxTXg8"",""Form Responses 1!M:M""),
      TRIM(IMPORTRANGE(""1kOrIKZmJfNUkgOVP3sI9BPjaaPA0_a4636oymQxTXg8"",""Form Responses 1!F:F""))=TRIM($B141)
    ),
    1
  ),
  "&amp;"""Not Found""
)
"),"https://drive.google.com/open?id=1TG_IB3HJd7eOcKkcHZEyYZTyXEGX5TqA")</f>
        <v>https://drive.google.com/open?id=1TG_IB3HJd7eOcKkcHZEyYZTyXEGX5TqA</v>
      </c>
      <c r="S141" s="285"/>
      <c r="T141" s="290" t="str">
        <f>VLOOKUP($B141,'Master Tracker'!D:E,2,false)</f>
        <v>https://drive.google.com/open?id=1Sgpf8xDKbapEI2wgJw6fbjB8RgUJQ7IB</v>
      </c>
      <c r="U141" s="291" t="str">
        <f>VLOOKUP($B141,'Master Tracker'!$D:$T,4,FALSE)
</f>
        <v>https://drive.google.com/open?id=1aMQy2ueDGj0iVU60KPWZfqLP8aPxSPcE_Ql0XReKn58</v>
      </c>
      <c r="V141" s="284" t="str">
        <f>VLOOKUP($B141,'Master Tracker'!$D:$T,5,false)</f>
        <v>Not Found</v>
      </c>
      <c r="W141" s="292" t="str">
        <f>VLOOKUP($B141,'Master Tracker'!$D:$T,7,false)</f>
        <v>Not Found</v>
      </c>
      <c r="X141" s="290" t="str">
        <f>VLOOKUP($B141,'Master Tracker'!$D:$T,8,false)</f>
        <v>https://drive.google.com/file/d/1juxUoQRw28lmnVvPy-17WoZcfpXXPcP5/view?usp=drive_link</v>
      </c>
      <c r="Y141" s="292" t="str">
        <f>VLOOKUP($B141,'Master Tracker'!$D:$T,10,false)</f>
        <v>Not Found</v>
      </c>
      <c r="Z141" s="284" t="str">
        <f>VLOOKUP($B141,'Master Tracker'!$D:$T,11,false)</f>
        <v>Not Found</v>
      </c>
      <c r="AA141" s="292" t="str">
        <f>VLOOKUP($B141,'Master Tracker'!$D:$T,13,false)</f>
        <v>Not Found</v>
      </c>
      <c r="AB141" s="284" t="str">
        <f>VLOOKUP($B141,'Master Tracker'!$D:$T,14,false)</f>
        <v>Not Found</v>
      </c>
      <c r="AC141" s="292" t="str">
        <f>VLOOKUP($B141,'Master Tracker'!$D:$T,16,false)</f>
        <v>Not Found</v>
      </c>
      <c r="AD141" s="292" t="str">
        <f>VLOOKUP($B141,'Master Tracker'!$D:$T,17,false)</f>
        <v>Not Found</v>
      </c>
      <c r="AE141" s="292" t="str">
        <f>VLOOKUP($B141,'Master Tracker'!$D:$V,19,false)</f>
        <v>Not Found</v>
      </c>
      <c r="AF141" s="292">
        <f>IFERROR(__xludf.DUMMYFUNCTION("IFERROR(
  INDEX(
    FILTER(
      'Juma Recording forms'!$G:$G,
      TRIM('Juma Recording forms'!$F:$F) = TRIM($B141),
      'Juma Recording forms'!$AA:$AA = 1
    ),
    1
  ),
  ""Not Found""
)"),230.0)</f>
        <v>230</v>
      </c>
      <c r="AG141" s="292" t="str">
        <f>IFERROR(__xludf.DUMMYFUNCTION("IFERROR(
  INDEX(
    FILTER(
      'Juma Recording forms'!$G:$G,
      TRIM('Juma Recording forms'!$F:$F) = TRIM($B141),
      'Juma Recording forms'!$AA:$AA = 2
    ),
    1
  ),
  ""Not Found""
)"),"Not Found")</f>
        <v>Not Found</v>
      </c>
      <c r="AH141" s="292">
        <f>IFERROR(__xludf.DUMMYFUNCTION("IFERROR(
  INDEX(
    FILTER(
      'Juma Recording forms'!$G:$G,
      TRIM('Juma Recording forms'!$F:$F) = TRIM($B141),
      'Juma Recording forms'!$AA:$AA = 3
    ),
    1
  ),
  ""Not Found""
)"),242.0)</f>
        <v>242</v>
      </c>
      <c r="AI141" s="292" t="str">
        <f>IFERROR(__xludf.DUMMYFUNCTION("IFERROR(
  INDEX(
    FILTER(
      'Juma Recording forms'!$G:$G,
      TRIM('Juma Recording forms'!$F:$F) = TRIM($B141),
      'Juma Recording forms'!$AA:$AA = 4
    ),
    1
  ),
  ""Not Found""
)"),"Not Found")</f>
        <v>Not Found</v>
      </c>
      <c r="AJ141" s="292" t="str">
        <f>IFERROR(__xludf.DUMMYFUNCTION("IFERROR(
  INDEX(
    FILTER(
      'Juma Recording forms'!$G:$G,
      TRIM('Juma Recording forms'!$F:$F) = TRIM($B141),
      'Juma Recording forms'!$AA:$AA = 5
    ),
    1
  ),
  ""Not Found""
)"),"Not Found")</f>
        <v>Not Found</v>
      </c>
      <c r="AK141" s="292"/>
      <c r="AL1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1!$E:$E"")=$B141) *
        (IMPORTRANGE(""https://docs.google.com/spreadsheets/d/161aHT6vVT3SLneTKD19N5qVWtnj_jIT8CSsOmUVKmaA/e"&amp;"dit?gid=1761053510"",
          ""Haris_Form responses 1!$AQ:$AQ"")=1)
      ),
      1
    ),
    ""0""
  ),
  ""Form not found""
)
"),"0")</f>
        <v>0</v>
      </c>
      <c r="AM1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1!$E:$E"")=$B141) *
        (IMPORTRANGE(""https://docs.google.com/spreadsheets/d/161aHT6vVT3SLneTKD19N5qVWtnj_jIT8CSsOmUVKmaA/e"&amp;"dit?gid=1761053510"",
          ""Haris_Form responses 1!$AQ:$AQ"")=2)
      ),
      1
    ),
    ""0""
  ),
  ""Form not found""
)
"),"Form not found")</f>
        <v>Form not found</v>
      </c>
      <c r="AN1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1!$E:$E"")=$B141) *
        (IMPORTRANGE(""https://docs.google.com/spreadsheets/d/161aHT6vVT3SLneTKD19N5qVWtnj_jIT8CSsOmUVKmaA/e"&amp;"dit?gid=1761053510"",
          ""Haris_Form responses 1!$AQ:$AQ"")=3)
      ),
      1
    ),
    ""0""
  ),
  ""Form not found""
)
"),"0")</f>
        <v>0</v>
      </c>
      <c r="AO1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1!$E:$E"")=$B141) *
        (IMPORTRANGE(""https://docs.google.com/spreadsheets/d/161aHT6vVT3SLneTKD19N5qVWtnj_jIT8CSsOmUVKmaA/e"&amp;"dit?gid=1761053510"",
          ""Haris_Form responses 1!$AQ:$AQ"")=4)
      ),
      1
    ),
    ""0""
  ),
  ""Form not found""
)
"),"Form not found")</f>
        <v>Form not found</v>
      </c>
      <c r="AP1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1!$E:$E"")=$B141) *
        (IMPORTRANGE(""https://docs.google.com/spreadsheets/d/161aHT6vVT3SLneTKD19N5qVWtnj_jIT8CSsOmUVKmaA/e"&amp;"dit?gid=1761053510"",
          ""Haris_Form responses 1!$AQ:$AQ"")=5)
      ),
      1
    ),
    ""0""
  ),
  ""Form not found""
)
"),"Form not found")</f>
        <v>Form not found</v>
      </c>
      <c r="AQ1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1!$E:$E"")=$B141) *
        (IMPORTRANGE(""https://docs.google.com/spreadsheets/d/161aHT6vVT3SLneTKD19N5qVWtnj_jIT8CSsOmUVKmaA/e"&amp;"dit?gid=1761053510"",
          ""Haris_Form responses 1!$AQ:$AQ"")=6)
      ),
      1
    ),
    ""0""
  ),
  ""Form not found""
)
"),"Form not found")</f>
        <v>Form not found</v>
      </c>
      <c r="AR1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1!$E:$E"")=$B141) *
        (IMPORTRANGE(""https://docs.google.com/spreadsheets/d/161aHT6vVT3SLneTKD19N5qVWtnj_jIT8CSsOmUVKmaA/e"&amp;"dit?gid=1761053510"",
          ""Haris_Form responses 1!$AQ:$AQ"")=1)
      ),
      1
    ),
    ""0""
  ),
  ""Form not found""
)
"),"0")</f>
        <v>0</v>
      </c>
      <c r="AS1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1!$E:$E"")=$B141) *
        (IMPORTRANGE(""https://docs.google.com/spreadsheets/d/161aHT6vVT3SLneTKD19N5qVWtnj_jIT8CSsOmUVKmaA/e"&amp;"dit?gid=1761053510"",
          ""Haris_Form responses 1!$AQ:$AQ"")=2)
      ),
      1
    ),
    ""0""
  ),
  ""Form not found""
)
"),"Form not found")</f>
        <v>Form not found</v>
      </c>
      <c r="AT1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1!$E:$E"")=$B141) *
        (IMPORTRANGE(""https://docs.google.com/spreadsheets/d/161aHT6vVT3SLneTKD19N5qVWtnj_jIT8CSsOmUVKmaA/e"&amp;"dit?gid=1761053510"",
          ""Haris_Form responses 1!$AQ:$AQ"")=3)
      ),
      1
    ),
    ""0""
  ),
  ""Form not found""
)
"),"0")</f>
        <v>0</v>
      </c>
      <c r="AU1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1!$E:$E"")=$B141) *
        (IMPORTRANGE(""https://docs.google.com/spreadsheets/d/161aHT6vVT3SLneTKD19N5qVWtnj_jIT8CSsOmUVKmaA/e"&amp;"dit?gid=1761053510"",
          ""Haris_Form responses 1!$AQ:$AQ"")=4)
      ),
      1
    ),
    ""0""
  ),
  ""Form not found""
)
"),"Form not found")</f>
        <v>Form not found</v>
      </c>
      <c r="AV1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1!$E:$E"")=$B141) *
        (IMPORTRANGE(""https://docs.google.com/spreadsheets/d/161aHT6vVT3SLneTKD19N5qVWtnj_jIT8CSsOmUVKmaA/e"&amp;"dit?gid=1761053510"",
          ""Haris_Form responses 1!$AQ:$AQ"")=5)
      ),
      1
    ),
    ""0""
  ),
  ""Form not found""
)
"),"Form not found")</f>
        <v>Form not found</v>
      </c>
      <c r="AW1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1!$E:$E"")=$B141) *
        (IMPORTRANGE(""https://docs.google.com/spreadsheets/d/161aHT6vVT3SLneTKD19N5qVWtnj_jIT8CSsOmUVKmaA/e"&amp;"dit?gid=1761053510"",
          ""Haris_Form responses 1!$AQ:$AQ"")=6)
      ),
      1
    ),
    ""0""
  ),
  ""Form not found""
)
"),"Form not found")</f>
        <v>Form not found</v>
      </c>
      <c r="AX1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1!$E:$E"")=$B141) *
        (IMPORTRANGE(""https://docs.google.com/spreadsheets/d/161aHT6vVT3SLneTKD19N5qVWtnj_jIT8CSsOmUVKmaA/e"&amp;"dit?gid=1761053510"",
          ""Haris_Form responses 1!$AQ:$AQ"")=1)
      ),
      1
    ),
    ""0""
  ),
  ""Form not found""
)
"),"5")</f>
        <v>5</v>
      </c>
      <c r="AY1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1!$E:$E"")=$B141) *
        (IMPORTRANGE(""https://docs.google.com/spreadsheets/d/161aHT6vVT3SLneTKD19N5qVWtnj_jIT8CSsOmUVKmaA/e"&amp;"dit?gid=1761053510"",
          ""Haris_Form responses 1!$AQ:$AQ"")=2)
      ),
      1
    ),
    ""0""
  ),
  ""Form not found""
)
"),"Form not found")</f>
        <v>Form not found</v>
      </c>
      <c r="AZ1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1!$E:$E"")=$B141) *
        (IMPORTRANGE(""https://docs.google.com/spreadsheets/d/161aHT6vVT3SLneTKD19N5qVWtnj_jIT8CSsOmUVKmaA/e"&amp;"dit?gid=1761053510"",
          ""Haris_Form responses 1!$AQ:$AQ"")=3)
      ),
      1
    ),
    ""0""
  ),
  ""Form not found""
)
"),"0")</f>
        <v>0</v>
      </c>
      <c r="BA1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1!$E:$E"")=$B141) *
        (IMPORTRANGE(""https://docs.google.com/spreadsheets/d/161aHT6vVT3SLneTKD19N5qVWtnj_jIT8CSsOmUVKmaA/e"&amp;"dit?gid=1761053510"",
          ""Haris_Form responses 1!$AQ:$AQ"")=4)
      ),
      1
    ),
    ""0""
  ),
  ""Form not found""
)
"),"Form not found")</f>
        <v>Form not found</v>
      </c>
      <c r="BB1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1!$E:$E"")=$B141) *
        (IMPORTRANGE(""https://docs.google.com/spreadsheets/d/161aHT6vVT3SLneTKD19N5qVWtnj_jIT8CSsOmUVKmaA/e"&amp;"dit?gid=1761053510"",
          ""Haris_Form responses 1!$AQ:$AQ"")=5)
      ),
      1
    ),
    ""0""
  ),
  ""Form not found""
)
"),"Form not found")</f>
        <v>Form not found</v>
      </c>
      <c r="BC1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1!$E:$E"")=$B141) *
        (IMPORTRANGE(""https://docs.google.com/spreadsheets/d/161aHT6vVT3SLneTKD19N5qVWtnj_jIT8CSsOmUVKmaA/e"&amp;"dit?gid=1761053510"",
          ""Haris_Form responses 1!$AQ:$AQ"")=6)
      ),
      1
    ),
    ""0""
  ),
  ""Form not found""
)
"),"Form not found")</f>
        <v>Form not found</v>
      </c>
      <c r="BD141" s="293"/>
    </row>
    <row r="142">
      <c r="A142" s="283" t="str">
        <f>IFERROR(__xludf.DUMMYFUNCTION("VLOOKUP($B142,IMPORTRANGE(""https://docs.google.com/spreadsheets/d/1VNXDITjs75AcgdBSW27oL1VZH31udDprJSsBcE5xlp4/edit?gid=1551188038#gid=1551188038"", ""Sheet9!$B:$E""),2,false)"),"Multan")</f>
        <v>Multan</v>
      </c>
      <c r="B142" s="283" t="s">
        <v>1095</v>
      </c>
      <c r="C142" s="284" t="str">
        <f>IFERROR(__xludf.DUMMYFUNCTION("VLOOKUP(TRIM($B142), IMPORTRANGE(""https://docs.google.com/spreadsheets/d/1aSOrU4PTpuBZqfitKaH1Rfww6-YOiNCKoBpPl8XBHaw/edit?gid=0#gid=0"", ""sheet3!$B:$C""), 2, FALSE)
"),"Jamia Masjid DarkhanWali Multan")</f>
        <v>Jamia Masjid DarkhanWali Multan</v>
      </c>
      <c r="D142" s="284" t="str">
        <f>IFERROR(__xludf.DUMMYFUNCTION("IFERROR(
  INDEX(
    FILTER(
      IMPORTRANGE(""1aSOrU4PTpuBZqfitKaH1Rfww6-YOiNCKoBpPl8XBHaw/edit?gid=0#gid=0"",""Sheet1!G:G""),
      IMPORTRANGE(""1aSOrU4PTpuBZqfitKaH1Rfww6-YOiNCKoBpPl8XBHaw/edit?gid=0#gid=0"",""Sheet1!C:C"")=$B142
    ),
    1
  ),
"&amp;"  ""Not Found""
)"),"Women Secular No Info Share")</f>
        <v>Women Secular No Info Share</v>
      </c>
      <c r="E142" s="284" t="str">
        <f>VLOOKUP(B142,'Juma Recording forms'!A:E,5,false)</f>
        <v>Qadeemi Jamia Masjid Darkhana Wali </v>
      </c>
      <c r="F142" s="284" t="str">
        <f>IFERROR(__xludf.DUMMYFUNCTION("IFERROR(
  INDEX(
    FILTER(
      IMPORTRANGE(""1Cxrhp3-_-HS7v9uuqQliiIfrmMP4VaFoDNDWyUFy2J8/edit?gid=0#gid=0"",""Sheet1!Q:Q""),
      IMPORTRANGE(""1Cxrhp3-_-HS7v9uuqQliiIfrmMP4VaFoDNDWyUFy2J8/edit?gid=0#gid=0"",""Sheet1!K:K"")=$B142
    ),
    1
  ),
"&amp;"  ""Not Found""
)"),"Qari Muhammad Hashim")</f>
        <v>Qari Muhammad Hashim</v>
      </c>
      <c r="G142" s="284">
        <v>1910.0</v>
      </c>
      <c r="H142" s="284"/>
      <c r="I142" s="285" t="s">
        <v>197</v>
      </c>
      <c r="J142" s="286">
        <v>2.0</v>
      </c>
      <c r="K142" s="287" t="str">
        <f>VLOOKUP($B142,'Mosque Locations'!$A:$E,3,FALSE)
</f>
        <v>https://maps.google.com/?q=30.1905125,71.469755</v>
      </c>
      <c r="L142" s="286">
        <f>VLOOKUP($B142,'Mosque Locations'!$A:$E,4,FALSE)
</f>
        <v>30.19051</v>
      </c>
      <c r="M142" s="286">
        <f>VLOOKUP($B142,'Mosque Locations'!$A:$E,5,false)</f>
        <v>71.46976</v>
      </c>
      <c r="N142" s="288"/>
      <c r="O142" s="288"/>
      <c r="P142" s="288"/>
      <c r="Q142" s="289" t="str">
        <f>IFERROR(__xludf.DUMMYFUNCTION("IFERROR(
  INDEX(
    FILTER(
      IMPORTRANGE(""1kOrIKZmJfNUkgOVP3sI9BPjaaPA0_a4636oymQxTXg8"",""Form Responses 1!N:N""),
      TRIM(IMPORTRANGE(""1kOrIKZmJfNUkgOVP3sI9BPjaaPA0_a4636oymQxTXg8"",""Form Responses 1!F:F""))=TRIM($B142)
    ),
    1
  ),
  "&amp;"""Not Found""
)
"),"https://drive.google.com/open?id=1WTWBNblOEX8jWr0Xc-Mjn1VCiOGpxdvg")</f>
        <v>https://drive.google.com/open?id=1WTWBNblOEX8jWr0Xc-Mjn1VCiOGpxdvg</v>
      </c>
      <c r="R142" s="289" t="str">
        <f>IFERROR(__xludf.DUMMYFUNCTION("IFERROR(
  INDEX(
    FILTER(
      IMPORTRANGE(""1kOrIKZmJfNUkgOVP3sI9BPjaaPA0_a4636oymQxTXg8"",""Form Responses 1!M:M""),
      TRIM(IMPORTRANGE(""1kOrIKZmJfNUkgOVP3sI9BPjaaPA0_a4636oymQxTXg8"",""Form Responses 1!F:F""))=TRIM($B142)
    ),
    1
  ),
  "&amp;"""Not Found""
)
"),"https://drive.google.com/open?id=1EyDdBEW6YDP89LQqx_AQ-qQc7sBLfAk8")</f>
        <v>https://drive.google.com/open?id=1EyDdBEW6YDP89LQqx_AQ-qQc7sBLfAk8</v>
      </c>
      <c r="S142" s="285"/>
      <c r="T142" s="284" t="str">
        <f>VLOOKUP($B142,'Master Tracker'!D:E,2,false)</f>
        <v>The enumerator didn't reached in the mosque, so I contacted the Imam directly and did the rating.</v>
      </c>
      <c r="U142" s="292" t="str">
        <f>VLOOKUP($B142,'Master Tracker'!$D:$T,4,FALSE)
</f>
        <v>Not Found</v>
      </c>
      <c r="V142" s="290" t="str">
        <f>VLOOKUP($B142,'Master Tracker'!$D:$T,5,false)</f>
        <v>https://drive.google.com/open?id=1jy7Veuai2R5HdztGFBjj4V1ixFoxGh5b</v>
      </c>
      <c r="W142" s="291" t="str">
        <f>VLOOKUP($B142,'Master Tracker'!$D:$T,7,false)</f>
        <v>https://drive.google.com/open?id=18kZt1DmIbSqB-LmkL79N9rEAYlOeYfpR</v>
      </c>
      <c r="X142" s="290" t="str">
        <f>VLOOKUP($B142,'Master Tracker'!$D:$T,8,false)</f>
        <v>https://drive.google.com/open?id=1LNNCHyg7wGWSZqLJ3_Bm40mtqgYCL1WJ</v>
      </c>
      <c r="Y142" s="291" t="str">
        <f>VLOOKUP($B142,'Master Tracker'!$D:$T,10,false)</f>
        <v>https://drive.google.com/open?id=1t6KOLdxrxKQzkVKgqX9WpSkD4ywwJ3ZARnuL5A65inw</v>
      </c>
      <c r="Z142" s="284" t="str">
        <f>VLOOKUP($B142,'Master Tracker'!$D:$T,11,false)</f>
        <v>Not Found</v>
      </c>
      <c r="AA142" s="292" t="str">
        <f>VLOOKUP($B142,'Master Tracker'!$D:$T,13,false)</f>
        <v>Not Found</v>
      </c>
      <c r="AB142" s="284" t="str">
        <f>VLOOKUP($B142,'Master Tracker'!$D:$T,14,false)</f>
        <v>Not Found</v>
      </c>
      <c r="AC142" s="292" t="str">
        <f>VLOOKUP($B142,'Master Tracker'!$D:$T,16,false)</f>
        <v>Not Found</v>
      </c>
      <c r="AD142" s="292" t="str">
        <f>VLOOKUP($B142,'Master Tracker'!$D:$T,17,false)</f>
        <v>Not Found</v>
      </c>
      <c r="AE142" s="292" t="str">
        <f>VLOOKUP($B142,'Master Tracker'!$D:$V,19,false)</f>
        <v>Not Found</v>
      </c>
      <c r="AF142" s="292">
        <v>82.0</v>
      </c>
      <c r="AG142" s="292">
        <f>IFERROR(__xludf.DUMMYFUNCTION("IFERROR(
  INDEX(
    FILTER(
      'Juma Recording forms'!$G:$G,
      TRIM('Juma Recording forms'!$F:$F) = TRIM($B142),
      'Juma Recording forms'!$AA:$AA = 2
    ),
    1
  ),
  ""Not Found""
)"),72.0)</f>
        <v>72</v>
      </c>
      <c r="AH142" s="292">
        <f>IFERROR(__xludf.DUMMYFUNCTION("IFERROR(
  INDEX(
    FILTER(
      'Juma Recording forms'!$G:$G,
      TRIM('Juma Recording forms'!$F:$F) = TRIM($B142),
      'Juma Recording forms'!$AA:$AA = 3
    ),
    1
  ),
  ""Not Found""
)"),77.0)</f>
        <v>77</v>
      </c>
      <c r="AI142" s="292" t="str">
        <f>IFERROR(__xludf.DUMMYFUNCTION("IFERROR(
  INDEX(
    FILTER(
      'Juma Recording forms'!$G:$G,
      TRIM('Juma Recording forms'!$F:$F) = TRIM($B142),
      'Juma Recording forms'!$AA:$AA = 4
    ),
    1
  ),
  ""Not Found""
)"),"Not Found")</f>
        <v>Not Found</v>
      </c>
      <c r="AJ142" s="292" t="str">
        <f>IFERROR(__xludf.DUMMYFUNCTION("IFERROR(
  INDEX(
    FILTER(
      'Juma Recording forms'!$G:$G,
      TRIM('Juma Recording forms'!$F:$F) = TRIM($B142),
      'Juma Recording forms'!$AA:$AA = 5
    ),
    1
  ),
  ""Not Found""
)"),"Not Found")</f>
        <v>Not Found</v>
      </c>
      <c r="AK142" s="292" t="str">
        <f>IFERROR(__xludf.DUMMYFUNCTION("IFERROR(
  INDEX(
    FILTER(
      'Juma Recording forms'!$G:$G,
      TRIM('Juma Recording forms'!$F:$F) = TRIM($B142),
      'Juma Recording forms'!$AA:$AA = 6
    ),
    1
  ),
  ""Not Found""
)"),"Not Found")</f>
        <v>Not Found</v>
      </c>
      <c r="AL1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1!$E:$E"")=$B142) *
        (IMPORTRANGE(""https://docs.google.com/spreadsheets/d/161aHT6vVT3SLneTKD19N5qVWtnj_jIT8CSsOmUVKmaA/e"&amp;"dit?gid=1761053510"",
          ""Haris_Form responses 1!$AQ:$AQ"")=1)
      ),
      1
    ),
    ""0""
  ),
  ""Form not found""
)
"),"Form not found")</f>
        <v>Form not found</v>
      </c>
      <c r="AM1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1!$E:$E"")=$B142) *
        (IMPORTRANGE(""https://docs.google.com/spreadsheets/d/161aHT6vVT3SLneTKD19N5qVWtnj_jIT8CSsOmUVKmaA/e"&amp;"dit?gid=1761053510"",
          ""Haris_Form responses 1!$AQ:$AQ"")=2)
      ),
      1
    ),
    ""0""
  ),
  ""Form not found""
)
"),"10")</f>
        <v>10</v>
      </c>
      <c r="AN1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1!$E:$E"")=$B142) *
        (IMPORTRANGE(""https://docs.google.com/spreadsheets/d/161aHT6vVT3SLneTKD19N5qVWtnj_jIT8CSsOmUVKmaA/e"&amp;"dit?gid=1761053510"",
          ""Haris_Form responses 1!$AQ:$AQ"")=3)
      ),
      1
    ),
    ""0""
  ),
  ""Form not found""
)
"),"0")</f>
        <v>0</v>
      </c>
      <c r="AO1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1!$E:$E"")=$B142) *
        (IMPORTRANGE(""https://docs.google.com/spreadsheets/d/161aHT6vVT3SLneTKD19N5qVWtnj_jIT8CSsOmUVKmaA/e"&amp;"dit?gid=1761053510"",
          ""Haris_Form responses 1!$AQ:$AQ"")=4)
      ),
      1
    ),
    ""0""
  ),
  ""Form not found""
)
"),"Form not found")</f>
        <v>Form not found</v>
      </c>
      <c r="AP1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1!$E:$E"")=$B142) *
        (IMPORTRANGE(""https://docs.google.com/spreadsheets/d/161aHT6vVT3SLneTKD19N5qVWtnj_jIT8CSsOmUVKmaA/e"&amp;"dit?gid=1761053510"",
          ""Haris_Form responses 1!$AQ:$AQ"")=5)
      ),
      1
    ),
    ""0""
  ),
  ""Form not found""
)
"),"Form not found")</f>
        <v>Form not found</v>
      </c>
      <c r="AQ1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1!$E:$E"")=$B142) *
        (IMPORTRANGE(""https://docs.google.com/spreadsheets/d/161aHT6vVT3SLneTKD19N5qVWtnj_jIT8CSsOmUVKmaA/e"&amp;"dit?gid=1761053510"",
          ""Haris_Form responses 1!$AQ:$AQ"")=6)
      ),
      1
    ),
    ""0""
  ),
  ""Form not found""
)
"),"Form not found")</f>
        <v>Form not found</v>
      </c>
      <c r="AR1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1!$E:$E"")=$B142) *
        (IMPORTRANGE(""https://docs.google.com/spreadsheets/d/161aHT6vVT3SLneTKD19N5qVWtnj_jIT8CSsOmUVKmaA/e"&amp;"dit?gid=1761053510"",
          ""Haris_Form responses 1!$AQ:$AQ"")=1)
      ),
      1
    ),
    ""0""
  ),
  ""Form not found""
)
"),"Form not found")</f>
        <v>Form not found</v>
      </c>
      <c r="AS1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1!$E:$E"")=$B142) *
        (IMPORTRANGE(""https://docs.google.com/spreadsheets/d/161aHT6vVT3SLneTKD19N5qVWtnj_jIT8CSsOmUVKmaA/e"&amp;"dit?gid=1761053510"",
          ""Haris_Form responses 1!$AQ:$AQ"")=2)
      ),
      1
    ),
    ""0""
  ),
  ""Form not found""
)
"),"0")</f>
        <v>0</v>
      </c>
      <c r="AT1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1!$E:$E"")=$B142) *
        (IMPORTRANGE(""https://docs.google.com/spreadsheets/d/161aHT6vVT3SLneTKD19N5qVWtnj_jIT8CSsOmUVKmaA/e"&amp;"dit?gid=1761053510"",
          ""Haris_Form responses 1!$AQ:$AQ"")=3)
      ),
      1
    ),
    ""0""
  ),
  ""Form not found""
)
"),"0")</f>
        <v>0</v>
      </c>
      <c r="AU1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1!$E:$E"")=$B142) *
        (IMPORTRANGE(""https://docs.google.com/spreadsheets/d/161aHT6vVT3SLneTKD19N5qVWtnj_jIT8CSsOmUVKmaA/e"&amp;"dit?gid=1761053510"",
          ""Haris_Form responses 1!$AQ:$AQ"")=4)
      ),
      1
    ),
    ""0""
  ),
  ""Form not found""
)
"),"Form not found")</f>
        <v>Form not found</v>
      </c>
      <c r="AV1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1!$E:$E"")=$B142) *
        (IMPORTRANGE(""https://docs.google.com/spreadsheets/d/161aHT6vVT3SLneTKD19N5qVWtnj_jIT8CSsOmUVKmaA/e"&amp;"dit?gid=1761053510"",
          ""Haris_Form responses 1!$AQ:$AQ"")=5)
      ),
      1
    ),
    ""0""
  ),
  ""Form not found""
)
"),"Form not found")</f>
        <v>Form not found</v>
      </c>
      <c r="AW1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1!$E:$E"")=$B142) *
        (IMPORTRANGE(""https://docs.google.com/spreadsheets/d/161aHT6vVT3SLneTKD19N5qVWtnj_jIT8CSsOmUVKmaA/e"&amp;"dit?gid=1761053510"",
          ""Haris_Form responses 1!$AQ:$AQ"")=6)
      ),
      1
    ),
    ""0""
  ),
  ""Form not found""
)
"),"Form not found")</f>
        <v>Form not found</v>
      </c>
      <c r="AX1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1!$E:$E"")=$B142) *
        (IMPORTRANGE(""https://docs.google.com/spreadsheets/d/161aHT6vVT3SLneTKD19N5qVWtnj_jIT8CSsOmUVKmaA/e"&amp;"dit?gid=1761053510"",
          ""Haris_Form responses 1!$AQ:$AQ"")=1)
      ),
      1
    ),
    ""0""
  ),
  ""Form not found""
)
"),"Form not found")</f>
        <v>Form not found</v>
      </c>
      <c r="AY1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1!$E:$E"")=$B142) *
        (IMPORTRANGE(""https://docs.google.com/spreadsheets/d/161aHT6vVT3SLneTKD19N5qVWtnj_jIT8CSsOmUVKmaA/e"&amp;"dit?gid=1761053510"",
          ""Haris_Form responses 1!$AQ:$AQ"")=2)
      ),
      1
    ),
    ""0""
  ),
  ""Form not found""
)
"),"10")</f>
        <v>10</v>
      </c>
      <c r="AZ1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1!$E:$E"")=$B142) *
        (IMPORTRANGE(""https://docs.google.com/spreadsheets/d/161aHT6vVT3SLneTKD19N5qVWtnj_jIT8CSsOmUVKmaA/e"&amp;"dit?gid=1761053510"",
          ""Haris_Form responses 1!$AQ:$AQ"")=3)
      ),
      1
    ),
    ""0""
  ),
  ""Form not found""
)
"),"0")</f>
        <v>0</v>
      </c>
      <c r="BA1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1!$E:$E"")=$B142) *
        (IMPORTRANGE(""https://docs.google.com/spreadsheets/d/161aHT6vVT3SLneTKD19N5qVWtnj_jIT8CSsOmUVKmaA/e"&amp;"dit?gid=1761053510"",
          ""Haris_Form responses 1!$AQ:$AQ"")=4)
      ),
      1
    ),
    ""0""
  ),
  ""Form not found""
)
"),"Form not found")</f>
        <v>Form not found</v>
      </c>
      <c r="BB1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1!$E:$E"")=$B142) *
        (IMPORTRANGE(""https://docs.google.com/spreadsheets/d/161aHT6vVT3SLneTKD19N5qVWtnj_jIT8CSsOmUVKmaA/e"&amp;"dit?gid=1761053510"",
          ""Haris_Form responses 1!$AQ:$AQ"")=5)
      ),
      1
    ),
    ""0""
  ),
  ""Form not found""
)
"),"Form not found")</f>
        <v>Form not found</v>
      </c>
      <c r="BC1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1!$E:$E"")=$B142) *
        (IMPORTRANGE(""https://docs.google.com/spreadsheets/d/161aHT6vVT3SLneTKD19N5qVWtnj_jIT8CSsOmUVKmaA/e"&amp;"dit?gid=1761053510"",
          ""Haris_Form responses 1!$AQ:$AQ"")=6)
      ),
      1
    ),
    ""0""
  ),
  ""Form not found""
)
"),"Form not found")</f>
        <v>Form not found</v>
      </c>
      <c r="BD142" s="293"/>
    </row>
    <row r="143">
      <c r="A143" s="283" t="str">
        <f>IFERROR(__xludf.DUMMYFUNCTION("VLOOKUP($B143,IMPORTRANGE(""https://docs.google.com/spreadsheets/d/1VNXDITjs75AcgdBSW27oL1VZH31udDprJSsBcE5xlp4/edit?gid=1551188038#gid=1551188038"", ""Sheet9!$B:$E""),2,false)"),"Multan")</f>
        <v>Multan</v>
      </c>
      <c r="B143" s="283" t="s">
        <v>4591</v>
      </c>
      <c r="C143" s="284" t="str">
        <f>IFERROR(__xludf.DUMMYFUNCTION("VLOOKUP(TRIM($B143), IMPORTRANGE(""https://docs.google.com/spreadsheets/d/1aSOrU4PTpuBZqfitKaH1Rfww6-YOiNCKoBpPl8XBHaw/edit?gid=0#gid=0"", ""sheet3!$B:$C""), 2, FALSE)
"),"Jamia Masjid Jalal Gilghast Coloney Multan")</f>
        <v>Jamia Masjid Jalal Gilghast Coloney Multan</v>
      </c>
      <c r="D143" s="284" t="str">
        <f>IFERROR(__xludf.DUMMYFUNCTION("IFERROR(
  INDEX(
    FILTER(
      IMPORTRANGE(""1aSOrU4PTpuBZqfitKaH1Rfww6-YOiNCKoBpPl8XBHaw/edit?gid=0#gid=0"",""Sheet1!G:G""),
      IMPORTRANGE(""1aSOrU4PTpuBZqfitKaH1Rfww6-YOiNCKoBpPl8XBHaw/edit?gid=0#gid=0"",""Sheet1!C:C"")=$B143
    ),
    1
  ),
"&amp;"  ""Not Found""
)"),"Control")</f>
        <v>Control</v>
      </c>
      <c r="E143" s="284" t="str">
        <f>VLOOKUP(B143,'Juma Recording forms'!A:E,5,false)</f>
        <v>Markzi jamia jalal masjid</v>
      </c>
      <c r="F143" s="284" t="str">
        <f>IFERROR(__xludf.DUMMYFUNCTION("IFERROR(
  INDEX(
    FILTER(
      IMPORTRANGE(""1Cxrhp3-_-HS7v9uuqQliiIfrmMP4VaFoDNDWyUFy2J8/edit?gid=0#gid=0"",""Sheet1!Q:Q""),
      IMPORTRANGE(""1Cxrhp3-_-HS7v9uuqQliiIfrmMP4VaFoDNDWyUFy2J8/edit?gid=0#gid=0"",""Sheet1!K:K"")=$B143
    ),
    1
  ),
"&amp;"  ""Not Found""
)"),"moulana m saeed")</f>
        <v>moulana m saeed</v>
      </c>
      <c r="G143" s="284">
        <v>1930.0</v>
      </c>
      <c r="H143" s="284"/>
      <c r="I143" s="285" t="s">
        <v>197</v>
      </c>
      <c r="J143" s="286">
        <v>2.0</v>
      </c>
      <c r="K143" s="287" t="str">
        <f>VLOOKUP($B143,'Mosque Locations'!$A:$E,3,FALSE)
</f>
        <v>https://www.google.com/maps/place/30%C2%B013'40.5%22N+71%C2%B028'32.0%22E/@30.2279235,71.4729724,17z/data=!3m1!4b1!4m4!3m3!8m2!3d30.2279235!4d71.4755473?entry=ttu&amp;g_ep=EgoyMDI1MTExNy4wIKXMDSoASAFQAw%3D%3D</v>
      </c>
      <c r="L143" s="286">
        <f>VLOOKUP($B143,'Mosque Locations'!$A:$E,4,FALSE)
</f>
        <v>30.22792</v>
      </c>
      <c r="M143" s="286">
        <f>VLOOKUP($B143,'Mosque Locations'!$A:$E,5,false)</f>
        <v>71.47555</v>
      </c>
      <c r="N143" s="288"/>
      <c r="O143" s="288"/>
      <c r="P143" s="288"/>
      <c r="Q143" s="289" t="str">
        <f>IFERROR(__xludf.DUMMYFUNCTION("IFERROR(
  INDEX(
    FILTER(
      IMPORTRANGE(""1kOrIKZmJfNUkgOVP3sI9BPjaaPA0_a4636oymQxTXg8"",""Form Responses 1!N:N""),
      TRIM(IMPORTRANGE(""1kOrIKZmJfNUkgOVP3sI9BPjaaPA0_a4636oymQxTXg8"",""Form Responses 1!F:F""))=TRIM($B143)
    ),
    1
  ),
  "&amp;"""Not Found""
)
"),"https://drive.google.com/open?id=1uILVb0RartIc9KB9f9QLD25mNaiQ5Ca3")</f>
        <v>https://drive.google.com/open?id=1uILVb0RartIc9KB9f9QLD25mNaiQ5Ca3</v>
      </c>
      <c r="R143" s="290" t="str">
        <f>IFERROR(__xludf.DUMMYFUNCTION("IFERROR(
  INDEX(
    FILTER(
      IMPORTRANGE(""1kOrIKZmJfNUkgOVP3sI9BPjaaPA0_a4636oymQxTXg8"",""Form Responses 1!M:M""),
      TRIM(IMPORTRANGE(""1kOrIKZmJfNUkgOVP3sI9BPjaaPA0_a4636oymQxTXg8"",""Form Responses 1!F:F""))=TRIM($B143)
    ),
    1
  ),
  "&amp;"""Not Found""
)
"),"https://drive.google.com/open?id=1lUzs3z6r8bCilWpmJKPQpjr0ckFi_6dX")</f>
        <v>https://drive.google.com/open?id=1lUzs3z6r8bCilWpmJKPQpjr0ckFi_6dX</v>
      </c>
      <c r="S143" s="285"/>
      <c r="T143" s="290" t="str">
        <f>VLOOKUP($B143,'Master Tracker'!D:E,2,false)</f>
        <v>https://drive.google.com/open?id=1RD0G-VbOAoQ2XG06v4TX6uy7yV3tif-S</v>
      </c>
      <c r="U143" s="291" t="str">
        <f>VLOOKUP($B143,'Master Tracker'!$D:$T,4,FALSE)
</f>
        <v>https://drive.google.com/open?id=1Fm2ZmyXTBR0QCJZOErIRYZjOSIS2uKiIzlyBt7LM0ww</v>
      </c>
      <c r="V143" s="284" t="str">
        <f>VLOOKUP($B143,'Master Tracker'!$D:$T,5,false)</f>
        <v>Not Found</v>
      </c>
      <c r="W143" s="292" t="str">
        <f>VLOOKUP($B143,'Master Tracker'!$D:$T,7,false)</f>
        <v>Not Found</v>
      </c>
      <c r="X143" s="290" t="str">
        <f>VLOOKUP($B143,'Master Tracker'!$D:$T,8,false)</f>
        <v>https://drive.google.com/open?id=1NxyLi6GUihpo7YpBs0Vcugxq6Su0f4Pr</v>
      </c>
      <c r="Y143" s="291" t="str">
        <f>VLOOKUP($B143,'Master Tracker'!$D:$T,10,false)</f>
        <v>https://drive.google.com/open?id=1HdkmToVJojPd2kAP4s_mUIvo2xFdkcQL</v>
      </c>
      <c r="Z143" s="284" t="str">
        <f>VLOOKUP($B143,'Master Tracker'!$D:$T,11,false)</f>
        <v>Not Found</v>
      </c>
      <c r="AA143" s="292" t="str">
        <f>VLOOKUP($B143,'Master Tracker'!$D:$T,13,false)</f>
        <v>Not Found</v>
      </c>
      <c r="AB143" s="284" t="str">
        <f>VLOOKUP($B143,'Master Tracker'!$D:$T,14,false)</f>
        <v>Not Found</v>
      </c>
      <c r="AC143" s="292" t="str">
        <f>VLOOKUP($B143,'Master Tracker'!$D:$T,16,false)</f>
        <v>Not Found</v>
      </c>
      <c r="AD143" s="292" t="str">
        <f>VLOOKUP($B143,'Master Tracker'!$D:$T,17,false)</f>
        <v>Not Found</v>
      </c>
      <c r="AE143" s="292" t="str">
        <f>VLOOKUP($B143,'Master Tracker'!$D:$V,19,false)</f>
        <v>Not Found</v>
      </c>
      <c r="AF143" s="292">
        <f>IFERROR(__xludf.DUMMYFUNCTION("IFERROR(
  INDEX(
    FILTER(
      'Juma Recording forms'!$G:$G,
      TRIM('Juma Recording forms'!$F:$F) = TRIM($B143),
      'Juma Recording forms'!$AA:$AA = 1
    ),
    1
  ),
  ""Not Found""
)"),415.0)</f>
        <v>415</v>
      </c>
      <c r="AG143" s="292" t="str">
        <f>IFERROR(__xludf.DUMMYFUNCTION("IFERROR(
  INDEX(
    FILTER(
      'Juma Recording forms'!$G:$G,
      TRIM('Juma Recording forms'!$F:$F) = TRIM($B143),
      'Juma Recording forms'!$AA:$AA = 2
    ),
    1
  ),
  ""Not Found""
)"),"Not Found")</f>
        <v>Not Found</v>
      </c>
      <c r="AH143" s="292">
        <f>IFERROR(__xludf.DUMMYFUNCTION("IFERROR(
  INDEX(
    FILTER(
      'Juma Recording forms'!$G:$G,
      TRIM('Juma Recording forms'!$F:$F) = TRIM($B143),
      'Juma Recording forms'!$AA:$AA = 3
    ),
    1
  ),
  ""Not Found""
)"),397.0)</f>
        <v>397</v>
      </c>
      <c r="AI143" s="292" t="str">
        <f>IFERROR(__xludf.DUMMYFUNCTION("IFERROR(
  INDEX(
    FILTER(
      'Juma Recording forms'!$G:$G,
      TRIM('Juma Recording forms'!$F:$F) = TRIM($B143),
      'Juma Recording forms'!$AA:$AA = 4
    ),
    1
  ),
  ""Not Found""
)"),"Not Found")</f>
        <v>Not Found</v>
      </c>
      <c r="AJ143" s="292" t="str">
        <f>IFERROR(__xludf.DUMMYFUNCTION("IFERROR(
  INDEX(
    FILTER(
      'Juma Recording forms'!$G:$G,
      TRIM('Juma Recording forms'!$F:$F) = TRIM($B143),
      'Juma Recording forms'!$AA:$AA = 5
    ),
    1
  ),
  ""Not Found""
)"),"Not Found")</f>
        <v>Not Found</v>
      </c>
      <c r="AK143" s="292"/>
      <c r="AL1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1!$E:$E"")=$B143) *
        (IMPORTRANGE(""https://docs.google.com/spreadsheets/d/161aHT6vVT3SLneTKD19N5qVWtnj_jIT8CSsOmUVKmaA/e"&amp;"dit?gid=1761053510"",
          ""Haris_Form responses 1!$AQ:$AQ"")=1)
      ),
      1
    ),
    ""0""
  ),
  ""Form not found""
)
"),"0")</f>
        <v>0</v>
      </c>
      <c r="AM1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1!$E:$E"")=$B143) *
        (IMPORTRANGE(""https://docs.google.com/spreadsheets/d/161aHT6vVT3SLneTKD19N5qVWtnj_jIT8CSsOmUVKmaA/e"&amp;"dit?gid=1761053510"",
          ""Haris_Form responses 1!$AQ:$AQ"")=2)
      ),
      1
    ),
    ""0""
  ),
  ""Form not found""
)
"),"Form not found")</f>
        <v>Form not found</v>
      </c>
      <c r="AN1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1!$E:$E"")=$B143) *
        (IMPORTRANGE(""https://docs.google.com/spreadsheets/d/161aHT6vVT3SLneTKD19N5qVWtnj_jIT8CSsOmUVKmaA/e"&amp;"dit?gid=1761053510"",
          ""Haris_Form responses 1!$AQ:$AQ"")=3)
      ),
      1
    ),
    ""0""
  ),
  ""Form not found""
)
"),"0")</f>
        <v>0</v>
      </c>
      <c r="AO1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1!$E:$E"")=$B143) *
        (IMPORTRANGE(""https://docs.google.com/spreadsheets/d/161aHT6vVT3SLneTKD19N5qVWtnj_jIT8CSsOmUVKmaA/e"&amp;"dit?gid=1761053510"",
          ""Haris_Form responses 1!$AQ:$AQ"")=4)
      ),
      1
    ),
    ""0""
  ),
  ""Form not found""
)
"),"Form not found")</f>
        <v>Form not found</v>
      </c>
      <c r="AP1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1!$E:$E"")=$B143) *
        (IMPORTRANGE(""https://docs.google.com/spreadsheets/d/161aHT6vVT3SLneTKD19N5qVWtnj_jIT8CSsOmUVKmaA/e"&amp;"dit?gid=1761053510"",
          ""Haris_Form responses 1!$AQ:$AQ"")=5)
      ),
      1
    ),
    ""0""
  ),
  ""Form not found""
)
"),"Form not found")</f>
        <v>Form not found</v>
      </c>
      <c r="AQ1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1!$E:$E"")=$B143) *
        (IMPORTRANGE(""https://docs.google.com/spreadsheets/d/161aHT6vVT3SLneTKD19N5qVWtnj_jIT8CSsOmUVKmaA/e"&amp;"dit?gid=1761053510"",
          ""Haris_Form responses 1!$AQ:$AQ"")=6)
      ),
      1
    ),
    ""0""
  ),
  ""Form not found""
)
"),"Form not found")</f>
        <v>Form not found</v>
      </c>
      <c r="AR1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1!$E:$E"")=$B143) *
        (IMPORTRANGE(""https://docs.google.com/spreadsheets/d/161aHT6vVT3SLneTKD19N5qVWtnj_jIT8CSsOmUVKmaA/e"&amp;"dit?gid=1761053510"",
          ""Haris_Form responses 1!$AQ:$AQ"")=1)
      ),
      1
    ),
    ""0""
  ),
  ""Form not found""
)
"),"0")</f>
        <v>0</v>
      </c>
      <c r="AS1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1!$E:$E"")=$B143) *
        (IMPORTRANGE(""https://docs.google.com/spreadsheets/d/161aHT6vVT3SLneTKD19N5qVWtnj_jIT8CSsOmUVKmaA/e"&amp;"dit?gid=1761053510"",
          ""Haris_Form responses 1!$AQ:$AQ"")=2)
      ),
      1
    ),
    ""0""
  ),
  ""Form not found""
)
"),"Form not found")</f>
        <v>Form not found</v>
      </c>
      <c r="AT1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1!$E:$E"")=$B143) *
        (IMPORTRANGE(""https://docs.google.com/spreadsheets/d/161aHT6vVT3SLneTKD19N5qVWtnj_jIT8CSsOmUVKmaA/e"&amp;"dit?gid=1761053510"",
          ""Haris_Form responses 1!$AQ:$AQ"")=3)
      ),
      1
    ),
    ""0""
  ),
  ""Form not found""
)
"),"0")</f>
        <v>0</v>
      </c>
      <c r="AU1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1!$E:$E"")=$B143) *
        (IMPORTRANGE(""https://docs.google.com/spreadsheets/d/161aHT6vVT3SLneTKD19N5qVWtnj_jIT8CSsOmUVKmaA/e"&amp;"dit?gid=1761053510"",
          ""Haris_Form responses 1!$AQ:$AQ"")=4)
      ),
      1
    ),
    ""0""
  ),
  ""Form not found""
)
"),"Form not found")</f>
        <v>Form not found</v>
      </c>
      <c r="AV1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1!$E:$E"")=$B143) *
        (IMPORTRANGE(""https://docs.google.com/spreadsheets/d/161aHT6vVT3SLneTKD19N5qVWtnj_jIT8CSsOmUVKmaA/e"&amp;"dit?gid=1761053510"",
          ""Haris_Form responses 1!$AQ:$AQ"")=5)
      ),
      1
    ),
    ""0""
  ),
  ""Form not found""
)
"),"Form not found")</f>
        <v>Form not found</v>
      </c>
      <c r="AW1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1!$E:$E"")=$B143) *
        (IMPORTRANGE(""https://docs.google.com/spreadsheets/d/161aHT6vVT3SLneTKD19N5qVWtnj_jIT8CSsOmUVKmaA/e"&amp;"dit?gid=1761053510"",
          ""Haris_Form responses 1!$AQ:$AQ"")=6)
      ),
      1
    ),
    ""0""
  ),
  ""Form not found""
)
"),"Form not found")</f>
        <v>Form not found</v>
      </c>
      <c r="AX1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1!$E:$E"")=$B143) *
        (IMPORTRANGE(""https://docs.google.com/spreadsheets/d/161aHT6vVT3SLneTKD19N5qVWtnj_jIT8CSsOmUVKmaA/e"&amp;"dit?gid=1761053510"",
          ""Haris_Form responses 1!$AQ:$AQ"")=1)
      ),
      1
    ),
    ""0""
  ),
  ""Form not found""
)
"),"0")</f>
        <v>0</v>
      </c>
      <c r="AY1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1!$E:$E"")=$B143) *
        (IMPORTRANGE(""https://docs.google.com/spreadsheets/d/161aHT6vVT3SLneTKD19N5qVWtnj_jIT8CSsOmUVKmaA/e"&amp;"dit?gid=1761053510"",
          ""Haris_Form responses 1!$AQ:$AQ"")=2)
      ),
      1
    ),
    ""0""
  ),
  ""Form not found""
)
"),"Form not found")</f>
        <v>Form not found</v>
      </c>
      <c r="AZ1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1!$E:$E"")=$B143) *
        (IMPORTRANGE(""https://docs.google.com/spreadsheets/d/161aHT6vVT3SLneTKD19N5qVWtnj_jIT8CSsOmUVKmaA/e"&amp;"dit?gid=1761053510"",
          ""Haris_Form responses 1!$AQ:$AQ"")=3)
      ),
      1
    ),
    ""0""
  ),
  ""Form not found""
)
"),"0")</f>
        <v>0</v>
      </c>
      <c r="BA1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1!$E:$E"")=$B143) *
        (IMPORTRANGE(""https://docs.google.com/spreadsheets/d/161aHT6vVT3SLneTKD19N5qVWtnj_jIT8CSsOmUVKmaA/e"&amp;"dit?gid=1761053510"",
          ""Haris_Form responses 1!$AQ:$AQ"")=4)
      ),
      1
    ),
    ""0""
  ),
  ""Form not found""
)
"),"Form not found")</f>
        <v>Form not found</v>
      </c>
      <c r="BB1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1!$E:$E"")=$B143) *
        (IMPORTRANGE(""https://docs.google.com/spreadsheets/d/161aHT6vVT3SLneTKD19N5qVWtnj_jIT8CSsOmUVKmaA/e"&amp;"dit?gid=1761053510"",
          ""Haris_Form responses 1!$AQ:$AQ"")=5)
      ),
      1
    ),
    ""0""
  ),
  ""Form not found""
)
"),"Form not found")</f>
        <v>Form not found</v>
      </c>
      <c r="BC1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1!$E:$E"")=$B143) *
        (IMPORTRANGE(""https://docs.google.com/spreadsheets/d/161aHT6vVT3SLneTKD19N5qVWtnj_jIT8CSsOmUVKmaA/e"&amp;"dit?gid=1761053510"",
          ""Haris_Form responses 1!$AQ:$AQ"")=6)
      ),
      1
    ),
    ""0""
  ),
  ""Form not found""
)
"),"Form not found")</f>
        <v>Form not found</v>
      </c>
      <c r="BD143" s="293"/>
    </row>
    <row r="144">
      <c r="A144" s="283" t="str">
        <f>IFERROR(__xludf.DUMMYFUNCTION("VLOOKUP($B144,IMPORTRANGE(""https://docs.google.com/spreadsheets/d/1VNXDITjs75AcgdBSW27oL1VZH31udDprJSsBcE5xlp4/edit?gid=1551188038#gid=1551188038"", ""Sheet9!$B:$E""),2,false)"),"Multan")</f>
        <v>Multan</v>
      </c>
      <c r="B144" s="283" t="s">
        <v>4592</v>
      </c>
      <c r="C144" s="284" t="str">
        <f>IFERROR(__xludf.DUMMYFUNCTION("VLOOKUP(TRIM($B144), IMPORTRANGE(""https://docs.google.com/spreadsheets/d/1aSOrU4PTpuBZqfitKaH1Rfww6-YOiNCKoBpPl8XBHaw/edit?gid=0#gid=0"", ""sheet3!$B:$C""), 2, FALSE)
"),"Jamia Masjid Neel Garan Multan")</f>
        <v>Jamia Masjid Neel Garan Multan</v>
      </c>
      <c r="D144" s="284" t="str">
        <f>IFERROR(__xludf.DUMMYFUNCTION("IFERROR(
  INDEX(
    FILTER(
      IMPORTRANGE(""1aSOrU4PTpuBZqfitKaH1Rfww6-YOiNCKoBpPl8XBHaw/edit?gid=0#gid=0"",""Sheet1!G:G""),
      IMPORTRANGE(""1aSOrU4PTpuBZqfitKaH1Rfww6-YOiNCKoBpPl8XBHaw/edit?gid=0#gid=0"",""Sheet1!C:C"")=$B144
    ),
    1
  ),
"&amp;"  ""Not Found""
)"),"Community Religious Info Share")</f>
        <v>Community Religious Info Share</v>
      </c>
      <c r="E144" s="284" t="str">
        <f>VLOOKUP(B144,'Juma Recording forms'!A:E,5,false)</f>
        <v>Masjid Neel garan</v>
      </c>
      <c r="F144" s="284" t="str">
        <f>IFERROR(__xludf.DUMMYFUNCTION("IFERROR(
  INDEX(
    FILTER(
      IMPORTRANGE(""1Cxrhp3-_-HS7v9uuqQliiIfrmMP4VaFoDNDWyUFy2J8/edit?gid=0#gid=0"",""Sheet1!Q:Q""),
      IMPORTRANGE(""1Cxrhp3-_-HS7v9uuqQliiIfrmMP4VaFoDNDWyUFy2J8/edit?gid=0#gid=0"",""Sheet1!K:K"")=$B144
    ),
    1
  ),
"&amp;"  ""Not Found""
)"),"Not Found")</f>
        <v>Not Found</v>
      </c>
      <c r="G144" s="284"/>
      <c r="H144" s="284"/>
      <c r="I144" s="285" t="s">
        <v>197</v>
      </c>
      <c r="J144" s="286">
        <v>2.0</v>
      </c>
      <c r="K144" s="287" t="str">
        <f>VLOOKUP($B144,'Mosque Locations'!$A:$E,3,FALSE)
</f>
        <v>https://maps.google.com/maps?q=30.1919452%2C71.4781486&amp;z=17&amp;hl=en</v>
      </c>
      <c r="L144" s="286">
        <f>VLOOKUP($B144,'Mosque Locations'!$A:$E,4,FALSE)
</f>
        <v>30.19195</v>
      </c>
      <c r="M144" s="286">
        <f>VLOOKUP($B144,'Mosque Locations'!$A:$E,5,false)</f>
        <v>71.47815</v>
      </c>
      <c r="N144" s="288"/>
      <c r="O144" s="288"/>
      <c r="P144" s="288"/>
      <c r="Q144" s="290" t="str">
        <f>IFERROR(__xludf.DUMMYFUNCTION("IFERROR(
  INDEX(
    FILTER(
      IMPORTRANGE(""1kOrIKZmJfNUkgOVP3sI9BPjaaPA0_a4636oymQxTXg8"",""Form Responses 1!N:N""),
      TRIM(IMPORTRANGE(""1kOrIKZmJfNUkgOVP3sI9BPjaaPA0_a4636oymQxTXg8"",""Form Responses 1!F:F""))=TRIM($B144)
    ),
    1
  ),
  "&amp;"""Not Found""
)
"),"https://drive.google.com/open?id=1GXqQBnvX0qDowdn2n5HrQ4P1IJIn2Nua")</f>
        <v>https://drive.google.com/open?id=1GXqQBnvX0qDowdn2n5HrQ4P1IJIn2Nua</v>
      </c>
      <c r="R144" s="290" t="str">
        <f>IFERROR(__xludf.DUMMYFUNCTION("IFERROR(
  INDEX(
    FILTER(
      IMPORTRANGE(""1kOrIKZmJfNUkgOVP3sI9BPjaaPA0_a4636oymQxTXg8"",""Form Responses 1!M:M""),
      TRIM(IMPORTRANGE(""1kOrIKZmJfNUkgOVP3sI9BPjaaPA0_a4636oymQxTXg8"",""Form Responses 1!F:F""))=TRIM($B144)
    ),
    1
  ),
  "&amp;"""Not Found""
)
"),"https://drive.google.com/open?id=1TmcG3kLRpUiU8cyevBQgdrOkRjXOqK0_")</f>
        <v>https://drive.google.com/open?id=1TmcG3kLRpUiU8cyevBQgdrOkRjXOqK0_</v>
      </c>
      <c r="S144" s="285"/>
      <c r="T144" s="290" t="str">
        <f>VLOOKUP($B144,'Master Tracker'!D:E,2,false)</f>
        <v>https://drive.google.com/open?id=17sz1LOkJ7tGXA0DNsIUuYyZEAY4qenBD</v>
      </c>
      <c r="U144" s="291" t="str">
        <f>VLOOKUP($B144,'Master Tracker'!$D:$T,4,FALSE)
</f>
        <v>https://drive.google.com/open?id=1isMg_V2vXOMprDAAd8PIbZ3G3POMihc6</v>
      </c>
      <c r="V144" s="290" t="str">
        <f>VLOOKUP($B144,'Master Tracker'!$D:$T,5,false)</f>
        <v>https://drive.google.com/open?id=1lGJmeQfJhWJZGAlu-yGw8B7Xc7y1xNpa</v>
      </c>
      <c r="W144" s="291" t="str">
        <f>VLOOKUP($B144,'Master Tracker'!$D:$T,7,false)</f>
        <v>https://drive.google.com/open?id=17pKKXSGFHruMq87tq7RpefXP72ZZGtLn</v>
      </c>
      <c r="X144" s="290" t="str">
        <f>VLOOKUP($B144,'Master Tracker'!$D:$T,8,false)</f>
        <v>https://drive.google.com/open?id=1o2PTNTkY2kG6TViI5fiVKOLpO8Zyrzq9</v>
      </c>
      <c r="Y144" s="291" t="str">
        <f>VLOOKUP($B144,'Master Tracker'!$D:$T,10,false)</f>
        <v>https://drive.google.com/open?id=1P_zoEpgSaiqnzN8Kun_y0b30gyRZNSnL</v>
      </c>
      <c r="Z144" s="284" t="str">
        <f>VLOOKUP($B144,'Master Tracker'!$D:$T,11,false)</f>
        <v>Not Found</v>
      </c>
      <c r="AA144" s="292" t="str">
        <f>VLOOKUP($B144,'Master Tracker'!$D:$T,13,false)</f>
        <v>Not Found</v>
      </c>
      <c r="AB144" s="284" t="str">
        <f>VLOOKUP($B144,'Master Tracker'!$D:$T,14,false)</f>
        <v>Not Found</v>
      </c>
      <c r="AC144" s="292" t="str">
        <f>VLOOKUP($B144,'Master Tracker'!$D:$T,16,false)</f>
        <v>Not Found</v>
      </c>
      <c r="AD144" s="292" t="str">
        <f>VLOOKUP($B144,'Master Tracker'!$D:$T,17,false)</f>
        <v>Not Found</v>
      </c>
      <c r="AE144" s="292" t="str">
        <f>VLOOKUP($B144,'Master Tracker'!$D:$V,19,false)</f>
        <v>Not Found</v>
      </c>
      <c r="AF144" s="292">
        <f>IFERROR(__xludf.DUMMYFUNCTION("IFERROR(
  INDEX(
    FILTER(
      'Juma Recording forms'!$G:$G,
      TRIM('Juma Recording forms'!$F:$F) = TRIM($B144),
      'Juma Recording forms'!$AA:$AA = 1
    ),
    1
  ),
  ""Not Found""
)"),59.0)</f>
        <v>59</v>
      </c>
      <c r="AG144" s="292">
        <f>IFERROR(__xludf.DUMMYFUNCTION("IFERROR(
  INDEX(
    FILTER(
      'Juma Recording forms'!$G:$G,
      TRIM('Juma Recording forms'!$F:$F) = TRIM($B144),
      'Juma Recording forms'!$AA:$AA = 2
    ),
    1
  ),
  ""Not Found""
)"),98.0)</f>
        <v>98</v>
      </c>
      <c r="AH144" s="292">
        <f>IFERROR(__xludf.DUMMYFUNCTION("IFERROR(
  INDEX(
    FILTER(
      'Juma Recording forms'!$G:$G,
      TRIM('Juma Recording forms'!$F:$F) = TRIM($B144),
      'Juma Recording forms'!$AA:$AA = 3
    ),
    1
  ),
  ""Not Found""
)"),80.0)</f>
        <v>80</v>
      </c>
      <c r="AI144" s="292" t="str">
        <f>IFERROR(__xludf.DUMMYFUNCTION("IFERROR(
  INDEX(
    FILTER(
      'Juma Recording forms'!$G:$G,
      TRIM('Juma Recording forms'!$F:$F) = TRIM($B144),
      'Juma Recording forms'!$AA:$AA = 4
    ),
    1
  ),
  ""Not Found""
)"),"Not Found")</f>
        <v>Not Found</v>
      </c>
      <c r="AJ144" s="292" t="str">
        <f>IFERROR(__xludf.DUMMYFUNCTION("IFERROR(
  INDEX(
    FILTER(
      'Juma Recording forms'!$G:$G,
      TRIM('Juma Recording forms'!$F:$F) = TRIM($B144),
      'Juma Recording forms'!$AA:$AA = 5
    ),
    1
  ),
  ""Not Found""
)"),"Not Found")</f>
        <v>Not Found</v>
      </c>
      <c r="AK144" s="292" t="str">
        <f>IFERROR(__xludf.DUMMYFUNCTION("IFERROR(
  INDEX(
    FILTER(
      'Juma Recording forms'!$G:$G,
      TRIM('Juma Recording forms'!$F:$F) = TRIM($B144),
      'Juma Recording forms'!$AA:$AA = 6
    ),
    1
  ),
  ""Not Found""
)"),"Not Found")</f>
        <v>Not Found</v>
      </c>
      <c r="AL1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1!$E:$E"")=$B144) *
        (IMPORTRANGE(""https://docs.google.com/spreadsheets/d/161aHT6vVT3SLneTKD19N5qVWtnj_jIT8CSsOmUVKmaA/e"&amp;"dit?gid=1761053510"",
          ""Haris_Form responses 1!$AQ:$AQ"")=1)
      ),
      1
    ),
    ""0""
  ),
  ""Form not found""
)
"),"10")</f>
        <v>10</v>
      </c>
      <c r="AM1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1!$E:$E"")=$B144) *
        (IMPORTRANGE(""https://docs.google.com/spreadsheets/d/161aHT6vVT3SLneTKD19N5qVWtnj_jIT8CSsOmUVKmaA/e"&amp;"dit?gid=1761053510"",
          ""Haris_Form responses 1!$AQ:$AQ"")=2)
      ),
      1
    ),
    ""0""
  ),
  ""Form not found""
)
"),"10")</f>
        <v>10</v>
      </c>
      <c r="AN1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1!$E:$E"")=$B144) *
        (IMPORTRANGE(""https://docs.google.com/spreadsheets/d/161aHT6vVT3SLneTKD19N5qVWtnj_jIT8CSsOmUVKmaA/e"&amp;"dit?gid=1761053510"",
          ""Haris_Form responses 1!$AQ:$AQ"")=3)
      ),
      1
    ),
    ""0""
  ),
  ""Form not found""
)
"),"2")</f>
        <v>2</v>
      </c>
      <c r="AO1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1!$E:$E"")=$B144) *
        (IMPORTRANGE(""https://docs.google.com/spreadsheets/d/161aHT6vVT3SLneTKD19N5qVWtnj_jIT8CSsOmUVKmaA/e"&amp;"dit?gid=1761053510"",
          ""Haris_Form responses 1!$AQ:$AQ"")=4)
      ),
      1
    ),
    ""0""
  ),
  ""Form not found""
)
"),"Form not found")</f>
        <v>Form not found</v>
      </c>
      <c r="AP1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1!$E:$E"")=$B144) *
        (IMPORTRANGE(""https://docs.google.com/spreadsheets/d/161aHT6vVT3SLneTKD19N5qVWtnj_jIT8CSsOmUVKmaA/e"&amp;"dit?gid=1761053510"",
          ""Haris_Form responses 1!$AQ:$AQ"")=5)
      ),
      1
    ),
    ""0""
  ),
  ""Form not found""
)
"),"Form not found")</f>
        <v>Form not found</v>
      </c>
      <c r="AQ1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1!$E:$E"")=$B144) *
        (IMPORTRANGE(""https://docs.google.com/spreadsheets/d/161aHT6vVT3SLneTKD19N5qVWtnj_jIT8CSsOmUVKmaA/e"&amp;"dit?gid=1761053510"",
          ""Haris_Form responses 1!$AQ:$AQ"")=6)
      ),
      1
    ),
    ""0""
  ),
  ""Form not found""
)
"),"Form not found")</f>
        <v>Form not found</v>
      </c>
      <c r="AR1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1!$E:$E"")=$B144) *
        (IMPORTRANGE(""https://docs.google.com/spreadsheets/d/161aHT6vVT3SLneTKD19N5qVWtnj_jIT8CSsOmUVKmaA/e"&amp;"dit?gid=1761053510"",
          ""Haris_Form responses 1!$AQ:$AQ"")=1)
      ),
      1
    ),
    ""0""
  ),
  ""Form not found""
)
"),"10")</f>
        <v>10</v>
      </c>
      <c r="AS1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1!$E:$E"")=$B144) *
        (IMPORTRANGE(""https://docs.google.com/spreadsheets/d/161aHT6vVT3SLneTKD19N5qVWtnj_jIT8CSsOmUVKmaA/e"&amp;"dit?gid=1761053510"",
          ""Haris_Form responses 1!$AQ:$AQ"")=2)
      ),
      1
    ),
    ""0""
  ),
  ""Form not found""
)
"),"10")</f>
        <v>10</v>
      </c>
      <c r="AT1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1!$E:$E"")=$B144) *
        (IMPORTRANGE(""https://docs.google.com/spreadsheets/d/161aHT6vVT3SLneTKD19N5qVWtnj_jIT8CSsOmUVKmaA/e"&amp;"dit?gid=1761053510"",
          ""Haris_Form responses 1!$AQ:$AQ"")=3)
      ),
      1
    ),
    ""0""
  ),
  ""Form not found""
)
"),"0")</f>
        <v>0</v>
      </c>
      <c r="AU1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1!$E:$E"")=$B144) *
        (IMPORTRANGE(""https://docs.google.com/spreadsheets/d/161aHT6vVT3SLneTKD19N5qVWtnj_jIT8CSsOmUVKmaA/e"&amp;"dit?gid=1761053510"",
          ""Haris_Form responses 1!$AQ:$AQ"")=4)
      ),
      1
    ),
    ""0""
  ),
  ""Form not found""
)
"),"Form not found")</f>
        <v>Form not found</v>
      </c>
      <c r="AV1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1!$E:$E"")=$B144) *
        (IMPORTRANGE(""https://docs.google.com/spreadsheets/d/161aHT6vVT3SLneTKD19N5qVWtnj_jIT8CSsOmUVKmaA/e"&amp;"dit?gid=1761053510"",
          ""Haris_Form responses 1!$AQ:$AQ"")=5)
      ),
      1
    ),
    ""0""
  ),
  ""Form not found""
)
"),"Form not found")</f>
        <v>Form not found</v>
      </c>
      <c r="AW1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1!$E:$E"")=$B144) *
        (IMPORTRANGE(""https://docs.google.com/spreadsheets/d/161aHT6vVT3SLneTKD19N5qVWtnj_jIT8CSsOmUVKmaA/e"&amp;"dit?gid=1761053510"",
          ""Haris_Form responses 1!$AQ:$AQ"")=6)
      ),
      1
    ),
    ""0""
  ),
  ""Form not found""
)
"),"Form not found")</f>
        <v>Form not found</v>
      </c>
      <c r="AX1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1!$E:$E"")=$B144) *
        (IMPORTRANGE(""https://docs.google.com/spreadsheets/d/161aHT6vVT3SLneTKD19N5qVWtnj_jIT8CSsOmUVKmaA/e"&amp;"dit?gid=1761053510"",
          ""Haris_Form responses 1!$AQ:$AQ"")=1)
      ),
      1
    ),
    ""0""
  ),
  ""Form not found""
)
"),"0")</f>
        <v>0</v>
      </c>
      <c r="AY1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1!$E:$E"")=$B144) *
        (IMPORTRANGE(""https://docs.google.com/spreadsheets/d/161aHT6vVT3SLneTKD19N5qVWtnj_jIT8CSsOmUVKmaA/e"&amp;"dit?gid=1761053510"",
          ""Haris_Form responses 1!$AQ:$AQ"")=2)
      ),
      1
    ),
    ""0""
  ),
  ""Form not found""
)
"),"0")</f>
        <v>0</v>
      </c>
      <c r="AZ1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1!$E:$E"")=$B144) *
        (IMPORTRANGE(""https://docs.google.com/spreadsheets/d/161aHT6vVT3SLneTKD19N5qVWtnj_jIT8CSsOmUVKmaA/e"&amp;"dit?gid=1761053510"",
          ""Haris_Form responses 1!$AQ:$AQ"")=3)
      ),
      1
    ),
    ""0""
  ),
  ""Form not found""
)
"),"0")</f>
        <v>0</v>
      </c>
      <c r="BA1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1!$E:$E"")=$B144) *
        (IMPORTRANGE(""https://docs.google.com/spreadsheets/d/161aHT6vVT3SLneTKD19N5qVWtnj_jIT8CSsOmUVKmaA/e"&amp;"dit?gid=1761053510"",
          ""Haris_Form responses 1!$AQ:$AQ"")=4)
      ),
      1
    ),
    ""0""
  ),
  ""Form not found""
)
"),"Form not found")</f>
        <v>Form not found</v>
      </c>
      <c r="BB1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1!$E:$E"")=$B144) *
        (IMPORTRANGE(""https://docs.google.com/spreadsheets/d/161aHT6vVT3SLneTKD19N5qVWtnj_jIT8CSsOmUVKmaA/e"&amp;"dit?gid=1761053510"",
          ""Haris_Form responses 1!$AQ:$AQ"")=5)
      ),
      1
    ),
    ""0""
  ),
  ""Form not found""
)
"),"Form not found")</f>
        <v>Form not found</v>
      </c>
      <c r="BC1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1!$E:$E"")=$B144) *
        (IMPORTRANGE(""https://docs.google.com/spreadsheets/d/161aHT6vVT3SLneTKD19N5qVWtnj_jIT8CSsOmUVKmaA/e"&amp;"dit?gid=1761053510"",
          ""Haris_Form responses 1!$AQ:$AQ"")=6)
      ),
      1
    ),
    ""0""
  ),
  ""Form not found""
)
"),"Form not found")</f>
        <v>Form not found</v>
      </c>
      <c r="BD144" s="293"/>
    </row>
    <row r="145">
      <c r="A145" s="283" t="str">
        <f>IFERROR(__xludf.DUMMYFUNCTION("VLOOKUP($B145,IMPORTRANGE(""https://docs.google.com/spreadsheets/d/1VNXDITjs75AcgdBSW27oL1VZH31udDprJSsBcE5xlp4/edit?gid=1551188038#gid=1551188038"", ""Sheet9!$B:$E""),2,false)"),"Multan")</f>
        <v>Multan</v>
      </c>
      <c r="B145" s="283" t="s">
        <v>4593</v>
      </c>
      <c r="C145" s="284" t="str">
        <f>IFERROR(__xludf.DUMMYFUNCTION("VLOOKUP(TRIM($B145), IMPORTRANGE(""https://docs.google.com/spreadsheets/d/1aSOrU4PTpuBZqfitKaH1Rfww6-YOiNCKoBpPl8XBHaw/edit?gid=0#gid=0"", ""sheet3!$B:$C""), 2, FALSE)
"),"Jamia Masjid Darbar Sultan Ahmad Qataal Jalaal Pur Peer Wala Multan")</f>
        <v>Jamia Masjid Darbar Sultan Ahmad Qataal Jalaal Pur Peer Wala Multan</v>
      </c>
      <c r="D145" s="284" t="str">
        <f>IFERROR(__xludf.DUMMYFUNCTION("IFERROR(
  INDEX(
    FILTER(
      IMPORTRANGE(""1aSOrU4PTpuBZqfitKaH1Rfww6-YOiNCKoBpPl8XBHaw/edit?gid=0#gid=0"",""Sheet1!G:G""),
      IMPORTRANGE(""1aSOrU4PTpuBZqfitKaH1Rfww6-YOiNCKoBpPl8XBHaw/edit?gid=0#gid=0"",""Sheet1!C:C"")=$B145
    ),
    1
  ),
"&amp;"  ""Not Found""
)"),"Community Religious Info Share")</f>
        <v>Community Religious Info Share</v>
      </c>
      <c r="E145" s="284" t="str">
        <f>VLOOKUP(B145,'Juma Recording forms'!A:E,5,false)</f>
        <v>جامع مسجد پیر قتال جلالپور پیروالا</v>
      </c>
      <c r="F145" s="284" t="str">
        <f>IFERROR(__xludf.DUMMYFUNCTION("IFERROR(
  INDEX(
    FILTER(
      IMPORTRANGE(""1Cxrhp3-_-HS7v9uuqQliiIfrmMP4VaFoDNDWyUFy2J8/edit?gid=0#gid=0"",""Sheet1!Q:Q""),
      IMPORTRANGE(""1Cxrhp3-_-HS7v9uuqQliiIfrmMP4VaFoDNDWyUFy2J8/edit?gid=0#gid=0"",""Sheet1!K:K"")=$B145
    ),
    1
  ),
"&amp;"  ""Not Found""
)"),"Muhammad Nadir Abbas")</f>
        <v>Muhammad Nadir Abbas</v>
      </c>
      <c r="G145" s="284">
        <v>1933.0</v>
      </c>
      <c r="H145" s="284" t="s">
        <v>4857</v>
      </c>
      <c r="I145" s="285" t="s">
        <v>197</v>
      </c>
      <c r="J145" s="286">
        <v>2.0</v>
      </c>
      <c r="K145" s="287" t="str">
        <f>VLOOKUP($B145,'Mosque Locations'!$A:$E,3,FALSE)
</f>
        <v>https://maps.google.com/maps?q=29.5049032%2C71.2241351&amp;z=17&amp;hl=en</v>
      </c>
      <c r="L145" s="286">
        <f>VLOOKUP($B145,'Mosque Locations'!$A:$E,4,FALSE)
</f>
        <v>29.5049</v>
      </c>
      <c r="M145" s="286">
        <f>VLOOKUP($B145,'Mosque Locations'!$A:$E,5,false)</f>
        <v>71.22414</v>
      </c>
      <c r="N145" s="288"/>
      <c r="O145" s="288"/>
      <c r="P145" s="288"/>
      <c r="Q145" s="290" t="str">
        <f>IFERROR(__xludf.DUMMYFUNCTION("IFERROR(
  INDEX(
    FILTER(
      IMPORTRANGE(""1kOrIKZmJfNUkgOVP3sI9BPjaaPA0_a4636oymQxTXg8"",""Form Responses 1!N:N""),
      TRIM(IMPORTRANGE(""1kOrIKZmJfNUkgOVP3sI9BPjaaPA0_a4636oymQxTXg8"",""Form Responses 1!F:F""))=TRIM($B145)
    ),
    1
  ),
  "&amp;"""Not Found""
)
"),"https://drive.google.com/open?id=1IS47gzB1HSQI1EBBpyHZ4rVvRin89Fsd")</f>
        <v>https://drive.google.com/open?id=1IS47gzB1HSQI1EBBpyHZ4rVvRin89Fsd</v>
      </c>
      <c r="R145" s="290" t="str">
        <f>IFERROR(__xludf.DUMMYFUNCTION("IFERROR(
  INDEX(
    FILTER(
      IMPORTRANGE(""1kOrIKZmJfNUkgOVP3sI9BPjaaPA0_a4636oymQxTXg8"",""Form Responses 1!M:M""),
      TRIM(IMPORTRANGE(""1kOrIKZmJfNUkgOVP3sI9BPjaaPA0_a4636oymQxTXg8"",""Form Responses 1!F:F""))=TRIM($B145)
    ),
    1
  ),
  "&amp;"""Not Found""
)
"),"https://drive.google.com/open?id=1jWQ_5mhV2hL0PFrcCI49csttJOc4aqH5")</f>
        <v>https://drive.google.com/open?id=1jWQ_5mhV2hL0PFrcCI49csttJOc4aqH5</v>
      </c>
      <c r="S145" s="285"/>
      <c r="T145" s="290" t="str">
        <f>VLOOKUP($B145,'Master Tracker'!D:E,2,false)</f>
        <v>https://drive.google.com/open?id=1oGse1tGak-NV3d5mldph77u_idJW6cwb</v>
      </c>
      <c r="U145" s="291" t="str">
        <f>VLOOKUP($B145,'Master Tracker'!$D:$T,4,FALSE)
</f>
        <v>https://drive.google.com/open?id=1PAeF6DBJtOHEIxv6qR8DNCNEvA86OoxV</v>
      </c>
      <c r="V145" s="290" t="str">
        <f>VLOOKUP($B145,'Master Tracker'!$D:$T,5,false)</f>
        <v>https://drive.google.com/file/d/1dsbVN0AsTTOB1vDZ19VEZiTaw0msS0ut/view?usp=drive_link</v>
      </c>
      <c r="W145" s="291" t="str">
        <f>VLOOKUP($B145,'Master Tracker'!$D:$T,7,false)</f>
        <v>https://drive.google.com/open?id=1kJfX-05TGFCZGdKaert_FKr_y_N0V7nB</v>
      </c>
      <c r="X145" s="284" t="str">
        <f>VLOOKUP($B145,'Master Tracker'!$D:$T,8,false)</f>
        <v>Not Found</v>
      </c>
      <c r="Y145" s="292" t="str">
        <f>VLOOKUP($B145,'Master Tracker'!$D:$T,10,false)</f>
        <v>Not Found</v>
      </c>
      <c r="Z145" s="284" t="str">
        <f>VLOOKUP($B145,'Master Tracker'!$D:$T,11,false)</f>
        <v>Not Found</v>
      </c>
      <c r="AA145" s="292" t="str">
        <f>VLOOKUP($B145,'Master Tracker'!$D:$T,13,false)</f>
        <v>Not Found</v>
      </c>
      <c r="AB145" s="290" t="str">
        <f>VLOOKUP($B145,'Master Tracker'!$D:$T,14,false)</f>
        <v>https://drive.google.com/open?id=1GjvwbIO97dn8nPp898rRc4ki5bpnv73G</v>
      </c>
      <c r="AC145" s="291" t="str">
        <f>VLOOKUP($B145,'Master Tracker'!$D:$T,16,false)</f>
        <v>https://drive.google.com/open?id=19HN8d9xJGJOkLQGb-e3qlHfXZauOg9tCZarb32-b9Rc</v>
      </c>
      <c r="AD145" s="291" t="str">
        <f>VLOOKUP($B145,'Master Tracker'!$D:$T,17,false)</f>
        <v>https://drive.google.com/file/d/1sU_uFjDftjCa6-HSG71OAUhWQqR7j47w/view?usp=drive_link</v>
      </c>
      <c r="AE145" s="291" t="str">
        <f>VLOOKUP($B145,'Master Tracker'!$D:$V,19,false)</f>
        <v>https://drive.google.com/open?id=1bkPLH10SW3e5fFijlwKgcHEbCZ0cXgX8</v>
      </c>
      <c r="AF145" s="292">
        <f>IFERROR(__xludf.DUMMYFUNCTION("IFERROR(
  INDEX(
    FILTER(
      'Juma Recording forms'!$G:$G,
      TRIM('Juma Recording forms'!$F:$F) = TRIM($B145),
      'Juma Recording forms'!$AA:$AA = 1
    ),
    1
  ),
  ""Not Found""
)"),413.0)</f>
        <v>413</v>
      </c>
      <c r="AG145" s="292">
        <f>IFERROR(__xludf.DUMMYFUNCTION("IFERROR(
  INDEX(
    FILTER(
      'Juma Recording forms'!$G:$G,
      TRIM('Juma Recording forms'!$F:$F) = TRIM($B145),
      'Juma Recording forms'!$AA:$AA = 2
    ),
    1
  ),
  ""Not Found""
)"),456.0)</f>
        <v>456</v>
      </c>
      <c r="AH145" s="292" t="str">
        <f>IFERROR(__xludf.DUMMYFUNCTION("IFERROR(
  INDEX(
    FILTER(
      'Juma Recording forms'!$G:$G,
      TRIM('Juma Recording forms'!$F:$F) = TRIM($B145),
      'Juma Recording forms'!$AA:$AA = 3
    ),
    1
  ),
  ""Not Found""
)"),"Not Found")</f>
        <v>Not Found</v>
      </c>
      <c r="AI145" s="292" t="str">
        <f>IFERROR(__xludf.DUMMYFUNCTION("IFERROR(
  INDEX(
    FILTER(
      'Juma Recording forms'!$G:$G,
      TRIM('Juma Recording forms'!$F:$F) = TRIM($B145),
      'Juma Recording forms'!$AA:$AA = 4
    ),
    1
  ),
  ""Not Found""
)"),"Not Found")</f>
        <v>Not Found</v>
      </c>
      <c r="AJ145" s="292">
        <f>IFERROR(__xludf.DUMMYFUNCTION("IFERROR(
  INDEX(
    FILTER(
      'Juma Recording forms'!$G:$G,
      TRIM('Juma Recording forms'!$F:$F) = TRIM($B145),
      'Juma Recording forms'!$AA:$AA = 5
    ),
    1
  ),
  ""Not Found""
)"),408.0)</f>
        <v>408</v>
      </c>
      <c r="AK145" s="292">
        <f>IFERROR(__xludf.DUMMYFUNCTION("IFERROR(
  INDEX(
    FILTER(
      'Juma Recording forms'!$G:$G,
      TRIM('Juma Recording forms'!$F:$F) = TRIM($B145),
      'Juma Recording forms'!$AA:$AA = 6
    ),
    1
  ),
  ""Not Found""
)"),400.0)</f>
        <v>400</v>
      </c>
      <c r="AL1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1!$E:$E"")=$B145) *
        (IMPORTRANGE(""https://docs.google.com/spreadsheets/d/161aHT6vVT3SLneTKD19N5qVWtnj_jIT8CSsOmUVKmaA/e"&amp;"dit?gid=1761053510"",
          ""Haris_Form responses 1!$AQ:$AQ"")=1)
      ),
      1
    ),
    ""0""
  ),
  ""Form not found""
)
"),"4")</f>
        <v>4</v>
      </c>
      <c r="AM1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1!$E:$E"")=$B145) *
        (IMPORTRANGE(""https://docs.google.com/spreadsheets/d/161aHT6vVT3SLneTKD19N5qVWtnj_jIT8CSsOmUVKmaA/e"&amp;"dit?gid=1761053510"",
          ""Haris_Form responses 1!$AQ:$AQ"")=2)
      ),
      1
    ),
    ""0""
  ),
  ""Form not found""
)
"),"9")</f>
        <v>9</v>
      </c>
      <c r="AN1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1!$E:$E"")=$B145) *
        (IMPORTRANGE(""https://docs.google.com/spreadsheets/d/161aHT6vVT3SLneTKD19N5qVWtnj_jIT8CSsOmUVKmaA/e"&amp;"dit?gid=1761053510"",
          ""Haris_Form responses 1!$AQ:$AQ"")=3)
      ),
      1
    ),
    ""0""
  ),
  ""Form not found""
)
"),"Form not found")</f>
        <v>Form not found</v>
      </c>
      <c r="AO1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1!$E:$E"")=$B145) *
        (IMPORTRANGE(""https://docs.google.com/spreadsheets/d/161aHT6vVT3SLneTKD19N5qVWtnj_jIT8CSsOmUVKmaA/e"&amp;"dit?gid=1761053510"",
          ""Haris_Form responses 1!$AQ:$AQ"")=4)
      ),
      1
    ),
    ""0""
  ),
  ""Form not found""
)
"),"Form not found")</f>
        <v>Form not found</v>
      </c>
      <c r="AP1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1!$E:$E"")=$B145) *
        (IMPORTRANGE(""https://docs.google.com/spreadsheets/d/161aHT6vVT3SLneTKD19N5qVWtnj_jIT8CSsOmUVKmaA/e"&amp;"dit?gid=1761053510"",
          ""Haris_Form responses 1!$AQ:$AQ"")=5)
      ),
      1
    ),
    ""0""
  ),
  ""Form not found""
)
"),"10")</f>
        <v>10</v>
      </c>
      <c r="AQ1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1!$E:$E"")=$B145) *
        (IMPORTRANGE(""https://docs.google.com/spreadsheets/d/161aHT6vVT3SLneTKD19N5qVWtnj_jIT8CSsOmUVKmaA/e"&amp;"dit?gid=1761053510"",
          ""Haris_Form responses 1!$AQ:$AQ"")=6)
      ),
      1
    ),
    ""0""
  ),
  ""Form not found""
)
"),"0")</f>
        <v>0</v>
      </c>
      <c r="AR1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1!$E:$E"")=$B145) *
        (IMPORTRANGE(""https://docs.google.com/spreadsheets/d/161aHT6vVT3SLneTKD19N5qVWtnj_jIT8CSsOmUVKmaA/e"&amp;"dit?gid=1761053510"",
          ""Haris_Form responses 1!$AQ:$AQ"")=1)
      ),
      1
    ),
    ""0""
  ),
  ""Form not found""
)
"),"4")</f>
        <v>4</v>
      </c>
      <c r="AS1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1!$E:$E"")=$B145) *
        (IMPORTRANGE(""https://docs.google.com/spreadsheets/d/161aHT6vVT3SLneTKD19N5qVWtnj_jIT8CSsOmUVKmaA/e"&amp;"dit?gid=1761053510"",
          ""Haris_Form responses 1!$AQ:$AQ"")=2)
      ),
      1
    ),
    ""0""
  ),
  ""Form not found""
)
"),"9")</f>
        <v>9</v>
      </c>
      <c r="AT1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1!$E:$E"")=$B145) *
        (IMPORTRANGE(""https://docs.google.com/spreadsheets/d/161aHT6vVT3SLneTKD19N5qVWtnj_jIT8CSsOmUVKmaA/e"&amp;"dit?gid=1761053510"",
          ""Haris_Form responses 1!$AQ:$AQ"")=3)
      ),
      1
    ),
    ""0""
  ),
  ""Form not found""
)
"),"Form not found")</f>
        <v>Form not found</v>
      </c>
      <c r="AU1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1!$E:$E"")=$B145) *
        (IMPORTRANGE(""https://docs.google.com/spreadsheets/d/161aHT6vVT3SLneTKD19N5qVWtnj_jIT8CSsOmUVKmaA/e"&amp;"dit?gid=1761053510"",
          ""Haris_Form responses 1!$AQ:$AQ"")=4)
      ),
      1
    ),
    ""0""
  ),
  ""Form not found""
)
"),"Form not found")</f>
        <v>Form not found</v>
      </c>
      <c r="AV1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1!$E:$E"")=$B145) *
        (IMPORTRANGE(""https://docs.google.com/spreadsheets/d/161aHT6vVT3SLneTKD19N5qVWtnj_jIT8CSsOmUVKmaA/e"&amp;"dit?gid=1761053510"",
          ""Haris_Form responses 1!$AQ:$AQ"")=5)
      ),
      1
    ),
    ""0""
  ),
  ""Form not found""
)
"),"10")</f>
        <v>10</v>
      </c>
      <c r="AW1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1!$E:$E"")=$B145) *
        (IMPORTRANGE(""https://docs.google.com/spreadsheets/d/161aHT6vVT3SLneTKD19N5qVWtnj_jIT8CSsOmUVKmaA/e"&amp;"dit?gid=1761053510"",
          ""Haris_Form responses 1!$AQ:$AQ"")=6)
      ),
      1
    ),
    ""0""
  ),
  ""Form not found""
)
"),"0")</f>
        <v>0</v>
      </c>
      <c r="AX1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1!$E:$E"")=$B145) *
        (IMPORTRANGE(""https://docs.google.com/spreadsheets/d/161aHT6vVT3SLneTKD19N5qVWtnj_jIT8CSsOmUVKmaA/e"&amp;"dit?gid=1761053510"",
          ""Haris_Form responses 1!$AQ:$AQ"")=1)
      ),
      1
    ),
    ""0""
  ),
  ""Form not found""
)
"),"0")</f>
        <v>0</v>
      </c>
      <c r="AY1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1!$E:$E"")=$B145) *
        (IMPORTRANGE(""https://docs.google.com/spreadsheets/d/161aHT6vVT3SLneTKD19N5qVWtnj_jIT8CSsOmUVKmaA/e"&amp;"dit?gid=1761053510"",
          ""Haris_Form responses 1!$AQ:$AQ"")=2)
      ),
      1
    ),
    ""0""
  ),
  ""Form not found""
)
"),"0")</f>
        <v>0</v>
      </c>
      <c r="AZ1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1!$E:$E"")=$B145) *
        (IMPORTRANGE(""https://docs.google.com/spreadsheets/d/161aHT6vVT3SLneTKD19N5qVWtnj_jIT8CSsOmUVKmaA/e"&amp;"dit?gid=1761053510"",
          ""Haris_Form responses 1!$AQ:$AQ"")=3)
      ),
      1
    ),
    ""0""
  ),
  ""Form not found""
)
"),"Form not found")</f>
        <v>Form not found</v>
      </c>
      <c r="BA1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1!$E:$E"")=$B145) *
        (IMPORTRANGE(""https://docs.google.com/spreadsheets/d/161aHT6vVT3SLneTKD19N5qVWtnj_jIT8CSsOmUVKmaA/e"&amp;"dit?gid=1761053510"",
          ""Haris_Form responses 1!$AQ:$AQ"")=4)
      ),
      1
    ),
    ""0""
  ),
  ""Form not found""
)
"),"Form not found")</f>
        <v>Form not found</v>
      </c>
      <c r="BB1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1!$E:$E"")=$B145) *
        (IMPORTRANGE(""https://docs.google.com/spreadsheets/d/161aHT6vVT3SLneTKD19N5qVWtnj_jIT8CSsOmUVKmaA/e"&amp;"dit?gid=1761053510"",
          ""Haris_Form responses 1!$AQ:$AQ"")=5)
      ),
      1
    ),
    ""0""
  ),
  ""Form not found""
)
"),"0")</f>
        <v>0</v>
      </c>
      <c r="BC1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1!$E:$E"")=$B145) *
        (IMPORTRANGE(""https://docs.google.com/spreadsheets/d/161aHT6vVT3SLneTKD19N5qVWtnj_jIT8CSsOmUVKmaA/e"&amp;"dit?gid=1761053510"",
          ""Haris_Form responses 1!$AQ:$AQ"")=6)
      ),
      1
    ),
    ""0""
  ),
  ""Form not found""
)
"),"0")</f>
        <v>0</v>
      </c>
      <c r="BD145" s="293"/>
    </row>
    <row r="146">
      <c r="A146" s="283" t="str">
        <f>IFERROR(__xludf.DUMMYFUNCTION("VLOOKUP($B146,IMPORTRANGE(""https://docs.google.com/spreadsheets/d/1VNXDITjs75AcgdBSW27oL1VZH31udDprJSsBcE5xlp4/edit?gid=1551188038#gid=1551188038"", ""Sheet9!$B:$E""),2,false)"),"Multan")</f>
        <v>Multan</v>
      </c>
      <c r="B146" s="283" t="s">
        <v>3718</v>
      </c>
      <c r="C146" s="284" t="str">
        <f>IFERROR(__xludf.DUMMYFUNCTION("VLOOKUP(TRIM($B146), IMPORTRANGE(""https://docs.google.com/spreadsheets/d/1aSOrU4PTpuBZqfitKaH1Rfww6-YOiNCKoBpPl8XBHaw/edit?gid=0#gid=0"", ""sheet3!$B:$C""), 2, FALSE)
"),"Jamia Masjid Peer Ismail Multan")</f>
        <v>Jamia Masjid Peer Ismail Multan</v>
      </c>
      <c r="D146" s="284" t="str">
        <f>IFERROR(__xludf.DUMMYFUNCTION("IFERROR(
  INDEX(
    FILTER(
      IMPORTRANGE(""1aSOrU4PTpuBZqfitKaH1Rfww6-YOiNCKoBpPl8XBHaw/edit?gid=0#gid=0"",""Sheet1!G:G""),
      IMPORTRANGE(""1aSOrU4PTpuBZqfitKaH1Rfww6-YOiNCKoBpPl8XBHaw/edit?gid=0#gid=0"",""Sheet1!C:C"")=$B146
    ),
    1
  ),
"&amp;"  ""Not Found""
)"),"Community Secular Info Share")</f>
        <v>Community Secular Info Share</v>
      </c>
      <c r="E146" s="284" t="str">
        <f>VLOOKUP(B146,'Juma Recording forms'!A:E,5,false)</f>
        <v>Jamiya Masjid Peer Ismail wali </v>
      </c>
      <c r="F146" s="284" t="str">
        <f>IFERROR(__xludf.DUMMYFUNCTION("IFERROR(
  INDEX(
    FILTER(
      IMPORTRANGE(""1Cxrhp3-_-HS7v9uuqQliiIfrmMP4VaFoDNDWyUFy2J8/edit?gid=0#gid=0"",""Sheet1!Q:Q""),
      IMPORTRANGE(""1Cxrhp3-_-HS7v9uuqQliiIfrmMP4VaFoDNDWyUFy2J8/edit?gid=0#gid=0"",""Sheet1!K:K"")=$B146
    ),
    1
  ),
"&amp;"  ""Not Found""
)"),"Not Found")</f>
        <v>Not Found</v>
      </c>
      <c r="G146" s="284"/>
      <c r="H146" s="284"/>
      <c r="I146" s="285" t="s">
        <v>197</v>
      </c>
      <c r="J146" s="286">
        <v>2.0</v>
      </c>
      <c r="K146" s="287" t="str">
        <f>VLOOKUP($B146,'Mosque Locations'!$A:$E,3,FALSE)
</f>
        <v>https://www.google.com/maps?q=30.0721967,71.4941983</v>
      </c>
      <c r="L146" s="286">
        <f>VLOOKUP($B146,'Mosque Locations'!$A:$E,4,FALSE)
</f>
        <v>30.0722</v>
      </c>
      <c r="M146" s="286">
        <f>VLOOKUP($B146,'Mosque Locations'!$A:$E,5,false)</f>
        <v>71.4942</v>
      </c>
      <c r="N146" s="288"/>
      <c r="O146" s="288"/>
      <c r="P146" s="288"/>
      <c r="Q146" s="289" t="str">
        <f>IFERROR(__xludf.DUMMYFUNCTION("IFERROR(
  INDEX(
    FILTER(
      IMPORTRANGE(""1kOrIKZmJfNUkgOVP3sI9BPjaaPA0_a4636oymQxTXg8"",""Form Responses 1!N:N""),
      TRIM(IMPORTRANGE(""1kOrIKZmJfNUkgOVP3sI9BPjaaPA0_a4636oymQxTXg8"",""Form Responses 1!F:F""))=TRIM($B146)
    ),
    1
  ),
  "&amp;"""Not Found""
)
"),"https://drive.google.com/open?id=1xAbDp9vyZe5O3i556353W8CoLSEK97Xp")</f>
        <v>https://drive.google.com/open?id=1xAbDp9vyZe5O3i556353W8CoLSEK97Xp</v>
      </c>
      <c r="R146" s="290" t="str">
        <f>IFERROR(__xludf.DUMMYFUNCTION("IFERROR(
  INDEX(
    FILTER(
      IMPORTRANGE(""1kOrIKZmJfNUkgOVP3sI9BPjaaPA0_a4636oymQxTXg8"",""Form Responses 1!M:M""),
      TRIM(IMPORTRANGE(""1kOrIKZmJfNUkgOVP3sI9BPjaaPA0_a4636oymQxTXg8"",""Form Responses 1!F:F""))=TRIM($B146)
    ),
    1
  ),
  "&amp;"""Not Found""
)
"),"https://drive.google.com/open?id=1moLXAfY3QRycXaZYqoFZmDXvmW47zIr9")</f>
        <v>https://drive.google.com/open?id=1moLXAfY3QRycXaZYqoFZmDXvmW47zIr9</v>
      </c>
      <c r="S146" s="285"/>
      <c r="T146" s="290" t="str">
        <f>VLOOKUP($B146,'Master Tracker'!D:E,2,false)</f>
        <v>https://drive.google.com/open?id=18CQ_tAVrlomKWEqxMCT4GPXtVxBLlUJB</v>
      </c>
      <c r="U146" s="291" t="str">
        <f>VLOOKUP($B146,'Master Tracker'!$D:$T,4,FALSE)
</f>
        <v>https://drive.google.com/open?id=1KhVbasfFKDEsxZhvHcUOPj8U-Wsd365aay_fi922XHQ</v>
      </c>
      <c r="V146" s="290" t="str">
        <f>VLOOKUP($B146,'Master Tracker'!$D:$T,5,false)</f>
        <v>https://drive.google.com/open?id=1rEN9OlRlAHpBerNvADTC5Vdq6QWfGvZo</v>
      </c>
      <c r="W146" s="291" t="str">
        <f>VLOOKUP($B146,'Master Tracker'!$D:$T,7,false)</f>
        <v>https://drive.google.com/open?id=1mBYsYGyV1aT6ucvbYlHoRKKs5K_uvHtupiAeYIJFwJ0</v>
      </c>
      <c r="X146" s="290" t="str">
        <f>VLOOKUP($B146,'Master Tracker'!$D:$T,8,false)</f>
        <v>https://drive.google.com/file/d/1qceikWHiVkh7nPlraytyLGH1mGcU-941/view?usp=drive_link</v>
      </c>
      <c r="Y146" s="291" t="str">
        <f>VLOOKUP($B146,'Master Tracker'!$D:$T,10,false)</f>
        <v>https://drive.google.com/open?id=16tFPMxuSekgM5At6SnANj4z37ND9j_6a32hYhQit6zo</v>
      </c>
      <c r="Z146" s="290" t="str">
        <f>VLOOKUP($B146,'Master Tracker'!$D:$T,11,false)</f>
        <v>https://drive.google.com/file/d/1vVMDf1ys3OhW--U0r1HPLBa_5CIj1VU8/view?usp=drive_link</v>
      </c>
      <c r="AA146" s="291" t="str">
        <f>VLOOKUP($B146,'Master Tracker'!$D:$T,13,false)</f>
        <v>https://drive.google.com/open?id=1LEmN_DdbFgSHvWQ19CbZ0SEHvZDbZo-MgzLdTMQe78E</v>
      </c>
      <c r="AB146" s="290" t="str">
        <f>VLOOKUP($B146,'Master Tracker'!$D:$T,14,false)</f>
        <v>https://drive.google.com/open?id=18NYo9DAwcnJJJpSgyi-4qULba-ujphE_</v>
      </c>
      <c r="AC146" s="291" t="str">
        <f>VLOOKUP($B146,'Master Tracker'!$D:$T,16,false)</f>
        <v>https://drive.google.com/open?id=1_HDz671H3AVIBJfYoIFg0SSyUv-1ygEL</v>
      </c>
      <c r="AD146" s="292" t="str">
        <f>VLOOKUP($B146,'Master Tracker'!$D:$T,17,false)</f>
        <v>Not Found</v>
      </c>
      <c r="AE146" s="292" t="str">
        <f>VLOOKUP($B146,'Master Tracker'!$D:$V,19,false)</f>
        <v>Not Found</v>
      </c>
      <c r="AF146" s="292">
        <f>IFERROR(__xludf.DUMMYFUNCTION("IFERROR(
  INDEX(
    FILTER(
      'Juma Recording forms'!$G:$G,
      TRIM('Juma Recording forms'!$F:$F) = TRIM($B146),
      'Juma Recording forms'!$AA:$AA = 1
    ),
    1
  ),
  ""Not Found""
)"),110.0)</f>
        <v>110</v>
      </c>
      <c r="AG146" s="292">
        <f>IFERROR(__xludf.DUMMYFUNCTION("IFERROR(
  INDEX(
    FILTER(
      'Juma Recording forms'!$G:$G,
      TRIM('Juma Recording forms'!$F:$F) = TRIM($B146),
      'Juma Recording forms'!$AA:$AA = 2
    ),
    1
  ),
  ""Not Found""
)"),120.0)</f>
        <v>120</v>
      </c>
      <c r="AH146" s="292">
        <f>IFERROR(__xludf.DUMMYFUNCTION("IFERROR(
  INDEX(
    FILTER(
      'Juma Recording forms'!$G:$G,
      TRIM('Juma Recording forms'!$F:$F) = TRIM($B146),
      'Juma Recording forms'!$AA:$AA = 3
    ),
    1
  ),
  ""Not Found""
)"),103.0)</f>
        <v>103</v>
      </c>
      <c r="AI146" s="292">
        <f>IFERROR(__xludf.DUMMYFUNCTION("IFERROR(
  INDEX(
    FILTER(
      'Juma Recording forms'!$G:$G,
      TRIM('Juma Recording forms'!$F:$F) = TRIM($B146),
      'Juma Recording forms'!$AA:$AA = 4
    ),
    1
  ),
  ""Not Found""
)"),198.0)</f>
        <v>198</v>
      </c>
      <c r="AJ146" s="292">
        <f>IFERROR(__xludf.DUMMYFUNCTION("IFERROR(
  INDEX(
    FILTER(
      'Juma Recording forms'!$G:$G,
      TRIM('Juma Recording forms'!$F:$F) = TRIM($B146),
      'Juma Recording forms'!$AA:$AA = 5
    ),
    1
  ),
  ""Not Found""
)"),182.0)</f>
        <v>182</v>
      </c>
      <c r="AK146" s="292" t="str">
        <f>IFERROR(__xludf.DUMMYFUNCTION("IFERROR(
  INDEX(
    FILTER(
      'Juma Recording forms'!$G:$G,
      TRIM('Juma Recording forms'!$F:$F) = TRIM($B146),
      'Juma Recording forms'!$AA:$AA = 6
    ),
    1
  ),
  ""Not Found""
)"),"Not Found")</f>
        <v>Not Found</v>
      </c>
      <c r="AL1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1!$E:$E"")=$B146) *
        (IMPORTRANGE(""https://docs.google.com/spreadsheets/d/161aHT6vVT3SLneTKD19N5qVWtnj_jIT8CSsOmUVKmaA/e"&amp;"dit?gid=1761053510"",
          ""Haris_Form responses 1!$AQ:$AQ"")=1)
      ),
      1
    ),
    ""0""
  ),
  ""Form not found""
)
"),"0")</f>
        <v>0</v>
      </c>
      <c r="AM1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1!$E:$E"")=$B146) *
        (IMPORTRANGE(""https://docs.google.com/spreadsheets/d/161aHT6vVT3SLneTKD19N5qVWtnj_jIT8CSsOmUVKmaA/e"&amp;"dit?gid=1761053510"",
          ""Haris_Form responses 1!$AQ:$AQ"")=2)
      ),
      1
    ),
    ""0""
  ),
  ""Form not found""
)
"),"0")</f>
        <v>0</v>
      </c>
      <c r="AN1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1!$E:$E"")=$B146) *
        (IMPORTRANGE(""https://docs.google.com/spreadsheets/d/161aHT6vVT3SLneTKD19N5qVWtnj_jIT8CSsOmUVKmaA/e"&amp;"dit?gid=1761053510"",
          ""Haris_Form responses 1!$AQ:$AQ"")=3)
      ),
      1
    ),
    ""0""
  ),
  ""Form not found""
)
"),"8")</f>
        <v>8</v>
      </c>
      <c r="AO1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1!$E:$E"")=$B146) *
        (IMPORTRANGE(""https://docs.google.com/spreadsheets/d/161aHT6vVT3SLneTKD19N5qVWtnj_jIT8CSsOmUVKmaA/e"&amp;"dit?gid=1761053510"",
          ""Haris_Form responses 1!$AQ:$AQ"")=4)
      ),
      1
    ),
    ""0""
  ),
  ""Form not found""
)
"),"3")</f>
        <v>3</v>
      </c>
      <c r="AP1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1!$E:$E"")=$B146) *
        (IMPORTRANGE(""https://docs.google.com/spreadsheets/d/161aHT6vVT3SLneTKD19N5qVWtnj_jIT8CSsOmUVKmaA/e"&amp;"dit?gid=1761053510"",
          ""Haris_Form responses 1!$AQ:$AQ"")=5)
      ),
      1
    ),
    ""0""
  ),
  ""Form not found""
)
"),"0")</f>
        <v>0</v>
      </c>
      <c r="AQ1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1!$E:$E"")=$B146) *
        (IMPORTRANGE(""https://docs.google.com/spreadsheets/d/161aHT6vVT3SLneTKD19N5qVWtnj_jIT8CSsOmUVKmaA/e"&amp;"dit?gid=1761053510"",
          ""Haris_Form responses 1!$AQ:$AQ"")=6)
      ),
      1
    ),
    ""0""
  ),
  ""Form not found""
)
"),"Form not found")</f>
        <v>Form not found</v>
      </c>
      <c r="AR1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1!$E:$E"")=$B146) *
        (IMPORTRANGE(""https://docs.google.com/spreadsheets/d/161aHT6vVT3SLneTKD19N5qVWtnj_jIT8CSsOmUVKmaA/e"&amp;"dit?gid=1761053510"",
          ""Haris_Form responses 1!$AQ:$AQ"")=1)
      ),
      1
    ),
    ""0""
  ),
  ""Form not found""
)
"),"0")</f>
        <v>0</v>
      </c>
      <c r="AS1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1!$E:$E"")=$B146) *
        (IMPORTRANGE(""https://docs.google.com/spreadsheets/d/161aHT6vVT3SLneTKD19N5qVWtnj_jIT8CSsOmUVKmaA/e"&amp;"dit?gid=1761053510"",
          ""Haris_Form responses 1!$AQ:$AQ"")=2)
      ),
      1
    ),
    ""0""
  ),
  ""Form not found""
)
"),"0")</f>
        <v>0</v>
      </c>
      <c r="AT1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1!$E:$E"")=$B146) *
        (IMPORTRANGE(""https://docs.google.com/spreadsheets/d/161aHT6vVT3SLneTKD19N5qVWtnj_jIT8CSsOmUVKmaA/e"&amp;"dit?gid=1761053510"",
          ""Haris_Form responses 1!$AQ:$AQ"")=3)
      ),
      1
    ),
    ""0""
  ),
  ""Form not found""
)
"),"8")</f>
        <v>8</v>
      </c>
      <c r="AU1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1!$E:$E"")=$B146) *
        (IMPORTRANGE(""https://docs.google.com/spreadsheets/d/161aHT6vVT3SLneTKD19N5qVWtnj_jIT8CSsOmUVKmaA/e"&amp;"dit?gid=1761053510"",
          ""Haris_Form responses 1!$AQ:$AQ"")=4)
      ),
      1
    ),
    ""0""
  ),
  ""Form not found""
)
"),"3")</f>
        <v>3</v>
      </c>
      <c r="AV1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1!$E:$E"")=$B146) *
        (IMPORTRANGE(""https://docs.google.com/spreadsheets/d/161aHT6vVT3SLneTKD19N5qVWtnj_jIT8CSsOmUVKmaA/e"&amp;"dit?gid=1761053510"",
          ""Haris_Form responses 1!$AQ:$AQ"")=5)
      ),
      1
    ),
    ""0""
  ),
  ""Form not found""
)
"),"0")</f>
        <v>0</v>
      </c>
      <c r="AW1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1!$E:$E"")=$B146) *
        (IMPORTRANGE(""https://docs.google.com/spreadsheets/d/161aHT6vVT3SLneTKD19N5qVWtnj_jIT8CSsOmUVKmaA/e"&amp;"dit?gid=1761053510"",
          ""Haris_Form responses 1!$AQ:$AQ"")=6)
      ),
      1
    ),
    ""0""
  ),
  ""Form not found""
)
"),"Form not found")</f>
        <v>Form not found</v>
      </c>
      <c r="AX1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1!$E:$E"")=$B146) *
        (IMPORTRANGE(""https://docs.google.com/spreadsheets/d/161aHT6vVT3SLneTKD19N5qVWtnj_jIT8CSsOmUVKmaA/e"&amp;"dit?gid=1761053510"",
          ""Haris_Form responses 1!$AQ:$AQ"")=1)
      ),
      1
    ),
    ""0""
  ),
  ""Form not found""
)
"),"0")</f>
        <v>0</v>
      </c>
      <c r="AY1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1!$E:$E"")=$B146) *
        (IMPORTRANGE(""https://docs.google.com/spreadsheets/d/161aHT6vVT3SLneTKD19N5qVWtnj_jIT8CSsOmUVKmaA/e"&amp;"dit?gid=1761053510"",
          ""Haris_Form responses 1!$AQ:$AQ"")=2)
      ),
      1
    ),
    ""0""
  ),
  ""Form not found""
)
"),"0")</f>
        <v>0</v>
      </c>
      <c r="AZ1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1!$E:$E"")=$B146) *
        (IMPORTRANGE(""https://docs.google.com/spreadsheets/d/161aHT6vVT3SLneTKD19N5qVWtnj_jIT8CSsOmUVKmaA/e"&amp;"dit?gid=1761053510"",
          ""Haris_Form responses 1!$AQ:$AQ"")=3)
      ),
      1
    ),
    ""0""
  ),
  ""Form not found""
)
"),"2")</f>
        <v>2</v>
      </c>
      <c r="BA1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1!$E:$E"")=$B146) *
        (IMPORTRANGE(""https://docs.google.com/spreadsheets/d/161aHT6vVT3SLneTKD19N5qVWtnj_jIT8CSsOmUVKmaA/e"&amp;"dit?gid=1761053510"",
          ""Haris_Form responses 1!$AQ:$AQ"")=4)
      ),
      1
    ),
    ""0""
  ),
  ""Form not found""
)
"),"0")</f>
        <v>0</v>
      </c>
      <c r="BB1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1!$E:$E"")=$B146) *
        (IMPORTRANGE(""https://docs.google.com/spreadsheets/d/161aHT6vVT3SLneTKD19N5qVWtnj_jIT8CSsOmUVKmaA/e"&amp;"dit?gid=1761053510"",
          ""Haris_Form responses 1!$AQ:$AQ"")=5)
      ),
      1
    ),
    ""0""
  ),
  ""Form not found""
)
"),"0")</f>
        <v>0</v>
      </c>
      <c r="BC1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1!$E:$E"")=$B146) *
        (IMPORTRANGE(""https://docs.google.com/spreadsheets/d/161aHT6vVT3SLneTKD19N5qVWtnj_jIT8CSsOmUVKmaA/e"&amp;"dit?gid=1761053510"",
          ""Haris_Form responses 1!$AQ:$AQ"")=6)
      ),
      1
    ),
    ""0""
  ),
  ""Form not found""
)
"),"Form not found")</f>
        <v>Form not found</v>
      </c>
      <c r="BD146" s="293"/>
    </row>
    <row r="147">
      <c r="A147" s="283" t="str">
        <f>IFERROR(__xludf.DUMMYFUNCTION("VLOOKUP($B147,IMPORTRANGE(""https://docs.google.com/spreadsheets/d/1VNXDITjs75AcgdBSW27oL1VZH31udDprJSsBcE5xlp4/edit?gid=1551188038#gid=1551188038"", ""Sheet9!$B:$E""),2,false)"),"Multan")</f>
        <v>Multan</v>
      </c>
      <c r="B147" s="283" t="s">
        <v>4594</v>
      </c>
      <c r="C147" s="284" t="str">
        <f>IFERROR(__xludf.DUMMYFUNCTION("VLOOKUP(TRIM($B147), IMPORTRANGE(""https://docs.google.com/spreadsheets/d/1aSOrU4PTpuBZqfitKaH1Rfww6-YOiNCKoBpPl8XBHaw/edit?gid=0#gid=0"", ""sheet3!$B:$C""), 2, FALSE)
"),"Jamia Masjid Ghawajagaan Multan")</f>
        <v>Jamia Masjid Ghawajagaan Multan</v>
      </c>
      <c r="D147" s="284" t="str">
        <f>IFERROR(__xludf.DUMMYFUNCTION("IFERROR(
  INDEX(
    FILTER(
      IMPORTRANGE(""1aSOrU4PTpuBZqfitKaH1Rfww6-YOiNCKoBpPl8XBHaw/edit?gid=0#gid=0"",""Sheet1!G:G""),
      IMPORTRANGE(""1aSOrU4PTpuBZqfitKaH1Rfww6-YOiNCKoBpPl8XBHaw/edit?gid=0#gid=0"",""Sheet1!C:C"")=$B147
    ),
    1
  ),
"&amp;"  ""Not Found""
)"),"Women Secular Info Share")</f>
        <v>Women Secular Info Share</v>
      </c>
      <c r="E147" s="284" t="str">
        <f>VLOOKUP(B147,'Juma Recording forms'!A:E,5,false)</f>
        <v>Jamia masjid ghawajagaan Multan </v>
      </c>
      <c r="F147" s="284" t="str">
        <f>IFERROR(__xludf.DUMMYFUNCTION("IFERROR(
  INDEX(
    FILTER(
      IMPORTRANGE(""1Cxrhp3-_-HS7v9uuqQliiIfrmMP4VaFoDNDWyUFy2J8/edit?gid=0#gid=0"",""Sheet1!Q:Q""),
      IMPORTRANGE(""1Cxrhp3-_-HS7v9uuqQliiIfrmMP4VaFoDNDWyUFy2J8/edit?gid=0#gid=0"",""Sheet1!K:K"")=$B147
    ),
    1
  ),
"&amp;"  ""Not Found""
)"),"Mulna abdulhanan haideri")</f>
        <v>Mulna abdulhanan haideri</v>
      </c>
      <c r="G147" s="284">
        <v>1980.0</v>
      </c>
      <c r="H147" s="284"/>
      <c r="I147" s="285"/>
      <c r="J147" s="286">
        <v>2.0</v>
      </c>
      <c r="K147" s="287" t="str">
        <f>VLOOKUP($B147,'Mosque Locations'!$A:$E,3,FALSE)
</f>
        <v>https://maps.google.com/maps?q=30.1888693%2C71.4727359&amp;z=17&amp;hl=en</v>
      </c>
      <c r="L147" s="286">
        <f>VLOOKUP($B147,'Mosque Locations'!$A:$E,4,FALSE)
</f>
        <v>30.18887</v>
      </c>
      <c r="M147" s="286">
        <f>VLOOKUP($B147,'Mosque Locations'!$A:$E,5,false)</f>
        <v>71.47274</v>
      </c>
      <c r="N147" s="288"/>
      <c r="O147" s="288"/>
      <c r="P147" s="288"/>
      <c r="Q147" s="301" t="str">
        <f>IFERROR(__xludf.DUMMYFUNCTION("IFERROR(
  INDEX(
    FILTER(
      IMPORTRANGE(""1kOrIKZmJfNUkgOVP3sI9BPjaaPA0_a4636oymQxTXg8"",""Form Responses 1!N:N""),
      TRIM(IMPORTRANGE(""1kOrIKZmJfNUkgOVP3sI9BPjaaPA0_a4636oymQxTXg8"",""Form Responses 1!F:F""))=TRIM($B147)
    ),
    1
  ),
  "&amp;"""Not Found""
)
"),"https://drive.google.com/open?id=1pg3HMuV6UjgkSrVov8ERw2L2SrxPCEJD")</f>
        <v>https://drive.google.com/open?id=1pg3HMuV6UjgkSrVov8ERw2L2SrxPCEJD</v>
      </c>
      <c r="R147" s="301" t="str">
        <f>IFERROR(__xludf.DUMMYFUNCTION("IFERROR(
  INDEX(
    FILTER(
      IMPORTRANGE(""1kOrIKZmJfNUkgOVP3sI9BPjaaPA0_a4636oymQxTXg8"",""Form Responses 1!M:M""),
      TRIM(IMPORTRANGE(""1kOrIKZmJfNUkgOVP3sI9BPjaaPA0_a4636oymQxTXg8"",""Form Responses 1!F:F""))=TRIM($B147)
    ),
    1
  ),
  "&amp;"""Not Found""
)
"),"https://drive.google.com/open?id=1avJCMWH__bjahLD_9bqhxz3UU9k90cUT")</f>
        <v>https://drive.google.com/open?id=1avJCMWH__bjahLD_9bqhxz3UU9k90cUT</v>
      </c>
      <c r="S147" s="285"/>
      <c r="T147" s="290" t="str">
        <f>VLOOKUP($B147,'Master Tracker'!D:E,2,false)</f>
        <v>https://drive.google.com/open?id=1Dq5zHiFBbfz7DSVqOC_9MV48iHjfoCya</v>
      </c>
      <c r="U147" s="291" t="str">
        <f>VLOOKUP($B147,'Master Tracker'!$D:$T,4,FALSE)
</f>
        <v>https://drive.google.com/open?id=1WaFaQg6gTp36c14C72hoKlqzxlwD7zLE</v>
      </c>
      <c r="V147" s="290" t="str">
        <f>VLOOKUP($B147,'Master Tracker'!$D:$T,5,false)</f>
        <v>https://drive.google.com/open?id=1tsTFG873Y9i8lTX04KoKLbwJ3dvNjGwn</v>
      </c>
      <c r="W147" s="291" t="str">
        <f>VLOOKUP($B147,'Master Tracker'!$D:$T,7,false)</f>
        <v>https://drive.google.com/open?id=1uEtXN0R8TUX_xm-3qQL1l6hM7sK4IOiD</v>
      </c>
      <c r="X147" s="290" t="str">
        <f>VLOOKUP($B147,'Master Tracker'!$D:$T,8,false)</f>
        <v>https://drive.google.com/open?id=1kFCmwu8VZ24SI96e98BZA19PD80TYICc</v>
      </c>
      <c r="Y147" s="291" t="str">
        <f>VLOOKUP($B147,'Master Tracker'!$D:$T,10,false)</f>
        <v>https://drive.google.com/open?id=1MPOl0DYx7CukwzSpnlR49xCvZqGra1U0</v>
      </c>
      <c r="Z147" s="284" t="str">
        <f>VLOOKUP($B147,'Master Tracker'!$D:$T,11,false)</f>
        <v>Not Found</v>
      </c>
      <c r="AA147" s="292" t="str">
        <f>VLOOKUP($B147,'Master Tracker'!$D:$T,13,false)</f>
        <v>Not Found</v>
      </c>
      <c r="AB147" s="284" t="str">
        <f>VLOOKUP($B147,'Master Tracker'!$D:$T,14,false)</f>
        <v>Not Found</v>
      </c>
      <c r="AC147" s="292" t="str">
        <f>VLOOKUP($B147,'Master Tracker'!$D:$T,16,false)</f>
        <v>Not Found</v>
      </c>
      <c r="AD147" s="292" t="str">
        <f>VLOOKUP($B147,'Master Tracker'!$D:$T,17,false)</f>
        <v>Not Found</v>
      </c>
      <c r="AE147" s="292" t="str">
        <f>VLOOKUP($B147,'Master Tracker'!$D:$V,19,false)</f>
        <v>Not Found</v>
      </c>
      <c r="AF147" s="292">
        <f>IFERROR(__xludf.DUMMYFUNCTION("IFERROR(
  INDEX(
    FILTER(
      'Juma Recording forms'!$G:$G,
      TRIM('Juma Recording forms'!$F:$F) = TRIM($B147),
      'Juma Recording forms'!$AA:$AA = 1
    ),
    1
  ),
  ""Not Found""
)"),38.0)</f>
        <v>38</v>
      </c>
      <c r="AG147" s="292">
        <f>IFERROR(__xludf.DUMMYFUNCTION("IFERROR(
  INDEX(
    FILTER(
      'Juma Recording forms'!$G:$G,
      TRIM('Juma Recording forms'!$F:$F) = TRIM($B147),
      'Juma Recording forms'!$AA:$AA = 2
    ),
    1
  ),
  ""Not Found""
)"),40.0)</f>
        <v>40</v>
      </c>
      <c r="AH147" s="292">
        <f>IFERROR(__xludf.DUMMYFUNCTION("IFERROR(
  INDEX(
    FILTER(
      'Juma Recording forms'!$G:$G,
      TRIM('Juma Recording forms'!$F:$F) = TRIM($B147),
      'Juma Recording forms'!$AA:$AA = 3
    ),
    1
  ),
  ""Not Found""
)"),36.0)</f>
        <v>36</v>
      </c>
      <c r="AI147" s="292" t="str">
        <f>IFERROR(__xludf.DUMMYFUNCTION("IFERROR(
  INDEX(
    FILTER(
      'Juma Recording forms'!$G:$G,
      TRIM('Juma Recording forms'!$F:$F) = TRIM($B147),
      'Juma Recording forms'!$AA:$AA = 4
    ),
    1
  ),
  ""Not Found""
)"),"Not Found")</f>
        <v>Not Found</v>
      </c>
      <c r="AJ147" s="292" t="str">
        <f>IFERROR(__xludf.DUMMYFUNCTION("IFERROR(
  INDEX(
    FILTER(
      'Juma Recording forms'!$G:$G,
      TRIM('Juma Recording forms'!$F:$F) = TRIM($B147),
      'Juma Recording forms'!$AA:$AA = 5
    ),
    1
  ),
  ""Not Found""
)"),"Not Found")</f>
        <v>Not Found</v>
      </c>
      <c r="AK147" s="292" t="str">
        <f>IFERROR(__xludf.DUMMYFUNCTION("IFERROR(
  INDEX(
    FILTER(
      'Juma Recording forms'!$G:$G,
      TRIM('Juma Recording forms'!$F:$F) = TRIM($B147),
      'Juma Recording forms'!$AA:$AA = 6
    ),
    1
  ),
  ""Not Found""
)"),"Not Found")</f>
        <v>Not Found</v>
      </c>
      <c r="AL1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1!$E:$E"")=$B147) *
        (IMPORTRANGE(""https://docs.google.com/spreadsheets/d/161aHT6vVT3SLneTKD19N5qVWtnj_jIT8CSsOmUVKmaA/e"&amp;"dit?gid=1761053510"",
          ""Haris_Form responses 1!$AQ:$AQ"")=1)
      ),
      1
    ),
    ""0""
  ),
  ""Form not found""
)
"),"10")</f>
        <v>10</v>
      </c>
      <c r="AM1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1!$E:$E"")=$B147) *
        (IMPORTRANGE(""https://docs.google.com/spreadsheets/d/161aHT6vVT3SLneTKD19N5qVWtnj_jIT8CSsOmUVKmaA/e"&amp;"dit?gid=1761053510"",
          ""Haris_Form responses 1!$AQ:$AQ"")=2)
      ),
      1
    ),
    ""0""
  ),
  ""Form not found""
)
"),"10")</f>
        <v>10</v>
      </c>
      <c r="AN1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1!$E:$E"")=$B147) *
        (IMPORTRANGE(""https://docs.google.com/spreadsheets/d/161aHT6vVT3SLneTKD19N5qVWtnj_jIT8CSsOmUVKmaA/e"&amp;"dit?gid=1761053510"",
          ""Haris_Form responses 1!$AQ:$AQ"")=3)
      ),
      1
    ),
    ""0""
  ),
  ""Form not found""
)
"),"3")</f>
        <v>3</v>
      </c>
      <c r="AO1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1!$E:$E"")=$B147) *
        (IMPORTRANGE(""https://docs.google.com/spreadsheets/d/161aHT6vVT3SLneTKD19N5qVWtnj_jIT8CSsOmUVKmaA/e"&amp;"dit?gid=1761053510"",
          ""Haris_Form responses 1!$AQ:$AQ"")=4)
      ),
      1
    ),
    ""0""
  ),
  ""Form not found""
)
"),"Form not found")</f>
        <v>Form not found</v>
      </c>
      <c r="AP1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1!$E:$E"")=$B147) *
        (IMPORTRANGE(""https://docs.google.com/spreadsheets/d/161aHT6vVT3SLneTKD19N5qVWtnj_jIT8CSsOmUVKmaA/e"&amp;"dit?gid=1761053510"",
          ""Haris_Form responses 1!$AQ:$AQ"")=5)
      ),
      1
    ),
    ""0""
  ),
  ""Form not found""
)
"),"Form not found")</f>
        <v>Form not found</v>
      </c>
      <c r="AQ1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1!$E:$E"")=$B147) *
        (IMPORTRANGE(""https://docs.google.com/spreadsheets/d/161aHT6vVT3SLneTKD19N5qVWtnj_jIT8CSsOmUVKmaA/e"&amp;"dit?gid=1761053510"",
          ""Haris_Form responses 1!$AQ:$AQ"")=6)
      ),
      1
    ),
    ""0""
  ),
  ""Form not found""
)
"),"Form not found")</f>
        <v>Form not found</v>
      </c>
      <c r="AR1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1!$E:$E"")=$B147) *
        (IMPORTRANGE(""https://docs.google.com/spreadsheets/d/161aHT6vVT3SLneTKD19N5qVWtnj_jIT8CSsOmUVKmaA/e"&amp;"dit?gid=1761053510"",
          ""Haris_Form responses 1!$AQ:$AQ"")=1)
      ),
      1
    ),
    ""0""
  ),
  ""Form not found""
)
"),"0")</f>
        <v>0</v>
      </c>
      <c r="AS1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1!$E:$E"")=$B147) *
        (IMPORTRANGE(""https://docs.google.com/spreadsheets/d/161aHT6vVT3SLneTKD19N5qVWtnj_jIT8CSsOmUVKmaA/e"&amp;"dit?gid=1761053510"",
          ""Haris_Form responses 1!$AQ:$AQ"")=2)
      ),
      1
    ),
    ""0""
  ),
  ""Form not found""
)
"),"0")</f>
        <v>0</v>
      </c>
      <c r="AT1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1!$E:$E"")=$B147) *
        (IMPORTRANGE(""https://docs.google.com/spreadsheets/d/161aHT6vVT3SLneTKD19N5qVWtnj_jIT8CSsOmUVKmaA/e"&amp;"dit?gid=1761053510"",
          ""Haris_Form responses 1!$AQ:$AQ"")=3)
      ),
      1
    ),
    ""0""
  ),
  ""Form not found""
)
"),"0")</f>
        <v>0</v>
      </c>
      <c r="AU1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1!$E:$E"")=$B147) *
        (IMPORTRANGE(""https://docs.google.com/spreadsheets/d/161aHT6vVT3SLneTKD19N5qVWtnj_jIT8CSsOmUVKmaA/e"&amp;"dit?gid=1761053510"",
          ""Haris_Form responses 1!$AQ:$AQ"")=4)
      ),
      1
    ),
    ""0""
  ),
  ""Form not found""
)
"),"Form not found")</f>
        <v>Form not found</v>
      </c>
      <c r="AV1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1!$E:$E"")=$B147) *
        (IMPORTRANGE(""https://docs.google.com/spreadsheets/d/161aHT6vVT3SLneTKD19N5qVWtnj_jIT8CSsOmUVKmaA/e"&amp;"dit?gid=1761053510"",
          ""Haris_Form responses 1!$AQ:$AQ"")=5)
      ),
      1
    ),
    ""0""
  ),
  ""Form not found""
)
"),"Form not found")</f>
        <v>Form not found</v>
      </c>
      <c r="AW1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1!$E:$E"")=$B147) *
        (IMPORTRANGE(""https://docs.google.com/spreadsheets/d/161aHT6vVT3SLneTKD19N5qVWtnj_jIT8CSsOmUVKmaA/e"&amp;"dit?gid=1761053510"",
          ""Haris_Form responses 1!$AQ:$AQ"")=6)
      ),
      1
    ),
    ""0""
  ),
  ""Form not found""
)
"),"Form not found")</f>
        <v>Form not found</v>
      </c>
      <c r="AX1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1!$E:$E"")=$B147) *
        (IMPORTRANGE(""https://docs.google.com/spreadsheets/d/161aHT6vVT3SLneTKD19N5qVWtnj_jIT8CSsOmUVKmaA/e"&amp;"dit?gid=1761053510"",
          ""Haris_Form responses 1!$AQ:$AQ"")=1)
      ),
      1
    ),
    ""0""
  ),
  ""Form not found""
)
"),"10")</f>
        <v>10</v>
      </c>
      <c r="AY1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1!$E:$E"")=$B147) *
        (IMPORTRANGE(""https://docs.google.com/spreadsheets/d/161aHT6vVT3SLneTKD19N5qVWtnj_jIT8CSsOmUVKmaA/e"&amp;"dit?gid=1761053510"",
          ""Haris_Form responses 1!$AQ:$AQ"")=2)
      ),
      1
    ),
    ""0""
  ),
  ""Form not found""
)
"),"10")</f>
        <v>10</v>
      </c>
      <c r="AZ1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1!$E:$E"")=$B147) *
        (IMPORTRANGE(""https://docs.google.com/spreadsheets/d/161aHT6vVT3SLneTKD19N5qVWtnj_jIT8CSsOmUVKmaA/e"&amp;"dit?gid=1761053510"",
          ""Haris_Form responses 1!$AQ:$AQ"")=3)
      ),
      1
    ),
    ""0""
  ),
  ""Form not found""
)
"),"3")</f>
        <v>3</v>
      </c>
      <c r="BA1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1!$E:$E"")=$B147) *
        (IMPORTRANGE(""https://docs.google.com/spreadsheets/d/161aHT6vVT3SLneTKD19N5qVWtnj_jIT8CSsOmUVKmaA/e"&amp;"dit?gid=1761053510"",
          ""Haris_Form responses 1!$AQ:$AQ"")=4)
      ),
      1
    ),
    ""0""
  ),
  ""Form not found""
)
"),"Form not found")</f>
        <v>Form not found</v>
      </c>
      <c r="BB1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1!$E:$E"")=$B147) *
        (IMPORTRANGE(""https://docs.google.com/spreadsheets/d/161aHT6vVT3SLneTKD19N5qVWtnj_jIT8CSsOmUVKmaA/e"&amp;"dit?gid=1761053510"",
          ""Haris_Form responses 1!$AQ:$AQ"")=5)
      ),
      1
    ),
    ""0""
  ),
  ""Form not found""
)
"),"Form not found")</f>
        <v>Form not found</v>
      </c>
      <c r="BC1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1!$E:$E"")=$B147) *
        (IMPORTRANGE(""https://docs.google.com/spreadsheets/d/161aHT6vVT3SLneTKD19N5qVWtnj_jIT8CSsOmUVKmaA/e"&amp;"dit?gid=1761053510"",
          ""Haris_Form responses 1!$AQ:$AQ"")=6)
      ),
      1
    ),
    ""0""
  ),
  ""Form not found""
)
"),"Form not found")</f>
        <v>Form not found</v>
      </c>
      <c r="BD147" s="293"/>
    </row>
    <row r="148">
      <c r="A148" s="283" t="str">
        <f>IFERROR(__xludf.DUMMYFUNCTION("VLOOKUP($B148,IMPORTRANGE(""https://docs.google.com/spreadsheets/d/1VNXDITjs75AcgdBSW27oL1VZH31udDprJSsBcE5xlp4/edit?gid=1551188038#gid=1551188038"", ""Sheet9!$B:$E""),2,false)"),"Multan")</f>
        <v>Multan</v>
      </c>
      <c r="B148" s="283" t="s">
        <v>4595</v>
      </c>
      <c r="C148" s="284" t="str">
        <f>IFERROR(__xludf.DUMMYFUNCTION("VLOOKUP(TRIM($B148), IMPORTRANGE(""https://docs.google.com/spreadsheets/d/1aSOrU4PTpuBZqfitKaH1Rfww6-YOiNCKoBpPl8XBHaw/edit?gid=0#gid=0"", ""sheet3!$B:$C""), 2, FALSE)
"),"Jamia Masjid Peer Mubarak Ali Shah Multan")</f>
        <v>Jamia Masjid Peer Mubarak Ali Shah Multan</v>
      </c>
      <c r="D148" s="284" t="str">
        <f>IFERROR(__xludf.DUMMYFUNCTION("IFERROR(
  INDEX(
    FILTER(
      IMPORTRANGE(""1aSOrU4PTpuBZqfitKaH1Rfww6-YOiNCKoBpPl8XBHaw/edit?gid=0#gid=0"",""Sheet1!G:G""),
      IMPORTRANGE(""1aSOrU4PTpuBZqfitKaH1Rfww6-YOiNCKoBpPl8XBHaw/edit?gid=0#gid=0"",""Sheet1!C:C"")=$B148
    ),
    1
  ),
"&amp;"  ""Not Found""
)"),"Control")</f>
        <v>Control</v>
      </c>
      <c r="E148" s="284" t="str">
        <f>VLOOKUP(B148,'Juma Recording forms'!A:E,5,false)</f>
        <v>Jamia masjid peer Mubarak Ali shah</v>
      </c>
      <c r="F148" s="284" t="str">
        <f>IFERROR(__xludf.DUMMYFUNCTION("IFERROR(
  INDEX(
    FILTER(
      IMPORTRANGE(""1Cxrhp3-_-HS7v9uuqQliiIfrmMP4VaFoDNDWyUFy2J8/edit?gid=0#gid=0"",""Sheet1!Q:Q""),
      IMPORTRANGE(""1Cxrhp3-_-HS7v9uuqQliiIfrmMP4VaFoDNDWyUFy2J8/edit?gid=0#gid=0"",""Sheet1!K:K"")=$B148
    ),
    1
  ),
"&amp;"  ""Not Found""
)"),"ghulam fareed")</f>
        <v>ghulam fareed</v>
      </c>
      <c r="G148" s="292">
        <v>1988.0</v>
      </c>
      <c r="H148" s="284" t="s">
        <v>4858</v>
      </c>
      <c r="I148" s="285" t="s">
        <v>401</v>
      </c>
      <c r="J148" s="286">
        <v>2.0</v>
      </c>
      <c r="K148" s="287" t="str">
        <f>VLOOKUP($B148,'Mosque Locations'!$A:$E,3,FALSE)
</f>
        <v>https://maps.google.com/maps?q=30.1728005%2C71.4713214&amp;z=17&amp;hl=en</v>
      </c>
      <c r="L148" s="286">
        <f>VLOOKUP($B148,'Mosque Locations'!$A:$E,4,FALSE)
</f>
        <v>30.1728</v>
      </c>
      <c r="M148" s="286">
        <f>VLOOKUP($B148,'Mosque Locations'!$A:$E,5,false)</f>
        <v>71.47132</v>
      </c>
      <c r="N148" s="288"/>
      <c r="O148" s="288"/>
      <c r="P148" s="288"/>
      <c r="Q148" s="290" t="str">
        <f>IFERROR(__xludf.DUMMYFUNCTION("IFERROR(
  INDEX(
    FILTER(
      IMPORTRANGE(""1kOrIKZmJfNUkgOVP3sI9BPjaaPA0_a4636oymQxTXg8"",""Form Responses 1!N:N""),
      TRIM(IMPORTRANGE(""1kOrIKZmJfNUkgOVP3sI9BPjaaPA0_a4636oymQxTXg8"",""Form Responses 1!F:F""))=TRIM($B148)
    ),
    1
  ),
  "&amp;"""Not Found""
)
"),"https://drive.google.com/open?id=1pxrEH4UWL2aosz_geTYWs4Ya92NmuKvz")</f>
        <v>https://drive.google.com/open?id=1pxrEH4UWL2aosz_geTYWs4Ya92NmuKvz</v>
      </c>
      <c r="R148" s="289" t="str">
        <f>IFERROR(__xludf.DUMMYFUNCTION("IFERROR(
  INDEX(
    FILTER(
      IMPORTRANGE(""1kOrIKZmJfNUkgOVP3sI9BPjaaPA0_a4636oymQxTXg8"",""Form Responses 1!M:M""),
      TRIM(IMPORTRANGE(""1kOrIKZmJfNUkgOVP3sI9BPjaaPA0_a4636oymQxTXg8"",""Form Responses 1!F:F""))=TRIM($B148)
    ),
    1
  ),
  "&amp;"""Not Found""
)
"),"https://drive.google.com/open?id=1HHxIyE7IJMIaqJdbJaY407uvVMUgHJYV")</f>
        <v>https://drive.google.com/open?id=1HHxIyE7IJMIaqJdbJaY407uvVMUgHJYV</v>
      </c>
      <c r="S148" s="285"/>
      <c r="T148" s="290" t="str">
        <f>VLOOKUP($B148,'Master Tracker'!D:E,2,false)</f>
        <v>https://drive.google.com/open?id=1Mj9xUFhBxLRYrw9-9FI9cxfuZDTyuW62</v>
      </c>
      <c r="U148" s="291" t="str">
        <f>VLOOKUP($B148,'Master Tracker'!$D:$T,4,FALSE)
</f>
        <v>https://drive.google.com/open?id=1U4nMUeuxVr8kg1R33Y4We5r4JcaVxh35GywYH8KteTA</v>
      </c>
      <c r="V148" s="284" t="str">
        <f>VLOOKUP($B148,'Master Tracker'!$D:$T,5,false)</f>
        <v>Not Found</v>
      </c>
      <c r="W148" s="292" t="str">
        <f>VLOOKUP($B148,'Master Tracker'!$D:$T,7,false)</f>
        <v>Not Found</v>
      </c>
      <c r="X148" s="290" t="str">
        <f>VLOOKUP($B148,'Master Tracker'!$D:$T,8,false)</f>
        <v>https://drive.google.com/open?id=1rszldnj_eFL2Cf_golXMqaI4HMFprd2j</v>
      </c>
      <c r="Y148" s="291" t="str">
        <f>VLOOKUP($B148,'Master Tracker'!$D:$T,10,false)</f>
        <v>https://drive.google.com/open?id=1QwAD7T_b5uvDbv55ZP4lXHpqcxk1wp2Q</v>
      </c>
      <c r="Z148" s="284" t="str">
        <f>VLOOKUP($B148,'Master Tracker'!$D:$T,11,false)</f>
        <v>Not Found</v>
      </c>
      <c r="AA148" s="292" t="str">
        <f>VLOOKUP($B148,'Master Tracker'!$D:$T,13,false)</f>
        <v>Not Found</v>
      </c>
      <c r="AB148" s="284" t="str">
        <f>VLOOKUP($B148,'Master Tracker'!$D:$T,14,false)</f>
        <v>Not Found</v>
      </c>
      <c r="AC148" s="292" t="str">
        <f>VLOOKUP($B148,'Master Tracker'!$D:$T,16,false)</f>
        <v>Not Found</v>
      </c>
      <c r="AD148" s="292" t="str">
        <f>VLOOKUP($B148,'Master Tracker'!$D:$T,17,false)</f>
        <v>Not Found</v>
      </c>
      <c r="AE148" s="292" t="str">
        <f>VLOOKUP($B148,'Master Tracker'!$D:$V,19,false)</f>
        <v>Not Found</v>
      </c>
      <c r="AF148" s="292">
        <f>IFERROR(__xludf.DUMMYFUNCTION("IFERROR(
  INDEX(
    FILTER(
      'Juma Recording forms'!$G:$G,
      TRIM('Juma Recording forms'!$F:$F) = TRIM($B148),
      'Juma Recording forms'!$AA:$AA = 1
    ),
    1
  ),
  ""Not Found""
)"),57.0)</f>
        <v>57</v>
      </c>
      <c r="AG148" s="292" t="str">
        <f>IFERROR(__xludf.DUMMYFUNCTION("IFERROR(
  INDEX(
    FILTER(
      'Juma Recording forms'!$G:$G,
      TRIM('Juma Recording forms'!$F:$F) = TRIM($B148),
      'Juma Recording forms'!$AA:$AA = 2
    ),
    1
  ),
  ""Not Found""
)"),"Not Found")</f>
        <v>Not Found</v>
      </c>
      <c r="AH148" s="292">
        <f>IFERROR(__xludf.DUMMYFUNCTION("IFERROR(
  INDEX(
    FILTER(
      'Juma Recording forms'!$G:$G,
      TRIM('Juma Recording forms'!$F:$F) = TRIM($B148),
      'Juma Recording forms'!$AA:$AA = 3
    ),
    1
  ),
  ""Not Found""
)"),52.0)</f>
        <v>52</v>
      </c>
      <c r="AI148" s="292" t="str">
        <f>IFERROR(__xludf.DUMMYFUNCTION("IFERROR(
  INDEX(
    FILTER(
      'Juma Recording forms'!$G:$G,
      TRIM('Juma Recording forms'!$F:$F) = TRIM($B148),
      'Juma Recording forms'!$AA:$AA = 4
    ),
    1
  ),
  ""Not Found""
)"),"Not Found")</f>
        <v>Not Found</v>
      </c>
      <c r="AJ148" s="292" t="str">
        <f>IFERROR(__xludf.DUMMYFUNCTION("IFERROR(
  INDEX(
    FILTER(
      'Juma Recording forms'!$G:$G,
      TRIM('Juma Recording forms'!$F:$F) = TRIM($B148),
      'Juma Recording forms'!$AA:$AA = 5
    ),
    1
  ),
  ""Not Found""
)"),"Not Found")</f>
        <v>Not Found</v>
      </c>
      <c r="AK148" s="292"/>
      <c r="AL1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1!$E:$E"")=$B148) *
        (IMPORTRANGE(""https://docs.google.com/spreadsheets/d/161aHT6vVT3SLneTKD19N5qVWtnj_jIT8CSsOmUVKmaA/e"&amp;"dit?gid=1761053510"",
          ""Haris_Form responses 1!$AQ:$AQ"")=1)
      ),
      1
    ),
    ""0""
  ),
  ""Form not found""
)
"),"0")</f>
        <v>0</v>
      </c>
      <c r="AM1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1!$E:$E"")=$B148) *
        (IMPORTRANGE(""https://docs.google.com/spreadsheets/d/161aHT6vVT3SLneTKD19N5qVWtnj_jIT8CSsOmUVKmaA/e"&amp;"dit?gid=1761053510"",
          ""Haris_Form responses 1!$AQ:$AQ"")=2)
      ),
      1
    ),
    ""0""
  ),
  ""Form not found""
)
"),"Form not found")</f>
        <v>Form not found</v>
      </c>
      <c r="AN1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1!$E:$E"")=$B148) *
        (IMPORTRANGE(""https://docs.google.com/spreadsheets/d/161aHT6vVT3SLneTKD19N5qVWtnj_jIT8CSsOmUVKmaA/e"&amp;"dit?gid=1761053510"",
          ""Haris_Form responses 1!$AQ:$AQ"")=3)
      ),
      1
    ),
    ""0""
  ),
  ""Form not found""
)
"),"0")</f>
        <v>0</v>
      </c>
      <c r="AO1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1!$E:$E"")=$B148) *
        (IMPORTRANGE(""https://docs.google.com/spreadsheets/d/161aHT6vVT3SLneTKD19N5qVWtnj_jIT8CSsOmUVKmaA/e"&amp;"dit?gid=1761053510"",
          ""Haris_Form responses 1!$AQ:$AQ"")=4)
      ),
      1
    ),
    ""0""
  ),
  ""Form not found""
)
"),"Form not found")</f>
        <v>Form not found</v>
      </c>
      <c r="AP1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1!$E:$E"")=$B148) *
        (IMPORTRANGE(""https://docs.google.com/spreadsheets/d/161aHT6vVT3SLneTKD19N5qVWtnj_jIT8CSsOmUVKmaA/e"&amp;"dit?gid=1761053510"",
          ""Haris_Form responses 1!$AQ:$AQ"")=5)
      ),
      1
    ),
    ""0""
  ),
  ""Form not found""
)
"),"Form not found")</f>
        <v>Form not found</v>
      </c>
      <c r="AQ1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1!$E:$E"")=$B148) *
        (IMPORTRANGE(""https://docs.google.com/spreadsheets/d/161aHT6vVT3SLneTKD19N5qVWtnj_jIT8CSsOmUVKmaA/e"&amp;"dit?gid=1761053510"",
          ""Haris_Form responses 1!$AQ:$AQ"")=6)
      ),
      1
    ),
    ""0""
  ),
  ""Form not found""
)
"),"Form not found")</f>
        <v>Form not found</v>
      </c>
      <c r="AR1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1!$E:$E"")=$B148) *
        (IMPORTRANGE(""https://docs.google.com/spreadsheets/d/161aHT6vVT3SLneTKD19N5qVWtnj_jIT8CSsOmUVKmaA/e"&amp;"dit?gid=1761053510"",
          ""Haris_Form responses 1!$AQ:$AQ"")=1)
      ),
      1
    ),
    ""0""
  ),
  ""Form not found""
)
"),"0")</f>
        <v>0</v>
      </c>
      <c r="AS1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1!$E:$E"")=$B148) *
        (IMPORTRANGE(""https://docs.google.com/spreadsheets/d/161aHT6vVT3SLneTKD19N5qVWtnj_jIT8CSsOmUVKmaA/e"&amp;"dit?gid=1761053510"",
          ""Haris_Form responses 1!$AQ:$AQ"")=2)
      ),
      1
    ),
    ""0""
  ),
  ""Form not found""
)
"),"Form not found")</f>
        <v>Form not found</v>
      </c>
      <c r="AT1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1!$E:$E"")=$B148) *
        (IMPORTRANGE(""https://docs.google.com/spreadsheets/d/161aHT6vVT3SLneTKD19N5qVWtnj_jIT8CSsOmUVKmaA/e"&amp;"dit?gid=1761053510"",
          ""Haris_Form responses 1!$AQ:$AQ"")=3)
      ),
      1
    ),
    ""0""
  ),
  ""Form not found""
)
"),"0")</f>
        <v>0</v>
      </c>
      <c r="AU1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1!$E:$E"")=$B148) *
        (IMPORTRANGE(""https://docs.google.com/spreadsheets/d/161aHT6vVT3SLneTKD19N5qVWtnj_jIT8CSsOmUVKmaA/e"&amp;"dit?gid=1761053510"",
          ""Haris_Form responses 1!$AQ:$AQ"")=4)
      ),
      1
    ),
    ""0""
  ),
  ""Form not found""
)
"),"Form not found")</f>
        <v>Form not found</v>
      </c>
      <c r="AV1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1!$E:$E"")=$B148) *
        (IMPORTRANGE(""https://docs.google.com/spreadsheets/d/161aHT6vVT3SLneTKD19N5qVWtnj_jIT8CSsOmUVKmaA/e"&amp;"dit?gid=1761053510"",
          ""Haris_Form responses 1!$AQ:$AQ"")=5)
      ),
      1
    ),
    ""0""
  ),
  ""Form not found""
)
"),"Form not found")</f>
        <v>Form not found</v>
      </c>
      <c r="AW1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1!$E:$E"")=$B148) *
        (IMPORTRANGE(""https://docs.google.com/spreadsheets/d/161aHT6vVT3SLneTKD19N5qVWtnj_jIT8CSsOmUVKmaA/e"&amp;"dit?gid=1761053510"",
          ""Haris_Form responses 1!$AQ:$AQ"")=6)
      ),
      1
    ),
    ""0""
  ),
  ""Form not found""
)
"),"Form not found")</f>
        <v>Form not found</v>
      </c>
      <c r="AX1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1!$E:$E"")=$B148) *
        (IMPORTRANGE(""https://docs.google.com/spreadsheets/d/161aHT6vVT3SLneTKD19N5qVWtnj_jIT8CSsOmUVKmaA/e"&amp;"dit?gid=1761053510"",
          ""Haris_Form responses 1!$AQ:$AQ"")=1)
      ),
      1
    ),
    ""0""
  ),
  ""Form not found""
)
"),"0")</f>
        <v>0</v>
      </c>
      <c r="AY1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1!$E:$E"")=$B148) *
        (IMPORTRANGE(""https://docs.google.com/spreadsheets/d/161aHT6vVT3SLneTKD19N5qVWtnj_jIT8CSsOmUVKmaA/e"&amp;"dit?gid=1761053510"",
          ""Haris_Form responses 1!$AQ:$AQ"")=2)
      ),
      1
    ),
    ""0""
  ),
  ""Form not found""
)
"),"Form not found")</f>
        <v>Form not found</v>
      </c>
      <c r="AZ1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1!$E:$E"")=$B148) *
        (IMPORTRANGE(""https://docs.google.com/spreadsheets/d/161aHT6vVT3SLneTKD19N5qVWtnj_jIT8CSsOmUVKmaA/e"&amp;"dit?gid=1761053510"",
          ""Haris_Form responses 1!$AQ:$AQ"")=3)
      ),
      1
    ),
    ""0""
  ),
  ""Form not found""
)
"),"0")</f>
        <v>0</v>
      </c>
      <c r="BA1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1!$E:$E"")=$B148) *
        (IMPORTRANGE(""https://docs.google.com/spreadsheets/d/161aHT6vVT3SLneTKD19N5qVWtnj_jIT8CSsOmUVKmaA/e"&amp;"dit?gid=1761053510"",
          ""Haris_Form responses 1!$AQ:$AQ"")=4)
      ),
      1
    ),
    ""0""
  ),
  ""Form not found""
)
"),"Form not found")</f>
        <v>Form not found</v>
      </c>
      <c r="BB1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1!$E:$E"")=$B148) *
        (IMPORTRANGE(""https://docs.google.com/spreadsheets/d/161aHT6vVT3SLneTKD19N5qVWtnj_jIT8CSsOmUVKmaA/e"&amp;"dit?gid=1761053510"",
          ""Haris_Form responses 1!$AQ:$AQ"")=5)
      ),
      1
    ),
    ""0""
  ),
  ""Form not found""
)
"),"Form not found")</f>
        <v>Form not found</v>
      </c>
      <c r="BC1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1!$E:$E"")=$B148) *
        (IMPORTRANGE(""https://docs.google.com/spreadsheets/d/161aHT6vVT3SLneTKD19N5qVWtnj_jIT8CSsOmUVKmaA/e"&amp;"dit?gid=1761053510"",
          ""Haris_Form responses 1!$AQ:$AQ"")=6)
      ),
      1
    ),
    ""0""
  ),
  ""Form not found""
)
"),"Form not found")</f>
        <v>Form not found</v>
      </c>
      <c r="BD148" s="293"/>
    </row>
    <row r="149">
      <c r="A149" s="283" t="str">
        <f>IFERROR(__xludf.DUMMYFUNCTION("VLOOKUP($B149,IMPORTRANGE(""https://docs.google.com/spreadsheets/d/1VNXDITjs75AcgdBSW27oL1VZH31udDprJSsBcE5xlp4/edit?gid=1551188038#gid=1551188038"", ""Sheet9!$B:$E""),2,false)"),"Multan")</f>
        <v>Multan</v>
      </c>
      <c r="B149" s="283" t="s">
        <v>4124</v>
      </c>
      <c r="C149" s="284" t="str">
        <f>IFERROR(__xludf.DUMMYFUNCTION("VLOOKUP(TRIM($B149), IMPORTRANGE(""https://docs.google.com/spreadsheets/d/1aSOrU4PTpuBZqfitKaH1Rfww6-YOiNCKoBpPl8XBHaw/edit?gid=0#gid=0"", ""sheet3!$B:$C""), 2, FALSE)
"),"Jamia Masjid Kareem Khan Ahle Hadees Multan")</f>
        <v>Jamia Masjid Kareem Khan Ahle Hadees Multan</v>
      </c>
      <c r="D149" s="284" t="str">
        <f>IFERROR(__xludf.DUMMYFUNCTION("IFERROR(
  INDEX(
    FILTER(
      IMPORTRANGE(""1aSOrU4PTpuBZqfitKaH1Rfww6-YOiNCKoBpPl8XBHaw/edit?gid=0#gid=0"",""Sheet1!G:G""),
      IMPORTRANGE(""1aSOrU4PTpuBZqfitKaH1Rfww6-YOiNCKoBpPl8XBHaw/edit?gid=0#gid=0"",""Sheet1!C:C"")=$B149
    ),
    1
  ),
"&amp;"  ""Not Found""
)"),"Community Religious No Info Share")</f>
        <v>Community Religious No Info Share</v>
      </c>
      <c r="E149" s="284" t="str">
        <f>VLOOKUP(B149,'Juma Recording forms'!A:E,5,false)</f>
        <v>Jamia Masjid Kareem Khan Ahle Hadees Multan</v>
      </c>
      <c r="F149" s="284" t="str">
        <f>IFERROR(__xludf.DUMMYFUNCTION("IFERROR(
  INDEX(
    FILTER(
      IMPORTRANGE(""1Cxrhp3-_-HS7v9uuqQliiIfrmMP4VaFoDNDWyUFy2J8/edit?gid=0#gid=0"",""Sheet1!Q:Q""),
      IMPORTRANGE(""1Cxrhp3-_-HS7v9uuqQliiIfrmMP4VaFoDNDWyUFy2J8/edit?gid=0#gid=0"",""Sheet1!K:K"")=$B149
    ),
    1
  ),
"&amp;"  ""Not Found""
)"),"Not Found")</f>
        <v>Not Found</v>
      </c>
      <c r="G149" s="284"/>
      <c r="H149" s="284"/>
      <c r="I149" s="285" t="s">
        <v>197</v>
      </c>
      <c r="J149" s="286">
        <v>2.0</v>
      </c>
      <c r="K149" s="287" t="str">
        <f>VLOOKUP($B149,'Mosque Locations'!$A:$E,3,FALSE)
</f>
        <v>https://goo.gl/maps/wqRxtfXKwtn7eZFz9</v>
      </c>
      <c r="L149" s="286">
        <f>VLOOKUP($B149,'Mosque Locations'!$A:$E,4,FALSE)
</f>
        <v>30.20117</v>
      </c>
      <c r="M149" s="286" t="str">
        <f>VLOOKUP($B149,'Mosque Locations'!$A:$E,5,false)</f>
        <v>71.46691 (approx)</v>
      </c>
      <c r="N149" s="288"/>
      <c r="O149" s="288"/>
      <c r="P149" s="288"/>
      <c r="Q149" s="289" t="str">
        <f>IFERROR(__xludf.DUMMYFUNCTION("IFERROR(
  INDEX(
    FILTER(
      IMPORTRANGE(""1kOrIKZmJfNUkgOVP3sI9BPjaaPA0_a4636oymQxTXg8"",""Form Responses 1!N:N""),
      TRIM(IMPORTRANGE(""1kOrIKZmJfNUkgOVP3sI9BPjaaPA0_a4636oymQxTXg8"",""Form Responses 1!F:F""))=TRIM($B149)
    ),
    1
  ),
  "&amp;"""Not Found""
)
"),"https://drive.google.com/open?id=1blD-CZ-t4cbnfUmlN_fUt2yMHAcVJO99")</f>
        <v>https://drive.google.com/open?id=1blD-CZ-t4cbnfUmlN_fUt2yMHAcVJO99</v>
      </c>
      <c r="R149" s="289" t="str">
        <f>IFERROR(__xludf.DUMMYFUNCTION("IFERROR(
  INDEX(
    FILTER(
      IMPORTRANGE(""1kOrIKZmJfNUkgOVP3sI9BPjaaPA0_a4636oymQxTXg8"",""Form Responses 1!M:M""),
      TRIM(IMPORTRANGE(""1kOrIKZmJfNUkgOVP3sI9BPjaaPA0_a4636oymQxTXg8"",""Form Responses 1!F:F""))=TRIM($B149)
    ),
    1
  ),
  "&amp;"""Not Found""
)
"),"https://drive.google.com/open?id=1FKVSmPBGmBL6k6iAh-rGHloUwwRj5MgC")</f>
        <v>https://drive.google.com/open?id=1FKVSmPBGmBL6k6iAh-rGHloUwwRj5MgC</v>
      </c>
      <c r="S149" s="285"/>
      <c r="T149" s="290" t="str">
        <f>VLOOKUP($B149,'Master Tracker'!D:E,2,false)</f>
        <v>https://drive.google.com/open?id=16AA7fvX-DSLgZl2oyEXRj-AprcvRvtNk</v>
      </c>
      <c r="U149" s="291" t="str">
        <f>VLOOKUP($B149,'Master Tracker'!$D:$T,4,FALSE)
</f>
        <v>https://drive.google.com/open?id=17vv-I4iOKvIjdaG0dh3teCx_fVkf5MNM</v>
      </c>
      <c r="V149" s="290" t="str">
        <f>VLOOKUP($B149,'Master Tracker'!$D:$T,5,false)</f>
        <v>https://drive.google.com/open?id=1ycGVqwwmojsx4OIXqMn8Pbwr8MqutQDb</v>
      </c>
      <c r="W149" s="291" t="str">
        <f>VLOOKUP($B149,'Master Tracker'!$D:$T,7,false)</f>
        <v>https://drive.google.com/open?id=1VoXqFltymkrNwYRSuj4pnfXHcan7zd3A</v>
      </c>
      <c r="X149" s="290" t="str">
        <f>VLOOKUP($B149,'Master Tracker'!$D:$T,8,false)</f>
        <v>https://drive.google.com/open?id=1gSj-S8ajvaIjtVHJUfs2HESZEtng-cR_</v>
      </c>
      <c r="Y149" s="291" t="str">
        <f>VLOOKUP($B149,'Master Tracker'!$D:$T,10,false)</f>
        <v>https://drive.google.com/open?id=15iqofTVELuqsSiDIaayIyitlPyWmg8iUs8FDBNaXKK4</v>
      </c>
      <c r="Z149" s="290" t="str">
        <f>VLOOKUP($B149,'Master Tracker'!$D:$T,11,false)</f>
        <v>https://drive.google.com/open?id=1dE0FR58RFaOhSOACHTwwpSDjixZ5eGU2</v>
      </c>
      <c r="AA149" s="291" t="str">
        <f>VLOOKUP($B149,'Master Tracker'!$D:$T,13,false)</f>
        <v>https://drive.google.com/file/d/1TBwPx9QxllPperENDYjIDC4wS_n0Riyv/view?usp=sharing</v>
      </c>
      <c r="AB149" s="290" t="str">
        <f>VLOOKUP($B149,'Master Tracker'!$D:$T,14,false)</f>
        <v>https://drive.google.com/open?id=1V_VpvKPICEFeoqkwesEDxi4jxFi7pYHf</v>
      </c>
      <c r="AC149" s="291" t="str">
        <f>VLOOKUP($B149,'Master Tracker'!$D:$T,16,false)</f>
        <v>https://drive.google.com/open?id=1_L836gNbcuGgBhvNDHiC_7jcyGKgD1Ro</v>
      </c>
      <c r="AD149" s="292" t="str">
        <f>VLOOKUP($B149,'Master Tracker'!$D:$T,17,false)</f>
        <v>Not Found</v>
      </c>
      <c r="AE149" s="292" t="str">
        <f>VLOOKUP($B149,'Master Tracker'!$D:$V,19,false)</f>
        <v>Not Found</v>
      </c>
      <c r="AF149" s="292">
        <f>IFERROR(__xludf.DUMMYFUNCTION("IFERROR(
  INDEX(
    FILTER(
      'Juma Recording forms'!$G:$G,
      TRIM('Juma Recording forms'!$F:$F) = TRIM($B149),
      'Juma Recording forms'!$AA:$AA = 1
    ),
    1
  ),
  ""Not Found""
)"),107.0)</f>
        <v>107</v>
      </c>
      <c r="AG149" s="292">
        <f>IFERROR(__xludf.DUMMYFUNCTION("IFERROR(
  INDEX(
    FILTER(
      'Juma Recording forms'!$G:$G,
      TRIM('Juma Recording forms'!$F:$F) = TRIM($B149),
      'Juma Recording forms'!$AA:$AA = 2
    ),
    1
  ),
  ""Not Found""
)"),113.0)</f>
        <v>113</v>
      </c>
      <c r="AH149" s="292">
        <f>IFERROR(__xludf.DUMMYFUNCTION("IFERROR(
  INDEX(
    FILTER(
      'Juma Recording forms'!$G:$G,
      TRIM('Juma Recording forms'!$F:$F) = TRIM($B149),
      'Juma Recording forms'!$AA:$AA = 3
    ),
    1
  ),
  ""Not Found""
)"),112.0)</f>
        <v>112</v>
      </c>
      <c r="AI149" s="292">
        <f>IFERROR(__xludf.DUMMYFUNCTION("IFERROR(
  INDEX(
    FILTER(
      'Juma Recording forms'!$G:$G,
      TRIM('Juma Recording forms'!$F:$F) = TRIM($B149),
      'Juma Recording forms'!$AA:$AA = 4
    ),
    1
  ),
  ""Not Found""
)"),106.0)</f>
        <v>106</v>
      </c>
      <c r="AJ149" s="292">
        <f>IFERROR(__xludf.DUMMYFUNCTION("IFERROR(
  INDEX(
    FILTER(
      'Juma Recording forms'!$G:$G,
      TRIM('Juma Recording forms'!$F:$F) = TRIM($B149),
      'Juma Recording forms'!$AA:$AA = 5
    ),
    1
  ),
  ""Not Found""
)"),115.0)</f>
        <v>115</v>
      </c>
      <c r="AK149" s="292" t="str">
        <f>IFERROR(__xludf.DUMMYFUNCTION("IFERROR(
  INDEX(
    FILTER(
      'Juma Recording forms'!$G:$G,
      TRIM('Juma Recording forms'!$F:$F) = TRIM($B149),
      'Juma Recording forms'!$AA:$AA = 6
    ),
    1
  ),
  ""Not Found""
)"),"Not Found")</f>
        <v>Not Found</v>
      </c>
      <c r="AL1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1!$E:$E"")=$B149) *
        (IMPORTRANGE(""https://docs.google.com/spreadsheets/d/161aHT6vVT3SLneTKD19N5qVWtnj_jIT8CSsOmUVKmaA/e"&amp;"dit?gid=1761053510"",
          ""Haris_Form responses 1!$AQ:$AQ"")=1)
      ),
      1
    ),
    ""0""
  ),
  ""Form not found""
)
"),"0")</f>
        <v>0</v>
      </c>
      <c r="AM1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1!$E:$E"")=$B149) *
        (IMPORTRANGE(""https://docs.google.com/spreadsheets/d/161aHT6vVT3SLneTKD19N5qVWtnj_jIT8CSsOmUVKmaA/e"&amp;"dit?gid=1761053510"",
          ""Haris_Form responses 1!$AQ:$AQ"")=2)
      ),
      1
    ),
    ""0""
  ),
  ""Form not found""
)
"),"0")</f>
        <v>0</v>
      </c>
      <c r="AN1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1!$E:$E"")=$B149) *
        (IMPORTRANGE(""https://docs.google.com/spreadsheets/d/161aHT6vVT3SLneTKD19N5qVWtnj_jIT8CSsOmUVKmaA/e"&amp;"dit?gid=1761053510"",
          ""Haris_Form responses 1!$AQ:$AQ"")=3)
      ),
      1
    ),
    ""0""
  ),
  ""Form not found""
)
"),"10")</f>
        <v>10</v>
      </c>
      <c r="AO1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1!$E:$E"")=$B149) *
        (IMPORTRANGE(""https://docs.google.com/spreadsheets/d/161aHT6vVT3SLneTKD19N5qVWtnj_jIT8CSsOmUVKmaA/e"&amp;"dit?gid=1761053510"",
          ""Haris_Form responses 1!$AQ:$AQ"")=4)
      ),
      1
    ),
    ""0""
  ),
  ""Form not found""
)
"),"10")</f>
        <v>10</v>
      </c>
      <c r="AP1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1!$E:$E"")=$B149) *
        (IMPORTRANGE(""https://docs.google.com/spreadsheets/d/161aHT6vVT3SLneTKD19N5qVWtnj_jIT8CSsOmUVKmaA/e"&amp;"dit?gid=1761053510"",
          ""Haris_Form responses 1!$AQ:$AQ"")=5)
      ),
      1
    ),
    ""0""
  ),
  ""Form not found""
)
"),"0")</f>
        <v>0</v>
      </c>
      <c r="AQ1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1!$E:$E"")=$B149) *
        (IMPORTRANGE(""https://docs.google.com/spreadsheets/d/161aHT6vVT3SLneTKD19N5qVWtnj_jIT8CSsOmUVKmaA/e"&amp;"dit?gid=1761053510"",
          ""Haris_Form responses 1!$AQ:$AQ"")=6)
      ),
      1
    ),
    ""0""
  ),
  ""Form not found""
)
"),"Form not found")</f>
        <v>Form not found</v>
      </c>
      <c r="AR1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1!$E:$E"")=$B149) *
        (IMPORTRANGE(""https://docs.google.com/spreadsheets/d/161aHT6vVT3SLneTKD19N5qVWtnj_jIT8CSsOmUVKmaA/e"&amp;"dit?gid=1761053510"",
          ""Haris_Form responses 1!$AQ:$AQ"")=1)
      ),
      1
    ),
    ""0""
  ),
  ""Form not found""
)
"),"0")</f>
        <v>0</v>
      </c>
      <c r="AS1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1!$E:$E"")=$B149) *
        (IMPORTRANGE(""https://docs.google.com/spreadsheets/d/161aHT6vVT3SLneTKD19N5qVWtnj_jIT8CSsOmUVKmaA/e"&amp;"dit?gid=1761053510"",
          ""Haris_Form responses 1!$AQ:$AQ"")=2)
      ),
      1
    ),
    ""0""
  ),
  ""Form not found""
)
"),"0")</f>
        <v>0</v>
      </c>
      <c r="AT1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1!$E:$E"")=$B149) *
        (IMPORTRANGE(""https://docs.google.com/spreadsheets/d/161aHT6vVT3SLneTKD19N5qVWtnj_jIT8CSsOmUVKmaA/e"&amp;"dit?gid=1761053510"",
          ""Haris_Form responses 1!$AQ:$AQ"")=3)
      ),
      1
    ),
    ""0""
  ),
  ""Form not found""
)
"),"9")</f>
        <v>9</v>
      </c>
      <c r="AU1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1!$E:$E"")=$B149) *
        (IMPORTRANGE(""https://docs.google.com/spreadsheets/d/161aHT6vVT3SLneTKD19N5qVWtnj_jIT8CSsOmUVKmaA/e"&amp;"dit?gid=1761053510"",
          ""Haris_Form responses 1!$AQ:$AQ"")=4)
      ),
      1
    ),
    ""0""
  ),
  ""Form not found""
)
"),"10")</f>
        <v>10</v>
      </c>
      <c r="AV1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1!$E:$E"")=$B149) *
        (IMPORTRANGE(""https://docs.google.com/spreadsheets/d/161aHT6vVT3SLneTKD19N5qVWtnj_jIT8CSsOmUVKmaA/e"&amp;"dit?gid=1761053510"",
          ""Haris_Form responses 1!$AQ:$AQ"")=5)
      ),
      1
    ),
    ""0""
  ),
  ""Form not found""
)
"),"0")</f>
        <v>0</v>
      </c>
      <c r="AW1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1!$E:$E"")=$B149) *
        (IMPORTRANGE(""https://docs.google.com/spreadsheets/d/161aHT6vVT3SLneTKD19N5qVWtnj_jIT8CSsOmUVKmaA/e"&amp;"dit?gid=1761053510"",
          ""Haris_Form responses 1!$AQ:$AQ"")=6)
      ),
      1
    ),
    ""0""
  ),
  ""Form not found""
)
"),"Form not found")</f>
        <v>Form not found</v>
      </c>
      <c r="AX1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1!$E:$E"")=$B149) *
        (IMPORTRANGE(""https://docs.google.com/spreadsheets/d/161aHT6vVT3SLneTKD19N5qVWtnj_jIT8CSsOmUVKmaA/e"&amp;"dit?gid=1761053510"",
          ""Haris_Form responses 1!$AQ:$AQ"")=1)
      ),
      1
    ),
    ""0""
  ),
  ""Form not found""
)
"),"0")</f>
        <v>0</v>
      </c>
      <c r="AY1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1!$E:$E"")=$B149) *
        (IMPORTRANGE(""https://docs.google.com/spreadsheets/d/161aHT6vVT3SLneTKD19N5qVWtnj_jIT8CSsOmUVKmaA/e"&amp;"dit?gid=1761053510"",
          ""Haris_Form responses 1!$AQ:$AQ"")=2)
      ),
      1
    ),
    ""0""
  ),
  ""Form not found""
)
"),"0")</f>
        <v>0</v>
      </c>
      <c r="AZ1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1!$E:$E"")=$B149) *
        (IMPORTRANGE(""https://docs.google.com/spreadsheets/d/161aHT6vVT3SLneTKD19N5qVWtnj_jIT8CSsOmUVKmaA/e"&amp;"dit?gid=1761053510"",
          ""Haris_Form responses 1!$AQ:$AQ"")=3)
      ),
      1
    ),
    ""0""
  ),
  ""Form not found""
)
"),"0")</f>
        <v>0</v>
      </c>
      <c r="BA1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1!$E:$E"")=$B149) *
        (IMPORTRANGE(""https://docs.google.com/spreadsheets/d/161aHT6vVT3SLneTKD19N5qVWtnj_jIT8CSsOmUVKmaA/e"&amp;"dit?gid=1761053510"",
          ""Haris_Form responses 1!$AQ:$AQ"")=4)
      ),
      1
    ),
    ""0""
  ),
  ""Form not found""
)
"),"0")</f>
        <v>0</v>
      </c>
      <c r="BB1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1!$E:$E"")=$B149) *
        (IMPORTRANGE(""https://docs.google.com/spreadsheets/d/161aHT6vVT3SLneTKD19N5qVWtnj_jIT8CSsOmUVKmaA/e"&amp;"dit?gid=1761053510"",
          ""Haris_Form responses 1!$AQ:$AQ"")=5)
      ),
      1
    ),
    ""0""
  ),
  ""Form not found""
)
"),"0")</f>
        <v>0</v>
      </c>
      <c r="BC1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1!$E:$E"")=$B149) *
        (IMPORTRANGE(""https://docs.google.com/spreadsheets/d/161aHT6vVT3SLneTKD19N5qVWtnj_jIT8CSsOmUVKmaA/e"&amp;"dit?gid=1761053510"",
          ""Haris_Form responses 1!$AQ:$AQ"")=6)
      ),
      1
    ),
    ""0""
  ),
  ""Form not found""
)
"),"Form not found")</f>
        <v>Form not found</v>
      </c>
      <c r="BD149" s="293"/>
    </row>
    <row r="150">
      <c r="A150" s="283" t="str">
        <f>IFERROR(__xludf.DUMMYFUNCTION("VLOOKUP($B150,IMPORTRANGE(""https://docs.google.com/spreadsheets/d/1VNXDITjs75AcgdBSW27oL1VZH31udDprJSsBcE5xlp4/edit?gid=1551188038#gid=1551188038"", ""Sheet9!$B:$E""),2,false)"),"Multan")</f>
        <v>Multan</v>
      </c>
      <c r="B150" s="283" t="s">
        <v>4596</v>
      </c>
      <c r="C150" s="284" t="str">
        <f>IFERROR(__xludf.DUMMYFUNCTION("VLOOKUP(TRIM($B150), IMPORTRANGE(""https://docs.google.com/spreadsheets/d/1aSOrU4PTpuBZqfitKaH1Rfww6-YOiNCKoBpPl8XBHaw/edit?gid=0#gid=0"", ""sheet3!$B:$C""), 2, FALSE)
"),"Jamia Masjid Multan Cantt Multan")</f>
        <v>Jamia Masjid Multan Cantt Multan</v>
      </c>
      <c r="D150" s="284" t="str">
        <f>IFERROR(__xludf.DUMMYFUNCTION("IFERROR(
  INDEX(
    FILTER(
      IMPORTRANGE(""1aSOrU4PTpuBZqfitKaH1Rfww6-YOiNCKoBpPl8XBHaw/edit?gid=0#gid=0"",""Sheet1!G:G""),
      IMPORTRANGE(""1aSOrU4PTpuBZqfitKaH1Rfww6-YOiNCKoBpPl8XBHaw/edit?gid=0#gid=0"",""Sheet1!C:C"")=$B150
    ),
    1
  ),
"&amp;"  ""Not Found""
)"),"Control")</f>
        <v>Control</v>
      </c>
      <c r="E150" s="284" t="str">
        <f>VLOOKUP(B150,'Juma Recording forms'!A:E,5,false)</f>
        <v>Jamia masjid Lal</v>
      </c>
      <c r="F150" s="284" t="str">
        <f>IFERROR(__xludf.DUMMYFUNCTION("IFERROR(
  INDEX(
    FILTER(
      IMPORTRANGE(""1Cxrhp3-_-HS7v9uuqQliiIfrmMP4VaFoDNDWyUFy2J8/edit?gid=0#gid=0"",""Sheet1!Q:Q""),
      IMPORTRANGE(""1Cxrhp3-_-HS7v9uuqQliiIfrmMP4VaFoDNDWyUFy2J8/edit?gid=0#gid=0"",""Sheet1!K:K"")=$B150
    ),
    1
  ),
"&amp;"  ""Not Found""
)"),"Qari Haroon Hashmi")</f>
        <v>Qari Haroon Hashmi</v>
      </c>
      <c r="G150" s="284">
        <v>1962.0</v>
      </c>
      <c r="H150" s="284"/>
      <c r="I150" s="285" t="s">
        <v>197</v>
      </c>
      <c r="J150" s="286">
        <v>2.0</v>
      </c>
      <c r="K150" s="287" t="str">
        <f>VLOOKUP($B150,'Mosque Locations'!$A:$E,3,FALSE)
</f>
        <v>30°11'17.1"N 71°26'17.8"E - Google Maps</v>
      </c>
      <c r="L150" s="286" t="str">
        <f>VLOOKUP($B150,'Mosque Locations'!$A:$E,4,FALSE)
</f>
        <v/>
      </c>
      <c r="M150" s="286" t="str">
        <f>VLOOKUP($B150,'Mosque Locations'!$A:$E,5,false)</f>
        <v/>
      </c>
      <c r="N150" s="288"/>
      <c r="O150" s="288"/>
      <c r="P150" s="288"/>
      <c r="Q150" s="289" t="str">
        <f>IFERROR(__xludf.DUMMYFUNCTION("IFERROR(
  INDEX(
    FILTER(
      IMPORTRANGE(""1kOrIKZmJfNUkgOVP3sI9BPjaaPA0_a4636oymQxTXg8"",""Form Responses 1!N:N""),
      TRIM(IMPORTRANGE(""1kOrIKZmJfNUkgOVP3sI9BPjaaPA0_a4636oymQxTXg8"",""Form Responses 1!F:F""))=TRIM($B150)
    ),
    1
  ),
  "&amp;"""Not Found""
)
"),"https://drive.google.com/open?id=1ErNmqQZw4jtCJpl-F1zmkpe5aEeDieN8")</f>
        <v>https://drive.google.com/open?id=1ErNmqQZw4jtCJpl-F1zmkpe5aEeDieN8</v>
      </c>
      <c r="R150" s="289" t="str">
        <f>IFERROR(__xludf.DUMMYFUNCTION("IFERROR(
  INDEX(
    FILTER(
      IMPORTRANGE(""1kOrIKZmJfNUkgOVP3sI9BPjaaPA0_a4636oymQxTXg8"",""Form Responses 1!M:M""),
      TRIM(IMPORTRANGE(""1kOrIKZmJfNUkgOVP3sI9BPjaaPA0_a4636oymQxTXg8"",""Form Responses 1!F:F""))=TRIM($B150)
    ),
    1
  ),
  "&amp;"""Not Found""
)
"),"https://drive.google.com/open?id=1vC2oPZFwnsHE0RC9JtgBBi96nam1_GEw")</f>
        <v>https://drive.google.com/open?id=1vC2oPZFwnsHE0RC9JtgBBi96nam1_GEw</v>
      </c>
      <c r="S150" s="285"/>
      <c r="T150" s="290" t="str">
        <f>VLOOKUP($B150,'Master Tracker'!D:E,2,false)</f>
        <v>https://drive.google.com/open?id=1yx1c4wIRewAKcggOeCALUUM2jVuFZhuo</v>
      </c>
      <c r="U150" s="291" t="str">
        <f>VLOOKUP($B150,'Master Tracker'!$D:$T,4,FALSE)
</f>
        <v>https://drive.google.com/open?id=19F5oJr2EJoe6h8iXgZm1iaUud2WOXC9Jny0fhZ1gY5A</v>
      </c>
      <c r="V150" s="284" t="str">
        <f>VLOOKUP($B150,'Master Tracker'!$D:$T,5,false)</f>
        <v>Not Found</v>
      </c>
      <c r="W150" s="292" t="str">
        <f>VLOOKUP($B150,'Master Tracker'!$D:$T,7,false)</f>
        <v>Not Found</v>
      </c>
      <c r="X150" s="290" t="str">
        <f>VLOOKUP($B150,'Master Tracker'!$D:$T,8,false)</f>
        <v>https://drive.google.com/open?id=15SmFNcAfh4f1vlsBmy836yZrjyVh6_cs</v>
      </c>
      <c r="Y150" s="291" t="str">
        <f>VLOOKUP($B150,'Master Tracker'!$D:$T,10,false)</f>
        <v>https://drive.google.com/open?id=1sddCS4y-dQJ1DzXWJm_wCYvplUpHueU42erUBBvUxK4</v>
      </c>
      <c r="Z150" s="284" t="str">
        <f>VLOOKUP($B150,'Master Tracker'!$D:$T,11,false)</f>
        <v>Not Found</v>
      </c>
      <c r="AA150" s="292" t="str">
        <f>VLOOKUP($B150,'Master Tracker'!$D:$T,13,false)</f>
        <v>Not Found</v>
      </c>
      <c r="AB150" s="284" t="str">
        <f>VLOOKUP($B150,'Master Tracker'!$D:$T,14,false)</f>
        <v>Not Found</v>
      </c>
      <c r="AC150" s="292" t="str">
        <f>VLOOKUP($B150,'Master Tracker'!$D:$T,16,false)</f>
        <v>Not Found</v>
      </c>
      <c r="AD150" s="292" t="str">
        <f>VLOOKUP($B150,'Master Tracker'!$D:$T,17,false)</f>
        <v>Not Found</v>
      </c>
      <c r="AE150" s="292" t="str">
        <f>VLOOKUP($B150,'Master Tracker'!$D:$V,19,false)</f>
        <v>Not Found</v>
      </c>
      <c r="AF150" s="292">
        <f>IFERROR(__xludf.DUMMYFUNCTION("IFERROR(
  INDEX(
    FILTER(
      'Juma Recording forms'!$G:$G,
      TRIM('Juma Recording forms'!$F:$F) = TRIM($B150),
      'Juma Recording forms'!$AA:$AA = 1
    ),
    1
  ),
  ""Not Found""
)"),825.0)</f>
        <v>825</v>
      </c>
      <c r="AG150" s="292" t="str">
        <f>IFERROR(__xludf.DUMMYFUNCTION("IFERROR(
  INDEX(
    FILTER(
      'Juma Recording forms'!$G:$G,
      TRIM('Juma Recording forms'!$F:$F) = TRIM($B150),
      'Juma Recording forms'!$AA:$AA = 2
    ),
    1
  ),
  ""Not Found""
)"),"Not Found")</f>
        <v>Not Found</v>
      </c>
      <c r="AH150" s="292">
        <f>IFERROR(__xludf.DUMMYFUNCTION("IFERROR(
  INDEX(
    FILTER(
      'Juma Recording forms'!$G:$G,
      TRIM('Juma Recording forms'!$F:$F) = TRIM($B150),
      'Juma Recording forms'!$AA:$AA = 3
    ),
    1
  ),
  ""Not Found""
)"),814.0)</f>
        <v>814</v>
      </c>
      <c r="AI150" s="292" t="str">
        <f>IFERROR(__xludf.DUMMYFUNCTION("IFERROR(
  INDEX(
    FILTER(
      'Juma Recording forms'!$G:$G,
      TRIM('Juma Recording forms'!$F:$F) = TRIM($B150),
      'Juma Recording forms'!$AA:$AA = 4
    ),
    1
  ),
  ""Not Found""
)"),"Not Found")</f>
        <v>Not Found</v>
      </c>
      <c r="AJ150" s="292" t="str">
        <f>IFERROR(__xludf.DUMMYFUNCTION("IFERROR(
  INDEX(
    FILTER(
      'Juma Recording forms'!$G:$G,
      TRIM('Juma Recording forms'!$F:$F) = TRIM($B150),
      'Juma Recording forms'!$AA:$AA = 5
    ),
    1
  ),
  ""Not Found""
)"),"Not Found")</f>
        <v>Not Found</v>
      </c>
      <c r="AK150" s="292"/>
      <c r="AL1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1!$E:$E"")=$B150) *
        (IMPORTRANGE(""https://docs.google.com/spreadsheets/d/161aHT6vVT3SLneTKD19N5qVWtnj_jIT8CSsOmUVKmaA/e"&amp;"dit?gid=1761053510"",
          ""Haris_Form responses 1!$AQ:$AQ"")=1)
      ),
      1
    ),
    ""0""
  ),
  ""Form not found""
)
"),"0")</f>
        <v>0</v>
      </c>
      <c r="AM1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1!$E:$E"")=$B150) *
        (IMPORTRANGE(""https://docs.google.com/spreadsheets/d/161aHT6vVT3SLneTKD19N5qVWtnj_jIT8CSsOmUVKmaA/e"&amp;"dit?gid=1761053510"",
          ""Haris_Form responses 1!$AQ:$AQ"")=2)
      ),
      1
    ),
    ""0""
  ),
  ""Form not found""
)
"),"Form not found")</f>
        <v>Form not found</v>
      </c>
      <c r="AN1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1!$E:$E"")=$B150) *
        (IMPORTRANGE(""https://docs.google.com/spreadsheets/d/161aHT6vVT3SLneTKD19N5qVWtnj_jIT8CSsOmUVKmaA/e"&amp;"dit?gid=1761053510"",
          ""Haris_Form responses 1!$AQ:$AQ"")=3)
      ),
      1
    ),
    ""0""
  ),
  ""Form not found""
)
"),"0")</f>
        <v>0</v>
      </c>
      <c r="AO1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1!$E:$E"")=$B150) *
        (IMPORTRANGE(""https://docs.google.com/spreadsheets/d/161aHT6vVT3SLneTKD19N5qVWtnj_jIT8CSsOmUVKmaA/e"&amp;"dit?gid=1761053510"",
          ""Haris_Form responses 1!$AQ:$AQ"")=4)
      ),
      1
    ),
    ""0""
  ),
  ""Form not found""
)
"),"Form not found")</f>
        <v>Form not found</v>
      </c>
      <c r="AP1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1!$E:$E"")=$B150) *
        (IMPORTRANGE(""https://docs.google.com/spreadsheets/d/161aHT6vVT3SLneTKD19N5qVWtnj_jIT8CSsOmUVKmaA/e"&amp;"dit?gid=1761053510"",
          ""Haris_Form responses 1!$AQ:$AQ"")=5)
      ),
      1
    ),
    ""0""
  ),
  ""Form not found""
)
"),"Form not found")</f>
        <v>Form not found</v>
      </c>
      <c r="AQ1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1!$E:$E"")=$B150) *
        (IMPORTRANGE(""https://docs.google.com/spreadsheets/d/161aHT6vVT3SLneTKD19N5qVWtnj_jIT8CSsOmUVKmaA/e"&amp;"dit?gid=1761053510"",
          ""Haris_Form responses 1!$AQ:$AQ"")=6)
      ),
      1
    ),
    ""0""
  ),
  ""Form not found""
)
"),"Form not found")</f>
        <v>Form not found</v>
      </c>
      <c r="AR1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1!$E:$E"")=$B150) *
        (IMPORTRANGE(""https://docs.google.com/spreadsheets/d/161aHT6vVT3SLneTKD19N5qVWtnj_jIT8CSsOmUVKmaA/e"&amp;"dit?gid=1761053510"",
          ""Haris_Form responses 1!$AQ:$AQ"")=1)
      ),
      1
    ),
    ""0""
  ),
  ""Form not found""
)
"),"0")</f>
        <v>0</v>
      </c>
      <c r="AS1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1!$E:$E"")=$B150) *
        (IMPORTRANGE(""https://docs.google.com/spreadsheets/d/161aHT6vVT3SLneTKD19N5qVWtnj_jIT8CSsOmUVKmaA/e"&amp;"dit?gid=1761053510"",
          ""Haris_Form responses 1!$AQ:$AQ"")=2)
      ),
      1
    ),
    ""0""
  ),
  ""Form not found""
)
"),"Form not found")</f>
        <v>Form not found</v>
      </c>
      <c r="AT1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1!$E:$E"")=$B150) *
        (IMPORTRANGE(""https://docs.google.com/spreadsheets/d/161aHT6vVT3SLneTKD19N5qVWtnj_jIT8CSsOmUVKmaA/e"&amp;"dit?gid=1761053510"",
          ""Haris_Form responses 1!$AQ:$AQ"")=3)
      ),
      1
    ),
    ""0""
  ),
  ""Form not found""
)
"),"0")</f>
        <v>0</v>
      </c>
      <c r="AU1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1!$E:$E"")=$B150) *
        (IMPORTRANGE(""https://docs.google.com/spreadsheets/d/161aHT6vVT3SLneTKD19N5qVWtnj_jIT8CSsOmUVKmaA/e"&amp;"dit?gid=1761053510"",
          ""Haris_Form responses 1!$AQ:$AQ"")=4)
      ),
      1
    ),
    ""0""
  ),
  ""Form not found""
)
"),"Form not found")</f>
        <v>Form not found</v>
      </c>
      <c r="AV1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1!$E:$E"")=$B150) *
        (IMPORTRANGE(""https://docs.google.com/spreadsheets/d/161aHT6vVT3SLneTKD19N5qVWtnj_jIT8CSsOmUVKmaA/e"&amp;"dit?gid=1761053510"",
          ""Haris_Form responses 1!$AQ:$AQ"")=5)
      ),
      1
    ),
    ""0""
  ),
  ""Form not found""
)
"),"Form not found")</f>
        <v>Form not found</v>
      </c>
      <c r="AW1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1!$E:$E"")=$B150) *
        (IMPORTRANGE(""https://docs.google.com/spreadsheets/d/161aHT6vVT3SLneTKD19N5qVWtnj_jIT8CSsOmUVKmaA/e"&amp;"dit?gid=1761053510"",
          ""Haris_Form responses 1!$AQ:$AQ"")=6)
      ),
      1
    ),
    ""0""
  ),
  ""Form not found""
)
"),"Form not found")</f>
        <v>Form not found</v>
      </c>
      <c r="AX1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1!$E:$E"")=$B150) *
        (IMPORTRANGE(""https://docs.google.com/spreadsheets/d/161aHT6vVT3SLneTKD19N5qVWtnj_jIT8CSsOmUVKmaA/e"&amp;"dit?gid=1761053510"",
          ""Haris_Form responses 1!$AQ:$AQ"")=1)
      ),
      1
    ),
    ""0""
  ),
  ""Form not found""
)
"),"7")</f>
        <v>7</v>
      </c>
      <c r="AY1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1!$E:$E"")=$B150) *
        (IMPORTRANGE(""https://docs.google.com/spreadsheets/d/161aHT6vVT3SLneTKD19N5qVWtnj_jIT8CSsOmUVKmaA/e"&amp;"dit?gid=1761053510"",
          ""Haris_Form responses 1!$AQ:$AQ"")=2)
      ),
      1
    ),
    ""0""
  ),
  ""Form not found""
)
"),"Form not found")</f>
        <v>Form not found</v>
      </c>
      <c r="AZ1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1!$E:$E"")=$B150) *
        (IMPORTRANGE(""https://docs.google.com/spreadsheets/d/161aHT6vVT3SLneTKD19N5qVWtnj_jIT8CSsOmUVKmaA/e"&amp;"dit?gid=1761053510"",
          ""Haris_Form responses 1!$AQ:$AQ"")=3)
      ),
      1
    ),
    ""0""
  ),
  ""Form not found""
)
"),"0")</f>
        <v>0</v>
      </c>
      <c r="BA1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1!$E:$E"")=$B150) *
        (IMPORTRANGE(""https://docs.google.com/spreadsheets/d/161aHT6vVT3SLneTKD19N5qVWtnj_jIT8CSsOmUVKmaA/e"&amp;"dit?gid=1761053510"",
          ""Haris_Form responses 1!$AQ:$AQ"")=4)
      ),
      1
    ),
    ""0""
  ),
  ""Form not found""
)
"),"Form not found")</f>
        <v>Form not found</v>
      </c>
      <c r="BB1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1!$E:$E"")=$B150) *
        (IMPORTRANGE(""https://docs.google.com/spreadsheets/d/161aHT6vVT3SLneTKD19N5qVWtnj_jIT8CSsOmUVKmaA/e"&amp;"dit?gid=1761053510"",
          ""Haris_Form responses 1!$AQ:$AQ"")=5)
      ),
      1
    ),
    ""0""
  ),
  ""Form not found""
)
"),"Form not found")</f>
        <v>Form not found</v>
      </c>
      <c r="BC1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1!$E:$E"")=$B150) *
        (IMPORTRANGE(""https://docs.google.com/spreadsheets/d/161aHT6vVT3SLneTKD19N5qVWtnj_jIT8CSsOmUVKmaA/e"&amp;"dit?gid=1761053510"",
          ""Haris_Form responses 1!$AQ:$AQ"")=6)
      ),
      1
    ),
    ""0""
  ),
  ""Form not found""
)
"),"Form not found")</f>
        <v>Form not found</v>
      </c>
      <c r="BD150" s="293"/>
    </row>
    <row r="151">
      <c r="A151" s="283" t="str">
        <f>IFERROR(__xludf.DUMMYFUNCTION("VLOOKUP($B151,IMPORTRANGE(""https://docs.google.com/spreadsheets/d/1VNXDITjs75AcgdBSW27oL1VZH31udDprJSsBcE5xlp4/edit?gid=1551188038#gid=1551188038"", ""Sheet9!$B:$E""),2,false)"),"Multan")</f>
        <v>Multan</v>
      </c>
      <c r="B151" s="283" t="s">
        <v>4597</v>
      </c>
      <c r="C151" s="284" t="str">
        <f>IFERROR(__xludf.DUMMYFUNCTION("VLOOKUP(TRIM($B151), IMPORTRANGE(""https://docs.google.com/spreadsheets/d/1aSOrU4PTpuBZqfitKaH1Rfww6-YOiNCKoBpPl8XBHaw/edit?gid=0#gid=0"", ""sheet3!$B:$C""), 2, FALSE)
"),"Jamia Masjid Mehdum Rasheed Haqani Multan")</f>
        <v>Jamia Masjid Mehdum Rasheed Haqani Multan</v>
      </c>
      <c r="D151" s="284" t="str">
        <f>IFERROR(__xludf.DUMMYFUNCTION("IFERROR(
  INDEX(
    FILTER(
      IMPORTRANGE(""1aSOrU4PTpuBZqfitKaH1Rfww6-YOiNCKoBpPl8XBHaw/edit?gid=0#gid=0"",""Sheet1!G:G""),
      IMPORTRANGE(""1aSOrU4PTpuBZqfitKaH1Rfww6-YOiNCKoBpPl8XBHaw/edit?gid=0#gid=0"",""Sheet1!C:C"")=$B151
    ),
    1
  ),
"&amp;"  ""Not Found""
)"),"Community Secular Info Share")</f>
        <v>Community Secular Info Share</v>
      </c>
      <c r="E151" s="284" t="str">
        <f>VLOOKUP(B151,'Juma Recording forms'!A:E,5,false)</f>
        <v>Jamia masjid mehdam Rasheed haqani</v>
      </c>
      <c r="F151" s="284" t="str">
        <f>IFERROR(__xludf.DUMMYFUNCTION("IFERROR(
  INDEX(
    FILTER(
      IMPORTRANGE(""1Cxrhp3-_-HS7v9uuqQliiIfrmMP4VaFoDNDWyUFy2J8/edit?gid=0#gid=0"",""Sheet1!Q:Q""),
      IMPORTRANGE(""1Cxrhp3-_-HS7v9uuqQliiIfrmMP4VaFoDNDWyUFy2J8/edit?gid=0#gid=0"",""Sheet1!K:K"")=$B151
    ),
    1
  ),
"&amp;"  ""Not Found""
)"),"Maulana hameed raza")</f>
        <v>Maulana hameed raza</v>
      </c>
      <c r="G151" s="284">
        <v>1910.0</v>
      </c>
      <c r="H151" s="284" t="s">
        <v>4859</v>
      </c>
      <c r="I151" s="285" t="s">
        <v>197</v>
      </c>
      <c r="J151" s="286">
        <v>2.0</v>
      </c>
      <c r="K151" s="287" t="str">
        <f>VLOOKUP($B151,'Mosque Locations'!$A:$E,3,FALSE)
</f>
        <v>https://maps.google.com/maps?q=30.0864226%2C71.6527768&amp;z=17&amp;hl=en</v>
      </c>
      <c r="L151" s="286">
        <f>VLOOKUP($B151,'Mosque Locations'!$A:$E,4,FALSE)
</f>
        <v>30.08642</v>
      </c>
      <c r="M151" s="286">
        <f>VLOOKUP($B151,'Mosque Locations'!$A:$E,5,false)</f>
        <v>71.65278</v>
      </c>
      <c r="N151" s="288"/>
      <c r="O151" s="288"/>
      <c r="P151" s="288"/>
      <c r="Q151" s="289" t="str">
        <f>IFERROR(__xludf.DUMMYFUNCTION("IFERROR(
  INDEX(
    FILTER(
      IMPORTRANGE(""1kOrIKZmJfNUkgOVP3sI9BPjaaPA0_a4636oymQxTXg8"",""Form Responses 1!N:N""),
      TRIM(IMPORTRANGE(""1kOrIKZmJfNUkgOVP3sI9BPjaaPA0_a4636oymQxTXg8"",""Form Responses 1!F:F""))=TRIM($B151)
    ),
    1
  ),
  "&amp;"""Not Found""
)
"),"https://drive.google.com/open?id=1IP5FYOAqTJ5xOdQZ-s1ZZRTTpUtGhewE")</f>
        <v>https://drive.google.com/open?id=1IP5FYOAqTJ5xOdQZ-s1ZZRTTpUtGhewE</v>
      </c>
      <c r="R151" s="290" t="str">
        <f>IFERROR(__xludf.DUMMYFUNCTION("IFERROR(
  INDEX(
    FILTER(
      IMPORTRANGE(""1kOrIKZmJfNUkgOVP3sI9BPjaaPA0_a4636oymQxTXg8"",""Form Responses 1!M:M""),
      TRIM(IMPORTRANGE(""1kOrIKZmJfNUkgOVP3sI9BPjaaPA0_a4636oymQxTXg8"",""Form Responses 1!F:F""))=TRIM($B151)
    ),
    1
  ),
  "&amp;"""Not Found""
)
"),"https://drive.google.com/open?id=1qz-YqYnQenonsg5gS3JsJ5DydaG417eL")</f>
        <v>https://drive.google.com/open?id=1qz-YqYnQenonsg5gS3JsJ5DydaG417eL</v>
      </c>
      <c r="S151" s="285"/>
      <c r="T151" s="290" t="str">
        <f>VLOOKUP($B151,'Master Tracker'!D:E,2,false)</f>
        <v>https://drive.google.com/open?id=1urPYdlyPHO4se1j-cDqKGUTnl_AHm8Dz</v>
      </c>
      <c r="U151" s="291" t="str">
        <f>VLOOKUP($B151,'Master Tracker'!$D:$T,4,FALSE)
</f>
        <v>https://drive.google.com/open?id=1WGojeLNOgY73-14WNIX97JG8T7sh6sI5dD4fj8nBybA</v>
      </c>
      <c r="V151" s="290" t="str">
        <f>VLOOKUP($B151,'Master Tracker'!$D:$T,5,false)</f>
        <v>https://drive.google.com/open?id=1UdccjkbqY5TBESJWTuEOI8OrWGmBr9mg</v>
      </c>
      <c r="W151" s="291" t="str">
        <f>VLOOKUP($B151,'Master Tracker'!$D:$T,7,false)</f>
        <v>https://drive.google.com/open?id=1myLjHTYSMhEuJE6UB_joPzQFHWbcbPu-</v>
      </c>
      <c r="X151" s="290" t="str">
        <f>VLOOKUP($B151,'Master Tracker'!$D:$T,8,false)</f>
        <v>https://drive.google.com/open?id=1uQLEP8IK7EEf9B1oVr6UwhQa1qI_vbu6</v>
      </c>
      <c r="Y151" s="291" t="str">
        <f>VLOOKUP($B151,'Master Tracker'!$D:$T,10,false)</f>
        <v>https://drive.google.com/open?id=1BPt3COWepMvAv46K_5TbfAv-Xu30MrQlg5_r7LAnMqc</v>
      </c>
      <c r="Z151" s="284" t="str">
        <f>VLOOKUP($B151,'Master Tracker'!$D:$T,11,false)</f>
        <v>Not Found</v>
      </c>
      <c r="AA151" s="292" t="str">
        <f>VLOOKUP($B151,'Master Tracker'!$D:$T,13,false)</f>
        <v>Not Found</v>
      </c>
      <c r="AB151" s="290" t="str">
        <f>VLOOKUP($B151,'Master Tracker'!$D:$T,14,false)</f>
        <v>https://drive.google.com/open?id=1-uhUtPy87fg2mC9SS79LRk9Kxj9Z2pKn</v>
      </c>
      <c r="AC151" s="291" t="str">
        <f>VLOOKUP($B151,'Master Tracker'!$D:$T,16,false)</f>
        <v>https://drive.google.com/open?id=1j4p4_tLClfS8CnyUYm49YaSRE889o4Bbo3eHfaKRjmA</v>
      </c>
      <c r="AD151" s="291" t="str">
        <f>VLOOKUP($B151,'Master Tracker'!$D:$T,17,false)</f>
        <v>https://drive.google.com/file/d/1KPX4jd5JH58Y6C6Sq6Ial_PPJSCvHxwy/view?usp=drive_link</v>
      </c>
      <c r="AE151" s="291" t="str">
        <f>VLOOKUP($B151,'Master Tracker'!$D:$V,19,false)</f>
        <v>https://drive.google.com/open?id=11MH40H31hhLMc4mksoJMCB4OMM_gZbCD</v>
      </c>
      <c r="AF151" s="292">
        <f>IFERROR(__xludf.DUMMYFUNCTION("IFERROR(
  INDEX(
    FILTER(
      'Juma Recording forms'!$G:$G,
      TRIM('Juma Recording forms'!$F:$F) = TRIM($B151),
      'Juma Recording forms'!$AA:$AA = 1
    ),
    1
  ),
  ""Not Found""
)"),373.0)</f>
        <v>373</v>
      </c>
      <c r="AG151" s="292">
        <f>IFERROR(__xludf.DUMMYFUNCTION("IFERROR(
  INDEX(
    FILTER(
      'Juma Recording forms'!$G:$G,
      TRIM('Juma Recording forms'!$F:$F) = TRIM($B151),
      'Juma Recording forms'!$AA:$AA = 2
    ),
    1
  ),
  ""Not Found""
)"),361.0)</f>
        <v>361</v>
      </c>
      <c r="AH151" s="292">
        <f>IFERROR(__xludf.DUMMYFUNCTION("IFERROR(
  INDEX(
    FILTER(
      'Juma Recording forms'!$G:$G,
      TRIM('Juma Recording forms'!$F:$F) = TRIM($B151),
      'Juma Recording forms'!$AA:$AA = 3
    ),
    1
  ),
  ""Not Found""
)"),367.0)</f>
        <v>367</v>
      </c>
      <c r="AI151" s="292" t="str">
        <f>IFERROR(__xludf.DUMMYFUNCTION("IFERROR(
  INDEX(
    FILTER(
      'Juma Recording forms'!$G:$G,
      TRIM('Juma Recording forms'!$F:$F) = TRIM($B151),
      'Juma Recording forms'!$AA:$AA = 4
    ),
    1
  ),
  ""Not Found""
)"),"Not Found")</f>
        <v>Not Found</v>
      </c>
      <c r="AJ151" s="292">
        <f>IFERROR(__xludf.DUMMYFUNCTION("IFERROR(
  INDEX(
    FILTER(
      'Juma Recording forms'!$G:$G,
      TRIM('Juma Recording forms'!$F:$F) = TRIM($B151),
      'Juma Recording forms'!$AA:$AA = 5
    ),
    1
  ),
  ""Not Found""
)"),377.0)</f>
        <v>377</v>
      </c>
      <c r="AK151" s="292">
        <f>IFERROR(__xludf.DUMMYFUNCTION("IFERROR(
  INDEX(
    FILTER(
      'Juma Recording forms'!$G:$G,
      TRIM('Juma Recording forms'!$F:$F) = TRIM($B151),
      'Juma Recording forms'!$AA:$AA = 6
    ),
    1
  ),
  ""Not Found""
)"),366.0)</f>
        <v>366</v>
      </c>
      <c r="AL1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1!$E:$E"")=$B151) *
        (IMPORTRANGE(""https://docs.google.com/spreadsheets/d/161aHT6vVT3SLneTKD19N5qVWtnj_jIT8CSsOmUVKmaA/e"&amp;"dit?gid=1761053510"",
          ""Haris_Form responses 1!$AQ:$AQ"")=1)
      ),
      1
    ),
    ""0""
  ),
  ""Form not found""
)
"),"5")</f>
        <v>5</v>
      </c>
      <c r="AM1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1!$E:$E"")=$B151) *
        (IMPORTRANGE(""https://docs.google.com/spreadsheets/d/161aHT6vVT3SLneTKD19N5qVWtnj_jIT8CSsOmUVKmaA/e"&amp;"dit?gid=1761053510"",
          ""Haris_Form responses 1!$AQ:$AQ"")=2)
      ),
      1
    ),
    ""0""
  ),
  ""Form not found""
)
"),"4")</f>
        <v>4</v>
      </c>
      <c r="AN1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1!$E:$E"")=$B151) *
        (IMPORTRANGE(""https://docs.google.com/spreadsheets/d/161aHT6vVT3SLneTKD19N5qVWtnj_jIT8CSsOmUVKmaA/e"&amp;"dit?gid=1761053510"",
          ""Haris_Form responses 1!$AQ:$AQ"")=3)
      ),
      1
    ),
    ""0""
  ),
  ""Form not found""
)
"),"0")</f>
        <v>0</v>
      </c>
      <c r="AO1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1!$E:$E"")=$B151) *
        (IMPORTRANGE(""https://docs.google.com/spreadsheets/d/161aHT6vVT3SLneTKD19N5qVWtnj_jIT8CSsOmUVKmaA/e"&amp;"dit?gid=1761053510"",
          ""Haris_Form responses 1!$AQ:$AQ"")=4)
      ),
      1
    ),
    ""0""
  ),
  ""Form not found""
)
"),"Form not found")</f>
        <v>Form not found</v>
      </c>
      <c r="AP1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1!$E:$E"")=$B151) *
        (IMPORTRANGE(""https://docs.google.com/spreadsheets/d/161aHT6vVT3SLneTKD19N5qVWtnj_jIT8CSsOmUVKmaA/e"&amp;"dit?gid=1761053510"",
          ""Haris_Form responses 1!$AQ:$AQ"")=5)
      ),
      1
    ),
    ""0""
  ),
  ""Form not found""
)
"),"10")</f>
        <v>10</v>
      </c>
      <c r="AQ1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1!$E:$E"")=$B151) *
        (IMPORTRANGE(""https://docs.google.com/spreadsheets/d/161aHT6vVT3SLneTKD19N5qVWtnj_jIT8CSsOmUVKmaA/e"&amp;"dit?gid=1761053510"",
          ""Haris_Form responses 1!$AQ:$AQ"")=6)
      ),
      1
    ),
    ""0""
  ),
  ""Form not found""
)
"),"0")</f>
        <v>0</v>
      </c>
      <c r="AR1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1!$E:$E"")=$B151) *
        (IMPORTRANGE(""https://docs.google.com/spreadsheets/d/161aHT6vVT3SLneTKD19N5qVWtnj_jIT8CSsOmUVKmaA/e"&amp;"dit?gid=1761053510"",
          ""Haris_Form responses 1!$AQ:$AQ"")=1)
      ),
      1
    ),
    ""0""
  ),
  ""Form not found""
)
"),"5")</f>
        <v>5</v>
      </c>
      <c r="AS1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1!$E:$E"")=$B151) *
        (IMPORTRANGE(""https://docs.google.com/spreadsheets/d/161aHT6vVT3SLneTKD19N5qVWtnj_jIT8CSsOmUVKmaA/e"&amp;"dit?gid=1761053510"",
          ""Haris_Form responses 1!$AQ:$AQ"")=2)
      ),
      1
    ),
    ""0""
  ),
  ""Form not found""
)
"),"4")</f>
        <v>4</v>
      </c>
      <c r="AT1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1!$E:$E"")=$B151) *
        (IMPORTRANGE(""https://docs.google.com/spreadsheets/d/161aHT6vVT3SLneTKD19N5qVWtnj_jIT8CSsOmUVKmaA/e"&amp;"dit?gid=1761053510"",
          ""Haris_Form responses 1!$AQ:$AQ"")=3)
      ),
      1
    ),
    ""0""
  ),
  ""Form not found""
)
"),"0")</f>
        <v>0</v>
      </c>
      <c r="AU1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1!$E:$E"")=$B151) *
        (IMPORTRANGE(""https://docs.google.com/spreadsheets/d/161aHT6vVT3SLneTKD19N5qVWtnj_jIT8CSsOmUVKmaA/e"&amp;"dit?gid=1761053510"",
          ""Haris_Form responses 1!$AQ:$AQ"")=4)
      ),
      1
    ),
    ""0""
  ),
  ""Form not found""
)
"),"Form not found")</f>
        <v>Form not found</v>
      </c>
      <c r="AV1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1!$E:$E"")=$B151) *
        (IMPORTRANGE(""https://docs.google.com/spreadsheets/d/161aHT6vVT3SLneTKD19N5qVWtnj_jIT8CSsOmUVKmaA/e"&amp;"dit?gid=1761053510"",
          ""Haris_Form responses 1!$AQ:$AQ"")=5)
      ),
      1
    ),
    ""0""
  ),
  ""Form not found""
)
"),"10")</f>
        <v>10</v>
      </c>
      <c r="AW1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1!$E:$E"")=$B151) *
        (IMPORTRANGE(""https://docs.google.com/spreadsheets/d/161aHT6vVT3SLneTKD19N5qVWtnj_jIT8CSsOmUVKmaA/e"&amp;"dit?gid=1761053510"",
          ""Haris_Form responses 1!$AQ:$AQ"")=6)
      ),
      1
    ),
    ""0""
  ),
  ""Form not found""
)
"),"0")</f>
        <v>0</v>
      </c>
      <c r="AX1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1!$E:$E"")=$B151) *
        (IMPORTRANGE(""https://docs.google.com/spreadsheets/d/161aHT6vVT3SLneTKD19N5qVWtnj_jIT8CSsOmUVKmaA/e"&amp;"dit?gid=1761053510"",
          ""Haris_Form responses 1!$AQ:$AQ"")=1)
      ),
      1
    ),
    ""0""
  ),
  ""Form not found""
)
"),"0")</f>
        <v>0</v>
      </c>
      <c r="AY1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1!$E:$E"")=$B151) *
        (IMPORTRANGE(""https://docs.google.com/spreadsheets/d/161aHT6vVT3SLneTKD19N5qVWtnj_jIT8CSsOmUVKmaA/e"&amp;"dit?gid=1761053510"",
          ""Haris_Form responses 1!$AQ:$AQ"")=2)
      ),
      1
    ),
    ""0""
  ),
  ""Form not found""
)
"),"0")</f>
        <v>0</v>
      </c>
      <c r="AZ1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1!$E:$E"")=$B151) *
        (IMPORTRANGE(""https://docs.google.com/spreadsheets/d/161aHT6vVT3SLneTKD19N5qVWtnj_jIT8CSsOmUVKmaA/e"&amp;"dit?gid=1761053510"",
          ""Haris_Form responses 1!$AQ:$AQ"")=3)
      ),
      1
    ),
    ""0""
  ),
  ""Form not found""
)
"),"0")</f>
        <v>0</v>
      </c>
      <c r="BA1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1!$E:$E"")=$B151) *
        (IMPORTRANGE(""https://docs.google.com/spreadsheets/d/161aHT6vVT3SLneTKD19N5qVWtnj_jIT8CSsOmUVKmaA/e"&amp;"dit?gid=1761053510"",
          ""Haris_Form responses 1!$AQ:$AQ"")=4)
      ),
      1
    ),
    ""0""
  ),
  ""Form not found""
)
"),"Form not found")</f>
        <v>Form not found</v>
      </c>
      <c r="BB1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1!$E:$E"")=$B151) *
        (IMPORTRANGE(""https://docs.google.com/spreadsheets/d/161aHT6vVT3SLneTKD19N5qVWtnj_jIT8CSsOmUVKmaA/e"&amp;"dit?gid=1761053510"",
          ""Haris_Form responses 1!$AQ:$AQ"")=5)
      ),
      1
    ),
    ""0""
  ),
  ""Form not found""
)
"),"0")</f>
        <v>0</v>
      </c>
      <c r="BC1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1!$E:$E"")=$B151) *
        (IMPORTRANGE(""https://docs.google.com/spreadsheets/d/161aHT6vVT3SLneTKD19N5qVWtnj_jIT8CSsOmUVKmaA/e"&amp;"dit?gid=1761053510"",
          ""Haris_Form responses 1!$AQ:$AQ"")=6)
      ),
      1
    ),
    ""0""
  ),
  ""Form not found""
)
"),"0")</f>
        <v>0</v>
      </c>
      <c r="BD151" s="293"/>
    </row>
    <row r="152">
      <c r="A152" s="283" t="str">
        <f>IFERROR(__xludf.DUMMYFUNCTION("VLOOKUP($B152,IMPORTRANGE(""https://docs.google.com/spreadsheets/d/1VNXDITjs75AcgdBSW27oL1VZH31udDprJSsBcE5xlp4/edit?gid=1551188038#gid=1551188038"", ""Sheet9!$B:$E""),2,false)"),"Multan")</f>
        <v>Multan</v>
      </c>
      <c r="B152" s="283" t="s">
        <v>4598</v>
      </c>
      <c r="C152" s="284" t="str">
        <f>IFERROR(__xludf.DUMMYFUNCTION("VLOOKUP(TRIM($B152), IMPORTRANGE(""https://docs.google.com/spreadsheets/d/1aSOrU4PTpuBZqfitKaH1Rfww6-YOiNCKoBpPl8XBHaw/edit?gid=0#gid=0"", ""sheet3!$B:$C""), 2, FALSE)
"),"Jamia Masjid Kabotar Mandi Multan")</f>
        <v>Jamia Masjid Kabotar Mandi Multan</v>
      </c>
      <c r="D152" s="284" t="str">
        <f>IFERROR(__xludf.DUMMYFUNCTION("IFERROR(
  INDEX(
    FILTER(
      IMPORTRANGE(""1aSOrU4PTpuBZqfitKaH1Rfww6-YOiNCKoBpPl8XBHaw/edit?gid=0#gid=0"",""Sheet1!G:G""),
      IMPORTRANGE(""1aSOrU4PTpuBZqfitKaH1Rfww6-YOiNCKoBpPl8XBHaw/edit?gid=0#gid=0"",""Sheet1!C:C"")=$B152
    ),
    1
  ),
"&amp;"  ""Not Found""
)"),"Community Secular No Info Share")</f>
        <v>Community Secular No Info Share</v>
      </c>
      <c r="E152" s="284" t="str">
        <f>VLOOKUP(B152,'Juma Recording forms'!A:E,5,false)</f>
        <v>Jamia Masjid kabotar Mandi</v>
      </c>
      <c r="F152" s="284" t="str">
        <f>IFERROR(__xludf.DUMMYFUNCTION("IFERROR(
  INDEX(
    FILTER(
      IMPORTRANGE(""1Cxrhp3-_-HS7v9uuqQliiIfrmMP4VaFoDNDWyUFy2J8/edit?gid=0#gid=0"",""Sheet1!Q:Q""),
      IMPORTRANGE(""1Cxrhp3-_-HS7v9uuqQliiIfrmMP4VaFoDNDWyUFy2J8/edit?gid=0#gid=0"",""Sheet1!K:K"")=$B152
    ),
    1
  ),
"&amp;"  ""Not Found""
)"),"Qari Abid")</f>
        <v>Qari Abid</v>
      </c>
      <c r="G152" s="284">
        <v>1956.0</v>
      </c>
      <c r="H152" s="284"/>
      <c r="I152" s="285" t="s">
        <v>197</v>
      </c>
      <c r="J152" s="286">
        <v>2.0</v>
      </c>
      <c r="K152" s="287" t="str">
        <f>VLOOKUP($B152,'Mosque Locations'!$A:$E,3,FALSE)
</f>
        <v>https://maps.google.com/maps?q=30.1932817%2C71.4714104&amp;z=17&amp;hl=en</v>
      </c>
      <c r="L152" s="286">
        <f>VLOOKUP($B152,'Mosque Locations'!$A:$E,4,FALSE)
</f>
        <v>30.19328</v>
      </c>
      <c r="M152" s="286">
        <f>VLOOKUP($B152,'Mosque Locations'!$A:$E,5,false)</f>
        <v>71.47141</v>
      </c>
      <c r="N152" s="288"/>
      <c r="O152" s="288"/>
      <c r="P152" s="288"/>
      <c r="Q152" s="289" t="str">
        <f>IFERROR(__xludf.DUMMYFUNCTION("IFERROR(
  INDEX(
    FILTER(
      IMPORTRANGE(""1kOrIKZmJfNUkgOVP3sI9BPjaaPA0_a4636oymQxTXg8"",""Form Responses 1!N:N""),
      TRIM(IMPORTRANGE(""1kOrIKZmJfNUkgOVP3sI9BPjaaPA0_a4636oymQxTXg8"",""Form Responses 1!F:F""))=TRIM($B152)
    ),
    1
  ),
  "&amp;"""Not Found""
)
"),"https://drive.google.com/open?id=1lFIOSYqmQHqOB82OFt87auKwqSbjEMQU")</f>
        <v>https://drive.google.com/open?id=1lFIOSYqmQHqOB82OFt87auKwqSbjEMQU</v>
      </c>
      <c r="R152" s="289" t="str">
        <f>IFERROR(__xludf.DUMMYFUNCTION("IFERROR(
  INDEX(
    FILTER(
      IMPORTRANGE(""1kOrIKZmJfNUkgOVP3sI9BPjaaPA0_a4636oymQxTXg8"",""Form Responses 1!M:M""),
      TRIM(IMPORTRANGE(""1kOrIKZmJfNUkgOVP3sI9BPjaaPA0_a4636oymQxTXg8"",""Form Responses 1!F:F""))=TRIM($B152)
    ),
    1
  ),
  "&amp;"""Not Found""
)
"),"https://drive.google.com/open?id=1lkl4yW4HXRiIXmtI9h9PnnYhomuQHDK1")</f>
        <v>https://drive.google.com/open?id=1lkl4yW4HXRiIXmtI9h9PnnYhomuQHDK1</v>
      </c>
      <c r="S152" s="285"/>
      <c r="T152" s="290" t="str">
        <f>VLOOKUP($B152,'Master Tracker'!D:E,2,false)</f>
        <v>https://drive.google.com/open?id=1V3wp-UNHrzfwZB57fM3-PdH7Uwsqsnru</v>
      </c>
      <c r="U152" s="291" t="str">
        <f>VLOOKUP($B152,'Master Tracker'!$D:$T,4,FALSE)
</f>
        <v>https://drive.google.com/open?id=1tjzknM9eT5KBMDV2tnHA7JIPfaDBHkQb3oxSjm5_lO8</v>
      </c>
      <c r="V152" s="290" t="str">
        <f>VLOOKUP($B152,'Master Tracker'!$D:$T,5,false)</f>
        <v>https://drive.google.com/open?id=1Hl5Ko2hq_zOjmcL2Ly_ISctdUaeAK13h</v>
      </c>
      <c r="W152" s="291" t="str">
        <f>VLOOKUP($B152,'Master Tracker'!$D:$T,7,false)</f>
        <v>https://drive.google.com/open?id=1uZTCEszEHT2umDxL8qZLOUmz2IIPtIZn</v>
      </c>
      <c r="X152" s="290" t="str">
        <f>VLOOKUP($B152,'Master Tracker'!$D:$T,8,false)</f>
        <v>https://drive.google.com/open?id=1LhxZ-9XbnFWRFUDsix_KLeS85UJbPH4s</v>
      </c>
      <c r="Y152" s="291" t="str">
        <f>VLOOKUP($B152,'Master Tracker'!$D:$T,10,false)</f>
        <v>https://drive.google.com/open?id=1knOEj1KWTn57BMckuPAYCrsEw7Zz2Z4TwlgLlVRSQAc</v>
      </c>
      <c r="Z152" s="284" t="str">
        <f>VLOOKUP($B152,'Master Tracker'!$D:$T,11,false)</f>
        <v>Not Found</v>
      </c>
      <c r="AA152" s="292" t="str">
        <f>VLOOKUP($B152,'Master Tracker'!$D:$T,13,false)</f>
        <v>Not Found</v>
      </c>
      <c r="AB152" s="284" t="str">
        <f>VLOOKUP($B152,'Master Tracker'!$D:$T,14,false)</f>
        <v>Not Found</v>
      </c>
      <c r="AC152" s="292" t="str">
        <f>VLOOKUP($B152,'Master Tracker'!$D:$T,16,false)</f>
        <v>Not Found</v>
      </c>
      <c r="AD152" s="292" t="str">
        <f>VLOOKUP($B152,'Master Tracker'!$D:$T,17,false)</f>
        <v>Not Found</v>
      </c>
      <c r="AE152" s="292" t="str">
        <f>VLOOKUP($B152,'Master Tracker'!$D:$V,19,false)</f>
        <v>Not Found</v>
      </c>
      <c r="AF152" s="292">
        <f>IFERROR(__xludf.DUMMYFUNCTION("IFERROR(
  INDEX(
    FILTER(
      'Juma Recording forms'!$G:$G,
      TRIM('Juma Recording forms'!$F:$F) = TRIM($B152),
      'Juma Recording forms'!$AA:$AA = 1
    ),
    1
  ),
  ""Not Found""
)"),187.0)</f>
        <v>187</v>
      </c>
      <c r="AG152" s="292">
        <f>IFERROR(__xludf.DUMMYFUNCTION("IFERROR(
  INDEX(
    FILTER(
      'Juma Recording forms'!$G:$G,
      TRIM('Juma Recording forms'!$F:$F) = TRIM($B152),
      'Juma Recording forms'!$AA:$AA = 2
    ),
    1
  ),
  ""Not Found""
)"),179.0)</f>
        <v>179</v>
      </c>
      <c r="AH152" s="292">
        <f>IFERROR(__xludf.DUMMYFUNCTION("IFERROR(
  INDEX(
    FILTER(
      'Juma Recording forms'!$G:$G,
      TRIM('Juma Recording forms'!$F:$F) = TRIM($B152),
      'Juma Recording forms'!$AA:$AA = 3
    ),
    1
  ),
  ""Not Found""
)"),175.0)</f>
        <v>175</v>
      </c>
      <c r="AI152" s="292" t="str">
        <f>IFERROR(__xludf.DUMMYFUNCTION("IFERROR(
  INDEX(
    FILTER(
      'Juma Recording forms'!$G:$G,
      TRIM('Juma Recording forms'!$F:$F) = TRIM($B152),
      'Juma Recording forms'!$AA:$AA = 4
    ),
    1
  ),
  ""Not Found""
)"),"Not Found")</f>
        <v>Not Found</v>
      </c>
      <c r="AJ152" s="292" t="str">
        <f>IFERROR(__xludf.DUMMYFUNCTION("IFERROR(
  INDEX(
    FILTER(
      'Juma Recording forms'!$G:$G,
      TRIM('Juma Recording forms'!$F:$F) = TRIM($B152),
      'Juma Recording forms'!$AA:$AA = 5
    ),
    1
  ),
  ""Not Found""
)"),"Not Found")</f>
        <v>Not Found</v>
      </c>
      <c r="AK152" s="292" t="str">
        <f>IFERROR(__xludf.DUMMYFUNCTION("IFERROR(
  INDEX(
    FILTER(
      'Juma Recording forms'!$G:$G,
      TRIM('Juma Recording forms'!$F:$F) = TRIM($B152),
      'Juma Recording forms'!$AA:$AA = 6
    ),
    1
  ),
  ""Not Found""
)"),"Not Found")</f>
        <v>Not Found</v>
      </c>
      <c r="AL1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1!$E:$E"")=$B152) *
        (IMPORTRANGE(""https://docs.google.com/spreadsheets/d/161aHT6vVT3SLneTKD19N5qVWtnj_jIT8CSsOmUVKmaA/e"&amp;"dit?gid=1761053510"",
          ""Haris_Form responses 1!$AQ:$AQ"")=1)
      ),
      1
    ),
    ""0""
  ),
  ""Form not found""
)
"),"10")</f>
        <v>10</v>
      </c>
      <c r="AM1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1!$E:$E"")=$B152) *
        (IMPORTRANGE(""https://docs.google.com/spreadsheets/d/161aHT6vVT3SLneTKD19N5qVWtnj_jIT8CSsOmUVKmaA/e"&amp;"dit?gid=1761053510"",
          ""Haris_Form responses 1!$AQ:$AQ"")=2)
      ),
      1
    ),
    ""0""
  ),
  ""Form not found""
)
"),"8")</f>
        <v>8</v>
      </c>
      <c r="AN1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1!$E:$E"")=$B152) *
        (IMPORTRANGE(""https://docs.google.com/spreadsheets/d/161aHT6vVT3SLneTKD19N5qVWtnj_jIT8CSsOmUVKmaA/e"&amp;"dit?gid=1761053510"",
          ""Haris_Form responses 1!$AQ:$AQ"")=3)
      ),
      1
    ),
    ""0""
  ),
  ""Form not found""
)
"),"0")</f>
        <v>0</v>
      </c>
      <c r="AO1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1!$E:$E"")=$B152) *
        (IMPORTRANGE(""https://docs.google.com/spreadsheets/d/161aHT6vVT3SLneTKD19N5qVWtnj_jIT8CSsOmUVKmaA/e"&amp;"dit?gid=1761053510"",
          ""Haris_Form responses 1!$AQ:$AQ"")=4)
      ),
      1
    ),
    ""0""
  ),
  ""Form not found""
)
"),"Form not found")</f>
        <v>Form not found</v>
      </c>
      <c r="AP1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1!$E:$E"")=$B152) *
        (IMPORTRANGE(""https://docs.google.com/spreadsheets/d/161aHT6vVT3SLneTKD19N5qVWtnj_jIT8CSsOmUVKmaA/e"&amp;"dit?gid=1761053510"",
          ""Haris_Form responses 1!$AQ:$AQ"")=5)
      ),
      1
    ),
    ""0""
  ),
  ""Form not found""
)
"),"Form not found")</f>
        <v>Form not found</v>
      </c>
      <c r="AQ1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1!$E:$E"")=$B152) *
        (IMPORTRANGE(""https://docs.google.com/spreadsheets/d/161aHT6vVT3SLneTKD19N5qVWtnj_jIT8CSsOmUVKmaA/e"&amp;"dit?gid=1761053510"",
          ""Haris_Form responses 1!$AQ:$AQ"")=6)
      ),
      1
    ),
    ""0""
  ),
  ""Form not found""
)
"),"Form not found")</f>
        <v>Form not found</v>
      </c>
      <c r="AR1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1!$E:$E"")=$B152) *
        (IMPORTRANGE(""https://docs.google.com/spreadsheets/d/161aHT6vVT3SLneTKD19N5qVWtnj_jIT8CSsOmUVKmaA/e"&amp;"dit?gid=1761053510"",
          ""Haris_Form responses 1!$AQ:$AQ"")=1)
      ),
      1
    ),
    ""0""
  ),
  ""Form not found""
)
"),"10")</f>
        <v>10</v>
      </c>
      <c r="AS1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1!$E:$E"")=$B152) *
        (IMPORTRANGE(""https://docs.google.com/spreadsheets/d/161aHT6vVT3SLneTKD19N5qVWtnj_jIT8CSsOmUVKmaA/e"&amp;"dit?gid=1761053510"",
          ""Haris_Form responses 1!$AQ:$AQ"")=2)
      ),
      1
    ),
    ""0""
  ),
  ""Form not found""
)
"),"8")</f>
        <v>8</v>
      </c>
      <c r="AT1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1!$E:$E"")=$B152) *
        (IMPORTRANGE(""https://docs.google.com/spreadsheets/d/161aHT6vVT3SLneTKD19N5qVWtnj_jIT8CSsOmUVKmaA/e"&amp;"dit?gid=1761053510"",
          ""Haris_Form responses 1!$AQ:$AQ"")=3)
      ),
      1
    ),
    ""0""
  ),
  ""Form not found""
)
"),"0")</f>
        <v>0</v>
      </c>
      <c r="AU1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1!$E:$E"")=$B152) *
        (IMPORTRANGE(""https://docs.google.com/spreadsheets/d/161aHT6vVT3SLneTKD19N5qVWtnj_jIT8CSsOmUVKmaA/e"&amp;"dit?gid=1761053510"",
          ""Haris_Form responses 1!$AQ:$AQ"")=4)
      ),
      1
    ),
    ""0""
  ),
  ""Form not found""
)
"),"Form not found")</f>
        <v>Form not found</v>
      </c>
      <c r="AV1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1!$E:$E"")=$B152) *
        (IMPORTRANGE(""https://docs.google.com/spreadsheets/d/161aHT6vVT3SLneTKD19N5qVWtnj_jIT8CSsOmUVKmaA/e"&amp;"dit?gid=1761053510"",
          ""Haris_Form responses 1!$AQ:$AQ"")=5)
      ),
      1
    ),
    ""0""
  ),
  ""Form not found""
)
"),"Form not found")</f>
        <v>Form not found</v>
      </c>
      <c r="AW1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1!$E:$E"")=$B152) *
        (IMPORTRANGE(""https://docs.google.com/spreadsheets/d/161aHT6vVT3SLneTKD19N5qVWtnj_jIT8CSsOmUVKmaA/e"&amp;"dit?gid=1761053510"",
          ""Haris_Form responses 1!$AQ:$AQ"")=6)
      ),
      1
    ),
    ""0""
  ),
  ""Form not found""
)
"),"Form not found")</f>
        <v>Form not found</v>
      </c>
      <c r="AX1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1!$E:$E"")=$B152) *
        (IMPORTRANGE(""https://docs.google.com/spreadsheets/d/161aHT6vVT3SLneTKD19N5qVWtnj_jIT8CSsOmUVKmaA/e"&amp;"dit?gid=1761053510"",
          ""Haris_Form responses 1!$AQ:$AQ"")=1)
      ),
      1
    ),
    ""0""
  ),
  ""Form not found""
)
"),"0")</f>
        <v>0</v>
      </c>
      <c r="AY1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1!$E:$E"")=$B152) *
        (IMPORTRANGE(""https://docs.google.com/spreadsheets/d/161aHT6vVT3SLneTKD19N5qVWtnj_jIT8CSsOmUVKmaA/e"&amp;"dit?gid=1761053510"",
          ""Haris_Form responses 1!$AQ:$AQ"")=2)
      ),
      1
    ),
    ""0""
  ),
  ""Form not found""
)
"),"0")</f>
        <v>0</v>
      </c>
      <c r="AZ1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1!$E:$E"")=$B152) *
        (IMPORTRANGE(""https://docs.google.com/spreadsheets/d/161aHT6vVT3SLneTKD19N5qVWtnj_jIT8CSsOmUVKmaA/e"&amp;"dit?gid=1761053510"",
          ""Haris_Form responses 1!$AQ:$AQ"")=3)
      ),
      1
    ),
    ""0""
  ),
  ""Form not found""
)
"),"0")</f>
        <v>0</v>
      </c>
      <c r="BA1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1!$E:$E"")=$B152) *
        (IMPORTRANGE(""https://docs.google.com/spreadsheets/d/161aHT6vVT3SLneTKD19N5qVWtnj_jIT8CSsOmUVKmaA/e"&amp;"dit?gid=1761053510"",
          ""Haris_Form responses 1!$AQ:$AQ"")=4)
      ),
      1
    ),
    ""0""
  ),
  ""Form not found""
)
"),"Form not found")</f>
        <v>Form not found</v>
      </c>
      <c r="BB1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1!$E:$E"")=$B152) *
        (IMPORTRANGE(""https://docs.google.com/spreadsheets/d/161aHT6vVT3SLneTKD19N5qVWtnj_jIT8CSsOmUVKmaA/e"&amp;"dit?gid=1761053510"",
          ""Haris_Form responses 1!$AQ:$AQ"")=5)
      ),
      1
    ),
    ""0""
  ),
  ""Form not found""
)
"),"Form not found")</f>
        <v>Form not found</v>
      </c>
      <c r="BC1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1!$E:$E"")=$B152) *
        (IMPORTRANGE(""https://docs.google.com/spreadsheets/d/161aHT6vVT3SLneTKD19N5qVWtnj_jIT8CSsOmUVKmaA/e"&amp;"dit?gid=1761053510"",
          ""Haris_Form responses 1!$AQ:$AQ"")=6)
      ),
      1
    ),
    ""0""
  ),
  ""Form not found""
)
"),"Form not found")</f>
        <v>Form not found</v>
      </c>
      <c r="BD152" s="293"/>
    </row>
    <row r="153">
      <c r="A153" s="283" t="str">
        <f>IFERROR(__xludf.DUMMYFUNCTION("VLOOKUP($B153,IMPORTRANGE(""https://docs.google.com/spreadsheets/d/1VNXDITjs75AcgdBSW27oL1VZH31udDprJSsBcE5xlp4/edit?gid=1551188038#gid=1551188038"", ""Sheet9!$B:$E""),2,false)"),"Multan")</f>
        <v>Multan</v>
      </c>
      <c r="B153" s="283" t="s">
        <v>4599</v>
      </c>
      <c r="C153" s="284" t="str">
        <f>IFERROR(__xludf.DUMMYFUNCTION("VLOOKUP(TRIM($B153), IMPORTRANGE(""https://docs.google.com/spreadsheets/d/1aSOrU4PTpuBZqfitKaH1Rfww6-YOiNCKoBpPl8XBHaw/edit?gid=0#gid=0"", ""sheet3!$B:$C""), 2, FALSE)
"),"Jamia Masjid Jahnaaz Gha Multan")</f>
        <v>Jamia Masjid Jahnaaz Gha Multan</v>
      </c>
      <c r="D153" s="284" t="str">
        <f>IFERROR(__xludf.DUMMYFUNCTION("IFERROR(
  INDEX(
    FILTER(
      IMPORTRANGE(""1aSOrU4PTpuBZqfitKaH1Rfww6-YOiNCKoBpPl8XBHaw/edit?gid=0#gid=0"",""Sheet1!G:G""),
      IMPORTRANGE(""1aSOrU4PTpuBZqfitKaH1Rfww6-YOiNCKoBpPl8XBHaw/edit?gid=0#gid=0"",""Sheet1!C:C"")=$B153
    ),
    1
  ),
"&amp;"  ""Not Found""
)"),"Women Religious Info Share")</f>
        <v>Women Religious Info Share</v>
      </c>
      <c r="E153" s="284" t="str">
        <f>VLOOKUP(B153,'Juma Recording forms'!A:E,5,false)</f>
        <v>قدیمی جامعہ مسجد جنازہ گاہ نشاط روڈ لوہا مارکیٹ ملتان </v>
      </c>
      <c r="F153" s="284" t="str">
        <f>IFERROR(__xludf.DUMMYFUNCTION("IFERROR(
  INDEX(
    FILTER(
      IMPORTRANGE(""1Cxrhp3-_-HS7v9uuqQliiIfrmMP4VaFoDNDWyUFy2J8/edit?gid=0#gid=0"",""Sheet1!Q:Q""),
      IMPORTRANGE(""1Cxrhp3-_-HS7v9uuqQliiIfrmMP4VaFoDNDWyUFy2J8/edit?gid=0#gid=0"",""Sheet1!K:K"")=$B153
    ),
    1
  ),
"&amp;"  ""Not Found""
)"),"Qari muhammad zafar")</f>
        <v>Qari muhammad zafar</v>
      </c>
      <c r="G153" s="284">
        <v>1930.0</v>
      </c>
      <c r="H153" s="284"/>
      <c r="I153" s="285" t="s">
        <v>401</v>
      </c>
      <c r="J153" s="286">
        <v>2.0</v>
      </c>
      <c r="K153" s="287" t="str">
        <f>VLOOKUP($B153,'Mosque Locations'!$A:$E,3,FALSE)
</f>
        <v>https://www.google.com/maps?q=30.1842724,71.4677191</v>
      </c>
      <c r="L153" s="286">
        <f>VLOOKUP($B153,'Mosque Locations'!$A:$E,4,FALSE)
</f>
        <v>30.18427</v>
      </c>
      <c r="M153" s="286">
        <f>VLOOKUP($B153,'Mosque Locations'!$A:$E,5,false)</f>
        <v>71.46772</v>
      </c>
      <c r="N153" s="288"/>
      <c r="O153" s="288"/>
      <c r="P153" s="288"/>
      <c r="Q153" s="290" t="str">
        <f>IFERROR(__xludf.DUMMYFUNCTION("IFERROR(
  INDEX(
    FILTER(
      IMPORTRANGE(""1kOrIKZmJfNUkgOVP3sI9BPjaaPA0_a4636oymQxTXg8"",""Form Responses 1!N:N""),
      TRIM(IMPORTRANGE(""1kOrIKZmJfNUkgOVP3sI9BPjaaPA0_a4636oymQxTXg8"",""Form Responses 1!F:F""))=TRIM($B153)
    ),
    1
  ),
  "&amp;"""Not Found""
)
"),"https://drive.google.com/open?id=1D0pk7pik7O666D_pTRAjnmZQ0QcOHAVu")</f>
        <v>https://drive.google.com/open?id=1D0pk7pik7O666D_pTRAjnmZQ0QcOHAVu</v>
      </c>
      <c r="R153" s="290" t="str">
        <f>IFERROR(__xludf.DUMMYFUNCTION("IFERROR(
  INDEX(
    FILTER(
      IMPORTRANGE(""1kOrIKZmJfNUkgOVP3sI9BPjaaPA0_a4636oymQxTXg8"",""Form Responses 1!M:M""),
      TRIM(IMPORTRANGE(""1kOrIKZmJfNUkgOVP3sI9BPjaaPA0_a4636oymQxTXg8"",""Form Responses 1!F:F""))=TRIM($B153)
    ),
    1
  ),
  "&amp;"""Not Found""
)
"),"https://drive.google.com/open?id=16VVwR17LQw761QY7xxJML7rZVKFZKgIf")</f>
        <v>https://drive.google.com/open?id=16VVwR17LQw761QY7xxJML7rZVKFZKgIf</v>
      </c>
      <c r="S153" s="285"/>
      <c r="T153" s="290" t="str">
        <f>VLOOKUP($B153,'Master Tracker'!D:E,2,false)</f>
        <v>https://drive.google.com/open?id=1glf15fFUJ9lUB3oYHPJhcAIs3ZUABuUF</v>
      </c>
      <c r="U153" s="291" t="str">
        <f>VLOOKUP($B153,'Master Tracker'!$D:$T,4,FALSE)
</f>
        <v>https://drive.google.com/open?id=1gKRx__IBbE8zQHTtw_Cifju5JjfKKtGpi1totynkCK4</v>
      </c>
      <c r="V153" s="290" t="str">
        <f>VLOOKUP($B153,'Master Tracker'!$D:$T,5,false)</f>
        <v>https://drive.google.com/open?id=10GOUazO8tGitVpnzP9jM1U6peRzuvOwi</v>
      </c>
      <c r="W153" s="291" t="str">
        <f>VLOOKUP($B153,'Master Tracker'!$D:$T,7,false)</f>
        <v>https://drive.google.com/open?id=1IRR9F2nyGz85q1wCpD8kLuOcsCdD0K3_ov3R1ZNSUy0</v>
      </c>
      <c r="X153" s="290" t="str">
        <f>VLOOKUP($B153,'Master Tracker'!$D:$T,8,false)</f>
        <v>https://drive.google.com/open?id=1JOzd3PM8Bd-tJJtFtyPP-tXymTrn2WUu</v>
      </c>
      <c r="Y153" s="291" t="str">
        <f>VLOOKUP($B153,'Master Tracker'!$D:$T,10,false)</f>
        <v>https://drive.google.com/open?id=1JMtldgcE2MtQAaHz-6INmEOr4Iy3VlCWunIQ0XPkS6w</v>
      </c>
      <c r="Z153" s="290" t="str">
        <f>VLOOKUP($B153,'Master Tracker'!$D:$T,11,false)</f>
        <v>https://drive.google.com/open?id=1xZzXf2li0ESfRV5jwlL9SZs2WodIYv8W</v>
      </c>
      <c r="AA153" s="291" t="str">
        <f>VLOOKUP($B153,'Master Tracker'!$D:$T,13,false)</f>
        <v>https://drive.google.com/open?id=1KoUwMlwZ3vJ88WRnZsGsl5bpLXTWRdmg</v>
      </c>
      <c r="AB153" s="284" t="str">
        <f>VLOOKUP($B153,'Master Tracker'!$D:$T,14,false)</f>
        <v>Not Found</v>
      </c>
      <c r="AC153" s="292" t="str">
        <f>VLOOKUP($B153,'Master Tracker'!$D:$T,16,false)</f>
        <v>Not Found</v>
      </c>
      <c r="AD153" s="292" t="str">
        <f>VLOOKUP($B153,'Master Tracker'!$D:$T,17,false)</f>
        <v>Not Found</v>
      </c>
      <c r="AE153" s="292" t="str">
        <f>VLOOKUP($B153,'Master Tracker'!$D:$V,19,false)</f>
        <v>Not Found</v>
      </c>
      <c r="AF153" s="292">
        <f>IFERROR(__xludf.DUMMYFUNCTION("IFERROR(
  INDEX(
    FILTER(
      'Juma Recording forms'!$G:$G,
      TRIM('Juma Recording forms'!$F:$F) = TRIM($B153),
      'Juma Recording forms'!$AA:$AA = 1
    ),
    1
  ),
  ""Not Found""
)"),250.0)</f>
        <v>250</v>
      </c>
      <c r="AG153" s="292">
        <f>IFERROR(__xludf.DUMMYFUNCTION("IFERROR(
  INDEX(
    FILTER(
      'Juma Recording forms'!$G:$G,
      TRIM('Juma Recording forms'!$F:$F) = TRIM($B153),
      'Juma Recording forms'!$AA:$AA = 2
    ),
    1
  ),
  ""Not Found""
)"),220.0)</f>
        <v>220</v>
      </c>
      <c r="AH153" s="292">
        <f>IFERROR(__xludf.DUMMYFUNCTION("IFERROR(
  INDEX(
    FILTER(
      'Juma Recording forms'!$G:$G,
      TRIM('Juma Recording forms'!$F:$F) = TRIM($B153),
      'Juma Recording forms'!$AA:$AA = 3
    ),
    1
  ),
  ""Not Found""
)"),202.0)</f>
        <v>202</v>
      </c>
      <c r="AI153" s="292">
        <f>IFERROR(__xludf.DUMMYFUNCTION("IFERROR(
  INDEX(
    FILTER(
      'Juma Recording forms'!$G:$G,
      TRIM('Juma Recording forms'!$F:$F) = TRIM($B153),
      'Juma Recording forms'!$AA:$AA = 4
    ),
    1
  ),
  ""Not Found""
)"),209.0)</f>
        <v>209</v>
      </c>
      <c r="AJ153" s="292" t="str">
        <f>IFERROR(__xludf.DUMMYFUNCTION("IFERROR(
  INDEX(
    FILTER(
      'Juma Recording forms'!$G:$G,
      TRIM('Juma Recording forms'!$F:$F) = TRIM($B153),
      'Juma Recording forms'!$AA:$AA = 5
    ),
    1
  ),
  ""Not Found""
)"),"Not Found")</f>
        <v>Not Found</v>
      </c>
      <c r="AK153" s="292" t="str">
        <f>IFERROR(__xludf.DUMMYFUNCTION("IFERROR(
  INDEX(
    FILTER(
      'Juma Recording forms'!$G:$G,
      TRIM('Juma Recording forms'!$F:$F) = TRIM($B153),
      'Juma Recording forms'!$AA:$AA = 6
    ),
    1
  ),
  ""Not Found""
)"),"Not Found")</f>
        <v>Not Found</v>
      </c>
      <c r="AL1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1!$E:$E"")=$B153) *
        (IMPORTRANGE(""https://docs.google.com/spreadsheets/d/161aHT6vVT3SLneTKD19N5qVWtnj_jIT8CSsOmUVKmaA/e"&amp;"dit?gid=1761053510"",
          ""Haris_Form responses 1!$AQ:$AQ"")=1)
      ),
      1
    ),
    ""0""
  ),
  ""Form not found""
)
"),"8")</f>
        <v>8</v>
      </c>
      <c r="AM1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1!$E:$E"")=$B153) *
        (IMPORTRANGE(""https://docs.google.com/spreadsheets/d/161aHT6vVT3SLneTKD19N5qVWtnj_jIT8CSsOmUVKmaA/e"&amp;"dit?gid=1761053510"",
          ""Haris_Form responses 1!$AQ:$AQ"")=2)
      ),
      1
    ),
    ""0""
  ),
  ""Form not found""
)
"),"8")</f>
        <v>8</v>
      </c>
      <c r="AN1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1!$E:$E"")=$B153) *
        (IMPORTRANGE(""https://docs.google.com/spreadsheets/d/161aHT6vVT3SLneTKD19N5qVWtnj_jIT8CSsOmUVKmaA/e"&amp;"dit?gid=1761053510"",
          ""Haris_Form responses 1!$AQ:$AQ"")=3)
      ),
      1
    ),
    ""0""
  ),
  ""Form not found""
)
"),"10")</f>
        <v>10</v>
      </c>
      <c r="AO1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1!$E:$E"")=$B153) *
        (IMPORTRANGE(""https://docs.google.com/spreadsheets/d/161aHT6vVT3SLneTKD19N5qVWtnj_jIT8CSsOmUVKmaA/e"&amp;"dit?gid=1761053510"",
          ""Haris_Form responses 1!$AQ:$AQ"")=4)
      ),
      1
    ),
    ""0""
  ),
  ""Form not found""
)
"),"1")</f>
        <v>1</v>
      </c>
      <c r="AP1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1!$E:$E"")=$B153) *
        (IMPORTRANGE(""https://docs.google.com/spreadsheets/d/161aHT6vVT3SLneTKD19N5qVWtnj_jIT8CSsOmUVKmaA/e"&amp;"dit?gid=1761053510"",
          ""Haris_Form responses 1!$AQ:$AQ"")=5)
      ),
      1
    ),
    ""0""
  ),
  ""Form not found""
)
"),"Form not found")</f>
        <v>Form not found</v>
      </c>
      <c r="AQ1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1!$E:$E"")=$B153) *
        (IMPORTRANGE(""https://docs.google.com/spreadsheets/d/161aHT6vVT3SLneTKD19N5qVWtnj_jIT8CSsOmUVKmaA/e"&amp;"dit?gid=1761053510"",
          ""Haris_Form responses 1!$AQ:$AQ"")=6)
      ),
      1
    ),
    ""0""
  ),
  ""Form not found""
)
"),"Form not found")</f>
        <v>Form not found</v>
      </c>
      <c r="AR1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1!$E:$E"")=$B153) *
        (IMPORTRANGE(""https://docs.google.com/spreadsheets/d/161aHT6vVT3SLneTKD19N5qVWtnj_jIT8CSsOmUVKmaA/e"&amp;"dit?gid=1761053510"",
          ""Haris_Form responses 1!$AQ:$AQ"")=1)
      ),
      1
    ),
    ""0""
  ),
  ""Form not found""
)
"),"0")</f>
        <v>0</v>
      </c>
      <c r="AS1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1!$E:$E"")=$B153) *
        (IMPORTRANGE(""https://docs.google.com/spreadsheets/d/161aHT6vVT3SLneTKD19N5qVWtnj_jIT8CSsOmUVKmaA/e"&amp;"dit?gid=1761053510"",
          ""Haris_Form responses 1!$AQ:$AQ"")=2)
      ),
      1
    ),
    ""0""
  ),
  ""Form not found""
)
"),"0")</f>
        <v>0</v>
      </c>
      <c r="AT1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1!$E:$E"")=$B153) *
        (IMPORTRANGE(""https://docs.google.com/spreadsheets/d/161aHT6vVT3SLneTKD19N5qVWtnj_jIT8CSsOmUVKmaA/e"&amp;"dit?gid=1761053510"",
          ""Haris_Form responses 1!$AQ:$AQ"")=3)
      ),
      1
    ),
    ""0""
  ),
  ""Form not found""
)
"),"0")</f>
        <v>0</v>
      </c>
      <c r="AU1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1!$E:$E"")=$B153) *
        (IMPORTRANGE(""https://docs.google.com/spreadsheets/d/161aHT6vVT3SLneTKD19N5qVWtnj_jIT8CSsOmUVKmaA/e"&amp;"dit?gid=1761053510"",
          ""Haris_Form responses 1!$AQ:$AQ"")=4)
      ),
      1
    ),
    ""0""
  ),
  ""Form not found""
)
"),"1")</f>
        <v>1</v>
      </c>
      <c r="AV1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1!$E:$E"")=$B153) *
        (IMPORTRANGE(""https://docs.google.com/spreadsheets/d/161aHT6vVT3SLneTKD19N5qVWtnj_jIT8CSsOmUVKmaA/e"&amp;"dit?gid=1761053510"",
          ""Haris_Form responses 1!$AQ:$AQ"")=5)
      ),
      1
    ),
    ""0""
  ),
  ""Form not found""
)
"),"Form not found")</f>
        <v>Form not found</v>
      </c>
      <c r="AW1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1!$E:$E"")=$B153) *
        (IMPORTRANGE(""https://docs.google.com/spreadsheets/d/161aHT6vVT3SLneTKD19N5qVWtnj_jIT8CSsOmUVKmaA/e"&amp;"dit?gid=1761053510"",
          ""Haris_Form responses 1!$AQ:$AQ"")=6)
      ),
      1
    ),
    ""0""
  ),
  ""Form not found""
)
"),"Form not found")</f>
        <v>Form not found</v>
      </c>
      <c r="AX1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1!$E:$E"")=$B153) *
        (IMPORTRANGE(""https://docs.google.com/spreadsheets/d/161aHT6vVT3SLneTKD19N5qVWtnj_jIT8CSsOmUVKmaA/e"&amp;"dit?gid=1761053510"",
          ""Haris_Form responses 1!$AQ:$AQ"")=1)
      ),
      1
    ),
    ""0""
  ),
  ""Form not found""
)
"),"8")</f>
        <v>8</v>
      </c>
      <c r="AY1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1!$E:$E"")=$B153) *
        (IMPORTRANGE(""https://docs.google.com/spreadsheets/d/161aHT6vVT3SLneTKD19N5qVWtnj_jIT8CSsOmUVKmaA/e"&amp;"dit?gid=1761053510"",
          ""Haris_Form responses 1!$AQ:$AQ"")=2)
      ),
      1
    ),
    ""0""
  ),
  ""Form not found""
)
"),"8")</f>
        <v>8</v>
      </c>
      <c r="AZ1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1!$E:$E"")=$B153) *
        (IMPORTRANGE(""https://docs.google.com/spreadsheets/d/161aHT6vVT3SLneTKD19N5qVWtnj_jIT8CSsOmUVKmaA/e"&amp;"dit?gid=1761053510"",
          ""Haris_Form responses 1!$AQ:$AQ"")=3)
      ),
      1
    ),
    ""0""
  ),
  ""Form not found""
)
"),"10")</f>
        <v>10</v>
      </c>
      <c r="BA1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1!$E:$E"")=$B153) *
        (IMPORTRANGE(""https://docs.google.com/spreadsheets/d/161aHT6vVT3SLneTKD19N5qVWtnj_jIT8CSsOmUVKmaA/e"&amp;"dit?gid=1761053510"",
          ""Haris_Form responses 1!$AQ:$AQ"")=4)
      ),
      1
    ),
    ""0""
  ),
  ""Form not found""
)
"),"1")</f>
        <v>1</v>
      </c>
      <c r="BB1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1!$E:$E"")=$B153) *
        (IMPORTRANGE(""https://docs.google.com/spreadsheets/d/161aHT6vVT3SLneTKD19N5qVWtnj_jIT8CSsOmUVKmaA/e"&amp;"dit?gid=1761053510"",
          ""Haris_Form responses 1!$AQ:$AQ"")=5)
      ),
      1
    ),
    ""0""
  ),
  ""Form not found""
)
"),"Form not found")</f>
        <v>Form not found</v>
      </c>
      <c r="BC1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1!$E:$E"")=$B153) *
        (IMPORTRANGE(""https://docs.google.com/spreadsheets/d/161aHT6vVT3SLneTKD19N5qVWtnj_jIT8CSsOmUVKmaA/e"&amp;"dit?gid=1761053510"",
          ""Haris_Form responses 1!$AQ:$AQ"")=6)
      ),
      1
    ),
    ""0""
  ),
  ""Form not found""
)
"),"Form not found")</f>
        <v>Form not found</v>
      </c>
      <c r="BD153" s="293"/>
    </row>
    <row r="154">
      <c r="A154" s="283" t="str">
        <f>IFERROR(__xludf.DUMMYFUNCTION("VLOOKUP($B154,IMPORTRANGE(""https://docs.google.com/spreadsheets/d/1VNXDITjs75AcgdBSW27oL1VZH31udDprJSsBcE5xlp4/edit?gid=1551188038#gid=1551188038"", ""Sheet9!$B:$E""),2,false)"),"Multan")</f>
        <v>Multan</v>
      </c>
      <c r="B154" s="283" t="s">
        <v>4600</v>
      </c>
      <c r="C154" s="284" t="str">
        <f>IFERROR(__xludf.DUMMYFUNCTION("VLOOKUP(TRIM($B154), IMPORTRANGE(""https://docs.google.com/spreadsheets/d/1aSOrU4PTpuBZqfitKaH1Rfww6-YOiNCKoBpPl8XBHaw/edit?gid=0#gid=0"", ""sheet3!$B:$C""), 2, FALSE)
"),"Jamia Masjid Jhok Veenus Multan")</f>
        <v>Jamia Masjid Jhok Veenus Multan</v>
      </c>
      <c r="D154" s="284" t="str">
        <f>IFERROR(__xludf.DUMMYFUNCTION("IFERROR(
  INDEX(
    FILTER(
      IMPORTRANGE(""1aSOrU4PTpuBZqfitKaH1Rfww6-YOiNCKoBpPl8XBHaw/edit?gid=0#gid=0"",""Sheet1!G:G""),
      IMPORTRANGE(""1aSOrU4PTpuBZqfitKaH1Rfww6-YOiNCKoBpPl8XBHaw/edit?gid=0#gid=0"",""Sheet1!C:C"")=$B154
    ),
    1
  ),
"&amp;"  ""Not Found""
)"),"Community Secular Info Share")</f>
        <v>Community Secular Info Share</v>
      </c>
      <c r="E154" s="284" t="str">
        <f>VLOOKUP(B154,'Juma Recording forms'!A:E,5,false)</f>
        <v>Jamia masjid jhoke veenus Multan </v>
      </c>
      <c r="F154" s="284" t="str">
        <f>IFERROR(__xludf.DUMMYFUNCTION("IFERROR(
  INDEX(
    FILTER(
      IMPORTRANGE(""1Cxrhp3-_-HS7v9uuqQliiIfrmMP4VaFoDNDWyUFy2J8/edit?gid=0#gid=0"",""Sheet1!Q:Q""),
      IMPORTRANGE(""1Cxrhp3-_-HS7v9uuqQliiIfrmMP4VaFoDNDWyUFy2J8/edit?gid=0#gid=0"",""Sheet1!K:K"")=$B154
    ),
    1
  ),
"&amp;"  ""Not Found""
)"),"Maulana Hakim ali")</f>
        <v>Maulana Hakim ali</v>
      </c>
      <c r="G154" s="292">
        <v>1964.0</v>
      </c>
      <c r="H154" s="284"/>
      <c r="I154" s="285" t="s">
        <v>197</v>
      </c>
      <c r="J154" s="286">
        <v>2.0</v>
      </c>
      <c r="K154" s="287" t="str">
        <f>VLOOKUP($B154,'Mosque Locations'!$A:$E,3,FALSE)
</f>
        <v>https://www.google.com/maps/place/30%C2%B023'24.9%22N+71%C2%B034'13.5%22E/@30.3902399,71.5678348,17z/data=!3m1!4b1!4m4!3m3!8m2!3d30.3902399!4d71.5704097?entry=ttu&amp;g_ep=EgoyMDI0MTEwNS4wIKXMDSoASAFQAw%3D%3D</v>
      </c>
      <c r="L154" s="286">
        <f>VLOOKUP($B154,'Mosque Locations'!$A:$E,4,FALSE)
</f>
        <v>30.39024</v>
      </c>
      <c r="M154" s="286">
        <f>VLOOKUP($B154,'Mosque Locations'!$A:$E,5,false)</f>
        <v>71.57041</v>
      </c>
      <c r="N154" s="288"/>
      <c r="O154" s="288"/>
      <c r="P154" s="288"/>
      <c r="Q154" s="290" t="str">
        <f>IFERROR(__xludf.DUMMYFUNCTION("IFERROR(
  INDEX(
    FILTER(
      IMPORTRANGE(""1kOrIKZmJfNUkgOVP3sI9BPjaaPA0_a4636oymQxTXg8"",""Form Responses 1!N:N""),
      TRIM(IMPORTRANGE(""1kOrIKZmJfNUkgOVP3sI9BPjaaPA0_a4636oymQxTXg8"",""Form Responses 1!F:F""))=TRIM($B154)
    ),
    1
  ),
  "&amp;"""Not Found""
)
"),"https://drive.google.com/open?id=1pZFDjk4zp9XjXuVXk3q6vwFW4a8KL7v5")</f>
        <v>https://drive.google.com/open?id=1pZFDjk4zp9XjXuVXk3q6vwFW4a8KL7v5</v>
      </c>
      <c r="R154" s="290" t="str">
        <f>IFERROR(__xludf.DUMMYFUNCTION("IFERROR(
  INDEX(
    FILTER(
      IMPORTRANGE(""1kOrIKZmJfNUkgOVP3sI9BPjaaPA0_a4636oymQxTXg8"",""Form Responses 1!M:M""),
      TRIM(IMPORTRANGE(""1kOrIKZmJfNUkgOVP3sI9BPjaaPA0_a4636oymQxTXg8"",""Form Responses 1!F:F""))=TRIM($B154)
    ),
    1
  ),
  "&amp;"""Not Found""
)
"),"https://drive.google.com/open?id=1NoIBC0XcDZhoSdP1cociJHkcnu74ni-0")</f>
        <v>https://drive.google.com/open?id=1NoIBC0XcDZhoSdP1cociJHkcnu74ni-0</v>
      </c>
      <c r="S154" s="285"/>
      <c r="T154" s="290" t="str">
        <f>VLOOKUP($B154,'Master Tracker'!D:E,2,false)</f>
        <v>https://drive.google.com/open?id=1XneVz5XtFHE6HgjhziOGooCdOIVKRd4x</v>
      </c>
      <c r="U154" s="291" t="str">
        <f>VLOOKUP($B154,'Master Tracker'!$D:$T,4,FALSE)
</f>
        <v>https://drive.google.com/open?id=1fe3lhsS4mS9JXgHfOJoK2LetWx-dru7qLSB482IfruU</v>
      </c>
      <c r="V154" s="290" t="str">
        <f>VLOOKUP($B154,'Master Tracker'!$D:$T,5,false)</f>
        <v>https://drive.google.com/open?id=1nL0xIFws3x0g_UIWyKe_p3ibHZehc_LK</v>
      </c>
      <c r="W154" s="291" t="str">
        <f>VLOOKUP($B154,'Master Tracker'!$D:$T,7,false)</f>
        <v>https://drive.google.com/open?id=1_AnbHGQuL5q1l7kwr9HwHmR26jy9XLz1COFMW0uR5Ts</v>
      </c>
      <c r="X154" s="290" t="str">
        <f>VLOOKUP($B154,'Master Tracker'!$D:$T,8,false)</f>
        <v>https://drive.google.com/open?id=1Ia9pPi2R4G9jywurD0-x1Ag3GFeKG9T6</v>
      </c>
      <c r="Y154" s="291" t="str">
        <f>VLOOKUP($B154,'Master Tracker'!$D:$T,10,false)</f>
        <v>https://drive.google.com/open?id=1e89_uOOuK_6akD15UZVLC_m8JGTYjpZT</v>
      </c>
      <c r="Z154" s="284" t="str">
        <f>VLOOKUP($B154,'Master Tracker'!$D:$T,11,false)</f>
        <v>Not Found</v>
      </c>
      <c r="AA154" s="292" t="str">
        <f>VLOOKUP($B154,'Master Tracker'!$D:$T,13,false)</f>
        <v>Not Found</v>
      </c>
      <c r="AB154" s="284" t="str">
        <f>VLOOKUP($B154,'Master Tracker'!$D:$T,14,false)</f>
        <v>Not Found</v>
      </c>
      <c r="AC154" s="292" t="str">
        <f>VLOOKUP($B154,'Master Tracker'!$D:$T,16,false)</f>
        <v>Not Found</v>
      </c>
      <c r="AD154" s="292" t="str">
        <f>VLOOKUP($B154,'Master Tracker'!$D:$T,17,false)</f>
        <v>Not Found</v>
      </c>
      <c r="AE154" s="292" t="str">
        <f>VLOOKUP($B154,'Master Tracker'!$D:$V,19,false)</f>
        <v>Not Found</v>
      </c>
      <c r="AF154" s="292">
        <f>IFERROR(__xludf.DUMMYFUNCTION("IFERROR(
  INDEX(
    FILTER(
      'Juma Recording forms'!$G:$G,
      TRIM('Juma Recording forms'!$F:$F) = TRIM($B154),
      'Juma Recording forms'!$AA:$AA = 1
    ),
    1
  ),
  ""Not Found""
)"),170.0)</f>
        <v>170</v>
      </c>
      <c r="AG154" s="292">
        <f>IFERROR(__xludf.DUMMYFUNCTION("IFERROR(
  INDEX(
    FILTER(
      'Juma Recording forms'!$G:$G,
      TRIM('Juma Recording forms'!$F:$F) = TRIM($B154),
      'Juma Recording forms'!$AA:$AA = 2
    ),
    1
  ),
  ""Not Found""
)"),160.0)</f>
        <v>160</v>
      </c>
      <c r="AH154" s="292">
        <f>IFERROR(__xludf.DUMMYFUNCTION("IFERROR(
  INDEX(
    FILTER(
      'Juma Recording forms'!$G:$G,
      TRIM('Juma Recording forms'!$F:$F) = TRIM($B154),
      'Juma Recording forms'!$AA:$AA = 3
    ),
    1
  ),
  ""Not Found""
)"),155.0)</f>
        <v>155</v>
      </c>
      <c r="AI154" s="292" t="str">
        <f>IFERROR(__xludf.DUMMYFUNCTION("IFERROR(
  INDEX(
    FILTER(
      'Juma Recording forms'!$G:$G,
      TRIM('Juma Recording forms'!$F:$F) = TRIM($B154),
      'Juma Recording forms'!$AA:$AA = 4
    ),
    1
  ),
  ""Not Found""
)"),"Not Found")</f>
        <v>Not Found</v>
      </c>
      <c r="AJ154" s="292" t="str">
        <f>IFERROR(__xludf.DUMMYFUNCTION("IFERROR(
  INDEX(
    FILTER(
      'Juma Recording forms'!$G:$G,
      TRIM('Juma Recording forms'!$F:$F) = TRIM($B154),
      'Juma Recording forms'!$AA:$AA = 5
    ),
    1
  ),
  ""Not Found""
)"),"Not Found")</f>
        <v>Not Found</v>
      </c>
      <c r="AK154" s="292" t="str">
        <f>IFERROR(__xludf.DUMMYFUNCTION("IFERROR(
  INDEX(
    FILTER(
      'Juma Recording forms'!$G:$G,
      TRIM('Juma Recording forms'!$F:$F) = TRIM($B154),
      'Juma Recording forms'!$AA:$AA = 6
    ),
    1
  ),
  ""Not Found""
)"),"Not Found")</f>
        <v>Not Found</v>
      </c>
      <c r="AL1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1!$E:$E"")=$B154) *
        (IMPORTRANGE(""https://docs.google.com/spreadsheets/d/161aHT6vVT3SLneTKD19N5qVWtnj_jIT8CSsOmUVKmaA/e"&amp;"dit?gid=1761053510"",
          ""Haris_Form responses 1!$AQ:$AQ"")=1)
      ),
      1
    ),
    ""0""
  ),
  ""Form not found""
)
"),"10")</f>
        <v>10</v>
      </c>
      <c r="AM1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1!$E:$E"")=$B154) *
        (IMPORTRANGE(""https://docs.google.com/spreadsheets/d/161aHT6vVT3SLneTKD19N5qVWtnj_jIT8CSsOmUVKmaA/e"&amp;"dit?gid=1761053510"",
          ""Haris_Form responses 1!$AQ:$AQ"")=2)
      ),
      1
    ),
    ""0""
  ),
  ""Form not found""
)
"),"10")</f>
        <v>10</v>
      </c>
      <c r="AN1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1!$E:$E"")=$B154) *
        (IMPORTRANGE(""https://docs.google.com/spreadsheets/d/161aHT6vVT3SLneTKD19N5qVWtnj_jIT8CSsOmUVKmaA/e"&amp;"dit?gid=1761053510"",
          ""Haris_Form responses 1!$AQ:$AQ"")=3)
      ),
      1
    ),
    ""0""
  ),
  ""Form not found""
)
"),"0")</f>
        <v>0</v>
      </c>
      <c r="AO1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1!$E:$E"")=$B154) *
        (IMPORTRANGE(""https://docs.google.com/spreadsheets/d/161aHT6vVT3SLneTKD19N5qVWtnj_jIT8CSsOmUVKmaA/e"&amp;"dit?gid=1761053510"",
          ""Haris_Form responses 1!$AQ:$AQ"")=4)
      ),
      1
    ),
    ""0""
  ),
  ""Form not found""
)
"),"Form not found")</f>
        <v>Form not found</v>
      </c>
      <c r="AP1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1!$E:$E"")=$B154) *
        (IMPORTRANGE(""https://docs.google.com/spreadsheets/d/161aHT6vVT3SLneTKD19N5qVWtnj_jIT8CSsOmUVKmaA/e"&amp;"dit?gid=1761053510"",
          ""Haris_Form responses 1!$AQ:$AQ"")=5)
      ),
      1
    ),
    ""0""
  ),
  ""Form not found""
)
"),"Form not found")</f>
        <v>Form not found</v>
      </c>
      <c r="AQ1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1!$E:$E"")=$B154) *
        (IMPORTRANGE(""https://docs.google.com/spreadsheets/d/161aHT6vVT3SLneTKD19N5qVWtnj_jIT8CSsOmUVKmaA/e"&amp;"dit?gid=1761053510"",
          ""Haris_Form responses 1!$AQ:$AQ"")=6)
      ),
      1
    ),
    ""0""
  ),
  ""Form not found""
)
"),"Form not found")</f>
        <v>Form not found</v>
      </c>
      <c r="AR1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1!$E:$E"")=$B154) *
        (IMPORTRANGE(""https://docs.google.com/spreadsheets/d/161aHT6vVT3SLneTKD19N5qVWtnj_jIT8CSsOmUVKmaA/e"&amp;"dit?gid=1761053510"",
          ""Haris_Form responses 1!$AQ:$AQ"")=1)
      ),
      1
    ),
    ""0""
  ),
  ""Form not found""
)
"),"10")</f>
        <v>10</v>
      </c>
      <c r="AS1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1!$E:$E"")=$B154) *
        (IMPORTRANGE(""https://docs.google.com/spreadsheets/d/161aHT6vVT3SLneTKD19N5qVWtnj_jIT8CSsOmUVKmaA/e"&amp;"dit?gid=1761053510"",
          ""Haris_Form responses 1!$AQ:$AQ"")=2)
      ),
      1
    ),
    ""0""
  ),
  ""Form not found""
)
"),"10")</f>
        <v>10</v>
      </c>
      <c r="AT1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1!$E:$E"")=$B154) *
        (IMPORTRANGE(""https://docs.google.com/spreadsheets/d/161aHT6vVT3SLneTKD19N5qVWtnj_jIT8CSsOmUVKmaA/e"&amp;"dit?gid=1761053510"",
          ""Haris_Form responses 1!$AQ:$AQ"")=3)
      ),
      1
    ),
    ""0""
  ),
  ""Form not found""
)
"),"0")</f>
        <v>0</v>
      </c>
      <c r="AU1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1!$E:$E"")=$B154) *
        (IMPORTRANGE(""https://docs.google.com/spreadsheets/d/161aHT6vVT3SLneTKD19N5qVWtnj_jIT8CSsOmUVKmaA/e"&amp;"dit?gid=1761053510"",
          ""Haris_Form responses 1!$AQ:$AQ"")=4)
      ),
      1
    ),
    ""0""
  ),
  ""Form not found""
)
"),"Form not found")</f>
        <v>Form not found</v>
      </c>
      <c r="AV1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1!$E:$E"")=$B154) *
        (IMPORTRANGE(""https://docs.google.com/spreadsheets/d/161aHT6vVT3SLneTKD19N5qVWtnj_jIT8CSsOmUVKmaA/e"&amp;"dit?gid=1761053510"",
          ""Haris_Form responses 1!$AQ:$AQ"")=5)
      ),
      1
    ),
    ""0""
  ),
  ""Form not found""
)
"),"Form not found")</f>
        <v>Form not found</v>
      </c>
      <c r="AW1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1!$E:$E"")=$B154) *
        (IMPORTRANGE(""https://docs.google.com/spreadsheets/d/161aHT6vVT3SLneTKD19N5qVWtnj_jIT8CSsOmUVKmaA/e"&amp;"dit?gid=1761053510"",
          ""Haris_Form responses 1!$AQ:$AQ"")=6)
      ),
      1
    ),
    ""0""
  ),
  ""Form not found""
)
"),"Form not found")</f>
        <v>Form not found</v>
      </c>
      <c r="AX1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1!$E:$E"")=$B154) *
        (IMPORTRANGE(""https://docs.google.com/spreadsheets/d/161aHT6vVT3SLneTKD19N5qVWtnj_jIT8CSsOmUVKmaA/e"&amp;"dit?gid=1761053510"",
          ""Haris_Form responses 1!$AQ:$AQ"")=1)
      ),
      1
    ),
    ""0""
  ),
  ""Form not found""
)
"),"0")</f>
        <v>0</v>
      </c>
      <c r="AY1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1!$E:$E"")=$B154) *
        (IMPORTRANGE(""https://docs.google.com/spreadsheets/d/161aHT6vVT3SLneTKD19N5qVWtnj_jIT8CSsOmUVKmaA/e"&amp;"dit?gid=1761053510"",
          ""Haris_Form responses 1!$AQ:$AQ"")=2)
      ),
      1
    ),
    ""0""
  ),
  ""Form not found""
)
"),"0")</f>
        <v>0</v>
      </c>
      <c r="AZ1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1!$E:$E"")=$B154) *
        (IMPORTRANGE(""https://docs.google.com/spreadsheets/d/161aHT6vVT3SLneTKD19N5qVWtnj_jIT8CSsOmUVKmaA/e"&amp;"dit?gid=1761053510"",
          ""Haris_Form responses 1!$AQ:$AQ"")=3)
      ),
      1
    ),
    ""0""
  ),
  ""Form not found""
)
"),"0")</f>
        <v>0</v>
      </c>
      <c r="BA1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1!$E:$E"")=$B154) *
        (IMPORTRANGE(""https://docs.google.com/spreadsheets/d/161aHT6vVT3SLneTKD19N5qVWtnj_jIT8CSsOmUVKmaA/e"&amp;"dit?gid=1761053510"",
          ""Haris_Form responses 1!$AQ:$AQ"")=4)
      ),
      1
    ),
    ""0""
  ),
  ""Form not found""
)
"),"Form not found")</f>
        <v>Form not found</v>
      </c>
      <c r="BB1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1!$E:$E"")=$B154) *
        (IMPORTRANGE(""https://docs.google.com/spreadsheets/d/161aHT6vVT3SLneTKD19N5qVWtnj_jIT8CSsOmUVKmaA/e"&amp;"dit?gid=1761053510"",
          ""Haris_Form responses 1!$AQ:$AQ"")=5)
      ),
      1
    ),
    ""0""
  ),
  ""Form not found""
)
"),"Form not found")</f>
        <v>Form not found</v>
      </c>
      <c r="BC1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1!$E:$E"")=$B154) *
        (IMPORTRANGE(""https://docs.google.com/spreadsheets/d/161aHT6vVT3SLneTKD19N5qVWtnj_jIT8CSsOmUVKmaA/e"&amp;"dit?gid=1761053510"",
          ""Haris_Form responses 1!$AQ:$AQ"")=6)
      ),
      1
    ),
    ""0""
  ),
  ""Form not found""
)
"),"Form not found")</f>
        <v>Form not found</v>
      </c>
      <c r="BD154" s="293"/>
    </row>
    <row r="155">
      <c r="A155" s="283" t="str">
        <f>IFERROR(__xludf.DUMMYFUNCTION("VLOOKUP($B155,IMPORTRANGE(""https://docs.google.com/spreadsheets/d/1VNXDITjs75AcgdBSW27oL1VZH31udDprJSsBcE5xlp4/edit?gid=1551188038#gid=1551188038"", ""Sheet9!$B:$E""),2,false)"),"Multan")</f>
        <v>Multan</v>
      </c>
      <c r="B155" s="283" t="s">
        <v>4601</v>
      </c>
      <c r="C155" s="284" t="str">
        <f>IFERROR(__xludf.DUMMYFUNCTION("VLOOKUP(TRIM($B155), IMPORTRANGE(""https://docs.google.com/spreadsheets/d/1aSOrU4PTpuBZqfitKaH1Rfww6-YOiNCKoBpPl8XBHaw/edit?gid=0#gid=0"", ""sheet3!$B:$C""), 2, FALSE)
"),"Jamia Masjid Gul Hassan Shahnawah Multan")</f>
        <v>Jamia Masjid Gul Hassan Shahnawah Multan</v>
      </c>
      <c r="D155" s="284" t="str">
        <f>IFERROR(__xludf.DUMMYFUNCTION("IFERROR(
  INDEX(
    FILTER(
      IMPORTRANGE(""1aSOrU4PTpuBZqfitKaH1Rfww6-YOiNCKoBpPl8XBHaw/edit?gid=0#gid=0"",""Sheet1!G:G""),
      IMPORTRANGE(""1aSOrU4PTpuBZqfitKaH1Rfww6-YOiNCKoBpPl8XBHaw/edit?gid=0#gid=0"",""Sheet1!C:C"")=$B155
    ),
    1
  ),
"&amp;"  ""Not Found""
)"),"Control")</f>
        <v>Control</v>
      </c>
      <c r="E155" s="284" t="str">
        <f>VLOOKUP(B155,'Juma Recording forms'!A:E,5,false)</f>
        <v>Jamia masjid Gul Hassan </v>
      </c>
      <c r="F155" s="284" t="str">
        <f>IFERROR(__xludf.DUMMYFUNCTION("IFERROR(
  INDEX(
    FILTER(
      IMPORTRANGE(""1Cxrhp3-_-HS7v9uuqQliiIfrmMP4VaFoDNDWyUFy2J8/edit?gid=0#gid=0"",""Sheet1!Q:Q""),
      IMPORTRANGE(""1Cxrhp3-_-HS7v9uuqQliiIfrmMP4VaFoDNDWyUFy2J8/edit?gid=0#gid=0"",""Sheet1!K:K"")=$B155
    ),
    1
  ),
"&amp;"  ""Not Found""
)"),"Habib ur rehman")</f>
        <v>Habib ur rehman</v>
      </c>
      <c r="G155" s="292">
        <v>918.0</v>
      </c>
      <c r="H155" s="284"/>
      <c r="I155" s="285" t="s">
        <v>197</v>
      </c>
      <c r="J155" s="286">
        <v>2.0</v>
      </c>
      <c r="K155" s="287" t="str">
        <f>VLOOKUP($B155,'Mosque Locations'!$A:$E,3,FALSE)
</f>
        <v>https://maps.google.com/maps?q=30.19407%2C71.4546925&amp;z=17&amp;hl=en</v>
      </c>
      <c r="L155" s="286">
        <f>VLOOKUP($B155,'Mosque Locations'!$A:$E,4,FALSE)
</f>
        <v>30.19407</v>
      </c>
      <c r="M155" s="286">
        <f>VLOOKUP($B155,'Mosque Locations'!$A:$E,5,false)</f>
        <v>71.45469</v>
      </c>
      <c r="N155" s="288"/>
      <c r="O155" s="288"/>
      <c r="P155" s="288"/>
      <c r="Q155" s="289" t="str">
        <f>IFERROR(__xludf.DUMMYFUNCTION("IFERROR(
  INDEX(
    FILTER(
      IMPORTRANGE(""1kOrIKZmJfNUkgOVP3sI9BPjaaPA0_a4636oymQxTXg8"",""Form Responses 1!N:N""),
      TRIM(IMPORTRANGE(""1kOrIKZmJfNUkgOVP3sI9BPjaaPA0_a4636oymQxTXg8"",""Form Responses 1!F:F""))=TRIM($B155)
    ),
    1
  ),
  "&amp;"""Not Found""
)
"),"https://drive.google.com/open?id=1dzwgaw1MwZX9w9UVpqq0_1PnItn3jZJ4")</f>
        <v>https://drive.google.com/open?id=1dzwgaw1MwZX9w9UVpqq0_1PnItn3jZJ4</v>
      </c>
      <c r="R155" s="289" t="str">
        <f>IFERROR(__xludf.DUMMYFUNCTION("IFERROR(
  INDEX(
    FILTER(
      IMPORTRANGE(""1kOrIKZmJfNUkgOVP3sI9BPjaaPA0_a4636oymQxTXg8"",""Form Responses 1!M:M""),
      TRIM(IMPORTRANGE(""1kOrIKZmJfNUkgOVP3sI9BPjaaPA0_a4636oymQxTXg8"",""Form Responses 1!F:F""))=TRIM($B155)
    ),
    1
  ),
  "&amp;"""Not Found""
)
"),"https://drive.google.com/open?id=1ER0kPQaEaXx-GxZotTgSn9paxLA4eOoe")</f>
        <v>https://drive.google.com/open?id=1ER0kPQaEaXx-GxZotTgSn9paxLA4eOoe</v>
      </c>
      <c r="S155" s="285"/>
      <c r="T155" s="290" t="str">
        <f>VLOOKUP($B155,'Master Tracker'!D:E,2,false)</f>
        <v>https://drive.google.com/open?id=1xXoSE-wqhVuPUlokjS9lc_SzAnwNokpb</v>
      </c>
      <c r="U155" s="291" t="str">
        <f>VLOOKUP($B155,'Master Tracker'!$D:$T,4,FALSE)
</f>
        <v>https://drive.google.com/open?id=1bKnqEglLtcaIpXsj1dZzKLHGG-mwmo1Su7CQ8OfrJPM</v>
      </c>
      <c r="V155" s="284" t="str">
        <f>VLOOKUP($B155,'Master Tracker'!$D:$T,5,false)</f>
        <v>Not Found</v>
      </c>
      <c r="W155" s="292" t="str">
        <f>VLOOKUP($B155,'Master Tracker'!$D:$T,7,false)</f>
        <v>Not Found</v>
      </c>
      <c r="X155" s="290" t="str">
        <f>VLOOKUP($B155,'Master Tracker'!$D:$T,8,false)</f>
        <v>https://drive.google.com/open?id=1c-Id4PbD7woc6Ls4dyqBboaHvIyeAhOH</v>
      </c>
      <c r="Y155" s="291" t="str">
        <f>VLOOKUP($B155,'Master Tracker'!$D:$T,10,false)</f>
        <v>https://drive.google.com/open?id=18azfO1e-3SqfBf6ZgkE-zwX69ANVx8YqJ11c7yyCcNg</v>
      </c>
      <c r="Z155" s="284" t="str">
        <f>VLOOKUP($B155,'Master Tracker'!$D:$T,11,false)</f>
        <v>Not Found</v>
      </c>
      <c r="AA155" s="292" t="str">
        <f>VLOOKUP($B155,'Master Tracker'!$D:$T,13,false)</f>
        <v>Not Found</v>
      </c>
      <c r="AB155" s="284" t="str">
        <f>VLOOKUP($B155,'Master Tracker'!$D:$T,14,false)</f>
        <v>Not Found</v>
      </c>
      <c r="AC155" s="292" t="str">
        <f>VLOOKUP($B155,'Master Tracker'!$D:$T,16,false)</f>
        <v>Not Found</v>
      </c>
      <c r="AD155" s="292" t="str">
        <f>VLOOKUP($B155,'Master Tracker'!$D:$T,17,false)</f>
        <v>Not Found</v>
      </c>
      <c r="AE155" s="292" t="str">
        <f>VLOOKUP($B155,'Master Tracker'!$D:$V,19,false)</f>
        <v>Not Found</v>
      </c>
      <c r="AF155" s="292">
        <f>IFERROR(__xludf.DUMMYFUNCTION("IFERROR(
  INDEX(
    FILTER(
      'Juma Recording forms'!$G:$G,
      TRIM('Juma Recording forms'!$F:$F) = TRIM($B155),
      'Juma Recording forms'!$AA:$AA = 1
    ),
    1
  ),
  ""Not Found""
)"),140.0)</f>
        <v>140</v>
      </c>
      <c r="AG155" s="292" t="str">
        <f>IFERROR(__xludf.DUMMYFUNCTION("IFERROR(
  INDEX(
    FILTER(
      'Juma Recording forms'!$G:$G,
      TRIM('Juma Recording forms'!$F:$F) = TRIM($B155),
      'Juma Recording forms'!$AA:$AA = 2
    ),
    1
  ),
  ""Not Found""
)"),"Not Found")</f>
        <v>Not Found</v>
      </c>
      <c r="AH155" s="292">
        <f>IFERROR(__xludf.DUMMYFUNCTION("IFERROR(
  INDEX(
    FILTER(
      'Juma Recording forms'!$G:$G,
      TRIM('Juma Recording forms'!$F:$F) = TRIM($B155),
      'Juma Recording forms'!$AA:$AA = 3
    ),
    1
  ),
  ""Not Found""
)"),162.0)</f>
        <v>162</v>
      </c>
      <c r="AI155" s="292" t="str">
        <f>IFERROR(__xludf.DUMMYFUNCTION("IFERROR(
  INDEX(
    FILTER(
      'Juma Recording forms'!$G:$G,
      TRIM('Juma Recording forms'!$F:$F) = TRIM($B155),
      'Juma Recording forms'!$AA:$AA = 4
    ),
    1
  ),
  ""Not Found""
)"),"Not Found")</f>
        <v>Not Found</v>
      </c>
      <c r="AJ155" s="292" t="str">
        <f>IFERROR(__xludf.DUMMYFUNCTION("IFERROR(
  INDEX(
    FILTER(
      'Juma Recording forms'!$G:$G,
      TRIM('Juma Recording forms'!$F:$F) = TRIM($B155),
      'Juma Recording forms'!$AA:$AA = 5
    ),
    1
  ),
  ""Not Found""
)"),"Not Found")</f>
        <v>Not Found</v>
      </c>
      <c r="AK155" s="292"/>
      <c r="AL1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1!$E:$E"")=$B155) *
        (IMPORTRANGE(""https://docs.google.com/spreadsheets/d/161aHT6vVT3SLneTKD19N5qVWtnj_jIT8CSsOmUVKmaA/e"&amp;"dit?gid=1761053510"",
          ""Haris_Form responses 1!$AQ:$AQ"")=1)
      ),
      1
    ),
    ""0""
  ),
  ""Form not found""
)
"),"0")</f>
        <v>0</v>
      </c>
      <c r="AM1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1!$E:$E"")=$B155) *
        (IMPORTRANGE(""https://docs.google.com/spreadsheets/d/161aHT6vVT3SLneTKD19N5qVWtnj_jIT8CSsOmUVKmaA/e"&amp;"dit?gid=1761053510"",
          ""Haris_Form responses 1!$AQ:$AQ"")=2)
      ),
      1
    ),
    ""0""
  ),
  ""Form not found""
)
"),"Form not found")</f>
        <v>Form not found</v>
      </c>
      <c r="AN1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1!$E:$E"")=$B155) *
        (IMPORTRANGE(""https://docs.google.com/spreadsheets/d/161aHT6vVT3SLneTKD19N5qVWtnj_jIT8CSsOmUVKmaA/e"&amp;"dit?gid=1761053510"",
          ""Haris_Form responses 1!$AQ:$AQ"")=3)
      ),
      1
    ),
    ""0""
  ),
  ""Form not found""
)
"),"0")</f>
        <v>0</v>
      </c>
      <c r="AO1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1!$E:$E"")=$B155) *
        (IMPORTRANGE(""https://docs.google.com/spreadsheets/d/161aHT6vVT3SLneTKD19N5qVWtnj_jIT8CSsOmUVKmaA/e"&amp;"dit?gid=1761053510"",
          ""Haris_Form responses 1!$AQ:$AQ"")=4)
      ),
      1
    ),
    ""0""
  ),
  ""Form not found""
)
"),"Form not found")</f>
        <v>Form not found</v>
      </c>
      <c r="AP1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1!$E:$E"")=$B155) *
        (IMPORTRANGE(""https://docs.google.com/spreadsheets/d/161aHT6vVT3SLneTKD19N5qVWtnj_jIT8CSsOmUVKmaA/e"&amp;"dit?gid=1761053510"",
          ""Haris_Form responses 1!$AQ:$AQ"")=5)
      ),
      1
    ),
    ""0""
  ),
  ""Form not found""
)
"),"Form not found")</f>
        <v>Form not found</v>
      </c>
      <c r="AQ1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1!$E:$E"")=$B155) *
        (IMPORTRANGE(""https://docs.google.com/spreadsheets/d/161aHT6vVT3SLneTKD19N5qVWtnj_jIT8CSsOmUVKmaA/e"&amp;"dit?gid=1761053510"",
          ""Haris_Form responses 1!$AQ:$AQ"")=6)
      ),
      1
    ),
    ""0""
  ),
  ""Form not found""
)
"),"Form not found")</f>
        <v>Form not found</v>
      </c>
      <c r="AR1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1!$E:$E"")=$B155) *
        (IMPORTRANGE(""https://docs.google.com/spreadsheets/d/161aHT6vVT3SLneTKD19N5qVWtnj_jIT8CSsOmUVKmaA/e"&amp;"dit?gid=1761053510"",
          ""Haris_Form responses 1!$AQ:$AQ"")=1)
      ),
      1
    ),
    ""0""
  ),
  ""Form not found""
)
"),"0")</f>
        <v>0</v>
      </c>
      <c r="AS1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1!$E:$E"")=$B155) *
        (IMPORTRANGE(""https://docs.google.com/spreadsheets/d/161aHT6vVT3SLneTKD19N5qVWtnj_jIT8CSsOmUVKmaA/e"&amp;"dit?gid=1761053510"",
          ""Haris_Form responses 1!$AQ:$AQ"")=2)
      ),
      1
    ),
    ""0""
  ),
  ""Form not found""
)
"),"Form not found")</f>
        <v>Form not found</v>
      </c>
      <c r="AT1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1!$E:$E"")=$B155) *
        (IMPORTRANGE(""https://docs.google.com/spreadsheets/d/161aHT6vVT3SLneTKD19N5qVWtnj_jIT8CSsOmUVKmaA/e"&amp;"dit?gid=1761053510"",
          ""Haris_Form responses 1!$AQ:$AQ"")=3)
      ),
      1
    ),
    ""0""
  ),
  ""Form not found""
)
"),"0")</f>
        <v>0</v>
      </c>
      <c r="AU1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1!$E:$E"")=$B155) *
        (IMPORTRANGE(""https://docs.google.com/spreadsheets/d/161aHT6vVT3SLneTKD19N5qVWtnj_jIT8CSsOmUVKmaA/e"&amp;"dit?gid=1761053510"",
          ""Haris_Form responses 1!$AQ:$AQ"")=4)
      ),
      1
    ),
    ""0""
  ),
  ""Form not found""
)
"),"Form not found")</f>
        <v>Form not found</v>
      </c>
      <c r="AV1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1!$E:$E"")=$B155) *
        (IMPORTRANGE(""https://docs.google.com/spreadsheets/d/161aHT6vVT3SLneTKD19N5qVWtnj_jIT8CSsOmUVKmaA/e"&amp;"dit?gid=1761053510"",
          ""Haris_Form responses 1!$AQ:$AQ"")=5)
      ),
      1
    ),
    ""0""
  ),
  ""Form not found""
)
"),"Form not found")</f>
        <v>Form not found</v>
      </c>
      <c r="AW1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1!$E:$E"")=$B155) *
        (IMPORTRANGE(""https://docs.google.com/spreadsheets/d/161aHT6vVT3SLneTKD19N5qVWtnj_jIT8CSsOmUVKmaA/e"&amp;"dit?gid=1761053510"",
          ""Haris_Form responses 1!$AQ:$AQ"")=6)
      ),
      1
    ),
    ""0""
  ),
  ""Form not found""
)
"),"Form not found")</f>
        <v>Form not found</v>
      </c>
      <c r="AX1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1!$E:$E"")=$B155) *
        (IMPORTRANGE(""https://docs.google.com/spreadsheets/d/161aHT6vVT3SLneTKD19N5qVWtnj_jIT8CSsOmUVKmaA/e"&amp;"dit?gid=1761053510"",
          ""Haris_Form responses 1!$AQ:$AQ"")=1)
      ),
      1
    ),
    ""0""
  ),
  ""Form not found""
)
"),"0")</f>
        <v>0</v>
      </c>
      <c r="AY1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1!$E:$E"")=$B155) *
        (IMPORTRANGE(""https://docs.google.com/spreadsheets/d/161aHT6vVT3SLneTKD19N5qVWtnj_jIT8CSsOmUVKmaA/e"&amp;"dit?gid=1761053510"",
          ""Haris_Form responses 1!$AQ:$AQ"")=2)
      ),
      1
    ),
    ""0""
  ),
  ""Form not found""
)
"),"Form not found")</f>
        <v>Form not found</v>
      </c>
      <c r="AZ1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1!$E:$E"")=$B155) *
        (IMPORTRANGE(""https://docs.google.com/spreadsheets/d/161aHT6vVT3SLneTKD19N5qVWtnj_jIT8CSsOmUVKmaA/e"&amp;"dit?gid=1761053510"",
          ""Haris_Form responses 1!$AQ:$AQ"")=3)
      ),
      1
    ),
    ""0""
  ),
  ""Form not found""
)
"),"0")</f>
        <v>0</v>
      </c>
      <c r="BA1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1!$E:$E"")=$B155) *
        (IMPORTRANGE(""https://docs.google.com/spreadsheets/d/161aHT6vVT3SLneTKD19N5qVWtnj_jIT8CSsOmUVKmaA/e"&amp;"dit?gid=1761053510"",
          ""Haris_Form responses 1!$AQ:$AQ"")=4)
      ),
      1
    ),
    ""0""
  ),
  ""Form not found""
)
"),"Form not found")</f>
        <v>Form not found</v>
      </c>
      <c r="BB1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1!$E:$E"")=$B155) *
        (IMPORTRANGE(""https://docs.google.com/spreadsheets/d/161aHT6vVT3SLneTKD19N5qVWtnj_jIT8CSsOmUVKmaA/e"&amp;"dit?gid=1761053510"",
          ""Haris_Form responses 1!$AQ:$AQ"")=5)
      ),
      1
    ),
    ""0""
  ),
  ""Form not found""
)
"),"Form not found")</f>
        <v>Form not found</v>
      </c>
      <c r="BC1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1!$E:$E"")=$B155) *
        (IMPORTRANGE(""https://docs.google.com/spreadsheets/d/161aHT6vVT3SLneTKD19N5qVWtnj_jIT8CSsOmUVKmaA/e"&amp;"dit?gid=1761053510"",
          ""Haris_Form responses 1!$AQ:$AQ"")=6)
      ),
      1
    ),
    ""0""
  ),
  ""Form not found""
)
"),"Form not found")</f>
        <v>Form not found</v>
      </c>
      <c r="BD155" s="293"/>
    </row>
    <row r="156">
      <c r="A156" s="283" t="str">
        <f>IFERROR(__xludf.DUMMYFUNCTION("VLOOKUP($B156,IMPORTRANGE(""https://docs.google.com/spreadsheets/d/1VNXDITjs75AcgdBSW27oL1VZH31udDprJSsBcE5xlp4/edit?gid=1551188038#gid=1551188038"", ""Sheet9!$B:$E""),2,false)"),"Multan")</f>
        <v>Multan</v>
      </c>
      <c r="B156" s="283" t="s">
        <v>4602</v>
      </c>
      <c r="C156" s="284" t="str">
        <f>IFERROR(__xludf.DUMMYFUNCTION("VLOOKUP(TRIM($B156), IMPORTRANGE(""https://docs.google.com/spreadsheets/d/1aSOrU4PTpuBZqfitKaH1Rfww6-YOiNCKoBpPl8XBHaw/edit?gid=0#gid=0"", ""sheet3!$B:$C""), 2, FALSE)
"),"Jamia Masjid Kumhaar Mandi Multan")</f>
        <v>Jamia Masjid Kumhaar Mandi Multan</v>
      </c>
      <c r="D156" s="284" t="str">
        <f>IFERROR(__xludf.DUMMYFUNCTION("IFERROR(
  INDEX(
    FILTER(
      IMPORTRANGE(""1aSOrU4PTpuBZqfitKaH1Rfww6-YOiNCKoBpPl8XBHaw/edit?gid=0#gid=0"",""Sheet1!G:G""),
      IMPORTRANGE(""1aSOrU4PTpuBZqfitKaH1Rfww6-YOiNCKoBpPl8XBHaw/edit?gid=0#gid=0"",""Sheet1!C:C"")=$B156
    ),
    1
  ),
"&amp;"  ""Not Found""
)"),"Women Secular No Info Share")</f>
        <v>Women Secular No Info Share</v>
      </c>
      <c r="E156" s="284" t="str">
        <f>VLOOKUP(B156,'Juma Recording forms'!A:E,5,false)</f>
        <v>JAMIA MASJID KUMHAR MANDI</v>
      </c>
      <c r="F156" s="284" t="str">
        <f>IFERROR(__xludf.DUMMYFUNCTION("IFERROR(
  INDEX(
    FILTER(
      IMPORTRANGE(""1Cxrhp3-_-HS7v9uuqQliiIfrmMP4VaFoDNDWyUFy2J8/edit?gid=0#gid=0"",""Sheet1!Q:Q""),
      IMPORTRANGE(""1Cxrhp3-_-HS7v9uuqQliiIfrmMP4VaFoDNDWyUFy2J8/edit?gid=0#gid=0"",""Sheet1!K:K"")=$B156
    ),
    1
  ),
"&amp;"  ""Not Found""
)"),"maulana muhmmad abdullah")</f>
        <v>maulana muhmmad abdullah</v>
      </c>
      <c r="G156" s="284">
        <v>1967.0</v>
      </c>
      <c r="H156" s="284"/>
      <c r="I156" s="285" t="s">
        <v>197</v>
      </c>
      <c r="J156" s="286">
        <v>2.0</v>
      </c>
      <c r="K156" s="287" t="str">
        <f>VLOOKUP($B156,'Mosque Locations'!$A:$E,3,FALSE)
</f>
        <v>https://maps.google.com/maps?q=30.1779656%2C71.4440599&amp;z=17&amp;hl=en</v>
      </c>
      <c r="L156" s="286">
        <f>VLOOKUP($B156,'Mosque Locations'!$A:$E,4,FALSE)
</f>
        <v>30.17797</v>
      </c>
      <c r="M156" s="286">
        <f>VLOOKUP($B156,'Mosque Locations'!$A:$E,5,false)</f>
        <v>71.44406</v>
      </c>
      <c r="N156" s="288"/>
      <c r="O156" s="288"/>
      <c r="P156" s="288"/>
      <c r="Q156" s="289" t="str">
        <f>IFERROR(__xludf.DUMMYFUNCTION("IFERROR(
  INDEX(
    FILTER(
      IMPORTRANGE(""1kOrIKZmJfNUkgOVP3sI9BPjaaPA0_a4636oymQxTXg8"",""Form Responses 1!N:N""),
      TRIM(IMPORTRANGE(""1kOrIKZmJfNUkgOVP3sI9BPjaaPA0_a4636oymQxTXg8"",""Form Responses 1!F:F""))=TRIM($B156)
    ),
    1
  ),
  "&amp;"""Not Found""
)
"),"https://drive.google.com/open?id=1gySR9yksba-F_NqTVdtwG55lyFklVAlg")</f>
        <v>https://drive.google.com/open?id=1gySR9yksba-F_NqTVdtwG55lyFklVAlg</v>
      </c>
      <c r="R156" s="290" t="str">
        <f>IFERROR(__xludf.DUMMYFUNCTION("IFERROR(
  INDEX(
    FILTER(
      IMPORTRANGE(""1kOrIKZmJfNUkgOVP3sI9BPjaaPA0_a4636oymQxTXg8"",""Form Responses 1!M:M""),
      TRIM(IMPORTRANGE(""1kOrIKZmJfNUkgOVP3sI9BPjaaPA0_a4636oymQxTXg8"",""Form Responses 1!F:F""))=TRIM($B156)
    ),
    1
  ),
  "&amp;"""Not Found""
)
"),"https://drive.google.com/open?id=1cUNuPXgnMDmX9lGx7mf6avUfDS4zTa9K")</f>
        <v>https://drive.google.com/open?id=1cUNuPXgnMDmX9lGx7mf6avUfDS4zTa9K</v>
      </c>
      <c r="S156" s="285"/>
      <c r="T156" s="290" t="str">
        <f>VLOOKUP($B156,'Master Tracker'!D:E,2,false)</f>
        <v>https://drive.google.com/open?id=1i9mjq6fHRshRZCnndVcrkoOAXoBvu1yh</v>
      </c>
      <c r="U156" s="291" t="str">
        <f>VLOOKUP($B156,'Master Tracker'!$D:$T,4,FALSE)
</f>
        <v>https://drive.google.com/open?id=1H8XXJTlGxw8f9KjuRnYL1KWDAXSn8a_Thng8-LALE2Q</v>
      </c>
      <c r="V156" s="290" t="str">
        <f>VLOOKUP($B156,'Master Tracker'!$D:$T,5,false)</f>
        <v>https://drive.google.com/open?id=13Uq7OYaCK_xN9bbWSDInkLkP6MemgziU</v>
      </c>
      <c r="W156" s="291" t="str">
        <f>VLOOKUP($B156,'Master Tracker'!$D:$T,7,false)</f>
        <v>https://drive.google.com/open?id=1pDg6b5uA6c6G1PabKHqXVAfEy8nY9_fp</v>
      </c>
      <c r="X156" s="290" t="str">
        <f>VLOOKUP($B156,'Master Tracker'!$D:$T,8,false)</f>
        <v>https://drive.google.com/open?id=1AMydLqNr_zUJSDCzC_s33gGFOzxbkTbT</v>
      </c>
      <c r="Y156" s="291" t="str">
        <f>VLOOKUP($B156,'Master Tracker'!$D:$T,10,false)</f>
        <v>https://drive.google.com/open?id=1gb-LXaSSayGh2LDOBXam54wgBIZZSpyF</v>
      </c>
      <c r="Z156" s="284" t="str">
        <f>VLOOKUP($B156,'Master Tracker'!$D:$T,11,false)</f>
        <v>Not Found</v>
      </c>
      <c r="AA156" s="292" t="str">
        <f>VLOOKUP($B156,'Master Tracker'!$D:$T,13,false)</f>
        <v>Not Found</v>
      </c>
      <c r="AB156" s="284" t="str">
        <f>VLOOKUP($B156,'Master Tracker'!$D:$T,14,false)</f>
        <v>Not Found</v>
      </c>
      <c r="AC156" s="292" t="str">
        <f>VLOOKUP($B156,'Master Tracker'!$D:$T,16,false)</f>
        <v>Not Found</v>
      </c>
      <c r="AD156" s="292" t="str">
        <f>VLOOKUP($B156,'Master Tracker'!$D:$T,17,false)</f>
        <v>Not Found</v>
      </c>
      <c r="AE156" s="292" t="str">
        <f>VLOOKUP($B156,'Master Tracker'!$D:$V,19,false)</f>
        <v>Not Found</v>
      </c>
      <c r="AF156" s="292">
        <f>IFERROR(__xludf.DUMMYFUNCTION("IFERROR(
  INDEX(
    FILTER(
      'Juma Recording forms'!$G:$G,
      TRIM('Juma Recording forms'!$F:$F) = TRIM($B156),
      'Juma Recording forms'!$AA:$AA = 1
    ),
    1
  ),
  ""Not Found""
)"),327.0)</f>
        <v>327</v>
      </c>
      <c r="AG156" s="292">
        <f>IFERROR(__xludf.DUMMYFUNCTION("IFERROR(
  INDEX(
    FILTER(
      'Juma Recording forms'!$G:$G,
      TRIM('Juma Recording forms'!$F:$F) = TRIM($B156),
      'Juma Recording forms'!$AA:$AA = 2
    ),
    1
  ),
  ""Not Found""
)"),354.0)</f>
        <v>354</v>
      </c>
      <c r="AH156" s="292">
        <f>IFERROR(__xludf.DUMMYFUNCTION("IFERROR(
  INDEX(
    FILTER(
      'Juma Recording forms'!$G:$G,
      TRIM('Juma Recording forms'!$F:$F) = TRIM($B156),
      'Juma Recording forms'!$AA:$AA = 3
    ),
    1
  ),
  ""Not Found""
)"),321.0)</f>
        <v>321</v>
      </c>
      <c r="AI156" s="292" t="str">
        <f>IFERROR(__xludf.DUMMYFUNCTION("IFERROR(
  INDEX(
    FILTER(
      'Juma Recording forms'!$G:$G,
      TRIM('Juma Recording forms'!$F:$F) = TRIM($B156),
      'Juma Recording forms'!$AA:$AA = 4
    ),
    1
  ),
  ""Not Found""
)"),"Not Found")</f>
        <v>Not Found</v>
      </c>
      <c r="AJ156" s="292" t="str">
        <f>IFERROR(__xludf.DUMMYFUNCTION("IFERROR(
  INDEX(
    FILTER(
      'Juma Recording forms'!$G:$G,
      TRIM('Juma Recording forms'!$F:$F) = TRIM($B156),
      'Juma Recording forms'!$AA:$AA = 5
    ),
    1
  ),
  ""Not Found""
)"),"Not Found")</f>
        <v>Not Found</v>
      </c>
      <c r="AK156" s="292" t="str">
        <f>IFERROR(__xludf.DUMMYFUNCTION("IFERROR(
  INDEX(
    FILTER(
      'Juma Recording forms'!$G:$G,
      TRIM('Juma Recording forms'!$F:$F) = TRIM($B156),
      'Juma Recording forms'!$AA:$AA = 6
    ),
    1
  ),
  ""Not Found""
)"),"Not Found")</f>
        <v>Not Found</v>
      </c>
      <c r="AL1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1!$E:$E"")=$B156) *
        (IMPORTRANGE(""https://docs.google.com/spreadsheets/d/161aHT6vVT3SLneTKD19N5qVWtnj_jIT8CSsOmUVKmaA/e"&amp;"dit?gid=1761053510"",
          ""Haris_Form responses 1!$AQ:$AQ"")=1)
      ),
      1
    ),
    ""0""
  ),
  ""Form not found""
)
"),"9")</f>
        <v>9</v>
      </c>
      <c r="AM1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1!$E:$E"")=$B156) *
        (IMPORTRANGE(""https://docs.google.com/spreadsheets/d/161aHT6vVT3SLneTKD19N5qVWtnj_jIT8CSsOmUVKmaA/e"&amp;"dit?gid=1761053510"",
          ""Haris_Form responses 1!$AQ:$AQ"")=2)
      ),
      1
    ),
    ""0""
  ),
  ""Form not found""
)
"),"9")</f>
        <v>9</v>
      </c>
      <c r="AN1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1!$E:$E"")=$B156) *
        (IMPORTRANGE(""https://docs.google.com/spreadsheets/d/161aHT6vVT3SLneTKD19N5qVWtnj_jIT8CSsOmUVKmaA/e"&amp;"dit?gid=1761053510"",
          ""Haris_Form responses 1!$AQ:$AQ"")=3)
      ),
      1
    ),
    ""0""
  ),
  ""Form not found""
)
"),"0")</f>
        <v>0</v>
      </c>
      <c r="AO1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1!$E:$E"")=$B156) *
        (IMPORTRANGE(""https://docs.google.com/spreadsheets/d/161aHT6vVT3SLneTKD19N5qVWtnj_jIT8CSsOmUVKmaA/e"&amp;"dit?gid=1761053510"",
          ""Haris_Form responses 1!$AQ:$AQ"")=4)
      ),
      1
    ),
    ""0""
  ),
  ""Form not found""
)
"),"Form not found")</f>
        <v>Form not found</v>
      </c>
      <c r="AP1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1!$E:$E"")=$B156) *
        (IMPORTRANGE(""https://docs.google.com/spreadsheets/d/161aHT6vVT3SLneTKD19N5qVWtnj_jIT8CSsOmUVKmaA/e"&amp;"dit?gid=1761053510"",
          ""Haris_Form responses 1!$AQ:$AQ"")=5)
      ),
      1
    ),
    ""0""
  ),
  ""Form not found""
)
"),"Form not found")</f>
        <v>Form not found</v>
      </c>
      <c r="AQ1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1!$E:$E"")=$B156) *
        (IMPORTRANGE(""https://docs.google.com/spreadsheets/d/161aHT6vVT3SLneTKD19N5qVWtnj_jIT8CSsOmUVKmaA/e"&amp;"dit?gid=1761053510"",
          ""Haris_Form responses 1!$AQ:$AQ"")=6)
      ),
      1
    ),
    ""0""
  ),
  ""Form not found""
)
"),"Form not found")</f>
        <v>Form not found</v>
      </c>
      <c r="AR1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1!$E:$E"")=$B156) *
        (IMPORTRANGE(""https://docs.google.com/spreadsheets/d/161aHT6vVT3SLneTKD19N5qVWtnj_jIT8CSsOmUVKmaA/e"&amp;"dit?gid=1761053510"",
          ""Haris_Form responses 1!$AQ:$AQ"")=1)
      ),
      1
    ),
    ""0""
  ),
  ""Form not found""
)
"),"0")</f>
        <v>0</v>
      </c>
      <c r="AS1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1!$E:$E"")=$B156) *
        (IMPORTRANGE(""https://docs.google.com/spreadsheets/d/161aHT6vVT3SLneTKD19N5qVWtnj_jIT8CSsOmUVKmaA/e"&amp;"dit?gid=1761053510"",
          ""Haris_Form responses 1!$AQ:$AQ"")=2)
      ),
      1
    ),
    ""0""
  ),
  ""Form not found""
)
"),"0")</f>
        <v>0</v>
      </c>
      <c r="AT1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1!$E:$E"")=$B156) *
        (IMPORTRANGE(""https://docs.google.com/spreadsheets/d/161aHT6vVT3SLneTKD19N5qVWtnj_jIT8CSsOmUVKmaA/e"&amp;"dit?gid=1761053510"",
          ""Haris_Form responses 1!$AQ:$AQ"")=3)
      ),
      1
    ),
    ""0""
  ),
  ""Form not found""
)
"),"0")</f>
        <v>0</v>
      </c>
      <c r="AU1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1!$E:$E"")=$B156) *
        (IMPORTRANGE(""https://docs.google.com/spreadsheets/d/161aHT6vVT3SLneTKD19N5qVWtnj_jIT8CSsOmUVKmaA/e"&amp;"dit?gid=1761053510"",
          ""Haris_Form responses 1!$AQ:$AQ"")=4)
      ),
      1
    ),
    ""0""
  ),
  ""Form not found""
)
"),"Form not found")</f>
        <v>Form not found</v>
      </c>
      <c r="AV1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1!$E:$E"")=$B156) *
        (IMPORTRANGE(""https://docs.google.com/spreadsheets/d/161aHT6vVT3SLneTKD19N5qVWtnj_jIT8CSsOmUVKmaA/e"&amp;"dit?gid=1761053510"",
          ""Haris_Form responses 1!$AQ:$AQ"")=5)
      ),
      1
    ),
    ""0""
  ),
  ""Form not found""
)
"),"Form not found")</f>
        <v>Form not found</v>
      </c>
      <c r="AW1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1!$E:$E"")=$B156) *
        (IMPORTRANGE(""https://docs.google.com/spreadsheets/d/161aHT6vVT3SLneTKD19N5qVWtnj_jIT8CSsOmUVKmaA/e"&amp;"dit?gid=1761053510"",
          ""Haris_Form responses 1!$AQ:$AQ"")=6)
      ),
      1
    ),
    ""0""
  ),
  ""Form not found""
)
"),"Form not found")</f>
        <v>Form not found</v>
      </c>
      <c r="AX1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1!$E:$E"")=$B156) *
        (IMPORTRANGE(""https://docs.google.com/spreadsheets/d/161aHT6vVT3SLneTKD19N5qVWtnj_jIT8CSsOmUVKmaA/e"&amp;"dit?gid=1761053510"",
          ""Haris_Form responses 1!$AQ:$AQ"")=1)
      ),
      1
    ),
    ""0""
  ),
  ""Form not found""
)
"),"9")</f>
        <v>9</v>
      </c>
      <c r="AY1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1!$E:$E"")=$B156) *
        (IMPORTRANGE(""https://docs.google.com/spreadsheets/d/161aHT6vVT3SLneTKD19N5qVWtnj_jIT8CSsOmUVKmaA/e"&amp;"dit?gid=1761053510"",
          ""Haris_Form responses 1!$AQ:$AQ"")=2)
      ),
      1
    ),
    ""0""
  ),
  ""Form not found""
)
"),"9")</f>
        <v>9</v>
      </c>
      <c r="AZ1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1!$E:$E"")=$B156) *
        (IMPORTRANGE(""https://docs.google.com/spreadsheets/d/161aHT6vVT3SLneTKD19N5qVWtnj_jIT8CSsOmUVKmaA/e"&amp;"dit?gid=1761053510"",
          ""Haris_Form responses 1!$AQ:$AQ"")=3)
      ),
      1
    ),
    ""0""
  ),
  ""Form not found""
)
"),"0")</f>
        <v>0</v>
      </c>
      <c r="BA1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1!$E:$E"")=$B156) *
        (IMPORTRANGE(""https://docs.google.com/spreadsheets/d/161aHT6vVT3SLneTKD19N5qVWtnj_jIT8CSsOmUVKmaA/e"&amp;"dit?gid=1761053510"",
          ""Haris_Form responses 1!$AQ:$AQ"")=4)
      ),
      1
    ),
    ""0""
  ),
  ""Form not found""
)
"),"Form not found")</f>
        <v>Form not found</v>
      </c>
      <c r="BB1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1!$E:$E"")=$B156) *
        (IMPORTRANGE(""https://docs.google.com/spreadsheets/d/161aHT6vVT3SLneTKD19N5qVWtnj_jIT8CSsOmUVKmaA/e"&amp;"dit?gid=1761053510"",
          ""Haris_Form responses 1!$AQ:$AQ"")=5)
      ),
      1
    ),
    ""0""
  ),
  ""Form not found""
)
"),"Form not found")</f>
        <v>Form not found</v>
      </c>
      <c r="BC1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1!$E:$E"")=$B156) *
        (IMPORTRANGE(""https://docs.google.com/spreadsheets/d/161aHT6vVT3SLneTKD19N5qVWtnj_jIT8CSsOmUVKmaA/e"&amp;"dit?gid=1761053510"",
          ""Haris_Form responses 1!$AQ:$AQ"")=6)
      ),
      1
    ),
    ""0""
  ),
  ""Form not found""
)
"),"Form not found")</f>
        <v>Form not found</v>
      </c>
      <c r="BD156" s="293"/>
    </row>
    <row r="157">
      <c r="A157" s="283" t="str">
        <f>IFERROR(__xludf.DUMMYFUNCTION("VLOOKUP($B157,IMPORTRANGE(""https://docs.google.com/spreadsheets/d/1VNXDITjs75AcgdBSW27oL1VZH31udDprJSsBcE5xlp4/edit?gid=1551188038#gid=1551188038"", ""Sheet9!$B:$E""),2,false)"),"Multan")</f>
        <v>Multan</v>
      </c>
      <c r="B157" s="283" t="s">
        <v>4603</v>
      </c>
      <c r="C157" s="284" t="str">
        <f>IFERROR(__xludf.DUMMYFUNCTION("VLOOKUP(TRIM($B157), IMPORTRANGE(""https://docs.google.com/spreadsheets/d/1aSOrU4PTpuBZqfitKaH1Rfww6-YOiNCKoBpPl8XBHaw/edit?gid=0#gid=0"", ""sheet3!$B:$C""), 2, FALSE)
"),"Jamia Masjid Shah Shams ( Barlevri ) Multan")</f>
        <v>Jamia Masjid Shah Shams ( Barlevri ) Multan</v>
      </c>
      <c r="D157" s="284" t="str">
        <f>IFERROR(__xludf.DUMMYFUNCTION("IFERROR(
  INDEX(
    FILTER(
      IMPORTRANGE(""1aSOrU4PTpuBZqfitKaH1Rfww6-YOiNCKoBpPl8XBHaw/edit?gid=0#gid=0"",""Sheet1!G:G""),
      IMPORTRANGE(""1aSOrU4PTpuBZqfitKaH1Rfww6-YOiNCKoBpPl8XBHaw/edit?gid=0#gid=0"",""Sheet1!C:C"")=$B157
    ),
    1
  ),
"&amp;"  ""Not Found""
)"),"Community Secular No Info Share")</f>
        <v>Community Secular No Info Share</v>
      </c>
      <c r="E157" s="284" t="str">
        <f>VLOOKUP(B157,'Juma Recording forms'!A:E,5,false)</f>
        <v>مسجد سے باہر کو نام نہیں تھا، </v>
      </c>
      <c r="F157" s="284" t="str">
        <f>IFERROR(__xludf.DUMMYFUNCTION("IFERROR(
  INDEX(
    FILTER(
      IMPORTRANGE(""1Cxrhp3-_-HS7v9uuqQliiIfrmMP4VaFoDNDWyUFy2J8/edit?gid=0#gid=0"",""Sheet1!Q:Q""),
      IMPORTRANGE(""1Cxrhp3-_-HS7v9uuqQliiIfrmMP4VaFoDNDWyUFy2J8/edit?gid=0#gid=0"",""Sheet1!K:K"")=$B157
    ),
    1
  ),
"&amp;"  ""Not Found""
)"),"maukana m bashir")</f>
        <v>maukana m bashir</v>
      </c>
      <c r="G157" s="284">
        <v>1330.0</v>
      </c>
      <c r="H157" s="284" t="s">
        <v>4860</v>
      </c>
      <c r="I157" s="285" t="s">
        <v>197</v>
      </c>
      <c r="J157" s="286">
        <v>2.0</v>
      </c>
      <c r="K157" s="287" t="str">
        <f>VLOOKUP($B157,'Mosque Locations'!$A:$E,3,FALSE)
</f>
        <v>https://maps.google.com/maps?q=30.2014192%2C71.4838604&amp;z=17&amp;hl=en</v>
      </c>
      <c r="L157" s="286">
        <f>VLOOKUP($B157,'Mosque Locations'!$A:$E,4,FALSE)
</f>
        <v>30.20142</v>
      </c>
      <c r="M157" s="286">
        <f>VLOOKUP($B157,'Mosque Locations'!$A:$E,5,false)</f>
        <v>71.48386</v>
      </c>
      <c r="N157" s="288"/>
      <c r="O157" s="288"/>
      <c r="P157" s="288"/>
      <c r="Q157" s="289" t="str">
        <f>IFERROR(__xludf.DUMMYFUNCTION("IFERROR(
  INDEX(
    FILTER(
      IMPORTRANGE(""1kOrIKZmJfNUkgOVP3sI9BPjaaPA0_a4636oymQxTXg8"",""Form Responses 1!N:N""),
      TRIM(IMPORTRANGE(""1kOrIKZmJfNUkgOVP3sI9BPjaaPA0_a4636oymQxTXg8"",""Form Responses 1!F:F""))=TRIM($B157)
    ),
    1
  ),
  "&amp;"""Not Found""
)
"),"https://drive.google.com/open?id=1s2cK-KX4HZnqukYO9Eo4cL9Sz7f8AFb8")</f>
        <v>https://drive.google.com/open?id=1s2cK-KX4HZnqukYO9Eo4cL9Sz7f8AFb8</v>
      </c>
      <c r="R157" s="290" t="str">
        <f>IFERROR(__xludf.DUMMYFUNCTION("IFERROR(
  INDEX(
    FILTER(
      IMPORTRANGE(""1kOrIKZmJfNUkgOVP3sI9BPjaaPA0_a4636oymQxTXg8"",""Form Responses 1!M:M""),
      TRIM(IMPORTRANGE(""1kOrIKZmJfNUkgOVP3sI9BPjaaPA0_a4636oymQxTXg8"",""Form Responses 1!F:F""))=TRIM($B157)
    ),
    1
  ),
  "&amp;"""Not Found""
)
"),"https://drive.google.com/open?id=1Zo2oSWGJ9gD0C0TiNFyxdP9acnAQyD1d")</f>
        <v>https://drive.google.com/open?id=1Zo2oSWGJ9gD0C0TiNFyxdP9acnAQyD1d</v>
      </c>
      <c r="S157" s="285"/>
      <c r="T157" s="290" t="str">
        <f>VLOOKUP($B157,'Master Tracker'!D:E,2,false)</f>
        <v>https://drive.google.com/open?id=1Q3hvK_-H5BUwHx2tfYySAcXd0SsJPjAN</v>
      </c>
      <c r="U157" s="291" t="str">
        <f>VLOOKUP($B157,'Master Tracker'!$D:$T,4,FALSE)
</f>
        <v>https://drive.google.com/open?id=1r3CEHm3eA6Wv76Ub5HelcAf6QW2HA_e0uMZ9_5pJCdo</v>
      </c>
      <c r="V157" s="290" t="str">
        <f>VLOOKUP($B157,'Master Tracker'!$D:$T,5,false)</f>
        <v>https://drive.google.com/open?id=1wH-mO-NKLsewVWTCohIwBAjPiSSL7Oem</v>
      </c>
      <c r="W157" s="291" t="str">
        <f>VLOOKUP($B157,'Master Tracker'!$D:$T,7,false)</f>
        <v>https://drive.google.com/open?id=1wxComY7Q0kQDc44tyqPBSUK6jlZOs4ZOI4R4ilfTtzQ</v>
      </c>
      <c r="X157" s="290" t="str">
        <f>VLOOKUP($B157,'Master Tracker'!$D:$T,8,false)</f>
        <v>https://drive.google.com/open?id=1uHTHs29eNy0fi3bqytqNCE4JiLNOZYQ3</v>
      </c>
      <c r="Y157" s="291" t="str">
        <f>VLOOKUP($B157,'Master Tracker'!$D:$T,10,false)</f>
        <v>https://drive.google.com/open?id=1eSFPMdSpYhLkeHbX-PK8b51A3rnvqbDTeji_1wTS6WE</v>
      </c>
      <c r="Z157" s="284" t="str">
        <f>VLOOKUP($B157,'Master Tracker'!$D:$T,11,false)</f>
        <v>Not Found</v>
      </c>
      <c r="AA157" s="292" t="str">
        <f>VLOOKUP($B157,'Master Tracker'!$D:$T,13,false)</f>
        <v>Not Found</v>
      </c>
      <c r="AB157" s="284" t="str">
        <f>VLOOKUP($B157,'Master Tracker'!$D:$T,14,false)</f>
        <v>Not Found</v>
      </c>
      <c r="AC157" s="292" t="str">
        <f>VLOOKUP($B157,'Master Tracker'!$D:$T,16,false)</f>
        <v>Not Found</v>
      </c>
      <c r="AD157" s="292" t="str">
        <f>VLOOKUP($B157,'Master Tracker'!$D:$T,17,false)</f>
        <v>Not Found</v>
      </c>
      <c r="AE157" s="292" t="str">
        <f>VLOOKUP($B157,'Master Tracker'!$D:$V,19,false)</f>
        <v>Not Found</v>
      </c>
      <c r="AF157" s="292">
        <f>IFERROR(__xludf.DUMMYFUNCTION("IFERROR(
  INDEX(
    FILTER(
      'Juma Recording forms'!$G:$G,
      TRIM('Juma Recording forms'!$F:$F) = TRIM($B157),
      'Juma Recording forms'!$AA:$AA = 1
    ),
    1
  ),
  ""Not Found""
)"),55.0)</f>
        <v>55</v>
      </c>
      <c r="AG157" s="292">
        <f>IFERROR(__xludf.DUMMYFUNCTION("IFERROR(
  INDEX(
    FILTER(
      'Juma Recording forms'!$G:$G,
      TRIM('Juma Recording forms'!$F:$F) = TRIM($B157),
      'Juma Recording forms'!$AA:$AA = 2
    ),
    1
  ),
  ""Not Found""
)"),52.0)</f>
        <v>52</v>
      </c>
      <c r="AH157" s="292">
        <f>IFERROR(__xludf.DUMMYFUNCTION("IFERROR(
  INDEX(
    FILTER(
      'Juma Recording forms'!$G:$G,
      TRIM('Juma Recording forms'!$F:$F) = TRIM($B157),
      'Juma Recording forms'!$AA:$AA = 3
    ),
    1
  ),
  ""Not Found""
)"),49.0)</f>
        <v>49</v>
      </c>
      <c r="AI157" s="292" t="str">
        <f>IFERROR(__xludf.DUMMYFUNCTION("IFERROR(
  INDEX(
    FILTER(
      'Juma Recording forms'!$G:$G,
      TRIM('Juma Recording forms'!$F:$F) = TRIM($B157),
      'Juma Recording forms'!$AA:$AA = 4
    ),
    1
  ),
  ""Not Found""
)"),"Not Found")</f>
        <v>Not Found</v>
      </c>
      <c r="AJ157" s="292" t="str">
        <f>IFERROR(__xludf.DUMMYFUNCTION("IFERROR(
  INDEX(
    FILTER(
      'Juma Recording forms'!$G:$G,
      TRIM('Juma Recording forms'!$F:$F) = TRIM($B157),
      'Juma Recording forms'!$AA:$AA = 5
    ),
    1
  ),
  ""Not Found""
)"),"Not Found")</f>
        <v>Not Found</v>
      </c>
      <c r="AK157" s="292" t="str">
        <f>IFERROR(__xludf.DUMMYFUNCTION("IFERROR(
  INDEX(
    FILTER(
      'Juma Recording forms'!$G:$G,
      TRIM('Juma Recording forms'!$F:$F) = TRIM($B157),
      'Juma Recording forms'!$AA:$AA = 6
    ),
    1
  ),
  ""Not Found""
)"),"Not Found")</f>
        <v>Not Found</v>
      </c>
      <c r="AL1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1!$E:$E"")=$B157) *
        (IMPORTRANGE(""https://docs.google.com/spreadsheets/d/161aHT6vVT3SLneTKD19N5qVWtnj_jIT8CSsOmUVKmaA/e"&amp;"dit?gid=1761053510"",
          ""Haris_Form responses 1!$AQ:$AQ"")=1)
      ),
      1
    ),
    ""0""
  ),
  ""Form not found""
)
"),"10")</f>
        <v>10</v>
      </c>
      <c r="AM1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1!$E:$E"")=$B157) *
        (IMPORTRANGE(""https://docs.google.com/spreadsheets/d/161aHT6vVT3SLneTKD19N5qVWtnj_jIT8CSsOmUVKmaA/e"&amp;"dit?gid=1761053510"",
          ""Haris_Form responses 1!$AQ:$AQ"")=2)
      ),
      1
    ),
    ""0""
  ),
  ""Form not found""
)
"),"10")</f>
        <v>10</v>
      </c>
      <c r="AN1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1!$E:$E"")=$B157) *
        (IMPORTRANGE(""https://docs.google.com/spreadsheets/d/161aHT6vVT3SLneTKD19N5qVWtnj_jIT8CSsOmUVKmaA/e"&amp;"dit?gid=1761053510"",
          ""Haris_Form responses 1!$AQ:$AQ"")=3)
      ),
      1
    ),
    ""0""
  ),
  ""Form not found""
)
"),"0")</f>
        <v>0</v>
      </c>
      <c r="AO1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1!$E:$E"")=$B157) *
        (IMPORTRANGE(""https://docs.google.com/spreadsheets/d/161aHT6vVT3SLneTKD19N5qVWtnj_jIT8CSsOmUVKmaA/e"&amp;"dit?gid=1761053510"",
          ""Haris_Form responses 1!$AQ:$AQ"")=4)
      ),
      1
    ),
    ""0""
  ),
  ""Form not found""
)
"),"Form not found")</f>
        <v>Form not found</v>
      </c>
      <c r="AP1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1!$E:$E"")=$B157) *
        (IMPORTRANGE(""https://docs.google.com/spreadsheets/d/161aHT6vVT3SLneTKD19N5qVWtnj_jIT8CSsOmUVKmaA/e"&amp;"dit?gid=1761053510"",
          ""Haris_Form responses 1!$AQ:$AQ"")=5)
      ),
      1
    ),
    ""0""
  ),
  ""Form not found""
)
"),"Form not found")</f>
        <v>Form not found</v>
      </c>
      <c r="AQ1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1!$E:$E"")=$B157) *
        (IMPORTRANGE(""https://docs.google.com/spreadsheets/d/161aHT6vVT3SLneTKD19N5qVWtnj_jIT8CSsOmUVKmaA/e"&amp;"dit?gid=1761053510"",
          ""Haris_Form responses 1!$AQ:$AQ"")=6)
      ),
      1
    ),
    ""0""
  ),
  ""Form not found""
)
"),"Form not found")</f>
        <v>Form not found</v>
      </c>
      <c r="AR1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1!$E:$E"")=$B157) *
        (IMPORTRANGE(""https://docs.google.com/spreadsheets/d/161aHT6vVT3SLneTKD19N5qVWtnj_jIT8CSsOmUVKmaA/e"&amp;"dit?gid=1761053510"",
          ""Haris_Form responses 1!$AQ:$AQ"")=1)
      ),
      1
    ),
    ""0""
  ),
  ""Form not found""
)
"),"10")</f>
        <v>10</v>
      </c>
      <c r="AS1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1!$E:$E"")=$B157) *
        (IMPORTRANGE(""https://docs.google.com/spreadsheets/d/161aHT6vVT3SLneTKD19N5qVWtnj_jIT8CSsOmUVKmaA/e"&amp;"dit?gid=1761053510"",
          ""Haris_Form responses 1!$AQ:$AQ"")=2)
      ),
      1
    ),
    ""0""
  ),
  ""Form not found""
)
"),"10")</f>
        <v>10</v>
      </c>
      <c r="AT1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1!$E:$E"")=$B157) *
        (IMPORTRANGE(""https://docs.google.com/spreadsheets/d/161aHT6vVT3SLneTKD19N5qVWtnj_jIT8CSsOmUVKmaA/e"&amp;"dit?gid=1761053510"",
          ""Haris_Form responses 1!$AQ:$AQ"")=3)
      ),
      1
    ),
    ""0""
  ),
  ""Form not found""
)
"),"0")</f>
        <v>0</v>
      </c>
      <c r="AU1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1!$E:$E"")=$B157) *
        (IMPORTRANGE(""https://docs.google.com/spreadsheets/d/161aHT6vVT3SLneTKD19N5qVWtnj_jIT8CSsOmUVKmaA/e"&amp;"dit?gid=1761053510"",
          ""Haris_Form responses 1!$AQ:$AQ"")=4)
      ),
      1
    ),
    ""0""
  ),
  ""Form not found""
)
"),"Form not found")</f>
        <v>Form not found</v>
      </c>
      <c r="AV1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1!$E:$E"")=$B157) *
        (IMPORTRANGE(""https://docs.google.com/spreadsheets/d/161aHT6vVT3SLneTKD19N5qVWtnj_jIT8CSsOmUVKmaA/e"&amp;"dit?gid=1761053510"",
          ""Haris_Form responses 1!$AQ:$AQ"")=5)
      ),
      1
    ),
    ""0""
  ),
  ""Form not found""
)
"),"Form not found")</f>
        <v>Form not found</v>
      </c>
      <c r="AW1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1!$E:$E"")=$B157) *
        (IMPORTRANGE(""https://docs.google.com/spreadsheets/d/161aHT6vVT3SLneTKD19N5qVWtnj_jIT8CSsOmUVKmaA/e"&amp;"dit?gid=1761053510"",
          ""Haris_Form responses 1!$AQ:$AQ"")=6)
      ),
      1
    ),
    ""0""
  ),
  ""Form not found""
)
"),"Form not found")</f>
        <v>Form not found</v>
      </c>
      <c r="AX1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1!$E:$E"")=$B157) *
        (IMPORTRANGE(""https://docs.google.com/spreadsheets/d/161aHT6vVT3SLneTKD19N5qVWtnj_jIT8CSsOmUVKmaA/e"&amp;"dit?gid=1761053510"",
          ""Haris_Form responses 1!$AQ:$AQ"")=1)
      ),
      1
    ),
    ""0""
  ),
  ""Form not found""
)
"),"0")</f>
        <v>0</v>
      </c>
      <c r="AY1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1!$E:$E"")=$B157) *
        (IMPORTRANGE(""https://docs.google.com/spreadsheets/d/161aHT6vVT3SLneTKD19N5qVWtnj_jIT8CSsOmUVKmaA/e"&amp;"dit?gid=1761053510"",
          ""Haris_Form responses 1!$AQ:$AQ"")=2)
      ),
      1
    ),
    ""0""
  ),
  ""Form not found""
)
"),"0")</f>
        <v>0</v>
      </c>
      <c r="AZ1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1!$E:$E"")=$B157) *
        (IMPORTRANGE(""https://docs.google.com/spreadsheets/d/161aHT6vVT3SLneTKD19N5qVWtnj_jIT8CSsOmUVKmaA/e"&amp;"dit?gid=1761053510"",
          ""Haris_Form responses 1!$AQ:$AQ"")=3)
      ),
      1
    ),
    ""0""
  ),
  ""Form not found""
)
"),"0")</f>
        <v>0</v>
      </c>
      <c r="BA1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1!$E:$E"")=$B157) *
        (IMPORTRANGE(""https://docs.google.com/spreadsheets/d/161aHT6vVT3SLneTKD19N5qVWtnj_jIT8CSsOmUVKmaA/e"&amp;"dit?gid=1761053510"",
          ""Haris_Form responses 1!$AQ:$AQ"")=4)
      ),
      1
    ),
    ""0""
  ),
  ""Form not found""
)
"),"Form not found")</f>
        <v>Form not found</v>
      </c>
      <c r="BB1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1!$E:$E"")=$B157) *
        (IMPORTRANGE(""https://docs.google.com/spreadsheets/d/161aHT6vVT3SLneTKD19N5qVWtnj_jIT8CSsOmUVKmaA/e"&amp;"dit?gid=1761053510"",
          ""Haris_Form responses 1!$AQ:$AQ"")=5)
      ),
      1
    ),
    ""0""
  ),
  ""Form not found""
)
"),"Form not found")</f>
        <v>Form not found</v>
      </c>
      <c r="BC1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1!$E:$E"")=$B157) *
        (IMPORTRANGE(""https://docs.google.com/spreadsheets/d/161aHT6vVT3SLneTKD19N5qVWtnj_jIT8CSsOmUVKmaA/e"&amp;"dit?gid=1761053510"",
          ""Haris_Form responses 1!$AQ:$AQ"")=6)
      ),
      1
    ),
    ""0""
  ),
  ""Form not found""
)
"),"Form not found")</f>
        <v>Form not found</v>
      </c>
      <c r="BD157" s="293"/>
    </row>
    <row r="158">
      <c r="A158" s="283" t="str">
        <f>IFERROR(__xludf.DUMMYFUNCTION("VLOOKUP($B158,IMPORTRANGE(""https://docs.google.com/spreadsheets/d/1VNXDITjs75AcgdBSW27oL1VZH31udDprJSsBcE5xlp4/edit?gid=1551188038#gid=1551188038"", ""Sheet9!$B:$E""),2,false)"),"Multan")</f>
        <v>Multan</v>
      </c>
      <c r="B158" s="283" t="s">
        <v>4604</v>
      </c>
      <c r="C158" s="284" t="str">
        <f>IFERROR(__xludf.DUMMYFUNCTION("VLOOKUP(TRIM($B158), IMPORTRANGE(""https://docs.google.com/spreadsheets/d/1aSOrU4PTpuBZqfitKaH1Rfww6-YOiNCKoBpPl8XBHaw/edit?gid=0#gid=0"", ""sheet3!$B:$C""), 2, FALSE)
"),"Jamia Masjid Khunagran wali Multan")</f>
        <v>Jamia Masjid Khunagran wali Multan</v>
      </c>
      <c r="D158" s="284" t="str">
        <f>IFERROR(__xludf.DUMMYFUNCTION("IFERROR(
  INDEX(
    FILTER(
      IMPORTRANGE(""1aSOrU4PTpuBZqfitKaH1Rfww6-YOiNCKoBpPl8XBHaw/edit?gid=0#gid=0"",""Sheet1!G:G""),
      IMPORTRANGE(""1aSOrU4PTpuBZqfitKaH1Rfww6-YOiNCKoBpPl8XBHaw/edit?gid=0#gid=0"",""Sheet1!C:C"")=$B158
    ),
    1
  ),
"&amp;"  ""Not Found""
)"),"Control")</f>
        <v>Control</v>
      </c>
      <c r="E158" s="284" t="str">
        <f>VLOOKUP(B158,'Juma Recording forms'!A:E,5,false)</f>
        <v>Jamiah Masjid Khangran Wali</v>
      </c>
      <c r="F158" s="284" t="str">
        <f>IFERROR(__xludf.DUMMYFUNCTION("IFERROR(
  INDEX(
    FILTER(
      IMPORTRANGE(""1Cxrhp3-_-HS7v9uuqQliiIfrmMP4VaFoDNDWyUFy2J8/edit?gid=0#gid=0"",""Sheet1!Q:Q""),
      IMPORTRANGE(""1Cxrhp3-_-HS7v9uuqQliiIfrmMP4VaFoDNDWyUFy2J8/edit?gid=0#gid=0"",""Sheet1!K:K"")=$B158
    ),
    1
  ),
"&amp;"  ""Not Found""
)"),"Hafiz Muhammad Jaffar")</f>
        <v>Hafiz Muhammad Jaffar</v>
      </c>
      <c r="G158" s="292">
        <v>1800.0</v>
      </c>
      <c r="H158" s="284"/>
      <c r="I158" s="285" t="s">
        <v>197</v>
      </c>
      <c r="J158" s="286">
        <v>2.0</v>
      </c>
      <c r="K158" s="287" t="str">
        <f>VLOOKUP($B158,'Mosque Locations'!$A:$E,3,FALSE)
</f>
        <v>https://maps.google.com/?q=30.1888683,71.4686767</v>
      </c>
      <c r="L158" s="286">
        <f>VLOOKUP($B158,'Mosque Locations'!$A:$E,4,FALSE)
</f>
        <v>30.18887</v>
      </c>
      <c r="M158" s="286">
        <f>VLOOKUP($B158,'Mosque Locations'!$A:$E,5,false)</f>
        <v>71.46868</v>
      </c>
      <c r="N158" s="288"/>
      <c r="O158" s="288"/>
      <c r="P158" s="288"/>
      <c r="Q158" s="290" t="str">
        <f>IFERROR(__xludf.DUMMYFUNCTION("IFERROR(
  INDEX(
    FILTER(
      IMPORTRANGE(""1kOrIKZmJfNUkgOVP3sI9BPjaaPA0_a4636oymQxTXg8"",""Form Responses 1!N:N""),
      TRIM(IMPORTRANGE(""1kOrIKZmJfNUkgOVP3sI9BPjaaPA0_a4636oymQxTXg8"",""Form Responses 1!F:F""))=TRIM($B158)
    ),
    1
  ),
  "&amp;"""Not Found""
)
"),"https://drive.google.com/open?id=13isjZp7cj1R8pA2Wbo6QR_CgL979rcx0")</f>
        <v>https://drive.google.com/open?id=13isjZp7cj1R8pA2Wbo6QR_CgL979rcx0</v>
      </c>
      <c r="R158" s="290" t="str">
        <f>IFERROR(__xludf.DUMMYFUNCTION("IFERROR(
  INDEX(
    FILTER(
      IMPORTRANGE(""1kOrIKZmJfNUkgOVP3sI9BPjaaPA0_a4636oymQxTXg8"",""Form Responses 1!M:M""),
      TRIM(IMPORTRANGE(""1kOrIKZmJfNUkgOVP3sI9BPjaaPA0_a4636oymQxTXg8"",""Form Responses 1!F:F""))=TRIM($B158)
    ),
    1
  ),
  "&amp;"""Not Found""
)
"),"https://drive.google.com/open?id=1sS_f2vGv8F31GbpH4Pzv1PszFXk5XHnh")</f>
        <v>https://drive.google.com/open?id=1sS_f2vGv8F31GbpH4Pzv1PszFXk5XHnh</v>
      </c>
      <c r="S158" s="285"/>
      <c r="T158" s="290" t="str">
        <f>VLOOKUP($B158,'Master Tracker'!D:E,2,false)</f>
        <v>https://drive.google.com/open?id=1Ff0qZSImizZY4wxjaGTKDBDB2cn7IiMp</v>
      </c>
      <c r="U158" s="291" t="str">
        <f>VLOOKUP($B158,'Master Tracker'!$D:$T,4,FALSE)
</f>
        <v>https://drive.google.com/open?id=1LtXaBwCrKz1LcuhAVS83QLMU31AqEKhi</v>
      </c>
      <c r="V158" s="284" t="str">
        <f>VLOOKUP($B158,'Master Tracker'!$D:$T,5,false)</f>
        <v>Not Found</v>
      </c>
      <c r="W158" s="292" t="str">
        <f>VLOOKUP($B158,'Master Tracker'!$D:$T,7,false)</f>
        <v>Not Found</v>
      </c>
      <c r="X158" s="290" t="str">
        <f>VLOOKUP($B158,'Master Tracker'!$D:$T,8,false)</f>
        <v>https://drive.google.com/file/d/1pj5UTXzTztrspfpyJy9jPVVdzNiLpbpj/view?usp=drive_link</v>
      </c>
      <c r="Y158" s="291" t="str">
        <f>VLOOKUP($B158,'Master Tracker'!$D:$T,10,false)</f>
        <v>https://drive.google.com/open?id=1ogdUlLnufcDs1xmNg35PDgwASKlvOYHg</v>
      </c>
      <c r="Z158" s="284" t="str">
        <f>VLOOKUP($B158,'Master Tracker'!$D:$T,11,false)</f>
        <v>Not Found</v>
      </c>
      <c r="AA158" s="292" t="str">
        <f>VLOOKUP($B158,'Master Tracker'!$D:$T,13,false)</f>
        <v>Not Found</v>
      </c>
      <c r="AB158" s="284" t="str">
        <f>VLOOKUP($B158,'Master Tracker'!$D:$T,14,false)</f>
        <v>Not Found</v>
      </c>
      <c r="AC158" s="292" t="str">
        <f>VLOOKUP($B158,'Master Tracker'!$D:$T,16,false)</f>
        <v>Not Found</v>
      </c>
      <c r="AD158" s="292" t="str">
        <f>VLOOKUP($B158,'Master Tracker'!$D:$T,17,false)</f>
        <v>Not Found</v>
      </c>
      <c r="AE158" s="292" t="str">
        <f>VLOOKUP($B158,'Master Tracker'!$D:$V,19,false)</f>
        <v>Not Found</v>
      </c>
      <c r="AF158" s="292">
        <f>IFERROR(__xludf.DUMMYFUNCTION("IFERROR(
  INDEX(
    FILTER(
      'Juma Recording forms'!$G:$G,
      TRIM('Juma Recording forms'!$F:$F) = TRIM($B158),
      'Juma Recording forms'!$AA:$AA = 1
    ),
    1
  ),
  ""Not Found""
)"),166.0)</f>
        <v>166</v>
      </c>
      <c r="AG158" s="292" t="str">
        <f>IFERROR(__xludf.DUMMYFUNCTION("IFERROR(
  INDEX(
    FILTER(
      'Juma Recording forms'!$G:$G,
      TRIM('Juma Recording forms'!$F:$F) = TRIM($B158),
      'Juma Recording forms'!$AA:$AA = 2
    ),
    1
  ),
  ""Not Found""
)"),"Not Found")</f>
        <v>Not Found</v>
      </c>
      <c r="AH158" s="292">
        <f>IFERROR(__xludf.DUMMYFUNCTION("IFERROR(
  INDEX(
    FILTER(
      'Juma Recording forms'!$G:$G,
      TRIM('Juma Recording forms'!$F:$F) = TRIM($B158),
      'Juma Recording forms'!$AA:$AA = 3
    ),
    1
  ),
  ""Not Found""
)"),147.0)</f>
        <v>147</v>
      </c>
      <c r="AI158" s="292" t="str">
        <f>IFERROR(__xludf.DUMMYFUNCTION("IFERROR(
  INDEX(
    FILTER(
      'Juma Recording forms'!$G:$G,
      TRIM('Juma Recording forms'!$F:$F) = TRIM($B158),
      'Juma Recording forms'!$AA:$AA = 4
    ),
    1
  ),
  ""Not Found""
)"),"Not Found")</f>
        <v>Not Found</v>
      </c>
      <c r="AJ158" s="292" t="str">
        <f>IFERROR(__xludf.DUMMYFUNCTION("IFERROR(
  INDEX(
    FILTER(
      'Juma Recording forms'!$G:$G,
      TRIM('Juma Recording forms'!$F:$F) = TRIM($B158),
      'Juma Recording forms'!$AA:$AA = 5
    ),
    1
  ),
  ""Not Found""
)"),"Not Found")</f>
        <v>Not Found</v>
      </c>
      <c r="AK158" s="292"/>
      <c r="AL1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1!$E:$E"")=$B158) *
        (IMPORTRANGE(""https://docs.google.com/spreadsheets/d/161aHT6vVT3SLneTKD19N5qVWtnj_jIT8CSsOmUVKmaA/e"&amp;"dit?gid=1761053510"",
          ""Haris_Form responses 1!$AQ:$AQ"")=1)
      ),
      1
    ),
    ""0""
  ),
  ""Form not found""
)
"),"0")</f>
        <v>0</v>
      </c>
      <c r="AM1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1!$E:$E"")=$B158) *
        (IMPORTRANGE(""https://docs.google.com/spreadsheets/d/161aHT6vVT3SLneTKD19N5qVWtnj_jIT8CSsOmUVKmaA/e"&amp;"dit?gid=1761053510"",
          ""Haris_Form responses 1!$AQ:$AQ"")=2)
      ),
      1
    ),
    ""0""
  ),
  ""Form not found""
)
"),"Form not found")</f>
        <v>Form not found</v>
      </c>
      <c r="AN1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1!$E:$E"")=$B158) *
        (IMPORTRANGE(""https://docs.google.com/spreadsheets/d/161aHT6vVT3SLneTKD19N5qVWtnj_jIT8CSsOmUVKmaA/e"&amp;"dit?gid=1761053510"",
          ""Haris_Form responses 1!$AQ:$AQ"")=3)
      ),
      1
    ),
    ""0""
  ),
  ""Form not found""
)
"),"0")</f>
        <v>0</v>
      </c>
      <c r="AO1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1!$E:$E"")=$B158) *
        (IMPORTRANGE(""https://docs.google.com/spreadsheets/d/161aHT6vVT3SLneTKD19N5qVWtnj_jIT8CSsOmUVKmaA/e"&amp;"dit?gid=1761053510"",
          ""Haris_Form responses 1!$AQ:$AQ"")=4)
      ),
      1
    ),
    ""0""
  ),
  ""Form not found""
)
"),"Form not found")</f>
        <v>Form not found</v>
      </c>
      <c r="AP1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1!$E:$E"")=$B158) *
        (IMPORTRANGE(""https://docs.google.com/spreadsheets/d/161aHT6vVT3SLneTKD19N5qVWtnj_jIT8CSsOmUVKmaA/e"&amp;"dit?gid=1761053510"",
          ""Haris_Form responses 1!$AQ:$AQ"")=5)
      ),
      1
    ),
    ""0""
  ),
  ""Form not found""
)
"),"Form not found")</f>
        <v>Form not found</v>
      </c>
      <c r="AQ1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1!$E:$E"")=$B158) *
        (IMPORTRANGE(""https://docs.google.com/spreadsheets/d/161aHT6vVT3SLneTKD19N5qVWtnj_jIT8CSsOmUVKmaA/e"&amp;"dit?gid=1761053510"",
          ""Haris_Form responses 1!$AQ:$AQ"")=6)
      ),
      1
    ),
    ""0""
  ),
  ""Form not found""
)
"),"Form not found")</f>
        <v>Form not found</v>
      </c>
      <c r="AR1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1!$E:$E"")=$B158) *
        (IMPORTRANGE(""https://docs.google.com/spreadsheets/d/161aHT6vVT3SLneTKD19N5qVWtnj_jIT8CSsOmUVKmaA/e"&amp;"dit?gid=1761053510"",
          ""Haris_Form responses 1!$AQ:$AQ"")=1)
      ),
      1
    ),
    ""0""
  ),
  ""Form not found""
)
"),"0")</f>
        <v>0</v>
      </c>
      <c r="AS1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1!$E:$E"")=$B158) *
        (IMPORTRANGE(""https://docs.google.com/spreadsheets/d/161aHT6vVT3SLneTKD19N5qVWtnj_jIT8CSsOmUVKmaA/e"&amp;"dit?gid=1761053510"",
          ""Haris_Form responses 1!$AQ:$AQ"")=2)
      ),
      1
    ),
    ""0""
  ),
  ""Form not found""
)
"),"Form not found")</f>
        <v>Form not found</v>
      </c>
      <c r="AT1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1!$E:$E"")=$B158) *
        (IMPORTRANGE(""https://docs.google.com/spreadsheets/d/161aHT6vVT3SLneTKD19N5qVWtnj_jIT8CSsOmUVKmaA/e"&amp;"dit?gid=1761053510"",
          ""Haris_Form responses 1!$AQ:$AQ"")=3)
      ),
      1
    ),
    ""0""
  ),
  ""Form not found""
)
"),"0")</f>
        <v>0</v>
      </c>
      <c r="AU1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1!$E:$E"")=$B158) *
        (IMPORTRANGE(""https://docs.google.com/spreadsheets/d/161aHT6vVT3SLneTKD19N5qVWtnj_jIT8CSsOmUVKmaA/e"&amp;"dit?gid=1761053510"",
          ""Haris_Form responses 1!$AQ:$AQ"")=4)
      ),
      1
    ),
    ""0""
  ),
  ""Form not found""
)
"),"Form not found")</f>
        <v>Form not found</v>
      </c>
      <c r="AV1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1!$E:$E"")=$B158) *
        (IMPORTRANGE(""https://docs.google.com/spreadsheets/d/161aHT6vVT3SLneTKD19N5qVWtnj_jIT8CSsOmUVKmaA/e"&amp;"dit?gid=1761053510"",
          ""Haris_Form responses 1!$AQ:$AQ"")=5)
      ),
      1
    ),
    ""0""
  ),
  ""Form not found""
)
"),"Form not found")</f>
        <v>Form not found</v>
      </c>
      <c r="AW1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1!$E:$E"")=$B158) *
        (IMPORTRANGE(""https://docs.google.com/spreadsheets/d/161aHT6vVT3SLneTKD19N5qVWtnj_jIT8CSsOmUVKmaA/e"&amp;"dit?gid=1761053510"",
          ""Haris_Form responses 1!$AQ:$AQ"")=6)
      ),
      1
    ),
    ""0""
  ),
  ""Form not found""
)
"),"Form not found")</f>
        <v>Form not found</v>
      </c>
      <c r="AX1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1!$E:$E"")=$B158) *
        (IMPORTRANGE(""https://docs.google.com/spreadsheets/d/161aHT6vVT3SLneTKD19N5qVWtnj_jIT8CSsOmUVKmaA/e"&amp;"dit?gid=1761053510"",
          ""Haris_Form responses 1!$AQ:$AQ"")=1)
      ),
      1
    ),
    ""0""
  ),
  ""Form not found""
)
"),"8")</f>
        <v>8</v>
      </c>
      <c r="AY1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1!$E:$E"")=$B158) *
        (IMPORTRANGE(""https://docs.google.com/spreadsheets/d/161aHT6vVT3SLneTKD19N5qVWtnj_jIT8CSsOmUVKmaA/e"&amp;"dit?gid=1761053510"",
          ""Haris_Form responses 1!$AQ:$AQ"")=2)
      ),
      1
    ),
    ""0""
  ),
  ""Form not found""
)
"),"Form not found")</f>
        <v>Form not found</v>
      </c>
      <c r="AZ1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1!$E:$E"")=$B158) *
        (IMPORTRANGE(""https://docs.google.com/spreadsheets/d/161aHT6vVT3SLneTKD19N5qVWtnj_jIT8CSsOmUVKmaA/e"&amp;"dit?gid=1761053510"",
          ""Haris_Form responses 1!$AQ:$AQ"")=3)
      ),
      1
    ),
    ""0""
  ),
  ""Form not found""
)
"),"0")</f>
        <v>0</v>
      </c>
      <c r="BA1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1!$E:$E"")=$B158) *
        (IMPORTRANGE(""https://docs.google.com/spreadsheets/d/161aHT6vVT3SLneTKD19N5qVWtnj_jIT8CSsOmUVKmaA/e"&amp;"dit?gid=1761053510"",
          ""Haris_Form responses 1!$AQ:$AQ"")=4)
      ),
      1
    ),
    ""0""
  ),
  ""Form not found""
)
"),"Form not found")</f>
        <v>Form not found</v>
      </c>
      <c r="BB1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1!$E:$E"")=$B158) *
        (IMPORTRANGE(""https://docs.google.com/spreadsheets/d/161aHT6vVT3SLneTKD19N5qVWtnj_jIT8CSsOmUVKmaA/e"&amp;"dit?gid=1761053510"",
          ""Haris_Form responses 1!$AQ:$AQ"")=5)
      ),
      1
    ),
    ""0""
  ),
  ""Form not found""
)
"),"Form not found")</f>
        <v>Form not found</v>
      </c>
      <c r="BC1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1!$E:$E"")=$B158) *
        (IMPORTRANGE(""https://docs.google.com/spreadsheets/d/161aHT6vVT3SLneTKD19N5qVWtnj_jIT8CSsOmUVKmaA/e"&amp;"dit?gid=1761053510"",
          ""Haris_Form responses 1!$AQ:$AQ"")=6)
      ),
      1
    ),
    ""0""
  ),
  ""Form not found""
)
"),"Form not found")</f>
        <v>Form not found</v>
      </c>
      <c r="BD158" s="293"/>
    </row>
    <row r="159">
      <c r="A159" s="283" t="str">
        <f>IFERROR(__xludf.DUMMYFUNCTION("VLOOKUP($B159,IMPORTRANGE(""https://docs.google.com/spreadsheets/d/1VNXDITjs75AcgdBSW27oL1VZH31udDprJSsBcE5xlp4/edit?gid=1551188038#gid=1551188038"", ""Sheet9!$B:$E""),2,false)"),"Multan")</f>
        <v>Multan</v>
      </c>
      <c r="B159" s="283" t="s">
        <v>4605</v>
      </c>
      <c r="C159" s="284" t="str">
        <f>IFERROR(__xludf.DUMMYFUNCTION("VLOOKUP(TRIM($B159), IMPORTRANGE(""https://docs.google.com/spreadsheets/d/1aSOrU4PTpuBZqfitKaH1Rfww6-YOiNCKoBpPl8XBHaw/edit?gid=0#gid=0"", ""sheet3!$B:$C""), 2, FALSE)
"),"Jamia Masjid Musa Pak Shaheed Multan")</f>
        <v>Jamia Masjid Musa Pak Shaheed Multan</v>
      </c>
      <c r="D159" s="284" t="str">
        <f>IFERROR(__xludf.DUMMYFUNCTION("IFERROR(
  INDEX(
    FILTER(
      IMPORTRANGE(""1aSOrU4PTpuBZqfitKaH1Rfww6-YOiNCKoBpPl8XBHaw/edit?gid=0#gid=0"",""Sheet1!G:G""),
      IMPORTRANGE(""1aSOrU4PTpuBZqfitKaH1Rfww6-YOiNCKoBpPl8XBHaw/edit?gid=0#gid=0"",""Sheet1!C:C"")=$B159
    ),
    1
  ),
"&amp;"  ""Not Found""
)"),"Women Religious Info Share")</f>
        <v>Women Religious Info Share</v>
      </c>
      <c r="E159" s="284" t="str">
        <f>VLOOKUP(B159,'Juma Recording forms'!A:E,5,false)</f>
        <v>Jamia Masjid musa pak shaheed</v>
      </c>
      <c r="F159" s="284" t="str">
        <f>IFERROR(__xludf.DUMMYFUNCTION("IFERROR(
  INDEX(
    FILTER(
      IMPORTRANGE(""1Cxrhp3-_-HS7v9uuqQliiIfrmMP4VaFoDNDWyUFy2J8/edit?gid=0#gid=0"",""Sheet1!Q:Q""),
      IMPORTRANGE(""1Cxrhp3-_-HS7v9uuqQliiIfrmMP4VaFoDNDWyUFy2J8/edit?gid=0#gid=0"",""Sheet1!K:K"")=$B159
    ),
    1
  ),
"&amp;"  ""Not Found""
)"),"Muhammad Saeed Sarmad")</f>
        <v>Muhammad Saeed Sarmad</v>
      </c>
      <c r="G159" s="292">
        <v>975.0</v>
      </c>
      <c r="H159" s="284" t="s">
        <v>4861</v>
      </c>
      <c r="I159" s="285" t="s">
        <v>401</v>
      </c>
      <c r="J159" s="286">
        <v>2.0</v>
      </c>
      <c r="K159" s="287" t="str">
        <f>VLOOKUP($B159,'Mosque Locations'!$A:$E,3,FALSE)
</f>
        <v>https://maps.google.com/maps?q=30.1905367%2C71.4716567&amp;z=17&amp;hl=en</v>
      </c>
      <c r="L159" s="286">
        <f>VLOOKUP($B159,'Mosque Locations'!$A:$E,4,FALSE)
</f>
        <v>30.19054</v>
      </c>
      <c r="M159" s="286">
        <f>VLOOKUP($B159,'Mosque Locations'!$A:$E,5,false)</f>
        <v>71.47166</v>
      </c>
      <c r="N159" s="288"/>
      <c r="O159" s="288"/>
      <c r="P159" s="288"/>
      <c r="Q159" s="296" t="str">
        <f>IFERROR(__xludf.DUMMYFUNCTION("IFERROR(
  INDEX(
    FILTER(
      IMPORTRANGE(""1kOrIKZmJfNUkgOVP3sI9BPjaaPA0_a4636oymQxTXg8"",""Form Responses 1!N:N""),
      TRIM(IMPORTRANGE(""1kOrIKZmJfNUkgOVP3sI9BPjaaPA0_a4636oymQxTXg8"",""Form Responses 1!F:F""))=TRIM($B159)
    ),
    1
  ),
  "&amp;"""Not Found""
)
"),"https://drive.google.com/open?id=1AgLBMtFAfNCKdSHlFdbviyhV6DMz8ZtT")</f>
        <v>https://drive.google.com/open?id=1AgLBMtFAfNCKdSHlFdbviyhV6DMz8ZtT</v>
      </c>
      <c r="R159" s="289" t="str">
        <f>IFERROR(__xludf.DUMMYFUNCTION("IFERROR(
  INDEX(
    FILTER(
      IMPORTRANGE(""1kOrIKZmJfNUkgOVP3sI9BPjaaPA0_a4636oymQxTXg8"",""Form Responses 1!M:M""),
      TRIM(IMPORTRANGE(""1kOrIKZmJfNUkgOVP3sI9BPjaaPA0_a4636oymQxTXg8"",""Form Responses 1!F:F""))=TRIM($B159)
    ),
    1
  ),
  "&amp;"""Not Found""
)
"),"https://drive.google.com/open?id=1ExUcPITIgZ2vUSu0yrDmaCoh64t3xD4g")</f>
        <v>https://drive.google.com/open?id=1ExUcPITIgZ2vUSu0yrDmaCoh64t3xD4g</v>
      </c>
      <c r="S159" s="285"/>
      <c r="T159" s="284" t="str">
        <f>VLOOKUP($B159,'Master Tracker'!D:E,2,false)</f>
        <v>The enumerator didn't reached in the mosque, so I contacted the Imam directly and did the rating.</v>
      </c>
      <c r="U159" s="292" t="str">
        <f>VLOOKUP($B159,'Master Tracker'!$D:$T,4,FALSE)
</f>
        <v>Not Found</v>
      </c>
      <c r="V159" s="290" t="str">
        <f>VLOOKUP($B159,'Master Tracker'!$D:$T,5,false)</f>
        <v>https://drive.google.com/open?id=1m6r7-DfluG2sPOB-8vBjKKan_mLp45XX</v>
      </c>
      <c r="W159" s="291" t="str">
        <f>VLOOKUP($B159,'Master Tracker'!$D:$T,7,false)</f>
        <v>https://drive.google.com/open?id=1d6McYVKc7qGcdHGpMtZ1zYkG6nrJY05e</v>
      </c>
      <c r="X159" s="290" t="str">
        <f>VLOOKUP($B159,'Master Tracker'!$D:$T,8,false)</f>
        <v>https://drive.google.com/open?id=1vZ8CeUqXh7N_cPX_wrzIdcsjqcTezD0C</v>
      </c>
      <c r="Y159" s="291" t="str">
        <f>VLOOKUP($B159,'Master Tracker'!$D:$T,10,false)</f>
        <v>https://drive.google.com/open?id=1gMavQCWe48-FAl-ZA29rwJ1r5tGjZFLwJUzTUXvCTbg</v>
      </c>
      <c r="Z159" s="284" t="str">
        <f>VLOOKUP($B159,'Master Tracker'!$D:$T,11,false)</f>
        <v>Not Found</v>
      </c>
      <c r="AA159" s="292" t="str">
        <f>VLOOKUP($B159,'Master Tracker'!$D:$T,13,false)</f>
        <v>Not Found</v>
      </c>
      <c r="AB159" s="284" t="str">
        <f>VLOOKUP($B159,'Master Tracker'!$D:$T,14,false)</f>
        <v>Not Found</v>
      </c>
      <c r="AC159" s="292" t="str">
        <f>VLOOKUP($B159,'Master Tracker'!$D:$T,16,false)</f>
        <v>Not Found</v>
      </c>
      <c r="AD159" s="292" t="str">
        <f>VLOOKUP($B159,'Master Tracker'!$D:$T,17,false)</f>
        <v>Not Found</v>
      </c>
      <c r="AE159" s="292" t="str">
        <f>VLOOKUP($B159,'Master Tracker'!$D:$V,19,false)</f>
        <v>Not Found</v>
      </c>
      <c r="AF159" s="292">
        <f>IFERROR(__xludf.DUMMYFUNCTION("IFERROR(
  INDEX(
    FILTER(
      'Juma Recording forms'!$G:$G,
      TRIM('Juma Recording forms'!$F:$F) = TRIM($B159),
      'Juma Recording forms'!$AA:$AA = 1
    ),
    1
  ),
  ""Not Found""
)"),250.0)</f>
        <v>250</v>
      </c>
      <c r="AG159" s="292">
        <f>IFERROR(__xludf.DUMMYFUNCTION("IFERROR(
  INDEX(
    FILTER(
      'Juma Recording forms'!$G:$G,
      TRIM('Juma Recording forms'!$F:$F) = TRIM($B159),
      'Juma Recording forms'!$AA:$AA = 2
    ),
    1
  ),
  ""Not Found""
)"),270.0)</f>
        <v>270</v>
      </c>
      <c r="AH159" s="292">
        <f>IFERROR(__xludf.DUMMYFUNCTION("IFERROR(
  INDEX(
    FILTER(
      'Juma Recording forms'!$G:$G,
      TRIM('Juma Recording forms'!$F:$F) = TRIM($B159),
      'Juma Recording forms'!$AA:$AA = 3
    ),
    1
  ),
  ""Not Found""
)"),280.0)</f>
        <v>280</v>
      </c>
      <c r="AI159" s="292" t="str">
        <f>IFERROR(__xludf.DUMMYFUNCTION("IFERROR(
  INDEX(
    FILTER(
      'Juma Recording forms'!$G:$G,
      TRIM('Juma Recording forms'!$F:$F) = TRIM($B159),
      'Juma Recording forms'!$AA:$AA = 4
    ),
    1
  ),
  ""Not Found""
)"),"Not Found")</f>
        <v>Not Found</v>
      </c>
      <c r="AJ159" s="292" t="str">
        <f>IFERROR(__xludf.DUMMYFUNCTION("IFERROR(
  INDEX(
    FILTER(
      'Juma Recording forms'!$G:$G,
      TRIM('Juma Recording forms'!$F:$F) = TRIM($B159),
      'Juma Recording forms'!$AA:$AA = 5
    ),
    1
  ),
  ""Not Found""
)"),"Not Found")</f>
        <v>Not Found</v>
      </c>
      <c r="AK159" s="292" t="str">
        <f>IFERROR(__xludf.DUMMYFUNCTION("IFERROR(
  INDEX(
    FILTER(
      'Juma Recording forms'!$G:$G,
      TRIM('Juma Recording forms'!$F:$F) = TRIM($B159),
      'Juma Recording forms'!$AA:$AA = 6
    ),
    1
  ),
  ""Not Found""
)"),"Not Found")</f>
        <v>Not Found</v>
      </c>
      <c r="AL1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1!$E:$E"")=$B159) *
        (IMPORTRANGE(""https://docs.google.com/spreadsheets/d/161aHT6vVT3SLneTKD19N5qVWtnj_jIT8CSsOmUVKmaA/e"&amp;"dit?gid=1761053510"",
          ""Haris_Form responses 1!$AQ:$AQ"")=1)
      ),
      1
    ),
    ""0""
  ),
  ""Form not found""
)
"),"Form not found")</f>
        <v>Form not found</v>
      </c>
      <c r="AM1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1!$E:$E"")=$B159) *
        (IMPORTRANGE(""https://docs.google.com/spreadsheets/d/161aHT6vVT3SLneTKD19N5qVWtnj_jIT8CSsOmUVKmaA/e"&amp;"dit?gid=1761053510"",
          ""Haris_Form responses 1!$AQ:$AQ"")=2)
      ),
      1
    ),
    ""0""
  ),
  ""Form not found""
)
"),"10")</f>
        <v>10</v>
      </c>
      <c r="AN1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1!$E:$E"")=$B159) *
        (IMPORTRANGE(""https://docs.google.com/spreadsheets/d/161aHT6vVT3SLneTKD19N5qVWtnj_jIT8CSsOmUVKmaA/e"&amp;"dit?gid=1761053510"",
          ""Haris_Form responses 1!$AQ:$AQ"")=3)
      ),
      1
    ),
    ""0""
  ),
  ""Form not found""
)
"),"10")</f>
        <v>10</v>
      </c>
      <c r="AO1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1!$E:$E"")=$B159) *
        (IMPORTRANGE(""https://docs.google.com/spreadsheets/d/161aHT6vVT3SLneTKD19N5qVWtnj_jIT8CSsOmUVKmaA/e"&amp;"dit?gid=1761053510"",
          ""Haris_Form responses 1!$AQ:$AQ"")=4)
      ),
      1
    ),
    ""0""
  ),
  ""Form not found""
)
"),"Form not found")</f>
        <v>Form not found</v>
      </c>
      <c r="AP1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1!$E:$E"")=$B159) *
        (IMPORTRANGE(""https://docs.google.com/spreadsheets/d/161aHT6vVT3SLneTKD19N5qVWtnj_jIT8CSsOmUVKmaA/e"&amp;"dit?gid=1761053510"",
          ""Haris_Form responses 1!$AQ:$AQ"")=5)
      ),
      1
    ),
    ""0""
  ),
  ""Form not found""
)
"),"Form not found")</f>
        <v>Form not found</v>
      </c>
      <c r="AQ1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1!$E:$E"")=$B159) *
        (IMPORTRANGE(""https://docs.google.com/spreadsheets/d/161aHT6vVT3SLneTKD19N5qVWtnj_jIT8CSsOmUVKmaA/e"&amp;"dit?gid=1761053510"",
          ""Haris_Form responses 1!$AQ:$AQ"")=6)
      ),
      1
    ),
    ""0""
  ),
  ""Form not found""
)
"),"Form not found")</f>
        <v>Form not found</v>
      </c>
      <c r="AR1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1!$E:$E"")=$B159) *
        (IMPORTRANGE(""https://docs.google.com/spreadsheets/d/161aHT6vVT3SLneTKD19N5qVWtnj_jIT8CSsOmUVKmaA/e"&amp;"dit?gid=1761053510"",
          ""Haris_Form responses 1!$AQ:$AQ"")=1)
      ),
      1
    ),
    ""0""
  ),
  ""Form not found""
)
"),"Form not found")</f>
        <v>Form not found</v>
      </c>
      <c r="AS1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1!$E:$E"")=$B159) *
        (IMPORTRANGE(""https://docs.google.com/spreadsheets/d/161aHT6vVT3SLneTKD19N5qVWtnj_jIT8CSsOmUVKmaA/e"&amp;"dit?gid=1761053510"",
          ""Haris_Form responses 1!$AQ:$AQ"")=2)
      ),
      1
    ),
    ""0""
  ),
  ""Form not found""
)
"),"0")</f>
        <v>0</v>
      </c>
      <c r="AT1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1!$E:$E"")=$B159) *
        (IMPORTRANGE(""https://docs.google.com/spreadsheets/d/161aHT6vVT3SLneTKD19N5qVWtnj_jIT8CSsOmUVKmaA/e"&amp;"dit?gid=1761053510"",
          ""Haris_Form responses 1!$AQ:$AQ"")=3)
      ),
      1
    ),
    ""0""
  ),
  ""Form not found""
)
"),"0")</f>
        <v>0</v>
      </c>
      <c r="AU1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1!$E:$E"")=$B159) *
        (IMPORTRANGE(""https://docs.google.com/spreadsheets/d/161aHT6vVT3SLneTKD19N5qVWtnj_jIT8CSsOmUVKmaA/e"&amp;"dit?gid=1761053510"",
          ""Haris_Form responses 1!$AQ:$AQ"")=4)
      ),
      1
    ),
    ""0""
  ),
  ""Form not found""
)
"),"Form not found")</f>
        <v>Form not found</v>
      </c>
      <c r="AV1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1!$E:$E"")=$B159) *
        (IMPORTRANGE(""https://docs.google.com/spreadsheets/d/161aHT6vVT3SLneTKD19N5qVWtnj_jIT8CSsOmUVKmaA/e"&amp;"dit?gid=1761053510"",
          ""Haris_Form responses 1!$AQ:$AQ"")=5)
      ),
      1
    ),
    ""0""
  ),
  ""Form not found""
)
"),"Form not found")</f>
        <v>Form not found</v>
      </c>
      <c r="AW1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1!$E:$E"")=$B159) *
        (IMPORTRANGE(""https://docs.google.com/spreadsheets/d/161aHT6vVT3SLneTKD19N5qVWtnj_jIT8CSsOmUVKmaA/e"&amp;"dit?gid=1761053510"",
          ""Haris_Form responses 1!$AQ:$AQ"")=6)
      ),
      1
    ),
    ""0""
  ),
  ""Form not found""
)
"),"Form not found")</f>
        <v>Form not found</v>
      </c>
      <c r="AX1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1!$E:$E"")=$B159) *
        (IMPORTRANGE(""https://docs.google.com/spreadsheets/d/161aHT6vVT3SLneTKD19N5qVWtnj_jIT8CSsOmUVKmaA/e"&amp;"dit?gid=1761053510"",
          ""Haris_Form responses 1!$AQ:$AQ"")=1)
      ),
      1
    ),
    ""0""
  ),
  ""Form not found""
)
"),"Form not found")</f>
        <v>Form not found</v>
      </c>
      <c r="AY1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1!$E:$E"")=$B159) *
        (IMPORTRANGE(""https://docs.google.com/spreadsheets/d/161aHT6vVT3SLneTKD19N5qVWtnj_jIT8CSsOmUVKmaA/e"&amp;"dit?gid=1761053510"",
          ""Haris_Form responses 1!$AQ:$AQ"")=2)
      ),
      1
    ),
    ""0""
  ),
  ""Form not found""
)
"),"10")</f>
        <v>10</v>
      </c>
      <c r="AZ1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1!$E:$E"")=$B159) *
        (IMPORTRANGE(""https://docs.google.com/spreadsheets/d/161aHT6vVT3SLneTKD19N5qVWtnj_jIT8CSsOmUVKmaA/e"&amp;"dit?gid=1761053510"",
          ""Haris_Form responses 1!$AQ:$AQ"")=3)
      ),
      1
    ),
    ""0""
  ),
  ""Form not found""
)
"),"10")</f>
        <v>10</v>
      </c>
      <c r="BA1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1!$E:$E"")=$B159) *
        (IMPORTRANGE(""https://docs.google.com/spreadsheets/d/161aHT6vVT3SLneTKD19N5qVWtnj_jIT8CSsOmUVKmaA/e"&amp;"dit?gid=1761053510"",
          ""Haris_Form responses 1!$AQ:$AQ"")=4)
      ),
      1
    ),
    ""0""
  ),
  ""Form not found""
)
"),"Form not found")</f>
        <v>Form not found</v>
      </c>
      <c r="BB1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1!$E:$E"")=$B159) *
        (IMPORTRANGE(""https://docs.google.com/spreadsheets/d/161aHT6vVT3SLneTKD19N5qVWtnj_jIT8CSsOmUVKmaA/e"&amp;"dit?gid=1761053510"",
          ""Haris_Form responses 1!$AQ:$AQ"")=5)
      ),
      1
    ),
    ""0""
  ),
  ""Form not found""
)
"),"Form not found")</f>
        <v>Form not found</v>
      </c>
      <c r="BC1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1!$E:$E"")=$B159) *
        (IMPORTRANGE(""https://docs.google.com/spreadsheets/d/161aHT6vVT3SLneTKD19N5qVWtnj_jIT8CSsOmUVKmaA/e"&amp;"dit?gid=1761053510"",
          ""Haris_Form responses 1!$AQ:$AQ"")=6)
      ),
      1
    ),
    ""0""
  ),
  ""Form not found""
)
"),"Form not found")</f>
        <v>Form not found</v>
      </c>
      <c r="BD159" s="293"/>
    </row>
    <row r="160">
      <c r="A160" s="283" t="str">
        <f>IFERROR(__xludf.DUMMYFUNCTION("VLOOKUP($B160,IMPORTRANGE(""https://docs.google.com/spreadsheets/d/1VNXDITjs75AcgdBSW27oL1VZH31udDprJSsBcE5xlp4/edit?gid=1551188038#gid=1551188038"", ""Sheet9!$B:$E""),2,false)"),"Multan")</f>
        <v>Multan</v>
      </c>
      <c r="B160" s="283" t="s">
        <v>4606</v>
      </c>
      <c r="C160" s="284" t="str">
        <f>IFERROR(__xludf.DUMMYFUNCTION("VLOOKUP(TRIM($B160), IMPORTRANGE(""https://docs.google.com/spreadsheets/d/1aSOrU4PTpuBZqfitKaH1Rfww6-YOiNCKoBpPl8XBHaw/edit?gid=0#gid=0"", ""sheet3!$B:$C""), 2, FALSE)
"),"Jamia Masjid Madina Bohar Gate Multan")</f>
        <v>Jamia Masjid Madina Bohar Gate Multan</v>
      </c>
      <c r="D160" s="284" t="str">
        <f>IFERROR(__xludf.DUMMYFUNCTION("IFERROR(
  INDEX(
    FILTER(
      IMPORTRANGE(""1aSOrU4PTpuBZqfitKaH1Rfww6-YOiNCKoBpPl8XBHaw/edit?gid=0#gid=0"",""Sheet1!G:G""),
      IMPORTRANGE(""1aSOrU4PTpuBZqfitKaH1Rfww6-YOiNCKoBpPl8XBHaw/edit?gid=0#gid=0"",""Sheet1!C:C"")=$B160
    ),
    1
  ),
"&amp;"  ""Not Found""
)"),"Women Secular No Info Share")</f>
        <v>Women Secular No Info Share</v>
      </c>
      <c r="E160" s="284" t="str">
        <f>VLOOKUP(B160,'Juma Recording forms'!A:E,5,false)</f>
        <v>Jamia Masjid Madina Bohar Gate</v>
      </c>
      <c r="F160" s="284" t="str">
        <f>IFERROR(__xludf.DUMMYFUNCTION("IFERROR(
  INDEX(
    FILTER(
      IMPORTRANGE(""1Cxrhp3-_-HS7v9uuqQliiIfrmMP4VaFoDNDWyUFy2J8/edit?gid=0#gid=0"",""Sheet1!Q:Q""),
      IMPORTRANGE(""1Cxrhp3-_-HS7v9uuqQliiIfrmMP4VaFoDNDWyUFy2J8/edit?gid=0#gid=0"",""Sheet1!K:K"")=$B160
    ),
    1
  ),
"&amp;"  ""Not Found""
)"),"Umam bakhsh")</f>
        <v>Umam bakhsh</v>
      </c>
      <c r="G160" s="284">
        <v>1920.0</v>
      </c>
      <c r="H160" s="284"/>
      <c r="I160" s="285" t="s">
        <v>197</v>
      </c>
      <c r="J160" s="286">
        <v>2.0</v>
      </c>
      <c r="K160" s="287" t="str">
        <f>VLOOKUP($B160,'Mosque Locations'!$A:$E,3,FALSE)
</f>
        <v>https://www.google.com/maps/search/Haram%20Gate/@30.1905714678631,71.4710957413466,17z</v>
      </c>
      <c r="L160" s="286">
        <f>VLOOKUP($B160,'Mosque Locations'!$A:$E,4,FALSE)
</f>
        <v>30.19057</v>
      </c>
      <c r="M160" s="286">
        <f>VLOOKUP($B160,'Mosque Locations'!$A:$E,5,false)</f>
        <v>71.4711</v>
      </c>
      <c r="N160" s="288"/>
      <c r="O160" s="288"/>
      <c r="P160" s="288"/>
      <c r="Q160" s="290" t="str">
        <f>IFERROR(__xludf.DUMMYFUNCTION("IFERROR(
  INDEX(
    FILTER(
      IMPORTRANGE(""1kOrIKZmJfNUkgOVP3sI9BPjaaPA0_a4636oymQxTXg8"",""Form Responses 1!N:N""),
      TRIM(IMPORTRANGE(""1kOrIKZmJfNUkgOVP3sI9BPjaaPA0_a4636oymQxTXg8"",""Form Responses 1!F:F""))=TRIM($B160)
    ),
    1
  ),
  "&amp;"""Not Found""
)
"),"https://drive.google.com/open?id=118cxc6IzpOk-E9ytAw46kl82fmoRR4zA")</f>
        <v>https://drive.google.com/open?id=118cxc6IzpOk-E9ytAw46kl82fmoRR4zA</v>
      </c>
      <c r="R160" s="294" t="str">
        <f>IFERROR(__xludf.DUMMYFUNCTION("IFERROR(
  INDEX(
    FILTER(
      IMPORTRANGE(""1kOrIKZmJfNUkgOVP3sI9BPjaaPA0_a4636oymQxTXg8"",""Form Responses 1!M:M""),
      TRIM(IMPORTRANGE(""1kOrIKZmJfNUkgOVP3sI9BPjaaPA0_a4636oymQxTXg8"",""Form Responses 1!F:F""))=TRIM($B160)
    ),
    1
  ),
  "&amp;"""Not Found""
)
"),"https://drive.google.com/open?id=1JtEK1bVgtooIaSCHEjaGyaYFOCVnp9lx, https://drive.google.com/open?id=1sY6Ryc0ORgIP4s3zSACsmPE7HRdZPGlw")</f>
        <v>https://drive.google.com/open?id=1JtEK1bVgtooIaSCHEjaGyaYFOCVnp9lx, https://drive.google.com/open?id=1sY6Ryc0ORgIP4s3zSACsmPE7HRdZPGlw</v>
      </c>
      <c r="S160" s="285"/>
      <c r="T160" s="290" t="str">
        <f>VLOOKUP($B160,'Master Tracker'!D:E,2,false)</f>
        <v>https://drive.google.com/open?id=1Q0KEZ3FuGacZ-xWYepcKvwau6O93FIDJ</v>
      </c>
      <c r="U160" s="291" t="str">
        <f>VLOOKUP($B160,'Master Tracker'!$D:$T,4,FALSE)
</f>
        <v>https://drive.google.com/open?id=16-EUSgQjTBouWEqokA_iIK15qdj2D0d95exSqCioeRs</v>
      </c>
      <c r="V160" s="290" t="str">
        <f>VLOOKUP($B160,'Master Tracker'!$D:$T,5,false)</f>
        <v>https://drive.google.com/open?id=1Xbzmdsq3YYMRukQoYi9IyLEK07kK23lF</v>
      </c>
      <c r="W160" s="291" t="str">
        <f>VLOOKUP($B160,'Master Tracker'!$D:$T,7,false)</f>
        <v>https://drive.google.com/open?id=1Jk-FrgRTu914TcrYoY-C4LoSXVj-sb05</v>
      </c>
      <c r="X160" s="290" t="str">
        <f>VLOOKUP($B160,'Master Tracker'!$D:$T,8,false)</f>
        <v>https://drive.google.com/open?id=1wp9rHwfpLOTbQrJVkVF1MBxpfO3wVn0_</v>
      </c>
      <c r="Y160" s="291" t="str">
        <f>VLOOKUP($B160,'Master Tracker'!$D:$T,10,false)</f>
        <v>https://drive.google.com/open?id=1AfS10l0CzZRU1TcHy6QqgidaOAdwSJEr</v>
      </c>
      <c r="Z160" s="284" t="str">
        <f>VLOOKUP($B160,'Master Tracker'!$D:$T,11,false)</f>
        <v>Not Found</v>
      </c>
      <c r="AA160" s="292" t="str">
        <f>VLOOKUP($B160,'Master Tracker'!$D:$T,13,false)</f>
        <v>Not Found</v>
      </c>
      <c r="AB160" s="284" t="str">
        <f>VLOOKUP($B160,'Master Tracker'!$D:$T,14,false)</f>
        <v>Not Found</v>
      </c>
      <c r="AC160" s="292" t="str">
        <f>VLOOKUP($B160,'Master Tracker'!$D:$T,16,false)</f>
        <v>Not Found</v>
      </c>
      <c r="AD160" s="292" t="str">
        <f>VLOOKUP($B160,'Master Tracker'!$D:$T,17,false)</f>
        <v>Not Found</v>
      </c>
      <c r="AE160" s="292" t="str">
        <f>VLOOKUP($B160,'Master Tracker'!$D:$V,19,false)</f>
        <v>Not Found</v>
      </c>
      <c r="AF160" s="292">
        <f>IFERROR(__xludf.DUMMYFUNCTION("IFERROR(
  INDEX(
    FILTER(
      'Juma Recording forms'!$G:$G,
      TRIM('Juma Recording forms'!$F:$F) = TRIM($B160),
      'Juma Recording forms'!$AA:$AA = 1
    ),
    1
  ),
  ""Not Found""
)"),107.0)</f>
        <v>107</v>
      </c>
      <c r="AG160" s="292">
        <f>IFERROR(__xludf.DUMMYFUNCTION("IFERROR(
  INDEX(
    FILTER(
      'Juma Recording forms'!$G:$G,
      TRIM('Juma Recording forms'!$F:$F) = TRIM($B160),
      'Juma Recording forms'!$AA:$AA = 2
    ),
    1
  ),
  ""Not Found""
)"),112.0)</f>
        <v>112</v>
      </c>
      <c r="AH160" s="292">
        <f>IFERROR(__xludf.DUMMYFUNCTION("IFERROR(
  INDEX(
    FILTER(
      'Juma Recording forms'!$G:$G,
      TRIM('Juma Recording forms'!$F:$F) = TRIM($B160),
      'Juma Recording forms'!$AA:$AA = 3
    ),
    1
  ),
  ""Not Found""
)"),116.0)</f>
        <v>116</v>
      </c>
      <c r="AI160" s="292" t="str">
        <f>IFERROR(__xludf.DUMMYFUNCTION("IFERROR(
  INDEX(
    FILTER(
      'Juma Recording forms'!$G:$G,
      TRIM('Juma Recording forms'!$F:$F) = TRIM($B160),
      'Juma Recording forms'!$AA:$AA = 4
    ),
    1
  ),
  ""Not Found""
)"),"Not Found")</f>
        <v>Not Found</v>
      </c>
      <c r="AJ160" s="292" t="str">
        <f>IFERROR(__xludf.DUMMYFUNCTION("IFERROR(
  INDEX(
    FILTER(
      'Juma Recording forms'!$G:$G,
      TRIM('Juma Recording forms'!$F:$F) = TRIM($B160),
      'Juma Recording forms'!$AA:$AA = 5
    ),
    1
  ),
  ""Not Found""
)"),"Not Found")</f>
        <v>Not Found</v>
      </c>
      <c r="AK160" s="292" t="str">
        <f>IFERROR(__xludf.DUMMYFUNCTION("IFERROR(
  INDEX(
    FILTER(
      'Juma Recording forms'!$G:$G,
      TRIM('Juma Recording forms'!$F:$F) = TRIM($B160),
      'Juma Recording forms'!$AA:$AA = 6
    ),
    1
  ),
  ""Not Found""
)"),"Not Found")</f>
        <v>Not Found</v>
      </c>
      <c r="AL1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1!$E:$E"")=$B160) *
        (IMPORTRANGE(""https://docs.google.com/spreadsheets/d/161aHT6vVT3SLneTKD19N5qVWtnj_jIT8CSsOmUVKmaA/e"&amp;"dit?gid=1761053510"",
          ""Haris_Form responses 1!$AQ:$AQ"")=1)
      ),
      1
    ),
    ""0""
  ),
  ""Form not found""
)
"),"10")</f>
        <v>10</v>
      </c>
      <c r="AM1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1!$E:$E"")=$B160) *
        (IMPORTRANGE(""https://docs.google.com/spreadsheets/d/161aHT6vVT3SLneTKD19N5qVWtnj_jIT8CSsOmUVKmaA/e"&amp;"dit?gid=1761053510"",
          ""Haris_Form responses 1!$AQ:$AQ"")=2)
      ),
      1
    ),
    ""0""
  ),
  ""Form not found""
)
"),"10")</f>
        <v>10</v>
      </c>
      <c r="AN1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1!$E:$E"")=$B160) *
        (IMPORTRANGE(""https://docs.google.com/spreadsheets/d/161aHT6vVT3SLneTKD19N5qVWtnj_jIT8CSsOmUVKmaA/e"&amp;"dit?gid=1761053510"",
          ""Haris_Form responses 1!$AQ:$AQ"")=3)
      ),
      1
    ),
    ""0""
  ),
  ""Form not found""
)
"),"0")</f>
        <v>0</v>
      </c>
      <c r="AO1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1!$E:$E"")=$B160) *
        (IMPORTRANGE(""https://docs.google.com/spreadsheets/d/161aHT6vVT3SLneTKD19N5qVWtnj_jIT8CSsOmUVKmaA/e"&amp;"dit?gid=1761053510"",
          ""Haris_Form responses 1!$AQ:$AQ"")=4)
      ),
      1
    ),
    ""0""
  ),
  ""Form not found""
)
"),"Form not found")</f>
        <v>Form not found</v>
      </c>
      <c r="AP1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1!$E:$E"")=$B160) *
        (IMPORTRANGE(""https://docs.google.com/spreadsheets/d/161aHT6vVT3SLneTKD19N5qVWtnj_jIT8CSsOmUVKmaA/e"&amp;"dit?gid=1761053510"",
          ""Haris_Form responses 1!$AQ:$AQ"")=5)
      ),
      1
    ),
    ""0""
  ),
  ""Form not found""
)
"),"Form not found")</f>
        <v>Form not found</v>
      </c>
      <c r="AQ1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1!$E:$E"")=$B160) *
        (IMPORTRANGE(""https://docs.google.com/spreadsheets/d/161aHT6vVT3SLneTKD19N5qVWtnj_jIT8CSsOmUVKmaA/e"&amp;"dit?gid=1761053510"",
          ""Haris_Form responses 1!$AQ:$AQ"")=6)
      ),
      1
    ),
    ""0""
  ),
  ""Form not found""
)
"),"Form not found")</f>
        <v>Form not found</v>
      </c>
      <c r="AR1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1!$E:$E"")=$B160) *
        (IMPORTRANGE(""https://docs.google.com/spreadsheets/d/161aHT6vVT3SLneTKD19N5qVWtnj_jIT8CSsOmUVKmaA/e"&amp;"dit?gid=1761053510"",
          ""Haris_Form responses 1!$AQ:$AQ"")=1)
      ),
      1
    ),
    ""0""
  ),
  ""Form not found""
)
"),"0")</f>
        <v>0</v>
      </c>
      <c r="AS1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1!$E:$E"")=$B160) *
        (IMPORTRANGE(""https://docs.google.com/spreadsheets/d/161aHT6vVT3SLneTKD19N5qVWtnj_jIT8CSsOmUVKmaA/e"&amp;"dit?gid=1761053510"",
          ""Haris_Form responses 1!$AQ:$AQ"")=2)
      ),
      1
    ),
    ""0""
  ),
  ""Form not found""
)
"),"0")</f>
        <v>0</v>
      </c>
      <c r="AT1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1!$E:$E"")=$B160) *
        (IMPORTRANGE(""https://docs.google.com/spreadsheets/d/161aHT6vVT3SLneTKD19N5qVWtnj_jIT8CSsOmUVKmaA/e"&amp;"dit?gid=1761053510"",
          ""Haris_Form responses 1!$AQ:$AQ"")=3)
      ),
      1
    ),
    ""0""
  ),
  ""Form not found""
)
"),"0")</f>
        <v>0</v>
      </c>
      <c r="AU1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1!$E:$E"")=$B160) *
        (IMPORTRANGE(""https://docs.google.com/spreadsheets/d/161aHT6vVT3SLneTKD19N5qVWtnj_jIT8CSsOmUVKmaA/e"&amp;"dit?gid=1761053510"",
          ""Haris_Form responses 1!$AQ:$AQ"")=4)
      ),
      1
    ),
    ""0""
  ),
  ""Form not found""
)
"),"Form not found")</f>
        <v>Form not found</v>
      </c>
      <c r="AV1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1!$E:$E"")=$B160) *
        (IMPORTRANGE(""https://docs.google.com/spreadsheets/d/161aHT6vVT3SLneTKD19N5qVWtnj_jIT8CSsOmUVKmaA/e"&amp;"dit?gid=1761053510"",
          ""Haris_Form responses 1!$AQ:$AQ"")=5)
      ),
      1
    ),
    ""0""
  ),
  ""Form not found""
)
"),"Form not found")</f>
        <v>Form not found</v>
      </c>
      <c r="AW1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1!$E:$E"")=$B160) *
        (IMPORTRANGE(""https://docs.google.com/spreadsheets/d/161aHT6vVT3SLneTKD19N5qVWtnj_jIT8CSsOmUVKmaA/e"&amp;"dit?gid=1761053510"",
          ""Haris_Form responses 1!$AQ:$AQ"")=6)
      ),
      1
    ),
    ""0""
  ),
  ""Form not found""
)
"),"Form not found")</f>
        <v>Form not found</v>
      </c>
      <c r="AX1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1!$E:$E"")=$B160) *
        (IMPORTRANGE(""https://docs.google.com/spreadsheets/d/161aHT6vVT3SLneTKD19N5qVWtnj_jIT8CSsOmUVKmaA/e"&amp;"dit?gid=1761053510"",
          ""Haris_Form responses 1!$AQ:$AQ"")=1)
      ),
      1
    ),
    ""0""
  ),
  ""Form not found""
)
"),"10")</f>
        <v>10</v>
      </c>
      <c r="AY1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1!$E:$E"")=$B160) *
        (IMPORTRANGE(""https://docs.google.com/spreadsheets/d/161aHT6vVT3SLneTKD19N5qVWtnj_jIT8CSsOmUVKmaA/e"&amp;"dit?gid=1761053510"",
          ""Haris_Form responses 1!$AQ:$AQ"")=2)
      ),
      1
    ),
    ""0""
  ),
  ""Form not found""
)
"),"10")</f>
        <v>10</v>
      </c>
      <c r="AZ1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1!$E:$E"")=$B160) *
        (IMPORTRANGE(""https://docs.google.com/spreadsheets/d/161aHT6vVT3SLneTKD19N5qVWtnj_jIT8CSsOmUVKmaA/e"&amp;"dit?gid=1761053510"",
          ""Haris_Form responses 1!$AQ:$AQ"")=3)
      ),
      1
    ),
    ""0""
  ),
  ""Form not found""
)
"),"0")</f>
        <v>0</v>
      </c>
      <c r="BA1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1!$E:$E"")=$B160) *
        (IMPORTRANGE(""https://docs.google.com/spreadsheets/d/161aHT6vVT3SLneTKD19N5qVWtnj_jIT8CSsOmUVKmaA/e"&amp;"dit?gid=1761053510"",
          ""Haris_Form responses 1!$AQ:$AQ"")=4)
      ),
      1
    ),
    ""0""
  ),
  ""Form not found""
)
"),"Form not found")</f>
        <v>Form not found</v>
      </c>
      <c r="BB1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1!$E:$E"")=$B160) *
        (IMPORTRANGE(""https://docs.google.com/spreadsheets/d/161aHT6vVT3SLneTKD19N5qVWtnj_jIT8CSsOmUVKmaA/e"&amp;"dit?gid=1761053510"",
          ""Haris_Form responses 1!$AQ:$AQ"")=5)
      ),
      1
    ),
    ""0""
  ),
  ""Form not found""
)
"),"Form not found")</f>
        <v>Form not found</v>
      </c>
      <c r="BC1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1!$E:$E"")=$B160) *
        (IMPORTRANGE(""https://docs.google.com/spreadsheets/d/161aHT6vVT3SLneTKD19N5qVWtnj_jIT8CSsOmUVKmaA/e"&amp;"dit?gid=1761053510"",
          ""Haris_Form responses 1!$AQ:$AQ"")=6)
      ),
      1
    ),
    ""0""
  ),
  ""Form not found""
)
"),"Form not found")</f>
        <v>Form not found</v>
      </c>
      <c r="BD160" s="293"/>
    </row>
    <row r="161">
      <c r="A161" s="283" t="str">
        <f>IFERROR(__xludf.DUMMYFUNCTION("VLOOKUP($B161,IMPORTRANGE(""https://docs.google.com/spreadsheets/d/1VNXDITjs75AcgdBSW27oL1VZH31udDprJSsBcE5xlp4/edit?gid=1551188038#gid=1551188038"", ""Sheet9!$B:$E""),2,false)"),"Multan")</f>
        <v>Multan</v>
      </c>
      <c r="B161" s="283" t="s">
        <v>4119</v>
      </c>
      <c r="C161" s="284" t="str">
        <f>IFERROR(__xludf.DUMMYFUNCTION("VLOOKUP(TRIM($B161), IMPORTRANGE(""https://docs.google.com/spreadsheets/d/1aSOrU4PTpuBZqfitKaH1Rfww6-YOiNCKoBpPl8XBHaw/edit?gid=0#gid=0"", ""sheet3!$B:$C""), 2, FALSE)
"),"Jamia Masjid Mula Abdul Gafurur Multan")</f>
        <v>Jamia Masjid Mula Abdul Gafurur Multan</v>
      </c>
      <c r="D161" s="284" t="str">
        <f>IFERROR(__xludf.DUMMYFUNCTION("IFERROR(
  INDEX(
    FILTER(
      IMPORTRANGE(""1aSOrU4PTpuBZqfitKaH1Rfww6-YOiNCKoBpPl8XBHaw/edit?gid=0#gid=0"",""Sheet1!G:G""),
      IMPORTRANGE(""1aSOrU4PTpuBZqfitKaH1Rfww6-YOiNCKoBpPl8XBHaw/edit?gid=0#gid=0"",""Sheet1!C:C"")=$B161
    ),
    1
  ),
"&amp;"  ""Not Found""
)"),"Community Secular No Info Share")</f>
        <v>Community Secular No Info Share</v>
      </c>
      <c r="E161" s="284" t="str">
        <f>VLOOKUP(B161,'Juma Recording forms'!A:E,5,false)</f>
        <v>جامع مسجد ملا عبدالغفور والی، ملتان</v>
      </c>
      <c r="F161" s="284" t="str">
        <f>IFERROR(__xludf.DUMMYFUNCTION("IFERROR(
  INDEX(
    FILTER(
      IMPORTRANGE(""1Cxrhp3-_-HS7v9uuqQliiIfrmMP4VaFoDNDWyUFy2J8/edit?gid=0#gid=0"",""Sheet1!Q:Q""),
      IMPORTRANGE(""1Cxrhp3-_-HS7v9uuqQliiIfrmMP4VaFoDNDWyUFy2J8/edit?gid=0#gid=0"",""Sheet1!K:K"")=$B161
    ),
    1
  ),
"&amp;"  ""Not Found""
)"),"moulana rab nawaz")</f>
        <v>moulana rab nawaz</v>
      </c>
      <c r="G161" s="284">
        <v>1935.0</v>
      </c>
      <c r="H161" s="284"/>
      <c r="I161" s="285" t="s">
        <v>197</v>
      </c>
      <c r="J161" s="286">
        <v>2.0</v>
      </c>
      <c r="K161" s="287" t="str">
        <f>VLOOKUP($B161,'Mosque Locations'!$A:$E,3,FALSE)
</f>
        <v>https://maps.google.com/maps?q=30.1915612%2C71.4728007&amp;z=17&amp;hl=en</v>
      </c>
      <c r="L161" s="286">
        <f>VLOOKUP($B161,'Mosque Locations'!$A:$E,4,FALSE)
</f>
        <v>30.19156</v>
      </c>
      <c r="M161" s="286">
        <f>VLOOKUP($B161,'Mosque Locations'!$A:$E,5,false)</f>
        <v>71.4728</v>
      </c>
      <c r="N161" s="288"/>
      <c r="O161" s="288"/>
      <c r="P161" s="288"/>
      <c r="Q161" s="290" t="str">
        <f>IFERROR(__xludf.DUMMYFUNCTION("IFERROR(
  INDEX(
    FILTER(
      IMPORTRANGE(""1kOrIKZmJfNUkgOVP3sI9BPjaaPA0_a4636oymQxTXg8"",""Form Responses 1!N:N""),
      TRIM(IMPORTRANGE(""1kOrIKZmJfNUkgOVP3sI9BPjaaPA0_a4636oymQxTXg8"",""Form Responses 1!F:F""))=TRIM($B161)
    ),
    1
  ),
  "&amp;"""Not Found""
)
"),"https://drive.google.com/open?id=1vGCVmUBB7Gf6bu7IF1wTrEUualbBL17N")</f>
        <v>https://drive.google.com/open?id=1vGCVmUBB7Gf6bu7IF1wTrEUualbBL17N</v>
      </c>
      <c r="R161" s="290" t="str">
        <f>IFERROR(__xludf.DUMMYFUNCTION("IFERROR(
  INDEX(
    FILTER(
      IMPORTRANGE(""1kOrIKZmJfNUkgOVP3sI9BPjaaPA0_a4636oymQxTXg8"",""Form Responses 1!M:M""),
      TRIM(IMPORTRANGE(""1kOrIKZmJfNUkgOVP3sI9BPjaaPA0_a4636oymQxTXg8"",""Form Responses 1!F:F""))=TRIM($B161)
    ),
    1
  ),
  "&amp;"""Not Found""
)
"),"https://drive.google.com/open?id=1bVXRQ9IewWJi72rF80yhxtAr8TvDsrHr")</f>
        <v>https://drive.google.com/open?id=1bVXRQ9IewWJi72rF80yhxtAr8TvDsrHr</v>
      </c>
      <c r="S161" s="285"/>
      <c r="T161" s="284" t="str">
        <f>VLOOKUP($B161,'Master Tracker'!D:E,2,false)</f>
        <v>Not Found</v>
      </c>
      <c r="U161" s="292" t="str">
        <f>VLOOKUP($B161,'Master Tracker'!$D:$T,4,FALSE)
</f>
        <v>Not Found</v>
      </c>
      <c r="V161" s="290" t="str">
        <f>VLOOKUP($B161,'Master Tracker'!$D:$T,5,false)</f>
        <v>https://drive.google.com/open?id=1DVCVrOPkCdEVAysfAI1ncuEG74e0NV1c</v>
      </c>
      <c r="W161" s="291" t="str">
        <f>VLOOKUP($B161,'Master Tracker'!$D:$T,7,false)</f>
        <v>https://drive.google.com/open?id=1pUh89vHhyjXeEB1RFMxEUZ9Y6APpaW5VrDmBbSFyKAg</v>
      </c>
      <c r="X161" s="290" t="str">
        <f>VLOOKUP($B161,'Master Tracker'!$D:$T,8,false)</f>
        <v>https://drive.google.com/open?id=1BMMzZh49S3bJIZliUjcOVOTaUEtdLtPG</v>
      </c>
      <c r="Y161" s="291" t="str">
        <f>VLOOKUP($B161,'Master Tracker'!$D:$T,10,false)</f>
        <v>https://drive.google.com/open?id=1VQ4tks9e81rk_ClQGF42pwHPVhoqSPmq1swlH237Uqk</v>
      </c>
      <c r="Z161" s="290" t="str">
        <f>VLOOKUP($B161,'Master Tracker'!$D:$T,11,false)</f>
        <v>https://drive.google.com/open?id=1ovrq8DzDN5-WvTdr6hU9WvcbbKDX7AwI</v>
      </c>
      <c r="AA161" s="291" t="str">
        <f>VLOOKUP($B161,'Master Tracker'!$D:$T,13,false)</f>
        <v>https://drive.google.com/open?id=13d6bFHNxZV-orbuu7m7Jjk8XM-zuQTyMJaGdtO2phIo</v>
      </c>
      <c r="AB161" s="290" t="str">
        <f>VLOOKUP($B161,'Master Tracker'!$D:$T,14,false)</f>
        <v>https://drive.google.com/open?id=1jZWJctXyqV8o3St54FlZdxb-TZKBR4yT</v>
      </c>
      <c r="AC161" s="291" t="str">
        <f>VLOOKUP($B161,'Master Tracker'!$D:$T,16,false)</f>
        <v>https://drive.google.com/open?id=10ckJUB_DnQ8aLtCQHlYUITrXaO8TKK-syMv_MX0W1iM</v>
      </c>
      <c r="AD161" s="292" t="str">
        <f>VLOOKUP($B161,'Master Tracker'!$D:$T,17,false)</f>
        <v>Not Found</v>
      </c>
      <c r="AE161" s="292" t="str">
        <f>VLOOKUP($B161,'Master Tracker'!$D:$V,19,false)</f>
        <v>Not Found</v>
      </c>
      <c r="AF161" s="292" t="str">
        <f>IFERROR(__xludf.DUMMYFUNCTION("IFERROR(
  INDEX(
    FILTER(
      'Juma Recording forms'!$G:$G,
      TRIM('Juma Recording forms'!$F:$F) = TRIM($B161),
      'Juma Recording forms'!$AA:$AA = 1
    ),
    1
  ),
  ""Not Found""
)"),"Not Found")</f>
        <v>Not Found</v>
      </c>
      <c r="AG161" s="292">
        <f>IFERROR(__xludf.DUMMYFUNCTION("IFERROR(
  INDEX(
    FILTER(
      'Juma Recording forms'!$G:$G,
      TRIM('Juma Recording forms'!$F:$F) = TRIM($B161),
      'Juma Recording forms'!$AA:$AA = 2
    ),
    1
  ),
  ""Not Found""
)"),98.0)</f>
        <v>98</v>
      </c>
      <c r="AH161" s="292">
        <f>IFERROR(__xludf.DUMMYFUNCTION("IFERROR(
  INDEX(
    FILTER(
      'Juma Recording forms'!$G:$G,
      TRIM('Juma Recording forms'!$F:$F) = TRIM($B161),
      'Juma Recording forms'!$AA:$AA = 3
    ),
    1
  ),
  ""Not Found""
)"),274.0)</f>
        <v>274</v>
      </c>
      <c r="AI161" s="292">
        <f>IFERROR(__xludf.DUMMYFUNCTION("IFERROR(
  INDEX(
    FILTER(
      'Juma Recording forms'!$G:$G,
      TRIM('Juma Recording forms'!$F:$F) = TRIM($B161),
      'Juma Recording forms'!$AA:$AA = 4
    ),
    1
  ),
  ""Not Found""
)"),217.0)</f>
        <v>217</v>
      </c>
      <c r="AJ161" s="292">
        <f>IFERROR(__xludf.DUMMYFUNCTION("IFERROR(
  INDEX(
    FILTER(
      'Juma Recording forms'!$G:$G,
      TRIM('Juma Recording forms'!$F:$F) = TRIM($B161),
      'Juma Recording forms'!$AA:$AA = 5
    ),
    1
  ),
  ""Not Found""
)"),400.0)</f>
        <v>400</v>
      </c>
      <c r="AK161" s="292" t="str">
        <f>IFERROR(__xludf.DUMMYFUNCTION("IFERROR(
  INDEX(
    FILTER(
      'Juma Recording forms'!$G:$G,
      TRIM('Juma Recording forms'!$F:$F) = TRIM($B161),
      'Juma Recording forms'!$AA:$AA = 6
    ),
    1
  ),
  ""Not Found""
)"),"Not Found")</f>
        <v>Not Found</v>
      </c>
      <c r="AL1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1!$E:$E"")=$B161) *
        (IMPORTRANGE(""https://docs.google.com/spreadsheets/d/161aHT6vVT3SLneTKD19N5qVWtnj_jIT8CSsOmUVKmaA/e"&amp;"dit?gid=1761053510"",
          ""Haris_Form responses 1!$AQ:$AQ"")=1)
      ),
      1
    ),
    ""0""
  ),
  ""Form not found""
)
"),"Form not found")</f>
        <v>Form not found</v>
      </c>
      <c r="AM1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1!$E:$E"")=$B161) *
        (IMPORTRANGE(""https://docs.google.com/spreadsheets/d/161aHT6vVT3SLneTKD19N5qVWtnj_jIT8CSsOmUVKmaA/e"&amp;"dit?gid=1761053510"",
          ""Haris_Form responses 1!$AQ:$AQ"")=2)
      ),
      1
    ),
    ""0""
  ),
  ""Form not found""
)
"),"0")</f>
        <v>0</v>
      </c>
      <c r="AN1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1!$E:$E"")=$B161) *
        (IMPORTRANGE(""https://docs.google.com/spreadsheets/d/161aHT6vVT3SLneTKD19N5qVWtnj_jIT8CSsOmUVKmaA/e"&amp;"dit?gid=1761053510"",
          ""Haris_Form responses 1!$AQ:$AQ"")=3)
      ),
      1
    ),
    ""0""
  ),
  ""Form not found""
)
"),"10")</f>
        <v>10</v>
      </c>
      <c r="AO1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1!$E:$E"")=$B161) *
        (IMPORTRANGE(""https://docs.google.com/spreadsheets/d/161aHT6vVT3SLneTKD19N5qVWtnj_jIT8CSsOmUVKmaA/e"&amp;"dit?gid=1761053510"",
          ""Haris_Form responses 1!$AQ:$AQ"")=4)
      ),
      1
    ),
    ""0""
  ),
  ""Form not found""
)
"),"10")</f>
        <v>10</v>
      </c>
      <c r="AP1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1!$E:$E"")=$B161) *
        (IMPORTRANGE(""https://docs.google.com/spreadsheets/d/161aHT6vVT3SLneTKD19N5qVWtnj_jIT8CSsOmUVKmaA/e"&amp;"dit?gid=1761053510"",
          ""Haris_Form responses 1!$AQ:$AQ"")=5)
      ),
      1
    ),
    ""0""
  ),
  ""Form not found""
)
"),"10")</f>
        <v>10</v>
      </c>
      <c r="AQ1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1!$E:$E"")=$B161) *
        (IMPORTRANGE(""https://docs.google.com/spreadsheets/d/161aHT6vVT3SLneTKD19N5qVWtnj_jIT8CSsOmUVKmaA/e"&amp;"dit?gid=1761053510"",
          ""Haris_Form responses 1!$AQ:$AQ"")=6)
      ),
      1
    ),
    ""0""
  ),
  ""Form not found""
)
"),"Form not found")</f>
        <v>Form not found</v>
      </c>
      <c r="AR1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1!$E:$E"")=$B161) *
        (IMPORTRANGE(""https://docs.google.com/spreadsheets/d/161aHT6vVT3SLneTKD19N5qVWtnj_jIT8CSsOmUVKmaA/e"&amp;"dit?gid=1761053510"",
          ""Haris_Form responses 1!$AQ:$AQ"")=1)
      ),
      1
    ),
    ""0""
  ),
  ""Form not found""
)
"),"Form not found")</f>
        <v>Form not found</v>
      </c>
      <c r="AS1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1!$E:$E"")=$B161) *
        (IMPORTRANGE(""https://docs.google.com/spreadsheets/d/161aHT6vVT3SLneTKD19N5qVWtnj_jIT8CSsOmUVKmaA/e"&amp;"dit?gid=1761053510"",
          ""Haris_Form responses 1!$AQ:$AQ"")=2)
      ),
      1
    ),
    ""0""
  ),
  ""Form not found""
)
"),"0")</f>
        <v>0</v>
      </c>
      <c r="AT1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1!$E:$E"")=$B161) *
        (IMPORTRANGE(""https://docs.google.com/spreadsheets/d/161aHT6vVT3SLneTKD19N5qVWtnj_jIT8CSsOmUVKmaA/e"&amp;"dit?gid=1761053510"",
          ""Haris_Form responses 1!$AQ:$AQ"")=3)
      ),
      1
    ),
    ""0""
  ),
  ""Form not found""
)
"),"10")</f>
        <v>10</v>
      </c>
      <c r="AU1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1!$E:$E"")=$B161) *
        (IMPORTRANGE(""https://docs.google.com/spreadsheets/d/161aHT6vVT3SLneTKD19N5qVWtnj_jIT8CSsOmUVKmaA/e"&amp;"dit?gid=1761053510"",
          ""Haris_Form responses 1!$AQ:$AQ"")=4)
      ),
      1
    ),
    ""0""
  ),
  ""Form not found""
)
"),"9")</f>
        <v>9</v>
      </c>
      <c r="AV1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1!$E:$E"")=$B161) *
        (IMPORTRANGE(""https://docs.google.com/spreadsheets/d/161aHT6vVT3SLneTKD19N5qVWtnj_jIT8CSsOmUVKmaA/e"&amp;"dit?gid=1761053510"",
          ""Haris_Form responses 1!$AQ:$AQ"")=5)
      ),
      1
    ),
    ""0""
  ),
  ""Form not found""
)
"),"10")</f>
        <v>10</v>
      </c>
      <c r="AW1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1!$E:$E"")=$B161) *
        (IMPORTRANGE(""https://docs.google.com/spreadsheets/d/161aHT6vVT3SLneTKD19N5qVWtnj_jIT8CSsOmUVKmaA/e"&amp;"dit?gid=1761053510"",
          ""Haris_Form responses 1!$AQ:$AQ"")=6)
      ),
      1
    ),
    ""0""
  ),
  ""Form not found""
)
"),"Form not found")</f>
        <v>Form not found</v>
      </c>
      <c r="AX1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1!$E:$E"")=$B161) *
        (IMPORTRANGE(""https://docs.google.com/spreadsheets/d/161aHT6vVT3SLneTKD19N5qVWtnj_jIT8CSsOmUVKmaA/e"&amp;"dit?gid=1761053510"",
          ""Haris_Form responses 1!$AQ:$AQ"")=1)
      ),
      1
    ),
    ""0""
  ),
  ""Form not found""
)
"),"Form not found")</f>
        <v>Form not found</v>
      </c>
      <c r="AY1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1!$E:$E"")=$B161) *
        (IMPORTRANGE(""https://docs.google.com/spreadsheets/d/161aHT6vVT3SLneTKD19N5qVWtnj_jIT8CSsOmUVKmaA/e"&amp;"dit?gid=1761053510"",
          ""Haris_Form responses 1!$AQ:$AQ"")=2)
      ),
      1
    ),
    ""0""
  ),
  ""Form not found""
)
"),"0")</f>
        <v>0</v>
      </c>
      <c r="AZ1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1!$E:$E"")=$B161) *
        (IMPORTRANGE(""https://docs.google.com/spreadsheets/d/161aHT6vVT3SLneTKD19N5qVWtnj_jIT8CSsOmUVKmaA/e"&amp;"dit?gid=1761053510"",
          ""Haris_Form responses 1!$AQ:$AQ"")=3)
      ),
      1
    ),
    ""0""
  ),
  ""Form not found""
)
"),"0")</f>
        <v>0</v>
      </c>
      <c r="BA1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1!$E:$E"")=$B161) *
        (IMPORTRANGE(""https://docs.google.com/spreadsheets/d/161aHT6vVT3SLneTKD19N5qVWtnj_jIT8CSsOmUVKmaA/e"&amp;"dit?gid=1761053510"",
          ""Haris_Form responses 1!$AQ:$AQ"")=4)
      ),
      1
    ),
    ""0""
  ),
  ""Form not found""
)
"),"0")</f>
        <v>0</v>
      </c>
      <c r="BB1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1!$E:$E"")=$B161) *
        (IMPORTRANGE(""https://docs.google.com/spreadsheets/d/161aHT6vVT3SLneTKD19N5qVWtnj_jIT8CSsOmUVKmaA/e"&amp;"dit?gid=1761053510"",
          ""Haris_Form responses 1!$AQ:$AQ"")=5)
      ),
      1
    ),
    ""0""
  ),
  ""Form not found""
)
"),"0")</f>
        <v>0</v>
      </c>
      <c r="BC1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1!$E:$E"")=$B161) *
        (IMPORTRANGE(""https://docs.google.com/spreadsheets/d/161aHT6vVT3SLneTKD19N5qVWtnj_jIT8CSsOmUVKmaA/e"&amp;"dit?gid=1761053510"",
          ""Haris_Form responses 1!$AQ:$AQ"")=6)
      ),
      1
    ),
    ""0""
  ),
  ""Form not found""
)
"),"Form not found")</f>
        <v>Form not found</v>
      </c>
      <c r="BD161" s="293"/>
    </row>
    <row r="162">
      <c r="A162" s="283" t="str">
        <f>IFERROR(__xludf.DUMMYFUNCTION("VLOOKUP($B162,IMPORTRANGE(""https://docs.google.com/spreadsheets/d/1VNXDITjs75AcgdBSW27oL1VZH31udDprJSsBcE5xlp4/edit?gid=1551188038#gid=1551188038"", ""Sheet9!$B:$E""),2,false)"),"Multan")</f>
        <v>Multan</v>
      </c>
      <c r="B162" s="283" t="s">
        <v>4607</v>
      </c>
      <c r="C162" s="284" t="str">
        <f>IFERROR(__xludf.DUMMYFUNCTION("VLOOKUP(TRIM($B162), IMPORTRANGE(""https://docs.google.com/spreadsheets/d/1aSOrU4PTpuBZqfitKaH1Rfww6-YOiNCKoBpPl8XBHaw/edit?gid=0#gid=0"", ""sheet3!$B:$C""), 2, FALSE)
"),"Jamia Masjid Anayat Walayat Multan")</f>
        <v>Jamia Masjid Anayat Walayat Multan</v>
      </c>
      <c r="D162" s="284" t="str">
        <f>IFERROR(__xludf.DUMMYFUNCTION("IFERROR(
  INDEX(
    FILTER(
      IMPORTRANGE(""1aSOrU4PTpuBZqfitKaH1Rfww6-YOiNCKoBpPl8XBHaw/edit?gid=0#gid=0"",""Sheet1!G:G""),
      IMPORTRANGE(""1aSOrU4PTpuBZqfitKaH1Rfww6-YOiNCKoBpPl8XBHaw/edit?gid=0#gid=0"",""Sheet1!C:C"")=$B162
    ),
    1
  ),
"&amp;"  ""Not Found""
)"),"Women Religious Info Share")</f>
        <v>Women Religious Info Share</v>
      </c>
      <c r="E162" s="284" t="str">
        <f>VLOOKUP(B162,'Juma Recording forms'!A:E,5,false)</f>
        <v>Jaima masjid anyat walayt Multan </v>
      </c>
      <c r="F162" s="284" t="str">
        <f>IFERROR(__xludf.DUMMYFUNCTION("IFERROR(
  INDEX(
    FILTER(
      IMPORTRANGE(""1Cxrhp3-_-HS7v9uuqQliiIfrmMP4VaFoDNDWyUFy2J8/edit?gid=0#gid=0"",""Sheet1!Q:Q""),
      IMPORTRANGE(""1Cxrhp3-_-HS7v9uuqQliiIfrmMP4VaFoDNDWyUFy2J8/edit?gid=0#gid=0"",""Sheet1!K:K"")=$B162
    ),
    1
  ),
"&amp;"  ""Not Found""
)"),"Not Found")</f>
        <v>Not Found</v>
      </c>
      <c r="G162" s="292">
        <v>1080.0</v>
      </c>
      <c r="H162" s="284"/>
      <c r="I162" s="285" t="s">
        <v>197</v>
      </c>
      <c r="J162" s="286">
        <v>2.0</v>
      </c>
      <c r="K162" s="287" t="str">
        <f>VLOOKUP($B162,'Mosque Locations'!$A:$E,3,FALSE)
</f>
        <v>https://maps.google.com/maps?q=30.1900445%2C71.4696343&amp;z=17&amp;hl=en</v>
      </c>
      <c r="L162" s="286">
        <f>VLOOKUP($B162,'Mosque Locations'!$A:$E,4,FALSE)
</f>
        <v>30.19004</v>
      </c>
      <c r="M162" s="286">
        <f>VLOOKUP($B162,'Mosque Locations'!$A:$E,5,false)</f>
        <v>71.46963</v>
      </c>
      <c r="N162" s="288"/>
      <c r="O162" s="288"/>
      <c r="P162" s="288"/>
      <c r="Q162" s="289" t="str">
        <f>IFERROR(__xludf.DUMMYFUNCTION("IFERROR(
  INDEX(
    FILTER(
      IMPORTRANGE(""1kOrIKZmJfNUkgOVP3sI9BPjaaPA0_a4636oymQxTXg8"",""Form Responses 1!N:N""),
      TRIM(IMPORTRANGE(""1kOrIKZmJfNUkgOVP3sI9BPjaaPA0_a4636oymQxTXg8"",""Form Responses 1!F:F""))=TRIM($B162)
    ),
    1
  ),
  "&amp;"""Not Found""
)
"),"https://drive.google.com/open?id=1Zfkg8AAvK205Tg5yuC7A2oIPiYYVvnNv")</f>
        <v>https://drive.google.com/open?id=1Zfkg8AAvK205Tg5yuC7A2oIPiYYVvnNv</v>
      </c>
      <c r="R162" s="290" t="str">
        <f>IFERROR(__xludf.DUMMYFUNCTION("IFERROR(
  INDEX(
    FILTER(
      IMPORTRANGE(""1kOrIKZmJfNUkgOVP3sI9BPjaaPA0_a4636oymQxTXg8"",""Form Responses 1!M:M""),
      TRIM(IMPORTRANGE(""1kOrIKZmJfNUkgOVP3sI9BPjaaPA0_a4636oymQxTXg8"",""Form Responses 1!F:F""))=TRIM($B162)
    ),
    1
  ),
  "&amp;"""Not Found""
)
"),"https://drive.google.com/open?id=1IvEst6mNCu1XmaJDDJA7xVmh7PHq_3om")</f>
        <v>https://drive.google.com/open?id=1IvEst6mNCu1XmaJDDJA7xVmh7PHq_3om</v>
      </c>
      <c r="S162" s="285"/>
      <c r="T162" s="290" t="str">
        <f>VLOOKUP($B162,'Master Tracker'!D:E,2,false)</f>
        <v>https://drive.google.com/open?id=1xBNoqqjEch-5mCp7PVxG-tgelSxE_Jvx</v>
      </c>
      <c r="U162" s="291" t="str">
        <f>VLOOKUP($B162,'Master Tracker'!$D:$T,4,FALSE)
</f>
        <v>https://drive.google.com/open?id=10YOJTuqyiZnhf26J9uUTedEINvFM20oCiFF_rKprSbE</v>
      </c>
      <c r="V162" s="290" t="str">
        <f>VLOOKUP($B162,'Master Tracker'!$D:$T,5,false)</f>
        <v>https://drive.google.com/open?id=1EW3D1hQPuzI7WsL-9NmKzIQbNaEWh7gr</v>
      </c>
      <c r="W162" s="291" t="str">
        <f>VLOOKUP($B162,'Master Tracker'!$D:$T,7,false)</f>
        <v>https://drive.google.com/open?id=1R2PS336WxB21Iy4aZENcg0kCY6MSgQIPYw1CntzzviA</v>
      </c>
      <c r="X162" s="290" t="str">
        <f>VLOOKUP($B162,'Master Tracker'!$D:$T,8,false)</f>
        <v>https://drive.google.com/open?id=19ODzMtGVnbkuJ9Kd1bcGg3_e9NIKXml1</v>
      </c>
      <c r="Y162" s="291" t="str">
        <f>VLOOKUP($B162,'Master Tracker'!$D:$T,10,false)</f>
        <v>https://drive.google.com/open?id=1paWa37wpdIiS_Q4kPN1yo4Xoiz1FKhP8X4EJELWwn5Q</v>
      </c>
      <c r="Z162" s="290" t="str">
        <f>VLOOKUP($B162,'Master Tracker'!$D:$T,11,false)</f>
        <v>https://drive.google.com/open?id=1qJ3BBvJRUqG5-iA7PLR6tUtrCr3JLsY8</v>
      </c>
      <c r="AA162" s="291" t="str">
        <f>VLOOKUP($B162,'Master Tracker'!$D:$T,13,false)</f>
        <v>https://drive.google.com/open?id=1KLoRUUIonaCuIY9U2BmGVet-H7tP_mXv</v>
      </c>
      <c r="AB162" s="284" t="str">
        <f>VLOOKUP($B162,'Master Tracker'!$D:$T,14,false)</f>
        <v>Not Found</v>
      </c>
      <c r="AC162" s="292" t="str">
        <f>VLOOKUP($B162,'Master Tracker'!$D:$T,16,false)</f>
        <v>Not Found</v>
      </c>
      <c r="AD162" s="292" t="str">
        <f>VLOOKUP($B162,'Master Tracker'!$D:$T,17,false)</f>
        <v>Not Found</v>
      </c>
      <c r="AE162" s="292" t="str">
        <f>VLOOKUP($B162,'Master Tracker'!$D:$V,19,false)</f>
        <v>Not Found</v>
      </c>
      <c r="AF162" s="292">
        <f>IFERROR(__xludf.DUMMYFUNCTION("IFERROR(
  INDEX(
    FILTER(
      'Juma Recording forms'!$G:$G,
      TRIM('Juma Recording forms'!$F:$F) = TRIM($B162),
      'Juma Recording forms'!$AA:$AA = 1
    ),
    1
  ),
  ""Not Found""
)"),180.0)</f>
        <v>180</v>
      </c>
      <c r="AG162" s="292">
        <f>IFERROR(__xludf.DUMMYFUNCTION("IFERROR(
  INDEX(
    FILTER(
      'Juma Recording forms'!$G:$G,
      TRIM('Juma Recording forms'!$F:$F) = TRIM($B162),
      'Juma Recording forms'!$AA:$AA = 2
    ),
    1
  ),
  ""Not Found""
)"),177.0)</f>
        <v>177</v>
      </c>
      <c r="AH162" s="292">
        <f>IFERROR(__xludf.DUMMYFUNCTION("IFERROR(
  INDEX(
    FILTER(
      'Juma Recording forms'!$G:$G,
      TRIM('Juma Recording forms'!$F:$F) = TRIM($B162),
      'Juma Recording forms'!$AA:$AA = 3
    ),
    1
  ),
  ""Not Found""
)"),184.0)</f>
        <v>184</v>
      </c>
      <c r="AI162" s="292">
        <f>IFERROR(__xludf.DUMMYFUNCTION("IFERROR(
  INDEX(
    FILTER(
      'Juma Recording forms'!$G:$G,
      TRIM('Juma Recording forms'!$F:$F) = TRIM($B162),
      'Juma Recording forms'!$AA:$AA = 4
    ),
    1
  ),
  ""Not Found""
)"),174.0)</f>
        <v>174</v>
      </c>
      <c r="AJ162" s="292" t="str">
        <f>IFERROR(__xludf.DUMMYFUNCTION("IFERROR(
  INDEX(
    FILTER(
      'Juma Recording forms'!$G:$G,
      TRIM('Juma Recording forms'!$F:$F) = TRIM($B162),
      'Juma Recording forms'!$AA:$AA = 5
    ),
    1
  ),
  ""Not Found""
)"),"Not Found")</f>
        <v>Not Found</v>
      </c>
      <c r="AK162" s="292" t="str">
        <f>IFERROR(__xludf.DUMMYFUNCTION("IFERROR(
  INDEX(
    FILTER(
      'Juma Recording forms'!$G:$G,
      TRIM('Juma Recording forms'!$F:$F) = TRIM($B162),
      'Juma Recording forms'!$AA:$AA = 6
    ),
    1
  ),
  ""Not Found""
)"),"Not Found")</f>
        <v>Not Found</v>
      </c>
      <c r="AL1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1!$E:$E"")=$B162) *
        (IMPORTRANGE(""https://docs.google.com/spreadsheets/d/161aHT6vVT3SLneTKD19N5qVWtnj_jIT8CSsOmUVKmaA/e"&amp;"dit?gid=1761053510"",
          ""Haris_Form responses 1!$AQ:$AQ"")=1)
      ),
      1
    ),
    ""0""
  ),
  ""Form not found""
)
"),"0")</f>
        <v>0</v>
      </c>
      <c r="AM1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1!$E:$E"")=$B162) *
        (IMPORTRANGE(""https://docs.google.com/spreadsheets/d/161aHT6vVT3SLneTKD19N5qVWtnj_jIT8CSsOmUVKmaA/e"&amp;"dit?gid=1761053510"",
          ""Haris_Form responses 1!$AQ:$AQ"")=2)
      ),
      1
    ),
    ""0""
  ),
  ""Form not found""
)
"),"10")</f>
        <v>10</v>
      </c>
      <c r="AN1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1!$E:$E"")=$B162) *
        (IMPORTRANGE(""https://docs.google.com/spreadsheets/d/161aHT6vVT3SLneTKD19N5qVWtnj_jIT8CSsOmUVKmaA/e"&amp;"dit?gid=1761053510"",
          ""Haris_Form responses 1!$AQ:$AQ"")=3)
      ),
      1
    ),
    ""0""
  ),
  ""Form not found""
)
"),"10")</f>
        <v>10</v>
      </c>
      <c r="AO1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1!$E:$E"")=$B162) *
        (IMPORTRANGE(""https://docs.google.com/spreadsheets/d/161aHT6vVT3SLneTKD19N5qVWtnj_jIT8CSsOmUVKmaA/e"&amp;"dit?gid=1761053510"",
          ""Haris_Form responses 1!$AQ:$AQ"")=4)
      ),
      1
    ),
    ""0""
  ),
  ""Form not found""
)
"),"0")</f>
        <v>0</v>
      </c>
      <c r="AP1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1!$E:$E"")=$B162) *
        (IMPORTRANGE(""https://docs.google.com/spreadsheets/d/161aHT6vVT3SLneTKD19N5qVWtnj_jIT8CSsOmUVKmaA/e"&amp;"dit?gid=1761053510"",
          ""Haris_Form responses 1!$AQ:$AQ"")=5)
      ),
      1
    ),
    ""0""
  ),
  ""Form not found""
)
"),"Form not found")</f>
        <v>Form not found</v>
      </c>
      <c r="AQ1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1!$E:$E"")=$B162) *
        (IMPORTRANGE(""https://docs.google.com/spreadsheets/d/161aHT6vVT3SLneTKD19N5qVWtnj_jIT8CSsOmUVKmaA/e"&amp;"dit?gid=1761053510"",
          ""Haris_Form responses 1!$AQ:$AQ"")=6)
      ),
      1
    ),
    ""0""
  ),
  ""Form not found""
)
"),"Form not found")</f>
        <v>Form not found</v>
      </c>
      <c r="AR1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1!$E:$E"")=$B162) *
        (IMPORTRANGE(""https://docs.google.com/spreadsheets/d/161aHT6vVT3SLneTKD19N5qVWtnj_jIT8CSsOmUVKmaA/e"&amp;"dit?gid=1761053510"",
          ""Haris_Form responses 1!$AQ:$AQ"")=1)
      ),
      1
    ),
    ""0""
  ),
  ""Form not found""
)
"),"0")</f>
        <v>0</v>
      </c>
      <c r="AS1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1!$E:$E"")=$B162) *
        (IMPORTRANGE(""https://docs.google.com/spreadsheets/d/161aHT6vVT3SLneTKD19N5qVWtnj_jIT8CSsOmUVKmaA/e"&amp;"dit?gid=1761053510"",
          ""Haris_Form responses 1!$AQ:$AQ"")=2)
      ),
      1
    ),
    ""0""
  ),
  ""Form not found""
)
"),"0")</f>
        <v>0</v>
      </c>
      <c r="AT1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1!$E:$E"")=$B162) *
        (IMPORTRANGE(""https://docs.google.com/spreadsheets/d/161aHT6vVT3SLneTKD19N5qVWtnj_jIT8CSsOmUVKmaA/e"&amp;"dit?gid=1761053510"",
          ""Haris_Form responses 1!$AQ:$AQ"")=3)
      ),
      1
    ),
    ""0""
  ),
  ""Form not found""
)
"),"0")</f>
        <v>0</v>
      </c>
      <c r="AU1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1!$E:$E"")=$B162) *
        (IMPORTRANGE(""https://docs.google.com/spreadsheets/d/161aHT6vVT3SLneTKD19N5qVWtnj_jIT8CSsOmUVKmaA/e"&amp;"dit?gid=1761053510"",
          ""Haris_Form responses 1!$AQ:$AQ"")=4)
      ),
      1
    ),
    ""0""
  ),
  ""Form not found""
)
"),"0")</f>
        <v>0</v>
      </c>
      <c r="AV1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1!$E:$E"")=$B162) *
        (IMPORTRANGE(""https://docs.google.com/spreadsheets/d/161aHT6vVT3SLneTKD19N5qVWtnj_jIT8CSsOmUVKmaA/e"&amp;"dit?gid=1761053510"",
          ""Haris_Form responses 1!$AQ:$AQ"")=5)
      ),
      1
    ),
    ""0""
  ),
  ""Form not found""
)
"),"Form not found")</f>
        <v>Form not found</v>
      </c>
      <c r="AW1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1!$E:$E"")=$B162) *
        (IMPORTRANGE(""https://docs.google.com/spreadsheets/d/161aHT6vVT3SLneTKD19N5qVWtnj_jIT8CSsOmUVKmaA/e"&amp;"dit?gid=1761053510"",
          ""Haris_Form responses 1!$AQ:$AQ"")=6)
      ),
      1
    ),
    ""0""
  ),
  ""Form not found""
)
"),"Form not found")</f>
        <v>Form not found</v>
      </c>
      <c r="AX1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1!$E:$E"")=$B162) *
        (IMPORTRANGE(""https://docs.google.com/spreadsheets/d/161aHT6vVT3SLneTKD19N5qVWtnj_jIT8CSsOmUVKmaA/e"&amp;"dit?gid=1761053510"",
          ""Haris_Form responses 1!$AQ:$AQ"")=1)
      ),
      1
    ),
    ""0""
  ),
  ""Form not found""
)
"),"0")</f>
        <v>0</v>
      </c>
      <c r="AY1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1!$E:$E"")=$B162) *
        (IMPORTRANGE(""https://docs.google.com/spreadsheets/d/161aHT6vVT3SLneTKD19N5qVWtnj_jIT8CSsOmUVKmaA/e"&amp;"dit?gid=1761053510"",
          ""Haris_Form responses 1!$AQ:$AQ"")=2)
      ),
      1
    ),
    ""0""
  ),
  ""Form not found""
)
"),"10")</f>
        <v>10</v>
      </c>
      <c r="AZ1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1!$E:$E"")=$B162) *
        (IMPORTRANGE(""https://docs.google.com/spreadsheets/d/161aHT6vVT3SLneTKD19N5qVWtnj_jIT8CSsOmUVKmaA/e"&amp;"dit?gid=1761053510"",
          ""Haris_Form responses 1!$AQ:$AQ"")=3)
      ),
      1
    ),
    ""0""
  ),
  ""Form not found""
)
"),"10")</f>
        <v>10</v>
      </c>
      <c r="BA1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1!$E:$E"")=$B162) *
        (IMPORTRANGE(""https://docs.google.com/spreadsheets/d/161aHT6vVT3SLneTKD19N5qVWtnj_jIT8CSsOmUVKmaA/e"&amp;"dit?gid=1761053510"",
          ""Haris_Form responses 1!$AQ:$AQ"")=4)
      ),
      1
    ),
    ""0""
  ),
  ""Form not found""
)
"),"0")</f>
        <v>0</v>
      </c>
      <c r="BB1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1!$E:$E"")=$B162) *
        (IMPORTRANGE(""https://docs.google.com/spreadsheets/d/161aHT6vVT3SLneTKD19N5qVWtnj_jIT8CSsOmUVKmaA/e"&amp;"dit?gid=1761053510"",
          ""Haris_Form responses 1!$AQ:$AQ"")=5)
      ),
      1
    ),
    ""0""
  ),
  ""Form not found""
)
"),"Form not found")</f>
        <v>Form not found</v>
      </c>
      <c r="BC1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1!$E:$E"")=$B162) *
        (IMPORTRANGE(""https://docs.google.com/spreadsheets/d/161aHT6vVT3SLneTKD19N5qVWtnj_jIT8CSsOmUVKmaA/e"&amp;"dit?gid=1761053510"",
          ""Haris_Form responses 1!$AQ:$AQ"")=6)
      ),
      1
    ),
    ""0""
  ),
  ""Form not found""
)
"),"Form not found")</f>
        <v>Form not found</v>
      </c>
      <c r="BD162" s="293"/>
    </row>
    <row r="163">
      <c r="A163" s="283" t="str">
        <f>IFERROR(__xludf.DUMMYFUNCTION("VLOOKUP($B163,IMPORTRANGE(""https://docs.google.com/spreadsheets/d/1VNXDITjs75AcgdBSW27oL1VZH31udDprJSsBcE5xlp4/edit?gid=1551188038#gid=1551188038"", ""Sheet9!$B:$E""),2,false)"),"Multan")</f>
        <v>Multan</v>
      </c>
      <c r="B163" s="283" t="s">
        <v>4608</v>
      </c>
      <c r="C163" s="284" t="str">
        <f>IFERROR(__xludf.DUMMYFUNCTION("VLOOKUP(TRIM($B163), IMPORTRANGE(""https://docs.google.com/spreadsheets/d/1aSOrU4PTpuBZqfitKaH1Rfww6-YOiNCKoBpPl8XBHaw/edit?gid=0#gid=0"", ""sheet3!$B:$C""), 2, FALSE)
"),"Jamia Masjid Gul Wali Haram Gate Multan")</f>
        <v>Jamia Masjid Gul Wali Haram Gate Multan</v>
      </c>
      <c r="D163" s="284" t="str">
        <f>IFERROR(__xludf.DUMMYFUNCTION("IFERROR(
  INDEX(
    FILTER(
      IMPORTRANGE(""1aSOrU4PTpuBZqfitKaH1Rfww6-YOiNCKoBpPl8XBHaw/edit?gid=0#gid=0"",""Sheet1!G:G""),
      IMPORTRANGE(""1aSOrU4PTpuBZqfitKaH1Rfww6-YOiNCKoBpPl8XBHaw/edit?gid=0#gid=0"",""Sheet1!C:C"")=$B163
    ),
    1
  ),
"&amp;"  ""Not Found""
)"),"Community Religious No Info Share")</f>
        <v>Community Religious No Info Share</v>
      </c>
      <c r="E163" s="284" t="str">
        <f>VLOOKUP(B163,'Juma Recording forms'!A:E,5,false)</f>
        <v>Haji Raheem baksh Mutwali.  Masjid Gull wali</v>
      </c>
      <c r="F163" s="284" t="str">
        <f>IFERROR(__xludf.DUMMYFUNCTION("IFERROR(
  INDEX(
    FILTER(
      IMPORTRANGE(""1Cxrhp3-_-HS7v9uuqQliiIfrmMP4VaFoDNDWyUFy2J8/edit?gid=0#gid=0"",""Sheet1!Q:Q""),
      IMPORTRANGE(""1Cxrhp3-_-HS7v9uuqQliiIfrmMP4VaFoDNDWyUFy2J8/edit?gid=0#gid=0"",""Sheet1!K:K"")=$B163
    ),
    1
  ),
"&amp;"  ""Not Found""
)"),"Qari zafar")</f>
        <v>Qari zafar</v>
      </c>
      <c r="G163" s="292">
        <v>1932.0</v>
      </c>
      <c r="H163" s="284"/>
      <c r="I163" s="285" t="s">
        <v>401</v>
      </c>
      <c r="J163" s="286">
        <v>2.0</v>
      </c>
      <c r="K163" s="287" t="str">
        <f>VLOOKUP($B163,'Mosque Locations'!$A:$E,3,FALSE)
</f>
        <v>https://maps.google.com/maps?q=30.1882712%2C71.4695481&amp;z=17&amp;hl=en</v>
      </c>
      <c r="L163" s="286">
        <f>VLOOKUP($B163,'Mosque Locations'!$A:$E,4,FALSE)
</f>
        <v>30.18827</v>
      </c>
      <c r="M163" s="286">
        <f>VLOOKUP($B163,'Mosque Locations'!$A:$E,5,false)</f>
        <v>71.46955</v>
      </c>
      <c r="N163" s="288"/>
      <c r="O163" s="288"/>
      <c r="P163" s="288"/>
      <c r="Q163" s="290" t="str">
        <f>IFERROR(__xludf.DUMMYFUNCTION("IFERROR(
  INDEX(
    FILTER(
      IMPORTRANGE(""1kOrIKZmJfNUkgOVP3sI9BPjaaPA0_a4636oymQxTXg8"",""Form Responses 1!N:N""),
      TRIM(IMPORTRANGE(""1kOrIKZmJfNUkgOVP3sI9BPjaaPA0_a4636oymQxTXg8"",""Form Responses 1!F:F""))=TRIM($B163)
    ),
    1
  ),
  "&amp;"""Not Found""
)
"),"https://drive.google.com/open?id=1K_dJou6TL7tm3Brijg6vIniuvsGr1-_i")</f>
        <v>https://drive.google.com/open?id=1K_dJou6TL7tm3Brijg6vIniuvsGr1-_i</v>
      </c>
      <c r="R163" s="290" t="str">
        <f>IFERROR(__xludf.DUMMYFUNCTION("IFERROR(
  INDEX(
    FILTER(
      IMPORTRANGE(""1kOrIKZmJfNUkgOVP3sI9BPjaaPA0_a4636oymQxTXg8"",""Form Responses 1!M:M""),
      TRIM(IMPORTRANGE(""1kOrIKZmJfNUkgOVP3sI9BPjaaPA0_a4636oymQxTXg8"",""Form Responses 1!F:F""))=TRIM($B163)
    ),
    1
  ),
  "&amp;"""Not Found""
)
"),"https://drive.google.com/open?id=1puYbRoRsPJ_ZO9SdYGOJQYZmho2pHrsQ")</f>
        <v>https://drive.google.com/open?id=1puYbRoRsPJ_ZO9SdYGOJQYZmho2pHrsQ</v>
      </c>
      <c r="S163" s="285"/>
      <c r="T163" s="290" t="str">
        <f>VLOOKUP($B163,'Master Tracker'!D:E,2,false)</f>
        <v>https://drive.google.com/open?id=1s4klhgylLVGIXanr9csSxuSeKz4vZLJX</v>
      </c>
      <c r="U163" s="291" t="str">
        <f>VLOOKUP($B163,'Master Tracker'!$D:$T,4,FALSE)
</f>
        <v>https://drive.google.com/open?id=11kWrwwTagUy5wEXvSuiOxTKt4oSyGkZ8</v>
      </c>
      <c r="V163" s="290" t="str">
        <f>VLOOKUP($B163,'Master Tracker'!$D:$T,5,false)</f>
        <v>https://drive.google.com/open?id=13nscczjEh3RsYhALf5CY4i5-YbRthF9t</v>
      </c>
      <c r="W163" s="291" t="str">
        <f>VLOOKUP($B163,'Master Tracker'!$D:$T,7,false)</f>
        <v>https://drive.google.com/open?id=1p6L3DXI1GDDjweMfpesFTC4sdUpTr3P-</v>
      </c>
      <c r="X163" s="290" t="str">
        <f>VLOOKUP($B163,'Master Tracker'!$D:$T,8,false)</f>
        <v>https://drive.google.com/open?id=1Iaq6Vf2C8u6YhyfAnJbYC7JOgf33kfOz</v>
      </c>
      <c r="Y163" s="291" t="str">
        <f>VLOOKUP($B163,'Master Tracker'!$D:$T,10,false)</f>
        <v>https://drive.google.com/open?id=1TKMRl913zqEDSznSkbNVBknLC7BCADg_</v>
      </c>
      <c r="Z163" s="290" t="str">
        <f>VLOOKUP($B163,'Master Tracker'!$D:$T,11,false)</f>
        <v>https://drive.google.com/open?id=1cO80Ph3-oq4RtW_uuCRozRpieKE4kd-l</v>
      </c>
      <c r="AA163" s="291" t="str">
        <f>VLOOKUP($B163,'Master Tracker'!$D:$T,13,false)</f>
        <v>https://drive.google.com/open?id=1KQmZSqUJ6NjPCKs3OdShPgArsvlMLuwa</v>
      </c>
      <c r="AB163" s="284" t="str">
        <f>VLOOKUP($B163,'Master Tracker'!$D:$T,14,false)</f>
        <v>Not Found</v>
      </c>
      <c r="AC163" s="292" t="str">
        <f>VLOOKUP($B163,'Master Tracker'!$D:$T,16,false)</f>
        <v>Not Found</v>
      </c>
      <c r="AD163" s="292" t="str">
        <f>VLOOKUP($B163,'Master Tracker'!$D:$T,17,false)</f>
        <v>Not Found</v>
      </c>
      <c r="AE163" s="292" t="str">
        <f>VLOOKUP($B163,'Master Tracker'!$D:$V,19,false)</f>
        <v>Not Found</v>
      </c>
      <c r="AF163" s="292">
        <f>IFERROR(__xludf.DUMMYFUNCTION("IFERROR(
  INDEX(
    FILTER(
      'Juma Recording forms'!$G:$G,
      TRIM('Juma Recording forms'!$F:$F) = TRIM($B163),
      'Juma Recording forms'!$AA:$AA = 1
    ),
    1
  ),
  ""Not Found""
)"),139.0)</f>
        <v>139</v>
      </c>
      <c r="AG163" s="292">
        <f>IFERROR(__xludf.DUMMYFUNCTION("IFERROR(
  INDEX(
    FILTER(
      'Juma Recording forms'!$G:$G,
      TRIM('Juma Recording forms'!$F:$F) = TRIM($B163),
      'Juma Recording forms'!$AA:$AA = 2
    ),
    1
  ),
  ""Not Found""
)"),120.0)</f>
        <v>120</v>
      </c>
      <c r="AH163" s="292">
        <f>IFERROR(__xludf.DUMMYFUNCTION("IFERROR(
  INDEX(
    FILTER(
      'Juma Recording forms'!$G:$G,
      TRIM('Juma Recording forms'!$F:$F) = TRIM($B163),
      'Juma Recording forms'!$AA:$AA = 3
    ),
    1
  ),
  ""Not Found""
)"),123.0)</f>
        <v>123</v>
      </c>
      <c r="AI163" s="292">
        <f>IFERROR(__xludf.DUMMYFUNCTION("IFERROR(
  INDEX(
    FILTER(
      'Juma Recording forms'!$G:$G,
      TRIM('Juma Recording forms'!$F:$F) = TRIM($B163),
      'Juma Recording forms'!$AA:$AA = 4
    ),
    1
  ),
  ""Not Found""
)"),133.0)</f>
        <v>133</v>
      </c>
      <c r="AJ163" s="292" t="str">
        <f>IFERROR(__xludf.DUMMYFUNCTION("IFERROR(
  INDEX(
    FILTER(
      'Juma Recording forms'!$G:$G,
      TRIM('Juma Recording forms'!$F:$F) = TRIM($B163),
      'Juma Recording forms'!$AA:$AA = 5
    ),
    1
  ),
  ""Not Found""
)"),"Not Found")</f>
        <v>Not Found</v>
      </c>
      <c r="AK163" s="292" t="str">
        <f>IFERROR(__xludf.DUMMYFUNCTION("IFERROR(
  INDEX(
    FILTER(
      'Juma Recording forms'!$G:$G,
      TRIM('Juma Recording forms'!$F:$F) = TRIM($B163),
      'Juma Recording forms'!$AA:$AA = 6
    ),
    1
  ),
  ""Not Found""
)"),"Not Found")</f>
        <v>Not Found</v>
      </c>
      <c r="AL1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1!$E:$E"")=$B163) *
        (IMPORTRANGE(""https://docs.google.com/spreadsheets/d/161aHT6vVT3SLneTKD19N5qVWtnj_jIT8CSsOmUVKmaA/e"&amp;"dit?gid=1761053510"",
          ""Haris_Form responses 1!$AQ:$AQ"")=1)
      ),
      1
    ),
    ""0""
  ),
  ""Form not found""
)
"),"0")</f>
        <v>0</v>
      </c>
      <c r="AM1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1!$E:$E"")=$B163) *
        (IMPORTRANGE(""https://docs.google.com/spreadsheets/d/161aHT6vVT3SLneTKD19N5qVWtnj_jIT8CSsOmUVKmaA/e"&amp;"dit?gid=1761053510"",
          ""Haris_Form responses 1!$AQ:$AQ"")=2)
      ),
      1
    ),
    ""0""
  ),
  ""Form not found""
)
"),"6")</f>
        <v>6</v>
      </c>
      <c r="AN1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1!$E:$E"")=$B163) *
        (IMPORTRANGE(""https://docs.google.com/spreadsheets/d/161aHT6vVT3SLneTKD19N5qVWtnj_jIT8CSsOmUVKmaA/e"&amp;"dit?gid=1761053510"",
          ""Haris_Form responses 1!$AQ:$AQ"")=3)
      ),
      1
    ),
    ""0""
  ),
  ""Form not found""
)
"),"4")</f>
        <v>4</v>
      </c>
      <c r="AO1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1!$E:$E"")=$B163) *
        (IMPORTRANGE(""https://docs.google.com/spreadsheets/d/161aHT6vVT3SLneTKD19N5qVWtnj_jIT8CSsOmUVKmaA/e"&amp;"dit?gid=1761053510"",
          ""Haris_Form responses 1!$AQ:$AQ"")=4)
      ),
      1
    ),
    ""0""
  ),
  ""Form not found""
)
"),"6")</f>
        <v>6</v>
      </c>
      <c r="AP1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1!$E:$E"")=$B163) *
        (IMPORTRANGE(""https://docs.google.com/spreadsheets/d/161aHT6vVT3SLneTKD19N5qVWtnj_jIT8CSsOmUVKmaA/e"&amp;"dit?gid=1761053510"",
          ""Haris_Form responses 1!$AQ:$AQ"")=5)
      ),
      1
    ),
    ""0""
  ),
  ""Form not found""
)
"),"Form not found")</f>
        <v>Form not found</v>
      </c>
      <c r="AQ1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1!$E:$E"")=$B163) *
        (IMPORTRANGE(""https://docs.google.com/spreadsheets/d/161aHT6vVT3SLneTKD19N5qVWtnj_jIT8CSsOmUVKmaA/e"&amp;"dit?gid=1761053510"",
          ""Haris_Form responses 1!$AQ:$AQ"")=6)
      ),
      1
    ),
    ""0""
  ),
  ""Form not found""
)
"),"Form not found")</f>
        <v>Form not found</v>
      </c>
      <c r="AR1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1!$E:$E"")=$B163) *
        (IMPORTRANGE(""https://docs.google.com/spreadsheets/d/161aHT6vVT3SLneTKD19N5qVWtnj_jIT8CSsOmUVKmaA/e"&amp;"dit?gid=1761053510"",
          ""Haris_Form responses 1!$AQ:$AQ"")=1)
      ),
      1
    ),
    ""0""
  ),
  ""Form not found""
)
"),"0")</f>
        <v>0</v>
      </c>
      <c r="AS1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1!$E:$E"")=$B163) *
        (IMPORTRANGE(""https://docs.google.com/spreadsheets/d/161aHT6vVT3SLneTKD19N5qVWtnj_jIT8CSsOmUVKmaA/e"&amp;"dit?gid=1761053510"",
          ""Haris_Form responses 1!$AQ:$AQ"")=2)
      ),
      1
    ),
    ""0""
  ),
  ""Form not found""
)
"),"6")</f>
        <v>6</v>
      </c>
      <c r="AT1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1!$E:$E"")=$B163) *
        (IMPORTRANGE(""https://docs.google.com/spreadsheets/d/161aHT6vVT3SLneTKD19N5qVWtnj_jIT8CSsOmUVKmaA/e"&amp;"dit?gid=1761053510"",
          ""Haris_Form responses 1!$AQ:$AQ"")=3)
      ),
      1
    ),
    ""0""
  ),
  ""Form not found""
)
"),"4")</f>
        <v>4</v>
      </c>
      <c r="AU1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1!$E:$E"")=$B163) *
        (IMPORTRANGE(""https://docs.google.com/spreadsheets/d/161aHT6vVT3SLneTKD19N5qVWtnj_jIT8CSsOmUVKmaA/e"&amp;"dit?gid=1761053510"",
          ""Haris_Form responses 1!$AQ:$AQ"")=4)
      ),
      1
    ),
    ""0""
  ),
  ""Form not found""
)
"),"6")</f>
        <v>6</v>
      </c>
      <c r="AV1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1!$E:$E"")=$B163) *
        (IMPORTRANGE(""https://docs.google.com/spreadsheets/d/161aHT6vVT3SLneTKD19N5qVWtnj_jIT8CSsOmUVKmaA/e"&amp;"dit?gid=1761053510"",
          ""Haris_Form responses 1!$AQ:$AQ"")=5)
      ),
      1
    ),
    ""0""
  ),
  ""Form not found""
)
"),"Form not found")</f>
        <v>Form not found</v>
      </c>
      <c r="AW1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1!$E:$E"")=$B163) *
        (IMPORTRANGE(""https://docs.google.com/spreadsheets/d/161aHT6vVT3SLneTKD19N5qVWtnj_jIT8CSsOmUVKmaA/e"&amp;"dit?gid=1761053510"",
          ""Haris_Form responses 1!$AQ:$AQ"")=6)
      ),
      1
    ),
    ""0""
  ),
  ""Form not found""
)
"),"Form not found")</f>
        <v>Form not found</v>
      </c>
      <c r="AX1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1!$E:$E"")=$B163) *
        (IMPORTRANGE(""https://docs.google.com/spreadsheets/d/161aHT6vVT3SLneTKD19N5qVWtnj_jIT8CSsOmUVKmaA/e"&amp;"dit?gid=1761053510"",
          ""Haris_Form responses 1!$AQ:$AQ"")=1)
      ),
      1
    ),
    ""0""
  ),
  ""Form not found""
)
"),"0")</f>
        <v>0</v>
      </c>
      <c r="AY1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1!$E:$E"")=$B163) *
        (IMPORTRANGE(""https://docs.google.com/spreadsheets/d/161aHT6vVT3SLneTKD19N5qVWtnj_jIT8CSsOmUVKmaA/e"&amp;"dit?gid=1761053510"",
          ""Haris_Form responses 1!$AQ:$AQ"")=2)
      ),
      1
    ),
    ""0""
  ),
  ""Form not found""
)
"),"0")</f>
        <v>0</v>
      </c>
      <c r="AZ1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1!$E:$E"")=$B163) *
        (IMPORTRANGE(""https://docs.google.com/spreadsheets/d/161aHT6vVT3SLneTKD19N5qVWtnj_jIT8CSsOmUVKmaA/e"&amp;"dit?gid=1761053510"",
          ""Haris_Form responses 1!$AQ:$AQ"")=3)
      ),
      1
    ),
    ""0""
  ),
  ""Form not found""
)
"),"0")</f>
        <v>0</v>
      </c>
      <c r="BA1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1!$E:$E"")=$B163) *
        (IMPORTRANGE(""https://docs.google.com/spreadsheets/d/161aHT6vVT3SLneTKD19N5qVWtnj_jIT8CSsOmUVKmaA/e"&amp;"dit?gid=1761053510"",
          ""Haris_Form responses 1!$AQ:$AQ"")=4)
      ),
      1
    ),
    ""0""
  ),
  ""Form not found""
)
"),"0")</f>
        <v>0</v>
      </c>
      <c r="BB1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1!$E:$E"")=$B163) *
        (IMPORTRANGE(""https://docs.google.com/spreadsheets/d/161aHT6vVT3SLneTKD19N5qVWtnj_jIT8CSsOmUVKmaA/e"&amp;"dit?gid=1761053510"",
          ""Haris_Form responses 1!$AQ:$AQ"")=5)
      ),
      1
    ),
    ""0""
  ),
  ""Form not found""
)
"),"Form not found")</f>
        <v>Form not found</v>
      </c>
      <c r="BC1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1!$E:$E"")=$B163) *
        (IMPORTRANGE(""https://docs.google.com/spreadsheets/d/161aHT6vVT3SLneTKD19N5qVWtnj_jIT8CSsOmUVKmaA/e"&amp;"dit?gid=1761053510"",
          ""Haris_Form responses 1!$AQ:$AQ"")=6)
      ),
      1
    ),
    ""0""
  ),
  ""Form not found""
)
"),"Form not found")</f>
        <v>Form not found</v>
      </c>
      <c r="BD163" s="293"/>
    </row>
    <row r="164">
      <c r="A164" s="283" t="str">
        <f>IFERROR(__xludf.DUMMYFUNCTION("VLOOKUP($B164,IMPORTRANGE(""https://docs.google.com/spreadsheets/d/1VNXDITjs75AcgdBSW27oL1VZH31udDprJSsBcE5xlp4/edit?gid=1551188038#gid=1551188038"", ""Sheet9!$B:$E""),2,false)"),"Multan")</f>
        <v>Multan</v>
      </c>
      <c r="B164" s="283" t="s">
        <v>4609</v>
      </c>
      <c r="C164" s="284" t="str">
        <f>IFERROR(__xludf.DUMMYFUNCTION("VLOOKUP(TRIM($B164), IMPORTRANGE(""https://docs.google.com/spreadsheets/d/1aSOrU4PTpuBZqfitKaH1Rfww6-YOiNCKoBpPl8XBHaw/edit?gid=0#gid=0"", ""sheet3!$B:$C""), 2, FALSE)
"),"Jamia Masjid Baha Ul Din Zikriya Multan")</f>
        <v>Jamia Masjid Baha Ul Din Zikriya Multan</v>
      </c>
      <c r="D164" s="284" t="str">
        <f>IFERROR(__xludf.DUMMYFUNCTION("IFERROR(
  INDEX(
    FILTER(
      IMPORTRANGE(""1aSOrU4PTpuBZqfitKaH1Rfww6-YOiNCKoBpPl8XBHaw/edit?gid=0#gid=0"",""Sheet1!G:G""),
      IMPORTRANGE(""1aSOrU4PTpuBZqfitKaH1Rfww6-YOiNCKoBpPl8XBHaw/edit?gid=0#gid=0"",""Sheet1!C:C"")=$B164
    ),
    1
  ),
"&amp;"  ""Not Found""
)"),"Women Religious No Info Share")</f>
        <v>Women Religious No Info Share</v>
      </c>
      <c r="E164" s="284" t="str">
        <f>VLOOKUP(B164,'Juma Recording forms'!A:E,5,false)</f>
        <v>Jamia masjid bah ul Deen zakriya Multan OQ</v>
      </c>
      <c r="F164" s="284" t="str">
        <f>IFERROR(__xludf.DUMMYFUNCTION("IFERROR(
  INDEX(
    FILTER(
      IMPORTRANGE(""1Cxrhp3-_-HS7v9uuqQliiIfrmMP4VaFoDNDWyUFy2J8/edit?gid=0#gid=0"",""Sheet1!Q:Q""),
      IMPORTRANGE(""1Cxrhp3-_-HS7v9uuqQliiIfrmMP4VaFoDNDWyUFy2J8/edit?gid=0#gid=0"",""Sheet1!K:K"")=$B164
    ),
    1
  ),
"&amp;"  ""Not Found""
)"),"Mulana Muhammad Ramzan")</f>
        <v>Mulana Muhammad Ramzan</v>
      </c>
      <c r="G164" s="284">
        <v>800.0</v>
      </c>
      <c r="H164" s="284" t="s">
        <v>4862</v>
      </c>
      <c r="I164" s="285" t="s">
        <v>197</v>
      </c>
      <c r="J164" s="286">
        <v>2.0</v>
      </c>
      <c r="K164" s="287" t="str">
        <f>VLOOKUP($B164,'Mosque Locations'!$A:$E,3,FALSE)
</f>
        <v>https://maps.app.goo.gl/cboL6o9SS8evb71K7</v>
      </c>
      <c r="L164" s="286">
        <f>VLOOKUP($B164,'Mosque Locations'!$A:$E,4,FALSE)
</f>
        <v>30.19511</v>
      </c>
      <c r="M164" s="286" t="str">
        <f>VLOOKUP($B164,'Mosque Locations'!$A:$E,5,false)</f>
        <v>71.474829 (approx)</v>
      </c>
      <c r="N164" s="288"/>
      <c r="O164" s="288"/>
      <c r="P164" s="288"/>
      <c r="Q164" s="289" t="str">
        <f>IFERROR(__xludf.DUMMYFUNCTION("IFERROR(
  INDEX(
    FILTER(
      IMPORTRANGE(""1kOrIKZmJfNUkgOVP3sI9BPjaaPA0_a4636oymQxTXg8"",""Form Responses 1!N:N""),
      TRIM(IMPORTRANGE(""1kOrIKZmJfNUkgOVP3sI9BPjaaPA0_a4636oymQxTXg8"",""Form Responses 1!F:F""))=TRIM($B164)
    ),
    1
  ),
  "&amp;"""Not Found""
)
"),"https://drive.google.com/open?id=1HZvuhBi2lpyEApsXbtxZyY9iL26cHkk4")</f>
        <v>https://drive.google.com/open?id=1HZvuhBi2lpyEApsXbtxZyY9iL26cHkk4</v>
      </c>
      <c r="R164" s="289" t="str">
        <f>IFERROR(__xludf.DUMMYFUNCTION("IFERROR(
  INDEX(
    FILTER(
      IMPORTRANGE(""1kOrIKZmJfNUkgOVP3sI9BPjaaPA0_a4636oymQxTXg8"",""Form Responses 1!M:M""),
      TRIM(IMPORTRANGE(""1kOrIKZmJfNUkgOVP3sI9BPjaaPA0_a4636oymQxTXg8"",""Form Responses 1!F:F""))=TRIM($B164)
    ),
    1
  ),
  "&amp;"""Not Found""
)
"),"https://drive.google.com/open?id=1g8zM4SdbxnzxRIdw5EoLteWdMAs-yx56")</f>
        <v>https://drive.google.com/open?id=1g8zM4SdbxnzxRIdw5EoLteWdMAs-yx56</v>
      </c>
      <c r="S164" s="285"/>
      <c r="T164" s="290" t="str">
        <f>VLOOKUP($B164,'Master Tracker'!D:E,2,false)</f>
        <v>https://drive.google.com/open?id=1uKk1T1Di9Y4uNozOHRTcZR3E6tteFd7y</v>
      </c>
      <c r="U164" s="291" t="str">
        <f>VLOOKUP($B164,'Master Tracker'!$D:$T,4,FALSE)
</f>
        <v>https://drive.google.com/open?id=1NIdJWBDVTQtu5zaFxAONe0Bju5OeV0O4meFV0AiT1Lg</v>
      </c>
      <c r="V164" s="284" t="str">
        <f>VLOOKUP($B164,'Master Tracker'!$D:$T,5,false)</f>
        <v>Not Found</v>
      </c>
      <c r="W164" s="292" t="str">
        <f>VLOOKUP($B164,'Master Tracker'!$D:$T,7,false)</f>
        <v>Not Found</v>
      </c>
      <c r="X164" s="290" t="str">
        <f>VLOOKUP($B164,'Master Tracker'!$D:$T,8,false)</f>
        <v>https://drive.google.com/open?id=1ROafTaKO9KVl480L_Tn6B1i07MSJTv20</v>
      </c>
      <c r="Y164" s="291" t="str">
        <f>VLOOKUP($B164,'Master Tracker'!$D:$T,10,false)</f>
        <v>https://drive.google.com/open?id=1IiaVGQXcusY5KfWufLljHWmrynrlIJOz</v>
      </c>
      <c r="Z164" s="290" t="str">
        <f>VLOOKUP($B164,'Master Tracker'!$D:$T,11,false)</f>
        <v>https://drive.google.com/open?id=1OLFas_Bc9LmE3QsVowd30j4X04Rg-Ub8</v>
      </c>
      <c r="AA164" s="291" t="str">
        <f>VLOOKUP($B164,'Master Tracker'!$D:$T,13,false)</f>
        <v>https://drive.google.com/open?id=15zo2pj9jJnRGJf-URKeb64sSTc3Jgpwv</v>
      </c>
      <c r="AB164" s="284" t="str">
        <f>VLOOKUP($B164,'Master Tracker'!$D:$T,14,false)</f>
        <v>Not Found</v>
      </c>
      <c r="AC164" s="292" t="str">
        <f>VLOOKUP($B164,'Master Tracker'!$D:$T,16,false)</f>
        <v>Not Found</v>
      </c>
      <c r="AD164" s="292" t="str">
        <f>VLOOKUP($B164,'Master Tracker'!$D:$T,17,false)</f>
        <v>Not Found</v>
      </c>
      <c r="AE164" s="292" t="str">
        <f>VLOOKUP($B164,'Master Tracker'!$D:$V,19,false)</f>
        <v>Not Found</v>
      </c>
      <c r="AF164" s="292">
        <f>IFERROR(__xludf.DUMMYFUNCTION("IFERROR(
  INDEX(
    FILTER(
      'Juma Recording forms'!$G:$G,
      TRIM('Juma Recording forms'!$F:$F) = TRIM($B164),
      'Juma Recording forms'!$AA:$AA = 1
    ),
    1
  ),
  ""Not Found""
)"),69.0)</f>
        <v>69</v>
      </c>
      <c r="AG164" s="292" t="str">
        <f>IFERROR(__xludf.DUMMYFUNCTION("IFERROR(
  INDEX(
    FILTER(
      'Juma Recording forms'!$G:$G,
      TRIM('Juma Recording forms'!$F:$F) = TRIM($B164),
      'Juma Recording forms'!$AA:$AA = 2
    ),
    1
  ),
  ""Not Found""
)"),"Not Found")</f>
        <v>Not Found</v>
      </c>
      <c r="AH164" s="292">
        <f>IFERROR(__xludf.DUMMYFUNCTION("IFERROR(
  INDEX(
    FILTER(
      'Juma Recording forms'!$G:$G,
      TRIM('Juma Recording forms'!$F:$F) = TRIM($B164),
      'Juma Recording forms'!$AA:$AA = 3
    ),
    1
  ),
  ""Not Found""
)"),85.0)</f>
        <v>85</v>
      </c>
      <c r="AI164" s="292">
        <f>IFERROR(__xludf.DUMMYFUNCTION("IFERROR(
  INDEX(
    FILTER(
      'Juma Recording forms'!$G:$G,
      TRIM('Juma Recording forms'!$F:$F) = TRIM($B164),
      'Juma Recording forms'!$AA:$AA = 4
    ),
    1
  ),
  ""Not Found""
)"),70.0)</f>
        <v>70</v>
      </c>
      <c r="AJ164" s="292" t="str">
        <f>IFERROR(__xludf.DUMMYFUNCTION("IFERROR(
  INDEX(
    FILTER(
      'Juma Recording forms'!$G:$G,
      TRIM('Juma Recording forms'!$F:$F) = TRIM($B164),
      'Juma Recording forms'!$AA:$AA = 5
    ),
    1
  ),
  ""Not Found""
)"),"Not Found")</f>
        <v>Not Found</v>
      </c>
      <c r="AK164" s="292" t="str">
        <f>IFERROR(__xludf.DUMMYFUNCTION("IFERROR(
  INDEX(
    FILTER(
      'Juma Recording forms'!$G:$G,
      TRIM('Juma Recording forms'!$F:$F) = TRIM($B164),
      'Juma Recording forms'!$AA:$AA = 6
    ),
    1
  ),
  ""Not Found""
)"),"Not Found")</f>
        <v>Not Found</v>
      </c>
      <c r="AL1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1!$E:$E"")=$B164) *
        (IMPORTRANGE(""https://docs.google.com/spreadsheets/d/161aHT6vVT3SLneTKD19N5qVWtnj_jIT8CSsOmUVKmaA/e"&amp;"dit?gid=1761053510"",
          ""Haris_Form responses 1!$AQ:$AQ"")=1)
      ),
      1
    ),
    ""0""
  ),
  ""Form not found""
)
"),"10")</f>
        <v>10</v>
      </c>
      <c r="AM1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1!$E:$E"")=$B164) *
        (IMPORTRANGE(""https://docs.google.com/spreadsheets/d/161aHT6vVT3SLneTKD19N5qVWtnj_jIT8CSsOmUVKmaA/e"&amp;"dit?gid=1761053510"",
          ""Haris_Form responses 1!$AQ:$AQ"")=2)
      ),
      1
    ),
    ""0""
  ),
  ""Form not found""
)
"),"Form not found")</f>
        <v>Form not found</v>
      </c>
      <c r="AN1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1!$E:$E"")=$B164) *
        (IMPORTRANGE(""https://docs.google.com/spreadsheets/d/161aHT6vVT3SLneTKD19N5qVWtnj_jIT8CSsOmUVKmaA/e"&amp;"dit?gid=1761053510"",
          ""Haris_Form responses 1!$AQ:$AQ"")=3)
      ),
      1
    ),
    ""0""
  ),
  ""Form not found""
)
"),"10")</f>
        <v>10</v>
      </c>
      <c r="AO1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1!$E:$E"")=$B164) *
        (IMPORTRANGE(""https://docs.google.com/spreadsheets/d/161aHT6vVT3SLneTKD19N5qVWtnj_jIT8CSsOmUVKmaA/e"&amp;"dit?gid=1761053510"",
          ""Haris_Form responses 1!$AQ:$AQ"")=4)
      ),
      1
    ),
    ""0""
  ),
  ""Form not found""
)
"),"0")</f>
        <v>0</v>
      </c>
      <c r="AP1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1!$E:$E"")=$B164) *
        (IMPORTRANGE(""https://docs.google.com/spreadsheets/d/161aHT6vVT3SLneTKD19N5qVWtnj_jIT8CSsOmUVKmaA/e"&amp;"dit?gid=1761053510"",
          ""Haris_Form responses 1!$AQ:$AQ"")=5)
      ),
      1
    ),
    ""0""
  ),
  ""Form not found""
)
"),"Form not found")</f>
        <v>Form not found</v>
      </c>
      <c r="AQ1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1!$E:$E"")=$B164) *
        (IMPORTRANGE(""https://docs.google.com/spreadsheets/d/161aHT6vVT3SLneTKD19N5qVWtnj_jIT8CSsOmUVKmaA/e"&amp;"dit?gid=1761053510"",
          ""Haris_Form responses 1!$AQ:$AQ"")=6)
      ),
      1
    ),
    ""0""
  ),
  ""Form not found""
)
"),"Form not found")</f>
        <v>Form not found</v>
      </c>
      <c r="AR1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1!$E:$E"")=$B164) *
        (IMPORTRANGE(""https://docs.google.com/spreadsheets/d/161aHT6vVT3SLneTKD19N5qVWtnj_jIT8CSsOmUVKmaA/e"&amp;"dit?gid=1761053510"",
          ""Haris_Form responses 1!$AQ:$AQ"")=1)
      ),
      1
    ),
    ""0""
  ),
  ""Form not found""
)
"),"0")</f>
        <v>0</v>
      </c>
      <c r="AS1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1!$E:$E"")=$B164) *
        (IMPORTRANGE(""https://docs.google.com/spreadsheets/d/161aHT6vVT3SLneTKD19N5qVWtnj_jIT8CSsOmUVKmaA/e"&amp;"dit?gid=1761053510"",
          ""Haris_Form responses 1!$AQ:$AQ"")=2)
      ),
      1
    ),
    ""0""
  ),
  ""Form not found""
)
"),"Form not found")</f>
        <v>Form not found</v>
      </c>
      <c r="AT1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1!$E:$E"")=$B164) *
        (IMPORTRANGE(""https://docs.google.com/spreadsheets/d/161aHT6vVT3SLneTKD19N5qVWtnj_jIT8CSsOmUVKmaA/e"&amp;"dit?gid=1761053510"",
          ""Haris_Form responses 1!$AQ:$AQ"")=3)
      ),
      1
    ),
    ""0""
  ),
  ""Form not found""
)
"),"0")</f>
        <v>0</v>
      </c>
      <c r="AU1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1!$E:$E"")=$B164) *
        (IMPORTRANGE(""https://docs.google.com/spreadsheets/d/161aHT6vVT3SLneTKD19N5qVWtnj_jIT8CSsOmUVKmaA/e"&amp;"dit?gid=1761053510"",
          ""Haris_Form responses 1!$AQ:$AQ"")=4)
      ),
      1
    ),
    ""0""
  ),
  ""Form not found""
)
"),"0")</f>
        <v>0</v>
      </c>
      <c r="AV1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1!$E:$E"")=$B164) *
        (IMPORTRANGE(""https://docs.google.com/spreadsheets/d/161aHT6vVT3SLneTKD19N5qVWtnj_jIT8CSsOmUVKmaA/e"&amp;"dit?gid=1761053510"",
          ""Haris_Form responses 1!$AQ:$AQ"")=5)
      ),
      1
    ),
    ""0""
  ),
  ""Form not found""
)
"),"Form not found")</f>
        <v>Form not found</v>
      </c>
      <c r="AW1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1!$E:$E"")=$B164) *
        (IMPORTRANGE(""https://docs.google.com/spreadsheets/d/161aHT6vVT3SLneTKD19N5qVWtnj_jIT8CSsOmUVKmaA/e"&amp;"dit?gid=1761053510"",
          ""Haris_Form responses 1!$AQ:$AQ"")=6)
      ),
      1
    ),
    ""0""
  ),
  ""Form not found""
)
"),"Form not found")</f>
        <v>Form not found</v>
      </c>
      <c r="AX1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1!$E:$E"")=$B164) *
        (IMPORTRANGE(""https://docs.google.com/spreadsheets/d/161aHT6vVT3SLneTKD19N5qVWtnj_jIT8CSsOmUVKmaA/e"&amp;"dit?gid=1761053510"",
          ""Haris_Form responses 1!$AQ:$AQ"")=1)
      ),
      1
    ),
    ""0""
  ),
  ""Form not found""
)
"),"10")</f>
        <v>10</v>
      </c>
      <c r="AY1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1!$E:$E"")=$B164) *
        (IMPORTRANGE(""https://docs.google.com/spreadsheets/d/161aHT6vVT3SLneTKD19N5qVWtnj_jIT8CSsOmUVKmaA/e"&amp;"dit?gid=1761053510"",
          ""Haris_Form responses 1!$AQ:$AQ"")=2)
      ),
      1
    ),
    ""0""
  ),
  ""Form not found""
)
"),"Form not found")</f>
        <v>Form not found</v>
      </c>
      <c r="AZ1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1!$E:$E"")=$B164) *
        (IMPORTRANGE(""https://docs.google.com/spreadsheets/d/161aHT6vVT3SLneTKD19N5qVWtnj_jIT8CSsOmUVKmaA/e"&amp;"dit?gid=1761053510"",
          ""Haris_Form responses 1!$AQ:$AQ"")=3)
      ),
      1
    ),
    ""0""
  ),
  ""Form not found""
)
"),"10")</f>
        <v>10</v>
      </c>
      <c r="BA1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1!$E:$E"")=$B164) *
        (IMPORTRANGE(""https://docs.google.com/spreadsheets/d/161aHT6vVT3SLneTKD19N5qVWtnj_jIT8CSsOmUVKmaA/e"&amp;"dit?gid=1761053510"",
          ""Haris_Form responses 1!$AQ:$AQ"")=4)
      ),
      1
    ),
    ""0""
  ),
  ""Form not found""
)
"),"0")</f>
        <v>0</v>
      </c>
      <c r="BB1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1!$E:$E"")=$B164) *
        (IMPORTRANGE(""https://docs.google.com/spreadsheets/d/161aHT6vVT3SLneTKD19N5qVWtnj_jIT8CSsOmUVKmaA/e"&amp;"dit?gid=1761053510"",
          ""Haris_Form responses 1!$AQ:$AQ"")=5)
      ),
      1
    ),
    ""0""
  ),
  ""Form not found""
)
"),"Form not found")</f>
        <v>Form not found</v>
      </c>
      <c r="BC1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1!$E:$E"")=$B164) *
        (IMPORTRANGE(""https://docs.google.com/spreadsheets/d/161aHT6vVT3SLneTKD19N5qVWtnj_jIT8CSsOmUVKmaA/e"&amp;"dit?gid=1761053510"",
          ""Haris_Form responses 1!$AQ:$AQ"")=6)
      ),
      1
    ),
    ""0""
  ),
  ""Form not found""
)
"),"Form not found")</f>
        <v>Form not found</v>
      </c>
      <c r="BD164" s="293"/>
    </row>
    <row r="165">
      <c r="A165" s="283" t="str">
        <f>IFERROR(__xludf.DUMMYFUNCTION("VLOOKUP($B165,IMPORTRANGE(""https://docs.google.com/spreadsheets/d/1VNXDITjs75AcgdBSW27oL1VZH31udDprJSsBcE5xlp4/edit?gid=1551188038#gid=1551188038"", ""Sheet9!$B:$E""),2,false)"),"Multan")</f>
        <v>Multan</v>
      </c>
      <c r="B165" s="283" t="s">
        <v>4202</v>
      </c>
      <c r="C165" s="284" t="str">
        <f>IFERROR(__xludf.DUMMYFUNCTION("VLOOKUP(TRIM($B165), IMPORTRANGE(""https://docs.google.com/spreadsheets/d/1aSOrU4PTpuBZqfitKaH1Rfww6-YOiNCKoBpPl8XBHaw/edit?gid=0#gid=0"", ""sheet3!$B:$C""), 2, FALSE)
"),"Jamia Masjid Gosha Nasheen Multan")</f>
        <v>Jamia Masjid Gosha Nasheen Multan</v>
      </c>
      <c r="D165" s="284" t="str">
        <f>IFERROR(__xludf.DUMMYFUNCTION("IFERROR(
  INDEX(
    FILTER(
      IMPORTRANGE(""1aSOrU4PTpuBZqfitKaH1Rfww6-YOiNCKoBpPl8XBHaw/edit?gid=0#gid=0"",""Sheet1!G:G""),
      IMPORTRANGE(""1aSOrU4PTpuBZqfitKaH1Rfww6-YOiNCKoBpPl8XBHaw/edit?gid=0#gid=0"",""Sheet1!C:C"")=$B165
    ),
    1
  ),
"&amp;"  ""Not Found""
)"),"Community Secular Info Share")</f>
        <v>Community Secular Info Share</v>
      </c>
      <c r="E165" s="284" t="str">
        <f>VLOOKUP(B165,'Juma Recording forms'!A:E,5,false)</f>
        <v>Jamia Masjid Gosha Nasheen Multan</v>
      </c>
      <c r="F165" s="284" t="str">
        <f>IFERROR(__xludf.DUMMYFUNCTION("IFERROR(
  INDEX(
    FILTER(
      IMPORTRANGE(""1Cxrhp3-_-HS7v9uuqQliiIfrmMP4VaFoDNDWyUFy2J8/edit?gid=0#gid=0"",""Sheet1!Q:Q""),
      IMPORTRANGE(""1Cxrhp3-_-HS7v9uuqQliiIfrmMP4VaFoDNDWyUFy2J8/edit?gid=0#gid=0"",""Sheet1!K:K"")=$B165
    ),
    1
  ),
"&amp;"  ""Not Found""
)"),"Qari Muhammad Sohail shafiq")</f>
        <v>Qari Muhammad Sohail shafiq</v>
      </c>
      <c r="G165" s="284">
        <v>1950.0</v>
      </c>
      <c r="H165" s="284" t="s">
        <v>4863</v>
      </c>
      <c r="I165" s="285" t="s">
        <v>197</v>
      </c>
      <c r="J165" s="286">
        <v>2.0</v>
      </c>
      <c r="K165" s="287" t="str">
        <f>VLOOKUP($B165,'Mosque Locations'!$A:$E,3,FALSE)
</f>
        <v>https://maps.google.com/?q=30.1915713,71.4729772</v>
      </c>
      <c r="L165" s="286">
        <f>VLOOKUP($B165,'Mosque Locations'!$A:$E,4,FALSE)
</f>
        <v>30.19157</v>
      </c>
      <c r="M165" s="286">
        <f>VLOOKUP($B165,'Mosque Locations'!$A:$E,5,false)</f>
        <v>71.47298</v>
      </c>
      <c r="N165" s="288"/>
      <c r="O165" s="288"/>
      <c r="P165" s="288"/>
      <c r="Q165" s="290" t="str">
        <f>IFERROR(__xludf.DUMMYFUNCTION("IFERROR(
  INDEX(
    FILTER(
      IMPORTRANGE(""1kOrIKZmJfNUkgOVP3sI9BPjaaPA0_a4636oymQxTXg8"",""Form Responses 1!N:N""),
      TRIM(IMPORTRANGE(""1kOrIKZmJfNUkgOVP3sI9BPjaaPA0_a4636oymQxTXg8"",""Form Responses 1!F:F""))=TRIM($B165)
    ),
    1
  ),
  "&amp;"""Not Found""
)
"),"https://drive.google.com/open?id=1HLc6lzsyWrNz1Ln4BquRIdH9cW4hQC5Z")</f>
        <v>https://drive.google.com/open?id=1HLc6lzsyWrNz1Ln4BquRIdH9cW4hQC5Z</v>
      </c>
      <c r="R165" s="290" t="str">
        <f>IFERROR(__xludf.DUMMYFUNCTION("IFERROR(
  INDEX(
    FILTER(
      IMPORTRANGE(""1kOrIKZmJfNUkgOVP3sI9BPjaaPA0_a4636oymQxTXg8"",""Form Responses 1!M:M""),
      TRIM(IMPORTRANGE(""1kOrIKZmJfNUkgOVP3sI9BPjaaPA0_a4636oymQxTXg8"",""Form Responses 1!F:F""))=TRIM($B165)
    ),
    1
  ),
  "&amp;"""Not Found""
)
"),"https://drive.google.com/open?id=1H0L-xZjAL_8hDCl65L10OzuFSJn61pQB")</f>
        <v>https://drive.google.com/open?id=1H0L-xZjAL_8hDCl65L10OzuFSJn61pQB</v>
      </c>
      <c r="S165" s="285"/>
      <c r="T165" s="290" t="str">
        <f>VLOOKUP($B165,'Master Tracker'!D:E,2,false)</f>
        <v>https://drive.google.com/file/d/1nbFjwKF5k4SRpaAeuSRuvP-6lk-DG9Qd/view?usp=drive_link</v>
      </c>
      <c r="U165" s="291" t="str">
        <f>VLOOKUP($B165,'Master Tracker'!$D:$T,4,FALSE)
</f>
        <v>https://drive.google.com/open?id=1EN0MnikfgUjLn27j5bykHFSkDRBCNWafLpzmUp2Uu5o</v>
      </c>
      <c r="V165" s="290" t="str">
        <f>VLOOKUP($B165,'Master Tracker'!$D:$T,5,false)</f>
        <v>https://drive.google.com/file/d/13ad0bpffyJtRGheASa3NGxEIiB3-zOPo/view?usp=drive_link</v>
      </c>
      <c r="W165" s="291" t="str">
        <f>VLOOKUP($B165,'Master Tracker'!$D:$T,7,false)</f>
        <v>https://drive.google.com/open?id=1LACt-jtgHPgAMVQ4f_I2-QT97h-DaoSPMTGJTG-h0dM</v>
      </c>
      <c r="X165" s="290" t="str">
        <f>VLOOKUP($B165,'Master Tracker'!$D:$T,8,false)</f>
        <v>https://drive.google.com/open?id=1xYexj4GEVEjoBHH2ruexteFQmessDa79</v>
      </c>
      <c r="Y165" s="291" t="str">
        <f>VLOOKUP($B165,'Master Tracker'!$D:$T,10,false)</f>
        <v>https://drive.google.com/open?id=1Dgwo4J3_Atgys1srALV2DITxI1vU3CKy</v>
      </c>
      <c r="Z165" s="290" t="str">
        <f>VLOOKUP($B165,'Master Tracker'!$D:$T,11,false)</f>
        <v>https://drive.google.com/open?id=1H8g1J147q3-eg546GDU07AFRtcrID0Yh</v>
      </c>
      <c r="AA165" s="291" t="str">
        <f>VLOOKUP($B165,'Master Tracker'!$D:$T,13,false)</f>
        <v>https://drive.google.com/open?id=1-AiGPu4cUfQYwvrxhucR557ogagM6gSM</v>
      </c>
      <c r="AB165" s="290" t="str">
        <f>VLOOKUP($B165,'Master Tracker'!$D:$T,14,false)</f>
        <v>https://drive.google.com/open?id=1ceFI9JA7Z3xfJfLG2aB-e7y_Kcu2sSDr</v>
      </c>
      <c r="AC165" s="291" t="str">
        <f>VLOOKUP($B165,'Master Tracker'!$D:$T,16,false)</f>
        <v>https://drive.google.com/open?id=1ogQIEZQ9bDGitWYglgtEPq0-xbejsjjOwq_U0E3CffA</v>
      </c>
      <c r="AD165" s="292" t="str">
        <f>VLOOKUP($B165,'Master Tracker'!$D:$T,17,false)</f>
        <v>Not Found</v>
      </c>
      <c r="AE165" s="292" t="str">
        <f>VLOOKUP($B165,'Master Tracker'!$D:$V,19,false)</f>
        <v>Not Found</v>
      </c>
      <c r="AF165" s="292">
        <f>IFERROR(__xludf.DUMMYFUNCTION("IFERROR(
  INDEX(
    FILTER(
      'Juma Recording forms'!$G:$G,
      TRIM('Juma Recording forms'!$F:$F) = TRIM($B165),
      'Juma Recording forms'!$AA:$AA = 1
    ),
    1
  ),
  ""Not Found""
)"),86.0)</f>
        <v>86</v>
      </c>
      <c r="AG165" s="292">
        <f>IFERROR(__xludf.DUMMYFUNCTION("IFERROR(
  INDEX(
    FILTER(
      'Juma Recording forms'!$G:$G,
      TRIM('Juma Recording forms'!$F:$F) = TRIM($B165),
      'Juma Recording forms'!$AA:$AA = 2
    ),
    1
  ),
  ""Not Found""
)"),77.0)</f>
        <v>77</v>
      </c>
      <c r="AH165" s="292">
        <f>IFERROR(__xludf.DUMMYFUNCTION("IFERROR(
  INDEX(
    FILTER(
      'Juma Recording forms'!$G:$G,
      TRIM('Juma Recording forms'!$F:$F) = TRIM($B165),
      'Juma Recording forms'!$AA:$AA = 3
    ),
    1
  ),
  ""Not Found""
)"),75.0)</f>
        <v>75</v>
      </c>
      <c r="AI165" s="292">
        <f>IFERROR(__xludf.DUMMYFUNCTION("IFERROR(
  INDEX(
    FILTER(
      'Juma Recording forms'!$G:$G,
      TRIM('Juma Recording forms'!$F:$F) = TRIM($B165),
      'Juma Recording forms'!$AA:$AA = 4
    ),
    1
  ),
  ""Not Found""
)"),118.0)</f>
        <v>118</v>
      </c>
      <c r="AJ165" s="292">
        <f>IFERROR(__xludf.DUMMYFUNCTION("IFERROR(
  INDEX(
    FILTER(
      'Juma Recording forms'!$G:$G,
      TRIM('Juma Recording forms'!$F:$F) = TRIM($B165),
      'Juma Recording forms'!$AA:$AA = 5
    ),
    1
  ),
  ""Not Found""
)"),95.0)</f>
        <v>95</v>
      </c>
      <c r="AK165" s="292" t="str">
        <f>IFERROR(__xludf.DUMMYFUNCTION("IFERROR(
  INDEX(
    FILTER(
      'Juma Recording forms'!$G:$G,
      TRIM('Juma Recording forms'!$F:$F) = TRIM($B165),
      'Juma Recording forms'!$AA:$AA = 6
    ),
    1
  ),
  ""Not Found""
)"),"Not Found")</f>
        <v>Not Found</v>
      </c>
      <c r="AL1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1!$E:$E"")=$B165) *
        (IMPORTRANGE(""https://docs.google.com/spreadsheets/d/161aHT6vVT3SLneTKD19N5qVWtnj_jIT8CSsOmUVKmaA/e"&amp;"dit?gid=1761053510"",
          ""Haris_Form responses 1!$AQ:$AQ"")=1)
      ),
      1
    ),
    ""0""
  ),
  ""Form not found""
)
"),"0")</f>
        <v>0</v>
      </c>
      <c r="AM1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1!$E:$E"")=$B165) *
        (IMPORTRANGE(""https://docs.google.com/spreadsheets/d/161aHT6vVT3SLneTKD19N5qVWtnj_jIT8CSsOmUVKmaA/e"&amp;"dit?gid=1761053510"",
          ""Haris_Form responses 1!$AQ:$AQ"")=2)
      ),
      1
    ),
    ""0""
  ),
  ""Form not found""
)
"),"0")</f>
        <v>0</v>
      </c>
      <c r="AN1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1!$E:$E"")=$B165) *
        (IMPORTRANGE(""https://docs.google.com/spreadsheets/d/161aHT6vVT3SLneTKD19N5qVWtnj_jIT8CSsOmUVKmaA/e"&amp;"dit?gid=1761053510"",
          ""Haris_Form responses 1!$AQ:$AQ"")=3)
      ),
      1
    ),
    ""0""
  ),
  ""Form not found""
)
"),"10")</f>
        <v>10</v>
      </c>
      <c r="AO1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1!$E:$E"")=$B165) *
        (IMPORTRANGE(""https://docs.google.com/spreadsheets/d/161aHT6vVT3SLneTKD19N5qVWtnj_jIT8CSsOmUVKmaA/e"&amp;"dit?gid=1761053510"",
          ""Haris_Form responses 1!$AQ:$AQ"")=4)
      ),
      1
    ),
    ""0""
  ),
  ""Form not found""
)
"),"10")</f>
        <v>10</v>
      </c>
      <c r="AP1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1!$E:$E"")=$B165) *
        (IMPORTRANGE(""https://docs.google.com/spreadsheets/d/161aHT6vVT3SLneTKD19N5qVWtnj_jIT8CSsOmUVKmaA/e"&amp;"dit?gid=1761053510"",
          ""Haris_Form responses 1!$AQ:$AQ"")=5)
      ),
      1
    ),
    ""0""
  ),
  ""Form not found""
)
"),"0")</f>
        <v>0</v>
      </c>
      <c r="AQ1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1!$E:$E"")=$B165) *
        (IMPORTRANGE(""https://docs.google.com/spreadsheets/d/161aHT6vVT3SLneTKD19N5qVWtnj_jIT8CSsOmUVKmaA/e"&amp;"dit?gid=1761053510"",
          ""Haris_Form responses 1!$AQ:$AQ"")=6)
      ),
      1
    ),
    ""0""
  ),
  ""Form not found""
)
"),"Form not found")</f>
        <v>Form not found</v>
      </c>
      <c r="AR1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1!$E:$E"")=$B165) *
        (IMPORTRANGE(""https://docs.google.com/spreadsheets/d/161aHT6vVT3SLneTKD19N5qVWtnj_jIT8CSsOmUVKmaA/e"&amp;"dit?gid=1761053510"",
          ""Haris_Form responses 1!$AQ:$AQ"")=1)
      ),
      1
    ),
    ""0""
  ),
  ""Form not found""
)
"),"0")</f>
        <v>0</v>
      </c>
      <c r="AS1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1!$E:$E"")=$B165) *
        (IMPORTRANGE(""https://docs.google.com/spreadsheets/d/161aHT6vVT3SLneTKD19N5qVWtnj_jIT8CSsOmUVKmaA/e"&amp;"dit?gid=1761053510"",
          ""Haris_Form responses 1!$AQ:$AQ"")=2)
      ),
      1
    ),
    ""0""
  ),
  ""Form not found""
)
"),"0")</f>
        <v>0</v>
      </c>
      <c r="AT1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1!$E:$E"")=$B165) *
        (IMPORTRANGE(""https://docs.google.com/spreadsheets/d/161aHT6vVT3SLneTKD19N5qVWtnj_jIT8CSsOmUVKmaA/e"&amp;"dit?gid=1761053510"",
          ""Haris_Form responses 1!$AQ:$AQ"")=3)
      ),
      1
    ),
    ""0""
  ),
  ""Form not found""
)
"),"10")</f>
        <v>10</v>
      </c>
      <c r="AU1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1!$E:$E"")=$B165) *
        (IMPORTRANGE(""https://docs.google.com/spreadsheets/d/161aHT6vVT3SLneTKD19N5qVWtnj_jIT8CSsOmUVKmaA/e"&amp;"dit?gid=1761053510"",
          ""Haris_Form responses 1!$AQ:$AQ"")=4)
      ),
      1
    ),
    ""0""
  ),
  ""Form not found""
)
"),"10")</f>
        <v>10</v>
      </c>
      <c r="AV1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1!$E:$E"")=$B165) *
        (IMPORTRANGE(""https://docs.google.com/spreadsheets/d/161aHT6vVT3SLneTKD19N5qVWtnj_jIT8CSsOmUVKmaA/e"&amp;"dit?gid=1761053510"",
          ""Haris_Form responses 1!$AQ:$AQ"")=5)
      ),
      1
    ),
    ""0""
  ),
  ""Form not found""
)
"),"0")</f>
        <v>0</v>
      </c>
      <c r="AW1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1!$E:$E"")=$B165) *
        (IMPORTRANGE(""https://docs.google.com/spreadsheets/d/161aHT6vVT3SLneTKD19N5qVWtnj_jIT8CSsOmUVKmaA/e"&amp;"dit?gid=1761053510"",
          ""Haris_Form responses 1!$AQ:$AQ"")=6)
      ),
      1
    ),
    ""0""
  ),
  ""Form not found""
)
"),"Form not found")</f>
        <v>Form not found</v>
      </c>
      <c r="AX1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1!$E:$E"")=$B165) *
        (IMPORTRANGE(""https://docs.google.com/spreadsheets/d/161aHT6vVT3SLneTKD19N5qVWtnj_jIT8CSsOmUVKmaA/e"&amp;"dit?gid=1761053510"",
          ""Haris_Form responses 1!$AQ:$AQ"")=1)
      ),
      1
    ),
    ""0""
  ),
  ""Form not found""
)
"),"0")</f>
        <v>0</v>
      </c>
      <c r="AY1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1!$E:$E"")=$B165) *
        (IMPORTRANGE(""https://docs.google.com/spreadsheets/d/161aHT6vVT3SLneTKD19N5qVWtnj_jIT8CSsOmUVKmaA/e"&amp;"dit?gid=1761053510"",
          ""Haris_Form responses 1!$AQ:$AQ"")=2)
      ),
      1
    ),
    ""0""
  ),
  ""Form not found""
)
"),"0")</f>
        <v>0</v>
      </c>
      <c r="AZ1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1!$E:$E"")=$B165) *
        (IMPORTRANGE(""https://docs.google.com/spreadsheets/d/161aHT6vVT3SLneTKD19N5qVWtnj_jIT8CSsOmUVKmaA/e"&amp;"dit?gid=1761053510"",
          ""Haris_Form responses 1!$AQ:$AQ"")=3)
      ),
      1
    ),
    ""0""
  ),
  ""Form not found""
)
"),"0")</f>
        <v>0</v>
      </c>
      <c r="BA1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1!$E:$E"")=$B165) *
        (IMPORTRANGE(""https://docs.google.com/spreadsheets/d/161aHT6vVT3SLneTKD19N5qVWtnj_jIT8CSsOmUVKmaA/e"&amp;"dit?gid=1761053510"",
          ""Haris_Form responses 1!$AQ:$AQ"")=4)
      ),
      1
    ),
    ""0""
  ),
  ""Form not found""
)
"),"0")</f>
        <v>0</v>
      </c>
      <c r="BB1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1!$E:$E"")=$B165) *
        (IMPORTRANGE(""https://docs.google.com/spreadsheets/d/161aHT6vVT3SLneTKD19N5qVWtnj_jIT8CSsOmUVKmaA/e"&amp;"dit?gid=1761053510"",
          ""Haris_Form responses 1!$AQ:$AQ"")=5)
      ),
      1
    ),
    ""0""
  ),
  ""Form not found""
)
"),"0")</f>
        <v>0</v>
      </c>
      <c r="BC1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1!$E:$E"")=$B165) *
        (IMPORTRANGE(""https://docs.google.com/spreadsheets/d/161aHT6vVT3SLneTKD19N5qVWtnj_jIT8CSsOmUVKmaA/e"&amp;"dit?gid=1761053510"",
          ""Haris_Form responses 1!$AQ:$AQ"")=6)
      ),
      1
    ),
    ""0""
  ),
  ""Form not found""
)
"),"Form not found")</f>
        <v>Form not found</v>
      </c>
      <c r="BD165" s="293"/>
    </row>
    <row r="166">
      <c r="A166" s="283" t="str">
        <f>IFERROR(__xludf.DUMMYFUNCTION("VLOOKUP($B166,IMPORTRANGE(""https://docs.google.com/spreadsheets/d/1VNXDITjs75AcgdBSW27oL1VZH31udDprJSsBcE5xlp4/edit?gid=1551188038#gid=1551188038"", ""Sheet9!$B:$E""),2,false)"),"Multan")</f>
        <v>Multan</v>
      </c>
      <c r="B166" s="283" t="s">
        <v>4610</v>
      </c>
      <c r="C166" s="284" t="str">
        <f>IFERROR(__xludf.DUMMYFUNCTION("VLOOKUP(TRIM($B166), IMPORTRANGE(""https://docs.google.com/spreadsheets/d/1aSOrU4PTpuBZqfitKaH1Rfww6-YOiNCKoBpPl8XBHaw/edit?gid=0#gid=0"", ""sheet3!$B:$C""), 2, FALSE)
"),"Jamia Masjid Sarai Ghulam Rasool Multan")</f>
        <v>Jamia Masjid Sarai Ghulam Rasool Multan</v>
      </c>
      <c r="D166" s="284" t="str">
        <f>IFERROR(__xludf.DUMMYFUNCTION("IFERROR(
  INDEX(
    FILTER(
      IMPORTRANGE(""1aSOrU4PTpuBZqfitKaH1Rfww6-YOiNCKoBpPl8XBHaw/edit?gid=0#gid=0"",""Sheet1!G:G""),
      IMPORTRANGE(""1aSOrU4PTpuBZqfitKaH1Rfww6-YOiNCKoBpPl8XBHaw/edit?gid=0#gid=0"",""Sheet1!C:C"")=$B166
    ),
    1
  ),
"&amp;"  ""Not Found""
)"),"Women Religious Info Share")</f>
        <v>Women Religious Info Share</v>
      </c>
      <c r="E166" s="284" t="str">
        <f>VLOOKUP(B166,'Juma Recording forms'!A:E,5,false)</f>
        <v>Masjid k bahir koi nam NH likha hua tha pr masjid ka nam jamia masjid sarai ghulam Rasool h</v>
      </c>
      <c r="F166" s="284" t="str">
        <f>IFERROR(__xludf.DUMMYFUNCTION("IFERROR(
  INDEX(
    FILTER(
      IMPORTRANGE(""1Cxrhp3-_-HS7v9uuqQliiIfrmMP4VaFoDNDWyUFy2J8/edit?gid=0#gid=0"",""Sheet1!Q:Q""),
      IMPORTRANGE(""1Cxrhp3-_-HS7v9uuqQliiIfrmMP4VaFoDNDWyUFy2J8/edit?gid=0#gid=0"",""Sheet1!K:K"")=$B166
    ),
    1
  ),
"&amp;"  ""Not Found""
)"),"M azhar")</f>
        <v>M azhar</v>
      </c>
      <c r="G166" s="284">
        <v>1887.0</v>
      </c>
      <c r="H166" s="284"/>
      <c r="I166" s="285" t="s">
        <v>401</v>
      </c>
      <c r="J166" s="286">
        <v>2.0</v>
      </c>
      <c r="K166" s="287" t="str">
        <f>VLOOKUP($B166,'Mosque Locations'!$A:$E,3,FALSE)
</f>
        <v>https://maps.google.com/maps?q=30.1888188%2C71.4714961&amp;z=17&amp;hl=en</v>
      </c>
      <c r="L166" s="286">
        <f>VLOOKUP($B166,'Mosque Locations'!$A:$E,4,FALSE)
</f>
        <v>30.18882</v>
      </c>
      <c r="M166" s="286">
        <f>VLOOKUP($B166,'Mosque Locations'!$A:$E,5,false)</f>
        <v>71.4715</v>
      </c>
      <c r="N166" s="288"/>
      <c r="O166" s="288"/>
      <c r="P166" s="288"/>
      <c r="Q166" s="289" t="str">
        <f>IFERROR(__xludf.DUMMYFUNCTION("IFERROR(
  INDEX(
    FILTER(
      IMPORTRANGE(""1kOrIKZmJfNUkgOVP3sI9BPjaaPA0_a4636oymQxTXg8"",""Form Responses 1!N:N""),
      TRIM(IMPORTRANGE(""1kOrIKZmJfNUkgOVP3sI9BPjaaPA0_a4636oymQxTXg8"",""Form Responses 1!F:F""))=TRIM($B166)
    ),
    1
  ),
  "&amp;"""Not Found""
)
"),"https://drive.google.com/open?id=1KMRfwRuHnZuy5NHUhzFGohiP1CYkQ744")</f>
        <v>https://drive.google.com/open?id=1KMRfwRuHnZuy5NHUhzFGohiP1CYkQ744</v>
      </c>
      <c r="R166" s="289" t="str">
        <f>IFERROR(__xludf.DUMMYFUNCTION("IFERROR(
  INDEX(
    FILTER(
      IMPORTRANGE(""1kOrIKZmJfNUkgOVP3sI9BPjaaPA0_a4636oymQxTXg8"",""Form Responses 1!M:M""),
      TRIM(IMPORTRANGE(""1kOrIKZmJfNUkgOVP3sI9BPjaaPA0_a4636oymQxTXg8"",""Form Responses 1!F:F""))=TRIM($B166)
    ),
    1
  ),
  "&amp;"""Not Found""
)
"),"https://drive.google.com/open?id=1VfHRaWqXzEyTgkjRer4FIxlbccuhbK2T")</f>
        <v>https://drive.google.com/open?id=1VfHRaWqXzEyTgkjRer4FIxlbccuhbK2T</v>
      </c>
      <c r="S166" s="285"/>
      <c r="T166" s="284" t="str">
        <f>VLOOKUP($B166,'Master Tracker'!D:E,2,false)</f>
        <v>https://drive.google.com/file/d/1IAYLULdPYKiFw5LXi8OahxmwkrOaEbur/view?usp=drive_link, https://drive.google.com/file/d/1l0XoQSuyc008Dz_oNgTWGF18E_evqrx1/view?usp=drive_link</v>
      </c>
      <c r="U166" s="291" t="str">
        <f>VLOOKUP($B166,'Master Tracker'!$D:$T,4,FALSE)
</f>
        <v>https://drive.google.com/open?id=1PWJ8F741v91AqrIOpZQn2yUVhLposmRM</v>
      </c>
      <c r="V166" s="290" t="str">
        <f>VLOOKUP($B166,'Master Tracker'!$D:$T,5,false)</f>
        <v>https://drive.google.com/file/d/1FV_RVeUvO2ymlmKFEUEU6MF4piuM3MOd/view?usp=drive_link</v>
      </c>
      <c r="W166" s="291" t="str">
        <f>VLOOKUP($B166,'Master Tracker'!$D:$T,7,false)</f>
        <v>https://drive.google.com/open?id=12WgelOeh0m8Ggqz6roNpBbGOZJUmU1JKiiE5p2LA2ys</v>
      </c>
      <c r="X166" s="290" t="str">
        <f>VLOOKUP($B166,'Master Tracker'!$D:$T,8,false)</f>
        <v>https://drive.google.com/open?id=1OQqyFPKFkQm-4uXgDu_vd88fP98DrGIR</v>
      </c>
      <c r="Y166" s="291" t="str">
        <f>VLOOKUP($B166,'Master Tracker'!$D:$T,10,false)</f>
        <v>https://drive.google.com/open?id=1YhR7Yns54ixyuj9w8bOMXyXiYhgbHChqw8pC5Wr2aBM</v>
      </c>
      <c r="Z166" s="284" t="str">
        <f>VLOOKUP($B166,'Master Tracker'!$D:$T,11,false)</f>
        <v>Not Found</v>
      </c>
      <c r="AA166" s="292" t="str">
        <f>VLOOKUP($B166,'Master Tracker'!$D:$T,13,false)</f>
        <v>Not Found</v>
      </c>
      <c r="AB166" s="284" t="str">
        <f>VLOOKUP($B166,'Master Tracker'!$D:$T,14,false)</f>
        <v>Not Found</v>
      </c>
      <c r="AC166" s="292" t="str">
        <f>VLOOKUP($B166,'Master Tracker'!$D:$T,16,false)</f>
        <v>Not Found</v>
      </c>
      <c r="AD166" s="292" t="str">
        <f>VLOOKUP($B166,'Master Tracker'!$D:$T,17,false)</f>
        <v>Not Found</v>
      </c>
      <c r="AE166" s="292" t="str">
        <f>VLOOKUP($B166,'Master Tracker'!$D:$V,19,false)</f>
        <v>Not Found</v>
      </c>
      <c r="AF166" s="292">
        <f>IFERROR(__xludf.DUMMYFUNCTION("IFERROR(
  INDEX(
    FILTER(
      'Juma Recording forms'!$G:$G,
      TRIM('Juma Recording forms'!$F:$F) = TRIM($B166),
      'Juma Recording forms'!$AA:$AA = 1
    ),
    1
  ),
  ""Not Found""
)"),88.0)</f>
        <v>88</v>
      </c>
      <c r="AG166" s="292">
        <f>IFERROR(__xludf.DUMMYFUNCTION("IFERROR(
  INDEX(
    FILTER(
      'Juma Recording forms'!$G:$G,
      TRIM('Juma Recording forms'!$F:$F) = TRIM($B166),
      'Juma Recording forms'!$AA:$AA = 2
    ),
    1
  ),
  ""Not Found""
)"),92.0)</f>
        <v>92</v>
      </c>
      <c r="AH166" s="292">
        <f>IFERROR(__xludf.DUMMYFUNCTION("IFERROR(
  INDEX(
    FILTER(
      'Juma Recording forms'!$G:$G,
      TRIM('Juma Recording forms'!$F:$F) = TRIM($B166),
      'Juma Recording forms'!$AA:$AA = 3
    ),
    1
  ),
  ""Not Found""
)"),93.0)</f>
        <v>93</v>
      </c>
      <c r="AI166" s="292" t="str">
        <f>IFERROR(__xludf.DUMMYFUNCTION("IFERROR(
  INDEX(
    FILTER(
      'Juma Recording forms'!$G:$G,
      TRIM('Juma Recording forms'!$F:$F) = TRIM($B166),
      'Juma Recording forms'!$AA:$AA = 4
    ),
    1
  ),
  ""Not Found""
)"),"Not Found")</f>
        <v>Not Found</v>
      </c>
      <c r="AJ166" s="292" t="str">
        <f>IFERROR(__xludf.DUMMYFUNCTION("IFERROR(
  INDEX(
    FILTER(
      'Juma Recording forms'!$G:$G,
      TRIM('Juma Recording forms'!$F:$F) = TRIM($B166),
      'Juma Recording forms'!$AA:$AA = 5
    ),
    1
  ),
  ""Not Found""
)"),"Not Found")</f>
        <v>Not Found</v>
      </c>
      <c r="AK166" s="292" t="str">
        <f>IFERROR(__xludf.DUMMYFUNCTION("IFERROR(
  INDEX(
    FILTER(
      'Juma Recording forms'!$G:$G,
      TRIM('Juma Recording forms'!$F:$F) = TRIM($B166),
      'Juma Recording forms'!$AA:$AA = 6
    ),
    1
  ),
  ""Not Found""
)"),"Not Found")</f>
        <v>Not Found</v>
      </c>
      <c r="AL1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1!$E:$E"")=$B166) *
        (IMPORTRANGE(""https://docs.google.com/spreadsheets/d/161aHT6vVT3SLneTKD19N5qVWtnj_jIT8CSsOmUVKmaA/e"&amp;"dit?gid=1761053510"",
          ""Haris_Form responses 1!$AQ:$AQ"")=1)
      ),
      1
    ),
    ""0""
  ),
  ""Form not found""
)
"),"10")</f>
        <v>10</v>
      </c>
      <c r="AM1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1!$E:$E"")=$B166) *
        (IMPORTRANGE(""https://docs.google.com/spreadsheets/d/161aHT6vVT3SLneTKD19N5qVWtnj_jIT8CSsOmUVKmaA/e"&amp;"dit?gid=1761053510"",
          ""Haris_Form responses 1!$AQ:$AQ"")=2)
      ),
      1
    ),
    ""0""
  ),
  ""Form not found""
)
"),"10")</f>
        <v>10</v>
      </c>
      <c r="AN1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1!$E:$E"")=$B166) *
        (IMPORTRANGE(""https://docs.google.com/spreadsheets/d/161aHT6vVT3SLneTKD19N5qVWtnj_jIT8CSsOmUVKmaA/e"&amp;"dit?gid=1761053510"",
          ""Haris_Form responses 1!$AQ:$AQ"")=3)
      ),
      1
    ),
    ""0""
  ),
  ""Form not found""
)
"),"10")</f>
        <v>10</v>
      </c>
      <c r="AO1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1!$E:$E"")=$B166) *
        (IMPORTRANGE(""https://docs.google.com/spreadsheets/d/161aHT6vVT3SLneTKD19N5qVWtnj_jIT8CSsOmUVKmaA/e"&amp;"dit?gid=1761053510"",
          ""Haris_Form responses 1!$AQ:$AQ"")=4)
      ),
      1
    ),
    ""0""
  ),
  ""Form not found""
)
"),"Form not found")</f>
        <v>Form not found</v>
      </c>
      <c r="AP1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1!$E:$E"")=$B166) *
        (IMPORTRANGE(""https://docs.google.com/spreadsheets/d/161aHT6vVT3SLneTKD19N5qVWtnj_jIT8CSsOmUVKmaA/e"&amp;"dit?gid=1761053510"",
          ""Haris_Form responses 1!$AQ:$AQ"")=5)
      ),
      1
    ),
    ""0""
  ),
  ""Form not found""
)
"),"Form not found")</f>
        <v>Form not found</v>
      </c>
      <c r="AQ1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1!$E:$E"")=$B166) *
        (IMPORTRANGE(""https://docs.google.com/spreadsheets/d/161aHT6vVT3SLneTKD19N5qVWtnj_jIT8CSsOmUVKmaA/e"&amp;"dit?gid=1761053510"",
          ""Haris_Form responses 1!$AQ:$AQ"")=6)
      ),
      1
    ),
    ""0""
  ),
  ""Form not found""
)
"),"Form not found")</f>
        <v>Form not found</v>
      </c>
      <c r="AR1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1!$E:$E"")=$B166) *
        (IMPORTRANGE(""https://docs.google.com/spreadsheets/d/161aHT6vVT3SLneTKD19N5qVWtnj_jIT8CSsOmUVKmaA/e"&amp;"dit?gid=1761053510"",
          ""Haris_Form responses 1!$AQ:$AQ"")=1)
      ),
      1
    ),
    ""0""
  ),
  ""Form not found""
)
"),"0")</f>
        <v>0</v>
      </c>
      <c r="AS1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1!$E:$E"")=$B166) *
        (IMPORTRANGE(""https://docs.google.com/spreadsheets/d/161aHT6vVT3SLneTKD19N5qVWtnj_jIT8CSsOmUVKmaA/e"&amp;"dit?gid=1761053510"",
          ""Haris_Form responses 1!$AQ:$AQ"")=2)
      ),
      1
    ),
    ""0""
  ),
  ""Form not found""
)
"),"0")</f>
        <v>0</v>
      </c>
      <c r="AT1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1!$E:$E"")=$B166) *
        (IMPORTRANGE(""https://docs.google.com/spreadsheets/d/161aHT6vVT3SLneTKD19N5qVWtnj_jIT8CSsOmUVKmaA/e"&amp;"dit?gid=1761053510"",
          ""Haris_Form responses 1!$AQ:$AQ"")=3)
      ),
      1
    ),
    ""0""
  ),
  ""Form not found""
)
"),"0")</f>
        <v>0</v>
      </c>
      <c r="AU1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1!$E:$E"")=$B166) *
        (IMPORTRANGE(""https://docs.google.com/spreadsheets/d/161aHT6vVT3SLneTKD19N5qVWtnj_jIT8CSsOmUVKmaA/e"&amp;"dit?gid=1761053510"",
          ""Haris_Form responses 1!$AQ:$AQ"")=4)
      ),
      1
    ),
    ""0""
  ),
  ""Form not found""
)
"),"Form not found")</f>
        <v>Form not found</v>
      </c>
      <c r="AV1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1!$E:$E"")=$B166) *
        (IMPORTRANGE(""https://docs.google.com/spreadsheets/d/161aHT6vVT3SLneTKD19N5qVWtnj_jIT8CSsOmUVKmaA/e"&amp;"dit?gid=1761053510"",
          ""Haris_Form responses 1!$AQ:$AQ"")=5)
      ),
      1
    ),
    ""0""
  ),
  ""Form not found""
)
"),"Form not found")</f>
        <v>Form not found</v>
      </c>
      <c r="AW1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1!$E:$E"")=$B166) *
        (IMPORTRANGE(""https://docs.google.com/spreadsheets/d/161aHT6vVT3SLneTKD19N5qVWtnj_jIT8CSsOmUVKmaA/e"&amp;"dit?gid=1761053510"",
          ""Haris_Form responses 1!$AQ:$AQ"")=6)
      ),
      1
    ),
    ""0""
  ),
  ""Form not found""
)
"),"Form not found")</f>
        <v>Form not found</v>
      </c>
      <c r="AX1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1!$E:$E"")=$B166) *
        (IMPORTRANGE(""https://docs.google.com/spreadsheets/d/161aHT6vVT3SLneTKD19N5qVWtnj_jIT8CSsOmUVKmaA/e"&amp;"dit?gid=1761053510"",
          ""Haris_Form responses 1!$AQ:$AQ"")=1)
      ),
      1
    ),
    ""0""
  ),
  ""Form not found""
)
"),"10")</f>
        <v>10</v>
      </c>
      <c r="AY1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1!$E:$E"")=$B166) *
        (IMPORTRANGE(""https://docs.google.com/spreadsheets/d/161aHT6vVT3SLneTKD19N5qVWtnj_jIT8CSsOmUVKmaA/e"&amp;"dit?gid=1761053510"",
          ""Haris_Form responses 1!$AQ:$AQ"")=2)
      ),
      1
    ),
    ""0""
  ),
  ""Form not found""
)
"),"10")</f>
        <v>10</v>
      </c>
      <c r="AZ1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1!$E:$E"")=$B166) *
        (IMPORTRANGE(""https://docs.google.com/spreadsheets/d/161aHT6vVT3SLneTKD19N5qVWtnj_jIT8CSsOmUVKmaA/e"&amp;"dit?gid=1761053510"",
          ""Haris_Form responses 1!$AQ:$AQ"")=3)
      ),
      1
    ),
    ""0""
  ),
  ""Form not found""
)
"),"10")</f>
        <v>10</v>
      </c>
      <c r="BA1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1!$E:$E"")=$B166) *
        (IMPORTRANGE(""https://docs.google.com/spreadsheets/d/161aHT6vVT3SLneTKD19N5qVWtnj_jIT8CSsOmUVKmaA/e"&amp;"dit?gid=1761053510"",
          ""Haris_Form responses 1!$AQ:$AQ"")=4)
      ),
      1
    ),
    ""0""
  ),
  ""Form not found""
)
"),"Form not found")</f>
        <v>Form not found</v>
      </c>
      <c r="BB1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1!$E:$E"")=$B166) *
        (IMPORTRANGE(""https://docs.google.com/spreadsheets/d/161aHT6vVT3SLneTKD19N5qVWtnj_jIT8CSsOmUVKmaA/e"&amp;"dit?gid=1761053510"",
          ""Haris_Form responses 1!$AQ:$AQ"")=5)
      ),
      1
    ),
    ""0""
  ),
  ""Form not found""
)
"),"Form not found")</f>
        <v>Form not found</v>
      </c>
      <c r="BC1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1!$E:$E"")=$B166) *
        (IMPORTRANGE(""https://docs.google.com/spreadsheets/d/161aHT6vVT3SLneTKD19N5qVWtnj_jIT8CSsOmUVKmaA/e"&amp;"dit?gid=1761053510"",
          ""Haris_Form responses 1!$AQ:$AQ"")=6)
      ),
      1
    ),
    ""0""
  ),
  ""Form not found""
)
"),"Form not found")</f>
        <v>Form not found</v>
      </c>
      <c r="BD166" s="293"/>
    </row>
    <row r="167">
      <c r="A167" s="283" t="str">
        <f>IFERROR(__xludf.DUMMYFUNCTION("VLOOKUP($B167,IMPORTRANGE(""https://docs.google.com/spreadsheets/d/1VNXDITjs75AcgdBSW27oL1VZH31udDprJSsBcE5xlp4/edit?gid=1551188038#gid=1551188038"", ""Sheet9!$B:$E""),2,false)"),"Multan")</f>
        <v>Multan</v>
      </c>
      <c r="B167" s="283" t="s">
        <v>4611</v>
      </c>
      <c r="C167" s="284" t="str">
        <f>IFERROR(__xludf.DUMMYFUNCTION("VLOOKUP(TRIM($B167), IMPORTRANGE(""https://docs.google.com/spreadsheets/d/1aSOrU4PTpuBZqfitKaH1Rfww6-YOiNCKoBpPl8XBHaw/edit?gid=0#gid=0"", ""sheet3!$B:$C""), 2, FALSE)
"),"Jamia Masjid Kale Mandi Multan")</f>
        <v>Jamia Masjid Kale Mandi Multan</v>
      </c>
      <c r="D167" s="284" t="str">
        <f>IFERROR(__xludf.DUMMYFUNCTION("IFERROR(
  INDEX(
    FILTER(
      IMPORTRANGE(""1aSOrU4PTpuBZqfitKaH1Rfww6-YOiNCKoBpPl8XBHaw/edit?gid=0#gid=0"",""Sheet1!G:G""),
      IMPORTRANGE(""1aSOrU4PTpuBZqfitKaH1Rfww6-YOiNCKoBpPl8XBHaw/edit?gid=0#gid=0"",""Sheet1!C:C"")=$B167
    ),
    1
  ),
"&amp;"  ""Not Found""
)"),"Community Secular Info Share")</f>
        <v>Community Secular Info Share</v>
      </c>
      <c r="E167" s="284" t="str">
        <f>VLOOKUP(B167,'Juma Recording forms'!A:E,5,false)</f>
        <v>JAMIA masjid kalay mandi </v>
      </c>
      <c r="F167" s="284" t="str">
        <f>IFERROR(__xludf.DUMMYFUNCTION("IFERROR(
  INDEX(
    FILTER(
      IMPORTRANGE(""1Cxrhp3-_-HS7v9uuqQliiIfrmMP4VaFoDNDWyUFy2J8/edit?gid=0#gid=0"",""Sheet1!Q:Q""),
      IMPORTRANGE(""1Cxrhp3-_-HS7v9uuqQliiIfrmMP4VaFoDNDWyUFy2J8/edit?gid=0#gid=0"",""Sheet1!K:K"")=$B167
    ),
    1
  ),
"&amp;"  ""Not Found""
)"),"Molana Abdul qadir rizvi")</f>
        <v>Molana Abdul qadir rizvi</v>
      </c>
      <c r="G167" s="284">
        <v>1300.0</v>
      </c>
      <c r="H167" s="284" t="s">
        <v>4864</v>
      </c>
      <c r="I167" s="285" t="s">
        <v>197</v>
      </c>
      <c r="J167" s="286">
        <v>2.0</v>
      </c>
      <c r="K167" s="287" t="str">
        <f>VLOOKUP($B167,'Mosque Locations'!$A:$E,3,FALSE)
</f>
        <v>https://www.google.com/maps/place/30%C2%B011'32.3%22N+71%C2%B028'14.5%22E/@30.1923015,71.4681203,17z/data=!3m1!4b1!4m4!3m3!8m2!3d30.1923015!4d71.4706952?entry=ttu&amp;g_ep=EgoyMDI1MTExNy4wIKXMDSoASAFQAw%3D%3D</v>
      </c>
      <c r="L167" s="286">
        <f>VLOOKUP($B167,'Mosque Locations'!$A:$E,4,FALSE)
</f>
        <v>30.1923</v>
      </c>
      <c r="M167" s="286">
        <f>VLOOKUP($B167,'Mosque Locations'!$A:$E,5,false)</f>
        <v>71.4707</v>
      </c>
      <c r="N167" s="288"/>
      <c r="O167" s="288"/>
      <c r="P167" s="288"/>
      <c r="Q167" s="289" t="str">
        <f>IFERROR(__xludf.DUMMYFUNCTION("IFERROR(
  INDEX(
    FILTER(
      IMPORTRANGE(""1kOrIKZmJfNUkgOVP3sI9BPjaaPA0_a4636oymQxTXg8"",""Form Responses 1!N:N""),
      TRIM(IMPORTRANGE(""1kOrIKZmJfNUkgOVP3sI9BPjaaPA0_a4636oymQxTXg8"",""Form Responses 1!F:F""))=TRIM($B167)
    ),
    1
  ),
  "&amp;"""Not Found""
)
"),"https://drive.google.com/open?id=1XE1Ilif3NjjYTjhVH-EUHj5KmwaoK9aL")</f>
        <v>https://drive.google.com/open?id=1XE1Ilif3NjjYTjhVH-EUHj5KmwaoK9aL</v>
      </c>
      <c r="R167" s="289" t="str">
        <f>IFERROR(__xludf.DUMMYFUNCTION("IFERROR(
  INDEX(
    FILTER(
      IMPORTRANGE(""1kOrIKZmJfNUkgOVP3sI9BPjaaPA0_a4636oymQxTXg8"",""Form Responses 1!M:M""),
      TRIM(IMPORTRANGE(""1kOrIKZmJfNUkgOVP3sI9BPjaaPA0_a4636oymQxTXg8"",""Form Responses 1!F:F""))=TRIM($B167)
    ),
    1
  ),
  "&amp;"""Not Found""
)
"),"https://drive.google.com/open?id=1kepV7FNWLPScekoQc8PRfbsqXYv3mjVs")</f>
        <v>https://drive.google.com/open?id=1kepV7FNWLPScekoQc8PRfbsqXYv3mjVs</v>
      </c>
      <c r="S167" s="285"/>
      <c r="T167" s="290" t="str">
        <f>VLOOKUP($B167,'Master Tracker'!D:E,2,false)</f>
        <v>https://drive.google.com/open?id=1OrMs1cxFAu2OhD9LmF1nMN7MX6rVfd5g</v>
      </c>
      <c r="U167" s="291" t="str">
        <f>VLOOKUP($B167,'Master Tracker'!$D:$T,4,FALSE)
</f>
        <v>https://drive.google.com/open?id=11RM2ZaC9nVSQVF0UjGFlg5PgjPEmPz0DHnBbnRnv0c4</v>
      </c>
      <c r="V167" s="290" t="str">
        <f>VLOOKUP($B167,'Master Tracker'!$D:$T,5,false)</f>
        <v>https://drive.google.com/open?id=19aNYk3ZoPRDlcd-lYv5mb6SqwTNFdRZm</v>
      </c>
      <c r="W167" s="291" t="str">
        <f>VLOOKUP($B167,'Master Tracker'!$D:$T,7,false)</f>
        <v>https://drive.google.com/open?id=1whf4uP1elvrbnorhWLg0sjuDBdY0kSDS</v>
      </c>
      <c r="X167" s="290" t="str">
        <f>VLOOKUP($B167,'Master Tracker'!$D:$T,8,false)</f>
        <v>https://drive.google.com/open?id=14uHKee9D5wQ_xZ5CVDHVfHU6HcOgEzEV</v>
      </c>
      <c r="Y167" s="291" t="str">
        <f>VLOOKUP($B167,'Master Tracker'!$D:$T,10,false)</f>
        <v>https://drive.google.com/open?id=1o9qiWh7YARacB9iTzyev5OCEQLrVtbSX</v>
      </c>
      <c r="Z167" s="284" t="str">
        <f>VLOOKUP($B167,'Master Tracker'!$D:$T,11,false)</f>
        <v>Not Found</v>
      </c>
      <c r="AA167" s="292" t="str">
        <f>VLOOKUP($B167,'Master Tracker'!$D:$T,13,false)</f>
        <v>Not Found</v>
      </c>
      <c r="AB167" s="284" t="str">
        <f>VLOOKUP($B167,'Master Tracker'!$D:$T,14,false)</f>
        <v>Not Found</v>
      </c>
      <c r="AC167" s="292" t="str">
        <f>VLOOKUP($B167,'Master Tracker'!$D:$T,16,false)</f>
        <v>Not Found</v>
      </c>
      <c r="AD167" s="292" t="str">
        <f>VLOOKUP($B167,'Master Tracker'!$D:$T,17,false)</f>
        <v>Not Found</v>
      </c>
      <c r="AE167" s="292" t="str">
        <f>VLOOKUP($B167,'Master Tracker'!$D:$V,19,false)</f>
        <v>Not Found</v>
      </c>
      <c r="AF167" s="292">
        <f>IFERROR(__xludf.DUMMYFUNCTION("IFERROR(
  INDEX(
    FILTER(
      'Juma Recording forms'!$G:$G,
      TRIM('Juma Recording forms'!$F:$F) = TRIM($B167),
      'Juma Recording forms'!$AA:$AA = 1
    ),
    1
  ),
  ""Not Found""
)"),151.0)</f>
        <v>151</v>
      </c>
      <c r="AG167" s="292">
        <f>IFERROR(__xludf.DUMMYFUNCTION("IFERROR(
  INDEX(
    FILTER(
      'Juma Recording forms'!$G:$G,
      TRIM('Juma Recording forms'!$F:$F) = TRIM($B167),
      'Juma Recording forms'!$AA:$AA = 2
    ),
    1
  ),
  ""Not Found""
)"),141.0)</f>
        <v>141</v>
      </c>
      <c r="AH167" s="292">
        <f>IFERROR(__xludf.DUMMYFUNCTION("IFERROR(
  INDEX(
    FILTER(
      'Juma Recording forms'!$G:$G,
      TRIM('Juma Recording forms'!$F:$F) = TRIM($B167),
      'Juma Recording forms'!$AA:$AA = 3
    ),
    1
  ),
  ""Not Found""
)"),137.0)</f>
        <v>137</v>
      </c>
      <c r="AI167" s="292" t="str">
        <f>IFERROR(__xludf.DUMMYFUNCTION("IFERROR(
  INDEX(
    FILTER(
      'Juma Recording forms'!$G:$G,
      TRIM('Juma Recording forms'!$F:$F) = TRIM($B167),
      'Juma Recording forms'!$AA:$AA = 4
    ),
    1
  ),
  ""Not Found""
)"),"Not Found")</f>
        <v>Not Found</v>
      </c>
      <c r="AJ167" s="292" t="str">
        <f>IFERROR(__xludf.DUMMYFUNCTION("IFERROR(
  INDEX(
    FILTER(
      'Juma Recording forms'!$G:$G,
      TRIM('Juma Recording forms'!$F:$F) = TRIM($B167),
      'Juma Recording forms'!$AA:$AA = 5
    ),
    1
  ),
  ""Not Found""
)"),"Not Found")</f>
        <v>Not Found</v>
      </c>
      <c r="AK167" s="292" t="str">
        <f>IFERROR(__xludf.DUMMYFUNCTION("IFERROR(
  INDEX(
    FILTER(
      'Juma Recording forms'!$G:$G,
      TRIM('Juma Recording forms'!$F:$F) = TRIM($B167),
      'Juma Recording forms'!$AA:$AA = 6
    ),
    1
  ),
  ""Not Found""
)"),"Not Found")</f>
        <v>Not Found</v>
      </c>
      <c r="AL1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1!$E:$E"")=$B167) *
        (IMPORTRANGE(""https://docs.google.com/spreadsheets/d/161aHT6vVT3SLneTKD19N5qVWtnj_jIT8CSsOmUVKmaA/e"&amp;"dit?gid=1761053510"",
          ""Haris_Form responses 1!$AQ:$AQ"")=1)
      ),
      1
    ),
    ""0""
  ),
  ""Form not found""
)
"),"10")</f>
        <v>10</v>
      </c>
      <c r="AM1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1!$E:$E"")=$B167) *
        (IMPORTRANGE(""https://docs.google.com/spreadsheets/d/161aHT6vVT3SLneTKD19N5qVWtnj_jIT8CSsOmUVKmaA/e"&amp;"dit?gid=1761053510"",
          ""Haris_Form responses 1!$AQ:$AQ"")=2)
      ),
      1
    ),
    ""0""
  ),
  ""Form not found""
)
"),"10")</f>
        <v>10</v>
      </c>
      <c r="AN1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1!$E:$E"")=$B167) *
        (IMPORTRANGE(""https://docs.google.com/spreadsheets/d/161aHT6vVT3SLneTKD19N5qVWtnj_jIT8CSsOmUVKmaA/e"&amp;"dit?gid=1761053510"",
          ""Haris_Form responses 1!$AQ:$AQ"")=3)
      ),
      1
    ),
    ""0""
  ),
  ""Form not found""
)
"),"0")</f>
        <v>0</v>
      </c>
      <c r="AO1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1!$E:$E"")=$B167) *
        (IMPORTRANGE(""https://docs.google.com/spreadsheets/d/161aHT6vVT3SLneTKD19N5qVWtnj_jIT8CSsOmUVKmaA/e"&amp;"dit?gid=1761053510"",
          ""Haris_Form responses 1!$AQ:$AQ"")=4)
      ),
      1
    ),
    ""0""
  ),
  ""Form not found""
)
"),"Form not found")</f>
        <v>Form not found</v>
      </c>
      <c r="AP1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1!$E:$E"")=$B167) *
        (IMPORTRANGE(""https://docs.google.com/spreadsheets/d/161aHT6vVT3SLneTKD19N5qVWtnj_jIT8CSsOmUVKmaA/e"&amp;"dit?gid=1761053510"",
          ""Haris_Form responses 1!$AQ:$AQ"")=5)
      ),
      1
    ),
    ""0""
  ),
  ""Form not found""
)
"),"Form not found")</f>
        <v>Form not found</v>
      </c>
      <c r="AQ1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1!$E:$E"")=$B167) *
        (IMPORTRANGE(""https://docs.google.com/spreadsheets/d/161aHT6vVT3SLneTKD19N5qVWtnj_jIT8CSsOmUVKmaA/e"&amp;"dit?gid=1761053510"",
          ""Haris_Form responses 1!$AQ:$AQ"")=6)
      ),
      1
    ),
    ""0""
  ),
  ""Form not found""
)
"),"Form not found")</f>
        <v>Form not found</v>
      </c>
      <c r="AR1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1!$E:$E"")=$B167) *
        (IMPORTRANGE(""https://docs.google.com/spreadsheets/d/161aHT6vVT3SLneTKD19N5qVWtnj_jIT8CSsOmUVKmaA/e"&amp;"dit?gid=1761053510"",
          ""Haris_Form responses 1!$AQ:$AQ"")=1)
      ),
      1
    ),
    ""0""
  ),
  ""Form not found""
)
"),"10")</f>
        <v>10</v>
      </c>
      <c r="AS1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1!$E:$E"")=$B167) *
        (IMPORTRANGE(""https://docs.google.com/spreadsheets/d/161aHT6vVT3SLneTKD19N5qVWtnj_jIT8CSsOmUVKmaA/e"&amp;"dit?gid=1761053510"",
          ""Haris_Form responses 1!$AQ:$AQ"")=2)
      ),
      1
    ),
    ""0""
  ),
  ""Form not found""
)
"),"10")</f>
        <v>10</v>
      </c>
      <c r="AT1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1!$E:$E"")=$B167) *
        (IMPORTRANGE(""https://docs.google.com/spreadsheets/d/161aHT6vVT3SLneTKD19N5qVWtnj_jIT8CSsOmUVKmaA/e"&amp;"dit?gid=1761053510"",
          ""Haris_Form responses 1!$AQ:$AQ"")=3)
      ),
      1
    ),
    ""0""
  ),
  ""Form not found""
)
"),"0")</f>
        <v>0</v>
      </c>
      <c r="AU1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1!$E:$E"")=$B167) *
        (IMPORTRANGE(""https://docs.google.com/spreadsheets/d/161aHT6vVT3SLneTKD19N5qVWtnj_jIT8CSsOmUVKmaA/e"&amp;"dit?gid=1761053510"",
          ""Haris_Form responses 1!$AQ:$AQ"")=4)
      ),
      1
    ),
    ""0""
  ),
  ""Form not found""
)
"),"Form not found")</f>
        <v>Form not found</v>
      </c>
      <c r="AV1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1!$E:$E"")=$B167) *
        (IMPORTRANGE(""https://docs.google.com/spreadsheets/d/161aHT6vVT3SLneTKD19N5qVWtnj_jIT8CSsOmUVKmaA/e"&amp;"dit?gid=1761053510"",
          ""Haris_Form responses 1!$AQ:$AQ"")=5)
      ),
      1
    ),
    ""0""
  ),
  ""Form not found""
)
"),"Form not found")</f>
        <v>Form not found</v>
      </c>
      <c r="AW1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1!$E:$E"")=$B167) *
        (IMPORTRANGE(""https://docs.google.com/spreadsheets/d/161aHT6vVT3SLneTKD19N5qVWtnj_jIT8CSsOmUVKmaA/e"&amp;"dit?gid=1761053510"",
          ""Haris_Form responses 1!$AQ:$AQ"")=6)
      ),
      1
    ),
    ""0""
  ),
  ""Form not found""
)
"),"Form not found")</f>
        <v>Form not found</v>
      </c>
      <c r="AX1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1!$E:$E"")=$B167) *
        (IMPORTRANGE(""https://docs.google.com/spreadsheets/d/161aHT6vVT3SLneTKD19N5qVWtnj_jIT8CSsOmUVKmaA/e"&amp;"dit?gid=1761053510"",
          ""Haris_Form responses 1!$AQ:$AQ"")=1)
      ),
      1
    ),
    ""0""
  ),
  ""Form not found""
)
"),"0")</f>
        <v>0</v>
      </c>
      <c r="AY1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1!$E:$E"")=$B167) *
        (IMPORTRANGE(""https://docs.google.com/spreadsheets/d/161aHT6vVT3SLneTKD19N5qVWtnj_jIT8CSsOmUVKmaA/e"&amp;"dit?gid=1761053510"",
          ""Haris_Form responses 1!$AQ:$AQ"")=2)
      ),
      1
    ),
    ""0""
  ),
  ""Form not found""
)
"),"0")</f>
        <v>0</v>
      </c>
      <c r="AZ1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1!$E:$E"")=$B167) *
        (IMPORTRANGE(""https://docs.google.com/spreadsheets/d/161aHT6vVT3SLneTKD19N5qVWtnj_jIT8CSsOmUVKmaA/e"&amp;"dit?gid=1761053510"",
          ""Haris_Form responses 1!$AQ:$AQ"")=3)
      ),
      1
    ),
    ""0""
  ),
  ""Form not found""
)
"),"0")</f>
        <v>0</v>
      </c>
      <c r="BA1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1!$E:$E"")=$B167) *
        (IMPORTRANGE(""https://docs.google.com/spreadsheets/d/161aHT6vVT3SLneTKD19N5qVWtnj_jIT8CSsOmUVKmaA/e"&amp;"dit?gid=1761053510"",
          ""Haris_Form responses 1!$AQ:$AQ"")=4)
      ),
      1
    ),
    ""0""
  ),
  ""Form not found""
)
"),"Form not found")</f>
        <v>Form not found</v>
      </c>
      <c r="BB1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1!$E:$E"")=$B167) *
        (IMPORTRANGE(""https://docs.google.com/spreadsheets/d/161aHT6vVT3SLneTKD19N5qVWtnj_jIT8CSsOmUVKmaA/e"&amp;"dit?gid=1761053510"",
          ""Haris_Form responses 1!$AQ:$AQ"")=5)
      ),
      1
    ),
    ""0""
  ),
  ""Form not found""
)
"),"Form not found")</f>
        <v>Form not found</v>
      </c>
      <c r="BC1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1!$E:$E"")=$B167) *
        (IMPORTRANGE(""https://docs.google.com/spreadsheets/d/161aHT6vVT3SLneTKD19N5qVWtnj_jIT8CSsOmUVKmaA/e"&amp;"dit?gid=1761053510"",
          ""Haris_Form responses 1!$AQ:$AQ"")=6)
      ),
      1
    ),
    ""0""
  ),
  ""Form not found""
)
"),"Form not found")</f>
        <v>Form not found</v>
      </c>
      <c r="BD167" s="293"/>
    </row>
    <row r="168">
      <c r="A168" s="283" t="str">
        <f>IFERROR(__xludf.DUMMYFUNCTION("VLOOKUP($B168,IMPORTRANGE(""https://docs.google.com/spreadsheets/d/1VNXDITjs75AcgdBSW27oL1VZH31udDprJSsBcE5xlp4/edit?gid=1551188038#gid=1551188038"", ""Sheet9!$B:$E""),2,false)"),"Multan")</f>
        <v>Multan</v>
      </c>
      <c r="B168" s="283" t="s">
        <v>4612</v>
      </c>
      <c r="C168" s="284" t="str">
        <f>IFERROR(__xludf.DUMMYFUNCTION("VLOOKUP(TRIM($B168), IMPORTRANGE(""https://docs.google.com/spreadsheets/d/1aSOrU4PTpuBZqfitKaH1Rfww6-YOiNCKoBpPl8XBHaw/edit?gid=0#gid=0"", ""sheet3!$B:$C""), 2, FALSE)
"),"Jamia Masjid Madina Pepal Wali Multan")</f>
        <v>Jamia Masjid Madina Pepal Wali Multan</v>
      </c>
      <c r="D168" s="284" t="str">
        <f>IFERROR(__xludf.DUMMYFUNCTION("IFERROR(
  INDEX(
    FILTER(
      IMPORTRANGE(""1aSOrU4PTpuBZqfitKaH1Rfww6-YOiNCKoBpPl8XBHaw/edit?gid=0#gid=0"",""Sheet1!G:G""),
      IMPORTRANGE(""1aSOrU4PTpuBZqfitKaH1Rfww6-YOiNCKoBpPl8XBHaw/edit?gid=0#gid=0"",""Sheet1!C:C"")=$B168
    ),
    1
  ),
"&amp;"  ""Not Found""
)"),"Control")</f>
        <v>Control</v>
      </c>
      <c r="E168" s="284" t="str">
        <f>VLOOKUP(B168,'Juma Recording forms'!A:E,5,false)</f>
        <v>Madina masjid peopal wali</v>
      </c>
      <c r="F168" s="284" t="str">
        <f>IFERROR(__xludf.DUMMYFUNCTION("IFERROR(
  INDEX(
    FILTER(
      IMPORTRANGE(""1Cxrhp3-_-HS7v9uuqQliiIfrmMP4VaFoDNDWyUFy2J8/edit?gid=0#gid=0"",""Sheet1!Q:Q""),
      IMPORTRANGE(""1Cxrhp3-_-HS7v9uuqQliiIfrmMP4VaFoDNDWyUFy2J8/edit?gid=0#gid=0"",""Sheet1!K:K"")=$B168
    ),
    1
  ),
"&amp;"  ""Not Found""
)"),"محمد ساجد چشتی ")</f>
        <v>محمد ساجد چشتی </v>
      </c>
      <c r="G168" s="284">
        <v>2008.0</v>
      </c>
      <c r="H168" s="284" t="s">
        <v>4865</v>
      </c>
      <c r="I168" s="285" t="s">
        <v>197</v>
      </c>
      <c r="J168" s="286">
        <v>2.0</v>
      </c>
      <c r="K168" s="287" t="str">
        <f>VLOOKUP($B168,'Mosque Locations'!$A:$E,3,FALSE)
</f>
        <v>https://maps.google.com/maps?q=30.3902399%2C71.5704097&amp;z=17&amp;hl=en</v>
      </c>
      <c r="L168" s="286">
        <f>VLOOKUP($B168,'Mosque Locations'!$A:$E,4,FALSE)
</f>
        <v>30.39024</v>
      </c>
      <c r="M168" s="286">
        <f>VLOOKUP($B168,'Mosque Locations'!$A:$E,5,false)</f>
        <v>71.57041</v>
      </c>
      <c r="N168" s="288"/>
      <c r="O168" s="288"/>
      <c r="P168" s="288"/>
      <c r="Q168" s="289" t="str">
        <f>IFERROR(__xludf.DUMMYFUNCTION("IFERROR(
  INDEX(
    FILTER(
      IMPORTRANGE(""1kOrIKZmJfNUkgOVP3sI9BPjaaPA0_a4636oymQxTXg8"",""Form Responses 1!N:N""),
      TRIM(IMPORTRANGE(""1kOrIKZmJfNUkgOVP3sI9BPjaaPA0_a4636oymQxTXg8"",""Form Responses 1!F:F""))=TRIM($B168)
    ),
    1
  ),
  "&amp;"""Not Found""
)
"),"https://drive.google.com/open?id=1-Y9r4TGWHD82w-IXaYmg_lK90k-ZhQQ_")</f>
        <v>https://drive.google.com/open?id=1-Y9r4TGWHD82w-IXaYmg_lK90k-ZhQQ_</v>
      </c>
      <c r="R168" s="289" t="str">
        <f>IFERROR(__xludf.DUMMYFUNCTION("IFERROR(
  INDEX(
    FILTER(
      IMPORTRANGE(""1kOrIKZmJfNUkgOVP3sI9BPjaaPA0_a4636oymQxTXg8"",""Form Responses 1!M:M""),
      TRIM(IMPORTRANGE(""1kOrIKZmJfNUkgOVP3sI9BPjaaPA0_a4636oymQxTXg8"",""Form Responses 1!F:F""))=TRIM($B168)
    ),
    1
  ),
  "&amp;"""Not Found""
)
"),"https://drive.google.com/open?id=1TS5mMoMzqCeaEcEVPe-rA6ecE1O_ZoEy")</f>
        <v>https://drive.google.com/open?id=1TS5mMoMzqCeaEcEVPe-rA6ecE1O_ZoEy</v>
      </c>
      <c r="S168" s="285"/>
      <c r="T168" s="290" t="str">
        <f>VLOOKUP($B168,'Master Tracker'!D:E,2,false)</f>
        <v>https://drive.google.com/file/d/19luiHoMIi1iRkVl8JFA_PdQLRAl6Sz9S/view?usp=drive_link</v>
      </c>
      <c r="U168" s="291" t="str">
        <f>VLOOKUP($B168,'Master Tracker'!$D:$T,4,FALSE)
</f>
        <v>https://drive.google.com/open?id=1R7kOb5ddRe0iIOKAIyot78rwRNMO4t01bhNbGYg77nY</v>
      </c>
      <c r="V168" s="284" t="str">
        <f>VLOOKUP($B168,'Master Tracker'!$D:$T,5,false)</f>
        <v>Not Found</v>
      </c>
      <c r="W168" s="292" t="str">
        <f>VLOOKUP($B168,'Master Tracker'!$D:$T,7,false)</f>
        <v>Not Found</v>
      </c>
      <c r="X168" s="290" t="str">
        <f>VLOOKUP($B168,'Master Tracker'!$D:$T,8,false)</f>
        <v>https://drive.google.com/open?id=1RRNq4iMZaC5nsydmLbi1QbDNETLnkJkf</v>
      </c>
      <c r="Y168" s="291" t="str">
        <f>VLOOKUP($B168,'Master Tracker'!$D:$T,10,false)</f>
        <v>https://drive.google.com/open?id=1v5PBGi_hKx7vjtj3ea_tgP3YBLe5357Ky3v0gRBzktE</v>
      </c>
      <c r="Z168" s="284" t="str">
        <f>VLOOKUP($B168,'Master Tracker'!$D:$T,11,false)</f>
        <v>Not Found</v>
      </c>
      <c r="AA168" s="292" t="str">
        <f>VLOOKUP($B168,'Master Tracker'!$D:$T,13,false)</f>
        <v>Not Found</v>
      </c>
      <c r="AB168" s="284" t="str">
        <f>VLOOKUP($B168,'Master Tracker'!$D:$T,14,false)</f>
        <v>Not Found</v>
      </c>
      <c r="AC168" s="292" t="str">
        <f>VLOOKUP($B168,'Master Tracker'!$D:$T,16,false)</f>
        <v>Not Found</v>
      </c>
      <c r="AD168" s="292" t="str">
        <f>VLOOKUP($B168,'Master Tracker'!$D:$T,17,false)</f>
        <v>Not Found</v>
      </c>
      <c r="AE168" s="292" t="str">
        <f>VLOOKUP($B168,'Master Tracker'!$D:$V,19,false)</f>
        <v>Not Found</v>
      </c>
      <c r="AF168" s="292">
        <f>IFERROR(__xludf.DUMMYFUNCTION("IFERROR(
  INDEX(
    FILTER(
      'Juma Recording forms'!$G:$G,
      TRIM('Juma Recording forms'!$F:$F) = TRIM($B168),
      'Juma Recording forms'!$AA:$AA = 1
    ),
    1
  ),
  ""Not Found""
)"),71.0)</f>
        <v>71</v>
      </c>
      <c r="AG168" s="292" t="str">
        <f>IFERROR(__xludf.DUMMYFUNCTION("IFERROR(
  INDEX(
    FILTER(
      'Juma Recording forms'!$G:$G,
      TRIM('Juma Recording forms'!$F:$F) = TRIM($B168),
      'Juma Recording forms'!$AA:$AA = 2
    ),
    1
  ),
  ""Not Found""
)"),"Not Found")</f>
        <v>Not Found</v>
      </c>
      <c r="AH168" s="292">
        <f>IFERROR(__xludf.DUMMYFUNCTION("IFERROR(
  INDEX(
    FILTER(
      'Juma Recording forms'!$G:$G,
      TRIM('Juma Recording forms'!$F:$F) = TRIM($B168),
      'Juma Recording forms'!$AA:$AA = 3
    ),
    1
  ),
  ""Not Found""
)"),80.0)</f>
        <v>80</v>
      </c>
      <c r="AI168" s="292" t="str">
        <f>IFERROR(__xludf.DUMMYFUNCTION("IFERROR(
  INDEX(
    FILTER(
      'Juma Recording forms'!$G:$G,
      TRIM('Juma Recording forms'!$F:$F) = TRIM($B168),
      'Juma Recording forms'!$AA:$AA = 4
    ),
    1
  ),
  ""Not Found""
)"),"Not Found")</f>
        <v>Not Found</v>
      </c>
      <c r="AJ168" s="292" t="str">
        <f>IFERROR(__xludf.DUMMYFUNCTION("IFERROR(
  INDEX(
    FILTER(
      'Juma Recording forms'!$G:$G,
      TRIM('Juma Recording forms'!$F:$F) = TRIM($B168),
      'Juma Recording forms'!$AA:$AA = 5
    ),
    1
  ),
  ""Not Found""
)"),"Not Found")</f>
        <v>Not Found</v>
      </c>
      <c r="AK168" s="292"/>
      <c r="AL1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1!$E:$E"")=$B168) *
        (IMPORTRANGE(""https://docs.google.com/spreadsheets/d/161aHT6vVT3SLneTKD19N5qVWtnj_jIT8CSsOmUVKmaA/e"&amp;"dit?gid=1761053510"",
          ""Haris_Form responses 1!$AQ:$AQ"")=1)
      ),
      1
    ),
    ""0""
  ),
  ""Form not found""
)
"),"0")</f>
        <v>0</v>
      </c>
      <c r="AM1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1!$E:$E"")=$B168) *
        (IMPORTRANGE(""https://docs.google.com/spreadsheets/d/161aHT6vVT3SLneTKD19N5qVWtnj_jIT8CSsOmUVKmaA/e"&amp;"dit?gid=1761053510"",
          ""Haris_Form responses 1!$AQ:$AQ"")=2)
      ),
      1
    ),
    ""0""
  ),
  ""Form not found""
)
"),"Form not found")</f>
        <v>Form not found</v>
      </c>
      <c r="AN1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1!$E:$E"")=$B168) *
        (IMPORTRANGE(""https://docs.google.com/spreadsheets/d/161aHT6vVT3SLneTKD19N5qVWtnj_jIT8CSsOmUVKmaA/e"&amp;"dit?gid=1761053510"",
          ""Haris_Form responses 1!$AQ:$AQ"")=3)
      ),
      1
    ),
    ""0""
  ),
  ""Form not found""
)
"),"0")</f>
        <v>0</v>
      </c>
      <c r="AO1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1!$E:$E"")=$B168) *
        (IMPORTRANGE(""https://docs.google.com/spreadsheets/d/161aHT6vVT3SLneTKD19N5qVWtnj_jIT8CSsOmUVKmaA/e"&amp;"dit?gid=1761053510"",
          ""Haris_Form responses 1!$AQ:$AQ"")=4)
      ),
      1
    ),
    ""0""
  ),
  ""Form not found""
)
"),"Form not found")</f>
        <v>Form not found</v>
      </c>
      <c r="AP1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1!$E:$E"")=$B168) *
        (IMPORTRANGE(""https://docs.google.com/spreadsheets/d/161aHT6vVT3SLneTKD19N5qVWtnj_jIT8CSsOmUVKmaA/e"&amp;"dit?gid=1761053510"",
          ""Haris_Form responses 1!$AQ:$AQ"")=5)
      ),
      1
    ),
    ""0""
  ),
  ""Form not found""
)
"),"Form not found")</f>
        <v>Form not found</v>
      </c>
      <c r="AQ1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1!$E:$E"")=$B168) *
        (IMPORTRANGE(""https://docs.google.com/spreadsheets/d/161aHT6vVT3SLneTKD19N5qVWtnj_jIT8CSsOmUVKmaA/e"&amp;"dit?gid=1761053510"",
          ""Haris_Form responses 1!$AQ:$AQ"")=6)
      ),
      1
    ),
    ""0""
  ),
  ""Form not found""
)
"),"Form not found")</f>
        <v>Form not found</v>
      </c>
      <c r="AR1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1!$E:$E"")=$B168) *
        (IMPORTRANGE(""https://docs.google.com/spreadsheets/d/161aHT6vVT3SLneTKD19N5qVWtnj_jIT8CSsOmUVKmaA/e"&amp;"dit?gid=1761053510"",
          ""Haris_Form responses 1!$AQ:$AQ"")=1)
      ),
      1
    ),
    ""0""
  ),
  ""Form not found""
)
"),"0")</f>
        <v>0</v>
      </c>
      <c r="AS1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1!$E:$E"")=$B168) *
        (IMPORTRANGE(""https://docs.google.com/spreadsheets/d/161aHT6vVT3SLneTKD19N5qVWtnj_jIT8CSsOmUVKmaA/e"&amp;"dit?gid=1761053510"",
          ""Haris_Form responses 1!$AQ:$AQ"")=2)
      ),
      1
    ),
    ""0""
  ),
  ""Form not found""
)
"),"Form not found")</f>
        <v>Form not found</v>
      </c>
      <c r="AT1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1!$E:$E"")=$B168) *
        (IMPORTRANGE(""https://docs.google.com/spreadsheets/d/161aHT6vVT3SLneTKD19N5qVWtnj_jIT8CSsOmUVKmaA/e"&amp;"dit?gid=1761053510"",
          ""Haris_Form responses 1!$AQ:$AQ"")=3)
      ),
      1
    ),
    ""0""
  ),
  ""Form not found""
)
"),"0")</f>
        <v>0</v>
      </c>
      <c r="AU1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1!$E:$E"")=$B168) *
        (IMPORTRANGE(""https://docs.google.com/spreadsheets/d/161aHT6vVT3SLneTKD19N5qVWtnj_jIT8CSsOmUVKmaA/e"&amp;"dit?gid=1761053510"",
          ""Haris_Form responses 1!$AQ:$AQ"")=4)
      ),
      1
    ),
    ""0""
  ),
  ""Form not found""
)
"),"Form not found")</f>
        <v>Form not found</v>
      </c>
      <c r="AV1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1!$E:$E"")=$B168) *
        (IMPORTRANGE(""https://docs.google.com/spreadsheets/d/161aHT6vVT3SLneTKD19N5qVWtnj_jIT8CSsOmUVKmaA/e"&amp;"dit?gid=1761053510"",
          ""Haris_Form responses 1!$AQ:$AQ"")=5)
      ),
      1
    ),
    ""0""
  ),
  ""Form not found""
)
"),"Form not found")</f>
        <v>Form not found</v>
      </c>
      <c r="AW1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1!$E:$E"")=$B168) *
        (IMPORTRANGE(""https://docs.google.com/spreadsheets/d/161aHT6vVT3SLneTKD19N5qVWtnj_jIT8CSsOmUVKmaA/e"&amp;"dit?gid=1761053510"",
          ""Haris_Form responses 1!$AQ:$AQ"")=6)
      ),
      1
    ),
    ""0""
  ),
  ""Form not found""
)
"),"Form not found")</f>
        <v>Form not found</v>
      </c>
      <c r="AX1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1!$E:$E"")=$B168) *
        (IMPORTRANGE(""https://docs.google.com/spreadsheets/d/161aHT6vVT3SLneTKD19N5qVWtnj_jIT8CSsOmUVKmaA/e"&amp;"dit?gid=1761053510"",
          ""Haris_Form responses 1!$AQ:$AQ"")=1)
      ),
      1
    ),
    ""0""
  ),
  ""Form not found""
)
"),"0")</f>
        <v>0</v>
      </c>
      <c r="AY1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1!$E:$E"")=$B168) *
        (IMPORTRANGE(""https://docs.google.com/spreadsheets/d/161aHT6vVT3SLneTKD19N5qVWtnj_jIT8CSsOmUVKmaA/e"&amp;"dit?gid=1761053510"",
          ""Haris_Form responses 1!$AQ:$AQ"")=2)
      ),
      1
    ),
    ""0""
  ),
  ""Form not found""
)
"),"Form not found")</f>
        <v>Form not found</v>
      </c>
      <c r="AZ1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1!$E:$E"")=$B168) *
        (IMPORTRANGE(""https://docs.google.com/spreadsheets/d/161aHT6vVT3SLneTKD19N5qVWtnj_jIT8CSsOmUVKmaA/e"&amp;"dit?gid=1761053510"",
          ""Haris_Form responses 1!$AQ:$AQ"")=3)
      ),
      1
    ),
    ""0""
  ),
  ""Form not found""
)
"),"0")</f>
        <v>0</v>
      </c>
      <c r="BA1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1!$E:$E"")=$B168) *
        (IMPORTRANGE(""https://docs.google.com/spreadsheets/d/161aHT6vVT3SLneTKD19N5qVWtnj_jIT8CSsOmUVKmaA/e"&amp;"dit?gid=1761053510"",
          ""Haris_Form responses 1!$AQ:$AQ"")=4)
      ),
      1
    ),
    ""0""
  ),
  ""Form not found""
)
"),"Form not found")</f>
        <v>Form not found</v>
      </c>
      <c r="BB1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1!$E:$E"")=$B168) *
        (IMPORTRANGE(""https://docs.google.com/spreadsheets/d/161aHT6vVT3SLneTKD19N5qVWtnj_jIT8CSsOmUVKmaA/e"&amp;"dit?gid=1761053510"",
          ""Haris_Form responses 1!$AQ:$AQ"")=5)
      ),
      1
    ),
    ""0""
  ),
  ""Form not found""
)
"),"Form not found")</f>
        <v>Form not found</v>
      </c>
      <c r="BC1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1!$E:$E"")=$B168) *
        (IMPORTRANGE(""https://docs.google.com/spreadsheets/d/161aHT6vVT3SLneTKD19N5qVWtnj_jIT8CSsOmUVKmaA/e"&amp;"dit?gid=1761053510"",
          ""Haris_Form responses 1!$AQ:$AQ"")=6)
      ),
      1
    ),
    ""0""
  ),
  ""Form not found""
)
"),"Form not found")</f>
        <v>Form not found</v>
      </c>
      <c r="BD168" s="293"/>
    </row>
    <row r="169">
      <c r="A169" s="283" t="str">
        <f>IFERROR(__xludf.DUMMYFUNCTION("VLOOKUP($B169,IMPORTRANGE(""https://docs.google.com/spreadsheets/d/1VNXDITjs75AcgdBSW27oL1VZH31udDprJSsBcE5xlp4/edit?gid=1551188038#gid=1551188038"", ""Sheet9!$B:$E""),2,false)"),"Multan")</f>
        <v>Multan</v>
      </c>
      <c r="B169" s="283" t="s">
        <v>4613</v>
      </c>
      <c r="C169" s="284" t="str">
        <f>IFERROR(__xludf.DUMMYFUNCTION("VLOOKUP(TRIM($B169), IMPORTRANGE(""https://docs.google.com/spreadsheets/d/1aSOrU4PTpuBZqfitKaH1Rfww6-YOiNCKoBpPl8XBHaw/edit?gid=0#gid=0"", ""sheet3!$B:$C""), 2, FALSE)
"),"Jamia Masjid Bakar Abad Multan")</f>
        <v>Jamia Masjid Bakar Abad Multan</v>
      </c>
      <c r="D169" s="284" t="str">
        <f>IFERROR(__xludf.DUMMYFUNCTION("IFERROR(
  INDEX(
    FILTER(
      IMPORTRANGE(""1aSOrU4PTpuBZqfitKaH1Rfww6-YOiNCKoBpPl8XBHaw/edit?gid=0#gid=0"",""Sheet1!G:G""),
      IMPORTRANGE(""1aSOrU4PTpuBZqfitKaH1Rfww6-YOiNCKoBpPl8XBHaw/edit?gid=0#gid=0"",""Sheet1!C:C"")=$B169
    ),
    1
  ),
"&amp;"  ""Not Found""
)"),"Women Secular No Info Share")</f>
        <v>Women Secular No Info Share</v>
      </c>
      <c r="E169" s="284" t="str">
        <f>VLOOKUP(B169,'Juma Recording forms'!A:E,5,false)</f>
        <v>Yes</v>
      </c>
      <c r="F169" s="284" t="str">
        <f>IFERROR(__xludf.DUMMYFUNCTION("IFERROR(
  INDEX(
    FILTER(
      IMPORTRANGE(""1Cxrhp3-_-HS7v9uuqQliiIfrmMP4VaFoDNDWyUFy2J8/edit?gid=0#gid=0"",""Sheet1!Q:Q""),
      IMPORTRANGE(""1Cxrhp3-_-HS7v9uuqQliiIfrmMP4VaFoDNDWyUFy2J8/edit?gid=0#gid=0"",""Sheet1!K:K"")=$B169
    ),
    1
  ),
"&amp;"  ""Not Found""
)"),"Aziz ur rehman")</f>
        <v>Aziz ur rehman</v>
      </c>
      <c r="G169" s="284">
        <v>1726.0</v>
      </c>
      <c r="H169" s="284"/>
      <c r="I169" s="285" t="s">
        <v>197</v>
      </c>
      <c r="J169" s="286">
        <v>2.0</v>
      </c>
      <c r="K169" s="287" t="str">
        <f>VLOOKUP($B169,'Mosque Locations'!$A:$E,3,FALSE)
</f>
        <v>https://maps.google.com/maps?q=30.2041953%2C71.5200364&amp;z=17&amp;hl=en</v>
      </c>
      <c r="L169" s="286">
        <f>VLOOKUP($B169,'Mosque Locations'!$A:$E,4,FALSE)
</f>
        <v>30.2042</v>
      </c>
      <c r="M169" s="286">
        <f>VLOOKUP($B169,'Mosque Locations'!$A:$E,5,false)</f>
        <v>71.52004</v>
      </c>
      <c r="N169" s="288"/>
      <c r="O169" s="288"/>
      <c r="P169" s="288"/>
      <c r="Q169" s="289" t="str">
        <f>IFERROR(__xludf.DUMMYFUNCTION("IFERROR(
  INDEX(
    FILTER(
      IMPORTRANGE(""1kOrIKZmJfNUkgOVP3sI9BPjaaPA0_a4636oymQxTXg8"",""Form Responses 1!N:N""),
      TRIM(IMPORTRANGE(""1kOrIKZmJfNUkgOVP3sI9BPjaaPA0_a4636oymQxTXg8"",""Form Responses 1!F:F""))=TRIM($B169)
    ),
    1
  ),
  "&amp;"""Not Found""
)
"),"https://drive.google.com/open?id=1h5CbVz3oZa2HFtsN7Oo2e-bKjB50WiZ2")</f>
        <v>https://drive.google.com/open?id=1h5CbVz3oZa2HFtsN7Oo2e-bKjB50WiZ2</v>
      </c>
      <c r="R169" s="289" t="str">
        <f>IFERROR(__xludf.DUMMYFUNCTION("IFERROR(
  INDEX(
    FILTER(
      IMPORTRANGE(""1kOrIKZmJfNUkgOVP3sI9BPjaaPA0_a4636oymQxTXg8"",""Form Responses 1!M:M""),
      TRIM(IMPORTRANGE(""1kOrIKZmJfNUkgOVP3sI9BPjaaPA0_a4636oymQxTXg8"",""Form Responses 1!F:F""))=TRIM($B169)
    ),
    1
  ),
  "&amp;"""Not Found""
)
"),"https://drive.google.com/open?id=1ya4ECm4wFQOML9htpH4e_tmHF7T7Y2uT")</f>
        <v>https://drive.google.com/open?id=1ya4ECm4wFQOML9htpH4e_tmHF7T7Y2uT</v>
      </c>
      <c r="S169" s="285"/>
      <c r="T169" s="290" t="str">
        <f>VLOOKUP($B169,'Master Tracker'!D:E,2,false)</f>
        <v>https://drive.google.com/open?id=18Ftz7IABuUeNWuhj33Wt2Qwhr8deAV0b</v>
      </c>
      <c r="U169" s="291" t="str">
        <f>VLOOKUP($B169,'Master Tracker'!$D:$T,4,FALSE)
</f>
        <v>https://drive.google.com/open?id=10CGEHxL8pgLDagXgw-mPNCsVUF5uZYDh652hUYdke9E</v>
      </c>
      <c r="V169" s="290" t="str">
        <f>VLOOKUP($B169,'Master Tracker'!$D:$T,5,false)</f>
        <v>https://drive.google.com/open?id=17hwW80URiVXWllrI8VxoZlyjv88HPKZf</v>
      </c>
      <c r="W169" s="291" t="str">
        <f>VLOOKUP($B169,'Master Tracker'!$D:$T,7,false)</f>
        <v>https://drive.google.com/open?id=1OCMqTnzumJXH-xUof9RJM5vZU924k5gc</v>
      </c>
      <c r="X169" s="290" t="str">
        <f>VLOOKUP($B169,'Master Tracker'!$D:$T,8,false)</f>
        <v>https://drive.google.com/open?id=1LPC4xmPcL7971R7UuYxwpjD95BHD6HF7</v>
      </c>
      <c r="Y169" s="291" t="str">
        <f>VLOOKUP($B169,'Master Tracker'!$D:$T,10,false)</f>
        <v>https://drive.google.com/open?id=1lhsjHREgRIZj9pELR3tRb7RLlhOMNflK</v>
      </c>
      <c r="Z169" s="284" t="str">
        <f>VLOOKUP($B169,'Master Tracker'!$D:$T,11,false)</f>
        <v>Not Found</v>
      </c>
      <c r="AA169" s="292" t="str">
        <f>VLOOKUP($B169,'Master Tracker'!$D:$T,13,false)</f>
        <v>Not Found</v>
      </c>
      <c r="AB169" s="284" t="str">
        <f>VLOOKUP($B169,'Master Tracker'!$D:$T,14,false)</f>
        <v>Not Found</v>
      </c>
      <c r="AC169" s="292" t="str">
        <f>VLOOKUP($B169,'Master Tracker'!$D:$T,16,false)</f>
        <v>Not Found</v>
      </c>
      <c r="AD169" s="292" t="str">
        <f>VLOOKUP($B169,'Master Tracker'!$D:$T,17,false)</f>
        <v>Not Found</v>
      </c>
      <c r="AE169" s="292" t="str">
        <f>VLOOKUP($B169,'Master Tracker'!$D:$V,19,false)</f>
        <v>Not Found</v>
      </c>
      <c r="AF169" s="292">
        <f>IFERROR(__xludf.DUMMYFUNCTION("IFERROR(
  INDEX(
    FILTER(
      'Juma Recording forms'!$G:$G,
      TRIM('Juma Recording forms'!$F:$F) = TRIM($B169),
      'Juma Recording forms'!$AA:$AA = 1
    ),
    1
  ),
  ""Not Found""
)"),809.0)</f>
        <v>809</v>
      </c>
      <c r="AG169" s="292">
        <f>IFERROR(__xludf.DUMMYFUNCTION("IFERROR(
  INDEX(
    FILTER(
      'Juma Recording forms'!$G:$G,
      TRIM('Juma Recording forms'!$F:$F) = TRIM($B169),
      'Juma Recording forms'!$AA:$AA = 2
    ),
    1
  ),
  ""Not Found""
)"),825.0)</f>
        <v>825</v>
      </c>
      <c r="AH169" s="292">
        <f>IFERROR(__xludf.DUMMYFUNCTION("IFERROR(
  INDEX(
    FILTER(
      'Juma Recording forms'!$G:$G,
      TRIM('Juma Recording forms'!$F:$F) = TRIM($B169),
      'Juma Recording forms'!$AA:$AA = 3
    ),
    1
  ),
  ""Not Found""
)"),885.0)</f>
        <v>885</v>
      </c>
      <c r="AI169" s="292" t="str">
        <f>IFERROR(__xludf.DUMMYFUNCTION("IFERROR(
  INDEX(
    FILTER(
      'Juma Recording forms'!$G:$G,
      TRIM('Juma Recording forms'!$F:$F) = TRIM($B169),
      'Juma Recording forms'!$AA:$AA = 4
    ),
    1
  ),
  ""Not Found""
)"),"Not Found")</f>
        <v>Not Found</v>
      </c>
      <c r="AJ169" s="292" t="str">
        <f>IFERROR(__xludf.DUMMYFUNCTION("IFERROR(
  INDEX(
    FILTER(
      'Juma Recording forms'!$G:$G,
      TRIM('Juma Recording forms'!$F:$F) = TRIM($B169),
      'Juma Recording forms'!$AA:$AA = 5
    ),
    1
  ),
  ""Not Found""
)"),"Not Found")</f>
        <v>Not Found</v>
      </c>
      <c r="AK169" s="292" t="str">
        <f>IFERROR(__xludf.DUMMYFUNCTION("IFERROR(
  INDEX(
    FILTER(
      'Juma Recording forms'!$G:$G,
      TRIM('Juma Recording forms'!$F:$F) = TRIM($B169),
      'Juma Recording forms'!$AA:$AA = 6
    ),
    1
  ),
  ""Not Found""
)"),"Not Found")</f>
        <v>Not Found</v>
      </c>
      <c r="AL1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1!$E:$E"")=$B169) *
        (IMPORTRANGE(""https://docs.google.com/spreadsheets/d/161aHT6vVT3SLneTKD19N5qVWtnj_jIT8CSsOmUVKmaA/e"&amp;"dit?gid=1761053510"",
          ""Haris_Form responses 1!$AQ:$AQ"")=1)
      ),
      1
    ),
    ""0""
  ),
  ""Form not found""
)
"),"10")</f>
        <v>10</v>
      </c>
      <c r="AM1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1!$E:$E"")=$B169) *
        (IMPORTRANGE(""https://docs.google.com/spreadsheets/d/161aHT6vVT3SLneTKD19N5qVWtnj_jIT8CSsOmUVKmaA/e"&amp;"dit?gid=1761053510"",
          ""Haris_Form responses 1!$AQ:$AQ"")=2)
      ),
      1
    ),
    ""0""
  ),
  ""Form not found""
)
"),"10")</f>
        <v>10</v>
      </c>
      <c r="AN1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1!$E:$E"")=$B169) *
        (IMPORTRANGE(""https://docs.google.com/spreadsheets/d/161aHT6vVT3SLneTKD19N5qVWtnj_jIT8CSsOmUVKmaA/e"&amp;"dit?gid=1761053510"",
          ""Haris_Form responses 1!$AQ:$AQ"")=3)
      ),
      1
    ),
    ""0""
  ),
  ""Form not found""
)
"),"0")</f>
        <v>0</v>
      </c>
      <c r="AO1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1!$E:$E"")=$B169) *
        (IMPORTRANGE(""https://docs.google.com/spreadsheets/d/161aHT6vVT3SLneTKD19N5qVWtnj_jIT8CSsOmUVKmaA/e"&amp;"dit?gid=1761053510"",
          ""Haris_Form responses 1!$AQ:$AQ"")=4)
      ),
      1
    ),
    ""0""
  ),
  ""Form not found""
)
"),"Form not found")</f>
        <v>Form not found</v>
      </c>
      <c r="AP1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1!$E:$E"")=$B169) *
        (IMPORTRANGE(""https://docs.google.com/spreadsheets/d/161aHT6vVT3SLneTKD19N5qVWtnj_jIT8CSsOmUVKmaA/e"&amp;"dit?gid=1761053510"",
          ""Haris_Form responses 1!$AQ:$AQ"")=5)
      ),
      1
    ),
    ""0""
  ),
  ""Form not found""
)
"),"Form not found")</f>
        <v>Form not found</v>
      </c>
      <c r="AQ1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1!$E:$E"")=$B169) *
        (IMPORTRANGE(""https://docs.google.com/spreadsheets/d/161aHT6vVT3SLneTKD19N5qVWtnj_jIT8CSsOmUVKmaA/e"&amp;"dit?gid=1761053510"",
          ""Haris_Form responses 1!$AQ:$AQ"")=6)
      ),
      1
    ),
    ""0""
  ),
  ""Form not found""
)
"),"Form not found")</f>
        <v>Form not found</v>
      </c>
      <c r="AR1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1!$E:$E"")=$B169) *
        (IMPORTRANGE(""https://docs.google.com/spreadsheets/d/161aHT6vVT3SLneTKD19N5qVWtnj_jIT8CSsOmUVKmaA/e"&amp;"dit?gid=1761053510"",
          ""Haris_Form responses 1!$AQ:$AQ"")=1)
      ),
      1
    ),
    ""0""
  ),
  ""Form not found""
)
"),"0")</f>
        <v>0</v>
      </c>
      <c r="AS1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1!$E:$E"")=$B169) *
        (IMPORTRANGE(""https://docs.google.com/spreadsheets/d/161aHT6vVT3SLneTKD19N5qVWtnj_jIT8CSsOmUVKmaA/e"&amp;"dit?gid=1761053510"",
          ""Haris_Form responses 1!$AQ:$AQ"")=2)
      ),
      1
    ),
    ""0""
  ),
  ""Form not found""
)
"),"0")</f>
        <v>0</v>
      </c>
      <c r="AT1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1!$E:$E"")=$B169) *
        (IMPORTRANGE(""https://docs.google.com/spreadsheets/d/161aHT6vVT3SLneTKD19N5qVWtnj_jIT8CSsOmUVKmaA/e"&amp;"dit?gid=1761053510"",
          ""Haris_Form responses 1!$AQ:$AQ"")=3)
      ),
      1
    ),
    ""0""
  ),
  ""Form not found""
)
"),"0")</f>
        <v>0</v>
      </c>
      <c r="AU1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1!$E:$E"")=$B169) *
        (IMPORTRANGE(""https://docs.google.com/spreadsheets/d/161aHT6vVT3SLneTKD19N5qVWtnj_jIT8CSsOmUVKmaA/e"&amp;"dit?gid=1761053510"",
          ""Haris_Form responses 1!$AQ:$AQ"")=4)
      ),
      1
    ),
    ""0""
  ),
  ""Form not found""
)
"),"Form not found")</f>
        <v>Form not found</v>
      </c>
      <c r="AV1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1!$E:$E"")=$B169) *
        (IMPORTRANGE(""https://docs.google.com/spreadsheets/d/161aHT6vVT3SLneTKD19N5qVWtnj_jIT8CSsOmUVKmaA/e"&amp;"dit?gid=1761053510"",
          ""Haris_Form responses 1!$AQ:$AQ"")=5)
      ),
      1
    ),
    ""0""
  ),
  ""Form not found""
)
"),"Form not found")</f>
        <v>Form not found</v>
      </c>
      <c r="AW1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1!$E:$E"")=$B169) *
        (IMPORTRANGE(""https://docs.google.com/spreadsheets/d/161aHT6vVT3SLneTKD19N5qVWtnj_jIT8CSsOmUVKmaA/e"&amp;"dit?gid=1761053510"",
          ""Haris_Form responses 1!$AQ:$AQ"")=6)
      ),
      1
    ),
    ""0""
  ),
  ""Form not found""
)
"),"Form not found")</f>
        <v>Form not found</v>
      </c>
      <c r="AX1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1!$E:$E"")=$B169) *
        (IMPORTRANGE(""https://docs.google.com/spreadsheets/d/161aHT6vVT3SLneTKD19N5qVWtnj_jIT8CSsOmUVKmaA/e"&amp;"dit?gid=1761053510"",
          ""Haris_Form responses 1!$AQ:$AQ"")=1)
      ),
      1
    ),
    ""0""
  ),
  ""Form not found""
)
"),"10")</f>
        <v>10</v>
      </c>
      <c r="AY1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1!$E:$E"")=$B169) *
        (IMPORTRANGE(""https://docs.google.com/spreadsheets/d/161aHT6vVT3SLneTKD19N5qVWtnj_jIT8CSsOmUVKmaA/e"&amp;"dit?gid=1761053510"",
          ""Haris_Form responses 1!$AQ:$AQ"")=2)
      ),
      1
    ),
    ""0""
  ),
  ""Form not found""
)
"),"10")</f>
        <v>10</v>
      </c>
      <c r="AZ1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1!$E:$E"")=$B169) *
        (IMPORTRANGE(""https://docs.google.com/spreadsheets/d/161aHT6vVT3SLneTKD19N5qVWtnj_jIT8CSsOmUVKmaA/e"&amp;"dit?gid=1761053510"",
          ""Haris_Form responses 1!$AQ:$AQ"")=3)
      ),
      1
    ),
    ""0""
  ),
  ""Form not found""
)
"),"0")</f>
        <v>0</v>
      </c>
      <c r="BA1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1!$E:$E"")=$B169) *
        (IMPORTRANGE(""https://docs.google.com/spreadsheets/d/161aHT6vVT3SLneTKD19N5qVWtnj_jIT8CSsOmUVKmaA/e"&amp;"dit?gid=1761053510"",
          ""Haris_Form responses 1!$AQ:$AQ"")=4)
      ),
      1
    ),
    ""0""
  ),
  ""Form not found""
)
"),"Form not found")</f>
        <v>Form not found</v>
      </c>
      <c r="BB1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1!$E:$E"")=$B169) *
        (IMPORTRANGE(""https://docs.google.com/spreadsheets/d/161aHT6vVT3SLneTKD19N5qVWtnj_jIT8CSsOmUVKmaA/e"&amp;"dit?gid=1761053510"",
          ""Haris_Form responses 1!$AQ:$AQ"")=5)
      ),
      1
    ),
    ""0""
  ),
  ""Form not found""
)
"),"Form not found")</f>
        <v>Form not found</v>
      </c>
      <c r="BC1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1!$E:$E"")=$B169) *
        (IMPORTRANGE(""https://docs.google.com/spreadsheets/d/161aHT6vVT3SLneTKD19N5qVWtnj_jIT8CSsOmUVKmaA/e"&amp;"dit?gid=1761053510"",
          ""Haris_Form responses 1!$AQ:$AQ"")=6)
      ),
      1
    ),
    ""0""
  ),
  ""Form not found""
)
"),"Form not found")</f>
        <v>Form not found</v>
      </c>
      <c r="BD169" s="293"/>
    </row>
    <row r="170">
      <c r="A170" s="283" t="str">
        <f>IFERROR(__xludf.DUMMYFUNCTION("VLOOKUP($B170,IMPORTRANGE(""https://docs.google.com/spreadsheets/d/1VNXDITjs75AcgdBSW27oL1VZH31udDprJSsBcE5xlp4/edit?gid=1551188038#gid=1551188038"", ""Sheet9!$B:$E""),2,false)"),"Multan")</f>
        <v>Multan</v>
      </c>
      <c r="B170" s="283" t="s">
        <v>4614</v>
      </c>
      <c r="C170" s="284" t="str">
        <f>IFERROR(__xludf.DUMMYFUNCTION("VLOOKUP(TRIM($B170), IMPORTRANGE(""https://docs.google.com/spreadsheets/d/1aSOrU4PTpuBZqfitKaH1Rfww6-YOiNCKoBpPl8XBHaw/edit?gid=0#gid=0"", ""sheet3!$B:$C""), 2, FALSE)
"),"Jamia Masjid Phonagra Nawali Multan")</f>
        <v>Jamia Masjid Phonagra Nawali Multan</v>
      </c>
      <c r="D170" s="284" t="str">
        <f>IFERROR(__xludf.DUMMYFUNCTION("IFERROR(
  INDEX(
    FILTER(
      IMPORTRANGE(""1aSOrU4PTpuBZqfitKaH1Rfww6-YOiNCKoBpPl8XBHaw/edit?gid=0#gid=0"",""Sheet1!G:G""),
      IMPORTRANGE(""1aSOrU4PTpuBZqfitKaH1Rfww6-YOiNCKoBpPl8XBHaw/edit?gid=0#gid=0"",""Sheet1!C:C"")=$B170
    ),
    1
  ),
"&amp;"  ""Not Found""
)"),"Women Secular No Info Share")</f>
        <v>Women Secular No Info Share</v>
      </c>
      <c r="E170" s="284" t="str">
        <f>VLOOKUP(B170,'Juma Recording forms'!A:E,5,false)</f>
        <v>JAMIA masjid phonagran wali </v>
      </c>
      <c r="F170" s="284" t="str">
        <f>IFERROR(__xludf.DUMMYFUNCTION("IFERROR(
  INDEX(
    FILTER(
      IMPORTRANGE(""1Cxrhp3-_-HS7v9uuqQliiIfrmMP4VaFoDNDWyUFy2J8/edit?gid=0#gid=0"",""Sheet1!Q:Q""),
      IMPORTRANGE(""1Cxrhp3-_-HS7v9uuqQliiIfrmMP4VaFoDNDWyUFy2J8/edit?gid=0#gid=0"",""Sheet1!K:K"")=$B170
    ),
    1
  ),
"&amp;"  ""Not Found""
)"),"Molana hafeez u rahman")</f>
        <v>Molana hafeez u rahman</v>
      </c>
      <c r="G170" s="284">
        <v>1910.0</v>
      </c>
      <c r="H170" s="284"/>
      <c r="I170" s="285" t="s">
        <v>197</v>
      </c>
      <c r="J170" s="286">
        <v>2.0</v>
      </c>
      <c r="K170" s="287" t="str">
        <f>VLOOKUP($B170,'Mosque Locations'!$A:$E,3,FALSE)
</f>
        <v>https://www.google.com/maps/place/30%C2%B011'38.6%22N+71%C2%B028'25.0%22E/@30.1940506,71.4710374,17z/data=!3m1!4b1!4m4!3m3!8m2!3d30.1940506!4d71.4736123?entry=ttu&amp;g_ep=EgoyMDI1MTExNy4wIKXMDSoASAFQAw%3D%3D</v>
      </c>
      <c r="L170" s="286">
        <f>VLOOKUP($B170,'Mosque Locations'!$A:$E,4,FALSE)
</f>
        <v>30.19405</v>
      </c>
      <c r="M170" s="286">
        <f>VLOOKUP($B170,'Mosque Locations'!$A:$E,5,false)</f>
        <v>71.47361</v>
      </c>
      <c r="N170" s="288"/>
      <c r="O170" s="288"/>
      <c r="P170" s="288"/>
      <c r="Q170" s="289" t="str">
        <f>IFERROR(__xludf.DUMMYFUNCTION("IFERROR(
  INDEX(
    FILTER(
      IMPORTRANGE(""1kOrIKZmJfNUkgOVP3sI9BPjaaPA0_a4636oymQxTXg8"",""Form Responses 1!N:N""),
      TRIM(IMPORTRANGE(""1kOrIKZmJfNUkgOVP3sI9BPjaaPA0_a4636oymQxTXg8"",""Form Responses 1!F:F""))=TRIM($B170)
    ),
    1
  ),
  "&amp;"""Not Found""
)
"),"https://drive.google.com/open?id=11e98Musk4qWnoWdLvdHIxkmyvt-ml7aW")</f>
        <v>https://drive.google.com/open?id=11e98Musk4qWnoWdLvdHIxkmyvt-ml7aW</v>
      </c>
      <c r="R170" s="289" t="str">
        <f>IFERROR(__xludf.DUMMYFUNCTION("IFERROR(
  INDEX(
    FILTER(
      IMPORTRANGE(""1kOrIKZmJfNUkgOVP3sI9BPjaaPA0_a4636oymQxTXg8"",""Form Responses 1!M:M""),
      TRIM(IMPORTRANGE(""1kOrIKZmJfNUkgOVP3sI9BPjaaPA0_a4636oymQxTXg8"",""Form Responses 1!F:F""))=TRIM($B170)
    ),
    1
  ),
  "&amp;"""Not Found""
)
"),"https://drive.google.com/open?id=1zqOvC-UgXhjWj6w9eQFXdI92VVUKjOeT")</f>
        <v>https://drive.google.com/open?id=1zqOvC-UgXhjWj6w9eQFXdI92VVUKjOeT</v>
      </c>
      <c r="S170" s="285"/>
      <c r="T170" s="290" t="str">
        <f>VLOOKUP($B170,'Master Tracker'!D:E,2,false)</f>
        <v>https://drive.google.com/open?id=1rYmgd0sapKC48_nzXVcY28tOMgt1yZbY</v>
      </c>
      <c r="U170" s="291" t="str">
        <f>VLOOKUP($B170,'Master Tracker'!$D:$T,4,FALSE)
</f>
        <v>https://drive.google.com/open?id=1pkMtu0EKDhAuH23b7H8c3SB4HP3nCfwpRQwiTFhllKE</v>
      </c>
      <c r="V170" s="290" t="str">
        <f>VLOOKUP($B170,'Master Tracker'!$D:$T,5,false)</f>
        <v>https://drive.google.com/open?id=16mwG-Hh5V5nUdRQyyqnuS_d-b1Qm9y7d</v>
      </c>
      <c r="W170" s="291" t="str">
        <f>VLOOKUP($B170,'Master Tracker'!$D:$T,7,false)</f>
        <v>https://drive.google.com/open?id=1ES1MLuO-C3SgskZteq_zJfpAaV1YgUCS</v>
      </c>
      <c r="X170" s="290" t="str">
        <f>VLOOKUP($B170,'Master Tracker'!$D:$T,8,false)</f>
        <v>https://drive.google.com/open?id=1tiAA17pFz5VV6GX6grByAdaZv33SozyJ</v>
      </c>
      <c r="Y170" s="291" t="str">
        <f>VLOOKUP($B170,'Master Tracker'!$D:$T,10,false)</f>
        <v>https://drive.google.com/open?id=1i-N9z9fJJ4boY4x6XLgMoZ4EmJWHjKmr</v>
      </c>
      <c r="Z170" s="284" t="str">
        <f>VLOOKUP($B170,'Master Tracker'!$D:$T,11,false)</f>
        <v>Not Found</v>
      </c>
      <c r="AA170" s="292" t="str">
        <f>VLOOKUP($B170,'Master Tracker'!$D:$T,13,false)</f>
        <v>Not Found</v>
      </c>
      <c r="AB170" s="284" t="str">
        <f>VLOOKUP($B170,'Master Tracker'!$D:$T,14,false)</f>
        <v>Not Found</v>
      </c>
      <c r="AC170" s="292" t="str">
        <f>VLOOKUP($B170,'Master Tracker'!$D:$T,16,false)</f>
        <v>Not Found</v>
      </c>
      <c r="AD170" s="292" t="str">
        <f>VLOOKUP($B170,'Master Tracker'!$D:$T,17,false)</f>
        <v>Not Found</v>
      </c>
      <c r="AE170" s="292" t="str">
        <f>VLOOKUP($B170,'Master Tracker'!$D:$V,19,false)</f>
        <v>Not Found</v>
      </c>
      <c r="AF170" s="292">
        <f>IFERROR(__xludf.DUMMYFUNCTION("IFERROR(
  INDEX(
    FILTER(
      'Juma Recording forms'!$G:$G,
      TRIM('Juma Recording forms'!$F:$F) = TRIM($B170),
      'Juma Recording forms'!$AA:$AA = 1
    ),
    1
  ),
  ""Not Found""
)"),87.0)</f>
        <v>87</v>
      </c>
      <c r="AG170" s="292">
        <f>IFERROR(__xludf.DUMMYFUNCTION("IFERROR(
  INDEX(
    FILTER(
      'Juma Recording forms'!$G:$G,
      TRIM('Juma Recording forms'!$F:$F) = TRIM($B170),
      'Juma Recording forms'!$AA:$AA = 2
    ),
    1
  ),
  ""Not Found""
)"),89.0)</f>
        <v>89</v>
      </c>
      <c r="AH170" s="292">
        <f>IFERROR(__xludf.DUMMYFUNCTION("IFERROR(
  INDEX(
    FILTER(
      'Juma Recording forms'!$G:$G,
      TRIM('Juma Recording forms'!$F:$F) = TRIM($B170),
      'Juma Recording forms'!$AA:$AA = 3
    ),
    1
  ),
  ""Not Found""
)"),81.0)</f>
        <v>81</v>
      </c>
      <c r="AI170" s="292" t="str">
        <f>IFERROR(__xludf.DUMMYFUNCTION("IFERROR(
  INDEX(
    FILTER(
      'Juma Recording forms'!$G:$G,
      TRIM('Juma Recording forms'!$F:$F) = TRIM($B170),
      'Juma Recording forms'!$AA:$AA = 4
    ),
    1
  ),
  ""Not Found""
)"),"Not Found")</f>
        <v>Not Found</v>
      </c>
      <c r="AJ170" s="292" t="str">
        <f>IFERROR(__xludf.DUMMYFUNCTION("IFERROR(
  INDEX(
    FILTER(
      'Juma Recording forms'!$G:$G,
      TRIM('Juma Recording forms'!$F:$F) = TRIM($B170),
      'Juma Recording forms'!$AA:$AA = 5
    ),
    1
  ),
  ""Not Found""
)"),"Not Found")</f>
        <v>Not Found</v>
      </c>
      <c r="AK170" s="292" t="str">
        <f>IFERROR(__xludf.DUMMYFUNCTION("IFERROR(
  INDEX(
    FILTER(
      'Juma Recording forms'!$G:$G,
      TRIM('Juma Recording forms'!$F:$F) = TRIM($B170),
      'Juma Recording forms'!$AA:$AA = 6
    ),
    1
  ),
  ""Not Found""
)"),"Not Found")</f>
        <v>Not Found</v>
      </c>
      <c r="AL1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1!$E:$E"")=$B170) *
        (IMPORTRANGE(""https://docs.google.com/spreadsheets/d/161aHT6vVT3SLneTKD19N5qVWtnj_jIT8CSsOmUVKmaA/e"&amp;"dit?gid=1761053510"",
          ""Haris_Form responses 1!$AQ:$AQ"")=1)
      ),
      1
    ),
    ""0""
  ),
  ""Form not found""
)
"),"10")</f>
        <v>10</v>
      </c>
      <c r="AM1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1!$E:$E"")=$B170) *
        (IMPORTRANGE(""https://docs.google.com/spreadsheets/d/161aHT6vVT3SLneTKD19N5qVWtnj_jIT8CSsOmUVKmaA/e"&amp;"dit?gid=1761053510"",
          ""Haris_Form responses 1!$AQ:$AQ"")=2)
      ),
      1
    ),
    ""0""
  ),
  ""Form not found""
)
"),"10")</f>
        <v>10</v>
      </c>
      <c r="AN1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1!$E:$E"")=$B170) *
        (IMPORTRANGE(""https://docs.google.com/spreadsheets/d/161aHT6vVT3SLneTKD19N5qVWtnj_jIT8CSsOmUVKmaA/e"&amp;"dit?gid=1761053510"",
          ""Haris_Form responses 1!$AQ:$AQ"")=3)
      ),
      1
    ),
    ""0""
  ),
  ""Form not found""
)
"),"0")</f>
        <v>0</v>
      </c>
      <c r="AO1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1!$E:$E"")=$B170) *
        (IMPORTRANGE(""https://docs.google.com/spreadsheets/d/161aHT6vVT3SLneTKD19N5qVWtnj_jIT8CSsOmUVKmaA/e"&amp;"dit?gid=1761053510"",
          ""Haris_Form responses 1!$AQ:$AQ"")=4)
      ),
      1
    ),
    ""0""
  ),
  ""Form not found""
)
"),"Form not found")</f>
        <v>Form not found</v>
      </c>
      <c r="AP1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1!$E:$E"")=$B170) *
        (IMPORTRANGE(""https://docs.google.com/spreadsheets/d/161aHT6vVT3SLneTKD19N5qVWtnj_jIT8CSsOmUVKmaA/e"&amp;"dit?gid=1761053510"",
          ""Haris_Form responses 1!$AQ:$AQ"")=5)
      ),
      1
    ),
    ""0""
  ),
  ""Form not found""
)
"),"Form not found")</f>
        <v>Form not found</v>
      </c>
      <c r="AQ1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1!$E:$E"")=$B170) *
        (IMPORTRANGE(""https://docs.google.com/spreadsheets/d/161aHT6vVT3SLneTKD19N5qVWtnj_jIT8CSsOmUVKmaA/e"&amp;"dit?gid=1761053510"",
          ""Haris_Form responses 1!$AQ:$AQ"")=6)
      ),
      1
    ),
    ""0""
  ),
  ""Form not found""
)
"),"Form not found")</f>
        <v>Form not found</v>
      </c>
      <c r="AR1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1!$E:$E"")=$B170) *
        (IMPORTRANGE(""https://docs.google.com/spreadsheets/d/161aHT6vVT3SLneTKD19N5qVWtnj_jIT8CSsOmUVKmaA/e"&amp;"dit?gid=1761053510"",
          ""Haris_Form responses 1!$AQ:$AQ"")=1)
      ),
      1
    ),
    ""0""
  ),
  ""Form not found""
)
"),"0")</f>
        <v>0</v>
      </c>
      <c r="AS1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1!$E:$E"")=$B170) *
        (IMPORTRANGE(""https://docs.google.com/spreadsheets/d/161aHT6vVT3SLneTKD19N5qVWtnj_jIT8CSsOmUVKmaA/e"&amp;"dit?gid=1761053510"",
          ""Haris_Form responses 1!$AQ:$AQ"")=2)
      ),
      1
    ),
    ""0""
  ),
  ""Form not found""
)
"),"0")</f>
        <v>0</v>
      </c>
      <c r="AT1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1!$E:$E"")=$B170) *
        (IMPORTRANGE(""https://docs.google.com/spreadsheets/d/161aHT6vVT3SLneTKD19N5qVWtnj_jIT8CSsOmUVKmaA/e"&amp;"dit?gid=1761053510"",
          ""Haris_Form responses 1!$AQ:$AQ"")=3)
      ),
      1
    ),
    ""0""
  ),
  ""Form not found""
)
"),"0")</f>
        <v>0</v>
      </c>
      <c r="AU1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1!$E:$E"")=$B170) *
        (IMPORTRANGE(""https://docs.google.com/spreadsheets/d/161aHT6vVT3SLneTKD19N5qVWtnj_jIT8CSsOmUVKmaA/e"&amp;"dit?gid=1761053510"",
          ""Haris_Form responses 1!$AQ:$AQ"")=4)
      ),
      1
    ),
    ""0""
  ),
  ""Form not found""
)
"),"Form not found")</f>
        <v>Form not found</v>
      </c>
      <c r="AV1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1!$E:$E"")=$B170) *
        (IMPORTRANGE(""https://docs.google.com/spreadsheets/d/161aHT6vVT3SLneTKD19N5qVWtnj_jIT8CSsOmUVKmaA/e"&amp;"dit?gid=1761053510"",
          ""Haris_Form responses 1!$AQ:$AQ"")=5)
      ),
      1
    ),
    ""0""
  ),
  ""Form not found""
)
"),"Form not found")</f>
        <v>Form not found</v>
      </c>
      <c r="AW1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1!$E:$E"")=$B170) *
        (IMPORTRANGE(""https://docs.google.com/spreadsheets/d/161aHT6vVT3SLneTKD19N5qVWtnj_jIT8CSsOmUVKmaA/e"&amp;"dit?gid=1761053510"",
          ""Haris_Form responses 1!$AQ:$AQ"")=6)
      ),
      1
    ),
    ""0""
  ),
  ""Form not found""
)
"),"Form not found")</f>
        <v>Form not found</v>
      </c>
      <c r="AX1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1!$E:$E"")=$B170) *
        (IMPORTRANGE(""https://docs.google.com/spreadsheets/d/161aHT6vVT3SLneTKD19N5qVWtnj_jIT8CSsOmUVKmaA/e"&amp;"dit?gid=1761053510"",
          ""Haris_Form responses 1!$AQ:$AQ"")=1)
      ),
      1
    ),
    ""0""
  ),
  ""Form not found""
)
"),"10")</f>
        <v>10</v>
      </c>
      <c r="AY1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1!$E:$E"")=$B170) *
        (IMPORTRANGE(""https://docs.google.com/spreadsheets/d/161aHT6vVT3SLneTKD19N5qVWtnj_jIT8CSsOmUVKmaA/e"&amp;"dit?gid=1761053510"",
          ""Haris_Form responses 1!$AQ:$AQ"")=2)
      ),
      1
    ),
    ""0""
  ),
  ""Form not found""
)
"),"10")</f>
        <v>10</v>
      </c>
      <c r="AZ1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1!$E:$E"")=$B170) *
        (IMPORTRANGE(""https://docs.google.com/spreadsheets/d/161aHT6vVT3SLneTKD19N5qVWtnj_jIT8CSsOmUVKmaA/e"&amp;"dit?gid=1761053510"",
          ""Haris_Form responses 1!$AQ:$AQ"")=3)
      ),
      1
    ),
    ""0""
  ),
  ""Form not found""
)
"),"0")</f>
        <v>0</v>
      </c>
      <c r="BA1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1!$E:$E"")=$B170) *
        (IMPORTRANGE(""https://docs.google.com/spreadsheets/d/161aHT6vVT3SLneTKD19N5qVWtnj_jIT8CSsOmUVKmaA/e"&amp;"dit?gid=1761053510"",
          ""Haris_Form responses 1!$AQ:$AQ"")=4)
      ),
      1
    ),
    ""0""
  ),
  ""Form not found""
)
"),"Form not found")</f>
        <v>Form not found</v>
      </c>
      <c r="BB1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1!$E:$E"")=$B170) *
        (IMPORTRANGE(""https://docs.google.com/spreadsheets/d/161aHT6vVT3SLneTKD19N5qVWtnj_jIT8CSsOmUVKmaA/e"&amp;"dit?gid=1761053510"",
          ""Haris_Form responses 1!$AQ:$AQ"")=5)
      ),
      1
    ),
    ""0""
  ),
  ""Form not found""
)
"),"Form not found")</f>
        <v>Form not found</v>
      </c>
      <c r="BC1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1!$E:$E"")=$B170) *
        (IMPORTRANGE(""https://docs.google.com/spreadsheets/d/161aHT6vVT3SLneTKD19N5qVWtnj_jIT8CSsOmUVKmaA/e"&amp;"dit?gid=1761053510"",
          ""Haris_Form responses 1!$AQ:$AQ"")=6)
      ),
      1
    ),
    ""0""
  ),
  ""Form not found""
)
"),"Form not found")</f>
        <v>Form not found</v>
      </c>
      <c r="BD170" s="293"/>
    </row>
    <row r="171">
      <c r="A171" s="283" t="str">
        <f>IFERROR(__xludf.DUMMYFUNCTION("VLOOKUP($B171,IMPORTRANGE(""https://docs.google.com/spreadsheets/d/1VNXDITjs75AcgdBSW27oL1VZH31udDprJSsBcE5xlp4/edit?gid=1551188038#gid=1551188038"", ""Sheet9!$B:$E""),2,false)"),"Multan")</f>
        <v>Multan</v>
      </c>
      <c r="B171" s="283" t="s">
        <v>4615</v>
      </c>
      <c r="C171" s="284" t="str">
        <f>IFERROR(__xludf.DUMMYFUNCTION("VLOOKUP(TRIM($B171), IMPORTRANGE(""https://docs.google.com/spreadsheets/d/1aSOrU4PTpuBZqfitKaH1Rfww6-YOiNCKoBpPl8XBHaw/edit?gid=0#gid=0"", ""sheet3!$B:$C""), 2, FALSE)
"),"Jamia Masjid Azeem Ul Din Dolat Gate Multan")</f>
        <v>Jamia Masjid Azeem Ul Din Dolat Gate Multan</v>
      </c>
      <c r="D171" s="284" t="str">
        <f>IFERROR(__xludf.DUMMYFUNCTION("IFERROR(
  INDEX(
    FILTER(
      IMPORTRANGE(""1aSOrU4PTpuBZqfitKaH1Rfww6-YOiNCKoBpPl8XBHaw/edit?gid=0#gid=0"",""Sheet1!G:G""),
      IMPORTRANGE(""1aSOrU4PTpuBZqfitKaH1Rfww6-YOiNCKoBpPl8XBHaw/edit?gid=0#gid=0"",""Sheet1!C:C"")=$B171
    ),
    1
  ),
"&amp;"  ""Not Found""
)"),"Community Secular No Info Share")</f>
        <v>Community Secular No Info Share</v>
      </c>
      <c r="E171" s="284" t="str">
        <f>VLOOKUP(B171,'Juma Recording forms'!A:E,5,false)</f>
        <v>Jamia masjid Azeem ul Deen daolat gate</v>
      </c>
      <c r="F171" s="284" t="str">
        <f>IFERROR(__xludf.DUMMYFUNCTION("IFERROR(
  INDEX(
    FILTER(
      IMPORTRANGE(""1Cxrhp3-_-HS7v9uuqQliiIfrmMP4VaFoDNDWyUFy2J8/edit?gid=0#gid=0"",""Sheet1!Q:Q""),
      IMPORTRANGE(""1Cxrhp3-_-HS7v9uuqQliiIfrmMP4VaFoDNDWyUFy2J8/edit?gid=0#gid=0"",""Sheet1!K:K"")=$B171
    ),
    1
  ),
"&amp;"  ""Not Found""
)"),"Dr arshad Balouch")</f>
        <v>Dr arshad Balouch</v>
      </c>
      <c r="G171" s="284">
        <v>1950.0</v>
      </c>
      <c r="H171" s="284" t="s">
        <v>4866</v>
      </c>
      <c r="I171" s="285" t="s">
        <v>197</v>
      </c>
      <c r="J171" s="286">
        <v>2.0</v>
      </c>
      <c r="K171" s="287" t="str">
        <f>VLOOKUP($B171,'Mosque Locations'!$A:$E,3,FALSE)
</f>
        <v>https://www.google.com/maps?q=30.1976348,71.4792691</v>
      </c>
      <c r="L171" s="286">
        <f>VLOOKUP($B171,'Mosque Locations'!$A:$E,4,FALSE)
</f>
        <v>30.19763</v>
      </c>
      <c r="M171" s="286">
        <f>VLOOKUP($B171,'Mosque Locations'!$A:$E,5,false)</f>
        <v>71.47927</v>
      </c>
      <c r="N171" s="288"/>
      <c r="O171" s="288"/>
      <c r="P171" s="288"/>
      <c r="Q171" s="290" t="str">
        <f>IFERROR(__xludf.DUMMYFUNCTION("IFERROR(
  INDEX(
    FILTER(
      IMPORTRANGE(""1kOrIKZmJfNUkgOVP3sI9BPjaaPA0_a4636oymQxTXg8"",""Form Responses 1!N:N""),
      TRIM(IMPORTRANGE(""1kOrIKZmJfNUkgOVP3sI9BPjaaPA0_a4636oymQxTXg8"",""Form Responses 1!F:F""))=TRIM($B171)
    ),
    1
  ),
  "&amp;"""Not Found""
)
"),"https://drive.google.com/open?id=1J1tcWV2HNEWXV7Bp0OKWLk-j9kKlIdYN")</f>
        <v>https://drive.google.com/open?id=1J1tcWV2HNEWXV7Bp0OKWLk-j9kKlIdYN</v>
      </c>
      <c r="R171" s="290" t="str">
        <f>IFERROR(__xludf.DUMMYFUNCTION("IFERROR(
  INDEX(
    FILTER(
      IMPORTRANGE(""1kOrIKZmJfNUkgOVP3sI9BPjaaPA0_a4636oymQxTXg8"",""Form Responses 1!M:M""),
      TRIM(IMPORTRANGE(""1kOrIKZmJfNUkgOVP3sI9BPjaaPA0_a4636oymQxTXg8"",""Form Responses 1!F:F""))=TRIM($B171)
    ),
    1
  ),
  "&amp;"""Not Found""
)
"),"https://drive.google.com/open?id=1YLPIHmoWYADRMfo-o9A15U-YxvbV-zRR")</f>
        <v>https://drive.google.com/open?id=1YLPIHmoWYADRMfo-o9A15U-YxvbV-zRR</v>
      </c>
      <c r="S171" s="285"/>
      <c r="T171" s="290" t="str">
        <f>VLOOKUP($B171,'Master Tracker'!D:E,2,false)</f>
        <v>https://drive.google.com/open?id=1UCx_u120klQ5wSoO3_xNchexap5-LmG0</v>
      </c>
      <c r="U171" s="291" t="str">
        <f>VLOOKUP($B171,'Master Tracker'!$D:$T,4,FALSE)
</f>
        <v>https://drive.google.com/open?id=1sV2ApFVFA5qV8amAudERwWwpk6KMNL7z6p4UXPI0fxg</v>
      </c>
      <c r="V171" s="290" t="str">
        <f>VLOOKUP($B171,'Master Tracker'!$D:$T,5,false)</f>
        <v>https://drive.google.com/open?id=1u5hQMY7Gfkk22UdgfiarPq1gKTgw7LAB</v>
      </c>
      <c r="W171" s="291" t="str">
        <f>VLOOKUP($B171,'Master Tracker'!$D:$T,7,false)</f>
        <v>https://drive.google.com/open?id=17oK96xAQ7jaJTkST_LK-T9y-Q27zGc2qEbtO62uZqVg</v>
      </c>
      <c r="X171" s="290" t="str">
        <f>VLOOKUP($B171,'Master Tracker'!$D:$T,8,false)</f>
        <v>https://drive.google.com/file/d/1VLXGY97C_NxEz_5oKnop6XDp0oXIxF6v/view?usp=drive_link</v>
      </c>
      <c r="Y171" s="291" t="str">
        <f>VLOOKUP($B171,'Master Tracker'!$D:$T,10,false)</f>
        <v>https://drive.google.com/open?id=19ROVrXGJG2KbfuA-Zfzqx_zgFmzTxR0k</v>
      </c>
      <c r="Z171" s="284" t="str">
        <f>VLOOKUP($B171,'Master Tracker'!$D:$T,11,false)</f>
        <v>Not Found</v>
      </c>
      <c r="AA171" s="292" t="str">
        <f>VLOOKUP($B171,'Master Tracker'!$D:$T,13,false)</f>
        <v>Not Found</v>
      </c>
      <c r="AB171" s="284" t="str">
        <f>VLOOKUP($B171,'Master Tracker'!$D:$T,14,false)</f>
        <v>Not Found</v>
      </c>
      <c r="AC171" s="292" t="str">
        <f>VLOOKUP($B171,'Master Tracker'!$D:$T,16,false)</f>
        <v>Not Found</v>
      </c>
      <c r="AD171" s="292" t="str">
        <f>VLOOKUP($B171,'Master Tracker'!$D:$T,17,false)</f>
        <v>Not Found</v>
      </c>
      <c r="AE171" s="292" t="str">
        <f>VLOOKUP($B171,'Master Tracker'!$D:$V,19,false)</f>
        <v>Not Found</v>
      </c>
      <c r="AF171" s="292">
        <f>IFERROR(__xludf.DUMMYFUNCTION("IFERROR(
  INDEX(
    FILTER(
      'Juma Recording forms'!$G:$G,
      TRIM('Juma Recording forms'!$F:$F) = TRIM($B171),
      'Juma Recording forms'!$AA:$AA = 1
    ),
    1
  ),
  ""Not Found""
)"),39.0)</f>
        <v>39</v>
      </c>
      <c r="AG171" s="292">
        <f>IFERROR(__xludf.DUMMYFUNCTION("IFERROR(
  INDEX(
    FILTER(
      'Juma Recording forms'!$G:$G,
      TRIM('Juma Recording forms'!$F:$F) = TRIM($B171),
      'Juma Recording forms'!$AA:$AA = 2
    ),
    1
  ),
  ""Not Found""
)"),38.0)</f>
        <v>38</v>
      </c>
      <c r="AH171" s="292">
        <f>IFERROR(__xludf.DUMMYFUNCTION("IFERROR(
  INDEX(
    FILTER(
      'Juma Recording forms'!$G:$G,
      TRIM('Juma Recording forms'!$F:$F) = TRIM($B171),
      'Juma Recording forms'!$AA:$AA = 3
    ),
    1
  ),
  ""Not Found""
)"),35.0)</f>
        <v>35</v>
      </c>
      <c r="AI171" s="292" t="str">
        <f>IFERROR(__xludf.DUMMYFUNCTION("IFERROR(
  INDEX(
    FILTER(
      'Juma Recording forms'!$G:$G,
      TRIM('Juma Recording forms'!$F:$F) = TRIM($B171),
      'Juma Recording forms'!$AA:$AA = 4
    ),
    1
  ),
  ""Not Found""
)"),"Not Found")</f>
        <v>Not Found</v>
      </c>
      <c r="AJ171" s="292" t="str">
        <f>IFERROR(__xludf.DUMMYFUNCTION("IFERROR(
  INDEX(
    FILTER(
      'Juma Recording forms'!$G:$G,
      TRIM('Juma Recording forms'!$F:$F) = TRIM($B171),
      'Juma Recording forms'!$AA:$AA = 5
    ),
    1
  ),
  ""Not Found""
)"),"Not Found")</f>
        <v>Not Found</v>
      </c>
      <c r="AK171" s="292" t="str">
        <f>IFERROR(__xludf.DUMMYFUNCTION("IFERROR(
  INDEX(
    FILTER(
      'Juma Recording forms'!$G:$G,
      TRIM('Juma Recording forms'!$F:$F) = TRIM($B171),
      'Juma Recording forms'!$AA:$AA = 6
    ),
    1
  ),
  ""Not Found""
)"),"Not Found")</f>
        <v>Not Found</v>
      </c>
      <c r="AL1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1!$E:$E"")=$B171) *
        (IMPORTRANGE(""https://docs.google.com/spreadsheets/d/161aHT6vVT3SLneTKD19N5qVWtnj_jIT8CSsOmUVKmaA/e"&amp;"dit?gid=1761053510"",
          ""Haris_Form responses 1!$AQ:$AQ"")=1)
      ),
      1
    ),
    ""0""
  ),
  ""Form not found""
)
"),"10")</f>
        <v>10</v>
      </c>
      <c r="AM1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1!$E:$E"")=$B171) *
        (IMPORTRANGE(""https://docs.google.com/spreadsheets/d/161aHT6vVT3SLneTKD19N5qVWtnj_jIT8CSsOmUVKmaA/e"&amp;"dit?gid=1761053510"",
          ""Haris_Form responses 1!$AQ:$AQ"")=2)
      ),
      1
    ),
    ""0""
  ),
  ""Form not found""
)
"),"10")</f>
        <v>10</v>
      </c>
      <c r="AN1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1!$E:$E"")=$B171) *
        (IMPORTRANGE(""https://docs.google.com/spreadsheets/d/161aHT6vVT3SLneTKD19N5qVWtnj_jIT8CSsOmUVKmaA/e"&amp;"dit?gid=1761053510"",
          ""Haris_Form responses 1!$AQ:$AQ"")=3)
      ),
      1
    ),
    ""0""
  ),
  ""Form not found""
)
"),"0")</f>
        <v>0</v>
      </c>
      <c r="AO1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1!$E:$E"")=$B171) *
        (IMPORTRANGE(""https://docs.google.com/spreadsheets/d/161aHT6vVT3SLneTKD19N5qVWtnj_jIT8CSsOmUVKmaA/e"&amp;"dit?gid=1761053510"",
          ""Haris_Form responses 1!$AQ:$AQ"")=4)
      ),
      1
    ),
    ""0""
  ),
  ""Form not found""
)
"),"Form not found")</f>
        <v>Form not found</v>
      </c>
      <c r="AP1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1!$E:$E"")=$B171) *
        (IMPORTRANGE(""https://docs.google.com/spreadsheets/d/161aHT6vVT3SLneTKD19N5qVWtnj_jIT8CSsOmUVKmaA/e"&amp;"dit?gid=1761053510"",
          ""Haris_Form responses 1!$AQ:$AQ"")=5)
      ),
      1
    ),
    ""0""
  ),
  ""Form not found""
)
"),"Form not found")</f>
        <v>Form not found</v>
      </c>
      <c r="AQ1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1!$E:$E"")=$B171) *
        (IMPORTRANGE(""https://docs.google.com/spreadsheets/d/161aHT6vVT3SLneTKD19N5qVWtnj_jIT8CSsOmUVKmaA/e"&amp;"dit?gid=1761053510"",
          ""Haris_Form responses 1!$AQ:$AQ"")=6)
      ),
      1
    ),
    ""0""
  ),
  ""Form not found""
)
"),"Form not found")</f>
        <v>Form not found</v>
      </c>
      <c r="AR1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1!$E:$E"")=$B171) *
        (IMPORTRANGE(""https://docs.google.com/spreadsheets/d/161aHT6vVT3SLneTKD19N5qVWtnj_jIT8CSsOmUVKmaA/e"&amp;"dit?gid=1761053510"",
          ""Haris_Form responses 1!$AQ:$AQ"")=1)
      ),
      1
    ),
    ""0""
  ),
  ""Form not found""
)
"),"10")</f>
        <v>10</v>
      </c>
      <c r="AS1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1!$E:$E"")=$B171) *
        (IMPORTRANGE(""https://docs.google.com/spreadsheets/d/161aHT6vVT3SLneTKD19N5qVWtnj_jIT8CSsOmUVKmaA/e"&amp;"dit?gid=1761053510"",
          ""Haris_Form responses 1!$AQ:$AQ"")=2)
      ),
      1
    ),
    ""0""
  ),
  ""Form not found""
)
"),"10")</f>
        <v>10</v>
      </c>
      <c r="AT1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1!$E:$E"")=$B171) *
        (IMPORTRANGE(""https://docs.google.com/spreadsheets/d/161aHT6vVT3SLneTKD19N5qVWtnj_jIT8CSsOmUVKmaA/e"&amp;"dit?gid=1761053510"",
          ""Haris_Form responses 1!$AQ:$AQ"")=3)
      ),
      1
    ),
    ""0""
  ),
  ""Form not found""
)
"),"0")</f>
        <v>0</v>
      </c>
      <c r="AU1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1!$E:$E"")=$B171) *
        (IMPORTRANGE(""https://docs.google.com/spreadsheets/d/161aHT6vVT3SLneTKD19N5qVWtnj_jIT8CSsOmUVKmaA/e"&amp;"dit?gid=1761053510"",
          ""Haris_Form responses 1!$AQ:$AQ"")=4)
      ),
      1
    ),
    ""0""
  ),
  ""Form not found""
)
"),"Form not found")</f>
        <v>Form not found</v>
      </c>
      <c r="AV1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1!$E:$E"")=$B171) *
        (IMPORTRANGE(""https://docs.google.com/spreadsheets/d/161aHT6vVT3SLneTKD19N5qVWtnj_jIT8CSsOmUVKmaA/e"&amp;"dit?gid=1761053510"",
          ""Haris_Form responses 1!$AQ:$AQ"")=5)
      ),
      1
    ),
    ""0""
  ),
  ""Form not found""
)
"),"Form not found")</f>
        <v>Form not found</v>
      </c>
      <c r="AW1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1!$E:$E"")=$B171) *
        (IMPORTRANGE(""https://docs.google.com/spreadsheets/d/161aHT6vVT3SLneTKD19N5qVWtnj_jIT8CSsOmUVKmaA/e"&amp;"dit?gid=1761053510"",
          ""Haris_Form responses 1!$AQ:$AQ"")=6)
      ),
      1
    ),
    ""0""
  ),
  ""Form not found""
)
"),"Form not found")</f>
        <v>Form not found</v>
      </c>
      <c r="AX1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1!$E:$E"")=$B171) *
        (IMPORTRANGE(""https://docs.google.com/spreadsheets/d/161aHT6vVT3SLneTKD19N5qVWtnj_jIT8CSsOmUVKmaA/e"&amp;"dit?gid=1761053510"",
          ""Haris_Form responses 1!$AQ:$AQ"")=1)
      ),
      1
    ),
    ""0""
  ),
  ""Form not found""
)
"),"0")</f>
        <v>0</v>
      </c>
      <c r="AY1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1!$E:$E"")=$B171) *
        (IMPORTRANGE(""https://docs.google.com/spreadsheets/d/161aHT6vVT3SLneTKD19N5qVWtnj_jIT8CSsOmUVKmaA/e"&amp;"dit?gid=1761053510"",
          ""Haris_Form responses 1!$AQ:$AQ"")=2)
      ),
      1
    ),
    ""0""
  ),
  ""Form not found""
)
"),"0")</f>
        <v>0</v>
      </c>
      <c r="AZ1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1!$E:$E"")=$B171) *
        (IMPORTRANGE(""https://docs.google.com/spreadsheets/d/161aHT6vVT3SLneTKD19N5qVWtnj_jIT8CSsOmUVKmaA/e"&amp;"dit?gid=1761053510"",
          ""Haris_Form responses 1!$AQ:$AQ"")=3)
      ),
      1
    ),
    ""0""
  ),
  ""Form not found""
)
"),"0")</f>
        <v>0</v>
      </c>
      <c r="BA1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1!$E:$E"")=$B171) *
        (IMPORTRANGE(""https://docs.google.com/spreadsheets/d/161aHT6vVT3SLneTKD19N5qVWtnj_jIT8CSsOmUVKmaA/e"&amp;"dit?gid=1761053510"",
          ""Haris_Form responses 1!$AQ:$AQ"")=4)
      ),
      1
    ),
    ""0""
  ),
  ""Form not found""
)
"),"Form not found")</f>
        <v>Form not found</v>
      </c>
      <c r="BB1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1!$E:$E"")=$B171) *
        (IMPORTRANGE(""https://docs.google.com/spreadsheets/d/161aHT6vVT3SLneTKD19N5qVWtnj_jIT8CSsOmUVKmaA/e"&amp;"dit?gid=1761053510"",
          ""Haris_Form responses 1!$AQ:$AQ"")=5)
      ),
      1
    ),
    ""0""
  ),
  ""Form not found""
)
"),"Form not found")</f>
        <v>Form not found</v>
      </c>
      <c r="BC1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1!$E:$E"")=$B171) *
        (IMPORTRANGE(""https://docs.google.com/spreadsheets/d/161aHT6vVT3SLneTKD19N5qVWtnj_jIT8CSsOmUVKmaA/e"&amp;"dit?gid=1761053510"",
          ""Haris_Form responses 1!$AQ:$AQ"")=6)
      ),
      1
    ),
    ""0""
  ),
  ""Form not found""
)
"),"Form not found")</f>
        <v>Form not found</v>
      </c>
      <c r="BD171" s="293"/>
    </row>
    <row r="172">
      <c r="A172" s="283" t="str">
        <f>IFERROR(__xludf.DUMMYFUNCTION("VLOOKUP($B172,IMPORTRANGE(""https://docs.google.com/spreadsheets/d/1VNXDITjs75AcgdBSW27oL1VZH31udDprJSsBcE5xlp4/edit?gid=1551188038#gid=1551188038"", ""Sheet9!$B:$E""),2,false)"),"Multan")</f>
        <v>Multan</v>
      </c>
      <c r="B172" s="283" t="s">
        <v>4616</v>
      </c>
      <c r="C172" s="284" t="str">
        <f>IFERROR(__xludf.DUMMYFUNCTION("VLOOKUP(TRIM($B172), IMPORTRANGE(""https://docs.google.com/spreadsheets/d/1aSOrU4PTpuBZqfitKaH1Rfww6-YOiNCKoBpPl8XBHaw/edit?gid=0#gid=0"", ""sheet3!$B:$C""), 2, FALSE)
"),"Jamia Masjid Gul Din Coloney Nawah City Multan")</f>
        <v>Jamia Masjid Gul Din Coloney Nawah City Multan</v>
      </c>
      <c r="D172" s="284" t="str">
        <f>IFERROR(__xludf.DUMMYFUNCTION("IFERROR(
  INDEX(
    FILTER(
      IMPORTRANGE(""1aSOrU4PTpuBZqfitKaH1Rfww6-YOiNCKoBpPl8XBHaw/edit?gid=0#gid=0"",""Sheet1!G:G""),
      IMPORTRANGE(""1aSOrU4PTpuBZqfitKaH1Rfww6-YOiNCKoBpPl8XBHaw/edit?gid=0#gid=0"",""Sheet1!C:C"")=$B172
    ),
    1
  ),
"&amp;"  ""Not Found""
)"),"Community Secular No Info Share")</f>
        <v>Community Secular No Info Share</v>
      </c>
      <c r="E172" s="284" t="str">
        <f>VLOOKUP(B172,'Juma Recording forms'!A:E,5,false)</f>
        <v>Jamia masjid gul din</v>
      </c>
      <c r="F172" s="284" t="str">
        <f>IFERROR(__xludf.DUMMYFUNCTION("IFERROR(
  INDEX(
    FILTER(
      IMPORTRANGE(""1Cxrhp3-_-HS7v9uuqQliiIfrmMP4VaFoDNDWyUFy2J8/edit?gid=0#gid=0"",""Sheet1!Q:Q""),
      IMPORTRANGE(""1Cxrhp3-_-HS7v9uuqQliiIfrmMP4VaFoDNDWyUFy2J8/edit?gid=0#gid=0"",""Sheet1!K:K"")=$B172
    ),
    1
  ),
"&amp;"  ""Not Found""
)"),"Maulana ghulam Mustafa")</f>
        <v>Maulana ghulam Mustafa</v>
      </c>
      <c r="G172" s="284">
        <v>1970.0</v>
      </c>
      <c r="H172" s="284"/>
      <c r="I172" s="285" t="s">
        <v>401</v>
      </c>
      <c r="J172" s="286">
        <v>2.0</v>
      </c>
      <c r="K172" s="287" t="str">
        <f>VLOOKUP($B172,'Mosque Locations'!$A:$E,3,FALSE)
</f>
        <v>https://maps.google.com/maps?q=30.1919897%2C71.4549042&amp;z=17&amp;hl=en</v>
      </c>
      <c r="L172" s="286">
        <f>VLOOKUP($B172,'Mosque Locations'!$A:$E,4,FALSE)
</f>
        <v>30.19199</v>
      </c>
      <c r="M172" s="286">
        <f>VLOOKUP($B172,'Mosque Locations'!$A:$E,5,false)</f>
        <v>71.4549</v>
      </c>
      <c r="N172" s="288"/>
      <c r="O172" s="288"/>
      <c r="P172" s="288"/>
      <c r="Q172" s="290" t="str">
        <f>IFERROR(__xludf.DUMMYFUNCTION("IFERROR(
  INDEX(
    FILTER(
      IMPORTRANGE(""1kOrIKZmJfNUkgOVP3sI9BPjaaPA0_a4636oymQxTXg8"",""Form Responses 1!N:N""),
      TRIM(IMPORTRANGE(""1kOrIKZmJfNUkgOVP3sI9BPjaaPA0_a4636oymQxTXg8"",""Form Responses 1!F:F""))=TRIM($B172)
    ),
    1
  ),
  "&amp;"""Not Found""
)
"),"https://drive.google.com/open?id=1SuTFBE5jn-UDUuX7woeyb1Pd7YHdKbQ1")</f>
        <v>https://drive.google.com/open?id=1SuTFBE5jn-UDUuX7woeyb1Pd7YHdKbQ1</v>
      </c>
      <c r="R172" s="290" t="str">
        <f>IFERROR(__xludf.DUMMYFUNCTION("IFERROR(
  INDEX(
    FILTER(
      IMPORTRANGE(""1kOrIKZmJfNUkgOVP3sI9BPjaaPA0_a4636oymQxTXg8"",""Form Responses 1!M:M""),
      TRIM(IMPORTRANGE(""1kOrIKZmJfNUkgOVP3sI9BPjaaPA0_a4636oymQxTXg8"",""Form Responses 1!F:F""))=TRIM($B172)
    ),
    1
  ),
  "&amp;"""Not Found""
)
"),"https://drive.google.com/open?id=195PtK_bDAmh-6fkOVab35IQJ4Hr4ByEr")</f>
        <v>https://drive.google.com/open?id=195PtK_bDAmh-6fkOVab35IQJ4Hr4ByEr</v>
      </c>
      <c r="S172" s="285"/>
      <c r="T172" s="290" t="str">
        <f>VLOOKUP($B172,'Master Tracker'!D:E,2,false)</f>
        <v>https://drive.google.com/file/d/12HIqKnIa7SPh8kcm8kyqaYNtxJpU_Rtk/view?usp=drive_link</v>
      </c>
      <c r="U172" s="291" t="str">
        <f>VLOOKUP($B172,'Master Tracker'!$D:$T,4,FALSE)
</f>
        <v>https://drive.google.com/open?id=1xH2x4u2DlpmUaxjxZXkHCVy6-G5dU07b</v>
      </c>
      <c r="V172" s="290" t="str">
        <f>VLOOKUP($B172,'Master Tracker'!$D:$T,5,false)</f>
        <v>https://drive.google.com/file/d/1Po29ThJkf5X4x-sIKKtQm75_fDIFKyUm/view?usp=drive_link</v>
      </c>
      <c r="W172" s="291" t="str">
        <f>VLOOKUP($B172,'Master Tracker'!$D:$T,7,false)</f>
        <v>https://drive.google.com/open?id=1A4z8fzphrv1YOolo5f37Eo56hgMMSMa3iWTPpkz9ZdU</v>
      </c>
      <c r="X172" s="290" t="str">
        <f>VLOOKUP($B172,'Master Tracker'!$D:$T,8,false)</f>
        <v>https://drive.google.com/open?id=1ZDNee2EYCW62fyhlq8RRTruMj2ulPyIu</v>
      </c>
      <c r="Y172" s="291" t="str">
        <f>VLOOKUP($B172,'Master Tracker'!$D:$T,10,false)</f>
        <v>https://drive.google.com/open?id=1Hqom0hHHYYWgd0YgZgHBCRJFH_QTLFCy1Wkkq2fF5l4</v>
      </c>
      <c r="Z172" s="284" t="str">
        <f>VLOOKUP($B172,'Master Tracker'!$D:$T,11,false)</f>
        <v>Not Found</v>
      </c>
      <c r="AA172" s="292" t="str">
        <f>VLOOKUP($B172,'Master Tracker'!$D:$T,13,false)</f>
        <v>Not Found</v>
      </c>
      <c r="AB172" s="284" t="str">
        <f>VLOOKUP($B172,'Master Tracker'!$D:$T,14,false)</f>
        <v>Not Found</v>
      </c>
      <c r="AC172" s="292" t="str">
        <f>VLOOKUP($B172,'Master Tracker'!$D:$T,16,false)</f>
        <v>Not Found</v>
      </c>
      <c r="AD172" s="292" t="str">
        <f>VLOOKUP($B172,'Master Tracker'!$D:$T,17,false)</f>
        <v>Not Found</v>
      </c>
      <c r="AE172" s="292" t="str">
        <f>VLOOKUP($B172,'Master Tracker'!$D:$V,19,false)</f>
        <v>Not Found</v>
      </c>
      <c r="AF172" s="292">
        <f>IFERROR(__xludf.DUMMYFUNCTION("IFERROR(
  INDEX(
    FILTER(
      'Juma Recording forms'!$G:$G,
      TRIM('Juma Recording forms'!$F:$F) = TRIM($B172),
      'Juma Recording forms'!$AA:$AA = 1
    ),
    1
  ),
  ""Not Found""
)"),140.0)</f>
        <v>140</v>
      </c>
      <c r="AG172" s="292">
        <f>IFERROR(__xludf.DUMMYFUNCTION("IFERROR(
  INDEX(
    FILTER(
      'Juma Recording forms'!$G:$G,
      TRIM('Juma Recording forms'!$F:$F) = TRIM($B172),
      'Juma Recording forms'!$AA:$AA = 2
    ),
    1
  ),
  ""Not Found""
)"),140.0)</f>
        <v>140</v>
      </c>
      <c r="AH172" s="292">
        <f>IFERROR(__xludf.DUMMYFUNCTION("IFERROR(
  INDEX(
    FILTER(
      'Juma Recording forms'!$G:$G,
      TRIM('Juma Recording forms'!$F:$F) = TRIM($B172),
      'Juma Recording forms'!$AA:$AA = 3
    ),
    1
  ),
  ""Not Found""
)"),133.0)</f>
        <v>133</v>
      </c>
      <c r="AI172" s="292" t="str">
        <f>IFERROR(__xludf.DUMMYFUNCTION("IFERROR(
  INDEX(
    FILTER(
      'Juma Recording forms'!$G:$G,
      TRIM('Juma Recording forms'!$F:$F) = TRIM($B172),
      'Juma Recording forms'!$AA:$AA = 4
    ),
    1
  ),
  ""Not Found""
)"),"Not Found")</f>
        <v>Not Found</v>
      </c>
      <c r="AJ172" s="292" t="str">
        <f>IFERROR(__xludf.DUMMYFUNCTION("IFERROR(
  INDEX(
    FILTER(
      'Juma Recording forms'!$G:$G,
      TRIM('Juma Recording forms'!$F:$F) = TRIM($B172),
      'Juma Recording forms'!$AA:$AA = 5
    ),
    1
  ),
  ""Not Found""
)"),"Not Found")</f>
        <v>Not Found</v>
      </c>
      <c r="AK172" s="292" t="str">
        <f>IFERROR(__xludf.DUMMYFUNCTION("IFERROR(
  INDEX(
    FILTER(
      'Juma Recording forms'!$G:$G,
      TRIM('Juma Recording forms'!$F:$F) = TRIM($B172),
      'Juma Recording forms'!$AA:$AA = 6
    ),
    1
  ),
  ""Not Found""
)"),"Not Found")</f>
        <v>Not Found</v>
      </c>
      <c r="AL1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1!$E:$E"")=$B172) *
        (IMPORTRANGE(""https://docs.google.com/spreadsheets/d/161aHT6vVT3SLneTKD19N5qVWtnj_jIT8CSsOmUVKmaA/e"&amp;"dit?gid=1761053510"",
          ""Haris_Form responses 1!$AQ:$AQ"")=1)
      ),
      1
    ),
    ""0""
  ),
  ""Form not found""
)
"),"4")</f>
        <v>4</v>
      </c>
      <c r="AM1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1!$E:$E"")=$B172) *
        (IMPORTRANGE(""https://docs.google.com/spreadsheets/d/161aHT6vVT3SLneTKD19N5qVWtnj_jIT8CSsOmUVKmaA/e"&amp;"dit?gid=1761053510"",
          ""Haris_Form responses 1!$AQ:$AQ"")=2)
      ),
      1
    ),
    ""0""
  ),
  ""Form not found""
)
"),"10")</f>
        <v>10</v>
      </c>
      <c r="AN1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1!$E:$E"")=$B172) *
        (IMPORTRANGE(""https://docs.google.com/spreadsheets/d/161aHT6vVT3SLneTKD19N5qVWtnj_jIT8CSsOmUVKmaA/e"&amp;"dit?gid=1761053510"",
          ""Haris_Form responses 1!$AQ:$AQ"")=3)
      ),
      1
    ),
    ""0""
  ),
  ""Form not found""
)
"),"6")</f>
        <v>6</v>
      </c>
      <c r="AO1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1!$E:$E"")=$B172) *
        (IMPORTRANGE(""https://docs.google.com/spreadsheets/d/161aHT6vVT3SLneTKD19N5qVWtnj_jIT8CSsOmUVKmaA/e"&amp;"dit?gid=1761053510"",
          ""Haris_Form responses 1!$AQ:$AQ"")=4)
      ),
      1
    ),
    ""0""
  ),
  ""Form not found""
)
"),"Form not found")</f>
        <v>Form not found</v>
      </c>
      <c r="AP1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1!$E:$E"")=$B172) *
        (IMPORTRANGE(""https://docs.google.com/spreadsheets/d/161aHT6vVT3SLneTKD19N5qVWtnj_jIT8CSsOmUVKmaA/e"&amp;"dit?gid=1761053510"",
          ""Haris_Form responses 1!$AQ:$AQ"")=5)
      ),
      1
    ),
    ""0""
  ),
  ""Form not found""
)
"),"Form not found")</f>
        <v>Form not found</v>
      </c>
      <c r="AQ1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1!$E:$E"")=$B172) *
        (IMPORTRANGE(""https://docs.google.com/spreadsheets/d/161aHT6vVT3SLneTKD19N5qVWtnj_jIT8CSsOmUVKmaA/e"&amp;"dit?gid=1761053510"",
          ""Haris_Form responses 1!$AQ:$AQ"")=6)
      ),
      1
    ),
    ""0""
  ),
  ""Form not found""
)
"),"Form not found")</f>
        <v>Form not found</v>
      </c>
      <c r="AR1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1!$E:$E"")=$B172) *
        (IMPORTRANGE(""https://docs.google.com/spreadsheets/d/161aHT6vVT3SLneTKD19N5qVWtnj_jIT8CSsOmUVKmaA/e"&amp;"dit?gid=1761053510"",
          ""Haris_Form responses 1!$AQ:$AQ"")=1)
      ),
      1
    ),
    ""0""
  ),
  ""Form not found""
)
"),"4")</f>
        <v>4</v>
      </c>
      <c r="AS1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1!$E:$E"")=$B172) *
        (IMPORTRANGE(""https://docs.google.com/spreadsheets/d/161aHT6vVT3SLneTKD19N5qVWtnj_jIT8CSsOmUVKmaA/e"&amp;"dit?gid=1761053510"",
          ""Haris_Form responses 1!$AQ:$AQ"")=2)
      ),
      1
    ),
    ""0""
  ),
  ""Form not found""
)
"),"10")</f>
        <v>10</v>
      </c>
      <c r="AT1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1!$E:$E"")=$B172) *
        (IMPORTRANGE(""https://docs.google.com/spreadsheets/d/161aHT6vVT3SLneTKD19N5qVWtnj_jIT8CSsOmUVKmaA/e"&amp;"dit?gid=1761053510"",
          ""Haris_Form responses 1!$AQ:$AQ"")=3)
      ),
      1
    ),
    ""0""
  ),
  ""Form not found""
)
"),"6")</f>
        <v>6</v>
      </c>
      <c r="AU1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1!$E:$E"")=$B172) *
        (IMPORTRANGE(""https://docs.google.com/spreadsheets/d/161aHT6vVT3SLneTKD19N5qVWtnj_jIT8CSsOmUVKmaA/e"&amp;"dit?gid=1761053510"",
          ""Haris_Form responses 1!$AQ:$AQ"")=4)
      ),
      1
    ),
    ""0""
  ),
  ""Form not found""
)
"),"Form not found")</f>
        <v>Form not found</v>
      </c>
      <c r="AV1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1!$E:$E"")=$B172) *
        (IMPORTRANGE(""https://docs.google.com/spreadsheets/d/161aHT6vVT3SLneTKD19N5qVWtnj_jIT8CSsOmUVKmaA/e"&amp;"dit?gid=1761053510"",
          ""Haris_Form responses 1!$AQ:$AQ"")=5)
      ),
      1
    ),
    ""0""
  ),
  ""Form not found""
)
"),"Form not found")</f>
        <v>Form not found</v>
      </c>
      <c r="AW1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1!$E:$E"")=$B172) *
        (IMPORTRANGE(""https://docs.google.com/spreadsheets/d/161aHT6vVT3SLneTKD19N5qVWtnj_jIT8CSsOmUVKmaA/e"&amp;"dit?gid=1761053510"",
          ""Haris_Form responses 1!$AQ:$AQ"")=6)
      ),
      1
    ),
    ""0""
  ),
  ""Form not found""
)
"),"Form not found")</f>
        <v>Form not found</v>
      </c>
      <c r="AX1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1!$E:$E"")=$B172) *
        (IMPORTRANGE(""https://docs.google.com/spreadsheets/d/161aHT6vVT3SLneTKD19N5qVWtnj_jIT8CSsOmUVKmaA/e"&amp;"dit?gid=1761053510"",
          ""Haris_Form responses 1!$AQ:$AQ"")=1)
      ),
      1
    ),
    ""0""
  ),
  ""Form not found""
)
"),"0")</f>
        <v>0</v>
      </c>
      <c r="AY1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1!$E:$E"")=$B172) *
        (IMPORTRANGE(""https://docs.google.com/spreadsheets/d/161aHT6vVT3SLneTKD19N5qVWtnj_jIT8CSsOmUVKmaA/e"&amp;"dit?gid=1761053510"",
          ""Haris_Form responses 1!$AQ:$AQ"")=2)
      ),
      1
    ),
    ""0""
  ),
  ""Form not found""
)
"),"0")</f>
        <v>0</v>
      </c>
      <c r="AZ1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1!$E:$E"")=$B172) *
        (IMPORTRANGE(""https://docs.google.com/spreadsheets/d/161aHT6vVT3SLneTKD19N5qVWtnj_jIT8CSsOmUVKmaA/e"&amp;"dit?gid=1761053510"",
          ""Haris_Form responses 1!$AQ:$AQ"")=3)
      ),
      1
    ),
    ""0""
  ),
  ""Form not found""
)
"),"0")</f>
        <v>0</v>
      </c>
      <c r="BA1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1!$E:$E"")=$B172) *
        (IMPORTRANGE(""https://docs.google.com/spreadsheets/d/161aHT6vVT3SLneTKD19N5qVWtnj_jIT8CSsOmUVKmaA/e"&amp;"dit?gid=1761053510"",
          ""Haris_Form responses 1!$AQ:$AQ"")=4)
      ),
      1
    ),
    ""0""
  ),
  ""Form not found""
)
"),"Form not found")</f>
        <v>Form not found</v>
      </c>
      <c r="BB1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1!$E:$E"")=$B172) *
        (IMPORTRANGE(""https://docs.google.com/spreadsheets/d/161aHT6vVT3SLneTKD19N5qVWtnj_jIT8CSsOmUVKmaA/e"&amp;"dit?gid=1761053510"",
          ""Haris_Form responses 1!$AQ:$AQ"")=5)
      ),
      1
    ),
    ""0""
  ),
  ""Form not found""
)
"),"Form not found")</f>
        <v>Form not found</v>
      </c>
      <c r="BC1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1!$E:$E"")=$B172) *
        (IMPORTRANGE(""https://docs.google.com/spreadsheets/d/161aHT6vVT3SLneTKD19N5qVWtnj_jIT8CSsOmUVKmaA/e"&amp;"dit?gid=1761053510"",
          ""Haris_Form responses 1!$AQ:$AQ"")=6)
      ),
      1
    ),
    ""0""
  ),
  ""Form not found""
)
"),"Form not found")</f>
        <v>Form not found</v>
      </c>
      <c r="BD172" s="293"/>
    </row>
    <row r="173">
      <c r="A173" s="283" t="str">
        <f>IFERROR(__xludf.DUMMYFUNCTION("VLOOKUP($B173,IMPORTRANGE(""https://docs.google.com/spreadsheets/d/1VNXDITjs75AcgdBSW27oL1VZH31udDprJSsBcE5xlp4/edit?gid=1551188038#gid=1551188038"", ""Sheet9!$B:$E""),2,false)"),"Multan")</f>
        <v>Multan</v>
      </c>
      <c r="B173" s="283" t="s">
        <v>4617</v>
      </c>
      <c r="C173" s="284" t="str">
        <f>IFERROR(__xludf.DUMMYFUNCTION("VLOOKUP(TRIM($B173), IMPORTRANGE(""https://docs.google.com/spreadsheets/d/1aSOrU4PTpuBZqfitKaH1Rfww6-YOiNCKoBpPl8XBHaw/edit?gid=0#gid=0"", ""sheet3!$B:$C""), 2, FALSE)
"),"Jamia Masjid Jagu Wali Jalaal Pur Peer Wala Multan")</f>
        <v>Jamia Masjid Jagu Wali Jalaal Pur Peer Wala Multan</v>
      </c>
      <c r="D173" s="284" t="str">
        <f>IFERROR(__xludf.DUMMYFUNCTION("IFERROR(
  INDEX(
    FILTER(
      IMPORTRANGE(""1aSOrU4PTpuBZqfitKaH1Rfww6-YOiNCKoBpPl8XBHaw/edit?gid=0#gid=0"",""Sheet1!G:G""),
      IMPORTRANGE(""1aSOrU4PTpuBZqfitKaH1Rfww6-YOiNCKoBpPl8XBHaw/edit?gid=0#gid=0"",""Sheet1!C:C"")=$B173
    ),
    1
  ),
"&amp;"  ""Not Found""
)"),"Control")</f>
        <v>Control</v>
      </c>
      <c r="E173" s="284" t="str">
        <f>VLOOKUP(B173,'Juma Recording forms'!A:E,5,false)</f>
        <v>Jamia masjid jagu wali</v>
      </c>
      <c r="F173" s="284" t="str">
        <f>IFERROR(__xludf.DUMMYFUNCTION("IFERROR(
  INDEX(
    FILTER(
      IMPORTRANGE(""1Cxrhp3-_-HS7v9uuqQliiIfrmMP4VaFoDNDWyUFy2J8/edit?gid=0#gid=0"",""Sheet1!Q:Q""),
      IMPORTRANGE(""1Cxrhp3-_-HS7v9uuqQliiIfrmMP4VaFoDNDWyUFy2J8/edit?gid=0#gid=0"",""Sheet1!K:K"")=$B173
    ),
    1
  ),
"&amp;"  ""Not Found""
)"),"محمد اسحاق خان")</f>
        <v>محمد اسحاق خان</v>
      </c>
      <c r="G173" s="284">
        <v>1940.0</v>
      </c>
      <c r="H173" s="284"/>
      <c r="I173" s="285" t="s">
        <v>401</v>
      </c>
      <c r="J173" s="286">
        <v>2.0</v>
      </c>
      <c r="K173" s="287" t="str">
        <f>VLOOKUP($B173,'Mosque Locations'!$A:$E,3,FALSE)
</f>
        <v>https://maps.google.com/maps?q=29.6305728%2C71.4307954&amp;z=17&amp;hl=en</v>
      </c>
      <c r="L173" s="286">
        <f>VLOOKUP($B173,'Mosque Locations'!$A:$E,4,FALSE)
</f>
        <v>29.63057</v>
      </c>
      <c r="M173" s="286">
        <f>VLOOKUP($B173,'Mosque Locations'!$A:$E,5,false)</f>
        <v>71.4308</v>
      </c>
      <c r="N173" s="288"/>
      <c r="O173" s="288"/>
      <c r="P173" s="288"/>
      <c r="Q173" s="290" t="str">
        <f>IFERROR(__xludf.DUMMYFUNCTION("IFERROR(
  INDEX(
    FILTER(
      IMPORTRANGE(""1kOrIKZmJfNUkgOVP3sI9BPjaaPA0_a4636oymQxTXg8"",""Form Responses 1!N:N""),
      TRIM(IMPORTRANGE(""1kOrIKZmJfNUkgOVP3sI9BPjaaPA0_a4636oymQxTXg8"",""Form Responses 1!F:F""))=TRIM($B173)
    ),
    1
  ),
  "&amp;"""Not Found""
)
"),"https://drive.google.com/open?id=1xLQl_ZSkVlKz5_22SbQNfZ9lZVmHfCZ9")</f>
        <v>https://drive.google.com/open?id=1xLQl_ZSkVlKz5_22SbQNfZ9lZVmHfCZ9</v>
      </c>
      <c r="R173" s="295" t="str">
        <f>IFERROR(__xludf.DUMMYFUNCTION("IFERROR(
  INDEX(
    FILTER(
      IMPORTRANGE(""1kOrIKZmJfNUkgOVP3sI9BPjaaPA0_a4636oymQxTXg8"",""Form Responses 1!M:M""),
      TRIM(IMPORTRANGE(""1kOrIKZmJfNUkgOVP3sI9BPjaaPA0_a4636oymQxTXg8"",""Form Responses 1!F:F""))=TRIM($B173)
    ),
    1
  ),
  "&amp;"""Not Found""
)
"),"https://drive.google.com/open?id=1jIGLpbDZxGKE9VvEu4_NCkb3EUFkKptr")</f>
        <v>https://drive.google.com/open?id=1jIGLpbDZxGKE9VvEu4_NCkb3EUFkKptr</v>
      </c>
      <c r="S173" s="285"/>
      <c r="T173" s="290" t="str">
        <f>VLOOKUP($B173,'Master Tracker'!D:E,2,false)</f>
        <v>https://drive.google.com/open?id=1sbHpRWDqwo3T70kXTGqNi6qcOskuqLns</v>
      </c>
      <c r="U173" s="291" t="str">
        <f>VLOOKUP($B173,'Master Tracker'!$D:$T,4,FALSE)
</f>
        <v>https://drive.google.com/open?id=1xxGjSOABsTlQAHQ7iX7ZfwD5nEeGI1JW9W8BHALt-0s</v>
      </c>
      <c r="V173" s="284" t="str">
        <f>VLOOKUP($B173,'Master Tracker'!$D:$T,5,false)</f>
        <v>Not Found</v>
      </c>
      <c r="W173" s="292" t="str">
        <f>VLOOKUP($B173,'Master Tracker'!$D:$T,7,false)</f>
        <v>Not Found</v>
      </c>
      <c r="X173" s="290" t="str">
        <f>VLOOKUP($B173,'Master Tracker'!$D:$T,8,false)</f>
        <v>https://drive.google.com/open?id=1R2EnIPGNi9N9X_W48lE-lUhSEPvDY5fo</v>
      </c>
      <c r="Y173" s="291" t="str">
        <f>VLOOKUP($B173,'Master Tracker'!$D:$T,10,false)</f>
        <v>https://drive.google.com/open?id=1bH3Xs1sa8pI_HPO7_Mu_dTvAYH2WJn2-</v>
      </c>
      <c r="Z173" s="284" t="str">
        <f>VLOOKUP($B173,'Master Tracker'!$D:$T,11,false)</f>
        <v>Not Found</v>
      </c>
      <c r="AA173" s="292" t="str">
        <f>VLOOKUP($B173,'Master Tracker'!$D:$T,13,false)</f>
        <v>Not Found</v>
      </c>
      <c r="AB173" s="284" t="str">
        <f>VLOOKUP($B173,'Master Tracker'!$D:$T,14,false)</f>
        <v>Not Found</v>
      </c>
      <c r="AC173" s="292" t="str">
        <f>VLOOKUP($B173,'Master Tracker'!$D:$T,16,false)</f>
        <v>Not Found</v>
      </c>
      <c r="AD173" s="292" t="str">
        <f>VLOOKUP($B173,'Master Tracker'!$D:$T,17,false)</f>
        <v>Not Found</v>
      </c>
      <c r="AE173" s="292" t="str">
        <f>VLOOKUP($B173,'Master Tracker'!$D:$V,19,false)</f>
        <v>Not Found</v>
      </c>
      <c r="AF173" s="292">
        <f>IFERROR(__xludf.DUMMYFUNCTION("IFERROR(
  INDEX(
    FILTER(
      'Juma Recording forms'!$G:$G,
      TRIM('Juma Recording forms'!$F:$F) = TRIM($B173),
      'Juma Recording forms'!$AA:$AA = 1
    ),
    1
  ),
  ""Not Found""
)"),407.0)</f>
        <v>407</v>
      </c>
      <c r="AG173" s="292" t="str">
        <f>IFERROR(__xludf.DUMMYFUNCTION("IFERROR(
  INDEX(
    FILTER(
      'Juma Recording forms'!$G:$G,
      TRIM('Juma Recording forms'!$F:$F) = TRIM($B173),
      'Juma Recording forms'!$AA:$AA = 2
    ),
    1
  ),
  ""Not Found""
)"),"Not Found")</f>
        <v>Not Found</v>
      </c>
      <c r="AH173" s="292">
        <f>IFERROR(__xludf.DUMMYFUNCTION("IFERROR(
  INDEX(
    FILTER(
      'Juma Recording forms'!$G:$G,
      TRIM('Juma Recording forms'!$F:$F) = TRIM($B173),
      'Juma Recording forms'!$AA:$AA = 3
    ),
    1
  ),
  ""Not Found""
)"),433.0)</f>
        <v>433</v>
      </c>
      <c r="AI173" s="292" t="str">
        <f>IFERROR(__xludf.DUMMYFUNCTION("IFERROR(
  INDEX(
    FILTER(
      'Juma Recording forms'!$G:$G,
      TRIM('Juma Recording forms'!$F:$F) = TRIM($B173),
      'Juma Recording forms'!$AA:$AA = 4
    ),
    1
  ),
  ""Not Found""
)"),"Not Found")</f>
        <v>Not Found</v>
      </c>
      <c r="AJ173" s="292" t="str">
        <f>IFERROR(__xludf.DUMMYFUNCTION("IFERROR(
  INDEX(
    FILTER(
      'Juma Recording forms'!$G:$G,
      TRIM('Juma Recording forms'!$F:$F) = TRIM($B173),
      'Juma Recording forms'!$AA:$AA = 5
    ),
    1
  ),
  ""Not Found""
)"),"Not Found")</f>
        <v>Not Found</v>
      </c>
      <c r="AK173" s="292"/>
      <c r="AL1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1!$E:$E"")=$B173) *
        (IMPORTRANGE(""https://docs.google.com/spreadsheets/d/161aHT6vVT3SLneTKD19N5qVWtnj_jIT8CSsOmUVKmaA/e"&amp;"dit?gid=1761053510"",
          ""Haris_Form responses 1!$AQ:$AQ"")=1)
      ),
      1
    ),
    ""0""
  ),
  ""Form not found""
)
"),"0")</f>
        <v>0</v>
      </c>
      <c r="AM1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1!$E:$E"")=$B173) *
        (IMPORTRANGE(""https://docs.google.com/spreadsheets/d/161aHT6vVT3SLneTKD19N5qVWtnj_jIT8CSsOmUVKmaA/e"&amp;"dit?gid=1761053510"",
          ""Haris_Form responses 1!$AQ:$AQ"")=2)
      ),
      1
    ),
    ""0""
  ),
  ""Form not found""
)
"),"Form not found")</f>
        <v>Form not found</v>
      </c>
      <c r="AN1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1!$E:$E"")=$B173) *
        (IMPORTRANGE(""https://docs.google.com/spreadsheets/d/161aHT6vVT3SLneTKD19N5qVWtnj_jIT8CSsOmUVKmaA/e"&amp;"dit?gid=1761053510"",
          ""Haris_Form responses 1!$AQ:$AQ"")=3)
      ),
      1
    ),
    ""0""
  ),
  ""Form not found""
)
"),"0")</f>
        <v>0</v>
      </c>
      <c r="AO1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1!$E:$E"")=$B173) *
        (IMPORTRANGE(""https://docs.google.com/spreadsheets/d/161aHT6vVT3SLneTKD19N5qVWtnj_jIT8CSsOmUVKmaA/e"&amp;"dit?gid=1761053510"",
          ""Haris_Form responses 1!$AQ:$AQ"")=4)
      ),
      1
    ),
    ""0""
  ),
  ""Form not found""
)
"),"Form not found")</f>
        <v>Form not found</v>
      </c>
      <c r="AP1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1!$E:$E"")=$B173) *
        (IMPORTRANGE(""https://docs.google.com/spreadsheets/d/161aHT6vVT3SLneTKD19N5qVWtnj_jIT8CSsOmUVKmaA/e"&amp;"dit?gid=1761053510"",
          ""Haris_Form responses 1!$AQ:$AQ"")=5)
      ),
      1
    ),
    ""0""
  ),
  ""Form not found""
)
"),"Form not found")</f>
        <v>Form not found</v>
      </c>
      <c r="AQ1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1!$E:$E"")=$B173) *
        (IMPORTRANGE(""https://docs.google.com/spreadsheets/d/161aHT6vVT3SLneTKD19N5qVWtnj_jIT8CSsOmUVKmaA/e"&amp;"dit?gid=1761053510"",
          ""Haris_Form responses 1!$AQ:$AQ"")=6)
      ),
      1
    ),
    ""0""
  ),
  ""Form not found""
)
"),"Form not found")</f>
        <v>Form not found</v>
      </c>
      <c r="AR1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1!$E:$E"")=$B173) *
        (IMPORTRANGE(""https://docs.google.com/spreadsheets/d/161aHT6vVT3SLneTKD19N5qVWtnj_jIT8CSsOmUVKmaA/e"&amp;"dit?gid=1761053510"",
          ""Haris_Form responses 1!$AQ:$AQ"")=1)
      ),
      1
    ),
    ""0""
  ),
  ""Form not found""
)
"),"0")</f>
        <v>0</v>
      </c>
      <c r="AS1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1!$E:$E"")=$B173) *
        (IMPORTRANGE(""https://docs.google.com/spreadsheets/d/161aHT6vVT3SLneTKD19N5qVWtnj_jIT8CSsOmUVKmaA/e"&amp;"dit?gid=1761053510"",
          ""Haris_Form responses 1!$AQ:$AQ"")=2)
      ),
      1
    ),
    ""0""
  ),
  ""Form not found""
)
"),"Form not found")</f>
        <v>Form not found</v>
      </c>
      <c r="AT1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1!$E:$E"")=$B173) *
        (IMPORTRANGE(""https://docs.google.com/spreadsheets/d/161aHT6vVT3SLneTKD19N5qVWtnj_jIT8CSsOmUVKmaA/e"&amp;"dit?gid=1761053510"",
          ""Haris_Form responses 1!$AQ:$AQ"")=3)
      ),
      1
    ),
    ""0""
  ),
  ""Form not found""
)
"),"0")</f>
        <v>0</v>
      </c>
      <c r="AU1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1!$E:$E"")=$B173) *
        (IMPORTRANGE(""https://docs.google.com/spreadsheets/d/161aHT6vVT3SLneTKD19N5qVWtnj_jIT8CSsOmUVKmaA/e"&amp;"dit?gid=1761053510"",
          ""Haris_Form responses 1!$AQ:$AQ"")=4)
      ),
      1
    ),
    ""0""
  ),
  ""Form not found""
)
"),"Form not found")</f>
        <v>Form not found</v>
      </c>
      <c r="AV1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1!$E:$E"")=$B173) *
        (IMPORTRANGE(""https://docs.google.com/spreadsheets/d/161aHT6vVT3SLneTKD19N5qVWtnj_jIT8CSsOmUVKmaA/e"&amp;"dit?gid=1761053510"",
          ""Haris_Form responses 1!$AQ:$AQ"")=5)
      ),
      1
    ),
    ""0""
  ),
  ""Form not found""
)
"),"Form not found")</f>
        <v>Form not found</v>
      </c>
      <c r="AW1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1!$E:$E"")=$B173) *
        (IMPORTRANGE(""https://docs.google.com/spreadsheets/d/161aHT6vVT3SLneTKD19N5qVWtnj_jIT8CSsOmUVKmaA/e"&amp;"dit?gid=1761053510"",
          ""Haris_Form responses 1!$AQ:$AQ"")=6)
      ),
      1
    ),
    ""0""
  ),
  ""Form not found""
)
"),"Form not found")</f>
        <v>Form not found</v>
      </c>
      <c r="AX1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1!$E:$E"")=$B173) *
        (IMPORTRANGE(""https://docs.google.com/spreadsheets/d/161aHT6vVT3SLneTKD19N5qVWtnj_jIT8CSsOmUVKmaA/e"&amp;"dit?gid=1761053510"",
          ""Haris_Form responses 1!$AQ:$AQ"")=1)
      ),
      1
    ),
    ""0""
  ),
  ""Form not found""
)
"),"0")</f>
        <v>0</v>
      </c>
      <c r="AY1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1!$E:$E"")=$B173) *
        (IMPORTRANGE(""https://docs.google.com/spreadsheets/d/161aHT6vVT3SLneTKD19N5qVWtnj_jIT8CSsOmUVKmaA/e"&amp;"dit?gid=1761053510"",
          ""Haris_Form responses 1!$AQ:$AQ"")=2)
      ),
      1
    ),
    ""0""
  ),
  ""Form not found""
)
"),"Form not found")</f>
        <v>Form not found</v>
      </c>
      <c r="AZ1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1!$E:$E"")=$B173) *
        (IMPORTRANGE(""https://docs.google.com/spreadsheets/d/161aHT6vVT3SLneTKD19N5qVWtnj_jIT8CSsOmUVKmaA/e"&amp;"dit?gid=1761053510"",
          ""Haris_Form responses 1!$AQ:$AQ"")=3)
      ),
      1
    ),
    ""0""
  ),
  ""Form not found""
)
"),"0")</f>
        <v>0</v>
      </c>
      <c r="BA1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1!$E:$E"")=$B173) *
        (IMPORTRANGE(""https://docs.google.com/spreadsheets/d/161aHT6vVT3SLneTKD19N5qVWtnj_jIT8CSsOmUVKmaA/e"&amp;"dit?gid=1761053510"",
          ""Haris_Form responses 1!$AQ:$AQ"")=4)
      ),
      1
    ),
    ""0""
  ),
  ""Form not found""
)
"),"Form not found")</f>
        <v>Form not found</v>
      </c>
      <c r="BB1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1!$E:$E"")=$B173) *
        (IMPORTRANGE(""https://docs.google.com/spreadsheets/d/161aHT6vVT3SLneTKD19N5qVWtnj_jIT8CSsOmUVKmaA/e"&amp;"dit?gid=1761053510"",
          ""Haris_Form responses 1!$AQ:$AQ"")=5)
      ),
      1
    ),
    ""0""
  ),
  ""Form not found""
)
"),"Form not found")</f>
        <v>Form not found</v>
      </c>
      <c r="BC1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1!$E:$E"")=$B173) *
        (IMPORTRANGE(""https://docs.google.com/spreadsheets/d/161aHT6vVT3SLneTKD19N5qVWtnj_jIT8CSsOmUVKmaA/e"&amp;"dit?gid=1761053510"",
          ""Haris_Form responses 1!$AQ:$AQ"")=6)
      ),
      1
    ),
    ""0""
  ),
  ""Form not found""
)
"),"Form not found")</f>
        <v>Form not found</v>
      </c>
      <c r="BD173" s="293"/>
    </row>
    <row r="174">
      <c r="A174" s="283" t="str">
        <f>IFERROR(__xludf.DUMMYFUNCTION("VLOOKUP($B174,IMPORTRANGE(""https://docs.google.com/spreadsheets/d/1VNXDITjs75AcgdBSW27oL1VZH31udDprJSsBcE5xlp4/edit?gid=1551188038#gid=1551188038"", ""Sheet9!$B:$E""),2,false)"),"Multan")</f>
        <v>Multan</v>
      </c>
      <c r="B174" s="283" t="s">
        <v>4618</v>
      </c>
      <c r="C174" s="284" t="str">
        <f>IFERROR(__xludf.DUMMYFUNCTION("VLOOKUP(TRIM($B174), IMPORTRANGE(""https://docs.google.com/spreadsheets/d/1aSOrU4PTpuBZqfitKaH1Rfww6-YOiNCKoBpPl8XBHaw/edit?gid=0#gid=0"", ""sheet3!$B:$C""), 2, FALSE)
"),"Jamia Masjid Qasba Mural Multan")</f>
        <v>Jamia Masjid Qasba Mural Multan</v>
      </c>
      <c r="D174" s="284" t="str">
        <f>IFERROR(__xludf.DUMMYFUNCTION("IFERROR(
  INDEX(
    FILTER(
      IMPORTRANGE(""1aSOrU4PTpuBZqfitKaH1Rfww6-YOiNCKoBpPl8XBHaw/edit?gid=0#gid=0"",""Sheet1!G:G""),
      IMPORTRANGE(""1aSOrU4PTpuBZqfitKaH1Rfww6-YOiNCKoBpPl8XBHaw/edit?gid=0#gid=0"",""Sheet1!C:C"")=$B174
    ),
    1
  ),
"&amp;"  ""Not Found""
)"),"Women Religious Info Share")</f>
        <v>Women Religious Info Share</v>
      </c>
      <c r="E174" s="284" t="str">
        <f>VLOOKUP(B174,'Juma Recording forms'!A:E,5,false)</f>
        <v>Jamie masjid qasba murral Multan </v>
      </c>
      <c r="F174" s="284" t="str">
        <f>IFERROR(__xludf.DUMMYFUNCTION("IFERROR(
  INDEX(
    FILTER(
      IMPORTRANGE(""1Cxrhp3-_-HS7v9uuqQliiIfrmMP4VaFoDNDWyUFy2J8/edit?gid=0#gid=0"",""Sheet1!Q:Q""),
      IMPORTRANGE(""1Cxrhp3-_-HS7v9uuqQliiIfrmMP4VaFoDNDWyUFy2J8/edit?gid=0#gid=0"",""Sheet1!K:K"")=$B174
    ),
    1
  ),
"&amp;"  ""Not Found""
)"),"احسان اللہ")</f>
        <v>احسان اللہ</v>
      </c>
      <c r="G174" s="292">
        <v>1990.0</v>
      </c>
      <c r="H174" s="284"/>
      <c r="I174" s="285" t="s">
        <v>197</v>
      </c>
      <c r="J174" s="286">
        <v>2.0</v>
      </c>
      <c r="K174" s="287" t="str">
        <f>VLOOKUP($B174,'Mosque Locations'!$A:$E,3,FALSE)
</f>
        <v>https://maps.google.com/maps?q=29.9852211%2C71.4147549&amp;z=17&amp;hl=en</v>
      </c>
      <c r="L174" s="286">
        <f>VLOOKUP($B174,'Mosque Locations'!$A:$E,4,FALSE)
</f>
        <v>29.98522</v>
      </c>
      <c r="M174" s="286">
        <f>VLOOKUP($B174,'Mosque Locations'!$A:$E,5,false)</f>
        <v>71.41475</v>
      </c>
      <c r="N174" s="288"/>
      <c r="O174" s="288"/>
      <c r="P174" s="288"/>
      <c r="Q174" s="290" t="str">
        <f>IFERROR(__xludf.DUMMYFUNCTION("IFERROR(
  INDEX(
    FILTER(
      IMPORTRANGE(""1kOrIKZmJfNUkgOVP3sI9BPjaaPA0_a4636oymQxTXg8"",""Form Responses 1!N:N""),
      TRIM(IMPORTRANGE(""1kOrIKZmJfNUkgOVP3sI9BPjaaPA0_a4636oymQxTXg8"",""Form Responses 1!F:F""))=TRIM($B174)
    ),
    1
  ),
  "&amp;"""Not Found""
)
"),"https://drive.google.com/open?id=1Ym47fiNEgt7cu2Z2w76GO5tvN43YjHVH")</f>
        <v>https://drive.google.com/open?id=1Ym47fiNEgt7cu2Z2w76GO5tvN43YjHVH</v>
      </c>
      <c r="R174" s="290" t="str">
        <f>IFERROR(__xludf.DUMMYFUNCTION("IFERROR(
  INDEX(
    FILTER(
      IMPORTRANGE(""1kOrIKZmJfNUkgOVP3sI9BPjaaPA0_a4636oymQxTXg8"",""Form Responses 1!M:M""),
      TRIM(IMPORTRANGE(""1kOrIKZmJfNUkgOVP3sI9BPjaaPA0_a4636oymQxTXg8"",""Form Responses 1!F:F""))=TRIM($B174)
    ),
    1
  ),
  "&amp;"""Not Found""
)
"),"https://drive.google.com/open?id=1NlRTbuXhI0wdRf1gICZsYuZj3Gw5OGL1")</f>
        <v>https://drive.google.com/open?id=1NlRTbuXhI0wdRf1gICZsYuZj3Gw5OGL1</v>
      </c>
      <c r="S174" s="285"/>
      <c r="T174" s="290" t="str">
        <f>VLOOKUP($B174,'Master Tracker'!D:E,2,false)</f>
        <v>https://drive.google.com/open?id=1Zq3mG0-V1G3BJcf6TxTd18GDgaIoLBaE</v>
      </c>
      <c r="U174" s="291" t="str">
        <f>VLOOKUP($B174,'Master Tracker'!$D:$T,4,FALSE)
</f>
        <v>https://drive.google.com/open?id=1UHh_VSfU8j_jlgqrKVRgn_MbR5H_WdfY</v>
      </c>
      <c r="V174" s="290" t="str">
        <f>VLOOKUP($B174,'Master Tracker'!$D:$T,5,false)</f>
        <v>https://drive.google.com/open?id=1CgQmpggBUFn05d7h84ZIvaEsf-E6VBIb</v>
      </c>
      <c r="W174" s="291" t="str">
        <f>VLOOKUP($B174,'Master Tracker'!$D:$T,7,false)</f>
        <v>https://docs.google.com/document/d/1bOba5OQSS7qi929iE3ZGrkftojG45ijh/edit?usp=drive_link&amp;ouid=117122465010506134151&amp;rtpof=true&amp;sd=true</v>
      </c>
      <c r="X174" s="290" t="str">
        <f>VLOOKUP($B174,'Master Tracker'!$D:$T,8,false)</f>
        <v>https://drive.google.com/open?id=1DFnbat9h4RBHHJLX_kahBqvgCRoZ1MKB</v>
      </c>
      <c r="Y174" s="291" t="str">
        <f>VLOOKUP($B174,'Master Tracker'!$D:$T,10,false)</f>
        <v>https://drive.google.com/open?id=1_4WPpUDE0Yr4FdbGQ2rzqQSPfyWJO6qAmDOoQoamyCs</v>
      </c>
      <c r="Z174" s="284" t="str">
        <f>VLOOKUP($B174,'Master Tracker'!$D:$T,11,false)</f>
        <v>Not Found</v>
      </c>
      <c r="AA174" s="292" t="str">
        <f>VLOOKUP($B174,'Master Tracker'!$D:$T,13,false)</f>
        <v>Not Found</v>
      </c>
      <c r="AB174" s="284" t="str">
        <f>VLOOKUP($B174,'Master Tracker'!$D:$T,14,false)</f>
        <v>Not Found</v>
      </c>
      <c r="AC174" s="292" t="str">
        <f>VLOOKUP($B174,'Master Tracker'!$D:$T,16,false)</f>
        <v>Not Found</v>
      </c>
      <c r="AD174" s="292" t="str">
        <f>VLOOKUP($B174,'Master Tracker'!$D:$T,17,false)</f>
        <v>Not Found</v>
      </c>
      <c r="AE174" s="292" t="str">
        <f>VLOOKUP($B174,'Master Tracker'!$D:$V,19,false)</f>
        <v>Not Found</v>
      </c>
      <c r="AF174" s="292">
        <f>IFERROR(__xludf.DUMMYFUNCTION("IFERROR(
  INDEX(
    FILTER(
      'Juma Recording forms'!$G:$G,
      TRIM('Juma Recording forms'!$F:$F) = TRIM($B174),
      'Juma Recording forms'!$AA:$AA = 1
    ),
    1
  ),
  ""Not Found""
)"),149.0)</f>
        <v>149</v>
      </c>
      <c r="AG174" s="292">
        <f>IFERROR(__xludf.DUMMYFUNCTION("IFERROR(
  INDEX(
    FILTER(
      'Juma Recording forms'!$G:$G,
      TRIM('Juma Recording forms'!$F:$F) = TRIM($B174),
      'Juma Recording forms'!$AA:$AA = 2
    ),
    1
  ),
  ""Not Found""
)"),157.0)</f>
        <v>157</v>
      </c>
      <c r="AH174" s="292">
        <f>IFERROR(__xludf.DUMMYFUNCTION("IFERROR(
  INDEX(
    FILTER(
      'Juma Recording forms'!$G:$G,
      TRIM('Juma Recording forms'!$F:$F) = TRIM($B174),
      'Juma Recording forms'!$AA:$AA = 3
    ),
    1
  ),
  ""Not Found""
)"),167.0)</f>
        <v>167</v>
      </c>
      <c r="AI174" s="292" t="str">
        <f>IFERROR(__xludf.DUMMYFUNCTION("IFERROR(
  INDEX(
    FILTER(
      'Juma Recording forms'!$G:$G,
      TRIM('Juma Recording forms'!$F:$F) = TRIM($B174),
      'Juma Recording forms'!$AA:$AA = 4
    ),
    1
  ),
  ""Not Found""
)"),"Not Found")</f>
        <v>Not Found</v>
      </c>
      <c r="AJ174" s="292" t="str">
        <f>IFERROR(__xludf.DUMMYFUNCTION("IFERROR(
  INDEX(
    FILTER(
      'Juma Recording forms'!$G:$G,
      TRIM('Juma Recording forms'!$F:$F) = TRIM($B174),
      'Juma Recording forms'!$AA:$AA = 5
    ),
    1
  ),
  ""Not Found""
)"),"Not Found")</f>
        <v>Not Found</v>
      </c>
      <c r="AK174" s="292" t="str">
        <f>IFERROR(__xludf.DUMMYFUNCTION("IFERROR(
  INDEX(
    FILTER(
      'Juma Recording forms'!$G:$G,
      TRIM('Juma Recording forms'!$F:$F) = TRIM($B174),
      'Juma Recording forms'!$AA:$AA = 6
    ),
    1
  ),
  ""Not Found""
)"),"Not Found")</f>
        <v>Not Found</v>
      </c>
      <c r="AL1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1!$E:$E"")=$B174) *
        (IMPORTRANGE(""https://docs.google.com/spreadsheets/d/161aHT6vVT3SLneTKD19N5qVWtnj_jIT8CSsOmUVKmaA/e"&amp;"dit?gid=1761053510"",
          ""Haris_Form responses 1!$AQ:$AQ"")=1)
      ),
      1
    ),
    ""0""
  ),
  ""Form not found""
)
"),"8")</f>
        <v>8</v>
      </c>
      <c r="AM1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1!$E:$E"")=$B174) *
        (IMPORTRANGE(""https://docs.google.com/spreadsheets/d/161aHT6vVT3SLneTKD19N5qVWtnj_jIT8CSsOmUVKmaA/e"&amp;"dit?gid=1761053510"",
          ""Haris_Form responses 1!$AQ:$AQ"")=2)
      ),
      1
    ),
    ""0""
  ),
  ""Form not found""
)
"),"10")</f>
        <v>10</v>
      </c>
      <c r="AN1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1!$E:$E"")=$B174) *
        (IMPORTRANGE(""https://docs.google.com/spreadsheets/d/161aHT6vVT3SLneTKD19N5qVWtnj_jIT8CSsOmUVKmaA/e"&amp;"dit?gid=1761053510"",
          ""Haris_Form responses 1!$AQ:$AQ"")=3)
      ),
      1
    ),
    ""0""
  ),
  ""Form not found""
)
"),"0")</f>
        <v>0</v>
      </c>
      <c r="AO1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1!$E:$E"")=$B174) *
        (IMPORTRANGE(""https://docs.google.com/spreadsheets/d/161aHT6vVT3SLneTKD19N5qVWtnj_jIT8CSsOmUVKmaA/e"&amp;"dit?gid=1761053510"",
          ""Haris_Form responses 1!$AQ:$AQ"")=4)
      ),
      1
    ),
    ""0""
  ),
  ""Form not found""
)
"),"Form not found")</f>
        <v>Form not found</v>
      </c>
      <c r="AP1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1!$E:$E"")=$B174) *
        (IMPORTRANGE(""https://docs.google.com/spreadsheets/d/161aHT6vVT3SLneTKD19N5qVWtnj_jIT8CSsOmUVKmaA/e"&amp;"dit?gid=1761053510"",
          ""Haris_Form responses 1!$AQ:$AQ"")=5)
      ),
      1
    ),
    ""0""
  ),
  ""Form not found""
)
"),"Form not found")</f>
        <v>Form not found</v>
      </c>
      <c r="AQ1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1!$E:$E"")=$B174) *
        (IMPORTRANGE(""https://docs.google.com/spreadsheets/d/161aHT6vVT3SLneTKD19N5qVWtnj_jIT8CSsOmUVKmaA/e"&amp;"dit?gid=1761053510"",
          ""Haris_Form responses 1!$AQ:$AQ"")=6)
      ),
      1
    ),
    ""0""
  ),
  ""Form not found""
)
"),"Form not found")</f>
        <v>Form not found</v>
      </c>
      <c r="AR1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1!$E:$E"")=$B174) *
        (IMPORTRANGE(""https://docs.google.com/spreadsheets/d/161aHT6vVT3SLneTKD19N5qVWtnj_jIT8CSsOmUVKmaA/e"&amp;"dit?gid=1761053510"",
          ""Haris_Form responses 1!$AQ:$AQ"")=1)
      ),
      1
    ),
    ""0""
  ),
  ""Form not found""
)
"),"0")</f>
        <v>0</v>
      </c>
      <c r="AS1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1!$E:$E"")=$B174) *
        (IMPORTRANGE(""https://docs.google.com/spreadsheets/d/161aHT6vVT3SLneTKD19N5qVWtnj_jIT8CSsOmUVKmaA/e"&amp;"dit?gid=1761053510"",
          ""Haris_Form responses 1!$AQ:$AQ"")=2)
      ),
      1
    ),
    ""0""
  ),
  ""Form not found""
)
"),"0")</f>
        <v>0</v>
      </c>
      <c r="AT1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1!$E:$E"")=$B174) *
        (IMPORTRANGE(""https://docs.google.com/spreadsheets/d/161aHT6vVT3SLneTKD19N5qVWtnj_jIT8CSsOmUVKmaA/e"&amp;"dit?gid=1761053510"",
          ""Haris_Form responses 1!$AQ:$AQ"")=3)
      ),
      1
    ),
    ""0""
  ),
  ""Form not found""
)
"),"0")</f>
        <v>0</v>
      </c>
      <c r="AU1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1!$E:$E"")=$B174) *
        (IMPORTRANGE(""https://docs.google.com/spreadsheets/d/161aHT6vVT3SLneTKD19N5qVWtnj_jIT8CSsOmUVKmaA/e"&amp;"dit?gid=1761053510"",
          ""Haris_Form responses 1!$AQ:$AQ"")=4)
      ),
      1
    ),
    ""0""
  ),
  ""Form not found""
)
"),"Form not found")</f>
        <v>Form not found</v>
      </c>
      <c r="AV1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1!$E:$E"")=$B174) *
        (IMPORTRANGE(""https://docs.google.com/spreadsheets/d/161aHT6vVT3SLneTKD19N5qVWtnj_jIT8CSsOmUVKmaA/e"&amp;"dit?gid=1761053510"",
          ""Haris_Form responses 1!$AQ:$AQ"")=5)
      ),
      1
    ),
    ""0""
  ),
  ""Form not found""
)
"),"Form not found")</f>
        <v>Form not found</v>
      </c>
      <c r="AW1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1!$E:$E"")=$B174) *
        (IMPORTRANGE(""https://docs.google.com/spreadsheets/d/161aHT6vVT3SLneTKD19N5qVWtnj_jIT8CSsOmUVKmaA/e"&amp;"dit?gid=1761053510"",
          ""Haris_Form responses 1!$AQ:$AQ"")=6)
      ),
      1
    ),
    ""0""
  ),
  ""Form not found""
)
"),"Form not found")</f>
        <v>Form not found</v>
      </c>
      <c r="AX1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1!$E:$E"")=$B174) *
        (IMPORTRANGE(""https://docs.google.com/spreadsheets/d/161aHT6vVT3SLneTKD19N5qVWtnj_jIT8CSsOmUVKmaA/e"&amp;"dit?gid=1761053510"",
          ""Haris_Form responses 1!$AQ:$AQ"")=1)
      ),
      1
    ),
    ""0""
  ),
  ""Form not found""
)
"),"8")</f>
        <v>8</v>
      </c>
      <c r="AY1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1!$E:$E"")=$B174) *
        (IMPORTRANGE(""https://docs.google.com/spreadsheets/d/161aHT6vVT3SLneTKD19N5qVWtnj_jIT8CSsOmUVKmaA/e"&amp;"dit?gid=1761053510"",
          ""Haris_Form responses 1!$AQ:$AQ"")=2)
      ),
      1
    ),
    ""0""
  ),
  ""Form not found""
)
"),"10")</f>
        <v>10</v>
      </c>
      <c r="AZ1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1!$E:$E"")=$B174) *
        (IMPORTRANGE(""https://docs.google.com/spreadsheets/d/161aHT6vVT3SLneTKD19N5qVWtnj_jIT8CSsOmUVKmaA/e"&amp;"dit?gid=1761053510"",
          ""Haris_Form responses 1!$AQ:$AQ"")=3)
      ),
      1
    ),
    ""0""
  ),
  ""Form not found""
)
"),"0")</f>
        <v>0</v>
      </c>
      <c r="BA1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1!$E:$E"")=$B174) *
        (IMPORTRANGE(""https://docs.google.com/spreadsheets/d/161aHT6vVT3SLneTKD19N5qVWtnj_jIT8CSsOmUVKmaA/e"&amp;"dit?gid=1761053510"",
          ""Haris_Form responses 1!$AQ:$AQ"")=4)
      ),
      1
    ),
    ""0""
  ),
  ""Form not found""
)
"),"Form not found")</f>
        <v>Form not found</v>
      </c>
      <c r="BB1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1!$E:$E"")=$B174) *
        (IMPORTRANGE(""https://docs.google.com/spreadsheets/d/161aHT6vVT3SLneTKD19N5qVWtnj_jIT8CSsOmUVKmaA/e"&amp;"dit?gid=1761053510"",
          ""Haris_Form responses 1!$AQ:$AQ"")=5)
      ),
      1
    ),
    ""0""
  ),
  ""Form not found""
)
"),"Form not found")</f>
        <v>Form not found</v>
      </c>
      <c r="BC1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1!$E:$E"")=$B174) *
        (IMPORTRANGE(""https://docs.google.com/spreadsheets/d/161aHT6vVT3SLneTKD19N5qVWtnj_jIT8CSsOmUVKmaA/e"&amp;"dit?gid=1761053510"",
          ""Haris_Form responses 1!$AQ:$AQ"")=6)
      ),
      1
    ),
    ""0""
  ),
  ""Form not found""
)
"),"Form not found")</f>
        <v>Form not found</v>
      </c>
      <c r="BD174" s="293"/>
    </row>
    <row r="175">
      <c r="A175" s="283" t="str">
        <f>IFERROR(__xludf.DUMMYFUNCTION("VLOOKUP($B175,IMPORTRANGE(""https://docs.google.com/spreadsheets/d/1VNXDITjs75AcgdBSW27oL1VZH31udDprJSsBcE5xlp4/edit?gid=1551188038#gid=1551188038"", ""Sheet9!$B:$E""),2,false)"),"Multan")</f>
        <v>Multan</v>
      </c>
      <c r="B175" s="283" t="s">
        <v>4619</v>
      </c>
      <c r="C175" s="284" t="str">
        <f>IFERROR(__xludf.DUMMYFUNCTION("VLOOKUP(TRIM($B175), IMPORTRANGE(""https://docs.google.com/spreadsheets/d/1aSOrU4PTpuBZqfitKaH1Rfww6-YOiNCKoBpPl8XBHaw/edit?gid=0#gid=0"", ""sheet3!$B:$C""), 2, FALSE)
"),"Jamia Masjid Sirajaan Wali Hussain Agahi Multan")</f>
        <v>Jamia Masjid Sirajaan Wali Hussain Agahi Multan</v>
      </c>
      <c r="D175" s="284" t="str">
        <f>IFERROR(__xludf.DUMMYFUNCTION("IFERROR(
  INDEX(
    FILTER(
      IMPORTRANGE(""1aSOrU4PTpuBZqfitKaH1Rfww6-YOiNCKoBpPl8XBHaw/edit?gid=0#gid=0"",""Sheet1!G:G""),
      IMPORTRANGE(""1aSOrU4PTpuBZqfitKaH1Rfww6-YOiNCKoBpPl8XBHaw/edit?gid=0#gid=0"",""Sheet1!C:C"")=$B175
    ),
    1
  ),
"&amp;"  ""Not Found""
)"),"Control")</f>
        <v>Control</v>
      </c>
      <c r="E175" s="284" t="str">
        <f>VLOOKUP(B175,'Juma Recording forms'!A:E,5,false)</f>
        <v>جامع مسجد سراجاں حسین آگاہی ملتان</v>
      </c>
      <c r="F175" s="284" t="str">
        <f>IFERROR(__xludf.DUMMYFUNCTION("IFERROR(
  INDEX(
    FILTER(
      IMPORTRANGE(""1Cxrhp3-_-HS7v9uuqQliiIfrmMP4VaFoDNDWyUFy2J8/edit?gid=0#gid=0"",""Sheet1!Q:Q""),
      IMPORTRANGE(""1Cxrhp3-_-HS7v9uuqQliiIfrmMP4VaFoDNDWyUFy2J8/edit?gid=0#gid=0"",""Sheet1!K:K"")=$B175
    ),
    1
  ),
"&amp;"  ""Not Found""
)"),"Qari Abdul rehman raheemi")</f>
        <v>Qari Abdul rehman raheemi</v>
      </c>
      <c r="G175" s="284">
        <v>1960.0</v>
      </c>
      <c r="H175" s="284"/>
      <c r="I175" s="285" t="s">
        <v>197</v>
      </c>
      <c r="J175" s="286">
        <v>2.0</v>
      </c>
      <c r="K175" s="287" t="str">
        <f>VLOOKUP($B175,'Mosque Locations'!$A:$E,3,FALSE)
</f>
        <v>https://www.google.com/maps?q=30.1953384,71.4747022</v>
      </c>
      <c r="L175" s="286">
        <f>VLOOKUP($B175,'Mosque Locations'!$A:$E,4,FALSE)
</f>
        <v>30.19534</v>
      </c>
      <c r="M175" s="286">
        <f>VLOOKUP($B175,'Mosque Locations'!$A:$E,5,false)</f>
        <v>71.4747</v>
      </c>
      <c r="N175" s="288"/>
      <c r="O175" s="288"/>
      <c r="P175" s="288"/>
      <c r="Q175" s="289" t="str">
        <f>IFERROR(__xludf.DUMMYFUNCTION("IFERROR(
  INDEX(
    FILTER(
      IMPORTRANGE(""1kOrIKZmJfNUkgOVP3sI9BPjaaPA0_a4636oymQxTXg8"",""Form Responses 1!N:N""),
      TRIM(IMPORTRANGE(""1kOrIKZmJfNUkgOVP3sI9BPjaaPA0_a4636oymQxTXg8"",""Form Responses 1!F:F""))=TRIM($B175)
    ),
    1
  ),
  "&amp;"""Not Found""
)
"),"https://drive.google.com/open?id=19D1Ast9B10q_aMQyk5Uma0Ggae12fFz2")</f>
        <v>https://drive.google.com/open?id=19D1Ast9B10q_aMQyk5Uma0Ggae12fFz2</v>
      </c>
      <c r="R175" s="289" t="str">
        <f>IFERROR(__xludf.DUMMYFUNCTION("IFERROR(
  INDEX(
    FILTER(
      IMPORTRANGE(""1kOrIKZmJfNUkgOVP3sI9BPjaaPA0_a4636oymQxTXg8"",""Form Responses 1!M:M""),
      TRIM(IMPORTRANGE(""1kOrIKZmJfNUkgOVP3sI9BPjaaPA0_a4636oymQxTXg8"",""Form Responses 1!F:F""))=TRIM($B175)
    ),
    1
  ),
  "&amp;"""Not Found""
)
"),"https://drive.google.com/open?id=1Uq4boy-8BR4S3VRg-Q9mTdXpyxWldVeQ")</f>
        <v>https://drive.google.com/open?id=1Uq4boy-8BR4S3VRg-Q9mTdXpyxWldVeQ</v>
      </c>
      <c r="S175" s="285"/>
      <c r="T175" s="290" t="str">
        <f>VLOOKUP($B175,'Master Tracker'!D:E,2,false)</f>
        <v>https://drive.google.com/open?id=1Ghx3pxpVCivGMF7GW96vU7jo1_OBlL6U</v>
      </c>
      <c r="U175" s="291" t="str">
        <f>VLOOKUP($B175,'Master Tracker'!$D:$T,4,FALSE)
</f>
        <v>https://drive.google.com/open?id=1TJjgQ2NfukZxQwIXoLKaZEcOdg7kRNMhfEQrvd2UFws</v>
      </c>
      <c r="V175" s="284" t="str">
        <f>VLOOKUP($B175,'Master Tracker'!$D:$T,5,false)</f>
        <v>Not Found</v>
      </c>
      <c r="W175" s="292" t="str">
        <f>VLOOKUP($B175,'Master Tracker'!$D:$T,7,false)</f>
        <v>Not Found</v>
      </c>
      <c r="X175" s="290" t="str">
        <f>VLOOKUP($B175,'Master Tracker'!$D:$T,8,false)</f>
        <v>https://drive.google.com/file/d/1Ug8VP292w5tvDKxeTjdSG1E-f2-uV_Em/view?usp=drive_link</v>
      </c>
      <c r="Y175" s="291" t="str">
        <f>VLOOKUP($B175,'Master Tracker'!$D:$T,10,false)</f>
        <v>https://drive.google.com/open?id=1xQZEXbgTrcNzrDxno8nnKjImH8dSf2Ac</v>
      </c>
      <c r="Z175" s="284" t="str">
        <f>VLOOKUP($B175,'Master Tracker'!$D:$T,11,false)</f>
        <v>Not Found</v>
      </c>
      <c r="AA175" s="292" t="str">
        <f>VLOOKUP($B175,'Master Tracker'!$D:$T,13,false)</f>
        <v>Not Found</v>
      </c>
      <c r="AB175" s="284" t="str">
        <f>VLOOKUP($B175,'Master Tracker'!$D:$T,14,false)</f>
        <v>Not Found</v>
      </c>
      <c r="AC175" s="292" t="str">
        <f>VLOOKUP($B175,'Master Tracker'!$D:$T,16,false)</f>
        <v>Not Found</v>
      </c>
      <c r="AD175" s="292" t="str">
        <f>VLOOKUP($B175,'Master Tracker'!$D:$T,17,false)</f>
        <v>Not Found</v>
      </c>
      <c r="AE175" s="292" t="str">
        <f>VLOOKUP($B175,'Master Tracker'!$D:$V,19,false)</f>
        <v>Not Found</v>
      </c>
      <c r="AF175" s="292">
        <f>IFERROR(__xludf.DUMMYFUNCTION("IFERROR(
  INDEX(
    FILTER(
      'Juma Recording forms'!$G:$G,
      TRIM('Juma Recording forms'!$F:$F) = TRIM($B175),
      'Juma Recording forms'!$AA:$AA = 1
    ),
    1
  ),
  ""Not Found""
)"),255.0)</f>
        <v>255</v>
      </c>
      <c r="AG175" s="292" t="str">
        <f>IFERROR(__xludf.DUMMYFUNCTION("IFERROR(
  INDEX(
    FILTER(
      'Juma Recording forms'!$G:$G,
      TRIM('Juma Recording forms'!$F:$F) = TRIM($B175),
      'Juma Recording forms'!$AA:$AA = 2
    ),
    1
  ),
  ""Not Found""
)"),"Not Found")</f>
        <v>Not Found</v>
      </c>
      <c r="AH175" s="292">
        <f>IFERROR(__xludf.DUMMYFUNCTION("IFERROR(
  INDEX(
    FILTER(
      'Juma Recording forms'!$G:$G,
      TRIM('Juma Recording forms'!$F:$F) = TRIM($B175),
      'Juma Recording forms'!$AA:$AA = 3
    ),
    1
  ),
  ""Not Found""
)"),252.0)</f>
        <v>252</v>
      </c>
      <c r="AI175" s="292" t="str">
        <f>IFERROR(__xludf.DUMMYFUNCTION("IFERROR(
  INDEX(
    FILTER(
      'Juma Recording forms'!$G:$G,
      TRIM('Juma Recording forms'!$F:$F) = TRIM($B175),
      'Juma Recording forms'!$AA:$AA = 4
    ),
    1
  ),
  ""Not Found""
)"),"Not Found")</f>
        <v>Not Found</v>
      </c>
      <c r="AJ175" s="292" t="str">
        <f>IFERROR(__xludf.DUMMYFUNCTION("IFERROR(
  INDEX(
    FILTER(
      'Juma Recording forms'!$G:$G,
      TRIM('Juma Recording forms'!$F:$F) = TRIM($B175),
      'Juma Recording forms'!$AA:$AA = 5
    ),
    1
  ),
  ""Not Found""
)"),"Not Found")</f>
        <v>Not Found</v>
      </c>
      <c r="AK175" s="292"/>
      <c r="AL1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1!$E:$E"")=$B175) *
        (IMPORTRANGE(""https://docs.google.com/spreadsheets/d/161aHT6vVT3SLneTKD19N5qVWtnj_jIT8CSsOmUVKmaA/e"&amp;"dit?gid=1761053510"",
          ""Haris_Form responses 1!$AQ:$AQ"")=1)
      ),
      1
    ),
    ""0""
  ),
  ""Form not found""
)
"),"0")</f>
        <v>0</v>
      </c>
      <c r="AM1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1!$E:$E"")=$B175) *
        (IMPORTRANGE(""https://docs.google.com/spreadsheets/d/161aHT6vVT3SLneTKD19N5qVWtnj_jIT8CSsOmUVKmaA/e"&amp;"dit?gid=1761053510"",
          ""Haris_Form responses 1!$AQ:$AQ"")=2)
      ),
      1
    ),
    ""0""
  ),
  ""Form not found""
)
"),"Form not found")</f>
        <v>Form not found</v>
      </c>
      <c r="AN1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1!$E:$E"")=$B175) *
        (IMPORTRANGE(""https://docs.google.com/spreadsheets/d/161aHT6vVT3SLneTKD19N5qVWtnj_jIT8CSsOmUVKmaA/e"&amp;"dit?gid=1761053510"",
          ""Haris_Form responses 1!$AQ:$AQ"")=3)
      ),
      1
    ),
    ""0""
  ),
  ""Form not found""
)
"),"0")</f>
        <v>0</v>
      </c>
      <c r="AO1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1!$E:$E"")=$B175) *
        (IMPORTRANGE(""https://docs.google.com/spreadsheets/d/161aHT6vVT3SLneTKD19N5qVWtnj_jIT8CSsOmUVKmaA/e"&amp;"dit?gid=1761053510"",
          ""Haris_Form responses 1!$AQ:$AQ"")=4)
      ),
      1
    ),
    ""0""
  ),
  ""Form not found""
)
"),"Form not found")</f>
        <v>Form not found</v>
      </c>
      <c r="AP1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1!$E:$E"")=$B175) *
        (IMPORTRANGE(""https://docs.google.com/spreadsheets/d/161aHT6vVT3SLneTKD19N5qVWtnj_jIT8CSsOmUVKmaA/e"&amp;"dit?gid=1761053510"",
          ""Haris_Form responses 1!$AQ:$AQ"")=5)
      ),
      1
    ),
    ""0""
  ),
  ""Form not found""
)
"),"Form not found")</f>
        <v>Form not found</v>
      </c>
      <c r="AQ1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1!$E:$E"")=$B175) *
        (IMPORTRANGE(""https://docs.google.com/spreadsheets/d/161aHT6vVT3SLneTKD19N5qVWtnj_jIT8CSsOmUVKmaA/e"&amp;"dit?gid=1761053510"",
          ""Haris_Form responses 1!$AQ:$AQ"")=6)
      ),
      1
    ),
    ""0""
  ),
  ""Form not found""
)
"),"Form not found")</f>
        <v>Form not found</v>
      </c>
      <c r="AR1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1!$E:$E"")=$B175) *
        (IMPORTRANGE(""https://docs.google.com/spreadsheets/d/161aHT6vVT3SLneTKD19N5qVWtnj_jIT8CSsOmUVKmaA/e"&amp;"dit?gid=1761053510"",
          ""Haris_Form responses 1!$AQ:$AQ"")=1)
      ),
      1
    ),
    ""0""
  ),
  ""Form not found""
)
"),"0")</f>
        <v>0</v>
      </c>
      <c r="AS1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1!$E:$E"")=$B175) *
        (IMPORTRANGE(""https://docs.google.com/spreadsheets/d/161aHT6vVT3SLneTKD19N5qVWtnj_jIT8CSsOmUVKmaA/e"&amp;"dit?gid=1761053510"",
          ""Haris_Form responses 1!$AQ:$AQ"")=2)
      ),
      1
    ),
    ""0""
  ),
  ""Form not found""
)
"),"Form not found")</f>
        <v>Form not found</v>
      </c>
      <c r="AT1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1!$E:$E"")=$B175) *
        (IMPORTRANGE(""https://docs.google.com/spreadsheets/d/161aHT6vVT3SLneTKD19N5qVWtnj_jIT8CSsOmUVKmaA/e"&amp;"dit?gid=1761053510"",
          ""Haris_Form responses 1!$AQ:$AQ"")=3)
      ),
      1
    ),
    ""0""
  ),
  ""Form not found""
)
"),"0")</f>
        <v>0</v>
      </c>
      <c r="AU1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1!$E:$E"")=$B175) *
        (IMPORTRANGE(""https://docs.google.com/spreadsheets/d/161aHT6vVT3SLneTKD19N5qVWtnj_jIT8CSsOmUVKmaA/e"&amp;"dit?gid=1761053510"",
          ""Haris_Form responses 1!$AQ:$AQ"")=4)
      ),
      1
    ),
    ""0""
  ),
  ""Form not found""
)
"),"Form not found")</f>
        <v>Form not found</v>
      </c>
      <c r="AV1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1!$E:$E"")=$B175) *
        (IMPORTRANGE(""https://docs.google.com/spreadsheets/d/161aHT6vVT3SLneTKD19N5qVWtnj_jIT8CSsOmUVKmaA/e"&amp;"dit?gid=1761053510"",
          ""Haris_Form responses 1!$AQ:$AQ"")=5)
      ),
      1
    ),
    ""0""
  ),
  ""Form not found""
)
"),"Form not found")</f>
        <v>Form not found</v>
      </c>
      <c r="AW1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1!$E:$E"")=$B175) *
        (IMPORTRANGE(""https://docs.google.com/spreadsheets/d/161aHT6vVT3SLneTKD19N5qVWtnj_jIT8CSsOmUVKmaA/e"&amp;"dit?gid=1761053510"",
          ""Haris_Form responses 1!$AQ:$AQ"")=6)
      ),
      1
    ),
    ""0""
  ),
  ""Form not found""
)
"),"Form not found")</f>
        <v>Form not found</v>
      </c>
      <c r="AX1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1!$E:$E"")=$B175) *
        (IMPORTRANGE(""https://docs.google.com/spreadsheets/d/161aHT6vVT3SLneTKD19N5qVWtnj_jIT8CSsOmUVKmaA/e"&amp;"dit?gid=1761053510"",
          ""Haris_Form responses 1!$AQ:$AQ"")=1)
      ),
      1
    ),
    ""0""
  ),
  ""Form not found""
)
"),"0")</f>
        <v>0</v>
      </c>
      <c r="AY1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1!$E:$E"")=$B175) *
        (IMPORTRANGE(""https://docs.google.com/spreadsheets/d/161aHT6vVT3SLneTKD19N5qVWtnj_jIT8CSsOmUVKmaA/e"&amp;"dit?gid=1761053510"",
          ""Haris_Form responses 1!$AQ:$AQ"")=2)
      ),
      1
    ),
    ""0""
  ),
  ""Form not found""
)
"),"Form not found")</f>
        <v>Form not found</v>
      </c>
      <c r="AZ1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1!$E:$E"")=$B175) *
        (IMPORTRANGE(""https://docs.google.com/spreadsheets/d/161aHT6vVT3SLneTKD19N5qVWtnj_jIT8CSsOmUVKmaA/e"&amp;"dit?gid=1761053510"",
          ""Haris_Form responses 1!$AQ:$AQ"")=3)
      ),
      1
    ),
    ""0""
  ),
  ""Form not found""
)
"),"1")</f>
        <v>1</v>
      </c>
      <c r="BA1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1!$E:$E"")=$B175) *
        (IMPORTRANGE(""https://docs.google.com/spreadsheets/d/161aHT6vVT3SLneTKD19N5qVWtnj_jIT8CSsOmUVKmaA/e"&amp;"dit?gid=1761053510"",
          ""Haris_Form responses 1!$AQ:$AQ"")=4)
      ),
      1
    ),
    ""0""
  ),
  ""Form not found""
)
"),"Form not found")</f>
        <v>Form not found</v>
      </c>
      <c r="BB1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1!$E:$E"")=$B175) *
        (IMPORTRANGE(""https://docs.google.com/spreadsheets/d/161aHT6vVT3SLneTKD19N5qVWtnj_jIT8CSsOmUVKmaA/e"&amp;"dit?gid=1761053510"",
          ""Haris_Form responses 1!$AQ:$AQ"")=5)
      ),
      1
    ),
    ""0""
  ),
  ""Form not found""
)
"),"Form not found")</f>
        <v>Form not found</v>
      </c>
      <c r="BC1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1!$E:$E"")=$B175) *
        (IMPORTRANGE(""https://docs.google.com/spreadsheets/d/161aHT6vVT3SLneTKD19N5qVWtnj_jIT8CSsOmUVKmaA/e"&amp;"dit?gid=1761053510"",
          ""Haris_Form responses 1!$AQ:$AQ"")=6)
      ),
      1
    ),
    ""0""
  ),
  ""Form not found""
)
"),"Form not found")</f>
        <v>Form not found</v>
      </c>
      <c r="BD175" s="293"/>
    </row>
    <row r="176">
      <c r="A176" s="283" t="str">
        <f>IFERROR(__xludf.DUMMYFUNCTION("VLOOKUP($B176,IMPORTRANGE(""https://docs.google.com/spreadsheets/d/1VNXDITjs75AcgdBSW27oL1VZH31udDprJSsBcE5xlp4/edit?gid=1551188038#gid=1551188038"", ""Sheet9!$B:$E""),2,false)"),"Multan")</f>
        <v>Multan</v>
      </c>
      <c r="B176" s="283" t="s">
        <v>4620</v>
      </c>
      <c r="C176" s="284" t="str">
        <f>IFERROR(__xludf.DUMMYFUNCTION("VLOOKUP(TRIM($B176), IMPORTRANGE(""https://docs.google.com/spreadsheets/d/1aSOrU4PTpuBZqfitKaH1Rfww6-YOiNCKoBpPl8XBHaw/edit?gid=0#gid=0"", ""sheet3!$B:$C""), 2, FALSE)
"),"Jamia Masjid Shah Rukan Alam Multan")</f>
        <v>Jamia Masjid Shah Rukan Alam Multan</v>
      </c>
      <c r="D176" s="284" t="str">
        <f>IFERROR(__xludf.DUMMYFUNCTION("IFERROR(
  INDEX(
    FILTER(
      IMPORTRANGE(""1aSOrU4PTpuBZqfitKaH1Rfww6-YOiNCKoBpPl8XBHaw/edit?gid=0#gid=0"",""Sheet1!G:G""),
      IMPORTRANGE(""1aSOrU4PTpuBZqfitKaH1Rfww6-YOiNCKoBpPl8XBHaw/edit?gid=0#gid=0"",""Sheet1!C:C"")=$B176
    ),
    1
  ),
"&amp;"  ""Not Found""
)"),"Community Religious Info Share")</f>
        <v>Community Religious Info Share</v>
      </c>
      <c r="E176" s="284" t="str">
        <f>VLOOKUP(B176,'Juma Recording forms'!A:E,5,false)</f>
        <v>Masjid Darbar  shah Rukne e alam </v>
      </c>
      <c r="F176" s="284" t="str">
        <f>IFERROR(__xludf.DUMMYFUNCTION("IFERROR(
  INDEX(
    FILTER(
      IMPORTRANGE(""1Cxrhp3-_-HS7v9uuqQliiIfrmMP4VaFoDNDWyUFy2J8/edit?gid=0#gid=0"",""Sheet1!Q:Q""),
      IMPORTRANGE(""1Cxrhp3-_-HS7v9uuqQliiIfrmMP4VaFoDNDWyUFy2J8/edit?gid=0#gid=0"",""Sheet1!K:K"")=$B176
    ),
    1
  ),
"&amp;"  ""Not Found""
)"),"Faiz ul hassan gillani")</f>
        <v>Faiz ul hassan gillani</v>
      </c>
      <c r="G176" s="284">
        <v>1300.0</v>
      </c>
      <c r="H176" s="284" t="s">
        <v>4867</v>
      </c>
      <c r="I176" s="285" t="s">
        <v>197</v>
      </c>
      <c r="J176" s="286">
        <v>2.0</v>
      </c>
      <c r="K176" s="287" t="str">
        <f>VLOOKUP($B176,'Mosque Locations'!$A:$E,3,FALSE)
</f>
        <v>https://www.google.com/maps?q=30.1998957,71.4709369&amp;z=17&amp;hl=en</v>
      </c>
      <c r="L176" s="286">
        <f>VLOOKUP($B176,'Mosque Locations'!$A:$E,4,FALSE)
</f>
        <v>30.1999</v>
      </c>
      <c r="M176" s="286">
        <f>VLOOKUP($B176,'Mosque Locations'!$A:$E,5,false)</f>
        <v>71.47094</v>
      </c>
      <c r="N176" s="288"/>
      <c r="O176" s="288"/>
      <c r="P176" s="288"/>
      <c r="Q176" s="295" t="str">
        <f>IFERROR(__xludf.DUMMYFUNCTION("IFERROR(
  INDEX(
    FILTER(
      IMPORTRANGE(""1kOrIKZmJfNUkgOVP3sI9BPjaaPA0_a4636oymQxTXg8"",""Form Responses 1!N:N""),
      TRIM(IMPORTRANGE(""1kOrIKZmJfNUkgOVP3sI9BPjaaPA0_a4636oymQxTXg8"",""Form Responses 1!F:F""))=TRIM($B176)
    ),
    1
  ),
  "&amp;"""Not Found""
)
"),"https://drive.google.com/open?id=1vWEWTZBdhUJhZa4Qg0G_hqBOib929ErW")</f>
        <v>https://drive.google.com/open?id=1vWEWTZBdhUJhZa4Qg0G_hqBOib929ErW</v>
      </c>
      <c r="R176" s="301" t="str">
        <f>IFERROR(__xludf.DUMMYFUNCTION("IFERROR(
  INDEX(
    FILTER(
      IMPORTRANGE(""1kOrIKZmJfNUkgOVP3sI9BPjaaPA0_a4636oymQxTXg8"",""Form Responses 1!M:M""),
      TRIM(IMPORTRANGE(""1kOrIKZmJfNUkgOVP3sI9BPjaaPA0_a4636oymQxTXg8"",""Form Responses 1!F:F""))=TRIM($B176)
    ),
    1
  ),
  "&amp;"""Not Found""
)
"),"https://drive.google.com/open?id=1-vuOQvonXRZo7elwwmSj6hTwFnq5Bks-")</f>
        <v>https://drive.google.com/open?id=1-vuOQvonXRZo7elwwmSj6hTwFnq5Bks-</v>
      </c>
      <c r="S176" s="285"/>
      <c r="T176" s="290" t="str">
        <f>VLOOKUP($B176,'Master Tracker'!D:E,2,false)</f>
        <v>https://drive.google.com/open?id=1STqfOI4emRKoiaFelzrl9vBeuiZLRlRx</v>
      </c>
      <c r="U176" s="291" t="str">
        <f>VLOOKUP($B176,'Master Tracker'!$D:$T,4,FALSE)
</f>
        <v>https://drive.google.com/open?id=1kfmXUGCFp3R3Rx0heKIhA7gqE6pPrQdA</v>
      </c>
      <c r="V176" s="290" t="str">
        <f>VLOOKUP($B176,'Master Tracker'!$D:$T,5,false)</f>
        <v>https://drive.google.com/open?id=1qc0R40f2JKwB-mpWh4iocbEyXjx4ddI5</v>
      </c>
      <c r="W176" s="291" t="str">
        <f>VLOOKUP($B176,'Master Tracker'!$D:$T,7,false)</f>
        <v>https://drive.google.com/open?id=1w3wpe8ff8JkRekFBmCZvcOZDmvTNDiFx</v>
      </c>
      <c r="X176" s="290" t="str">
        <f>VLOOKUP($B176,'Master Tracker'!$D:$T,8,false)</f>
        <v>https://drive.google.com/open?id=1wBYsd0ucYmOBADlFDofGXrNXGFUTa95U</v>
      </c>
      <c r="Y176" s="291" t="str">
        <f>VLOOKUP($B176,'Master Tracker'!$D:$T,10,false)</f>
        <v>https://drive.google.com/open?id=19NJuuQEVdTY4gU1cGGAr9z5mTg-Gy48j</v>
      </c>
      <c r="Z176" s="290" t="str">
        <f>VLOOKUP($B176,'Master Tracker'!$D:$T,11,false)</f>
        <v>https://drive.google.com/open?id=1xPuxIajfX6SaNF29BkGYOGCFWMg77yrc</v>
      </c>
      <c r="AA176" s="291" t="str">
        <f>VLOOKUP($B176,'Master Tracker'!$D:$T,13,false)</f>
        <v>https://drive.google.com/open?id=1g6k69ozpmBe8YBrfke5gUOBw_ZkMRBhW</v>
      </c>
      <c r="AB176" s="284" t="str">
        <f>VLOOKUP($B176,'Master Tracker'!$D:$T,14,false)</f>
        <v>Not Found</v>
      </c>
      <c r="AC176" s="292" t="str">
        <f>VLOOKUP($B176,'Master Tracker'!$D:$T,16,false)</f>
        <v>Not Found</v>
      </c>
      <c r="AD176" s="292" t="str">
        <f>VLOOKUP($B176,'Master Tracker'!$D:$T,17,false)</f>
        <v>Not Found</v>
      </c>
      <c r="AE176" s="292" t="str">
        <f>VLOOKUP($B176,'Master Tracker'!$D:$V,19,false)</f>
        <v>Not Found</v>
      </c>
      <c r="AF176" s="292">
        <f>IFERROR(__xludf.DUMMYFUNCTION("IFERROR(
  INDEX(
    FILTER(
      'Juma Recording forms'!$G:$G,
      TRIM('Juma Recording forms'!$F:$F) = TRIM($B176),
      'Juma Recording forms'!$AA:$AA = 1
    ),
    1
  ),
  ""Not Found""
)"),313.0)</f>
        <v>313</v>
      </c>
      <c r="AG176" s="292">
        <f>IFERROR(__xludf.DUMMYFUNCTION("IFERROR(
  INDEX(
    FILTER(
      'Juma Recording forms'!$G:$G,
      TRIM('Juma Recording forms'!$F:$F) = TRIM($B176),
      'Juma Recording forms'!$AA:$AA = 2
    ),
    1
  ),
  ""Not Found""
)"),385.0)</f>
        <v>385</v>
      </c>
      <c r="AH176" s="292">
        <f>IFERROR(__xludf.DUMMYFUNCTION("IFERROR(
  INDEX(
    FILTER(
      'Juma Recording forms'!$G:$G,
      TRIM('Juma Recording forms'!$F:$F) = TRIM($B176),
      'Juma Recording forms'!$AA:$AA = 3
    ),
    1
  ),
  ""Not Found""
)"),357.0)</f>
        <v>357</v>
      </c>
      <c r="AI176" s="292">
        <f>IFERROR(__xludf.DUMMYFUNCTION("IFERROR(
  INDEX(
    FILTER(
      'Juma Recording forms'!$G:$G,
      TRIM('Juma Recording forms'!$F:$F) = TRIM($B176),
      'Juma Recording forms'!$AA:$AA = 4
    ),
    1
  ),
  ""Not Found""
)"),377.0)</f>
        <v>377</v>
      </c>
      <c r="AJ176" s="292" t="str">
        <f>IFERROR(__xludf.DUMMYFUNCTION("IFERROR(
  INDEX(
    FILTER(
      'Juma Recording forms'!$G:$G,
      TRIM('Juma Recording forms'!$F:$F) = TRIM($B176),
      'Juma Recording forms'!$AA:$AA = 5
    ),
    1
  ),
  ""Not Found""
)"),"Not Found")</f>
        <v>Not Found</v>
      </c>
      <c r="AK176" s="292" t="str">
        <f>IFERROR(__xludf.DUMMYFUNCTION("IFERROR(
  INDEX(
    FILTER(
      'Juma Recording forms'!$G:$G,
      TRIM('Juma Recording forms'!$F:$F) = TRIM($B176),
      'Juma Recording forms'!$AA:$AA = 6
    ),
    1
  ),
  ""Not Found""
)"),"Not Found")</f>
        <v>Not Found</v>
      </c>
      <c r="AL1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1!$E:$E"")=$B176) *
        (IMPORTRANGE(""https://docs.google.com/spreadsheets/d/161aHT6vVT3SLneTKD19N5qVWtnj_jIT8CSsOmUVKmaA/e"&amp;"dit?gid=1761053510"",
          ""Haris_Form responses 1!$AQ:$AQ"")=1)
      ),
      1
    ),
    ""0""
  ),
  ""Form not found""
)
"),"0")</f>
        <v>0</v>
      </c>
      <c r="AM1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1!$E:$E"")=$B176) *
        (IMPORTRANGE(""https://docs.google.com/spreadsheets/d/161aHT6vVT3SLneTKD19N5qVWtnj_jIT8CSsOmUVKmaA/e"&amp;"dit?gid=1761053510"",
          ""Haris_Form responses 1!$AQ:$AQ"")=2)
      ),
      1
    ),
    ""0""
  ),
  ""Form not found""
)
"),"5")</f>
        <v>5</v>
      </c>
      <c r="AN1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1!$E:$E"")=$B176) *
        (IMPORTRANGE(""https://docs.google.com/spreadsheets/d/161aHT6vVT3SLneTKD19N5qVWtnj_jIT8CSsOmUVKmaA/e"&amp;"dit?gid=1761053510"",
          ""Haris_Form responses 1!$AQ:$AQ"")=3)
      ),
      1
    ),
    ""0""
  ),
  ""Form not found""
)
"),"10")</f>
        <v>10</v>
      </c>
      <c r="AO1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1!$E:$E"")=$B176) *
        (IMPORTRANGE(""https://docs.google.com/spreadsheets/d/161aHT6vVT3SLneTKD19N5qVWtnj_jIT8CSsOmUVKmaA/e"&amp;"dit?gid=1761053510"",
          ""Haris_Form responses 1!$AQ:$AQ"")=4)
      ),
      1
    ),
    ""0""
  ),
  ""Form not found""
)
"),"0")</f>
        <v>0</v>
      </c>
      <c r="AP1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1!$E:$E"")=$B176) *
        (IMPORTRANGE(""https://docs.google.com/spreadsheets/d/161aHT6vVT3SLneTKD19N5qVWtnj_jIT8CSsOmUVKmaA/e"&amp;"dit?gid=1761053510"",
          ""Haris_Form responses 1!$AQ:$AQ"")=5)
      ),
      1
    ),
    ""0""
  ),
  ""Form not found""
)
"),"Form not found")</f>
        <v>Form not found</v>
      </c>
      <c r="AQ1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1!$E:$E"")=$B176) *
        (IMPORTRANGE(""https://docs.google.com/spreadsheets/d/161aHT6vVT3SLneTKD19N5qVWtnj_jIT8CSsOmUVKmaA/e"&amp;"dit?gid=1761053510"",
          ""Haris_Form responses 1!$AQ:$AQ"")=6)
      ),
      1
    ),
    ""0""
  ),
  ""Form not found""
)
"),"Form not found")</f>
        <v>Form not found</v>
      </c>
      <c r="AR1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1!$E:$E"")=$B176) *
        (IMPORTRANGE(""https://docs.google.com/spreadsheets/d/161aHT6vVT3SLneTKD19N5qVWtnj_jIT8CSsOmUVKmaA/e"&amp;"dit?gid=1761053510"",
          ""Haris_Form responses 1!$AQ:$AQ"")=1)
      ),
      1
    ),
    ""0""
  ),
  ""Form not found""
)
"),"0")</f>
        <v>0</v>
      </c>
      <c r="AS1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1!$E:$E"")=$B176) *
        (IMPORTRANGE(""https://docs.google.com/spreadsheets/d/161aHT6vVT3SLneTKD19N5qVWtnj_jIT8CSsOmUVKmaA/e"&amp;"dit?gid=1761053510"",
          ""Haris_Form responses 1!$AQ:$AQ"")=2)
      ),
      1
    ),
    ""0""
  ),
  ""Form not found""
)
"),"5")</f>
        <v>5</v>
      </c>
      <c r="AT1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1!$E:$E"")=$B176) *
        (IMPORTRANGE(""https://docs.google.com/spreadsheets/d/161aHT6vVT3SLneTKD19N5qVWtnj_jIT8CSsOmUVKmaA/e"&amp;"dit?gid=1761053510"",
          ""Haris_Form responses 1!$AQ:$AQ"")=3)
      ),
      1
    ),
    ""0""
  ),
  ""Form not found""
)
"),"10")</f>
        <v>10</v>
      </c>
      <c r="AU1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1!$E:$E"")=$B176) *
        (IMPORTRANGE(""https://docs.google.com/spreadsheets/d/161aHT6vVT3SLneTKD19N5qVWtnj_jIT8CSsOmUVKmaA/e"&amp;"dit?gid=1761053510"",
          ""Haris_Form responses 1!$AQ:$AQ"")=4)
      ),
      1
    ),
    ""0""
  ),
  ""Form not found""
)
"),"0")</f>
        <v>0</v>
      </c>
      <c r="AV1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1!$E:$E"")=$B176) *
        (IMPORTRANGE(""https://docs.google.com/spreadsheets/d/161aHT6vVT3SLneTKD19N5qVWtnj_jIT8CSsOmUVKmaA/e"&amp;"dit?gid=1761053510"",
          ""Haris_Form responses 1!$AQ:$AQ"")=5)
      ),
      1
    ),
    ""0""
  ),
  ""Form not found""
)
"),"Form not found")</f>
        <v>Form not found</v>
      </c>
      <c r="AW1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1!$E:$E"")=$B176) *
        (IMPORTRANGE(""https://docs.google.com/spreadsheets/d/161aHT6vVT3SLneTKD19N5qVWtnj_jIT8CSsOmUVKmaA/e"&amp;"dit?gid=1761053510"",
          ""Haris_Form responses 1!$AQ:$AQ"")=6)
      ),
      1
    ),
    ""0""
  ),
  ""Form not found""
)
"),"Form not found")</f>
        <v>Form not found</v>
      </c>
      <c r="AX1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1!$E:$E"")=$B176) *
        (IMPORTRANGE(""https://docs.google.com/spreadsheets/d/161aHT6vVT3SLneTKD19N5qVWtnj_jIT8CSsOmUVKmaA/e"&amp;"dit?gid=1761053510"",
          ""Haris_Form responses 1!$AQ:$AQ"")=1)
      ),
      1
    ),
    ""0""
  ),
  ""Form not found""
)
"),"0")</f>
        <v>0</v>
      </c>
      <c r="AY1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1!$E:$E"")=$B176) *
        (IMPORTRANGE(""https://docs.google.com/spreadsheets/d/161aHT6vVT3SLneTKD19N5qVWtnj_jIT8CSsOmUVKmaA/e"&amp;"dit?gid=1761053510"",
          ""Haris_Form responses 1!$AQ:$AQ"")=2)
      ),
      1
    ),
    ""0""
  ),
  ""Form not found""
)
"),"0")</f>
        <v>0</v>
      </c>
      <c r="AZ1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1!$E:$E"")=$B176) *
        (IMPORTRANGE(""https://docs.google.com/spreadsheets/d/161aHT6vVT3SLneTKD19N5qVWtnj_jIT8CSsOmUVKmaA/e"&amp;"dit?gid=1761053510"",
          ""Haris_Form responses 1!$AQ:$AQ"")=3)
      ),
      1
    ),
    ""0""
  ),
  ""Form not found""
)
"),"0")</f>
        <v>0</v>
      </c>
      <c r="BA1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1!$E:$E"")=$B176) *
        (IMPORTRANGE(""https://docs.google.com/spreadsheets/d/161aHT6vVT3SLneTKD19N5qVWtnj_jIT8CSsOmUVKmaA/e"&amp;"dit?gid=1761053510"",
          ""Haris_Form responses 1!$AQ:$AQ"")=4)
      ),
      1
    ),
    ""0""
  ),
  ""Form not found""
)
"),"0")</f>
        <v>0</v>
      </c>
      <c r="BB1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1!$E:$E"")=$B176) *
        (IMPORTRANGE(""https://docs.google.com/spreadsheets/d/161aHT6vVT3SLneTKD19N5qVWtnj_jIT8CSsOmUVKmaA/e"&amp;"dit?gid=1761053510"",
          ""Haris_Form responses 1!$AQ:$AQ"")=5)
      ),
      1
    ),
    ""0""
  ),
  ""Form not found""
)
"),"Form not found")</f>
        <v>Form not found</v>
      </c>
      <c r="BC1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1!$E:$E"")=$B176) *
        (IMPORTRANGE(""https://docs.google.com/spreadsheets/d/161aHT6vVT3SLneTKD19N5qVWtnj_jIT8CSsOmUVKmaA/e"&amp;"dit?gid=1761053510"",
          ""Haris_Form responses 1!$AQ:$AQ"")=6)
      ),
      1
    ),
    ""0""
  ),
  ""Form not found""
)
"),"Form not found")</f>
        <v>Form not found</v>
      </c>
      <c r="BD176" s="293"/>
    </row>
    <row r="177">
      <c r="A177" s="283" t="str">
        <f>IFERROR(__xludf.DUMMYFUNCTION("VLOOKUP($B177,IMPORTRANGE(""https://docs.google.com/spreadsheets/d/1VNXDITjs75AcgdBSW27oL1VZH31udDprJSsBcE5xlp4/edit?gid=1551188038#gid=1551188038"", ""Sheet9!$B:$E""),2,false)"),"Multan")</f>
        <v>Multan</v>
      </c>
      <c r="B177" s="283" t="s">
        <v>4621</v>
      </c>
      <c r="C177" s="284" t="str">
        <f>IFERROR(__xludf.DUMMYFUNCTION("VLOOKUP(TRIM($B177), IMPORTRANGE(""https://docs.google.com/spreadsheets/d/1aSOrU4PTpuBZqfitKaH1Rfww6-YOiNCKoBpPl8XBHaw/edit?gid=0#gid=0"", ""sheet3!$B:$C""), 2, FALSE)
"),"Jamia Masjid Balochaan Wali Multan")</f>
        <v>Jamia Masjid Balochaan Wali Multan</v>
      </c>
      <c r="D177" s="284" t="str">
        <f>IFERROR(__xludf.DUMMYFUNCTION("IFERROR(
  INDEX(
    FILTER(
      IMPORTRANGE(""1aSOrU4PTpuBZqfitKaH1Rfww6-YOiNCKoBpPl8XBHaw/edit?gid=0#gid=0"",""Sheet1!G:G""),
      IMPORTRANGE(""1aSOrU4PTpuBZqfitKaH1Rfww6-YOiNCKoBpPl8XBHaw/edit?gid=0#gid=0"",""Sheet1!C:C"")=$B177
    ),
    1
  ),
"&amp;"  ""Not Found""
)"),"Women Religious Info Share")</f>
        <v>Women Religious Info Share</v>
      </c>
      <c r="E177" s="284" t="str">
        <f>VLOOKUP(B177,'Juma Recording forms'!A:E,5,false)</f>
        <v>Jamia Masjid Balochan Vali, Khoni Burj Multan</v>
      </c>
      <c r="F177" s="284" t="str">
        <f>IFERROR(__xludf.DUMMYFUNCTION("IFERROR(
  INDEX(
    FILTER(
      IMPORTRANGE(""1Cxrhp3-_-HS7v9uuqQliiIfrmMP4VaFoDNDWyUFy2J8/edit?gid=0#gid=0"",""Sheet1!Q:Q""),
      IMPORTRANGE(""1Cxrhp3-_-HS7v9uuqQliiIfrmMP4VaFoDNDWyUFy2J8/edit?gid=0#gid=0"",""Sheet1!K:K"")=$B177
    ),
    1
  ),
"&amp;"  ""Not Found""
)"),"Qari muhammad ibrahim")</f>
        <v>Qari muhammad ibrahim</v>
      </c>
      <c r="G177" s="284">
        <v>2004.0</v>
      </c>
      <c r="H177" s="284"/>
      <c r="I177" s="285" t="s">
        <v>197</v>
      </c>
      <c r="J177" s="286">
        <v>2.0</v>
      </c>
      <c r="K177" s="287" t="str">
        <f>VLOOKUP($B177,'Mosque Locations'!$A:$E,3,FALSE)
</f>
        <v>https://maps.app.goo.gl/F3rEtYsCERKCV2t69</v>
      </c>
      <c r="L177" s="286">
        <f>VLOOKUP($B177,'Mosque Locations'!$A:$E,4,FALSE)
</f>
        <v>30.18693</v>
      </c>
      <c r="M177" s="286">
        <f>VLOOKUP($B177,'Mosque Locations'!$A:$E,5,false)</f>
        <v>71.47532</v>
      </c>
      <c r="N177" s="288"/>
      <c r="O177" s="288"/>
      <c r="P177" s="288"/>
      <c r="Q177" s="290" t="str">
        <f>IFERROR(__xludf.DUMMYFUNCTION("IFERROR(
  INDEX(
    FILTER(
      IMPORTRANGE(""1kOrIKZmJfNUkgOVP3sI9BPjaaPA0_a4636oymQxTXg8"",""Form Responses 1!N:N""),
      TRIM(IMPORTRANGE(""1kOrIKZmJfNUkgOVP3sI9BPjaaPA0_a4636oymQxTXg8"",""Form Responses 1!F:F""))=TRIM($B177)
    ),
    1
  ),
  "&amp;"""Not Found""
)
"),"https://drive.google.com/open?id=13ST8-c4zQ4aWd5b-kD0WE3gQeU25cUpV")</f>
        <v>https://drive.google.com/open?id=13ST8-c4zQ4aWd5b-kD0WE3gQeU25cUpV</v>
      </c>
      <c r="R177" s="289" t="str">
        <f>IFERROR(__xludf.DUMMYFUNCTION("IFERROR(
  INDEX(
    FILTER(
      IMPORTRANGE(""1kOrIKZmJfNUkgOVP3sI9BPjaaPA0_a4636oymQxTXg8"",""Form Responses 1!M:M""),
      TRIM(IMPORTRANGE(""1kOrIKZmJfNUkgOVP3sI9BPjaaPA0_a4636oymQxTXg8"",""Form Responses 1!F:F""))=TRIM($B177)
    ),
    1
  ),
  "&amp;"""Not Found""
)
"),"https://drive.google.com/open?id=1qTbERFhWJX3JOHN2yb7ZyLvADA5HcKEW")</f>
        <v>https://drive.google.com/open?id=1qTbERFhWJX3JOHN2yb7ZyLvADA5HcKEW</v>
      </c>
      <c r="S177" s="285"/>
      <c r="T177" s="290" t="str">
        <f>VLOOKUP($B177,'Master Tracker'!D:E,2,false)</f>
        <v>https://drive.google.com/open?id=1AxtL0VVX29TEnC2UQkHp2nrMeXiuC1wd</v>
      </c>
      <c r="U177" s="291" t="str">
        <f>VLOOKUP($B177,'Master Tracker'!$D:$T,4,FALSE)
</f>
        <v>https://drive.google.com/open?id=1C1hK6jhcOQb6aMCdSlInXBvoQFZLS5WqfJNggIjX8Pk</v>
      </c>
      <c r="V177" s="290" t="str">
        <f>VLOOKUP($B177,'Master Tracker'!$D:$T,5,false)</f>
        <v>https://drive.google.com/open?id=1-KwGMgrf4ybvfsoHHtOu87_3gxAeA3JE</v>
      </c>
      <c r="W177" s="291" t="str">
        <f>VLOOKUP($B177,'Master Tracker'!$D:$T,7,false)</f>
        <v>https://drive.google.com/open?id=1-iCno8jIDrD8IzJ-JE5P4UN9xlGpSOPaMtGNEbnfRuA</v>
      </c>
      <c r="X177" s="290" t="str">
        <f>VLOOKUP($B177,'Master Tracker'!$D:$T,8,false)</f>
        <v>https://drive.google.com/open?id=1hbfbr8uAzv0kgEjYmdRS5ErE931XIp7t</v>
      </c>
      <c r="Y177" s="291" t="str">
        <f>VLOOKUP($B177,'Master Tracker'!$D:$T,10,false)</f>
        <v>https://drive.google.com/open?id=1d9I0s3LWZuYYR9rtJTPnTBPCj0S4iRYR0l4rbcGW4hY</v>
      </c>
      <c r="Z177" s="284" t="str">
        <f>VLOOKUP($B177,'Master Tracker'!$D:$T,11,false)</f>
        <v>Not Found</v>
      </c>
      <c r="AA177" s="292" t="str">
        <f>VLOOKUP($B177,'Master Tracker'!$D:$T,13,false)</f>
        <v>Not Found</v>
      </c>
      <c r="AB177" s="284" t="str">
        <f>VLOOKUP($B177,'Master Tracker'!$D:$T,14,false)</f>
        <v>Not Found</v>
      </c>
      <c r="AC177" s="292" t="str">
        <f>VLOOKUP($B177,'Master Tracker'!$D:$T,16,false)</f>
        <v>Not Found</v>
      </c>
      <c r="AD177" s="292" t="str">
        <f>VLOOKUP($B177,'Master Tracker'!$D:$T,17,false)</f>
        <v>Not Found</v>
      </c>
      <c r="AE177" s="292" t="str">
        <f>VLOOKUP($B177,'Master Tracker'!$D:$V,19,false)</f>
        <v>Not Found</v>
      </c>
      <c r="AF177" s="292">
        <f>IFERROR(__xludf.DUMMYFUNCTION("IFERROR(
  INDEX(
    FILTER(
      'Juma Recording forms'!$G:$G,
      TRIM('Juma Recording forms'!$F:$F) = TRIM($B177),
      'Juma Recording forms'!$AA:$AA = 1
    ),
    1
  ),
  ""Not Found""
)"),153.0)</f>
        <v>153</v>
      </c>
      <c r="AG177" s="292">
        <f>IFERROR(__xludf.DUMMYFUNCTION("IFERROR(
  INDEX(
    FILTER(
      'Juma Recording forms'!$G:$G,
      TRIM('Juma Recording forms'!$F:$F) = TRIM($B177),
      'Juma Recording forms'!$AA:$AA = 2
    ),
    1
  ),
  ""Not Found""
)"),181.0)</f>
        <v>181</v>
      </c>
      <c r="AH177" s="292">
        <f>IFERROR(__xludf.DUMMYFUNCTION("IFERROR(
  INDEX(
    FILTER(
      'Juma Recording forms'!$G:$G,
      TRIM('Juma Recording forms'!$F:$F) = TRIM($B177),
      'Juma Recording forms'!$AA:$AA = 3
    ),
    1
  ),
  ""Not Found""
)"),175.0)</f>
        <v>175</v>
      </c>
      <c r="AI177" s="292" t="str">
        <f>IFERROR(__xludf.DUMMYFUNCTION("IFERROR(
  INDEX(
    FILTER(
      'Juma Recording forms'!$G:$G,
      TRIM('Juma Recording forms'!$F:$F) = TRIM($B177),
      'Juma Recording forms'!$AA:$AA = 4
    ),
    1
  ),
  ""Not Found""
)"),"Not Found")</f>
        <v>Not Found</v>
      </c>
      <c r="AJ177" s="292" t="str">
        <f>IFERROR(__xludf.DUMMYFUNCTION("IFERROR(
  INDEX(
    FILTER(
      'Juma Recording forms'!$G:$G,
      TRIM('Juma Recording forms'!$F:$F) = TRIM($B177),
      'Juma Recording forms'!$AA:$AA = 5
    ),
    1
  ),
  ""Not Found""
)"),"Not Found")</f>
        <v>Not Found</v>
      </c>
      <c r="AK177" s="292" t="str">
        <f>IFERROR(__xludf.DUMMYFUNCTION("IFERROR(
  INDEX(
    FILTER(
      'Juma Recording forms'!$G:$G,
      TRIM('Juma Recording forms'!$F:$F) = TRIM($B177),
      'Juma Recording forms'!$AA:$AA = 6
    ),
    1
  ),
  ""Not Found""
)"),"Not Found")</f>
        <v>Not Found</v>
      </c>
      <c r="AL1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1!$E:$E"")=$B177) *
        (IMPORTRANGE(""https://docs.google.com/spreadsheets/d/161aHT6vVT3SLneTKD19N5qVWtnj_jIT8CSsOmUVKmaA/e"&amp;"dit?gid=1761053510"",
          ""Haris_Form responses 1!$AQ:$AQ"")=1)
      ),
      1
    ),
    ""0""
  ),
  ""Form not found""
)
"),"10")</f>
        <v>10</v>
      </c>
      <c r="AM1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1!$E:$E"")=$B177) *
        (IMPORTRANGE(""https://docs.google.com/spreadsheets/d/161aHT6vVT3SLneTKD19N5qVWtnj_jIT8CSsOmUVKmaA/e"&amp;"dit?gid=1761053510"",
          ""Haris_Form responses 1!$AQ:$AQ"")=2)
      ),
      1
    ),
    ""0""
  ),
  ""Form not found""
)
"),"10")</f>
        <v>10</v>
      </c>
      <c r="AN1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1!$E:$E"")=$B177) *
        (IMPORTRANGE(""https://docs.google.com/spreadsheets/d/161aHT6vVT3SLneTKD19N5qVWtnj_jIT8CSsOmUVKmaA/e"&amp;"dit?gid=1761053510"",
          ""Haris_Form responses 1!$AQ:$AQ"")=3)
      ),
      1
    ),
    ""0""
  ),
  ""Form not found""
)
"),"0")</f>
        <v>0</v>
      </c>
      <c r="AO1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1!$E:$E"")=$B177) *
        (IMPORTRANGE(""https://docs.google.com/spreadsheets/d/161aHT6vVT3SLneTKD19N5qVWtnj_jIT8CSsOmUVKmaA/e"&amp;"dit?gid=1761053510"",
          ""Haris_Form responses 1!$AQ:$AQ"")=4)
      ),
      1
    ),
    ""0""
  ),
  ""Form not found""
)
"),"Form not found")</f>
        <v>Form not found</v>
      </c>
      <c r="AP1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1!$E:$E"")=$B177) *
        (IMPORTRANGE(""https://docs.google.com/spreadsheets/d/161aHT6vVT3SLneTKD19N5qVWtnj_jIT8CSsOmUVKmaA/e"&amp;"dit?gid=1761053510"",
          ""Haris_Form responses 1!$AQ:$AQ"")=5)
      ),
      1
    ),
    ""0""
  ),
  ""Form not found""
)
"),"Form not found")</f>
        <v>Form not found</v>
      </c>
      <c r="AQ1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1!$E:$E"")=$B177) *
        (IMPORTRANGE(""https://docs.google.com/spreadsheets/d/161aHT6vVT3SLneTKD19N5qVWtnj_jIT8CSsOmUVKmaA/e"&amp;"dit?gid=1761053510"",
          ""Haris_Form responses 1!$AQ:$AQ"")=6)
      ),
      1
    ),
    ""0""
  ),
  ""Form not found""
)
"),"Form not found")</f>
        <v>Form not found</v>
      </c>
      <c r="AR1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1!$E:$E"")=$B177) *
        (IMPORTRANGE(""https://docs.google.com/spreadsheets/d/161aHT6vVT3SLneTKD19N5qVWtnj_jIT8CSsOmUVKmaA/e"&amp;"dit?gid=1761053510"",
          ""Haris_Form responses 1!$AQ:$AQ"")=1)
      ),
      1
    ),
    ""0""
  ),
  ""Form not found""
)
"),"0")</f>
        <v>0</v>
      </c>
      <c r="AS1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1!$E:$E"")=$B177) *
        (IMPORTRANGE(""https://docs.google.com/spreadsheets/d/161aHT6vVT3SLneTKD19N5qVWtnj_jIT8CSsOmUVKmaA/e"&amp;"dit?gid=1761053510"",
          ""Haris_Form responses 1!$AQ:$AQ"")=2)
      ),
      1
    ),
    ""0""
  ),
  ""Form not found""
)
"),"0")</f>
        <v>0</v>
      </c>
      <c r="AT1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1!$E:$E"")=$B177) *
        (IMPORTRANGE(""https://docs.google.com/spreadsheets/d/161aHT6vVT3SLneTKD19N5qVWtnj_jIT8CSsOmUVKmaA/e"&amp;"dit?gid=1761053510"",
          ""Haris_Form responses 1!$AQ:$AQ"")=3)
      ),
      1
    ),
    ""0""
  ),
  ""Form not found""
)
"),"1")</f>
        <v>1</v>
      </c>
      <c r="AU1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1!$E:$E"")=$B177) *
        (IMPORTRANGE(""https://docs.google.com/spreadsheets/d/161aHT6vVT3SLneTKD19N5qVWtnj_jIT8CSsOmUVKmaA/e"&amp;"dit?gid=1761053510"",
          ""Haris_Form responses 1!$AQ:$AQ"")=4)
      ),
      1
    ),
    ""0""
  ),
  ""Form not found""
)
"),"Form not found")</f>
        <v>Form not found</v>
      </c>
      <c r="AV1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1!$E:$E"")=$B177) *
        (IMPORTRANGE(""https://docs.google.com/spreadsheets/d/161aHT6vVT3SLneTKD19N5qVWtnj_jIT8CSsOmUVKmaA/e"&amp;"dit?gid=1761053510"",
          ""Haris_Form responses 1!$AQ:$AQ"")=5)
      ),
      1
    ),
    ""0""
  ),
  ""Form not found""
)
"),"Form not found")</f>
        <v>Form not found</v>
      </c>
      <c r="AW1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1!$E:$E"")=$B177) *
        (IMPORTRANGE(""https://docs.google.com/spreadsheets/d/161aHT6vVT3SLneTKD19N5qVWtnj_jIT8CSsOmUVKmaA/e"&amp;"dit?gid=1761053510"",
          ""Haris_Form responses 1!$AQ:$AQ"")=6)
      ),
      1
    ),
    ""0""
  ),
  ""Form not found""
)
"),"Form not found")</f>
        <v>Form not found</v>
      </c>
      <c r="AX1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1!$E:$E"")=$B177) *
        (IMPORTRANGE(""https://docs.google.com/spreadsheets/d/161aHT6vVT3SLneTKD19N5qVWtnj_jIT8CSsOmUVKmaA/e"&amp;"dit?gid=1761053510"",
          ""Haris_Form responses 1!$AQ:$AQ"")=1)
      ),
      1
    ),
    ""0""
  ),
  ""Form not found""
)
"),"10")</f>
        <v>10</v>
      </c>
      <c r="AY1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1!$E:$E"")=$B177) *
        (IMPORTRANGE(""https://docs.google.com/spreadsheets/d/161aHT6vVT3SLneTKD19N5qVWtnj_jIT8CSsOmUVKmaA/e"&amp;"dit?gid=1761053510"",
          ""Haris_Form responses 1!$AQ:$AQ"")=2)
      ),
      1
    ),
    ""0""
  ),
  ""Form not found""
)
"),"10")</f>
        <v>10</v>
      </c>
      <c r="AZ1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1!$E:$E"")=$B177) *
        (IMPORTRANGE(""https://docs.google.com/spreadsheets/d/161aHT6vVT3SLneTKD19N5qVWtnj_jIT8CSsOmUVKmaA/e"&amp;"dit?gid=1761053510"",
          ""Haris_Form responses 1!$AQ:$AQ"")=3)
      ),
      1
    ),
    ""0""
  ),
  ""Form not found""
)
"),"0")</f>
        <v>0</v>
      </c>
      <c r="BA1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1!$E:$E"")=$B177) *
        (IMPORTRANGE(""https://docs.google.com/spreadsheets/d/161aHT6vVT3SLneTKD19N5qVWtnj_jIT8CSsOmUVKmaA/e"&amp;"dit?gid=1761053510"",
          ""Haris_Form responses 1!$AQ:$AQ"")=4)
      ),
      1
    ),
    ""0""
  ),
  ""Form not found""
)
"),"Form not found")</f>
        <v>Form not found</v>
      </c>
      <c r="BB1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1!$E:$E"")=$B177) *
        (IMPORTRANGE(""https://docs.google.com/spreadsheets/d/161aHT6vVT3SLneTKD19N5qVWtnj_jIT8CSsOmUVKmaA/e"&amp;"dit?gid=1761053510"",
          ""Haris_Form responses 1!$AQ:$AQ"")=5)
      ),
      1
    ),
    ""0""
  ),
  ""Form not found""
)
"),"Form not found")</f>
        <v>Form not found</v>
      </c>
      <c r="BC1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1!$E:$E"")=$B177) *
        (IMPORTRANGE(""https://docs.google.com/spreadsheets/d/161aHT6vVT3SLneTKD19N5qVWtnj_jIT8CSsOmUVKmaA/e"&amp;"dit?gid=1761053510"",
          ""Haris_Form responses 1!$AQ:$AQ"")=6)
      ),
      1
    ),
    ""0""
  ),
  ""Form not found""
)
"),"Form not found")</f>
        <v>Form not found</v>
      </c>
      <c r="BD177" s="293"/>
    </row>
    <row r="178">
      <c r="A178" s="283" t="str">
        <f>IFERROR(__xludf.DUMMYFUNCTION("VLOOKUP($B178,IMPORTRANGE(""https://docs.google.com/spreadsheets/d/1VNXDITjs75AcgdBSW27oL1VZH31udDprJSsBcE5xlp4/edit?gid=1551188038#gid=1551188038"", ""Sheet9!$B:$E""),2,false)"),"Multan")</f>
        <v>Multan</v>
      </c>
      <c r="B178" s="283" t="s">
        <v>4868</v>
      </c>
      <c r="C178" s="284" t="str">
        <f>IFERROR(__xludf.DUMMYFUNCTION("VLOOKUP(TRIM($B178), IMPORTRANGE(""https://docs.google.com/spreadsheets/d/1aSOrU4PTpuBZqfitKaH1Rfww6-YOiNCKoBpPl8XBHaw/edit?gid=0#gid=0"", ""sheet3!$B:$C""), 2, FALSE)
"),"Jamia Masjid Qasabaan Wali Multan")</f>
        <v>Jamia Masjid Qasabaan Wali Multan</v>
      </c>
      <c r="D178" s="284" t="str">
        <f>IFERROR(__xludf.DUMMYFUNCTION("IFERROR(
  INDEX(
    FILTER(
      IMPORTRANGE(""1aSOrU4PTpuBZqfitKaH1Rfww6-YOiNCKoBpPl8XBHaw/edit?gid=0#gid=0"",""Sheet1!G:G""),
      IMPORTRANGE(""1aSOrU4PTpuBZqfitKaH1Rfww6-YOiNCKoBpPl8XBHaw/edit?gid=0#gid=0"",""Sheet1!C:C"")=$B178
    ),
    1
  ),
"&amp;"  ""Not Found""
)"),"Women Secular Info Share")</f>
        <v>Women Secular Info Share</v>
      </c>
      <c r="E178" s="284" t="str">
        <f>VLOOKUP(B178,'Juma Recording forms'!A:E,5,false)</f>
        <v>مسجد مدینہ/جامع مسجد قصاباں والی ملتان </v>
      </c>
      <c r="F178" s="284" t="str">
        <f>IFERROR(__xludf.DUMMYFUNCTION("IFERROR(
  INDEX(
    FILTER(
      IMPORTRANGE(""1Cxrhp3-_-HS7v9uuqQliiIfrmMP4VaFoDNDWyUFy2J8/edit?gid=0#gid=0"",""Sheet1!Q:Q""),
      IMPORTRANGE(""1Cxrhp3-_-HS7v9uuqQliiIfrmMP4VaFoDNDWyUFy2J8/edit?gid=0#gid=0"",""Sheet1!K:K"")=$B178
    ),
    1
  ),
"&amp;"  ""Not Found""
)"),"Muhammad Ramzan cheshti")</f>
        <v>Muhammad Ramzan cheshti</v>
      </c>
      <c r="G178" s="292">
        <v>1940.0</v>
      </c>
      <c r="H178" s="284"/>
      <c r="I178" s="285" t="s">
        <v>197</v>
      </c>
      <c r="J178" s="286">
        <v>2.0</v>
      </c>
      <c r="K178" s="287" t="str">
        <f>VLOOKUP($B178,'Mosque Locations'!$A:$E,3,FALSE)
</f>
        <v>https://maps.google.com/?q=30.1916734,71.4711067</v>
      </c>
      <c r="L178" s="286">
        <f>VLOOKUP($B178,'Mosque Locations'!$A:$E,4,FALSE)
</f>
        <v>30.19167</v>
      </c>
      <c r="M178" s="286">
        <f>VLOOKUP($B178,'Mosque Locations'!$A:$E,5,false)</f>
        <v>71.47111</v>
      </c>
      <c r="N178" s="288"/>
      <c r="O178" s="288"/>
      <c r="P178" s="288"/>
      <c r="Q178" s="295" t="str">
        <f>IFERROR(__xludf.DUMMYFUNCTION("IFERROR(
  INDEX(
    FILTER(
      IMPORTRANGE(""1kOrIKZmJfNUkgOVP3sI9BPjaaPA0_a4636oymQxTXg8"",""Form Responses 1!N:N""),
      TRIM(IMPORTRANGE(""1kOrIKZmJfNUkgOVP3sI9BPjaaPA0_a4636oymQxTXg8"",""Form Responses 1!F:F""))=TRIM($B178)
    ),
    1
  ),
  "&amp;"""Not Found""
)
"),"https://drive.google.com/file/d/1PmOM4RnRyYFtOt8QWjby7R922eEDjKZE/view?usp=drive_link")</f>
        <v>https://drive.google.com/file/d/1PmOM4RnRyYFtOt8QWjby7R922eEDjKZE/view?usp=drive_link</v>
      </c>
      <c r="R178" s="290" t="str">
        <f>IFERROR(__xludf.DUMMYFUNCTION("IFERROR(
  INDEX(
    FILTER(
      IMPORTRANGE(""1kOrIKZmJfNUkgOVP3sI9BPjaaPA0_a4636oymQxTXg8"",""Form Responses 1!M:M""),
      TRIM(IMPORTRANGE(""1kOrIKZmJfNUkgOVP3sI9BPjaaPA0_a4636oymQxTXg8"",""Form Responses 1!F:F""))=TRIM($B178)
    ),
    1
  ),
  "&amp;"""Not Found""
)
"),"https://drive.google.com/open?id=1sfa6GjZXVXhP6b4t6zfO33FZfsUHSRUC")</f>
        <v>https://drive.google.com/open?id=1sfa6GjZXVXhP6b4t6zfO33FZfsUHSRUC</v>
      </c>
      <c r="S178" s="285"/>
      <c r="T178" s="290" t="str">
        <f>VLOOKUP($B178,'Master Tracker'!D:E,2,false)</f>
        <v>https://drive.google.com/file/d/12w6COgvH8XPtfEQi8HA7ULk0xY_3jySv/view?usp=drive_link</v>
      </c>
      <c r="U178" s="291" t="str">
        <f>VLOOKUP($B178,'Master Tracker'!$D:$T,4,FALSE)
</f>
        <v>https://drive.google.com/open?id=1omLFBqzfr1SXs9qCGSoYUEfYEoJ7FCfrqcZbTORh9-k</v>
      </c>
      <c r="V178" s="290" t="str">
        <f>VLOOKUP($B178,'Master Tracker'!$D:$T,5,false)</f>
        <v>https://drive.google.com/file/d/1C7rFGU9hWlPEvS6XR9zV9fIbKAZcVAEx/view?usp=drive_link</v>
      </c>
      <c r="W178" s="291" t="str">
        <f>VLOOKUP($B178,'Master Tracker'!$D:$T,7,false)</f>
        <v>https://drive.google.com/open?id=174C_v--FDyN5j6VdexrUobXuXI89mAsz</v>
      </c>
      <c r="X178" s="290" t="str">
        <f>VLOOKUP($B178,'Master Tracker'!$D:$T,8,false)</f>
        <v>https://drive.google.com/file/d/1gSvnvIM2cTneg16o31UuYs6W-MCxtk3X/view?usp=drive_link</v>
      </c>
      <c r="Y178" s="291" t="str">
        <f>VLOOKUP($B178,'Master Tracker'!$D:$T,10,false)</f>
        <v>https://drive.google.com/open?id=1EF5RYvW2hI7wjbgazCWOc3VBgCj63NS8ACO-4waSYdI</v>
      </c>
      <c r="Z178" s="284" t="str">
        <f>VLOOKUP($B178,'Master Tracker'!$D:$T,11,false)</f>
        <v>Not Found</v>
      </c>
      <c r="AA178" s="292" t="str">
        <f>VLOOKUP($B178,'Master Tracker'!$D:$T,13,false)</f>
        <v>Not Found</v>
      </c>
      <c r="AB178" s="284" t="str">
        <f>VLOOKUP($B178,'Master Tracker'!$D:$T,14,false)</f>
        <v>Not Found</v>
      </c>
      <c r="AC178" s="292" t="str">
        <f>VLOOKUP($B178,'Master Tracker'!$D:$T,16,false)</f>
        <v>Not Found</v>
      </c>
      <c r="AD178" s="292" t="str">
        <f>VLOOKUP($B178,'Master Tracker'!$D:$T,17,false)</f>
        <v>Not Found</v>
      </c>
      <c r="AE178" s="292" t="str">
        <f>VLOOKUP($B178,'Master Tracker'!$D:$V,19,false)</f>
        <v>Not Found</v>
      </c>
      <c r="AF178" s="292">
        <f>IFERROR(__xludf.DUMMYFUNCTION("IFERROR(
  INDEX(
    FILTER(
      'Juma Recording forms'!$G:$G,
      TRIM('Juma Recording forms'!$F:$F) = TRIM($B178),
      'Juma Recording forms'!$AA:$AA = 1
    ),
    1
  ),
  ""Not Found""
)"),78.0)</f>
        <v>78</v>
      </c>
      <c r="AG178" s="292">
        <f>IFERROR(__xludf.DUMMYFUNCTION("IFERROR(
  INDEX(
    FILTER(
      'Juma Recording forms'!$G:$G,
      TRIM('Juma Recording forms'!$F:$F) = TRIM($B178),
      'Juma Recording forms'!$AA:$AA = 2
    ),
    1
  ),
  ""Not Found""
)"),76.0)</f>
        <v>76</v>
      </c>
      <c r="AH178" s="292">
        <f>IFERROR(__xludf.DUMMYFUNCTION("IFERROR(
  INDEX(
    FILTER(
      'Juma Recording forms'!$G:$G,
      TRIM('Juma Recording forms'!$F:$F) = TRIM($B178),
      'Juma Recording forms'!$AA:$AA = 3
    ),
    1
  ),
  ""Not Found""
)"),72.0)</f>
        <v>72</v>
      </c>
      <c r="AI178" s="292" t="str">
        <f>IFERROR(__xludf.DUMMYFUNCTION("IFERROR(
  INDEX(
    FILTER(
      'Juma Recording forms'!$G:$G,
      TRIM('Juma Recording forms'!$F:$F) = TRIM($B178),
      'Juma Recording forms'!$AA:$AA = 4
    ),
    1
  ),
  ""Not Found""
)"),"Not Found")</f>
        <v>Not Found</v>
      </c>
      <c r="AJ178" s="292" t="str">
        <f>IFERROR(__xludf.DUMMYFUNCTION("IFERROR(
  INDEX(
    FILTER(
      'Juma Recording forms'!$G:$G,
      TRIM('Juma Recording forms'!$F:$F) = TRIM($B178),
      'Juma Recording forms'!$AA:$AA = 5
    ),
    1
  ),
  ""Not Found""
)"),"Not Found")</f>
        <v>Not Found</v>
      </c>
      <c r="AK178" s="292" t="str">
        <f>IFERROR(__xludf.DUMMYFUNCTION("IFERROR(
  INDEX(
    FILTER(
      'Juma Recording forms'!$G:$G,
      TRIM('Juma Recording forms'!$F:$F) = TRIM($B178),
      'Juma Recording forms'!$AA:$AA = 6
    ),
    1
  ),
  ""Not Found""
)"),"Not Found")</f>
        <v>Not Found</v>
      </c>
      <c r="AL1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1!$E:$E"")=$B178) *
        (IMPORTRANGE(""https://docs.google.com/spreadsheets/d/161aHT6vVT3SLneTKD19N5qVWtnj_jIT8CSsOmUVKmaA/e"&amp;"dit?gid=1761053510"",
          ""Haris_Form responses 1!$AQ:$AQ"")=1)
      ),
      1
    ),
    ""0""
  ),
  ""Form not found""
)
"),"10")</f>
        <v>10</v>
      </c>
      <c r="AM1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1!$E:$E"")=$B178) *
        (IMPORTRANGE(""https://docs.google.com/spreadsheets/d/161aHT6vVT3SLneTKD19N5qVWtnj_jIT8CSsOmUVKmaA/e"&amp;"dit?gid=1761053510"",
          ""Haris_Form responses 1!$AQ:$AQ"")=2)
      ),
      1
    ),
    ""0""
  ),
  ""Form not found""
)
"),"10")</f>
        <v>10</v>
      </c>
      <c r="AN1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1!$E:$E"")=$B178) *
        (IMPORTRANGE(""https://docs.google.com/spreadsheets/d/161aHT6vVT3SLneTKD19N5qVWtnj_jIT8CSsOmUVKmaA/e"&amp;"dit?gid=1761053510"",
          ""Haris_Form responses 1!$AQ:$AQ"")=3)
      ),
      1
    ),
    ""0""
  ),
  ""Form not found""
)
"),"0")</f>
        <v>0</v>
      </c>
      <c r="AO1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1!$E:$E"")=$B178) *
        (IMPORTRANGE(""https://docs.google.com/spreadsheets/d/161aHT6vVT3SLneTKD19N5qVWtnj_jIT8CSsOmUVKmaA/e"&amp;"dit?gid=1761053510"",
          ""Haris_Form responses 1!$AQ:$AQ"")=4)
      ),
      1
    ),
    ""0""
  ),
  ""Form not found""
)
"),"Form not found")</f>
        <v>Form not found</v>
      </c>
      <c r="AP1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1!$E:$E"")=$B178) *
        (IMPORTRANGE(""https://docs.google.com/spreadsheets/d/161aHT6vVT3SLneTKD19N5qVWtnj_jIT8CSsOmUVKmaA/e"&amp;"dit?gid=1761053510"",
          ""Haris_Form responses 1!$AQ:$AQ"")=5)
      ),
      1
    ),
    ""0""
  ),
  ""Form not found""
)
"),"Form not found")</f>
        <v>Form not found</v>
      </c>
      <c r="AQ1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1!$E:$E"")=$B178) *
        (IMPORTRANGE(""https://docs.google.com/spreadsheets/d/161aHT6vVT3SLneTKD19N5qVWtnj_jIT8CSsOmUVKmaA/e"&amp;"dit?gid=1761053510"",
          ""Haris_Form responses 1!$AQ:$AQ"")=6)
      ),
      1
    ),
    ""0""
  ),
  ""Form not found""
)
"),"Form not found")</f>
        <v>Form not found</v>
      </c>
      <c r="AR1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1!$E:$E"")=$B178) *
        (IMPORTRANGE(""https://docs.google.com/spreadsheets/d/161aHT6vVT3SLneTKD19N5qVWtnj_jIT8CSsOmUVKmaA/e"&amp;"dit?gid=1761053510"",
          ""Haris_Form responses 1!$AQ:$AQ"")=1)
      ),
      1
    ),
    ""0""
  ),
  ""Form not found""
)
"),"0")</f>
        <v>0</v>
      </c>
      <c r="AS1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1!$E:$E"")=$B178) *
        (IMPORTRANGE(""https://docs.google.com/spreadsheets/d/161aHT6vVT3SLneTKD19N5qVWtnj_jIT8CSsOmUVKmaA/e"&amp;"dit?gid=1761053510"",
          ""Haris_Form responses 1!$AQ:$AQ"")=2)
      ),
      1
    ),
    ""0""
  ),
  ""Form not found""
)
"),"0")</f>
        <v>0</v>
      </c>
      <c r="AT1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1!$E:$E"")=$B178) *
        (IMPORTRANGE(""https://docs.google.com/spreadsheets/d/161aHT6vVT3SLneTKD19N5qVWtnj_jIT8CSsOmUVKmaA/e"&amp;"dit?gid=1761053510"",
          ""Haris_Form responses 1!$AQ:$AQ"")=3)
      ),
      1
    ),
    ""0""
  ),
  ""Form not found""
)
"),"0")</f>
        <v>0</v>
      </c>
      <c r="AU1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1!$E:$E"")=$B178) *
        (IMPORTRANGE(""https://docs.google.com/spreadsheets/d/161aHT6vVT3SLneTKD19N5qVWtnj_jIT8CSsOmUVKmaA/e"&amp;"dit?gid=1761053510"",
          ""Haris_Form responses 1!$AQ:$AQ"")=4)
      ),
      1
    ),
    ""0""
  ),
  ""Form not found""
)
"),"Form not found")</f>
        <v>Form not found</v>
      </c>
      <c r="AV1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1!$E:$E"")=$B178) *
        (IMPORTRANGE(""https://docs.google.com/spreadsheets/d/161aHT6vVT3SLneTKD19N5qVWtnj_jIT8CSsOmUVKmaA/e"&amp;"dit?gid=1761053510"",
          ""Haris_Form responses 1!$AQ:$AQ"")=5)
      ),
      1
    ),
    ""0""
  ),
  ""Form not found""
)
"),"Form not found")</f>
        <v>Form not found</v>
      </c>
      <c r="AW1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1!$E:$E"")=$B178) *
        (IMPORTRANGE(""https://docs.google.com/spreadsheets/d/161aHT6vVT3SLneTKD19N5qVWtnj_jIT8CSsOmUVKmaA/e"&amp;"dit?gid=1761053510"",
          ""Haris_Form responses 1!$AQ:$AQ"")=6)
      ),
      1
    ),
    ""0""
  ),
  ""Form not found""
)
"),"Form not found")</f>
        <v>Form not found</v>
      </c>
      <c r="AX1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1!$E:$E"")=$B178) *
        (IMPORTRANGE(""https://docs.google.com/spreadsheets/d/161aHT6vVT3SLneTKD19N5qVWtnj_jIT8CSsOmUVKmaA/e"&amp;"dit?gid=1761053510"",
          ""Haris_Form responses 1!$AQ:$AQ"")=1)
      ),
      1
    ),
    ""0""
  ),
  ""Form not found""
)
"),"10")</f>
        <v>10</v>
      </c>
      <c r="AY1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1!$E:$E"")=$B178) *
        (IMPORTRANGE(""https://docs.google.com/spreadsheets/d/161aHT6vVT3SLneTKD19N5qVWtnj_jIT8CSsOmUVKmaA/e"&amp;"dit?gid=1761053510"",
          ""Haris_Form responses 1!$AQ:$AQ"")=2)
      ),
      1
    ),
    ""0""
  ),
  ""Form not found""
)
"),"10")</f>
        <v>10</v>
      </c>
      <c r="AZ1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1!$E:$E"")=$B178) *
        (IMPORTRANGE(""https://docs.google.com/spreadsheets/d/161aHT6vVT3SLneTKD19N5qVWtnj_jIT8CSsOmUVKmaA/e"&amp;"dit?gid=1761053510"",
          ""Haris_Form responses 1!$AQ:$AQ"")=3)
      ),
      1
    ),
    ""0""
  ),
  ""Form not found""
)
"),"0")</f>
        <v>0</v>
      </c>
      <c r="BA1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1!$E:$E"")=$B178) *
        (IMPORTRANGE(""https://docs.google.com/spreadsheets/d/161aHT6vVT3SLneTKD19N5qVWtnj_jIT8CSsOmUVKmaA/e"&amp;"dit?gid=1761053510"",
          ""Haris_Form responses 1!$AQ:$AQ"")=4)
      ),
      1
    ),
    ""0""
  ),
  ""Form not found""
)
"),"Form not found")</f>
        <v>Form not found</v>
      </c>
      <c r="BB1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1!$E:$E"")=$B178) *
        (IMPORTRANGE(""https://docs.google.com/spreadsheets/d/161aHT6vVT3SLneTKD19N5qVWtnj_jIT8CSsOmUVKmaA/e"&amp;"dit?gid=1761053510"",
          ""Haris_Form responses 1!$AQ:$AQ"")=5)
      ),
      1
    ),
    ""0""
  ),
  ""Form not found""
)
"),"Form not found")</f>
        <v>Form not found</v>
      </c>
      <c r="BC1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1!$E:$E"")=$B178) *
        (IMPORTRANGE(""https://docs.google.com/spreadsheets/d/161aHT6vVT3SLneTKD19N5qVWtnj_jIT8CSsOmUVKmaA/e"&amp;"dit?gid=1761053510"",
          ""Haris_Form responses 1!$AQ:$AQ"")=6)
      ),
      1
    ),
    ""0""
  ),
  ""Form not found""
)
"),"Form not found")</f>
        <v>Form not found</v>
      </c>
      <c r="BD178" s="293"/>
    </row>
    <row r="179">
      <c r="A179" s="283" t="str">
        <f>IFERROR(__xludf.DUMMYFUNCTION("VLOOKUP($B179,IMPORTRANGE(""https://docs.google.com/spreadsheets/d/1VNXDITjs75AcgdBSW27oL1VZH31udDprJSsBcE5xlp4/edit?gid=1551188038#gid=1551188038"", ""Sheet9!$B:$E""),2,false)"),"Khanewal")</f>
        <v>Khanewal</v>
      </c>
      <c r="B179" s="283" t="s">
        <v>4622</v>
      </c>
      <c r="C179" s="284" t="str">
        <f>IFERROR(__xludf.DUMMYFUNCTION("VLOOKUP(TRIM($B179), IMPORTRANGE(""https://docs.google.com/spreadsheets/d/1aSOrU4PTpuBZqfitKaH1Rfww6-YOiNCKoBpPl8XBHaw/edit?gid=0#gid=0"", ""sheet3!$B:$C""), 2, FALSE)
"),"Jamia Masjid Habib Allah Shah Baghdadi Khanewal")</f>
        <v>Jamia Masjid Habib Allah Shah Baghdadi Khanewal</v>
      </c>
      <c r="D179" s="284" t="str">
        <f>IFERROR(__xludf.DUMMYFUNCTION("IFERROR(
  INDEX(
    FILTER(
      IMPORTRANGE(""1aSOrU4PTpuBZqfitKaH1Rfww6-YOiNCKoBpPl8XBHaw/edit?gid=0#gid=0"",""Sheet1!G:G""),
      IMPORTRANGE(""1aSOrU4PTpuBZqfitKaH1Rfww6-YOiNCKoBpPl8XBHaw/edit?gid=0#gid=0"",""Sheet1!C:C"")=$B179
    ),
    1
  ),
"&amp;"  ""Not Found""
)"),"Control")</f>
        <v>Control</v>
      </c>
      <c r="E179" s="284" t="str">
        <f>VLOOKUP(B179,'Juma Recording forms'!A:E,5,false)</f>
        <v>Jamia Masjid Habib ullah shah bagdadi</v>
      </c>
      <c r="F179" s="284" t="str">
        <f>IFERROR(__xludf.DUMMYFUNCTION("IFERROR(
  INDEX(
    FILTER(
      IMPORTRANGE(""1Cxrhp3-_-HS7v9uuqQliiIfrmMP4VaFoDNDWyUFy2J8/edit?gid=0#gid=0"",""Sheet1!Q:Q""),
      IMPORTRANGE(""1Cxrhp3-_-HS7v9uuqQliiIfrmMP4VaFoDNDWyUFy2J8/edit?gid=0#gid=0"",""Sheet1!K:K"")=$B179
    ),
    1
  ),
"&amp;"  ""Not Found""
)"),"Sayed Rashid safdar")</f>
        <v>Sayed Rashid safdar</v>
      </c>
      <c r="G179" s="284">
        <v>1900.0</v>
      </c>
      <c r="H179" s="284" t="s">
        <v>4869</v>
      </c>
      <c r="I179" s="285" t="s">
        <v>197</v>
      </c>
      <c r="J179" s="286">
        <v>2.0</v>
      </c>
      <c r="K179" s="287" t="str">
        <f>VLOOKUP($B179,'Mosque Locations'!$A:$E,3,FALSE)
</f>
        <v>https://maps.google.com/maps?q=30.30992257%2C71.92489921&amp;z=17&amp;hl=en</v>
      </c>
      <c r="L179" s="286">
        <f>VLOOKUP($B179,'Mosque Locations'!$A:$E,4,FALSE)
</f>
        <v>30.30992</v>
      </c>
      <c r="M179" s="286">
        <f>VLOOKUP($B179,'Mosque Locations'!$A:$E,5,false)</f>
        <v>71.9249</v>
      </c>
      <c r="N179" s="288"/>
      <c r="O179" s="288"/>
      <c r="P179" s="288"/>
      <c r="Q179" s="289" t="str">
        <f>IFERROR(__xludf.DUMMYFUNCTION("IFERROR(
  INDEX(
    FILTER(
      IMPORTRANGE(""1kOrIKZmJfNUkgOVP3sI9BPjaaPA0_a4636oymQxTXg8"",""Form Responses 1!N:N""),
      TRIM(IMPORTRANGE(""1kOrIKZmJfNUkgOVP3sI9BPjaaPA0_a4636oymQxTXg8"",""Form Responses 1!F:F""))=TRIM($B179)
    ),
    1
  ),
  "&amp;"""Not Found""
)
"),"https://drive.google.com/open?id=1PhINBR49bnkB5GTD4dw8abI8tzwd_w6v")</f>
        <v>https://drive.google.com/open?id=1PhINBR49bnkB5GTD4dw8abI8tzwd_w6v</v>
      </c>
      <c r="R179" s="295" t="str">
        <f>IFERROR(__xludf.DUMMYFUNCTION("IFERROR(
  INDEX(
    FILTER(
      IMPORTRANGE(""1kOrIKZmJfNUkgOVP3sI9BPjaaPA0_a4636oymQxTXg8"",""Form Responses 1!M:M""),
      TRIM(IMPORTRANGE(""1kOrIKZmJfNUkgOVP3sI9BPjaaPA0_a4636oymQxTXg8"",""Form Responses 1!F:F""))=TRIM($B179)
    ),
    1
  ),
  "&amp;"""Not Found""
)
"),"https://drive.google.com/file/d/1_Wxi1WlFei1aoHxn6SfXeBgxAbCBBO3Z/view?usp=drive_link")</f>
        <v>https://drive.google.com/file/d/1_Wxi1WlFei1aoHxn6SfXeBgxAbCBBO3Z/view?usp=drive_link</v>
      </c>
      <c r="S179" s="285"/>
      <c r="T179" s="290" t="str">
        <f>VLOOKUP($B179,'Master Tracker'!D:E,2,false)</f>
        <v>https://drive.google.com/file/d/1j87QbV6c93ORg0urepXgfiZzZSq01cvo/view?usp=drive_link</v>
      </c>
      <c r="U179" s="291" t="str">
        <f>VLOOKUP($B179,'Master Tracker'!$D:$T,4,FALSE)
</f>
        <v>https://drive.google.com/open?id=1p8a4aNgrQX2hS40z1CXmwgOXGL_LMj0Lfo05NUGtq54</v>
      </c>
      <c r="V179" s="284" t="str">
        <f>VLOOKUP($B179,'Master Tracker'!$D:$T,5,false)</f>
        <v>Not Found</v>
      </c>
      <c r="W179" s="292" t="str">
        <f>VLOOKUP($B179,'Master Tracker'!$D:$T,7,false)</f>
        <v>Not Found</v>
      </c>
      <c r="X179" s="290" t="str">
        <f>VLOOKUP($B179,'Master Tracker'!$D:$T,8,false)</f>
        <v>https://drive.google.com/open?id=1nRm_UrW5uDxg5x9yV3OjCmxeqlLgRUyh</v>
      </c>
      <c r="Y179" s="291" t="str">
        <f>VLOOKUP($B179,'Master Tracker'!$D:$T,10,false)</f>
        <v>https://drive.google.com/open?id=1tvCBRNbDWoBFX2dbAbftb846tmWdv-KF</v>
      </c>
      <c r="Z179" s="284" t="str">
        <f>VLOOKUP($B179,'Master Tracker'!$D:$T,11,false)</f>
        <v>Not Found</v>
      </c>
      <c r="AA179" s="292" t="str">
        <f>VLOOKUP($B179,'Master Tracker'!$D:$T,13,false)</f>
        <v>Not Found</v>
      </c>
      <c r="AB179" s="284" t="str">
        <f>VLOOKUP($B179,'Master Tracker'!$D:$T,14,false)</f>
        <v>Not Found</v>
      </c>
      <c r="AC179" s="292" t="str">
        <f>VLOOKUP($B179,'Master Tracker'!$D:$T,16,false)</f>
        <v>Not Found</v>
      </c>
      <c r="AD179" s="292" t="str">
        <f>VLOOKUP($B179,'Master Tracker'!$D:$T,17,false)</f>
        <v>Not Found</v>
      </c>
      <c r="AE179" s="292" t="str">
        <f>VLOOKUP($B179,'Master Tracker'!$D:$V,19,false)</f>
        <v>Not Found</v>
      </c>
      <c r="AF179" s="292">
        <f>IFERROR(__xludf.DUMMYFUNCTION("IFERROR(
  INDEX(
    FILTER(
      'Juma Recording forms'!$G:$G,
      TRIM('Juma Recording forms'!$F:$F) = TRIM($B179),
      'Juma Recording forms'!$AA:$AA = 1
    ),
    1
  ),
  ""Not Found""
)"),196.0)</f>
        <v>196</v>
      </c>
      <c r="AG179" s="292" t="str">
        <f>IFERROR(__xludf.DUMMYFUNCTION("IFERROR(
  INDEX(
    FILTER(
      'Juma Recording forms'!$G:$G,
      TRIM('Juma Recording forms'!$F:$F) = TRIM($B179),
      'Juma Recording forms'!$AA:$AA = 2
    ),
    1
  ),
  ""Not Found""
)"),"Not Found")</f>
        <v>Not Found</v>
      </c>
      <c r="AH179" s="292">
        <f>IFERROR(__xludf.DUMMYFUNCTION("IFERROR(
  INDEX(
    FILTER(
      'Juma Recording forms'!$G:$G,
      TRIM('Juma Recording forms'!$F:$F) = TRIM($B179),
      'Juma Recording forms'!$AA:$AA = 3
    ),
    1
  ),
  ""Not Found""
)"),208.0)</f>
        <v>208</v>
      </c>
      <c r="AI179" s="292" t="str">
        <f>IFERROR(__xludf.DUMMYFUNCTION("IFERROR(
  INDEX(
    FILTER(
      'Juma Recording forms'!$G:$G,
      TRIM('Juma Recording forms'!$F:$F) = TRIM($B179),
      'Juma Recording forms'!$AA:$AA = 4
    ),
    1
  ),
  ""Not Found""
)"),"Not Found")</f>
        <v>Not Found</v>
      </c>
      <c r="AJ179" s="292" t="str">
        <f>IFERROR(__xludf.DUMMYFUNCTION("IFERROR(
  INDEX(
    FILTER(
      'Juma Recording forms'!$G:$G,
      TRIM('Juma Recording forms'!$F:$F) = TRIM($B179),
      'Juma Recording forms'!$AA:$AA = 5
    ),
    1
  ),
  ""Not Found""
)"),"Not Found")</f>
        <v>Not Found</v>
      </c>
      <c r="AK179" s="292"/>
      <c r="AL1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1!$E:$E"")=$B179) *
        (IMPORTRANGE(""https://docs.google.com/spreadsheets/d/161aHT6vVT3SLneTKD19N5qVWtnj_jIT8CSsOmUVKmaA/e"&amp;"dit?gid=1761053510"",
          ""Haris_Form responses 1!$AQ:$AQ"")=1)
      ),
      1
    ),
    ""0""
  ),
  ""Form not found""
)
"),"0")</f>
        <v>0</v>
      </c>
      <c r="AM1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1!$E:$E"")=$B179) *
        (IMPORTRANGE(""https://docs.google.com/spreadsheets/d/161aHT6vVT3SLneTKD19N5qVWtnj_jIT8CSsOmUVKmaA/e"&amp;"dit?gid=1761053510"",
          ""Haris_Form responses 1!$AQ:$AQ"")=2)
      ),
      1
    ),
    ""0""
  ),
  ""Form not found""
)
"),"Form not found")</f>
        <v>Form not found</v>
      </c>
      <c r="AN1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1!$E:$E"")=$B179) *
        (IMPORTRANGE(""https://docs.google.com/spreadsheets/d/161aHT6vVT3SLneTKD19N5qVWtnj_jIT8CSsOmUVKmaA/e"&amp;"dit?gid=1761053510"",
          ""Haris_Form responses 1!$AQ:$AQ"")=3)
      ),
      1
    ),
    ""0""
  ),
  ""Form not found""
)
"),"0")</f>
        <v>0</v>
      </c>
      <c r="AO1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1!$E:$E"")=$B179) *
        (IMPORTRANGE(""https://docs.google.com/spreadsheets/d/161aHT6vVT3SLneTKD19N5qVWtnj_jIT8CSsOmUVKmaA/e"&amp;"dit?gid=1761053510"",
          ""Haris_Form responses 1!$AQ:$AQ"")=4)
      ),
      1
    ),
    ""0""
  ),
  ""Form not found""
)
"),"Form not found")</f>
        <v>Form not found</v>
      </c>
      <c r="AP1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1!$E:$E"")=$B179) *
        (IMPORTRANGE(""https://docs.google.com/spreadsheets/d/161aHT6vVT3SLneTKD19N5qVWtnj_jIT8CSsOmUVKmaA/e"&amp;"dit?gid=1761053510"",
          ""Haris_Form responses 1!$AQ:$AQ"")=5)
      ),
      1
    ),
    ""0""
  ),
  ""Form not found""
)
"),"Form not found")</f>
        <v>Form not found</v>
      </c>
      <c r="AQ1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1!$E:$E"")=$B179) *
        (IMPORTRANGE(""https://docs.google.com/spreadsheets/d/161aHT6vVT3SLneTKD19N5qVWtnj_jIT8CSsOmUVKmaA/e"&amp;"dit?gid=1761053510"",
          ""Haris_Form responses 1!$AQ:$AQ"")=6)
      ),
      1
    ),
    ""0""
  ),
  ""Form not found""
)
"),"Form not found")</f>
        <v>Form not found</v>
      </c>
      <c r="AR1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1!$E:$E"")=$B179) *
        (IMPORTRANGE(""https://docs.google.com/spreadsheets/d/161aHT6vVT3SLneTKD19N5qVWtnj_jIT8CSsOmUVKmaA/e"&amp;"dit?gid=1761053510"",
          ""Haris_Form responses 1!$AQ:$AQ"")=1)
      ),
      1
    ),
    ""0""
  ),
  ""Form not found""
)
"),"0")</f>
        <v>0</v>
      </c>
      <c r="AS1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1!$E:$E"")=$B179) *
        (IMPORTRANGE(""https://docs.google.com/spreadsheets/d/161aHT6vVT3SLneTKD19N5qVWtnj_jIT8CSsOmUVKmaA/e"&amp;"dit?gid=1761053510"",
          ""Haris_Form responses 1!$AQ:$AQ"")=2)
      ),
      1
    ),
    ""0""
  ),
  ""Form not found""
)
"),"Form not found")</f>
        <v>Form not found</v>
      </c>
      <c r="AT1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1!$E:$E"")=$B179) *
        (IMPORTRANGE(""https://docs.google.com/spreadsheets/d/161aHT6vVT3SLneTKD19N5qVWtnj_jIT8CSsOmUVKmaA/e"&amp;"dit?gid=1761053510"",
          ""Haris_Form responses 1!$AQ:$AQ"")=3)
      ),
      1
    ),
    ""0""
  ),
  ""Form not found""
)
"),"0")</f>
        <v>0</v>
      </c>
      <c r="AU1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1!$E:$E"")=$B179) *
        (IMPORTRANGE(""https://docs.google.com/spreadsheets/d/161aHT6vVT3SLneTKD19N5qVWtnj_jIT8CSsOmUVKmaA/e"&amp;"dit?gid=1761053510"",
          ""Haris_Form responses 1!$AQ:$AQ"")=4)
      ),
      1
    ),
    ""0""
  ),
  ""Form not found""
)
"),"Form not found")</f>
        <v>Form not found</v>
      </c>
      <c r="AV1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1!$E:$E"")=$B179) *
        (IMPORTRANGE(""https://docs.google.com/spreadsheets/d/161aHT6vVT3SLneTKD19N5qVWtnj_jIT8CSsOmUVKmaA/e"&amp;"dit?gid=1761053510"",
          ""Haris_Form responses 1!$AQ:$AQ"")=5)
      ),
      1
    ),
    ""0""
  ),
  ""Form not found""
)
"),"Form not found")</f>
        <v>Form not found</v>
      </c>
      <c r="AW1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1!$E:$E"")=$B179) *
        (IMPORTRANGE(""https://docs.google.com/spreadsheets/d/161aHT6vVT3SLneTKD19N5qVWtnj_jIT8CSsOmUVKmaA/e"&amp;"dit?gid=1761053510"",
          ""Haris_Form responses 1!$AQ:$AQ"")=6)
      ),
      1
    ),
    ""0""
  ),
  ""Form not found""
)
"),"Form not found")</f>
        <v>Form not found</v>
      </c>
      <c r="AX1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1!$E:$E"")=$B179) *
        (IMPORTRANGE(""https://docs.google.com/spreadsheets/d/161aHT6vVT3SLneTKD19N5qVWtnj_jIT8CSsOmUVKmaA/e"&amp;"dit?gid=1761053510"",
          ""Haris_Form responses 1!$AQ:$AQ"")=1)
      ),
      1
    ),
    ""0""
  ),
  ""Form not found""
)
"),"0")</f>
        <v>0</v>
      </c>
      <c r="AY1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1!$E:$E"")=$B179) *
        (IMPORTRANGE(""https://docs.google.com/spreadsheets/d/161aHT6vVT3SLneTKD19N5qVWtnj_jIT8CSsOmUVKmaA/e"&amp;"dit?gid=1761053510"",
          ""Haris_Form responses 1!$AQ:$AQ"")=2)
      ),
      1
    ),
    ""0""
  ),
  ""Form not found""
)
"),"Form not found")</f>
        <v>Form not found</v>
      </c>
      <c r="AZ1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1!$E:$E"")=$B179) *
        (IMPORTRANGE(""https://docs.google.com/spreadsheets/d/161aHT6vVT3SLneTKD19N5qVWtnj_jIT8CSsOmUVKmaA/e"&amp;"dit?gid=1761053510"",
          ""Haris_Form responses 1!$AQ:$AQ"")=3)
      ),
      1
    ),
    ""0""
  ),
  ""Form not found""
)
"),"0")</f>
        <v>0</v>
      </c>
      <c r="BA1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1!$E:$E"")=$B179) *
        (IMPORTRANGE(""https://docs.google.com/spreadsheets/d/161aHT6vVT3SLneTKD19N5qVWtnj_jIT8CSsOmUVKmaA/e"&amp;"dit?gid=1761053510"",
          ""Haris_Form responses 1!$AQ:$AQ"")=4)
      ),
      1
    ),
    ""0""
  ),
  ""Form not found""
)
"),"Form not found")</f>
        <v>Form not found</v>
      </c>
      <c r="BB1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1!$E:$E"")=$B179) *
        (IMPORTRANGE(""https://docs.google.com/spreadsheets/d/161aHT6vVT3SLneTKD19N5qVWtnj_jIT8CSsOmUVKmaA/e"&amp;"dit?gid=1761053510"",
          ""Haris_Form responses 1!$AQ:$AQ"")=5)
      ),
      1
    ),
    ""0""
  ),
  ""Form not found""
)
"),"Form not found")</f>
        <v>Form not found</v>
      </c>
      <c r="BC1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1!$E:$E"")=$B179) *
        (IMPORTRANGE(""https://docs.google.com/spreadsheets/d/161aHT6vVT3SLneTKD19N5qVWtnj_jIT8CSsOmUVKmaA/e"&amp;"dit?gid=1761053510"",
          ""Haris_Form responses 1!$AQ:$AQ"")=6)
      ),
      1
    ),
    ""0""
  ),
  ""Form not found""
)
"),"Form not found")</f>
        <v>Form not found</v>
      </c>
      <c r="BD179" s="293"/>
    </row>
    <row r="180">
      <c r="A180" s="283" t="str">
        <f>IFERROR(__xludf.DUMMYFUNCTION("VLOOKUP($B180,IMPORTRANGE(""https://docs.google.com/spreadsheets/d/1VNXDITjs75AcgdBSW27oL1VZH31udDprJSsBcE5xlp4/edit?gid=1551188038#gid=1551188038"", ""Sheet9!$B:$E""),2,false)"),"Khanewal")</f>
        <v>Khanewal</v>
      </c>
      <c r="B180" s="283" t="s">
        <v>4623</v>
      </c>
      <c r="C180" s="284" t="str">
        <f>IFERROR(__xludf.DUMMYFUNCTION("VLOOKUP(TRIM($B180), IMPORTRANGE(""https://docs.google.com/spreadsheets/d/1aSOrU4PTpuBZqfitKaH1Rfww6-YOiNCKoBpPl8XBHaw/edit?gid=0#gid=0"", ""sheet3!$B:$C""), 2, FALSE)
"),"Jamia Masjid Allah Daad Trust Jahaniya Khanewal")</f>
        <v>Jamia Masjid Allah Daad Trust Jahaniya Khanewal</v>
      </c>
      <c r="D180" s="284" t="str">
        <f>IFERROR(__xludf.DUMMYFUNCTION("IFERROR(
  INDEX(
    FILTER(
      IMPORTRANGE(""1aSOrU4PTpuBZqfitKaH1Rfww6-YOiNCKoBpPl8XBHaw/edit?gid=0#gid=0"",""Sheet1!G:G""),
      IMPORTRANGE(""1aSOrU4PTpuBZqfitKaH1Rfww6-YOiNCKoBpPl8XBHaw/edit?gid=0#gid=0"",""Sheet1!C:C"")=$B180
    ),
    1
  ),
"&amp;"  ""Not Found""
)"),"Control")</f>
        <v>Control</v>
      </c>
      <c r="E180" s="284" t="str">
        <f>VLOOKUP(B180,'Juma Recording forms'!A:E,5,false)</f>
        <v>Jamia Masjid Allah Daad Trust Jahaniya Khanewal </v>
      </c>
      <c r="F180" s="284" t="str">
        <f>IFERROR(__xludf.DUMMYFUNCTION("IFERROR(
  INDEX(
    FILTER(
      IMPORTRANGE(""1Cxrhp3-_-HS7v9uuqQliiIfrmMP4VaFoDNDWyUFy2J8/edit?gid=0#gid=0"",""Sheet1!Q:Q""),
      IMPORTRANGE(""1Cxrhp3-_-HS7v9uuqQliiIfrmMP4VaFoDNDWyUFy2J8/edit?gid=0#gid=0"",""Sheet1!K:K"")=$B180
    ),
    1
  ),
"&amp;"  ""Not Found""
)"),"Molana Muhammad ishfaq")</f>
        <v>Molana Muhammad ishfaq</v>
      </c>
      <c r="G180" s="292">
        <v>1925.0</v>
      </c>
      <c r="H180" s="284"/>
      <c r="I180" s="285" t="s">
        <v>401</v>
      </c>
      <c r="J180" s="286">
        <v>2.0</v>
      </c>
      <c r="K180" s="287" t="str">
        <f>VLOOKUP($B180,'Mosque Locations'!$A:$E,3,FALSE)
</f>
        <v>https://maps.google.com/maps?q=30.038286%2C71.8147975&amp;z=17&amp;hl=en</v>
      </c>
      <c r="L180" s="286">
        <f>VLOOKUP($B180,'Mosque Locations'!$A:$E,4,FALSE)
</f>
        <v>30.03829</v>
      </c>
      <c r="M180" s="286">
        <f>VLOOKUP($B180,'Mosque Locations'!$A:$E,5,false)</f>
        <v>71.8148</v>
      </c>
      <c r="N180" s="288"/>
      <c r="O180" s="288"/>
      <c r="P180" s="288"/>
      <c r="Q180" s="295" t="str">
        <f>IFERROR(__xludf.DUMMYFUNCTION("IFERROR(
  INDEX(
    FILTER(
      IMPORTRANGE(""1kOrIKZmJfNUkgOVP3sI9BPjaaPA0_a4636oymQxTXg8"",""Form Responses 1!N:N""),
      TRIM(IMPORTRANGE(""1kOrIKZmJfNUkgOVP3sI9BPjaaPA0_a4636oymQxTXg8"",""Form Responses 1!F:F""))=TRIM($B180)
    ),
    1
  ),
  "&amp;"""Not Found""
)
"),"https://drive.google.com/open?id=1i13_5fk_0CkXELgn2e-ZsFonow7S4L2T")</f>
        <v>https://drive.google.com/open?id=1i13_5fk_0CkXELgn2e-ZsFonow7S4L2T</v>
      </c>
      <c r="R180" s="290" t="str">
        <f>IFERROR(__xludf.DUMMYFUNCTION("IFERROR(
  INDEX(
    FILTER(
      IMPORTRANGE(""1kOrIKZmJfNUkgOVP3sI9BPjaaPA0_a4636oymQxTXg8"",""Form Responses 1!M:M""),
      TRIM(IMPORTRANGE(""1kOrIKZmJfNUkgOVP3sI9BPjaaPA0_a4636oymQxTXg8"",""Form Responses 1!F:F""))=TRIM($B180)
    ),
    1
  ),
  "&amp;"""Not Found""
)
"),"https://drive.google.com/open?id=1X9D9aOKSFre9sv9Yu-GVuaqFrAYaZ3QR")</f>
        <v>https://drive.google.com/open?id=1X9D9aOKSFre9sv9Yu-GVuaqFrAYaZ3QR</v>
      </c>
      <c r="S180" s="285"/>
      <c r="T180" s="290" t="str">
        <f>VLOOKUP($B180,'Master Tracker'!D:E,2,false)</f>
        <v>https://drive.google.com/file/d/1BvB0wW9aXTBebjoGTczm_yEBh_0t0CL-/view?usp=drive_link</v>
      </c>
      <c r="U180" s="291" t="str">
        <f>VLOOKUP($B180,'Master Tracker'!$D:$T,4,FALSE)
</f>
        <v>https://drive.google.com/open?id=1jmusgh5_ilTTGZneIIMYuBb9isE0kFnH</v>
      </c>
      <c r="V180" s="284" t="str">
        <f>VLOOKUP($B180,'Master Tracker'!$D:$T,5,false)</f>
        <v>Not Found</v>
      </c>
      <c r="W180" s="292" t="str">
        <f>VLOOKUP($B180,'Master Tracker'!$D:$T,7,false)</f>
        <v>Not Found</v>
      </c>
      <c r="X180" s="290" t="str">
        <f>VLOOKUP($B180,'Master Tracker'!$D:$T,8,false)</f>
        <v>https://drive.google.com/open?id=1Y1CRWjzfPmkxIcmkODBUUdtDEN57mZRk</v>
      </c>
      <c r="Y180" s="291" t="str">
        <f>VLOOKUP($B180,'Master Tracker'!$D:$T,10,false)</f>
        <v>https://drive.google.com/open?id=1r1z7TpjHz5PhvkRqTXEQd5_b3EQaNLuS</v>
      </c>
      <c r="Z180" s="284" t="str">
        <f>VLOOKUP($B180,'Master Tracker'!$D:$T,11,false)</f>
        <v>Not Found</v>
      </c>
      <c r="AA180" s="292" t="str">
        <f>VLOOKUP($B180,'Master Tracker'!$D:$T,13,false)</f>
        <v>Not Found</v>
      </c>
      <c r="AB180" s="284" t="str">
        <f>VLOOKUP($B180,'Master Tracker'!$D:$T,14,false)</f>
        <v>Not Found</v>
      </c>
      <c r="AC180" s="292" t="str">
        <f>VLOOKUP($B180,'Master Tracker'!$D:$T,16,false)</f>
        <v>Not Found</v>
      </c>
      <c r="AD180" s="292" t="str">
        <f>VLOOKUP($B180,'Master Tracker'!$D:$T,17,false)</f>
        <v>Not Found</v>
      </c>
      <c r="AE180" s="292" t="str">
        <f>VLOOKUP($B180,'Master Tracker'!$D:$V,19,false)</f>
        <v>Not Found</v>
      </c>
      <c r="AF180" s="292">
        <f>IFERROR(__xludf.DUMMYFUNCTION("IFERROR(
  INDEX(
    FILTER(
      'Juma Recording forms'!$G:$G,
      TRIM('Juma Recording forms'!$F:$F) = TRIM($B180),
      'Juma Recording forms'!$AA:$AA = 1
    ),
    1
  ),
  ""Not Found""
)"),296.0)</f>
        <v>296</v>
      </c>
      <c r="AG180" s="292" t="str">
        <f>IFERROR(__xludf.DUMMYFUNCTION("IFERROR(
  INDEX(
    FILTER(
      'Juma Recording forms'!$G:$G,
      TRIM('Juma Recording forms'!$F:$F) = TRIM($B180),
      'Juma Recording forms'!$AA:$AA = 2
    ),
    1
  ),
  ""Not Found""
)"),"Not Found")</f>
        <v>Not Found</v>
      </c>
      <c r="AH180" s="292">
        <f>IFERROR(__xludf.DUMMYFUNCTION("IFERROR(
  INDEX(
    FILTER(
      'Juma Recording forms'!$G:$G,
      TRIM('Juma Recording forms'!$F:$F) = TRIM($B180),
      'Juma Recording forms'!$AA:$AA = 3
    ),
    1
  ),
  ""Not Found""
)"),303.0)</f>
        <v>303</v>
      </c>
      <c r="AI180" s="292" t="str">
        <f>IFERROR(__xludf.DUMMYFUNCTION("IFERROR(
  INDEX(
    FILTER(
      'Juma Recording forms'!$G:$G,
      TRIM('Juma Recording forms'!$F:$F) = TRIM($B180),
      'Juma Recording forms'!$AA:$AA = 4
    ),
    1
  ),
  ""Not Found""
)"),"Not Found")</f>
        <v>Not Found</v>
      </c>
      <c r="AJ180" s="292" t="str">
        <f>IFERROR(__xludf.DUMMYFUNCTION("IFERROR(
  INDEX(
    FILTER(
      'Juma Recording forms'!$G:$G,
      TRIM('Juma Recording forms'!$F:$F) = TRIM($B180),
      'Juma Recording forms'!$AA:$AA = 5
    ),
    1
  ),
  ""Not Found""
)"),"Not Found")</f>
        <v>Not Found</v>
      </c>
      <c r="AK180" s="292"/>
      <c r="AL1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1!$E:$E"")=$B180) *
        (IMPORTRANGE(""https://docs.google.com/spreadsheets/d/161aHT6vVT3SLneTKD19N5qVWtnj_jIT8CSsOmUVKmaA/e"&amp;"dit?gid=1761053510"",
          ""Haris_Form responses 1!$AQ:$AQ"")=1)
      ),
      1
    ),
    ""0""
  ),
  ""Form not found""
)
"),"0")</f>
        <v>0</v>
      </c>
      <c r="AM1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1!$E:$E"")=$B180) *
        (IMPORTRANGE(""https://docs.google.com/spreadsheets/d/161aHT6vVT3SLneTKD19N5qVWtnj_jIT8CSsOmUVKmaA/e"&amp;"dit?gid=1761053510"",
          ""Haris_Form responses 1!$AQ:$AQ"")=2)
      ),
      1
    ),
    ""0""
  ),
  ""Form not found""
)
"),"Form not found")</f>
        <v>Form not found</v>
      </c>
      <c r="AN1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1!$E:$E"")=$B180) *
        (IMPORTRANGE(""https://docs.google.com/spreadsheets/d/161aHT6vVT3SLneTKD19N5qVWtnj_jIT8CSsOmUVKmaA/e"&amp;"dit?gid=1761053510"",
          ""Haris_Form responses 1!$AQ:$AQ"")=3)
      ),
      1
    ),
    ""0""
  ),
  ""Form not found""
)
"),"0")</f>
        <v>0</v>
      </c>
      <c r="AO1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1!$E:$E"")=$B180) *
        (IMPORTRANGE(""https://docs.google.com/spreadsheets/d/161aHT6vVT3SLneTKD19N5qVWtnj_jIT8CSsOmUVKmaA/e"&amp;"dit?gid=1761053510"",
          ""Haris_Form responses 1!$AQ:$AQ"")=4)
      ),
      1
    ),
    ""0""
  ),
  ""Form not found""
)
"),"Form not found")</f>
        <v>Form not found</v>
      </c>
      <c r="AP1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1!$E:$E"")=$B180) *
        (IMPORTRANGE(""https://docs.google.com/spreadsheets/d/161aHT6vVT3SLneTKD19N5qVWtnj_jIT8CSsOmUVKmaA/e"&amp;"dit?gid=1761053510"",
          ""Haris_Form responses 1!$AQ:$AQ"")=5)
      ),
      1
    ),
    ""0""
  ),
  ""Form not found""
)
"),"Form not found")</f>
        <v>Form not found</v>
      </c>
      <c r="AQ1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1!$E:$E"")=$B180) *
        (IMPORTRANGE(""https://docs.google.com/spreadsheets/d/161aHT6vVT3SLneTKD19N5qVWtnj_jIT8CSsOmUVKmaA/e"&amp;"dit?gid=1761053510"",
          ""Haris_Form responses 1!$AQ:$AQ"")=6)
      ),
      1
    ),
    ""0""
  ),
  ""Form not found""
)
"),"Form not found")</f>
        <v>Form not found</v>
      </c>
      <c r="AR1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1!$E:$E"")=$B180) *
        (IMPORTRANGE(""https://docs.google.com/spreadsheets/d/161aHT6vVT3SLneTKD19N5qVWtnj_jIT8CSsOmUVKmaA/e"&amp;"dit?gid=1761053510"",
          ""Haris_Form responses 1!$AQ:$AQ"")=1)
      ),
      1
    ),
    ""0""
  ),
  ""Form not found""
)
"),"0")</f>
        <v>0</v>
      </c>
      <c r="AS1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1!$E:$E"")=$B180) *
        (IMPORTRANGE(""https://docs.google.com/spreadsheets/d/161aHT6vVT3SLneTKD19N5qVWtnj_jIT8CSsOmUVKmaA/e"&amp;"dit?gid=1761053510"",
          ""Haris_Form responses 1!$AQ:$AQ"")=2)
      ),
      1
    ),
    ""0""
  ),
  ""Form not found""
)
"),"Form not found")</f>
        <v>Form not found</v>
      </c>
      <c r="AT1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1!$E:$E"")=$B180) *
        (IMPORTRANGE(""https://docs.google.com/spreadsheets/d/161aHT6vVT3SLneTKD19N5qVWtnj_jIT8CSsOmUVKmaA/e"&amp;"dit?gid=1761053510"",
          ""Haris_Form responses 1!$AQ:$AQ"")=3)
      ),
      1
    ),
    ""0""
  ),
  ""Form not found""
)
"),"0")</f>
        <v>0</v>
      </c>
      <c r="AU1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1!$E:$E"")=$B180) *
        (IMPORTRANGE(""https://docs.google.com/spreadsheets/d/161aHT6vVT3SLneTKD19N5qVWtnj_jIT8CSsOmUVKmaA/e"&amp;"dit?gid=1761053510"",
          ""Haris_Form responses 1!$AQ:$AQ"")=4)
      ),
      1
    ),
    ""0""
  ),
  ""Form not found""
)
"),"Form not found")</f>
        <v>Form not found</v>
      </c>
      <c r="AV1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1!$E:$E"")=$B180) *
        (IMPORTRANGE(""https://docs.google.com/spreadsheets/d/161aHT6vVT3SLneTKD19N5qVWtnj_jIT8CSsOmUVKmaA/e"&amp;"dit?gid=1761053510"",
          ""Haris_Form responses 1!$AQ:$AQ"")=5)
      ),
      1
    ),
    ""0""
  ),
  ""Form not found""
)
"),"Form not found")</f>
        <v>Form not found</v>
      </c>
      <c r="AW1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1!$E:$E"")=$B180) *
        (IMPORTRANGE(""https://docs.google.com/spreadsheets/d/161aHT6vVT3SLneTKD19N5qVWtnj_jIT8CSsOmUVKmaA/e"&amp;"dit?gid=1761053510"",
          ""Haris_Form responses 1!$AQ:$AQ"")=6)
      ),
      1
    ),
    ""0""
  ),
  ""Form not found""
)
"),"Form not found")</f>
        <v>Form not found</v>
      </c>
      <c r="AX1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1!$E:$E"")=$B180) *
        (IMPORTRANGE(""https://docs.google.com/spreadsheets/d/161aHT6vVT3SLneTKD19N5qVWtnj_jIT8CSsOmUVKmaA/e"&amp;"dit?gid=1761053510"",
          ""Haris_Form responses 1!$AQ:$AQ"")=1)
      ),
      1
    ),
    ""0""
  ),
  ""Form not found""
)
"),"0")</f>
        <v>0</v>
      </c>
      <c r="AY1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1!$E:$E"")=$B180) *
        (IMPORTRANGE(""https://docs.google.com/spreadsheets/d/161aHT6vVT3SLneTKD19N5qVWtnj_jIT8CSsOmUVKmaA/e"&amp;"dit?gid=1761053510"",
          ""Haris_Form responses 1!$AQ:$AQ"")=2)
      ),
      1
    ),
    ""0""
  ),
  ""Form not found""
)
"),"Form not found")</f>
        <v>Form not found</v>
      </c>
      <c r="AZ1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1!$E:$E"")=$B180) *
        (IMPORTRANGE(""https://docs.google.com/spreadsheets/d/161aHT6vVT3SLneTKD19N5qVWtnj_jIT8CSsOmUVKmaA/e"&amp;"dit?gid=1761053510"",
          ""Haris_Form responses 1!$AQ:$AQ"")=3)
      ),
      1
    ),
    ""0""
  ),
  ""Form not found""
)
"),"0")</f>
        <v>0</v>
      </c>
      <c r="BA1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1!$E:$E"")=$B180) *
        (IMPORTRANGE(""https://docs.google.com/spreadsheets/d/161aHT6vVT3SLneTKD19N5qVWtnj_jIT8CSsOmUVKmaA/e"&amp;"dit?gid=1761053510"",
          ""Haris_Form responses 1!$AQ:$AQ"")=4)
      ),
      1
    ),
    ""0""
  ),
  ""Form not found""
)
"),"Form not found")</f>
        <v>Form not found</v>
      </c>
      <c r="BB1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1!$E:$E"")=$B180) *
        (IMPORTRANGE(""https://docs.google.com/spreadsheets/d/161aHT6vVT3SLneTKD19N5qVWtnj_jIT8CSsOmUVKmaA/e"&amp;"dit?gid=1761053510"",
          ""Haris_Form responses 1!$AQ:$AQ"")=5)
      ),
      1
    ),
    ""0""
  ),
  ""Form not found""
)
"),"Form not found")</f>
        <v>Form not found</v>
      </c>
      <c r="BC1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1!$E:$E"")=$B180) *
        (IMPORTRANGE(""https://docs.google.com/spreadsheets/d/161aHT6vVT3SLneTKD19N5qVWtnj_jIT8CSsOmUVKmaA/e"&amp;"dit?gid=1761053510"",
          ""Haris_Form responses 1!$AQ:$AQ"")=6)
      ),
      1
    ),
    ""0""
  ),
  ""Form not found""
)
"),"Form not found")</f>
        <v>Form not found</v>
      </c>
      <c r="BD180" s="293"/>
    </row>
    <row r="181">
      <c r="A181" s="283" t="str">
        <f>IFERROR(__xludf.DUMMYFUNCTION("VLOOKUP($B181,IMPORTRANGE(""https://docs.google.com/spreadsheets/d/1VNXDITjs75AcgdBSW27oL1VZH31udDprJSsBcE5xlp4/edit?gid=1551188038#gid=1551188038"", ""Sheet9!$B:$E""),2,false)"),"Khanewal")</f>
        <v>Khanewal</v>
      </c>
      <c r="B181" s="283" t="s">
        <v>4624</v>
      </c>
      <c r="C181" s="284" t="str">
        <f>IFERROR(__xludf.DUMMYFUNCTION("VLOOKUP(TRIM($B181), IMPORTRANGE(""https://docs.google.com/spreadsheets/d/1aSOrU4PTpuBZqfitKaH1Rfww6-YOiNCKoBpPl8XBHaw/edit?gid=0#gid=0"", ""sheet3!$B:$C""), 2, FALSE)
"),"Jamia Masjid Markazi Eid Gah Khanewal")</f>
        <v>Jamia Masjid Markazi Eid Gah Khanewal</v>
      </c>
      <c r="D181" s="284" t="str">
        <f>IFERROR(__xludf.DUMMYFUNCTION("IFERROR(
  INDEX(
    FILTER(
      IMPORTRANGE(""1aSOrU4PTpuBZqfitKaH1Rfww6-YOiNCKoBpPl8XBHaw/edit?gid=0#gid=0"",""Sheet1!G:G""),
      IMPORTRANGE(""1aSOrU4PTpuBZqfitKaH1Rfww6-YOiNCKoBpPl8XBHaw/edit?gid=0#gid=0"",""Sheet1!C:C"")=$B181
    ),
    1
  ),
"&amp;"  ""Not Found""
)"),"Women Secular Info Share")</f>
        <v>Women Secular Info Share</v>
      </c>
      <c r="E181" s="284" t="str">
        <f>VLOOKUP(B181,'Juma Recording forms'!A:E,5,false)</f>
        <v>jamia Masjid markazi Eid Gah khanewal</v>
      </c>
      <c r="F181" s="284" t="str">
        <f>IFERROR(__xludf.DUMMYFUNCTION("IFERROR(
  INDEX(
    FILTER(
      IMPORTRANGE(""1Cxrhp3-_-HS7v9uuqQliiIfrmMP4VaFoDNDWyUFy2J8/edit?gid=0#gid=0"",""Sheet1!Q:Q""),
      IMPORTRANGE(""1Cxrhp3-_-HS7v9uuqQliiIfrmMP4VaFoDNDWyUFy2J8/edit?gid=0#gid=0"",""Sheet1!K:K"")=$B181
    ),
    1
  ),
"&amp;"  ""Not Found""
)"),"Not Found")</f>
        <v>Not Found</v>
      </c>
      <c r="G181" s="292">
        <v>1963.0</v>
      </c>
      <c r="H181" s="284"/>
      <c r="I181" s="285" t="s">
        <v>197</v>
      </c>
      <c r="J181" s="286">
        <v>2.0</v>
      </c>
      <c r="K181" s="287" t="str">
        <f>VLOOKUP($B181,'Mosque Locations'!$A:$E,3,FALSE)
</f>
        <v>https://maps.google.com/maps?q=30.2979649%2C71.9208273&amp;z=17&amp;hl=en</v>
      </c>
      <c r="L181" s="286">
        <f>VLOOKUP($B181,'Mosque Locations'!$A:$E,4,FALSE)
</f>
        <v>30.29796</v>
      </c>
      <c r="M181" s="286">
        <f>VLOOKUP($B181,'Mosque Locations'!$A:$E,5,false)</f>
        <v>71.92083</v>
      </c>
      <c r="N181" s="288"/>
      <c r="O181" s="288"/>
      <c r="P181" s="288"/>
      <c r="Q181" s="290" t="str">
        <f>IFERROR(__xludf.DUMMYFUNCTION("IFERROR(
  INDEX(
    FILTER(
      IMPORTRANGE(""1kOrIKZmJfNUkgOVP3sI9BPjaaPA0_a4636oymQxTXg8"",""Form Responses 1!N:N""),
      TRIM(IMPORTRANGE(""1kOrIKZmJfNUkgOVP3sI9BPjaaPA0_a4636oymQxTXg8"",""Form Responses 1!F:F""))=TRIM($B181)
    ),
    1
  ),
  "&amp;"""Not Found""
)
"),"https://drive.google.com/open?id=1S3hWrP0DQaicFd3PV2fr8ZDKtNuXIbXC")</f>
        <v>https://drive.google.com/open?id=1S3hWrP0DQaicFd3PV2fr8ZDKtNuXIbXC</v>
      </c>
      <c r="R181" s="290" t="str">
        <f>IFERROR(__xludf.DUMMYFUNCTION("IFERROR(
  INDEX(
    FILTER(
      IMPORTRANGE(""1kOrIKZmJfNUkgOVP3sI9BPjaaPA0_a4636oymQxTXg8"",""Form Responses 1!M:M""),
      TRIM(IMPORTRANGE(""1kOrIKZmJfNUkgOVP3sI9BPjaaPA0_a4636oymQxTXg8"",""Form Responses 1!F:F""))=TRIM($B181)
    ),
    1
  ),
  "&amp;"""Not Found""
)
"),"https://drive.google.com/open?id=1j9CQIbAjT7WSFapeF_msIs8xhPqU6Mb8")</f>
        <v>https://drive.google.com/open?id=1j9CQIbAjT7WSFapeF_msIs8xhPqU6Mb8</v>
      </c>
      <c r="S181" s="285"/>
      <c r="T181" s="290" t="str">
        <f>VLOOKUP($B181,'Master Tracker'!D:E,2,false)</f>
        <v>https://drive.google.com/open?id=1uP5bHnqJQ673PhQ-o1ni7ldTiJ8je3Kd</v>
      </c>
      <c r="U181" s="291" t="str">
        <f>VLOOKUP($B181,'Master Tracker'!$D:$T,4,FALSE)
</f>
        <v>https://drive.google.com/open?id=1gOHiPoqGLXKevGPQlhXcLqEqp4_6O6uazx8aoPtE3zM</v>
      </c>
      <c r="V181" s="290" t="str">
        <f>VLOOKUP($B181,'Master Tracker'!$D:$T,5,false)</f>
        <v>https://drive.google.com/open?id=1QAfLTXF0KU5jDpyeh62qiFwU9yoYD4zF</v>
      </c>
      <c r="W181" s="291" t="str">
        <f>VLOOKUP($B181,'Master Tracker'!$D:$T,7,false)</f>
        <v>https://drive.google.com/open?id=1gJTOe5zuqJJ7dMgxQvJimGFe1xDv1p5l</v>
      </c>
      <c r="X181" s="290" t="str">
        <f>VLOOKUP($B181,'Master Tracker'!$D:$T,8,false)</f>
        <v>https://drive.google.com/open?id=1LUHJRYRPKsSO4jWZJxDWY1QgW-a4IrTI</v>
      </c>
      <c r="Y181" s="291" t="str">
        <f>VLOOKUP($B181,'Master Tracker'!$D:$T,10,false)</f>
        <v>https://drive.google.com/open?id=1nf2EtFaCJCqVCq2DM1j562_kpt7PgxVrAC5vFgrj_IY</v>
      </c>
      <c r="Z181" s="284" t="str">
        <f>VLOOKUP($B181,'Master Tracker'!$D:$T,11,false)</f>
        <v>Not Found</v>
      </c>
      <c r="AA181" s="292" t="str">
        <f>VLOOKUP($B181,'Master Tracker'!$D:$T,13,false)</f>
        <v>Not Found</v>
      </c>
      <c r="AB181" s="284" t="str">
        <f>VLOOKUP($B181,'Master Tracker'!$D:$T,14,false)</f>
        <v>Not Found</v>
      </c>
      <c r="AC181" s="292" t="str">
        <f>VLOOKUP($B181,'Master Tracker'!$D:$T,16,false)</f>
        <v>Not Found</v>
      </c>
      <c r="AD181" s="292" t="str">
        <f>VLOOKUP($B181,'Master Tracker'!$D:$T,17,false)</f>
        <v>Not Found</v>
      </c>
      <c r="AE181" s="292" t="str">
        <f>VLOOKUP($B181,'Master Tracker'!$D:$V,19,false)</f>
        <v>Not Found</v>
      </c>
      <c r="AF181" s="292">
        <f>IFERROR(__xludf.DUMMYFUNCTION("IFERROR(
  INDEX(
    FILTER(
      'Juma Recording forms'!$G:$G,
      TRIM('Juma Recording forms'!$F:$F) = TRIM($B181),
      'Juma Recording forms'!$AA:$AA = 1
    ),
    1
  ),
  ""Not Found""
)"),1150.0)</f>
        <v>1150</v>
      </c>
      <c r="AG181" s="292">
        <f>IFERROR(__xludf.DUMMYFUNCTION("IFERROR(
  INDEX(
    FILTER(
      'Juma Recording forms'!$G:$G,
      TRIM('Juma Recording forms'!$F:$F) = TRIM($B181),
      'Juma Recording forms'!$AA:$AA = 2
    ),
    1
  ),
  ""Not Found""
)"),1125.0)</f>
        <v>1125</v>
      </c>
      <c r="AH181" s="292">
        <f>IFERROR(__xludf.DUMMYFUNCTION("IFERROR(
  INDEX(
    FILTER(
      'Juma Recording forms'!$G:$G,
      TRIM('Juma Recording forms'!$F:$F) = TRIM($B181),
      'Juma Recording forms'!$AA:$AA = 3
    ),
    1
  ),
  ""Not Found""
)"),1306.0)</f>
        <v>1306</v>
      </c>
      <c r="AI181" s="292" t="str">
        <f>IFERROR(__xludf.DUMMYFUNCTION("IFERROR(
  INDEX(
    FILTER(
      'Juma Recording forms'!$G:$G,
      TRIM('Juma Recording forms'!$F:$F) = TRIM($B181),
      'Juma Recording forms'!$AA:$AA = 4
    ),
    1
  ),
  ""Not Found""
)"),"Not Found")</f>
        <v>Not Found</v>
      </c>
      <c r="AJ181" s="292" t="str">
        <f>IFERROR(__xludf.DUMMYFUNCTION("IFERROR(
  INDEX(
    FILTER(
      'Juma Recording forms'!$G:$G,
      TRIM('Juma Recording forms'!$F:$F) = TRIM($B181),
      'Juma Recording forms'!$AA:$AA = 5
    ),
    1
  ),
  ""Not Found""
)"),"Not Found")</f>
        <v>Not Found</v>
      </c>
      <c r="AK181" s="292" t="str">
        <f>IFERROR(__xludf.DUMMYFUNCTION("IFERROR(
  INDEX(
    FILTER(
      'Juma Recording forms'!$G:$G,
      TRIM('Juma Recording forms'!$F:$F) = TRIM($B181),
      'Juma Recording forms'!$AA:$AA = 6
    ),
    1
  ),
  ""Not Found""
)"),"Not Found")</f>
        <v>Not Found</v>
      </c>
      <c r="AL1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1!$E:$E"")=$B181) *
        (IMPORTRANGE(""https://docs.google.com/spreadsheets/d/161aHT6vVT3SLneTKD19N5qVWtnj_jIT8CSsOmUVKmaA/e"&amp;"dit?gid=1761053510"",
          ""Haris_Form responses 1!$AQ:$AQ"")=1)
      ),
      1
    ),
    ""0""
  ),
  ""Form not found""
)
"),"10")</f>
        <v>10</v>
      </c>
      <c r="AM1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1!$E:$E"")=$B181) *
        (IMPORTRANGE(""https://docs.google.com/spreadsheets/d/161aHT6vVT3SLneTKD19N5qVWtnj_jIT8CSsOmUVKmaA/e"&amp;"dit?gid=1761053510"",
          ""Haris_Form responses 1!$AQ:$AQ"")=2)
      ),
      1
    ),
    ""0""
  ),
  ""Form not found""
)
"),"9")</f>
        <v>9</v>
      </c>
      <c r="AN1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1!$E:$E"")=$B181) *
        (IMPORTRANGE(""https://docs.google.com/spreadsheets/d/161aHT6vVT3SLneTKD19N5qVWtnj_jIT8CSsOmUVKmaA/e"&amp;"dit?gid=1761053510"",
          ""Haris_Form responses 1!$AQ:$AQ"")=3)
      ),
      1
    ),
    ""0""
  ),
  ""Form not found""
)
"),"10")</f>
        <v>10</v>
      </c>
      <c r="AO1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1!$E:$E"")=$B181) *
        (IMPORTRANGE(""https://docs.google.com/spreadsheets/d/161aHT6vVT3SLneTKD19N5qVWtnj_jIT8CSsOmUVKmaA/e"&amp;"dit?gid=1761053510"",
          ""Haris_Form responses 1!$AQ:$AQ"")=4)
      ),
      1
    ),
    ""0""
  ),
  ""Form not found""
)
"),"Form not found")</f>
        <v>Form not found</v>
      </c>
      <c r="AP1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1!$E:$E"")=$B181) *
        (IMPORTRANGE(""https://docs.google.com/spreadsheets/d/161aHT6vVT3SLneTKD19N5qVWtnj_jIT8CSsOmUVKmaA/e"&amp;"dit?gid=1761053510"",
          ""Haris_Form responses 1!$AQ:$AQ"")=5)
      ),
      1
    ),
    ""0""
  ),
  ""Form not found""
)
"),"Form not found")</f>
        <v>Form not found</v>
      </c>
      <c r="AQ1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1!$E:$E"")=$B181) *
        (IMPORTRANGE(""https://docs.google.com/spreadsheets/d/161aHT6vVT3SLneTKD19N5qVWtnj_jIT8CSsOmUVKmaA/e"&amp;"dit?gid=1761053510"",
          ""Haris_Form responses 1!$AQ:$AQ"")=6)
      ),
      1
    ),
    ""0""
  ),
  ""Form not found""
)
"),"Form not found")</f>
        <v>Form not found</v>
      </c>
      <c r="AR1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1!$E:$E"")=$B181) *
        (IMPORTRANGE(""https://docs.google.com/spreadsheets/d/161aHT6vVT3SLneTKD19N5qVWtnj_jIT8CSsOmUVKmaA/e"&amp;"dit?gid=1761053510"",
          ""Haris_Form responses 1!$AQ:$AQ"")=1)
      ),
      1
    ),
    ""0""
  ),
  ""Form not found""
)
"),"0")</f>
        <v>0</v>
      </c>
      <c r="AS1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1!$E:$E"")=$B181) *
        (IMPORTRANGE(""https://docs.google.com/spreadsheets/d/161aHT6vVT3SLneTKD19N5qVWtnj_jIT8CSsOmUVKmaA/e"&amp;"dit?gid=1761053510"",
          ""Haris_Form responses 1!$AQ:$AQ"")=2)
      ),
      1
    ),
    ""0""
  ),
  ""Form not found""
)
"),"0")</f>
        <v>0</v>
      </c>
      <c r="AT1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1!$E:$E"")=$B181) *
        (IMPORTRANGE(""https://docs.google.com/spreadsheets/d/161aHT6vVT3SLneTKD19N5qVWtnj_jIT8CSsOmUVKmaA/e"&amp;"dit?gid=1761053510"",
          ""Haris_Form responses 1!$AQ:$AQ"")=3)
      ),
      1
    ),
    ""0""
  ),
  ""Form not found""
)
"),"0")</f>
        <v>0</v>
      </c>
      <c r="AU1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1!$E:$E"")=$B181) *
        (IMPORTRANGE(""https://docs.google.com/spreadsheets/d/161aHT6vVT3SLneTKD19N5qVWtnj_jIT8CSsOmUVKmaA/e"&amp;"dit?gid=1761053510"",
          ""Haris_Form responses 1!$AQ:$AQ"")=4)
      ),
      1
    ),
    ""0""
  ),
  ""Form not found""
)
"),"Form not found")</f>
        <v>Form not found</v>
      </c>
      <c r="AV1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1!$E:$E"")=$B181) *
        (IMPORTRANGE(""https://docs.google.com/spreadsheets/d/161aHT6vVT3SLneTKD19N5qVWtnj_jIT8CSsOmUVKmaA/e"&amp;"dit?gid=1761053510"",
          ""Haris_Form responses 1!$AQ:$AQ"")=5)
      ),
      1
    ),
    ""0""
  ),
  ""Form not found""
)
"),"Form not found")</f>
        <v>Form not found</v>
      </c>
      <c r="AW1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1!$E:$E"")=$B181) *
        (IMPORTRANGE(""https://docs.google.com/spreadsheets/d/161aHT6vVT3SLneTKD19N5qVWtnj_jIT8CSsOmUVKmaA/e"&amp;"dit?gid=1761053510"",
          ""Haris_Form responses 1!$AQ:$AQ"")=6)
      ),
      1
    ),
    ""0""
  ),
  ""Form not found""
)
"),"Form not found")</f>
        <v>Form not found</v>
      </c>
      <c r="AX1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1!$E:$E"")=$B181) *
        (IMPORTRANGE(""https://docs.google.com/spreadsheets/d/161aHT6vVT3SLneTKD19N5qVWtnj_jIT8CSsOmUVKmaA/e"&amp;"dit?gid=1761053510"",
          ""Haris_Form responses 1!$AQ:$AQ"")=1)
      ),
      1
    ),
    ""0""
  ),
  ""Form not found""
)
"),"10")</f>
        <v>10</v>
      </c>
      <c r="AY1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1!$E:$E"")=$B181) *
        (IMPORTRANGE(""https://docs.google.com/spreadsheets/d/161aHT6vVT3SLneTKD19N5qVWtnj_jIT8CSsOmUVKmaA/e"&amp;"dit?gid=1761053510"",
          ""Haris_Form responses 1!$AQ:$AQ"")=2)
      ),
      1
    ),
    ""0""
  ),
  ""Form not found""
)
"),"9")</f>
        <v>9</v>
      </c>
      <c r="AZ1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1!$E:$E"")=$B181) *
        (IMPORTRANGE(""https://docs.google.com/spreadsheets/d/161aHT6vVT3SLneTKD19N5qVWtnj_jIT8CSsOmUVKmaA/e"&amp;"dit?gid=1761053510"",
          ""Haris_Form responses 1!$AQ:$AQ"")=3)
      ),
      1
    ),
    ""0""
  ),
  ""Form not found""
)
"),"10")</f>
        <v>10</v>
      </c>
      <c r="BA1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1!$E:$E"")=$B181) *
        (IMPORTRANGE(""https://docs.google.com/spreadsheets/d/161aHT6vVT3SLneTKD19N5qVWtnj_jIT8CSsOmUVKmaA/e"&amp;"dit?gid=1761053510"",
          ""Haris_Form responses 1!$AQ:$AQ"")=4)
      ),
      1
    ),
    ""0""
  ),
  ""Form not found""
)
"),"Form not found")</f>
        <v>Form not found</v>
      </c>
      <c r="BB1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1!$E:$E"")=$B181) *
        (IMPORTRANGE(""https://docs.google.com/spreadsheets/d/161aHT6vVT3SLneTKD19N5qVWtnj_jIT8CSsOmUVKmaA/e"&amp;"dit?gid=1761053510"",
          ""Haris_Form responses 1!$AQ:$AQ"")=5)
      ),
      1
    ),
    ""0""
  ),
  ""Form not found""
)
"),"Form not found")</f>
        <v>Form not found</v>
      </c>
      <c r="BC1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1!$E:$E"")=$B181) *
        (IMPORTRANGE(""https://docs.google.com/spreadsheets/d/161aHT6vVT3SLneTKD19N5qVWtnj_jIT8CSsOmUVKmaA/e"&amp;"dit?gid=1761053510"",
          ""Haris_Form responses 1!$AQ:$AQ"")=6)
      ),
      1
    ),
    ""0""
  ),
  ""Form not found""
)
"),"Form not found")</f>
        <v>Form not found</v>
      </c>
      <c r="BD181" s="293"/>
    </row>
    <row r="182">
      <c r="A182" s="283" t="str">
        <f>IFERROR(__xludf.DUMMYFUNCTION("VLOOKUP($B182,IMPORTRANGE(""https://docs.google.com/spreadsheets/d/1VNXDITjs75AcgdBSW27oL1VZH31udDprJSsBcE5xlp4/edit?gid=1551188038#gid=1551188038"", ""Sheet9!$B:$E""),2,false)"),"Khanewal")</f>
        <v>Khanewal</v>
      </c>
      <c r="B182" s="283" t="s">
        <v>4625</v>
      </c>
      <c r="C182" s="284" t="str">
        <f>IFERROR(__xludf.DUMMYFUNCTION("VLOOKUP(TRIM($B182), IMPORTRANGE(""https://docs.google.com/spreadsheets/d/1aSOrU4PTpuBZqfitKaH1Rfww6-YOiNCKoBpPl8XBHaw/edit?gid=0#gid=0"", ""sheet3!$B:$C""), 2, FALSE)
"),"Jamia Masjid Gaalah Mandi Khanewal")</f>
        <v>Jamia Masjid Gaalah Mandi Khanewal</v>
      </c>
      <c r="D182" s="284" t="str">
        <f>IFERROR(__xludf.DUMMYFUNCTION("IFERROR(
  INDEX(
    FILTER(
      IMPORTRANGE(""1aSOrU4PTpuBZqfitKaH1Rfww6-YOiNCKoBpPl8XBHaw/edit?gid=0#gid=0"",""Sheet1!G:G""),
      IMPORTRANGE(""1aSOrU4PTpuBZqfitKaH1Rfww6-YOiNCKoBpPl8XBHaw/edit?gid=0#gid=0"",""Sheet1!C:C"")=$B182
    ),
    1
  ),
"&amp;"  ""Not Found""
)"),"Women Secular Info Share")</f>
        <v>Women Secular Info Share</v>
      </c>
      <c r="E182" s="284" t="str">
        <f>VLOOKUP(B182,'Juma Recording forms'!A:E,5,false)</f>
        <v>Jamia Masjid Gaalah Mandi khanewal</v>
      </c>
      <c r="F182" s="284" t="str">
        <f>IFERROR(__xludf.DUMMYFUNCTION("IFERROR(
  INDEX(
    FILTER(
      IMPORTRANGE(""1Cxrhp3-_-HS7v9uuqQliiIfrmMP4VaFoDNDWyUFy2J8/edit?gid=0#gid=0"",""Sheet1!Q:Q""),
      IMPORTRANGE(""1Cxrhp3-_-HS7v9uuqQliiIfrmMP4VaFoDNDWyUFy2J8/edit?gid=0#gid=0"",""Sheet1!K:K"")=$B182
    ),
    1
  ),
"&amp;"  ""Not Found""
)"),"Muhammad ishfaq")</f>
        <v>Muhammad ishfaq</v>
      </c>
      <c r="G182" s="284">
        <v>1908.0</v>
      </c>
      <c r="H182" s="284"/>
      <c r="I182" s="285" t="s">
        <v>197</v>
      </c>
      <c r="J182" s="286">
        <v>2.0</v>
      </c>
      <c r="K182" s="287" t="str">
        <f>VLOOKUP($B182,'Mosque Locations'!$A:$E,3,FALSE)
</f>
        <v>https://maps.google.com/maps?q=30.3024802%2C71.9200804&amp;z=17&amp;hl=en</v>
      </c>
      <c r="L182" s="286">
        <f>VLOOKUP($B182,'Mosque Locations'!$A:$E,4,FALSE)
</f>
        <v>30.30248</v>
      </c>
      <c r="M182" s="286">
        <f>VLOOKUP($B182,'Mosque Locations'!$A:$E,5,false)</f>
        <v>71.92008</v>
      </c>
      <c r="N182" s="288"/>
      <c r="O182" s="288"/>
      <c r="P182" s="288"/>
      <c r="Q182" s="290" t="str">
        <f>IFERROR(__xludf.DUMMYFUNCTION("IFERROR(
  INDEX(
    FILTER(
      IMPORTRANGE(""1kOrIKZmJfNUkgOVP3sI9BPjaaPA0_a4636oymQxTXg8"",""Form Responses 1!N:N""),
      TRIM(IMPORTRANGE(""1kOrIKZmJfNUkgOVP3sI9BPjaaPA0_a4636oymQxTXg8"",""Form Responses 1!F:F""))=TRIM($B182)
    ),
    1
  ),
  "&amp;"""Not Found""
)
"),"https://drive.google.com/open?id=1PqxvpTAjyT53eykUdZ9u6ECSIVOB_cRS")</f>
        <v>https://drive.google.com/open?id=1PqxvpTAjyT53eykUdZ9u6ECSIVOB_cRS</v>
      </c>
      <c r="R182" s="290" t="str">
        <f>IFERROR(__xludf.DUMMYFUNCTION("IFERROR(
  INDEX(
    FILTER(
      IMPORTRANGE(""1kOrIKZmJfNUkgOVP3sI9BPjaaPA0_a4636oymQxTXg8"",""Form Responses 1!M:M""),
      TRIM(IMPORTRANGE(""1kOrIKZmJfNUkgOVP3sI9BPjaaPA0_a4636oymQxTXg8"",""Form Responses 1!F:F""))=TRIM($B182)
    ),
    1
  ),
  "&amp;"""Not Found""
)
"),"https://drive.google.com/open?id=1oUNxO1rRWIuDZ4wi5KZiJomsP_ISwXwq")</f>
        <v>https://drive.google.com/open?id=1oUNxO1rRWIuDZ4wi5KZiJomsP_ISwXwq</v>
      </c>
      <c r="S182" s="285"/>
      <c r="T182" s="290" t="str">
        <f>VLOOKUP($B182,'Master Tracker'!D:E,2,false)</f>
        <v>https://drive.google.com/open?id=1izC-5LejP7WTSmRZxTUBZiBFujYYCEIc</v>
      </c>
      <c r="U182" s="291" t="str">
        <f>VLOOKUP($B182,'Master Tracker'!$D:$T,4,FALSE)
</f>
        <v>https://drive.google.com/open?id=1r5Ci4kjtKgc55DKdOQVi-CQXZ_D2lIdSp82z2ZGEJOk</v>
      </c>
      <c r="V182" s="290" t="str">
        <f>VLOOKUP($B182,'Master Tracker'!$D:$T,5,false)</f>
        <v>https://drive.google.com/open?id=1a4OHAhulWq-7CbR1K6e5r7gXlnddRFLS</v>
      </c>
      <c r="W182" s="291" t="str">
        <f>VLOOKUP($B182,'Master Tracker'!$D:$T,7,false)</f>
        <v>https://drive.google.com/open?id=1jEqb6_z780Eu9JK0XuAPj8DJnsGqxkTh</v>
      </c>
      <c r="X182" s="290" t="str">
        <f>VLOOKUP($B182,'Master Tracker'!$D:$T,8,false)</f>
        <v>https://drive.google.com/open?id=1Bwit0_2EYh9910gZeXvo-T_e5Yy_nE1-</v>
      </c>
      <c r="Y182" s="291" t="str">
        <f>VLOOKUP($B182,'Master Tracker'!$D:$T,10,false)</f>
        <v>https://drive.google.com/open?id=1RRExHyhhyVOuYkK8bwb2CnL7eSMyvVOBov5I7IcovpU</v>
      </c>
      <c r="Z182" s="284" t="str">
        <f>VLOOKUP($B182,'Master Tracker'!$D:$T,11,false)</f>
        <v>Not Found</v>
      </c>
      <c r="AA182" s="292" t="str">
        <f>VLOOKUP($B182,'Master Tracker'!$D:$T,13,false)</f>
        <v>Not Found</v>
      </c>
      <c r="AB182" s="284" t="str">
        <f>VLOOKUP($B182,'Master Tracker'!$D:$T,14,false)</f>
        <v>Not Found</v>
      </c>
      <c r="AC182" s="292" t="str">
        <f>VLOOKUP($B182,'Master Tracker'!$D:$T,16,false)</f>
        <v>Not Found</v>
      </c>
      <c r="AD182" s="292" t="str">
        <f>VLOOKUP($B182,'Master Tracker'!$D:$T,17,false)</f>
        <v>Not Found</v>
      </c>
      <c r="AE182" s="292" t="str">
        <f>VLOOKUP($B182,'Master Tracker'!$D:$V,19,false)</f>
        <v>Not Found</v>
      </c>
      <c r="AF182" s="292">
        <f>IFERROR(__xludf.DUMMYFUNCTION("IFERROR(
  INDEX(
    FILTER(
      'Juma Recording forms'!$G:$G,
      TRIM('Juma Recording forms'!$F:$F) = TRIM($B182),
      'Juma Recording forms'!$AA:$AA = 1
    ),
    1
  ),
  ""Not Found""
)"),310.0)</f>
        <v>310</v>
      </c>
      <c r="AG182" s="292">
        <f>IFERROR(__xludf.DUMMYFUNCTION("IFERROR(
  INDEX(
    FILTER(
      'Juma Recording forms'!$G:$G,
      TRIM('Juma Recording forms'!$F:$F) = TRIM($B182),
      'Juma Recording forms'!$AA:$AA = 2
    ),
    1
  ),
  ""Not Found""
)"),305.0)</f>
        <v>305</v>
      </c>
      <c r="AH182" s="292">
        <f>IFERROR(__xludf.DUMMYFUNCTION("IFERROR(
  INDEX(
    FILTER(
      'Juma Recording forms'!$G:$G,
      TRIM('Juma Recording forms'!$F:$F) = TRIM($B182),
      'Juma Recording forms'!$AA:$AA = 3
    ),
    1
  ),
  ""Not Found""
)"),299.0)</f>
        <v>299</v>
      </c>
      <c r="AI182" s="292" t="str">
        <f>IFERROR(__xludf.DUMMYFUNCTION("IFERROR(
  INDEX(
    FILTER(
      'Juma Recording forms'!$G:$G,
      TRIM('Juma Recording forms'!$F:$F) = TRIM($B182),
      'Juma Recording forms'!$AA:$AA = 4
    ),
    1
  ),
  ""Not Found""
)"),"Not Found")</f>
        <v>Not Found</v>
      </c>
      <c r="AJ182" s="292" t="str">
        <f>IFERROR(__xludf.DUMMYFUNCTION("IFERROR(
  INDEX(
    FILTER(
      'Juma Recording forms'!$G:$G,
      TRIM('Juma Recording forms'!$F:$F) = TRIM($B182),
      'Juma Recording forms'!$AA:$AA = 5
    ),
    1
  ),
  ""Not Found""
)"),"Not Found")</f>
        <v>Not Found</v>
      </c>
      <c r="AK182" s="292" t="str">
        <f>IFERROR(__xludf.DUMMYFUNCTION("IFERROR(
  INDEX(
    FILTER(
      'Juma Recording forms'!$G:$G,
      TRIM('Juma Recording forms'!$F:$F) = TRIM($B182),
      'Juma Recording forms'!$AA:$AA = 6
    ),
    1
  ),
  ""Not Found""
)"),"Not Found")</f>
        <v>Not Found</v>
      </c>
      <c r="AL1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1!$E:$E"")=$B182) *
        (IMPORTRANGE(""https://docs.google.com/spreadsheets/d/161aHT6vVT3SLneTKD19N5qVWtnj_jIT8CSsOmUVKmaA/e"&amp;"dit?gid=1761053510"",
          ""Haris_Form responses 1!$AQ:$AQ"")=1)
      ),
      1
    ),
    ""0""
  ),
  ""Form not found""
)
"),"10")</f>
        <v>10</v>
      </c>
      <c r="AM1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1!$E:$E"")=$B182) *
        (IMPORTRANGE(""https://docs.google.com/spreadsheets/d/161aHT6vVT3SLneTKD19N5qVWtnj_jIT8CSsOmUVKmaA/e"&amp;"dit?gid=1761053510"",
          ""Haris_Form responses 1!$AQ:$AQ"")=2)
      ),
      1
    ),
    ""0""
  ),
  ""Form not found""
)
"),"10")</f>
        <v>10</v>
      </c>
      <c r="AN1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1!$E:$E"")=$B182) *
        (IMPORTRANGE(""https://docs.google.com/spreadsheets/d/161aHT6vVT3SLneTKD19N5qVWtnj_jIT8CSsOmUVKmaA/e"&amp;"dit?gid=1761053510"",
          ""Haris_Form responses 1!$AQ:$AQ"")=3)
      ),
      1
    ),
    ""0""
  ),
  ""Form not found""
)
"),"0")</f>
        <v>0</v>
      </c>
      <c r="AO1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1!$E:$E"")=$B182) *
        (IMPORTRANGE(""https://docs.google.com/spreadsheets/d/161aHT6vVT3SLneTKD19N5qVWtnj_jIT8CSsOmUVKmaA/e"&amp;"dit?gid=1761053510"",
          ""Haris_Form responses 1!$AQ:$AQ"")=4)
      ),
      1
    ),
    ""0""
  ),
  ""Form not found""
)
"),"Form not found")</f>
        <v>Form not found</v>
      </c>
      <c r="AP1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1!$E:$E"")=$B182) *
        (IMPORTRANGE(""https://docs.google.com/spreadsheets/d/161aHT6vVT3SLneTKD19N5qVWtnj_jIT8CSsOmUVKmaA/e"&amp;"dit?gid=1761053510"",
          ""Haris_Form responses 1!$AQ:$AQ"")=5)
      ),
      1
    ),
    ""0""
  ),
  ""Form not found""
)
"),"Form not found")</f>
        <v>Form not found</v>
      </c>
      <c r="AQ1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1!$E:$E"")=$B182) *
        (IMPORTRANGE(""https://docs.google.com/spreadsheets/d/161aHT6vVT3SLneTKD19N5qVWtnj_jIT8CSsOmUVKmaA/e"&amp;"dit?gid=1761053510"",
          ""Haris_Form responses 1!$AQ:$AQ"")=6)
      ),
      1
    ),
    ""0""
  ),
  ""Form not found""
)
"),"Form not found")</f>
        <v>Form not found</v>
      </c>
      <c r="AR1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1!$E:$E"")=$B182) *
        (IMPORTRANGE(""https://docs.google.com/spreadsheets/d/161aHT6vVT3SLneTKD19N5qVWtnj_jIT8CSsOmUVKmaA/e"&amp;"dit?gid=1761053510"",
          ""Haris_Form responses 1!$AQ:$AQ"")=1)
      ),
      1
    ),
    ""0""
  ),
  ""Form not found""
)
"),"0")</f>
        <v>0</v>
      </c>
      <c r="AS1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1!$E:$E"")=$B182) *
        (IMPORTRANGE(""https://docs.google.com/spreadsheets/d/161aHT6vVT3SLneTKD19N5qVWtnj_jIT8CSsOmUVKmaA/e"&amp;"dit?gid=1761053510"",
          ""Haris_Form responses 1!$AQ:$AQ"")=2)
      ),
      1
    ),
    ""0""
  ),
  ""Form not found""
)
"),"0")</f>
        <v>0</v>
      </c>
      <c r="AT1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1!$E:$E"")=$B182) *
        (IMPORTRANGE(""https://docs.google.com/spreadsheets/d/161aHT6vVT3SLneTKD19N5qVWtnj_jIT8CSsOmUVKmaA/e"&amp;"dit?gid=1761053510"",
          ""Haris_Form responses 1!$AQ:$AQ"")=3)
      ),
      1
    ),
    ""0""
  ),
  ""Form not found""
)
"),"0")</f>
        <v>0</v>
      </c>
      <c r="AU1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1!$E:$E"")=$B182) *
        (IMPORTRANGE(""https://docs.google.com/spreadsheets/d/161aHT6vVT3SLneTKD19N5qVWtnj_jIT8CSsOmUVKmaA/e"&amp;"dit?gid=1761053510"",
          ""Haris_Form responses 1!$AQ:$AQ"")=4)
      ),
      1
    ),
    ""0""
  ),
  ""Form not found""
)
"),"Form not found")</f>
        <v>Form not found</v>
      </c>
      <c r="AV1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1!$E:$E"")=$B182) *
        (IMPORTRANGE(""https://docs.google.com/spreadsheets/d/161aHT6vVT3SLneTKD19N5qVWtnj_jIT8CSsOmUVKmaA/e"&amp;"dit?gid=1761053510"",
          ""Haris_Form responses 1!$AQ:$AQ"")=5)
      ),
      1
    ),
    ""0""
  ),
  ""Form not found""
)
"),"Form not found")</f>
        <v>Form not found</v>
      </c>
      <c r="AW1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1!$E:$E"")=$B182) *
        (IMPORTRANGE(""https://docs.google.com/spreadsheets/d/161aHT6vVT3SLneTKD19N5qVWtnj_jIT8CSsOmUVKmaA/e"&amp;"dit?gid=1761053510"",
          ""Haris_Form responses 1!$AQ:$AQ"")=6)
      ),
      1
    ),
    ""0""
  ),
  ""Form not found""
)
"),"Form not found")</f>
        <v>Form not found</v>
      </c>
      <c r="AX1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1!$E:$E"")=$B182) *
        (IMPORTRANGE(""https://docs.google.com/spreadsheets/d/161aHT6vVT3SLneTKD19N5qVWtnj_jIT8CSsOmUVKmaA/e"&amp;"dit?gid=1761053510"",
          ""Haris_Form responses 1!$AQ:$AQ"")=1)
      ),
      1
    ),
    ""0""
  ),
  ""Form not found""
)
"),"10")</f>
        <v>10</v>
      </c>
      <c r="AY1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1!$E:$E"")=$B182) *
        (IMPORTRANGE(""https://docs.google.com/spreadsheets/d/161aHT6vVT3SLneTKD19N5qVWtnj_jIT8CSsOmUVKmaA/e"&amp;"dit?gid=1761053510"",
          ""Haris_Form responses 1!$AQ:$AQ"")=2)
      ),
      1
    ),
    ""0""
  ),
  ""Form not found""
)
"),"10")</f>
        <v>10</v>
      </c>
      <c r="AZ1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1!$E:$E"")=$B182) *
        (IMPORTRANGE(""https://docs.google.com/spreadsheets/d/161aHT6vVT3SLneTKD19N5qVWtnj_jIT8CSsOmUVKmaA/e"&amp;"dit?gid=1761053510"",
          ""Haris_Form responses 1!$AQ:$AQ"")=3)
      ),
      1
    ),
    ""0""
  ),
  ""Form not found""
)
"),"0")</f>
        <v>0</v>
      </c>
      <c r="BA1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1!$E:$E"")=$B182) *
        (IMPORTRANGE(""https://docs.google.com/spreadsheets/d/161aHT6vVT3SLneTKD19N5qVWtnj_jIT8CSsOmUVKmaA/e"&amp;"dit?gid=1761053510"",
          ""Haris_Form responses 1!$AQ:$AQ"")=4)
      ),
      1
    ),
    ""0""
  ),
  ""Form not found""
)
"),"Form not found")</f>
        <v>Form not found</v>
      </c>
      <c r="BB1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1!$E:$E"")=$B182) *
        (IMPORTRANGE(""https://docs.google.com/spreadsheets/d/161aHT6vVT3SLneTKD19N5qVWtnj_jIT8CSsOmUVKmaA/e"&amp;"dit?gid=1761053510"",
          ""Haris_Form responses 1!$AQ:$AQ"")=5)
      ),
      1
    ),
    ""0""
  ),
  ""Form not found""
)
"),"Form not found")</f>
        <v>Form not found</v>
      </c>
      <c r="BC1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1!$E:$E"")=$B182) *
        (IMPORTRANGE(""https://docs.google.com/spreadsheets/d/161aHT6vVT3SLneTKD19N5qVWtnj_jIT8CSsOmUVKmaA/e"&amp;"dit?gid=1761053510"",
          ""Haris_Form responses 1!$AQ:$AQ"")=6)
      ),
      1
    ),
    ""0""
  ),
  ""Form not found""
)
"),"Form not found")</f>
        <v>Form not found</v>
      </c>
      <c r="BD182" s="293"/>
    </row>
    <row r="183">
      <c r="A183" s="283" t="str">
        <f>IFERROR(__xludf.DUMMYFUNCTION("VLOOKUP($B183,IMPORTRANGE(""https://docs.google.com/spreadsheets/d/1VNXDITjs75AcgdBSW27oL1VZH31udDprJSsBcE5xlp4/edit?gid=1551188038#gid=1551188038"", ""Sheet9!$B:$E""),2,false)"),"Khanewal")</f>
        <v>Khanewal</v>
      </c>
      <c r="B183" s="283" t="s">
        <v>3706</v>
      </c>
      <c r="C183" s="284" t="str">
        <f>IFERROR(__xludf.DUMMYFUNCTION("VLOOKUP(TRIM($B183), IMPORTRANGE(""https://docs.google.com/spreadsheets/d/1aSOrU4PTpuBZqfitKaH1Rfww6-YOiNCKoBpPl8XBHaw/edit?gid=0#gid=0"", ""sheet3!$B:$C""), 2, FALSE)
"),"Jamia Masjid Darbar Dawood Jahanian")</f>
        <v>Jamia Masjid Darbar Dawood Jahanian</v>
      </c>
      <c r="D183" s="284" t="str">
        <f>IFERROR(__xludf.DUMMYFUNCTION("IFERROR(
  INDEX(
    FILTER(
      IMPORTRANGE(""1aSOrU4PTpuBZqfitKaH1Rfww6-YOiNCKoBpPl8XBHaw/edit?gid=0#gid=0"",""Sheet1!G:G""),
      IMPORTRANGE(""1aSOrU4PTpuBZqfitKaH1Rfww6-YOiNCKoBpPl8XBHaw/edit?gid=0#gid=0"",""Sheet1!C:C"")=$B183
    ),
    1
  ),
"&amp;"  ""Not Found""
)"),"Women Secular No Info Share")</f>
        <v>Women Secular No Info Share</v>
      </c>
      <c r="E183" s="284" t="str">
        <f>VLOOKUP(B183,'Juma Recording forms'!A:E,5,false)</f>
        <v>مرکزی جامع مسجد داؤد جہانیاں </v>
      </c>
      <c r="F183" s="284" t="str">
        <f>IFERROR(__xludf.DUMMYFUNCTION("IFERROR(
  INDEX(
    FILTER(
      IMPORTRANGE(""1Cxrhp3-_-HS7v9uuqQliiIfrmMP4VaFoDNDWyUFy2J8/edit?gid=0#gid=0"",""Sheet1!Q:Q""),
      IMPORTRANGE(""1Cxrhp3-_-HS7v9uuqQliiIfrmMP4VaFoDNDWyUFy2J8/edit?gid=0#gid=0"",""Sheet1!K:K"")=$B183
    ),
    1
  ),
"&amp;"  ""Not Found""
)"),"Not Found")</f>
        <v>Not Found</v>
      </c>
      <c r="G183" s="292">
        <v>1978.0</v>
      </c>
      <c r="H183" s="284"/>
      <c r="I183" s="285" t="s">
        <v>197</v>
      </c>
      <c r="J183" s="286">
        <v>2.0</v>
      </c>
      <c r="K183" s="287" t="str">
        <f>VLOOKUP($B183,'Mosque Locations'!$A:$E,3,FALSE)
</f>
        <v>https://www.google.com/maps?q=30.0277159,71.1796664</v>
      </c>
      <c r="L183" s="286">
        <f>VLOOKUP($B183,'Mosque Locations'!$A:$E,4,FALSE)
</f>
        <v>30.02772</v>
      </c>
      <c r="M183" s="286">
        <f>VLOOKUP($B183,'Mosque Locations'!$A:$E,5,false)</f>
        <v>71.17967</v>
      </c>
      <c r="N183" s="288"/>
      <c r="O183" s="288"/>
      <c r="P183" s="288"/>
      <c r="Q183" s="295" t="str">
        <f>IFERROR(__xludf.DUMMYFUNCTION("IFERROR(
  INDEX(
    FILTER(
      IMPORTRANGE(""1kOrIKZmJfNUkgOVP3sI9BPjaaPA0_a4636oymQxTXg8"",""Form Responses 1!N:N""),
      TRIM(IMPORTRANGE(""1kOrIKZmJfNUkgOVP3sI9BPjaaPA0_a4636oymQxTXg8"",""Form Responses 1!F:F""))=TRIM($B183)
    ),
    1
  ),
  "&amp;"""Not Found""
)
"),"https://drive.google.com/open?id=1-L87l1Jq1QV9XT9z4wCYPOQlcLIca-7G")</f>
        <v>https://drive.google.com/open?id=1-L87l1Jq1QV9XT9z4wCYPOQlcLIca-7G</v>
      </c>
      <c r="R183" s="295" t="str">
        <f>IFERROR(__xludf.DUMMYFUNCTION("IFERROR(
  INDEX(
    FILTER(
      IMPORTRANGE(""1kOrIKZmJfNUkgOVP3sI9BPjaaPA0_a4636oymQxTXg8"",""Form Responses 1!M:M""),
      TRIM(IMPORTRANGE(""1kOrIKZmJfNUkgOVP3sI9BPjaaPA0_a4636oymQxTXg8"",""Form Responses 1!F:F""))=TRIM($B183)
    ),
    1
  ),
  "&amp;"""Not Found""
)
"),"https://drive.google.com/open?id=1v3GSVV3hChR5E6q2vlY-_RLNgOmmL0O-")</f>
        <v>https://drive.google.com/open?id=1v3GSVV3hChR5E6q2vlY-_RLNgOmmL0O-</v>
      </c>
      <c r="S183" s="285"/>
      <c r="T183" s="284" t="str">
        <f>VLOOKUP($B183,'Master Tracker'!D:E,2,false)</f>
        <v>Not Found</v>
      </c>
      <c r="U183" s="292" t="str">
        <f>VLOOKUP($B183,'Master Tracker'!$D:$T,4,FALSE)
</f>
        <v>Not Found</v>
      </c>
      <c r="V183" s="290" t="str">
        <f>VLOOKUP($B183,'Master Tracker'!$D:$T,5,false)</f>
        <v>https://drive.google.com/open?id=1do3-905idrdhmiXL9rGwNVXzhsY_qFuQ</v>
      </c>
      <c r="W183" s="291" t="str">
        <f>VLOOKUP($B183,'Master Tracker'!$D:$T,7,false)</f>
        <v>https://drive.google.com/open?id=1k1-ZKDJ5JqZvmEHIxu67FPWT28WM7md8</v>
      </c>
      <c r="X183" s="290" t="str">
        <f>VLOOKUP($B183,'Master Tracker'!$D:$T,8,false)</f>
        <v>https://drive.google.com/file/d/1ri0O2OMVQbUz965sm2mrk0cNNNAoEMFF/view?usp=drive_link</v>
      </c>
      <c r="Y183" s="291" t="str">
        <f>VLOOKUP($B183,'Master Tracker'!$D:$T,10,false)</f>
        <v>https://drive.google.com/open?id=1K4kxV7Tskuc1l6Rpxqr-GBRWS8hwHgU7D8Ho2PLAHMc</v>
      </c>
      <c r="Z183" s="290" t="str">
        <f>VLOOKUP($B183,'Master Tracker'!$D:$T,11,false)</f>
        <v>https://drive.google.com/file/d/1jTPOACXlXuK4zAiM05k3hggjt9vpSaWV/view?usp=drive_link</v>
      </c>
      <c r="AA183" s="291" t="str">
        <f>VLOOKUP($B183,'Master Tracker'!$D:$T,13,false)</f>
        <v>https://drive.google.com/open?id=1jM68hyFMin6p1s-9qv8MbVngs0JBvpVFRHTusyGLw-A</v>
      </c>
      <c r="AB183" s="290" t="str">
        <f>VLOOKUP($B183,'Master Tracker'!$D:$T,14,false)</f>
        <v>https://drive.google.com/file/d/1AhreUI34Gi6VNEnBBrkSiqY6Cj9lL67I/view?usp=drive_link</v>
      </c>
      <c r="AC183" s="291" t="str">
        <f>VLOOKUP($B183,'Master Tracker'!$D:$T,16,false)</f>
        <v>https://drive.google.com/open?id=1GSFtGyMcHaSohkQI7cKZyoH7tViSkIdcM8UylAtEZrQ</v>
      </c>
      <c r="AD183" s="292" t="str">
        <f>VLOOKUP($B183,'Master Tracker'!$D:$T,17,false)</f>
        <v>Not Found</v>
      </c>
      <c r="AE183" s="292" t="str">
        <f>VLOOKUP($B183,'Master Tracker'!$D:$V,19,false)</f>
        <v>Not Found</v>
      </c>
      <c r="AF183" s="292" t="str">
        <f>IFERROR(__xludf.DUMMYFUNCTION("IFERROR(
  INDEX(
    FILTER(
      'Juma Recording forms'!$G:$G,
      TRIM('Juma Recording forms'!$F:$F) = TRIM($B183),
      'Juma Recording forms'!$AA:$AA = 1
    ),
    1
  ),
  ""Not Found""
)"),"Not Found")</f>
        <v>Not Found</v>
      </c>
      <c r="AG183" s="292">
        <f>IFERROR(__xludf.DUMMYFUNCTION("IFERROR(
  INDEX(
    FILTER(
      'Juma Recording forms'!$G:$G,
      TRIM('Juma Recording forms'!$F:$F) = TRIM($B183),
      'Juma Recording forms'!$AA:$AA = 2
    ),
    1
  ),
  ""Not Found""
)"),200.0)</f>
        <v>200</v>
      </c>
      <c r="AH183" s="292">
        <f>IFERROR(__xludf.DUMMYFUNCTION("IFERROR(
  INDEX(
    FILTER(
      'Juma Recording forms'!$G:$G,
      TRIM('Juma Recording forms'!$F:$F) = TRIM($B183),
      'Juma Recording forms'!$AA:$AA = 3
    ),
    1
  ),
  ""Not Found""
)"),213.0)</f>
        <v>213</v>
      </c>
      <c r="AI183" s="292">
        <f>IFERROR(__xludf.DUMMYFUNCTION("IFERROR(
  INDEX(
    FILTER(
      'Juma Recording forms'!$G:$G,
      TRIM('Juma Recording forms'!$F:$F) = TRIM($B183),
      'Juma Recording forms'!$AA:$AA = 4
    ),
    1
  ),
  ""Not Found""
)"),214.0)</f>
        <v>214</v>
      </c>
      <c r="AJ183" s="292">
        <f>IFERROR(__xludf.DUMMYFUNCTION("IFERROR(
  INDEX(
    FILTER(
      'Juma Recording forms'!$G:$G,
      TRIM('Juma Recording forms'!$F:$F) = TRIM($B183),
      'Juma Recording forms'!$AA:$AA = 5
    ),
    1
  ),
  ""Not Found""
)"),186.0)</f>
        <v>186</v>
      </c>
      <c r="AK183" s="292" t="str">
        <f>IFERROR(__xludf.DUMMYFUNCTION("IFERROR(
  INDEX(
    FILTER(
      'Juma Recording forms'!$G:$G,
      TRIM('Juma Recording forms'!$F:$F) = TRIM($B183),
      'Juma Recording forms'!$AA:$AA = 6
    ),
    1
  ),
  ""Not Found""
)"),"Not Found")</f>
        <v>Not Found</v>
      </c>
      <c r="AL1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1!$E:$E"")=$B183) *
        (IMPORTRANGE(""https://docs.google.com/spreadsheets/d/161aHT6vVT3SLneTKD19N5qVWtnj_jIT8CSsOmUVKmaA/e"&amp;"dit?gid=1761053510"",
          ""Haris_Form responses 1!$AQ:$AQ"")=1)
      ),
      1
    ),
    ""0""
  ),
  ""Form not found""
)
"),"Form not found")</f>
        <v>Form not found</v>
      </c>
      <c r="AM1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1!$E:$E"")=$B183) *
        (IMPORTRANGE(""https://docs.google.com/spreadsheets/d/161aHT6vVT3SLneTKD19N5qVWtnj_jIT8CSsOmUVKmaA/e"&amp;"dit?gid=1761053510"",
          ""Haris_Form responses 1!$AQ:$AQ"")=2)
      ),
      1
    ),
    ""0""
  ),
  ""Form not found""
)
"),"0")</f>
        <v>0</v>
      </c>
      <c r="AN1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1!$E:$E"")=$B183) *
        (IMPORTRANGE(""https://docs.google.com/spreadsheets/d/161aHT6vVT3SLneTKD19N5qVWtnj_jIT8CSsOmUVKmaA/e"&amp;"dit?gid=1761053510"",
          ""Haris_Form responses 1!$AQ:$AQ"")=3)
      ),
      1
    ),
    ""0""
  ),
  ""Form not found""
)
"),"10")</f>
        <v>10</v>
      </c>
      <c r="AO1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1!$E:$E"")=$B183) *
        (IMPORTRANGE(""https://docs.google.com/spreadsheets/d/161aHT6vVT3SLneTKD19N5qVWtnj_jIT8CSsOmUVKmaA/e"&amp;"dit?gid=1761053510"",
          ""Haris_Form responses 1!$AQ:$AQ"")=4)
      ),
      1
    ),
    ""0""
  ),
  ""Form not found""
)
"),"9")</f>
        <v>9</v>
      </c>
      <c r="AP1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1!$E:$E"")=$B183) *
        (IMPORTRANGE(""https://docs.google.com/spreadsheets/d/161aHT6vVT3SLneTKD19N5qVWtnj_jIT8CSsOmUVKmaA/e"&amp;"dit?gid=1761053510"",
          ""Haris_Form responses 1!$AQ:$AQ"")=5)
      ),
      1
    ),
    ""0""
  ),
  ""Form not found""
)
"),"0")</f>
        <v>0</v>
      </c>
      <c r="AQ1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1!$E:$E"")=$B183) *
        (IMPORTRANGE(""https://docs.google.com/spreadsheets/d/161aHT6vVT3SLneTKD19N5qVWtnj_jIT8CSsOmUVKmaA/e"&amp;"dit?gid=1761053510"",
          ""Haris_Form responses 1!$AQ:$AQ"")=6)
      ),
      1
    ),
    ""0""
  ),
  ""Form not found""
)
"),"Form not found")</f>
        <v>Form not found</v>
      </c>
      <c r="AR1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1!$E:$E"")=$B183) *
        (IMPORTRANGE(""https://docs.google.com/spreadsheets/d/161aHT6vVT3SLneTKD19N5qVWtnj_jIT8CSsOmUVKmaA/e"&amp;"dit?gid=1761053510"",
          ""Haris_Form responses 1!$AQ:$AQ"")=1)
      ),
      1
    ),
    ""0""
  ),
  ""Form not found""
)
"),"Form not found")</f>
        <v>Form not found</v>
      </c>
      <c r="AS1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1!$E:$E"")=$B183) *
        (IMPORTRANGE(""https://docs.google.com/spreadsheets/d/161aHT6vVT3SLneTKD19N5qVWtnj_jIT8CSsOmUVKmaA/e"&amp;"dit?gid=1761053510"",
          ""Haris_Form responses 1!$AQ:$AQ"")=2)
      ),
      1
    ),
    ""0""
  ),
  ""Form not found""
)
"),"0")</f>
        <v>0</v>
      </c>
      <c r="AT1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1!$E:$E"")=$B183) *
        (IMPORTRANGE(""https://docs.google.com/spreadsheets/d/161aHT6vVT3SLneTKD19N5qVWtnj_jIT8CSsOmUVKmaA/e"&amp;"dit?gid=1761053510"",
          ""Haris_Form responses 1!$AQ:$AQ"")=3)
      ),
      1
    ),
    ""0""
  ),
  ""Form not found""
)
"),"0")</f>
        <v>0</v>
      </c>
      <c r="AU1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1!$E:$E"")=$B183) *
        (IMPORTRANGE(""https://docs.google.com/spreadsheets/d/161aHT6vVT3SLneTKD19N5qVWtnj_jIT8CSsOmUVKmaA/e"&amp;"dit?gid=1761053510"",
          ""Haris_Form responses 1!$AQ:$AQ"")=4)
      ),
      1
    ),
    ""0""
  ),
  ""Form not found""
)
"),"0")</f>
        <v>0</v>
      </c>
      <c r="AV1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1!$E:$E"")=$B183) *
        (IMPORTRANGE(""https://docs.google.com/spreadsheets/d/161aHT6vVT3SLneTKD19N5qVWtnj_jIT8CSsOmUVKmaA/e"&amp;"dit?gid=1761053510"",
          ""Haris_Form responses 1!$AQ:$AQ"")=5)
      ),
      1
    ),
    ""0""
  ),
  ""Form not found""
)
"),"0")</f>
        <v>0</v>
      </c>
      <c r="AW1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1!$E:$E"")=$B183) *
        (IMPORTRANGE(""https://docs.google.com/spreadsheets/d/161aHT6vVT3SLneTKD19N5qVWtnj_jIT8CSsOmUVKmaA/e"&amp;"dit?gid=1761053510"",
          ""Haris_Form responses 1!$AQ:$AQ"")=6)
      ),
      1
    ),
    ""0""
  ),
  ""Form not found""
)
"),"Form not found")</f>
        <v>Form not found</v>
      </c>
      <c r="AX1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1!$E:$E"")=$B183) *
        (IMPORTRANGE(""https://docs.google.com/spreadsheets/d/161aHT6vVT3SLneTKD19N5qVWtnj_jIT8CSsOmUVKmaA/e"&amp;"dit?gid=1761053510"",
          ""Haris_Form responses 1!$AQ:$AQ"")=1)
      ),
      1
    ),
    ""0""
  ),
  ""Form not found""
)
"),"Form not found")</f>
        <v>Form not found</v>
      </c>
      <c r="AY1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1!$E:$E"")=$B183) *
        (IMPORTRANGE(""https://docs.google.com/spreadsheets/d/161aHT6vVT3SLneTKD19N5qVWtnj_jIT8CSsOmUVKmaA/e"&amp;"dit?gid=1761053510"",
          ""Haris_Form responses 1!$AQ:$AQ"")=2)
      ),
      1
    ),
    ""0""
  ),
  ""Form not found""
)
"),"0")</f>
        <v>0</v>
      </c>
      <c r="AZ1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1!$E:$E"")=$B183) *
        (IMPORTRANGE(""https://docs.google.com/spreadsheets/d/161aHT6vVT3SLneTKD19N5qVWtnj_jIT8CSsOmUVKmaA/e"&amp;"dit?gid=1761053510"",
          ""Haris_Form responses 1!$AQ:$AQ"")=3)
      ),
      1
    ),
    ""0""
  ),
  ""Form not found""
)
"),"10")</f>
        <v>10</v>
      </c>
      <c r="BA1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1!$E:$E"")=$B183) *
        (IMPORTRANGE(""https://docs.google.com/spreadsheets/d/161aHT6vVT3SLneTKD19N5qVWtnj_jIT8CSsOmUVKmaA/e"&amp;"dit?gid=1761053510"",
          ""Haris_Form responses 1!$AQ:$AQ"")=4)
      ),
      1
    ),
    ""0""
  ),
  ""Form not found""
)
"),"9")</f>
        <v>9</v>
      </c>
      <c r="BB1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1!$E:$E"")=$B183) *
        (IMPORTRANGE(""https://docs.google.com/spreadsheets/d/161aHT6vVT3SLneTKD19N5qVWtnj_jIT8CSsOmUVKmaA/e"&amp;"dit?gid=1761053510"",
          ""Haris_Form responses 1!$AQ:$AQ"")=5)
      ),
      1
    ),
    ""0""
  ),
  ""Form not found""
)
"),"0")</f>
        <v>0</v>
      </c>
      <c r="BC1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1!$E:$E"")=$B183) *
        (IMPORTRANGE(""https://docs.google.com/spreadsheets/d/161aHT6vVT3SLneTKD19N5qVWtnj_jIT8CSsOmUVKmaA/e"&amp;"dit?gid=1761053510"",
          ""Haris_Form responses 1!$AQ:$AQ"")=6)
      ),
      1
    ),
    ""0""
  ),
  ""Form not found""
)
"),"Form not found")</f>
        <v>Form not found</v>
      </c>
      <c r="BD183" s="293"/>
    </row>
    <row r="184">
      <c r="A184" s="283" t="str">
        <f>IFERROR(__xludf.DUMMYFUNCTION("VLOOKUP($B184,IMPORTRANGE(""https://docs.google.com/spreadsheets/d/1VNXDITjs75AcgdBSW27oL1VZH31udDprJSsBcE5xlp4/edit?gid=1551188038#gid=1551188038"", ""Sheet9!$B:$E""),2,false)"),"Khanewal")</f>
        <v>Khanewal</v>
      </c>
      <c r="B184" s="283" t="s">
        <v>4626</v>
      </c>
      <c r="C184" s="284" t="str">
        <f>IFERROR(__xludf.DUMMYFUNCTION("VLOOKUP(TRIM($B184), IMPORTRANGE(""https://docs.google.com/spreadsheets/d/1aSOrU4PTpuBZqfitKaH1Rfww6-YOiNCKoBpPl8XBHaw/edit?gid=0#gid=0"", ""sheet3!$B:$C""), 2, FALSE)
"),"Jamia Masjid Darbar Hazrat Mian Channu")</f>
        <v>Jamia Masjid Darbar Hazrat Mian Channu</v>
      </c>
      <c r="D184" s="284" t="str">
        <f>IFERROR(__xludf.DUMMYFUNCTION("IFERROR(
  INDEX(
    FILTER(
      IMPORTRANGE(""1aSOrU4PTpuBZqfitKaH1Rfww6-YOiNCKoBpPl8XBHaw/edit?gid=0#gid=0"",""Sheet1!G:G""),
      IMPORTRANGE(""1aSOrU4PTpuBZqfitKaH1Rfww6-YOiNCKoBpPl8XBHaw/edit?gid=0#gid=0"",""Sheet1!C:C"")=$B184
    ),
    1
  ),
"&amp;"  ""Not Found""
)"),"Community Religious No Info Share")</f>
        <v>Community Religious No Info Share</v>
      </c>
      <c r="E184" s="284" t="str">
        <f>VLOOKUP(B184,'Juma Recording forms'!A:E,5,false)</f>
        <v>Jamia masjid badbar hazrat mianchannu</v>
      </c>
      <c r="F184" s="284" t="str">
        <f>IFERROR(__xludf.DUMMYFUNCTION("IFERROR(
  INDEX(
    FILTER(
      IMPORTRANGE(""1Cxrhp3-_-HS7v9uuqQliiIfrmMP4VaFoDNDWyUFy2J8/edit?gid=0#gid=0"",""Sheet1!Q:Q""),
      IMPORTRANGE(""1Cxrhp3-_-HS7v9uuqQliiIfrmMP4VaFoDNDWyUFy2J8/edit?gid=0#gid=0"",""Sheet1!K:K"")=$B184
    ),
    1
  ),
"&amp;"  ""Not Found""
)"),"Not Found")</f>
        <v>Not Found</v>
      </c>
      <c r="G184" s="292">
        <v>1936.0</v>
      </c>
      <c r="H184" s="284"/>
      <c r="I184" s="285" t="s">
        <v>197</v>
      </c>
      <c r="J184" s="286">
        <v>2.0</v>
      </c>
      <c r="K184" s="287" t="str">
        <f>VLOOKUP($B184,'Mosque Locations'!$A:$E,3,FALSE)
</f>
        <v>https://www.google.com/maps?q=30.44713592529297,72.34986114501953&amp;z=17&amp;hl=en</v>
      </c>
      <c r="L184" s="286">
        <f>VLOOKUP($B184,'Mosque Locations'!$A:$E,4,FALSE)
</f>
        <v>30.44714</v>
      </c>
      <c r="M184" s="286">
        <f>VLOOKUP($B184,'Mosque Locations'!$A:$E,5,false)</f>
        <v>72.34986</v>
      </c>
      <c r="N184" s="288"/>
      <c r="O184" s="288"/>
      <c r="P184" s="288"/>
      <c r="Q184" s="295" t="str">
        <f>IFERROR(__xludf.DUMMYFUNCTION("IFERROR(
  INDEX(
    FILTER(
      IMPORTRANGE(""1kOrIKZmJfNUkgOVP3sI9BPjaaPA0_a4636oymQxTXg8"",""Form Responses 1!N:N""),
      TRIM(IMPORTRANGE(""1kOrIKZmJfNUkgOVP3sI9BPjaaPA0_a4636oymQxTXg8"",""Form Responses 1!F:F""))=TRIM($B184)
    ),
    1
  ),
  "&amp;"""Not Found""
)
"),"https://drive.google.com/open?id=1ZBXS_7qV4bfMoVNUzySkm1i5dV6kZ5Qk")</f>
        <v>https://drive.google.com/open?id=1ZBXS_7qV4bfMoVNUzySkm1i5dV6kZ5Qk</v>
      </c>
      <c r="R184" s="290" t="str">
        <f>IFERROR(__xludf.DUMMYFUNCTION("IFERROR(
  INDEX(
    FILTER(
      IMPORTRANGE(""1kOrIKZmJfNUkgOVP3sI9BPjaaPA0_a4636oymQxTXg8"",""Form Responses 1!M:M""),
      TRIM(IMPORTRANGE(""1kOrIKZmJfNUkgOVP3sI9BPjaaPA0_a4636oymQxTXg8"",""Form Responses 1!F:F""))=TRIM($B184)
    ),
    1
  ),
  "&amp;"""Not Found""
)
"),"https://drive.google.com/open?id=1uM5Xyug2bjy5PTBOgOQ6ZLJFBz9BlCLf")</f>
        <v>https://drive.google.com/open?id=1uM5Xyug2bjy5PTBOgOQ6ZLJFBz9BlCLf</v>
      </c>
      <c r="S184" s="285"/>
      <c r="T184" s="290" t="str">
        <f>VLOOKUP($B184,'Master Tracker'!D:E,2,false)</f>
        <v>https://drive.google.com/open?id=1Px9Ds5j67XITAeLzkzMEONOLWVpDOAat</v>
      </c>
      <c r="U184" s="291" t="str">
        <f>VLOOKUP($B184,'Master Tracker'!$D:$T,4,FALSE)
</f>
        <v>https://drive.google.com/open?id=1rYBmh47YWY6Sq_gk06RBlNVvhbJGmwD4</v>
      </c>
      <c r="V184" s="290" t="str">
        <f>VLOOKUP($B184,'Master Tracker'!$D:$T,5,false)</f>
        <v>https://drive.google.com/open?id=1VYZI9PJVaAfY8bj_Q0vyBhZFSEOFrxpc</v>
      </c>
      <c r="W184" s="291" t="str">
        <f>VLOOKUP($B184,'Master Tracker'!$D:$T,7,false)</f>
        <v>https://drive.google.com/open?id=1g3Loq9PDzKoLNDt9yqn1j6iiXGW7I-o9</v>
      </c>
      <c r="X184" s="290" t="str">
        <f>VLOOKUP($B184,'Master Tracker'!$D:$T,8,false)</f>
        <v>https://drive.google.com/open?id=1xX5McZbzV6RVaYoULfaXW_k1AW_eB-6q</v>
      </c>
      <c r="Y184" s="291" t="str">
        <f>VLOOKUP($B184,'Master Tracker'!$D:$T,10,false)</f>
        <v>https://drive.google.com/open?id=17dNMFQJrtihAaudERcZIEsI_jZe1IUrg</v>
      </c>
      <c r="Z184" s="284" t="str">
        <f>VLOOKUP($B184,'Master Tracker'!$D:$T,11,false)</f>
        <v>Not Found</v>
      </c>
      <c r="AA184" s="292" t="str">
        <f>VLOOKUP($B184,'Master Tracker'!$D:$T,13,false)</f>
        <v>Not Found</v>
      </c>
      <c r="AB184" s="284" t="str">
        <f>VLOOKUP($B184,'Master Tracker'!$D:$T,14,false)</f>
        <v>Not Found</v>
      </c>
      <c r="AC184" s="292" t="str">
        <f>VLOOKUP($B184,'Master Tracker'!$D:$T,16,false)</f>
        <v>Not Found</v>
      </c>
      <c r="AD184" s="292" t="str">
        <f>VLOOKUP($B184,'Master Tracker'!$D:$T,17,false)</f>
        <v>Not Found</v>
      </c>
      <c r="AE184" s="292" t="str">
        <f>VLOOKUP($B184,'Master Tracker'!$D:$V,19,false)</f>
        <v>Not Found</v>
      </c>
      <c r="AF184" s="292">
        <f>IFERROR(__xludf.DUMMYFUNCTION("IFERROR(
  INDEX(
    FILTER(
      'Juma Recording forms'!$G:$G,
      TRIM('Juma Recording forms'!$F:$F) = TRIM($B184),
      'Juma Recording forms'!$AA:$AA = 1
    ),
    1
  ),
  ""Not Found""
)"),355.0)</f>
        <v>355</v>
      </c>
      <c r="AG184" s="292">
        <f>IFERROR(__xludf.DUMMYFUNCTION("IFERROR(
  INDEX(
    FILTER(
      'Juma Recording forms'!$G:$G,
      TRIM('Juma Recording forms'!$F:$F) = TRIM($B184),
      'Juma Recording forms'!$AA:$AA = 2
    ),
    1
  ),
  ""Not Found""
)"),344.0)</f>
        <v>344</v>
      </c>
      <c r="AH184" s="292">
        <f>IFERROR(__xludf.DUMMYFUNCTION("IFERROR(
  INDEX(
    FILTER(
      'Juma Recording forms'!$G:$G,
      TRIM('Juma Recording forms'!$F:$F) = TRIM($B184),
      'Juma Recording forms'!$AA:$AA = 3
    ),
    1
  ),
  ""Not Found""
)"),326.0)</f>
        <v>326</v>
      </c>
      <c r="AI184" s="292" t="str">
        <f>IFERROR(__xludf.DUMMYFUNCTION("IFERROR(
  INDEX(
    FILTER(
      'Juma Recording forms'!$G:$G,
      TRIM('Juma Recording forms'!$F:$F) = TRIM($B184),
      'Juma Recording forms'!$AA:$AA = 4
    ),
    1
  ),
  ""Not Found""
)"),"Not Found")</f>
        <v>Not Found</v>
      </c>
      <c r="AJ184" s="292" t="str">
        <f>IFERROR(__xludf.DUMMYFUNCTION("IFERROR(
  INDEX(
    FILTER(
      'Juma Recording forms'!$G:$G,
      TRIM('Juma Recording forms'!$F:$F) = TRIM($B184),
      'Juma Recording forms'!$AA:$AA = 5
    ),
    1
  ),
  ""Not Found""
)"),"Not Found")</f>
        <v>Not Found</v>
      </c>
      <c r="AK184" s="292" t="str">
        <f>IFERROR(__xludf.DUMMYFUNCTION("IFERROR(
  INDEX(
    FILTER(
      'Juma Recording forms'!$G:$G,
      TRIM('Juma Recording forms'!$F:$F) = TRIM($B184),
      'Juma Recording forms'!$AA:$AA = 6
    ),
    1
  ),
  ""Not Found""
)"),"Not Found")</f>
        <v>Not Found</v>
      </c>
      <c r="AL1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1!$E:$E"")=$B184) *
        (IMPORTRANGE(""https://docs.google.com/spreadsheets/d/161aHT6vVT3SLneTKD19N5qVWtnj_jIT8CSsOmUVKmaA/e"&amp;"dit?gid=1761053510"",
          ""Haris_Form responses 1!$AQ:$AQ"")=1)
      ),
      1
    ),
    ""0""
  ),
  ""Form not found""
)
"),"3")</f>
        <v>3</v>
      </c>
      <c r="AM1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1!$E:$E"")=$B184) *
        (IMPORTRANGE(""https://docs.google.com/spreadsheets/d/161aHT6vVT3SLneTKD19N5qVWtnj_jIT8CSsOmUVKmaA/e"&amp;"dit?gid=1761053510"",
          ""Haris_Form responses 1!$AQ:$AQ"")=2)
      ),
      1
    ),
    ""0""
  ),
  ""Form not found""
)
"),"3")</f>
        <v>3</v>
      </c>
      <c r="AN1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1!$E:$E"")=$B184) *
        (IMPORTRANGE(""https://docs.google.com/spreadsheets/d/161aHT6vVT3SLneTKD19N5qVWtnj_jIT8CSsOmUVKmaA/e"&amp;"dit?gid=1761053510"",
          ""Haris_Form responses 1!$AQ:$AQ"")=3)
      ),
      1
    ),
    ""0""
  ),
  ""Form not found""
)
"),"0")</f>
        <v>0</v>
      </c>
      <c r="AO1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1!$E:$E"")=$B184) *
        (IMPORTRANGE(""https://docs.google.com/spreadsheets/d/161aHT6vVT3SLneTKD19N5qVWtnj_jIT8CSsOmUVKmaA/e"&amp;"dit?gid=1761053510"",
          ""Haris_Form responses 1!$AQ:$AQ"")=4)
      ),
      1
    ),
    ""0""
  ),
  ""Form not found""
)
"),"Form not found")</f>
        <v>Form not found</v>
      </c>
      <c r="AP1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1!$E:$E"")=$B184) *
        (IMPORTRANGE(""https://docs.google.com/spreadsheets/d/161aHT6vVT3SLneTKD19N5qVWtnj_jIT8CSsOmUVKmaA/e"&amp;"dit?gid=1761053510"",
          ""Haris_Form responses 1!$AQ:$AQ"")=5)
      ),
      1
    ),
    ""0""
  ),
  ""Form not found""
)
"),"Form not found")</f>
        <v>Form not found</v>
      </c>
      <c r="AQ1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1!$E:$E"")=$B184) *
        (IMPORTRANGE(""https://docs.google.com/spreadsheets/d/161aHT6vVT3SLneTKD19N5qVWtnj_jIT8CSsOmUVKmaA/e"&amp;"dit?gid=1761053510"",
          ""Haris_Form responses 1!$AQ:$AQ"")=6)
      ),
      1
    ),
    ""0""
  ),
  ""Form not found""
)
"),"Form not found")</f>
        <v>Form not found</v>
      </c>
      <c r="AR1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1!$E:$E"")=$B184) *
        (IMPORTRANGE(""https://docs.google.com/spreadsheets/d/161aHT6vVT3SLneTKD19N5qVWtnj_jIT8CSsOmUVKmaA/e"&amp;"dit?gid=1761053510"",
          ""Haris_Form responses 1!$AQ:$AQ"")=1)
      ),
      1
    ),
    ""0""
  ),
  ""Form not found""
)
"),"3")</f>
        <v>3</v>
      </c>
      <c r="AS1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1!$E:$E"")=$B184) *
        (IMPORTRANGE(""https://docs.google.com/spreadsheets/d/161aHT6vVT3SLneTKD19N5qVWtnj_jIT8CSsOmUVKmaA/e"&amp;"dit?gid=1761053510"",
          ""Haris_Form responses 1!$AQ:$AQ"")=2)
      ),
      1
    ),
    ""0""
  ),
  ""Form not found""
)
"),"3")</f>
        <v>3</v>
      </c>
      <c r="AT1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1!$E:$E"")=$B184) *
        (IMPORTRANGE(""https://docs.google.com/spreadsheets/d/161aHT6vVT3SLneTKD19N5qVWtnj_jIT8CSsOmUVKmaA/e"&amp;"dit?gid=1761053510"",
          ""Haris_Form responses 1!$AQ:$AQ"")=3)
      ),
      1
    ),
    ""0""
  ),
  ""Form not found""
)
"),"0")</f>
        <v>0</v>
      </c>
      <c r="AU1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1!$E:$E"")=$B184) *
        (IMPORTRANGE(""https://docs.google.com/spreadsheets/d/161aHT6vVT3SLneTKD19N5qVWtnj_jIT8CSsOmUVKmaA/e"&amp;"dit?gid=1761053510"",
          ""Haris_Form responses 1!$AQ:$AQ"")=4)
      ),
      1
    ),
    ""0""
  ),
  ""Form not found""
)
"),"Form not found")</f>
        <v>Form not found</v>
      </c>
      <c r="AV1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1!$E:$E"")=$B184) *
        (IMPORTRANGE(""https://docs.google.com/spreadsheets/d/161aHT6vVT3SLneTKD19N5qVWtnj_jIT8CSsOmUVKmaA/e"&amp;"dit?gid=1761053510"",
          ""Haris_Form responses 1!$AQ:$AQ"")=5)
      ),
      1
    ),
    ""0""
  ),
  ""Form not found""
)
"),"Form not found")</f>
        <v>Form not found</v>
      </c>
      <c r="AW1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1!$E:$E"")=$B184) *
        (IMPORTRANGE(""https://docs.google.com/spreadsheets/d/161aHT6vVT3SLneTKD19N5qVWtnj_jIT8CSsOmUVKmaA/e"&amp;"dit?gid=1761053510"",
          ""Haris_Form responses 1!$AQ:$AQ"")=6)
      ),
      1
    ),
    ""0""
  ),
  ""Form not found""
)
"),"Form not found")</f>
        <v>Form not found</v>
      </c>
      <c r="AX1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1!$E:$E"")=$B184) *
        (IMPORTRANGE(""https://docs.google.com/spreadsheets/d/161aHT6vVT3SLneTKD19N5qVWtnj_jIT8CSsOmUVKmaA/e"&amp;"dit?gid=1761053510"",
          ""Haris_Form responses 1!$AQ:$AQ"")=1)
      ),
      1
    ),
    ""0""
  ),
  ""Form not found""
)
"),"0")</f>
        <v>0</v>
      </c>
      <c r="AY1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1!$E:$E"")=$B184) *
        (IMPORTRANGE(""https://docs.google.com/spreadsheets/d/161aHT6vVT3SLneTKD19N5qVWtnj_jIT8CSsOmUVKmaA/e"&amp;"dit?gid=1761053510"",
          ""Haris_Form responses 1!$AQ:$AQ"")=2)
      ),
      1
    ),
    ""0""
  ),
  ""Form not found""
)
"),"0")</f>
        <v>0</v>
      </c>
      <c r="AZ1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1!$E:$E"")=$B184) *
        (IMPORTRANGE(""https://docs.google.com/spreadsheets/d/161aHT6vVT3SLneTKD19N5qVWtnj_jIT8CSsOmUVKmaA/e"&amp;"dit?gid=1761053510"",
          ""Haris_Form responses 1!$AQ:$AQ"")=3)
      ),
      1
    ),
    ""0""
  ),
  ""Form not found""
)
"),"0")</f>
        <v>0</v>
      </c>
      <c r="BA1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1!$E:$E"")=$B184) *
        (IMPORTRANGE(""https://docs.google.com/spreadsheets/d/161aHT6vVT3SLneTKD19N5qVWtnj_jIT8CSsOmUVKmaA/e"&amp;"dit?gid=1761053510"",
          ""Haris_Form responses 1!$AQ:$AQ"")=4)
      ),
      1
    ),
    ""0""
  ),
  ""Form not found""
)
"),"Form not found")</f>
        <v>Form not found</v>
      </c>
      <c r="BB1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1!$E:$E"")=$B184) *
        (IMPORTRANGE(""https://docs.google.com/spreadsheets/d/161aHT6vVT3SLneTKD19N5qVWtnj_jIT8CSsOmUVKmaA/e"&amp;"dit?gid=1761053510"",
          ""Haris_Form responses 1!$AQ:$AQ"")=5)
      ),
      1
    ),
    ""0""
  ),
  ""Form not found""
)
"),"Form not found")</f>
        <v>Form not found</v>
      </c>
      <c r="BC1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1!$E:$E"")=$B184) *
        (IMPORTRANGE(""https://docs.google.com/spreadsheets/d/161aHT6vVT3SLneTKD19N5qVWtnj_jIT8CSsOmUVKmaA/e"&amp;"dit?gid=1761053510"",
          ""Haris_Form responses 1!$AQ:$AQ"")=6)
      ),
      1
    ),
    ""0""
  ),
  ""Form not found""
)
"),"Form not found")</f>
        <v>Form not found</v>
      </c>
      <c r="BD184" s="293"/>
    </row>
    <row r="185">
      <c r="A185" s="283" t="str">
        <f>IFERROR(__xludf.DUMMYFUNCTION("VLOOKUP($B185,IMPORTRANGE(""https://docs.google.com/spreadsheets/d/1VNXDITjs75AcgdBSW27oL1VZH31udDprJSsBcE5xlp4/edit?gid=1551188038#gid=1551188038"", ""Sheet9!$B:$E""),2,false)"),"Khanewal")</f>
        <v>Khanewal</v>
      </c>
      <c r="B185" s="283" t="s">
        <v>4627</v>
      </c>
      <c r="C185" s="284" t="str">
        <f>IFERROR(__xludf.DUMMYFUNCTION("VLOOKUP(TRIM($B185), IMPORTRANGE(""https://docs.google.com/spreadsheets/d/1aSOrU4PTpuBZqfitKaH1Rfww6-YOiNCKoBpPl8XBHaw/edit?gid=0#gid=0"", ""sheet3!$B:$C""), 2, FALSE)
"),"Jamia Masjid Kacha Khawa Khanewal")</f>
        <v>Jamia Masjid Kacha Khawa Khanewal</v>
      </c>
      <c r="D185" s="284" t="str">
        <f>IFERROR(__xludf.DUMMYFUNCTION("IFERROR(
  INDEX(
    FILTER(
      IMPORTRANGE(""1aSOrU4PTpuBZqfitKaH1Rfww6-YOiNCKoBpPl8XBHaw/edit?gid=0#gid=0"",""Sheet1!G:G""),
      IMPORTRANGE(""1aSOrU4PTpuBZqfitKaH1Rfww6-YOiNCKoBpPl8XBHaw/edit?gid=0#gid=0"",""Sheet1!C:C"")=$B185
    ),
    1
  ),
"&amp;"  ""Not Found""
)"),"Control")</f>
        <v>Control</v>
      </c>
      <c r="E185" s="284" t="str">
        <f>VLOOKUP(B185,'Juma Recording forms'!A:E,5,false)</f>
        <v>Jamia Masjid Kacha Khawa Khanewal</v>
      </c>
      <c r="F185" s="284" t="str">
        <f>IFERROR(__xludf.DUMMYFUNCTION("IFERROR(
  INDEX(
    FILTER(
      IMPORTRANGE(""1Cxrhp3-_-HS7v9uuqQliiIfrmMP4VaFoDNDWyUFy2J8/edit?gid=0#gid=0"",""Sheet1!Q:Q""),
      IMPORTRANGE(""1Cxrhp3-_-HS7v9uuqQliiIfrmMP4VaFoDNDWyUFy2J8/edit?gid=0#gid=0"",""Sheet1!K:K"")=$B185
    ),
    1
  ),
"&amp;"  ""Not Found""
)"),"Not Found")</f>
        <v>Not Found</v>
      </c>
      <c r="G185" s="292">
        <v>1958.0</v>
      </c>
      <c r="H185" s="284"/>
      <c r="I185" s="285" t="s">
        <v>197</v>
      </c>
      <c r="J185" s="286">
        <v>1.0</v>
      </c>
      <c r="K185" s="287" t="str">
        <f>VLOOKUP($B185,'Mosque Locations'!$A:$E,3,FALSE)
</f>
        <v>https://maps.google.com/maps?q=30.2069401%2C72.2309026&amp;z=17&amp;hl=en</v>
      </c>
      <c r="L185" s="286">
        <f>VLOOKUP($B185,'Mosque Locations'!$A:$E,4,FALSE)
</f>
        <v>30.20694</v>
      </c>
      <c r="M185" s="286">
        <f>VLOOKUP($B185,'Mosque Locations'!$A:$E,5,false)</f>
        <v>72.2309</v>
      </c>
      <c r="N185" s="288"/>
      <c r="O185" s="288"/>
      <c r="P185" s="288"/>
      <c r="Q185" s="290" t="str">
        <f>IFERROR(__xludf.DUMMYFUNCTION("IFERROR(
  INDEX(
    FILTER(
      IMPORTRANGE(""1kOrIKZmJfNUkgOVP3sI9BPjaaPA0_a4636oymQxTXg8"",""Form Responses 1!N:N""),
      TRIM(IMPORTRANGE(""1kOrIKZmJfNUkgOVP3sI9BPjaaPA0_a4636oymQxTXg8"",""Form Responses 1!F:F""))=TRIM($B185)
    ),
    1
  ),
  "&amp;"""Not Found""
)
"),"https://drive.google.com/open?id=1K70JI7maMnhXjj_1Z_slon4DEwSgUlwt")</f>
        <v>https://drive.google.com/open?id=1K70JI7maMnhXjj_1Z_slon4DEwSgUlwt</v>
      </c>
      <c r="R185" s="295" t="str">
        <f>IFERROR(__xludf.DUMMYFUNCTION("IFERROR(
  INDEX(
    FILTER(
      IMPORTRANGE(""1kOrIKZmJfNUkgOVP3sI9BPjaaPA0_a4636oymQxTXg8"",""Form Responses 1!M:M""),
      TRIM(IMPORTRANGE(""1kOrIKZmJfNUkgOVP3sI9BPjaaPA0_a4636oymQxTXg8"",""Form Responses 1!F:F""))=TRIM($B185)
    ),
    1
  ),
  "&amp;"""Not Found""
)
"),"https://drive.google.com/file/d/1ahqG4BEtBary9LxdB7oLc0UV8K_TOE-i/view")</f>
        <v>https://drive.google.com/file/d/1ahqG4BEtBary9LxdB7oLc0UV8K_TOE-i/view</v>
      </c>
      <c r="S185" s="285"/>
      <c r="T185" s="290" t="str">
        <f>VLOOKUP($B185,'Master Tracker'!D:E,2,false)</f>
        <v>https://drive.google.com/file/d/13qbPD7kcrcaHVyG6dnNz0uVMCAWKeaKs/view?usp=drive_link</v>
      </c>
      <c r="U185" s="291" t="str">
        <f>VLOOKUP($B185,'Master Tracker'!$D:$T,4,FALSE)
</f>
        <v>https://drive.google.com/open?id=1Hlw3pWLoZGAv9LmnjrzPNumWSv2xGWuf0aNZKe0dRjg</v>
      </c>
      <c r="V185" s="284" t="str">
        <f>VLOOKUP($B185,'Master Tracker'!$D:$T,5,false)</f>
        <v>Not Found</v>
      </c>
      <c r="W185" s="292" t="str">
        <f>VLOOKUP($B185,'Master Tracker'!$D:$T,7,false)</f>
        <v>Not Found</v>
      </c>
      <c r="X185" s="290" t="str">
        <f>VLOOKUP($B185,'Master Tracker'!$D:$T,8,false)</f>
        <v>https://drive.google.com/open?id=1OS8ePGbsO0RRp43Dlk_Pvvnh2YpAgitT</v>
      </c>
      <c r="Y185" s="291" t="str">
        <f>VLOOKUP($B185,'Master Tracker'!$D:$T,10,false)</f>
        <v>https://drive.google.com/open?id=1fq-ngRPNvfZUKHRNaSr7BGtEw41dcQ4Q</v>
      </c>
      <c r="Z185" s="284" t="str">
        <f>VLOOKUP($B185,'Master Tracker'!$D:$T,11,false)</f>
        <v>Not Found</v>
      </c>
      <c r="AA185" s="292" t="str">
        <f>VLOOKUP($B185,'Master Tracker'!$D:$T,13,false)</f>
        <v>Not Found</v>
      </c>
      <c r="AB185" s="284" t="str">
        <f>VLOOKUP($B185,'Master Tracker'!$D:$T,14,false)</f>
        <v>Not Found</v>
      </c>
      <c r="AC185" s="292" t="str">
        <f>VLOOKUP($B185,'Master Tracker'!$D:$T,16,false)</f>
        <v>Not Found</v>
      </c>
      <c r="AD185" s="292" t="str">
        <f>VLOOKUP($B185,'Master Tracker'!$D:$T,17,false)</f>
        <v>Not Found</v>
      </c>
      <c r="AE185" s="292" t="str">
        <f>VLOOKUP($B185,'Master Tracker'!$D:$V,19,false)</f>
        <v>Not Found</v>
      </c>
      <c r="AF185" s="292">
        <f>IFERROR(__xludf.DUMMYFUNCTION("IFERROR(
  INDEX(
    FILTER(
      'Juma Recording forms'!$G:$G,
      TRIM('Juma Recording forms'!$F:$F) = TRIM($B185),
      'Juma Recording forms'!$AA:$AA = 1
    ),
    1
  ),
  ""Not Found""
)"),52.0)</f>
        <v>52</v>
      </c>
      <c r="AG185" s="292" t="str">
        <f>IFERROR(__xludf.DUMMYFUNCTION("IFERROR(
  INDEX(
    FILTER(
      'Juma Recording forms'!$G:$G,
      TRIM('Juma Recording forms'!$F:$F) = TRIM($B185),
      'Juma Recording forms'!$AA:$AA = 2
    ),
    1
  ),
  ""Not Found""
)"),"Not Found")</f>
        <v>Not Found</v>
      </c>
      <c r="AH185" s="292">
        <f>IFERROR(__xludf.DUMMYFUNCTION("IFERROR(
  INDEX(
    FILTER(
      'Juma Recording forms'!$G:$G,
      TRIM('Juma Recording forms'!$F:$F) = TRIM($B185),
      'Juma Recording forms'!$AA:$AA = 3
    ),
    1
  ),
  ""Not Found""
)"),48.0)</f>
        <v>48</v>
      </c>
      <c r="AI185" s="292" t="str">
        <f>IFERROR(__xludf.DUMMYFUNCTION("IFERROR(
  INDEX(
    FILTER(
      'Juma Recording forms'!$G:$G,
      TRIM('Juma Recording forms'!$F:$F) = TRIM($B185),
      'Juma Recording forms'!$AA:$AA = 4
    ),
    1
  ),
  ""Not Found""
)"),"Not Found")</f>
        <v>Not Found</v>
      </c>
      <c r="AJ185" s="292" t="str">
        <f>IFERROR(__xludf.DUMMYFUNCTION("IFERROR(
  INDEX(
    FILTER(
      'Juma Recording forms'!$G:$G,
      TRIM('Juma Recording forms'!$F:$F) = TRIM($B185),
      'Juma Recording forms'!$AA:$AA = 5
    ),
    1
  ),
  ""Not Found""
)"),"Not Found")</f>
        <v>Not Found</v>
      </c>
      <c r="AK185" s="292"/>
      <c r="AL1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1!$E:$E"")=$B185) *
        (IMPORTRANGE(""https://docs.google.com/spreadsheets/d/161aHT6vVT3SLneTKD19N5qVWtnj_jIT8CSsOmUVKmaA/e"&amp;"dit?gid=1761053510"",
          ""Haris_Form responses 1!$AQ:$AQ"")=1)
      ),
      1
    ),
    ""0""
  ),
  ""Form not found""
)
"),"0")</f>
        <v>0</v>
      </c>
      <c r="AM1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1!$E:$E"")=$B185) *
        (IMPORTRANGE(""https://docs.google.com/spreadsheets/d/161aHT6vVT3SLneTKD19N5qVWtnj_jIT8CSsOmUVKmaA/e"&amp;"dit?gid=1761053510"",
          ""Haris_Form responses 1!$AQ:$AQ"")=2)
      ),
      1
    ),
    ""0""
  ),
  ""Form not found""
)
"),"Form not found")</f>
        <v>Form not found</v>
      </c>
      <c r="AN1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1!$E:$E"")=$B185) *
        (IMPORTRANGE(""https://docs.google.com/spreadsheets/d/161aHT6vVT3SLneTKD19N5qVWtnj_jIT8CSsOmUVKmaA/e"&amp;"dit?gid=1761053510"",
          ""Haris_Form responses 1!$AQ:$AQ"")=3)
      ),
      1
    ),
    ""0""
  ),
  ""Form not found""
)
"),"0")</f>
        <v>0</v>
      </c>
      <c r="AO1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1!$E:$E"")=$B185) *
        (IMPORTRANGE(""https://docs.google.com/spreadsheets/d/161aHT6vVT3SLneTKD19N5qVWtnj_jIT8CSsOmUVKmaA/e"&amp;"dit?gid=1761053510"",
          ""Haris_Form responses 1!$AQ:$AQ"")=4)
      ),
      1
    ),
    ""0""
  ),
  ""Form not found""
)
"),"Form not found")</f>
        <v>Form not found</v>
      </c>
      <c r="AP1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1!$E:$E"")=$B185) *
        (IMPORTRANGE(""https://docs.google.com/spreadsheets/d/161aHT6vVT3SLneTKD19N5qVWtnj_jIT8CSsOmUVKmaA/e"&amp;"dit?gid=1761053510"",
          ""Haris_Form responses 1!$AQ:$AQ"")=5)
      ),
      1
    ),
    ""0""
  ),
  ""Form not found""
)
"),"Form not found")</f>
        <v>Form not found</v>
      </c>
      <c r="AQ1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1!$E:$E"")=$B185) *
        (IMPORTRANGE(""https://docs.google.com/spreadsheets/d/161aHT6vVT3SLneTKD19N5qVWtnj_jIT8CSsOmUVKmaA/e"&amp;"dit?gid=1761053510"",
          ""Haris_Form responses 1!$AQ:$AQ"")=6)
      ),
      1
    ),
    ""0""
  ),
  ""Form not found""
)
"),"Form not found")</f>
        <v>Form not found</v>
      </c>
      <c r="AR1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1!$E:$E"")=$B185) *
        (IMPORTRANGE(""https://docs.google.com/spreadsheets/d/161aHT6vVT3SLneTKD19N5qVWtnj_jIT8CSsOmUVKmaA/e"&amp;"dit?gid=1761053510"",
          ""Haris_Form responses 1!$AQ:$AQ"")=1)
      ),
      1
    ),
    ""0""
  ),
  ""Form not found""
)
"),"0")</f>
        <v>0</v>
      </c>
      <c r="AS1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1!$E:$E"")=$B185) *
        (IMPORTRANGE(""https://docs.google.com/spreadsheets/d/161aHT6vVT3SLneTKD19N5qVWtnj_jIT8CSsOmUVKmaA/e"&amp;"dit?gid=1761053510"",
          ""Haris_Form responses 1!$AQ:$AQ"")=2)
      ),
      1
    ),
    ""0""
  ),
  ""Form not found""
)
"),"Form not found")</f>
        <v>Form not found</v>
      </c>
      <c r="AT1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1!$E:$E"")=$B185) *
        (IMPORTRANGE(""https://docs.google.com/spreadsheets/d/161aHT6vVT3SLneTKD19N5qVWtnj_jIT8CSsOmUVKmaA/e"&amp;"dit?gid=1761053510"",
          ""Haris_Form responses 1!$AQ:$AQ"")=3)
      ),
      1
    ),
    ""0""
  ),
  ""Form not found""
)
"),"0")</f>
        <v>0</v>
      </c>
      <c r="AU1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1!$E:$E"")=$B185) *
        (IMPORTRANGE(""https://docs.google.com/spreadsheets/d/161aHT6vVT3SLneTKD19N5qVWtnj_jIT8CSsOmUVKmaA/e"&amp;"dit?gid=1761053510"",
          ""Haris_Form responses 1!$AQ:$AQ"")=4)
      ),
      1
    ),
    ""0""
  ),
  ""Form not found""
)
"),"Form not found")</f>
        <v>Form not found</v>
      </c>
      <c r="AV1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1!$E:$E"")=$B185) *
        (IMPORTRANGE(""https://docs.google.com/spreadsheets/d/161aHT6vVT3SLneTKD19N5qVWtnj_jIT8CSsOmUVKmaA/e"&amp;"dit?gid=1761053510"",
          ""Haris_Form responses 1!$AQ:$AQ"")=5)
      ),
      1
    ),
    ""0""
  ),
  ""Form not found""
)
"),"Form not found")</f>
        <v>Form not found</v>
      </c>
      <c r="AW1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1!$E:$E"")=$B185) *
        (IMPORTRANGE(""https://docs.google.com/spreadsheets/d/161aHT6vVT3SLneTKD19N5qVWtnj_jIT8CSsOmUVKmaA/e"&amp;"dit?gid=1761053510"",
          ""Haris_Form responses 1!$AQ:$AQ"")=6)
      ),
      1
    ),
    ""0""
  ),
  ""Form not found""
)
"),"Form not found")</f>
        <v>Form not found</v>
      </c>
      <c r="AX1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1!$E:$E"")=$B185) *
        (IMPORTRANGE(""https://docs.google.com/spreadsheets/d/161aHT6vVT3SLneTKD19N5qVWtnj_jIT8CSsOmUVKmaA/e"&amp;"dit?gid=1761053510"",
          ""Haris_Form responses 1!$AQ:$AQ"")=1)
      ),
      1
    ),
    ""0""
  ),
  ""Form not found""
)
"),"0")</f>
        <v>0</v>
      </c>
      <c r="AY1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1!$E:$E"")=$B185) *
        (IMPORTRANGE(""https://docs.google.com/spreadsheets/d/161aHT6vVT3SLneTKD19N5qVWtnj_jIT8CSsOmUVKmaA/e"&amp;"dit?gid=1761053510"",
          ""Haris_Form responses 1!$AQ:$AQ"")=2)
      ),
      1
    ),
    ""0""
  ),
  ""Form not found""
)
"),"Form not found")</f>
        <v>Form not found</v>
      </c>
      <c r="AZ1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1!$E:$E"")=$B185) *
        (IMPORTRANGE(""https://docs.google.com/spreadsheets/d/161aHT6vVT3SLneTKD19N5qVWtnj_jIT8CSsOmUVKmaA/e"&amp;"dit?gid=1761053510"",
          ""Haris_Form responses 1!$AQ:$AQ"")=3)
      ),
      1
    ),
    ""0""
  ),
  ""Form not found""
)
"),"0")</f>
        <v>0</v>
      </c>
      <c r="BA1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1!$E:$E"")=$B185) *
        (IMPORTRANGE(""https://docs.google.com/spreadsheets/d/161aHT6vVT3SLneTKD19N5qVWtnj_jIT8CSsOmUVKmaA/e"&amp;"dit?gid=1761053510"",
          ""Haris_Form responses 1!$AQ:$AQ"")=4)
      ),
      1
    ),
    ""0""
  ),
  ""Form not found""
)
"),"Form not found")</f>
        <v>Form not found</v>
      </c>
      <c r="BB1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1!$E:$E"")=$B185) *
        (IMPORTRANGE(""https://docs.google.com/spreadsheets/d/161aHT6vVT3SLneTKD19N5qVWtnj_jIT8CSsOmUVKmaA/e"&amp;"dit?gid=1761053510"",
          ""Haris_Form responses 1!$AQ:$AQ"")=5)
      ),
      1
    ),
    ""0""
  ),
  ""Form not found""
)
"),"Form not found")</f>
        <v>Form not found</v>
      </c>
      <c r="BC1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1!$E:$E"")=$B185) *
        (IMPORTRANGE(""https://docs.google.com/spreadsheets/d/161aHT6vVT3SLneTKD19N5qVWtnj_jIT8CSsOmUVKmaA/e"&amp;"dit?gid=1761053510"",
          ""Haris_Form responses 1!$AQ:$AQ"")=6)
      ),
      1
    ),
    ""0""
  ),
  ""Form not found""
)
"),"Form not found")</f>
        <v>Form not found</v>
      </c>
      <c r="BD185" s="293"/>
    </row>
    <row r="186">
      <c r="A186" s="283" t="str">
        <f>IFERROR(__xludf.DUMMYFUNCTION("VLOOKUP($B186,IMPORTRANGE(""https://docs.google.com/spreadsheets/d/1VNXDITjs75AcgdBSW27oL1VZH31udDprJSsBcE5xlp4/edit?gid=1551188038#gid=1551188038"", ""Sheet9!$B:$E""),2,false)"),"Khanewal")</f>
        <v>Khanewal</v>
      </c>
      <c r="B186" s="283" t="s">
        <v>3712</v>
      </c>
      <c r="C186" s="284" t="str">
        <f>IFERROR(__xludf.DUMMYFUNCTION("VLOOKUP(TRIM($B186), IMPORTRANGE(""https://docs.google.com/spreadsheets/d/1aSOrU4PTpuBZqfitKaH1Rfww6-YOiNCKoBpPl8XBHaw/edit?gid=0#gid=0"", ""sheet3!$B:$C""), 2, FALSE)
"),"Jamia Masjid Naale Wali Lodhran")</f>
        <v>Jamia Masjid Naale Wali Lodhran</v>
      </c>
      <c r="D186" s="284" t="str">
        <f>IFERROR(__xludf.DUMMYFUNCTION("IFERROR(
  INDEX(
    FILTER(
      IMPORTRANGE(""1aSOrU4PTpuBZqfitKaH1Rfww6-YOiNCKoBpPl8XBHaw/edit?gid=0#gid=0"",""Sheet1!G:G""),
      IMPORTRANGE(""1aSOrU4PTpuBZqfitKaH1Rfww6-YOiNCKoBpPl8XBHaw/edit?gid=0#gid=0"",""Sheet1!C:C"")=$B186
    ),
    1
  ),
"&amp;"  ""Not Found""
)"),"Women Religious Info Share")</f>
        <v>Women Religious Info Share</v>
      </c>
      <c r="E186" s="284" t="str">
        <f>VLOOKUP(B186,'Juma Recording forms'!A:E,5,false)</f>
        <v>Jamia masjid Hazrat Bilal</v>
      </c>
      <c r="F186" s="284" t="str">
        <f>IFERROR(__xludf.DUMMYFUNCTION("IFERROR(
  INDEX(
    FILTER(
      IMPORTRANGE(""1Cxrhp3-_-HS7v9uuqQliiIfrmMP4VaFoDNDWyUFy2J8/edit?gid=0#gid=0"",""Sheet1!Q:Q""),
      IMPORTRANGE(""1Cxrhp3-_-HS7v9uuqQliiIfrmMP4VaFoDNDWyUFy2J8/edit?gid=0#gid=0"",""Sheet1!K:K"")=$B186
    ),
    1
  ),
"&amp;"  ""Not Found""
)"),"Not Found")</f>
        <v>Not Found</v>
      </c>
      <c r="G186" s="284"/>
      <c r="H186" s="284"/>
      <c r="I186" s="285"/>
      <c r="J186" s="286">
        <v>1.0</v>
      </c>
      <c r="K186" s="287" t="str">
        <f>VLOOKUP($B186,'Mosque Locations'!$A:$E,3,FALSE)
</f>
        <v>https://maps.google.com/maps?q=29.5392105%2C71.6346433&amp;z=17&amp;hl=en</v>
      </c>
      <c r="L186" s="286">
        <f>VLOOKUP($B186,'Mosque Locations'!$A:$E,4,FALSE)
</f>
        <v>29.53921</v>
      </c>
      <c r="M186" s="286">
        <f>VLOOKUP($B186,'Mosque Locations'!$A:$E,5,false)</f>
        <v>71.63464</v>
      </c>
      <c r="N186" s="288"/>
      <c r="O186" s="288"/>
      <c r="P186" s="288"/>
      <c r="Q186" s="294" t="str">
        <f>IFERROR(__xludf.DUMMYFUNCTION("IFERROR(
  INDEX(
    FILTER(
      IMPORTRANGE(""1kOrIKZmJfNUkgOVP3sI9BPjaaPA0_a4636oymQxTXg8"",""Form Responses 1!N:N""),
      TRIM(IMPORTRANGE(""1kOrIKZmJfNUkgOVP3sI9BPjaaPA0_a4636oymQxTXg8"",""Form Responses 1!F:F""))=TRIM($B186)
    ),
    1
  ),
  "&amp;"""Not Found""
)
"),"Not Found")</f>
        <v>Not Found</v>
      </c>
      <c r="R186" s="294" t="str">
        <f>IFERROR(__xludf.DUMMYFUNCTION("IFERROR(
  INDEX(
    FILTER(
      IMPORTRANGE(""1kOrIKZmJfNUkgOVP3sI9BPjaaPA0_a4636oymQxTXg8"",""Form Responses 1!M:M""),
      TRIM(IMPORTRANGE(""1kOrIKZmJfNUkgOVP3sI9BPjaaPA0_a4636oymQxTXg8"",""Form Responses 1!F:F""))=TRIM($B186)
    ),
    1
  ),
  "&amp;"""Not Found""
)
"),"Not Found")</f>
        <v>Not Found</v>
      </c>
      <c r="S186" s="285"/>
      <c r="T186" s="290" t="str">
        <f>VLOOKUP($B186,'Master Tracker'!D:E,2,false)</f>
        <v>https://drive.google.com/open?id=11cyBapgzYrTTeCiwPdIZZJKzh89cD-oV</v>
      </c>
      <c r="U186" s="291" t="str">
        <f>VLOOKUP($B186,'Master Tracker'!$D:$T,4,FALSE)
</f>
        <v>https://drive.google.com/open?id=1KZ282OQ3ZJVm_9eVSAFLg-hveU7LTV0Crq_jMi0QwGw</v>
      </c>
      <c r="V186" s="290" t="str">
        <f>VLOOKUP($B186,'Master Tracker'!$D:$T,5,false)</f>
        <v>https://drive.google.com/file/d/1qz4KYU-5zhQWWnRjXDZLHOw33w4Ff3EY/view?usp=drive_link</v>
      </c>
      <c r="W186" s="291" t="str">
        <f>VLOOKUP($B186,'Master Tracker'!$D:$T,7,false)</f>
        <v>https://drive.google.com/open?id=1n5f8yH6n_oUkSzUAyqokHwZz93aQkltYj3Q46ZWsgvI</v>
      </c>
      <c r="X186" s="290" t="str">
        <f>VLOOKUP($B186,'Master Tracker'!$D:$T,8,false)</f>
        <v>https://drive.google.com/file/d/18s2h4NgOiFnFuYjwz5LGaBI9ffe5vSfb/view?usp=drive_link</v>
      </c>
      <c r="Y186" s="291" t="str">
        <f>VLOOKUP($B186,'Master Tracker'!$D:$T,10,false)</f>
        <v>https://drive.google.com/open?id=106Sj3efLoaSlCp4XmhAFW8faviIzuTlH6Gtc-Pbe7Wc</v>
      </c>
      <c r="Z186" s="290" t="str">
        <f>VLOOKUP($B186,'Master Tracker'!$D:$T,11,false)</f>
        <v>https://drive.google.com/open?id=1yMOM5bIcCrrO04Mm7-3foEIvooYfHgLf</v>
      </c>
      <c r="AA186" s="291" t="str">
        <f>VLOOKUP($B186,'Master Tracker'!$D:$T,13,false)</f>
        <v>https://drive.google.com/open?id=16PKko4UVV2BdS_iB8DyJ8CsnQUxyqhhVhLXq7Iz_QKE</v>
      </c>
      <c r="AB186" s="284" t="str">
        <f>VLOOKUP($B186,'Master Tracker'!$D:$T,14,false)</f>
        <v>Not Found</v>
      </c>
      <c r="AC186" s="292" t="str">
        <f>VLOOKUP($B186,'Master Tracker'!$D:$T,16,false)</f>
        <v>Not Found</v>
      </c>
      <c r="AD186" s="292" t="str">
        <f>VLOOKUP($B186,'Master Tracker'!$D:$T,17,false)</f>
        <v>Not Found</v>
      </c>
      <c r="AE186" s="292" t="str">
        <f>VLOOKUP($B186,'Master Tracker'!$D:$V,19,false)</f>
        <v>Not Found</v>
      </c>
      <c r="AF186" s="292">
        <f>IFERROR(__xludf.DUMMYFUNCTION("IFERROR(
  INDEX(
    FILTER(
      'Juma Recording forms'!$G:$G,
      TRIM('Juma Recording forms'!$F:$F) = TRIM($B186),
      'Juma Recording forms'!$AA:$AA = 1
    ),
    1
  ),
  ""Not Found""
)"),340.0)</f>
        <v>340</v>
      </c>
      <c r="AG186" s="292">
        <f>IFERROR(__xludf.DUMMYFUNCTION("IFERROR(
  INDEX(
    FILTER(
      'Juma Recording forms'!$G:$G,
      TRIM('Juma Recording forms'!$F:$F) = TRIM($B186),
      'Juma Recording forms'!$AA:$AA = 2
    ),
    1
  ),
  ""Not Found""
)"),354.0)</f>
        <v>354</v>
      </c>
      <c r="AH186" s="292">
        <f>IFERROR(__xludf.DUMMYFUNCTION("IFERROR(
  INDEX(
    FILTER(
      'Juma Recording forms'!$G:$G,
      TRIM('Juma Recording forms'!$F:$F) = TRIM($B186),
      'Juma Recording forms'!$AA:$AA = 3
    ),
    1
  ),
  ""Not Found""
)"),178.0)</f>
        <v>178</v>
      </c>
      <c r="AI186" s="292">
        <f>IFERROR(__xludf.DUMMYFUNCTION("IFERROR(
  INDEX(
    FILTER(
      'Juma Recording forms'!$G:$G,
      TRIM('Juma Recording forms'!$F:$F) = TRIM($B186),
      'Juma Recording forms'!$AA:$AA = 4
    ),
    1
  ),
  ""Not Found""
)"),197.0)</f>
        <v>197</v>
      </c>
      <c r="AJ186" s="292" t="str">
        <f>IFERROR(__xludf.DUMMYFUNCTION("IFERROR(
  INDEX(
    FILTER(
      'Juma Recording forms'!$G:$G,
      TRIM('Juma Recording forms'!$F:$F) = TRIM($B186),
      'Juma Recording forms'!$AA:$AA = 5
    ),
    1
  ),
  ""Not Found""
)"),"Not Found")</f>
        <v>Not Found</v>
      </c>
      <c r="AK186" s="292" t="str">
        <f>IFERROR(__xludf.DUMMYFUNCTION("IFERROR(
  INDEX(
    FILTER(
      'Juma Recording forms'!$G:$G,
      TRIM('Juma Recording forms'!$F:$F) = TRIM($B186),
      'Juma Recording forms'!$AA:$AA = 6
    ),
    1
  ),
  ""Not Found""
)"),"Not Found")</f>
        <v>Not Found</v>
      </c>
      <c r="AL1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1!$E:$E"")=$B186) *
        (IMPORTRANGE(""https://docs.google.com/spreadsheets/d/161aHT6vVT3SLneTKD19N5qVWtnj_jIT8CSsOmUVKmaA/e"&amp;"dit?gid=1761053510"",
          ""Haris_Form responses 1!$AQ:$AQ"")=1)
      ),
      1
    ),
    ""0""
  ),
  ""Form not found""
)
"),"0")</f>
        <v>0</v>
      </c>
      <c r="AM1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1!$E:$E"")=$B186) *
        (IMPORTRANGE(""https://docs.google.com/spreadsheets/d/161aHT6vVT3SLneTKD19N5qVWtnj_jIT8CSsOmUVKmaA/e"&amp;"dit?gid=1761053510"",
          ""Haris_Form responses 1!$AQ:$AQ"")=2)
      ),
      1
    ),
    ""0""
  ),
  ""Form not found""
)
"),"7")</f>
        <v>7</v>
      </c>
      <c r="AN1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1!$E:$E"")=$B186) *
        (IMPORTRANGE(""https://docs.google.com/spreadsheets/d/161aHT6vVT3SLneTKD19N5qVWtnj_jIT8CSsOmUVKmaA/e"&amp;"dit?gid=1761053510"",
          ""Haris_Form responses 1!$AQ:$AQ"")=3)
      ),
      1
    ),
    ""0""
  ),
  ""Form not found""
)
"),"8")</f>
        <v>8</v>
      </c>
      <c r="AO1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1!$E:$E"")=$B186) *
        (IMPORTRANGE(""https://docs.google.com/spreadsheets/d/161aHT6vVT3SLneTKD19N5qVWtnj_jIT8CSsOmUVKmaA/e"&amp;"dit?gid=1761053510"",
          ""Haris_Form responses 1!$AQ:$AQ"")=4)
      ),
      1
    ),
    ""0""
  ),
  ""Form not found""
)
"),"0")</f>
        <v>0</v>
      </c>
      <c r="AP1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1!$E:$E"")=$B186) *
        (IMPORTRANGE(""https://docs.google.com/spreadsheets/d/161aHT6vVT3SLneTKD19N5qVWtnj_jIT8CSsOmUVKmaA/e"&amp;"dit?gid=1761053510"",
          ""Haris_Form responses 1!$AQ:$AQ"")=5)
      ),
      1
    ),
    ""0""
  ),
  ""Form not found""
)
"),"Form not found")</f>
        <v>Form not found</v>
      </c>
      <c r="AQ1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1!$E:$E"")=$B186) *
        (IMPORTRANGE(""https://docs.google.com/spreadsheets/d/161aHT6vVT3SLneTKD19N5qVWtnj_jIT8CSsOmUVKmaA/e"&amp;"dit?gid=1761053510"",
          ""Haris_Form responses 1!$AQ:$AQ"")=6)
      ),
      1
    ),
    ""0""
  ),
  ""Form not found""
)
"),"Form not found")</f>
        <v>Form not found</v>
      </c>
      <c r="AR1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1!$E:$E"")=$B186) *
        (IMPORTRANGE(""https://docs.google.com/spreadsheets/d/161aHT6vVT3SLneTKD19N5qVWtnj_jIT8CSsOmUVKmaA/e"&amp;"dit?gid=1761053510"",
          ""Haris_Form responses 1!$AQ:$AQ"")=1)
      ),
      1
    ),
    ""0""
  ),
  ""Form not found""
)
"),"0")</f>
        <v>0</v>
      </c>
      <c r="AS1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1!$E:$E"")=$B186) *
        (IMPORTRANGE(""https://docs.google.com/spreadsheets/d/161aHT6vVT3SLneTKD19N5qVWtnj_jIT8CSsOmUVKmaA/e"&amp;"dit?gid=1761053510"",
          ""Haris_Form responses 1!$AQ:$AQ"")=2)
      ),
      1
    ),
    ""0""
  ),
  ""Form not found""
)
"),"0")</f>
        <v>0</v>
      </c>
      <c r="AT1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1!$E:$E"")=$B186) *
        (IMPORTRANGE(""https://docs.google.com/spreadsheets/d/161aHT6vVT3SLneTKD19N5qVWtnj_jIT8CSsOmUVKmaA/e"&amp;"dit?gid=1761053510"",
          ""Haris_Form responses 1!$AQ:$AQ"")=3)
      ),
      1
    ),
    ""0""
  ),
  ""Form not found""
)
"),"0")</f>
        <v>0</v>
      </c>
      <c r="AU1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1!$E:$E"")=$B186) *
        (IMPORTRANGE(""https://docs.google.com/spreadsheets/d/161aHT6vVT3SLneTKD19N5qVWtnj_jIT8CSsOmUVKmaA/e"&amp;"dit?gid=1761053510"",
          ""Haris_Form responses 1!$AQ:$AQ"")=4)
      ),
      1
    ),
    ""0""
  ),
  ""Form not found""
)
"),"0")</f>
        <v>0</v>
      </c>
      <c r="AV1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1!$E:$E"")=$B186) *
        (IMPORTRANGE(""https://docs.google.com/spreadsheets/d/161aHT6vVT3SLneTKD19N5qVWtnj_jIT8CSsOmUVKmaA/e"&amp;"dit?gid=1761053510"",
          ""Haris_Form responses 1!$AQ:$AQ"")=5)
      ),
      1
    ),
    ""0""
  ),
  ""Form not found""
)
"),"Form not found")</f>
        <v>Form not found</v>
      </c>
      <c r="AW1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1!$E:$E"")=$B186) *
        (IMPORTRANGE(""https://docs.google.com/spreadsheets/d/161aHT6vVT3SLneTKD19N5qVWtnj_jIT8CSsOmUVKmaA/e"&amp;"dit?gid=1761053510"",
          ""Haris_Form responses 1!$AQ:$AQ"")=6)
      ),
      1
    ),
    ""0""
  ),
  ""Form not found""
)
"),"Form not found")</f>
        <v>Form not found</v>
      </c>
      <c r="AX1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1!$E:$E"")=$B186) *
        (IMPORTRANGE(""https://docs.google.com/spreadsheets/d/161aHT6vVT3SLneTKD19N5qVWtnj_jIT8CSsOmUVKmaA/e"&amp;"dit?gid=1761053510"",
          ""Haris_Form responses 1!$AQ:$AQ"")=1)
      ),
      1
    ),
    ""0""
  ),
  ""Form not found""
)
"),"0")</f>
        <v>0</v>
      </c>
      <c r="AY1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1!$E:$E"")=$B186) *
        (IMPORTRANGE(""https://docs.google.com/spreadsheets/d/161aHT6vVT3SLneTKD19N5qVWtnj_jIT8CSsOmUVKmaA/e"&amp;"dit?gid=1761053510"",
          ""Haris_Form responses 1!$AQ:$AQ"")=2)
      ),
      1
    ),
    ""0""
  ),
  ""Form not found""
)
"),"7")</f>
        <v>7</v>
      </c>
      <c r="AZ1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1!$E:$E"")=$B186) *
        (IMPORTRANGE(""https://docs.google.com/spreadsheets/d/161aHT6vVT3SLneTKD19N5qVWtnj_jIT8CSsOmUVKmaA/e"&amp;"dit?gid=1761053510"",
          ""Haris_Form responses 1!$AQ:$AQ"")=3)
      ),
      1
    ),
    ""0""
  ),
  ""Form not found""
)
"),"8")</f>
        <v>8</v>
      </c>
      <c r="BA1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1!$E:$E"")=$B186) *
        (IMPORTRANGE(""https://docs.google.com/spreadsheets/d/161aHT6vVT3SLneTKD19N5qVWtnj_jIT8CSsOmUVKmaA/e"&amp;"dit?gid=1761053510"",
          ""Haris_Form responses 1!$AQ:$AQ"")=4)
      ),
      1
    ),
    ""0""
  ),
  ""Form not found""
)
"),"1")</f>
        <v>1</v>
      </c>
      <c r="BB1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1!$E:$E"")=$B186) *
        (IMPORTRANGE(""https://docs.google.com/spreadsheets/d/161aHT6vVT3SLneTKD19N5qVWtnj_jIT8CSsOmUVKmaA/e"&amp;"dit?gid=1761053510"",
          ""Haris_Form responses 1!$AQ:$AQ"")=5)
      ),
      1
    ),
    ""0""
  ),
  ""Form not found""
)
"),"Form not found")</f>
        <v>Form not found</v>
      </c>
      <c r="BC1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1!$E:$E"")=$B186) *
        (IMPORTRANGE(""https://docs.google.com/spreadsheets/d/161aHT6vVT3SLneTKD19N5qVWtnj_jIT8CSsOmUVKmaA/e"&amp;"dit?gid=1761053510"",
          ""Haris_Form responses 1!$AQ:$AQ"")=6)
      ),
      1
    ),
    ""0""
  ),
  ""Form not found""
)
"),"Form not found")</f>
        <v>Form not found</v>
      </c>
      <c r="BD186" s="293"/>
    </row>
    <row r="187">
      <c r="A187" s="283" t="str">
        <f>IFERROR(__xludf.DUMMYFUNCTION("VLOOKUP($B187,IMPORTRANGE(""https://docs.google.com/spreadsheets/d/1VNXDITjs75AcgdBSW27oL1VZH31udDprJSsBcE5xlp4/edit?gid=1551188038#gid=1551188038"", ""Sheet9!$B:$E""),2,false)"),"Khanewal")</f>
        <v>Khanewal</v>
      </c>
      <c r="B187" s="283" t="s">
        <v>4628</v>
      </c>
      <c r="C187" s="284" t="str">
        <f>IFERROR(__xludf.DUMMYFUNCTION("VLOOKUP(TRIM($B187), IMPORTRANGE(""https://docs.google.com/spreadsheets/d/1aSOrU4PTpuBZqfitKaH1Rfww6-YOiNCKoBpPl8XBHaw/edit?gid=0#gid=0"", ""sheet3!$B:$C""), 2, FALSE)
"),"Jamia Masjid Qazia Nawali Kehror Pakka")</f>
        <v>Jamia Masjid Qazia Nawali Kehror Pakka</v>
      </c>
      <c r="D187" s="284" t="str">
        <f>IFERROR(__xludf.DUMMYFUNCTION("IFERROR(
  INDEX(
    FILTER(
      IMPORTRANGE(""1aSOrU4PTpuBZqfitKaH1Rfww6-YOiNCKoBpPl8XBHaw/edit?gid=0#gid=0"",""Sheet1!G:G""),
      IMPORTRANGE(""1aSOrU4PTpuBZqfitKaH1Rfww6-YOiNCKoBpPl8XBHaw/edit?gid=0#gid=0"",""Sheet1!C:C"")=$B187
    ),
    1
  ),
"&amp;"  ""Not Found""
)"),"Community Secular Info Share")</f>
        <v>Community Secular Info Share</v>
      </c>
      <c r="E187" s="284" t="str">
        <f>VLOOKUP(B187,'Juma Recording forms'!A:E,5,false)</f>
        <v>Qazian Wali Masjid</v>
      </c>
      <c r="F187" s="284" t="str">
        <f>IFERROR(__xludf.DUMMYFUNCTION("IFERROR(
  INDEX(
    FILTER(
      IMPORTRANGE(""1Cxrhp3-_-HS7v9uuqQliiIfrmMP4VaFoDNDWyUFy2J8/edit?gid=0#gid=0"",""Sheet1!Q:Q""),
      IMPORTRANGE(""1Cxrhp3-_-HS7v9uuqQliiIfrmMP4VaFoDNDWyUFy2J8/edit?gid=0#gid=0"",""Sheet1!K:K"")=$B187
    ),
    1
  ),
"&amp;"  ""Not Found""
)"),"Hafiz Muhammad Umar Farooqi")</f>
        <v>Hafiz Muhammad Umar Farooqi</v>
      </c>
      <c r="G187" s="292">
        <v>1911.0</v>
      </c>
      <c r="H187" s="284"/>
      <c r="I187" s="285" t="s">
        <v>197</v>
      </c>
      <c r="J187" s="286">
        <v>1.0</v>
      </c>
      <c r="K187" s="287" t="str">
        <f>VLOOKUP($B187,'Mosque Locations'!$A:$E,3,FALSE)
</f>
        <v>https://maps.google.com/maps?q=29.6238045%2C71.9174536&amp;z=17&amp;hl=en</v>
      </c>
      <c r="L187" s="286">
        <f>VLOOKUP($B187,'Mosque Locations'!$A:$E,4,FALSE)
</f>
        <v>29.6238</v>
      </c>
      <c r="M187" s="286">
        <f>VLOOKUP($B187,'Mosque Locations'!$A:$E,5,false)</f>
        <v>71.91745</v>
      </c>
      <c r="N187" s="288"/>
      <c r="O187" s="288"/>
      <c r="P187" s="288"/>
      <c r="Q187" s="290" t="str">
        <f>IFERROR(__xludf.DUMMYFUNCTION("IFERROR(
  INDEX(
    FILTER(
      IMPORTRANGE(""1kOrIKZmJfNUkgOVP3sI9BPjaaPA0_a4636oymQxTXg8"",""Form Responses 1!N:N""),
      TRIM(IMPORTRANGE(""1kOrIKZmJfNUkgOVP3sI9BPjaaPA0_a4636oymQxTXg8"",""Form Responses 1!F:F""))=TRIM($B187)
    ),
    1
  ),
  "&amp;"""Not Found""
)
"),"https://drive.google.com/open?id=1Lg_n8f2-8Aujw48XdJ9VFqds8ZI-Qyqo")</f>
        <v>https://drive.google.com/open?id=1Lg_n8f2-8Aujw48XdJ9VFqds8ZI-Qyqo</v>
      </c>
      <c r="R187" s="290" t="str">
        <f>IFERROR(__xludf.DUMMYFUNCTION("IFERROR(
  INDEX(
    FILTER(
      IMPORTRANGE(""1kOrIKZmJfNUkgOVP3sI9BPjaaPA0_a4636oymQxTXg8"",""Form Responses 1!M:M""),
      TRIM(IMPORTRANGE(""1kOrIKZmJfNUkgOVP3sI9BPjaaPA0_a4636oymQxTXg8"",""Form Responses 1!F:F""))=TRIM($B187)
    ),
    1
  ),
  "&amp;"""Not Found""
)
"),"https://drive.google.com/open?id=1r7tbiYCw1tqAbN2iyKd2a62frMWGPrDk")</f>
        <v>https://drive.google.com/open?id=1r7tbiYCw1tqAbN2iyKd2a62frMWGPrDk</v>
      </c>
      <c r="S187" s="285"/>
      <c r="T187" s="290" t="str">
        <f>VLOOKUP($B187,'Master Tracker'!D:E,2,false)</f>
        <v>https://drive.google.com/open?id=1szNGinY27z8ZASP6JwhZtlE6ytpJii2_</v>
      </c>
      <c r="U187" s="291" t="str">
        <f>VLOOKUP($B187,'Master Tracker'!$D:$T,4,FALSE)
</f>
        <v>https://drive.google.com/open?id=1D5TfIjQXF0K7imUdzf0YIqvth-5mABs0sWBuQGk9zXk</v>
      </c>
      <c r="V187" s="290" t="str">
        <f>VLOOKUP($B187,'Master Tracker'!$D:$T,5,false)</f>
        <v>https://drive.google.com/open?id=1knmWj3_vqpqEYE4LGLdpMJ_KvfQkbGJ-</v>
      </c>
      <c r="W187" s="291" t="str">
        <f>VLOOKUP($B187,'Master Tracker'!$D:$T,7,false)</f>
        <v>https://drive.google.com/open?id=1lPh0fJ8EaXloKgG1YO1CLm_lOxwhwxBQ</v>
      </c>
      <c r="X187" s="290" t="str">
        <f>VLOOKUP($B187,'Master Tracker'!$D:$T,8,false)</f>
        <v>https://drive.google.com/open?id=1zZRK7j9e6_9PVHCHG0uE0i33kpO2_GBD</v>
      </c>
      <c r="Y187" s="291" t="str">
        <f>VLOOKUP($B187,'Master Tracker'!$D:$T,10,false)</f>
        <v>https://drive.google.com/open?id=1UzzXh9-Pd6cHoxtvArDnBXITL4iO20S2qC8Y5ObFsiU</v>
      </c>
      <c r="Z187" s="284" t="str">
        <f>VLOOKUP($B187,'Master Tracker'!$D:$T,11,false)</f>
        <v>Not Found</v>
      </c>
      <c r="AA187" s="292" t="str">
        <f>VLOOKUP($B187,'Master Tracker'!$D:$T,13,false)</f>
        <v>Not Found</v>
      </c>
      <c r="AB187" s="284" t="str">
        <f>VLOOKUP($B187,'Master Tracker'!$D:$T,14,false)</f>
        <v>Not Found</v>
      </c>
      <c r="AC187" s="292" t="str">
        <f>VLOOKUP($B187,'Master Tracker'!$D:$T,16,false)</f>
        <v>Not Found</v>
      </c>
      <c r="AD187" s="292" t="str">
        <f>VLOOKUP($B187,'Master Tracker'!$D:$T,17,false)</f>
        <v>Not Found</v>
      </c>
      <c r="AE187" s="292" t="str">
        <f>VLOOKUP($B187,'Master Tracker'!$D:$V,19,false)</f>
        <v>Not Found</v>
      </c>
      <c r="AF187" s="292">
        <f>IFERROR(__xludf.DUMMYFUNCTION("IFERROR(
  INDEX(
    FILTER(
      'Juma Recording forms'!$G:$G,
      TRIM('Juma Recording forms'!$F:$F) = TRIM($B187),
      'Juma Recording forms'!$AA:$AA = 1
    ),
    1
  ),
  ""Not Found""
)"),206.0)</f>
        <v>206</v>
      </c>
      <c r="AG187" s="292">
        <f>IFERROR(__xludf.DUMMYFUNCTION("IFERROR(
  INDEX(
    FILTER(
      'Juma Recording forms'!$G:$G,
      TRIM('Juma Recording forms'!$F:$F) = TRIM($B187),
      'Juma Recording forms'!$AA:$AA = 2
    ),
    1
  ),
  ""Not Found""
)"),181.0)</f>
        <v>181</v>
      </c>
      <c r="AH187" s="292">
        <f>IFERROR(__xludf.DUMMYFUNCTION("IFERROR(
  INDEX(
    FILTER(
      'Juma Recording forms'!$G:$G,
      TRIM('Juma Recording forms'!$F:$F) = TRIM($B187),
      'Juma Recording forms'!$AA:$AA = 3
    ),
    1
  ),
  ""Not Found""
)"),187.0)</f>
        <v>187</v>
      </c>
      <c r="AI187" s="292" t="str">
        <f>IFERROR(__xludf.DUMMYFUNCTION("IFERROR(
  INDEX(
    FILTER(
      'Juma Recording forms'!$G:$G,
      TRIM('Juma Recording forms'!$F:$F) = TRIM($B187),
      'Juma Recording forms'!$AA:$AA = 4
    ),
    1
  ),
  ""Not Found""
)"),"Not Found")</f>
        <v>Not Found</v>
      </c>
      <c r="AJ187" s="292" t="str">
        <f>IFERROR(__xludf.DUMMYFUNCTION("IFERROR(
  INDEX(
    FILTER(
      'Juma Recording forms'!$G:$G,
      TRIM('Juma Recording forms'!$F:$F) = TRIM($B187),
      'Juma Recording forms'!$AA:$AA = 5
    ),
    1
  ),
  ""Not Found""
)"),"Not Found")</f>
        <v>Not Found</v>
      </c>
      <c r="AK187" s="292" t="str">
        <f>IFERROR(__xludf.DUMMYFUNCTION("IFERROR(
  INDEX(
    FILTER(
      'Juma Recording forms'!$G:$G,
      TRIM('Juma Recording forms'!$F:$F) = TRIM($B187),
      'Juma Recording forms'!$AA:$AA = 6
    ),
    1
  ),
  ""Not Found""
)"),"Not Found")</f>
        <v>Not Found</v>
      </c>
      <c r="AL1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1!$E:$E"")=$B187) *
        (IMPORTRANGE(""https://docs.google.com/spreadsheets/d/161aHT6vVT3SLneTKD19N5qVWtnj_jIT8CSsOmUVKmaA/e"&amp;"dit?gid=1761053510"",
          ""Haris_Form responses 1!$AQ:$AQ"")=1)
      ),
      1
    ),
    ""0""
  ),
  ""Form not found""
)
"),"10")</f>
        <v>10</v>
      </c>
      <c r="AM1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1!$E:$E"")=$B187) *
        (IMPORTRANGE(""https://docs.google.com/spreadsheets/d/161aHT6vVT3SLneTKD19N5qVWtnj_jIT8CSsOmUVKmaA/e"&amp;"dit?gid=1761053510"",
          ""Haris_Form responses 1!$AQ:$AQ"")=2)
      ),
      1
    ),
    ""0""
  ),
  ""Form not found""
)
"),"10")</f>
        <v>10</v>
      </c>
      <c r="AN1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1!$E:$E"")=$B187) *
        (IMPORTRANGE(""https://docs.google.com/spreadsheets/d/161aHT6vVT3SLneTKD19N5qVWtnj_jIT8CSsOmUVKmaA/e"&amp;"dit?gid=1761053510"",
          ""Haris_Form responses 1!$AQ:$AQ"")=3)
      ),
      1
    ),
    ""0""
  ),
  ""Form not found""
)
"),"4")</f>
        <v>4</v>
      </c>
      <c r="AO1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1!$E:$E"")=$B187) *
        (IMPORTRANGE(""https://docs.google.com/spreadsheets/d/161aHT6vVT3SLneTKD19N5qVWtnj_jIT8CSsOmUVKmaA/e"&amp;"dit?gid=1761053510"",
          ""Haris_Form responses 1!$AQ:$AQ"")=4)
      ),
      1
    ),
    ""0""
  ),
  ""Form not found""
)
"),"Form not found")</f>
        <v>Form not found</v>
      </c>
      <c r="AP1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1!$E:$E"")=$B187) *
        (IMPORTRANGE(""https://docs.google.com/spreadsheets/d/161aHT6vVT3SLneTKD19N5qVWtnj_jIT8CSsOmUVKmaA/e"&amp;"dit?gid=1761053510"",
          ""Haris_Form responses 1!$AQ:$AQ"")=5)
      ),
      1
    ),
    ""0""
  ),
  ""Form not found""
)
"),"Form not found")</f>
        <v>Form not found</v>
      </c>
      <c r="AQ1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1!$E:$E"")=$B187) *
        (IMPORTRANGE(""https://docs.google.com/spreadsheets/d/161aHT6vVT3SLneTKD19N5qVWtnj_jIT8CSsOmUVKmaA/e"&amp;"dit?gid=1761053510"",
          ""Haris_Form responses 1!$AQ:$AQ"")=6)
      ),
      1
    ),
    ""0""
  ),
  ""Form not found""
)
"),"Form not found")</f>
        <v>Form not found</v>
      </c>
      <c r="AR1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1!$E:$E"")=$B187) *
        (IMPORTRANGE(""https://docs.google.com/spreadsheets/d/161aHT6vVT3SLneTKD19N5qVWtnj_jIT8CSsOmUVKmaA/e"&amp;"dit?gid=1761053510"",
          ""Haris_Form responses 1!$AQ:$AQ"")=1)
      ),
      1
    ),
    ""0""
  ),
  ""Form not found""
)
"),"10")</f>
        <v>10</v>
      </c>
      <c r="AS1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1!$E:$E"")=$B187) *
        (IMPORTRANGE(""https://docs.google.com/spreadsheets/d/161aHT6vVT3SLneTKD19N5qVWtnj_jIT8CSsOmUVKmaA/e"&amp;"dit?gid=1761053510"",
          ""Haris_Form responses 1!$AQ:$AQ"")=2)
      ),
      1
    ),
    ""0""
  ),
  ""Form not found""
)
"),"10")</f>
        <v>10</v>
      </c>
      <c r="AT1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1!$E:$E"")=$B187) *
        (IMPORTRANGE(""https://docs.google.com/spreadsheets/d/161aHT6vVT3SLneTKD19N5qVWtnj_jIT8CSsOmUVKmaA/e"&amp;"dit?gid=1761053510"",
          ""Haris_Form responses 1!$AQ:$AQ"")=3)
      ),
      1
    ),
    ""0""
  ),
  ""Form not found""
)
"),"4")</f>
        <v>4</v>
      </c>
      <c r="AU1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1!$E:$E"")=$B187) *
        (IMPORTRANGE(""https://docs.google.com/spreadsheets/d/161aHT6vVT3SLneTKD19N5qVWtnj_jIT8CSsOmUVKmaA/e"&amp;"dit?gid=1761053510"",
          ""Haris_Form responses 1!$AQ:$AQ"")=4)
      ),
      1
    ),
    ""0""
  ),
  ""Form not found""
)
"),"Form not found")</f>
        <v>Form not found</v>
      </c>
      <c r="AV1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1!$E:$E"")=$B187) *
        (IMPORTRANGE(""https://docs.google.com/spreadsheets/d/161aHT6vVT3SLneTKD19N5qVWtnj_jIT8CSsOmUVKmaA/e"&amp;"dit?gid=1761053510"",
          ""Haris_Form responses 1!$AQ:$AQ"")=5)
      ),
      1
    ),
    ""0""
  ),
  ""Form not found""
)
"),"Form not found")</f>
        <v>Form not found</v>
      </c>
      <c r="AW1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1!$E:$E"")=$B187) *
        (IMPORTRANGE(""https://docs.google.com/spreadsheets/d/161aHT6vVT3SLneTKD19N5qVWtnj_jIT8CSsOmUVKmaA/e"&amp;"dit?gid=1761053510"",
          ""Haris_Form responses 1!$AQ:$AQ"")=6)
      ),
      1
    ),
    ""0""
  ),
  ""Form not found""
)
"),"Form not found")</f>
        <v>Form not found</v>
      </c>
      <c r="AX1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1!$E:$E"")=$B187) *
        (IMPORTRANGE(""https://docs.google.com/spreadsheets/d/161aHT6vVT3SLneTKD19N5qVWtnj_jIT8CSsOmUVKmaA/e"&amp;"dit?gid=1761053510"",
          ""Haris_Form responses 1!$AQ:$AQ"")=1)
      ),
      1
    ),
    ""0""
  ),
  ""Form not found""
)
"),"0")</f>
        <v>0</v>
      </c>
      <c r="AY1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1!$E:$E"")=$B187) *
        (IMPORTRANGE(""https://docs.google.com/spreadsheets/d/161aHT6vVT3SLneTKD19N5qVWtnj_jIT8CSsOmUVKmaA/e"&amp;"dit?gid=1761053510"",
          ""Haris_Form responses 1!$AQ:$AQ"")=2)
      ),
      1
    ),
    ""0""
  ),
  ""Form not found""
)
"),"0")</f>
        <v>0</v>
      </c>
      <c r="AZ1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1!$E:$E"")=$B187) *
        (IMPORTRANGE(""https://docs.google.com/spreadsheets/d/161aHT6vVT3SLneTKD19N5qVWtnj_jIT8CSsOmUVKmaA/e"&amp;"dit?gid=1761053510"",
          ""Haris_Form responses 1!$AQ:$AQ"")=3)
      ),
      1
    ),
    ""0""
  ),
  ""Form not found""
)
"),"0")</f>
        <v>0</v>
      </c>
      <c r="BA1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1!$E:$E"")=$B187) *
        (IMPORTRANGE(""https://docs.google.com/spreadsheets/d/161aHT6vVT3SLneTKD19N5qVWtnj_jIT8CSsOmUVKmaA/e"&amp;"dit?gid=1761053510"",
          ""Haris_Form responses 1!$AQ:$AQ"")=4)
      ),
      1
    ),
    ""0""
  ),
  ""Form not found""
)
"),"Form not found")</f>
        <v>Form not found</v>
      </c>
      <c r="BB1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1!$E:$E"")=$B187) *
        (IMPORTRANGE(""https://docs.google.com/spreadsheets/d/161aHT6vVT3SLneTKD19N5qVWtnj_jIT8CSsOmUVKmaA/e"&amp;"dit?gid=1761053510"",
          ""Haris_Form responses 1!$AQ:$AQ"")=5)
      ),
      1
    ),
    ""0""
  ),
  ""Form not found""
)
"),"Form not found")</f>
        <v>Form not found</v>
      </c>
      <c r="BC1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1!$E:$E"")=$B187) *
        (IMPORTRANGE(""https://docs.google.com/spreadsheets/d/161aHT6vVT3SLneTKD19N5qVWtnj_jIT8CSsOmUVKmaA/e"&amp;"dit?gid=1761053510"",
          ""Haris_Form responses 1!$AQ:$AQ"")=6)
      ),
      1
    ),
    ""0""
  ),
  ""Form not found""
)
"),"Form not found")</f>
        <v>Form not found</v>
      </c>
      <c r="BD187" s="293"/>
    </row>
    <row r="188">
      <c r="A188" s="283" t="str">
        <f>IFERROR(__xludf.DUMMYFUNCTION("VLOOKUP($B188,IMPORTRANGE(""https://docs.google.com/spreadsheets/d/1VNXDITjs75AcgdBSW27oL1VZH31udDprJSsBcE5xlp4/edit?gid=1551188038#gid=1551188038"", ""Sheet9!$B:$E""),2,false)"),"Khanewal")</f>
        <v>Khanewal</v>
      </c>
      <c r="B188" s="283" t="s">
        <v>4629</v>
      </c>
      <c r="C188" s="284" t="str">
        <f>IFERROR(__xludf.DUMMYFUNCTION("VLOOKUP(TRIM($B188), IMPORTRANGE(""https://docs.google.com/spreadsheets/d/1aSOrU4PTpuBZqfitKaH1Rfww6-YOiNCKoBpPl8XBHaw/edit?gid=0#gid=0"", ""sheet3!$B:$C""), 2, FALSE)
"),"Jamia Masjid Railway Coloney Khanewal")</f>
        <v>Jamia Masjid Railway Coloney Khanewal</v>
      </c>
      <c r="D188" s="284" t="str">
        <f>IFERROR(__xludf.DUMMYFUNCTION("IFERROR(
  INDEX(
    FILTER(
      IMPORTRANGE(""1aSOrU4PTpuBZqfitKaH1Rfww6-YOiNCKoBpPl8XBHaw/edit?gid=0#gid=0"",""Sheet1!G:G""),
      IMPORTRANGE(""1aSOrU4PTpuBZqfitKaH1Rfww6-YOiNCKoBpPl8XBHaw/edit?gid=0#gid=0"",""Sheet1!C:C"")=$B188
    ),
    1
  ),
"&amp;"  ""Not Found""
)"),"Community Religious Info Share")</f>
        <v>Community Religious Info Share</v>
      </c>
      <c r="E188" s="284" t="str">
        <f>VLOOKUP(B188,'Juma Recording forms'!A:E,5,false)</f>
        <v>Jamia Masjid Railway coloney Khanewal</v>
      </c>
      <c r="F188" s="284" t="str">
        <f>IFERROR(__xludf.DUMMYFUNCTION("IFERROR(
  INDEX(
    FILTER(
      IMPORTRANGE(""1Cxrhp3-_-HS7v9uuqQliiIfrmMP4VaFoDNDWyUFy2J8/edit?gid=0#gid=0"",""Sheet1!Q:Q""),
      IMPORTRANGE(""1Cxrhp3-_-HS7v9uuqQliiIfrmMP4VaFoDNDWyUFy2J8/edit?gid=0#gid=0"",""Sheet1!K:K"")=$B188
    ),
    1
  ),
"&amp;"  ""Not Found""
)"),"Hussain Ahmad")</f>
        <v>Hussain Ahmad</v>
      </c>
      <c r="G188" s="292">
        <v>1951.0</v>
      </c>
      <c r="H188" s="284"/>
      <c r="I188" s="285" t="s">
        <v>197</v>
      </c>
      <c r="J188" s="286">
        <v>2.0</v>
      </c>
      <c r="K188" s="287" t="str">
        <f>VLOOKUP($B188,'Mosque Locations'!$A:$E,3,FALSE)
</f>
        <v>https://maps.google.com/maps?q=30.5652863%2C72.1740672&amp;z=17&amp;hl=en</v>
      </c>
      <c r="L188" s="286">
        <f>VLOOKUP($B188,'Mosque Locations'!$A:$E,4,FALSE)
</f>
        <v>30.56529</v>
      </c>
      <c r="M188" s="286">
        <f>VLOOKUP($B188,'Mosque Locations'!$A:$E,5,false)</f>
        <v>72.17407</v>
      </c>
      <c r="N188" s="288"/>
      <c r="O188" s="288"/>
      <c r="P188" s="288"/>
      <c r="Q188" s="290" t="str">
        <f>IFERROR(__xludf.DUMMYFUNCTION("IFERROR(
  INDEX(
    FILTER(
      IMPORTRANGE(""1kOrIKZmJfNUkgOVP3sI9BPjaaPA0_a4636oymQxTXg8"",""Form Responses 1!N:N""),
      TRIM(IMPORTRANGE(""1kOrIKZmJfNUkgOVP3sI9BPjaaPA0_a4636oymQxTXg8"",""Form Responses 1!F:F""))=TRIM($B188)
    ),
    1
  ),
  "&amp;"""Not Found""
)
"),"https://drive.google.com/open?id=19wzkSp5wfG3M0tigfNSdxQtJixpOO39I")</f>
        <v>https://drive.google.com/open?id=19wzkSp5wfG3M0tigfNSdxQtJixpOO39I</v>
      </c>
      <c r="R188" s="290" t="str">
        <f>IFERROR(__xludf.DUMMYFUNCTION("IFERROR(
  INDEX(
    FILTER(
      IMPORTRANGE(""1kOrIKZmJfNUkgOVP3sI9BPjaaPA0_a4636oymQxTXg8"",""Form Responses 1!M:M""),
      TRIM(IMPORTRANGE(""1kOrIKZmJfNUkgOVP3sI9BPjaaPA0_a4636oymQxTXg8"",""Form Responses 1!F:F""))=TRIM($B188)
    ),
    1
  ),
  "&amp;"""Not Found""
)
"),"https://drive.google.com/open?id=1eR3prLtxsJBu2y611v33M38CjS1zc364")</f>
        <v>https://drive.google.com/open?id=1eR3prLtxsJBu2y611v33M38CjS1zc364</v>
      </c>
      <c r="S188" s="285"/>
      <c r="T188" s="284" t="str">
        <f>VLOOKUP($B188,'Master Tracker'!D:E,2,false)</f>
        <v>Not Found</v>
      </c>
      <c r="U188" s="292" t="str">
        <f>VLOOKUP($B188,'Master Tracker'!$D:$T,4,FALSE)
</f>
        <v>Not Found</v>
      </c>
      <c r="V188" s="290" t="str">
        <f>VLOOKUP($B188,'Master Tracker'!$D:$T,5,false)</f>
        <v>https://drive.google.com/open?id=1Rt6hFElO5YcW-py3UzW1s5nd-1VeoWrF</v>
      </c>
      <c r="W188" s="291" t="str">
        <f>VLOOKUP($B188,'Master Tracker'!$D:$T,7,false)</f>
        <v>https://drive.google.com/open?id=1jqY9xXgI9XzPZRVYlxuL2ssiuCf_hhnp</v>
      </c>
      <c r="X188" s="290" t="str">
        <f>VLOOKUP($B188,'Master Tracker'!$D:$T,8,false)</f>
        <v>https://drive.google.com/open?id=1FvJwOfP77rH1PgSrdNxKrHnUrfaQvhNa</v>
      </c>
      <c r="Y188" s="291" t="str">
        <f>VLOOKUP($B188,'Master Tracker'!$D:$T,10,false)</f>
        <v>https://drive.google.com/open?id=1Bfm2yOS9zeuJT9pbaI9tDf_4zYX1WW2W</v>
      </c>
      <c r="Z188" s="290" t="str">
        <f>VLOOKUP($B188,'Master Tracker'!$D:$T,11,false)</f>
        <v>https://drive.google.com/open?id=1YV3Pvh-fevYnc-s34iVnZ3OmmwkO7_H2</v>
      </c>
      <c r="AA188" s="291" t="str">
        <f>VLOOKUP($B188,'Master Tracker'!$D:$T,13,false)</f>
        <v>https://drive.google.com/open?id=16WA65amX8J5j_GU3HOsqpb6PHueznf20</v>
      </c>
      <c r="AB188" s="284" t="str">
        <f>VLOOKUP($B188,'Master Tracker'!$D:$T,14,false)</f>
        <v>Not Found</v>
      </c>
      <c r="AC188" s="292" t="str">
        <f>VLOOKUP($B188,'Master Tracker'!$D:$T,16,false)</f>
        <v>Not Found</v>
      </c>
      <c r="AD188" s="292" t="str">
        <f>VLOOKUP($B188,'Master Tracker'!$D:$T,17,false)</f>
        <v>Not Found</v>
      </c>
      <c r="AE188" s="292" t="str">
        <f>VLOOKUP($B188,'Master Tracker'!$D:$V,19,false)</f>
        <v>Not Found</v>
      </c>
      <c r="AF188" s="292" t="str">
        <f>IFERROR(__xludf.DUMMYFUNCTION("IFERROR(
  INDEX(
    FILTER(
      'Juma Recording forms'!$G:$G,
      TRIM('Juma Recording forms'!$F:$F) = TRIM($B188),
      'Juma Recording forms'!$AA:$AA = 1
    ),
    1
  ),
  ""Not Found""
)"),"Not Found")</f>
        <v>Not Found</v>
      </c>
      <c r="AG188" s="292">
        <f>IFERROR(__xludf.DUMMYFUNCTION("IFERROR(
  INDEX(
    FILTER(
      'Juma Recording forms'!$G:$G,
      TRIM('Juma Recording forms'!$F:$F) = TRIM($B188),
      'Juma Recording forms'!$AA:$AA = 2
    ),
    1
  ),
  ""Not Found""
)"),85.0)</f>
        <v>85</v>
      </c>
      <c r="AH188" s="292">
        <f>IFERROR(__xludf.DUMMYFUNCTION("IFERROR(
  INDEX(
    FILTER(
      'Juma Recording forms'!$G:$G,
      TRIM('Juma Recording forms'!$F:$F) = TRIM($B188),
      'Juma Recording forms'!$AA:$AA = 3
    ),
    1
  ),
  ""Not Found""
)"),81.0)</f>
        <v>81</v>
      </c>
      <c r="AI188" s="292">
        <f>IFERROR(__xludf.DUMMYFUNCTION("IFERROR(
  INDEX(
    FILTER(
      'Juma Recording forms'!$G:$G,
      TRIM('Juma Recording forms'!$F:$F) = TRIM($B188),
      'Juma Recording forms'!$AA:$AA = 4
    ),
    1
  ),
  ""Not Found""
)"),72.0)</f>
        <v>72</v>
      </c>
      <c r="AJ188" s="292" t="str">
        <f>IFERROR(__xludf.DUMMYFUNCTION("IFERROR(
  INDEX(
    FILTER(
      'Juma Recording forms'!$G:$G,
      TRIM('Juma Recording forms'!$F:$F) = TRIM($B188),
      'Juma Recording forms'!$AA:$AA = 5
    ),
    1
  ),
  ""Not Found""
)"),"Not Found")</f>
        <v>Not Found</v>
      </c>
      <c r="AK188" s="292" t="str">
        <f>IFERROR(__xludf.DUMMYFUNCTION("IFERROR(
  INDEX(
    FILTER(
      'Juma Recording forms'!$G:$G,
      TRIM('Juma Recording forms'!$F:$F) = TRIM($B188),
      'Juma Recording forms'!$AA:$AA = 6
    ),
    1
  ),
  ""Not Found""
)"),"Not Found")</f>
        <v>Not Found</v>
      </c>
      <c r="AL1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1!$E:$E"")=$B188) *
        (IMPORTRANGE(""https://docs.google.com/spreadsheets/d/161aHT6vVT3SLneTKD19N5qVWtnj_jIT8CSsOmUVKmaA/e"&amp;"dit?gid=1761053510"",
          ""Haris_Form responses 1!$AQ:$AQ"")=1)
      ),
      1
    ),
    ""0""
  ),
  ""Form not found""
)
"),"Form not found")</f>
        <v>Form not found</v>
      </c>
      <c r="AM1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1!$E:$E"")=$B188) *
        (IMPORTRANGE(""https://docs.google.com/spreadsheets/d/161aHT6vVT3SLneTKD19N5qVWtnj_jIT8CSsOmUVKmaA/e"&amp;"dit?gid=1761053510"",
          ""Haris_Form responses 1!$AQ:$AQ"")=2)
      ),
      1
    ),
    ""0""
  ),
  ""Form not found""
)
"),"5")</f>
        <v>5</v>
      </c>
      <c r="AN1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1!$E:$E"")=$B188) *
        (IMPORTRANGE(""https://docs.google.com/spreadsheets/d/161aHT6vVT3SLneTKD19N5qVWtnj_jIT8CSsOmUVKmaA/e"&amp;"dit?gid=1761053510"",
          ""Haris_Form responses 1!$AQ:$AQ"")=3)
      ),
      1
    ),
    ""0""
  ),
  ""Form not found""
)
"),"5")</f>
        <v>5</v>
      </c>
      <c r="AO1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1!$E:$E"")=$B188) *
        (IMPORTRANGE(""https://docs.google.com/spreadsheets/d/161aHT6vVT3SLneTKD19N5qVWtnj_jIT8CSsOmUVKmaA/e"&amp;"dit?gid=1761053510"",
          ""Haris_Form responses 1!$AQ:$AQ"")=4)
      ),
      1
    ),
    ""0""
  ),
  ""Form not found""
)
"),"0")</f>
        <v>0</v>
      </c>
      <c r="AP1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1!$E:$E"")=$B188) *
        (IMPORTRANGE(""https://docs.google.com/spreadsheets/d/161aHT6vVT3SLneTKD19N5qVWtnj_jIT8CSsOmUVKmaA/e"&amp;"dit?gid=1761053510"",
          ""Haris_Form responses 1!$AQ:$AQ"")=5)
      ),
      1
    ),
    ""0""
  ),
  ""Form not found""
)
"),"Form not found")</f>
        <v>Form not found</v>
      </c>
      <c r="AQ1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1!$E:$E"")=$B188) *
        (IMPORTRANGE(""https://docs.google.com/spreadsheets/d/161aHT6vVT3SLneTKD19N5qVWtnj_jIT8CSsOmUVKmaA/e"&amp;"dit?gid=1761053510"",
          ""Haris_Form responses 1!$AQ:$AQ"")=6)
      ),
      1
    ),
    ""0""
  ),
  ""Form not found""
)
"),"Form not found")</f>
        <v>Form not found</v>
      </c>
      <c r="AR1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1!$E:$E"")=$B188) *
        (IMPORTRANGE(""https://docs.google.com/spreadsheets/d/161aHT6vVT3SLneTKD19N5qVWtnj_jIT8CSsOmUVKmaA/e"&amp;"dit?gid=1761053510"",
          ""Haris_Form responses 1!$AQ:$AQ"")=1)
      ),
      1
    ),
    ""0""
  ),
  ""Form not found""
)
"),"Form not found")</f>
        <v>Form not found</v>
      </c>
      <c r="AS1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1!$E:$E"")=$B188) *
        (IMPORTRANGE(""https://docs.google.com/spreadsheets/d/161aHT6vVT3SLneTKD19N5qVWtnj_jIT8CSsOmUVKmaA/e"&amp;"dit?gid=1761053510"",
          ""Haris_Form responses 1!$AQ:$AQ"")=2)
      ),
      1
    ),
    ""0""
  ),
  ""Form not found""
)
"),"5")</f>
        <v>5</v>
      </c>
      <c r="AT1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1!$E:$E"")=$B188) *
        (IMPORTRANGE(""https://docs.google.com/spreadsheets/d/161aHT6vVT3SLneTKD19N5qVWtnj_jIT8CSsOmUVKmaA/e"&amp;"dit?gid=1761053510"",
          ""Haris_Form responses 1!$AQ:$AQ"")=3)
      ),
      1
    ),
    ""0""
  ),
  ""Form not found""
)
"),"5")</f>
        <v>5</v>
      </c>
      <c r="AU1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1!$E:$E"")=$B188) *
        (IMPORTRANGE(""https://docs.google.com/spreadsheets/d/161aHT6vVT3SLneTKD19N5qVWtnj_jIT8CSsOmUVKmaA/e"&amp;"dit?gid=1761053510"",
          ""Haris_Form responses 1!$AQ:$AQ"")=4)
      ),
      1
    ),
    ""0""
  ),
  ""Form not found""
)
"),"0")</f>
        <v>0</v>
      </c>
      <c r="AV1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1!$E:$E"")=$B188) *
        (IMPORTRANGE(""https://docs.google.com/spreadsheets/d/161aHT6vVT3SLneTKD19N5qVWtnj_jIT8CSsOmUVKmaA/e"&amp;"dit?gid=1761053510"",
          ""Haris_Form responses 1!$AQ:$AQ"")=5)
      ),
      1
    ),
    ""0""
  ),
  ""Form not found""
)
"),"Form not found")</f>
        <v>Form not found</v>
      </c>
      <c r="AW1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1!$E:$E"")=$B188) *
        (IMPORTRANGE(""https://docs.google.com/spreadsheets/d/161aHT6vVT3SLneTKD19N5qVWtnj_jIT8CSsOmUVKmaA/e"&amp;"dit?gid=1761053510"",
          ""Haris_Form responses 1!$AQ:$AQ"")=6)
      ),
      1
    ),
    ""0""
  ),
  ""Form not found""
)
"),"Form not found")</f>
        <v>Form not found</v>
      </c>
      <c r="AX1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1!$E:$E"")=$B188) *
        (IMPORTRANGE(""https://docs.google.com/spreadsheets/d/161aHT6vVT3SLneTKD19N5qVWtnj_jIT8CSsOmUVKmaA/e"&amp;"dit?gid=1761053510"",
          ""Haris_Form responses 1!$AQ:$AQ"")=1)
      ),
      1
    ),
    ""0""
  ),
  ""Form not found""
)
"),"Form not found")</f>
        <v>Form not found</v>
      </c>
      <c r="AY1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1!$E:$E"")=$B188) *
        (IMPORTRANGE(""https://docs.google.com/spreadsheets/d/161aHT6vVT3SLneTKD19N5qVWtnj_jIT8CSsOmUVKmaA/e"&amp;"dit?gid=1761053510"",
          ""Haris_Form responses 1!$AQ:$AQ"")=2)
      ),
      1
    ),
    ""0""
  ),
  ""Form not found""
)
"),"1")</f>
        <v>1</v>
      </c>
      <c r="AZ1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1!$E:$E"")=$B188) *
        (IMPORTRANGE(""https://docs.google.com/spreadsheets/d/161aHT6vVT3SLneTKD19N5qVWtnj_jIT8CSsOmUVKmaA/e"&amp;"dit?gid=1761053510"",
          ""Haris_Form responses 1!$AQ:$AQ"")=3)
      ),
      1
    ),
    ""0""
  ),
  ""Form not found""
)
"),"0")</f>
        <v>0</v>
      </c>
      <c r="BA1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1!$E:$E"")=$B188) *
        (IMPORTRANGE(""https://docs.google.com/spreadsheets/d/161aHT6vVT3SLneTKD19N5qVWtnj_jIT8CSsOmUVKmaA/e"&amp;"dit?gid=1761053510"",
          ""Haris_Form responses 1!$AQ:$AQ"")=4)
      ),
      1
    ),
    ""0""
  ),
  ""Form not found""
)
"),"0")</f>
        <v>0</v>
      </c>
      <c r="BB1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1!$E:$E"")=$B188) *
        (IMPORTRANGE(""https://docs.google.com/spreadsheets/d/161aHT6vVT3SLneTKD19N5qVWtnj_jIT8CSsOmUVKmaA/e"&amp;"dit?gid=1761053510"",
          ""Haris_Form responses 1!$AQ:$AQ"")=5)
      ),
      1
    ),
    ""0""
  ),
  ""Form not found""
)
"),"Form not found")</f>
        <v>Form not found</v>
      </c>
      <c r="BC1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1!$E:$E"")=$B188) *
        (IMPORTRANGE(""https://docs.google.com/spreadsheets/d/161aHT6vVT3SLneTKD19N5qVWtnj_jIT8CSsOmUVKmaA/e"&amp;"dit?gid=1761053510"",
          ""Haris_Form responses 1!$AQ:$AQ"")=6)
      ),
      1
    ),
    ""0""
  ),
  ""Form not found""
)
"),"Form not found")</f>
        <v>Form not found</v>
      </c>
      <c r="BD188" s="293"/>
    </row>
    <row r="189">
      <c r="A189" s="283" t="str">
        <f>IFERROR(__xludf.DUMMYFUNCTION("VLOOKUP($B189,IMPORTRANGE(""https://docs.google.com/spreadsheets/d/1VNXDITjs75AcgdBSW27oL1VZH31udDprJSsBcE5xlp4/edit?gid=1551188038#gid=1551188038"", ""Sheet9!$B:$E""),2,false)"),"DG Khan")</f>
        <v>DG Khan</v>
      </c>
      <c r="B189" s="283" t="s">
        <v>4630</v>
      </c>
      <c r="C189" s="284" t="str">
        <f>IFERROR(__xludf.DUMMYFUNCTION("VLOOKUP(TRIM($B189), IMPORTRANGE(""https://docs.google.com/spreadsheets/d/1aSOrU4PTpuBZqfitKaH1Rfww6-YOiNCKoBpPl8XBHaw/edit?gid=0#gid=0"", ""sheet3!$B:$C""), 2, FALSE)
"),"Jamia Masjid Shah Sadar Ul Din Dera Ghazi Khan")</f>
        <v>Jamia Masjid Shah Sadar Ul Din Dera Ghazi Khan</v>
      </c>
      <c r="D189" s="284" t="str">
        <f>IFERROR(__xludf.DUMMYFUNCTION("IFERROR(
  INDEX(
    FILTER(
      IMPORTRANGE(""1aSOrU4PTpuBZqfitKaH1Rfww6-YOiNCKoBpPl8XBHaw/edit?gid=0#gid=0"",""Sheet1!G:G""),
      IMPORTRANGE(""1aSOrU4PTpuBZqfitKaH1Rfww6-YOiNCKoBpPl8XBHaw/edit?gid=0#gid=0"",""Sheet1!C:C"")=$B189
    ),
    1
  ),
"&amp;"  ""Not Found""
)"),"Control")</f>
        <v>Control</v>
      </c>
      <c r="E189" s="284" t="str">
        <f>VLOOKUP(B189,'Juma Recording forms'!A:E,5,false)</f>
        <v>Jamia Masjid Darbar Shah Sadar Din, DGKhan </v>
      </c>
      <c r="F189" s="284" t="str">
        <f>IFERROR(__xludf.DUMMYFUNCTION("IFERROR(
  INDEX(
    FILTER(
      IMPORTRANGE(""1Cxrhp3-_-HS7v9uuqQliiIfrmMP4VaFoDNDWyUFy2J8/edit?gid=0#gid=0"",""Sheet1!Q:Q""),
      IMPORTRANGE(""1Cxrhp3-_-HS7v9uuqQliiIfrmMP4VaFoDNDWyUFy2J8/edit?gid=0#gid=0"",""Sheet1!K:K"")=$B189
    ),
    1
  ),
"&amp;"  ""Not Found""
)"),"Not Found")</f>
        <v>Not Found</v>
      </c>
      <c r="G189" s="292">
        <v>1957.0</v>
      </c>
      <c r="H189" s="284"/>
      <c r="I189" s="285" t="s">
        <v>197</v>
      </c>
      <c r="J189" s="286">
        <v>2.0</v>
      </c>
      <c r="K189" s="287" t="str">
        <f>VLOOKUP($B189,'Mosque Locations'!$A:$E,3,FALSE)
</f>
        <v>https://maps.google.com/?q=30.2788096,70.7268038</v>
      </c>
      <c r="L189" s="286">
        <f>VLOOKUP($B189,'Mosque Locations'!$A:$E,4,FALSE)
</f>
        <v>30.27881</v>
      </c>
      <c r="M189" s="286">
        <f>VLOOKUP($B189,'Mosque Locations'!$A:$E,5,false)</f>
        <v>70.7268</v>
      </c>
      <c r="N189" s="288"/>
      <c r="O189" s="288"/>
      <c r="P189" s="288"/>
      <c r="Q189" s="290" t="str">
        <f>IFERROR(__xludf.DUMMYFUNCTION("IFERROR(
  INDEX(
    FILTER(
      IMPORTRANGE(""1kOrIKZmJfNUkgOVP3sI9BPjaaPA0_a4636oymQxTXg8"",""Form Responses 1!N:N""),
      TRIM(IMPORTRANGE(""1kOrIKZmJfNUkgOVP3sI9BPjaaPA0_a4636oymQxTXg8"",""Form Responses 1!F:F""))=TRIM($B189)
    ),
    1
  ),
  "&amp;"""Not Found""
)
"),"https://drive.google.com/open?id=1E3bFCrdKt6CNTw1pZz_zH2l062I6IPF-")</f>
        <v>https://drive.google.com/open?id=1E3bFCrdKt6CNTw1pZz_zH2l062I6IPF-</v>
      </c>
      <c r="R189" s="290" t="str">
        <f>IFERROR(__xludf.DUMMYFUNCTION("IFERROR(
  INDEX(
    FILTER(
      IMPORTRANGE(""1kOrIKZmJfNUkgOVP3sI9BPjaaPA0_a4636oymQxTXg8"",""Form Responses 1!M:M""),
      TRIM(IMPORTRANGE(""1kOrIKZmJfNUkgOVP3sI9BPjaaPA0_a4636oymQxTXg8"",""Form Responses 1!F:F""))=TRIM($B189)
    ),
    1
  ),
  "&amp;"""Not Found""
)
"),"https://drive.google.com/open?id=1SaV_5yiDxxeYFk8H6A6tkJwpAW4iBqVu")</f>
        <v>https://drive.google.com/open?id=1SaV_5yiDxxeYFk8H6A6tkJwpAW4iBqVu</v>
      </c>
      <c r="S189" s="285"/>
      <c r="T189" s="290" t="str">
        <f>VLOOKUP($B189,'Master Tracker'!D:E,2,false)</f>
        <v>https://drive.google.com/open?id=1HwL2OmZWCguGaKbq72IfEpnUO2_TqVre</v>
      </c>
      <c r="U189" s="291" t="str">
        <f>VLOOKUP($B189,'Master Tracker'!$D:$T,4,FALSE)
</f>
        <v>https://drive.google.com/open?id=1QWFMTRLhS4v-hn_CDpMnRZNQbajV3BI7ccsNvzZ8C4c</v>
      </c>
      <c r="V189" s="284" t="str">
        <f>VLOOKUP($B189,'Master Tracker'!$D:$T,5,false)</f>
        <v>Not Found</v>
      </c>
      <c r="W189" s="292" t="str">
        <f>VLOOKUP($B189,'Master Tracker'!$D:$T,7,false)</f>
        <v>Not Found</v>
      </c>
      <c r="X189" s="290" t="str">
        <f>VLOOKUP($B189,'Master Tracker'!$D:$T,8,false)</f>
        <v>https://drive.google.com/file/d/1yXbJAKKhAQGPp3Ouwb_22z-2gufLiNcj/view?usp=drive_link</v>
      </c>
      <c r="Y189" s="291" t="str">
        <f>VLOOKUP($B189,'Master Tracker'!$D:$T,10,false)</f>
        <v>https://drive.google.com/open?id=1RAdGsGbk5qgk6h5wfDs_cyzfPPeMmE90</v>
      </c>
      <c r="Z189" s="284" t="str">
        <f>VLOOKUP($B189,'Master Tracker'!$D:$T,11,false)</f>
        <v>Not Found</v>
      </c>
      <c r="AA189" s="292" t="str">
        <f>VLOOKUP($B189,'Master Tracker'!$D:$T,13,false)</f>
        <v>Not Found</v>
      </c>
      <c r="AB189" s="284" t="str">
        <f>VLOOKUP($B189,'Master Tracker'!$D:$T,14,false)</f>
        <v>Not Found</v>
      </c>
      <c r="AC189" s="292" t="str">
        <f>VLOOKUP($B189,'Master Tracker'!$D:$T,16,false)</f>
        <v>Not Found</v>
      </c>
      <c r="AD189" s="292" t="str">
        <f>VLOOKUP($B189,'Master Tracker'!$D:$T,17,false)</f>
        <v>Not Found</v>
      </c>
      <c r="AE189" s="292" t="str">
        <f>VLOOKUP($B189,'Master Tracker'!$D:$V,19,false)</f>
        <v>Not Found</v>
      </c>
      <c r="AF189" s="292">
        <f>IFERROR(__xludf.DUMMYFUNCTION("IFERROR(
  INDEX(
    FILTER(
      'Juma Recording forms'!$G:$G,
      TRIM('Juma Recording forms'!$F:$F) = TRIM($B189),
      'Juma Recording forms'!$AA:$AA = 1
    ),
    1
  ),
  ""Not Found""
)"),614.0)</f>
        <v>614</v>
      </c>
      <c r="AG189" s="292" t="str">
        <f>IFERROR(__xludf.DUMMYFUNCTION("IFERROR(
  INDEX(
    FILTER(
      'Juma Recording forms'!$G:$G,
      TRIM('Juma Recording forms'!$F:$F) = TRIM($B189),
      'Juma Recording forms'!$AA:$AA = 2
    ),
    1
  ),
  ""Not Found""
)"),"Not Found")</f>
        <v>Not Found</v>
      </c>
      <c r="AH189" s="292">
        <f>IFERROR(__xludf.DUMMYFUNCTION("IFERROR(
  INDEX(
    FILTER(
      'Juma Recording forms'!$G:$G,
      TRIM('Juma Recording forms'!$F:$F) = TRIM($B189),
      'Juma Recording forms'!$AA:$AA = 3
    ),
    1
  ),
  ""Not Found""
)"),598.0)</f>
        <v>598</v>
      </c>
      <c r="AI189" s="292" t="str">
        <f>IFERROR(__xludf.DUMMYFUNCTION("IFERROR(
  INDEX(
    FILTER(
      'Juma Recording forms'!$G:$G,
      TRIM('Juma Recording forms'!$F:$F) = TRIM($B189),
      'Juma Recording forms'!$AA:$AA = 4
    ),
    1
  ),
  ""Not Found""
)"),"Not Found")</f>
        <v>Not Found</v>
      </c>
      <c r="AJ189" s="292" t="str">
        <f>IFERROR(__xludf.DUMMYFUNCTION("IFERROR(
  INDEX(
    FILTER(
      'Juma Recording forms'!$G:$G,
      TRIM('Juma Recording forms'!$F:$F) = TRIM($B189),
      'Juma Recording forms'!$AA:$AA = 5
    ),
    1
  ),
  ""Not Found""
)"),"Not Found")</f>
        <v>Not Found</v>
      </c>
      <c r="AK189" s="292"/>
      <c r="AL1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1!$E:$E"")=$B189) *
        (IMPORTRANGE(""https://docs.google.com/spreadsheets/d/161aHT6vVT3SLneTKD19N5qVWtnj_jIT8CSsOmUVKmaA/e"&amp;"dit?gid=1761053510"",
          ""Haris_Form responses 1!$AQ:$AQ"")=1)
      ),
      1
    ),
    ""0""
  ),
  ""Form not found""
)
"),"0")</f>
        <v>0</v>
      </c>
      <c r="AM1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1!$E:$E"")=$B189) *
        (IMPORTRANGE(""https://docs.google.com/spreadsheets/d/161aHT6vVT3SLneTKD19N5qVWtnj_jIT8CSsOmUVKmaA/e"&amp;"dit?gid=1761053510"",
          ""Haris_Form responses 1!$AQ:$AQ"")=2)
      ),
      1
    ),
    ""0""
  ),
  ""Form not found""
)
"),"Form not found")</f>
        <v>Form not found</v>
      </c>
      <c r="AN1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1!$E:$E"")=$B189) *
        (IMPORTRANGE(""https://docs.google.com/spreadsheets/d/161aHT6vVT3SLneTKD19N5qVWtnj_jIT8CSsOmUVKmaA/e"&amp;"dit?gid=1761053510"",
          ""Haris_Form responses 1!$AQ:$AQ"")=3)
      ),
      1
    ),
    ""0""
  ),
  ""Form not found""
)
"),"0")</f>
        <v>0</v>
      </c>
      <c r="AO1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1!$E:$E"")=$B189) *
        (IMPORTRANGE(""https://docs.google.com/spreadsheets/d/161aHT6vVT3SLneTKD19N5qVWtnj_jIT8CSsOmUVKmaA/e"&amp;"dit?gid=1761053510"",
          ""Haris_Form responses 1!$AQ:$AQ"")=4)
      ),
      1
    ),
    ""0""
  ),
  ""Form not found""
)
"),"Form not found")</f>
        <v>Form not found</v>
      </c>
      <c r="AP1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1!$E:$E"")=$B189) *
        (IMPORTRANGE(""https://docs.google.com/spreadsheets/d/161aHT6vVT3SLneTKD19N5qVWtnj_jIT8CSsOmUVKmaA/e"&amp;"dit?gid=1761053510"",
          ""Haris_Form responses 1!$AQ:$AQ"")=5)
      ),
      1
    ),
    ""0""
  ),
  ""Form not found""
)
"),"Form not found")</f>
        <v>Form not found</v>
      </c>
      <c r="AQ1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1!$E:$E"")=$B189) *
        (IMPORTRANGE(""https://docs.google.com/spreadsheets/d/161aHT6vVT3SLneTKD19N5qVWtnj_jIT8CSsOmUVKmaA/e"&amp;"dit?gid=1761053510"",
          ""Haris_Form responses 1!$AQ:$AQ"")=6)
      ),
      1
    ),
    ""0""
  ),
  ""Form not found""
)
"),"Form not found")</f>
        <v>Form not found</v>
      </c>
      <c r="AR1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1!$E:$E"")=$B189) *
        (IMPORTRANGE(""https://docs.google.com/spreadsheets/d/161aHT6vVT3SLneTKD19N5qVWtnj_jIT8CSsOmUVKmaA/e"&amp;"dit?gid=1761053510"",
          ""Haris_Form responses 1!$AQ:$AQ"")=1)
      ),
      1
    ),
    ""0""
  ),
  ""Form not found""
)
"),"0")</f>
        <v>0</v>
      </c>
      <c r="AS1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1!$E:$E"")=$B189) *
        (IMPORTRANGE(""https://docs.google.com/spreadsheets/d/161aHT6vVT3SLneTKD19N5qVWtnj_jIT8CSsOmUVKmaA/e"&amp;"dit?gid=1761053510"",
          ""Haris_Form responses 1!$AQ:$AQ"")=2)
      ),
      1
    ),
    ""0""
  ),
  ""Form not found""
)
"),"Form not found")</f>
        <v>Form not found</v>
      </c>
      <c r="AT1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1!$E:$E"")=$B189) *
        (IMPORTRANGE(""https://docs.google.com/spreadsheets/d/161aHT6vVT3SLneTKD19N5qVWtnj_jIT8CSsOmUVKmaA/e"&amp;"dit?gid=1761053510"",
          ""Haris_Form responses 1!$AQ:$AQ"")=3)
      ),
      1
    ),
    ""0""
  ),
  ""Form not found""
)
"),"0")</f>
        <v>0</v>
      </c>
      <c r="AU1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1!$E:$E"")=$B189) *
        (IMPORTRANGE(""https://docs.google.com/spreadsheets/d/161aHT6vVT3SLneTKD19N5qVWtnj_jIT8CSsOmUVKmaA/e"&amp;"dit?gid=1761053510"",
          ""Haris_Form responses 1!$AQ:$AQ"")=4)
      ),
      1
    ),
    ""0""
  ),
  ""Form not found""
)
"),"Form not found")</f>
        <v>Form not found</v>
      </c>
      <c r="AV1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1!$E:$E"")=$B189) *
        (IMPORTRANGE(""https://docs.google.com/spreadsheets/d/161aHT6vVT3SLneTKD19N5qVWtnj_jIT8CSsOmUVKmaA/e"&amp;"dit?gid=1761053510"",
          ""Haris_Form responses 1!$AQ:$AQ"")=5)
      ),
      1
    ),
    ""0""
  ),
  ""Form not found""
)
"),"Form not found")</f>
        <v>Form not found</v>
      </c>
      <c r="AW1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1!$E:$E"")=$B189) *
        (IMPORTRANGE(""https://docs.google.com/spreadsheets/d/161aHT6vVT3SLneTKD19N5qVWtnj_jIT8CSsOmUVKmaA/e"&amp;"dit?gid=1761053510"",
          ""Haris_Form responses 1!$AQ:$AQ"")=6)
      ),
      1
    ),
    ""0""
  ),
  ""Form not found""
)
"),"Form not found")</f>
        <v>Form not found</v>
      </c>
      <c r="AX1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1!$E:$E"")=$B189) *
        (IMPORTRANGE(""https://docs.google.com/spreadsheets/d/161aHT6vVT3SLneTKD19N5qVWtnj_jIT8CSsOmUVKmaA/e"&amp;"dit?gid=1761053510"",
          ""Haris_Form responses 1!$AQ:$AQ"")=1)
      ),
      1
    ),
    ""0""
  ),
  ""Form not found""
)
"),"0")</f>
        <v>0</v>
      </c>
      <c r="AY1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1!$E:$E"")=$B189) *
        (IMPORTRANGE(""https://docs.google.com/spreadsheets/d/161aHT6vVT3SLneTKD19N5qVWtnj_jIT8CSsOmUVKmaA/e"&amp;"dit?gid=1761053510"",
          ""Haris_Form responses 1!$AQ:$AQ"")=2)
      ),
      1
    ),
    ""0""
  ),
  ""Form not found""
)
"),"Form not found")</f>
        <v>Form not found</v>
      </c>
      <c r="AZ1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1!$E:$E"")=$B189) *
        (IMPORTRANGE(""https://docs.google.com/spreadsheets/d/161aHT6vVT3SLneTKD19N5qVWtnj_jIT8CSsOmUVKmaA/e"&amp;"dit?gid=1761053510"",
          ""Haris_Form responses 1!$AQ:$AQ"")=3)
      ),
      1
    ),
    ""0""
  ),
  ""Form not found""
)
"),"0")</f>
        <v>0</v>
      </c>
      <c r="BA1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1!$E:$E"")=$B189) *
        (IMPORTRANGE(""https://docs.google.com/spreadsheets/d/161aHT6vVT3SLneTKD19N5qVWtnj_jIT8CSsOmUVKmaA/e"&amp;"dit?gid=1761053510"",
          ""Haris_Form responses 1!$AQ:$AQ"")=4)
      ),
      1
    ),
    ""0""
  ),
  ""Form not found""
)
"),"Form not found")</f>
        <v>Form not found</v>
      </c>
      <c r="BB1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1!$E:$E"")=$B189) *
        (IMPORTRANGE(""https://docs.google.com/spreadsheets/d/161aHT6vVT3SLneTKD19N5qVWtnj_jIT8CSsOmUVKmaA/e"&amp;"dit?gid=1761053510"",
          ""Haris_Form responses 1!$AQ:$AQ"")=5)
      ),
      1
    ),
    ""0""
  ),
  ""Form not found""
)
"),"Form not found")</f>
        <v>Form not found</v>
      </c>
      <c r="BC1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1!$E:$E"")=$B189) *
        (IMPORTRANGE(""https://docs.google.com/spreadsheets/d/161aHT6vVT3SLneTKD19N5qVWtnj_jIT8CSsOmUVKmaA/e"&amp;"dit?gid=1761053510"",
          ""Haris_Form responses 1!$AQ:$AQ"")=6)
      ),
      1
    ),
    ""0""
  ),
  ""Form not found""
)
"),"Form not found")</f>
        <v>Form not found</v>
      </c>
      <c r="BD189" s="293"/>
    </row>
    <row r="190">
      <c r="A190" s="283" t="str">
        <f>IFERROR(__xludf.DUMMYFUNCTION("VLOOKUP($B190,IMPORTRANGE(""https://docs.google.com/spreadsheets/d/1VNXDITjs75AcgdBSW27oL1VZH31udDprJSsBcE5xlp4/edit?gid=1551188038#gid=1551188038"", ""Sheet9!$B:$E""),2,false)"),"DG Khan")</f>
        <v>DG Khan</v>
      </c>
      <c r="B190" s="283" t="s">
        <v>4631</v>
      </c>
      <c r="C190" s="284" t="str">
        <f>IFERROR(__xludf.DUMMYFUNCTION("VLOOKUP(TRIM($B190), IMPORTRANGE(""https://docs.google.com/spreadsheets/d/1aSOrU4PTpuBZqfitKaH1Rfww6-YOiNCKoBpPl8XBHaw/edit?gid=0#gid=0"", ""sheet3!$B:$C""), 2, FALSE)
"),"Jamia Masjid Darbar Hazrat Saki Sarwar Dera Ghazi Khan")</f>
        <v>Jamia Masjid Darbar Hazrat Saki Sarwar Dera Ghazi Khan</v>
      </c>
      <c r="D190" s="284" t="str">
        <f>IFERROR(__xludf.DUMMYFUNCTION("IFERROR(
  INDEX(
    FILTER(
      IMPORTRANGE(""1aSOrU4PTpuBZqfitKaH1Rfww6-YOiNCKoBpPl8XBHaw/edit?gid=0#gid=0"",""Sheet1!G:G""),
      IMPORTRANGE(""1aSOrU4PTpuBZqfitKaH1Rfww6-YOiNCKoBpPl8XBHaw/edit?gid=0#gid=0"",""Sheet1!C:C"")=$B190
    ),
    1
  ),
"&amp;"  ""Not Found""
)"),"Control")</f>
        <v>Control</v>
      </c>
      <c r="E190" s="284" t="str">
        <f>VLOOKUP(B190,'Juma Recording forms'!A:E,5,false)</f>
        <v>Jamia Masjid Darbar Hazrad Ahmad Sultan Sakhi Sarwar </v>
      </c>
      <c r="F190" s="284" t="str">
        <f>IFERROR(__xludf.DUMMYFUNCTION("IFERROR(
  INDEX(
    FILTER(
      IMPORTRANGE(""1Cxrhp3-_-HS7v9uuqQliiIfrmMP4VaFoDNDWyUFy2J8/edit?gid=0#gid=0"",""Sheet1!Q:Q""),
      IMPORTRANGE(""1Cxrhp3-_-HS7v9uuqQliiIfrmMP4VaFoDNDWyUFy2J8/edit?gid=0#gid=0"",""Sheet1!K:K"")=$B190
    ),
    1
  ),
"&amp;"  ""Not Found""
)"),"Not Found")</f>
        <v>Not Found</v>
      </c>
      <c r="G190" s="292">
        <v>1174.0</v>
      </c>
      <c r="H190" s="284"/>
      <c r="I190" s="285" t="s">
        <v>401</v>
      </c>
      <c r="J190" s="286">
        <v>2.0</v>
      </c>
      <c r="K190" s="287" t="str">
        <f>VLOOKUP($B190,'Mosque Locations'!$A:$E,3,FALSE)
</f>
        <v>https://maps.google.com/?q=29.9858984,70.3025885</v>
      </c>
      <c r="L190" s="286">
        <f>VLOOKUP($B190,'Mosque Locations'!$A:$E,4,FALSE)
</f>
        <v>29.9859</v>
      </c>
      <c r="M190" s="286">
        <f>VLOOKUP($B190,'Mosque Locations'!$A:$E,5,false)</f>
        <v>70.30259</v>
      </c>
      <c r="N190" s="288"/>
      <c r="O190" s="288"/>
      <c r="P190" s="288"/>
      <c r="Q190" s="290" t="str">
        <f>IFERROR(__xludf.DUMMYFUNCTION("IFERROR(
  INDEX(
    FILTER(
      IMPORTRANGE(""1kOrIKZmJfNUkgOVP3sI9BPjaaPA0_a4636oymQxTXg8"",""Form Responses 1!N:N""),
      TRIM(IMPORTRANGE(""1kOrIKZmJfNUkgOVP3sI9BPjaaPA0_a4636oymQxTXg8"",""Form Responses 1!F:F""))=TRIM($B190)
    ),
    1
  ),
  "&amp;"""Not Found""
)
"),"https://drive.google.com/open?id=1ONPdBD9U4kVya3mo0P9EJ-9IV1gS3F_j")</f>
        <v>https://drive.google.com/open?id=1ONPdBD9U4kVya3mo0P9EJ-9IV1gS3F_j</v>
      </c>
      <c r="R190" s="294" t="str">
        <f>IFERROR(__xludf.DUMMYFUNCTION("IFERROR(
  INDEX(
    FILTER(
      IMPORTRANGE(""1kOrIKZmJfNUkgOVP3sI9BPjaaPA0_a4636oymQxTXg8"",""Form Responses 1!M:M""),
      TRIM(IMPORTRANGE(""1kOrIKZmJfNUkgOVP3sI9BPjaaPA0_a4636oymQxTXg8"",""Form Responses 1!F:F""))=TRIM($B190)
    ),
    1
  ),
  "&amp;"""Not Found""
)
"),"https://drive.google.com/open?id=1d0mPfhwWrVwGnk7IWXmkWxC3B-IIwLzW, https://drive.google.com/open?id=1mkuJl3MCDgB_P-zJl6OY0isLGLLJF7UV")</f>
        <v>https://drive.google.com/open?id=1d0mPfhwWrVwGnk7IWXmkWxC3B-IIwLzW, https://drive.google.com/open?id=1mkuJl3MCDgB_P-zJl6OY0isLGLLJF7UV</v>
      </c>
      <c r="S190" s="285"/>
      <c r="T190" s="290" t="str">
        <f>VLOOKUP($B190,'Master Tracker'!D:E,2,false)</f>
        <v>https://drive.google.com/file/d/1UckujZRj_ijxnFtAIPm1Wu1-Z3hd7QkL/view?usp=drive_link</v>
      </c>
      <c r="U190" s="291" t="str">
        <f>VLOOKUP($B190,'Master Tracker'!$D:$T,4,FALSE)
</f>
        <v>https://drive.google.com/open?id=10zxLNyYeES2cRZYhjF7JSOBbO5GjTJWZZuGf_Wxa0CE</v>
      </c>
      <c r="V190" s="284" t="str">
        <f>VLOOKUP($B190,'Master Tracker'!$D:$T,5,false)</f>
        <v>Not Found</v>
      </c>
      <c r="W190" s="292" t="str">
        <f>VLOOKUP($B190,'Master Tracker'!$D:$T,7,false)</f>
        <v>Not Found</v>
      </c>
      <c r="X190" s="290" t="str">
        <f>VLOOKUP($B190,'Master Tracker'!$D:$T,8,false)</f>
        <v>https://drive.google.com/file/d/1EIMNx7wSIQN2DXBB46g59TN2msyrm9O9/view?usp=drive_link</v>
      </c>
      <c r="Y190" s="291" t="str">
        <f>VLOOKUP($B190,'Master Tracker'!$D:$T,10,false)</f>
        <v>https://drive.google.com/open?id=1VO2d6f1hTWR0fxtiHzDymXdiNwDDPbke</v>
      </c>
      <c r="Z190" s="284" t="str">
        <f>VLOOKUP($B190,'Master Tracker'!$D:$T,11,false)</f>
        <v>Not Found</v>
      </c>
      <c r="AA190" s="292" t="str">
        <f>VLOOKUP($B190,'Master Tracker'!$D:$T,13,false)</f>
        <v>Not Found</v>
      </c>
      <c r="AB190" s="284" t="str">
        <f>VLOOKUP($B190,'Master Tracker'!$D:$T,14,false)</f>
        <v>Not Found</v>
      </c>
      <c r="AC190" s="292" t="str">
        <f>VLOOKUP($B190,'Master Tracker'!$D:$T,16,false)</f>
        <v>Not Found</v>
      </c>
      <c r="AD190" s="292" t="str">
        <f>VLOOKUP($B190,'Master Tracker'!$D:$T,17,false)</f>
        <v>Not Found</v>
      </c>
      <c r="AE190" s="292" t="str">
        <f>VLOOKUP($B190,'Master Tracker'!$D:$V,19,false)</f>
        <v>Not Found</v>
      </c>
      <c r="AF190" s="292">
        <f>IFERROR(__xludf.DUMMYFUNCTION("IFERROR(
  INDEX(
    FILTER(
      'Juma Recording forms'!$G:$G,
      TRIM('Juma Recording forms'!$F:$F) = TRIM($B190),
      'Juma Recording forms'!$AA:$AA = 1
    ),
    1
  ),
  ""Not Found""
)"),580.0)</f>
        <v>580</v>
      </c>
      <c r="AG190" s="292" t="str">
        <f>IFERROR(__xludf.DUMMYFUNCTION("IFERROR(
  INDEX(
    FILTER(
      'Juma Recording forms'!$G:$G,
      TRIM('Juma Recording forms'!$F:$F) = TRIM($B190),
      'Juma Recording forms'!$AA:$AA = 2
    ),
    1
  ),
  ""Not Found""
)"),"Not Found")</f>
        <v>Not Found</v>
      </c>
      <c r="AH190" s="292">
        <f>IFERROR(__xludf.DUMMYFUNCTION("IFERROR(
  INDEX(
    FILTER(
      'Juma Recording forms'!$G:$G,
      TRIM('Juma Recording forms'!$F:$F) = TRIM($B190),
      'Juma Recording forms'!$AA:$AA = 3
    ),
    1
  ),
  ""Not Found""
)"),604.0)</f>
        <v>604</v>
      </c>
      <c r="AI190" s="292" t="str">
        <f>IFERROR(__xludf.DUMMYFUNCTION("IFERROR(
  INDEX(
    FILTER(
      'Juma Recording forms'!$G:$G,
      TRIM('Juma Recording forms'!$F:$F) = TRIM($B190),
      'Juma Recording forms'!$AA:$AA = 4
    ),
    1
  ),
  ""Not Found""
)"),"Not Found")</f>
        <v>Not Found</v>
      </c>
      <c r="AJ190" s="292" t="str">
        <f>IFERROR(__xludf.DUMMYFUNCTION("IFERROR(
  INDEX(
    FILTER(
      'Juma Recording forms'!$G:$G,
      TRIM('Juma Recording forms'!$F:$F) = TRIM($B190),
      'Juma Recording forms'!$AA:$AA = 5
    ),
    1
  ),
  ""Not Found""
)"),"Not Found")</f>
        <v>Not Found</v>
      </c>
      <c r="AK190" s="292"/>
      <c r="AL1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1!$E:$E"")=$B190) *
        (IMPORTRANGE(""https://docs.google.com/spreadsheets/d/161aHT6vVT3SLneTKD19N5qVWtnj_jIT8CSsOmUVKmaA/e"&amp;"dit?gid=1761053510"",
          ""Haris_Form responses 1!$AQ:$AQ"")=1)
      ),
      1
    ),
    ""0""
  ),
  ""Form not found""
)
"),"0")</f>
        <v>0</v>
      </c>
      <c r="AM1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1!$E:$E"")=$B190) *
        (IMPORTRANGE(""https://docs.google.com/spreadsheets/d/161aHT6vVT3SLneTKD19N5qVWtnj_jIT8CSsOmUVKmaA/e"&amp;"dit?gid=1761053510"",
          ""Haris_Form responses 1!$AQ:$AQ"")=2)
      ),
      1
    ),
    ""0""
  ),
  ""Form not found""
)
"),"Form not found")</f>
        <v>Form not found</v>
      </c>
      <c r="AN1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1!$E:$E"")=$B190) *
        (IMPORTRANGE(""https://docs.google.com/spreadsheets/d/161aHT6vVT3SLneTKD19N5qVWtnj_jIT8CSsOmUVKmaA/e"&amp;"dit?gid=1761053510"",
          ""Haris_Form responses 1!$AQ:$AQ"")=3)
      ),
      1
    ),
    ""0""
  ),
  ""Form not found""
)
"),"0")</f>
        <v>0</v>
      </c>
      <c r="AO1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1!$E:$E"")=$B190) *
        (IMPORTRANGE(""https://docs.google.com/spreadsheets/d/161aHT6vVT3SLneTKD19N5qVWtnj_jIT8CSsOmUVKmaA/e"&amp;"dit?gid=1761053510"",
          ""Haris_Form responses 1!$AQ:$AQ"")=4)
      ),
      1
    ),
    ""0""
  ),
  ""Form not found""
)
"),"Form not found")</f>
        <v>Form not found</v>
      </c>
      <c r="AP1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1!$E:$E"")=$B190) *
        (IMPORTRANGE(""https://docs.google.com/spreadsheets/d/161aHT6vVT3SLneTKD19N5qVWtnj_jIT8CSsOmUVKmaA/e"&amp;"dit?gid=1761053510"",
          ""Haris_Form responses 1!$AQ:$AQ"")=5)
      ),
      1
    ),
    ""0""
  ),
  ""Form not found""
)
"),"Form not found")</f>
        <v>Form not found</v>
      </c>
      <c r="AQ1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1!$E:$E"")=$B190) *
        (IMPORTRANGE(""https://docs.google.com/spreadsheets/d/161aHT6vVT3SLneTKD19N5qVWtnj_jIT8CSsOmUVKmaA/e"&amp;"dit?gid=1761053510"",
          ""Haris_Form responses 1!$AQ:$AQ"")=6)
      ),
      1
    ),
    ""0""
  ),
  ""Form not found""
)
"),"Form not found")</f>
        <v>Form not found</v>
      </c>
      <c r="AR1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1!$E:$E"")=$B190) *
        (IMPORTRANGE(""https://docs.google.com/spreadsheets/d/161aHT6vVT3SLneTKD19N5qVWtnj_jIT8CSsOmUVKmaA/e"&amp;"dit?gid=1761053510"",
          ""Haris_Form responses 1!$AQ:$AQ"")=1)
      ),
      1
    ),
    ""0""
  ),
  ""Form not found""
)
"),"0")</f>
        <v>0</v>
      </c>
      <c r="AS1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1!$E:$E"")=$B190) *
        (IMPORTRANGE(""https://docs.google.com/spreadsheets/d/161aHT6vVT3SLneTKD19N5qVWtnj_jIT8CSsOmUVKmaA/e"&amp;"dit?gid=1761053510"",
          ""Haris_Form responses 1!$AQ:$AQ"")=2)
      ),
      1
    ),
    ""0""
  ),
  ""Form not found""
)
"),"Form not found")</f>
        <v>Form not found</v>
      </c>
      <c r="AT1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1!$E:$E"")=$B190) *
        (IMPORTRANGE(""https://docs.google.com/spreadsheets/d/161aHT6vVT3SLneTKD19N5qVWtnj_jIT8CSsOmUVKmaA/e"&amp;"dit?gid=1761053510"",
          ""Haris_Form responses 1!$AQ:$AQ"")=3)
      ),
      1
    ),
    ""0""
  ),
  ""Form not found""
)
"),"0")</f>
        <v>0</v>
      </c>
      <c r="AU1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1!$E:$E"")=$B190) *
        (IMPORTRANGE(""https://docs.google.com/spreadsheets/d/161aHT6vVT3SLneTKD19N5qVWtnj_jIT8CSsOmUVKmaA/e"&amp;"dit?gid=1761053510"",
          ""Haris_Form responses 1!$AQ:$AQ"")=4)
      ),
      1
    ),
    ""0""
  ),
  ""Form not found""
)
"),"Form not found")</f>
        <v>Form not found</v>
      </c>
      <c r="AV1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1!$E:$E"")=$B190) *
        (IMPORTRANGE(""https://docs.google.com/spreadsheets/d/161aHT6vVT3SLneTKD19N5qVWtnj_jIT8CSsOmUVKmaA/e"&amp;"dit?gid=1761053510"",
          ""Haris_Form responses 1!$AQ:$AQ"")=5)
      ),
      1
    ),
    ""0""
  ),
  ""Form not found""
)
"),"Form not found")</f>
        <v>Form not found</v>
      </c>
      <c r="AW1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1!$E:$E"")=$B190) *
        (IMPORTRANGE(""https://docs.google.com/spreadsheets/d/161aHT6vVT3SLneTKD19N5qVWtnj_jIT8CSsOmUVKmaA/e"&amp;"dit?gid=1761053510"",
          ""Haris_Form responses 1!$AQ:$AQ"")=6)
      ),
      1
    ),
    ""0""
  ),
  ""Form not found""
)
"),"Form not found")</f>
        <v>Form not found</v>
      </c>
      <c r="AX1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1!$E:$E"")=$B190) *
        (IMPORTRANGE(""https://docs.google.com/spreadsheets/d/161aHT6vVT3SLneTKD19N5qVWtnj_jIT8CSsOmUVKmaA/e"&amp;"dit?gid=1761053510"",
          ""Haris_Form responses 1!$AQ:$AQ"")=1)
      ),
      1
    ),
    ""0""
  ),
  ""Form not found""
)
"),"0")</f>
        <v>0</v>
      </c>
      <c r="AY1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1!$E:$E"")=$B190) *
        (IMPORTRANGE(""https://docs.google.com/spreadsheets/d/161aHT6vVT3SLneTKD19N5qVWtnj_jIT8CSsOmUVKmaA/e"&amp;"dit?gid=1761053510"",
          ""Haris_Form responses 1!$AQ:$AQ"")=2)
      ),
      1
    ),
    ""0""
  ),
  ""Form not found""
)
"),"Form not found")</f>
        <v>Form not found</v>
      </c>
      <c r="AZ1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1!$E:$E"")=$B190) *
        (IMPORTRANGE(""https://docs.google.com/spreadsheets/d/161aHT6vVT3SLneTKD19N5qVWtnj_jIT8CSsOmUVKmaA/e"&amp;"dit?gid=1761053510"",
          ""Haris_Form responses 1!$AQ:$AQ"")=3)
      ),
      1
    ),
    ""0""
  ),
  ""Form not found""
)
"),"0")</f>
        <v>0</v>
      </c>
      <c r="BA1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1!$E:$E"")=$B190) *
        (IMPORTRANGE(""https://docs.google.com/spreadsheets/d/161aHT6vVT3SLneTKD19N5qVWtnj_jIT8CSsOmUVKmaA/e"&amp;"dit?gid=1761053510"",
          ""Haris_Form responses 1!$AQ:$AQ"")=4)
      ),
      1
    ),
    ""0""
  ),
  ""Form not found""
)
"),"Form not found")</f>
        <v>Form not found</v>
      </c>
      <c r="BB1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1!$E:$E"")=$B190) *
        (IMPORTRANGE(""https://docs.google.com/spreadsheets/d/161aHT6vVT3SLneTKD19N5qVWtnj_jIT8CSsOmUVKmaA/e"&amp;"dit?gid=1761053510"",
          ""Haris_Form responses 1!$AQ:$AQ"")=5)
      ),
      1
    ),
    ""0""
  ),
  ""Form not found""
)
"),"Form not found")</f>
        <v>Form not found</v>
      </c>
      <c r="BC1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1!$E:$E"")=$B190) *
        (IMPORTRANGE(""https://docs.google.com/spreadsheets/d/161aHT6vVT3SLneTKD19N5qVWtnj_jIT8CSsOmUVKmaA/e"&amp;"dit?gid=1761053510"",
          ""Haris_Form responses 1!$AQ:$AQ"")=6)
      ),
      1
    ),
    ""0""
  ),
  ""Form not found""
)
"),"Form not found")</f>
        <v>Form not found</v>
      </c>
      <c r="BD190" s="293"/>
    </row>
    <row r="191">
      <c r="A191" s="283" t="str">
        <f>IFERROR(__xludf.DUMMYFUNCTION("VLOOKUP($B191,IMPORTRANGE(""https://docs.google.com/spreadsheets/d/1VNXDITjs75AcgdBSW27oL1VZH31udDprJSsBcE5xlp4/edit?gid=1551188038#gid=1551188038"", ""Sheet9!$B:$E""),2,false)"),"DG Khan")</f>
        <v>DG Khan</v>
      </c>
      <c r="B191" s="283" t="s">
        <v>4632</v>
      </c>
      <c r="C191" s="284" t="str">
        <f>IFERROR(__xludf.DUMMYFUNCTION("VLOOKUP(TRIM($B191), IMPORTRANGE(""https://docs.google.com/spreadsheets/d/1aSOrU4PTpuBZqfitKaH1Rfww6-YOiNCKoBpPl8XBHaw/edit?gid=0#gid=0"", ""sheet3!$B:$C""), 2, FALSE)
"),"Jamia Masjid Block # 3 Dera Ghazi Khan")</f>
        <v>Jamia Masjid Block # 3 Dera Ghazi Khan</v>
      </c>
      <c r="D191" s="284" t="str">
        <f>IFERROR(__xludf.DUMMYFUNCTION("IFERROR(
  INDEX(
    FILTER(
      IMPORTRANGE(""1aSOrU4PTpuBZqfitKaH1Rfww6-YOiNCKoBpPl8XBHaw/edit?gid=0#gid=0"",""Sheet1!G:G""),
      IMPORTRANGE(""1aSOrU4PTpuBZqfitKaH1Rfww6-YOiNCKoBpPl8XBHaw/edit?gid=0#gid=0"",""Sheet1!C:C"")=$B191
    ),
    1
  ),
"&amp;"  ""Not Found""
)"),"Community Religious No Info Share")</f>
        <v>Community Religious No Info Share</v>
      </c>
      <c r="E191" s="284" t="str">
        <f>VLOOKUP(B191,'Juma Recording forms'!A:E,5,false)</f>
        <v>Jamia Masjid Block No. 3 DGKhan</v>
      </c>
      <c r="F191" s="284" t="str">
        <f>IFERROR(__xludf.DUMMYFUNCTION("IFERROR(
  INDEX(
    FILTER(
      IMPORTRANGE(""1Cxrhp3-_-HS7v9uuqQliiIfrmMP4VaFoDNDWyUFy2J8/edit?gid=0#gid=0"",""Sheet1!Q:Q""),
      IMPORTRANGE(""1Cxrhp3-_-HS7v9uuqQliiIfrmMP4VaFoDNDWyUFy2J8/edit?gid=0#gid=0"",""Sheet1!K:K"")=$B191
    ),
    1
  ),
"&amp;"  ""Not Found""
)"),"Irshad Fareed")</f>
        <v>Irshad Fareed</v>
      </c>
      <c r="G191" s="284">
        <v>1916.0</v>
      </c>
      <c r="H191" s="284"/>
      <c r="I191" s="285" t="s">
        <v>197</v>
      </c>
      <c r="J191" s="286">
        <v>2.0</v>
      </c>
      <c r="K191" s="287" t="str">
        <f>VLOOKUP($B191,'Mosque Locations'!$A:$E,3,FALSE)
</f>
        <v>https://www.google.com/maps?q=30.057959,70.6359916</v>
      </c>
      <c r="L191" s="286">
        <f>VLOOKUP($B191,'Mosque Locations'!$A:$E,4,FALSE)
</f>
        <v>30.05796</v>
      </c>
      <c r="M191" s="286">
        <f>VLOOKUP($B191,'Mosque Locations'!$A:$E,5,false)</f>
        <v>70.63599</v>
      </c>
      <c r="N191" s="288"/>
      <c r="O191" s="288"/>
      <c r="P191" s="288"/>
      <c r="Q191" s="295" t="str">
        <f>IFERROR(__xludf.DUMMYFUNCTION("IFERROR(
  INDEX(
    FILTER(
      IMPORTRANGE(""1kOrIKZmJfNUkgOVP3sI9BPjaaPA0_a4636oymQxTXg8"",""Form Responses 1!N:N""),
      TRIM(IMPORTRANGE(""1kOrIKZmJfNUkgOVP3sI9BPjaaPA0_a4636oymQxTXg8"",""Form Responses 1!F:F""))=TRIM($B191)
    ),
    1
  ),
  "&amp;"""Not Found""
)
"),"https://drive.google.com/open?id=1tEP_sdGphpbmGbcwcffkvFI0cndiRUyU")</f>
        <v>https://drive.google.com/open?id=1tEP_sdGphpbmGbcwcffkvFI0cndiRUyU</v>
      </c>
      <c r="R191" s="295" t="str">
        <f>IFERROR(__xludf.DUMMYFUNCTION("IFERROR(
  INDEX(
    FILTER(
      IMPORTRANGE(""1kOrIKZmJfNUkgOVP3sI9BPjaaPA0_a4636oymQxTXg8"",""Form Responses 1!M:M""),
      TRIM(IMPORTRANGE(""1kOrIKZmJfNUkgOVP3sI9BPjaaPA0_a4636oymQxTXg8"",""Form Responses 1!F:F""))=TRIM($B191)
    ),
    1
  ),
  "&amp;"""Not Found""
)
"),"https://drive.google.com/open?id=19Y6HfENiNsjeCITqf0mUhdoOGoO7Htzk")</f>
        <v>https://drive.google.com/open?id=19Y6HfENiNsjeCITqf0mUhdoOGoO7Htzk</v>
      </c>
      <c r="S191" s="285"/>
      <c r="T191" s="290" t="str">
        <f>VLOOKUP($B191,'Master Tracker'!D:E,2,false)</f>
        <v>https://drive.google.com/open?id=1NVMtkmkhc6tSy4OFZyZl3axvssi0Ijiz</v>
      </c>
      <c r="U191" s="291" t="str">
        <f>VLOOKUP($B191,'Master Tracker'!$D:$T,4,FALSE)
</f>
        <v>https://drive.google.com/open?id=1SBMQpm1JiDJDhEVlD5PGWxpxLlsLHKnh</v>
      </c>
      <c r="V191" s="290" t="str">
        <f>VLOOKUP($B191,'Master Tracker'!$D:$T,5,false)</f>
        <v>https://drive.google.com/open?id=1Nm2q6gkGqPkkou3_KH9YVP0UUqbDck9T</v>
      </c>
      <c r="W191" s="291" t="str">
        <f>VLOOKUP($B191,'Master Tracker'!$D:$T,7,false)</f>
        <v>https://drive.google.com/open?id=1BtJ2mdUZFfX3V98ccdB1a5tFRNH21Lff</v>
      </c>
      <c r="X191" s="290" t="str">
        <f>VLOOKUP($B191,'Master Tracker'!$D:$T,8,false)</f>
        <v>https://drive.google.com/open?id=13h-kEiRQJQifLpRrKlwEArdAogBSzokm</v>
      </c>
      <c r="Y191" s="291" t="str">
        <f>VLOOKUP($B191,'Master Tracker'!$D:$T,10,false)</f>
        <v>https://drive.google.com/open?id=1zO5DiJX6faQLD_Gsh7hZBA3uHnQKUePP</v>
      </c>
      <c r="Z191" s="284" t="str">
        <f>VLOOKUP($B191,'Master Tracker'!$D:$T,11,false)</f>
        <v>Not Found</v>
      </c>
      <c r="AA191" s="292" t="str">
        <f>VLOOKUP($B191,'Master Tracker'!$D:$T,13,false)</f>
        <v>Not Found</v>
      </c>
      <c r="AB191" s="284" t="str">
        <f>VLOOKUP($B191,'Master Tracker'!$D:$T,14,false)</f>
        <v>Not Found</v>
      </c>
      <c r="AC191" s="292" t="str">
        <f>VLOOKUP($B191,'Master Tracker'!$D:$T,16,false)</f>
        <v>Not Found</v>
      </c>
      <c r="AD191" s="292" t="str">
        <f>VLOOKUP($B191,'Master Tracker'!$D:$T,17,false)</f>
        <v>Not Found</v>
      </c>
      <c r="AE191" s="292" t="str">
        <f>VLOOKUP($B191,'Master Tracker'!$D:$V,19,false)</f>
        <v>Not Found</v>
      </c>
      <c r="AF191" s="292">
        <f>IFERROR(__xludf.DUMMYFUNCTION("IFERROR(
  INDEX(
    FILTER(
      'Juma Recording forms'!$G:$G,
      TRIM('Juma Recording forms'!$F:$F) = TRIM($B191),
      'Juma Recording forms'!$AA:$AA = 1
    ),
    1
  ),
  ""Not Found""
)"),460.0)</f>
        <v>460</v>
      </c>
      <c r="AG191" s="292">
        <f>IFERROR(__xludf.DUMMYFUNCTION("IFERROR(
  INDEX(
    FILTER(
      'Juma Recording forms'!$G:$G,
      TRIM('Juma Recording forms'!$F:$F) = TRIM($B191),
      'Juma Recording forms'!$AA:$AA = 2
    ),
    1
  ),
  ""Not Found""
)"),415.0)</f>
        <v>415</v>
      </c>
      <c r="AH191" s="292">
        <f>IFERROR(__xludf.DUMMYFUNCTION("IFERROR(
  INDEX(
    FILTER(
      'Juma Recording forms'!$G:$G,
      TRIM('Juma Recording forms'!$F:$F) = TRIM($B191),
      'Juma Recording forms'!$AA:$AA = 3
    ),
    1
  ),
  ""Not Found""
)"),408.0)</f>
        <v>408</v>
      </c>
      <c r="AI191" s="292" t="str">
        <f>IFERROR(__xludf.DUMMYFUNCTION("IFERROR(
  INDEX(
    FILTER(
      'Juma Recording forms'!$G:$G,
      TRIM('Juma Recording forms'!$F:$F) = TRIM($B191),
      'Juma Recording forms'!$AA:$AA = 4
    ),
    1
  ),
  ""Not Found""
)"),"Not Found")</f>
        <v>Not Found</v>
      </c>
      <c r="AJ191" s="292" t="str">
        <f>IFERROR(__xludf.DUMMYFUNCTION("IFERROR(
  INDEX(
    FILTER(
      'Juma Recording forms'!$G:$G,
      TRIM('Juma Recording forms'!$F:$F) = TRIM($B191),
      'Juma Recording forms'!$AA:$AA = 5
    ),
    1
  ),
  ""Not Found""
)"),"Not Found")</f>
        <v>Not Found</v>
      </c>
      <c r="AK191" s="292" t="str">
        <f>IFERROR(__xludf.DUMMYFUNCTION("IFERROR(
  INDEX(
    FILTER(
      'Juma Recording forms'!$G:$G,
      TRIM('Juma Recording forms'!$F:$F) = TRIM($B191),
      'Juma Recording forms'!$AA:$AA = 6
    ),
    1
  ),
  ""Not Found""
)"),"Not Found")</f>
        <v>Not Found</v>
      </c>
      <c r="AL1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1!$E:$E"")=$B191) *
        (IMPORTRANGE(""https://docs.google.com/spreadsheets/d/161aHT6vVT3SLneTKD19N5qVWtnj_jIT8CSsOmUVKmaA/e"&amp;"dit?gid=1761053510"",
          ""Haris_Form responses 1!$AQ:$AQ"")=1)
      ),
      1
    ),
    ""0""
  ),
  ""Form not found""
)
"),"10")</f>
        <v>10</v>
      </c>
      <c r="AM1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1!$E:$E"")=$B191) *
        (IMPORTRANGE(""https://docs.google.com/spreadsheets/d/161aHT6vVT3SLneTKD19N5qVWtnj_jIT8CSsOmUVKmaA/e"&amp;"dit?gid=1761053510"",
          ""Haris_Form responses 1!$AQ:$AQ"")=2)
      ),
      1
    ),
    ""0""
  ),
  ""Form not found""
)
"),"9")</f>
        <v>9</v>
      </c>
      <c r="AN1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1!$E:$E"")=$B191) *
        (IMPORTRANGE(""https://docs.google.com/spreadsheets/d/161aHT6vVT3SLneTKD19N5qVWtnj_jIT8CSsOmUVKmaA/e"&amp;"dit?gid=1761053510"",
          ""Haris_Form responses 1!$AQ:$AQ"")=3)
      ),
      1
    ),
    ""0""
  ),
  ""Form not found""
)
"),"0")</f>
        <v>0</v>
      </c>
      <c r="AO1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1!$E:$E"")=$B191) *
        (IMPORTRANGE(""https://docs.google.com/spreadsheets/d/161aHT6vVT3SLneTKD19N5qVWtnj_jIT8CSsOmUVKmaA/e"&amp;"dit?gid=1761053510"",
          ""Haris_Form responses 1!$AQ:$AQ"")=4)
      ),
      1
    ),
    ""0""
  ),
  ""Form not found""
)
"),"Form not found")</f>
        <v>Form not found</v>
      </c>
      <c r="AP1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1!$E:$E"")=$B191) *
        (IMPORTRANGE(""https://docs.google.com/spreadsheets/d/161aHT6vVT3SLneTKD19N5qVWtnj_jIT8CSsOmUVKmaA/e"&amp;"dit?gid=1761053510"",
          ""Haris_Form responses 1!$AQ:$AQ"")=5)
      ),
      1
    ),
    ""0""
  ),
  ""Form not found""
)
"),"Form not found")</f>
        <v>Form not found</v>
      </c>
      <c r="AQ1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1!$E:$E"")=$B191) *
        (IMPORTRANGE(""https://docs.google.com/spreadsheets/d/161aHT6vVT3SLneTKD19N5qVWtnj_jIT8CSsOmUVKmaA/e"&amp;"dit?gid=1761053510"",
          ""Haris_Form responses 1!$AQ:$AQ"")=6)
      ),
      1
    ),
    ""0""
  ),
  ""Form not found""
)
"),"Form not found")</f>
        <v>Form not found</v>
      </c>
      <c r="AR1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1!$E:$E"")=$B191) *
        (IMPORTRANGE(""https://docs.google.com/spreadsheets/d/161aHT6vVT3SLneTKD19N5qVWtnj_jIT8CSsOmUVKmaA/e"&amp;"dit?gid=1761053510"",
          ""Haris_Form responses 1!$AQ:$AQ"")=1)
      ),
      1
    ),
    ""0""
  ),
  ""Form not found""
)
"),"10")</f>
        <v>10</v>
      </c>
      <c r="AS1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1!$E:$E"")=$B191) *
        (IMPORTRANGE(""https://docs.google.com/spreadsheets/d/161aHT6vVT3SLneTKD19N5qVWtnj_jIT8CSsOmUVKmaA/e"&amp;"dit?gid=1761053510"",
          ""Haris_Form responses 1!$AQ:$AQ"")=2)
      ),
      1
    ),
    ""0""
  ),
  ""Form not found""
)
"),"10")</f>
        <v>10</v>
      </c>
      <c r="AT1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1!$E:$E"")=$B191) *
        (IMPORTRANGE(""https://docs.google.com/spreadsheets/d/161aHT6vVT3SLneTKD19N5qVWtnj_jIT8CSsOmUVKmaA/e"&amp;"dit?gid=1761053510"",
          ""Haris_Form responses 1!$AQ:$AQ"")=3)
      ),
      1
    ),
    ""0""
  ),
  ""Form not found""
)
"),"0")</f>
        <v>0</v>
      </c>
      <c r="AU1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1!$E:$E"")=$B191) *
        (IMPORTRANGE(""https://docs.google.com/spreadsheets/d/161aHT6vVT3SLneTKD19N5qVWtnj_jIT8CSsOmUVKmaA/e"&amp;"dit?gid=1761053510"",
          ""Haris_Form responses 1!$AQ:$AQ"")=4)
      ),
      1
    ),
    ""0""
  ),
  ""Form not found""
)
"),"Form not found")</f>
        <v>Form not found</v>
      </c>
      <c r="AV1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1!$E:$E"")=$B191) *
        (IMPORTRANGE(""https://docs.google.com/spreadsheets/d/161aHT6vVT3SLneTKD19N5qVWtnj_jIT8CSsOmUVKmaA/e"&amp;"dit?gid=1761053510"",
          ""Haris_Form responses 1!$AQ:$AQ"")=5)
      ),
      1
    ),
    ""0""
  ),
  ""Form not found""
)
"),"Form not found")</f>
        <v>Form not found</v>
      </c>
      <c r="AW1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1!$E:$E"")=$B191) *
        (IMPORTRANGE(""https://docs.google.com/spreadsheets/d/161aHT6vVT3SLneTKD19N5qVWtnj_jIT8CSsOmUVKmaA/e"&amp;"dit?gid=1761053510"",
          ""Haris_Form responses 1!$AQ:$AQ"")=6)
      ),
      1
    ),
    ""0""
  ),
  ""Form not found""
)
"),"Form not found")</f>
        <v>Form not found</v>
      </c>
      <c r="AX1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1!$E:$E"")=$B191) *
        (IMPORTRANGE(""https://docs.google.com/spreadsheets/d/161aHT6vVT3SLneTKD19N5qVWtnj_jIT8CSsOmUVKmaA/e"&amp;"dit?gid=1761053510"",
          ""Haris_Form responses 1!$AQ:$AQ"")=1)
      ),
      1
    ),
    ""0""
  ),
  ""Form not found""
)
"),"0")</f>
        <v>0</v>
      </c>
      <c r="AY1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1!$E:$E"")=$B191) *
        (IMPORTRANGE(""https://docs.google.com/spreadsheets/d/161aHT6vVT3SLneTKD19N5qVWtnj_jIT8CSsOmUVKmaA/e"&amp;"dit?gid=1761053510"",
          ""Haris_Form responses 1!$AQ:$AQ"")=2)
      ),
      1
    ),
    ""0""
  ),
  ""Form not found""
)
"),"0")</f>
        <v>0</v>
      </c>
      <c r="AZ1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1!$E:$E"")=$B191) *
        (IMPORTRANGE(""https://docs.google.com/spreadsheets/d/161aHT6vVT3SLneTKD19N5qVWtnj_jIT8CSsOmUVKmaA/e"&amp;"dit?gid=1761053510"",
          ""Haris_Form responses 1!$AQ:$AQ"")=3)
      ),
      1
    ),
    ""0""
  ),
  ""Form not found""
)
"),"0")</f>
        <v>0</v>
      </c>
      <c r="BA1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1!$E:$E"")=$B191) *
        (IMPORTRANGE(""https://docs.google.com/spreadsheets/d/161aHT6vVT3SLneTKD19N5qVWtnj_jIT8CSsOmUVKmaA/e"&amp;"dit?gid=1761053510"",
          ""Haris_Form responses 1!$AQ:$AQ"")=4)
      ),
      1
    ),
    ""0""
  ),
  ""Form not found""
)
"),"Form not found")</f>
        <v>Form not found</v>
      </c>
      <c r="BB1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1!$E:$E"")=$B191) *
        (IMPORTRANGE(""https://docs.google.com/spreadsheets/d/161aHT6vVT3SLneTKD19N5qVWtnj_jIT8CSsOmUVKmaA/e"&amp;"dit?gid=1761053510"",
          ""Haris_Form responses 1!$AQ:$AQ"")=5)
      ),
      1
    ),
    ""0""
  ),
  ""Form not found""
)
"),"Form not found")</f>
        <v>Form not found</v>
      </c>
      <c r="BC1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1!$E:$E"")=$B191) *
        (IMPORTRANGE(""https://docs.google.com/spreadsheets/d/161aHT6vVT3SLneTKD19N5qVWtnj_jIT8CSsOmUVKmaA/e"&amp;"dit?gid=1761053510"",
          ""Haris_Form responses 1!$AQ:$AQ"")=6)
      ),
      1
    ),
    ""0""
  ),
  ""Form not found""
)
"),"Form not found")</f>
        <v>Form not found</v>
      </c>
      <c r="BD191" s="293"/>
    </row>
    <row r="192">
      <c r="A192" s="283" t="str">
        <f>IFERROR(__xludf.DUMMYFUNCTION("VLOOKUP($B192,IMPORTRANGE(""https://docs.google.com/spreadsheets/d/1VNXDITjs75AcgdBSW27oL1VZH31udDprJSsBcE5xlp4/edit?gid=1551188038#gid=1551188038"", ""Sheet9!$B:$E""),2,false)"),"DG Khan")</f>
        <v>DG Khan</v>
      </c>
      <c r="B192" s="283" t="s">
        <v>4633</v>
      </c>
      <c r="C192" s="284" t="str">
        <f>IFERROR(__xludf.DUMMYFUNCTION("VLOOKUP(TRIM($B192), IMPORTRANGE(""https://docs.google.com/spreadsheets/d/1aSOrU4PTpuBZqfitKaH1Rfww6-YOiNCKoBpPl8XBHaw/edit?gid=0#gid=0"", ""sheet3!$B:$C""), 2, FALSE)
"),"Jamia Masjid Darbar Malah Quaid Shah Dera Ghazi Khan")</f>
        <v>Jamia Masjid Darbar Malah Quaid Shah Dera Ghazi Khan</v>
      </c>
      <c r="D192" s="284" t="str">
        <f>IFERROR(__xludf.DUMMYFUNCTION("IFERROR(
  INDEX(
    FILTER(
      IMPORTRANGE(""1aSOrU4PTpuBZqfitKaH1Rfww6-YOiNCKoBpPl8XBHaw/edit?gid=0#gid=0"",""Sheet1!G:G""),
      IMPORTRANGE(""1aSOrU4PTpuBZqfitKaH1Rfww6-YOiNCKoBpPl8XBHaw/edit?gid=0#gid=0"",""Sheet1!C:C"")=$B192
    ),
    1
  ),
"&amp;"  ""Not Found""
)"),"Community Religious No Info Share")</f>
        <v>Community Religious No Info Share</v>
      </c>
      <c r="E192" s="284" t="str">
        <f>VLOOKUP(B192,'Juma Recording forms'!A:E,5,false)</f>
        <v>Jamia Masjid Darbar Mula Qaid Shah DGKhan </v>
      </c>
      <c r="F192" s="284" t="str">
        <f>IFERROR(__xludf.DUMMYFUNCTION("IFERROR(
  INDEX(
    FILTER(
      IMPORTRANGE(""1Cxrhp3-_-HS7v9uuqQliiIfrmMP4VaFoDNDWyUFy2J8/edit?gid=0#gid=0"",""Sheet1!Q:Q""),
      IMPORTRANGE(""1Cxrhp3-_-HS7v9uuqQliiIfrmMP4VaFoDNDWyUFy2J8/edit?gid=0#gid=0"",""Sheet1!K:K"")=$B192
    ),
    1
  ),
"&amp;"  ""Not Found""
)"),"Muhammad Umar Farooqi")</f>
        <v>Muhammad Umar Farooqi</v>
      </c>
      <c r="G192" s="284">
        <v>1955.0</v>
      </c>
      <c r="H192" s="284" t="s">
        <v>4870</v>
      </c>
      <c r="I192" s="285" t="s">
        <v>197</v>
      </c>
      <c r="J192" s="286">
        <v>2.0</v>
      </c>
      <c r="K192" s="287" t="str">
        <f>VLOOKUP($B192,'Mosque Locations'!$A:$E,3,FALSE)
</f>
        <v>https://maps.google.com/?q=30.0626594,70.6434638</v>
      </c>
      <c r="L192" s="286">
        <f>VLOOKUP($B192,'Mosque Locations'!$A:$E,4,FALSE)
</f>
        <v>30.06266</v>
      </c>
      <c r="M192" s="286">
        <f>VLOOKUP($B192,'Mosque Locations'!$A:$E,5,false)</f>
        <v>70.64346</v>
      </c>
      <c r="N192" s="288"/>
      <c r="O192" s="288"/>
      <c r="P192" s="288"/>
      <c r="Q192" s="295" t="str">
        <f>IFERROR(__xludf.DUMMYFUNCTION("IFERROR(
  INDEX(
    FILTER(
      IMPORTRANGE(""1kOrIKZmJfNUkgOVP3sI9BPjaaPA0_a4636oymQxTXg8"",""Form Responses 1!N:N""),
      TRIM(IMPORTRANGE(""1kOrIKZmJfNUkgOVP3sI9BPjaaPA0_a4636oymQxTXg8"",""Form Responses 1!F:F""))=TRIM($B192)
    ),
    1
  ),
  "&amp;"""Not Found""
)
"),"https://drive.google.com/file/d/1YCz3yP1ZkczZqdlpQQKMo5ecUWxzepob/view")</f>
        <v>https://drive.google.com/file/d/1YCz3yP1ZkczZqdlpQQKMo5ecUWxzepob/view</v>
      </c>
      <c r="R192" s="289" t="str">
        <f>IFERROR(__xludf.DUMMYFUNCTION("IFERROR(
  INDEX(
    FILTER(
      IMPORTRANGE(""1kOrIKZmJfNUkgOVP3sI9BPjaaPA0_a4636oymQxTXg8"",""Form Responses 1!M:M""),
      TRIM(IMPORTRANGE(""1kOrIKZmJfNUkgOVP3sI9BPjaaPA0_a4636oymQxTXg8"",""Form Responses 1!F:F""))=TRIM($B192)
    ),
    1
  ),
  "&amp;"""Not Found""
)
"),"https://drive.google.com/file/d/1eOqoVuhAnzlXijNg8dTqY6BaH46ph6CB/view")</f>
        <v>https://drive.google.com/file/d/1eOqoVuhAnzlXijNg8dTqY6BaH46ph6CB/view</v>
      </c>
      <c r="S192" s="285"/>
      <c r="T192" s="290" t="str">
        <f>VLOOKUP($B192,'Master Tracker'!D:E,2,false)</f>
        <v>https://drive.google.com/open?id=1MhSOXS9xMVJZKUPOoL44uToAaFM1A4RB</v>
      </c>
      <c r="U192" s="291" t="str">
        <f>VLOOKUP($B192,'Master Tracker'!$D:$T,4,FALSE)
</f>
        <v>https://drive.google.com/open?id=1e9V_Z4OHO6Bcohq1oqPquNiQXIcdcl0v</v>
      </c>
      <c r="V192" s="290" t="str">
        <f>VLOOKUP($B192,'Master Tracker'!$D:$T,5,false)</f>
        <v>https://drive.google.com/open?id=1DWT7E2f0B4cxejwO2t48p5CIDtNyOO1L</v>
      </c>
      <c r="W192" s="291" t="str">
        <f>VLOOKUP($B192,'Master Tracker'!$D:$T,7,false)</f>
        <v>https://drive.google.com/open?id=1bfV8UucM0Tgqj7W9jQ91m8ICrs9Ed32q</v>
      </c>
      <c r="X192" s="290" t="str">
        <f>VLOOKUP($B192,'Master Tracker'!$D:$T,8,false)</f>
        <v>https://drive.google.com/open?id=13mT83aVBzscmWOOEdW8vqtc5bw1FOhn9</v>
      </c>
      <c r="Y192" s="291" t="str">
        <f>VLOOKUP($B192,'Master Tracker'!$D:$T,10,false)</f>
        <v>https://drive.google.com/open?id=16DYJXbsPWCTRiuggfdi2gSAbdcFEKVag</v>
      </c>
      <c r="Z192" s="284" t="str">
        <f>VLOOKUP($B192,'Master Tracker'!$D:$T,11,false)</f>
        <v>Not Found</v>
      </c>
      <c r="AA192" s="292" t="str">
        <f>VLOOKUP($B192,'Master Tracker'!$D:$T,13,false)</f>
        <v>Not Found</v>
      </c>
      <c r="AB192" s="284" t="str">
        <f>VLOOKUP($B192,'Master Tracker'!$D:$T,14,false)</f>
        <v>Not Found</v>
      </c>
      <c r="AC192" s="292" t="str">
        <f>VLOOKUP($B192,'Master Tracker'!$D:$T,16,false)</f>
        <v>Not Found</v>
      </c>
      <c r="AD192" s="292" t="str">
        <f>VLOOKUP($B192,'Master Tracker'!$D:$T,17,false)</f>
        <v>Not Found</v>
      </c>
      <c r="AE192" s="292" t="str">
        <f>VLOOKUP($B192,'Master Tracker'!$D:$V,19,false)</f>
        <v>Not Found</v>
      </c>
      <c r="AF192" s="292">
        <f>IFERROR(__xludf.DUMMYFUNCTION("IFERROR(
  INDEX(
    FILTER(
      'Juma Recording forms'!$G:$G,
      TRIM('Juma Recording forms'!$F:$F) = TRIM($B192),
      'Juma Recording forms'!$AA:$AA = 1
    ),
    1
  ),
  ""Not Found""
)"),98.0)</f>
        <v>98</v>
      </c>
      <c r="AG192" s="292">
        <f>IFERROR(__xludf.DUMMYFUNCTION("IFERROR(
  INDEX(
    FILTER(
      'Juma Recording forms'!$G:$G,
      TRIM('Juma Recording forms'!$F:$F) = TRIM($B192),
      'Juma Recording forms'!$AA:$AA = 2
    ),
    1
  ),
  ""Not Found""
)"),92.0)</f>
        <v>92</v>
      </c>
      <c r="AH192" s="292">
        <f>IFERROR(__xludf.DUMMYFUNCTION("IFERROR(
  INDEX(
    FILTER(
      'Juma Recording forms'!$G:$G,
      TRIM('Juma Recording forms'!$F:$F) = TRIM($B192),
      'Juma Recording forms'!$AA:$AA = 3
    ),
    1
  ),
  ""Not Found""
)"),87.0)</f>
        <v>87</v>
      </c>
      <c r="AI192" s="292" t="str">
        <f>IFERROR(__xludf.DUMMYFUNCTION("IFERROR(
  INDEX(
    FILTER(
      'Juma Recording forms'!$G:$G,
      TRIM('Juma Recording forms'!$F:$F) = TRIM($B192),
      'Juma Recording forms'!$AA:$AA = 4
    ),
    1
  ),
  ""Not Found""
)"),"Not Found")</f>
        <v>Not Found</v>
      </c>
      <c r="AJ192" s="292" t="str">
        <f>IFERROR(__xludf.DUMMYFUNCTION("IFERROR(
  INDEX(
    FILTER(
      'Juma Recording forms'!$G:$G,
      TRIM('Juma Recording forms'!$F:$F) = TRIM($B192),
      'Juma Recording forms'!$AA:$AA = 5
    ),
    1
  ),
  ""Not Found""
)"),"Not Found")</f>
        <v>Not Found</v>
      </c>
      <c r="AK192" s="292" t="str">
        <f>IFERROR(__xludf.DUMMYFUNCTION("IFERROR(
  INDEX(
    FILTER(
      'Juma Recording forms'!$G:$G,
      TRIM('Juma Recording forms'!$F:$F) = TRIM($B192),
      'Juma Recording forms'!$AA:$AA = 6
    ),
    1
  ),
  ""Not Found""
)"),"Not Found")</f>
        <v>Not Found</v>
      </c>
      <c r="AL1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1!$E:$E"")=$B192) *
        (IMPORTRANGE(""https://docs.google.com/spreadsheets/d/161aHT6vVT3SLneTKD19N5qVWtnj_jIT8CSsOmUVKmaA/e"&amp;"dit?gid=1761053510"",
          ""Haris_Form responses 1!$AQ:$AQ"")=1)
      ),
      1
    ),
    ""0""
  ),
  ""Form not found""
)
"),"9")</f>
        <v>9</v>
      </c>
      <c r="AM1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1!$E:$E"")=$B192) *
        (IMPORTRANGE(""https://docs.google.com/spreadsheets/d/161aHT6vVT3SLneTKD19N5qVWtnj_jIT8CSsOmUVKmaA/e"&amp;"dit?gid=1761053510"",
          ""Haris_Form responses 1!$AQ:$AQ"")=2)
      ),
      1
    ),
    ""0""
  ),
  ""Form not found""
)
"),"10")</f>
        <v>10</v>
      </c>
      <c r="AN1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1!$E:$E"")=$B192) *
        (IMPORTRANGE(""https://docs.google.com/spreadsheets/d/161aHT6vVT3SLneTKD19N5qVWtnj_jIT8CSsOmUVKmaA/e"&amp;"dit?gid=1761053510"",
          ""Haris_Form responses 1!$AQ:$AQ"")=3)
      ),
      1
    ),
    ""0""
  ),
  ""Form not found""
)
"),"0")</f>
        <v>0</v>
      </c>
      <c r="AO1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1!$E:$E"")=$B192) *
        (IMPORTRANGE(""https://docs.google.com/spreadsheets/d/161aHT6vVT3SLneTKD19N5qVWtnj_jIT8CSsOmUVKmaA/e"&amp;"dit?gid=1761053510"",
          ""Haris_Form responses 1!$AQ:$AQ"")=4)
      ),
      1
    ),
    ""0""
  ),
  ""Form not found""
)
"),"Form not found")</f>
        <v>Form not found</v>
      </c>
      <c r="AP1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1!$E:$E"")=$B192) *
        (IMPORTRANGE(""https://docs.google.com/spreadsheets/d/161aHT6vVT3SLneTKD19N5qVWtnj_jIT8CSsOmUVKmaA/e"&amp;"dit?gid=1761053510"",
          ""Haris_Form responses 1!$AQ:$AQ"")=5)
      ),
      1
    ),
    ""0""
  ),
  ""Form not found""
)
"),"Form not found")</f>
        <v>Form not found</v>
      </c>
      <c r="AQ1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1!$E:$E"")=$B192) *
        (IMPORTRANGE(""https://docs.google.com/spreadsheets/d/161aHT6vVT3SLneTKD19N5qVWtnj_jIT8CSsOmUVKmaA/e"&amp;"dit?gid=1761053510"",
          ""Haris_Form responses 1!$AQ:$AQ"")=6)
      ),
      1
    ),
    ""0""
  ),
  ""Form not found""
)
"),"Form not found")</f>
        <v>Form not found</v>
      </c>
      <c r="AR1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1!$E:$E"")=$B192) *
        (IMPORTRANGE(""https://docs.google.com/spreadsheets/d/161aHT6vVT3SLneTKD19N5qVWtnj_jIT8CSsOmUVKmaA/e"&amp;"dit?gid=1761053510"",
          ""Haris_Form responses 1!$AQ:$AQ"")=1)
      ),
      1
    ),
    ""0""
  ),
  ""Form not found""
)
"),"9")</f>
        <v>9</v>
      </c>
      <c r="AS1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1!$E:$E"")=$B192) *
        (IMPORTRANGE(""https://docs.google.com/spreadsheets/d/161aHT6vVT3SLneTKD19N5qVWtnj_jIT8CSsOmUVKmaA/e"&amp;"dit?gid=1761053510"",
          ""Haris_Form responses 1!$AQ:$AQ"")=2)
      ),
      1
    ),
    ""0""
  ),
  ""Form not found""
)
"),"10")</f>
        <v>10</v>
      </c>
      <c r="AT1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1!$E:$E"")=$B192) *
        (IMPORTRANGE(""https://docs.google.com/spreadsheets/d/161aHT6vVT3SLneTKD19N5qVWtnj_jIT8CSsOmUVKmaA/e"&amp;"dit?gid=1761053510"",
          ""Haris_Form responses 1!$AQ:$AQ"")=3)
      ),
      1
    ),
    ""0""
  ),
  ""Form not found""
)
"),"0")</f>
        <v>0</v>
      </c>
      <c r="AU1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1!$E:$E"")=$B192) *
        (IMPORTRANGE(""https://docs.google.com/spreadsheets/d/161aHT6vVT3SLneTKD19N5qVWtnj_jIT8CSsOmUVKmaA/e"&amp;"dit?gid=1761053510"",
          ""Haris_Form responses 1!$AQ:$AQ"")=4)
      ),
      1
    ),
    ""0""
  ),
  ""Form not found""
)
"),"Form not found")</f>
        <v>Form not found</v>
      </c>
      <c r="AV1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1!$E:$E"")=$B192) *
        (IMPORTRANGE(""https://docs.google.com/spreadsheets/d/161aHT6vVT3SLneTKD19N5qVWtnj_jIT8CSsOmUVKmaA/e"&amp;"dit?gid=1761053510"",
          ""Haris_Form responses 1!$AQ:$AQ"")=5)
      ),
      1
    ),
    ""0""
  ),
  ""Form not found""
)
"),"Form not found")</f>
        <v>Form not found</v>
      </c>
      <c r="AW1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1!$E:$E"")=$B192) *
        (IMPORTRANGE(""https://docs.google.com/spreadsheets/d/161aHT6vVT3SLneTKD19N5qVWtnj_jIT8CSsOmUVKmaA/e"&amp;"dit?gid=1761053510"",
          ""Haris_Form responses 1!$AQ:$AQ"")=6)
      ),
      1
    ),
    ""0""
  ),
  ""Form not found""
)
"),"Form not found")</f>
        <v>Form not found</v>
      </c>
      <c r="AX1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1!$E:$E"")=$B192) *
        (IMPORTRANGE(""https://docs.google.com/spreadsheets/d/161aHT6vVT3SLneTKD19N5qVWtnj_jIT8CSsOmUVKmaA/e"&amp;"dit?gid=1761053510"",
          ""Haris_Form responses 1!$AQ:$AQ"")=1)
      ),
      1
    ),
    ""0""
  ),
  ""Form not found""
)
"),"0")</f>
        <v>0</v>
      </c>
      <c r="AY1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1!$E:$E"")=$B192) *
        (IMPORTRANGE(""https://docs.google.com/spreadsheets/d/161aHT6vVT3SLneTKD19N5qVWtnj_jIT8CSsOmUVKmaA/e"&amp;"dit?gid=1761053510"",
          ""Haris_Form responses 1!$AQ:$AQ"")=2)
      ),
      1
    ),
    ""0""
  ),
  ""Form not found""
)
"),"0")</f>
        <v>0</v>
      </c>
      <c r="AZ1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1!$E:$E"")=$B192) *
        (IMPORTRANGE(""https://docs.google.com/spreadsheets/d/161aHT6vVT3SLneTKD19N5qVWtnj_jIT8CSsOmUVKmaA/e"&amp;"dit?gid=1761053510"",
          ""Haris_Form responses 1!$AQ:$AQ"")=3)
      ),
      1
    ),
    ""0""
  ),
  ""Form not found""
)
"),"0")</f>
        <v>0</v>
      </c>
      <c r="BA1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1!$E:$E"")=$B192) *
        (IMPORTRANGE(""https://docs.google.com/spreadsheets/d/161aHT6vVT3SLneTKD19N5qVWtnj_jIT8CSsOmUVKmaA/e"&amp;"dit?gid=1761053510"",
          ""Haris_Form responses 1!$AQ:$AQ"")=4)
      ),
      1
    ),
    ""0""
  ),
  ""Form not found""
)
"),"Form not found")</f>
        <v>Form not found</v>
      </c>
      <c r="BB1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1!$E:$E"")=$B192) *
        (IMPORTRANGE(""https://docs.google.com/spreadsheets/d/161aHT6vVT3SLneTKD19N5qVWtnj_jIT8CSsOmUVKmaA/e"&amp;"dit?gid=1761053510"",
          ""Haris_Form responses 1!$AQ:$AQ"")=5)
      ),
      1
    ),
    ""0""
  ),
  ""Form not found""
)
"),"Form not found")</f>
        <v>Form not found</v>
      </c>
      <c r="BC1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1!$E:$E"")=$B192) *
        (IMPORTRANGE(""https://docs.google.com/spreadsheets/d/161aHT6vVT3SLneTKD19N5qVWtnj_jIT8CSsOmUVKmaA/e"&amp;"dit?gid=1761053510"",
          ""Haris_Form responses 1!$AQ:$AQ"")=6)
      ),
      1
    ),
    ""0""
  ),
  ""Form not found""
)
"),"Form not found")</f>
        <v>Form not found</v>
      </c>
      <c r="BD192" s="293"/>
    </row>
    <row r="193">
      <c r="A193" s="283" t="str">
        <f>IFERROR(__xludf.DUMMYFUNCTION("VLOOKUP($B193,IMPORTRANGE(""https://docs.google.com/spreadsheets/d/1VNXDITjs75AcgdBSW27oL1VZH31udDprJSsBcE5xlp4/edit?gid=1551188038#gid=1551188038"", ""Sheet9!$B:$E""),2,false)"),"Bahawalpure")</f>
        <v>Bahawalpure</v>
      </c>
      <c r="B193" s="283" t="s">
        <v>4634</v>
      </c>
      <c r="C193" s="284" t="str">
        <f>IFERROR(__xludf.DUMMYFUNCTION("VLOOKUP(TRIM($B193), IMPORTRANGE(""https://docs.google.com/spreadsheets/d/1aSOrU4PTpuBZqfitKaH1Rfww6-YOiNCKoBpPl8XBHaw/edit?gid=0#gid=0"", ""sheet3!$B:$C""), 2, FALSE)
"),"Jamia Masjid Sadiq Akbar Machi Hatta Bhawalpur")</f>
        <v>Jamia Masjid Sadiq Akbar Machi Hatta Bhawalpur</v>
      </c>
      <c r="D193" s="284" t="str">
        <f>IFERROR(__xludf.DUMMYFUNCTION("IFERROR(
  INDEX(
    FILTER(
      IMPORTRANGE(""1aSOrU4PTpuBZqfitKaH1Rfww6-YOiNCKoBpPl8XBHaw/edit?gid=0#gid=0"",""Sheet1!G:G""),
      IMPORTRANGE(""1aSOrU4PTpuBZqfitKaH1Rfww6-YOiNCKoBpPl8XBHaw/edit?gid=0#gid=0"",""Sheet1!C:C"")=$B193
    ),
    1
  ),
"&amp;"  ""Not Found""
)"),"Community Secular No Info Share")</f>
        <v>Community Secular No Info Share</v>
      </c>
      <c r="E193" s="284" t="str">
        <f>VLOOKUP(B193,'Juma Recording forms'!A:E,5,false)</f>
        <v>Jamia masjid Sadiq Akbar machi hatta bwp</v>
      </c>
      <c r="F193" s="284" t="str">
        <f>IFERROR(__xludf.DUMMYFUNCTION("IFERROR(
  INDEX(
    FILTER(
      IMPORTRANGE(""1Cxrhp3-_-HS7v9uuqQliiIfrmMP4VaFoDNDWyUFy2J8/edit?gid=0#gid=0"",""Sheet1!Q:Q""),
      IMPORTRANGE(""1Cxrhp3-_-HS7v9uuqQliiIfrmMP4VaFoDNDWyUFy2J8/edit?gid=0#gid=0"",""Sheet1!K:K"")=$B193
    ),
    1
  ),
"&amp;"  ""Not Found""
)"),"Qari Muhammad Iqbal")</f>
        <v>Qari Muhammad Iqbal</v>
      </c>
      <c r="G193" s="284">
        <v>2000.0</v>
      </c>
      <c r="H193" s="284"/>
      <c r="I193" s="285" t="s">
        <v>197</v>
      </c>
      <c r="J193" s="286">
        <v>2.0</v>
      </c>
      <c r="K193" s="287" t="str">
        <f>VLOOKUP($B193,'Mosque Locations'!$A:$E,3,FALSE)
</f>
        <v>https://www.google.com/maps?q=29.3960231,71.6824246</v>
      </c>
      <c r="L193" s="286">
        <f>VLOOKUP($B193,'Mosque Locations'!$A:$E,4,FALSE)
</f>
        <v>29.39602</v>
      </c>
      <c r="M193" s="286">
        <f>VLOOKUP($B193,'Mosque Locations'!$A:$E,5,false)</f>
        <v>71.68242</v>
      </c>
      <c r="N193" s="288"/>
      <c r="O193" s="288"/>
      <c r="P193" s="288"/>
      <c r="Q193" s="290" t="str">
        <f>IFERROR(__xludf.DUMMYFUNCTION("IFERROR(
  INDEX(
    FILTER(
      IMPORTRANGE(""1kOrIKZmJfNUkgOVP3sI9BPjaaPA0_a4636oymQxTXg8"",""Form Responses 1!N:N""),
      TRIM(IMPORTRANGE(""1kOrIKZmJfNUkgOVP3sI9BPjaaPA0_a4636oymQxTXg8"",""Form Responses 1!F:F""))=TRIM($B193)
    ),
    1
  ),
  "&amp;"""Not Found""
)
"),"https://drive.google.com/open?id=1K-0kn871G1YX5y_EHkg0pBHg6z17EyIV")</f>
        <v>https://drive.google.com/open?id=1K-0kn871G1YX5y_EHkg0pBHg6z17EyIV</v>
      </c>
      <c r="R193" s="295" t="str">
        <f>IFERROR(__xludf.DUMMYFUNCTION("IFERROR(
  INDEX(
    FILTER(
      IMPORTRANGE(""1kOrIKZmJfNUkgOVP3sI9BPjaaPA0_a4636oymQxTXg8"",""Form Responses 1!M:M""),
      TRIM(IMPORTRANGE(""1kOrIKZmJfNUkgOVP3sI9BPjaaPA0_a4636oymQxTXg8"",""Form Responses 1!F:F""))=TRIM($B193)
    ),
    1
  ),
  "&amp;"""Not Found""
)
"),"https://drive.google.com/open?id=1MXosIbyVnnEsTbWCgaGpMw6IpRcAvkV1")</f>
        <v>https://drive.google.com/open?id=1MXosIbyVnnEsTbWCgaGpMw6IpRcAvkV1</v>
      </c>
      <c r="S193" s="285"/>
      <c r="T193" s="290" t="str">
        <f>VLOOKUP($B193,'Master Tracker'!D:E,2,false)</f>
        <v>https://drive.google.com/open?id=13R6DvWb-LTvYDSCBYNTOgSvd3IIuGe8k</v>
      </c>
      <c r="U193" s="291" t="str">
        <f>VLOOKUP($B193,'Master Tracker'!$D:$T,4,FALSE)
</f>
        <v>https://drive.google.com/open?id=1rLe5eNVPg5FiBHxAl3k6kLnEFm5dp4uJ_2jxxvwh29Q</v>
      </c>
      <c r="V193" s="290" t="str">
        <f>VLOOKUP($B193,'Master Tracker'!$D:$T,5,false)</f>
        <v>https://drive.google.com/open?id=1FKnqxjgtv0HxEMRZ9maDZz77tQRuVAoP</v>
      </c>
      <c r="W193" s="291" t="str">
        <f>VLOOKUP($B193,'Master Tracker'!$D:$T,7,false)</f>
        <v>https://drive.google.com/open?id=1XCpE2Vn9ayvYxy9C8oV2LsVdpYRsUOl2LNL4f9aIg1A</v>
      </c>
      <c r="X193" s="290" t="str">
        <f>VLOOKUP($B193,'Master Tracker'!$D:$T,8,false)</f>
        <v>https://drive.google.com/open?id=1nBBFRwIg-ouO6ybRL7ON7eairPwPhhB_</v>
      </c>
      <c r="Y193" s="291" t="str">
        <f>VLOOKUP($B193,'Master Tracker'!$D:$T,10,false)</f>
        <v>https://drive.google.com/open?id=1Vaiawl-hr5JiMsqmIMPN_4UZle5Yd_mXnAp6C3EBGGg</v>
      </c>
      <c r="Z193" s="284" t="str">
        <f>VLOOKUP($B193,'Master Tracker'!$D:$T,11,false)</f>
        <v>Not Found</v>
      </c>
      <c r="AA193" s="292" t="str">
        <f>VLOOKUP($B193,'Master Tracker'!$D:$T,13,false)</f>
        <v>Not Found</v>
      </c>
      <c r="AB193" s="284" t="str">
        <f>VLOOKUP($B193,'Master Tracker'!$D:$T,14,false)</f>
        <v>Not Found</v>
      </c>
      <c r="AC193" s="292" t="str">
        <f>VLOOKUP($B193,'Master Tracker'!$D:$T,16,false)</f>
        <v>Not Found</v>
      </c>
      <c r="AD193" s="292" t="str">
        <f>VLOOKUP($B193,'Master Tracker'!$D:$T,17,false)</f>
        <v>Not Found</v>
      </c>
      <c r="AE193" s="292" t="str">
        <f>VLOOKUP($B193,'Master Tracker'!$D:$V,19,false)</f>
        <v>Not Found</v>
      </c>
      <c r="AF193" s="292">
        <f>IFERROR(__xludf.DUMMYFUNCTION("IFERROR(
  INDEX(
    FILTER(
      'Juma Recording forms'!$G:$G,
      TRIM('Juma Recording forms'!$F:$F) = TRIM($B193),
      'Juma Recording forms'!$AA:$AA = 1
    ),
    1
  ),
  ""Not Found""
)"),395.0)</f>
        <v>395</v>
      </c>
      <c r="AG193" s="292">
        <f>IFERROR(__xludf.DUMMYFUNCTION("IFERROR(
  INDEX(
    FILTER(
      'Juma Recording forms'!$G:$G,
      TRIM('Juma Recording forms'!$F:$F) = TRIM($B193),
      'Juma Recording forms'!$AA:$AA = 2
    ),
    1
  ),
  ""Not Found""
)"),446.0)</f>
        <v>446</v>
      </c>
      <c r="AH193" s="292">
        <f>IFERROR(__xludf.DUMMYFUNCTION("IFERROR(
  INDEX(
    FILTER(
      'Juma Recording forms'!$G:$G,
      TRIM('Juma Recording forms'!$F:$F) = TRIM($B193),
      'Juma Recording forms'!$AA:$AA = 3
    ),
    1
  ),
  ""Not Found""
)"),433.0)</f>
        <v>433</v>
      </c>
      <c r="AI193" s="292" t="str">
        <f>IFERROR(__xludf.DUMMYFUNCTION("IFERROR(
  INDEX(
    FILTER(
      'Juma Recording forms'!$G:$G,
      TRIM('Juma Recording forms'!$F:$F) = TRIM($B193),
      'Juma Recording forms'!$AA:$AA = 4
    ),
    1
  ),
  ""Not Found""
)"),"Not Found")</f>
        <v>Not Found</v>
      </c>
      <c r="AJ193" s="292" t="str">
        <f>IFERROR(__xludf.DUMMYFUNCTION("IFERROR(
  INDEX(
    FILTER(
      'Juma Recording forms'!$G:$G,
      TRIM('Juma Recording forms'!$F:$F) = TRIM($B193),
      'Juma Recording forms'!$AA:$AA = 5
    ),
    1
  ),
  ""Not Found""
)"),"Not Found")</f>
        <v>Not Found</v>
      </c>
      <c r="AK193" s="292" t="str">
        <f>IFERROR(__xludf.DUMMYFUNCTION("IFERROR(
  INDEX(
    FILTER(
      'Juma Recording forms'!$G:$G,
      TRIM('Juma Recording forms'!$F:$F) = TRIM($B193),
      'Juma Recording forms'!$AA:$AA = 6
    ),
    1
  ),
  ""Not Found""
)"),"Not Found")</f>
        <v>Not Found</v>
      </c>
      <c r="AL1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1!$E:$E"")=$B193) *
        (IMPORTRANGE(""https://docs.google.com/spreadsheets/d/161aHT6vVT3SLneTKD19N5qVWtnj_jIT8CSsOmUVKmaA/e"&amp;"dit?gid=1761053510"",
          ""Haris_Form responses 1!$AQ:$AQ"")=1)
      ),
      1
    ),
    ""0""
  ),
  ""Form not found""
)
"),"10")</f>
        <v>10</v>
      </c>
      <c r="AM1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1!$E:$E"")=$B193) *
        (IMPORTRANGE(""https://docs.google.com/spreadsheets/d/161aHT6vVT3SLneTKD19N5qVWtnj_jIT8CSsOmUVKmaA/e"&amp;"dit?gid=1761053510"",
          ""Haris_Form responses 1!$AQ:$AQ"")=2)
      ),
      1
    ),
    ""0""
  ),
  ""Form not found""
)
"),"10")</f>
        <v>10</v>
      </c>
      <c r="AN1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1!$E:$E"")=$B193) *
        (IMPORTRANGE(""https://docs.google.com/spreadsheets/d/161aHT6vVT3SLneTKD19N5qVWtnj_jIT8CSsOmUVKmaA/e"&amp;"dit?gid=1761053510"",
          ""Haris_Form responses 1!$AQ:$AQ"")=3)
      ),
      1
    ),
    ""0""
  ),
  ""Form not found""
)
"),"6")</f>
        <v>6</v>
      </c>
      <c r="AO1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1!$E:$E"")=$B193) *
        (IMPORTRANGE(""https://docs.google.com/spreadsheets/d/161aHT6vVT3SLneTKD19N5qVWtnj_jIT8CSsOmUVKmaA/e"&amp;"dit?gid=1761053510"",
          ""Haris_Form responses 1!$AQ:$AQ"")=4)
      ),
      1
    ),
    ""0""
  ),
  ""Form not found""
)
"),"Form not found")</f>
        <v>Form not found</v>
      </c>
      <c r="AP1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1!$E:$E"")=$B193) *
        (IMPORTRANGE(""https://docs.google.com/spreadsheets/d/161aHT6vVT3SLneTKD19N5qVWtnj_jIT8CSsOmUVKmaA/e"&amp;"dit?gid=1761053510"",
          ""Haris_Form responses 1!$AQ:$AQ"")=5)
      ),
      1
    ),
    ""0""
  ),
  ""Form not found""
)
"),"Form not found")</f>
        <v>Form not found</v>
      </c>
      <c r="AQ1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1!$E:$E"")=$B193) *
        (IMPORTRANGE(""https://docs.google.com/spreadsheets/d/161aHT6vVT3SLneTKD19N5qVWtnj_jIT8CSsOmUVKmaA/e"&amp;"dit?gid=1761053510"",
          ""Haris_Form responses 1!$AQ:$AQ"")=6)
      ),
      1
    ),
    ""0""
  ),
  ""Form not found""
)
"),"Form not found")</f>
        <v>Form not found</v>
      </c>
      <c r="AR1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1!$E:$E"")=$B193) *
        (IMPORTRANGE(""https://docs.google.com/spreadsheets/d/161aHT6vVT3SLneTKD19N5qVWtnj_jIT8CSsOmUVKmaA/e"&amp;"dit?gid=1761053510"",
          ""Haris_Form responses 1!$AQ:$AQ"")=1)
      ),
      1
    ),
    ""0""
  ),
  ""Form not found""
)
"),"10")</f>
        <v>10</v>
      </c>
      <c r="AS1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1!$E:$E"")=$B193) *
        (IMPORTRANGE(""https://docs.google.com/spreadsheets/d/161aHT6vVT3SLneTKD19N5qVWtnj_jIT8CSsOmUVKmaA/e"&amp;"dit?gid=1761053510"",
          ""Haris_Form responses 1!$AQ:$AQ"")=2)
      ),
      1
    ),
    ""0""
  ),
  ""Form not found""
)
"),"10")</f>
        <v>10</v>
      </c>
      <c r="AT1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1!$E:$E"")=$B193) *
        (IMPORTRANGE(""https://docs.google.com/spreadsheets/d/161aHT6vVT3SLneTKD19N5qVWtnj_jIT8CSsOmUVKmaA/e"&amp;"dit?gid=1761053510"",
          ""Haris_Form responses 1!$AQ:$AQ"")=3)
      ),
      1
    ),
    ""0""
  ),
  ""Form not found""
)
"),"6")</f>
        <v>6</v>
      </c>
      <c r="AU1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1!$E:$E"")=$B193) *
        (IMPORTRANGE(""https://docs.google.com/spreadsheets/d/161aHT6vVT3SLneTKD19N5qVWtnj_jIT8CSsOmUVKmaA/e"&amp;"dit?gid=1761053510"",
          ""Haris_Form responses 1!$AQ:$AQ"")=4)
      ),
      1
    ),
    ""0""
  ),
  ""Form not found""
)
"),"Form not found")</f>
        <v>Form not found</v>
      </c>
      <c r="AV1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1!$E:$E"")=$B193) *
        (IMPORTRANGE(""https://docs.google.com/spreadsheets/d/161aHT6vVT3SLneTKD19N5qVWtnj_jIT8CSsOmUVKmaA/e"&amp;"dit?gid=1761053510"",
          ""Haris_Form responses 1!$AQ:$AQ"")=5)
      ),
      1
    ),
    ""0""
  ),
  ""Form not found""
)
"),"Form not found")</f>
        <v>Form not found</v>
      </c>
      <c r="AW1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1!$E:$E"")=$B193) *
        (IMPORTRANGE(""https://docs.google.com/spreadsheets/d/161aHT6vVT3SLneTKD19N5qVWtnj_jIT8CSsOmUVKmaA/e"&amp;"dit?gid=1761053510"",
          ""Haris_Form responses 1!$AQ:$AQ"")=6)
      ),
      1
    ),
    ""0""
  ),
  ""Form not found""
)
"),"Form not found")</f>
        <v>Form not found</v>
      </c>
      <c r="AX1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1!$E:$E"")=$B193) *
        (IMPORTRANGE(""https://docs.google.com/spreadsheets/d/161aHT6vVT3SLneTKD19N5qVWtnj_jIT8CSsOmUVKmaA/e"&amp;"dit?gid=1761053510"",
          ""Haris_Form responses 1!$AQ:$AQ"")=1)
      ),
      1
    ),
    ""0""
  ),
  ""Form not found""
)
"),"0")</f>
        <v>0</v>
      </c>
      <c r="AY1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1!$E:$E"")=$B193) *
        (IMPORTRANGE(""https://docs.google.com/spreadsheets/d/161aHT6vVT3SLneTKD19N5qVWtnj_jIT8CSsOmUVKmaA/e"&amp;"dit?gid=1761053510"",
          ""Haris_Form responses 1!$AQ:$AQ"")=2)
      ),
      1
    ),
    ""0""
  ),
  ""Form not found""
)
"),"0")</f>
        <v>0</v>
      </c>
      <c r="AZ1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1!$E:$E"")=$B193) *
        (IMPORTRANGE(""https://docs.google.com/spreadsheets/d/161aHT6vVT3SLneTKD19N5qVWtnj_jIT8CSsOmUVKmaA/e"&amp;"dit?gid=1761053510"",
          ""Haris_Form responses 1!$AQ:$AQ"")=3)
      ),
      1
    ),
    ""0""
  ),
  ""Form not found""
)
"),"0")</f>
        <v>0</v>
      </c>
      <c r="BA1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1!$E:$E"")=$B193) *
        (IMPORTRANGE(""https://docs.google.com/spreadsheets/d/161aHT6vVT3SLneTKD19N5qVWtnj_jIT8CSsOmUVKmaA/e"&amp;"dit?gid=1761053510"",
          ""Haris_Form responses 1!$AQ:$AQ"")=4)
      ),
      1
    ),
    ""0""
  ),
  ""Form not found""
)
"),"Form not found")</f>
        <v>Form not found</v>
      </c>
      <c r="BB1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1!$E:$E"")=$B193) *
        (IMPORTRANGE(""https://docs.google.com/spreadsheets/d/161aHT6vVT3SLneTKD19N5qVWtnj_jIT8CSsOmUVKmaA/e"&amp;"dit?gid=1761053510"",
          ""Haris_Form responses 1!$AQ:$AQ"")=5)
      ),
      1
    ),
    ""0""
  ),
  ""Form not found""
)
"),"Form not found")</f>
        <v>Form not found</v>
      </c>
      <c r="BC1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1!$E:$E"")=$B193) *
        (IMPORTRANGE(""https://docs.google.com/spreadsheets/d/161aHT6vVT3SLneTKD19N5qVWtnj_jIT8CSsOmUVKmaA/e"&amp;"dit?gid=1761053510"",
          ""Haris_Form responses 1!$AQ:$AQ"")=6)
      ),
      1
    ),
    ""0""
  ),
  ""Form not found""
)
"),"Form not found")</f>
        <v>Form not found</v>
      </c>
      <c r="BD193" s="293"/>
    </row>
    <row r="194">
      <c r="A194" s="283" t="str">
        <f>IFERROR(__xludf.DUMMYFUNCTION("VLOOKUP($B194,IMPORTRANGE(""https://docs.google.com/spreadsheets/d/1VNXDITjs75AcgdBSW27oL1VZH31udDprJSsBcE5xlp4/edit?gid=1551188038#gid=1551188038"", ""Sheet9!$B:$E""),2,false)"),"Bahawalpure")</f>
        <v>Bahawalpure</v>
      </c>
      <c r="B194" s="283" t="s">
        <v>4635</v>
      </c>
      <c r="C194" s="284" t="str">
        <f>IFERROR(__xludf.DUMMYFUNCTION("VLOOKUP(TRIM($B194), IMPORTRANGE(""https://docs.google.com/spreadsheets/d/1aSOrU4PTpuBZqfitKaH1Rfww6-YOiNCKoBpPl8XBHaw/edit?gid=0#gid=0"", ""sheet3!$B:$C""), 2, FALSE)
"),"Jamia Masjid Aqsa Bhawalpur")</f>
        <v>Jamia Masjid Aqsa Bhawalpur</v>
      </c>
      <c r="D194" s="284" t="str">
        <f>IFERROR(__xludf.DUMMYFUNCTION("IFERROR(
  INDEX(
    FILTER(
      IMPORTRANGE(""1aSOrU4PTpuBZqfitKaH1Rfww6-YOiNCKoBpPl8XBHaw/edit?gid=0#gid=0"",""Sheet1!G:G""),
      IMPORTRANGE(""1aSOrU4PTpuBZqfitKaH1Rfww6-YOiNCKoBpPl8XBHaw/edit?gid=0#gid=0"",""Sheet1!C:C"")=$B194
    ),
    1
  ),
"&amp;"  ""Not Found""
)"),"Control")</f>
        <v>Control</v>
      </c>
      <c r="E194" s="284" t="str">
        <f>VLOOKUP(B194,'Juma Recording forms'!A:E,5,false)</f>
        <v>aqsa</v>
      </c>
      <c r="F194" s="284" t="str">
        <f>IFERROR(__xludf.DUMMYFUNCTION("IFERROR(
  INDEX(
    FILTER(
      IMPORTRANGE(""1Cxrhp3-_-HS7v9uuqQliiIfrmMP4VaFoDNDWyUFy2J8/edit?gid=0#gid=0"",""Sheet1!Q:Q""),
      IMPORTRANGE(""1Cxrhp3-_-HS7v9uuqQliiIfrmMP4VaFoDNDWyUFy2J8/edit?gid=0#gid=0"",""Sheet1!K:K"")=$B194
    ),
    1
  ),
"&amp;"  ""Not Found""
)"),"Riaz Awaisi")</f>
        <v>Riaz Awaisi</v>
      </c>
      <c r="G194" s="284">
        <v>1935.0</v>
      </c>
      <c r="H194" s="284"/>
      <c r="I194" s="285" t="s">
        <v>197</v>
      </c>
      <c r="J194" s="286">
        <v>1.0</v>
      </c>
      <c r="K194" s="287" t="str">
        <f>VLOOKUP($B194,'Mosque Locations'!$A:$E,3,FALSE)
</f>
        <v>https://www.google.com/maps?q=29.3953179,71.674018</v>
      </c>
      <c r="L194" s="286">
        <f>VLOOKUP($B194,'Mosque Locations'!$A:$E,4,FALSE)
</f>
        <v>29.39532</v>
      </c>
      <c r="M194" s="286">
        <f>VLOOKUP($B194,'Mosque Locations'!$A:$E,5,false)</f>
        <v>71.67402</v>
      </c>
      <c r="N194" s="288"/>
      <c r="O194" s="288"/>
      <c r="P194" s="288"/>
      <c r="Q194" s="290" t="str">
        <f>IFERROR(__xludf.DUMMYFUNCTION("IFERROR(
  INDEX(
    FILTER(
      IMPORTRANGE(""1kOrIKZmJfNUkgOVP3sI9BPjaaPA0_a4636oymQxTXg8"",""Form Responses 1!N:N""),
      TRIM(IMPORTRANGE(""1kOrIKZmJfNUkgOVP3sI9BPjaaPA0_a4636oymQxTXg8"",""Form Responses 1!F:F""))=TRIM($B194)
    ),
    1
  ),
  "&amp;"""Not Found""
)
"),"https://drive.google.com/open?id=1jyN9Rjvp7VEJ1-uEPKaniDYfjzzI-eT-")</f>
        <v>https://drive.google.com/open?id=1jyN9Rjvp7VEJ1-uEPKaniDYfjzzI-eT-</v>
      </c>
      <c r="R194" s="290" t="str">
        <f>IFERROR(__xludf.DUMMYFUNCTION("IFERROR(
  INDEX(
    FILTER(
      IMPORTRANGE(""1kOrIKZmJfNUkgOVP3sI9BPjaaPA0_a4636oymQxTXg8"",""Form Responses 1!M:M""),
      TRIM(IMPORTRANGE(""1kOrIKZmJfNUkgOVP3sI9BPjaaPA0_a4636oymQxTXg8"",""Form Responses 1!F:F""))=TRIM($B194)
    ),
    1
  ),
  "&amp;"""Not Found""
)
"),"https://drive.google.com/open?id=1XNXzC9lN9JXVvHw0bHessfatvy49B7Ib")</f>
        <v>https://drive.google.com/open?id=1XNXzC9lN9JXVvHw0bHessfatvy49B7Ib</v>
      </c>
      <c r="S194" s="285"/>
      <c r="T194" s="290" t="str">
        <f>VLOOKUP($B194,'Master Tracker'!D:E,2,false)</f>
        <v>https://drive.google.com/open?id=1tLiEQxG8HWowT-cLfJZ59X_kYkWVhJrq</v>
      </c>
      <c r="U194" s="291" t="str">
        <f>VLOOKUP($B194,'Master Tracker'!$D:$T,4,FALSE)
</f>
        <v>https://drive.google.com/open?id=1RjtofLx2WwR_UHLEv5LX4Jt65lNoI3sx</v>
      </c>
      <c r="V194" s="284" t="str">
        <f>VLOOKUP($B194,'Master Tracker'!$D:$T,5,false)</f>
        <v>Not Found</v>
      </c>
      <c r="W194" s="292" t="str">
        <f>VLOOKUP($B194,'Master Tracker'!$D:$T,7,false)</f>
        <v>Not Found</v>
      </c>
      <c r="X194" s="290" t="str">
        <f>VLOOKUP($B194,'Master Tracker'!$D:$T,8,false)</f>
        <v>https://drive.google.com/open?id=1e53YyqXMkm-m6jZN6-Q7ShkxNdyJuYxq</v>
      </c>
      <c r="Y194" s="291" t="str">
        <f>VLOOKUP($B194,'Master Tracker'!$D:$T,10,false)</f>
        <v>https://drive.google.com/open?id=11RRBTgs48WdRi_zYxtuwCHY5zPSD4iZT</v>
      </c>
      <c r="Z194" s="284" t="str">
        <f>VLOOKUP($B194,'Master Tracker'!$D:$T,11,false)</f>
        <v>Not Found</v>
      </c>
      <c r="AA194" s="292" t="str">
        <f>VLOOKUP($B194,'Master Tracker'!$D:$T,13,false)</f>
        <v>Not Found</v>
      </c>
      <c r="AB194" s="284" t="str">
        <f>VLOOKUP($B194,'Master Tracker'!$D:$T,14,false)</f>
        <v>Not Found</v>
      </c>
      <c r="AC194" s="292" t="str">
        <f>VLOOKUP($B194,'Master Tracker'!$D:$T,16,false)</f>
        <v>Not Found</v>
      </c>
      <c r="AD194" s="292" t="str">
        <f>VLOOKUP($B194,'Master Tracker'!$D:$T,17,false)</f>
        <v>Not Found</v>
      </c>
      <c r="AE194" s="292" t="str">
        <f>VLOOKUP($B194,'Master Tracker'!$D:$V,19,false)</f>
        <v>Not Found</v>
      </c>
      <c r="AF194" s="292">
        <f>IFERROR(__xludf.DUMMYFUNCTION("IFERROR(
  INDEX(
    FILTER(
      'Juma Recording forms'!$G:$G,
      TRIM('Juma Recording forms'!$F:$F) = TRIM($B194),
      'Juma Recording forms'!$AA:$AA = 1
    ),
    1
  ),
  ""Not Found""
)"),153.0)</f>
        <v>153</v>
      </c>
      <c r="AG194" s="292" t="str">
        <f>IFERROR(__xludf.DUMMYFUNCTION("IFERROR(
  INDEX(
    FILTER(
      'Juma Recording forms'!$G:$G,
      TRIM('Juma Recording forms'!$F:$F) = TRIM($B194),
      'Juma Recording forms'!$AA:$AA = 2
    ),
    1
  ),
  ""Not Found""
)"),"Not Found")</f>
        <v>Not Found</v>
      </c>
      <c r="AH194" s="292">
        <f>IFERROR(__xludf.DUMMYFUNCTION("IFERROR(
  INDEX(
    FILTER(
      'Juma Recording forms'!$G:$G,
      TRIM('Juma Recording forms'!$F:$F) = TRIM($B194),
      'Juma Recording forms'!$AA:$AA = 3
    ),
    1
  ),
  ""Not Found""
)"),143.0)</f>
        <v>143</v>
      </c>
      <c r="AI194" s="292" t="str">
        <f>IFERROR(__xludf.DUMMYFUNCTION("IFERROR(
  INDEX(
    FILTER(
      'Juma Recording forms'!$G:$G,
      TRIM('Juma Recording forms'!$F:$F) = TRIM($B194),
      'Juma Recording forms'!$AA:$AA = 4
    ),
    1
  ),
  ""Not Found""
)"),"Not Found")</f>
        <v>Not Found</v>
      </c>
      <c r="AJ194" s="292" t="str">
        <f>IFERROR(__xludf.DUMMYFUNCTION("IFERROR(
  INDEX(
    FILTER(
      'Juma Recording forms'!$G:$G,
      TRIM('Juma Recording forms'!$F:$F) = TRIM($B194),
      'Juma Recording forms'!$AA:$AA = 5
    ),
    1
  ),
  ""Not Found""
)"),"Not Found")</f>
        <v>Not Found</v>
      </c>
      <c r="AK194" s="292"/>
      <c r="AL1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1!$E:$E"")=$B194) *
        (IMPORTRANGE(""https://docs.google.com/spreadsheets/d/161aHT6vVT3SLneTKD19N5qVWtnj_jIT8CSsOmUVKmaA/e"&amp;"dit?gid=1761053510"",
          ""Haris_Form responses 1!$AQ:$AQ"")=1)
      ),
      1
    ),
    ""0""
  ),
  ""Form not found""
)
"),"0")</f>
        <v>0</v>
      </c>
      <c r="AM1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1!$E:$E"")=$B194) *
        (IMPORTRANGE(""https://docs.google.com/spreadsheets/d/161aHT6vVT3SLneTKD19N5qVWtnj_jIT8CSsOmUVKmaA/e"&amp;"dit?gid=1761053510"",
          ""Haris_Form responses 1!$AQ:$AQ"")=2)
      ),
      1
    ),
    ""0""
  ),
  ""Form not found""
)
"),"Form not found")</f>
        <v>Form not found</v>
      </c>
      <c r="AN1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1!$E:$E"")=$B194) *
        (IMPORTRANGE(""https://docs.google.com/spreadsheets/d/161aHT6vVT3SLneTKD19N5qVWtnj_jIT8CSsOmUVKmaA/e"&amp;"dit?gid=1761053510"",
          ""Haris_Form responses 1!$AQ:$AQ"")=3)
      ),
      1
    ),
    ""0""
  ),
  ""Form not found""
)
"),"0")</f>
        <v>0</v>
      </c>
      <c r="AO1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1!$E:$E"")=$B194) *
        (IMPORTRANGE(""https://docs.google.com/spreadsheets/d/161aHT6vVT3SLneTKD19N5qVWtnj_jIT8CSsOmUVKmaA/e"&amp;"dit?gid=1761053510"",
          ""Haris_Form responses 1!$AQ:$AQ"")=4)
      ),
      1
    ),
    ""0""
  ),
  ""Form not found""
)
"),"Form not found")</f>
        <v>Form not found</v>
      </c>
      <c r="AP1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1!$E:$E"")=$B194) *
        (IMPORTRANGE(""https://docs.google.com/spreadsheets/d/161aHT6vVT3SLneTKD19N5qVWtnj_jIT8CSsOmUVKmaA/e"&amp;"dit?gid=1761053510"",
          ""Haris_Form responses 1!$AQ:$AQ"")=5)
      ),
      1
    ),
    ""0""
  ),
  ""Form not found""
)
"),"Form not found")</f>
        <v>Form not found</v>
      </c>
      <c r="AQ1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1!$E:$E"")=$B194) *
        (IMPORTRANGE(""https://docs.google.com/spreadsheets/d/161aHT6vVT3SLneTKD19N5qVWtnj_jIT8CSsOmUVKmaA/e"&amp;"dit?gid=1761053510"",
          ""Haris_Form responses 1!$AQ:$AQ"")=6)
      ),
      1
    ),
    ""0""
  ),
  ""Form not found""
)
"),"Form not found")</f>
        <v>Form not found</v>
      </c>
      <c r="AR1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1!$E:$E"")=$B194) *
        (IMPORTRANGE(""https://docs.google.com/spreadsheets/d/161aHT6vVT3SLneTKD19N5qVWtnj_jIT8CSsOmUVKmaA/e"&amp;"dit?gid=1761053510"",
          ""Haris_Form responses 1!$AQ:$AQ"")=1)
      ),
      1
    ),
    ""0""
  ),
  ""Form not found""
)
"),"0")</f>
        <v>0</v>
      </c>
      <c r="AS1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1!$E:$E"")=$B194) *
        (IMPORTRANGE(""https://docs.google.com/spreadsheets/d/161aHT6vVT3SLneTKD19N5qVWtnj_jIT8CSsOmUVKmaA/e"&amp;"dit?gid=1761053510"",
          ""Haris_Form responses 1!$AQ:$AQ"")=2)
      ),
      1
    ),
    ""0""
  ),
  ""Form not found""
)
"),"Form not found")</f>
        <v>Form not found</v>
      </c>
      <c r="AT1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1!$E:$E"")=$B194) *
        (IMPORTRANGE(""https://docs.google.com/spreadsheets/d/161aHT6vVT3SLneTKD19N5qVWtnj_jIT8CSsOmUVKmaA/e"&amp;"dit?gid=1761053510"",
          ""Haris_Form responses 1!$AQ:$AQ"")=3)
      ),
      1
    ),
    ""0""
  ),
  ""Form not found""
)
"),"0")</f>
        <v>0</v>
      </c>
      <c r="AU1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1!$E:$E"")=$B194) *
        (IMPORTRANGE(""https://docs.google.com/spreadsheets/d/161aHT6vVT3SLneTKD19N5qVWtnj_jIT8CSsOmUVKmaA/e"&amp;"dit?gid=1761053510"",
          ""Haris_Form responses 1!$AQ:$AQ"")=4)
      ),
      1
    ),
    ""0""
  ),
  ""Form not found""
)
"),"Form not found")</f>
        <v>Form not found</v>
      </c>
      <c r="AV1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1!$E:$E"")=$B194) *
        (IMPORTRANGE(""https://docs.google.com/spreadsheets/d/161aHT6vVT3SLneTKD19N5qVWtnj_jIT8CSsOmUVKmaA/e"&amp;"dit?gid=1761053510"",
          ""Haris_Form responses 1!$AQ:$AQ"")=5)
      ),
      1
    ),
    ""0""
  ),
  ""Form not found""
)
"),"Form not found")</f>
        <v>Form not found</v>
      </c>
      <c r="AW1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1!$E:$E"")=$B194) *
        (IMPORTRANGE(""https://docs.google.com/spreadsheets/d/161aHT6vVT3SLneTKD19N5qVWtnj_jIT8CSsOmUVKmaA/e"&amp;"dit?gid=1761053510"",
          ""Haris_Form responses 1!$AQ:$AQ"")=6)
      ),
      1
    ),
    ""0""
  ),
  ""Form not found""
)
"),"Form not found")</f>
        <v>Form not found</v>
      </c>
      <c r="AX1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1!$E:$E"")=$B194) *
        (IMPORTRANGE(""https://docs.google.com/spreadsheets/d/161aHT6vVT3SLneTKD19N5qVWtnj_jIT8CSsOmUVKmaA/e"&amp;"dit?gid=1761053510"",
          ""Haris_Form responses 1!$AQ:$AQ"")=1)
      ),
      1
    ),
    ""0""
  ),
  ""Form not found""
)
"),"0")</f>
        <v>0</v>
      </c>
      <c r="AY1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1!$E:$E"")=$B194) *
        (IMPORTRANGE(""https://docs.google.com/spreadsheets/d/161aHT6vVT3SLneTKD19N5qVWtnj_jIT8CSsOmUVKmaA/e"&amp;"dit?gid=1761053510"",
          ""Haris_Form responses 1!$AQ:$AQ"")=2)
      ),
      1
    ),
    ""0""
  ),
  ""Form not found""
)
"),"Form not found")</f>
        <v>Form not found</v>
      </c>
      <c r="AZ1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1!$E:$E"")=$B194) *
        (IMPORTRANGE(""https://docs.google.com/spreadsheets/d/161aHT6vVT3SLneTKD19N5qVWtnj_jIT8CSsOmUVKmaA/e"&amp;"dit?gid=1761053510"",
          ""Haris_Form responses 1!$AQ:$AQ"")=3)
      ),
      1
    ),
    ""0""
  ),
  ""Form not found""
)
"),"0")</f>
        <v>0</v>
      </c>
      <c r="BA1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1!$E:$E"")=$B194) *
        (IMPORTRANGE(""https://docs.google.com/spreadsheets/d/161aHT6vVT3SLneTKD19N5qVWtnj_jIT8CSsOmUVKmaA/e"&amp;"dit?gid=1761053510"",
          ""Haris_Form responses 1!$AQ:$AQ"")=4)
      ),
      1
    ),
    ""0""
  ),
  ""Form not found""
)
"),"Form not found")</f>
        <v>Form not found</v>
      </c>
      <c r="BB1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1!$E:$E"")=$B194) *
        (IMPORTRANGE(""https://docs.google.com/spreadsheets/d/161aHT6vVT3SLneTKD19N5qVWtnj_jIT8CSsOmUVKmaA/e"&amp;"dit?gid=1761053510"",
          ""Haris_Form responses 1!$AQ:$AQ"")=5)
      ),
      1
    ),
    ""0""
  ),
  ""Form not found""
)
"),"Form not found")</f>
        <v>Form not found</v>
      </c>
      <c r="BC1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1!$E:$E"")=$B194) *
        (IMPORTRANGE(""https://docs.google.com/spreadsheets/d/161aHT6vVT3SLneTKD19N5qVWtnj_jIT8CSsOmUVKmaA/e"&amp;"dit?gid=1761053510"",
          ""Haris_Form responses 1!$AQ:$AQ"")=6)
      ),
      1
    ),
    ""0""
  ),
  ""Form not found""
)
"),"Form not found")</f>
        <v>Form not found</v>
      </c>
      <c r="BD194" s="293"/>
    </row>
    <row r="195">
      <c r="A195" s="283" t="str">
        <f>IFERROR(__xludf.DUMMYFUNCTION("VLOOKUP($B195,IMPORTRANGE(""https://docs.google.com/spreadsheets/d/1VNXDITjs75AcgdBSW27oL1VZH31udDprJSsBcE5xlp4/edit?gid=1551188038#gid=1551188038"", ""Sheet9!$B:$E""),2,false)"),"Bahawalpure")</f>
        <v>Bahawalpure</v>
      </c>
      <c r="B195" s="283" t="s">
        <v>4636</v>
      </c>
      <c r="C195" s="284" t="str">
        <f>IFERROR(__xludf.DUMMYFUNCTION("VLOOKUP(TRIM($B195), IMPORTRANGE(""https://docs.google.com/spreadsheets/d/1aSOrU4PTpuBZqfitKaH1Rfww6-YOiNCKoBpPl8XBHaw/edit?gid=0#gid=0"", ""sheet3!$B:$C""), 2, FALSE)
"),"Jamia Masjid Shah Rangila Hasalpur")</f>
        <v>Jamia Masjid Shah Rangila Hasalpur</v>
      </c>
      <c r="D195" s="284" t="str">
        <f>IFERROR(__xludf.DUMMYFUNCTION("IFERROR(
  INDEX(
    FILTER(
      IMPORTRANGE(""1aSOrU4PTpuBZqfitKaH1Rfww6-YOiNCKoBpPl8XBHaw/edit?gid=0#gid=0"",""Sheet1!G:G""),
      IMPORTRANGE(""1aSOrU4PTpuBZqfitKaH1Rfww6-YOiNCKoBpPl8XBHaw/edit?gid=0#gid=0"",""Sheet1!C:C"")=$B195
    ),
    1
  ),
"&amp;"  ""Not Found""
)"),"Control")</f>
        <v>Control</v>
      </c>
      <c r="E195" s="284" t="str">
        <f>VLOOKUP(B195,'Juma Recording forms'!A:E,5,false)</f>
        <v>Jamia Masjid Rangila Sha darbar Hasilpure </v>
      </c>
      <c r="F195" s="284" t="str">
        <f>IFERROR(__xludf.DUMMYFUNCTION("IFERROR(
  INDEX(
    FILTER(
      IMPORTRANGE(""1Cxrhp3-_-HS7v9uuqQliiIfrmMP4VaFoDNDWyUFy2J8/edit?gid=0#gid=0"",""Sheet1!Q:Q""),
      IMPORTRANGE(""1Cxrhp3-_-HS7v9uuqQliiIfrmMP4VaFoDNDWyUFy2J8/edit?gid=0#gid=0"",""Sheet1!K:K"")=$B195
    ),
    1
  ),
"&amp;"  ""Not Found""
)"),"Not Found")</f>
        <v>Not Found</v>
      </c>
      <c r="G195" s="292">
        <v>1980.0</v>
      </c>
      <c r="H195" s="284"/>
      <c r="I195" s="285" t="s">
        <v>197</v>
      </c>
      <c r="J195" s="286">
        <v>2.0</v>
      </c>
      <c r="K195" s="287" t="str">
        <f>VLOOKUP($B195,'Mosque Locations'!$A:$E,3,FALSE)
</f>
        <v>https://maps.google.com/maps?q=29.6894137%2C72.5347834&amp;z=17&amp;hl=en</v>
      </c>
      <c r="L195" s="286">
        <f>VLOOKUP($B195,'Mosque Locations'!$A:$E,4,FALSE)
</f>
        <v>29.68941</v>
      </c>
      <c r="M195" s="286">
        <f>VLOOKUP($B195,'Mosque Locations'!$A:$E,5,false)</f>
        <v>72.53478</v>
      </c>
      <c r="N195" s="288"/>
      <c r="O195" s="288"/>
      <c r="P195" s="288"/>
      <c r="Q195" s="290" t="str">
        <f>IFERROR(__xludf.DUMMYFUNCTION("IFERROR(
  INDEX(
    FILTER(
      IMPORTRANGE(""1kOrIKZmJfNUkgOVP3sI9BPjaaPA0_a4636oymQxTXg8"",""Form Responses 1!N:N""),
      TRIM(IMPORTRANGE(""1kOrIKZmJfNUkgOVP3sI9BPjaaPA0_a4636oymQxTXg8"",""Form Responses 1!F:F""))=TRIM($B195)
    ),
    1
  ),
  "&amp;"""Not Found""
)
"),"https://drive.google.com/open?id=1exYbkN4wL0PosRZlcdRS-l-MlooASRsz")</f>
        <v>https://drive.google.com/open?id=1exYbkN4wL0PosRZlcdRS-l-MlooASRsz</v>
      </c>
      <c r="R195" s="290" t="str">
        <f>IFERROR(__xludf.DUMMYFUNCTION("IFERROR(
  INDEX(
    FILTER(
      IMPORTRANGE(""1kOrIKZmJfNUkgOVP3sI9BPjaaPA0_a4636oymQxTXg8"",""Form Responses 1!M:M""),
      TRIM(IMPORTRANGE(""1kOrIKZmJfNUkgOVP3sI9BPjaaPA0_a4636oymQxTXg8"",""Form Responses 1!F:F""))=TRIM($B195)
    ),
    1
  ),
  "&amp;"""Not Found""
)
"),"https://drive.google.com/open?id=1gBMZcxyoCb86bepbAprkLBPRX3xALMVb")</f>
        <v>https://drive.google.com/open?id=1gBMZcxyoCb86bepbAprkLBPRX3xALMVb</v>
      </c>
      <c r="S195" s="283"/>
      <c r="T195" s="284" t="str">
        <f>VLOOKUP($B195,'Master Tracker'!D:E,2,false)</f>
        <v>Not Found</v>
      </c>
      <c r="U195" s="292" t="str">
        <f>VLOOKUP($B195,'Master Tracker'!$D:$T,4,FALSE)
</f>
        <v>Not Found</v>
      </c>
      <c r="V195" s="290" t="str">
        <f>VLOOKUP($B195,'Master Tracker'!$D:$T,5,false)</f>
        <v>https://drive.google.com/open?id=1acH0lSOcwK58Q1LWxcNhIXX-7FO3Qd8Z</v>
      </c>
      <c r="W195" s="291" t="str">
        <f>VLOOKUP($B195,'Master Tracker'!$D:$T,7,false)</f>
        <v>https://drive.google.com/open?id=1-lpdttx0CTYopEq-eYFdm1ko-iKHxQ7nzDNKpLZnn5A</v>
      </c>
      <c r="X195" s="290" t="str">
        <f>VLOOKUP($B195,'Master Tracker'!$D:$T,8,false)</f>
        <v>https://drive.google.com/open?id=1fisdnowTzl-9nz_HTYXB_JM8zFfzvP7t</v>
      </c>
      <c r="Y195" s="291" t="str">
        <f>VLOOKUP($B195,'Master Tracker'!$D:$T,10,false)</f>
        <v>https://drive.google.com/open?id=17W37b1zEu5H0Akrg1vBCQfB1QgsQPWaBrXx6n999gyM</v>
      </c>
      <c r="Z195" s="284" t="str">
        <f>VLOOKUP($B195,'Master Tracker'!$D:$T,11,false)</f>
        <v>Not Found</v>
      </c>
      <c r="AA195" s="292" t="str">
        <f>VLOOKUP($B195,'Master Tracker'!$D:$T,13,false)</f>
        <v>Not Found</v>
      </c>
      <c r="AB195" s="284" t="str">
        <f>VLOOKUP($B195,'Master Tracker'!$D:$T,14,false)</f>
        <v>Not Found</v>
      </c>
      <c r="AC195" s="292" t="str">
        <f>VLOOKUP($B195,'Master Tracker'!$D:$T,16,false)</f>
        <v>Not Found</v>
      </c>
      <c r="AD195" s="292" t="str">
        <f>VLOOKUP($B195,'Master Tracker'!$D:$T,17,false)</f>
        <v>Not Found</v>
      </c>
      <c r="AE195" s="292" t="str">
        <f>VLOOKUP($B195,'Master Tracker'!$D:$V,19,false)</f>
        <v>Not Found</v>
      </c>
      <c r="AF195" s="292" t="str">
        <f>IFERROR(__xludf.DUMMYFUNCTION("IFERROR(
  INDEX(
    FILTER(
      'Juma Recording forms'!$G:$G,
      TRIM('Juma Recording forms'!$F:$F) = TRIM($B195),
      'Juma Recording forms'!$AA:$AA = 1
    ),
    1
  ),
  ""Not Found""
)"),"Not Found")</f>
        <v>Not Found</v>
      </c>
      <c r="AG195" s="292">
        <f>IFERROR(__xludf.DUMMYFUNCTION("IFERROR(
  INDEX(
    FILTER(
      'Juma Recording forms'!$G:$G,
      TRIM('Juma Recording forms'!$F:$F) = TRIM($B195),
      'Juma Recording forms'!$AA:$AA = 2
    ),
    1
  ),
  ""Not Found""
)"),889.0)</f>
        <v>889</v>
      </c>
      <c r="AH195" s="292">
        <f>IFERROR(__xludf.DUMMYFUNCTION("IFERROR(
  INDEX(
    FILTER(
      'Juma Recording forms'!$G:$G,
      TRIM('Juma Recording forms'!$F:$F) = TRIM($B195),
      'Juma Recording forms'!$AA:$AA = 3
    ),
    1
  ),
  ""Not Found""
)"),945.0)</f>
        <v>945</v>
      </c>
      <c r="AI195" s="292" t="str">
        <f>IFERROR(__xludf.DUMMYFUNCTION("IFERROR(
  INDEX(
    FILTER(
      'Juma Recording forms'!$G:$G,
      TRIM('Juma Recording forms'!$F:$F) = TRIM($B195),
      'Juma Recording forms'!$AA:$AA = 4
    ),
    1
  ),
  ""Not Found""
)"),"Not Found")</f>
        <v>Not Found</v>
      </c>
      <c r="AJ195" s="292" t="str">
        <f>IFERROR(__xludf.DUMMYFUNCTION("IFERROR(
  INDEX(
    FILTER(
      'Juma Recording forms'!$G:$G,
      TRIM('Juma Recording forms'!$F:$F) = TRIM($B195),
      'Juma Recording forms'!$AA:$AA = 5
    ),
    1
  ),
  ""Not Found""
)"),"Not Found")</f>
        <v>Not Found</v>
      </c>
      <c r="AK195" s="292"/>
      <c r="AL1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1!$E:$E"")=$B195) *
        (IMPORTRANGE(""https://docs.google.com/spreadsheets/d/161aHT6vVT3SLneTKD19N5qVWtnj_jIT8CSsOmUVKmaA/e"&amp;"dit?gid=1761053510"",
          ""Haris_Form responses 1!$AQ:$AQ"")=1)
      ),
      1
    ),
    ""0""
  ),
  ""Form not found""
)
"),"Form not found")</f>
        <v>Form not found</v>
      </c>
      <c r="AM1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1!$E:$E"")=$B195) *
        (IMPORTRANGE(""https://docs.google.com/spreadsheets/d/161aHT6vVT3SLneTKD19N5qVWtnj_jIT8CSsOmUVKmaA/e"&amp;"dit?gid=1761053510"",
          ""Haris_Form responses 1!$AQ:$AQ"")=2)
      ),
      1
    ),
    ""0""
  ),
  ""Form not found""
)
"),"0")</f>
        <v>0</v>
      </c>
      <c r="AN1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1!$E:$E"")=$B195) *
        (IMPORTRANGE(""https://docs.google.com/spreadsheets/d/161aHT6vVT3SLneTKD19N5qVWtnj_jIT8CSsOmUVKmaA/e"&amp;"dit?gid=1761053510"",
          ""Haris_Form responses 1!$AQ:$AQ"")=3)
      ),
      1
    ),
    ""0""
  ),
  ""Form not found""
)
"),"0")</f>
        <v>0</v>
      </c>
      <c r="AO1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1!$E:$E"")=$B195) *
        (IMPORTRANGE(""https://docs.google.com/spreadsheets/d/161aHT6vVT3SLneTKD19N5qVWtnj_jIT8CSsOmUVKmaA/e"&amp;"dit?gid=1761053510"",
          ""Haris_Form responses 1!$AQ:$AQ"")=4)
      ),
      1
    ),
    ""0""
  ),
  ""Form not found""
)
"),"Form not found")</f>
        <v>Form not found</v>
      </c>
      <c r="AP1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1!$E:$E"")=$B195) *
        (IMPORTRANGE(""https://docs.google.com/spreadsheets/d/161aHT6vVT3SLneTKD19N5qVWtnj_jIT8CSsOmUVKmaA/e"&amp;"dit?gid=1761053510"",
          ""Haris_Form responses 1!$AQ:$AQ"")=5)
      ),
      1
    ),
    ""0""
  ),
  ""Form not found""
)
"),"Form not found")</f>
        <v>Form not found</v>
      </c>
      <c r="AQ1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1!$E:$E"")=$B195) *
        (IMPORTRANGE(""https://docs.google.com/spreadsheets/d/161aHT6vVT3SLneTKD19N5qVWtnj_jIT8CSsOmUVKmaA/e"&amp;"dit?gid=1761053510"",
          ""Haris_Form responses 1!$AQ:$AQ"")=6)
      ),
      1
    ),
    ""0""
  ),
  ""Form not found""
)
"),"Form not found")</f>
        <v>Form not found</v>
      </c>
      <c r="AR1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1!$E:$E"")=$B195) *
        (IMPORTRANGE(""https://docs.google.com/spreadsheets/d/161aHT6vVT3SLneTKD19N5qVWtnj_jIT8CSsOmUVKmaA/e"&amp;"dit?gid=1761053510"",
          ""Haris_Form responses 1!$AQ:$AQ"")=1)
      ),
      1
    ),
    ""0""
  ),
  ""Form not found""
)
"),"Form not found")</f>
        <v>Form not found</v>
      </c>
      <c r="AS1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1!$E:$E"")=$B195) *
        (IMPORTRANGE(""https://docs.google.com/spreadsheets/d/161aHT6vVT3SLneTKD19N5qVWtnj_jIT8CSsOmUVKmaA/e"&amp;"dit?gid=1761053510"",
          ""Haris_Form responses 1!$AQ:$AQ"")=2)
      ),
      1
    ),
    ""0""
  ),
  ""Form not found""
)
"),"0")</f>
        <v>0</v>
      </c>
      <c r="AT1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1!$E:$E"")=$B195) *
        (IMPORTRANGE(""https://docs.google.com/spreadsheets/d/161aHT6vVT3SLneTKD19N5qVWtnj_jIT8CSsOmUVKmaA/e"&amp;"dit?gid=1761053510"",
          ""Haris_Form responses 1!$AQ:$AQ"")=3)
      ),
      1
    ),
    ""0""
  ),
  ""Form not found""
)
"),"0")</f>
        <v>0</v>
      </c>
      <c r="AU1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1!$E:$E"")=$B195) *
        (IMPORTRANGE(""https://docs.google.com/spreadsheets/d/161aHT6vVT3SLneTKD19N5qVWtnj_jIT8CSsOmUVKmaA/e"&amp;"dit?gid=1761053510"",
          ""Haris_Form responses 1!$AQ:$AQ"")=4)
      ),
      1
    ),
    ""0""
  ),
  ""Form not found""
)
"),"Form not found")</f>
        <v>Form not found</v>
      </c>
      <c r="AV1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1!$E:$E"")=$B195) *
        (IMPORTRANGE(""https://docs.google.com/spreadsheets/d/161aHT6vVT3SLneTKD19N5qVWtnj_jIT8CSsOmUVKmaA/e"&amp;"dit?gid=1761053510"",
          ""Haris_Form responses 1!$AQ:$AQ"")=5)
      ),
      1
    ),
    ""0""
  ),
  ""Form not found""
)
"),"Form not found")</f>
        <v>Form not found</v>
      </c>
      <c r="AW1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1!$E:$E"")=$B195) *
        (IMPORTRANGE(""https://docs.google.com/spreadsheets/d/161aHT6vVT3SLneTKD19N5qVWtnj_jIT8CSsOmUVKmaA/e"&amp;"dit?gid=1761053510"",
          ""Haris_Form responses 1!$AQ:$AQ"")=6)
      ),
      1
    ),
    ""0""
  ),
  ""Form not found""
)
"),"Form not found")</f>
        <v>Form not found</v>
      </c>
      <c r="AX1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1!$E:$E"")=$B195) *
        (IMPORTRANGE(""https://docs.google.com/spreadsheets/d/161aHT6vVT3SLneTKD19N5qVWtnj_jIT8CSsOmUVKmaA/e"&amp;"dit?gid=1761053510"",
          ""Haris_Form responses 1!$AQ:$AQ"")=1)
      ),
      1
    ),
    ""0""
  ),
  ""Form not found""
)
"),"Form not found")</f>
        <v>Form not found</v>
      </c>
      <c r="AY1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1!$E:$E"")=$B195) *
        (IMPORTRANGE(""https://docs.google.com/spreadsheets/d/161aHT6vVT3SLneTKD19N5qVWtnj_jIT8CSsOmUVKmaA/e"&amp;"dit?gid=1761053510"",
          ""Haris_Form responses 1!$AQ:$AQ"")=2)
      ),
      1
    ),
    ""0""
  ),
  ""Form not found""
)
"),"0")</f>
        <v>0</v>
      </c>
      <c r="AZ1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1!$E:$E"")=$B195) *
        (IMPORTRANGE(""https://docs.google.com/spreadsheets/d/161aHT6vVT3SLneTKD19N5qVWtnj_jIT8CSsOmUVKmaA/e"&amp;"dit?gid=1761053510"",
          ""Haris_Form responses 1!$AQ:$AQ"")=3)
      ),
      1
    ),
    ""0""
  ),
  ""Form not found""
)
"),"0")</f>
        <v>0</v>
      </c>
      <c r="BA1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1!$E:$E"")=$B195) *
        (IMPORTRANGE(""https://docs.google.com/spreadsheets/d/161aHT6vVT3SLneTKD19N5qVWtnj_jIT8CSsOmUVKmaA/e"&amp;"dit?gid=1761053510"",
          ""Haris_Form responses 1!$AQ:$AQ"")=4)
      ),
      1
    ),
    ""0""
  ),
  ""Form not found""
)
"),"Form not found")</f>
        <v>Form not found</v>
      </c>
      <c r="BB1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1!$E:$E"")=$B195) *
        (IMPORTRANGE(""https://docs.google.com/spreadsheets/d/161aHT6vVT3SLneTKD19N5qVWtnj_jIT8CSsOmUVKmaA/e"&amp;"dit?gid=1761053510"",
          ""Haris_Form responses 1!$AQ:$AQ"")=5)
      ),
      1
    ),
    ""0""
  ),
  ""Form not found""
)
"),"Form not found")</f>
        <v>Form not found</v>
      </c>
      <c r="BC1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1!$E:$E"")=$B195) *
        (IMPORTRANGE(""https://docs.google.com/spreadsheets/d/161aHT6vVT3SLneTKD19N5qVWtnj_jIT8CSsOmUVKmaA/e"&amp;"dit?gid=1761053510"",
          ""Haris_Form responses 1!$AQ:$AQ"")=6)
      ),
      1
    ),
    ""0""
  ),
  ""Form not found""
)
"),"Form not found")</f>
        <v>Form not found</v>
      </c>
      <c r="BD195" s="293"/>
    </row>
    <row r="196">
      <c r="A196" s="283" t="str">
        <f>IFERROR(__xludf.DUMMYFUNCTION("VLOOKUP($B196,IMPORTRANGE(""https://docs.google.com/spreadsheets/d/1VNXDITjs75AcgdBSW27oL1VZH31udDprJSsBcE5xlp4/edit?gid=1551188038#gid=1551188038"", ""Sheet9!$B:$E""),2,false)"),"Bahawalpure")</f>
        <v>Bahawalpure</v>
      </c>
      <c r="B196" s="283" t="s">
        <v>4637</v>
      </c>
      <c r="C196" s="284" t="str">
        <f>IFERROR(__xludf.DUMMYFUNCTION("VLOOKUP(TRIM($B196), IMPORTRANGE(""https://docs.google.com/spreadsheets/d/1aSOrU4PTpuBZqfitKaH1Rfww6-YOiNCKoBpPl8XBHaw/edit?gid=0#gid=0"", ""sheet3!$B:$C""), 2, FALSE)
"),"Jamia Masjid Alsadiq Bhawalpur")</f>
        <v>Jamia Masjid Alsadiq Bhawalpur</v>
      </c>
      <c r="D196" s="284" t="str">
        <f>IFERROR(__xludf.DUMMYFUNCTION("IFERROR(
  INDEX(
    FILTER(
      IMPORTRANGE(""1aSOrU4PTpuBZqfitKaH1Rfww6-YOiNCKoBpPl8XBHaw/edit?gid=0#gid=0"",""Sheet1!G:G""),
      IMPORTRANGE(""1aSOrU4PTpuBZqfitKaH1Rfww6-YOiNCKoBpPl8XBHaw/edit?gid=0#gid=0"",""Sheet1!C:C"")=$B196
    ),
    1
  ),
"&amp;"  ""Not Found""
)"),"Control")</f>
        <v>Control</v>
      </c>
      <c r="E196" s="284" t="str">
        <f>VLOOKUP(B196,'Juma Recording forms'!A:E,5,false)</f>
        <v>Al sadiq</v>
      </c>
      <c r="F196" s="284" t="str">
        <f>IFERROR(__xludf.DUMMYFUNCTION("IFERROR(
  INDEX(
    FILTER(
      IMPORTRANGE(""1Cxrhp3-_-HS7v9uuqQliiIfrmMP4VaFoDNDWyUFy2J8/edit?gid=0#gid=0"",""Sheet1!Q:Q""),
      IMPORTRANGE(""1Cxrhp3-_-HS7v9uuqQliiIfrmMP4VaFoDNDWyUFy2J8/edit?gid=0#gid=0"",""Sheet1!K:K"")=$B196
    ),
    1
  ),
"&amp;"  ""Not Found""
)"),"Saif ur Rehman")</f>
        <v>Saif ur Rehman</v>
      </c>
      <c r="G196" s="284">
        <v>1918.0</v>
      </c>
      <c r="H196" s="284"/>
      <c r="I196" s="285" t="s">
        <v>197</v>
      </c>
      <c r="J196" s="286">
        <v>2.0</v>
      </c>
      <c r="K196" s="287" t="str">
        <f>VLOOKUP($B196,'Mosque Locations'!$A:$E,3,FALSE)
</f>
        <v>https://www.google.com/maps?q=29.3960534,71.6747768</v>
      </c>
      <c r="L196" s="286">
        <f>VLOOKUP($B196,'Mosque Locations'!$A:$E,4,FALSE)
</f>
        <v>29.39605</v>
      </c>
      <c r="M196" s="286">
        <f>VLOOKUP($B196,'Mosque Locations'!$A:$E,5,false)</f>
        <v>71.67478</v>
      </c>
      <c r="N196" s="288"/>
      <c r="O196" s="288"/>
      <c r="P196" s="288"/>
      <c r="Q196" s="290" t="str">
        <f>IFERROR(__xludf.DUMMYFUNCTION("IFERROR(
  INDEX(
    FILTER(
      IMPORTRANGE(""1kOrIKZmJfNUkgOVP3sI9BPjaaPA0_a4636oymQxTXg8"",""Form Responses 1!N:N""),
      TRIM(IMPORTRANGE(""1kOrIKZmJfNUkgOVP3sI9BPjaaPA0_a4636oymQxTXg8"",""Form Responses 1!F:F""))=TRIM($B196)
    ),
    1
  ),
  "&amp;"""Not Found""
)
"),"https://drive.google.com/open?id=10rQeaBL_aEsIFP6mz-UHcDql8kLzIStU")</f>
        <v>https://drive.google.com/open?id=10rQeaBL_aEsIFP6mz-UHcDql8kLzIStU</v>
      </c>
      <c r="R196" s="295" t="str">
        <f>IFERROR(__xludf.DUMMYFUNCTION("IFERROR(
  INDEX(
    FILTER(
      IMPORTRANGE(""1kOrIKZmJfNUkgOVP3sI9BPjaaPA0_a4636oymQxTXg8"",""Form Responses 1!M:M""),
      TRIM(IMPORTRANGE(""1kOrIKZmJfNUkgOVP3sI9BPjaaPA0_a4636oymQxTXg8"",""Form Responses 1!F:F""))=TRIM($B196)
    ),
    1
  ),
  "&amp;"""Not Found""
)
"),"https://drive.google.com/open?id=1qWK6eBpI457CGXQ_Tjh6ZmjbaU7Nm_zz")</f>
        <v>https://drive.google.com/open?id=1qWK6eBpI457CGXQ_Tjh6ZmjbaU7Nm_zz</v>
      </c>
      <c r="S196" s="283" t="s">
        <v>4871</v>
      </c>
      <c r="T196" s="290" t="str">
        <f>VLOOKUP($B196,'Master Tracker'!D:E,2,false)</f>
        <v>https://drive.google.com/open?id=1t984HtK_guWcZeKRnpb8iqKASRgbnGfk</v>
      </c>
      <c r="U196" s="291" t="str">
        <f>VLOOKUP($B196,'Master Tracker'!$D:$T,4,FALSE)
</f>
        <v>https://drive.google.com/open?id=1SIcbR0KOBfJ4q7EdJ_i6tqCE0einmop5gaKaZL7YFS8</v>
      </c>
      <c r="V196" s="284" t="str">
        <f>VLOOKUP($B196,'Master Tracker'!$D:$T,5,false)</f>
        <v>Not Found</v>
      </c>
      <c r="W196" s="292" t="str">
        <f>VLOOKUP($B196,'Master Tracker'!$D:$T,7,false)</f>
        <v>Not Found</v>
      </c>
      <c r="X196" s="290" t="str">
        <f>VLOOKUP($B196,'Master Tracker'!$D:$T,8,false)</f>
        <v>https://drive.google.com/open?id=1-1uBV1JKCsVXGWQwDAoVV-KDSU5RLdv9</v>
      </c>
      <c r="Y196" s="291" t="str">
        <f>VLOOKUP($B196,'Master Tracker'!$D:$T,10,false)</f>
        <v>https://drive.google.com/open?id=12t66EEmSUHHCK2YQUxardFwu7io9EbW5</v>
      </c>
      <c r="Z196" s="284" t="str">
        <f>VLOOKUP($B196,'Master Tracker'!$D:$T,11,false)</f>
        <v>Not Found</v>
      </c>
      <c r="AA196" s="292" t="str">
        <f>VLOOKUP($B196,'Master Tracker'!$D:$T,13,false)</f>
        <v>Not Found</v>
      </c>
      <c r="AB196" s="284" t="str">
        <f>VLOOKUP($B196,'Master Tracker'!$D:$T,14,false)</f>
        <v>Not Found</v>
      </c>
      <c r="AC196" s="292" t="str">
        <f>VLOOKUP($B196,'Master Tracker'!$D:$T,16,false)</f>
        <v>Not Found</v>
      </c>
      <c r="AD196" s="292" t="str">
        <f>VLOOKUP($B196,'Master Tracker'!$D:$T,17,false)</f>
        <v>Not Found</v>
      </c>
      <c r="AE196" s="292" t="str">
        <f>VLOOKUP($B196,'Master Tracker'!$D:$V,19,false)</f>
        <v>Not Found</v>
      </c>
      <c r="AF196" s="292">
        <f>IFERROR(__xludf.DUMMYFUNCTION("IFERROR(
  INDEX(
    FILTER(
      'Juma Recording forms'!$G:$G,
      TRIM('Juma Recording forms'!$F:$F) = TRIM($B196),
      'Juma Recording forms'!$AA:$AA = 1
    ),
    1
  ),
  ""Not Found""
)"),775.0)</f>
        <v>775</v>
      </c>
      <c r="AG196" s="292" t="str">
        <f>IFERROR(__xludf.DUMMYFUNCTION("IFERROR(
  INDEX(
    FILTER(
      'Juma Recording forms'!$G:$G,
      TRIM('Juma Recording forms'!$F:$F) = TRIM($B196),
      'Juma Recording forms'!$AA:$AA = 2
    ),
    1
  ),
  ""Not Found""
)"),"Not Found")</f>
        <v>Not Found</v>
      </c>
      <c r="AH196" s="292">
        <f>IFERROR(__xludf.DUMMYFUNCTION("IFERROR(
  INDEX(
    FILTER(
      'Juma Recording forms'!$G:$G,
      TRIM('Juma Recording forms'!$F:$F) = TRIM($B196),
      'Juma Recording forms'!$AA:$AA = 3
    ),
    1
  ),
  ""Not Found""
)"),768.0)</f>
        <v>768</v>
      </c>
      <c r="AI196" s="292" t="str">
        <f>IFERROR(__xludf.DUMMYFUNCTION("IFERROR(
  INDEX(
    FILTER(
      'Juma Recording forms'!$G:$G,
      TRIM('Juma Recording forms'!$F:$F) = TRIM($B196),
      'Juma Recording forms'!$AA:$AA = 4
    ),
    1
  ),
  ""Not Found""
)"),"Not Found")</f>
        <v>Not Found</v>
      </c>
      <c r="AJ196" s="292" t="str">
        <f>IFERROR(__xludf.DUMMYFUNCTION("IFERROR(
  INDEX(
    FILTER(
      'Juma Recording forms'!$G:$G,
      TRIM('Juma Recording forms'!$F:$F) = TRIM($B196),
      'Juma Recording forms'!$AA:$AA = 5
    ),
    1
  ),
  ""Not Found""
)"),"Not Found")</f>
        <v>Not Found</v>
      </c>
      <c r="AK196" s="292"/>
      <c r="AL1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1!$E:$E"")=$B196) *
        (IMPORTRANGE(""https://docs.google.com/spreadsheets/d/161aHT6vVT3SLneTKD19N5qVWtnj_jIT8CSsOmUVKmaA/e"&amp;"dit?gid=1761053510"",
          ""Haris_Form responses 1!$AQ:$AQ"")=1)
      ),
      1
    ),
    ""0""
  ),
  ""Form not found""
)
"),"0")</f>
        <v>0</v>
      </c>
      <c r="AM1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1!$E:$E"")=$B196) *
        (IMPORTRANGE(""https://docs.google.com/spreadsheets/d/161aHT6vVT3SLneTKD19N5qVWtnj_jIT8CSsOmUVKmaA/e"&amp;"dit?gid=1761053510"",
          ""Haris_Form responses 1!$AQ:$AQ"")=2)
      ),
      1
    ),
    ""0""
  ),
  ""Form not found""
)
"),"Form not found")</f>
        <v>Form not found</v>
      </c>
      <c r="AN1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1!$E:$E"")=$B196) *
        (IMPORTRANGE(""https://docs.google.com/spreadsheets/d/161aHT6vVT3SLneTKD19N5qVWtnj_jIT8CSsOmUVKmaA/e"&amp;"dit?gid=1761053510"",
          ""Haris_Form responses 1!$AQ:$AQ"")=3)
      ),
      1
    ),
    ""0""
  ),
  ""Form not found""
)
"),"0")</f>
        <v>0</v>
      </c>
      <c r="AO1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1!$E:$E"")=$B196) *
        (IMPORTRANGE(""https://docs.google.com/spreadsheets/d/161aHT6vVT3SLneTKD19N5qVWtnj_jIT8CSsOmUVKmaA/e"&amp;"dit?gid=1761053510"",
          ""Haris_Form responses 1!$AQ:$AQ"")=4)
      ),
      1
    ),
    ""0""
  ),
  ""Form not found""
)
"),"Form not found")</f>
        <v>Form not found</v>
      </c>
      <c r="AP1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1!$E:$E"")=$B196) *
        (IMPORTRANGE(""https://docs.google.com/spreadsheets/d/161aHT6vVT3SLneTKD19N5qVWtnj_jIT8CSsOmUVKmaA/e"&amp;"dit?gid=1761053510"",
          ""Haris_Form responses 1!$AQ:$AQ"")=5)
      ),
      1
    ),
    ""0""
  ),
  ""Form not found""
)
"),"Form not found")</f>
        <v>Form not found</v>
      </c>
      <c r="AQ1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1!$E:$E"")=$B196) *
        (IMPORTRANGE(""https://docs.google.com/spreadsheets/d/161aHT6vVT3SLneTKD19N5qVWtnj_jIT8CSsOmUVKmaA/e"&amp;"dit?gid=1761053510"",
          ""Haris_Form responses 1!$AQ:$AQ"")=6)
      ),
      1
    ),
    ""0""
  ),
  ""Form not found""
)
"),"Form not found")</f>
        <v>Form not found</v>
      </c>
      <c r="AR1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1!$E:$E"")=$B196) *
        (IMPORTRANGE(""https://docs.google.com/spreadsheets/d/161aHT6vVT3SLneTKD19N5qVWtnj_jIT8CSsOmUVKmaA/e"&amp;"dit?gid=1761053510"",
          ""Haris_Form responses 1!$AQ:$AQ"")=1)
      ),
      1
    ),
    ""0""
  ),
  ""Form not found""
)
"),"0")</f>
        <v>0</v>
      </c>
      <c r="AS1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1!$E:$E"")=$B196) *
        (IMPORTRANGE(""https://docs.google.com/spreadsheets/d/161aHT6vVT3SLneTKD19N5qVWtnj_jIT8CSsOmUVKmaA/e"&amp;"dit?gid=1761053510"",
          ""Haris_Form responses 1!$AQ:$AQ"")=2)
      ),
      1
    ),
    ""0""
  ),
  ""Form not found""
)
"),"Form not found")</f>
        <v>Form not found</v>
      </c>
      <c r="AT1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1!$E:$E"")=$B196) *
        (IMPORTRANGE(""https://docs.google.com/spreadsheets/d/161aHT6vVT3SLneTKD19N5qVWtnj_jIT8CSsOmUVKmaA/e"&amp;"dit?gid=1761053510"",
          ""Haris_Form responses 1!$AQ:$AQ"")=3)
      ),
      1
    ),
    ""0""
  ),
  ""Form not found""
)
"),"0")</f>
        <v>0</v>
      </c>
      <c r="AU1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1!$E:$E"")=$B196) *
        (IMPORTRANGE(""https://docs.google.com/spreadsheets/d/161aHT6vVT3SLneTKD19N5qVWtnj_jIT8CSsOmUVKmaA/e"&amp;"dit?gid=1761053510"",
          ""Haris_Form responses 1!$AQ:$AQ"")=4)
      ),
      1
    ),
    ""0""
  ),
  ""Form not found""
)
"),"Form not found")</f>
        <v>Form not found</v>
      </c>
      <c r="AV1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1!$E:$E"")=$B196) *
        (IMPORTRANGE(""https://docs.google.com/spreadsheets/d/161aHT6vVT3SLneTKD19N5qVWtnj_jIT8CSsOmUVKmaA/e"&amp;"dit?gid=1761053510"",
          ""Haris_Form responses 1!$AQ:$AQ"")=5)
      ),
      1
    ),
    ""0""
  ),
  ""Form not found""
)
"),"Form not found")</f>
        <v>Form not found</v>
      </c>
      <c r="AW1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1!$E:$E"")=$B196) *
        (IMPORTRANGE(""https://docs.google.com/spreadsheets/d/161aHT6vVT3SLneTKD19N5qVWtnj_jIT8CSsOmUVKmaA/e"&amp;"dit?gid=1761053510"",
          ""Haris_Form responses 1!$AQ:$AQ"")=6)
      ),
      1
    ),
    ""0""
  ),
  ""Form not found""
)
"),"Form not found")</f>
        <v>Form not found</v>
      </c>
      <c r="AX1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1!$E:$E"")=$B196) *
        (IMPORTRANGE(""https://docs.google.com/spreadsheets/d/161aHT6vVT3SLneTKD19N5qVWtnj_jIT8CSsOmUVKmaA/e"&amp;"dit?gid=1761053510"",
          ""Haris_Form responses 1!$AQ:$AQ"")=1)
      ),
      1
    ),
    ""0""
  ),
  ""Form not found""
)
"),"0")</f>
        <v>0</v>
      </c>
      <c r="AY1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1!$E:$E"")=$B196) *
        (IMPORTRANGE(""https://docs.google.com/spreadsheets/d/161aHT6vVT3SLneTKD19N5qVWtnj_jIT8CSsOmUVKmaA/e"&amp;"dit?gid=1761053510"",
          ""Haris_Form responses 1!$AQ:$AQ"")=2)
      ),
      1
    ),
    ""0""
  ),
  ""Form not found""
)
"),"Form not found")</f>
        <v>Form not found</v>
      </c>
      <c r="AZ1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1!$E:$E"")=$B196) *
        (IMPORTRANGE(""https://docs.google.com/spreadsheets/d/161aHT6vVT3SLneTKD19N5qVWtnj_jIT8CSsOmUVKmaA/e"&amp;"dit?gid=1761053510"",
          ""Haris_Form responses 1!$AQ:$AQ"")=3)
      ),
      1
    ),
    ""0""
  ),
  ""Form not found""
)
"),"0")</f>
        <v>0</v>
      </c>
      <c r="BA1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1!$E:$E"")=$B196) *
        (IMPORTRANGE(""https://docs.google.com/spreadsheets/d/161aHT6vVT3SLneTKD19N5qVWtnj_jIT8CSsOmUVKmaA/e"&amp;"dit?gid=1761053510"",
          ""Haris_Form responses 1!$AQ:$AQ"")=4)
      ),
      1
    ),
    ""0""
  ),
  ""Form not found""
)
"),"Form not found")</f>
        <v>Form not found</v>
      </c>
      <c r="BB1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1!$E:$E"")=$B196) *
        (IMPORTRANGE(""https://docs.google.com/spreadsheets/d/161aHT6vVT3SLneTKD19N5qVWtnj_jIT8CSsOmUVKmaA/e"&amp;"dit?gid=1761053510"",
          ""Haris_Form responses 1!$AQ:$AQ"")=5)
      ),
      1
    ),
    ""0""
  ),
  ""Form not found""
)
"),"Form not found")</f>
        <v>Form not found</v>
      </c>
      <c r="BC1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1!$E:$E"")=$B196) *
        (IMPORTRANGE(""https://docs.google.com/spreadsheets/d/161aHT6vVT3SLneTKD19N5qVWtnj_jIT8CSsOmUVKmaA/e"&amp;"dit?gid=1761053510"",
          ""Haris_Form responses 1!$AQ:$AQ"")=6)
      ),
      1
    ),
    ""0""
  ),
  ""Form not found""
)
"),"Form not found")</f>
        <v>Form not found</v>
      </c>
      <c r="BD196" s="293"/>
    </row>
    <row r="197">
      <c r="A197" s="283" t="str">
        <f>IFERROR(__xludf.DUMMYFUNCTION("VLOOKUP($B197,IMPORTRANGE(""https://docs.google.com/spreadsheets/d/1VNXDITjs75AcgdBSW27oL1VZH31udDprJSsBcE5xlp4/edit?gid=1551188038#gid=1551188038"", ""Sheet9!$B:$E""),2,false)"),"Bahawalpure")</f>
        <v>Bahawalpure</v>
      </c>
      <c r="B197" s="283" t="s">
        <v>4638</v>
      </c>
      <c r="C197" s="284" t="str">
        <f>IFERROR(__xludf.DUMMYFUNCTION("VLOOKUP(TRIM($B197), IMPORTRANGE(""https://docs.google.com/spreadsheets/d/1aSOrU4PTpuBZqfitKaH1Rfww6-YOiNCKoBpPl8XBHaw/edit?gid=0#gid=0"", ""sheet3!$B:$C""), 2, FALSE)
"),"Jamia Masjid Hasalpur")</f>
        <v>Jamia Masjid Hasalpur</v>
      </c>
      <c r="D197" s="284" t="str">
        <f>IFERROR(__xludf.DUMMYFUNCTION("IFERROR(
  INDEX(
    FILTER(
      IMPORTRANGE(""1aSOrU4PTpuBZqfitKaH1Rfww6-YOiNCKoBpPl8XBHaw/edit?gid=0#gid=0"",""Sheet1!G:G""),
      IMPORTRANGE(""1aSOrU4PTpuBZqfitKaH1Rfww6-YOiNCKoBpPl8XBHaw/edit?gid=0#gid=0"",""Sheet1!C:C"")=$B197
    ),
    1
  ),
"&amp;"  ""Not Found""
)"),"Control")</f>
        <v>Control</v>
      </c>
      <c r="E197" s="284" t="str">
        <f>VLOOKUP(B197,'Juma Recording forms'!A:E,5,false)</f>
        <v>Jamia Masjid main bazar Hasilpure </v>
      </c>
      <c r="F197" s="284" t="str">
        <f>IFERROR(__xludf.DUMMYFUNCTION("IFERROR(
  INDEX(
    FILTER(
      IMPORTRANGE(""1Cxrhp3-_-HS7v9uuqQliiIfrmMP4VaFoDNDWyUFy2J8/edit?gid=0#gid=0"",""Sheet1!Q:Q""),
      IMPORTRANGE(""1Cxrhp3-_-HS7v9uuqQliiIfrmMP4VaFoDNDWyUFy2J8/edit?gid=0#gid=0"",""Sheet1!K:K"")=$B197
    ),
    1
  ),
"&amp;"  ""Not Found""
)"),"Not Found")</f>
        <v>Not Found</v>
      </c>
      <c r="G197" s="292">
        <v>1957.0</v>
      </c>
      <c r="H197" s="284"/>
      <c r="I197" s="285" t="s">
        <v>197</v>
      </c>
      <c r="J197" s="286">
        <v>1.0</v>
      </c>
      <c r="K197" s="287" t="str">
        <f>VLOOKUP($B197,'Mosque Locations'!$A:$E,3,FALSE)
</f>
        <v>https://maps.google.com/maps?q=29.6945603%2C72.5506141&amp;z=17&amp;hl=en</v>
      </c>
      <c r="L197" s="286">
        <f>VLOOKUP($B197,'Mosque Locations'!$A:$E,4,FALSE)
</f>
        <v>29.69456</v>
      </c>
      <c r="M197" s="286">
        <f>VLOOKUP($B197,'Mosque Locations'!$A:$E,5,false)</f>
        <v>72.55061</v>
      </c>
      <c r="N197" s="288"/>
      <c r="O197" s="288"/>
      <c r="P197" s="288"/>
      <c r="Q197" s="289" t="str">
        <f>IFERROR(__xludf.DUMMYFUNCTION("IFERROR(
  INDEX(
    FILTER(
      IMPORTRANGE(""1kOrIKZmJfNUkgOVP3sI9BPjaaPA0_a4636oymQxTXg8"",""Form Responses 1!N:N""),
      TRIM(IMPORTRANGE(""1kOrIKZmJfNUkgOVP3sI9BPjaaPA0_a4636oymQxTXg8"",""Form Responses 1!F:F""))=TRIM($B197)
    ),
    1
  ),
  "&amp;"""Not Found""
)
"),"https://drive.google.com/open?id=1cL1EZYbcLUxKfudAtdUWSaT-8kAK2ckg")</f>
        <v>https://drive.google.com/open?id=1cL1EZYbcLUxKfudAtdUWSaT-8kAK2ckg</v>
      </c>
      <c r="R197" s="290" t="str">
        <f>IFERROR(__xludf.DUMMYFUNCTION("IFERROR(
  INDEX(
    FILTER(
      IMPORTRANGE(""1kOrIKZmJfNUkgOVP3sI9BPjaaPA0_a4636oymQxTXg8"",""Form Responses 1!M:M""),
      TRIM(IMPORTRANGE(""1kOrIKZmJfNUkgOVP3sI9BPjaaPA0_a4636oymQxTXg8"",""Form Responses 1!F:F""))=TRIM($B197)
    ),
    1
  ),
  "&amp;"""Not Found""
)
"),"https://drive.google.com/open?id=1eG7VQOgcyQms2Xi4JSBJxe_4FvwrAvUF")</f>
        <v>https://drive.google.com/open?id=1eG7VQOgcyQms2Xi4JSBJxe_4FvwrAvUF</v>
      </c>
      <c r="S197" s="283" t="s">
        <v>4871</v>
      </c>
      <c r="T197" s="284" t="str">
        <f>VLOOKUP($B197,'Master Tracker'!D:E,2,false)</f>
        <v>Not Found</v>
      </c>
      <c r="U197" s="292" t="str">
        <f>VLOOKUP($B197,'Master Tracker'!$D:$T,4,FALSE)
</f>
        <v>Not Found</v>
      </c>
      <c r="V197" s="290" t="str">
        <f>VLOOKUP($B197,'Master Tracker'!$D:$T,5,false)</f>
        <v>https://drive.google.com/open?id=1NhZSTXuRq46Bx3LqzbhZSc1FPwJqyjbN</v>
      </c>
      <c r="W197" s="291" t="str">
        <f>VLOOKUP($B197,'Master Tracker'!$D:$T,7,false)</f>
        <v>https://drive.google.com/open?id=17V8qpliegmbqUNP_kAROJ_W5cAolHof5Fqh2F9VmoRE</v>
      </c>
      <c r="X197" s="290" t="str">
        <f>VLOOKUP($B197,'Master Tracker'!$D:$T,8,false)</f>
        <v>https://drive.google.com/open?id=1u3nN0AtGr78paZwK3LFij250cCAWlyx6</v>
      </c>
      <c r="Y197" s="291" t="str">
        <f>VLOOKUP($B197,'Master Tracker'!$D:$T,10,false)</f>
        <v>https://drive.google.com/open?id=18duYEGp7daS6PeL4NI_6FAfe9kWbPXCtTtGNXLeKQa8</v>
      </c>
      <c r="Z197" s="284" t="str">
        <f>VLOOKUP($B197,'Master Tracker'!$D:$T,11,false)</f>
        <v>Not Found</v>
      </c>
      <c r="AA197" s="292" t="str">
        <f>VLOOKUP($B197,'Master Tracker'!$D:$T,13,false)</f>
        <v>Not Found</v>
      </c>
      <c r="AB197" s="284" t="str">
        <f>VLOOKUP($B197,'Master Tracker'!$D:$T,14,false)</f>
        <v>Not Found</v>
      </c>
      <c r="AC197" s="292" t="str">
        <f>VLOOKUP($B197,'Master Tracker'!$D:$T,16,false)</f>
        <v>Not Found</v>
      </c>
      <c r="AD197" s="292" t="str">
        <f>VLOOKUP($B197,'Master Tracker'!$D:$T,17,false)</f>
        <v>Not Found</v>
      </c>
      <c r="AE197" s="292" t="str">
        <f>VLOOKUP($B197,'Master Tracker'!$D:$V,19,false)</f>
        <v>Not Found</v>
      </c>
      <c r="AF197" s="292" t="str">
        <f>IFERROR(__xludf.DUMMYFUNCTION("IFERROR(
  INDEX(
    FILTER(
      'Juma Recording forms'!$G:$G,
      TRIM('Juma Recording forms'!$F:$F) = TRIM($B197),
      'Juma Recording forms'!$AA:$AA = 1
    ),
    1
  ),
  ""Not Found""
)"),"Not Found")</f>
        <v>Not Found</v>
      </c>
      <c r="AG197" s="292">
        <f>IFERROR(__xludf.DUMMYFUNCTION("IFERROR(
  INDEX(
    FILTER(
      'Juma Recording forms'!$G:$G,
      TRIM('Juma Recording forms'!$F:$F) = TRIM($B197),
      'Juma Recording forms'!$AA:$AA = 2
    ),
    1
  ),
  ""Not Found""
)"),1180.0)</f>
        <v>1180</v>
      </c>
      <c r="AH197" s="292">
        <f>IFERROR(__xludf.DUMMYFUNCTION("IFERROR(
  INDEX(
    FILTER(
      'Juma Recording forms'!$G:$G,
      TRIM('Juma Recording forms'!$F:$F) = TRIM($B197),
      'Juma Recording forms'!$AA:$AA = 3
    ),
    1
  ),
  ""Not Found""
)"),1150.0)</f>
        <v>1150</v>
      </c>
      <c r="AI197" s="292" t="str">
        <f>IFERROR(__xludf.DUMMYFUNCTION("IFERROR(
  INDEX(
    FILTER(
      'Juma Recording forms'!$G:$G,
      TRIM('Juma Recording forms'!$F:$F) = TRIM($B197),
      'Juma Recording forms'!$AA:$AA = 4
    ),
    1
  ),
  ""Not Found""
)"),"Not Found")</f>
        <v>Not Found</v>
      </c>
      <c r="AJ197" s="292" t="str">
        <f>IFERROR(__xludf.DUMMYFUNCTION("IFERROR(
  INDEX(
    FILTER(
      'Juma Recording forms'!$G:$G,
      TRIM('Juma Recording forms'!$F:$F) = TRIM($B197),
      'Juma Recording forms'!$AA:$AA = 5
    ),
    1
  ),
  ""Not Found""
)"),"Not Found")</f>
        <v>Not Found</v>
      </c>
      <c r="AK197" s="292"/>
      <c r="AL1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1!$E:$E"")=$B197) *
        (IMPORTRANGE(""https://docs.google.com/spreadsheets/d/161aHT6vVT3SLneTKD19N5qVWtnj_jIT8CSsOmUVKmaA/e"&amp;"dit?gid=1761053510"",
          ""Haris_Form responses 1!$AQ:$AQ"")=1)
      ),
      1
    ),
    ""0""
  ),
  ""Form not found""
)
"),"Form not found")</f>
        <v>Form not found</v>
      </c>
      <c r="AM1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1!$E:$E"")=$B197) *
        (IMPORTRANGE(""https://docs.google.com/spreadsheets/d/161aHT6vVT3SLneTKD19N5qVWtnj_jIT8CSsOmUVKmaA/e"&amp;"dit?gid=1761053510"",
          ""Haris_Form responses 1!$AQ:$AQ"")=2)
      ),
      1
    ),
    ""0""
  ),
  ""Form not found""
)
"),"0")</f>
        <v>0</v>
      </c>
      <c r="AN1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1!$E:$E"")=$B197) *
        (IMPORTRANGE(""https://docs.google.com/spreadsheets/d/161aHT6vVT3SLneTKD19N5qVWtnj_jIT8CSsOmUVKmaA/e"&amp;"dit?gid=1761053510"",
          ""Haris_Form responses 1!$AQ:$AQ"")=3)
      ),
      1
    ),
    ""0""
  ),
  ""Form not found""
)
"),"0")</f>
        <v>0</v>
      </c>
      <c r="AO1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1!$E:$E"")=$B197) *
        (IMPORTRANGE(""https://docs.google.com/spreadsheets/d/161aHT6vVT3SLneTKD19N5qVWtnj_jIT8CSsOmUVKmaA/e"&amp;"dit?gid=1761053510"",
          ""Haris_Form responses 1!$AQ:$AQ"")=4)
      ),
      1
    ),
    ""0""
  ),
  ""Form not found""
)
"),"Form not found")</f>
        <v>Form not found</v>
      </c>
      <c r="AP1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1!$E:$E"")=$B197) *
        (IMPORTRANGE(""https://docs.google.com/spreadsheets/d/161aHT6vVT3SLneTKD19N5qVWtnj_jIT8CSsOmUVKmaA/e"&amp;"dit?gid=1761053510"",
          ""Haris_Form responses 1!$AQ:$AQ"")=5)
      ),
      1
    ),
    ""0""
  ),
  ""Form not found""
)
"),"Form not found")</f>
        <v>Form not found</v>
      </c>
      <c r="AQ1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1!$E:$E"")=$B197) *
        (IMPORTRANGE(""https://docs.google.com/spreadsheets/d/161aHT6vVT3SLneTKD19N5qVWtnj_jIT8CSsOmUVKmaA/e"&amp;"dit?gid=1761053510"",
          ""Haris_Form responses 1!$AQ:$AQ"")=6)
      ),
      1
    ),
    ""0""
  ),
  ""Form not found""
)
"),"Form not found")</f>
        <v>Form not found</v>
      </c>
      <c r="AR1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1!$E:$E"")=$B197) *
        (IMPORTRANGE(""https://docs.google.com/spreadsheets/d/161aHT6vVT3SLneTKD19N5qVWtnj_jIT8CSsOmUVKmaA/e"&amp;"dit?gid=1761053510"",
          ""Haris_Form responses 1!$AQ:$AQ"")=1)
      ),
      1
    ),
    ""0""
  ),
  ""Form not found""
)
"),"Form not found")</f>
        <v>Form not found</v>
      </c>
      <c r="AS1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1!$E:$E"")=$B197) *
        (IMPORTRANGE(""https://docs.google.com/spreadsheets/d/161aHT6vVT3SLneTKD19N5qVWtnj_jIT8CSsOmUVKmaA/e"&amp;"dit?gid=1761053510"",
          ""Haris_Form responses 1!$AQ:$AQ"")=2)
      ),
      1
    ),
    ""0""
  ),
  ""Form not found""
)
"),"0")</f>
        <v>0</v>
      </c>
      <c r="AT1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1!$E:$E"")=$B197) *
        (IMPORTRANGE(""https://docs.google.com/spreadsheets/d/161aHT6vVT3SLneTKD19N5qVWtnj_jIT8CSsOmUVKmaA/e"&amp;"dit?gid=1761053510"",
          ""Haris_Form responses 1!$AQ:$AQ"")=3)
      ),
      1
    ),
    ""0""
  ),
  ""Form not found""
)
"),"0")</f>
        <v>0</v>
      </c>
      <c r="AU1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1!$E:$E"")=$B197) *
        (IMPORTRANGE(""https://docs.google.com/spreadsheets/d/161aHT6vVT3SLneTKD19N5qVWtnj_jIT8CSsOmUVKmaA/e"&amp;"dit?gid=1761053510"",
          ""Haris_Form responses 1!$AQ:$AQ"")=4)
      ),
      1
    ),
    ""0""
  ),
  ""Form not found""
)
"),"Form not found")</f>
        <v>Form not found</v>
      </c>
      <c r="AV1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1!$E:$E"")=$B197) *
        (IMPORTRANGE(""https://docs.google.com/spreadsheets/d/161aHT6vVT3SLneTKD19N5qVWtnj_jIT8CSsOmUVKmaA/e"&amp;"dit?gid=1761053510"",
          ""Haris_Form responses 1!$AQ:$AQ"")=5)
      ),
      1
    ),
    ""0""
  ),
  ""Form not found""
)
"),"Form not found")</f>
        <v>Form not found</v>
      </c>
      <c r="AW1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1!$E:$E"")=$B197) *
        (IMPORTRANGE(""https://docs.google.com/spreadsheets/d/161aHT6vVT3SLneTKD19N5qVWtnj_jIT8CSsOmUVKmaA/e"&amp;"dit?gid=1761053510"",
          ""Haris_Form responses 1!$AQ:$AQ"")=6)
      ),
      1
    ),
    ""0""
  ),
  ""Form not found""
)
"),"Form not found")</f>
        <v>Form not found</v>
      </c>
      <c r="AX1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1!$E:$E"")=$B197) *
        (IMPORTRANGE(""https://docs.google.com/spreadsheets/d/161aHT6vVT3SLneTKD19N5qVWtnj_jIT8CSsOmUVKmaA/e"&amp;"dit?gid=1761053510"",
          ""Haris_Form responses 1!$AQ:$AQ"")=1)
      ),
      1
    ),
    ""0""
  ),
  ""Form not found""
)
"),"Form not found")</f>
        <v>Form not found</v>
      </c>
      <c r="AY1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1!$E:$E"")=$B197) *
        (IMPORTRANGE(""https://docs.google.com/spreadsheets/d/161aHT6vVT3SLneTKD19N5qVWtnj_jIT8CSsOmUVKmaA/e"&amp;"dit?gid=1761053510"",
          ""Haris_Form responses 1!$AQ:$AQ"")=2)
      ),
      1
    ),
    ""0""
  ),
  ""Form not found""
)
"),"0")</f>
        <v>0</v>
      </c>
      <c r="AZ1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1!$E:$E"")=$B197) *
        (IMPORTRANGE(""https://docs.google.com/spreadsheets/d/161aHT6vVT3SLneTKD19N5qVWtnj_jIT8CSsOmUVKmaA/e"&amp;"dit?gid=1761053510"",
          ""Haris_Form responses 1!$AQ:$AQ"")=3)
      ),
      1
    ),
    ""0""
  ),
  ""Form not found""
)
"),"0")</f>
        <v>0</v>
      </c>
      <c r="BA1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1!$E:$E"")=$B197) *
        (IMPORTRANGE(""https://docs.google.com/spreadsheets/d/161aHT6vVT3SLneTKD19N5qVWtnj_jIT8CSsOmUVKmaA/e"&amp;"dit?gid=1761053510"",
          ""Haris_Form responses 1!$AQ:$AQ"")=4)
      ),
      1
    ),
    ""0""
  ),
  ""Form not found""
)
"),"Form not found")</f>
        <v>Form not found</v>
      </c>
      <c r="BB1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1!$E:$E"")=$B197) *
        (IMPORTRANGE(""https://docs.google.com/spreadsheets/d/161aHT6vVT3SLneTKD19N5qVWtnj_jIT8CSsOmUVKmaA/e"&amp;"dit?gid=1761053510"",
          ""Haris_Form responses 1!$AQ:$AQ"")=5)
      ),
      1
    ),
    ""0""
  ),
  ""Form not found""
)
"),"Form not found")</f>
        <v>Form not found</v>
      </c>
      <c r="BC1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1!$E:$E"")=$B197) *
        (IMPORTRANGE(""https://docs.google.com/spreadsheets/d/161aHT6vVT3SLneTKD19N5qVWtnj_jIT8CSsOmUVKmaA/e"&amp;"dit?gid=1761053510"",
          ""Haris_Form responses 1!$AQ:$AQ"")=6)
      ),
      1
    ),
    ""0""
  ),
  ""Form not found""
)
"),"Form not found")</f>
        <v>Form not found</v>
      </c>
      <c r="BD197" s="293"/>
    </row>
    <row r="198">
      <c r="A198" s="283" t="str">
        <f>IFERROR(__xludf.DUMMYFUNCTION("VLOOKUP($B198,IMPORTRANGE(""https://docs.google.com/spreadsheets/d/1VNXDITjs75AcgdBSW27oL1VZH31udDprJSsBcE5xlp4/edit?gid=1551188038#gid=1551188038"", ""Sheet9!$B:$E""),2,false)"),"Bahawalpure")</f>
        <v>Bahawalpure</v>
      </c>
      <c r="B198" s="283" t="s">
        <v>4639</v>
      </c>
      <c r="C198" s="284" t="str">
        <f>IFERROR(__xludf.DUMMYFUNCTION("VLOOKUP(TRIM($B198), IMPORTRANGE(""https://docs.google.com/spreadsheets/d/1aSOrU4PTpuBZqfitKaH1Rfww6-YOiNCKoBpPl8XBHaw/edit?gid=0#gid=0"", ""sheet3!$B:$C""), 2, FALSE)
"),"Jamia Masjid Kocha Gul Hassan Shahe Bazar")</f>
        <v>Jamia Masjid Kocha Gul Hassan Shahe Bazar</v>
      </c>
      <c r="D198" s="284" t="str">
        <f>IFERROR(__xludf.DUMMYFUNCTION("IFERROR(
  INDEX(
    FILTER(
      IMPORTRANGE(""1aSOrU4PTpuBZqfitKaH1Rfww6-YOiNCKoBpPl8XBHaw/edit?gid=0#gid=0"",""Sheet1!G:G""),
      IMPORTRANGE(""1aSOrU4PTpuBZqfitKaH1Rfww6-YOiNCKoBpPl8XBHaw/edit?gid=0#gid=0"",""Sheet1!C:C"")=$B198
    ),
    1
  ),
"&amp;"  ""Not Found""
)"),"Community Religious No Info Share")</f>
        <v>Community Religious No Info Share</v>
      </c>
      <c r="E198" s="284" t="str">
        <f>VLOOKUP(B198,'Juma Recording forms'!A:E,5,false)</f>
        <v>Jamia masjid kocha gull Hassan shahi Bazar bwp</v>
      </c>
      <c r="F198" s="284" t="str">
        <f>IFERROR(__xludf.DUMMYFUNCTION("IFERROR(
  INDEX(
    FILTER(
      IMPORTRANGE(""1Cxrhp3-_-HS7v9uuqQliiIfrmMP4VaFoDNDWyUFy2J8/edit?gid=0#gid=0"",""Sheet1!Q:Q""),
      IMPORTRANGE(""1Cxrhp3-_-HS7v9uuqQliiIfrmMP4VaFoDNDWyUFy2J8/edit?gid=0#gid=0"",""Sheet1!K:K"")=$B198
    ),
    1
  ),
"&amp;"  ""Not Found""
)"),"Farooq Ahmad")</f>
        <v>Farooq Ahmad</v>
      </c>
      <c r="G198" s="284">
        <v>2022.0</v>
      </c>
      <c r="H198" s="284"/>
      <c r="I198" s="285" t="s">
        <v>197</v>
      </c>
      <c r="J198" s="286">
        <v>2.0</v>
      </c>
      <c r="K198" s="287" t="str">
        <f>VLOOKUP($B198,'Mosque Locations'!$A:$E,3,FALSE)
</f>
        <v>https://maps.google.com/?q=29.3956909179688,71.6795806884766</v>
      </c>
      <c r="L198" s="286">
        <f>VLOOKUP($B198,'Mosque Locations'!$A:$E,4,FALSE)
</f>
        <v>29.39569</v>
      </c>
      <c r="M198" s="286">
        <f>VLOOKUP($B198,'Mosque Locations'!$A:$E,5,false)</f>
        <v>71.67958</v>
      </c>
      <c r="N198" s="288"/>
      <c r="O198" s="288"/>
      <c r="P198" s="288"/>
      <c r="Q198" s="290" t="str">
        <f>IFERROR(__xludf.DUMMYFUNCTION("IFERROR(
  INDEX(
    FILTER(
      IMPORTRANGE(""1kOrIKZmJfNUkgOVP3sI9BPjaaPA0_a4636oymQxTXg8"",""Form Responses 1!N:N""),
      TRIM(IMPORTRANGE(""1kOrIKZmJfNUkgOVP3sI9BPjaaPA0_a4636oymQxTXg8"",""Form Responses 1!F:F""))=TRIM($B198)
    ),
    1
  ),
  "&amp;"""Not Found""
)
"),"https://drive.google.com/open?id=1SJj28I0JglXdY7aq6avfyTr-rumOCzKo")</f>
        <v>https://drive.google.com/open?id=1SJj28I0JglXdY7aq6avfyTr-rumOCzKo</v>
      </c>
      <c r="R198" s="289" t="str">
        <f>IFERROR(__xludf.DUMMYFUNCTION("IFERROR(
  INDEX(
    FILTER(
      IMPORTRANGE(""1kOrIKZmJfNUkgOVP3sI9BPjaaPA0_a4636oymQxTXg8"",""Form Responses 1!M:M""),
      TRIM(IMPORTRANGE(""1kOrIKZmJfNUkgOVP3sI9BPjaaPA0_a4636oymQxTXg8"",""Form Responses 1!F:F""))=TRIM($B198)
    ),
    1
  ),
  "&amp;"""Not Found""
)
"),"https://drive.google.com/open?id=1GdPqSTU-ncSpalSL0cPT7Yj6N8FYZIRs")</f>
        <v>https://drive.google.com/open?id=1GdPqSTU-ncSpalSL0cPT7Yj6N8FYZIRs</v>
      </c>
      <c r="S198" s="283" t="s">
        <v>4871</v>
      </c>
      <c r="T198" s="290" t="str">
        <f>VLOOKUP($B198,'Master Tracker'!D:E,2,false)</f>
        <v>https://drive.google.com/open?id=1crTXJ4c_LHTbAktyDAGNl2SaIgFOwqKO</v>
      </c>
      <c r="U198" s="291" t="str">
        <f>VLOOKUP($B198,'Master Tracker'!$D:$T,4,FALSE)
</f>
        <v>https://drive.google.com/open?id=1C_58W6u3bjJC-SNtzli2xuyH8YuPUAFW</v>
      </c>
      <c r="V198" s="290" t="str">
        <f>VLOOKUP($B198,'Master Tracker'!$D:$T,5,false)</f>
        <v>https://drive.google.com/open?id=1MrjFtVcfLZ3JoajGU3Etyj459lE7KTmx</v>
      </c>
      <c r="W198" s="291" t="str">
        <f>VLOOKUP($B198,'Master Tracker'!$D:$T,7,false)</f>
        <v>https://drive.google.com/open?id=15G1_7u_MVvbz4WpnOpkBsWwZjX_N16o9</v>
      </c>
      <c r="X198" s="290" t="str">
        <f>VLOOKUP($B198,'Master Tracker'!$D:$T,8,false)</f>
        <v>https://drive.google.com/open?id=1wQiiB83hwbuWLGwyrcGyY0g1ZWw8rfIM</v>
      </c>
      <c r="Y198" s="291" t="str">
        <f>VLOOKUP($B198,'Master Tracker'!$D:$T,10,false)</f>
        <v>https://drive.google.com/open?id=1YxGgECqrRdIXRnMBn9DZ6L8d8TqnpSR4</v>
      </c>
      <c r="Z198" s="284" t="str">
        <f>VLOOKUP($B198,'Master Tracker'!$D:$T,11,false)</f>
        <v>Not Found</v>
      </c>
      <c r="AA198" s="292" t="str">
        <f>VLOOKUP($B198,'Master Tracker'!$D:$T,13,false)</f>
        <v>Not Found</v>
      </c>
      <c r="AB198" s="284" t="str">
        <f>VLOOKUP($B198,'Master Tracker'!$D:$T,14,false)</f>
        <v>Not Found</v>
      </c>
      <c r="AC198" s="292" t="str">
        <f>VLOOKUP($B198,'Master Tracker'!$D:$T,16,false)</f>
        <v>Not Found</v>
      </c>
      <c r="AD198" s="292" t="str">
        <f>VLOOKUP($B198,'Master Tracker'!$D:$T,17,false)</f>
        <v>Not Found</v>
      </c>
      <c r="AE198" s="292" t="str">
        <f>VLOOKUP($B198,'Master Tracker'!$D:$V,19,false)</f>
        <v>Not Found</v>
      </c>
      <c r="AF198" s="292">
        <f>IFERROR(__xludf.DUMMYFUNCTION("IFERROR(
  INDEX(
    FILTER(
      'Juma Recording forms'!$G:$G,
      TRIM('Juma Recording forms'!$F:$F) = TRIM($B198),
      'Juma Recording forms'!$AA:$AA = 1
    ),
    1
  ),
  ""Not Found""
)"),169.0)</f>
        <v>169</v>
      </c>
      <c r="AG198" s="292">
        <f>IFERROR(__xludf.DUMMYFUNCTION("IFERROR(
  INDEX(
    FILTER(
      'Juma Recording forms'!$G:$G,
      TRIM('Juma Recording forms'!$F:$F) = TRIM($B198),
      'Juma Recording forms'!$AA:$AA = 2
    ),
    1
  ),
  ""Not Found""
)"),176.0)</f>
        <v>176</v>
      </c>
      <c r="AH198" s="292">
        <f>IFERROR(__xludf.DUMMYFUNCTION("IFERROR(
  INDEX(
    FILTER(
      'Juma Recording forms'!$G:$G,
      TRIM('Juma Recording forms'!$F:$F) = TRIM($B198),
      'Juma Recording forms'!$AA:$AA = 3
    ),
    1
  ),
  ""Not Found""
)"),173.0)</f>
        <v>173</v>
      </c>
      <c r="AI198" s="292" t="str">
        <f>IFERROR(__xludf.DUMMYFUNCTION("IFERROR(
  INDEX(
    FILTER(
      'Juma Recording forms'!$G:$G,
      TRIM('Juma Recording forms'!$F:$F) = TRIM($B198),
      'Juma Recording forms'!$AA:$AA = 4
    ),
    1
  ),
  ""Not Found""
)"),"Not Found")</f>
        <v>Not Found</v>
      </c>
      <c r="AJ198" s="292" t="str">
        <f>IFERROR(__xludf.DUMMYFUNCTION("IFERROR(
  INDEX(
    FILTER(
      'Juma Recording forms'!$G:$G,
      TRIM('Juma Recording forms'!$F:$F) = TRIM($B198),
      'Juma Recording forms'!$AA:$AA = 5
    ),
    1
  ),
  ""Not Found""
)"),"Not Found")</f>
        <v>Not Found</v>
      </c>
      <c r="AK198" s="292" t="str">
        <f>IFERROR(__xludf.DUMMYFUNCTION("IFERROR(
  INDEX(
    FILTER(
      'Juma Recording forms'!$G:$G,
      TRIM('Juma Recording forms'!$F:$F) = TRIM($B198),
      'Juma Recording forms'!$AA:$AA = 6
    ),
    1
  ),
  ""Not Found""
)"),"Not Found")</f>
        <v>Not Found</v>
      </c>
      <c r="AL1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1!$E:$E"")=$B198) *
        (IMPORTRANGE(""https://docs.google.com/spreadsheets/d/161aHT6vVT3SLneTKD19N5qVWtnj_jIT8CSsOmUVKmaA/e"&amp;"dit?gid=1761053510"",
          ""Haris_Form responses 1!$AQ:$AQ"")=1)
      ),
      1
    ),
    ""0""
  ),
  ""Form not found""
)
"),"8")</f>
        <v>8</v>
      </c>
      <c r="AM1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1!$E:$E"")=$B198) *
        (IMPORTRANGE(""https://docs.google.com/spreadsheets/d/161aHT6vVT3SLneTKD19N5qVWtnj_jIT8CSsOmUVKmaA/e"&amp;"dit?gid=1761053510"",
          ""Haris_Form responses 1!$AQ:$AQ"")=2)
      ),
      1
    ),
    ""0""
  ),
  ""Form not found""
)
"),"7")</f>
        <v>7</v>
      </c>
      <c r="AN1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1!$E:$E"")=$B198) *
        (IMPORTRANGE(""https://docs.google.com/spreadsheets/d/161aHT6vVT3SLneTKD19N5qVWtnj_jIT8CSsOmUVKmaA/e"&amp;"dit?gid=1761053510"",
          ""Haris_Form responses 1!$AQ:$AQ"")=3)
      ),
      1
    ),
    ""0""
  ),
  ""Form not found""
)
"),"0")</f>
        <v>0</v>
      </c>
      <c r="AO1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1!$E:$E"")=$B198) *
        (IMPORTRANGE(""https://docs.google.com/spreadsheets/d/161aHT6vVT3SLneTKD19N5qVWtnj_jIT8CSsOmUVKmaA/e"&amp;"dit?gid=1761053510"",
          ""Haris_Form responses 1!$AQ:$AQ"")=4)
      ),
      1
    ),
    ""0""
  ),
  ""Form not found""
)
"),"Form not found")</f>
        <v>Form not found</v>
      </c>
      <c r="AP1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1!$E:$E"")=$B198) *
        (IMPORTRANGE(""https://docs.google.com/spreadsheets/d/161aHT6vVT3SLneTKD19N5qVWtnj_jIT8CSsOmUVKmaA/e"&amp;"dit?gid=1761053510"",
          ""Haris_Form responses 1!$AQ:$AQ"")=5)
      ),
      1
    ),
    ""0""
  ),
  ""Form not found""
)
"),"Form not found")</f>
        <v>Form not found</v>
      </c>
      <c r="AQ1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1!$E:$E"")=$B198) *
        (IMPORTRANGE(""https://docs.google.com/spreadsheets/d/161aHT6vVT3SLneTKD19N5qVWtnj_jIT8CSsOmUVKmaA/e"&amp;"dit?gid=1761053510"",
          ""Haris_Form responses 1!$AQ:$AQ"")=6)
      ),
      1
    ),
    ""0""
  ),
  ""Form not found""
)
"),"Form not found")</f>
        <v>Form not found</v>
      </c>
      <c r="AR1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1!$E:$E"")=$B198) *
        (IMPORTRANGE(""https://docs.google.com/spreadsheets/d/161aHT6vVT3SLneTKD19N5qVWtnj_jIT8CSsOmUVKmaA/e"&amp;"dit?gid=1761053510"",
          ""Haris_Form responses 1!$AQ:$AQ"")=1)
      ),
      1
    ),
    ""0""
  ),
  ""Form not found""
)
"),"8")</f>
        <v>8</v>
      </c>
      <c r="AS1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1!$E:$E"")=$B198) *
        (IMPORTRANGE(""https://docs.google.com/spreadsheets/d/161aHT6vVT3SLneTKD19N5qVWtnj_jIT8CSsOmUVKmaA/e"&amp;"dit?gid=1761053510"",
          ""Haris_Form responses 1!$AQ:$AQ"")=2)
      ),
      1
    ),
    ""0""
  ),
  ""Form not found""
)
"),"7")</f>
        <v>7</v>
      </c>
      <c r="AT1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1!$E:$E"")=$B198) *
        (IMPORTRANGE(""https://docs.google.com/spreadsheets/d/161aHT6vVT3SLneTKD19N5qVWtnj_jIT8CSsOmUVKmaA/e"&amp;"dit?gid=1761053510"",
          ""Haris_Form responses 1!$AQ:$AQ"")=3)
      ),
      1
    ),
    ""0""
  ),
  ""Form not found""
)
"),"0")</f>
        <v>0</v>
      </c>
      <c r="AU1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1!$E:$E"")=$B198) *
        (IMPORTRANGE(""https://docs.google.com/spreadsheets/d/161aHT6vVT3SLneTKD19N5qVWtnj_jIT8CSsOmUVKmaA/e"&amp;"dit?gid=1761053510"",
          ""Haris_Form responses 1!$AQ:$AQ"")=4)
      ),
      1
    ),
    ""0""
  ),
  ""Form not found""
)
"),"Form not found")</f>
        <v>Form not found</v>
      </c>
      <c r="AV1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1!$E:$E"")=$B198) *
        (IMPORTRANGE(""https://docs.google.com/spreadsheets/d/161aHT6vVT3SLneTKD19N5qVWtnj_jIT8CSsOmUVKmaA/e"&amp;"dit?gid=1761053510"",
          ""Haris_Form responses 1!$AQ:$AQ"")=5)
      ),
      1
    ),
    ""0""
  ),
  ""Form not found""
)
"),"Form not found")</f>
        <v>Form not found</v>
      </c>
      <c r="AW1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1!$E:$E"")=$B198) *
        (IMPORTRANGE(""https://docs.google.com/spreadsheets/d/161aHT6vVT3SLneTKD19N5qVWtnj_jIT8CSsOmUVKmaA/e"&amp;"dit?gid=1761053510"",
          ""Haris_Form responses 1!$AQ:$AQ"")=6)
      ),
      1
    ),
    ""0""
  ),
  ""Form not found""
)
"),"Form not found")</f>
        <v>Form not found</v>
      </c>
      <c r="AX1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1!$E:$E"")=$B198) *
        (IMPORTRANGE(""https://docs.google.com/spreadsheets/d/161aHT6vVT3SLneTKD19N5qVWtnj_jIT8CSsOmUVKmaA/e"&amp;"dit?gid=1761053510"",
          ""Haris_Form responses 1!$AQ:$AQ"")=1)
      ),
      1
    ),
    ""0""
  ),
  ""Form not found""
)
"),"0")</f>
        <v>0</v>
      </c>
      <c r="AY1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1!$E:$E"")=$B198) *
        (IMPORTRANGE(""https://docs.google.com/spreadsheets/d/161aHT6vVT3SLneTKD19N5qVWtnj_jIT8CSsOmUVKmaA/e"&amp;"dit?gid=1761053510"",
          ""Haris_Form responses 1!$AQ:$AQ"")=2)
      ),
      1
    ),
    ""0""
  ),
  ""Form not found""
)
"),"0")</f>
        <v>0</v>
      </c>
      <c r="AZ1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1!$E:$E"")=$B198) *
        (IMPORTRANGE(""https://docs.google.com/spreadsheets/d/161aHT6vVT3SLneTKD19N5qVWtnj_jIT8CSsOmUVKmaA/e"&amp;"dit?gid=1761053510"",
          ""Haris_Form responses 1!$AQ:$AQ"")=3)
      ),
      1
    ),
    ""0""
  ),
  ""Form not found""
)
"),"0")</f>
        <v>0</v>
      </c>
      <c r="BA1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1!$E:$E"")=$B198) *
        (IMPORTRANGE(""https://docs.google.com/spreadsheets/d/161aHT6vVT3SLneTKD19N5qVWtnj_jIT8CSsOmUVKmaA/e"&amp;"dit?gid=1761053510"",
          ""Haris_Form responses 1!$AQ:$AQ"")=4)
      ),
      1
    ),
    ""0""
  ),
  ""Form not found""
)
"),"Form not found")</f>
        <v>Form not found</v>
      </c>
      <c r="BB1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1!$E:$E"")=$B198) *
        (IMPORTRANGE(""https://docs.google.com/spreadsheets/d/161aHT6vVT3SLneTKD19N5qVWtnj_jIT8CSsOmUVKmaA/e"&amp;"dit?gid=1761053510"",
          ""Haris_Form responses 1!$AQ:$AQ"")=5)
      ),
      1
    ),
    ""0""
  ),
  ""Form not found""
)
"),"Form not found")</f>
        <v>Form not found</v>
      </c>
      <c r="BC1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1!$E:$E"")=$B198) *
        (IMPORTRANGE(""https://docs.google.com/spreadsheets/d/161aHT6vVT3SLneTKD19N5qVWtnj_jIT8CSsOmUVKmaA/e"&amp;"dit?gid=1761053510"",
          ""Haris_Form responses 1!$AQ:$AQ"")=6)
      ),
      1
    ),
    ""0""
  ),
  ""Form not found""
)
"),"Form not found")</f>
        <v>Form not found</v>
      </c>
      <c r="BD198" s="293"/>
    </row>
    <row r="199">
      <c r="A199" s="283" t="str">
        <f>IFERROR(__xludf.DUMMYFUNCTION("VLOOKUP($B199,IMPORTRANGE(""https://docs.google.com/spreadsheets/d/1VNXDITjs75AcgdBSW27oL1VZH31udDprJSsBcE5xlp4/edit?gid=1551188038#gid=1551188038"", ""Sheet9!$B:$E""),2,false)"),"Bahawalpure")</f>
        <v>Bahawalpure</v>
      </c>
      <c r="B199" s="283" t="s">
        <v>4640</v>
      </c>
      <c r="C199" s="284" t="str">
        <f>IFERROR(__xludf.DUMMYFUNCTION("VLOOKUP(TRIM($B199), IMPORTRANGE(""https://docs.google.com/spreadsheets/d/1aSOrU4PTpuBZqfitKaH1Rfww6-YOiNCKoBpPl8XBHaw/edit?gid=0#gid=0"", ""sheet3!$B:$C""), 2, FALSE)
"),"Jamia Masjid Sadiq Akbar High School Ahumdpur")</f>
        <v>Jamia Masjid Sadiq Akbar High School Ahumdpur</v>
      </c>
      <c r="D199" s="284" t="str">
        <f>IFERROR(__xludf.DUMMYFUNCTION("IFERROR(
  INDEX(
    FILTER(
      IMPORTRANGE(""1aSOrU4PTpuBZqfitKaH1Rfww6-YOiNCKoBpPl8XBHaw/edit?gid=0#gid=0"",""Sheet1!G:G""),
      IMPORTRANGE(""1aSOrU4PTpuBZqfitKaH1Rfww6-YOiNCKoBpPl8XBHaw/edit?gid=0#gid=0"",""Sheet1!C:C"")=$B199
    ),
    1
  ),
"&amp;"  ""Not Found""
)"),"Community Secular No Info Share")</f>
        <v>Community Secular No Info Share</v>
      </c>
      <c r="E199" s="284" t="str">
        <f>VLOOKUP(B199,'Juma Recording forms'!A:E,5,false)</f>
        <v>Jamia Masjid Sadiq Akbar High School Ahumdpur</v>
      </c>
      <c r="F199" s="284" t="str">
        <f>IFERROR(__xludf.DUMMYFUNCTION("IFERROR(
  INDEX(
    FILTER(
      IMPORTRANGE(""1Cxrhp3-_-HS7v9uuqQliiIfrmMP4VaFoDNDWyUFy2J8/edit?gid=0#gid=0"",""Sheet1!Q:Q""),
      IMPORTRANGE(""1Cxrhp3-_-HS7v9uuqQliiIfrmMP4VaFoDNDWyUFy2J8/edit?gid=0#gid=0"",""Sheet1!K:K"")=$B199
    ),
    1
  ),
"&amp;"  ""Not Found""
)"),"Abdur Rehman ")</f>
        <v>Abdur Rehman </v>
      </c>
      <c r="G199" s="284">
        <v>1977.0</v>
      </c>
      <c r="H199" s="284"/>
      <c r="I199" s="285" t="s">
        <v>197</v>
      </c>
      <c r="J199" s="286">
        <v>2.0</v>
      </c>
      <c r="K199" s="287" t="str">
        <f>VLOOKUP($B199,'Mosque Locations'!$A:$E,3,FALSE)
</f>
        <v>https://maps.google.com/maps?q=29.143841%2C71.2594724&amp;z=17&amp;hl=en</v>
      </c>
      <c r="L199" s="286">
        <f>VLOOKUP($B199,'Mosque Locations'!$A:$E,4,FALSE)
</f>
        <v>29.14384</v>
      </c>
      <c r="M199" s="286">
        <f>VLOOKUP($B199,'Mosque Locations'!$A:$E,5,false)</f>
        <v>71.25947</v>
      </c>
      <c r="N199" s="288"/>
      <c r="O199" s="288"/>
      <c r="P199" s="288"/>
      <c r="Q199" s="285" t="str">
        <f>IFERROR(__xludf.DUMMYFUNCTION("IFERROR(
  INDEX(
    FILTER(
      IMPORTRANGE(""1kOrIKZmJfNUkgOVP3sI9BPjaaPA0_a4636oymQxTXg8"",""Form Responses 1!N:N""),
      TRIM(IMPORTRANGE(""1kOrIKZmJfNUkgOVP3sI9BPjaaPA0_a4636oymQxTXg8"",""Form Responses 1!F:F""))=TRIM($B199)
    ),
    1
  ),
  "&amp;"""Not Found""
)
"),"https://drive.google.com/open?id=1Pq9-WCRj0aURRtEEetj9YUk2B_TVW6_j, https://drive.google.com/open?id=1ZCQkTKuoOlu1_xSwkf1sv9lhhc3PBDIj")</f>
        <v>https://drive.google.com/open?id=1Pq9-WCRj0aURRtEEetj9YUk2B_TVW6_j, https://drive.google.com/open?id=1ZCQkTKuoOlu1_xSwkf1sv9lhhc3PBDIj</v>
      </c>
      <c r="R199" s="294" t="str">
        <f>IFERROR(__xludf.DUMMYFUNCTION("IFERROR(
  INDEX(
    FILTER(
      IMPORTRANGE(""1kOrIKZmJfNUkgOVP3sI9BPjaaPA0_a4636oymQxTXg8"",""Form Responses 1!M:M""),
      TRIM(IMPORTRANGE(""1kOrIKZmJfNUkgOVP3sI9BPjaaPA0_a4636oymQxTXg8"",""Form Responses 1!F:F""))=TRIM($B199)
    ),
    1
  ),
  "&amp;"""Not Found""
)
"),"https://drive.google.com/open?id=1-uV0GNeg04ej7j43XLQ0ExddZ9vobnxP, https://drive.google.com/open?id=1Hu0oztkvm4D_bhwML3FXDn4Od951Nic-")</f>
        <v>https://drive.google.com/open?id=1-uV0GNeg04ej7j43XLQ0ExddZ9vobnxP, https://drive.google.com/open?id=1Hu0oztkvm4D_bhwML3FXDn4Od951Nic-</v>
      </c>
      <c r="S199" s="283" t="s">
        <v>4871</v>
      </c>
      <c r="T199" s="290" t="str">
        <f>VLOOKUP($B199,'Master Tracker'!D:E,2,false)</f>
        <v>https://drive.google.com/open?id=1hA7OYF61k_VP3sgqTErw63JZ-nBeNswF</v>
      </c>
      <c r="U199" s="291" t="str">
        <f>VLOOKUP($B199,'Master Tracker'!$D:$T,4,FALSE)
</f>
        <v>https://drive.google.com/open?id=1csyGv3jB9Ym9diZUZ9nnUwCiunI7XAkgcjrXHUESqpE</v>
      </c>
      <c r="V199" s="290" t="str">
        <f>VLOOKUP($B199,'Master Tracker'!$D:$T,5,false)</f>
        <v>https://drive.google.com/open?id=1wVX1sQhc0yBBRv7EXcNm577FgPNxaWOb</v>
      </c>
      <c r="W199" s="291" t="str">
        <f>VLOOKUP($B199,'Master Tracker'!$D:$T,7,false)</f>
        <v>https://drive.google.com/open?id=1tdsp-zy1T1Y2g2RwAg7nv9gkNUsC45Sy5ezwwuLTTLA</v>
      </c>
      <c r="X199" s="290" t="str">
        <f>VLOOKUP($B199,'Master Tracker'!$D:$T,8,false)</f>
        <v>https://drive.google.com/open?id=14HMRleqUVsK8K9E8HrhI_WpeU4IwtkV1</v>
      </c>
      <c r="Y199" s="291" t="str">
        <f>VLOOKUP($B199,'Master Tracker'!$D:$T,10,false)</f>
        <v>https://drive.google.com/open?id=12eYNWBwT8dnN-z6dm230LPA9TRMLC9evCS_kXa5cgag</v>
      </c>
      <c r="Z199" s="284" t="str">
        <f>VLOOKUP($B199,'Master Tracker'!$D:$T,11,false)</f>
        <v>Not Found</v>
      </c>
      <c r="AA199" s="292" t="str">
        <f>VLOOKUP($B199,'Master Tracker'!$D:$T,13,false)</f>
        <v>Not Found</v>
      </c>
      <c r="AB199" s="284" t="str">
        <f>VLOOKUP($B199,'Master Tracker'!$D:$T,14,false)</f>
        <v>Not Found</v>
      </c>
      <c r="AC199" s="292" t="str">
        <f>VLOOKUP($B199,'Master Tracker'!$D:$T,16,false)</f>
        <v>Not Found</v>
      </c>
      <c r="AD199" s="292" t="str">
        <f>VLOOKUP($B199,'Master Tracker'!$D:$T,17,false)</f>
        <v>Not Found</v>
      </c>
      <c r="AE199" s="292" t="str">
        <f>VLOOKUP($B199,'Master Tracker'!$D:$V,19,false)</f>
        <v>Not Found</v>
      </c>
      <c r="AF199" s="292">
        <f>IFERROR(__xludf.DUMMYFUNCTION("IFERROR(
  INDEX(
    FILTER(
      'Juma Recording forms'!$G:$G,
      TRIM('Juma Recording forms'!$F:$F) = TRIM($B199),
      'Juma Recording forms'!$AA:$AA = 1
    ),
    1
  ),
  ""Not Found""
)"),430.0)</f>
        <v>430</v>
      </c>
      <c r="AG199" s="292">
        <f>IFERROR(__xludf.DUMMYFUNCTION("IFERROR(
  INDEX(
    FILTER(
      'Juma Recording forms'!$G:$G,
      TRIM('Juma Recording forms'!$F:$F) = TRIM($B199),
      'Juma Recording forms'!$AA:$AA = 2
    ),
    1
  ),
  ""Not Found""
)"),460.0)</f>
        <v>460</v>
      </c>
      <c r="AH199" s="292">
        <f>IFERROR(__xludf.DUMMYFUNCTION("IFERROR(
  INDEX(
    FILTER(
      'Juma Recording forms'!$G:$G,
      TRIM('Juma Recording forms'!$F:$F) = TRIM($B199),
      'Juma Recording forms'!$AA:$AA = 3
    ),
    1
  ),
  ""Not Found""
)"),420.0)</f>
        <v>420</v>
      </c>
      <c r="AI199" s="292" t="str">
        <f>IFERROR(__xludf.DUMMYFUNCTION("IFERROR(
  INDEX(
    FILTER(
      'Juma Recording forms'!$G:$G,
      TRIM('Juma Recording forms'!$F:$F) = TRIM($B199),
      'Juma Recording forms'!$AA:$AA = 4
    ),
    1
  ),
  ""Not Found""
)"),"Not Found")</f>
        <v>Not Found</v>
      </c>
      <c r="AJ199" s="292" t="str">
        <f>IFERROR(__xludf.DUMMYFUNCTION("IFERROR(
  INDEX(
    FILTER(
      'Juma Recording forms'!$G:$G,
      TRIM('Juma Recording forms'!$F:$F) = TRIM($B199),
      'Juma Recording forms'!$AA:$AA = 5
    ),
    1
  ),
  ""Not Found""
)"),"Not Found")</f>
        <v>Not Found</v>
      </c>
      <c r="AK199" s="292" t="str">
        <f>IFERROR(__xludf.DUMMYFUNCTION("IFERROR(
  INDEX(
    FILTER(
      'Juma Recording forms'!$G:$G,
      TRIM('Juma Recording forms'!$F:$F) = TRIM($B199),
      'Juma Recording forms'!$AA:$AA = 6
    ),
    1
  ),
  ""Not Found""
)"),"Not Found")</f>
        <v>Not Found</v>
      </c>
      <c r="AL1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1!$E:$E"")=$B199) *
        (IMPORTRANGE(""https://docs.google.com/spreadsheets/d/161aHT6vVT3SLneTKD19N5qVWtnj_jIT8CSsOmUVKmaA/e"&amp;"dit?gid=1761053510"",
          ""Haris_Form responses 1!$AQ:$AQ"")=1)
      ),
      1
    ),
    ""0""
  ),
  ""Form not found""
)
"),"10")</f>
        <v>10</v>
      </c>
      <c r="AM1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1!$E:$E"")=$B199) *
        (IMPORTRANGE(""https://docs.google.com/spreadsheets/d/161aHT6vVT3SLneTKD19N5qVWtnj_jIT8CSsOmUVKmaA/e"&amp;"dit?gid=1761053510"",
          ""Haris_Form responses 1!$AQ:$AQ"")=2)
      ),
      1
    ),
    ""0""
  ),
  ""Form not found""
)
"),"9")</f>
        <v>9</v>
      </c>
      <c r="AN1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1!$E:$E"")=$B199) *
        (IMPORTRANGE(""https://docs.google.com/spreadsheets/d/161aHT6vVT3SLneTKD19N5qVWtnj_jIT8CSsOmUVKmaA/e"&amp;"dit?gid=1761053510"",
          ""Haris_Form responses 1!$AQ:$AQ"")=3)
      ),
      1
    ),
    ""0""
  ),
  ""Form not found""
)
"),"0")</f>
        <v>0</v>
      </c>
      <c r="AO1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1!$E:$E"")=$B199) *
        (IMPORTRANGE(""https://docs.google.com/spreadsheets/d/161aHT6vVT3SLneTKD19N5qVWtnj_jIT8CSsOmUVKmaA/e"&amp;"dit?gid=1761053510"",
          ""Haris_Form responses 1!$AQ:$AQ"")=4)
      ),
      1
    ),
    ""0""
  ),
  ""Form not found""
)
"),"Form not found")</f>
        <v>Form not found</v>
      </c>
      <c r="AP1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1!$E:$E"")=$B199) *
        (IMPORTRANGE(""https://docs.google.com/spreadsheets/d/161aHT6vVT3SLneTKD19N5qVWtnj_jIT8CSsOmUVKmaA/e"&amp;"dit?gid=1761053510"",
          ""Haris_Form responses 1!$AQ:$AQ"")=5)
      ),
      1
    ),
    ""0""
  ),
  ""Form not found""
)
"),"Form not found")</f>
        <v>Form not found</v>
      </c>
      <c r="AQ1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1!$E:$E"")=$B199) *
        (IMPORTRANGE(""https://docs.google.com/spreadsheets/d/161aHT6vVT3SLneTKD19N5qVWtnj_jIT8CSsOmUVKmaA/e"&amp;"dit?gid=1761053510"",
          ""Haris_Form responses 1!$AQ:$AQ"")=6)
      ),
      1
    ),
    ""0""
  ),
  ""Form not found""
)
"),"Form not found")</f>
        <v>Form not found</v>
      </c>
      <c r="AR1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1!$E:$E"")=$B199) *
        (IMPORTRANGE(""https://docs.google.com/spreadsheets/d/161aHT6vVT3SLneTKD19N5qVWtnj_jIT8CSsOmUVKmaA/e"&amp;"dit?gid=1761053510"",
          ""Haris_Form responses 1!$AQ:$AQ"")=1)
      ),
      1
    ),
    ""0""
  ),
  ""Form not found""
)
"),"10")</f>
        <v>10</v>
      </c>
      <c r="AS1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1!$E:$E"")=$B199) *
        (IMPORTRANGE(""https://docs.google.com/spreadsheets/d/161aHT6vVT3SLneTKD19N5qVWtnj_jIT8CSsOmUVKmaA/e"&amp;"dit?gid=1761053510"",
          ""Haris_Form responses 1!$AQ:$AQ"")=2)
      ),
      1
    ),
    ""0""
  ),
  ""Form not found""
)
"),"9")</f>
        <v>9</v>
      </c>
      <c r="AT1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1!$E:$E"")=$B199) *
        (IMPORTRANGE(""https://docs.google.com/spreadsheets/d/161aHT6vVT3SLneTKD19N5qVWtnj_jIT8CSsOmUVKmaA/e"&amp;"dit?gid=1761053510"",
          ""Haris_Form responses 1!$AQ:$AQ"")=3)
      ),
      1
    ),
    ""0""
  ),
  ""Form not found""
)
"),"0")</f>
        <v>0</v>
      </c>
      <c r="AU1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1!$E:$E"")=$B199) *
        (IMPORTRANGE(""https://docs.google.com/spreadsheets/d/161aHT6vVT3SLneTKD19N5qVWtnj_jIT8CSsOmUVKmaA/e"&amp;"dit?gid=1761053510"",
          ""Haris_Form responses 1!$AQ:$AQ"")=4)
      ),
      1
    ),
    ""0""
  ),
  ""Form not found""
)
"),"Form not found")</f>
        <v>Form not found</v>
      </c>
      <c r="AV1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1!$E:$E"")=$B199) *
        (IMPORTRANGE(""https://docs.google.com/spreadsheets/d/161aHT6vVT3SLneTKD19N5qVWtnj_jIT8CSsOmUVKmaA/e"&amp;"dit?gid=1761053510"",
          ""Haris_Form responses 1!$AQ:$AQ"")=5)
      ),
      1
    ),
    ""0""
  ),
  ""Form not found""
)
"),"Form not found")</f>
        <v>Form not found</v>
      </c>
      <c r="AW1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1!$E:$E"")=$B199) *
        (IMPORTRANGE(""https://docs.google.com/spreadsheets/d/161aHT6vVT3SLneTKD19N5qVWtnj_jIT8CSsOmUVKmaA/e"&amp;"dit?gid=1761053510"",
          ""Haris_Form responses 1!$AQ:$AQ"")=6)
      ),
      1
    ),
    ""0""
  ),
  ""Form not found""
)
"),"Form not found")</f>
        <v>Form not found</v>
      </c>
      <c r="AX1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1!$E:$E"")=$B199) *
        (IMPORTRANGE(""https://docs.google.com/spreadsheets/d/161aHT6vVT3SLneTKD19N5qVWtnj_jIT8CSsOmUVKmaA/e"&amp;"dit?gid=1761053510"",
          ""Haris_Form responses 1!$AQ:$AQ"")=1)
      ),
      1
    ),
    ""0""
  ),
  ""Form not found""
)
"),"0")</f>
        <v>0</v>
      </c>
      <c r="AY1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1!$E:$E"")=$B199) *
        (IMPORTRANGE(""https://docs.google.com/spreadsheets/d/161aHT6vVT3SLneTKD19N5qVWtnj_jIT8CSsOmUVKmaA/e"&amp;"dit?gid=1761053510"",
          ""Haris_Form responses 1!$AQ:$AQ"")=2)
      ),
      1
    ),
    ""0""
  ),
  ""Form not found""
)
"),"0")</f>
        <v>0</v>
      </c>
      <c r="AZ1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1!$E:$E"")=$B199) *
        (IMPORTRANGE(""https://docs.google.com/spreadsheets/d/161aHT6vVT3SLneTKD19N5qVWtnj_jIT8CSsOmUVKmaA/e"&amp;"dit?gid=1761053510"",
          ""Haris_Form responses 1!$AQ:$AQ"")=3)
      ),
      1
    ),
    ""0""
  ),
  ""Form not found""
)
"),"0")</f>
        <v>0</v>
      </c>
      <c r="BA1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1!$E:$E"")=$B199) *
        (IMPORTRANGE(""https://docs.google.com/spreadsheets/d/161aHT6vVT3SLneTKD19N5qVWtnj_jIT8CSsOmUVKmaA/e"&amp;"dit?gid=1761053510"",
          ""Haris_Form responses 1!$AQ:$AQ"")=4)
      ),
      1
    ),
    ""0""
  ),
  ""Form not found""
)
"),"Form not found")</f>
        <v>Form not found</v>
      </c>
      <c r="BB1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1!$E:$E"")=$B199) *
        (IMPORTRANGE(""https://docs.google.com/spreadsheets/d/161aHT6vVT3SLneTKD19N5qVWtnj_jIT8CSsOmUVKmaA/e"&amp;"dit?gid=1761053510"",
          ""Haris_Form responses 1!$AQ:$AQ"")=5)
      ),
      1
    ),
    ""0""
  ),
  ""Form not found""
)
"),"Form not found")</f>
        <v>Form not found</v>
      </c>
      <c r="BC1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1!$E:$E"")=$B199) *
        (IMPORTRANGE(""https://docs.google.com/spreadsheets/d/161aHT6vVT3SLneTKD19N5qVWtnj_jIT8CSsOmUVKmaA/e"&amp;"dit?gid=1761053510"",
          ""Haris_Form responses 1!$AQ:$AQ"")=6)
      ),
      1
    ),
    ""0""
  ),
  ""Form not found""
)
"),"Form not found")</f>
        <v>Form not found</v>
      </c>
      <c r="BD199" s="293"/>
    </row>
    <row r="200">
      <c r="A200" s="283" t="str">
        <f>IFERROR(__xludf.DUMMYFUNCTION("VLOOKUP($B200,IMPORTRANGE(""https://docs.google.com/spreadsheets/d/1VNXDITjs75AcgdBSW27oL1VZH31udDprJSsBcE5xlp4/edit?gid=1551188038#gid=1551188038"", ""Sheet9!$B:$E""),2,false)"),"Bahawalpure")</f>
        <v>Bahawalpure</v>
      </c>
      <c r="B200" s="283" t="s">
        <v>4641</v>
      </c>
      <c r="C200" s="284" t="str">
        <f>IFERROR(__xludf.DUMMYFUNCTION("VLOOKUP(TRIM($B200), IMPORTRANGE(""https://docs.google.com/spreadsheets/d/1aSOrU4PTpuBZqfitKaH1Rfww6-YOiNCKoBpPl8XBHaw/edit?gid=0#gid=0"", ""sheet3!$B:$C""), 2, FALSE)
"),"Jamia Masjid Muhkum Ul Din Seerani Khangha Khangha")</f>
        <v>Jamia Masjid Muhkum Ul Din Seerani Khangha Khangha</v>
      </c>
      <c r="D200" s="284" t="str">
        <f>IFERROR(__xludf.DUMMYFUNCTION("IFERROR(
  INDEX(
    FILTER(
      IMPORTRANGE(""1aSOrU4PTpuBZqfitKaH1Rfww6-YOiNCKoBpPl8XBHaw/edit?gid=0#gid=0"",""Sheet1!G:G""),
      IMPORTRANGE(""1aSOrU4PTpuBZqfitKaH1Rfww6-YOiNCKoBpPl8XBHaw/edit?gid=0#gid=0"",""Sheet1!C:C"")=$B200
    ),
    1
  ),
"&amp;"  ""Not Found""
)"),"Control")</f>
        <v>Control</v>
      </c>
      <c r="E200" s="284" t="str">
        <f>VLOOKUP(B200,'Juma Recording forms'!A:E,5,false)</f>
        <v>Jamia masjid muhkim din serani </v>
      </c>
      <c r="F200" s="284" t="str">
        <f>IFERROR(__xludf.DUMMYFUNCTION("IFERROR(
  INDEX(
    FILTER(
      IMPORTRANGE(""1Cxrhp3-_-HS7v9uuqQliiIfrmMP4VaFoDNDWyUFy2J8/edit?gid=0#gid=0"",""Sheet1!Q:Q""),
      IMPORTRANGE(""1Cxrhp3-_-HS7v9uuqQliiIfrmMP4VaFoDNDWyUFy2J8/edit?gid=0#gid=0"",""Sheet1!K:K"")=$B200
    ),
    1
  ),
"&amp;"  ""Not Found""
)"),"Not Found")</f>
        <v>Not Found</v>
      </c>
      <c r="G200" s="292">
        <v>1776.0</v>
      </c>
      <c r="H200" s="284"/>
      <c r="I200" s="285" t="s">
        <v>197</v>
      </c>
      <c r="J200" s="286">
        <v>1.0</v>
      </c>
      <c r="K200" s="287" t="str">
        <f>VLOOKUP($B200,'Mosque Locations'!$A:$E,3,FALSE)
</f>
        <v>https://maps.google.com/maps?q=29.3140056%2C71.5437025&amp;z=17&amp;hl=en</v>
      </c>
      <c r="L200" s="286">
        <f>VLOOKUP($B200,'Mosque Locations'!$A:$E,4,FALSE)
</f>
        <v>29.31401</v>
      </c>
      <c r="M200" s="286">
        <f>VLOOKUP($B200,'Mosque Locations'!$A:$E,5,false)</f>
        <v>71.5437</v>
      </c>
      <c r="N200" s="288"/>
      <c r="O200" s="288"/>
      <c r="P200" s="288"/>
      <c r="Q200" s="294" t="str">
        <f>IFERROR(__xludf.DUMMYFUNCTION("IFERROR(
  INDEX(
    FILTER(
      IMPORTRANGE(""1kOrIKZmJfNUkgOVP3sI9BPjaaPA0_a4636oymQxTXg8"",""Form Responses 1!N:N""),
      TRIM(IMPORTRANGE(""1kOrIKZmJfNUkgOVP3sI9BPjaaPA0_a4636oymQxTXg8"",""Form Responses 1!F:F""))=TRIM($B200)
    ),
    1
  ),
  "&amp;"""Not Found""
)
"),"")</f>
        <v/>
      </c>
      <c r="R200" s="294" t="str">
        <f>IFERROR(__xludf.DUMMYFUNCTION("IFERROR(
  INDEX(
    FILTER(
      IMPORTRANGE(""1kOrIKZmJfNUkgOVP3sI9BPjaaPA0_a4636oymQxTXg8"",""Form Responses 1!M:M""),
      TRIM(IMPORTRANGE(""1kOrIKZmJfNUkgOVP3sI9BPjaaPA0_a4636oymQxTXg8"",""Form Responses 1!F:F""))=TRIM($B200)
    ),
    1
  ),
  "&amp;"""Not Found""
)
"),"")</f>
        <v/>
      </c>
      <c r="S200" s="283" t="s">
        <v>4871</v>
      </c>
      <c r="T200" s="290" t="str">
        <f>VLOOKUP($B200,'Master Tracker'!D:E,2,false)</f>
        <v>https://drive.google.com/open?id=1ORwtbvx5hUaHw5ltXD0a0cuDhXWSnlLK</v>
      </c>
      <c r="U200" s="291" t="str">
        <f>VLOOKUP($B200,'Master Tracker'!$D:$T,4,FALSE)
</f>
        <v>https://drive.google.com/open?id=1bF6S8iP-x2lFnBVyt1la1NxdmNWKm6AL7gDFt-Evqc4</v>
      </c>
      <c r="V200" s="284" t="str">
        <f>VLOOKUP($B200,'Master Tracker'!$D:$T,5,false)</f>
        <v>Not Found</v>
      </c>
      <c r="W200" s="292" t="str">
        <f>VLOOKUP($B200,'Master Tracker'!$D:$T,7,false)</f>
        <v>Not Found</v>
      </c>
      <c r="X200" s="290" t="str">
        <f>VLOOKUP($B200,'Master Tracker'!$D:$T,8,false)</f>
        <v>https://drive.google.com/file/d/1VC-tCiX6kTke4BAPe7sXewChnf7b0Vs3/view?usp=drive_link</v>
      </c>
      <c r="Y200" s="291" t="str">
        <f>VLOOKUP($B200,'Master Tracker'!$D:$T,10,false)</f>
        <v>https://drive.google.com/open?id=1Mg6N-8wpwDHw2amxS2qV3QkLaBtDmoeU</v>
      </c>
      <c r="Z200" s="284" t="str">
        <f>VLOOKUP($B200,'Master Tracker'!$D:$T,11,false)</f>
        <v>Not Found</v>
      </c>
      <c r="AA200" s="292" t="str">
        <f>VLOOKUP($B200,'Master Tracker'!$D:$T,13,false)</f>
        <v>Not Found</v>
      </c>
      <c r="AB200" s="284" t="str">
        <f>VLOOKUP($B200,'Master Tracker'!$D:$T,14,false)</f>
        <v>Not Found</v>
      </c>
      <c r="AC200" s="292" t="str">
        <f>VLOOKUP($B200,'Master Tracker'!$D:$T,16,false)</f>
        <v>Not Found</v>
      </c>
      <c r="AD200" s="292" t="str">
        <f>VLOOKUP($B200,'Master Tracker'!$D:$T,17,false)</f>
        <v>Not Found</v>
      </c>
      <c r="AE200" s="292" t="str">
        <f>VLOOKUP($B200,'Master Tracker'!$D:$V,19,false)</f>
        <v>Not Found</v>
      </c>
      <c r="AF200" s="292">
        <f>IFERROR(__xludf.DUMMYFUNCTION("IFERROR(
  INDEX(
    FILTER(
      'Juma Recording forms'!$G:$G,
      TRIM('Juma Recording forms'!$F:$F) = TRIM($B200),
      'Juma Recording forms'!$AA:$AA = 1
    ),
    1
  ),
  ""Not Found""
)"),600.0)</f>
        <v>600</v>
      </c>
      <c r="AG200" s="292" t="str">
        <f>IFERROR(__xludf.DUMMYFUNCTION("IFERROR(
  INDEX(
    FILTER(
      'Juma Recording forms'!$G:$G,
      TRIM('Juma Recording forms'!$F:$F) = TRIM($B200),
      'Juma Recording forms'!$AA:$AA = 2
    ),
    1
  ),
  ""Not Found""
)"),"Not Found")</f>
        <v>Not Found</v>
      </c>
      <c r="AH200" s="292">
        <f>IFERROR(__xludf.DUMMYFUNCTION("IFERROR(
  INDEX(
    FILTER(
      'Juma Recording forms'!$G:$G,
      TRIM('Juma Recording forms'!$F:$F) = TRIM($B200),
      'Juma Recording forms'!$AA:$AA = 3
    ),
    1
  ),
  ""Not Found""
)"),650.0)</f>
        <v>650</v>
      </c>
      <c r="AI200" s="292" t="str">
        <f>IFERROR(__xludf.DUMMYFUNCTION("IFERROR(
  INDEX(
    FILTER(
      'Juma Recording forms'!$G:$G,
      TRIM('Juma Recording forms'!$F:$F) = TRIM($B200),
      'Juma Recording forms'!$AA:$AA = 4
    ),
    1
  ),
  ""Not Found""
)"),"Not Found")</f>
        <v>Not Found</v>
      </c>
      <c r="AJ200" s="292" t="str">
        <f>IFERROR(__xludf.DUMMYFUNCTION("IFERROR(
  INDEX(
    FILTER(
      'Juma Recording forms'!$G:$G,
      TRIM('Juma Recording forms'!$F:$F) = TRIM($B200),
      'Juma Recording forms'!$AA:$AA = 5
    ),
    1
  ),
  ""Not Found""
)"),"Not Found")</f>
        <v>Not Found</v>
      </c>
      <c r="AK200" s="292"/>
      <c r="AL2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1!$E:$E"")=$B200) *
        (IMPORTRANGE(""https://docs.google.com/spreadsheets/d/161aHT6vVT3SLneTKD19N5qVWtnj_jIT8CSsOmUVKmaA/e"&amp;"dit?gid=1761053510"",
          ""Haris_Form responses 1!$AQ:$AQ"")=1)
      ),
      1
    ),
    ""0""
  ),
  ""Form not found""
)
"),"0")</f>
        <v>0</v>
      </c>
      <c r="AM2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1!$E:$E"")=$B200) *
        (IMPORTRANGE(""https://docs.google.com/spreadsheets/d/161aHT6vVT3SLneTKD19N5qVWtnj_jIT8CSsOmUVKmaA/e"&amp;"dit?gid=1761053510"",
          ""Haris_Form responses 1!$AQ:$AQ"")=2)
      ),
      1
    ),
    ""0""
  ),
  ""Form not found""
)
"),"Form not found")</f>
        <v>Form not found</v>
      </c>
      <c r="AN2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1!$E:$E"")=$B200) *
        (IMPORTRANGE(""https://docs.google.com/spreadsheets/d/161aHT6vVT3SLneTKD19N5qVWtnj_jIT8CSsOmUVKmaA/e"&amp;"dit?gid=1761053510"",
          ""Haris_Form responses 1!$AQ:$AQ"")=3)
      ),
      1
    ),
    ""0""
  ),
  ""Form not found""
)
"),"0")</f>
        <v>0</v>
      </c>
      <c r="AO2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1!$E:$E"")=$B200) *
        (IMPORTRANGE(""https://docs.google.com/spreadsheets/d/161aHT6vVT3SLneTKD19N5qVWtnj_jIT8CSsOmUVKmaA/e"&amp;"dit?gid=1761053510"",
          ""Haris_Form responses 1!$AQ:$AQ"")=4)
      ),
      1
    ),
    ""0""
  ),
  ""Form not found""
)
"),"Form not found")</f>
        <v>Form not found</v>
      </c>
      <c r="AP2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1!$E:$E"")=$B200) *
        (IMPORTRANGE(""https://docs.google.com/spreadsheets/d/161aHT6vVT3SLneTKD19N5qVWtnj_jIT8CSsOmUVKmaA/e"&amp;"dit?gid=1761053510"",
          ""Haris_Form responses 1!$AQ:$AQ"")=5)
      ),
      1
    ),
    ""0""
  ),
  ""Form not found""
)
"),"Form not found")</f>
        <v>Form not found</v>
      </c>
      <c r="AQ2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1!$E:$E"")=$B200) *
        (IMPORTRANGE(""https://docs.google.com/spreadsheets/d/161aHT6vVT3SLneTKD19N5qVWtnj_jIT8CSsOmUVKmaA/e"&amp;"dit?gid=1761053510"",
          ""Haris_Form responses 1!$AQ:$AQ"")=6)
      ),
      1
    ),
    ""0""
  ),
  ""Form not found""
)
"),"Form not found")</f>
        <v>Form not found</v>
      </c>
      <c r="AR2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1!$E:$E"")=$B200) *
        (IMPORTRANGE(""https://docs.google.com/spreadsheets/d/161aHT6vVT3SLneTKD19N5qVWtnj_jIT8CSsOmUVKmaA/e"&amp;"dit?gid=1761053510"",
          ""Haris_Form responses 1!$AQ:$AQ"")=1)
      ),
      1
    ),
    ""0""
  ),
  ""Form not found""
)
"),"0")</f>
        <v>0</v>
      </c>
      <c r="AS2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1!$E:$E"")=$B200) *
        (IMPORTRANGE(""https://docs.google.com/spreadsheets/d/161aHT6vVT3SLneTKD19N5qVWtnj_jIT8CSsOmUVKmaA/e"&amp;"dit?gid=1761053510"",
          ""Haris_Form responses 1!$AQ:$AQ"")=2)
      ),
      1
    ),
    ""0""
  ),
  ""Form not found""
)
"),"Form not found")</f>
        <v>Form not found</v>
      </c>
      <c r="AT2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1!$E:$E"")=$B200) *
        (IMPORTRANGE(""https://docs.google.com/spreadsheets/d/161aHT6vVT3SLneTKD19N5qVWtnj_jIT8CSsOmUVKmaA/e"&amp;"dit?gid=1761053510"",
          ""Haris_Form responses 1!$AQ:$AQ"")=3)
      ),
      1
    ),
    ""0""
  ),
  ""Form not found""
)
"),"0")</f>
        <v>0</v>
      </c>
      <c r="AU2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1!$E:$E"")=$B200) *
        (IMPORTRANGE(""https://docs.google.com/spreadsheets/d/161aHT6vVT3SLneTKD19N5qVWtnj_jIT8CSsOmUVKmaA/e"&amp;"dit?gid=1761053510"",
          ""Haris_Form responses 1!$AQ:$AQ"")=4)
      ),
      1
    ),
    ""0""
  ),
  ""Form not found""
)
"),"Form not found")</f>
        <v>Form not found</v>
      </c>
      <c r="AV2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1!$E:$E"")=$B200) *
        (IMPORTRANGE(""https://docs.google.com/spreadsheets/d/161aHT6vVT3SLneTKD19N5qVWtnj_jIT8CSsOmUVKmaA/e"&amp;"dit?gid=1761053510"",
          ""Haris_Form responses 1!$AQ:$AQ"")=5)
      ),
      1
    ),
    ""0""
  ),
  ""Form not found""
)
"),"Form not found")</f>
        <v>Form not found</v>
      </c>
      <c r="AW2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1!$E:$E"")=$B200) *
        (IMPORTRANGE(""https://docs.google.com/spreadsheets/d/161aHT6vVT3SLneTKD19N5qVWtnj_jIT8CSsOmUVKmaA/e"&amp;"dit?gid=1761053510"",
          ""Haris_Form responses 1!$AQ:$AQ"")=6)
      ),
      1
    ),
    ""0""
  ),
  ""Form not found""
)
"),"Form not found")</f>
        <v>Form not found</v>
      </c>
      <c r="AX2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1!$E:$E"")=$B200) *
        (IMPORTRANGE(""https://docs.google.com/spreadsheets/d/161aHT6vVT3SLneTKD19N5qVWtnj_jIT8CSsOmUVKmaA/e"&amp;"dit?gid=1761053510"",
          ""Haris_Form responses 1!$AQ:$AQ"")=1)
      ),
      1
    ),
    ""0""
  ),
  ""Form not found""
)
"),"0")</f>
        <v>0</v>
      </c>
      <c r="AY2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1!$E:$E"")=$B200) *
        (IMPORTRANGE(""https://docs.google.com/spreadsheets/d/161aHT6vVT3SLneTKD19N5qVWtnj_jIT8CSsOmUVKmaA/e"&amp;"dit?gid=1761053510"",
          ""Haris_Form responses 1!$AQ:$AQ"")=2)
      ),
      1
    ),
    ""0""
  ),
  ""Form not found""
)
"),"Form not found")</f>
        <v>Form not found</v>
      </c>
      <c r="AZ2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1!$E:$E"")=$B200) *
        (IMPORTRANGE(""https://docs.google.com/spreadsheets/d/161aHT6vVT3SLneTKD19N5qVWtnj_jIT8CSsOmUVKmaA/e"&amp;"dit?gid=1761053510"",
          ""Haris_Form responses 1!$AQ:$AQ"")=3)
      ),
      1
    ),
    ""0""
  ),
  ""Form not found""
)
"),"0")</f>
        <v>0</v>
      </c>
      <c r="BA2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1!$E:$E"")=$B200) *
        (IMPORTRANGE(""https://docs.google.com/spreadsheets/d/161aHT6vVT3SLneTKD19N5qVWtnj_jIT8CSsOmUVKmaA/e"&amp;"dit?gid=1761053510"",
          ""Haris_Form responses 1!$AQ:$AQ"")=4)
      ),
      1
    ),
    ""0""
  ),
  ""Form not found""
)
"),"Form not found")</f>
        <v>Form not found</v>
      </c>
      <c r="BB2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1!$E:$E"")=$B200) *
        (IMPORTRANGE(""https://docs.google.com/spreadsheets/d/161aHT6vVT3SLneTKD19N5qVWtnj_jIT8CSsOmUVKmaA/e"&amp;"dit?gid=1761053510"",
          ""Haris_Form responses 1!$AQ:$AQ"")=5)
      ),
      1
    ),
    ""0""
  ),
  ""Form not found""
)
"),"Form not found")</f>
        <v>Form not found</v>
      </c>
      <c r="BC2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1!$E:$E"")=$B200) *
        (IMPORTRANGE(""https://docs.google.com/spreadsheets/d/161aHT6vVT3SLneTKD19N5qVWtnj_jIT8CSsOmUVKmaA/e"&amp;"dit?gid=1761053510"",
          ""Haris_Form responses 1!$AQ:$AQ"")=6)
      ),
      1
    ),
    ""0""
  ),
  ""Form not found""
)
"),"Form not found")</f>
        <v>Form not found</v>
      </c>
      <c r="BD200" s="293"/>
    </row>
    <row r="201">
      <c r="A201" s="283" t="str">
        <f>IFERROR(__xludf.DUMMYFUNCTION("VLOOKUP($B201,IMPORTRANGE(""https://docs.google.com/spreadsheets/d/1VNXDITjs75AcgdBSW27oL1VZH31udDprJSsBcE5xlp4/edit?gid=1551188038#gid=1551188038"", ""Sheet9!$B:$E""),2,false)"),"Bahawalpure")</f>
        <v>Bahawalpure</v>
      </c>
      <c r="B201" s="283" t="s">
        <v>4642</v>
      </c>
      <c r="C201" s="284" t="str">
        <f>IFERROR(__xludf.DUMMYFUNCTION("VLOOKUP(TRIM($B201), IMPORTRANGE(""https://docs.google.com/spreadsheets/d/1aSOrU4PTpuBZqfitKaH1Rfww6-YOiNCKoBpPl8XBHaw/edit?gid=0#gid=0"", ""sheet3!$B:$C""), 2, FALSE)
"),"Jamia Masjid Darbar Khawaja Khuda Bhakas Kharpure")</f>
        <v>Jamia Masjid Darbar Khawaja Khuda Bhakas Kharpure</v>
      </c>
      <c r="D201" s="284" t="str">
        <f>IFERROR(__xludf.DUMMYFUNCTION("IFERROR(
  INDEX(
    FILTER(
      IMPORTRANGE(""1aSOrU4PTpuBZqfitKaH1Rfww6-YOiNCKoBpPl8XBHaw/edit?gid=0#gid=0"",""Sheet1!G:G""),
      IMPORTRANGE(""1aSOrU4PTpuBZqfitKaH1Rfww6-YOiNCKoBpPl8XBHaw/edit?gid=0#gid=0"",""Sheet1!C:C"")=$B201
    ),
    1
  ),
"&amp;"  ""Not Found""
)"),"Control")</f>
        <v>Control</v>
      </c>
      <c r="E201" s="284" t="str">
        <f>VLOOKUP(B201,'Juma Recording forms'!A:E,5,false)</f>
        <v>Jamia masjid darbar khuja khudabaksh kherpurXPP</v>
      </c>
      <c r="F201" s="284" t="str">
        <f>IFERROR(__xludf.DUMMYFUNCTION("IFERROR(
  INDEX(
    FILTER(
      IMPORTRANGE(""1Cxrhp3-_-HS7v9uuqQliiIfrmMP4VaFoDNDWyUFy2J8/edit?gid=0#gid=0"",""Sheet1!Q:Q""),
      IMPORTRANGE(""1Cxrhp3-_-HS7v9uuqQliiIfrmMP4VaFoDNDWyUFy2J8/edit?gid=0#gid=0"",""Sheet1!K:K"")=$B201
    ),
    1
  ),
"&amp;"  ""Not Found""
)"),"Muhammad Azhar Hussain ")</f>
        <v>Muhammad Azhar Hussain </v>
      </c>
      <c r="G201" s="284">
        <v>2012.0</v>
      </c>
      <c r="H201" s="284" t="s">
        <v>4872</v>
      </c>
      <c r="I201" s="285" t="s">
        <v>197</v>
      </c>
      <c r="J201" s="286">
        <v>1.0</v>
      </c>
      <c r="K201" s="287" t="str">
        <f>VLOOKUP($B201,'Mosque Locations'!$A:$E,3,FALSE)
</f>
        <v>https://www.google.com/maps?q=29.5812543,72.233824</v>
      </c>
      <c r="L201" s="286">
        <f>VLOOKUP($B201,'Mosque Locations'!$A:$E,4,FALSE)
</f>
        <v>29.58125</v>
      </c>
      <c r="M201" s="286">
        <f>VLOOKUP($B201,'Mosque Locations'!$A:$E,5,false)</f>
        <v>72.23382</v>
      </c>
      <c r="N201" s="288"/>
      <c r="O201" s="288"/>
      <c r="P201" s="288"/>
      <c r="Q201" s="294" t="str">
        <f>IFERROR(__xludf.DUMMYFUNCTION("IFERROR(
  INDEX(
    FILTER(
      IMPORTRANGE(""1kOrIKZmJfNUkgOVP3sI9BPjaaPA0_a4636oymQxTXg8"",""Form Responses 1!N:N""),
      TRIM(IMPORTRANGE(""1kOrIKZmJfNUkgOVP3sI9BPjaaPA0_a4636oymQxTXg8"",""Form Responses 1!F:F""))=TRIM($B201)
    ),
    1
  ),
  "&amp;"""Not Found""
)
"),"https://drive.google.com/open?id=1-kHyjuGTYJGPSHnk4MucrYLUz6dQwNY2, https://drive.google.com/open?id=1gX5EdWQZXaRDoIKnSY4j1qc4n2ZxW0lb")</f>
        <v>https://drive.google.com/open?id=1-kHyjuGTYJGPSHnk4MucrYLUz6dQwNY2, https://drive.google.com/open?id=1gX5EdWQZXaRDoIKnSY4j1qc4n2ZxW0lb</v>
      </c>
      <c r="R201" s="295" t="str">
        <f>IFERROR(__xludf.DUMMYFUNCTION("IFERROR(
  INDEX(
    FILTER(
      IMPORTRANGE(""1kOrIKZmJfNUkgOVP3sI9BPjaaPA0_a4636oymQxTXg8"",""Form Responses 1!M:M""),
      TRIM(IMPORTRANGE(""1kOrIKZmJfNUkgOVP3sI9BPjaaPA0_a4636oymQxTXg8"",""Form Responses 1!F:F""))=TRIM($B201)
    ),
    1
  ),
  "&amp;"""Not Found""
)
"),"https://drive.google.com/open?id=1382onRChjP4R0oHy_IcWNy1-dmcxg-8O")</f>
        <v>https://drive.google.com/open?id=1382onRChjP4R0oHy_IcWNy1-dmcxg-8O</v>
      </c>
      <c r="S201" s="285"/>
      <c r="T201" s="290" t="str">
        <f>VLOOKUP($B201,'Master Tracker'!D:E,2,false)</f>
        <v>https://drive.google.com/open?id=1aiypwYkruZ2IGeQvC3YmHOdG8vdDsQGO</v>
      </c>
      <c r="U201" s="291" t="str">
        <f>VLOOKUP($B201,'Master Tracker'!$D:$T,4,FALSE)
</f>
        <v>https://drive.google.com/open?id=1m0_AJ_ka5FhZCfemfj73yIgPqCcaOYka</v>
      </c>
      <c r="V201" s="284" t="str">
        <f>VLOOKUP($B201,'Master Tracker'!$D:$T,5,false)</f>
        <v>Not Found</v>
      </c>
      <c r="W201" s="292" t="str">
        <f>VLOOKUP($B201,'Master Tracker'!$D:$T,7,false)</f>
        <v>Not Found</v>
      </c>
      <c r="X201" s="290" t="str">
        <f>VLOOKUP($B201,'Master Tracker'!$D:$T,8,false)</f>
        <v>https://drive.google.com/open?id=1rP02ptEknCupdOtJvc4-m2FgwwOh9u6V</v>
      </c>
      <c r="Y201" s="291" t="str">
        <f>VLOOKUP($B201,'Master Tracker'!$D:$T,10,false)</f>
        <v>https://drive.google.com/open?id=1SNRs_fz0l5eL_7fBNqU3Qj7biT7dwzgW</v>
      </c>
      <c r="Z201" s="284" t="str">
        <f>VLOOKUP($B201,'Master Tracker'!$D:$T,11,false)</f>
        <v>Not Found</v>
      </c>
      <c r="AA201" s="292" t="str">
        <f>VLOOKUP($B201,'Master Tracker'!$D:$T,13,false)</f>
        <v>Not Found</v>
      </c>
      <c r="AB201" s="284" t="str">
        <f>VLOOKUP($B201,'Master Tracker'!$D:$T,14,false)</f>
        <v>Not Found</v>
      </c>
      <c r="AC201" s="292" t="str">
        <f>VLOOKUP($B201,'Master Tracker'!$D:$T,16,false)</f>
        <v>Not Found</v>
      </c>
      <c r="AD201" s="292" t="str">
        <f>VLOOKUP($B201,'Master Tracker'!$D:$T,17,false)</f>
        <v>Not Found</v>
      </c>
      <c r="AE201" s="292" t="str">
        <f>VLOOKUP($B201,'Master Tracker'!$D:$V,19,false)</f>
        <v>Not Found</v>
      </c>
      <c r="AF201" s="292">
        <f>IFERROR(__xludf.DUMMYFUNCTION("IFERROR(
  INDEX(
    FILTER(
      'Juma Recording forms'!$G:$G,
      TRIM('Juma Recording forms'!$F:$F) = TRIM($B201),
      'Juma Recording forms'!$AA:$AA = 1
    ),
    1
  ),
  ""Not Found""
)"),216.0)</f>
        <v>216</v>
      </c>
      <c r="AG201" s="292" t="str">
        <f>IFERROR(__xludf.DUMMYFUNCTION("IFERROR(
  INDEX(
    FILTER(
      'Juma Recording forms'!$G:$G,
      TRIM('Juma Recording forms'!$F:$F) = TRIM($B201),
      'Juma Recording forms'!$AA:$AA = 2
    ),
    1
  ),
  ""Not Found""
)"),"Not Found")</f>
        <v>Not Found</v>
      </c>
      <c r="AH201" s="292">
        <f>IFERROR(__xludf.DUMMYFUNCTION("IFERROR(
  INDEX(
    FILTER(
      'Juma Recording forms'!$G:$G,
      TRIM('Juma Recording forms'!$F:$F) = TRIM($B201),
      'Juma Recording forms'!$AA:$AA = 3
    ),
    1
  ),
  ""Not Found""
)"),225.0)</f>
        <v>225</v>
      </c>
      <c r="AI201" s="292" t="str">
        <f>IFERROR(__xludf.DUMMYFUNCTION("IFERROR(
  INDEX(
    FILTER(
      'Juma Recording forms'!$G:$G,
      TRIM('Juma Recording forms'!$F:$F) = TRIM($B201),
      'Juma Recording forms'!$AA:$AA = 4
    ),
    1
  ),
  ""Not Found""
)"),"Not Found")</f>
        <v>Not Found</v>
      </c>
      <c r="AJ201" s="292" t="str">
        <f>IFERROR(__xludf.DUMMYFUNCTION("IFERROR(
  INDEX(
    FILTER(
      'Juma Recording forms'!$G:$G,
      TRIM('Juma Recording forms'!$F:$F) = TRIM($B201),
      'Juma Recording forms'!$AA:$AA = 5
    ),
    1
  ),
  ""Not Found""
)"),"Not Found")</f>
        <v>Not Found</v>
      </c>
      <c r="AK201" s="292"/>
      <c r="AL2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1!$E:$E"")=$B201) *
        (IMPORTRANGE(""https://docs.google.com/spreadsheets/d/161aHT6vVT3SLneTKD19N5qVWtnj_jIT8CSsOmUVKmaA/e"&amp;"dit?gid=1761053510"",
          ""Haris_Form responses 1!$AQ:$AQ"")=1)
      ),
      1
    ),
    ""0""
  ),
  ""Form not found""
)
"),"0")</f>
        <v>0</v>
      </c>
      <c r="AM2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1!$E:$E"")=$B201) *
        (IMPORTRANGE(""https://docs.google.com/spreadsheets/d/161aHT6vVT3SLneTKD19N5qVWtnj_jIT8CSsOmUVKmaA/e"&amp;"dit?gid=1761053510"",
          ""Haris_Form responses 1!$AQ:$AQ"")=2)
      ),
      1
    ),
    ""0""
  ),
  ""Form not found""
)
"),"Form not found")</f>
        <v>Form not found</v>
      </c>
      <c r="AN2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1!$E:$E"")=$B201) *
        (IMPORTRANGE(""https://docs.google.com/spreadsheets/d/161aHT6vVT3SLneTKD19N5qVWtnj_jIT8CSsOmUVKmaA/e"&amp;"dit?gid=1761053510"",
          ""Haris_Form responses 1!$AQ:$AQ"")=3)
      ),
      1
    ),
    ""0""
  ),
  ""Form not found""
)
"),"0")</f>
        <v>0</v>
      </c>
      <c r="AO2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1!$E:$E"")=$B201) *
        (IMPORTRANGE(""https://docs.google.com/spreadsheets/d/161aHT6vVT3SLneTKD19N5qVWtnj_jIT8CSsOmUVKmaA/e"&amp;"dit?gid=1761053510"",
          ""Haris_Form responses 1!$AQ:$AQ"")=4)
      ),
      1
    ),
    ""0""
  ),
  ""Form not found""
)
"),"Form not found")</f>
        <v>Form not found</v>
      </c>
      <c r="AP2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1!$E:$E"")=$B201) *
        (IMPORTRANGE(""https://docs.google.com/spreadsheets/d/161aHT6vVT3SLneTKD19N5qVWtnj_jIT8CSsOmUVKmaA/e"&amp;"dit?gid=1761053510"",
          ""Haris_Form responses 1!$AQ:$AQ"")=5)
      ),
      1
    ),
    ""0""
  ),
  ""Form not found""
)
"),"Form not found")</f>
        <v>Form not found</v>
      </c>
      <c r="AQ2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1!$E:$E"")=$B201) *
        (IMPORTRANGE(""https://docs.google.com/spreadsheets/d/161aHT6vVT3SLneTKD19N5qVWtnj_jIT8CSsOmUVKmaA/e"&amp;"dit?gid=1761053510"",
          ""Haris_Form responses 1!$AQ:$AQ"")=6)
      ),
      1
    ),
    ""0""
  ),
  ""Form not found""
)
"),"Form not found")</f>
        <v>Form not found</v>
      </c>
      <c r="AR2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1!$E:$E"")=$B201) *
        (IMPORTRANGE(""https://docs.google.com/spreadsheets/d/161aHT6vVT3SLneTKD19N5qVWtnj_jIT8CSsOmUVKmaA/e"&amp;"dit?gid=1761053510"",
          ""Haris_Form responses 1!$AQ:$AQ"")=1)
      ),
      1
    ),
    ""0""
  ),
  ""Form not found""
)
"),"0")</f>
        <v>0</v>
      </c>
      <c r="AS2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1!$E:$E"")=$B201) *
        (IMPORTRANGE(""https://docs.google.com/spreadsheets/d/161aHT6vVT3SLneTKD19N5qVWtnj_jIT8CSsOmUVKmaA/e"&amp;"dit?gid=1761053510"",
          ""Haris_Form responses 1!$AQ:$AQ"")=2)
      ),
      1
    ),
    ""0""
  ),
  ""Form not found""
)
"),"Form not found")</f>
        <v>Form not found</v>
      </c>
      <c r="AT2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1!$E:$E"")=$B201) *
        (IMPORTRANGE(""https://docs.google.com/spreadsheets/d/161aHT6vVT3SLneTKD19N5qVWtnj_jIT8CSsOmUVKmaA/e"&amp;"dit?gid=1761053510"",
          ""Haris_Form responses 1!$AQ:$AQ"")=3)
      ),
      1
    ),
    ""0""
  ),
  ""Form not found""
)
"),"0")</f>
        <v>0</v>
      </c>
      <c r="AU2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1!$E:$E"")=$B201) *
        (IMPORTRANGE(""https://docs.google.com/spreadsheets/d/161aHT6vVT3SLneTKD19N5qVWtnj_jIT8CSsOmUVKmaA/e"&amp;"dit?gid=1761053510"",
          ""Haris_Form responses 1!$AQ:$AQ"")=4)
      ),
      1
    ),
    ""0""
  ),
  ""Form not found""
)
"),"Form not found")</f>
        <v>Form not found</v>
      </c>
      <c r="AV2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1!$E:$E"")=$B201) *
        (IMPORTRANGE(""https://docs.google.com/spreadsheets/d/161aHT6vVT3SLneTKD19N5qVWtnj_jIT8CSsOmUVKmaA/e"&amp;"dit?gid=1761053510"",
          ""Haris_Form responses 1!$AQ:$AQ"")=5)
      ),
      1
    ),
    ""0""
  ),
  ""Form not found""
)
"),"Form not found")</f>
        <v>Form not found</v>
      </c>
      <c r="AW2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1!$E:$E"")=$B201) *
        (IMPORTRANGE(""https://docs.google.com/spreadsheets/d/161aHT6vVT3SLneTKD19N5qVWtnj_jIT8CSsOmUVKmaA/e"&amp;"dit?gid=1761053510"",
          ""Haris_Form responses 1!$AQ:$AQ"")=6)
      ),
      1
    ),
    ""0""
  ),
  ""Form not found""
)
"),"Form not found")</f>
        <v>Form not found</v>
      </c>
      <c r="AX2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1!$E:$E"")=$B201) *
        (IMPORTRANGE(""https://docs.google.com/spreadsheets/d/161aHT6vVT3SLneTKD19N5qVWtnj_jIT8CSsOmUVKmaA/e"&amp;"dit?gid=1761053510"",
          ""Haris_Form responses 1!$AQ:$AQ"")=1)
      ),
      1
    ),
    ""0""
  ),
  ""Form not found""
)
"),"0")</f>
        <v>0</v>
      </c>
      <c r="AY2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1!$E:$E"")=$B201) *
        (IMPORTRANGE(""https://docs.google.com/spreadsheets/d/161aHT6vVT3SLneTKD19N5qVWtnj_jIT8CSsOmUVKmaA/e"&amp;"dit?gid=1761053510"",
          ""Haris_Form responses 1!$AQ:$AQ"")=2)
      ),
      1
    ),
    ""0""
  ),
  ""Form not found""
)
"),"Form not found")</f>
        <v>Form not found</v>
      </c>
      <c r="AZ2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1!$E:$E"")=$B201) *
        (IMPORTRANGE(""https://docs.google.com/spreadsheets/d/161aHT6vVT3SLneTKD19N5qVWtnj_jIT8CSsOmUVKmaA/e"&amp;"dit?gid=1761053510"",
          ""Haris_Form responses 1!$AQ:$AQ"")=3)
      ),
      1
    ),
    ""0""
  ),
  ""Form not found""
)
"),"0")</f>
        <v>0</v>
      </c>
      <c r="BA2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1!$E:$E"")=$B201) *
        (IMPORTRANGE(""https://docs.google.com/spreadsheets/d/161aHT6vVT3SLneTKD19N5qVWtnj_jIT8CSsOmUVKmaA/e"&amp;"dit?gid=1761053510"",
          ""Haris_Form responses 1!$AQ:$AQ"")=4)
      ),
      1
    ),
    ""0""
  ),
  ""Form not found""
)
"),"Form not found")</f>
        <v>Form not found</v>
      </c>
      <c r="BB2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1!$E:$E"")=$B201) *
        (IMPORTRANGE(""https://docs.google.com/spreadsheets/d/161aHT6vVT3SLneTKD19N5qVWtnj_jIT8CSsOmUVKmaA/e"&amp;"dit?gid=1761053510"",
          ""Haris_Form responses 1!$AQ:$AQ"")=5)
      ),
      1
    ),
    ""0""
  ),
  ""Form not found""
)
"),"Form not found")</f>
        <v>Form not found</v>
      </c>
      <c r="BC2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1!$E:$E"")=$B201) *
        (IMPORTRANGE(""https://docs.google.com/spreadsheets/d/161aHT6vVT3SLneTKD19N5qVWtnj_jIT8CSsOmUVKmaA/e"&amp;"dit?gid=1761053510"",
          ""Haris_Form responses 1!$AQ:$AQ"")=6)
      ),
      1
    ),
    ""0""
  ),
  ""Form not found""
)
"),"Form not found")</f>
        <v>Form not found</v>
      </c>
      <c r="BD201" s="293"/>
    </row>
    <row r="202">
      <c r="A202" s="283" t="str">
        <f>IFERROR(__xludf.DUMMYFUNCTION("VLOOKUP($B202,IMPORTRANGE(""https://docs.google.com/spreadsheets/d/1VNXDITjs75AcgdBSW27oL1VZH31udDprJSsBcE5xlp4/edit?gid=1551188038#gid=1551188038"", ""Sheet9!$B:$E""),2,false)"),"Bahawalpure")</f>
        <v>Bahawalpure</v>
      </c>
      <c r="B202" s="283" t="s">
        <v>4643</v>
      </c>
      <c r="C202" s="284" t="str">
        <f>IFERROR(__xludf.DUMMYFUNCTION("VLOOKUP(TRIM($B202), IMPORTRANGE(""https://docs.google.com/spreadsheets/d/1aSOrU4PTpuBZqfitKaH1Rfww6-YOiNCKoBpPl8XBHaw/edit?gid=0#gid=0"", ""sheet3!$B:$C""), 2, FALSE)
"),"Jamia Masjid Sakhi Sultan Ahmad Shah Chak 1-BC")</f>
        <v>Jamia Masjid Sakhi Sultan Ahmad Shah Chak 1-BC</v>
      </c>
      <c r="D202" s="284" t="str">
        <f>IFERROR(__xludf.DUMMYFUNCTION("IFERROR(
  INDEX(
    FILTER(
      IMPORTRANGE(""1aSOrU4PTpuBZqfitKaH1Rfww6-YOiNCKoBpPl8XBHaw/edit?gid=0#gid=0"",""Sheet1!G:G""),
      IMPORTRANGE(""1aSOrU4PTpuBZqfitKaH1Rfww6-YOiNCKoBpPl8XBHaw/edit?gid=0#gid=0"",""Sheet1!C:C"")=$B202
    ),
    1
  ),
"&amp;"  ""Not Found""
)"),"Control")</f>
        <v>Control</v>
      </c>
      <c r="E202" s="284" t="str">
        <f>VLOOKUP(B202,'Juma Recording forms'!A:E,5,false)</f>
        <v>Jamia masjid darbar sakhi sultan check no 1bc</v>
      </c>
      <c r="F202" s="284" t="str">
        <f>IFERROR(__xludf.DUMMYFUNCTION("IFERROR(
  INDEX(
    FILTER(
      IMPORTRANGE(""1Cxrhp3-_-HS7v9uuqQliiIfrmMP4VaFoDNDWyUFy2J8/edit?gid=0#gid=0"",""Sheet1!Q:Q""),
      IMPORTRANGE(""1Cxrhp3-_-HS7v9uuqQliiIfrmMP4VaFoDNDWyUFy2J8/edit?gid=0#gid=0"",""Sheet1!K:K"")=$B202
    ),
    1
  ),
"&amp;"  ""Not Found""
)"),"Not Found")</f>
        <v>Not Found</v>
      </c>
      <c r="G202" s="292">
        <v>1990.0</v>
      </c>
      <c r="H202" s="284"/>
      <c r="I202" s="285" t="s">
        <v>197</v>
      </c>
      <c r="J202" s="286">
        <v>1.0</v>
      </c>
      <c r="K202" s="287" t="str">
        <f>VLOOKUP($B202,'Mosque Locations'!$A:$E,3,FALSE)
</f>
        <v>https://maps.google.com/?q=29.4567648,71.9538872</v>
      </c>
      <c r="L202" s="286">
        <f>VLOOKUP($B202,'Mosque Locations'!$A:$E,4,FALSE)
</f>
        <v>29.45676</v>
      </c>
      <c r="M202" s="286">
        <f>VLOOKUP($B202,'Mosque Locations'!$A:$E,5,false)</f>
        <v>71.95389</v>
      </c>
      <c r="N202" s="288"/>
      <c r="O202" s="288"/>
      <c r="P202" s="288"/>
      <c r="Q202" s="290" t="str">
        <f>IFERROR(__xludf.DUMMYFUNCTION("IFERROR(
  INDEX(
    FILTER(
      IMPORTRANGE(""1kOrIKZmJfNUkgOVP3sI9BPjaaPA0_a4636oymQxTXg8"",""Form Responses 1!N:N""),
      TRIM(IMPORTRANGE(""1kOrIKZmJfNUkgOVP3sI9BPjaaPA0_a4636oymQxTXg8"",""Form Responses 1!F:F""))=TRIM($B202)
    ),
    1
  ),
  "&amp;"""Not Found""
)
"),"https://drive.google.com/open?id=1n9h4-T4cFYoK5kku-3e5Mf1YnPUs6ksx")</f>
        <v>https://drive.google.com/open?id=1n9h4-T4cFYoK5kku-3e5Mf1YnPUs6ksx</v>
      </c>
      <c r="R202" s="290" t="str">
        <f>IFERROR(__xludf.DUMMYFUNCTION("IFERROR(
  INDEX(
    FILTER(
      IMPORTRANGE(""1kOrIKZmJfNUkgOVP3sI9BPjaaPA0_a4636oymQxTXg8"",""Form Responses 1!M:M""),
      TRIM(IMPORTRANGE(""1kOrIKZmJfNUkgOVP3sI9BPjaaPA0_a4636oymQxTXg8"",""Form Responses 1!F:F""))=TRIM($B202)
    ),
    1
  ),
  "&amp;"""Not Found""
)
"),"https://drive.google.com/open?id=13SoFzYVFwPBhzG7vkRcr7YJbQJ0Eyb86")</f>
        <v>https://drive.google.com/open?id=13SoFzYVFwPBhzG7vkRcr7YJbQJ0Eyb86</v>
      </c>
      <c r="S202" s="285"/>
      <c r="T202" s="290" t="str">
        <f>VLOOKUP($B202,'Master Tracker'!D:E,2,false)</f>
        <v>https://drive.google.com/open?id=1m_oQjcpq592-hOSd1OFbGi32C73oxsm5</v>
      </c>
      <c r="U202" s="291" t="str">
        <f>VLOOKUP($B202,'Master Tracker'!$D:$T,4,FALSE)
</f>
        <v>https://drive.google.com/open?id=1sTGXOiyMN-W5zxpXsxmQtxZH8_L--MjXEzdA8i_DF8Y</v>
      </c>
      <c r="V202" s="284" t="str">
        <f>VLOOKUP($B202,'Master Tracker'!$D:$T,5,false)</f>
        <v>Not Found</v>
      </c>
      <c r="W202" s="292" t="str">
        <f>VLOOKUP($B202,'Master Tracker'!$D:$T,7,false)</f>
        <v>Not Found</v>
      </c>
      <c r="X202" s="290" t="str">
        <f>VLOOKUP($B202,'Master Tracker'!$D:$T,8,false)</f>
        <v>https://drive.google.com/open?id=1VNGy8CkJ_dXqKg_yqTZSDKZ5Btt-H_30</v>
      </c>
      <c r="Y202" s="291" t="str">
        <f>VLOOKUP($B202,'Master Tracker'!$D:$T,10,false)</f>
        <v>https://drive.google.com/open?id=1LdyZmre-fwXbW6Xe9M_oX_OsTnfjFUCG</v>
      </c>
      <c r="Z202" s="284" t="str">
        <f>VLOOKUP($B202,'Master Tracker'!$D:$T,11,false)</f>
        <v>Not Found</v>
      </c>
      <c r="AA202" s="292" t="str">
        <f>VLOOKUP($B202,'Master Tracker'!$D:$T,13,false)</f>
        <v>Not Found</v>
      </c>
      <c r="AB202" s="284" t="str">
        <f>VLOOKUP($B202,'Master Tracker'!$D:$T,14,false)</f>
        <v>Not Found</v>
      </c>
      <c r="AC202" s="292" t="str">
        <f>VLOOKUP($B202,'Master Tracker'!$D:$T,16,false)</f>
        <v>Not Found</v>
      </c>
      <c r="AD202" s="292" t="str">
        <f>VLOOKUP($B202,'Master Tracker'!$D:$T,17,false)</f>
        <v>Not Found</v>
      </c>
      <c r="AE202" s="292" t="str">
        <f>VLOOKUP($B202,'Master Tracker'!$D:$V,19,false)</f>
        <v>Not Found</v>
      </c>
      <c r="AF202" s="292">
        <f>IFERROR(__xludf.DUMMYFUNCTION("IFERROR(
  INDEX(
    FILTER(
      'Juma Recording forms'!$G:$G,
      TRIM('Juma Recording forms'!$F:$F) = TRIM($B202),
      'Juma Recording forms'!$AA:$AA = 1
    ),
    1
  ),
  ""Not Found""
)"),250.0)</f>
        <v>250</v>
      </c>
      <c r="AG202" s="292" t="str">
        <f>IFERROR(__xludf.DUMMYFUNCTION("IFERROR(
  INDEX(
    FILTER(
      'Juma Recording forms'!$G:$G,
      TRIM('Juma Recording forms'!$F:$F) = TRIM($B202),
      'Juma Recording forms'!$AA:$AA = 2
    ),
    1
  ),
  ""Not Found""
)"),"Not Found")</f>
        <v>Not Found</v>
      </c>
      <c r="AH202" s="292">
        <f>IFERROR(__xludf.DUMMYFUNCTION("IFERROR(
  INDEX(
    FILTER(
      'Juma Recording forms'!$G:$G,
      TRIM('Juma Recording forms'!$F:$F) = TRIM($B202),
      'Juma Recording forms'!$AA:$AA = 3
    ),
    1
  ),
  ""Not Found""
)"),280.0)</f>
        <v>280</v>
      </c>
      <c r="AI202" s="292" t="str">
        <f>IFERROR(__xludf.DUMMYFUNCTION("IFERROR(
  INDEX(
    FILTER(
      'Juma Recording forms'!$G:$G,
      TRIM('Juma Recording forms'!$F:$F) = TRIM($B202),
      'Juma Recording forms'!$AA:$AA = 4
    ),
    1
  ),
  ""Not Found""
)"),"Not Found")</f>
        <v>Not Found</v>
      </c>
      <c r="AJ202" s="292" t="str">
        <f>IFERROR(__xludf.DUMMYFUNCTION("IFERROR(
  INDEX(
    FILTER(
      'Juma Recording forms'!$G:$G,
      TRIM('Juma Recording forms'!$F:$F) = TRIM($B202),
      'Juma Recording forms'!$AA:$AA = 5
    ),
    1
  ),
  ""Not Found""
)"),"Not Found")</f>
        <v>Not Found</v>
      </c>
      <c r="AK202" s="292"/>
      <c r="AL2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1!$E:$E"")=$B202) *
        (IMPORTRANGE(""https://docs.google.com/spreadsheets/d/161aHT6vVT3SLneTKD19N5qVWtnj_jIT8CSsOmUVKmaA/e"&amp;"dit?gid=1761053510"",
          ""Haris_Form responses 1!$AQ:$AQ"")=1)
      ),
      1
    ),
    ""0""
  ),
  ""Form not found""
)
"),"0")</f>
        <v>0</v>
      </c>
      <c r="AM2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1!$E:$E"")=$B202) *
        (IMPORTRANGE(""https://docs.google.com/spreadsheets/d/161aHT6vVT3SLneTKD19N5qVWtnj_jIT8CSsOmUVKmaA/e"&amp;"dit?gid=1761053510"",
          ""Haris_Form responses 1!$AQ:$AQ"")=2)
      ),
      1
    ),
    ""0""
  ),
  ""Form not found""
)
"),"Form not found")</f>
        <v>Form not found</v>
      </c>
      <c r="AN2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1!$E:$E"")=$B202) *
        (IMPORTRANGE(""https://docs.google.com/spreadsheets/d/161aHT6vVT3SLneTKD19N5qVWtnj_jIT8CSsOmUVKmaA/e"&amp;"dit?gid=1761053510"",
          ""Haris_Form responses 1!$AQ:$AQ"")=3)
      ),
      1
    ),
    ""0""
  ),
  ""Form not found""
)
"),"0")</f>
        <v>0</v>
      </c>
      <c r="AO2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1!$E:$E"")=$B202) *
        (IMPORTRANGE(""https://docs.google.com/spreadsheets/d/161aHT6vVT3SLneTKD19N5qVWtnj_jIT8CSsOmUVKmaA/e"&amp;"dit?gid=1761053510"",
          ""Haris_Form responses 1!$AQ:$AQ"")=4)
      ),
      1
    ),
    ""0""
  ),
  ""Form not found""
)
"),"Form not found")</f>
        <v>Form not found</v>
      </c>
      <c r="AP2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1!$E:$E"")=$B202) *
        (IMPORTRANGE(""https://docs.google.com/spreadsheets/d/161aHT6vVT3SLneTKD19N5qVWtnj_jIT8CSsOmUVKmaA/e"&amp;"dit?gid=1761053510"",
          ""Haris_Form responses 1!$AQ:$AQ"")=5)
      ),
      1
    ),
    ""0""
  ),
  ""Form not found""
)
"),"Form not found")</f>
        <v>Form not found</v>
      </c>
      <c r="AQ2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1!$E:$E"")=$B202) *
        (IMPORTRANGE(""https://docs.google.com/spreadsheets/d/161aHT6vVT3SLneTKD19N5qVWtnj_jIT8CSsOmUVKmaA/e"&amp;"dit?gid=1761053510"",
          ""Haris_Form responses 1!$AQ:$AQ"")=6)
      ),
      1
    ),
    ""0""
  ),
  ""Form not found""
)
"),"Form not found")</f>
        <v>Form not found</v>
      </c>
      <c r="AR2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1!$E:$E"")=$B202) *
        (IMPORTRANGE(""https://docs.google.com/spreadsheets/d/161aHT6vVT3SLneTKD19N5qVWtnj_jIT8CSsOmUVKmaA/e"&amp;"dit?gid=1761053510"",
          ""Haris_Form responses 1!$AQ:$AQ"")=1)
      ),
      1
    ),
    ""0""
  ),
  ""Form not found""
)
"),"0")</f>
        <v>0</v>
      </c>
      <c r="AS2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1!$E:$E"")=$B202) *
        (IMPORTRANGE(""https://docs.google.com/spreadsheets/d/161aHT6vVT3SLneTKD19N5qVWtnj_jIT8CSsOmUVKmaA/e"&amp;"dit?gid=1761053510"",
          ""Haris_Form responses 1!$AQ:$AQ"")=2)
      ),
      1
    ),
    ""0""
  ),
  ""Form not found""
)
"),"Form not found")</f>
        <v>Form not found</v>
      </c>
      <c r="AT2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1!$E:$E"")=$B202) *
        (IMPORTRANGE(""https://docs.google.com/spreadsheets/d/161aHT6vVT3SLneTKD19N5qVWtnj_jIT8CSsOmUVKmaA/e"&amp;"dit?gid=1761053510"",
          ""Haris_Form responses 1!$AQ:$AQ"")=3)
      ),
      1
    ),
    ""0""
  ),
  ""Form not found""
)
"),"0")</f>
        <v>0</v>
      </c>
      <c r="AU2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1!$E:$E"")=$B202) *
        (IMPORTRANGE(""https://docs.google.com/spreadsheets/d/161aHT6vVT3SLneTKD19N5qVWtnj_jIT8CSsOmUVKmaA/e"&amp;"dit?gid=1761053510"",
          ""Haris_Form responses 1!$AQ:$AQ"")=4)
      ),
      1
    ),
    ""0""
  ),
  ""Form not found""
)
"),"Form not found")</f>
        <v>Form not found</v>
      </c>
      <c r="AV2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1!$E:$E"")=$B202) *
        (IMPORTRANGE(""https://docs.google.com/spreadsheets/d/161aHT6vVT3SLneTKD19N5qVWtnj_jIT8CSsOmUVKmaA/e"&amp;"dit?gid=1761053510"",
          ""Haris_Form responses 1!$AQ:$AQ"")=5)
      ),
      1
    ),
    ""0""
  ),
  ""Form not found""
)
"),"Form not found")</f>
        <v>Form not found</v>
      </c>
      <c r="AW2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1!$E:$E"")=$B202) *
        (IMPORTRANGE(""https://docs.google.com/spreadsheets/d/161aHT6vVT3SLneTKD19N5qVWtnj_jIT8CSsOmUVKmaA/e"&amp;"dit?gid=1761053510"",
          ""Haris_Form responses 1!$AQ:$AQ"")=6)
      ),
      1
    ),
    ""0""
  ),
  ""Form not found""
)
"),"Form not found")</f>
        <v>Form not found</v>
      </c>
      <c r="AX2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1!$E:$E"")=$B202) *
        (IMPORTRANGE(""https://docs.google.com/spreadsheets/d/161aHT6vVT3SLneTKD19N5qVWtnj_jIT8CSsOmUVKmaA/e"&amp;"dit?gid=1761053510"",
          ""Haris_Form responses 1!$AQ:$AQ"")=1)
      ),
      1
    ),
    ""0""
  ),
  ""Form not found""
)
"),"0")</f>
        <v>0</v>
      </c>
      <c r="AY2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1!$E:$E"")=$B202) *
        (IMPORTRANGE(""https://docs.google.com/spreadsheets/d/161aHT6vVT3SLneTKD19N5qVWtnj_jIT8CSsOmUVKmaA/e"&amp;"dit?gid=1761053510"",
          ""Haris_Form responses 1!$AQ:$AQ"")=2)
      ),
      1
    ),
    ""0""
  ),
  ""Form not found""
)
"),"Form not found")</f>
        <v>Form not found</v>
      </c>
      <c r="AZ2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1!$E:$E"")=$B202) *
        (IMPORTRANGE(""https://docs.google.com/spreadsheets/d/161aHT6vVT3SLneTKD19N5qVWtnj_jIT8CSsOmUVKmaA/e"&amp;"dit?gid=1761053510"",
          ""Haris_Form responses 1!$AQ:$AQ"")=3)
      ),
      1
    ),
    ""0""
  ),
  ""Form not found""
)
"),"0")</f>
        <v>0</v>
      </c>
      <c r="BA2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1!$E:$E"")=$B202) *
        (IMPORTRANGE(""https://docs.google.com/spreadsheets/d/161aHT6vVT3SLneTKD19N5qVWtnj_jIT8CSsOmUVKmaA/e"&amp;"dit?gid=1761053510"",
          ""Haris_Form responses 1!$AQ:$AQ"")=4)
      ),
      1
    ),
    ""0""
  ),
  ""Form not found""
)
"),"Form not found")</f>
        <v>Form not found</v>
      </c>
      <c r="BB2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1!$E:$E"")=$B202) *
        (IMPORTRANGE(""https://docs.google.com/spreadsheets/d/161aHT6vVT3SLneTKD19N5qVWtnj_jIT8CSsOmUVKmaA/e"&amp;"dit?gid=1761053510"",
          ""Haris_Form responses 1!$AQ:$AQ"")=5)
      ),
      1
    ),
    ""0""
  ),
  ""Form not found""
)
"),"Form not found")</f>
        <v>Form not found</v>
      </c>
      <c r="BC2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1!$E:$E"")=$B202) *
        (IMPORTRANGE(""https://docs.google.com/spreadsheets/d/161aHT6vVT3SLneTKD19N5qVWtnj_jIT8CSsOmUVKmaA/e"&amp;"dit?gid=1761053510"",
          ""Haris_Form responses 1!$AQ:$AQ"")=6)
      ),
      1
    ),
    ""0""
  ),
  ""Form not found""
)
"),"Form not found")</f>
        <v>Form not found</v>
      </c>
      <c r="BD202" s="293"/>
    </row>
    <row r="203">
      <c r="A203" s="283" t="str">
        <f>IFERROR(__xludf.DUMMYFUNCTION("VLOOKUP($B203,IMPORTRANGE(""https://docs.google.com/spreadsheets/d/1VNXDITjs75AcgdBSW27oL1VZH31udDprJSsBcE5xlp4/edit?gid=1551188038#gid=1551188038"", ""Sheet9!$B:$E""),2,false)"),"Bahawalpure")</f>
        <v>Bahawalpure</v>
      </c>
      <c r="B203" s="283" t="s">
        <v>4873</v>
      </c>
      <c r="C203" s="284" t="str">
        <f>IFERROR(__xludf.DUMMYFUNCTION("VLOOKUP(TRIM($B203), IMPORTRANGE(""https://docs.google.com/spreadsheets/d/1aSOrU4PTpuBZqfitKaH1Rfww6-YOiNCKoBpPl8XBHaw/edit?gid=0#gid=0"", ""sheet3!$B:$C""), 2, FALSE)
"),"Jamia Masjid Sheikh Muhammad Syed Wali Fareed Gate")</f>
        <v>Jamia Masjid Sheikh Muhammad Syed Wali Fareed Gate</v>
      </c>
      <c r="D203" s="284" t="str">
        <f>IFERROR(__xludf.DUMMYFUNCTION("IFERROR(
  INDEX(
    FILTER(
      IMPORTRANGE(""1aSOrU4PTpuBZqfitKaH1Rfww6-YOiNCKoBpPl8XBHaw/edit?gid=0#gid=0"",""Sheet1!G:G""),
      IMPORTRANGE(""1aSOrU4PTpuBZqfitKaH1Rfww6-YOiNCKoBpPl8XBHaw/edit?gid=0#gid=0"",""Sheet1!C:C"")=$B203
    ),
    1
  ),
"&amp;"  ""Not Found""
)"),"Women Religious Info Share")</f>
        <v>Women Religious Info Share</v>
      </c>
      <c r="E203" s="284" t="str">
        <f>VLOOKUP(B203,'Juma Recording forms'!A:E,5,false)</f>
        <v>Jamia masjid sheakh Syed wali Fareed gate</v>
      </c>
      <c r="F203" s="284" t="str">
        <f>IFERROR(__xludf.DUMMYFUNCTION("IFERROR(
  INDEX(
    FILTER(
      IMPORTRANGE(""1Cxrhp3-_-HS7v9uuqQliiIfrmMP4VaFoDNDWyUFy2J8/edit?gid=0#gid=0"",""Sheet1!Q:Q""),
      IMPORTRANGE(""1Cxrhp3-_-HS7v9uuqQliiIfrmMP4VaFoDNDWyUFy2J8/edit?gid=0#gid=0"",""Sheet1!K:K"")=$B203
    ),
    1
  ),
"&amp;"  ""Not Found""
)"),"Muhammad Nazik")</f>
        <v>Muhammad Nazik</v>
      </c>
      <c r="G203" s="284">
        <v>1997.0</v>
      </c>
      <c r="H203" s="284"/>
      <c r="I203" s="285" t="s">
        <v>197</v>
      </c>
      <c r="J203" s="286">
        <v>2.0</v>
      </c>
      <c r="K203" s="287" t="str">
        <f>VLOOKUP($B203,'Mosque Locations'!$A:$E,3,FALSE)
</f>
        <v>https://www.google.com/maps?q=29.3964518,71.673127</v>
      </c>
      <c r="L203" s="286">
        <f>VLOOKUP($B203,'Mosque Locations'!$A:$E,4,FALSE)
</f>
        <v>29.39645</v>
      </c>
      <c r="M203" s="286">
        <f>VLOOKUP($B203,'Mosque Locations'!$A:$E,5,false)</f>
        <v>71.67313</v>
      </c>
      <c r="N203" s="288"/>
      <c r="O203" s="288"/>
      <c r="P203" s="288"/>
      <c r="Q203" s="290" t="str">
        <f>IFERROR(__xludf.DUMMYFUNCTION("IFERROR(
  INDEX(
    FILTER(
      IMPORTRANGE(""1kOrIKZmJfNUkgOVP3sI9BPjaaPA0_a4636oymQxTXg8"",""Form Responses 1!N:N""),
      TRIM(IMPORTRANGE(""1kOrIKZmJfNUkgOVP3sI9BPjaaPA0_a4636oymQxTXg8"",""Form Responses 1!F:F""))=TRIM($B203)
    ),
    1
  ),
  "&amp;"""Not Found""
)
"),"https://drive.google.com/open?id=1qrJSUgy3lgQ5mprhOeilCsBL0vv05tjv")</f>
        <v>https://drive.google.com/open?id=1qrJSUgy3lgQ5mprhOeilCsBL0vv05tjv</v>
      </c>
      <c r="R203" s="290" t="str">
        <f>IFERROR(__xludf.DUMMYFUNCTION("IFERROR(
  INDEX(
    FILTER(
      IMPORTRANGE(""1kOrIKZmJfNUkgOVP3sI9BPjaaPA0_a4636oymQxTXg8"",""Form Responses 1!M:M""),
      TRIM(IMPORTRANGE(""1kOrIKZmJfNUkgOVP3sI9BPjaaPA0_a4636oymQxTXg8"",""Form Responses 1!F:F""))=TRIM($B203)
    ),
    1
  ),
  "&amp;"""Not Found""
)
"),"https://drive.google.com/open?id=1Znf_V_ZuNHWlz_mNkU-z_tCR7dvkT9dy")</f>
        <v>https://drive.google.com/open?id=1Znf_V_ZuNHWlz_mNkU-z_tCR7dvkT9dy</v>
      </c>
      <c r="S203" s="285"/>
      <c r="T203" s="290" t="str">
        <f>VLOOKUP($B203,'Master Tracker'!D:E,2,false)</f>
        <v>https://drive.google.com/open?id=16z8Z03TJdCu4PSRPj7tpCHqCTemsYecC</v>
      </c>
      <c r="U203" s="291" t="str">
        <f>VLOOKUP($B203,'Master Tracker'!$D:$T,4,FALSE)
</f>
        <v>https://drive.google.com/open?id=1NXxi1j3q2XjlnI6-1qCozh963kjyc9RJI5YIoicJFSw</v>
      </c>
      <c r="V203" s="290" t="str">
        <f>VLOOKUP($B203,'Master Tracker'!$D:$T,5,false)</f>
        <v>https://drive.google.com/open?id=1OQvb7Xa9CnYEA_TJo-zgs7_x2UuoTxlS</v>
      </c>
      <c r="W203" s="291" t="str">
        <f>VLOOKUP($B203,'Master Tracker'!$D:$T,7,false)</f>
        <v>https://drive.google.com/open?id=1dTCkOBDWnS4SKr4nRHJjAAMXnVeO_qyr</v>
      </c>
      <c r="X203" s="290" t="str">
        <f>VLOOKUP($B203,'Master Tracker'!$D:$T,8,false)</f>
        <v>https://drive.google.com/open?id=19Q9LJiMqVjVkgQK5CD0eeZUw6tpWpmXs</v>
      </c>
      <c r="Y203" s="291" t="str">
        <f>VLOOKUP($B203,'Master Tracker'!$D:$T,10,false)</f>
        <v>https://drive.google.com/open?id=1z_VhX-MOWFYrusFurVaNiSLGI6M4Q-Rr</v>
      </c>
      <c r="Z203" s="284" t="str">
        <f>VLOOKUP($B203,'Master Tracker'!$D:$T,11,false)</f>
        <v>Not Found</v>
      </c>
      <c r="AA203" s="292" t="str">
        <f>VLOOKUP($B203,'Master Tracker'!$D:$T,13,false)</f>
        <v>Not Found</v>
      </c>
      <c r="AB203" s="284" t="str">
        <f>VLOOKUP($B203,'Master Tracker'!$D:$T,14,false)</f>
        <v>Not Found</v>
      </c>
      <c r="AC203" s="292" t="str">
        <f>VLOOKUP($B203,'Master Tracker'!$D:$T,16,false)</f>
        <v>Not Found</v>
      </c>
      <c r="AD203" s="292" t="str">
        <f>VLOOKUP($B203,'Master Tracker'!$D:$T,17,false)</f>
        <v>Not Found</v>
      </c>
      <c r="AE203" s="292" t="str">
        <f>VLOOKUP($B203,'Master Tracker'!$D:$V,19,false)</f>
        <v>Not Found</v>
      </c>
      <c r="AF203" s="292">
        <f>IFERROR(__xludf.DUMMYFUNCTION("IFERROR(
  INDEX(
    FILTER(
      'Juma Recording forms'!$G:$G,
      TRIM('Juma Recording forms'!$F:$F) = TRIM($B203),
      'Juma Recording forms'!$AA:$AA = 1
    ),
    1
  ),
  ""Not Found""
)"),430.0)</f>
        <v>430</v>
      </c>
      <c r="AG203" s="292">
        <f>IFERROR(__xludf.DUMMYFUNCTION("IFERROR(
  INDEX(
    FILTER(
      'Juma Recording forms'!$G:$G,
      TRIM('Juma Recording forms'!$F:$F) = TRIM($B203),
      'Juma Recording forms'!$AA:$AA = 2
    ),
    1
  ),
  ""Not Found""
)"),407.0)</f>
        <v>407</v>
      </c>
      <c r="AH203" s="292">
        <f>IFERROR(__xludf.DUMMYFUNCTION("IFERROR(
  INDEX(
    FILTER(
      'Juma Recording forms'!$G:$G,
      TRIM('Juma Recording forms'!$F:$F) = TRIM($B203),
      'Juma Recording forms'!$AA:$AA = 3
    ),
    1
  ),
  ""Not Found""
)"),416.0)</f>
        <v>416</v>
      </c>
      <c r="AI203" s="292" t="str">
        <f>IFERROR(__xludf.DUMMYFUNCTION("IFERROR(
  INDEX(
    FILTER(
      'Juma Recording forms'!$G:$G,
      TRIM('Juma Recording forms'!$F:$F) = TRIM($B203),
      'Juma Recording forms'!$AA:$AA = 4
    ),
    1
  ),
  ""Not Found""
)"),"Not Found")</f>
        <v>Not Found</v>
      </c>
      <c r="AJ203" s="292" t="str">
        <f>IFERROR(__xludf.DUMMYFUNCTION("IFERROR(
  INDEX(
    FILTER(
      'Juma Recording forms'!$G:$G,
      TRIM('Juma Recording forms'!$F:$F) = TRIM($B203),
      'Juma Recording forms'!$AA:$AA = 5
    ),
    1
  ),
  ""Not Found""
)"),"Not Found")</f>
        <v>Not Found</v>
      </c>
      <c r="AK203" s="292" t="str">
        <f>IFERROR(__xludf.DUMMYFUNCTION("IFERROR(
  INDEX(
    FILTER(
      'Juma Recording forms'!$G:$G,
      TRIM('Juma Recording forms'!$F:$F) = TRIM($B203),
      'Juma Recording forms'!$AA:$AA = 6
    ),
    1
  ),
  ""Not Found""
)"),"Not Found")</f>
        <v>Not Found</v>
      </c>
      <c r="AL2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1!$E:$E"")=$B203) *
        (IMPORTRANGE(""https://docs.google.com/spreadsheets/d/161aHT6vVT3SLneTKD19N5qVWtnj_jIT8CSsOmUVKmaA/e"&amp;"dit?gid=1761053510"",
          ""Haris_Form responses 1!$AQ:$AQ"")=1)
      ),
      1
    ),
    ""0""
  ),
  ""Form not found""
)
"),"10")</f>
        <v>10</v>
      </c>
      <c r="AM2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1!$E:$E"")=$B203) *
        (IMPORTRANGE(""https://docs.google.com/spreadsheets/d/161aHT6vVT3SLneTKD19N5qVWtnj_jIT8CSsOmUVKmaA/e"&amp;"dit?gid=1761053510"",
          ""Haris_Form responses 1!$AQ:$AQ"")=2)
      ),
      1
    ),
    ""0""
  ),
  ""Form not found""
)
"),"10")</f>
        <v>10</v>
      </c>
      <c r="AN2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1!$E:$E"")=$B203) *
        (IMPORTRANGE(""https://docs.google.com/spreadsheets/d/161aHT6vVT3SLneTKD19N5qVWtnj_jIT8CSsOmUVKmaA/e"&amp;"dit?gid=1761053510"",
          ""Haris_Form responses 1!$AQ:$AQ"")=3)
      ),
      1
    ),
    ""0""
  ),
  ""Form not found""
)
"),"0")</f>
        <v>0</v>
      </c>
      <c r="AO2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1!$E:$E"")=$B203) *
        (IMPORTRANGE(""https://docs.google.com/spreadsheets/d/161aHT6vVT3SLneTKD19N5qVWtnj_jIT8CSsOmUVKmaA/e"&amp;"dit?gid=1761053510"",
          ""Haris_Form responses 1!$AQ:$AQ"")=4)
      ),
      1
    ),
    ""0""
  ),
  ""Form not found""
)
"),"Form not found")</f>
        <v>Form not found</v>
      </c>
      <c r="AP2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1!$E:$E"")=$B203) *
        (IMPORTRANGE(""https://docs.google.com/spreadsheets/d/161aHT6vVT3SLneTKD19N5qVWtnj_jIT8CSsOmUVKmaA/e"&amp;"dit?gid=1761053510"",
          ""Haris_Form responses 1!$AQ:$AQ"")=5)
      ),
      1
    ),
    ""0""
  ),
  ""Form not found""
)
"),"Form not found")</f>
        <v>Form not found</v>
      </c>
      <c r="AQ2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1!$E:$E"")=$B203) *
        (IMPORTRANGE(""https://docs.google.com/spreadsheets/d/161aHT6vVT3SLneTKD19N5qVWtnj_jIT8CSsOmUVKmaA/e"&amp;"dit?gid=1761053510"",
          ""Haris_Form responses 1!$AQ:$AQ"")=6)
      ),
      1
    ),
    ""0""
  ),
  ""Form not found""
)
"),"Form not found")</f>
        <v>Form not found</v>
      </c>
      <c r="AR2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1!$E:$E"")=$B203) *
        (IMPORTRANGE(""https://docs.google.com/spreadsheets/d/161aHT6vVT3SLneTKD19N5qVWtnj_jIT8CSsOmUVKmaA/e"&amp;"dit?gid=1761053510"",
          ""Haris_Form responses 1!$AQ:$AQ"")=1)
      ),
      1
    ),
    ""0""
  ),
  ""Form not found""
)
"),"0")</f>
        <v>0</v>
      </c>
      <c r="AS2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1!$E:$E"")=$B203) *
        (IMPORTRANGE(""https://docs.google.com/spreadsheets/d/161aHT6vVT3SLneTKD19N5qVWtnj_jIT8CSsOmUVKmaA/e"&amp;"dit?gid=1761053510"",
          ""Haris_Form responses 1!$AQ:$AQ"")=2)
      ),
      1
    ),
    ""0""
  ),
  ""Form not found""
)
"),"0")</f>
        <v>0</v>
      </c>
      <c r="AT2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1!$E:$E"")=$B203) *
        (IMPORTRANGE(""https://docs.google.com/spreadsheets/d/161aHT6vVT3SLneTKD19N5qVWtnj_jIT8CSsOmUVKmaA/e"&amp;"dit?gid=1761053510"",
          ""Haris_Form responses 1!$AQ:$AQ"")=3)
      ),
      1
    ),
    ""0""
  ),
  ""Form not found""
)
"),"0")</f>
        <v>0</v>
      </c>
      <c r="AU2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1!$E:$E"")=$B203) *
        (IMPORTRANGE(""https://docs.google.com/spreadsheets/d/161aHT6vVT3SLneTKD19N5qVWtnj_jIT8CSsOmUVKmaA/e"&amp;"dit?gid=1761053510"",
          ""Haris_Form responses 1!$AQ:$AQ"")=4)
      ),
      1
    ),
    ""0""
  ),
  ""Form not found""
)
"),"Form not found")</f>
        <v>Form not found</v>
      </c>
      <c r="AV2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1!$E:$E"")=$B203) *
        (IMPORTRANGE(""https://docs.google.com/spreadsheets/d/161aHT6vVT3SLneTKD19N5qVWtnj_jIT8CSsOmUVKmaA/e"&amp;"dit?gid=1761053510"",
          ""Haris_Form responses 1!$AQ:$AQ"")=5)
      ),
      1
    ),
    ""0""
  ),
  ""Form not found""
)
"),"Form not found")</f>
        <v>Form not found</v>
      </c>
      <c r="AW2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1!$E:$E"")=$B203) *
        (IMPORTRANGE(""https://docs.google.com/spreadsheets/d/161aHT6vVT3SLneTKD19N5qVWtnj_jIT8CSsOmUVKmaA/e"&amp;"dit?gid=1761053510"",
          ""Haris_Form responses 1!$AQ:$AQ"")=6)
      ),
      1
    ),
    ""0""
  ),
  ""Form not found""
)
"),"Form not found")</f>
        <v>Form not found</v>
      </c>
      <c r="AX2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1!$E:$E"")=$B203) *
        (IMPORTRANGE(""https://docs.google.com/spreadsheets/d/161aHT6vVT3SLneTKD19N5qVWtnj_jIT8CSsOmUVKmaA/e"&amp;"dit?gid=1761053510"",
          ""Haris_Form responses 1!$AQ:$AQ"")=1)
      ),
      1
    ),
    ""0""
  ),
  ""Form not found""
)
"),"10")</f>
        <v>10</v>
      </c>
      <c r="AY2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1!$E:$E"")=$B203) *
        (IMPORTRANGE(""https://docs.google.com/spreadsheets/d/161aHT6vVT3SLneTKD19N5qVWtnj_jIT8CSsOmUVKmaA/e"&amp;"dit?gid=1761053510"",
          ""Haris_Form responses 1!$AQ:$AQ"")=2)
      ),
      1
    ),
    ""0""
  ),
  ""Form not found""
)
"),"10")</f>
        <v>10</v>
      </c>
      <c r="AZ2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1!$E:$E"")=$B203) *
        (IMPORTRANGE(""https://docs.google.com/spreadsheets/d/161aHT6vVT3SLneTKD19N5qVWtnj_jIT8CSsOmUVKmaA/e"&amp;"dit?gid=1761053510"",
          ""Haris_Form responses 1!$AQ:$AQ"")=3)
      ),
      1
    ),
    ""0""
  ),
  ""Form not found""
)
"),"0")</f>
        <v>0</v>
      </c>
      <c r="BA2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1!$E:$E"")=$B203) *
        (IMPORTRANGE(""https://docs.google.com/spreadsheets/d/161aHT6vVT3SLneTKD19N5qVWtnj_jIT8CSsOmUVKmaA/e"&amp;"dit?gid=1761053510"",
          ""Haris_Form responses 1!$AQ:$AQ"")=4)
      ),
      1
    ),
    ""0""
  ),
  ""Form not found""
)
"),"Form not found")</f>
        <v>Form not found</v>
      </c>
      <c r="BB2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1!$E:$E"")=$B203) *
        (IMPORTRANGE(""https://docs.google.com/spreadsheets/d/161aHT6vVT3SLneTKD19N5qVWtnj_jIT8CSsOmUVKmaA/e"&amp;"dit?gid=1761053510"",
          ""Haris_Form responses 1!$AQ:$AQ"")=5)
      ),
      1
    ),
    ""0""
  ),
  ""Form not found""
)
"),"Form not found")</f>
        <v>Form not found</v>
      </c>
      <c r="BC2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1!$E:$E"")=$B203) *
        (IMPORTRANGE(""https://docs.google.com/spreadsheets/d/161aHT6vVT3SLneTKD19N5qVWtnj_jIT8CSsOmUVKmaA/e"&amp;"dit?gid=1761053510"",
          ""Haris_Form responses 1!$AQ:$AQ"")=6)
      ),
      1
    ),
    ""0""
  ),
  ""Form not found""
)
"),"Form not found")</f>
        <v>Form not found</v>
      </c>
      <c r="BD203" s="293"/>
    </row>
    <row r="204">
      <c r="A204" s="283" t="str">
        <f>IFERROR(__xludf.DUMMYFUNCTION("VLOOKUP($B204,IMPORTRANGE(""https://docs.google.com/spreadsheets/d/1VNXDITjs75AcgdBSW27oL1VZH31udDprJSsBcE5xlp4/edit?gid=1551188038#gid=1551188038"", ""Sheet9!$B:$E""),2,false)"),"Bahawalpure")</f>
        <v>Bahawalpure</v>
      </c>
      <c r="B204" s="283" t="s">
        <v>4644</v>
      </c>
      <c r="C204" s="284" t="str">
        <f>IFERROR(__xludf.DUMMYFUNCTION("VLOOKUP(TRIM($B204), IMPORTRANGE(""https://docs.google.com/spreadsheets/d/1aSOrU4PTpuBZqfitKaH1Rfww6-YOiNCKoBpPl8XBHaw/edit?gid=0#gid=0"", ""sheet3!$B:$C""), 2, FALSE)
"),"Jamia Masjid Shahe Dera Nawab Shahab")</f>
        <v>Jamia Masjid Shahe Dera Nawab Shahab</v>
      </c>
      <c r="D204" s="284" t="str">
        <f>IFERROR(__xludf.DUMMYFUNCTION("IFERROR(
  INDEX(
    FILTER(
      IMPORTRANGE(""1aSOrU4PTpuBZqfitKaH1Rfww6-YOiNCKoBpPl8XBHaw/edit?gid=0#gid=0"",""Sheet1!G:G""),
      IMPORTRANGE(""1aSOrU4PTpuBZqfitKaH1Rfww6-YOiNCKoBpPl8XBHaw/edit?gid=0#gid=0"",""Sheet1!C:C"")=$B204
    ),
    1
  ),
"&amp;"  ""Not Found""
)"),"Control")</f>
        <v>Control</v>
      </c>
      <c r="E204" s="284" t="str">
        <f>VLOOKUP(B204,'Juma Recording forms'!A:E,5,false)</f>
        <v>Jamia Masjid Shahe Dera Nawab Shahab</v>
      </c>
      <c r="F204" s="284" t="str">
        <f>IFERROR(__xludf.DUMMYFUNCTION("IFERROR(
  INDEX(
    FILTER(
      IMPORTRANGE(""1Cxrhp3-_-HS7v9uuqQliiIfrmMP4VaFoDNDWyUFy2J8/edit?gid=0#gid=0"",""Sheet1!Q:Q""),
      IMPORTRANGE(""1Cxrhp3-_-HS7v9uuqQliiIfrmMP4VaFoDNDWyUFy2J8/edit?gid=0#gid=0"",""Sheet1!K:K"")=$B204
    ),
    1
  ),
"&amp;"  ""Not Found""
)"),"Abdul Manan")</f>
        <v>Abdul Manan</v>
      </c>
      <c r="G204" s="284">
        <v>1880.0</v>
      </c>
      <c r="H204" s="284"/>
      <c r="I204" s="285" t="s">
        <v>197</v>
      </c>
      <c r="J204" s="286">
        <v>2.0</v>
      </c>
      <c r="K204" s="287" t="str">
        <f>VLOOKUP($B204,'Mosque Locations'!$A:$E,3,FALSE)
</f>
        <v>https://maps.google.com/maps?q=29.0991978%2C71.2745758&amp;z=17&amp;hl=en</v>
      </c>
      <c r="L204" s="286">
        <f>VLOOKUP($B204,'Mosque Locations'!$A:$E,4,FALSE)
</f>
        <v>29.0992</v>
      </c>
      <c r="M204" s="286">
        <f>VLOOKUP($B204,'Mosque Locations'!$A:$E,5,false)</f>
        <v>71.27458</v>
      </c>
      <c r="N204" s="288"/>
      <c r="O204" s="288"/>
      <c r="P204" s="288"/>
      <c r="Q204" s="290" t="str">
        <f>IFERROR(__xludf.DUMMYFUNCTION("IFERROR(
  INDEX(
    FILTER(
      IMPORTRANGE(""1kOrIKZmJfNUkgOVP3sI9BPjaaPA0_a4636oymQxTXg8"",""Form Responses 1!N:N""),
      TRIM(IMPORTRANGE(""1kOrIKZmJfNUkgOVP3sI9BPjaaPA0_a4636oymQxTXg8"",""Form Responses 1!F:F""))=TRIM($B204)
    ),
    1
  ),
  "&amp;"""Not Found""
)
"),"https://drive.google.com/open?id=1bIt_6iYml0NjkwNGxNDX2ksEfOZs8Wmr")</f>
        <v>https://drive.google.com/open?id=1bIt_6iYml0NjkwNGxNDX2ksEfOZs8Wmr</v>
      </c>
      <c r="R204" s="289" t="str">
        <f>IFERROR(__xludf.DUMMYFUNCTION("IFERROR(
  INDEX(
    FILTER(
      IMPORTRANGE(""1kOrIKZmJfNUkgOVP3sI9BPjaaPA0_a4636oymQxTXg8"",""Form Responses 1!M:M""),
      TRIM(IMPORTRANGE(""1kOrIKZmJfNUkgOVP3sI9BPjaaPA0_a4636oymQxTXg8"",""Form Responses 1!F:F""))=TRIM($B204)
    ),
    1
  ),
  "&amp;"""Not Found""
)
"),"https://drive.google.com/open?id=1hzo6csZ8CCAQ649SRMvOQLoqk82EGDlE")</f>
        <v>https://drive.google.com/open?id=1hzo6csZ8CCAQ649SRMvOQLoqk82EGDlE</v>
      </c>
      <c r="S204" s="283" t="s">
        <v>4871</v>
      </c>
      <c r="T204" s="290" t="str">
        <f>VLOOKUP($B204,'Master Tracker'!D:E,2,false)</f>
        <v>https://drive.google.com/open?id=1jEDp7YIuHTZZuA1q-0YSMZWyrWvoCueP</v>
      </c>
      <c r="U204" s="291" t="str">
        <f>VLOOKUP($B204,'Master Tracker'!$D:$T,4,FALSE)
</f>
        <v>https://drive.google.com/open?id=1aJcmpKhrlSr_enDJ-myAjzHhhMW4LoJmuFg-Qu4txq8</v>
      </c>
      <c r="V204" s="284" t="str">
        <f>VLOOKUP($B204,'Master Tracker'!$D:$T,5,false)</f>
        <v>Not Found</v>
      </c>
      <c r="W204" s="292" t="str">
        <f>VLOOKUP($B204,'Master Tracker'!$D:$T,7,false)</f>
        <v>Not Found</v>
      </c>
      <c r="X204" s="290" t="str">
        <f>VLOOKUP($B204,'Master Tracker'!$D:$T,8,false)</f>
        <v>https://drive.google.com/open?id=1sZJmcOYY4nIKzk_AKndftuJt9f9hk-TU</v>
      </c>
      <c r="Y204" s="291" t="str">
        <f>VLOOKUP($B204,'Master Tracker'!$D:$T,10,false)</f>
        <v>https://drive.google.com/open?id=1IaNq_2RzGe5DMoahWao8PoDbOmG-51MJ</v>
      </c>
      <c r="Z204" s="284" t="str">
        <f>VLOOKUP($B204,'Master Tracker'!$D:$T,11,false)</f>
        <v>Not Found</v>
      </c>
      <c r="AA204" s="292" t="str">
        <f>VLOOKUP($B204,'Master Tracker'!$D:$T,13,false)</f>
        <v>Not Found</v>
      </c>
      <c r="AB204" s="284" t="str">
        <f>VLOOKUP($B204,'Master Tracker'!$D:$T,14,false)</f>
        <v>Not Found</v>
      </c>
      <c r="AC204" s="292" t="str">
        <f>VLOOKUP($B204,'Master Tracker'!$D:$T,16,false)</f>
        <v>Not Found</v>
      </c>
      <c r="AD204" s="292" t="str">
        <f>VLOOKUP($B204,'Master Tracker'!$D:$T,17,false)</f>
        <v>Not Found</v>
      </c>
      <c r="AE204" s="292" t="str">
        <f>VLOOKUP($B204,'Master Tracker'!$D:$V,19,false)</f>
        <v>Not Found</v>
      </c>
      <c r="AF204" s="292">
        <f>IFERROR(__xludf.DUMMYFUNCTION("IFERROR(
  INDEX(
    FILTER(
      'Juma Recording forms'!$G:$G,
      TRIM('Juma Recording forms'!$F:$F) = TRIM($B204),
      'Juma Recording forms'!$AA:$AA = 1
    ),
    1
  ),
  ""Not Found""
)"),155.0)</f>
        <v>155</v>
      </c>
      <c r="AG204" s="292" t="str">
        <f>IFERROR(__xludf.DUMMYFUNCTION("IFERROR(
  INDEX(
    FILTER(
      'Juma Recording forms'!$G:$G,
      TRIM('Juma Recording forms'!$F:$F) = TRIM($B204),
      'Juma Recording forms'!$AA:$AA = 2
    ),
    1
  ),
  ""Not Found""
)"),"Not Found")</f>
        <v>Not Found</v>
      </c>
      <c r="AH204" s="292">
        <f>IFERROR(__xludf.DUMMYFUNCTION("IFERROR(
  INDEX(
    FILTER(
      'Juma Recording forms'!$G:$G,
      TRIM('Juma Recording forms'!$F:$F) = TRIM($B204),
      'Juma Recording forms'!$AA:$AA = 3
    ),
    1
  ),
  ""Not Found""
)"),160.0)</f>
        <v>160</v>
      </c>
      <c r="AI204" s="292" t="str">
        <f>IFERROR(__xludf.DUMMYFUNCTION("IFERROR(
  INDEX(
    FILTER(
      'Juma Recording forms'!$G:$G,
      TRIM('Juma Recording forms'!$F:$F) = TRIM($B204),
      'Juma Recording forms'!$AA:$AA = 4
    ),
    1
  ),
  ""Not Found""
)"),"Not Found")</f>
        <v>Not Found</v>
      </c>
      <c r="AJ204" s="292" t="str">
        <f>IFERROR(__xludf.DUMMYFUNCTION("IFERROR(
  INDEX(
    FILTER(
      'Juma Recording forms'!$G:$G,
      TRIM('Juma Recording forms'!$F:$F) = TRIM($B204),
      'Juma Recording forms'!$AA:$AA = 5
    ),
    1
  ),
  ""Not Found""
)"),"Not Found")</f>
        <v>Not Found</v>
      </c>
      <c r="AK204" s="292"/>
      <c r="AL2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1!$E:$E"")=$B204) *
        (IMPORTRANGE(""https://docs.google.com/spreadsheets/d/161aHT6vVT3SLneTKD19N5qVWtnj_jIT8CSsOmUVKmaA/e"&amp;"dit?gid=1761053510"",
          ""Haris_Form responses 1!$AQ:$AQ"")=1)
      ),
      1
    ),
    ""0""
  ),
  ""Form not found""
)
"),"0")</f>
        <v>0</v>
      </c>
      <c r="AM2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1!$E:$E"")=$B204) *
        (IMPORTRANGE(""https://docs.google.com/spreadsheets/d/161aHT6vVT3SLneTKD19N5qVWtnj_jIT8CSsOmUVKmaA/e"&amp;"dit?gid=1761053510"",
          ""Haris_Form responses 1!$AQ:$AQ"")=2)
      ),
      1
    ),
    ""0""
  ),
  ""Form not found""
)
"),"Form not found")</f>
        <v>Form not found</v>
      </c>
      <c r="AN2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1!$E:$E"")=$B204) *
        (IMPORTRANGE(""https://docs.google.com/spreadsheets/d/161aHT6vVT3SLneTKD19N5qVWtnj_jIT8CSsOmUVKmaA/e"&amp;"dit?gid=1761053510"",
          ""Haris_Form responses 1!$AQ:$AQ"")=3)
      ),
      1
    ),
    ""0""
  ),
  ""Form not found""
)
"),"0")</f>
        <v>0</v>
      </c>
      <c r="AO2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1!$E:$E"")=$B204) *
        (IMPORTRANGE(""https://docs.google.com/spreadsheets/d/161aHT6vVT3SLneTKD19N5qVWtnj_jIT8CSsOmUVKmaA/e"&amp;"dit?gid=1761053510"",
          ""Haris_Form responses 1!$AQ:$AQ"")=4)
      ),
      1
    ),
    ""0""
  ),
  ""Form not found""
)
"),"Form not found")</f>
        <v>Form not found</v>
      </c>
      <c r="AP2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1!$E:$E"")=$B204) *
        (IMPORTRANGE(""https://docs.google.com/spreadsheets/d/161aHT6vVT3SLneTKD19N5qVWtnj_jIT8CSsOmUVKmaA/e"&amp;"dit?gid=1761053510"",
          ""Haris_Form responses 1!$AQ:$AQ"")=5)
      ),
      1
    ),
    ""0""
  ),
  ""Form not found""
)
"),"Form not found")</f>
        <v>Form not found</v>
      </c>
      <c r="AQ2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1!$E:$E"")=$B204) *
        (IMPORTRANGE(""https://docs.google.com/spreadsheets/d/161aHT6vVT3SLneTKD19N5qVWtnj_jIT8CSsOmUVKmaA/e"&amp;"dit?gid=1761053510"",
          ""Haris_Form responses 1!$AQ:$AQ"")=6)
      ),
      1
    ),
    ""0""
  ),
  ""Form not found""
)
"),"Form not found")</f>
        <v>Form not found</v>
      </c>
      <c r="AR2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1!$E:$E"")=$B204) *
        (IMPORTRANGE(""https://docs.google.com/spreadsheets/d/161aHT6vVT3SLneTKD19N5qVWtnj_jIT8CSsOmUVKmaA/e"&amp;"dit?gid=1761053510"",
          ""Haris_Form responses 1!$AQ:$AQ"")=1)
      ),
      1
    ),
    ""0""
  ),
  ""Form not found""
)
"),"0")</f>
        <v>0</v>
      </c>
      <c r="AS2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1!$E:$E"")=$B204) *
        (IMPORTRANGE(""https://docs.google.com/spreadsheets/d/161aHT6vVT3SLneTKD19N5qVWtnj_jIT8CSsOmUVKmaA/e"&amp;"dit?gid=1761053510"",
          ""Haris_Form responses 1!$AQ:$AQ"")=2)
      ),
      1
    ),
    ""0""
  ),
  ""Form not found""
)
"),"Form not found")</f>
        <v>Form not found</v>
      </c>
      <c r="AT2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1!$E:$E"")=$B204) *
        (IMPORTRANGE(""https://docs.google.com/spreadsheets/d/161aHT6vVT3SLneTKD19N5qVWtnj_jIT8CSsOmUVKmaA/e"&amp;"dit?gid=1761053510"",
          ""Haris_Form responses 1!$AQ:$AQ"")=3)
      ),
      1
    ),
    ""0""
  ),
  ""Form not found""
)
"),"0")</f>
        <v>0</v>
      </c>
      <c r="AU2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1!$E:$E"")=$B204) *
        (IMPORTRANGE(""https://docs.google.com/spreadsheets/d/161aHT6vVT3SLneTKD19N5qVWtnj_jIT8CSsOmUVKmaA/e"&amp;"dit?gid=1761053510"",
          ""Haris_Form responses 1!$AQ:$AQ"")=4)
      ),
      1
    ),
    ""0""
  ),
  ""Form not found""
)
"),"Form not found")</f>
        <v>Form not found</v>
      </c>
      <c r="AV2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1!$E:$E"")=$B204) *
        (IMPORTRANGE(""https://docs.google.com/spreadsheets/d/161aHT6vVT3SLneTKD19N5qVWtnj_jIT8CSsOmUVKmaA/e"&amp;"dit?gid=1761053510"",
          ""Haris_Form responses 1!$AQ:$AQ"")=5)
      ),
      1
    ),
    ""0""
  ),
  ""Form not found""
)
"),"Form not found")</f>
        <v>Form not found</v>
      </c>
      <c r="AW2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1!$E:$E"")=$B204) *
        (IMPORTRANGE(""https://docs.google.com/spreadsheets/d/161aHT6vVT3SLneTKD19N5qVWtnj_jIT8CSsOmUVKmaA/e"&amp;"dit?gid=1761053510"",
          ""Haris_Form responses 1!$AQ:$AQ"")=6)
      ),
      1
    ),
    ""0""
  ),
  ""Form not found""
)
"),"Form not found")</f>
        <v>Form not found</v>
      </c>
      <c r="AX2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1!$E:$E"")=$B204) *
        (IMPORTRANGE(""https://docs.google.com/spreadsheets/d/161aHT6vVT3SLneTKD19N5qVWtnj_jIT8CSsOmUVKmaA/e"&amp;"dit?gid=1761053510"",
          ""Haris_Form responses 1!$AQ:$AQ"")=1)
      ),
      1
    ),
    ""0""
  ),
  ""Form not found""
)
"),"0")</f>
        <v>0</v>
      </c>
      <c r="AY2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1!$E:$E"")=$B204) *
        (IMPORTRANGE(""https://docs.google.com/spreadsheets/d/161aHT6vVT3SLneTKD19N5qVWtnj_jIT8CSsOmUVKmaA/e"&amp;"dit?gid=1761053510"",
          ""Haris_Form responses 1!$AQ:$AQ"")=2)
      ),
      1
    ),
    ""0""
  ),
  ""Form not found""
)
"),"Form not found")</f>
        <v>Form not found</v>
      </c>
      <c r="AZ2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1!$E:$E"")=$B204) *
        (IMPORTRANGE(""https://docs.google.com/spreadsheets/d/161aHT6vVT3SLneTKD19N5qVWtnj_jIT8CSsOmUVKmaA/e"&amp;"dit?gid=1761053510"",
          ""Haris_Form responses 1!$AQ:$AQ"")=3)
      ),
      1
    ),
    ""0""
  ),
  ""Form not found""
)
"),"0")</f>
        <v>0</v>
      </c>
      <c r="BA2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1!$E:$E"")=$B204) *
        (IMPORTRANGE(""https://docs.google.com/spreadsheets/d/161aHT6vVT3SLneTKD19N5qVWtnj_jIT8CSsOmUVKmaA/e"&amp;"dit?gid=1761053510"",
          ""Haris_Form responses 1!$AQ:$AQ"")=4)
      ),
      1
    ),
    ""0""
  ),
  ""Form not found""
)
"),"Form not found")</f>
        <v>Form not found</v>
      </c>
      <c r="BB2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1!$E:$E"")=$B204) *
        (IMPORTRANGE(""https://docs.google.com/spreadsheets/d/161aHT6vVT3SLneTKD19N5qVWtnj_jIT8CSsOmUVKmaA/e"&amp;"dit?gid=1761053510"",
          ""Haris_Form responses 1!$AQ:$AQ"")=5)
      ),
      1
    ),
    ""0""
  ),
  ""Form not found""
)
"),"Form not found")</f>
        <v>Form not found</v>
      </c>
      <c r="BC2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1!$E:$E"")=$B204) *
        (IMPORTRANGE(""https://docs.google.com/spreadsheets/d/161aHT6vVT3SLneTKD19N5qVWtnj_jIT8CSsOmUVKmaA/e"&amp;"dit?gid=1761053510"",
          ""Haris_Form responses 1!$AQ:$AQ"")=6)
      ),
      1
    ),
    ""0""
  ),
  ""Form not found""
)
"),"Form not found")</f>
        <v>Form not found</v>
      </c>
      <c r="BD204" s="293"/>
    </row>
    <row r="205">
      <c r="A205" s="283" t="str">
        <f>IFERROR(__xludf.DUMMYFUNCTION("VLOOKUP($B205,IMPORTRANGE(""https://docs.google.com/spreadsheets/d/1VNXDITjs75AcgdBSW27oL1VZH31udDprJSsBcE5xlp4/edit?gid=1551188038#gid=1551188038"", ""Sheet9!$B:$E""),2,false)"),"Bahawalpure")</f>
        <v>Bahawalpure</v>
      </c>
      <c r="B205" s="283" t="s">
        <v>4645</v>
      </c>
      <c r="C205" s="284" t="str">
        <f>IFERROR(__xludf.DUMMYFUNCTION("VLOOKUP(TRIM($B205), IMPORTRANGE(""https://docs.google.com/spreadsheets/d/1aSOrU4PTpuBZqfitKaH1Rfww6-YOiNCKoBpPl8XBHaw/edit?gid=0#gid=0"", ""sheet3!$B:$C""), 2, FALSE)
"),"Jamia Masjid Darbar Rasheed Jalaal Ul Din")</f>
        <v>Jamia Masjid Darbar Rasheed Jalaal Ul Din</v>
      </c>
      <c r="D205" s="284" t="str">
        <f>IFERROR(__xludf.DUMMYFUNCTION("IFERROR(
  INDEX(
    FILTER(
      IMPORTRANGE(""1aSOrU4PTpuBZqfitKaH1Rfww6-YOiNCKoBpPl8XBHaw/edit?gid=0#gid=0"",""Sheet1!G:G""),
      IMPORTRANGE(""1aSOrU4PTpuBZqfitKaH1Rfww6-YOiNCKoBpPl8XBHaw/edit?gid=0#gid=0"",""Sheet1!C:C"")=$B205
    ),
    1
  ),
"&amp;"  ""Not Found""
)"),"Women Secular Info Share")</f>
        <v>Women Secular Info Share</v>
      </c>
      <c r="E205" s="284" t="str">
        <f>VLOOKUP(B205,'Juma Recording forms'!A:E,5,false)</f>
        <v>Jamia Masjid Syed Jalal Ud Din</v>
      </c>
      <c r="F205" s="284" t="str">
        <f>IFERROR(__xludf.DUMMYFUNCTION("IFERROR(
  INDEX(
    FILTER(
      IMPORTRANGE(""1Cxrhp3-_-HS7v9uuqQliiIfrmMP4VaFoDNDWyUFy2J8/edit?gid=0#gid=0"",""Sheet1!Q:Q""),
      IMPORTRANGE(""1Cxrhp3-_-HS7v9uuqQliiIfrmMP4VaFoDNDWyUFy2J8/edit?gid=0#gid=0"",""Sheet1!K:K"")=$B205
    ),
    1
  ),
"&amp;"  ""Not Found""
)"),"Javed saud")</f>
        <v>Javed saud</v>
      </c>
      <c r="G205" s="284">
        <v>1845.0</v>
      </c>
      <c r="H205" s="284" t="s">
        <v>4874</v>
      </c>
      <c r="I205" s="285" t="s">
        <v>401</v>
      </c>
      <c r="J205" s="286">
        <v>2.0</v>
      </c>
      <c r="K205" s="287" t="str">
        <f>VLOOKUP($B205,'Mosque Locations'!$A:$E,3,FALSE)
</f>
        <v>https://www.google.com/maps?q=29.2426835,71.0557167</v>
      </c>
      <c r="L205" s="286">
        <f>VLOOKUP($B205,'Mosque Locations'!$A:$E,4,FALSE)
</f>
        <v>29.24268</v>
      </c>
      <c r="M205" s="286">
        <f>VLOOKUP($B205,'Mosque Locations'!$A:$E,5,false)</f>
        <v>71.05572</v>
      </c>
      <c r="N205" s="288"/>
      <c r="O205" s="288"/>
      <c r="P205" s="288"/>
      <c r="Q205" s="294" t="str">
        <f>IFERROR(__xludf.DUMMYFUNCTION("IFERROR(
  INDEX(
    FILTER(
      IMPORTRANGE(""1kOrIKZmJfNUkgOVP3sI9BPjaaPA0_a4636oymQxTXg8"",""Form Responses 1!N:N""),
      TRIM(IMPORTRANGE(""1kOrIKZmJfNUkgOVP3sI9BPjaaPA0_a4636oymQxTXg8"",""Form Responses 1!F:F""))=TRIM($B205)
    ),
    1
  ),
  "&amp;"""Not Found""
)
"),"https://drive.google.com/open?id=13Gm2Tj0Grix76ate3ZYyzY0QH4inytUq, https://drive.google.com/open?id=13UzJme9yThJh14sOqQGzUIs_eyoZAKmS")</f>
        <v>https://drive.google.com/open?id=13Gm2Tj0Grix76ate3ZYyzY0QH4inytUq, https://drive.google.com/open?id=13UzJme9yThJh14sOqQGzUIs_eyoZAKmS</v>
      </c>
      <c r="R205" s="301" t="str">
        <f>IFERROR(__xludf.DUMMYFUNCTION("IFERROR(
  INDEX(
    FILTER(
      IMPORTRANGE(""1kOrIKZmJfNUkgOVP3sI9BPjaaPA0_a4636oymQxTXg8"",""Form Responses 1!M:M""),
      TRIM(IMPORTRANGE(""1kOrIKZmJfNUkgOVP3sI9BPjaaPA0_a4636oymQxTXg8"",""Form Responses 1!F:F""))=TRIM($B205)
    ),
    1
  ),
  "&amp;"""Not Found""
)
"),"https://drive.google.com/open?id=12fTLvJVvm5heAuAGf5AMqq4bfAAa5Nm4")</f>
        <v>https://drive.google.com/open?id=12fTLvJVvm5heAuAGf5AMqq4bfAAa5Nm4</v>
      </c>
      <c r="S205" s="283" t="s">
        <v>4871</v>
      </c>
      <c r="T205" s="290" t="str">
        <f>VLOOKUP($B205,'Master Tracker'!D:E,2,false)</f>
        <v>https://drive.google.com/open?id=1pzVqEwBQU7_1OiaXVp4YfxepkrjsrTIP</v>
      </c>
      <c r="U205" s="291" t="str">
        <f>VLOOKUP($B205,'Master Tracker'!$D:$T,4,FALSE)
</f>
        <v>https://drive.google.com/open?id=1WG9FYC6IrcllGHR511Os3tMkRse7Cy-oNDth1b52jYM</v>
      </c>
      <c r="V205" s="284" t="str">
        <f>VLOOKUP($B205,'Master Tracker'!$D:$T,5,false)</f>
        <v>Not Found</v>
      </c>
      <c r="W205" s="292" t="str">
        <f>VLOOKUP($B205,'Master Tracker'!$D:$T,7,false)</f>
        <v>Not Found</v>
      </c>
      <c r="X205" s="284" t="str">
        <f>VLOOKUP($B205,'Master Tracker'!$D:$T,8,false)</f>
        <v>Not Found</v>
      </c>
      <c r="Y205" s="292" t="str">
        <f>VLOOKUP($B205,'Master Tracker'!$D:$T,10,false)</f>
        <v>Not Found</v>
      </c>
      <c r="Z205" s="284" t="str">
        <f>VLOOKUP($B205,'Master Tracker'!$D:$T,11,false)</f>
        <v>Not Found</v>
      </c>
      <c r="AA205" s="292" t="str">
        <f>VLOOKUP($B205,'Master Tracker'!$D:$T,13,false)</f>
        <v>Not Found</v>
      </c>
      <c r="AB205" s="290" t="str">
        <f>VLOOKUP($B205,'Master Tracker'!$D:$T,14,false)</f>
        <v>https://drive.google.com/open?id=1Wiuw73NtQv9217KU1Tuhlh9v0wmCFk-Z</v>
      </c>
      <c r="AC205" s="291" t="str">
        <f>VLOOKUP($B205,'Master Tracker'!$D:$T,16,false)</f>
        <v>https://drive.google.com/open?id=13QF1xJGtjJ6Jmnpkg-jlYmPxe44GGhGY</v>
      </c>
      <c r="AD205" s="291" t="str">
        <f>VLOOKUP($B205,'Master Tracker'!$D:$T,17,false)</f>
        <v>https://drive.google.com/file/d/1qSSeeEb2Ky9SkFsdMBK4kCEZH7OQhlx4/view?usp=drive_link</v>
      </c>
      <c r="AE205" s="291" t="str">
        <f>VLOOKUP($B205,'Master Tracker'!$D:$V,19,false)</f>
        <v>https://drive.google.com/open?id=13Bgz76oBT2Bn-w0TrB7n_iMk6R-IO-_o</v>
      </c>
      <c r="AF205" s="292">
        <f>IFERROR(__xludf.DUMMYFUNCTION("IFERROR(
  INDEX(
    FILTER(
      'Juma Recording forms'!$G:$G,
      TRIM('Juma Recording forms'!$F:$F) = TRIM($B205),
      'Juma Recording forms'!$AA:$AA = 1
    ),
    1
  ),
  ""Not Found""
)"),299.0)</f>
        <v>299</v>
      </c>
      <c r="AG205" s="292" t="str">
        <f>IFERROR(__xludf.DUMMYFUNCTION("IFERROR(
  INDEX(
    FILTER(
      'Juma Recording forms'!$G:$G,
      TRIM('Juma Recording forms'!$F:$F) = TRIM($B205),
      'Juma Recording forms'!$AA:$AA = 2
    ),
    1
  ),
  ""Not Found""
)"),"Not Found")</f>
        <v>Not Found</v>
      </c>
      <c r="AH205" s="292" t="str">
        <f>IFERROR(__xludf.DUMMYFUNCTION("IFERROR(
  INDEX(
    FILTER(
      'Juma Recording forms'!$G:$G,
      TRIM('Juma Recording forms'!$F:$F) = TRIM($B205),
      'Juma Recording forms'!$AA:$AA = 3
    ),
    1
  ),
  ""Not Found""
)"),"Not Found")</f>
        <v>Not Found</v>
      </c>
      <c r="AI205" s="292" t="str">
        <f>IFERROR(__xludf.DUMMYFUNCTION("IFERROR(
  INDEX(
    FILTER(
      'Juma Recording forms'!$G:$G,
      TRIM('Juma Recording forms'!$F:$F) = TRIM($B205),
      'Juma Recording forms'!$AA:$AA = 4
    ),
    1
  ),
  ""Not Found""
)"),"Not Found")</f>
        <v>Not Found</v>
      </c>
      <c r="AJ205" s="292">
        <f>IFERROR(__xludf.DUMMYFUNCTION("IFERROR(
  INDEX(
    FILTER(
      'Juma Recording forms'!$G:$G,
      TRIM('Juma Recording forms'!$F:$F) = TRIM($B205),
      'Juma Recording forms'!$AA:$AA = 5
    ),
    1
  ),
  ""Not Found""
)"),250.0)</f>
        <v>250</v>
      </c>
      <c r="AK205" s="292">
        <f>IFERROR(__xludf.DUMMYFUNCTION("IFERROR(
  INDEX(
    FILTER(
      'Juma Recording forms'!$G:$G,
      TRIM('Juma Recording forms'!$F:$F) = TRIM($B205),
      'Juma Recording forms'!$AA:$AA = 6
    ),
    1
  ),
  ""Not Found""
)"),246.0)</f>
        <v>246</v>
      </c>
      <c r="AL2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1!$E:$E"")=$B205) *
        (IMPORTRANGE(""https://docs.google.com/spreadsheets/d/161aHT6vVT3SLneTKD19N5qVWtnj_jIT8CSsOmUVKmaA/e"&amp;"dit?gid=1761053510"",
          ""Haris_Form responses 1!$AQ:$AQ"")=1)
      ),
      1
    ),
    ""0""
  ),
  ""Form not found""
)
"),"10")</f>
        <v>10</v>
      </c>
      <c r="AM2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1!$E:$E"")=$B205) *
        (IMPORTRANGE(""https://docs.google.com/spreadsheets/d/161aHT6vVT3SLneTKD19N5qVWtnj_jIT8CSsOmUVKmaA/e"&amp;"dit?gid=1761053510"",
          ""Haris_Form responses 1!$AQ:$AQ"")=2)
      ),
      1
    ),
    ""0""
  ),
  ""Form not found""
)
"),"Form not found")</f>
        <v>Form not found</v>
      </c>
      <c r="AN2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1!$E:$E"")=$B205) *
        (IMPORTRANGE(""https://docs.google.com/spreadsheets/d/161aHT6vVT3SLneTKD19N5qVWtnj_jIT8CSsOmUVKmaA/e"&amp;"dit?gid=1761053510"",
          ""Haris_Form responses 1!$AQ:$AQ"")=3)
      ),
      1
    ),
    ""0""
  ),
  ""Form not found""
)
"),"Form not found")</f>
        <v>Form not found</v>
      </c>
      <c r="AO2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1!$E:$E"")=$B205) *
        (IMPORTRANGE(""https://docs.google.com/spreadsheets/d/161aHT6vVT3SLneTKD19N5qVWtnj_jIT8CSsOmUVKmaA/e"&amp;"dit?gid=1761053510"",
          ""Haris_Form responses 1!$AQ:$AQ"")=4)
      ),
      1
    ),
    ""0""
  ),
  ""Form not found""
)
"),"Form not found")</f>
        <v>Form not found</v>
      </c>
      <c r="AP2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1!$E:$E"")=$B205) *
        (IMPORTRANGE(""https://docs.google.com/spreadsheets/d/161aHT6vVT3SLneTKD19N5qVWtnj_jIT8CSsOmUVKmaA/e"&amp;"dit?gid=1761053510"",
          ""Haris_Form responses 1!$AQ:$AQ"")=5)
      ),
      1
    ),
    ""0""
  ),
  ""Form not found""
)
"),"10")</f>
        <v>10</v>
      </c>
      <c r="AQ2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1!$E:$E"")=$B205) *
        (IMPORTRANGE(""https://docs.google.com/spreadsheets/d/161aHT6vVT3SLneTKD19N5qVWtnj_jIT8CSsOmUVKmaA/e"&amp;"dit?gid=1761053510"",
          ""Haris_Form responses 1!$AQ:$AQ"")=6)
      ),
      1
    ),
    ""0""
  ),
  ""Form not found""
)
"),"1")</f>
        <v>1</v>
      </c>
      <c r="AR2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1!$E:$E"")=$B205) *
        (IMPORTRANGE(""https://docs.google.com/spreadsheets/d/161aHT6vVT3SLneTKD19N5qVWtnj_jIT8CSsOmUVKmaA/e"&amp;"dit?gid=1761053510"",
          ""Haris_Form responses 1!$AQ:$AQ"")=1)
      ),
      1
    ),
    ""0""
  ),
  ""Form not found""
)
"),"0")</f>
        <v>0</v>
      </c>
      <c r="AS2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1!$E:$E"")=$B205) *
        (IMPORTRANGE(""https://docs.google.com/spreadsheets/d/161aHT6vVT3SLneTKD19N5qVWtnj_jIT8CSsOmUVKmaA/e"&amp;"dit?gid=1761053510"",
          ""Haris_Form responses 1!$AQ:$AQ"")=2)
      ),
      1
    ),
    ""0""
  ),
  ""Form not found""
)
"),"Form not found")</f>
        <v>Form not found</v>
      </c>
      <c r="AT2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1!$E:$E"")=$B205) *
        (IMPORTRANGE(""https://docs.google.com/spreadsheets/d/161aHT6vVT3SLneTKD19N5qVWtnj_jIT8CSsOmUVKmaA/e"&amp;"dit?gid=1761053510"",
          ""Haris_Form responses 1!$AQ:$AQ"")=3)
      ),
      1
    ),
    ""0""
  ),
  ""Form not found""
)
"),"Form not found")</f>
        <v>Form not found</v>
      </c>
      <c r="AU2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1!$E:$E"")=$B205) *
        (IMPORTRANGE(""https://docs.google.com/spreadsheets/d/161aHT6vVT3SLneTKD19N5qVWtnj_jIT8CSsOmUVKmaA/e"&amp;"dit?gid=1761053510"",
          ""Haris_Form responses 1!$AQ:$AQ"")=4)
      ),
      1
    ),
    ""0""
  ),
  ""Form not found""
)
"),"Form not found")</f>
        <v>Form not found</v>
      </c>
      <c r="AV2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1!$E:$E"")=$B205) *
        (IMPORTRANGE(""https://docs.google.com/spreadsheets/d/161aHT6vVT3SLneTKD19N5qVWtnj_jIT8CSsOmUVKmaA/e"&amp;"dit?gid=1761053510"",
          ""Haris_Form responses 1!$AQ:$AQ"")=5)
      ),
      1
    ),
    ""0""
  ),
  ""Form not found""
)
"),"0")</f>
        <v>0</v>
      </c>
      <c r="AW2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1!$E:$E"")=$B205) *
        (IMPORTRANGE(""https://docs.google.com/spreadsheets/d/161aHT6vVT3SLneTKD19N5qVWtnj_jIT8CSsOmUVKmaA/e"&amp;"dit?gid=1761053510"",
          ""Haris_Form responses 1!$AQ:$AQ"")=6)
      ),
      1
    ),
    ""0""
  ),
  ""Form not found""
)
"),"0")</f>
        <v>0</v>
      </c>
      <c r="AX2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1!$E:$E"")=$B205) *
        (IMPORTRANGE(""https://docs.google.com/spreadsheets/d/161aHT6vVT3SLneTKD19N5qVWtnj_jIT8CSsOmUVKmaA/e"&amp;"dit?gid=1761053510"",
          ""Haris_Form responses 1!$AQ:$AQ"")=1)
      ),
      1
    ),
    ""0""
  ),
  ""Form not found""
)
"),"10")</f>
        <v>10</v>
      </c>
      <c r="AY2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1!$E:$E"")=$B205) *
        (IMPORTRANGE(""https://docs.google.com/spreadsheets/d/161aHT6vVT3SLneTKD19N5qVWtnj_jIT8CSsOmUVKmaA/e"&amp;"dit?gid=1761053510"",
          ""Haris_Form responses 1!$AQ:$AQ"")=2)
      ),
      1
    ),
    ""0""
  ),
  ""Form not found""
)
"),"Form not found")</f>
        <v>Form not found</v>
      </c>
      <c r="AZ2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1!$E:$E"")=$B205) *
        (IMPORTRANGE(""https://docs.google.com/spreadsheets/d/161aHT6vVT3SLneTKD19N5qVWtnj_jIT8CSsOmUVKmaA/e"&amp;"dit?gid=1761053510"",
          ""Haris_Form responses 1!$AQ:$AQ"")=3)
      ),
      1
    ),
    ""0""
  ),
  ""Form not found""
)
"),"Form not found")</f>
        <v>Form not found</v>
      </c>
      <c r="BA2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1!$E:$E"")=$B205) *
        (IMPORTRANGE(""https://docs.google.com/spreadsheets/d/161aHT6vVT3SLneTKD19N5qVWtnj_jIT8CSsOmUVKmaA/e"&amp;"dit?gid=1761053510"",
          ""Haris_Form responses 1!$AQ:$AQ"")=4)
      ),
      1
    ),
    ""0""
  ),
  ""Form not found""
)
"),"Form not found")</f>
        <v>Form not found</v>
      </c>
      <c r="BB2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1!$E:$E"")=$B205) *
        (IMPORTRANGE(""https://docs.google.com/spreadsheets/d/161aHT6vVT3SLneTKD19N5qVWtnj_jIT8CSsOmUVKmaA/e"&amp;"dit?gid=1761053510"",
          ""Haris_Form responses 1!$AQ:$AQ"")=5)
      ),
      1
    ),
    ""0""
  ),
  ""Form not found""
)
"),"10")</f>
        <v>10</v>
      </c>
      <c r="BC2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1!$E:$E"")=$B205) *
        (IMPORTRANGE(""https://docs.google.com/spreadsheets/d/161aHT6vVT3SLneTKD19N5qVWtnj_jIT8CSsOmUVKmaA/e"&amp;"dit?gid=1761053510"",
          ""Haris_Form responses 1!$AQ:$AQ"")=6)
      ),
      1
    ),
    ""0""
  ),
  ""Form not found""
)
"),"1")</f>
        <v>1</v>
      </c>
      <c r="BD205" s="293"/>
    </row>
    <row r="206">
      <c r="A206" s="283" t="str">
        <f>IFERROR(__xludf.DUMMYFUNCTION("VLOOKUP($B206,IMPORTRANGE(""https://docs.google.com/spreadsheets/d/1VNXDITjs75AcgdBSW27oL1VZH31udDprJSsBcE5xlp4/edit?gid=1551188038#gid=1551188038"", ""Sheet9!$B:$E""),2,false)"),"Bahawalpure")</f>
        <v>Bahawalpure</v>
      </c>
      <c r="B206" s="283" t="s">
        <v>4646</v>
      </c>
      <c r="C206" s="284" t="str">
        <f>IFERROR(__xludf.DUMMYFUNCTION("VLOOKUP(TRIM($B206), IMPORTRANGE(""https://docs.google.com/spreadsheets/d/1aSOrU4PTpuBZqfitKaH1Rfww6-YOiNCKoBpPl8XBHaw/edit?gid=0#gid=0"", ""sheet3!$B:$C""), 2, FALSE)
"),"Jamia Masjid Hakeem Muhammad Yar Wali Bhawalpur")</f>
        <v>Jamia Masjid Hakeem Muhammad Yar Wali Bhawalpur</v>
      </c>
      <c r="D206" s="284" t="str">
        <f>IFERROR(__xludf.DUMMYFUNCTION("IFERROR(
  INDEX(
    FILTER(
      IMPORTRANGE(""1aSOrU4PTpuBZqfitKaH1Rfww6-YOiNCKoBpPl8XBHaw/edit?gid=0#gid=0"",""Sheet1!G:G""),
      IMPORTRANGE(""1aSOrU4PTpuBZqfitKaH1Rfww6-YOiNCKoBpPl8XBHaw/edit?gid=0#gid=0"",""Sheet1!C:C"")=$B206
    ),
    1
  ),
"&amp;"  ""Not Found""
)"),"Control")</f>
        <v>Control</v>
      </c>
      <c r="E206" s="284" t="str">
        <f>VLOOKUP(B206,'Juma Recording forms'!A:E,5,false)</f>
        <v>Jamia masjid Hakeem m.yar wali bwp</v>
      </c>
      <c r="F206" s="284" t="str">
        <f>IFERROR(__xludf.DUMMYFUNCTION("IFERROR(
  INDEX(
    FILTER(
      IMPORTRANGE(""1Cxrhp3-_-HS7v9uuqQliiIfrmMP4VaFoDNDWyUFy2J8/edit?gid=0#gid=0"",""Sheet1!Q:Q""),
      IMPORTRANGE(""1Cxrhp3-_-HS7v9uuqQliiIfrmMP4VaFoDNDWyUFy2J8/edit?gid=0#gid=0"",""Sheet1!K:K"")=$B206
    ),
    1
  ),
"&amp;"  ""Not Found""
)"),"Ahmad")</f>
        <v>Ahmad</v>
      </c>
      <c r="G206" s="284">
        <v>2005.0</v>
      </c>
      <c r="H206" s="284"/>
      <c r="I206" s="285" t="s">
        <v>197</v>
      </c>
      <c r="J206" s="286">
        <v>2.0</v>
      </c>
      <c r="K206" s="287" t="str">
        <f>VLOOKUP($B206,'Mosque Locations'!$A:$E,3,FALSE)
</f>
        <v>https://www.google.com/maps?q=29.3989078,71.6736316</v>
      </c>
      <c r="L206" s="286">
        <f>VLOOKUP($B206,'Mosque Locations'!$A:$E,4,FALSE)
</f>
        <v>29.39891</v>
      </c>
      <c r="M206" s="286">
        <f>VLOOKUP($B206,'Mosque Locations'!$A:$E,5,false)</f>
        <v>71.67363</v>
      </c>
      <c r="N206" s="288"/>
      <c r="O206" s="288"/>
      <c r="P206" s="288"/>
      <c r="Q206" s="290" t="str">
        <f>IFERROR(__xludf.DUMMYFUNCTION("IFERROR(
  INDEX(
    FILTER(
      IMPORTRANGE(""1kOrIKZmJfNUkgOVP3sI9BPjaaPA0_a4636oymQxTXg8"",""Form Responses 1!N:N""),
      TRIM(IMPORTRANGE(""1kOrIKZmJfNUkgOVP3sI9BPjaaPA0_a4636oymQxTXg8"",""Form Responses 1!F:F""))=TRIM($B206)
    ),
    1
  ),
  "&amp;"""Not Found""
)
"),"https://drive.google.com/open?id=1FMrFi6R04U5dDnTx_47GARHwl5TfQvoi")</f>
        <v>https://drive.google.com/open?id=1FMrFi6R04U5dDnTx_47GARHwl5TfQvoi</v>
      </c>
      <c r="R206" s="295" t="str">
        <f>IFERROR(__xludf.DUMMYFUNCTION("IFERROR(
  INDEX(
    FILTER(
      IMPORTRANGE(""1kOrIKZmJfNUkgOVP3sI9BPjaaPA0_a4636oymQxTXg8"",""Form Responses 1!M:M""),
      TRIM(IMPORTRANGE(""1kOrIKZmJfNUkgOVP3sI9BPjaaPA0_a4636oymQxTXg8"",""Form Responses 1!F:F""))=TRIM($B206)
    ),
    1
  ),
  "&amp;"""Not Found""
)
"),"https://drive.google.com/open?id=16BXeRo_7EbsWi95o4iTV8EsoCzNcVj32")</f>
        <v>https://drive.google.com/open?id=16BXeRo_7EbsWi95o4iTV8EsoCzNcVj32</v>
      </c>
      <c r="S206" s="283" t="s">
        <v>4871</v>
      </c>
      <c r="T206" s="290" t="str">
        <f>VLOOKUP($B206,'Master Tracker'!D:E,2,false)</f>
        <v>https://drive.google.com/open?id=1kydPABvmdArDnBsJmq-QOgF2wJhb3gnY</v>
      </c>
      <c r="U206" s="291" t="str">
        <f>VLOOKUP($B206,'Master Tracker'!$D:$T,4,FALSE)
</f>
        <v>https://drive.google.com/open?id=1siPNTHjXvNA2dchaNaTYPK2wGvf--6bNCTaXTx3JwEM</v>
      </c>
      <c r="V206" s="284" t="str">
        <f>VLOOKUP($B206,'Master Tracker'!$D:$T,5,false)</f>
        <v>Not Found</v>
      </c>
      <c r="W206" s="292" t="str">
        <f>VLOOKUP($B206,'Master Tracker'!$D:$T,7,false)</f>
        <v>Not Found</v>
      </c>
      <c r="X206" s="290" t="str">
        <f>VLOOKUP($B206,'Master Tracker'!$D:$T,8,false)</f>
        <v>https://drive.google.com/open?id=1KllaHJLq5wLYnowZlkir97T5t9eGv3eo</v>
      </c>
      <c r="Y206" s="291" t="str">
        <f>VLOOKUP($B206,'Master Tracker'!$D:$T,10,false)</f>
        <v>https://drive.google.com/open?id=1_BEy6ovgNyAXYheW5IB5wJylymFXBVn7</v>
      </c>
      <c r="Z206" s="284" t="str">
        <f>VLOOKUP($B206,'Master Tracker'!$D:$T,11,false)</f>
        <v>Not Found</v>
      </c>
      <c r="AA206" s="292" t="str">
        <f>VLOOKUP($B206,'Master Tracker'!$D:$T,13,false)</f>
        <v>Not Found</v>
      </c>
      <c r="AB206" s="284" t="str">
        <f>VLOOKUP($B206,'Master Tracker'!$D:$T,14,false)</f>
        <v>Not Found</v>
      </c>
      <c r="AC206" s="292" t="str">
        <f>VLOOKUP($B206,'Master Tracker'!$D:$T,16,false)</f>
        <v>Not Found</v>
      </c>
      <c r="AD206" s="292" t="str">
        <f>VLOOKUP($B206,'Master Tracker'!$D:$T,17,false)</f>
        <v>Not Found</v>
      </c>
      <c r="AE206" s="292" t="str">
        <f>VLOOKUP($B206,'Master Tracker'!$D:$V,19,false)</f>
        <v>Not Found</v>
      </c>
      <c r="AF206" s="292">
        <f>IFERROR(__xludf.DUMMYFUNCTION("IFERROR(
  INDEX(
    FILTER(
      'Juma Recording forms'!$G:$G,
      TRIM('Juma Recording forms'!$F:$F) = TRIM($B206),
      'Juma Recording forms'!$AA:$AA = 1
    ),
    1
  ),
  ""Not Found""
)"),127.0)</f>
        <v>127</v>
      </c>
      <c r="AG206" s="292" t="str">
        <f>IFERROR(__xludf.DUMMYFUNCTION("IFERROR(
  INDEX(
    FILTER(
      'Juma Recording forms'!$G:$G,
      TRIM('Juma Recording forms'!$F:$F) = TRIM($B206),
      'Juma Recording forms'!$AA:$AA = 2
    ),
    1
  ),
  ""Not Found""
)"),"Not Found")</f>
        <v>Not Found</v>
      </c>
      <c r="AH206" s="292">
        <f>IFERROR(__xludf.DUMMYFUNCTION("IFERROR(
  INDEX(
    FILTER(
      'Juma Recording forms'!$G:$G,
      TRIM('Juma Recording forms'!$F:$F) = TRIM($B206),
      'Juma Recording forms'!$AA:$AA = 3
    ),
    1
  ),
  ""Not Found""
)"),131.0)</f>
        <v>131</v>
      </c>
      <c r="AI206" s="292" t="str">
        <f>IFERROR(__xludf.DUMMYFUNCTION("IFERROR(
  INDEX(
    FILTER(
      'Juma Recording forms'!$G:$G,
      TRIM('Juma Recording forms'!$F:$F) = TRIM($B206),
      'Juma Recording forms'!$AA:$AA = 4
    ),
    1
  ),
  ""Not Found""
)"),"Not Found")</f>
        <v>Not Found</v>
      </c>
      <c r="AJ206" s="292" t="str">
        <f>IFERROR(__xludf.DUMMYFUNCTION("IFERROR(
  INDEX(
    FILTER(
      'Juma Recording forms'!$G:$G,
      TRIM('Juma Recording forms'!$F:$F) = TRIM($B206),
      'Juma Recording forms'!$AA:$AA = 5
    ),
    1
  ),
  ""Not Found""
)"),"Not Found")</f>
        <v>Not Found</v>
      </c>
      <c r="AK206" s="292"/>
      <c r="AL2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1!$E:$E"")=$B206) *
        (IMPORTRANGE(""https://docs.google.com/spreadsheets/d/161aHT6vVT3SLneTKD19N5qVWtnj_jIT8CSsOmUVKmaA/e"&amp;"dit?gid=1761053510"",
          ""Haris_Form responses 1!$AQ:$AQ"")=1)
      ),
      1
    ),
    ""0""
  ),
  ""Form not found""
)
"),"0")</f>
        <v>0</v>
      </c>
      <c r="AM2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1!$E:$E"")=$B206) *
        (IMPORTRANGE(""https://docs.google.com/spreadsheets/d/161aHT6vVT3SLneTKD19N5qVWtnj_jIT8CSsOmUVKmaA/e"&amp;"dit?gid=1761053510"",
          ""Haris_Form responses 1!$AQ:$AQ"")=2)
      ),
      1
    ),
    ""0""
  ),
  ""Form not found""
)
"),"Form not found")</f>
        <v>Form not found</v>
      </c>
      <c r="AN2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1!$E:$E"")=$B206) *
        (IMPORTRANGE(""https://docs.google.com/spreadsheets/d/161aHT6vVT3SLneTKD19N5qVWtnj_jIT8CSsOmUVKmaA/e"&amp;"dit?gid=1761053510"",
          ""Haris_Form responses 1!$AQ:$AQ"")=3)
      ),
      1
    ),
    ""0""
  ),
  ""Form not found""
)
"),"0")</f>
        <v>0</v>
      </c>
      <c r="AO2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1!$E:$E"")=$B206) *
        (IMPORTRANGE(""https://docs.google.com/spreadsheets/d/161aHT6vVT3SLneTKD19N5qVWtnj_jIT8CSsOmUVKmaA/e"&amp;"dit?gid=1761053510"",
          ""Haris_Form responses 1!$AQ:$AQ"")=4)
      ),
      1
    ),
    ""0""
  ),
  ""Form not found""
)
"),"Form not found")</f>
        <v>Form not found</v>
      </c>
      <c r="AP2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1!$E:$E"")=$B206) *
        (IMPORTRANGE(""https://docs.google.com/spreadsheets/d/161aHT6vVT3SLneTKD19N5qVWtnj_jIT8CSsOmUVKmaA/e"&amp;"dit?gid=1761053510"",
          ""Haris_Form responses 1!$AQ:$AQ"")=5)
      ),
      1
    ),
    ""0""
  ),
  ""Form not found""
)
"),"Form not found")</f>
        <v>Form not found</v>
      </c>
      <c r="AQ2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1!$E:$E"")=$B206) *
        (IMPORTRANGE(""https://docs.google.com/spreadsheets/d/161aHT6vVT3SLneTKD19N5qVWtnj_jIT8CSsOmUVKmaA/e"&amp;"dit?gid=1761053510"",
          ""Haris_Form responses 1!$AQ:$AQ"")=6)
      ),
      1
    ),
    ""0""
  ),
  ""Form not found""
)
"),"Form not found")</f>
        <v>Form not found</v>
      </c>
      <c r="AR2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1!$E:$E"")=$B206) *
        (IMPORTRANGE(""https://docs.google.com/spreadsheets/d/161aHT6vVT3SLneTKD19N5qVWtnj_jIT8CSsOmUVKmaA/e"&amp;"dit?gid=1761053510"",
          ""Haris_Form responses 1!$AQ:$AQ"")=1)
      ),
      1
    ),
    ""0""
  ),
  ""Form not found""
)
"),"4")</f>
        <v>4</v>
      </c>
      <c r="AS2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1!$E:$E"")=$B206) *
        (IMPORTRANGE(""https://docs.google.com/spreadsheets/d/161aHT6vVT3SLneTKD19N5qVWtnj_jIT8CSsOmUVKmaA/e"&amp;"dit?gid=1761053510"",
          ""Haris_Form responses 1!$AQ:$AQ"")=2)
      ),
      1
    ),
    ""0""
  ),
  ""Form not found""
)
"),"Form not found")</f>
        <v>Form not found</v>
      </c>
      <c r="AT2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1!$E:$E"")=$B206) *
        (IMPORTRANGE(""https://docs.google.com/spreadsheets/d/161aHT6vVT3SLneTKD19N5qVWtnj_jIT8CSsOmUVKmaA/e"&amp;"dit?gid=1761053510"",
          ""Haris_Form responses 1!$AQ:$AQ"")=3)
      ),
      1
    ),
    ""0""
  ),
  ""Form not found""
)
"),"0")</f>
        <v>0</v>
      </c>
      <c r="AU2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1!$E:$E"")=$B206) *
        (IMPORTRANGE(""https://docs.google.com/spreadsheets/d/161aHT6vVT3SLneTKD19N5qVWtnj_jIT8CSsOmUVKmaA/e"&amp;"dit?gid=1761053510"",
          ""Haris_Form responses 1!$AQ:$AQ"")=4)
      ),
      1
    ),
    ""0""
  ),
  ""Form not found""
)
"),"Form not found")</f>
        <v>Form not found</v>
      </c>
      <c r="AV2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1!$E:$E"")=$B206) *
        (IMPORTRANGE(""https://docs.google.com/spreadsheets/d/161aHT6vVT3SLneTKD19N5qVWtnj_jIT8CSsOmUVKmaA/e"&amp;"dit?gid=1761053510"",
          ""Haris_Form responses 1!$AQ:$AQ"")=5)
      ),
      1
    ),
    ""0""
  ),
  ""Form not found""
)
"),"Form not found")</f>
        <v>Form not found</v>
      </c>
      <c r="AW2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1!$E:$E"")=$B206) *
        (IMPORTRANGE(""https://docs.google.com/spreadsheets/d/161aHT6vVT3SLneTKD19N5qVWtnj_jIT8CSsOmUVKmaA/e"&amp;"dit?gid=1761053510"",
          ""Haris_Form responses 1!$AQ:$AQ"")=6)
      ),
      1
    ),
    ""0""
  ),
  ""Form not found""
)
"),"Form not found")</f>
        <v>Form not found</v>
      </c>
      <c r="AX2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1!$E:$E"")=$B206) *
        (IMPORTRANGE(""https://docs.google.com/spreadsheets/d/161aHT6vVT3SLneTKD19N5qVWtnj_jIT8CSsOmUVKmaA/e"&amp;"dit?gid=1761053510"",
          ""Haris_Form responses 1!$AQ:$AQ"")=1)
      ),
      1
    ),
    ""0""
  ),
  ""Form not found""
)
"),"4")</f>
        <v>4</v>
      </c>
      <c r="AY2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1!$E:$E"")=$B206) *
        (IMPORTRANGE(""https://docs.google.com/spreadsheets/d/161aHT6vVT3SLneTKD19N5qVWtnj_jIT8CSsOmUVKmaA/e"&amp;"dit?gid=1761053510"",
          ""Haris_Form responses 1!$AQ:$AQ"")=2)
      ),
      1
    ),
    ""0""
  ),
  ""Form not found""
)
"),"Form not found")</f>
        <v>Form not found</v>
      </c>
      <c r="AZ2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1!$E:$E"")=$B206) *
        (IMPORTRANGE(""https://docs.google.com/spreadsheets/d/161aHT6vVT3SLneTKD19N5qVWtnj_jIT8CSsOmUVKmaA/e"&amp;"dit?gid=1761053510"",
          ""Haris_Form responses 1!$AQ:$AQ"")=3)
      ),
      1
    ),
    ""0""
  ),
  ""Form not found""
)
"),"0")</f>
        <v>0</v>
      </c>
      <c r="BA2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1!$E:$E"")=$B206) *
        (IMPORTRANGE(""https://docs.google.com/spreadsheets/d/161aHT6vVT3SLneTKD19N5qVWtnj_jIT8CSsOmUVKmaA/e"&amp;"dit?gid=1761053510"",
          ""Haris_Form responses 1!$AQ:$AQ"")=4)
      ),
      1
    ),
    ""0""
  ),
  ""Form not found""
)
"),"Form not found")</f>
        <v>Form not found</v>
      </c>
      <c r="BB2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1!$E:$E"")=$B206) *
        (IMPORTRANGE(""https://docs.google.com/spreadsheets/d/161aHT6vVT3SLneTKD19N5qVWtnj_jIT8CSsOmUVKmaA/e"&amp;"dit?gid=1761053510"",
          ""Haris_Form responses 1!$AQ:$AQ"")=5)
      ),
      1
    ),
    ""0""
  ),
  ""Form not found""
)
"),"Form not found")</f>
        <v>Form not found</v>
      </c>
      <c r="BC2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1!$E:$E"")=$B206) *
        (IMPORTRANGE(""https://docs.google.com/spreadsheets/d/161aHT6vVT3SLneTKD19N5qVWtnj_jIT8CSsOmUVKmaA/e"&amp;"dit?gid=1761053510"",
          ""Haris_Form responses 1!$AQ:$AQ"")=6)
      ),
      1
    ),
    ""0""
  ),
  ""Form not found""
)
"),"Form not found")</f>
        <v>Form not found</v>
      </c>
      <c r="BD206" s="293"/>
    </row>
    <row r="207">
      <c r="A207" s="283" t="str">
        <f>IFERROR(__xludf.DUMMYFUNCTION("VLOOKUP($B207,IMPORTRANGE(""https://docs.google.com/spreadsheets/d/1VNXDITjs75AcgdBSW27oL1VZH31udDprJSsBcE5xlp4/edit?gid=1551188038#gid=1551188038"", ""Sheet9!$B:$E""),2,false)"),"Bahawalpure")</f>
        <v>Bahawalpure</v>
      </c>
      <c r="B207" s="283" t="s">
        <v>4647</v>
      </c>
      <c r="C207" s="284" t="str">
        <f>IFERROR(__xludf.DUMMYFUNCTION("VLOOKUP(TRIM($B207), IMPORTRANGE(""https://docs.google.com/spreadsheets/d/1aSOrU4PTpuBZqfitKaH1Rfww6-YOiNCKoBpPl8XBHaw/edit?gid=0#gid=0"", ""sheet3!$B:$C""), 2, FALSE)
"),"Jamia Masjid Chanan Peer Sarkar Cholistan")</f>
        <v>Jamia Masjid Chanan Peer Sarkar Cholistan</v>
      </c>
      <c r="D207" s="284" t="str">
        <f>IFERROR(__xludf.DUMMYFUNCTION("IFERROR(
  INDEX(
    FILTER(
      IMPORTRANGE(""1aSOrU4PTpuBZqfitKaH1Rfww6-YOiNCKoBpPl8XBHaw/edit?gid=0#gid=0"",""Sheet1!G:G""),
      IMPORTRANGE(""1aSOrU4PTpuBZqfitKaH1Rfww6-YOiNCKoBpPl8XBHaw/edit?gid=0#gid=0"",""Sheet1!C:C"")=$B207
    ),
    1
  ),
"&amp;"  ""Not Found""
)"),"Control")</f>
        <v>Control</v>
      </c>
      <c r="E207" s="284" t="str">
        <f>VLOOKUP(B207,'Juma Recording forms'!A:E,5,false)</f>
        <v>Chaner peer jama masjid </v>
      </c>
      <c r="F207" s="284" t="str">
        <f>IFERROR(__xludf.DUMMYFUNCTION("IFERROR(
  INDEX(
    FILTER(
      IMPORTRANGE(""1Cxrhp3-_-HS7v9uuqQliiIfrmMP4VaFoDNDWyUFy2J8/edit?gid=0#gid=0"",""Sheet1!Q:Q""),
      IMPORTRANGE(""1Cxrhp3-_-HS7v9uuqQliiIfrmMP4VaFoDNDWyUFy2J8/edit?gid=0#gid=0"",""Sheet1!K:K"")=$B207
    ),
    1
  ),
"&amp;"  ""Not Found""
)"),"")</f>
        <v/>
      </c>
      <c r="G207" s="292">
        <v>1956.0</v>
      </c>
      <c r="H207" s="284" t="s">
        <v>4875</v>
      </c>
      <c r="I207" s="285" t="s">
        <v>197</v>
      </c>
      <c r="J207" s="286">
        <v>1.0</v>
      </c>
      <c r="K207" s="287" t="str">
        <f>VLOOKUP($B207,'Mosque Locations'!$A:$E,3,FALSE)
</f>
        <v>https://www.google.com/maps?q=28.9754483,71.663715&amp;z=17&amp;hl=en</v>
      </c>
      <c r="L207" s="286">
        <f>VLOOKUP($B207,'Mosque Locations'!$A:$E,4,FALSE)
</f>
        <v>28.97545</v>
      </c>
      <c r="M207" s="286">
        <f>VLOOKUP($B207,'Mosque Locations'!$A:$E,5,false)</f>
        <v>71.66372</v>
      </c>
      <c r="N207" s="288"/>
      <c r="O207" s="288"/>
      <c r="P207" s="288"/>
      <c r="Q207" s="290" t="str">
        <f>IFERROR(__xludf.DUMMYFUNCTION("IFERROR(
  INDEX(
    FILTER(
      IMPORTRANGE(""1kOrIKZmJfNUkgOVP3sI9BPjaaPA0_a4636oymQxTXg8"",""Form Responses 1!N:N""),
      TRIM(IMPORTRANGE(""1kOrIKZmJfNUkgOVP3sI9BPjaaPA0_a4636oymQxTXg8"",""Form Responses 1!F:F""))=TRIM($B207)
    ),
    1
  ),
  "&amp;"""Not Found""
)
"),"https://drive.google.com/open?id=1Le5dHh1ogV97RVApkSITmwLS_1thIQ7-")</f>
        <v>https://drive.google.com/open?id=1Le5dHh1ogV97RVApkSITmwLS_1thIQ7-</v>
      </c>
      <c r="R207" s="290" t="str">
        <f>IFERROR(__xludf.DUMMYFUNCTION("IFERROR(
  INDEX(
    FILTER(
      IMPORTRANGE(""1kOrIKZmJfNUkgOVP3sI9BPjaaPA0_a4636oymQxTXg8"",""Form Responses 1!M:M""),
      TRIM(IMPORTRANGE(""1kOrIKZmJfNUkgOVP3sI9BPjaaPA0_a4636oymQxTXg8"",""Form Responses 1!F:F""))=TRIM($B207)
    ),
    1
  ),
  "&amp;"""Not Found""
)
"),"https://drive.google.com/open?id=1Q4sXWb2FDzCX2oYCc5-fR8FZHAdl-Asp")</f>
        <v>https://drive.google.com/open?id=1Q4sXWb2FDzCX2oYCc5-fR8FZHAdl-Asp</v>
      </c>
      <c r="S207" s="285"/>
      <c r="T207" s="290" t="str">
        <f>VLOOKUP($B207,'Master Tracker'!D:E,2,false)</f>
        <v>https://drive.google.com/open?id=1jIf6y1DDZ-hFwQES3ywMdwVrGs8Ma5Fp</v>
      </c>
      <c r="U207" s="291" t="str">
        <f>VLOOKUP($B207,'Master Tracker'!$D:$T,4,FALSE)
</f>
        <v>https://drive.google.com/open?id=1BJjjvQqoGJATHR5SYYmMl09OJ8kJ5ruo</v>
      </c>
      <c r="V207" s="284" t="str">
        <f>VLOOKUP($B207,'Master Tracker'!$D:$T,5,false)</f>
        <v>Not Found</v>
      </c>
      <c r="W207" s="292" t="str">
        <f>VLOOKUP($B207,'Master Tracker'!$D:$T,7,false)</f>
        <v>Not Found</v>
      </c>
      <c r="X207" s="290" t="str">
        <f>VLOOKUP($B207,'Master Tracker'!$D:$T,8,false)</f>
        <v>https://drive.google.com/open?id=1SdSJZZ67XY4JelY_ZsS9ufUjylPw7YSU</v>
      </c>
      <c r="Y207" s="291" t="str">
        <f>VLOOKUP($B207,'Master Tracker'!$D:$T,10,false)</f>
        <v>https://drive.google.com/open?id=1GcikKd13cqvqDSuZHBoKC39ftBsq7rT0</v>
      </c>
      <c r="Z207" s="284" t="str">
        <f>VLOOKUP($B207,'Master Tracker'!$D:$T,11,false)</f>
        <v>Not Found</v>
      </c>
      <c r="AA207" s="292" t="str">
        <f>VLOOKUP($B207,'Master Tracker'!$D:$T,13,false)</f>
        <v>Not Found</v>
      </c>
      <c r="AB207" s="284" t="str">
        <f>VLOOKUP($B207,'Master Tracker'!$D:$T,14,false)</f>
        <v>Not Found</v>
      </c>
      <c r="AC207" s="292" t="str">
        <f>VLOOKUP($B207,'Master Tracker'!$D:$T,16,false)</f>
        <v>Not Found</v>
      </c>
      <c r="AD207" s="292" t="str">
        <f>VLOOKUP($B207,'Master Tracker'!$D:$T,17,false)</f>
        <v>Not Found</v>
      </c>
      <c r="AE207" s="292" t="str">
        <f>VLOOKUP($B207,'Master Tracker'!$D:$V,19,false)</f>
        <v>Not Found</v>
      </c>
      <c r="AF207" s="292">
        <f>IFERROR(__xludf.DUMMYFUNCTION("IFERROR(
  INDEX(
    FILTER(
      'Juma Recording forms'!$G:$G,
      TRIM('Juma Recording forms'!$F:$F) = TRIM($B207),
      'Juma Recording forms'!$AA:$AA = 1
    ),
    1
  ),
  ""Not Found""
)"),309.0)</f>
        <v>309</v>
      </c>
      <c r="AG207" s="292" t="str">
        <f>IFERROR(__xludf.DUMMYFUNCTION("IFERROR(
  INDEX(
    FILTER(
      'Juma Recording forms'!$G:$G,
      TRIM('Juma Recording forms'!$F:$F) = TRIM($B207),
      'Juma Recording forms'!$AA:$AA = 2
    ),
    1
  ),
  ""Not Found""
)"),"Not Found")</f>
        <v>Not Found</v>
      </c>
      <c r="AH207" s="292">
        <f>IFERROR(__xludf.DUMMYFUNCTION("IFERROR(
  INDEX(
    FILTER(
      'Juma Recording forms'!$G:$G,
      TRIM('Juma Recording forms'!$F:$F) = TRIM($B207),
      'Juma Recording forms'!$AA:$AA = 3
    ),
    1
  ),
  ""Not Found""
)"),320.0)</f>
        <v>320</v>
      </c>
      <c r="AI207" s="292" t="str">
        <f>IFERROR(__xludf.DUMMYFUNCTION("IFERROR(
  INDEX(
    FILTER(
      'Juma Recording forms'!$G:$G,
      TRIM('Juma Recording forms'!$F:$F) = TRIM($B207),
      'Juma Recording forms'!$AA:$AA = 4
    ),
    1
  ),
  ""Not Found""
)"),"Not Found")</f>
        <v>Not Found</v>
      </c>
      <c r="AJ207" s="292" t="str">
        <f>IFERROR(__xludf.DUMMYFUNCTION("IFERROR(
  INDEX(
    FILTER(
      'Juma Recording forms'!$G:$G,
      TRIM('Juma Recording forms'!$F:$F) = TRIM($B207),
      'Juma Recording forms'!$AA:$AA = 5
    ),
    1
  ),
  ""Not Found""
)"),"Not Found")</f>
        <v>Not Found</v>
      </c>
      <c r="AK207" s="292"/>
      <c r="AL2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1!$E:$E"")=$B207) *
        (IMPORTRANGE(""https://docs.google.com/spreadsheets/d/161aHT6vVT3SLneTKD19N5qVWtnj_jIT8CSsOmUVKmaA/e"&amp;"dit?gid=1761053510"",
          ""Haris_Form responses 1!$AQ:$AQ"")=1)
      ),
      1
    ),
    ""0""
  ),
  ""Form not found""
)
"),"0")</f>
        <v>0</v>
      </c>
      <c r="AM2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1!$E:$E"")=$B207) *
        (IMPORTRANGE(""https://docs.google.com/spreadsheets/d/161aHT6vVT3SLneTKD19N5qVWtnj_jIT8CSsOmUVKmaA/e"&amp;"dit?gid=1761053510"",
          ""Haris_Form responses 1!$AQ:$AQ"")=2)
      ),
      1
    ),
    ""0""
  ),
  ""Form not found""
)
"),"Form not found")</f>
        <v>Form not found</v>
      </c>
      <c r="AN2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1!$E:$E"")=$B207) *
        (IMPORTRANGE(""https://docs.google.com/spreadsheets/d/161aHT6vVT3SLneTKD19N5qVWtnj_jIT8CSsOmUVKmaA/e"&amp;"dit?gid=1761053510"",
          ""Haris_Form responses 1!$AQ:$AQ"")=3)
      ),
      1
    ),
    ""0""
  ),
  ""Form not found""
)
"),"0")</f>
        <v>0</v>
      </c>
      <c r="AO2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1!$E:$E"")=$B207) *
        (IMPORTRANGE(""https://docs.google.com/spreadsheets/d/161aHT6vVT3SLneTKD19N5qVWtnj_jIT8CSsOmUVKmaA/e"&amp;"dit?gid=1761053510"",
          ""Haris_Form responses 1!$AQ:$AQ"")=4)
      ),
      1
    ),
    ""0""
  ),
  ""Form not found""
)
"),"Form not found")</f>
        <v>Form not found</v>
      </c>
      <c r="AP2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1!$E:$E"")=$B207) *
        (IMPORTRANGE(""https://docs.google.com/spreadsheets/d/161aHT6vVT3SLneTKD19N5qVWtnj_jIT8CSsOmUVKmaA/e"&amp;"dit?gid=1761053510"",
          ""Haris_Form responses 1!$AQ:$AQ"")=5)
      ),
      1
    ),
    ""0""
  ),
  ""Form not found""
)
"),"Form not found")</f>
        <v>Form not found</v>
      </c>
      <c r="AQ2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1!$E:$E"")=$B207) *
        (IMPORTRANGE(""https://docs.google.com/spreadsheets/d/161aHT6vVT3SLneTKD19N5qVWtnj_jIT8CSsOmUVKmaA/e"&amp;"dit?gid=1761053510"",
          ""Haris_Form responses 1!$AQ:$AQ"")=6)
      ),
      1
    ),
    ""0""
  ),
  ""Form not found""
)
"),"Form not found")</f>
        <v>Form not found</v>
      </c>
      <c r="AR2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1!$E:$E"")=$B207) *
        (IMPORTRANGE(""https://docs.google.com/spreadsheets/d/161aHT6vVT3SLneTKD19N5qVWtnj_jIT8CSsOmUVKmaA/e"&amp;"dit?gid=1761053510"",
          ""Haris_Form responses 1!$AQ:$AQ"")=1)
      ),
      1
    ),
    ""0""
  ),
  ""Form not found""
)
"),"0")</f>
        <v>0</v>
      </c>
      <c r="AS2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1!$E:$E"")=$B207) *
        (IMPORTRANGE(""https://docs.google.com/spreadsheets/d/161aHT6vVT3SLneTKD19N5qVWtnj_jIT8CSsOmUVKmaA/e"&amp;"dit?gid=1761053510"",
          ""Haris_Form responses 1!$AQ:$AQ"")=2)
      ),
      1
    ),
    ""0""
  ),
  ""Form not found""
)
"),"Form not found")</f>
        <v>Form not found</v>
      </c>
      <c r="AT2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1!$E:$E"")=$B207) *
        (IMPORTRANGE(""https://docs.google.com/spreadsheets/d/161aHT6vVT3SLneTKD19N5qVWtnj_jIT8CSsOmUVKmaA/e"&amp;"dit?gid=1761053510"",
          ""Haris_Form responses 1!$AQ:$AQ"")=3)
      ),
      1
    ),
    ""0""
  ),
  ""Form not found""
)
"),"0")</f>
        <v>0</v>
      </c>
      <c r="AU2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1!$E:$E"")=$B207) *
        (IMPORTRANGE(""https://docs.google.com/spreadsheets/d/161aHT6vVT3SLneTKD19N5qVWtnj_jIT8CSsOmUVKmaA/e"&amp;"dit?gid=1761053510"",
          ""Haris_Form responses 1!$AQ:$AQ"")=4)
      ),
      1
    ),
    ""0""
  ),
  ""Form not found""
)
"),"Form not found")</f>
        <v>Form not found</v>
      </c>
      <c r="AV2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1!$E:$E"")=$B207) *
        (IMPORTRANGE(""https://docs.google.com/spreadsheets/d/161aHT6vVT3SLneTKD19N5qVWtnj_jIT8CSsOmUVKmaA/e"&amp;"dit?gid=1761053510"",
          ""Haris_Form responses 1!$AQ:$AQ"")=5)
      ),
      1
    ),
    ""0""
  ),
  ""Form not found""
)
"),"Form not found")</f>
        <v>Form not found</v>
      </c>
      <c r="AW2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1!$E:$E"")=$B207) *
        (IMPORTRANGE(""https://docs.google.com/spreadsheets/d/161aHT6vVT3SLneTKD19N5qVWtnj_jIT8CSsOmUVKmaA/e"&amp;"dit?gid=1761053510"",
          ""Haris_Form responses 1!$AQ:$AQ"")=6)
      ),
      1
    ),
    ""0""
  ),
  ""Form not found""
)
"),"Form not found")</f>
        <v>Form not found</v>
      </c>
      <c r="AX2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1!$E:$E"")=$B207) *
        (IMPORTRANGE(""https://docs.google.com/spreadsheets/d/161aHT6vVT3SLneTKD19N5qVWtnj_jIT8CSsOmUVKmaA/e"&amp;"dit?gid=1761053510"",
          ""Haris_Form responses 1!$AQ:$AQ"")=1)
      ),
      1
    ),
    ""0""
  ),
  ""Form not found""
)
"),"0")</f>
        <v>0</v>
      </c>
      <c r="AY2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1!$E:$E"")=$B207) *
        (IMPORTRANGE(""https://docs.google.com/spreadsheets/d/161aHT6vVT3SLneTKD19N5qVWtnj_jIT8CSsOmUVKmaA/e"&amp;"dit?gid=1761053510"",
          ""Haris_Form responses 1!$AQ:$AQ"")=2)
      ),
      1
    ),
    ""0""
  ),
  ""Form not found""
)
"),"Form not found")</f>
        <v>Form not found</v>
      </c>
      <c r="AZ2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1!$E:$E"")=$B207) *
        (IMPORTRANGE(""https://docs.google.com/spreadsheets/d/161aHT6vVT3SLneTKD19N5qVWtnj_jIT8CSsOmUVKmaA/e"&amp;"dit?gid=1761053510"",
          ""Haris_Form responses 1!$AQ:$AQ"")=3)
      ),
      1
    ),
    ""0""
  ),
  ""Form not found""
)
"),"0")</f>
        <v>0</v>
      </c>
      <c r="BA2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1!$E:$E"")=$B207) *
        (IMPORTRANGE(""https://docs.google.com/spreadsheets/d/161aHT6vVT3SLneTKD19N5qVWtnj_jIT8CSsOmUVKmaA/e"&amp;"dit?gid=1761053510"",
          ""Haris_Form responses 1!$AQ:$AQ"")=4)
      ),
      1
    ),
    ""0""
  ),
  ""Form not found""
)
"),"Form not found")</f>
        <v>Form not found</v>
      </c>
      <c r="BB2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1!$E:$E"")=$B207) *
        (IMPORTRANGE(""https://docs.google.com/spreadsheets/d/161aHT6vVT3SLneTKD19N5qVWtnj_jIT8CSsOmUVKmaA/e"&amp;"dit?gid=1761053510"",
          ""Haris_Form responses 1!$AQ:$AQ"")=5)
      ),
      1
    ),
    ""0""
  ),
  ""Form not found""
)
"),"Form not found")</f>
        <v>Form not found</v>
      </c>
      <c r="BC2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1!$E:$E"")=$B207) *
        (IMPORTRANGE(""https://docs.google.com/spreadsheets/d/161aHT6vVT3SLneTKD19N5qVWtnj_jIT8CSsOmUVKmaA/e"&amp;"dit?gid=1761053510"",
          ""Haris_Form responses 1!$AQ:$AQ"")=6)
      ),
      1
    ),
    ""0""
  ),
  ""Form not found""
)
"),"Form not found")</f>
        <v>Form not found</v>
      </c>
      <c r="BD207" s="293"/>
    </row>
    <row r="208">
      <c r="A208" s="283" t="str">
        <f>IFERROR(__xludf.DUMMYFUNCTION("VLOOKUP($B208,IMPORTRANGE(""https://docs.google.com/spreadsheets/d/1VNXDITjs75AcgdBSW27oL1VZH31udDprJSsBcE5xlp4/edit?gid=1551188038#gid=1551188038"", ""Sheet9!$B:$E""),2,false)"),"Bahawalpure")</f>
        <v>Bahawalpure</v>
      </c>
      <c r="B208" s="283" t="s">
        <v>4648</v>
      </c>
      <c r="C208" s="284" t="str">
        <f>IFERROR(__xludf.DUMMYFUNCTION("VLOOKUP(TRIM($B208), IMPORTRANGE(""https://docs.google.com/spreadsheets/d/1aSOrU4PTpuBZqfitKaH1Rfww6-YOiNCKoBpPl8XBHaw/edit?gid=0#gid=0"", ""sheet3!$B:$C""), 2, FALSE)
"),"Jamia Masjid Muhdum Jahaniya Oh Shareef")</f>
        <v>Jamia Masjid Muhdum Jahaniya Oh Shareef</v>
      </c>
      <c r="D208" s="284" t="str">
        <f>IFERROR(__xludf.DUMMYFUNCTION("IFERROR(
  INDEX(
    FILTER(
      IMPORTRANGE(""1aSOrU4PTpuBZqfitKaH1Rfww6-YOiNCKoBpPl8XBHaw/edit?gid=0#gid=0"",""Sheet1!G:G""),
      IMPORTRANGE(""1aSOrU4PTpuBZqfitKaH1Rfww6-YOiNCKoBpPl8XBHaw/edit?gid=0#gid=0"",""Sheet1!C:C"")=$B208
    ),
    1
  ),
"&amp;"  ""Not Found""
)"),"Community Secular Info Share")</f>
        <v>Community Secular Info Share</v>
      </c>
      <c r="E208" s="284" t="str">
        <f>VLOOKUP(B208,'Juma Recording forms'!A:E,5,false)</f>
        <v>Jamia Masjid Muhdum Jahaniya Oh Shareef</v>
      </c>
      <c r="F208" s="284" t="str">
        <f>IFERROR(__xludf.DUMMYFUNCTION("IFERROR(
  INDEX(
    FILTER(
      IMPORTRANGE(""1Cxrhp3-_-HS7v9uuqQliiIfrmMP4VaFoDNDWyUFy2J8/edit?gid=0#gid=0"",""Sheet1!Q:Q""),
      IMPORTRANGE(""1Cxrhp3-_-HS7v9uuqQliiIfrmMP4VaFoDNDWyUFy2J8/edit?gid=0#gid=0"",""Sheet1!K:K"")=$B208
    ),
    1
  ),
"&amp;"  ""Not Found""
)"),"Khalil Ahmad")</f>
        <v>Khalil Ahmad</v>
      </c>
      <c r="G208" s="284">
        <v>1045.0</v>
      </c>
      <c r="H208" s="284" t="s">
        <v>4876</v>
      </c>
      <c r="I208" s="285" t="s">
        <v>401</v>
      </c>
      <c r="J208" s="286">
        <v>2.0</v>
      </c>
      <c r="K208" s="287" t="str">
        <f>VLOOKUP($B208,'Mosque Locations'!$A:$E,3,FALSE)
</f>
        <v>https://www.google.com/maps?q=29.2431651,71.0555136</v>
      </c>
      <c r="L208" s="286">
        <f>VLOOKUP($B208,'Mosque Locations'!$A:$E,4,FALSE)
</f>
        <v>29.24317</v>
      </c>
      <c r="M208" s="286">
        <f>VLOOKUP($B208,'Mosque Locations'!$A:$E,5,false)</f>
        <v>71.05551</v>
      </c>
      <c r="N208" s="288"/>
      <c r="O208" s="288"/>
      <c r="P208" s="288"/>
      <c r="Q208" s="289" t="str">
        <f>IFERROR(__xludf.DUMMYFUNCTION("IFERROR(
  INDEX(
    FILTER(
      IMPORTRANGE(""1kOrIKZmJfNUkgOVP3sI9BPjaaPA0_a4636oymQxTXg8"",""Form Responses 1!N:N""),
      TRIM(IMPORTRANGE(""1kOrIKZmJfNUkgOVP3sI9BPjaaPA0_a4636oymQxTXg8"",""Form Responses 1!F:F""))=TRIM($B208)
    ),
    1
  ),
  "&amp;"""Not Found""
)
"),"https://drive.google.com/open?id=1fGFeF9weA4maTjwoJSMttV6lIDsURMJX")</f>
        <v>https://drive.google.com/open?id=1fGFeF9weA4maTjwoJSMttV6lIDsURMJX</v>
      </c>
      <c r="R208" s="290" t="str">
        <f>IFERROR(__xludf.DUMMYFUNCTION("IFERROR(
  INDEX(
    FILTER(
      IMPORTRANGE(""1kOrIKZmJfNUkgOVP3sI9BPjaaPA0_a4636oymQxTXg8"",""Form Responses 1!M:M""),
      TRIM(IMPORTRANGE(""1kOrIKZmJfNUkgOVP3sI9BPjaaPA0_a4636oymQxTXg8"",""Form Responses 1!F:F""))=TRIM($B208)
    ),
    1
  ),
  "&amp;"""Not Found""
)
"),"https://drive.google.com/open?id=19hW9ExOJPrIEogr_HAMxI8K5sBwmFhsJ")</f>
        <v>https://drive.google.com/open?id=19hW9ExOJPrIEogr_HAMxI8K5sBwmFhsJ</v>
      </c>
      <c r="S208" s="285"/>
      <c r="T208" s="284" t="str">
        <f>VLOOKUP($B208,'Master Tracker'!D:E,2,false)</f>
        <v>Recording nhe hai = saifullah </v>
      </c>
      <c r="U208" s="292" t="str">
        <f>VLOOKUP($B208,'Master Tracker'!$D:$T,4,FALSE)
</f>
        <v>Not Found</v>
      </c>
      <c r="V208" s="284" t="str">
        <f>VLOOKUP($B208,'Master Tracker'!$D:$T,5,false)</f>
        <v>https://drive.google.com/open?id=1T4DKumeJ72uNjtw59Xdw7FL1A93jt4Tr, https://drive.google.com/open?id=1VV8d3MEfKI6vgfxy9jsBnSVp1KcVRDHa</v>
      </c>
      <c r="W208" s="291" t="str">
        <f>VLOOKUP($B208,'Master Tracker'!$D:$T,7,false)</f>
        <v>https://drive.google.com/open?id=1h9mXCeiQyXNlG6F5h3q7NTypeO79grpl</v>
      </c>
      <c r="X208" s="284" t="str">
        <f>VLOOKUP($B208,'Master Tracker'!$D:$T,8,false)</f>
        <v>Not Found</v>
      </c>
      <c r="Y208" s="292" t="str">
        <f>VLOOKUP($B208,'Master Tracker'!$D:$T,10,false)</f>
        <v>Not Found</v>
      </c>
      <c r="Z208" s="284" t="str">
        <f>VLOOKUP($B208,'Master Tracker'!$D:$T,11,false)</f>
        <v>Not Found</v>
      </c>
      <c r="AA208" s="292" t="str">
        <f>VLOOKUP($B208,'Master Tracker'!$D:$T,13,false)</f>
        <v>Not Found</v>
      </c>
      <c r="AB208" s="284" t="str">
        <f>VLOOKUP($B208,'Master Tracker'!$D:$T,14,false)</f>
        <v>Not Found</v>
      </c>
      <c r="AC208" s="292" t="str">
        <f>VLOOKUP($B208,'Master Tracker'!$D:$T,16,false)</f>
        <v>Not Found</v>
      </c>
      <c r="AD208" s="292" t="str">
        <f>VLOOKUP($B208,'Master Tracker'!$D:$T,17,false)</f>
        <v>Not Found</v>
      </c>
      <c r="AE208" s="292" t="str">
        <f>VLOOKUP($B208,'Master Tracker'!$D:$V,19,false)</f>
        <v>Not Found</v>
      </c>
      <c r="AF208" s="292">
        <f>IFERROR(__xludf.DUMMYFUNCTION("IFERROR(
  INDEX(
    FILTER(
      'Juma Recording forms'!$G:$G,
      TRIM('Juma Recording forms'!$F:$F) = TRIM($B208),
      'Juma Recording forms'!$AA:$AA = 1
    ),
    1
  ),
  ""Not Found""
)"),458.0)</f>
        <v>458</v>
      </c>
      <c r="AG208" s="292">
        <f>IFERROR(__xludf.DUMMYFUNCTION("IFERROR(
  INDEX(
    FILTER(
      'Juma Recording forms'!$G:$G,
      TRIM('Juma Recording forms'!$F:$F) = TRIM($B208),
      'Juma Recording forms'!$AA:$AA = 2
    ),
    1
  ),
  ""Not Found""
)"),425.0)</f>
        <v>425</v>
      </c>
      <c r="AH208" s="292" t="str">
        <f>IFERROR(__xludf.DUMMYFUNCTION("IFERROR(
  INDEX(
    FILTER(
      'Juma Recording forms'!$G:$G,
      TRIM('Juma Recording forms'!$F:$F) = TRIM($B208),
      'Juma Recording forms'!$AA:$AA = 3
    ),
    1
  ),
  ""Not Found""
)"),"Not Found")</f>
        <v>Not Found</v>
      </c>
      <c r="AI208" s="292" t="str">
        <f>IFERROR(__xludf.DUMMYFUNCTION("IFERROR(
  INDEX(
    FILTER(
      'Juma Recording forms'!$G:$G,
      TRIM('Juma Recording forms'!$F:$F) = TRIM($B208),
      'Juma Recording forms'!$AA:$AA = 4
    ),
    1
  ),
  ""Not Found""
)"),"Not Found")</f>
        <v>Not Found</v>
      </c>
      <c r="AJ208" s="292" t="str">
        <f>IFERROR(__xludf.DUMMYFUNCTION("IFERROR(
  INDEX(
    FILTER(
      'Juma Recording forms'!$G:$G,
      TRIM('Juma Recording forms'!$F:$F) = TRIM($B208),
      'Juma Recording forms'!$AA:$AA = 5
    ),
    1
  ),
  ""Not Found""
)"),"Not Found")</f>
        <v>Not Found</v>
      </c>
      <c r="AK208" s="292" t="str">
        <f>IFERROR(__xludf.DUMMYFUNCTION("IFERROR(
  INDEX(
    FILTER(
      'Juma Recording forms'!$G:$G,
      TRIM('Juma Recording forms'!$F:$F) = TRIM($B208),
      'Juma Recording forms'!$AA:$AA = 6
    ),
    1
  ),
  ""Not Found""
)"),"Not Found")</f>
        <v>Not Found</v>
      </c>
      <c r="AL2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1!$E:$E"")=$B208) *
        (IMPORTRANGE(""https://docs.google.com/spreadsheets/d/161aHT6vVT3SLneTKD19N5qVWtnj_jIT8CSsOmUVKmaA/e"&amp;"dit?gid=1761053510"",
          ""Haris_Form responses 1!$AQ:$AQ"")=1)
      ),
      1
    ),
    ""0""
  ),
  ""Form not found""
)
"),"Form not found")</f>
        <v>Form not found</v>
      </c>
      <c r="AM2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1!$E:$E"")=$B208) *
        (IMPORTRANGE(""https://docs.google.com/spreadsheets/d/161aHT6vVT3SLneTKD19N5qVWtnj_jIT8CSsOmUVKmaA/e"&amp;"dit?gid=1761053510"",
          ""Haris_Form responses 1!$AQ:$AQ"")=2)
      ),
      1
    ),
    ""0""
  ),
  ""Form not found""
)
"),"9")</f>
        <v>9</v>
      </c>
      <c r="AN2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1!$E:$E"")=$B208) *
        (IMPORTRANGE(""https://docs.google.com/spreadsheets/d/161aHT6vVT3SLneTKD19N5qVWtnj_jIT8CSsOmUVKmaA/e"&amp;"dit?gid=1761053510"",
          ""Haris_Form responses 1!$AQ:$AQ"")=3)
      ),
      1
    ),
    ""0""
  ),
  ""Form not found""
)
"),"Form not found")</f>
        <v>Form not found</v>
      </c>
      <c r="AO2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1!$E:$E"")=$B208) *
        (IMPORTRANGE(""https://docs.google.com/spreadsheets/d/161aHT6vVT3SLneTKD19N5qVWtnj_jIT8CSsOmUVKmaA/e"&amp;"dit?gid=1761053510"",
          ""Haris_Form responses 1!$AQ:$AQ"")=4)
      ),
      1
    ),
    ""0""
  ),
  ""Form not found""
)
"),"Form not found")</f>
        <v>Form not found</v>
      </c>
      <c r="AP2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1!$E:$E"")=$B208) *
        (IMPORTRANGE(""https://docs.google.com/spreadsheets/d/161aHT6vVT3SLneTKD19N5qVWtnj_jIT8CSsOmUVKmaA/e"&amp;"dit?gid=1761053510"",
          ""Haris_Form responses 1!$AQ:$AQ"")=5)
      ),
      1
    ),
    ""0""
  ),
  ""Form not found""
)
"),"Form not found")</f>
        <v>Form not found</v>
      </c>
      <c r="AQ2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1!$E:$E"")=$B208) *
        (IMPORTRANGE(""https://docs.google.com/spreadsheets/d/161aHT6vVT3SLneTKD19N5qVWtnj_jIT8CSsOmUVKmaA/e"&amp;"dit?gid=1761053510"",
          ""Haris_Form responses 1!$AQ:$AQ"")=6)
      ),
      1
    ),
    ""0""
  ),
  ""Form not found""
)
"),"Form not found")</f>
        <v>Form not found</v>
      </c>
      <c r="AR2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1!$E:$E"")=$B208) *
        (IMPORTRANGE(""https://docs.google.com/spreadsheets/d/161aHT6vVT3SLneTKD19N5qVWtnj_jIT8CSsOmUVKmaA/e"&amp;"dit?gid=1761053510"",
          ""Haris_Form responses 1!$AQ:$AQ"")=1)
      ),
      1
    ),
    ""0""
  ),
  ""Form not found""
)
"),"Form not found")</f>
        <v>Form not found</v>
      </c>
      <c r="AS2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1!$E:$E"")=$B208) *
        (IMPORTRANGE(""https://docs.google.com/spreadsheets/d/161aHT6vVT3SLneTKD19N5qVWtnj_jIT8CSsOmUVKmaA/e"&amp;"dit?gid=1761053510"",
          ""Haris_Form responses 1!$AQ:$AQ"")=2)
      ),
      1
    ),
    ""0""
  ),
  ""Form not found""
)
"),"9")</f>
        <v>9</v>
      </c>
      <c r="AT2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1!$E:$E"")=$B208) *
        (IMPORTRANGE(""https://docs.google.com/spreadsheets/d/161aHT6vVT3SLneTKD19N5qVWtnj_jIT8CSsOmUVKmaA/e"&amp;"dit?gid=1761053510"",
          ""Haris_Form responses 1!$AQ:$AQ"")=3)
      ),
      1
    ),
    ""0""
  ),
  ""Form not found""
)
"),"Form not found")</f>
        <v>Form not found</v>
      </c>
      <c r="AU2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1!$E:$E"")=$B208) *
        (IMPORTRANGE(""https://docs.google.com/spreadsheets/d/161aHT6vVT3SLneTKD19N5qVWtnj_jIT8CSsOmUVKmaA/e"&amp;"dit?gid=1761053510"",
          ""Haris_Form responses 1!$AQ:$AQ"")=4)
      ),
      1
    ),
    ""0""
  ),
  ""Form not found""
)
"),"Form not found")</f>
        <v>Form not found</v>
      </c>
      <c r="AV2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1!$E:$E"")=$B208) *
        (IMPORTRANGE(""https://docs.google.com/spreadsheets/d/161aHT6vVT3SLneTKD19N5qVWtnj_jIT8CSsOmUVKmaA/e"&amp;"dit?gid=1761053510"",
          ""Haris_Form responses 1!$AQ:$AQ"")=5)
      ),
      1
    ),
    ""0""
  ),
  ""Form not found""
)
"),"Form not found")</f>
        <v>Form not found</v>
      </c>
      <c r="AW2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1!$E:$E"")=$B208) *
        (IMPORTRANGE(""https://docs.google.com/spreadsheets/d/161aHT6vVT3SLneTKD19N5qVWtnj_jIT8CSsOmUVKmaA/e"&amp;"dit?gid=1761053510"",
          ""Haris_Form responses 1!$AQ:$AQ"")=6)
      ),
      1
    ),
    ""0""
  ),
  ""Form not found""
)
"),"Form not found")</f>
        <v>Form not found</v>
      </c>
      <c r="AX2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1!$E:$E"")=$B208) *
        (IMPORTRANGE(""https://docs.google.com/spreadsheets/d/161aHT6vVT3SLneTKD19N5qVWtnj_jIT8CSsOmUVKmaA/e"&amp;"dit?gid=1761053510"",
          ""Haris_Form responses 1!$AQ:$AQ"")=1)
      ),
      1
    ),
    ""0""
  ),
  ""Form not found""
)
"),"Form not found")</f>
        <v>Form not found</v>
      </c>
      <c r="AY2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1!$E:$E"")=$B208) *
        (IMPORTRANGE(""https://docs.google.com/spreadsheets/d/161aHT6vVT3SLneTKD19N5qVWtnj_jIT8CSsOmUVKmaA/e"&amp;"dit?gid=1761053510"",
          ""Haris_Form responses 1!$AQ:$AQ"")=2)
      ),
      1
    ),
    ""0""
  ),
  ""Form not found""
)
"),"0")</f>
        <v>0</v>
      </c>
      <c r="AZ2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1!$E:$E"")=$B208) *
        (IMPORTRANGE(""https://docs.google.com/spreadsheets/d/161aHT6vVT3SLneTKD19N5qVWtnj_jIT8CSsOmUVKmaA/e"&amp;"dit?gid=1761053510"",
          ""Haris_Form responses 1!$AQ:$AQ"")=3)
      ),
      1
    ),
    ""0""
  ),
  ""Form not found""
)
"),"Form not found")</f>
        <v>Form not found</v>
      </c>
      <c r="BA2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1!$E:$E"")=$B208) *
        (IMPORTRANGE(""https://docs.google.com/spreadsheets/d/161aHT6vVT3SLneTKD19N5qVWtnj_jIT8CSsOmUVKmaA/e"&amp;"dit?gid=1761053510"",
          ""Haris_Form responses 1!$AQ:$AQ"")=4)
      ),
      1
    ),
    ""0""
  ),
  ""Form not found""
)
"),"Form not found")</f>
        <v>Form not found</v>
      </c>
      <c r="BB2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1!$E:$E"")=$B208) *
        (IMPORTRANGE(""https://docs.google.com/spreadsheets/d/161aHT6vVT3SLneTKD19N5qVWtnj_jIT8CSsOmUVKmaA/e"&amp;"dit?gid=1761053510"",
          ""Haris_Form responses 1!$AQ:$AQ"")=5)
      ),
      1
    ),
    ""0""
  ),
  ""Form not found""
)
"),"Form not found")</f>
        <v>Form not found</v>
      </c>
      <c r="BC2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1!$E:$E"")=$B208) *
        (IMPORTRANGE(""https://docs.google.com/spreadsheets/d/161aHT6vVT3SLneTKD19N5qVWtnj_jIT8CSsOmUVKmaA/e"&amp;"dit?gid=1761053510"",
          ""Haris_Form responses 1!$AQ:$AQ"")=6)
      ),
      1
    ),
    ""0""
  ),
  ""Form not found""
)
"),"Form not found")</f>
        <v>Form not found</v>
      </c>
      <c r="BD208" s="293"/>
    </row>
    <row r="209">
      <c r="A209" s="283" t="str">
        <f>IFERROR(__xludf.DUMMYFUNCTION("VLOOKUP($B209,IMPORTRANGE(""https://docs.google.com/spreadsheets/d/1VNXDITjs75AcgdBSW27oL1VZH31udDprJSsBcE5xlp4/edit?gid=1551188038#gid=1551188038"", ""Sheet9!$B:$E""),2,false)"),"Bahawalpure")</f>
        <v>Bahawalpure</v>
      </c>
      <c r="B209" s="283" t="s">
        <v>4650</v>
      </c>
      <c r="C209" s="284" t="str">
        <f>IFERROR(__xludf.DUMMYFUNCTION("VLOOKUP(TRIM($B209), IMPORTRANGE(""https://docs.google.com/spreadsheets/d/1aSOrU4PTpuBZqfitKaH1Rfww6-YOiNCKoBpPl8XBHaw/edit?gid=0#gid=0"", ""sheet3!$B:$C""), 2, FALSE)
"),"Jamia Masjid Mehboob Subhani Oh Shareef")</f>
        <v>Jamia Masjid Mehboob Subhani Oh Shareef</v>
      </c>
      <c r="D209" s="284" t="str">
        <f>IFERROR(__xludf.DUMMYFUNCTION("IFERROR(
  INDEX(
    FILTER(
      IMPORTRANGE(""1aSOrU4PTpuBZqfitKaH1Rfww6-YOiNCKoBpPl8XBHaw/edit?gid=0#gid=0"",""Sheet1!G:G""),
      IMPORTRANGE(""1aSOrU4PTpuBZqfitKaH1Rfww6-YOiNCKoBpPl8XBHaw/edit?gid=0#gid=0"",""Sheet1!C:C"")=$B209
    ),
    1
  ),
"&amp;"  ""Not Found""
)"),"Community Secular Info Share")</f>
        <v>Community Secular Info Share</v>
      </c>
      <c r="E209" s="284" t="str">
        <f>VLOOKUP(B209,'Juma Recording forms'!A:E,5,false)</f>
        <v>Jamia Masjid Hazrat Mehboob Subhani</v>
      </c>
      <c r="F209" s="284" t="str">
        <f>IFERROR(__xludf.DUMMYFUNCTION("IFERROR(
  INDEX(
    FILTER(
      IMPORTRANGE(""1Cxrhp3-_-HS7v9uuqQliiIfrmMP4VaFoDNDWyUFy2J8/edit?gid=0#gid=0"",""Sheet1!Q:Q""),
      IMPORTRANGE(""1Cxrhp3-_-HS7v9uuqQliiIfrmMP4VaFoDNDWyUFy2J8/edit?gid=0#gid=0"",""Sheet1!K:K"")=$B209
    ),
    1
  ),
"&amp;"  ""Not Found""
)"),"Mulana Abdul Majeed")</f>
        <v>Mulana Abdul Majeed</v>
      </c>
      <c r="G209" s="284">
        <v>1325.0</v>
      </c>
      <c r="H209" s="284" t="s">
        <v>4877</v>
      </c>
      <c r="I209" s="285" t="s">
        <v>197</v>
      </c>
      <c r="J209" s="286">
        <v>2.0</v>
      </c>
      <c r="K209" s="287" t="str">
        <f>VLOOKUP($B209,'Mosque Locations'!$A:$E,3,FALSE)
</f>
        <v>https://maps.google.com/maps?q=29.2370496%2C71.0607756&amp;z=17&amp;hl=en</v>
      </c>
      <c r="L209" s="286">
        <f>VLOOKUP($B209,'Mosque Locations'!$A:$E,4,FALSE)
</f>
        <v>29.23705</v>
      </c>
      <c r="M209" s="286">
        <f>VLOOKUP($B209,'Mosque Locations'!$A:$E,5,false)</f>
        <v>71.06078</v>
      </c>
      <c r="N209" s="288"/>
      <c r="O209" s="288"/>
      <c r="P209" s="288"/>
      <c r="Q209" s="290" t="str">
        <f>IFERROR(__xludf.DUMMYFUNCTION("IFERROR(
  INDEX(
    FILTER(
      IMPORTRANGE(""1kOrIKZmJfNUkgOVP3sI9BPjaaPA0_a4636oymQxTXg8"",""Form Responses 1!N:N""),
      TRIM(IMPORTRANGE(""1kOrIKZmJfNUkgOVP3sI9BPjaaPA0_a4636oymQxTXg8"",""Form Responses 1!F:F""))=TRIM($B209)
    ),
    1
  ),
  "&amp;"""Not Found""
)
"),"https://drive.google.com/open?id=1ZGl4s3zVYfz83bnPv8wAPw3ufhFZUXao")</f>
        <v>https://drive.google.com/open?id=1ZGl4s3zVYfz83bnPv8wAPw3ufhFZUXao</v>
      </c>
      <c r="R209" s="294" t="str">
        <f>IFERROR(__xludf.DUMMYFUNCTION("IFERROR(
  INDEX(
    FILTER(
      IMPORTRANGE(""1kOrIKZmJfNUkgOVP3sI9BPjaaPA0_a4636oymQxTXg8"",""Form Responses 1!M:M""),
      TRIM(IMPORTRANGE(""1kOrIKZmJfNUkgOVP3sI9BPjaaPA0_a4636oymQxTXg8"",""Form Responses 1!F:F""))=TRIM($B209)
    ),
    1
  ),
  "&amp;"""Not Found""
)
"),"https://drive.google.com/open?id=1CBIybVgKpgX9ilbzrr3dQGromJYCkBBC, https://drive.google.com/open?id=1erhmeLB7U2QNg_Zend_EXkhXUbjFdT_S")</f>
        <v>https://drive.google.com/open?id=1CBIybVgKpgX9ilbzrr3dQGromJYCkBBC, https://drive.google.com/open?id=1erhmeLB7U2QNg_Zend_EXkhXUbjFdT_S</v>
      </c>
      <c r="S209" s="283" t="s">
        <v>4871</v>
      </c>
      <c r="T209" s="290" t="str">
        <f>VLOOKUP($B209,'Master Tracker'!D:E,2,false)</f>
        <v>https://drive.google.com/open?id=1wbFzvR-RwS21xXZKHmUvwa0zlkdSQrYx</v>
      </c>
      <c r="U209" s="291" t="str">
        <f>VLOOKUP($B209,'Master Tracker'!$D:$T,4,FALSE)
</f>
        <v>https://drive.google.com/open?id=10XyAenIdVkyErV1YnrTBbPF5r5hZ9jRMUtGjLNERhDI</v>
      </c>
      <c r="V209" s="290" t="str">
        <f>VLOOKUP($B209,'Master Tracker'!$D:$T,5,false)</f>
        <v>https://drive.google.com/open?id=1SNl5k-qa5Kkt2mkbm9z0F24pWaDi4nBF</v>
      </c>
      <c r="W209" s="291" t="str">
        <f>VLOOKUP($B209,'Master Tracker'!$D:$T,7,false)</f>
        <v>https://drive.google.com/open?id=1UwCxPR5yVLFt7EMl8AciKTkNdarWqOaKefqdP20cUGM</v>
      </c>
      <c r="X209" s="284" t="str">
        <f>VLOOKUP($B209,'Master Tracker'!$D:$T,8,false)</f>
        <v>https://drive.google.com/open?id=1jPcMH1wWgMRUzAf1Nd8SJKFoa2U_-r5Z, https://drive.google.com/open?id=1Lye4yDUpKlsk1ddLpVpXBzL7NbZusg0o</v>
      </c>
      <c r="Y209" s="291" t="str">
        <f>VLOOKUP($B209,'Master Tracker'!$D:$T,10,false)</f>
        <v>https://drive.google.com/open?id=1sQm6tpBBvydR0XPAgzWWT9atUd_OIeZPSptjmMDE7Zo</v>
      </c>
      <c r="Z209" s="284" t="str">
        <f>VLOOKUP($B209,'Master Tracker'!$D:$T,11,false)</f>
        <v>Not Found</v>
      </c>
      <c r="AA209" s="292" t="str">
        <f>VLOOKUP($B209,'Master Tracker'!$D:$T,13,false)</f>
        <v>Not Found</v>
      </c>
      <c r="AB209" s="284" t="str">
        <f>VLOOKUP($B209,'Master Tracker'!$D:$T,14,false)</f>
        <v>Not Found</v>
      </c>
      <c r="AC209" s="292" t="str">
        <f>VLOOKUP($B209,'Master Tracker'!$D:$T,16,false)</f>
        <v>Not Found</v>
      </c>
      <c r="AD209" s="292" t="str">
        <f>VLOOKUP($B209,'Master Tracker'!$D:$T,17,false)</f>
        <v>Not Found</v>
      </c>
      <c r="AE209" s="292" t="str">
        <f>VLOOKUP($B209,'Master Tracker'!$D:$V,19,false)</f>
        <v>Not Found</v>
      </c>
      <c r="AF209" s="292">
        <f>IFERROR(__xludf.DUMMYFUNCTION("IFERROR(
  INDEX(
    FILTER(
      'Juma Recording forms'!$G:$G,
      TRIM('Juma Recording forms'!$F:$F) = TRIM($B209),
      'Juma Recording forms'!$AA:$AA = 1
    ),
    1
  ),
  ""Not Found""
)"),450.0)</f>
        <v>450</v>
      </c>
      <c r="AG209" s="292">
        <f>IFERROR(__xludf.DUMMYFUNCTION("IFERROR(
  INDEX(
    FILTER(
      'Juma Recording forms'!$G:$G,
      TRIM('Juma Recording forms'!$F:$F) = TRIM($B209),
      'Juma Recording forms'!$AA:$AA = 2
    ),
    1
  ),
  ""Not Found""
)"),470.0)</f>
        <v>470</v>
      </c>
      <c r="AH209" s="292">
        <f>IFERROR(__xludf.DUMMYFUNCTION("IFERROR(
  INDEX(
    FILTER(
      'Juma Recording forms'!$G:$G,
      TRIM('Juma Recording forms'!$F:$F) = TRIM($B209),
      'Juma Recording forms'!$AA:$AA = 3
    ),
    1
  ),
  ""Not Found""
)"),480.0)</f>
        <v>480</v>
      </c>
      <c r="AI209" s="292" t="str">
        <f>IFERROR(__xludf.DUMMYFUNCTION("IFERROR(
  INDEX(
    FILTER(
      'Juma Recording forms'!$G:$G,
      TRIM('Juma Recording forms'!$F:$F) = TRIM($B209),
      'Juma Recording forms'!$AA:$AA = 4
    ),
    1
  ),
  ""Not Found""
)"),"Not Found")</f>
        <v>Not Found</v>
      </c>
      <c r="AJ209" s="292" t="str">
        <f>IFERROR(__xludf.DUMMYFUNCTION("IFERROR(
  INDEX(
    FILTER(
      'Juma Recording forms'!$G:$G,
      TRIM('Juma Recording forms'!$F:$F) = TRIM($B209),
      'Juma Recording forms'!$AA:$AA = 5
    ),
    1
  ),
  ""Not Found""
)"),"Not Found")</f>
        <v>Not Found</v>
      </c>
      <c r="AK209" s="292" t="str">
        <f>IFERROR(__xludf.DUMMYFUNCTION("IFERROR(
  INDEX(
    FILTER(
      'Juma Recording forms'!$G:$G,
      TRIM('Juma Recording forms'!$F:$F) = TRIM($B209),
      'Juma Recording forms'!$AA:$AA = 6
    ),
    1
  ),
  ""Not Found""
)"),"Not Found")</f>
        <v>Not Found</v>
      </c>
      <c r="AL2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1!$E:$E"")=$B209) *
        (IMPORTRANGE(""https://docs.google.com/spreadsheets/d/161aHT6vVT3SLneTKD19N5qVWtnj_jIT8CSsOmUVKmaA/e"&amp;"dit?gid=1761053510"",
          ""Haris_Form responses 1!$AQ:$AQ"")=1)
      ),
      1
    ),
    ""0""
  ),
  ""Form not found""
)
"),"10")</f>
        <v>10</v>
      </c>
      <c r="AM2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1!$E:$E"")=$B209) *
        (IMPORTRANGE(""https://docs.google.com/spreadsheets/d/161aHT6vVT3SLneTKD19N5qVWtnj_jIT8CSsOmUVKmaA/e"&amp;"dit?gid=1761053510"",
          ""Haris_Form responses 1!$AQ:$AQ"")=2)
      ),
      1
    ),
    ""0""
  ),
  ""Form not found""
)
"),"10")</f>
        <v>10</v>
      </c>
      <c r="AN2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1!$E:$E"")=$B209) *
        (IMPORTRANGE(""https://docs.google.com/spreadsheets/d/161aHT6vVT3SLneTKD19N5qVWtnj_jIT8CSsOmUVKmaA/e"&amp;"dit?gid=1761053510"",
          ""Haris_Form responses 1!$AQ:$AQ"")=3)
      ),
      1
    ),
    ""0""
  ),
  ""Form not found""
)
"),"0")</f>
        <v>0</v>
      </c>
      <c r="AO2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1!$E:$E"")=$B209) *
        (IMPORTRANGE(""https://docs.google.com/spreadsheets/d/161aHT6vVT3SLneTKD19N5qVWtnj_jIT8CSsOmUVKmaA/e"&amp;"dit?gid=1761053510"",
          ""Haris_Form responses 1!$AQ:$AQ"")=4)
      ),
      1
    ),
    ""0""
  ),
  ""Form not found""
)
"),"Form not found")</f>
        <v>Form not found</v>
      </c>
      <c r="AP2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1!$E:$E"")=$B209) *
        (IMPORTRANGE(""https://docs.google.com/spreadsheets/d/161aHT6vVT3SLneTKD19N5qVWtnj_jIT8CSsOmUVKmaA/e"&amp;"dit?gid=1761053510"",
          ""Haris_Form responses 1!$AQ:$AQ"")=5)
      ),
      1
    ),
    ""0""
  ),
  ""Form not found""
)
"),"Form not found")</f>
        <v>Form not found</v>
      </c>
      <c r="AQ2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1!$E:$E"")=$B209) *
        (IMPORTRANGE(""https://docs.google.com/spreadsheets/d/161aHT6vVT3SLneTKD19N5qVWtnj_jIT8CSsOmUVKmaA/e"&amp;"dit?gid=1761053510"",
          ""Haris_Form responses 1!$AQ:$AQ"")=6)
      ),
      1
    ),
    ""0""
  ),
  ""Form not found""
)
"),"Form not found")</f>
        <v>Form not found</v>
      </c>
      <c r="AR2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1!$E:$E"")=$B209) *
        (IMPORTRANGE(""https://docs.google.com/spreadsheets/d/161aHT6vVT3SLneTKD19N5qVWtnj_jIT8CSsOmUVKmaA/e"&amp;"dit?gid=1761053510"",
          ""Haris_Form responses 1!$AQ:$AQ"")=1)
      ),
      1
    ),
    ""0""
  ),
  ""Form not found""
)
"),"10")</f>
        <v>10</v>
      </c>
      <c r="AS2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1!$E:$E"")=$B209) *
        (IMPORTRANGE(""https://docs.google.com/spreadsheets/d/161aHT6vVT3SLneTKD19N5qVWtnj_jIT8CSsOmUVKmaA/e"&amp;"dit?gid=1761053510"",
          ""Haris_Form responses 1!$AQ:$AQ"")=2)
      ),
      1
    ),
    ""0""
  ),
  ""Form not found""
)
"),"10")</f>
        <v>10</v>
      </c>
      <c r="AT2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1!$E:$E"")=$B209) *
        (IMPORTRANGE(""https://docs.google.com/spreadsheets/d/161aHT6vVT3SLneTKD19N5qVWtnj_jIT8CSsOmUVKmaA/e"&amp;"dit?gid=1761053510"",
          ""Haris_Form responses 1!$AQ:$AQ"")=3)
      ),
      1
    ),
    ""0""
  ),
  ""Form not found""
)
"),"0")</f>
        <v>0</v>
      </c>
      <c r="AU2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1!$E:$E"")=$B209) *
        (IMPORTRANGE(""https://docs.google.com/spreadsheets/d/161aHT6vVT3SLneTKD19N5qVWtnj_jIT8CSsOmUVKmaA/e"&amp;"dit?gid=1761053510"",
          ""Haris_Form responses 1!$AQ:$AQ"")=4)
      ),
      1
    ),
    ""0""
  ),
  ""Form not found""
)
"),"Form not found")</f>
        <v>Form not found</v>
      </c>
      <c r="AV2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1!$E:$E"")=$B209) *
        (IMPORTRANGE(""https://docs.google.com/spreadsheets/d/161aHT6vVT3SLneTKD19N5qVWtnj_jIT8CSsOmUVKmaA/e"&amp;"dit?gid=1761053510"",
          ""Haris_Form responses 1!$AQ:$AQ"")=5)
      ),
      1
    ),
    ""0""
  ),
  ""Form not found""
)
"),"Form not found")</f>
        <v>Form not found</v>
      </c>
      <c r="AW2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1!$E:$E"")=$B209) *
        (IMPORTRANGE(""https://docs.google.com/spreadsheets/d/161aHT6vVT3SLneTKD19N5qVWtnj_jIT8CSsOmUVKmaA/e"&amp;"dit?gid=1761053510"",
          ""Haris_Form responses 1!$AQ:$AQ"")=6)
      ),
      1
    ),
    ""0""
  ),
  ""Form not found""
)
"),"Form not found")</f>
        <v>Form not found</v>
      </c>
      <c r="AX2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1!$E:$E"")=$B209) *
        (IMPORTRANGE(""https://docs.google.com/spreadsheets/d/161aHT6vVT3SLneTKD19N5qVWtnj_jIT8CSsOmUVKmaA/e"&amp;"dit?gid=1761053510"",
          ""Haris_Form responses 1!$AQ:$AQ"")=1)
      ),
      1
    ),
    ""0""
  ),
  ""Form not found""
)
"),"0")</f>
        <v>0</v>
      </c>
      <c r="AY2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1!$E:$E"")=$B209) *
        (IMPORTRANGE(""https://docs.google.com/spreadsheets/d/161aHT6vVT3SLneTKD19N5qVWtnj_jIT8CSsOmUVKmaA/e"&amp;"dit?gid=1761053510"",
          ""Haris_Form responses 1!$AQ:$AQ"")=2)
      ),
      1
    ),
    ""0""
  ),
  ""Form not found""
)
"),"0")</f>
        <v>0</v>
      </c>
      <c r="AZ2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1!$E:$E"")=$B209) *
        (IMPORTRANGE(""https://docs.google.com/spreadsheets/d/161aHT6vVT3SLneTKD19N5qVWtnj_jIT8CSsOmUVKmaA/e"&amp;"dit?gid=1761053510"",
          ""Haris_Form responses 1!$AQ:$AQ"")=3)
      ),
      1
    ),
    ""0""
  ),
  ""Form not found""
)
"),"0")</f>
        <v>0</v>
      </c>
      <c r="BA2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1!$E:$E"")=$B209) *
        (IMPORTRANGE(""https://docs.google.com/spreadsheets/d/161aHT6vVT3SLneTKD19N5qVWtnj_jIT8CSsOmUVKmaA/e"&amp;"dit?gid=1761053510"",
          ""Haris_Form responses 1!$AQ:$AQ"")=4)
      ),
      1
    ),
    ""0""
  ),
  ""Form not found""
)
"),"Form not found")</f>
        <v>Form not found</v>
      </c>
      <c r="BB2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1!$E:$E"")=$B209) *
        (IMPORTRANGE(""https://docs.google.com/spreadsheets/d/161aHT6vVT3SLneTKD19N5qVWtnj_jIT8CSsOmUVKmaA/e"&amp;"dit?gid=1761053510"",
          ""Haris_Form responses 1!$AQ:$AQ"")=5)
      ),
      1
    ),
    ""0""
  ),
  ""Form not found""
)
"),"Form not found")</f>
        <v>Form not found</v>
      </c>
      <c r="BC2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1!$E:$E"")=$B209) *
        (IMPORTRANGE(""https://docs.google.com/spreadsheets/d/161aHT6vVT3SLneTKD19N5qVWtnj_jIT8CSsOmUVKmaA/e"&amp;"dit?gid=1761053510"",
          ""Haris_Form responses 1!$AQ:$AQ"")=6)
      ),
      1
    ),
    ""0""
  ),
  ""Form not found""
)
"),"Form not found")</f>
        <v>Form not found</v>
      </c>
      <c r="BD209" s="293"/>
    </row>
    <row r="210">
      <c r="A210" s="283" t="str">
        <f>IFERROR(__xludf.DUMMYFUNCTION("VLOOKUP($B210,IMPORTRANGE(""https://docs.google.com/spreadsheets/d/1VNXDITjs75AcgdBSW27oL1VZH31udDprJSsBcE5xlp4/edit?gid=1551188038#gid=1551188038"", ""Sheet9!$B:$E""),2,false)"),"Bahawalpure")</f>
        <v>Bahawalpure</v>
      </c>
      <c r="B210" s="283" t="s">
        <v>4651</v>
      </c>
      <c r="C210" s="284" t="str">
        <f>IFERROR(__xludf.DUMMYFUNCTION("VLOOKUP(TRIM($B210), IMPORTRANGE(""https://docs.google.com/spreadsheets/d/1aSOrU4PTpuBZqfitKaH1Rfww6-YOiNCKoBpPl8XBHaw/edit?gid=0#gid=0"", ""sheet3!$B:$C""), 2, FALSE)
"),"Jamia Masjid Darbar Fazal Ul Din Laadala Och Shareef")</f>
        <v>Jamia Masjid Darbar Fazal Ul Din Laadala Och Shareef</v>
      </c>
      <c r="D210" s="284" t="str">
        <f>IFERROR(__xludf.DUMMYFUNCTION("IFERROR(
  INDEX(
    FILTER(
      IMPORTRANGE(""1aSOrU4PTpuBZqfitKaH1Rfww6-YOiNCKoBpPl8XBHaw/edit?gid=0#gid=0"",""Sheet1!G:G""),
      IMPORTRANGE(""1aSOrU4PTpuBZqfitKaH1Rfww6-YOiNCKoBpPl8XBHaw/edit?gid=0#gid=0"",""Sheet1!C:C"")=$B210
    ),
    1
  ),
"&amp;"  ""Not Found""
)"),"Women Secular Info Share")</f>
        <v>Women Secular Info Share</v>
      </c>
      <c r="E210" s="284" t="str">
        <f>VLOOKUP(B210,'Juma Recording forms'!A:E,5,false)</f>
        <v>Jamia Masjid Darbar Fazal Ul Din Laadala Och Shareef</v>
      </c>
      <c r="F210" s="284" t="str">
        <f>IFERROR(__xludf.DUMMYFUNCTION("IFERROR(
  INDEX(
    FILTER(
      IMPORTRANGE(""1Cxrhp3-_-HS7v9uuqQliiIfrmMP4VaFoDNDWyUFy2J8/edit?gid=0#gid=0"",""Sheet1!Q:Q""),
      IMPORTRANGE(""1Cxrhp3-_-HS7v9uuqQliiIfrmMP4VaFoDNDWyUFy2J8/edit?gid=0#gid=0"",""Sheet1!K:K"")=$B210
    ),
    1
  ),
"&amp;"  ""Not Found""
)"),"M hashim")</f>
        <v>M hashim</v>
      </c>
      <c r="G210" s="284">
        <v>712.0</v>
      </c>
      <c r="H210" s="284" t="s">
        <v>4878</v>
      </c>
      <c r="I210" s="285" t="s">
        <v>197</v>
      </c>
      <c r="J210" s="286">
        <v>1.0</v>
      </c>
      <c r="K210" s="287" t="str">
        <f>VLOOKUP($B210,'Mosque Locations'!$A:$E,3,FALSE)
</f>
        <v>https://www.google.com/maps?q=29.2426835,71.0557167</v>
      </c>
      <c r="L210" s="286">
        <f>VLOOKUP($B210,'Mosque Locations'!$A:$E,4,FALSE)
</f>
        <v>29.24268</v>
      </c>
      <c r="M210" s="286">
        <f>VLOOKUP($B210,'Mosque Locations'!$A:$E,5,false)</f>
        <v>71.05572</v>
      </c>
      <c r="N210" s="288"/>
      <c r="O210" s="288"/>
      <c r="P210" s="288"/>
      <c r="Q210" s="289" t="str">
        <f>IFERROR(__xludf.DUMMYFUNCTION("IFERROR(
  INDEX(
    FILTER(
      IMPORTRANGE(""1kOrIKZmJfNUkgOVP3sI9BPjaaPA0_a4636oymQxTXg8"",""Form Responses 1!N:N""),
      TRIM(IMPORTRANGE(""1kOrIKZmJfNUkgOVP3sI9BPjaaPA0_a4636oymQxTXg8"",""Form Responses 1!F:F""))=TRIM($B210)
    ),
    1
  ),
  "&amp;"""Not Found""
)
"),"https://drive.google.com/open?id=1deqQhDasv9UNwkn6uR_s_62vzOKyJJMX")</f>
        <v>https://drive.google.com/open?id=1deqQhDasv9UNwkn6uR_s_62vzOKyJJMX</v>
      </c>
      <c r="R210" s="295" t="str">
        <f>IFERROR(__xludf.DUMMYFUNCTION("IFERROR(
  INDEX(
    FILTER(
      IMPORTRANGE(""1kOrIKZmJfNUkgOVP3sI9BPjaaPA0_a4636oymQxTXg8"",""Form Responses 1!M:M""),
      TRIM(IMPORTRANGE(""1kOrIKZmJfNUkgOVP3sI9BPjaaPA0_a4636oymQxTXg8"",""Form Responses 1!F:F""))=TRIM($B210)
    ),
    1
  ),
  "&amp;"""Not Found""
)
"),"https://drive.google.com/open?id=1fL0-uXBWgQBBdMNu4-4pQ_QNSbODHwCq")</f>
        <v>https://drive.google.com/open?id=1fL0-uXBWgQBBdMNu4-4pQ_QNSbODHwCq</v>
      </c>
      <c r="S210" s="283" t="s">
        <v>4879</v>
      </c>
      <c r="T210" s="290" t="str">
        <f>VLOOKUP($B210,'Master Tracker'!D:E,2,false)</f>
        <v>https://drive.google.com/open?id=1wsofiMoeHdXEkQIxF5if28lNGMyUz1_k</v>
      </c>
      <c r="U210" s="291" t="str">
        <f>VLOOKUP($B210,'Master Tracker'!$D:$T,4,FALSE)
</f>
        <v>https://drive.google.com/open?id=1q8Hmw2tNaI6ww54BX73n2Yd_JfRnRXxzkrHJ5BJ27l4</v>
      </c>
      <c r="V210" s="290" t="str">
        <f>VLOOKUP($B210,'Master Tracker'!$D:$T,5,false)</f>
        <v>https://drive.google.com/open?id=1pHQCCs0PT2wBtpM1uC-21m7MZfgSbvqv</v>
      </c>
      <c r="W210" s="291" t="str">
        <f>VLOOKUP($B210,'Master Tracker'!$D:$T,7,false)</f>
        <v>https://drive.google.com/open?id=1dNWYyDjMq05L5AYzTMXxoBQWOPnEbmkaSTD2ws6ZppA</v>
      </c>
      <c r="X210" s="290" t="str">
        <f>VLOOKUP($B210,'Master Tracker'!$D:$T,8,false)</f>
        <v>https://drive.google.com/open?id=1lZdsIVi-gBi1yNWdyzleenIuGfrpGQHE</v>
      </c>
      <c r="Y210" s="291" t="str">
        <f>VLOOKUP($B210,'Master Tracker'!$D:$T,10,false)</f>
        <v>https://drive.google.com/open?id=1_hmXiGjjfkprZTEbShML-HZde2J9M4ThhRhcNhrBAhQ</v>
      </c>
      <c r="Z210" s="284" t="str">
        <f>VLOOKUP($B210,'Master Tracker'!$D:$T,11,false)</f>
        <v>Not Found</v>
      </c>
      <c r="AA210" s="292" t="str">
        <f>VLOOKUP($B210,'Master Tracker'!$D:$T,13,false)</f>
        <v>Not Found</v>
      </c>
      <c r="AB210" s="284" t="str">
        <f>VLOOKUP($B210,'Master Tracker'!$D:$T,14,false)</f>
        <v>Not Found</v>
      </c>
      <c r="AC210" s="292" t="str">
        <f>VLOOKUP($B210,'Master Tracker'!$D:$T,16,false)</f>
        <v>Not Found</v>
      </c>
      <c r="AD210" s="292" t="str">
        <f>VLOOKUP($B210,'Master Tracker'!$D:$T,17,false)</f>
        <v>Not Found</v>
      </c>
      <c r="AE210" s="292" t="str">
        <f>VLOOKUP($B210,'Master Tracker'!$D:$V,19,false)</f>
        <v>Not Found</v>
      </c>
      <c r="AF210" s="292">
        <f>IFERROR(__xludf.DUMMYFUNCTION("IFERROR(
  INDEX(
    FILTER(
      'Juma Recording forms'!$G:$G,
      TRIM('Juma Recording forms'!$F:$F) = TRIM($B210),
      'Juma Recording forms'!$AA:$AA = 1
    ),
    1
  ),
  ""Not Found""
)"),145.0)</f>
        <v>145</v>
      </c>
      <c r="AG210" s="292">
        <f>IFERROR(__xludf.DUMMYFUNCTION("IFERROR(
  INDEX(
    FILTER(
      'Juma Recording forms'!$G:$G,
      TRIM('Juma Recording forms'!$F:$F) = TRIM($B210),
      'Juma Recording forms'!$AA:$AA = 2
    ),
    1
  ),
  ""Not Found""
)"),160.0)</f>
        <v>160</v>
      </c>
      <c r="AH210" s="292">
        <f>IFERROR(__xludf.DUMMYFUNCTION("IFERROR(
  INDEX(
    FILTER(
      'Juma Recording forms'!$G:$G,
      TRIM('Juma Recording forms'!$F:$F) = TRIM($B210),
      'Juma Recording forms'!$AA:$AA = 3
    ),
    1
  ),
  ""Not Found""
)"),150.0)</f>
        <v>150</v>
      </c>
      <c r="AI210" s="292" t="str">
        <f>IFERROR(__xludf.DUMMYFUNCTION("IFERROR(
  INDEX(
    FILTER(
      'Juma Recording forms'!$G:$G,
      TRIM('Juma Recording forms'!$F:$F) = TRIM($B210),
      'Juma Recording forms'!$AA:$AA = 4
    ),
    1
  ),
  ""Not Found""
)"),"Not Found")</f>
        <v>Not Found</v>
      </c>
      <c r="AJ210" s="292" t="str">
        <f>IFERROR(__xludf.DUMMYFUNCTION("IFERROR(
  INDEX(
    FILTER(
      'Juma Recording forms'!$G:$G,
      TRIM('Juma Recording forms'!$F:$F) = TRIM($B210),
      'Juma Recording forms'!$AA:$AA = 5
    ),
    1
  ),
  ""Not Found""
)"),"Not Found")</f>
        <v>Not Found</v>
      </c>
      <c r="AK210" s="292" t="str">
        <f>IFERROR(__xludf.DUMMYFUNCTION("IFERROR(
  INDEX(
    FILTER(
      'Juma Recording forms'!$G:$G,
      TRIM('Juma Recording forms'!$F:$F) = TRIM($B210),
      'Juma Recording forms'!$AA:$AA = 6
    ),
    1
  ),
  ""Not Found""
)"),"Not Found")</f>
        <v>Not Found</v>
      </c>
      <c r="AL2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1!$E:$E"")=$B210) *
        (IMPORTRANGE(""https://docs.google.com/spreadsheets/d/161aHT6vVT3SLneTKD19N5qVWtnj_jIT8CSsOmUVKmaA/e"&amp;"dit?gid=1761053510"",
          ""Haris_Form responses 1!$AQ:$AQ"")=1)
      ),
      1
    ),
    ""0""
  ),
  ""Form not found""
)
"),"10")</f>
        <v>10</v>
      </c>
      <c r="AM2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1!$E:$E"")=$B210) *
        (IMPORTRANGE(""https://docs.google.com/spreadsheets/d/161aHT6vVT3SLneTKD19N5qVWtnj_jIT8CSsOmUVKmaA/e"&amp;"dit?gid=1761053510"",
          ""Haris_Form responses 1!$AQ:$AQ"")=2)
      ),
      1
    ),
    ""0""
  ),
  ""Form not found""
)
"),"10")</f>
        <v>10</v>
      </c>
      <c r="AN2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1!$E:$E"")=$B210) *
        (IMPORTRANGE(""https://docs.google.com/spreadsheets/d/161aHT6vVT3SLneTKD19N5qVWtnj_jIT8CSsOmUVKmaA/e"&amp;"dit?gid=1761053510"",
          ""Haris_Form responses 1!$AQ:$AQ"")=3)
      ),
      1
    ),
    ""0""
  ),
  ""Form not found""
)
"),"0")</f>
        <v>0</v>
      </c>
      <c r="AO2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1!$E:$E"")=$B210) *
        (IMPORTRANGE(""https://docs.google.com/spreadsheets/d/161aHT6vVT3SLneTKD19N5qVWtnj_jIT8CSsOmUVKmaA/e"&amp;"dit?gid=1761053510"",
          ""Haris_Form responses 1!$AQ:$AQ"")=4)
      ),
      1
    ),
    ""0""
  ),
  ""Form not found""
)
"),"Form not found")</f>
        <v>Form not found</v>
      </c>
      <c r="AP2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1!$E:$E"")=$B210) *
        (IMPORTRANGE(""https://docs.google.com/spreadsheets/d/161aHT6vVT3SLneTKD19N5qVWtnj_jIT8CSsOmUVKmaA/e"&amp;"dit?gid=1761053510"",
          ""Haris_Form responses 1!$AQ:$AQ"")=5)
      ),
      1
    ),
    ""0""
  ),
  ""Form not found""
)
"),"Form not found")</f>
        <v>Form not found</v>
      </c>
      <c r="AQ2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1!$E:$E"")=$B210) *
        (IMPORTRANGE(""https://docs.google.com/spreadsheets/d/161aHT6vVT3SLneTKD19N5qVWtnj_jIT8CSsOmUVKmaA/e"&amp;"dit?gid=1761053510"",
          ""Haris_Form responses 1!$AQ:$AQ"")=6)
      ),
      1
    ),
    ""0""
  ),
  ""Form not found""
)
"),"Form not found")</f>
        <v>Form not found</v>
      </c>
      <c r="AR2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1!$E:$E"")=$B210) *
        (IMPORTRANGE(""https://docs.google.com/spreadsheets/d/161aHT6vVT3SLneTKD19N5qVWtnj_jIT8CSsOmUVKmaA/e"&amp;"dit?gid=1761053510"",
          ""Haris_Form responses 1!$AQ:$AQ"")=1)
      ),
      1
    ),
    ""0""
  ),
  ""Form not found""
)
"),"0")</f>
        <v>0</v>
      </c>
      <c r="AS2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1!$E:$E"")=$B210) *
        (IMPORTRANGE(""https://docs.google.com/spreadsheets/d/161aHT6vVT3SLneTKD19N5qVWtnj_jIT8CSsOmUVKmaA/e"&amp;"dit?gid=1761053510"",
          ""Haris_Form responses 1!$AQ:$AQ"")=2)
      ),
      1
    ),
    ""0""
  ),
  ""Form not found""
)
"),"0")</f>
        <v>0</v>
      </c>
      <c r="AT2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1!$E:$E"")=$B210) *
        (IMPORTRANGE(""https://docs.google.com/spreadsheets/d/161aHT6vVT3SLneTKD19N5qVWtnj_jIT8CSsOmUVKmaA/e"&amp;"dit?gid=1761053510"",
          ""Haris_Form responses 1!$AQ:$AQ"")=3)
      ),
      1
    ),
    ""0""
  ),
  ""Form not found""
)
"),"0")</f>
        <v>0</v>
      </c>
      <c r="AU2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1!$E:$E"")=$B210) *
        (IMPORTRANGE(""https://docs.google.com/spreadsheets/d/161aHT6vVT3SLneTKD19N5qVWtnj_jIT8CSsOmUVKmaA/e"&amp;"dit?gid=1761053510"",
          ""Haris_Form responses 1!$AQ:$AQ"")=4)
      ),
      1
    ),
    ""0""
  ),
  ""Form not found""
)
"),"Form not found")</f>
        <v>Form not found</v>
      </c>
      <c r="AV2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1!$E:$E"")=$B210) *
        (IMPORTRANGE(""https://docs.google.com/spreadsheets/d/161aHT6vVT3SLneTKD19N5qVWtnj_jIT8CSsOmUVKmaA/e"&amp;"dit?gid=1761053510"",
          ""Haris_Form responses 1!$AQ:$AQ"")=5)
      ),
      1
    ),
    ""0""
  ),
  ""Form not found""
)
"),"Form not found")</f>
        <v>Form not found</v>
      </c>
      <c r="AW2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1!$E:$E"")=$B210) *
        (IMPORTRANGE(""https://docs.google.com/spreadsheets/d/161aHT6vVT3SLneTKD19N5qVWtnj_jIT8CSsOmUVKmaA/e"&amp;"dit?gid=1761053510"",
          ""Haris_Form responses 1!$AQ:$AQ"")=6)
      ),
      1
    ),
    ""0""
  ),
  ""Form not found""
)
"),"Form not found")</f>
        <v>Form not found</v>
      </c>
      <c r="AX2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1!$E:$E"")=$B210) *
        (IMPORTRANGE(""https://docs.google.com/spreadsheets/d/161aHT6vVT3SLneTKD19N5qVWtnj_jIT8CSsOmUVKmaA/e"&amp;"dit?gid=1761053510"",
          ""Haris_Form responses 1!$AQ:$AQ"")=1)
      ),
      1
    ),
    ""0""
  ),
  ""Form not found""
)
"),"10")</f>
        <v>10</v>
      </c>
      <c r="AY2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1!$E:$E"")=$B210) *
        (IMPORTRANGE(""https://docs.google.com/spreadsheets/d/161aHT6vVT3SLneTKD19N5qVWtnj_jIT8CSsOmUVKmaA/e"&amp;"dit?gid=1761053510"",
          ""Haris_Form responses 1!$AQ:$AQ"")=2)
      ),
      1
    ),
    ""0""
  ),
  ""Form not found""
)
"),"10")</f>
        <v>10</v>
      </c>
      <c r="AZ2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1!$E:$E"")=$B210) *
        (IMPORTRANGE(""https://docs.google.com/spreadsheets/d/161aHT6vVT3SLneTKD19N5qVWtnj_jIT8CSsOmUVKmaA/e"&amp;"dit?gid=1761053510"",
          ""Haris_Form responses 1!$AQ:$AQ"")=3)
      ),
      1
    ),
    ""0""
  ),
  ""Form not found""
)
"),"0")</f>
        <v>0</v>
      </c>
      <c r="BA2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1!$E:$E"")=$B210) *
        (IMPORTRANGE(""https://docs.google.com/spreadsheets/d/161aHT6vVT3SLneTKD19N5qVWtnj_jIT8CSsOmUVKmaA/e"&amp;"dit?gid=1761053510"",
          ""Haris_Form responses 1!$AQ:$AQ"")=4)
      ),
      1
    ),
    ""0""
  ),
  ""Form not found""
)
"),"Form not found")</f>
        <v>Form not found</v>
      </c>
      <c r="BB2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1!$E:$E"")=$B210) *
        (IMPORTRANGE(""https://docs.google.com/spreadsheets/d/161aHT6vVT3SLneTKD19N5qVWtnj_jIT8CSsOmUVKmaA/e"&amp;"dit?gid=1761053510"",
          ""Haris_Form responses 1!$AQ:$AQ"")=5)
      ),
      1
    ),
    ""0""
  ),
  ""Form not found""
)
"),"Form not found")</f>
        <v>Form not found</v>
      </c>
      <c r="BC2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1!$E:$E"")=$B210) *
        (IMPORTRANGE(""https://docs.google.com/spreadsheets/d/161aHT6vVT3SLneTKD19N5qVWtnj_jIT8CSsOmUVKmaA/e"&amp;"dit?gid=1761053510"",
          ""Haris_Form responses 1!$AQ:$AQ"")=6)
      ),
      1
    ),
    ""0""
  ),
  ""Form not found""
)
"),"Form not found")</f>
        <v>Form not found</v>
      </c>
      <c r="BD210" s="293"/>
    </row>
    <row r="211">
      <c r="A211" s="283" t="str">
        <f>IFERROR(__xludf.DUMMYFUNCTION("VLOOKUP($B211,IMPORTRANGE(""https://docs.google.com/spreadsheets/d/1VNXDITjs75AcgdBSW27oL1VZH31udDprJSsBcE5xlp4/edit?gid=1551188038#gid=1551188038"", ""Sheet9!$B:$E""),2,false)"),"Bahawalpure")</f>
        <v>Bahawalpure</v>
      </c>
      <c r="B211" s="283" t="s">
        <v>4652</v>
      </c>
      <c r="C211" s="284" t="str">
        <f>IFERROR(__xludf.DUMMYFUNCTION("VLOOKUP(TRIM($B211), IMPORTRANGE(""https://docs.google.com/spreadsheets/d/1aSOrU4PTpuBZqfitKaH1Rfww6-YOiNCKoBpPl8XBHaw/edit?gid=0#gid=0"", ""sheet3!$B:$C""), 2, FALSE)
"),"Jamia Masjid Shiekh Allah Wasaya Machli Bazar")</f>
        <v>Jamia Masjid Shiekh Allah Wasaya Machli Bazar</v>
      </c>
      <c r="D211" s="284" t="str">
        <f>IFERROR(__xludf.DUMMYFUNCTION("IFERROR(
  INDEX(
    FILTER(
      IMPORTRANGE(""1aSOrU4PTpuBZqfitKaH1Rfww6-YOiNCKoBpPl8XBHaw/edit?gid=0#gid=0"",""Sheet1!G:G""),
      IMPORTRANGE(""1aSOrU4PTpuBZqfitKaH1Rfww6-YOiNCKoBpPl8XBHaw/edit?gid=0#gid=0"",""Sheet1!C:C"")=$B211
    ),
    1
  ),
"&amp;"  ""Not Found""
)"),"Community Religious No Info Share")</f>
        <v>Community Religious No Info Share</v>
      </c>
      <c r="E211" s="284" t="str">
        <f>VLOOKUP(B211,'Juma Recording forms'!A:E,5,false)</f>
        <v>Jamia masjid sheakh Allah wasya machlibzar</v>
      </c>
      <c r="F211" s="284" t="str">
        <f>IFERROR(__xludf.DUMMYFUNCTION("IFERROR(
  INDEX(
    FILTER(
      IMPORTRANGE(""1Cxrhp3-_-HS7v9uuqQliiIfrmMP4VaFoDNDWyUFy2J8/edit?gid=0#gid=0"",""Sheet1!Q:Q""),
      IMPORTRANGE(""1Cxrhp3-_-HS7v9uuqQliiIfrmMP4VaFoDNDWyUFy2J8/edit?gid=0#gid=0"",""Sheet1!K:K"")=$B211
    ),
    1
  ),
"&amp;"  ""Not Found""
)"),"Qari Muhammad habib")</f>
        <v>Qari Muhammad habib</v>
      </c>
      <c r="G211" s="292">
        <v>2012.0</v>
      </c>
      <c r="H211" s="284"/>
      <c r="I211" s="285" t="s">
        <v>197</v>
      </c>
      <c r="J211" s="286">
        <v>2.0</v>
      </c>
      <c r="K211" s="287" t="str">
        <f>VLOOKUP($B211,'Mosque Locations'!$A:$E,3,FALSE)
</f>
        <v>https://maps.google.com/maps?q=29.3982636%2C71.676085&amp;z=17&amp;hl=en</v>
      </c>
      <c r="L211" s="286">
        <f>VLOOKUP($B211,'Mosque Locations'!$A:$E,4,FALSE)
</f>
        <v>29.39826</v>
      </c>
      <c r="M211" s="286">
        <f>VLOOKUP($B211,'Mosque Locations'!$A:$E,5,false)</f>
        <v>71.67609</v>
      </c>
      <c r="N211" s="288"/>
      <c r="O211" s="288"/>
      <c r="P211" s="288"/>
      <c r="Q211" s="289" t="str">
        <f>IFERROR(__xludf.DUMMYFUNCTION("IFERROR(
  INDEX(
    FILTER(
      IMPORTRANGE(""1kOrIKZmJfNUkgOVP3sI9BPjaaPA0_a4636oymQxTXg8"",""Form Responses 1!N:N""),
      TRIM(IMPORTRANGE(""1kOrIKZmJfNUkgOVP3sI9BPjaaPA0_a4636oymQxTXg8"",""Form Responses 1!F:F""))=TRIM($B211)
    ),
    1
  ),
  "&amp;"""Not Found""
)
"),"https://drive.google.com/open?id=1qUbRUp23jeWCNHNxDj3Qcux-vTr39gPJ")</f>
        <v>https://drive.google.com/open?id=1qUbRUp23jeWCNHNxDj3Qcux-vTr39gPJ</v>
      </c>
      <c r="R211" s="290" t="str">
        <f>IFERROR(__xludf.DUMMYFUNCTION("IFERROR(
  INDEX(
    FILTER(
      IMPORTRANGE(""1kOrIKZmJfNUkgOVP3sI9BPjaaPA0_a4636oymQxTXg8"",""Form Responses 1!M:M""),
      TRIM(IMPORTRANGE(""1kOrIKZmJfNUkgOVP3sI9BPjaaPA0_a4636oymQxTXg8"",""Form Responses 1!F:F""))=TRIM($B211)
    ),
    1
  ),
  "&amp;"""Not Found""
)
"),"https://drive.google.com/open?id=1qS3YlwwERdQqagvC_JNae7Z9AhpTTi40")</f>
        <v>https://drive.google.com/open?id=1qS3YlwwERdQqagvC_JNae7Z9AhpTTi40</v>
      </c>
      <c r="S211" s="283" t="s">
        <v>4871</v>
      </c>
      <c r="T211" s="290" t="str">
        <f>VLOOKUP($B211,'Master Tracker'!D:E,2,false)</f>
        <v>https://drive.google.com/open?id=1062bfFp6PXALa9DMo0meZKagxgzrj9dJ</v>
      </c>
      <c r="U211" s="291" t="str">
        <f>VLOOKUP($B211,'Master Tracker'!$D:$T,4,FALSE)
</f>
        <v>https://drive.google.com/open?id=15XFYKmngd5Tx6Apo5BQ91-mFjamUpWfR</v>
      </c>
      <c r="V211" s="290" t="str">
        <f>VLOOKUP($B211,'Master Tracker'!$D:$T,5,false)</f>
        <v>https://drive.google.com/open?id=1Oaloj8PDBSBrXEXtjx39G4peAXvSlQgM</v>
      </c>
      <c r="W211" s="291" t="str">
        <f>VLOOKUP($B211,'Master Tracker'!$D:$T,7,false)</f>
        <v>https://drive.google.com/open?id=1e5LPiVB9swGGjWLjgf72wtlIkiD_66Pa</v>
      </c>
      <c r="X211" s="290" t="str">
        <f>VLOOKUP($B211,'Master Tracker'!$D:$T,8,false)</f>
        <v>https://drive.google.com/open?id=1zOhfF0Auy6I_p_No7W3XPsD-IiOSQvAF</v>
      </c>
      <c r="Y211" s="291" t="str">
        <f>VLOOKUP($B211,'Master Tracker'!$D:$T,10,false)</f>
        <v>https://drive.google.com/open?id=1VFZonY37tKF5gr4NiH5kC4NYw8ozPrua</v>
      </c>
      <c r="Z211" s="284" t="str">
        <f>VLOOKUP($B211,'Master Tracker'!$D:$T,11,false)</f>
        <v>Not Found</v>
      </c>
      <c r="AA211" s="292" t="str">
        <f>VLOOKUP($B211,'Master Tracker'!$D:$T,13,false)</f>
        <v>Not Found</v>
      </c>
      <c r="AB211" s="284" t="str">
        <f>VLOOKUP($B211,'Master Tracker'!$D:$T,14,false)</f>
        <v>Not Found</v>
      </c>
      <c r="AC211" s="292" t="str">
        <f>VLOOKUP($B211,'Master Tracker'!$D:$T,16,false)</f>
        <v>Not Found</v>
      </c>
      <c r="AD211" s="292" t="str">
        <f>VLOOKUP($B211,'Master Tracker'!$D:$T,17,false)</f>
        <v>Not Found</v>
      </c>
      <c r="AE211" s="292" t="str">
        <f>VLOOKUP($B211,'Master Tracker'!$D:$V,19,false)</f>
        <v>Not Found</v>
      </c>
      <c r="AF211" s="292">
        <f>IFERROR(__xludf.DUMMYFUNCTION("IFERROR(
  INDEX(
    FILTER(
      'Juma Recording forms'!$G:$G,
      TRIM('Juma Recording forms'!$F:$F) = TRIM($B211),
      'Juma Recording forms'!$AA:$AA = 1
    ),
    1
  ),
  ""Not Found""
)"),144.0)</f>
        <v>144</v>
      </c>
      <c r="AG211" s="292">
        <f>IFERROR(__xludf.DUMMYFUNCTION("IFERROR(
  INDEX(
    FILTER(
      'Juma Recording forms'!$G:$G,
      TRIM('Juma Recording forms'!$F:$F) = TRIM($B211),
      'Juma Recording forms'!$AA:$AA = 2
    ),
    1
  ),
  ""Not Found""
)"),148.0)</f>
        <v>148</v>
      </c>
      <c r="AH211" s="292">
        <f>IFERROR(__xludf.DUMMYFUNCTION("IFERROR(
  INDEX(
    FILTER(
      'Juma Recording forms'!$G:$G,
      TRIM('Juma Recording forms'!$F:$F) = TRIM($B211),
      'Juma Recording forms'!$AA:$AA = 3
    ),
    1
  ),
  ""Not Found""
)"),137.0)</f>
        <v>137</v>
      </c>
      <c r="AI211" s="292" t="str">
        <f>IFERROR(__xludf.DUMMYFUNCTION("IFERROR(
  INDEX(
    FILTER(
      'Juma Recording forms'!$G:$G,
      TRIM('Juma Recording forms'!$F:$F) = TRIM($B211),
      'Juma Recording forms'!$AA:$AA = 4
    ),
    1
  ),
  ""Not Found""
)"),"Not Found")</f>
        <v>Not Found</v>
      </c>
      <c r="AJ211" s="292" t="str">
        <f>IFERROR(__xludf.DUMMYFUNCTION("IFERROR(
  INDEX(
    FILTER(
      'Juma Recording forms'!$G:$G,
      TRIM('Juma Recording forms'!$F:$F) = TRIM($B211),
      'Juma Recording forms'!$AA:$AA = 5
    ),
    1
  ),
  ""Not Found""
)"),"Not Found")</f>
        <v>Not Found</v>
      </c>
      <c r="AK211" s="292" t="str">
        <f>IFERROR(__xludf.DUMMYFUNCTION("IFERROR(
  INDEX(
    FILTER(
      'Juma Recording forms'!$G:$G,
      TRIM('Juma Recording forms'!$F:$F) = TRIM($B211),
      'Juma Recording forms'!$AA:$AA = 6
    ),
    1
  ),
  ""Not Found""
)"),"Not Found")</f>
        <v>Not Found</v>
      </c>
      <c r="AL2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1!$E:$E"")=$B211) *
        (IMPORTRANGE(""https://docs.google.com/spreadsheets/d/161aHT6vVT3SLneTKD19N5qVWtnj_jIT8CSsOmUVKmaA/e"&amp;"dit?gid=1761053510"",
          ""Haris_Form responses 1!$AQ:$AQ"")=1)
      ),
      1
    ),
    ""0""
  ),
  ""Form not found""
)
"),"10")</f>
        <v>10</v>
      </c>
      <c r="AM2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1!$E:$E"")=$B211) *
        (IMPORTRANGE(""https://docs.google.com/spreadsheets/d/161aHT6vVT3SLneTKD19N5qVWtnj_jIT8CSsOmUVKmaA/e"&amp;"dit?gid=1761053510"",
          ""Haris_Form responses 1!$AQ:$AQ"")=2)
      ),
      1
    ),
    ""0""
  ),
  ""Form not found""
)
"),"10")</f>
        <v>10</v>
      </c>
      <c r="AN2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1!$E:$E"")=$B211) *
        (IMPORTRANGE(""https://docs.google.com/spreadsheets/d/161aHT6vVT3SLneTKD19N5qVWtnj_jIT8CSsOmUVKmaA/e"&amp;"dit?gid=1761053510"",
          ""Haris_Form responses 1!$AQ:$AQ"")=3)
      ),
      1
    ),
    ""0""
  ),
  ""Form not found""
)
"),"0")</f>
        <v>0</v>
      </c>
      <c r="AO2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1!$E:$E"")=$B211) *
        (IMPORTRANGE(""https://docs.google.com/spreadsheets/d/161aHT6vVT3SLneTKD19N5qVWtnj_jIT8CSsOmUVKmaA/e"&amp;"dit?gid=1761053510"",
          ""Haris_Form responses 1!$AQ:$AQ"")=4)
      ),
      1
    ),
    ""0""
  ),
  ""Form not found""
)
"),"Form not found")</f>
        <v>Form not found</v>
      </c>
      <c r="AP2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1!$E:$E"")=$B211) *
        (IMPORTRANGE(""https://docs.google.com/spreadsheets/d/161aHT6vVT3SLneTKD19N5qVWtnj_jIT8CSsOmUVKmaA/e"&amp;"dit?gid=1761053510"",
          ""Haris_Form responses 1!$AQ:$AQ"")=5)
      ),
      1
    ),
    ""0""
  ),
  ""Form not found""
)
"),"Form not found")</f>
        <v>Form not found</v>
      </c>
      <c r="AQ21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1!$E:$E"")=$B211) *
        (IMPORTRANGE(""https://docs.google.com/spreadsheets/d/161aHT6vVT3SLneTKD19N5qVWtnj_jIT8CSsOmUVKmaA/e"&amp;"dit?gid=1761053510"",
          ""Haris_Form responses 1!$AQ:$AQ"")=6)
      ),
      1
    ),
    ""0""
  ),
  ""Form not found""
)
"),"Form not found")</f>
        <v>Form not found</v>
      </c>
      <c r="AR2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1!$E:$E"")=$B211) *
        (IMPORTRANGE(""https://docs.google.com/spreadsheets/d/161aHT6vVT3SLneTKD19N5qVWtnj_jIT8CSsOmUVKmaA/e"&amp;"dit?gid=1761053510"",
          ""Haris_Form responses 1!$AQ:$AQ"")=1)
      ),
      1
    ),
    ""0""
  ),
  ""Form not found""
)
"),"10")</f>
        <v>10</v>
      </c>
      <c r="AS2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1!$E:$E"")=$B211) *
        (IMPORTRANGE(""https://docs.google.com/spreadsheets/d/161aHT6vVT3SLneTKD19N5qVWtnj_jIT8CSsOmUVKmaA/e"&amp;"dit?gid=1761053510"",
          ""Haris_Form responses 1!$AQ:$AQ"")=2)
      ),
      1
    ),
    ""0""
  ),
  ""Form not found""
)
"),"10")</f>
        <v>10</v>
      </c>
      <c r="AT2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1!$E:$E"")=$B211) *
        (IMPORTRANGE(""https://docs.google.com/spreadsheets/d/161aHT6vVT3SLneTKD19N5qVWtnj_jIT8CSsOmUVKmaA/e"&amp;"dit?gid=1761053510"",
          ""Haris_Form responses 1!$AQ:$AQ"")=3)
      ),
      1
    ),
    ""0""
  ),
  ""Form not found""
)
"),"0")</f>
        <v>0</v>
      </c>
      <c r="AU2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1!$E:$E"")=$B211) *
        (IMPORTRANGE(""https://docs.google.com/spreadsheets/d/161aHT6vVT3SLneTKD19N5qVWtnj_jIT8CSsOmUVKmaA/e"&amp;"dit?gid=1761053510"",
          ""Haris_Form responses 1!$AQ:$AQ"")=4)
      ),
      1
    ),
    ""0""
  ),
  ""Form not found""
)
"),"Form not found")</f>
        <v>Form not found</v>
      </c>
      <c r="AV2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1!$E:$E"")=$B211) *
        (IMPORTRANGE(""https://docs.google.com/spreadsheets/d/161aHT6vVT3SLneTKD19N5qVWtnj_jIT8CSsOmUVKmaA/e"&amp;"dit?gid=1761053510"",
          ""Haris_Form responses 1!$AQ:$AQ"")=5)
      ),
      1
    ),
    ""0""
  ),
  ""Form not found""
)
"),"Form not found")</f>
        <v>Form not found</v>
      </c>
      <c r="AW21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1!$E:$E"")=$B211) *
        (IMPORTRANGE(""https://docs.google.com/spreadsheets/d/161aHT6vVT3SLneTKD19N5qVWtnj_jIT8CSsOmUVKmaA/e"&amp;"dit?gid=1761053510"",
          ""Haris_Form responses 1!$AQ:$AQ"")=6)
      ),
      1
    ),
    ""0""
  ),
  ""Form not found""
)
"),"Form not found")</f>
        <v>Form not found</v>
      </c>
      <c r="AX2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1!$E:$E"")=$B211) *
        (IMPORTRANGE(""https://docs.google.com/spreadsheets/d/161aHT6vVT3SLneTKD19N5qVWtnj_jIT8CSsOmUVKmaA/e"&amp;"dit?gid=1761053510"",
          ""Haris_Form responses 1!$AQ:$AQ"")=1)
      ),
      1
    ),
    ""0""
  ),
  ""Form not found""
)
"),"0")</f>
        <v>0</v>
      </c>
      <c r="AY2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1!$E:$E"")=$B211) *
        (IMPORTRANGE(""https://docs.google.com/spreadsheets/d/161aHT6vVT3SLneTKD19N5qVWtnj_jIT8CSsOmUVKmaA/e"&amp;"dit?gid=1761053510"",
          ""Haris_Form responses 1!$AQ:$AQ"")=2)
      ),
      1
    ),
    ""0""
  ),
  ""Form not found""
)
"),"0")</f>
        <v>0</v>
      </c>
      <c r="AZ2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1!$E:$E"")=$B211) *
        (IMPORTRANGE(""https://docs.google.com/spreadsheets/d/161aHT6vVT3SLneTKD19N5qVWtnj_jIT8CSsOmUVKmaA/e"&amp;"dit?gid=1761053510"",
          ""Haris_Form responses 1!$AQ:$AQ"")=3)
      ),
      1
    ),
    ""0""
  ),
  ""Form not found""
)
"),"0")</f>
        <v>0</v>
      </c>
      <c r="BA2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1!$E:$E"")=$B211) *
        (IMPORTRANGE(""https://docs.google.com/spreadsheets/d/161aHT6vVT3SLneTKD19N5qVWtnj_jIT8CSsOmUVKmaA/e"&amp;"dit?gid=1761053510"",
          ""Haris_Form responses 1!$AQ:$AQ"")=4)
      ),
      1
    ),
    ""0""
  ),
  ""Form not found""
)
"),"Form not found")</f>
        <v>Form not found</v>
      </c>
      <c r="BB2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1!$E:$E"")=$B211) *
        (IMPORTRANGE(""https://docs.google.com/spreadsheets/d/161aHT6vVT3SLneTKD19N5qVWtnj_jIT8CSsOmUVKmaA/e"&amp;"dit?gid=1761053510"",
          ""Haris_Form responses 1!$AQ:$AQ"")=5)
      ),
      1
    ),
    ""0""
  ),
  ""Form not found""
)
"),"Form not found")</f>
        <v>Form not found</v>
      </c>
      <c r="BC21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1!$E:$E"")=$B211) *
        (IMPORTRANGE(""https://docs.google.com/spreadsheets/d/161aHT6vVT3SLneTKD19N5qVWtnj_jIT8CSsOmUVKmaA/e"&amp;"dit?gid=1761053510"",
          ""Haris_Form responses 1!$AQ:$AQ"")=6)
      ),
      1
    ),
    ""0""
  ),
  ""Form not found""
)
"),"Form not found")</f>
        <v>Form not found</v>
      </c>
      <c r="BD211" s="293"/>
    </row>
    <row r="212">
      <c r="A212" s="283" t="str">
        <f>IFERROR(__xludf.DUMMYFUNCTION("VLOOKUP($B212,IMPORTRANGE(""https://docs.google.com/spreadsheets/d/1VNXDITjs75AcgdBSW27oL1VZH31udDprJSsBcE5xlp4/edit?gid=1551188038#gid=1551188038"", ""Sheet9!$B:$E""),2,false)"),"Bahawalpure")</f>
        <v>Bahawalpure</v>
      </c>
      <c r="B212" s="283" t="s">
        <v>4653</v>
      </c>
      <c r="C212" s="284" t="str">
        <f>IFERROR(__xludf.DUMMYFUNCTION("VLOOKUP(TRIM($B212), IMPORTRANGE(""https://docs.google.com/spreadsheets/d/1aSOrU4PTpuBZqfitKaH1Rfww6-YOiNCKoBpPl8XBHaw/edit?gid=0#gid=0"", ""sheet3!$B:$C""), 2, FALSE)
"),"Jamia Masjid Bostan Aziz Bahawalpur")</f>
        <v>Jamia Masjid Bostan Aziz Bahawalpur</v>
      </c>
      <c r="D212" s="284" t="str">
        <f>IFERROR(__xludf.DUMMYFUNCTION("IFERROR(
  INDEX(
    FILTER(
      IMPORTRANGE(""1aSOrU4PTpuBZqfitKaH1Rfww6-YOiNCKoBpPl8XBHaw/edit?gid=0#gid=0"",""Sheet1!G:G""),
      IMPORTRANGE(""1aSOrU4PTpuBZqfitKaH1Rfww6-YOiNCKoBpPl8XBHaw/edit?gid=0#gid=0"",""Sheet1!C:C"")=$B212
    ),
    1
  ),
"&amp;"  ""Not Found""
)"),"Community Religious No Info Share")</f>
        <v>Community Religious No Info Share</v>
      </c>
      <c r="E212" s="284" t="str">
        <f>VLOOKUP(B212,'Juma Recording forms'!A:E,5,false)</f>
        <v>Jamia Masjid Bostan Aziz</v>
      </c>
      <c r="F212" s="284" t="str">
        <f>IFERROR(__xludf.DUMMYFUNCTION("IFERROR(
  INDEX(
    FILTER(
      IMPORTRANGE(""1Cxrhp3-_-HS7v9uuqQliiIfrmMP4VaFoDNDWyUFy2J8/edit?gid=0#gid=0"",""Sheet1!Q:Q""),
      IMPORTRANGE(""1Cxrhp3-_-HS7v9uuqQliiIfrmMP4VaFoDNDWyUFy2J8/edit?gid=0#gid=0"",""Sheet1!K:K"")=$B212
    ),
    1
  ),
"&amp;"  ""Not Found""
)"),"Muhammad Arbi")</f>
        <v>Muhammad Arbi</v>
      </c>
      <c r="G212" s="292">
        <v>1965.0</v>
      </c>
      <c r="H212" s="284"/>
      <c r="I212" s="285" t="s">
        <v>197</v>
      </c>
      <c r="J212" s="286">
        <v>2.0</v>
      </c>
      <c r="K212" s="287" t="str">
        <f>VLOOKUP($B212,'Mosque Locations'!$A:$E,3,FALSE)
</f>
        <v>https://www.google.com/maps?q=29.4023133,71.6536017</v>
      </c>
      <c r="L212" s="286">
        <f>VLOOKUP($B212,'Mosque Locations'!$A:$E,4,FALSE)
</f>
        <v>29.40231</v>
      </c>
      <c r="M212" s="286">
        <f>VLOOKUP($B212,'Mosque Locations'!$A:$E,5,false)</f>
        <v>71.6536</v>
      </c>
      <c r="N212" s="288"/>
      <c r="O212" s="288"/>
      <c r="P212" s="288"/>
      <c r="Q212" s="295" t="str">
        <f>IFERROR(__xludf.DUMMYFUNCTION("IFERROR(
  INDEX(
    FILTER(
      IMPORTRANGE(""1kOrIKZmJfNUkgOVP3sI9BPjaaPA0_a4636oymQxTXg8"",""Form Responses 1!N:N""),
      TRIM(IMPORTRANGE(""1kOrIKZmJfNUkgOVP3sI9BPjaaPA0_a4636oymQxTXg8"",""Form Responses 1!F:F""))=TRIM($B212)
    ),
    1
  ),
  "&amp;"""Not Found""
)
"),"https://drive.google.com/open?id=1R6V-E3Dz1Xz9ycTG7NfVYF8qvt6Ojn2G")</f>
        <v>https://drive.google.com/open?id=1R6V-E3Dz1Xz9ycTG7NfVYF8qvt6Ojn2G</v>
      </c>
      <c r="R212" s="295" t="str">
        <f>IFERROR(__xludf.DUMMYFUNCTION("IFERROR(
  INDEX(
    FILTER(
      IMPORTRANGE(""1kOrIKZmJfNUkgOVP3sI9BPjaaPA0_a4636oymQxTXg8"",""Form Responses 1!M:M""),
      TRIM(IMPORTRANGE(""1kOrIKZmJfNUkgOVP3sI9BPjaaPA0_a4636oymQxTXg8"",""Form Responses 1!F:F""))=TRIM($B212)
    ),
    1
  ),
  "&amp;"""Not Found""
)
"),"https://drive.google.com/open?id=1CPXdnX_N_K_VapY_F8Mo_sgZYi0EoBj4")</f>
        <v>https://drive.google.com/open?id=1CPXdnX_N_K_VapY_F8Mo_sgZYi0EoBj4</v>
      </c>
      <c r="S212" s="283" t="s">
        <v>4871</v>
      </c>
      <c r="T212" s="290" t="str">
        <f>VLOOKUP($B212,'Master Tracker'!D:E,2,false)</f>
        <v>https://drive.google.com/open?id=1yByVKJ8ZjuBJ1_j2xfnrq8l530j503-M</v>
      </c>
      <c r="U212" s="291" t="str">
        <f>VLOOKUP($B212,'Master Tracker'!$D:$T,4,FALSE)
</f>
        <v>https://drive.google.com/open?id=1dpkW9EuK4UI5tF8MPAdWhB3-HPZDoSAj</v>
      </c>
      <c r="V212" s="290" t="str">
        <f>VLOOKUP($B212,'Master Tracker'!$D:$T,5,false)</f>
        <v>https://drive.google.com/open?id=1BGgoR5kTDOU_BUC3_FuSYDT9pUPify4g</v>
      </c>
      <c r="W212" s="291" t="str">
        <f>VLOOKUP($B212,'Master Tracker'!$D:$T,7,false)</f>
        <v>https://drive.google.com/open?id=1xZ1NbdZ9lGP-JPWL4BJdDcAn5gGIfr3r</v>
      </c>
      <c r="X212" s="290" t="str">
        <f>VLOOKUP($B212,'Master Tracker'!$D:$T,8,false)</f>
        <v>https://drive.google.com/open?id=1sQ7YalYmmhaGPwsWzCPLXRCu2p8GYBUm</v>
      </c>
      <c r="Y212" s="291" t="str">
        <f>VLOOKUP($B212,'Master Tracker'!$D:$T,10,false)</f>
        <v>https://drive.google.com/open?id=1C73fO57KLPlGfFETqRBw5HnYlL4sKDxD</v>
      </c>
      <c r="Z212" s="284" t="str">
        <f>VLOOKUP($B212,'Master Tracker'!$D:$T,11,false)</f>
        <v>Not Found</v>
      </c>
      <c r="AA212" s="292" t="str">
        <f>VLOOKUP($B212,'Master Tracker'!$D:$T,13,false)</f>
        <v>Not Found</v>
      </c>
      <c r="AB212" s="284" t="str">
        <f>VLOOKUP($B212,'Master Tracker'!$D:$T,14,false)</f>
        <v>Not Found</v>
      </c>
      <c r="AC212" s="292" t="str">
        <f>VLOOKUP($B212,'Master Tracker'!$D:$T,16,false)</f>
        <v>Not Found</v>
      </c>
      <c r="AD212" s="292" t="str">
        <f>VLOOKUP($B212,'Master Tracker'!$D:$T,17,false)</f>
        <v>Not Found</v>
      </c>
      <c r="AE212" s="292" t="str">
        <f>VLOOKUP($B212,'Master Tracker'!$D:$V,19,false)</f>
        <v>Not Found</v>
      </c>
      <c r="AF212" s="292">
        <f>IFERROR(__xludf.DUMMYFUNCTION("IFERROR(
  INDEX(
    FILTER(
      'Juma Recording forms'!$G:$G,
      TRIM('Juma Recording forms'!$F:$F) = TRIM($B212),
      'Juma Recording forms'!$AA:$AA = 1
    ),
    1
  ),
  ""Not Found""
)"),356.0)</f>
        <v>356</v>
      </c>
      <c r="AG212" s="292">
        <f>IFERROR(__xludf.DUMMYFUNCTION("IFERROR(
  INDEX(
    FILTER(
      'Juma Recording forms'!$G:$G,
      TRIM('Juma Recording forms'!$F:$F) = TRIM($B212),
      'Juma Recording forms'!$AA:$AA = 2
    ),
    1
  ),
  ""Not Found""
)"),380.0)</f>
        <v>380</v>
      </c>
      <c r="AH212" s="292">
        <f>IFERROR(__xludf.DUMMYFUNCTION("IFERROR(
  INDEX(
    FILTER(
      'Juma Recording forms'!$G:$G,
      TRIM('Juma Recording forms'!$F:$F) = TRIM($B212),
      'Juma Recording forms'!$AA:$AA = 3
    ),
    1
  ),
  ""Not Found""
)"),396.0)</f>
        <v>396</v>
      </c>
      <c r="AI212" s="292" t="str">
        <f>IFERROR(__xludf.DUMMYFUNCTION("IFERROR(
  INDEX(
    FILTER(
      'Juma Recording forms'!$G:$G,
      TRIM('Juma Recording forms'!$F:$F) = TRIM($B212),
      'Juma Recording forms'!$AA:$AA = 4
    ),
    1
  ),
  ""Not Found""
)"),"Not Found")</f>
        <v>Not Found</v>
      </c>
      <c r="AJ212" s="292" t="str">
        <f>IFERROR(__xludf.DUMMYFUNCTION("IFERROR(
  INDEX(
    FILTER(
      'Juma Recording forms'!$G:$G,
      TRIM('Juma Recording forms'!$F:$F) = TRIM($B212),
      'Juma Recording forms'!$AA:$AA = 5
    ),
    1
  ),
  ""Not Found""
)"),"Not Found")</f>
        <v>Not Found</v>
      </c>
      <c r="AK212" s="292" t="str">
        <f>IFERROR(__xludf.DUMMYFUNCTION("IFERROR(
  INDEX(
    FILTER(
      'Juma Recording forms'!$G:$G,
      TRIM('Juma Recording forms'!$F:$F) = TRIM($B212),
      'Juma Recording forms'!$AA:$AA = 6
    ),
    1
  ),
  ""Not Found""
)"),"Not Found")</f>
        <v>Not Found</v>
      </c>
      <c r="AL2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1!$E:$E"")=$B212) *
        (IMPORTRANGE(""https://docs.google.com/spreadsheets/d/161aHT6vVT3SLneTKD19N5qVWtnj_jIT8CSsOmUVKmaA/e"&amp;"dit?gid=1761053510"",
          ""Haris_Form responses 1!$AQ:$AQ"")=1)
      ),
      1
    ),
    ""0""
  ),
  ""Form not found""
)
"),"10")</f>
        <v>10</v>
      </c>
      <c r="AM2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1!$E:$E"")=$B212) *
        (IMPORTRANGE(""https://docs.google.com/spreadsheets/d/161aHT6vVT3SLneTKD19N5qVWtnj_jIT8CSsOmUVKmaA/e"&amp;"dit?gid=1761053510"",
          ""Haris_Form responses 1!$AQ:$AQ"")=2)
      ),
      1
    ),
    ""0""
  ),
  ""Form not found""
)
"),"10")</f>
        <v>10</v>
      </c>
      <c r="AN2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1!$E:$E"")=$B212) *
        (IMPORTRANGE(""https://docs.google.com/spreadsheets/d/161aHT6vVT3SLneTKD19N5qVWtnj_jIT8CSsOmUVKmaA/e"&amp;"dit?gid=1761053510"",
          ""Haris_Form responses 1!$AQ:$AQ"")=3)
      ),
      1
    ),
    ""0""
  ),
  ""Form not found""
)
"),"1")</f>
        <v>1</v>
      </c>
      <c r="AO2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1!$E:$E"")=$B212) *
        (IMPORTRANGE(""https://docs.google.com/spreadsheets/d/161aHT6vVT3SLneTKD19N5qVWtnj_jIT8CSsOmUVKmaA/e"&amp;"dit?gid=1761053510"",
          ""Haris_Form responses 1!$AQ:$AQ"")=4)
      ),
      1
    ),
    ""0""
  ),
  ""Form not found""
)
"),"Form not found")</f>
        <v>Form not found</v>
      </c>
      <c r="AP2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1!$E:$E"")=$B212) *
        (IMPORTRANGE(""https://docs.google.com/spreadsheets/d/161aHT6vVT3SLneTKD19N5qVWtnj_jIT8CSsOmUVKmaA/e"&amp;"dit?gid=1761053510"",
          ""Haris_Form responses 1!$AQ:$AQ"")=5)
      ),
      1
    ),
    ""0""
  ),
  ""Form not found""
)
"),"Form not found")</f>
        <v>Form not found</v>
      </c>
      <c r="AQ21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1!$E:$E"")=$B212) *
        (IMPORTRANGE(""https://docs.google.com/spreadsheets/d/161aHT6vVT3SLneTKD19N5qVWtnj_jIT8CSsOmUVKmaA/e"&amp;"dit?gid=1761053510"",
          ""Haris_Form responses 1!$AQ:$AQ"")=6)
      ),
      1
    ),
    ""0""
  ),
  ""Form not found""
)
"),"Form not found")</f>
        <v>Form not found</v>
      </c>
      <c r="AR2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1!$E:$E"")=$B212) *
        (IMPORTRANGE(""https://docs.google.com/spreadsheets/d/161aHT6vVT3SLneTKD19N5qVWtnj_jIT8CSsOmUVKmaA/e"&amp;"dit?gid=1761053510"",
          ""Haris_Form responses 1!$AQ:$AQ"")=1)
      ),
      1
    ),
    ""0""
  ),
  ""Form not found""
)
"),"10")</f>
        <v>10</v>
      </c>
      <c r="AS2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1!$E:$E"")=$B212) *
        (IMPORTRANGE(""https://docs.google.com/spreadsheets/d/161aHT6vVT3SLneTKD19N5qVWtnj_jIT8CSsOmUVKmaA/e"&amp;"dit?gid=1761053510"",
          ""Haris_Form responses 1!$AQ:$AQ"")=2)
      ),
      1
    ),
    ""0""
  ),
  ""Form not found""
)
"),"10")</f>
        <v>10</v>
      </c>
      <c r="AT2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1!$E:$E"")=$B212) *
        (IMPORTRANGE(""https://docs.google.com/spreadsheets/d/161aHT6vVT3SLneTKD19N5qVWtnj_jIT8CSsOmUVKmaA/e"&amp;"dit?gid=1761053510"",
          ""Haris_Form responses 1!$AQ:$AQ"")=3)
      ),
      1
    ),
    ""0""
  ),
  ""Form not found""
)
"),"0")</f>
        <v>0</v>
      </c>
      <c r="AU2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1!$E:$E"")=$B212) *
        (IMPORTRANGE(""https://docs.google.com/spreadsheets/d/161aHT6vVT3SLneTKD19N5qVWtnj_jIT8CSsOmUVKmaA/e"&amp;"dit?gid=1761053510"",
          ""Haris_Form responses 1!$AQ:$AQ"")=4)
      ),
      1
    ),
    ""0""
  ),
  ""Form not found""
)
"),"Form not found")</f>
        <v>Form not found</v>
      </c>
      <c r="AV2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1!$E:$E"")=$B212) *
        (IMPORTRANGE(""https://docs.google.com/spreadsheets/d/161aHT6vVT3SLneTKD19N5qVWtnj_jIT8CSsOmUVKmaA/e"&amp;"dit?gid=1761053510"",
          ""Haris_Form responses 1!$AQ:$AQ"")=5)
      ),
      1
    ),
    ""0""
  ),
  ""Form not found""
)
"),"Form not found")</f>
        <v>Form not found</v>
      </c>
      <c r="AW21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1!$E:$E"")=$B212) *
        (IMPORTRANGE(""https://docs.google.com/spreadsheets/d/161aHT6vVT3SLneTKD19N5qVWtnj_jIT8CSsOmUVKmaA/e"&amp;"dit?gid=1761053510"",
          ""Haris_Form responses 1!$AQ:$AQ"")=6)
      ),
      1
    ),
    ""0""
  ),
  ""Form not found""
)
"),"Form not found")</f>
        <v>Form not found</v>
      </c>
      <c r="AX2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1!$E:$E"")=$B212) *
        (IMPORTRANGE(""https://docs.google.com/spreadsheets/d/161aHT6vVT3SLneTKD19N5qVWtnj_jIT8CSsOmUVKmaA/e"&amp;"dit?gid=1761053510"",
          ""Haris_Form responses 1!$AQ:$AQ"")=1)
      ),
      1
    ),
    ""0""
  ),
  ""Form not found""
)
"),"0")</f>
        <v>0</v>
      </c>
      <c r="AY2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1!$E:$E"")=$B212) *
        (IMPORTRANGE(""https://docs.google.com/spreadsheets/d/161aHT6vVT3SLneTKD19N5qVWtnj_jIT8CSsOmUVKmaA/e"&amp;"dit?gid=1761053510"",
          ""Haris_Form responses 1!$AQ:$AQ"")=2)
      ),
      1
    ),
    ""0""
  ),
  ""Form not found""
)
"),"0")</f>
        <v>0</v>
      </c>
      <c r="AZ2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1!$E:$E"")=$B212) *
        (IMPORTRANGE(""https://docs.google.com/spreadsheets/d/161aHT6vVT3SLneTKD19N5qVWtnj_jIT8CSsOmUVKmaA/e"&amp;"dit?gid=1761053510"",
          ""Haris_Form responses 1!$AQ:$AQ"")=3)
      ),
      1
    ),
    ""0""
  ),
  ""Form not found""
)
"),"1")</f>
        <v>1</v>
      </c>
      <c r="BA2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1!$E:$E"")=$B212) *
        (IMPORTRANGE(""https://docs.google.com/spreadsheets/d/161aHT6vVT3SLneTKD19N5qVWtnj_jIT8CSsOmUVKmaA/e"&amp;"dit?gid=1761053510"",
          ""Haris_Form responses 1!$AQ:$AQ"")=4)
      ),
      1
    ),
    ""0""
  ),
  ""Form not found""
)
"),"Form not found")</f>
        <v>Form not found</v>
      </c>
      <c r="BB2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1!$E:$E"")=$B212) *
        (IMPORTRANGE(""https://docs.google.com/spreadsheets/d/161aHT6vVT3SLneTKD19N5qVWtnj_jIT8CSsOmUVKmaA/e"&amp;"dit?gid=1761053510"",
          ""Haris_Form responses 1!$AQ:$AQ"")=5)
      ),
      1
    ),
    ""0""
  ),
  ""Form not found""
)
"),"Form not found")</f>
        <v>Form not found</v>
      </c>
      <c r="BC21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1!$E:$E"")=$B212) *
        (IMPORTRANGE(""https://docs.google.com/spreadsheets/d/161aHT6vVT3SLneTKD19N5qVWtnj_jIT8CSsOmUVKmaA/e"&amp;"dit?gid=1761053510"",
          ""Haris_Form responses 1!$AQ:$AQ"")=6)
      ),
      1
    ),
    ""0""
  ),
  ""Form not found""
)
"),"Form not found")</f>
        <v>Form not found</v>
      </c>
      <c r="BD212" s="293"/>
    </row>
    <row r="213">
      <c r="A213" s="283" t="str">
        <f>IFERROR(__xludf.DUMMYFUNCTION("VLOOKUP($B213,IMPORTRANGE(""https://docs.google.com/spreadsheets/d/1VNXDITjs75AcgdBSW27oL1VZH31udDprJSsBcE5xlp4/edit?gid=1551188038#gid=1551188038"", ""Sheet9!$B:$E""),2,false)"),"Bahawalpure")</f>
        <v>Bahawalpure</v>
      </c>
      <c r="B213" s="283" t="s">
        <v>4654</v>
      </c>
      <c r="C213" s="284" t="str">
        <f>IFERROR(__xludf.DUMMYFUNCTION("VLOOKUP(TRIM($B213), IMPORTRANGE(""https://docs.google.com/spreadsheets/d/1aSOrU4PTpuBZqfitKaH1Rfww6-YOiNCKoBpPl8XBHaw/edit?gid=0#gid=0"", ""sheet3!$B:$C""), 2, FALSE)
"),"Jamia Masjid Ahle Hadess Na Haliyanawali Ahumd Pur Sharqiya")</f>
        <v>Jamia Masjid Ahle Hadess Na Haliyanawali Ahumd Pur Sharqiya</v>
      </c>
      <c r="D213" s="284" t="str">
        <f>IFERROR(__xludf.DUMMYFUNCTION("IFERROR(
  INDEX(
    FILTER(
      IMPORTRANGE(""1aSOrU4PTpuBZqfitKaH1Rfww6-YOiNCKoBpPl8XBHaw/edit?gid=0#gid=0"",""Sheet1!G:G""),
      IMPORTRANGE(""1aSOrU4PTpuBZqfitKaH1Rfww6-YOiNCKoBpPl8XBHaw/edit?gid=0#gid=0"",""Sheet1!C:C"")=$B213
    ),
    1
  ),
"&amp;"  ""Not Found""
)"),"Community Religious Info Share")</f>
        <v>Community Religious Info Share</v>
      </c>
      <c r="E213" s="284" t="str">
        <f>VLOOKUP(B213,'Juma Recording forms'!A:E,5,false)</f>
        <v>Jamia Masjid Ahl e Hadees Tahlianwali</v>
      </c>
      <c r="F213" s="284" t="str">
        <f>IFERROR(__xludf.DUMMYFUNCTION("IFERROR(
  INDEX(
    FILTER(
      IMPORTRANGE(""1Cxrhp3-_-HS7v9uuqQliiIfrmMP4VaFoDNDWyUFy2J8/edit?gid=0#gid=0"",""Sheet1!Q:Q""),
      IMPORTRANGE(""1Cxrhp3-_-HS7v9uuqQliiIfrmMP4VaFoDNDWyUFy2J8/edit?gid=0#gid=0"",""Sheet1!K:K"")=$B213
    ),
    1
  ),
"&amp;"  ""Not Found""
)"),"Hafiz Muhammad Haq Nawaz ")</f>
        <v>Hafiz Muhammad Haq Nawaz </v>
      </c>
      <c r="G213" s="284">
        <v>2000.0</v>
      </c>
      <c r="H213" s="284"/>
      <c r="I213" s="285" t="s">
        <v>401</v>
      </c>
      <c r="J213" s="286">
        <v>2.0</v>
      </c>
      <c r="K213" s="287" t="str">
        <f>VLOOKUP($B213,'Mosque Locations'!$A:$E,3,FALSE)
</f>
        <v>https://maps.google.com/maps?q=29.146789%2C71.2670091&amp;z=17&amp;hl=en</v>
      </c>
      <c r="L213" s="286">
        <f>VLOOKUP($B213,'Mosque Locations'!$A:$E,4,FALSE)
</f>
        <v>29.14679</v>
      </c>
      <c r="M213" s="286">
        <f>VLOOKUP($B213,'Mosque Locations'!$A:$E,5,false)</f>
        <v>71.26701</v>
      </c>
      <c r="N213" s="288"/>
      <c r="O213" s="288"/>
      <c r="P213" s="288"/>
      <c r="Q213" s="284" t="str">
        <f>IFERROR(__xludf.DUMMYFUNCTION("IFERROR(
  INDEX(
    FILTER(
      IMPORTRANGE(""1kOrIKZmJfNUkgOVP3sI9BPjaaPA0_a4636oymQxTXg8"",""Form Responses 1!N:N""),
      TRIM(IMPORTRANGE(""1kOrIKZmJfNUkgOVP3sI9BPjaaPA0_a4636oymQxTXg8"",""Form Responses 1!F:F""))=TRIM($B213)
    ),
    1
  ),
  "&amp;"""Not Found""
)
"),"https://drive.google.com/open?id=1QKEz_xnQECFV3ij_CnjHB8kRCe1m943q, https://drive.google.com/open?id=1PTGVbcE53QWR5JlGg_SMMg6dbtJCfDdY")</f>
        <v>https://drive.google.com/open?id=1QKEz_xnQECFV3ij_CnjHB8kRCe1m943q, https://drive.google.com/open?id=1PTGVbcE53QWR5JlGg_SMMg6dbtJCfDdY</v>
      </c>
      <c r="R213" s="290" t="str">
        <f>IFERROR(__xludf.DUMMYFUNCTION("IFERROR(
  INDEX(
    FILTER(
      IMPORTRANGE(""1kOrIKZmJfNUkgOVP3sI9BPjaaPA0_a4636oymQxTXg8"",""Form Responses 1!M:M""),
      TRIM(IMPORTRANGE(""1kOrIKZmJfNUkgOVP3sI9BPjaaPA0_a4636oymQxTXg8"",""Form Responses 1!F:F""))=TRIM($B213)
    ),
    1
  ),
  "&amp;"""Not Found""
)
"),"https://drive.google.com/file/d/10nhiT67O87meqJi042gLW_yPeCuziHI9/view?usp=sharing")</f>
        <v>https://drive.google.com/file/d/10nhiT67O87meqJi042gLW_yPeCuziHI9/view?usp=sharing</v>
      </c>
      <c r="S213" s="285"/>
      <c r="T213" s="290" t="str">
        <f>VLOOKUP($B213,'Master Tracker'!D:E,2,false)</f>
        <v>https://drive.google.com/open?id=1rJjofqH45xdiGTB6wD53Oq5woYPIDr1Q</v>
      </c>
      <c r="U213" s="291" t="str">
        <f>VLOOKUP($B213,'Master Tracker'!$D:$T,4,FALSE)
</f>
        <v>https://drive.google.com/open?id=1KGqOCukxkyP2yXuqkvW4vnJTRrez4-IJ</v>
      </c>
      <c r="V213" s="290" t="str">
        <f>VLOOKUP($B213,'Master Tracker'!$D:$T,5,false)</f>
        <v>https://drive.google.com/open?id=1fN-zMnMvcFYlH4fbS5uhc30llQK7w_37</v>
      </c>
      <c r="W213" s="291" t="str">
        <f>VLOOKUP($B213,'Master Tracker'!$D:$T,7,false)</f>
        <v>https://drive.google.com/open?id=1gOM-uqK0JH2OufkDi2MfRhNKekNBZy4Z</v>
      </c>
      <c r="X213" s="290" t="str">
        <f>VLOOKUP($B213,'Master Tracker'!$D:$T,8,false)</f>
        <v>https://drive.google.com/open?id=1FhmxW55ZhRZ1eulAU7eWLFybnayW9C8F</v>
      </c>
      <c r="Y213" s="291" t="str">
        <f>VLOOKUP($B213,'Master Tracker'!$D:$T,10,false)</f>
        <v>https://drive.google.com/open?id=1_jopZvnO2IthfC0PRpkEypHPlIL_pngh</v>
      </c>
      <c r="Z213" s="284" t="str">
        <f>VLOOKUP($B213,'Master Tracker'!$D:$T,11,false)</f>
        <v>Not Found</v>
      </c>
      <c r="AA213" s="292" t="str">
        <f>VLOOKUP($B213,'Master Tracker'!$D:$T,13,false)</f>
        <v>Not Found</v>
      </c>
      <c r="AB213" s="284" t="str">
        <f>VLOOKUP($B213,'Master Tracker'!$D:$T,14,false)</f>
        <v>Not Found</v>
      </c>
      <c r="AC213" s="292" t="str">
        <f>VLOOKUP($B213,'Master Tracker'!$D:$T,16,false)</f>
        <v>Not Found</v>
      </c>
      <c r="AD213" s="292" t="str">
        <f>VLOOKUP($B213,'Master Tracker'!$D:$T,17,false)</f>
        <v>Not Found</v>
      </c>
      <c r="AE213" s="292" t="str">
        <f>VLOOKUP($B213,'Master Tracker'!$D:$V,19,false)</f>
        <v>Not Found</v>
      </c>
      <c r="AF213" s="292">
        <f>IFERROR(__xludf.DUMMYFUNCTION("IFERROR(
  INDEX(
    FILTER(
      'Juma Recording forms'!$G:$G,
      TRIM('Juma Recording forms'!$F:$F) = TRIM($B213),
      'Juma Recording forms'!$AA:$AA = 1
    ),
    1
  ),
  ""Not Found""
)"),171.0)</f>
        <v>171</v>
      </c>
      <c r="AG213" s="292">
        <f>IFERROR(__xludf.DUMMYFUNCTION("IFERROR(
  INDEX(
    FILTER(
      'Juma Recording forms'!$G:$G,
      TRIM('Juma Recording forms'!$F:$F) = TRIM($B213),
      'Juma Recording forms'!$AA:$AA = 2
    ),
    1
  ),
  ""Not Found""
)"),175.0)</f>
        <v>175</v>
      </c>
      <c r="AH213" s="292">
        <f>IFERROR(__xludf.DUMMYFUNCTION("IFERROR(
  INDEX(
    FILTER(
      'Juma Recording forms'!$G:$G,
      TRIM('Juma Recording forms'!$F:$F) = TRIM($B213),
      'Juma Recording forms'!$AA:$AA = 3
    ),
    1
  ),
  ""Not Found""
)"),185.0)</f>
        <v>185</v>
      </c>
      <c r="AI213" s="292" t="str">
        <f>IFERROR(__xludf.DUMMYFUNCTION("IFERROR(
  INDEX(
    FILTER(
      'Juma Recording forms'!$G:$G,
      TRIM('Juma Recording forms'!$F:$F) = TRIM($B213),
      'Juma Recording forms'!$AA:$AA = 4
    ),
    1
  ),
  ""Not Found""
)"),"Not Found")</f>
        <v>Not Found</v>
      </c>
      <c r="AJ213" s="292" t="str">
        <f>IFERROR(__xludf.DUMMYFUNCTION("IFERROR(
  INDEX(
    FILTER(
      'Juma Recording forms'!$G:$G,
      TRIM('Juma Recording forms'!$F:$F) = TRIM($B213),
      'Juma Recording forms'!$AA:$AA = 5
    ),
    1
  ),
  ""Not Found""
)"),"Not Found")</f>
        <v>Not Found</v>
      </c>
      <c r="AK213" s="292" t="str">
        <f>IFERROR(__xludf.DUMMYFUNCTION("IFERROR(
  INDEX(
    FILTER(
      'Juma Recording forms'!$G:$G,
      TRIM('Juma Recording forms'!$F:$F) = TRIM($B213),
      'Juma Recording forms'!$AA:$AA = 6
    ),
    1
  ),
  ""Not Found""
)"),"Not Found")</f>
        <v>Not Found</v>
      </c>
      <c r="AL2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1!$E:$E"")=$B213) *
        (IMPORTRANGE(""https://docs.google.com/spreadsheets/d/161aHT6vVT3SLneTKD19N5qVWtnj_jIT8CSsOmUVKmaA/e"&amp;"dit?gid=1761053510"",
          ""Haris_Form responses 1!$AQ:$AQ"")=1)
      ),
      1
    ),
    ""0""
  ),
  ""Form not found""
)
"),"10")</f>
        <v>10</v>
      </c>
      <c r="AM2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1!$E:$E"")=$B213) *
        (IMPORTRANGE(""https://docs.google.com/spreadsheets/d/161aHT6vVT3SLneTKD19N5qVWtnj_jIT8CSsOmUVKmaA/e"&amp;"dit?gid=1761053510"",
          ""Haris_Form responses 1!$AQ:$AQ"")=2)
      ),
      1
    ),
    ""0""
  ),
  ""Form not found""
)
"),"10")</f>
        <v>10</v>
      </c>
      <c r="AN2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1!$E:$E"")=$B213) *
        (IMPORTRANGE(""https://docs.google.com/spreadsheets/d/161aHT6vVT3SLneTKD19N5qVWtnj_jIT8CSsOmUVKmaA/e"&amp;"dit?gid=1761053510"",
          ""Haris_Form responses 1!$AQ:$AQ"")=3)
      ),
      1
    ),
    ""0""
  ),
  ""Form not found""
)
"),"0")</f>
        <v>0</v>
      </c>
      <c r="AO2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1!$E:$E"")=$B213) *
        (IMPORTRANGE(""https://docs.google.com/spreadsheets/d/161aHT6vVT3SLneTKD19N5qVWtnj_jIT8CSsOmUVKmaA/e"&amp;"dit?gid=1761053510"",
          ""Haris_Form responses 1!$AQ:$AQ"")=4)
      ),
      1
    ),
    ""0""
  ),
  ""Form not found""
)
"),"Form not found")</f>
        <v>Form not found</v>
      </c>
      <c r="AP2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1!$E:$E"")=$B213) *
        (IMPORTRANGE(""https://docs.google.com/spreadsheets/d/161aHT6vVT3SLneTKD19N5qVWtnj_jIT8CSsOmUVKmaA/e"&amp;"dit?gid=1761053510"",
          ""Haris_Form responses 1!$AQ:$AQ"")=5)
      ),
      1
    ),
    ""0""
  ),
  ""Form not found""
)
"),"Form not found")</f>
        <v>Form not found</v>
      </c>
      <c r="AQ21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1!$E:$E"")=$B213) *
        (IMPORTRANGE(""https://docs.google.com/spreadsheets/d/161aHT6vVT3SLneTKD19N5qVWtnj_jIT8CSsOmUVKmaA/e"&amp;"dit?gid=1761053510"",
          ""Haris_Form responses 1!$AQ:$AQ"")=6)
      ),
      1
    ),
    ""0""
  ),
  ""Form not found""
)
"),"Form not found")</f>
        <v>Form not found</v>
      </c>
      <c r="AR2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1!$E:$E"")=$B213) *
        (IMPORTRANGE(""https://docs.google.com/spreadsheets/d/161aHT6vVT3SLneTKD19N5qVWtnj_jIT8CSsOmUVKmaA/e"&amp;"dit?gid=1761053510"",
          ""Haris_Form responses 1!$AQ:$AQ"")=1)
      ),
      1
    ),
    ""0""
  ),
  ""Form not found""
)
"),"10")</f>
        <v>10</v>
      </c>
      <c r="AS2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1!$E:$E"")=$B213) *
        (IMPORTRANGE(""https://docs.google.com/spreadsheets/d/161aHT6vVT3SLneTKD19N5qVWtnj_jIT8CSsOmUVKmaA/e"&amp;"dit?gid=1761053510"",
          ""Haris_Form responses 1!$AQ:$AQ"")=2)
      ),
      1
    ),
    ""0""
  ),
  ""Form not found""
)
"),"10")</f>
        <v>10</v>
      </c>
      <c r="AT2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1!$E:$E"")=$B213) *
        (IMPORTRANGE(""https://docs.google.com/spreadsheets/d/161aHT6vVT3SLneTKD19N5qVWtnj_jIT8CSsOmUVKmaA/e"&amp;"dit?gid=1761053510"",
          ""Haris_Form responses 1!$AQ:$AQ"")=3)
      ),
      1
    ),
    ""0""
  ),
  ""Form not found""
)
"),"0")</f>
        <v>0</v>
      </c>
      <c r="AU2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1!$E:$E"")=$B213) *
        (IMPORTRANGE(""https://docs.google.com/spreadsheets/d/161aHT6vVT3SLneTKD19N5qVWtnj_jIT8CSsOmUVKmaA/e"&amp;"dit?gid=1761053510"",
          ""Haris_Form responses 1!$AQ:$AQ"")=4)
      ),
      1
    ),
    ""0""
  ),
  ""Form not found""
)
"),"Form not found")</f>
        <v>Form not found</v>
      </c>
      <c r="AV2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1!$E:$E"")=$B213) *
        (IMPORTRANGE(""https://docs.google.com/spreadsheets/d/161aHT6vVT3SLneTKD19N5qVWtnj_jIT8CSsOmUVKmaA/e"&amp;"dit?gid=1761053510"",
          ""Haris_Form responses 1!$AQ:$AQ"")=5)
      ),
      1
    ),
    ""0""
  ),
  ""Form not found""
)
"),"Form not found")</f>
        <v>Form not found</v>
      </c>
      <c r="AW21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1!$E:$E"")=$B213) *
        (IMPORTRANGE(""https://docs.google.com/spreadsheets/d/161aHT6vVT3SLneTKD19N5qVWtnj_jIT8CSsOmUVKmaA/e"&amp;"dit?gid=1761053510"",
          ""Haris_Form responses 1!$AQ:$AQ"")=6)
      ),
      1
    ),
    ""0""
  ),
  ""Form not found""
)
"),"Form not found")</f>
        <v>Form not found</v>
      </c>
      <c r="AX2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1!$E:$E"")=$B213) *
        (IMPORTRANGE(""https://docs.google.com/spreadsheets/d/161aHT6vVT3SLneTKD19N5qVWtnj_jIT8CSsOmUVKmaA/e"&amp;"dit?gid=1761053510"",
          ""Haris_Form responses 1!$AQ:$AQ"")=1)
      ),
      1
    ),
    ""0""
  ),
  ""Form not found""
)
"),"0")</f>
        <v>0</v>
      </c>
      <c r="AY2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1!$E:$E"")=$B213) *
        (IMPORTRANGE(""https://docs.google.com/spreadsheets/d/161aHT6vVT3SLneTKD19N5qVWtnj_jIT8CSsOmUVKmaA/e"&amp;"dit?gid=1761053510"",
          ""Haris_Form responses 1!$AQ:$AQ"")=2)
      ),
      1
    ),
    ""0""
  ),
  ""Form not found""
)
"),"0")</f>
        <v>0</v>
      </c>
      <c r="AZ2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1!$E:$E"")=$B213) *
        (IMPORTRANGE(""https://docs.google.com/spreadsheets/d/161aHT6vVT3SLneTKD19N5qVWtnj_jIT8CSsOmUVKmaA/e"&amp;"dit?gid=1761053510"",
          ""Haris_Form responses 1!$AQ:$AQ"")=3)
      ),
      1
    ),
    ""0""
  ),
  ""Form not found""
)
"),"0")</f>
        <v>0</v>
      </c>
      <c r="BA2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1!$E:$E"")=$B213) *
        (IMPORTRANGE(""https://docs.google.com/spreadsheets/d/161aHT6vVT3SLneTKD19N5qVWtnj_jIT8CSsOmUVKmaA/e"&amp;"dit?gid=1761053510"",
          ""Haris_Form responses 1!$AQ:$AQ"")=4)
      ),
      1
    ),
    ""0""
  ),
  ""Form not found""
)
"),"Form not found")</f>
        <v>Form not found</v>
      </c>
      <c r="BB2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1!$E:$E"")=$B213) *
        (IMPORTRANGE(""https://docs.google.com/spreadsheets/d/161aHT6vVT3SLneTKD19N5qVWtnj_jIT8CSsOmUVKmaA/e"&amp;"dit?gid=1761053510"",
          ""Haris_Form responses 1!$AQ:$AQ"")=5)
      ),
      1
    ),
    ""0""
  ),
  ""Form not found""
)
"),"Form not found")</f>
        <v>Form not found</v>
      </c>
      <c r="BC21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1!$E:$E"")=$B213) *
        (IMPORTRANGE(""https://docs.google.com/spreadsheets/d/161aHT6vVT3SLneTKD19N5qVWtnj_jIT8CSsOmUVKmaA/e"&amp;"dit?gid=1761053510"",
          ""Haris_Form responses 1!$AQ:$AQ"")=6)
      ),
      1
    ),
    ""0""
  ),
  ""Form not found""
)
"),"Form not found")</f>
        <v>Form not found</v>
      </c>
      <c r="BD213" s="293"/>
    </row>
    <row r="214">
      <c r="A214" s="283" t="str">
        <f>IFERROR(__xludf.DUMMYFUNCTION("VLOOKUP($B214,IMPORTRANGE(""https://docs.google.com/spreadsheets/d/1VNXDITjs75AcgdBSW27oL1VZH31udDprJSsBcE5xlp4/edit?gid=1551188038#gid=1551188038"", ""Sheet9!$B:$E""),2,false)"),"Chistain")</f>
        <v>Chistain</v>
      </c>
      <c r="B214" s="283" t="s">
        <v>4655</v>
      </c>
      <c r="C214" s="284" t="str">
        <f>IFERROR(__xludf.DUMMYFUNCTION("VLOOKUP(TRIM($B214), IMPORTRANGE(""https://docs.google.com/spreadsheets/d/1aSOrU4PTpuBZqfitKaH1Rfww6-YOiNCKoBpPl8XBHaw/edit?gid=0#gid=0"", ""sheet3!$B:$C""), 2, FALSE)
"),"Jamia Masjid Gaalah Mandi Bahawal Nagar")</f>
        <v>Jamia Masjid Gaalah Mandi Bahawal Nagar</v>
      </c>
      <c r="D214" s="284" t="str">
        <f>IFERROR(__xludf.DUMMYFUNCTION("IFERROR(
  INDEX(
    FILTER(
      IMPORTRANGE(""1aSOrU4PTpuBZqfitKaH1Rfww6-YOiNCKoBpPl8XBHaw/edit?gid=0#gid=0"",""Sheet1!G:G""),
      IMPORTRANGE(""1aSOrU4PTpuBZqfitKaH1Rfww6-YOiNCKoBpPl8XBHaw/edit?gid=0#gid=0"",""Sheet1!C:C"")=$B214
    ),
    1
  ),
"&amp;"  ""Not Found""
)"),"Women Secular Info Share")</f>
        <v>Women Secular Info Share</v>
      </c>
      <c r="E214" s="284" t="str">
        <f>VLOOKUP(B214,'Juma Recording forms'!A:E,5,false)</f>
        <v>Jamia Masjid Ghalla Mandi Bahawalnagar</v>
      </c>
      <c r="F214" s="284" t="str">
        <f>IFERROR(__xludf.DUMMYFUNCTION("IFERROR(
  INDEX(
    FILTER(
      IMPORTRANGE(""1Cxrhp3-_-HS7v9uuqQliiIfrmMP4VaFoDNDWyUFy2J8/edit?gid=0#gid=0"",""Sheet1!Q:Q""),
      IMPORTRANGE(""1Cxrhp3-_-HS7v9uuqQliiIfrmMP4VaFoDNDWyUFy2J8/edit?gid=0#gid=0"",""Sheet1!K:K"")=$B214
    ),
    1
  ),
"&amp;"  ""Not Found""
)"),"Noor Muhammad Rabbani")</f>
        <v>Noor Muhammad Rabbani</v>
      </c>
      <c r="G214" s="284">
        <v>1960.0</v>
      </c>
      <c r="H214" s="284"/>
      <c r="I214" s="285" t="s">
        <v>197</v>
      </c>
      <c r="J214" s="286">
        <v>2.0</v>
      </c>
      <c r="K214" s="287" t="str">
        <f>VLOOKUP($B214,'Mosque Locations'!$A:$E,3,FALSE)
</f>
        <v>https://www.google.com/maps?q=30.0029464,73.2612082&amp;z=17&amp;hl=en</v>
      </c>
      <c r="L214" s="286">
        <f>VLOOKUP($B214,'Mosque Locations'!$A:$E,4,FALSE)
</f>
        <v>30.00295</v>
      </c>
      <c r="M214" s="286">
        <f>VLOOKUP($B214,'Mosque Locations'!$A:$E,5,false)</f>
        <v>73.26121</v>
      </c>
      <c r="N214" s="288"/>
      <c r="O214" s="288"/>
      <c r="P214" s="288"/>
      <c r="Q214" s="290" t="str">
        <f>IFERROR(__xludf.DUMMYFUNCTION("IFERROR(
  INDEX(
    FILTER(
      IMPORTRANGE(""1kOrIKZmJfNUkgOVP3sI9BPjaaPA0_a4636oymQxTXg8"",""Form Responses 1!N:N""),
      TRIM(IMPORTRANGE(""1kOrIKZmJfNUkgOVP3sI9BPjaaPA0_a4636oymQxTXg8"",""Form Responses 1!F:F""))=TRIM($B214)
    ),
    1
  ),
  "&amp;"""Not Found""
)
"),"https://drive.google.com/file/d/139I3XtULkZGycGiVNqmrAkOhqX9Xlb-4/view?usp=drive_link")</f>
        <v>https://drive.google.com/file/d/139I3XtULkZGycGiVNqmrAkOhqX9Xlb-4/view?usp=drive_link</v>
      </c>
      <c r="R214" s="295" t="str">
        <f>IFERROR(__xludf.DUMMYFUNCTION("IFERROR(
  INDEX(
    FILTER(
      IMPORTRANGE(""1kOrIKZmJfNUkgOVP3sI9BPjaaPA0_a4636oymQxTXg8"",""Form Responses 1!M:M""),
      TRIM(IMPORTRANGE(""1kOrIKZmJfNUkgOVP3sI9BPjaaPA0_a4636oymQxTXg8"",""Form Responses 1!F:F""))=TRIM($B214)
    ),
    1
  ),
  "&amp;"""Not Found""
)
"),"https://drive.google.com/open?id=1uozAZ6wCjK_Ack1xXOnIPvJSSx9d0vhS")</f>
        <v>https://drive.google.com/open?id=1uozAZ6wCjK_Ack1xXOnIPvJSSx9d0vhS</v>
      </c>
      <c r="S214" s="285"/>
      <c r="T214" s="290" t="str">
        <f>VLOOKUP($B214,'Master Tracker'!D:E,2,false)</f>
        <v>https://drive.google.com/open?id=1b-qZlkWgxjdta7JgOSTlSfyC3SwZdfdo</v>
      </c>
      <c r="U214" s="291" t="str">
        <f>VLOOKUP($B214,'Master Tracker'!$D:$T,4,FALSE)
</f>
        <v>https://drive.google.com/open?id=1R-j5jUIMjZusWU3tmca9wX0qHWcrPJVgSuRgEBvNJ0U</v>
      </c>
      <c r="V214" s="290" t="str">
        <f>VLOOKUP($B214,'Master Tracker'!$D:$T,5,false)</f>
        <v>https://drive.google.com/open?id=11pDKrEKlMDxziZ4orQ5QZ7D2YnE0qun_</v>
      </c>
      <c r="W214" s="291" t="str">
        <f>VLOOKUP($B214,'Master Tracker'!$D:$T,7,false)</f>
        <v>https://drive.google.com/open?id=1zHwN5dxqdmv_q8SebqJg0Kq-oMw_pxrW9SmsB-zPWjk</v>
      </c>
      <c r="X214" s="290" t="str">
        <f>VLOOKUP($B214,'Master Tracker'!$D:$T,8,false)</f>
        <v>https://drive.google.com/open?id=1siCQjI_ZVw1vPQ5hOX3ewmIpN21KaPG0</v>
      </c>
      <c r="Y214" s="291" t="str">
        <f>VLOOKUP($B214,'Master Tracker'!$D:$T,10,false)</f>
        <v>https://drive.google.com/open?id=1UeLs8VSrVD_50CaVt0JUxg5RiGQxlSD0fGydk8olXLw</v>
      </c>
      <c r="Z214" s="284" t="str">
        <f>VLOOKUP($B214,'Master Tracker'!$D:$T,11,false)</f>
        <v>Not Found</v>
      </c>
      <c r="AA214" s="292" t="str">
        <f>VLOOKUP($B214,'Master Tracker'!$D:$T,13,false)</f>
        <v>Not Found</v>
      </c>
      <c r="AB214" s="284" t="str">
        <f>VLOOKUP($B214,'Master Tracker'!$D:$T,14,false)</f>
        <v>Not Found</v>
      </c>
      <c r="AC214" s="292" t="str">
        <f>VLOOKUP($B214,'Master Tracker'!$D:$T,16,false)</f>
        <v>Not Found</v>
      </c>
      <c r="AD214" s="292" t="str">
        <f>VLOOKUP($B214,'Master Tracker'!$D:$T,17,false)</f>
        <v>Not Found</v>
      </c>
      <c r="AE214" s="292" t="str">
        <f>VLOOKUP($B214,'Master Tracker'!$D:$V,19,false)</f>
        <v>Not Found</v>
      </c>
      <c r="AF214" s="292">
        <f>IFERROR(__xludf.DUMMYFUNCTION("IFERROR(
  INDEX(
    FILTER(
      'Juma Recording forms'!$G:$G,
      TRIM('Juma Recording forms'!$F:$F) = TRIM($B214),
      'Juma Recording forms'!$AA:$AA = 1
    ),
    1
  ),
  ""Not Found""
)"),244.0)</f>
        <v>244</v>
      </c>
      <c r="AG214" s="292">
        <f>IFERROR(__xludf.DUMMYFUNCTION("IFERROR(
  INDEX(
    FILTER(
      'Juma Recording forms'!$G:$G,
      TRIM('Juma Recording forms'!$F:$F) = TRIM($B214),
      'Juma Recording forms'!$AA:$AA = 2
    ),
    1
  ),
  ""Not Found""
)"),235.0)</f>
        <v>235</v>
      </c>
      <c r="AH214" s="292">
        <f>IFERROR(__xludf.DUMMYFUNCTION("IFERROR(
  INDEX(
    FILTER(
      'Juma Recording forms'!$G:$G,
      TRIM('Juma Recording forms'!$F:$F) = TRIM($B214),
      'Juma Recording forms'!$AA:$AA = 3
    ),
    1
  ),
  ""Not Found""
)"),243.0)</f>
        <v>243</v>
      </c>
      <c r="AI214" s="292" t="str">
        <f>IFERROR(__xludf.DUMMYFUNCTION("IFERROR(
  INDEX(
    FILTER(
      'Juma Recording forms'!$G:$G,
      TRIM('Juma Recording forms'!$F:$F) = TRIM($B214),
      'Juma Recording forms'!$AA:$AA = 4
    ),
    1
  ),
  ""Not Found""
)"),"Not Found")</f>
        <v>Not Found</v>
      </c>
      <c r="AJ214" s="292" t="str">
        <f>IFERROR(__xludf.DUMMYFUNCTION("IFERROR(
  INDEX(
    FILTER(
      'Juma Recording forms'!$G:$G,
      TRIM('Juma Recording forms'!$F:$F) = TRIM($B214),
      'Juma Recording forms'!$AA:$AA = 5
    ),
    1
  ),
  ""Not Found""
)"),"Not Found")</f>
        <v>Not Found</v>
      </c>
      <c r="AK214" s="292" t="str">
        <f>IFERROR(__xludf.DUMMYFUNCTION("IFERROR(
  INDEX(
    FILTER(
      'Juma Recording forms'!$G:$G,
      TRIM('Juma Recording forms'!$F:$F) = TRIM($B214),
      'Juma Recording forms'!$AA:$AA = 6
    ),
    1
  ),
  ""Not Found""
)"),"Not Found")</f>
        <v>Not Found</v>
      </c>
      <c r="AL2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1!$E:$E"")=$B214) *
        (IMPORTRANGE(""https://docs.google.com/spreadsheets/d/161aHT6vVT3SLneTKD19N5qVWtnj_jIT8CSsOmUVKmaA/e"&amp;"dit?gid=1761053510"",
          ""Haris_Form responses 1!$AQ:$AQ"")=1)
      ),
      1
    ),
    ""0""
  ),
  ""Form not found""
)
"),"10")</f>
        <v>10</v>
      </c>
      <c r="AM2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1!$E:$E"")=$B214) *
        (IMPORTRANGE(""https://docs.google.com/spreadsheets/d/161aHT6vVT3SLneTKD19N5qVWtnj_jIT8CSsOmUVKmaA/e"&amp;"dit?gid=1761053510"",
          ""Haris_Form responses 1!$AQ:$AQ"")=2)
      ),
      1
    ),
    ""0""
  ),
  ""Form not found""
)
"),"10")</f>
        <v>10</v>
      </c>
      <c r="AN2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1!$E:$E"")=$B214) *
        (IMPORTRANGE(""https://docs.google.com/spreadsheets/d/161aHT6vVT3SLneTKD19N5qVWtnj_jIT8CSsOmUVKmaA/e"&amp;"dit?gid=1761053510"",
          ""Haris_Form responses 1!$AQ:$AQ"")=3)
      ),
      1
    ),
    ""0""
  ),
  ""Form not found""
)
"),"0")</f>
        <v>0</v>
      </c>
      <c r="AO2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1!$E:$E"")=$B214) *
        (IMPORTRANGE(""https://docs.google.com/spreadsheets/d/161aHT6vVT3SLneTKD19N5qVWtnj_jIT8CSsOmUVKmaA/e"&amp;"dit?gid=1761053510"",
          ""Haris_Form responses 1!$AQ:$AQ"")=4)
      ),
      1
    ),
    ""0""
  ),
  ""Form not found""
)
"),"Form not found")</f>
        <v>Form not found</v>
      </c>
      <c r="AP2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1!$E:$E"")=$B214) *
        (IMPORTRANGE(""https://docs.google.com/spreadsheets/d/161aHT6vVT3SLneTKD19N5qVWtnj_jIT8CSsOmUVKmaA/e"&amp;"dit?gid=1761053510"",
          ""Haris_Form responses 1!$AQ:$AQ"")=5)
      ),
      1
    ),
    ""0""
  ),
  ""Form not found""
)
"),"Form not found")</f>
        <v>Form not found</v>
      </c>
      <c r="AQ21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1!$E:$E"")=$B214) *
        (IMPORTRANGE(""https://docs.google.com/spreadsheets/d/161aHT6vVT3SLneTKD19N5qVWtnj_jIT8CSsOmUVKmaA/e"&amp;"dit?gid=1761053510"",
          ""Haris_Form responses 1!$AQ:$AQ"")=6)
      ),
      1
    ),
    ""0""
  ),
  ""Form not found""
)
"),"Form not found")</f>
        <v>Form not found</v>
      </c>
      <c r="AR2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1!$E:$E"")=$B214) *
        (IMPORTRANGE(""https://docs.google.com/spreadsheets/d/161aHT6vVT3SLneTKD19N5qVWtnj_jIT8CSsOmUVKmaA/e"&amp;"dit?gid=1761053510"",
          ""Haris_Form responses 1!$AQ:$AQ"")=1)
      ),
      1
    ),
    ""0""
  ),
  ""Form not found""
)
"),"0")</f>
        <v>0</v>
      </c>
      <c r="AS2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1!$E:$E"")=$B214) *
        (IMPORTRANGE(""https://docs.google.com/spreadsheets/d/161aHT6vVT3SLneTKD19N5qVWtnj_jIT8CSsOmUVKmaA/e"&amp;"dit?gid=1761053510"",
          ""Haris_Form responses 1!$AQ:$AQ"")=2)
      ),
      1
    ),
    ""0""
  ),
  ""Form not found""
)
"),"0")</f>
        <v>0</v>
      </c>
      <c r="AT2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1!$E:$E"")=$B214) *
        (IMPORTRANGE(""https://docs.google.com/spreadsheets/d/161aHT6vVT3SLneTKD19N5qVWtnj_jIT8CSsOmUVKmaA/e"&amp;"dit?gid=1761053510"",
          ""Haris_Form responses 1!$AQ:$AQ"")=3)
      ),
      1
    ),
    ""0""
  ),
  ""Form not found""
)
"),"0")</f>
        <v>0</v>
      </c>
      <c r="AU2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1!$E:$E"")=$B214) *
        (IMPORTRANGE(""https://docs.google.com/spreadsheets/d/161aHT6vVT3SLneTKD19N5qVWtnj_jIT8CSsOmUVKmaA/e"&amp;"dit?gid=1761053510"",
          ""Haris_Form responses 1!$AQ:$AQ"")=4)
      ),
      1
    ),
    ""0""
  ),
  ""Form not found""
)
"),"Form not found")</f>
        <v>Form not found</v>
      </c>
      <c r="AV2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1!$E:$E"")=$B214) *
        (IMPORTRANGE(""https://docs.google.com/spreadsheets/d/161aHT6vVT3SLneTKD19N5qVWtnj_jIT8CSsOmUVKmaA/e"&amp;"dit?gid=1761053510"",
          ""Haris_Form responses 1!$AQ:$AQ"")=5)
      ),
      1
    ),
    ""0""
  ),
  ""Form not found""
)
"),"Form not found")</f>
        <v>Form not found</v>
      </c>
      <c r="AW21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1!$E:$E"")=$B214) *
        (IMPORTRANGE(""https://docs.google.com/spreadsheets/d/161aHT6vVT3SLneTKD19N5qVWtnj_jIT8CSsOmUVKmaA/e"&amp;"dit?gid=1761053510"",
          ""Haris_Form responses 1!$AQ:$AQ"")=6)
      ),
      1
    ),
    ""0""
  ),
  ""Form not found""
)
"),"Form not found")</f>
        <v>Form not found</v>
      </c>
      <c r="AX2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1!$E:$E"")=$B214) *
        (IMPORTRANGE(""https://docs.google.com/spreadsheets/d/161aHT6vVT3SLneTKD19N5qVWtnj_jIT8CSsOmUVKmaA/e"&amp;"dit?gid=1761053510"",
          ""Haris_Form responses 1!$AQ:$AQ"")=1)
      ),
      1
    ),
    ""0""
  ),
  ""Form not found""
)
"),"10")</f>
        <v>10</v>
      </c>
      <c r="AY2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1!$E:$E"")=$B214) *
        (IMPORTRANGE(""https://docs.google.com/spreadsheets/d/161aHT6vVT3SLneTKD19N5qVWtnj_jIT8CSsOmUVKmaA/e"&amp;"dit?gid=1761053510"",
          ""Haris_Form responses 1!$AQ:$AQ"")=2)
      ),
      1
    ),
    ""0""
  ),
  ""Form not found""
)
"),"10")</f>
        <v>10</v>
      </c>
      <c r="AZ2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1!$E:$E"")=$B214) *
        (IMPORTRANGE(""https://docs.google.com/spreadsheets/d/161aHT6vVT3SLneTKD19N5qVWtnj_jIT8CSsOmUVKmaA/e"&amp;"dit?gid=1761053510"",
          ""Haris_Form responses 1!$AQ:$AQ"")=3)
      ),
      1
    ),
    ""0""
  ),
  ""Form not found""
)
"),"0")</f>
        <v>0</v>
      </c>
      <c r="BA2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1!$E:$E"")=$B214) *
        (IMPORTRANGE(""https://docs.google.com/spreadsheets/d/161aHT6vVT3SLneTKD19N5qVWtnj_jIT8CSsOmUVKmaA/e"&amp;"dit?gid=1761053510"",
          ""Haris_Form responses 1!$AQ:$AQ"")=4)
      ),
      1
    ),
    ""0""
  ),
  ""Form not found""
)
"),"Form not found")</f>
        <v>Form not found</v>
      </c>
      <c r="BB2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1!$E:$E"")=$B214) *
        (IMPORTRANGE(""https://docs.google.com/spreadsheets/d/161aHT6vVT3SLneTKD19N5qVWtnj_jIT8CSsOmUVKmaA/e"&amp;"dit?gid=1761053510"",
          ""Haris_Form responses 1!$AQ:$AQ"")=5)
      ),
      1
    ),
    ""0""
  ),
  ""Form not found""
)
"),"Form not found")</f>
        <v>Form not found</v>
      </c>
      <c r="BC21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1!$E:$E"")=$B214) *
        (IMPORTRANGE(""https://docs.google.com/spreadsheets/d/161aHT6vVT3SLneTKD19N5qVWtnj_jIT8CSsOmUVKmaA/e"&amp;"dit?gid=1761053510"",
          ""Haris_Form responses 1!$AQ:$AQ"")=6)
      ),
      1
    ),
    ""0""
  ),
  ""Form not found""
)
"),"Form not found")</f>
        <v>Form not found</v>
      </c>
      <c r="BD214" s="293"/>
    </row>
    <row r="215">
      <c r="A215" s="283" t="str">
        <f>IFERROR(__xludf.DUMMYFUNCTION("VLOOKUP($B215,IMPORTRANGE(""https://docs.google.com/spreadsheets/d/1VNXDITjs75AcgdBSW27oL1VZH31udDprJSsBcE5xlp4/edit?gid=1551188038#gid=1551188038"", ""Sheet9!$B:$E""),2,false)"),"Chistain")</f>
        <v>Chistain</v>
      </c>
      <c r="B215" s="283" t="s">
        <v>4656</v>
      </c>
      <c r="C215" s="284" t="str">
        <f>IFERROR(__xludf.DUMMYFUNCTION("VLOOKUP(TRIM($B215), IMPORTRANGE(""https://docs.google.com/spreadsheets/d/1aSOrU4PTpuBZqfitKaH1Rfww6-YOiNCKoBpPl8XBHaw/edit?gid=0#gid=0"", ""sheet3!$B:$C""), 2, FALSE)
"),"Jamia Masjid Haronabad Bahawal Nagar")</f>
        <v>Jamia Masjid Haronabad Bahawal Nagar</v>
      </c>
      <c r="D215" s="284" t="str">
        <f>IFERROR(__xludf.DUMMYFUNCTION("IFERROR(
  INDEX(
    FILTER(
      IMPORTRANGE(""1aSOrU4PTpuBZqfitKaH1Rfww6-YOiNCKoBpPl8XBHaw/edit?gid=0#gid=0"",""Sheet1!G:G""),
      IMPORTRANGE(""1aSOrU4PTpuBZqfitKaH1Rfww6-YOiNCKoBpPl8XBHaw/edit?gid=0#gid=0"",""Sheet1!C:C"")=$B215
    ),
    1
  ),
"&amp;"  ""Not Found""
)"),"Women Secular Info Share")</f>
        <v>Women Secular Info Share</v>
      </c>
      <c r="E215" s="284" t="str">
        <f>VLOOKUP(B215,'Juma Recording forms'!A:E,5,false)</f>
        <v>Jamia Masjid Haroon Abad</v>
      </c>
      <c r="F215" s="284" t="str">
        <f>IFERROR(__xludf.DUMMYFUNCTION("IFERROR(
  INDEX(
    FILTER(
      IMPORTRANGE(""1Cxrhp3-_-HS7v9uuqQliiIfrmMP4VaFoDNDWyUFy2J8/edit?gid=0#gid=0"",""Sheet1!Q:Q""),
      IMPORTRANGE(""1Cxrhp3-_-HS7v9uuqQliiIfrmMP4VaFoDNDWyUFy2J8/edit?gid=0#gid=0"",""Sheet1!K:K"")=$B215
    ),
    1
  ),
"&amp;"  ""Not Found""
)"),"Mufti Munawar Hassan")</f>
        <v>Mufti Munawar Hassan</v>
      </c>
      <c r="G215" s="284">
        <v>1940.0</v>
      </c>
      <c r="H215" s="284"/>
      <c r="I215" s="285" t="s">
        <v>197</v>
      </c>
      <c r="J215" s="286">
        <v>1.0</v>
      </c>
      <c r="K215" s="287" t="str">
        <f>VLOOKUP($B215,'Mosque Locations'!$A:$E,3,FALSE)
</f>
        <v>https://www.google.com/maps?q=29.6114403,73.1376496</v>
      </c>
      <c r="L215" s="286">
        <f>VLOOKUP($B215,'Mosque Locations'!$A:$E,4,FALSE)
</f>
        <v>29.61144</v>
      </c>
      <c r="M215" s="286">
        <f>VLOOKUP($B215,'Mosque Locations'!$A:$E,5,false)</f>
        <v>73.13765</v>
      </c>
      <c r="N215" s="288"/>
      <c r="O215" s="288"/>
      <c r="P215" s="288"/>
      <c r="Q215" s="290" t="str">
        <f>IFERROR(__xludf.DUMMYFUNCTION("IFERROR(
  INDEX(
    FILTER(
      IMPORTRANGE(""1kOrIKZmJfNUkgOVP3sI9BPjaaPA0_a4636oymQxTXg8"",""Form Responses 1!N:N""),
      TRIM(IMPORTRANGE(""1kOrIKZmJfNUkgOVP3sI9BPjaaPA0_a4636oymQxTXg8"",""Form Responses 1!F:F""))=TRIM($B215)
    ),
    1
  ),
  "&amp;"""Not Found""
)
"),"https://drive.google.com/open?id=1NL_fo4DI-lm5UqojODhkAFb-ItkHgGoo")</f>
        <v>https://drive.google.com/open?id=1NL_fo4DI-lm5UqojODhkAFb-ItkHgGoo</v>
      </c>
      <c r="R215" s="295" t="str">
        <f>IFERROR(__xludf.DUMMYFUNCTION("IFERROR(
  INDEX(
    FILTER(
      IMPORTRANGE(""1kOrIKZmJfNUkgOVP3sI9BPjaaPA0_a4636oymQxTXg8"",""Form Responses 1!M:M""),
      TRIM(IMPORTRANGE(""1kOrIKZmJfNUkgOVP3sI9BPjaaPA0_a4636oymQxTXg8"",""Form Responses 1!F:F""))=TRIM($B215)
    ),
    1
  ),
  "&amp;"""Not Found""
)
"),"https://drive.google.com/open?id=1p8TKmwQIaIdW58f-XMLBfrufhuj2EU-8")</f>
        <v>https://drive.google.com/open?id=1p8TKmwQIaIdW58f-XMLBfrufhuj2EU-8</v>
      </c>
      <c r="S215" s="285"/>
      <c r="T215" s="290" t="str">
        <f>VLOOKUP($B215,'Master Tracker'!D:E,2,false)</f>
        <v>https://drive.google.com/open?id=1RRuYRigdEBQ1eAosRzEFFYAigVO57g57</v>
      </c>
      <c r="U215" s="291" t="str">
        <f>VLOOKUP($B215,'Master Tracker'!$D:$T,4,FALSE)
</f>
        <v>https://drive.google.com/open?id=1uUem67rra_EdZESRoXxpVtqPYLoIBvD9Y9Zl_V9KVu8</v>
      </c>
      <c r="V215" s="290" t="str">
        <f>VLOOKUP($B215,'Master Tracker'!$D:$T,5,false)</f>
        <v>https://drive.google.com/open?id=1ntzhbyJ7wpu_vDB_WmZYfYhYINvf4h4K</v>
      </c>
      <c r="W215" s="291" t="str">
        <f>VLOOKUP($B215,'Master Tracker'!$D:$T,7,false)</f>
        <v>https://drive.google.com/open?id=1JfM4qvyedKhy36KyHdVLq2VWCmTUl2Uzf-fmwWS2dzQ</v>
      </c>
      <c r="X215" s="290" t="str">
        <f>VLOOKUP($B215,'Master Tracker'!$D:$T,8,false)</f>
        <v>https://drive.google.com/open?id=1gFTxcTQVsmZpd9TeLhS2tOMPiTlRcZ_h</v>
      </c>
      <c r="Y215" s="291" t="str">
        <f>VLOOKUP($B215,'Master Tracker'!$D:$T,10,false)</f>
        <v>https://drive.google.com/open?id=1IB0hy52FMLKmM51vquZPzWF0klZIH0jX</v>
      </c>
      <c r="Z215" s="284" t="str">
        <f>VLOOKUP($B215,'Master Tracker'!$D:$T,11,false)</f>
        <v>Not Found</v>
      </c>
      <c r="AA215" s="292" t="str">
        <f>VLOOKUP($B215,'Master Tracker'!$D:$T,13,false)</f>
        <v>Not Found</v>
      </c>
      <c r="AB215" s="284" t="str">
        <f>VLOOKUP($B215,'Master Tracker'!$D:$T,14,false)</f>
        <v>Not Found</v>
      </c>
      <c r="AC215" s="292" t="str">
        <f>VLOOKUP($B215,'Master Tracker'!$D:$T,16,false)</f>
        <v>Not Found</v>
      </c>
      <c r="AD215" s="292" t="str">
        <f>VLOOKUP($B215,'Master Tracker'!$D:$T,17,false)</f>
        <v>Not Found</v>
      </c>
      <c r="AE215" s="292" t="str">
        <f>VLOOKUP($B215,'Master Tracker'!$D:$V,19,false)</f>
        <v>Not Found</v>
      </c>
      <c r="AF215" s="292">
        <f>IFERROR(__xludf.DUMMYFUNCTION("IFERROR(
  INDEX(
    FILTER(
      'Juma Recording forms'!$G:$G,
      TRIM('Juma Recording forms'!$F:$F) = TRIM($B215),
      'Juma Recording forms'!$AA:$AA = 1
    ),
    1
  ),
  ""Not Found""
)"),400.0)</f>
        <v>400</v>
      </c>
      <c r="AG215" s="292">
        <f>IFERROR(__xludf.DUMMYFUNCTION("IFERROR(
  INDEX(
    FILTER(
      'Juma Recording forms'!$G:$G,
      TRIM('Juma Recording forms'!$F:$F) = TRIM($B215),
      'Juma Recording forms'!$AA:$AA = 2
    ),
    1
  ),
  ""Not Found""
)"),444.0)</f>
        <v>444</v>
      </c>
      <c r="AH215" s="292">
        <f>IFERROR(__xludf.DUMMYFUNCTION("IFERROR(
  INDEX(
    FILTER(
      'Juma Recording forms'!$G:$G,
      TRIM('Juma Recording forms'!$F:$F) = TRIM($B215),
      'Juma Recording forms'!$AA:$AA = 3
    ),
    1
  ),
  ""Not Found""
)"),480.0)</f>
        <v>480</v>
      </c>
      <c r="AI215" s="292" t="str">
        <f>IFERROR(__xludf.DUMMYFUNCTION("IFERROR(
  INDEX(
    FILTER(
      'Juma Recording forms'!$G:$G,
      TRIM('Juma Recording forms'!$F:$F) = TRIM($B215),
      'Juma Recording forms'!$AA:$AA = 4
    ),
    1
  ),
  ""Not Found""
)"),"Not Found")</f>
        <v>Not Found</v>
      </c>
      <c r="AJ215" s="292" t="str">
        <f>IFERROR(__xludf.DUMMYFUNCTION("IFERROR(
  INDEX(
    FILTER(
      'Juma Recording forms'!$G:$G,
      TRIM('Juma Recording forms'!$F:$F) = TRIM($B215),
      'Juma Recording forms'!$AA:$AA = 5
    ),
    1
  ),
  ""Not Found""
)"),"Not Found")</f>
        <v>Not Found</v>
      </c>
      <c r="AK215" s="292" t="str">
        <f>IFERROR(__xludf.DUMMYFUNCTION("IFERROR(
  INDEX(
    FILTER(
      'Juma Recording forms'!$G:$G,
      TRIM('Juma Recording forms'!$F:$F) = TRIM($B215),
      'Juma Recording forms'!$AA:$AA = 6
    ),
    1
  ),
  ""Not Found""
)"),"Not Found")</f>
        <v>Not Found</v>
      </c>
      <c r="AL2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1!$E:$E"")=$B215) *
        (IMPORTRANGE(""https://docs.google.com/spreadsheets/d/161aHT6vVT3SLneTKD19N5qVWtnj_jIT8CSsOmUVKmaA/e"&amp;"dit?gid=1761053510"",
          ""Haris_Form responses 1!$AQ:$AQ"")=1)
      ),
      1
    ),
    ""0""
  ),
  ""Form not found""
)
"),"7")</f>
        <v>7</v>
      </c>
      <c r="AM2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1!$E:$E"")=$B215) *
        (IMPORTRANGE(""https://docs.google.com/spreadsheets/d/161aHT6vVT3SLneTKD19N5qVWtnj_jIT8CSsOmUVKmaA/e"&amp;"dit?gid=1761053510"",
          ""Haris_Form responses 1!$AQ:$AQ"")=2)
      ),
      1
    ),
    ""0""
  ),
  ""Form not found""
)
"),"10")</f>
        <v>10</v>
      </c>
      <c r="AN2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1!$E:$E"")=$B215) *
        (IMPORTRANGE(""https://docs.google.com/spreadsheets/d/161aHT6vVT3SLneTKD19N5qVWtnj_jIT8CSsOmUVKmaA/e"&amp;"dit?gid=1761053510"",
          ""Haris_Form responses 1!$AQ:$AQ"")=3)
      ),
      1
    ),
    ""0""
  ),
  ""Form not found""
)
"),"0")</f>
        <v>0</v>
      </c>
      <c r="AO2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1!$E:$E"")=$B215) *
        (IMPORTRANGE(""https://docs.google.com/spreadsheets/d/161aHT6vVT3SLneTKD19N5qVWtnj_jIT8CSsOmUVKmaA/e"&amp;"dit?gid=1761053510"",
          ""Haris_Form responses 1!$AQ:$AQ"")=4)
      ),
      1
    ),
    ""0""
  ),
  ""Form not found""
)
"),"Form not found")</f>
        <v>Form not found</v>
      </c>
      <c r="AP2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1!$E:$E"")=$B215) *
        (IMPORTRANGE(""https://docs.google.com/spreadsheets/d/161aHT6vVT3SLneTKD19N5qVWtnj_jIT8CSsOmUVKmaA/e"&amp;"dit?gid=1761053510"",
          ""Haris_Form responses 1!$AQ:$AQ"")=5)
      ),
      1
    ),
    ""0""
  ),
  ""Form not found""
)
"),"Form not found")</f>
        <v>Form not found</v>
      </c>
      <c r="AQ21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1!$E:$E"")=$B215) *
        (IMPORTRANGE(""https://docs.google.com/spreadsheets/d/161aHT6vVT3SLneTKD19N5qVWtnj_jIT8CSsOmUVKmaA/e"&amp;"dit?gid=1761053510"",
          ""Haris_Form responses 1!$AQ:$AQ"")=6)
      ),
      1
    ),
    ""0""
  ),
  ""Form not found""
)
"),"Form not found")</f>
        <v>Form not found</v>
      </c>
      <c r="AR2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1!$E:$E"")=$B215) *
        (IMPORTRANGE(""https://docs.google.com/spreadsheets/d/161aHT6vVT3SLneTKD19N5qVWtnj_jIT8CSsOmUVKmaA/e"&amp;"dit?gid=1761053510"",
          ""Haris_Form responses 1!$AQ:$AQ"")=1)
      ),
      1
    ),
    ""0""
  ),
  ""Form not found""
)
"),"0")</f>
        <v>0</v>
      </c>
      <c r="AS2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1!$E:$E"")=$B215) *
        (IMPORTRANGE(""https://docs.google.com/spreadsheets/d/161aHT6vVT3SLneTKD19N5qVWtnj_jIT8CSsOmUVKmaA/e"&amp;"dit?gid=1761053510"",
          ""Haris_Form responses 1!$AQ:$AQ"")=2)
      ),
      1
    ),
    ""0""
  ),
  ""Form not found""
)
"),"0")</f>
        <v>0</v>
      </c>
      <c r="AT2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1!$E:$E"")=$B215) *
        (IMPORTRANGE(""https://docs.google.com/spreadsheets/d/161aHT6vVT3SLneTKD19N5qVWtnj_jIT8CSsOmUVKmaA/e"&amp;"dit?gid=1761053510"",
          ""Haris_Form responses 1!$AQ:$AQ"")=3)
      ),
      1
    ),
    ""0""
  ),
  ""Form not found""
)
"),"0")</f>
        <v>0</v>
      </c>
      <c r="AU2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1!$E:$E"")=$B215) *
        (IMPORTRANGE(""https://docs.google.com/spreadsheets/d/161aHT6vVT3SLneTKD19N5qVWtnj_jIT8CSsOmUVKmaA/e"&amp;"dit?gid=1761053510"",
          ""Haris_Form responses 1!$AQ:$AQ"")=4)
      ),
      1
    ),
    ""0""
  ),
  ""Form not found""
)
"),"Form not found")</f>
        <v>Form not found</v>
      </c>
      <c r="AV2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1!$E:$E"")=$B215) *
        (IMPORTRANGE(""https://docs.google.com/spreadsheets/d/161aHT6vVT3SLneTKD19N5qVWtnj_jIT8CSsOmUVKmaA/e"&amp;"dit?gid=1761053510"",
          ""Haris_Form responses 1!$AQ:$AQ"")=5)
      ),
      1
    ),
    ""0""
  ),
  ""Form not found""
)
"),"Form not found")</f>
        <v>Form not found</v>
      </c>
      <c r="AW21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1!$E:$E"")=$B215) *
        (IMPORTRANGE(""https://docs.google.com/spreadsheets/d/161aHT6vVT3SLneTKD19N5qVWtnj_jIT8CSsOmUVKmaA/e"&amp;"dit?gid=1761053510"",
          ""Haris_Form responses 1!$AQ:$AQ"")=6)
      ),
      1
    ),
    ""0""
  ),
  ""Form not found""
)
"),"Form not found")</f>
        <v>Form not found</v>
      </c>
      <c r="AX2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1!$E:$E"")=$B215) *
        (IMPORTRANGE(""https://docs.google.com/spreadsheets/d/161aHT6vVT3SLneTKD19N5qVWtnj_jIT8CSsOmUVKmaA/e"&amp;"dit?gid=1761053510"",
          ""Haris_Form responses 1!$AQ:$AQ"")=1)
      ),
      1
    ),
    ""0""
  ),
  ""Form not found""
)
"),"7")</f>
        <v>7</v>
      </c>
      <c r="AY2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1!$E:$E"")=$B215) *
        (IMPORTRANGE(""https://docs.google.com/spreadsheets/d/161aHT6vVT3SLneTKD19N5qVWtnj_jIT8CSsOmUVKmaA/e"&amp;"dit?gid=1761053510"",
          ""Haris_Form responses 1!$AQ:$AQ"")=2)
      ),
      1
    ),
    ""0""
  ),
  ""Form not found""
)
"),"10")</f>
        <v>10</v>
      </c>
      <c r="AZ2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1!$E:$E"")=$B215) *
        (IMPORTRANGE(""https://docs.google.com/spreadsheets/d/161aHT6vVT3SLneTKD19N5qVWtnj_jIT8CSsOmUVKmaA/e"&amp;"dit?gid=1761053510"",
          ""Haris_Form responses 1!$AQ:$AQ"")=3)
      ),
      1
    ),
    ""0""
  ),
  ""Form not found""
)
"),"0")</f>
        <v>0</v>
      </c>
      <c r="BA2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1!$E:$E"")=$B215) *
        (IMPORTRANGE(""https://docs.google.com/spreadsheets/d/161aHT6vVT3SLneTKD19N5qVWtnj_jIT8CSsOmUVKmaA/e"&amp;"dit?gid=1761053510"",
          ""Haris_Form responses 1!$AQ:$AQ"")=4)
      ),
      1
    ),
    ""0""
  ),
  ""Form not found""
)
"),"Form not found")</f>
        <v>Form not found</v>
      </c>
      <c r="BB2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1!$E:$E"")=$B215) *
        (IMPORTRANGE(""https://docs.google.com/spreadsheets/d/161aHT6vVT3SLneTKD19N5qVWtnj_jIT8CSsOmUVKmaA/e"&amp;"dit?gid=1761053510"",
          ""Haris_Form responses 1!$AQ:$AQ"")=5)
      ),
      1
    ),
    ""0""
  ),
  ""Form not found""
)
"),"Form not found")</f>
        <v>Form not found</v>
      </c>
      <c r="BC21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1!$E:$E"")=$B215) *
        (IMPORTRANGE(""https://docs.google.com/spreadsheets/d/161aHT6vVT3SLneTKD19N5qVWtnj_jIT8CSsOmUVKmaA/e"&amp;"dit?gid=1761053510"",
          ""Haris_Form responses 1!$AQ:$AQ"")=6)
      ),
      1
    ),
    ""0""
  ),
  ""Form not found""
)
"),"Form not found")</f>
        <v>Form not found</v>
      </c>
      <c r="BD215" s="293"/>
    </row>
    <row r="216">
      <c r="A216" s="283" t="str">
        <f>IFERROR(__xludf.DUMMYFUNCTION("VLOOKUP($B216,IMPORTRANGE(""https://docs.google.com/spreadsheets/d/1VNXDITjs75AcgdBSW27oL1VZH31udDprJSsBcE5xlp4/edit?gid=1551188038#gid=1551188038"", ""Sheet9!$B:$E""),2,false)"),"Chistain")</f>
        <v>Chistain</v>
      </c>
      <c r="B216" s="283" t="s">
        <v>4657</v>
      </c>
      <c r="C216" s="284" t="str">
        <f>IFERROR(__xludf.DUMMYFUNCTION("VLOOKUP(TRIM($B216), IMPORTRANGE(""https://docs.google.com/spreadsheets/d/1aSOrU4PTpuBZqfitKaH1Rfww6-YOiNCKoBpPl8XBHaw/edit?gid=0#gid=0"", ""sheet3!$B:$C""), 2, FALSE)
"),"Jamia Masjid Darbar Khawaja Noor Muhammad Maharwi")</f>
        <v>Jamia Masjid Darbar Khawaja Noor Muhammad Maharwi</v>
      </c>
      <c r="D216" s="284" t="str">
        <f>IFERROR(__xludf.DUMMYFUNCTION("IFERROR(
  INDEX(
    FILTER(
      IMPORTRANGE(""1aSOrU4PTpuBZqfitKaH1Rfww6-YOiNCKoBpPl8XBHaw/edit?gid=0#gid=0"",""Sheet1!G:G""),
      IMPORTRANGE(""1aSOrU4PTpuBZqfitKaH1Rfww6-YOiNCKoBpPl8XBHaw/edit?gid=0#gid=0"",""Sheet1!C:C"")=$B216
    ),
    1
  ),
"&amp;"  ""Not Found""
)"),"Control")</f>
        <v>Control</v>
      </c>
      <c r="E216" s="284" t="str">
        <f>VLOOKUP(B216,'Juma Recording forms'!A:E,5,false)</f>
        <v>Jamia Masjid Khwaja Noor Mohammad Maharvi</v>
      </c>
      <c r="F216" s="284" t="str">
        <f>IFERROR(__xludf.DUMMYFUNCTION("IFERROR(
  INDEX(
    FILTER(
      IMPORTRANGE(""1Cxrhp3-_-HS7v9uuqQliiIfrmMP4VaFoDNDWyUFy2J8/edit?gid=0#gid=0"",""Sheet1!Q:Q""),
      IMPORTRANGE(""1Cxrhp3-_-HS7v9uuqQliiIfrmMP4VaFoDNDWyUFy2J8/edit?gid=0#gid=0"",""Sheet1!K:K"")=$B216
    ),
    1
  ),
"&amp;"  ""Not Found""
)"),"Not Found")</f>
        <v>Not Found</v>
      </c>
      <c r="G216" s="292">
        <v>1266.0</v>
      </c>
      <c r="H216" s="284"/>
      <c r="I216" s="285" t="s">
        <v>197</v>
      </c>
      <c r="J216" s="286">
        <v>1.0</v>
      </c>
      <c r="K216" s="287" t="str">
        <f>VLOOKUP($B216,'Mosque Locations'!$A:$E,3,FALSE)
</f>
        <v>https://www.google.com/maps?q=29.8028953,72.8406527</v>
      </c>
      <c r="L216" s="286">
        <f>VLOOKUP($B216,'Mosque Locations'!$A:$E,4,FALSE)
</f>
        <v>29.8029</v>
      </c>
      <c r="M216" s="286">
        <f>VLOOKUP($B216,'Mosque Locations'!$A:$E,5,false)</f>
        <v>72.84065</v>
      </c>
      <c r="N216" s="288"/>
      <c r="O216" s="288"/>
      <c r="P216" s="288"/>
      <c r="Q216" s="290" t="str">
        <f>IFERROR(__xludf.DUMMYFUNCTION("IFERROR(
  INDEX(
    FILTER(
      IMPORTRANGE(""1kOrIKZmJfNUkgOVP3sI9BPjaaPA0_a4636oymQxTXg8"",""Form Responses 1!N:N""),
      TRIM(IMPORTRANGE(""1kOrIKZmJfNUkgOVP3sI9BPjaaPA0_a4636oymQxTXg8"",""Form Responses 1!F:F""))=TRIM($B216)
    ),
    1
  ),
  "&amp;"""Not Found""
)
"),"https://drive.google.com/open?id=1MMnorbHxRBHfUHSNTStd94v3A7BJGWRI")</f>
        <v>https://drive.google.com/open?id=1MMnorbHxRBHfUHSNTStd94v3A7BJGWRI</v>
      </c>
      <c r="R216" s="290" t="str">
        <f>IFERROR(__xludf.DUMMYFUNCTION("IFERROR(
  INDEX(
    FILTER(
      IMPORTRANGE(""1kOrIKZmJfNUkgOVP3sI9BPjaaPA0_a4636oymQxTXg8"",""Form Responses 1!M:M""),
      TRIM(IMPORTRANGE(""1kOrIKZmJfNUkgOVP3sI9BPjaaPA0_a4636oymQxTXg8"",""Form Responses 1!F:F""))=TRIM($B216)
    ),
    1
  ),
  "&amp;"""Not Found""
)
"),"https://drive.google.com/open?id=1Anw26pThViqLKb3fUDZk8oso3JRKiIk1")</f>
        <v>https://drive.google.com/open?id=1Anw26pThViqLKb3fUDZk8oso3JRKiIk1</v>
      </c>
      <c r="S216" s="285"/>
      <c r="T216" s="290" t="str">
        <f>VLOOKUP($B216,'Master Tracker'!D:E,2,false)</f>
        <v>https://drive.google.com/open?id=1fvsYYdPXIFUBw63c0vi8q5EL3aqpfly5</v>
      </c>
      <c r="U216" s="291" t="str">
        <f>VLOOKUP($B216,'Master Tracker'!$D:$T,4,FALSE)
</f>
        <v>https://drive.google.com/open?id=1febCY2aSF61QRwRlt9yNGByNnyPcVw6T2NRT3uhtvAU</v>
      </c>
      <c r="V216" s="284" t="str">
        <f>VLOOKUP($B216,'Master Tracker'!$D:$T,5,false)</f>
        <v>Not Found</v>
      </c>
      <c r="W216" s="292" t="str">
        <f>VLOOKUP($B216,'Master Tracker'!$D:$T,7,false)</f>
        <v>Not Found</v>
      </c>
      <c r="X216" s="290" t="str">
        <f>VLOOKUP($B216,'Master Tracker'!$D:$T,8,false)</f>
        <v>https://drive.google.com/open?id=1wSkSScD5iq_pCrYYrKlmB_OsjxLaVBOh</v>
      </c>
      <c r="Y216" s="291" t="str">
        <f>VLOOKUP($B216,'Master Tracker'!$D:$T,10,false)</f>
        <v>https://drive.google.com/open?id=1shnJitRIFu7-g6eKrNkSbo5ZxwnTLJPR8GYTliSrlfA</v>
      </c>
      <c r="Z216" s="284" t="str">
        <f>VLOOKUP($B216,'Master Tracker'!$D:$T,11,false)</f>
        <v>Not Found</v>
      </c>
      <c r="AA216" s="292" t="str">
        <f>VLOOKUP($B216,'Master Tracker'!$D:$T,13,false)</f>
        <v>Not Found</v>
      </c>
      <c r="AB216" s="284" t="str">
        <f>VLOOKUP($B216,'Master Tracker'!$D:$T,14,false)</f>
        <v>Not Found</v>
      </c>
      <c r="AC216" s="292" t="str">
        <f>VLOOKUP($B216,'Master Tracker'!$D:$T,16,false)</f>
        <v>Not Found</v>
      </c>
      <c r="AD216" s="292" t="str">
        <f>VLOOKUP($B216,'Master Tracker'!$D:$T,17,false)</f>
        <v>Not Found</v>
      </c>
      <c r="AE216" s="292" t="str">
        <f>VLOOKUP($B216,'Master Tracker'!$D:$V,19,false)</f>
        <v>Not Found</v>
      </c>
      <c r="AF216" s="292">
        <f>IFERROR(__xludf.DUMMYFUNCTION("IFERROR(
  INDEX(
    FILTER(
      'Juma Recording forms'!$G:$G,
      TRIM('Juma Recording forms'!$F:$F) = TRIM($B216),
      'Juma Recording forms'!$AA:$AA = 1
    ),
    1
  ),
  ""Not Found""
)"),1753.0)</f>
        <v>1753</v>
      </c>
      <c r="AG216" s="292" t="str">
        <f>IFERROR(__xludf.DUMMYFUNCTION("IFERROR(
  INDEX(
    FILTER(
      'Juma Recording forms'!$G:$G,
      TRIM('Juma Recording forms'!$F:$F) = TRIM($B216),
      'Juma Recording forms'!$AA:$AA = 2
    ),
    1
  ),
  ""Not Found""
)"),"Not Found")</f>
        <v>Not Found</v>
      </c>
      <c r="AH216" s="292">
        <f>IFERROR(__xludf.DUMMYFUNCTION("IFERROR(
  INDEX(
    FILTER(
      'Juma Recording forms'!$G:$G,
      TRIM('Juma Recording forms'!$F:$F) = TRIM($B216),
      'Juma Recording forms'!$AA:$AA = 3
    ),
    1
  ),
  ""Not Found""
)"),1749.0)</f>
        <v>1749</v>
      </c>
      <c r="AI216" s="292" t="str">
        <f>IFERROR(__xludf.DUMMYFUNCTION("IFERROR(
  INDEX(
    FILTER(
      'Juma Recording forms'!$G:$G,
      TRIM('Juma Recording forms'!$F:$F) = TRIM($B216),
      'Juma Recording forms'!$AA:$AA = 4
    ),
    1
  ),
  ""Not Found""
)"),"Not Found")</f>
        <v>Not Found</v>
      </c>
      <c r="AJ216" s="292" t="str">
        <f>IFERROR(__xludf.DUMMYFUNCTION("IFERROR(
  INDEX(
    FILTER(
      'Juma Recording forms'!$G:$G,
      TRIM('Juma Recording forms'!$F:$F) = TRIM($B216),
      'Juma Recording forms'!$AA:$AA = 5
    ),
    1
  ),
  ""Not Found""
)"),"Not Found")</f>
        <v>Not Found</v>
      </c>
      <c r="AK216" s="292"/>
      <c r="AL2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1!$E:$E"")=$B216) *
        (IMPORTRANGE(""https://docs.google.com/spreadsheets/d/161aHT6vVT3SLneTKD19N5qVWtnj_jIT8CSsOmUVKmaA/e"&amp;"dit?gid=1761053510"",
          ""Haris_Form responses 1!$AQ:$AQ"")=1)
      ),
      1
    ),
    ""0""
  ),
  ""Form not found""
)
"),"0")</f>
        <v>0</v>
      </c>
      <c r="AM2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1!$E:$E"")=$B216) *
        (IMPORTRANGE(""https://docs.google.com/spreadsheets/d/161aHT6vVT3SLneTKD19N5qVWtnj_jIT8CSsOmUVKmaA/e"&amp;"dit?gid=1761053510"",
          ""Haris_Form responses 1!$AQ:$AQ"")=2)
      ),
      1
    ),
    ""0""
  ),
  ""Form not found""
)
"),"Form not found")</f>
        <v>Form not found</v>
      </c>
      <c r="AN2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1!$E:$E"")=$B216) *
        (IMPORTRANGE(""https://docs.google.com/spreadsheets/d/161aHT6vVT3SLneTKD19N5qVWtnj_jIT8CSsOmUVKmaA/e"&amp;"dit?gid=1761053510"",
          ""Haris_Form responses 1!$AQ:$AQ"")=3)
      ),
      1
    ),
    ""0""
  ),
  ""Form not found""
)
"),"0")</f>
        <v>0</v>
      </c>
      <c r="AO2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1!$E:$E"")=$B216) *
        (IMPORTRANGE(""https://docs.google.com/spreadsheets/d/161aHT6vVT3SLneTKD19N5qVWtnj_jIT8CSsOmUVKmaA/e"&amp;"dit?gid=1761053510"",
          ""Haris_Form responses 1!$AQ:$AQ"")=4)
      ),
      1
    ),
    ""0""
  ),
  ""Form not found""
)
"),"Form not found")</f>
        <v>Form not found</v>
      </c>
      <c r="AP2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1!$E:$E"")=$B216) *
        (IMPORTRANGE(""https://docs.google.com/spreadsheets/d/161aHT6vVT3SLneTKD19N5qVWtnj_jIT8CSsOmUVKmaA/e"&amp;"dit?gid=1761053510"",
          ""Haris_Form responses 1!$AQ:$AQ"")=5)
      ),
      1
    ),
    ""0""
  ),
  ""Form not found""
)
"),"Form not found")</f>
        <v>Form not found</v>
      </c>
      <c r="AQ21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1!$E:$E"")=$B216) *
        (IMPORTRANGE(""https://docs.google.com/spreadsheets/d/161aHT6vVT3SLneTKD19N5qVWtnj_jIT8CSsOmUVKmaA/e"&amp;"dit?gid=1761053510"",
          ""Haris_Form responses 1!$AQ:$AQ"")=6)
      ),
      1
    ),
    ""0""
  ),
  ""Form not found""
)
"),"Form not found")</f>
        <v>Form not found</v>
      </c>
      <c r="AR2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1!$E:$E"")=$B216) *
        (IMPORTRANGE(""https://docs.google.com/spreadsheets/d/161aHT6vVT3SLneTKD19N5qVWtnj_jIT8CSsOmUVKmaA/e"&amp;"dit?gid=1761053510"",
          ""Haris_Form responses 1!$AQ:$AQ"")=1)
      ),
      1
    ),
    ""0""
  ),
  ""Form not found""
)
"),"2")</f>
        <v>2</v>
      </c>
      <c r="AS2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1!$E:$E"")=$B216) *
        (IMPORTRANGE(""https://docs.google.com/spreadsheets/d/161aHT6vVT3SLneTKD19N5qVWtnj_jIT8CSsOmUVKmaA/e"&amp;"dit?gid=1761053510"",
          ""Haris_Form responses 1!$AQ:$AQ"")=2)
      ),
      1
    ),
    ""0""
  ),
  ""Form not found""
)
"),"Form not found")</f>
        <v>Form not found</v>
      </c>
      <c r="AT2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1!$E:$E"")=$B216) *
        (IMPORTRANGE(""https://docs.google.com/spreadsheets/d/161aHT6vVT3SLneTKD19N5qVWtnj_jIT8CSsOmUVKmaA/e"&amp;"dit?gid=1761053510"",
          ""Haris_Form responses 1!$AQ:$AQ"")=3)
      ),
      1
    ),
    ""0""
  ),
  ""Form not found""
)
"),"0")</f>
        <v>0</v>
      </c>
      <c r="AU2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1!$E:$E"")=$B216) *
        (IMPORTRANGE(""https://docs.google.com/spreadsheets/d/161aHT6vVT3SLneTKD19N5qVWtnj_jIT8CSsOmUVKmaA/e"&amp;"dit?gid=1761053510"",
          ""Haris_Form responses 1!$AQ:$AQ"")=4)
      ),
      1
    ),
    ""0""
  ),
  ""Form not found""
)
"),"Form not found")</f>
        <v>Form not found</v>
      </c>
      <c r="AV2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1!$E:$E"")=$B216) *
        (IMPORTRANGE(""https://docs.google.com/spreadsheets/d/161aHT6vVT3SLneTKD19N5qVWtnj_jIT8CSsOmUVKmaA/e"&amp;"dit?gid=1761053510"",
          ""Haris_Form responses 1!$AQ:$AQ"")=5)
      ),
      1
    ),
    ""0""
  ),
  ""Form not found""
)
"),"Form not found")</f>
        <v>Form not found</v>
      </c>
      <c r="AW21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1!$E:$E"")=$B216) *
        (IMPORTRANGE(""https://docs.google.com/spreadsheets/d/161aHT6vVT3SLneTKD19N5qVWtnj_jIT8CSsOmUVKmaA/e"&amp;"dit?gid=1761053510"",
          ""Haris_Form responses 1!$AQ:$AQ"")=6)
      ),
      1
    ),
    ""0""
  ),
  ""Form not found""
)
"),"Form not found")</f>
        <v>Form not found</v>
      </c>
      <c r="AX2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1!$E:$E"")=$B216) *
        (IMPORTRANGE(""https://docs.google.com/spreadsheets/d/161aHT6vVT3SLneTKD19N5qVWtnj_jIT8CSsOmUVKmaA/e"&amp;"dit?gid=1761053510"",
          ""Haris_Form responses 1!$AQ:$AQ"")=1)
      ),
      1
    ),
    ""0""
  ),
  ""Form not found""
)
"),"0")</f>
        <v>0</v>
      </c>
      <c r="AY2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1!$E:$E"")=$B216) *
        (IMPORTRANGE(""https://docs.google.com/spreadsheets/d/161aHT6vVT3SLneTKD19N5qVWtnj_jIT8CSsOmUVKmaA/e"&amp;"dit?gid=1761053510"",
          ""Haris_Form responses 1!$AQ:$AQ"")=2)
      ),
      1
    ),
    ""0""
  ),
  ""Form not found""
)
"),"Form not found")</f>
        <v>Form not found</v>
      </c>
      <c r="AZ2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1!$E:$E"")=$B216) *
        (IMPORTRANGE(""https://docs.google.com/spreadsheets/d/161aHT6vVT3SLneTKD19N5qVWtnj_jIT8CSsOmUVKmaA/e"&amp;"dit?gid=1761053510"",
          ""Haris_Form responses 1!$AQ:$AQ"")=3)
      ),
      1
    ),
    ""0""
  ),
  ""Form not found""
)
"),"0")</f>
        <v>0</v>
      </c>
      <c r="BA2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1!$E:$E"")=$B216) *
        (IMPORTRANGE(""https://docs.google.com/spreadsheets/d/161aHT6vVT3SLneTKD19N5qVWtnj_jIT8CSsOmUVKmaA/e"&amp;"dit?gid=1761053510"",
          ""Haris_Form responses 1!$AQ:$AQ"")=4)
      ),
      1
    ),
    ""0""
  ),
  ""Form not found""
)
"),"Form not found")</f>
        <v>Form not found</v>
      </c>
      <c r="BB2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1!$E:$E"")=$B216) *
        (IMPORTRANGE(""https://docs.google.com/spreadsheets/d/161aHT6vVT3SLneTKD19N5qVWtnj_jIT8CSsOmUVKmaA/e"&amp;"dit?gid=1761053510"",
          ""Haris_Form responses 1!$AQ:$AQ"")=5)
      ),
      1
    ),
    ""0""
  ),
  ""Form not found""
)
"),"Form not found")</f>
        <v>Form not found</v>
      </c>
      <c r="BC21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1!$E:$E"")=$B216) *
        (IMPORTRANGE(""https://docs.google.com/spreadsheets/d/161aHT6vVT3SLneTKD19N5qVWtnj_jIT8CSsOmUVKmaA/e"&amp;"dit?gid=1761053510"",
          ""Haris_Form responses 1!$AQ:$AQ"")=6)
      ),
      1
    ),
    ""0""
  ),
  ""Form not found""
)
"),"Form not found")</f>
        <v>Form not found</v>
      </c>
      <c r="BD216" s="293"/>
    </row>
    <row r="217">
      <c r="A217" s="283" t="str">
        <f>IFERROR(__xludf.DUMMYFUNCTION("VLOOKUP($B217,IMPORTRANGE(""https://docs.google.com/spreadsheets/d/1VNXDITjs75AcgdBSW27oL1VZH31udDprJSsBcE5xlp4/edit?gid=1551188038#gid=1551188038"", ""Sheet9!$B:$E""),2,false)"),"Chistain")</f>
        <v>Chistain</v>
      </c>
      <c r="B217" s="283" t="s">
        <v>4658</v>
      </c>
      <c r="C217" s="284" t="str">
        <f>IFERROR(__xludf.DUMMYFUNCTION("VLOOKUP(TRIM($B217), IMPORTRANGE(""https://docs.google.com/spreadsheets/d/1aSOrU4PTpuBZqfitKaH1Rfww6-YOiNCKoBpPl8XBHaw/edit?gid=0#gid=0"", ""sheet3!$B:$C""), 2, FALSE)
"),"Jamia Masjid Baba Taj Ul Din Sarwar Chasti")</f>
        <v>Jamia Masjid Baba Taj Ul Din Sarwar Chasti</v>
      </c>
      <c r="D217" s="284" t="str">
        <f>IFERROR(__xludf.DUMMYFUNCTION("IFERROR(
  INDEX(
    FILTER(
      IMPORTRANGE(""1aSOrU4PTpuBZqfitKaH1Rfww6-YOiNCKoBpPl8XBHaw/edit?gid=0#gid=0"",""Sheet1!G:G""),
      IMPORTRANGE(""1aSOrU4PTpuBZqfitKaH1Rfww6-YOiNCKoBpPl8XBHaw/edit?gid=0#gid=0"",""Sheet1!C:C"")=$B217
    ),
    1
  ),
"&amp;"  ""Not Found""
)"),"Women Secular No Info Share")</f>
        <v>Women Secular No Info Share</v>
      </c>
      <c r="E217" s="284" t="str">
        <f>VLOOKUP(B217,'Juma Recording forms'!A:E,5,false)</f>
        <v>#N/A</v>
      </c>
      <c r="F217" s="284" t="str">
        <f>IFERROR(__xludf.DUMMYFUNCTION("IFERROR(
  INDEX(
    FILTER(
      IMPORTRANGE(""1Cxrhp3-_-HS7v9uuqQliiIfrmMP4VaFoDNDWyUFy2J8/edit?gid=0#gid=0"",""Sheet1!Q:Q""),
      IMPORTRANGE(""1Cxrhp3-_-HS7v9uuqQliiIfrmMP4VaFoDNDWyUFy2J8/edit?gid=0#gid=0"",""Sheet1!K:K"")=$B217
    ),
    1
  ),
"&amp;"  ""Not Found""
)"),"Not Found")</f>
        <v>Not Found</v>
      </c>
      <c r="G217" s="292">
        <v>1955.0</v>
      </c>
      <c r="H217" s="284"/>
      <c r="I217" s="285" t="s">
        <v>197</v>
      </c>
      <c r="J217" s="286">
        <v>2.0</v>
      </c>
      <c r="K217" s="287" t="str">
        <f>VLOOKUP($B217,'Mosque Locations'!$A:$E,3,FALSE)
</f>
        <v>https://www.google.com/maps?q=29.7979656,72.8443663</v>
      </c>
      <c r="L217" s="286">
        <f>VLOOKUP($B217,'Mosque Locations'!$A:$E,4,FALSE)
</f>
        <v>29.79797</v>
      </c>
      <c r="M217" s="286">
        <f>VLOOKUP($B217,'Mosque Locations'!$A:$E,5,false)</f>
        <v>72.84437</v>
      </c>
      <c r="N217" s="288"/>
      <c r="O217" s="288"/>
      <c r="P217" s="288"/>
      <c r="Q217" s="295" t="str">
        <f>IFERROR(__xludf.DUMMYFUNCTION("IFERROR(
  INDEX(
    FILTER(
      IMPORTRANGE(""1kOrIKZmJfNUkgOVP3sI9BPjaaPA0_a4636oymQxTXg8"",""Form Responses 1!N:N""),
      TRIM(IMPORTRANGE(""1kOrIKZmJfNUkgOVP3sI9BPjaaPA0_a4636oymQxTXg8"",""Form Responses 1!F:F""))=TRIM($B217)
    ),
    1
  ),
  "&amp;"""Not Found""
)
"),"https://drive.google.com/open?id=1yvpKW67-BNIp8bPEDDyiylzC83AcRU0s")</f>
        <v>https://drive.google.com/open?id=1yvpKW67-BNIp8bPEDDyiylzC83AcRU0s</v>
      </c>
      <c r="R217" s="295" t="str">
        <f>IFERROR(__xludf.DUMMYFUNCTION("IFERROR(
  INDEX(
    FILTER(
      IMPORTRANGE(""1kOrIKZmJfNUkgOVP3sI9BPjaaPA0_a4636oymQxTXg8"",""Form Responses 1!M:M""),
      TRIM(IMPORTRANGE(""1kOrIKZmJfNUkgOVP3sI9BPjaaPA0_a4636oymQxTXg8"",""Form Responses 1!F:F""))=TRIM($B217)
    ),
    1
  ),
  "&amp;"""Not Found""
)
"),"https://drive.google.com/open?id=1R3fxpn_npEj09fn1UO-VN_956i3JXxDW")</f>
        <v>https://drive.google.com/open?id=1R3fxpn_npEj09fn1UO-VN_956i3JXxDW</v>
      </c>
      <c r="S217" s="285"/>
      <c r="T217" s="290" t="str">
        <f>VLOOKUP($B217,'Master Tracker'!D:E,2,false)</f>
        <v>https://drive.google.com/open?id=1Q-5HDO_cbndN4lTHR89xMHFb9DLnzUWR</v>
      </c>
      <c r="U217" s="291" t="str">
        <f>VLOOKUP($B217,'Master Tracker'!$D:$T,4,FALSE)
</f>
        <v>https://drive.google.com/open?id=1sRQR_0M05dUMTtSsj3weZkjs1UPfhyik3oynMq3Ux4k</v>
      </c>
      <c r="V217" s="290" t="str">
        <f>VLOOKUP($B217,'Master Tracker'!$D:$T,5,false)</f>
        <v>https://drive.google.com/open?id=1rXmDEPREbD9E5sJh176fZA1PdYvctyWA</v>
      </c>
      <c r="W217" s="291" t="str">
        <f>VLOOKUP($B217,'Master Tracker'!$D:$T,7,false)</f>
        <v>https://drive.google.com/open?id=1loB4iqMgTtD_0lLOimq9N499FZLlmqVe</v>
      </c>
      <c r="X217" s="290" t="str">
        <f>VLOOKUP($B217,'Master Tracker'!$D:$T,8,false)</f>
        <v>https://drive.google.com/open?id=1QamI7P1lnMt6V4OcFtvqC34ma1KkTFoA</v>
      </c>
      <c r="Y217" s="291" t="str">
        <f>VLOOKUP($B217,'Master Tracker'!$D:$T,10,false)</f>
        <v>https://drive.google.com/open?id=1qYnAwBIylfVw0xTqZ-8yK6cJeULtCaft</v>
      </c>
      <c r="Z217" s="290" t="str">
        <f>VLOOKUP($B217,'Master Tracker'!$D:$T,11,false)</f>
        <v>https://drive.google.com/open?id=1k0hDPwa_cwn8s4n4On5LYy4RWb6jjlIb</v>
      </c>
      <c r="AA217" s="291" t="str">
        <f>VLOOKUP($B217,'Master Tracker'!$D:$T,13,false)</f>
        <v>https://drive.google.com/open?id=1KdcJibQGKmHoENwLMTvZckGar44N5Y4P</v>
      </c>
      <c r="AB217" s="284" t="str">
        <f>VLOOKUP($B217,'Master Tracker'!$D:$T,14,false)</f>
        <v>Not Found</v>
      </c>
      <c r="AC217" s="292" t="str">
        <f>VLOOKUP($B217,'Master Tracker'!$D:$T,16,false)</f>
        <v>Not Found</v>
      </c>
      <c r="AD217" s="292" t="str">
        <f>VLOOKUP($B217,'Master Tracker'!$D:$T,17,false)</f>
        <v>Not Found</v>
      </c>
      <c r="AE217" s="292" t="str">
        <f>VLOOKUP($B217,'Master Tracker'!$D:$V,19,false)</f>
        <v>Not Found</v>
      </c>
      <c r="AF217" s="292">
        <f>IFERROR(__xludf.DUMMYFUNCTION("IFERROR(
  INDEX(
    FILTER(
      'Juma Recording forms'!$G:$G,
      TRIM('Juma Recording forms'!$F:$F) = TRIM($B217),
      'Juma Recording forms'!$AA:$AA = 1
    ),
    1
  ),
  ""Not Found""
)"),701.0)</f>
        <v>701</v>
      </c>
      <c r="AG217" s="292">
        <f>IFERROR(__xludf.DUMMYFUNCTION("IFERROR(
  INDEX(
    FILTER(
      'Juma Recording forms'!$G:$G,
      TRIM('Juma Recording forms'!$F:$F) = TRIM($B217),
      'Juma Recording forms'!$AA:$AA = 2
    ),
    1
  ),
  ""Not Found""
)"),680.0)</f>
        <v>680</v>
      </c>
      <c r="AH217" s="292">
        <f>IFERROR(__xludf.DUMMYFUNCTION("IFERROR(
  INDEX(
    FILTER(
      'Juma Recording forms'!$G:$G,
      TRIM('Juma Recording forms'!$F:$F) = TRIM($B217),
      'Juma Recording forms'!$AA:$AA = 3
    ),
    1
  ),
  ""Not Found""
)"),723.0)</f>
        <v>723</v>
      </c>
      <c r="AI217" s="292">
        <f>IFERROR(__xludf.DUMMYFUNCTION("IFERROR(
  INDEX(
    FILTER(
      'Juma Recording forms'!$G:$G,
      TRIM('Juma Recording forms'!$F:$F) = TRIM($B217),
      'Juma Recording forms'!$AA:$AA = 4
    ),
    1
  ),
  ""Not Found""
)"),655.0)</f>
        <v>655</v>
      </c>
      <c r="AJ217" s="292" t="str">
        <f>IFERROR(__xludf.DUMMYFUNCTION("IFERROR(
  INDEX(
    FILTER(
      'Juma Recording forms'!$G:$G,
      TRIM('Juma Recording forms'!$F:$F) = TRIM($B217),
      'Juma Recording forms'!$AA:$AA = 5
    ),
    1
  ),
  ""Not Found""
)"),"Not Found")</f>
        <v>Not Found</v>
      </c>
      <c r="AK217" s="292" t="str">
        <f>IFERROR(__xludf.DUMMYFUNCTION("IFERROR(
  INDEX(
    FILTER(
      'Juma Recording forms'!$G:$G,
      TRIM('Juma Recording forms'!$F:$F) = TRIM($B217),
      'Juma Recording forms'!$AA:$AA = 6
    ),
    1
  ),
  ""Not Found""
)"),"Not Found")</f>
        <v>Not Found</v>
      </c>
      <c r="AL2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1!$E:$E"")=$B217) *
        (IMPORTRANGE(""https://docs.google.com/spreadsheets/d/161aHT6vVT3SLneTKD19N5qVWtnj_jIT8CSsOmUVKmaA/e"&amp;"dit?gid=1761053510"",
          ""Haris_Form responses 1!$AQ:$AQ"")=1)
      ),
      1
    ),
    ""0""
  ),
  ""Form not found""
)
"),"10")</f>
        <v>10</v>
      </c>
      <c r="AM2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1!$E:$E"")=$B217) *
        (IMPORTRANGE(""https://docs.google.com/spreadsheets/d/161aHT6vVT3SLneTKD19N5qVWtnj_jIT8CSsOmUVKmaA/e"&amp;"dit?gid=1761053510"",
          ""Haris_Form responses 1!$AQ:$AQ"")=2)
      ),
      1
    ),
    ""0""
  ),
  ""Form not found""
)
"),"8")</f>
        <v>8</v>
      </c>
      <c r="AN2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1!$E:$E"")=$B217) *
        (IMPORTRANGE(""https://docs.google.com/spreadsheets/d/161aHT6vVT3SLneTKD19N5qVWtnj_jIT8CSsOmUVKmaA/e"&amp;"dit?gid=1761053510"",
          ""Haris_Form responses 1!$AQ:$AQ"")=3)
      ),
      1
    ),
    ""0""
  ),
  ""Form not found""
)
"),"10")</f>
        <v>10</v>
      </c>
      <c r="AO2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1!$E:$E"")=$B217) *
        (IMPORTRANGE(""https://docs.google.com/spreadsheets/d/161aHT6vVT3SLneTKD19N5qVWtnj_jIT8CSsOmUVKmaA/e"&amp;"dit?gid=1761053510"",
          ""Haris_Form responses 1!$AQ:$AQ"")=4)
      ),
      1
    ),
    ""0""
  ),
  ""Form not found""
)
"),"0")</f>
        <v>0</v>
      </c>
      <c r="AP2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1!$E:$E"")=$B217) *
        (IMPORTRANGE(""https://docs.google.com/spreadsheets/d/161aHT6vVT3SLneTKD19N5qVWtnj_jIT8CSsOmUVKmaA/e"&amp;"dit?gid=1761053510"",
          ""Haris_Form responses 1!$AQ:$AQ"")=5)
      ),
      1
    ),
    ""0""
  ),
  ""Form not found""
)
"),"Form not found")</f>
        <v>Form not found</v>
      </c>
      <c r="AQ21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1!$E:$E"")=$B217) *
        (IMPORTRANGE(""https://docs.google.com/spreadsheets/d/161aHT6vVT3SLneTKD19N5qVWtnj_jIT8CSsOmUVKmaA/e"&amp;"dit?gid=1761053510"",
          ""Haris_Form responses 1!$AQ:$AQ"")=6)
      ),
      1
    ),
    ""0""
  ),
  ""Form not found""
)
"),"Form not found")</f>
        <v>Form not found</v>
      </c>
      <c r="AR2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1!$E:$E"")=$B217) *
        (IMPORTRANGE(""https://docs.google.com/spreadsheets/d/161aHT6vVT3SLneTKD19N5qVWtnj_jIT8CSsOmUVKmaA/e"&amp;"dit?gid=1761053510"",
          ""Haris_Form responses 1!$AQ:$AQ"")=1)
      ),
      1
    ),
    ""0""
  ),
  ""Form not found""
)
"),"0")</f>
        <v>0</v>
      </c>
      <c r="AS2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1!$E:$E"")=$B217) *
        (IMPORTRANGE(""https://docs.google.com/spreadsheets/d/161aHT6vVT3SLneTKD19N5qVWtnj_jIT8CSsOmUVKmaA/e"&amp;"dit?gid=1761053510"",
          ""Haris_Form responses 1!$AQ:$AQ"")=2)
      ),
      1
    ),
    ""0""
  ),
  ""Form not found""
)
"),"0")</f>
        <v>0</v>
      </c>
      <c r="AT2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1!$E:$E"")=$B217) *
        (IMPORTRANGE(""https://docs.google.com/spreadsheets/d/161aHT6vVT3SLneTKD19N5qVWtnj_jIT8CSsOmUVKmaA/e"&amp;"dit?gid=1761053510"",
          ""Haris_Form responses 1!$AQ:$AQ"")=3)
      ),
      1
    ),
    ""0""
  ),
  ""Form not found""
)
"),"0")</f>
        <v>0</v>
      </c>
      <c r="AU2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1!$E:$E"")=$B217) *
        (IMPORTRANGE(""https://docs.google.com/spreadsheets/d/161aHT6vVT3SLneTKD19N5qVWtnj_jIT8CSsOmUVKmaA/e"&amp;"dit?gid=1761053510"",
          ""Haris_Form responses 1!$AQ:$AQ"")=4)
      ),
      1
    ),
    ""0""
  ),
  ""Form not found""
)
"),"0")</f>
        <v>0</v>
      </c>
      <c r="AV2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1!$E:$E"")=$B217) *
        (IMPORTRANGE(""https://docs.google.com/spreadsheets/d/161aHT6vVT3SLneTKD19N5qVWtnj_jIT8CSsOmUVKmaA/e"&amp;"dit?gid=1761053510"",
          ""Haris_Form responses 1!$AQ:$AQ"")=5)
      ),
      1
    ),
    ""0""
  ),
  ""Form not found""
)
"),"Form not found")</f>
        <v>Form not found</v>
      </c>
      <c r="AW21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1!$E:$E"")=$B217) *
        (IMPORTRANGE(""https://docs.google.com/spreadsheets/d/161aHT6vVT3SLneTKD19N5qVWtnj_jIT8CSsOmUVKmaA/e"&amp;"dit?gid=1761053510"",
          ""Haris_Form responses 1!$AQ:$AQ"")=6)
      ),
      1
    ),
    ""0""
  ),
  ""Form not found""
)
"),"Form not found")</f>
        <v>Form not found</v>
      </c>
      <c r="AX2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1!$E:$E"")=$B217) *
        (IMPORTRANGE(""https://docs.google.com/spreadsheets/d/161aHT6vVT3SLneTKD19N5qVWtnj_jIT8CSsOmUVKmaA/e"&amp;"dit?gid=1761053510"",
          ""Haris_Form responses 1!$AQ:$AQ"")=1)
      ),
      1
    ),
    ""0""
  ),
  ""Form not found""
)
"),"10")</f>
        <v>10</v>
      </c>
      <c r="AY2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1!$E:$E"")=$B217) *
        (IMPORTRANGE(""https://docs.google.com/spreadsheets/d/161aHT6vVT3SLneTKD19N5qVWtnj_jIT8CSsOmUVKmaA/e"&amp;"dit?gid=1761053510"",
          ""Haris_Form responses 1!$AQ:$AQ"")=2)
      ),
      1
    ),
    ""0""
  ),
  ""Form not found""
)
"),"8")</f>
        <v>8</v>
      </c>
      <c r="AZ2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1!$E:$E"")=$B217) *
        (IMPORTRANGE(""https://docs.google.com/spreadsheets/d/161aHT6vVT3SLneTKD19N5qVWtnj_jIT8CSsOmUVKmaA/e"&amp;"dit?gid=1761053510"",
          ""Haris_Form responses 1!$AQ:$AQ"")=3)
      ),
      1
    ),
    ""0""
  ),
  ""Form not found""
)
"),"10")</f>
        <v>10</v>
      </c>
      <c r="BA2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1!$E:$E"")=$B217) *
        (IMPORTRANGE(""https://docs.google.com/spreadsheets/d/161aHT6vVT3SLneTKD19N5qVWtnj_jIT8CSsOmUVKmaA/e"&amp;"dit?gid=1761053510"",
          ""Haris_Form responses 1!$AQ:$AQ"")=4)
      ),
      1
    ),
    ""0""
  ),
  ""Form not found""
)
"),"0")</f>
        <v>0</v>
      </c>
      <c r="BB2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1!$E:$E"")=$B217) *
        (IMPORTRANGE(""https://docs.google.com/spreadsheets/d/161aHT6vVT3SLneTKD19N5qVWtnj_jIT8CSsOmUVKmaA/e"&amp;"dit?gid=1761053510"",
          ""Haris_Form responses 1!$AQ:$AQ"")=5)
      ),
      1
    ),
    ""0""
  ),
  ""Form not found""
)
"),"Form not found")</f>
        <v>Form not found</v>
      </c>
      <c r="BC21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1!$E:$E"")=$B217) *
        (IMPORTRANGE(""https://docs.google.com/spreadsheets/d/161aHT6vVT3SLneTKD19N5qVWtnj_jIT8CSsOmUVKmaA/e"&amp;"dit?gid=1761053510"",
          ""Haris_Form responses 1!$AQ:$AQ"")=6)
      ),
      1
    ),
    ""0""
  ),
  ""Form not found""
)
"),"Form not found")</f>
        <v>Form not found</v>
      </c>
      <c r="BD217" s="293"/>
    </row>
    <row r="218">
      <c r="A218" s="283" t="str">
        <f>IFERROR(__xludf.DUMMYFUNCTION("VLOOKUP($B218,IMPORTRANGE(""https://docs.google.com/spreadsheets/d/1VNXDITjs75AcgdBSW27oL1VZH31udDprJSsBcE5xlp4/edit?gid=1551188038#gid=1551188038"", ""Sheet9!$B:$E""),2,false)"),"Chistain")</f>
        <v>Chistain</v>
      </c>
      <c r="B218" s="283" t="s">
        <v>4659</v>
      </c>
      <c r="C218" s="284" t="str">
        <f>IFERROR(__xludf.DUMMYFUNCTION("VLOOKUP(TRIM($B218), IMPORTRANGE(""https://docs.google.com/spreadsheets/d/1aSOrU4PTpuBZqfitKaH1Rfww6-YOiNCKoBpPl8XBHaw/edit?gid=0#gid=0"", ""sheet3!$B:$C""), 2, FALSE)
"),"Jamia Masjid Markazi Chishtian")</f>
        <v>Jamia Masjid Markazi Chishtian</v>
      </c>
      <c r="D218" s="284" t="str">
        <f>IFERROR(__xludf.DUMMYFUNCTION("IFERROR(
  INDEX(
    FILTER(
      IMPORTRANGE(""1aSOrU4PTpuBZqfitKaH1Rfww6-YOiNCKoBpPl8XBHaw/edit?gid=0#gid=0"",""Sheet1!G:G""),
      IMPORTRANGE(""1aSOrU4PTpuBZqfitKaH1Rfww6-YOiNCKoBpPl8XBHaw/edit?gid=0#gid=0"",""Sheet1!C:C"")=$B218
    ),
    1
  ),
"&amp;"  ""Not Found""
)"),"Community Religious Info Share")</f>
        <v>Community Religious Info Share</v>
      </c>
      <c r="E218" s="284" t="str">
        <f>VLOOKUP(B218,'Juma Recording forms'!A:E,5,false)</f>
        <v>مرکزی جامع مسجد چشتیاں </v>
      </c>
      <c r="F218" s="284" t="str">
        <f>IFERROR(__xludf.DUMMYFUNCTION("IFERROR(
  INDEX(
    FILTER(
      IMPORTRANGE(""1Cxrhp3-_-HS7v9uuqQliiIfrmMP4VaFoDNDWyUFy2J8/edit?gid=0#gid=0"",""Sheet1!Q:Q""),
      IMPORTRANGE(""1Cxrhp3-_-HS7v9uuqQliiIfrmMP4VaFoDNDWyUFy2J8/edit?gid=0#gid=0"",""Sheet1!K:K"")=$B218
    ),
    1
  ),
"&amp;"  ""Not Found""
)"),"Muhammad Tayyab")</f>
        <v>Muhammad Tayyab</v>
      </c>
      <c r="G218" s="284">
        <v>1938.0</v>
      </c>
      <c r="H218" s="284"/>
      <c r="I218" s="285" t="s">
        <v>197</v>
      </c>
      <c r="J218" s="286">
        <v>2.0</v>
      </c>
      <c r="K218" s="287" t="str">
        <f>VLOOKUP($B218,'Mosque Locations'!$A:$E,3,FALSE)
</f>
        <v>https://maps.google.com/?q=29.7961325,72.8581846</v>
      </c>
      <c r="L218" s="286">
        <f>VLOOKUP($B218,'Mosque Locations'!$A:$E,4,FALSE)
</f>
        <v>29.79613</v>
      </c>
      <c r="M218" s="286">
        <f>VLOOKUP($B218,'Mosque Locations'!$A:$E,5,false)</f>
        <v>72.85818</v>
      </c>
      <c r="N218" s="288"/>
      <c r="O218" s="288"/>
      <c r="P218" s="288"/>
      <c r="Q218" s="295" t="str">
        <f>IFERROR(__xludf.DUMMYFUNCTION("IFERROR(
  INDEX(
    FILTER(
      IMPORTRANGE(""1kOrIKZmJfNUkgOVP3sI9BPjaaPA0_a4636oymQxTXg8"",""Form Responses 1!N:N""),
      TRIM(IMPORTRANGE(""1kOrIKZmJfNUkgOVP3sI9BPjaaPA0_a4636oymQxTXg8"",""Form Responses 1!F:F""))=TRIM($B218)
    ),
    1
  ),
  "&amp;"""Not Found""
)
"),"https://drive.google.com/open?id=1itIc-JCGAPlhJigg1l0QHjKjhT_cQ7EU")</f>
        <v>https://drive.google.com/open?id=1itIc-JCGAPlhJigg1l0QHjKjhT_cQ7EU</v>
      </c>
      <c r="R218" s="295" t="str">
        <f>IFERROR(__xludf.DUMMYFUNCTION("IFERROR(
  INDEX(
    FILTER(
      IMPORTRANGE(""1kOrIKZmJfNUkgOVP3sI9BPjaaPA0_a4636oymQxTXg8"",""Form Responses 1!M:M""),
      TRIM(IMPORTRANGE(""1kOrIKZmJfNUkgOVP3sI9BPjaaPA0_a4636oymQxTXg8"",""Form Responses 1!F:F""))=TRIM($B218)
    ),
    1
  ),
  "&amp;"""Not Found""
)
"),"https://drive.google.com/file/d/1RoQT_5elOmua9NKPAsPuq0b28sa_yUJa/view?usp=drive_link")</f>
        <v>https://drive.google.com/file/d/1RoQT_5elOmua9NKPAsPuq0b28sa_yUJa/view?usp=drive_link</v>
      </c>
      <c r="S218" s="283" t="s">
        <v>4871</v>
      </c>
      <c r="T218" s="290" t="str">
        <f>VLOOKUP($B218,'Master Tracker'!D:E,2,false)</f>
        <v>https://drive.google.com/open?id=1CEfEt7DbWmERTgFULUbIriWjRs7_I-S4</v>
      </c>
      <c r="U218" s="291" t="str">
        <f>VLOOKUP($B218,'Master Tracker'!$D:$T,4,FALSE)
</f>
        <v>https://drive.google.com/open?id=17E3YlCypHMfUgiKuYIJo1-YPJTb7KFY4</v>
      </c>
      <c r="V218" s="290" t="str">
        <f>VLOOKUP($B218,'Master Tracker'!$D:$T,5,false)</f>
        <v>https://drive.google.com/open?id=1_oOgWOHRd0OsS0-DhUjwUN0tkYAQYlQy</v>
      </c>
      <c r="W218" s="291" t="str">
        <f>VLOOKUP($B218,'Master Tracker'!$D:$T,7,false)</f>
        <v>https://drive.google.com/open?id=1d1zIrg2GlBQ0sErZ1IZjjUCStnHKtVDl</v>
      </c>
      <c r="X218" s="290" t="str">
        <f>VLOOKUP($B218,'Master Tracker'!$D:$T,8,false)</f>
        <v>https://drive.google.com/open?id=1zZ_rYW-e3hyK-NKPrSocr06MIx_M-tan</v>
      </c>
      <c r="Y218" s="291" t="str">
        <f>VLOOKUP($B218,'Master Tracker'!$D:$T,10,false)</f>
        <v>https://drive.google.com/open?id=1TLLRvBNiqm2Z5rLWyT2Km2Ms_iT8DQ7j</v>
      </c>
      <c r="Z218" s="284" t="str">
        <f>VLOOKUP($B218,'Master Tracker'!$D:$T,11,false)</f>
        <v>Not Found</v>
      </c>
      <c r="AA218" s="292" t="str">
        <f>VLOOKUP($B218,'Master Tracker'!$D:$T,13,false)</f>
        <v>Not Found</v>
      </c>
      <c r="AB218" s="290" t="str">
        <f>VLOOKUP($B218,'Master Tracker'!$D:$T,14,false)</f>
        <v>https://drive.google.com/open?id=1MGnPk7qVfKgJ08qx4AJkVkXGIB_18sDT</v>
      </c>
      <c r="AC218" s="291" t="str">
        <f>VLOOKUP($B218,'Master Tracker'!$D:$T,16,false)</f>
        <v>https://drive.google.com/open?id=1nN4zdfgMmPJ-E_QkHdOtiqLgWrOEL9RO</v>
      </c>
      <c r="AD218" s="292" t="str">
        <f>VLOOKUP($B218,'Master Tracker'!$D:$T,17,false)</f>
        <v>Not Found</v>
      </c>
      <c r="AE218" s="292" t="str">
        <f>VLOOKUP($B218,'Master Tracker'!$D:$V,19,false)</f>
        <v>Not Found</v>
      </c>
      <c r="AF218" s="292">
        <f>IFERROR(__xludf.DUMMYFUNCTION("IFERROR(
  INDEX(
    FILTER(
      'Juma Recording forms'!$G:$G,
      TRIM('Juma Recording forms'!$F:$F) = TRIM($B218),
      'Juma Recording forms'!$AA:$AA = 1
    ),
    1
  ),
  ""Not Found""
)"),809.0)</f>
        <v>809</v>
      </c>
      <c r="AG218" s="292">
        <f>IFERROR(__xludf.DUMMYFUNCTION("IFERROR(
  INDEX(
    FILTER(
      'Juma Recording forms'!$G:$G,
      TRIM('Juma Recording forms'!$F:$F) = TRIM($B218),
      'Juma Recording forms'!$AA:$AA = 2
    ),
    1
  ),
  ""Not Found""
)"),874.0)</f>
        <v>874</v>
      </c>
      <c r="AH218" s="292">
        <f>IFERROR(__xludf.DUMMYFUNCTION("IFERROR(
  INDEX(
    FILTER(
      'Juma Recording forms'!$G:$G,
      TRIM('Juma Recording forms'!$F:$F) = TRIM($B218),
      'Juma Recording forms'!$AA:$AA = 3
    ),
    1
  ),
  ""Not Found""
)"),814.0)</f>
        <v>814</v>
      </c>
      <c r="AI218" s="292" t="str">
        <f>IFERROR(__xludf.DUMMYFUNCTION("IFERROR(
  INDEX(
    FILTER(
      'Juma Recording forms'!$G:$G,
      TRIM('Juma Recording forms'!$F:$F) = TRIM($B218),
      'Juma Recording forms'!$AA:$AA = 4
    ),
    1
  ),
  ""Not Found""
)"),"Not Found")</f>
        <v>Not Found</v>
      </c>
      <c r="AJ218" s="292">
        <f>IFERROR(__xludf.DUMMYFUNCTION("IFERROR(
  INDEX(
    FILTER(
      'Juma Recording forms'!$G:$G,
      TRIM('Juma Recording forms'!$F:$F) = TRIM($B218),
      'Juma Recording forms'!$AA:$AA = 5
    ),
    1
  ),
  ""Not Found""
)"),778.0)</f>
        <v>778</v>
      </c>
      <c r="AK218" s="292" t="str">
        <f>IFERROR(__xludf.DUMMYFUNCTION("IFERROR(
  INDEX(
    FILTER(
      'Juma Recording forms'!$G:$G,
      TRIM('Juma Recording forms'!$F:$F) = TRIM($B218),
      'Juma Recording forms'!$AA:$AA = 6
    ),
    1
  ),
  ""Not Found""
)"),"Not Found")</f>
        <v>Not Found</v>
      </c>
      <c r="AL2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1!$E:$E"")=$B218) *
        (IMPORTRANGE(""https://docs.google.com/spreadsheets/d/161aHT6vVT3SLneTKD19N5qVWtnj_jIT8CSsOmUVKmaA/e"&amp;"dit?gid=1761053510"",
          ""Haris_Form responses 1!$AQ:$AQ"")=1)
      ),
      1
    ),
    ""0""
  ),
  ""Form not found""
)
"),"9")</f>
        <v>9</v>
      </c>
      <c r="AM2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1!$E:$E"")=$B218) *
        (IMPORTRANGE(""https://docs.google.com/spreadsheets/d/161aHT6vVT3SLneTKD19N5qVWtnj_jIT8CSsOmUVKmaA/e"&amp;"dit?gid=1761053510"",
          ""Haris_Form responses 1!$AQ:$AQ"")=2)
      ),
      1
    ),
    ""0""
  ),
  ""Form not found""
)
"),"7")</f>
        <v>7</v>
      </c>
      <c r="AN2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1!$E:$E"")=$B218) *
        (IMPORTRANGE(""https://docs.google.com/spreadsheets/d/161aHT6vVT3SLneTKD19N5qVWtnj_jIT8CSsOmUVKmaA/e"&amp;"dit?gid=1761053510"",
          ""Haris_Form responses 1!$AQ:$AQ"")=3)
      ),
      1
    ),
    ""0""
  ),
  ""Form not found""
)
"),"8")</f>
        <v>8</v>
      </c>
      <c r="AO2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1!$E:$E"")=$B218) *
        (IMPORTRANGE(""https://docs.google.com/spreadsheets/d/161aHT6vVT3SLneTKD19N5qVWtnj_jIT8CSsOmUVKmaA/e"&amp;"dit?gid=1761053510"",
          ""Haris_Form responses 1!$AQ:$AQ"")=4)
      ),
      1
    ),
    ""0""
  ),
  ""Form not found""
)
"),"Form not found")</f>
        <v>Form not found</v>
      </c>
      <c r="AP2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1!$E:$E"")=$B218) *
        (IMPORTRANGE(""https://docs.google.com/spreadsheets/d/161aHT6vVT3SLneTKD19N5qVWtnj_jIT8CSsOmUVKmaA/e"&amp;"dit?gid=1761053510"",
          ""Haris_Form responses 1!$AQ:$AQ"")=5)
      ),
      1
    ),
    ""0""
  ),
  ""Form not found""
)
"),"0")</f>
        <v>0</v>
      </c>
      <c r="AQ21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1!$E:$E"")=$B218) *
        (IMPORTRANGE(""https://docs.google.com/spreadsheets/d/161aHT6vVT3SLneTKD19N5qVWtnj_jIT8CSsOmUVKmaA/e"&amp;"dit?gid=1761053510"",
          ""Haris_Form responses 1!$AQ:$AQ"")=6)
      ),
      1
    ),
    ""0""
  ),
  ""Form not found""
)
"),"Form not found")</f>
        <v>Form not found</v>
      </c>
      <c r="AR2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1!$E:$E"")=$B218) *
        (IMPORTRANGE(""https://docs.google.com/spreadsheets/d/161aHT6vVT3SLneTKD19N5qVWtnj_jIT8CSsOmUVKmaA/e"&amp;"dit?gid=1761053510"",
          ""Haris_Form responses 1!$AQ:$AQ"")=1)
      ),
      1
    ),
    ""0""
  ),
  ""Form not found""
)
"),"9")</f>
        <v>9</v>
      </c>
      <c r="AS2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1!$E:$E"")=$B218) *
        (IMPORTRANGE(""https://docs.google.com/spreadsheets/d/161aHT6vVT3SLneTKD19N5qVWtnj_jIT8CSsOmUVKmaA/e"&amp;"dit?gid=1761053510"",
          ""Haris_Form responses 1!$AQ:$AQ"")=2)
      ),
      1
    ),
    ""0""
  ),
  ""Form not found""
)
"),"7")</f>
        <v>7</v>
      </c>
      <c r="AT2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1!$E:$E"")=$B218) *
        (IMPORTRANGE(""https://docs.google.com/spreadsheets/d/161aHT6vVT3SLneTKD19N5qVWtnj_jIT8CSsOmUVKmaA/e"&amp;"dit?gid=1761053510"",
          ""Haris_Form responses 1!$AQ:$AQ"")=3)
      ),
      1
    ),
    ""0""
  ),
  ""Form not found""
)
"),"8")</f>
        <v>8</v>
      </c>
      <c r="AU2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1!$E:$E"")=$B218) *
        (IMPORTRANGE(""https://docs.google.com/spreadsheets/d/161aHT6vVT3SLneTKD19N5qVWtnj_jIT8CSsOmUVKmaA/e"&amp;"dit?gid=1761053510"",
          ""Haris_Form responses 1!$AQ:$AQ"")=4)
      ),
      1
    ),
    ""0""
  ),
  ""Form not found""
)
"),"Form not found")</f>
        <v>Form not found</v>
      </c>
      <c r="AV2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1!$E:$E"")=$B218) *
        (IMPORTRANGE(""https://docs.google.com/spreadsheets/d/161aHT6vVT3SLneTKD19N5qVWtnj_jIT8CSsOmUVKmaA/e"&amp;"dit?gid=1761053510"",
          ""Haris_Form responses 1!$AQ:$AQ"")=5)
      ),
      1
    ),
    ""0""
  ),
  ""Form not found""
)
"),"0")</f>
        <v>0</v>
      </c>
      <c r="AW21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1!$E:$E"")=$B218) *
        (IMPORTRANGE(""https://docs.google.com/spreadsheets/d/161aHT6vVT3SLneTKD19N5qVWtnj_jIT8CSsOmUVKmaA/e"&amp;"dit?gid=1761053510"",
          ""Haris_Form responses 1!$AQ:$AQ"")=6)
      ),
      1
    ),
    ""0""
  ),
  ""Form not found""
)
"),"Form not found")</f>
        <v>Form not found</v>
      </c>
      <c r="AX2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1!$E:$E"")=$B218) *
        (IMPORTRANGE(""https://docs.google.com/spreadsheets/d/161aHT6vVT3SLneTKD19N5qVWtnj_jIT8CSsOmUVKmaA/e"&amp;"dit?gid=1761053510"",
          ""Haris_Form responses 1!$AQ:$AQ"")=1)
      ),
      1
    ),
    ""0""
  ),
  ""Form not found""
)
"),"0")</f>
        <v>0</v>
      </c>
      <c r="AY2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1!$E:$E"")=$B218) *
        (IMPORTRANGE(""https://docs.google.com/spreadsheets/d/161aHT6vVT3SLneTKD19N5qVWtnj_jIT8CSsOmUVKmaA/e"&amp;"dit?gid=1761053510"",
          ""Haris_Form responses 1!$AQ:$AQ"")=2)
      ),
      1
    ),
    ""0""
  ),
  ""Form not found""
)
"),"0")</f>
        <v>0</v>
      </c>
      <c r="AZ2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1!$E:$E"")=$B218) *
        (IMPORTRANGE(""https://docs.google.com/spreadsheets/d/161aHT6vVT3SLneTKD19N5qVWtnj_jIT8CSsOmUVKmaA/e"&amp;"dit?gid=1761053510"",
          ""Haris_Form responses 1!$AQ:$AQ"")=3)
      ),
      1
    ),
    ""0""
  ),
  ""Form not found""
)
"),"0")</f>
        <v>0</v>
      </c>
      <c r="BA2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1!$E:$E"")=$B218) *
        (IMPORTRANGE(""https://docs.google.com/spreadsheets/d/161aHT6vVT3SLneTKD19N5qVWtnj_jIT8CSsOmUVKmaA/e"&amp;"dit?gid=1761053510"",
          ""Haris_Form responses 1!$AQ:$AQ"")=4)
      ),
      1
    ),
    ""0""
  ),
  ""Form not found""
)
"),"Form not found")</f>
        <v>Form not found</v>
      </c>
      <c r="BB2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1!$E:$E"")=$B218) *
        (IMPORTRANGE(""https://docs.google.com/spreadsheets/d/161aHT6vVT3SLneTKD19N5qVWtnj_jIT8CSsOmUVKmaA/e"&amp;"dit?gid=1761053510"",
          ""Haris_Form responses 1!$AQ:$AQ"")=5)
      ),
      1
    ),
    ""0""
  ),
  ""Form not found""
)
"),"0")</f>
        <v>0</v>
      </c>
      <c r="BC21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1!$E:$E"")=$B218) *
        (IMPORTRANGE(""https://docs.google.com/spreadsheets/d/161aHT6vVT3SLneTKD19N5qVWtnj_jIT8CSsOmUVKmaA/e"&amp;"dit?gid=1761053510"",
          ""Haris_Form responses 1!$AQ:$AQ"")=6)
      ),
      1
    ),
    ""0""
  ),
  ""Form not found""
)
"),"Form not found")</f>
        <v>Form not found</v>
      </c>
      <c r="BD218" s="293"/>
    </row>
    <row r="219">
      <c r="A219" s="283" t="str">
        <f>IFERROR(__xludf.DUMMYFUNCTION("VLOOKUP($B219,IMPORTRANGE(""https://docs.google.com/spreadsheets/d/1VNXDITjs75AcgdBSW27oL1VZH31udDprJSsBcE5xlp4/edit?gid=1551188038#gid=1551188038"", ""Sheet9!$B:$E""),2,false)"),"Chistain")</f>
        <v>Chistain</v>
      </c>
      <c r="B219" s="283" t="s">
        <v>4660</v>
      </c>
      <c r="C219" s="284" t="str">
        <f>IFERROR(__xludf.DUMMYFUNCTION("VLOOKUP(TRIM($B219), IMPORTRANGE(""https://docs.google.com/spreadsheets/d/1aSOrU4PTpuBZqfitKaH1Rfww6-YOiNCKoBpPl8XBHaw/edit?gid=0#gid=0"", ""sheet3!$B:$C""), 2, FALSE)
"),"Jamia Masjid Minya Nawali Minchanabad")</f>
        <v>Jamia Masjid Minya Nawali Minchanabad</v>
      </c>
      <c r="D219" s="284" t="str">
        <f>IFERROR(__xludf.DUMMYFUNCTION("IFERROR(
  INDEX(
    FILTER(
      IMPORTRANGE(""1aSOrU4PTpuBZqfitKaH1Rfww6-YOiNCKoBpPl8XBHaw/edit?gid=0#gid=0"",""Sheet1!G:G""),
      IMPORTRANGE(""1aSOrU4PTpuBZqfitKaH1Rfww6-YOiNCKoBpPl8XBHaw/edit?gid=0#gid=0"",""Sheet1!C:C"")=$B219
    ),
    1
  ),
"&amp;"  ""Not Found""
)"),"Community Religious Info Share")</f>
        <v>Community Religious Info Share</v>
      </c>
      <c r="E219" s="284" t="str">
        <f>VLOOKUP(B219,'Juma Recording forms'!A:E,5,false)</f>
        <v>Jamia msjid</v>
      </c>
      <c r="F219" s="284" t="str">
        <f>IFERROR(__xludf.DUMMYFUNCTION("IFERROR(
  INDEX(
    FILTER(
      IMPORTRANGE(""1Cxrhp3-_-HS7v9uuqQliiIfrmMP4VaFoDNDWyUFy2J8/edit?gid=0#gid=0"",""Sheet1!Q:Q""),
      IMPORTRANGE(""1Cxrhp3-_-HS7v9uuqQliiIfrmMP4VaFoDNDWyUFy2J8/edit?gid=0#gid=0"",""Sheet1!K:K"")=$B219
    ),
    1
  ),
"&amp;"  ""Not Found""
)"),"Mukhtiyar Ahmad")</f>
        <v>Mukhtiyar Ahmad</v>
      </c>
      <c r="G219" s="284">
        <v>1914.0</v>
      </c>
      <c r="H219" s="284"/>
      <c r="I219" s="285" t="s">
        <v>197</v>
      </c>
      <c r="J219" s="286">
        <v>2.0</v>
      </c>
      <c r="K219" s="287" t="str">
        <f>VLOOKUP($B219,'Mosque Locations'!$A:$E,3,FALSE)
</f>
        <v>https://www.google.com/maps?q=30.0365367,73.5364517&amp;z=17&amp;hl=en</v>
      </c>
      <c r="L219" s="286">
        <f>VLOOKUP($B219,'Mosque Locations'!$A:$E,4,FALSE)
</f>
        <v>30.03654</v>
      </c>
      <c r="M219" s="286">
        <f>VLOOKUP($B219,'Mosque Locations'!$A:$E,5,false)</f>
        <v>73.53645</v>
      </c>
      <c r="N219" s="288"/>
      <c r="O219" s="288"/>
      <c r="P219" s="288"/>
      <c r="Q219" s="290" t="str">
        <f>IFERROR(__xludf.DUMMYFUNCTION("IFERROR(
  INDEX(
    FILTER(
      IMPORTRANGE(""1kOrIKZmJfNUkgOVP3sI9BPjaaPA0_a4636oymQxTXg8"",""Form Responses 1!N:N""),
      TRIM(IMPORTRANGE(""1kOrIKZmJfNUkgOVP3sI9BPjaaPA0_a4636oymQxTXg8"",""Form Responses 1!F:F""))=TRIM($B219)
    ),
    1
  ),
  "&amp;"""Not Found""
)
"),"https://drive.google.com/open?id=10BRTzU7s2mw6zreOFSRnavAysnNclWpA")</f>
        <v>https://drive.google.com/open?id=10BRTzU7s2mw6zreOFSRnavAysnNclWpA</v>
      </c>
      <c r="R219" s="295" t="str">
        <f>IFERROR(__xludf.DUMMYFUNCTION("IFERROR(
  INDEX(
    FILTER(
      IMPORTRANGE(""1kOrIKZmJfNUkgOVP3sI9BPjaaPA0_a4636oymQxTXg8"",""Form Responses 1!M:M""),
      TRIM(IMPORTRANGE(""1kOrIKZmJfNUkgOVP3sI9BPjaaPA0_a4636oymQxTXg8"",""Form Responses 1!F:F""))=TRIM($B219)
    ),
    1
  ),
  "&amp;"""Not Found""
)
"),"https://drive.google.com/open?id=1eHE84PoRRqG8SBD2OTpGBnUZfz12FVFl")</f>
        <v>https://drive.google.com/open?id=1eHE84PoRRqG8SBD2OTpGBnUZfz12FVFl</v>
      </c>
      <c r="S219" s="285"/>
      <c r="T219" s="290" t="str">
        <f>VLOOKUP($B219,'Master Tracker'!D:E,2,false)</f>
        <v>https://drive.google.com/open?id=1MNabs416M2JSqk2PH-TswJXhEElTaAJj</v>
      </c>
      <c r="U219" s="291" t="str">
        <f>VLOOKUP($B219,'Master Tracker'!$D:$T,4,FALSE)
</f>
        <v>https://drive.google.com/open?id=1CPCrB2ZctkmZVt41pT3WKkYczRsbZlMc</v>
      </c>
      <c r="V219" s="290" t="str">
        <f>VLOOKUP($B219,'Master Tracker'!$D:$T,5,false)</f>
        <v>https://drive.google.com/open?id=15tIUKTQiLoCli4kTe3SMVpCzzz5oU0b8</v>
      </c>
      <c r="W219" s="291" t="str">
        <f>VLOOKUP($B219,'Master Tracker'!$D:$T,7,false)</f>
        <v>https://drive.google.com/open?id=1cmlBbcqiS9SavXXuw4Tv7bdFeAGW8isf</v>
      </c>
      <c r="X219" s="290" t="str">
        <f>VLOOKUP($B219,'Master Tracker'!$D:$T,8,false)</f>
        <v>https://drive.google.com/open?id=1Q2POa9uJHL3CXD3FQw3-Cfoc3wraGDEr</v>
      </c>
      <c r="Y219" s="291" t="str">
        <f>VLOOKUP($B219,'Master Tracker'!$D:$T,10,false)</f>
        <v>https://drive.google.com/open?id=1ujQP-T0WqfAIMLwo1nKHNtbfGoDrOMWF</v>
      </c>
      <c r="Z219" s="284" t="str">
        <f>VLOOKUP($B219,'Master Tracker'!$D:$T,11,false)</f>
        <v>Not Found</v>
      </c>
      <c r="AA219" s="292" t="str">
        <f>VLOOKUP($B219,'Master Tracker'!$D:$T,13,false)</f>
        <v>Not Found</v>
      </c>
      <c r="AB219" s="290" t="str">
        <f>VLOOKUP($B219,'Master Tracker'!$D:$T,14,false)</f>
        <v>https://drive.google.com/open?id=1oJ0wpo3wSh176CUU_vawTn_oKT0RUxn5</v>
      </c>
      <c r="AC219" s="291" t="str">
        <f>VLOOKUP($B219,'Master Tracker'!$D:$T,16,false)</f>
        <v>https://drive.google.com/open?id=1JbM8S2XPshFK6ELxGcQLwvt_ER8YjTxohci1Vyh6UBQ</v>
      </c>
      <c r="AD219" s="292" t="str">
        <f>VLOOKUP($B219,'Master Tracker'!$D:$T,17,false)</f>
        <v>Not Found</v>
      </c>
      <c r="AE219" s="292" t="str">
        <f>VLOOKUP($B219,'Master Tracker'!$D:$V,19,false)</f>
        <v>Not Found</v>
      </c>
      <c r="AF219" s="292">
        <f>IFERROR(__xludf.DUMMYFUNCTION("IFERROR(
  INDEX(
    FILTER(
      'Juma Recording forms'!$G:$G,
      TRIM('Juma Recording forms'!$F:$F) = TRIM($B219),
      'Juma Recording forms'!$AA:$AA = 1
    ),
    1
  ),
  ""Not Found""
)"),35.0)</f>
        <v>35</v>
      </c>
      <c r="AG219" s="292">
        <f>IFERROR(__xludf.DUMMYFUNCTION("IFERROR(
  INDEX(
    FILTER(
      'Juma Recording forms'!$G:$G,
      TRIM('Juma Recording forms'!$F:$F) = TRIM($B219),
      'Juma Recording forms'!$AA:$AA = 2
    ),
    1
  ),
  ""Not Found""
)"),29.0)</f>
        <v>29</v>
      </c>
      <c r="AH219" s="292">
        <f>IFERROR(__xludf.DUMMYFUNCTION("IFERROR(
  INDEX(
    FILTER(
      'Juma Recording forms'!$G:$G,
      TRIM('Juma Recording forms'!$F:$F) = TRIM($B219),
      'Juma Recording forms'!$AA:$AA = 3
    ),
    1
  ),
  ""Not Found""
)"),34.0)</f>
        <v>34</v>
      </c>
      <c r="AI219" s="292" t="str">
        <f>IFERROR(__xludf.DUMMYFUNCTION("IFERROR(
  INDEX(
    FILTER(
      'Juma Recording forms'!$G:$G,
      TRIM('Juma Recording forms'!$F:$F) = TRIM($B219),
      'Juma Recording forms'!$AA:$AA = 4
    ),
    1
  ),
  ""Not Found""
)"),"Not Found")</f>
        <v>Not Found</v>
      </c>
      <c r="AJ219" s="292">
        <f>IFERROR(__xludf.DUMMYFUNCTION("IFERROR(
  INDEX(
    FILTER(
      'Juma Recording forms'!$G:$G,
      TRIM('Juma Recording forms'!$F:$F) = TRIM($B219),
      'Juma Recording forms'!$AA:$AA = 5
    ),
    1
  ),
  ""Not Found""
)"),32.0)</f>
        <v>32</v>
      </c>
      <c r="AK219" s="292" t="str">
        <f>IFERROR(__xludf.DUMMYFUNCTION("IFERROR(
  INDEX(
    FILTER(
      'Juma Recording forms'!$G:$G,
      TRIM('Juma Recording forms'!$F:$F) = TRIM($B219),
      'Juma Recording forms'!$AA:$AA = 6
    ),
    1
  ),
  ""Not Found""
)"),"Not Found")</f>
        <v>Not Found</v>
      </c>
      <c r="AL2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1!$E:$E"")=$B219) *
        (IMPORTRANGE(""https://docs.google.com/spreadsheets/d/161aHT6vVT3SLneTKD19N5qVWtnj_jIT8CSsOmUVKmaA/e"&amp;"dit?gid=1761053510"",
          ""Haris_Form responses 1!$AQ:$AQ"")=1)
      ),
      1
    ),
    ""0""
  ),
  ""Form not found""
)
"),"7")</f>
        <v>7</v>
      </c>
      <c r="AM2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1!$E:$E"")=$B219) *
        (IMPORTRANGE(""https://docs.google.com/spreadsheets/d/161aHT6vVT3SLneTKD19N5qVWtnj_jIT8CSsOmUVKmaA/e"&amp;"dit?gid=1761053510"",
          ""Haris_Form responses 1!$AQ:$AQ"")=2)
      ),
      1
    ),
    ""0""
  ),
  ""Form not found""
)
"),"3")</f>
        <v>3</v>
      </c>
      <c r="AN2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1!$E:$E"")=$B219) *
        (IMPORTRANGE(""https://docs.google.com/spreadsheets/d/161aHT6vVT3SLneTKD19N5qVWtnj_jIT8CSsOmUVKmaA/e"&amp;"dit?gid=1761053510"",
          ""Haris_Form responses 1!$AQ:$AQ"")=3)
      ),
      1
    ),
    ""0""
  ),
  ""Form not found""
)
"),"4")</f>
        <v>4</v>
      </c>
      <c r="AO2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1!$E:$E"")=$B219) *
        (IMPORTRANGE(""https://docs.google.com/spreadsheets/d/161aHT6vVT3SLneTKD19N5qVWtnj_jIT8CSsOmUVKmaA/e"&amp;"dit?gid=1761053510"",
          ""Haris_Form responses 1!$AQ:$AQ"")=4)
      ),
      1
    ),
    ""0""
  ),
  ""Form not found""
)
"),"Form not found")</f>
        <v>Form not found</v>
      </c>
      <c r="AP2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1!$E:$E"")=$B219) *
        (IMPORTRANGE(""https://docs.google.com/spreadsheets/d/161aHT6vVT3SLneTKD19N5qVWtnj_jIT8CSsOmUVKmaA/e"&amp;"dit?gid=1761053510"",
          ""Haris_Form responses 1!$AQ:$AQ"")=5)
      ),
      1
    ),
    ""0""
  ),
  ""Form not found""
)
"),"0")</f>
        <v>0</v>
      </c>
      <c r="AQ21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1!$E:$E"")=$B219) *
        (IMPORTRANGE(""https://docs.google.com/spreadsheets/d/161aHT6vVT3SLneTKD19N5qVWtnj_jIT8CSsOmUVKmaA/e"&amp;"dit?gid=1761053510"",
          ""Haris_Form responses 1!$AQ:$AQ"")=6)
      ),
      1
    ),
    ""0""
  ),
  ""Form not found""
)
"),"Form not found")</f>
        <v>Form not found</v>
      </c>
      <c r="AR2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1!$E:$E"")=$B219) *
        (IMPORTRANGE(""https://docs.google.com/spreadsheets/d/161aHT6vVT3SLneTKD19N5qVWtnj_jIT8CSsOmUVKmaA/e"&amp;"dit?gid=1761053510"",
          ""Haris_Form responses 1!$AQ:$AQ"")=1)
      ),
      1
    ),
    ""0""
  ),
  ""Form not found""
)
"),"7")</f>
        <v>7</v>
      </c>
      <c r="AS2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1!$E:$E"")=$B219) *
        (IMPORTRANGE(""https://docs.google.com/spreadsheets/d/161aHT6vVT3SLneTKD19N5qVWtnj_jIT8CSsOmUVKmaA/e"&amp;"dit?gid=1761053510"",
          ""Haris_Form responses 1!$AQ:$AQ"")=2)
      ),
      1
    ),
    ""0""
  ),
  ""Form not found""
)
"),"3")</f>
        <v>3</v>
      </c>
      <c r="AT2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1!$E:$E"")=$B219) *
        (IMPORTRANGE(""https://docs.google.com/spreadsheets/d/161aHT6vVT3SLneTKD19N5qVWtnj_jIT8CSsOmUVKmaA/e"&amp;"dit?gid=1761053510"",
          ""Haris_Form responses 1!$AQ:$AQ"")=3)
      ),
      1
    ),
    ""0""
  ),
  ""Form not found""
)
"),"4")</f>
        <v>4</v>
      </c>
      <c r="AU2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1!$E:$E"")=$B219) *
        (IMPORTRANGE(""https://docs.google.com/spreadsheets/d/161aHT6vVT3SLneTKD19N5qVWtnj_jIT8CSsOmUVKmaA/e"&amp;"dit?gid=1761053510"",
          ""Haris_Form responses 1!$AQ:$AQ"")=4)
      ),
      1
    ),
    ""0""
  ),
  ""Form not found""
)
"),"Form not found")</f>
        <v>Form not found</v>
      </c>
      <c r="AV2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1!$E:$E"")=$B219) *
        (IMPORTRANGE(""https://docs.google.com/spreadsheets/d/161aHT6vVT3SLneTKD19N5qVWtnj_jIT8CSsOmUVKmaA/e"&amp;"dit?gid=1761053510"",
          ""Haris_Form responses 1!$AQ:$AQ"")=5)
      ),
      1
    ),
    ""0""
  ),
  ""Form not found""
)
"),"0")</f>
        <v>0</v>
      </c>
      <c r="AW21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1!$E:$E"")=$B219) *
        (IMPORTRANGE(""https://docs.google.com/spreadsheets/d/161aHT6vVT3SLneTKD19N5qVWtnj_jIT8CSsOmUVKmaA/e"&amp;"dit?gid=1761053510"",
          ""Haris_Form responses 1!$AQ:$AQ"")=6)
      ),
      1
    ),
    ""0""
  ),
  ""Form not found""
)
"),"Form not found")</f>
        <v>Form not found</v>
      </c>
      <c r="AX2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1!$E:$E"")=$B219) *
        (IMPORTRANGE(""https://docs.google.com/spreadsheets/d/161aHT6vVT3SLneTKD19N5qVWtnj_jIT8CSsOmUVKmaA/e"&amp;"dit?gid=1761053510"",
          ""Haris_Form responses 1!$AQ:$AQ"")=1)
      ),
      1
    ),
    ""0""
  ),
  ""Form not found""
)
"),"0")</f>
        <v>0</v>
      </c>
      <c r="AY2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1!$E:$E"")=$B219) *
        (IMPORTRANGE(""https://docs.google.com/spreadsheets/d/161aHT6vVT3SLneTKD19N5qVWtnj_jIT8CSsOmUVKmaA/e"&amp;"dit?gid=1761053510"",
          ""Haris_Form responses 1!$AQ:$AQ"")=2)
      ),
      1
    ),
    ""0""
  ),
  ""Form not found""
)
"),"0")</f>
        <v>0</v>
      </c>
      <c r="AZ2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1!$E:$E"")=$B219) *
        (IMPORTRANGE(""https://docs.google.com/spreadsheets/d/161aHT6vVT3SLneTKD19N5qVWtnj_jIT8CSsOmUVKmaA/e"&amp;"dit?gid=1761053510"",
          ""Haris_Form responses 1!$AQ:$AQ"")=3)
      ),
      1
    ),
    ""0""
  ),
  ""Form not found""
)
"),"0")</f>
        <v>0</v>
      </c>
      <c r="BA2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1!$E:$E"")=$B219) *
        (IMPORTRANGE(""https://docs.google.com/spreadsheets/d/161aHT6vVT3SLneTKD19N5qVWtnj_jIT8CSsOmUVKmaA/e"&amp;"dit?gid=1761053510"",
          ""Haris_Form responses 1!$AQ:$AQ"")=4)
      ),
      1
    ),
    ""0""
  ),
  ""Form not found""
)
"),"Form not found")</f>
        <v>Form not found</v>
      </c>
      <c r="BB2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1!$E:$E"")=$B219) *
        (IMPORTRANGE(""https://docs.google.com/spreadsheets/d/161aHT6vVT3SLneTKD19N5qVWtnj_jIT8CSsOmUVKmaA/e"&amp;"dit?gid=1761053510"",
          ""Haris_Form responses 1!$AQ:$AQ"")=5)
      ),
      1
    ),
    ""0""
  ),
  ""Form not found""
)
"),"0")</f>
        <v>0</v>
      </c>
      <c r="BC21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1!$E:$E"")=$B219) *
        (IMPORTRANGE(""https://docs.google.com/spreadsheets/d/161aHT6vVT3SLneTKD19N5qVWtnj_jIT8CSsOmUVKmaA/e"&amp;"dit?gid=1761053510"",
          ""Haris_Form responses 1!$AQ:$AQ"")=6)
      ),
      1
    ),
    ""0""
  ),
  ""Form not found""
)
"),"Form not found")</f>
        <v>Form not found</v>
      </c>
      <c r="BD219" s="293"/>
    </row>
    <row r="220">
      <c r="A220" s="283" t="str">
        <f>IFERROR(__xludf.DUMMYFUNCTION("VLOOKUP($B220,IMPORTRANGE(""https://docs.google.com/spreadsheets/d/1VNXDITjs75AcgdBSW27oL1VZH31udDprJSsBcE5xlp4/edit?gid=1551188038#gid=1551188038"", ""Sheet9!$B:$E""),2,false)"),"Rahim Yar Khan")</f>
        <v>Rahim Yar Khan</v>
      </c>
      <c r="B220" s="283" t="s">
        <v>4661</v>
      </c>
      <c r="C220" s="284" t="str">
        <f>IFERROR(__xludf.DUMMYFUNCTION("VLOOKUP(TRIM($B220), IMPORTRANGE(""https://docs.google.com/spreadsheets/d/1aSOrU4PTpuBZqfitKaH1Rfww6-YOiNCKoBpPl8XBHaw/edit?gid=0#gid=0"", ""sheet3!$B:$C""), 2, FALSE)
"),"Jamia Masjid Goth Aalu Sadiqabaad")</f>
        <v>Jamia Masjid Goth Aalu Sadiqabaad</v>
      </c>
      <c r="D220" s="284" t="str">
        <f>IFERROR(__xludf.DUMMYFUNCTION("IFERROR(
  INDEX(
    FILTER(
      IMPORTRANGE(""1aSOrU4PTpuBZqfitKaH1Rfww6-YOiNCKoBpPl8XBHaw/edit?gid=0#gid=0"",""Sheet1!G:G""),
      IMPORTRANGE(""1aSOrU4PTpuBZqfitKaH1Rfww6-YOiNCKoBpPl8XBHaw/edit?gid=0#gid=0"",""Sheet1!C:C"")=$B220
    ),
    1
  ),
"&amp;"  ""Not Found""
)"),"Women Religious No Info Share")</f>
        <v>Women Religious No Info Share</v>
      </c>
      <c r="E220" s="284" t="str">
        <f>VLOOKUP(B220,'Juma Recording forms'!A:E,5,false)</f>
        <v>Jamai Mosjid Goth Aalu Sadicabad </v>
      </c>
      <c r="F220" s="284" t="str">
        <f>IFERROR(__xludf.DUMMYFUNCTION("IFERROR(
  INDEX(
    FILTER(
      IMPORTRANGE(""1Cxrhp3-_-HS7v9uuqQliiIfrmMP4VaFoDNDWyUFy2J8/edit?gid=0#gid=0"",""Sheet1!Q:Q""),
      IMPORTRANGE(""1Cxrhp3-_-HS7v9uuqQliiIfrmMP4VaFoDNDWyUFy2J8/edit?gid=0#gid=0"",""Sheet1!K:K"")=$B220
    ),
    1
  ),
"&amp;"  ""Not Found""
)"),"Muhammad Talib Hanafi")</f>
        <v>Muhammad Talib Hanafi</v>
      </c>
      <c r="G220" s="284">
        <v>1986.0</v>
      </c>
      <c r="H220" s="284"/>
      <c r="I220" s="285" t="s">
        <v>197</v>
      </c>
      <c r="J220" s="286">
        <v>1.0</v>
      </c>
      <c r="K220" s="287" t="str">
        <f>VLOOKUP($B220,'Mosque Locations'!$A:$E,3,FALSE)
</f>
        <v>https://www.google.com/maps?q=28.2246009,69.9309028</v>
      </c>
      <c r="L220" s="286">
        <f>VLOOKUP($B220,'Mosque Locations'!$A:$E,4,FALSE)
</f>
        <v>28.2246</v>
      </c>
      <c r="M220" s="286">
        <f>VLOOKUP($B220,'Mosque Locations'!$A:$E,5,false)</f>
        <v>69.9309</v>
      </c>
      <c r="N220" s="288"/>
      <c r="O220" s="288"/>
      <c r="P220" s="288"/>
      <c r="Q220" s="295" t="str">
        <f>IFERROR(__xludf.DUMMYFUNCTION("IFERROR(
  INDEX(
    FILTER(
      IMPORTRANGE(""1kOrIKZmJfNUkgOVP3sI9BPjaaPA0_a4636oymQxTXg8"",""Form Responses 1!N:N""),
      TRIM(IMPORTRANGE(""1kOrIKZmJfNUkgOVP3sI9BPjaaPA0_a4636oymQxTXg8"",""Form Responses 1!F:F""))=TRIM($B220)
    ),
    1
  ),
  "&amp;"""Not Found""
)
"),"https://drive.google.com/file/d/1lPjj-Gph7tfIi8-8qf5pweUNDL-r2s5I/view?usp=drive_link")</f>
        <v>https://drive.google.com/file/d/1lPjj-Gph7tfIi8-8qf5pweUNDL-r2s5I/view?usp=drive_link</v>
      </c>
      <c r="R220" s="290" t="str">
        <f>IFERROR(__xludf.DUMMYFUNCTION("IFERROR(
  INDEX(
    FILTER(
      IMPORTRANGE(""1kOrIKZmJfNUkgOVP3sI9BPjaaPA0_a4636oymQxTXg8"",""Form Responses 1!M:M""),
      TRIM(IMPORTRANGE(""1kOrIKZmJfNUkgOVP3sI9BPjaaPA0_a4636oymQxTXg8"",""Form Responses 1!F:F""))=TRIM($B220)
    ),
    1
  ),
  "&amp;"""Not Found""
)
"),"https://drive.google.com/open?id=1hFy1YVYn3cPbT95OlNeu2E-4fkNXZCip")</f>
        <v>https://drive.google.com/open?id=1hFy1YVYn3cPbT95OlNeu2E-4fkNXZCip</v>
      </c>
      <c r="S220" s="285"/>
      <c r="T220" s="290" t="str">
        <f>VLOOKUP($B220,'Master Tracker'!D:E,2,false)</f>
        <v>https://drive.google.com/open?id=1xFVhtLoXOC3uAFfIdSVUWAMGapX_JAwE</v>
      </c>
      <c r="U220" s="291" t="str">
        <f>VLOOKUP($B220,'Master Tracker'!$D:$T,4,FALSE)
</f>
        <v>https://drive.google.com/open?id=1FJbeaUHuvAz88dpELZps_vgxBhBdx8mc8jgY_gAbrLw</v>
      </c>
      <c r="V220" s="290" t="str">
        <f>VLOOKUP($B220,'Master Tracker'!$D:$T,5,false)</f>
        <v>https://drive.google.com/open?id=19JQUDrbSGyqikN9uzHI9n8oLKAwLC4A_</v>
      </c>
      <c r="W220" s="291" t="str">
        <f>VLOOKUP($B220,'Master Tracker'!$D:$T,7,false)</f>
        <v>https://drive.google.com/open?id=13INO2t2LhRhM7iDavO9VX9n0JUednpcMrZYAKbqWMbU</v>
      </c>
      <c r="X220" s="290" t="str">
        <f>VLOOKUP($B220,'Master Tracker'!$D:$T,8,false)</f>
        <v>https://drive.google.com/open?id=1iihWW11MhrZkqSLVlkRYurNoP33cKIbb</v>
      </c>
      <c r="Y220" s="291" t="str">
        <f>VLOOKUP($B220,'Master Tracker'!$D:$T,10,false)</f>
        <v>https://drive.google.com/open?id=12IHG7LDYqGZC8qXQ8nmJkzj2cw1cHpJ1vuPFWOiL-MQ</v>
      </c>
      <c r="Z220" s="284" t="str">
        <f>VLOOKUP($B220,'Master Tracker'!$D:$T,11,false)</f>
        <v>Not Found</v>
      </c>
      <c r="AA220" s="292" t="str">
        <f>VLOOKUP($B220,'Master Tracker'!$D:$T,13,false)</f>
        <v>Not Found</v>
      </c>
      <c r="AB220" s="284" t="str">
        <f>VLOOKUP($B220,'Master Tracker'!$D:$T,14,false)</f>
        <v>Not Found</v>
      </c>
      <c r="AC220" s="292" t="str">
        <f>VLOOKUP($B220,'Master Tracker'!$D:$T,16,false)</f>
        <v>Not Found</v>
      </c>
      <c r="AD220" s="292" t="str">
        <f>VLOOKUP($B220,'Master Tracker'!$D:$T,17,false)</f>
        <v>Not Found</v>
      </c>
      <c r="AE220" s="292" t="str">
        <f>VLOOKUP($B220,'Master Tracker'!$D:$V,19,false)</f>
        <v>Not Found</v>
      </c>
      <c r="AF220" s="292">
        <f>IFERROR(__xludf.DUMMYFUNCTION("IFERROR(
  INDEX(
    FILTER(
      'Juma Recording forms'!$G:$G,
      TRIM('Juma Recording forms'!$F:$F) = TRIM($B220),
      'Juma Recording forms'!$AA:$AA = 1
    ),
    1
  ),
  ""Not Found""
)"),50.0)</f>
        <v>50</v>
      </c>
      <c r="AG220" s="292">
        <f>IFERROR(__xludf.DUMMYFUNCTION("IFERROR(
  INDEX(
    FILTER(
      'Juma Recording forms'!$G:$G,
      TRIM('Juma Recording forms'!$F:$F) = TRIM($B220),
      'Juma Recording forms'!$AA:$AA = 2
    ),
    1
  ),
  ""Not Found""
)"),48.0)</f>
        <v>48</v>
      </c>
      <c r="AH220" s="292">
        <f>IFERROR(__xludf.DUMMYFUNCTION("IFERROR(
  INDEX(
    FILTER(
      'Juma Recording forms'!$G:$G,
      TRIM('Juma Recording forms'!$F:$F) = TRIM($B220),
      'Juma Recording forms'!$AA:$AA = 3
    ),
    1
  ),
  ""Not Found""
)"),58.0)</f>
        <v>58</v>
      </c>
      <c r="AI220" s="292" t="str">
        <f>IFERROR(__xludf.DUMMYFUNCTION("IFERROR(
  INDEX(
    FILTER(
      'Juma Recording forms'!$G:$G,
      TRIM('Juma Recording forms'!$F:$F) = TRIM($B220),
      'Juma Recording forms'!$AA:$AA = 4
    ),
    1
  ),
  ""Not Found""
)"),"Not Found")</f>
        <v>Not Found</v>
      </c>
      <c r="AJ220" s="292" t="str">
        <f>IFERROR(__xludf.DUMMYFUNCTION("IFERROR(
  INDEX(
    FILTER(
      'Juma Recording forms'!$G:$G,
      TRIM('Juma Recording forms'!$F:$F) = TRIM($B220),
      'Juma Recording forms'!$AA:$AA = 5
    ),
    1
  ),
  ""Not Found""
)"),"Not Found")</f>
        <v>Not Found</v>
      </c>
      <c r="AK220" s="292" t="str">
        <f>IFERROR(__xludf.DUMMYFUNCTION("IFERROR(
  INDEX(
    FILTER(
      'Juma Recording forms'!$G:$G,
      TRIM('Juma Recording forms'!$F:$F) = TRIM($B220),
      'Juma Recording forms'!$AA:$AA = 6
    ),
    1
  ),
  ""Not Found""
)"),"Not Found")</f>
        <v>Not Found</v>
      </c>
      <c r="AL2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1!$E:$E"")=$B220) *
        (IMPORTRANGE(""https://docs.google.com/spreadsheets/d/161aHT6vVT3SLneTKD19N5qVWtnj_jIT8CSsOmUVKmaA/e"&amp;"dit?gid=1761053510"",
          ""Haris_Form responses 1!$AQ:$AQ"")=1)
      ),
      1
    ),
    ""0""
  ),
  ""Form not found""
)
"),"10")</f>
        <v>10</v>
      </c>
      <c r="AM2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1!$E:$E"")=$B220) *
        (IMPORTRANGE(""https://docs.google.com/spreadsheets/d/161aHT6vVT3SLneTKD19N5qVWtnj_jIT8CSsOmUVKmaA/e"&amp;"dit?gid=1761053510"",
          ""Haris_Form responses 1!$AQ:$AQ"")=2)
      ),
      1
    ),
    ""0""
  ),
  ""Form not found""
)
"),"10")</f>
        <v>10</v>
      </c>
      <c r="AN2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1!$E:$E"")=$B220) *
        (IMPORTRANGE(""https://docs.google.com/spreadsheets/d/161aHT6vVT3SLneTKD19N5qVWtnj_jIT8CSsOmUVKmaA/e"&amp;"dit?gid=1761053510"",
          ""Haris_Form responses 1!$AQ:$AQ"")=3)
      ),
      1
    ),
    ""0""
  ),
  ""Form not found""
)
"),"10")</f>
        <v>10</v>
      </c>
      <c r="AO2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1!$E:$E"")=$B220) *
        (IMPORTRANGE(""https://docs.google.com/spreadsheets/d/161aHT6vVT3SLneTKD19N5qVWtnj_jIT8CSsOmUVKmaA/e"&amp;"dit?gid=1761053510"",
          ""Haris_Form responses 1!$AQ:$AQ"")=4)
      ),
      1
    ),
    ""0""
  ),
  ""Form not found""
)
"),"Form not found")</f>
        <v>Form not found</v>
      </c>
      <c r="AP2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1!$E:$E"")=$B220) *
        (IMPORTRANGE(""https://docs.google.com/spreadsheets/d/161aHT6vVT3SLneTKD19N5qVWtnj_jIT8CSsOmUVKmaA/e"&amp;"dit?gid=1761053510"",
          ""Haris_Form responses 1!$AQ:$AQ"")=5)
      ),
      1
    ),
    ""0""
  ),
  ""Form not found""
)
"),"Form not found")</f>
        <v>Form not found</v>
      </c>
      <c r="AQ22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1!$E:$E"")=$B220) *
        (IMPORTRANGE(""https://docs.google.com/spreadsheets/d/161aHT6vVT3SLneTKD19N5qVWtnj_jIT8CSsOmUVKmaA/e"&amp;"dit?gid=1761053510"",
          ""Haris_Form responses 1!$AQ:$AQ"")=6)
      ),
      1
    ),
    ""0""
  ),
  ""Form not found""
)
"),"Form not found")</f>
        <v>Form not found</v>
      </c>
      <c r="AR2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1!$E:$E"")=$B220) *
        (IMPORTRANGE(""https://docs.google.com/spreadsheets/d/161aHT6vVT3SLneTKD19N5qVWtnj_jIT8CSsOmUVKmaA/e"&amp;"dit?gid=1761053510"",
          ""Haris_Form responses 1!$AQ:$AQ"")=1)
      ),
      1
    ),
    ""0""
  ),
  ""Form not found""
)
"),"0")</f>
        <v>0</v>
      </c>
      <c r="AS2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1!$E:$E"")=$B220) *
        (IMPORTRANGE(""https://docs.google.com/spreadsheets/d/161aHT6vVT3SLneTKD19N5qVWtnj_jIT8CSsOmUVKmaA/e"&amp;"dit?gid=1761053510"",
          ""Haris_Form responses 1!$AQ:$AQ"")=2)
      ),
      1
    ),
    ""0""
  ),
  ""Form not found""
)
"),"0")</f>
        <v>0</v>
      </c>
      <c r="AT2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1!$E:$E"")=$B220) *
        (IMPORTRANGE(""https://docs.google.com/spreadsheets/d/161aHT6vVT3SLneTKD19N5qVWtnj_jIT8CSsOmUVKmaA/e"&amp;"dit?gid=1761053510"",
          ""Haris_Form responses 1!$AQ:$AQ"")=3)
      ),
      1
    ),
    ""0""
  ),
  ""Form not found""
)
"),"0")</f>
        <v>0</v>
      </c>
      <c r="AU2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1!$E:$E"")=$B220) *
        (IMPORTRANGE(""https://docs.google.com/spreadsheets/d/161aHT6vVT3SLneTKD19N5qVWtnj_jIT8CSsOmUVKmaA/e"&amp;"dit?gid=1761053510"",
          ""Haris_Form responses 1!$AQ:$AQ"")=4)
      ),
      1
    ),
    ""0""
  ),
  ""Form not found""
)
"),"Form not found")</f>
        <v>Form not found</v>
      </c>
      <c r="AV2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1!$E:$E"")=$B220) *
        (IMPORTRANGE(""https://docs.google.com/spreadsheets/d/161aHT6vVT3SLneTKD19N5qVWtnj_jIT8CSsOmUVKmaA/e"&amp;"dit?gid=1761053510"",
          ""Haris_Form responses 1!$AQ:$AQ"")=5)
      ),
      1
    ),
    ""0""
  ),
  ""Form not found""
)
"),"Form not found")</f>
        <v>Form not found</v>
      </c>
      <c r="AW22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1!$E:$E"")=$B220) *
        (IMPORTRANGE(""https://docs.google.com/spreadsheets/d/161aHT6vVT3SLneTKD19N5qVWtnj_jIT8CSsOmUVKmaA/e"&amp;"dit?gid=1761053510"",
          ""Haris_Form responses 1!$AQ:$AQ"")=6)
      ),
      1
    ),
    ""0""
  ),
  ""Form not found""
)
"),"Form not found")</f>
        <v>Form not found</v>
      </c>
      <c r="AX2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1!$E:$E"")=$B220) *
        (IMPORTRANGE(""https://docs.google.com/spreadsheets/d/161aHT6vVT3SLneTKD19N5qVWtnj_jIT8CSsOmUVKmaA/e"&amp;"dit?gid=1761053510"",
          ""Haris_Form responses 1!$AQ:$AQ"")=1)
      ),
      1
    ),
    ""0""
  ),
  ""Form not found""
)
"),"10")</f>
        <v>10</v>
      </c>
      <c r="AY2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1!$E:$E"")=$B220) *
        (IMPORTRANGE(""https://docs.google.com/spreadsheets/d/161aHT6vVT3SLneTKD19N5qVWtnj_jIT8CSsOmUVKmaA/e"&amp;"dit?gid=1761053510"",
          ""Haris_Form responses 1!$AQ:$AQ"")=2)
      ),
      1
    ),
    ""0""
  ),
  ""Form not found""
)
"),"10")</f>
        <v>10</v>
      </c>
      <c r="AZ2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1!$E:$E"")=$B220) *
        (IMPORTRANGE(""https://docs.google.com/spreadsheets/d/161aHT6vVT3SLneTKD19N5qVWtnj_jIT8CSsOmUVKmaA/e"&amp;"dit?gid=1761053510"",
          ""Haris_Form responses 1!$AQ:$AQ"")=3)
      ),
      1
    ),
    ""0""
  ),
  ""Form not found""
)
"),"10")</f>
        <v>10</v>
      </c>
      <c r="BA2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1!$E:$E"")=$B220) *
        (IMPORTRANGE(""https://docs.google.com/spreadsheets/d/161aHT6vVT3SLneTKD19N5qVWtnj_jIT8CSsOmUVKmaA/e"&amp;"dit?gid=1761053510"",
          ""Haris_Form responses 1!$AQ:$AQ"")=4)
      ),
      1
    ),
    ""0""
  ),
  ""Form not found""
)
"),"Form not found")</f>
        <v>Form not found</v>
      </c>
      <c r="BB2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1!$E:$E"")=$B220) *
        (IMPORTRANGE(""https://docs.google.com/spreadsheets/d/161aHT6vVT3SLneTKD19N5qVWtnj_jIT8CSsOmUVKmaA/e"&amp;"dit?gid=1761053510"",
          ""Haris_Form responses 1!$AQ:$AQ"")=5)
      ),
      1
    ),
    ""0""
  ),
  ""Form not found""
)
"),"Form not found")</f>
        <v>Form not found</v>
      </c>
      <c r="BC22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1!$E:$E"")=$B220) *
        (IMPORTRANGE(""https://docs.google.com/spreadsheets/d/161aHT6vVT3SLneTKD19N5qVWtnj_jIT8CSsOmUVKmaA/e"&amp;"dit?gid=1761053510"",
          ""Haris_Form responses 1!$AQ:$AQ"")=6)
      ),
      1
    ),
    ""0""
  ),
  ""Form not found""
)
"),"Form not found")</f>
        <v>Form not found</v>
      </c>
      <c r="BD220" s="293"/>
    </row>
    <row r="221">
      <c r="A221" s="283" t="str">
        <f>IFERROR(__xludf.DUMMYFUNCTION("VLOOKUP($B221,IMPORTRANGE(""https://docs.google.com/spreadsheets/d/1VNXDITjs75AcgdBSW27oL1VZH31udDprJSsBcE5xlp4/edit?gid=1551188038#gid=1551188038"", ""Sheet9!$B:$E""),2,false)"),"Rahim Yar Khan")</f>
        <v>Rahim Yar Khan</v>
      </c>
      <c r="B221" s="283" t="s">
        <v>4662</v>
      </c>
      <c r="C221" s="284" t="str">
        <f>IFERROR(__xludf.DUMMYFUNCTION("VLOOKUP(TRIM($B221), IMPORTRANGE(""https://docs.google.com/spreadsheets/d/1aSOrU4PTpuBZqfitKaH1Rfww6-YOiNCKoBpPl8XBHaw/edit?gid=0#gid=0"", ""sheet3!$B:$C""), 2, FALSE)
"),"Jamia Masjid Nazamat / Nazamat market Railway Road Rahim Yar Khan")</f>
        <v>Jamia Masjid Nazamat / Nazamat market Railway Road Rahim Yar Khan</v>
      </c>
      <c r="D221" s="284" t="str">
        <f>IFERROR(__xludf.DUMMYFUNCTION("IFERROR(
  INDEX(
    FILTER(
      IMPORTRANGE(""1aSOrU4PTpuBZqfitKaH1Rfww6-YOiNCKoBpPl8XBHaw/edit?gid=0#gid=0"",""Sheet1!G:G""),
      IMPORTRANGE(""1aSOrU4PTpuBZqfitKaH1Rfww6-YOiNCKoBpPl8XBHaw/edit?gid=0#gid=0"",""Sheet1!C:C"")=$B221
    ),
    1
  ),
"&amp;"  ""Not Found""
)"),"Community Religious No Info Share")</f>
        <v>Community Religious No Info Share</v>
      </c>
      <c r="E221" s="284" t="str">
        <f>VLOOKUP(B221,'Juma Recording forms'!A:E,5,false)</f>
        <v>Jamia Masjid Nizamat</v>
      </c>
      <c r="F221" s="284" t="str">
        <f>IFERROR(__xludf.DUMMYFUNCTION("IFERROR(
  INDEX(
    FILTER(
      IMPORTRANGE(""1Cxrhp3-_-HS7v9uuqQliiIfrmMP4VaFoDNDWyUFy2J8/edit?gid=0#gid=0"",""Sheet1!Q:Q""),
      IMPORTRANGE(""1Cxrhp3-_-HS7v9uuqQliiIfrmMP4VaFoDNDWyUFy2J8/edit?gid=0#gid=0"",""Sheet1!K:K"")=$B221
    ),
    1
  ),
"&amp;"  ""Not Found""
)"),"Qazi Khalil-ur-Rehman")</f>
        <v>Qazi Khalil-ur-Rehman</v>
      </c>
      <c r="G221" s="284">
        <v>1978.0</v>
      </c>
      <c r="H221" s="284"/>
      <c r="I221" s="285" t="s">
        <v>401</v>
      </c>
      <c r="J221" s="286">
        <v>2.0</v>
      </c>
      <c r="K221" s="287" t="str">
        <f>VLOOKUP($B221,'Mosque Locations'!$A:$E,3,FALSE)
</f>
        <v>https://www.google.com/maps?q=28.4196412,70.3060157</v>
      </c>
      <c r="L221" s="286">
        <f>VLOOKUP($B221,'Mosque Locations'!$A:$E,4,FALSE)
</f>
        <v>28.41964</v>
      </c>
      <c r="M221" s="286">
        <f>VLOOKUP($B221,'Mosque Locations'!$A:$E,5,false)</f>
        <v>70.30602</v>
      </c>
      <c r="N221" s="288"/>
      <c r="O221" s="288"/>
      <c r="P221" s="288"/>
      <c r="Q221" s="290" t="str">
        <f>IFERROR(__xludf.DUMMYFUNCTION("IFERROR(
  INDEX(
    FILTER(
      IMPORTRANGE(""1kOrIKZmJfNUkgOVP3sI9BPjaaPA0_a4636oymQxTXg8"",""Form Responses 1!N:N""),
      TRIM(IMPORTRANGE(""1kOrIKZmJfNUkgOVP3sI9BPjaaPA0_a4636oymQxTXg8"",""Form Responses 1!F:F""))=TRIM($B221)
    ),
    1
  ),
  "&amp;"""Not Found""
)
"),"https://drive.google.com/open?id=1FgBYqrTQApG4VKxsuy2kK2QM8lgX0avI")</f>
        <v>https://drive.google.com/open?id=1FgBYqrTQApG4VKxsuy2kK2QM8lgX0avI</v>
      </c>
      <c r="R221" s="284" t="str">
        <f>IFERROR(__xludf.DUMMYFUNCTION("IFERROR(
  INDEX(
    FILTER(
      IMPORTRANGE(""1kOrIKZmJfNUkgOVP3sI9BPjaaPA0_a4636oymQxTXg8"",""Form Responses 1!M:M""),
      TRIM(IMPORTRANGE(""1kOrIKZmJfNUkgOVP3sI9BPjaaPA0_a4636oymQxTXg8"",""Form Responses 1!F:F""))=TRIM($B221)
    ),
    1
  ),
  "&amp;"""Not Found""
)
"),"https://drive.google.com/open?id=1Vn70AfXeBdd8p4UFpUkKSKee4uqlmypl, https://drive.google.com/open?id=11DJTfzMimzgxivdz9S7JFwD5XmEX4a5I")</f>
        <v>https://drive.google.com/open?id=1Vn70AfXeBdd8p4UFpUkKSKee4uqlmypl, https://drive.google.com/open?id=11DJTfzMimzgxivdz9S7JFwD5XmEX4a5I</v>
      </c>
      <c r="S221" s="285"/>
      <c r="T221" s="290" t="str">
        <f>VLOOKUP($B221,'Master Tracker'!D:E,2,false)</f>
        <v>https://drive.google.com/open?id=1t1QF7MsPOQijIlAgmp9ZL3jb_BlE7YQ1</v>
      </c>
      <c r="U221" s="291" t="str">
        <f>VLOOKUP($B221,'Master Tracker'!$D:$T,4,FALSE)
</f>
        <v>https://drive.google.com/open?id=1owxxZtCXWabEjEb2J0jP4tPrIYdAhbPJ</v>
      </c>
      <c r="V221" s="290" t="str">
        <f>VLOOKUP($B221,'Master Tracker'!$D:$T,5,false)</f>
        <v>https://drive.google.com/open?id=1tnH_Wh92IUrdClWxqh9isYYl3CYJv6ua</v>
      </c>
      <c r="W221" s="291" t="str">
        <f>VLOOKUP($B221,'Master Tracker'!$D:$T,7,false)</f>
        <v>https://drive.google.com/open?id=18w7id0yIAU5-eNeiSapiM-TtM6ulvgky</v>
      </c>
      <c r="X221" s="290" t="str">
        <f>VLOOKUP($B221,'Master Tracker'!$D:$T,8,false)</f>
        <v>https://drive.google.com/open?id=1gwZTfEdP4FHEG7TLZlF2xI1fJ84lQ5Ou</v>
      </c>
      <c r="Y221" s="291" t="str">
        <f>VLOOKUP($B221,'Master Tracker'!$D:$T,10,false)</f>
        <v>https://drive.google.com/open?id=1dzUt0zi_ZosYGMZfZeVJ4Rrs5_VE6RHs</v>
      </c>
      <c r="Z221" s="284" t="str">
        <f>VLOOKUP($B221,'Master Tracker'!$D:$T,11,false)</f>
        <v>Not Found</v>
      </c>
      <c r="AA221" s="292" t="str">
        <f>VLOOKUP($B221,'Master Tracker'!$D:$T,13,false)</f>
        <v>Not Found</v>
      </c>
      <c r="AB221" s="290" t="str">
        <f>VLOOKUP($B221,'Master Tracker'!$D:$T,14,false)</f>
        <v>https://drive.google.com/open?id=10BPn7hsPEazLCu1Scm1CRuUGQwOblalC</v>
      </c>
      <c r="AC221" s="291" t="str">
        <f>VLOOKUP($B221,'Master Tracker'!$D:$T,16,false)</f>
        <v>https://drive.google.com/open?id=16Bap-GSdm48zzGCmd7bx5pymgfeaEsYXwKgqYP_qLpQ</v>
      </c>
      <c r="AD221" s="292" t="str">
        <f>VLOOKUP($B221,'Master Tracker'!$D:$T,17,false)</f>
        <v>Not Found</v>
      </c>
      <c r="AE221" s="292" t="str">
        <f>VLOOKUP($B221,'Master Tracker'!$D:$V,19,false)</f>
        <v>Not Found</v>
      </c>
      <c r="AF221" s="292">
        <f>IFERROR(__xludf.DUMMYFUNCTION("IFERROR(
  INDEX(
    FILTER(
      'Juma Recording forms'!$G:$G,
      TRIM('Juma Recording forms'!$F:$F) = TRIM($B221),
      'Juma Recording forms'!$AA:$AA = 1
    ),
    1
  ),
  ""Not Found""
)"),1003.0)</f>
        <v>1003</v>
      </c>
      <c r="AG221" s="292">
        <f>IFERROR(__xludf.DUMMYFUNCTION("IFERROR(
  INDEX(
    FILTER(
      'Juma Recording forms'!$G:$G,
      TRIM('Juma Recording forms'!$F:$F) = TRIM($B221),
      'Juma Recording forms'!$AA:$AA = 2
    ),
    1
  ),
  ""Not Found""
)"),995.0)</f>
        <v>995</v>
      </c>
      <c r="AH221" s="292">
        <f>IFERROR(__xludf.DUMMYFUNCTION("IFERROR(
  INDEX(
    FILTER(
      'Juma Recording forms'!$G:$G,
      TRIM('Juma Recording forms'!$F:$F) = TRIM($B221),
      'Juma Recording forms'!$AA:$AA = 3
    ),
    1
  ),
  ""Not Found""
)"),1015.0)</f>
        <v>1015</v>
      </c>
      <c r="AI221" s="292" t="str">
        <f>IFERROR(__xludf.DUMMYFUNCTION("IFERROR(
  INDEX(
    FILTER(
      'Juma Recording forms'!$G:$G,
      TRIM('Juma Recording forms'!$F:$F) = TRIM($B221),
      'Juma Recording forms'!$AA:$AA = 4
    ),
    1
  ),
  ""Not Found""
)"),"Not Found")</f>
        <v>Not Found</v>
      </c>
      <c r="AJ221" s="292">
        <f>IFERROR(__xludf.DUMMYFUNCTION("IFERROR(
  INDEX(
    FILTER(
      'Juma Recording forms'!$G:$G,
      TRIM('Juma Recording forms'!$F:$F) = TRIM($B221),
      'Juma Recording forms'!$AA:$AA = 5
    ),
    1
  ),
  ""Not Found""
)"),950.0)</f>
        <v>950</v>
      </c>
      <c r="AK221" s="292" t="str">
        <f>IFERROR(__xludf.DUMMYFUNCTION("IFERROR(
  INDEX(
    FILTER(
      'Juma Recording forms'!$G:$G,
      TRIM('Juma Recording forms'!$F:$F) = TRIM($B221),
      'Juma Recording forms'!$AA:$AA = 6
    ),
    1
  ),
  ""Not Found""
)"),"Not Found")</f>
        <v>Not Found</v>
      </c>
      <c r="AL2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1!$E:$E"")=$B221) *
        (IMPORTRANGE(""https://docs.google.com/spreadsheets/d/161aHT6vVT3SLneTKD19N5qVWtnj_jIT8CSsOmUVKmaA/e"&amp;"dit?gid=1761053510"",
          ""Haris_Form responses 1!$AQ:$AQ"")=1)
      ),
      1
    ),
    ""0""
  ),
  ""Form not found""
)
"),"9")</f>
        <v>9</v>
      </c>
      <c r="AM2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1!$E:$E"")=$B221) *
        (IMPORTRANGE(""https://docs.google.com/spreadsheets/d/161aHT6vVT3SLneTKD19N5qVWtnj_jIT8CSsOmUVKmaA/e"&amp;"dit?gid=1761053510"",
          ""Haris_Form responses 1!$AQ:$AQ"")=2)
      ),
      1
    ),
    ""0""
  ),
  ""Form not found""
)
"),"5")</f>
        <v>5</v>
      </c>
      <c r="AN2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1!$E:$E"")=$B221) *
        (IMPORTRANGE(""https://docs.google.com/spreadsheets/d/161aHT6vVT3SLneTKD19N5qVWtnj_jIT8CSsOmUVKmaA/e"&amp;"dit?gid=1761053510"",
          ""Haris_Form responses 1!$AQ:$AQ"")=3)
      ),
      1
    ),
    ""0""
  ),
  ""Form not found""
)
"),"8")</f>
        <v>8</v>
      </c>
      <c r="AO2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1!$E:$E"")=$B221) *
        (IMPORTRANGE(""https://docs.google.com/spreadsheets/d/161aHT6vVT3SLneTKD19N5qVWtnj_jIT8CSsOmUVKmaA/e"&amp;"dit?gid=1761053510"",
          ""Haris_Form responses 1!$AQ:$AQ"")=4)
      ),
      1
    ),
    ""0""
  ),
  ""Form not found""
)
"),"Form not found")</f>
        <v>Form not found</v>
      </c>
      <c r="AP2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1!$E:$E"")=$B221) *
        (IMPORTRANGE(""https://docs.google.com/spreadsheets/d/161aHT6vVT3SLneTKD19N5qVWtnj_jIT8CSsOmUVKmaA/e"&amp;"dit?gid=1761053510"",
          ""Haris_Form responses 1!$AQ:$AQ"")=5)
      ),
      1
    ),
    ""0""
  ),
  ""Form not found""
)
"),"0")</f>
        <v>0</v>
      </c>
      <c r="AQ22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1!$E:$E"")=$B221) *
        (IMPORTRANGE(""https://docs.google.com/spreadsheets/d/161aHT6vVT3SLneTKD19N5qVWtnj_jIT8CSsOmUVKmaA/e"&amp;"dit?gid=1761053510"",
          ""Haris_Form responses 1!$AQ:$AQ"")=6)
      ),
      1
    ),
    ""0""
  ),
  ""Form not found""
)
"),"Form not found")</f>
        <v>Form not found</v>
      </c>
      <c r="AR2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1!$E:$E"")=$B221) *
        (IMPORTRANGE(""https://docs.google.com/spreadsheets/d/161aHT6vVT3SLneTKD19N5qVWtnj_jIT8CSsOmUVKmaA/e"&amp;"dit?gid=1761053510"",
          ""Haris_Form responses 1!$AQ:$AQ"")=1)
      ),
      1
    ),
    ""0""
  ),
  ""Form not found""
)
"),"8")</f>
        <v>8</v>
      </c>
      <c r="AS2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1!$E:$E"")=$B221) *
        (IMPORTRANGE(""https://docs.google.com/spreadsheets/d/161aHT6vVT3SLneTKD19N5qVWtnj_jIT8CSsOmUVKmaA/e"&amp;"dit?gid=1761053510"",
          ""Haris_Form responses 1!$AQ:$AQ"")=2)
      ),
      1
    ),
    ""0""
  ),
  ""Form not found""
)
"),"5")</f>
        <v>5</v>
      </c>
      <c r="AT2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1!$E:$E"")=$B221) *
        (IMPORTRANGE(""https://docs.google.com/spreadsheets/d/161aHT6vVT3SLneTKD19N5qVWtnj_jIT8CSsOmUVKmaA/e"&amp;"dit?gid=1761053510"",
          ""Haris_Form responses 1!$AQ:$AQ"")=3)
      ),
      1
    ),
    ""0""
  ),
  ""Form not found""
)
"),"8")</f>
        <v>8</v>
      </c>
      <c r="AU2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1!$E:$E"")=$B221) *
        (IMPORTRANGE(""https://docs.google.com/spreadsheets/d/161aHT6vVT3SLneTKD19N5qVWtnj_jIT8CSsOmUVKmaA/e"&amp;"dit?gid=1761053510"",
          ""Haris_Form responses 1!$AQ:$AQ"")=4)
      ),
      1
    ),
    ""0""
  ),
  ""Form not found""
)
"),"Form not found")</f>
        <v>Form not found</v>
      </c>
      <c r="AV2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1!$E:$E"")=$B221) *
        (IMPORTRANGE(""https://docs.google.com/spreadsheets/d/161aHT6vVT3SLneTKD19N5qVWtnj_jIT8CSsOmUVKmaA/e"&amp;"dit?gid=1761053510"",
          ""Haris_Form responses 1!$AQ:$AQ"")=5)
      ),
      1
    ),
    ""0""
  ),
  ""Form not found""
)
"),"0")</f>
        <v>0</v>
      </c>
      <c r="AW22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1!$E:$E"")=$B221) *
        (IMPORTRANGE(""https://docs.google.com/spreadsheets/d/161aHT6vVT3SLneTKD19N5qVWtnj_jIT8CSsOmUVKmaA/e"&amp;"dit?gid=1761053510"",
          ""Haris_Form responses 1!$AQ:$AQ"")=6)
      ),
      1
    ),
    ""0""
  ),
  ""Form not found""
)
"),"Form not found")</f>
        <v>Form not found</v>
      </c>
      <c r="AX2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1!$E:$E"")=$B221) *
        (IMPORTRANGE(""https://docs.google.com/spreadsheets/d/161aHT6vVT3SLneTKD19N5qVWtnj_jIT8CSsOmUVKmaA/e"&amp;"dit?gid=1761053510"",
          ""Haris_Form responses 1!$AQ:$AQ"")=1)
      ),
      1
    ),
    ""0""
  ),
  ""Form not found""
)
"),"0")</f>
        <v>0</v>
      </c>
      <c r="AY2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1!$E:$E"")=$B221) *
        (IMPORTRANGE(""https://docs.google.com/spreadsheets/d/161aHT6vVT3SLneTKD19N5qVWtnj_jIT8CSsOmUVKmaA/e"&amp;"dit?gid=1761053510"",
          ""Haris_Form responses 1!$AQ:$AQ"")=2)
      ),
      1
    ),
    ""0""
  ),
  ""Form not found""
)
"),"1")</f>
        <v>1</v>
      </c>
      <c r="AZ2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1!$E:$E"")=$B221) *
        (IMPORTRANGE(""https://docs.google.com/spreadsheets/d/161aHT6vVT3SLneTKD19N5qVWtnj_jIT8CSsOmUVKmaA/e"&amp;"dit?gid=1761053510"",
          ""Haris_Form responses 1!$AQ:$AQ"")=3)
      ),
      1
    ),
    ""0""
  ),
  ""Form not found""
)
"),"2")</f>
        <v>2</v>
      </c>
      <c r="BA2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1!$E:$E"")=$B221) *
        (IMPORTRANGE(""https://docs.google.com/spreadsheets/d/161aHT6vVT3SLneTKD19N5qVWtnj_jIT8CSsOmUVKmaA/e"&amp;"dit?gid=1761053510"",
          ""Haris_Form responses 1!$AQ:$AQ"")=4)
      ),
      1
    ),
    ""0""
  ),
  ""Form not found""
)
"),"Form not found")</f>
        <v>Form not found</v>
      </c>
      <c r="BB2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1!$E:$E"")=$B221) *
        (IMPORTRANGE(""https://docs.google.com/spreadsheets/d/161aHT6vVT3SLneTKD19N5qVWtnj_jIT8CSsOmUVKmaA/e"&amp;"dit?gid=1761053510"",
          ""Haris_Form responses 1!$AQ:$AQ"")=5)
      ),
      1
    ),
    ""0""
  ),
  ""Form not found""
)
"),"0")</f>
        <v>0</v>
      </c>
      <c r="BC22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1!$E:$E"")=$B221) *
        (IMPORTRANGE(""https://docs.google.com/spreadsheets/d/161aHT6vVT3SLneTKD19N5qVWtnj_jIT8CSsOmUVKmaA/e"&amp;"dit?gid=1761053510"",
          ""Haris_Form responses 1!$AQ:$AQ"")=6)
      ),
      1
    ),
    ""0""
  ),
  ""Form not found""
)
"),"Form not found")</f>
        <v>Form not found</v>
      </c>
      <c r="BD221" s="293"/>
    </row>
    <row r="222">
      <c r="A222" s="283" t="str">
        <f>IFERROR(__xludf.DUMMYFUNCTION("VLOOKUP($B222,IMPORTRANGE(""https://docs.google.com/spreadsheets/d/1VNXDITjs75AcgdBSW27oL1VZH31udDprJSsBcE5xlp4/edit?gid=1551188038#gid=1551188038"", ""Sheet9!$B:$E""),2,false)"),"Rahim Yar Khan")</f>
        <v>Rahim Yar Khan</v>
      </c>
      <c r="B222" s="283" t="s">
        <v>4663</v>
      </c>
      <c r="C222" s="284" t="str">
        <f>IFERROR(__xludf.DUMMYFUNCTION("VLOOKUP(TRIM($B222), IMPORTRANGE(""https://docs.google.com/spreadsheets/d/1aSOrU4PTpuBZqfitKaH1Rfww6-YOiNCKoBpPl8XBHaw/edit?gid=0#gid=0"", ""sheet3!$B:$C""), 2, FALSE)
"),"Jamia Masjid uthaar Anhaar Coloney Rahim Yar Khan")</f>
        <v>Jamia Masjid uthaar Anhaar Coloney Rahim Yar Khan</v>
      </c>
      <c r="D222" s="284" t="str">
        <f>IFERROR(__xludf.DUMMYFUNCTION("IFERROR(
  INDEX(
    FILTER(
      IMPORTRANGE(""1aSOrU4PTpuBZqfitKaH1Rfww6-YOiNCKoBpPl8XBHaw/edit?gid=0#gid=0"",""Sheet1!G:G""),
      IMPORTRANGE(""1aSOrU4PTpuBZqfitKaH1Rfww6-YOiNCKoBpPl8XBHaw/edit?gid=0#gid=0"",""Sheet1!C:C"")=$B222
    ),
    1
  ),
"&amp;"  ""Not Found""
)"),"Control")</f>
        <v>Control</v>
      </c>
      <c r="E222" s="284" t="str">
        <f>VLOOKUP(B222,'Juma Recording forms'!A:E,5,false)</f>
        <v>جامع مسجد اتہار کالونی</v>
      </c>
      <c r="F222" s="284" t="str">
        <f>IFERROR(__xludf.DUMMYFUNCTION("IFERROR(
  INDEX(
    FILTER(
      IMPORTRANGE(""1Cxrhp3-_-HS7v9uuqQliiIfrmMP4VaFoDNDWyUFy2J8/edit?gid=0#gid=0"",""Sheet1!Q:Q""),
      IMPORTRANGE(""1Cxrhp3-_-HS7v9uuqQliiIfrmMP4VaFoDNDWyUFy2J8/edit?gid=0#gid=0"",""Sheet1!K:K"")=$B222
    ),
    1
  ),
"&amp;"  ""Not Found""
)"),"Akmal abbas")</f>
        <v>Akmal abbas</v>
      </c>
      <c r="G222" s="284">
        <v>1924.0</v>
      </c>
      <c r="H222" s="284"/>
      <c r="I222" s="285" t="s">
        <v>401</v>
      </c>
      <c r="J222" s="286">
        <v>2.0</v>
      </c>
      <c r="K222" s="287" t="str">
        <f>VLOOKUP($B222,'Mosque Locations'!$A:$E,3,FALSE)
</f>
        <v>https://www.google.com/maps?q=28.4262219,70.3226971</v>
      </c>
      <c r="L222" s="286">
        <f>VLOOKUP($B222,'Mosque Locations'!$A:$E,4,FALSE)
</f>
        <v>28.42622</v>
      </c>
      <c r="M222" s="286">
        <f>VLOOKUP($B222,'Mosque Locations'!$A:$E,5,false)</f>
        <v>70.3227</v>
      </c>
      <c r="N222" s="288"/>
      <c r="O222" s="288"/>
      <c r="P222" s="288"/>
      <c r="Q222" s="295" t="str">
        <f>IFERROR(__xludf.DUMMYFUNCTION("IFERROR(
  INDEX(
    FILTER(
      IMPORTRANGE(""1kOrIKZmJfNUkgOVP3sI9BPjaaPA0_a4636oymQxTXg8"",""Form Responses 1!N:N""),
      TRIM(IMPORTRANGE(""1kOrIKZmJfNUkgOVP3sI9BPjaaPA0_a4636oymQxTXg8"",""Form Responses 1!F:F""))=TRIM($B222)
    ),
    1
  ),
  "&amp;"""Not Found""
)
"),"https://drive.google.com/open?id=1HZcGFbAizA2RUDi3orVr8oesnZfoJeS5")</f>
        <v>https://drive.google.com/open?id=1HZcGFbAizA2RUDi3orVr8oesnZfoJeS5</v>
      </c>
      <c r="R222" s="295" t="str">
        <f>IFERROR(__xludf.DUMMYFUNCTION("IFERROR(
  INDEX(
    FILTER(
      IMPORTRANGE(""1kOrIKZmJfNUkgOVP3sI9BPjaaPA0_a4636oymQxTXg8"",""Form Responses 1!M:M""),
      TRIM(IMPORTRANGE(""1kOrIKZmJfNUkgOVP3sI9BPjaaPA0_a4636oymQxTXg8"",""Form Responses 1!F:F""))=TRIM($B222)
    ),
    1
  ),
  "&amp;"""Not Found""
)
"),"https://drive.google.com/open?id=1b5crvhJY5r4D83pdnVjG6DVruAl8CT-8")</f>
        <v>https://drive.google.com/open?id=1b5crvhJY5r4D83pdnVjG6DVruAl8CT-8</v>
      </c>
      <c r="S222" s="285"/>
      <c r="T222" s="290" t="str">
        <f>VLOOKUP($B222,'Master Tracker'!D:E,2,false)</f>
        <v>https://drive.google.com/open?id=18r7-l-M1szLnrIrJ3QEpAsJ5d3FxYxXN</v>
      </c>
      <c r="U222" s="291" t="str">
        <f>VLOOKUP($B222,'Master Tracker'!$D:$T,4,FALSE)
</f>
        <v>https://drive.google.com/open?id=18j-PbdxoiMu2QvSuOc19ozWztr4KJJrL8avCtTRujFk</v>
      </c>
      <c r="V222" s="284" t="str">
        <f>VLOOKUP($B222,'Master Tracker'!$D:$T,5,false)</f>
        <v>Not Found</v>
      </c>
      <c r="W222" s="292" t="str">
        <f>VLOOKUP($B222,'Master Tracker'!$D:$T,7,false)</f>
        <v>Not Found</v>
      </c>
      <c r="X222" s="290" t="str">
        <f>VLOOKUP($B222,'Master Tracker'!$D:$T,8,false)</f>
        <v>https://drive.google.com/open?id=18-Zo8ZTccbfrq8ycowpciAAuFWqcMuWD</v>
      </c>
      <c r="Y222" s="291" t="str">
        <f>VLOOKUP($B222,'Master Tracker'!$D:$T,10,false)</f>
        <v>https://drive.google.com/open?id=1KZNDLKnvjNmmlwpZjR6LXkap9uMyMAZRZEblfxcFpSc</v>
      </c>
      <c r="Z222" s="284" t="str">
        <f>VLOOKUP($B222,'Master Tracker'!$D:$T,11,false)</f>
        <v>Not Found</v>
      </c>
      <c r="AA222" s="292" t="str">
        <f>VLOOKUP($B222,'Master Tracker'!$D:$T,13,false)</f>
        <v>Not Found</v>
      </c>
      <c r="AB222" s="284" t="str">
        <f>VLOOKUP($B222,'Master Tracker'!$D:$T,14,false)</f>
        <v>Not Found</v>
      </c>
      <c r="AC222" s="292" t="str">
        <f>VLOOKUP($B222,'Master Tracker'!$D:$T,16,false)</f>
        <v>Not Found</v>
      </c>
      <c r="AD222" s="292" t="str">
        <f>VLOOKUP($B222,'Master Tracker'!$D:$T,17,false)</f>
        <v>Not Found</v>
      </c>
      <c r="AE222" s="292" t="str">
        <f>VLOOKUP($B222,'Master Tracker'!$D:$V,19,false)</f>
        <v>Not Found</v>
      </c>
      <c r="AF222" s="292">
        <f>IFERROR(__xludf.DUMMYFUNCTION("IFERROR(
  INDEX(
    FILTER(
      'Juma Recording forms'!$G:$G,
      TRIM('Juma Recording forms'!$F:$F) = TRIM($B222),
      'Juma Recording forms'!$AA:$AA = 1
    ),
    1
  ),
  ""Not Found""
)"),210.0)</f>
        <v>210</v>
      </c>
      <c r="AG222" s="292" t="str">
        <f>IFERROR(__xludf.DUMMYFUNCTION("IFERROR(
  INDEX(
    FILTER(
      'Juma Recording forms'!$G:$G,
      TRIM('Juma Recording forms'!$F:$F) = TRIM($B222),
      'Juma Recording forms'!$AA:$AA = 2
    ),
    1
  ),
  ""Not Found""
)"),"Not Found")</f>
        <v>Not Found</v>
      </c>
      <c r="AH222" s="292">
        <f>IFERROR(__xludf.DUMMYFUNCTION("IFERROR(
  INDEX(
    FILTER(
      'Juma Recording forms'!$G:$G,
      TRIM('Juma Recording forms'!$F:$F) = TRIM($B222),
      'Juma Recording forms'!$AA:$AA = 3
    ),
    1
  ),
  ""Not Found""
)"),203.0)</f>
        <v>203</v>
      </c>
      <c r="AI222" s="292" t="str">
        <f>IFERROR(__xludf.DUMMYFUNCTION("IFERROR(
  INDEX(
    FILTER(
      'Juma Recording forms'!$G:$G,
      TRIM('Juma Recording forms'!$F:$F) = TRIM($B222),
      'Juma Recording forms'!$AA:$AA = 4
    ),
    1
  ),
  ""Not Found""
)"),"Not Found")</f>
        <v>Not Found</v>
      </c>
      <c r="AJ222" s="292" t="str">
        <f>IFERROR(__xludf.DUMMYFUNCTION("IFERROR(
  INDEX(
    FILTER(
      'Juma Recording forms'!$G:$G,
      TRIM('Juma Recording forms'!$F:$F) = TRIM($B222),
      'Juma Recording forms'!$AA:$AA = 5
    ),
    1
  ),
  ""Not Found""
)"),"Not Found")</f>
        <v>Not Found</v>
      </c>
      <c r="AK222" s="292"/>
      <c r="AL2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1!$E:$E"")=$B222) *
        (IMPORTRANGE(""https://docs.google.com/spreadsheets/d/161aHT6vVT3SLneTKD19N5qVWtnj_jIT8CSsOmUVKmaA/e"&amp;"dit?gid=1761053510"",
          ""Haris_Form responses 1!$AQ:$AQ"")=1)
      ),
      1
    ),
    ""0""
  ),
  ""Form not found""
)
"),"0")</f>
        <v>0</v>
      </c>
      <c r="AM2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1!$E:$E"")=$B222) *
        (IMPORTRANGE(""https://docs.google.com/spreadsheets/d/161aHT6vVT3SLneTKD19N5qVWtnj_jIT8CSsOmUVKmaA/e"&amp;"dit?gid=1761053510"",
          ""Haris_Form responses 1!$AQ:$AQ"")=2)
      ),
      1
    ),
    ""0""
  ),
  ""Form not found""
)
"),"Form not found")</f>
        <v>Form not found</v>
      </c>
      <c r="AN2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1!$E:$E"")=$B222) *
        (IMPORTRANGE(""https://docs.google.com/spreadsheets/d/161aHT6vVT3SLneTKD19N5qVWtnj_jIT8CSsOmUVKmaA/e"&amp;"dit?gid=1761053510"",
          ""Haris_Form responses 1!$AQ:$AQ"")=3)
      ),
      1
    ),
    ""0""
  ),
  ""Form not found""
)
"),"0")</f>
        <v>0</v>
      </c>
      <c r="AO2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1!$E:$E"")=$B222) *
        (IMPORTRANGE(""https://docs.google.com/spreadsheets/d/161aHT6vVT3SLneTKD19N5qVWtnj_jIT8CSsOmUVKmaA/e"&amp;"dit?gid=1761053510"",
          ""Haris_Form responses 1!$AQ:$AQ"")=4)
      ),
      1
    ),
    ""0""
  ),
  ""Form not found""
)
"),"Form not found")</f>
        <v>Form not found</v>
      </c>
      <c r="AP2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1!$E:$E"")=$B222) *
        (IMPORTRANGE(""https://docs.google.com/spreadsheets/d/161aHT6vVT3SLneTKD19N5qVWtnj_jIT8CSsOmUVKmaA/e"&amp;"dit?gid=1761053510"",
          ""Haris_Form responses 1!$AQ:$AQ"")=5)
      ),
      1
    ),
    ""0""
  ),
  ""Form not found""
)
"),"Form not found")</f>
        <v>Form not found</v>
      </c>
      <c r="AQ22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1!$E:$E"")=$B222) *
        (IMPORTRANGE(""https://docs.google.com/spreadsheets/d/161aHT6vVT3SLneTKD19N5qVWtnj_jIT8CSsOmUVKmaA/e"&amp;"dit?gid=1761053510"",
          ""Haris_Form responses 1!$AQ:$AQ"")=6)
      ),
      1
    ),
    ""0""
  ),
  ""Form not found""
)
"),"Form not found")</f>
        <v>Form not found</v>
      </c>
      <c r="AR2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1!$E:$E"")=$B222) *
        (IMPORTRANGE(""https://docs.google.com/spreadsheets/d/161aHT6vVT3SLneTKD19N5qVWtnj_jIT8CSsOmUVKmaA/e"&amp;"dit?gid=1761053510"",
          ""Haris_Form responses 1!$AQ:$AQ"")=1)
      ),
      1
    ),
    ""0""
  ),
  ""Form not found""
)
"),"0")</f>
        <v>0</v>
      </c>
      <c r="AS2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1!$E:$E"")=$B222) *
        (IMPORTRANGE(""https://docs.google.com/spreadsheets/d/161aHT6vVT3SLneTKD19N5qVWtnj_jIT8CSsOmUVKmaA/e"&amp;"dit?gid=1761053510"",
          ""Haris_Form responses 1!$AQ:$AQ"")=2)
      ),
      1
    ),
    ""0""
  ),
  ""Form not found""
)
"),"Form not found")</f>
        <v>Form not found</v>
      </c>
      <c r="AT2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1!$E:$E"")=$B222) *
        (IMPORTRANGE(""https://docs.google.com/spreadsheets/d/161aHT6vVT3SLneTKD19N5qVWtnj_jIT8CSsOmUVKmaA/e"&amp;"dit?gid=1761053510"",
          ""Haris_Form responses 1!$AQ:$AQ"")=3)
      ),
      1
    ),
    ""0""
  ),
  ""Form not found""
)
"),"0")</f>
        <v>0</v>
      </c>
      <c r="AU2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1!$E:$E"")=$B222) *
        (IMPORTRANGE(""https://docs.google.com/spreadsheets/d/161aHT6vVT3SLneTKD19N5qVWtnj_jIT8CSsOmUVKmaA/e"&amp;"dit?gid=1761053510"",
          ""Haris_Form responses 1!$AQ:$AQ"")=4)
      ),
      1
    ),
    ""0""
  ),
  ""Form not found""
)
"),"Form not found")</f>
        <v>Form not found</v>
      </c>
      <c r="AV2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1!$E:$E"")=$B222) *
        (IMPORTRANGE(""https://docs.google.com/spreadsheets/d/161aHT6vVT3SLneTKD19N5qVWtnj_jIT8CSsOmUVKmaA/e"&amp;"dit?gid=1761053510"",
          ""Haris_Form responses 1!$AQ:$AQ"")=5)
      ),
      1
    ),
    ""0""
  ),
  ""Form not found""
)
"),"Form not found")</f>
        <v>Form not found</v>
      </c>
      <c r="AW22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1!$E:$E"")=$B222) *
        (IMPORTRANGE(""https://docs.google.com/spreadsheets/d/161aHT6vVT3SLneTKD19N5qVWtnj_jIT8CSsOmUVKmaA/e"&amp;"dit?gid=1761053510"",
          ""Haris_Form responses 1!$AQ:$AQ"")=6)
      ),
      1
    ),
    ""0""
  ),
  ""Form not found""
)
"),"Form not found")</f>
        <v>Form not found</v>
      </c>
      <c r="AX2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1!$E:$E"")=$B222) *
        (IMPORTRANGE(""https://docs.google.com/spreadsheets/d/161aHT6vVT3SLneTKD19N5qVWtnj_jIT8CSsOmUVKmaA/e"&amp;"dit?gid=1761053510"",
          ""Haris_Form responses 1!$AQ:$AQ"")=1)
      ),
      1
    ),
    ""0""
  ),
  ""Form not found""
)
"),"0")</f>
        <v>0</v>
      </c>
      <c r="AY2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1!$E:$E"")=$B222) *
        (IMPORTRANGE(""https://docs.google.com/spreadsheets/d/161aHT6vVT3SLneTKD19N5qVWtnj_jIT8CSsOmUVKmaA/e"&amp;"dit?gid=1761053510"",
          ""Haris_Form responses 1!$AQ:$AQ"")=2)
      ),
      1
    ),
    ""0""
  ),
  ""Form not found""
)
"),"Form not found")</f>
        <v>Form not found</v>
      </c>
      <c r="AZ2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1!$E:$E"")=$B222) *
        (IMPORTRANGE(""https://docs.google.com/spreadsheets/d/161aHT6vVT3SLneTKD19N5qVWtnj_jIT8CSsOmUVKmaA/e"&amp;"dit?gid=1761053510"",
          ""Haris_Form responses 1!$AQ:$AQ"")=3)
      ),
      1
    ),
    ""0""
  ),
  ""Form not found""
)
"),"0")</f>
        <v>0</v>
      </c>
      <c r="BA2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1!$E:$E"")=$B222) *
        (IMPORTRANGE(""https://docs.google.com/spreadsheets/d/161aHT6vVT3SLneTKD19N5qVWtnj_jIT8CSsOmUVKmaA/e"&amp;"dit?gid=1761053510"",
          ""Haris_Form responses 1!$AQ:$AQ"")=4)
      ),
      1
    ),
    ""0""
  ),
  ""Form not found""
)
"),"Form not found")</f>
        <v>Form not found</v>
      </c>
      <c r="BB2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1!$E:$E"")=$B222) *
        (IMPORTRANGE(""https://docs.google.com/spreadsheets/d/161aHT6vVT3SLneTKD19N5qVWtnj_jIT8CSsOmUVKmaA/e"&amp;"dit?gid=1761053510"",
          ""Haris_Form responses 1!$AQ:$AQ"")=5)
      ),
      1
    ),
    ""0""
  ),
  ""Form not found""
)
"),"Form not found")</f>
        <v>Form not found</v>
      </c>
      <c r="BC22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1!$E:$E"")=$B222) *
        (IMPORTRANGE(""https://docs.google.com/spreadsheets/d/161aHT6vVT3SLneTKD19N5qVWtnj_jIT8CSsOmUVKmaA/e"&amp;"dit?gid=1761053510"",
          ""Haris_Form responses 1!$AQ:$AQ"")=6)
      ),
      1
    ),
    ""0""
  ),
  ""Form not found""
)
"),"Form not found")</f>
        <v>Form not found</v>
      </c>
      <c r="BD222" s="293"/>
    </row>
    <row r="223">
      <c r="A223" s="283" t="str">
        <f>IFERROR(__xludf.DUMMYFUNCTION("VLOOKUP($B223,IMPORTRANGE(""https://docs.google.com/spreadsheets/d/1VNXDITjs75AcgdBSW27oL1VZH31udDprJSsBcE5xlp4/edit?gid=1551188038#gid=1551188038"", ""Sheet9!$B:$E""),2,false)"),"Khanpure ( Rahim Yar Khan )")</f>
        <v>Khanpure ( Rahim Yar Khan )</v>
      </c>
      <c r="B223" s="283" t="s">
        <v>4664</v>
      </c>
      <c r="C223" s="284" t="str">
        <f>IFERROR(__xludf.DUMMYFUNCTION("VLOOKUP(TRIM($B223), IMPORTRANGE(""https://docs.google.com/spreadsheets/d/1aSOrU4PTpuBZqfitKaH1Rfww6-YOiNCKoBpPl8XBHaw/edit?gid=0#gid=0"", ""sheet3!$B:$C""), 2, FALSE)
"),"Jamia Masjid Mastari Kamal Din Khanpur")</f>
        <v>Jamia Masjid Mastari Kamal Din Khanpur</v>
      </c>
      <c r="D223" s="284" t="str">
        <f>IFERROR(__xludf.DUMMYFUNCTION("IFERROR(
  INDEX(
    FILTER(
      IMPORTRANGE(""1aSOrU4PTpuBZqfitKaH1Rfww6-YOiNCKoBpPl8XBHaw/edit?gid=0#gid=0"",""Sheet1!G:G""),
      IMPORTRANGE(""1aSOrU4PTpuBZqfitKaH1Rfww6-YOiNCKoBpPl8XBHaw/edit?gid=0#gid=0"",""Sheet1!C:C"")=$B223
    ),
    1
  ),
"&amp;"  ""Not Found""
)"),"Community Secular Info Share")</f>
        <v>Community Secular Info Share</v>
      </c>
      <c r="E223" s="284" t="str">
        <f>VLOOKUP(B223,'Juma Recording forms'!A:E,5,false)</f>
        <v>Jamia Masjid Mustri Kamal din</v>
      </c>
      <c r="F223" s="284" t="str">
        <f>IFERROR(__xludf.DUMMYFUNCTION("IFERROR(
  INDEX(
    FILTER(
      IMPORTRANGE(""1Cxrhp3-_-HS7v9uuqQliiIfrmMP4VaFoDNDWyUFy2J8/edit?gid=0#gid=0"",""Sheet1!Q:Q""),
      IMPORTRANGE(""1Cxrhp3-_-HS7v9uuqQliiIfrmMP4VaFoDNDWyUFy2J8/edit?gid=0#gid=0"",""Sheet1!K:K"")=$B223
    ),
    1
  ),
"&amp;"  ""Not Found""
)"),"Qari Muhammad Farooq")</f>
        <v>Qari Muhammad Farooq</v>
      </c>
      <c r="G223" s="284">
        <v>1950.0</v>
      </c>
      <c r="H223" s="284"/>
      <c r="I223" s="285" t="s">
        <v>197</v>
      </c>
      <c r="J223" s="286">
        <v>1.0</v>
      </c>
      <c r="K223" s="287" t="str">
        <f>VLOOKUP($B223,'Mosque Locations'!$A:$E,3,FALSE)
</f>
        <v>https://www.google.com/maps?q=28.6420075,70.6539892&amp;z=17&amp;hl=en</v>
      </c>
      <c r="L223" s="286">
        <f>VLOOKUP($B223,'Mosque Locations'!$A:$E,4,FALSE)
</f>
        <v>28.64201</v>
      </c>
      <c r="M223" s="286">
        <f>VLOOKUP($B223,'Mosque Locations'!$A:$E,5,false)</f>
        <v>70.65399</v>
      </c>
      <c r="N223" s="288"/>
      <c r="O223" s="288"/>
      <c r="P223" s="288"/>
      <c r="Q223" s="290" t="str">
        <f>IFERROR(__xludf.DUMMYFUNCTION("IFERROR(
  INDEX(
    FILTER(
      IMPORTRANGE(""1kOrIKZmJfNUkgOVP3sI9BPjaaPA0_a4636oymQxTXg8"",""Form Responses 1!N:N""),
      TRIM(IMPORTRANGE(""1kOrIKZmJfNUkgOVP3sI9BPjaaPA0_a4636oymQxTXg8"",""Form Responses 1!F:F""))=TRIM($B223)
    ),
    1
  ),
  "&amp;"""Not Found""
)
"),"https://drive.google.com/open?id=1v497IdEZdOYDwhgm0h7BIvWu8glnQzr1")</f>
        <v>https://drive.google.com/open?id=1v497IdEZdOYDwhgm0h7BIvWu8glnQzr1</v>
      </c>
      <c r="R223" s="290" t="str">
        <f>IFERROR(__xludf.DUMMYFUNCTION("IFERROR(
  INDEX(
    FILTER(
      IMPORTRANGE(""1kOrIKZmJfNUkgOVP3sI9BPjaaPA0_a4636oymQxTXg8"",""Form Responses 1!M:M""),
      TRIM(IMPORTRANGE(""1kOrIKZmJfNUkgOVP3sI9BPjaaPA0_a4636oymQxTXg8"",""Form Responses 1!F:F""))=TRIM($B223)
    ),
    1
  ),
  "&amp;"""Not Found""
)
"),"https://drive.google.com/open?id=1flTQqiBb64K3nEQSFeX69lPgXYMgmO4w")</f>
        <v>https://drive.google.com/open?id=1flTQqiBb64K3nEQSFeX69lPgXYMgmO4w</v>
      </c>
      <c r="S223" s="285"/>
      <c r="T223" s="290" t="str">
        <f>VLOOKUP($B223,'Master Tracker'!D:E,2,false)</f>
        <v>https://drive.google.com/open?id=1ZIct1WcYhE87jlo3YyRIhKkkFSaHu1Lu</v>
      </c>
      <c r="U223" s="291" t="str">
        <f>VLOOKUP($B223,'Master Tracker'!$D:$T,4,FALSE)
</f>
        <v>https://drive.google.com/open?id=1WXTQmOtw_l3EgdNsbJkcNBf9ZWJYU5cwtzat49eoR58</v>
      </c>
      <c r="V223" s="290" t="str">
        <f>VLOOKUP($B223,'Master Tracker'!$D:$T,5,false)</f>
        <v>https://drive.google.com/open?id=12ZSx-7ZCiEvcnZyDqURKNeDwAP_XQIx4</v>
      </c>
      <c r="W223" s="291" t="str">
        <f>VLOOKUP($B223,'Master Tracker'!$D:$T,7,false)</f>
        <v>https://drive.google.com/open?id=1LVy4m4trQjSHo53o1q1C6RNdbBUcwOZw</v>
      </c>
      <c r="X223" s="290" t="str">
        <f>VLOOKUP($B223,'Master Tracker'!$D:$T,8,false)</f>
        <v>https://drive.google.com/open?id=1rAs_Fm69m-J7cfS44NWc-VXHwtz9KKjc</v>
      </c>
      <c r="Y223" s="291" t="str">
        <f>VLOOKUP($B223,'Master Tracker'!$D:$T,10,false)</f>
        <v>https://drive.google.com/open?id=1cSGFnms_XAtkqFU935wvGYcSiSBVKnwrdwHuMfbRbjA</v>
      </c>
      <c r="Z223" s="284" t="str">
        <f>VLOOKUP($B223,'Master Tracker'!$D:$T,11,false)</f>
        <v>Not Found</v>
      </c>
      <c r="AA223" s="292" t="str">
        <f>VLOOKUP($B223,'Master Tracker'!$D:$T,13,false)</f>
        <v>Not Found</v>
      </c>
      <c r="AB223" s="284" t="str">
        <f>VLOOKUP($B223,'Master Tracker'!$D:$T,14,false)</f>
        <v>Not Found</v>
      </c>
      <c r="AC223" s="292" t="str">
        <f>VLOOKUP($B223,'Master Tracker'!$D:$T,16,false)</f>
        <v>Not Found</v>
      </c>
      <c r="AD223" s="292" t="str">
        <f>VLOOKUP($B223,'Master Tracker'!$D:$T,17,false)</f>
        <v>Not Found</v>
      </c>
      <c r="AE223" s="292" t="str">
        <f>VLOOKUP($B223,'Master Tracker'!$D:$V,19,false)</f>
        <v>Not Found</v>
      </c>
      <c r="AF223" s="292">
        <f>IFERROR(__xludf.DUMMYFUNCTION("IFERROR(
  INDEX(
    FILTER(
      'Juma Recording forms'!$G:$G,
      TRIM('Juma Recording forms'!$F:$F) = TRIM($B223),
      'Juma Recording forms'!$AA:$AA = 1
    ),
    1
  ),
  ""Not Found""
)"),165.0)</f>
        <v>165</v>
      </c>
      <c r="AG223" s="292">
        <f>IFERROR(__xludf.DUMMYFUNCTION("IFERROR(
  INDEX(
    FILTER(
      'Juma Recording forms'!$G:$G,
      TRIM('Juma Recording forms'!$F:$F) = TRIM($B223),
      'Juma Recording forms'!$AA:$AA = 2
    ),
    1
  ),
  ""Not Found""
)"),173.0)</f>
        <v>173</v>
      </c>
      <c r="AH223" s="292">
        <f>IFERROR(__xludf.DUMMYFUNCTION("IFERROR(
  INDEX(
    FILTER(
      'Juma Recording forms'!$G:$G,
      TRIM('Juma Recording forms'!$F:$F) = TRIM($B223),
      'Juma Recording forms'!$AA:$AA = 3
    ),
    1
  ),
  ""Not Found""
)"),177.0)</f>
        <v>177</v>
      </c>
      <c r="AI223" s="292" t="str">
        <f>IFERROR(__xludf.DUMMYFUNCTION("IFERROR(
  INDEX(
    FILTER(
      'Juma Recording forms'!$G:$G,
      TRIM('Juma Recording forms'!$F:$F) = TRIM($B223),
      'Juma Recording forms'!$AA:$AA = 4
    ),
    1
  ),
  ""Not Found""
)"),"Not Found")</f>
        <v>Not Found</v>
      </c>
      <c r="AJ223" s="292" t="str">
        <f>IFERROR(__xludf.DUMMYFUNCTION("IFERROR(
  INDEX(
    FILTER(
      'Juma Recording forms'!$G:$G,
      TRIM('Juma Recording forms'!$F:$F) = TRIM($B223),
      'Juma Recording forms'!$AA:$AA = 5
    ),
    1
  ),
  ""Not Found""
)"),"Not Found")</f>
        <v>Not Found</v>
      </c>
      <c r="AK223" s="292" t="str">
        <f>IFERROR(__xludf.DUMMYFUNCTION("IFERROR(
  INDEX(
    FILTER(
      'Juma Recording forms'!$G:$G,
      TRIM('Juma Recording forms'!$F:$F) = TRIM($B223),
      'Juma Recording forms'!$AA:$AA = 6
    ),
    1
  ),
  ""Not Found""
)"),"Not Found")</f>
        <v>Not Found</v>
      </c>
      <c r="AL2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1!$E:$E"")=$B223) *
        (IMPORTRANGE(""https://docs.google.com/spreadsheets/d/161aHT6vVT3SLneTKD19N5qVWtnj_jIT8CSsOmUVKmaA/e"&amp;"dit?gid=1761053510"",
          ""Haris_Form responses 1!$AQ:$AQ"")=1)
      ),
      1
    ),
    ""0""
  ),
  ""Form not found""
)
"),"10")</f>
        <v>10</v>
      </c>
      <c r="AM2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1!$E:$E"")=$B223) *
        (IMPORTRANGE(""https://docs.google.com/spreadsheets/d/161aHT6vVT3SLneTKD19N5qVWtnj_jIT8CSsOmUVKmaA/e"&amp;"dit?gid=1761053510"",
          ""Haris_Form responses 1!$AQ:$AQ"")=2)
      ),
      1
    ),
    ""0""
  ),
  ""Form not found""
)
"),"0")</f>
        <v>0</v>
      </c>
      <c r="AN2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1!$E:$E"")=$B223) *
        (IMPORTRANGE(""https://docs.google.com/spreadsheets/d/161aHT6vVT3SLneTKD19N5qVWtnj_jIT8CSsOmUVKmaA/e"&amp;"dit?gid=1761053510"",
          ""Haris_Form responses 1!$AQ:$AQ"")=3)
      ),
      1
    ),
    ""0""
  ),
  ""Form not found""
)
"),"0")</f>
        <v>0</v>
      </c>
      <c r="AO2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1!$E:$E"")=$B223) *
        (IMPORTRANGE(""https://docs.google.com/spreadsheets/d/161aHT6vVT3SLneTKD19N5qVWtnj_jIT8CSsOmUVKmaA/e"&amp;"dit?gid=1761053510"",
          ""Haris_Form responses 1!$AQ:$AQ"")=4)
      ),
      1
    ),
    ""0""
  ),
  ""Form not found""
)
"),"Form not found")</f>
        <v>Form not found</v>
      </c>
      <c r="AP2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1!$E:$E"")=$B223) *
        (IMPORTRANGE(""https://docs.google.com/spreadsheets/d/161aHT6vVT3SLneTKD19N5qVWtnj_jIT8CSsOmUVKmaA/e"&amp;"dit?gid=1761053510"",
          ""Haris_Form responses 1!$AQ:$AQ"")=5)
      ),
      1
    ),
    ""0""
  ),
  ""Form not found""
)
"),"Form not found")</f>
        <v>Form not found</v>
      </c>
      <c r="AQ22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1!$E:$E"")=$B223) *
        (IMPORTRANGE(""https://docs.google.com/spreadsheets/d/161aHT6vVT3SLneTKD19N5qVWtnj_jIT8CSsOmUVKmaA/e"&amp;"dit?gid=1761053510"",
          ""Haris_Form responses 1!$AQ:$AQ"")=6)
      ),
      1
    ),
    ""0""
  ),
  ""Form not found""
)
"),"Form not found")</f>
        <v>Form not found</v>
      </c>
      <c r="AR2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1!$E:$E"")=$B223) *
        (IMPORTRANGE(""https://docs.google.com/spreadsheets/d/161aHT6vVT3SLneTKD19N5qVWtnj_jIT8CSsOmUVKmaA/e"&amp;"dit?gid=1761053510"",
          ""Haris_Form responses 1!$AQ:$AQ"")=1)
      ),
      1
    ),
    ""0""
  ),
  ""Form not found""
)
"),"10")</f>
        <v>10</v>
      </c>
      <c r="AS2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1!$E:$E"")=$B223) *
        (IMPORTRANGE(""https://docs.google.com/spreadsheets/d/161aHT6vVT3SLneTKD19N5qVWtnj_jIT8CSsOmUVKmaA/e"&amp;"dit?gid=1761053510"",
          ""Haris_Form responses 1!$AQ:$AQ"")=2)
      ),
      1
    ),
    ""0""
  ),
  ""Form not found""
)
"),"0")</f>
        <v>0</v>
      </c>
      <c r="AT2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1!$E:$E"")=$B223) *
        (IMPORTRANGE(""https://docs.google.com/spreadsheets/d/161aHT6vVT3SLneTKD19N5qVWtnj_jIT8CSsOmUVKmaA/e"&amp;"dit?gid=1761053510"",
          ""Haris_Form responses 1!$AQ:$AQ"")=3)
      ),
      1
    ),
    ""0""
  ),
  ""Form not found""
)
"),"0")</f>
        <v>0</v>
      </c>
      <c r="AU2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1!$E:$E"")=$B223) *
        (IMPORTRANGE(""https://docs.google.com/spreadsheets/d/161aHT6vVT3SLneTKD19N5qVWtnj_jIT8CSsOmUVKmaA/e"&amp;"dit?gid=1761053510"",
          ""Haris_Form responses 1!$AQ:$AQ"")=4)
      ),
      1
    ),
    ""0""
  ),
  ""Form not found""
)
"),"Form not found")</f>
        <v>Form not found</v>
      </c>
      <c r="AV2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1!$E:$E"")=$B223) *
        (IMPORTRANGE(""https://docs.google.com/spreadsheets/d/161aHT6vVT3SLneTKD19N5qVWtnj_jIT8CSsOmUVKmaA/e"&amp;"dit?gid=1761053510"",
          ""Haris_Form responses 1!$AQ:$AQ"")=5)
      ),
      1
    ),
    ""0""
  ),
  ""Form not found""
)
"),"Form not found")</f>
        <v>Form not found</v>
      </c>
      <c r="AW22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1!$E:$E"")=$B223) *
        (IMPORTRANGE(""https://docs.google.com/spreadsheets/d/161aHT6vVT3SLneTKD19N5qVWtnj_jIT8CSsOmUVKmaA/e"&amp;"dit?gid=1761053510"",
          ""Haris_Form responses 1!$AQ:$AQ"")=6)
      ),
      1
    ),
    ""0""
  ),
  ""Form not found""
)
"),"Form not found")</f>
        <v>Form not found</v>
      </c>
      <c r="AX2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1!$E:$E"")=$B223) *
        (IMPORTRANGE(""https://docs.google.com/spreadsheets/d/161aHT6vVT3SLneTKD19N5qVWtnj_jIT8CSsOmUVKmaA/e"&amp;"dit?gid=1761053510"",
          ""Haris_Form responses 1!$AQ:$AQ"")=1)
      ),
      1
    ),
    ""0""
  ),
  ""Form not found""
)
"),"0")</f>
        <v>0</v>
      </c>
      <c r="AY2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1!$E:$E"")=$B223) *
        (IMPORTRANGE(""https://docs.google.com/spreadsheets/d/161aHT6vVT3SLneTKD19N5qVWtnj_jIT8CSsOmUVKmaA/e"&amp;"dit?gid=1761053510"",
          ""Haris_Form responses 1!$AQ:$AQ"")=2)
      ),
      1
    ),
    ""0""
  ),
  ""Form not found""
)
"),"0")</f>
        <v>0</v>
      </c>
      <c r="AZ2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1!$E:$E"")=$B223) *
        (IMPORTRANGE(""https://docs.google.com/spreadsheets/d/161aHT6vVT3SLneTKD19N5qVWtnj_jIT8CSsOmUVKmaA/e"&amp;"dit?gid=1761053510"",
          ""Haris_Form responses 1!$AQ:$AQ"")=3)
      ),
      1
    ),
    ""0""
  ),
  ""Form not found""
)
"),"0")</f>
        <v>0</v>
      </c>
      <c r="BA2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1!$E:$E"")=$B223) *
        (IMPORTRANGE(""https://docs.google.com/spreadsheets/d/161aHT6vVT3SLneTKD19N5qVWtnj_jIT8CSsOmUVKmaA/e"&amp;"dit?gid=1761053510"",
          ""Haris_Form responses 1!$AQ:$AQ"")=4)
      ),
      1
    ),
    ""0""
  ),
  ""Form not found""
)
"),"Form not found")</f>
        <v>Form not found</v>
      </c>
      <c r="BB2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1!$E:$E"")=$B223) *
        (IMPORTRANGE(""https://docs.google.com/spreadsheets/d/161aHT6vVT3SLneTKD19N5qVWtnj_jIT8CSsOmUVKmaA/e"&amp;"dit?gid=1761053510"",
          ""Haris_Form responses 1!$AQ:$AQ"")=5)
      ),
      1
    ),
    ""0""
  ),
  ""Form not found""
)
"),"Form not found")</f>
        <v>Form not found</v>
      </c>
      <c r="BC22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1!$E:$E"")=$B223) *
        (IMPORTRANGE(""https://docs.google.com/spreadsheets/d/161aHT6vVT3SLneTKD19N5qVWtnj_jIT8CSsOmUVKmaA/e"&amp;"dit?gid=1761053510"",
          ""Haris_Form responses 1!$AQ:$AQ"")=6)
      ),
      1
    ),
    ""0""
  ),
  ""Form not found""
)
"),"Form not found")</f>
        <v>Form not found</v>
      </c>
      <c r="BD223" s="293"/>
    </row>
    <row r="224">
      <c r="A224" s="283" t="str">
        <f>IFERROR(__xludf.DUMMYFUNCTION("VLOOKUP($B224,IMPORTRANGE(""https://docs.google.com/spreadsheets/d/1VNXDITjs75AcgdBSW27oL1VZH31udDprJSsBcE5xlp4/edit?gid=1551188038#gid=1551188038"", ""Sheet9!$B:$E""),2,false)"),"Khanpure ( Rahim Yar Khan )")</f>
        <v>Khanpure ( Rahim Yar Khan )</v>
      </c>
      <c r="B224" s="283" t="s">
        <v>779</v>
      </c>
      <c r="C224" s="284" t="str">
        <f>IFERROR(__xludf.DUMMYFUNCTION("VLOOKUP(TRIM($B224), IMPORTRANGE(""https://docs.google.com/spreadsheets/d/1aSOrU4PTpuBZqfitKaH1Rfww6-YOiNCKoBpPl8XBHaw/edit?gid=0#gid=0"", ""sheet3!$B:$C""), 2, FALSE)
"),"Jamia Masjid Baba Shahab")</f>
        <v>Jamia Masjid Baba Shahab</v>
      </c>
      <c r="D224" s="284" t="str">
        <f>IFERROR(__xludf.DUMMYFUNCTION("IFERROR(
  INDEX(
    FILTER(
      IMPORTRANGE(""1aSOrU4PTpuBZqfitKaH1Rfww6-YOiNCKoBpPl8XBHaw/edit?gid=0#gid=0"",""Sheet1!G:G""),
      IMPORTRANGE(""1aSOrU4PTpuBZqfitKaH1Rfww6-YOiNCKoBpPl8XBHaw/edit?gid=0#gid=0"",""Sheet1!C:C"")=$B224
    ),
    1
  ),
"&amp;"  ""Not Found""
)"),"Women Religious Info Share")</f>
        <v>Women Religious Info Share</v>
      </c>
      <c r="E224" s="284" t="str">
        <f>VLOOKUP(B224,'Juma Recording forms'!A:E,5,false)</f>
        <v>Jamia Masjid Baba Sahib</v>
      </c>
      <c r="F224" s="284" t="str">
        <f>IFERROR(__xludf.DUMMYFUNCTION("IFERROR(
  INDEX(
    FILTER(
      IMPORTRANGE(""1Cxrhp3-_-HS7v9uuqQliiIfrmMP4VaFoDNDWyUFy2J8/edit?gid=0#gid=0"",""Sheet1!Q:Q""),
      IMPORTRANGE(""1Cxrhp3-_-HS7v9uuqQliiIfrmMP4VaFoDNDWyUFy2J8/edit?gid=0#gid=0"",""Sheet1!K:K"")=$B224
    ),
    1
  ),
"&amp;"  ""Not Found""
)"),"Maulana Naseem Ahmad")</f>
        <v>Maulana Naseem Ahmad</v>
      </c>
      <c r="G224" s="292">
        <v>1925.0</v>
      </c>
      <c r="H224" s="284"/>
      <c r="I224" s="285" t="s">
        <v>197</v>
      </c>
      <c r="J224" s="286">
        <v>2.0</v>
      </c>
      <c r="K224" s="287" t="str">
        <f>VLOOKUP($B224,'Mosque Locations'!$A:$E,3,FALSE)
</f>
        <v>https://maps.google.com/maps?q=28.6393625%2C70.6550214&amp;z=17&amp;hl=en</v>
      </c>
      <c r="L224" s="286">
        <f>VLOOKUP($B224,'Mosque Locations'!$A:$E,4,FALSE)
</f>
        <v>28.63936</v>
      </c>
      <c r="M224" s="286">
        <f>VLOOKUP($B224,'Mosque Locations'!$A:$E,5,false)</f>
        <v>70.65502</v>
      </c>
      <c r="N224" s="288"/>
      <c r="O224" s="288"/>
      <c r="P224" s="288"/>
      <c r="Q224" s="301" t="str">
        <f>IFERROR(__xludf.DUMMYFUNCTION("IFERROR(
  INDEX(
    FILTER(
      IMPORTRANGE(""1kOrIKZmJfNUkgOVP3sI9BPjaaPA0_a4636oymQxTXg8"",""Form Responses 1!N:N""),
      TRIM(IMPORTRANGE(""1kOrIKZmJfNUkgOVP3sI9BPjaaPA0_a4636oymQxTXg8"",""Form Responses 1!F:F""))=TRIM($B224)
    ),
    1
  ),
  "&amp;"""Not Found""
)
"),"https://drive.google.com/open?id=1sA6Ipuir2EOThCiVv5vx9qlJk0mOJZ3n")</f>
        <v>https://drive.google.com/open?id=1sA6Ipuir2EOThCiVv5vx9qlJk0mOJZ3n</v>
      </c>
      <c r="R224" s="295" t="str">
        <f>IFERROR(__xludf.DUMMYFUNCTION("IFERROR(
  INDEX(
    FILTER(
      IMPORTRANGE(""1kOrIKZmJfNUkgOVP3sI9BPjaaPA0_a4636oymQxTXg8"",""Form Responses 1!M:M""),
      TRIM(IMPORTRANGE(""1kOrIKZmJfNUkgOVP3sI9BPjaaPA0_a4636oymQxTXg8"",""Form Responses 1!F:F""))=TRIM($B224)
    ),
    1
  ),
  "&amp;"""Not Found""
)
"),"https://drive.google.com/open?id=1mlhud3zBPs4Rkzcby8t4pWcWcQR3Bs-n")</f>
        <v>https://drive.google.com/open?id=1mlhud3zBPs4Rkzcby8t4pWcWcQR3Bs-n</v>
      </c>
      <c r="S224" s="283"/>
      <c r="T224" s="290" t="str">
        <f>VLOOKUP($B224,'Master Tracker'!D:E,2,false)</f>
        <v>https://drive.google.com/open?id=1Q5GMCVckTkUPmFClgwFbhIBJQoGCbaVW</v>
      </c>
      <c r="U224" s="291" t="str">
        <f>VLOOKUP($B224,'Master Tracker'!$D:$T,4,FALSE)
</f>
        <v>https://drive.google.com/open?id=1xITEPIUK2_m03mG_bOfgRha8UpKBQbsRJS_oQPQTZXI</v>
      </c>
      <c r="V224" s="284" t="str">
        <f>VLOOKUP($B224,'Master Tracker'!$D:$T,5,false)</f>
        <v>https://drive.google.com/file/d/1J-OftCHMfXVkUbrMX3-1706Zo9lD5p9N/view?usp=drive_link, https://drive.google.com/file/d/13Ld0tvDKCqrHRYLl-8hFpizx7MT66IHf/view?usp=drive_link</v>
      </c>
      <c r="W224" s="291" t="str">
        <f>VLOOKUP($B224,'Master Tracker'!$D:$T,7,false)</f>
        <v>https://drive.google.com/open?id=1N5rLeF--aDz7VFz7jYPtPDOmeAPEycBR</v>
      </c>
      <c r="X224" s="284" t="str">
        <f>VLOOKUP($B224,'Master Tracker'!$D:$T,8,false)</f>
        <v>https://drive.google.com/open?id=14_n3J14L6-QVkOGk4GcuS2EOW_BjSzwT, https://drive.google.com/open?id=1cEBFwPGVT8Mtmw2kz1jdEhmYQeJ3rhwA</v>
      </c>
      <c r="Y224" s="291" t="str">
        <f>VLOOKUP($B224,'Master Tracker'!$D:$T,10,false)</f>
        <v>https://drive.google.com/open?id=1IfOlf-SoJ7NhHNUPAD95g0NLlBXdYenZ_euo4SgTsl0</v>
      </c>
      <c r="Z224" s="284" t="str">
        <f>VLOOKUP($B224,'Master Tracker'!$D:$T,11,false)</f>
        <v>Not Found</v>
      </c>
      <c r="AA224" s="292" t="str">
        <f>VLOOKUP($B224,'Master Tracker'!$D:$T,13,false)</f>
        <v>Not Found</v>
      </c>
      <c r="AB224" s="284" t="str">
        <f>VLOOKUP($B224,'Master Tracker'!$D:$T,14,false)</f>
        <v>Not Found</v>
      </c>
      <c r="AC224" s="292" t="str">
        <f>VLOOKUP($B224,'Master Tracker'!$D:$T,16,false)</f>
        <v>Not Found</v>
      </c>
      <c r="AD224" s="292" t="str">
        <f>VLOOKUP($B224,'Master Tracker'!$D:$T,17,false)</f>
        <v>Not Found</v>
      </c>
      <c r="AE224" s="292" t="str">
        <f>VLOOKUP($B224,'Master Tracker'!$D:$V,19,false)</f>
        <v>Not Found</v>
      </c>
      <c r="AF224" s="292">
        <f>IFERROR(__xludf.DUMMYFUNCTION("IFERROR(
  INDEX(
    FILTER(
      'Juma Recording forms'!$G:$G,
      TRIM('Juma Recording forms'!$F:$F) = TRIM($B224),
      'Juma Recording forms'!$AA:$AA = 1
    ),
    1
  ),
  ""Not Found""
)"),180.0)</f>
        <v>180</v>
      </c>
      <c r="AG224" s="292">
        <f>IFERROR(__xludf.DUMMYFUNCTION("IFERROR(
  INDEX(
    FILTER(
      'Juma Recording forms'!$G:$G,
      TRIM('Juma Recording forms'!$F:$F) = TRIM($B224),
      'Juma Recording forms'!$AA:$AA = 2
    ),
    1
  ),
  ""Not Found""
)"),170.0)</f>
        <v>170</v>
      </c>
      <c r="AH224" s="292">
        <f>IFERROR(__xludf.DUMMYFUNCTION("IFERROR(
  INDEX(
    FILTER(
      'Juma Recording forms'!$G:$G,
      TRIM('Juma Recording forms'!$F:$F) = TRIM($B224),
      'Juma Recording forms'!$AA:$AA = 3
    ),
    1
  ),
  ""Not Found""
)"),165.0)</f>
        <v>165</v>
      </c>
      <c r="AI224" s="292" t="str">
        <f>IFERROR(__xludf.DUMMYFUNCTION("IFERROR(
  INDEX(
    FILTER(
      'Juma Recording forms'!$G:$G,
      TRIM('Juma Recording forms'!$F:$F) = TRIM($B224),
      'Juma Recording forms'!$AA:$AA = 4
    ),
    1
  ),
  ""Not Found""
)"),"Not Found")</f>
        <v>Not Found</v>
      </c>
      <c r="AJ224" s="292" t="str">
        <f>IFERROR(__xludf.DUMMYFUNCTION("IFERROR(
  INDEX(
    FILTER(
      'Juma Recording forms'!$G:$G,
      TRIM('Juma Recording forms'!$F:$F) = TRIM($B224),
      'Juma Recording forms'!$AA:$AA = 5
    ),
    1
  ),
  ""Not Found""
)"),"Not Found")</f>
        <v>Not Found</v>
      </c>
      <c r="AK224" s="292" t="str">
        <f>IFERROR(__xludf.DUMMYFUNCTION("IFERROR(
  INDEX(
    FILTER(
      'Juma Recording forms'!$G:$G,
      TRIM('Juma Recording forms'!$F:$F) = TRIM($B224),
      'Juma Recording forms'!$AA:$AA = 6
    ),
    1
  ),
  ""Not Found""
)"),"Not Found")</f>
        <v>Not Found</v>
      </c>
      <c r="AL2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1!$E:$E"")=$B224) *
        (IMPORTRANGE(""https://docs.google.com/spreadsheets/d/161aHT6vVT3SLneTKD19N5qVWtnj_jIT8CSsOmUVKmaA/e"&amp;"dit?gid=1761053510"",
          ""Haris_Form responses 1!$AQ:$AQ"")=1)
      ),
      1
    ),
    ""0""
  ),
  ""Form not found""
)
"),"10")</f>
        <v>10</v>
      </c>
      <c r="AM2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1!$E:$E"")=$B224) *
        (IMPORTRANGE(""https://docs.google.com/spreadsheets/d/161aHT6vVT3SLneTKD19N5qVWtnj_jIT8CSsOmUVKmaA/e"&amp;"dit?gid=1761053510"",
          ""Haris_Form responses 1!$AQ:$AQ"")=2)
      ),
      1
    ),
    ""0""
  ),
  ""Form not found""
)
"),"10")</f>
        <v>10</v>
      </c>
      <c r="AN2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1!$E:$E"")=$B224) *
        (IMPORTRANGE(""https://docs.google.com/spreadsheets/d/161aHT6vVT3SLneTKD19N5qVWtnj_jIT8CSsOmUVKmaA/e"&amp;"dit?gid=1761053510"",
          ""Haris_Form responses 1!$AQ:$AQ"")=3)
      ),
      1
    ),
    ""0""
  ),
  ""Form not found""
)
"),"10")</f>
        <v>10</v>
      </c>
      <c r="AO2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1!$E:$E"")=$B224) *
        (IMPORTRANGE(""https://docs.google.com/spreadsheets/d/161aHT6vVT3SLneTKD19N5qVWtnj_jIT8CSsOmUVKmaA/e"&amp;"dit?gid=1761053510"",
          ""Haris_Form responses 1!$AQ:$AQ"")=4)
      ),
      1
    ),
    ""0""
  ),
  ""Form not found""
)
"),"Form not found")</f>
        <v>Form not found</v>
      </c>
      <c r="AP2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1!$E:$E"")=$B224) *
        (IMPORTRANGE(""https://docs.google.com/spreadsheets/d/161aHT6vVT3SLneTKD19N5qVWtnj_jIT8CSsOmUVKmaA/e"&amp;"dit?gid=1761053510"",
          ""Haris_Form responses 1!$AQ:$AQ"")=5)
      ),
      1
    ),
    ""0""
  ),
  ""Form not found""
)
"),"Form not found")</f>
        <v>Form not found</v>
      </c>
      <c r="AQ22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1!$E:$E"")=$B224) *
        (IMPORTRANGE(""https://docs.google.com/spreadsheets/d/161aHT6vVT3SLneTKD19N5qVWtnj_jIT8CSsOmUVKmaA/e"&amp;"dit?gid=1761053510"",
          ""Haris_Form responses 1!$AQ:$AQ"")=6)
      ),
      1
    ),
    ""0""
  ),
  ""Form not found""
)
"),"Form not found")</f>
        <v>Form not found</v>
      </c>
      <c r="AR2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1!$E:$E"")=$B224) *
        (IMPORTRANGE(""https://docs.google.com/spreadsheets/d/161aHT6vVT3SLneTKD19N5qVWtnj_jIT8CSsOmUVKmaA/e"&amp;"dit?gid=1761053510"",
          ""Haris_Form responses 1!$AQ:$AQ"")=1)
      ),
      1
    ),
    ""0""
  ),
  ""Form not found""
)
"),"0")</f>
        <v>0</v>
      </c>
      <c r="AS2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1!$E:$E"")=$B224) *
        (IMPORTRANGE(""https://docs.google.com/spreadsheets/d/161aHT6vVT3SLneTKD19N5qVWtnj_jIT8CSsOmUVKmaA/e"&amp;"dit?gid=1761053510"",
          ""Haris_Form responses 1!$AQ:$AQ"")=2)
      ),
      1
    ),
    ""0""
  ),
  ""Form not found""
)
"),"0")</f>
        <v>0</v>
      </c>
      <c r="AT2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1!$E:$E"")=$B224) *
        (IMPORTRANGE(""https://docs.google.com/spreadsheets/d/161aHT6vVT3SLneTKD19N5qVWtnj_jIT8CSsOmUVKmaA/e"&amp;"dit?gid=1761053510"",
          ""Haris_Form responses 1!$AQ:$AQ"")=3)
      ),
      1
    ),
    ""0""
  ),
  ""Form not found""
)
"),"0")</f>
        <v>0</v>
      </c>
      <c r="AU2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1!$E:$E"")=$B224) *
        (IMPORTRANGE(""https://docs.google.com/spreadsheets/d/161aHT6vVT3SLneTKD19N5qVWtnj_jIT8CSsOmUVKmaA/e"&amp;"dit?gid=1761053510"",
          ""Haris_Form responses 1!$AQ:$AQ"")=4)
      ),
      1
    ),
    ""0""
  ),
  ""Form not found""
)
"),"Form not found")</f>
        <v>Form not found</v>
      </c>
      <c r="AV2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1!$E:$E"")=$B224) *
        (IMPORTRANGE(""https://docs.google.com/spreadsheets/d/161aHT6vVT3SLneTKD19N5qVWtnj_jIT8CSsOmUVKmaA/e"&amp;"dit?gid=1761053510"",
          ""Haris_Form responses 1!$AQ:$AQ"")=5)
      ),
      1
    ),
    ""0""
  ),
  ""Form not found""
)
"),"Form not found")</f>
        <v>Form not found</v>
      </c>
      <c r="AW22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1!$E:$E"")=$B224) *
        (IMPORTRANGE(""https://docs.google.com/spreadsheets/d/161aHT6vVT3SLneTKD19N5qVWtnj_jIT8CSsOmUVKmaA/e"&amp;"dit?gid=1761053510"",
          ""Haris_Form responses 1!$AQ:$AQ"")=6)
      ),
      1
    ),
    ""0""
  ),
  ""Form not found""
)
"),"Form not found")</f>
        <v>Form not found</v>
      </c>
      <c r="AX2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1!$E:$E"")=$B224) *
        (IMPORTRANGE(""https://docs.google.com/spreadsheets/d/161aHT6vVT3SLneTKD19N5qVWtnj_jIT8CSsOmUVKmaA/e"&amp;"dit?gid=1761053510"",
          ""Haris_Form responses 1!$AQ:$AQ"")=1)
      ),
      1
    ),
    ""0""
  ),
  ""Form not found""
)
"),"10")</f>
        <v>10</v>
      </c>
      <c r="AY2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1!$E:$E"")=$B224) *
        (IMPORTRANGE(""https://docs.google.com/spreadsheets/d/161aHT6vVT3SLneTKD19N5qVWtnj_jIT8CSsOmUVKmaA/e"&amp;"dit?gid=1761053510"",
          ""Haris_Form responses 1!$AQ:$AQ"")=2)
      ),
      1
    ),
    ""0""
  ),
  ""Form not found""
)
"),"10")</f>
        <v>10</v>
      </c>
      <c r="AZ2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1!$E:$E"")=$B224) *
        (IMPORTRANGE(""https://docs.google.com/spreadsheets/d/161aHT6vVT3SLneTKD19N5qVWtnj_jIT8CSsOmUVKmaA/e"&amp;"dit?gid=1761053510"",
          ""Haris_Form responses 1!$AQ:$AQ"")=3)
      ),
      1
    ),
    ""0""
  ),
  ""Form not found""
)
"),"10")</f>
        <v>10</v>
      </c>
      <c r="BA2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1!$E:$E"")=$B224) *
        (IMPORTRANGE(""https://docs.google.com/spreadsheets/d/161aHT6vVT3SLneTKD19N5qVWtnj_jIT8CSsOmUVKmaA/e"&amp;"dit?gid=1761053510"",
          ""Haris_Form responses 1!$AQ:$AQ"")=4)
      ),
      1
    ),
    ""0""
  ),
  ""Form not found""
)
"),"Form not found")</f>
        <v>Form not found</v>
      </c>
      <c r="BB2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1!$E:$E"")=$B224) *
        (IMPORTRANGE(""https://docs.google.com/spreadsheets/d/161aHT6vVT3SLneTKD19N5qVWtnj_jIT8CSsOmUVKmaA/e"&amp;"dit?gid=1761053510"",
          ""Haris_Form responses 1!$AQ:$AQ"")=5)
      ),
      1
    ),
    ""0""
  ),
  ""Form not found""
)
"),"Form not found")</f>
        <v>Form not found</v>
      </c>
      <c r="BC22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1!$E:$E"")=$B224) *
        (IMPORTRANGE(""https://docs.google.com/spreadsheets/d/161aHT6vVT3SLneTKD19N5qVWtnj_jIT8CSsOmUVKmaA/e"&amp;"dit?gid=1761053510"",
          ""Haris_Form responses 1!$AQ:$AQ"")=6)
      ),
      1
    ),
    ""0""
  ),
  ""Form not found""
)
"),"Form not found")</f>
        <v>Form not found</v>
      </c>
      <c r="BD224" s="293"/>
    </row>
    <row r="225">
      <c r="A225" s="283" t="str">
        <f>IFERROR(__xludf.DUMMYFUNCTION("VLOOKUP($B225,IMPORTRANGE(""https://docs.google.com/spreadsheets/d/1VNXDITjs75AcgdBSW27oL1VZH31udDprJSsBcE5xlp4/edit?gid=1551188038#gid=1551188038"", ""Sheet9!$B:$E""),2,false)"),"Khanpure ( Rahim Yar Khan )")</f>
        <v>Khanpure ( Rahim Yar Khan )</v>
      </c>
      <c r="B225" s="283" t="s">
        <v>4665</v>
      </c>
      <c r="C225" s="284" t="str">
        <f>IFERROR(__xludf.DUMMYFUNCTION("VLOOKUP(TRIM($B225), IMPORTRANGE(""https://docs.google.com/spreadsheets/d/1aSOrU4PTpuBZqfitKaH1Rfww6-YOiNCKoBpPl8XBHaw/edit?gid=0#gid=0"", ""sheet3!$B:$C""), 2, FALSE)
"),"Jamia Masjid Galah Mandi Khanpur")</f>
        <v>Jamia Masjid Galah Mandi Khanpur</v>
      </c>
      <c r="D225" s="284" t="str">
        <f>IFERROR(__xludf.DUMMYFUNCTION("IFERROR(
  INDEX(
    FILTER(
      IMPORTRANGE(""1aSOrU4PTpuBZqfitKaH1Rfww6-YOiNCKoBpPl8XBHaw/edit?gid=0#gid=0"",""Sheet1!G:G""),
      IMPORTRANGE(""1aSOrU4PTpuBZqfitKaH1Rfww6-YOiNCKoBpPl8XBHaw/edit?gid=0#gid=0"",""Sheet1!C:C"")=$B225
    ),
    1
  ),
"&amp;"  ""Not Found""
)"),"Control")</f>
        <v>Control</v>
      </c>
      <c r="E225" s="284" t="str">
        <f>VLOOKUP(B225,'Juma Recording forms'!A:E,5,false)</f>
        <v>Jamia Masjid Ghalla Mandi</v>
      </c>
      <c r="F225" s="284" t="str">
        <f>IFERROR(__xludf.DUMMYFUNCTION("IFERROR(
  INDEX(
    FILTER(
      IMPORTRANGE(""1Cxrhp3-_-HS7v9uuqQliiIfrmMP4VaFoDNDWyUFy2J8/edit?gid=0#gid=0"",""Sheet1!Q:Q""),
      IMPORTRANGE(""1Cxrhp3-_-HS7v9uuqQliiIfrmMP4VaFoDNDWyUFy2J8/edit?gid=0#gid=0"",""Sheet1!K:K"")=$B225
    ),
    1
  ),
"&amp;"  ""Not Found""
)"),"Molana Hussain Ahmad")</f>
        <v>Molana Hussain Ahmad</v>
      </c>
      <c r="G225" s="284">
        <v>1960.0</v>
      </c>
      <c r="H225" s="284"/>
      <c r="I225" s="285" t="s">
        <v>197</v>
      </c>
      <c r="J225" s="286">
        <v>1.0</v>
      </c>
      <c r="K225" s="287" t="str">
        <f>VLOOKUP($B225,'Mosque Locations'!$A:$E,3,FALSE)
</f>
        <v>https://www.google.com/maps?q=28.6436336,70.6536248&amp;z=17&amp;hl=en</v>
      </c>
      <c r="L225" s="286">
        <f>VLOOKUP($B225,'Mosque Locations'!$A:$E,4,FALSE)
</f>
        <v>28.64363</v>
      </c>
      <c r="M225" s="286">
        <f>VLOOKUP($B225,'Mosque Locations'!$A:$E,5,false)</f>
        <v>70.65362</v>
      </c>
      <c r="N225" s="288"/>
      <c r="O225" s="288"/>
      <c r="P225" s="288"/>
      <c r="Q225" s="290" t="str">
        <f>IFERROR(__xludf.DUMMYFUNCTION("IFERROR(
  INDEX(
    FILTER(
      IMPORTRANGE(""1kOrIKZmJfNUkgOVP3sI9BPjaaPA0_a4636oymQxTXg8"",""Form Responses 1!N:N""),
      TRIM(IMPORTRANGE(""1kOrIKZmJfNUkgOVP3sI9BPjaaPA0_a4636oymQxTXg8"",""Form Responses 1!F:F""))=TRIM($B225)
    ),
    1
  ),
  "&amp;"""Not Found""
)
"),"https://drive.google.com/open?id=1LxzvmDBRC4VsitIEEKMYRhUTF7vUsB1v")</f>
        <v>https://drive.google.com/open?id=1LxzvmDBRC4VsitIEEKMYRhUTF7vUsB1v</v>
      </c>
      <c r="R225" s="295" t="str">
        <f>IFERROR(__xludf.DUMMYFUNCTION("IFERROR(
  INDEX(
    FILTER(
      IMPORTRANGE(""1kOrIKZmJfNUkgOVP3sI9BPjaaPA0_a4636oymQxTXg8"",""Form Responses 1!M:M""),
      TRIM(IMPORTRANGE(""1kOrIKZmJfNUkgOVP3sI9BPjaaPA0_a4636oymQxTXg8"",""Form Responses 1!F:F""))=TRIM($B225)
    ),
    1
  ),
  "&amp;"""Not Found""
)
"),"https://drive.google.com/open?id=1e9ENQCf82S3785sNaKHsAXjWRdeh9yuw")</f>
        <v>https://drive.google.com/open?id=1e9ENQCf82S3785sNaKHsAXjWRdeh9yuw</v>
      </c>
      <c r="S225" s="285"/>
      <c r="T225" s="290" t="str">
        <f>VLOOKUP($B225,'Master Tracker'!D:E,2,false)</f>
        <v>https://drive.google.com/open?id=1vD_pDtT167ixCPI8fzxYa2ERWBIpET1O</v>
      </c>
      <c r="U225" s="291" t="str">
        <f>VLOOKUP($B225,'Master Tracker'!$D:$T,4,FALSE)
</f>
        <v>https://drive.google.com/open?id=1GkTi7ESDyMsm-4vwTQgErQrupCDyV1Jz7tRVgAs918U</v>
      </c>
      <c r="V225" s="284" t="str">
        <f>VLOOKUP($B225,'Master Tracker'!$D:$T,5,false)</f>
        <v>Not Found</v>
      </c>
      <c r="W225" s="292" t="str">
        <f>VLOOKUP($B225,'Master Tracker'!$D:$T,7,false)</f>
        <v>Not Found</v>
      </c>
      <c r="X225" s="290" t="str">
        <f>VLOOKUP($B225,'Master Tracker'!$D:$T,8,false)</f>
        <v>https://drive.google.com/open?id=1PjtF5c3UIyl_r0ylmjkov0AiQlj5jn57</v>
      </c>
      <c r="Y225" s="291" t="str">
        <f>VLOOKUP($B225,'Master Tracker'!$D:$T,10,false)</f>
        <v>https://drive.google.com/open?id=1r1rAIuOF_u6lWhr_6tAYOtMyiaVFf4Qt</v>
      </c>
      <c r="Z225" s="284" t="str">
        <f>VLOOKUP($B225,'Master Tracker'!$D:$T,11,false)</f>
        <v>Not Found</v>
      </c>
      <c r="AA225" s="292" t="str">
        <f>VLOOKUP($B225,'Master Tracker'!$D:$T,13,false)</f>
        <v>Not Found</v>
      </c>
      <c r="AB225" s="284" t="str">
        <f>VLOOKUP($B225,'Master Tracker'!$D:$T,14,false)</f>
        <v>Not Found</v>
      </c>
      <c r="AC225" s="292" t="str">
        <f>VLOOKUP($B225,'Master Tracker'!$D:$T,16,false)</f>
        <v>Not Found</v>
      </c>
      <c r="AD225" s="292" t="str">
        <f>VLOOKUP($B225,'Master Tracker'!$D:$T,17,false)</f>
        <v>Not Found</v>
      </c>
      <c r="AE225" s="292" t="str">
        <f>VLOOKUP($B225,'Master Tracker'!$D:$V,19,false)</f>
        <v>Not Found</v>
      </c>
      <c r="AF225" s="292">
        <f>IFERROR(__xludf.DUMMYFUNCTION("IFERROR(
  INDEX(
    FILTER(
      'Juma Recording forms'!$G:$G,
      TRIM('Juma Recording forms'!$F:$F) = TRIM($B225),
      'Juma Recording forms'!$AA:$AA = 1
    ),
    1
  ),
  ""Not Found""
)"),155.0)</f>
        <v>155</v>
      </c>
      <c r="AG225" s="292" t="str">
        <f>IFERROR(__xludf.DUMMYFUNCTION("IFERROR(
  INDEX(
    FILTER(
      'Juma Recording forms'!$G:$G,
      TRIM('Juma Recording forms'!$F:$F) = TRIM($B225),
      'Juma Recording forms'!$AA:$AA = 2
    ),
    1
  ),
  ""Not Found""
)"),"Not Found")</f>
        <v>Not Found</v>
      </c>
      <c r="AH225" s="292">
        <f>IFERROR(__xludf.DUMMYFUNCTION("IFERROR(
  INDEX(
    FILTER(
      'Juma Recording forms'!$G:$G,
      TRIM('Juma Recording forms'!$F:$F) = TRIM($B225),
      'Juma Recording forms'!$AA:$AA = 3
    ),
    1
  ),
  ""Not Found""
)"),135.0)</f>
        <v>135</v>
      </c>
      <c r="AI225" s="292" t="str">
        <f>IFERROR(__xludf.DUMMYFUNCTION("IFERROR(
  INDEX(
    FILTER(
      'Juma Recording forms'!$G:$G,
      TRIM('Juma Recording forms'!$F:$F) = TRIM($B225),
      'Juma Recording forms'!$AA:$AA = 4
    ),
    1
  ),
  ""Not Found""
)"),"Not Found")</f>
        <v>Not Found</v>
      </c>
      <c r="AJ225" s="292" t="str">
        <f>IFERROR(__xludf.DUMMYFUNCTION("IFERROR(
  INDEX(
    FILTER(
      'Juma Recording forms'!$G:$G,
      TRIM('Juma Recording forms'!$F:$F) = TRIM($B225),
      'Juma Recording forms'!$AA:$AA = 5
    ),
    1
  ),
  ""Not Found""
)"),"Not Found")</f>
        <v>Not Found</v>
      </c>
      <c r="AK225" s="292"/>
      <c r="AL2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1!$E:$E"")=$B225) *
        (IMPORTRANGE(""https://docs.google.com/spreadsheets/d/161aHT6vVT3SLneTKD19N5qVWtnj_jIT8CSsOmUVKmaA/e"&amp;"dit?gid=1761053510"",
          ""Haris_Form responses 1!$AQ:$AQ"")=1)
      ),
      1
    ),
    ""0""
  ),
  ""Form not found""
)
"),"0")</f>
        <v>0</v>
      </c>
      <c r="AM2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1!$E:$E"")=$B225) *
        (IMPORTRANGE(""https://docs.google.com/spreadsheets/d/161aHT6vVT3SLneTKD19N5qVWtnj_jIT8CSsOmUVKmaA/e"&amp;"dit?gid=1761053510"",
          ""Haris_Form responses 1!$AQ:$AQ"")=2)
      ),
      1
    ),
    ""0""
  ),
  ""Form not found""
)
"),"Form not found")</f>
        <v>Form not found</v>
      </c>
      <c r="AN2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1!$E:$E"")=$B225) *
        (IMPORTRANGE(""https://docs.google.com/spreadsheets/d/161aHT6vVT3SLneTKD19N5qVWtnj_jIT8CSsOmUVKmaA/e"&amp;"dit?gid=1761053510"",
          ""Haris_Form responses 1!$AQ:$AQ"")=3)
      ),
      1
    ),
    ""0""
  ),
  ""Form not found""
)
"),"0")</f>
        <v>0</v>
      </c>
      <c r="AO2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1!$E:$E"")=$B225) *
        (IMPORTRANGE(""https://docs.google.com/spreadsheets/d/161aHT6vVT3SLneTKD19N5qVWtnj_jIT8CSsOmUVKmaA/e"&amp;"dit?gid=1761053510"",
          ""Haris_Form responses 1!$AQ:$AQ"")=4)
      ),
      1
    ),
    ""0""
  ),
  ""Form not found""
)
"),"Form not found")</f>
        <v>Form not found</v>
      </c>
      <c r="AP2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1!$E:$E"")=$B225) *
        (IMPORTRANGE(""https://docs.google.com/spreadsheets/d/161aHT6vVT3SLneTKD19N5qVWtnj_jIT8CSsOmUVKmaA/e"&amp;"dit?gid=1761053510"",
          ""Haris_Form responses 1!$AQ:$AQ"")=5)
      ),
      1
    ),
    ""0""
  ),
  ""Form not found""
)
"),"Form not found")</f>
        <v>Form not found</v>
      </c>
      <c r="AQ22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1!$E:$E"")=$B225) *
        (IMPORTRANGE(""https://docs.google.com/spreadsheets/d/161aHT6vVT3SLneTKD19N5qVWtnj_jIT8CSsOmUVKmaA/e"&amp;"dit?gid=1761053510"",
          ""Haris_Form responses 1!$AQ:$AQ"")=6)
      ),
      1
    ),
    ""0""
  ),
  ""Form not found""
)
"),"Form not found")</f>
        <v>Form not found</v>
      </c>
      <c r="AR2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1!$E:$E"")=$B225) *
        (IMPORTRANGE(""https://docs.google.com/spreadsheets/d/161aHT6vVT3SLneTKD19N5qVWtnj_jIT8CSsOmUVKmaA/e"&amp;"dit?gid=1761053510"",
          ""Haris_Form responses 1!$AQ:$AQ"")=1)
      ),
      1
    ),
    ""0""
  ),
  ""Form not found""
)
"),"3")</f>
        <v>3</v>
      </c>
      <c r="AS2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1!$E:$E"")=$B225) *
        (IMPORTRANGE(""https://docs.google.com/spreadsheets/d/161aHT6vVT3SLneTKD19N5qVWtnj_jIT8CSsOmUVKmaA/e"&amp;"dit?gid=1761053510"",
          ""Haris_Form responses 1!$AQ:$AQ"")=2)
      ),
      1
    ),
    ""0""
  ),
  ""Form not found""
)
"),"Form not found")</f>
        <v>Form not found</v>
      </c>
      <c r="AT2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1!$E:$E"")=$B225) *
        (IMPORTRANGE(""https://docs.google.com/spreadsheets/d/161aHT6vVT3SLneTKD19N5qVWtnj_jIT8CSsOmUVKmaA/e"&amp;"dit?gid=1761053510"",
          ""Haris_Form responses 1!$AQ:$AQ"")=3)
      ),
      1
    ),
    ""0""
  ),
  ""Form not found""
)
"),"0")</f>
        <v>0</v>
      </c>
      <c r="AU2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1!$E:$E"")=$B225) *
        (IMPORTRANGE(""https://docs.google.com/spreadsheets/d/161aHT6vVT3SLneTKD19N5qVWtnj_jIT8CSsOmUVKmaA/e"&amp;"dit?gid=1761053510"",
          ""Haris_Form responses 1!$AQ:$AQ"")=4)
      ),
      1
    ),
    ""0""
  ),
  ""Form not found""
)
"),"Form not found")</f>
        <v>Form not found</v>
      </c>
      <c r="AV2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1!$E:$E"")=$B225) *
        (IMPORTRANGE(""https://docs.google.com/spreadsheets/d/161aHT6vVT3SLneTKD19N5qVWtnj_jIT8CSsOmUVKmaA/e"&amp;"dit?gid=1761053510"",
          ""Haris_Form responses 1!$AQ:$AQ"")=5)
      ),
      1
    ),
    ""0""
  ),
  ""Form not found""
)
"),"Form not found")</f>
        <v>Form not found</v>
      </c>
      <c r="AW22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1!$E:$E"")=$B225) *
        (IMPORTRANGE(""https://docs.google.com/spreadsheets/d/161aHT6vVT3SLneTKD19N5qVWtnj_jIT8CSsOmUVKmaA/e"&amp;"dit?gid=1761053510"",
          ""Haris_Form responses 1!$AQ:$AQ"")=6)
      ),
      1
    ),
    ""0""
  ),
  ""Form not found""
)
"),"Form not found")</f>
        <v>Form not found</v>
      </c>
      <c r="AX2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1!$E:$E"")=$B225) *
        (IMPORTRANGE(""https://docs.google.com/spreadsheets/d/161aHT6vVT3SLneTKD19N5qVWtnj_jIT8CSsOmUVKmaA/e"&amp;"dit?gid=1761053510"",
          ""Haris_Form responses 1!$AQ:$AQ"")=1)
      ),
      1
    ),
    ""0""
  ),
  ""Form not found""
)
"),"2")</f>
        <v>2</v>
      </c>
      <c r="AY2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1!$E:$E"")=$B225) *
        (IMPORTRANGE(""https://docs.google.com/spreadsheets/d/161aHT6vVT3SLneTKD19N5qVWtnj_jIT8CSsOmUVKmaA/e"&amp;"dit?gid=1761053510"",
          ""Haris_Form responses 1!$AQ:$AQ"")=2)
      ),
      1
    ),
    ""0""
  ),
  ""Form not found""
)
"),"Form not found")</f>
        <v>Form not found</v>
      </c>
      <c r="AZ2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1!$E:$E"")=$B225) *
        (IMPORTRANGE(""https://docs.google.com/spreadsheets/d/161aHT6vVT3SLneTKD19N5qVWtnj_jIT8CSsOmUVKmaA/e"&amp;"dit?gid=1761053510"",
          ""Haris_Form responses 1!$AQ:$AQ"")=3)
      ),
      1
    ),
    ""0""
  ),
  ""Form not found""
)
"),"0")</f>
        <v>0</v>
      </c>
      <c r="BA2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1!$E:$E"")=$B225) *
        (IMPORTRANGE(""https://docs.google.com/spreadsheets/d/161aHT6vVT3SLneTKD19N5qVWtnj_jIT8CSsOmUVKmaA/e"&amp;"dit?gid=1761053510"",
          ""Haris_Form responses 1!$AQ:$AQ"")=4)
      ),
      1
    ),
    ""0""
  ),
  ""Form not found""
)
"),"Form not found")</f>
        <v>Form not found</v>
      </c>
      <c r="BB2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1!$E:$E"")=$B225) *
        (IMPORTRANGE(""https://docs.google.com/spreadsheets/d/161aHT6vVT3SLneTKD19N5qVWtnj_jIT8CSsOmUVKmaA/e"&amp;"dit?gid=1761053510"",
          ""Haris_Form responses 1!$AQ:$AQ"")=5)
      ),
      1
    ),
    ""0""
  ),
  ""Form not found""
)
"),"Form not found")</f>
        <v>Form not found</v>
      </c>
      <c r="BC22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1!$E:$E"")=$B225) *
        (IMPORTRANGE(""https://docs.google.com/spreadsheets/d/161aHT6vVT3SLneTKD19N5qVWtnj_jIT8CSsOmUVKmaA/e"&amp;"dit?gid=1761053510"",
          ""Haris_Form responses 1!$AQ:$AQ"")=6)
      ),
      1
    ),
    ""0""
  ),
  ""Form not found""
)
"),"Form not found")</f>
        <v>Form not found</v>
      </c>
      <c r="BD225" s="293"/>
    </row>
    <row r="226">
      <c r="A226" s="283" t="str">
        <f>IFERROR(__xludf.DUMMYFUNCTION("VLOOKUP($B226,IMPORTRANGE(""https://docs.google.com/spreadsheets/d/1VNXDITjs75AcgdBSW27oL1VZH31udDprJSsBcE5xlp4/edit?gid=1551188038#gid=1551188038"", ""Sheet9!$B:$E""),2,false)"),"Khanpure ( Rahim Yar Khan )")</f>
        <v>Khanpure ( Rahim Yar Khan )</v>
      </c>
      <c r="B226" s="283" t="s">
        <v>4666</v>
      </c>
      <c r="C226" s="284" t="str">
        <f>IFERROR(__xludf.DUMMYFUNCTION("VLOOKUP(TRIM($B226), IMPORTRANGE(""https://docs.google.com/spreadsheets/d/1aSOrU4PTpuBZqfitKaH1Rfww6-YOiNCKoBpPl8XBHaw/edit?gid=0#gid=0"", ""sheet3!$B:$C""), 2, FALSE)
"),"Jamia Masjid Mai Shahab Khanpur")</f>
        <v>Jamia Masjid Mai Shahab Khanpur</v>
      </c>
      <c r="D226" s="284" t="str">
        <f>IFERROR(__xludf.DUMMYFUNCTION("IFERROR(
  INDEX(
    FILTER(
      IMPORTRANGE(""1aSOrU4PTpuBZqfitKaH1Rfww6-YOiNCKoBpPl8XBHaw/edit?gid=0#gid=0"",""Sheet1!G:G""),
      IMPORTRANGE(""1aSOrU4PTpuBZqfitKaH1Rfww6-YOiNCKoBpPl8XBHaw/edit?gid=0#gid=0"",""Sheet1!C:C"")=$B226
    ),
    1
  ),
"&amp;"  ""Not Found""
)"),"Women Secular Info Share")</f>
        <v>Women Secular Info Share</v>
      </c>
      <c r="E226" s="284" t="str">
        <f>VLOOKUP(B226,'Juma Recording forms'!A:E,5,false)</f>
        <v>Jammia masjid maii sab</v>
      </c>
      <c r="F226" s="284" t="str">
        <f>IFERROR(__xludf.DUMMYFUNCTION("IFERROR(
  INDEX(
    FILTER(
      IMPORTRANGE(""1Cxrhp3-_-HS7v9uuqQliiIfrmMP4VaFoDNDWyUFy2J8/edit?gid=0#gid=0"",""Sheet1!Q:Q""),
      IMPORTRANGE(""1Cxrhp3-_-HS7v9uuqQliiIfrmMP4VaFoDNDWyUFy2J8/edit?gid=0#gid=0"",""Sheet1!K:K"")=$B226
    ),
    1
  ),
"&amp;"  ""Not Found""
)"),"Mulana Mukhtiyar")</f>
        <v>Mulana Mukhtiyar</v>
      </c>
      <c r="G226" s="284">
        <v>1921.0</v>
      </c>
      <c r="H226" s="284"/>
      <c r="I226" s="285" t="s">
        <v>197</v>
      </c>
      <c r="J226" s="286">
        <v>1.0</v>
      </c>
      <c r="K226" s="287" t="str">
        <f>VLOOKUP($B226,'Mosque Locations'!$A:$E,3,FALSE)
</f>
        <v>https://www.google.com/maps?q=28.6439435,70.6589031&amp;z=17&amp;hl=en</v>
      </c>
      <c r="L226" s="286">
        <f>VLOOKUP($B226,'Mosque Locations'!$A:$E,4,FALSE)
</f>
        <v>28.64394</v>
      </c>
      <c r="M226" s="286">
        <f>VLOOKUP($B226,'Mosque Locations'!$A:$E,5,false)</f>
        <v>70.6589</v>
      </c>
      <c r="N226" s="288"/>
      <c r="O226" s="288"/>
      <c r="P226" s="288"/>
      <c r="Q226" s="290" t="str">
        <f>IFERROR(__xludf.DUMMYFUNCTION("IFERROR(
  INDEX(
    FILTER(
      IMPORTRANGE(""1kOrIKZmJfNUkgOVP3sI9BPjaaPA0_a4636oymQxTXg8"",""Form Responses 1!N:N""),
      TRIM(IMPORTRANGE(""1kOrIKZmJfNUkgOVP3sI9BPjaaPA0_a4636oymQxTXg8"",""Form Responses 1!F:F""))=TRIM($B226)
    ),
    1
  ),
  "&amp;"""Not Found""
)
"),"https://drive.google.com/open?id=1DRCMrOomHWBZ--fXl34szsyLbZ82Kk8_")</f>
        <v>https://drive.google.com/open?id=1DRCMrOomHWBZ--fXl34szsyLbZ82Kk8_</v>
      </c>
      <c r="R226" s="290" t="str">
        <f>IFERROR(__xludf.DUMMYFUNCTION("IFERROR(
  INDEX(
    FILTER(
      IMPORTRANGE(""1kOrIKZmJfNUkgOVP3sI9BPjaaPA0_a4636oymQxTXg8"",""Form Responses 1!M:M""),
      TRIM(IMPORTRANGE(""1kOrIKZmJfNUkgOVP3sI9BPjaaPA0_a4636oymQxTXg8"",""Form Responses 1!F:F""))=TRIM($B226)
    ),
    1
  ),
  "&amp;"""Not Found""
)
"),"https://drive.google.com/open?id=1K84lMFRkH24tTkThrNXGFdXGE4BNFyLX")</f>
        <v>https://drive.google.com/open?id=1K84lMFRkH24tTkThrNXGFdXGE4BNFyLX</v>
      </c>
      <c r="S226" s="285"/>
      <c r="T226" s="290" t="str">
        <f>VLOOKUP($B226,'Master Tracker'!D:E,2,false)</f>
        <v>https://drive.google.com/open?id=1NgGffKDwBfZBYffODnUVH_hwCUoeWp8q</v>
      </c>
      <c r="U226" s="291" t="str">
        <f>VLOOKUP($B226,'Master Tracker'!$D:$T,4,FALSE)
</f>
        <v>https://drive.google.com/open?id=1XtxVVy1SoN5sKHmWsw2llrKY7cuPHNe3o61m8HPMA7k</v>
      </c>
      <c r="V226" s="290" t="str">
        <f>VLOOKUP($B226,'Master Tracker'!$D:$T,5,false)</f>
        <v>https://drive.google.com/open?id=1QlIX3s8jifcDW6p4L7gBLu39-XIzTqIt</v>
      </c>
      <c r="W226" s="291" t="str">
        <f>VLOOKUP($B226,'Master Tracker'!$D:$T,7,false)</f>
        <v>https://drive.google.com/open?id=1EelOyXk_-bGQWrwGcQbS-wzY9aMLd5I6CcSE4Kf5kyM</v>
      </c>
      <c r="X226" s="290" t="str">
        <f>VLOOKUP($B226,'Master Tracker'!$D:$T,8,false)</f>
        <v>https://drive.google.com/open?id=19IY6j8Vv3B-D5PYOLcbtE9L81yiUH5BE</v>
      </c>
      <c r="Y226" s="291" t="str">
        <f>VLOOKUP($B226,'Master Tracker'!$D:$T,10,false)</f>
        <v>https://drive.google.com/open?id=1Ybxm8csoNsZrUfpEYgOPUGBX0DJFOAmQe8LbzvoCN3k</v>
      </c>
      <c r="Z226" s="284" t="str">
        <f>VLOOKUP($B226,'Master Tracker'!$D:$T,11,false)</f>
        <v>Not Found</v>
      </c>
      <c r="AA226" s="292" t="str">
        <f>VLOOKUP($B226,'Master Tracker'!$D:$T,13,false)</f>
        <v>Not Found</v>
      </c>
      <c r="AB226" s="284" t="str">
        <f>VLOOKUP($B226,'Master Tracker'!$D:$T,14,false)</f>
        <v>Not Found</v>
      </c>
      <c r="AC226" s="292" t="str">
        <f>VLOOKUP($B226,'Master Tracker'!$D:$T,16,false)</f>
        <v>Not Found</v>
      </c>
      <c r="AD226" s="292" t="str">
        <f>VLOOKUP($B226,'Master Tracker'!$D:$T,17,false)</f>
        <v>Not Found</v>
      </c>
      <c r="AE226" s="292" t="str">
        <f>VLOOKUP($B226,'Master Tracker'!$D:$V,19,false)</f>
        <v>Not Found</v>
      </c>
      <c r="AF226" s="292">
        <f>IFERROR(__xludf.DUMMYFUNCTION("IFERROR(
  INDEX(
    FILTER(
      'Juma Recording forms'!$G:$G,
      TRIM('Juma Recording forms'!$F:$F) = TRIM($B226),
      'Juma Recording forms'!$AA:$AA = 1
    ),
    1
  ),
  ""Not Found""
)"),196.0)</f>
        <v>196</v>
      </c>
      <c r="AG226" s="292">
        <f>IFERROR(__xludf.DUMMYFUNCTION("IFERROR(
  INDEX(
    FILTER(
      'Juma Recording forms'!$G:$G,
      TRIM('Juma Recording forms'!$F:$F) = TRIM($B226),
      'Juma Recording forms'!$AA:$AA = 2
    ),
    1
  ),
  ""Not Found""
)"),215.0)</f>
        <v>215</v>
      </c>
      <c r="AH226" s="292">
        <f>IFERROR(__xludf.DUMMYFUNCTION("IFERROR(
  INDEX(
    FILTER(
      'Juma Recording forms'!$G:$G,
      TRIM('Juma Recording forms'!$F:$F) = TRIM($B226),
      'Juma Recording forms'!$AA:$AA = 3
    ),
    1
  ),
  ""Not Found""
)"),204.0)</f>
        <v>204</v>
      </c>
      <c r="AI226" s="292" t="str">
        <f>IFERROR(__xludf.DUMMYFUNCTION("IFERROR(
  INDEX(
    FILTER(
      'Juma Recording forms'!$G:$G,
      TRIM('Juma Recording forms'!$F:$F) = TRIM($B226),
      'Juma Recording forms'!$AA:$AA = 4
    ),
    1
  ),
  ""Not Found""
)"),"Not Found")</f>
        <v>Not Found</v>
      </c>
      <c r="AJ226" s="292" t="str">
        <f>IFERROR(__xludf.DUMMYFUNCTION("IFERROR(
  INDEX(
    FILTER(
      'Juma Recording forms'!$G:$G,
      TRIM('Juma Recording forms'!$F:$F) = TRIM($B226),
      'Juma Recording forms'!$AA:$AA = 5
    ),
    1
  ),
  ""Not Found""
)"),"Not Found")</f>
        <v>Not Found</v>
      </c>
      <c r="AK226" s="292" t="str">
        <f>IFERROR(__xludf.DUMMYFUNCTION("IFERROR(
  INDEX(
    FILTER(
      'Juma Recording forms'!$G:$G,
      TRIM('Juma Recording forms'!$F:$F) = TRIM($B226),
      'Juma Recording forms'!$AA:$AA = 6
    ),
    1
  ),
  ""Not Found""
)"),"Not Found")</f>
        <v>Not Found</v>
      </c>
      <c r="AL2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1!$E:$E"")=$B226) *
        (IMPORTRANGE(""https://docs.google.com/spreadsheets/d/161aHT6vVT3SLneTKD19N5qVWtnj_jIT8CSsOmUVKmaA/e"&amp;"dit?gid=1761053510"",
          ""Haris_Form responses 1!$AQ:$AQ"")=1)
      ),
      1
    ),
    ""0""
  ),
  ""Form not found""
)
"),"10")</f>
        <v>10</v>
      </c>
      <c r="AM2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1!$E:$E"")=$B226) *
        (IMPORTRANGE(""https://docs.google.com/spreadsheets/d/161aHT6vVT3SLneTKD19N5qVWtnj_jIT8CSsOmUVKmaA/e"&amp;"dit?gid=1761053510"",
          ""Haris_Form responses 1!$AQ:$AQ"")=2)
      ),
      1
    ),
    ""0""
  ),
  ""Form not found""
)
"),"10")</f>
        <v>10</v>
      </c>
      <c r="AN2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1!$E:$E"")=$B226) *
        (IMPORTRANGE(""https://docs.google.com/spreadsheets/d/161aHT6vVT3SLneTKD19N5qVWtnj_jIT8CSsOmUVKmaA/e"&amp;"dit?gid=1761053510"",
          ""Haris_Form responses 1!$AQ:$AQ"")=3)
      ),
      1
    ),
    ""0""
  ),
  ""Form not found""
)
"),"0")</f>
        <v>0</v>
      </c>
      <c r="AO2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1!$E:$E"")=$B226) *
        (IMPORTRANGE(""https://docs.google.com/spreadsheets/d/161aHT6vVT3SLneTKD19N5qVWtnj_jIT8CSsOmUVKmaA/e"&amp;"dit?gid=1761053510"",
          ""Haris_Form responses 1!$AQ:$AQ"")=4)
      ),
      1
    ),
    ""0""
  ),
  ""Form not found""
)
"),"Form not found")</f>
        <v>Form not found</v>
      </c>
      <c r="AP2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1!$E:$E"")=$B226) *
        (IMPORTRANGE(""https://docs.google.com/spreadsheets/d/161aHT6vVT3SLneTKD19N5qVWtnj_jIT8CSsOmUVKmaA/e"&amp;"dit?gid=1761053510"",
          ""Haris_Form responses 1!$AQ:$AQ"")=5)
      ),
      1
    ),
    ""0""
  ),
  ""Form not found""
)
"),"Form not found")</f>
        <v>Form not found</v>
      </c>
      <c r="AQ22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1!$E:$E"")=$B226) *
        (IMPORTRANGE(""https://docs.google.com/spreadsheets/d/161aHT6vVT3SLneTKD19N5qVWtnj_jIT8CSsOmUVKmaA/e"&amp;"dit?gid=1761053510"",
          ""Haris_Form responses 1!$AQ:$AQ"")=6)
      ),
      1
    ),
    ""0""
  ),
  ""Form not found""
)
"),"Form not found")</f>
        <v>Form not found</v>
      </c>
      <c r="AR2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1!$E:$E"")=$B226) *
        (IMPORTRANGE(""https://docs.google.com/spreadsheets/d/161aHT6vVT3SLneTKD19N5qVWtnj_jIT8CSsOmUVKmaA/e"&amp;"dit?gid=1761053510"",
          ""Haris_Form responses 1!$AQ:$AQ"")=1)
      ),
      1
    ),
    ""0""
  ),
  ""Form not found""
)
"),"0")</f>
        <v>0</v>
      </c>
      <c r="AS2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1!$E:$E"")=$B226) *
        (IMPORTRANGE(""https://docs.google.com/spreadsheets/d/161aHT6vVT3SLneTKD19N5qVWtnj_jIT8CSsOmUVKmaA/e"&amp;"dit?gid=1761053510"",
          ""Haris_Form responses 1!$AQ:$AQ"")=2)
      ),
      1
    ),
    ""0""
  ),
  ""Form not found""
)
"),"0")</f>
        <v>0</v>
      </c>
      <c r="AT2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1!$E:$E"")=$B226) *
        (IMPORTRANGE(""https://docs.google.com/spreadsheets/d/161aHT6vVT3SLneTKD19N5qVWtnj_jIT8CSsOmUVKmaA/e"&amp;"dit?gid=1761053510"",
          ""Haris_Form responses 1!$AQ:$AQ"")=3)
      ),
      1
    ),
    ""0""
  ),
  ""Form not found""
)
"),"0")</f>
        <v>0</v>
      </c>
      <c r="AU2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1!$E:$E"")=$B226) *
        (IMPORTRANGE(""https://docs.google.com/spreadsheets/d/161aHT6vVT3SLneTKD19N5qVWtnj_jIT8CSsOmUVKmaA/e"&amp;"dit?gid=1761053510"",
          ""Haris_Form responses 1!$AQ:$AQ"")=4)
      ),
      1
    ),
    ""0""
  ),
  ""Form not found""
)
"),"Form not found")</f>
        <v>Form not found</v>
      </c>
      <c r="AV2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1!$E:$E"")=$B226) *
        (IMPORTRANGE(""https://docs.google.com/spreadsheets/d/161aHT6vVT3SLneTKD19N5qVWtnj_jIT8CSsOmUVKmaA/e"&amp;"dit?gid=1761053510"",
          ""Haris_Form responses 1!$AQ:$AQ"")=5)
      ),
      1
    ),
    ""0""
  ),
  ""Form not found""
)
"),"Form not found")</f>
        <v>Form not found</v>
      </c>
      <c r="AW22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1!$E:$E"")=$B226) *
        (IMPORTRANGE(""https://docs.google.com/spreadsheets/d/161aHT6vVT3SLneTKD19N5qVWtnj_jIT8CSsOmUVKmaA/e"&amp;"dit?gid=1761053510"",
          ""Haris_Form responses 1!$AQ:$AQ"")=6)
      ),
      1
    ),
    ""0""
  ),
  ""Form not found""
)
"),"Form not found")</f>
        <v>Form not found</v>
      </c>
      <c r="AX2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1!$E:$E"")=$B226) *
        (IMPORTRANGE(""https://docs.google.com/spreadsheets/d/161aHT6vVT3SLneTKD19N5qVWtnj_jIT8CSsOmUVKmaA/e"&amp;"dit?gid=1761053510"",
          ""Haris_Form responses 1!$AQ:$AQ"")=1)
      ),
      1
    ),
    ""0""
  ),
  ""Form not found""
)
"),"10")</f>
        <v>10</v>
      </c>
      <c r="AY2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1!$E:$E"")=$B226) *
        (IMPORTRANGE(""https://docs.google.com/spreadsheets/d/161aHT6vVT3SLneTKD19N5qVWtnj_jIT8CSsOmUVKmaA/e"&amp;"dit?gid=1761053510"",
          ""Haris_Form responses 1!$AQ:$AQ"")=2)
      ),
      1
    ),
    ""0""
  ),
  ""Form not found""
)
"),"10")</f>
        <v>10</v>
      </c>
      <c r="AZ2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1!$E:$E"")=$B226) *
        (IMPORTRANGE(""https://docs.google.com/spreadsheets/d/161aHT6vVT3SLneTKD19N5qVWtnj_jIT8CSsOmUVKmaA/e"&amp;"dit?gid=1761053510"",
          ""Haris_Form responses 1!$AQ:$AQ"")=3)
      ),
      1
    ),
    ""0""
  ),
  ""Form not found""
)
"),"0")</f>
        <v>0</v>
      </c>
      <c r="BA2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1!$E:$E"")=$B226) *
        (IMPORTRANGE(""https://docs.google.com/spreadsheets/d/161aHT6vVT3SLneTKD19N5qVWtnj_jIT8CSsOmUVKmaA/e"&amp;"dit?gid=1761053510"",
          ""Haris_Form responses 1!$AQ:$AQ"")=4)
      ),
      1
    ),
    ""0""
  ),
  ""Form not found""
)
"),"Form not found")</f>
        <v>Form not found</v>
      </c>
      <c r="BB2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1!$E:$E"")=$B226) *
        (IMPORTRANGE(""https://docs.google.com/spreadsheets/d/161aHT6vVT3SLneTKD19N5qVWtnj_jIT8CSsOmUVKmaA/e"&amp;"dit?gid=1761053510"",
          ""Haris_Form responses 1!$AQ:$AQ"")=5)
      ),
      1
    ),
    ""0""
  ),
  ""Form not found""
)
"),"Form not found")</f>
        <v>Form not found</v>
      </c>
      <c r="BC22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1!$E:$E"")=$B226) *
        (IMPORTRANGE(""https://docs.google.com/spreadsheets/d/161aHT6vVT3SLneTKD19N5qVWtnj_jIT8CSsOmUVKmaA/e"&amp;"dit?gid=1761053510"",
          ""Haris_Form responses 1!$AQ:$AQ"")=6)
      ),
      1
    ),
    ""0""
  ),
  ""Form not found""
)
"),"Form not found")</f>
        <v>Form not found</v>
      </c>
      <c r="BD226" s="293"/>
    </row>
    <row r="227">
      <c r="A227" s="283" t="str">
        <f>IFERROR(__xludf.DUMMYFUNCTION("VLOOKUP($B227,IMPORTRANGE(""https://docs.google.com/spreadsheets/d/1VNXDITjs75AcgdBSW27oL1VZH31udDprJSsBcE5xlp4/edit?gid=1551188038#gid=1551188038"", ""Sheet9!$B:$E""),2,false)"),"Burewala")</f>
        <v>Burewala</v>
      </c>
      <c r="B227" s="283" t="s">
        <v>4667</v>
      </c>
      <c r="C227" s="284" t="str">
        <f>IFERROR(__xludf.DUMMYFUNCTION("VLOOKUP(TRIM($B227), IMPORTRANGE(""https://docs.google.com/spreadsheets/d/1aSOrU4PTpuBZqfitKaH1Rfww6-YOiNCKoBpPl8XBHaw/edit?gid=0#gid=0"", ""sheet3!$B:$C""), 2, FALSE)
"),"Jamia Masjid Sarwarya Muhammad Shah Melsi")</f>
        <v>Jamia Masjid Sarwarya Muhammad Shah Melsi</v>
      </c>
      <c r="D227" s="284" t="str">
        <f>IFERROR(__xludf.DUMMYFUNCTION("IFERROR(
  INDEX(
    FILTER(
      IMPORTRANGE(""1aSOrU4PTpuBZqfitKaH1Rfww6-YOiNCKoBpPl8XBHaw/edit?gid=0#gid=0"",""Sheet1!G:G""),
      IMPORTRANGE(""1aSOrU4PTpuBZqfitKaH1Rfww6-YOiNCKoBpPl8XBHaw/edit?gid=0#gid=0"",""Sheet1!C:C"")=$B227
    ),
    1
  ),
"&amp;"  ""Not Found""
)"),"Women Religious No Info Share")</f>
        <v>Women Religious No Info Share</v>
      </c>
      <c r="E227" s="284" t="str">
        <f>VLOOKUP(B227,'Juma Recording forms'!A:E,5,false)</f>
        <v>Jamia Masjid Sarwariya Islamia Muhammad Shah</v>
      </c>
      <c r="F227" s="284" t="str">
        <f>IFERROR(__xludf.DUMMYFUNCTION("IFERROR(
  INDEX(
    FILTER(
      IMPORTRANGE(""1Cxrhp3-_-HS7v9uuqQliiIfrmMP4VaFoDNDWyUFy2J8/edit?gid=0#gid=0"",""Sheet1!Q:Q""),
      IMPORTRANGE(""1Cxrhp3-_-HS7v9uuqQliiIfrmMP4VaFoDNDWyUFy2J8/edit?gid=0#gid=0"",""Sheet1!K:K"")=$B227
    ),
    1
  ),
"&amp;"  ""Not Found""
)"),"Imadullah")</f>
        <v>Imadullah</v>
      </c>
      <c r="G227" s="284">
        <v>1960.0</v>
      </c>
      <c r="H227" s="284" t="s">
        <v>4880</v>
      </c>
      <c r="I227" s="285" t="s">
        <v>197</v>
      </c>
      <c r="J227" s="286">
        <v>1.0</v>
      </c>
      <c r="K227" s="287" t="str">
        <f>VLOOKUP($B227,'Mosque Locations'!$A:$E,3,FALSE)
</f>
        <v>https://maps.google.com/maps?q=29.9198%2C72.26417&amp;z=17&amp;hl=en</v>
      </c>
      <c r="L227" s="286">
        <f>VLOOKUP($B227,'Mosque Locations'!$A:$E,4,FALSE)
</f>
        <v>29.9198</v>
      </c>
      <c r="M227" s="286">
        <f>VLOOKUP($B227,'Mosque Locations'!$A:$E,5,false)</f>
        <v>72.26417</v>
      </c>
      <c r="N227" s="288"/>
      <c r="O227" s="288"/>
      <c r="P227" s="288"/>
      <c r="Q227" s="289" t="str">
        <f>IFERROR(__xludf.DUMMYFUNCTION("IFERROR(
  INDEX(
    FILTER(
      IMPORTRANGE(""1kOrIKZmJfNUkgOVP3sI9BPjaaPA0_a4636oymQxTXg8"",""Form Responses 1!N:N""),
      TRIM(IMPORTRANGE(""1kOrIKZmJfNUkgOVP3sI9BPjaaPA0_a4636oymQxTXg8"",""Form Responses 1!F:F""))=TRIM($B227)
    ),
    1
  ),
  "&amp;"""Not Found""
)
"),"https://drive.google.com/open?id=1Xis8sxgatqi2HbHnbys4wLLQHlUYmtiO")</f>
        <v>https://drive.google.com/open?id=1Xis8sxgatqi2HbHnbys4wLLQHlUYmtiO</v>
      </c>
      <c r="R227" s="290" t="str">
        <f>IFERROR(__xludf.DUMMYFUNCTION("IFERROR(
  INDEX(
    FILTER(
      IMPORTRANGE(""1kOrIKZmJfNUkgOVP3sI9BPjaaPA0_a4636oymQxTXg8"",""Form Responses 1!M:M""),
      TRIM(IMPORTRANGE(""1kOrIKZmJfNUkgOVP3sI9BPjaaPA0_a4636oymQxTXg8"",""Form Responses 1!F:F""))=TRIM($B227)
    ),
    1
  ),
  "&amp;"""Not Found""
)
"),"https://drive.google.com/open?id=1TjtgaCQO7efiebM1iDlhl3_Zt6gUp8HJ")</f>
        <v>https://drive.google.com/open?id=1TjtgaCQO7efiebM1iDlhl3_Zt6gUp8HJ</v>
      </c>
      <c r="S227" s="285"/>
      <c r="T227" s="290" t="str">
        <f>VLOOKUP($B227,'Master Tracker'!D:E,2,false)</f>
        <v>https://drive.google.com/open?id=1E7qcQWcI-PvvH9GkWtmdtX3bTKAwvacy</v>
      </c>
      <c r="U227" s="291" t="str">
        <f>VLOOKUP($B227,'Master Tracker'!$D:$T,4,FALSE)
</f>
        <v>https://drive.google.com/open?id=18u5Ho5nW49TRSlUScMWlxpXFkqtUmUOoeWwZGRQ0Vas</v>
      </c>
      <c r="V227" s="290" t="str">
        <f>VLOOKUP($B227,'Master Tracker'!$D:$T,5,false)</f>
        <v>https://drive.google.com/open?id=1MIYOQXIDEoS8STU6BjLKo8XE5WiiCN8W</v>
      </c>
      <c r="W227" s="291" t="str">
        <f>VLOOKUP($B227,'Master Tracker'!$D:$T,7,false)</f>
        <v>https://drive.google.com/open?id=1Ql-G1Ugl1DufFPxCI-wvbxXEUzt288YWYgMxb9MHppg</v>
      </c>
      <c r="X227" s="290" t="str">
        <f>VLOOKUP($B227,'Master Tracker'!$D:$T,8,false)</f>
        <v>https://drive.google.com/open?id=1EK_rMaFOYia6dZE0_XoS6hbs_Yvyzw5w</v>
      </c>
      <c r="Y227" s="291" t="str">
        <f>VLOOKUP($B227,'Master Tracker'!$D:$T,10,false)</f>
        <v>https://drive.google.com/open?id=1CUhGtOSP_xP29vzgom-ptaIjLCcyAtQG</v>
      </c>
      <c r="Z227" s="284" t="str">
        <f>VLOOKUP($B227,'Master Tracker'!$D:$T,11,false)</f>
        <v>Not Found</v>
      </c>
      <c r="AA227" s="292" t="str">
        <f>VLOOKUP($B227,'Master Tracker'!$D:$T,13,false)</f>
        <v>Not Found</v>
      </c>
      <c r="AB227" s="284" t="str">
        <f>VLOOKUP($B227,'Master Tracker'!$D:$T,14,false)</f>
        <v>Not Found</v>
      </c>
      <c r="AC227" s="292" t="str">
        <f>VLOOKUP($B227,'Master Tracker'!$D:$T,16,false)</f>
        <v>Not Found</v>
      </c>
      <c r="AD227" s="292" t="str">
        <f>VLOOKUP($B227,'Master Tracker'!$D:$T,17,false)</f>
        <v>Not Found</v>
      </c>
      <c r="AE227" s="292" t="str">
        <f>VLOOKUP($B227,'Master Tracker'!$D:$V,19,false)</f>
        <v>Not Found</v>
      </c>
      <c r="AF227" s="292">
        <f>IFERROR(__xludf.DUMMYFUNCTION("IFERROR(
  INDEX(
    FILTER(
      'Juma Recording forms'!$G:$G,
      TRIM('Juma Recording forms'!$F:$F) = TRIM($B227),
      'Juma Recording forms'!$AA:$AA = 1
    ),
    1
  ),
  ""Not Found""
)"),29.0)</f>
        <v>29</v>
      </c>
      <c r="AG227" s="292">
        <f>IFERROR(__xludf.DUMMYFUNCTION("IFERROR(
  INDEX(
    FILTER(
      'Juma Recording forms'!$G:$G,
      TRIM('Juma Recording forms'!$F:$F) = TRIM($B227),
      'Juma Recording forms'!$AA:$AA = 2
    ),
    1
  ),
  ""Not Found""
)"),42.0)</f>
        <v>42</v>
      </c>
      <c r="AH227" s="292">
        <f>IFERROR(__xludf.DUMMYFUNCTION("IFERROR(
  INDEX(
    FILTER(
      'Juma Recording forms'!$G:$G,
      TRIM('Juma Recording forms'!$F:$F) = TRIM($B227),
      'Juma Recording forms'!$AA:$AA = 3
    ),
    1
  ),
  ""Not Found""
)"),32.0)</f>
        <v>32</v>
      </c>
      <c r="AI227" s="292" t="str">
        <f>IFERROR(__xludf.DUMMYFUNCTION("IFERROR(
  INDEX(
    FILTER(
      'Juma Recording forms'!$G:$G,
      TRIM('Juma Recording forms'!$F:$F) = TRIM($B227),
      'Juma Recording forms'!$AA:$AA = 4
    ),
    1
  ),
  ""Not Found""
)"),"Not Found")</f>
        <v>Not Found</v>
      </c>
      <c r="AJ227" s="292" t="str">
        <f>IFERROR(__xludf.DUMMYFUNCTION("IFERROR(
  INDEX(
    FILTER(
      'Juma Recording forms'!$G:$G,
      TRIM('Juma Recording forms'!$F:$F) = TRIM($B227),
      'Juma Recording forms'!$AA:$AA = 5
    ),
    1
  ),
  ""Not Found""
)"),"Not Found")</f>
        <v>Not Found</v>
      </c>
      <c r="AK227" s="292" t="str">
        <f>IFERROR(__xludf.DUMMYFUNCTION("IFERROR(
  INDEX(
    FILTER(
      'Juma Recording forms'!$G:$G,
      TRIM('Juma Recording forms'!$F:$F) = TRIM($B227),
      'Juma Recording forms'!$AA:$AA = 6
    ),
    1
  ),
  ""Not Found""
)"),"Not Found")</f>
        <v>Not Found</v>
      </c>
      <c r="AL2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1!$E:$E"")=$B227) *
        (IMPORTRANGE(""https://docs.google.com/spreadsheets/d/161aHT6vVT3SLneTKD19N5qVWtnj_jIT8CSsOmUVKmaA/e"&amp;"dit?gid=1761053510"",
          ""Haris_Form responses 1!$AQ:$AQ"")=1)
      ),
      1
    ),
    ""0""
  ),
  ""Form not found""
)
"),"9")</f>
        <v>9</v>
      </c>
      <c r="AM2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1!$E:$E"")=$B227) *
        (IMPORTRANGE(""https://docs.google.com/spreadsheets/d/161aHT6vVT3SLneTKD19N5qVWtnj_jIT8CSsOmUVKmaA/e"&amp;"dit?gid=1761053510"",
          ""Haris_Form responses 1!$AQ:$AQ"")=2)
      ),
      1
    ),
    ""0""
  ),
  ""Form not found""
)
"),"9")</f>
        <v>9</v>
      </c>
      <c r="AN2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1!$E:$E"")=$B227) *
        (IMPORTRANGE(""https://docs.google.com/spreadsheets/d/161aHT6vVT3SLneTKD19N5qVWtnj_jIT8CSsOmUVKmaA/e"&amp;"dit?gid=1761053510"",
          ""Haris_Form responses 1!$AQ:$AQ"")=3)
      ),
      1
    ),
    ""0""
  ),
  ""Form not found""
)
"),"0")</f>
        <v>0</v>
      </c>
      <c r="AO2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1!$E:$E"")=$B227) *
        (IMPORTRANGE(""https://docs.google.com/spreadsheets/d/161aHT6vVT3SLneTKD19N5qVWtnj_jIT8CSsOmUVKmaA/e"&amp;"dit?gid=1761053510"",
          ""Haris_Form responses 1!$AQ:$AQ"")=4)
      ),
      1
    ),
    ""0""
  ),
  ""Form not found""
)
"),"Form not found")</f>
        <v>Form not found</v>
      </c>
      <c r="AP2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1!$E:$E"")=$B227) *
        (IMPORTRANGE(""https://docs.google.com/spreadsheets/d/161aHT6vVT3SLneTKD19N5qVWtnj_jIT8CSsOmUVKmaA/e"&amp;"dit?gid=1761053510"",
          ""Haris_Form responses 1!$AQ:$AQ"")=5)
      ),
      1
    ),
    ""0""
  ),
  ""Form not found""
)
"),"Form not found")</f>
        <v>Form not found</v>
      </c>
      <c r="AQ22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1!$E:$E"")=$B227) *
        (IMPORTRANGE(""https://docs.google.com/spreadsheets/d/161aHT6vVT3SLneTKD19N5qVWtnj_jIT8CSsOmUVKmaA/e"&amp;"dit?gid=1761053510"",
          ""Haris_Form responses 1!$AQ:$AQ"")=6)
      ),
      1
    ),
    ""0""
  ),
  ""Form not found""
)
"),"Form not found")</f>
        <v>Form not found</v>
      </c>
      <c r="AR2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1!$E:$E"")=$B227) *
        (IMPORTRANGE(""https://docs.google.com/spreadsheets/d/161aHT6vVT3SLneTKD19N5qVWtnj_jIT8CSsOmUVKmaA/e"&amp;"dit?gid=1761053510"",
          ""Haris_Form responses 1!$AQ:$AQ"")=1)
      ),
      1
    ),
    ""0""
  ),
  ""Form not found""
)
"),"0")</f>
        <v>0</v>
      </c>
      <c r="AS2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1!$E:$E"")=$B227) *
        (IMPORTRANGE(""https://docs.google.com/spreadsheets/d/161aHT6vVT3SLneTKD19N5qVWtnj_jIT8CSsOmUVKmaA/e"&amp;"dit?gid=1761053510"",
          ""Haris_Form responses 1!$AQ:$AQ"")=2)
      ),
      1
    ),
    ""0""
  ),
  ""Form not found""
)
"),"1")</f>
        <v>1</v>
      </c>
      <c r="AT2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1!$E:$E"")=$B227) *
        (IMPORTRANGE(""https://docs.google.com/spreadsheets/d/161aHT6vVT3SLneTKD19N5qVWtnj_jIT8CSsOmUVKmaA/e"&amp;"dit?gid=1761053510"",
          ""Haris_Form responses 1!$AQ:$AQ"")=3)
      ),
      1
    ),
    ""0""
  ),
  ""Form not found""
)
"),"0")</f>
        <v>0</v>
      </c>
      <c r="AU2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1!$E:$E"")=$B227) *
        (IMPORTRANGE(""https://docs.google.com/spreadsheets/d/161aHT6vVT3SLneTKD19N5qVWtnj_jIT8CSsOmUVKmaA/e"&amp;"dit?gid=1761053510"",
          ""Haris_Form responses 1!$AQ:$AQ"")=4)
      ),
      1
    ),
    ""0""
  ),
  ""Form not found""
)
"),"Form not found")</f>
        <v>Form not found</v>
      </c>
      <c r="AV2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1!$E:$E"")=$B227) *
        (IMPORTRANGE(""https://docs.google.com/spreadsheets/d/161aHT6vVT3SLneTKD19N5qVWtnj_jIT8CSsOmUVKmaA/e"&amp;"dit?gid=1761053510"",
          ""Haris_Form responses 1!$AQ:$AQ"")=5)
      ),
      1
    ),
    ""0""
  ),
  ""Form not found""
)
"),"Form not found")</f>
        <v>Form not found</v>
      </c>
      <c r="AW22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1!$E:$E"")=$B227) *
        (IMPORTRANGE(""https://docs.google.com/spreadsheets/d/161aHT6vVT3SLneTKD19N5qVWtnj_jIT8CSsOmUVKmaA/e"&amp;"dit?gid=1761053510"",
          ""Haris_Form responses 1!$AQ:$AQ"")=6)
      ),
      1
    ),
    ""0""
  ),
  ""Form not found""
)
"),"Form not found")</f>
        <v>Form not found</v>
      </c>
      <c r="AX2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1!$E:$E"")=$B227) *
        (IMPORTRANGE(""https://docs.google.com/spreadsheets/d/161aHT6vVT3SLneTKD19N5qVWtnj_jIT8CSsOmUVKmaA/e"&amp;"dit?gid=1761053510"",
          ""Haris_Form responses 1!$AQ:$AQ"")=1)
      ),
      1
    ),
    ""0""
  ),
  ""Form not found""
)
"),"8")</f>
        <v>8</v>
      </c>
      <c r="AY2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1!$E:$E"")=$B227) *
        (IMPORTRANGE(""https://docs.google.com/spreadsheets/d/161aHT6vVT3SLneTKD19N5qVWtnj_jIT8CSsOmUVKmaA/e"&amp;"dit?gid=1761053510"",
          ""Haris_Form responses 1!$AQ:$AQ"")=2)
      ),
      1
    ),
    ""0""
  ),
  ""Form not found""
)
"),"9")</f>
        <v>9</v>
      </c>
      <c r="AZ2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1!$E:$E"")=$B227) *
        (IMPORTRANGE(""https://docs.google.com/spreadsheets/d/161aHT6vVT3SLneTKD19N5qVWtnj_jIT8CSsOmUVKmaA/e"&amp;"dit?gid=1761053510"",
          ""Haris_Form responses 1!$AQ:$AQ"")=3)
      ),
      1
    ),
    ""0""
  ),
  ""Form not found""
)
"),"0")</f>
        <v>0</v>
      </c>
      <c r="BA2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1!$E:$E"")=$B227) *
        (IMPORTRANGE(""https://docs.google.com/spreadsheets/d/161aHT6vVT3SLneTKD19N5qVWtnj_jIT8CSsOmUVKmaA/e"&amp;"dit?gid=1761053510"",
          ""Haris_Form responses 1!$AQ:$AQ"")=4)
      ),
      1
    ),
    ""0""
  ),
  ""Form not found""
)
"),"Form not found")</f>
        <v>Form not found</v>
      </c>
      <c r="BB2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1!$E:$E"")=$B227) *
        (IMPORTRANGE(""https://docs.google.com/spreadsheets/d/161aHT6vVT3SLneTKD19N5qVWtnj_jIT8CSsOmUVKmaA/e"&amp;"dit?gid=1761053510"",
          ""Haris_Form responses 1!$AQ:$AQ"")=5)
      ),
      1
    ),
    ""0""
  ),
  ""Form not found""
)
"),"Form not found")</f>
        <v>Form not found</v>
      </c>
      <c r="BC22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1!$E:$E"")=$B227) *
        (IMPORTRANGE(""https://docs.google.com/spreadsheets/d/161aHT6vVT3SLneTKD19N5qVWtnj_jIT8CSsOmUVKmaA/e"&amp;"dit?gid=1761053510"",
          ""Haris_Form responses 1!$AQ:$AQ"")=6)
      ),
      1
    ),
    ""0""
  ),
  ""Form not found""
)
"),"Form not found")</f>
        <v>Form not found</v>
      </c>
      <c r="BD227" s="293"/>
    </row>
    <row r="228">
      <c r="A228" s="283" t="str">
        <f>IFERROR(__xludf.DUMMYFUNCTION("VLOOKUP($B228,IMPORTRANGE(""https://docs.google.com/spreadsheets/d/1VNXDITjs75AcgdBSW27oL1VZH31udDprJSsBcE5xlp4/edit?gid=1551188038#gid=1551188038"", ""Sheet9!$B:$E""),2,false)"),"Burewala")</f>
        <v>Burewala</v>
      </c>
      <c r="B228" s="283" t="s">
        <v>4669</v>
      </c>
      <c r="C228" s="284" t="str">
        <f>IFERROR(__xludf.DUMMYFUNCTION("VLOOKUP(TRIM($B228), IMPORTRANGE(""https://docs.google.com/spreadsheets/d/1aSOrU4PTpuBZqfitKaH1Rfww6-YOiNCKoBpPl8XBHaw/edit?gid=0#gid=0"", ""sheet3!$B:$C""), 2, FALSE)
"),"Jamia Masjid Gaalah Mandi Vehari")</f>
        <v>Jamia Masjid Gaalah Mandi Vehari</v>
      </c>
      <c r="D228" s="284" t="str">
        <f>IFERROR(__xludf.DUMMYFUNCTION("IFERROR(
  INDEX(
    FILTER(
      IMPORTRANGE(""1aSOrU4PTpuBZqfitKaH1Rfww6-YOiNCKoBpPl8XBHaw/edit?gid=0#gid=0"",""Sheet1!G:G""),
      IMPORTRANGE(""1aSOrU4PTpuBZqfitKaH1Rfww6-YOiNCKoBpPl8XBHaw/edit?gid=0#gid=0"",""Sheet1!C:C"")=$B228
    ),
    1
  ),
"&amp;"  ""Not Found""
)"),"Women Religious No Info Share")</f>
        <v>Women Religious No Info Share</v>
      </c>
      <c r="E228" s="284" t="str">
        <f>VLOOKUP(B228,'Juma Recording forms'!A:E,5,false)</f>
        <v>Jamia Masjid Gala Mandi</v>
      </c>
      <c r="F228" s="284" t="str">
        <f>IFERROR(__xludf.DUMMYFUNCTION("IFERROR(
  INDEX(
    FILTER(
      IMPORTRANGE(""1Cxrhp3-_-HS7v9uuqQliiIfrmMP4VaFoDNDWyUFy2J8/edit?gid=0#gid=0"",""Sheet1!Q:Q""),
      IMPORTRANGE(""1Cxrhp3-_-HS7v9uuqQliiIfrmMP4VaFoDNDWyUFy2J8/edit?gid=0#gid=0"",""Sheet1!K:K"")=$B228
    ),
    1
  ),
"&amp;"  ""Not Found""
)"),"Not Found")</f>
        <v>Not Found</v>
      </c>
      <c r="G228" s="292">
        <v>1958.0</v>
      </c>
      <c r="H228" s="284"/>
      <c r="I228" s="285" t="s">
        <v>197</v>
      </c>
      <c r="J228" s="286">
        <v>2.0</v>
      </c>
      <c r="K228" s="287" t="str">
        <f>VLOOKUP($B228,'Mosque Locations'!$A:$E,3,FALSE)
</f>
        <v>https://maps.google.com/maps?q=30.0425285%2C72.3506341&amp;z=17&amp;hl=en</v>
      </c>
      <c r="L228" s="286">
        <f>VLOOKUP($B228,'Mosque Locations'!$A:$E,4,FALSE)
</f>
        <v>30.04253</v>
      </c>
      <c r="M228" s="286">
        <f>VLOOKUP($B228,'Mosque Locations'!$A:$E,5,false)</f>
        <v>72.35063</v>
      </c>
      <c r="N228" s="288"/>
      <c r="O228" s="288"/>
      <c r="P228" s="288"/>
      <c r="Q228" s="295" t="str">
        <f>IFERROR(__xludf.DUMMYFUNCTION("IFERROR(
  INDEX(
    FILTER(
      IMPORTRANGE(""1kOrIKZmJfNUkgOVP3sI9BPjaaPA0_a4636oymQxTXg8"",""Form Responses 1!N:N""),
      TRIM(IMPORTRANGE(""1kOrIKZmJfNUkgOVP3sI9BPjaaPA0_a4636oymQxTXg8"",""Form Responses 1!F:F""))=TRIM($B228)
    ),
    1
  ),
  "&amp;"""Not Found""
)
"),"https://drive.google.com/open?id=1PiZcoUWVKGSK9QyphurPqk4OYHM0dnb8")</f>
        <v>https://drive.google.com/open?id=1PiZcoUWVKGSK9QyphurPqk4OYHM0dnb8</v>
      </c>
      <c r="R228" s="295" t="str">
        <f>IFERROR(__xludf.DUMMYFUNCTION("IFERROR(
  INDEX(
    FILTER(
      IMPORTRANGE(""1kOrIKZmJfNUkgOVP3sI9BPjaaPA0_a4636oymQxTXg8"",""Form Responses 1!M:M""),
      TRIM(IMPORTRANGE(""1kOrIKZmJfNUkgOVP3sI9BPjaaPA0_a4636oymQxTXg8"",""Form Responses 1!F:F""))=TRIM($B228)
    ),
    1
  ),
  "&amp;"""Not Found""
)
"),"https://drive.google.com/open?id=1NxXTl4b92TY6TjTh9mta5tGarOkw3hqy")</f>
        <v>https://drive.google.com/open?id=1NxXTl4b92TY6TjTh9mta5tGarOkw3hqy</v>
      </c>
      <c r="S228" s="285"/>
      <c r="T228" s="290" t="str">
        <f>VLOOKUP($B228,'Master Tracker'!D:E,2,false)</f>
        <v>https://drive.google.com/open?id=1miYrjSb-EOPoYc6puary-rWRlm7zdb6F</v>
      </c>
      <c r="U228" s="291" t="str">
        <f>VLOOKUP($B228,'Master Tracker'!$D:$T,4,FALSE)
</f>
        <v>https://drive.google.com/open?id=1NCzzrSfWCnU_4bnU7lEMmaUXC3TxERDDrxN-P5r37vs</v>
      </c>
      <c r="V228" s="290" t="str">
        <f>VLOOKUP($B228,'Master Tracker'!$D:$T,5,false)</f>
        <v>https://drive.google.com/open?id=1eywB1eJtSerINvas357eIFgVd9XEXPXl</v>
      </c>
      <c r="W228" s="291" t="str">
        <f>VLOOKUP($B228,'Master Tracker'!$D:$T,7,false)</f>
        <v>https://drive.google.com/open?id=10EG_xtbKnJ6n3AqDNp-kTtkp0OxuvUztJRv-twu21Z4</v>
      </c>
      <c r="X228" s="290" t="str">
        <f>VLOOKUP($B228,'Master Tracker'!$D:$T,8,false)</f>
        <v>https://drive.google.com/open?id=1tFGfAliW01rbc5LI8Mu47qmtOOTHvQJp</v>
      </c>
      <c r="Y228" s="291" t="str">
        <f>VLOOKUP($B228,'Master Tracker'!$D:$T,10,false)</f>
        <v>https://drive.google.com/open?id=1wcMfvvwnNU70n-38v2c2ZTNGNHkry2Mh</v>
      </c>
      <c r="Z228" s="290" t="str">
        <f>VLOOKUP($B228,'Master Tracker'!$D:$T,11,false)</f>
        <v>https://drive.google.com/open?id=1ex0biaIDXceSOrhr5n7aA2m_jYFqVe9A</v>
      </c>
      <c r="AA228" s="291" t="str">
        <f>VLOOKUP($B228,'Master Tracker'!$D:$T,13,false)</f>
        <v>https://drive.google.com/open?id=1NWFDtXCGl5-WIiFe55rxpXtLbdqiJNsx</v>
      </c>
      <c r="AB228" s="290" t="str">
        <f>VLOOKUP($B228,'Master Tracker'!$D:$T,14,false)</f>
        <v>https://drive.google.com/open?id=1oIrik32h80TOYgO1-38ex_xiRN84cj6G</v>
      </c>
      <c r="AC228" s="291" t="str">
        <f>VLOOKUP($B228,'Master Tracker'!$D:$T,16,false)</f>
        <v>https://drive.google.com/open?id=1i_tXwTUVS4at-60cZwzwtd8H_zeI7gKB</v>
      </c>
      <c r="AD228" s="292" t="str">
        <f>VLOOKUP($B228,'Master Tracker'!$D:$T,17,false)</f>
        <v>Not Found</v>
      </c>
      <c r="AE228" s="292" t="str">
        <f>VLOOKUP($B228,'Master Tracker'!$D:$V,19,false)</f>
        <v>Not Found</v>
      </c>
      <c r="AF228" s="292">
        <f>IFERROR(__xludf.DUMMYFUNCTION("IFERROR(
  INDEX(
    FILTER(
      'Juma Recording forms'!$G:$G,
      TRIM('Juma Recording forms'!$F:$F) = TRIM($B228),
      'Juma Recording forms'!$AA:$AA = 1
    ),
    1
  ),
  ""Not Found""
)"),90.0)</f>
        <v>90</v>
      </c>
      <c r="AG228" s="292">
        <f>IFERROR(__xludf.DUMMYFUNCTION("IFERROR(
  INDEX(
    FILTER(
      'Juma Recording forms'!$G:$G,
      TRIM('Juma Recording forms'!$F:$F) = TRIM($B228),
      'Juma Recording forms'!$AA:$AA = 2
    ),
    1
  ),
  ""Not Found""
)"),103.0)</f>
        <v>103</v>
      </c>
      <c r="AH228" s="292">
        <f>IFERROR(__xludf.DUMMYFUNCTION("IFERROR(
  INDEX(
    FILTER(
      'Juma Recording forms'!$G:$G,
      TRIM('Juma Recording forms'!$F:$F) = TRIM($B228),
      'Juma Recording forms'!$AA:$AA = 3
    ),
    1
  ),
  ""Not Found""
)"),125.0)</f>
        <v>125</v>
      </c>
      <c r="AI228" s="292">
        <f>IFERROR(__xludf.DUMMYFUNCTION("IFERROR(
  INDEX(
    FILTER(
      'Juma Recording forms'!$G:$G,
      TRIM('Juma Recording forms'!$F:$F) = TRIM($B228),
      'Juma Recording forms'!$AA:$AA = 4
    ),
    1
  ),
  ""Not Found""
)"),91.0)</f>
        <v>91</v>
      </c>
      <c r="AJ228" s="292">
        <f>IFERROR(__xludf.DUMMYFUNCTION("IFERROR(
  INDEX(
    FILTER(
      'Juma Recording forms'!$G:$G,
      TRIM('Juma Recording forms'!$F:$F) = TRIM($B228),
      'Juma Recording forms'!$AA:$AA = 5
    ),
    1
  ),
  ""Not Found""
)"),98.0)</f>
        <v>98</v>
      </c>
      <c r="AK228" s="292" t="str">
        <f>IFERROR(__xludf.DUMMYFUNCTION("IFERROR(
  INDEX(
    FILTER(
      'Juma Recording forms'!$G:$G,
      TRIM('Juma Recording forms'!$F:$F) = TRIM($B228),
      'Juma Recording forms'!$AA:$AA = 6
    ),
    1
  ),
  ""Not Found""
)"),"Not Found")</f>
        <v>Not Found</v>
      </c>
      <c r="AL2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1!$E:$E"")=$B228) *
        (IMPORTRANGE(""https://docs.google.com/spreadsheets/d/161aHT6vVT3SLneTKD19N5qVWtnj_jIT8CSsOmUVKmaA/e"&amp;"dit?gid=1761053510"",
          ""Haris_Form responses 1!$AQ:$AQ"")=1)
      ),
      1
    ),
    ""0""
  ),
  ""Form not found""
)
"),"0")</f>
        <v>0</v>
      </c>
      <c r="AM2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1!$E:$E"")=$B228) *
        (IMPORTRANGE(""https://docs.google.com/spreadsheets/d/161aHT6vVT3SLneTKD19N5qVWtnj_jIT8CSsOmUVKmaA/e"&amp;"dit?gid=1761053510"",
          ""Haris_Form responses 1!$AQ:$AQ"")=2)
      ),
      1
    ),
    ""0""
  ),
  ""Form not found""
)
"),"5")</f>
        <v>5</v>
      </c>
      <c r="AN2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1!$E:$E"")=$B228) *
        (IMPORTRANGE(""https://docs.google.com/spreadsheets/d/161aHT6vVT3SLneTKD19N5qVWtnj_jIT8CSsOmUVKmaA/e"&amp;"dit?gid=1761053510"",
          ""Haris_Form responses 1!$AQ:$AQ"")=3)
      ),
      1
    ),
    ""0""
  ),
  ""Form not found""
)
"),"0")</f>
        <v>0</v>
      </c>
      <c r="AO2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1!$E:$E"")=$B228) *
        (IMPORTRANGE(""https://docs.google.com/spreadsheets/d/161aHT6vVT3SLneTKD19N5qVWtnj_jIT8CSsOmUVKmaA/e"&amp;"dit?gid=1761053510"",
          ""Haris_Form responses 1!$AQ:$AQ"")=4)
      ),
      1
    ),
    ""0""
  ),
  ""Form not found""
)
"),"10")</f>
        <v>10</v>
      </c>
      <c r="AP2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1!$E:$E"")=$B228) *
        (IMPORTRANGE(""https://docs.google.com/spreadsheets/d/161aHT6vVT3SLneTKD19N5qVWtnj_jIT8CSsOmUVKmaA/e"&amp;"dit?gid=1761053510"",
          ""Haris_Form responses 1!$AQ:$AQ"")=5)
      ),
      1
    ),
    ""0""
  ),
  ""Form not found""
)
"),"0")</f>
        <v>0</v>
      </c>
      <c r="AQ22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1!$E:$E"")=$B228) *
        (IMPORTRANGE(""https://docs.google.com/spreadsheets/d/161aHT6vVT3SLneTKD19N5qVWtnj_jIT8CSsOmUVKmaA/e"&amp;"dit?gid=1761053510"",
          ""Haris_Form responses 1!$AQ:$AQ"")=6)
      ),
      1
    ),
    ""0""
  ),
  ""Form not found""
)
"),"Form not found")</f>
        <v>Form not found</v>
      </c>
      <c r="AR2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1!$E:$E"")=$B228) *
        (IMPORTRANGE(""https://docs.google.com/spreadsheets/d/161aHT6vVT3SLneTKD19N5qVWtnj_jIT8CSsOmUVKmaA/e"&amp;"dit?gid=1761053510"",
          ""Haris_Form responses 1!$AQ:$AQ"")=1)
      ),
      1
    ),
    ""0""
  ),
  ""Form not found""
)
"),"0")</f>
        <v>0</v>
      </c>
      <c r="AS2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1!$E:$E"")=$B228) *
        (IMPORTRANGE(""https://docs.google.com/spreadsheets/d/161aHT6vVT3SLneTKD19N5qVWtnj_jIT8CSsOmUVKmaA/e"&amp;"dit?gid=1761053510"",
          ""Haris_Form responses 1!$AQ:$AQ"")=2)
      ),
      1
    ),
    ""0""
  ),
  ""Form not found""
)
"),"0")</f>
        <v>0</v>
      </c>
      <c r="AT2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1!$E:$E"")=$B228) *
        (IMPORTRANGE(""https://docs.google.com/spreadsheets/d/161aHT6vVT3SLneTKD19N5qVWtnj_jIT8CSsOmUVKmaA/e"&amp;"dit?gid=1761053510"",
          ""Haris_Form responses 1!$AQ:$AQ"")=3)
      ),
      1
    ),
    ""0""
  ),
  ""Form not found""
)
"),"3")</f>
        <v>3</v>
      </c>
      <c r="AU2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1!$E:$E"")=$B228) *
        (IMPORTRANGE(""https://docs.google.com/spreadsheets/d/161aHT6vVT3SLneTKD19N5qVWtnj_jIT8CSsOmUVKmaA/e"&amp;"dit?gid=1761053510"",
          ""Haris_Form responses 1!$AQ:$AQ"")=4)
      ),
      1
    ),
    ""0""
  ),
  ""Form not found""
)
"),"0")</f>
        <v>0</v>
      </c>
      <c r="AV2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1!$E:$E"")=$B228) *
        (IMPORTRANGE(""https://docs.google.com/spreadsheets/d/161aHT6vVT3SLneTKD19N5qVWtnj_jIT8CSsOmUVKmaA/e"&amp;"dit?gid=1761053510"",
          ""Haris_Form responses 1!$AQ:$AQ"")=5)
      ),
      1
    ),
    ""0""
  ),
  ""Form not found""
)
"),"0")</f>
        <v>0</v>
      </c>
      <c r="AW22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1!$E:$E"")=$B228) *
        (IMPORTRANGE(""https://docs.google.com/spreadsheets/d/161aHT6vVT3SLneTKD19N5qVWtnj_jIT8CSsOmUVKmaA/e"&amp;"dit?gid=1761053510"",
          ""Haris_Form responses 1!$AQ:$AQ"")=6)
      ),
      1
    ),
    ""0""
  ),
  ""Form not found""
)
"),"Form not found")</f>
        <v>Form not found</v>
      </c>
      <c r="AX2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1!$E:$E"")=$B228) *
        (IMPORTRANGE(""https://docs.google.com/spreadsheets/d/161aHT6vVT3SLneTKD19N5qVWtnj_jIT8CSsOmUVKmaA/e"&amp;"dit?gid=1761053510"",
          ""Haris_Form responses 1!$AQ:$AQ"")=1)
      ),
      1
    ),
    ""0""
  ),
  ""Form not found""
)
"),"0")</f>
        <v>0</v>
      </c>
      <c r="AY2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1!$E:$E"")=$B228) *
        (IMPORTRANGE(""https://docs.google.com/spreadsheets/d/161aHT6vVT3SLneTKD19N5qVWtnj_jIT8CSsOmUVKmaA/e"&amp;"dit?gid=1761053510"",
          ""Haris_Form responses 1!$AQ:$AQ"")=2)
      ),
      1
    ),
    ""0""
  ),
  ""Form not found""
)
"),"5")</f>
        <v>5</v>
      </c>
      <c r="AZ2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1!$E:$E"")=$B228) *
        (IMPORTRANGE(""https://docs.google.com/spreadsheets/d/161aHT6vVT3SLneTKD19N5qVWtnj_jIT8CSsOmUVKmaA/e"&amp;"dit?gid=1761053510"",
          ""Haris_Form responses 1!$AQ:$AQ"")=3)
      ),
      1
    ),
    ""0""
  ),
  ""Form not found""
)
"),"0")</f>
        <v>0</v>
      </c>
      <c r="BA2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1!$E:$E"")=$B228) *
        (IMPORTRANGE(""https://docs.google.com/spreadsheets/d/161aHT6vVT3SLneTKD19N5qVWtnj_jIT8CSsOmUVKmaA/e"&amp;"dit?gid=1761053510"",
          ""Haris_Form responses 1!$AQ:$AQ"")=4)
      ),
      1
    ),
    ""0""
  ),
  ""Form not found""
)
"),"10")</f>
        <v>10</v>
      </c>
      <c r="BB2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1!$E:$E"")=$B228) *
        (IMPORTRANGE(""https://docs.google.com/spreadsheets/d/161aHT6vVT3SLneTKD19N5qVWtnj_jIT8CSsOmUVKmaA/e"&amp;"dit?gid=1761053510"",
          ""Haris_Form responses 1!$AQ:$AQ"")=5)
      ),
      1
    ),
    ""0""
  ),
  ""Form not found""
)
"),"0")</f>
        <v>0</v>
      </c>
      <c r="BC22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1!$E:$E"")=$B228) *
        (IMPORTRANGE(""https://docs.google.com/spreadsheets/d/161aHT6vVT3SLneTKD19N5qVWtnj_jIT8CSsOmUVKmaA/e"&amp;"dit?gid=1761053510"",
          ""Haris_Form responses 1!$AQ:$AQ"")=6)
      ),
      1
    ),
    ""0""
  ),
  ""Form not found""
)
"),"Form not found")</f>
        <v>Form not found</v>
      </c>
      <c r="BD228" s="293"/>
    </row>
    <row r="229">
      <c r="A229" s="283" t="str">
        <f>IFERROR(__xludf.DUMMYFUNCTION("VLOOKUP($B229,IMPORTRANGE(""https://docs.google.com/spreadsheets/d/1VNXDITjs75AcgdBSW27oL1VZH31udDprJSsBcE5xlp4/edit?gid=1551188038#gid=1551188038"", ""Sheet9!$B:$E""),2,false)"),"Burewala")</f>
        <v>Burewala</v>
      </c>
      <c r="B229" s="283" t="s">
        <v>4670</v>
      </c>
      <c r="C229" s="284" t="str">
        <f>IFERROR(__xludf.DUMMYFUNCTION("VLOOKUP(TRIM($B229), IMPORTRANGE(""https://docs.google.com/spreadsheets/d/1aSOrU4PTpuBZqfitKaH1Rfww6-YOiNCKoBpPl8XBHaw/edit?gid=0#gid=0"", ""sheet3!$B:$C""), 2, FALSE)
"),"Jamia Masjid Awis Darbar Dawaan Chawali Mushad Burewala")</f>
        <v>Jamia Masjid Awis Darbar Dawaan Chawali Mushad Burewala</v>
      </c>
      <c r="D229" s="284" t="str">
        <f>IFERROR(__xludf.DUMMYFUNCTION("IFERROR(
  INDEX(
    FILTER(
      IMPORTRANGE(""1aSOrU4PTpuBZqfitKaH1Rfww6-YOiNCKoBpPl8XBHaw/edit?gid=0#gid=0"",""Sheet1!G:G""),
      IMPORTRANGE(""1aSOrU4PTpuBZqfitKaH1Rfww6-YOiNCKoBpPl8XBHaw/edit?gid=0#gid=0"",""Sheet1!C:C"")=$B229
    ),
    1
  ),
"&amp;"  ""Not Found""
)"),"Control")</f>
        <v>Control</v>
      </c>
      <c r="E229" s="284" t="str">
        <f>VLOOKUP(B229,'Juma Recording forms'!A:E,5,false)</f>
        <v> FaizanMadina masjid madrasa jamia owaisia</v>
      </c>
      <c r="F229" s="284" t="str">
        <f>IFERROR(__xludf.DUMMYFUNCTION("IFERROR(
  INDEX(
    FILTER(
      IMPORTRANGE(""1Cxrhp3-_-HS7v9uuqQliiIfrmMP4VaFoDNDWyUFy2J8/edit?gid=0#gid=0"",""Sheet1!Q:Q""),
      IMPORTRANGE(""1Cxrhp3-_-HS7v9uuqQliiIfrmMP4VaFoDNDWyUFy2J8/edit?gid=0#gid=0"",""Sheet1!K:K"")=$B229
    ),
    1
  ),
"&amp;"  ""Not Found""
)"),"Moulana bafuk razzaq")</f>
        <v>Moulana bafuk razzaq</v>
      </c>
      <c r="G229" s="292">
        <v>1980.0</v>
      </c>
      <c r="H229" s="284" t="s">
        <v>4881</v>
      </c>
      <c r="I229" s="285" t="s">
        <v>197</v>
      </c>
      <c r="J229" s="286">
        <v>1.0</v>
      </c>
      <c r="K229" s="287" t="str">
        <f>VLOOKUP($B229,'Mosque Locations'!$A:$E,3,FALSE)
</f>
        <v>https://maps.google.com/maps?q=30.0561824%2C72.7585299&amp;z=17&amp;hl=en</v>
      </c>
      <c r="L229" s="286">
        <f>VLOOKUP($B229,'Mosque Locations'!$A:$E,4,FALSE)
</f>
        <v>30.05618</v>
      </c>
      <c r="M229" s="286">
        <f>VLOOKUP($B229,'Mosque Locations'!$A:$E,5,false)</f>
        <v>72.75853</v>
      </c>
      <c r="N229" s="288"/>
      <c r="O229" s="288"/>
      <c r="P229" s="288"/>
      <c r="Q229" s="295" t="str">
        <f>IFERROR(__xludf.DUMMYFUNCTION("IFERROR(
  INDEX(
    FILTER(
      IMPORTRANGE(""1kOrIKZmJfNUkgOVP3sI9BPjaaPA0_a4636oymQxTXg8"",""Form Responses 1!N:N""),
      TRIM(IMPORTRANGE(""1kOrIKZmJfNUkgOVP3sI9BPjaaPA0_a4636oymQxTXg8"",""Form Responses 1!F:F""))=TRIM($B229)
    ),
    1
  ),
  "&amp;"""Not Found""
)
"),"https://drive.google.com/file/d/17jfG2_omQYPl8U9lDmwjzQh7GpGnWYv2/view?usp=drive_link")</f>
        <v>https://drive.google.com/file/d/17jfG2_omQYPl8U9lDmwjzQh7GpGnWYv2/view?usp=drive_link</v>
      </c>
      <c r="R229" s="295" t="str">
        <f>IFERROR(__xludf.DUMMYFUNCTION("IFERROR(
  INDEX(
    FILTER(
      IMPORTRANGE(""1kOrIKZmJfNUkgOVP3sI9BPjaaPA0_a4636oymQxTXg8"",""Form Responses 1!M:M""),
      TRIM(IMPORTRANGE(""1kOrIKZmJfNUkgOVP3sI9BPjaaPA0_a4636oymQxTXg8"",""Form Responses 1!F:F""))=TRIM($B229)
    ),
    1
  ),
  "&amp;"""Not Found""
)
"),"https://drive.google.com/open?id=1q88rL4K_qz6lZNR713eJl2vivpTZ2nmY")</f>
        <v>https://drive.google.com/open?id=1q88rL4K_qz6lZNR713eJl2vivpTZ2nmY</v>
      </c>
      <c r="S229" s="285"/>
      <c r="T229" s="290" t="str">
        <f>VLOOKUP($B229,'Master Tracker'!D:E,2,false)</f>
        <v>https://drive.google.com/open?id=19993VUvlHyJI9yv-6gcdoPTqN_fjIslg</v>
      </c>
      <c r="U229" s="291" t="str">
        <f>VLOOKUP($B229,'Master Tracker'!$D:$T,4,FALSE)
</f>
        <v>https://drive.google.com/open?id=1tMNWWsX7b7ZUgmOIntuHrBn57MNcJ_HaBMP16r2Jmw4</v>
      </c>
      <c r="V229" s="290" t="str">
        <f>VLOOKUP($B229,'Master Tracker'!$D:$T,5,false)</f>
        <v>https://drive.google.com/open?id=1GPqrFrCPdA36_VK1o3m1mXL9wdsWRfos</v>
      </c>
      <c r="W229" s="291" t="str">
        <f>VLOOKUP($B229,'Master Tracker'!$D:$T,7,false)</f>
        <v>https://drive.google.com/open?id=1uFQdGVBKWPBBp4THYT_Fft2EMoL5XkI0</v>
      </c>
      <c r="X229" s="284" t="str">
        <f>VLOOKUP($B229,'Master Tracker'!$D:$T,8,false)</f>
        <v>Not Found</v>
      </c>
      <c r="Y229" s="292" t="str">
        <f>VLOOKUP($B229,'Master Tracker'!$D:$T,10,false)</f>
        <v>Not Found</v>
      </c>
      <c r="Z229" s="284" t="str">
        <f>VLOOKUP($B229,'Master Tracker'!$D:$T,11,false)</f>
        <v>Not Found</v>
      </c>
      <c r="AA229" s="292" t="str">
        <f>VLOOKUP($B229,'Master Tracker'!$D:$T,13,false)</f>
        <v>Not Found</v>
      </c>
      <c r="AB229" s="284" t="str">
        <f>VLOOKUP($B229,'Master Tracker'!$D:$T,14,false)</f>
        <v>Not Found</v>
      </c>
      <c r="AC229" s="292" t="str">
        <f>VLOOKUP($B229,'Master Tracker'!$D:$T,16,false)</f>
        <v>Not Found</v>
      </c>
      <c r="AD229" s="292" t="str">
        <f>VLOOKUP($B229,'Master Tracker'!$D:$T,17,false)</f>
        <v>Not Found</v>
      </c>
      <c r="AE229" s="292" t="str">
        <f>VLOOKUP($B229,'Master Tracker'!$D:$V,19,false)</f>
        <v>Not Found</v>
      </c>
      <c r="AF229" s="292">
        <f>IFERROR(__xludf.DUMMYFUNCTION("IFERROR(
  INDEX(
    FILTER(
      'Juma Recording forms'!$G:$G,
      TRIM('Juma Recording forms'!$F:$F) = TRIM($B229),
      'Juma Recording forms'!$AA:$AA = 1
    ),
    1
  ),
  ""Not Found""
)"),1500.0)</f>
        <v>1500</v>
      </c>
      <c r="AG229" s="292">
        <f>IFERROR(__xludf.DUMMYFUNCTION("IFERROR(
  INDEX(
    FILTER(
      'Juma Recording forms'!$G:$G,
      TRIM('Juma Recording forms'!$F:$F) = TRIM($B229),
      'Juma Recording forms'!$AA:$AA = 2
    ),
    1
  ),
  ""Not Found""
)"),1600.0)</f>
        <v>1600</v>
      </c>
      <c r="AH229" s="292" t="str">
        <f>IFERROR(__xludf.DUMMYFUNCTION("IFERROR(
  INDEX(
    FILTER(
      'Juma Recording forms'!$G:$G,
      TRIM('Juma Recording forms'!$F:$F) = TRIM($B229),
      'Juma Recording forms'!$AA:$AA = 3
    ),
    1
  ),
  ""Not Found""
)"),"Not Found")</f>
        <v>Not Found</v>
      </c>
      <c r="AI229" s="292" t="str">
        <f>IFERROR(__xludf.DUMMYFUNCTION("IFERROR(
  INDEX(
    FILTER(
      'Juma Recording forms'!$G:$G,
      TRIM('Juma Recording forms'!$F:$F) = TRIM($B229),
      'Juma Recording forms'!$AA:$AA = 4
    ),
    1
  ),
  ""Not Found""
)"),"Not Found")</f>
        <v>Not Found</v>
      </c>
      <c r="AJ229" s="292" t="str">
        <f>IFERROR(__xludf.DUMMYFUNCTION("IFERROR(
  INDEX(
    FILTER(
      'Juma Recording forms'!$G:$G,
      TRIM('Juma Recording forms'!$F:$F) = TRIM($B229),
      'Juma Recording forms'!$AA:$AA = 5
    ),
    1
  ),
  ""Not Found""
)"),"Not Found")</f>
        <v>Not Found</v>
      </c>
      <c r="AK229" s="292" t="str">
        <f>IFERROR(__xludf.DUMMYFUNCTION("IFERROR(
  INDEX(
    FILTER(
      'Juma Recording forms'!$G:$G,
      TRIM('Juma Recording forms'!$F:$F) = TRIM($B229),
      'Juma Recording forms'!$AA:$AA = 6
    ),
    1
  ),
  ""Not Found""
)"),"Not Found")</f>
        <v>Not Found</v>
      </c>
      <c r="AL2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1!$E:$E"")=$B229) *
        (IMPORTRANGE(""https://docs.google.com/spreadsheets/d/161aHT6vVT3SLneTKD19N5qVWtnj_jIT8CSsOmUVKmaA/e"&amp;"dit?gid=1761053510"",
          ""Haris_Form responses 1!$AQ:$AQ"")=1)
      ),
      1
    ),
    ""0""
  ),
  ""Form not found""
)
"),"0")</f>
        <v>0</v>
      </c>
      <c r="AM2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1!$E:$E"")=$B229) *
        (IMPORTRANGE(""https://docs.google.com/spreadsheets/d/161aHT6vVT3SLneTKD19N5qVWtnj_jIT8CSsOmUVKmaA/e"&amp;"dit?gid=1761053510"",
          ""Haris_Form responses 1!$AQ:$AQ"")=2)
      ),
      1
    ),
    ""0""
  ),
  ""Form not found""
)
"),"0")</f>
        <v>0</v>
      </c>
      <c r="AN2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1!$E:$E"")=$B229) *
        (IMPORTRANGE(""https://docs.google.com/spreadsheets/d/161aHT6vVT3SLneTKD19N5qVWtnj_jIT8CSsOmUVKmaA/e"&amp;"dit?gid=1761053510"",
          ""Haris_Form responses 1!$AQ:$AQ"")=3)
      ),
      1
    ),
    ""0""
  ),
  ""Form not found""
)
"),"Form not found")</f>
        <v>Form not found</v>
      </c>
      <c r="AO2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1!$E:$E"")=$B229) *
        (IMPORTRANGE(""https://docs.google.com/spreadsheets/d/161aHT6vVT3SLneTKD19N5qVWtnj_jIT8CSsOmUVKmaA/e"&amp;"dit?gid=1761053510"",
          ""Haris_Form responses 1!$AQ:$AQ"")=4)
      ),
      1
    ),
    ""0""
  ),
  ""Form not found""
)
"),"Form not found")</f>
        <v>Form not found</v>
      </c>
      <c r="AP2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1!$E:$E"")=$B229) *
        (IMPORTRANGE(""https://docs.google.com/spreadsheets/d/161aHT6vVT3SLneTKD19N5qVWtnj_jIT8CSsOmUVKmaA/e"&amp;"dit?gid=1761053510"",
          ""Haris_Form responses 1!$AQ:$AQ"")=5)
      ),
      1
    ),
    ""0""
  ),
  ""Form not found""
)
"),"Form not found")</f>
        <v>Form not found</v>
      </c>
      <c r="AQ22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1!$E:$E"")=$B229) *
        (IMPORTRANGE(""https://docs.google.com/spreadsheets/d/161aHT6vVT3SLneTKD19N5qVWtnj_jIT8CSsOmUVKmaA/e"&amp;"dit?gid=1761053510"",
          ""Haris_Form responses 1!$AQ:$AQ"")=6)
      ),
      1
    ),
    ""0""
  ),
  ""Form not found""
)
"),"Form not found")</f>
        <v>Form not found</v>
      </c>
      <c r="AR2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1!$E:$E"")=$B229) *
        (IMPORTRANGE(""https://docs.google.com/spreadsheets/d/161aHT6vVT3SLneTKD19N5qVWtnj_jIT8CSsOmUVKmaA/e"&amp;"dit?gid=1761053510"",
          ""Haris_Form responses 1!$AQ:$AQ"")=1)
      ),
      1
    ),
    ""0""
  ),
  ""Form not found""
)
"),"0")</f>
        <v>0</v>
      </c>
      <c r="AS2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1!$E:$E"")=$B229) *
        (IMPORTRANGE(""https://docs.google.com/spreadsheets/d/161aHT6vVT3SLneTKD19N5qVWtnj_jIT8CSsOmUVKmaA/e"&amp;"dit?gid=1761053510"",
          ""Haris_Form responses 1!$AQ:$AQ"")=2)
      ),
      1
    ),
    ""0""
  ),
  ""Form not found""
)
"),"2")</f>
        <v>2</v>
      </c>
      <c r="AT2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1!$E:$E"")=$B229) *
        (IMPORTRANGE(""https://docs.google.com/spreadsheets/d/161aHT6vVT3SLneTKD19N5qVWtnj_jIT8CSsOmUVKmaA/e"&amp;"dit?gid=1761053510"",
          ""Haris_Form responses 1!$AQ:$AQ"")=3)
      ),
      1
    ),
    ""0""
  ),
  ""Form not found""
)
"),"Form not found")</f>
        <v>Form not found</v>
      </c>
      <c r="AU2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1!$E:$E"")=$B229) *
        (IMPORTRANGE(""https://docs.google.com/spreadsheets/d/161aHT6vVT3SLneTKD19N5qVWtnj_jIT8CSsOmUVKmaA/e"&amp;"dit?gid=1761053510"",
          ""Haris_Form responses 1!$AQ:$AQ"")=4)
      ),
      1
    ),
    ""0""
  ),
  ""Form not found""
)
"),"Form not found")</f>
        <v>Form not found</v>
      </c>
      <c r="AV2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1!$E:$E"")=$B229) *
        (IMPORTRANGE(""https://docs.google.com/spreadsheets/d/161aHT6vVT3SLneTKD19N5qVWtnj_jIT8CSsOmUVKmaA/e"&amp;"dit?gid=1761053510"",
          ""Haris_Form responses 1!$AQ:$AQ"")=5)
      ),
      1
    ),
    ""0""
  ),
  ""Form not found""
)
"),"Form not found")</f>
        <v>Form not found</v>
      </c>
      <c r="AW22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1!$E:$E"")=$B229) *
        (IMPORTRANGE(""https://docs.google.com/spreadsheets/d/161aHT6vVT3SLneTKD19N5qVWtnj_jIT8CSsOmUVKmaA/e"&amp;"dit?gid=1761053510"",
          ""Haris_Form responses 1!$AQ:$AQ"")=6)
      ),
      1
    ),
    ""0""
  ),
  ""Form not found""
)
"),"Form not found")</f>
        <v>Form not found</v>
      </c>
      <c r="AX2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1!$E:$E"")=$B229) *
        (IMPORTRANGE(""https://docs.google.com/spreadsheets/d/161aHT6vVT3SLneTKD19N5qVWtnj_jIT8CSsOmUVKmaA/e"&amp;"dit?gid=1761053510"",
          ""Haris_Form responses 1!$AQ:$AQ"")=1)
      ),
      1
    ),
    ""0""
  ),
  ""Form not found""
)
"),"0")</f>
        <v>0</v>
      </c>
      <c r="AY2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1!$E:$E"")=$B229) *
        (IMPORTRANGE(""https://docs.google.com/spreadsheets/d/161aHT6vVT3SLneTKD19N5qVWtnj_jIT8CSsOmUVKmaA/e"&amp;"dit?gid=1761053510"",
          ""Haris_Form responses 1!$AQ:$AQ"")=2)
      ),
      1
    ),
    ""0""
  ),
  ""Form not found""
)
"),"0")</f>
        <v>0</v>
      </c>
      <c r="AZ2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1!$E:$E"")=$B229) *
        (IMPORTRANGE(""https://docs.google.com/spreadsheets/d/161aHT6vVT3SLneTKD19N5qVWtnj_jIT8CSsOmUVKmaA/e"&amp;"dit?gid=1761053510"",
          ""Haris_Form responses 1!$AQ:$AQ"")=3)
      ),
      1
    ),
    ""0""
  ),
  ""Form not found""
)
"),"Form not found")</f>
        <v>Form not found</v>
      </c>
      <c r="BA2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1!$E:$E"")=$B229) *
        (IMPORTRANGE(""https://docs.google.com/spreadsheets/d/161aHT6vVT3SLneTKD19N5qVWtnj_jIT8CSsOmUVKmaA/e"&amp;"dit?gid=1761053510"",
          ""Haris_Form responses 1!$AQ:$AQ"")=4)
      ),
      1
    ),
    ""0""
  ),
  ""Form not found""
)
"),"Form not found")</f>
        <v>Form not found</v>
      </c>
      <c r="BB2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1!$E:$E"")=$B229) *
        (IMPORTRANGE(""https://docs.google.com/spreadsheets/d/161aHT6vVT3SLneTKD19N5qVWtnj_jIT8CSsOmUVKmaA/e"&amp;"dit?gid=1761053510"",
          ""Haris_Form responses 1!$AQ:$AQ"")=5)
      ),
      1
    ),
    ""0""
  ),
  ""Form not found""
)
"),"Form not found")</f>
        <v>Form not found</v>
      </c>
      <c r="BC22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1!$E:$E"")=$B229) *
        (IMPORTRANGE(""https://docs.google.com/spreadsheets/d/161aHT6vVT3SLneTKD19N5qVWtnj_jIT8CSsOmUVKmaA/e"&amp;"dit?gid=1761053510"",
          ""Haris_Form responses 1!$AQ:$AQ"")=6)
      ),
      1
    ),
    ""0""
  ),
  ""Form not found""
)
"),"Form not found")</f>
        <v>Form not found</v>
      </c>
      <c r="BD229" s="293"/>
    </row>
    <row r="230">
      <c r="A230" s="283" t="str">
        <f>IFERROR(__xludf.DUMMYFUNCTION("VLOOKUP($B230,IMPORTRANGE(""https://docs.google.com/spreadsheets/d/1VNXDITjs75AcgdBSW27oL1VZH31udDprJSsBcE5xlp4/edit?gid=1551188038#gid=1551188038"", ""Sheet9!$B:$E""),2,false)"),"Burewala")</f>
        <v>Burewala</v>
      </c>
      <c r="B230" s="283" t="s">
        <v>3762</v>
      </c>
      <c r="C230" s="284" t="str">
        <f>IFERROR(__xludf.DUMMYFUNCTION("VLOOKUP(TRIM($B230), IMPORTRANGE(""https://docs.google.com/spreadsheets/d/1aSOrU4PTpuBZqfitKaH1Rfww6-YOiNCKoBpPl8XBHaw/edit?gid=0#gid=0"", ""sheet3!$B:$C""), 2, FALSE)
"),"Jamia Masjid Gaalah Mandi Burewala")</f>
        <v>Jamia Masjid Gaalah Mandi Burewala</v>
      </c>
      <c r="D230" s="284" t="str">
        <f>IFERROR(__xludf.DUMMYFUNCTION("IFERROR(
  INDEX(
    FILTER(
      IMPORTRANGE(""1aSOrU4PTpuBZqfitKaH1Rfww6-YOiNCKoBpPl8XBHaw/edit?gid=0#gid=0"",""Sheet1!G:G""),
      IMPORTRANGE(""1aSOrU4PTpuBZqfitKaH1Rfww6-YOiNCKoBpPl8XBHaw/edit?gid=0#gid=0"",""Sheet1!C:C"")=$B230
    ),
    1
  ),
"&amp;"  ""Not Found""
)"),"Community Secular Info Share")</f>
        <v>Community Secular Info Share</v>
      </c>
      <c r="E230" s="284" t="str">
        <f>VLOOKUP(B230,'Juma Recording forms'!A:E,5,false)</f>
        <v>Jamia Masjid Gala Mandi Burewala</v>
      </c>
      <c r="F230" s="284" t="str">
        <f>IFERROR(__xludf.DUMMYFUNCTION("IFERROR(
  INDEX(
    FILTER(
      IMPORTRANGE(""1Cxrhp3-_-HS7v9uuqQliiIfrmMP4VaFoDNDWyUFy2J8/edit?gid=0#gid=0"",""Sheet1!Q:Q""),
      IMPORTRANGE(""1Cxrhp3-_-HS7v9uuqQliiIfrmMP4VaFoDNDWyUFy2J8/edit?gid=0#gid=0"",""Sheet1!K:K"")=$B230
    ),
    1
  ),
"&amp;"  ""Not Found""
)"),"Not Found")</f>
        <v>Not Found</v>
      </c>
      <c r="G230" s="284"/>
      <c r="H230" s="284"/>
      <c r="I230" s="285" t="s">
        <v>197</v>
      </c>
      <c r="J230" s="286">
        <v>2.0</v>
      </c>
      <c r="K230" s="287" t="str">
        <f>VLOOKUP($B230,'Mosque Locations'!$A:$E,3,FALSE)
</f>
        <v>https://maps.google.com/maps?q=30.1577583%2C72.6798617&amp;z=17&amp;hl=en</v>
      </c>
      <c r="L230" s="286">
        <f>VLOOKUP($B230,'Mosque Locations'!$A:$E,4,FALSE)
</f>
        <v>30.15776</v>
      </c>
      <c r="M230" s="286">
        <f>VLOOKUP($B230,'Mosque Locations'!$A:$E,5,false)</f>
        <v>72.67986</v>
      </c>
      <c r="N230" s="288"/>
      <c r="O230" s="288"/>
      <c r="P230" s="288"/>
      <c r="Q230" s="295" t="str">
        <f>IFERROR(__xludf.DUMMYFUNCTION("IFERROR(
  INDEX(
    FILTER(
      IMPORTRANGE(""1kOrIKZmJfNUkgOVP3sI9BPjaaPA0_a4636oymQxTXg8"",""Form Responses 1!N:N""),
      TRIM(IMPORTRANGE(""1kOrIKZmJfNUkgOVP3sI9BPjaaPA0_a4636oymQxTXg8"",""Form Responses 1!F:F""))=TRIM($B230)
    ),
    1
  ),
  "&amp;"""Not Found""
)
"),"https://drive.google.com/open?id=1nF-fscF7brd54pSNtTORyMoRpkmMNu9J")</f>
        <v>https://drive.google.com/open?id=1nF-fscF7brd54pSNtTORyMoRpkmMNu9J</v>
      </c>
      <c r="R230" s="295" t="str">
        <f>IFERROR(__xludf.DUMMYFUNCTION("IFERROR(
  INDEX(
    FILTER(
      IMPORTRANGE(""1kOrIKZmJfNUkgOVP3sI9BPjaaPA0_a4636oymQxTXg8"",""Form Responses 1!M:M""),
      TRIM(IMPORTRANGE(""1kOrIKZmJfNUkgOVP3sI9BPjaaPA0_a4636oymQxTXg8"",""Form Responses 1!F:F""))=TRIM($B230)
    ),
    1
  ),
  "&amp;"""Not Found""
)
"),"https://drive.google.com/open?id=1V9KoNpXqL_pxQUH5nZt-vvmGJNVdZsTm")</f>
        <v>https://drive.google.com/open?id=1V9KoNpXqL_pxQUH5nZt-vvmGJNVdZsTm</v>
      </c>
      <c r="S230" s="285"/>
      <c r="T230" s="284" t="str">
        <f>VLOOKUP($B230,'Master Tracker'!D:E,2,false)</f>
        <v>Not Found</v>
      </c>
      <c r="U230" s="292" t="str">
        <f>VLOOKUP($B230,'Master Tracker'!$D:$T,4,FALSE)
</f>
        <v>Not Found</v>
      </c>
      <c r="V230" s="290" t="str">
        <f>VLOOKUP($B230,'Master Tracker'!$D:$T,5,false)</f>
        <v>https://drive.google.com/open?id=1rS_h8jGS9QvkZpiVwS-OZZTtygDCVeFW</v>
      </c>
      <c r="W230" s="291" t="str">
        <f>VLOOKUP($B230,'Master Tracker'!$D:$T,7,false)</f>
        <v>https://drive.google.com/open?id=1mjBjar_Tv8W39fa762TXWsVrniTPH3VG</v>
      </c>
      <c r="X230" s="290" t="str">
        <f>VLOOKUP($B230,'Master Tracker'!$D:$T,8,false)</f>
        <v>https://drive.google.com/open?id=1L8FLYwtT4JykIVINIVUZose4ujJCIs0C</v>
      </c>
      <c r="Y230" s="291" t="str">
        <f>VLOOKUP($B230,'Master Tracker'!$D:$T,10,false)</f>
        <v>https://drive.google.com/open?id=1eFUigRLH0fJmjTGsVuxoWWtEPUonF22M</v>
      </c>
      <c r="Z230" s="290" t="str">
        <f>VLOOKUP($B230,'Master Tracker'!$D:$T,11,false)</f>
        <v>https://drive.google.com/open?id=1hpzauI11nctOtA-Rvi8qDzw04s6GtSqV</v>
      </c>
      <c r="AA230" s="291" t="str">
        <f>VLOOKUP($B230,'Master Tracker'!$D:$T,13,false)</f>
        <v>https://drive.google.com/open?id=1NWko2c6-LHbRoCKHpc63IlxeYUfQl-GF</v>
      </c>
      <c r="AB230" s="290" t="str">
        <f>VLOOKUP($B230,'Master Tracker'!$D:$T,14,false)</f>
        <v>https://drive.google.com/open?id=1jVS6FHhHzctc3kz0sNoBHtHQnmgp7LUg</v>
      </c>
      <c r="AC230" s="291" t="str">
        <f>VLOOKUP($B230,'Master Tracker'!$D:$T,16,false)</f>
        <v>https://drive.google.com/open?id=1lzlyMDbn9fpLwx-EiwgI4u2q7RUPGgui0jIpl_mnUdw</v>
      </c>
      <c r="AD230" s="291" t="str">
        <f>VLOOKUP($B230,'Master Tracker'!$D:$T,17,false)</f>
        <v>https://drive.google.com/open?id=1xtraBZjdlq_WYNJN8H1eoBwQGs3YOI82</v>
      </c>
      <c r="AE230" s="291" t="str">
        <f>VLOOKUP($B230,'Master Tracker'!$D:$V,19,false)</f>
        <v>https://drive.google.com/open?id=1PVEVTYpwUJhr2Wy_B-gfwbNXhGc8S3Vv</v>
      </c>
      <c r="AF230" s="292" t="str">
        <f>IFERROR(__xludf.DUMMYFUNCTION("IFERROR(
  INDEX(
    FILTER(
      'Juma Recording forms'!$G:$G,
      TRIM('Juma Recording forms'!$F:$F) = TRIM($B230),
      'Juma Recording forms'!$AA:$AA = 1
    ),
    1
  ),
  ""Not Found""
)"),"Not Found")</f>
        <v>Not Found</v>
      </c>
      <c r="AG230" s="292">
        <f>IFERROR(__xludf.DUMMYFUNCTION("IFERROR(
  INDEX(
    FILTER(
      'Juma Recording forms'!$G:$G,
      TRIM('Juma Recording forms'!$F:$F) = TRIM($B230),
      'Juma Recording forms'!$AA:$AA = 2
    ),
    1
  ),
  ""Not Found""
)"),595.0)</f>
        <v>595</v>
      </c>
      <c r="AH230" s="292">
        <f>IFERROR(__xludf.DUMMYFUNCTION("IFERROR(
  INDEX(
    FILTER(
      'Juma Recording forms'!$G:$G,
      TRIM('Juma Recording forms'!$F:$F) = TRIM($B230),
      'Juma Recording forms'!$AA:$AA = 3
    ),
    1
  ),
  ""Not Found""
)"),987.0)</f>
        <v>987</v>
      </c>
      <c r="AI230" s="292">
        <f>IFERROR(__xludf.DUMMYFUNCTION("IFERROR(
  INDEX(
    FILTER(
      'Juma Recording forms'!$G:$G,
      TRIM('Juma Recording forms'!$F:$F) = TRIM($B230),
      'Juma Recording forms'!$AA:$AA = 4
    ),
    1
  ),
  ""Not Found""
)"),752.0)</f>
        <v>752</v>
      </c>
      <c r="AJ230" s="292">
        <f>IFERROR(__xludf.DUMMYFUNCTION("IFERROR(
  INDEX(
    FILTER(
      'Juma Recording forms'!$G:$G,
      TRIM('Juma Recording forms'!$F:$F) = TRIM($B230),
      'Juma Recording forms'!$AA:$AA = 5
    ),
    1
  ),
  ""Not Found""
)"),595.0)</f>
        <v>595</v>
      </c>
      <c r="AK230" s="292">
        <f>IFERROR(__xludf.DUMMYFUNCTION("IFERROR(
  INDEX(
    FILTER(
      'Juma Recording forms'!$G:$G,
      TRIM('Juma Recording forms'!$F:$F) = TRIM($B230),
      'Juma Recording forms'!$AA:$AA = 6
    ),
    1
  ),
  ""Not Found""
)"),755.0)</f>
        <v>755</v>
      </c>
      <c r="AL2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1!$E:$E"")=$B230) *
        (IMPORTRANGE(""https://docs.google.com/spreadsheets/d/161aHT6vVT3SLneTKD19N5qVWtnj_jIT8CSsOmUVKmaA/e"&amp;"dit?gid=1761053510"",
          ""Haris_Form responses 1!$AQ:$AQ"")=1)
      ),
      1
    ),
    ""0""
  ),
  ""Form not found""
)
"),"Form not found")</f>
        <v>Form not found</v>
      </c>
      <c r="AM2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1!$E:$E"")=$B230) *
        (IMPORTRANGE(""https://docs.google.com/spreadsheets/d/161aHT6vVT3SLneTKD19N5qVWtnj_jIT8CSsOmUVKmaA/e"&amp;"dit?gid=1761053510"",
          ""Haris_Form responses 1!$AQ:$AQ"")=2)
      ),
      1
    ),
    ""0""
  ),
  ""Form not found""
)
"),"0")</f>
        <v>0</v>
      </c>
      <c r="AN2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1!$E:$E"")=$B230) *
        (IMPORTRANGE(""https://docs.google.com/spreadsheets/d/161aHT6vVT3SLneTKD19N5qVWtnj_jIT8CSsOmUVKmaA/e"&amp;"dit?gid=1761053510"",
          ""Haris_Form responses 1!$AQ:$AQ"")=3)
      ),
      1
    ),
    ""0""
  ),
  ""Form not found""
)
"),"0")</f>
        <v>0</v>
      </c>
      <c r="AO2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1!$E:$E"")=$B230) *
        (IMPORTRANGE(""https://docs.google.com/spreadsheets/d/161aHT6vVT3SLneTKD19N5qVWtnj_jIT8CSsOmUVKmaA/e"&amp;"dit?gid=1761053510"",
          ""Haris_Form responses 1!$AQ:$AQ"")=4)
      ),
      1
    ),
    ""0""
  ),
  ""Form not found""
)
"),"2")</f>
        <v>2</v>
      </c>
      <c r="AP2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1!$E:$E"")=$B230) *
        (IMPORTRANGE(""https://docs.google.com/spreadsheets/d/161aHT6vVT3SLneTKD19N5qVWtnj_jIT8CSsOmUVKmaA/e"&amp;"dit?gid=1761053510"",
          ""Haris_Form responses 1!$AQ:$AQ"")=5)
      ),
      1
    ),
    ""0""
  ),
  ""Form not found""
)
"),"9")</f>
        <v>9</v>
      </c>
      <c r="AQ23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1!$E:$E"")=$B230) *
        (IMPORTRANGE(""https://docs.google.com/spreadsheets/d/161aHT6vVT3SLneTKD19N5qVWtnj_jIT8CSsOmUVKmaA/e"&amp;"dit?gid=1761053510"",
          ""Haris_Form responses 1!$AQ:$AQ"")=6)
      ),
      1
    ),
    ""0""
  ),
  ""Form not found""
)
"),"0")</f>
        <v>0</v>
      </c>
      <c r="AR2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1!$E:$E"")=$B230) *
        (IMPORTRANGE(""https://docs.google.com/spreadsheets/d/161aHT6vVT3SLneTKD19N5qVWtnj_jIT8CSsOmUVKmaA/e"&amp;"dit?gid=1761053510"",
          ""Haris_Form responses 1!$AQ:$AQ"")=1)
      ),
      1
    ),
    ""0""
  ),
  ""Form not found""
)
"),"Form not found")</f>
        <v>Form not found</v>
      </c>
      <c r="AS2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1!$E:$E"")=$B230) *
        (IMPORTRANGE(""https://docs.google.com/spreadsheets/d/161aHT6vVT3SLneTKD19N5qVWtnj_jIT8CSsOmUVKmaA/e"&amp;"dit?gid=1761053510"",
          ""Haris_Form responses 1!$AQ:$AQ"")=2)
      ),
      1
    ),
    ""0""
  ),
  ""Form not found""
)
"),"0")</f>
        <v>0</v>
      </c>
      <c r="AT2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1!$E:$E"")=$B230) *
        (IMPORTRANGE(""https://docs.google.com/spreadsheets/d/161aHT6vVT3SLneTKD19N5qVWtnj_jIT8CSsOmUVKmaA/e"&amp;"dit?gid=1761053510"",
          ""Haris_Form responses 1!$AQ:$AQ"")=3)
      ),
      1
    ),
    ""0""
  ),
  ""Form not found""
)
"),"0")</f>
        <v>0</v>
      </c>
      <c r="AU2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1!$E:$E"")=$B230) *
        (IMPORTRANGE(""https://docs.google.com/spreadsheets/d/161aHT6vVT3SLneTKD19N5qVWtnj_jIT8CSsOmUVKmaA/e"&amp;"dit?gid=1761053510"",
          ""Haris_Form responses 1!$AQ:$AQ"")=4)
      ),
      1
    ),
    ""0""
  ),
  ""Form not found""
)
"),"2")</f>
        <v>2</v>
      </c>
      <c r="AV2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1!$E:$E"")=$B230) *
        (IMPORTRANGE(""https://docs.google.com/spreadsheets/d/161aHT6vVT3SLneTKD19N5qVWtnj_jIT8CSsOmUVKmaA/e"&amp;"dit?gid=1761053510"",
          ""Haris_Form responses 1!$AQ:$AQ"")=5)
      ),
      1
    ),
    ""0""
  ),
  ""Form not found""
)
"),"9")</f>
        <v>9</v>
      </c>
      <c r="AW23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1!$E:$E"")=$B230) *
        (IMPORTRANGE(""https://docs.google.com/spreadsheets/d/161aHT6vVT3SLneTKD19N5qVWtnj_jIT8CSsOmUVKmaA/e"&amp;"dit?gid=1761053510"",
          ""Haris_Form responses 1!$AQ:$AQ"")=6)
      ),
      1
    ),
    ""0""
  ),
  ""Form not found""
)
"),"0")</f>
        <v>0</v>
      </c>
      <c r="AX2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1!$E:$E"")=$B230) *
        (IMPORTRANGE(""https://docs.google.com/spreadsheets/d/161aHT6vVT3SLneTKD19N5qVWtnj_jIT8CSsOmUVKmaA/e"&amp;"dit?gid=1761053510"",
          ""Haris_Form responses 1!$AQ:$AQ"")=1)
      ),
      1
    ),
    ""0""
  ),
  ""Form not found""
)
"),"Form not found")</f>
        <v>Form not found</v>
      </c>
      <c r="AY2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1!$E:$E"")=$B230) *
        (IMPORTRANGE(""https://docs.google.com/spreadsheets/d/161aHT6vVT3SLneTKD19N5qVWtnj_jIT8CSsOmUVKmaA/e"&amp;"dit?gid=1761053510"",
          ""Haris_Form responses 1!$AQ:$AQ"")=2)
      ),
      1
    ),
    ""0""
  ),
  ""Form not found""
)
"),"2")</f>
        <v>2</v>
      </c>
      <c r="AZ2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1!$E:$E"")=$B230) *
        (IMPORTRANGE(""https://docs.google.com/spreadsheets/d/161aHT6vVT3SLneTKD19N5qVWtnj_jIT8CSsOmUVKmaA/e"&amp;"dit?gid=1761053510"",
          ""Haris_Form responses 1!$AQ:$AQ"")=3)
      ),
      1
    ),
    ""0""
  ),
  ""Form not found""
)
"),"0")</f>
        <v>0</v>
      </c>
      <c r="BA2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1!$E:$E"")=$B230) *
        (IMPORTRANGE(""https://docs.google.com/spreadsheets/d/161aHT6vVT3SLneTKD19N5qVWtnj_jIT8CSsOmUVKmaA/e"&amp;"dit?gid=1761053510"",
          ""Haris_Form responses 1!$AQ:$AQ"")=4)
      ),
      1
    ),
    ""0""
  ),
  ""Form not found""
)
"),"2")</f>
        <v>2</v>
      </c>
      <c r="BB2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1!$E:$E"")=$B230) *
        (IMPORTRANGE(""https://docs.google.com/spreadsheets/d/161aHT6vVT3SLneTKD19N5qVWtnj_jIT8CSsOmUVKmaA/e"&amp;"dit?gid=1761053510"",
          ""Haris_Form responses 1!$AQ:$AQ"")=5)
      ),
      1
    ),
    ""0""
  ),
  ""Form not found""
)
"),"0")</f>
        <v>0</v>
      </c>
      <c r="BC23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1!$E:$E"")=$B230) *
        (IMPORTRANGE(""https://docs.google.com/spreadsheets/d/161aHT6vVT3SLneTKD19N5qVWtnj_jIT8CSsOmUVKmaA/e"&amp;"dit?gid=1761053510"",
          ""Haris_Form responses 1!$AQ:$AQ"")=6)
      ),
      1
    ),
    ""0""
  ),
  ""Form not found""
)
"),"0")</f>
        <v>0</v>
      </c>
      <c r="BD230" s="293"/>
    </row>
    <row r="231">
      <c r="A231" s="283" t="str">
        <f>IFERROR(__xludf.DUMMYFUNCTION("VLOOKUP($B231,IMPORTRANGE(""https://docs.google.com/spreadsheets/d/1VNXDITjs75AcgdBSW27oL1VZH31udDprJSsBcE5xlp4/edit?gid=1551188038#gid=1551188038"", ""Sheet9!$B:$E""),2,false)"),"Burewala")</f>
        <v>Burewala</v>
      </c>
      <c r="B231" s="283" t="s">
        <v>4671</v>
      </c>
      <c r="C231" s="284" t="str">
        <f>IFERROR(__xludf.DUMMYFUNCTION("VLOOKUP(TRIM($B231), IMPORTRANGE(""https://docs.google.com/spreadsheets/d/1aSOrU4PTpuBZqfitKaH1Rfww6-YOiNCKoBpPl8XBHaw/edit?gid=0#gid=0"", ""sheet3!$B:$C""), 2, FALSE)
"),"Jamia Masjid Fatah Shah Bukhari Burewala")</f>
        <v>Jamia Masjid Fatah Shah Bukhari Burewala</v>
      </c>
      <c r="D231" s="284" t="str">
        <f>IFERROR(__xludf.DUMMYFUNCTION("IFERROR(
  INDEX(
    FILTER(
      IMPORTRANGE(""1aSOrU4PTpuBZqfitKaH1Rfww6-YOiNCKoBpPl8XBHaw/edit?gid=0#gid=0"",""Sheet1!G:G""),
      IMPORTRANGE(""1aSOrU4PTpuBZqfitKaH1Rfww6-YOiNCKoBpPl8XBHaw/edit?gid=0#gid=0"",""Sheet1!C:C"")=$B231
    ),
    1
  ),
"&amp;"  ""Not Found""
)"),"Women Secular No Info Share")</f>
        <v>Women Secular No Info Share</v>
      </c>
      <c r="E231" s="284" t="str">
        <f>VLOOKUP(B231,'Juma Recording forms'!A:E,5,false)</f>
        <v>Jamia masjid Fatah shah bukhari</v>
      </c>
      <c r="F231" s="284" t="str">
        <f>IFERROR(__xludf.DUMMYFUNCTION("IFERROR(
  INDEX(
    FILTER(
      IMPORTRANGE(""1Cxrhp3-_-HS7v9uuqQliiIfrmMP4VaFoDNDWyUFy2J8/edit?gid=0#gid=0"",""Sheet1!Q:Q""),
      IMPORTRANGE(""1Cxrhp3-_-HS7v9uuqQliiIfrmMP4VaFoDNDWyUFy2J8/edit?gid=0#gid=0"",""Sheet1!K:K"")=$B231
    ),
    1
  ),
"&amp;"  ""Not Found""
)"),"Not Found")</f>
        <v>Not Found</v>
      </c>
      <c r="G231" s="284"/>
      <c r="H231" s="284"/>
      <c r="I231" s="285" t="s">
        <v>197</v>
      </c>
      <c r="J231" s="286">
        <v>2.0</v>
      </c>
      <c r="K231" s="287" t="str">
        <f>VLOOKUP($B231,'Mosque Locations'!$A:$E,3,FALSE)
</f>
        <v>https://maps.google.com/maps?q=30.0419077%2C72.6870337&amp;z=17&amp;hl=en</v>
      </c>
      <c r="L231" s="286">
        <f>VLOOKUP($B231,'Mosque Locations'!$A:$E,4,FALSE)
</f>
        <v>30.04191</v>
      </c>
      <c r="M231" s="286">
        <f>VLOOKUP($B231,'Mosque Locations'!$A:$E,5,false)</f>
        <v>72.68703</v>
      </c>
      <c r="N231" s="288"/>
      <c r="O231" s="288"/>
      <c r="P231" s="288"/>
      <c r="Q231" s="295" t="str">
        <f>IFERROR(__xludf.DUMMYFUNCTION("IFERROR(
  INDEX(
    FILTER(
      IMPORTRANGE(""1kOrIKZmJfNUkgOVP3sI9BPjaaPA0_a4636oymQxTXg8"",""Form Responses 1!N:N""),
      TRIM(IMPORTRANGE(""1kOrIKZmJfNUkgOVP3sI9BPjaaPA0_a4636oymQxTXg8"",""Form Responses 1!F:F""))=TRIM($B231)
    ),
    1
  ),
  "&amp;"""Not Found""
)
"),"https://drive.google.com/open?id=1gIfifnJSPxyk7z_1DO73I1NH1btSCpTN")</f>
        <v>https://drive.google.com/open?id=1gIfifnJSPxyk7z_1DO73I1NH1btSCpTN</v>
      </c>
      <c r="R231" s="295" t="str">
        <f>IFERROR(__xludf.DUMMYFUNCTION("IFERROR(
  INDEX(
    FILTER(
      IMPORTRANGE(""1kOrIKZmJfNUkgOVP3sI9BPjaaPA0_a4636oymQxTXg8"",""Form Responses 1!M:M""),
      TRIM(IMPORTRANGE(""1kOrIKZmJfNUkgOVP3sI9BPjaaPA0_a4636oymQxTXg8"",""Form Responses 1!F:F""))=TRIM($B231)
    ),
    1
  ),
  "&amp;"""Not Found""
)
"),"https://drive.google.com/open?id=111l7EoZzuKWdTc-LpYauywdHo953FCp_")</f>
        <v>https://drive.google.com/open?id=111l7EoZzuKWdTc-LpYauywdHo953FCp_</v>
      </c>
      <c r="S231" s="285"/>
      <c r="T231" s="290" t="str">
        <f>VLOOKUP($B231,'Master Tracker'!D:E,2,false)</f>
        <v>https://drive.google.com/open?id=1FSeiTAcFeILAi1Om9fRmzBNojrE0Xx8-</v>
      </c>
      <c r="U231" s="291" t="str">
        <f>VLOOKUP($B231,'Master Tracker'!$D:$T,4,FALSE)
</f>
        <v>https://drive.google.com/open?id=1Al9IWmLyzWgiDttka27HtyPlcMz_zbsXncuGoc3tbd8</v>
      </c>
      <c r="V231" s="290" t="str">
        <f>VLOOKUP($B231,'Master Tracker'!$D:$T,5,false)</f>
        <v>https://drive.google.com/open?id=1Wx3JnfT_w2Atl1YQHbRzPI4BR0l_U-7d</v>
      </c>
      <c r="W231" s="291" t="str">
        <f>VLOOKUP($B231,'Master Tracker'!$D:$T,7,false)</f>
        <v>https://drive.google.com/open?id=11OINzrCmwHA1FVievyuHZtB7gdfWFrty</v>
      </c>
      <c r="X231" s="290" t="str">
        <f>VLOOKUP($B231,'Master Tracker'!$D:$T,8,false)</f>
        <v>https://drive.google.com/open?id=1Sqnjg21D-ufacSNIbkhOwMiLuHF7cIuf</v>
      </c>
      <c r="Y231" s="291" t="str">
        <f>VLOOKUP($B231,'Master Tracker'!$D:$T,10,false)</f>
        <v>https://drive.google.com/open?id=1M8uVi4aMidRafpTkoCyLo51eTozq2iWE</v>
      </c>
      <c r="Z231" s="284" t="str">
        <f>VLOOKUP($B231,'Master Tracker'!$D:$T,11,false)</f>
        <v>Not Found</v>
      </c>
      <c r="AA231" s="292" t="str">
        <f>VLOOKUP($B231,'Master Tracker'!$D:$T,13,false)</f>
        <v>Not Found</v>
      </c>
      <c r="AB231" s="284" t="str">
        <f>VLOOKUP($B231,'Master Tracker'!$D:$T,14,false)</f>
        <v>Not Found</v>
      </c>
      <c r="AC231" s="292" t="str">
        <f>VLOOKUP($B231,'Master Tracker'!$D:$T,16,false)</f>
        <v>Not Found</v>
      </c>
      <c r="AD231" s="292" t="str">
        <f>VLOOKUP($B231,'Master Tracker'!$D:$T,17,false)</f>
        <v>Not Found</v>
      </c>
      <c r="AE231" s="292" t="str">
        <f>VLOOKUP($B231,'Master Tracker'!$D:$V,19,false)</f>
        <v>Not Found</v>
      </c>
      <c r="AF231" s="292">
        <f>IFERROR(__xludf.DUMMYFUNCTION("IFERROR(
  INDEX(
    FILTER(
      'Juma Recording forms'!$G:$G,
      TRIM('Juma Recording forms'!$F:$F) = TRIM($B231),
      'Juma Recording forms'!$AA:$AA = 1
    ),
    1
  ),
  ""Not Found""
)"),380.0)</f>
        <v>380</v>
      </c>
      <c r="AG231" s="292">
        <f>IFERROR(__xludf.DUMMYFUNCTION("IFERROR(
  INDEX(
    FILTER(
      'Juma Recording forms'!$G:$G,
      TRIM('Juma Recording forms'!$F:$F) = TRIM($B231),
      'Juma Recording forms'!$AA:$AA = 2
    ),
    1
  ),
  ""Not Found""
)"),400.0)</f>
        <v>400</v>
      </c>
      <c r="AH231" s="292">
        <f>IFERROR(__xludf.DUMMYFUNCTION("IFERROR(
  INDEX(
    FILTER(
      'Juma Recording forms'!$G:$G,
      TRIM('Juma Recording forms'!$F:$F) = TRIM($B231),
      'Juma Recording forms'!$AA:$AA = 3
    ),
    1
  ),
  ""Not Found""
)"),450.0)</f>
        <v>450</v>
      </c>
      <c r="AI231" s="292" t="str">
        <f>IFERROR(__xludf.DUMMYFUNCTION("IFERROR(
  INDEX(
    FILTER(
      'Juma Recording forms'!$G:$G,
      TRIM('Juma Recording forms'!$F:$F) = TRIM($B231),
      'Juma Recording forms'!$AA:$AA = 4
    ),
    1
  ),
  ""Not Found""
)"),"Not Found")</f>
        <v>Not Found</v>
      </c>
      <c r="AJ231" s="292" t="str">
        <f>IFERROR(__xludf.DUMMYFUNCTION("IFERROR(
  INDEX(
    FILTER(
      'Juma Recording forms'!$G:$G,
      TRIM('Juma Recording forms'!$F:$F) = TRIM($B231),
      'Juma Recording forms'!$AA:$AA = 5
    ),
    1
  ),
  ""Not Found""
)"),"Not Found")</f>
        <v>Not Found</v>
      </c>
      <c r="AK231" s="292" t="str">
        <f>IFERROR(__xludf.DUMMYFUNCTION("IFERROR(
  INDEX(
    FILTER(
      'Juma Recording forms'!$G:$G,
      TRIM('Juma Recording forms'!$F:$F) = TRIM($B231),
      'Juma Recording forms'!$AA:$AA = 6
    ),
    1
  ),
  ""Not Found""
)"),"Not Found")</f>
        <v>Not Found</v>
      </c>
      <c r="AL2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1!$E:$E"")=$B231) *
        (IMPORTRANGE(""https://docs.google.com/spreadsheets/d/161aHT6vVT3SLneTKD19N5qVWtnj_jIT8CSsOmUVKmaA/e"&amp;"dit?gid=1761053510"",
          ""Haris_Form responses 1!$AQ:$AQ"")=1)
      ),
      1
    ),
    ""0""
  ),
  ""Form not found""
)
"),"10")</f>
        <v>10</v>
      </c>
      <c r="AM2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1!$E:$E"")=$B231) *
        (IMPORTRANGE(""https://docs.google.com/spreadsheets/d/161aHT6vVT3SLneTKD19N5qVWtnj_jIT8CSsOmUVKmaA/e"&amp;"dit?gid=1761053510"",
          ""Haris_Form responses 1!$AQ:$AQ"")=2)
      ),
      1
    ),
    ""0""
  ),
  ""Form not found""
)
"),"10")</f>
        <v>10</v>
      </c>
      <c r="AN2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1!$E:$E"")=$B231) *
        (IMPORTRANGE(""https://docs.google.com/spreadsheets/d/161aHT6vVT3SLneTKD19N5qVWtnj_jIT8CSsOmUVKmaA/e"&amp;"dit?gid=1761053510"",
          ""Haris_Form responses 1!$AQ:$AQ"")=3)
      ),
      1
    ),
    ""0""
  ),
  ""Form not found""
)
"),"0")</f>
        <v>0</v>
      </c>
      <c r="AO2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1!$E:$E"")=$B231) *
        (IMPORTRANGE(""https://docs.google.com/spreadsheets/d/161aHT6vVT3SLneTKD19N5qVWtnj_jIT8CSsOmUVKmaA/e"&amp;"dit?gid=1761053510"",
          ""Haris_Form responses 1!$AQ:$AQ"")=4)
      ),
      1
    ),
    ""0""
  ),
  ""Form not found""
)
"),"Form not found")</f>
        <v>Form not found</v>
      </c>
      <c r="AP2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1!$E:$E"")=$B231) *
        (IMPORTRANGE(""https://docs.google.com/spreadsheets/d/161aHT6vVT3SLneTKD19N5qVWtnj_jIT8CSsOmUVKmaA/e"&amp;"dit?gid=1761053510"",
          ""Haris_Form responses 1!$AQ:$AQ"")=5)
      ),
      1
    ),
    ""0""
  ),
  ""Form not found""
)
"),"Form not found")</f>
        <v>Form not found</v>
      </c>
      <c r="AQ23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1!$E:$E"")=$B231) *
        (IMPORTRANGE(""https://docs.google.com/spreadsheets/d/161aHT6vVT3SLneTKD19N5qVWtnj_jIT8CSsOmUVKmaA/e"&amp;"dit?gid=1761053510"",
          ""Haris_Form responses 1!$AQ:$AQ"")=6)
      ),
      1
    ),
    ""0""
  ),
  ""Form not found""
)
"),"Form not found")</f>
        <v>Form not found</v>
      </c>
      <c r="AR2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1!$E:$E"")=$B231) *
        (IMPORTRANGE(""https://docs.google.com/spreadsheets/d/161aHT6vVT3SLneTKD19N5qVWtnj_jIT8CSsOmUVKmaA/e"&amp;"dit?gid=1761053510"",
          ""Haris_Form responses 1!$AQ:$AQ"")=1)
      ),
      1
    ),
    ""0""
  ),
  ""Form not found""
)
"),"0")</f>
        <v>0</v>
      </c>
      <c r="AS2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1!$E:$E"")=$B231) *
        (IMPORTRANGE(""https://docs.google.com/spreadsheets/d/161aHT6vVT3SLneTKD19N5qVWtnj_jIT8CSsOmUVKmaA/e"&amp;"dit?gid=1761053510"",
          ""Haris_Form responses 1!$AQ:$AQ"")=2)
      ),
      1
    ),
    ""0""
  ),
  ""Form not found""
)
"),"0")</f>
        <v>0</v>
      </c>
      <c r="AT2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1!$E:$E"")=$B231) *
        (IMPORTRANGE(""https://docs.google.com/spreadsheets/d/161aHT6vVT3SLneTKD19N5qVWtnj_jIT8CSsOmUVKmaA/e"&amp;"dit?gid=1761053510"",
          ""Haris_Form responses 1!$AQ:$AQ"")=3)
      ),
      1
    ),
    ""0""
  ),
  ""Form not found""
)
"),"0")</f>
        <v>0</v>
      </c>
      <c r="AU2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1!$E:$E"")=$B231) *
        (IMPORTRANGE(""https://docs.google.com/spreadsheets/d/161aHT6vVT3SLneTKD19N5qVWtnj_jIT8CSsOmUVKmaA/e"&amp;"dit?gid=1761053510"",
          ""Haris_Form responses 1!$AQ:$AQ"")=4)
      ),
      1
    ),
    ""0""
  ),
  ""Form not found""
)
"),"Form not found")</f>
        <v>Form not found</v>
      </c>
      <c r="AV2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1!$E:$E"")=$B231) *
        (IMPORTRANGE(""https://docs.google.com/spreadsheets/d/161aHT6vVT3SLneTKD19N5qVWtnj_jIT8CSsOmUVKmaA/e"&amp;"dit?gid=1761053510"",
          ""Haris_Form responses 1!$AQ:$AQ"")=5)
      ),
      1
    ),
    ""0""
  ),
  ""Form not found""
)
"),"Form not found")</f>
        <v>Form not found</v>
      </c>
      <c r="AW23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1!$E:$E"")=$B231) *
        (IMPORTRANGE(""https://docs.google.com/spreadsheets/d/161aHT6vVT3SLneTKD19N5qVWtnj_jIT8CSsOmUVKmaA/e"&amp;"dit?gid=1761053510"",
          ""Haris_Form responses 1!$AQ:$AQ"")=6)
      ),
      1
    ),
    ""0""
  ),
  ""Form not found""
)
"),"Form not found")</f>
        <v>Form not found</v>
      </c>
      <c r="AX2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1!$E:$E"")=$B231) *
        (IMPORTRANGE(""https://docs.google.com/spreadsheets/d/161aHT6vVT3SLneTKD19N5qVWtnj_jIT8CSsOmUVKmaA/e"&amp;"dit?gid=1761053510"",
          ""Haris_Form responses 1!$AQ:$AQ"")=1)
      ),
      1
    ),
    ""0""
  ),
  ""Form not found""
)
"),"10")</f>
        <v>10</v>
      </c>
      <c r="AY2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1!$E:$E"")=$B231) *
        (IMPORTRANGE(""https://docs.google.com/spreadsheets/d/161aHT6vVT3SLneTKD19N5qVWtnj_jIT8CSsOmUVKmaA/e"&amp;"dit?gid=1761053510"",
          ""Haris_Form responses 1!$AQ:$AQ"")=2)
      ),
      1
    ),
    ""0""
  ),
  ""Form not found""
)
"),"10")</f>
        <v>10</v>
      </c>
      <c r="AZ2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1!$E:$E"")=$B231) *
        (IMPORTRANGE(""https://docs.google.com/spreadsheets/d/161aHT6vVT3SLneTKD19N5qVWtnj_jIT8CSsOmUVKmaA/e"&amp;"dit?gid=1761053510"",
          ""Haris_Form responses 1!$AQ:$AQ"")=3)
      ),
      1
    ),
    ""0""
  ),
  ""Form not found""
)
"),"0")</f>
        <v>0</v>
      </c>
      <c r="BA2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1!$E:$E"")=$B231) *
        (IMPORTRANGE(""https://docs.google.com/spreadsheets/d/161aHT6vVT3SLneTKD19N5qVWtnj_jIT8CSsOmUVKmaA/e"&amp;"dit?gid=1761053510"",
          ""Haris_Form responses 1!$AQ:$AQ"")=4)
      ),
      1
    ),
    ""0""
  ),
  ""Form not found""
)
"),"Form not found")</f>
        <v>Form not found</v>
      </c>
      <c r="BB2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1!$E:$E"")=$B231) *
        (IMPORTRANGE(""https://docs.google.com/spreadsheets/d/161aHT6vVT3SLneTKD19N5qVWtnj_jIT8CSsOmUVKmaA/e"&amp;"dit?gid=1761053510"",
          ""Haris_Form responses 1!$AQ:$AQ"")=5)
      ),
      1
    ),
    ""0""
  ),
  ""Form not found""
)
"),"Form not found")</f>
        <v>Form not found</v>
      </c>
      <c r="BC23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1!$E:$E"")=$B231) *
        (IMPORTRANGE(""https://docs.google.com/spreadsheets/d/161aHT6vVT3SLneTKD19N5qVWtnj_jIT8CSsOmUVKmaA/e"&amp;"dit?gid=1761053510"",
          ""Haris_Form responses 1!$AQ:$AQ"")=6)
      ),
      1
    ),
    ""0""
  ),
  ""Form not found""
)
"),"Form not found")</f>
        <v>Form not found</v>
      </c>
      <c r="BD231" s="293"/>
    </row>
    <row r="232">
      <c r="A232" s="283" t="str">
        <f>IFERROR(__xludf.DUMMYFUNCTION("VLOOKUP($B232,IMPORTRANGE(""https://docs.google.com/spreadsheets/d/1VNXDITjs75AcgdBSW27oL1VZH31udDprJSsBcE5xlp4/edit?gid=1551188038#gid=1551188038"", ""Sheet9!$B:$E""),2,false)"),"Burewala")</f>
        <v>Burewala</v>
      </c>
      <c r="B232" s="283" t="s">
        <v>4672</v>
      </c>
      <c r="C232" s="284" t="str">
        <f>IFERROR(__xludf.DUMMYFUNCTION("VLOOKUP(TRIM($B232), IMPORTRANGE(""https://docs.google.com/spreadsheets/d/1aSOrU4PTpuBZqfitKaH1Rfww6-YOiNCKoBpPl8XBHaw/edit?gid=0#gid=0"", ""sheet3!$B:$C""), 2, FALSE)
"),"Jamia Masjid Shiekh Fasal Burewala")</f>
        <v>Jamia Masjid Shiekh Fasal Burewala</v>
      </c>
      <c r="D232" s="284" t="str">
        <f>IFERROR(__xludf.DUMMYFUNCTION("IFERROR(
  INDEX(
    FILTER(
      IMPORTRANGE(""1aSOrU4PTpuBZqfitKaH1Rfww6-YOiNCKoBpPl8XBHaw/edit?gid=0#gid=0"",""Sheet1!G:G""),
      IMPORTRANGE(""1aSOrU4PTpuBZqfitKaH1Rfww6-YOiNCKoBpPl8XBHaw/edit?gid=0#gid=0"",""Sheet1!C:C"")=$B232
    ),
    1
  ),
"&amp;"  ""Not Found""
)"),"Control")</f>
        <v>Control</v>
      </c>
      <c r="E232" s="284" t="str">
        <f>VLOOKUP(B232,'Juma Recording forms'!A:E,5,false)</f>
        <v>جامعہ مسجد حنفیہ </v>
      </c>
      <c r="F232" s="284" t="str">
        <f>IFERROR(__xludf.DUMMYFUNCTION("IFERROR(
  INDEX(
    FILTER(
      IMPORTRANGE(""1Cxrhp3-_-HS7v9uuqQliiIfrmMP4VaFoDNDWyUFy2J8/edit?gid=0#gid=0"",""Sheet1!Q:Q""),
      IMPORTRANGE(""1Cxrhp3-_-HS7v9uuqQliiIfrmMP4VaFoDNDWyUFy2J8/edit?gid=0#gid=0"",""Sheet1!K:K"")=$B232
    ),
    1
  ),
"&amp;"  ""Not Found""
)"),"mulana tahir zaia")</f>
        <v>mulana tahir zaia</v>
      </c>
      <c r="G232" s="292">
        <v>1951.0</v>
      </c>
      <c r="H232" s="284" t="s">
        <v>4882</v>
      </c>
      <c r="I232" s="285" t="s">
        <v>197</v>
      </c>
      <c r="J232" s="286">
        <v>2.0</v>
      </c>
      <c r="K232" s="287" t="str">
        <f>VLOOKUP($B232,'Mosque Locations'!$A:$E,3,FALSE)
</f>
        <v>https://maps.google.com/maps?q=30.3334797%2C72.7943812&amp;z=17&amp;hl=en</v>
      </c>
      <c r="L232" s="286">
        <f>VLOOKUP($B232,'Mosque Locations'!$A:$E,4,FALSE)
</f>
        <v>30.33348</v>
      </c>
      <c r="M232" s="286">
        <f>VLOOKUP($B232,'Mosque Locations'!$A:$E,5,false)</f>
        <v>72.79438</v>
      </c>
      <c r="N232" s="288"/>
      <c r="O232" s="288"/>
      <c r="P232" s="288"/>
      <c r="Q232" s="295" t="str">
        <f>IFERROR(__xludf.DUMMYFUNCTION("IFERROR(
  INDEX(
    FILTER(
      IMPORTRANGE(""1kOrIKZmJfNUkgOVP3sI9BPjaaPA0_a4636oymQxTXg8"",""Form Responses 1!N:N""),
      TRIM(IMPORTRANGE(""1kOrIKZmJfNUkgOVP3sI9BPjaaPA0_a4636oymQxTXg8"",""Form Responses 1!F:F""))=TRIM($B232)
    ),
    1
  ),
  "&amp;"""Not Found""
)
"),"https://drive.google.com/open?id=10Fij-APTYKBKVldIDvHSZW3QliHN5De2")</f>
        <v>https://drive.google.com/open?id=10Fij-APTYKBKVldIDvHSZW3QliHN5De2</v>
      </c>
      <c r="R232" s="290" t="str">
        <f>IFERROR(__xludf.DUMMYFUNCTION("IFERROR(
  INDEX(
    FILTER(
      IMPORTRANGE(""1kOrIKZmJfNUkgOVP3sI9BPjaaPA0_a4636oymQxTXg8"",""Form Responses 1!M:M""),
      TRIM(IMPORTRANGE(""1kOrIKZmJfNUkgOVP3sI9BPjaaPA0_a4636oymQxTXg8"",""Form Responses 1!F:F""))=TRIM($B232)
    ),
    1
  ),
  "&amp;"""Not Found""
)
"),"https://drive.google.com/open?id=1sT5fCYDFjzX_yAwnMFWWEann1362K0GY")</f>
        <v>https://drive.google.com/open?id=1sT5fCYDFjzX_yAwnMFWWEann1362K0GY</v>
      </c>
      <c r="S232" s="285"/>
      <c r="T232" s="284" t="str">
        <f>VLOOKUP($B232,'Master Tracker'!D:E,2,false)</f>
        <v>Not Found</v>
      </c>
      <c r="U232" s="292" t="str">
        <f>VLOOKUP($B232,'Master Tracker'!$D:$T,4,FALSE)
</f>
        <v>Not Found</v>
      </c>
      <c r="V232" s="290" t="str">
        <f>VLOOKUP($B232,'Master Tracker'!$D:$T,5,false)</f>
        <v>https://drive.google.com/open?id=1IOSb4pbqhDAFlRtpZwsaCW2UJ63pXdxD</v>
      </c>
      <c r="W232" s="291" t="str">
        <f>VLOOKUP($B232,'Master Tracker'!$D:$T,7,false)</f>
        <v>https://drive.google.com/open?id=19IoxhpEa1JbkhJAy1u_riC5LXZfPpwJTp-c7P1U6Hes</v>
      </c>
      <c r="X232" s="290" t="str">
        <f>VLOOKUP($B232,'Master Tracker'!$D:$T,8,false)</f>
        <v>https://drive.google.com/open?id=1jjsBawf8yhaXgOGO1w3znowMIk9FPTGm</v>
      </c>
      <c r="Y232" s="291" t="str">
        <f>VLOOKUP($B232,'Master Tracker'!$D:$T,10,false)</f>
        <v>https://drive.google.com/open?id=1_whKw_rPFB_-KTk2SGiXTUN7TW-hlhNm</v>
      </c>
      <c r="Z232" s="284" t="str">
        <f>VLOOKUP($B232,'Master Tracker'!$D:$T,11,false)</f>
        <v>Not Found</v>
      </c>
      <c r="AA232" s="292" t="str">
        <f>VLOOKUP($B232,'Master Tracker'!$D:$T,13,false)</f>
        <v>Not Found</v>
      </c>
      <c r="AB232" s="284" t="str">
        <f>VLOOKUP($B232,'Master Tracker'!$D:$T,14,false)</f>
        <v>Not Found</v>
      </c>
      <c r="AC232" s="292" t="str">
        <f>VLOOKUP($B232,'Master Tracker'!$D:$T,16,false)</f>
        <v>Not Found</v>
      </c>
      <c r="AD232" s="292" t="str">
        <f>VLOOKUP($B232,'Master Tracker'!$D:$T,17,false)</f>
        <v>Not Found</v>
      </c>
      <c r="AE232" s="292" t="str">
        <f>VLOOKUP($B232,'Master Tracker'!$D:$V,19,false)</f>
        <v>Not Found</v>
      </c>
      <c r="AF232" s="292" t="str">
        <f>IFERROR(__xludf.DUMMYFUNCTION("IFERROR(
  INDEX(
    FILTER(
      'Juma Recording forms'!$G:$G,
      TRIM('Juma Recording forms'!$F:$F) = TRIM($B232),
      'Juma Recording forms'!$AA:$AA = 1
    ),
    1
  ),
  ""Not Found""
)"),"Not Found")</f>
        <v>Not Found</v>
      </c>
      <c r="AG232" s="292">
        <f>IFERROR(__xludf.DUMMYFUNCTION("IFERROR(
  INDEX(
    FILTER(
      'Juma Recording forms'!$G:$G,
      TRIM('Juma Recording forms'!$F:$F) = TRIM($B232),
      'Juma Recording forms'!$AA:$AA = 2
    ),
    1
  ),
  ""Not Found""
)"),260.0)</f>
        <v>260</v>
      </c>
      <c r="AH232" s="292">
        <f>IFERROR(__xludf.DUMMYFUNCTION("IFERROR(
  INDEX(
    FILTER(
      'Juma Recording forms'!$G:$G,
      TRIM('Juma Recording forms'!$F:$F) = TRIM($B232),
      'Juma Recording forms'!$AA:$AA = 3
    ),
    1
  ),
  ""Not Found""
)"),160.0)</f>
        <v>160</v>
      </c>
      <c r="AI232" s="292" t="str">
        <f>IFERROR(__xludf.DUMMYFUNCTION("IFERROR(
  INDEX(
    FILTER(
      'Juma Recording forms'!$G:$G,
      TRIM('Juma Recording forms'!$F:$F) = TRIM($B232),
      'Juma Recording forms'!$AA:$AA = 4
    ),
    1
  ),
  ""Not Found""
)"),"Not Found")</f>
        <v>Not Found</v>
      </c>
      <c r="AJ232" s="292" t="str">
        <f>IFERROR(__xludf.DUMMYFUNCTION("IFERROR(
  INDEX(
    FILTER(
      'Juma Recording forms'!$G:$G,
      TRIM('Juma Recording forms'!$F:$F) = TRIM($B232),
      'Juma Recording forms'!$AA:$AA = 5
    ),
    1
  ),
  ""Not Found""
)"),"Not Found")</f>
        <v>Not Found</v>
      </c>
      <c r="AK232" s="292" t="str">
        <f>IFERROR(__xludf.DUMMYFUNCTION("IFERROR(
  INDEX(
    FILTER(
      'Juma Recording forms'!$G:$G,
      TRIM('Juma Recording forms'!$F:$F) = TRIM($B232),
      'Juma Recording forms'!$AA:$AA = 6
    ),
    1
  ),
  ""Not Found""
)"),"Not Found")</f>
        <v>Not Found</v>
      </c>
      <c r="AL2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1!$E:$E"")=$B232) *
        (IMPORTRANGE(""https://docs.google.com/spreadsheets/d/161aHT6vVT3SLneTKD19N5qVWtnj_jIT8CSsOmUVKmaA/e"&amp;"dit?gid=1761053510"",
          ""Haris_Form responses 1!$AQ:$AQ"")=1)
      ),
      1
    ),
    ""0""
  ),
  ""Form not found""
)
"),"Form not found")</f>
        <v>Form not found</v>
      </c>
      <c r="AM2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1!$E:$E"")=$B232) *
        (IMPORTRANGE(""https://docs.google.com/spreadsheets/d/161aHT6vVT3SLneTKD19N5qVWtnj_jIT8CSsOmUVKmaA/e"&amp;"dit?gid=1761053510"",
          ""Haris_Form responses 1!$AQ:$AQ"")=2)
      ),
      1
    ),
    ""0""
  ),
  ""Form not found""
)
"),"0")</f>
        <v>0</v>
      </c>
      <c r="AN2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1!$E:$E"")=$B232) *
        (IMPORTRANGE(""https://docs.google.com/spreadsheets/d/161aHT6vVT3SLneTKD19N5qVWtnj_jIT8CSsOmUVKmaA/e"&amp;"dit?gid=1761053510"",
          ""Haris_Form responses 1!$AQ:$AQ"")=3)
      ),
      1
    ),
    ""0""
  ),
  ""Form not found""
)
"),"0")</f>
        <v>0</v>
      </c>
      <c r="AO2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1!$E:$E"")=$B232) *
        (IMPORTRANGE(""https://docs.google.com/spreadsheets/d/161aHT6vVT3SLneTKD19N5qVWtnj_jIT8CSsOmUVKmaA/e"&amp;"dit?gid=1761053510"",
          ""Haris_Form responses 1!$AQ:$AQ"")=4)
      ),
      1
    ),
    ""0""
  ),
  ""Form not found""
)
"),"Form not found")</f>
        <v>Form not found</v>
      </c>
      <c r="AP2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1!$E:$E"")=$B232) *
        (IMPORTRANGE(""https://docs.google.com/spreadsheets/d/161aHT6vVT3SLneTKD19N5qVWtnj_jIT8CSsOmUVKmaA/e"&amp;"dit?gid=1761053510"",
          ""Haris_Form responses 1!$AQ:$AQ"")=5)
      ),
      1
    ),
    ""0""
  ),
  ""Form not found""
)
"),"Form not found")</f>
        <v>Form not found</v>
      </c>
      <c r="AQ23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1!$E:$E"")=$B232) *
        (IMPORTRANGE(""https://docs.google.com/spreadsheets/d/161aHT6vVT3SLneTKD19N5qVWtnj_jIT8CSsOmUVKmaA/e"&amp;"dit?gid=1761053510"",
          ""Haris_Form responses 1!$AQ:$AQ"")=6)
      ),
      1
    ),
    ""0""
  ),
  ""Form not found""
)
"),"Form not found")</f>
        <v>Form not found</v>
      </c>
      <c r="AR2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1!$E:$E"")=$B232) *
        (IMPORTRANGE(""https://docs.google.com/spreadsheets/d/161aHT6vVT3SLneTKD19N5qVWtnj_jIT8CSsOmUVKmaA/e"&amp;"dit?gid=1761053510"",
          ""Haris_Form responses 1!$AQ:$AQ"")=1)
      ),
      1
    ),
    ""0""
  ),
  ""Form not found""
)
"),"Form not found")</f>
        <v>Form not found</v>
      </c>
      <c r="AS2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1!$E:$E"")=$B232) *
        (IMPORTRANGE(""https://docs.google.com/spreadsheets/d/161aHT6vVT3SLneTKD19N5qVWtnj_jIT8CSsOmUVKmaA/e"&amp;"dit?gid=1761053510"",
          ""Haris_Form responses 1!$AQ:$AQ"")=2)
      ),
      1
    ),
    ""0""
  ),
  ""Form not found""
)
"),"0")</f>
        <v>0</v>
      </c>
      <c r="AT2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1!$E:$E"")=$B232) *
        (IMPORTRANGE(""https://docs.google.com/spreadsheets/d/161aHT6vVT3SLneTKD19N5qVWtnj_jIT8CSsOmUVKmaA/e"&amp;"dit?gid=1761053510"",
          ""Haris_Form responses 1!$AQ:$AQ"")=3)
      ),
      1
    ),
    ""0""
  ),
  ""Form not found""
)
"),"1")</f>
        <v>1</v>
      </c>
      <c r="AU2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1!$E:$E"")=$B232) *
        (IMPORTRANGE(""https://docs.google.com/spreadsheets/d/161aHT6vVT3SLneTKD19N5qVWtnj_jIT8CSsOmUVKmaA/e"&amp;"dit?gid=1761053510"",
          ""Haris_Form responses 1!$AQ:$AQ"")=4)
      ),
      1
    ),
    ""0""
  ),
  ""Form not found""
)
"),"Form not found")</f>
        <v>Form not found</v>
      </c>
      <c r="AV2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1!$E:$E"")=$B232) *
        (IMPORTRANGE(""https://docs.google.com/spreadsheets/d/161aHT6vVT3SLneTKD19N5qVWtnj_jIT8CSsOmUVKmaA/e"&amp;"dit?gid=1761053510"",
          ""Haris_Form responses 1!$AQ:$AQ"")=5)
      ),
      1
    ),
    ""0""
  ),
  ""Form not found""
)
"),"Form not found")</f>
        <v>Form not found</v>
      </c>
      <c r="AW23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1!$E:$E"")=$B232) *
        (IMPORTRANGE(""https://docs.google.com/spreadsheets/d/161aHT6vVT3SLneTKD19N5qVWtnj_jIT8CSsOmUVKmaA/e"&amp;"dit?gid=1761053510"",
          ""Haris_Form responses 1!$AQ:$AQ"")=6)
      ),
      1
    ),
    ""0""
  ),
  ""Form not found""
)
"),"Form not found")</f>
        <v>Form not found</v>
      </c>
      <c r="AX2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1!$E:$E"")=$B232) *
        (IMPORTRANGE(""https://docs.google.com/spreadsheets/d/161aHT6vVT3SLneTKD19N5qVWtnj_jIT8CSsOmUVKmaA/e"&amp;"dit?gid=1761053510"",
          ""Haris_Form responses 1!$AQ:$AQ"")=1)
      ),
      1
    ),
    ""0""
  ),
  ""Form not found""
)
"),"Form not found")</f>
        <v>Form not found</v>
      </c>
      <c r="AY2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1!$E:$E"")=$B232) *
        (IMPORTRANGE(""https://docs.google.com/spreadsheets/d/161aHT6vVT3SLneTKD19N5qVWtnj_jIT8CSsOmUVKmaA/e"&amp;"dit?gid=1761053510"",
          ""Haris_Form responses 1!$AQ:$AQ"")=2)
      ),
      1
    ),
    ""0""
  ),
  ""Form not found""
)
"),"0")</f>
        <v>0</v>
      </c>
      <c r="AZ2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1!$E:$E"")=$B232) *
        (IMPORTRANGE(""https://docs.google.com/spreadsheets/d/161aHT6vVT3SLneTKD19N5qVWtnj_jIT8CSsOmUVKmaA/e"&amp;"dit?gid=1761053510"",
          ""Haris_Form responses 1!$AQ:$AQ"")=3)
      ),
      1
    ),
    ""0""
  ),
  ""Form not found""
)
"),"0")</f>
        <v>0</v>
      </c>
      <c r="BA2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1!$E:$E"")=$B232) *
        (IMPORTRANGE(""https://docs.google.com/spreadsheets/d/161aHT6vVT3SLneTKD19N5qVWtnj_jIT8CSsOmUVKmaA/e"&amp;"dit?gid=1761053510"",
          ""Haris_Form responses 1!$AQ:$AQ"")=4)
      ),
      1
    ),
    ""0""
  ),
  ""Form not found""
)
"),"Form not found")</f>
        <v>Form not found</v>
      </c>
      <c r="BB2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1!$E:$E"")=$B232) *
        (IMPORTRANGE(""https://docs.google.com/spreadsheets/d/161aHT6vVT3SLneTKD19N5qVWtnj_jIT8CSsOmUVKmaA/e"&amp;"dit?gid=1761053510"",
          ""Haris_Form responses 1!$AQ:$AQ"")=5)
      ),
      1
    ),
    ""0""
  ),
  ""Form not found""
)
"),"Form not found")</f>
        <v>Form not found</v>
      </c>
      <c r="BC23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1!$E:$E"")=$B232) *
        (IMPORTRANGE(""https://docs.google.com/spreadsheets/d/161aHT6vVT3SLneTKD19N5qVWtnj_jIT8CSsOmUVKmaA/e"&amp;"dit?gid=1761053510"",
          ""Haris_Form responses 1!$AQ:$AQ"")=6)
      ),
      1
    ),
    ""0""
  ),
  ""Form not found""
)
"),"Form not found")</f>
        <v>Form not found</v>
      </c>
      <c r="BD232" s="293"/>
    </row>
    <row r="233">
      <c r="A233" s="283" t="str">
        <f>IFERROR(__xludf.DUMMYFUNCTION("VLOOKUP($B233,IMPORTRANGE(""https://docs.google.com/spreadsheets/d/1VNXDITjs75AcgdBSW27oL1VZH31udDprJSsBcE5xlp4/edit?gid=1551188038#gid=1551188038"", ""Sheet9!$B:$E""),2,false)"),"Burewala")</f>
        <v>Burewala</v>
      </c>
      <c r="B233" s="283" t="s">
        <v>4673</v>
      </c>
      <c r="C233" s="284" t="str">
        <f>IFERROR(__xludf.DUMMYFUNCTION("VLOOKUP(TRIM($B233), IMPORTRANGE(""https://docs.google.com/spreadsheets/d/1aSOrU4PTpuBZqfitKaH1Rfww6-YOiNCKoBpPl8XBHaw/edit?gid=0#gid=0"", ""sheet3!$B:$C""), 2, FALSE)
"),"Jamia Masjid Mulhalka Kuko Mandi Burewala")</f>
        <v>Jamia Masjid Mulhalka Kuko Mandi Burewala</v>
      </c>
      <c r="D233" s="284" t="str">
        <f>IFERROR(__xludf.DUMMYFUNCTION("IFERROR(
  INDEX(
    FILTER(
      IMPORTRANGE(""1aSOrU4PTpuBZqfitKaH1Rfww6-YOiNCKoBpPl8XBHaw/edit?gid=0#gid=0"",""Sheet1!G:G""),
      IMPORTRANGE(""1aSOrU4PTpuBZqfitKaH1Rfww6-YOiNCKoBpPl8XBHaw/edit?gid=0#gid=0"",""Sheet1!C:C"")=$B233
    ),
    1
  ),
"&amp;"  ""Not Found""
)"),"Control")</f>
        <v>Control</v>
      </c>
      <c r="E233" s="284" t="str">
        <f>VLOOKUP(B233,'Juma Recording forms'!A:E,5,false)</f>
        <v>Jamia masjid mulhalka gaggoo Mandi tahsil burewala district vaheri</v>
      </c>
      <c r="F233" s="284" t="str">
        <f>IFERROR(__xludf.DUMMYFUNCTION("IFERROR(
  INDEX(
    FILTER(
      IMPORTRANGE(""1Cxrhp3-_-HS7v9uuqQliiIfrmMP4VaFoDNDWyUFy2J8/edit?gid=0#gid=0"",""Sheet1!Q:Q""),
      IMPORTRANGE(""1Cxrhp3-_-HS7v9uuqQliiIfrmMP4VaFoDNDWyUFy2J8/edit?gid=0#gid=0"",""Sheet1!K:K"")=$B233
    ),
    1
  ),
"&amp;"  ""Not Found""
)"),"Not Found")</f>
        <v>Not Found</v>
      </c>
      <c r="G233" s="284"/>
      <c r="H233" s="284"/>
      <c r="I233" s="285" t="s">
        <v>197</v>
      </c>
      <c r="J233" s="286">
        <v>2.0</v>
      </c>
      <c r="K233" s="287" t="str">
        <f>VLOOKUP($B233,'Mosque Locations'!$A:$E,3,FALSE)
</f>
        <v>https://maps.google.com/maps?q=30.0478282%2C72.3612654&amp;z=17&amp;hl=en</v>
      </c>
      <c r="L233" s="286">
        <f>VLOOKUP($B233,'Mosque Locations'!$A:$E,4,FALSE)
</f>
        <v>30.04783</v>
      </c>
      <c r="M233" s="286">
        <f>VLOOKUP($B233,'Mosque Locations'!$A:$E,5,false)</f>
        <v>72.36127</v>
      </c>
      <c r="N233" s="288"/>
      <c r="O233" s="288"/>
      <c r="P233" s="288"/>
      <c r="Q233" s="290" t="str">
        <f>IFERROR(__xludf.DUMMYFUNCTION("IFERROR(
  INDEX(
    FILTER(
      IMPORTRANGE(""1kOrIKZmJfNUkgOVP3sI9BPjaaPA0_a4636oymQxTXg8"",""Form Responses 1!N:N""),
      TRIM(IMPORTRANGE(""1kOrIKZmJfNUkgOVP3sI9BPjaaPA0_a4636oymQxTXg8"",""Form Responses 1!F:F""))=TRIM($B233)
    ),
    1
  ),
  "&amp;"""Not Found""
)
"),"https://drive.google.com/open?id=16g0hDf08rrFrtv2E8DUS1za7KvyEjQ0i")</f>
        <v>https://drive.google.com/open?id=16g0hDf08rrFrtv2E8DUS1za7KvyEjQ0i</v>
      </c>
      <c r="R233" s="295" t="str">
        <f>IFERROR(__xludf.DUMMYFUNCTION("IFERROR(
  INDEX(
    FILTER(
      IMPORTRANGE(""1kOrIKZmJfNUkgOVP3sI9BPjaaPA0_a4636oymQxTXg8"",""Form Responses 1!M:M""),
      TRIM(IMPORTRANGE(""1kOrIKZmJfNUkgOVP3sI9BPjaaPA0_a4636oymQxTXg8"",""Form Responses 1!F:F""))=TRIM($B233)
    ),
    1
  ),
  "&amp;"""Not Found""
)
"),"https://drive.google.com/open?id=1V5lubpiwdXkROiDVeXo8ixjKxJB-iiWn")</f>
        <v>https://drive.google.com/open?id=1V5lubpiwdXkROiDVeXo8ixjKxJB-iiWn</v>
      </c>
      <c r="S233" s="285"/>
      <c r="T233" s="290" t="str">
        <f>VLOOKUP($B233,'Master Tracker'!D:E,2,false)</f>
        <v>https://drive.google.com/open?id=1PVu7ny2eIW3TG-9Ta9GdOYsFSfiglO1H</v>
      </c>
      <c r="U233" s="291" t="str">
        <f>VLOOKUP($B233,'Master Tracker'!$D:$T,4,FALSE)
</f>
        <v>https://drive.google.com/open?id=1qzYq2IUzDYDGZYbB2ALjKK39ViyqkOua</v>
      </c>
      <c r="V233" s="284" t="str">
        <f>VLOOKUP($B233,'Master Tracker'!$D:$T,5,false)</f>
        <v>Not Found</v>
      </c>
      <c r="W233" s="292" t="str">
        <f>VLOOKUP($B233,'Master Tracker'!$D:$T,7,false)</f>
        <v>Not Found</v>
      </c>
      <c r="X233" s="290" t="str">
        <f>VLOOKUP($B233,'Master Tracker'!$D:$T,8,false)</f>
        <v>https://drive.google.com/open?id=1TINbeKBAAfJdau_v8soIe4Lxvn6Pphi4</v>
      </c>
      <c r="Y233" s="291" t="str">
        <f>VLOOKUP($B233,'Master Tracker'!$D:$T,10,false)</f>
        <v>https://drive.google.com/open?id=1IeumY-Kjs3FFfKwrOVtG9lP58NRZIu1Q</v>
      </c>
      <c r="Z233" s="284" t="str">
        <f>VLOOKUP($B233,'Master Tracker'!$D:$T,11,false)</f>
        <v>Not Found</v>
      </c>
      <c r="AA233" s="292" t="str">
        <f>VLOOKUP($B233,'Master Tracker'!$D:$T,13,false)</f>
        <v>Not Found</v>
      </c>
      <c r="AB233" s="284" t="str">
        <f>VLOOKUP($B233,'Master Tracker'!$D:$T,14,false)</f>
        <v>Not Found</v>
      </c>
      <c r="AC233" s="292" t="str">
        <f>VLOOKUP($B233,'Master Tracker'!$D:$T,16,false)</f>
        <v>Not Found</v>
      </c>
      <c r="AD233" s="292" t="str">
        <f>VLOOKUP($B233,'Master Tracker'!$D:$T,17,false)</f>
        <v>Not Found</v>
      </c>
      <c r="AE233" s="292" t="str">
        <f>VLOOKUP($B233,'Master Tracker'!$D:$V,19,false)</f>
        <v>Not Found</v>
      </c>
      <c r="AF233" s="292">
        <f>IFERROR(__xludf.DUMMYFUNCTION("IFERROR(
  INDEX(
    FILTER(
      'Juma Recording forms'!$G:$G,
      TRIM('Juma Recording forms'!$F:$F) = TRIM($B233),
      'Juma Recording forms'!$AA:$AA = 1
    ),
    1
  ),
  ""Not Found""
)"),300.0)</f>
        <v>300</v>
      </c>
      <c r="AG233" s="292" t="str">
        <f>IFERROR(__xludf.DUMMYFUNCTION("IFERROR(
  INDEX(
    FILTER(
      'Juma Recording forms'!$G:$G,
      TRIM('Juma Recording forms'!$F:$F) = TRIM($B233),
      'Juma Recording forms'!$AA:$AA = 2
    ),
    1
  ),
  ""Not Found""
)"),"Not Found")</f>
        <v>Not Found</v>
      </c>
      <c r="AH233" s="292">
        <f>IFERROR(__xludf.DUMMYFUNCTION("IFERROR(
  INDEX(
    FILTER(
      'Juma Recording forms'!$G:$G,
      TRIM('Juma Recording forms'!$F:$F) = TRIM($B233),
      'Juma Recording forms'!$AA:$AA = 3
    ),
    1
  ),
  ""Not Found""
)"),159.0)</f>
        <v>159</v>
      </c>
      <c r="AI233" s="292" t="str">
        <f>IFERROR(__xludf.DUMMYFUNCTION("IFERROR(
  INDEX(
    FILTER(
      'Juma Recording forms'!$G:$G,
      TRIM('Juma Recording forms'!$F:$F) = TRIM($B233),
      'Juma Recording forms'!$AA:$AA = 4
    ),
    1
  ),
  ""Not Found""
)"),"Not Found")</f>
        <v>Not Found</v>
      </c>
      <c r="AJ233" s="292" t="str">
        <f>IFERROR(__xludf.DUMMYFUNCTION("IFERROR(
  INDEX(
    FILTER(
      'Juma Recording forms'!$G:$G,
      TRIM('Juma Recording forms'!$F:$F) = TRIM($B233),
      'Juma Recording forms'!$AA:$AA = 5
    ),
    1
  ),
  ""Not Found""
)"),"Not Found")</f>
        <v>Not Found</v>
      </c>
      <c r="AK233" s="292" t="str">
        <f>IFERROR(__xludf.DUMMYFUNCTION("IFERROR(
  INDEX(
    FILTER(
      'Juma Recording forms'!$G:$G,
      TRIM('Juma Recording forms'!$F:$F) = TRIM($B233),
      'Juma Recording forms'!$AA:$AA = 6
    ),
    1
  ),
  ""Not Found""
)"),"Not Found")</f>
        <v>Not Found</v>
      </c>
      <c r="AL2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1!$E:$E"")=$B233) *
        (IMPORTRANGE(""https://docs.google.com/spreadsheets/d/161aHT6vVT3SLneTKD19N5qVWtnj_jIT8CSsOmUVKmaA/e"&amp;"dit?gid=1761053510"",
          ""Haris_Form responses 1!$AQ:$AQ"")=1)
      ),
      1
    ),
    ""0""
  ),
  ""Form not found""
)
"),"0")</f>
        <v>0</v>
      </c>
      <c r="AM2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1!$E:$E"")=$B233) *
        (IMPORTRANGE(""https://docs.google.com/spreadsheets/d/161aHT6vVT3SLneTKD19N5qVWtnj_jIT8CSsOmUVKmaA/e"&amp;"dit?gid=1761053510"",
          ""Haris_Form responses 1!$AQ:$AQ"")=2)
      ),
      1
    ),
    ""0""
  ),
  ""Form not found""
)
"),"Form not found")</f>
        <v>Form not found</v>
      </c>
      <c r="AN2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1!$E:$E"")=$B233) *
        (IMPORTRANGE(""https://docs.google.com/spreadsheets/d/161aHT6vVT3SLneTKD19N5qVWtnj_jIT8CSsOmUVKmaA/e"&amp;"dit?gid=1761053510"",
          ""Haris_Form responses 1!$AQ:$AQ"")=3)
      ),
      1
    ),
    ""0""
  ),
  ""Form not found""
)
"),"0")</f>
        <v>0</v>
      </c>
      <c r="AO2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1!$E:$E"")=$B233) *
        (IMPORTRANGE(""https://docs.google.com/spreadsheets/d/161aHT6vVT3SLneTKD19N5qVWtnj_jIT8CSsOmUVKmaA/e"&amp;"dit?gid=1761053510"",
          ""Haris_Form responses 1!$AQ:$AQ"")=4)
      ),
      1
    ),
    ""0""
  ),
  ""Form not found""
)
"),"Form not found")</f>
        <v>Form not found</v>
      </c>
      <c r="AP2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1!$E:$E"")=$B233) *
        (IMPORTRANGE(""https://docs.google.com/spreadsheets/d/161aHT6vVT3SLneTKD19N5qVWtnj_jIT8CSsOmUVKmaA/e"&amp;"dit?gid=1761053510"",
          ""Haris_Form responses 1!$AQ:$AQ"")=5)
      ),
      1
    ),
    ""0""
  ),
  ""Form not found""
)
"),"Form not found")</f>
        <v>Form not found</v>
      </c>
      <c r="AQ23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1!$E:$E"")=$B233) *
        (IMPORTRANGE(""https://docs.google.com/spreadsheets/d/161aHT6vVT3SLneTKD19N5qVWtnj_jIT8CSsOmUVKmaA/e"&amp;"dit?gid=1761053510"",
          ""Haris_Form responses 1!$AQ:$AQ"")=6)
      ),
      1
    ),
    ""0""
  ),
  ""Form not found""
)
"),"Form not found")</f>
        <v>Form not found</v>
      </c>
      <c r="AR2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1!$E:$E"")=$B233) *
        (IMPORTRANGE(""https://docs.google.com/spreadsheets/d/161aHT6vVT3SLneTKD19N5qVWtnj_jIT8CSsOmUVKmaA/e"&amp;"dit?gid=1761053510"",
          ""Haris_Form responses 1!$AQ:$AQ"")=1)
      ),
      1
    ),
    ""0""
  ),
  ""Form not found""
)
"),"0")</f>
        <v>0</v>
      </c>
      <c r="AS2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1!$E:$E"")=$B233) *
        (IMPORTRANGE(""https://docs.google.com/spreadsheets/d/161aHT6vVT3SLneTKD19N5qVWtnj_jIT8CSsOmUVKmaA/e"&amp;"dit?gid=1761053510"",
          ""Haris_Form responses 1!$AQ:$AQ"")=2)
      ),
      1
    ),
    ""0""
  ),
  ""Form not found""
)
"),"Form not found")</f>
        <v>Form not found</v>
      </c>
      <c r="AT2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1!$E:$E"")=$B233) *
        (IMPORTRANGE(""https://docs.google.com/spreadsheets/d/161aHT6vVT3SLneTKD19N5qVWtnj_jIT8CSsOmUVKmaA/e"&amp;"dit?gid=1761053510"",
          ""Haris_Form responses 1!$AQ:$AQ"")=3)
      ),
      1
    ),
    ""0""
  ),
  ""Form not found""
)
"),"0")</f>
        <v>0</v>
      </c>
      <c r="AU2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1!$E:$E"")=$B233) *
        (IMPORTRANGE(""https://docs.google.com/spreadsheets/d/161aHT6vVT3SLneTKD19N5qVWtnj_jIT8CSsOmUVKmaA/e"&amp;"dit?gid=1761053510"",
          ""Haris_Form responses 1!$AQ:$AQ"")=4)
      ),
      1
    ),
    ""0""
  ),
  ""Form not found""
)
"),"Form not found")</f>
        <v>Form not found</v>
      </c>
      <c r="AV2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1!$E:$E"")=$B233) *
        (IMPORTRANGE(""https://docs.google.com/spreadsheets/d/161aHT6vVT3SLneTKD19N5qVWtnj_jIT8CSsOmUVKmaA/e"&amp;"dit?gid=1761053510"",
          ""Haris_Form responses 1!$AQ:$AQ"")=5)
      ),
      1
    ),
    ""0""
  ),
  ""Form not found""
)
"),"Form not found")</f>
        <v>Form not found</v>
      </c>
      <c r="AW23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1!$E:$E"")=$B233) *
        (IMPORTRANGE(""https://docs.google.com/spreadsheets/d/161aHT6vVT3SLneTKD19N5qVWtnj_jIT8CSsOmUVKmaA/e"&amp;"dit?gid=1761053510"",
          ""Haris_Form responses 1!$AQ:$AQ"")=6)
      ),
      1
    ),
    ""0""
  ),
  ""Form not found""
)
"),"Form not found")</f>
        <v>Form not found</v>
      </c>
      <c r="AX2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1!$E:$E"")=$B233) *
        (IMPORTRANGE(""https://docs.google.com/spreadsheets/d/161aHT6vVT3SLneTKD19N5qVWtnj_jIT8CSsOmUVKmaA/e"&amp;"dit?gid=1761053510"",
          ""Haris_Form responses 1!$AQ:$AQ"")=1)
      ),
      1
    ),
    ""0""
  ),
  ""Form not found""
)
"),"0")</f>
        <v>0</v>
      </c>
      <c r="AY2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1!$E:$E"")=$B233) *
        (IMPORTRANGE(""https://docs.google.com/spreadsheets/d/161aHT6vVT3SLneTKD19N5qVWtnj_jIT8CSsOmUVKmaA/e"&amp;"dit?gid=1761053510"",
          ""Haris_Form responses 1!$AQ:$AQ"")=2)
      ),
      1
    ),
    ""0""
  ),
  ""Form not found""
)
"),"Form not found")</f>
        <v>Form not found</v>
      </c>
      <c r="AZ2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1!$E:$E"")=$B233) *
        (IMPORTRANGE(""https://docs.google.com/spreadsheets/d/161aHT6vVT3SLneTKD19N5qVWtnj_jIT8CSsOmUVKmaA/e"&amp;"dit?gid=1761053510"",
          ""Haris_Form responses 1!$AQ:$AQ"")=3)
      ),
      1
    ),
    ""0""
  ),
  ""Form not found""
)
"),"0")</f>
        <v>0</v>
      </c>
      <c r="BA2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1!$E:$E"")=$B233) *
        (IMPORTRANGE(""https://docs.google.com/spreadsheets/d/161aHT6vVT3SLneTKD19N5qVWtnj_jIT8CSsOmUVKmaA/e"&amp;"dit?gid=1761053510"",
          ""Haris_Form responses 1!$AQ:$AQ"")=4)
      ),
      1
    ),
    ""0""
  ),
  ""Form not found""
)
"),"Form not found")</f>
        <v>Form not found</v>
      </c>
      <c r="BB2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1!$E:$E"")=$B233) *
        (IMPORTRANGE(""https://docs.google.com/spreadsheets/d/161aHT6vVT3SLneTKD19N5qVWtnj_jIT8CSsOmUVKmaA/e"&amp;"dit?gid=1761053510"",
          ""Haris_Form responses 1!$AQ:$AQ"")=5)
      ),
      1
    ),
    ""0""
  ),
  ""Form not found""
)
"),"Form not found")</f>
        <v>Form not found</v>
      </c>
      <c r="BC23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1!$E:$E"")=$B233) *
        (IMPORTRANGE(""https://docs.google.com/spreadsheets/d/161aHT6vVT3SLneTKD19N5qVWtnj_jIT8CSsOmUVKmaA/e"&amp;"dit?gid=1761053510"",
          ""Haris_Form responses 1!$AQ:$AQ"")=6)
      ),
      1
    ),
    ""0""
  ),
  ""Form not found""
)
"),"Form not found")</f>
        <v>Form not found</v>
      </c>
      <c r="BD233" s="293"/>
    </row>
    <row r="234">
      <c r="A234" s="283" t="str">
        <f>IFERROR(__xludf.DUMMYFUNCTION("VLOOKUP($B234,IMPORTRANGE(""https://docs.google.com/spreadsheets/d/1VNXDITjs75AcgdBSW27oL1VZH31udDprJSsBcE5xlp4/edit?gid=1551188038#gid=1551188038"", ""Sheet9!$B:$E""),2,false)"),"Burewala")</f>
        <v>Burewala</v>
      </c>
      <c r="B234" s="283" t="s">
        <v>3820</v>
      </c>
      <c r="C234" s="284" t="str">
        <f>IFERROR(__xludf.DUMMYFUNCTION("VLOOKUP(TRIM($B234), IMPORTRANGE(""https://docs.google.com/spreadsheets/d/1aSOrU4PTpuBZqfitKaH1Rfww6-YOiNCKoBpPl8XBHaw/edit?gid=0#gid=0"", ""sheet3!$B:$C""), 2, FALSE)
"),"Jamia Masjid D Block Burewala")</f>
        <v>Jamia Masjid D Block Burewala</v>
      </c>
      <c r="D234" s="284" t="str">
        <f>IFERROR(__xludf.DUMMYFUNCTION("IFERROR(
  INDEX(
    FILTER(
      IMPORTRANGE(""1aSOrU4PTpuBZqfitKaH1Rfww6-YOiNCKoBpPl8XBHaw/edit?gid=0#gid=0"",""Sheet1!G:G""),
      IMPORTRANGE(""1aSOrU4PTpuBZqfitKaH1Rfww6-YOiNCKoBpPl8XBHaw/edit?gid=0#gid=0"",""Sheet1!C:C"")=$B234
    ),
    1
  ),
"&amp;"  ""Not Found""
)"),"Community Secular No Info Share")</f>
        <v>Community Secular No Info Share</v>
      </c>
      <c r="E234" s="284" t="str">
        <f>VLOOKUP(B234,'Juma Recording forms'!A:E,5,false)</f>
        <v>Jamia Masjid D Block Burewala</v>
      </c>
      <c r="F234" s="284" t="str">
        <f>IFERROR(__xludf.DUMMYFUNCTION("IFERROR(
  INDEX(
    FILTER(
      IMPORTRANGE(""1Cxrhp3-_-HS7v9uuqQliiIfrmMP4VaFoDNDWyUFy2J8/edit?gid=0#gid=0"",""Sheet1!Q:Q""),
      IMPORTRANGE(""1Cxrhp3-_-HS7v9uuqQliiIfrmMP4VaFoDNDWyUFy2J8/edit?gid=0#gid=0"",""Sheet1!K:K"")=$B234
    ),
    1
  ),
"&amp;"  ""Not Found""
)"),"Not Found")</f>
        <v>Not Found</v>
      </c>
      <c r="G234" s="284"/>
      <c r="H234" s="284"/>
      <c r="I234" s="285" t="s">
        <v>197</v>
      </c>
      <c r="J234" s="286">
        <v>2.0</v>
      </c>
      <c r="K234" s="287" t="str">
        <f>VLOOKUP($B234,'Mosque Locations'!$A:$E,3,FALSE)
</f>
        <v>https://www.google.com/maps?q=30.1600098,72.680169</v>
      </c>
      <c r="L234" s="286">
        <f>VLOOKUP($B234,'Mosque Locations'!$A:$E,4,FALSE)
</f>
        <v>30.16001</v>
      </c>
      <c r="M234" s="286">
        <f>VLOOKUP($B234,'Mosque Locations'!$A:$E,5,false)</f>
        <v>72.68017</v>
      </c>
      <c r="N234" s="288"/>
      <c r="O234" s="288"/>
      <c r="P234" s="288"/>
      <c r="Q234" s="295" t="str">
        <f>IFERROR(__xludf.DUMMYFUNCTION("IFERROR(
  INDEX(
    FILTER(
      IMPORTRANGE(""1kOrIKZmJfNUkgOVP3sI9BPjaaPA0_a4636oymQxTXg8"",""Form Responses 1!N:N""),
      TRIM(IMPORTRANGE(""1kOrIKZmJfNUkgOVP3sI9BPjaaPA0_a4636oymQxTXg8"",""Form Responses 1!F:F""))=TRIM($B234)
    ),
    1
  ),
  "&amp;"""Not Found""
)
"),"https://drive.google.com/open?id=1m6w21GfYanE5xHNYXBNNTPmOW5bGf-kH")</f>
        <v>https://drive.google.com/open?id=1m6w21GfYanE5xHNYXBNNTPmOW5bGf-kH</v>
      </c>
      <c r="R234" s="290" t="str">
        <f>IFERROR(__xludf.DUMMYFUNCTION("IFERROR(
  INDEX(
    FILTER(
      IMPORTRANGE(""1kOrIKZmJfNUkgOVP3sI9BPjaaPA0_a4636oymQxTXg8"",""Form Responses 1!M:M""),
      TRIM(IMPORTRANGE(""1kOrIKZmJfNUkgOVP3sI9BPjaaPA0_a4636oymQxTXg8"",""Form Responses 1!F:F""))=TRIM($B234)
    ),
    1
  ),
  "&amp;"""Not Found""
)
"),"https://drive.google.com/open?id=1YDJXrfxeVZYpHUlUAUrUXYsPMAtAzZoN")</f>
        <v>https://drive.google.com/open?id=1YDJXrfxeVZYpHUlUAUrUXYsPMAtAzZoN</v>
      </c>
      <c r="S234" s="285"/>
      <c r="T234" s="284" t="str">
        <f>VLOOKUP($B234,'Master Tracker'!D:E,2,false)</f>
        <v>Not Found</v>
      </c>
      <c r="U234" s="292" t="str">
        <f>VLOOKUP($B234,'Master Tracker'!$D:$T,4,FALSE)
</f>
        <v>Not Found</v>
      </c>
      <c r="V234" s="290" t="str">
        <f>VLOOKUP($B234,'Master Tracker'!$D:$T,5,false)</f>
        <v>https://drive.google.com/file/d/1UuQaYpuN4ExUPwDqHrrA4qYIUQNBPTmy/view?usp=drive_link</v>
      </c>
      <c r="W234" s="291" t="str">
        <f>VLOOKUP($B234,'Master Tracker'!$D:$T,7,false)</f>
        <v>https://drive.google.com/open?id=1aUcRcvpALIkIJxkS-irfcEkraPWmgC4f</v>
      </c>
      <c r="X234" s="290" t="str">
        <f>VLOOKUP($B234,'Master Tracker'!$D:$T,8,false)</f>
        <v>https://drive.google.com/file/d/1JWbJ_rarte4w03mBu6Nk7OkRvvUF0KVT/view?usp=drive_link</v>
      </c>
      <c r="Y234" s="291" t="str">
        <f>VLOOKUP($B234,'Master Tracker'!$D:$T,10,false)</f>
        <v>https://drive.google.com/open?id=130pu-kqRtpJqr0EkyxA6b3LkX0ZlY-hPB2CPUo9Z_EA</v>
      </c>
      <c r="Z234" s="290" t="str">
        <f>VLOOKUP($B234,'Master Tracker'!$D:$T,11,false)</f>
        <v>https://drive.google.com/file/d/1au-leyrh634SGEzFJPeyedOJRQENalEf/view?usp=drive_link</v>
      </c>
      <c r="AA234" s="291" t="str">
        <f>VLOOKUP($B234,'Master Tracker'!$D:$T,13,false)</f>
        <v>https://drive.google.com/open?id=1uk5_WI4--ytBSEvzRog-gg8BR03rVYiHN1ilV1MZAXg</v>
      </c>
      <c r="AB234" s="290" t="str">
        <f>VLOOKUP($B234,'Master Tracker'!$D:$T,14,false)</f>
        <v>https://drive.google.com/file/d/1B6iDBVXHfclK4kZ4Ja1_y_3Q9adEwU4Y/view?usp=drive_link</v>
      </c>
      <c r="AC234" s="291" t="str">
        <f>VLOOKUP($B234,'Master Tracker'!$D:$T,16,false)</f>
        <v>https://drive.google.com/open?id=1ldeouQ8fwhBLHWunNfGZOmqzUHRjn6Cw-TnOfXJ_0Io</v>
      </c>
      <c r="AD234" s="292" t="str">
        <f>VLOOKUP($B234,'Master Tracker'!$D:$T,17,false)</f>
        <v>Not Found</v>
      </c>
      <c r="AE234" s="292" t="str">
        <f>VLOOKUP($B234,'Master Tracker'!$D:$V,19,false)</f>
        <v>Not Found</v>
      </c>
      <c r="AF234" s="292" t="str">
        <f>IFERROR(__xludf.DUMMYFUNCTION("IFERROR(
  INDEX(
    FILTER(
      'Juma Recording forms'!$G:$G,
      TRIM('Juma Recording forms'!$F:$F) = TRIM($B234),
      'Juma Recording forms'!$AA:$AA = 1
    ),
    1
  ),
  ""Not Found""
)"),"Not Found")</f>
        <v>Not Found</v>
      </c>
      <c r="AG234" s="292">
        <f>IFERROR(__xludf.DUMMYFUNCTION("IFERROR(
  INDEX(
    FILTER(
      'Juma Recording forms'!$G:$G,
      TRIM('Juma Recording forms'!$F:$F) = TRIM($B234),
      'Juma Recording forms'!$AA:$AA = 2
    ),
    1
  ),
  ""Not Found""
)"),436.0)</f>
        <v>436</v>
      </c>
      <c r="AH234" s="292">
        <f>IFERROR(__xludf.DUMMYFUNCTION("IFERROR(
  INDEX(
    FILTER(
      'Juma Recording forms'!$G:$G,
      TRIM('Juma Recording forms'!$F:$F) = TRIM($B234),
      'Juma Recording forms'!$AA:$AA = 3
    ),
    1
  ),
  ""Not Found""
)"),495.0)</f>
        <v>495</v>
      </c>
      <c r="AI234" s="292">
        <f>IFERROR(__xludf.DUMMYFUNCTION("IFERROR(
  INDEX(
    FILTER(
      'Juma Recording forms'!$G:$G,
      TRIM('Juma Recording forms'!$F:$F) = TRIM($B234),
      'Juma Recording forms'!$AA:$AA = 4
    ),
    1
  ),
  ""Not Found""
)"),467.0)</f>
        <v>467</v>
      </c>
      <c r="AJ234" s="292">
        <f>IFERROR(__xludf.DUMMYFUNCTION("IFERROR(
  INDEX(
    FILTER(
      'Juma Recording forms'!$G:$G,
      TRIM('Juma Recording forms'!$F:$F) = TRIM($B234),
      'Juma Recording forms'!$AA:$AA = 5
    ),
    1
  ),
  ""Not Found""
)"),465.0)</f>
        <v>465</v>
      </c>
      <c r="AK234" s="292" t="str">
        <f>IFERROR(__xludf.DUMMYFUNCTION("IFERROR(
  INDEX(
    FILTER(
      'Juma Recording forms'!$G:$G,
      TRIM('Juma Recording forms'!$F:$F) = TRIM($B234),
      'Juma Recording forms'!$AA:$AA = 6
    ),
    1
  ),
  ""Not Found""
)"),"Not Found")</f>
        <v>Not Found</v>
      </c>
      <c r="AL2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1!$E:$E"")=$B234) *
        (IMPORTRANGE(""https://docs.google.com/spreadsheets/d/161aHT6vVT3SLneTKD19N5qVWtnj_jIT8CSsOmUVKmaA/e"&amp;"dit?gid=1761053510"",
          ""Haris_Form responses 1!$AQ:$AQ"")=1)
      ),
      1
    ),
    ""0""
  ),
  ""Form not found""
)
"),"Form not found")</f>
        <v>Form not found</v>
      </c>
      <c r="AM2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1!$E:$E"")=$B234) *
        (IMPORTRANGE(""https://docs.google.com/spreadsheets/d/161aHT6vVT3SLneTKD19N5qVWtnj_jIT8CSsOmUVKmaA/e"&amp;"dit?gid=1761053510"",
          ""Haris_Form responses 1!$AQ:$AQ"")=2)
      ),
      1
    ),
    ""0""
  ),
  ""Form not found""
)
"),"8")</f>
        <v>8</v>
      </c>
      <c r="AN2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1!$E:$E"")=$B234) *
        (IMPORTRANGE(""https://docs.google.com/spreadsheets/d/161aHT6vVT3SLneTKD19N5qVWtnj_jIT8CSsOmUVKmaA/e"&amp;"dit?gid=1761053510"",
          ""Haris_Form responses 1!$AQ:$AQ"")=3)
      ),
      1
    ),
    ""0""
  ),
  ""Form not found""
)
"),"0")</f>
        <v>0</v>
      </c>
      <c r="AO2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1!$E:$E"")=$B234) *
        (IMPORTRANGE(""https://docs.google.com/spreadsheets/d/161aHT6vVT3SLneTKD19N5qVWtnj_jIT8CSsOmUVKmaA/e"&amp;"dit?gid=1761053510"",
          ""Haris_Form responses 1!$AQ:$AQ"")=4)
      ),
      1
    ),
    ""0""
  ),
  ""Form not found""
)
"),"9")</f>
        <v>9</v>
      </c>
      <c r="AP2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1!$E:$E"")=$B234) *
        (IMPORTRANGE(""https://docs.google.com/spreadsheets/d/161aHT6vVT3SLneTKD19N5qVWtnj_jIT8CSsOmUVKmaA/e"&amp;"dit?gid=1761053510"",
          ""Haris_Form responses 1!$AQ:$AQ"")=5)
      ),
      1
    ),
    ""0""
  ),
  ""Form not found""
)
"),"0")</f>
        <v>0</v>
      </c>
      <c r="AQ23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1!$E:$E"")=$B234) *
        (IMPORTRANGE(""https://docs.google.com/spreadsheets/d/161aHT6vVT3SLneTKD19N5qVWtnj_jIT8CSsOmUVKmaA/e"&amp;"dit?gid=1761053510"",
          ""Haris_Form responses 1!$AQ:$AQ"")=6)
      ),
      1
    ),
    ""0""
  ),
  ""Form not found""
)
"),"Form not found")</f>
        <v>Form not found</v>
      </c>
      <c r="AR2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1!$E:$E"")=$B234) *
        (IMPORTRANGE(""https://docs.google.com/spreadsheets/d/161aHT6vVT3SLneTKD19N5qVWtnj_jIT8CSsOmUVKmaA/e"&amp;"dit?gid=1761053510"",
          ""Haris_Form responses 1!$AQ:$AQ"")=1)
      ),
      1
    ),
    ""0""
  ),
  ""Form not found""
)
"),"Form not found")</f>
        <v>Form not found</v>
      </c>
      <c r="AS2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1!$E:$E"")=$B234) *
        (IMPORTRANGE(""https://docs.google.com/spreadsheets/d/161aHT6vVT3SLneTKD19N5qVWtnj_jIT8CSsOmUVKmaA/e"&amp;"dit?gid=1761053510"",
          ""Haris_Form responses 1!$AQ:$AQ"")=2)
      ),
      1
    ),
    ""0""
  ),
  ""Form not found""
)
"),"8")</f>
        <v>8</v>
      </c>
      <c r="AT2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1!$E:$E"")=$B234) *
        (IMPORTRANGE(""https://docs.google.com/spreadsheets/d/161aHT6vVT3SLneTKD19N5qVWtnj_jIT8CSsOmUVKmaA/e"&amp;"dit?gid=1761053510"",
          ""Haris_Form responses 1!$AQ:$AQ"")=3)
      ),
      1
    ),
    ""0""
  ),
  ""Form not found""
)
"),"0")</f>
        <v>0</v>
      </c>
      <c r="AU2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1!$E:$E"")=$B234) *
        (IMPORTRANGE(""https://docs.google.com/spreadsheets/d/161aHT6vVT3SLneTKD19N5qVWtnj_jIT8CSsOmUVKmaA/e"&amp;"dit?gid=1761053510"",
          ""Haris_Form responses 1!$AQ:$AQ"")=4)
      ),
      1
    ),
    ""0""
  ),
  ""Form not found""
)
"),"9")</f>
        <v>9</v>
      </c>
      <c r="AV2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1!$E:$E"")=$B234) *
        (IMPORTRANGE(""https://docs.google.com/spreadsheets/d/161aHT6vVT3SLneTKD19N5qVWtnj_jIT8CSsOmUVKmaA/e"&amp;"dit?gid=1761053510"",
          ""Haris_Form responses 1!$AQ:$AQ"")=5)
      ),
      1
    ),
    ""0""
  ),
  ""Form not found""
)
"),"0")</f>
        <v>0</v>
      </c>
      <c r="AW23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1!$E:$E"")=$B234) *
        (IMPORTRANGE(""https://docs.google.com/spreadsheets/d/161aHT6vVT3SLneTKD19N5qVWtnj_jIT8CSsOmUVKmaA/e"&amp;"dit?gid=1761053510"",
          ""Haris_Form responses 1!$AQ:$AQ"")=6)
      ),
      1
    ),
    ""0""
  ),
  ""Form not found""
)
"),"Form not found")</f>
        <v>Form not found</v>
      </c>
      <c r="AX2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1!$E:$E"")=$B234) *
        (IMPORTRANGE(""https://docs.google.com/spreadsheets/d/161aHT6vVT3SLneTKD19N5qVWtnj_jIT8CSsOmUVKmaA/e"&amp;"dit?gid=1761053510"",
          ""Haris_Form responses 1!$AQ:$AQ"")=1)
      ),
      1
    ),
    ""0""
  ),
  ""Form not found""
)
"),"Form not found")</f>
        <v>Form not found</v>
      </c>
      <c r="AY2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1!$E:$E"")=$B234) *
        (IMPORTRANGE(""https://docs.google.com/spreadsheets/d/161aHT6vVT3SLneTKD19N5qVWtnj_jIT8CSsOmUVKmaA/e"&amp;"dit?gid=1761053510"",
          ""Haris_Form responses 1!$AQ:$AQ"")=2)
      ),
      1
    ),
    ""0""
  ),
  ""Form not found""
)
"),"0")</f>
        <v>0</v>
      </c>
      <c r="AZ2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1!$E:$E"")=$B234) *
        (IMPORTRANGE(""https://docs.google.com/spreadsheets/d/161aHT6vVT3SLneTKD19N5qVWtnj_jIT8CSsOmUVKmaA/e"&amp;"dit?gid=1761053510"",
          ""Haris_Form responses 1!$AQ:$AQ"")=3)
      ),
      1
    ),
    ""0""
  ),
  ""Form not found""
)
"),"0")</f>
        <v>0</v>
      </c>
      <c r="BA2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1!$E:$E"")=$B234) *
        (IMPORTRANGE(""https://docs.google.com/spreadsheets/d/161aHT6vVT3SLneTKD19N5qVWtnj_jIT8CSsOmUVKmaA/e"&amp;"dit?gid=1761053510"",
          ""Haris_Form responses 1!$AQ:$AQ"")=4)
      ),
      1
    ),
    ""0""
  ),
  ""Form not found""
)
"),"0")</f>
        <v>0</v>
      </c>
      <c r="BB2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1!$E:$E"")=$B234) *
        (IMPORTRANGE(""https://docs.google.com/spreadsheets/d/161aHT6vVT3SLneTKD19N5qVWtnj_jIT8CSsOmUVKmaA/e"&amp;"dit?gid=1761053510"",
          ""Haris_Form responses 1!$AQ:$AQ"")=5)
      ),
      1
    ),
    ""0""
  ),
  ""Form not found""
)
"),"0")</f>
        <v>0</v>
      </c>
      <c r="BC23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1!$E:$E"")=$B234) *
        (IMPORTRANGE(""https://docs.google.com/spreadsheets/d/161aHT6vVT3SLneTKD19N5qVWtnj_jIT8CSsOmUVKmaA/e"&amp;"dit?gid=1761053510"",
          ""Haris_Form responses 1!$AQ:$AQ"")=6)
      ),
      1
    ),
    ""0""
  ),
  ""Form not found""
)
"),"Form not found")</f>
        <v>Form not found</v>
      </c>
      <c r="BD234" s="293"/>
    </row>
    <row r="235">
      <c r="A235" s="283" t="str">
        <f>IFERROR(__xludf.DUMMYFUNCTION("VLOOKUP($B235,IMPORTRANGE(""https://docs.google.com/spreadsheets/d/1VNXDITjs75AcgdBSW27oL1VZH31udDprJSsBcE5xlp4/edit?gid=1551188038#gid=1551188038"", ""Sheet9!$B:$E""),2,false)"),"Faisalabad")</f>
        <v>Faisalabad</v>
      </c>
      <c r="B235" s="283" t="s">
        <v>4694</v>
      </c>
      <c r="C235" s="284" t="str">
        <f>IFERROR(__xludf.DUMMYFUNCTION("VLOOKUP(TRIM($B235), IMPORTRANGE(""https://docs.google.com/spreadsheets/d/1aSOrU4PTpuBZqfitKaH1Rfww6-YOiNCKoBpPl8XBHaw/edit?gid=0#gid=0"", ""sheet3!$B:$C""), 2, FALSE)
"),"Jamia Masjid Darbar Lasuri Shah Faisalabad")</f>
        <v>Jamia Masjid Darbar Lasuri Shah Faisalabad</v>
      </c>
      <c r="D235" s="284" t="str">
        <f>IFERROR(__xludf.DUMMYFUNCTION("IFERROR(
  INDEX(
    FILTER(
      IMPORTRANGE(""1aSOrU4PTpuBZqfitKaH1Rfww6-YOiNCKoBpPl8XBHaw/edit?gid=0#gid=0"",""Sheet1!G:G""),
      IMPORTRANGE(""1aSOrU4PTpuBZqfitKaH1Rfww6-YOiNCKoBpPl8XBHaw/edit?gid=0#gid=0"",""Sheet1!C:C"")=$B235
    ),
    1
  ),
"&amp;"  ""Not Found""
)"),"Women Religious No Info Share")</f>
        <v>Women Religious No Info Share</v>
      </c>
      <c r="E235" s="284" t="str">
        <f>VLOOKUP(B235,'Juma Recording forms'!A:E,5,false)</f>
        <v>جامع مسجد لسوڑی شاہ  جھنگ بازار فیصل آباد</v>
      </c>
      <c r="F235" s="284" t="str">
        <f>IFERROR(__xludf.DUMMYFUNCTION("IFERROR(
  INDEX(
    FILTER(
      IMPORTRANGE(""1Cxrhp3-_-HS7v9uuqQliiIfrmMP4VaFoDNDWyUFy2J8/edit?gid=0#gid=0"",""Sheet1!Q:Q""),
      IMPORTRANGE(""1Cxrhp3-_-HS7v9uuqQliiIfrmMP4VaFoDNDWyUFy2J8/edit?gid=0#gid=0"",""Sheet1!K:K"")=$B235
    ),
    1
  ),
"&amp;"  ""Not Found""
)"),"Bashart ")</f>
        <v>Bashart </v>
      </c>
      <c r="G235" s="292">
        <v>1932.0</v>
      </c>
      <c r="H235" s="284" t="s">
        <v>4883</v>
      </c>
      <c r="I235" s="285" t="s">
        <v>197</v>
      </c>
      <c r="J235" s="286">
        <v>2.0</v>
      </c>
      <c r="K235" s="287" t="str">
        <f>VLOOKUP($B235,'Mosque Locations'!$A:$E,3,FALSE)
</f>
        <v>https://maps.google.com/maps?q=31.4160765%2C73.0771168&amp;z=17&amp;hl=en</v>
      </c>
      <c r="L235" s="286">
        <f>VLOOKUP($B235,'Mosque Locations'!$A:$E,4,FALSE)
</f>
        <v>31.41608</v>
      </c>
      <c r="M235" s="286">
        <f>VLOOKUP($B235,'Mosque Locations'!$A:$E,5,false)</f>
        <v>73.07712</v>
      </c>
      <c r="N235" s="288"/>
      <c r="O235" s="288"/>
      <c r="P235" s="288"/>
      <c r="Q235" s="295" t="str">
        <f>IFERROR(__xludf.DUMMYFUNCTION("IFERROR(
  INDEX(
    FILTER(
      IMPORTRANGE(""1kOrIKZmJfNUkgOVP3sI9BPjaaPA0_a4636oymQxTXg8"",""Form Responses 1!N:N""),
      TRIM(IMPORTRANGE(""1kOrIKZmJfNUkgOVP3sI9BPjaaPA0_a4636oymQxTXg8"",""Form Responses 1!F:F""))=TRIM($B235)
    ),
    1
  ),
  "&amp;"""Not Found""
)
"),"https://drive.google.com/file/d/1dgP6RkU5LiMOhjTQbSXzbzsXMgCmwdlo/view?usp=drive_link")</f>
        <v>https://drive.google.com/file/d/1dgP6RkU5LiMOhjTQbSXzbzsXMgCmwdlo/view?usp=drive_link</v>
      </c>
      <c r="R235" s="295" t="str">
        <f>IFERROR(__xludf.DUMMYFUNCTION("IFERROR(
  INDEX(
    FILTER(
      IMPORTRANGE(""1kOrIKZmJfNUkgOVP3sI9BPjaaPA0_a4636oymQxTXg8"",""Form Responses 1!M:M""),
      TRIM(IMPORTRANGE(""1kOrIKZmJfNUkgOVP3sI9BPjaaPA0_a4636oymQxTXg8"",""Form Responses 1!F:F""))=TRIM($B235)
    ),
    1
  ),
  "&amp;"""Not Found""
)
"),"https://drive.google.com/file/d/1kPePF49fUR_BWTaiEzn_EzirQt73xKO6/view")</f>
        <v>https://drive.google.com/file/d/1kPePF49fUR_BWTaiEzn_EzirQt73xKO6/view</v>
      </c>
      <c r="S235" s="285"/>
      <c r="T235" s="290" t="str">
        <f>VLOOKUP($B235,'Master Tracker'!D:E,2,false)</f>
        <v>https://drive.google.com/open?id=1Xpy9ahnNry9iYtN39fHlgrM10sX9OfvD</v>
      </c>
      <c r="U235" s="291" t="str">
        <f>VLOOKUP($B235,'Master Tracker'!$D:$T,4,FALSE)
</f>
        <v>https://drive.google.com/open?id=1ItZXDwQyWJAx7VMXpYEoaO09BY9sNC7J</v>
      </c>
      <c r="V235" s="290" t="str">
        <f>VLOOKUP($B235,'Master Tracker'!$D:$T,5,false)</f>
        <v>https://drive.google.com/open?id=1Zp-t6WFjmcXlP7NRgwxU4VTofucKjbLl</v>
      </c>
      <c r="W235" s="291" t="str">
        <f>VLOOKUP($B235,'Master Tracker'!$D:$T,7,false)</f>
        <v>https://drive.google.com/open?id=1Ilu38FDJuvcOPxPK6Mb2ZFYkhdNFErw3</v>
      </c>
      <c r="X235" s="290" t="str">
        <f>VLOOKUP($B235,'Master Tracker'!$D:$T,8,false)</f>
        <v>https://drive.google.com/open?id=1EPgdI6JPanFpdJ5uOhFTBwDljRpT0q_k</v>
      </c>
      <c r="Y235" s="291" t="str">
        <f>VLOOKUP($B235,'Master Tracker'!$D:$T,10,false)</f>
        <v>https://drive.google.com/open?id=1O0hyNSJWXLFrx3WBbQpsBVdejVXuHuOA</v>
      </c>
      <c r="Z235" s="284" t="str">
        <f>VLOOKUP($B235,'Master Tracker'!$D:$T,11,false)</f>
        <v>Not Found</v>
      </c>
      <c r="AA235" s="292" t="str">
        <f>VLOOKUP($B235,'Master Tracker'!$D:$T,13,false)</f>
        <v>Not Found</v>
      </c>
      <c r="AB235" s="284" t="str">
        <f>VLOOKUP($B235,'Master Tracker'!$D:$T,14,false)</f>
        <v>Not Found</v>
      </c>
      <c r="AC235" s="292" t="str">
        <f>VLOOKUP($B235,'Master Tracker'!$D:$T,16,false)</f>
        <v>Not Found</v>
      </c>
      <c r="AD235" s="292" t="str">
        <f>VLOOKUP($B235,'Master Tracker'!$D:$T,17,false)</f>
        <v>Not Found</v>
      </c>
      <c r="AE235" s="292" t="str">
        <f>VLOOKUP($B235,'Master Tracker'!$D:$V,19,false)</f>
        <v>Not Found</v>
      </c>
      <c r="AF235" s="292">
        <f>IFERROR(__xludf.DUMMYFUNCTION("IFERROR(
  INDEX(
    FILTER(
      'Juma Recording forms'!$G:$G,
      TRIM('Juma Recording forms'!$F:$F) = TRIM($B235),
      'Juma Recording forms'!$AA:$AA = 1
    ),
    1
  ),
  ""Not Found""
)"),147.0)</f>
        <v>147</v>
      </c>
      <c r="AG235" s="292">
        <f>IFERROR(__xludf.DUMMYFUNCTION("IFERROR(
  INDEX(
    FILTER(
      'Juma Recording forms'!$G:$G,
      TRIM('Juma Recording forms'!$F:$F) = TRIM($B235),
      'Juma Recording forms'!$AA:$AA = 2
    ),
    1
  ),
  ""Not Found""
)"),152.0)</f>
        <v>152</v>
      </c>
      <c r="AH235" s="292">
        <f>IFERROR(__xludf.DUMMYFUNCTION("IFERROR(
  INDEX(
    FILTER(
      'Juma Recording forms'!$G:$G,
      TRIM('Juma Recording forms'!$F:$F) = TRIM($B235),
      'Juma Recording forms'!$AA:$AA = 3
    ),
    1
  ),
  ""Not Found""
)"),145.0)</f>
        <v>145</v>
      </c>
      <c r="AI235" s="292" t="str">
        <f>IFERROR(__xludf.DUMMYFUNCTION("IFERROR(
  INDEX(
    FILTER(
      'Juma Recording forms'!$G:$G,
      TRIM('Juma Recording forms'!$F:$F) = TRIM($B235),
      'Juma Recording forms'!$AA:$AA = 4
    ),
    1
  ),
  ""Not Found""
)"),"Not Found")</f>
        <v>Not Found</v>
      </c>
      <c r="AJ235" s="292" t="str">
        <f>IFERROR(__xludf.DUMMYFUNCTION("IFERROR(
  INDEX(
    FILTER(
      'Juma Recording forms'!$G:$G,
      TRIM('Juma Recording forms'!$F:$F) = TRIM($B235),
      'Juma Recording forms'!$AA:$AA = 5
    ),
    1
  ),
  ""Not Found""
)"),"Not Found")</f>
        <v>Not Found</v>
      </c>
      <c r="AK235" s="292" t="str">
        <f>IFERROR(__xludf.DUMMYFUNCTION("IFERROR(
  INDEX(
    FILTER(
      'Juma Recording forms'!$G:$G,
      TRIM('Juma Recording forms'!$F:$F) = TRIM($B235),
      'Juma Recording forms'!$AA:$AA = 6
    ),
    1
  ),
  ""Not Found""
)"),"Not Found")</f>
        <v>Not Found</v>
      </c>
      <c r="AL2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1!$E:$E"")=$B235) *
        (IMPORTRANGE(""https://docs.google.com/spreadsheets/d/161aHT6vVT3SLneTKD19N5qVWtnj_jIT8CSsOmUVKmaA/e"&amp;"dit?gid=1761053510"",
          ""Haris_Form responses 1!$AQ:$AQ"")=1)
      ),
      1
    ),
    ""0""
  ),
  ""Form not found""
)
"),"10")</f>
        <v>10</v>
      </c>
      <c r="AM2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1!$E:$E"")=$B235) *
        (IMPORTRANGE(""https://docs.google.com/spreadsheets/d/161aHT6vVT3SLneTKD19N5qVWtnj_jIT8CSsOmUVKmaA/e"&amp;"dit?gid=1761053510"",
          ""Haris_Form responses 1!$AQ:$AQ"")=2)
      ),
      1
    ),
    ""0""
  ),
  ""Form not found""
)
"),"10")</f>
        <v>10</v>
      </c>
      <c r="AN2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1!$E:$E"")=$B235) *
        (IMPORTRANGE(""https://docs.google.com/spreadsheets/d/161aHT6vVT3SLneTKD19N5qVWtnj_jIT8CSsOmUVKmaA/e"&amp;"dit?gid=1761053510"",
          ""Haris_Form responses 1!$AQ:$AQ"")=3)
      ),
      1
    ),
    ""0""
  ),
  ""Form not found""
)
"),"0")</f>
        <v>0</v>
      </c>
      <c r="AO2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1!$E:$E"")=$B235) *
        (IMPORTRANGE(""https://docs.google.com/spreadsheets/d/161aHT6vVT3SLneTKD19N5qVWtnj_jIT8CSsOmUVKmaA/e"&amp;"dit?gid=1761053510"",
          ""Haris_Form responses 1!$AQ:$AQ"")=4)
      ),
      1
    ),
    ""0""
  ),
  ""Form not found""
)
"),"Form not found")</f>
        <v>Form not found</v>
      </c>
      <c r="AP2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1!$E:$E"")=$B235) *
        (IMPORTRANGE(""https://docs.google.com/spreadsheets/d/161aHT6vVT3SLneTKD19N5qVWtnj_jIT8CSsOmUVKmaA/e"&amp;"dit?gid=1761053510"",
          ""Haris_Form responses 1!$AQ:$AQ"")=5)
      ),
      1
    ),
    ""0""
  ),
  ""Form not found""
)
"),"Form not found")</f>
        <v>Form not found</v>
      </c>
      <c r="AQ23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1!$E:$E"")=$B235) *
        (IMPORTRANGE(""https://docs.google.com/spreadsheets/d/161aHT6vVT3SLneTKD19N5qVWtnj_jIT8CSsOmUVKmaA/e"&amp;"dit?gid=1761053510"",
          ""Haris_Form responses 1!$AQ:$AQ"")=6)
      ),
      1
    ),
    ""0""
  ),
  ""Form not found""
)
"),"Form not found")</f>
        <v>Form not found</v>
      </c>
      <c r="AR2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1!$E:$E"")=$B235) *
        (IMPORTRANGE(""https://docs.google.com/spreadsheets/d/161aHT6vVT3SLneTKD19N5qVWtnj_jIT8CSsOmUVKmaA/e"&amp;"dit?gid=1761053510"",
          ""Haris_Form responses 1!$AQ:$AQ"")=1)
      ),
      1
    ),
    ""0""
  ),
  ""Form not found""
)
"),"0")</f>
        <v>0</v>
      </c>
      <c r="AS2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1!$E:$E"")=$B235) *
        (IMPORTRANGE(""https://docs.google.com/spreadsheets/d/161aHT6vVT3SLneTKD19N5qVWtnj_jIT8CSsOmUVKmaA/e"&amp;"dit?gid=1761053510"",
          ""Haris_Form responses 1!$AQ:$AQ"")=2)
      ),
      1
    ),
    ""0""
  ),
  ""Form not found""
)
"),"0")</f>
        <v>0</v>
      </c>
      <c r="AT2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1!$E:$E"")=$B235) *
        (IMPORTRANGE(""https://docs.google.com/spreadsheets/d/161aHT6vVT3SLneTKD19N5qVWtnj_jIT8CSsOmUVKmaA/e"&amp;"dit?gid=1761053510"",
          ""Haris_Form responses 1!$AQ:$AQ"")=3)
      ),
      1
    ),
    ""0""
  ),
  ""Form not found""
)
"),"0")</f>
        <v>0</v>
      </c>
      <c r="AU2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1!$E:$E"")=$B235) *
        (IMPORTRANGE(""https://docs.google.com/spreadsheets/d/161aHT6vVT3SLneTKD19N5qVWtnj_jIT8CSsOmUVKmaA/e"&amp;"dit?gid=1761053510"",
          ""Haris_Form responses 1!$AQ:$AQ"")=4)
      ),
      1
    ),
    ""0""
  ),
  ""Form not found""
)
"),"Form not found")</f>
        <v>Form not found</v>
      </c>
      <c r="AV2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1!$E:$E"")=$B235) *
        (IMPORTRANGE(""https://docs.google.com/spreadsheets/d/161aHT6vVT3SLneTKD19N5qVWtnj_jIT8CSsOmUVKmaA/e"&amp;"dit?gid=1761053510"",
          ""Haris_Form responses 1!$AQ:$AQ"")=5)
      ),
      1
    ),
    ""0""
  ),
  ""Form not found""
)
"),"Form not found")</f>
        <v>Form not found</v>
      </c>
      <c r="AW23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1!$E:$E"")=$B235) *
        (IMPORTRANGE(""https://docs.google.com/spreadsheets/d/161aHT6vVT3SLneTKD19N5qVWtnj_jIT8CSsOmUVKmaA/e"&amp;"dit?gid=1761053510"",
          ""Haris_Form responses 1!$AQ:$AQ"")=6)
      ),
      1
    ),
    ""0""
  ),
  ""Form not found""
)
"),"Form not found")</f>
        <v>Form not found</v>
      </c>
      <c r="AX2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1!$E:$E"")=$B235) *
        (IMPORTRANGE(""https://docs.google.com/spreadsheets/d/161aHT6vVT3SLneTKD19N5qVWtnj_jIT8CSsOmUVKmaA/e"&amp;"dit?gid=1761053510"",
          ""Haris_Form responses 1!$AQ:$AQ"")=1)
      ),
      1
    ),
    ""0""
  ),
  ""Form not found""
)
"),"10")</f>
        <v>10</v>
      </c>
      <c r="AY2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1!$E:$E"")=$B235) *
        (IMPORTRANGE(""https://docs.google.com/spreadsheets/d/161aHT6vVT3SLneTKD19N5qVWtnj_jIT8CSsOmUVKmaA/e"&amp;"dit?gid=1761053510"",
          ""Haris_Form responses 1!$AQ:$AQ"")=2)
      ),
      1
    ),
    ""0""
  ),
  ""Form not found""
)
"),"10")</f>
        <v>10</v>
      </c>
      <c r="AZ2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1!$E:$E"")=$B235) *
        (IMPORTRANGE(""https://docs.google.com/spreadsheets/d/161aHT6vVT3SLneTKD19N5qVWtnj_jIT8CSsOmUVKmaA/e"&amp;"dit?gid=1761053510"",
          ""Haris_Form responses 1!$AQ:$AQ"")=3)
      ),
      1
    ),
    ""0""
  ),
  ""Form not found""
)
"),"0")</f>
        <v>0</v>
      </c>
      <c r="BA2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1!$E:$E"")=$B235) *
        (IMPORTRANGE(""https://docs.google.com/spreadsheets/d/161aHT6vVT3SLneTKD19N5qVWtnj_jIT8CSsOmUVKmaA/e"&amp;"dit?gid=1761053510"",
          ""Haris_Form responses 1!$AQ:$AQ"")=4)
      ),
      1
    ),
    ""0""
  ),
  ""Form not found""
)
"),"Form not found")</f>
        <v>Form not found</v>
      </c>
      <c r="BB2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1!$E:$E"")=$B235) *
        (IMPORTRANGE(""https://docs.google.com/spreadsheets/d/161aHT6vVT3SLneTKD19N5qVWtnj_jIT8CSsOmUVKmaA/e"&amp;"dit?gid=1761053510"",
          ""Haris_Form responses 1!$AQ:$AQ"")=5)
      ),
      1
    ),
    ""0""
  ),
  ""Form not found""
)
"),"Form not found")</f>
        <v>Form not found</v>
      </c>
      <c r="BC23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1!$E:$E"")=$B235) *
        (IMPORTRANGE(""https://docs.google.com/spreadsheets/d/161aHT6vVT3SLneTKD19N5qVWtnj_jIT8CSsOmUVKmaA/e"&amp;"dit?gid=1761053510"",
          ""Haris_Form responses 1!$AQ:$AQ"")=6)
      ),
      1
    ),
    ""0""
  ),
  ""Form not found""
)
"),"Form not found")</f>
        <v>Form not found</v>
      </c>
      <c r="BD235" s="293"/>
    </row>
    <row r="236">
      <c r="A236" s="283" t="str">
        <f>IFERROR(__xludf.DUMMYFUNCTION("VLOOKUP($B236,IMPORTRANGE(""https://docs.google.com/spreadsheets/d/1VNXDITjs75AcgdBSW27oL1VZH31udDprJSsBcE5xlp4/edit?gid=1551188038#gid=1551188038"", ""Sheet9!$B:$E""),2,false)"),"Faisalabad")</f>
        <v>Faisalabad</v>
      </c>
      <c r="B236" s="283" t="s">
        <v>3909</v>
      </c>
      <c r="C236" s="284" t="str">
        <f>IFERROR(__xludf.DUMMYFUNCTION("VLOOKUP(TRIM($B236), IMPORTRANGE(""https://docs.google.com/spreadsheets/d/1aSOrU4PTpuBZqfitKaH1Rfww6-YOiNCKoBpPl8XBHaw/edit?gid=0#gid=0"", ""sheet3!$B:$C""), 2, FALSE)
"),"Jamia Masjid Kalah Kachari Bazar Faisalabad")</f>
        <v>Jamia Masjid Kalah Kachari Bazar Faisalabad</v>
      </c>
      <c r="D236" s="284" t="str">
        <f>IFERROR(__xludf.DUMMYFUNCTION("IFERROR(
  INDEX(
    FILTER(
      IMPORTRANGE(""1aSOrU4PTpuBZqfitKaH1Rfww6-YOiNCKoBpPl8XBHaw/edit?gid=0#gid=0"",""Sheet1!G:G""),
      IMPORTRANGE(""1aSOrU4PTpuBZqfitKaH1Rfww6-YOiNCKoBpPl8XBHaw/edit?gid=0#gid=0"",""Sheet1!C:C"")=$B236
    ),
    1
  ),
"&amp;"  ""Not Found""
)"),"Control")</f>
        <v>Control</v>
      </c>
      <c r="E236" s="284" t="str">
        <f>VLOOKUP(B236,'Juma Recording forms'!A:E,5,false)</f>
        <v>جامع مسجد فیصل آباد (کچہری بازار)</v>
      </c>
      <c r="F236" s="284" t="str">
        <f>IFERROR(__xludf.DUMMYFUNCTION("IFERROR(
  INDEX(
    FILTER(
      IMPORTRANGE(""1Cxrhp3-_-HS7v9uuqQliiIfrmMP4VaFoDNDWyUFy2J8/edit?gid=0#gid=0"",""Sheet1!Q:Q""),
      IMPORTRANGE(""1Cxrhp3-_-HS7v9uuqQliiIfrmMP4VaFoDNDWyUFy2J8/edit?gid=0#gid=0"",""Sheet1!K:K"")=$B236
    ),
    1
  ),
"&amp;"  ""Not Found""
)"),"Molana zia madni")</f>
        <v>Molana zia madni</v>
      </c>
      <c r="G236" s="284">
        <v>1908.0</v>
      </c>
      <c r="H236" s="284"/>
      <c r="I236" s="285" t="s">
        <v>197</v>
      </c>
      <c r="J236" s="286">
        <v>2.0</v>
      </c>
      <c r="K236" s="287" t="str">
        <f>VLOOKUP($B236,'Mosque Locations'!$A:$E,3,FALSE)
</f>
        <v>https://www.google.com/maps?q=31.4198774,73.0796151</v>
      </c>
      <c r="L236" s="286">
        <f>VLOOKUP($B236,'Mosque Locations'!$A:$E,4,FALSE)
</f>
        <v>31.41988</v>
      </c>
      <c r="M236" s="286">
        <f>VLOOKUP($B236,'Mosque Locations'!$A:$E,5,false)</f>
        <v>73.07962</v>
      </c>
      <c r="N236" s="288"/>
      <c r="O236" s="288"/>
      <c r="P236" s="288"/>
      <c r="Q236" s="295" t="str">
        <f>IFERROR(__xludf.DUMMYFUNCTION("IFERROR(
  INDEX(
    FILTER(
      IMPORTRANGE(""1kOrIKZmJfNUkgOVP3sI9BPjaaPA0_a4636oymQxTXg8"",""Form Responses 1!N:N""),
      TRIM(IMPORTRANGE(""1kOrIKZmJfNUkgOVP3sI9BPjaaPA0_a4636oymQxTXg8"",""Form Responses 1!F:F""))=TRIM($B236)
    ),
    1
  ),
  "&amp;"""Not Found""
)
"),"https://drive.google.com/file/d/1oi_NVEweB6M1PmPpepU21MjFFRwMQl5Y/view?usp=drive_link")</f>
        <v>https://drive.google.com/file/d/1oi_NVEweB6M1PmPpepU21MjFFRwMQl5Y/view?usp=drive_link</v>
      </c>
      <c r="R236" s="295" t="str">
        <f>IFERROR(__xludf.DUMMYFUNCTION("IFERROR(
  INDEX(
    FILTER(
      IMPORTRANGE(""1kOrIKZmJfNUkgOVP3sI9BPjaaPA0_a4636oymQxTXg8"",""Form Responses 1!M:M""),
      TRIM(IMPORTRANGE(""1kOrIKZmJfNUkgOVP3sI9BPjaaPA0_a4636oymQxTXg8"",""Form Responses 1!F:F""))=TRIM($B236)
    ),
    1
  ),
  "&amp;"""Not Found""
)
"),"https://drive.google.com/file/d/1MXigfX_RVNITP06cpZB17ozbnP1vGi2w/view?usp=drive_link")</f>
        <v>https://drive.google.com/file/d/1MXigfX_RVNITP06cpZB17ozbnP1vGi2w/view?usp=drive_link</v>
      </c>
      <c r="S236" s="285"/>
      <c r="T236" s="290" t="str">
        <f>VLOOKUP($B236,'Master Tracker'!D:E,2,false)</f>
        <v>https://drive.google.com/open?id=145i-Ix-yiAnHgk4d2m329yGIRhQbOcth</v>
      </c>
      <c r="U236" s="291" t="str">
        <f>VLOOKUP($B236,'Master Tracker'!$D:$T,4,FALSE)
</f>
        <v>https://drive.google.com/open?id=1bDDGx3y_LRzQBhnSzsRijr58C9MkGej4xuxV2ux7ldU</v>
      </c>
      <c r="V236" s="284" t="str">
        <f>VLOOKUP($B236,'Master Tracker'!$D:$T,5,false)</f>
        <v>Not Found</v>
      </c>
      <c r="W236" s="292" t="str">
        <f>VLOOKUP($B236,'Master Tracker'!$D:$T,7,false)</f>
        <v/>
      </c>
      <c r="X236" s="290" t="str">
        <f>VLOOKUP($B236,'Master Tracker'!$D:$T,8,false)</f>
        <v>https://drive.google.com/open?id=1jExpUkJLnVh_6qRanqCQi6HUkRlMglJm</v>
      </c>
      <c r="Y236" s="291" t="str">
        <f>VLOOKUP($B236,'Master Tracker'!$D:$T,10,false)</f>
        <v>https://drive.google.com/open?id=10wZQGsxFMGwv3d8BI3SiW-EIA6PUqgjk</v>
      </c>
      <c r="Z236" s="284" t="str">
        <f>VLOOKUP($B236,'Master Tracker'!$D:$T,11,false)</f>
        <v>Not Found</v>
      </c>
      <c r="AA236" s="292" t="str">
        <f>VLOOKUP($B236,'Master Tracker'!$D:$T,13,false)</f>
        <v>Not Found</v>
      </c>
      <c r="AB236" s="284" t="str">
        <f>VLOOKUP($B236,'Master Tracker'!$D:$T,14,false)</f>
        <v>Not Found</v>
      </c>
      <c r="AC236" s="292" t="str">
        <f>VLOOKUP($B236,'Master Tracker'!$D:$T,16,false)</f>
        <v>Not Found</v>
      </c>
      <c r="AD236" s="292" t="str">
        <f>VLOOKUP($B236,'Master Tracker'!$D:$T,17,false)</f>
        <v>Not Found</v>
      </c>
      <c r="AE236" s="292" t="str">
        <f>VLOOKUP($B236,'Master Tracker'!$D:$V,19,false)</f>
        <v>Not Found</v>
      </c>
      <c r="AF236" s="292">
        <f>IFERROR(__xludf.DUMMYFUNCTION("IFERROR(
  INDEX(
    FILTER(
      'Juma Recording forms'!$G:$G,
      TRIM('Juma Recording forms'!$F:$F) = TRIM($B236),
      'Juma Recording forms'!$AA:$AA = 1
    ),
    1
  ),
  ""Not Found""
)"),153.0)</f>
        <v>153</v>
      </c>
      <c r="AG236" s="292" t="str">
        <f>IFERROR(__xludf.DUMMYFUNCTION("IFERROR(
  INDEX(
    FILTER(
      'Juma Recording forms'!$G:$G,
      TRIM('Juma Recording forms'!$F:$F) = TRIM($B236),
      'Juma Recording forms'!$AA:$AA = 2
    ),
    1
  ),
  ""Not Found""
)"),"Not Found")</f>
        <v>Not Found</v>
      </c>
      <c r="AH236" s="292">
        <f>IFERROR(__xludf.DUMMYFUNCTION("IFERROR(
  INDEX(
    FILTER(
      'Juma Recording forms'!$G:$G,
      TRIM('Juma Recording forms'!$F:$F) = TRIM($B236),
      'Juma Recording forms'!$AA:$AA = 3
    ),
    1
  ),
  ""Not Found""
)"),346.0)</f>
        <v>346</v>
      </c>
      <c r="AI236" s="292" t="str">
        <f>IFERROR(__xludf.DUMMYFUNCTION("IFERROR(
  INDEX(
    FILTER(
      'Juma Recording forms'!$G:$G,
      TRIM('Juma Recording forms'!$F:$F) = TRIM($B236),
      'Juma Recording forms'!$AA:$AA = 4
    ),
    1
  ),
  ""Not Found""
)"),"Not Found")</f>
        <v>Not Found</v>
      </c>
      <c r="AJ236" s="292" t="str">
        <f>IFERROR(__xludf.DUMMYFUNCTION("IFERROR(
  INDEX(
    FILTER(
      'Juma Recording forms'!$G:$G,
      TRIM('Juma Recording forms'!$F:$F) = TRIM($B236),
      'Juma Recording forms'!$AA:$AA = 5
    ),
    1
  ),
  ""Not Found""
)"),"Not Found")</f>
        <v>Not Found</v>
      </c>
      <c r="AK236" s="292" t="str">
        <f>IFERROR(__xludf.DUMMYFUNCTION("IFERROR(
  INDEX(
    FILTER(
      'Juma Recording forms'!$G:$G,
      TRIM('Juma Recording forms'!$F:$F) = TRIM($B236),
      'Juma Recording forms'!$AA:$AA = 6
    ),
    1
  ),
  ""Not Found""
)"),"Not Found")</f>
        <v>Not Found</v>
      </c>
      <c r="AL2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1!$E:$E"")=$B236) *
        (IMPORTRANGE(""https://docs.google.com/spreadsheets/d/161aHT6vVT3SLneTKD19N5qVWtnj_jIT8CSsOmUVKmaA/e"&amp;"dit?gid=1761053510"",
          ""Haris_Form responses 1!$AQ:$AQ"")=1)
      ),
      1
    ),
    ""0""
  ),
  ""Form not found""
)
"),"0")</f>
        <v>0</v>
      </c>
      <c r="AM2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1!$E:$E"")=$B236) *
        (IMPORTRANGE(""https://docs.google.com/spreadsheets/d/161aHT6vVT3SLneTKD19N5qVWtnj_jIT8CSsOmUVKmaA/e"&amp;"dit?gid=1761053510"",
          ""Haris_Form responses 1!$AQ:$AQ"")=2)
      ),
      1
    ),
    ""0""
  ),
  ""Form not found""
)
"),"Form not found")</f>
        <v>Form not found</v>
      </c>
      <c r="AN2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1!$E:$E"")=$B236) *
        (IMPORTRANGE(""https://docs.google.com/spreadsheets/d/161aHT6vVT3SLneTKD19N5qVWtnj_jIT8CSsOmUVKmaA/e"&amp;"dit?gid=1761053510"",
          ""Haris_Form responses 1!$AQ:$AQ"")=3)
      ),
      1
    ),
    ""0""
  ),
  ""Form not found""
)
"),"0")</f>
        <v>0</v>
      </c>
      <c r="AO2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1!$E:$E"")=$B236) *
        (IMPORTRANGE(""https://docs.google.com/spreadsheets/d/161aHT6vVT3SLneTKD19N5qVWtnj_jIT8CSsOmUVKmaA/e"&amp;"dit?gid=1761053510"",
          ""Haris_Form responses 1!$AQ:$AQ"")=4)
      ),
      1
    ),
    ""0""
  ),
  ""Form not found""
)
"),"Form not found")</f>
        <v>Form not found</v>
      </c>
      <c r="AP2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1!$E:$E"")=$B236) *
        (IMPORTRANGE(""https://docs.google.com/spreadsheets/d/161aHT6vVT3SLneTKD19N5qVWtnj_jIT8CSsOmUVKmaA/e"&amp;"dit?gid=1761053510"",
          ""Haris_Form responses 1!$AQ:$AQ"")=5)
      ),
      1
    ),
    ""0""
  ),
  ""Form not found""
)
"),"Form not found")</f>
        <v>Form not found</v>
      </c>
      <c r="AQ23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1!$E:$E"")=$B236) *
        (IMPORTRANGE(""https://docs.google.com/spreadsheets/d/161aHT6vVT3SLneTKD19N5qVWtnj_jIT8CSsOmUVKmaA/e"&amp;"dit?gid=1761053510"",
          ""Haris_Form responses 1!$AQ:$AQ"")=6)
      ),
      1
    ),
    ""0""
  ),
  ""Form not found""
)
"),"Form not found")</f>
        <v>Form not found</v>
      </c>
      <c r="AR2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1!$E:$E"")=$B236) *
        (IMPORTRANGE(""https://docs.google.com/spreadsheets/d/161aHT6vVT3SLneTKD19N5qVWtnj_jIT8CSsOmUVKmaA/e"&amp;"dit?gid=1761053510"",
          ""Haris_Form responses 1!$AQ:$AQ"")=1)
      ),
      1
    ),
    ""0""
  ),
  ""Form not found""
)
"),"0")</f>
        <v>0</v>
      </c>
      <c r="AS2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1!$E:$E"")=$B236) *
        (IMPORTRANGE(""https://docs.google.com/spreadsheets/d/161aHT6vVT3SLneTKD19N5qVWtnj_jIT8CSsOmUVKmaA/e"&amp;"dit?gid=1761053510"",
          ""Haris_Form responses 1!$AQ:$AQ"")=2)
      ),
      1
    ),
    ""0""
  ),
  ""Form not found""
)
"),"Form not found")</f>
        <v>Form not found</v>
      </c>
      <c r="AT2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1!$E:$E"")=$B236) *
        (IMPORTRANGE(""https://docs.google.com/spreadsheets/d/161aHT6vVT3SLneTKD19N5qVWtnj_jIT8CSsOmUVKmaA/e"&amp;"dit?gid=1761053510"",
          ""Haris_Form responses 1!$AQ:$AQ"")=3)
      ),
      1
    ),
    ""0""
  ),
  ""Form not found""
)
"),"0")</f>
        <v>0</v>
      </c>
      <c r="AU2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1!$E:$E"")=$B236) *
        (IMPORTRANGE(""https://docs.google.com/spreadsheets/d/161aHT6vVT3SLneTKD19N5qVWtnj_jIT8CSsOmUVKmaA/e"&amp;"dit?gid=1761053510"",
          ""Haris_Form responses 1!$AQ:$AQ"")=4)
      ),
      1
    ),
    ""0""
  ),
  ""Form not found""
)
"),"Form not found")</f>
        <v>Form not found</v>
      </c>
      <c r="AV2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1!$E:$E"")=$B236) *
        (IMPORTRANGE(""https://docs.google.com/spreadsheets/d/161aHT6vVT3SLneTKD19N5qVWtnj_jIT8CSsOmUVKmaA/e"&amp;"dit?gid=1761053510"",
          ""Haris_Form responses 1!$AQ:$AQ"")=5)
      ),
      1
    ),
    ""0""
  ),
  ""Form not found""
)
"),"Form not found")</f>
        <v>Form not found</v>
      </c>
      <c r="AW23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1!$E:$E"")=$B236) *
        (IMPORTRANGE(""https://docs.google.com/spreadsheets/d/161aHT6vVT3SLneTKD19N5qVWtnj_jIT8CSsOmUVKmaA/e"&amp;"dit?gid=1761053510"",
          ""Haris_Form responses 1!$AQ:$AQ"")=6)
      ),
      1
    ),
    ""0""
  ),
  ""Form not found""
)
"),"Form not found")</f>
        <v>Form not found</v>
      </c>
      <c r="AX2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1!$E:$E"")=$B236) *
        (IMPORTRANGE(""https://docs.google.com/spreadsheets/d/161aHT6vVT3SLneTKD19N5qVWtnj_jIT8CSsOmUVKmaA/e"&amp;"dit?gid=1761053510"",
          ""Haris_Form responses 1!$AQ:$AQ"")=1)
      ),
      1
    ),
    ""0""
  ),
  ""Form not found""
)
"),"0")</f>
        <v>0</v>
      </c>
      <c r="AY2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1!$E:$E"")=$B236) *
        (IMPORTRANGE(""https://docs.google.com/spreadsheets/d/161aHT6vVT3SLneTKD19N5qVWtnj_jIT8CSsOmUVKmaA/e"&amp;"dit?gid=1761053510"",
          ""Haris_Form responses 1!$AQ:$AQ"")=2)
      ),
      1
    ),
    ""0""
  ),
  ""Form not found""
)
"),"Form not found")</f>
        <v>Form not found</v>
      </c>
      <c r="AZ2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1!$E:$E"")=$B236) *
        (IMPORTRANGE(""https://docs.google.com/spreadsheets/d/161aHT6vVT3SLneTKD19N5qVWtnj_jIT8CSsOmUVKmaA/e"&amp;"dit?gid=1761053510"",
          ""Haris_Form responses 1!$AQ:$AQ"")=3)
      ),
      1
    ),
    ""0""
  ),
  ""Form not found""
)
"),"0")</f>
        <v>0</v>
      </c>
      <c r="BA2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1!$E:$E"")=$B236) *
        (IMPORTRANGE(""https://docs.google.com/spreadsheets/d/161aHT6vVT3SLneTKD19N5qVWtnj_jIT8CSsOmUVKmaA/e"&amp;"dit?gid=1761053510"",
          ""Haris_Form responses 1!$AQ:$AQ"")=4)
      ),
      1
    ),
    ""0""
  ),
  ""Form not found""
)
"),"Form not found")</f>
        <v>Form not found</v>
      </c>
      <c r="BB2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1!$E:$E"")=$B236) *
        (IMPORTRANGE(""https://docs.google.com/spreadsheets/d/161aHT6vVT3SLneTKD19N5qVWtnj_jIT8CSsOmUVKmaA/e"&amp;"dit?gid=1761053510"",
          ""Haris_Form responses 1!$AQ:$AQ"")=5)
      ),
      1
    ),
    ""0""
  ),
  ""Form not found""
)
"),"Form not found")</f>
        <v>Form not found</v>
      </c>
      <c r="BC23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1!$E:$E"")=$B236) *
        (IMPORTRANGE(""https://docs.google.com/spreadsheets/d/161aHT6vVT3SLneTKD19N5qVWtnj_jIT8CSsOmUVKmaA/e"&amp;"dit?gid=1761053510"",
          ""Haris_Form responses 1!$AQ:$AQ"")=6)
      ),
      1
    ),
    ""0""
  ),
  ""Form not found""
)
"),"Form not found")</f>
        <v>Form not found</v>
      </c>
      <c r="BD236" s="293"/>
    </row>
    <row r="237">
      <c r="A237" s="283" t="str">
        <f>IFERROR(__xludf.DUMMYFUNCTION("VLOOKUP($B237,IMPORTRANGE(""https://docs.google.com/spreadsheets/d/1VNXDITjs75AcgdBSW27oL1VZH31udDprJSsBcE5xlp4/edit?gid=1551188038#gid=1551188038"", ""Sheet9!$B:$E""),2,false)"),"Faisalabad")</f>
        <v>Faisalabad</v>
      </c>
      <c r="B237" s="283" t="s">
        <v>4076</v>
      </c>
      <c r="C237" s="284" t="str">
        <f>IFERROR(__xludf.DUMMYFUNCTION("VLOOKUP(TRIM($B237), IMPORTRANGE(""https://docs.google.com/spreadsheets/d/1aSOrU4PTpuBZqfitKaH1Rfww6-YOiNCKoBpPl8XBHaw/edit?gid=0#gid=0"", ""sheet3!$B:$C""), 2, FALSE)
"),"Jamia Masjid Gool Karyana Karkhana Bazar Faisalabad")</f>
        <v>Jamia Masjid Gool Karyana Karkhana Bazar Faisalabad</v>
      </c>
      <c r="D237" s="284" t="str">
        <f>IFERROR(__xludf.DUMMYFUNCTION("IFERROR(
  INDEX(
    FILTER(
      IMPORTRANGE(""1aSOrU4PTpuBZqfitKaH1Rfww6-YOiNCKoBpPl8XBHaw/edit?gid=0#gid=0"",""Sheet1!G:G""),
      IMPORTRANGE(""1aSOrU4PTpuBZqfitKaH1Rfww6-YOiNCKoBpPl8XBHaw/edit?gid=0#gid=0"",""Sheet1!C:C"")=$B237
    ),
    1
  ),
"&amp;"  ""Not Found""
)"),"Control")</f>
        <v>Control</v>
      </c>
      <c r="E237" s="284" t="str">
        <f>VLOOKUP(B237,'Juma Recording forms'!A:E,5,false)</f>
        <v>Jamia Masjid Gole Karyana Karkhana bazar Faisalabad </v>
      </c>
      <c r="F237" s="284" t="str">
        <f>IFERROR(__xludf.DUMMYFUNCTION("IFERROR(
  INDEX(
    FILTER(
      IMPORTRANGE(""1Cxrhp3-_-HS7v9uuqQliiIfrmMP4VaFoDNDWyUFy2J8/edit?gid=0#gid=0"",""Sheet1!Q:Q""),
      IMPORTRANGE(""1Cxrhp3-_-HS7v9uuqQliiIfrmMP4VaFoDNDWyUFy2J8/edit?gid=0#gid=0"",""Sheet1!K:K"")=$B237
    ),
    1
  ),
"&amp;"  ""Not Found""
)"),"Hafiz Muhammed yousaf")</f>
        <v>Hafiz Muhammed yousaf</v>
      </c>
      <c r="G237" s="292">
        <v>1947.0</v>
      </c>
      <c r="H237" s="284"/>
      <c r="I237" s="285" t="s">
        <v>197</v>
      </c>
      <c r="J237" s="286">
        <v>2.0</v>
      </c>
      <c r="K237" s="287" t="str">
        <f>VLOOKUP($B237,'Mosque Locations'!$A:$E,3,FALSE)
</f>
        <v>https://maps.google.com/maps?q=31.4176302%2C73.0809117&amp;z=17&amp;hl=en</v>
      </c>
      <c r="L237" s="286">
        <f>VLOOKUP($B237,'Mosque Locations'!$A:$E,4,FALSE)
</f>
        <v>31.41763</v>
      </c>
      <c r="M237" s="286">
        <f>VLOOKUP($B237,'Mosque Locations'!$A:$E,5,false)</f>
        <v>73.08091</v>
      </c>
      <c r="N237" s="288"/>
      <c r="O237" s="288"/>
      <c r="P237" s="288"/>
      <c r="Q237" s="290" t="str">
        <f>IFERROR(__xludf.DUMMYFUNCTION("IFERROR(
  INDEX(
    FILTER(
      IMPORTRANGE(""1kOrIKZmJfNUkgOVP3sI9BPjaaPA0_a4636oymQxTXg8"",""Form Responses 1!N:N""),
      TRIM(IMPORTRANGE(""1kOrIKZmJfNUkgOVP3sI9BPjaaPA0_a4636oymQxTXg8"",""Form Responses 1!F:F""))=TRIM($B237)
    ),
    1
  ),
  "&amp;"""Not Found""
)
"),"https://drive.google.com/file/d/1xQ08yKbRH1Bgu326SrdfyNJesVG-OxYB/view")</f>
        <v>https://drive.google.com/file/d/1xQ08yKbRH1Bgu326SrdfyNJesVG-OxYB/view</v>
      </c>
      <c r="R237" s="290" t="str">
        <f>IFERROR(__xludf.DUMMYFUNCTION("IFERROR(
  INDEX(
    FILTER(
      IMPORTRANGE(""1kOrIKZmJfNUkgOVP3sI9BPjaaPA0_a4636oymQxTXg8"",""Form Responses 1!M:M""),
      TRIM(IMPORTRANGE(""1kOrIKZmJfNUkgOVP3sI9BPjaaPA0_a4636oymQxTXg8"",""Form Responses 1!F:F""))=TRIM($B237)
    ),
    1
  ),
  "&amp;"""Not Found""
)
"),"https://drive.google.com/file/d/1u9z9tYM7EretSHZJMQPhYAjLbs2xfjrx/view")</f>
        <v>https://drive.google.com/file/d/1u9z9tYM7EretSHZJMQPhYAjLbs2xfjrx/view</v>
      </c>
      <c r="S237" s="285"/>
      <c r="T237" s="290" t="str">
        <f>VLOOKUP($B237,'Master Tracker'!D:E,2,false)</f>
        <v>https://drive.google.com/file/d/1iRk9Nc77EyNwcJuNQH2HBBxLzRAYynVz/view?usp=drive_link</v>
      </c>
      <c r="U237" s="291" t="str">
        <f>VLOOKUP($B237,'Master Tracker'!$D:$T,4,FALSE)
</f>
        <v>https://drive.google.com/open?id=17HeuzFOfgP_brAd3cPdEBiGGOVTOgWTJ_cMwxTOWngM</v>
      </c>
      <c r="V237" s="284" t="str">
        <f>VLOOKUP($B237,'Master Tracker'!$D:$T,5,false)</f>
        <v>Not Found</v>
      </c>
      <c r="W237" s="292" t="str">
        <f>VLOOKUP($B237,'Master Tracker'!$D:$T,7,false)</f>
        <v/>
      </c>
      <c r="X237" s="290" t="str">
        <f>VLOOKUP($B237,'Master Tracker'!$D:$T,8,false)</f>
        <v>https://drive.google.com/open?id=1mz30i3UYButpdhkHMiC7isO0I_q8cXix</v>
      </c>
      <c r="Y237" s="291" t="str">
        <f>VLOOKUP($B237,'Master Tracker'!$D:$T,10,false)</f>
        <v>https://drive.google.com/open?id=1U5lmkNQQqP-qSWCVODj3B2vOTmHPtPj_</v>
      </c>
      <c r="Z237" s="284" t="str">
        <f>VLOOKUP($B237,'Master Tracker'!$D:$T,11,false)</f>
        <v>Not Found</v>
      </c>
      <c r="AA237" s="292" t="str">
        <f>VLOOKUP($B237,'Master Tracker'!$D:$T,13,false)</f>
        <v>Not Found</v>
      </c>
      <c r="AB237" s="284" t="str">
        <f>VLOOKUP($B237,'Master Tracker'!$D:$T,14,false)</f>
        <v>Not Found</v>
      </c>
      <c r="AC237" s="292" t="str">
        <f>VLOOKUP($B237,'Master Tracker'!$D:$T,16,false)</f>
        <v>Not Found</v>
      </c>
      <c r="AD237" s="292" t="str">
        <f>VLOOKUP($B237,'Master Tracker'!$D:$T,17,false)</f>
        <v>Not Found</v>
      </c>
      <c r="AE237" s="292" t="str">
        <f>VLOOKUP($B237,'Master Tracker'!$D:$V,19,false)</f>
        <v>Not Found</v>
      </c>
      <c r="AF237" s="292">
        <f>IFERROR(__xludf.DUMMYFUNCTION("IFERROR(
  INDEX(
    FILTER(
      'Juma Recording forms'!$G:$G,
      TRIM('Juma Recording forms'!$F:$F) = TRIM($B237),
      'Juma Recording forms'!$AA:$AA = 1
    ),
    1
  ),
  ""Not Found""
)"),331.0)</f>
        <v>331</v>
      </c>
      <c r="AG237" s="292" t="str">
        <f>IFERROR(__xludf.DUMMYFUNCTION("IFERROR(
  INDEX(
    FILTER(
      'Juma Recording forms'!$G:$G,
      TRIM('Juma Recording forms'!$F:$F) = TRIM($B237),
      'Juma Recording forms'!$AA:$AA = 2
    ),
    1
  ),
  ""Not Found""
)"),"Not Found")</f>
        <v>Not Found</v>
      </c>
      <c r="AH237" s="292">
        <f>IFERROR(__xludf.DUMMYFUNCTION("IFERROR(
  INDEX(
    FILTER(
      'Juma Recording forms'!$G:$G,
      TRIM('Juma Recording forms'!$F:$F) = TRIM($B237),
      'Juma Recording forms'!$AA:$AA = 3
    ),
    1
  ),
  ""Not Found""
)"),335.0)</f>
        <v>335</v>
      </c>
      <c r="AI237" s="292" t="str">
        <f>IFERROR(__xludf.DUMMYFUNCTION("IFERROR(
  INDEX(
    FILTER(
      'Juma Recording forms'!$G:$G,
      TRIM('Juma Recording forms'!$F:$F) = TRIM($B237),
      'Juma Recording forms'!$AA:$AA = 4
    ),
    1
  ),
  ""Not Found""
)"),"Not Found")</f>
        <v>Not Found</v>
      </c>
      <c r="AJ237" s="292" t="str">
        <f>IFERROR(__xludf.DUMMYFUNCTION("IFERROR(
  INDEX(
    FILTER(
      'Juma Recording forms'!$G:$G,
      TRIM('Juma Recording forms'!$F:$F) = TRIM($B237),
      'Juma Recording forms'!$AA:$AA = 5
    ),
    1
  ),
  ""Not Found""
)"),"Not Found")</f>
        <v>Not Found</v>
      </c>
      <c r="AK237" s="292" t="str">
        <f>IFERROR(__xludf.DUMMYFUNCTION("IFERROR(
  INDEX(
    FILTER(
      'Juma Recording forms'!$G:$G,
      TRIM('Juma Recording forms'!$F:$F) = TRIM($B237),
      'Juma Recording forms'!$AA:$AA = 6
    ),
    1
  ),
  ""Not Found""
)"),"Not Found")</f>
        <v>Not Found</v>
      </c>
      <c r="AL2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1!$E:$E"")=$B237) *
        (IMPORTRANGE(""https://docs.google.com/spreadsheets/d/161aHT6vVT3SLneTKD19N5qVWtnj_jIT8CSsOmUVKmaA/e"&amp;"dit?gid=1761053510"",
          ""Haris_Form responses 1!$AQ:$AQ"")=1)
      ),
      1
    ),
    ""0""
  ),
  ""Form not found""
)
"),"0")</f>
        <v>0</v>
      </c>
      <c r="AM2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1!$E:$E"")=$B237) *
        (IMPORTRANGE(""https://docs.google.com/spreadsheets/d/161aHT6vVT3SLneTKD19N5qVWtnj_jIT8CSsOmUVKmaA/e"&amp;"dit?gid=1761053510"",
          ""Haris_Form responses 1!$AQ:$AQ"")=2)
      ),
      1
    ),
    ""0""
  ),
  ""Form not found""
)
"),"Form not found")</f>
        <v>Form not found</v>
      </c>
      <c r="AN2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1!$E:$E"")=$B237) *
        (IMPORTRANGE(""https://docs.google.com/spreadsheets/d/161aHT6vVT3SLneTKD19N5qVWtnj_jIT8CSsOmUVKmaA/e"&amp;"dit?gid=1761053510"",
          ""Haris_Form responses 1!$AQ:$AQ"")=3)
      ),
      1
    ),
    ""0""
  ),
  ""Form not found""
)
"),"0")</f>
        <v>0</v>
      </c>
      <c r="AO2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1!$E:$E"")=$B237) *
        (IMPORTRANGE(""https://docs.google.com/spreadsheets/d/161aHT6vVT3SLneTKD19N5qVWtnj_jIT8CSsOmUVKmaA/e"&amp;"dit?gid=1761053510"",
          ""Haris_Form responses 1!$AQ:$AQ"")=4)
      ),
      1
    ),
    ""0""
  ),
  ""Form not found""
)
"),"Form not found")</f>
        <v>Form not found</v>
      </c>
      <c r="AP2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1!$E:$E"")=$B237) *
        (IMPORTRANGE(""https://docs.google.com/spreadsheets/d/161aHT6vVT3SLneTKD19N5qVWtnj_jIT8CSsOmUVKmaA/e"&amp;"dit?gid=1761053510"",
          ""Haris_Form responses 1!$AQ:$AQ"")=5)
      ),
      1
    ),
    ""0""
  ),
  ""Form not found""
)
"),"Form not found")</f>
        <v>Form not found</v>
      </c>
      <c r="AQ23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1!$E:$E"")=$B237) *
        (IMPORTRANGE(""https://docs.google.com/spreadsheets/d/161aHT6vVT3SLneTKD19N5qVWtnj_jIT8CSsOmUVKmaA/e"&amp;"dit?gid=1761053510"",
          ""Haris_Form responses 1!$AQ:$AQ"")=6)
      ),
      1
    ),
    ""0""
  ),
  ""Form not found""
)
"),"Form not found")</f>
        <v>Form not found</v>
      </c>
      <c r="AR2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1!$E:$E"")=$B237) *
        (IMPORTRANGE(""https://docs.google.com/spreadsheets/d/161aHT6vVT3SLneTKD19N5qVWtnj_jIT8CSsOmUVKmaA/e"&amp;"dit?gid=1761053510"",
          ""Haris_Form responses 1!$AQ:$AQ"")=1)
      ),
      1
    ),
    ""0""
  ),
  ""Form not found""
)
"),"0")</f>
        <v>0</v>
      </c>
      <c r="AS2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1!$E:$E"")=$B237) *
        (IMPORTRANGE(""https://docs.google.com/spreadsheets/d/161aHT6vVT3SLneTKD19N5qVWtnj_jIT8CSsOmUVKmaA/e"&amp;"dit?gid=1761053510"",
          ""Haris_Form responses 1!$AQ:$AQ"")=2)
      ),
      1
    ),
    ""0""
  ),
  ""Form not found""
)
"),"Form not found")</f>
        <v>Form not found</v>
      </c>
      <c r="AT2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1!$E:$E"")=$B237) *
        (IMPORTRANGE(""https://docs.google.com/spreadsheets/d/161aHT6vVT3SLneTKD19N5qVWtnj_jIT8CSsOmUVKmaA/e"&amp;"dit?gid=1761053510"",
          ""Haris_Form responses 1!$AQ:$AQ"")=3)
      ),
      1
    ),
    ""0""
  ),
  ""Form not found""
)
"),"0")</f>
        <v>0</v>
      </c>
      <c r="AU2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1!$E:$E"")=$B237) *
        (IMPORTRANGE(""https://docs.google.com/spreadsheets/d/161aHT6vVT3SLneTKD19N5qVWtnj_jIT8CSsOmUVKmaA/e"&amp;"dit?gid=1761053510"",
          ""Haris_Form responses 1!$AQ:$AQ"")=4)
      ),
      1
    ),
    ""0""
  ),
  ""Form not found""
)
"),"Form not found")</f>
        <v>Form not found</v>
      </c>
      <c r="AV2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1!$E:$E"")=$B237) *
        (IMPORTRANGE(""https://docs.google.com/spreadsheets/d/161aHT6vVT3SLneTKD19N5qVWtnj_jIT8CSsOmUVKmaA/e"&amp;"dit?gid=1761053510"",
          ""Haris_Form responses 1!$AQ:$AQ"")=5)
      ),
      1
    ),
    ""0""
  ),
  ""Form not found""
)
"),"Form not found")</f>
        <v>Form not found</v>
      </c>
      <c r="AW23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1!$E:$E"")=$B237) *
        (IMPORTRANGE(""https://docs.google.com/spreadsheets/d/161aHT6vVT3SLneTKD19N5qVWtnj_jIT8CSsOmUVKmaA/e"&amp;"dit?gid=1761053510"",
          ""Haris_Form responses 1!$AQ:$AQ"")=6)
      ),
      1
    ),
    ""0""
  ),
  ""Form not found""
)
"),"Form not found")</f>
        <v>Form not found</v>
      </c>
      <c r="AX2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1!$E:$E"")=$B237) *
        (IMPORTRANGE(""https://docs.google.com/spreadsheets/d/161aHT6vVT3SLneTKD19N5qVWtnj_jIT8CSsOmUVKmaA/e"&amp;"dit?gid=1761053510"",
          ""Haris_Form responses 1!$AQ:$AQ"")=1)
      ),
      1
    ),
    ""0""
  ),
  ""Form not found""
)
"),"0")</f>
        <v>0</v>
      </c>
      <c r="AY2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1!$E:$E"")=$B237) *
        (IMPORTRANGE(""https://docs.google.com/spreadsheets/d/161aHT6vVT3SLneTKD19N5qVWtnj_jIT8CSsOmUVKmaA/e"&amp;"dit?gid=1761053510"",
          ""Haris_Form responses 1!$AQ:$AQ"")=2)
      ),
      1
    ),
    ""0""
  ),
  ""Form not found""
)
"),"Form not found")</f>
        <v>Form not found</v>
      </c>
      <c r="AZ2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1!$E:$E"")=$B237) *
        (IMPORTRANGE(""https://docs.google.com/spreadsheets/d/161aHT6vVT3SLneTKD19N5qVWtnj_jIT8CSsOmUVKmaA/e"&amp;"dit?gid=1761053510"",
          ""Haris_Form responses 1!$AQ:$AQ"")=3)
      ),
      1
    ),
    ""0""
  ),
  ""Form not found""
)
"),"0")</f>
        <v>0</v>
      </c>
      <c r="BA2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1!$E:$E"")=$B237) *
        (IMPORTRANGE(""https://docs.google.com/spreadsheets/d/161aHT6vVT3SLneTKD19N5qVWtnj_jIT8CSsOmUVKmaA/e"&amp;"dit?gid=1761053510"",
          ""Haris_Form responses 1!$AQ:$AQ"")=4)
      ),
      1
    ),
    ""0""
  ),
  ""Form not found""
)
"),"Form not found")</f>
        <v>Form not found</v>
      </c>
      <c r="BB2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1!$E:$E"")=$B237) *
        (IMPORTRANGE(""https://docs.google.com/spreadsheets/d/161aHT6vVT3SLneTKD19N5qVWtnj_jIT8CSsOmUVKmaA/e"&amp;"dit?gid=1761053510"",
          ""Haris_Form responses 1!$AQ:$AQ"")=5)
      ),
      1
    ),
    ""0""
  ),
  ""Form not found""
)
"),"Form not found")</f>
        <v>Form not found</v>
      </c>
      <c r="BC23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1!$E:$E"")=$B237) *
        (IMPORTRANGE(""https://docs.google.com/spreadsheets/d/161aHT6vVT3SLneTKD19N5qVWtnj_jIT8CSsOmUVKmaA/e"&amp;"dit?gid=1761053510"",
          ""Haris_Form responses 1!$AQ:$AQ"")=6)
      ),
      1
    ),
    ""0""
  ),
  ""Form not found""
)
"),"Form not found")</f>
        <v>Form not found</v>
      </c>
      <c r="BD237" s="293"/>
    </row>
    <row r="238">
      <c r="A238" s="283" t="str">
        <f>IFERROR(__xludf.DUMMYFUNCTION("VLOOKUP($B238,IMPORTRANGE(""https://docs.google.com/spreadsheets/d/1VNXDITjs75AcgdBSW27oL1VZH31udDprJSsBcE5xlp4/edit?gid=1551188038#gid=1551188038"", ""Sheet9!$B:$E""),2,false)"),"Faisalabad")</f>
        <v>Faisalabad</v>
      </c>
      <c r="B238" s="283" t="s">
        <v>3926</v>
      </c>
      <c r="C238" s="284" t="str">
        <f>IFERROR(__xludf.DUMMYFUNCTION("VLOOKUP(TRIM($B238), IMPORTRANGE(""https://docs.google.com/spreadsheets/d/1aSOrU4PTpuBZqfitKaH1Rfww6-YOiNCKoBpPl8XBHaw/edit?gid=0#gid=0"", ""sheet3!$B:$C""), 2, FALSE)
"),"Jamia Masjid Hanfiya Ghazi Abad Faisalabad")</f>
        <v>Jamia Masjid Hanfiya Ghazi Abad Faisalabad</v>
      </c>
      <c r="D238" s="284" t="str">
        <f>IFERROR(__xludf.DUMMYFUNCTION("IFERROR(
  INDEX(
    FILTER(
      IMPORTRANGE(""1aSOrU4PTpuBZqfitKaH1Rfww6-YOiNCKoBpPl8XBHaw/edit?gid=0#gid=0"",""Sheet1!G:G""),
      IMPORTRANGE(""1aSOrU4PTpuBZqfitKaH1Rfww6-YOiNCKoBpPl8XBHaw/edit?gid=0#gid=0"",""Sheet1!C:C"")=$B238
    ),
    1
  ),
"&amp;"  ""Not Found""
)"),"Control")</f>
        <v>Control</v>
      </c>
      <c r="E238" s="284" t="str">
        <f>VLOOKUP(B238,'Juma Recording forms'!A:E,5,false)</f>
        <v>Jamia mashed hanfia gazi abad</v>
      </c>
      <c r="F238" s="284" t="str">
        <f>IFERROR(__xludf.DUMMYFUNCTION("IFERROR(
  INDEX(
    FILTER(
      IMPORTRANGE(""1Cxrhp3-_-HS7v9uuqQliiIfrmMP4VaFoDNDWyUFy2J8/edit?gid=0#gid=0"",""Sheet1!Q:Q""),
      IMPORTRANGE(""1Cxrhp3-_-HS7v9uuqQliiIfrmMP4VaFoDNDWyUFy2J8/edit?gid=0#gid=0"",""Sheet1!K:K"")=$B238
    ),
    1
  ),
"&amp;"  ""Not Found""
)"),"Zafar Hayat")</f>
        <v>Zafar Hayat</v>
      </c>
      <c r="G238" s="284">
        <v>1945.0</v>
      </c>
      <c r="H238" s="284"/>
      <c r="I238" s="285" t="s">
        <v>197</v>
      </c>
      <c r="J238" s="286">
        <v>2.0</v>
      </c>
      <c r="K238" s="287" t="str">
        <f>VLOOKUP($B238,'Mosque Locations'!$A:$E,3,FALSE)
</f>
        <v>https://maps.google.com/maps?q=31.4070824%2C73.0992917&amp;z=17&amp;hl=en</v>
      </c>
      <c r="L238" s="286">
        <f>VLOOKUP($B238,'Mosque Locations'!$A:$E,4,FALSE)
</f>
        <v>31.40708</v>
      </c>
      <c r="M238" s="286">
        <f>VLOOKUP($B238,'Mosque Locations'!$A:$E,5,false)</f>
        <v>73.09929</v>
      </c>
      <c r="N238" s="288"/>
      <c r="O238" s="288"/>
      <c r="P238" s="288"/>
      <c r="Q238" s="290" t="str">
        <f>IFERROR(__xludf.DUMMYFUNCTION("IFERROR(
  INDEX(
    FILTER(
      IMPORTRANGE(""1kOrIKZmJfNUkgOVP3sI9BPjaaPA0_a4636oymQxTXg8"",""Form Responses 1!N:N""),
      TRIM(IMPORTRANGE(""1kOrIKZmJfNUkgOVP3sI9BPjaaPA0_a4636oymQxTXg8"",""Form Responses 1!F:F""))=TRIM($B238)
    ),
    1
  ),
  "&amp;"""Not Found""
)
"),"https://drive.google.com/open?id=1_o4aR5dY4O5qeBdmnaHTCiITXMXeqc5o")</f>
        <v>https://drive.google.com/open?id=1_o4aR5dY4O5qeBdmnaHTCiITXMXeqc5o</v>
      </c>
      <c r="R238" s="295" t="str">
        <f>IFERROR(__xludf.DUMMYFUNCTION("IFERROR(
  INDEX(
    FILTER(
      IMPORTRANGE(""1kOrIKZmJfNUkgOVP3sI9BPjaaPA0_a4636oymQxTXg8"",""Form Responses 1!M:M""),
      TRIM(IMPORTRANGE(""1kOrIKZmJfNUkgOVP3sI9BPjaaPA0_a4636oymQxTXg8"",""Form Responses 1!F:F""))=TRIM($B238)
    ),
    1
  ),
  "&amp;"""Not Found""
)
"),"https://drive.google.com/open?id=10TYkM-DKj0OGdDvImRozVxOGxFedCwtm")</f>
        <v>https://drive.google.com/open?id=10TYkM-DKj0OGdDvImRozVxOGxFedCwtm</v>
      </c>
      <c r="S238" s="285"/>
      <c r="T238" s="290" t="str">
        <f>VLOOKUP($B238,'Master Tracker'!D:E,2,false)</f>
        <v>https://drive.google.com/open?id=1ZIlX4en9T4nALUztN0040LVjoPZc40-B</v>
      </c>
      <c r="U238" s="291" t="str">
        <f>VLOOKUP($B238,'Master Tracker'!$D:$T,4,FALSE)
</f>
        <v>https://drive.google.com/open?id=1Smj-gnMnAvQk2nJrveEMVIX7fFIx4cZO7LukYV74QRA</v>
      </c>
      <c r="V238" s="284" t="str">
        <f>VLOOKUP($B238,'Master Tracker'!$D:$T,5,false)</f>
        <v>Not Found</v>
      </c>
      <c r="W238" s="292" t="str">
        <f>VLOOKUP($B238,'Master Tracker'!$D:$T,7,false)</f>
        <v>Not Found</v>
      </c>
      <c r="X238" s="290" t="str">
        <f>VLOOKUP($B238,'Master Tracker'!$D:$T,8,false)</f>
        <v>https://drive.google.com/open?id=1WusFET-mteuteLSG7_sLPHbx6-1djx2m</v>
      </c>
      <c r="Y238" s="291" t="str">
        <f>VLOOKUP($B238,'Master Tracker'!$D:$T,10,false)</f>
        <v>https://drive.google.com/open?id=120srCZ3YhCgy5wfVH09O5P48QVFVzOJBrhZPr-ltXis</v>
      </c>
      <c r="Z238" s="284" t="str">
        <f>VLOOKUP($B238,'Master Tracker'!$D:$T,11,false)</f>
        <v>Not Found</v>
      </c>
      <c r="AA238" s="292" t="str">
        <f>VLOOKUP($B238,'Master Tracker'!$D:$T,13,false)</f>
        <v>Not Found</v>
      </c>
      <c r="AB238" s="284" t="str">
        <f>VLOOKUP($B238,'Master Tracker'!$D:$T,14,false)</f>
        <v>Not Found</v>
      </c>
      <c r="AC238" s="292" t="str">
        <f>VLOOKUP($B238,'Master Tracker'!$D:$T,16,false)</f>
        <v>Not Found</v>
      </c>
      <c r="AD238" s="292" t="str">
        <f>VLOOKUP($B238,'Master Tracker'!$D:$T,17,false)</f>
        <v>Not Found</v>
      </c>
      <c r="AE238" s="292" t="str">
        <f>VLOOKUP($B238,'Master Tracker'!$D:$V,19,false)</f>
        <v>Not Found</v>
      </c>
      <c r="AF238" s="292">
        <f>IFERROR(__xludf.DUMMYFUNCTION("IFERROR(
  INDEX(
    FILTER(
      'Juma Recording forms'!$G:$G,
      TRIM('Juma Recording forms'!$F:$F) = TRIM($B238),
      'Juma Recording forms'!$AA:$AA = 1
    ),
    1
  ),
  ""Not Found""
)"),400.0)</f>
        <v>400</v>
      </c>
      <c r="AG238" s="292" t="str">
        <f>IFERROR(__xludf.DUMMYFUNCTION("IFERROR(
  INDEX(
    FILTER(
      'Juma Recording forms'!$G:$G,
      TRIM('Juma Recording forms'!$F:$F) = TRIM($B238),
      'Juma Recording forms'!$AA:$AA = 2
    ),
    1
  ),
  ""Not Found""
)"),"Not Found")</f>
        <v>Not Found</v>
      </c>
      <c r="AH238" s="292">
        <f>IFERROR(__xludf.DUMMYFUNCTION("IFERROR(
  INDEX(
    FILTER(
      'Juma Recording forms'!$G:$G,
      TRIM('Juma Recording forms'!$F:$F) = TRIM($B238),
      'Juma Recording forms'!$AA:$AA = 3
    ),
    1
  ),
  ""Not Found""
)"),600.0)</f>
        <v>600</v>
      </c>
      <c r="AI238" s="292" t="str">
        <f>IFERROR(__xludf.DUMMYFUNCTION("IFERROR(
  INDEX(
    FILTER(
      'Juma Recording forms'!$G:$G,
      TRIM('Juma Recording forms'!$F:$F) = TRIM($B238),
      'Juma Recording forms'!$AA:$AA = 4
    ),
    1
  ),
  ""Not Found""
)"),"Not Found")</f>
        <v>Not Found</v>
      </c>
      <c r="AJ238" s="292" t="str">
        <f>IFERROR(__xludf.DUMMYFUNCTION("IFERROR(
  INDEX(
    FILTER(
      'Juma Recording forms'!$G:$G,
      TRIM('Juma Recording forms'!$F:$F) = TRIM($B238),
      'Juma Recording forms'!$AA:$AA = 5
    ),
    1
  ),
  ""Not Found""
)"),"Not Found")</f>
        <v>Not Found</v>
      </c>
      <c r="AK238" s="292" t="str">
        <f>IFERROR(__xludf.DUMMYFUNCTION("IFERROR(
  INDEX(
    FILTER(
      'Juma Recording forms'!$G:$G,
      TRIM('Juma Recording forms'!$F:$F) = TRIM($B238),
      'Juma Recording forms'!$AA:$AA = 6
    ),
    1
  ),
  ""Not Found""
)"),"Not Found")</f>
        <v>Not Found</v>
      </c>
      <c r="AL2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1!$E:$E"")=$B238) *
        (IMPORTRANGE(""https://docs.google.com/spreadsheets/d/161aHT6vVT3SLneTKD19N5qVWtnj_jIT8CSsOmUVKmaA/e"&amp;"dit?gid=1761053510"",
          ""Haris_Form responses 1!$AQ:$AQ"")=1)
      ),
      1
    ),
    ""0""
  ),
  ""Form not found""
)
"),"0")</f>
        <v>0</v>
      </c>
      <c r="AM2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1!$E:$E"")=$B238) *
        (IMPORTRANGE(""https://docs.google.com/spreadsheets/d/161aHT6vVT3SLneTKD19N5qVWtnj_jIT8CSsOmUVKmaA/e"&amp;"dit?gid=1761053510"",
          ""Haris_Form responses 1!$AQ:$AQ"")=2)
      ),
      1
    ),
    ""0""
  ),
  ""Form not found""
)
"),"Form not found")</f>
        <v>Form not found</v>
      </c>
      <c r="AN2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1!$E:$E"")=$B238) *
        (IMPORTRANGE(""https://docs.google.com/spreadsheets/d/161aHT6vVT3SLneTKD19N5qVWtnj_jIT8CSsOmUVKmaA/e"&amp;"dit?gid=1761053510"",
          ""Haris_Form responses 1!$AQ:$AQ"")=3)
      ),
      1
    ),
    ""0""
  ),
  ""Form not found""
)
"),"0")</f>
        <v>0</v>
      </c>
      <c r="AO2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1!$E:$E"")=$B238) *
        (IMPORTRANGE(""https://docs.google.com/spreadsheets/d/161aHT6vVT3SLneTKD19N5qVWtnj_jIT8CSsOmUVKmaA/e"&amp;"dit?gid=1761053510"",
          ""Haris_Form responses 1!$AQ:$AQ"")=4)
      ),
      1
    ),
    ""0""
  ),
  ""Form not found""
)
"),"Form not found")</f>
        <v>Form not found</v>
      </c>
      <c r="AP2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1!$E:$E"")=$B238) *
        (IMPORTRANGE(""https://docs.google.com/spreadsheets/d/161aHT6vVT3SLneTKD19N5qVWtnj_jIT8CSsOmUVKmaA/e"&amp;"dit?gid=1761053510"",
          ""Haris_Form responses 1!$AQ:$AQ"")=5)
      ),
      1
    ),
    ""0""
  ),
  ""Form not found""
)
"),"Form not found")</f>
        <v>Form not found</v>
      </c>
      <c r="AQ23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1!$E:$E"")=$B238) *
        (IMPORTRANGE(""https://docs.google.com/spreadsheets/d/161aHT6vVT3SLneTKD19N5qVWtnj_jIT8CSsOmUVKmaA/e"&amp;"dit?gid=1761053510"",
          ""Haris_Form responses 1!$AQ:$AQ"")=6)
      ),
      1
    ),
    ""0""
  ),
  ""Form not found""
)
"),"Form not found")</f>
        <v>Form not found</v>
      </c>
      <c r="AR2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1!$E:$E"")=$B238) *
        (IMPORTRANGE(""https://docs.google.com/spreadsheets/d/161aHT6vVT3SLneTKD19N5qVWtnj_jIT8CSsOmUVKmaA/e"&amp;"dit?gid=1761053510"",
          ""Haris_Form responses 1!$AQ:$AQ"")=1)
      ),
      1
    ),
    ""0""
  ),
  ""Form not found""
)
"),"0")</f>
        <v>0</v>
      </c>
      <c r="AS2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1!$E:$E"")=$B238) *
        (IMPORTRANGE(""https://docs.google.com/spreadsheets/d/161aHT6vVT3SLneTKD19N5qVWtnj_jIT8CSsOmUVKmaA/e"&amp;"dit?gid=1761053510"",
          ""Haris_Form responses 1!$AQ:$AQ"")=2)
      ),
      1
    ),
    ""0""
  ),
  ""Form not found""
)
"),"Form not found")</f>
        <v>Form not found</v>
      </c>
      <c r="AT2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1!$E:$E"")=$B238) *
        (IMPORTRANGE(""https://docs.google.com/spreadsheets/d/161aHT6vVT3SLneTKD19N5qVWtnj_jIT8CSsOmUVKmaA/e"&amp;"dit?gid=1761053510"",
          ""Haris_Form responses 1!$AQ:$AQ"")=3)
      ),
      1
    ),
    ""0""
  ),
  ""Form not found""
)
"),"0")</f>
        <v>0</v>
      </c>
      <c r="AU2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1!$E:$E"")=$B238) *
        (IMPORTRANGE(""https://docs.google.com/spreadsheets/d/161aHT6vVT3SLneTKD19N5qVWtnj_jIT8CSsOmUVKmaA/e"&amp;"dit?gid=1761053510"",
          ""Haris_Form responses 1!$AQ:$AQ"")=4)
      ),
      1
    ),
    ""0""
  ),
  ""Form not found""
)
"),"Form not found")</f>
        <v>Form not found</v>
      </c>
      <c r="AV2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1!$E:$E"")=$B238) *
        (IMPORTRANGE(""https://docs.google.com/spreadsheets/d/161aHT6vVT3SLneTKD19N5qVWtnj_jIT8CSsOmUVKmaA/e"&amp;"dit?gid=1761053510"",
          ""Haris_Form responses 1!$AQ:$AQ"")=5)
      ),
      1
    ),
    ""0""
  ),
  ""Form not found""
)
"),"Form not found")</f>
        <v>Form not found</v>
      </c>
      <c r="AW23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1!$E:$E"")=$B238) *
        (IMPORTRANGE(""https://docs.google.com/spreadsheets/d/161aHT6vVT3SLneTKD19N5qVWtnj_jIT8CSsOmUVKmaA/e"&amp;"dit?gid=1761053510"",
          ""Haris_Form responses 1!$AQ:$AQ"")=6)
      ),
      1
    ),
    ""0""
  ),
  ""Form not found""
)
"),"Form not found")</f>
        <v>Form not found</v>
      </c>
      <c r="AX2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1!$E:$E"")=$B238) *
        (IMPORTRANGE(""https://docs.google.com/spreadsheets/d/161aHT6vVT3SLneTKD19N5qVWtnj_jIT8CSsOmUVKmaA/e"&amp;"dit?gid=1761053510"",
          ""Haris_Form responses 1!$AQ:$AQ"")=1)
      ),
      1
    ),
    ""0""
  ),
  ""Form not found""
)
"),"0")</f>
        <v>0</v>
      </c>
      <c r="AY2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1!$E:$E"")=$B238) *
        (IMPORTRANGE(""https://docs.google.com/spreadsheets/d/161aHT6vVT3SLneTKD19N5qVWtnj_jIT8CSsOmUVKmaA/e"&amp;"dit?gid=1761053510"",
          ""Haris_Form responses 1!$AQ:$AQ"")=2)
      ),
      1
    ),
    ""0""
  ),
  ""Form not found""
)
"),"Form not found")</f>
        <v>Form not found</v>
      </c>
      <c r="AZ2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1!$E:$E"")=$B238) *
        (IMPORTRANGE(""https://docs.google.com/spreadsheets/d/161aHT6vVT3SLneTKD19N5qVWtnj_jIT8CSsOmUVKmaA/e"&amp;"dit?gid=1761053510"",
          ""Haris_Form responses 1!$AQ:$AQ"")=3)
      ),
      1
    ),
    ""0""
  ),
  ""Form not found""
)
"),"0")</f>
        <v>0</v>
      </c>
      <c r="BA2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1!$E:$E"")=$B238) *
        (IMPORTRANGE(""https://docs.google.com/spreadsheets/d/161aHT6vVT3SLneTKD19N5qVWtnj_jIT8CSsOmUVKmaA/e"&amp;"dit?gid=1761053510"",
          ""Haris_Form responses 1!$AQ:$AQ"")=4)
      ),
      1
    ),
    ""0""
  ),
  ""Form not found""
)
"),"Form not found")</f>
        <v>Form not found</v>
      </c>
      <c r="BB2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1!$E:$E"")=$B238) *
        (IMPORTRANGE(""https://docs.google.com/spreadsheets/d/161aHT6vVT3SLneTKD19N5qVWtnj_jIT8CSsOmUVKmaA/e"&amp;"dit?gid=1761053510"",
          ""Haris_Form responses 1!$AQ:$AQ"")=5)
      ),
      1
    ),
    ""0""
  ),
  ""Form not found""
)
"),"Form not found")</f>
        <v>Form not found</v>
      </c>
      <c r="BC23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1!$E:$E"")=$B238) *
        (IMPORTRANGE(""https://docs.google.com/spreadsheets/d/161aHT6vVT3SLneTKD19N5qVWtnj_jIT8CSsOmUVKmaA/e"&amp;"dit?gid=1761053510"",
          ""Haris_Form responses 1!$AQ:$AQ"")=6)
      ),
      1
    ),
    ""0""
  ),
  ""Form not found""
)
"),"Form not found")</f>
        <v>Form not found</v>
      </c>
      <c r="BD238" s="293"/>
    </row>
    <row r="239">
      <c r="A239" s="283" t="str">
        <f>IFERROR(__xludf.DUMMYFUNCTION("VLOOKUP($B239,IMPORTRANGE(""https://docs.google.com/spreadsheets/d/1VNXDITjs75AcgdBSW27oL1VZH31udDprJSsBcE5xlp4/edit?gid=1551188038#gid=1551188038"", ""Sheet9!$B:$E""),2,false)"),"Faisalabad")</f>
        <v>Faisalabad</v>
      </c>
      <c r="B239" s="283" t="s">
        <v>4064</v>
      </c>
      <c r="C239" s="284" t="str">
        <f>IFERROR(__xludf.DUMMYFUNCTION("VLOOKUP(TRIM($B239), IMPORTRANGE(""https://docs.google.com/spreadsheets/d/1aSOrU4PTpuBZqfitKaH1Rfww6-YOiNCKoBpPl8XBHaw/edit?gid=0#gid=0"", ""sheet3!$B:$C""), 2, FALSE)
"),"Jamia Masjid Tehseel Wali Kachari Bazar Faisalabad")</f>
        <v>Jamia Masjid Tehseel Wali Kachari Bazar Faisalabad</v>
      </c>
      <c r="D239" s="284" t="str">
        <f>IFERROR(__xludf.DUMMYFUNCTION("IFERROR(
  INDEX(
    FILTER(
      IMPORTRANGE(""1aSOrU4PTpuBZqfitKaH1Rfww6-YOiNCKoBpPl8XBHaw/edit?gid=0#gid=0"",""Sheet1!G:G""),
      IMPORTRANGE(""1aSOrU4PTpuBZqfitKaH1Rfww6-YOiNCKoBpPl8XBHaw/edit?gid=0#gid=0"",""Sheet1!C:C"")=$B239
    ),
    1
  ),
"&amp;"  ""Not Found""
)"),"Women Religious No Info Share")</f>
        <v>Women Religious No Info Share</v>
      </c>
      <c r="E239" s="284" t="str">
        <f>VLOOKUP(B239,'Juma Recording forms'!A:E,5,false)</f>
        <v>Jamia Masjid Tehseel wali khachari </v>
      </c>
      <c r="F239" s="284" t="str">
        <f>IFERROR(__xludf.DUMMYFUNCTION("IFERROR(
  INDEX(
    FILTER(
      IMPORTRANGE(""1Cxrhp3-_-HS7v9uuqQliiIfrmMP4VaFoDNDWyUFy2J8/edit?gid=0#gid=0"",""Sheet1!Q:Q""),
      IMPORTRANGE(""1Cxrhp3-_-HS7v9uuqQliiIfrmMP4VaFoDNDWyUFy2J8/edit?gid=0#gid=0"",""Sheet1!K:K"")=$B239
    ),
    1
  ),
"&amp;"  ""Not Found""
)"),"Molana abdul ghafur")</f>
        <v>Molana abdul ghafur</v>
      </c>
      <c r="G239" s="292">
        <v>1411.0</v>
      </c>
      <c r="H239" s="284"/>
      <c r="I239" s="285" t="s">
        <v>197</v>
      </c>
      <c r="J239" s="286">
        <v>2.0</v>
      </c>
      <c r="K239" s="287" t="str">
        <f>VLOOKUP($B239,'Mosque Locations'!$A:$E,3,FALSE)
</f>
        <v>https://www.google.com/maps?q=31.4200577,73.0825363</v>
      </c>
      <c r="L239" s="286">
        <f>VLOOKUP($B239,'Mosque Locations'!$A:$E,4,FALSE)
</f>
        <v>31.42006</v>
      </c>
      <c r="M239" s="286">
        <f>VLOOKUP($B239,'Mosque Locations'!$A:$E,5,false)</f>
        <v>73.08254</v>
      </c>
      <c r="N239" s="288"/>
      <c r="O239" s="288"/>
      <c r="P239" s="288"/>
      <c r="Q239" s="295" t="str">
        <f>IFERROR(__xludf.DUMMYFUNCTION("IFERROR(
  INDEX(
    FILTER(
      IMPORTRANGE(""1kOrIKZmJfNUkgOVP3sI9BPjaaPA0_a4636oymQxTXg8"",""Form Responses 1!N:N""),
      TRIM(IMPORTRANGE(""1kOrIKZmJfNUkgOVP3sI9BPjaaPA0_a4636oymQxTXg8"",""Form Responses 1!F:F""))=TRIM($B239)
    ),
    1
  ),
  "&amp;"""Not Found""
)
"),"https://drive.google.com/open?id=1GmyvNXnAhmJEhT_5zgWfztUpYLfCO4Xr")</f>
        <v>https://drive.google.com/open?id=1GmyvNXnAhmJEhT_5zgWfztUpYLfCO4Xr</v>
      </c>
      <c r="R239" s="295" t="str">
        <f>IFERROR(__xludf.DUMMYFUNCTION("IFERROR(
  INDEX(
    FILTER(
      IMPORTRANGE(""1kOrIKZmJfNUkgOVP3sI9BPjaaPA0_a4636oymQxTXg8"",""Form Responses 1!M:M""),
      TRIM(IMPORTRANGE(""1kOrIKZmJfNUkgOVP3sI9BPjaaPA0_a4636oymQxTXg8"",""Form Responses 1!F:F""))=TRIM($B239)
    ),
    1
  ),
  "&amp;"""Not Found""
)
"),"https://drive.google.com/open?id=1XSQE7qDfnsdR9J06iS9FCKPxNgGVKq4B")</f>
        <v>https://drive.google.com/open?id=1XSQE7qDfnsdR9J06iS9FCKPxNgGVKq4B</v>
      </c>
      <c r="S239" s="285"/>
      <c r="T239" s="284" t="str">
        <f>VLOOKUP($B239,'Master Tracker'!D:E,2,false)</f>
        <v>https://drive.google.com/open?id=1LGCJaOqx10LqAxFPY1Nnw0MU3fdb1_iT, https://drive.google.com/open?id=1nDIZEhSS-yGowwHl12W3aGnpjDQ5T_mm</v>
      </c>
      <c r="U239" s="291" t="str">
        <f>VLOOKUP($B239,'Master Tracker'!$D:$T,4,FALSE)
</f>
        <v>https://drive.google.com/open?id=1t8T_k05AWz37Cq3joeoFcGlbfSnLcqTbB5pX25qt5bo</v>
      </c>
      <c r="V239" s="290" t="str">
        <f>VLOOKUP($B239,'Master Tracker'!$D:$T,5,false)</f>
        <v>https://drive.google.com/file/d/133oQ8z1fxU-8dP_IvdYxpmyTsBQzn8Re/view?usp=drive_link</v>
      </c>
      <c r="W239" s="291" t="str">
        <f>VLOOKUP($B239,'Master Tracker'!$D:$T,7,false)</f>
        <v>https://drive.google.com/open?id=1jT0Df8_FJo8xFkApOzrlrKNdCRdgVoKu2ZZPurSPvJk</v>
      </c>
      <c r="X239" s="290" t="str">
        <f>VLOOKUP($B239,'Master Tracker'!$D:$T,8,false)</f>
        <v>https://drive.google.com/open?id=1J2ZusZtgacxd6XtnYnPLdYWxslJI238R</v>
      </c>
      <c r="Y239" s="291" t="str">
        <f>VLOOKUP($B239,'Master Tracker'!$D:$T,10,false)</f>
        <v>https://drive.google.com/open?id=1xnQ5h9Y4Rou3nxMuRfIKsKat1cwznJvQBvBt2CjIrPI</v>
      </c>
      <c r="Z239" s="284" t="str">
        <f>VLOOKUP($B239,'Master Tracker'!$D:$T,11,false)</f>
        <v>Not Found</v>
      </c>
      <c r="AA239" s="292" t="str">
        <f>VLOOKUP($B239,'Master Tracker'!$D:$T,13,false)</f>
        <v>Not Found</v>
      </c>
      <c r="AB239" s="284" t="str">
        <f>VLOOKUP($B239,'Master Tracker'!$D:$T,14,false)</f>
        <v>Not Found</v>
      </c>
      <c r="AC239" s="292" t="str">
        <f>VLOOKUP($B239,'Master Tracker'!$D:$T,16,false)</f>
        <v>Not Found</v>
      </c>
      <c r="AD239" s="292" t="str">
        <f>VLOOKUP($B239,'Master Tracker'!$D:$T,17,false)</f>
        <v>Not Found</v>
      </c>
      <c r="AE239" s="292" t="str">
        <f>VLOOKUP($B239,'Master Tracker'!$D:$V,19,false)</f>
        <v>Not Found</v>
      </c>
      <c r="AF239" s="292">
        <f>IFERROR(__xludf.DUMMYFUNCTION("IFERROR(
  INDEX(
    FILTER(
      'Juma Recording forms'!$G:$G,
      TRIM('Juma Recording forms'!$F:$F) = TRIM($B239),
      'Juma Recording forms'!$AA:$AA = 1
    ),
    1
  ),
  ""Not Found""
)"),500.0)</f>
        <v>500</v>
      </c>
      <c r="AG239" s="292">
        <f>IFERROR(__xludf.DUMMYFUNCTION("IFERROR(
  INDEX(
    FILTER(
      'Juma Recording forms'!$G:$G,
      TRIM('Juma Recording forms'!$F:$F) = TRIM($B239),
      'Juma Recording forms'!$AA:$AA = 2
    ),
    1
  ),
  ""Not Found""
)"),400.0)</f>
        <v>400</v>
      </c>
      <c r="AH239" s="292">
        <f>IFERROR(__xludf.DUMMYFUNCTION("IFERROR(
  INDEX(
    FILTER(
      'Juma Recording forms'!$G:$G,
      TRIM('Juma Recording forms'!$F:$F) = TRIM($B239),
      'Juma Recording forms'!$AA:$AA = 3
    ),
    1
  ),
  ""Not Found""
)"),400.0)</f>
        <v>400</v>
      </c>
      <c r="AI239" s="292" t="str">
        <f>IFERROR(__xludf.DUMMYFUNCTION("IFERROR(
  INDEX(
    FILTER(
      'Juma Recording forms'!$G:$G,
      TRIM('Juma Recording forms'!$F:$F) = TRIM($B239),
      'Juma Recording forms'!$AA:$AA = 4
    ),
    1
  ),
  ""Not Found""
)"),"Not Found")</f>
        <v>Not Found</v>
      </c>
      <c r="AJ239" s="292" t="str">
        <f>IFERROR(__xludf.DUMMYFUNCTION("IFERROR(
  INDEX(
    FILTER(
      'Juma Recording forms'!$G:$G,
      TRIM('Juma Recording forms'!$F:$F) = TRIM($B239),
      'Juma Recording forms'!$AA:$AA = 5
    ),
    1
  ),
  ""Not Found""
)"),"Not Found")</f>
        <v>Not Found</v>
      </c>
      <c r="AK239" s="292" t="str">
        <f>IFERROR(__xludf.DUMMYFUNCTION("IFERROR(
  INDEX(
    FILTER(
      'Juma Recording forms'!$G:$G,
      TRIM('Juma Recording forms'!$F:$F) = TRIM($B239),
      'Juma Recording forms'!$AA:$AA = 6
    ),
    1
  ),
  ""Not Found""
)"),"Not Found")</f>
        <v>Not Found</v>
      </c>
      <c r="AL2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1!$E:$E"")=$B239) *
        (IMPORTRANGE(""https://docs.google.com/spreadsheets/d/161aHT6vVT3SLneTKD19N5qVWtnj_jIT8CSsOmUVKmaA/e"&amp;"dit?gid=1761053510"",
          ""Haris_Form responses 1!$AQ:$AQ"")=1)
      ),
      1
    ),
    ""0""
  ),
  ""Form not found""
)
"),"10")</f>
        <v>10</v>
      </c>
      <c r="AM2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1!$E:$E"")=$B239) *
        (IMPORTRANGE(""https://docs.google.com/spreadsheets/d/161aHT6vVT3SLneTKD19N5qVWtnj_jIT8CSsOmUVKmaA/e"&amp;"dit?gid=1761053510"",
          ""Haris_Form responses 1!$AQ:$AQ"")=2)
      ),
      1
    ),
    ""0""
  ),
  ""Form not found""
)
"),"10")</f>
        <v>10</v>
      </c>
      <c r="AN2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1!$E:$E"")=$B239) *
        (IMPORTRANGE(""https://docs.google.com/spreadsheets/d/161aHT6vVT3SLneTKD19N5qVWtnj_jIT8CSsOmUVKmaA/e"&amp;"dit?gid=1761053510"",
          ""Haris_Form responses 1!$AQ:$AQ"")=3)
      ),
      1
    ),
    ""0""
  ),
  ""Form not found""
)
"),"0")</f>
        <v>0</v>
      </c>
      <c r="AO2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1!$E:$E"")=$B239) *
        (IMPORTRANGE(""https://docs.google.com/spreadsheets/d/161aHT6vVT3SLneTKD19N5qVWtnj_jIT8CSsOmUVKmaA/e"&amp;"dit?gid=1761053510"",
          ""Haris_Form responses 1!$AQ:$AQ"")=4)
      ),
      1
    ),
    ""0""
  ),
  ""Form not found""
)
"),"Form not found")</f>
        <v>Form not found</v>
      </c>
      <c r="AP2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1!$E:$E"")=$B239) *
        (IMPORTRANGE(""https://docs.google.com/spreadsheets/d/161aHT6vVT3SLneTKD19N5qVWtnj_jIT8CSsOmUVKmaA/e"&amp;"dit?gid=1761053510"",
          ""Haris_Form responses 1!$AQ:$AQ"")=5)
      ),
      1
    ),
    ""0""
  ),
  ""Form not found""
)
"),"Form not found")</f>
        <v>Form not found</v>
      </c>
      <c r="AQ23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1!$E:$E"")=$B239) *
        (IMPORTRANGE(""https://docs.google.com/spreadsheets/d/161aHT6vVT3SLneTKD19N5qVWtnj_jIT8CSsOmUVKmaA/e"&amp;"dit?gid=1761053510"",
          ""Haris_Form responses 1!$AQ:$AQ"")=6)
      ),
      1
    ),
    ""0""
  ),
  ""Form not found""
)
"),"Form not found")</f>
        <v>Form not found</v>
      </c>
      <c r="AR2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1!$E:$E"")=$B239) *
        (IMPORTRANGE(""https://docs.google.com/spreadsheets/d/161aHT6vVT3SLneTKD19N5qVWtnj_jIT8CSsOmUVKmaA/e"&amp;"dit?gid=1761053510"",
          ""Haris_Form responses 1!$AQ:$AQ"")=1)
      ),
      1
    ),
    ""0""
  ),
  ""Form not found""
)
"),"0")</f>
        <v>0</v>
      </c>
      <c r="AS2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1!$E:$E"")=$B239) *
        (IMPORTRANGE(""https://docs.google.com/spreadsheets/d/161aHT6vVT3SLneTKD19N5qVWtnj_jIT8CSsOmUVKmaA/e"&amp;"dit?gid=1761053510"",
          ""Haris_Form responses 1!$AQ:$AQ"")=2)
      ),
      1
    ),
    ""0""
  ),
  ""Form not found""
)
"),"0")</f>
        <v>0</v>
      </c>
      <c r="AT2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1!$E:$E"")=$B239) *
        (IMPORTRANGE(""https://docs.google.com/spreadsheets/d/161aHT6vVT3SLneTKD19N5qVWtnj_jIT8CSsOmUVKmaA/e"&amp;"dit?gid=1761053510"",
          ""Haris_Form responses 1!$AQ:$AQ"")=3)
      ),
      1
    ),
    ""0""
  ),
  ""Form not found""
)
"),"0")</f>
        <v>0</v>
      </c>
      <c r="AU2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1!$E:$E"")=$B239) *
        (IMPORTRANGE(""https://docs.google.com/spreadsheets/d/161aHT6vVT3SLneTKD19N5qVWtnj_jIT8CSsOmUVKmaA/e"&amp;"dit?gid=1761053510"",
          ""Haris_Form responses 1!$AQ:$AQ"")=4)
      ),
      1
    ),
    ""0""
  ),
  ""Form not found""
)
"),"Form not found")</f>
        <v>Form not found</v>
      </c>
      <c r="AV2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1!$E:$E"")=$B239) *
        (IMPORTRANGE(""https://docs.google.com/spreadsheets/d/161aHT6vVT3SLneTKD19N5qVWtnj_jIT8CSsOmUVKmaA/e"&amp;"dit?gid=1761053510"",
          ""Haris_Form responses 1!$AQ:$AQ"")=5)
      ),
      1
    ),
    ""0""
  ),
  ""Form not found""
)
"),"Form not found")</f>
        <v>Form not found</v>
      </c>
      <c r="AW23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1!$E:$E"")=$B239) *
        (IMPORTRANGE(""https://docs.google.com/spreadsheets/d/161aHT6vVT3SLneTKD19N5qVWtnj_jIT8CSsOmUVKmaA/e"&amp;"dit?gid=1761053510"",
          ""Haris_Form responses 1!$AQ:$AQ"")=6)
      ),
      1
    ),
    ""0""
  ),
  ""Form not found""
)
"),"Form not found")</f>
        <v>Form not found</v>
      </c>
      <c r="AX2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1!$E:$E"")=$B239) *
        (IMPORTRANGE(""https://docs.google.com/spreadsheets/d/161aHT6vVT3SLneTKD19N5qVWtnj_jIT8CSsOmUVKmaA/e"&amp;"dit?gid=1761053510"",
          ""Haris_Form responses 1!$AQ:$AQ"")=1)
      ),
      1
    ),
    ""0""
  ),
  ""Form not found""
)
"),"10")</f>
        <v>10</v>
      </c>
      <c r="AY2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1!$E:$E"")=$B239) *
        (IMPORTRANGE(""https://docs.google.com/spreadsheets/d/161aHT6vVT3SLneTKD19N5qVWtnj_jIT8CSsOmUVKmaA/e"&amp;"dit?gid=1761053510"",
          ""Haris_Form responses 1!$AQ:$AQ"")=2)
      ),
      1
    ),
    ""0""
  ),
  ""Form not found""
)
"),"10")</f>
        <v>10</v>
      </c>
      <c r="AZ2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1!$E:$E"")=$B239) *
        (IMPORTRANGE(""https://docs.google.com/spreadsheets/d/161aHT6vVT3SLneTKD19N5qVWtnj_jIT8CSsOmUVKmaA/e"&amp;"dit?gid=1761053510"",
          ""Haris_Form responses 1!$AQ:$AQ"")=3)
      ),
      1
    ),
    ""0""
  ),
  ""Form not found""
)
"),"0")</f>
        <v>0</v>
      </c>
      <c r="BA2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1!$E:$E"")=$B239) *
        (IMPORTRANGE(""https://docs.google.com/spreadsheets/d/161aHT6vVT3SLneTKD19N5qVWtnj_jIT8CSsOmUVKmaA/e"&amp;"dit?gid=1761053510"",
          ""Haris_Form responses 1!$AQ:$AQ"")=4)
      ),
      1
    ),
    ""0""
  ),
  ""Form not found""
)
"),"Form not found")</f>
        <v>Form not found</v>
      </c>
      <c r="BB2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1!$E:$E"")=$B239) *
        (IMPORTRANGE(""https://docs.google.com/spreadsheets/d/161aHT6vVT3SLneTKD19N5qVWtnj_jIT8CSsOmUVKmaA/e"&amp;"dit?gid=1761053510"",
          ""Haris_Form responses 1!$AQ:$AQ"")=5)
      ),
      1
    ),
    ""0""
  ),
  ""Form not found""
)
"),"Form not found")</f>
        <v>Form not found</v>
      </c>
      <c r="BC23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1!$E:$E"")=$B239) *
        (IMPORTRANGE(""https://docs.google.com/spreadsheets/d/161aHT6vVT3SLneTKD19N5qVWtnj_jIT8CSsOmUVKmaA/e"&amp;"dit?gid=1761053510"",
          ""Haris_Form responses 1!$AQ:$AQ"")=6)
      ),
      1
    ),
    ""0""
  ),
  ""Form not found""
)
"),"Form not found")</f>
        <v>Form not found</v>
      </c>
      <c r="BD239" s="293"/>
    </row>
    <row r="240">
      <c r="A240" s="283" t="str">
        <f>IFERROR(__xludf.DUMMYFUNCTION("VLOOKUP($B240,IMPORTRANGE(""https://docs.google.com/spreadsheets/d/1VNXDITjs75AcgdBSW27oL1VZH31udDprJSsBcE5xlp4/edit?gid=1551188038#gid=1551188038"", ""Sheet9!$B:$E""),2,false)"),"Faisalabad")</f>
        <v>Faisalabad</v>
      </c>
      <c r="B240" s="283" t="s">
        <v>4276</v>
      </c>
      <c r="C240" s="284" t="str">
        <f>IFERROR(__xludf.DUMMYFUNCTION("VLOOKUP(TRIM($B240), IMPORTRANGE(""https://docs.google.com/spreadsheets/d/1aSOrU4PTpuBZqfitKaH1Rfww6-YOiNCKoBpPl8XBHaw/edit?gid=0#gid=0"", ""sheet3!$B:$C""), 2, FALSE)
"),"Jamia Masjid Jhaal Khanuwana Faisalabad")</f>
        <v>Jamia Masjid Jhaal Khanuwana Faisalabad</v>
      </c>
      <c r="D240" s="284" t="str">
        <f>IFERROR(__xludf.DUMMYFUNCTION("IFERROR(
  INDEX(
    FILTER(
      IMPORTRANGE(""1aSOrU4PTpuBZqfitKaH1Rfww6-YOiNCKoBpPl8XBHaw/edit?gid=0#gid=0"",""Sheet1!G:G""),
      IMPORTRANGE(""1aSOrU4PTpuBZqfitKaH1Rfww6-YOiNCKoBpPl8XBHaw/edit?gid=0#gid=0"",""Sheet1!C:C"")=$B240
    ),
    1
  ),
"&amp;"  ""Not Found""
)"),"Women Secular No Info Share")</f>
        <v>Women Secular No Info Share</v>
      </c>
      <c r="E240" s="284" t="str">
        <f>VLOOKUP(B240,'Juma Recording forms'!A:E,5,false)</f>
        <v>Jamia Masjid Jhall khanwana Faisalabad </v>
      </c>
      <c r="F240" s="284" t="str">
        <f>IFERROR(__xludf.DUMMYFUNCTION("IFERROR(
  INDEX(
    FILTER(
      IMPORTRANGE(""1Cxrhp3-_-HS7v9uuqQliiIfrmMP4VaFoDNDWyUFy2J8/edit?gid=0#gid=0"",""Sheet1!Q:Q""),
      IMPORTRANGE(""1Cxrhp3-_-HS7v9uuqQliiIfrmMP4VaFoDNDWyUFy2J8/edit?gid=0#gid=0"",""Sheet1!K:K"")=$B240
    ),
    1
  ),
"&amp;"  ""Not Found""
)"),"moulana bilal ahmed")</f>
        <v>moulana bilal ahmed</v>
      </c>
      <c r="G240" s="292">
        <v>1947.0</v>
      </c>
      <c r="H240" s="284"/>
      <c r="I240" s="285" t="s">
        <v>197</v>
      </c>
      <c r="J240" s="286">
        <v>2.0</v>
      </c>
      <c r="K240" s="287" t="str">
        <f>VLOOKUP($B240,'Mosque Locations'!$A:$E,3,FALSE)
</f>
        <v>https://www.google.com/maps?q=31.4099091,73.0939349</v>
      </c>
      <c r="L240" s="286">
        <f>VLOOKUP($B240,'Mosque Locations'!$A:$E,4,FALSE)
</f>
        <v>31.40991</v>
      </c>
      <c r="M240" s="286">
        <f>VLOOKUP($B240,'Mosque Locations'!$A:$E,5,false)</f>
        <v>73.09393</v>
      </c>
      <c r="N240" s="288"/>
      <c r="O240" s="288"/>
      <c r="P240" s="288"/>
      <c r="Q240" s="290" t="str">
        <f>IFERROR(__xludf.DUMMYFUNCTION("IFERROR(
  INDEX(
    FILTER(
      IMPORTRANGE(""1kOrIKZmJfNUkgOVP3sI9BPjaaPA0_a4636oymQxTXg8"",""Form Responses 1!N:N""),
      TRIM(IMPORTRANGE(""1kOrIKZmJfNUkgOVP3sI9BPjaaPA0_a4636oymQxTXg8"",""Form Responses 1!F:F""))=TRIM($B240)
    ),
    1
  ),
  "&amp;"""Not Found""
)
"),"https://drive.google.com/open?id=1XezNz0MnCCno7Ae4n1GOSEzsq6ioozwV")</f>
        <v>https://drive.google.com/open?id=1XezNz0MnCCno7Ae4n1GOSEzsq6ioozwV</v>
      </c>
      <c r="R240" s="295" t="str">
        <f>IFERROR(__xludf.DUMMYFUNCTION("IFERROR(
  INDEX(
    FILTER(
      IMPORTRANGE(""1kOrIKZmJfNUkgOVP3sI9BPjaaPA0_a4636oymQxTXg8"",""Form Responses 1!M:M""),
      TRIM(IMPORTRANGE(""1kOrIKZmJfNUkgOVP3sI9BPjaaPA0_a4636oymQxTXg8"",""Form Responses 1!F:F""))=TRIM($B240)
    ),
    1
  ),
  "&amp;"""Not Found""
)
"),"https://drive.google.com/open?id=1bbhmPkfodTEqCMkaWqXii3BQB3xAO2vn")</f>
        <v>https://drive.google.com/open?id=1bbhmPkfodTEqCMkaWqXii3BQB3xAO2vn</v>
      </c>
      <c r="S240" s="285"/>
      <c r="T240" s="284" t="str">
        <f>VLOOKUP($B240,'Master Tracker'!D:E,2,false)</f>
        <v>Not Found</v>
      </c>
      <c r="U240" s="292" t="str">
        <f>VLOOKUP($B240,'Master Tracker'!$D:$T,4,FALSE)
</f>
        <v>Not Found</v>
      </c>
      <c r="V240" s="284" t="str">
        <f>VLOOKUP($B240,'Master Tracker'!$D:$T,5,false)</f>
        <v>Not Found</v>
      </c>
      <c r="W240" s="292" t="str">
        <f>VLOOKUP($B240,'Master Tracker'!$D:$T,7,false)</f>
        <v>Not Found</v>
      </c>
      <c r="X240" s="290" t="str">
        <f>VLOOKUP($B240,'Master Tracker'!$D:$T,8,false)</f>
        <v>https://drive.google.com/open?id=17WfHnkIqZVz6KGA15lJonQ85nscAy2Is</v>
      </c>
      <c r="Y240" s="291" t="str">
        <f>VLOOKUP($B240,'Master Tracker'!$D:$T,10,false)</f>
        <v>https://drive.google.com/open?id=1SzwylRxSF3mWKyrcadtXt_1BodULYKyo</v>
      </c>
      <c r="Z240" s="290" t="str">
        <f>VLOOKUP($B240,'Master Tracker'!$D:$T,11,false)</f>
        <v>https://drive.google.com/open?id=1_G2BOr_j0joRtBd5RNLKSfYtaVe8ocKG</v>
      </c>
      <c r="AA240" s="291" t="str">
        <f>VLOOKUP($B240,'Master Tracker'!$D:$T,13,false)</f>
        <v>https://drive.google.com/open?id=1DTdQvxm6qNARzmz70rsFDuKURaE-EPn285CpvtHeIhc</v>
      </c>
      <c r="AB240" s="290" t="str">
        <f>VLOOKUP($B240,'Master Tracker'!$D:$T,14,false)</f>
        <v>https://drive.google.com/open?id=13CH1I76Dk4gkdAaNtcavStv_XaBszo7f</v>
      </c>
      <c r="AC240" s="291" t="str">
        <f>VLOOKUP($B240,'Master Tracker'!$D:$T,16,false)</f>
        <v>https://drive.google.com/open?id=1AP9Ghri12ceKq-AkJMKoA1SeeXfe0ruP6ALiaKkfEFg</v>
      </c>
      <c r="AD240" s="291" t="str">
        <f>VLOOKUP($B240,'Master Tracker'!$D:$T,17,false)</f>
        <v>https://drive.google.com/open?id=1NR-kcIAr831XCxGTtmtWbiczlsPv-zg8</v>
      </c>
      <c r="AE240" s="291" t="str">
        <f>VLOOKUP($B240,'Master Tracker'!$D:$V,19,false)</f>
        <v>https://drive.google.com/open?id=1pTrem56gwLRCiTBgd5j6cMnKOwCwaYcV</v>
      </c>
      <c r="AF240" s="292" t="str">
        <f>IFERROR(__xludf.DUMMYFUNCTION("IFERROR(
  INDEX(
    FILTER(
      'Juma Recording forms'!$G:$G,
      TRIM('Juma Recording forms'!$F:$F) = TRIM($B240),
      'Juma Recording forms'!$AA:$AA = 1
    ),
    1
  ),
  ""Not Found""
)"),"Not Found")</f>
        <v>Not Found</v>
      </c>
      <c r="AG240" s="292" t="str">
        <f>IFERROR(__xludf.DUMMYFUNCTION("IFERROR(
  INDEX(
    FILTER(
      'Juma Recording forms'!$G:$G,
      TRIM('Juma Recording forms'!$F:$F) = TRIM($B240),
      'Juma Recording forms'!$AA:$AA = 2
    ),
    1
  ),
  ""Not Found""
)"),"Not Found")</f>
        <v>Not Found</v>
      </c>
      <c r="AH240" s="292">
        <f>IFERROR(__xludf.DUMMYFUNCTION("IFERROR(
  INDEX(
    FILTER(
      'Juma Recording forms'!$G:$G,
      TRIM('Juma Recording forms'!$F:$F) = TRIM($B240),
      'Juma Recording forms'!$AA:$AA = 3
    ),
    1
  ),
  ""Not Found""
)"),565.0)</f>
        <v>565</v>
      </c>
      <c r="AI240" s="292" t="str">
        <f>IFERROR(__xludf.DUMMYFUNCTION("IFERROR(
  INDEX(
    FILTER(
      'Juma Recording forms'!$G:$G,
      TRIM('Juma Recording forms'!$F:$F) = TRIM($B240),
      'Juma Recording forms'!$AA:$AA = 4
    ),
    1
  ),
  ""Not Found""
)"),"Not Found")</f>
        <v>Not Found</v>
      </c>
      <c r="AJ240" s="292">
        <f>IFERROR(__xludf.DUMMYFUNCTION("IFERROR(
  INDEX(
    FILTER(
      'Juma Recording forms'!$G:$G,
      TRIM('Juma Recording forms'!$F:$F) = TRIM($B240),
      'Juma Recording forms'!$AA:$AA = 5
    ),
    1
  ),
  ""Not Found""
)"),542.0)</f>
        <v>542</v>
      </c>
      <c r="AK240" s="292">
        <f>IFERROR(__xludf.DUMMYFUNCTION("IFERROR(
  INDEX(
    FILTER(
      'Juma Recording forms'!$G:$G,
      TRIM('Juma Recording forms'!$F:$F) = TRIM($B240),
      'Juma Recording forms'!$AA:$AA = 6
    ),
    1
  ),
  ""Not Found""
)"),562.0)</f>
        <v>562</v>
      </c>
      <c r="AL2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1!$E:$E"")=$B240) *
        (IMPORTRANGE(""https://docs.google.com/spreadsheets/d/161aHT6vVT3SLneTKD19N5qVWtnj_jIT8CSsOmUVKmaA/e"&amp;"dit?gid=1761053510"",
          ""Haris_Form responses 1!$AQ:$AQ"")=1)
      ),
      1
    ),
    ""0""
  ),
  ""Form not found""
)
"),"Form not found")</f>
        <v>Form not found</v>
      </c>
      <c r="AM2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1!$E:$E"")=$B240) *
        (IMPORTRANGE(""https://docs.google.com/spreadsheets/d/161aHT6vVT3SLneTKD19N5qVWtnj_jIT8CSsOmUVKmaA/e"&amp;"dit?gid=1761053510"",
          ""Haris_Form responses 1!$AQ:$AQ"")=2)
      ),
      1
    ),
    ""0""
  ),
  ""Form not found""
)
"),"Form not found")</f>
        <v>Form not found</v>
      </c>
      <c r="AN2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1!$E:$E"")=$B240) *
        (IMPORTRANGE(""https://docs.google.com/spreadsheets/d/161aHT6vVT3SLneTKD19N5qVWtnj_jIT8CSsOmUVKmaA/e"&amp;"dit?gid=1761053510"",
          ""Haris_Form responses 1!$AQ:$AQ"")=3)
      ),
      1
    ),
    ""0""
  ),
  ""Form not found""
)
"),"10")</f>
        <v>10</v>
      </c>
      <c r="AO2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1!$E:$E"")=$B240) *
        (IMPORTRANGE(""https://docs.google.com/spreadsheets/d/161aHT6vVT3SLneTKD19N5qVWtnj_jIT8CSsOmUVKmaA/e"&amp;"dit?gid=1761053510"",
          ""Haris_Form responses 1!$AQ:$AQ"")=4)
      ),
      1
    ),
    ""0""
  ),
  ""Form not found""
)
"),"0")</f>
        <v>0</v>
      </c>
      <c r="AP2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1!$E:$E"")=$B240) *
        (IMPORTRANGE(""https://docs.google.com/spreadsheets/d/161aHT6vVT3SLneTKD19N5qVWtnj_jIT8CSsOmUVKmaA/e"&amp;"dit?gid=1761053510"",
          ""Haris_Form responses 1!$AQ:$AQ"")=5)
      ),
      1
    ),
    ""0""
  ),
  ""Form not found""
)
"),"0")</f>
        <v>0</v>
      </c>
      <c r="AQ24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1!$E:$E"")=$B240) *
        (IMPORTRANGE(""https://docs.google.com/spreadsheets/d/161aHT6vVT3SLneTKD19N5qVWtnj_jIT8CSsOmUVKmaA/e"&amp;"dit?gid=1761053510"",
          ""Haris_Form responses 1!$AQ:$AQ"")=6)
      ),
      1
    ),
    ""0""
  ),
  ""Form not found""
)
"),"9")</f>
        <v>9</v>
      </c>
      <c r="AR2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1!$E:$E"")=$B240) *
        (IMPORTRANGE(""https://docs.google.com/spreadsheets/d/161aHT6vVT3SLneTKD19N5qVWtnj_jIT8CSsOmUVKmaA/e"&amp;"dit?gid=1761053510"",
          ""Haris_Form responses 1!$AQ:$AQ"")=1)
      ),
      1
    ),
    ""0""
  ),
  ""Form not found""
)
"),"Form not found")</f>
        <v>Form not found</v>
      </c>
      <c r="AS2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1!$E:$E"")=$B240) *
        (IMPORTRANGE(""https://docs.google.com/spreadsheets/d/161aHT6vVT3SLneTKD19N5qVWtnj_jIT8CSsOmUVKmaA/e"&amp;"dit?gid=1761053510"",
          ""Haris_Form responses 1!$AQ:$AQ"")=2)
      ),
      1
    ),
    ""0""
  ),
  ""Form not found""
)
"),"Form not found")</f>
        <v>Form not found</v>
      </c>
      <c r="AT2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1!$E:$E"")=$B240) *
        (IMPORTRANGE(""https://docs.google.com/spreadsheets/d/161aHT6vVT3SLneTKD19N5qVWtnj_jIT8CSsOmUVKmaA/e"&amp;"dit?gid=1761053510"",
          ""Haris_Form responses 1!$AQ:$AQ"")=3)
      ),
      1
    ),
    ""0""
  ),
  ""Form not found""
)
"),"0")</f>
        <v>0</v>
      </c>
      <c r="AU2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1!$E:$E"")=$B240) *
        (IMPORTRANGE(""https://docs.google.com/spreadsheets/d/161aHT6vVT3SLneTKD19N5qVWtnj_jIT8CSsOmUVKmaA/e"&amp;"dit?gid=1761053510"",
          ""Haris_Form responses 1!$AQ:$AQ"")=4)
      ),
      1
    ),
    ""0""
  ),
  ""Form not found""
)
"),"0")</f>
        <v>0</v>
      </c>
      <c r="AV2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1!$E:$E"")=$B240) *
        (IMPORTRANGE(""https://docs.google.com/spreadsheets/d/161aHT6vVT3SLneTKD19N5qVWtnj_jIT8CSsOmUVKmaA/e"&amp;"dit?gid=1761053510"",
          ""Haris_Form responses 1!$AQ:$AQ"")=5)
      ),
      1
    ),
    ""0""
  ),
  ""Form not found""
)
"),"0")</f>
        <v>0</v>
      </c>
      <c r="AW24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1!$E:$E"")=$B240) *
        (IMPORTRANGE(""https://docs.google.com/spreadsheets/d/161aHT6vVT3SLneTKD19N5qVWtnj_jIT8CSsOmUVKmaA/e"&amp;"dit?gid=1761053510"",
          ""Haris_Form responses 1!$AQ:$AQ"")=6)
      ),
      1
    ),
    ""0""
  ),
  ""Form not found""
)
"),"0")</f>
        <v>0</v>
      </c>
      <c r="AX2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1!$E:$E"")=$B240) *
        (IMPORTRANGE(""https://docs.google.com/spreadsheets/d/161aHT6vVT3SLneTKD19N5qVWtnj_jIT8CSsOmUVKmaA/e"&amp;"dit?gid=1761053510"",
          ""Haris_Form responses 1!$AQ:$AQ"")=1)
      ),
      1
    ),
    ""0""
  ),
  ""Form not found""
)
"),"Form not found")</f>
        <v>Form not found</v>
      </c>
      <c r="AY2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1!$E:$E"")=$B240) *
        (IMPORTRANGE(""https://docs.google.com/spreadsheets/d/161aHT6vVT3SLneTKD19N5qVWtnj_jIT8CSsOmUVKmaA/e"&amp;"dit?gid=1761053510"",
          ""Haris_Form responses 1!$AQ:$AQ"")=2)
      ),
      1
    ),
    ""0""
  ),
  ""Form not found""
)
"),"Form not found")</f>
        <v>Form not found</v>
      </c>
      <c r="AZ2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1!$E:$E"")=$B240) *
        (IMPORTRANGE(""https://docs.google.com/spreadsheets/d/161aHT6vVT3SLneTKD19N5qVWtnj_jIT8CSsOmUVKmaA/e"&amp;"dit?gid=1761053510"",
          ""Haris_Form responses 1!$AQ:$AQ"")=3)
      ),
      1
    ),
    ""0""
  ),
  ""Form not found""
)
"),"10")</f>
        <v>10</v>
      </c>
      <c r="BA2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1!$E:$E"")=$B240) *
        (IMPORTRANGE(""https://docs.google.com/spreadsheets/d/161aHT6vVT3SLneTKD19N5qVWtnj_jIT8CSsOmUVKmaA/e"&amp;"dit?gid=1761053510"",
          ""Haris_Form responses 1!$AQ:$AQ"")=4)
      ),
      1
    ),
    ""0""
  ),
  ""Form not found""
)
"),"0")</f>
        <v>0</v>
      </c>
      <c r="BB2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1!$E:$E"")=$B240) *
        (IMPORTRANGE(""https://docs.google.com/spreadsheets/d/161aHT6vVT3SLneTKD19N5qVWtnj_jIT8CSsOmUVKmaA/e"&amp;"dit?gid=1761053510"",
          ""Haris_Form responses 1!$AQ:$AQ"")=5)
      ),
      1
    ),
    ""0""
  ),
  ""Form not found""
)
"),"0")</f>
        <v>0</v>
      </c>
      <c r="BC24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1!$E:$E"")=$B240) *
        (IMPORTRANGE(""https://docs.google.com/spreadsheets/d/161aHT6vVT3SLneTKD19N5qVWtnj_jIT8CSsOmUVKmaA/e"&amp;"dit?gid=1761053510"",
          ""Haris_Form responses 1!$AQ:$AQ"")=6)
      ),
      1
    ),
    ""0""
  ),
  ""Form not found""
)
"),"9")</f>
        <v>9</v>
      </c>
      <c r="BD240" s="293"/>
    </row>
    <row r="241">
      <c r="A241" s="283" t="str">
        <f>IFERROR(__xludf.DUMMYFUNCTION("VLOOKUP($B241,IMPORTRANGE(""https://docs.google.com/spreadsheets/d/1VNXDITjs75AcgdBSW27oL1VZH31udDprJSsBcE5xlp4/edit?gid=1551188038#gid=1551188038"", ""Sheet9!$B:$E""),2,false)"),"Faisalabad")</f>
        <v>Faisalabad</v>
      </c>
      <c r="B241" s="283" t="s">
        <v>3961</v>
      </c>
      <c r="C241" s="284" t="str">
        <f>IFERROR(__xludf.DUMMYFUNCTION("VLOOKUP(TRIM($B241), IMPORTRANGE(""https://docs.google.com/spreadsheets/d/1aSOrU4PTpuBZqfitKaH1Rfww6-YOiNCKoBpPl8XBHaw/edit?gid=0#gid=0"", ""sheet3!$B:$C""), 2, FALSE)
"),"Jamia Masjid Madini Samnabad Faisalabad")</f>
        <v>Jamia Masjid Madini Samnabad Faisalabad</v>
      </c>
      <c r="D241" s="284" t="str">
        <f>IFERROR(__xludf.DUMMYFUNCTION("IFERROR(
  INDEX(
    FILTER(
      IMPORTRANGE(""1aSOrU4PTpuBZqfitKaH1Rfww6-YOiNCKoBpPl8XBHaw/edit?gid=0#gid=0"",""Sheet1!G:G""),
      IMPORTRANGE(""1aSOrU4PTpuBZqfitKaH1Rfww6-YOiNCKoBpPl8XBHaw/edit?gid=0#gid=0"",""Sheet1!C:C"")=$B241
    ),
    1
  ),
"&amp;"  ""Not Found""
)"),"Women Secular No Info Share")</f>
        <v>Women Secular No Info Share</v>
      </c>
      <c r="E241" s="284" t="str">
        <f>VLOOKUP(B241,'Juma Recording forms'!A:E,5,false)</f>
        <v>Jamia Masjid madni samnabad Faisalabad </v>
      </c>
      <c r="F241" s="284" t="str">
        <f>IFERROR(__xludf.DUMMYFUNCTION("IFERROR(
  INDEX(
    FILTER(
      IMPORTRANGE(""1Cxrhp3-_-HS7v9uuqQliiIfrmMP4VaFoDNDWyUFy2J8/edit?gid=0#gid=0"",""Sheet1!Q:Q""),
      IMPORTRANGE(""1Cxrhp3-_-HS7v9uuqQliiIfrmMP4VaFoDNDWyUFy2J8/edit?gid=0#gid=0"",""Sheet1!K:K"")=$B241
    ),
    1
  ),
"&amp;"  ""Not Found""
)"),"qari zahid")</f>
        <v>qari zahid</v>
      </c>
      <c r="G241" s="284">
        <v>1937.0</v>
      </c>
      <c r="H241" s="284"/>
      <c r="I241" s="285" t="s">
        <v>197</v>
      </c>
      <c r="J241" s="286">
        <v>2.0</v>
      </c>
      <c r="K241" s="287" t="str">
        <f>VLOOKUP($B241,'Mosque Locations'!$A:$E,3,FALSE)
</f>
        <v>https://maps.google.com/maps?q=31.386611%2C73.0676337&amp;z=17&amp;hl=en</v>
      </c>
      <c r="L241" s="286">
        <f>VLOOKUP($B241,'Mosque Locations'!$A:$E,4,FALSE)
</f>
        <v>31.38661</v>
      </c>
      <c r="M241" s="286">
        <f>VLOOKUP($B241,'Mosque Locations'!$A:$E,5,false)</f>
        <v>73.06763</v>
      </c>
      <c r="N241" s="288"/>
      <c r="O241" s="288"/>
      <c r="P241" s="288"/>
      <c r="Q241" s="295" t="str">
        <f>IFERROR(__xludf.DUMMYFUNCTION("IFERROR(
  INDEX(
    FILTER(
      IMPORTRANGE(""1kOrIKZmJfNUkgOVP3sI9BPjaaPA0_a4636oymQxTXg8"",""Form Responses 1!N:N""),
      TRIM(IMPORTRANGE(""1kOrIKZmJfNUkgOVP3sI9BPjaaPA0_a4636oymQxTXg8"",""Form Responses 1!F:F""))=TRIM($B241)
    ),
    1
  ),
  "&amp;"""Not Found""
)
"),"https://drive.google.com/open?id=1RMBjtK-slHx3f42SbkeDf0YYf4b0_BQd")</f>
        <v>https://drive.google.com/open?id=1RMBjtK-slHx3f42SbkeDf0YYf4b0_BQd</v>
      </c>
      <c r="R241" s="295" t="str">
        <f>IFERROR(__xludf.DUMMYFUNCTION("IFERROR(
  INDEX(
    FILTER(
      IMPORTRANGE(""1kOrIKZmJfNUkgOVP3sI9BPjaaPA0_a4636oymQxTXg8"",""Form Responses 1!M:M""),
      TRIM(IMPORTRANGE(""1kOrIKZmJfNUkgOVP3sI9BPjaaPA0_a4636oymQxTXg8"",""Form Responses 1!F:F""))=TRIM($B241)
    ),
    1
  ),
  "&amp;"""Not Found""
)
"),"https://drive.google.com/open?id=1IUjDXdjxCj_f9Jyh4IlQPqU_9-yR517k")</f>
        <v>https://drive.google.com/open?id=1IUjDXdjxCj_f9Jyh4IlQPqU_9-yR517k</v>
      </c>
      <c r="S241" s="285"/>
      <c r="T241" s="290" t="str">
        <f>VLOOKUP($B241,'Master Tracker'!D:E,2,false)</f>
        <v>https://drive.google.com/open?id=1PbDMYc8teiwDqab_qE-ULfvZoGAdbVBg</v>
      </c>
      <c r="U241" s="291" t="str">
        <f>VLOOKUP($B241,'Master Tracker'!$D:$T,4,FALSE)
</f>
        <v>https://drive.google.com/open?id=1sLpNmym_38bQ8IBC33KmBqatOExWDxWoxKnOORAGjic</v>
      </c>
      <c r="V241" s="290" t="str">
        <f>VLOOKUP($B241,'Master Tracker'!$D:$T,5,false)</f>
        <v>https://drive.google.com/open?id=1SPQizj7jxtLanLXCPF2VGNYqsdlTOmzc</v>
      </c>
      <c r="W241" s="291" t="str">
        <f>VLOOKUP($B241,'Master Tracker'!$D:$T,7,false)</f>
        <v>https://drive.google.com/open?id=1jATPcr-gBCzq8HNOXJOeaiBSujWvcoO8</v>
      </c>
      <c r="X241" s="290" t="str">
        <f>VLOOKUP($B241,'Master Tracker'!$D:$T,8,false)</f>
        <v>https://drive.google.com/open?id=1dEdHtTNYeuUU7D0vbwPZtQXS0x6MBQAb</v>
      </c>
      <c r="Y241" s="291" t="str">
        <f>VLOOKUP($B241,'Master Tracker'!$D:$T,10,false)</f>
        <v>https://drive.google.com/open?id=1evVwzTSqk8ppYMniVTueceneqgwi-1OXPA42UwQy2c0</v>
      </c>
      <c r="Z241" s="290" t="str">
        <f>VLOOKUP($B241,'Master Tracker'!$D:$T,11,false)</f>
        <v>https://drive.google.com/open?id=1x_EafIOmz5Osb1q61F2i-oRPLnqhfIrF</v>
      </c>
      <c r="AA241" s="291" t="str">
        <f>VLOOKUP($B241,'Master Tracker'!$D:$T,13,false)</f>
        <v>https://drive.google.com/open?id=1mp7FqIMstfzPcoaoCLnPa-HfrE1vB_MX3uNHVOG1Jmc</v>
      </c>
      <c r="AB241" s="290" t="str">
        <f>VLOOKUP($B241,'Master Tracker'!$D:$T,14,false)</f>
        <v>https://drive.google.com/open?id=18q_zFNfDzo2wLLW34d5Wa9VePL1IZRYh</v>
      </c>
      <c r="AC241" s="291" t="str">
        <f>VLOOKUP($B241,'Master Tracker'!$D:$T,16,false)</f>
        <v>https://drive.google.com/open?id=1TjlA6H4vePU_EUPebFfj_j5NH9jdnrlGg7rl5FOAKSo</v>
      </c>
      <c r="AD241" s="292" t="str">
        <f>VLOOKUP($B241,'Master Tracker'!$D:$T,17,false)</f>
        <v>Not Found</v>
      </c>
      <c r="AE241" s="292" t="str">
        <f>VLOOKUP($B241,'Master Tracker'!$D:$V,19,false)</f>
        <v>Not Found</v>
      </c>
      <c r="AF241" s="292">
        <f>IFERROR(__xludf.DUMMYFUNCTION("IFERROR(
  INDEX(
    FILTER(
      'Juma Recording forms'!$G:$G,
      TRIM('Juma Recording forms'!$F:$F) = TRIM($B241),
      'Juma Recording forms'!$AA:$AA = 1
    ),
    1
  ),
  ""Not Found""
)"),500.0)</f>
        <v>500</v>
      </c>
      <c r="AG241" s="292">
        <f>IFERROR(__xludf.DUMMYFUNCTION("IFERROR(
  INDEX(
    FILTER(
      'Juma Recording forms'!$G:$G,
      TRIM('Juma Recording forms'!$F:$F) = TRIM($B241),
      'Juma Recording forms'!$AA:$AA = 2
    ),
    1
  ),
  ""Not Found""
)"),550.0)</f>
        <v>550</v>
      </c>
      <c r="AH241" s="292">
        <f>IFERROR(__xludf.DUMMYFUNCTION("IFERROR(
  INDEX(
    FILTER(
      'Juma Recording forms'!$G:$G,
      TRIM('Juma Recording forms'!$F:$F) = TRIM($B241),
      'Juma Recording forms'!$AA:$AA = 3
    ),
    1
  ),
  ""Not Found""
)"),600.0)</f>
        <v>600</v>
      </c>
      <c r="AI241" s="292">
        <f>IFERROR(__xludf.DUMMYFUNCTION("IFERROR(
  INDEX(
    FILTER(
      'Juma Recording forms'!$G:$G,
      TRIM('Juma Recording forms'!$F:$F) = TRIM($B241),
      'Juma Recording forms'!$AA:$AA = 4
    ),
    1
  ),
  ""Not Found""
)"),500.0)</f>
        <v>500</v>
      </c>
      <c r="AJ241" s="292">
        <f>IFERROR(__xludf.DUMMYFUNCTION("IFERROR(
  INDEX(
    FILTER(
      'Juma Recording forms'!$G:$G,
      TRIM('Juma Recording forms'!$F:$F) = TRIM($B241),
      'Juma Recording forms'!$AA:$AA = 5
    ),
    1
  ),
  ""Not Found""
)"),500.0)</f>
        <v>500</v>
      </c>
      <c r="AK241" s="292" t="str">
        <f>IFERROR(__xludf.DUMMYFUNCTION("IFERROR(
  INDEX(
    FILTER(
      'Juma Recording forms'!$G:$G,
      TRIM('Juma Recording forms'!$F:$F) = TRIM($B241),
      'Juma Recording forms'!$AA:$AA = 6
    ),
    1
  ),
  ""Not Found""
)"),"Not Found")</f>
        <v>Not Found</v>
      </c>
      <c r="AL2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1!$E:$E"")=$B241) *
        (IMPORTRANGE(""https://docs.google.com/spreadsheets/d/161aHT6vVT3SLneTKD19N5qVWtnj_jIT8CSsOmUVKmaA/e"&amp;"dit?gid=1761053510"",
          ""Haris_Form responses 1!$AQ:$AQ"")=1)
      ),
      1
    ),
    ""0""
  ),
  ""Form not found""
)
"),"4")</f>
        <v>4</v>
      </c>
      <c r="AM2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1!$E:$E"")=$B241) *
        (IMPORTRANGE(""https://docs.google.com/spreadsheets/d/161aHT6vVT3SLneTKD19N5qVWtnj_jIT8CSsOmUVKmaA/e"&amp;"dit?gid=1761053510"",
          ""Haris_Form responses 1!$AQ:$AQ"")=2)
      ),
      1
    ),
    ""0""
  ),
  ""Form not found""
)
"),"10")</f>
        <v>10</v>
      </c>
      <c r="AN2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1!$E:$E"")=$B241) *
        (IMPORTRANGE(""https://docs.google.com/spreadsheets/d/161aHT6vVT3SLneTKD19N5qVWtnj_jIT8CSsOmUVKmaA/e"&amp;"dit?gid=1761053510"",
          ""Haris_Form responses 1!$AQ:$AQ"")=3)
      ),
      1
    ),
    ""0""
  ),
  ""Form not found""
)
"),"4")</f>
        <v>4</v>
      </c>
      <c r="AO2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1!$E:$E"")=$B241) *
        (IMPORTRANGE(""https://docs.google.com/spreadsheets/d/161aHT6vVT3SLneTKD19N5qVWtnj_jIT8CSsOmUVKmaA/e"&amp;"dit?gid=1761053510"",
          ""Haris_Form responses 1!$AQ:$AQ"")=4)
      ),
      1
    ),
    ""0""
  ),
  ""Form not found""
)
"),"10")</f>
        <v>10</v>
      </c>
      <c r="AP2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1!$E:$E"")=$B241) *
        (IMPORTRANGE(""https://docs.google.com/spreadsheets/d/161aHT6vVT3SLneTKD19N5qVWtnj_jIT8CSsOmUVKmaA/e"&amp;"dit?gid=1761053510"",
          ""Haris_Form responses 1!$AQ:$AQ"")=5)
      ),
      1
    ),
    ""0""
  ),
  ""Form not found""
)
"),"0")</f>
        <v>0</v>
      </c>
      <c r="AQ24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1!$E:$E"")=$B241) *
        (IMPORTRANGE(""https://docs.google.com/spreadsheets/d/161aHT6vVT3SLneTKD19N5qVWtnj_jIT8CSsOmUVKmaA/e"&amp;"dit?gid=1761053510"",
          ""Haris_Form responses 1!$AQ:$AQ"")=6)
      ),
      1
    ),
    ""0""
  ),
  ""Form not found""
)
"),"Form not found")</f>
        <v>Form not found</v>
      </c>
      <c r="AR2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1!$E:$E"")=$B241) *
        (IMPORTRANGE(""https://docs.google.com/spreadsheets/d/161aHT6vVT3SLneTKD19N5qVWtnj_jIT8CSsOmUVKmaA/e"&amp;"dit?gid=1761053510"",
          ""Haris_Form responses 1!$AQ:$AQ"")=1)
      ),
      1
    ),
    ""0""
  ),
  ""Form not found""
)
"),"0")</f>
        <v>0</v>
      </c>
      <c r="AS2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1!$E:$E"")=$B241) *
        (IMPORTRANGE(""https://docs.google.com/spreadsheets/d/161aHT6vVT3SLneTKD19N5qVWtnj_jIT8CSsOmUVKmaA/e"&amp;"dit?gid=1761053510"",
          ""Haris_Form responses 1!$AQ:$AQ"")=2)
      ),
      1
    ),
    ""0""
  ),
  ""Form not found""
)
"),"0")</f>
        <v>0</v>
      </c>
      <c r="AT2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1!$E:$E"")=$B241) *
        (IMPORTRANGE(""https://docs.google.com/spreadsheets/d/161aHT6vVT3SLneTKD19N5qVWtnj_jIT8CSsOmUVKmaA/e"&amp;"dit?gid=1761053510"",
          ""Haris_Form responses 1!$AQ:$AQ"")=3)
      ),
      1
    ),
    ""0""
  ),
  ""Form not found""
)
"),"0")</f>
        <v>0</v>
      </c>
      <c r="AU2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1!$E:$E"")=$B241) *
        (IMPORTRANGE(""https://docs.google.com/spreadsheets/d/161aHT6vVT3SLneTKD19N5qVWtnj_jIT8CSsOmUVKmaA/e"&amp;"dit?gid=1761053510"",
          ""Haris_Form responses 1!$AQ:$AQ"")=4)
      ),
      1
    ),
    ""0""
  ),
  ""Form not found""
)
"),"0")</f>
        <v>0</v>
      </c>
      <c r="AV2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1!$E:$E"")=$B241) *
        (IMPORTRANGE(""https://docs.google.com/spreadsheets/d/161aHT6vVT3SLneTKD19N5qVWtnj_jIT8CSsOmUVKmaA/e"&amp;"dit?gid=1761053510"",
          ""Haris_Form responses 1!$AQ:$AQ"")=5)
      ),
      1
    ),
    ""0""
  ),
  ""Form not found""
)
"),"0")</f>
        <v>0</v>
      </c>
      <c r="AW24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1!$E:$E"")=$B241) *
        (IMPORTRANGE(""https://docs.google.com/spreadsheets/d/161aHT6vVT3SLneTKD19N5qVWtnj_jIT8CSsOmUVKmaA/e"&amp;"dit?gid=1761053510"",
          ""Haris_Form responses 1!$AQ:$AQ"")=6)
      ),
      1
    ),
    ""0""
  ),
  ""Form not found""
)
"),"Form not found")</f>
        <v>Form not found</v>
      </c>
      <c r="AX2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1!$E:$E"")=$B241) *
        (IMPORTRANGE(""https://docs.google.com/spreadsheets/d/161aHT6vVT3SLneTKD19N5qVWtnj_jIT8CSsOmUVKmaA/e"&amp;"dit?gid=1761053510"",
          ""Haris_Form responses 1!$AQ:$AQ"")=1)
      ),
      1
    ),
    ""0""
  ),
  ""Form not found""
)
"),"4")</f>
        <v>4</v>
      </c>
      <c r="AY2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1!$E:$E"")=$B241) *
        (IMPORTRANGE(""https://docs.google.com/spreadsheets/d/161aHT6vVT3SLneTKD19N5qVWtnj_jIT8CSsOmUVKmaA/e"&amp;"dit?gid=1761053510"",
          ""Haris_Form responses 1!$AQ:$AQ"")=2)
      ),
      1
    ),
    ""0""
  ),
  ""Form not found""
)
"),"10")</f>
        <v>10</v>
      </c>
      <c r="AZ2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1!$E:$E"")=$B241) *
        (IMPORTRANGE(""https://docs.google.com/spreadsheets/d/161aHT6vVT3SLneTKD19N5qVWtnj_jIT8CSsOmUVKmaA/e"&amp;"dit?gid=1761053510"",
          ""Haris_Form responses 1!$AQ:$AQ"")=3)
      ),
      1
    ),
    ""0""
  ),
  ""Form not found""
)
"),"4")</f>
        <v>4</v>
      </c>
      <c r="BA2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1!$E:$E"")=$B241) *
        (IMPORTRANGE(""https://docs.google.com/spreadsheets/d/161aHT6vVT3SLneTKD19N5qVWtnj_jIT8CSsOmUVKmaA/e"&amp;"dit?gid=1761053510"",
          ""Haris_Form responses 1!$AQ:$AQ"")=4)
      ),
      1
    ),
    ""0""
  ),
  ""Form not found""
)
"),"10")</f>
        <v>10</v>
      </c>
      <c r="BB2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1!$E:$E"")=$B241) *
        (IMPORTRANGE(""https://docs.google.com/spreadsheets/d/161aHT6vVT3SLneTKD19N5qVWtnj_jIT8CSsOmUVKmaA/e"&amp;"dit?gid=1761053510"",
          ""Haris_Form responses 1!$AQ:$AQ"")=5)
      ),
      1
    ),
    ""0""
  ),
  ""Form not found""
)
"),"0")</f>
        <v>0</v>
      </c>
      <c r="BC24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1!$E:$E"")=$B241) *
        (IMPORTRANGE(""https://docs.google.com/spreadsheets/d/161aHT6vVT3SLneTKD19N5qVWtnj_jIT8CSsOmUVKmaA/e"&amp;"dit?gid=1761053510"",
          ""Haris_Form responses 1!$AQ:$AQ"")=6)
      ),
      1
    ),
    ""0""
  ),
  ""Form not found""
)
"),"Form not found")</f>
        <v>Form not found</v>
      </c>
      <c r="BD241" s="293"/>
    </row>
    <row r="242">
      <c r="A242" s="283" t="str">
        <f>IFERROR(__xludf.DUMMYFUNCTION("VLOOKUP($B242,IMPORTRANGE(""https://docs.google.com/spreadsheets/d/1VNXDITjs75AcgdBSW27oL1VZH31udDprJSsBcE5xlp4/edit?gid=1551188038#gid=1551188038"", ""Sheet9!$B:$E""),2,false)"),"Faisalabad")</f>
        <v>Faisalabad</v>
      </c>
      <c r="B242" s="283" t="s">
        <v>4005</v>
      </c>
      <c r="C242" s="284" t="str">
        <f>IFERROR(__xludf.DUMMYFUNCTION("VLOOKUP(TRIM($B242), IMPORTRANGE(""https://docs.google.com/spreadsheets/d/1aSOrU4PTpuBZqfitKaH1Rfww6-YOiNCKoBpPl8XBHaw/edit?gid=0#gid=0"", ""sheet3!$B:$C""), 2, FALSE)
"),"Jamia Masjid Hanfiya Gujra Basti Faisalabad")</f>
        <v>Jamia Masjid Hanfiya Gujra Basti Faisalabad</v>
      </c>
      <c r="D242" s="284" t="str">
        <f>IFERROR(__xludf.DUMMYFUNCTION("IFERROR(
  INDEX(
    FILTER(
      IMPORTRANGE(""1aSOrU4PTpuBZqfitKaH1Rfww6-YOiNCKoBpPl8XBHaw/edit?gid=0#gid=0"",""Sheet1!G:G""),
      IMPORTRANGE(""1aSOrU4PTpuBZqfitKaH1Rfww6-YOiNCKoBpPl8XBHaw/edit?gid=0#gid=0"",""Sheet1!C:C"")=$B242
    ),
    1
  ),
"&amp;"  ""Not Found""
)"),"Community Secular Info Share")</f>
        <v>Community Secular Info Share</v>
      </c>
      <c r="E242" s="284" t="str">
        <f>VLOOKUP(B242,'Juma Recording forms'!A:E,5,false)</f>
        <v>Jamiya ghousi rizveimasjid faisalabad </v>
      </c>
      <c r="F242" s="284" t="str">
        <f>IFERROR(__xludf.DUMMYFUNCTION("IFERROR(
  INDEX(
    FILTER(
      IMPORTRANGE(""1Cxrhp3-_-HS7v9uuqQliiIfrmMP4VaFoDNDWyUFy2J8/edit?gid=0#gid=0"",""Sheet1!Q:Q""),
      IMPORTRANGE(""1Cxrhp3-_-HS7v9uuqQliiIfrmMP4VaFoDNDWyUFy2J8/edit?gid=0#gid=0"",""Sheet1!K:K"")=$B242
    ),
    1
  ),
"&amp;"  ""Not Found""
)"),"Not Found")</f>
        <v>Not Found</v>
      </c>
      <c r="G242" s="292">
        <v>1947.0</v>
      </c>
      <c r="H242" s="284"/>
      <c r="I242" s="285" t="s">
        <v>197</v>
      </c>
      <c r="J242" s="286">
        <v>2.0</v>
      </c>
      <c r="K242" s="287" t="str">
        <f>VLOOKUP($B242,'Mosque Locations'!$A:$E,3,FALSE)
</f>
        <v>https://maps.google.com/maps?q=31.4238529%2C73.072792&amp;z=17&amp;hl=en</v>
      </c>
      <c r="L242" s="286">
        <f>VLOOKUP($B242,'Mosque Locations'!$A:$E,4,FALSE)
</f>
        <v>31.42385</v>
      </c>
      <c r="M242" s="286">
        <f>VLOOKUP($B242,'Mosque Locations'!$A:$E,5,false)</f>
        <v>73.07279</v>
      </c>
      <c r="N242" s="288"/>
      <c r="O242" s="288"/>
      <c r="P242" s="288"/>
      <c r="Q242" s="296" t="str">
        <f>IFERROR(__xludf.DUMMYFUNCTION("IFERROR(
  INDEX(
    FILTER(
      IMPORTRANGE(""1kOrIKZmJfNUkgOVP3sI9BPjaaPA0_a4636oymQxTXg8"",""Form Responses 1!N:N""),
      TRIM(IMPORTRANGE(""1kOrIKZmJfNUkgOVP3sI9BPjaaPA0_a4636oymQxTXg8"",""Form Responses 1!F:F""))=TRIM($B242)
    ),
    1
  ),
  "&amp;"""Not Found""
)
"),"https://drive.google.com/open?id=101CR35zQpIyGEO6Tk5LbbfQymq7-HROq")</f>
        <v>https://drive.google.com/open?id=101CR35zQpIyGEO6Tk5LbbfQymq7-HROq</v>
      </c>
      <c r="R242" s="290" t="str">
        <f>IFERROR(__xludf.DUMMYFUNCTION("IFERROR(
  INDEX(
    FILTER(
      IMPORTRANGE(""1kOrIKZmJfNUkgOVP3sI9BPjaaPA0_a4636oymQxTXg8"",""Form Responses 1!M:M""),
      TRIM(IMPORTRANGE(""1kOrIKZmJfNUkgOVP3sI9BPjaaPA0_a4636oymQxTXg8"",""Form Responses 1!F:F""))=TRIM($B242)
    ),
    1
  ),
  "&amp;"""Not Found""
)
"),"https://drive.google.com/open?id=1mUVyidEb0g2iEL6nzWPhCm1YTlbDa1R_")</f>
        <v>https://drive.google.com/open?id=1mUVyidEb0g2iEL6nzWPhCm1YTlbDa1R_</v>
      </c>
      <c r="S242" s="283" t="s">
        <v>4884</v>
      </c>
      <c r="T242" s="290" t="str">
        <f>VLOOKUP($B242,'Master Tracker'!D:E,2,false)</f>
        <v>https://drive.google.com/open?id=1lO9lMOApREQcUv65YSDtWMYhG8XnVI0x</v>
      </c>
      <c r="U242" s="291" t="str">
        <f>VLOOKUP($B242,'Master Tracker'!$D:$T,4,FALSE)
</f>
        <v>https://drive.google.com/open?id=1PlNpMQWoVTPj0RqA3c-rd8eeeniccl_g</v>
      </c>
      <c r="V242" s="290" t="str">
        <f>VLOOKUP($B242,'Master Tracker'!$D:$T,5,false)</f>
        <v>https://drive.google.com/open?id=1XLSWZFgoVv755WqT-6z2U_rNbOx9r2xj</v>
      </c>
      <c r="W242" s="291" t="str">
        <f>VLOOKUP($B242,'Master Tracker'!$D:$T,7,false)</f>
        <v>https://drive.google.com/open?id=1YXBC3NlOIdQ2gA231B6ugUZJZjc_Qqny</v>
      </c>
      <c r="X242" s="290" t="str">
        <f>VLOOKUP($B242,'Master Tracker'!$D:$T,8,false)</f>
        <v>https://drive.google.com/open?id=16opNfCyWSZ7eYagh8AfH-ZMP6sUGA2g9</v>
      </c>
      <c r="Y242" s="291" t="str">
        <f>VLOOKUP($B242,'Master Tracker'!$D:$T,10,false)</f>
        <v>https://drive.google.com/open?id=1v8PtdIXA2GLy0WdjGkYSSjJZFVKwAhCu</v>
      </c>
      <c r="Z242" s="284" t="str">
        <f>VLOOKUP($B242,'Master Tracker'!$D:$T,11,false)</f>
        <v>Not Found</v>
      </c>
      <c r="AA242" s="292" t="str">
        <f>VLOOKUP($B242,'Master Tracker'!$D:$T,13,false)</f>
        <v>Not Found</v>
      </c>
      <c r="AB242" s="284" t="str">
        <f>VLOOKUP($B242,'Master Tracker'!$D:$T,14,false)</f>
        <v>Not Found</v>
      </c>
      <c r="AC242" s="292" t="str">
        <f>VLOOKUP($B242,'Master Tracker'!$D:$T,16,false)</f>
        <v>Not Found</v>
      </c>
      <c r="AD242" s="292" t="str">
        <f>VLOOKUP($B242,'Master Tracker'!$D:$T,17,false)</f>
        <v>Not Found</v>
      </c>
      <c r="AE242" s="292" t="str">
        <f>VLOOKUP($B242,'Master Tracker'!$D:$V,19,false)</f>
        <v>Not Found</v>
      </c>
      <c r="AF242" s="292">
        <f>IFERROR(__xludf.DUMMYFUNCTION("IFERROR(
  INDEX(
    FILTER(
      'Juma Recording forms'!$G:$G,
      TRIM('Juma Recording forms'!$F:$F) = TRIM($B242),
      'Juma Recording forms'!$AA:$AA = 1
    ),
    1
  ),
  ""Not Found""
)"),114.0)</f>
        <v>114</v>
      </c>
      <c r="AG242" s="292">
        <f>IFERROR(__xludf.DUMMYFUNCTION("IFERROR(
  INDEX(
    FILTER(
      'Juma Recording forms'!$G:$G,
      TRIM('Juma Recording forms'!$F:$F) = TRIM($B242),
      'Juma Recording forms'!$AA:$AA = 2
    ),
    1
  ),
  ""Not Found""
)"),125.0)</f>
        <v>125</v>
      </c>
      <c r="AH242" s="292">
        <f>IFERROR(__xludf.DUMMYFUNCTION("IFERROR(
  INDEX(
    FILTER(
      'Juma Recording forms'!$G:$G,
      TRIM('Juma Recording forms'!$F:$F) = TRIM($B242),
      'Juma Recording forms'!$AA:$AA = 3
    ),
    1
  ),
  ""Not Found""
)"),126.0)</f>
        <v>126</v>
      </c>
      <c r="AI242" s="292" t="str">
        <f>IFERROR(__xludf.DUMMYFUNCTION("IFERROR(
  INDEX(
    FILTER(
      'Juma Recording forms'!$G:$G,
      TRIM('Juma Recording forms'!$F:$F) = TRIM($B242),
      'Juma Recording forms'!$AA:$AA = 4
    ),
    1
  ),
  ""Not Found""
)"),"Not Found")</f>
        <v>Not Found</v>
      </c>
      <c r="AJ242" s="292" t="str">
        <f>IFERROR(__xludf.DUMMYFUNCTION("IFERROR(
  INDEX(
    FILTER(
      'Juma Recording forms'!$G:$G,
      TRIM('Juma Recording forms'!$F:$F) = TRIM($B242),
      'Juma Recording forms'!$AA:$AA = 5
    ),
    1
  ),
  ""Not Found""
)"),"Not Found")</f>
        <v>Not Found</v>
      </c>
      <c r="AK242" s="292" t="str">
        <f>IFERROR(__xludf.DUMMYFUNCTION("IFERROR(
  INDEX(
    FILTER(
      'Juma Recording forms'!$G:$G,
      TRIM('Juma Recording forms'!$F:$F) = TRIM($B242),
      'Juma Recording forms'!$AA:$AA = 6
    ),
    1
  ),
  ""Not Found""
)"),"Not Found")</f>
        <v>Not Found</v>
      </c>
      <c r="AL2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1!$E:$E"")=$B242) *
        (IMPORTRANGE(""https://docs.google.com/spreadsheets/d/161aHT6vVT3SLneTKD19N5qVWtnj_jIT8CSsOmUVKmaA/e"&amp;"dit?gid=1761053510"",
          ""Haris_Form responses 1!$AQ:$AQ"")=1)
      ),
      1
    ),
    ""0""
  ),
  ""Form not found""
)
"),"10")</f>
        <v>10</v>
      </c>
      <c r="AM2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1!$E:$E"")=$B242) *
        (IMPORTRANGE(""https://docs.google.com/spreadsheets/d/161aHT6vVT3SLneTKD19N5qVWtnj_jIT8CSsOmUVKmaA/e"&amp;"dit?gid=1761053510"",
          ""Haris_Form responses 1!$AQ:$AQ"")=2)
      ),
      1
    ),
    ""0""
  ),
  ""Form not found""
)
"),"9")</f>
        <v>9</v>
      </c>
      <c r="AN2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1!$E:$E"")=$B242) *
        (IMPORTRANGE(""https://docs.google.com/spreadsheets/d/161aHT6vVT3SLneTKD19N5qVWtnj_jIT8CSsOmUVKmaA/e"&amp;"dit?gid=1761053510"",
          ""Haris_Form responses 1!$AQ:$AQ"")=3)
      ),
      1
    ),
    ""0""
  ),
  ""Form not found""
)
"),"0")</f>
        <v>0</v>
      </c>
      <c r="AO2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1!$E:$E"")=$B242) *
        (IMPORTRANGE(""https://docs.google.com/spreadsheets/d/161aHT6vVT3SLneTKD19N5qVWtnj_jIT8CSsOmUVKmaA/e"&amp;"dit?gid=1761053510"",
          ""Haris_Form responses 1!$AQ:$AQ"")=4)
      ),
      1
    ),
    ""0""
  ),
  ""Form not found""
)
"),"Form not found")</f>
        <v>Form not found</v>
      </c>
      <c r="AP2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1!$E:$E"")=$B242) *
        (IMPORTRANGE(""https://docs.google.com/spreadsheets/d/161aHT6vVT3SLneTKD19N5qVWtnj_jIT8CSsOmUVKmaA/e"&amp;"dit?gid=1761053510"",
          ""Haris_Form responses 1!$AQ:$AQ"")=5)
      ),
      1
    ),
    ""0""
  ),
  ""Form not found""
)
"),"Form not found")</f>
        <v>Form not found</v>
      </c>
      <c r="AQ24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1!$E:$E"")=$B242) *
        (IMPORTRANGE(""https://docs.google.com/spreadsheets/d/161aHT6vVT3SLneTKD19N5qVWtnj_jIT8CSsOmUVKmaA/e"&amp;"dit?gid=1761053510"",
          ""Haris_Form responses 1!$AQ:$AQ"")=6)
      ),
      1
    ),
    ""0""
  ),
  ""Form not found""
)
"),"Form not found")</f>
        <v>Form not found</v>
      </c>
      <c r="AR2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1!$E:$E"")=$B242) *
        (IMPORTRANGE(""https://docs.google.com/spreadsheets/d/161aHT6vVT3SLneTKD19N5qVWtnj_jIT8CSsOmUVKmaA/e"&amp;"dit?gid=1761053510"",
          ""Haris_Form responses 1!$AQ:$AQ"")=1)
      ),
      1
    ),
    ""0""
  ),
  ""Form not found""
)
"),"10")</f>
        <v>10</v>
      </c>
      <c r="AS2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1!$E:$E"")=$B242) *
        (IMPORTRANGE(""https://docs.google.com/spreadsheets/d/161aHT6vVT3SLneTKD19N5qVWtnj_jIT8CSsOmUVKmaA/e"&amp;"dit?gid=1761053510"",
          ""Haris_Form responses 1!$AQ:$AQ"")=2)
      ),
      1
    ),
    ""0""
  ),
  ""Form not found""
)
"),"9")</f>
        <v>9</v>
      </c>
      <c r="AT2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1!$E:$E"")=$B242) *
        (IMPORTRANGE(""https://docs.google.com/spreadsheets/d/161aHT6vVT3SLneTKD19N5qVWtnj_jIT8CSsOmUVKmaA/e"&amp;"dit?gid=1761053510"",
          ""Haris_Form responses 1!$AQ:$AQ"")=3)
      ),
      1
    ),
    ""0""
  ),
  ""Form not found""
)
"),"0")</f>
        <v>0</v>
      </c>
      <c r="AU2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1!$E:$E"")=$B242) *
        (IMPORTRANGE(""https://docs.google.com/spreadsheets/d/161aHT6vVT3SLneTKD19N5qVWtnj_jIT8CSsOmUVKmaA/e"&amp;"dit?gid=1761053510"",
          ""Haris_Form responses 1!$AQ:$AQ"")=4)
      ),
      1
    ),
    ""0""
  ),
  ""Form not found""
)
"),"Form not found")</f>
        <v>Form not found</v>
      </c>
      <c r="AV2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1!$E:$E"")=$B242) *
        (IMPORTRANGE(""https://docs.google.com/spreadsheets/d/161aHT6vVT3SLneTKD19N5qVWtnj_jIT8CSsOmUVKmaA/e"&amp;"dit?gid=1761053510"",
          ""Haris_Form responses 1!$AQ:$AQ"")=5)
      ),
      1
    ),
    ""0""
  ),
  ""Form not found""
)
"),"Form not found")</f>
        <v>Form not found</v>
      </c>
      <c r="AW24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1!$E:$E"")=$B242) *
        (IMPORTRANGE(""https://docs.google.com/spreadsheets/d/161aHT6vVT3SLneTKD19N5qVWtnj_jIT8CSsOmUVKmaA/e"&amp;"dit?gid=1761053510"",
          ""Haris_Form responses 1!$AQ:$AQ"")=6)
      ),
      1
    ),
    ""0""
  ),
  ""Form not found""
)
"),"Form not found")</f>
        <v>Form not found</v>
      </c>
      <c r="AX2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1!$E:$E"")=$B242) *
        (IMPORTRANGE(""https://docs.google.com/spreadsheets/d/161aHT6vVT3SLneTKD19N5qVWtnj_jIT8CSsOmUVKmaA/e"&amp;"dit?gid=1761053510"",
          ""Haris_Form responses 1!$AQ:$AQ"")=1)
      ),
      1
    ),
    ""0""
  ),
  ""Form not found""
)
"),"0")</f>
        <v>0</v>
      </c>
      <c r="AY2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1!$E:$E"")=$B242) *
        (IMPORTRANGE(""https://docs.google.com/spreadsheets/d/161aHT6vVT3SLneTKD19N5qVWtnj_jIT8CSsOmUVKmaA/e"&amp;"dit?gid=1761053510"",
          ""Haris_Form responses 1!$AQ:$AQ"")=2)
      ),
      1
    ),
    ""0""
  ),
  ""Form not found""
)
"),"1")</f>
        <v>1</v>
      </c>
      <c r="AZ2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1!$E:$E"")=$B242) *
        (IMPORTRANGE(""https://docs.google.com/spreadsheets/d/161aHT6vVT3SLneTKD19N5qVWtnj_jIT8CSsOmUVKmaA/e"&amp;"dit?gid=1761053510"",
          ""Haris_Form responses 1!$AQ:$AQ"")=3)
      ),
      1
    ),
    ""0""
  ),
  ""Form not found""
)
"),"0")</f>
        <v>0</v>
      </c>
      <c r="BA2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1!$E:$E"")=$B242) *
        (IMPORTRANGE(""https://docs.google.com/spreadsheets/d/161aHT6vVT3SLneTKD19N5qVWtnj_jIT8CSsOmUVKmaA/e"&amp;"dit?gid=1761053510"",
          ""Haris_Form responses 1!$AQ:$AQ"")=4)
      ),
      1
    ),
    ""0""
  ),
  ""Form not found""
)
"),"Form not found")</f>
        <v>Form not found</v>
      </c>
      <c r="BB2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1!$E:$E"")=$B242) *
        (IMPORTRANGE(""https://docs.google.com/spreadsheets/d/161aHT6vVT3SLneTKD19N5qVWtnj_jIT8CSsOmUVKmaA/e"&amp;"dit?gid=1761053510"",
          ""Haris_Form responses 1!$AQ:$AQ"")=5)
      ),
      1
    ),
    ""0""
  ),
  ""Form not found""
)
"),"Form not found")</f>
        <v>Form not found</v>
      </c>
      <c r="BC24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1!$E:$E"")=$B242) *
        (IMPORTRANGE(""https://docs.google.com/spreadsheets/d/161aHT6vVT3SLneTKD19N5qVWtnj_jIT8CSsOmUVKmaA/e"&amp;"dit?gid=1761053510"",
          ""Haris_Form responses 1!$AQ:$AQ"")=6)
      ),
      1
    ),
    ""0""
  ),
  ""Form not found""
)
"),"Form not found")</f>
        <v>Form not found</v>
      </c>
      <c r="BD242" s="293"/>
    </row>
    <row r="243">
      <c r="A243" s="283" t="str">
        <f>IFERROR(__xludf.DUMMYFUNCTION("VLOOKUP($B243,IMPORTRANGE(""https://docs.google.com/spreadsheets/d/1VNXDITjs75AcgdBSW27oL1VZH31udDprJSsBcE5xlp4/edit?gid=1551188038#gid=1551188038"", ""Sheet9!$B:$E""),2,false)"),"Faisalabad")</f>
        <v>Faisalabad</v>
      </c>
      <c r="B243" s="283" t="s">
        <v>4695</v>
      </c>
      <c r="C243" s="284" t="str">
        <f>IFERROR(__xludf.DUMMYFUNCTION("VLOOKUP(TRIM($B243), IMPORTRANGE(""https://docs.google.com/spreadsheets/d/1aSOrU4PTpuBZqfitKaH1Rfww6-YOiNCKoBpPl8XBHaw/edit?gid=0#gid=0"", ""sheet3!$B:$C""), 2, FALSE)
"),"Jamia Masjid Gulzar Madina Gala Mandi Ameem Pura")</f>
        <v>Jamia Masjid Gulzar Madina Gala Mandi Ameem Pura</v>
      </c>
      <c r="D243" s="284" t="str">
        <f>IFERROR(__xludf.DUMMYFUNCTION("IFERROR(
  INDEX(
    FILTER(
      IMPORTRANGE(""1aSOrU4PTpuBZqfitKaH1Rfww6-YOiNCKoBpPl8XBHaw/edit?gid=0#gid=0"",""Sheet1!G:G""),
      IMPORTRANGE(""1aSOrU4PTpuBZqfitKaH1Rfww6-YOiNCKoBpPl8XBHaw/edit?gid=0#gid=0"",""Sheet1!C:C"")=$B243
    ),
    1
  ),
"&amp;"  ""Not Found""
)"),"Women Religious No Info Share")</f>
        <v>Women Religious No Info Share</v>
      </c>
      <c r="E243" s="284" t="str">
        <f>VLOOKUP(B243,'Juma Recording forms'!A:E,5,false)</f>
        <v>Jamia Masjid Gulzar e Madina Old Ghala Mandi Ameen Pur Bazar Faisalabad</v>
      </c>
      <c r="F243" s="284" t="str">
        <f>IFERROR(__xludf.DUMMYFUNCTION("IFERROR(
  INDEX(
    FILTER(
      IMPORTRANGE(""1Cxrhp3-_-HS7v9uuqQliiIfrmMP4VaFoDNDWyUFy2J8/edit?gid=0#gid=0"",""Sheet1!Q:Q""),
      IMPORTRANGE(""1Cxrhp3-_-HS7v9uuqQliiIfrmMP4VaFoDNDWyUFy2J8/edit?gid=0#gid=0"",""Sheet1!K:K"")=$B243
    ),
    1
  ),
"&amp;"  ""Not Found""
)"),"Not Found")</f>
        <v>Not Found</v>
      </c>
      <c r="G243" s="284"/>
      <c r="H243" s="284"/>
      <c r="I243" s="285" t="s">
        <v>197</v>
      </c>
      <c r="J243" s="286">
        <v>2.0</v>
      </c>
      <c r="K243" s="287" t="str">
        <f>VLOOKUP($B243,'Mosque Locations'!$A:$E,3,FALSE)
</f>
        <v>https://maps.app.goo.gl/J41qAuEDEuH3aCWQ7</v>
      </c>
      <c r="L243" s="286">
        <f>VLOOKUP($B243,'Mosque Locations'!$A:$E,4,FALSE)
</f>
        <v>31.399</v>
      </c>
      <c r="M243" s="286" t="str">
        <f>VLOOKUP($B243,'Mosque Locations'!$A:$E,5,false)</f>
        <v>73.081675 (approx extracted)</v>
      </c>
      <c r="N243" s="288"/>
      <c r="O243" s="288"/>
      <c r="P243" s="288"/>
      <c r="Q243" s="295" t="str">
        <f>IFERROR(__xludf.DUMMYFUNCTION("IFERROR(
  INDEX(
    FILTER(
      IMPORTRANGE(""1kOrIKZmJfNUkgOVP3sI9BPjaaPA0_a4636oymQxTXg8"",""Form Responses 1!N:N""),
      TRIM(IMPORTRANGE(""1kOrIKZmJfNUkgOVP3sI9BPjaaPA0_a4636oymQxTXg8"",""Form Responses 1!F:F""))=TRIM($B243)
    ),
    1
  ),
  "&amp;"""Not Found""
)
"),"https://drive.google.com/file/d/19uGa-Xln9p5EXXMWxShLFOPJ2IZl8y31/view?usp=drive_link")</f>
        <v>https://drive.google.com/file/d/19uGa-Xln9p5EXXMWxShLFOPJ2IZl8y31/view?usp=drive_link</v>
      </c>
      <c r="R243" s="295" t="str">
        <f>IFERROR(__xludf.DUMMYFUNCTION("IFERROR(
  INDEX(
    FILTER(
      IMPORTRANGE(""1kOrIKZmJfNUkgOVP3sI9BPjaaPA0_a4636oymQxTXg8"",""Form Responses 1!M:M""),
      TRIM(IMPORTRANGE(""1kOrIKZmJfNUkgOVP3sI9BPjaaPA0_a4636oymQxTXg8"",""Form Responses 1!F:F""))=TRIM($B243)
    ),
    1
  ),
  "&amp;"""Not Found""
)
"),"https://drive.google.com/open?id=1awevGsuvCx6GfdaZjmmz7dOhhrbVzpkD")</f>
        <v>https://drive.google.com/open?id=1awevGsuvCx6GfdaZjmmz7dOhhrbVzpkD</v>
      </c>
      <c r="S243" s="285"/>
      <c r="T243" s="290" t="str">
        <f>VLOOKUP($B243,'Master Tracker'!D:E,2,false)</f>
        <v>https://drive.google.com/open?id=1ur7G3AUkNdnrOZFzwEYR3N_uPWwlF6xE</v>
      </c>
      <c r="U243" s="291" t="str">
        <f>VLOOKUP($B243,'Master Tracker'!$D:$T,4,FALSE)
</f>
        <v>https://drive.google.com/open?id=1sBGEpw7xq2HNHQAxpYQtRgFrxPcf79bC</v>
      </c>
      <c r="V243" s="290" t="str">
        <f>VLOOKUP($B243,'Master Tracker'!$D:$T,5,false)</f>
        <v>https://drive.google.com/open?id=1XYvwuRh26LZfVIC9VBpKxGQ0r0u8-uLq</v>
      </c>
      <c r="W243" s="291" t="str">
        <f>VLOOKUP($B243,'Master Tracker'!$D:$T,7,false)</f>
        <v>https://drive.google.com/open?id=1X590KD6YZjW9YirZux1ukNMRvDngbNTg</v>
      </c>
      <c r="X243" s="290" t="str">
        <f>VLOOKUP($B243,'Master Tracker'!$D:$T,8,false)</f>
        <v>https://drive.google.com/open?id=1C1DgZiEGwT6hUMaJT4M9Eqx7bvN2Wgrk</v>
      </c>
      <c r="Y243" s="291" t="str">
        <f>VLOOKUP($B243,'Master Tracker'!$D:$T,10,false)</f>
        <v>https://drive.google.com/open?id=1TyKm8O6GmPjB-ip7i9IfHNaO_PknXT4w</v>
      </c>
      <c r="Z243" s="290" t="str">
        <f>VLOOKUP($B243,'Master Tracker'!$D:$T,11,false)</f>
        <v>https://drive.google.com/open?id=1HVneWpebzcpx-hkem7Cm6BUqxPH3WX2g</v>
      </c>
      <c r="AA243" s="291" t="str">
        <f>VLOOKUP($B243,'Master Tracker'!$D:$T,13,false)</f>
        <v>https://drive.google.com/open?id=1E2DcFA8OdpvOOcoHZRr2LSnGPvE83hFN</v>
      </c>
      <c r="AB243" s="290" t="str">
        <f>VLOOKUP($B243,'Master Tracker'!$D:$T,14,false)</f>
        <v>https://drive.google.com/open?id=1Z76kVxHs2OZEszdt9g0k05dluBIYTFHN</v>
      </c>
      <c r="AC243" s="291" t="str">
        <f>VLOOKUP($B243,'Master Tracker'!$D:$T,16,false)</f>
        <v>https://drive.google.com/open?id=1biSZAJ8B9OhqZyvrJWtmhRiXbvJTx34E</v>
      </c>
      <c r="AD243" s="292" t="str">
        <f>VLOOKUP($B243,'Master Tracker'!$D:$T,17,false)</f>
        <v>Not Found</v>
      </c>
      <c r="AE243" s="292" t="str">
        <f>VLOOKUP($B243,'Master Tracker'!$D:$V,19,false)</f>
        <v>Not Found</v>
      </c>
      <c r="AF243" s="292">
        <f>IFERROR(__xludf.DUMMYFUNCTION("IFERROR(
  INDEX(
    FILTER(
      'Juma Recording forms'!$G:$G,
      TRIM('Juma Recording forms'!$F:$F) = TRIM($B243),
      'Juma Recording forms'!$AA:$AA = 1
    ),
    1
  ),
  ""Not Found""
)"),319.0)</f>
        <v>319</v>
      </c>
      <c r="AG243" s="292">
        <f>IFERROR(__xludf.DUMMYFUNCTION("IFERROR(
  INDEX(
    FILTER(
      'Juma Recording forms'!$G:$G,
      TRIM('Juma Recording forms'!$F:$F) = TRIM($B243),
      'Juma Recording forms'!$AA:$AA = 2
    ),
    1
  ),
  ""Not Found""
)"),261.0)</f>
        <v>261</v>
      </c>
      <c r="AH243" s="292">
        <f>IFERROR(__xludf.DUMMYFUNCTION("IFERROR(
  INDEX(
    FILTER(
      'Juma Recording forms'!$G:$G,
      TRIM('Juma Recording forms'!$F:$F) = TRIM($B243),
      'Juma Recording forms'!$AA:$AA = 3
    ),
    1
  ),
  ""Not Found""
)"),255.0)</f>
        <v>255</v>
      </c>
      <c r="AI243" s="292">
        <f>IFERROR(__xludf.DUMMYFUNCTION("IFERROR(
  INDEX(
    FILTER(
      'Juma Recording forms'!$G:$G,
      TRIM('Juma Recording forms'!$F:$F) = TRIM($B243),
      'Juma Recording forms'!$AA:$AA = 4
    ),
    1
  ),
  ""Not Found""
)"),278.0)</f>
        <v>278</v>
      </c>
      <c r="AJ243" s="292">
        <f>IFERROR(__xludf.DUMMYFUNCTION("IFERROR(
  INDEX(
    FILTER(
      'Juma Recording forms'!$G:$G,
      TRIM('Juma Recording forms'!$F:$F) = TRIM($B243),
      'Juma Recording forms'!$AA:$AA = 5
    ),
    1
  ),
  ""Not Found""
)"),287.0)</f>
        <v>287</v>
      </c>
      <c r="AK243" s="292" t="str">
        <f>IFERROR(__xludf.DUMMYFUNCTION("IFERROR(
  INDEX(
    FILTER(
      'Juma Recording forms'!$G:$G,
      TRIM('Juma Recording forms'!$F:$F) = TRIM($B243),
      'Juma Recording forms'!$AA:$AA = 6
    ),
    1
  ),
  ""Not Found""
)"),"Not Found")</f>
        <v>Not Found</v>
      </c>
      <c r="AL2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1!$E:$E"")=$B243) *
        (IMPORTRANGE(""https://docs.google.com/spreadsheets/d/161aHT6vVT3SLneTKD19N5qVWtnj_jIT8CSsOmUVKmaA/e"&amp;"dit?gid=1761053510"",
          ""Haris_Form responses 1!$AQ:$AQ"")=1)
      ),
      1
    ),
    ""0""
  ),
  ""Form not found""
)
"),"0")</f>
        <v>0</v>
      </c>
      <c r="AM2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1!$E:$E"")=$B243) *
        (IMPORTRANGE(""https://docs.google.com/spreadsheets/d/161aHT6vVT3SLneTKD19N5qVWtnj_jIT8CSsOmUVKmaA/e"&amp;"dit?gid=1761053510"",
          ""Haris_Form responses 1!$AQ:$AQ"")=2)
      ),
      1
    ),
    ""0""
  ),
  ""Form not found""
)
"),"4")</f>
        <v>4</v>
      </c>
      <c r="AN2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1!$E:$E"")=$B243) *
        (IMPORTRANGE(""https://docs.google.com/spreadsheets/d/161aHT6vVT3SLneTKD19N5qVWtnj_jIT8CSsOmUVKmaA/e"&amp;"dit?gid=1761053510"",
          ""Haris_Form responses 1!$AQ:$AQ"")=3)
      ),
      1
    ),
    ""0""
  ),
  ""Form not found""
)
"),"6")</f>
        <v>6</v>
      </c>
      <c r="AO2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1!$E:$E"")=$B243) *
        (IMPORTRANGE(""https://docs.google.com/spreadsheets/d/161aHT6vVT3SLneTKD19N5qVWtnj_jIT8CSsOmUVKmaA/e"&amp;"dit?gid=1761053510"",
          ""Haris_Form responses 1!$AQ:$AQ"")=4)
      ),
      1
    ),
    ""0""
  ),
  ""Form not found""
)
"),"9")</f>
        <v>9</v>
      </c>
      <c r="AP2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1!$E:$E"")=$B243) *
        (IMPORTRANGE(""https://docs.google.com/spreadsheets/d/161aHT6vVT3SLneTKD19N5qVWtnj_jIT8CSsOmUVKmaA/e"&amp;"dit?gid=1761053510"",
          ""Haris_Form responses 1!$AQ:$AQ"")=5)
      ),
      1
    ),
    ""0""
  ),
  ""Form not found""
)
"),"0")</f>
        <v>0</v>
      </c>
      <c r="AQ24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1!$E:$E"")=$B243) *
        (IMPORTRANGE(""https://docs.google.com/spreadsheets/d/161aHT6vVT3SLneTKD19N5qVWtnj_jIT8CSsOmUVKmaA/e"&amp;"dit?gid=1761053510"",
          ""Haris_Form responses 1!$AQ:$AQ"")=6)
      ),
      1
    ),
    ""0""
  ),
  ""Form not found""
)
"),"Form not found")</f>
        <v>Form not found</v>
      </c>
      <c r="AR2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1!$E:$E"")=$B243) *
        (IMPORTRANGE(""https://docs.google.com/spreadsheets/d/161aHT6vVT3SLneTKD19N5qVWtnj_jIT8CSsOmUVKmaA/e"&amp;"dit?gid=1761053510"",
          ""Haris_Form responses 1!$AQ:$AQ"")=1)
      ),
      1
    ),
    ""0""
  ),
  ""Form not found""
)
"),"0")</f>
        <v>0</v>
      </c>
      <c r="AS2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1!$E:$E"")=$B243) *
        (IMPORTRANGE(""https://docs.google.com/spreadsheets/d/161aHT6vVT3SLneTKD19N5qVWtnj_jIT8CSsOmUVKmaA/e"&amp;"dit?gid=1761053510"",
          ""Haris_Form responses 1!$AQ:$AQ"")=2)
      ),
      1
    ),
    ""0""
  ),
  ""Form not found""
)
"),"0")</f>
        <v>0</v>
      </c>
      <c r="AT2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1!$E:$E"")=$B243) *
        (IMPORTRANGE(""https://docs.google.com/spreadsheets/d/161aHT6vVT3SLneTKD19N5qVWtnj_jIT8CSsOmUVKmaA/e"&amp;"dit?gid=1761053510"",
          ""Haris_Form responses 1!$AQ:$AQ"")=3)
      ),
      1
    ),
    ""0""
  ),
  ""Form not found""
)
"),"0")</f>
        <v>0</v>
      </c>
      <c r="AU2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1!$E:$E"")=$B243) *
        (IMPORTRANGE(""https://docs.google.com/spreadsheets/d/161aHT6vVT3SLneTKD19N5qVWtnj_jIT8CSsOmUVKmaA/e"&amp;"dit?gid=1761053510"",
          ""Haris_Form responses 1!$AQ:$AQ"")=4)
      ),
      1
    ),
    ""0""
  ),
  ""Form not found""
)
"),"0")</f>
        <v>0</v>
      </c>
      <c r="AV2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1!$E:$E"")=$B243) *
        (IMPORTRANGE(""https://docs.google.com/spreadsheets/d/161aHT6vVT3SLneTKD19N5qVWtnj_jIT8CSsOmUVKmaA/e"&amp;"dit?gid=1761053510"",
          ""Haris_Form responses 1!$AQ:$AQ"")=5)
      ),
      1
    ),
    ""0""
  ),
  ""Form not found""
)
"),"0")</f>
        <v>0</v>
      </c>
      <c r="AW24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1!$E:$E"")=$B243) *
        (IMPORTRANGE(""https://docs.google.com/spreadsheets/d/161aHT6vVT3SLneTKD19N5qVWtnj_jIT8CSsOmUVKmaA/e"&amp;"dit?gid=1761053510"",
          ""Haris_Form responses 1!$AQ:$AQ"")=6)
      ),
      1
    ),
    ""0""
  ),
  ""Form not found""
)
"),"Form not found")</f>
        <v>Form not found</v>
      </c>
      <c r="AX2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1!$E:$E"")=$B243) *
        (IMPORTRANGE(""https://docs.google.com/spreadsheets/d/161aHT6vVT3SLneTKD19N5qVWtnj_jIT8CSsOmUVKmaA/e"&amp;"dit?gid=1761053510"",
          ""Haris_Form responses 1!$AQ:$AQ"")=1)
      ),
      1
    ),
    ""0""
  ),
  ""Form not found""
)
"),"0")</f>
        <v>0</v>
      </c>
      <c r="AY2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1!$E:$E"")=$B243) *
        (IMPORTRANGE(""https://docs.google.com/spreadsheets/d/161aHT6vVT3SLneTKD19N5qVWtnj_jIT8CSsOmUVKmaA/e"&amp;"dit?gid=1761053510"",
          ""Haris_Form responses 1!$AQ:$AQ"")=2)
      ),
      1
    ),
    ""0""
  ),
  ""Form not found""
)
"),"4")</f>
        <v>4</v>
      </c>
      <c r="AZ2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1!$E:$E"")=$B243) *
        (IMPORTRANGE(""https://docs.google.com/spreadsheets/d/161aHT6vVT3SLneTKD19N5qVWtnj_jIT8CSsOmUVKmaA/e"&amp;"dit?gid=1761053510"",
          ""Haris_Form responses 1!$AQ:$AQ"")=3)
      ),
      1
    ),
    ""0""
  ),
  ""Form not found""
)
"),"6")</f>
        <v>6</v>
      </c>
      <c r="BA2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1!$E:$E"")=$B243) *
        (IMPORTRANGE(""https://docs.google.com/spreadsheets/d/161aHT6vVT3SLneTKD19N5qVWtnj_jIT8CSsOmUVKmaA/e"&amp;"dit?gid=1761053510"",
          ""Haris_Form responses 1!$AQ:$AQ"")=4)
      ),
      1
    ),
    ""0""
  ),
  ""Form not found""
)
"),"9")</f>
        <v>9</v>
      </c>
      <c r="BB2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1!$E:$E"")=$B243) *
        (IMPORTRANGE(""https://docs.google.com/spreadsheets/d/161aHT6vVT3SLneTKD19N5qVWtnj_jIT8CSsOmUVKmaA/e"&amp;"dit?gid=1761053510"",
          ""Haris_Form responses 1!$AQ:$AQ"")=5)
      ),
      1
    ),
    ""0""
  ),
  ""Form not found""
)
"),"0")</f>
        <v>0</v>
      </c>
      <c r="BC24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1!$E:$E"")=$B243) *
        (IMPORTRANGE(""https://docs.google.com/spreadsheets/d/161aHT6vVT3SLneTKD19N5qVWtnj_jIT8CSsOmUVKmaA/e"&amp;"dit?gid=1761053510"",
          ""Haris_Form responses 1!$AQ:$AQ"")=6)
      ),
      1
    ),
    ""0""
  ),
  ""Form not found""
)
"),"Form not found")</f>
        <v>Form not found</v>
      </c>
      <c r="BD243" s="293"/>
    </row>
    <row r="244">
      <c r="A244" s="283" t="str">
        <f>IFERROR(__xludf.DUMMYFUNCTION("VLOOKUP($B244,IMPORTRANGE(""https://docs.google.com/spreadsheets/d/1VNXDITjs75AcgdBSW27oL1VZH31udDprJSsBcE5xlp4/edit?gid=1551188038#gid=1551188038"", ""Sheet9!$B:$E""),2,false)"),"Faisalabad")</f>
        <v>Faisalabad</v>
      </c>
      <c r="B244" s="283" t="s">
        <v>4128</v>
      </c>
      <c r="C244" s="284" t="str">
        <f>IFERROR(__xludf.DUMMYFUNCTION("VLOOKUP(TRIM($B244), IMPORTRANGE(""https://docs.google.com/spreadsheets/d/1aSOrU4PTpuBZqfitKaH1Rfww6-YOiNCKoBpPl8XBHaw/edit?gid=0#gid=0"", ""sheet3!$B:$C""), 2, FALSE)
"),"Jamia Masjid Muhammadiya Chastiya Makwana Faisalabad")</f>
        <v>Jamia Masjid Muhammadiya Chastiya Makwana Faisalabad</v>
      </c>
      <c r="D244" s="284" t="str">
        <f>IFERROR(__xludf.DUMMYFUNCTION("IFERROR(
  INDEX(
    FILTER(
      IMPORTRANGE(""1aSOrU4PTpuBZqfitKaH1Rfww6-YOiNCKoBpPl8XBHaw/edit?gid=0#gid=0"",""Sheet1!G:G""),
      IMPORTRANGE(""1aSOrU4PTpuBZqfitKaH1Rfww6-YOiNCKoBpPl8XBHaw/edit?gid=0#gid=0"",""Sheet1!C:C"")=$B244
    ),
    1
  ),
"&amp;"  ""Not Found""
)"),"Community Secular No Info Share")</f>
        <v>Community Secular No Info Share</v>
      </c>
      <c r="E244" s="284" t="str">
        <f>VLOOKUP(B244,'Juma Recording forms'!A:E,5,false)</f>
        <v>Jamia Masjid chistiya Mkuuana </v>
      </c>
      <c r="F244" s="284" t="str">
        <f>IFERROR(__xludf.DUMMYFUNCTION("IFERROR(
  INDEX(
    FILTER(
      IMPORTRANGE(""1Cxrhp3-_-HS7v9uuqQliiIfrmMP4VaFoDNDWyUFy2J8/edit?gid=0#gid=0"",""Sheet1!Q:Q""),
      IMPORTRANGE(""1Cxrhp3-_-HS7v9uuqQliiIfrmMP4VaFoDNDWyUFy2J8/edit?gid=0#gid=0"",""Sheet1!K:K"")=$B244
    ),
    1
  ),
"&amp;"  ""Not Found""
)"),"Not Found")</f>
        <v>Not Found</v>
      </c>
      <c r="G244" s="292">
        <v>1974.0</v>
      </c>
      <c r="H244" s="284"/>
      <c r="I244" s="285" t="s">
        <v>197</v>
      </c>
      <c r="J244" s="286">
        <v>2.0</v>
      </c>
      <c r="K244" s="287" t="str">
        <f>VLOOKUP($B244,'Mosque Locations'!$A:$E,3,FALSE)
</f>
        <v>https://www.google.com/maps?q=31.3881811,73.1997689</v>
      </c>
      <c r="L244" s="286">
        <f>VLOOKUP($B244,'Mosque Locations'!$A:$E,4,FALSE)
</f>
        <v>31.38818</v>
      </c>
      <c r="M244" s="286">
        <f>VLOOKUP($B244,'Mosque Locations'!$A:$E,5,false)</f>
        <v>73.19977</v>
      </c>
      <c r="N244" s="288"/>
      <c r="O244" s="288"/>
      <c r="P244" s="288"/>
      <c r="Q244" s="295" t="str">
        <f>IFERROR(__xludf.DUMMYFUNCTION("IFERROR(
  INDEX(
    FILTER(
      IMPORTRANGE(""1kOrIKZmJfNUkgOVP3sI9BPjaaPA0_a4636oymQxTXg8"",""Form Responses 1!N:N""),
      TRIM(IMPORTRANGE(""1kOrIKZmJfNUkgOVP3sI9BPjaaPA0_a4636oymQxTXg8"",""Form Responses 1!F:F""))=TRIM($B244)
    ),
    1
  ),
  "&amp;"""Not Found""
)
"),"https://drive.google.com/file/d/16p3jdMbl-boDF8mAfZiYb0zL8dqIHx0n/view?usp=drive_link")</f>
        <v>https://drive.google.com/file/d/16p3jdMbl-boDF8mAfZiYb0zL8dqIHx0n/view?usp=drive_link</v>
      </c>
      <c r="R244" s="295" t="str">
        <f>IFERROR(__xludf.DUMMYFUNCTION("IFERROR(
  INDEX(
    FILTER(
      IMPORTRANGE(""1kOrIKZmJfNUkgOVP3sI9BPjaaPA0_a4636oymQxTXg8"",""Form Responses 1!M:M""),
      TRIM(IMPORTRANGE(""1kOrIKZmJfNUkgOVP3sI9BPjaaPA0_a4636oymQxTXg8"",""Form Responses 1!F:F""))=TRIM($B244)
    ),
    1
  ),
  "&amp;"""Not Found""
)
"),"https://drive.google.com/open?id=132asvRjtg_tCgTy8_d91LRbW3kbINgcV")</f>
        <v>https://drive.google.com/open?id=132asvRjtg_tCgTy8_d91LRbW3kbINgcV</v>
      </c>
      <c r="S244" s="285"/>
      <c r="T244" s="284" t="str">
        <f>VLOOKUP($B244,'Master Tracker'!D:E,2,false)</f>
        <v>Not Found</v>
      </c>
      <c r="U244" s="292" t="str">
        <f>VLOOKUP($B244,'Master Tracker'!$D:$T,4,FALSE)
</f>
        <v>Not Found</v>
      </c>
      <c r="V244" s="290" t="str">
        <f>VLOOKUP($B244,'Master Tracker'!$D:$T,5,false)</f>
        <v>https://drive.google.com/file/d/1Nk9Hjyb4j6QuLLf9MYw2OTkjmVfgjudm/view?usp=drive_link</v>
      </c>
      <c r="W244" s="291" t="str">
        <f>VLOOKUP($B244,'Master Tracker'!$D:$T,7,false)</f>
        <v>https://drive.google.com/open?id=1p7FGfT-L8XHNRABE3sRpAvhv0IewsBLVn9Fvm-ucNsU</v>
      </c>
      <c r="X244" s="290" t="str">
        <f>VLOOKUP($B244,'Master Tracker'!$D:$T,8,false)</f>
        <v>https://drive.google.com/file/d/1cDijVK65A_xPZLYUX5hTQlhZIS4t-jWl/view?usp=drive_link</v>
      </c>
      <c r="Y244" s="291" t="str">
        <f>VLOOKUP($B244,'Master Tracker'!$D:$T,10,false)</f>
        <v>https://drive.google.com/open?id=1UdH1828AOM6hA_gusH4HaQoLFlGBEZXV</v>
      </c>
      <c r="Z244" s="284" t="str">
        <f>VLOOKUP($B244,'Master Tracker'!$D:$T,11,false)</f>
        <v>Not Found</v>
      </c>
      <c r="AA244" s="292" t="str">
        <f>VLOOKUP($B244,'Master Tracker'!$D:$T,13,false)</f>
        <v>Not Found</v>
      </c>
      <c r="AB244" s="290" t="str">
        <f>VLOOKUP($B244,'Master Tracker'!$D:$T,14,false)</f>
        <v>https://drive.google.com/file/d/11lRW_1ATkn76ogR1azGRSE0utj-xuwri/view?usp=drive_link</v>
      </c>
      <c r="AC244" s="291" t="str">
        <f>VLOOKUP($B244,'Master Tracker'!$D:$T,16,false)</f>
        <v>https://drive.google.com/open?id=1uvP9Lm2vaNDEtzDmL91MyLFoEFFOvnNxuEwpHS894wI</v>
      </c>
      <c r="AD244" s="291" t="str">
        <f>VLOOKUP($B244,'Master Tracker'!$D:$T,17,false)</f>
        <v>https://drive.google.com/file/d/1EPNimrfPHkYHG8bxIK1MbkL26CPlEFPg/view?usp=drive_link</v>
      </c>
      <c r="AE244" s="291" t="str">
        <f>VLOOKUP($B244,'Master Tracker'!$D:$V,19,false)</f>
        <v>https://drive.google.com/open?id=1wbiXyrEclxkW4rmPCq4BrrHa7x7xsQaIcMUm3iLcTew</v>
      </c>
      <c r="AF244" s="292" t="str">
        <f>IFERROR(__xludf.DUMMYFUNCTION("IFERROR(
  INDEX(
    FILTER(
      'Juma Recording forms'!$G:$G,
      TRIM('Juma Recording forms'!$F:$F) = TRIM($B244),
      'Juma Recording forms'!$AA:$AA = 1
    ),
    1
  ),
  ""Not Found""
)"),"Not Found")</f>
        <v>Not Found</v>
      </c>
      <c r="AG244" s="292">
        <f>IFERROR(__xludf.DUMMYFUNCTION("IFERROR(
  INDEX(
    FILTER(
      'Juma Recording forms'!$G:$G,
      TRIM('Juma Recording forms'!$F:$F) = TRIM($B244),
      'Juma Recording forms'!$AA:$AA = 2
    ),
    1
  ),
  ""Not Found""
)"),350.0)</f>
        <v>350</v>
      </c>
      <c r="AH244" s="292">
        <f>IFERROR(__xludf.DUMMYFUNCTION("IFERROR(
  INDEX(
    FILTER(
      'Juma Recording forms'!$G:$G,
      TRIM('Juma Recording forms'!$F:$F) = TRIM($B244),
      'Juma Recording forms'!$AA:$AA = 3
    ),
    1
  ),
  ""Not Found""
)"),234.0)</f>
        <v>234</v>
      </c>
      <c r="AI244" s="292" t="str">
        <f>IFERROR(__xludf.DUMMYFUNCTION("IFERROR(
  INDEX(
    FILTER(
      'Juma Recording forms'!$G:$G,
      TRIM('Juma Recording forms'!$F:$F) = TRIM($B244),
      'Juma Recording forms'!$AA:$AA = 4
    ),
    1
  ),
  ""Not Found""
)"),"Not Found")</f>
        <v>Not Found</v>
      </c>
      <c r="AJ244" s="292">
        <f>IFERROR(__xludf.DUMMYFUNCTION("IFERROR(
  INDEX(
    FILTER(
      'Juma Recording forms'!$G:$G,
      TRIM('Juma Recording forms'!$F:$F) = TRIM($B244),
      'Juma Recording forms'!$AA:$AA = 5
    ),
    1
  ),
  ""Not Found""
)"),243.0)</f>
        <v>243</v>
      </c>
      <c r="AK244" s="292">
        <f>IFERROR(__xludf.DUMMYFUNCTION("IFERROR(
  INDEX(
    FILTER(
      'Juma Recording forms'!$G:$G,
      TRIM('Juma Recording forms'!$F:$F) = TRIM($B244),
      'Juma Recording forms'!$AA:$AA = 6
    ),
    1
  ),
  ""Not Found""
)"),310.0)</f>
        <v>310</v>
      </c>
      <c r="AL2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1!$E:$E"")=$B244) *
        (IMPORTRANGE(""https://docs.google.com/spreadsheets/d/161aHT6vVT3SLneTKD19N5qVWtnj_jIT8CSsOmUVKmaA/e"&amp;"dit?gid=1761053510"",
          ""Haris_Form responses 1!$AQ:$AQ"")=1)
      ),
      1
    ),
    ""0""
  ),
  ""Form not found""
)
"),"Form not found")</f>
        <v>Form not found</v>
      </c>
      <c r="AM2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1!$E:$E"")=$B244) *
        (IMPORTRANGE(""https://docs.google.com/spreadsheets/d/161aHT6vVT3SLneTKD19N5qVWtnj_jIT8CSsOmUVKmaA/e"&amp;"dit?gid=1761053510"",
          ""Haris_Form responses 1!$AQ:$AQ"")=2)
      ),
      1
    ),
    ""0""
  ),
  ""Form not found""
)
"),"0")</f>
        <v>0</v>
      </c>
      <c r="AN2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1!$E:$E"")=$B244) *
        (IMPORTRANGE(""https://docs.google.com/spreadsheets/d/161aHT6vVT3SLneTKD19N5qVWtnj_jIT8CSsOmUVKmaA/e"&amp;"dit?gid=1761053510"",
          ""Haris_Form responses 1!$AQ:$AQ"")=3)
      ),
      1
    ),
    ""0""
  ),
  ""Form not found""
)
"),"6")</f>
        <v>6</v>
      </c>
      <c r="AO2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1!$E:$E"")=$B244) *
        (IMPORTRANGE(""https://docs.google.com/spreadsheets/d/161aHT6vVT3SLneTKD19N5qVWtnj_jIT8CSsOmUVKmaA/e"&amp;"dit?gid=1761053510"",
          ""Haris_Form responses 1!$AQ:$AQ"")=4)
      ),
      1
    ),
    ""0""
  ),
  ""Form not found""
)
"),"Form not found")</f>
        <v>Form not found</v>
      </c>
      <c r="AP2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1!$E:$E"")=$B244) *
        (IMPORTRANGE(""https://docs.google.com/spreadsheets/d/161aHT6vVT3SLneTKD19N5qVWtnj_jIT8CSsOmUVKmaA/e"&amp;"dit?gid=1761053510"",
          ""Haris_Form responses 1!$AQ:$AQ"")=5)
      ),
      1
    ),
    ""0""
  ),
  ""Form not found""
)
"),"0")</f>
        <v>0</v>
      </c>
      <c r="AQ24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1!$E:$E"")=$B244) *
        (IMPORTRANGE(""https://docs.google.com/spreadsheets/d/161aHT6vVT3SLneTKD19N5qVWtnj_jIT8CSsOmUVKmaA/e"&amp;"dit?gid=1761053510"",
          ""Haris_Form responses 1!$AQ:$AQ"")=6)
      ),
      1
    ),
    ""0""
  ),
  ""Form not found""
)
"),"0")</f>
        <v>0</v>
      </c>
      <c r="AR2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1!$E:$E"")=$B244) *
        (IMPORTRANGE(""https://docs.google.com/spreadsheets/d/161aHT6vVT3SLneTKD19N5qVWtnj_jIT8CSsOmUVKmaA/e"&amp;"dit?gid=1761053510"",
          ""Haris_Form responses 1!$AQ:$AQ"")=1)
      ),
      1
    ),
    ""0""
  ),
  ""Form not found""
)
"),"Form not found")</f>
        <v>Form not found</v>
      </c>
      <c r="AS2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1!$E:$E"")=$B244) *
        (IMPORTRANGE(""https://docs.google.com/spreadsheets/d/161aHT6vVT3SLneTKD19N5qVWtnj_jIT8CSsOmUVKmaA/e"&amp;"dit?gid=1761053510"",
          ""Haris_Form responses 1!$AQ:$AQ"")=2)
      ),
      1
    ),
    ""0""
  ),
  ""Form not found""
)
"),"0")</f>
        <v>0</v>
      </c>
      <c r="AT2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1!$E:$E"")=$B244) *
        (IMPORTRANGE(""https://docs.google.com/spreadsheets/d/161aHT6vVT3SLneTKD19N5qVWtnj_jIT8CSsOmUVKmaA/e"&amp;"dit?gid=1761053510"",
          ""Haris_Form responses 1!$AQ:$AQ"")=3)
      ),
      1
    ),
    ""0""
  ),
  ""Form not found""
)
"),"6")</f>
        <v>6</v>
      </c>
      <c r="AU2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1!$E:$E"")=$B244) *
        (IMPORTRANGE(""https://docs.google.com/spreadsheets/d/161aHT6vVT3SLneTKD19N5qVWtnj_jIT8CSsOmUVKmaA/e"&amp;"dit?gid=1761053510"",
          ""Haris_Form responses 1!$AQ:$AQ"")=4)
      ),
      1
    ),
    ""0""
  ),
  ""Form not found""
)
"),"Form not found")</f>
        <v>Form not found</v>
      </c>
      <c r="AV2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1!$E:$E"")=$B244) *
        (IMPORTRANGE(""https://docs.google.com/spreadsheets/d/161aHT6vVT3SLneTKD19N5qVWtnj_jIT8CSsOmUVKmaA/e"&amp;"dit?gid=1761053510"",
          ""Haris_Form responses 1!$AQ:$AQ"")=5)
      ),
      1
    ),
    ""0""
  ),
  ""Form not found""
)
"),"0")</f>
        <v>0</v>
      </c>
      <c r="AW24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1!$E:$E"")=$B244) *
        (IMPORTRANGE(""https://docs.google.com/spreadsheets/d/161aHT6vVT3SLneTKD19N5qVWtnj_jIT8CSsOmUVKmaA/e"&amp;"dit?gid=1761053510"",
          ""Haris_Form responses 1!$AQ:$AQ"")=6)
      ),
      1
    ),
    ""0""
  ),
  ""Form not found""
)
"),"0")</f>
        <v>0</v>
      </c>
      <c r="AX2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1!$E:$E"")=$B244) *
        (IMPORTRANGE(""https://docs.google.com/spreadsheets/d/161aHT6vVT3SLneTKD19N5qVWtnj_jIT8CSsOmUVKmaA/e"&amp;"dit?gid=1761053510"",
          ""Haris_Form responses 1!$AQ:$AQ"")=1)
      ),
      1
    ),
    ""0""
  ),
  ""Form not found""
)
"),"Form not found")</f>
        <v>Form not found</v>
      </c>
      <c r="AY2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1!$E:$E"")=$B244) *
        (IMPORTRANGE(""https://docs.google.com/spreadsheets/d/161aHT6vVT3SLneTKD19N5qVWtnj_jIT8CSsOmUVKmaA/e"&amp;"dit?gid=1761053510"",
          ""Haris_Form responses 1!$AQ:$AQ"")=2)
      ),
      1
    ),
    ""0""
  ),
  ""Form not found""
)
"),"0")</f>
        <v>0</v>
      </c>
      <c r="AZ2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1!$E:$E"")=$B244) *
        (IMPORTRANGE(""https://docs.google.com/spreadsheets/d/161aHT6vVT3SLneTKD19N5qVWtnj_jIT8CSsOmUVKmaA/e"&amp;"dit?gid=1761053510"",
          ""Haris_Form responses 1!$AQ:$AQ"")=3)
      ),
      1
    ),
    ""0""
  ),
  ""Form not found""
)
"),"2")</f>
        <v>2</v>
      </c>
      <c r="BA2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1!$E:$E"")=$B244) *
        (IMPORTRANGE(""https://docs.google.com/spreadsheets/d/161aHT6vVT3SLneTKD19N5qVWtnj_jIT8CSsOmUVKmaA/e"&amp;"dit?gid=1761053510"",
          ""Haris_Form responses 1!$AQ:$AQ"")=4)
      ),
      1
    ),
    ""0""
  ),
  ""Form not found""
)
"),"Form not found")</f>
        <v>Form not found</v>
      </c>
      <c r="BB2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1!$E:$E"")=$B244) *
        (IMPORTRANGE(""https://docs.google.com/spreadsheets/d/161aHT6vVT3SLneTKD19N5qVWtnj_jIT8CSsOmUVKmaA/e"&amp;"dit?gid=1761053510"",
          ""Haris_Form responses 1!$AQ:$AQ"")=5)
      ),
      1
    ),
    ""0""
  ),
  ""Form not found""
)
"),"0")</f>
        <v>0</v>
      </c>
      <c r="BC24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1!$E:$E"")=$B244) *
        (IMPORTRANGE(""https://docs.google.com/spreadsheets/d/161aHT6vVT3SLneTKD19N5qVWtnj_jIT8CSsOmUVKmaA/e"&amp;"dit?gid=1761053510"",
          ""Haris_Form responses 1!$AQ:$AQ"")=6)
      ),
      1
    ),
    ""0""
  ),
  ""Form not found""
)
"),"2")</f>
        <v>2</v>
      </c>
      <c r="BD244" s="293"/>
    </row>
    <row r="245">
      <c r="A245" s="283" t="str">
        <f>IFERROR(__xludf.DUMMYFUNCTION("VLOOKUP($B245,IMPORTRANGE(""https://docs.google.com/spreadsheets/d/1VNXDITjs75AcgdBSW27oL1VZH31udDprJSsBcE5xlp4/edit?gid=1551188038#gid=1551188038"", ""Sheet9!$B:$E""),2,false)"),"Faisalabad")</f>
        <v>Faisalabad</v>
      </c>
      <c r="B245" s="283" t="s">
        <v>3887</v>
      </c>
      <c r="C245" s="284" t="str">
        <f>IFERROR(__xludf.DUMMYFUNCTION("VLOOKUP(TRIM($B245), IMPORTRANGE(""https://docs.google.com/spreadsheets/d/1aSOrU4PTpuBZqfitKaH1Rfww6-YOiNCKoBpPl8XBHaw/edit?gid=0#gid=0"", ""sheet3!$B:$C""), 2, FALSE)
"),"Jamia Masjid Islam Pura Dhobi Ghaat Faisalabad")</f>
        <v>Jamia Masjid Islam Pura Dhobi Ghaat Faisalabad</v>
      </c>
      <c r="D245" s="284" t="str">
        <f>IFERROR(__xludf.DUMMYFUNCTION("IFERROR(
  INDEX(
    FILTER(
      IMPORTRANGE(""1aSOrU4PTpuBZqfitKaH1Rfww6-YOiNCKoBpPl8XBHaw/edit?gid=0#gid=0"",""Sheet1!G:G""),
      IMPORTRANGE(""1aSOrU4PTpuBZqfitKaH1Rfww6-YOiNCKoBpPl8XBHaw/edit?gid=0#gid=0"",""Sheet1!C:C"")=$B245
    ),
    1
  ),
"&amp;"  ""Not Found""
)"),"Community Secular No Info Share")</f>
        <v>Community Secular No Info Share</v>
      </c>
      <c r="E245" s="284" t="str">
        <f>VLOOKUP(B245,'Juma Recording forms'!A:E,5,false)</f>
        <v>جامعہ مسجد اسلام پورہ دھوبی گھاٹ فیصل آباد</v>
      </c>
      <c r="F245" s="284" t="str">
        <f>IFERROR(__xludf.DUMMYFUNCTION("IFERROR(
  INDEX(
    FILTER(
      IMPORTRANGE(""1Cxrhp3-_-HS7v9uuqQliiIfrmMP4VaFoDNDWyUFy2J8/edit?gid=0#gid=0"",""Sheet1!Q:Q""),
      IMPORTRANGE(""1Cxrhp3-_-HS7v9uuqQliiIfrmMP4VaFoDNDWyUFy2J8/edit?gid=0#gid=0"",""Sheet1!K:K"")=$B245
    ),
    1
  ),
"&amp;"  ""Not Found""
)"),"Qari Rashid Ahmad")</f>
        <v>Qari Rashid Ahmad</v>
      </c>
      <c r="G245" s="292">
        <v>1945.0</v>
      </c>
      <c r="H245" s="284"/>
      <c r="I245" s="285" t="s">
        <v>197</v>
      </c>
      <c r="J245" s="286">
        <v>2.0</v>
      </c>
      <c r="K245" s="287" t="str">
        <f>VLOOKUP($B245,'Mosque Locations'!$A:$E,3,FALSE)
</f>
        <v>https://maps.google.com/maps?q=31.4190872%2C73.0707269&amp;z=17&amp;hl=en</v>
      </c>
      <c r="L245" s="286">
        <f>VLOOKUP($B245,'Mosque Locations'!$A:$E,4,FALSE)
</f>
        <v>31.41909</v>
      </c>
      <c r="M245" s="286">
        <f>VLOOKUP($B245,'Mosque Locations'!$A:$E,5,false)</f>
        <v>73.07073</v>
      </c>
      <c r="N245" s="288"/>
      <c r="O245" s="288"/>
      <c r="P245" s="288"/>
      <c r="Q245" s="295" t="str">
        <f>IFERROR(__xludf.DUMMYFUNCTION("IFERROR(
  INDEX(
    FILTER(
      IMPORTRANGE(""1kOrIKZmJfNUkgOVP3sI9BPjaaPA0_a4636oymQxTXg8"",""Form Responses 1!N:N""),
      TRIM(IMPORTRANGE(""1kOrIKZmJfNUkgOVP3sI9BPjaaPA0_a4636oymQxTXg8"",""Form Responses 1!F:F""))=TRIM($B245)
    ),
    1
  ),
  "&amp;"""Not Found""
)
"),"https://drive.google.com/file/d/16p3jdMbl-boDF8mAfZiYb0zL8dqIHx0n/view?usp=drive_link")</f>
        <v>https://drive.google.com/file/d/16p3jdMbl-boDF8mAfZiYb0zL8dqIHx0n/view?usp=drive_link</v>
      </c>
      <c r="R245" s="295" t="str">
        <f>IFERROR(__xludf.DUMMYFUNCTION("IFERROR(
  INDEX(
    FILTER(
      IMPORTRANGE(""1kOrIKZmJfNUkgOVP3sI9BPjaaPA0_a4636oymQxTXg8"",""Form Responses 1!M:M""),
      TRIM(IMPORTRANGE(""1kOrIKZmJfNUkgOVP3sI9BPjaaPA0_a4636oymQxTXg8"",""Form Responses 1!F:F""))=TRIM($B245)
    ),
    1
  ),
  "&amp;"""Not Found""
)
"),"https://drive.google.com/open?id=1oEsi0JwkJMG2CERCGzEfIcsaofkotLbc")</f>
        <v>https://drive.google.com/open?id=1oEsi0JwkJMG2CERCGzEfIcsaofkotLbc</v>
      </c>
      <c r="S245" s="285"/>
      <c r="T245" s="290" t="str">
        <f>VLOOKUP($B245,'Master Tracker'!D:E,2,false)</f>
        <v>https://drive.google.com/open?id=1Xq1j1Ytpli2fTIa39s-7-heBYfL9SitN</v>
      </c>
      <c r="U245" s="291" t="str">
        <f>VLOOKUP($B245,'Master Tracker'!$D:$T,4,FALSE)
</f>
        <v>https://drive.google.com/open?id=1r0paE_Fz2PB4UtCX2jjVKkbZirVJB5MQ</v>
      </c>
      <c r="V245" s="290" t="str">
        <f>VLOOKUP($B245,'Master Tracker'!$D:$T,5,false)</f>
        <v>https://drive.google.com/open?id=1kiZWwHSqt7Ja-etEkI50KTllh_B2wbmj</v>
      </c>
      <c r="W245" s="291" t="str">
        <f>VLOOKUP($B245,'Master Tracker'!$D:$T,7,false)</f>
        <v>https://drive.google.com/open?id=1643qbCp0DQOFqyR6GkuVqqIYY3MNbJiJ</v>
      </c>
      <c r="X245" s="290" t="str">
        <f>VLOOKUP($B245,'Master Tracker'!$D:$T,8,false)</f>
        <v>https://drive.google.com/open?id=1Sj8y3T-uwDyjBVyTZwaRSdGqu_hAlkgl</v>
      </c>
      <c r="Y245" s="291" t="str">
        <f>VLOOKUP($B245,'Master Tracker'!$D:$T,10,false)</f>
        <v>https://drive.google.com/open?id=1iZWI0uc5eB0Q3NM80H01IcKYF3qpqnBT</v>
      </c>
      <c r="Z245" s="284" t="str">
        <f>VLOOKUP($B245,'Master Tracker'!$D:$T,11,false)</f>
        <v>Not Found</v>
      </c>
      <c r="AA245" s="292" t="str">
        <f>VLOOKUP($B245,'Master Tracker'!$D:$T,13,false)</f>
        <v>Not Found</v>
      </c>
      <c r="AB245" s="284" t="str">
        <f>VLOOKUP($B245,'Master Tracker'!$D:$T,14,false)</f>
        <v>Not Found</v>
      </c>
      <c r="AC245" s="292" t="str">
        <f>VLOOKUP($B245,'Master Tracker'!$D:$T,16,false)</f>
        <v>Not Found</v>
      </c>
      <c r="AD245" s="292" t="str">
        <f>VLOOKUP($B245,'Master Tracker'!$D:$T,17,false)</f>
        <v>Not Found</v>
      </c>
      <c r="AE245" s="292" t="str">
        <f>VLOOKUP($B245,'Master Tracker'!$D:$V,19,false)</f>
        <v>Not Found</v>
      </c>
      <c r="AF245" s="292">
        <f>IFERROR(__xludf.DUMMYFUNCTION("IFERROR(
  INDEX(
    FILTER(
      'Juma Recording forms'!$G:$G,
      TRIM('Juma Recording forms'!$F:$F) = TRIM($B245),
      'Juma Recording forms'!$AA:$AA = 1
    ),
    1
  ),
  ""Not Found""
)"),300.0)</f>
        <v>300</v>
      </c>
      <c r="AG245" s="292">
        <f>IFERROR(__xludf.DUMMYFUNCTION("IFERROR(
  INDEX(
    FILTER(
      'Juma Recording forms'!$G:$G,
      TRIM('Juma Recording forms'!$F:$F) = TRIM($B245),
      'Juma Recording forms'!$AA:$AA = 2
    ),
    1
  ),
  ""Not Found""
)"),300.0)</f>
        <v>300</v>
      </c>
      <c r="AH245" s="292">
        <f>IFERROR(__xludf.DUMMYFUNCTION("IFERROR(
  INDEX(
    FILTER(
      'Juma Recording forms'!$G:$G,
      TRIM('Juma Recording forms'!$F:$F) = TRIM($B245),
      'Juma Recording forms'!$AA:$AA = 3
    ),
    1
  ),
  ""Not Found""
)"),400.0)</f>
        <v>400</v>
      </c>
      <c r="AI245" s="292" t="str">
        <f>IFERROR(__xludf.DUMMYFUNCTION("IFERROR(
  INDEX(
    FILTER(
      'Juma Recording forms'!$G:$G,
      TRIM('Juma Recording forms'!$F:$F) = TRIM($B245),
      'Juma Recording forms'!$AA:$AA = 4
    ),
    1
  ),
  ""Not Found""
)"),"Not Found")</f>
        <v>Not Found</v>
      </c>
      <c r="AJ245" s="292" t="str">
        <f>IFERROR(__xludf.DUMMYFUNCTION("IFERROR(
  INDEX(
    FILTER(
      'Juma Recording forms'!$G:$G,
      TRIM('Juma Recording forms'!$F:$F) = TRIM($B245),
      'Juma Recording forms'!$AA:$AA = 5
    ),
    1
  ),
  ""Not Found""
)"),"Not Found")</f>
        <v>Not Found</v>
      </c>
      <c r="AK245" s="292" t="str">
        <f>IFERROR(__xludf.DUMMYFUNCTION("IFERROR(
  INDEX(
    FILTER(
      'Juma Recording forms'!$G:$G,
      TRIM('Juma Recording forms'!$F:$F) = TRIM($B245),
      'Juma Recording forms'!$AA:$AA = 6
    ),
    1
  ),
  ""Not Found""
)"),"Not Found")</f>
        <v>Not Found</v>
      </c>
      <c r="AL2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1!$E:$E"")=$B245) *
        (IMPORTRANGE(""https://docs.google.com/spreadsheets/d/161aHT6vVT3SLneTKD19N5qVWtnj_jIT8CSsOmUVKmaA/e"&amp;"dit?gid=1761053510"",
          ""Haris_Form responses 1!$AQ:$AQ"")=1)
      ),
      1
    ),
    ""0""
  ),
  ""Form not found""
)
"),"10")</f>
        <v>10</v>
      </c>
      <c r="AM2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1!$E:$E"")=$B245) *
        (IMPORTRANGE(""https://docs.google.com/spreadsheets/d/161aHT6vVT3SLneTKD19N5qVWtnj_jIT8CSsOmUVKmaA/e"&amp;"dit?gid=1761053510"",
          ""Haris_Form responses 1!$AQ:$AQ"")=2)
      ),
      1
    ),
    ""0""
  ),
  ""Form not found""
)
"),"10")</f>
        <v>10</v>
      </c>
      <c r="AN2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1!$E:$E"")=$B245) *
        (IMPORTRANGE(""https://docs.google.com/spreadsheets/d/161aHT6vVT3SLneTKD19N5qVWtnj_jIT8CSsOmUVKmaA/e"&amp;"dit?gid=1761053510"",
          ""Haris_Form responses 1!$AQ:$AQ"")=3)
      ),
      1
    ),
    ""0""
  ),
  ""Form not found""
)
"),"0")</f>
        <v>0</v>
      </c>
      <c r="AO2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1!$E:$E"")=$B245) *
        (IMPORTRANGE(""https://docs.google.com/spreadsheets/d/161aHT6vVT3SLneTKD19N5qVWtnj_jIT8CSsOmUVKmaA/e"&amp;"dit?gid=1761053510"",
          ""Haris_Form responses 1!$AQ:$AQ"")=4)
      ),
      1
    ),
    ""0""
  ),
  ""Form not found""
)
"),"Form not found")</f>
        <v>Form not found</v>
      </c>
      <c r="AP2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1!$E:$E"")=$B245) *
        (IMPORTRANGE(""https://docs.google.com/spreadsheets/d/161aHT6vVT3SLneTKD19N5qVWtnj_jIT8CSsOmUVKmaA/e"&amp;"dit?gid=1761053510"",
          ""Haris_Form responses 1!$AQ:$AQ"")=5)
      ),
      1
    ),
    ""0""
  ),
  ""Form not found""
)
"),"Form not found")</f>
        <v>Form not found</v>
      </c>
      <c r="AQ24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1!$E:$E"")=$B245) *
        (IMPORTRANGE(""https://docs.google.com/spreadsheets/d/161aHT6vVT3SLneTKD19N5qVWtnj_jIT8CSsOmUVKmaA/e"&amp;"dit?gid=1761053510"",
          ""Haris_Form responses 1!$AQ:$AQ"")=6)
      ),
      1
    ),
    ""0""
  ),
  ""Form not found""
)
"),"Form not found")</f>
        <v>Form not found</v>
      </c>
      <c r="AR2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1!$E:$E"")=$B245) *
        (IMPORTRANGE(""https://docs.google.com/spreadsheets/d/161aHT6vVT3SLneTKD19N5qVWtnj_jIT8CSsOmUVKmaA/e"&amp;"dit?gid=1761053510"",
          ""Haris_Form responses 1!$AQ:$AQ"")=1)
      ),
      1
    ),
    ""0""
  ),
  ""Form not found""
)
"),"10")</f>
        <v>10</v>
      </c>
      <c r="AS2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1!$E:$E"")=$B245) *
        (IMPORTRANGE(""https://docs.google.com/spreadsheets/d/161aHT6vVT3SLneTKD19N5qVWtnj_jIT8CSsOmUVKmaA/e"&amp;"dit?gid=1761053510"",
          ""Haris_Form responses 1!$AQ:$AQ"")=2)
      ),
      1
    ),
    ""0""
  ),
  ""Form not found""
)
"),"10")</f>
        <v>10</v>
      </c>
      <c r="AT2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1!$E:$E"")=$B245) *
        (IMPORTRANGE(""https://docs.google.com/spreadsheets/d/161aHT6vVT3SLneTKD19N5qVWtnj_jIT8CSsOmUVKmaA/e"&amp;"dit?gid=1761053510"",
          ""Haris_Form responses 1!$AQ:$AQ"")=3)
      ),
      1
    ),
    ""0""
  ),
  ""Form not found""
)
"),"0")</f>
        <v>0</v>
      </c>
      <c r="AU2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1!$E:$E"")=$B245) *
        (IMPORTRANGE(""https://docs.google.com/spreadsheets/d/161aHT6vVT3SLneTKD19N5qVWtnj_jIT8CSsOmUVKmaA/e"&amp;"dit?gid=1761053510"",
          ""Haris_Form responses 1!$AQ:$AQ"")=4)
      ),
      1
    ),
    ""0""
  ),
  ""Form not found""
)
"),"Form not found")</f>
        <v>Form not found</v>
      </c>
      <c r="AV2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1!$E:$E"")=$B245) *
        (IMPORTRANGE(""https://docs.google.com/spreadsheets/d/161aHT6vVT3SLneTKD19N5qVWtnj_jIT8CSsOmUVKmaA/e"&amp;"dit?gid=1761053510"",
          ""Haris_Form responses 1!$AQ:$AQ"")=5)
      ),
      1
    ),
    ""0""
  ),
  ""Form not found""
)
"),"Form not found")</f>
        <v>Form not found</v>
      </c>
      <c r="AW24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1!$E:$E"")=$B245) *
        (IMPORTRANGE(""https://docs.google.com/spreadsheets/d/161aHT6vVT3SLneTKD19N5qVWtnj_jIT8CSsOmUVKmaA/e"&amp;"dit?gid=1761053510"",
          ""Haris_Form responses 1!$AQ:$AQ"")=6)
      ),
      1
    ),
    ""0""
  ),
  ""Form not found""
)
"),"Form not found")</f>
        <v>Form not found</v>
      </c>
      <c r="AX2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1!$E:$E"")=$B245) *
        (IMPORTRANGE(""https://docs.google.com/spreadsheets/d/161aHT6vVT3SLneTKD19N5qVWtnj_jIT8CSsOmUVKmaA/e"&amp;"dit?gid=1761053510"",
          ""Haris_Form responses 1!$AQ:$AQ"")=1)
      ),
      1
    ),
    ""0""
  ),
  ""Form not found""
)
"),"0")</f>
        <v>0</v>
      </c>
      <c r="AY2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1!$E:$E"")=$B245) *
        (IMPORTRANGE(""https://docs.google.com/spreadsheets/d/161aHT6vVT3SLneTKD19N5qVWtnj_jIT8CSsOmUVKmaA/e"&amp;"dit?gid=1761053510"",
          ""Haris_Form responses 1!$AQ:$AQ"")=2)
      ),
      1
    ),
    ""0""
  ),
  ""Form not found""
)
"),"0")</f>
        <v>0</v>
      </c>
      <c r="AZ2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1!$E:$E"")=$B245) *
        (IMPORTRANGE(""https://docs.google.com/spreadsheets/d/161aHT6vVT3SLneTKD19N5qVWtnj_jIT8CSsOmUVKmaA/e"&amp;"dit?gid=1761053510"",
          ""Haris_Form responses 1!$AQ:$AQ"")=3)
      ),
      1
    ),
    ""0""
  ),
  ""Form not found""
)
"),"0")</f>
        <v>0</v>
      </c>
      <c r="BA2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1!$E:$E"")=$B245) *
        (IMPORTRANGE(""https://docs.google.com/spreadsheets/d/161aHT6vVT3SLneTKD19N5qVWtnj_jIT8CSsOmUVKmaA/e"&amp;"dit?gid=1761053510"",
          ""Haris_Form responses 1!$AQ:$AQ"")=4)
      ),
      1
    ),
    ""0""
  ),
  ""Form not found""
)
"),"Form not found")</f>
        <v>Form not found</v>
      </c>
      <c r="BB2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1!$E:$E"")=$B245) *
        (IMPORTRANGE(""https://docs.google.com/spreadsheets/d/161aHT6vVT3SLneTKD19N5qVWtnj_jIT8CSsOmUVKmaA/e"&amp;"dit?gid=1761053510"",
          ""Haris_Form responses 1!$AQ:$AQ"")=5)
      ),
      1
    ),
    ""0""
  ),
  ""Form not found""
)
"),"Form not found")</f>
        <v>Form not found</v>
      </c>
      <c r="BC24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1!$E:$E"")=$B245) *
        (IMPORTRANGE(""https://docs.google.com/spreadsheets/d/161aHT6vVT3SLneTKD19N5qVWtnj_jIT8CSsOmUVKmaA/e"&amp;"dit?gid=1761053510"",
          ""Haris_Form responses 1!$AQ:$AQ"")=6)
      ),
      1
    ),
    ""0""
  ),
  ""Form not found""
)
"),"Form not found")</f>
        <v>Form not found</v>
      </c>
      <c r="BD245" s="293"/>
    </row>
    <row r="246">
      <c r="A246" s="283" t="str">
        <f>IFERROR(__xludf.DUMMYFUNCTION("VLOOKUP($B246,IMPORTRANGE(""https://docs.google.com/spreadsheets/d/1VNXDITjs75AcgdBSW27oL1VZH31udDprJSsBcE5xlp4/edit?gid=1551188038#gid=1551188038"", ""Sheet9!$B:$E""),2,false)"),"Faisalabad")</f>
        <v>Faisalabad</v>
      </c>
      <c r="B246" s="283" t="s">
        <v>4109</v>
      </c>
      <c r="C246" s="284" t="str">
        <f>IFERROR(__xludf.DUMMYFUNCTION("VLOOKUP(TRIM($B246), IMPORTRANGE(""https://docs.google.com/spreadsheets/d/1aSOrU4PTpuBZqfitKaH1Rfww6-YOiNCKoBpPl8XBHaw/edit?gid=0#gid=0"", ""sheet3!$B:$C""), 2, FALSE)
"),"Jamia Masjid Bukhari Shah Alyaas Park Faisalabad")</f>
        <v>Jamia Masjid Bukhari Shah Alyaas Park Faisalabad</v>
      </c>
      <c r="D246" s="284" t="str">
        <f>IFERROR(__xludf.DUMMYFUNCTION("IFERROR(
  INDEX(
    FILTER(
      IMPORTRANGE(""1aSOrU4PTpuBZqfitKaH1Rfww6-YOiNCKoBpPl8XBHaw/edit?gid=0#gid=0"",""Sheet1!G:G""),
      IMPORTRANGE(""1aSOrU4PTpuBZqfitKaH1Rfww6-YOiNCKoBpPl8XBHaw/edit?gid=0#gid=0"",""Sheet1!C:C"")=$B246
    ),
    1
  ),
"&amp;"  ""Not Found""
)"),"Control")</f>
        <v>Control</v>
      </c>
      <c r="E246" s="284" t="str">
        <f>VLOOKUP(B246,'Juma Recording forms'!A:E,5,false)</f>
        <v>Jamia Masjid Bukhari Shah alyass park </v>
      </c>
      <c r="F246" s="284" t="str">
        <f>IFERROR(__xludf.DUMMYFUNCTION("IFERROR(
  INDEX(
    FILTER(
      IMPORTRANGE(""1Cxrhp3-_-HS7v9uuqQliiIfrmMP4VaFoDNDWyUFy2J8/edit?gid=0#gid=0"",""Sheet1!Q:Q""),
      IMPORTRANGE(""1Cxrhp3-_-HS7v9uuqQliiIfrmMP4VaFoDNDWyUFy2J8/edit?gid=0#gid=0"",""Sheet1!K:K"")=$B246
    ),
    1
  ),
"&amp;"  ""Not Found""
)"),"moulana m afzal")</f>
        <v>moulana m afzal</v>
      </c>
      <c r="G246" s="284">
        <v>1980.0</v>
      </c>
      <c r="H246" s="284"/>
      <c r="I246" s="285" t="s">
        <v>197</v>
      </c>
      <c r="J246" s="286">
        <v>2.0</v>
      </c>
      <c r="K246" s="287" t="str">
        <f>VLOOKUP($B246,'Mosque Locations'!$A:$E,3,FALSE)
</f>
        <v>https://maps.google.com/maps?q=31.4202756%2C73.0431617&amp;z=17&amp;hl=en</v>
      </c>
      <c r="L246" s="286">
        <f>VLOOKUP($B246,'Mosque Locations'!$A:$E,4,FALSE)
</f>
        <v>31.42028</v>
      </c>
      <c r="M246" s="286">
        <f>VLOOKUP($B246,'Mosque Locations'!$A:$E,5,false)</f>
        <v>73.04316</v>
      </c>
      <c r="N246" s="288"/>
      <c r="O246" s="288"/>
      <c r="P246" s="288"/>
      <c r="Q246" s="290" t="str">
        <f>IFERROR(__xludf.DUMMYFUNCTION("IFERROR(
  INDEX(
    FILTER(
      IMPORTRANGE(""1kOrIKZmJfNUkgOVP3sI9BPjaaPA0_a4636oymQxTXg8"",""Form Responses 1!N:N""),
      TRIM(IMPORTRANGE(""1kOrIKZmJfNUkgOVP3sI9BPjaaPA0_a4636oymQxTXg8"",""Form Responses 1!F:F""))=TRIM($B246)
    ),
    1
  ),
  "&amp;"""Not Found""
)
"),"https://drive.google.com/open?id=1mXqzjcBjUVrqYkjXPgbIyuDEwc6RuZdX")</f>
        <v>https://drive.google.com/open?id=1mXqzjcBjUVrqYkjXPgbIyuDEwc6RuZdX</v>
      </c>
      <c r="R246" s="295" t="str">
        <f>IFERROR(__xludf.DUMMYFUNCTION("IFERROR(
  INDEX(
    FILTER(
      IMPORTRANGE(""1kOrIKZmJfNUkgOVP3sI9BPjaaPA0_a4636oymQxTXg8"",""Form Responses 1!M:M""),
      TRIM(IMPORTRANGE(""1kOrIKZmJfNUkgOVP3sI9BPjaaPA0_a4636oymQxTXg8"",""Form Responses 1!F:F""))=TRIM($B246)
    ),
    1
  ),
  "&amp;"""Not Found""
)
"),"https://drive.google.com/open?id=1qw9P-wm8Ilo49GjpGjUscgooL63bOQLP")</f>
        <v>https://drive.google.com/open?id=1qw9P-wm8Ilo49GjpGjUscgooL63bOQLP</v>
      </c>
      <c r="S246" s="285"/>
      <c r="T246" s="290" t="str">
        <f>VLOOKUP($B246,'Master Tracker'!D:E,2,false)</f>
        <v>https://drive.google.com/file/d/1D7TyJnbey3gWuvkRgGas3p6MxiQpJIY4/view?usp=drive_link</v>
      </c>
      <c r="U246" s="291" t="str">
        <f>VLOOKUP($B246,'Master Tracker'!$D:$T,4,FALSE)
</f>
        <v>https://drive.google.com/open?id=1ZiL9yOV9XB0myLhpzeFX0GR_mK_CSk5U</v>
      </c>
      <c r="V246" s="284" t="str">
        <f>VLOOKUP($B246,'Master Tracker'!$D:$T,5,false)</f>
        <v>Not Found</v>
      </c>
      <c r="W246" s="292" t="str">
        <f>VLOOKUP($B246,'Master Tracker'!$D:$T,7,false)</f>
        <v/>
      </c>
      <c r="X246" s="290" t="str">
        <f>VLOOKUP($B246,'Master Tracker'!$D:$T,8,false)</f>
        <v>https://drive.google.com/open?id=1g9rBWih_6ZGmZoZHk3_BaYjP5wYYbjTt</v>
      </c>
      <c r="Y246" s="291" t="str">
        <f>VLOOKUP($B246,'Master Tracker'!$D:$T,10,false)</f>
        <v>https://drive.google.com/open?id=1XyUESXTQHGEh7MBRlHxuw9C4LN7jGJyW</v>
      </c>
      <c r="Z246" s="284" t="str">
        <f>VLOOKUP($B246,'Master Tracker'!$D:$T,11,false)</f>
        <v>Not Found</v>
      </c>
      <c r="AA246" s="292" t="str">
        <f>VLOOKUP($B246,'Master Tracker'!$D:$T,13,false)</f>
        <v>Not Found</v>
      </c>
      <c r="AB246" s="284" t="str">
        <f>VLOOKUP($B246,'Master Tracker'!$D:$T,14,false)</f>
        <v>Not Found</v>
      </c>
      <c r="AC246" s="292" t="str">
        <f>VLOOKUP($B246,'Master Tracker'!$D:$T,16,false)</f>
        <v>Not Found</v>
      </c>
      <c r="AD246" s="292" t="str">
        <f>VLOOKUP($B246,'Master Tracker'!$D:$T,17,false)</f>
        <v>Not Found</v>
      </c>
      <c r="AE246" s="292" t="str">
        <f>VLOOKUP($B246,'Master Tracker'!$D:$V,19,false)</f>
        <v>Not Found</v>
      </c>
      <c r="AF246" s="292">
        <f>IFERROR(__xludf.DUMMYFUNCTION("IFERROR(
  INDEX(
    FILTER(
      'Juma Recording forms'!$G:$G,
      TRIM('Juma Recording forms'!$F:$F) = TRIM($B246),
      'Juma Recording forms'!$AA:$AA = 1
    ),
    1
  ),
  ""Not Found""
)"),300.0)</f>
        <v>300</v>
      </c>
      <c r="AG246" s="292" t="str">
        <f>IFERROR(__xludf.DUMMYFUNCTION("IFERROR(
  INDEX(
    FILTER(
      'Juma Recording forms'!$G:$G,
      TRIM('Juma Recording forms'!$F:$F) = TRIM($B246),
      'Juma Recording forms'!$AA:$AA = 2
    ),
    1
  ),
  ""Not Found""
)"),"Not Found")</f>
        <v>Not Found</v>
      </c>
      <c r="AH246" s="292">
        <f>IFERROR(__xludf.DUMMYFUNCTION("IFERROR(
  INDEX(
    FILTER(
      'Juma Recording forms'!$G:$G,
      TRIM('Juma Recording forms'!$F:$F) = TRIM($B246),
      'Juma Recording forms'!$AA:$AA = 3
    ),
    1
  ),
  ""Not Found""
)"),290.0)</f>
        <v>290</v>
      </c>
      <c r="AI246" s="292" t="str">
        <f>IFERROR(__xludf.DUMMYFUNCTION("IFERROR(
  INDEX(
    FILTER(
      'Juma Recording forms'!$G:$G,
      TRIM('Juma Recording forms'!$F:$F) = TRIM($B246),
      'Juma Recording forms'!$AA:$AA = 4
    ),
    1
  ),
  ""Not Found""
)"),"Not Found")</f>
        <v>Not Found</v>
      </c>
      <c r="AJ246" s="292" t="str">
        <f>IFERROR(__xludf.DUMMYFUNCTION("IFERROR(
  INDEX(
    FILTER(
      'Juma Recording forms'!$G:$G,
      TRIM('Juma Recording forms'!$F:$F) = TRIM($B246),
      'Juma Recording forms'!$AA:$AA = 5
    ),
    1
  ),
  ""Not Found""
)"),"Not Found")</f>
        <v>Not Found</v>
      </c>
      <c r="AK246" s="292" t="str">
        <f>IFERROR(__xludf.DUMMYFUNCTION("IFERROR(
  INDEX(
    FILTER(
      'Juma Recording forms'!$G:$G,
      TRIM('Juma Recording forms'!$F:$F) = TRIM($B246),
      'Juma Recording forms'!$AA:$AA = 6
    ),
    1
  ),
  ""Not Found""
)"),"Not Found")</f>
        <v>Not Found</v>
      </c>
      <c r="AL2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1!$E:$E"")=$B246) *
        (IMPORTRANGE(""https://docs.google.com/spreadsheets/d/161aHT6vVT3SLneTKD19N5qVWtnj_jIT8CSsOmUVKmaA/e"&amp;"dit?gid=1761053510"",
          ""Haris_Form responses 1!$AQ:$AQ"")=1)
      ),
      1
    ),
    ""0""
  ),
  ""Form not found""
)
"),"0")</f>
        <v>0</v>
      </c>
      <c r="AM2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1!$E:$E"")=$B246) *
        (IMPORTRANGE(""https://docs.google.com/spreadsheets/d/161aHT6vVT3SLneTKD19N5qVWtnj_jIT8CSsOmUVKmaA/e"&amp;"dit?gid=1761053510"",
          ""Haris_Form responses 1!$AQ:$AQ"")=2)
      ),
      1
    ),
    ""0""
  ),
  ""Form not found""
)
"),"Form not found")</f>
        <v>Form not found</v>
      </c>
      <c r="AN2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1!$E:$E"")=$B246) *
        (IMPORTRANGE(""https://docs.google.com/spreadsheets/d/161aHT6vVT3SLneTKD19N5qVWtnj_jIT8CSsOmUVKmaA/e"&amp;"dit?gid=1761053510"",
          ""Haris_Form responses 1!$AQ:$AQ"")=3)
      ),
      1
    ),
    ""0""
  ),
  ""Form not found""
)
"),"0")</f>
        <v>0</v>
      </c>
      <c r="AO2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1!$E:$E"")=$B246) *
        (IMPORTRANGE(""https://docs.google.com/spreadsheets/d/161aHT6vVT3SLneTKD19N5qVWtnj_jIT8CSsOmUVKmaA/e"&amp;"dit?gid=1761053510"",
          ""Haris_Form responses 1!$AQ:$AQ"")=4)
      ),
      1
    ),
    ""0""
  ),
  ""Form not found""
)
"),"Form not found")</f>
        <v>Form not found</v>
      </c>
      <c r="AP2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1!$E:$E"")=$B246) *
        (IMPORTRANGE(""https://docs.google.com/spreadsheets/d/161aHT6vVT3SLneTKD19N5qVWtnj_jIT8CSsOmUVKmaA/e"&amp;"dit?gid=1761053510"",
          ""Haris_Form responses 1!$AQ:$AQ"")=5)
      ),
      1
    ),
    ""0""
  ),
  ""Form not found""
)
"),"Form not found")</f>
        <v>Form not found</v>
      </c>
      <c r="AQ24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1!$E:$E"")=$B246) *
        (IMPORTRANGE(""https://docs.google.com/spreadsheets/d/161aHT6vVT3SLneTKD19N5qVWtnj_jIT8CSsOmUVKmaA/e"&amp;"dit?gid=1761053510"",
          ""Haris_Form responses 1!$AQ:$AQ"")=6)
      ),
      1
    ),
    ""0""
  ),
  ""Form not found""
)
"),"Form not found")</f>
        <v>Form not found</v>
      </c>
      <c r="AR2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1!$E:$E"")=$B246) *
        (IMPORTRANGE(""https://docs.google.com/spreadsheets/d/161aHT6vVT3SLneTKD19N5qVWtnj_jIT8CSsOmUVKmaA/e"&amp;"dit?gid=1761053510"",
          ""Haris_Form responses 1!$AQ:$AQ"")=1)
      ),
      1
    ),
    ""0""
  ),
  ""Form not found""
)
"),"0")</f>
        <v>0</v>
      </c>
      <c r="AS2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1!$E:$E"")=$B246) *
        (IMPORTRANGE(""https://docs.google.com/spreadsheets/d/161aHT6vVT3SLneTKD19N5qVWtnj_jIT8CSsOmUVKmaA/e"&amp;"dit?gid=1761053510"",
          ""Haris_Form responses 1!$AQ:$AQ"")=2)
      ),
      1
    ),
    ""0""
  ),
  ""Form not found""
)
"),"Form not found")</f>
        <v>Form not found</v>
      </c>
      <c r="AT2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1!$E:$E"")=$B246) *
        (IMPORTRANGE(""https://docs.google.com/spreadsheets/d/161aHT6vVT3SLneTKD19N5qVWtnj_jIT8CSsOmUVKmaA/e"&amp;"dit?gid=1761053510"",
          ""Haris_Form responses 1!$AQ:$AQ"")=3)
      ),
      1
    ),
    ""0""
  ),
  ""Form not found""
)
"),"0")</f>
        <v>0</v>
      </c>
      <c r="AU2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1!$E:$E"")=$B246) *
        (IMPORTRANGE(""https://docs.google.com/spreadsheets/d/161aHT6vVT3SLneTKD19N5qVWtnj_jIT8CSsOmUVKmaA/e"&amp;"dit?gid=1761053510"",
          ""Haris_Form responses 1!$AQ:$AQ"")=4)
      ),
      1
    ),
    ""0""
  ),
  ""Form not found""
)
"),"Form not found")</f>
        <v>Form not found</v>
      </c>
      <c r="AV2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1!$E:$E"")=$B246) *
        (IMPORTRANGE(""https://docs.google.com/spreadsheets/d/161aHT6vVT3SLneTKD19N5qVWtnj_jIT8CSsOmUVKmaA/e"&amp;"dit?gid=1761053510"",
          ""Haris_Form responses 1!$AQ:$AQ"")=5)
      ),
      1
    ),
    ""0""
  ),
  ""Form not found""
)
"),"Form not found")</f>
        <v>Form not found</v>
      </c>
      <c r="AW24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1!$E:$E"")=$B246) *
        (IMPORTRANGE(""https://docs.google.com/spreadsheets/d/161aHT6vVT3SLneTKD19N5qVWtnj_jIT8CSsOmUVKmaA/e"&amp;"dit?gid=1761053510"",
          ""Haris_Form responses 1!$AQ:$AQ"")=6)
      ),
      1
    ),
    ""0""
  ),
  ""Form not found""
)
"),"Form not found")</f>
        <v>Form not found</v>
      </c>
      <c r="AX2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1!$E:$E"")=$B246) *
        (IMPORTRANGE(""https://docs.google.com/spreadsheets/d/161aHT6vVT3SLneTKD19N5qVWtnj_jIT8CSsOmUVKmaA/e"&amp;"dit?gid=1761053510"",
          ""Haris_Form responses 1!$AQ:$AQ"")=1)
      ),
      1
    ),
    ""0""
  ),
  ""Form not found""
)
"),"0")</f>
        <v>0</v>
      </c>
      <c r="AY2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1!$E:$E"")=$B246) *
        (IMPORTRANGE(""https://docs.google.com/spreadsheets/d/161aHT6vVT3SLneTKD19N5qVWtnj_jIT8CSsOmUVKmaA/e"&amp;"dit?gid=1761053510"",
          ""Haris_Form responses 1!$AQ:$AQ"")=2)
      ),
      1
    ),
    ""0""
  ),
  ""Form not found""
)
"),"Form not found")</f>
        <v>Form not found</v>
      </c>
      <c r="AZ2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1!$E:$E"")=$B246) *
        (IMPORTRANGE(""https://docs.google.com/spreadsheets/d/161aHT6vVT3SLneTKD19N5qVWtnj_jIT8CSsOmUVKmaA/e"&amp;"dit?gid=1761053510"",
          ""Haris_Form responses 1!$AQ:$AQ"")=3)
      ),
      1
    ),
    ""0""
  ),
  ""Form not found""
)
"),"3")</f>
        <v>3</v>
      </c>
      <c r="BA2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1!$E:$E"")=$B246) *
        (IMPORTRANGE(""https://docs.google.com/spreadsheets/d/161aHT6vVT3SLneTKD19N5qVWtnj_jIT8CSsOmUVKmaA/e"&amp;"dit?gid=1761053510"",
          ""Haris_Form responses 1!$AQ:$AQ"")=4)
      ),
      1
    ),
    ""0""
  ),
  ""Form not found""
)
"),"Form not found")</f>
        <v>Form not found</v>
      </c>
      <c r="BB2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1!$E:$E"")=$B246) *
        (IMPORTRANGE(""https://docs.google.com/spreadsheets/d/161aHT6vVT3SLneTKD19N5qVWtnj_jIT8CSsOmUVKmaA/e"&amp;"dit?gid=1761053510"",
          ""Haris_Form responses 1!$AQ:$AQ"")=5)
      ),
      1
    ),
    ""0""
  ),
  ""Form not found""
)
"),"Form not found")</f>
        <v>Form not found</v>
      </c>
      <c r="BC24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1!$E:$E"")=$B246) *
        (IMPORTRANGE(""https://docs.google.com/spreadsheets/d/161aHT6vVT3SLneTKD19N5qVWtnj_jIT8CSsOmUVKmaA/e"&amp;"dit?gid=1761053510"",
          ""Haris_Form responses 1!$AQ:$AQ"")=6)
      ),
      1
    ),
    ""0""
  ),
  ""Form not found""
)
"),"Form not found")</f>
        <v>Form not found</v>
      </c>
      <c r="BD246" s="293"/>
    </row>
    <row r="247">
      <c r="A247" s="283" t="str">
        <f>IFERROR(__xludf.DUMMYFUNCTION("VLOOKUP($B247,IMPORTRANGE(""https://docs.google.com/spreadsheets/d/1VNXDITjs75AcgdBSW27oL1VZH31udDprJSsBcE5xlp4/edit?gid=1551188038#gid=1551188038"", ""Sheet9!$B:$E""),2,false)"),"Faisalabad")</f>
        <v>Faisalabad</v>
      </c>
      <c r="B247" s="283" t="s">
        <v>4190</v>
      </c>
      <c r="C247" s="284" t="str">
        <f>IFERROR(__xludf.DUMMYFUNCTION("VLOOKUP(TRIM($B247), IMPORTRANGE(""https://docs.google.com/spreadsheets/d/1aSOrU4PTpuBZqfitKaH1Rfww6-YOiNCKoBpPl8XBHaw/edit?gid=0#gid=0"", ""sheet3!$B:$C""), 2, FALSE)
"),"Jamia Masjid Noor Tariqbaad")</f>
        <v>Jamia Masjid Noor Tariqbaad</v>
      </c>
      <c r="D247" s="284" t="str">
        <f>IFERROR(__xludf.DUMMYFUNCTION("IFERROR(
  INDEX(
    FILTER(
      IMPORTRANGE(""1aSOrU4PTpuBZqfitKaH1Rfww6-YOiNCKoBpPl8XBHaw/edit?gid=0#gid=0"",""Sheet1!G:G""),
      IMPORTRANGE(""1aSOrU4PTpuBZqfitKaH1Rfww6-YOiNCKoBpPl8XBHaw/edit?gid=0#gid=0"",""Sheet1!C:C"")=$B247
    ),
    1
  ),
"&amp;"  ""Not Found""
)"),"Community Secular No Info Share")</f>
        <v>Community Secular No Info Share</v>
      </c>
      <c r="E247" s="284" t="str">
        <f>VLOOKUP(B247,'Juma Recording forms'!A:E,5,false)</f>
        <v>Jamia Masjid Noor tariqabad Faisalabad</v>
      </c>
      <c r="F247" s="284" t="str">
        <f>IFERROR(__xludf.DUMMYFUNCTION("IFERROR(
  INDEX(
    FILTER(
      IMPORTRANGE(""1Cxrhp3-_-HS7v9uuqQliiIfrmMP4VaFoDNDWyUFy2J8/edit?gid=0#gid=0"",""Sheet1!Q:Q""),
      IMPORTRANGE(""1Cxrhp3-_-HS7v9uuqQliiIfrmMP4VaFoDNDWyUFy2J8/edit?gid=0#gid=0"",""Sheet1!K:K"")=$B247
    ),
    1
  ),
"&amp;"  ""Not Found""
)"),"Not Found")</f>
        <v>Not Found</v>
      </c>
      <c r="G247" s="292">
        <v>1955.0</v>
      </c>
      <c r="H247" s="284"/>
      <c r="I247" s="285" t="s">
        <v>197</v>
      </c>
      <c r="J247" s="286">
        <v>2.0</v>
      </c>
      <c r="K247" s="287" t="str">
        <f>VLOOKUP($B247,'Mosque Locations'!$A:$E,3,FALSE)
</f>
        <v>https://maps.google.com/maps?q=31.4229563%2C73.100885&amp;z=17&amp;hl=en</v>
      </c>
      <c r="L247" s="286">
        <f>VLOOKUP($B247,'Mosque Locations'!$A:$E,4,FALSE)
</f>
        <v>31.42296</v>
      </c>
      <c r="M247" s="286">
        <f>VLOOKUP($B247,'Mosque Locations'!$A:$E,5,false)</f>
        <v>73.10089</v>
      </c>
      <c r="N247" s="288"/>
      <c r="O247" s="288"/>
      <c r="P247" s="288"/>
      <c r="Q247" s="295" t="str">
        <f>IFERROR(__xludf.DUMMYFUNCTION("IFERROR(
  INDEX(
    FILTER(
      IMPORTRANGE(""1kOrIKZmJfNUkgOVP3sI9BPjaaPA0_a4636oymQxTXg8"",""Form Responses 1!N:N""),
      TRIM(IMPORTRANGE(""1kOrIKZmJfNUkgOVP3sI9BPjaaPA0_a4636oymQxTXg8"",""Form Responses 1!F:F""))=TRIM($B247)
    ),
    1
  ),
  "&amp;"""Not Found""
)
"),"https://drive.google.com/file/d/1PmjRjlk8FLIAM4-jyoxLZsZXRKZzPk8x/view?usp=drive_link")</f>
        <v>https://drive.google.com/file/d/1PmjRjlk8FLIAM4-jyoxLZsZXRKZzPk8x/view?usp=drive_link</v>
      </c>
      <c r="R247" s="295" t="str">
        <f>IFERROR(__xludf.DUMMYFUNCTION("IFERROR(
  INDEX(
    FILTER(
      IMPORTRANGE(""1kOrIKZmJfNUkgOVP3sI9BPjaaPA0_a4636oymQxTXg8"",""Form Responses 1!M:M""),
      TRIM(IMPORTRANGE(""1kOrIKZmJfNUkgOVP3sI9BPjaaPA0_a4636oymQxTXg8"",""Form Responses 1!F:F""))=TRIM($B247)
    ),
    1
  ),
  "&amp;"""Not Found""
)
"),"https://drive.google.com/file/d/1MNrv4vsBkdwYDlRnvPjSz8fCRhKqXRXG/view?usp=drive_link")</f>
        <v>https://drive.google.com/file/d/1MNrv4vsBkdwYDlRnvPjSz8fCRhKqXRXG/view?usp=drive_link</v>
      </c>
      <c r="S247" s="285"/>
      <c r="T247" s="284" t="str">
        <f>VLOOKUP($B247,'Master Tracker'!D:E,2,false)</f>
        <v>Not Found</v>
      </c>
      <c r="U247" s="292" t="str">
        <f>VLOOKUP($B247,'Master Tracker'!$D:$T,4,FALSE)
</f>
        <v>Not Found</v>
      </c>
      <c r="V247" s="290" t="str">
        <f>VLOOKUP($B247,'Master Tracker'!$D:$T,5,false)</f>
        <v>https://drive.google.com/file/d/114BW4A8YcPMJ9AJ9pgQhZ_zygtPf1zT0/view?usp=drive_link</v>
      </c>
      <c r="W247" s="291" t="str">
        <f>VLOOKUP($B247,'Master Tracker'!$D:$T,7,false)</f>
        <v>https://drive.google.com/open?id=1A9d5Si9YGD-iOIEXZmhjyuiucokaw3bGXbZv4XJHBr8</v>
      </c>
      <c r="X247" s="290" t="str">
        <f>VLOOKUP($B247,'Master Tracker'!$D:$T,8,false)</f>
        <v>https://drive.google.com/file/d/1idlxTbhVOH2PYsu_Qu6xggdMA9I7HDnl/view?usp=drive_link</v>
      </c>
      <c r="Y247" s="291" t="str">
        <f>VLOOKUP($B247,'Master Tracker'!$D:$T,10,false)</f>
        <v>https://drive.google.com/open?id=1qogkpVI-cfHq4vef6OE70KgKOdKk7LI3bj9tfPBqo4c</v>
      </c>
      <c r="Z247" s="290" t="str">
        <f>VLOOKUP($B247,'Master Tracker'!$D:$T,11,false)</f>
        <v>https://drive.google.com/open?id=1oFx0B6TjxpD-B3_M2PDrbt6lTt6myRrB</v>
      </c>
      <c r="AA247" s="291" t="str">
        <f>VLOOKUP($B247,'Master Tracker'!$D:$T,13,false)</f>
        <v>https://drive.google.com/open?id=1P7_vnovJbvGK1khWG7Gyv37oPM5aRIgh</v>
      </c>
      <c r="AB247" s="284" t="str">
        <f>VLOOKUP($B247,'Master Tracker'!$D:$T,14,false)</f>
        <v>Not Found</v>
      </c>
      <c r="AC247" s="292" t="str">
        <f>VLOOKUP($B247,'Master Tracker'!$D:$T,16,false)</f>
        <v>Not Found</v>
      </c>
      <c r="AD247" s="292" t="str">
        <f>VLOOKUP($B247,'Master Tracker'!$D:$T,17,false)</f>
        <v>Not Found</v>
      </c>
      <c r="AE247" s="292" t="str">
        <f>VLOOKUP($B247,'Master Tracker'!$D:$V,19,false)</f>
        <v>Not Found</v>
      </c>
      <c r="AF247" s="292" t="str">
        <f>IFERROR(__xludf.DUMMYFUNCTION("IFERROR(
  INDEX(
    FILTER(
      'Juma Recording forms'!$G:$G,
      TRIM('Juma Recording forms'!$F:$F) = TRIM($B247),
      'Juma Recording forms'!$AA:$AA = 1
    ),
    1
  ),
  ""Not Found""
)"),"Not Found")</f>
        <v>Not Found</v>
      </c>
      <c r="AG247" s="292">
        <f>IFERROR(__xludf.DUMMYFUNCTION("IFERROR(
  INDEX(
    FILTER(
      'Juma Recording forms'!$G:$G,
      TRIM('Juma Recording forms'!$F:$F) = TRIM($B247),
      'Juma Recording forms'!$AA:$AA = 2
    ),
    1
  ),
  ""Not Found""
)"),215.0)</f>
        <v>215</v>
      </c>
      <c r="AH247" s="292">
        <f>IFERROR(__xludf.DUMMYFUNCTION("IFERROR(
  INDEX(
    FILTER(
      'Juma Recording forms'!$G:$G,
      TRIM('Juma Recording forms'!$F:$F) = TRIM($B247),
      'Juma Recording forms'!$AA:$AA = 3
    ),
    1
  ),
  ""Not Found""
)"),268.0)</f>
        <v>268</v>
      </c>
      <c r="AI247" s="292">
        <f>IFERROR(__xludf.DUMMYFUNCTION("IFERROR(
  INDEX(
    FILTER(
      'Juma Recording forms'!$G:$G,
      TRIM('Juma Recording forms'!$F:$F) = TRIM($B247),
      'Juma Recording forms'!$AA:$AA = 4
    ),
    1
  ),
  ""Not Found""
)"),251.0)</f>
        <v>251</v>
      </c>
      <c r="AJ247" s="292" t="str">
        <f>IFERROR(__xludf.DUMMYFUNCTION("IFERROR(
  INDEX(
    FILTER(
      'Juma Recording forms'!$G:$G,
      TRIM('Juma Recording forms'!$F:$F) = TRIM($B247),
      'Juma Recording forms'!$AA:$AA = 5
    ),
    1
  ),
  ""Not Found""
)"),"Not Found")</f>
        <v>Not Found</v>
      </c>
      <c r="AK247" s="292" t="str">
        <f>IFERROR(__xludf.DUMMYFUNCTION("IFERROR(
  INDEX(
    FILTER(
      'Juma Recording forms'!$G:$G,
      TRIM('Juma Recording forms'!$F:$F) = TRIM($B247),
      'Juma Recording forms'!$AA:$AA = 6
    ),
    1
  ),
  ""Not Found""
)"),"Not Found")</f>
        <v>Not Found</v>
      </c>
      <c r="AL2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1!$E:$E"")=$B247) *
        (IMPORTRANGE(""https://docs.google.com/spreadsheets/d/161aHT6vVT3SLneTKD19N5qVWtnj_jIT8CSsOmUVKmaA/e"&amp;"dit?gid=1761053510"",
          ""Haris_Form responses 1!$AQ:$AQ"")=1)
      ),
      1
    ),
    ""0""
  ),
  ""Form not found""
)
"),"Form not found")</f>
        <v>Form not found</v>
      </c>
      <c r="AM2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1!$E:$E"")=$B247) *
        (IMPORTRANGE(""https://docs.google.com/spreadsheets/d/161aHT6vVT3SLneTKD19N5qVWtnj_jIT8CSsOmUVKmaA/e"&amp;"dit?gid=1761053510"",
          ""Haris_Form responses 1!$AQ:$AQ"")=2)
      ),
      1
    ),
    ""0""
  ),
  ""Form not found""
)
"),"3")</f>
        <v>3</v>
      </c>
      <c r="AN2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1!$E:$E"")=$B247) *
        (IMPORTRANGE(""https://docs.google.com/spreadsheets/d/161aHT6vVT3SLneTKD19N5qVWtnj_jIT8CSsOmUVKmaA/e"&amp;"dit?gid=1761053510"",
          ""Haris_Form responses 1!$AQ:$AQ"")=3)
      ),
      1
    ),
    ""0""
  ),
  ""Form not found""
)
"),"0")</f>
        <v>0</v>
      </c>
      <c r="AO2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1!$E:$E"")=$B247) *
        (IMPORTRANGE(""https://docs.google.com/spreadsheets/d/161aHT6vVT3SLneTKD19N5qVWtnj_jIT8CSsOmUVKmaA/e"&amp;"dit?gid=1761053510"",
          ""Haris_Form responses 1!$AQ:$AQ"")=4)
      ),
      1
    ),
    ""0""
  ),
  ""Form not found""
)
"),"10")</f>
        <v>10</v>
      </c>
      <c r="AP2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1!$E:$E"")=$B247) *
        (IMPORTRANGE(""https://docs.google.com/spreadsheets/d/161aHT6vVT3SLneTKD19N5qVWtnj_jIT8CSsOmUVKmaA/e"&amp;"dit?gid=1761053510"",
          ""Haris_Form responses 1!$AQ:$AQ"")=5)
      ),
      1
    ),
    ""0""
  ),
  ""Form not found""
)
"),"Form not found")</f>
        <v>Form not found</v>
      </c>
      <c r="AQ24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1!$E:$E"")=$B247) *
        (IMPORTRANGE(""https://docs.google.com/spreadsheets/d/161aHT6vVT3SLneTKD19N5qVWtnj_jIT8CSsOmUVKmaA/e"&amp;"dit?gid=1761053510"",
          ""Haris_Form responses 1!$AQ:$AQ"")=6)
      ),
      1
    ),
    ""0""
  ),
  ""Form not found""
)
"),"Form not found")</f>
        <v>Form not found</v>
      </c>
      <c r="AR2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1!$E:$E"")=$B247) *
        (IMPORTRANGE(""https://docs.google.com/spreadsheets/d/161aHT6vVT3SLneTKD19N5qVWtnj_jIT8CSsOmUVKmaA/e"&amp;"dit?gid=1761053510"",
          ""Haris_Form responses 1!$AQ:$AQ"")=1)
      ),
      1
    ),
    ""0""
  ),
  ""Form not found""
)
"),"Form not found")</f>
        <v>Form not found</v>
      </c>
      <c r="AS2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1!$E:$E"")=$B247) *
        (IMPORTRANGE(""https://docs.google.com/spreadsheets/d/161aHT6vVT3SLneTKD19N5qVWtnj_jIT8CSsOmUVKmaA/e"&amp;"dit?gid=1761053510"",
          ""Haris_Form responses 1!$AQ:$AQ"")=2)
      ),
      1
    ),
    ""0""
  ),
  ""Form not found""
)
"),"3")</f>
        <v>3</v>
      </c>
      <c r="AT2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1!$E:$E"")=$B247) *
        (IMPORTRANGE(""https://docs.google.com/spreadsheets/d/161aHT6vVT3SLneTKD19N5qVWtnj_jIT8CSsOmUVKmaA/e"&amp;"dit?gid=1761053510"",
          ""Haris_Form responses 1!$AQ:$AQ"")=3)
      ),
      1
    ),
    ""0""
  ),
  ""Form not found""
)
"),"0")</f>
        <v>0</v>
      </c>
      <c r="AU2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1!$E:$E"")=$B247) *
        (IMPORTRANGE(""https://docs.google.com/spreadsheets/d/161aHT6vVT3SLneTKD19N5qVWtnj_jIT8CSsOmUVKmaA/e"&amp;"dit?gid=1761053510"",
          ""Haris_Form responses 1!$AQ:$AQ"")=4)
      ),
      1
    ),
    ""0""
  ),
  ""Form not found""
)
"),"9")</f>
        <v>9</v>
      </c>
      <c r="AV2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1!$E:$E"")=$B247) *
        (IMPORTRANGE(""https://docs.google.com/spreadsheets/d/161aHT6vVT3SLneTKD19N5qVWtnj_jIT8CSsOmUVKmaA/e"&amp;"dit?gid=1761053510"",
          ""Haris_Form responses 1!$AQ:$AQ"")=5)
      ),
      1
    ),
    ""0""
  ),
  ""Form not found""
)
"),"Form not found")</f>
        <v>Form not found</v>
      </c>
      <c r="AW24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1!$E:$E"")=$B247) *
        (IMPORTRANGE(""https://docs.google.com/spreadsheets/d/161aHT6vVT3SLneTKD19N5qVWtnj_jIT8CSsOmUVKmaA/e"&amp;"dit?gid=1761053510"",
          ""Haris_Form responses 1!$AQ:$AQ"")=6)
      ),
      1
    ),
    ""0""
  ),
  ""Form not found""
)
"),"Form not found")</f>
        <v>Form not found</v>
      </c>
      <c r="AX2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1!$E:$E"")=$B247) *
        (IMPORTRANGE(""https://docs.google.com/spreadsheets/d/161aHT6vVT3SLneTKD19N5qVWtnj_jIT8CSsOmUVKmaA/e"&amp;"dit?gid=1761053510"",
          ""Haris_Form responses 1!$AQ:$AQ"")=1)
      ),
      1
    ),
    ""0""
  ),
  ""Form not found""
)
"),"Form not found")</f>
        <v>Form not found</v>
      </c>
      <c r="AY2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1!$E:$E"")=$B247) *
        (IMPORTRANGE(""https://docs.google.com/spreadsheets/d/161aHT6vVT3SLneTKD19N5qVWtnj_jIT8CSsOmUVKmaA/e"&amp;"dit?gid=1761053510"",
          ""Haris_Form responses 1!$AQ:$AQ"")=2)
      ),
      1
    ),
    ""0""
  ),
  ""Form not found""
)
"),"0")</f>
        <v>0</v>
      </c>
      <c r="AZ2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1!$E:$E"")=$B247) *
        (IMPORTRANGE(""https://docs.google.com/spreadsheets/d/161aHT6vVT3SLneTKD19N5qVWtnj_jIT8CSsOmUVKmaA/e"&amp;"dit?gid=1761053510"",
          ""Haris_Form responses 1!$AQ:$AQ"")=3)
      ),
      1
    ),
    ""0""
  ),
  ""Form not found""
)
"),"0")</f>
        <v>0</v>
      </c>
      <c r="BA2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1!$E:$E"")=$B247) *
        (IMPORTRANGE(""https://docs.google.com/spreadsheets/d/161aHT6vVT3SLneTKD19N5qVWtnj_jIT8CSsOmUVKmaA/e"&amp;"dit?gid=1761053510"",
          ""Haris_Form responses 1!$AQ:$AQ"")=4)
      ),
      1
    ),
    ""0""
  ),
  ""Form not found""
)
"),"0")</f>
        <v>0</v>
      </c>
      <c r="BB2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1!$E:$E"")=$B247) *
        (IMPORTRANGE(""https://docs.google.com/spreadsheets/d/161aHT6vVT3SLneTKD19N5qVWtnj_jIT8CSsOmUVKmaA/e"&amp;"dit?gid=1761053510"",
          ""Haris_Form responses 1!$AQ:$AQ"")=5)
      ),
      1
    ),
    ""0""
  ),
  ""Form not found""
)
"),"Form not found")</f>
        <v>Form not found</v>
      </c>
      <c r="BC24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1!$E:$E"")=$B247) *
        (IMPORTRANGE(""https://docs.google.com/spreadsheets/d/161aHT6vVT3SLneTKD19N5qVWtnj_jIT8CSsOmUVKmaA/e"&amp;"dit?gid=1761053510"",
          ""Haris_Form responses 1!$AQ:$AQ"")=6)
      ),
      1
    ),
    ""0""
  ),
  ""Form not found""
)
"),"Form not found")</f>
        <v>Form not found</v>
      </c>
      <c r="BD247" s="293"/>
    </row>
    <row r="248">
      <c r="A248" s="283" t="str">
        <f>IFERROR(__xludf.DUMMYFUNCTION("VLOOKUP($B248,IMPORTRANGE(""https://docs.google.com/spreadsheets/d/1VNXDITjs75AcgdBSW27oL1VZH31udDprJSsBcE5xlp4/edit?gid=1551188038#gid=1551188038"", ""Sheet9!$B:$E""),2,false)"),"Faisalabad")</f>
        <v>Faisalabad</v>
      </c>
      <c r="B248" s="283" t="s">
        <v>3844</v>
      </c>
      <c r="C248" s="284" t="str">
        <f>IFERROR(__xludf.DUMMYFUNCTION("VLOOKUP(TRIM($B248), IMPORTRANGE(""https://docs.google.com/spreadsheets/d/1aSOrU4PTpuBZqfitKaH1Rfww6-YOiNCKoBpPl8XBHaw/edit?gid=0#gid=0"", ""sheet3!$B:$C""), 2, FALSE)
"),"Jamia Masjid Haji Muhammad Din 125 Jharawala")</f>
        <v>Jamia Masjid Haji Muhammad Din 125 Jharawala</v>
      </c>
      <c r="D248" s="284" t="str">
        <f>IFERROR(__xludf.DUMMYFUNCTION("IFERROR(
  INDEX(
    FILTER(
      IMPORTRANGE(""1aSOrU4PTpuBZqfitKaH1Rfww6-YOiNCKoBpPl8XBHaw/edit?gid=0#gid=0"",""Sheet1!G:G""),
      IMPORTRANGE(""1aSOrU4PTpuBZqfitKaH1Rfww6-YOiNCKoBpPl8XBHaw/edit?gid=0#gid=0"",""Sheet1!C:C"")=$B248
    ),
    1
  ),
"&amp;"  ""Not Found""
)"),"Control")</f>
        <v>Control</v>
      </c>
      <c r="E248" s="284" t="str">
        <f>VLOOKUP(B248,'Juma Recording forms'!A:E,5,false)</f>
        <v>جامع مسجد حاجی محمد دین</v>
      </c>
      <c r="F248" s="284" t="str">
        <f>IFERROR(__xludf.DUMMYFUNCTION("IFERROR(
  INDEX(
    FILTER(
      IMPORTRANGE(""1Cxrhp3-_-HS7v9uuqQliiIfrmMP4VaFoDNDWyUFy2J8/edit?gid=0#gid=0"",""Sheet1!Q:Q""),
      IMPORTRANGE(""1Cxrhp3-_-HS7v9uuqQliiIfrmMP4VaFoDNDWyUFy2J8/edit?gid=0#gid=0"",""Sheet1!K:K"")=$B248
    ),
    1
  ),
"&amp;"  ""Not Found""
)"),"Not Found")</f>
        <v>Not Found</v>
      </c>
      <c r="G248" s="292">
        <v>1962.0</v>
      </c>
      <c r="H248" s="284"/>
      <c r="I248" s="285" t="s">
        <v>197</v>
      </c>
      <c r="J248" s="286">
        <v>1.0</v>
      </c>
      <c r="K248" s="287" t="str">
        <f>VLOOKUP($B248,'Mosque Locations'!$A:$E,3,FALSE)
</f>
        <v>https://www.google.com/maps?q=31.3899204,73.4438562</v>
      </c>
      <c r="L248" s="286">
        <f>VLOOKUP($B248,'Mosque Locations'!$A:$E,4,FALSE)
</f>
        <v>31.38992</v>
      </c>
      <c r="M248" s="286">
        <f>VLOOKUP($B248,'Mosque Locations'!$A:$E,5,false)</f>
        <v>73.44386</v>
      </c>
      <c r="N248" s="288"/>
      <c r="O248" s="288"/>
      <c r="P248" s="288"/>
      <c r="Q248" s="295" t="str">
        <f>IFERROR(__xludf.DUMMYFUNCTION("IFERROR(
  INDEX(
    FILTER(
      IMPORTRANGE(""1kOrIKZmJfNUkgOVP3sI9BPjaaPA0_a4636oymQxTXg8"",""Form Responses 1!N:N""),
      TRIM(IMPORTRANGE(""1kOrIKZmJfNUkgOVP3sI9BPjaaPA0_a4636oymQxTXg8"",""Form Responses 1!F:F""))=TRIM($B248)
    ),
    1
  ),
  "&amp;"""Not Found""
)
"),"https://drive.google.com/open?id=1JKlITpxS6hVOgS3PSqRBsNPh8ZRlCuiP")</f>
        <v>https://drive.google.com/open?id=1JKlITpxS6hVOgS3PSqRBsNPh8ZRlCuiP</v>
      </c>
      <c r="R248" s="290" t="str">
        <f>IFERROR(__xludf.DUMMYFUNCTION("IFERROR(
  INDEX(
    FILTER(
      IMPORTRANGE(""1kOrIKZmJfNUkgOVP3sI9BPjaaPA0_a4636oymQxTXg8"",""Form Responses 1!M:M""),
      TRIM(IMPORTRANGE(""1kOrIKZmJfNUkgOVP3sI9BPjaaPA0_a4636oymQxTXg8"",""Form Responses 1!F:F""))=TRIM($B248)
    ),
    1
  ),
  "&amp;"""Not Found""
)
"),"https://drive.google.com/open?id=1RJDggI30ZJXnF9jsO1N5F7wVBAUMFyKH")</f>
        <v>https://drive.google.com/open?id=1RJDggI30ZJXnF9jsO1N5F7wVBAUMFyKH</v>
      </c>
      <c r="S248" s="285"/>
      <c r="T248" s="290" t="str">
        <f>VLOOKUP($B248,'Master Tracker'!D:E,2,false)</f>
        <v>https://drive.google.com/open?id=1Nqh7DacU98DB9pCZqwnOC7f21wzsvJHq</v>
      </c>
      <c r="U248" s="291" t="str">
        <f>VLOOKUP($B248,'Master Tracker'!$D:$T,4,FALSE)
</f>
        <v>https://drive.google.com/open?id=1jAnB5_px94FKU2rhKxUrbuBr6sr74Z9Mgt7DPnJ283I</v>
      </c>
      <c r="V248" s="284" t="str">
        <f>VLOOKUP($B248,'Master Tracker'!$D:$T,5,false)</f>
        <v>Not Found</v>
      </c>
      <c r="W248" s="292" t="str">
        <f>VLOOKUP($B248,'Master Tracker'!$D:$T,7,false)</f>
        <v>Not Found</v>
      </c>
      <c r="X248" s="290" t="str">
        <f>VLOOKUP($B248,'Master Tracker'!$D:$T,8,false)</f>
        <v>https://drive.google.com/open?id=1EVf6wzahny6oJY_aHT_iHrJzQ0Ws-5H3</v>
      </c>
      <c r="Y248" s="291" t="str">
        <f>VLOOKUP($B248,'Master Tracker'!$D:$T,10,false)</f>
        <v>https://drive.google.com/open?id=1Asc7qnAfCck0lIXnW2pS3wXgagHLCAY6_QpE9bMMecc</v>
      </c>
      <c r="Z248" s="284" t="str">
        <f>VLOOKUP($B248,'Master Tracker'!$D:$T,11,false)</f>
        <v>Not Found</v>
      </c>
      <c r="AA248" s="292" t="str">
        <f>VLOOKUP($B248,'Master Tracker'!$D:$T,13,false)</f>
        <v>Not Found</v>
      </c>
      <c r="AB248" s="284" t="str">
        <f>VLOOKUP($B248,'Master Tracker'!$D:$T,14,false)</f>
        <v>Not Found</v>
      </c>
      <c r="AC248" s="292" t="str">
        <f>VLOOKUP($B248,'Master Tracker'!$D:$T,16,false)</f>
        <v>Not Found</v>
      </c>
      <c r="AD248" s="292" t="str">
        <f>VLOOKUP($B248,'Master Tracker'!$D:$T,17,false)</f>
        <v>Not Found</v>
      </c>
      <c r="AE248" s="292" t="str">
        <f>VLOOKUP($B248,'Master Tracker'!$D:$V,19,false)</f>
        <v>Not Found</v>
      </c>
      <c r="AF248" s="292">
        <f>IFERROR(__xludf.DUMMYFUNCTION("IFERROR(
  INDEX(
    FILTER(
      'Juma Recording forms'!$G:$G,
      TRIM('Juma Recording forms'!$F:$F) = TRIM($B248),
      'Juma Recording forms'!$AA:$AA = 1
    ),
    1
  ),
  ""Not Found""
)"),103.0)</f>
        <v>103</v>
      </c>
      <c r="AG248" s="292" t="str">
        <f>IFERROR(__xludf.DUMMYFUNCTION("IFERROR(
  INDEX(
    FILTER(
      'Juma Recording forms'!$G:$G,
      TRIM('Juma Recording forms'!$F:$F) = TRIM($B248),
      'Juma Recording forms'!$AA:$AA = 2
    ),
    1
  ),
  ""Not Found""
)"),"Not Found")</f>
        <v>Not Found</v>
      </c>
      <c r="AH248" s="292">
        <f>IFERROR(__xludf.DUMMYFUNCTION("IFERROR(
  INDEX(
    FILTER(
      'Juma Recording forms'!$G:$G,
      TRIM('Juma Recording forms'!$F:$F) = TRIM($B248),
      'Juma Recording forms'!$AA:$AA = 3
    ),
    1
  ),
  ""Not Found""
)"),117.0)</f>
        <v>117</v>
      </c>
      <c r="AI248" s="292" t="str">
        <f>IFERROR(__xludf.DUMMYFUNCTION("IFERROR(
  INDEX(
    FILTER(
      'Juma Recording forms'!$G:$G,
      TRIM('Juma Recording forms'!$F:$F) = TRIM($B248),
      'Juma Recording forms'!$AA:$AA = 4
    ),
    1
  ),
  ""Not Found""
)"),"Not Found")</f>
        <v>Not Found</v>
      </c>
      <c r="AJ248" s="292" t="str">
        <f>IFERROR(__xludf.DUMMYFUNCTION("IFERROR(
  INDEX(
    FILTER(
      'Juma Recording forms'!$G:$G,
      TRIM('Juma Recording forms'!$F:$F) = TRIM($B248),
      'Juma Recording forms'!$AA:$AA = 5
    ),
    1
  ),
  ""Not Found""
)"),"Not Found")</f>
        <v>Not Found</v>
      </c>
      <c r="AK248" s="292" t="str">
        <f>IFERROR(__xludf.DUMMYFUNCTION("IFERROR(
  INDEX(
    FILTER(
      'Juma Recording forms'!$G:$G,
      TRIM('Juma Recording forms'!$F:$F) = TRIM($B248),
      'Juma Recording forms'!$AA:$AA = 6
    ),
    1
  ),
  ""Not Found""
)"),"Not Found")</f>
        <v>Not Found</v>
      </c>
      <c r="AL2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1!$E:$E"")=$B248) *
        (IMPORTRANGE(""https://docs.google.com/spreadsheets/d/161aHT6vVT3SLneTKD19N5qVWtnj_jIT8CSsOmUVKmaA/e"&amp;"dit?gid=1761053510"",
          ""Haris_Form responses 1!$AQ:$AQ"")=1)
      ),
      1
    ),
    ""0""
  ),
  ""Form not found""
)
"),"0")</f>
        <v>0</v>
      </c>
      <c r="AM2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1!$E:$E"")=$B248) *
        (IMPORTRANGE(""https://docs.google.com/spreadsheets/d/161aHT6vVT3SLneTKD19N5qVWtnj_jIT8CSsOmUVKmaA/e"&amp;"dit?gid=1761053510"",
          ""Haris_Form responses 1!$AQ:$AQ"")=2)
      ),
      1
    ),
    ""0""
  ),
  ""Form not found""
)
"),"Form not found")</f>
        <v>Form not found</v>
      </c>
      <c r="AN2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1!$E:$E"")=$B248) *
        (IMPORTRANGE(""https://docs.google.com/spreadsheets/d/161aHT6vVT3SLneTKD19N5qVWtnj_jIT8CSsOmUVKmaA/e"&amp;"dit?gid=1761053510"",
          ""Haris_Form responses 1!$AQ:$AQ"")=3)
      ),
      1
    ),
    ""0""
  ),
  ""Form not found""
)
"),"0")</f>
        <v>0</v>
      </c>
      <c r="AO2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1!$E:$E"")=$B248) *
        (IMPORTRANGE(""https://docs.google.com/spreadsheets/d/161aHT6vVT3SLneTKD19N5qVWtnj_jIT8CSsOmUVKmaA/e"&amp;"dit?gid=1761053510"",
          ""Haris_Form responses 1!$AQ:$AQ"")=4)
      ),
      1
    ),
    ""0""
  ),
  ""Form not found""
)
"),"Form not found")</f>
        <v>Form not found</v>
      </c>
      <c r="AP2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1!$E:$E"")=$B248) *
        (IMPORTRANGE(""https://docs.google.com/spreadsheets/d/161aHT6vVT3SLneTKD19N5qVWtnj_jIT8CSsOmUVKmaA/e"&amp;"dit?gid=1761053510"",
          ""Haris_Form responses 1!$AQ:$AQ"")=5)
      ),
      1
    ),
    ""0""
  ),
  ""Form not found""
)
"),"Form not found")</f>
        <v>Form not found</v>
      </c>
      <c r="AQ24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1!$E:$E"")=$B248) *
        (IMPORTRANGE(""https://docs.google.com/spreadsheets/d/161aHT6vVT3SLneTKD19N5qVWtnj_jIT8CSsOmUVKmaA/e"&amp;"dit?gid=1761053510"",
          ""Haris_Form responses 1!$AQ:$AQ"")=6)
      ),
      1
    ),
    ""0""
  ),
  ""Form not found""
)
"),"Form not found")</f>
        <v>Form not found</v>
      </c>
      <c r="AR2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1!$E:$E"")=$B248) *
        (IMPORTRANGE(""https://docs.google.com/spreadsheets/d/161aHT6vVT3SLneTKD19N5qVWtnj_jIT8CSsOmUVKmaA/e"&amp;"dit?gid=1761053510"",
          ""Haris_Form responses 1!$AQ:$AQ"")=1)
      ),
      1
    ),
    ""0""
  ),
  ""Form not found""
)
"),"0")</f>
        <v>0</v>
      </c>
      <c r="AS2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1!$E:$E"")=$B248) *
        (IMPORTRANGE(""https://docs.google.com/spreadsheets/d/161aHT6vVT3SLneTKD19N5qVWtnj_jIT8CSsOmUVKmaA/e"&amp;"dit?gid=1761053510"",
          ""Haris_Form responses 1!$AQ:$AQ"")=2)
      ),
      1
    ),
    ""0""
  ),
  ""Form not found""
)
"),"Form not found")</f>
        <v>Form not found</v>
      </c>
      <c r="AT2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1!$E:$E"")=$B248) *
        (IMPORTRANGE(""https://docs.google.com/spreadsheets/d/161aHT6vVT3SLneTKD19N5qVWtnj_jIT8CSsOmUVKmaA/e"&amp;"dit?gid=1761053510"",
          ""Haris_Form responses 1!$AQ:$AQ"")=3)
      ),
      1
    ),
    ""0""
  ),
  ""Form not found""
)
"),"0")</f>
        <v>0</v>
      </c>
      <c r="AU2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1!$E:$E"")=$B248) *
        (IMPORTRANGE(""https://docs.google.com/spreadsheets/d/161aHT6vVT3SLneTKD19N5qVWtnj_jIT8CSsOmUVKmaA/e"&amp;"dit?gid=1761053510"",
          ""Haris_Form responses 1!$AQ:$AQ"")=4)
      ),
      1
    ),
    ""0""
  ),
  ""Form not found""
)
"),"Form not found")</f>
        <v>Form not found</v>
      </c>
      <c r="AV2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1!$E:$E"")=$B248) *
        (IMPORTRANGE(""https://docs.google.com/spreadsheets/d/161aHT6vVT3SLneTKD19N5qVWtnj_jIT8CSsOmUVKmaA/e"&amp;"dit?gid=1761053510"",
          ""Haris_Form responses 1!$AQ:$AQ"")=5)
      ),
      1
    ),
    ""0""
  ),
  ""Form not found""
)
"),"Form not found")</f>
        <v>Form not found</v>
      </c>
      <c r="AW24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1!$E:$E"")=$B248) *
        (IMPORTRANGE(""https://docs.google.com/spreadsheets/d/161aHT6vVT3SLneTKD19N5qVWtnj_jIT8CSsOmUVKmaA/e"&amp;"dit?gid=1761053510"",
          ""Haris_Form responses 1!$AQ:$AQ"")=6)
      ),
      1
    ),
    ""0""
  ),
  ""Form not found""
)
"),"Form not found")</f>
        <v>Form not found</v>
      </c>
      <c r="AX2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1!$E:$E"")=$B248) *
        (IMPORTRANGE(""https://docs.google.com/spreadsheets/d/161aHT6vVT3SLneTKD19N5qVWtnj_jIT8CSsOmUVKmaA/e"&amp;"dit?gid=1761053510"",
          ""Haris_Form responses 1!$AQ:$AQ"")=1)
      ),
      1
    ),
    ""0""
  ),
  ""Form not found""
)
"),"0")</f>
        <v>0</v>
      </c>
      <c r="AY2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1!$E:$E"")=$B248) *
        (IMPORTRANGE(""https://docs.google.com/spreadsheets/d/161aHT6vVT3SLneTKD19N5qVWtnj_jIT8CSsOmUVKmaA/e"&amp;"dit?gid=1761053510"",
          ""Haris_Form responses 1!$AQ:$AQ"")=2)
      ),
      1
    ),
    ""0""
  ),
  ""Form not found""
)
"),"Form not found")</f>
        <v>Form not found</v>
      </c>
      <c r="AZ2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1!$E:$E"")=$B248) *
        (IMPORTRANGE(""https://docs.google.com/spreadsheets/d/161aHT6vVT3SLneTKD19N5qVWtnj_jIT8CSsOmUVKmaA/e"&amp;"dit?gid=1761053510"",
          ""Haris_Form responses 1!$AQ:$AQ"")=3)
      ),
      1
    ),
    ""0""
  ),
  ""Form not found""
)
"),"0")</f>
        <v>0</v>
      </c>
      <c r="BA2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1!$E:$E"")=$B248) *
        (IMPORTRANGE(""https://docs.google.com/spreadsheets/d/161aHT6vVT3SLneTKD19N5qVWtnj_jIT8CSsOmUVKmaA/e"&amp;"dit?gid=1761053510"",
          ""Haris_Form responses 1!$AQ:$AQ"")=4)
      ),
      1
    ),
    ""0""
  ),
  ""Form not found""
)
"),"Form not found")</f>
        <v>Form not found</v>
      </c>
      <c r="BB2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1!$E:$E"")=$B248) *
        (IMPORTRANGE(""https://docs.google.com/spreadsheets/d/161aHT6vVT3SLneTKD19N5qVWtnj_jIT8CSsOmUVKmaA/e"&amp;"dit?gid=1761053510"",
          ""Haris_Form responses 1!$AQ:$AQ"")=5)
      ),
      1
    ),
    ""0""
  ),
  ""Form not found""
)
"),"Form not found")</f>
        <v>Form not found</v>
      </c>
      <c r="BC24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1!$E:$E"")=$B248) *
        (IMPORTRANGE(""https://docs.google.com/spreadsheets/d/161aHT6vVT3SLneTKD19N5qVWtnj_jIT8CSsOmUVKmaA/e"&amp;"dit?gid=1761053510"",
          ""Haris_Form responses 1!$AQ:$AQ"")=6)
      ),
      1
    ),
    ""0""
  ),
  ""Form not found""
)
"),"Form not found")</f>
        <v>Form not found</v>
      </c>
      <c r="BD248" s="293"/>
    </row>
    <row r="249">
      <c r="A249" s="283" t="str">
        <f>IFERROR(__xludf.DUMMYFUNCTION("VLOOKUP($B249,IMPORTRANGE(""https://docs.google.com/spreadsheets/d/1VNXDITjs75AcgdBSW27oL1VZH31udDprJSsBcE5xlp4/edit?gid=1551188038#gid=1551188038"", ""Sheet9!$B:$E""),2,false)"),"Faisalabad")</f>
        <v>Faisalabad</v>
      </c>
      <c r="B249" s="283" t="s">
        <v>4217</v>
      </c>
      <c r="C249" s="284" t="str">
        <f>IFERROR(__xludf.DUMMYFUNCTION("VLOOKUP(TRIM($B249), IMPORTRANGE(""https://docs.google.com/spreadsheets/d/1aSOrU4PTpuBZqfitKaH1Rfww6-YOiNCKoBpPl8XBHaw/edit?gid=0#gid=0"", ""sheet3!$B:$C""), 2, FALSE)
"),"Jamia Masjid Eid Ghah Madal Town B Faisalabad")</f>
        <v>Jamia Masjid Eid Ghah Madal Town B Faisalabad</v>
      </c>
      <c r="D249" s="284" t="str">
        <f>IFERROR(__xludf.DUMMYFUNCTION("IFERROR(
  INDEX(
    FILTER(
      IMPORTRANGE(""1aSOrU4PTpuBZqfitKaH1Rfww6-YOiNCKoBpPl8XBHaw/edit?gid=0#gid=0"",""Sheet1!G:G""),
      IMPORTRANGE(""1aSOrU4PTpuBZqfitKaH1Rfww6-YOiNCKoBpPl8XBHaw/edit?gid=0#gid=0"",""Sheet1!C:C"")=$B249
    ),
    1
  ),
"&amp;"  ""Not Found""
)"),"Women Religious Info Share")</f>
        <v>Women Religious Info Share</v>
      </c>
      <c r="E249" s="284" t="str">
        <f>VLOOKUP(B249,'Juma Recording forms'!A:E,5,false)</f>
        <v>Jamea Masjid Eid Ghah Modal town B faisalabad </v>
      </c>
      <c r="F249" s="284" t="str">
        <f>IFERROR(__xludf.DUMMYFUNCTION("IFERROR(
  INDEX(
    FILTER(
      IMPORTRANGE(""1Cxrhp3-_-HS7v9uuqQliiIfrmMP4VaFoDNDWyUFy2J8/edit?gid=0#gid=0"",""Sheet1!Q:Q""),
      IMPORTRANGE(""1Cxrhp3-_-HS7v9uuqQliiIfrmMP4VaFoDNDWyUFy2J8/edit?gid=0#gid=0"",""Sheet1!K:K"")=$B249
    ),
    1
  ),
"&amp;"  ""Not Found""
)"),"Molana aminul haq")</f>
        <v>Molana aminul haq</v>
      </c>
      <c r="G249" s="284">
        <v>1965.0</v>
      </c>
      <c r="H249" s="284"/>
      <c r="I249" s="285" t="s">
        <v>197</v>
      </c>
      <c r="J249" s="286">
        <v>2.0</v>
      </c>
      <c r="K249" s="287" t="str">
        <f>VLOOKUP($B249,'Mosque Locations'!$A:$E,3,FALSE)
</f>
        <v>https://maps.app.goo.gl/WFAjez9Kfhc4zbF57</v>
      </c>
      <c r="L249" s="286">
        <f>VLOOKUP($B249,'Mosque Locations'!$A:$E,4,FALSE)
</f>
        <v>31.40547</v>
      </c>
      <c r="M249" s="286" t="str">
        <f>VLOOKUP($B249,'Mosque Locations'!$A:$E,5,false)</f>
        <v>73.08390 (approx)</v>
      </c>
      <c r="N249" s="288"/>
      <c r="O249" s="288"/>
      <c r="P249" s="288"/>
      <c r="Q249" s="295" t="str">
        <f>IFERROR(__xludf.DUMMYFUNCTION("IFERROR(
  INDEX(
    FILTER(
      IMPORTRANGE(""1kOrIKZmJfNUkgOVP3sI9BPjaaPA0_a4636oymQxTXg8"",""Form Responses 1!N:N""),
      TRIM(IMPORTRANGE(""1kOrIKZmJfNUkgOVP3sI9BPjaaPA0_a4636oymQxTXg8"",""Form Responses 1!F:F""))=TRIM($B249)
    ),
    1
  ),
  "&amp;"""Not Found""
)
"),"https://drive.google.com/open?id=1fE9X0uSJs4XuCq2IAv9h3cxEZhDhutwA")</f>
        <v>https://drive.google.com/open?id=1fE9X0uSJs4XuCq2IAv9h3cxEZhDhutwA</v>
      </c>
      <c r="R249" s="290" t="str">
        <f>IFERROR(__xludf.DUMMYFUNCTION("IFERROR(
  INDEX(
    FILTER(
      IMPORTRANGE(""1kOrIKZmJfNUkgOVP3sI9BPjaaPA0_a4636oymQxTXg8"",""Form Responses 1!M:M""),
      TRIM(IMPORTRANGE(""1kOrIKZmJfNUkgOVP3sI9BPjaaPA0_a4636oymQxTXg8"",""Form Responses 1!F:F""))=TRIM($B249)
    ),
    1
  ),
  "&amp;"""Not Found""
)
"),"https://drive.google.com/open?id=1F7utlqy_GUeZy-yEtcJwMvIxvZUqCnIE")</f>
        <v>https://drive.google.com/open?id=1F7utlqy_GUeZy-yEtcJwMvIxvZUqCnIE</v>
      </c>
      <c r="S249" s="285"/>
      <c r="T249" s="290" t="str">
        <f>VLOOKUP($B249,'Master Tracker'!D:E,2,false)</f>
        <v>https://drive.google.com/open?id=10eL9BLDjUnnRMI9GBhTnQkBoYyDd433g</v>
      </c>
      <c r="U249" s="291" t="str">
        <f>VLOOKUP($B249,'Master Tracker'!$D:$T,4,FALSE)
</f>
        <v>https://drive.google.com/open?id=1E5yC2u7Vu3a_0pPG-h14qKq9yXimNzRe</v>
      </c>
      <c r="V249" s="290" t="str">
        <f>VLOOKUP($B249,'Master Tracker'!$D:$T,5,false)</f>
        <v>https://drive.google.com/open?id=1KKmL4cJlVxxCnEKhiYKji4SjLbmXY_Qe</v>
      </c>
      <c r="W249" s="291" t="str">
        <f>VLOOKUP($B249,'Master Tracker'!$D:$T,7,false)</f>
        <v>https://drive.google.com/open?id=1cTm-zGrlCkwKX8v24MGa3qu2obMfLBQh</v>
      </c>
      <c r="X249" s="290" t="str">
        <f>VLOOKUP($B249,'Master Tracker'!$D:$T,8,false)</f>
        <v>https://drive.google.com/open?id=19WsU144hjcMqUTXejfJJom9sgZfRp-Xg</v>
      </c>
      <c r="Y249" s="291" t="str">
        <f>VLOOKUP($B249,'Master Tracker'!$D:$T,10,false)</f>
        <v>https://drive.google.com/open?id=1993-PW9ns9q6ks9LnQpYOqRkNaodg1Hp</v>
      </c>
      <c r="Z249" s="290" t="str">
        <f>VLOOKUP($B249,'Master Tracker'!$D:$T,11,false)</f>
        <v>https://drive.google.com/open?id=1RKXL1YcRjGzTD2UEpq0lysV3F59RVsrP</v>
      </c>
      <c r="AA249" s="291" t="str">
        <f>VLOOKUP($B249,'Master Tracker'!$D:$T,13,false)</f>
        <v>https://drive.google.com/open?id=1lFcw_iWMtVR0h41_W_DraOFSdcaHOrXy</v>
      </c>
      <c r="AB249" s="284" t="str">
        <f>VLOOKUP($B249,'Master Tracker'!$D:$T,14,false)</f>
        <v>Not Found</v>
      </c>
      <c r="AC249" s="292" t="str">
        <f>VLOOKUP($B249,'Master Tracker'!$D:$T,16,false)</f>
        <v>Not Found</v>
      </c>
      <c r="AD249" s="292" t="str">
        <f>VLOOKUP($B249,'Master Tracker'!$D:$T,17,false)</f>
        <v>Not Found</v>
      </c>
      <c r="AE249" s="292" t="str">
        <f>VLOOKUP($B249,'Master Tracker'!$D:$V,19,false)</f>
        <v>Not Found</v>
      </c>
      <c r="AF249" s="292">
        <f>IFERROR(__xludf.DUMMYFUNCTION("IFERROR(
  INDEX(
    FILTER(
      'Juma Recording forms'!$G:$G,
      TRIM('Juma Recording forms'!$F:$F) = TRIM($B249),
      'Juma Recording forms'!$AA:$AA = 1
    ),
    1
  ),
  ""Not Found""
)"),328.0)</f>
        <v>328</v>
      </c>
      <c r="AG249" s="292">
        <f>IFERROR(__xludf.DUMMYFUNCTION("IFERROR(
  INDEX(
    FILTER(
      'Juma Recording forms'!$G:$G,
      TRIM('Juma Recording forms'!$F:$F) = TRIM($B249),
      'Juma Recording forms'!$AA:$AA = 2
    ),
    1
  ),
  ""Not Found""
)"),315.0)</f>
        <v>315</v>
      </c>
      <c r="AH249" s="292">
        <f>IFERROR(__xludf.DUMMYFUNCTION("IFERROR(
  INDEX(
    FILTER(
      'Juma Recording forms'!$G:$G,
      TRIM('Juma Recording forms'!$F:$F) = TRIM($B249),
      'Juma Recording forms'!$AA:$AA = 3
    ),
    1
  ),
  ""Not Found""
)"),265.0)</f>
        <v>265</v>
      </c>
      <c r="AI249" s="292">
        <f>IFERROR(__xludf.DUMMYFUNCTION("IFERROR(
  INDEX(
    FILTER(
      'Juma Recording forms'!$G:$G,
      TRIM('Juma Recording forms'!$F:$F) = TRIM($B249),
      'Juma Recording forms'!$AA:$AA = 4
    ),
    1
  ),
  ""Not Found""
)"),300.0)</f>
        <v>300</v>
      </c>
      <c r="AJ249" s="292" t="str">
        <f>IFERROR(__xludf.DUMMYFUNCTION("IFERROR(
  INDEX(
    FILTER(
      'Juma Recording forms'!$G:$G,
      TRIM('Juma Recording forms'!$F:$F) = TRIM($B249),
      'Juma Recording forms'!$AA:$AA = 5
    ),
    1
  ),
  ""Not Found""
)"),"Not Found")</f>
        <v>Not Found</v>
      </c>
      <c r="AK249" s="292" t="str">
        <f>IFERROR(__xludf.DUMMYFUNCTION("IFERROR(
  INDEX(
    FILTER(
      'Juma Recording forms'!$G:$G,
      TRIM('Juma Recording forms'!$F:$F) = TRIM($B249),
      'Juma Recording forms'!$AA:$AA = 6
    ),
    1
  ),
  ""Not Found""
)"),"Not Found")</f>
        <v>Not Found</v>
      </c>
      <c r="AL2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1!$E:$E"")=$B249) *
        (IMPORTRANGE(""https://docs.google.com/spreadsheets/d/161aHT6vVT3SLneTKD19N5qVWtnj_jIT8CSsOmUVKmaA/e"&amp;"dit?gid=1761053510"",
          ""Haris_Form responses 1!$AQ:$AQ"")=1)
      ),
      1
    ),
    ""0""
  ),
  ""Form not found""
)
"),"10")</f>
        <v>10</v>
      </c>
      <c r="AM2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1!$E:$E"")=$B249) *
        (IMPORTRANGE(""https://docs.google.com/spreadsheets/d/161aHT6vVT3SLneTKD19N5qVWtnj_jIT8CSsOmUVKmaA/e"&amp;"dit?gid=1761053510"",
          ""Haris_Form responses 1!$AQ:$AQ"")=2)
      ),
      1
    ),
    ""0""
  ),
  ""Form not found""
)
"),"0")</f>
        <v>0</v>
      </c>
      <c r="AN2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1!$E:$E"")=$B249) *
        (IMPORTRANGE(""https://docs.google.com/spreadsheets/d/161aHT6vVT3SLneTKD19N5qVWtnj_jIT8CSsOmUVKmaA/e"&amp;"dit?gid=1761053510"",
          ""Haris_Form responses 1!$AQ:$AQ"")=3)
      ),
      1
    ),
    ""0""
  ),
  ""Form not found""
)
"),"3")</f>
        <v>3</v>
      </c>
      <c r="AO2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1!$E:$E"")=$B249) *
        (IMPORTRANGE(""https://docs.google.com/spreadsheets/d/161aHT6vVT3SLneTKD19N5qVWtnj_jIT8CSsOmUVKmaA/e"&amp;"dit?gid=1761053510"",
          ""Haris_Form responses 1!$AQ:$AQ"")=4)
      ),
      1
    ),
    ""0""
  ),
  ""Form not found""
)
"),"0")</f>
        <v>0</v>
      </c>
      <c r="AP2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1!$E:$E"")=$B249) *
        (IMPORTRANGE(""https://docs.google.com/spreadsheets/d/161aHT6vVT3SLneTKD19N5qVWtnj_jIT8CSsOmUVKmaA/e"&amp;"dit?gid=1761053510"",
          ""Haris_Form responses 1!$AQ:$AQ"")=5)
      ),
      1
    ),
    ""0""
  ),
  ""Form not found""
)
"),"Form not found")</f>
        <v>Form not found</v>
      </c>
      <c r="AQ24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1!$E:$E"")=$B249) *
        (IMPORTRANGE(""https://docs.google.com/spreadsheets/d/161aHT6vVT3SLneTKD19N5qVWtnj_jIT8CSsOmUVKmaA/e"&amp;"dit?gid=1761053510"",
          ""Haris_Form responses 1!$AQ:$AQ"")=6)
      ),
      1
    ),
    ""0""
  ),
  ""Form not found""
)
"),"Form not found")</f>
        <v>Form not found</v>
      </c>
      <c r="AR2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1!$E:$E"")=$B249) *
        (IMPORTRANGE(""https://docs.google.com/spreadsheets/d/161aHT6vVT3SLneTKD19N5qVWtnj_jIT8CSsOmUVKmaA/e"&amp;"dit?gid=1761053510"",
          ""Haris_Form responses 1!$AQ:$AQ"")=1)
      ),
      1
    ),
    ""0""
  ),
  ""Form not found""
)
"),"0")</f>
        <v>0</v>
      </c>
      <c r="AS2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1!$E:$E"")=$B249) *
        (IMPORTRANGE(""https://docs.google.com/spreadsheets/d/161aHT6vVT3SLneTKD19N5qVWtnj_jIT8CSsOmUVKmaA/e"&amp;"dit?gid=1761053510"",
          ""Haris_Form responses 1!$AQ:$AQ"")=2)
      ),
      1
    ),
    ""0""
  ),
  ""Form not found""
)
"),"2")</f>
        <v>2</v>
      </c>
      <c r="AT2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1!$E:$E"")=$B249) *
        (IMPORTRANGE(""https://docs.google.com/spreadsheets/d/161aHT6vVT3SLneTKD19N5qVWtnj_jIT8CSsOmUVKmaA/e"&amp;"dit?gid=1761053510"",
          ""Haris_Form responses 1!$AQ:$AQ"")=3)
      ),
      1
    ),
    ""0""
  ),
  ""Form not found""
)
"),"0")</f>
        <v>0</v>
      </c>
      <c r="AU2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1!$E:$E"")=$B249) *
        (IMPORTRANGE(""https://docs.google.com/spreadsheets/d/161aHT6vVT3SLneTKD19N5qVWtnj_jIT8CSsOmUVKmaA/e"&amp;"dit?gid=1761053510"",
          ""Haris_Form responses 1!$AQ:$AQ"")=4)
      ),
      1
    ),
    ""0""
  ),
  ""Form not found""
)
"),"0")</f>
        <v>0</v>
      </c>
      <c r="AV2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1!$E:$E"")=$B249) *
        (IMPORTRANGE(""https://docs.google.com/spreadsheets/d/161aHT6vVT3SLneTKD19N5qVWtnj_jIT8CSsOmUVKmaA/e"&amp;"dit?gid=1761053510"",
          ""Haris_Form responses 1!$AQ:$AQ"")=5)
      ),
      1
    ),
    ""0""
  ),
  ""Form not found""
)
"),"Form not found")</f>
        <v>Form not found</v>
      </c>
      <c r="AW24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1!$E:$E"")=$B249) *
        (IMPORTRANGE(""https://docs.google.com/spreadsheets/d/161aHT6vVT3SLneTKD19N5qVWtnj_jIT8CSsOmUVKmaA/e"&amp;"dit?gid=1761053510"",
          ""Haris_Form responses 1!$AQ:$AQ"")=6)
      ),
      1
    ),
    ""0""
  ),
  ""Form not found""
)
"),"Form not found")</f>
        <v>Form not found</v>
      </c>
      <c r="AX2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1!$E:$E"")=$B249) *
        (IMPORTRANGE(""https://docs.google.com/spreadsheets/d/161aHT6vVT3SLneTKD19N5qVWtnj_jIT8CSsOmUVKmaA/e"&amp;"dit?gid=1761053510"",
          ""Haris_Form responses 1!$AQ:$AQ"")=1)
      ),
      1
    ),
    ""0""
  ),
  ""Form not found""
)
"),"10")</f>
        <v>10</v>
      </c>
      <c r="AY2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1!$E:$E"")=$B249) *
        (IMPORTRANGE(""https://docs.google.com/spreadsheets/d/161aHT6vVT3SLneTKD19N5qVWtnj_jIT8CSsOmUVKmaA/e"&amp;"dit?gid=1761053510"",
          ""Haris_Form responses 1!$AQ:$AQ"")=2)
      ),
      1
    ),
    ""0""
  ),
  ""Form not found""
)
"),"0")</f>
        <v>0</v>
      </c>
      <c r="AZ2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1!$E:$E"")=$B249) *
        (IMPORTRANGE(""https://docs.google.com/spreadsheets/d/161aHT6vVT3SLneTKD19N5qVWtnj_jIT8CSsOmUVKmaA/e"&amp;"dit?gid=1761053510"",
          ""Haris_Form responses 1!$AQ:$AQ"")=3)
      ),
      1
    ),
    ""0""
  ),
  ""Form not found""
)
"),"3")</f>
        <v>3</v>
      </c>
      <c r="BA2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1!$E:$E"")=$B249) *
        (IMPORTRANGE(""https://docs.google.com/spreadsheets/d/161aHT6vVT3SLneTKD19N5qVWtnj_jIT8CSsOmUVKmaA/e"&amp;"dit?gid=1761053510"",
          ""Haris_Form responses 1!$AQ:$AQ"")=4)
      ),
      1
    ),
    ""0""
  ),
  ""Form not found""
)
"),"0")</f>
        <v>0</v>
      </c>
      <c r="BB2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1!$E:$E"")=$B249) *
        (IMPORTRANGE(""https://docs.google.com/spreadsheets/d/161aHT6vVT3SLneTKD19N5qVWtnj_jIT8CSsOmUVKmaA/e"&amp;"dit?gid=1761053510"",
          ""Haris_Form responses 1!$AQ:$AQ"")=5)
      ),
      1
    ),
    ""0""
  ),
  ""Form not found""
)
"),"Form not found")</f>
        <v>Form not found</v>
      </c>
      <c r="BC24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1!$E:$E"")=$B249) *
        (IMPORTRANGE(""https://docs.google.com/spreadsheets/d/161aHT6vVT3SLneTKD19N5qVWtnj_jIT8CSsOmUVKmaA/e"&amp;"dit?gid=1761053510"",
          ""Haris_Form responses 1!$AQ:$AQ"")=6)
      ),
      1
    ),
    ""0""
  ),
  ""Form not found""
)
"),"Form not found")</f>
        <v>Form not found</v>
      </c>
      <c r="BD249" s="293"/>
    </row>
    <row r="250">
      <c r="A250" s="283" t="str">
        <f>IFERROR(__xludf.DUMMYFUNCTION("VLOOKUP($B250,IMPORTRANGE(""https://docs.google.com/spreadsheets/d/1VNXDITjs75AcgdBSW27oL1VZH31udDprJSsBcE5xlp4/edit?gid=1551188038#gid=1551188038"", ""Sheet9!$B:$E""),2,false)"),"Faisalabad")</f>
        <v>Faisalabad</v>
      </c>
      <c r="B250" s="283" t="s">
        <v>3955</v>
      </c>
      <c r="C250" s="284" t="str">
        <f>IFERROR(__xludf.DUMMYFUNCTION("VLOOKUP(TRIM($B250), IMPORTRANGE(""https://docs.google.com/spreadsheets/d/1aSOrU4PTpuBZqfitKaH1Rfww6-YOiNCKoBpPl8XBHaw/edit?gid=0#gid=0"", ""sheet3!$B:$C""), 2, FALSE)
"),"Jamia Masjid Markazi Toba Tak Sing")</f>
        <v>Jamia Masjid Markazi Toba Tak Sing</v>
      </c>
      <c r="D250" s="284" t="str">
        <f>IFERROR(__xludf.DUMMYFUNCTION("IFERROR(
  INDEX(
    FILTER(
      IMPORTRANGE(""1aSOrU4PTpuBZqfitKaH1Rfww6-YOiNCKoBpPl8XBHaw/edit?gid=0#gid=0"",""Sheet1!G:G""),
      IMPORTRANGE(""1aSOrU4PTpuBZqfitKaH1Rfww6-YOiNCKoBpPl8XBHaw/edit?gid=0#gid=0"",""Sheet1!C:C"")=$B250
    ),
    1
  ),
"&amp;"  ""Not Found""
)"),"Control")</f>
        <v>Control</v>
      </c>
      <c r="E250" s="284" t="str">
        <f>VLOOKUP(B250,'Juma Recording forms'!A:E,5,false)</f>
        <v>مرکزی جامعہ مسجد</v>
      </c>
      <c r="F250" s="284" t="str">
        <f>IFERROR(__xludf.DUMMYFUNCTION("IFERROR(
  INDEX(
    FILTER(
      IMPORTRANGE(""1Cxrhp3-_-HS7v9uuqQliiIfrmMP4VaFoDNDWyUFy2J8/edit?gid=0#gid=0"",""Sheet1!Q:Q""),
      IMPORTRANGE(""1Cxrhp3-_-HS7v9uuqQliiIfrmMP4VaFoDNDWyUFy2J8/edit?gid=0#gid=0"",""Sheet1!K:K"")=$B250
    ),
    1
  ),
"&amp;"  ""Not Found""
)"),"Not Found")</f>
        <v>Not Found</v>
      </c>
      <c r="G250" s="284"/>
      <c r="H250" s="284"/>
      <c r="I250" s="285" t="s">
        <v>197</v>
      </c>
      <c r="J250" s="286">
        <v>2.0</v>
      </c>
      <c r="K250" s="287" t="str">
        <f>VLOOKUP($B250,'Mosque Locations'!$A:$E,3,FALSE)
</f>
        <v>https://maps.google.com/maps?q=30.9714979%2C72.4801989&amp;z=17&amp;hl=en</v>
      </c>
      <c r="L250" s="286">
        <f>VLOOKUP($B250,'Mosque Locations'!$A:$E,4,FALSE)
</f>
        <v>30.9715</v>
      </c>
      <c r="M250" s="286">
        <f>VLOOKUP($B250,'Mosque Locations'!$A:$E,5,false)</f>
        <v>72.4802</v>
      </c>
      <c r="N250" s="288"/>
      <c r="O250" s="288"/>
      <c r="P250" s="288"/>
      <c r="Q250" s="295" t="str">
        <f>IFERROR(__xludf.DUMMYFUNCTION("IFERROR(
  INDEX(
    FILTER(
      IMPORTRANGE(""1kOrIKZmJfNUkgOVP3sI9BPjaaPA0_a4636oymQxTXg8"",""Form Responses 1!N:N""),
      TRIM(IMPORTRANGE(""1kOrIKZmJfNUkgOVP3sI9BPjaaPA0_a4636oymQxTXg8"",""Form Responses 1!F:F""))=TRIM($B250)
    ),
    1
  ),
  "&amp;"""Not Found""
)
"),"https://drive.google.com/open?id=1M3qNWkr7BFm2sGjb5U0wU_vTwTQbQAAk")</f>
        <v>https://drive.google.com/open?id=1M3qNWkr7BFm2sGjb5U0wU_vTwTQbQAAk</v>
      </c>
      <c r="R250" s="295" t="str">
        <f>IFERROR(__xludf.DUMMYFUNCTION("IFERROR(
  INDEX(
    FILTER(
      IMPORTRANGE(""1kOrIKZmJfNUkgOVP3sI9BPjaaPA0_a4636oymQxTXg8"",""Form Responses 1!M:M""),
      TRIM(IMPORTRANGE(""1kOrIKZmJfNUkgOVP3sI9BPjaaPA0_a4636oymQxTXg8"",""Form Responses 1!F:F""))=TRIM($B250)
    ),
    1
  ),
  "&amp;"""Not Found""
)
"),"https://drive.google.com/open?id=1QAc-_fXoMQ4382YEwzTnGVWuxNbu0X3k")</f>
        <v>https://drive.google.com/open?id=1QAc-_fXoMQ4382YEwzTnGVWuxNbu0X3k</v>
      </c>
      <c r="S250" s="285"/>
      <c r="T250" s="284" t="str">
        <f>VLOOKUP($B250,'Master Tracker'!D:E,2,false)</f>
        <v>https://drive.google.com/open?id=1WduIGGYeaa8ZGISrAZGexsJZcrRz0PjM, https://drive.google.com/open?id=1mf30Gz0f-JeH_xxQEt5qR4Ibw7dh2oTn</v>
      </c>
      <c r="U250" s="291" t="str">
        <f>VLOOKUP($B250,'Master Tracker'!$D:$T,4,FALSE)
</f>
        <v>https://drive.google.com/open?id=1T-GppLXhXqa_qx8ILw15XnQ_2g3qjAEAfPGvzVw04Yk</v>
      </c>
      <c r="V250" s="284" t="str">
        <f>VLOOKUP($B250,'Master Tracker'!$D:$T,5,false)</f>
        <v>Not Found</v>
      </c>
      <c r="W250" s="292" t="str">
        <f>VLOOKUP($B250,'Master Tracker'!$D:$T,7,false)</f>
        <v>Not Found</v>
      </c>
      <c r="X250" s="290" t="str">
        <f>VLOOKUP($B250,'Master Tracker'!$D:$T,8,false)</f>
        <v>https://drive.google.com/open?id=1-jRAmCgBhCa0Of_AgULb4A0ZusOvd6fw</v>
      </c>
      <c r="Y250" s="291" t="str">
        <f>VLOOKUP($B250,'Master Tracker'!$D:$T,10,false)</f>
        <v>https://drive.google.com/open?id=144k-ndLV_n_U75NRxoqMjx94Wl3OZpeR</v>
      </c>
      <c r="Z250" s="284" t="str">
        <f>VLOOKUP($B250,'Master Tracker'!$D:$T,11,false)</f>
        <v>Not Found</v>
      </c>
      <c r="AA250" s="292" t="str">
        <f>VLOOKUP($B250,'Master Tracker'!$D:$T,13,false)</f>
        <v>Not Found</v>
      </c>
      <c r="AB250" s="284" t="str">
        <f>VLOOKUP($B250,'Master Tracker'!$D:$T,14,false)</f>
        <v>Not Found</v>
      </c>
      <c r="AC250" s="292" t="str">
        <f>VLOOKUP($B250,'Master Tracker'!$D:$T,16,false)</f>
        <v>Not Found</v>
      </c>
      <c r="AD250" s="292" t="str">
        <f>VLOOKUP($B250,'Master Tracker'!$D:$T,17,false)</f>
        <v>Not Found</v>
      </c>
      <c r="AE250" s="292" t="str">
        <f>VLOOKUP($B250,'Master Tracker'!$D:$V,19,false)</f>
        <v>Not Found</v>
      </c>
      <c r="AF250" s="292">
        <f>IFERROR(__xludf.DUMMYFUNCTION("IFERROR(
  INDEX(
    FILTER(
      'Juma Recording forms'!$G:$G,
      TRIM('Juma Recording forms'!$F:$F) = TRIM($B250),
      'Juma Recording forms'!$AA:$AA = 1
    ),
    1
  ),
  ""Not Found""
)"),270.0)</f>
        <v>270</v>
      </c>
      <c r="AG250" s="292" t="str">
        <f>IFERROR(__xludf.DUMMYFUNCTION("IFERROR(
  INDEX(
    FILTER(
      'Juma Recording forms'!$G:$G,
      TRIM('Juma Recording forms'!$F:$F) = TRIM($B250),
      'Juma Recording forms'!$AA:$AA = 2
    ),
    1
  ),
  ""Not Found""
)"),"Not Found")</f>
        <v>Not Found</v>
      </c>
      <c r="AH250" s="292">
        <f>IFERROR(__xludf.DUMMYFUNCTION("IFERROR(
  INDEX(
    FILTER(
      'Juma Recording forms'!$G:$G,
      TRIM('Juma Recording forms'!$F:$F) = TRIM($B250),
      'Juma Recording forms'!$AA:$AA = 3
    ),
    1
  ),
  ""Not Found""
)"),270.0)</f>
        <v>270</v>
      </c>
      <c r="AI250" s="292" t="str">
        <f>IFERROR(__xludf.DUMMYFUNCTION("IFERROR(
  INDEX(
    FILTER(
      'Juma Recording forms'!$G:$G,
      TRIM('Juma Recording forms'!$F:$F) = TRIM($B250),
      'Juma Recording forms'!$AA:$AA = 4
    ),
    1
  ),
  ""Not Found""
)"),"Not Found")</f>
        <v>Not Found</v>
      </c>
      <c r="AJ250" s="292" t="str">
        <f>IFERROR(__xludf.DUMMYFUNCTION("IFERROR(
  INDEX(
    FILTER(
      'Juma Recording forms'!$G:$G,
      TRIM('Juma Recording forms'!$F:$F) = TRIM($B250),
      'Juma Recording forms'!$AA:$AA = 5
    ),
    1
  ),
  ""Not Found""
)"),"Not Found")</f>
        <v>Not Found</v>
      </c>
      <c r="AK250" s="292" t="str">
        <f>IFERROR(__xludf.DUMMYFUNCTION("IFERROR(
  INDEX(
    FILTER(
      'Juma Recording forms'!$G:$G,
      TRIM('Juma Recording forms'!$F:$F) = TRIM($B250),
      'Juma Recording forms'!$AA:$AA = 6
    ),
    1
  ),
  ""Not Found""
)"),"Not Found")</f>
        <v>Not Found</v>
      </c>
      <c r="AL2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1!$E:$E"")=$B250) *
        (IMPORTRANGE(""https://docs.google.com/spreadsheets/d/161aHT6vVT3SLneTKD19N5qVWtnj_jIT8CSsOmUVKmaA/e"&amp;"dit?gid=1761053510"",
          ""Haris_Form responses 1!$AQ:$AQ"")=1)
      ),
      1
    ),
    ""0""
  ),
  ""Form not found""
)
"),"0")</f>
        <v>0</v>
      </c>
      <c r="AM2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1!$E:$E"")=$B250) *
        (IMPORTRANGE(""https://docs.google.com/spreadsheets/d/161aHT6vVT3SLneTKD19N5qVWtnj_jIT8CSsOmUVKmaA/e"&amp;"dit?gid=1761053510"",
          ""Haris_Form responses 1!$AQ:$AQ"")=2)
      ),
      1
    ),
    ""0""
  ),
  ""Form not found""
)
"),"Form not found")</f>
        <v>Form not found</v>
      </c>
      <c r="AN2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1!$E:$E"")=$B250) *
        (IMPORTRANGE(""https://docs.google.com/spreadsheets/d/161aHT6vVT3SLneTKD19N5qVWtnj_jIT8CSsOmUVKmaA/e"&amp;"dit?gid=1761053510"",
          ""Haris_Form responses 1!$AQ:$AQ"")=3)
      ),
      1
    ),
    ""0""
  ),
  ""Form not found""
)
"),"0")</f>
        <v>0</v>
      </c>
      <c r="AO2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1!$E:$E"")=$B250) *
        (IMPORTRANGE(""https://docs.google.com/spreadsheets/d/161aHT6vVT3SLneTKD19N5qVWtnj_jIT8CSsOmUVKmaA/e"&amp;"dit?gid=1761053510"",
          ""Haris_Form responses 1!$AQ:$AQ"")=4)
      ),
      1
    ),
    ""0""
  ),
  ""Form not found""
)
"),"Form not found")</f>
        <v>Form not found</v>
      </c>
      <c r="AP2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1!$E:$E"")=$B250) *
        (IMPORTRANGE(""https://docs.google.com/spreadsheets/d/161aHT6vVT3SLneTKD19N5qVWtnj_jIT8CSsOmUVKmaA/e"&amp;"dit?gid=1761053510"",
          ""Haris_Form responses 1!$AQ:$AQ"")=5)
      ),
      1
    ),
    ""0""
  ),
  ""Form not found""
)
"),"Form not found")</f>
        <v>Form not found</v>
      </c>
      <c r="AQ25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1!$E:$E"")=$B250) *
        (IMPORTRANGE(""https://docs.google.com/spreadsheets/d/161aHT6vVT3SLneTKD19N5qVWtnj_jIT8CSsOmUVKmaA/e"&amp;"dit?gid=1761053510"",
          ""Haris_Form responses 1!$AQ:$AQ"")=6)
      ),
      1
    ),
    ""0""
  ),
  ""Form not found""
)
"),"Form not found")</f>
        <v>Form not found</v>
      </c>
      <c r="AR2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1!$E:$E"")=$B250) *
        (IMPORTRANGE(""https://docs.google.com/spreadsheets/d/161aHT6vVT3SLneTKD19N5qVWtnj_jIT8CSsOmUVKmaA/e"&amp;"dit?gid=1761053510"",
          ""Haris_Form responses 1!$AQ:$AQ"")=1)
      ),
      1
    ),
    ""0""
  ),
  ""Form not found""
)
"),"0")</f>
        <v>0</v>
      </c>
      <c r="AS2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1!$E:$E"")=$B250) *
        (IMPORTRANGE(""https://docs.google.com/spreadsheets/d/161aHT6vVT3SLneTKD19N5qVWtnj_jIT8CSsOmUVKmaA/e"&amp;"dit?gid=1761053510"",
          ""Haris_Form responses 1!$AQ:$AQ"")=2)
      ),
      1
    ),
    ""0""
  ),
  ""Form not found""
)
"),"Form not found")</f>
        <v>Form not found</v>
      </c>
      <c r="AT2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1!$E:$E"")=$B250) *
        (IMPORTRANGE(""https://docs.google.com/spreadsheets/d/161aHT6vVT3SLneTKD19N5qVWtnj_jIT8CSsOmUVKmaA/e"&amp;"dit?gid=1761053510"",
          ""Haris_Form responses 1!$AQ:$AQ"")=3)
      ),
      1
    ),
    ""0""
  ),
  ""Form not found""
)
"),"0")</f>
        <v>0</v>
      </c>
      <c r="AU2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1!$E:$E"")=$B250) *
        (IMPORTRANGE(""https://docs.google.com/spreadsheets/d/161aHT6vVT3SLneTKD19N5qVWtnj_jIT8CSsOmUVKmaA/e"&amp;"dit?gid=1761053510"",
          ""Haris_Form responses 1!$AQ:$AQ"")=4)
      ),
      1
    ),
    ""0""
  ),
  ""Form not found""
)
"),"Form not found")</f>
        <v>Form not found</v>
      </c>
      <c r="AV2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1!$E:$E"")=$B250) *
        (IMPORTRANGE(""https://docs.google.com/spreadsheets/d/161aHT6vVT3SLneTKD19N5qVWtnj_jIT8CSsOmUVKmaA/e"&amp;"dit?gid=1761053510"",
          ""Haris_Form responses 1!$AQ:$AQ"")=5)
      ),
      1
    ),
    ""0""
  ),
  ""Form not found""
)
"),"Form not found")</f>
        <v>Form not found</v>
      </c>
      <c r="AW25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1!$E:$E"")=$B250) *
        (IMPORTRANGE(""https://docs.google.com/spreadsheets/d/161aHT6vVT3SLneTKD19N5qVWtnj_jIT8CSsOmUVKmaA/e"&amp;"dit?gid=1761053510"",
          ""Haris_Form responses 1!$AQ:$AQ"")=6)
      ),
      1
    ),
    ""0""
  ),
  ""Form not found""
)
"),"Form not found")</f>
        <v>Form not found</v>
      </c>
      <c r="AX2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1!$E:$E"")=$B250) *
        (IMPORTRANGE(""https://docs.google.com/spreadsheets/d/161aHT6vVT3SLneTKD19N5qVWtnj_jIT8CSsOmUVKmaA/e"&amp;"dit?gid=1761053510"",
          ""Haris_Form responses 1!$AQ:$AQ"")=1)
      ),
      1
    ),
    ""0""
  ),
  ""Form not found""
)
"),"0")</f>
        <v>0</v>
      </c>
      <c r="AY2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1!$E:$E"")=$B250) *
        (IMPORTRANGE(""https://docs.google.com/spreadsheets/d/161aHT6vVT3SLneTKD19N5qVWtnj_jIT8CSsOmUVKmaA/e"&amp;"dit?gid=1761053510"",
          ""Haris_Form responses 1!$AQ:$AQ"")=2)
      ),
      1
    ),
    ""0""
  ),
  ""Form not found""
)
"),"Form not found")</f>
        <v>Form not found</v>
      </c>
      <c r="AZ2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1!$E:$E"")=$B250) *
        (IMPORTRANGE(""https://docs.google.com/spreadsheets/d/161aHT6vVT3SLneTKD19N5qVWtnj_jIT8CSsOmUVKmaA/e"&amp;"dit?gid=1761053510"",
          ""Haris_Form responses 1!$AQ:$AQ"")=3)
      ),
      1
    ),
    ""0""
  ),
  ""Form not found""
)
"),"0")</f>
        <v>0</v>
      </c>
      <c r="BA2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1!$E:$E"")=$B250) *
        (IMPORTRANGE(""https://docs.google.com/spreadsheets/d/161aHT6vVT3SLneTKD19N5qVWtnj_jIT8CSsOmUVKmaA/e"&amp;"dit?gid=1761053510"",
          ""Haris_Form responses 1!$AQ:$AQ"")=4)
      ),
      1
    ),
    ""0""
  ),
  ""Form not found""
)
"),"Form not found")</f>
        <v>Form not found</v>
      </c>
      <c r="BB2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1!$E:$E"")=$B250) *
        (IMPORTRANGE(""https://docs.google.com/spreadsheets/d/161aHT6vVT3SLneTKD19N5qVWtnj_jIT8CSsOmUVKmaA/e"&amp;"dit?gid=1761053510"",
          ""Haris_Form responses 1!$AQ:$AQ"")=5)
      ),
      1
    ),
    ""0""
  ),
  ""Form not found""
)
"),"Form not found")</f>
        <v>Form not found</v>
      </c>
      <c r="BC25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1!$E:$E"")=$B250) *
        (IMPORTRANGE(""https://docs.google.com/spreadsheets/d/161aHT6vVT3SLneTKD19N5qVWtnj_jIT8CSsOmUVKmaA/e"&amp;"dit?gid=1761053510"",
          ""Haris_Form responses 1!$AQ:$AQ"")=6)
      ),
      1
    ),
    ""0""
  ),
  ""Form not found""
)
"),"Form not found")</f>
        <v>Form not found</v>
      </c>
      <c r="BD250" s="293"/>
    </row>
    <row r="251">
      <c r="A251" s="283" t="str">
        <f>IFERROR(__xludf.DUMMYFUNCTION("VLOOKUP($B251,IMPORTRANGE(""https://docs.google.com/spreadsheets/d/1VNXDITjs75AcgdBSW27oL1VZH31udDprJSsBcE5xlp4/edit?gid=1551188038#gid=1551188038"", ""Sheet9!$B:$E""),2,false)"),"Faisalabad")</f>
        <v>Faisalabad</v>
      </c>
      <c r="B251" s="283" t="s">
        <v>4134</v>
      </c>
      <c r="C251" s="284" t="str">
        <f>IFERROR(__xludf.DUMMYFUNCTION("VLOOKUP(TRIM($B251), IMPORTRANGE(""https://docs.google.com/spreadsheets/d/1aSOrU4PTpuBZqfitKaH1Rfww6-YOiNCKoBpPl8XBHaw/edit?gid=0#gid=0"", ""sheet3!$B:$C""), 2, FALSE)
"),"Jamia Masjid Amenia Ameen Abaad Samanbad Faisalabad")</f>
        <v>Jamia Masjid Amenia Ameen Abaad Samanbad Faisalabad</v>
      </c>
      <c r="D251" s="284" t="str">
        <f>IFERROR(__xludf.DUMMYFUNCTION("IFERROR(
  INDEX(
    FILTER(
      IMPORTRANGE(""1aSOrU4PTpuBZqfitKaH1Rfww6-YOiNCKoBpPl8XBHaw/edit?gid=0#gid=0"",""Sheet1!G:G""),
      IMPORTRANGE(""1aSOrU4PTpuBZqfitKaH1Rfww6-YOiNCKoBpPl8XBHaw/edit?gid=0#gid=0"",""Sheet1!C:C"")=$B251
    ),
    1
  ),
"&amp;"  ""Not Found""
)"),"Community Religious Info Share")</f>
        <v>Community Religious Info Share</v>
      </c>
      <c r="E251" s="284" t="str">
        <f>VLOOKUP(B251,'Juma Recording forms'!A:E,5,false)</f>
        <v>Jamia Masjid Amenia Ameen Abaad Samanbad Faisalabad</v>
      </c>
      <c r="F251" s="284" t="str">
        <f>IFERROR(__xludf.DUMMYFUNCTION("IFERROR(
  INDEX(
    FILTER(
      IMPORTRANGE(""1Cxrhp3-_-HS7v9uuqQliiIfrmMP4VaFoDNDWyUFy2J8/edit?gid=0#gid=0"",""Sheet1!Q:Q""),
      IMPORTRANGE(""1Cxrhp3-_-HS7v9uuqQliiIfrmMP4VaFoDNDWyUFy2J8/edit?gid=0#gid=0"",""Sheet1!K:K"")=$B251
    ),
    1
  ),
"&amp;"  ""Not Found""
)"),"Muhammad Rizwan")</f>
        <v>Muhammad Rizwan</v>
      </c>
      <c r="G251" s="284">
        <v>1990.0</v>
      </c>
      <c r="H251" s="284"/>
      <c r="I251" s="285" t="s">
        <v>197</v>
      </c>
      <c r="J251" s="286">
        <v>2.0</v>
      </c>
      <c r="K251" s="287" t="str">
        <f>VLOOKUP($B251,'Mosque Locations'!$A:$E,3,FALSE)
</f>
        <v>https://www.google.com/maps?q=31.3939836,73.0724894</v>
      </c>
      <c r="L251" s="286">
        <f>VLOOKUP($B251,'Mosque Locations'!$A:$E,4,FALSE)
</f>
        <v>31.39398</v>
      </c>
      <c r="M251" s="286">
        <f>VLOOKUP($B251,'Mosque Locations'!$A:$E,5,false)</f>
        <v>73.07249</v>
      </c>
      <c r="N251" s="288"/>
      <c r="O251" s="288"/>
      <c r="P251" s="288"/>
      <c r="Q251" s="295" t="str">
        <f>IFERROR(__xludf.DUMMYFUNCTION("IFERROR(
  INDEX(
    FILTER(
      IMPORTRANGE(""1kOrIKZmJfNUkgOVP3sI9BPjaaPA0_a4636oymQxTXg8"",""Form Responses 1!N:N""),
      TRIM(IMPORTRANGE(""1kOrIKZmJfNUkgOVP3sI9BPjaaPA0_a4636oymQxTXg8"",""Form Responses 1!F:F""))=TRIM($B251)
    ),
    1
  ),
  "&amp;"""Not Found""
)
"),"https://drive.google.com/file/d/1ZUIRxP_-rLEGN-4uXJv1P_lv5nPmBuLF/view?usp=drive_link")</f>
        <v>https://drive.google.com/file/d/1ZUIRxP_-rLEGN-4uXJv1P_lv5nPmBuLF/view?usp=drive_link</v>
      </c>
      <c r="R251" s="295" t="str">
        <f>IFERROR(__xludf.DUMMYFUNCTION("IFERROR(
  INDEX(
    FILTER(
      IMPORTRANGE(""1kOrIKZmJfNUkgOVP3sI9BPjaaPA0_a4636oymQxTXg8"",""Form Responses 1!M:M""),
      TRIM(IMPORTRANGE(""1kOrIKZmJfNUkgOVP3sI9BPjaaPA0_a4636oymQxTXg8"",""Form Responses 1!F:F""))=TRIM($B251)
    ),
    1
  ),
  "&amp;"""Not Found""
)
"),"https://drive.google.com/open?id=1pTnr3MCuWOa-qMZ-fYckvKM_c2GqvcCV")</f>
        <v>https://drive.google.com/open?id=1pTnr3MCuWOa-qMZ-fYckvKM_c2GqvcCV</v>
      </c>
      <c r="S251" s="285"/>
      <c r="T251" s="284" t="str">
        <f>VLOOKUP($B251,'Master Tracker'!D:E,2,false)</f>
        <v>Not Found</v>
      </c>
      <c r="U251" s="292" t="str">
        <f>VLOOKUP($B251,'Master Tracker'!$D:$T,4,FALSE)
</f>
        <v>Not Found</v>
      </c>
      <c r="V251" s="290" t="str">
        <f>VLOOKUP($B251,'Master Tracker'!$D:$T,5,false)</f>
        <v>https://drive.google.com/open?id=1BoizWdDB6ed4Yz9TEoJqklEavoA8I9h2</v>
      </c>
      <c r="W251" s="291" t="str">
        <f>VLOOKUP($B251,'Master Tracker'!$D:$T,7,false)</f>
        <v>https://drive.google.com/open?id=1xK-nS3kWkcJxVGhwbsz3XCoWNm1YBKRJojuj9P2tXHg</v>
      </c>
      <c r="X251" s="290" t="str">
        <f>VLOOKUP($B251,'Master Tracker'!$D:$T,8,false)</f>
        <v>https://drive.google.com/file/d/1-npo6AAiYQznTuaih-louUamKkLsTsAt/view?usp=sharing</v>
      </c>
      <c r="Y251" s="291" t="str">
        <f>VLOOKUP($B251,'Master Tracker'!$D:$T,10,false)</f>
        <v>https://drive.google.com/open?id=1QUucbG4t4D0Lxqe1NorPtkZWnlJnLOt_Cm4O38-MnVc</v>
      </c>
      <c r="Z251" s="290" t="str">
        <f>VLOOKUP($B251,'Master Tracker'!$D:$T,11,false)</f>
        <v>https://drive.google.com/file/d/1DJ7R2gc9L4Fl5BTkKC_XAZLhGQhMJPKD/view?usp=drive_link</v>
      </c>
      <c r="AA251" s="291" t="str">
        <f>VLOOKUP($B251,'Master Tracker'!$D:$T,13,false)</f>
        <v>https://drive.google.com/open?id=1nW9dqP4zdfkZFih-I6j7TcDr5du43shd4CnUuKhlsW8</v>
      </c>
      <c r="AB251" s="284" t="str">
        <f>VLOOKUP($B251,'Master Tracker'!$D:$T,14,false)</f>
        <v>Not Found</v>
      </c>
      <c r="AC251" s="292" t="str">
        <f>VLOOKUP($B251,'Master Tracker'!$D:$T,16,false)</f>
        <v>Not Found</v>
      </c>
      <c r="AD251" s="292" t="str">
        <f>VLOOKUP($B251,'Master Tracker'!$D:$T,17,false)</f>
        <v>Not Found</v>
      </c>
      <c r="AE251" s="292" t="str">
        <f>VLOOKUP($B251,'Master Tracker'!$D:$V,19,false)</f>
        <v>Not Found</v>
      </c>
      <c r="AF251" s="292" t="str">
        <f>IFERROR(__xludf.DUMMYFUNCTION("IFERROR(
  INDEX(
    FILTER(
      'Juma Recording forms'!$G:$G,
      TRIM('Juma Recording forms'!$F:$F) = TRIM($B251),
      'Juma Recording forms'!$AA:$AA = 1
    ),
    1
  ),
  ""Not Found""
)"),"Not Found")</f>
        <v>Not Found</v>
      </c>
      <c r="AG251" s="292">
        <f>IFERROR(__xludf.DUMMYFUNCTION("IFERROR(
  INDEX(
    FILTER(
      'Juma Recording forms'!$G:$G,
      TRIM('Juma Recording forms'!$F:$F) = TRIM($B251),
      'Juma Recording forms'!$AA:$AA = 2
    ),
    1
  ),
  ""Not Found""
)"),234.0)</f>
        <v>234</v>
      </c>
      <c r="AH251" s="292">
        <f>IFERROR(__xludf.DUMMYFUNCTION("IFERROR(
  INDEX(
    FILTER(
      'Juma Recording forms'!$G:$G,
      TRIM('Juma Recording forms'!$F:$F) = TRIM($B251),
      'Juma Recording forms'!$AA:$AA = 3
    ),
    1
  ),
  ""Not Found""
)"),194.0)</f>
        <v>194</v>
      </c>
      <c r="AI251" s="292">
        <f>IFERROR(__xludf.DUMMYFUNCTION("IFERROR(
  INDEX(
    FILTER(
      'Juma Recording forms'!$G:$G,
      TRIM('Juma Recording forms'!$F:$F) = TRIM($B251),
      'Juma Recording forms'!$AA:$AA = 4
    ),
    1
  ),
  ""Not Found""
)"),300.0)</f>
        <v>300</v>
      </c>
      <c r="AJ251" s="292" t="str">
        <f>IFERROR(__xludf.DUMMYFUNCTION("IFERROR(
  INDEX(
    FILTER(
      'Juma Recording forms'!$G:$G,
      TRIM('Juma Recording forms'!$F:$F) = TRIM($B251),
      'Juma Recording forms'!$AA:$AA = 5
    ),
    1
  ),
  ""Not Found""
)"),"Not Found")</f>
        <v>Not Found</v>
      </c>
      <c r="AK251" s="292" t="str">
        <f>IFERROR(__xludf.DUMMYFUNCTION("IFERROR(
  INDEX(
    FILTER(
      'Juma Recording forms'!$G:$G,
      TRIM('Juma Recording forms'!$F:$F) = TRIM($B251),
      'Juma Recording forms'!$AA:$AA = 6
    ),
    1
  ),
  ""Not Found""
)"),"Not Found")</f>
        <v>Not Found</v>
      </c>
      <c r="AL2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1!$E:$E"")=$B251) *
        (IMPORTRANGE(""https://docs.google.com/spreadsheets/d/161aHT6vVT3SLneTKD19N5qVWtnj_jIT8CSsOmUVKmaA/e"&amp;"dit?gid=1761053510"",
          ""Haris_Form responses 1!$AQ:$AQ"")=1)
      ),
      1
    ),
    ""0""
  ),
  ""Form not found""
)
"),"Form not found")</f>
        <v>Form not found</v>
      </c>
      <c r="AM2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1!$E:$E"")=$B251) *
        (IMPORTRANGE(""https://docs.google.com/spreadsheets/d/161aHT6vVT3SLneTKD19N5qVWtnj_jIT8CSsOmUVKmaA/e"&amp;"dit?gid=1761053510"",
          ""Haris_Form responses 1!$AQ:$AQ"")=2)
      ),
      1
    ),
    ""0""
  ),
  ""Form not found""
)
"),"10")</f>
        <v>10</v>
      </c>
      <c r="AN2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1!$E:$E"")=$B251) *
        (IMPORTRANGE(""https://docs.google.com/spreadsheets/d/161aHT6vVT3SLneTKD19N5qVWtnj_jIT8CSsOmUVKmaA/e"&amp;"dit?gid=1761053510"",
          ""Haris_Form responses 1!$AQ:$AQ"")=3)
      ),
      1
    ),
    ""0""
  ),
  ""Form not found""
)
"),"0")</f>
        <v>0</v>
      </c>
      <c r="AO2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1!$E:$E"")=$B251) *
        (IMPORTRANGE(""https://docs.google.com/spreadsheets/d/161aHT6vVT3SLneTKD19N5qVWtnj_jIT8CSsOmUVKmaA/e"&amp;"dit?gid=1761053510"",
          ""Haris_Form responses 1!$AQ:$AQ"")=4)
      ),
      1
    ),
    ""0""
  ),
  ""Form not found""
)
"),"0")</f>
        <v>0</v>
      </c>
      <c r="AP2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1!$E:$E"")=$B251) *
        (IMPORTRANGE(""https://docs.google.com/spreadsheets/d/161aHT6vVT3SLneTKD19N5qVWtnj_jIT8CSsOmUVKmaA/e"&amp;"dit?gid=1761053510"",
          ""Haris_Form responses 1!$AQ:$AQ"")=5)
      ),
      1
    ),
    ""0""
  ),
  ""Form not found""
)
"),"Form not found")</f>
        <v>Form not found</v>
      </c>
      <c r="AQ25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1!$E:$E"")=$B251) *
        (IMPORTRANGE(""https://docs.google.com/spreadsheets/d/161aHT6vVT3SLneTKD19N5qVWtnj_jIT8CSsOmUVKmaA/e"&amp;"dit?gid=1761053510"",
          ""Haris_Form responses 1!$AQ:$AQ"")=6)
      ),
      1
    ),
    ""0""
  ),
  ""Form not found""
)
"),"Form not found")</f>
        <v>Form not found</v>
      </c>
      <c r="AR2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1!$E:$E"")=$B251) *
        (IMPORTRANGE(""https://docs.google.com/spreadsheets/d/161aHT6vVT3SLneTKD19N5qVWtnj_jIT8CSsOmUVKmaA/e"&amp;"dit?gid=1761053510"",
          ""Haris_Form responses 1!$AQ:$AQ"")=1)
      ),
      1
    ),
    ""0""
  ),
  ""Form not found""
)
"),"Form not found")</f>
        <v>Form not found</v>
      </c>
      <c r="AS2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1!$E:$E"")=$B251) *
        (IMPORTRANGE(""https://docs.google.com/spreadsheets/d/161aHT6vVT3SLneTKD19N5qVWtnj_jIT8CSsOmUVKmaA/e"&amp;"dit?gid=1761053510"",
          ""Haris_Form responses 1!$AQ:$AQ"")=2)
      ),
      1
    ),
    ""0""
  ),
  ""Form not found""
)
"),"10")</f>
        <v>10</v>
      </c>
      <c r="AT2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1!$E:$E"")=$B251) *
        (IMPORTRANGE(""https://docs.google.com/spreadsheets/d/161aHT6vVT3SLneTKD19N5qVWtnj_jIT8CSsOmUVKmaA/e"&amp;"dit?gid=1761053510"",
          ""Haris_Form responses 1!$AQ:$AQ"")=3)
      ),
      1
    ),
    ""0""
  ),
  ""Form not found""
)
"),"0")</f>
        <v>0</v>
      </c>
      <c r="AU2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1!$E:$E"")=$B251) *
        (IMPORTRANGE(""https://docs.google.com/spreadsheets/d/161aHT6vVT3SLneTKD19N5qVWtnj_jIT8CSsOmUVKmaA/e"&amp;"dit?gid=1761053510"",
          ""Haris_Form responses 1!$AQ:$AQ"")=4)
      ),
      1
    ),
    ""0""
  ),
  ""Form not found""
)
"),"0")</f>
        <v>0</v>
      </c>
      <c r="AV2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1!$E:$E"")=$B251) *
        (IMPORTRANGE(""https://docs.google.com/spreadsheets/d/161aHT6vVT3SLneTKD19N5qVWtnj_jIT8CSsOmUVKmaA/e"&amp;"dit?gid=1761053510"",
          ""Haris_Form responses 1!$AQ:$AQ"")=5)
      ),
      1
    ),
    ""0""
  ),
  ""Form not found""
)
"),"Form not found")</f>
        <v>Form not found</v>
      </c>
      <c r="AW25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1!$E:$E"")=$B251) *
        (IMPORTRANGE(""https://docs.google.com/spreadsheets/d/161aHT6vVT3SLneTKD19N5qVWtnj_jIT8CSsOmUVKmaA/e"&amp;"dit?gid=1761053510"",
          ""Haris_Form responses 1!$AQ:$AQ"")=6)
      ),
      1
    ),
    ""0""
  ),
  ""Form not found""
)
"),"Form not found")</f>
        <v>Form not found</v>
      </c>
      <c r="AX2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1!$E:$E"")=$B251) *
        (IMPORTRANGE(""https://docs.google.com/spreadsheets/d/161aHT6vVT3SLneTKD19N5qVWtnj_jIT8CSsOmUVKmaA/e"&amp;"dit?gid=1761053510"",
          ""Haris_Form responses 1!$AQ:$AQ"")=1)
      ),
      1
    ),
    ""0""
  ),
  ""Form not found""
)
"),"Form not found")</f>
        <v>Form not found</v>
      </c>
      <c r="AY2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1!$E:$E"")=$B251) *
        (IMPORTRANGE(""https://docs.google.com/spreadsheets/d/161aHT6vVT3SLneTKD19N5qVWtnj_jIT8CSsOmUVKmaA/e"&amp;"dit?gid=1761053510"",
          ""Haris_Form responses 1!$AQ:$AQ"")=2)
      ),
      1
    ),
    ""0""
  ),
  ""Form not found""
)
"),"0")</f>
        <v>0</v>
      </c>
      <c r="AZ2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1!$E:$E"")=$B251) *
        (IMPORTRANGE(""https://docs.google.com/spreadsheets/d/161aHT6vVT3SLneTKD19N5qVWtnj_jIT8CSsOmUVKmaA/e"&amp;"dit?gid=1761053510"",
          ""Haris_Form responses 1!$AQ:$AQ"")=3)
      ),
      1
    ),
    ""0""
  ),
  ""Form not found""
)
"),"0")</f>
        <v>0</v>
      </c>
      <c r="BA2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1!$E:$E"")=$B251) *
        (IMPORTRANGE(""https://docs.google.com/spreadsheets/d/161aHT6vVT3SLneTKD19N5qVWtnj_jIT8CSsOmUVKmaA/e"&amp;"dit?gid=1761053510"",
          ""Haris_Form responses 1!$AQ:$AQ"")=4)
      ),
      1
    ),
    ""0""
  ),
  ""Form not found""
)
"),"2")</f>
        <v>2</v>
      </c>
      <c r="BB2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1!$E:$E"")=$B251) *
        (IMPORTRANGE(""https://docs.google.com/spreadsheets/d/161aHT6vVT3SLneTKD19N5qVWtnj_jIT8CSsOmUVKmaA/e"&amp;"dit?gid=1761053510"",
          ""Haris_Form responses 1!$AQ:$AQ"")=5)
      ),
      1
    ),
    ""0""
  ),
  ""Form not found""
)
"),"Form not found")</f>
        <v>Form not found</v>
      </c>
      <c r="BC25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1!$E:$E"")=$B251) *
        (IMPORTRANGE(""https://docs.google.com/spreadsheets/d/161aHT6vVT3SLneTKD19N5qVWtnj_jIT8CSsOmUVKmaA/e"&amp;"dit?gid=1761053510"",
          ""Haris_Form responses 1!$AQ:$AQ"")=6)
      ),
      1
    ),
    ""0""
  ),
  ""Form not found""
)
"),"Form not found")</f>
        <v>Form not found</v>
      </c>
      <c r="BD251" s="293"/>
    </row>
    <row r="252">
      <c r="A252" s="283" t="str">
        <f>IFERROR(__xludf.DUMMYFUNCTION("VLOOKUP($B252,IMPORTRANGE(""https://docs.google.com/spreadsheets/d/1VNXDITjs75AcgdBSW27oL1VZH31udDprJSsBcE5xlp4/edit?gid=1551188038#gid=1551188038"", ""Sheet9!$B:$E""),2,false)"),"Faisalabad")</f>
        <v>Faisalabad</v>
      </c>
      <c r="B252" s="283" t="s">
        <v>4696</v>
      </c>
      <c r="C252" s="284" t="str">
        <f>IFERROR(__xludf.DUMMYFUNCTION("VLOOKUP(TRIM($B252), IMPORTRANGE(""https://docs.google.com/spreadsheets/d/1aSOrU4PTpuBZqfitKaH1Rfww6-YOiNCKoBpPl8XBHaw/edit?gid=0#gid=0"", ""sheet3!$B:$C""), 2, FALSE)
"),"Jamia Masjid Darbar Noor Shah Wali Faisalabad")</f>
        <v>Jamia Masjid Darbar Noor Shah Wali Faisalabad</v>
      </c>
      <c r="D252" s="284" t="str">
        <f>IFERROR(__xludf.DUMMYFUNCTION("IFERROR(
  INDEX(
    FILTER(
      IMPORTRANGE(""1aSOrU4PTpuBZqfitKaH1Rfww6-YOiNCKoBpPl8XBHaw/edit?gid=0#gid=0"",""Sheet1!G:G""),
      IMPORTRANGE(""1aSOrU4PTpuBZqfitKaH1Rfww6-YOiNCKoBpPl8XBHaw/edit?gid=0#gid=0"",""Sheet1!C:C"")=$B252
    ),
    1
  ),
"&amp;"  ""Not Found""
)"),"Women Secular No Info Share")</f>
        <v>Women Secular No Info Share</v>
      </c>
      <c r="E252" s="284" t="str">
        <f>VLOOKUP(B252,'Juma Recording forms'!A:E,5,false)</f>
        <v>Jamia Masjid Firdous Noor shah wali</v>
      </c>
      <c r="F252" s="284" t="str">
        <f>IFERROR(__xludf.DUMMYFUNCTION("IFERROR(
  INDEX(
    FILTER(
      IMPORTRANGE(""1Cxrhp3-_-HS7v9uuqQliiIfrmMP4VaFoDNDWyUFy2J8/edit?gid=0#gid=0"",""Sheet1!Q:Q""),
      IMPORTRANGE(""1Cxrhp3-_-HS7v9uuqQliiIfrmMP4VaFoDNDWyUFy2J8/edit?gid=0#gid=0"",""Sheet1!K:K"")=$B252
    ),
    1
  ),
"&amp;"  ""Not Found""
)"),"Faiz ur Rehman ")</f>
        <v>Faiz ur Rehman </v>
      </c>
      <c r="G252" s="284">
        <v>1947.0</v>
      </c>
      <c r="H252" s="284" t="s">
        <v>4885</v>
      </c>
      <c r="I252" s="285" t="s">
        <v>197</v>
      </c>
      <c r="J252" s="286">
        <v>2.0</v>
      </c>
      <c r="K252" s="287" t="str">
        <f>VLOOKUP($B252,'Mosque Locations'!$A:$E,3,FALSE)
</f>
        <v>https://maps.google.com/maps?q=31.4256616%2C73.0975612&amp;z=17&amp;hl=en</v>
      </c>
      <c r="L252" s="286">
        <f>VLOOKUP($B252,'Mosque Locations'!$A:$E,4,FALSE)
</f>
        <v>31.42566</v>
      </c>
      <c r="M252" s="286">
        <f>VLOOKUP($B252,'Mosque Locations'!$A:$E,5,false)</f>
        <v>73.09756</v>
      </c>
      <c r="N252" s="288"/>
      <c r="O252" s="288"/>
      <c r="P252" s="288"/>
      <c r="Q252" s="295" t="str">
        <f>IFERROR(__xludf.DUMMYFUNCTION("IFERROR(
  INDEX(
    FILTER(
      IMPORTRANGE(""1kOrIKZmJfNUkgOVP3sI9BPjaaPA0_a4636oymQxTXg8"",""Form Responses 1!N:N""),
      TRIM(IMPORTRANGE(""1kOrIKZmJfNUkgOVP3sI9BPjaaPA0_a4636oymQxTXg8"",""Form Responses 1!F:F""))=TRIM($B252)
    ),
    1
  ),
  "&amp;"""Not Found""
)
"),"https://drive.google.com/file/d/1wOxHlH371ZPEjenyw7LGX4rchzLztXEn/view?usp=drive_link")</f>
        <v>https://drive.google.com/file/d/1wOxHlH371ZPEjenyw7LGX4rchzLztXEn/view?usp=drive_link</v>
      </c>
      <c r="R252" s="295" t="str">
        <f>IFERROR(__xludf.DUMMYFUNCTION("IFERROR(
  INDEX(
    FILTER(
      IMPORTRANGE(""1kOrIKZmJfNUkgOVP3sI9BPjaaPA0_a4636oymQxTXg8"",""Form Responses 1!M:M""),
      TRIM(IMPORTRANGE(""1kOrIKZmJfNUkgOVP3sI9BPjaaPA0_a4636oymQxTXg8"",""Form Responses 1!F:F""))=TRIM($B252)
    ),
    1
  ),
  "&amp;"""Not Found""
)
"),"https://drive.google.com/open?id=1ez1vYw2QoU9L5R-JM90L7bDc5XSuOlba")</f>
        <v>https://drive.google.com/open?id=1ez1vYw2QoU9L5R-JM90L7bDc5XSuOlba</v>
      </c>
      <c r="S252" s="285"/>
      <c r="T252" s="290" t="str">
        <f>VLOOKUP($B252,'Master Tracker'!D:E,2,false)</f>
        <v>https://drive.google.com/open?id=1Cp-2nEtIzFFGKqIxPJQvGOXowwl_Z7bu</v>
      </c>
      <c r="U252" s="291" t="str">
        <f>VLOOKUP($B252,'Master Tracker'!$D:$T,4,FALSE)
</f>
        <v>https://drive.google.com/open?id=1Xjdhj4fIROd-u4HXQkpRLhnwYm0jWarzQLbZDOX57H8</v>
      </c>
      <c r="V252" s="290" t="str">
        <f>VLOOKUP($B252,'Master Tracker'!$D:$T,5,false)</f>
        <v>https://drive.google.com/open?id=19IUVk73DMgCmgCo35NmVp_lkfUypzc3u</v>
      </c>
      <c r="W252" s="291" t="str">
        <f>VLOOKUP($B252,'Master Tracker'!$D:$T,7,false)</f>
        <v>https://drive.google.com/open?id=1T5vPMgpQeMBBvy9lAreVknhzt6GSTpp8</v>
      </c>
      <c r="X252" s="290" t="str">
        <f>VLOOKUP($B252,'Master Tracker'!$D:$T,8,false)</f>
        <v>https://drive.google.com/open?id=1yr05UGe8hraU4Y6y2F4ReMgmL6veXGJ8</v>
      </c>
      <c r="Y252" s="291" t="str">
        <f>VLOOKUP($B252,'Master Tracker'!$D:$T,10,false)</f>
        <v>https://drive.google.com/open?id=1egVkwO5yr75-xCKZ4pEO0KntdQiCHCRD0CenNuxypcI</v>
      </c>
      <c r="Z252" s="284" t="str">
        <f>VLOOKUP($B252,'Master Tracker'!$D:$T,11,false)</f>
        <v>Not Found</v>
      </c>
      <c r="AA252" s="292" t="str">
        <f>VLOOKUP($B252,'Master Tracker'!$D:$T,13,false)</f>
        <v>Not Found</v>
      </c>
      <c r="AB252" s="284" t="str">
        <f>VLOOKUP($B252,'Master Tracker'!$D:$T,14,false)</f>
        <v>Not Found</v>
      </c>
      <c r="AC252" s="292" t="str">
        <f>VLOOKUP($B252,'Master Tracker'!$D:$T,16,false)</f>
        <v>Not Found</v>
      </c>
      <c r="AD252" s="292" t="str">
        <f>VLOOKUP($B252,'Master Tracker'!$D:$T,17,false)</f>
        <v>Not Found</v>
      </c>
      <c r="AE252" s="292" t="str">
        <f>VLOOKUP($B252,'Master Tracker'!$D:$V,19,false)</f>
        <v>Not Found</v>
      </c>
      <c r="AF252" s="292">
        <f>IFERROR(__xludf.DUMMYFUNCTION("IFERROR(
  INDEX(
    FILTER(
      'Juma Recording forms'!$G:$G,
      TRIM('Juma Recording forms'!$F:$F) = TRIM($B252),
      'Juma Recording forms'!$AA:$AA = 1
    ),
    1
  ),
  ""Not Found""
)"),410.0)</f>
        <v>410</v>
      </c>
      <c r="AG252" s="292">
        <f>IFERROR(__xludf.DUMMYFUNCTION("IFERROR(
  INDEX(
    FILTER(
      'Juma Recording forms'!$G:$G,
      TRIM('Juma Recording forms'!$F:$F) = TRIM($B252),
      'Juma Recording forms'!$AA:$AA = 2
    ),
    1
  ),
  ""Not Found""
)"),383.0)</f>
        <v>383</v>
      </c>
      <c r="AH252" s="292">
        <f>IFERROR(__xludf.DUMMYFUNCTION("IFERROR(
  INDEX(
    FILTER(
      'Juma Recording forms'!$G:$G,
      TRIM('Juma Recording forms'!$F:$F) = TRIM($B252),
      'Juma Recording forms'!$AA:$AA = 3
    ),
    1
  ),
  ""Not Found""
)"),372.0)</f>
        <v>372</v>
      </c>
      <c r="AI252" s="292" t="str">
        <f>IFERROR(__xludf.DUMMYFUNCTION("IFERROR(
  INDEX(
    FILTER(
      'Juma Recording forms'!$G:$G,
      TRIM('Juma Recording forms'!$F:$F) = TRIM($B252),
      'Juma Recording forms'!$AA:$AA = 4
    ),
    1
  ),
  ""Not Found""
)"),"Not Found")</f>
        <v>Not Found</v>
      </c>
      <c r="AJ252" s="292" t="str">
        <f>IFERROR(__xludf.DUMMYFUNCTION("IFERROR(
  INDEX(
    FILTER(
      'Juma Recording forms'!$G:$G,
      TRIM('Juma Recording forms'!$F:$F) = TRIM($B252),
      'Juma Recording forms'!$AA:$AA = 5
    ),
    1
  ),
  ""Not Found""
)"),"Not Found")</f>
        <v>Not Found</v>
      </c>
      <c r="AK252" s="292" t="str">
        <f>IFERROR(__xludf.DUMMYFUNCTION("IFERROR(
  INDEX(
    FILTER(
      'Juma Recording forms'!$G:$G,
      TRIM('Juma Recording forms'!$F:$F) = TRIM($B252),
      'Juma Recording forms'!$AA:$AA = 6
    ),
    1
  ),
  ""Not Found""
)"),"Not Found")</f>
        <v>Not Found</v>
      </c>
      <c r="AL2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1!$E:$E"")=$B252) *
        (IMPORTRANGE(""https://docs.google.com/spreadsheets/d/161aHT6vVT3SLneTKD19N5qVWtnj_jIT8CSsOmUVKmaA/e"&amp;"dit?gid=1761053510"",
          ""Haris_Form responses 1!$AQ:$AQ"")=1)
      ),
      1
    ),
    ""0""
  ),
  ""Form not found""
)
"),"10")</f>
        <v>10</v>
      </c>
      <c r="AM2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1!$E:$E"")=$B252) *
        (IMPORTRANGE(""https://docs.google.com/spreadsheets/d/161aHT6vVT3SLneTKD19N5qVWtnj_jIT8CSsOmUVKmaA/e"&amp;"dit?gid=1761053510"",
          ""Haris_Form responses 1!$AQ:$AQ"")=2)
      ),
      1
    ),
    ""0""
  ),
  ""Form not found""
)
"),"10")</f>
        <v>10</v>
      </c>
      <c r="AN2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1!$E:$E"")=$B252) *
        (IMPORTRANGE(""https://docs.google.com/spreadsheets/d/161aHT6vVT3SLneTKD19N5qVWtnj_jIT8CSsOmUVKmaA/e"&amp;"dit?gid=1761053510"",
          ""Haris_Form responses 1!$AQ:$AQ"")=3)
      ),
      1
    ),
    ""0""
  ),
  ""Form not found""
)
"),"0")</f>
        <v>0</v>
      </c>
      <c r="AO2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1!$E:$E"")=$B252) *
        (IMPORTRANGE(""https://docs.google.com/spreadsheets/d/161aHT6vVT3SLneTKD19N5qVWtnj_jIT8CSsOmUVKmaA/e"&amp;"dit?gid=1761053510"",
          ""Haris_Form responses 1!$AQ:$AQ"")=4)
      ),
      1
    ),
    ""0""
  ),
  ""Form not found""
)
"),"Form not found")</f>
        <v>Form not found</v>
      </c>
      <c r="AP2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1!$E:$E"")=$B252) *
        (IMPORTRANGE(""https://docs.google.com/spreadsheets/d/161aHT6vVT3SLneTKD19N5qVWtnj_jIT8CSsOmUVKmaA/e"&amp;"dit?gid=1761053510"",
          ""Haris_Form responses 1!$AQ:$AQ"")=5)
      ),
      1
    ),
    ""0""
  ),
  ""Form not found""
)
"),"Form not found")</f>
        <v>Form not found</v>
      </c>
      <c r="AQ25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1!$E:$E"")=$B252) *
        (IMPORTRANGE(""https://docs.google.com/spreadsheets/d/161aHT6vVT3SLneTKD19N5qVWtnj_jIT8CSsOmUVKmaA/e"&amp;"dit?gid=1761053510"",
          ""Haris_Form responses 1!$AQ:$AQ"")=6)
      ),
      1
    ),
    ""0""
  ),
  ""Form not found""
)
"),"Form not found")</f>
        <v>Form not found</v>
      </c>
      <c r="AR2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1!$E:$E"")=$B252) *
        (IMPORTRANGE(""https://docs.google.com/spreadsheets/d/161aHT6vVT3SLneTKD19N5qVWtnj_jIT8CSsOmUVKmaA/e"&amp;"dit?gid=1761053510"",
          ""Haris_Form responses 1!$AQ:$AQ"")=1)
      ),
      1
    ),
    ""0""
  ),
  ""Form not found""
)
"),"0")</f>
        <v>0</v>
      </c>
      <c r="AS2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1!$E:$E"")=$B252) *
        (IMPORTRANGE(""https://docs.google.com/spreadsheets/d/161aHT6vVT3SLneTKD19N5qVWtnj_jIT8CSsOmUVKmaA/e"&amp;"dit?gid=1761053510"",
          ""Haris_Form responses 1!$AQ:$AQ"")=2)
      ),
      1
    ),
    ""0""
  ),
  ""Form not found""
)
"),"0")</f>
        <v>0</v>
      </c>
      <c r="AT2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1!$E:$E"")=$B252) *
        (IMPORTRANGE(""https://docs.google.com/spreadsheets/d/161aHT6vVT3SLneTKD19N5qVWtnj_jIT8CSsOmUVKmaA/e"&amp;"dit?gid=1761053510"",
          ""Haris_Form responses 1!$AQ:$AQ"")=3)
      ),
      1
    ),
    ""0""
  ),
  ""Form not found""
)
"),"0")</f>
        <v>0</v>
      </c>
      <c r="AU2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1!$E:$E"")=$B252) *
        (IMPORTRANGE(""https://docs.google.com/spreadsheets/d/161aHT6vVT3SLneTKD19N5qVWtnj_jIT8CSsOmUVKmaA/e"&amp;"dit?gid=1761053510"",
          ""Haris_Form responses 1!$AQ:$AQ"")=4)
      ),
      1
    ),
    ""0""
  ),
  ""Form not found""
)
"),"Form not found")</f>
        <v>Form not found</v>
      </c>
      <c r="AV2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1!$E:$E"")=$B252) *
        (IMPORTRANGE(""https://docs.google.com/spreadsheets/d/161aHT6vVT3SLneTKD19N5qVWtnj_jIT8CSsOmUVKmaA/e"&amp;"dit?gid=1761053510"",
          ""Haris_Form responses 1!$AQ:$AQ"")=5)
      ),
      1
    ),
    ""0""
  ),
  ""Form not found""
)
"),"Form not found")</f>
        <v>Form not found</v>
      </c>
      <c r="AW25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1!$E:$E"")=$B252) *
        (IMPORTRANGE(""https://docs.google.com/spreadsheets/d/161aHT6vVT3SLneTKD19N5qVWtnj_jIT8CSsOmUVKmaA/e"&amp;"dit?gid=1761053510"",
          ""Haris_Form responses 1!$AQ:$AQ"")=6)
      ),
      1
    ),
    ""0""
  ),
  ""Form not found""
)
"),"Form not found")</f>
        <v>Form not found</v>
      </c>
      <c r="AX2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1!$E:$E"")=$B252) *
        (IMPORTRANGE(""https://docs.google.com/spreadsheets/d/161aHT6vVT3SLneTKD19N5qVWtnj_jIT8CSsOmUVKmaA/e"&amp;"dit?gid=1761053510"",
          ""Haris_Form responses 1!$AQ:$AQ"")=1)
      ),
      1
    ),
    ""0""
  ),
  ""Form not found""
)
"),"10")</f>
        <v>10</v>
      </c>
      <c r="AY2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1!$E:$E"")=$B252) *
        (IMPORTRANGE(""https://docs.google.com/spreadsheets/d/161aHT6vVT3SLneTKD19N5qVWtnj_jIT8CSsOmUVKmaA/e"&amp;"dit?gid=1761053510"",
          ""Haris_Form responses 1!$AQ:$AQ"")=2)
      ),
      1
    ),
    ""0""
  ),
  ""Form not found""
)
"),"10")</f>
        <v>10</v>
      </c>
      <c r="AZ2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1!$E:$E"")=$B252) *
        (IMPORTRANGE(""https://docs.google.com/spreadsheets/d/161aHT6vVT3SLneTKD19N5qVWtnj_jIT8CSsOmUVKmaA/e"&amp;"dit?gid=1761053510"",
          ""Haris_Form responses 1!$AQ:$AQ"")=3)
      ),
      1
    ),
    ""0""
  ),
  ""Form not found""
)
"),"0")</f>
        <v>0</v>
      </c>
      <c r="BA2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1!$E:$E"")=$B252) *
        (IMPORTRANGE(""https://docs.google.com/spreadsheets/d/161aHT6vVT3SLneTKD19N5qVWtnj_jIT8CSsOmUVKmaA/e"&amp;"dit?gid=1761053510"",
          ""Haris_Form responses 1!$AQ:$AQ"")=4)
      ),
      1
    ),
    ""0""
  ),
  ""Form not found""
)
"),"Form not found")</f>
        <v>Form not found</v>
      </c>
      <c r="BB2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1!$E:$E"")=$B252) *
        (IMPORTRANGE(""https://docs.google.com/spreadsheets/d/161aHT6vVT3SLneTKD19N5qVWtnj_jIT8CSsOmUVKmaA/e"&amp;"dit?gid=1761053510"",
          ""Haris_Form responses 1!$AQ:$AQ"")=5)
      ),
      1
    ),
    ""0""
  ),
  ""Form not found""
)
"),"Form not found")</f>
        <v>Form not found</v>
      </c>
      <c r="BC25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1!$E:$E"")=$B252) *
        (IMPORTRANGE(""https://docs.google.com/spreadsheets/d/161aHT6vVT3SLneTKD19N5qVWtnj_jIT8CSsOmUVKmaA/e"&amp;"dit?gid=1761053510"",
          ""Haris_Form responses 1!$AQ:$AQ"")=6)
      ),
      1
    ),
    ""0""
  ),
  ""Form not found""
)
"),"Form not found")</f>
        <v>Form not found</v>
      </c>
      <c r="BD252" s="293"/>
    </row>
    <row r="253">
      <c r="A253" s="283" t="str">
        <f>IFERROR(__xludf.DUMMYFUNCTION("VLOOKUP($B253,IMPORTRANGE(""https://docs.google.com/spreadsheets/d/1VNXDITjs75AcgdBSW27oL1VZH31udDprJSsBcE5xlp4/edit?gid=1551188038#gid=1551188038"", ""Sheet9!$B:$E""),2,false)"),"Faisalabad")</f>
        <v>Faisalabad</v>
      </c>
      <c r="B253" s="283" t="s">
        <v>3915</v>
      </c>
      <c r="C253" s="284" t="str">
        <f>IFERROR(__xludf.DUMMYFUNCTION("VLOOKUP(TRIM($B253), IMPORTRANGE(""https://docs.google.com/spreadsheets/d/1aSOrU4PTpuBZqfitKaH1Rfww6-YOiNCKoBpPl8XBHaw/edit?gid=0#gid=0"", ""sheet3!$B:$C""), 2, FALSE)
"),"Jamia Masjid Rehmaniya Ali Town Sargodha Road Faisalabad")</f>
        <v>Jamia Masjid Rehmaniya Ali Town Sargodha Road Faisalabad</v>
      </c>
      <c r="D253" s="284" t="str">
        <f>IFERROR(__xludf.DUMMYFUNCTION("IFERROR(
  INDEX(
    FILTER(
      IMPORTRANGE(""1aSOrU4PTpuBZqfitKaH1Rfww6-YOiNCKoBpPl8XBHaw/edit?gid=0#gid=0"",""Sheet1!G:G""),
      IMPORTRANGE(""1aSOrU4PTpuBZqfitKaH1Rfww6-YOiNCKoBpPl8XBHaw/edit?gid=0#gid=0"",""Sheet1!C:C"")=$B253
    ),
    1
  ),
"&amp;"  ""Not Found""
)"),"Community Religious No Info Share")</f>
        <v>Community Religious No Info Share</v>
      </c>
      <c r="E253" s="284" t="str">
        <f>VLOOKUP(B253,'Juma Recording forms'!A:E,5,false)</f>
        <v>Markazi Jamia Masjid Rahmania Sargodha road Faisalabad</v>
      </c>
      <c r="F253" s="284" t="str">
        <f>IFERROR(__xludf.DUMMYFUNCTION("IFERROR(
  INDEX(
    FILTER(
      IMPORTRANGE(""1Cxrhp3-_-HS7v9uuqQliiIfrmMP4VaFoDNDWyUFy2J8/edit?gid=0#gid=0"",""Sheet1!Q:Q""),
      IMPORTRANGE(""1Cxrhp3-_-HS7v9uuqQliiIfrmMP4VaFoDNDWyUFy2J8/edit?gid=0#gid=0"",""Sheet1!K:K"")=$B253
    ),
    1
  ),
"&amp;"  ""Not Found""
)"),"Molana Habibir Rehman")</f>
        <v>Molana Habibir Rehman</v>
      </c>
      <c r="G253" s="284">
        <v>1941.0</v>
      </c>
      <c r="H253" s="284"/>
      <c r="I253" s="285" t="s">
        <v>197</v>
      </c>
      <c r="J253" s="286">
        <v>2.0</v>
      </c>
      <c r="K253" s="287" t="str">
        <f>VLOOKUP($B253,'Mosque Locations'!$A:$E,3,FALSE)
</f>
        <v>https://maps.google.com/maps?q=31.4767418%2C73.0774172&amp;z=17&amp;hl=en</v>
      </c>
      <c r="L253" s="286">
        <f>VLOOKUP($B253,'Mosque Locations'!$A:$E,4,FALSE)
</f>
        <v>31.47674</v>
      </c>
      <c r="M253" s="286">
        <f>VLOOKUP($B253,'Mosque Locations'!$A:$E,5,false)</f>
        <v>73.07742</v>
      </c>
      <c r="N253" s="288"/>
      <c r="O253" s="288"/>
      <c r="P253" s="288"/>
      <c r="Q253" s="290" t="str">
        <f>IFERROR(__xludf.DUMMYFUNCTION("IFERROR(
  INDEX(
    FILTER(
      IMPORTRANGE(""1kOrIKZmJfNUkgOVP3sI9BPjaaPA0_a4636oymQxTXg8"",""Form Responses 1!N:N""),
      TRIM(IMPORTRANGE(""1kOrIKZmJfNUkgOVP3sI9BPjaaPA0_a4636oymQxTXg8"",""Form Responses 1!F:F""))=TRIM($B253)
    ),
    1
  ),
  "&amp;"""Not Found""
)
"),"https://drive.google.com/open?id=1YIpHoFIRyYEYN3L6HhU4aeQKIpumuuy-")</f>
        <v>https://drive.google.com/open?id=1YIpHoFIRyYEYN3L6HhU4aeQKIpumuuy-</v>
      </c>
      <c r="R253" s="290" t="str">
        <f>IFERROR(__xludf.DUMMYFUNCTION("IFERROR(
  INDEX(
    FILTER(
      IMPORTRANGE(""1kOrIKZmJfNUkgOVP3sI9BPjaaPA0_a4636oymQxTXg8"",""Form Responses 1!M:M""),
      TRIM(IMPORTRANGE(""1kOrIKZmJfNUkgOVP3sI9BPjaaPA0_a4636oymQxTXg8"",""Form Responses 1!F:F""))=TRIM($B253)
    ),
    1
  ),
  "&amp;"""Not Found""
)
"),"https://drive.google.com/open?id=1RBA0ElUWlrrp5O0IbVo6y7FKZyawf5hB")</f>
        <v>https://drive.google.com/open?id=1RBA0ElUWlrrp5O0IbVo6y7FKZyawf5hB</v>
      </c>
      <c r="S253" s="285"/>
      <c r="T253" s="290" t="str">
        <f>VLOOKUP($B253,'Master Tracker'!D:E,2,false)</f>
        <v>https://drive.google.com/open?id=1-D-FnePHNt9tH8UGZP4xBzhrccDfDXuc</v>
      </c>
      <c r="U253" s="291" t="str">
        <f>VLOOKUP($B253,'Master Tracker'!$D:$T,4,FALSE)
</f>
        <v>https://drive.google.com/open?id=1NzulmoVNakKME_U_xx1TZzCEj17p6zewCEamMFNGaTQ</v>
      </c>
      <c r="V253" s="290" t="str">
        <f>VLOOKUP($B253,'Master Tracker'!$D:$T,5,false)</f>
        <v>https://drive.google.com/open?id=199ErTQu1fWFuc9xzjredrCZrtQVtTIRX</v>
      </c>
      <c r="W253" s="291" t="str">
        <f>VLOOKUP($B253,'Master Tracker'!$D:$T,7,false)</f>
        <v>https://drive.google.com/open?id=13X5Ffpmu_lKU5n8biPngLBhBy74_rnAkzvbGsBIuJ64</v>
      </c>
      <c r="X253" s="290" t="str">
        <f>VLOOKUP($B253,'Master Tracker'!$D:$T,8,false)</f>
        <v>https://drive.google.com/open?id=19sEILeTZzb5KijYV8Fhruw8s_1NmD0sg</v>
      </c>
      <c r="Y253" s="291" t="str">
        <f>VLOOKUP($B253,'Master Tracker'!$D:$T,10,false)</f>
        <v>https://drive.google.com/open?id=1AFIGyf1bo1obCf3Mp1f5IQ_UReOsN3mnXzo1Yt9ZKUE</v>
      </c>
      <c r="Z253" s="290" t="str">
        <f>VLOOKUP($B253,'Master Tracker'!$D:$T,11,false)</f>
        <v>https://drive.google.com/open?id=1mhYcDWYube3Yrme-9KL9wq1gH0aYckey</v>
      </c>
      <c r="AA253" s="291" t="str">
        <f>VLOOKUP($B253,'Master Tracker'!$D:$T,13,false)</f>
        <v>https://drive.google.com/open?id=1fxo-xd87HTR1BHB-QUZZk1N5-KyP2u4pQG07R3mskUY</v>
      </c>
      <c r="AB253" s="284" t="str">
        <f>VLOOKUP($B253,'Master Tracker'!$D:$T,14,false)</f>
        <v>Not Found</v>
      </c>
      <c r="AC253" s="292" t="str">
        <f>VLOOKUP($B253,'Master Tracker'!$D:$T,16,false)</f>
        <v>Not Found</v>
      </c>
      <c r="AD253" s="292" t="str">
        <f>VLOOKUP($B253,'Master Tracker'!$D:$T,17,false)</f>
        <v>Not Found</v>
      </c>
      <c r="AE253" s="292" t="str">
        <f>VLOOKUP($B253,'Master Tracker'!$D:$V,19,false)</f>
        <v>Not Found</v>
      </c>
      <c r="AF253" s="292">
        <f>IFERROR(__xludf.DUMMYFUNCTION("IFERROR(
  INDEX(
    FILTER(
      'Juma Recording forms'!$G:$G,
      TRIM('Juma Recording forms'!$F:$F) = TRIM($B253),
      'Juma Recording forms'!$AA:$AA = 1
    ),
    1
  ),
  ""Not Found""
)"),325.0)</f>
        <v>325</v>
      </c>
      <c r="AG253" s="292">
        <f>IFERROR(__xludf.DUMMYFUNCTION("IFERROR(
  INDEX(
    FILTER(
      'Juma Recording forms'!$G:$G,
      TRIM('Juma Recording forms'!$F:$F) = TRIM($B253),
      'Juma Recording forms'!$AA:$AA = 2
    ),
    1
  ),
  ""Not Found""
)"),331.0)</f>
        <v>331</v>
      </c>
      <c r="AH253" s="292">
        <f>IFERROR(__xludf.DUMMYFUNCTION("IFERROR(
  INDEX(
    FILTER(
      'Juma Recording forms'!$G:$G,
      TRIM('Juma Recording forms'!$F:$F) = TRIM($B253),
      'Juma Recording forms'!$AA:$AA = 3
    ),
    1
  ),
  ""Not Found""
)"),317.0)</f>
        <v>317</v>
      </c>
      <c r="AI253" s="292">
        <f>IFERROR(__xludf.DUMMYFUNCTION("IFERROR(
  INDEX(
    FILTER(
      'Juma Recording forms'!$G:$G,
      TRIM('Juma Recording forms'!$F:$F) = TRIM($B253),
      'Juma Recording forms'!$AA:$AA = 4
    ),
    1
  ),
  ""Not Found""
)"),311.0)</f>
        <v>311</v>
      </c>
      <c r="AJ253" s="292" t="str">
        <f>IFERROR(__xludf.DUMMYFUNCTION("IFERROR(
  INDEX(
    FILTER(
      'Juma Recording forms'!$G:$G,
      TRIM('Juma Recording forms'!$F:$F) = TRIM($B253),
      'Juma Recording forms'!$AA:$AA = 5
    ),
    1
  ),
  ""Not Found""
)"),"Not Found")</f>
        <v>Not Found</v>
      </c>
      <c r="AK253" s="292" t="str">
        <f>IFERROR(__xludf.DUMMYFUNCTION("IFERROR(
  INDEX(
    FILTER(
      'Juma Recording forms'!$G:$G,
      TRIM('Juma Recording forms'!$F:$F) = TRIM($B253),
      'Juma Recording forms'!$AA:$AA = 6
    ),
    1
  ),
  ""Not Found""
)"),"Not Found")</f>
        <v>Not Found</v>
      </c>
      <c r="AL2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1!$E:$E"")=$B253) *
        (IMPORTRANGE(""https://docs.google.com/spreadsheets/d/161aHT6vVT3SLneTKD19N5qVWtnj_jIT8CSsOmUVKmaA/e"&amp;"dit?gid=1761053510"",
          ""Haris_Form responses 1!$AQ:$AQ"")=1)
      ),
      1
    ),
    ""0""
  ),
  ""Form not found""
)
"),"8")</f>
        <v>8</v>
      </c>
      <c r="AM2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1!$E:$E"")=$B253) *
        (IMPORTRANGE(""https://docs.google.com/spreadsheets/d/161aHT6vVT3SLneTKD19N5qVWtnj_jIT8CSsOmUVKmaA/e"&amp;"dit?gid=1761053510"",
          ""Haris_Form responses 1!$AQ:$AQ"")=2)
      ),
      1
    ),
    ""0""
  ),
  ""Form not found""
)
"),"3")</f>
        <v>3</v>
      </c>
      <c r="AN2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1!$E:$E"")=$B253) *
        (IMPORTRANGE(""https://docs.google.com/spreadsheets/d/161aHT6vVT3SLneTKD19N5qVWtnj_jIT8CSsOmUVKmaA/e"&amp;"dit?gid=1761053510"",
          ""Haris_Form responses 1!$AQ:$AQ"")=3)
      ),
      1
    ),
    ""0""
  ),
  ""Form not found""
)
"),"8")</f>
        <v>8</v>
      </c>
      <c r="AO2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1!$E:$E"")=$B253) *
        (IMPORTRANGE(""https://docs.google.com/spreadsheets/d/161aHT6vVT3SLneTKD19N5qVWtnj_jIT8CSsOmUVKmaA/e"&amp;"dit?gid=1761053510"",
          ""Haris_Form responses 1!$AQ:$AQ"")=4)
      ),
      1
    ),
    ""0""
  ),
  ""Form not found""
)
"),"0")</f>
        <v>0</v>
      </c>
      <c r="AP2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1!$E:$E"")=$B253) *
        (IMPORTRANGE(""https://docs.google.com/spreadsheets/d/161aHT6vVT3SLneTKD19N5qVWtnj_jIT8CSsOmUVKmaA/e"&amp;"dit?gid=1761053510"",
          ""Haris_Form responses 1!$AQ:$AQ"")=5)
      ),
      1
    ),
    ""0""
  ),
  ""Form not found""
)
"),"Form not found")</f>
        <v>Form not found</v>
      </c>
      <c r="AQ25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1!$E:$E"")=$B253) *
        (IMPORTRANGE(""https://docs.google.com/spreadsheets/d/161aHT6vVT3SLneTKD19N5qVWtnj_jIT8CSsOmUVKmaA/e"&amp;"dit?gid=1761053510"",
          ""Haris_Form responses 1!$AQ:$AQ"")=6)
      ),
      1
    ),
    ""0""
  ),
  ""Form not found""
)
"),"Form not found")</f>
        <v>Form not found</v>
      </c>
      <c r="AR2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1!$E:$E"")=$B253) *
        (IMPORTRANGE(""https://docs.google.com/spreadsheets/d/161aHT6vVT3SLneTKD19N5qVWtnj_jIT8CSsOmUVKmaA/e"&amp;"dit?gid=1761053510"",
          ""Haris_Form responses 1!$AQ:$AQ"")=1)
      ),
      1
    ),
    ""0""
  ),
  ""Form not found""
)
"),"8")</f>
        <v>8</v>
      </c>
      <c r="AS2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1!$E:$E"")=$B253) *
        (IMPORTRANGE(""https://docs.google.com/spreadsheets/d/161aHT6vVT3SLneTKD19N5qVWtnj_jIT8CSsOmUVKmaA/e"&amp;"dit?gid=1761053510"",
          ""Haris_Form responses 1!$AQ:$AQ"")=2)
      ),
      1
    ),
    ""0""
  ),
  ""Form not found""
)
"),"3")</f>
        <v>3</v>
      </c>
      <c r="AT2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1!$E:$E"")=$B253) *
        (IMPORTRANGE(""https://docs.google.com/spreadsheets/d/161aHT6vVT3SLneTKD19N5qVWtnj_jIT8CSsOmUVKmaA/e"&amp;"dit?gid=1761053510"",
          ""Haris_Form responses 1!$AQ:$AQ"")=3)
      ),
      1
    ),
    ""0""
  ),
  ""Form not found""
)
"),"8")</f>
        <v>8</v>
      </c>
      <c r="AU2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1!$E:$E"")=$B253) *
        (IMPORTRANGE(""https://docs.google.com/spreadsheets/d/161aHT6vVT3SLneTKD19N5qVWtnj_jIT8CSsOmUVKmaA/e"&amp;"dit?gid=1761053510"",
          ""Haris_Form responses 1!$AQ:$AQ"")=4)
      ),
      1
    ),
    ""0""
  ),
  ""Form not found""
)
"),"0")</f>
        <v>0</v>
      </c>
      <c r="AV2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1!$E:$E"")=$B253) *
        (IMPORTRANGE(""https://docs.google.com/spreadsheets/d/161aHT6vVT3SLneTKD19N5qVWtnj_jIT8CSsOmUVKmaA/e"&amp;"dit?gid=1761053510"",
          ""Haris_Form responses 1!$AQ:$AQ"")=5)
      ),
      1
    ),
    ""0""
  ),
  ""Form not found""
)
"),"Form not found")</f>
        <v>Form not found</v>
      </c>
      <c r="AW25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1!$E:$E"")=$B253) *
        (IMPORTRANGE(""https://docs.google.com/spreadsheets/d/161aHT6vVT3SLneTKD19N5qVWtnj_jIT8CSsOmUVKmaA/e"&amp;"dit?gid=1761053510"",
          ""Haris_Form responses 1!$AQ:$AQ"")=6)
      ),
      1
    ),
    ""0""
  ),
  ""Form not found""
)
"),"Form not found")</f>
        <v>Form not found</v>
      </c>
      <c r="AX2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1!$E:$E"")=$B253) *
        (IMPORTRANGE(""https://docs.google.com/spreadsheets/d/161aHT6vVT3SLneTKD19N5qVWtnj_jIT8CSsOmUVKmaA/e"&amp;"dit?gid=1761053510"",
          ""Haris_Form responses 1!$AQ:$AQ"")=1)
      ),
      1
    ),
    ""0""
  ),
  ""Form not found""
)
"),"2")</f>
        <v>2</v>
      </c>
      <c r="AY2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1!$E:$E"")=$B253) *
        (IMPORTRANGE(""https://docs.google.com/spreadsheets/d/161aHT6vVT3SLneTKD19N5qVWtnj_jIT8CSsOmUVKmaA/e"&amp;"dit?gid=1761053510"",
          ""Haris_Form responses 1!$AQ:$AQ"")=2)
      ),
      1
    ),
    ""0""
  ),
  ""Form not found""
)
"),"0")</f>
        <v>0</v>
      </c>
      <c r="AZ2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1!$E:$E"")=$B253) *
        (IMPORTRANGE(""https://docs.google.com/spreadsheets/d/161aHT6vVT3SLneTKD19N5qVWtnj_jIT8CSsOmUVKmaA/e"&amp;"dit?gid=1761053510"",
          ""Haris_Form responses 1!$AQ:$AQ"")=3)
      ),
      1
    ),
    ""0""
  ),
  ""Form not found""
)
"),"0")</f>
        <v>0</v>
      </c>
      <c r="BA2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1!$E:$E"")=$B253) *
        (IMPORTRANGE(""https://docs.google.com/spreadsheets/d/161aHT6vVT3SLneTKD19N5qVWtnj_jIT8CSsOmUVKmaA/e"&amp;"dit?gid=1761053510"",
          ""Haris_Form responses 1!$AQ:$AQ"")=4)
      ),
      1
    ),
    ""0""
  ),
  ""Form not found""
)
"),"0")</f>
        <v>0</v>
      </c>
      <c r="BB2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1!$E:$E"")=$B253) *
        (IMPORTRANGE(""https://docs.google.com/spreadsheets/d/161aHT6vVT3SLneTKD19N5qVWtnj_jIT8CSsOmUVKmaA/e"&amp;"dit?gid=1761053510"",
          ""Haris_Form responses 1!$AQ:$AQ"")=5)
      ),
      1
    ),
    ""0""
  ),
  ""Form not found""
)
"),"Form not found")</f>
        <v>Form not found</v>
      </c>
      <c r="BC25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1!$E:$E"")=$B253) *
        (IMPORTRANGE(""https://docs.google.com/spreadsheets/d/161aHT6vVT3SLneTKD19N5qVWtnj_jIT8CSsOmUVKmaA/e"&amp;"dit?gid=1761053510"",
          ""Haris_Form responses 1!$AQ:$AQ"")=6)
      ),
      1
    ),
    ""0""
  ),
  ""Form not found""
)
"),"Form not found")</f>
        <v>Form not found</v>
      </c>
      <c r="BD253" s="293"/>
    </row>
    <row r="254">
      <c r="A254" s="283" t="str">
        <f>IFERROR(__xludf.DUMMYFUNCTION("VLOOKUP($B254,IMPORTRANGE(""https://docs.google.com/spreadsheets/d/1VNXDITjs75AcgdBSW27oL1VZH31udDprJSsBcE5xlp4/edit?gid=1551188038#gid=1551188038"", ""Sheet9!$B:$E""),2,false)"),"Faisalabad")</f>
        <v>Faisalabad</v>
      </c>
      <c r="B254" s="283" t="s">
        <v>4279</v>
      </c>
      <c r="C254" s="284" t="str">
        <f>IFERROR(__xludf.DUMMYFUNCTION("VLOOKUP(TRIM($B254), IMPORTRANGE(""https://docs.google.com/spreadsheets/d/1aSOrU4PTpuBZqfitKaH1Rfww6-YOiNCKoBpPl8XBHaw/edit?gid=0#gid=0"", ""sheet3!$B:$C""), 2, FALSE)
"),"Jamia Masjid Qasimiya Rehmy Shah Faisalabad")</f>
        <v>Jamia Masjid Qasimiya Rehmy Shah Faisalabad</v>
      </c>
      <c r="D254" s="284" t="str">
        <f>IFERROR(__xludf.DUMMYFUNCTION("IFERROR(
  INDEX(
    FILTER(
      IMPORTRANGE(""1aSOrU4PTpuBZqfitKaH1Rfww6-YOiNCKoBpPl8XBHaw/edit?gid=0#gid=0"",""Sheet1!G:G""),
      IMPORTRANGE(""1aSOrU4PTpuBZqfitKaH1Rfww6-YOiNCKoBpPl8XBHaw/edit?gid=0#gid=0"",""Sheet1!C:C"")=$B254
    ),
    1
  ),
"&amp;"  ""Not Found""
)"),"Women Secular No Info Share")</f>
        <v>Women Secular No Info Share</v>
      </c>
      <c r="E254" s="284" t="str">
        <f>VLOOKUP(B254,'Juma Recording forms'!A:E,5,false)</f>
        <v>Jamia Masjid Qasmiya rehmy Shah Faisalabad </v>
      </c>
      <c r="F254" s="284" t="str">
        <f>IFERROR(__xludf.DUMMYFUNCTION("IFERROR(
  INDEX(
    FILTER(
      IMPORTRANGE(""1Cxrhp3-_-HS7v9uuqQliiIfrmMP4VaFoDNDWyUFy2J8/edit?gid=0#gid=0"",""Sheet1!Q:Q""),
      IMPORTRANGE(""1Cxrhp3-_-HS7v9uuqQliiIfrmMP4VaFoDNDWyUFy2J8/edit?gid=0#gid=0"",""Sheet1!K:K"")=$B254
    ),
    1
  ),
"&amp;"  ""Not Found""
)"),"Muhammad Abu bakar")</f>
        <v>Muhammad Abu bakar</v>
      </c>
      <c r="G254" s="292">
        <v>2000.0</v>
      </c>
      <c r="H254" s="284"/>
      <c r="I254" s="285"/>
      <c r="J254" s="286">
        <v>2.0</v>
      </c>
      <c r="K254" s="287" t="str">
        <f>VLOOKUP($B254,'Mosque Locations'!$A:$E,3,FALSE)
</f>
        <v>https://maps.google.com/maps?q=30.9432969%2C73.0034394&amp;z=17&amp;hl=en</v>
      </c>
      <c r="L254" s="286">
        <f>VLOOKUP($B254,'Mosque Locations'!$A:$E,4,FALSE)
</f>
        <v>30.9433</v>
      </c>
      <c r="M254" s="286">
        <f>VLOOKUP($B254,'Mosque Locations'!$A:$E,5,false)</f>
        <v>73.00344</v>
      </c>
      <c r="N254" s="288"/>
      <c r="O254" s="288"/>
      <c r="P254" s="288"/>
      <c r="Q254" s="294" t="str">
        <f>IFERROR(__xludf.DUMMYFUNCTION("IFERROR(
  INDEX(
    FILTER(
      IMPORTRANGE(""1kOrIKZmJfNUkgOVP3sI9BPjaaPA0_a4636oymQxTXg8"",""Form Responses 1!N:N""),
      TRIM(IMPORTRANGE(""1kOrIKZmJfNUkgOVP3sI9BPjaaPA0_a4636oymQxTXg8"",""Form Responses 1!F:F""))=TRIM($B254)
    ),
    1
  ),
  "&amp;"""Not Found""
)
"),"Not Found")</f>
        <v>Not Found</v>
      </c>
      <c r="R254" s="294" t="str">
        <f>IFERROR(__xludf.DUMMYFUNCTION("IFERROR(
  INDEX(
    FILTER(
      IMPORTRANGE(""1kOrIKZmJfNUkgOVP3sI9BPjaaPA0_a4636oymQxTXg8"",""Form Responses 1!M:M""),
      TRIM(IMPORTRANGE(""1kOrIKZmJfNUkgOVP3sI9BPjaaPA0_a4636oymQxTXg8"",""Form Responses 1!F:F""))=TRIM($B254)
    ),
    1
  ),
  "&amp;"""Not Found""
)
"),"Not Found")</f>
        <v>Not Found</v>
      </c>
      <c r="S254" s="283" t="s">
        <v>4886</v>
      </c>
      <c r="T254" s="284" t="str">
        <f>VLOOKUP($B254,'Master Tracker'!D:E,2,false)</f>
        <v>Not Found</v>
      </c>
      <c r="U254" s="292" t="str">
        <f>VLOOKUP($B254,'Master Tracker'!$D:$T,4,FALSE)
</f>
        <v>Not Found</v>
      </c>
      <c r="V254" s="284" t="str">
        <f>VLOOKUP($B254,'Master Tracker'!$D:$T,5,false)</f>
        <v>Not Found</v>
      </c>
      <c r="W254" s="292" t="str">
        <f>VLOOKUP($B254,'Master Tracker'!$D:$T,7,false)</f>
        <v>Not Found</v>
      </c>
      <c r="X254" s="290" t="str">
        <f>VLOOKUP($B254,'Master Tracker'!$D:$T,8,false)</f>
        <v>https://drive.google.com/file/d/1QsvKqokUrIftbGCEMIt1zg_srLOzGdji/view?usp=drive_link</v>
      </c>
      <c r="Y254" s="291" t="str">
        <f>VLOOKUP($B254,'Master Tracker'!$D:$T,10,false)</f>
        <v>https://drive.google.com/open?id=1hgusqHr8_f1ZVpj-nt_BTzwUJgDMGKhXpGf4AFdgs1E</v>
      </c>
      <c r="Z254" s="290" t="str">
        <f>VLOOKUP($B254,'Master Tracker'!$D:$T,11,false)</f>
        <v>https://drive.google.com/open?id=1WzmlfwQD5_F67APyEpZjlpEi81-mgTPb</v>
      </c>
      <c r="AA254" s="291" t="str">
        <f>VLOOKUP($B254,'Master Tracker'!$D:$T,13,false)</f>
        <v>https://drive.google.com/open?id=19ezccxDarZlC2i85iG8Na2hNiwtd5iaq</v>
      </c>
      <c r="AB254" s="290" t="str">
        <f>VLOOKUP($B254,'Master Tracker'!$D:$T,14,false)</f>
        <v>https://drive.google.com/open?id=17oA0Ovsigo0oEoQVRlgHaLhgcHLPdsJ-</v>
      </c>
      <c r="AC254" s="291" t="str">
        <f>VLOOKUP($B254,'Master Tracker'!$D:$T,16,false)</f>
        <v>https://drive.google.com/open?id=1v1qPqfX3yNTLSrUFXb5Oc5oDKNeav5QAqwPApH3QlMA</v>
      </c>
      <c r="AD254" s="292" t="str">
        <f>VLOOKUP($B254,'Master Tracker'!$D:$T,17,false)</f>
        <v>Not Found</v>
      </c>
      <c r="AE254" s="292" t="str">
        <f>VLOOKUP($B254,'Master Tracker'!$D:$V,19,false)</f>
        <v>Not Found</v>
      </c>
      <c r="AF254" s="292" t="str">
        <f>IFERROR(__xludf.DUMMYFUNCTION("IFERROR(
  INDEX(
    FILTER(
      'Juma Recording forms'!$G:$G,
      TRIM('Juma Recording forms'!$F:$F) = TRIM($B254),
      'Juma Recording forms'!$AA:$AA = 1
    ),
    1
  ),
  ""Not Found""
)"),"Not Found")</f>
        <v>Not Found</v>
      </c>
      <c r="AG254" s="292" t="str">
        <f>IFERROR(__xludf.DUMMYFUNCTION("IFERROR(
  INDEX(
    FILTER(
      'Juma Recording forms'!$G:$G,
      TRIM('Juma Recording forms'!$F:$F) = TRIM($B254),
      'Juma Recording forms'!$AA:$AA = 2
    ),
    1
  ),
  ""Not Found""
)"),"Not Found")</f>
        <v>Not Found</v>
      </c>
      <c r="AH254" s="292" t="str">
        <f>IFERROR(__xludf.DUMMYFUNCTION("IFERROR(
  INDEX(
    FILTER(
      'Juma Recording forms'!$G:$G,
      TRIM('Juma Recording forms'!$F:$F) = TRIM($B254),
      'Juma Recording forms'!$AA:$AA = 3
    ),
    1
  ),
  ""Not Found""
)"),"Not Found")</f>
        <v>Not Found</v>
      </c>
      <c r="AI254" s="292">
        <f>IFERROR(__xludf.DUMMYFUNCTION("IFERROR(
  INDEX(
    FILTER(
      'Juma Recording forms'!$G:$G,
      TRIM('Juma Recording forms'!$F:$F) = TRIM($B254),
      'Juma Recording forms'!$AA:$AA = 4
    ),
    1
  ),
  ""Not Found""
)"),300.0)</f>
        <v>300</v>
      </c>
      <c r="AJ254" s="292">
        <f>IFERROR(__xludf.DUMMYFUNCTION("IFERROR(
  INDEX(
    FILTER(
      'Juma Recording forms'!$G:$G,
      TRIM('Juma Recording forms'!$F:$F) = TRIM($B254),
      'Juma Recording forms'!$AA:$AA = 5
    ),
    1
  ),
  ""Not Found""
)"),284.0)</f>
        <v>284</v>
      </c>
      <c r="AK254" s="292" t="str">
        <f>IFERROR(__xludf.DUMMYFUNCTION("IFERROR(
  INDEX(
    FILTER(
      'Juma Recording forms'!$G:$G,
      TRIM('Juma Recording forms'!$F:$F) = TRIM($B254),
      'Juma Recording forms'!$AA:$AA = 6
    ),
    1
  ),
  ""Not Found""
)"),"Not Found")</f>
        <v>Not Found</v>
      </c>
      <c r="AL2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1!$E:$E"")=$B254) *
        (IMPORTRANGE(""https://docs.google.com/spreadsheets/d/161aHT6vVT3SLneTKD19N5qVWtnj_jIT8CSsOmUVKmaA/e"&amp;"dit?gid=1761053510"",
          ""Haris_Form responses 1!$AQ:$AQ"")=1)
      ),
      1
    ),
    ""0""
  ),
  ""Form not found""
)
"),"Form not found")</f>
        <v>Form not found</v>
      </c>
      <c r="AM2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1!$E:$E"")=$B254) *
        (IMPORTRANGE(""https://docs.google.com/spreadsheets/d/161aHT6vVT3SLneTKD19N5qVWtnj_jIT8CSsOmUVKmaA/e"&amp;"dit?gid=1761053510"",
          ""Haris_Form responses 1!$AQ:$AQ"")=2)
      ),
      1
    ),
    ""0""
  ),
  ""Form not found""
)
"),"Form not found")</f>
        <v>Form not found</v>
      </c>
      <c r="AN2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1!$E:$E"")=$B254) *
        (IMPORTRANGE(""https://docs.google.com/spreadsheets/d/161aHT6vVT3SLneTKD19N5qVWtnj_jIT8CSsOmUVKmaA/e"&amp;"dit?gid=1761053510"",
          ""Haris_Form responses 1!$AQ:$AQ"")=3)
      ),
      1
    ),
    ""0""
  ),
  ""Form not found""
)
"),"0")</f>
        <v>0</v>
      </c>
      <c r="AO2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1!$E:$E"")=$B254) *
        (IMPORTRANGE(""https://docs.google.com/spreadsheets/d/161aHT6vVT3SLneTKD19N5qVWtnj_jIT8CSsOmUVKmaA/e"&amp;"dit?gid=1761053510"",
          ""Haris_Form responses 1!$AQ:$AQ"")=4)
      ),
      1
    ),
    ""0""
  ),
  ""Form not found""
)
"),"1")</f>
        <v>1</v>
      </c>
      <c r="AP2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1!$E:$E"")=$B254) *
        (IMPORTRANGE(""https://docs.google.com/spreadsheets/d/161aHT6vVT3SLneTKD19N5qVWtnj_jIT8CSsOmUVKmaA/e"&amp;"dit?gid=1761053510"",
          ""Haris_Form responses 1!$AQ:$AQ"")=5)
      ),
      1
    ),
    ""0""
  ),
  ""Form not found""
)
"),"0")</f>
        <v>0</v>
      </c>
      <c r="AQ25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1!$E:$E"")=$B254) *
        (IMPORTRANGE(""https://docs.google.com/spreadsheets/d/161aHT6vVT3SLneTKD19N5qVWtnj_jIT8CSsOmUVKmaA/e"&amp;"dit?gid=1761053510"",
          ""Haris_Form responses 1!$AQ:$AQ"")=6)
      ),
      1
    ),
    ""0""
  ),
  ""Form not found""
)
"),"Form not found")</f>
        <v>Form not found</v>
      </c>
      <c r="AR2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1!$E:$E"")=$B254) *
        (IMPORTRANGE(""https://docs.google.com/spreadsheets/d/161aHT6vVT3SLneTKD19N5qVWtnj_jIT8CSsOmUVKmaA/e"&amp;"dit?gid=1761053510"",
          ""Haris_Form responses 1!$AQ:$AQ"")=1)
      ),
      1
    ),
    ""0""
  ),
  ""Form not found""
)
"),"Form not found")</f>
        <v>Form not found</v>
      </c>
      <c r="AS2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1!$E:$E"")=$B254) *
        (IMPORTRANGE(""https://docs.google.com/spreadsheets/d/161aHT6vVT3SLneTKD19N5qVWtnj_jIT8CSsOmUVKmaA/e"&amp;"dit?gid=1761053510"",
          ""Haris_Form responses 1!$AQ:$AQ"")=2)
      ),
      1
    ),
    ""0""
  ),
  ""Form not found""
)
"),"Form not found")</f>
        <v>Form not found</v>
      </c>
      <c r="AT2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1!$E:$E"")=$B254) *
        (IMPORTRANGE(""https://docs.google.com/spreadsheets/d/161aHT6vVT3SLneTKD19N5qVWtnj_jIT8CSsOmUVKmaA/e"&amp;"dit?gid=1761053510"",
          ""Haris_Form responses 1!$AQ:$AQ"")=3)
      ),
      1
    ),
    ""0""
  ),
  ""Form not found""
)
"),"0")</f>
        <v>0</v>
      </c>
      <c r="AU2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1!$E:$E"")=$B254) *
        (IMPORTRANGE(""https://docs.google.com/spreadsheets/d/161aHT6vVT3SLneTKD19N5qVWtnj_jIT8CSsOmUVKmaA/e"&amp;"dit?gid=1761053510"",
          ""Haris_Form responses 1!$AQ:$AQ"")=4)
      ),
      1
    ),
    ""0""
  ),
  ""Form not found""
)
"),"0")</f>
        <v>0</v>
      </c>
      <c r="AV2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1!$E:$E"")=$B254) *
        (IMPORTRANGE(""https://docs.google.com/spreadsheets/d/161aHT6vVT3SLneTKD19N5qVWtnj_jIT8CSsOmUVKmaA/e"&amp;"dit?gid=1761053510"",
          ""Haris_Form responses 1!$AQ:$AQ"")=5)
      ),
      1
    ),
    ""0""
  ),
  ""Form not found""
)
"),"0")</f>
        <v>0</v>
      </c>
      <c r="AW25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1!$E:$E"")=$B254) *
        (IMPORTRANGE(""https://docs.google.com/spreadsheets/d/161aHT6vVT3SLneTKD19N5qVWtnj_jIT8CSsOmUVKmaA/e"&amp;"dit?gid=1761053510"",
          ""Haris_Form responses 1!$AQ:$AQ"")=6)
      ),
      1
    ),
    ""0""
  ),
  ""Form not found""
)
"),"Form not found")</f>
        <v>Form not found</v>
      </c>
      <c r="AX2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1!$E:$E"")=$B254) *
        (IMPORTRANGE(""https://docs.google.com/spreadsheets/d/161aHT6vVT3SLneTKD19N5qVWtnj_jIT8CSsOmUVKmaA/e"&amp;"dit?gid=1761053510"",
          ""Haris_Form responses 1!$AQ:$AQ"")=1)
      ),
      1
    ),
    ""0""
  ),
  ""Form not found""
)
"),"Form not found")</f>
        <v>Form not found</v>
      </c>
      <c r="AY2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1!$E:$E"")=$B254) *
        (IMPORTRANGE(""https://docs.google.com/spreadsheets/d/161aHT6vVT3SLneTKD19N5qVWtnj_jIT8CSsOmUVKmaA/e"&amp;"dit?gid=1761053510"",
          ""Haris_Form responses 1!$AQ:$AQ"")=2)
      ),
      1
    ),
    ""0""
  ),
  ""Form not found""
)
"),"Form not found")</f>
        <v>Form not found</v>
      </c>
      <c r="AZ2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1!$E:$E"")=$B254) *
        (IMPORTRANGE(""https://docs.google.com/spreadsheets/d/161aHT6vVT3SLneTKD19N5qVWtnj_jIT8CSsOmUVKmaA/e"&amp;"dit?gid=1761053510"",
          ""Haris_Form responses 1!$AQ:$AQ"")=3)
      ),
      1
    ),
    ""0""
  ),
  ""Form not found""
)
"),"0")</f>
        <v>0</v>
      </c>
      <c r="BA2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1!$E:$E"")=$B254) *
        (IMPORTRANGE(""https://docs.google.com/spreadsheets/d/161aHT6vVT3SLneTKD19N5qVWtnj_jIT8CSsOmUVKmaA/e"&amp;"dit?gid=1761053510"",
          ""Haris_Form responses 1!$AQ:$AQ"")=4)
      ),
      1
    ),
    ""0""
  ),
  ""Form not found""
)
"),"1")</f>
        <v>1</v>
      </c>
      <c r="BB2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1!$E:$E"")=$B254) *
        (IMPORTRANGE(""https://docs.google.com/spreadsheets/d/161aHT6vVT3SLneTKD19N5qVWtnj_jIT8CSsOmUVKmaA/e"&amp;"dit?gid=1761053510"",
          ""Haris_Form responses 1!$AQ:$AQ"")=5)
      ),
      1
    ),
    ""0""
  ),
  ""Form not found""
)
"),"0")</f>
        <v>0</v>
      </c>
      <c r="BC25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1!$E:$E"")=$B254) *
        (IMPORTRANGE(""https://docs.google.com/spreadsheets/d/161aHT6vVT3SLneTKD19N5qVWtnj_jIT8CSsOmUVKmaA/e"&amp;"dit?gid=1761053510"",
          ""Haris_Form responses 1!$AQ:$AQ"")=6)
      ),
      1
    ),
    ""0""
  ),
  ""Form not found""
)
"),"Form not found")</f>
        <v>Form not found</v>
      </c>
      <c r="BD254" s="293"/>
    </row>
    <row r="255">
      <c r="A255" s="283" t="str">
        <f>IFERROR(__xludf.DUMMYFUNCTION("VLOOKUP($B255,IMPORTRANGE(""https://docs.google.com/spreadsheets/d/1VNXDITjs75AcgdBSW27oL1VZH31udDprJSsBcE5xlp4/edit?gid=1551188038#gid=1551188038"", ""Sheet9!$B:$E""),2,false)"),"Faisalabad")</f>
        <v>Faisalabad</v>
      </c>
      <c r="B255" s="283" t="s">
        <v>4022</v>
      </c>
      <c r="C255" s="284" t="str">
        <f>IFERROR(__xludf.DUMMYFUNCTION("VLOOKUP(TRIM($B255), IMPORTRANGE(""https://docs.google.com/spreadsheets/d/1aSOrU4PTpuBZqfitKaH1Rfww6-YOiNCKoBpPl8XBHaw/edit?gid=0#gid=0"", ""sheet3!$B:$C""), 2, FALSE)
"),"Jamia Masjid Darbar Nathu Shah Sharazi Faisalabad")</f>
        <v>Jamia Masjid Darbar Nathu Shah Sharazi Faisalabad</v>
      </c>
      <c r="D255" s="284" t="str">
        <f>IFERROR(__xludf.DUMMYFUNCTION("IFERROR(
  INDEX(
    FILTER(
      IMPORTRANGE(""1aSOrU4PTpuBZqfitKaH1Rfww6-YOiNCKoBpPl8XBHaw/edit?gid=0#gid=0"",""Sheet1!G:G""),
      IMPORTRANGE(""1aSOrU4PTpuBZqfitKaH1Rfww6-YOiNCKoBpPl8XBHaw/edit?gid=0#gid=0"",""Sheet1!C:C"")=$B255
    ),
    1
  ),
"&amp;"  ""Not Found""
)"),"Community Religious No Info Share")</f>
        <v>Community Religious No Info Share</v>
      </c>
      <c r="E255" s="284" t="str">
        <f>VLOOKUP(B255,'Juma Recording forms'!A:E,5,false)</f>
        <v>Jamia Masjid Darbar Nathu Shah Sharazi</v>
      </c>
      <c r="F255" s="284" t="str">
        <f>IFERROR(__xludf.DUMMYFUNCTION("IFERROR(
  INDEX(
    FILTER(
      IMPORTRANGE(""1Cxrhp3-_-HS7v9uuqQliiIfrmMP4VaFoDNDWyUFy2J8/edit?gid=0#gid=0"",""Sheet1!Q:Q""),
      IMPORTRANGE(""1Cxrhp3-_-HS7v9uuqQliiIfrmMP4VaFoDNDWyUFy2J8/edit?gid=0#gid=0"",""Sheet1!K:K"")=$B255
    ),
    1
  ),
"&amp;"  ""Not Found""
)"),"Abbas")</f>
        <v>Abbas</v>
      </c>
      <c r="G255" s="284">
        <v>1850.0</v>
      </c>
      <c r="H255" s="284"/>
      <c r="I255" s="285"/>
      <c r="J255" s="286">
        <v>2.0</v>
      </c>
      <c r="K255" s="287" t="str">
        <f>VLOOKUP($B255,'Mosque Locations'!$A:$E,3,FALSE)
</f>
        <v>https://maps.google.com/maps?q=30.8273066%2C73.0425494&amp;z=17&amp;hl=en</v>
      </c>
      <c r="L255" s="286">
        <f>VLOOKUP($B255,'Mosque Locations'!$A:$E,4,FALSE)
</f>
        <v>30.82731</v>
      </c>
      <c r="M255" s="286">
        <f>VLOOKUP($B255,'Mosque Locations'!$A:$E,5,false)</f>
        <v>73.04255</v>
      </c>
      <c r="N255" s="288"/>
      <c r="O255" s="288"/>
      <c r="P255" s="288"/>
      <c r="Q255" s="294" t="str">
        <f>IFERROR(__xludf.DUMMYFUNCTION("IFERROR(
  INDEX(
    FILTER(
      IMPORTRANGE(""1kOrIKZmJfNUkgOVP3sI9BPjaaPA0_a4636oymQxTXg8"",""Form Responses 1!N:N""),
      TRIM(IMPORTRANGE(""1kOrIKZmJfNUkgOVP3sI9BPjaaPA0_a4636oymQxTXg8"",""Form Responses 1!F:F""))=TRIM($B255)
    ),
    1
  ),
  "&amp;"""Not Found""
)
"),"Not Found")</f>
        <v>Not Found</v>
      </c>
      <c r="R255" s="294" t="str">
        <f>IFERROR(__xludf.DUMMYFUNCTION("IFERROR(
  INDEX(
    FILTER(
      IMPORTRANGE(""1kOrIKZmJfNUkgOVP3sI9BPjaaPA0_a4636oymQxTXg8"",""Form Responses 1!M:M""),
      TRIM(IMPORTRANGE(""1kOrIKZmJfNUkgOVP3sI9BPjaaPA0_a4636oymQxTXg8"",""Form Responses 1!F:F""))=TRIM($B255)
    ),
    1
  ),
  "&amp;"""Not Found""
)
"),"Not Found")</f>
        <v>Not Found</v>
      </c>
      <c r="S255" s="285"/>
      <c r="T255" s="290" t="str">
        <f>VLOOKUP($B255,'Master Tracker'!D:E,2,false)</f>
        <v>https://drive.google.com/open?id=19OhTfI2od_QNtl4sI7uklaPksrrSYHau</v>
      </c>
      <c r="U255" s="291" t="str">
        <f>VLOOKUP($B255,'Master Tracker'!$D:$T,4,FALSE)
</f>
        <v>https://drive.google.com/open?id=1BY3zerW6XELYv_RNnrwJfV_ccjDOFG5n</v>
      </c>
      <c r="V255" s="290" t="str">
        <f>VLOOKUP($B255,'Master Tracker'!$D:$T,5,false)</f>
        <v>https://drive.google.com/open?id=16SRQnbs9dBfsyU1H_cGKsc-_STn7mgbA</v>
      </c>
      <c r="W255" s="291" t="str">
        <f>VLOOKUP($B255,'Master Tracker'!$D:$T,7,false)</f>
        <v>https://drive.google.com/open?id=1SBltFbOFAuuF8mo_1AfB40dW3udQLtHYtRpZ-0ZZib8</v>
      </c>
      <c r="X255" s="290" t="str">
        <f>VLOOKUP($B255,'Master Tracker'!$D:$T,8,false)</f>
        <v>https://drive.google.com/file/d/1jG_JmOwaYhO4lbZa9ZQZJVR6ekudgzAQ/view?usp=drive_link</v>
      </c>
      <c r="Y255" s="291" t="str">
        <f>VLOOKUP($B255,'Master Tracker'!$D:$T,10,false)</f>
        <v>https://drive.google.com/open?id=1J8Ag8WjhNrExkk329q3bektSNCf-jY1sknl8SaFyiv4</v>
      </c>
      <c r="Z255" s="284" t="str">
        <f>VLOOKUP($B255,'Master Tracker'!$D:$T,11,false)</f>
        <v>Not Found</v>
      </c>
      <c r="AA255" s="292" t="str">
        <f>VLOOKUP($B255,'Master Tracker'!$D:$T,13,false)</f>
        <v>Not Found</v>
      </c>
      <c r="AB255" s="284" t="str">
        <f>VLOOKUP($B255,'Master Tracker'!$D:$T,14,false)</f>
        <v>Not Found</v>
      </c>
      <c r="AC255" s="292" t="str">
        <f>VLOOKUP($B255,'Master Tracker'!$D:$T,16,false)</f>
        <v>Not Found</v>
      </c>
      <c r="AD255" s="292" t="str">
        <f>VLOOKUP($B255,'Master Tracker'!$D:$T,17,false)</f>
        <v>Not Found</v>
      </c>
      <c r="AE255" s="292" t="str">
        <f>VLOOKUP($B255,'Master Tracker'!$D:$V,19,false)</f>
        <v>Not Found</v>
      </c>
      <c r="AF255" s="292">
        <f>IFERROR(__xludf.DUMMYFUNCTION("IFERROR(
  INDEX(
    FILTER(
      'Juma Recording forms'!$G:$G,
      TRIM('Juma Recording forms'!$F:$F) = TRIM($B255),
      'Juma Recording forms'!$AA:$AA = 1
    ),
    1
  ),
  ""Not Found""
)"),60.0)</f>
        <v>60</v>
      </c>
      <c r="AG255" s="292">
        <f>IFERROR(__xludf.DUMMYFUNCTION("IFERROR(
  INDEX(
    FILTER(
      'Juma Recording forms'!$G:$G,
      TRIM('Juma Recording forms'!$F:$F) = TRIM($B255),
      'Juma Recording forms'!$AA:$AA = 2
    ),
    1
  ),
  ""Not Found""
)"),63.0)</f>
        <v>63</v>
      </c>
      <c r="AH255" s="292">
        <f>IFERROR(__xludf.DUMMYFUNCTION("IFERROR(
  INDEX(
    FILTER(
      'Juma Recording forms'!$G:$G,
      TRIM('Juma Recording forms'!$F:$F) = TRIM($B255),
      'Juma Recording forms'!$AA:$AA = 3
    ),
    1
  ),
  ""Not Found""
)"),70.0)</f>
        <v>70</v>
      </c>
      <c r="AI255" s="292" t="str">
        <f>IFERROR(__xludf.DUMMYFUNCTION("IFERROR(
  INDEX(
    FILTER(
      'Juma Recording forms'!$G:$G,
      TRIM('Juma Recording forms'!$F:$F) = TRIM($B255),
      'Juma Recording forms'!$AA:$AA = 4
    ),
    1
  ),
  ""Not Found""
)"),"Not Found")</f>
        <v>Not Found</v>
      </c>
      <c r="AJ255" s="292" t="str">
        <f>IFERROR(__xludf.DUMMYFUNCTION("IFERROR(
  INDEX(
    FILTER(
      'Juma Recording forms'!$G:$G,
      TRIM('Juma Recording forms'!$F:$F) = TRIM($B255),
      'Juma Recording forms'!$AA:$AA = 5
    ),
    1
  ),
  ""Not Found""
)"),"Not Found")</f>
        <v>Not Found</v>
      </c>
      <c r="AK255" s="292" t="str">
        <f>IFERROR(__xludf.DUMMYFUNCTION("IFERROR(
  INDEX(
    FILTER(
      'Juma Recording forms'!$G:$G,
      TRIM('Juma Recording forms'!$F:$F) = TRIM($B255),
      'Juma Recording forms'!$AA:$AA = 6
    ),
    1
  ),
  ""Not Found""
)"),"Not Found")</f>
        <v>Not Found</v>
      </c>
      <c r="AL2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1!$E:$E"")=$B255) *
        (IMPORTRANGE(""https://docs.google.com/spreadsheets/d/161aHT6vVT3SLneTKD19N5qVWtnj_jIT8CSsOmUVKmaA/e"&amp;"dit?gid=1761053510"",
          ""Haris_Form responses 1!$AQ:$AQ"")=1)
      ),
      1
    ),
    ""0""
  ),
  ""Form not found""
)
"),"8")</f>
        <v>8</v>
      </c>
      <c r="AM2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1!$E:$E"")=$B255) *
        (IMPORTRANGE(""https://docs.google.com/spreadsheets/d/161aHT6vVT3SLneTKD19N5qVWtnj_jIT8CSsOmUVKmaA/e"&amp;"dit?gid=1761053510"",
          ""Haris_Form responses 1!$AQ:$AQ"")=2)
      ),
      1
    ),
    ""0""
  ),
  ""Form not found""
)
"),"9")</f>
        <v>9</v>
      </c>
      <c r="AN2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1!$E:$E"")=$B255) *
        (IMPORTRANGE(""https://docs.google.com/spreadsheets/d/161aHT6vVT3SLneTKD19N5qVWtnj_jIT8CSsOmUVKmaA/e"&amp;"dit?gid=1761053510"",
          ""Haris_Form responses 1!$AQ:$AQ"")=3)
      ),
      1
    ),
    ""0""
  ),
  ""Form not found""
)
"),"0")</f>
        <v>0</v>
      </c>
      <c r="AO2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1!$E:$E"")=$B255) *
        (IMPORTRANGE(""https://docs.google.com/spreadsheets/d/161aHT6vVT3SLneTKD19N5qVWtnj_jIT8CSsOmUVKmaA/e"&amp;"dit?gid=1761053510"",
          ""Haris_Form responses 1!$AQ:$AQ"")=4)
      ),
      1
    ),
    ""0""
  ),
  ""Form not found""
)
"),"Form not found")</f>
        <v>Form not found</v>
      </c>
      <c r="AP2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1!$E:$E"")=$B255) *
        (IMPORTRANGE(""https://docs.google.com/spreadsheets/d/161aHT6vVT3SLneTKD19N5qVWtnj_jIT8CSsOmUVKmaA/e"&amp;"dit?gid=1761053510"",
          ""Haris_Form responses 1!$AQ:$AQ"")=5)
      ),
      1
    ),
    ""0""
  ),
  ""Form not found""
)
"),"Form not found")</f>
        <v>Form not found</v>
      </c>
      <c r="AQ25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1!$E:$E"")=$B255) *
        (IMPORTRANGE(""https://docs.google.com/spreadsheets/d/161aHT6vVT3SLneTKD19N5qVWtnj_jIT8CSsOmUVKmaA/e"&amp;"dit?gid=1761053510"",
          ""Haris_Form responses 1!$AQ:$AQ"")=6)
      ),
      1
    ),
    ""0""
  ),
  ""Form not found""
)
"),"Form not found")</f>
        <v>Form not found</v>
      </c>
      <c r="AR2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1!$E:$E"")=$B255) *
        (IMPORTRANGE(""https://docs.google.com/spreadsheets/d/161aHT6vVT3SLneTKD19N5qVWtnj_jIT8CSsOmUVKmaA/e"&amp;"dit?gid=1761053510"",
          ""Haris_Form responses 1!$AQ:$AQ"")=1)
      ),
      1
    ),
    ""0""
  ),
  ""Form not found""
)
"),"8")</f>
        <v>8</v>
      </c>
      <c r="AS2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1!$E:$E"")=$B255) *
        (IMPORTRANGE(""https://docs.google.com/spreadsheets/d/161aHT6vVT3SLneTKD19N5qVWtnj_jIT8CSsOmUVKmaA/e"&amp;"dit?gid=1761053510"",
          ""Haris_Form responses 1!$AQ:$AQ"")=2)
      ),
      1
    ),
    ""0""
  ),
  ""Form not found""
)
"),"9")</f>
        <v>9</v>
      </c>
      <c r="AT2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1!$E:$E"")=$B255) *
        (IMPORTRANGE(""https://docs.google.com/spreadsheets/d/161aHT6vVT3SLneTKD19N5qVWtnj_jIT8CSsOmUVKmaA/e"&amp;"dit?gid=1761053510"",
          ""Haris_Form responses 1!$AQ:$AQ"")=3)
      ),
      1
    ),
    ""0""
  ),
  ""Form not found""
)
"),"0")</f>
        <v>0</v>
      </c>
      <c r="AU2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1!$E:$E"")=$B255) *
        (IMPORTRANGE(""https://docs.google.com/spreadsheets/d/161aHT6vVT3SLneTKD19N5qVWtnj_jIT8CSsOmUVKmaA/e"&amp;"dit?gid=1761053510"",
          ""Haris_Form responses 1!$AQ:$AQ"")=4)
      ),
      1
    ),
    ""0""
  ),
  ""Form not found""
)
"),"Form not found")</f>
        <v>Form not found</v>
      </c>
      <c r="AV2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1!$E:$E"")=$B255) *
        (IMPORTRANGE(""https://docs.google.com/spreadsheets/d/161aHT6vVT3SLneTKD19N5qVWtnj_jIT8CSsOmUVKmaA/e"&amp;"dit?gid=1761053510"",
          ""Haris_Form responses 1!$AQ:$AQ"")=5)
      ),
      1
    ),
    ""0""
  ),
  ""Form not found""
)
"),"Form not found")</f>
        <v>Form not found</v>
      </c>
      <c r="AW25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1!$E:$E"")=$B255) *
        (IMPORTRANGE(""https://docs.google.com/spreadsheets/d/161aHT6vVT3SLneTKD19N5qVWtnj_jIT8CSsOmUVKmaA/e"&amp;"dit?gid=1761053510"",
          ""Haris_Form responses 1!$AQ:$AQ"")=6)
      ),
      1
    ),
    ""0""
  ),
  ""Form not found""
)
"),"Form not found")</f>
        <v>Form not found</v>
      </c>
      <c r="AX2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1!$E:$E"")=$B255) *
        (IMPORTRANGE(""https://docs.google.com/spreadsheets/d/161aHT6vVT3SLneTKD19N5qVWtnj_jIT8CSsOmUVKmaA/e"&amp;"dit?gid=1761053510"",
          ""Haris_Form responses 1!$AQ:$AQ"")=1)
      ),
      1
    ),
    ""0""
  ),
  ""Form not found""
)
"),"0")</f>
        <v>0</v>
      </c>
      <c r="AY2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1!$E:$E"")=$B255) *
        (IMPORTRANGE(""https://docs.google.com/spreadsheets/d/161aHT6vVT3SLneTKD19N5qVWtnj_jIT8CSsOmUVKmaA/e"&amp;"dit?gid=1761053510"",
          ""Haris_Form responses 1!$AQ:$AQ"")=2)
      ),
      1
    ),
    ""0""
  ),
  ""Form not found""
)
"),"0")</f>
        <v>0</v>
      </c>
      <c r="AZ2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1!$E:$E"")=$B255) *
        (IMPORTRANGE(""https://docs.google.com/spreadsheets/d/161aHT6vVT3SLneTKD19N5qVWtnj_jIT8CSsOmUVKmaA/e"&amp;"dit?gid=1761053510"",
          ""Haris_Form responses 1!$AQ:$AQ"")=3)
      ),
      1
    ),
    ""0""
  ),
  ""Form not found""
)
"),"0")</f>
        <v>0</v>
      </c>
      <c r="BA2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1!$E:$E"")=$B255) *
        (IMPORTRANGE(""https://docs.google.com/spreadsheets/d/161aHT6vVT3SLneTKD19N5qVWtnj_jIT8CSsOmUVKmaA/e"&amp;"dit?gid=1761053510"",
          ""Haris_Form responses 1!$AQ:$AQ"")=4)
      ),
      1
    ),
    ""0""
  ),
  ""Form not found""
)
"),"Form not found")</f>
        <v>Form not found</v>
      </c>
      <c r="BB2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1!$E:$E"")=$B255) *
        (IMPORTRANGE(""https://docs.google.com/spreadsheets/d/161aHT6vVT3SLneTKD19N5qVWtnj_jIT8CSsOmUVKmaA/e"&amp;"dit?gid=1761053510"",
          ""Haris_Form responses 1!$AQ:$AQ"")=5)
      ),
      1
    ),
    ""0""
  ),
  ""Form not found""
)
"),"Form not found")</f>
        <v>Form not found</v>
      </c>
      <c r="BC25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1!$E:$E"")=$B255) *
        (IMPORTRANGE(""https://docs.google.com/spreadsheets/d/161aHT6vVT3SLneTKD19N5qVWtnj_jIT8CSsOmUVKmaA/e"&amp;"dit?gid=1761053510"",
          ""Haris_Form responses 1!$AQ:$AQ"")=6)
      ),
      1
    ),
    ""0""
  ),
  ""Form not found""
)
"),"Form not found")</f>
        <v>Form not found</v>
      </c>
      <c r="BD255" s="293"/>
    </row>
    <row r="256">
      <c r="A256" s="283" t="str">
        <f>IFERROR(__xludf.DUMMYFUNCTION("VLOOKUP($B256,IMPORTRANGE(""https://docs.google.com/spreadsheets/d/1VNXDITjs75AcgdBSW27oL1VZH31udDprJSsBcE5xlp4/edit?gid=1551188038#gid=1551188038"", ""Sheet9!$B:$E""),2,false)"),"Faisalabad")</f>
        <v>Faisalabad</v>
      </c>
      <c r="B256" s="283" t="s">
        <v>4697</v>
      </c>
      <c r="C256" s="284" t="str">
        <f>IFERROR(__xludf.DUMMYFUNCTION("VLOOKUP(TRIM($B256), IMPORTRANGE(""https://docs.google.com/spreadsheets/d/1aSOrU4PTpuBZqfitKaH1Rfww6-YOiNCKoBpPl8XBHaw/edit?gid=0#gid=0"", ""sheet3!$B:$C""), 2, FALSE)
"),"Jamia Masjid Darbar Rung Ali Sarkar Faisalabad")</f>
        <v>Jamia Masjid Darbar Rung Ali Sarkar Faisalabad</v>
      </c>
      <c r="D256" s="284" t="str">
        <f>IFERROR(__xludf.DUMMYFUNCTION("IFERROR(
  INDEX(
    FILTER(
      IMPORTRANGE(""1aSOrU4PTpuBZqfitKaH1Rfww6-YOiNCKoBpPl8XBHaw/edit?gid=0#gid=0"",""Sheet1!G:G""),
      IMPORTRANGE(""1aSOrU4PTpuBZqfitKaH1Rfww6-YOiNCKoBpPl8XBHaw/edit?gid=0#gid=0"",""Sheet1!C:C"")=$B256
    ),
    1
  ),
"&amp;"  ""Not Found""
)"),"Women Secular Info Share")</f>
        <v>Women Secular Info Share</v>
      </c>
      <c r="E256" s="284" t="str">
        <f>VLOOKUP(B256,'Juma Recording forms'!A:E,5,false)</f>
        <v>Jamia masjid Baba rang Ali srkar </v>
      </c>
      <c r="F256" s="284" t="str">
        <f>IFERROR(__xludf.DUMMYFUNCTION("IFERROR(
  INDEX(
    FILTER(
      IMPORTRANGE(""1Cxrhp3-_-HS7v9uuqQliiIfrmMP4VaFoDNDWyUFy2J8/edit?gid=0#gid=0"",""Sheet1!Q:Q""),
      IMPORTRANGE(""1Cxrhp3-_-HS7v9uuqQliiIfrmMP4VaFoDNDWyUFy2J8/edit?gid=0#gid=0"",""Sheet1!K:K"")=$B256
    ),
    1
  ),
"&amp;"  ""Not Found""
)"),"Muhammad Asif Harmed ")</f>
        <v>Muhammad Asif Harmed </v>
      </c>
      <c r="G256" s="284">
        <v>1986.0</v>
      </c>
      <c r="H256" s="284" t="s">
        <v>4887</v>
      </c>
      <c r="I256" s="285" t="s">
        <v>197</v>
      </c>
      <c r="J256" s="286">
        <v>2.0</v>
      </c>
      <c r="K256" s="287" t="str">
        <f>VLOOKUP($B256,'Mosque Locations'!$A:$E,3,FALSE)
</f>
        <v>https://maps.google.com/maps?q=31.2875093%2C72.8671717&amp;z=17&amp;hl=en</v>
      </c>
      <c r="L256" s="286">
        <f>VLOOKUP($B256,'Mosque Locations'!$A:$E,4,FALSE)
</f>
        <v>31.28751</v>
      </c>
      <c r="M256" s="286">
        <f>VLOOKUP($B256,'Mosque Locations'!$A:$E,5,false)</f>
        <v>72.86717</v>
      </c>
      <c r="N256" s="288"/>
      <c r="O256" s="288"/>
      <c r="P256" s="288"/>
      <c r="Q256" s="290" t="str">
        <f>IFERROR(__xludf.DUMMYFUNCTION("IFERROR(
  INDEX(
    FILTER(
      IMPORTRANGE(""1kOrIKZmJfNUkgOVP3sI9BPjaaPA0_a4636oymQxTXg8"",""Form Responses 1!N:N""),
      TRIM(IMPORTRANGE(""1kOrIKZmJfNUkgOVP3sI9BPjaaPA0_a4636oymQxTXg8"",""Form Responses 1!F:F""))=TRIM($B256)
    ),
    1
  ),
  "&amp;"""Not Found""
)
"),"https://drive.google.com/open?id=1LwVhbkb_VzVCaT7jkYbGtlF1x_ciJCPF")</f>
        <v>https://drive.google.com/open?id=1LwVhbkb_VzVCaT7jkYbGtlF1x_ciJCPF</v>
      </c>
      <c r="R256" s="290" t="str">
        <f>IFERROR(__xludf.DUMMYFUNCTION("IFERROR(
  INDEX(
    FILTER(
      IMPORTRANGE(""1kOrIKZmJfNUkgOVP3sI9BPjaaPA0_a4636oymQxTXg8"",""Form Responses 1!M:M""),
      TRIM(IMPORTRANGE(""1kOrIKZmJfNUkgOVP3sI9BPjaaPA0_a4636oymQxTXg8"",""Form Responses 1!F:F""))=TRIM($B256)
    ),
    1
  ),
  "&amp;"""Not Found""
)
"),"https://drive.google.com/open?id=1BCTzXWv7j6fkMifU8zbnjCoVqF0pE8gY")</f>
        <v>https://drive.google.com/open?id=1BCTzXWv7j6fkMifU8zbnjCoVqF0pE8gY</v>
      </c>
      <c r="S256" s="285"/>
      <c r="T256" s="290" t="str">
        <f>VLOOKUP($B256,'Master Tracker'!D:E,2,false)</f>
        <v>https://drive.google.com/open?id=15EUwebYKkY3v-i_rXJeIzgfZ6mwGrEXK</v>
      </c>
      <c r="U256" s="291" t="str">
        <f>VLOOKUP($B256,'Master Tracker'!$D:$T,4,FALSE)
</f>
        <v>https://drive.google.com/open?id=1NJEM8Gak-9sU-CmhayYKCFTv_xXt1NRc</v>
      </c>
      <c r="V256" s="290" t="str">
        <f>VLOOKUP($B256,'Master Tracker'!$D:$T,5,false)</f>
        <v>https://drive.google.com/open?id=1iIM_FeVONNv74TYGlmcFnNfATcfpVqWC</v>
      </c>
      <c r="W256" s="291" t="str">
        <f>VLOOKUP($B256,'Master Tracker'!$D:$T,7,false)</f>
        <v>https://drive.google.com/open?id=12M1OJtS7okYkCnBBu9rsFEccX8tWa_PX</v>
      </c>
      <c r="X256" s="290" t="str">
        <f>VLOOKUP($B256,'Master Tracker'!$D:$T,8,false)</f>
        <v>https://drive.google.com/open?id=1ka8sAa--E7jXaVdQAnSa8i86N4t0ZRT_</v>
      </c>
      <c r="Y256" s="291" t="str">
        <f>VLOOKUP($B256,'Master Tracker'!$D:$T,10,false)</f>
        <v>https://drive.google.com/open?id=199aeESgbdYJuVKu5HOPkIMfE4EOBvNLG</v>
      </c>
      <c r="Z256" s="284" t="str">
        <f>VLOOKUP($B256,'Master Tracker'!$D:$T,11,false)</f>
        <v>Not Found</v>
      </c>
      <c r="AA256" s="292" t="str">
        <f>VLOOKUP($B256,'Master Tracker'!$D:$T,13,false)</f>
        <v>Not Found</v>
      </c>
      <c r="AB256" s="284" t="str">
        <f>VLOOKUP($B256,'Master Tracker'!$D:$T,14,false)</f>
        <v>Not Found</v>
      </c>
      <c r="AC256" s="292" t="str">
        <f>VLOOKUP($B256,'Master Tracker'!$D:$T,16,false)</f>
        <v>Not Found</v>
      </c>
      <c r="AD256" s="292" t="str">
        <f>VLOOKUP($B256,'Master Tracker'!$D:$T,17,false)</f>
        <v>Not Found</v>
      </c>
      <c r="AE256" s="292" t="str">
        <f>VLOOKUP($B256,'Master Tracker'!$D:$V,19,false)</f>
        <v>Not Found</v>
      </c>
      <c r="AF256" s="292">
        <f>IFERROR(__xludf.DUMMYFUNCTION("IFERROR(
  INDEX(
    FILTER(
      'Juma Recording forms'!$G:$G,
      TRIM('Juma Recording forms'!$F:$F) = TRIM($B256),
      'Juma Recording forms'!$AA:$AA = 1
    ),
    1
  ),
  ""Not Found""
)"),400.0)</f>
        <v>400</v>
      </c>
      <c r="AG256" s="292">
        <f>IFERROR(__xludf.DUMMYFUNCTION("IFERROR(
  INDEX(
    FILTER(
      'Juma Recording forms'!$G:$G,
      TRIM('Juma Recording forms'!$F:$F) = TRIM($B256),
      'Juma Recording forms'!$AA:$AA = 2
    ),
    1
  ),
  ""Not Found""
)"),400.0)</f>
        <v>400</v>
      </c>
      <c r="AH256" s="292">
        <f>IFERROR(__xludf.DUMMYFUNCTION("IFERROR(
  INDEX(
    FILTER(
      'Juma Recording forms'!$G:$G,
      TRIM('Juma Recording forms'!$F:$F) = TRIM($B256),
      'Juma Recording forms'!$AA:$AA = 3
    ),
    1
  ),
  ""Not Found""
)"),400.0)</f>
        <v>400</v>
      </c>
      <c r="AI256" s="292" t="str">
        <f>IFERROR(__xludf.DUMMYFUNCTION("IFERROR(
  INDEX(
    FILTER(
      'Juma Recording forms'!$G:$G,
      TRIM('Juma Recording forms'!$F:$F) = TRIM($B256),
      'Juma Recording forms'!$AA:$AA = 4
    ),
    1
  ),
  ""Not Found""
)"),"Not Found")</f>
        <v>Not Found</v>
      </c>
      <c r="AJ256" s="292" t="str">
        <f>IFERROR(__xludf.DUMMYFUNCTION("IFERROR(
  INDEX(
    FILTER(
      'Juma Recording forms'!$G:$G,
      TRIM('Juma Recording forms'!$F:$F) = TRIM($B256),
      'Juma Recording forms'!$AA:$AA = 5
    ),
    1
  ),
  ""Not Found""
)"),"Not Found")</f>
        <v>Not Found</v>
      </c>
      <c r="AK256" s="292" t="str">
        <f>IFERROR(__xludf.DUMMYFUNCTION("IFERROR(
  INDEX(
    FILTER(
      'Juma Recording forms'!$G:$G,
      TRIM('Juma Recording forms'!$F:$F) = TRIM($B256),
      'Juma Recording forms'!$AA:$AA = 6
    ),
    1
  ),
  ""Not Found""
)"),"Not Found")</f>
        <v>Not Found</v>
      </c>
      <c r="AL2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1!$E:$E"")=$B256) *
        (IMPORTRANGE(""https://docs.google.com/spreadsheets/d/161aHT6vVT3SLneTKD19N5qVWtnj_jIT8CSsOmUVKmaA/e"&amp;"dit?gid=1761053510"",
          ""Haris_Form responses 1!$AQ:$AQ"")=1)
      ),
      1
    ),
    ""0""
  ),
  ""Form not found""
)
"),"8")</f>
        <v>8</v>
      </c>
      <c r="AM2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1!$E:$E"")=$B256) *
        (IMPORTRANGE(""https://docs.google.com/spreadsheets/d/161aHT6vVT3SLneTKD19N5qVWtnj_jIT8CSsOmUVKmaA/e"&amp;"dit?gid=1761053510"",
          ""Haris_Form responses 1!$AQ:$AQ"")=2)
      ),
      1
    ),
    ""0""
  ),
  ""Form not found""
)
"),"9")</f>
        <v>9</v>
      </c>
      <c r="AN2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1!$E:$E"")=$B256) *
        (IMPORTRANGE(""https://docs.google.com/spreadsheets/d/161aHT6vVT3SLneTKD19N5qVWtnj_jIT8CSsOmUVKmaA/e"&amp;"dit?gid=1761053510"",
          ""Haris_Form responses 1!$AQ:$AQ"")=3)
      ),
      1
    ),
    ""0""
  ),
  ""Form not found""
)
"),"0")</f>
        <v>0</v>
      </c>
      <c r="AO2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1!$E:$E"")=$B256) *
        (IMPORTRANGE(""https://docs.google.com/spreadsheets/d/161aHT6vVT3SLneTKD19N5qVWtnj_jIT8CSsOmUVKmaA/e"&amp;"dit?gid=1761053510"",
          ""Haris_Form responses 1!$AQ:$AQ"")=4)
      ),
      1
    ),
    ""0""
  ),
  ""Form not found""
)
"),"Form not found")</f>
        <v>Form not found</v>
      </c>
      <c r="AP2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1!$E:$E"")=$B256) *
        (IMPORTRANGE(""https://docs.google.com/spreadsheets/d/161aHT6vVT3SLneTKD19N5qVWtnj_jIT8CSsOmUVKmaA/e"&amp;"dit?gid=1761053510"",
          ""Haris_Form responses 1!$AQ:$AQ"")=5)
      ),
      1
    ),
    ""0""
  ),
  ""Form not found""
)
"),"Form not found")</f>
        <v>Form not found</v>
      </c>
      <c r="AQ25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1!$E:$E"")=$B256) *
        (IMPORTRANGE(""https://docs.google.com/spreadsheets/d/161aHT6vVT3SLneTKD19N5qVWtnj_jIT8CSsOmUVKmaA/e"&amp;"dit?gid=1761053510"",
          ""Haris_Form responses 1!$AQ:$AQ"")=6)
      ),
      1
    ),
    ""0""
  ),
  ""Form not found""
)
"),"Form not found")</f>
        <v>Form not found</v>
      </c>
      <c r="AR2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1!$E:$E"")=$B256) *
        (IMPORTRANGE(""https://docs.google.com/spreadsheets/d/161aHT6vVT3SLneTKD19N5qVWtnj_jIT8CSsOmUVKmaA/e"&amp;"dit?gid=1761053510"",
          ""Haris_Form responses 1!$AQ:$AQ"")=1)
      ),
      1
    ),
    ""0""
  ),
  ""Form not found""
)
"),"0")</f>
        <v>0</v>
      </c>
      <c r="AS2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1!$E:$E"")=$B256) *
        (IMPORTRANGE(""https://docs.google.com/spreadsheets/d/161aHT6vVT3SLneTKD19N5qVWtnj_jIT8CSsOmUVKmaA/e"&amp;"dit?gid=1761053510"",
          ""Haris_Form responses 1!$AQ:$AQ"")=2)
      ),
      1
    ),
    ""0""
  ),
  ""Form not found""
)
"),"0")</f>
        <v>0</v>
      </c>
      <c r="AT2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1!$E:$E"")=$B256) *
        (IMPORTRANGE(""https://docs.google.com/spreadsheets/d/161aHT6vVT3SLneTKD19N5qVWtnj_jIT8CSsOmUVKmaA/e"&amp;"dit?gid=1761053510"",
          ""Haris_Form responses 1!$AQ:$AQ"")=3)
      ),
      1
    ),
    ""0""
  ),
  ""Form not found""
)
"),"0")</f>
        <v>0</v>
      </c>
      <c r="AU2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1!$E:$E"")=$B256) *
        (IMPORTRANGE(""https://docs.google.com/spreadsheets/d/161aHT6vVT3SLneTKD19N5qVWtnj_jIT8CSsOmUVKmaA/e"&amp;"dit?gid=1761053510"",
          ""Haris_Form responses 1!$AQ:$AQ"")=4)
      ),
      1
    ),
    ""0""
  ),
  ""Form not found""
)
"),"Form not found")</f>
        <v>Form not found</v>
      </c>
      <c r="AV2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1!$E:$E"")=$B256) *
        (IMPORTRANGE(""https://docs.google.com/spreadsheets/d/161aHT6vVT3SLneTKD19N5qVWtnj_jIT8CSsOmUVKmaA/e"&amp;"dit?gid=1761053510"",
          ""Haris_Form responses 1!$AQ:$AQ"")=5)
      ),
      1
    ),
    ""0""
  ),
  ""Form not found""
)
"),"Form not found")</f>
        <v>Form not found</v>
      </c>
      <c r="AW25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1!$E:$E"")=$B256) *
        (IMPORTRANGE(""https://docs.google.com/spreadsheets/d/161aHT6vVT3SLneTKD19N5qVWtnj_jIT8CSsOmUVKmaA/e"&amp;"dit?gid=1761053510"",
          ""Haris_Form responses 1!$AQ:$AQ"")=6)
      ),
      1
    ),
    ""0""
  ),
  ""Form not found""
)
"),"Form not found")</f>
        <v>Form not found</v>
      </c>
      <c r="AX2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1!$E:$E"")=$B256) *
        (IMPORTRANGE(""https://docs.google.com/spreadsheets/d/161aHT6vVT3SLneTKD19N5qVWtnj_jIT8CSsOmUVKmaA/e"&amp;"dit?gid=1761053510"",
          ""Haris_Form responses 1!$AQ:$AQ"")=1)
      ),
      1
    ),
    ""0""
  ),
  ""Form not found""
)
"),"8")</f>
        <v>8</v>
      </c>
      <c r="AY2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1!$E:$E"")=$B256) *
        (IMPORTRANGE(""https://docs.google.com/spreadsheets/d/161aHT6vVT3SLneTKD19N5qVWtnj_jIT8CSsOmUVKmaA/e"&amp;"dit?gid=1761053510"",
          ""Haris_Form responses 1!$AQ:$AQ"")=2)
      ),
      1
    ),
    ""0""
  ),
  ""Form not found""
)
"),"8")</f>
        <v>8</v>
      </c>
      <c r="AZ2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1!$E:$E"")=$B256) *
        (IMPORTRANGE(""https://docs.google.com/spreadsheets/d/161aHT6vVT3SLneTKD19N5qVWtnj_jIT8CSsOmUVKmaA/e"&amp;"dit?gid=1761053510"",
          ""Haris_Form responses 1!$AQ:$AQ"")=3)
      ),
      1
    ),
    ""0""
  ),
  ""Form not found""
)
"),"0")</f>
        <v>0</v>
      </c>
      <c r="BA2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1!$E:$E"")=$B256) *
        (IMPORTRANGE(""https://docs.google.com/spreadsheets/d/161aHT6vVT3SLneTKD19N5qVWtnj_jIT8CSsOmUVKmaA/e"&amp;"dit?gid=1761053510"",
          ""Haris_Form responses 1!$AQ:$AQ"")=4)
      ),
      1
    ),
    ""0""
  ),
  ""Form not found""
)
"),"Form not found")</f>
        <v>Form not found</v>
      </c>
      <c r="BB2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1!$E:$E"")=$B256) *
        (IMPORTRANGE(""https://docs.google.com/spreadsheets/d/161aHT6vVT3SLneTKD19N5qVWtnj_jIT8CSsOmUVKmaA/e"&amp;"dit?gid=1761053510"",
          ""Haris_Form responses 1!$AQ:$AQ"")=5)
      ),
      1
    ),
    ""0""
  ),
  ""Form not found""
)
"),"Form not found")</f>
        <v>Form not found</v>
      </c>
      <c r="BC25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1!$E:$E"")=$B256) *
        (IMPORTRANGE(""https://docs.google.com/spreadsheets/d/161aHT6vVT3SLneTKD19N5qVWtnj_jIT8CSsOmUVKmaA/e"&amp;"dit?gid=1761053510"",
          ""Haris_Form responses 1!$AQ:$AQ"")=6)
      ),
      1
    ),
    ""0""
  ),
  ""Form not found""
)
"),"Form not found")</f>
        <v>Form not found</v>
      </c>
      <c r="BD256" s="293"/>
    </row>
    <row r="257">
      <c r="A257" s="283" t="str">
        <f>IFERROR(__xludf.DUMMYFUNCTION("VLOOKUP($B257,IMPORTRANGE(""https://docs.google.com/spreadsheets/d/1VNXDITjs75AcgdBSW27oL1VZH31udDprJSsBcE5xlp4/edit?gid=1551188038#gid=1551188038"", ""Sheet9!$B:$E""),2,false)"),"Faisalabad")</f>
        <v>Faisalabad</v>
      </c>
      <c r="B257" s="283" t="s">
        <v>3920</v>
      </c>
      <c r="C257" s="284" t="str">
        <f>IFERROR(__xludf.DUMMYFUNCTION("VLOOKUP(TRIM($B257), IMPORTRANGE(""https://docs.google.com/spreadsheets/d/1aSOrU4PTpuBZqfitKaH1Rfww6-YOiNCKoBpPl8XBHaw/edit?gid=0#gid=0"", ""sheet3!$B:$C""), 2, FALSE)
"),"Jamia Masjid Taleem Ul Quran Gojara")</f>
        <v>Jamia Masjid Taleem Ul Quran Gojara</v>
      </c>
      <c r="D257" s="284" t="str">
        <f>IFERROR(__xludf.DUMMYFUNCTION("IFERROR(
  INDEX(
    FILTER(
      IMPORTRANGE(""1aSOrU4PTpuBZqfitKaH1Rfww6-YOiNCKoBpPl8XBHaw/edit?gid=0#gid=0"",""Sheet1!G:G""),
      IMPORTRANGE(""1aSOrU4PTpuBZqfitKaH1Rfww6-YOiNCKoBpPl8XBHaw/edit?gid=0#gid=0"",""Sheet1!C:C"")=$B257
    ),
    1
  ),
"&amp;"  ""Not Found""
)"),"Women Secular No Info Share")</f>
        <v>Women Secular No Info Share</v>
      </c>
      <c r="E257" s="284" t="str">
        <f>VLOOKUP(B257,'Juma Recording forms'!A:E,5,false)</f>
        <v>Jamia masjid taleem ul Quran</v>
      </c>
      <c r="F257" s="284" t="str">
        <f>IFERROR(__xludf.DUMMYFUNCTION("IFERROR(
  INDEX(
    FILTER(
      IMPORTRANGE(""1Cxrhp3-_-HS7v9uuqQliiIfrmMP4VaFoDNDWyUFy2J8/edit?gid=0#gid=0"",""Sheet1!Q:Q""),
      IMPORTRANGE(""1Cxrhp3-_-HS7v9uuqQliiIfrmMP4VaFoDNDWyUFy2J8/edit?gid=0#gid=0"",""Sheet1!K:K"")=$B257
    ),
    1
  ),
"&amp;"  ""Not Found""
)"),"moulana asad madani")</f>
        <v>moulana asad madani</v>
      </c>
      <c r="G257" s="284">
        <v>1960.0</v>
      </c>
      <c r="H257" s="284"/>
      <c r="I257" s="285" t="s">
        <v>197</v>
      </c>
      <c r="J257" s="286">
        <v>2.0</v>
      </c>
      <c r="K257" s="287" t="str">
        <f>VLOOKUP($B257,'Mosque Locations'!$A:$E,3,FALSE)
</f>
        <v>https://maps.google.com/maps?q=31.1472344%2C72.6853471&amp;z=17&amp;hl=en</v>
      </c>
      <c r="L257" s="286">
        <f>VLOOKUP($B257,'Mosque Locations'!$A:$E,4,FALSE)
</f>
        <v>31.14723</v>
      </c>
      <c r="M257" s="286">
        <f>VLOOKUP($B257,'Mosque Locations'!$A:$E,5,false)</f>
        <v>72.68535</v>
      </c>
      <c r="N257" s="288"/>
      <c r="O257" s="288"/>
      <c r="P257" s="288"/>
      <c r="Q257" s="289" t="str">
        <f>IFERROR(__xludf.DUMMYFUNCTION("IFERROR(
  INDEX(
    FILTER(
      IMPORTRANGE(""1kOrIKZmJfNUkgOVP3sI9BPjaaPA0_a4636oymQxTXg8"",""Form Responses 1!N:N""),
      TRIM(IMPORTRANGE(""1kOrIKZmJfNUkgOVP3sI9BPjaaPA0_a4636oymQxTXg8"",""Form Responses 1!F:F""))=TRIM($B257)
    ),
    1
  ),
  "&amp;"""Not Found""
)
"),"https://drive.google.com/open?id=1sySIS6Br-KvYuP61uHU32hBilt_4XiHY")</f>
        <v>https://drive.google.com/open?id=1sySIS6Br-KvYuP61uHU32hBilt_4XiHY</v>
      </c>
      <c r="R257" s="295" t="str">
        <f>IFERROR(__xludf.DUMMYFUNCTION("IFERROR(
  INDEX(
    FILTER(
      IMPORTRANGE(""1kOrIKZmJfNUkgOVP3sI9BPjaaPA0_a4636oymQxTXg8"",""Form Responses 1!M:M""),
      TRIM(IMPORTRANGE(""1kOrIKZmJfNUkgOVP3sI9BPjaaPA0_a4636oymQxTXg8"",""Form Responses 1!F:F""))=TRIM($B257)
    ),
    1
  ),
  "&amp;"""Not Found""
)
"),"https://drive.google.com/open?id=196IAUTwBEXIH-WhTdWnVdr_Hh65eDJTe")</f>
        <v>https://drive.google.com/open?id=196IAUTwBEXIH-WhTdWnVdr_Hh65eDJTe</v>
      </c>
      <c r="S257" s="283"/>
      <c r="T257" s="290" t="str">
        <f>VLOOKUP($B257,'Master Tracker'!D:E,2,false)</f>
        <v>https://drive.google.com/open?id=1FY6GDt92ayknXR_Eh-SbBNBLZZBn88Kx</v>
      </c>
      <c r="U257" s="291" t="str">
        <f>VLOOKUP($B257,'Master Tracker'!$D:$T,4,FALSE)
</f>
        <v>https://drive.google.com/open?id=1R50zP26oQvph0BD-TVn2IsQ_pv3csIFV74H_urtznNo</v>
      </c>
      <c r="V257" s="290" t="str">
        <f>VLOOKUP($B257,'Master Tracker'!$D:$T,5,false)</f>
        <v>https://drive.google.com/open?id=1d04jcHdPJ2Liu6f-6wz9Zu_w8J6ZHzgK</v>
      </c>
      <c r="W257" s="291" t="str">
        <f>VLOOKUP($B257,'Master Tracker'!$D:$T,7,false)</f>
        <v>https://drive.google.com/open?id=1D-6ycxMhXDz7t8glBFr1Xa9y-BNbi-Vi</v>
      </c>
      <c r="X257" s="290" t="str">
        <f>VLOOKUP($B257,'Master Tracker'!$D:$T,8,false)</f>
        <v>https://drive.google.com/open?id=1KXD2kPZA2X5qnuMMIWfZkinOFZLsxEk0</v>
      </c>
      <c r="Y257" s="291" t="str">
        <f>VLOOKUP($B257,'Master Tracker'!$D:$T,10,false)</f>
        <v>https://drive.google.com/open?id=1vAuNQzhBJi_rGfNGnOMDCp6j6hIE_g-ZH_8LGz0l9tk</v>
      </c>
      <c r="Z257" s="290" t="str">
        <f>VLOOKUP($B257,'Master Tracker'!$D:$T,11,false)</f>
        <v>https://drive.google.com/open?id=1HI19nLKFTjsLFKX9pRLS2HeyNqCiKZW2</v>
      </c>
      <c r="AA257" s="291" t="str">
        <f>VLOOKUP($B257,'Master Tracker'!$D:$T,13,false)</f>
        <v>https://drive.google.com/open?id=1GuRbPPcjc34Hm0vPws6R-d8OeVvMKYgt</v>
      </c>
      <c r="AB257" s="284" t="str">
        <f>VLOOKUP($B257,'Master Tracker'!$D:$T,14,false)</f>
        <v>Not Found</v>
      </c>
      <c r="AC257" s="292" t="str">
        <f>VLOOKUP($B257,'Master Tracker'!$D:$T,16,false)</f>
        <v>Not Found</v>
      </c>
      <c r="AD257" s="292" t="str">
        <f>VLOOKUP($B257,'Master Tracker'!$D:$T,17,false)</f>
        <v>Not Found</v>
      </c>
      <c r="AE257" s="292" t="str">
        <f>VLOOKUP($B257,'Master Tracker'!$D:$V,19,false)</f>
        <v>Not Found</v>
      </c>
      <c r="AF257" s="292">
        <f>IFERROR(__xludf.DUMMYFUNCTION("IFERROR(
  INDEX(
    FILTER(
      'Juma Recording forms'!$G:$G,
      TRIM('Juma Recording forms'!$F:$F) = TRIM($B257),
      'Juma Recording forms'!$AA:$AA = 1
    ),
    1
  ),
  ""Not Found""
)"),188.0)</f>
        <v>188</v>
      </c>
      <c r="AG257" s="292">
        <f>IFERROR(__xludf.DUMMYFUNCTION("IFERROR(
  INDEX(
    FILTER(
      'Juma Recording forms'!$G:$G,
      TRIM('Juma Recording forms'!$F:$F) = TRIM($B257),
      'Juma Recording forms'!$AA:$AA = 2
    ),
    1
  ),
  ""Not Found""
)"),160.0)</f>
        <v>160</v>
      </c>
      <c r="AH257" s="292">
        <f>IFERROR(__xludf.DUMMYFUNCTION("IFERROR(
  INDEX(
    FILTER(
      'Juma Recording forms'!$G:$G,
      TRIM('Juma Recording forms'!$F:$F) = TRIM($B257),
      'Juma Recording forms'!$AA:$AA = 3
    ),
    1
  ),
  ""Not Found""
)"),190.0)</f>
        <v>190</v>
      </c>
      <c r="AI257" s="292">
        <f>IFERROR(__xludf.DUMMYFUNCTION("IFERROR(
  INDEX(
    FILTER(
      'Juma Recording forms'!$G:$G,
      TRIM('Juma Recording forms'!$F:$F) = TRIM($B257),
      'Juma Recording forms'!$AA:$AA = 4
    ),
    1
  ),
  ""Not Found""
)"),210.0)</f>
        <v>210</v>
      </c>
      <c r="AJ257" s="292" t="str">
        <f>IFERROR(__xludf.DUMMYFUNCTION("IFERROR(
  INDEX(
    FILTER(
      'Juma Recording forms'!$G:$G,
      TRIM('Juma Recording forms'!$F:$F) = TRIM($B257),
      'Juma Recording forms'!$AA:$AA = 5
    ),
    1
  ),
  ""Not Found""
)"),"Not Found")</f>
        <v>Not Found</v>
      </c>
      <c r="AK257" s="292" t="str">
        <f>IFERROR(__xludf.DUMMYFUNCTION("IFERROR(
  INDEX(
    FILTER(
      'Juma Recording forms'!$G:$G,
      TRIM('Juma Recording forms'!$F:$F) = TRIM($B257),
      'Juma Recording forms'!$AA:$AA = 6
    ),
    1
  ),
  ""Not Found""
)"),"Not Found")</f>
        <v>Not Found</v>
      </c>
      <c r="AL2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1!$E:$E"")=$B257) *
        (IMPORTRANGE(""https://docs.google.com/spreadsheets/d/161aHT6vVT3SLneTKD19N5qVWtnj_jIT8CSsOmUVKmaA/e"&amp;"dit?gid=1761053510"",
          ""Haris_Form responses 1!$AQ:$AQ"")=1)
      ),
      1
    ),
    ""0""
  ),
  ""Form not found""
)
"),"10")</f>
        <v>10</v>
      </c>
      <c r="AM2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1!$E:$E"")=$B257) *
        (IMPORTRANGE(""https://docs.google.com/spreadsheets/d/161aHT6vVT3SLneTKD19N5qVWtnj_jIT8CSsOmUVKmaA/e"&amp;"dit?gid=1761053510"",
          ""Haris_Form responses 1!$AQ:$AQ"")=2)
      ),
      1
    ),
    ""0""
  ),
  ""Form not found""
)
"),"0")</f>
        <v>0</v>
      </c>
      <c r="AN2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1!$E:$E"")=$B257) *
        (IMPORTRANGE(""https://docs.google.com/spreadsheets/d/161aHT6vVT3SLneTKD19N5qVWtnj_jIT8CSsOmUVKmaA/e"&amp;"dit?gid=1761053510"",
          ""Haris_Form responses 1!$AQ:$AQ"")=3)
      ),
      1
    ),
    ""0""
  ),
  ""Form not found""
)
"),"10")</f>
        <v>10</v>
      </c>
      <c r="AO2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1!$E:$E"")=$B257) *
        (IMPORTRANGE(""https://docs.google.com/spreadsheets/d/161aHT6vVT3SLneTKD19N5qVWtnj_jIT8CSsOmUVKmaA/e"&amp;"dit?gid=1761053510"",
          ""Haris_Form responses 1!$AQ:$AQ"")=4)
      ),
      1
    ),
    ""0""
  ),
  ""Form not found""
)
"),"4")</f>
        <v>4</v>
      </c>
      <c r="AP2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1!$E:$E"")=$B257) *
        (IMPORTRANGE(""https://docs.google.com/spreadsheets/d/161aHT6vVT3SLneTKD19N5qVWtnj_jIT8CSsOmUVKmaA/e"&amp;"dit?gid=1761053510"",
          ""Haris_Form responses 1!$AQ:$AQ"")=5)
      ),
      1
    ),
    ""0""
  ),
  ""Form not found""
)
"),"Form not found")</f>
        <v>Form not found</v>
      </c>
      <c r="AQ25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1!$E:$E"")=$B257) *
        (IMPORTRANGE(""https://docs.google.com/spreadsheets/d/161aHT6vVT3SLneTKD19N5qVWtnj_jIT8CSsOmUVKmaA/e"&amp;"dit?gid=1761053510"",
          ""Haris_Form responses 1!$AQ:$AQ"")=6)
      ),
      1
    ),
    ""0""
  ),
  ""Form not found""
)
"),"Form not found")</f>
        <v>Form not found</v>
      </c>
      <c r="AR2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1!$E:$E"")=$B257) *
        (IMPORTRANGE(""https://docs.google.com/spreadsheets/d/161aHT6vVT3SLneTKD19N5qVWtnj_jIT8CSsOmUVKmaA/e"&amp;"dit?gid=1761053510"",
          ""Haris_Form responses 1!$AQ:$AQ"")=1)
      ),
      1
    ),
    ""0""
  ),
  ""Form not found""
)
"),"0")</f>
        <v>0</v>
      </c>
      <c r="AS2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1!$E:$E"")=$B257) *
        (IMPORTRANGE(""https://docs.google.com/spreadsheets/d/161aHT6vVT3SLneTKD19N5qVWtnj_jIT8CSsOmUVKmaA/e"&amp;"dit?gid=1761053510"",
          ""Haris_Form responses 1!$AQ:$AQ"")=2)
      ),
      1
    ),
    ""0""
  ),
  ""Form not found""
)
"),"5")</f>
        <v>5</v>
      </c>
      <c r="AT2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1!$E:$E"")=$B257) *
        (IMPORTRANGE(""https://docs.google.com/spreadsheets/d/161aHT6vVT3SLneTKD19N5qVWtnj_jIT8CSsOmUVKmaA/e"&amp;"dit?gid=1761053510"",
          ""Haris_Form responses 1!$AQ:$AQ"")=3)
      ),
      1
    ),
    ""0""
  ),
  ""Form not found""
)
"),"0")</f>
        <v>0</v>
      </c>
      <c r="AU2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1!$E:$E"")=$B257) *
        (IMPORTRANGE(""https://docs.google.com/spreadsheets/d/161aHT6vVT3SLneTKD19N5qVWtnj_jIT8CSsOmUVKmaA/e"&amp;"dit?gid=1761053510"",
          ""Haris_Form responses 1!$AQ:$AQ"")=4)
      ),
      1
    ),
    ""0""
  ),
  ""Form not found""
)
"),"0")</f>
        <v>0</v>
      </c>
      <c r="AV2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1!$E:$E"")=$B257) *
        (IMPORTRANGE(""https://docs.google.com/spreadsheets/d/161aHT6vVT3SLneTKD19N5qVWtnj_jIT8CSsOmUVKmaA/e"&amp;"dit?gid=1761053510"",
          ""Haris_Form responses 1!$AQ:$AQ"")=5)
      ),
      1
    ),
    ""0""
  ),
  ""Form not found""
)
"),"Form not found")</f>
        <v>Form not found</v>
      </c>
      <c r="AW25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1!$E:$E"")=$B257) *
        (IMPORTRANGE(""https://docs.google.com/spreadsheets/d/161aHT6vVT3SLneTKD19N5qVWtnj_jIT8CSsOmUVKmaA/e"&amp;"dit?gid=1761053510"",
          ""Haris_Form responses 1!$AQ:$AQ"")=6)
      ),
      1
    ),
    ""0""
  ),
  ""Form not found""
)
"),"Form not found")</f>
        <v>Form not found</v>
      </c>
      <c r="AX2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1!$E:$E"")=$B257) *
        (IMPORTRANGE(""https://docs.google.com/spreadsheets/d/161aHT6vVT3SLneTKD19N5qVWtnj_jIT8CSsOmUVKmaA/e"&amp;"dit?gid=1761053510"",
          ""Haris_Form responses 1!$AQ:$AQ"")=1)
      ),
      1
    ),
    ""0""
  ),
  ""Form not found""
)
"),"10")</f>
        <v>10</v>
      </c>
      <c r="AY2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1!$E:$E"")=$B257) *
        (IMPORTRANGE(""https://docs.google.com/spreadsheets/d/161aHT6vVT3SLneTKD19N5qVWtnj_jIT8CSsOmUVKmaA/e"&amp;"dit?gid=1761053510"",
          ""Haris_Form responses 1!$AQ:$AQ"")=2)
      ),
      1
    ),
    ""0""
  ),
  ""Form not found""
)
"),"0")</f>
        <v>0</v>
      </c>
      <c r="AZ2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1!$E:$E"")=$B257) *
        (IMPORTRANGE(""https://docs.google.com/spreadsheets/d/161aHT6vVT3SLneTKD19N5qVWtnj_jIT8CSsOmUVKmaA/e"&amp;"dit?gid=1761053510"",
          ""Haris_Form responses 1!$AQ:$AQ"")=3)
      ),
      1
    ),
    ""0""
  ),
  ""Form not found""
)
"),"10")</f>
        <v>10</v>
      </c>
      <c r="BA2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1!$E:$E"")=$B257) *
        (IMPORTRANGE(""https://docs.google.com/spreadsheets/d/161aHT6vVT3SLneTKD19N5qVWtnj_jIT8CSsOmUVKmaA/e"&amp;"dit?gid=1761053510"",
          ""Haris_Form responses 1!$AQ:$AQ"")=4)
      ),
      1
    ),
    ""0""
  ),
  ""Form not found""
)
"),"4")</f>
        <v>4</v>
      </c>
      <c r="BB2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1!$E:$E"")=$B257) *
        (IMPORTRANGE(""https://docs.google.com/spreadsheets/d/161aHT6vVT3SLneTKD19N5qVWtnj_jIT8CSsOmUVKmaA/e"&amp;"dit?gid=1761053510"",
          ""Haris_Form responses 1!$AQ:$AQ"")=5)
      ),
      1
    ),
    ""0""
  ),
  ""Form not found""
)
"),"Form not found")</f>
        <v>Form not found</v>
      </c>
      <c r="BC25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1!$E:$E"")=$B257) *
        (IMPORTRANGE(""https://docs.google.com/spreadsheets/d/161aHT6vVT3SLneTKD19N5qVWtnj_jIT8CSsOmUVKmaA/e"&amp;"dit?gid=1761053510"",
          ""Haris_Form responses 1!$AQ:$AQ"")=6)
      ),
      1
    ),
    ""0""
  ),
  ""Form not found""
)
"),"Form not found")</f>
        <v>Form not found</v>
      </c>
      <c r="BD257" s="293"/>
    </row>
    <row r="258">
      <c r="A258" s="283" t="str">
        <f>IFERROR(__xludf.DUMMYFUNCTION("VLOOKUP($B258,IMPORTRANGE(""https://docs.google.com/spreadsheets/d/1VNXDITjs75AcgdBSW27oL1VZH31udDprJSsBcE5xlp4/edit?gid=1551188038#gid=1551188038"", ""Sheet9!$B:$E""),2,false)"),"Faisalabad")</f>
        <v>Faisalabad</v>
      </c>
      <c r="B258" s="283" t="s">
        <v>3977</v>
      </c>
      <c r="C258" s="284" t="str">
        <f>IFERROR(__xludf.DUMMYFUNCTION("VLOOKUP(TRIM($B258), IMPORTRANGE(""https://docs.google.com/spreadsheets/d/1aSOrU4PTpuBZqfitKaH1Rfww6-YOiNCKoBpPl8XBHaw/edit?gid=0#gid=0"", ""sheet3!$B:$C""), 2, FALSE)
"),"Jamia Masjid 273 Rai Chak Faisalabad")</f>
        <v>Jamia Masjid 273 Rai Chak Faisalabad</v>
      </c>
      <c r="D258" s="284" t="str">
        <f>IFERROR(__xludf.DUMMYFUNCTION("IFERROR(
  INDEX(
    FILTER(
      IMPORTRANGE(""1aSOrU4PTpuBZqfitKaH1Rfww6-YOiNCKoBpPl8XBHaw/edit?gid=0#gid=0"",""Sheet1!G:G""),
      IMPORTRANGE(""1aSOrU4PTpuBZqfitKaH1Rfww6-YOiNCKoBpPl8XBHaw/edit?gid=0#gid=0"",""Sheet1!C:C"")=$B258
    ),
    1
  ),
"&amp;"  ""Not Found""
)"),"Control")</f>
        <v>Control</v>
      </c>
      <c r="E258" s="284" t="str">
        <f>VLOOKUP(B258,'Juma Recording forms'!A:E,5,false)</f>
        <v>Jamia Masjid 273 Rai Chak Faisalabad</v>
      </c>
      <c r="F258" s="284" t="str">
        <f>IFERROR(__xludf.DUMMYFUNCTION("IFERROR(
  INDEX(
    FILTER(
      IMPORTRANGE(""1Cxrhp3-_-HS7v9uuqQliiIfrmMP4VaFoDNDWyUFy2J8/edit?gid=0#gid=0"",""Sheet1!Q:Q""),
      IMPORTRANGE(""1Cxrhp3-_-HS7v9uuqQliiIfrmMP4VaFoDNDWyUFy2J8/edit?gid=0#gid=0"",""Sheet1!K:K"")=$B258
    ),
    1
  ),
"&amp;"  ""Not Found""
)"),"Maulana umar faroq")</f>
        <v>Maulana umar faroq</v>
      </c>
      <c r="G258" s="284">
        <v>1955.0</v>
      </c>
      <c r="H258" s="284"/>
      <c r="I258" s="285" t="s">
        <v>197</v>
      </c>
      <c r="J258" s="286">
        <v>1.0</v>
      </c>
      <c r="K258" s="287" t="str">
        <f>VLOOKUP($B258,'Mosque Locations'!$A:$E,3,FALSE)
</f>
        <v>https://www.google.com/maps?q=31.1701072,72.8817263</v>
      </c>
      <c r="L258" s="286">
        <f>VLOOKUP($B258,'Mosque Locations'!$A:$E,4,FALSE)
</f>
        <v>31.17011</v>
      </c>
      <c r="M258" s="286">
        <f>VLOOKUP($B258,'Mosque Locations'!$A:$E,5,false)</f>
        <v>72.88173</v>
      </c>
      <c r="N258" s="288"/>
      <c r="O258" s="288"/>
      <c r="P258" s="288"/>
      <c r="Q258" s="295" t="str">
        <f>IFERROR(__xludf.DUMMYFUNCTION("IFERROR(
  INDEX(
    FILTER(
      IMPORTRANGE(""1kOrIKZmJfNUkgOVP3sI9BPjaaPA0_a4636oymQxTXg8"",""Form Responses 1!N:N""),
      TRIM(IMPORTRANGE(""1kOrIKZmJfNUkgOVP3sI9BPjaaPA0_a4636oymQxTXg8"",""Form Responses 1!F:F""))=TRIM($B258)
    ),
    1
  ),
  "&amp;"""Not Found""
)
"),"https://drive.google.com/file/d/1NugXjrlqAmvdqXmQVTK-cS02yqw5_EA9/view?usp=drive_link")</f>
        <v>https://drive.google.com/file/d/1NugXjrlqAmvdqXmQVTK-cS02yqw5_EA9/view?usp=drive_link</v>
      </c>
      <c r="R258" s="295" t="str">
        <f>IFERROR(__xludf.DUMMYFUNCTION("IFERROR(
  INDEX(
    FILTER(
      IMPORTRANGE(""1kOrIKZmJfNUkgOVP3sI9BPjaaPA0_a4636oymQxTXg8"",""Form Responses 1!M:M""),
      TRIM(IMPORTRANGE(""1kOrIKZmJfNUkgOVP3sI9BPjaaPA0_a4636oymQxTXg8"",""Form Responses 1!F:F""))=TRIM($B258)
    ),
    1
  ),
  "&amp;"""Not Found""
)
"),"https://drive.google.com/open?id=1yHwxOUU5mYeYeQZKmuh5sC3730zIkdsA")</f>
        <v>https://drive.google.com/open?id=1yHwxOUU5mYeYeQZKmuh5sC3730zIkdsA</v>
      </c>
      <c r="S258" s="285"/>
      <c r="T258" s="290" t="str">
        <f>VLOOKUP($B258,'Master Tracker'!D:E,2,false)</f>
        <v>https://drive.google.com/open?id=1p_0RVBiU53rS_MQQrzLqTt7g7cA3e0oH</v>
      </c>
      <c r="U258" s="291" t="str">
        <f>VLOOKUP($B258,'Master Tracker'!$D:$T,4,FALSE)
</f>
        <v>https://drive.google.com/open?id=1RKrF-aXWOlYqyowjbDl6bAdusOPbJr9qXEqx0xFkNHk</v>
      </c>
      <c r="V258" s="284" t="str">
        <f>VLOOKUP($B258,'Master Tracker'!$D:$T,5,false)</f>
        <v>Not Found</v>
      </c>
      <c r="W258" s="292" t="str">
        <f>VLOOKUP($B258,'Master Tracker'!$D:$T,7,false)</f>
        <v>Not Found</v>
      </c>
      <c r="X258" s="290" t="str">
        <f>VLOOKUP($B258,'Master Tracker'!$D:$T,8,false)</f>
        <v>https://drive.google.com/open?id=1fn0VGDI3qughAzPemV5Yw6_8FJBX0ppd</v>
      </c>
      <c r="Y258" s="291" t="str">
        <f>VLOOKUP($B258,'Master Tracker'!$D:$T,10,false)</f>
        <v>https://drive.google.com/open?id=1VwyU_83qaUKbGW5jy2OgjObhCuozODxJXRjP8bS7JXg</v>
      </c>
      <c r="Z258" s="284" t="str">
        <f>VLOOKUP($B258,'Master Tracker'!$D:$T,11,false)</f>
        <v>Not Found</v>
      </c>
      <c r="AA258" s="292" t="str">
        <f>VLOOKUP($B258,'Master Tracker'!$D:$T,13,false)</f>
        <v>Not Found</v>
      </c>
      <c r="AB258" s="284" t="str">
        <f>VLOOKUP($B258,'Master Tracker'!$D:$T,14,false)</f>
        <v>Not Found</v>
      </c>
      <c r="AC258" s="292" t="str">
        <f>VLOOKUP($B258,'Master Tracker'!$D:$T,16,false)</f>
        <v>Not Found</v>
      </c>
      <c r="AD258" s="292" t="str">
        <f>VLOOKUP($B258,'Master Tracker'!$D:$T,17,false)</f>
        <v>Not Found</v>
      </c>
      <c r="AE258" s="292" t="str">
        <f>VLOOKUP($B258,'Master Tracker'!$D:$V,19,false)</f>
        <v>Not Found</v>
      </c>
      <c r="AF258" s="292">
        <f>IFERROR(__xludf.DUMMYFUNCTION("IFERROR(
  INDEX(
    FILTER(
      'Juma Recording forms'!$G:$G,
      TRIM('Juma Recording forms'!$F:$F) = TRIM($B258),
      'Juma Recording forms'!$AA:$AA = 1
    ),
    1
  ),
  ""Not Found""
)"),120.0)</f>
        <v>120</v>
      </c>
      <c r="AG258" s="292" t="str">
        <f>IFERROR(__xludf.DUMMYFUNCTION("IFERROR(
  INDEX(
    FILTER(
      'Juma Recording forms'!$G:$G,
      TRIM('Juma Recording forms'!$F:$F) = TRIM($B258),
      'Juma Recording forms'!$AA:$AA = 2
    ),
    1
  ),
  ""Not Found""
)"),"Not Found")</f>
        <v>Not Found</v>
      </c>
      <c r="AH258" s="292">
        <f>IFERROR(__xludf.DUMMYFUNCTION("IFERROR(
  INDEX(
    FILTER(
      'Juma Recording forms'!$G:$G,
      TRIM('Juma Recording forms'!$F:$F) = TRIM($B258),
      'Juma Recording forms'!$AA:$AA = 3
    ),
    1
  ),
  ""Not Found""
)"),105.0)</f>
        <v>105</v>
      </c>
      <c r="AI258" s="292" t="str">
        <f>IFERROR(__xludf.DUMMYFUNCTION("IFERROR(
  INDEX(
    FILTER(
      'Juma Recording forms'!$G:$G,
      TRIM('Juma Recording forms'!$F:$F) = TRIM($B258),
      'Juma Recording forms'!$AA:$AA = 4
    ),
    1
  ),
  ""Not Found""
)"),"Not Found")</f>
        <v>Not Found</v>
      </c>
      <c r="AJ258" s="292" t="str">
        <f>IFERROR(__xludf.DUMMYFUNCTION("IFERROR(
  INDEX(
    FILTER(
      'Juma Recording forms'!$G:$G,
      TRIM('Juma Recording forms'!$F:$F) = TRIM($B258),
      'Juma Recording forms'!$AA:$AA = 5
    ),
    1
  ),
  ""Not Found""
)"),"Not Found")</f>
        <v>Not Found</v>
      </c>
      <c r="AK258" s="292" t="str">
        <f>IFERROR(__xludf.DUMMYFUNCTION("IFERROR(
  INDEX(
    FILTER(
      'Juma Recording forms'!$G:$G,
      TRIM('Juma Recording forms'!$F:$F) = TRIM($B258),
      'Juma Recording forms'!$AA:$AA = 6
    ),
    1
  ),
  ""Not Found""
)"),"Not Found")</f>
        <v>Not Found</v>
      </c>
      <c r="AL2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1!$E:$E"")=$B258) *
        (IMPORTRANGE(""https://docs.google.com/spreadsheets/d/161aHT6vVT3SLneTKD19N5qVWtnj_jIT8CSsOmUVKmaA/e"&amp;"dit?gid=1761053510"",
          ""Haris_Form responses 1!$AQ:$AQ"")=1)
      ),
      1
    ),
    ""0""
  ),
  ""Form not found""
)
"),"0")</f>
        <v>0</v>
      </c>
      <c r="AM2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1!$E:$E"")=$B258) *
        (IMPORTRANGE(""https://docs.google.com/spreadsheets/d/161aHT6vVT3SLneTKD19N5qVWtnj_jIT8CSsOmUVKmaA/e"&amp;"dit?gid=1761053510"",
          ""Haris_Form responses 1!$AQ:$AQ"")=2)
      ),
      1
    ),
    ""0""
  ),
  ""Form not found""
)
"),"Form not found")</f>
        <v>Form not found</v>
      </c>
      <c r="AN2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1!$E:$E"")=$B258) *
        (IMPORTRANGE(""https://docs.google.com/spreadsheets/d/161aHT6vVT3SLneTKD19N5qVWtnj_jIT8CSsOmUVKmaA/e"&amp;"dit?gid=1761053510"",
          ""Haris_Form responses 1!$AQ:$AQ"")=3)
      ),
      1
    ),
    ""0""
  ),
  ""Form not found""
)
"),"0")</f>
        <v>0</v>
      </c>
      <c r="AO2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1!$E:$E"")=$B258) *
        (IMPORTRANGE(""https://docs.google.com/spreadsheets/d/161aHT6vVT3SLneTKD19N5qVWtnj_jIT8CSsOmUVKmaA/e"&amp;"dit?gid=1761053510"",
          ""Haris_Form responses 1!$AQ:$AQ"")=4)
      ),
      1
    ),
    ""0""
  ),
  ""Form not found""
)
"),"Form not found")</f>
        <v>Form not found</v>
      </c>
      <c r="AP2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1!$E:$E"")=$B258) *
        (IMPORTRANGE(""https://docs.google.com/spreadsheets/d/161aHT6vVT3SLneTKD19N5qVWtnj_jIT8CSsOmUVKmaA/e"&amp;"dit?gid=1761053510"",
          ""Haris_Form responses 1!$AQ:$AQ"")=5)
      ),
      1
    ),
    ""0""
  ),
  ""Form not found""
)
"),"Form not found")</f>
        <v>Form not found</v>
      </c>
      <c r="AQ25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1!$E:$E"")=$B258) *
        (IMPORTRANGE(""https://docs.google.com/spreadsheets/d/161aHT6vVT3SLneTKD19N5qVWtnj_jIT8CSsOmUVKmaA/e"&amp;"dit?gid=1761053510"",
          ""Haris_Form responses 1!$AQ:$AQ"")=6)
      ),
      1
    ),
    ""0""
  ),
  ""Form not found""
)
"),"Form not found")</f>
        <v>Form not found</v>
      </c>
      <c r="AR2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1!$E:$E"")=$B258) *
        (IMPORTRANGE(""https://docs.google.com/spreadsheets/d/161aHT6vVT3SLneTKD19N5qVWtnj_jIT8CSsOmUVKmaA/e"&amp;"dit?gid=1761053510"",
          ""Haris_Form responses 1!$AQ:$AQ"")=1)
      ),
      1
    ),
    ""0""
  ),
  ""Form not found""
)
"),"0")</f>
        <v>0</v>
      </c>
      <c r="AS2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1!$E:$E"")=$B258) *
        (IMPORTRANGE(""https://docs.google.com/spreadsheets/d/161aHT6vVT3SLneTKD19N5qVWtnj_jIT8CSsOmUVKmaA/e"&amp;"dit?gid=1761053510"",
          ""Haris_Form responses 1!$AQ:$AQ"")=2)
      ),
      1
    ),
    ""0""
  ),
  ""Form not found""
)
"),"Form not found")</f>
        <v>Form not found</v>
      </c>
      <c r="AT2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1!$E:$E"")=$B258) *
        (IMPORTRANGE(""https://docs.google.com/spreadsheets/d/161aHT6vVT3SLneTKD19N5qVWtnj_jIT8CSsOmUVKmaA/e"&amp;"dit?gid=1761053510"",
          ""Haris_Form responses 1!$AQ:$AQ"")=3)
      ),
      1
    ),
    ""0""
  ),
  ""Form not found""
)
"),"0")</f>
        <v>0</v>
      </c>
      <c r="AU2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1!$E:$E"")=$B258) *
        (IMPORTRANGE(""https://docs.google.com/spreadsheets/d/161aHT6vVT3SLneTKD19N5qVWtnj_jIT8CSsOmUVKmaA/e"&amp;"dit?gid=1761053510"",
          ""Haris_Form responses 1!$AQ:$AQ"")=4)
      ),
      1
    ),
    ""0""
  ),
  ""Form not found""
)
"),"Form not found")</f>
        <v>Form not found</v>
      </c>
      <c r="AV2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1!$E:$E"")=$B258) *
        (IMPORTRANGE(""https://docs.google.com/spreadsheets/d/161aHT6vVT3SLneTKD19N5qVWtnj_jIT8CSsOmUVKmaA/e"&amp;"dit?gid=1761053510"",
          ""Haris_Form responses 1!$AQ:$AQ"")=5)
      ),
      1
    ),
    ""0""
  ),
  ""Form not found""
)
"),"Form not found")</f>
        <v>Form not found</v>
      </c>
      <c r="AW25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1!$E:$E"")=$B258) *
        (IMPORTRANGE(""https://docs.google.com/spreadsheets/d/161aHT6vVT3SLneTKD19N5qVWtnj_jIT8CSsOmUVKmaA/e"&amp;"dit?gid=1761053510"",
          ""Haris_Form responses 1!$AQ:$AQ"")=6)
      ),
      1
    ),
    ""0""
  ),
  ""Form not found""
)
"),"Form not found")</f>
        <v>Form not found</v>
      </c>
      <c r="AX2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1!$E:$E"")=$B258) *
        (IMPORTRANGE(""https://docs.google.com/spreadsheets/d/161aHT6vVT3SLneTKD19N5qVWtnj_jIT8CSsOmUVKmaA/e"&amp;"dit?gid=1761053510"",
          ""Haris_Form responses 1!$AQ:$AQ"")=1)
      ),
      1
    ),
    ""0""
  ),
  ""Form not found""
)
"),"0")</f>
        <v>0</v>
      </c>
      <c r="AY2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1!$E:$E"")=$B258) *
        (IMPORTRANGE(""https://docs.google.com/spreadsheets/d/161aHT6vVT3SLneTKD19N5qVWtnj_jIT8CSsOmUVKmaA/e"&amp;"dit?gid=1761053510"",
          ""Haris_Form responses 1!$AQ:$AQ"")=2)
      ),
      1
    ),
    ""0""
  ),
  ""Form not found""
)
"),"Form not found")</f>
        <v>Form not found</v>
      </c>
      <c r="AZ2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1!$E:$E"")=$B258) *
        (IMPORTRANGE(""https://docs.google.com/spreadsheets/d/161aHT6vVT3SLneTKD19N5qVWtnj_jIT8CSsOmUVKmaA/e"&amp;"dit?gid=1761053510"",
          ""Haris_Form responses 1!$AQ:$AQ"")=3)
      ),
      1
    ),
    ""0""
  ),
  ""Form not found""
)
"),"0")</f>
        <v>0</v>
      </c>
      <c r="BA2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1!$E:$E"")=$B258) *
        (IMPORTRANGE(""https://docs.google.com/spreadsheets/d/161aHT6vVT3SLneTKD19N5qVWtnj_jIT8CSsOmUVKmaA/e"&amp;"dit?gid=1761053510"",
          ""Haris_Form responses 1!$AQ:$AQ"")=4)
      ),
      1
    ),
    ""0""
  ),
  ""Form not found""
)
"),"Form not found")</f>
        <v>Form not found</v>
      </c>
      <c r="BB2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1!$E:$E"")=$B258) *
        (IMPORTRANGE(""https://docs.google.com/spreadsheets/d/161aHT6vVT3SLneTKD19N5qVWtnj_jIT8CSsOmUVKmaA/e"&amp;"dit?gid=1761053510"",
          ""Haris_Form responses 1!$AQ:$AQ"")=5)
      ),
      1
    ),
    ""0""
  ),
  ""Form not found""
)
"),"Form not found")</f>
        <v>Form not found</v>
      </c>
      <c r="BC25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1!$E:$E"")=$B258) *
        (IMPORTRANGE(""https://docs.google.com/spreadsheets/d/161aHT6vVT3SLneTKD19N5qVWtnj_jIT8CSsOmUVKmaA/e"&amp;"dit?gid=1761053510"",
          ""Haris_Form responses 1!$AQ:$AQ"")=6)
      ),
      1
    ),
    ""0""
  ),
  ""Form not found""
)
"),"Form not found")</f>
        <v>Form not found</v>
      </c>
      <c r="BD258" s="293"/>
    </row>
    <row r="259">
      <c r="A259" s="283" t="str">
        <f>IFERROR(__xludf.DUMMYFUNCTION("VLOOKUP($B259,IMPORTRANGE(""https://docs.google.com/spreadsheets/d/1VNXDITjs75AcgdBSW27oL1VZH31udDprJSsBcE5xlp4/edit?gid=1551188038#gid=1551188038"", ""Sheet9!$B:$E""),2,false)"),"Faisalabad")</f>
        <v>Faisalabad</v>
      </c>
      <c r="B259" s="283" t="s">
        <v>4698</v>
      </c>
      <c r="C259" s="284" t="str">
        <f>IFERROR(__xludf.DUMMYFUNCTION("VLOOKUP(TRIM($B259), IMPORTRANGE(""https://docs.google.com/spreadsheets/d/1aSOrU4PTpuBZqfitKaH1Rfww6-YOiNCKoBpPl8XBHaw/edit?gid=0#gid=0"", ""sheet3!$B:$C""), 2, FALSE)
"),"Jamia Masjid Muhammadiya Qasim Bazar Faisalabad")</f>
        <v>Jamia Masjid Muhammadiya Qasim Bazar Faisalabad</v>
      </c>
      <c r="D259" s="284" t="str">
        <f>IFERROR(__xludf.DUMMYFUNCTION("IFERROR(
  INDEX(
    FILTER(
      IMPORTRANGE(""1aSOrU4PTpuBZqfitKaH1Rfww6-YOiNCKoBpPl8XBHaw/edit?gid=0#gid=0"",""Sheet1!G:G""),
      IMPORTRANGE(""1aSOrU4PTpuBZqfitKaH1Rfww6-YOiNCKoBpPl8XBHaw/edit?gid=0#gid=0"",""Sheet1!C:C"")=$B259
    ),
    1
  ),
"&amp;"  ""Not Found""
)"),"Women Religious No Info Share")</f>
        <v>Women Religious No Info Share</v>
      </c>
      <c r="E259" s="284" t="str">
        <f>VLOOKUP(B259,'Juma Recording forms'!A:E,5,false)</f>
        <v>#N/A</v>
      </c>
      <c r="F259" s="284" t="str">
        <f>IFERROR(__xludf.DUMMYFUNCTION("IFERROR(
  INDEX(
    FILTER(
      IMPORTRANGE(""1Cxrhp3-_-HS7v9uuqQliiIfrmMP4VaFoDNDWyUFy2J8/edit?gid=0#gid=0"",""Sheet1!Q:Q""),
      IMPORTRANGE(""1Cxrhp3-_-HS7v9uuqQliiIfrmMP4VaFoDNDWyUFy2J8/edit?gid=0#gid=0"",""Sheet1!K:K"")=$B259
    ),
    1
  ),
"&amp;"  ""Not Found""
)"),"Qari Muhammad Abu bakar")</f>
        <v>Qari Muhammad Abu bakar</v>
      </c>
      <c r="G259" s="284">
        <v>1980.0</v>
      </c>
      <c r="H259" s="284"/>
      <c r="I259" s="285" t="s">
        <v>197</v>
      </c>
      <c r="J259" s="286">
        <v>2.0</v>
      </c>
      <c r="K259" s="287" t="str">
        <f>VLOOKUP($B259,'Mosque Locations'!$A:$E,3,FALSE)
</f>
        <v>https://maps.app.goo.gl/zyXgXmfGc29Qjv7eA</v>
      </c>
      <c r="L259" s="286">
        <f>VLOOKUP($B259,'Mosque Locations'!$A:$E,4,FALSE)
</f>
        <v>31.42126</v>
      </c>
      <c r="M259" s="286">
        <f>VLOOKUP($B259,'Mosque Locations'!$A:$E,5,false)</f>
        <v>73.08157</v>
      </c>
      <c r="N259" s="288"/>
      <c r="O259" s="288"/>
      <c r="P259" s="288"/>
      <c r="Q259" s="290" t="str">
        <f>IFERROR(__xludf.DUMMYFUNCTION("IFERROR(
  INDEX(
    FILTER(
      IMPORTRANGE(""1kOrIKZmJfNUkgOVP3sI9BPjaaPA0_a4636oymQxTXg8"",""Form Responses 1!N:N""),
      TRIM(IMPORTRANGE(""1kOrIKZmJfNUkgOVP3sI9BPjaaPA0_a4636oymQxTXg8"",""Form Responses 1!F:F""))=TRIM($B259)
    ),
    1
  ),
  "&amp;"""Not Found""
)
"),"https://drive.google.com/open?id=1y3QHNT7utJHLJesF0f349U0UTyU5dne_")</f>
        <v>https://drive.google.com/open?id=1y3QHNT7utJHLJesF0f349U0UTyU5dne_</v>
      </c>
      <c r="R259" s="290" t="str">
        <f>IFERROR(__xludf.DUMMYFUNCTION("IFERROR(
  INDEX(
    FILTER(
      IMPORTRANGE(""1kOrIKZmJfNUkgOVP3sI9BPjaaPA0_a4636oymQxTXg8"",""Form Responses 1!M:M""),
      TRIM(IMPORTRANGE(""1kOrIKZmJfNUkgOVP3sI9BPjaaPA0_a4636oymQxTXg8"",""Form Responses 1!F:F""))=TRIM($B259)
    ),
    1
  ),
  "&amp;"""Not Found""
)
"),"https://drive.google.com/open?id=1DvoYSzfBqjiYsNO3LBtT1M6SqOpt1xAU")</f>
        <v>https://drive.google.com/open?id=1DvoYSzfBqjiYsNO3LBtT1M6SqOpt1xAU</v>
      </c>
      <c r="S259" s="285"/>
      <c r="T259" s="284" t="str">
        <f>VLOOKUP($B259,'Master Tracker'!D:E,2,false)</f>
        <v>Not Found</v>
      </c>
      <c r="U259" s="292" t="str">
        <f>VLOOKUP($B259,'Master Tracker'!$D:$T,4,FALSE)
</f>
        <v>Not Found</v>
      </c>
      <c r="V259" s="284" t="str">
        <f>VLOOKUP($B259,'Master Tracker'!$D:$T,5,false)</f>
        <v>Not Found</v>
      </c>
      <c r="W259" s="292" t="str">
        <f>VLOOKUP($B259,'Master Tracker'!$D:$T,7,false)</f>
        <v>Not Found</v>
      </c>
      <c r="X259" s="284" t="str">
        <f>VLOOKUP($B259,'Master Tracker'!$D:$T,8,false)</f>
        <v>Not Found</v>
      </c>
      <c r="Y259" s="292" t="str">
        <f>VLOOKUP($B259,'Master Tracker'!$D:$T,10,false)</f>
        <v>Not Found</v>
      </c>
      <c r="Z259" s="284" t="str">
        <f>VLOOKUP($B259,'Master Tracker'!$D:$T,11,false)</f>
        <v>Not Found</v>
      </c>
      <c r="AA259" s="292" t="str">
        <f>VLOOKUP($B259,'Master Tracker'!$D:$T,13,false)</f>
        <v>Not Found</v>
      </c>
      <c r="AB259" s="284" t="str">
        <f>VLOOKUP($B259,'Master Tracker'!$D:$T,14,false)</f>
        <v>Not Found</v>
      </c>
      <c r="AC259" s="292" t="str">
        <f>VLOOKUP($B259,'Master Tracker'!$D:$T,16,false)</f>
        <v>Not Found</v>
      </c>
      <c r="AD259" s="292" t="str">
        <f>VLOOKUP($B259,'Master Tracker'!$D:$T,17,false)</f>
        <v>Not Found</v>
      </c>
      <c r="AE259" s="292" t="str">
        <f>VLOOKUP($B259,'Master Tracker'!$D:$V,19,false)</f>
        <v>Not Found</v>
      </c>
      <c r="AF259" s="292" t="str">
        <f>IFERROR(__xludf.DUMMYFUNCTION("IFERROR(
  INDEX(
    FILTER(
      'Juma Recording forms'!$G:$G,
      TRIM('Juma Recording forms'!$F:$F) = TRIM($B259),
      'Juma Recording forms'!$AA:$AA = 1
    ),
    1
  ),
  ""Not Found""
)"),"Not Found")</f>
        <v>Not Found</v>
      </c>
      <c r="AG259" s="292" t="str">
        <f>IFERROR(__xludf.DUMMYFUNCTION("IFERROR(
  INDEX(
    FILTER(
      'Juma Recording forms'!$G:$G,
      TRIM('Juma Recording forms'!$F:$F) = TRIM($B259),
      'Juma Recording forms'!$AA:$AA = 2
    ),
    1
  ),
  ""Not Found""
)"),"Not Found")</f>
        <v>Not Found</v>
      </c>
      <c r="AH259" s="292" t="str">
        <f>IFERROR(__xludf.DUMMYFUNCTION("IFERROR(
  INDEX(
    FILTER(
      'Juma Recording forms'!$G:$G,
      TRIM('Juma Recording forms'!$F:$F) = TRIM($B259),
      'Juma Recording forms'!$AA:$AA = 3
    ),
    1
  ),
  ""Not Found""
)"),"Not Found")</f>
        <v>Not Found</v>
      </c>
      <c r="AI259" s="292" t="str">
        <f>IFERROR(__xludf.DUMMYFUNCTION("IFERROR(
  INDEX(
    FILTER(
      'Juma Recording forms'!$G:$G,
      TRIM('Juma Recording forms'!$F:$F) = TRIM($B259),
      'Juma Recording forms'!$AA:$AA = 4
    ),
    1
  ),
  ""Not Found""
)"),"Not Found")</f>
        <v>Not Found</v>
      </c>
      <c r="AJ259" s="292" t="str">
        <f>IFERROR(__xludf.DUMMYFUNCTION("IFERROR(
  INDEX(
    FILTER(
      'Juma Recording forms'!$G:$G,
      TRIM('Juma Recording forms'!$F:$F) = TRIM($B259),
      'Juma Recording forms'!$AA:$AA = 5
    ),
    1
  ),
  ""Not Found""
)"),"Not Found")</f>
        <v>Not Found</v>
      </c>
      <c r="AK259" s="292" t="str">
        <f>IFERROR(__xludf.DUMMYFUNCTION("IFERROR(
  INDEX(
    FILTER(
      'Juma Recording forms'!$G:$G,
      TRIM('Juma Recording forms'!$F:$F) = TRIM($B259),
      'Juma Recording forms'!$AA:$AA = 6
    ),
    1
  ),
  ""Not Found""
)"),"Not Found")</f>
        <v>Not Found</v>
      </c>
      <c r="AL2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1!$E:$E"")=$B259) *
        (IMPORTRANGE(""https://docs.google.com/spreadsheets/d/161aHT6vVT3SLneTKD19N5qVWtnj_jIT8CSsOmUVKmaA/e"&amp;"dit?gid=1761053510"",
          ""Haris_Form responses 1!$AQ:$AQ"")=1)
      ),
      1
    ),
    ""0""
  ),
  ""Form not found""
)
"),"Form not found")</f>
        <v>Form not found</v>
      </c>
      <c r="AM2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1!$E:$E"")=$B259) *
        (IMPORTRANGE(""https://docs.google.com/spreadsheets/d/161aHT6vVT3SLneTKD19N5qVWtnj_jIT8CSsOmUVKmaA/e"&amp;"dit?gid=1761053510"",
          ""Haris_Form responses 1!$AQ:$AQ"")=2)
      ),
      1
    ),
    ""0""
  ),
  ""Form not found""
)
"),"Form not found")</f>
        <v>Form not found</v>
      </c>
      <c r="AN2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1!$E:$E"")=$B259) *
        (IMPORTRANGE(""https://docs.google.com/spreadsheets/d/161aHT6vVT3SLneTKD19N5qVWtnj_jIT8CSsOmUVKmaA/e"&amp;"dit?gid=1761053510"",
          ""Haris_Form responses 1!$AQ:$AQ"")=3)
      ),
      1
    ),
    ""0""
  ),
  ""Form not found""
)
"),"Form not found")</f>
        <v>Form not found</v>
      </c>
      <c r="AO2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1!$E:$E"")=$B259) *
        (IMPORTRANGE(""https://docs.google.com/spreadsheets/d/161aHT6vVT3SLneTKD19N5qVWtnj_jIT8CSsOmUVKmaA/e"&amp;"dit?gid=1761053510"",
          ""Haris_Form responses 1!$AQ:$AQ"")=4)
      ),
      1
    ),
    ""0""
  ),
  ""Form not found""
)
"),"Form not found")</f>
        <v>Form not found</v>
      </c>
      <c r="AP2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1!$E:$E"")=$B259) *
        (IMPORTRANGE(""https://docs.google.com/spreadsheets/d/161aHT6vVT3SLneTKD19N5qVWtnj_jIT8CSsOmUVKmaA/e"&amp;"dit?gid=1761053510"",
          ""Haris_Form responses 1!$AQ:$AQ"")=5)
      ),
      1
    ),
    ""0""
  ),
  ""Form not found""
)
"),"Form not found")</f>
        <v>Form not found</v>
      </c>
      <c r="AQ25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1!$E:$E"")=$B259) *
        (IMPORTRANGE(""https://docs.google.com/spreadsheets/d/161aHT6vVT3SLneTKD19N5qVWtnj_jIT8CSsOmUVKmaA/e"&amp;"dit?gid=1761053510"",
          ""Haris_Form responses 1!$AQ:$AQ"")=6)
      ),
      1
    ),
    ""0""
  ),
  ""Form not found""
)
"),"Form not found")</f>
        <v>Form not found</v>
      </c>
      <c r="AR2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1!$E:$E"")=$B259) *
        (IMPORTRANGE(""https://docs.google.com/spreadsheets/d/161aHT6vVT3SLneTKD19N5qVWtnj_jIT8CSsOmUVKmaA/e"&amp;"dit?gid=1761053510"",
          ""Haris_Form responses 1!$AQ:$AQ"")=1)
      ),
      1
    ),
    ""0""
  ),
  ""Form not found""
)
"),"Form not found")</f>
        <v>Form not found</v>
      </c>
      <c r="AS2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1!$E:$E"")=$B259) *
        (IMPORTRANGE(""https://docs.google.com/spreadsheets/d/161aHT6vVT3SLneTKD19N5qVWtnj_jIT8CSsOmUVKmaA/e"&amp;"dit?gid=1761053510"",
          ""Haris_Form responses 1!$AQ:$AQ"")=2)
      ),
      1
    ),
    ""0""
  ),
  ""Form not found""
)
"),"Form not found")</f>
        <v>Form not found</v>
      </c>
      <c r="AT2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1!$E:$E"")=$B259) *
        (IMPORTRANGE(""https://docs.google.com/spreadsheets/d/161aHT6vVT3SLneTKD19N5qVWtnj_jIT8CSsOmUVKmaA/e"&amp;"dit?gid=1761053510"",
          ""Haris_Form responses 1!$AQ:$AQ"")=3)
      ),
      1
    ),
    ""0""
  ),
  ""Form not found""
)
"),"Form not found")</f>
        <v>Form not found</v>
      </c>
      <c r="AU2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1!$E:$E"")=$B259) *
        (IMPORTRANGE(""https://docs.google.com/spreadsheets/d/161aHT6vVT3SLneTKD19N5qVWtnj_jIT8CSsOmUVKmaA/e"&amp;"dit?gid=1761053510"",
          ""Haris_Form responses 1!$AQ:$AQ"")=4)
      ),
      1
    ),
    ""0""
  ),
  ""Form not found""
)
"),"Form not found")</f>
        <v>Form not found</v>
      </c>
      <c r="AV2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1!$E:$E"")=$B259) *
        (IMPORTRANGE(""https://docs.google.com/spreadsheets/d/161aHT6vVT3SLneTKD19N5qVWtnj_jIT8CSsOmUVKmaA/e"&amp;"dit?gid=1761053510"",
          ""Haris_Form responses 1!$AQ:$AQ"")=5)
      ),
      1
    ),
    ""0""
  ),
  ""Form not found""
)
"),"Form not found")</f>
        <v>Form not found</v>
      </c>
      <c r="AW25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1!$E:$E"")=$B259) *
        (IMPORTRANGE(""https://docs.google.com/spreadsheets/d/161aHT6vVT3SLneTKD19N5qVWtnj_jIT8CSsOmUVKmaA/e"&amp;"dit?gid=1761053510"",
          ""Haris_Form responses 1!$AQ:$AQ"")=6)
      ),
      1
    ),
    ""0""
  ),
  ""Form not found""
)
"),"Form not found")</f>
        <v>Form not found</v>
      </c>
      <c r="AX2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1!$E:$E"")=$B259) *
        (IMPORTRANGE(""https://docs.google.com/spreadsheets/d/161aHT6vVT3SLneTKD19N5qVWtnj_jIT8CSsOmUVKmaA/e"&amp;"dit?gid=1761053510"",
          ""Haris_Form responses 1!$AQ:$AQ"")=1)
      ),
      1
    ),
    ""0""
  ),
  ""Form not found""
)
"),"Form not found")</f>
        <v>Form not found</v>
      </c>
      <c r="AY2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1!$E:$E"")=$B259) *
        (IMPORTRANGE(""https://docs.google.com/spreadsheets/d/161aHT6vVT3SLneTKD19N5qVWtnj_jIT8CSsOmUVKmaA/e"&amp;"dit?gid=1761053510"",
          ""Haris_Form responses 1!$AQ:$AQ"")=2)
      ),
      1
    ),
    ""0""
  ),
  ""Form not found""
)
"),"Form not found")</f>
        <v>Form not found</v>
      </c>
      <c r="AZ2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1!$E:$E"")=$B259) *
        (IMPORTRANGE(""https://docs.google.com/spreadsheets/d/161aHT6vVT3SLneTKD19N5qVWtnj_jIT8CSsOmUVKmaA/e"&amp;"dit?gid=1761053510"",
          ""Haris_Form responses 1!$AQ:$AQ"")=3)
      ),
      1
    ),
    ""0""
  ),
  ""Form not found""
)
"),"Form not found")</f>
        <v>Form not found</v>
      </c>
      <c r="BA2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1!$E:$E"")=$B259) *
        (IMPORTRANGE(""https://docs.google.com/spreadsheets/d/161aHT6vVT3SLneTKD19N5qVWtnj_jIT8CSsOmUVKmaA/e"&amp;"dit?gid=1761053510"",
          ""Haris_Form responses 1!$AQ:$AQ"")=4)
      ),
      1
    ),
    ""0""
  ),
  ""Form not found""
)
"),"Form not found")</f>
        <v>Form not found</v>
      </c>
      <c r="BB2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1!$E:$E"")=$B259) *
        (IMPORTRANGE(""https://docs.google.com/spreadsheets/d/161aHT6vVT3SLneTKD19N5qVWtnj_jIT8CSsOmUVKmaA/e"&amp;"dit?gid=1761053510"",
          ""Haris_Form responses 1!$AQ:$AQ"")=5)
      ),
      1
    ),
    ""0""
  ),
  ""Form not found""
)
"),"Form not found")</f>
        <v>Form not found</v>
      </c>
      <c r="BC25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1!$E:$E"")=$B259) *
        (IMPORTRANGE(""https://docs.google.com/spreadsheets/d/161aHT6vVT3SLneTKD19N5qVWtnj_jIT8CSsOmUVKmaA/e"&amp;"dit?gid=1761053510"",
          ""Haris_Form responses 1!$AQ:$AQ"")=6)
      ),
      1
    ),
    ""0""
  ),
  ""Form not found""
)
"),"Form not found")</f>
        <v>Form not found</v>
      </c>
      <c r="BD259" s="293"/>
    </row>
    <row r="260">
      <c r="A260" s="283" t="str">
        <f>IFERROR(__xludf.DUMMYFUNCTION("VLOOKUP($B260,IMPORTRANGE(""https://docs.google.com/spreadsheets/d/1VNXDITjs75AcgdBSW27oL1VZH31udDprJSsBcE5xlp4/edit?gid=1551188038#gid=1551188038"", ""Sheet9!$B:$E""),2,false)"),"Faisalabad")</f>
        <v>Faisalabad</v>
      </c>
      <c r="B260" s="283" t="s">
        <v>4699</v>
      </c>
      <c r="C260" s="284" t="str">
        <f>IFERROR(__xludf.DUMMYFUNCTION("VLOOKUP(TRIM($B260), IMPORTRANGE(""https://docs.google.com/spreadsheets/d/1aSOrU4PTpuBZqfitKaH1Rfww6-YOiNCKoBpPl8XBHaw/edit?gid=0#gid=0"", ""sheet3!$B:$C""), 2, FALSE)
"),"Jamia Masjid Ghala Mandi Gojara")</f>
        <v>Jamia Masjid Ghala Mandi Gojara</v>
      </c>
      <c r="D260" s="284" t="str">
        <f>IFERROR(__xludf.DUMMYFUNCTION("IFERROR(
  INDEX(
    FILTER(
      IMPORTRANGE(""1aSOrU4PTpuBZqfitKaH1Rfww6-YOiNCKoBpPl8XBHaw/edit?gid=0#gid=0"",""Sheet1!G:G""),
      IMPORTRANGE(""1aSOrU4PTpuBZqfitKaH1Rfww6-YOiNCKoBpPl8XBHaw/edit?gid=0#gid=0"",""Sheet1!C:C"")=$B260
    ),
    1
  ),
"&amp;"  ""Not Found""
)"),"Community Religious Info Share")</f>
        <v>Community Religious Info Share</v>
      </c>
      <c r="E260" s="284" t="str">
        <f>VLOOKUP(B260,'Juma Recording forms'!A:E,5,false)</f>
        <v>#N/A</v>
      </c>
      <c r="F260" s="284" t="str">
        <f>IFERROR(__xludf.DUMMYFUNCTION("IFERROR(
  INDEX(
    FILTER(
      IMPORTRANGE(""1Cxrhp3-_-HS7v9uuqQliiIfrmMP4VaFoDNDWyUFy2J8/edit?gid=0#gid=0"",""Sheet1!Q:Q""),
      IMPORTRANGE(""1Cxrhp3-_-HS7v9uuqQliiIfrmMP4VaFoDNDWyUFy2J8/edit?gid=0#gid=0"",""Sheet1!K:K"")=$B260
    ),
    1
  ),
"&amp;"  ""Not Found""
)"),"Jamia mosjid ghala mandi ")</f>
        <v>Jamia mosjid ghala mandi </v>
      </c>
      <c r="G260" s="284"/>
      <c r="H260" s="284"/>
      <c r="I260" s="285"/>
      <c r="J260" s="286">
        <v>2.0</v>
      </c>
      <c r="K260" s="287" t="str">
        <f>VLOOKUP($B260,'Mosque Locations'!$A:$E,3,FALSE)
</f>
        <v>https://maps.google.com/maps?q=31.1461296%2C72.6847306&amp;z=17&amp;hl=en</v>
      </c>
      <c r="L260" s="286">
        <f>VLOOKUP($B260,'Mosque Locations'!$A:$E,4,FALSE)
</f>
        <v>31.14613</v>
      </c>
      <c r="M260" s="286">
        <f>VLOOKUP($B260,'Mosque Locations'!$A:$E,5,false)</f>
        <v>72.68473</v>
      </c>
      <c r="N260" s="288"/>
      <c r="O260" s="288"/>
      <c r="P260" s="288"/>
      <c r="Q260" s="294" t="str">
        <f>IFERROR(__xludf.DUMMYFUNCTION("IFERROR(
  INDEX(
    FILTER(
      IMPORTRANGE(""1kOrIKZmJfNUkgOVP3sI9BPjaaPA0_a4636oymQxTXg8"",""Form Responses 1!N:N""),
      TRIM(IMPORTRANGE(""1kOrIKZmJfNUkgOVP3sI9BPjaaPA0_a4636oymQxTXg8"",""Form Responses 1!F:F""))=TRIM($B260)
    ),
    1
  ),
  "&amp;"""Not Found""
)
"),"Not Found")</f>
        <v>Not Found</v>
      </c>
      <c r="R260" s="294" t="str">
        <f>IFERROR(__xludf.DUMMYFUNCTION("IFERROR(
  INDEX(
    FILTER(
      IMPORTRANGE(""1kOrIKZmJfNUkgOVP3sI9BPjaaPA0_a4636oymQxTXg8"",""Form Responses 1!M:M""),
      TRIM(IMPORTRANGE(""1kOrIKZmJfNUkgOVP3sI9BPjaaPA0_a4636oymQxTXg8"",""Form Responses 1!F:F""))=TRIM($B260)
    ),
    1
  ),
  "&amp;"""Not Found""
)
"),"Not Found")</f>
        <v>Not Found</v>
      </c>
      <c r="S260" s="285"/>
      <c r="T260" s="290" t="str">
        <f>VLOOKUP($B260,'Master Tracker'!D:E,2,false)</f>
        <v>https://drive.google.com/open?id=1ccUZoQjNWDvJ110267M1jVmF4Byv-Goq</v>
      </c>
      <c r="U260" s="291" t="str">
        <f>VLOOKUP($B260,'Master Tracker'!$D:$T,4,FALSE)
</f>
        <v>https://drive.google.com/open?id=1aCTly5T9Y29i5d-54Y18Npu_Yxw9buuT</v>
      </c>
      <c r="V260" s="290" t="str">
        <f>VLOOKUP($B260,'Master Tracker'!$D:$T,5,false)</f>
        <v>https://drive.google.com/open?id=13P3mZcXp_bTe35EjJruf0bXSHeZ13nu8</v>
      </c>
      <c r="W260" s="291" t="str">
        <f>VLOOKUP($B260,'Master Tracker'!$D:$T,7,false)</f>
        <v>https://drive.google.com/open?id=1v7DD2zvS2FjZoioqgkqD5KScdgMGsw2Q</v>
      </c>
      <c r="X260" s="290" t="str">
        <f>VLOOKUP($B260,'Master Tracker'!$D:$T,8,false)</f>
        <v>https://drive.google.com/open?id=1-JQCOT7nkg9WjmOzM4x1iO_dvzTc7bB0</v>
      </c>
      <c r="Y260" s="291" t="str">
        <f>VLOOKUP($B260,'Master Tracker'!$D:$T,10,false)</f>
        <v>https://drive.google.com/open?id=14mMZz8L_Pv-m5XZGBNK28JhuYtJtJBfjILJtujXqNhA</v>
      </c>
      <c r="Z260" s="284" t="str">
        <f>VLOOKUP($B260,'Master Tracker'!$D:$T,11,false)</f>
        <v>Not Found</v>
      </c>
      <c r="AA260" s="292" t="str">
        <f>VLOOKUP($B260,'Master Tracker'!$D:$T,13,false)</f>
        <v>Not Found</v>
      </c>
      <c r="AB260" s="284" t="str">
        <f>VLOOKUP($B260,'Master Tracker'!$D:$T,14,false)</f>
        <v>Not Found</v>
      </c>
      <c r="AC260" s="292" t="str">
        <f>VLOOKUP($B260,'Master Tracker'!$D:$T,16,false)</f>
        <v>Not Found</v>
      </c>
      <c r="AD260" s="292" t="str">
        <f>VLOOKUP($B260,'Master Tracker'!$D:$T,17,false)</f>
        <v>Not Found</v>
      </c>
      <c r="AE260" s="292" t="str">
        <f>VLOOKUP($B260,'Master Tracker'!$D:$V,19,false)</f>
        <v>Not Found</v>
      </c>
      <c r="AF260" s="292" t="str">
        <f>IFERROR(__xludf.DUMMYFUNCTION("IFERROR(
  INDEX(
    FILTER(
      'Juma Recording forms'!$G:$G,
      TRIM('Juma Recording forms'!$F:$F) = TRIM($B260),
      'Juma Recording forms'!$AA:$AA = 1
    ),
    1
  ),
  ""Not Found""
)"),"Not Found")</f>
        <v>Not Found</v>
      </c>
      <c r="AG260" s="292" t="str">
        <f>IFERROR(__xludf.DUMMYFUNCTION("IFERROR(
  INDEX(
    FILTER(
      'Juma Recording forms'!$G:$G,
      TRIM('Juma Recording forms'!$F:$F) = TRIM($B260),
      'Juma Recording forms'!$AA:$AA = 2
    ),
    1
  ),
  ""Not Found""
)"),"Not Found")</f>
        <v>Not Found</v>
      </c>
      <c r="AH260" s="292" t="str">
        <f>IFERROR(__xludf.DUMMYFUNCTION("IFERROR(
  INDEX(
    FILTER(
      'Juma Recording forms'!$G:$G,
      TRIM('Juma Recording forms'!$F:$F) = TRIM($B260),
      'Juma Recording forms'!$AA:$AA = 3
    ),
    1
  ),
  ""Not Found""
)"),"Not Found")</f>
        <v>Not Found</v>
      </c>
      <c r="AI260" s="292" t="str">
        <f>IFERROR(__xludf.DUMMYFUNCTION("IFERROR(
  INDEX(
    FILTER(
      'Juma Recording forms'!$G:$G,
      TRIM('Juma Recording forms'!$F:$F) = TRIM($B260),
      'Juma Recording forms'!$AA:$AA = 4
    ),
    1
  ),
  ""Not Found""
)"),"Not Found")</f>
        <v>Not Found</v>
      </c>
      <c r="AJ260" s="292" t="str">
        <f>IFERROR(__xludf.DUMMYFUNCTION("IFERROR(
  INDEX(
    FILTER(
      'Juma Recording forms'!$G:$G,
      TRIM('Juma Recording forms'!$F:$F) = TRIM($B260),
      'Juma Recording forms'!$AA:$AA = 5
    ),
    1
  ),
  ""Not Found""
)"),"Not Found")</f>
        <v>Not Found</v>
      </c>
      <c r="AK260" s="292" t="str">
        <f>IFERROR(__xludf.DUMMYFUNCTION("IFERROR(
  INDEX(
    FILTER(
      'Juma Recording forms'!$G:$G,
      TRIM('Juma Recording forms'!$F:$F) = TRIM($B260),
      'Juma Recording forms'!$AA:$AA = 6
    ),
    1
  ),
  ""Not Found""
)"),"Not Found")</f>
        <v>Not Found</v>
      </c>
      <c r="AL2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1!$E:$E"")=$B260) *
        (IMPORTRANGE(""https://docs.google.com/spreadsheets/d/161aHT6vVT3SLneTKD19N5qVWtnj_jIT8CSsOmUVKmaA/e"&amp;"dit?gid=1761053510"",
          ""Haris_Form responses 1!$AQ:$AQ"")=1)
      ),
      1
    ),
    ""0""
  ),
  ""Form not found""
)
"),"10")</f>
        <v>10</v>
      </c>
      <c r="AM2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1!$E:$E"")=$B260) *
        (IMPORTRANGE(""https://docs.google.com/spreadsheets/d/161aHT6vVT3SLneTKD19N5qVWtnj_jIT8CSsOmUVKmaA/e"&amp;"dit?gid=1761053510"",
          ""Haris_Form responses 1!$AQ:$AQ"")=2)
      ),
      1
    ),
    ""0""
  ),
  ""Form not found""
)
"),"10")</f>
        <v>10</v>
      </c>
      <c r="AN2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1!$E:$E"")=$B260) *
        (IMPORTRANGE(""https://docs.google.com/spreadsheets/d/161aHT6vVT3SLneTKD19N5qVWtnj_jIT8CSsOmUVKmaA/e"&amp;"dit?gid=1761053510"",
          ""Haris_Form responses 1!$AQ:$AQ"")=3)
      ),
      1
    ),
    ""0""
  ),
  ""Form not found""
)
"),"0")</f>
        <v>0</v>
      </c>
      <c r="AO2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1!$E:$E"")=$B260) *
        (IMPORTRANGE(""https://docs.google.com/spreadsheets/d/161aHT6vVT3SLneTKD19N5qVWtnj_jIT8CSsOmUVKmaA/e"&amp;"dit?gid=1761053510"",
          ""Haris_Form responses 1!$AQ:$AQ"")=4)
      ),
      1
    ),
    ""0""
  ),
  ""Form not found""
)
"),"Form not found")</f>
        <v>Form not found</v>
      </c>
      <c r="AP2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1!$E:$E"")=$B260) *
        (IMPORTRANGE(""https://docs.google.com/spreadsheets/d/161aHT6vVT3SLneTKD19N5qVWtnj_jIT8CSsOmUVKmaA/e"&amp;"dit?gid=1761053510"",
          ""Haris_Form responses 1!$AQ:$AQ"")=5)
      ),
      1
    ),
    ""0""
  ),
  ""Form not found""
)
"),"Form not found")</f>
        <v>Form not found</v>
      </c>
      <c r="AQ26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1!$E:$E"")=$B260) *
        (IMPORTRANGE(""https://docs.google.com/spreadsheets/d/161aHT6vVT3SLneTKD19N5qVWtnj_jIT8CSsOmUVKmaA/e"&amp;"dit?gid=1761053510"",
          ""Haris_Form responses 1!$AQ:$AQ"")=6)
      ),
      1
    ),
    ""0""
  ),
  ""Form not found""
)
"),"Form not found")</f>
        <v>Form not found</v>
      </c>
      <c r="AR2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1!$E:$E"")=$B260) *
        (IMPORTRANGE(""https://docs.google.com/spreadsheets/d/161aHT6vVT3SLneTKD19N5qVWtnj_jIT8CSsOmUVKmaA/e"&amp;"dit?gid=1761053510"",
          ""Haris_Form responses 1!$AQ:$AQ"")=1)
      ),
      1
    ),
    ""0""
  ),
  ""Form not found""
)
"),"9")</f>
        <v>9</v>
      </c>
      <c r="AS2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1!$E:$E"")=$B260) *
        (IMPORTRANGE(""https://docs.google.com/spreadsheets/d/161aHT6vVT3SLneTKD19N5qVWtnj_jIT8CSsOmUVKmaA/e"&amp;"dit?gid=1761053510"",
          ""Haris_Form responses 1!$AQ:$AQ"")=2)
      ),
      1
    ),
    ""0""
  ),
  ""Form not found""
)
"),"10")</f>
        <v>10</v>
      </c>
      <c r="AT2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1!$E:$E"")=$B260) *
        (IMPORTRANGE(""https://docs.google.com/spreadsheets/d/161aHT6vVT3SLneTKD19N5qVWtnj_jIT8CSsOmUVKmaA/e"&amp;"dit?gid=1761053510"",
          ""Haris_Form responses 1!$AQ:$AQ"")=3)
      ),
      1
    ),
    ""0""
  ),
  ""Form not found""
)
"),"0")</f>
        <v>0</v>
      </c>
      <c r="AU2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1!$E:$E"")=$B260) *
        (IMPORTRANGE(""https://docs.google.com/spreadsheets/d/161aHT6vVT3SLneTKD19N5qVWtnj_jIT8CSsOmUVKmaA/e"&amp;"dit?gid=1761053510"",
          ""Haris_Form responses 1!$AQ:$AQ"")=4)
      ),
      1
    ),
    ""0""
  ),
  ""Form not found""
)
"),"Form not found")</f>
        <v>Form not found</v>
      </c>
      <c r="AV2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1!$E:$E"")=$B260) *
        (IMPORTRANGE(""https://docs.google.com/spreadsheets/d/161aHT6vVT3SLneTKD19N5qVWtnj_jIT8CSsOmUVKmaA/e"&amp;"dit?gid=1761053510"",
          ""Haris_Form responses 1!$AQ:$AQ"")=5)
      ),
      1
    ),
    ""0""
  ),
  ""Form not found""
)
"),"Form not found")</f>
        <v>Form not found</v>
      </c>
      <c r="AW26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1!$E:$E"")=$B260) *
        (IMPORTRANGE(""https://docs.google.com/spreadsheets/d/161aHT6vVT3SLneTKD19N5qVWtnj_jIT8CSsOmUVKmaA/e"&amp;"dit?gid=1761053510"",
          ""Haris_Form responses 1!$AQ:$AQ"")=6)
      ),
      1
    ),
    ""0""
  ),
  ""Form not found""
)
"),"Form not found")</f>
        <v>Form not found</v>
      </c>
      <c r="AX2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1!$E:$E"")=$B260) *
        (IMPORTRANGE(""https://docs.google.com/spreadsheets/d/161aHT6vVT3SLneTKD19N5qVWtnj_jIT8CSsOmUVKmaA/e"&amp;"dit?gid=1761053510"",
          ""Haris_Form responses 1!$AQ:$AQ"")=1)
      ),
      1
    ),
    ""0""
  ),
  ""Form not found""
)
"),"0")</f>
        <v>0</v>
      </c>
      <c r="AY2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1!$E:$E"")=$B260) *
        (IMPORTRANGE(""https://docs.google.com/spreadsheets/d/161aHT6vVT3SLneTKD19N5qVWtnj_jIT8CSsOmUVKmaA/e"&amp;"dit?gid=1761053510"",
          ""Haris_Form responses 1!$AQ:$AQ"")=2)
      ),
      1
    ),
    ""0""
  ),
  ""Form not found""
)
"),"0")</f>
        <v>0</v>
      </c>
      <c r="AZ2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1!$E:$E"")=$B260) *
        (IMPORTRANGE(""https://docs.google.com/spreadsheets/d/161aHT6vVT3SLneTKD19N5qVWtnj_jIT8CSsOmUVKmaA/e"&amp;"dit?gid=1761053510"",
          ""Haris_Form responses 1!$AQ:$AQ"")=3)
      ),
      1
    ),
    ""0""
  ),
  ""Form not found""
)
"),"0")</f>
        <v>0</v>
      </c>
      <c r="BA2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1!$E:$E"")=$B260) *
        (IMPORTRANGE(""https://docs.google.com/spreadsheets/d/161aHT6vVT3SLneTKD19N5qVWtnj_jIT8CSsOmUVKmaA/e"&amp;"dit?gid=1761053510"",
          ""Haris_Form responses 1!$AQ:$AQ"")=4)
      ),
      1
    ),
    ""0""
  ),
  ""Form not found""
)
"),"Form not found")</f>
        <v>Form not found</v>
      </c>
      <c r="BB2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1!$E:$E"")=$B260) *
        (IMPORTRANGE(""https://docs.google.com/spreadsheets/d/161aHT6vVT3SLneTKD19N5qVWtnj_jIT8CSsOmUVKmaA/e"&amp;"dit?gid=1761053510"",
          ""Haris_Form responses 1!$AQ:$AQ"")=5)
      ),
      1
    ),
    ""0""
  ),
  ""Form not found""
)
"),"Form not found")</f>
        <v>Form not found</v>
      </c>
      <c r="BC26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1!$E:$E"")=$B260) *
        (IMPORTRANGE(""https://docs.google.com/spreadsheets/d/161aHT6vVT3SLneTKD19N5qVWtnj_jIT8CSsOmUVKmaA/e"&amp;"dit?gid=1761053510"",
          ""Haris_Form responses 1!$AQ:$AQ"")=6)
      ),
      1
    ),
    ""0""
  ),
  ""Form not found""
)
"),"Form not found")</f>
        <v>Form not found</v>
      </c>
      <c r="BD260" s="293"/>
    </row>
    <row r="261">
      <c r="A261" s="283" t="str">
        <f>IFERROR(__xludf.DUMMYFUNCTION("VLOOKUP($B261,IMPORTRANGE(""https://docs.google.com/spreadsheets/d/1VNXDITjs75AcgdBSW27oL1VZH31udDprJSsBcE5xlp4/edit?gid=1551188038#gid=1551188038"", ""Sheet9!$B:$E""),2,false)"),"Jhang")</f>
        <v>Jhang</v>
      </c>
      <c r="B261" s="283" t="s">
        <v>4700</v>
      </c>
      <c r="C261" s="284" t="str">
        <f>IFERROR(__xludf.DUMMYFUNCTION("VLOOKUP(TRIM($B261), IMPORTRANGE(""https://docs.google.com/spreadsheets/d/1aSOrU4PTpuBZqfitKaH1Rfww6-YOiNCKoBpPl8XBHaw/edit?gid=0#gid=0"", ""sheet3!$B:$C""), 2, FALSE)
"),"Jamia Masjid Qaziya Nawali Jhang")</f>
        <v>Jamia Masjid Qaziya Nawali Jhang</v>
      </c>
      <c r="D261" s="284" t="str">
        <f>IFERROR(__xludf.DUMMYFUNCTION("IFERROR(
  INDEX(
    FILTER(
      IMPORTRANGE(""1aSOrU4PTpuBZqfitKaH1Rfww6-YOiNCKoBpPl8XBHaw/edit?gid=0#gid=0"",""Sheet1!G:G""),
      IMPORTRANGE(""1aSOrU4PTpuBZqfitKaH1Rfww6-YOiNCKoBpPl8XBHaw/edit?gid=0#gid=0"",""Sheet1!C:C"")=$B261
    ),
    1
  ),
"&amp;"  ""Not Found""
)"),"Control")</f>
        <v>Control</v>
      </c>
      <c r="E261" s="284" t="str">
        <f>VLOOKUP(B261,'Juma Recording forms'!A:E,5,false)</f>
        <v>Jamia Masjid Qazyian Wali Jhang</v>
      </c>
      <c r="F261" s="284" t="str">
        <f>IFERROR(__xludf.DUMMYFUNCTION("IFERROR(
  INDEX(
    FILTER(
      IMPORTRANGE(""1Cxrhp3-_-HS7v9uuqQliiIfrmMP4VaFoDNDWyUFy2J8/edit?gid=0#gid=0"",""Sheet1!Q:Q""),
      IMPORTRANGE(""1Cxrhp3-_-HS7v9uuqQliiIfrmMP4VaFoDNDWyUFy2J8/edit?gid=0#gid=0"",""Sheet1!K:K"")=$B261
    ),
    1
  ),
"&amp;"  ""Not Found""
)"),"Not Found")</f>
        <v>Not Found</v>
      </c>
      <c r="G261" s="292">
        <v>1918.0</v>
      </c>
      <c r="H261" s="284"/>
      <c r="I261" s="285" t="s">
        <v>197</v>
      </c>
      <c r="J261" s="286">
        <v>2.0</v>
      </c>
      <c r="K261" s="287" t="str">
        <f>VLOOKUP($B261,'Mosque Locations'!$A:$E,3,FALSE)
</f>
        <v>https://maps.google.com/maps?q=31.274439%2C72.3097682&amp;z=17&amp;hl=en</v>
      </c>
      <c r="L261" s="286">
        <f>VLOOKUP($B261,'Mosque Locations'!$A:$E,4,FALSE)
</f>
        <v>31.27444</v>
      </c>
      <c r="M261" s="286">
        <f>VLOOKUP($B261,'Mosque Locations'!$A:$E,5,false)</f>
        <v>72.30977</v>
      </c>
      <c r="N261" s="288"/>
      <c r="O261" s="288"/>
      <c r="P261" s="288"/>
      <c r="Q261" s="295" t="str">
        <f>IFERROR(__xludf.DUMMYFUNCTION("IFERROR(
  INDEX(
    FILTER(
      IMPORTRANGE(""1kOrIKZmJfNUkgOVP3sI9BPjaaPA0_a4636oymQxTXg8"",""Form Responses 1!N:N""),
      TRIM(IMPORTRANGE(""1kOrIKZmJfNUkgOVP3sI9BPjaaPA0_a4636oymQxTXg8"",""Form Responses 1!F:F""))=TRIM($B261)
    ),
    1
  ),
  "&amp;"""Not Found""
)
"),"https://drive.google.com/file/d/1DzWt8GhOQ8nmXB71ztksxi6lfLZZhQu9/view?usp=drive_link")</f>
        <v>https://drive.google.com/file/d/1DzWt8GhOQ8nmXB71ztksxi6lfLZZhQu9/view?usp=drive_link</v>
      </c>
      <c r="R261" s="295" t="str">
        <f>IFERROR(__xludf.DUMMYFUNCTION("IFERROR(
  INDEX(
    FILTER(
      IMPORTRANGE(""1kOrIKZmJfNUkgOVP3sI9BPjaaPA0_a4636oymQxTXg8"",""Form Responses 1!M:M""),
      TRIM(IMPORTRANGE(""1kOrIKZmJfNUkgOVP3sI9BPjaaPA0_a4636oymQxTXg8"",""Form Responses 1!F:F""))=TRIM($B261)
    ),
    1
  ),
  "&amp;"""Not Found""
)
"),"https://drive.google.com/open?id=1i0K6D8YX6sOqi8IdLlt8Gv3yy5PWIQhl")</f>
        <v>https://drive.google.com/open?id=1i0K6D8YX6sOqi8IdLlt8Gv3yy5PWIQhl</v>
      </c>
      <c r="S261" s="285"/>
      <c r="T261" s="290" t="str">
        <f>VLOOKUP($B261,'Master Tracker'!D:E,2,false)</f>
        <v>https://drive.google.com/open?id=1bcaAlTHfp-H5uo5Yo_SDrHoBDtN9o6oA</v>
      </c>
      <c r="U261" s="291" t="str">
        <f>VLOOKUP($B261,'Master Tracker'!$D:$T,4,FALSE)
</f>
        <v>https://drive.google.com/open?id=1CSH9uNSq2T9A7cAU6XeUu342WZwRTmk-</v>
      </c>
      <c r="V261" s="284" t="str">
        <f>VLOOKUP($B261,'Master Tracker'!$D:$T,5,false)</f>
        <v>Not Found</v>
      </c>
      <c r="W261" s="292" t="str">
        <f>VLOOKUP($B261,'Master Tracker'!$D:$T,7,false)</f>
        <v/>
      </c>
      <c r="X261" s="290" t="str">
        <f>VLOOKUP($B261,'Master Tracker'!$D:$T,8,false)</f>
        <v>https://drive.google.com/open?id=16NOAjjnIhEepRKdVPYyV0xNLJq_ryRsu</v>
      </c>
      <c r="Y261" s="291" t="str">
        <f>VLOOKUP($B261,'Master Tracker'!$D:$T,10,false)</f>
        <v>https://drive.google.com/open?id=1PX5oWRSvv-mKJcrfQiKBhoENez3sCj9V</v>
      </c>
      <c r="Z261" s="284" t="str">
        <f>VLOOKUP($B261,'Master Tracker'!$D:$T,11,false)</f>
        <v>Not Found</v>
      </c>
      <c r="AA261" s="292" t="str">
        <f>VLOOKUP($B261,'Master Tracker'!$D:$T,13,false)</f>
        <v>Not Found</v>
      </c>
      <c r="AB261" s="284" t="str">
        <f>VLOOKUP($B261,'Master Tracker'!$D:$T,14,false)</f>
        <v>Not Found</v>
      </c>
      <c r="AC261" s="292" t="str">
        <f>VLOOKUP($B261,'Master Tracker'!$D:$T,16,false)</f>
        <v>Not Found</v>
      </c>
      <c r="AD261" s="292" t="str">
        <f>VLOOKUP($B261,'Master Tracker'!$D:$T,17,false)</f>
        <v>Not Found</v>
      </c>
      <c r="AE261" s="292" t="str">
        <f>VLOOKUP($B261,'Master Tracker'!$D:$V,19,false)</f>
        <v>Not Found</v>
      </c>
      <c r="AF261" s="292">
        <f>IFERROR(__xludf.DUMMYFUNCTION("IFERROR(
  INDEX(
    FILTER(
      'Juma Recording forms'!$G:$G,
      TRIM('Juma Recording forms'!$F:$F) = TRIM($B261),
      'Juma Recording forms'!$AA:$AA = 1
    ),
    1
  ),
  ""Not Found""
)"),188.0)</f>
        <v>188</v>
      </c>
      <c r="AG261" s="292" t="str">
        <f>IFERROR(__xludf.DUMMYFUNCTION("IFERROR(
  INDEX(
    FILTER(
      'Juma Recording forms'!$G:$G,
      TRIM('Juma Recording forms'!$F:$F) = TRIM($B261),
      'Juma Recording forms'!$AA:$AA = 2
    ),
    1
  ),
  ""Not Found""
)"),"Not Found")</f>
        <v>Not Found</v>
      </c>
      <c r="AH261" s="292">
        <f>IFERROR(__xludf.DUMMYFUNCTION("IFERROR(
  INDEX(
    FILTER(
      'Juma Recording forms'!$G:$G,
      TRIM('Juma Recording forms'!$F:$F) = TRIM($B261),
      'Juma Recording forms'!$AA:$AA = 3
    ),
    1
  ),
  ""Not Found""
)"),207.0)</f>
        <v>207</v>
      </c>
      <c r="AI261" s="292" t="str">
        <f>IFERROR(__xludf.DUMMYFUNCTION("IFERROR(
  INDEX(
    FILTER(
      'Juma Recording forms'!$G:$G,
      TRIM('Juma Recording forms'!$F:$F) = TRIM($B261),
      'Juma Recording forms'!$AA:$AA = 4
    ),
    1
  ),
  ""Not Found""
)"),"Not Found")</f>
        <v>Not Found</v>
      </c>
      <c r="AJ261" s="292" t="str">
        <f>IFERROR(__xludf.DUMMYFUNCTION("IFERROR(
  INDEX(
    FILTER(
      'Juma Recording forms'!$G:$G,
      TRIM('Juma Recording forms'!$F:$F) = TRIM($B261),
      'Juma Recording forms'!$AA:$AA = 5
    ),
    1
  ),
  ""Not Found""
)"),"Not Found")</f>
        <v>Not Found</v>
      </c>
      <c r="AK261" s="292" t="str">
        <f>IFERROR(__xludf.DUMMYFUNCTION("IFERROR(
  INDEX(
    FILTER(
      'Juma Recording forms'!$G:$G,
      TRIM('Juma Recording forms'!$F:$F) = TRIM($B261),
      'Juma Recording forms'!$AA:$AA = 6
    ),
    1
  ),
  ""Not Found""
)"),"Not Found")</f>
        <v>Not Found</v>
      </c>
      <c r="AL2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1!$E:$E"")=$B261) *
        (IMPORTRANGE(""https://docs.google.com/spreadsheets/d/161aHT6vVT3SLneTKD19N5qVWtnj_jIT8CSsOmUVKmaA/e"&amp;"dit?gid=1761053510"",
          ""Haris_Form responses 1!$AQ:$AQ"")=1)
      ),
      1
    ),
    ""0""
  ),
  ""Form not found""
)
"),"0")</f>
        <v>0</v>
      </c>
      <c r="AM2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1!$E:$E"")=$B261) *
        (IMPORTRANGE(""https://docs.google.com/spreadsheets/d/161aHT6vVT3SLneTKD19N5qVWtnj_jIT8CSsOmUVKmaA/e"&amp;"dit?gid=1761053510"",
          ""Haris_Form responses 1!$AQ:$AQ"")=2)
      ),
      1
    ),
    ""0""
  ),
  ""Form not found""
)
"),"Form not found")</f>
        <v>Form not found</v>
      </c>
      <c r="AN2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1!$E:$E"")=$B261) *
        (IMPORTRANGE(""https://docs.google.com/spreadsheets/d/161aHT6vVT3SLneTKD19N5qVWtnj_jIT8CSsOmUVKmaA/e"&amp;"dit?gid=1761053510"",
          ""Haris_Form responses 1!$AQ:$AQ"")=3)
      ),
      1
    ),
    ""0""
  ),
  ""Form not found""
)
"),"0")</f>
        <v>0</v>
      </c>
      <c r="AO2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1!$E:$E"")=$B261) *
        (IMPORTRANGE(""https://docs.google.com/spreadsheets/d/161aHT6vVT3SLneTKD19N5qVWtnj_jIT8CSsOmUVKmaA/e"&amp;"dit?gid=1761053510"",
          ""Haris_Form responses 1!$AQ:$AQ"")=4)
      ),
      1
    ),
    ""0""
  ),
  ""Form not found""
)
"),"Form not found")</f>
        <v>Form not found</v>
      </c>
      <c r="AP2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1!$E:$E"")=$B261) *
        (IMPORTRANGE(""https://docs.google.com/spreadsheets/d/161aHT6vVT3SLneTKD19N5qVWtnj_jIT8CSsOmUVKmaA/e"&amp;"dit?gid=1761053510"",
          ""Haris_Form responses 1!$AQ:$AQ"")=5)
      ),
      1
    ),
    ""0""
  ),
  ""Form not found""
)
"),"Form not found")</f>
        <v>Form not found</v>
      </c>
      <c r="AQ26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1!$E:$E"")=$B261) *
        (IMPORTRANGE(""https://docs.google.com/spreadsheets/d/161aHT6vVT3SLneTKD19N5qVWtnj_jIT8CSsOmUVKmaA/e"&amp;"dit?gid=1761053510"",
          ""Haris_Form responses 1!$AQ:$AQ"")=6)
      ),
      1
    ),
    ""0""
  ),
  ""Form not found""
)
"),"Form not found")</f>
        <v>Form not found</v>
      </c>
      <c r="AR2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1!$E:$E"")=$B261) *
        (IMPORTRANGE(""https://docs.google.com/spreadsheets/d/161aHT6vVT3SLneTKD19N5qVWtnj_jIT8CSsOmUVKmaA/e"&amp;"dit?gid=1761053510"",
          ""Haris_Form responses 1!$AQ:$AQ"")=1)
      ),
      1
    ),
    ""0""
  ),
  ""Form not found""
)
"),"0")</f>
        <v>0</v>
      </c>
      <c r="AS2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1!$E:$E"")=$B261) *
        (IMPORTRANGE(""https://docs.google.com/spreadsheets/d/161aHT6vVT3SLneTKD19N5qVWtnj_jIT8CSsOmUVKmaA/e"&amp;"dit?gid=1761053510"",
          ""Haris_Form responses 1!$AQ:$AQ"")=2)
      ),
      1
    ),
    ""0""
  ),
  ""Form not found""
)
"),"Form not found")</f>
        <v>Form not found</v>
      </c>
      <c r="AT2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1!$E:$E"")=$B261) *
        (IMPORTRANGE(""https://docs.google.com/spreadsheets/d/161aHT6vVT3SLneTKD19N5qVWtnj_jIT8CSsOmUVKmaA/e"&amp;"dit?gid=1761053510"",
          ""Haris_Form responses 1!$AQ:$AQ"")=3)
      ),
      1
    ),
    ""0""
  ),
  ""Form not found""
)
"),"0")</f>
        <v>0</v>
      </c>
      <c r="AU2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1!$E:$E"")=$B261) *
        (IMPORTRANGE(""https://docs.google.com/spreadsheets/d/161aHT6vVT3SLneTKD19N5qVWtnj_jIT8CSsOmUVKmaA/e"&amp;"dit?gid=1761053510"",
          ""Haris_Form responses 1!$AQ:$AQ"")=4)
      ),
      1
    ),
    ""0""
  ),
  ""Form not found""
)
"),"Form not found")</f>
        <v>Form not found</v>
      </c>
      <c r="AV2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1!$E:$E"")=$B261) *
        (IMPORTRANGE(""https://docs.google.com/spreadsheets/d/161aHT6vVT3SLneTKD19N5qVWtnj_jIT8CSsOmUVKmaA/e"&amp;"dit?gid=1761053510"",
          ""Haris_Form responses 1!$AQ:$AQ"")=5)
      ),
      1
    ),
    ""0""
  ),
  ""Form not found""
)
"),"Form not found")</f>
        <v>Form not found</v>
      </c>
      <c r="AW26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1!$E:$E"")=$B261) *
        (IMPORTRANGE(""https://docs.google.com/spreadsheets/d/161aHT6vVT3SLneTKD19N5qVWtnj_jIT8CSsOmUVKmaA/e"&amp;"dit?gid=1761053510"",
          ""Haris_Form responses 1!$AQ:$AQ"")=6)
      ),
      1
    ),
    ""0""
  ),
  ""Form not found""
)
"),"Form not found")</f>
        <v>Form not found</v>
      </c>
      <c r="AX2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1!$E:$E"")=$B261) *
        (IMPORTRANGE(""https://docs.google.com/spreadsheets/d/161aHT6vVT3SLneTKD19N5qVWtnj_jIT8CSsOmUVKmaA/e"&amp;"dit?gid=1761053510"",
          ""Haris_Form responses 1!$AQ:$AQ"")=1)
      ),
      1
    ),
    ""0""
  ),
  ""Form not found""
)
"),"0")</f>
        <v>0</v>
      </c>
      <c r="AY2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1!$E:$E"")=$B261) *
        (IMPORTRANGE(""https://docs.google.com/spreadsheets/d/161aHT6vVT3SLneTKD19N5qVWtnj_jIT8CSsOmUVKmaA/e"&amp;"dit?gid=1761053510"",
          ""Haris_Form responses 1!$AQ:$AQ"")=2)
      ),
      1
    ),
    ""0""
  ),
  ""Form not found""
)
"),"Form not found")</f>
        <v>Form not found</v>
      </c>
      <c r="AZ2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1!$E:$E"")=$B261) *
        (IMPORTRANGE(""https://docs.google.com/spreadsheets/d/161aHT6vVT3SLneTKD19N5qVWtnj_jIT8CSsOmUVKmaA/e"&amp;"dit?gid=1761053510"",
          ""Haris_Form responses 1!$AQ:$AQ"")=3)
      ),
      1
    ),
    ""0""
  ),
  ""Form not found""
)
"),"0")</f>
        <v>0</v>
      </c>
      <c r="BA2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1!$E:$E"")=$B261) *
        (IMPORTRANGE(""https://docs.google.com/spreadsheets/d/161aHT6vVT3SLneTKD19N5qVWtnj_jIT8CSsOmUVKmaA/e"&amp;"dit?gid=1761053510"",
          ""Haris_Form responses 1!$AQ:$AQ"")=4)
      ),
      1
    ),
    ""0""
  ),
  ""Form not found""
)
"),"Form not found")</f>
        <v>Form not found</v>
      </c>
      <c r="BB2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1!$E:$E"")=$B261) *
        (IMPORTRANGE(""https://docs.google.com/spreadsheets/d/161aHT6vVT3SLneTKD19N5qVWtnj_jIT8CSsOmUVKmaA/e"&amp;"dit?gid=1761053510"",
          ""Haris_Form responses 1!$AQ:$AQ"")=5)
      ),
      1
    ),
    ""0""
  ),
  ""Form not found""
)
"),"Form not found")</f>
        <v>Form not found</v>
      </c>
      <c r="BC26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1!$E:$E"")=$B261) *
        (IMPORTRANGE(""https://docs.google.com/spreadsheets/d/161aHT6vVT3SLneTKD19N5qVWtnj_jIT8CSsOmUVKmaA/e"&amp;"dit?gid=1761053510"",
          ""Haris_Form responses 1!$AQ:$AQ"")=6)
      ),
      1
    ),
    ""0""
  ),
  ""Form not found""
)
"),"Form not found")</f>
        <v>Form not found</v>
      </c>
      <c r="BD261" s="293"/>
    </row>
    <row r="262">
      <c r="A262" s="283" t="str">
        <f>IFERROR(__xludf.DUMMYFUNCTION("VLOOKUP($B262,IMPORTRANGE(""https://docs.google.com/spreadsheets/d/1VNXDITjs75AcgdBSW27oL1VZH31udDprJSsBcE5xlp4/edit?gid=1551188038#gid=1551188038"", ""Sheet9!$B:$E""),2,false)"),"Jhang")</f>
        <v>Jhang</v>
      </c>
      <c r="B262" s="283" t="s">
        <v>3857</v>
      </c>
      <c r="C262" s="284" t="str">
        <f>IFERROR(__xludf.DUMMYFUNCTION("VLOOKUP(TRIM($B262), IMPORTRANGE(""https://docs.google.com/spreadsheets/d/1aSOrU4PTpuBZqfitKaH1Rfww6-YOiNCKoBpPl8XBHaw/edit?gid=0#gid=0"", ""sheet3!$B:$C""), 2, FALSE)
"),"Jamia Masjid Noor Shaheed Road Jhang")</f>
        <v>Jamia Masjid Noor Shaheed Road Jhang</v>
      </c>
      <c r="D262" s="284" t="str">
        <f>IFERROR(__xludf.DUMMYFUNCTION("IFERROR(
  INDEX(
    FILTER(
      IMPORTRANGE(""1aSOrU4PTpuBZqfitKaH1Rfww6-YOiNCKoBpPl8XBHaw/edit?gid=0#gid=0"",""Sheet1!G:G""),
      IMPORTRANGE(""1aSOrU4PTpuBZqfitKaH1Rfww6-YOiNCKoBpPl8XBHaw/edit?gid=0#gid=0"",""Sheet1!C:C"")=$B262
    ),
    1
  ),
"&amp;"  ""Not Found""
)"),"Community Religious No Info Share")</f>
        <v>Community Religious No Info Share</v>
      </c>
      <c r="E262" s="284" t="str">
        <f>VLOOKUP(B262,'Juma Recording forms'!A:E,5,false)</f>
        <v>جامعہ مسجد نور شہید روڈ جھنگ صدر</v>
      </c>
      <c r="F262" s="284" t="str">
        <f>IFERROR(__xludf.DUMMYFUNCTION("IFERROR(
  INDEX(
    FILTER(
      IMPORTRANGE(""1Cxrhp3-_-HS7v9uuqQliiIfrmMP4VaFoDNDWyUFy2J8/edit?gid=0#gid=0"",""Sheet1!Q:Q""),
      IMPORTRANGE(""1Cxrhp3-_-HS7v9uuqQliiIfrmMP4VaFoDNDWyUFy2J8/edit?gid=0#gid=0"",""Sheet1!K:K"")=$B262
    ),
    1
  ),
"&amp;"  ""Not Found""
)"),"Moulana abdul rehamn")</f>
        <v>Moulana abdul rehamn</v>
      </c>
      <c r="G262" s="292">
        <v>1950.0</v>
      </c>
      <c r="H262" s="284"/>
      <c r="I262" s="285" t="s">
        <v>197</v>
      </c>
      <c r="J262" s="286">
        <v>1.0</v>
      </c>
      <c r="K262" s="287" t="str">
        <f>VLOOKUP($B262,'Mosque Locations'!$A:$E,3,FALSE)
</f>
        <v>https://maps.google.com/maps?q=31.275045%2C72.3155117&amp;z=17&amp;hl=en</v>
      </c>
      <c r="L262" s="286">
        <f>VLOOKUP($B262,'Mosque Locations'!$A:$E,4,FALSE)
</f>
        <v>31.27505</v>
      </c>
      <c r="M262" s="286">
        <f>VLOOKUP($B262,'Mosque Locations'!$A:$E,5,false)</f>
        <v>72.31551</v>
      </c>
      <c r="N262" s="288"/>
      <c r="O262" s="288"/>
      <c r="P262" s="288"/>
      <c r="Q262" s="295" t="str">
        <f>IFERROR(__xludf.DUMMYFUNCTION("IFERROR(
  INDEX(
    FILTER(
      IMPORTRANGE(""1kOrIKZmJfNUkgOVP3sI9BPjaaPA0_a4636oymQxTXg8"",""Form Responses 1!N:N""),
      TRIM(IMPORTRANGE(""1kOrIKZmJfNUkgOVP3sI9BPjaaPA0_a4636oymQxTXg8"",""Form Responses 1!F:F""))=TRIM($B262)
    ),
    1
  ),
  "&amp;"""Not Found""
)
"),"https://drive.google.com/open?id=1Rmfk6cqApkXo3TsuS-9VmJqd2DKoDimn")</f>
        <v>https://drive.google.com/open?id=1Rmfk6cqApkXo3TsuS-9VmJqd2DKoDimn</v>
      </c>
      <c r="R262" s="290" t="str">
        <f>IFERROR(__xludf.DUMMYFUNCTION("IFERROR(
  INDEX(
    FILTER(
      IMPORTRANGE(""1kOrIKZmJfNUkgOVP3sI9BPjaaPA0_a4636oymQxTXg8"",""Form Responses 1!M:M""),
      TRIM(IMPORTRANGE(""1kOrIKZmJfNUkgOVP3sI9BPjaaPA0_a4636oymQxTXg8"",""Form Responses 1!F:F""))=TRIM($B262)
    ),
    1
  ),
  "&amp;"""Not Found""
)
"),"https://drive.google.com/open?id=1LI4KUx6O_MkqrwS0yxnpGfG7E17WNt5F")</f>
        <v>https://drive.google.com/open?id=1LI4KUx6O_MkqrwS0yxnpGfG7E17WNt5F</v>
      </c>
      <c r="S262" s="285"/>
      <c r="T262" s="290" t="str">
        <f>VLOOKUP($B262,'Master Tracker'!D:E,2,false)</f>
        <v>https://drive.google.com/open?id=1iUK_r7VprmT2Nsw35dZahVMwkb4aWzc-</v>
      </c>
      <c r="U262" s="291" t="str">
        <f>VLOOKUP($B262,'Master Tracker'!$D:$T,4,FALSE)
</f>
        <v>https://drive.google.com/open?id=1h3ZsO1BggTmgR6oA_W5ymbOJZsQJmnauCsgy0itXkGA</v>
      </c>
      <c r="V262" s="290" t="str">
        <f>VLOOKUP($B262,'Master Tracker'!$D:$T,5,false)</f>
        <v>https://drive.google.com/open?id=10DCuhKOlX8lMFzs401ZClowoV2e_z1ZY</v>
      </c>
      <c r="W262" s="291" t="str">
        <f>VLOOKUP($B262,'Master Tracker'!$D:$T,7,false)</f>
        <v>https://drive.google.com/open?id=1EBKl-91rNDXDDgnuyJcFyKPK_X1Z6F4M</v>
      </c>
      <c r="X262" s="290" t="str">
        <f>VLOOKUP($B262,'Master Tracker'!$D:$T,8,false)</f>
        <v>https://drive.google.com/open?id=19fc1xVtceCCBDylW7Rv3-UmiGsX9T_kH</v>
      </c>
      <c r="Y262" s="291" t="str">
        <f>VLOOKUP($B262,'Master Tracker'!$D:$T,10,false)</f>
        <v>https://drive.google.com/open?id=19a_MtHm6zDVGIG-Q6ff4bPtEf0aTBNxy</v>
      </c>
      <c r="Z262" s="284" t="str">
        <f>VLOOKUP($B262,'Master Tracker'!$D:$T,11,false)</f>
        <v>Not Found</v>
      </c>
      <c r="AA262" s="292" t="str">
        <f>VLOOKUP($B262,'Master Tracker'!$D:$T,13,false)</f>
        <v>Not Found</v>
      </c>
      <c r="AB262" s="284" t="str">
        <f>VLOOKUP($B262,'Master Tracker'!$D:$T,14,false)</f>
        <v>Not Found</v>
      </c>
      <c r="AC262" s="292" t="str">
        <f>VLOOKUP($B262,'Master Tracker'!$D:$T,16,false)</f>
        <v>Not Found</v>
      </c>
      <c r="AD262" s="292" t="str">
        <f>VLOOKUP($B262,'Master Tracker'!$D:$T,17,false)</f>
        <v>Not Found</v>
      </c>
      <c r="AE262" s="292" t="str">
        <f>VLOOKUP($B262,'Master Tracker'!$D:$V,19,false)</f>
        <v>Not Found</v>
      </c>
      <c r="AF262" s="292">
        <f>IFERROR(__xludf.DUMMYFUNCTION("IFERROR(
  INDEX(
    FILTER(
      'Juma Recording forms'!$G:$G,
      TRIM('Juma Recording forms'!$F:$F) = TRIM($B262),
      'Juma Recording forms'!$AA:$AA = 1
    ),
    1
  ),
  ""Not Found""
)"),950.0)</f>
        <v>950</v>
      </c>
      <c r="AG262" s="292">
        <f>IFERROR(__xludf.DUMMYFUNCTION("IFERROR(
  INDEX(
    FILTER(
      'Juma Recording forms'!$G:$G,
      TRIM('Juma Recording forms'!$F:$F) = TRIM($B262),
      'Juma Recording forms'!$AA:$AA = 2
    ),
    1
  ),
  ""Not Found""
)"),950.0)</f>
        <v>950</v>
      </c>
      <c r="AH262" s="292">
        <f>IFERROR(__xludf.DUMMYFUNCTION("IFERROR(
  INDEX(
    FILTER(
      'Juma Recording forms'!$G:$G,
      TRIM('Juma Recording forms'!$F:$F) = TRIM($B262),
      'Juma Recording forms'!$AA:$AA = 3
    ),
    1
  ),
  ""Not Found""
)"),925.0)</f>
        <v>925</v>
      </c>
      <c r="AI262" s="292" t="str">
        <f>IFERROR(__xludf.DUMMYFUNCTION("IFERROR(
  INDEX(
    FILTER(
      'Juma Recording forms'!$G:$G,
      TRIM('Juma Recording forms'!$F:$F) = TRIM($B262),
      'Juma Recording forms'!$AA:$AA = 4
    ),
    1
  ),
  ""Not Found""
)"),"Not Found")</f>
        <v>Not Found</v>
      </c>
      <c r="AJ262" s="292" t="str">
        <f>IFERROR(__xludf.DUMMYFUNCTION("IFERROR(
  INDEX(
    FILTER(
      'Juma Recording forms'!$G:$G,
      TRIM('Juma Recording forms'!$F:$F) = TRIM($B262),
      'Juma Recording forms'!$AA:$AA = 5
    ),
    1
  ),
  ""Not Found""
)"),"Not Found")</f>
        <v>Not Found</v>
      </c>
      <c r="AK262" s="292" t="str">
        <f>IFERROR(__xludf.DUMMYFUNCTION("IFERROR(
  INDEX(
    FILTER(
      'Juma Recording forms'!$G:$G,
      TRIM('Juma Recording forms'!$F:$F) = TRIM($B262),
      'Juma Recording forms'!$AA:$AA = 6
    ),
    1
  ),
  ""Not Found""
)"),"Not Found")</f>
        <v>Not Found</v>
      </c>
      <c r="AL2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1!$E:$E"")=$B262) *
        (IMPORTRANGE(""https://docs.google.com/spreadsheets/d/161aHT6vVT3SLneTKD19N5qVWtnj_jIT8CSsOmUVKmaA/e"&amp;"dit?gid=1761053510"",
          ""Haris_Form responses 1!$AQ:$AQ"")=1)
      ),
      1
    ),
    ""0""
  ),
  ""Form not found""
)
"),"9")</f>
        <v>9</v>
      </c>
      <c r="AM2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1!$E:$E"")=$B262) *
        (IMPORTRANGE(""https://docs.google.com/spreadsheets/d/161aHT6vVT3SLneTKD19N5qVWtnj_jIT8CSsOmUVKmaA/e"&amp;"dit?gid=1761053510"",
          ""Haris_Form responses 1!$AQ:$AQ"")=2)
      ),
      1
    ),
    ""0""
  ),
  ""Form not found""
)
"),"10")</f>
        <v>10</v>
      </c>
      <c r="AN2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1!$E:$E"")=$B262) *
        (IMPORTRANGE(""https://docs.google.com/spreadsheets/d/161aHT6vVT3SLneTKD19N5qVWtnj_jIT8CSsOmUVKmaA/e"&amp;"dit?gid=1761053510"",
          ""Haris_Form responses 1!$AQ:$AQ"")=3)
      ),
      1
    ),
    ""0""
  ),
  ""Form not found""
)
"),"0")</f>
        <v>0</v>
      </c>
      <c r="AO2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1!$E:$E"")=$B262) *
        (IMPORTRANGE(""https://docs.google.com/spreadsheets/d/161aHT6vVT3SLneTKD19N5qVWtnj_jIT8CSsOmUVKmaA/e"&amp;"dit?gid=1761053510"",
          ""Haris_Form responses 1!$AQ:$AQ"")=4)
      ),
      1
    ),
    ""0""
  ),
  ""Form not found""
)
"),"Form not found")</f>
        <v>Form not found</v>
      </c>
      <c r="AP2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1!$E:$E"")=$B262) *
        (IMPORTRANGE(""https://docs.google.com/spreadsheets/d/161aHT6vVT3SLneTKD19N5qVWtnj_jIT8CSsOmUVKmaA/e"&amp;"dit?gid=1761053510"",
          ""Haris_Form responses 1!$AQ:$AQ"")=5)
      ),
      1
    ),
    ""0""
  ),
  ""Form not found""
)
"),"Form not found")</f>
        <v>Form not found</v>
      </c>
      <c r="AQ26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1!$E:$E"")=$B262) *
        (IMPORTRANGE(""https://docs.google.com/spreadsheets/d/161aHT6vVT3SLneTKD19N5qVWtnj_jIT8CSsOmUVKmaA/e"&amp;"dit?gid=1761053510"",
          ""Haris_Form responses 1!$AQ:$AQ"")=6)
      ),
      1
    ),
    ""0""
  ),
  ""Form not found""
)
"),"Form not found")</f>
        <v>Form not found</v>
      </c>
      <c r="AR2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1!$E:$E"")=$B262) *
        (IMPORTRANGE(""https://docs.google.com/spreadsheets/d/161aHT6vVT3SLneTKD19N5qVWtnj_jIT8CSsOmUVKmaA/e"&amp;"dit?gid=1761053510"",
          ""Haris_Form responses 1!$AQ:$AQ"")=1)
      ),
      1
    ),
    ""0""
  ),
  ""Form not found""
)
"),"9")</f>
        <v>9</v>
      </c>
      <c r="AS2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1!$E:$E"")=$B262) *
        (IMPORTRANGE(""https://docs.google.com/spreadsheets/d/161aHT6vVT3SLneTKD19N5qVWtnj_jIT8CSsOmUVKmaA/e"&amp;"dit?gid=1761053510"",
          ""Haris_Form responses 1!$AQ:$AQ"")=2)
      ),
      1
    ),
    ""0""
  ),
  ""Form not found""
)
"),"10")</f>
        <v>10</v>
      </c>
      <c r="AT2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1!$E:$E"")=$B262) *
        (IMPORTRANGE(""https://docs.google.com/spreadsheets/d/161aHT6vVT3SLneTKD19N5qVWtnj_jIT8CSsOmUVKmaA/e"&amp;"dit?gid=1761053510"",
          ""Haris_Form responses 1!$AQ:$AQ"")=3)
      ),
      1
    ),
    ""0""
  ),
  ""Form not found""
)
"),"0")</f>
        <v>0</v>
      </c>
      <c r="AU2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1!$E:$E"")=$B262) *
        (IMPORTRANGE(""https://docs.google.com/spreadsheets/d/161aHT6vVT3SLneTKD19N5qVWtnj_jIT8CSsOmUVKmaA/e"&amp;"dit?gid=1761053510"",
          ""Haris_Form responses 1!$AQ:$AQ"")=4)
      ),
      1
    ),
    ""0""
  ),
  ""Form not found""
)
"),"Form not found")</f>
        <v>Form not found</v>
      </c>
      <c r="AV2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1!$E:$E"")=$B262) *
        (IMPORTRANGE(""https://docs.google.com/spreadsheets/d/161aHT6vVT3SLneTKD19N5qVWtnj_jIT8CSsOmUVKmaA/e"&amp;"dit?gid=1761053510"",
          ""Haris_Form responses 1!$AQ:$AQ"")=5)
      ),
      1
    ),
    ""0""
  ),
  ""Form not found""
)
"),"Form not found")</f>
        <v>Form not found</v>
      </c>
      <c r="AW26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1!$E:$E"")=$B262) *
        (IMPORTRANGE(""https://docs.google.com/spreadsheets/d/161aHT6vVT3SLneTKD19N5qVWtnj_jIT8CSsOmUVKmaA/e"&amp;"dit?gid=1761053510"",
          ""Haris_Form responses 1!$AQ:$AQ"")=6)
      ),
      1
    ),
    ""0""
  ),
  ""Form not found""
)
"),"Form not found")</f>
        <v>Form not found</v>
      </c>
      <c r="AX2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1!$E:$E"")=$B262) *
        (IMPORTRANGE(""https://docs.google.com/spreadsheets/d/161aHT6vVT3SLneTKD19N5qVWtnj_jIT8CSsOmUVKmaA/e"&amp;"dit?gid=1761053510"",
          ""Haris_Form responses 1!$AQ:$AQ"")=1)
      ),
      1
    ),
    ""0""
  ),
  ""Form not found""
)
"),"0")</f>
        <v>0</v>
      </c>
      <c r="AY2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1!$E:$E"")=$B262) *
        (IMPORTRANGE(""https://docs.google.com/spreadsheets/d/161aHT6vVT3SLneTKD19N5qVWtnj_jIT8CSsOmUVKmaA/e"&amp;"dit?gid=1761053510"",
          ""Haris_Form responses 1!$AQ:$AQ"")=2)
      ),
      1
    ),
    ""0""
  ),
  ""Form not found""
)
"),"0")</f>
        <v>0</v>
      </c>
      <c r="AZ2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1!$E:$E"")=$B262) *
        (IMPORTRANGE(""https://docs.google.com/spreadsheets/d/161aHT6vVT3SLneTKD19N5qVWtnj_jIT8CSsOmUVKmaA/e"&amp;"dit?gid=1761053510"",
          ""Haris_Form responses 1!$AQ:$AQ"")=3)
      ),
      1
    ),
    ""0""
  ),
  ""Form not found""
)
"),"0")</f>
        <v>0</v>
      </c>
      <c r="BA2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1!$E:$E"")=$B262) *
        (IMPORTRANGE(""https://docs.google.com/spreadsheets/d/161aHT6vVT3SLneTKD19N5qVWtnj_jIT8CSsOmUVKmaA/e"&amp;"dit?gid=1761053510"",
          ""Haris_Form responses 1!$AQ:$AQ"")=4)
      ),
      1
    ),
    ""0""
  ),
  ""Form not found""
)
"),"Form not found")</f>
        <v>Form not found</v>
      </c>
      <c r="BB2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1!$E:$E"")=$B262) *
        (IMPORTRANGE(""https://docs.google.com/spreadsheets/d/161aHT6vVT3SLneTKD19N5qVWtnj_jIT8CSsOmUVKmaA/e"&amp;"dit?gid=1761053510"",
          ""Haris_Form responses 1!$AQ:$AQ"")=5)
      ),
      1
    ),
    ""0""
  ),
  ""Form not found""
)
"),"Form not found")</f>
        <v>Form not found</v>
      </c>
      <c r="BC26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1!$E:$E"")=$B262) *
        (IMPORTRANGE(""https://docs.google.com/spreadsheets/d/161aHT6vVT3SLneTKD19N5qVWtnj_jIT8CSsOmUVKmaA/e"&amp;"dit?gid=1761053510"",
          ""Haris_Form responses 1!$AQ:$AQ"")=6)
      ),
      1
    ),
    ""0""
  ),
  ""Form not found""
)
"),"Form not found")</f>
        <v>Form not found</v>
      </c>
      <c r="BD262" s="293"/>
    </row>
    <row r="263">
      <c r="A263" s="283" t="str">
        <f>IFERROR(__xludf.DUMMYFUNCTION("VLOOKUP($B263,IMPORTRANGE(""https://docs.google.com/spreadsheets/d/1VNXDITjs75AcgdBSW27oL1VZH31udDprJSsBcE5xlp4/edit?gid=1551188038#gid=1551188038"", ""Sheet9!$B:$E""),2,false)"),"Jhang")</f>
        <v>Jhang</v>
      </c>
      <c r="B263" s="283" t="s">
        <v>4002</v>
      </c>
      <c r="C263" s="284" t="str">
        <f>IFERROR(__xludf.DUMMYFUNCTION("VLOOKUP(TRIM($B263), IMPORTRANGE(""https://docs.google.com/spreadsheets/d/1aSOrU4PTpuBZqfitKaH1Rfww6-YOiNCKoBpPl8XBHaw/edit?gid=0#gid=0"", ""sheet3!$B:$C""), 2, FALSE)
"),"Jamia Masjid Darbar Shah Sadaq Nehnang Shorkot")</f>
        <v>Jamia Masjid Darbar Shah Sadaq Nehnang Shorkot</v>
      </c>
      <c r="D263" s="284" t="str">
        <f>IFERROR(__xludf.DUMMYFUNCTION("IFERROR(
  INDEX(
    FILTER(
      IMPORTRANGE(""1aSOrU4PTpuBZqfitKaH1Rfww6-YOiNCKoBpPl8XBHaw/edit?gid=0#gid=0"",""Sheet1!G:G""),
      IMPORTRANGE(""1aSOrU4PTpuBZqfitKaH1Rfww6-YOiNCKoBpPl8XBHaw/edit?gid=0#gid=0"",""Sheet1!C:C"")=$B263
    ),
    1
  ),
"&amp;"  ""Not Found""
)"),"Women Religious No Info Share")</f>
        <v>Women Religious No Info Share</v>
      </c>
      <c r="E263" s="284" t="str">
        <f>VLOOKUP(B263,'Juma Recording forms'!A:E,5,false)</f>
        <v>Jamia masjad Darbar shah Sadiq nehang </v>
      </c>
      <c r="F263" s="284" t="str">
        <f>IFERROR(__xludf.DUMMYFUNCTION("IFERROR(
  INDEX(
    FILTER(
      IMPORTRANGE(""1Cxrhp3-_-HS7v9uuqQliiIfrmMP4VaFoDNDWyUFy2J8/edit?gid=0#gid=0"",""Sheet1!Q:Q""),
      IMPORTRANGE(""1Cxrhp3-_-HS7v9uuqQliiIfrmMP4VaFoDNDWyUFy2J8/edit?gid=0#gid=0"",""Sheet1!K:K"")=$B263
    ),
    1
  ),
"&amp;"  ""Not Found""
)"),"Muhammad ashrif")</f>
        <v>Muhammad ashrif</v>
      </c>
      <c r="G263" s="284">
        <v>1885.0</v>
      </c>
      <c r="H263" s="284" t="s">
        <v>4888</v>
      </c>
      <c r="I263" s="285" t="s">
        <v>197</v>
      </c>
      <c r="J263" s="286">
        <v>1.0</v>
      </c>
      <c r="K263" s="287" t="str">
        <f>VLOOKUP($B263,'Mosque Locations'!$A:$E,3,FALSE)
</f>
        <v>https://maps.google.com/maps?q=30.939858765352707%2C72.16252114623785&amp;z=17&amp;hl=en</v>
      </c>
      <c r="L263" s="286">
        <f>VLOOKUP($B263,'Mosque Locations'!$A:$E,4,FALSE)
</f>
        <v>30.93986</v>
      </c>
      <c r="M263" s="286">
        <f>VLOOKUP($B263,'Mosque Locations'!$A:$E,5,false)</f>
        <v>72.16252</v>
      </c>
      <c r="N263" s="288"/>
      <c r="O263" s="288"/>
      <c r="P263" s="288"/>
      <c r="Q263" s="295" t="str">
        <f>IFERROR(__xludf.DUMMYFUNCTION("IFERROR(
  INDEX(
    FILTER(
      IMPORTRANGE(""1kOrIKZmJfNUkgOVP3sI9BPjaaPA0_a4636oymQxTXg8"",""Form Responses 1!N:N""),
      TRIM(IMPORTRANGE(""1kOrIKZmJfNUkgOVP3sI9BPjaaPA0_a4636oymQxTXg8"",""Form Responses 1!F:F""))=TRIM($B263)
    ),
    1
  ),
  "&amp;"""Not Found""
)
"),"https://drive.google.com/open?id=1ScwRUB2LoroVVgWu9YOizZhycveffelY")</f>
        <v>https://drive.google.com/open?id=1ScwRUB2LoroVVgWu9YOizZhycveffelY</v>
      </c>
      <c r="R263" s="295" t="str">
        <f>IFERROR(__xludf.DUMMYFUNCTION("IFERROR(
  INDEX(
    FILTER(
      IMPORTRANGE(""1kOrIKZmJfNUkgOVP3sI9BPjaaPA0_a4636oymQxTXg8"",""Form Responses 1!M:M""),
      TRIM(IMPORTRANGE(""1kOrIKZmJfNUkgOVP3sI9BPjaaPA0_a4636oymQxTXg8"",""Form Responses 1!F:F""))=TRIM($B263)
    ),
    1
  ),
  "&amp;"""Not Found""
)
"),"https://drive.google.com/open?id=1_UG2VGlMvo6gd2u99IJxdbEehpHkvS6E")</f>
        <v>https://drive.google.com/open?id=1_UG2VGlMvo6gd2u99IJxdbEehpHkvS6E</v>
      </c>
      <c r="S263" s="285"/>
      <c r="T263" s="290" t="str">
        <f>VLOOKUP($B263,'Master Tracker'!D:E,2,false)</f>
        <v>https://drive.google.com/file/d/1oT0cImZf1_OywQopwLvOcXEJT5FSpON6/view?usp=drive_link</v>
      </c>
      <c r="U263" s="291" t="str">
        <f>VLOOKUP($B263,'Master Tracker'!$D:$T,4,FALSE)
</f>
        <v>https://drive.google.com/open?id=19m2c6Ft2r4zCSb2OhpFzJXP6iAFV06rx</v>
      </c>
      <c r="V263" s="290" t="str">
        <f>VLOOKUP($B263,'Master Tracker'!$D:$T,5,false)</f>
        <v>https://drive.google.com/open?id=1GXuRdplhCdPqwq5d6YDyZLqomlMnQnO9</v>
      </c>
      <c r="W263" s="291" t="str">
        <f>VLOOKUP($B263,'Master Tracker'!$D:$T,7,false)</f>
        <v>https://drive.google.com/open?id=1EnybGCWentbsaNDtsGS5f2mxKndRwMlE</v>
      </c>
      <c r="X263" s="290" t="str">
        <f>VLOOKUP($B263,'Master Tracker'!$D:$T,8,false)</f>
        <v>https://drive.google.com/open?id=1NB3X5eb9_yLJcjOT3f3c8lH9MgtwXuhm</v>
      </c>
      <c r="Y263" s="291" t="str">
        <f>VLOOKUP($B263,'Master Tracker'!$D:$T,10,false)</f>
        <v>https://drive.google.com/open?id=1Q-2HUV3oEy29X_CjiAHPNaaQ_xqH5-1EwGQIiCQ2mSo</v>
      </c>
      <c r="Z263" s="284" t="str">
        <f>VLOOKUP($B263,'Master Tracker'!$D:$T,11,false)</f>
        <v>Not Found</v>
      </c>
      <c r="AA263" s="292" t="str">
        <f>VLOOKUP($B263,'Master Tracker'!$D:$T,13,false)</f>
        <v>Not Found</v>
      </c>
      <c r="AB263" s="284" t="str">
        <f>VLOOKUP($B263,'Master Tracker'!$D:$T,14,false)</f>
        <v>Not Found</v>
      </c>
      <c r="AC263" s="292" t="str">
        <f>VLOOKUP($B263,'Master Tracker'!$D:$T,16,false)</f>
        <v>Not Found</v>
      </c>
      <c r="AD263" s="292" t="str">
        <f>VLOOKUP($B263,'Master Tracker'!$D:$T,17,false)</f>
        <v>Not Found</v>
      </c>
      <c r="AE263" s="292" t="str">
        <f>VLOOKUP($B263,'Master Tracker'!$D:$V,19,false)</f>
        <v>Not Found</v>
      </c>
      <c r="AF263" s="292">
        <f>IFERROR(__xludf.DUMMYFUNCTION("IFERROR(
  INDEX(
    FILTER(
      'Juma Recording forms'!$G:$G,
      TRIM('Juma Recording forms'!$F:$F) = TRIM($B263),
      'Juma Recording forms'!$AA:$AA = 1
    ),
    1
  ),
  ""Not Found""
)"),100.0)</f>
        <v>100</v>
      </c>
      <c r="AG263" s="292">
        <f>IFERROR(__xludf.DUMMYFUNCTION("IFERROR(
  INDEX(
    FILTER(
      'Juma Recording forms'!$G:$G,
      TRIM('Juma Recording forms'!$F:$F) = TRIM($B263),
      'Juma Recording forms'!$AA:$AA = 2
    ),
    1
  ),
  ""Not Found""
)"),200.0)</f>
        <v>200</v>
      </c>
      <c r="AH263" s="292">
        <f>IFERROR(__xludf.DUMMYFUNCTION("IFERROR(
  INDEX(
    FILTER(
      'Juma Recording forms'!$G:$G,
      TRIM('Juma Recording forms'!$F:$F) = TRIM($B263),
      'Juma Recording forms'!$AA:$AA = 3
    ),
    1
  ),
  ""Not Found""
)"),380.0)</f>
        <v>380</v>
      </c>
      <c r="AI263" s="292" t="str">
        <f>IFERROR(__xludf.DUMMYFUNCTION("IFERROR(
  INDEX(
    FILTER(
      'Juma Recording forms'!$G:$G,
      TRIM('Juma Recording forms'!$F:$F) = TRIM($B263),
      'Juma Recording forms'!$AA:$AA = 4
    ),
    1
  ),
  ""Not Found""
)"),"Not Found")</f>
        <v>Not Found</v>
      </c>
      <c r="AJ263" s="292" t="str">
        <f>IFERROR(__xludf.DUMMYFUNCTION("IFERROR(
  INDEX(
    FILTER(
      'Juma Recording forms'!$G:$G,
      TRIM('Juma Recording forms'!$F:$F) = TRIM($B263),
      'Juma Recording forms'!$AA:$AA = 5
    ),
    1
  ),
  ""Not Found""
)"),"Not Found")</f>
        <v>Not Found</v>
      </c>
      <c r="AK263" s="292" t="str">
        <f>IFERROR(__xludf.DUMMYFUNCTION("IFERROR(
  INDEX(
    FILTER(
      'Juma Recording forms'!$G:$G,
      TRIM('Juma Recording forms'!$F:$F) = TRIM($B263),
      'Juma Recording forms'!$AA:$AA = 6
    ),
    1
  ),
  ""Not Found""
)"),"Not Found")</f>
        <v>Not Found</v>
      </c>
      <c r="AL2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1!$E:$E"")=$B263) *
        (IMPORTRANGE(""https://docs.google.com/spreadsheets/d/161aHT6vVT3SLneTKD19N5qVWtnj_jIT8CSsOmUVKmaA/e"&amp;"dit?gid=1761053510"",
          ""Haris_Form responses 1!$AQ:$AQ"")=1)
      ),
      1
    ),
    ""0""
  ),
  ""Form not found""
)
"),"10")</f>
        <v>10</v>
      </c>
      <c r="AM2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1!$E:$E"")=$B263) *
        (IMPORTRANGE(""https://docs.google.com/spreadsheets/d/161aHT6vVT3SLneTKD19N5qVWtnj_jIT8CSsOmUVKmaA/e"&amp;"dit?gid=1761053510"",
          ""Haris_Form responses 1!$AQ:$AQ"")=2)
      ),
      1
    ),
    ""0""
  ),
  ""Form not found""
)
"),"10")</f>
        <v>10</v>
      </c>
      <c r="AN2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1!$E:$E"")=$B263) *
        (IMPORTRANGE(""https://docs.google.com/spreadsheets/d/161aHT6vVT3SLneTKD19N5qVWtnj_jIT8CSsOmUVKmaA/e"&amp;"dit?gid=1761053510"",
          ""Haris_Form responses 1!$AQ:$AQ"")=3)
      ),
      1
    ),
    ""0""
  ),
  ""Form not found""
)
"),"0")</f>
        <v>0</v>
      </c>
      <c r="AO2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1!$E:$E"")=$B263) *
        (IMPORTRANGE(""https://docs.google.com/spreadsheets/d/161aHT6vVT3SLneTKD19N5qVWtnj_jIT8CSsOmUVKmaA/e"&amp;"dit?gid=1761053510"",
          ""Haris_Form responses 1!$AQ:$AQ"")=4)
      ),
      1
    ),
    ""0""
  ),
  ""Form not found""
)
"),"Form not found")</f>
        <v>Form not found</v>
      </c>
      <c r="AP2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1!$E:$E"")=$B263) *
        (IMPORTRANGE(""https://docs.google.com/spreadsheets/d/161aHT6vVT3SLneTKD19N5qVWtnj_jIT8CSsOmUVKmaA/e"&amp;"dit?gid=1761053510"",
          ""Haris_Form responses 1!$AQ:$AQ"")=5)
      ),
      1
    ),
    ""0""
  ),
  ""Form not found""
)
"),"Form not found")</f>
        <v>Form not found</v>
      </c>
      <c r="AQ26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1!$E:$E"")=$B263) *
        (IMPORTRANGE(""https://docs.google.com/spreadsheets/d/161aHT6vVT3SLneTKD19N5qVWtnj_jIT8CSsOmUVKmaA/e"&amp;"dit?gid=1761053510"",
          ""Haris_Form responses 1!$AQ:$AQ"")=6)
      ),
      1
    ),
    ""0""
  ),
  ""Form not found""
)
"),"Form not found")</f>
        <v>Form not found</v>
      </c>
      <c r="AR2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1!$E:$E"")=$B263) *
        (IMPORTRANGE(""https://docs.google.com/spreadsheets/d/161aHT6vVT3SLneTKD19N5qVWtnj_jIT8CSsOmUVKmaA/e"&amp;"dit?gid=1761053510"",
          ""Haris_Form responses 1!$AQ:$AQ"")=1)
      ),
      1
    ),
    ""0""
  ),
  ""Form not found""
)
"),"0")</f>
        <v>0</v>
      </c>
      <c r="AS2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1!$E:$E"")=$B263) *
        (IMPORTRANGE(""https://docs.google.com/spreadsheets/d/161aHT6vVT3SLneTKD19N5qVWtnj_jIT8CSsOmUVKmaA/e"&amp;"dit?gid=1761053510"",
          ""Haris_Form responses 1!$AQ:$AQ"")=2)
      ),
      1
    ),
    ""0""
  ),
  ""Form not found""
)
"),"0")</f>
        <v>0</v>
      </c>
      <c r="AT2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1!$E:$E"")=$B263) *
        (IMPORTRANGE(""https://docs.google.com/spreadsheets/d/161aHT6vVT3SLneTKD19N5qVWtnj_jIT8CSsOmUVKmaA/e"&amp;"dit?gid=1761053510"",
          ""Haris_Form responses 1!$AQ:$AQ"")=3)
      ),
      1
    ),
    ""0""
  ),
  ""Form not found""
)
"),"0")</f>
        <v>0</v>
      </c>
      <c r="AU2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1!$E:$E"")=$B263) *
        (IMPORTRANGE(""https://docs.google.com/spreadsheets/d/161aHT6vVT3SLneTKD19N5qVWtnj_jIT8CSsOmUVKmaA/e"&amp;"dit?gid=1761053510"",
          ""Haris_Form responses 1!$AQ:$AQ"")=4)
      ),
      1
    ),
    ""0""
  ),
  ""Form not found""
)
"),"Form not found")</f>
        <v>Form not found</v>
      </c>
      <c r="AV2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1!$E:$E"")=$B263) *
        (IMPORTRANGE(""https://docs.google.com/spreadsheets/d/161aHT6vVT3SLneTKD19N5qVWtnj_jIT8CSsOmUVKmaA/e"&amp;"dit?gid=1761053510"",
          ""Haris_Form responses 1!$AQ:$AQ"")=5)
      ),
      1
    ),
    ""0""
  ),
  ""Form not found""
)
"),"Form not found")</f>
        <v>Form not found</v>
      </c>
      <c r="AW26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1!$E:$E"")=$B263) *
        (IMPORTRANGE(""https://docs.google.com/spreadsheets/d/161aHT6vVT3SLneTKD19N5qVWtnj_jIT8CSsOmUVKmaA/e"&amp;"dit?gid=1761053510"",
          ""Haris_Form responses 1!$AQ:$AQ"")=6)
      ),
      1
    ),
    ""0""
  ),
  ""Form not found""
)
"),"Form not found")</f>
        <v>Form not found</v>
      </c>
      <c r="AX2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1!$E:$E"")=$B263) *
        (IMPORTRANGE(""https://docs.google.com/spreadsheets/d/161aHT6vVT3SLneTKD19N5qVWtnj_jIT8CSsOmUVKmaA/e"&amp;"dit?gid=1761053510"",
          ""Haris_Form responses 1!$AQ:$AQ"")=1)
      ),
      1
    ),
    ""0""
  ),
  ""Form not found""
)
"),"10")</f>
        <v>10</v>
      </c>
      <c r="AY2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1!$E:$E"")=$B263) *
        (IMPORTRANGE(""https://docs.google.com/spreadsheets/d/161aHT6vVT3SLneTKD19N5qVWtnj_jIT8CSsOmUVKmaA/e"&amp;"dit?gid=1761053510"",
          ""Haris_Form responses 1!$AQ:$AQ"")=2)
      ),
      1
    ),
    ""0""
  ),
  ""Form not found""
)
"),"10")</f>
        <v>10</v>
      </c>
      <c r="AZ2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1!$E:$E"")=$B263) *
        (IMPORTRANGE(""https://docs.google.com/spreadsheets/d/161aHT6vVT3SLneTKD19N5qVWtnj_jIT8CSsOmUVKmaA/e"&amp;"dit?gid=1761053510"",
          ""Haris_Form responses 1!$AQ:$AQ"")=3)
      ),
      1
    ),
    ""0""
  ),
  ""Form not found""
)
"),"0")</f>
        <v>0</v>
      </c>
      <c r="BA2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1!$E:$E"")=$B263) *
        (IMPORTRANGE(""https://docs.google.com/spreadsheets/d/161aHT6vVT3SLneTKD19N5qVWtnj_jIT8CSsOmUVKmaA/e"&amp;"dit?gid=1761053510"",
          ""Haris_Form responses 1!$AQ:$AQ"")=4)
      ),
      1
    ),
    ""0""
  ),
  ""Form not found""
)
"),"Form not found")</f>
        <v>Form not found</v>
      </c>
      <c r="BB2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1!$E:$E"")=$B263) *
        (IMPORTRANGE(""https://docs.google.com/spreadsheets/d/161aHT6vVT3SLneTKD19N5qVWtnj_jIT8CSsOmUVKmaA/e"&amp;"dit?gid=1761053510"",
          ""Haris_Form responses 1!$AQ:$AQ"")=5)
      ),
      1
    ),
    ""0""
  ),
  ""Form not found""
)
"),"Form not found")</f>
        <v>Form not found</v>
      </c>
      <c r="BC26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1!$E:$E"")=$B263) *
        (IMPORTRANGE(""https://docs.google.com/spreadsheets/d/161aHT6vVT3SLneTKD19N5qVWtnj_jIT8CSsOmUVKmaA/e"&amp;"dit?gid=1761053510"",
          ""Haris_Form responses 1!$AQ:$AQ"")=6)
      ),
      1
    ),
    ""0""
  ),
  ""Form not found""
)
"),"Form not found")</f>
        <v>Form not found</v>
      </c>
      <c r="BD263" s="293"/>
    </row>
    <row r="264">
      <c r="A264" s="283" t="str">
        <f>IFERROR(__xludf.DUMMYFUNCTION("VLOOKUP($B264,IMPORTRANGE(""https://docs.google.com/spreadsheets/d/1VNXDITjs75AcgdBSW27oL1VZH31udDprJSsBcE5xlp4/edit?gid=1551188038#gid=1551188038"", ""Sheet9!$B:$E""),2,false)"),"Jhang")</f>
        <v>Jhang</v>
      </c>
      <c r="B264" s="283" t="s">
        <v>3944</v>
      </c>
      <c r="C264" s="284" t="str">
        <f>IFERROR(__xludf.DUMMYFUNCTION("VLOOKUP(TRIM($B264), IMPORTRANGE(""https://docs.google.com/spreadsheets/d/1aSOrU4PTpuBZqfitKaH1Rfww6-YOiNCKoBpPl8XBHaw/edit?gid=0#gid=0"", ""sheet3!$B:$C""), 2, FALSE)
"),"Jamia Masjid Ahle Sunnat Wal Jamaat Garh Maharaja Ahumedpur Sial")</f>
        <v>Jamia Masjid Ahle Sunnat Wal Jamaat Garh Maharaja Ahumedpur Sial</v>
      </c>
      <c r="D264" s="284" t="str">
        <f>IFERROR(__xludf.DUMMYFUNCTION("IFERROR(
  INDEX(
    FILTER(
      IMPORTRANGE(""1aSOrU4PTpuBZqfitKaH1Rfww6-YOiNCKoBpPl8XBHaw/edit?gid=0#gid=0"",""Sheet1!G:G""),
      IMPORTRANGE(""1aSOrU4PTpuBZqfitKaH1Rfww6-YOiNCKoBpPl8XBHaw/edit?gid=0#gid=0"",""Sheet1!C:C"")=$B264
    ),
    1
  ),
"&amp;"  ""Not Found""
)"),"Women Secular Info Share")</f>
        <v>Women Secular Info Share</v>
      </c>
      <c r="E264" s="284" t="str">
        <f>VLOOKUP(B264,'Juma Recording forms'!A:E,5,false)</f>
        <v>مرکزی جامع مسجد ایثار القاسمی رض شہید گڑھ مہاراجہ جھنگ</v>
      </c>
      <c r="F264" s="284" t="str">
        <f>IFERROR(__xludf.DUMMYFUNCTION("IFERROR(
  INDEX(
    FILTER(
      IMPORTRANGE(""1Cxrhp3-_-HS7v9uuqQliiIfrmMP4VaFoDNDWyUFy2J8/edit?gid=0#gid=0"",""Sheet1!Q:Q""),
      IMPORTRANGE(""1Cxrhp3-_-HS7v9uuqQliiIfrmMP4VaFoDNDWyUFy2J8/edit?gid=0#gid=0"",""Sheet1!K:K"")=$B264
    ),
    1
  ),
"&amp;"  ""Not Found""
)"),"Moulana bilal")</f>
        <v>Moulana bilal</v>
      </c>
      <c r="G264" s="292">
        <v>1957.0</v>
      </c>
      <c r="H264" s="284"/>
      <c r="I264" s="285" t="s">
        <v>197</v>
      </c>
      <c r="J264" s="286">
        <v>1.0</v>
      </c>
      <c r="K264" s="287" t="str">
        <f>VLOOKUP($B264,'Mosque Locations'!$A:$E,3,FALSE)
</f>
        <v>https://maps.google.com/maps?q=30.832267%2C71.9055705&amp;z=17&amp;hl=en</v>
      </c>
      <c r="L264" s="286">
        <f>VLOOKUP($B264,'Mosque Locations'!$A:$E,4,FALSE)
</f>
        <v>30.83227</v>
      </c>
      <c r="M264" s="286">
        <f>VLOOKUP($B264,'Mosque Locations'!$A:$E,5,false)</f>
        <v>71.90557</v>
      </c>
      <c r="N264" s="288"/>
      <c r="O264" s="288"/>
      <c r="P264" s="288"/>
      <c r="Q264" s="290" t="str">
        <f>IFERROR(__xludf.DUMMYFUNCTION("IFERROR(
  INDEX(
    FILTER(
      IMPORTRANGE(""1kOrIKZmJfNUkgOVP3sI9BPjaaPA0_a4636oymQxTXg8"",""Form Responses 1!N:N""),
      TRIM(IMPORTRANGE(""1kOrIKZmJfNUkgOVP3sI9BPjaaPA0_a4636oymQxTXg8"",""Form Responses 1!F:F""))=TRIM($B264)
    ),
    1
  ),
  "&amp;"""Not Found""
)
"),"https://drive.google.com/open?id=1kWEnMtF2PnMZQAc8yY7rNuwr37gU7RkM")</f>
        <v>https://drive.google.com/open?id=1kWEnMtF2PnMZQAc8yY7rNuwr37gU7RkM</v>
      </c>
      <c r="R264" s="290" t="str">
        <f>IFERROR(__xludf.DUMMYFUNCTION("IFERROR(
  INDEX(
    FILTER(
      IMPORTRANGE(""1kOrIKZmJfNUkgOVP3sI9BPjaaPA0_a4636oymQxTXg8"",""Form Responses 1!M:M""),
      TRIM(IMPORTRANGE(""1kOrIKZmJfNUkgOVP3sI9BPjaaPA0_a4636oymQxTXg8"",""Form Responses 1!F:F""))=TRIM($B264)
    ),
    1
  ),
  "&amp;"""Not Found""
)
"),"https://drive.google.com/open?id=1HjaK5qCCYvZj2RoTw1CfW2wMpebAVnDb")</f>
        <v>https://drive.google.com/open?id=1HjaK5qCCYvZj2RoTw1CfW2wMpebAVnDb</v>
      </c>
      <c r="S264" s="285"/>
      <c r="T264" s="290" t="str">
        <f>VLOOKUP($B264,'Master Tracker'!D:E,2,false)</f>
        <v>https://drive.google.com/open?id=1tnhz0Ct7zGQ3TxGG7ohJc0KTD5EXfNNv</v>
      </c>
      <c r="U264" s="291" t="str">
        <f>VLOOKUP($B264,'Master Tracker'!$D:$T,4,FALSE)
</f>
        <v>https://drive.google.com/open?id=1F5Es2OsHV1USz12bnRKVArsHOmSaUH8_-ZWBQKwVnUw</v>
      </c>
      <c r="V264" s="290" t="str">
        <f>VLOOKUP($B264,'Master Tracker'!$D:$T,5,false)</f>
        <v>https://drive.google.com/open?id=1TUfuEDHk705NOtNk9YU9eVXPKeysJ36r</v>
      </c>
      <c r="W264" s="291" t="str">
        <f>VLOOKUP($B264,'Master Tracker'!$D:$T,7,false)</f>
        <v>https://drive.google.com/open?id=1eBvpz8_8VSVLd8ZvhfEpfcmsd-K-Zb_R</v>
      </c>
      <c r="X264" s="290" t="str">
        <f>VLOOKUP($B264,'Master Tracker'!$D:$T,8,false)</f>
        <v>https://drive.google.com/open?id=1H6nrH3U1WdomE-qzXlpPtZrS-OgL1u3y</v>
      </c>
      <c r="Y264" s="291" t="str">
        <f>VLOOKUP($B264,'Master Tracker'!$D:$T,10,false)</f>
        <v>https://drive.google.com/open?id=1s2INv6tIqHm4WskF5pcGjGBWHAjxlJPq1LCbRgy_kSA</v>
      </c>
      <c r="Z264" s="284" t="str">
        <f>VLOOKUP($B264,'Master Tracker'!$D:$T,11,false)</f>
        <v>Not Found</v>
      </c>
      <c r="AA264" s="292" t="str">
        <f>VLOOKUP($B264,'Master Tracker'!$D:$T,13,false)</f>
        <v>Not Found</v>
      </c>
      <c r="AB264" s="284" t="str">
        <f>VLOOKUP($B264,'Master Tracker'!$D:$T,14,false)</f>
        <v>Not Found</v>
      </c>
      <c r="AC264" s="292" t="str">
        <f>VLOOKUP($B264,'Master Tracker'!$D:$T,16,false)</f>
        <v>Not Found</v>
      </c>
      <c r="AD264" s="292" t="str">
        <f>VLOOKUP($B264,'Master Tracker'!$D:$T,17,false)</f>
        <v>Not Found</v>
      </c>
      <c r="AE264" s="292" t="str">
        <f>VLOOKUP($B264,'Master Tracker'!$D:$V,19,false)</f>
        <v>Not Found</v>
      </c>
      <c r="AF264" s="292">
        <f>IFERROR(__xludf.DUMMYFUNCTION("IFERROR(
  INDEX(
    FILTER(
      'Juma Recording forms'!$G:$G,
      TRIM('Juma Recording forms'!$F:$F) = TRIM($B264),
      'Juma Recording forms'!$AA:$AA = 1
    ),
    1
  ),
  ""Not Found""
)"),327.0)</f>
        <v>327</v>
      </c>
      <c r="AG264" s="292">
        <f>IFERROR(__xludf.DUMMYFUNCTION("IFERROR(
  INDEX(
    FILTER(
      'Juma Recording forms'!$G:$G,
      TRIM('Juma Recording forms'!$F:$F) = TRIM($B264),
      'Juma Recording forms'!$AA:$AA = 2
    ),
    1
  ),
  ""Not Found""
)"),308.0)</f>
        <v>308</v>
      </c>
      <c r="AH264" s="292">
        <f>IFERROR(__xludf.DUMMYFUNCTION("IFERROR(
  INDEX(
    FILTER(
      'Juma Recording forms'!$G:$G,
      TRIM('Juma Recording forms'!$F:$F) = TRIM($B264),
      'Juma Recording forms'!$AA:$AA = 3
    ),
    1
  ),
  ""Not Found""
)"),335.0)</f>
        <v>335</v>
      </c>
      <c r="AI264" s="292" t="str">
        <f>IFERROR(__xludf.DUMMYFUNCTION("IFERROR(
  INDEX(
    FILTER(
      'Juma Recording forms'!$G:$G,
      TRIM('Juma Recording forms'!$F:$F) = TRIM($B264),
      'Juma Recording forms'!$AA:$AA = 4
    ),
    1
  ),
  ""Not Found""
)"),"Not Found")</f>
        <v>Not Found</v>
      </c>
      <c r="AJ264" s="292" t="str">
        <f>IFERROR(__xludf.DUMMYFUNCTION("IFERROR(
  INDEX(
    FILTER(
      'Juma Recording forms'!$G:$G,
      TRIM('Juma Recording forms'!$F:$F) = TRIM($B264),
      'Juma Recording forms'!$AA:$AA = 5
    ),
    1
  ),
  ""Not Found""
)"),"Not Found")</f>
        <v>Not Found</v>
      </c>
      <c r="AK264" s="292" t="str">
        <f>IFERROR(__xludf.DUMMYFUNCTION("IFERROR(
  INDEX(
    FILTER(
      'Juma Recording forms'!$G:$G,
      TRIM('Juma Recording forms'!$F:$F) = TRIM($B264),
      'Juma Recording forms'!$AA:$AA = 6
    ),
    1
  ),
  ""Not Found""
)"),"Not Found")</f>
        <v>Not Found</v>
      </c>
      <c r="AL2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1!$E:$E"")=$B264) *
        (IMPORTRANGE(""https://docs.google.com/spreadsheets/d/161aHT6vVT3SLneTKD19N5qVWtnj_jIT8CSsOmUVKmaA/e"&amp;"dit?gid=1761053510"",
          ""Haris_Form responses 1!$AQ:$AQ"")=1)
      ),
      1
    ),
    ""0""
  ),
  ""Form not found""
)
"),"8")</f>
        <v>8</v>
      </c>
      <c r="AM2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1!$E:$E"")=$B264) *
        (IMPORTRANGE(""https://docs.google.com/spreadsheets/d/161aHT6vVT3SLneTKD19N5qVWtnj_jIT8CSsOmUVKmaA/e"&amp;"dit?gid=1761053510"",
          ""Haris_Form responses 1!$AQ:$AQ"")=2)
      ),
      1
    ),
    ""0""
  ),
  ""Form not found""
)
"),"8")</f>
        <v>8</v>
      </c>
      <c r="AN2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1!$E:$E"")=$B264) *
        (IMPORTRANGE(""https://docs.google.com/spreadsheets/d/161aHT6vVT3SLneTKD19N5qVWtnj_jIT8CSsOmUVKmaA/e"&amp;"dit?gid=1761053510"",
          ""Haris_Form responses 1!$AQ:$AQ"")=3)
      ),
      1
    ),
    ""0""
  ),
  ""Form not found""
)
"),"0")</f>
        <v>0</v>
      </c>
      <c r="AO2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1!$E:$E"")=$B264) *
        (IMPORTRANGE(""https://docs.google.com/spreadsheets/d/161aHT6vVT3SLneTKD19N5qVWtnj_jIT8CSsOmUVKmaA/e"&amp;"dit?gid=1761053510"",
          ""Haris_Form responses 1!$AQ:$AQ"")=4)
      ),
      1
    ),
    ""0""
  ),
  ""Form not found""
)
"),"Form not found")</f>
        <v>Form not found</v>
      </c>
      <c r="AP2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1!$E:$E"")=$B264) *
        (IMPORTRANGE(""https://docs.google.com/spreadsheets/d/161aHT6vVT3SLneTKD19N5qVWtnj_jIT8CSsOmUVKmaA/e"&amp;"dit?gid=1761053510"",
          ""Haris_Form responses 1!$AQ:$AQ"")=5)
      ),
      1
    ),
    ""0""
  ),
  ""Form not found""
)
"),"Form not found")</f>
        <v>Form not found</v>
      </c>
      <c r="AQ26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1!$E:$E"")=$B264) *
        (IMPORTRANGE(""https://docs.google.com/spreadsheets/d/161aHT6vVT3SLneTKD19N5qVWtnj_jIT8CSsOmUVKmaA/e"&amp;"dit?gid=1761053510"",
          ""Haris_Form responses 1!$AQ:$AQ"")=6)
      ),
      1
    ),
    ""0""
  ),
  ""Form not found""
)
"),"Form not found")</f>
        <v>Form not found</v>
      </c>
      <c r="AR2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1!$E:$E"")=$B264) *
        (IMPORTRANGE(""https://docs.google.com/spreadsheets/d/161aHT6vVT3SLneTKD19N5qVWtnj_jIT8CSsOmUVKmaA/e"&amp;"dit?gid=1761053510"",
          ""Haris_Form responses 1!$AQ:$AQ"")=1)
      ),
      1
    ),
    ""0""
  ),
  ""Form not found""
)
"),"0")</f>
        <v>0</v>
      </c>
      <c r="AS2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1!$E:$E"")=$B264) *
        (IMPORTRANGE(""https://docs.google.com/spreadsheets/d/161aHT6vVT3SLneTKD19N5qVWtnj_jIT8CSsOmUVKmaA/e"&amp;"dit?gid=1761053510"",
          ""Haris_Form responses 1!$AQ:$AQ"")=2)
      ),
      1
    ),
    ""0""
  ),
  ""Form not found""
)
"),"0")</f>
        <v>0</v>
      </c>
      <c r="AT2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1!$E:$E"")=$B264) *
        (IMPORTRANGE(""https://docs.google.com/spreadsheets/d/161aHT6vVT3SLneTKD19N5qVWtnj_jIT8CSsOmUVKmaA/e"&amp;"dit?gid=1761053510"",
          ""Haris_Form responses 1!$AQ:$AQ"")=3)
      ),
      1
    ),
    ""0""
  ),
  ""Form not found""
)
"),"0")</f>
        <v>0</v>
      </c>
      <c r="AU2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1!$E:$E"")=$B264) *
        (IMPORTRANGE(""https://docs.google.com/spreadsheets/d/161aHT6vVT3SLneTKD19N5qVWtnj_jIT8CSsOmUVKmaA/e"&amp;"dit?gid=1761053510"",
          ""Haris_Form responses 1!$AQ:$AQ"")=4)
      ),
      1
    ),
    ""0""
  ),
  ""Form not found""
)
"),"Form not found")</f>
        <v>Form not found</v>
      </c>
      <c r="AV2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1!$E:$E"")=$B264) *
        (IMPORTRANGE(""https://docs.google.com/spreadsheets/d/161aHT6vVT3SLneTKD19N5qVWtnj_jIT8CSsOmUVKmaA/e"&amp;"dit?gid=1761053510"",
          ""Haris_Form responses 1!$AQ:$AQ"")=5)
      ),
      1
    ),
    ""0""
  ),
  ""Form not found""
)
"),"Form not found")</f>
        <v>Form not found</v>
      </c>
      <c r="AW26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1!$E:$E"")=$B264) *
        (IMPORTRANGE(""https://docs.google.com/spreadsheets/d/161aHT6vVT3SLneTKD19N5qVWtnj_jIT8CSsOmUVKmaA/e"&amp;"dit?gid=1761053510"",
          ""Haris_Form responses 1!$AQ:$AQ"")=6)
      ),
      1
    ),
    ""0""
  ),
  ""Form not found""
)
"),"Form not found")</f>
        <v>Form not found</v>
      </c>
      <c r="AX2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1!$E:$E"")=$B264) *
        (IMPORTRANGE(""https://docs.google.com/spreadsheets/d/161aHT6vVT3SLneTKD19N5qVWtnj_jIT8CSsOmUVKmaA/e"&amp;"dit?gid=1761053510"",
          ""Haris_Form responses 1!$AQ:$AQ"")=1)
      ),
      1
    ),
    ""0""
  ),
  ""Form not found""
)
"),"8")</f>
        <v>8</v>
      </c>
      <c r="AY2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1!$E:$E"")=$B264) *
        (IMPORTRANGE(""https://docs.google.com/spreadsheets/d/161aHT6vVT3SLneTKD19N5qVWtnj_jIT8CSsOmUVKmaA/e"&amp;"dit?gid=1761053510"",
          ""Haris_Form responses 1!$AQ:$AQ"")=2)
      ),
      1
    ),
    ""0""
  ),
  ""Form not found""
)
"),"8")</f>
        <v>8</v>
      </c>
      <c r="AZ2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1!$E:$E"")=$B264) *
        (IMPORTRANGE(""https://docs.google.com/spreadsheets/d/161aHT6vVT3SLneTKD19N5qVWtnj_jIT8CSsOmUVKmaA/e"&amp;"dit?gid=1761053510"",
          ""Haris_Form responses 1!$AQ:$AQ"")=3)
      ),
      1
    ),
    ""0""
  ),
  ""Form not found""
)
"),"0")</f>
        <v>0</v>
      </c>
      <c r="BA2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1!$E:$E"")=$B264) *
        (IMPORTRANGE(""https://docs.google.com/spreadsheets/d/161aHT6vVT3SLneTKD19N5qVWtnj_jIT8CSsOmUVKmaA/e"&amp;"dit?gid=1761053510"",
          ""Haris_Form responses 1!$AQ:$AQ"")=4)
      ),
      1
    ),
    ""0""
  ),
  ""Form not found""
)
"),"Form not found")</f>
        <v>Form not found</v>
      </c>
      <c r="BB2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1!$E:$E"")=$B264) *
        (IMPORTRANGE(""https://docs.google.com/spreadsheets/d/161aHT6vVT3SLneTKD19N5qVWtnj_jIT8CSsOmUVKmaA/e"&amp;"dit?gid=1761053510"",
          ""Haris_Form responses 1!$AQ:$AQ"")=5)
      ),
      1
    ),
    ""0""
  ),
  ""Form not found""
)
"),"Form not found")</f>
        <v>Form not found</v>
      </c>
      <c r="BC26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1!$E:$E"")=$B264) *
        (IMPORTRANGE(""https://docs.google.com/spreadsheets/d/161aHT6vVT3SLneTKD19N5qVWtnj_jIT8CSsOmUVKmaA/e"&amp;"dit?gid=1761053510"",
          ""Haris_Form responses 1!$AQ:$AQ"")=6)
      ),
      1
    ),
    ""0""
  ),
  ""Form not found""
)
"),"Form not found")</f>
        <v>Form not found</v>
      </c>
      <c r="BD264" s="293"/>
    </row>
    <row r="265">
      <c r="A265" s="283" t="str">
        <f>IFERROR(__xludf.DUMMYFUNCTION("VLOOKUP($B265,IMPORTRANGE(""https://docs.google.com/spreadsheets/d/1VNXDITjs75AcgdBSW27oL1VZH31udDprJSsBcE5xlp4/edit?gid=1551188038#gid=1551188038"", ""Sheet9!$B:$E""),2,false)"),"Jhang")</f>
        <v>Jhang</v>
      </c>
      <c r="B265" s="283" t="s">
        <v>4019</v>
      </c>
      <c r="C265" s="284" t="str">
        <f>IFERROR(__xludf.DUMMYFUNCTION("VLOOKUP(TRIM($B265), IMPORTRANGE(""https://docs.google.com/spreadsheets/d/1aSOrU4PTpuBZqfitKaH1Rfww6-YOiNCKoBpPl8XBHaw/edit?gid=0#gid=0"", ""sheet3!$B:$C""), 2, FALSE)
"),"Jamia Masjid Muhammadiya Waqaf Yaseeni Kot Laal Wariyaam Jhang")</f>
        <v>Jamia Masjid Muhammadiya Waqaf Yaseeni Kot Laal Wariyaam Jhang</v>
      </c>
      <c r="D265" s="284" t="str">
        <f>IFERROR(__xludf.DUMMYFUNCTION("IFERROR(
  INDEX(
    FILTER(
      IMPORTRANGE(""1aSOrU4PTpuBZqfitKaH1Rfww6-YOiNCKoBpPl8XBHaw/edit?gid=0#gid=0"",""Sheet1!G:G""),
      IMPORTRANGE(""1aSOrU4PTpuBZqfitKaH1Rfww6-YOiNCKoBpPl8XBHaw/edit?gid=0#gid=0"",""Sheet1!C:C"")=$B265
    ),
    1
  ),
"&amp;"  ""Not Found""
)"),"Control")</f>
        <v>Control</v>
      </c>
      <c r="E265" s="284" t="str">
        <f>VLOOKUP(B265,'Juma Recording forms'!A:E,5,false)</f>
        <v>Jamia masjad muhammdiya waqaf yaseenii </v>
      </c>
      <c r="F265" s="284" t="str">
        <f>IFERROR(__xludf.DUMMYFUNCTION("IFERROR(
  INDEX(
    FILTER(
      IMPORTRANGE(""1Cxrhp3-_-HS7v9uuqQliiIfrmMP4VaFoDNDWyUFy2J8/edit?gid=0#gid=0"",""Sheet1!Q:Q""),
      IMPORTRANGE(""1Cxrhp3-_-HS7v9uuqQliiIfrmMP4VaFoDNDWyUFy2J8/edit?gid=0#gid=0"",""Sheet1!K:K"")=$B265
    ),
    1
  ),
"&amp;"  ""Not Found""
)"),"qari muhammad waris")</f>
        <v>qari muhammad waris</v>
      </c>
      <c r="G265" s="284">
        <v>1906.0</v>
      </c>
      <c r="H265" s="284"/>
      <c r="I265" s="285" t="s">
        <v>197</v>
      </c>
      <c r="J265" s="286">
        <v>1.0</v>
      </c>
      <c r="K265" s="287" t="str">
        <f>VLOOKUP($B265,'Mosque Locations'!$A:$E,3,FALSE)
</f>
        <v>https://maps.google.com/maps?q=30.9630071%2C72.2541962&amp;z=17&amp;hl=en</v>
      </c>
      <c r="L265" s="286">
        <f>VLOOKUP($B265,'Mosque Locations'!$A:$E,4,FALSE)
</f>
        <v>30.96301</v>
      </c>
      <c r="M265" s="286">
        <f>VLOOKUP($B265,'Mosque Locations'!$A:$E,5,false)</f>
        <v>72.2542</v>
      </c>
      <c r="N265" s="288"/>
      <c r="O265" s="288"/>
      <c r="P265" s="288"/>
      <c r="Q265" s="295" t="str">
        <f>IFERROR(__xludf.DUMMYFUNCTION("IFERROR(
  INDEX(
    FILTER(
      IMPORTRANGE(""1kOrIKZmJfNUkgOVP3sI9BPjaaPA0_a4636oymQxTXg8"",""Form Responses 1!N:N""),
      TRIM(IMPORTRANGE(""1kOrIKZmJfNUkgOVP3sI9BPjaaPA0_a4636oymQxTXg8"",""Form Responses 1!F:F""))=TRIM($B265)
    ),
    1
  ),
  "&amp;"""Not Found""
)
"),"https://drive.google.com/file/d/1ESAVaNOexKV3MNhDm5vsWAQnVFyMOESz/view?usp=drive_link")</f>
        <v>https://drive.google.com/file/d/1ESAVaNOexKV3MNhDm5vsWAQnVFyMOESz/view?usp=drive_link</v>
      </c>
      <c r="R265" s="290" t="str">
        <f>IFERROR(__xludf.DUMMYFUNCTION("IFERROR(
  INDEX(
    FILTER(
      IMPORTRANGE(""1kOrIKZmJfNUkgOVP3sI9BPjaaPA0_a4636oymQxTXg8"",""Form Responses 1!M:M""),
      TRIM(IMPORTRANGE(""1kOrIKZmJfNUkgOVP3sI9BPjaaPA0_a4636oymQxTXg8"",""Form Responses 1!F:F""))=TRIM($B265)
    ),
    1
  ),
  "&amp;"""Not Found""
)
"),"https://drive.google.com/open?id=16QvgKwueF4qbMgvf3UvqiO-nyXR33a5-")</f>
        <v>https://drive.google.com/open?id=16QvgKwueF4qbMgvf3UvqiO-nyXR33a5-</v>
      </c>
      <c r="S265" s="285"/>
      <c r="T265" s="290" t="str">
        <f>VLOOKUP($B265,'Master Tracker'!D:E,2,false)</f>
        <v>https://drive.google.com/file/d/1Douae81TShvI4JuIKV0kSI5IKf8TzCVV/view?usp=drive_link</v>
      </c>
      <c r="U265" s="291" t="str">
        <f>VLOOKUP($B265,'Master Tracker'!$D:$T,4,FALSE)
</f>
        <v>https://drive.google.com/open?id=1NS8hcHBkT-gjiSkm-FYkwLqQeAlGQ-_y8LGSm4iO--U</v>
      </c>
      <c r="V265" s="284" t="str">
        <f>VLOOKUP($B265,'Master Tracker'!$D:$T,5,false)</f>
        <v>Not Found</v>
      </c>
      <c r="W265" s="292" t="str">
        <f>VLOOKUP($B265,'Master Tracker'!$D:$T,7,false)</f>
        <v>Not Found</v>
      </c>
      <c r="X265" s="290" t="str">
        <f>VLOOKUP($B265,'Master Tracker'!$D:$T,8,false)</f>
        <v>https://drive.google.com/file/d/1W6Fq1gT8EL_yNDJAEh9jU1sRtAu9Qz4l/view?usp=sharing</v>
      </c>
      <c r="Y265" s="291" t="str">
        <f>VLOOKUP($B265,'Master Tracker'!$D:$T,10,false)</f>
        <v>https://drive.google.com/open?id=1jFGijoa5diSknR9uC3JjF_lbdNB_u8-APgPz5VPRLWk</v>
      </c>
      <c r="Z265" s="284" t="str">
        <f>VLOOKUP($B265,'Master Tracker'!$D:$T,11,false)</f>
        <v>Not Found</v>
      </c>
      <c r="AA265" s="292" t="str">
        <f>VLOOKUP($B265,'Master Tracker'!$D:$T,13,false)</f>
        <v>Not Found</v>
      </c>
      <c r="AB265" s="284" t="str">
        <f>VLOOKUP($B265,'Master Tracker'!$D:$T,14,false)</f>
        <v>Not Found</v>
      </c>
      <c r="AC265" s="292" t="str">
        <f>VLOOKUP($B265,'Master Tracker'!$D:$T,16,false)</f>
        <v>Not Found</v>
      </c>
      <c r="AD265" s="292" t="str">
        <f>VLOOKUP($B265,'Master Tracker'!$D:$T,17,false)</f>
        <v>Not Found</v>
      </c>
      <c r="AE265" s="292" t="str">
        <f>VLOOKUP($B265,'Master Tracker'!$D:$V,19,false)</f>
        <v>Not Found</v>
      </c>
      <c r="AF265" s="292">
        <f>IFERROR(__xludf.DUMMYFUNCTION("IFERROR(
  INDEX(
    FILTER(
      'Juma Recording forms'!$G:$G,
      TRIM('Juma Recording forms'!$F:$F) = TRIM($B265),
      'Juma Recording forms'!$AA:$AA = 1
    ),
    1
  ),
  ""Not Found""
)"),150.0)</f>
        <v>150</v>
      </c>
      <c r="AG265" s="292" t="str">
        <f>IFERROR(__xludf.DUMMYFUNCTION("IFERROR(
  INDEX(
    FILTER(
      'Juma Recording forms'!$G:$G,
      TRIM('Juma Recording forms'!$F:$F) = TRIM($B265),
      'Juma Recording forms'!$AA:$AA = 2
    ),
    1
  ),
  ""Not Found""
)"),"Not Found")</f>
        <v>Not Found</v>
      </c>
      <c r="AH265" s="292">
        <f>IFERROR(__xludf.DUMMYFUNCTION("IFERROR(
  INDEX(
    FILTER(
      'Juma Recording forms'!$G:$G,
      TRIM('Juma Recording forms'!$F:$F) = TRIM($B265),
      'Juma Recording forms'!$AA:$AA = 3
    ),
    1
  ),
  ""Not Found""
)"),100.0)</f>
        <v>100</v>
      </c>
      <c r="AI265" s="292" t="str">
        <f>IFERROR(__xludf.DUMMYFUNCTION("IFERROR(
  INDEX(
    FILTER(
      'Juma Recording forms'!$G:$G,
      TRIM('Juma Recording forms'!$F:$F) = TRIM($B265),
      'Juma Recording forms'!$AA:$AA = 4
    ),
    1
  ),
  ""Not Found""
)"),"Not Found")</f>
        <v>Not Found</v>
      </c>
      <c r="AJ265" s="292" t="str">
        <f>IFERROR(__xludf.DUMMYFUNCTION("IFERROR(
  INDEX(
    FILTER(
      'Juma Recording forms'!$G:$G,
      TRIM('Juma Recording forms'!$F:$F) = TRIM($B265),
      'Juma Recording forms'!$AA:$AA = 5
    ),
    1
  ),
  ""Not Found""
)"),"Not Found")</f>
        <v>Not Found</v>
      </c>
      <c r="AK265" s="292" t="str">
        <f>IFERROR(__xludf.DUMMYFUNCTION("IFERROR(
  INDEX(
    FILTER(
      'Juma Recording forms'!$G:$G,
      TRIM('Juma Recording forms'!$F:$F) = TRIM($B265),
      'Juma Recording forms'!$AA:$AA = 6
    ),
    1
  ),
  ""Not Found""
)"),"Not Found")</f>
        <v>Not Found</v>
      </c>
      <c r="AL2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1!$E:$E"")=$B265) *
        (IMPORTRANGE(""https://docs.google.com/spreadsheets/d/161aHT6vVT3SLneTKD19N5qVWtnj_jIT8CSsOmUVKmaA/e"&amp;"dit?gid=1761053510"",
          ""Haris_Form responses 1!$AQ:$AQ"")=1)
      ),
      1
    ),
    ""0""
  ),
  ""Form not found""
)
"),"0")</f>
        <v>0</v>
      </c>
      <c r="AM2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1!$E:$E"")=$B265) *
        (IMPORTRANGE(""https://docs.google.com/spreadsheets/d/161aHT6vVT3SLneTKD19N5qVWtnj_jIT8CSsOmUVKmaA/e"&amp;"dit?gid=1761053510"",
          ""Haris_Form responses 1!$AQ:$AQ"")=2)
      ),
      1
    ),
    ""0""
  ),
  ""Form not found""
)
"),"Form not found")</f>
        <v>Form not found</v>
      </c>
      <c r="AN2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1!$E:$E"")=$B265) *
        (IMPORTRANGE(""https://docs.google.com/spreadsheets/d/161aHT6vVT3SLneTKD19N5qVWtnj_jIT8CSsOmUVKmaA/e"&amp;"dit?gid=1761053510"",
          ""Haris_Form responses 1!$AQ:$AQ"")=3)
      ),
      1
    ),
    ""0""
  ),
  ""Form not found""
)
"),"0")</f>
        <v>0</v>
      </c>
      <c r="AO2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1!$E:$E"")=$B265) *
        (IMPORTRANGE(""https://docs.google.com/spreadsheets/d/161aHT6vVT3SLneTKD19N5qVWtnj_jIT8CSsOmUVKmaA/e"&amp;"dit?gid=1761053510"",
          ""Haris_Form responses 1!$AQ:$AQ"")=4)
      ),
      1
    ),
    ""0""
  ),
  ""Form not found""
)
"),"Form not found")</f>
        <v>Form not found</v>
      </c>
      <c r="AP2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1!$E:$E"")=$B265) *
        (IMPORTRANGE(""https://docs.google.com/spreadsheets/d/161aHT6vVT3SLneTKD19N5qVWtnj_jIT8CSsOmUVKmaA/e"&amp;"dit?gid=1761053510"",
          ""Haris_Form responses 1!$AQ:$AQ"")=5)
      ),
      1
    ),
    ""0""
  ),
  ""Form not found""
)
"),"Form not found")</f>
        <v>Form not found</v>
      </c>
      <c r="AQ26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1!$E:$E"")=$B265) *
        (IMPORTRANGE(""https://docs.google.com/spreadsheets/d/161aHT6vVT3SLneTKD19N5qVWtnj_jIT8CSsOmUVKmaA/e"&amp;"dit?gid=1761053510"",
          ""Haris_Form responses 1!$AQ:$AQ"")=6)
      ),
      1
    ),
    ""0""
  ),
  ""Form not found""
)
"),"Form not found")</f>
        <v>Form not found</v>
      </c>
      <c r="AR2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1!$E:$E"")=$B265) *
        (IMPORTRANGE(""https://docs.google.com/spreadsheets/d/161aHT6vVT3SLneTKD19N5qVWtnj_jIT8CSsOmUVKmaA/e"&amp;"dit?gid=1761053510"",
          ""Haris_Form responses 1!$AQ:$AQ"")=1)
      ),
      1
    ),
    ""0""
  ),
  ""Form not found""
)
"),"0")</f>
        <v>0</v>
      </c>
      <c r="AS2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1!$E:$E"")=$B265) *
        (IMPORTRANGE(""https://docs.google.com/spreadsheets/d/161aHT6vVT3SLneTKD19N5qVWtnj_jIT8CSsOmUVKmaA/e"&amp;"dit?gid=1761053510"",
          ""Haris_Form responses 1!$AQ:$AQ"")=2)
      ),
      1
    ),
    ""0""
  ),
  ""Form not found""
)
"),"Form not found")</f>
        <v>Form not found</v>
      </c>
      <c r="AT2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1!$E:$E"")=$B265) *
        (IMPORTRANGE(""https://docs.google.com/spreadsheets/d/161aHT6vVT3SLneTKD19N5qVWtnj_jIT8CSsOmUVKmaA/e"&amp;"dit?gid=1761053510"",
          ""Haris_Form responses 1!$AQ:$AQ"")=3)
      ),
      1
    ),
    ""0""
  ),
  ""Form not found""
)
"),"1")</f>
        <v>1</v>
      </c>
      <c r="AU2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1!$E:$E"")=$B265) *
        (IMPORTRANGE(""https://docs.google.com/spreadsheets/d/161aHT6vVT3SLneTKD19N5qVWtnj_jIT8CSsOmUVKmaA/e"&amp;"dit?gid=1761053510"",
          ""Haris_Form responses 1!$AQ:$AQ"")=4)
      ),
      1
    ),
    ""0""
  ),
  ""Form not found""
)
"),"Form not found")</f>
        <v>Form not found</v>
      </c>
      <c r="AV2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1!$E:$E"")=$B265) *
        (IMPORTRANGE(""https://docs.google.com/spreadsheets/d/161aHT6vVT3SLneTKD19N5qVWtnj_jIT8CSsOmUVKmaA/e"&amp;"dit?gid=1761053510"",
          ""Haris_Form responses 1!$AQ:$AQ"")=5)
      ),
      1
    ),
    ""0""
  ),
  ""Form not found""
)
"),"Form not found")</f>
        <v>Form not found</v>
      </c>
      <c r="AW26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1!$E:$E"")=$B265) *
        (IMPORTRANGE(""https://docs.google.com/spreadsheets/d/161aHT6vVT3SLneTKD19N5qVWtnj_jIT8CSsOmUVKmaA/e"&amp;"dit?gid=1761053510"",
          ""Haris_Form responses 1!$AQ:$AQ"")=6)
      ),
      1
    ),
    ""0""
  ),
  ""Form not found""
)
"),"Form not found")</f>
        <v>Form not found</v>
      </c>
      <c r="AX2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1!$E:$E"")=$B265) *
        (IMPORTRANGE(""https://docs.google.com/spreadsheets/d/161aHT6vVT3SLneTKD19N5qVWtnj_jIT8CSsOmUVKmaA/e"&amp;"dit?gid=1761053510"",
          ""Haris_Form responses 1!$AQ:$AQ"")=1)
      ),
      1
    ),
    ""0""
  ),
  ""Form not found""
)
"),"1")</f>
        <v>1</v>
      </c>
      <c r="AY2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1!$E:$E"")=$B265) *
        (IMPORTRANGE(""https://docs.google.com/spreadsheets/d/161aHT6vVT3SLneTKD19N5qVWtnj_jIT8CSsOmUVKmaA/e"&amp;"dit?gid=1761053510"",
          ""Haris_Form responses 1!$AQ:$AQ"")=2)
      ),
      1
    ),
    ""0""
  ),
  ""Form not found""
)
"),"Form not found")</f>
        <v>Form not found</v>
      </c>
      <c r="AZ2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1!$E:$E"")=$B265) *
        (IMPORTRANGE(""https://docs.google.com/spreadsheets/d/161aHT6vVT3SLneTKD19N5qVWtnj_jIT8CSsOmUVKmaA/e"&amp;"dit?gid=1761053510"",
          ""Haris_Form responses 1!$AQ:$AQ"")=3)
      ),
      1
    ),
    ""0""
  ),
  ""Form not found""
)
"),"1")</f>
        <v>1</v>
      </c>
      <c r="BA2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1!$E:$E"")=$B265) *
        (IMPORTRANGE(""https://docs.google.com/spreadsheets/d/161aHT6vVT3SLneTKD19N5qVWtnj_jIT8CSsOmUVKmaA/e"&amp;"dit?gid=1761053510"",
          ""Haris_Form responses 1!$AQ:$AQ"")=4)
      ),
      1
    ),
    ""0""
  ),
  ""Form not found""
)
"),"Form not found")</f>
        <v>Form not found</v>
      </c>
      <c r="BB2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1!$E:$E"")=$B265) *
        (IMPORTRANGE(""https://docs.google.com/spreadsheets/d/161aHT6vVT3SLneTKD19N5qVWtnj_jIT8CSsOmUVKmaA/e"&amp;"dit?gid=1761053510"",
          ""Haris_Form responses 1!$AQ:$AQ"")=5)
      ),
      1
    ),
    ""0""
  ),
  ""Form not found""
)
"),"Form not found")</f>
        <v>Form not found</v>
      </c>
      <c r="BC26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1!$E:$E"")=$B265) *
        (IMPORTRANGE(""https://docs.google.com/spreadsheets/d/161aHT6vVT3SLneTKD19N5qVWtnj_jIT8CSsOmUVKmaA/e"&amp;"dit?gid=1761053510"",
          ""Haris_Form responses 1!$AQ:$AQ"")=6)
      ),
      1
    ),
    ""0""
  ),
  ""Form not found""
)
"),"Form not found")</f>
        <v>Form not found</v>
      </c>
      <c r="BD265" s="293"/>
    </row>
    <row r="266">
      <c r="A266" s="283" t="str">
        <f>IFERROR(__xludf.DUMMYFUNCTION("VLOOKUP($B266,IMPORTRANGE(""https://docs.google.com/spreadsheets/d/1VNXDITjs75AcgdBSW27oL1VZH31udDprJSsBcE5xlp4/edit?gid=1551188038#gid=1551188038"", ""Sheet9!$B:$E""),2,false)"),"Jhang")</f>
        <v>Jhang</v>
      </c>
      <c r="B266" s="283" t="s">
        <v>3995</v>
      </c>
      <c r="C266" s="284" t="str">
        <f>IFERROR(__xludf.DUMMYFUNCTION("VLOOKUP(TRIM($B266), IMPORTRANGE(""https://docs.google.com/spreadsheets/d/1aSOrU4PTpuBZqfitKaH1Rfww6-YOiNCKoBpPl8XBHaw/edit?gid=0#gid=0"", ""sheet3!$B:$C""), 2, FALSE)
"),"Jamia Masjid Haji Muhammad Din Shorkot Cant")</f>
        <v>Jamia Masjid Haji Muhammad Din Shorkot Cant</v>
      </c>
      <c r="D266" s="284" t="str">
        <f>IFERROR(__xludf.DUMMYFUNCTION("IFERROR(
  INDEX(
    FILTER(
      IMPORTRANGE(""1aSOrU4PTpuBZqfitKaH1Rfww6-YOiNCKoBpPl8XBHaw/edit?gid=0#gid=0"",""Sheet1!G:G""),
      IMPORTRANGE(""1aSOrU4PTpuBZqfitKaH1Rfww6-YOiNCKoBpPl8XBHaw/edit?gid=0#gid=0"",""Sheet1!C:C"")=$B266
    ),
    1
  ),
"&amp;"  ""Not Found""
)"),"Control")</f>
        <v>Control</v>
      </c>
      <c r="E266" s="284" t="str">
        <f>VLOOKUP(B266,'Juma Recording forms'!A:E,5,false)</f>
        <v>Jamia masjid haji Muhammad dean shorkot cuntt</v>
      </c>
      <c r="F266" s="284" t="str">
        <f>IFERROR(__xludf.DUMMYFUNCTION("IFERROR(
  INDEX(
    FILTER(
      IMPORTRANGE(""1Cxrhp3-_-HS7v9uuqQliiIfrmMP4VaFoDNDWyUFy2J8/edit?gid=0#gid=0"",""Sheet1!Q:Q""),
      IMPORTRANGE(""1Cxrhp3-_-HS7v9uuqQliiIfrmMP4VaFoDNDWyUFy2J8/edit?gid=0#gid=0"",""Sheet1!K:K"")=$B266
    ),
    1
  ),
"&amp;"  ""Not Found""
)"),"Not Found")</f>
        <v>Not Found</v>
      </c>
      <c r="G266" s="284"/>
      <c r="H266" s="284"/>
      <c r="I266" s="285" t="s">
        <v>197</v>
      </c>
      <c r="J266" s="286">
        <v>1.0</v>
      </c>
      <c r="K266" s="287" t="str">
        <f>VLOOKUP($B266,'Mosque Locations'!$A:$E,3,FALSE)
</f>
        <v>https://maps.google.com/maps?q=30.9679634%2C72.2743134&amp;z=17&amp;hl=en</v>
      </c>
      <c r="L266" s="286">
        <f>VLOOKUP($B266,'Mosque Locations'!$A:$E,4,FALSE)
</f>
        <v>30.96796</v>
      </c>
      <c r="M266" s="286">
        <f>VLOOKUP($B266,'Mosque Locations'!$A:$E,5,false)</f>
        <v>72.27431</v>
      </c>
      <c r="N266" s="288"/>
      <c r="O266" s="288"/>
      <c r="P266" s="288"/>
      <c r="Q266" s="295" t="str">
        <f>IFERROR(__xludf.DUMMYFUNCTION("IFERROR(
  INDEX(
    FILTER(
      IMPORTRANGE(""1kOrIKZmJfNUkgOVP3sI9BPjaaPA0_a4636oymQxTXg8"",""Form Responses 1!N:N""),
      TRIM(IMPORTRANGE(""1kOrIKZmJfNUkgOVP3sI9BPjaaPA0_a4636oymQxTXg8"",""Form Responses 1!F:F""))=TRIM($B266)
    ),
    1
  ),
  "&amp;"""Not Found""
)
"),"https://drive.google.com/file/d/1AwAMMaMm3tpIDr0WhmZcfTSjDfmm4HZf/view?usp=drive_link")</f>
        <v>https://drive.google.com/file/d/1AwAMMaMm3tpIDr0WhmZcfTSjDfmm4HZf/view?usp=drive_link</v>
      </c>
      <c r="R266" s="290" t="str">
        <f>IFERROR(__xludf.DUMMYFUNCTION("IFERROR(
  INDEX(
    FILTER(
      IMPORTRANGE(""1kOrIKZmJfNUkgOVP3sI9BPjaaPA0_a4636oymQxTXg8"",""Form Responses 1!M:M""),
      TRIM(IMPORTRANGE(""1kOrIKZmJfNUkgOVP3sI9BPjaaPA0_a4636oymQxTXg8"",""Form Responses 1!F:F""))=TRIM($B266)
    ),
    1
  ),
  "&amp;"""Not Found""
)
"),"https://drive.google.com/open?id=11oglMHHxNW1lAewRwlkpRDnGYT3vc5WN")</f>
        <v>https://drive.google.com/open?id=11oglMHHxNW1lAewRwlkpRDnGYT3vc5WN</v>
      </c>
      <c r="S266" s="285"/>
      <c r="T266" s="290" t="str">
        <f>VLOOKUP($B266,'Master Tracker'!D:E,2,false)</f>
        <v>https://drive.google.com/file/d/1R0BO1xlOMqSmGQ1zLaGHMjYIht53K3TA/view?usp=drive_link</v>
      </c>
      <c r="U266" s="291" t="str">
        <f>VLOOKUP($B266,'Master Tracker'!$D:$T,4,FALSE)
</f>
        <v>https://drive.google.com/open?id=1UEnbJOhpDdoDKmPk3lkE00vdXxbsT6gn</v>
      </c>
      <c r="V266" s="284" t="str">
        <f>VLOOKUP($B266,'Master Tracker'!$D:$T,5,false)</f>
        <v>Not Found</v>
      </c>
      <c r="W266" s="292" t="str">
        <f>VLOOKUP($B266,'Master Tracker'!$D:$T,7,false)</f>
        <v>Not Found</v>
      </c>
      <c r="X266" s="290" t="str">
        <f>VLOOKUP($B266,'Master Tracker'!$D:$T,8,false)</f>
        <v>https://drive.google.com/file/d/17MpiAK21toXFxuGnekJWmvCx2-XR4gN8/view?usp=drive_link</v>
      </c>
      <c r="Y266" s="291" t="str">
        <f>VLOOKUP($B266,'Master Tracker'!$D:$T,10,false)</f>
        <v>https://drive.google.com/open?id=1L_s5mWAVdn2Bf5O2sxpyvg-_SeofUbguX_YaGLNh7W4</v>
      </c>
      <c r="Z266" s="284" t="str">
        <f>VLOOKUP($B266,'Master Tracker'!$D:$T,11,false)</f>
        <v>Not Found</v>
      </c>
      <c r="AA266" s="292" t="str">
        <f>VLOOKUP($B266,'Master Tracker'!$D:$T,13,false)</f>
        <v>Not Found</v>
      </c>
      <c r="AB266" s="284" t="str">
        <f>VLOOKUP($B266,'Master Tracker'!$D:$T,14,false)</f>
        <v>Not Found</v>
      </c>
      <c r="AC266" s="292" t="str">
        <f>VLOOKUP($B266,'Master Tracker'!$D:$T,16,false)</f>
        <v>Not Found</v>
      </c>
      <c r="AD266" s="292" t="str">
        <f>VLOOKUP($B266,'Master Tracker'!$D:$T,17,false)</f>
        <v>Not Found</v>
      </c>
      <c r="AE266" s="292" t="str">
        <f>VLOOKUP($B266,'Master Tracker'!$D:$V,19,false)</f>
        <v>Not Found</v>
      </c>
      <c r="AF266" s="292">
        <f>IFERROR(__xludf.DUMMYFUNCTION("IFERROR(
  INDEX(
    FILTER(
      'Juma Recording forms'!$G:$G,
      TRIM('Juma Recording forms'!$F:$F) = TRIM($B266),
      'Juma Recording forms'!$AA:$AA = 1
    ),
    1
  ),
  ""Not Found""
)"),200.0)</f>
        <v>200</v>
      </c>
      <c r="AG266" s="292" t="str">
        <f>IFERROR(__xludf.DUMMYFUNCTION("IFERROR(
  INDEX(
    FILTER(
      'Juma Recording forms'!$G:$G,
      TRIM('Juma Recording forms'!$F:$F) = TRIM($B266),
      'Juma Recording forms'!$AA:$AA = 2
    ),
    1
  ),
  ""Not Found""
)"),"Not Found")</f>
        <v>Not Found</v>
      </c>
      <c r="AH266" s="292">
        <f>IFERROR(__xludf.DUMMYFUNCTION("IFERROR(
  INDEX(
    FILTER(
      'Juma Recording forms'!$G:$G,
      TRIM('Juma Recording forms'!$F:$F) = TRIM($B266),
      'Juma Recording forms'!$AA:$AA = 3
    ),
    1
  ),
  ""Not Found""
)"),150.0)</f>
        <v>150</v>
      </c>
      <c r="AI266" s="292" t="str">
        <f>IFERROR(__xludf.DUMMYFUNCTION("IFERROR(
  INDEX(
    FILTER(
      'Juma Recording forms'!$G:$G,
      TRIM('Juma Recording forms'!$F:$F) = TRIM($B266),
      'Juma Recording forms'!$AA:$AA = 4
    ),
    1
  ),
  ""Not Found""
)"),"Not Found")</f>
        <v>Not Found</v>
      </c>
      <c r="AJ266" s="292" t="str">
        <f>IFERROR(__xludf.DUMMYFUNCTION("IFERROR(
  INDEX(
    FILTER(
      'Juma Recording forms'!$G:$G,
      TRIM('Juma Recording forms'!$F:$F) = TRIM($B266),
      'Juma Recording forms'!$AA:$AA = 5
    ),
    1
  ),
  ""Not Found""
)"),"Not Found")</f>
        <v>Not Found</v>
      </c>
      <c r="AK266" s="292" t="str">
        <f>IFERROR(__xludf.DUMMYFUNCTION("IFERROR(
  INDEX(
    FILTER(
      'Juma Recording forms'!$G:$G,
      TRIM('Juma Recording forms'!$F:$F) = TRIM($B266),
      'Juma Recording forms'!$AA:$AA = 6
    ),
    1
  ),
  ""Not Found""
)"),"Not Found")</f>
        <v>Not Found</v>
      </c>
      <c r="AL2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1!$E:$E"")=$B266) *
        (IMPORTRANGE(""https://docs.google.com/spreadsheets/d/161aHT6vVT3SLneTKD19N5qVWtnj_jIT8CSsOmUVKmaA/e"&amp;"dit?gid=1761053510"",
          ""Haris_Form responses 1!$AQ:$AQ"")=1)
      ),
      1
    ),
    ""0""
  ),
  ""Form not found""
)
"),"0")</f>
        <v>0</v>
      </c>
      <c r="AM2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1!$E:$E"")=$B266) *
        (IMPORTRANGE(""https://docs.google.com/spreadsheets/d/161aHT6vVT3SLneTKD19N5qVWtnj_jIT8CSsOmUVKmaA/e"&amp;"dit?gid=1761053510"",
          ""Haris_Form responses 1!$AQ:$AQ"")=2)
      ),
      1
    ),
    ""0""
  ),
  ""Form not found""
)
"),"Form not found")</f>
        <v>Form not found</v>
      </c>
      <c r="AN2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1!$E:$E"")=$B266) *
        (IMPORTRANGE(""https://docs.google.com/spreadsheets/d/161aHT6vVT3SLneTKD19N5qVWtnj_jIT8CSsOmUVKmaA/e"&amp;"dit?gid=1761053510"",
          ""Haris_Form responses 1!$AQ:$AQ"")=3)
      ),
      1
    ),
    ""0""
  ),
  ""Form not found""
)
"),"0")</f>
        <v>0</v>
      </c>
      <c r="AO2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1!$E:$E"")=$B266) *
        (IMPORTRANGE(""https://docs.google.com/spreadsheets/d/161aHT6vVT3SLneTKD19N5qVWtnj_jIT8CSsOmUVKmaA/e"&amp;"dit?gid=1761053510"",
          ""Haris_Form responses 1!$AQ:$AQ"")=4)
      ),
      1
    ),
    ""0""
  ),
  ""Form not found""
)
"),"Form not found")</f>
        <v>Form not found</v>
      </c>
      <c r="AP2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1!$E:$E"")=$B266) *
        (IMPORTRANGE(""https://docs.google.com/spreadsheets/d/161aHT6vVT3SLneTKD19N5qVWtnj_jIT8CSsOmUVKmaA/e"&amp;"dit?gid=1761053510"",
          ""Haris_Form responses 1!$AQ:$AQ"")=5)
      ),
      1
    ),
    ""0""
  ),
  ""Form not found""
)
"),"Form not found")</f>
        <v>Form not found</v>
      </c>
      <c r="AQ26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1!$E:$E"")=$B266) *
        (IMPORTRANGE(""https://docs.google.com/spreadsheets/d/161aHT6vVT3SLneTKD19N5qVWtnj_jIT8CSsOmUVKmaA/e"&amp;"dit?gid=1761053510"",
          ""Haris_Form responses 1!$AQ:$AQ"")=6)
      ),
      1
    ),
    ""0""
  ),
  ""Form not found""
)
"),"Form not found")</f>
        <v>Form not found</v>
      </c>
      <c r="AR2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1!$E:$E"")=$B266) *
        (IMPORTRANGE(""https://docs.google.com/spreadsheets/d/161aHT6vVT3SLneTKD19N5qVWtnj_jIT8CSsOmUVKmaA/e"&amp;"dit?gid=1761053510"",
          ""Haris_Form responses 1!$AQ:$AQ"")=1)
      ),
      1
    ),
    ""0""
  ),
  ""Form not found""
)
"),"0")</f>
        <v>0</v>
      </c>
      <c r="AS2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1!$E:$E"")=$B266) *
        (IMPORTRANGE(""https://docs.google.com/spreadsheets/d/161aHT6vVT3SLneTKD19N5qVWtnj_jIT8CSsOmUVKmaA/e"&amp;"dit?gid=1761053510"",
          ""Haris_Form responses 1!$AQ:$AQ"")=2)
      ),
      1
    ),
    ""0""
  ),
  ""Form not found""
)
"),"Form not found")</f>
        <v>Form not found</v>
      </c>
      <c r="AT2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1!$E:$E"")=$B266) *
        (IMPORTRANGE(""https://docs.google.com/spreadsheets/d/161aHT6vVT3SLneTKD19N5qVWtnj_jIT8CSsOmUVKmaA/e"&amp;"dit?gid=1761053510"",
          ""Haris_Form responses 1!$AQ:$AQ"")=3)
      ),
      1
    ),
    ""0""
  ),
  ""Form not found""
)
"),"0")</f>
        <v>0</v>
      </c>
      <c r="AU2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1!$E:$E"")=$B266) *
        (IMPORTRANGE(""https://docs.google.com/spreadsheets/d/161aHT6vVT3SLneTKD19N5qVWtnj_jIT8CSsOmUVKmaA/e"&amp;"dit?gid=1761053510"",
          ""Haris_Form responses 1!$AQ:$AQ"")=4)
      ),
      1
    ),
    ""0""
  ),
  ""Form not found""
)
"),"Form not found")</f>
        <v>Form not found</v>
      </c>
      <c r="AV2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1!$E:$E"")=$B266) *
        (IMPORTRANGE(""https://docs.google.com/spreadsheets/d/161aHT6vVT3SLneTKD19N5qVWtnj_jIT8CSsOmUVKmaA/e"&amp;"dit?gid=1761053510"",
          ""Haris_Form responses 1!$AQ:$AQ"")=5)
      ),
      1
    ),
    ""0""
  ),
  ""Form not found""
)
"),"Form not found")</f>
        <v>Form not found</v>
      </c>
      <c r="AW26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1!$E:$E"")=$B266) *
        (IMPORTRANGE(""https://docs.google.com/spreadsheets/d/161aHT6vVT3SLneTKD19N5qVWtnj_jIT8CSsOmUVKmaA/e"&amp;"dit?gid=1761053510"",
          ""Haris_Form responses 1!$AQ:$AQ"")=6)
      ),
      1
    ),
    ""0""
  ),
  ""Form not found""
)
"),"Form not found")</f>
        <v>Form not found</v>
      </c>
      <c r="AX2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1!$E:$E"")=$B266) *
        (IMPORTRANGE(""https://docs.google.com/spreadsheets/d/161aHT6vVT3SLneTKD19N5qVWtnj_jIT8CSsOmUVKmaA/e"&amp;"dit?gid=1761053510"",
          ""Haris_Form responses 1!$AQ:$AQ"")=1)
      ),
      1
    ),
    ""0""
  ),
  ""Form not found""
)
"),"0")</f>
        <v>0</v>
      </c>
      <c r="AY2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1!$E:$E"")=$B266) *
        (IMPORTRANGE(""https://docs.google.com/spreadsheets/d/161aHT6vVT3SLneTKD19N5qVWtnj_jIT8CSsOmUVKmaA/e"&amp;"dit?gid=1761053510"",
          ""Haris_Form responses 1!$AQ:$AQ"")=2)
      ),
      1
    ),
    ""0""
  ),
  ""Form not found""
)
"),"Form not found")</f>
        <v>Form not found</v>
      </c>
      <c r="AZ2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1!$E:$E"")=$B266) *
        (IMPORTRANGE(""https://docs.google.com/spreadsheets/d/161aHT6vVT3SLneTKD19N5qVWtnj_jIT8CSsOmUVKmaA/e"&amp;"dit?gid=1761053510"",
          ""Haris_Form responses 1!$AQ:$AQ"")=3)
      ),
      1
    ),
    ""0""
  ),
  ""Form not found""
)
"),"0")</f>
        <v>0</v>
      </c>
      <c r="BA2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1!$E:$E"")=$B266) *
        (IMPORTRANGE(""https://docs.google.com/spreadsheets/d/161aHT6vVT3SLneTKD19N5qVWtnj_jIT8CSsOmUVKmaA/e"&amp;"dit?gid=1761053510"",
          ""Haris_Form responses 1!$AQ:$AQ"")=4)
      ),
      1
    ),
    ""0""
  ),
  ""Form not found""
)
"),"Form not found")</f>
        <v>Form not found</v>
      </c>
      <c r="BB2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1!$E:$E"")=$B266) *
        (IMPORTRANGE(""https://docs.google.com/spreadsheets/d/161aHT6vVT3SLneTKD19N5qVWtnj_jIT8CSsOmUVKmaA/e"&amp;"dit?gid=1761053510"",
          ""Haris_Form responses 1!$AQ:$AQ"")=5)
      ),
      1
    ),
    ""0""
  ),
  ""Form not found""
)
"),"Form not found")</f>
        <v>Form not found</v>
      </c>
      <c r="BC26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1!$E:$E"")=$B266) *
        (IMPORTRANGE(""https://docs.google.com/spreadsheets/d/161aHT6vVT3SLneTKD19N5qVWtnj_jIT8CSsOmUVKmaA/e"&amp;"dit?gid=1761053510"",
          ""Haris_Form responses 1!$AQ:$AQ"")=6)
      ),
      1
    ),
    ""0""
  ),
  ""Form not found""
)
"),"Form not found")</f>
        <v>Form not found</v>
      </c>
      <c r="BD266" s="293"/>
    </row>
    <row r="267">
      <c r="A267" s="283" t="str">
        <f>IFERROR(__xludf.DUMMYFUNCTION("VLOOKUP($B267,IMPORTRANGE(""https://docs.google.com/spreadsheets/d/1VNXDITjs75AcgdBSW27oL1VZH31udDprJSsBcE5xlp4/edit?gid=1551188038#gid=1551188038"", ""Sheet9!$B:$E""),2,false)"),"Okara")</f>
        <v>Okara</v>
      </c>
      <c r="B267" s="283" t="s">
        <v>4674</v>
      </c>
      <c r="C267" s="284" t="str">
        <f>IFERROR(__xludf.DUMMYFUNCTION("VLOOKUP(TRIM($B267), IMPORTRANGE(""https://docs.google.com/spreadsheets/d/1aSOrU4PTpuBZqfitKaH1Rfww6-YOiNCKoBpPl8XBHaw/edit?gid=0#gid=0"", ""sheet3!$B:$C""), 2, FALSE)
"),"Jamia Masjid Hanfiya C Block Okara")</f>
        <v>Jamia Masjid Hanfiya C Block Okara</v>
      </c>
      <c r="D267" s="284" t="str">
        <f>IFERROR(__xludf.DUMMYFUNCTION("IFERROR(
  INDEX(
    FILTER(
      IMPORTRANGE(""1aSOrU4PTpuBZqfitKaH1Rfww6-YOiNCKoBpPl8XBHaw/edit?gid=0#gid=0"",""Sheet1!G:G""),
      IMPORTRANGE(""1aSOrU4PTpuBZqfitKaH1Rfww6-YOiNCKoBpPl8XBHaw/edit?gid=0#gid=0"",""Sheet1!C:C"")=$B267
    ),
    1
  ),
"&amp;"  ""Not Found""
)"),"Control")</f>
        <v>Control</v>
      </c>
      <c r="E267" s="284" t="str">
        <f>VLOOKUP(B267,'Juma Recording forms'!A:E,5,false)</f>
        <v>FFPZC	Jamia Masjid Hanfiya C Block Okara	</v>
      </c>
      <c r="F267" s="284" t="str">
        <f>IFERROR(__xludf.DUMMYFUNCTION("IFERROR(
  INDEX(
    FILTER(
      IMPORTRANGE(""1Cxrhp3-_-HS7v9uuqQliiIfrmMP4VaFoDNDWyUFy2J8/edit?gid=0#gid=0"",""Sheet1!Q:Q""),
      IMPORTRANGE(""1Cxrhp3-_-HS7v9uuqQliiIfrmMP4VaFoDNDWyUFy2J8/edit?gid=0#gid=0"",""Sheet1!K:K"")=$B267
    ),
    1
  ),
"&amp;"  ""Not Found""
)"),"Not Found")</f>
        <v>Not Found</v>
      </c>
      <c r="G267" s="284"/>
      <c r="H267" s="284"/>
      <c r="I267" s="285" t="s">
        <v>197</v>
      </c>
      <c r="J267" s="286">
        <v>2.0</v>
      </c>
      <c r="K267" s="287" t="str">
        <f>VLOOKUP($B267,'Mosque Locations'!$A:$E,3,FALSE)
</f>
        <v>https://maps.google.com/maps?q=30.8076884%2C73.4456833&amp;z=17&amp;hl=en</v>
      </c>
      <c r="L267" s="286">
        <f>VLOOKUP($B267,'Mosque Locations'!$A:$E,4,FALSE)
</f>
        <v>30.80769</v>
      </c>
      <c r="M267" s="286">
        <f>VLOOKUP($B267,'Mosque Locations'!$A:$E,5,false)</f>
        <v>73.44568</v>
      </c>
      <c r="N267" s="288"/>
      <c r="O267" s="288"/>
      <c r="P267" s="288"/>
      <c r="Q267" s="289" t="str">
        <f>IFERROR(__xludf.DUMMYFUNCTION("IFERROR(
  INDEX(
    FILTER(
      IMPORTRANGE(""1kOrIKZmJfNUkgOVP3sI9BPjaaPA0_a4636oymQxTXg8"",""Form Responses 1!N:N""),
      TRIM(IMPORTRANGE(""1kOrIKZmJfNUkgOVP3sI9BPjaaPA0_a4636oymQxTXg8"",""Form Responses 1!F:F""))=TRIM($B267)
    ),
    1
  ),
  "&amp;"""Not Found""
)
"),"https://drive.google.com/open?id=1x4E5-4g3MJljTBDxBl1-k293Jq3LrjZR")</f>
        <v>https://drive.google.com/open?id=1x4E5-4g3MJljTBDxBl1-k293Jq3LrjZR</v>
      </c>
      <c r="R267" s="289" t="str">
        <f>IFERROR(__xludf.DUMMYFUNCTION("IFERROR(
  INDEX(
    FILTER(
      IMPORTRANGE(""1kOrIKZmJfNUkgOVP3sI9BPjaaPA0_a4636oymQxTXg8"",""Form Responses 1!M:M""),
      TRIM(IMPORTRANGE(""1kOrIKZmJfNUkgOVP3sI9BPjaaPA0_a4636oymQxTXg8"",""Form Responses 1!F:F""))=TRIM($B267)
    ),
    1
  ),
  "&amp;"""Not Found""
)
"),"https://drive.google.com/open?id=1gvWz1T5ckZ3u0OMv_7-ccpgIQF7oEyGM")</f>
        <v>https://drive.google.com/open?id=1gvWz1T5ckZ3u0OMv_7-ccpgIQF7oEyGM</v>
      </c>
      <c r="S267" s="283" t="s">
        <v>4889</v>
      </c>
      <c r="T267" s="290" t="str">
        <f>VLOOKUP($B267,'Master Tracker'!D:E,2,false)</f>
        <v>https://drive.google.com/file/d/1n3i5B52SNoByY92z_GX7pD6py0pGv52M/view?usp=sharing</v>
      </c>
      <c r="U267" s="291" t="str">
        <f>VLOOKUP($B267,'Master Tracker'!$D:$T,4,FALSE)
</f>
        <v>https://drive.google.com/open?id=16c8GWS1utrkIUD0FM9FDXQt0S7URQ0oy</v>
      </c>
      <c r="V267" s="284" t="str">
        <f>VLOOKUP($B267,'Master Tracker'!$D:$T,5,false)</f>
        <v>Not Found</v>
      </c>
      <c r="W267" s="292" t="str">
        <f>VLOOKUP($B267,'Master Tracker'!$D:$T,7,false)</f>
        <v>Not Found</v>
      </c>
      <c r="X267" s="290" t="str">
        <f>VLOOKUP($B267,'Master Tracker'!$D:$T,8,false)</f>
        <v>https://drive.google.com/file/d/1-p5u1E9O2jxjY8tLRL76eiE-cjkEId4h/view?usp=drive_link</v>
      </c>
      <c r="Y267" s="291" t="str">
        <f>VLOOKUP($B267,'Master Tracker'!$D:$T,10,false)</f>
        <v>https://drive.google.com/open?id=1WABjnrHD5oKHf5Z7uiqL9eKQ8Zmi5W6eXYKdzqOpY5M</v>
      </c>
      <c r="Z267" s="284" t="str">
        <f>VLOOKUP($B267,'Master Tracker'!$D:$T,11,false)</f>
        <v>Not Found</v>
      </c>
      <c r="AA267" s="292" t="str">
        <f>VLOOKUP($B267,'Master Tracker'!$D:$T,13,false)</f>
        <v>Not Found</v>
      </c>
      <c r="AB267" s="284" t="str">
        <f>VLOOKUP($B267,'Master Tracker'!$D:$T,14,false)</f>
        <v>Not Found</v>
      </c>
      <c r="AC267" s="292" t="str">
        <f>VLOOKUP($B267,'Master Tracker'!$D:$T,16,false)</f>
        <v>Not Found</v>
      </c>
      <c r="AD267" s="292" t="str">
        <f>VLOOKUP($B267,'Master Tracker'!$D:$T,17,false)</f>
        <v>Not Found</v>
      </c>
      <c r="AE267" s="292" t="str">
        <f>VLOOKUP($B267,'Master Tracker'!$D:$V,19,false)</f>
        <v>Not Found</v>
      </c>
      <c r="AF267" s="292">
        <f>IFERROR(__xludf.DUMMYFUNCTION("IFERROR(
  INDEX(
    FILTER(
      'Juma Recording forms'!$G:$G,
      TRIM('Juma Recording forms'!$F:$F) = TRIM($B267),
      'Juma Recording forms'!$AA:$AA = 1
    ),
    1
  ),
  ""Not Found""
)"),267.0)</f>
        <v>267</v>
      </c>
      <c r="AG267" s="292" t="str">
        <f>IFERROR(__xludf.DUMMYFUNCTION("IFERROR(
  INDEX(
    FILTER(
      'Juma Recording forms'!$G:$G,
      TRIM('Juma Recording forms'!$F:$F) = TRIM($B267),
      'Juma Recording forms'!$AA:$AA = 2
    ),
    1
  ),
  ""Not Found""
)"),"Not Found")</f>
        <v>Not Found</v>
      </c>
      <c r="AH267" s="292">
        <f>IFERROR(__xludf.DUMMYFUNCTION("IFERROR(
  INDEX(
    FILTER(
      'Juma Recording forms'!$G:$G,
      TRIM('Juma Recording forms'!$F:$F) = TRIM($B267),
      'Juma Recording forms'!$AA:$AA = 3
    ),
    1
  ),
  ""Not Found""
)"),447.0)</f>
        <v>447</v>
      </c>
      <c r="AI267" s="292" t="str">
        <f>IFERROR(__xludf.DUMMYFUNCTION("IFERROR(
  INDEX(
    FILTER(
      'Juma Recording forms'!$G:$G,
      TRIM('Juma Recording forms'!$F:$F) = TRIM($B267),
      'Juma Recording forms'!$AA:$AA = 4
    ),
    1
  ),
  ""Not Found""
)"),"Not Found")</f>
        <v>Not Found</v>
      </c>
      <c r="AJ267" s="292" t="str">
        <f>IFERROR(__xludf.DUMMYFUNCTION("IFERROR(
  INDEX(
    FILTER(
      'Juma Recording forms'!$G:$G,
      TRIM('Juma Recording forms'!$F:$F) = TRIM($B267),
      'Juma Recording forms'!$AA:$AA = 5
    ),
    1
  ),
  ""Not Found""
)"),"Not Found")</f>
        <v>Not Found</v>
      </c>
      <c r="AK267" s="292" t="str">
        <f>IFERROR(__xludf.DUMMYFUNCTION("IFERROR(
  INDEX(
    FILTER(
      'Juma Recording forms'!$G:$G,
      TRIM('Juma Recording forms'!$F:$F) = TRIM($B267),
      'Juma Recording forms'!$AA:$AA = 6
    ),
    1
  ),
  ""Not Found""
)"),"Not Found")</f>
        <v>Not Found</v>
      </c>
      <c r="AL2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1!$E:$E"")=$B267) *
        (IMPORTRANGE(""https://docs.google.com/spreadsheets/d/161aHT6vVT3SLneTKD19N5qVWtnj_jIT8CSsOmUVKmaA/e"&amp;"dit?gid=1761053510"",
          ""Haris_Form responses 1!$AQ:$AQ"")=1)
      ),
      1
    ),
    ""0""
  ),
  ""Form not found""
)
"),"0")</f>
        <v>0</v>
      </c>
      <c r="AM2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1!$E:$E"")=$B267) *
        (IMPORTRANGE(""https://docs.google.com/spreadsheets/d/161aHT6vVT3SLneTKD19N5qVWtnj_jIT8CSsOmUVKmaA/e"&amp;"dit?gid=1761053510"",
          ""Haris_Form responses 1!$AQ:$AQ"")=2)
      ),
      1
    ),
    ""0""
  ),
  ""Form not found""
)
"),"Form not found")</f>
        <v>Form not found</v>
      </c>
      <c r="AN2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1!$E:$E"")=$B267) *
        (IMPORTRANGE(""https://docs.google.com/spreadsheets/d/161aHT6vVT3SLneTKD19N5qVWtnj_jIT8CSsOmUVKmaA/e"&amp;"dit?gid=1761053510"",
          ""Haris_Form responses 1!$AQ:$AQ"")=3)
      ),
      1
    ),
    ""0""
  ),
  ""Form not found""
)
"),"0")</f>
        <v>0</v>
      </c>
      <c r="AO2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1!$E:$E"")=$B267) *
        (IMPORTRANGE(""https://docs.google.com/spreadsheets/d/161aHT6vVT3SLneTKD19N5qVWtnj_jIT8CSsOmUVKmaA/e"&amp;"dit?gid=1761053510"",
          ""Haris_Form responses 1!$AQ:$AQ"")=4)
      ),
      1
    ),
    ""0""
  ),
  ""Form not found""
)
"),"Form not found")</f>
        <v>Form not found</v>
      </c>
      <c r="AP2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1!$E:$E"")=$B267) *
        (IMPORTRANGE(""https://docs.google.com/spreadsheets/d/161aHT6vVT3SLneTKD19N5qVWtnj_jIT8CSsOmUVKmaA/e"&amp;"dit?gid=1761053510"",
          ""Haris_Form responses 1!$AQ:$AQ"")=5)
      ),
      1
    ),
    ""0""
  ),
  ""Form not found""
)
"),"Form not found")</f>
        <v>Form not found</v>
      </c>
      <c r="AQ26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1!$E:$E"")=$B267) *
        (IMPORTRANGE(""https://docs.google.com/spreadsheets/d/161aHT6vVT3SLneTKD19N5qVWtnj_jIT8CSsOmUVKmaA/e"&amp;"dit?gid=1761053510"",
          ""Haris_Form responses 1!$AQ:$AQ"")=6)
      ),
      1
    ),
    ""0""
  ),
  ""Form not found""
)
"),"Form not found")</f>
        <v>Form not found</v>
      </c>
      <c r="AR2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1!$E:$E"")=$B267) *
        (IMPORTRANGE(""https://docs.google.com/spreadsheets/d/161aHT6vVT3SLneTKD19N5qVWtnj_jIT8CSsOmUVKmaA/e"&amp;"dit?gid=1761053510"",
          ""Haris_Form responses 1!$AQ:$AQ"")=1)
      ),
      1
    ),
    ""0""
  ),
  ""Form not found""
)
"),"0")</f>
        <v>0</v>
      </c>
      <c r="AS2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1!$E:$E"")=$B267) *
        (IMPORTRANGE(""https://docs.google.com/spreadsheets/d/161aHT6vVT3SLneTKD19N5qVWtnj_jIT8CSsOmUVKmaA/e"&amp;"dit?gid=1761053510"",
          ""Haris_Form responses 1!$AQ:$AQ"")=2)
      ),
      1
    ),
    ""0""
  ),
  ""Form not found""
)
"),"Form not found")</f>
        <v>Form not found</v>
      </c>
      <c r="AT2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1!$E:$E"")=$B267) *
        (IMPORTRANGE(""https://docs.google.com/spreadsheets/d/161aHT6vVT3SLneTKD19N5qVWtnj_jIT8CSsOmUVKmaA/e"&amp;"dit?gid=1761053510"",
          ""Haris_Form responses 1!$AQ:$AQ"")=3)
      ),
      1
    ),
    ""0""
  ),
  ""Form not found""
)
"),"0")</f>
        <v>0</v>
      </c>
      <c r="AU2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1!$E:$E"")=$B267) *
        (IMPORTRANGE(""https://docs.google.com/spreadsheets/d/161aHT6vVT3SLneTKD19N5qVWtnj_jIT8CSsOmUVKmaA/e"&amp;"dit?gid=1761053510"",
          ""Haris_Form responses 1!$AQ:$AQ"")=4)
      ),
      1
    ),
    ""0""
  ),
  ""Form not found""
)
"),"Form not found")</f>
        <v>Form not found</v>
      </c>
      <c r="AV2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1!$E:$E"")=$B267) *
        (IMPORTRANGE(""https://docs.google.com/spreadsheets/d/161aHT6vVT3SLneTKD19N5qVWtnj_jIT8CSsOmUVKmaA/e"&amp;"dit?gid=1761053510"",
          ""Haris_Form responses 1!$AQ:$AQ"")=5)
      ),
      1
    ),
    ""0""
  ),
  ""Form not found""
)
"),"Form not found")</f>
        <v>Form not found</v>
      </c>
      <c r="AW26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1!$E:$E"")=$B267) *
        (IMPORTRANGE(""https://docs.google.com/spreadsheets/d/161aHT6vVT3SLneTKD19N5qVWtnj_jIT8CSsOmUVKmaA/e"&amp;"dit?gid=1761053510"",
          ""Haris_Form responses 1!$AQ:$AQ"")=6)
      ),
      1
    ),
    ""0""
  ),
  ""Form not found""
)
"),"Form not found")</f>
        <v>Form not found</v>
      </c>
      <c r="AX2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1!$E:$E"")=$B267) *
        (IMPORTRANGE(""https://docs.google.com/spreadsheets/d/161aHT6vVT3SLneTKD19N5qVWtnj_jIT8CSsOmUVKmaA/e"&amp;"dit?gid=1761053510"",
          ""Haris_Form responses 1!$AQ:$AQ"")=1)
      ),
      1
    ),
    ""0""
  ),
  ""Form not found""
)
"),"0")</f>
        <v>0</v>
      </c>
      <c r="AY2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1!$E:$E"")=$B267) *
        (IMPORTRANGE(""https://docs.google.com/spreadsheets/d/161aHT6vVT3SLneTKD19N5qVWtnj_jIT8CSsOmUVKmaA/e"&amp;"dit?gid=1761053510"",
          ""Haris_Form responses 1!$AQ:$AQ"")=2)
      ),
      1
    ),
    ""0""
  ),
  ""Form not found""
)
"),"Form not found")</f>
        <v>Form not found</v>
      </c>
      <c r="AZ2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1!$E:$E"")=$B267) *
        (IMPORTRANGE(""https://docs.google.com/spreadsheets/d/161aHT6vVT3SLneTKD19N5qVWtnj_jIT8CSsOmUVKmaA/e"&amp;"dit?gid=1761053510"",
          ""Haris_Form responses 1!$AQ:$AQ"")=3)
      ),
      1
    ),
    ""0""
  ),
  ""Form not found""
)
"),"0")</f>
        <v>0</v>
      </c>
      <c r="BA2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1!$E:$E"")=$B267) *
        (IMPORTRANGE(""https://docs.google.com/spreadsheets/d/161aHT6vVT3SLneTKD19N5qVWtnj_jIT8CSsOmUVKmaA/e"&amp;"dit?gid=1761053510"",
          ""Haris_Form responses 1!$AQ:$AQ"")=4)
      ),
      1
    ),
    ""0""
  ),
  ""Form not found""
)
"),"Form not found")</f>
        <v>Form not found</v>
      </c>
      <c r="BB2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1!$E:$E"")=$B267) *
        (IMPORTRANGE(""https://docs.google.com/spreadsheets/d/161aHT6vVT3SLneTKD19N5qVWtnj_jIT8CSsOmUVKmaA/e"&amp;"dit?gid=1761053510"",
          ""Haris_Form responses 1!$AQ:$AQ"")=5)
      ),
      1
    ),
    ""0""
  ),
  ""Form not found""
)
"),"Form not found")</f>
        <v>Form not found</v>
      </c>
      <c r="BC26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1!$E:$E"")=$B267) *
        (IMPORTRANGE(""https://docs.google.com/spreadsheets/d/161aHT6vVT3SLneTKD19N5qVWtnj_jIT8CSsOmUVKmaA/e"&amp;"dit?gid=1761053510"",
          ""Haris_Form responses 1!$AQ:$AQ"")=6)
      ),
      1
    ),
    ""0""
  ),
  ""Form not found""
)
"),"Form not found")</f>
        <v>Form not found</v>
      </c>
      <c r="BD267" s="293"/>
    </row>
    <row r="268">
      <c r="A268" s="283" t="str">
        <f>IFERROR(__xludf.DUMMYFUNCTION("VLOOKUP($B268,IMPORTRANGE(""https://docs.google.com/spreadsheets/d/1VNXDITjs75AcgdBSW27oL1VZH31udDprJSsBcE5xlp4/edit?gid=1551188038#gid=1551188038"", ""Sheet9!$B:$E""),2,false)"),"Okara")</f>
        <v>Okara</v>
      </c>
      <c r="B268" s="283" t="s">
        <v>4675</v>
      </c>
      <c r="C268" s="284" t="str">
        <f>IFERROR(__xludf.DUMMYFUNCTION("VLOOKUP(TRIM($B268), IMPORTRANGE(""https://docs.google.com/spreadsheets/d/1aSOrU4PTpuBZqfitKaH1Rfww6-YOiNCKoBpPl8XBHaw/edit?gid=0#gid=0"", ""sheet3!$B:$C""), 2, FALSE)
"),"Jamia Masjid Usmanai Gol Chowk Okara")</f>
        <v>Jamia Masjid Usmanai Gol Chowk Okara</v>
      </c>
      <c r="D268" s="284" t="str">
        <f>IFERROR(__xludf.DUMMYFUNCTION("IFERROR(
  INDEX(
    FILTER(
      IMPORTRANGE(""1aSOrU4PTpuBZqfitKaH1Rfww6-YOiNCKoBpPl8XBHaw/edit?gid=0#gid=0"",""Sheet1!G:G""),
      IMPORTRANGE(""1aSOrU4PTpuBZqfitKaH1Rfww6-YOiNCKoBpPl8XBHaw/edit?gid=0#gid=0"",""Sheet1!C:C"")=$B268
    ),
    1
  ),
"&amp;"  ""Not Found""
)"),"Community Religious No Info Share")</f>
        <v>Community Religious No Info Share</v>
      </c>
      <c r="E268" s="284" t="str">
        <f>VLOOKUP(B268,'Juma Recording forms'!A:E,5,false)</f>
        <v>Jamiya usmaneya </v>
      </c>
      <c r="F268" s="284" t="str">
        <f>IFERROR(__xludf.DUMMYFUNCTION("IFERROR(
  INDEX(
    FILTER(
      IMPORTRANGE(""1Cxrhp3-_-HS7v9uuqQliiIfrmMP4VaFoDNDWyUFy2J8/edit?gid=0#gid=0"",""Sheet1!Q:Q""),
      IMPORTRANGE(""1Cxrhp3-_-HS7v9uuqQliiIfrmMP4VaFoDNDWyUFy2J8/edit?gid=0#gid=0"",""Sheet1!K:K"")=$B268
    ),
    1
  ),
"&amp;"  ""Not Found""
)"),"Not Found")</f>
        <v>Not Found</v>
      </c>
      <c r="G268" s="292">
        <v>1955.0</v>
      </c>
      <c r="H268" s="284"/>
      <c r="I268" s="285" t="s">
        <v>197</v>
      </c>
      <c r="J268" s="286">
        <v>2.0</v>
      </c>
      <c r="K268" s="287" t="str">
        <f>VLOOKUP($B268,'Mosque Locations'!$A:$E,3,FALSE)
</f>
        <v>https://maps.google.com/maps?q=30.8087984%2C73.4445134&amp;z=17&amp;hl=en</v>
      </c>
      <c r="L268" s="286">
        <f>VLOOKUP($B268,'Mosque Locations'!$A:$E,4,FALSE)
</f>
        <v>30.8088</v>
      </c>
      <c r="M268" s="286">
        <f>VLOOKUP($B268,'Mosque Locations'!$A:$E,5,false)</f>
        <v>73.44451</v>
      </c>
      <c r="N268" s="288"/>
      <c r="O268" s="288"/>
      <c r="P268" s="288"/>
      <c r="Q268" s="295" t="str">
        <f>IFERROR(__xludf.DUMMYFUNCTION("IFERROR(
  INDEX(
    FILTER(
      IMPORTRANGE(""1kOrIKZmJfNUkgOVP3sI9BPjaaPA0_a4636oymQxTXg8"",""Form Responses 1!N:N""),
      TRIM(IMPORTRANGE(""1kOrIKZmJfNUkgOVP3sI9BPjaaPA0_a4636oymQxTXg8"",""Form Responses 1!F:F""))=TRIM($B268)
    ),
    1
  ),
  "&amp;"""Not Found""
)
"),"https://drive.google.com/file/d/1kt5Uzz1yGWDQS85ZHvRATeZP0maOj4Mm/view?usp=drive_link")</f>
        <v>https://drive.google.com/file/d/1kt5Uzz1yGWDQS85ZHvRATeZP0maOj4Mm/view?usp=drive_link</v>
      </c>
      <c r="R268" s="295" t="str">
        <f>IFERROR(__xludf.DUMMYFUNCTION("IFERROR(
  INDEX(
    FILTER(
      IMPORTRANGE(""1kOrIKZmJfNUkgOVP3sI9BPjaaPA0_a4636oymQxTXg8"",""Form Responses 1!M:M""),
      TRIM(IMPORTRANGE(""1kOrIKZmJfNUkgOVP3sI9BPjaaPA0_a4636oymQxTXg8"",""Form Responses 1!F:F""))=TRIM($B268)
    ),
    1
  ),
  "&amp;"""Not Found""
)
"),"https://drive.google.com/open?id=1rsZKAbtlKR5DTOblIrx9CgUxsqMAAyS-")</f>
        <v>https://drive.google.com/open?id=1rsZKAbtlKR5DTOblIrx9CgUxsqMAAyS-</v>
      </c>
      <c r="S268" s="285"/>
      <c r="T268" s="290" t="str">
        <f>VLOOKUP($B268,'Master Tracker'!D:E,2,false)</f>
        <v>https://drive.google.com/open?id=15hAN9vrZgMc8TrNwiSCOfI3A30Q0Flsd</v>
      </c>
      <c r="U268" s="291" t="str">
        <f>VLOOKUP($B268,'Master Tracker'!$D:$T,4,FALSE)
</f>
        <v>https://drive.google.com/open?id=1TDkd2SetkHxZo-X35GyLZkXABYnMwAyLhwmPzmLpejQ</v>
      </c>
      <c r="V268" s="290" t="str">
        <f>VLOOKUP($B268,'Master Tracker'!$D:$T,5,false)</f>
        <v>https://drive.google.com/open?id=1a31tJwKxsBS14gqd82Obqwz8TS6WqhkA</v>
      </c>
      <c r="W268" s="291" t="str">
        <f>VLOOKUP($B268,'Master Tracker'!$D:$T,7,false)</f>
        <v>https://drive.google.com/open?id=1QFFFiGLI8K2e1kryadP-JmHuP-WO6Hi5</v>
      </c>
      <c r="X268" s="290" t="str">
        <f>VLOOKUP($B268,'Master Tracker'!$D:$T,8,false)</f>
        <v>https://drive.google.com/open?id=1vd5uP5Ltq2nSBS_OURlH8Ut3edvUtlk7</v>
      </c>
      <c r="Y268" s="291" t="str">
        <f>VLOOKUP($B268,'Master Tracker'!$D:$T,10,false)</f>
        <v>https://drive.google.com/open?id=1uBy1K-o-uS6M1s5ZlwBF84HXNOml31OvYWblA3--G_o</v>
      </c>
      <c r="Z268" s="290" t="str">
        <f>VLOOKUP($B268,'Master Tracker'!$D:$T,11,false)</f>
        <v>https://drive.google.com/open?id=1Zgc0ZE2Cg11V6qlrgTn746WOIeKhfN95</v>
      </c>
      <c r="AA268" s="291" t="str">
        <f>VLOOKUP($B268,'Master Tracker'!$D:$T,13,false)</f>
        <v>https://drive.google.com/open?id=1qD4o2j8zNW4svZwQb8VCb6_qZR-74WWu</v>
      </c>
      <c r="AB268" s="290" t="str">
        <f>VLOOKUP($B268,'Master Tracker'!$D:$T,14,false)</f>
        <v>https://drive.google.com/file/d/1tULFWmFTTPpDFujlycatQJ_bMC727KL3/view?usp=drive_link</v>
      </c>
      <c r="AC268" s="291" t="str">
        <f>VLOOKUP($B268,'Master Tracker'!$D:$T,16,false)</f>
        <v>https://drive.google.com/open?id=1-wTVwHJFwG1mFC4otxHiftj7LvmQwUGGhPaj8MMc14I</v>
      </c>
      <c r="AD268" s="291" t="str">
        <f>VLOOKUP($B268,'Master Tracker'!$D:$T,17,false)</f>
        <v>https://drive.google.com/open?id=12DqR8s7rQdVH8tYl9WOiW4M_Lkx9ofdQ</v>
      </c>
      <c r="AE268" s="291" t="str">
        <f>VLOOKUP($B268,'Master Tracker'!$D:$V,19,false)</f>
        <v>https://drive.google.com/open?id=1YFf3WTkJmGwVzl4mp0bMwHJ3DzzPsC7O</v>
      </c>
      <c r="AF268" s="292">
        <f>IFERROR(__xludf.DUMMYFUNCTION("IFERROR(
  INDEX(
    FILTER(
      'Juma Recording forms'!$G:$G,
      TRIM('Juma Recording forms'!$F:$F) = TRIM($B268),
      'Juma Recording forms'!$AA:$AA = 1
    ),
    1
  ),
  ""Not Found""
)"),820.0)</f>
        <v>820</v>
      </c>
      <c r="AG268" s="292">
        <f>IFERROR(__xludf.DUMMYFUNCTION("IFERROR(
  INDEX(
    FILTER(
      'Juma Recording forms'!$G:$G,
      TRIM('Juma Recording forms'!$F:$F) = TRIM($B268),
      'Juma Recording forms'!$AA:$AA = 2
    ),
    1
  ),
  ""Not Found""
)"),820.0)</f>
        <v>820</v>
      </c>
      <c r="AH268" s="292">
        <f>IFERROR(__xludf.DUMMYFUNCTION("IFERROR(
  INDEX(
    FILTER(
      'Juma Recording forms'!$G:$G,
      TRIM('Juma Recording forms'!$F:$F) = TRIM($B268),
      'Juma Recording forms'!$AA:$AA = 3
    ),
    1
  ),
  ""Not Found""
)"),800.0)</f>
        <v>800</v>
      </c>
      <c r="AI268" s="292">
        <f>IFERROR(__xludf.DUMMYFUNCTION("IFERROR(
  INDEX(
    FILTER(
      'Juma Recording forms'!$G:$G,
      TRIM('Juma Recording forms'!$F:$F) = TRIM($B268),
      'Juma Recording forms'!$AA:$AA = 4
    ),
    1
  ),
  ""Not Found""
)"),900.0)</f>
        <v>900</v>
      </c>
      <c r="AJ268" s="292">
        <f>IFERROR(__xludf.DUMMYFUNCTION("IFERROR(
  INDEX(
    FILTER(
      'Juma Recording forms'!$G:$G,
      TRIM('Juma Recording forms'!$F:$F) = TRIM($B268),
      'Juma Recording forms'!$AA:$AA = 5
    ),
    1
  ),
  ""Not Found""
)"),800.0)</f>
        <v>800</v>
      </c>
      <c r="AK268" s="292">
        <f>IFERROR(__xludf.DUMMYFUNCTION("IFERROR(
  INDEX(
    FILTER(
      'Juma Recording forms'!$G:$G,
      TRIM('Juma Recording forms'!$F:$F) = TRIM($B268),
      'Juma Recording forms'!$AA:$AA = 6
    ),
    1
  ),
  ""Not Found""
)"),820.0)</f>
        <v>820</v>
      </c>
      <c r="AL2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1!$E:$E"")=$B268) *
        (IMPORTRANGE(""https://docs.google.com/spreadsheets/d/161aHT6vVT3SLneTKD19N5qVWtnj_jIT8CSsOmUVKmaA/e"&amp;"dit?gid=1761053510"",
          ""Haris_Form responses 1!$AQ:$AQ"")=1)
      ),
      1
    ),
    ""0""
  ),
  ""Form not found""
)
"),"10")</f>
        <v>10</v>
      </c>
      <c r="AM2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1!$E:$E"")=$B268) *
        (IMPORTRANGE(""https://docs.google.com/spreadsheets/d/161aHT6vVT3SLneTKD19N5qVWtnj_jIT8CSsOmUVKmaA/e"&amp;"dit?gid=1761053510"",
          ""Haris_Form responses 1!$AQ:$AQ"")=2)
      ),
      1
    ),
    ""0""
  ),
  ""Form not found""
)
"),"2")</f>
        <v>2</v>
      </c>
      <c r="AN2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1!$E:$E"")=$B268) *
        (IMPORTRANGE(""https://docs.google.com/spreadsheets/d/161aHT6vVT3SLneTKD19N5qVWtnj_jIT8CSsOmUVKmaA/e"&amp;"dit?gid=1761053510"",
          ""Haris_Form responses 1!$AQ:$AQ"")=3)
      ),
      1
    ),
    ""0""
  ),
  ""Form not found""
)
"),"0")</f>
        <v>0</v>
      </c>
      <c r="AO2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1!$E:$E"")=$B268) *
        (IMPORTRANGE(""https://docs.google.com/spreadsheets/d/161aHT6vVT3SLneTKD19N5qVWtnj_jIT8CSsOmUVKmaA/e"&amp;"dit?gid=1761053510"",
          ""Haris_Form responses 1!$AQ:$AQ"")=4)
      ),
      1
    ),
    ""0""
  ),
  ""Form not found""
)
"),"3")</f>
        <v>3</v>
      </c>
      <c r="AP2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1!$E:$E"")=$B268) *
        (IMPORTRANGE(""https://docs.google.com/spreadsheets/d/161aHT6vVT3SLneTKD19N5qVWtnj_jIT8CSsOmUVKmaA/e"&amp;"dit?gid=1761053510"",
          ""Haris_Form responses 1!$AQ:$AQ"")=5)
      ),
      1
    ),
    ""0""
  ),
  ""Form not found""
)
"),"10")</f>
        <v>10</v>
      </c>
      <c r="AQ26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1!$E:$E"")=$B268) *
        (IMPORTRANGE(""https://docs.google.com/spreadsheets/d/161aHT6vVT3SLneTKD19N5qVWtnj_jIT8CSsOmUVKmaA/e"&amp;"dit?gid=1761053510"",
          ""Haris_Form responses 1!$AQ:$AQ"")=6)
      ),
      1
    ),
    ""0""
  ),
  ""Form not found""
)
"),"0")</f>
        <v>0</v>
      </c>
      <c r="AR2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1!$E:$E"")=$B268) *
        (IMPORTRANGE(""https://docs.google.com/spreadsheets/d/161aHT6vVT3SLneTKD19N5qVWtnj_jIT8CSsOmUVKmaA/e"&amp;"dit?gid=1761053510"",
          ""Haris_Form responses 1!$AQ:$AQ"")=1)
      ),
      1
    ),
    ""0""
  ),
  ""Form not found""
)
"),"10")</f>
        <v>10</v>
      </c>
      <c r="AS2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1!$E:$E"")=$B268) *
        (IMPORTRANGE(""https://docs.google.com/spreadsheets/d/161aHT6vVT3SLneTKD19N5qVWtnj_jIT8CSsOmUVKmaA/e"&amp;"dit?gid=1761053510"",
          ""Haris_Form responses 1!$AQ:$AQ"")=2)
      ),
      1
    ),
    ""0""
  ),
  ""Form not found""
)
"),"0")</f>
        <v>0</v>
      </c>
      <c r="AT2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1!$E:$E"")=$B268) *
        (IMPORTRANGE(""https://docs.google.com/spreadsheets/d/161aHT6vVT3SLneTKD19N5qVWtnj_jIT8CSsOmUVKmaA/e"&amp;"dit?gid=1761053510"",
          ""Haris_Form responses 1!$AQ:$AQ"")=3)
      ),
      1
    ),
    ""0""
  ),
  ""Form not found""
)
"),"0")</f>
        <v>0</v>
      </c>
      <c r="AU2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1!$E:$E"")=$B268) *
        (IMPORTRANGE(""https://docs.google.com/spreadsheets/d/161aHT6vVT3SLneTKD19N5qVWtnj_jIT8CSsOmUVKmaA/e"&amp;"dit?gid=1761053510"",
          ""Haris_Form responses 1!$AQ:$AQ"")=4)
      ),
      1
    ),
    ""0""
  ),
  ""Form not found""
)
"),"3")</f>
        <v>3</v>
      </c>
      <c r="AV2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1!$E:$E"")=$B268) *
        (IMPORTRANGE(""https://docs.google.com/spreadsheets/d/161aHT6vVT3SLneTKD19N5qVWtnj_jIT8CSsOmUVKmaA/e"&amp;"dit?gid=1761053510"",
          ""Haris_Form responses 1!$AQ:$AQ"")=5)
      ),
      1
    ),
    ""0""
  ),
  ""Form not found""
)
"),"10")</f>
        <v>10</v>
      </c>
      <c r="AW26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1!$E:$E"")=$B268) *
        (IMPORTRANGE(""https://docs.google.com/spreadsheets/d/161aHT6vVT3SLneTKD19N5qVWtnj_jIT8CSsOmUVKmaA/e"&amp;"dit?gid=1761053510"",
          ""Haris_Form responses 1!$AQ:$AQ"")=6)
      ),
      1
    ),
    ""0""
  ),
  ""Form not found""
)
"),"0")</f>
        <v>0</v>
      </c>
      <c r="AX2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1!$E:$E"")=$B268) *
        (IMPORTRANGE(""https://docs.google.com/spreadsheets/d/161aHT6vVT3SLneTKD19N5qVWtnj_jIT8CSsOmUVKmaA/e"&amp;"dit?gid=1761053510"",
          ""Haris_Form responses 1!$AQ:$AQ"")=1)
      ),
      1
    ),
    ""0""
  ),
  ""Form not found""
)
"),"0")</f>
        <v>0</v>
      </c>
      <c r="AY2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1!$E:$E"")=$B268) *
        (IMPORTRANGE(""https://docs.google.com/spreadsheets/d/161aHT6vVT3SLneTKD19N5qVWtnj_jIT8CSsOmUVKmaA/e"&amp;"dit?gid=1761053510"",
          ""Haris_Form responses 1!$AQ:$AQ"")=2)
      ),
      1
    ),
    ""0""
  ),
  ""Form not found""
)
"),"0")</f>
        <v>0</v>
      </c>
      <c r="AZ2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1!$E:$E"")=$B268) *
        (IMPORTRANGE(""https://docs.google.com/spreadsheets/d/161aHT6vVT3SLneTKD19N5qVWtnj_jIT8CSsOmUVKmaA/e"&amp;"dit?gid=1761053510"",
          ""Haris_Form responses 1!$AQ:$AQ"")=3)
      ),
      1
    ),
    ""0""
  ),
  ""Form not found""
)
"),"0")</f>
        <v>0</v>
      </c>
      <c r="BA2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1!$E:$E"")=$B268) *
        (IMPORTRANGE(""https://docs.google.com/spreadsheets/d/161aHT6vVT3SLneTKD19N5qVWtnj_jIT8CSsOmUVKmaA/e"&amp;"dit?gid=1761053510"",
          ""Haris_Form responses 1!$AQ:$AQ"")=4)
      ),
      1
    ),
    ""0""
  ),
  ""Form not found""
)
"),"0")</f>
        <v>0</v>
      </c>
      <c r="BB2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1!$E:$E"")=$B268) *
        (IMPORTRANGE(""https://docs.google.com/spreadsheets/d/161aHT6vVT3SLneTKD19N5qVWtnj_jIT8CSsOmUVKmaA/e"&amp;"dit?gid=1761053510"",
          ""Haris_Form responses 1!$AQ:$AQ"")=5)
      ),
      1
    ),
    ""0""
  ),
  ""Form not found""
)
"),"0")</f>
        <v>0</v>
      </c>
      <c r="BC26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1!$E:$E"")=$B268) *
        (IMPORTRANGE(""https://docs.google.com/spreadsheets/d/161aHT6vVT3SLneTKD19N5qVWtnj_jIT8CSsOmUVKmaA/e"&amp;"dit?gid=1761053510"",
          ""Haris_Form responses 1!$AQ:$AQ"")=6)
      ),
      1
    ),
    ""0""
  ),
  ""Form not found""
)
"),"0")</f>
        <v>0</v>
      </c>
      <c r="BD268" s="293"/>
    </row>
    <row r="269">
      <c r="A269" s="283" t="str">
        <f>IFERROR(__xludf.DUMMYFUNCTION("VLOOKUP($B269,IMPORTRANGE(""https://docs.google.com/spreadsheets/d/1VNXDITjs75AcgdBSW27oL1VZH31udDprJSsBcE5xlp4/edit?gid=1551188038#gid=1551188038"", ""Sheet9!$B:$E""),2,false)"),"Okara")</f>
        <v>Okara</v>
      </c>
      <c r="B269" s="283" t="s">
        <v>4676</v>
      </c>
      <c r="C269" s="284" t="str">
        <f>IFERROR(__xludf.DUMMYFUNCTION("VLOOKUP(TRIM($B269), IMPORTRANGE(""https://docs.google.com/spreadsheets/d/1aSOrU4PTpuBZqfitKaH1Rfww6-YOiNCKoBpPl8XBHaw/edit?gid=0#gid=0"", ""sheet3!$B:$C""), 2, FALSE)
"),"Jamia Masjid Renalah Khurda Okara")</f>
        <v>Jamia Masjid Renalah Khurda Okara</v>
      </c>
      <c r="D269" s="284" t="str">
        <f>IFERROR(__xludf.DUMMYFUNCTION("IFERROR(
  INDEX(
    FILTER(
      IMPORTRANGE(""1aSOrU4PTpuBZqfitKaH1Rfww6-YOiNCKoBpPl8XBHaw/edit?gid=0#gid=0"",""Sheet1!G:G""),
      IMPORTRANGE(""1aSOrU4PTpuBZqfitKaH1Rfww6-YOiNCKoBpPl8XBHaw/edit?gid=0#gid=0"",""Sheet1!C:C"")=$B269
    ),
    1
  ),
"&amp;"  ""Not Found""
)"),"Women Religious Info Share")</f>
        <v>Women Religious Info Share</v>
      </c>
      <c r="E269" s="284" t="str">
        <f>VLOOKUP(B269,'Juma Recording forms'!A:E,5,false)</f>
        <v>Ghosiya Rizwiya Markazi masjid Sadar Bazar Renala Kurd</v>
      </c>
      <c r="F269" s="284" t="str">
        <f>IFERROR(__xludf.DUMMYFUNCTION("IFERROR(
  INDEX(
    FILTER(
      IMPORTRANGE(""1Cxrhp3-_-HS7v9uuqQliiIfrmMP4VaFoDNDWyUFy2J8/edit?gid=0#gid=0"",""Sheet1!Q:Q""),
      IMPORTRANGE(""1Cxrhp3-_-HS7v9uuqQliiIfrmMP4VaFoDNDWyUFy2J8/edit?gid=0#gid=0"",""Sheet1!K:K"")=$B269
    ),
    1
  ),
"&amp;"  ""Not Found""
)"),"Not Found")</f>
        <v>Not Found</v>
      </c>
      <c r="G269" s="292">
        <v>1950.0</v>
      </c>
      <c r="H269" s="284"/>
      <c r="I269" s="285" t="s">
        <v>197</v>
      </c>
      <c r="J269" s="286">
        <v>2.0</v>
      </c>
      <c r="K269" s="287" t="str">
        <f>VLOOKUP($B269,'Mosque Locations'!$A:$E,3,FALSE)
</f>
        <v>https://maps.google.com/maps?q=30.8798941%2C73.5943176&amp;z=17&amp;hl=en</v>
      </c>
      <c r="L269" s="286">
        <f>VLOOKUP($B269,'Mosque Locations'!$A:$E,4,FALSE)
</f>
        <v>30.87989</v>
      </c>
      <c r="M269" s="286">
        <f>VLOOKUP($B269,'Mosque Locations'!$A:$E,5,false)</f>
        <v>73.59432</v>
      </c>
      <c r="N269" s="288"/>
      <c r="O269" s="288"/>
      <c r="P269" s="288"/>
      <c r="Q269" s="295" t="str">
        <f>IFERROR(__xludf.DUMMYFUNCTION("IFERROR(
  INDEX(
    FILTER(
      IMPORTRANGE(""1kOrIKZmJfNUkgOVP3sI9BPjaaPA0_a4636oymQxTXg8"",""Form Responses 1!N:N""),
      TRIM(IMPORTRANGE(""1kOrIKZmJfNUkgOVP3sI9BPjaaPA0_a4636oymQxTXg8"",""Form Responses 1!F:F""))=TRIM($B269)
    ),
    1
  ),
  "&amp;"""Not Found""
)
"),"https://drive.google.com/open?id=1HuUqEaMbP-_9axDtpiGKyxd96TeMQqkM")</f>
        <v>https://drive.google.com/open?id=1HuUqEaMbP-_9axDtpiGKyxd96TeMQqkM</v>
      </c>
      <c r="R269" s="295" t="str">
        <f>IFERROR(__xludf.DUMMYFUNCTION("IFERROR(
  INDEX(
    FILTER(
      IMPORTRANGE(""1kOrIKZmJfNUkgOVP3sI9BPjaaPA0_a4636oymQxTXg8"",""Form Responses 1!M:M""),
      TRIM(IMPORTRANGE(""1kOrIKZmJfNUkgOVP3sI9BPjaaPA0_a4636oymQxTXg8"",""Form Responses 1!F:F""))=TRIM($B269)
    ),
    1
  ),
  "&amp;"""Not Found""
)
"),"https://drive.google.com/open?id=1G9TJ4GaPvIqZxCN8JqmV_fN7lSos_Zbd")</f>
        <v>https://drive.google.com/open?id=1G9TJ4GaPvIqZxCN8JqmV_fN7lSos_Zbd</v>
      </c>
      <c r="S269" s="285"/>
      <c r="T269" s="290" t="str">
        <f>VLOOKUP($B269,'Master Tracker'!D:E,2,false)</f>
        <v>https://drive.google.com/open?id=13JAJq2irAbPB28YLIumJkUnO2iIaQlng</v>
      </c>
      <c r="U269" s="291" t="str">
        <f>VLOOKUP($B269,'Master Tracker'!$D:$T,4,FALSE)
</f>
        <v>https://drive.google.com/open?id=1ePiv0Etv1XEBzxNKsgK1qpB7D4vIrqfmCZIoThaebJs</v>
      </c>
      <c r="V269" s="290" t="str">
        <f>VLOOKUP($B269,'Master Tracker'!$D:$T,5,false)</f>
        <v>https://drive.google.com/open?id=1T6gbWMk8FrG4sawH2b0io118FLKhAKPp</v>
      </c>
      <c r="W269" s="291" t="str">
        <f>VLOOKUP($B269,'Master Tracker'!$D:$T,7,false)</f>
        <v>https://drive.google.com/open?id=1xD5ISXnzqoB9zi-Sx0o4DIUIPmm7pBGwNMCGkoaVEQE</v>
      </c>
      <c r="X269" s="290" t="str">
        <f>VLOOKUP($B269,'Master Tracker'!$D:$T,8,false)</f>
        <v>https://drive.google.com/open?id=1hkMgxkUMh1kMCUZf8022yuVgzaw_OZGl</v>
      </c>
      <c r="Y269" s="291" t="str">
        <f>VLOOKUP($B269,'Master Tracker'!$D:$T,10,false)</f>
        <v>https://drive.google.com/open?id=1ErRkIyICBfLBz23guGFV6y1K1_ZKE5ZGjeyntfvoY2Y</v>
      </c>
      <c r="Z269" s="290" t="str">
        <f>VLOOKUP($B269,'Master Tracker'!$D:$T,11,false)</f>
        <v>https://drive.google.com/open?id=1E0wrc94a_ME2m16PYXvVVdCUQHofI9rd</v>
      </c>
      <c r="AA269" s="291" t="str">
        <f>VLOOKUP($B269,'Master Tracker'!$D:$T,13,false)</f>
        <v>https://drive.google.com/open?id=1xHFEcfQwhiALCqV9xSC5xKfuty2wGoyQE3Fzuc0wEx8</v>
      </c>
      <c r="AB269" s="290" t="str">
        <f>VLOOKUP($B269,'Master Tracker'!$D:$T,14,false)</f>
        <v>https://drive.google.com/file/d/1LBlDxrdCVi_H7uCjecLKgnNNAjNcI-kg/view?usp=drive_link</v>
      </c>
      <c r="AC269" s="291" t="str">
        <f>VLOOKUP($B269,'Master Tracker'!$D:$T,16,false)</f>
        <v>https://drive.google.com/open?id=1D6sY078M_mTgMMHZ4bq5Wn2Cy_ba2Eee</v>
      </c>
      <c r="AD269" s="291" t="str">
        <f>VLOOKUP($B269,'Master Tracker'!$D:$T,17,false)</f>
        <v>https://drive.google.com/open?id=19Es9R0QsOEiPvydzUqRRfJaG7DYiX7pf</v>
      </c>
      <c r="AE269" s="291" t="str">
        <f>VLOOKUP($B269,'Master Tracker'!$D:$V,19,false)</f>
        <v>https://drive.google.com/open?id=1NWOrCh2Eu6_k31zsGOn0-nxRk8Ra5tZekLWIWg6R8mw</v>
      </c>
      <c r="AF269" s="292">
        <f>IFERROR(__xludf.DUMMYFUNCTION("IFERROR(
  INDEX(
    FILTER(
      'Juma Recording forms'!$G:$G,
      TRIM('Juma Recording forms'!$F:$F) = TRIM($B269),
      'Juma Recording forms'!$AA:$AA = 1
    ),
    1
  ),
  ""Not Found""
)"),1300.0)</f>
        <v>1300</v>
      </c>
      <c r="AG269" s="292">
        <f>IFERROR(__xludf.DUMMYFUNCTION("IFERROR(
  INDEX(
    FILTER(
      'Juma Recording forms'!$G:$G,
      TRIM('Juma Recording forms'!$F:$F) = TRIM($B269),
      'Juma Recording forms'!$AA:$AA = 2
    ),
    1
  ),
  ""Not Found""
)"),1053.0)</f>
        <v>1053</v>
      </c>
      <c r="AH269" s="292">
        <f>IFERROR(__xludf.DUMMYFUNCTION("IFERROR(
  INDEX(
    FILTER(
      'Juma Recording forms'!$G:$G,
      TRIM('Juma Recording forms'!$F:$F) = TRIM($B269),
      'Juma Recording forms'!$AA:$AA = 3
    ),
    1
  ),
  ""Not Found""
)"),1154.0)</f>
        <v>1154</v>
      </c>
      <c r="AI269" s="292">
        <f>IFERROR(__xludf.DUMMYFUNCTION("IFERROR(
  INDEX(
    FILTER(
      'Juma Recording forms'!$G:$G,
      TRIM('Juma Recording forms'!$F:$F) = TRIM($B269),
      'Juma Recording forms'!$AA:$AA = 4
    ),
    1
  ),
  ""Not Found""
)"),1124.0)</f>
        <v>1124</v>
      </c>
      <c r="AJ269" s="292">
        <f>IFERROR(__xludf.DUMMYFUNCTION("IFERROR(
  INDEX(
    FILTER(
      'Juma Recording forms'!$G:$G,
      TRIM('Juma Recording forms'!$F:$F) = TRIM($B269),
      'Juma Recording forms'!$AA:$AA = 5
    ),
    1
  ),
  ""Not Found""
)"),1300.0)</f>
        <v>1300</v>
      </c>
      <c r="AK269" s="292">
        <f>IFERROR(__xludf.DUMMYFUNCTION("IFERROR(
  INDEX(
    FILTER(
      'Juma Recording forms'!$G:$G,
      TRIM('Juma Recording forms'!$F:$F) = TRIM($B269),
      'Juma Recording forms'!$AA:$AA = 6
    ),
    1
  ),
  ""Not Found""
)"),1100.0)</f>
        <v>1100</v>
      </c>
      <c r="AL2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1!$E:$E"")=$B269) *
        (IMPORTRANGE(""https://docs.google.com/spreadsheets/d/161aHT6vVT3SLneTKD19N5qVWtnj_jIT8CSsOmUVKmaA/e"&amp;"dit?gid=1761053510"",
          ""Haris_Form responses 1!$AQ:$AQ"")=1)
      ),
      1
    ),
    ""0""
  ),
  ""Form not found""
)
"),"5")</f>
        <v>5</v>
      </c>
      <c r="AM2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1!$E:$E"")=$B269) *
        (IMPORTRANGE(""https://docs.google.com/spreadsheets/d/161aHT6vVT3SLneTKD19N5qVWtnj_jIT8CSsOmUVKmaA/e"&amp;"dit?gid=1761053510"",
          ""Haris_Form responses 1!$AQ:$AQ"")=2)
      ),
      1
    ),
    ""0""
  ),
  ""Form not found""
)
"),"7")</f>
        <v>7</v>
      </c>
      <c r="AN2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1!$E:$E"")=$B269) *
        (IMPORTRANGE(""https://docs.google.com/spreadsheets/d/161aHT6vVT3SLneTKD19N5qVWtnj_jIT8CSsOmUVKmaA/e"&amp;"dit?gid=1761053510"",
          ""Haris_Form responses 1!$AQ:$AQ"")=3)
      ),
      1
    ),
    ""0""
  ),
  ""Form not found""
)
"),"1")</f>
        <v>1</v>
      </c>
      <c r="AO2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1!$E:$E"")=$B269) *
        (IMPORTRANGE(""https://docs.google.com/spreadsheets/d/161aHT6vVT3SLneTKD19N5qVWtnj_jIT8CSsOmUVKmaA/e"&amp;"dit?gid=1761053510"",
          ""Haris_Form responses 1!$AQ:$AQ"")=4)
      ),
      1
    ),
    ""0""
  ),
  ""Form not found""
)
"),"0")</f>
        <v>0</v>
      </c>
      <c r="AP2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1!$E:$E"")=$B269) *
        (IMPORTRANGE(""https://docs.google.com/spreadsheets/d/161aHT6vVT3SLneTKD19N5qVWtnj_jIT8CSsOmUVKmaA/e"&amp;"dit?gid=1761053510"",
          ""Haris_Form responses 1!$AQ:$AQ"")=5)
      ),
      1
    ),
    ""0""
  ),
  ""Form not found""
)
"),"10")</f>
        <v>10</v>
      </c>
      <c r="AQ26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1!$E:$E"")=$B269) *
        (IMPORTRANGE(""https://docs.google.com/spreadsheets/d/161aHT6vVT3SLneTKD19N5qVWtnj_jIT8CSsOmUVKmaA/e"&amp;"dit?gid=1761053510"",
          ""Haris_Form responses 1!$AQ:$AQ"")=6)
      ),
      1
    ),
    ""0""
  ),
  ""Form not found""
)
"),"0")</f>
        <v>0</v>
      </c>
      <c r="AR2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1!$E:$E"")=$B269) *
        (IMPORTRANGE(""https://docs.google.com/spreadsheets/d/161aHT6vVT3SLneTKD19N5qVWtnj_jIT8CSsOmUVKmaA/e"&amp;"dit?gid=1761053510"",
          ""Haris_Form responses 1!$AQ:$AQ"")=1)
      ),
      1
    ),
    ""0""
  ),
  ""Form not found""
)
"),"0")</f>
        <v>0</v>
      </c>
      <c r="AS2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1!$E:$E"")=$B269) *
        (IMPORTRANGE(""https://docs.google.com/spreadsheets/d/161aHT6vVT3SLneTKD19N5qVWtnj_jIT8CSsOmUVKmaA/e"&amp;"dit?gid=1761053510"",
          ""Haris_Form responses 1!$AQ:$AQ"")=2)
      ),
      1
    ),
    ""0""
  ),
  ""Form not found""
)
"),"0")</f>
        <v>0</v>
      </c>
      <c r="AT2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1!$E:$E"")=$B269) *
        (IMPORTRANGE(""https://docs.google.com/spreadsheets/d/161aHT6vVT3SLneTKD19N5qVWtnj_jIT8CSsOmUVKmaA/e"&amp;"dit?gid=1761053510"",
          ""Haris_Form responses 1!$AQ:$AQ"")=3)
      ),
      1
    ),
    ""0""
  ),
  ""Form not found""
)
"),"0")</f>
        <v>0</v>
      </c>
      <c r="AU2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1!$E:$E"")=$B269) *
        (IMPORTRANGE(""https://docs.google.com/spreadsheets/d/161aHT6vVT3SLneTKD19N5qVWtnj_jIT8CSsOmUVKmaA/e"&amp;"dit?gid=1761053510"",
          ""Haris_Form responses 1!$AQ:$AQ"")=4)
      ),
      1
    ),
    ""0""
  ),
  ""Form not found""
)
"),"0")</f>
        <v>0</v>
      </c>
      <c r="AV2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1!$E:$E"")=$B269) *
        (IMPORTRANGE(""https://docs.google.com/spreadsheets/d/161aHT6vVT3SLneTKD19N5qVWtnj_jIT8CSsOmUVKmaA/e"&amp;"dit?gid=1761053510"",
          ""Haris_Form responses 1!$AQ:$AQ"")=5)
      ),
      1
    ),
    ""0""
  ),
  ""Form not found""
)
"),"0")</f>
        <v>0</v>
      </c>
      <c r="AW26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1!$E:$E"")=$B269) *
        (IMPORTRANGE(""https://docs.google.com/spreadsheets/d/161aHT6vVT3SLneTKD19N5qVWtnj_jIT8CSsOmUVKmaA/e"&amp;"dit?gid=1761053510"",
          ""Haris_Form responses 1!$AQ:$AQ"")=6)
      ),
      1
    ),
    ""0""
  ),
  ""Form not found""
)
"),"0")</f>
        <v>0</v>
      </c>
      <c r="AX2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1!$E:$E"")=$B269) *
        (IMPORTRANGE(""https://docs.google.com/spreadsheets/d/161aHT6vVT3SLneTKD19N5qVWtnj_jIT8CSsOmUVKmaA/e"&amp;"dit?gid=1761053510"",
          ""Haris_Form responses 1!$AQ:$AQ"")=1)
      ),
      1
    ),
    ""0""
  ),
  ""Form not found""
)
"),"4")</f>
        <v>4</v>
      </c>
      <c r="AY2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1!$E:$E"")=$B269) *
        (IMPORTRANGE(""https://docs.google.com/spreadsheets/d/161aHT6vVT3SLneTKD19N5qVWtnj_jIT8CSsOmUVKmaA/e"&amp;"dit?gid=1761053510"",
          ""Haris_Form responses 1!$AQ:$AQ"")=2)
      ),
      1
    ),
    ""0""
  ),
  ""Form not found""
)
"),"7")</f>
        <v>7</v>
      </c>
      <c r="AZ2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1!$E:$E"")=$B269) *
        (IMPORTRANGE(""https://docs.google.com/spreadsheets/d/161aHT6vVT3SLneTKD19N5qVWtnj_jIT8CSsOmUVKmaA/e"&amp;"dit?gid=1761053510"",
          ""Haris_Form responses 1!$AQ:$AQ"")=3)
      ),
      1
    ),
    ""0""
  ),
  ""Form not found""
)
"),"1")</f>
        <v>1</v>
      </c>
      <c r="BA2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1!$E:$E"")=$B269) *
        (IMPORTRANGE(""https://docs.google.com/spreadsheets/d/161aHT6vVT3SLneTKD19N5qVWtnj_jIT8CSsOmUVKmaA/e"&amp;"dit?gid=1761053510"",
          ""Haris_Form responses 1!$AQ:$AQ"")=4)
      ),
      1
    ),
    ""0""
  ),
  ""Form not found""
)
"),"0")</f>
        <v>0</v>
      </c>
      <c r="BB2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1!$E:$E"")=$B269) *
        (IMPORTRANGE(""https://docs.google.com/spreadsheets/d/161aHT6vVT3SLneTKD19N5qVWtnj_jIT8CSsOmUVKmaA/e"&amp;"dit?gid=1761053510"",
          ""Haris_Form responses 1!$AQ:$AQ"")=5)
      ),
      1
    ),
    ""0""
  ),
  ""Form not found""
)
"),"10")</f>
        <v>10</v>
      </c>
      <c r="BC26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1!$E:$E"")=$B269) *
        (IMPORTRANGE(""https://docs.google.com/spreadsheets/d/161aHT6vVT3SLneTKD19N5qVWtnj_jIT8CSsOmUVKmaA/e"&amp;"dit?gid=1761053510"",
          ""Haris_Form responses 1!$AQ:$AQ"")=6)
      ),
      1
    ),
    ""0""
  ),
  ""Form not found""
)
"),"0")</f>
        <v>0</v>
      </c>
      <c r="BD269" s="293"/>
    </row>
    <row r="270">
      <c r="A270" s="283" t="str">
        <f>IFERROR(__xludf.DUMMYFUNCTION("VLOOKUP($B270,IMPORTRANGE(""https://docs.google.com/spreadsheets/d/1VNXDITjs75AcgdBSW27oL1VZH31udDprJSsBcE5xlp4/edit?gid=1551188038#gid=1551188038"", ""Sheet9!$B:$E""),2,false)"),"Okara")</f>
        <v>Okara</v>
      </c>
      <c r="B270" s="283" t="s">
        <v>4677</v>
      </c>
      <c r="C270" s="284" t="str">
        <f>IFERROR(__xludf.DUMMYFUNCTION("VLOOKUP(TRIM($B270), IMPORTRANGE(""https://docs.google.com/spreadsheets/d/1aSOrU4PTpuBZqfitKaH1Rfww6-YOiNCKoBpPl8XBHaw/edit?gid=0#gid=0"", ""sheet3!$B:$C""), 2, FALSE)
"),"Jamia Masjid Darbar Muhammad Ghous Bala Peer Okara")</f>
        <v>Jamia Masjid Darbar Muhammad Ghous Bala Peer Okara</v>
      </c>
      <c r="D270" s="284" t="str">
        <f>IFERROR(__xludf.DUMMYFUNCTION("IFERROR(
  INDEX(
    FILTER(
      IMPORTRANGE(""1aSOrU4PTpuBZqfitKaH1Rfww6-YOiNCKoBpPl8XBHaw/edit?gid=0#gid=0"",""Sheet1!G:G""),
      IMPORTRANGE(""1aSOrU4PTpuBZqfitKaH1Rfww6-YOiNCKoBpPl8XBHaw/edit?gid=0#gid=0"",""Sheet1!C:C"")=$B270
    ),
    1
  ),
"&amp;"  ""Not Found""
)"),"Women Secular Info Share")</f>
        <v>Women Secular Info Share</v>
      </c>
      <c r="E270" s="284" t="str">
        <f>VLOOKUP(B270,'Juma Recording forms'!A:E,5,false)</f>
        <v>Jamia masjid darbar Muhammad ghous</v>
      </c>
      <c r="F270" s="284" t="str">
        <f>IFERROR(__xludf.DUMMYFUNCTION("IFERROR(
  INDEX(
    FILTER(
      IMPORTRANGE(""1Cxrhp3-_-HS7v9uuqQliiIfrmMP4VaFoDNDWyUFy2J8/edit?gid=0#gid=0"",""Sheet1!Q:Q""),
      IMPORTRANGE(""1Cxrhp3-_-HS7v9uuqQliiIfrmMP4VaFoDNDWyUFy2J8/edit?gid=0#gid=0"",""Sheet1!K:K"")=$B270
    ),
    1
  ),
"&amp;"  ""Not Found""
)"),"Qari allah rakha")</f>
        <v>Qari allah rakha</v>
      </c>
      <c r="G270" s="292">
        <v>1947.0</v>
      </c>
      <c r="H270" s="284" t="s">
        <v>4890</v>
      </c>
      <c r="I270" s="285" t="s">
        <v>401</v>
      </c>
      <c r="J270" s="286">
        <v>2.0</v>
      </c>
      <c r="K270" s="287" t="str">
        <f>VLOOKUP($B270,'Mosque Locations'!$A:$E,3,FALSE)
</f>
        <v>https://maps.google.com/maps?q=30.9524382%2C73.5387666&amp;z=17&amp;hl=en</v>
      </c>
      <c r="L270" s="286">
        <f>VLOOKUP($B270,'Mosque Locations'!$A:$E,4,FALSE)
</f>
        <v>30.95244</v>
      </c>
      <c r="M270" s="286">
        <f>VLOOKUP($B270,'Mosque Locations'!$A:$E,5,false)</f>
        <v>73.53877</v>
      </c>
      <c r="N270" s="288"/>
      <c r="O270" s="288"/>
      <c r="P270" s="288"/>
      <c r="Q270" s="295" t="str">
        <f>IFERROR(__xludf.DUMMYFUNCTION("IFERROR(
  INDEX(
    FILTER(
      IMPORTRANGE(""1kOrIKZmJfNUkgOVP3sI9BPjaaPA0_a4636oymQxTXg8"",""Form Responses 1!N:N""),
      TRIM(IMPORTRANGE(""1kOrIKZmJfNUkgOVP3sI9BPjaaPA0_a4636oymQxTXg8"",""Form Responses 1!F:F""))=TRIM($B270)
    ),
    1
  ),
  "&amp;"""Not Found""
)
"),"https://drive.google.com/file/d/1KZFobD2pi3Ub_Z3b-teIWObqTByQaBpk/view?usp=drive_link")</f>
        <v>https://drive.google.com/file/d/1KZFobD2pi3Ub_Z3b-teIWObqTByQaBpk/view?usp=drive_link</v>
      </c>
      <c r="R270" s="295" t="str">
        <f>IFERROR(__xludf.DUMMYFUNCTION("IFERROR(
  INDEX(
    FILTER(
      IMPORTRANGE(""1kOrIKZmJfNUkgOVP3sI9BPjaaPA0_a4636oymQxTXg8"",""Form Responses 1!M:M""),
      TRIM(IMPORTRANGE(""1kOrIKZmJfNUkgOVP3sI9BPjaaPA0_a4636oymQxTXg8"",""Form Responses 1!F:F""))=TRIM($B270)
    ),
    1
  ),
  "&amp;"""Not Found""
)
"),"https://drive.google.com/file/d/1X1qx0YzrX0EGZ0Vhyl8Tv31LiicDeT4_/view?usp=drive_link")</f>
        <v>https://drive.google.com/file/d/1X1qx0YzrX0EGZ0Vhyl8Tv31LiicDeT4_/view?usp=drive_link</v>
      </c>
      <c r="S270" s="285"/>
      <c r="T270" s="290" t="str">
        <f>VLOOKUP($B270,'Master Tracker'!D:E,2,false)</f>
        <v>https://drive.google.com/open?id=1q5LCraaTyUj30JQtNozSZuTnDYYrJS5F</v>
      </c>
      <c r="U270" s="291" t="str">
        <f>VLOOKUP($B270,'Master Tracker'!$D:$T,4,FALSE)
</f>
        <v>https://drive.google.com/open?id=19QnL5BinTJ-iWAQRwfYdDGJ0n8ZeoJLb_ulvCDwLvrU</v>
      </c>
      <c r="V270" s="290" t="str">
        <f>VLOOKUP($B270,'Master Tracker'!$D:$T,5,false)</f>
        <v>https://drive.google.com/open?id=118l2jUHbafIJXeLWdZBdSKGFHi3niFTv</v>
      </c>
      <c r="W270" s="291" t="str">
        <f>VLOOKUP($B270,'Master Tracker'!$D:$T,7,false)</f>
        <v>https://drive.google.com/open?id=1mmlwDHEVndmd5MLmXalewBmhDqhC2W5L</v>
      </c>
      <c r="X270" s="290" t="str">
        <f>VLOOKUP($B270,'Master Tracker'!$D:$T,8,false)</f>
        <v>https://drive.google.com/open?id=1dVhiLRbE8kj7gG6ZrtxtZPrFJQW7z7CK</v>
      </c>
      <c r="Y270" s="291" t="str">
        <f>VLOOKUP($B270,'Master Tracker'!$D:$T,10,false)</f>
        <v>https://drive.google.com/open?id=1wu3TqTx1Mi9A6pJfRZFBseKD1ljNQjRec-QVXMEUapM</v>
      </c>
      <c r="Z270" s="290" t="str">
        <f>VLOOKUP($B270,'Master Tracker'!$D:$T,11,false)</f>
        <v>https://drive.google.com/open?id=1JMg9lRzAm5YVaso8L6jYuFwhptvNL3lu</v>
      </c>
      <c r="AA270" s="291" t="str">
        <f>VLOOKUP($B270,'Master Tracker'!$D:$T,13,false)</f>
        <v>https://drive.google.com/open?id=1rtj5QP8MQRLO94RUKFkYI1cMDOHAGAnU</v>
      </c>
      <c r="AB270" s="290" t="str">
        <f>VLOOKUP($B270,'Master Tracker'!$D:$T,14,false)</f>
        <v>https://drive.google.com/open?id=1x-qqBRvSJOJtXL66juGwfougZOwJDqD7</v>
      </c>
      <c r="AC270" s="291" t="str">
        <f>VLOOKUP($B270,'Master Tracker'!$D:$T,16,false)</f>
        <v>https://drive.google.com/open?id=1sKdwUF4gfTDiDtFo_t3p9JdS2r_4eesLloslzO23fMo</v>
      </c>
      <c r="AD270" s="292" t="str">
        <f>VLOOKUP($B270,'Master Tracker'!$D:$T,17,false)</f>
        <v>Not Found</v>
      </c>
      <c r="AE270" s="292" t="str">
        <f>VLOOKUP($B270,'Master Tracker'!$D:$V,19,false)</f>
        <v>Not Found</v>
      </c>
      <c r="AF270" s="292">
        <f>IFERROR(__xludf.DUMMYFUNCTION("IFERROR(
  INDEX(
    FILTER(
      'Juma Recording forms'!$G:$G,
      TRIM('Juma Recording forms'!$F:$F) = TRIM($B270),
      'Juma Recording forms'!$AA:$AA = 1
    ),
    1
  ),
  ""Not Found""
)"),470.0)</f>
        <v>470</v>
      </c>
      <c r="AG270" s="292">
        <f>IFERROR(__xludf.DUMMYFUNCTION("IFERROR(
  INDEX(
    FILTER(
      'Juma Recording forms'!$G:$G,
      TRIM('Juma Recording forms'!$F:$F) = TRIM($B270),
      'Juma Recording forms'!$AA:$AA = 2
    ),
    1
  ),
  ""Not Found""
)"),620.0)</f>
        <v>620</v>
      </c>
      <c r="AH270" s="292">
        <f>IFERROR(__xludf.DUMMYFUNCTION("IFERROR(
  INDEX(
    FILTER(
      'Juma Recording forms'!$G:$G,
      TRIM('Juma Recording forms'!$F:$F) = TRIM($B270),
      'Juma Recording forms'!$AA:$AA = 3
    ),
    1
  ),
  ""Not Found""
)"),620.0)</f>
        <v>620</v>
      </c>
      <c r="AI270" s="292">
        <f>IFERROR(__xludf.DUMMYFUNCTION("IFERROR(
  INDEX(
    FILTER(
      'Juma Recording forms'!$G:$G,
      TRIM('Juma Recording forms'!$F:$F) = TRIM($B270),
      'Juma Recording forms'!$AA:$AA = 4
    ),
    1
  ),
  ""Not Found""
)"),580.0)</f>
        <v>580</v>
      </c>
      <c r="AJ270" s="292">
        <f>IFERROR(__xludf.DUMMYFUNCTION("IFERROR(
  INDEX(
    FILTER(
      'Juma Recording forms'!$G:$G,
      TRIM('Juma Recording forms'!$F:$F) = TRIM($B270),
      'Juma Recording forms'!$AA:$AA = 5
    ),
    1
  ),
  ""Not Found""
)"),520.0)</f>
        <v>520</v>
      </c>
      <c r="AK270" s="292" t="str">
        <f>IFERROR(__xludf.DUMMYFUNCTION("IFERROR(
  INDEX(
    FILTER(
      'Juma Recording forms'!$G:$G,
      TRIM('Juma Recording forms'!$F:$F) = TRIM($B270),
      'Juma Recording forms'!$AA:$AA = 6
    ),
    1
  ),
  ""Not Found""
)"),"Not Found")</f>
        <v>Not Found</v>
      </c>
      <c r="AL2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1!$E:$E"")=$B270) *
        (IMPORTRANGE(""https://docs.google.com/spreadsheets/d/161aHT6vVT3SLneTKD19N5qVWtnj_jIT8CSsOmUVKmaA/e"&amp;"dit?gid=1761053510"",
          ""Haris_Form responses 1!$AQ:$AQ"")=1)
      ),
      1
    ),
    ""0""
  ),
  ""Form not found""
)
"),"0")</f>
        <v>0</v>
      </c>
      <c r="AM2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1!$E:$E"")=$B270) *
        (IMPORTRANGE(""https://docs.google.com/spreadsheets/d/161aHT6vVT3SLneTKD19N5qVWtnj_jIT8CSsOmUVKmaA/e"&amp;"dit?gid=1761053510"",
          ""Haris_Form responses 1!$AQ:$AQ"")=2)
      ),
      1
    ),
    ""0""
  ),
  ""Form not found""
)
"),"5")</f>
        <v>5</v>
      </c>
      <c r="AN2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1!$E:$E"")=$B270) *
        (IMPORTRANGE(""https://docs.google.com/spreadsheets/d/161aHT6vVT3SLneTKD19N5qVWtnj_jIT8CSsOmUVKmaA/e"&amp;"dit?gid=1761053510"",
          ""Haris_Form responses 1!$AQ:$AQ"")=3)
      ),
      1
    ),
    ""0""
  ),
  ""Form not found""
)
"),"0")</f>
        <v>0</v>
      </c>
      <c r="AO2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1!$E:$E"")=$B270) *
        (IMPORTRANGE(""https://docs.google.com/spreadsheets/d/161aHT6vVT3SLneTKD19N5qVWtnj_jIT8CSsOmUVKmaA/e"&amp;"dit?gid=1761053510"",
          ""Haris_Form responses 1!$AQ:$AQ"")=4)
      ),
      1
    ),
    ""0""
  ),
  ""Form not found""
)
"),"0")</f>
        <v>0</v>
      </c>
      <c r="AP2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1!$E:$E"")=$B270) *
        (IMPORTRANGE(""https://docs.google.com/spreadsheets/d/161aHT6vVT3SLneTKD19N5qVWtnj_jIT8CSsOmUVKmaA/e"&amp;"dit?gid=1761053510"",
          ""Haris_Form responses 1!$AQ:$AQ"")=5)
      ),
      1
    ),
    ""0""
  ),
  ""Form not found""
)
"),"0")</f>
        <v>0</v>
      </c>
      <c r="AQ27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1!$E:$E"")=$B270) *
        (IMPORTRANGE(""https://docs.google.com/spreadsheets/d/161aHT6vVT3SLneTKD19N5qVWtnj_jIT8CSsOmUVKmaA/e"&amp;"dit?gid=1761053510"",
          ""Haris_Form responses 1!$AQ:$AQ"")=6)
      ),
      1
    ),
    ""0""
  ),
  ""Form not found""
)
"),"Form not found")</f>
        <v>Form not found</v>
      </c>
      <c r="AR2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1!$E:$E"")=$B270) *
        (IMPORTRANGE(""https://docs.google.com/spreadsheets/d/161aHT6vVT3SLneTKD19N5qVWtnj_jIT8CSsOmUVKmaA/e"&amp;"dit?gid=1761053510"",
          ""Haris_Form responses 1!$AQ:$AQ"")=1)
      ),
      1
    ),
    ""0""
  ),
  ""Form not found""
)
"),"0")</f>
        <v>0</v>
      </c>
      <c r="AS2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1!$E:$E"")=$B270) *
        (IMPORTRANGE(""https://docs.google.com/spreadsheets/d/161aHT6vVT3SLneTKD19N5qVWtnj_jIT8CSsOmUVKmaA/e"&amp;"dit?gid=1761053510"",
          ""Haris_Form responses 1!$AQ:$AQ"")=2)
      ),
      1
    ),
    ""0""
  ),
  ""Form not found""
)
"),"0")</f>
        <v>0</v>
      </c>
      <c r="AT2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1!$E:$E"")=$B270) *
        (IMPORTRANGE(""https://docs.google.com/spreadsheets/d/161aHT6vVT3SLneTKD19N5qVWtnj_jIT8CSsOmUVKmaA/e"&amp;"dit?gid=1761053510"",
          ""Haris_Form responses 1!$AQ:$AQ"")=3)
      ),
      1
    ),
    ""0""
  ),
  ""Form not found""
)
"),"0")</f>
        <v>0</v>
      </c>
      <c r="AU2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1!$E:$E"")=$B270) *
        (IMPORTRANGE(""https://docs.google.com/spreadsheets/d/161aHT6vVT3SLneTKD19N5qVWtnj_jIT8CSsOmUVKmaA/e"&amp;"dit?gid=1761053510"",
          ""Haris_Form responses 1!$AQ:$AQ"")=4)
      ),
      1
    ),
    ""0""
  ),
  ""Form not found""
)
"),"0")</f>
        <v>0</v>
      </c>
      <c r="AV2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1!$E:$E"")=$B270) *
        (IMPORTRANGE(""https://docs.google.com/spreadsheets/d/161aHT6vVT3SLneTKD19N5qVWtnj_jIT8CSsOmUVKmaA/e"&amp;"dit?gid=1761053510"",
          ""Haris_Form responses 1!$AQ:$AQ"")=5)
      ),
      1
    ),
    ""0""
  ),
  ""Form not found""
)
"),"0")</f>
        <v>0</v>
      </c>
      <c r="AW27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1!$E:$E"")=$B270) *
        (IMPORTRANGE(""https://docs.google.com/spreadsheets/d/161aHT6vVT3SLneTKD19N5qVWtnj_jIT8CSsOmUVKmaA/e"&amp;"dit?gid=1761053510"",
          ""Haris_Form responses 1!$AQ:$AQ"")=6)
      ),
      1
    ),
    ""0""
  ),
  ""Form not found""
)
"),"Form not found")</f>
        <v>Form not found</v>
      </c>
      <c r="AX2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1!$E:$E"")=$B270) *
        (IMPORTRANGE(""https://docs.google.com/spreadsheets/d/161aHT6vVT3SLneTKD19N5qVWtnj_jIT8CSsOmUVKmaA/e"&amp;"dit?gid=1761053510"",
          ""Haris_Form responses 1!$AQ:$AQ"")=1)
      ),
      1
    ),
    ""0""
  ),
  ""Form not found""
)
"),"0")</f>
        <v>0</v>
      </c>
      <c r="AY2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1!$E:$E"")=$B270) *
        (IMPORTRANGE(""https://docs.google.com/spreadsheets/d/161aHT6vVT3SLneTKD19N5qVWtnj_jIT8CSsOmUVKmaA/e"&amp;"dit?gid=1761053510"",
          ""Haris_Form responses 1!$AQ:$AQ"")=2)
      ),
      1
    ),
    ""0""
  ),
  ""Form not found""
)
"),"5")</f>
        <v>5</v>
      </c>
      <c r="AZ2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1!$E:$E"")=$B270) *
        (IMPORTRANGE(""https://docs.google.com/spreadsheets/d/161aHT6vVT3SLneTKD19N5qVWtnj_jIT8CSsOmUVKmaA/e"&amp;"dit?gid=1761053510"",
          ""Haris_Form responses 1!$AQ:$AQ"")=3)
      ),
      1
    ),
    ""0""
  ),
  ""Form not found""
)
"),"0")</f>
        <v>0</v>
      </c>
      <c r="BA2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1!$E:$E"")=$B270) *
        (IMPORTRANGE(""https://docs.google.com/spreadsheets/d/161aHT6vVT3SLneTKD19N5qVWtnj_jIT8CSsOmUVKmaA/e"&amp;"dit?gid=1761053510"",
          ""Haris_Form responses 1!$AQ:$AQ"")=4)
      ),
      1
    ),
    ""0""
  ),
  ""Form not found""
)
"),"0")</f>
        <v>0</v>
      </c>
      <c r="BB2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1!$E:$E"")=$B270) *
        (IMPORTRANGE(""https://docs.google.com/spreadsheets/d/161aHT6vVT3SLneTKD19N5qVWtnj_jIT8CSsOmUVKmaA/e"&amp;"dit?gid=1761053510"",
          ""Haris_Form responses 1!$AQ:$AQ"")=5)
      ),
      1
    ),
    ""0""
  ),
  ""Form not found""
)
"),"0")</f>
        <v>0</v>
      </c>
      <c r="BC27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1!$E:$E"")=$B270) *
        (IMPORTRANGE(""https://docs.google.com/spreadsheets/d/161aHT6vVT3SLneTKD19N5qVWtnj_jIT8CSsOmUVKmaA/e"&amp;"dit?gid=1761053510"",
          ""Haris_Form responses 1!$AQ:$AQ"")=6)
      ),
      1
    ),
    ""0""
  ),
  ""Form not found""
)
"),"Form not found")</f>
        <v>Form not found</v>
      </c>
      <c r="BD270" s="293"/>
    </row>
    <row r="271">
      <c r="A271" s="283" t="str">
        <f>IFERROR(__xludf.DUMMYFUNCTION("VLOOKUP($B271,IMPORTRANGE(""https://docs.google.com/spreadsheets/d/1VNXDITjs75AcgdBSW27oL1VZH31udDprJSsBcE5xlp4/edit?gid=1551188038#gid=1551188038"", ""Sheet9!$B:$E""),2,false)"),"Okara")</f>
        <v>Okara</v>
      </c>
      <c r="B271" s="283" t="s">
        <v>4678</v>
      </c>
      <c r="C271" s="284" t="str">
        <f>IFERROR(__xludf.DUMMYFUNCTION("VLOOKUP(TRIM($B271), IMPORTRANGE(""https://docs.google.com/spreadsheets/d/1aSOrU4PTpuBZqfitKaH1Rfww6-YOiNCKoBpPl8XBHaw/edit?gid=0#gid=0"", ""sheet3!$B:$C""), 2, FALSE)
"),"Jamia Masjid Lahbey Shah Ghogera Okara")</f>
        <v>Jamia Masjid Lahbey Shah Ghogera Okara</v>
      </c>
      <c r="D271" s="284" t="str">
        <f>IFERROR(__xludf.DUMMYFUNCTION("IFERROR(
  INDEX(
    FILTER(
      IMPORTRANGE(""1aSOrU4PTpuBZqfitKaH1Rfww6-YOiNCKoBpPl8XBHaw/edit?gid=0#gid=0"",""Sheet1!G:G""),
      IMPORTRANGE(""1aSOrU4PTpuBZqfitKaH1Rfww6-YOiNCKoBpPl8XBHaw/edit?gid=0#gid=0"",""Sheet1!C:C"")=$B271
    ),
    1
  ),
"&amp;"  ""Not Found""
)"),"Control")</f>
        <v>Control</v>
      </c>
      <c r="E271" s="284" t="str">
        <f>VLOOKUP(B271,'Juma Recording forms'!A:E,5,false)</f>
        <v>جامع مسجد دربار حضرت سائیں لابھے شاہ، گوگیرہ </v>
      </c>
      <c r="F271" s="284" t="str">
        <f>IFERROR(__xludf.DUMMYFUNCTION("IFERROR(
  INDEX(
    FILTER(
      IMPORTRANGE(""1Cxrhp3-_-HS7v9uuqQliiIfrmMP4VaFoDNDWyUFy2J8/edit?gid=0#gid=0"",""Sheet1!Q:Q""),
      IMPORTRANGE(""1Cxrhp3-_-HS7v9uuqQliiIfrmMP4VaFoDNDWyUFy2J8/edit?gid=0#gid=0"",""Sheet1!K:K"")=$B271
    ),
    1
  ),
"&amp;"  ""Not Found""
)"),"Not Found")</f>
        <v>Not Found</v>
      </c>
      <c r="G271" s="292">
        <v>2009.0</v>
      </c>
      <c r="H271" s="284"/>
      <c r="I271" s="285" t="s">
        <v>197</v>
      </c>
      <c r="J271" s="286">
        <v>1.0</v>
      </c>
      <c r="K271" s="287" t="str">
        <f>VLOOKUP($B271,'Mosque Locations'!$A:$E,3,FALSE)
</f>
        <v>https://maps.google.com/maps?q=30.9528117%2C73.3293886&amp;z=17&amp;hl=en</v>
      </c>
      <c r="L271" s="286">
        <f>VLOOKUP($B271,'Mosque Locations'!$A:$E,4,FALSE)
</f>
        <v>30.95281</v>
      </c>
      <c r="M271" s="286">
        <f>VLOOKUP($B271,'Mosque Locations'!$A:$E,5,false)</f>
        <v>73.32939</v>
      </c>
      <c r="N271" s="288"/>
      <c r="O271" s="288"/>
      <c r="P271" s="288"/>
      <c r="Q271" s="295" t="str">
        <f>IFERROR(__xludf.DUMMYFUNCTION("IFERROR(
  INDEX(
    FILTER(
      IMPORTRANGE(""1kOrIKZmJfNUkgOVP3sI9BPjaaPA0_a4636oymQxTXg8"",""Form Responses 1!N:N""),
      TRIM(IMPORTRANGE(""1kOrIKZmJfNUkgOVP3sI9BPjaaPA0_a4636oymQxTXg8"",""Form Responses 1!F:F""))=TRIM($B271)
    ),
    1
  ),
  "&amp;"""Not Found""
)
"),"https://drive.google.com/file/d/1dci1aD-Kn98a3Mz-qBwbDz1h05Vw_yqO/view?usp=drive_link")</f>
        <v>https://drive.google.com/file/d/1dci1aD-Kn98a3Mz-qBwbDz1h05Vw_yqO/view?usp=drive_link</v>
      </c>
      <c r="R271" s="295" t="str">
        <f>IFERROR(__xludf.DUMMYFUNCTION("IFERROR(
  INDEX(
    FILTER(
      IMPORTRANGE(""1kOrIKZmJfNUkgOVP3sI9BPjaaPA0_a4636oymQxTXg8"",""Form Responses 1!M:M""),
      TRIM(IMPORTRANGE(""1kOrIKZmJfNUkgOVP3sI9BPjaaPA0_a4636oymQxTXg8"",""Form Responses 1!F:F""))=TRIM($B271)
    ),
    1
  ),
  "&amp;"""Not Found""
)
"),"https://drive.google.com/open?id=1pTbSL7pq8nUqsURfsl9V6qPRFI0Bic7d")</f>
        <v>https://drive.google.com/open?id=1pTbSL7pq8nUqsURfsl9V6qPRFI0Bic7d</v>
      </c>
      <c r="S271" s="285"/>
      <c r="T271" s="290" t="str">
        <f>VLOOKUP($B271,'Master Tracker'!D:E,2,false)</f>
        <v>https://drive.google.com/open?id=16NfHoFKpIhQLrdiaA30xSjjfnmQk5WuR</v>
      </c>
      <c r="U271" s="291" t="str">
        <f>VLOOKUP($B271,'Master Tracker'!$D:$T,4,FALSE)
</f>
        <v>https://drive.google.com/open?id=1TFUHK418b_PcZbMkcTwM6dvu8fjGbQq0Vf4h3aiWt3U</v>
      </c>
      <c r="V271" s="284" t="str">
        <f>VLOOKUP($B271,'Master Tracker'!$D:$T,5,false)</f>
        <v>Not Found</v>
      </c>
      <c r="W271" s="292" t="str">
        <f>VLOOKUP($B271,'Master Tracker'!$D:$T,7,false)</f>
        <v>Not Found</v>
      </c>
      <c r="X271" s="290" t="str">
        <f>VLOOKUP($B271,'Master Tracker'!$D:$T,8,false)</f>
        <v>https://drive.google.com/open?id=1vFCIZGI8MLcFUZv-GZRv7m7gPI6gS5am</v>
      </c>
      <c r="Y271" s="291" t="str">
        <f>VLOOKUP($B271,'Master Tracker'!$D:$T,10,false)</f>
        <v>https://drive.google.com/open?id=1oowadSxNt1a5zRjRL6N1ZeCRX7hfLhylEqO28AkiYXY</v>
      </c>
      <c r="Z271" s="284" t="str">
        <f>VLOOKUP($B271,'Master Tracker'!$D:$T,11,false)</f>
        <v>Not Found</v>
      </c>
      <c r="AA271" s="292" t="str">
        <f>VLOOKUP($B271,'Master Tracker'!$D:$T,13,false)</f>
        <v>Not Found</v>
      </c>
      <c r="AB271" s="284" t="str">
        <f>VLOOKUP($B271,'Master Tracker'!$D:$T,14,false)</f>
        <v>Not Found</v>
      </c>
      <c r="AC271" s="292" t="str">
        <f>VLOOKUP($B271,'Master Tracker'!$D:$T,16,false)</f>
        <v>Not Found</v>
      </c>
      <c r="AD271" s="292" t="str">
        <f>VLOOKUP($B271,'Master Tracker'!$D:$T,17,false)</f>
        <v>Not Found</v>
      </c>
      <c r="AE271" s="292" t="str">
        <f>VLOOKUP($B271,'Master Tracker'!$D:$V,19,false)</f>
        <v>Not Found</v>
      </c>
      <c r="AF271" s="292">
        <f>IFERROR(__xludf.DUMMYFUNCTION("IFERROR(
  INDEX(
    FILTER(
      'Juma Recording forms'!$G:$G,
      TRIM('Juma Recording forms'!$F:$F) = TRIM($B271),
      'Juma Recording forms'!$AA:$AA = 1
    ),
    1
  ),
  ""Not Found""
)"),320.0)</f>
        <v>320</v>
      </c>
      <c r="AG271" s="292" t="str">
        <f>IFERROR(__xludf.DUMMYFUNCTION("IFERROR(
  INDEX(
    FILTER(
      'Juma Recording forms'!$G:$G,
      TRIM('Juma Recording forms'!$F:$F) = TRIM($B271),
      'Juma Recording forms'!$AA:$AA = 2
    ),
    1
  ),
  ""Not Found""
)"),"Not Found")</f>
        <v>Not Found</v>
      </c>
      <c r="AH271" s="292" t="str">
        <f>IFERROR(__xludf.DUMMYFUNCTION("IFERROR(
  INDEX(
    FILTER(
      'Juma Recording forms'!$G:$G,
      TRIM('Juma Recording forms'!$F:$F) = TRIM($B271),
      'Juma Recording forms'!$AA:$AA = 3
    ),
    1
  ),
  ""Not Found""
)"),"230-250")</f>
        <v>230-250</v>
      </c>
      <c r="AI271" s="292" t="str">
        <f>IFERROR(__xludf.DUMMYFUNCTION("IFERROR(
  INDEX(
    FILTER(
      'Juma Recording forms'!$G:$G,
      TRIM('Juma Recording forms'!$F:$F) = TRIM($B271),
      'Juma Recording forms'!$AA:$AA = 4
    ),
    1
  ),
  ""Not Found""
)"),"Not Found")</f>
        <v>Not Found</v>
      </c>
      <c r="AJ271" s="292" t="str">
        <f>IFERROR(__xludf.DUMMYFUNCTION("IFERROR(
  INDEX(
    FILTER(
      'Juma Recording forms'!$G:$G,
      TRIM('Juma Recording forms'!$F:$F) = TRIM($B271),
      'Juma Recording forms'!$AA:$AA = 5
    ),
    1
  ),
  ""Not Found""
)"),"Not Found")</f>
        <v>Not Found</v>
      </c>
      <c r="AK271" s="292" t="str">
        <f>IFERROR(__xludf.DUMMYFUNCTION("IFERROR(
  INDEX(
    FILTER(
      'Juma Recording forms'!$G:$G,
      TRIM('Juma Recording forms'!$F:$F) = TRIM($B271),
      'Juma Recording forms'!$AA:$AA = 6
    ),
    1
  ),
  ""Not Found""
)"),"Not Found")</f>
        <v>Not Found</v>
      </c>
      <c r="AL2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1!$E:$E"")=$B271) *
        (IMPORTRANGE(""https://docs.google.com/spreadsheets/d/161aHT6vVT3SLneTKD19N5qVWtnj_jIT8CSsOmUVKmaA/e"&amp;"dit?gid=1761053510"",
          ""Haris_Form responses 1!$AQ:$AQ"")=1)
      ),
      1
    ),
    ""0""
  ),
  ""Form not found""
)
"),"0")</f>
        <v>0</v>
      </c>
      <c r="AM2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1!$E:$E"")=$B271) *
        (IMPORTRANGE(""https://docs.google.com/spreadsheets/d/161aHT6vVT3SLneTKD19N5qVWtnj_jIT8CSsOmUVKmaA/e"&amp;"dit?gid=1761053510"",
          ""Haris_Form responses 1!$AQ:$AQ"")=2)
      ),
      1
    ),
    ""0""
  ),
  ""Form not found""
)
"),"Form not found")</f>
        <v>Form not found</v>
      </c>
      <c r="AN2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1!$E:$E"")=$B271) *
        (IMPORTRANGE(""https://docs.google.com/spreadsheets/d/161aHT6vVT3SLneTKD19N5qVWtnj_jIT8CSsOmUVKmaA/e"&amp;"dit?gid=1761053510"",
          ""Haris_Form responses 1!$AQ:$AQ"")=3)
      ),
      1
    ),
    ""0""
  ),
  ""Form not found""
)
"),"0")</f>
        <v>0</v>
      </c>
      <c r="AO2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1!$E:$E"")=$B271) *
        (IMPORTRANGE(""https://docs.google.com/spreadsheets/d/161aHT6vVT3SLneTKD19N5qVWtnj_jIT8CSsOmUVKmaA/e"&amp;"dit?gid=1761053510"",
          ""Haris_Form responses 1!$AQ:$AQ"")=4)
      ),
      1
    ),
    ""0""
  ),
  ""Form not found""
)
"),"Form not found")</f>
        <v>Form not found</v>
      </c>
      <c r="AP2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1!$E:$E"")=$B271) *
        (IMPORTRANGE(""https://docs.google.com/spreadsheets/d/161aHT6vVT3SLneTKD19N5qVWtnj_jIT8CSsOmUVKmaA/e"&amp;"dit?gid=1761053510"",
          ""Haris_Form responses 1!$AQ:$AQ"")=5)
      ),
      1
    ),
    ""0""
  ),
  ""Form not found""
)
"),"Form not found")</f>
        <v>Form not found</v>
      </c>
      <c r="AQ27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1!$E:$E"")=$B271) *
        (IMPORTRANGE(""https://docs.google.com/spreadsheets/d/161aHT6vVT3SLneTKD19N5qVWtnj_jIT8CSsOmUVKmaA/e"&amp;"dit?gid=1761053510"",
          ""Haris_Form responses 1!$AQ:$AQ"")=6)
      ),
      1
    ),
    ""0""
  ),
  ""Form not found""
)
"),"Form not found")</f>
        <v>Form not found</v>
      </c>
      <c r="AR2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1!$E:$E"")=$B271) *
        (IMPORTRANGE(""https://docs.google.com/spreadsheets/d/161aHT6vVT3SLneTKD19N5qVWtnj_jIT8CSsOmUVKmaA/e"&amp;"dit?gid=1761053510"",
          ""Haris_Form responses 1!$AQ:$AQ"")=1)
      ),
      1
    ),
    ""0""
  ),
  ""Form not found""
)
"),"0")</f>
        <v>0</v>
      </c>
      <c r="AS2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1!$E:$E"")=$B271) *
        (IMPORTRANGE(""https://docs.google.com/spreadsheets/d/161aHT6vVT3SLneTKD19N5qVWtnj_jIT8CSsOmUVKmaA/e"&amp;"dit?gid=1761053510"",
          ""Haris_Form responses 1!$AQ:$AQ"")=2)
      ),
      1
    ),
    ""0""
  ),
  ""Form not found""
)
"),"Form not found")</f>
        <v>Form not found</v>
      </c>
      <c r="AT2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1!$E:$E"")=$B271) *
        (IMPORTRANGE(""https://docs.google.com/spreadsheets/d/161aHT6vVT3SLneTKD19N5qVWtnj_jIT8CSsOmUVKmaA/e"&amp;"dit?gid=1761053510"",
          ""Haris_Form responses 1!$AQ:$AQ"")=3)
      ),
      1
    ),
    ""0""
  ),
  ""Form not found""
)
"),"0")</f>
        <v>0</v>
      </c>
      <c r="AU2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1!$E:$E"")=$B271) *
        (IMPORTRANGE(""https://docs.google.com/spreadsheets/d/161aHT6vVT3SLneTKD19N5qVWtnj_jIT8CSsOmUVKmaA/e"&amp;"dit?gid=1761053510"",
          ""Haris_Form responses 1!$AQ:$AQ"")=4)
      ),
      1
    ),
    ""0""
  ),
  ""Form not found""
)
"),"Form not found")</f>
        <v>Form not found</v>
      </c>
      <c r="AV2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1!$E:$E"")=$B271) *
        (IMPORTRANGE(""https://docs.google.com/spreadsheets/d/161aHT6vVT3SLneTKD19N5qVWtnj_jIT8CSsOmUVKmaA/e"&amp;"dit?gid=1761053510"",
          ""Haris_Form responses 1!$AQ:$AQ"")=5)
      ),
      1
    ),
    ""0""
  ),
  ""Form not found""
)
"),"Form not found")</f>
        <v>Form not found</v>
      </c>
      <c r="AW27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1!$E:$E"")=$B271) *
        (IMPORTRANGE(""https://docs.google.com/spreadsheets/d/161aHT6vVT3SLneTKD19N5qVWtnj_jIT8CSsOmUVKmaA/e"&amp;"dit?gid=1761053510"",
          ""Haris_Form responses 1!$AQ:$AQ"")=6)
      ),
      1
    ),
    ""0""
  ),
  ""Form not found""
)
"),"Form not found")</f>
        <v>Form not found</v>
      </c>
      <c r="AX2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1!$E:$E"")=$B271) *
        (IMPORTRANGE(""https://docs.google.com/spreadsheets/d/161aHT6vVT3SLneTKD19N5qVWtnj_jIT8CSsOmUVKmaA/e"&amp;"dit?gid=1761053510"",
          ""Haris_Form responses 1!$AQ:$AQ"")=1)
      ),
      1
    ),
    ""0""
  ),
  ""Form not found""
)
"),"0")</f>
        <v>0</v>
      </c>
      <c r="AY2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1!$E:$E"")=$B271) *
        (IMPORTRANGE(""https://docs.google.com/spreadsheets/d/161aHT6vVT3SLneTKD19N5qVWtnj_jIT8CSsOmUVKmaA/e"&amp;"dit?gid=1761053510"",
          ""Haris_Form responses 1!$AQ:$AQ"")=2)
      ),
      1
    ),
    ""0""
  ),
  ""Form not found""
)
"),"Form not found")</f>
        <v>Form not found</v>
      </c>
      <c r="AZ2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1!$E:$E"")=$B271) *
        (IMPORTRANGE(""https://docs.google.com/spreadsheets/d/161aHT6vVT3SLneTKD19N5qVWtnj_jIT8CSsOmUVKmaA/e"&amp;"dit?gid=1761053510"",
          ""Haris_Form responses 1!$AQ:$AQ"")=3)
      ),
      1
    ),
    ""0""
  ),
  ""Form not found""
)
"),"0")</f>
        <v>0</v>
      </c>
      <c r="BA2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1!$E:$E"")=$B271) *
        (IMPORTRANGE(""https://docs.google.com/spreadsheets/d/161aHT6vVT3SLneTKD19N5qVWtnj_jIT8CSsOmUVKmaA/e"&amp;"dit?gid=1761053510"",
          ""Haris_Form responses 1!$AQ:$AQ"")=4)
      ),
      1
    ),
    ""0""
  ),
  ""Form not found""
)
"),"Form not found")</f>
        <v>Form not found</v>
      </c>
      <c r="BB2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1!$E:$E"")=$B271) *
        (IMPORTRANGE(""https://docs.google.com/spreadsheets/d/161aHT6vVT3SLneTKD19N5qVWtnj_jIT8CSsOmUVKmaA/e"&amp;"dit?gid=1761053510"",
          ""Haris_Form responses 1!$AQ:$AQ"")=5)
      ),
      1
    ),
    ""0""
  ),
  ""Form not found""
)
"),"Form not found")</f>
        <v>Form not found</v>
      </c>
      <c r="BC27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1!$E:$E"")=$B271) *
        (IMPORTRANGE(""https://docs.google.com/spreadsheets/d/161aHT6vVT3SLneTKD19N5qVWtnj_jIT8CSsOmUVKmaA/e"&amp;"dit?gid=1761053510"",
          ""Haris_Form responses 1!$AQ:$AQ"")=6)
      ),
      1
    ),
    ""0""
  ),
  ""Form not found""
)
"),"Form not found")</f>
        <v>Form not found</v>
      </c>
      <c r="BD271" s="293"/>
    </row>
    <row r="272">
      <c r="A272" s="283" t="str">
        <f>IFERROR(__xludf.DUMMYFUNCTION("VLOOKUP($B272,IMPORTRANGE(""https://docs.google.com/spreadsheets/d/1VNXDITjs75AcgdBSW27oL1VZH31udDprJSsBcE5xlp4/edit?gid=1551188038#gid=1551188038"", ""Sheet9!$B:$E""),2,false)"),"Pakpattan")</f>
        <v>Pakpattan</v>
      </c>
      <c r="B272" s="283" t="s">
        <v>4679</v>
      </c>
      <c r="C272" s="284" t="str">
        <f>IFERROR(__xludf.DUMMYFUNCTION("VLOOKUP(TRIM($B272), IMPORTRANGE(""https://docs.google.com/spreadsheets/d/1aSOrU4PTpuBZqfitKaH1Rfww6-YOiNCKoBpPl8XBHaw/edit?gid=0#gid=0"", ""sheet3!$B:$C""), 2, FALSE)
"),"Jamia Masjid Galah Mandi Arifwala")</f>
        <v>Jamia Masjid Galah Mandi Arifwala</v>
      </c>
      <c r="D272" s="284" t="str">
        <f>IFERROR(__xludf.DUMMYFUNCTION("IFERROR(
  INDEX(
    FILTER(
      IMPORTRANGE(""1aSOrU4PTpuBZqfitKaH1Rfww6-YOiNCKoBpPl8XBHaw/edit?gid=0#gid=0"",""Sheet1!G:G""),
      IMPORTRANGE(""1aSOrU4PTpuBZqfitKaH1Rfww6-YOiNCKoBpPl8XBHaw/edit?gid=0#gid=0"",""Sheet1!C:C"")=$B272
    ),
    1
  ),
"&amp;"  ""Not Found""
)"),"Women Religious Info Share")</f>
        <v>Women Religious Info Share</v>
      </c>
      <c r="E272" s="284" t="str">
        <f>VLOOKUP(B272,'Juma Recording forms'!A:E,5,false)</f>
        <v>Jamia masjid c block arifwala </v>
      </c>
      <c r="F272" s="284" t="str">
        <f>IFERROR(__xludf.DUMMYFUNCTION("IFERROR(
  INDEX(
    FILTER(
      IMPORTRANGE(""1Cxrhp3-_-HS7v9uuqQliiIfrmMP4VaFoDNDWyUFy2J8/edit?gid=0#gid=0"",""Sheet1!Q:Q""),
      IMPORTRANGE(""1Cxrhp3-_-HS7v9uuqQliiIfrmMP4VaFoDNDWyUFy2J8/edit?gid=0#gid=0"",""Sheet1!K:K"")=$B272
    ),
    1
  ),
"&amp;"  ""Not Found""
)"),"moulana muhammad aslam bashir")</f>
        <v>moulana muhammad aslam bashir</v>
      </c>
      <c r="G272" s="292">
        <v>1959.0</v>
      </c>
      <c r="H272" s="284"/>
      <c r="I272" s="285" t="s">
        <v>197</v>
      </c>
      <c r="J272" s="286">
        <v>2.0</v>
      </c>
      <c r="K272" s="287" t="str">
        <f>VLOOKUP($B272,'Mosque Locations'!$A:$E,3,FALSE)
</f>
        <v>https://maps.google.com/maps?q=30.290311%2C73.0660431&amp;z=17&amp;hl=en</v>
      </c>
      <c r="L272" s="286">
        <f>VLOOKUP($B272,'Mosque Locations'!$A:$E,4,FALSE)
</f>
        <v>30.29031</v>
      </c>
      <c r="M272" s="286">
        <f>VLOOKUP($B272,'Mosque Locations'!$A:$E,5,false)</f>
        <v>73.06604</v>
      </c>
      <c r="N272" s="288"/>
      <c r="O272" s="288"/>
      <c r="P272" s="288"/>
      <c r="Q272" s="295" t="str">
        <f>IFERROR(__xludf.DUMMYFUNCTION("IFERROR(
  INDEX(
    FILTER(
      IMPORTRANGE(""1kOrIKZmJfNUkgOVP3sI9BPjaaPA0_a4636oymQxTXg8"",""Form Responses 1!N:N""),
      TRIM(IMPORTRANGE(""1kOrIKZmJfNUkgOVP3sI9BPjaaPA0_a4636oymQxTXg8"",""Form Responses 1!F:F""))=TRIM($B272)
    ),
    1
  ),
  "&amp;"""Not Found""
)
"),"https://drive.google.com/open?id=1QtuO8V_qcvRtvGOjfvERcpc8SHo4F93j")</f>
        <v>https://drive.google.com/open?id=1QtuO8V_qcvRtvGOjfvERcpc8SHo4F93j</v>
      </c>
      <c r="R272" s="295" t="str">
        <f>IFERROR(__xludf.DUMMYFUNCTION("IFERROR(
  INDEX(
    FILTER(
      IMPORTRANGE(""1kOrIKZmJfNUkgOVP3sI9BPjaaPA0_a4636oymQxTXg8"",""Form Responses 1!M:M""),
      TRIM(IMPORTRANGE(""1kOrIKZmJfNUkgOVP3sI9BPjaaPA0_a4636oymQxTXg8"",""Form Responses 1!F:F""))=TRIM($B272)
    ),
    1
  ),
  "&amp;"""Not Found""
)
"),"https://drive.google.com/open?id=1ODub4axTj_ku7qoQUrO35ZzjG4gFrTUB")</f>
        <v>https://drive.google.com/open?id=1ODub4axTj_ku7qoQUrO35ZzjG4gFrTUB</v>
      </c>
      <c r="S272" s="285"/>
      <c r="T272" s="290" t="str">
        <f>VLOOKUP($B272,'Master Tracker'!D:E,2,false)</f>
        <v>https://drive.google.com/open?id=1ChNjzZZd0p-PRGWM_uiNVY2bn8530bYS</v>
      </c>
      <c r="U272" s="291" t="str">
        <f>VLOOKUP($B272,'Master Tracker'!$D:$T,4,FALSE)
</f>
        <v>https://drive.google.com/open?id=1NQPPBmyYZAiwsLFA75RgEDBCFulQ6a2rzdNCAnak22I</v>
      </c>
      <c r="V272" s="290" t="str">
        <f>VLOOKUP($B272,'Master Tracker'!$D:$T,5,false)</f>
        <v>https://drive.google.com/open?id=18jUjv7tN6s4q-nPf-T1A7zb-Nj1Eh_7J</v>
      </c>
      <c r="W272" s="291" t="str">
        <f>VLOOKUP($B272,'Master Tracker'!$D:$T,7,false)</f>
        <v>https://drive.google.com/open?id=1_QeZJ0lePH3E7xcJVfGOZeoOAubriXOJqmpwm_glZNs</v>
      </c>
      <c r="X272" s="290" t="str">
        <f>VLOOKUP($B272,'Master Tracker'!$D:$T,8,false)</f>
        <v>https://drive.google.com/open?id=1spRqtGz4oKwDnKrN3anLsU8Q7ejRMEY2</v>
      </c>
      <c r="Y272" s="291" t="str">
        <f>VLOOKUP($B272,'Master Tracker'!$D:$T,10,false)</f>
        <v>https://drive.google.com/open?id=1g0bXqwh9iz7EM5AesgqNNP7K2IdKYhuK</v>
      </c>
      <c r="Z272" s="290" t="str">
        <f>VLOOKUP($B272,'Master Tracker'!$D:$T,11,false)</f>
        <v>https://drive.google.com/open?id=1oE4K6_3zm-7r4uEevQGQpIAjsCamBPJp</v>
      </c>
      <c r="AA272" s="291" t="str">
        <f>VLOOKUP($B272,'Master Tracker'!$D:$T,13,false)</f>
        <v>https://drive.google.com/open?id=1kt99ZGPuxKZiAW4VrTA5B-SZFmPhm9Dr</v>
      </c>
      <c r="AB272" s="290" t="str">
        <f>VLOOKUP($B272,'Master Tracker'!$D:$T,14,false)</f>
        <v>https://drive.google.com/open?id=16RGgBqzhBMNLMzchnfmHh4m5vZmzZ2cV</v>
      </c>
      <c r="AC272" s="291" t="str">
        <f>VLOOKUP($B272,'Master Tracker'!$D:$T,16,false)</f>
        <v>https://drive.google.com/open?id=1aCroiMlfljehvXXdSijrgOMFADsKk7Dav77gwi0PQyI</v>
      </c>
      <c r="AD272" s="292" t="str">
        <f>VLOOKUP($B272,'Master Tracker'!$D:$T,17,false)</f>
        <v>Not Found</v>
      </c>
      <c r="AE272" s="292" t="str">
        <f>VLOOKUP($B272,'Master Tracker'!$D:$V,19,false)</f>
        <v>Not Found</v>
      </c>
      <c r="AF272" s="292">
        <f>IFERROR(__xludf.DUMMYFUNCTION("IFERROR(
  INDEX(
    FILTER(
      'Juma Recording forms'!$G:$G,
      TRIM('Juma Recording forms'!$F:$F) = TRIM($B272),
      'Juma Recording forms'!$AA:$AA = 1
    ),
    1
  ),
  ""Not Found""
)"),860.0)</f>
        <v>860</v>
      </c>
      <c r="AG272" s="292">
        <f>IFERROR(__xludf.DUMMYFUNCTION("IFERROR(
  INDEX(
    FILTER(
      'Juma Recording forms'!$G:$G,
      TRIM('Juma Recording forms'!$F:$F) = TRIM($B272),
      'Juma Recording forms'!$AA:$AA = 2
    ),
    1
  ),
  ""Not Found""
)"),888.0)</f>
        <v>888</v>
      </c>
      <c r="AH272" s="292">
        <f>IFERROR(__xludf.DUMMYFUNCTION("IFERROR(
  INDEX(
    FILTER(
      'Juma Recording forms'!$G:$G,
      TRIM('Juma Recording forms'!$F:$F) = TRIM($B272),
      'Juma Recording forms'!$AA:$AA = 3
    ),
    1
  ),
  ""Not Found""
)"),860.0)</f>
        <v>860</v>
      </c>
      <c r="AI272" s="292">
        <f>IFERROR(__xludf.DUMMYFUNCTION("IFERROR(
  INDEX(
    FILTER(
      'Juma Recording forms'!$G:$G,
      TRIM('Juma Recording forms'!$F:$F) = TRIM($B272),
      'Juma Recording forms'!$AA:$AA = 4
    ),
    1
  ),
  ""Not Found""
)"),955.0)</f>
        <v>955</v>
      </c>
      <c r="AJ272" s="292">
        <f>IFERROR(__xludf.DUMMYFUNCTION("IFERROR(
  INDEX(
    FILTER(
      'Juma Recording forms'!$G:$G,
      TRIM('Juma Recording forms'!$F:$F) = TRIM($B272),
      'Juma Recording forms'!$AA:$AA = 5
    ),
    1
  ),
  ""Not Found""
)"),860.0)</f>
        <v>860</v>
      </c>
      <c r="AK272" s="292" t="str">
        <f>IFERROR(__xludf.DUMMYFUNCTION("IFERROR(
  INDEX(
    FILTER(
      'Juma Recording forms'!$G:$G,
      TRIM('Juma Recording forms'!$F:$F) = TRIM($B272),
      'Juma Recording forms'!$AA:$AA = 6
    ),
    1
  ),
  ""Not Found""
)"),"Not Found")</f>
        <v>Not Found</v>
      </c>
      <c r="AL2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1!$E:$E"")=$B272) *
        (IMPORTRANGE(""https://docs.google.com/spreadsheets/d/161aHT6vVT3SLneTKD19N5qVWtnj_jIT8CSsOmUVKmaA/e"&amp;"dit?gid=1761053510"",
          ""Haris_Form responses 1!$AQ:$AQ"")=1)
      ),
      1
    ),
    ""0""
  ),
  ""Form not found""
)
"),"3")</f>
        <v>3</v>
      </c>
      <c r="AM2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1!$E:$E"")=$B272) *
        (IMPORTRANGE(""https://docs.google.com/spreadsheets/d/161aHT6vVT3SLneTKD19N5qVWtnj_jIT8CSsOmUVKmaA/e"&amp;"dit?gid=1761053510"",
          ""Haris_Form responses 1!$AQ:$AQ"")=2)
      ),
      1
    ),
    ""0""
  ),
  ""Form not found""
)
"),"0")</f>
        <v>0</v>
      </c>
      <c r="AN2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1!$E:$E"")=$B272) *
        (IMPORTRANGE(""https://docs.google.com/spreadsheets/d/161aHT6vVT3SLneTKD19N5qVWtnj_jIT8CSsOmUVKmaA/e"&amp;"dit?gid=1761053510"",
          ""Haris_Form responses 1!$AQ:$AQ"")=3)
      ),
      1
    ),
    ""0""
  ),
  ""Form not found""
)
"),"0")</f>
        <v>0</v>
      </c>
      <c r="AO2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1!$E:$E"")=$B272) *
        (IMPORTRANGE(""https://docs.google.com/spreadsheets/d/161aHT6vVT3SLneTKD19N5qVWtnj_jIT8CSsOmUVKmaA/e"&amp;"dit?gid=1761053510"",
          ""Haris_Form responses 1!$AQ:$AQ"")=4)
      ),
      1
    ),
    ""0""
  ),
  ""Form not found""
)
"),"10")</f>
        <v>10</v>
      </c>
      <c r="AP2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1!$E:$E"")=$B272) *
        (IMPORTRANGE(""https://docs.google.com/spreadsheets/d/161aHT6vVT3SLneTKD19N5qVWtnj_jIT8CSsOmUVKmaA/e"&amp;"dit?gid=1761053510"",
          ""Haris_Form responses 1!$AQ:$AQ"")=5)
      ),
      1
    ),
    ""0""
  ),
  ""Form not found""
)
"),"0")</f>
        <v>0</v>
      </c>
      <c r="AQ27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1!$E:$E"")=$B272) *
        (IMPORTRANGE(""https://docs.google.com/spreadsheets/d/161aHT6vVT3SLneTKD19N5qVWtnj_jIT8CSsOmUVKmaA/e"&amp;"dit?gid=1761053510"",
          ""Haris_Form responses 1!$AQ:$AQ"")=6)
      ),
      1
    ),
    ""0""
  ),
  ""Form not found""
)
"),"Form not found")</f>
        <v>Form not found</v>
      </c>
      <c r="AR2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1!$E:$E"")=$B272) *
        (IMPORTRANGE(""https://docs.google.com/spreadsheets/d/161aHT6vVT3SLneTKD19N5qVWtnj_jIT8CSsOmUVKmaA/e"&amp;"dit?gid=1761053510"",
          ""Haris_Form responses 1!$AQ:$AQ"")=1)
      ),
      1
    ),
    ""0""
  ),
  ""Form not found""
)
"),"1")</f>
        <v>1</v>
      </c>
      <c r="AS2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1!$E:$E"")=$B272) *
        (IMPORTRANGE(""https://docs.google.com/spreadsheets/d/161aHT6vVT3SLneTKD19N5qVWtnj_jIT8CSsOmUVKmaA/e"&amp;"dit?gid=1761053510"",
          ""Haris_Form responses 1!$AQ:$AQ"")=2)
      ),
      1
    ),
    ""0""
  ),
  ""Form not found""
)
"),"0")</f>
        <v>0</v>
      </c>
      <c r="AT2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1!$E:$E"")=$B272) *
        (IMPORTRANGE(""https://docs.google.com/spreadsheets/d/161aHT6vVT3SLneTKD19N5qVWtnj_jIT8CSsOmUVKmaA/e"&amp;"dit?gid=1761053510"",
          ""Haris_Form responses 1!$AQ:$AQ"")=3)
      ),
      1
    ),
    ""0""
  ),
  ""Form not found""
)
"),"0")</f>
        <v>0</v>
      </c>
      <c r="AU2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1!$E:$E"")=$B272) *
        (IMPORTRANGE(""https://docs.google.com/spreadsheets/d/161aHT6vVT3SLneTKD19N5qVWtnj_jIT8CSsOmUVKmaA/e"&amp;"dit?gid=1761053510"",
          ""Haris_Form responses 1!$AQ:$AQ"")=4)
      ),
      1
    ),
    ""0""
  ),
  ""Form not found""
)
"),"0")</f>
        <v>0</v>
      </c>
      <c r="AV2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1!$E:$E"")=$B272) *
        (IMPORTRANGE(""https://docs.google.com/spreadsheets/d/161aHT6vVT3SLneTKD19N5qVWtnj_jIT8CSsOmUVKmaA/e"&amp;"dit?gid=1761053510"",
          ""Haris_Form responses 1!$AQ:$AQ"")=5)
      ),
      1
    ),
    ""0""
  ),
  ""Form not found""
)
"),"0")</f>
        <v>0</v>
      </c>
      <c r="AW27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1!$E:$E"")=$B272) *
        (IMPORTRANGE(""https://docs.google.com/spreadsheets/d/161aHT6vVT3SLneTKD19N5qVWtnj_jIT8CSsOmUVKmaA/e"&amp;"dit?gid=1761053510"",
          ""Haris_Form responses 1!$AQ:$AQ"")=6)
      ),
      1
    ),
    ""0""
  ),
  ""Form not found""
)
"),"Form not found")</f>
        <v>Form not found</v>
      </c>
      <c r="AX2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1!$E:$E"")=$B272) *
        (IMPORTRANGE(""https://docs.google.com/spreadsheets/d/161aHT6vVT3SLneTKD19N5qVWtnj_jIT8CSsOmUVKmaA/e"&amp;"dit?gid=1761053510"",
          ""Haris_Form responses 1!$AQ:$AQ"")=1)
      ),
      1
    ),
    ""0""
  ),
  ""Form not found""
)
"),"3")</f>
        <v>3</v>
      </c>
      <c r="AY2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1!$E:$E"")=$B272) *
        (IMPORTRANGE(""https://docs.google.com/spreadsheets/d/161aHT6vVT3SLneTKD19N5qVWtnj_jIT8CSsOmUVKmaA/e"&amp;"dit?gid=1761053510"",
          ""Haris_Form responses 1!$AQ:$AQ"")=2)
      ),
      1
    ),
    ""0""
  ),
  ""Form not found""
)
"),"0")</f>
        <v>0</v>
      </c>
      <c r="AZ2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1!$E:$E"")=$B272) *
        (IMPORTRANGE(""https://docs.google.com/spreadsheets/d/161aHT6vVT3SLneTKD19N5qVWtnj_jIT8CSsOmUVKmaA/e"&amp;"dit?gid=1761053510"",
          ""Haris_Form responses 1!$AQ:$AQ"")=3)
      ),
      1
    ),
    ""0""
  ),
  ""Form not found""
)
"),"0")</f>
        <v>0</v>
      </c>
      <c r="BA2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1!$E:$E"")=$B272) *
        (IMPORTRANGE(""https://docs.google.com/spreadsheets/d/161aHT6vVT3SLneTKD19N5qVWtnj_jIT8CSsOmUVKmaA/e"&amp;"dit?gid=1761053510"",
          ""Haris_Form responses 1!$AQ:$AQ"")=4)
      ),
      1
    ),
    ""0""
  ),
  ""Form not found""
)
"),"10")</f>
        <v>10</v>
      </c>
      <c r="BB2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1!$E:$E"")=$B272) *
        (IMPORTRANGE(""https://docs.google.com/spreadsheets/d/161aHT6vVT3SLneTKD19N5qVWtnj_jIT8CSsOmUVKmaA/e"&amp;"dit?gid=1761053510"",
          ""Haris_Form responses 1!$AQ:$AQ"")=5)
      ),
      1
    ),
    ""0""
  ),
  ""Form not found""
)
"),"0")</f>
        <v>0</v>
      </c>
      <c r="BC27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1!$E:$E"")=$B272) *
        (IMPORTRANGE(""https://docs.google.com/spreadsheets/d/161aHT6vVT3SLneTKD19N5qVWtnj_jIT8CSsOmUVKmaA/e"&amp;"dit?gid=1761053510"",
          ""Haris_Form responses 1!$AQ:$AQ"")=6)
      ),
      1
    ),
    ""0""
  ),
  ""Form not found""
)
"),"Form not found")</f>
        <v>Form not found</v>
      </c>
      <c r="BD272" s="293"/>
    </row>
    <row r="273">
      <c r="A273" s="283" t="str">
        <f>IFERROR(__xludf.DUMMYFUNCTION("VLOOKUP($B273,IMPORTRANGE(""https://docs.google.com/spreadsheets/d/1VNXDITjs75AcgdBSW27oL1VZH31udDprJSsBcE5xlp4/edit?gid=1551188038#gid=1551188038"", ""Sheet9!$B:$E""),2,false)"),"Pakpattan")</f>
        <v>Pakpattan</v>
      </c>
      <c r="B273" s="283" t="s">
        <v>4680</v>
      </c>
      <c r="C273" s="284" t="str">
        <f>IFERROR(__xludf.DUMMYFUNCTION("VLOOKUP(TRIM($B273), IMPORTRANGE(""https://docs.google.com/spreadsheets/d/1aSOrU4PTpuBZqfitKaH1Rfww6-YOiNCKoBpPl8XBHaw/edit?gid=0#gid=0"", ""sheet3!$B:$C""), 2, FALSE)
"),"Jamia Masjid C Block Arifwala")</f>
        <v>Jamia Masjid C Block Arifwala</v>
      </c>
      <c r="D273" s="284" t="str">
        <f>IFERROR(__xludf.DUMMYFUNCTION("IFERROR(
  INDEX(
    FILTER(
      IMPORTRANGE(""1aSOrU4PTpuBZqfitKaH1Rfww6-YOiNCKoBpPl8XBHaw/edit?gid=0#gid=0"",""Sheet1!G:G""),
      IMPORTRANGE(""1aSOrU4PTpuBZqfitKaH1Rfww6-YOiNCKoBpPl8XBHaw/edit?gid=0#gid=0"",""Sheet1!C:C"")=$B273
    ),
    1
  ),
"&amp;"  ""Not Found""
)"),"Community Secular No Info Share")</f>
        <v>Community Secular No Info Share</v>
      </c>
      <c r="E273" s="284" t="str">
        <f>VLOOKUP(B273,'Juma Recording forms'!A:E,5,false)</f>
        <v>Jamia masjid c block arifwala </v>
      </c>
      <c r="F273" s="284" t="str">
        <f>IFERROR(__xludf.DUMMYFUNCTION("IFERROR(
  INDEX(
    FILTER(
      IMPORTRANGE(""1Cxrhp3-_-HS7v9uuqQliiIfrmMP4VaFoDNDWyUFy2J8/edit?gid=0#gid=0"",""Sheet1!Q:Q""),
      IMPORTRANGE(""1Cxrhp3-_-HS7v9uuqQliiIfrmMP4VaFoDNDWyUFy2J8/edit?gid=0#gid=0"",""Sheet1!K:K"")=$B273
    ),
    1
  ),
"&amp;"  ""Not Found""
)"),"Not Found")</f>
        <v>Not Found</v>
      </c>
      <c r="G273" s="292">
        <v>1927.0</v>
      </c>
      <c r="H273" s="284"/>
      <c r="I273" s="285" t="s">
        <v>197</v>
      </c>
      <c r="J273" s="286">
        <v>2.0</v>
      </c>
      <c r="K273" s="287" t="str">
        <f>VLOOKUP($B273,'Mosque Locations'!$A:$E,3,FALSE)
</f>
        <v>https://maps.google.com/maps?q=30.291458129882812%2C73.06883239746094&amp;z=17&amp;hl=en</v>
      </c>
      <c r="L273" s="286">
        <f>VLOOKUP($B273,'Mosque Locations'!$A:$E,4,FALSE)
</f>
        <v>30.29146</v>
      </c>
      <c r="M273" s="286">
        <f>VLOOKUP($B273,'Mosque Locations'!$A:$E,5,false)</f>
        <v>73.06883</v>
      </c>
      <c r="N273" s="288"/>
      <c r="O273" s="288"/>
      <c r="P273" s="288"/>
      <c r="Q273" s="295" t="str">
        <f>IFERROR(__xludf.DUMMYFUNCTION("IFERROR(
  INDEX(
    FILTER(
      IMPORTRANGE(""1kOrIKZmJfNUkgOVP3sI9BPjaaPA0_a4636oymQxTXg8"",""Form Responses 1!N:N""),
      TRIM(IMPORTRANGE(""1kOrIKZmJfNUkgOVP3sI9BPjaaPA0_a4636oymQxTXg8"",""Form Responses 1!F:F""))=TRIM($B273)
    ),
    1
  ),
  "&amp;"""Not Found""
)
"),"https://drive.google.com/file/d/1YAycBJHE1_IDbHaZ1r-j5RJ56fDG18y9/view?usp=drive_link")</f>
        <v>https://drive.google.com/file/d/1YAycBJHE1_IDbHaZ1r-j5RJ56fDG18y9/view?usp=drive_link</v>
      </c>
      <c r="R273" s="290" t="str">
        <f>IFERROR(__xludf.DUMMYFUNCTION("IFERROR(
  INDEX(
    FILTER(
      IMPORTRANGE(""1kOrIKZmJfNUkgOVP3sI9BPjaaPA0_a4636oymQxTXg8"",""Form Responses 1!M:M""),
      TRIM(IMPORTRANGE(""1kOrIKZmJfNUkgOVP3sI9BPjaaPA0_a4636oymQxTXg8"",""Form Responses 1!F:F""))=TRIM($B273)
    ),
    1
  ),
  "&amp;"""Not Found""
)
"),"https://drive.google.com/open?id=1Wdv2lkcU9B0rfUaNE1mVogZyB7dCdvjk")</f>
        <v>https://drive.google.com/open?id=1Wdv2lkcU9B0rfUaNE1mVogZyB7dCdvjk</v>
      </c>
      <c r="S273" s="285"/>
      <c r="T273" s="290" t="str">
        <f>VLOOKUP($B273,'Master Tracker'!D:E,2,false)</f>
        <v>https://drive.google.com/open?id=1WLp1Rxr2FQZ0X5QOW12hqmxtmSEAZDfn</v>
      </c>
      <c r="U273" s="291" t="str">
        <f>VLOOKUP($B273,'Master Tracker'!$D:$T,4,FALSE)
</f>
        <v>https://drive.google.com/open?id=1evGqhkFzmyCx1QK3cZi4IGsF_FD7aeShstGxIhjSUa8</v>
      </c>
      <c r="V273" s="290" t="str">
        <f>VLOOKUP($B273,'Master Tracker'!$D:$T,5,false)</f>
        <v>https://drive.google.com/open?id=19E5NRKzcmtunhLyaNFzM7k8Jd9Az9Xe7</v>
      </c>
      <c r="W273" s="291" t="str">
        <f>VLOOKUP($B273,'Master Tracker'!$D:$T,7,false)</f>
        <v>https://drive.google.com/open?id=17oxZJZQZSjG713iMxde3d7r40Rh39DGI</v>
      </c>
      <c r="X273" s="290" t="str">
        <f>VLOOKUP($B273,'Master Tracker'!$D:$T,8,false)</f>
        <v>https://drive.google.com/open?id=1HRSsQOoaFKIKuc3pLqG7u-NJgtyL9FB2</v>
      </c>
      <c r="Y273" s="291" t="str">
        <f>VLOOKUP($B273,'Master Tracker'!$D:$T,10,false)</f>
        <v>https://drive.google.com/open?id=1XCiB0ogad-zTXwSQFVyMQxELqfVknurg</v>
      </c>
      <c r="Z273" s="284" t="str">
        <f>VLOOKUP($B273,'Master Tracker'!$D:$T,11,false)</f>
        <v>Not Found</v>
      </c>
      <c r="AA273" s="292" t="str">
        <f>VLOOKUP($B273,'Master Tracker'!$D:$T,13,false)</f>
        <v>Not Found</v>
      </c>
      <c r="AB273" s="284" t="str">
        <f>VLOOKUP($B273,'Master Tracker'!$D:$T,14,false)</f>
        <v>Not Found</v>
      </c>
      <c r="AC273" s="292" t="str">
        <f>VLOOKUP($B273,'Master Tracker'!$D:$T,16,false)</f>
        <v>Not Found</v>
      </c>
      <c r="AD273" s="292" t="str">
        <f>VLOOKUP($B273,'Master Tracker'!$D:$T,17,false)</f>
        <v>Not Found</v>
      </c>
      <c r="AE273" s="292" t="str">
        <f>VLOOKUP($B273,'Master Tracker'!$D:$V,19,false)</f>
        <v>Not Found</v>
      </c>
      <c r="AF273" s="292">
        <f>IFERROR(__xludf.DUMMYFUNCTION("IFERROR(
  INDEX(
    FILTER(
      'Juma Recording forms'!$G:$G,
      TRIM('Juma Recording forms'!$F:$F) = TRIM($B273),
      'Juma Recording forms'!$AA:$AA = 1
    ),
    1
  ),
  ""Not Found""
)"),609.0)</f>
        <v>609</v>
      </c>
      <c r="AG273" s="292">
        <f>IFERROR(__xludf.DUMMYFUNCTION("IFERROR(
  INDEX(
    FILTER(
      'Juma Recording forms'!$G:$G,
      TRIM('Juma Recording forms'!$F:$F) = TRIM($B273),
      'Juma Recording forms'!$AA:$AA = 2
    ),
    1
  ),
  ""Not Found""
)"),634.0)</f>
        <v>634</v>
      </c>
      <c r="AH273" s="292">
        <f>IFERROR(__xludf.DUMMYFUNCTION("IFERROR(
  INDEX(
    FILTER(
      'Juma Recording forms'!$G:$G,
      TRIM('Juma Recording forms'!$F:$F) = TRIM($B273),
      'Juma Recording forms'!$AA:$AA = 3
    ),
    1
  ),
  ""Not Found""
)"),600.0)</f>
        <v>600</v>
      </c>
      <c r="AI273" s="292" t="str">
        <f>IFERROR(__xludf.DUMMYFUNCTION("IFERROR(
  INDEX(
    FILTER(
      'Juma Recording forms'!$G:$G,
      TRIM('Juma Recording forms'!$F:$F) = TRIM($B273),
      'Juma Recording forms'!$AA:$AA = 4
    ),
    1
  ),
  ""Not Found""
)"),"Not Found")</f>
        <v>Not Found</v>
      </c>
      <c r="AJ273" s="292" t="str">
        <f>IFERROR(__xludf.DUMMYFUNCTION("IFERROR(
  INDEX(
    FILTER(
      'Juma Recording forms'!$G:$G,
      TRIM('Juma Recording forms'!$F:$F) = TRIM($B273),
      'Juma Recording forms'!$AA:$AA = 5
    ),
    1
  ),
  ""Not Found""
)"),"Not Found")</f>
        <v>Not Found</v>
      </c>
      <c r="AK273" s="292" t="str">
        <f>IFERROR(__xludf.DUMMYFUNCTION("IFERROR(
  INDEX(
    FILTER(
      'Juma Recording forms'!$G:$G,
      TRIM('Juma Recording forms'!$F:$F) = TRIM($B273),
      'Juma Recording forms'!$AA:$AA = 6
    ),
    1
  ),
  ""Not Found""
)"),"Not Found")</f>
        <v>Not Found</v>
      </c>
      <c r="AL2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1!$E:$E"")=$B273) *
        (IMPORTRANGE(""https://docs.google.com/spreadsheets/d/161aHT6vVT3SLneTKD19N5qVWtnj_jIT8CSsOmUVKmaA/e"&amp;"dit?gid=1761053510"",
          ""Haris_Form responses 1!$AQ:$AQ"")=1)
      ),
      1
    ),
    ""0""
  ),
  ""Form not found""
)
"),"10")</f>
        <v>10</v>
      </c>
      <c r="AM2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1!$E:$E"")=$B273) *
        (IMPORTRANGE(""https://docs.google.com/spreadsheets/d/161aHT6vVT3SLneTKD19N5qVWtnj_jIT8CSsOmUVKmaA/e"&amp;"dit?gid=1761053510"",
          ""Haris_Form responses 1!$AQ:$AQ"")=2)
      ),
      1
    ),
    ""0""
  ),
  ""Form not found""
)
"),"10")</f>
        <v>10</v>
      </c>
      <c r="AN2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1!$E:$E"")=$B273) *
        (IMPORTRANGE(""https://docs.google.com/spreadsheets/d/161aHT6vVT3SLneTKD19N5qVWtnj_jIT8CSsOmUVKmaA/e"&amp;"dit?gid=1761053510"",
          ""Haris_Form responses 1!$AQ:$AQ"")=3)
      ),
      1
    ),
    ""0""
  ),
  ""Form not found""
)
"),"0")</f>
        <v>0</v>
      </c>
      <c r="AO2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1!$E:$E"")=$B273) *
        (IMPORTRANGE(""https://docs.google.com/spreadsheets/d/161aHT6vVT3SLneTKD19N5qVWtnj_jIT8CSsOmUVKmaA/e"&amp;"dit?gid=1761053510"",
          ""Haris_Form responses 1!$AQ:$AQ"")=4)
      ),
      1
    ),
    ""0""
  ),
  ""Form not found""
)
"),"Form not found")</f>
        <v>Form not found</v>
      </c>
      <c r="AP2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1!$E:$E"")=$B273) *
        (IMPORTRANGE(""https://docs.google.com/spreadsheets/d/161aHT6vVT3SLneTKD19N5qVWtnj_jIT8CSsOmUVKmaA/e"&amp;"dit?gid=1761053510"",
          ""Haris_Form responses 1!$AQ:$AQ"")=5)
      ),
      1
    ),
    ""0""
  ),
  ""Form not found""
)
"),"Form not found")</f>
        <v>Form not found</v>
      </c>
      <c r="AQ27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1!$E:$E"")=$B273) *
        (IMPORTRANGE(""https://docs.google.com/spreadsheets/d/161aHT6vVT3SLneTKD19N5qVWtnj_jIT8CSsOmUVKmaA/e"&amp;"dit?gid=1761053510"",
          ""Haris_Form responses 1!$AQ:$AQ"")=6)
      ),
      1
    ),
    ""0""
  ),
  ""Form not found""
)
"),"Form not found")</f>
        <v>Form not found</v>
      </c>
      <c r="AR2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1!$E:$E"")=$B273) *
        (IMPORTRANGE(""https://docs.google.com/spreadsheets/d/161aHT6vVT3SLneTKD19N5qVWtnj_jIT8CSsOmUVKmaA/e"&amp;"dit?gid=1761053510"",
          ""Haris_Form responses 1!$AQ:$AQ"")=1)
      ),
      1
    ),
    ""0""
  ),
  ""Form not found""
)
"),"10")</f>
        <v>10</v>
      </c>
      <c r="AS2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1!$E:$E"")=$B273) *
        (IMPORTRANGE(""https://docs.google.com/spreadsheets/d/161aHT6vVT3SLneTKD19N5qVWtnj_jIT8CSsOmUVKmaA/e"&amp;"dit?gid=1761053510"",
          ""Haris_Form responses 1!$AQ:$AQ"")=2)
      ),
      1
    ),
    ""0""
  ),
  ""Form not found""
)
"),"10")</f>
        <v>10</v>
      </c>
      <c r="AT2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1!$E:$E"")=$B273) *
        (IMPORTRANGE(""https://docs.google.com/spreadsheets/d/161aHT6vVT3SLneTKD19N5qVWtnj_jIT8CSsOmUVKmaA/e"&amp;"dit?gid=1761053510"",
          ""Haris_Form responses 1!$AQ:$AQ"")=3)
      ),
      1
    ),
    ""0""
  ),
  ""Form not found""
)
"),"0")</f>
        <v>0</v>
      </c>
      <c r="AU2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1!$E:$E"")=$B273) *
        (IMPORTRANGE(""https://docs.google.com/spreadsheets/d/161aHT6vVT3SLneTKD19N5qVWtnj_jIT8CSsOmUVKmaA/e"&amp;"dit?gid=1761053510"",
          ""Haris_Form responses 1!$AQ:$AQ"")=4)
      ),
      1
    ),
    ""0""
  ),
  ""Form not found""
)
"),"Form not found")</f>
        <v>Form not found</v>
      </c>
      <c r="AV2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1!$E:$E"")=$B273) *
        (IMPORTRANGE(""https://docs.google.com/spreadsheets/d/161aHT6vVT3SLneTKD19N5qVWtnj_jIT8CSsOmUVKmaA/e"&amp;"dit?gid=1761053510"",
          ""Haris_Form responses 1!$AQ:$AQ"")=5)
      ),
      1
    ),
    ""0""
  ),
  ""Form not found""
)
"),"Form not found")</f>
        <v>Form not found</v>
      </c>
      <c r="AW27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1!$E:$E"")=$B273) *
        (IMPORTRANGE(""https://docs.google.com/spreadsheets/d/161aHT6vVT3SLneTKD19N5qVWtnj_jIT8CSsOmUVKmaA/e"&amp;"dit?gid=1761053510"",
          ""Haris_Form responses 1!$AQ:$AQ"")=6)
      ),
      1
    ),
    ""0""
  ),
  ""Form not found""
)
"),"Form not found")</f>
        <v>Form not found</v>
      </c>
      <c r="AX2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1!$E:$E"")=$B273) *
        (IMPORTRANGE(""https://docs.google.com/spreadsheets/d/161aHT6vVT3SLneTKD19N5qVWtnj_jIT8CSsOmUVKmaA/e"&amp;"dit?gid=1761053510"",
          ""Haris_Form responses 1!$AQ:$AQ"")=1)
      ),
      1
    ),
    ""0""
  ),
  ""Form not found""
)
"),"0")</f>
        <v>0</v>
      </c>
      <c r="AY2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1!$E:$E"")=$B273) *
        (IMPORTRANGE(""https://docs.google.com/spreadsheets/d/161aHT6vVT3SLneTKD19N5qVWtnj_jIT8CSsOmUVKmaA/e"&amp;"dit?gid=1761053510"",
          ""Haris_Form responses 1!$AQ:$AQ"")=2)
      ),
      1
    ),
    ""0""
  ),
  ""Form not found""
)
"),"0")</f>
        <v>0</v>
      </c>
      <c r="AZ2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1!$E:$E"")=$B273) *
        (IMPORTRANGE(""https://docs.google.com/spreadsheets/d/161aHT6vVT3SLneTKD19N5qVWtnj_jIT8CSsOmUVKmaA/e"&amp;"dit?gid=1761053510"",
          ""Haris_Form responses 1!$AQ:$AQ"")=3)
      ),
      1
    ),
    ""0""
  ),
  ""Form not found""
)
"),"0")</f>
        <v>0</v>
      </c>
      <c r="BA2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1!$E:$E"")=$B273) *
        (IMPORTRANGE(""https://docs.google.com/spreadsheets/d/161aHT6vVT3SLneTKD19N5qVWtnj_jIT8CSsOmUVKmaA/e"&amp;"dit?gid=1761053510"",
          ""Haris_Form responses 1!$AQ:$AQ"")=4)
      ),
      1
    ),
    ""0""
  ),
  ""Form not found""
)
"),"Form not found")</f>
        <v>Form not found</v>
      </c>
      <c r="BB2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1!$E:$E"")=$B273) *
        (IMPORTRANGE(""https://docs.google.com/spreadsheets/d/161aHT6vVT3SLneTKD19N5qVWtnj_jIT8CSsOmUVKmaA/e"&amp;"dit?gid=1761053510"",
          ""Haris_Form responses 1!$AQ:$AQ"")=5)
      ),
      1
    ),
    ""0""
  ),
  ""Form not found""
)
"),"Form not found")</f>
        <v>Form not found</v>
      </c>
      <c r="BC27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1!$E:$E"")=$B273) *
        (IMPORTRANGE(""https://docs.google.com/spreadsheets/d/161aHT6vVT3SLneTKD19N5qVWtnj_jIT8CSsOmUVKmaA/e"&amp;"dit?gid=1761053510"",
          ""Haris_Form responses 1!$AQ:$AQ"")=6)
      ),
      1
    ),
    ""0""
  ),
  ""Form not found""
)
"),"Form not found")</f>
        <v>Form not found</v>
      </c>
      <c r="BD273" s="293"/>
    </row>
    <row r="274">
      <c r="A274" s="283" t="str">
        <f>IFERROR(__xludf.DUMMYFUNCTION("VLOOKUP($B274,IMPORTRANGE(""https://docs.google.com/spreadsheets/d/1VNXDITjs75AcgdBSW27oL1VZH31udDprJSsBcE5xlp4/edit?gid=1551188038#gid=1551188038"", ""Sheet9!$B:$E""),2,false)"),"Pakpattan")</f>
        <v>Pakpattan</v>
      </c>
      <c r="B274" s="283" t="s">
        <v>4681</v>
      </c>
      <c r="C274" s="284" t="str">
        <f>IFERROR(__xludf.DUMMYFUNCTION("VLOOKUP(TRIM($B274), IMPORTRANGE(""https://docs.google.com/spreadsheets/d/1aSOrU4PTpuBZqfitKaH1Rfww6-YOiNCKoBpPl8XBHaw/edit?gid=0#gid=0"", ""sheet3!$B:$C""), 2, FALSE)
"),"Jamia Masjid Abdul Kareem Pakpattan")</f>
        <v>Jamia Masjid Abdul Kareem Pakpattan</v>
      </c>
      <c r="D274" s="284" t="str">
        <f>IFERROR(__xludf.DUMMYFUNCTION("IFERROR(
  INDEX(
    FILTER(
      IMPORTRANGE(""1aSOrU4PTpuBZqfitKaH1Rfww6-YOiNCKoBpPl8XBHaw/edit?gid=0#gid=0"",""Sheet1!G:G""),
      IMPORTRANGE(""1aSOrU4PTpuBZqfitKaH1Rfww6-YOiNCKoBpPl8XBHaw/edit?gid=0#gid=0"",""Sheet1!C:C"")=$B274
    ),
    1
  ),
"&amp;"  ""Not Found""
)"),"Women Secular No Info Share")</f>
        <v>Women Secular No Info Share</v>
      </c>
      <c r="E274" s="284" t="str">
        <f>VLOOKUP(B274,'Juma Recording forms'!A:E,5,false)</f>
        <v>Jamia Masjid Abdul kareem Pakpattan</v>
      </c>
      <c r="F274" s="284" t="str">
        <f>IFERROR(__xludf.DUMMYFUNCTION("IFERROR(
  INDEX(
    FILTER(
      IMPORTRANGE(""1Cxrhp3-_-HS7v9uuqQliiIfrmMP4VaFoDNDWyUFy2J8/edit?gid=0#gid=0"",""Sheet1!Q:Q""),
      IMPORTRANGE(""1Cxrhp3-_-HS7v9uuqQliiIfrmMP4VaFoDNDWyUFy2J8/edit?gid=0#gid=0"",""Sheet1!K:K"")=$B274
    ),
    1
  ),
"&amp;"  ""Not Found""
)"),"Not Found")</f>
        <v>Not Found</v>
      </c>
      <c r="G274" s="292">
        <v>1985.0</v>
      </c>
      <c r="H274" s="284"/>
      <c r="I274" s="285" t="s">
        <v>197</v>
      </c>
      <c r="J274" s="286">
        <v>2.0</v>
      </c>
      <c r="K274" s="287" t="str">
        <f>VLOOKUP($B274,'Mosque Locations'!$A:$E,3,FALSE)
</f>
        <v>https://www.google.com/maps?q=30.3147944,73.3438006</v>
      </c>
      <c r="L274" s="286">
        <f>VLOOKUP($B274,'Mosque Locations'!$A:$E,4,FALSE)
</f>
        <v>30.31479</v>
      </c>
      <c r="M274" s="286">
        <f>VLOOKUP($B274,'Mosque Locations'!$A:$E,5,false)</f>
        <v>73.3438</v>
      </c>
      <c r="N274" s="288"/>
      <c r="O274" s="288"/>
      <c r="P274" s="288"/>
      <c r="Q274" s="295" t="str">
        <f>IFERROR(__xludf.DUMMYFUNCTION("IFERROR(
  INDEX(
    FILTER(
      IMPORTRANGE(""1kOrIKZmJfNUkgOVP3sI9BPjaaPA0_a4636oymQxTXg8"",""Form Responses 1!N:N""),
      TRIM(IMPORTRANGE(""1kOrIKZmJfNUkgOVP3sI9BPjaaPA0_a4636oymQxTXg8"",""Form Responses 1!F:F""))=TRIM($B274)
    ),
    1
  ),
  "&amp;"""Not Found""
)
"),"https://drive.google.com/file/d/1dQmP5V1MzUR94WdDzgUQcchzXL5odhFG/view?usp=drive_link")</f>
        <v>https://drive.google.com/file/d/1dQmP5V1MzUR94WdDzgUQcchzXL5odhFG/view?usp=drive_link</v>
      </c>
      <c r="R274" s="295" t="str">
        <f>IFERROR(__xludf.DUMMYFUNCTION("IFERROR(
  INDEX(
    FILTER(
      IMPORTRANGE(""1kOrIKZmJfNUkgOVP3sI9BPjaaPA0_a4636oymQxTXg8"",""Form Responses 1!M:M""),
      TRIM(IMPORTRANGE(""1kOrIKZmJfNUkgOVP3sI9BPjaaPA0_a4636oymQxTXg8"",""Form Responses 1!F:F""))=TRIM($B274)
    ),
    1
  ),
  "&amp;"""Not Found""
)
"),"https://drive.google.com/open?id=1zIkzTG893-qjpE49vJm8XVMwAjZa_uQt")</f>
        <v>https://drive.google.com/open?id=1zIkzTG893-qjpE49vJm8XVMwAjZa_uQt</v>
      </c>
      <c r="S274" s="283" t="s">
        <v>4891</v>
      </c>
      <c r="T274" s="290" t="str">
        <f>VLOOKUP($B274,'Master Tracker'!D:E,2,false)</f>
        <v>https://drive.google.com/open?id=1OOof4LvqA7sQx6CnH7SdHErJrt3050GO</v>
      </c>
      <c r="U274" s="291" t="str">
        <f>VLOOKUP($B274,'Master Tracker'!$D:$T,4,FALSE)
</f>
        <v>https://drive.google.com/open?id=1F681SaoEUr7wJHCEtqU0IsGtKutZC54V</v>
      </c>
      <c r="V274" s="290" t="str">
        <f>VLOOKUP($B274,'Master Tracker'!$D:$T,5,false)</f>
        <v>https://drive.google.com/file/d/1YX6G6v0tZyu_3ZNJbtaGxTQyWluW5XNX/view</v>
      </c>
      <c r="W274" s="291" t="str">
        <f>VLOOKUP($B274,'Master Tracker'!$D:$T,7,false)</f>
        <v>https://drive.google.com/open?id=1trDp3bRW21IvPbtlJ8nZSUbjRPbnlVlVB57QDje6yPE</v>
      </c>
      <c r="X274" s="290" t="str">
        <f>VLOOKUP($B274,'Master Tracker'!$D:$T,8,false)</f>
        <v>https://drive.google.com/open?id=18gNKlcgsiUvUnxx2fioN3HBbs5hElBSt</v>
      </c>
      <c r="Y274" s="291" t="str">
        <f>VLOOKUP($B274,'Master Tracker'!$D:$T,10,false)</f>
        <v>https://drive.google.com/open?id=188PocqKDyI91fLSkRlNGeUpoFxD-jqtogmJyM-mArtE</v>
      </c>
      <c r="Z274" s="284" t="str">
        <f>VLOOKUP($B274,'Master Tracker'!$D:$T,11,false)</f>
        <v>Not Found</v>
      </c>
      <c r="AA274" s="292" t="str">
        <f>VLOOKUP($B274,'Master Tracker'!$D:$T,13,false)</f>
        <v>Not Found</v>
      </c>
      <c r="AB274" s="284" t="str">
        <f>VLOOKUP($B274,'Master Tracker'!$D:$T,14,false)</f>
        <v>Not Found</v>
      </c>
      <c r="AC274" s="292" t="str">
        <f>VLOOKUP($B274,'Master Tracker'!$D:$T,16,false)</f>
        <v>Not Found</v>
      </c>
      <c r="AD274" s="292" t="str">
        <f>VLOOKUP($B274,'Master Tracker'!$D:$T,17,false)</f>
        <v>Not Found</v>
      </c>
      <c r="AE274" s="292" t="str">
        <f>VLOOKUP($B274,'Master Tracker'!$D:$V,19,false)</f>
        <v>Not Found</v>
      </c>
      <c r="AF274" s="292">
        <f>IFERROR(__xludf.DUMMYFUNCTION("IFERROR(
  INDEX(
    FILTER(
      'Juma Recording forms'!$G:$G,
      TRIM('Juma Recording forms'!$F:$F) = TRIM($B274),
      'Juma Recording forms'!$AA:$AA = 1
    ),
    1
  ),
  ""Not Found""
)"),178.0)</f>
        <v>178</v>
      </c>
      <c r="AG274" s="292">
        <f>IFERROR(__xludf.DUMMYFUNCTION("IFERROR(
  INDEX(
    FILTER(
      'Juma Recording forms'!$G:$G,
      TRIM('Juma Recording forms'!$F:$F) = TRIM($B274),
      'Juma Recording forms'!$AA:$AA = 2
    ),
    1
  ),
  ""Not Found""
)"),160.0)</f>
        <v>160</v>
      </c>
      <c r="AH274" s="292">
        <f>IFERROR(__xludf.DUMMYFUNCTION("IFERROR(
  INDEX(
    FILTER(
      'Juma Recording forms'!$G:$G,
      TRIM('Juma Recording forms'!$F:$F) = TRIM($B274),
      'Juma Recording forms'!$AA:$AA = 3
    ),
    1
  ),
  ""Not Found""
)"),350.0)</f>
        <v>350</v>
      </c>
      <c r="AI274" s="292" t="str">
        <f>IFERROR(__xludf.DUMMYFUNCTION("IFERROR(
  INDEX(
    FILTER(
      'Juma Recording forms'!$G:$G,
      TRIM('Juma Recording forms'!$F:$F) = TRIM($B274),
      'Juma Recording forms'!$AA:$AA = 4
    ),
    1
  ),
  ""Not Found""
)"),"Not Found")</f>
        <v>Not Found</v>
      </c>
      <c r="AJ274" s="292" t="str">
        <f>IFERROR(__xludf.DUMMYFUNCTION("IFERROR(
  INDEX(
    FILTER(
      'Juma Recording forms'!$G:$G,
      TRIM('Juma Recording forms'!$F:$F) = TRIM($B274),
      'Juma Recording forms'!$AA:$AA = 5
    ),
    1
  ),
  ""Not Found""
)"),"Not Found")</f>
        <v>Not Found</v>
      </c>
      <c r="AK274" s="292" t="str">
        <f>IFERROR(__xludf.DUMMYFUNCTION("IFERROR(
  INDEX(
    FILTER(
      'Juma Recording forms'!$G:$G,
      TRIM('Juma Recording forms'!$F:$F) = TRIM($B274),
      'Juma Recording forms'!$AA:$AA = 6
    ),
    1
  ),
  ""Not Found""
)"),"Not Found")</f>
        <v>Not Found</v>
      </c>
      <c r="AL2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1!$E:$E"")=$B274) *
        (IMPORTRANGE(""https://docs.google.com/spreadsheets/d/161aHT6vVT3SLneTKD19N5qVWtnj_jIT8CSsOmUVKmaA/e"&amp;"dit?gid=1761053510"",
          ""Haris_Form responses 1!$AQ:$AQ"")=1)
      ),
      1
    ),
    ""0""
  ),
  ""Form not found""
)
"),"10")</f>
        <v>10</v>
      </c>
      <c r="AM2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1!$E:$E"")=$B274) *
        (IMPORTRANGE(""https://docs.google.com/spreadsheets/d/161aHT6vVT3SLneTKD19N5qVWtnj_jIT8CSsOmUVKmaA/e"&amp;"dit?gid=1761053510"",
          ""Haris_Form responses 1!$AQ:$AQ"")=2)
      ),
      1
    ),
    ""0""
  ),
  ""Form not found""
)
"),"10")</f>
        <v>10</v>
      </c>
      <c r="AN2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1!$E:$E"")=$B274) *
        (IMPORTRANGE(""https://docs.google.com/spreadsheets/d/161aHT6vVT3SLneTKD19N5qVWtnj_jIT8CSsOmUVKmaA/e"&amp;"dit?gid=1761053510"",
          ""Haris_Form responses 1!$AQ:$AQ"")=3)
      ),
      1
    ),
    ""0""
  ),
  ""Form not found""
)
"),"5")</f>
        <v>5</v>
      </c>
      <c r="AO2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1!$E:$E"")=$B274) *
        (IMPORTRANGE(""https://docs.google.com/spreadsheets/d/161aHT6vVT3SLneTKD19N5qVWtnj_jIT8CSsOmUVKmaA/e"&amp;"dit?gid=1761053510"",
          ""Haris_Form responses 1!$AQ:$AQ"")=4)
      ),
      1
    ),
    ""0""
  ),
  ""Form not found""
)
"),"Form not found")</f>
        <v>Form not found</v>
      </c>
      <c r="AP2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1!$E:$E"")=$B274) *
        (IMPORTRANGE(""https://docs.google.com/spreadsheets/d/161aHT6vVT3SLneTKD19N5qVWtnj_jIT8CSsOmUVKmaA/e"&amp;"dit?gid=1761053510"",
          ""Haris_Form responses 1!$AQ:$AQ"")=5)
      ),
      1
    ),
    ""0""
  ),
  ""Form not found""
)
"),"Form not found")</f>
        <v>Form not found</v>
      </c>
      <c r="AQ27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1!$E:$E"")=$B274) *
        (IMPORTRANGE(""https://docs.google.com/spreadsheets/d/161aHT6vVT3SLneTKD19N5qVWtnj_jIT8CSsOmUVKmaA/e"&amp;"dit?gid=1761053510"",
          ""Haris_Form responses 1!$AQ:$AQ"")=6)
      ),
      1
    ),
    ""0""
  ),
  ""Form not found""
)
"),"Form not found")</f>
        <v>Form not found</v>
      </c>
      <c r="AR2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1!$E:$E"")=$B274) *
        (IMPORTRANGE(""https://docs.google.com/spreadsheets/d/161aHT6vVT3SLneTKD19N5qVWtnj_jIT8CSsOmUVKmaA/e"&amp;"dit?gid=1761053510"",
          ""Haris_Form responses 1!$AQ:$AQ"")=1)
      ),
      1
    ),
    ""0""
  ),
  ""Form not found""
)
"),"0")</f>
        <v>0</v>
      </c>
      <c r="AS2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1!$E:$E"")=$B274) *
        (IMPORTRANGE(""https://docs.google.com/spreadsheets/d/161aHT6vVT3SLneTKD19N5qVWtnj_jIT8CSsOmUVKmaA/e"&amp;"dit?gid=1761053510"",
          ""Haris_Form responses 1!$AQ:$AQ"")=2)
      ),
      1
    ),
    ""0""
  ),
  ""Form not found""
)
"),"0")</f>
        <v>0</v>
      </c>
      <c r="AT2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1!$E:$E"")=$B274) *
        (IMPORTRANGE(""https://docs.google.com/spreadsheets/d/161aHT6vVT3SLneTKD19N5qVWtnj_jIT8CSsOmUVKmaA/e"&amp;"dit?gid=1761053510"",
          ""Haris_Form responses 1!$AQ:$AQ"")=3)
      ),
      1
    ),
    ""0""
  ),
  ""Form not found""
)
"),"0")</f>
        <v>0</v>
      </c>
      <c r="AU2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1!$E:$E"")=$B274) *
        (IMPORTRANGE(""https://docs.google.com/spreadsheets/d/161aHT6vVT3SLneTKD19N5qVWtnj_jIT8CSsOmUVKmaA/e"&amp;"dit?gid=1761053510"",
          ""Haris_Form responses 1!$AQ:$AQ"")=4)
      ),
      1
    ),
    ""0""
  ),
  ""Form not found""
)
"),"Form not found")</f>
        <v>Form not found</v>
      </c>
      <c r="AV2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1!$E:$E"")=$B274) *
        (IMPORTRANGE(""https://docs.google.com/spreadsheets/d/161aHT6vVT3SLneTKD19N5qVWtnj_jIT8CSsOmUVKmaA/e"&amp;"dit?gid=1761053510"",
          ""Haris_Form responses 1!$AQ:$AQ"")=5)
      ),
      1
    ),
    ""0""
  ),
  ""Form not found""
)
"),"Form not found")</f>
        <v>Form not found</v>
      </c>
      <c r="AW27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1!$E:$E"")=$B274) *
        (IMPORTRANGE(""https://docs.google.com/spreadsheets/d/161aHT6vVT3SLneTKD19N5qVWtnj_jIT8CSsOmUVKmaA/e"&amp;"dit?gid=1761053510"",
          ""Haris_Form responses 1!$AQ:$AQ"")=6)
      ),
      1
    ),
    ""0""
  ),
  ""Form not found""
)
"),"Form not found")</f>
        <v>Form not found</v>
      </c>
      <c r="AX2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1!$E:$E"")=$B274) *
        (IMPORTRANGE(""https://docs.google.com/spreadsheets/d/161aHT6vVT3SLneTKD19N5qVWtnj_jIT8CSsOmUVKmaA/e"&amp;"dit?gid=1761053510"",
          ""Haris_Form responses 1!$AQ:$AQ"")=1)
      ),
      1
    ),
    ""0""
  ),
  ""Form not found""
)
"),"10")</f>
        <v>10</v>
      </c>
      <c r="AY2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1!$E:$E"")=$B274) *
        (IMPORTRANGE(""https://docs.google.com/spreadsheets/d/161aHT6vVT3SLneTKD19N5qVWtnj_jIT8CSsOmUVKmaA/e"&amp;"dit?gid=1761053510"",
          ""Haris_Form responses 1!$AQ:$AQ"")=2)
      ),
      1
    ),
    ""0""
  ),
  ""Form not found""
)
"),"10")</f>
        <v>10</v>
      </c>
      <c r="AZ2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1!$E:$E"")=$B274) *
        (IMPORTRANGE(""https://docs.google.com/spreadsheets/d/161aHT6vVT3SLneTKD19N5qVWtnj_jIT8CSsOmUVKmaA/e"&amp;"dit?gid=1761053510"",
          ""Haris_Form responses 1!$AQ:$AQ"")=3)
      ),
      1
    ),
    ""0""
  ),
  ""Form not found""
)
"),"5")</f>
        <v>5</v>
      </c>
      <c r="BA2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1!$E:$E"")=$B274) *
        (IMPORTRANGE(""https://docs.google.com/spreadsheets/d/161aHT6vVT3SLneTKD19N5qVWtnj_jIT8CSsOmUVKmaA/e"&amp;"dit?gid=1761053510"",
          ""Haris_Form responses 1!$AQ:$AQ"")=4)
      ),
      1
    ),
    ""0""
  ),
  ""Form not found""
)
"),"Form not found")</f>
        <v>Form not found</v>
      </c>
      <c r="BB2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1!$E:$E"")=$B274) *
        (IMPORTRANGE(""https://docs.google.com/spreadsheets/d/161aHT6vVT3SLneTKD19N5qVWtnj_jIT8CSsOmUVKmaA/e"&amp;"dit?gid=1761053510"",
          ""Haris_Form responses 1!$AQ:$AQ"")=5)
      ),
      1
    ),
    ""0""
  ),
  ""Form not found""
)
"),"Form not found")</f>
        <v>Form not found</v>
      </c>
      <c r="BC27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1!$E:$E"")=$B274) *
        (IMPORTRANGE(""https://docs.google.com/spreadsheets/d/161aHT6vVT3SLneTKD19N5qVWtnj_jIT8CSsOmUVKmaA/e"&amp;"dit?gid=1761053510"",
          ""Haris_Form responses 1!$AQ:$AQ"")=6)
      ),
      1
    ),
    ""0""
  ),
  ""Form not found""
)
"),"Form not found")</f>
        <v>Form not found</v>
      </c>
      <c r="BD274" s="293"/>
    </row>
    <row r="275">
      <c r="A275" s="283" t="str">
        <f>IFERROR(__xludf.DUMMYFUNCTION("VLOOKUP($B275,IMPORTRANGE(""https://docs.google.com/spreadsheets/d/1VNXDITjs75AcgdBSW27oL1VZH31udDprJSsBcE5xlp4/edit?gid=1551188038#gid=1551188038"", ""Sheet9!$B:$E""),2,false)"),"Pakpattan")</f>
        <v>Pakpattan</v>
      </c>
      <c r="B275" s="283" t="s">
        <v>4682</v>
      </c>
      <c r="C275" s="284" t="str">
        <f>IFERROR(__xludf.DUMMYFUNCTION("VLOOKUP(TRIM($B275), IMPORTRANGE(""https://docs.google.com/spreadsheets/d/1aSOrU4PTpuBZqfitKaH1Rfww6-YOiNCKoBpPl8XBHaw/edit?gid=0#gid=0"", ""sheet3!$B:$C""), 2, FALSE)
"),"Jamia Masjid Aziz Makki Pakpattan")</f>
        <v>Jamia Masjid Aziz Makki Pakpattan</v>
      </c>
      <c r="D275" s="284" t="str">
        <f>IFERROR(__xludf.DUMMYFUNCTION("IFERROR(
  INDEX(
    FILTER(
      IMPORTRANGE(""1aSOrU4PTpuBZqfitKaH1Rfww6-YOiNCKoBpPl8XBHaw/edit?gid=0#gid=0"",""Sheet1!G:G""),
      IMPORTRANGE(""1aSOrU4PTpuBZqfitKaH1Rfww6-YOiNCKoBpPl8XBHaw/edit?gid=0#gid=0"",""Sheet1!C:C"")=$B275
    ),
    1
  ),
"&amp;"  ""Not Found""
)"),"Women Religious No Info Share")</f>
        <v>Women Religious No Info Share</v>
      </c>
      <c r="E275" s="284" t="str">
        <f>VLOOKUP(B275,'Juma Recording forms'!A:E,5,false)</f>
        <v>Masjid Aziz Makki </v>
      </c>
      <c r="F275" s="284" t="str">
        <f>IFERROR(__xludf.DUMMYFUNCTION("IFERROR(
  INDEX(
    FILTER(
      IMPORTRANGE(""1Cxrhp3-_-HS7v9uuqQliiIfrmMP4VaFoDNDWyUFy2J8/edit?gid=0#gid=0"",""Sheet1!Q:Q""),
      IMPORTRANGE(""1Cxrhp3-_-HS7v9uuqQliiIfrmMP4VaFoDNDWyUFy2J8/edit?gid=0#gid=0"",""Sheet1!K:K"")=$B275
    ),
    1
  ),
"&amp;"  ""Not Found""
)"),"Miulana m jhangir")</f>
        <v>Miulana m jhangir</v>
      </c>
      <c r="G275" s="292">
        <v>1989.0</v>
      </c>
      <c r="H275" s="284" t="s">
        <v>4892</v>
      </c>
      <c r="I275" s="285" t="s">
        <v>197</v>
      </c>
      <c r="J275" s="286">
        <v>2.0</v>
      </c>
      <c r="K275" s="287" t="str">
        <f>VLOOKUP($B275,'Mosque Locations'!$A:$E,3,FALSE)
</f>
        <v>https://maps.google.com/maps?q=30.3147944%2C73.3438006&amp;z=17&amp;hl=en</v>
      </c>
      <c r="L275" s="286">
        <f>VLOOKUP($B275,'Mosque Locations'!$A:$E,4,FALSE)
</f>
        <v>30.31479</v>
      </c>
      <c r="M275" s="286">
        <f>VLOOKUP($B275,'Mosque Locations'!$A:$E,5,false)</f>
        <v>73.3438</v>
      </c>
      <c r="N275" s="288"/>
      <c r="O275" s="288"/>
      <c r="P275" s="288"/>
      <c r="Q275" s="290" t="str">
        <f>IFERROR(__xludf.DUMMYFUNCTION("IFERROR(
  INDEX(
    FILTER(
      IMPORTRANGE(""1kOrIKZmJfNUkgOVP3sI9BPjaaPA0_a4636oymQxTXg8"",""Form Responses 1!N:N""),
      TRIM(IMPORTRANGE(""1kOrIKZmJfNUkgOVP3sI9BPjaaPA0_a4636oymQxTXg8"",""Form Responses 1!F:F""))=TRIM($B275)
    ),
    1
  ),
  "&amp;"""Not Found""
)
"),"https://drive.google.com/open?id=1_jMl39bVIvaJ2L9llg4i8Gad0poouFf_")</f>
        <v>https://drive.google.com/open?id=1_jMl39bVIvaJ2L9llg4i8Gad0poouFf_</v>
      </c>
      <c r="R275" s="290" t="str">
        <f>IFERROR(__xludf.DUMMYFUNCTION("IFERROR(
  INDEX(
    FILTER(
      IMPORTRANGE(""1kOrIKZmJfNUkgOVP3sI9BPjaaPA0_a4636oymQxTXg8"",""Form Responses 1!M:M""),
      TRIM(IMPORTRANGE(""1kOrIKZmJfNUkgOVP3sI9BPjaaPA0_a4636oymQxTXg8"",""Form Responses 1!F:F""))=TRIM($B275)
    ),
    1
  ),
  "&amp;"""Not Found""
)
"),"https://drive.google.com/open?id=133jFSnCScZo_kMmrJeXKbyGjVNbkgBcX")</f>
        <v>https://drive.google.com/open?id=133jFSnCScZo_kMmrJeXKbyGjVNbkgBcX</v>
      </c>
      <c r="S275" s="285"/>
      <c r="T275" s="290" t="str">
        <f>VLOOKUP($B275,'Master Tracker'!D:E,2,false)</f>
        <v>https://drive.google.com/open?id=13Bpr32n24wJN2i_F6g_na5EAqcigmLhI</v>
      </c>
      <c r="U275" s="291" t="str">
        <f>VLOOKUP($B275,'Master Tracker'!$D:$T,4,FALSE)
</f>
        <v>https://drive.google.com/open?id=1m1O-9JAEB8U5MduJW6N_X06r0jQBh1IE</v>
      </c>
      <c r="V275" s="290" t="str">
        <f>VLOOKUP($B275,'Master Tracker'!$D:$T,5,false)</f>
        <v>https://drive.google.com/open?id=1Yj6CwlwA4e5gEUtAntbaX7KDgbpcKvxD</v>
      </c>
      <c r="W275" s="291" t="str">
        <f>VLOOKUP($B275,'Master Tracker'!$D:$T,7,false)</f>
        <v>https://drive.google.com/open?id=1DwZ8BO0v903G_qzXEt9HzJIp76CoCMh4</v>
      </c>
      <c r="X275" s="290" t="str">
        <f>VLOOKUP($B275,'Master Tracker'!$D:$T,8,false)</f>
        <v>https://drive.google.com/open?id=11OmtAcjh8LVZzxe4cGAimb4Vbvo78zef</v>
      </c>
      <c r="Y275" s="291" t="str">
        <f>VLOOKUP($B275,'Master Tracker'!$D:$T,10,false)</f>
        <v>https://drive.google.com/open?id=1xmr5In-CFLp8XrFoBu5sdvHXlJTKeQ4U</v>
      </c>
      <c r="Z275" s="284" t="str">
        <f>VLOOKUP($B275,'Master Tracker'!$D:$T,11,false)</f>
        <v>Not Found</v>
      </c>
      <c r="AA275" s="292" t="str">
        <f>VLOOKUP($B275,'Master Tracker'!$D:$T,13,false)</f>
        <v>Not Found</v>
      </c>
      <c r="AB275" s="284" t="str">
        <f>VLOOKUP($B275,'Master Tracker'!$D:$T,14,false)</f>
        <v>Not Found</v>
      </c>
      <c r="AC275" s="292" t="str">
        <f>VLOOKUP($B275,'Master Tracker'!$D:$T,16,false)</f>
        <v>Not Found</v>
      </c>
      <c r="AD275" s="292" t="str">
        <f>VLOOKUP($B275,'Master Tracker'!$D:$T,17,false)</f>
        <v>Not Found</v>
      </c>
      <c r="AE275" s="292" t="str">
        <f>VLOOKUP($B275,'Master Tracker'!$D:$V,19,false)</f>
        <v>Not Found</v>
      </c>
      <c r="AF275" s="292">
        <f>IFERROR(__xludf.DUMMYFUNCTION("IFERROR(
  INDEX(
    FILTER(
      'Juma Recording forms'!$G:$G,
      TRIM('Juma Recording forms'!$F:$F) = TRIM($B275),
      'Juma Recording forms'!$AA:$AA = 1
    ),
    1
  ),
  ""Not Found""
)"),168.0)</f>
        <v>168</v>
      </c>
      <c r="AG275" s="292">
        <f>IFERROR(__xludf.DUMMYFUNCTION("IFERROR(
  INDEX(
    FILTER(
      'Juma Recording forms'!$G:$G,
      TRIM('Juma Recording forms'!$F:$F) = TRIM($B275),
      'Juma Recording forms'!$AA:$AA = 2
    ),
    1
  ),
  ""Not Found""
)"),120.0)</f>
        <v>120</v>
      </c>
      <c r="AH275" s="292">
        <f>IFERROR(__xludf.DUMMYFUNCTION("IFERROR(
  INDEX(
    FILTER(
      'Juma Recording forms'!$G:$G,
      TRIM('Juma Recording forms'!$F:$F) = TRIM($B275),
      'Juma Recording forms'!$AA:$AA = 3
    ),
    1
  ),
  ""Not Found""
)"),145.0)</f>
        <v>145</v>
      </c>
      <c r="AI275" s="292" t="str">
        <f>IFERROR(__xludf.DUMMYFUNCTION("IFERROR(
  INDEX(
    FILTER(
      'Juma Recording forms'!$G:$G,
      TRIM('Juma Recording forms'!$F:$F) = TRIM($B275),
      'Juma Recording forms'!$AA:$AA = 4
    ),
    1
  ),
  ""Not Found""
)"),"Not Found")</f>
        <v>Not Found</v>
      </c>
      <c r="AJ275" s="292" t="str">
        <f>IFERROR(__xludf.DUMMYFUNCTION("IFERROR(
  INDEX(
    FILTER(
      'Juma Recording forms'!$G:$G,
      TRIM('Juma Recording forms'!$F:$F) = TRIM($B275),
      'Juma Recording forms'!$AA:$AA = 5
    ),
    1
  ),
  ""Not Found""
)"),"Not Found")</f>
        <v>Not Found</v>
      </c>
      <c r="AK275" s="292" t="str">
        <f>IFERROR(__xludf.DUMMYFUNCTION("IFERROR(
  INDEX(
    FILTER(
      'Juma Recording forms'!$G:$G,
      TRIM('Juma Recording forms'!$F:$F) = TRIM($B275),
      'Juma Recording forms'!$AA:$AA = 6
    ),
    1
  ),
  ""Not Found""
)"),"Not Found")</f>
        <v>Not Found</v>
      </c>
      <c r="AL2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1!$E:$E"")=$B275) *
        (IMPORTRANGE(""https://docs.google.com/spreadsheets/d/161aHT6vVT3SLneTKD19N5qVWtnj_jIT8CSsOmUVKmaA/e"&amp;"dit?gid=1761053510"",
          ""Haris_Form responses 1!$AQ:$AQ"")=1)
      ),
      1
    ),
    ""0""
  ),
  ""Form not found""
)
"),"8")</f>
        <v>8</v>
      </c>
      <c r="AM2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1!$E:$E"")=$B275) *
        (IMPORTRANGE(""https://docs.google.com/spreadsheets/d/161aHT6vVT3SLneTKD19N5qVWtnj_jIT8CSsOmUVKmaA/e"&amp;"dit?gid=1761053510"",
          ""Haris_Form responses 1!$AQ:$AQ"")=2)
      ),
      1
    ),
    ""0""
  ),
  ""Form not found""
)
"),"3")</f>
        <v>3</v>
      </c>
      <c r="AN2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1!$E:$E"")=$B275) *
        (IMPORTRANGE(""https://docs.google.com/spreadsheets/d/161aHT6vVT3SLneTKD19N5qVWtnj_jIT8CSsOmUVKmaA/e"&amp;"dit?gid=1761053510"",
          ""Haris_Form responses 1!$AQ:$AQ"")=3)
      ),
      1
    ),
    ""0""
  ),
  ""Form not found""
)
"),"6")</f>
        <v>6</v>
      </c>
      <c r="AO2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1!$E:$E"")=$B275) *
        (IMPORTRANGE(""https://docs.google.com/spreadsheets/d/161aHT6vVT3SLneTKD19N5qVWtnj_jIT8CSsOmUVKmaA/e"&amp;"dit?gid=1761053510"",
          ""Haris_Form responses 1!$AQ:$AQ"")=4)
      ),
      1
    ),
    ""0""
  ),
  ""Form not found""
)
"),"Form not found")</f>
        <v>Form not found</v>
      </c>
      <c r="AP2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1!$E:$E"")=$B275) *
        (IMPORTRANGE(""https://docs.google.com/spreadsheets/d/161aHT6vVT3SLneTKD19N5qVWtnj_jIT8CSsOmUVKmaA/e"&amp;"dit?gid=1761053510"",
          ""Haris_Form responses 1!$AQ:$AQ"")=5)
      ),
      1
    ),
    ""0""
  ),
  ""Form not found""
)
"),"Form not found")</f>
        <v>Form not found</v>
      </c>
      <c r="AQ27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1!$E:$E"")=$B275) *
        (IMPORTRANGE(""https://docs.google.com/spreadsheets/d/161aHT6vVT3SLneTKD19N5qVWtnj_jIT8CSsOmUVKmaA/e"&amp;"dit?gid=1761053510"",
          ""Haris_Form responses 1!$AQ:$AQ"")=6)
      ),
      1
    ),
    ""0""
  ),
  ""Form not found""
)
"),"Form not found")</f>
        <v>Form not found</v>
      </c>
      <c r="AR2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1!$E:$E"")=$B275) *
        (IMPORTRANGE(""https://docs.google.com/spreadsheets/d/161aHT6vVT3SLneTKD19N5qVWtnj_jIT8CSsOmUVKmaA/e"&amp;"dit?gid=1761053510"",
          ""Haris_Form responses 1!$AQ:$AQ"")=1)
      ),
      1
    ),
    ""0""
  ),
  ""Form not found""
)
"),"0")</f>
        <v>0</v>
      </c>
      <c r="AS2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1!$E:$E"")=$B275) *
        (IMPORTRANGE(""https://docs.google.com/spreadsheets/d/161aHT6vVT3SLneTKD19N5qVWtnj_jIT8CSsOmUVKmaA/e"&amp;"dit?gid=1761053510"",
          ""Haris_Form responses 1!$AQ:$AQ"")=2)
      ),
      1
    ),
    ""0""
  ),
  ""Form not found""
)
"),"0")</f>
        <v>0</v>
      </c>
      <c r="AT2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1!$E:$E"")=$B275) *
        (IMPORTRANGE(""https://docs.google.com/spreadsheets/d/161aHT6vVT3SLneTKD19N5qVWtnj_jIT8CSsOmUVKmaA/e"&amp;"dit?gid=1761053510"",
          ""Haris_Form responses 1!$AQ:$AQ"")=3)
      ),
      1
    ),
    ""0""
  ),
  ""Form not found""
)
"),"0")</f>
        <v>0</v>
      </c>
      <c r="AU2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1!$E:$E"")=$B275) *
        (IMPORTRANGE(""https://docs.google.com/spreadsheets/d/161aHT6vVT3SLneTKD19N5qVWtnj_jIT8CSsOmUVKmaA/e"&amp;"dit?gid=1761053510"",
          ""Haris_Form responses 1!$AQ:$AQ"")=4)
      ),
      1
    ),
    ""0""
  ),
  ""Form not found""
)
"),"Form not found")</f>
        <v>Form not found</v>
      </c>
      <c r="AV2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1!$E:$E"")=$B275) *
        (IMPORTRANGE(""https://docs.google.com/spreadsheets/d/161aHT6vVT3SLneTKD19N5qVWtnj_jIT8CSsOmUVKmaA/e"&amp;"dit?gid=1761053510"",
          ""Haris_Form responses 1!$AQ:$AQ"")=5)
      ),
      1
    ),
    ""0""
  ),
  ""Form not found""
)
"),"Form not found")</f>
        <v>Form not found</v>
      </c>
      <c r="AW27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1!$E:$E"")=$B275) *
        (IMPORTRANGE(""https://docs.google.com/spreadsheets/d/161aHT6vVT3SLneTKD19N5qVWtnj_jIT8CSsOmUVKmaA/e"&amp;"dit?gid=1761053510"",
          ""Haris_Form responses 1!$AQ:$AQ"")=6)
      ),
      1
    ),
    ""0""
  ),
  ""Form not found""
)
"),"Form not found")</f>
        <v>Form not found</v>
      </c>
      <c r="AX2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1!$E:$E"")=$B275) *
        (IMPORTRANGE(""https://docs.google.com/spreadsheets/d/161aHT6vVT3SLneTKD19N5qVWtnj_jIT8CSsOmUVKmaA/e"&amp;"dit?gid=1761053510"",
          ""Haris_Form responses 1!$AQ:$AQ"")=1)
      ),
      1
    ),
    ""0""
  ),
  ""Form not found""
)
"),"8")</f>
        <v>8</v>
      </c>
      <c r="AY2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1!$E:$E"")=$B275) *
        (IMPORTRANGE(""https://docs.google.com/spreadsheets/d/161aHT6vVT3SLneTKD19N5qVWtnj_jIT8CSsOmUVKmaA/e"&amp;"dit?gid=1761053510"",
          ""Haris_Form responses 1!$AQ:$AQ"")=2)
      ),
      1
    ),
    ""0""
  ),
  ""Form not found""
)
"),"2")</f>
        <v>2</v>
      </c>
      <c r="AZ2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1!$E:$E"")=$B275) *
        (IMPORTRANGE(""https://docs.google.com/spreadsheets/d/161aHT6vVT3SLneTKD19N5qVWtnj_jIT8CSsOmUVKmaA/e"&amp;"dit?gid=1761053510"",
          ""Haris_Form responses 1!$AQ:$AQ"")=3)
      ),
      1
    ),
    ""0""
  ),
  ""Form not found""
)
"),"5")</f>
        <v>5</v>
      </c>
      <c r="BA2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1!$E:$E"")=$B275) *
        (IMPORTRANGE(""https://docs.google.com/spreadsheets/d/161aHT6vVT3SLneTKD19N5qVWtnj_jIT8CSsOmUVKmaA/e"&amp;"dit?gid=1761053510"",
          ""Haris_Form responses 1!$AQ:$AQ"")=4)
      ),
      1
    ),
    ""0""
  ),
  ""Form not found""
)
"),"Form not found")</f>
        <v>Form not found</v>
      </c>
      <c r="BB2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1!$E:$E"")=$B275) *
        (IMPORTRANGE(""https://docs.google.com/spreadsheets/d/161aHT6vVT3SLneTKD19N5qVWtnj_jIT8CSsOmUVKmaA/e"&amp;"dit?gid=1761053510"",
          ""Haris_Form responses 1!$AQ:$AQ"")=5)
      ),
      1
    ),
    ""0""
  ),
  ""Form not found""
)
"),"Form not found")</f>
        <v>Form not found</v>
      </c>
      <c r="BC27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1!$E:$E"")=$B275) *
        (IMPORTRANGE(""https://docs.google.com/spreadsheets/d/161aHT6vVT3SLneTKD19N5qVWtnj_jIT8CSsOmUVKmaA/e"&amp;"dit?gid=1761053510"",
          ""Haris_Form responses 1!$AQ:$AQ"")=6)
      ),
      1
    ),
    ""0""
  ),
  ""Form not found""
)
"),"Form not found")</f>
        <v>Form not found</v>
      </c>
      <c r="BD275" s="293"/>
    </row>
    <row r="276">
      <c r="A276" s="283" t="str">
        <f>IFERROR(__xludf.DUMMYFUNCTION("VLOOKUP($B276,IMPORTRANGE(""https://docs.google.com/spreadsheets/d/1VNXDITjs75AcgdBSW27oL1VZH31udDprJSsBcE5xlp4/edit?gid=1551188038#gid=1551188038"", ""Sheet9!$B:$E""),2,false)"),"Pakpattan")</f>
        <v>Pakpattan</v>
      </c>
      <c r="B276" s="283" t="s">
        <v>4683</v>
      </c>
      <c r="C276" s="284" t="str">
        <f>IFERROR(__xludf.DUMMYFUNCTION("VLOOKUP(TRIM($B276), IMPORTRANGE(""https://docs.google.com/spreadsheets/d/1aSOrU4PTpuBZqfitKaH1Rfww6-YOiNCKoBpPl8XBHaw/edit?gid=0#gid=0"", ""sheet3!$B:$C""), 2, FALSE)
"),"Jamia Masjid Gaalah Mandi Pakpattan")</f>
        <v>Jamia Masjid Gaalah Mandi Pakpattan</v>
      </c>
      <c r="D276" s="284" t="str">
        <f>IFERROR(__xludf.DUMMYFUNCTION("IFERROR(
  INDEX(
    FILTER(
      IMPORTRANGE(""1aSOrU4PTpuBZqfitKaH1Rfww6-YOiNCKoBpPl8XBHaw/edit?gid=0#gid=0"",""Sheet1!G:G""),
      IMPORTRANGE(""1aSOrU4PTpuBZqfitKaH1Rfww6-YOiNCKoBpPl8XBHaw/edit?gid=0#gid=0"",""Sheet1!C:C"")=$B276
    ),
    1
  ),
"&amp;"  ""Not Found""
)"),"Community Secular Info Share")</f>
        <v>Community Secular Info Share</v>
      </c>
      <c r="E276" s="284" t="str">
        <f>VLOOKUP(B276,'Juma Recording forms'!A:E,5,false)</f>
        <v>Jamia masjid gaalah mandi pakpattan </v>
      </c>
      <c r="F276" s="284" t="str">
        <f>IFERROR(__xludf.DUMMYFUNCTION("IFERROR(
  INDEX(
    FILTER(
      IMPORTRANGE(""1Cxrhp3-_-HS7v9uuqQliiIfrmMP4VaFoDNDWyUFy2J8/edit?gid=0#gid=0"",""Sheet1!Q:Q""),
      IMPORTRANGE(""1Cxrhp3-_-HS7v9uuqQliiIfrmMP4VaFoDNDWyUFy2J8/edit?gid=0#gid=0"",""Sheet1!K:K"")=$B276
    ),
    1
  ),
"&amp;"  ""Not Found""
)"),"moulana safdar ali")</f>
        <v>moulana safdar ali</v>
      </c>
      <c r="G276" s="292">
        <v>1949.0</v>
      </c>
      <c r="H276" s="284"/>
      <c r="I276" s="285" t="s">
        <v>197</v>
      </c>
      <c r="J276" s="286">
        <v>2.0</v>
      </c>
      <c r="K276" s="287" t="str">
        <f>VLOOKUP($B276,'Mosque Locations'!$A:$E,3,FALSE)
</f>
        <v>https://maps.google.com/maps?q=30.3518354%2C73.3909344&amp;z=17&amp;hl=en</v>
      </c>
      <c r="L276" s="286">
        <f>VLOOKUP($B276,'Mosque Locations'!$A:$E,4,FALSE)
</f>
        <v>30.35184</v>
      </c>
      <c r="M276" s="286">
        <f>VLOOKUP($B276,'Mosque Locations'!$A:$E,5,false)</f>
        <v>73.39093</v>
      </c>
      <c r="N276" s="288"/>
      <c r="O276" s="288"/>
      <c r="P276" s="288"/>
      <c r="Q276" s="295" t="str">
        <f>IFERROR(__xludf.DUMMYFUNCTION("IFERROR(
  INDEX(
    FILTER(
      IMPORTRANGE(""1kOrIKZmJfNUkgOVP3sI9BPjaaPA0_a4636oymQxTXg8"",""Form Responses 1!N:N""),
      TRIM(IMPORTRANGE(""1kOrIKZmJfNUkgOVP3sI9BPjaaPA0_a4636oymQxTXg8"",""Form Responses 1!F:F""))=TRIM($B276)
    ),
    1
  ),
  "&amp;"""Not Found""
)
"),"https://drive.google.com/file/d/1KIPcCV2vwWZIE3iB3N2zHu_xtjdfL62j/view?usp=drive_link")</f>
        <v>https://drive.google.com/file/d/1KIPcCV2vwWZIE3iB3N2zHu_xtjdfL62j/view?usp=drive_link</v>
      </c>
      <c r="R276" s="290" t="str">
        <f>IFERROR(__xludf.DUMMYFUNCTION("IFERROR(
  INDEX(
    FILTER(
      IMPORTRANGE(""1kOrIKZmJfNUkgOVP3sI9BPjaaPA0_a4636oymQxTXg8"",""Form Responses 1!M:M""),
      TRIM(IMPORTRANGE(""1kOrIKZmJfNUkgOVP3sI9BPjaaPA0_a4636oymQxTXg8"",""Form Responses 1!F:F""))=TRIM($B276)
    ),
    1
  ),
  "&amp;"""Not Found""
)
"),"https://drive.google.com/open?id=1FZG9BBSIFHp5QGhk7mrRqh-dpxzubb3s")</f>
        <v>https://drive.google.com/open?id=1FZG9BBSIFHp5QGhk7mrRqh-dpxzubb3s</v>
      </c>
      <c r="S276" s="285"/>
      <c r="T276" s="284" t="str">
        <f>VLOOKUP($B276,'Master Tracker'!D:E,2,false)</f>
        <v>https://drive.google.com/file/d/1eK4UVfykVQc-rxo6ea4Y0PqUO_mLRmUV/view?usp=drive_link, https://drive.google.com/file/d/14PotOtdZp5GpFUdKtlNbPA80MnUwEVv4/view?usp=drive_link</v>
      </c>
      <c r="U276" s="291" t="str">
        <f>VLOOKUP($B276,'Master Tracker'!$D:$T,4,FALSE)
</f>
        <v>https://drive.google.com/open?id=1thZJFNd3eMB8o2va8jVFoAlr0I5XlJL0</v>
      </c>
      <c r="V276" s="290" t="str">
        <f>VLOOKUP($B276,'Master Tracker'!$D:$T,5,false)</f>
        <v>https://drive.google.com/open?id=1-Tfi7-f5g7kYveGGKf3rQaBZydpAkntL</v>
      </c>
      <c r="W276" s="291" t="str">
        <f>VLOOKUP($B276,'Master Tracker'!$D:$T,7,false)</f>
        <v>https://drive.google.com/open?id=1XzqHU6LcvgyQavZkDmtpPuk9M28aahCC</v>
      </c>
      <c r="X276" s="290" t="str">
        <f>VLOOKUP($B276,'Master Tracker'!$D:$T,8,false)</f>
        <v>https://drive.google.com/open?id=1bvPs8CF4EPObp9lNs_zHfSqof3XTihnX</v>
      </c>
      <c r="Y276" s="291" t="str">
        <f>VLOOKUP($B276,'Master Tracker'!$D:$T,10,false)</f>
        <v>https://drive.google.com/open?id=11uh-CIeLnTfdGWGXiye0_OXladJTSe-P</v>
      </c>
      <c r="Z276" s="284" t="str">
        <f>VLOOKUP($B276,'Master Tracker'!$D:$T,11,false)</f>
        <v>Not Found</v>
      </c>
      <c r="AA276" s="292" t="str">
        <f>VLOOKUP($B276,'Master Tracker'!$D:$T,13,false)</f>
        <v>Not Found</v>
      </c>
      <c r="AB276" s="284" t="str">
        <f>VLOOKUP($B276,'Master Tracker'!$D:$T,14,false)</f>
        <v>Not Found</v>
      </c>
      <c r="AC276" s="292" t="str">
        <f>VLOOKUP($B276,'Master Tracker'!$D:$T,16,false)</f>
        <v>Not Found</v>
      </c>
      <c r="AD276" s="292" t="str">
        <f>VLOOKUP($B276,'Master Tracker'!$D:$T,17,false)</f>
        <v>Not Found</v>
      </c>
      <c r="AE276" s="292" t="str">
        <f>VLOOKUP($B276,'Master Tracker'!$D:$V,19,false)</f>
        <v>Not Found</v>
      </c>
      <c r="AF276" s="292">
        <f>IFERROR(__xludf.DUMMYFUNCTION("IFERROR(
  INDEX(
    FILTER(
      'Juma Recording forms'!$G:$G,
      TRIM('Juma Recording forms'!$F:$F) = TRIM($B276),
      'Juma Recording forms'!$AA:$AA = 1
    ),
    1
  ),
  ""Not Found""
)"),200.0)</f>
        <v>200</v>
      </c>
      <c r="AG276" s="292">
        <f>IFERROR(__xludf.DUMMYFUNCTION("IFERROR(
  INDEX(
    FILTER(
      'Juma Recording forms'!$G:$G,
      TRIM('Juma Recording forms'!$F:$F) = TRIM($B276),
      'Juma Recording forms'!$AA:$AA = 2
    ),
    1
  ),
  ""Not Found""
)"),500.0)</f>
        <v>500</v>
      </c>
      <c r="AH276" s="292">
        <f>IFERROR(__xludf.DUMMYFUNCTION("IFERROR(
  INDEX(
    FILTER(
      'Juma Recording forms'!$G:$G,
      TRIM('Juma Recording forms'!$F:$F) = TRIM($B276),
      'Juma Recording forms'!$AA:$AA = 3
    ),
    1
  ),
  ""Not Found""
)"),400.0)</f>
        <v>400</v>
      </c>
      <c r="AI276" s="292" t="str">
        <f>IFERROR(__xludf.DUMMYFUNCTION("IFERROR(
  INDEX(
    FILTER(
      'Juma Recording forms'!$G:$G,
      TRIM('Juma Recording forms'!$F:$F) = TRIM($B276),
      'Juma Recording forms'!$AA:$AA = 4
    ),
    1
  ),
  ""Not Found""
)"),"Not Found")</f>
        <v>Not Found</v>
      </c>
      <c r="AJ276" s="292" t="str">
        <f>IFERROR(__xludf.DUMMYFUNCTION("IFERROR(
  INDEX(
    FILTER(
      'Juma Recording forms'!$G:$G,
      TRIM('Juma Recording forms'!$F:$F) = TRIM($B276),
      'Juma Recording forms'!$AA:$AA = 5
    ),
    1
  ),
  ""Not Found""
)"),"Not Found")</f>
        <v>Not Found</v>
      </c>
      <c r="AK276" s="292" t="str">
        <f>IFERROR(__xludf.DUMMYFUNCTION("IFERROR(
  INDEX(
    FILTER(
      'Juma Recording forms'!$G:$G,
      TRIM('Juma Recording forms'!$F:$F) = TRIM($B276),
      'Juma Recording forms'!$AA:$AA = 6
    ),
    1
  ),
  ""Not Found""
)"),"Not Found")</f>
        <v>Not Found</v>
      </c>
      <c r="AL2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1!$E:$E"")=$B276) *
        (IMPORTRANGE(""https://docs.google.com/spreadsheets/d/161aHT6vVT3SLneTKD19N5qVWtnj_jIT8CSsOmUVKmaA/e"&amp;"dit?gid=1761053510"",
          ""Haris_Form responses 1!$AQ:$AQ"")=1)
      ),
      1
    ),
    ""0""
  ),
  ""Form not found""
)
"),"0")</f>
        <v>0</v>
      </c>
      <c r="AM2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1!$E:$E"")=$B276) *
        (IMPORTRANGE(""https://docs.google.com/spreadsheets/d/161aHT6vVT3SLneTKD19N5qVWtnj_jIT8CSsOmUVKmaA/e"&amp;"dit?gid=1761053510"",
          ""Haris_Form responses 1!$AQ:$AQ"")=2)
      ),
      1
    ),
    ""0""
  ),
  ""Form not found""
)
"),"9")</f>
        <v>9</v>
      </c>
      <c r="AN2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1!$E:$E"")=$B276) *
        (IMPORTRANGE(""https://docs.google.com/spreadsheets/d/161aHT6vVT3SLneTKD19N5qVWtnj_jIT8CSsOmUVKmaA/e"&amp;"dit?gid=1761053510"",
          ""Haris_Form responses 1!$AQ:$AQ"")=3)
      ),
      1
    ),
    ""0""
  ),
  ""Form not found""
)
"),"9")</f>
        <v>9</v>
      </c>
      <c r="AO2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1!$E:$E"")=$B276) *
        (IMPORTRANGE(""https://docs.google.com/spreadsheets/d/161aHT6vVT3SLneTKD19N5qVWtnj_jIT8CSsOmUVKmaA/e"&amp;"dit?gid=1761053510"",
          ""Haris_Form responses 1!$AQ:$AQ"")=4)
      ),
      1
    ),
    ""0""
  ),
  ""Form not found""
)
"),"Form not found")</f>
        <v>Form not found</v>
      </c>
      <c r="AP2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1!$E:$E"")=$B276) *
        (IMPORTRANGE(""https://docs.google.com/spreadsheets/d/161aHT6vVT3SLneTKD19N5qVWtnj_jIT8CSsOmUVKmaA/e"&amp;"dit?gid=1761053510"",
          ""Haris_Form responses 1!$AQ:$AQ"")=5)
      ),
      1
    ),
    ""0""
  ),
  ""Form not found""
)
"),"Form not found")</f>
        <v>Form not found</v>
      </c>
      <c r="AQ27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1!$E:$E"")=$B276) *
        (IMPORTRANGE(""https://docs.google.com/spreadsheets/d/161aHT6vVT3SLneTKD19N5qVWtnj_jIT8CSsOmUVKmaA/e"&amp;"dit?gid=1761053510"",
          ""Haris_Form responses 1!$AQ:$AQ"")=6)
      ),
      1
    ),
    ""0""
  ),
  ""Form not found""
)
"),"Form not found")</f>
        <v>Form not found</v>
      </c>
      <c r="AR2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1!$E:$E"")=$B276) *
        (IMPORTRANGE(""https://docs.google.com/spreadsheets/d/161aHT6vVT3SLneTKD19N5qVWtnj_jIT8CSsOmUVKmaA/e"&amp;"dit?gid=1761053510"",
          ""Haris_Form responses 1!$AQ:$AQ"")=1)
      ),
      1
    ),
    ""0""
  ),
  ""Form not found""
)
"),"0")</f>
        <v>0</v>
      </c>
      <c r="AS2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1!$E:$E"")=$B276) *
        (IMPORTRANGE(""https://docs.google.com/spreadsheets/d/161aHT6vVT3SLneTKD19N5qVWtnj_jIT8CSsOmUVKmaA/e"&amp;"dit?gid=1761053510"",
          ""Haris_Form responses 1!$AQ:$AQ"")=2)
      ),
      1
    ),
    ""0""
  ),
  ""Form not found""
)
"),"9")</f>
        <v>9</v>
      </c>
      <c r="AT2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1!$E:$E"")=$B276) *
        (IMPORTRANGE(""https://docs.google.com/spreadsheets/d/161aHT6vVT3SLneTKD19N5qVWtnj_jIT8CSsOmUVKmaA/e"&amp;"dit?gid=1761053510"",
          ""Haris_Form responses 1!$AQ:$AQ"")=3)
      ),
      1
    ),
    ""0""
  ),
  ""Form not found""
)
"),"9")</f>
        <v>9</v>
      </c>
      <c r="AU2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1!$E:$E"")=$B276) *
        (IMPORTRANGE(""https://docs.google.com/spreadsheets/d/161aHT6vVT3SLneTKD19N5qVWtnj_jIT8CSsOmUVKmaA/e"&amp;"dit?gid=1761053510"",
          ""Haris_Form responses 1!$AQ:$AQ"")=4)
      ),
      1
    ),
    ""0""
  ),
  ""Form not found""
)
"),"Form not found")</f>
        <v>Form not found</v>
      </c>
      <c r="AV2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1!$E:$E"")=$B276) *
        (IMPORTRANGE(""https://docs.google.com/spreadsheets/d/161aHT6vVT3SLneTKD19N5qVWtnj_jIT8CSsOmUVKmaA/e"&amp;"dit?gid=1761053510"",
          ""Haris_Form responses 1!$AQ:$AQ"")=5)
      ),
      1
    ),
    ""0""
  ),
  ""Form not found""
)
"),"Form not found")</f>
        <v>Form not found</v>
      </c>
      <c r="AW27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1!$E:$E"")=$B276) *
        (IMPORTRANGE(""https://docs.google.com/spreadsheets/d/161aHT6vVT3SLneTKD19N5qVWtnj_jIT8CSsOmUVKmaA/e"&amp;"dit?gid=1761053510"",
          ""Haris_Form responses 1!$AQ:$AQ"")=6)
      ),
      1
    ),
    ""0""
  ),
  ""Form not found""
)
"),"Form not found")</f>
        <v>Form not found</v>
      </c>
      <c r="AX2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1!$E:$E"")=$B276) *
        (IMPORTRANGE(""https://docs.google.com/spreadsheets/d/161aHT6vVT3SLneTKD19N5qVWtnj_jIT8CSsOmUVKmaA/e"&amp;"dit?gid=1761053510"",
          ""Haris_Form responses 1!$AQ:$AQ"")=1)
      ),
      1
    ),
    ""0""
  ),
  ""Form not found""
)
"),"0")</f>
        <v>0</v>
      </c>
      <c r="AY2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1!$E:$E"")=$B276) *
        (IMPORTRANGE(""https://docs.google.com/spreadsheets/d/161aHT6vVT3SLneTKD19N5qVWtnj_jIT8CSsOmUVKmaA/e"&amp;"dit?gid=1761053510"",
          ""Haris_Form responses 1!$AQ:$AQ"")=2)
      ),
      1
    ),
    ""0""
  ),
  ""Form not found""
)
"),"0")</f>
        <v>0</v>
      </c>
      <c r="AZ2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1!$E:$E"")=$B276) *
        (IMPORTRANGE(""https://docs.google.com/spreadsheets/d/161aHT6vVT3SLneTKD19N5qVWtnj_jIT8CSsOmUVKmaA/e"&amp;"dit?gid=1761053510"",
          ""Haris_Form responses 1!$AQ:$AQ"")=3)
      ),
      1
    ),
    ""0""
  ),
  ""Form not found""
)
"),"1")</f>
        <v>1</v>
      </c>
      <c r="BA2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1!$E:$E"")=$B276) *
        (IMPORTRANGE(""https://docs.google.com/spreadsheets/d/161aHT6vVT3SLneTKD19N5qVWtnj_jIT8CSsOmUVKmaA/e"&amp;"dit?gid=1761053510"",
          ""Haris_Form responses 1!$AQ:$AQ"")=4)
      ),
      1
    ),
    ""0""
  ),
  ""Form not found""
)
"),"Form not found")</f>
        <v>Form not found</v>
      </c>
      <c r="BB2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1!$E:$E"")=$B276) *
        (IMPORTRANGE(""https://docs.google.com/spreadsheets/d/161aHT6vVT3SLneTKD19N5qVWtnj_jIT8CSsOmUVKmaA/e"&amp;"dit?gid=1761053510"",
          ""Haris_Form responses 1!$AQ:$AQ"")=5)
      ),
      1
    ),
    ""0""
  ),
  ""Form not found""
)
"),"Form not found")</f>
        <v>Form not found</v>
      </c>
      <c r="BC27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1!$E:$E"")=$B276) *
        (IMPORTRANGE(""https://docs.google.com/spreadsheets/d/161aHT6vVT3SLneTKD19N5qVWtnj_jIT8CSsOmUVKmaA/e"&amp;"dit?gid=1761053510"",
          ""Haris_Form responses 1!$AQ:$AQ"")=6)
      ),
      1
    ),
    ""0""
  ),
  ""Form not found""
)
"),"Form not found")</f>
        <v>Form not found</v>
      </c>
      <c r="BD276" s="293"/>
    </row>
    <row r="277">
      <c r="A277" s="283" t="str">
        <f>IFERROR(__xludf.DUMMYFUNCTION("VLOOKUP($B277,IMPORTRANGE(""https://docs.google.com/spreadsheets/d/1VNXDITjs75AcgdBSW27oL1VZH31udDprJSsBcE5xlp4/edit?gid=1551188038#gid=1551188038"", ""Sheet9!$B:$E""),2,false)"),"Pakpattan")</f>
        <v>Pakpattan</v>
      </c>
      <c r="B277" s="283" t="s">
        <v>4684</v>
      </c>
      <c r="C277" s="284" t="str">
        <f>IFERROR(__xludf.DUMMYFUNCTION("VLOOKUP(TRIM($B277), IMPORTRANGE(""https://docs.google.com/spreadsheets/d/1aSOrU4PTpuBZqfitKaH1Rfww6-YOiNCKoBpPl8XBHaw/edit?gid=0#gid=0"", ""sheet3!$B:$C""), 2, FALSE)
"),"Jamia Masjid Badar Ul Din Eshaq Pakpattan")</f>
        <v>Jamia Masjid Badar Ul Din Eshaq Pakpattan</v>
      </c>
      <c r="D277" s="284" t="str">
        <f>IFERROR(__xludf.DUMMYFUNCTION("IFERROR(
  INDEX(
    FILTER(
      IMPORTRANGE(""1aSOrU4PTpuBZqfitKaH1Rfww6-YOiNCKoBpPl8XBHaw/edit?gid=0#gid=0"",""Sheet1!G:G""),
      IMPORTRANGE(""1aSOrU4PTpuBZqfitKaH1Rfww6-YOiNCKoBpPl8XBHaw/edit?gid=0#gid=0"",""Sheet1!C:C"")=$B277
    ),
    1
  ),
"&amp;"  ""Not Found""
)"),"Community Secular No Info Share")</f>
        <v>Community Secular No Info Share</v>
      </c>
      <c r="E277" s="284" t="str">
        <f>VLOOKUP(B277,'Juma Recording forms'!A:E,5,false)</f>
        <v>Jamia masjid badar ul din eshaq pakpattan</v>
      </c>
      <c r="F277" s="284" t="str">
        <f>IFERROR(__xludf.DUMMYFUNCTION("IFERROR(
  INDEX(
    FILTER(
      IMPORTRANGE(""1Cxrhp3-_-HS7v9uuqQliiIfrmMP4VaFoDNDWyUFy2J8/edit?gid=0#gid=0"",""Sheet1!Q:Q""),
      IMPORTRANGE(""1Cxrhp3-_-HS7v9uuqQliiIfrmMP4VaFoDNDWyUFy2J8/edit?gid=0#gid=0"",""Sheet1!K:K"")=$B277
    ),
    1
  ),
"&amp;"  ""Not Found""
)"),"moulana m ashraf")</f>
        <v>moulana m ashraf</v>
      </c>
      <c r="G277" s="284">
        <v>2020.0</v>
      </c>
      <c r="H277" s="284" t="s">
        <v>4893</v>
      </c>
      <c r="I277" s="285" t="s">
        <v>197</v>
      </c>
      <c r="J277" s="286">
        <v>2.0</v>
      </c>
      <c r="K277" s="287" t="str">
        <f>VLOOKUP($B277,'Mosque Locations'!$A:$E,3,FALSE)
</f>
        <v>https://www.google.com/maps/place/30%C2%B020'34.5%22N+73%C2%B023'21.8%22E/@30.3429162,73.3868093,17z/data=!3m1!4b1!4m4!3m3!8m2!3d30.3429162!4d73.3893842?entry=ttu&amp;g_ep=EgoyMDI1MTExNy4wIKXMDSoASAFQAw%3D%3D</v>
      </c>
      <c r="L277" s="286">
        <f>VLOOKUP($B277,'Mosque Locations'!$A:$E,4,FALSE)
</f>
        <v>30.34292</v>
      </c>
      <c r="M277" s="286">
        <f>VLOOKUP($B277,'Mosque Locations'!$A:$E,5,false)</f>
        <v>73.38938</v>
      </c>
      <c r="N277" s="288"/>
      <c r="O277" s="288"/>
      <c r="P277" s="288"/>
      <c r="Q277" s="290" t="str">
        <f>IFERROR(__xludf.DUMMYFUNCTION("IFERROR(
  INDEX(
    FILTER(
      IMPORTRANGE(""1kOrIKZmJfNUkgOVP3sI9BPjaaPA0_a4636oymQxTXg8"",""Form Responses 1!N:N""),
      TRIM(IMPORTRANGE(""1kOrIKZmJfNUkgOVP3sI9BPjaaPA0_a4636oymQxTXg8"",""Form Responses 1!F:F""))=TRIM($B277)
    ),
    1
  ),
  "&amp;"""Not Found""
)
"),"https://drive.google.com/open?id=1qjgL5fssNLm--mwC0Pxip5mAjEo_Pmf0")</f>
        <v>https://drive.google.com/open?id=1qjgL5fssNLm--mwC0Pxip5mAjEo_Pmf0</v>
      </c>
      <c r="R277" s="295" t="str">
        <f>IFERROR(__xludf.DUMMYFUNCTION("IFERROR(
  INDEX(
    FILTER(
      IMPORTRANGE(""1kOrIKZmJfNUkgOVP3sI9BPjaaPA0_a4636oymQxTXg8"",""Form Responses 1!M:M""),
      TRIM(IMPORTRANGE(""1kOrIKZmJfNUkgOVP3sI9BPjaaPA0_a4636oymQxTXg8"",""Form Responses 1!F:F""))=TRIM($B277)
    ),
    1
  ),
  "&amp;"""Not Found""
)
"),"https://drive.google.com/open?id=1a-3TOhg6qN9gbAQIkB0CQTBEdBdObuOP")</f>
        <v>https://drive.google.com/open?id=1a-3TOhg6qN9gbAQIkB0CQTBEdBdObuOP</v>
      </c>
      <c r="S277" s="285"/>
      <c r="T277" s="290" t="str">
        <f>VLOOKUP($B277,'Master Tracker'!D:E,2,false)</f>
        <v>https://drive.google.com/file/d/1YB7_IUEtCaswuBGC_Ofn-jijH_gw0O6M/view?usp=drive_link</v>
      </c>
      <c r="U277" s="291" t="str">
        <f>VLOOKUP($B277,'Master Tracker'!$D:$T,4,FALSE)
</f>
        <v>https://drive.google.com/open?id=1wPebn130vIjgyClo04O0wbkAIJa1AWRK</v>
      </c>
      <c r="V277" s="290" t="str">
        <f>VLOOKUP($B277,'Master Tracker'!$D:$T,5,false)</f>
        <v>https://drive.google.com/open?id=17UlGlaDRjD5Me87x1fS949b3yFFnMUBi</v>
      </c>
      <c r="W277" s="291" t="str">
        <f>VLOOKUP($B277,'Master Tracker'!$D:$T,7,false)</f>
        <v>https://drive.google.com/open?id=1vgy9Nq0q4cen_KDDblmolsAUmhiZ29nk</v>
      </c>
      <c r="X277" s="290" t="str">
        <f>VLOOKUP($B277,'Master Tracker'!$D:$T,8,false)</f>
        <v>https://drive.google.com/open?id=1e8JXtMafRFd9CJPIr-PWoxFzNv_o-Q7z</v>
      </c>
      <c r="Y277" s="291" t="str">
        <f>VLOOKUP($B277,'Master Tracker'!$D:$T,10,false)</f>
        <v>https://drive.google.com/open?id=1EvgLDmDnAP3pGwHpLZUDGX0Iq5Id1Pvz</v>
      </c>
      <c r="Z277" s="284" t="str">
        <f>VLOOKUP($B277,'Master Tracker'!$D:$T,11,false)</f>
        <v>Not Found</v>
      </c>
      <c r="AA277" s="292" t="str">
        <f>VLOOKUP($B277,'Master Tracker'!$D:$T,13,false)</f>
        <v>Not Found</v>
      </c>
      <c r="AB277" s="284" t="str">
        <f>VLOOKUP($B277,'Master Tracker'!$D:$T,14,false)</f>
        <v>Not Found</v>
      </c>
      <c r="AC277" s="292" t="str">
        <f>VLOOKUP($B277,'Master Tracker'!$D:$T,16,false)</f>
        <v>Not Found</v>
      </c>
      <c r="AD277" s="292" t="str">
        <f>VLOOKUP($B277,'Master Tracker'!$D:$T,17,false)</f>
        <v>Not Found</v>
      </c>
      <c r="AE277" s="292" t="str">
        <f>VLOOKUP($B277,'Master Tracker'!$D:$V,19,false)</f>
        <v>Not Found</v>
      </c>
      <c r="AF277" s="292">
        <f>IFERROR(__xludf.DUMMYFUNCTION("IFERROR(
  INDEX(
    FILTER(
      'Juma Recording forms'!$G:$G,
      TRIM('Juma Recording forms'!$F:$F) = TRIM($B277),
      'Juma Recording forms'!$AA:$AA = 1
    ),
    1
  ),
  ""Not Found""
)"),100.0)</f>
        <v>100</v>
      </c>
      <c r="AG277" s="292">
        <f>IFERROR(__xludf.DUMMYFUNCTION("IFERROR(
  INDEX(
    FILTER(
      'Juma Recording forms'!$G:$G,
      TRIM('Juma Recording forms'!$F:$F) = TRIM($B277),
      'Juma Recording forms'!$AA:$AA = 2
    ),
    1
  ),
  ""Not Found""
)"),150.0)</f>
        <v>150</v>
      </c>
      <c r="AH277" s="292">
        <f>IFERROR(__xludf.DUMMYFUNCTION("IFERROR(
  INDEX(
    FILTER(
      'Juma Recording forms'!$G:$G,
      TRIM('Juma Recording forms'!$F:$F) = TRIM($B277),
      'Juma Recording forms'!$AA:$AA = 3
    ),
    1
  ),
  ""Not Found""
)"),100.0)</f>
        <v>100</v>
      </c>
      <c r="AI277" s="292" t="str">
        <f>IFERROR(__xludf.DUMMYFUNCTION("IFERROR(
  INDEX(
    FILTER(
      'Juma Recording forms'!$G:$G,
      TRIM('Juma Recording forms'!$F:$F) = TRIM($B277),
      'Juma Recording forms'!$AA:$AA = 4
    ),
    1
  ),
  ""Not Found""
)"),"Not Found")</f>
        <v>Not Found</v>
      </c>
      <c r="AJ277" s="292" t="str">
        <f>IFERROR(__xludf.DUMMYFUNCTION("IFERROR(
  INDEX(
    FILTER(
      'Juma Recording forms'!$G:$G,
      TRIM('Juma Recording forms'!$F:$F) = TRIM($B277),
      'Juma Recording forms'!$AA:$AA = 5
    ),
    1
  ),
  ""Not Found""
)"),"Not Found")</f>
        <v>Not Found</v>
      </c>
      <c r="AK277" s="292" t="str">
        <f>IFERROR(__xludf.DUMMYFUNCTION("IFERROR(
  INDEX(
    FILTER(
      'Juma Recording forms'!$G:$G,
      TRIM('Juma Recording forms'!$F:$F) = TRIM($B277),
      'Juma Recording forms'!$AA:$AA = 6
    ),
    1
  ),
  ""Not Found""
)"),"Not Found")</f>
        <v>Not Found</v>
      </c>
      <c r="AL2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1!$E:$E"")=$B277) *
        (IMPORTRANGE(""https://docs.google.com/spreadsheets/d/161aHT6vVT3SLneTKD19N5qVWtnj_jIT8CSsOmUVKmaA/e"&amp;"dit?gid=1761053510"",
          ""Haris_Form responses 1!$AQ:$AQ"")=1)
      ),
      1
    ),
    ""0""
  ),
  ""Form not found""
)
"),"10")</f>
        <v>10</v>
      </c>
      <c r="AM2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1!$E:$E"")=$B277) *
        (IMPORTRANGE(""https://docs.google.com/spreadsheets/d/161aHT6vVT3SLneTKD19N5qVWtnj_jIT8CSsOmUVKmaA/e"&amp;"dit?gid=1761053510"",
          ""Haris_Form responses 1!$AQ:$AQ"")=2)
      ),
      1
    ),
    ""0""
  ),
  ""Form not found""
)
"),"9")</f>
        <v>9</v>
      </c>
      <c r="AN2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1!$E:$E"")=$B277) *
        (IMPORTRANGE(""https://docs.google.com/spreadsheets/d/161aHT6vVT3SLneTKD19N5qVWtnj_jIT8CSsOmUVKmaA/e"&amp;"dit?gid=1761053510"",
          ""Haris_Form responses 1!$AQ:$AQ"")=3)
      ),
      1
    ),
    ""0""
  ),
  ""Form not found""
)
"),"0")</f>
        <v>0</v>
      </c>
      <c r="AO2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1!$E:$E"")=$B277) *
        (IMPORTRANGE(""https://docs.google.com/spreadsheets/d/161aHT6vVT3SLneTKD19N5qVWtnj_jIT8CSsOmUVKmaA/e"&amp;"dit?gid=1761053510"",
          ""Haris_Form responses 1!$AQ:$AQ"")=4)
      ),
      1
    ),
    ""0""
  ),
  ""Form not found""
)
"),"Form not found")</f>
        <v>Form not found</v>
      </c>
      <c r="AP2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1!$E:$E"")=$B277) *
        (IMPORTRANGE(""https://docs.google.com/spreadsheets/d/161aHT6vVT3SLneTKD19N5qVWtnj_jIT8CSsOmUVKmaA/e"&amp;"dit?gid=1761053510"",
          ""Haris_Form responses 1!$AQ:$AQ"")=5)
      ),
      1
    ),
    ""0""
  ),
  ""Form not found""
)
"),"Form not found")</f>
        <v>Form not found</v>
      </c>
      <c r="AQ27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1!$E:$E"")=$B277) *
        (IMPORTRANGE(""https://docs.google.com/spreadsheets/d/161aHT6vVT3SLneTKD19N5qVWtnj_jIT8CSsOmUVKmaA/e"&amp;"dit?gid=1761053510"",
          ""Haris_Form responses 1!$AQ:$AQ"")=6)
      ),
      1
    ),
    ""0""
  ),
  ""Form not found""
)
"),"Form not found")</f>
        <v>Form not found</v>
      </c>
      <c r="AR2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1!$E:$E"")=$B277) *
        (IMPORTRANGE(""https://docs.google.com/spreadsheets/d/161aHT6vVT3SLneTKD19N5qVWtnj_jIT8CSsOmUVKmaA/e"&amp;"dit?gid=1761053510"",
          ""Haris_Form responses 1!$AQ:$AQ"")=1)
      ),
      1
    ),
    ""0""
  ),
  ""Form not found""
)
"),"10")</f>
        <v>10</v>
      </c>
      <c r="AS2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1!$E:$E"")=$B277) *
        (IMPORTRANGE(""https://docs.google.com/spreadsheets/d/161aHT6vVT3SLneTKD19N5qVWtnj_jIT8CSsOmUVKmaA/e"&amp;"dit?gid=1761053510"",
          ""Haris_Form responses 1!$AQ:$AQ"")=2)
      ),
      1
    ),
    ""0""
  ),
  ""Form not found""
)
"),"9")</f>
        <v>9</v>
      </c>
      <c r="AT2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1!$E:$E"")=$B277) *
        (IMPORTRANGE(""https://docs.google.com/spreadsheets/d/161aHT6vVT3SLneTKD19N5qVWtnj_jIT8CSsOmUVKmaA/e"&amp;"dit?gid=1761053510"",
          ""Haris_Form responses 1!$AQ:$AQ"")=3)
      ),
      1
    ),
    ""0""
  ),
  ""Form not found""
)
"),"0")</f>
        <v>0</v>
      </c>
      <c r="AU2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1!$E:$E"")=$B277) *
        (IMPORTRANGE(""https://docs.google.com/spreadsheets/d/161aHT6vVT3SLneTKD19N5qVWtnj_jIT8CSsOmUVKmaA/e"&amp;"dit?gid=1761053510"",
          ""Haris_Form responses 1!$AQ:$AQ"")=4)
      ),
      1
    ),
    ""0""
  ),
  ""Form not found""
)
"),"Form not found")</f>
        <v>Form not found</v>
      </c>
      <c r="AV2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1!$E:$E"")=$B277) *
        (IMPORTRANGE(""https://docs.google.com/spreadsheets/d/161aHT6vVT3SLneTKD19N5qVWtnj_jIT8CSsOmUVKmaA/e"&amp;"dit?gid=1761053510"",
          ""Haris_Form responses 1!$AQ:$AQ"")=5)
      ),
      1
    ),
    ""0""
  ),
  ""Form not found""
)
"),"Form not found")</f>
        <v>Form not found</v>
      </c>
      <c r="AW27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1!$E:$E"")=$B277) *
        (IMPORTRANGE(""https://docs.google.com/spreadsheets/d/161aHT6vVT3SLneTKD19N5qVWtnj_jIT8CSsOmUVKmaA/e"&amp;"dit?gid=1761053510"",
          ""Haris_Form responses 1!$AQ:$AQ"")=6)
      ),
      1
    ),
    ""0""
  ),
  ""Form not found""
)
"),"Form not found")</f>
        <v>Form not found</v>
      </c>
      <c r="AX2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1!$E:$E"")=$B277) *
        (IMPORTRANGE(""https://docs.google.com/spreadsheets/d/161aHT6vVT3SLneTKD19N5qVWtnj_jIT8CSsOmUVKmaA/e"&amp;"dit?gid=1761053510"",
          ""Haris_Form responses 1!$AQ:$AQ"")=1)
      ),
      1
    ),
    ""0""
  ),
  ""Form not found""
)
"),"0")</f>
        <v>0</v>
      </c>
      <c r="AY2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1!$E:$E"")=$B277) *
        (IMPORTRANGE(""https://docs.google.com/spreadsheets/d/161aHT6vVT3SLneTKD19N5qVWtnj_jIT8CSsOmUVKmaA/e"&amp;"dit?gid=1761053510"",
          ""Haris_Form responses 1!$AQ:$AQ"")=2)
      ),
      1
    ),
    ""0""
  ),
  ""Form not found""
)
"),"0")</f>
        <v>0</v>
      </c>
      <c r="AZ2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1!$E:$E"")=$B277) *
        (IMPORTRANGE(""https://docs.google.com/spreadsheets/d/161aHT6vVT3SLneTKD19N5qVWtnj_jIT8CSsOmUVKmaA/e"&amp;"dit?gid=1761053510"",
          ""Haris_Form responses 1!$AQ:$AQ"")=3)
      ),
      1
    ),
    ""0""
  ),
  ""Form not found""
)
"),"0")</f>
        <v>0</v>
      </c>
      <c r="BA2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1!$E:$E"")=$B277) *
        (IMPORTRANGE(""https://docs.google.com/spreadsheets/d/161aHT6vVT3SLneTKD19N5qVWtnj_jIT8CSsOmUVKmaA/e"&amp;"dit?gid=1761053510"",
          ""Haris_Form responses 1!$AQ:$AQ"")=4)
      ),
      1
    ),
    ""0""
  ),
  ""Form not found""
)
"),"Form not found")</f>
        <v>Form not found</v>
      </c>
      <c r="BB2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1!$E:$E"")=$B277) *
        (IMPORTRANGE(""https://docs.google.com/spreadsheets/d/161aHT6vVT3SLneTKD19N5qVWtnj_jIT8CSsOmUVKmaA/e"&amp;"dit?gid=1761053510"",
          ""Haris_Form responses 1!$AQ:$AQ"")=5)
      ),
      1
    ),
    ""0""
  ),
  ""Form not found""
)
"),"Form not found")</f>
        <v>Form not found</v>
      </c>
      <c r="BC27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1!$E:$E"")=$B277) *
        (IMPORTRANGE(""https://docs.google.com/spreadsheets/d/161aHT6vVT3SLneTKD19N5qVWtnj_jIT8CSsOmUVKmaA/e"&amp;"dit?gid=1761053510"",
          ""Haris_Form responses 1!$AQ:$AQ"")=6)
      ),
      1
    ),
    ""0""
  ),
  ""Form not found""
)
"),"Form not found")</f>
        <v>Form not found</v>
      </c>
      <c r="BD277" s="293"/>
    </row>
    <row r="278">
      <c r="A278" s="283" t="str">
        <f>IFERROR(__xludf.DUMMYFUNCTION("VLOOKUP($B278,IMPORTRANGE(""https://docs.google.com/spreadsheets/d/1VNXDITjs75AcgdBSW27oL1VZH31udDprJSsBcE5xlp4/edit?gid=1551188038#gid=1551188038"", ""Sheet9!$B:$E""),2,false)"),"Pakpattan")</f>
        <v>Pakpattan</v>
      </c>
      <c r="B278" s="283" t="s">
        <v>4685</v>
      </c>
      <c r="C278" s="284" t="str">
        <f>IFERROR(__xludf.DUMMYFUNCTION("VLOOKUP(TRIM($B278), IMPORTRANGE(""https://docs.google.com/spreadsheets/d/1aSOrU4PTpuBZqfitKaH1Rfww6-YOiNCKoBpPl8XBHaw/edit?gid=0#gid=0"", ""sheet3!$B:$C""), 2, FALSE)
"),"Jamia Masjid Darbar Baba Fareed Ul Din Pakpattan")</f>
        <v>Jamia Masjid Darbar Baba Fareed Ul Din Pakpattan</v>
      </c>
      <c r="D278" s="284" t="str">
        <f>IFERROR(__xludf.DUMMYFUNCTION("IFERROR(
  INDEX(
    FILTER(
      IMPORTRANGE(""1aSOrU4PTpuBZqfitKaH1Rfww6-YOiNCKoBpPl8XBHaw/edit?gid=0#gid=0"",""Sheet1!G:G""),
      IMPORTRANGE(""1aSOrU4PTpuBZqfitKaH1Rfww6-YOiNCKoBpPl8XBHaw/edit?gid=0#gid=0"",""Sheet1!C:C"")=$B278
    ),
    1
  ),
"&amp;"  ""Not Found""
)"),"Women Religious Info Share")</f>
        <v>Women Religious Info Share</v>
      </c>
      <c r="E278" s="284" t="str">
        <f>VLOOKUP(B278,'Juma Recording forms'!A:E,5,false)</f>
        <v>Jamia Masjid Hazrat baba Farid ud din gunj shakar</v>
      </c>
      <c r="F278" s="284" t="str">
        <f>IFERROR(__xludf.DUMMYFUNCTION("IFERROR(
  INDEX(
    FILTER(
      IMPORTRANGE(""1Cxrhp3-_-HS7v9uuqQliiIfrmMP4VaFoDNDWyUFy2J8/edit?gid=0#gid=0"",""Sheet1!Q:Q""),
      IMPORTRANGE(""1Cxrhp3-_-HS7v9uuqQliiIfrmMP4VaFoDNDWyUFy2J8/edit?gid=0#gid=0"",""Sheet1!K:K"")=$B278
    ),
    1
  ),
"&amp;"  ""Not Found""
)"),"Not Found")</f>
        <v>Not Found</v>
      </c>
      <c r="G278" s="292">
        <v>1960.0</v>
      </c>
      <c r="H278" s="284"/>
      <c r="I278" s="285" t="s">
        <v>401</v>
      </c>
      <c r="J278" s="286">
        <v>2.0</v>
      </c>
      <c r="K278" s="287" t="str">
        <f>VLOOKUP($B278,'Mosque Locations'!$A:$E,3,FALSE)
</f>
        <v>https://maps.google.com/maps?q=30.3409177%2C73.387068&amp;z=17&amp;hl=en</v>
      </c>
      <c r="L278" s="286">
        <f>VLOOKUP($B278,'Mosque Locations'!$A:$E,4,FALSE)
</f>
        <v>30.34092</v>
      </c>
      <c r="M278" s="286">
        <f>VLOOKUP($B278,'Mosque Locations'!$A:$E,5,false)</f>
        <v>73.38707</v>
      </c>
      <c r="N278" s="288"/>
      <c r="O278" s="288"/>
      <c r="P278" s="288"/>
      <c r="Q278" s="290" t="str">
        <f>IFERROR(__xludf.DUMMYFUNCTION("IFERROR(
  INDEX(
    FILTER(
      IMPORTRANGE(""1kOrIKZmJfNUkgOVP3sI9BPjaaPA0_a4636oymQxTXg8"",""Form Responses 1!N:N""),
      TRIM(IMPORTRANGE(""1kOrIKZmJfNUkgOVP3sI9BPjaaPA0_a4636oymQxTXg8"",""Form Responses 1!F:F""))=TRIM($B278)
    ),
    1
  ),
  "&amp;"""Not Found""
)
"),"https://drive.google.com/open?id=1fdoBsfZBrt0cx79yK6gVk89fr1IBTwoU")</f>
        <v>https://drive.google.com/open?id=1fdoBsfZBrt0cx79yK6gVk89fr1IBTwoU</v>
      </c>
      <c r="R278" s="289" t="str">
        <f>IFERROR(__xludf.DUMMYFUNCTION("IFERROR(
  INDEX(
    FILTER(
      IMPORTRANGE(""1kOrIKZmJfNUkgOVP3sI9BPjaaPA0_a4636oymQxTXg8"",""Form Responses 1!M:M""),
      TRIM(IMPORTRANGE(""1kOrIKZmJfNUkgOVP3sI9BPjaaPA0_a4636oymQxTXg8"",""Form Responses 1!F:F""))=TRIM($B278)
    ),
    1
  ),
  "&amp;"""Not Found""
)
"),"https://drive.google.com/open?id=1v-iRv7RqEGGc8KQmznavZ3WBVcAfBaU4")</f>
        <v>https://drive.google.com/open?id=1v-iRv7RqEGGc8KQmznavZ3WBVcAfBaU4</v>
      </c>
      <c r="S278" s="283" t="s">
        <v>4894</v>
      </c>
      <c r="T278" s="290" t="str">
        <f>VLOOKUP($B278,'Master Tracker'!D:E,2,false)</f>
        <v>https://drive.google.com/open?id=1FJk0My7GeH9f_5JsuUj6TJp-ZD-JXNnT</v>
      </c>
      <c r="U278" s="291" t="str">
        <f>VLOOKUP($B278,'Master Tracker'!$D:$T,4,FALSE)
</f>
        <v>https://drive.google.com/open?id=1lornE2yswJhuLP2B4wK8Vq1ZAgmJghSv</v>
      </c>
      <c r="V278" s="290" t="str">
        <f>VLOOKUP($B278,'Master Tracker'!$D:$T,5,false)</f>
        <v>https://drive.google.com/open?id=1FynWDazRSqFfzejdlSyePThfKeXVmkNI</v>
      </c>
      <c r="W278" s="291" t="str">
        <f>VLOOKUP($B278,'Master Tracker'!$D:$T,7,false)</f>
        <v>https://drive.google.com/open?id=16jvJL1vHVaTZfdy8vYIjT0OlxWjd9Miv</v>
      </c>
      <c r="X278" s="290" t="str">
        <f>VLOOKUP($B278,'Master Tracker'!$D:$T,8,false)</f>
        <v>https://drive.google.com/open?id=1hn-T7UgMCQb7DBSVSekJ070Wy4dvnNkQ</v>
      </c>
      <c r="Y278" s="291" t="str">
        <f>VLOOKUP($B278,'Master Tracker'!$D:$T,10,false)</f>
        <v>https://drive.google.com/open?id=1fJdHFEIjPkH-zqrOOelM5mhv5oT5aWuR</v>
      </c>
      <c r="Z278" s="284" t="str">
        <f>VLOOKUP($B278,'Master Tracker'!$D:$T,11,false)</f>
        <v>Not Found</v>
      </c>
      <c r="AA278" s="292" t="str">
        <f>VLOOKUP($B278,'Master Tracker'!$D:$T,13,false)</f>
        <v>Not Found</v>
      </c>
      <c r="AB278" s="284" t="str">
        <f>VLOOKUP($B278,'Master Tracker'!$D:$T,14,false)</f>
        <v>Not Found</v>
      </c>
      <c r="AC278" s="292" t="str">
        <f>VLOOKUP($B278,'Master Tracker'!$D:$T,16,false)</f>
        <v>Not Found</v>
      </c>
      <c r="AD278" s="292" t="str">
        <f>VLOOKUP($B278,'Master Tracker'!$D:$T,17,false)</f>
        <v>Not Found</v>
      </c>
      <c r="AE278" s="292" t="str">
        <f>VLOOKUP($B278,'Master Tracker'!$D:$V,19,false)</f>
        <v>Not Found</v>
      </c>
      <c r="AF278" s="292">
        <f>IFERROR(__xludf.DUMMYFUNCTION("IFERROR(
  INDEX(
    FILTER(
      'Juma Recording forms'!$G:$G,
      TRIM('Juma Recording forms'!$F:$F) = TRIM($B278),
      'Juma Recording forms'!$AA:$AA = 1
    ),
    1
  ),
  ""Not Found""
)"),3500.0)</f>
        <v>3500</v>
      </c>
      <c r="AG278" s="292">
        <f>IFERROR(__xludf.DUMMYFUNCTION("IFERROR(
  INDEX(
    FILTER(
      'Juma Recording forms'!$G:$G,
      TRIM('Juma Recording forms'!$F:$F) = TRIM($B278),
      'Juma Recording forms'!$AA:$AA = 2
    ),
    1
  ),
  ""Not Found""
)"),4500.0)</f>
        <v>4500</v>
      </c>
      <c r="AH278" s="292">
        <f>IFERROR(__xludf.DUMMYFUNCTION("IFERROR(
  INDEX(
    FILTER(
      'Juma Recording forms'!$G:$G,
      TRIM('Juma Recording forms'!$F:$F) = TRIM($B278),
      'Juma Recording forms'!$AA:$AA = 3
    ),
    1
  ),
  ""Not Found""
)"),5500.0)</f>
        <v>5500</v>
      </c>
      <c r="AI278" s="292" t="str">
        <f>IFERROR(__xludf.DUMMYFUNCTION("IFERROR(
  INDEX(
    FILTER(
      'Juma Recording forms'!$G:$G,
      TRIM('Juma Recording forms'!$F:$F) = TRIM($B278),
      'Juma Recording forms'!$AA:$AA = 4
    ),
    1
  ),
  ""Not Found""
)"),"Not Found")</f>
        <v>Not Found</v>
      </c>
      <c r="AJ278" s="292" t="str">
        <f>IFERROR(__xludf.DUMMYFUNCTION("IFERROR(
  INDEX(
    FILTER(
      'Juma Recording forms'!$G:$G,
      TRIM('Juma Recording forms'!$F:$F) = TRIM($B278),
      'Juma Recording forms'!$AA:$AA = 5
    ),
    1
  ),
  ""Not Found""
)"),"Not Found")</f>
        <v>Not Found</v>
      </c>
      <c r="AK278" s="292" t="str">
        <f>IFERROR(__xludf.DUMMYFUNCTION("IFERROR(
  INDEX(
    FILTER(
      'Juma Recording forms'!$G:$G,
      TRIM('Juma Recording forms'!$F:$F) = TRIM($B278),
      'Juma Recording forms'!$AA:$AA = 6
    ),
    1
  ),
  ""Not Found""
)"),"Not Found")</f>
        <v>Not Found</v>
      </c>
      <c r="AL2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1!$E:$E"")=$B278) *
        (IMPORTRANGE(""https://docs.google.com/spreadsheets/d/161aHT6vVT3SLneTKD19N5qVWtnj_jIT8CSsOmUVKmaA/e"&amp;"dit?gid=1761053510"",
          ""Haris_Form responses 1!$AQ:$AQ"")=1)
      ),
      1
    ),
    ""0""
  ),
  ""Form not found""
)
"),"3")</f>
        <v>3</v>
      </c>
      <c r="AM2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1!$E:$E"")=$B278) *
        (IMPORTRANGE(""https://docs.google.com/spreadsheets/d/161aHT6vVT3SLneTKD19N5qVWtnj_jIT8CSsOmUVKmaA/e"&amp;"dit?gid=1761053510"",
          ""Haris_Form responses 1!$AQ:$AQ"")=2)
      ),
      1
    ),
    ""0""
  ),
  ""Form not found""
)
"),"7")</f>
        <v>7</v>
      </c>
      <c r="AN2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1!$E:$E"")=$B278) *
        (IMPORTRANGE(""https://docs.google.com/spreadsheets/d/161aHT6vVT3SLneTKD19N5qVWtnj_jIT8CSsOmUVKmaA/e"&amp;"dit?gid=1761053510"",
          ""Haris_Form responses 1!$AQ:$AQ"")=3)
      ),
      1
    ),
    ""0""
  ),
  ""Form not found""
)
"),"0")</f>
        <v>0</v>
      </c>
      <c r="AO2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1!$E:$E"")=$B278) *
        (IMPORTRANGE(""https://docs.google.com/spreadsheets/d/161aHT6vVT3SLneTKD19N5qVWtnj_jIT8CSsOmUVKmaA/e"&amp;"dit?gid=1761053510"",
          ""Haris_Form responses 1!$AQ:$AQ"")=4)
      ),
      1
    ),
    ""0""
  ),
  ""Form not found""
)
"),"Form not found")</f>
        <v>Form not found</v>
      </c>
      <c r="AP2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1!$E:$E"")=$B278) *
        (IMPORTRANGE(""https://docs.google.com/spreadsheets/d/161aHT6vVT3SLneTKD19N5qVWtnj_jIT8CSsOmUVKmaA/e"&amp;"dit?gid=1761053510"",
          ""Haris_Form responses 1!$AQ:$AQ"")=5)
      ),
      1
    ),
    ""0""
  ),
  ""Form not found""
)
"),"Form not found")</f>
        <v>Form not found</v>
      </c>
      <c r="AQ27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1!$E:$E"")=$B278) *
        (IMPORTRANGE(""https://docs.google.com/spreadsheets/d/161aHT6vVT3SLneTKD19N5qVWtnj_jIT8CSsOmUVKmaA/e"&amp;"dit?gid=1761053510"",
          ""Haris_Form responses 1!$AQ:$AQ"")=6)
      ),
      1
    ),
    ""0""
  ),
  ""Form not found""
)
"),"Form not found")</f>
        <v>Form not found</v>
      </c>
      <c r="AR2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1!$E:$E"")=$B278) *
        (IMPORTRANGE(""https://docs.google.com/spreadsheets/d/161aHT6vVT3SLneTKD19N5qVWtnj_jIT8CSsOmUVKmaA/e"&amp;"dit?gid=1761053510"",
          ""Haris_Form responses 1!$AQ:$AQ"")=1)
      ),
      1
    ),
    ""0""
  ),
  ""Form not found""
)
"),"0")</f>
        <v>0</v>
      </c>
      <c r="AS2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1!$E:$E"")=$B278) *
        (IMPORTRANGE(""https://docs.google.com/spreadsheets/d/161aHT6vVT3SLneTKD19N5qVWtnj_jIT8CSsOmUVKmaA/e"&amp;"dit?gid=1761053510"",
          ""Haris_Form responses 1!$AQ:$AQ"")=2)
      ),
      1
    ),
    ""0""
  ),
  ""Form not found""
)
"),"0")</f>
        <v>0</v>
      </c>
      <c r="AT2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1!$E:$E"")=$B278) *
        (IMPORTRANGE(""https://docs.google.com/spreadsheets/d/161aHT6vVT3SLneTKD19N5qVWtnj_jIT8CSsOmUVKmaA/e"&amp;"dit?gid=1761053510"",
          ""Haris_Form responses 1!$AQ:$AQ"")=3)
      ),
      1
    ),
    ""0""
  ),
  ""Form not found""
)
"),"0")</f>
        <v>0</v>
      </c>
      <c r="AU2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1!$E:$E"")=$B278) *
        (IMPORTRANGE(""https://docs.google.com/spreadsheets/d/161aHT6vVT3SLneTKD19N5qVWtnj_jIT8CSsOmUVKmaA/e"&amp;"dit?gid=1761053510"",
          ""Haris_Form responses 1!$AQ:$AQ"")=4)
      ),
      1
    ),
    ""0""
  ),
  ""Form not found""
)
"),"Form not found")</f>
        <v>Form not found</v>
      </c>
      <c r="AV2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1!$E:$E"")=$B278) *
        (IMPORTRANGE(""https://docs.google.com/spreadsheets/d/161aHT6vVT3SLneTKD19N5qVWtnj_jIT8CSsOmUVKmaA/e"&amp;"dit?gid=1761053510"",
          ""Haris_Form responses 1!$AQ:$AQ"")=5)
      ),
      1
    ),
    ""0""
  ),
  ""Form not found""
)
"),"Form not found")</f>
        <v>Form not found</v>
      </c>
      <c r="AW27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1!$E:$E"")=$B278) *
        (IMPORTRANGE(""https://docs.google.com/spreadsheets/d/161aHT6vVT3SLneTKD19N5qVWtnj_jIT8CSsOmUVKmaA/e"&amp;"dit?gid=1761053510"",
          ""Haris_Form responses 1!$AQ:$AQ"")=6)
      ),
      1
    ),
    ""0""
  ),
  ""Form not found""
)
"),"Form not found")</f>
        <v>Form not found</v>
      </c>
      <c r="AX2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1!$E:$E"")=$B278) *
        (IMPORTRANGE(""https://docs.google.com/spreadsheets/d/161aHT6vVT3SLneTKD19N5qVWtnj_jIT8CSsOmUVKmaA/e"&amp;"dit?gid=1761053510"",
          ""Haris_Form responses 1!$AQ:$AQ"")=1)
      ),
      1
    ),
    ""0""
  ),
  ""Form not found""
)
"),"3")</f>
        <v>3</v>
      </c>
      <c r="AY2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1!$E:$E"")=$B278) *
        (IMPORTRANGE(""https://docs.google.com/spreadsheets/d/161aHT6vVT3SLneTKD19N5qVWtnj_jIT8CSsOmUVKmaA/e"&amp;"dit?gid=1761053510"",
          ""Haris_Form responses 1!$AQ:$AQ"")=2)
      ),
      1
    ),
    ""0""
  ),
  ""Form not found""
)
"),"7")</f>
        <v>7</v>
      </c>
      <c r="AZ2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1!$E:$E"")=$B278) *
        (IMPORTRANGE(""https://docs.google.com/spreadsheets/d/161aHT6vVT3SLneTKD19N5qVWtnj_jIT8CSsOmUVKmaA/e"&amp;"dit?gid=1761053510"",
          ""Haris_Form responses 1!$AQ:$AQ"")=3)
      ),
      1
    ),
    ""0""
  ),
  ""Form not found""
)
"),"0")</f>
        <v>0</v>
      </c>
      <c r="BA2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1!$E:$E"")=$B278) *
        (IMPORTRANGE(""https://docs.google.com/spreadsheets/d/161aHT6vVT3SLneTKD19N5qVWtnj_jIT8CSsOmUVKmaA/e"&amp;"dit?gid=1761053510"",
          ""Haris_Form responses 1!$AQ:$AQ"")=4)
      ),
      1
    ),
    ""0""
  ),
  ""Form not found""
)
"),"Form not found")</f>
        <v>Form not found</v>
      </c>
      <c r="BB2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1!$E:$E"")=$B278) *
        (IMPORTRANGE(""https://docs.google.com/spreadsheets/d/161aHT6vVT3SLneTKD19N5qVWtnj_jIT8CSsOmUVKmaA/e"&amp;"dit?gid=1761053510"",
          ""Haris_Form responses 1!$AQ:$AQ"")=5)
      ),
      1
    ),
    ""0""
  ),
  ""Form not found""
)
"),"Form not found")</f>
        <v>Form not found</v>
      </c>
      <c r="BC27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1!$E:$E"")=$B278) *
        (IMPORTRANGE(""https://docs.google.com/spreadsheets/d/161aHT6vVT3SLneTKD19N5qVWtnj_jIT8CSsOmUVKmaA/e"&amp;"dit?gid=1761053510"",
          ""Haris_Form responses 1!$AQ:$AQ"")=6)
      ),
      1
    ),
    ""0""
  ),
  ""Form not found""
)
"),"Form not found")</f>
        <v>Form not found</v>
      </c>
      <c r="BD278" s="293"/>
    </row>
    <row r="279">
      <c r="A279" s="283" t="str">
        <f>IFERROR(__xludf.DUMMYFUNCTION("VLOOKUP($B279,IMPORTRANGE(""https://docs.google.com/spreadsheets/d/1VNXDITjs75AcgdBSW27oL1VZH31udDprJSsBcE5xlp4/edit?gid=1551188038#gid=1551188038"", ""Sheet9!$B:$E""),2,false)"),"Rawalpindi")</f>
        <v>Rawalpindi</v>
      </c>
      <c r="B279" s="283" t="s">
        <v>4305</v>
      </c>
      <c r="C279" s="284" t="str">
        <f>IFERROR(__xludf.DUMMYFUNCTION("VLOOKUP(TRIM($B279), IMPORTRANGE(""https://docs.google.com/spreadsheets/d/1aSOrU4PTpuBZqfitKaH1Rfww6-YOiNCKoBpPl8XBHaw/edit?gid=0#gid=0"", ""sheet3!$B:$C""), 2, FALSE)
"),"Jamia Masjid Darbar Peer Abdul Ghani Rawalpindi")</f>
        <v>Jamia Masjid Darbar Peer Abdul Ghani Rawalpindi</v>
      </c>
      <c r="D279" s="284" t="str">
        <f>IFERROR(__xludf.DUMMYFUNCTION("IFERROR(
  INDEX(
    FILTER(
      IMPORTRANGE(""1aSOrU4PTpuBZqfitKaH1Rfww6-YOiNCKoBpPl8XBHaw/edit?gid=0#gid=0"",""Sheet1!G:G""),
      IMPORTRANGE(""1aSOrU4PTpuBZqfitKaH1Rfww6-YOiNCKoBpPl8XBHaw/edit?gid=0#gid=0"",""Sheet1!C:C"")=$B279
    ),
    1
  ),
"&amp;"  ""Not Found""
)"),"Women Secular Info Share")</f>
        <v>Women Secular Info Share</v>
      </c>
      <c r="E279" s="284" t="str">
        <f>VLOOKUP(B279,'Juma Recording forms'!A:E,5,false)</f>
        <v>opiuv	Jamia Masjid Darbar Peer Abdul Ghani op	</v>
      </c>
      <c r="F279" s="284" t="str">
        <f>IFERROR(__xludf.DUMMYFUNCTION("IFERROR(
  INDEX(
    FILTER(
      IMPORTRANGE(""1Cxrhp3-_-HS7v9uuqQliiIfrmMP4VaFoDNDWyUFy2J8/edit?gid=0#gid=0"",""Sheet1!Q:Q""),
      IMPORTRANGE(""1Cxrhp3-_-HS7v9uuqQliiIfrmMP4VaFoDNDWyUFy2J8/edit?gid=0#gid=0"",""Sheet1!K:K"")=$B279
    ),
    1
  ),
"&amp;"  ""Not Found""
)"),"moulana azizul hassan shah")</f>
        <v>moulana azizul hassan shah</v>
      </c>
      <c r="G279" s="292">
        <v>1925.0</v>
      </c>
      <c r="H279" s="284" t="s">
        <v>4895</v>
      </c>
      <c r="I279" s="285" t="s">
        <v>197</v>
      </c>
      <c r="J279" s="286">
        <v>2.0</v>
      </c>
      <c r="K279" s="287" t="str">
        <f>VLOOKUP($B279,'Mosque Locations'!$A:$E,3,FALSE)
</f>
        <v>https://maps.google.com/maps?q=33.5778038%2C73.0882561&amp;z=17&amp;hl=en</v>
      </c>
      <c r="L279" s="286">
        <f>VLOOKUP($B279,'Mosque Locations'!$A:$E,4,FALSE)
</f>
        <v>33.5778038</v>
      </c>
      <c r="M279" s="286">
        <f>VLOOKUP($B279,'Mosque Locations'!$A:$E,5,false)</f>
        <v>73.0882561</v>
      </c>
      <c r="N279" s="288"/>
      <c r="O279" s="288"/>
      <c r="P279" s="288"/>
      <c r="Q279" s="290" t="str">
        <f>IFERROR(__xludf.DUMMYFUNCTION("IFERROR(
  INDEX(
    FILTER(
      IMPORTRANGE(""1kOrIKZmJfNUkgOVP3sI9BPjaaPA0_a4636oymQxTXg8"",""Form Responses 1!N:N""),
      TRIM(IMPORTRANGE(""1kOrIKZmJfNUkgOVP3sI9BPjaaPA0_a4636oymQxTXg8"",""Form Responses 1!F:F""))=TRIM($B279)
    ),
    1
  ),
  "&amp;"""Not Found""
)
"),"https://drive.google.com/open?id=1E0BuKu6EJp3iOiNuPFyNPugxA8ET7-t8")</f>
        <v>https://drive.google.com/open?id=1E0BuKu6EJp3iOiNuPFyNPugxA8ET7-t8</v>
      </c>
      <c r="R279" s="290" t="str">
        <f>IFERROR(__xludf.DUMMYFUNCTION("IFERROR(
  INDEX(
    FILTER(
      IMPORTRANGE(""1kOrIKZmJfNUkgOVP3sI9BPjaaPA0_a4636oymQxTXg8"",""Form Responses 1!M:M""),
      TRIM(IMPORTRANGE(""1kOrIKZmJfNUkgOVP3sI9BPjaaPA0_a4636oymQxTXg8"",""Form Responses 1!F:F""))=TRIM($B279)
    ),
    1
  ),
  "&amp;"""Not Found""
)
"),"https://drive.google.com/open?id=1lnoCxhy8OydQ1y9yrIyXXNYR0jgauj1l")</f>
        <v>https://drive.google.com/open?id=1lnoCxhy8OydQ1y9yrIyXXNYR0jgauj1l</v>
      </c>
      <c r="S279" s="285"/>
      <c r="T279" s="290" t="str">
        <f>VLOOKUP($B279,'Master Tracker'!D:E,2,false)</f>
        <v>https://drive.google.com/open?id=1nXW-JLuepYUsud5NTO7cmQJaCL62_IKJ</v>
      </c>
      <c r="U279" s="291" t="str">
        <f>VLOOKUP($B279,'Master Tracker'!$D:$T,4,FALSE)
</f>
        <v>https://drive.google.com/open?id=1E-osumwsnlY5kU12r1QA3n4uckGq92eHRWH3O3oJrZc</v>
      </c>
      <c r="V279" s="290" t="str">
        <f>VLOOKUP($B279,'Master Tracker'!$D:$T,5,false)</f>
        <v>https://drive.google.com/open?id=1bIvUW8bIlFzGEGl06gL5bivx4eLLqnj7</v>
      </c>
      <c r="W279" s="291" t="str">
        <f>VLOOKUP($B279,'Master Tracker'!$D:$T,7,false)</f>
        <v>https://drive.google.com/open?id=1jEea5eObqc3VBTLLGQVyDSGE9L7cHchz</v>
      </c>
      <c r="X279" s="290" t="str">
        <f>VLOOKUP($B279,'Master Tracker'!$D:$T,8,false)</f>
        <v>https://drive.google.com/open?id=1YMV8hyCWrFbWcKHOn82SmALkGmSjFIG6</v>
      </c>
      <c r="Y279" s="291" t="str">
        <f>VLOOKUP($B279,'Master Tracker'!$D:$T,10,false)</f>
        <v>https://drive.google.com/open?id=1c8UVqdTUU6qPNwS8L2mEs2gpg-CPJwvO</v>
      </c>
      <c r="Z279" s="284" t="str">
        <f>VLOOKUP($B279,'Master Tracker'!$D:$T,11,false)</f>
        <v>Not Found</v>
      </c>
      <c r="AA279" s="292" t="str">
        <f>VLOOKUP($B279,'Master Tracker'!$D:$T,13,false)</f>
        <v>Not Found</v>
      </c>
      <c r="AB279" s="284" t="str">
        <f>VLOOKUP($B279,'Master Tracker'!$D:$T,14,false)</f>
        <v>Not Found</v>
      </c>
      <c r="AC279" s="292" t="str">
        <f>VLOOKUP($B279,'Master Tracker'!$D:$T,16,false)</f>
        <v>Not Found</v>
      </c>
      <c r="AD279" s="292" t="str">
        <f>VLOOKUP($B279,'Master Tracker'!$D:$T,17,false)</f>
        <v>Not Found</v>
      </c>
      <c r="AE279" s="292" t="str">
        <f>VLOOKUP($B279,'Master Tracker'!$D:$V,19,false)</f>
        <v>Not Found</v>
      </c>
      <c r="AF279" s="292">
        <f>IFERROR(__xludf.DUMMYFUNCTION("IFERROR(
  INDEX(
    FILTER(
      'Juma Recording forms'!$G:$G,
      TRIM('Juma Recording forms'!$F:$F) = TRIM($B279),
      'Juma Recording forms'!$AA:$AA = 1
    ),
    1
  ),
  ""Not Found""
)"),290.0)</f>
        <v>290</v>
      </c>
      <c r="AG279" s="292">
        <f>IFERROR(__xludf.DUMMYFUNCTION("IFERROR(
  INDEX(
    FILTER(
      'Juma Recording forms'!$G:$G,
      TRIM('Juma Recording forms'!$F:$F) = TRIM($B279),
      'Juma Recording forms'!$AA:$AA = 2
    ),
    1
  ),
  ""Not Found""
)"),290.0)</f>
        <v>290</v>
      </c>
      <c r="AH279" s="292" t="str">
        <f>IFERROR(__xludf.DUMMYFUNCTION("IFERROR(
  INDEX(
    FILTER(
      'Juma Recording forms'!$G:$G,
      TRIM('Juma Recording forms'!$F:$F) = TRIM($B279),
      'Juma Recording forms'!$AA:$AA = 3
    ),
    1
  ),
  ""Not Found""
)"),"Not Found")</f>
        <v>Not Found</v>
      </c>
      <c r="AI279" s="292" t="str">
        <f>IFERROR(__xludf.DUMMYFUNCTION("IFERROR(
  INDEX(
    FILTER(
      'Juma Recording forms'!$G:$G,
      TRIM('Juma Recording forms'!$F:$F) = TRIM($B279),
      'Juma Recording forms'!$AA:$AA = 4
    ),
    1
  ),
  ""Not Found""
)"),"Not Found")</f>
        <v>Not Found</v>
      </c>
      <c r="AJ279" s="292" t="str">
        <f>IFERROR(__xludf.DUMMYFUNCTION("IFERROR(
  INDEX(
    FILTER(
      'Juma Recording forms'!$G:$G,
      TRIM('Juma Recording forms'!$F:$F) = TRIM($B279),
      'Juma Recording forms'!$AA:$AA = 5
    ),
    1
  ),
  ""Not Found""
)"),"Not Found")</f>
        <v>Not Found</v>
      </c>
      <c r="AK279" s="292" t="str">
        <f>IFERROR(__xludf.DUMMYFUNCTION("IFERROR(
  INDEX(
    FILTER(
      'Juma Recording forms'!$G:$G,
      TRIM('Juma Recording forms'!$F:$F) = TRIM($B279),
      'Juma Recording forms'!$AA:$AA = 6
    ),
    1
  ),
  ""Not Found""
)"),"Not Found")</f>
        <v>Not Found</v>
      </c>
      <c r="AL2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1!$E:$E"")=$B279) *
        (IMPORTRANGE(""https://docs.google.com/spreadsheets/d/161aHT6vVT3SLneTKD19N5qVWtnj_jIT8CSsOmUVKmaA/e"&amp;"dit?gid=1761053510"",
          ""Haris_Form responses 1!$AQ:$AQ"")=1)
      ),
      1
    ),
    ""0""
  ),
  ""Form not found""
)
"),"9")</f>
        <v>9</v>
      </c>
      <c r="AM2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1!$E:$E"")=$B279) *
        (IMPORTRANGE(""https://docs.google.com/spreadsheets/d/161aHT6vVT3SLneTKD19N5qVWtnj_jIT8CSsOmUVKmaA/e"&amp;"dit?gid=1761053510"",
          ""Haris_Form responses 1!$AQ:$AQ"")=2)
      ),
      1
    ),
    ""0""
  ),
  ""Form not found""
)
"),"9")</f>
        <v>9</v>
      </c>
      <c r="AN2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1!$E:$E"")=$B279) *
        (IMPORTRANGE(""https://docs.google.com/spreadsheets/d/161aHT6vVT3SLneTKD19N5qVWtnj_jIT8CSsOmUVKmaA/e"&amp;"dit?gid=1761053510"",
          ""Haris_Form responses 1!$AQ:$AQ"")=3)
      ),
      1
    ),
    ""0""
  ),
  ""Form not found""
)
"),"0")</f>
        <v>0</v>
      </c>
      <c r="AO2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1!$E:$E"")=$B279) *
        (IMPORTRANGE(""https://docs.google.com/spreadsheets/d/161aHT6vVT3SLneTKD19N5qVWtnj_jIT8CSsOmUVKmaA/e"&amp;"dit?gid=1761053510"",
          ""Haris_Form responses 1!$AQ:$AQ"")=4)
      ),
      1
    ),
    ""0""
  ),
  ""Form not found""
)
"),"Form not found")</f>
        <v>Form not found</v>
      </c>
      <c r="AP2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1!$E:$E"")=$B279) *
        (IMPORTRANGE(""https://docs.google.com/spreadsheets/d/161aHT6vVT3SLneTKD19N5qVWtnj_jIT8CSsOmUVKmaA/e"&amp;"dit?gid=1761053510"",
          ""Haris_Form responses 1!$AQ:$AQ"")=5)
      ),
      1
    ),
    ""0""
  ),
  ""Form not found""
)
"),"Form not found")</f>
        <v>Form not found</v>
      </c>
      <c r="AQ27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1!$E:$E"")=$B279) *
        (IMPORTRANGE(""https://docs.google.com/spreadsheets/d/161aHT6vVT3SLneTKD19N5qVWtnj_jIT8CSsOmUVKmaA/e"&amp;"dit?gid=1761053510"",
          ""Haris_Form responses 1!$AQ:$AQ"")=6)
      ),
      1
    ),
    ""0""
  ),
  ""Form not found""
)
"),"Form not found")</f>
        <v>Form not found</v>
      </c>
      <c r="AR2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1!$E:$E"")=$B279) *
        (IMPORTRANGE(""https://docs.google.com/spreadsheets/d/161aHT6vVT3SLneTKD19N5qVWtnj_jIT8CSsOmUVKmaA/e"&amp;"dit?gid=1761053510"",
          ""Haris_Form responses 1!$AQ:$AQ"")=1)
      ),
      1
    ),
    ""0""
  ),
  ""Form not found""
)
"),"0")</f>
        <v>0</v>
      </c>
      <c r="AS2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1!$E:$E"")=$B279) *
        (IMPORTRANGE(""https://docs.google.com/spreadsheets/d/161aHT6vVT3SLneTKD19N5qVWtnj_jIT8CSsOmUVKmaA/e"&amp;"dit?gid=1761053510"",
          ""Haris_Form responses 1!$AQ:$AQ"")=2)
      ),
      1
    ),
    ""0""
  ),
  ""Form not found""
)
"),"0")</f>
        <v>0</v>
      </c>
      <c r="AT2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1!$E:$E"")=$B279) *
        (IMPORTRANGE(""https://docs.google.com/spreadsheets/d/161aHT6vVT3SLneTKD19N5qVWtnj_jIT8CSsOmUVKmaA/e"&amp;"dit?gid=1761053510"",
          ""Haris_Form responses 1!$AQ:$AQ"")=3)
      ),
      1
    ),
    ""0""
  ),
  ""Form not found""
)
"),"0")</f>
        <v>0</v>
      </c>
      <c r="AU2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1!$E:$E"")=$B279) *
        (IMPORTRANGE(""https://docs.google.com/spreadsheets/d/161aHT6vVT3SLneTKD19N5qVWtnj_jIT8CSsOmUVKmaA/e"&amp;"dit?gid=1761053510"",
          ""Haris_Form responses 1!$AQ:$AQ"")=4)
      ),
      1
    ),
    ""0""
  ),
  ""Form not found""
)
"),"Form not found")</f>
        <v>Form not found</v>
      </c>
      <c r="AV2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1!$E:$E"")=$B279) *
        (IMPORTRANGE(""https://docs.google.com/spreadsheets/d/161aHT6vVT3SLneTKD19N5qVWtnj_jIT8CSsOmUVKmaA/e"&amp;"dit?gid=1761053510"",
          ""Haris_Form responses 1!$AQ:$AQ"")=5)
      ),
      1
    ),
    ""0""
  ),
  ""Form not found""
)
"),"Form not found")</f>
        <v>Form not found</v>
      </c>
      <c r="AW27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1!$E:$E"")=$B279) *
        (IMPORTRANGE(""https://docs.google.com/spreadsheets/d/161aHT6vVT3SLneTKD19N5qVWtnj_jIT8CSsOmUVKmaA/e"&amp;"dit?gid=1761053510"",
          ""Haris_Form responses 1!$AQ:$AQ"")=6)
      ),
      1
    ),
    ""0""
  ),
  ""Form not found""
)
"),"Form not found")</f>
        <v>Form not found</v>
      </c>
      <c r="AX2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1!$E:$E"")=$B279) *
        (IMPORTRANGE(""https://docs.google.com/spreadsheets/d/161aHT6vVT3SLneTKD19N5qVWtnj_jIT8CSsOmUVKmaA/e"&amp;"dit?gid=1761053510"",
          ""Haris_Form responses 1!$AQ:$AQ"")=1)
      ),
      1
    ),
    ""0""
  ),
  ""Form not found""
)
"),"9")</f>
        <v>9</v>
      </c>
      <c r="AY2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1!$E:$E"")=$B279) *
        (IMPORTRANGE(""https://docs.google.com/spreadsheets/d/161aHT6vVT3SLneTKD19N5qVWtnj_jIT8CSsOmUVKmaA/e"&amp;"dit?gid=1761053510"",
          ""Haris_Form responses 1!$AQ:$AQ"")=2)
      ),
      1
    ),
    ""0""
  ),
  ""Form not found""
)
"),"9")</f>
        <v>9</v>
      </c>
      <c r="AZ2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1!$E:$E"")=$B279) *
        (IMPORTRANGE(""https://docs.google.com/spreadsheets/d/161aHT6vVT3SLneTKD19N5qVWtnj_jIT8CSsOmUVKmaA/e"&amp;"dit?gid=1761053510"",
          ""Haris_Form responses 1!$AQ:$AQ"")=3)
      ),
      1
    ),
    ""0""
  ),
  ""Form not found""
)
"),"0")</f>
        <v>0</v>
      </c>
      <c r="BA2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1!$E:$E"")=$B279) *
        (IMPORTRANGE(""https://docs.google.com/spreadsheets/d/161aHT6vVT3SLneTKD19N5qVWtnj_jIT8CSsOmUVKmaA/e"&amp;"dit?gid=1761053510"",
          ""Haris_Form responses 1!$AQ:$AQ"")=4)
      ),
      1
    ),
    ""0""
  ),
  ""Form not found""
)
"),"Form not found")</f>
        <v>Form not found</v>
      </c>
      <c r="BB2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1!$E:$E"")=$B279) *
        (IMPORTRANGE(""https://docs.google.com/spreadsheets/d/161aHT6vVT3SLneTKD19N5qVWtnj_jIT8CSsOmUVKmaA/e"&amp;"dit?gid=1761053510"",
          ""Haris_Form responses 1!$AQ:$AQ"")=5)
      ),
      1
    ),
    ""0""
  ),
  ""Form not found""
)
"),"Form not found")</f>
        <v>Form not found</v>
      </c>
      <c r="BC27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1!$E:$E"")=$B279) *
        (IMPORTRANGE(""https://docs.google.com/spreadsheets/d/161aHT6vVT3SLneTKD19N5qVWtnj_jIT8CSsOmUVKmaA/e"&amp;"dit?gid=1761053510"",
          ""Haris_Form responses 1!$AQ:$AQ"")=6)
      ),
      1
    ),
    ""0""
  ),
  ""Form not found""
)
"),"Form not found")</f>
        <v>Form not found</v>
      </c>
      <c r="BD279" s="293"/>
    </row>
    <row r="280">
      <c r="A280" s="283" t="str">
        <f>IFERROR(__xludf.DUMMYFUNCTION("VLOOKUP($B280,IMPORTRANGE(""https://docs.google.com/spreadsheets/d/1VNXDITjs75AcgdBSW27oL1VZH31udDprJSsBcE5xlp4/edit?gid=1551188038#gid=1551188038"", ""Sheet9!$B:$E""),2,false)"),"Rawalpindi")</f>
        <v>Rawalpindi</v>
      </c>
      <c r="B280" s="283" t="s">
        <v>4324</v>
      </c>
      <c r="C280" s="284" t="str">
        <f>IFERROR(__xludf.DUMMYFUNCTION("VLOOKUP(TRIM($B280), IMPORTRANGE(""https://docs.google.com/spreadsheets/d/1aSOrU4PTpuBZqfitKaH1Rfww6-YOiNCKoBpPl8XBHaw/edit?gid=0#gid=0"", ""sheet3!$B:$C""), 2, FALSE)
"),"Jamia Masjid Darbar Gohar Ali Shah Bakarmandi")</f>
        <v>Jamia Masjid Darbar Gohar Ali Shah Bakarmandi</v>
      </c>
      <c r="D280" s="284" t="str">
        <f>IFERROR(__xludf.DUMMYFUNCTION("IFERROR(
  INDEX(
    FILTER(
      IMPORTRANGE(""1aSOrU4PTpuBZqfitKaH1Rfww6-YOiNCKoBpPl8XBHaw/edit?gid=0#gid=0"",""Sheet1!G:G""),
      IMPORTRANGE(""1aSOrU4PTpuBZqfitKaH1Rfww6-YOiNCKoBpPl8XBHaw/edit?gid=0#gid=0"",""Sheet1!C:C"")=$B280
    ),
    1
  ),
"&amp;"  ""Not Found""
)"),"Women Secular No Info Share")</f>
        <v>Women Secular No Info Share</v>
      </c>
      <c r="E280" s="284" t="str">
        <f>VLOOKUP(B280,'Juma Recording forms'!A:E,5,false)</f>
        <v>Jamia masjid darbar Aliya Syed ghor Ali shah</v>
      </c>
      <c r="F280" s="284" t="str">
        <f>IFERROR(__xludf.DUMMYFUNCTION("IFERROR(
  INDEX(
    FILTER(
      IMPORTRANGE(""1Cxrhp3-_-HS7v9uuqQliiIfrmMP4VaFoDNDWyUFy2J8/edit?gid=0#gid=0"",""Sheet1!Q:Q""),
      IMPORTRANGE(""1Cxrhp3-_-HS7v9uuqQliiIfrmMP4VaFoDNDWyUFy2J8/edit?gid=0#gid=0"",""Sheet1!K:K"")=$B280
    ),
    1
  ),
"&amp;"  ""Not Found""
)"),"Muhammad ayaz Rizvi")</f>
        <v>Muhammad ayaz Rizvi</v>
      </c>
      <c r="G280" s="284">
        <v>1964.0</v>
      </c>
      <c r="H280" s="284" t="s">
        <v>4896</v>
      </c>
      <c r="I280" s="285" t="s">
        <v>197</v>
      </c>
      <c r="J280" s="286">
        <v>2.0</v>
      </c>
      <c r="K280" s="287" t="str">
        <f>VLOOKUP($B280,'Mosque Locations'!$A:$E,3,FALSE)
</f>
        <v>https://maps.google.com/maps?q=33.5742801%2C73.0401426&amp;z=17&amp;hl=en</v>
      </c>
      <c r="L280" s="286">
        <f>VLOOKUP($B280,'Mosque Locations'!$A:$E,4,FALSE)
</f>
        <v>33.5742801</v>
      </c>
      <c r="M280" s="286">
        <f>VLOOKUP($B280,'Mosque Locations'!$A:$E,5,false)</f>
        <v>73.0401426</v>
      </c>
      <c r="N280" s="288"/>
      <c r="O280" s="288"/>
      <c r="P280" s="288"/>
      <c r="Q280" s="290" t="str">
        <f>IFERROR(__xludf.DUMMYFUNCTION("IFERROR(
  INDEX(
    FILTER(
      IMPORTRANGE(""1kOrIKZmJfNUkgOVP3sI9BPjaaPA0_a4636oymQxTXg8"",""Form Responses 1!N:N""),
      TRIM(IMPORTRANGE(""1kOrIKZmJfNUkgOVP3sI9BPjaaPA0_a4636oymQxTXg8"",""Form Responses 1!F:F""))=TRIM($B280)
    ),
    1
  ),
  "&amp;"""Not Found""
)
"),"https://drive.google.com/open?id=1Q6U-zDXfgGQXvJmHqC5un0h1JlrggvP_")</f>
        <v>https://drive.google.com/open?id=1Q6U-zDXfgGQXvJmHqC5un0h1JlrggvP_</v>
      </c>
      <c r="R280" s="290" t="str">
        <f>IFERROR(__xludf.DUMMYFUNCTION("IFERROR(
  INDEX(
    FILTER(
      IMPORTRANGE(""1kOrIKZmJfNUkgOVP3sI9BPjaaPA0_a4636oymQxTXg8"",""Form Responses 1!M:M""),
      TRIM(IMPORTRANGE(""1kOrIKZmJfNUkgOVP3sI9BPjaaPA0_a4636oymQxTXg8"",""Form Responses 1!F:F""))=TRIM($B280)
    ),
    1
  ),
  "&amp;"""Not Found""
)
"),"https://drive.google.com/open?id=1UF4fborVJ1HzUBqQBwyzQiE55wcuqoYL")</f>
        <v>https://drive.google.com/open?id=1UF4fborVJ1HzUBqQBwyzQiE55wcuqoYL</v>
      </c>
      <c r="S280" s="285"/>
      <c r="T280" s="290" t="str">
        <f>VLOOKUP($B280,'Master Tracker'!D:E,2,false)</f>
        <v>https://drive.google.com/open?id=18V-Ps_Z7TU4u23zdYz00Liy_dmmAn_YU</v>
      </c>
      <c r="U280" s="291" t="str">
        <f>VLOOKUP($B280,'Master Tracker'!$D:$T,4,FALSE)
</f>
        <v>https://drive.google.com/open?id=17354YMNLrHE5UUJAax265tFEFO65BDTt</v>
      </c>
      <c r="V280" s="290" t="str">
        <f>VLOOKUP($B280,'Master Tracker'!$D:$T,5,false)</f>
        <v>https://drive.google.com/open?id=1qgIICVzh1Y8mNORr4QUgzzuMnYiVBBi1</v>
      </c>
      <c r="W280" s="291" t="str">
        <f>VLOOKUP($B280,'Master Tracker'!$D:$T,7,false)</f>
        <v>https://drive.google.com/open?id=1d18_RPcExySXem6civ3Gwz2cOzQu04jCetBKjAncThA</v>
      </c>
      <c r="X280" s="290" t="str">
        <f>VLOOKUP($B280,'Master Tracker'!$D:$T,8,false)</f>
        <v>https://drive.google.com/open?id=19_ZIbDGKNcu1vlsQb965SvbAoiTw1gEJ</v>
      </c>
      <c r="Y280" s="291" t="str">
        <f>VLOOKUP($B280,'Master Tracker'!$D:$T,10,false)</f>
        <v>https://drive.google.com/open?id=1jGQsRQJdBlMui57GZajF1RoQvcur0Fdmx6P4uUj6QtA</v>
      </c>
      <c r="Z280" s="284" t="str">
        <f>VLOOKUP($B280,'Master Tracker'!$D:$T,11,false)</f>
        <v>Not Found</v>
      </c>
      <c r="AA280" s="292" t="str">
        <f>VLOOKUP($B280,'Master Tracker'!$D:$T,13,false)</f>
        <v>Not Found</v>
      </c>
      <c r="AB280" s="284" t="str">
        <f>VLOOKUP($B280,'Master Tracker'!$D:$T,14,false)</f>
        <v>Not Found</v>
      </c>
      <c r="AC280" s="292" t="str">
        <f>VLOOKUP($B280,'Master Tracker'!$D:$T,16,false)</f>
        <v>Not Found</v>
      </c>
      <c r="AD280" s="292" t="str">
        <f>VLOOKUP($B280,'Master Tracker'!$D:$T,17,false)</f>
        <v>Not Found</v>
      </c>
      <c r="AE280" s="292" t="str">
        <f>VLOOKUP($B280,'Master Tracker'!$D:$V,19,false)</f>
        <v>Not Found</v>
      </c>
      <c r="AF280" s="292">
        <f>IFERROR(__xludf.DUMMYFUNCTION("IFERROR(
  INDEX(
    FILTER(
      'Juma Recording forms'!$G:$G,
      TRIM('Juma Recording forms'!$F:$F) = TRIM($B280),
      'Juma Recording forms'!$AA:$AA = 1
    ),
    1
  ),
  ""Not Found""
)"),347.0)</f>
        <v>347</v>
      </c>
      <c r="AG280" s="292">
        <f>IFERROR(__xludf.DUMMYFUNCTION("IFERROR(
  INDEX(
    FILTER(
      'Juma Recording forms'!$G:$G,
      TRIM('Juma Recording forms'!$F:$F) = TRIM($B280),
      'Juma Recording forms'!$AA:$AA = 2
    ),
    1
  ),
  ""Not Found""
)"),403.0)</f>
        <v>403</v>
      </c>
      <c r="AH280" s="292" t="str">
        <f>IFERROR(__xludf.DUMMYFUNCTION("IFERROR(
  INDEX(
    FILTER(
      'Juma Recording forms'!$G:$G,
      TRIM('Juma Recording forms'!$F:$F) = TRIM($B280),
      'Juma Recording forms'!$AA:$AA = 3
    ),
    1
  ),
  ""Not Found""
)"),"Not Found")</f>
        <v>Not Found</v>
      </c>
      <c r="AI280" s="292" t="str">
        <f>IFERROR(__xludf.DUMMYFUNCTION("IFERROR(
  INDEX(
    FILTER(
      'Juma Recording forms'!$G:$G,
      TRIM('Juma Recording forms'!$F:$F) = TRIM($B280),
      'Juma Recording forms'!$AA:$AA = 4
    ),
    1
  ),
  ""Not Found""
)"),"Not Found")</f>
        <v>Not Found</v>
      </c>
      <c r="AJ280" s="292" t="str">
        <f>IFERROR(__xludf.DUMMYFUNCTION("IFERROR(
  INDEX(
    FILTER(
      'Juma Recording forms'!$G:$G,
      TRIM('Juma Recording forms'!$F:$F) = TRIM($B280),
      'Juma Recording forms'!$AA:$AA = 5
    ),
    1
  ),
  ""Not Found""
)"),"Not Found")</f>
        <v>Not Found</v>
      </c>
      <c r="AK280" s="292" t="str">
        <f>IFERROR(__xludf.DUMMYFUNCTION("IFERROR(
  INDEX(
    FILTER(
      'Juma Recording forms'!$G:$G,
      TRIM('Juma Recording forms'!$F:$F) = TRIM($B280),
      'Juma Recording forms'!$AA:$AA = 6
    ),
    1
  ),
  ""Not Found""
)"),"Not Found")</f>
        <v>Not Found</v>
      </c>
      <c r="AL2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1!$E:$E"")=$B280) *
        (IMPORTRANGE(""https://docs.google.com/spreadsheets/d/161aHT6vVT3SLneTKD19N5qVWtnj_jIT8CSsOmUVKmaA/e"&amp;"dit?gid=1761053510"",
          ""Haris_Form responses 1!$AQ:$AQ"")=1)
      ),
      1
    ),
    ""0""
  ),
  ""Form not found""
)
"),"10")</f>
        <v>10</v>
      </c>
      <c r="AM2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1!$E:$E"")=$B280) *
        (IMPORTRANGE(""https://docs.google.com/spreadsheets/d/161aHT6vVT3SLneTKD19N5qVWtnj_jIT8CSsOmUVKmaA/e"&amp;"dit?gid=1761053510"",
          ""Haris_Form responses 1!$AQ:$AQ"")=2)
      ),
      1
    ),
    ""0""
  ),
  ""Form not found""
)
"),"7")</f>
        <v>7</v>
      </c>
      <c r="AN2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1!$E:$E"")=$B280) *
        (IMPORTRANGE(""https://docs.google.com/spreadsheets/d/161aHT6vVT3SLneTKD19N5qVWtnj_jIT8CSsOmUVKmaA/e"&amp;"dit?gid=1761053510"",
          ""Haris_Form responses 1!$AQ:$AQ"")=3)
      ),
      1
    ),
    ""0""
  ),
  ""Form not found""
)
"),"0")</f>
        <v>0</v>
      </c>
      <c r="AO2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1!$E:$E"")=$B280) *
        (IMPORTRANGE(""https://docs.google.com/spreadsheets/d/161aHT6vVT3SLneTKD19N5qVWtnj_jIT8CSsOmUVKmaA/e"&amp;"dit?gid=1761053510"",
          ""Haris_Form responses 1!$AQ:$AQ"")=4)
      ),
      1
    ),
    ""0""
  ),
  ""Form not found""
)
"),"Form not found")</f>
        <v>Form not found</v>
      </c>
      <c r="AP2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1!$E:$E"")=$B280) *
        (IMPORTRANGE(""https://docs.google.com/spreadsheets/d/161aHT6vVT3SLneTKD19N5qVWtnj_jIT8CSsOmUVKmaA/e"&amp;"dit?gid=1761053510"",
          ""Haris_Form responses 1!$AQ:$AQ"")=5)
      ),
      1
    ),
    ""0""
  ),
  ""Form not found""
)
"),"Form not found")</f>
        <v>Form not found</v>
      </c>
      <c r="AQ28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1!$E:$E"")=$B280) *
        (IMPORTRANGE(""https://docs.google.com/spreadsheets/d/161aHT6vVT3SLneTKD19N5qVWtnj_jIT8CSsOmUVKmaA/e"&amp;"dit?gid=1761053510"",
          ""Haris_Form responses 1!$AQ:$AQ"")=6)
      ),
      1
    ),
    ""0""
  ),
  ""Form not found""
)
"),"Form not found")</f>
        <v>Form not found</v>
      </c>
      <c r="AR2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1!$E:$E"")=$B280) *
        (IMPORTRANGE(""https://docs.google.com/spreadsheets/d/161aHT6vVT3SLneTKD19N5qVWtnj_jIT8CSsOmUVKmaA/e"&amp;"dit?gid=1761053510"",
          ""Haris_Form responses 1!$AQ:$AQ"")=1)
      ),
      1
    ),
    ""0""
  ),
  ""Form not found""
)
"),"0")</f>
        <v>0</v>
      </c>
      <c r="AS2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1!$E:$E"")=$B280) *
        (IMPORTRANGE(""https://docs.google.com/spreadsheets/d/161aHT6vVT3SLneTKD19N5qVWtnj_jIT8CSsOmUVKmaA/e"&amp;"dit?gid=1761053510"",
          ""Haris_Form responses 1!$AQ:$AQ"")=2)
      ),
      1
    ),
    ""0""
  ),
  ""Form not found""
)
"),"0")</f>
        <v>0</v>
      </c>
      <c r="AT2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1!$E:$E"")=$B280) *
        (IMPORTRANGE(""https://docs.google.com/spreadsheets/d/161aHT6vVT3SLneTKD19N5qVWtnj_jIT8CSsOmUVKmaA/e"&amp;"dit?gid=1761053510"",
          ""Haris_Form responses 1!$AQ:$AQ"")=3)
      ),
      1
    ),
    ""0""
  ),
  ""Form not found""
)
"),"0")</f>
        <v>0</v>
      </c>
      <c r="AU2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1!$E:$E"")=$B280) *
        (IMPORTRANGE(""https://docs.google.com/spreadsheets/d/161aHT6vVT3SLneTKD19N5qVWtnj_jIT8CSsOmUVKmaA/e"&amp;"dit?gid=1761053510"",
          ""Haris_Form responses 1!$AQ:$AQ"")=4)
      ),
      1
    ),
    ""0""
  ),
  ""Form not found""
)
"),"Form not found")</f>
        <v>Form not found</v>
      </c>
      <c r="AV2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1!$E:$E"")=$B280) *
        (IMPORTRANGE(""https://docs.google.com/spreadsheets/d/161aHT6vVT3SLneTKD19N5qVWtnj_jIT8CSsOmUVKmaA/e"&amp;"dit?gid=1761053510"",
          ""Haris_Form responses 1!$AQ:$AQ"")=5)
      ),
      1
    ),
    ""0""
  ),
  ""Form not found""
)
"),"Form not found")</f>
        <v>Form not found</v>
      </c>
      <c r="AW28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1!$E:$E"")=$B280) *
        (IMPORTRANGE(""https://docs.google.com/spreadsheets/d/161aHT6vVT3SLneTKD19N5qVWtnj_jIT8CSsOmUVKmaA/e"&amp;"dit?gid=1761053510"",
          ""Haris_Form responses 1!$AQ:$AQ"")=6)
      ),
      1
    ),
    ""0""
  ),
  ""Form not found""
)
"),"Form not found")</f>
        <v>Form not found</v>
      </c>
      <c r="AX2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1!$E:$E"")=$B280) *
        (IMPORTRANGE(""https://docs.google.com/spreadsheets/d/161aHT6vVT3SLneTKD19N5qVWtnj_jIT8CSsOmUVKmaA/e"&amp;"dit?gid=1761053510"",
          ""Haris_Form responses 1!$AQ:$AQ"")=1)
      ),
      1
    ),
    ""0""
  ),
  ""Form not found""
)
"),"10")</f>
        <v>10</v>
      </c>
      <c r="AY2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1!$E:$E"")=$B280) *
        (IMPORTRANGE(""https://docs.google.com/spreadsheets/d/161aHT6vVT3SLneTKD19N5qVWtnj_jIT8CSsOmUVKmaA/e"&amp;"dit?gid=1761053510"",
          ""Haris_Form responses 1!$AQ:$AQ"")=2)
      ),
      1
    ),
    ""0""
  ),
  ""Form not found""
)
"),"7")</f>
        <v>7</v>
      </c>
      <c r="AZ2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1!$E:$E"")=$B280) *
        (IMPORTRANGE(""https://docs.google.com/spreadsheets/d/161aHT6vVT3SLneTKD19N5qVWtnj_jIT8CSsOmUVKmaA/e"&amp;"dit?gid=1761053510"",
          ""Haris_Form responses 1!$AQ:$AQ"")=3)
      ),
      1
    ),
    ""0""
  ),
  ""Form not found""
)
"),"0")</f>
        <v>0</v>
      </c>
      <c r="BA2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1!$E:$E"")=$B280) *
        (IMPORTRANGE(""https://docs.google.com/spreadsheets/d/161aHT6vVT3SLneTKD19N5qVWtnj_jIT8CSsOmUVKmaA/e"&amp;"dit?gid=1761053510"",
          ""Haris_Form responses 1!$AQ:$AQ"")=4)
      ),
      1
    ),
    ""0""
  ),
  ""Form not found""
)
"),"Form not found")</f>
        <v>Form not found</v>
      </c>
      <c r="BB2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1!$E:$E"")=$B280) *
        (IMPORTRANGE(""https://docs.google.com/spreadsheets/d/161aHT6vVT3SLneTKD19N5qVWtnj_jIT8CSsOmUVKmaA/e"&amp;"dit?gid=1761053510"",
          ""Haris_Form responses 1!$AQ:$AQ"")=5)
      ),
      1
    ),
    ""0""
  ),
  ""Form not found""
)
"),"Form not found")</f>
        <v>Form not found</v>
      </c>
      <c r="BC28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1!$E:$E"")=$B280) *
        (IMPORTRANGE(""https://docs.google.com/spreadsheets/d/161aHT6vVT3SLneTKD19N5qVWtnj_jIT8CSsOmUVKmaA/e"&amp;"dit?gid=1761053510"",
          ""Haris_Form responses 1!$AQ:$AQ"")=6)
      ),
      1
    ),
    ""0""
  ),
  ""Form not found""
)
"),"Form not found")</f>
        <v>Form not found</v>
      </c>
      <c r="BD280" s="293"/>
    </row>
    <row r="281">
      <c r="A281" s="283" t="str">
        <f>IFERROR(__xludf.DUMMYFUNCTION("VLOOKUP($B281,IMPORTRANGE(""https://docs.google.com/spreadsheets/d/1VNXDITjs75AcgdBSW27oL1VZH31udDprJSsBcE5xlp4/edit?gid=1551188038#gid=1551188038"", ""Sheet9!$B:$E""),2,false)"),"Rawalpindi")</f>
        <v>Rawalpindi</v>
      </c>
      <c r="B281" s="283" t="s">
        <v>4389</v>
      </c>
      <c r="C281" s="284" t="str">
        <f>IFERROR(__xludf.DUMMYFUNCTION("VLOOKUP(TRIM($B281), IMPORTRANGE(""https://docs.google.com/spreadsheets/d/1aSOrU4PTpuBZqfitKaH1Rfww6-YOiNCKoBpPl8XBHaw/edit?gid=0#gid=0"", ""sheet3!$B:$C""), 2, FALSE)
"),"Jamia Masjid Akbari Mohanpura")</f>
        <v>Jamia Masjid Akbari Mohanpura</v>
      </c>
      <c r="D281" s="284" t="str">
        <f>IFERROR(__xludf.DUMMYFUNCTION("IFERROR(
  INDEX(
    FILTER(
      IMPORTRANGE(""1aSOrU4PTpuBZqfitKaH1Rfww6-YOiNCKoBpPl8XBHaw/edit?gid=0#gid=0"",""Sheet1!G:G""),
      IMPORTRANGE(""1aSOrU4PTpuBZqfitKaH1Rfww6-YOiNCKoBpPl8XBHaw/edit?gid=0#gid=0"",""Sheet1!C:C"")=$B281
    ),
    1
  ),
"&amp;"  ""Not Found""
)"),"Community Secular Info Share")</f>
        <v>Community Secular Info Share</v>
      </c>
      <c r="E281" s="284" t="str">
        <f>VLOOKUP(B281,'Juma Recording forms'!A:E,5,false)</f>
        <v>Jamia Masjid Akbari Mohanpura</v>
      </c>
      <c r="F281" s="284" t="str">
        <f>IFERROR(__xludf.DUMMYFUNCTION("IFERROR(
  INDEX(
    FILTER(
      IMPORTRANGE(""1Cxrhp3-_-HS7v9uuqQliiIfrmMP4VaFoDNDWyUFy2J8/edit?gid=0#gid=0"",""Sheet1!Q:Q""),
      IMPORTRANGE(""1Cxrhp3-_-HS7v9uuqQliiIfrmMP4VaFoDNDWyUFy2J8/edit?gid=0#gid=0"",""Sheet1!K:K"")=$B281
    ),
    1
  ),
"&amp;"  ""Not Found""
)"),"Not Found")</f>
        <v>Not Found</v>
      </c>
      <c r="G281" s="292">
        <v>1901.0</v>
      </c>
      <c r="H281" s="284"/>
      <c r="I281" s="285" t="s">
        <v>197</v>
      </c>
      <c r="J281" s="286">
        <v>2.0</v>
      </c>
      <c r="K281" s="287" t="str">
        <f>VLOOKUP($B281,'Mosque Locations'!$A:$E,3,FALSE)
</f>
        <v>https://maps.google.com/maps?q=33.6071287%2C73.049163&amp;z=17&amp;hl=en</v>
      </c>
      <c r="L281" s="286">
        <f>VLOOKUP($B281,'Mosque Locations'!$A:$E,4,FALSE)
</f>
        <v>33.6071287</v>
      </c>
      <c r="M281" s="286">
        <f>VLOOKUP($B281,'Mosque Locations'!$A:$E,5,false)</f>
        <v>73.049163</v>
      </c>
      <c r="N281" s="288"/>
      <c r="O281" s="288"/>
      <c r="P281" s="288"/>
      <c r="Q281" s="290" t="str">
        <f>IFERROR(__xludf.DUMMYFUNCTION("IFERROR(
  INDEX(
    FILTER(
      IMPORTRANGE(""1kOrIKZmJfNUkgOVP3sI9BPjaaPA0_a4636oymQxTXg8"",""Form Responses 1!N:N""),
      TRIM(IMPORTRANGE(""1kOrIKZmJfNUkgOVP3sI9BPjaaPA0_a4636oymQxTXg8"",""Form Responses 1!F:F""))=TRIM($B281)
    ),
    1
  ),
  "&amp;"""Not Found""
)
"),"https://drive.google.com/open?id=1P3k_nXvuNs9Dd0X85ww9uRvNdBxNWp8N")</f>
        <v>https://drive.google.com/open?id=1P3k_nXvuNs9Dd0X85ww9uRvNdBxNWp8N</v>
      </c>
      <c r="R281" s="290" t="str">
        <f>IFERROR(__xludf.DUMMYFUNCTION("IFERROR(
  INDEX(
    FILTER(
      IMPORTRANGE(""1kOrIKZmJfNUkgOVP3sI9BPjaaPA0_a4636oymQxTXg8"",""Form Responses 1!M:M""),
      TRIM(IMPORTRANGE(""1kOrIKZmJfNUkgOVP3sI9BPjaaPA0_a4636oymQxTXg8"",""Form Responses 1!F:F""))=TRIM($B281)
    ),
    1
  ),
  "&amp;"""Not Found""
)
"),"https://drive.google.com/open?id=1EFmAwk9dJnSVJEsdZrSA7zLgwpAcP_Rq")</f>
        <v>https://drive.google.com/open?id=1EFmAwk9dJnSVJEsdZrSA7zLgwpAcP_Rq</v>
      </c>
      <c r="S281" s="285"/>
      <c r="T281" s="290" t="str">
        <f>VLOOKUP($B281,'Master Tracker'!D:E,2,false)</f>
        <v>https://drive.google.com/open?id=1vs86z4urY34PTu4OGMbJN0_TNZAnPECk</v>
      </c>
      <c r="U281" s="291" t="str">
        <f>VLOOKUP($B281,'Master Tracker'!$D:$T,4,FALSE)
</f>
        <v>https://drive.google.com/open?id=13IDwH1jk2BVX6yLeDhwKSyEqOzElkRkJ</v>
      </c>
      <c r="V281" s="290" t="str">
        <f>VLOOKUP($B281,'Master Tracker'!$D:$T,5,false)</f>
        <v>https://drive.google.com/open?id=1mEkK_Ir8cnyw7RXLUzWMloSu6ZgPWqK8</v>
      </c>
      <c r="W281" s="291" t="str">
        <f>VLOOKUP($B281,'Master Tracker'!$D:$T,7,false)</f>
        <v>https://drive.google.com/open?id=1jXQFz9tWqcKTt4NxkjUN3qEJZB_zPDup</v>
      </c>
      <c r="X281" s="290" t="str">
        <f>VLOOKUP($B281,'Master Tracker'!$D:$T,8,false)</f>
        <v>https://drive.google.com/open?id=1n5zOzWBI1KL6UJ2ZzNK4lq8izfSnviuG</v>
      </c>
      <c r="Y281" s="291" t="str">
        <f>VLOOKUP($B281,'Master Tracker'!$D:$T,10,false)</f>
        <v>https://drive.google.com/open?id=1UmCVXNiamkSUS5vV285LIQiLpgEXiJE8</v>
      </c>
      <c r="Z281" s="284" t="str">
        <f>VLOOKUP($B281,'Master Tracker'!$D:$T,11,false)</f>
        <v>Not Found</v>
      </c>
      <c r="AA281" s="292" t="str">
        <f>VLOOKUP($B281,'Master Tracker'!$D:$T,13,false)</f>
        <v>Not Found</v>
      </c>
      <c r="AB281" s="284" t="str">
        <f>VLOOKUP($B281,'Master Tracker'!$D:$T,14,false)</f>
        <v>Not Found</v>
      </c>
      <c r="AC281" s="292" t="str">
        <f>VLOOKUP($B281,'Master Tracker'!$D:$T,16,false)</f>
        <v>Not Found</v>
      </c>
      <c r="AD281" s="292" t="str">
        <f>VLOOKUP($B281,'Master Tracker'!$D:$T,17,false)</f>
        <v>Not Found</v>
      </c>
      <c r="AE281" s="292" t="str">
        <f>VLOOKUP($B281,'Master Tracker'!$D:$V,19,false)</f>
        <v>Not Found</v>
      </c>
      <c r="AF281" s="292">
        <f>IFERROR(__xludf.DUMMYFUNCTION("IFERROR(
  INDEX(
    FILTER(
      'Juma Recording forms'!$G:$G,
      TRIM('Juma Recording forms'!$F:$F) = TRIM($B281),
      'Juma Recording forms'!$AA:$AA = 1
    ),
    1
  ),
  ""Not Found""
)"),410.0)</f>
        <v>410</v>
      </c>
      <c r="AG281" s="292">
        <f>IFERROR(__xludf.DUMMYFUNCTION("IFERROR(
  INDEX(
    FILTER(
      'Juma Recording forms'!$G:$G,
      TRIM('Juma Recording forms'!$F:$F) = TRIM($B281),
      'Juma Recording forms'!$AA:$AA = 2
    ),
    1
  ),
  ""Not Found""
)"),430.0)</f>
        <v>430</v>
      </c>
      <c r="AH281" s="292" t="str">
        <f>IFERROR(__xludf.DUMMYFUNCTION("IFERROR(
  INDEX(
    FILTER(
      'Juma Recording forms'!$G:$G,
      TRIM('Juma Recording forms'!$F:$F) = TRIM($B281),
      'Juma Recording forms'!$AA:$AA = 3
    ),
    1
  ),
  ""Not Found""
)"),"Not Found")</f>
        <v>Not Found</v>
      </c>
      <c r="AI281" s="292" t="str">
        <f>IFERROR(__xludf.DUMMYFUNCTION("IFERROR(
  INDEX(
    FILTER(
      'Juma Recording forms'!$G:$G,
      TRIM('Juma Recording forms'!$F:$F) = TRIM($B281),
      'Juma Recording forms'!$AA:$AA = 4
    ),
    1
  ),
  ""Not Found""
)"),"Not Found")</f>
        <v>Not Found</v>
      </c>
      <c r="AJ281" s="292" t="str">
        <f>IFERROR(__xludf.DUMMYFUNCTION("IFERROR(
  INDEX(
    FILTER(
      'Juma Recording forms'!$G:$G,
      TRIM('Juma Recording forms'!$F:$F) = TRIM($B281),
      'Juma Recording forms'!$AA:$AA = 5
    ),
    1
  ),
  ""Not Found""
)"),"Not Found")</f>
        <v>Not Found</v>
      </c>
      <c r="AK281" s="292" t="str">
        <f>IFERROR(__xludf.DUMMYFUNCTION("IFERROR(
  INDEX(
    FILTER(
      'Juma Recording forms'!$G:$G,
      TRIM('Juma Recording forms'!$F:$F) = TRIM($B281),
      'Juma Recording forms'!$AA:$AA = 6
    ),
    1
  ),
  ""Not Found""
)"),"Not Found")</f>
        <v>Not Found</v>
      </c>
      <c r="AL2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1!$E:$E"")=$B281) *
        (IMPORTRANGE(""https://docs.google.com/spreadsheets/d/161aHT6vVT3SLneTKD19N5qVWtnj_jIT8CSsOmUVKmaA/e"&amp;"dit?gid=1761053510"",
          ""Haris_Form responses 1!$AQ:$AQ"")=1)
      ),
      1
    ),
    ""0""
  ),
  ""Form not found""
)
"),"10")</f>
        <v>10</v>
      </c>
      <c r="AM2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1!$E:$E"")=$B281) *
        (IMPORTRANGE(""https://docs.google.com/spreadsheets/d/161aHT6vVT3SLneTKD19N5qVWtnj_jIT8CSsOmUVKmaA/e"&amp;"dit?gid=1761053510"",
          ""Haris_Form responses 1!$AQ:$AQ"")=2)
      ),
      1
    ),
    ""0""
  ),
  ""Form not found""
)
"),"9")</f>
        <v>9</v>
      </c>
      <c r="AN2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1!$E:$E"")=$B281) *
        (IMPORTRANGE(""https://docs.google.com/spreadsheets/d/161aHT6vVT3SLneTKD19N5qVWtnj_jIT8CSsOmUVKmaA/e"&amp;"dit?gid=1761053510"",
          ""Haris_Form responses 1!$AQ:$AQ"")=3)
      ),
      1
    ),
    ""0""
  ),
  ""Form not found""
)
"),"0")</f>
        <v>0</v>
      </c>
      <c r="AO2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1!$E:$E"")=$B281) *
        (IMPORTRANGE(""https://docs.google.com/spreadsheets/d/161aHT6vVT3SLneTKD19N5qVWtnj_jIT8CSsOmUVKmaA/e"&amp;"dit?gid=1761053510"",
          ""Haris_Form responses 1!$AQ:$AQ"")=4)
      ),
      1
    ),
    ""0""
  ),
  ""Form not found""
)
"),"Form not found")</f>
        <v>Form not found</v>
      </c>
      <c r="AP2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1!$E:$E"")=$B281) *
        (IMPORTRANGE(""https://docs.google.com/spreadsheets/d/161aHT6vVT3SLneTKD19N5qVWtnj_jIT8CSsOmUVKmaA/e"&amp;"dit?gid=1761053510"",
          ""Haris_Form responses 1!$AQ:$AQ"")=5)
      ),
      1
    ),
    ""0""
  ),
  ""Form not found""
)
"),"Form not found")</f>
        <v>Form not found</v>
      </c>
      <c r="AQ28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1!$E:$E"")=$B281) *
        (IMPORTRANGE(""https://docs.google.com/spreadsheets/d/161aHT6vVT3SLneTKD19N5qVWtnj_jIT8CSsOmUVKmaA/e"&amp;"dit?gid=1761053510"",
          ""Haris_Form responses 1!$AQ:$AQ"")=6)
      ),
      1
    ),
    ""0""
  ),
  ""Form not found""
)
"),"Form not found")</f>
        <v>Form not found</v>
      </c>
      <c r="AR2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1!$E:$E"")=$B281) *
        (IMPORTRANGE(""https://docs.google.com/spreadsheets/d/161aHT6vVT3SLneTKD19N5qVWtnj_jIT8CSsOmUVKmaA/e"&amp;"dit?gid=1761053510"",
          ""Haris_Form responses 1!$AQ:$AQ"")=1)
      ),
      1
    ),
    ""0""
  ),
  ""Form not found""
)
"),"10")</f>
        <v>10</v>
      </c>
      <c r="AS2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1!$E:$E"")=$B281) *
        (IMPORTRANGE(""https://docs.google.com/spreadsheets/d/161aHT6vVT3SLneTKD19N5qVWtnj_jIT8CSsOmUVKmaA/e"&amp;"dit?gid=1761053510"",
          ""Haris_Form responses 1!$AQ:$AQ"")=2)
      ),
      1
    ),
    ""0""
  ),
  ""Form not found""
)
"),"9")</f>
        <v>9</v>
      </c>
      <c r="AT2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1!$E:$E"")=$B281) *
        (IMPORTRANGE(""https://docs.google.com/spreadsheets/d/161aHT6vVT3SLneTKD19N5qVWtnj_jIT8CSsOmUVKmaA/e"&amp;"dit?gid=1761053510"",
          ""Haris_Form responses 1!$AQ:$AQ"")=3)
      ),
      1
    ),
    ""0""
  ),
  ""Form not found""
)
"),"0")</f>
        <v>0</v>
      </c>
      <c r="AU2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1!$E:$E"")=$B281) *
        (IMPORTRANGE(""https://docs.google.com/spreadsheets/d/161aHT6vVT3SLneTKD19N5qVWtnj_jIT8CSsOmUVKmaA/e"&amp;"dit?gid=1761053510"",
          ""Haris_Form responses 1!$AQ:$AQ"")=4)
      ),
      1
    ),
    ""0""
  ),
  ""Form not found""
)
"),"Form not found")</f>
        <v>Form not found</v>
      </c>
      <c r="AV2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1!$E:$E"")=$B281) *
        (IMPORTRANGE(""https://docs.google.com/spreadsheets/d/161aHT6vVT3SLneTKD19N5qVWtnj_jIT8CSsOmUVKmaA/e"&amp;"dit?gid=1761053510"",
          ""Haris_Form responses 1!$AQ:$AQ"")=5)
      ),
      1
    ),
    ""0""
  ),
  ""Form not found""
)
"),"Form not found")</f>
        <v>Form not found</v>
      </c>
      <c r="AW28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1!$E:$E"")=$B281) *
        (IMPORTRANGE(""https://docs.google.com/spreadsheets/d/161aHT6vVT3SLneTKD19N5qVWtnj_jIT8CSsOmUVKmaA/e"&amp;"dit?gid=1761053510"",
          ""Haris_Form responses 1!$AQ:$AQ"")=6)
      ),
      1
    ),
    ""0""
  ),
  ""Form not found""
)
"),"Form not found")</f>
        <v>Form not found</v>
      </c>
      <c r="AX2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1!$E:$E"")=$B281) *
        (IMPORTRANGE(""https://docs.google.com/spreadsheets/d/161aHT6vVT3SLneTKD19N5qVWtnj_jIT8CSsOmUVKmaA/e"&amp;"dit?gid=1761053510"",
          ""Haris_Form responses 1!$AQ:$AQ"")=1)
      ),
      1
    ),
    ""0""
  ),
  ""Form not found""
)
"),"0")</f>
        <v>0</v>
      </c>
      <c r="AY2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1!$E:$E"")=$B281) *
        (IMPORTRANGE(""https://docs.google.com/spreadsheets/d/161aHT6vVT3SLneTKD19N5qVWtnj_jIT8CSsOmUVKmaA/e"&amp;"dit?gid=1761053510"",
          ""Haris_Form responses 1!$AQ:$AQ"")=2)
      ),
      1
    ),
    ""0""
  ),
  ""Form not found""
)
"),"0")</f>
        <v>0</v>
      </c>
      <c r="AZ2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1!$E:$E"")=$B281) *
        (IMPORTRANGE(""https://docs.google.com/spreadsheets/d/161aHT6vVT3SLneTKD19N5qVWtnj_jIT8CSsOmUVKmaA/e"&amp;"dit?gid=1761053510"",
          ""Haris_Form responses 1!$AQ:$AQ"")=3)
      ),
      1
    ),
    ""0""
  ),
  ""Form not found""
)
"),"0")</f>
        <v>0</v>
      </c>
      <c r="BA2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1!$E:$E"")=$B281) *
        (IMPORTRANGE(""https://docs.google.com/spreadsheets/d/161aHT6vVT3SLneTKD19N5qVWtnj_jIT8CSsOmUVKmaA/e"&amp;"dit?gid=1761053510"",
          ""Haris_Form responses 1!$AQ:$AQ"")=4)
      ),
      1
    ),
    ""0""
  ),
  ""Form not found""
)
"),"Form not found")</f>
        <v>Form not found</v>
      </c>
      <c r="BB2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1!$E:$E"")=$B281) *
        (IMPORTRANGE(""https://docs.google.com/spreadsheets/d/161aHT6vVT3SLneTKD19N5qVWtnj_jIT8CSsOmUVKmaA/e"&amp;"dit?gid=1761053510"",
          ""Haris_Form responses 1!$AQ:$AQ"")=5)
      ),
      1
    ),
    ""0""
  ),
  ""Form not found""
)
"),"Form not found")</f>
        <v>Form not found</v>
      </c>
      <c r="BC28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1!$E:$E"")=$B281) *
        (IMPORTRANGE(""https://docs.google.com/spreadsheets/d/161aHT6vVT3SLneTKD19N5qVWtnj_jIT8CSsOmUVKmaA/e"&amp;"dit?gid=1761053510"",
          ""Haris_Form responses 1!$AQ:$AQ"")=6)
      ),
      1
    ),
    ""0""
  ),
  ""Form not found""
)
"),"Form not found")</f>
        <v>Form not found</v>
      </c>
      <c r="BD281" s="293"/>
    </row>
    <row r="282">
      <c r="A282" s="283" t="str">
        <f>IFERROR(__xludf.DUMMYFUNCTION("VLOOKUP($B282,IMPORTRANGE(""https://docs.google.com/spreadsheets/d/1VNXDITjs75AcgdBSW27oL1VZH31udDprJSsBcE5xlp4/edit?gid=1551188038#gid=1551188038"", ""Sheet9!$B:$E""),2,false)"),"Rawalpindi")</f>
        <v>Rawalpindi</v>
      </c>
      <c r="B282" s="283" t="s">
        <v>4311</v>
      </c>
      <c r="C282" s="284" t="str">
        <f>IFERROR(__xludf.DUMMYFUNCTION("VLOOKUP(TRIM($B282), IMPORTRANGE(""https://docs.google.com/spreadsheets/d/1aSOrU4PTpuBZqfitKaH1Rfww6-YOiNCKoBpPl8XBHaw/edit?gid=0#gid=0"", ""sheet3!$B:$C""), 2, FALSE)
"),"Jamia Mosjid Daud Shah hakani")</f>
        <v>Jamia Mosjid Daud Shah hakani</v>
      </c>
      <c r="D282" s="284" t="str">
        <f>IFERROR(__xludf.DUMMYFUNCTION("IFERROR(
  INDEX(
    FILTER(
      IMPORTRANGE(""1aSOrU4PTpuBZqfitKaH1Rfww6-YOiNCKoBpPl8XBHaw/edit?gid=0#gid=0"",""Sheet1!G:G""),
      IMPORTRANGE(""1aSOrU4PTpuBZqfitKaH1Rfww6-YOiNCKoBpPl8XBHaw/edit?gid=0#gid=0"",""Sheet1!C:C"")=$B282
    ),
    1
  ),
"&amp;"  ""Not Found""
)"),"Community Religious Info Share")</f>
        <v>Community Religious Info Share</v>
      </c>
      <c r="E282" s="284" t="str">
        <f>VLOOKUP(B282,'Juma Recording forms'!A:E,5,false)</f>
        <v>Daud Shah Hakani</v>
      </c>
      <c r="F282" s="284" t="str">
        <f>IFERROR(__xludf.DUMMYFUNCTION("IFERROR(
  INDEX(
    FILTER(
      IMPORTRANGE(""1Cxrhp3-_-HS7v9uuqQliiIfrmMP4VaFoDNDWyUFy2J8/edit?gid=0#gid=0"",""Sheet1!Q:Q""),
      IMPORTRANGE(""1Cxrhp3-_-HS7v9uuqQliiIfrmMP4VaFoDNDWyUFy2J8/edit?gid=0#gid=0"",""Sheet1!K:K"")=$B282
    ),
    1
  ),
"&amp;"  ""Not Found""
)"),"M saddique ul hasan")</f>
        <v>M saddique ul hasan</v>
      </c>
      <c r="G282" s="284"/>
      <c r="H282" s="284"/>
      <c r="I282" s="285" t="s">
        <v>197</v>
      </c>
      <c r="J282" s="286">
        <v>1.0</v>
      </c>
      <c r="K282" s="287" t="str">
        <f>VLOOKUP($B282,'Mosque Locations'!$A:$E,3,FALSE)
</f>
        <v>https://maps.google.com/maps?q=33.3789517%2C73.5478217&amp;z=17&amp;hl=en</v>
      </c>
      <c r="L282" s="286">
        <f>VLOOKUP($B282,'Mosque Locations'!$A:$E,4,FALSE)
</f>
        <v>33.3789517</v>
      </c>
      <c r="M282" s="286">
        <f>VLOOKUP($B282,'Mosque Locations'!$A:$E,5,false)</f>
        <v>73.5478217</v>
      </c>
      <c r="N282" s="288"/>
      <c r="O282" s="288"/>
      <c r="P282" s="288"/>
      <c r="Q282" s="290" t="str">
        <f>IFERROR(__xludf.DUMMYFUNCTION("IFERROR(
  INDEX(
    FILTER(
      IMPORTRANGE(""1kOrIKZmJfNUkgOVP3sI9BPjaaPA0_a4636oymQxTXg8"",""Form Responses 1!N:N""),
      TRIM(IMPORTRANGE(""1kOrIKZmJfNUkgOVP3sI9BPjaaPA0_a4636oymQxTXg8"",""Form Responses 1!F:F""))=TRIM($B282)
    ),
    1
  ),
  "&amp;"""Not Found""
)
"),"https://drive.google.com/open?id=1j_OSzfkVWeJTmNWPDs87hm8dvQai2GW1")</f>
        <v>https://drive.google.com/open?id=1j_OSzfkVWeJTmNWPDs87hm8dvQai2GW1</v>
      </c>
      <c r="R282" s="290" t="str">
        <f>IFERROR(__xludf.DUMMYFUNCTION("IFERROR(
  INDEX(
    FILTER(
      IMPORTRANGE(""1kOrIKZmJfNUkgOVP3sI9BPjaaPA0_a4636oymQxTXg8"",""Form Responses 1!M:M""),
      TRIM(IMPORTRANGE(""1kOrIKZmJfNUkgOVP3sI9BPjaaPA0_a4636oymQxTXg8"",""Form Responses 1!F:F""))=TRIM($B282)
    ),
    1
  ),
  "&amp;"""Not Found""
)
"),"https://drive.google.com/open?id=1yA5byYHvAXLMdLTbsVzbEC54Nh6uDN0a")</f>
        <v>https://drive.google.com/open?id=1yA5byYHvAXLMdLTbsVzbEC54Nh6uDN0a</v>
      </c>
      <c r="S282" s="285"/>
      <c r="T282" s="290" t="str">
        <f>VLOOKUP($B282,'Master Tracker'!D:E,2,false)</f>
        <v>https://drive.google.com/open?id=1Spah6AOG003Cq-resxicmrUXD_nIz_PZ</v>
      </c>
      <c r="U282" s="291" t="str">
        <f>VLOOKUP($B282,'Master Tracker'!$D:$T,4,FALSE)
</f>
        <v>https://drive.google.com/open?id=1xYYdK5Ct0RBpEJqM4zy6D6mFtrMODTY8</v>
      </c>
      <c r="V282" s="290" t="str">
        <f>VLOOKUP($B282,'Master Tracker'!$D:$T,5,false)</f>
        <v>https://drive.google.com/open?id=1ir7VW0TVFE0hK1eFnVo1jIPbZ271RpJF</v>
      </c>
      <c r="W282" s="291" t="str">
        <f>VLOOKUP($B282,'Master Tracker'!$D:$T,7,false)</f>
        <v>https://drive.google.com/open?id=1Lu_Zy7ZRqeuh2I2TQ_06IRGKQMUPzA0P</v>
      </c>
      <c r="X282" s="290" t="str">
        <f>VLOOKUP($B282,'Master Tracker'!$D:$T,8,false)</f>
        <v>https://drive.google.com/open?id=1ah3Iv73iy3YCHmGFFt2Dhm142kdkjb-W</v>
      </c>
      <c r="Y282" s="291" t="str">
        <f>VLOOKUP($B282,'Master Tracker'!$D:$T,10,false)</f>
        <v>https://drive.google.com/open?id=1y0a0lgJj_9gMZONfiFqnK7CFlSqz0s28</v>
      </c>
      <c r="Z282" s="290" t="str">
        <f>VLOOKUP($B282,'Master Tracker'!$D:$T,11,false)</f>
        <v>https://drive.google.com/open?id=1-ehshSu9RgBZJN3X1pcRd7dtsTo4ageE</v>
      </c>
      <c r="AA282" s="291" t="str">
        <f>VLOOKUP($B282,'Master Tracker'!$D:$T,13,false)</f>
        <v>https://drive.google.com/open?id=1JTOyFYfY0cYsGykaZkZtbMhwIrhir1Sh</v>
      </c>
      <c r="AB282" s="284" t="str">
        <f>VLOOKUP($B282,'Master Tracker'!$D:$T,14,false)</f>
        <v>Not Found</v>
      </c>
      <c r="AC282" s="292" t="str">
        <f>VLOOKUP($B282,'Master Tracker'!$D:$T,16,false)</f>
        <v>Not Found</v>
      </c>
      <c r="AD282" s="292" t="str">
        <f>VLOOKUP($B282,'Master Tracker'!$D:$T,17,false)</f>
        <v>Not Found</v>
      </c>
      <c r="AE282" s="292" t="str">
        <f>VLOOKUP($B282,'Master Tracker'!$D:$V,19,false)</f>
        <v>Not Found</v>
      </c>
      <c r="AF282" s="292">
        <f>IFERROR(__xludf.DUMMYFUNCTION("IFERROR(
  INDEX(
    FILTER(
      'Juma Recording forms'!$G:$G,
      TRIM('Juma Recording forms'!$F:$F) = TRIM($B282),
      'Juma Recording forms'!$AA:$AA = 1
    ),
    1
  ),
  ""Not Found""
)"),70.0)</f>
        <v>70</v>
      </c>
      <c r="AG282" s="292">
        <f>IFERROR(__xludf.DUMMYFUNCTION("IFERROR(
  INDEX(
    FILTER(
      'Juma Recording forms'!$G:$G,
      TRIM('Juma Recording forms'!$F:$F) = TRIM($B282),
      'Juma Recording forms'!$AA:$AA = 2
    ),
    1
  ),
  ""Not Found""
)"),70.0)</f>
        <v>70</v>
      </c>
      <c r="AH282" s="292" t="str">
        <f>IFERROR(__xludf.DUMMYFUNCTION("IFERROR(
  INDEX(
    FILTER(
      'Juma Recording forms'!$G:$G,
      TRIM('Juma Recording forms'!$F:$F) = TRIM($B282),
      'Juma Recording forms'!$AA:$AA = 3
    ),
    1
  ),
  ""Not Found""
)"),"Not Found")</f>
        <v>Not Found</v>
      </c>
      <c r="AI282" s="292" t="str">
        <f>IFERROR(__xludf.DUMMYFUNCTION("IFERROR(
  INDEX(
    FILTER(
      'Juma Recording forms'!$G:$G,
      TRIM('Juma Recording forms'!$F:$F) = TRIM($B282),
      'Juma Recording forms'!$AA:$AA = 4
    ),
    1
  ),
  ""Not Found""
)"),"Not Found")</f>
        <v>Not Found</v>
      </c>
      <c r="AJ282" s="292" t="str">
        <f>IFERROR(__xludf.DUMMYFUNCTION("IFERROR(
  INDEX(
    FILTER(
      'Juma Recording forms'!$G:$G,
      TRIM('Juma Recording forms'!$F:$F) = TRIM($B282),
      'Juma Recording forms'!$AA:$AA = 5
    ),
    1
  ),
  ""Not Found""
)"),"Not Found")</f>
        <v>Not Found</v>
      </c>
      <c r="AK282" s="292" t="str">
        <f>IFERROR(__xludf.DUMMYFUNCTION("IFERROR(
  INDEX(
    FILTER(
      'Juma Recording forms'!$G:$G,
      TRIM('Juma Recording forms'!$F:$F) = TRIM($B282),
      'Juma Recording forms'!$AA:$AA = 6
    ),
    1
  ),
  ""Not Found""
)"),"Not Found")</f>
        <v>Not Found</v>
      </c>
      <c r="AL2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1!$E:$E"")=$B282) *
        (IMPORTRANGE(""https://docs.google.com/spreadsheets/d/161aHT6vVT3SLneTKD19N5qVWtnj_jIT8CSsOmUVKmaA/e"&amp;"dit?gid=1761053510"",
          ""Haris_Form responses 1!$AQ:$AQ"")=1)
      ),
      1
    ),
    ""0""
  ),
  ""Form not found""
)
"),"0")</f>
        <v>0</v>
      </c>
      <c r="AM2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1!$E:$E"")=$B282) *
        (IMPORTRANGE(""https://docs.google.com/spreadsheets/d/161aHT6vVT3SLneTKD19N5qVWtnj_jIT8CSsOmUVKmaA/e"&amp;"dit?gid=1761053510"",
          ""Haris_Form responses 1!$AQ:$AQ"")=2)
      ),
      1
    ),
    ""0""
  ),
  ""Form not found""
)
"),"9")</f>
        <v>9</v>
      </c>
      <c r="AN2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1!$E:$E"")=$B282) *
        (IMPORTRANGE(""https://docs.google.com/spreadsheets/d/161aHT6vVT3SLneTKD19N5qVWtnj_jIT8CSsOmUVKmaA/e"&amp;"dit?gid=1761053510"",
          ""Haris_Form responses 1!$AQ:$AQ"")=3)
      ),
      1
    ),
    ""0""
  ),
  ""Form not found""
)
"),"10")</f>
        <v>10</v>
      </c>
      <c r="AO2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1!$E:$E"")=$B282) *
        (IMPORTRANGE(""https://docs.google.com/spreadsheets/d/161aHT6vVT3SLneTKD19N5qVWtnj_jIT8CSsOmUVKmaA/e"&amp;"dit?gid=1761053510"",
          ""Haris_Form responses 1!$AQ:$AQ"")=4)
      ),
      1
    ),
    ""0""
  ),
  ""Form not found""
)
"),"0")</f>
        <v>0</v>
      </c>
      <c r="AP2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1!$E:$E"")=$B282) *
        (IMPORTRANGE(""https://docs.google.com/spreadsheets/d/161aHT6vVT3SLneTKD19N5qVWtnj_jIT8CSsOmUVKmaA/e"&amp;"dit?gid=1761053510"",
          ""Haris_Form responses 1!$AQ:$AQ"")=5)
      ),
      1
    ),
    ""0""
  ),
  ""Form not found""
)
"),"Form not found")</f>
        <v>Form not found</v>
      </c>
      <c r="AQ28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1!$E:$E"")=$B282) *
        (IMPORTRANGE(""https://docs.google.com/spreadsheets/d/161aHT6vVT3SLneTKD19N5qVWtnj_jIT8CSsOmUVKmaA/e"&amp;"dit?gid=1761053510"",
          ""Haris_Form responses 1!$AQ:$AQ"")=6)
      ),
      1
    ),
    ""0""
  ),
  ""Form not found""
)
"),"Form not found")</f>
        <v>Form not found</v>
      </c>
      <c r="AR2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1!$E:$E"")=$B282) *
        (IMPORTRANGE(""https://docs.google.com/spreadsheets/d/161aHT6vVT3SLneTKD19N5qVWtnj_jIT8CSsOmUVKmaA/e"&amp;"dit?gid=1761053510"",
          ""Haris_Form responses 1!$AQ:$AQ"")=1)
      ),
      1
    ),
    ""0""
  ),
  ""Form not found""
)
"),"0")</f>
        <v>0</v>
      </c>
      <c r="AS2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1!$E:$E"")=$B282) *
        (IMPORTRANGE(""https://docs.google.com/spreadsheets/d/161aHT6vVT3SLneTKD19N5qVWtnj_jIT8CSsOmUVKmaA/e"&amp;"dit?gid=1761053510"",
          ""Haris_Form responses 1!$AQ:$AQ"")=2)
      ),
      1
    ),
    ""0""
  ),
  ""Form not found""
)
"),"9")</f>
        <v>9</v>
      </c>
      <c r="AT2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1!$E:$E"")=$B282) *
        (IMPORTRANGE(""https://docs.google.com/spreadsheets/d/161aHT6vVT3SLneTKD19N5qVWtnj_jIT8CSsOmUVKmaA/e"&amp;"dit?gid=1761053510"",
          ""Haris_Form responses 1!$AQ:$AQ"")=3)
      ),
      1
    ),
    ""0""
  ),
  ""Form not found""
)
"),"10")</f>
        <v>10</v>
      </c>
      <c r="AU2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1!$E:$E"")=$B282) *
        (IMPORTRANGE(""https://docs.google.com/spreadsheets/d/161aHT6vVT3SLneTKD19N5qVWtnj_jIT8CSsOmUVKmaA/e"&amp;"dit?gid=1761053510"",
          ""Haris_Form responses 1!$AQ:$AQ"")=4)
      ),
      1
    ),
    ""0""
  ),
  ""Form not found""
)
"),"0")</f>
        <v>0</v>
      </c>
      <c r="AV2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1!$E:$E"")=$B282) *
        (IMPORTRANGE(""https://docs.google.com/spreadsheets/d/161aHT6vVT3SLneTKD19N5qVWtnj_jIT8CSsOmUVKmaA/e"&amp;"dit?gid=1761053510"",
          ""Haris_Form responses 1!$AQ:$AQ"")=5)
      ),
      1
    ),
    ""0""
  ),
  ""Form not found""
)
"),"Form not found")</f>
        <v>Form not found</v>
      </c>
      <c r="AW28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1!$E:$E"")=$B282) *
        (IMPORTRANGE(""https://docs.google.com/spreadsheets/d/161aHT6vVT3SLneTKD19N5qVWtnj_jIT8CSsOmUVKmaA/e"&amp;"dit?gid=1761053510"",
          ""Haris_Form responses 1!$AQ:$AQ"")=6)
      ),
      1
    ),
    ""0""
  ),
  ""Form not found""
)
"),"Form not found")</f>
        <v>Form not found</v>
      </c>
      <c r="AX2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1!$E:$E"")=$B282) *
        (IMPORTRANGE(""https://docs.google.com/spreadsheets/d/161aHT6vVT3SLneTKD19N5qVWtnj_jIT8CSsOmUVKmaA/e"&amp;"dit?gid=1761053510"",
          ""Haris_Form responses 1!$AQ:$AQ"")=1)
      ),
      1
    ),
    ""0""
  ),
  ""Form not found""
)
"),"0")</f>
        <v>0</v>
      </c>
      <c r="AY2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1!$E:$E"")=$B282) *
        (IMPORTRANGE(""https://docs.google.com/spreadsheets/d/161aHT6vVT3SLneTKD19N5qVWtnj_jIT8CSsOmUVKmaA/e"&amp;"dit?gid=1761053510"",
          ""Haris_Form responses 1!$AQ:$AQ"")=2)
      ),
      1
    ),
    ""0""
  ),
  ""Form not found""
)
"),"0")</f>
        <v>0</v>
      </c>
      <c r="AZ2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1!$E:$E"")=$B282) *
        (IMPORTRANGE(""https://docs.google.com/spreadsheets/d/161aHT6vVT3SLneTKD19N5qVWtnj_jIT8CSsOmUVKmaA/e"&amp;"dit?gid=1761053510"",
          ""Haris_Form responses 1!$AQ:$AQ"")=3)
      ),
      1
    ),
    ""0""
  ),
  ""Form not found""
)
"),"0")</f>
        <v>0</v>
      </c>
      <c r="BA2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1!$E:$E"")=$B282) *
        (IMPORTRANGE(""https://docs.google.com/spreadsheets/d/161aHT6vVT3SLneTKD19N5qVWtnj_jIT8CSsOmUVKmaA/e"&amp;"dit?gid=1761053510"",
          ""Haris_Form responses 1!$AQ:$AQ"")=4)
      ),
      1
    ),
    ""0""
  ),
  ""Form not found""
)
"),"0")</f>
        <v>0</v>
      </c>
      <c r="BB2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1!$E:$E"")=$B282) *
        (IMPORTRANGE(""https://docs.google.com/spreadsheets/d/161aHT6vVT3SLneTKD19N5qVWtnj_jIT8CSsOmUVKmaA/e"&amp;"dit?gid=1761053510"",
          ""Haris_Form responses 1!$AQ:$AQ"")=5)
      ),
      1
    ),
    ""0""
  ),
  ""Form not found""
)
"),"Form not found")</f>
        <v>Form not found</v>
      </c>
      <c r="BC28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1!$E:$E"")=$B282) *
        (IMPORTRANGE(""https://docs.google.com/spreadsheets/d/161aHT6vVT3SLneTKD19N5qVWtnj_jIT8CSsOmUVKmaA/e"&amp;"dit?gid=1761053510"",
          ""Haris_Form responses 1!$AQ:$AQ"")=6)
      ),
      1
    ),
    ""0""
  ),
  ""Form not found""
)
"),"Form not found")</f>
        <v>Form not found</v>
      </c>
      <c r="BD282" s="293"/>
    </row>
    <row r="283">
      <c r="A283" s="283" t="str">
        <f>IFERROR(__xludf.DUMMYFUNCTION("VLOOKUP($B283,IMPORTRANGE(""https://docs.google.com/spreadsheets/d/1VNXDITjs75AcgdBSW27oL1VZH31udDprJSsBcE5xlp4/edit?gid=1551188038#gid=1551188038"", ""Sheet9!$B:$E""),2,false)"),"Rawalpindi")</f>
        <v>Rawalpindi</v>
      </c>
      <c r="B283" s="283" t="s">
        <v>4331</v>
      </c>
      <c r="C283" s="284" t="str">
        <f>IFERROR(__xludf.DUMMYFUNCTION("VLOOKUP(TRIM($B283), IMPORTRANGE(""https://docs.google.com/spreadsheets/d/1aSOrU4PTpuBZqfitKaH1Rfww6-YOiNCKoBpPl8XBHaw/edit?gid=0#gid=0"", ""sheet3!$B:$C""), 2, FALSE)
"),"Masjid Baba Ghulam Badshah Rawalpindi")</f>
        <v>Masjid Baba Ghulam Badshah Rawalpindi</v>
      </c>
      <c r="D283" s="284" t="str">
        <f>IFERROR(__xludf.DUMMYFUNCTION("IFERROR(
  INDEX(
    FILTER(
      IMPORTRANGE(""1aSOrU4PTpuBZqfitKaH1Rfww6-YOiNCKoBpPl8XBHaw/edit?gid=0#gid=0"",""Sheet1!G:G""),
      IMPORTRANGE(""1aSOrU4PTpuBZqfitKaH1Rfww6-YOiNCKoBpPl8XBHaw/edit?gid=0#gid=0"",""Sheet1!C:C"")=$B283
    ),
    1
  ),
"&amp;"  ""Not Found""
)"),"Control")</f>
        <v>Control</v>
      </c>
      <c r="E283" s="284" t="str">
        <f>VLOOKUP(B283,'Juma Recording forms'!A:E,5,false)</f>
        <v>Jamia masjid Al Habib baba quma khan</v>
      </c>
      <c r="F283" s="284" t="str">
        <f>IFERROR(__xludf.DUMMYFUNCTION("IFERROR(
  INDEX(
    FILTER(
      IMPORTRANGE(""1Cxrhp3-_-HS7v9uuqQliiIfrmMP4VaFoDNDWyUFy2J8/edit?gid=0#gid=0"",""Sheet1!Q:Q""),
      IMPORTRANGE(""1Cxrhp3-_-HS7v9uuqQliiIfrmMP4VaFoDNDWyUFy2J8/edit?gid=0#gid=0"",""Sheet1!K:K"")=$B283
    ),
    1
  ),
"&amp;"  ""Not Found""
)"),"Abdul jaleel ")</f>
        <v>Abdul jaleel </v>
      </c>
      <c r="G283" s="292">
        <v>1945.0</v>
      </c>
      <c r="H283" s="284"/>
      <c r="I283" s="285" t="s">
        <v>197</v>
      </c>
      <c r="J283" s="286">
        <v>2.0</v>
      </c>
      <c r="K283" s="287" t="str">
        <f>VLOOKUP($B283,'Mosque Locations'!$A:$E,3,FALSE)
</f>
        <v>https://maps.google.com/maps?q=33.5813044%2C73.0285838&amp;z=17&amp;hl=en</v>
      </c>
      <c r="L283" s="286">
        <f>VLOOKUP($B283,'Mosque Locations'!$A:$E,4,FALSE)
</f>
        <v>33.5813044</v>
      </c>
      <c r="M283" s="286">
        <f>VLOOKUP($B283,'Mosque Locations'!$A:$E,5,false)</f>
        <v>73.0285838</v>
      </c>
      <c r="N283" s="288"/>
      <c r="O283" s="288"/>
      <c r="P283" s="288"/>
      <c r="Q283" s="290" t="str">
        <f>IFERROR(__xludf.DUMMYFUNCTION("IFERROR(
  INDEX(
    FILTER(
      IMPORTRANGE(""1kOrIKZmJfNUkgOVP3sI9BPjaaPA0_a4636oymQxTXg8"",""Form Responses 1!N:N""),
      TRIM(IMPORTRANGE(""1kOrIKZmJfNUkgOVP3sI9BPjaaPA0_a4636oymQxTXg8"",""Form Responses 1!F:F""))=TRIM($B283)
    ),
    1
  ),
  "&amp;"""Not Found""
)
"),"https://drive.google.com/open?id=1_V4wF3lvfCyK2Bi2dBA3fLpo5xHUC9tu")</f>
        <v>https://drive.google.com/open?id=1_V4wF3lvfCyK2Bi2dBA3fLpo5xHUC9tu</v>
      </c>
      <c r="R283" s="290" t="str">
        <f>IFERROR(__xludf.DUMMYFUNCTION("IFERROR(
  INDEX(
    FILTER(
      IMPORTRANGE(""1kOrIKZmJfNUkgOVP3sI9BPjaaPA0_a4636oymQxTXg8"",""Form Responses 1!M:M""),
      TRIM(IMPORTRANGE(""1kOrIKZmJfNUkgOVP3sI9BPjaaPA0_a4636oymQxTXg8"",""Form Responses 1!F:F""))=TRIM($B283)
    ),
    1
  ),
  "&amp;"""Not Found""
)
"),"https://drive.google.com/open?id=1ZI-2UGPp6qFQIN_awZjsAdzzzWAnePRk")</f>
        <v>https://drive.google.com/open?id=1ZI-2UGPp6qFQIN_awZjsAdzzzWAnePRk</v>
      </c>
      <c r="S283" s="285"/>
      <c r="T283" s="290" t="str">
        <f>VLOOKUP($B283,'Master Tracker'!D:E,2,false)</f>
        <v>https://drive.google.com/file/d/1VCRe17H2SHVYCbmH8ER2mpE2GHcOENQ6/view?usp=drive_link</v>
      </c>
      <c r="U283" s="291" t="str">
        <f>VLOOKUP($B283,'Master Tracker'!$D:$T,4,FALSE)
</f>
        <v>https://drive.google.com/open?id=1eQZp65RdajIx1aU1IjhOTAhw3cJZ2apR</v>
      </c>
      <c r="V283" s="284" t="str">
        <f>VLOOKUP($B283,'Master Tracker'!$D:$T,5,false)</f>
        <v/>
      </c>
      <c r="W283" s="292" t="str">
        <f>VLOOKUP($B283,'Master Tracker'!$D:$T,7,false)</f>
        <v>Not Found</v>
      </c>
      <c r="X283" s="290" t="str">
        <f>VLOOKUP($B283,'Master Tracker'!$D:$T,8,false)</f>
        <v>https://drive.google.com/open?id=1mkq0bbc_3ppmz3Qu9Opzbvs6nuk_pKxG</v>
      </c>
      <c r="Y283" s="291" t="str">
        <f>VLOOKUP($B283,'Master Tracker'!$D:$T,10,false)</f>
        <v>https://drive.google.com/open?id=1yO4yM4KH74sGg9l1ZRpRqrtaqdcZ1Zl5</v>
      </c>
      <c r="Z283" s="284" t="str">
        <f>VLOOKUP($B283,'Master Tracker'!$D:$T,11,false)</f>
        <v>Not Found</v>
      </c>
      <c r="AA283" s="292" t="str">
        <f>VLOOKUP($B283,'Master Tracker'!$D:$T,13,false)</f>
        <v>Not Found</v>
      </c>
      <c r="AB283" s="284" t="str">
        <f>VLOOKUP($B283,'Master Tracker'!$D:$T,14,false)</f>
        <v>Not Found</v>
      </c>
      <c r="AC283" s="292" t="str">
        <f>VLOOKUP($B283,'Master Tracker'!$D:$T,16,false)</f>
        <v>Not Found</v>
      </c>
      <c r="AD283" s="292" t="str">
        <f>VLOOKUP($B283,'Master Tracker'!$D:$T,17,false)</f>
        <v>Not Found</v>
      </c>
      <c r="AE283" s="292" t="str">
        <f>VLOOKUP($B283,'Master Tracker'!$D:$V,19,false)</f>
        <v>Not Found</v>
      </c>
      <c r="AF283" s="292">
        <f>IFERROR(__xludf.DUMMYFUNCTION("IFERROR(
  INDEX(
    FILTER(
      'Juma Recording forms'!$G:$G,
      TRIM('Juma Recording forms'!$F:$F) = TRIM($B283),
      'Juma Recording forms'!$AA:$AA = 1
    ),
    1
  ),
  ""Not Found""
)"),244.0)</f>
        <v>244</v>
      </c>
      <c r="AG283" s="292">
        <f>IFERROR(__xludf.DUMMYFUNCTION("IFERROR(
  INDEX(
    FILTER(
      'Juma Recording forms'!$G:$G,
      TRIM('Juma Recording forms'!$F:$F) = TRIM($B283),
      'Juma Recording forms'!$AA:$AA = 2
    ),
    1
  ),
  ""Not Found""
)"),317.0)</f>
        <v>317</v>
      </c>
      <c r="AH283" s="292" t="str">
        <f>IFERROR(__xludf.DUMMYFUNCTION("IFERROR(
  INDEX(
    FILTER(
      'Juma Recording forms'!$G:$G,
      TRIM('Juma Recording forms'!$F:$F) = TRIM($B283),
      'Juma Recording forms'!$AA:$AA = 3
    ),
    1
  ),
  ""Not Found""
)"),"Not Found")</f>
        <v>Not Found</v>
      </c>
      <c r="AI283" s="292" t="str">
        <f>IFERROR(__xludf.DUMMYFUNCTION("IFERROR(
  INDEX(
    FILTER(
      'Juma Recording forms'!$G:$G,
      TRIM('Juma Recording forms'!$F:$F) = TRIM($B283),
      'Juma Recording forms'!$AA:$AA = 4
    ),
    1
  ),
  ""Not Found""
)"),"Not Found")</f>
        <v>Not Found</v>
      </c>
      <c r="AJ283" s="292" t="str">
        <f>IFERROR(__xludf.DUMMYFUNCTION("IFERROR(
  INDEX(
    FILTER(
      'Juma Recording forms'!$G:$G,
      TRIM('Juma Recording forms'!$F:$F) = TRIM($B283),
      'Juma Recording forms'!$AA:$AA = 5
    ),
    1
  ),
  ""Not Found""
)"),"Not Found")</f>
        <v>Not Found</v>
      </c>
      <c r="AK283" s="292" t="str">
        <f>IFERROR(__xludf.DUMMYFUNCTION("IFERROR(
  INDEX(
    FILTER(
      'Juma Recording forms'!$G:$G,
      TRIM('Juma Recording forms'!$F:$F) = TRIM($B283),
      'Juma Recording forms'!$AA:$AA = 6
    ),
    1
  ),
  ""Not Found""
)"),"Not Found")</f>
        <v>Not Found</v>
      </c>
      <c r="AL2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1!$E:$E"")=$B283) *
        (IMPORTRANGE(""https://docs.google.com/spreadsheets/d/161aHT6vVT3SLneTKD19N5qVWtnj_jIT8CSsOmUVKmaA/e"&amp;"dit?gid=1761053510"",
          ""Haris_Form responses 1!$AQ:$AQ"")=1)
      ),
      1
    ),
    ""0""
  ),
  ""Form not found""
)
"),"0")</f>
        <v>0</v>
      </c>
      <c r="AM2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1!$E:$E"")=$B283) *
        (IMPORTRANGE(""https://docs.google.com/spreadsheets/d/161aHT6vVT3SLneTKD19N5qVWtnj_jIT8CSsOmUVKmaA/e"&amp;"dit?gid=1761053510"",
          ""Haris_Form responses 1!$AQ:$AQ"")=2)
      ),
      1
    ),
    ""0""
  ),
  ""Form not found""
)
"),"Form not found")</f>
        <v>Form not found</v>
      </c>
      <c r="AN2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1!$E:$E"")=$B283) *
        (IMPORTRANGE(""https://docs.google.com/spreadsheets/d/161aHT6vVT3SLneTKD19N5qVWtnj_jIT8CSsOmUVKmaA/e"&amp;"dit?gid=1761053510"",
          ""Haris_Form responses 1!$AQ:$AQ"")=3)
      ),
      1
    ),
    ""0""
  ),
  ""Form not found""
)
"),"0")</f>
        <v>0</v>
      </c>
      <c r="AO2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1!$E:$E"")=$B283) *
        (IMPORTRANGE(""https://docs.google.com/spreadsheets/d/161aHT6vVT3SLneTKD19N5qVWtnj_jIT8CSsOmUVKmaA/e"&amp;"dit?gid=1761053510"",
          ""Haris_Form responses 1!$AQ:$AQ"")=4)
      ),
      1
    ),
    ""0""
  ),
  ""Form not found""
)
"),"Form not found")</f>
        <v>Form not found</v>
      </c>
      <c r="AP2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1!$E:$E"")=$B283) *
        (IMPORTRANGE(""https://docs.google.com/spreadsheets/d/161aHT6vVT3SLneTKD19N5qVWtnj_jIT8CSsOmUVKmaA/e"&amp;"dit?gid=1761053510"",
          ""Haris_Form responses 1!$AQ:$AQ"")=5)
      ),
      1
    ),
    ""0""
  ),
  ""Form not found""
)
"),"Form not found")</f>
        <v>Form not found</v>
      </c>
      <c r="AQ28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1!$E:$E"")=$B283) *
        (IMPORTRANGE(""https://docs.google.com/spreadsheets/d/161aHT6vVT3SLneTKD19N5qVWtnj_jIT8CSsOmUVKmaA/e"&amp;"dit?gid=1761053510"",
          ""Haris_Form responses 1!$AQ:$AQ"")=6)
      ),
      1
    ),
    ""0""
  ),
  ""Form not found""
)
"),"Form not found")</f>
        <v>Form not found</v>
      </c>
      <c r="AR2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1!$E:$E"")=$B283) *
        (IMPORTRANGE(""https://docs.google.com/spreadsheets/d/161aHT6vVT3SLneTKD19N5qVWtnj_jIT8CSsOmUVKmaA/e"&amp;"dit?gid=1761053510"",
          ""Haris_Form responses 1!$AQ:$AQ"")=1)
      ),
      1
    ),
    ""0""
  ),
  ""Form not found""
)
"),"0")</f>
        <v>0</v>
      </c>
      <c r="AS2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1!$E:$E"")=$B283) *
        (IMPORTRANGE(""https://docs.google.com/spreadsheets/d/161aHT6vVT3SLneTKD19N5qVWtnj_jIT8CSsOmUVKmaA/e"&amp;"dit?gid=1761053510"",
          ""Haris_Form responses 1!$AQ:$AQ"")=2)
      ),
      1
    ),
    ""0""
  ),
  ""Form not found""
)
"),"Form not found")</f>
        <v>Form not found</v>
      </c>
      <c r="AT2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1!$E:$E"")=$B283) *
        (IMPORTRANGE(""https://docs.google.com/spreadsheets/d/161aHT6vVT3SLneTKD19N5qVWtnj_jIT8CSsOmUVKmaA/e"&amp;"dit?gid=1761053510"",
          ""Haris_Form responses 1!$AQ:$AQ"")=3)
      ),
      1
    ),
    ""0""
  ),
  ""Form not found""
)
"),"0")</f>
        <v>0</v>
      </c>
      <c r="AU2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1!$E:$E"")=$B283) *
        (IMPORTRANGE(""https://docs.google.com/spreadsheets/d/161aHT6vVT3SLneTKD19N5qVWtnj_jIT8CSsOmUVKmaA/e"&amp;"dit?gid=1761053510"",
          ""Haris_Form responses 1!$AQ:$AQ"")=4)
      ),
      1
    ),
    ""0""
  ),
  ""Form not found""
)
"),"Form not found")</f>
        <v>Form not found</v>
      </c>
      <c r="AV2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1!$E:$E"")=$B283) *
        (IMPORTRANGE(""https://docs.google.com/spreadsheets/d/161aHT6vVT3SLneTKD19N5qVWtnj_jIT8CSsOmUVKmaA/e"&amp;"dit?gid=1761053510"",
          ""Haris_Form responses 1!$AQ:$AQ"")=5)
      ),
      1
    ),
    ""0""
  ),
  ""Form not found""
)
"),"Form not found")</f>
        <v>Form not found</v>
      </c>
      <c r="AW28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1!$E:$E"")=$B283) *
        (IMPORTRANGE(""https://docs.google.com/spreadsheets/d/161aHT6vVT3SLneTKD19N5qVWtnj_jIT8CSsOmUVKmaA/e"&amp;"dit?gid=1761053510"",
          ""Haris_Form responses 1!$AQ:$AQ"")=6)
      ),
      1
    ),
    ""0""
  ),
  ""Form not found""
)
"),"Form not found")</f>
        <v>Form not found</v>
      </c>
      <c r="AX2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1!$E:$E"")=$B283) *
        (IMPORTRANGE(""https://docs.google.com/spreadsheets/d/161aHT6vVT3SLneTKD19N5qVWtnj_jIT8CSsOmUVKmaA/e"&amp;"dit?gid=1761053510"",
          ""Haris_Form responses 1!$AQ:$AQ"")=1)
      ),
      1
    ),
    ""0""
  ),
  ""Form not found""
)
"),"0")</f>
        <v>0</v>
      </c>
      <c r="AY2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1!$E:$E"")=$B283) *
        (IMPORTRANGE(""https://docs.google.com/spreadsheets/d/161aHT6vVT3SLneTKD19N5qVWtnj_jIT8CSsOmUVKmaA/e"&amp;"dit?gid=1761053510"",
          ""Haris_Form responses 1!$AQ:$AQ"")=2)
      ),
      1
    ),
    ""0""
  ),
  ""Form not found""
)
"),"Form not found")</f>
        <v>Form not found</v>
      </c>
      <c r="AZ2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1!$E:$E"")=$B283) *
        (IMPORTRANGE(""https://docs.google.com/spreadsheets/d/161aHT6vVT3SLneTKD19N5qVWtnj_jIT8CSsOmUVKmaA/e"&amp;"dit?gid=1761053510"",
          ""Haris_Form responses 1!$AQ:$AQ"")=3)
      ),
      1
    ),
    ""0""
  ),
  ""Form not found""
)
"),"0")</f>
        <v>0</v>
      </c>
      <c r="BA2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1!$E:$E"")=$B283) *
        (IMPORTRANGE(""https://docs.google.com/spreadsheets/d/161aHT6vVT3SLneTKD19N5qVWtnj_jIT8CSsOmUVKmaA/e"&amp;"dit?gid=1761053510"",
          ""Haris_Form responses 1!$AQ:$AQ"")=4)
      ),
      1
    ),
    ""0""
  ),
  ""Form not found""
)
"),"Form not found")</f>
        <v>Form not found</v>
      </c>
      <c r="BB2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1!$E:$E"")=$B283) *
        (IMPORTRANGE(""https://docs.google.com/spreadsheets/d/161aHT6vVT3SLneTKD19N5qVWtnj_jIT8CSsOmUVKmaA/e"&amp;"dit?gid=1761053510"",
          ""Haris_Form responses 1!$AQ:$AQ"")=5)
      ),
      1
    ),
    ""0""
  ),
  ""Form not found""
)
"),"Form not found")</f>
        <v>Form not found</v>
      </c>
      <c r="BC28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1!$E:$E"")=$B283) *
        (IMPORTRANGE(""https://docs.google.com/spreadsheets/d/161aHT6vVT3SLneTKD19N5qVWtnj_jIT8CSsOmUVKmaA/e"&amp;"dit?gid=1761053510"",
          ""Haris_Form responses 1!$AQ:$AQ"")=6)
      ),
      1
    ),
    ""0""
  ),
  ""Form not found""
)
"),"Form not found")</f>
        <v>Form not found</v>
      </c>
      <c r="BD283" s="293"/>
    </row>
    <row r="284">
      <c r="A284" s="283" t="str">
        <f>IFERROR(__xludf.DUMMYFUNCTION("VLOOKUP($B284,IMPORTRANGE(""https://docs.google.com/spreadsheets/d/1VNXDITjs75AcgdBSW27oL1VZH31udDprJSsBcE5xlp4/edit?gid=1551188038#gid=1551188038"", ""Sheet9!$B:$E""),2,false)"),"Rawalpindi")</f>
        <v>Rawalpindi</v>
      </c>
      <c r="B284" s="283" t="s">
        <v>4897</v>
      </c>
      <c r="C284" s="284" t="str">
        <f>IFERROR(__xludf.DUMMYFUNCTION("VLOOKUP(TRIM($B284), IMPORTRANGE(""https://docs.google.com/spreadsheets/d/1aSOrU4PTpuBZqfitKaH1Rfww6-YOiNCKoBpPl8XBHaw/edit?gid=0#gid=0"", ""sheet3!$B:$C""), 2, FALSE)
"),"Jamia Masjid Gul Saraaj Rawalpindi")</f>
        <v>Jamia Masjid Gul Saraaj Rawalpindi</v>
      </c>
      <c r="D284" s="284" t="str">
        <f>IFERROR(__xludf.DUMMYFUNCTION("IFERROR(
  INDEX(
    FILTER(
      IMPORTRANGE(""1aSOrU4PTpuBZqfitKaH1Rfww6-YOiNCKoBpPl8XBHaw/edit?gid=0#gid=0"",""Sheet1!G:G""),
      IMPORTRANGE(""1aSOrU4PTpuBZqfitKaH1Rfww6-YOiNCKoBpPl8XBHaw/edit?gid=0#gid=0"",""Sheet1!C:C"")=$B284
    ),
    1
  ),
"&amp;"  ""Not Found""
)"),"Women Religious No Info Share")</f>
        <v>Women Religious No Info Share</v>
      </c>
      <c r="E284" s="284" t="str">
        <f>VLOOKUP(B284,'Juma Recording forms'!A:E,5,false)</f>
        <v>Jamia masjid gul siraj</v>
      </c>
      <c r="F284" s="284" t="str">
        <f>IFERROR(__xludf.DUMMYFUNCTION("IFERROR(
  INDEX(
    FILTER(
      IMPORTRANGE(""1Cxrhp3-_-HS7v9uuqQliiIfrmMP4VaFoDNDWyUFy2J8/edit?gid=0#gid=0"",""Sheet1!Q:Q""),
      IMPORTRANGE(""1Cxrhp3-_-HS7v9uuqQliiIfrmMP4VaFoDNDWyUFy2J8/edit?gid=0#gid=0"",""Sheet1!K:K"")=$B284
    ),
    1
  ),
"&amp;"  ""Not Found""
)"),"Muhammad Afzal")</f>
        <v>Muhammad Afzal</v>
      </c>
      <c r="G284" s="284"/>
      <c r="H284" s="284"/>
      <c r="I284" s="285" t="s">
        <v>197</v>
      </c>
      <c r="J284" s="286">
        <v>2.0</v>
      </c>
      <c r="K284" s="287" t="str">
        <f>VLOOKUP($B284,'Mosque Locations'!$A:$E,3,FALSE)
</f>
        <v>https://maps.google.com/maps?q=33.6180715%2C73.0669&amp;z=17&amp;hl=en</v>
      </c>
      <c r="L284" s="286">
        <f>VLOOKUP($B284,'Mosque Locations'!$A:$E,4,FALSE)
</f>
        <v>33.6180715</v>
      </c>
      <c r="M284" s="286">
        <f>VLOOKUP($B284,'Mosque Locations'!$A:$E,5,false)</f>
        <v>73.0669</v>
      </c>
      <c r="N284" s="288"/>
      <c r="O284" s="288"/>
      <c r="P284" s="288"/>
      <c r="Q284" s="290" t="str">
        <f>IFERROR(__xludf.DUMMYFUNCTION("IFERROR(
  INDEX(
    FILTER(
      IMPORTRANGE(""1kOrIKZmJfNUkgOVP3sI9BPjaaPA0_a4636oymQxTXg8"",""Form Responses 1!N:N""),
      TRIM(IMPORTRANGE(""1kOrIKZmJfNUkgOVP3sI9BPjaaPA0_a4636oymQxTXg8"",""Form Responses 1!F:F""))=TRIM($B284)
    ),
    1
  ),
  "&amp;"""Not Found""
)
"),"https://drive.google.com/open?id=1C2fW7sbDwj9XQ5rGHZyqP-v6KFWV6BvO")</f>
        <v>https://drive.google.com/open?id=1C2fW7sbDwj9XQ5rGHZyqP-v6KFWV6BvO</v>
      </c>
      <c r="R284" s="290" t="str">
        <f>IFERROR(__xludf.DUMMYFUNCTION("IFERROR(
  INDEX(
    FILTER(
      IMPORTRANGE(""1kOrIKZmJfNUkgOVP3sI9BPjaaPA0_a4636oymQxTXg8"",""Form Responses 1!M:M""),
      TRIM(IMPORTRANGE(""1kOrIKZmJfNUkgOVP3sI9BPjaaPA0_a4636oymQxTXg8"",""Form Responses 1!F:F""))=TRIM($B284)
    ),
    1
  ),
  "&amp;"""Not Found""
)
"),"https://drive.google.com/open?id=1ajOx3t6Ojdo4Yc_QUpGZRT9vWLvaVxZZ")</f>
        <v>https://drive.google.com/open?id=1ajOx3t6Ojdo4Yc_QUpGZRT9vWLvaVxZZ</v>
      </c>
      <c r="S284" s="285"/>
      <c r="T284" s="290" t="str">
        <f>VLOOKUP($B284,'Master Tracker'!D:E,2,false)</f>
        <v>https://drive.google.com/open?id=1fjvZ0cqhYIRN7u_To7B4VGAy4VLIYpd4</v>
      </c>
      <c r="U284" s="291" t="str">
        <f>VLOOKUP($B284,'Master Tracker'!$D:$T,4,FALSE)
</f>
        <v>https://drive.google.com/open?id=1L5vcrtsQIMAkHr9Qv-OKVCkMAMbSTa9h</v>
      </c>
      <c r="V284" s="284" t="str">
        <f>VLOOKUP($B284,'Master Tracker'!$D:$T,5,false)</f>
        <v>Not Found</v>
      </c>
      <c r="W284" s="292" t="str">
        <f>VLOOKUP($B284,'Master Tracker'!$D:$T,7,false)</f>
        <v>Not Found</v>
      </c>
      <c r="X284" s="290" t="str">
        <f>VLOOKUP($B284,'Master Tracker'!$D:$T,8,false)</f>
        <v>https://drive.google.com/file/d/1OlDYluBtYh4T9sl41og2SHimwqI1sNrN/view?usp=drive_link</v>
      </c>
      <c r="Y284" s="291" t="str">
        <f>VLOOKUP($B284,'Master Tracker'!$D:$T,10,false)</f>
        <v>https://drive.google.com/open?id=1e4YpVhG8a25bsXUCp8KoM2r6b1IRHBzl</v>
      </c>
      <c r="Z284" s="290" t="str">
        <f>VLOOKUP($B284,'Master Tracker'!$D:$T,11,false)</f>
        <v>https://drive.google.com/file/d/1ualuQiMREzy9cKENaZck5azPo9nZ9TWB/view?usp=drive_link</v>
      </c>
      <c r="AA284" s="291" t="str">
        <f>VLOOKUP($B284,'Master Tracker'!$D:$T,13,false)</f>
        <v>https://drive.google.com/open?id=1CF_N93n76AsdMF46ddwwqlA-pYIsxwBL</v>
      </c>
      <c r="AB284" s="284" t="str">
        <f>VLOOKUP($B284,'Master Tracker'!$D:$T,14,false)</f>
        <v>Not Found</v>
      </c>
      <c r="AC284" s="292" t="str">
        <f>VLOOKUP($B284,'Master Tracker'!$D:$T,16,false)</f>
        <v>Not Found</v>
      </c>
      <c r="AD284" s="292" t="str">
        <f>VLOOKUP($B284,'Master Tracker'!$D:$T,17,false)</f>
        <v>Not Found</v>
      </c>
      <c r="AE284" s="292" t="str">
        <f>VLOOKUP($B284,'Master Tracker'!$D:$V,19,false)</f>
        <v>Not Found</v>
      </c>
      <c r="AF284" s="292">
        <f>IFERROR(__xludf.DUMMYFUNCTION("IFERROR(
  INDEX(
    FILTER(
      'Juma Recording forms'!$G:$G,
      TRIM('Juma Recording forms'!$F:$F) = TRIM($B284),
      'Juma Recording forms'!$AA:$AA = 1
    ),
    1
  ),
  ""Not Found""
)"),203.0)</f>
        <v>203</v>
      </c>
      <c r="AG284" s="292" t="str">
        <f>IFERROR(__xludf.DUMMYFUNCTION("IFERROR(
  INDEX(
    FILTER(
      'Juma Recording forms'!$G:$G,
      TRIM('Juma Recording forms'!$F:$F) = TRIM($B284),
      'Juma Recording forms'!$AA:$AA = 2
    ),
    1
  ),
  ""Not Found""
)"),"Not Found")</f>
        <v>Not Found</v>
      </c>
      <c r="AH284" s="292" t="str">
        <f>IFERROR(__xludf.DUMMYFUNCTION("IFERROR(
  INDEX(
    FILTER(
      'Juma Recording forms'!$G:$G,
      TRIM('Juma Recording forms'!$F:$F) = TRIM($B284),
      'Juma Recording forms'!$AA:$AA = 3
    ),
    1
  ),
  ""Not Found""
)"),"Not Found")</f>
        <v>Not Found</v>
      </c>
      <c r="AI284" s="292" t="str">
        <f>IFERROR(__xludf.DUMMYFUNCTION("IFERROR(
  INDEX(
    FILTER(
      'Juma Recording forms'!$G:$G,
      TRIM('Juma Recording forms'!$F:$F) = TRIM($B284),
      'Juma Recording forms'!$AA:$AA = 4
    ),
    1
  ),
  ""Not Found""
)"),"Not Found")</f>
        <v>Not Found</v>
      </c>
      <c r="AJ284" s="292" t="str">
        <f>IFERROR(__xludf.DUMMYFUNCTION("IFERROR(
  INDEX(
    FILTER(
      'Juma Recording forms'!$G:$G,
      TRIM('Juma Recording forms'!$F:$F) = TRIM($B284),
      'Juma Recording forms'!$AA:$AA = 5
    ),
    1
  ),
  ""Not Found""
)"),"Not Found")</f>
        <v>Not Found</v>
      </c>
      <c r="AK284" s="292" t="str">
        <f>IFERROR(__xludf.DUMMYFUNCTION("IFERROR(
  INDEX(
    FILTER(
      'Juma Recording forms'!$G:$G,
      TRIM('Juma Recording forms'!$F:$F) = TRIM($B284),
      'Juma Recording forms'!$AA:$AA = 6
    ),
    1
  ),
  ""Not Found""
)"),"Not Found")</f>
        <v>Not Found</v>
      </c>
      <c r="AL2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1!$E:$E"")=$B284) *
        (IMPORTRANGE(""https://docs.google.com/spreadsheets/d/161aHT6vVT3SLneTKD19N5qVWtnj_jIT8CSsOmUVKmaA/e"&amp;"dit?gid=1761053510"",
          ""Haris_Form responses 1!$AQ:$AQ"")=1)
      ),
      1
    ),
    ""0""
  ),
  ""Form not found""
)
"),"10")</f>
        <v>10</v>
      </c>
      <c r="AM2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1!$E:$E"")=$B284) *
        (IMPORTRANGE(""https://docs.google.com/spreadsheets/d/161aHT6vVT3SLneTKD19N5qVWtnj_jIT8CSsOmUVKmaA/e"&amp;"dit?gid=1761053510"",
          ""Haris_Form responses 1!$AQ:$AQ"")=2)
      ),
      1
    ),
    ""0""
  ),
  ""Form not found""
)
"),"Form not found")</f>
        <v>Form not found</v>
      </c>
      <c r="AN2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1!$E:$E"")=$B284) *
        (IMPORTRANGE(""https://docs.google.com/spreadsheets/d/161aHT6vVT3SLneTKD19N5qVWtnj_jIT8CSsOmUVKmaA/e"&amp;"dit?gid=1761053510"",
          ""Haris_Form responses 1!$AQ:$AQ"")=3)
      ),
      1
    ),
    ""0""
  ),
  ""Form not found""
)
"),"8")</f>
        <v>8</v>
      </c>
      <c r="AO2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1!$E:$E"")=$B284) *
        (IMPORTRANGE(""https://docs.google.com/spreadsheets/d/161aHT6vVT3SLneTKD19N5qVWtnj_jIT8CSsOmUVKmaA/e"&amp;"dit?gid=1761053510"",
          ""Haris_Form responses 1!$AQ:$AQ"")=4)
      ),
      1
    ),
    ""0""
  ),
  ""Form not found""
)
"),"0")</f>
        <v>0</v>
      </c>
      <c r="AP2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1!$E:$E"")=$B284) *
        (IMPORTRANGE(""https://docs.google.com/spreadsheets/d/161aHT6vVT3SLneTKD19N5qVWtnj_jIT8CSsOmUVKmaA/e"&amp;"dit?gid=1761053510"",
          ""Haris_Form responses 1!$AQ:$AQ"")=5)
      ),
      1
    ),
    ""0""
  ),
  ""Form not found""
)
"),"Form not found")</f>
        <v>Form not found</v>
      </c>
      <c r="AQ28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1!$E:$E"")=$B284) *
        (IMPORTRANGE(""https://docs.google.com/spreadsheets/d/161aHT6vVT3SLneTKD19N5qVWtnj_jIT8CSsOmUVKmaA/e"&amp;"dit?gid=1761053510"",
          ""Haris_Form responses 1!$AQ:$AQ"")=6)
      ),
      1
    ),
    ""0""
  ),
  ""Form not found""
)
"),"Form not found")</f>
        <v>Form not found</v>
      </c>
      <c r="AR2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1!$E:$E"")=$B284) *
        (IMPORTRANGE(""https://docs.google.com/spreadsheets/d/161aHT6vVT3SLneTKD19N5qVWtnj_jIT8CSsOmUVKmaA/e"&amp;"dit?gid=1761053510"",
          ""Haris_Form responses 1!$AQ:$AQ"")=1)
      ),
      1
    ),
    ""0""
  ),
  ""Form not found""
)
"),"0")</f>
        <v>0</v>
      </c>
      <c r="AS2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1!$E:$E"")=$B284) *
        (IMPORTRANGE(""https://docs.google.com/spreadsheets/d/161aHT6vVT3SLneTKD19N5qVWtnj_jIT8CSsOmUVKmaA/e"&amp;"dit?gid=1761053510"",
          ""Haris_Form responses 1!$AQ:$AQ"")=2)
      ),
      1
    ),
    ""0""
  ),
  ""Form not found""
)
"),"Form not found")</f>
        <v>Form not found</v>
      </c>
      <c r="AT2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1!$E:$E"")=$B284) *
        (IMPORTRANGE(""https://docs.google.com/spreadsheets/d/161aHT6vVT3SLneTKD19N5qVWtnj_jIT8CSsOmUVKmaA/e"&amp;"dit?gid=1761053510"",
          ""Haris_Form responses 1!$AQ:$AQ"")=3)
      ),
      1
    ),
    ""0""
  ),
  ""Form not found""
)
"),"0")</f>
        <v>0</v>
      </c>
      <c r="AU2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1!$E:$E"")=$B284) *
        (IMPORTRANGE(""https://docs.google.com/spreadsheets/d/161aHT6vVT3SLneTKD19N5qVWtnj_jIT8CSsOmUVKmaA/e"&amp;"dit?gid=1761053510"",
          ""Haris_Form responses 1!$AQ:$AQ"")=4)
      ),
      1
    ),
    ""0""
  ),
  ""Form not found""
)
"),"0")</f>
        <v>0</v>
      </c>
      <c r="AV2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1!$E:$E"")=$B284) *
        (IMPORTRANGE(""https://docs.google.com/spreadsheets/d/161aHT6vVT3SLneTKD19N5qVWtnj_jIT8CSsOmUVKmaA/e"&amp;"dit?gid=1761053510"",
          ""Haris_Form responses 1!$AQ:$AQ"")=5)
      ),
      1
    ),
    ""0""
  ),
  ""Form not found""
)
"),"Form not found")</f>
        <v>Form not found</v>
      </c>
      <c r="AW28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1!$E:$E"")=$B284) *
        (IMPORTRANGE(""https://docs.google.com/spreadsheets/d/161aHT6vVT3SLneTKD19N5qVWtnj_jIT8CSsOmUVKmaA/e"&amp;"dit?gid=1761053510"",
          ""Haris_Form responses 1!$AQ:$AQ"")=6)
      ),
      1
    ),
    ""0""
  ),
  ""Form not found""
)
"),"Form not found")</f>
        <v>Form not found</v>
      </c>
      <c r="AX2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1!$E:$E"")=$B284) *
        (IMPORTRANGE(""https://docs.google.com/spreadsheets/d/161aHT6vVT3SLneTKD19N5qVWtnj_jIT8CSsOmUVKmaA/e"&amp;"dit?gid=1761053510"",
          ""Haris_Form responses 1!$AQ:$AQ"")=1)
      ),
      1
    ),
    ""0""
  ),
  ""Form not found""
)
"),"10")</f>
        <v>10</v>
      </c>
      <c r="AY2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1!$E:$E"")=$B284) *
        (IMPORTRANGE(""https://docs.google.com/spreadsheets/d/161aHT6vVT3SLneTKD19N5qVWtnj_jIT8CSsOmUVKmaA/e"&amp;"dit?gid=1761053510"",
          ""Haris_Form responses 1!$AQ:$AQ"")=2)
      ),
      1
    ),
    ""0""
  ),
  ""Form not found""
)
"),"Form not found")</f>
        <v>Form not found</v>
      </c>
      <c r="AZ2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1!$E:$E"")=$B284) *
        (IMPORTRANGE(""https://docs.google.com/spreadsheets/d/161aHT6vVT3SLneTKD19N5qVWtnj_jIT8CSsOmUVKmaA/e"&amp;"dit?gid=1761053510"",
          ""Haris_Form responses 1!$AQ:$AQ"")=3)
      ),
      1
    ),
    ""0""
  ),
  ""Form not found""
)
"),"8")</f>
        <v>8</v>
      </c>
      <c r="BA2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1!$E:$E"")=$B284) *
        (IMPORTRANGE(""https://docs.google.com/spreadsheets/d/161aHT6vVT3SLneTKD19N5qVWtnj_jIT8CSsOmUVKmaA/e"&amp;"dit?gid=1761053510"",
          ""Haris_Form responses 1!$AQ:$AQ"")=4)
      ),
      1
    ),
    ""0""
  ),
  ""Form not found""
)
"),"0")</f>
        <v>0</v>
      </c>
      <c r="BB2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1!$E:$E"")=$B284) *
        (IMPORTRANGE(""https://docs.google.com/spreadsheets/d/161aHT6vVT3SLneTKD19N5qVWtnj_jIT8CSsOmUVKmaA/e"&amp;"dit?gid=1761053510"",
          ""Haris_Form responses 1!$AQ:$AQ"")=5)
      ),
      1
    ),
    ""0""
  ),
  ""Form not found""
)
"),"Form not found")</f>
        <v>Form not found</v>
      </c>
      <c r="BC28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1!$E:$E"")=$B284) *
        (IMPORTRANGE(""https://docs.google.com/spreadsheets/d/161aHT6vVT3SLneTKD19N5qVWtnj_jIT8CSsOmUVKmaA/e"&amp;"dit?gid=1761053510"",
          ""Haris_Form responses 1!$AQ:$AQ"")=6)
      ),
      1
    ),
    ""0""
  ),
  ""Form not found""
)
"),"Form not found")</f>
        <v>Form not found</v>
      </c>
      <c r="BD284" s="293"/>
    </row>
    <row r="285">
      <c r="A285" s="283" t="str">
        <f>IFERROR(__xludf.DUMMYFUNCTION("VLOOKUP($B285,IMPORTRANGE(""https://docs.google.com/spreadsheets/d/1VNXDITjs75AcgdBSW27oL1VZH31udDprJSsBcE5xlp4/edit?gid=1551188038#gid=1551188038"", ""Sheet9!$B:$E""),2,false)"),"Rawalpindi")</f>
        <v>Rawalpindi</v>
      </c>
      <c r="B285" s="283" t="s">
        <v>4350</v>
      </c>
      <c r="C285" s="284" t="str">
        <f>IFERROR(__xludf.DUMMYFUNCTION("VLOOKUP(TRIM($B285), IMPORTRANGE(""https://docs.google.com/spreadsheets/d/1aSOrU4PTpuBZqfitKaH1Rfww6-YOiNCKoBpPl8XBHaw/edit?gid=0#gid=0"", ""sheet3!$B:$C""), 2, FALSE)
"),"Jamia Masjid Gunj Mandi Rawalpindi")</f>
        <v>Jamia Masjid Gunj Mandi Rawalpindi</v>
      </c>
      <c r="D285" s="284" t="str">
        <f>IFERROR(__xludf.DUMMYFUNCTION("IFERROR(
  INDEX(
    FILTER(
      IMPORTRANGE(""1aSOrU4PTpuBZqfitKaH1Rfww6-YOiNCKoBpPl8XBHaw/edit?gid=0#gid=0"",""Sheet1!G:G""),
      IMPORTRANGE(""1aSOrU4PTpuBZqfitKaH1Rfww6-YOiNCKoBpPl8XBHaw/edit?gid=0#gid=0"",""Sheet1!C:C"")=$B285
    ),
    1
  ),
"&amp;"  ""Not Found""
)"),"Community Religious Info Share")</f>
        <v>Community Religious Info Share</v>
      </c>
      <c r="E285" s="284" t="str">
        <f>VLOOKUP(B285,'Juma Recording forms'!A:E,5,false)</f>
        <v>Jamia Masjid ganj mandi Rawalpindi</v>
      </c>
      <c r="F285" s="284" t="str">
        <f>IFERROR(__xludf.DUMMYFUNCTION("IFERROR(
  INDEX(
    FILTER(
      IMPORTRANGE(""1Cxrhp3-_-HS7v9uuqQliiIfrmMP4VaFoDNDWyUFy2J8/edit?gid=0#gid=0"",""Sheet1!Q:Q""),
      IMPORTRANGE(""1Cxrhp3-_-HS7v9uuqQliiIfrmMP4VaFoDNDWyUFy2J8/edit?gid=0#gid=0"",""Sheet1!K:K"")=$B285
    ),
    1
  ),
"&amp;"  ""Not Found""
)"),"Mohammad sharif")</f>
        <v>Mohammad sharif</v>
      </c>
      <c r="G285" s="284"/>
      <c r="H285" s="284"/>
      <c r="I285" s="285" t="s">
        <v>197</v>
      </c>
      <c r="J285" s="286">
        <v>2.0</v>
      </c>
      <c r="K285" s="287" t="str">
        <f>VLOOKUP($B285,'Mosque Locations'!$A:$E,3,FALSE)
</f>
        <v>https://maps.google.com/maps?q=33.6153631%2C73.0528385&amp;z=17&amp;hl=en</v>
      </c>
      <c r="L285" s="286">
        <f>VLOOKUP($B285,'Mosque Locations'!$A:$E,4,FALSE)
</f>
        <v>33.6153631</v>
      </c>
      <c r="M285" s="286">
        <f>VLOOKUP($B285,'Mosque Locations'!$A:$E,5,false)</f>
        <v>73.0528385</v>
      </c>
      <c r="N285" s="288"/>
      <c r="O285" s="288"/>
      <c r="P285" s="288"/>
      <c r="Q285" s="290" t="str">
        <f>IFERROR(__xludf.DUMMYFUNCTION("IFERROR(
  INDEX(
    FILTER(
      IMPORTRANGE(""1kOrIKZmJfNUkgOVP3sI9BPjaaPA0_a4636oymQxTXg8"",""Form Responses 1!N:N""),
      TRIM(IMPORTRANGE(""1kOrIKZmJfNUkgOVP3sI9BPjaaPA0_a4636oymQxTXg8"",""Form Responses 1!F:F""))=TRIM($B285)
    ),
    1
  ),
  "&amp;"""Not Found""
)
"),"https://drive.google.com/open?id=1VW3kO_u5-ddmRykQa5px5zk_fuaFTfgs")</f>
        <v>https://drive.google.com/open?id=1VW3kO_u5-ddmRykQa5px5zk_fuaFTfgs</v>
      </c>
      <c r="R285" s="290" t="str">
        <f>IFERROR(__xludf.DUMMYFUNCTION("IFERROR(
  INDEX(
    FILTER(
      IMPORTRANGE(""1kOrIKZmJfNUkgOVP3sI9BPjaaPA0_a4636oymQxTXg8"",""Form Responses 1!M:M""),
      TRIM(IMPORTRANGE(""1kOrIKZmJfNUkgOVP3sI9BPjaaPA0_a4636oymQxTXg8"",""Form Responses 1!F:F""))=TRIM($B285)
    ),
    1
  ),
  "&amp;"""Not Found""
)
"),"https://drive.google.com/open?id=1DTs8BEJCxomrhEV4Qb4QYpiv2NyOr8ti")</f>
        <v>https://drive.google.com/open?id=1DTs8BEJCxomrhEV4Qb4QYpiv2NyOr8ti</v>
      </c>
      <c r="S285" s="285"/>
      <c r="T285" s="290" t="str">
        <f>VLOOKUP($B285,'Master Tracker'!D:E,2,false)</f>
        <v>https://drive.google.com/open?id=1osr6nZH-i4_ppnO0XKS75mcOqxeS4E4M</v>
      </c>
      <c r="U285" s="291" t="str">
        <f>VLOOKUP($B285,'Master Tracker'!$D:$T,4,FALSE)
</f>
        <v>https://drive.google.com/open?id=1Muy4CFToOt6fp0PtMoekHGMB9SIYF0Jh</v>
      </c>
      <c r="V285" s="290" t="str">
        <f>VLOOKUP($B285,'Master Tracker'!$D:$T,5,false)</f>
        <v>https://drive.google.com/open?id=11MXI7wcAI2t2sLFelu3QsNP7_tb7oU-L</v>
      </c>
      <c r="W285" s="291" t="str">
        <f>VLOOKUP($B285,'Master Tracker'!$D:$T,7,false)</f>
        <v>https://drive.google.com/open?id=1UFNljZWYaW-dLWVP3lTUYon3JYV-LOFx</v>
      </c>
      <c r="X285" s="290" t="str">
        <f>VLOOKUP($B285,'Master Tracker'!$D:$T,8,false)</f>
        <v>https://drive.google.com/open?id=1vKKdXewFz9a9WHE3naglr1ExEod5F4PD</v>
      </c>
      <c r="Y285" s="291" t="str">
        <f>VLOOKUP($B285,'Master Tracker'!$D:$T,10,false)</f>
        <v>https://drive.google.com/open?id=1TaAriRTCspa0LsoYnr5YJIpJY1mMiJwt</v>
      </c>
      <c r="Z285" s="284" t="str">
        <f>VLOOKUP($B285,'Master Tracker'!$D:$T,11,false)</f>
        <v>Not Found</v>
      </c>
      <c r="AA285" s="292" t="str">
        <f>VLOOKUP($B285,'Master Tracker'!$D:$T,13,false)</f>
        <v>Not Found</v>
      </c>
      <c r="AB285" s="284" t="str">
        <f>VLOOKUP($B285,'Master Tracker'!$D:$T,14,false)</f>
        <v>Not Found</v>
      </c>
      <c r="AC285" s="292" t="str">
        <f>VLOOKUP($B285,'Master Tracker'!$D:$T,16,false)</f>
        <v>Not Found</v>
      </c>
      <c r="AD285" s="292" t="str">
        <f>VLOOKUP($B285,'Master Tracker'!$D:$T,17,false)</f>
        <v>Not Found</v>
      </c>
      <c r="AE285" s="292" t="str">
        <f>VLOOKUP($B285,'Master Tracker'!$D:$V,19,false)</f>
        <v>Not Found</v>
      </c>
      <c r="AF285" s="292">
        <f>IFERROR(__xludf.DUMMYFUNCTION("IFERROR(
  INDEX(
    FILTER(
      'Juma Recording forms'!$G:$G,
      TRIM('Juma Recording forms'!$F:$F) = TRIM($B285),
      'Juma Recording forms'!$AA:$AA = 1
    ),
    1
  ),
  ""Not Found""
)"),500.0)</f>
        <v>500</v>
      </c>
      <c r="AG285" s="292">
        <f>IFERROR(__xludf.DUMMYFUNCTION("IFERROR(
  INDEX(
    FILTER(
      'Juma Recording forms'!$G:$G,
      TRIM('Juma Recording forms'!$F:$F) = TRIM($B285),
      'Juma Recording forms'!$AA:$AA = 2
    ),
    1
  ),
  ""Not Found""
)"),511.0)</f>
        <v>511</v>
      </c>
      <c r="AH285" s="292" t="str">
        <f>IFERROR(__xludf.DUMMYFUNCTION("IFERROR(
  INDEX(
    FILTER(
      'Juma Recording forms'!$G:$G,
      TRIM('Juma Recording forms'!$F:$F) = TRIM($B285),
      'Juma Recording forms'!$AA:$AA = 3
    ),
    1
  ),
  ""Not Found""
)"),"Not Found")</f>
        <v>Not Found</v>
      </c>
      <c r="AI285" s="292" t="str">
        <f>IFERROR(__xludf.DUMMYFUNCTION("IFERROR(
  INDEX(
    FILTER(
      'Juma Recording forms'!$G:$G,
      TRIM('Juma Recording forms'!$F:$F) = TRIM($B285),
      'Juma Recording forms'!$AA:$AA = 4
    ),
    1
  ),
  ""Not Found""
)"),"Not Found")</f>
        <v>Not Found</v>
      </c>
      <c r="AJ285" s="292" t="str">
        <f>IFERROR(__xludf.DUMMYFUNCTION("IFERROR(
  INDEX(
    FILTER(
      'Juma Recording forms'!$G:$G,
      TRIM('Juma Recording forms'!$F:$F) = TRIM($B285),
      'Juma Recording forms'!$AA:$AA = 5
    ),
    1
  ),
  ""Not Found""
)"),"Not Found")</f>
        <v>Not Found</v>
      </c>
      <c r="AK285" s="292" t="str">
        <f>IFERROR(__xludf.DUMMYFUNCTION("IFERROR(
  INDEX(
    FILTER(
      'Juma Recording forms'!$G:$G,
      TRIM('Juma Recording forms'!$F:$F) = TRIM($B285),
      'Juma Recording forms'!$AA:$AA = 6
    ),
    1
  ),
  ""Not Found""
)"),"Not Found")</f>
        <v>Not Found</v>
      </c>
      <c r="AL2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1!$E:$E"")=$B285) *
        (IMPORTRANGE(""https://docs.google.com/spreadsheets/d/161aHT6vVT3SLneTKD19N5qVWtnj_jIT8CSsOmUVKmaA/e"&amp;"dit?gid=1761053510"",
          ""Haris_Form responses 1!$AQ:$AQ"")=1)
      ),
      1
    ),
    ""0""
  ),
  ""Form not found""
)
"),"10")</f>
        <v>10</v>
      </c>
      <c r="AM2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1!$E:$E"")=$B285) *
        (IMPORTRANGE(""https://docs.google.com/spreadsheets/d/161aHT6vVT3SLneTKD19N5qVWtnj_jIT8CSsOmUVKmaA/e"&amp;"dit?gid=1761053510"",
          ""Haris_Form responses 1!$AQ:$AQ"")=2)
      ),
      1
    ),
    ""0""
  ),
  ""Form not found""
)
"),"10")</f>
        <v>10</v>
      </c>
      <c r="AN2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1!$E:$E"")=$B285) *
        (IMPORTRANGE(""https://docs.google.com/spreadsheets/d/161aHT6vVT3SLneTKD19N5qVWtnj_jIT8CSsOmUVKmaA/e"&amp;"dit?gid=1761053510"",
          ""Haris_Form responses 1!$AQ:$AQ"")=3)
      ),
      1
    ),
    ""0""
  ),
  ""Form not found""
)
"),"0")</f>
        <v>0</v>
      </c>
      <c r="AO2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1!$E:$E"")=$B285) *
        (IMPORTRANGE(""https://docs.google.com/spreadsheets/d/161aHT6vVT3SLneTKD19N5qVWtnj_jIT8CSsOmUVKmaA/e"&amp;"dit?gid=1761053510"",
          ""Haris_Form responses 1!$AQ:$AQ"")=4)
      ),
      1
    ),
    ""0""
  ),
  ""Form not found""
)
"),"Form not found")</f>
        <v>Form not found</v>
      </c>
      <c r="AP2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1!$E:$E"")=$B285) *
        (IMPORTRANGE(""https://docs.google.com/spreadsheets/d/161aHT6vVT3SLneTKD19N5qVWtnj_jIT8CSsOmUVKmaA/e"&amp;"dit?gid=1761053510"",
          ""Haris_Form responses 1!$AQ:$AQ"")=5)
      ),
      1
    ),
    ""0""
  ),
  ""Form not found""
)
"),"Form not found")</f>
        <v>Form not found</v>
      </c>
      <c r="AQ28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1!$E:$E"")=$B285) *
        (IMPORTRANGE(""https://docs.google.com/spreadsheets/d/161aHT6vVT3SLneTKD19N5qVWtnj_jIT8CSsOmUVKmaA/e"&amp;"dit?gid=1761053510"",
          ""Haris_Form responses 1!$AQ:$AQ"")=6)
      ),
      1
    ),
    ""0""
  ),
  ""Form not found""
)
"),"Form not found")</f>
        <v>Form not found</v>
      </c>
      <c r="AR2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1!$E:$E"")=$B285) *
        (IMPORTRANGE(""https://docs.google.com/spreadsheets/d/161aHT6vVT3SLneTKD19N5qVWtnj_jIT8CSsOmUVKmaA/e"&amp;"dit?gid=1761053510"",
          ""Haris_Form responses 1!$AQ:$AQ"")=1)
      ),
      1
    ),
    ""0""
  ),
  ""Form not found""
)
"),"10")</f>
        <v>10</v>
      </c>
      <c r="AS2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1!$E:$E"")=$B285) *
        (IMPORTRANGE(""https://docs.google.com/spreadsheets/d/161aHT6vVT3SLneTKD19N5qVWtnj_jIT8CSsOmUVKmaA/e"&amp;"dit?gid=1761053510"",
          ""Haris_Form responses 1!$AQ:$AQ"")=2)
      ),
      1
    ),
    ""0""
  ),
  ""Form not found""
)
"),"10")</f>
        <v>10</v>
      </c>
      <c r="AT2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1!$E:$E"")=$B285) *
        (IMPORTRANGE(""https://docs.google.com/spreadsheets/d/161aHT6vVT3SLneTKD19N5qVWtnj_jIT8CSsOmUVKmaA/e"&amp;"dit?gid=1761053510"",
          ""Haris_Form responses 1!$AQ:$AQ"")=3)
      ),
      1
    ),
    ""0""
  ),
  ""Form not found""
)
"),"0")</f>
        <v>0</v>
      </c>
      <c r="AU2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1!$E:$E"")=$B285) *
        (IMPORTRANGE(""https://docs.google.com/spreadsheets/d/161aHT6vVT3SLneTKD19N5qVWtnj_jIT8CSsOmUVKmaA/e"&amp;"dit?gid=1761053510"",
          ""Haris_Form responses 1!$AQ:$AQ"")=4)
      ),
      1
    ),
    ""0""
  ),
  ""Form not found""
)
"),"Form not found")</f>
        <v>Form not found</v>
      </c>
      <c r="AV2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1!$E:$E"")=$B285) *
        (IMPORTRANGE(""https://docs.google.com/spreadsheets/d/161aHT6vVT3SLneTKD19N5qVWtnj_jIT8CSsOmUVKmaA/e"&amp;"dit?gid=1761053510"",
          ""Haris_Form responses 1!$AQ:$AQ"")=5)
      ),
      1
    ),
    ""0""
  ),
  ""Form not found""
)
"),"Form not found")</f>
        <v>Form not found</v>
      </c>
      <c r="AW28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1!$E:$E"")=$B285) *
        (IMPORTRANGE(""https://docs.google.com/spreadsheets/d/161aHT6vVT3SLneTKD19N5qVWtnj_jIT8CSsOmUVKmaA/e"&amp;"dit?gid=1761053510"",
          ""Haris_Form responses 1!$AQ:$AQ"")=6)
      ),
      1
    ),
    ""0""
  ),
  ""Form not found""
)
"),"Form not found")</f>
        <v>Form not found</v>
      </c>
      <c r="AX2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1!$E:$E"")=$B285) *
        (IMPORTRANGE(""https://docs.google.com/spreadsheets/d/161aHT6vVT3SLneTKD19N5qVWtnj_jIT8CSsOmUVKmaA/e"&amp;"dit?gid=1761053510"",
          ""Haris_Form responses 1!$AQ:$AQ"")=1)
      ),
      1
    ),
    ""0""
  ),
  ""Form not found""
)
"),"0")</f>
        <v>0</v>
      </c>
      <c r="AY2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1!$E:$E"")=$B285) *
        (IMPORTRANGE(""https://docs.google.com/spreadsheets/d/161aHT6vVT3SLneTKD19N5qVWtnj_jIT8CSsOmUVKmaA/e"&amp;"dit?gid=1761053510"",
          ""Haris_Form responses 1!$AQ:$AQ"")=2)
      ),
      1
    ),
    ""0""
  ),
  ""Form not found""
)
"),"0")</f>
        <v>0</v>
      </c>
      <c r="AZ2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1!$E:$E"")=$B285) *
        (IMPORTRANGE(""https://docs.google.com/spreadsheets/d/161aHT6vVT3SLneTKD19N5qVWtnj_jIT8CSsOmUVKmaA/e"&amp;"dit?gid=1761053510"",
          ""Haris_Form responses 1!$AQ:$AQ"")=3)
      ),
      1
    ),
    ""0""
  ),
  ""Form not found""
)
"),"0")</f>
        <v>0</v>
      </c>
      <c r="BA2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1!$E:$E"")=$B285) *
        (IMPORTRANGE(""https://docs.google.com/spreadsheets/d/161aHT6vVT3SLneTKD19N5qVWtnj_jIT8CSsOmUVKmaA/e"&amp;"dit?gid=1761053510"",
          ""Haris_Form responses 1!$AQ:$AQ"")=4)
      ),
      1
    ),
    ""0""
  ),
  ""Form not found""
)
"),"Form not found")</f>
        <v>Form not found</v>
      </c>
      <c r="BB2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1!$E:$E"")=$B285) *
        (IMPORTRANGE(""https://docs.google.com/spreadsheets/d/161aHT6vVT3SLneTKD19N5qVWtnj_jIT8CSsOmUVKmaA/e"&amp;"dit?gid=1761053510"",
          ""Haris_Form responses 1!$AQ:$AQ"")=5)
      ),
      1
    ),
    ""0""
  ),
  ""Form not found""
)
"),"Form not found")</f>
        <v>Form not found</v>
      </c>
      <c r="BC28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1!$E:$E"")=$B285) *
        (IMPORTRANGE(""https://docs.google.com/spreadsheets/d/161aHT6vVT3SLneTKD19N5qVWtnj_jIT8CSsOmUVKmaA/e"&amp;"dit?gid=1761053510"",
          ""Haris_Form responses 1!$AQ:$AQ"")=6)
      ),
      1
    ),
    ""0""
  ),
  ""Form not found""
)
"),"Form not found")</f>
        <v>Form not found</v>
      </c>
      <c r="BD285" s="293"/>
    </row>
    <row r="286">
      <c r="A286" s="283" t="str">
        <f>IFERROR(__xludf.DUMMYFUNCTION("VLOOKUP($B286,IMPORTRANGE(""https://docs.google.com/spreadsheets/d/1VNXDITjs75AcgdBSW27oL1VZH31udDprJSsBcE5xlp4/edit?gid=1551188038#gid=1551188038"", ""Sheet9!$B:$E""),2,false)"),"Rawalpindi")</f>
        <v>Rawalpindi</v>
      </c>
      <c r="B286" s="283" t="s">
        <v>4421</v>
      </c>
      <c r="C286" s="284" t="str">
        <f>IFERROR(__xludf.DUMMYFUNCTION("VLOOKUP(TRIM($B286), IMPORTRANGE(""https://docs.google.com/spreadsheets/d/1aSOrU4PTpuBZqfitKaH1Rfww6-YOiNCKoBpPl8XBHaw/edit?gid=0#gid=0"", ""sheet3!$B:$C""), 2, FALSE)
"),"Jamia Masjid Darbar Baba Jahaar Chaklala Rawalpindi")</f>
        <v>Jamia Masjid Darbar Baba Jahaar Chaklala Rawalpindi</v>
      </c>
      <c r="D286" s="284" t="str">
        <f>IFERROR(__xludf.DUMMYFUNCTION("IFERROR(
  INDEX(
    FILTER(
      IMPORTRANGE(""1aSOrU4PTpuBZqfitKaH1Rfww6-YOiNCKoBpPl8XBHaw/edit?gid=0#gid=0"",""Sheet1!G:G""),
      IMPORTRANGE(""1aSOrU4PTpuBZqfitKaH1Rfww6-YOiNCKoBpPl8XBHaw/edit?gid=0#gid=0"",""Sheet1!C:C"")=$B286
    ),
    1
  ),
"&amp;"  ""Not Found""
)"),"Community Secular No Info Share")</f>
        <v>Community Secular No Info Share</v>
      </c>
      <c r="E286" s="284" t="str">
        <f>VLOOKUP(B286,'Juma Recording forms'!A:E,5,false)</f>
        <v>Jamia Masjid darbar baba jhar sarkar</v>
      </c>
      <c r="F286" s="284" t="str">
        <f>IFERROR(__xludf.DUMMYFUNCTION("IFERROR(
  INDEX(
    FILTER(
      IMPORTRANGE(""1Cxrhp3-_-HS7v9uuqQliiIfrmMP4VaFoDNDWyUFy2J8/edit?gid=0#gid=0"",""Sheet1!Q:Q""),
      IMPORTRANGE(""1Cxrhp3-_-HS7v9uuqQliiIfrmMP4VaFoDNDWyUFy2J8/edit?gid=0#gid=0"",""Sheet1!K:K"")=$B286
    ),
    1
  ),
"&amp;"  ""Not Found""
)"),"mulana syed zafar iqbal")</f>
        <v>mulana syed zafar iqbal</v>
      </c>
      <c r="G286" s="284"/>
      <c r="H286" s="284"/>
      <c r="I286" s="285" t="s">
        <v>197</v>
      </c>
      <c r="J286" s="286">
        <v>2.0</v>
      </c>
      <c r="K286" s="287" t="str">
        <f>VLOOKUP($B286,'Mosque Locations'!$A:$E,3,FALSE)
</f>
        <v>https://maps.google.com/maps?q=33.6049542%2C73.1011314&amp;z=17&amp;hl=en</v>
      </c>
      <c r="L286" s="286">
        <f>VLOOKUP($B286,'Mosque Locations'!$A:$E,4,FALSE)
</f>
        <v>33.6049542</v>
      </c>
      <c r="M286" s="286">
        <f>VLOOKUP($B286,'Mosque Locations'!$A:$E,5,false)</f>
        <v>73.1011314</v>
      </c>
      <c r="N286" s="288"/>
      <c r="O286" s="288"/>
      <c r="P286" s="288"/>
      <c r="Q286" s="290" t="str">
        <f>IFERROR(__xludf.DUMMYFUNCTION("IFERROR(
  INDEX(
    FILTER(
      IMPORTRANGE(""1kOrIKZmJfNUkgOVP3sI9BPjaaPA0_a4636oymQxTXg8"",""Form Responses 1!N:N""),
      TRIM(IMPORTRANGE(""1kOrIKZmJfNUkgOVP3sI9BPjaaPA0_a4636oymQxTXg8"",""Form Responses 1!F:F""))=TRIM($B286)
    ),
    1
  ),
  "&amp;"""Not Found""
)
"),"https://drive.google.com/open?id=1BmqdFzmOCyfmCJoPskDSCU6dpB8VmGpg")</f>
        <v>https://drive.google.com/open?id=1BmqdFzmOCyfmCJoPskDSCU6dpB8VmGpg</v>
      </c>
      <c r="R286" s="290" t="str">
        <f>IFERROR(__xludf.DUMMYFUNCTION("IFERROR(
  INDEX(
    FILTER(
      IMPORTRANGE(""1kOrIKZmJfNUkgOVP3sI9BPjaaPA0_a4636oymQxTXg8"",""Form Responses 1!M:M""),
      TRIM(IMPORTRANGE(""1kOrIKZmJfNUkgOVP3sI9BPjaaPA0_a4636oymQxTXg8"",""Form Responses 1!F:F""))=TRIM($B286)
    ),
    1
  ),
  "&amp;"""Not Found""
)
"),"https://drive.google.com/open?id=1UTG93Lj68HwtZLEp4Ii_ch6e38sXTIRo")</f>
        <v>https://drive.google.com/open?id=1UTG93Lj68HwtZLEp4Ii_ch6e38sXTIRo</v>
      </c>
      <c r="S286" s="285"/>
      <c r="T286" s="284" t="str">
        <f>VLOOKUP($B286,'Master Tracker'!D:E,2,false)</f>
        <v>Not Found</v>
      </c>
      <c r="U286" s="292" t="str">
        <f>VLOOKUP($B286,'Master Tracker'!$D:$T,4,FALSE)
</f>
        <v>Not Found</v>
      </c>
      <c r="V286" s="290" t="str">
        <f>VLOOKUP($B286,'Master Tracker'!$D:$T,5,false)</f>
        <v>https://drive.google.com/open?id=1KjcvlgCaIPTFHA2lvvJhFuOmmN_5c8yX</v>
      </c>
      <c r="W286" s="291" t="str">
        <f>VLOOKUP($B286,'Master Tracker'!$D:$T,7,false)</f>
        <v>https://drive.google.com/open?id=1mVxqMPzDyLsQlnuR2QcqTFAVEgo2OWDeYjTnjlNdEew</v>
      </c>
      <c r="X286" s="284" t="str">
        <f>VLOOKUP($B286,'Master Tracker'!$D:$T,8,false)</f>
        <v>Not Found</v>
      </c>
      <c r="Y286" s="292" t="str">
        <f>VLOOKUP($B286,'Master Tracker'!$D:$T,10,false)</f>
        <v>Not Found</v>
      </c>
      <c r="Z286" s="284" t="str">
        <f>VLOOKUP($B286,'Master Tracker'!$D:$T,11,false)</f>
        <v>Not Found</v>
      </c>
      <c r="AA286" s="292" t="str">
        <f>VLOOKUP($B286,'Master Tracker'!$D:$T,13,false)</f>
        <v>Not Found</v>
      </c>
      <c r="AB286" s="290" t="str">
        <f>VLOOKUP($B286,'Master Tracker'!$D:$T,14,false)</f>
        <v>https://drive.google.com/open?id=17jv7_20CoICMJkmaPWKKneIq6ZbhUZdi</v>
      </c>
      <c r="AC286" s="291" t="str">
        <f>VLOOKUP($B286,'Master Tracker'!$D:$T,16,false)</f>
        <v>https://drive.google.com/open?id=1Zeu2cBiWsAxmlVyyLM9gpq80iTS8lep-</v>
      </c>
      <c r="AD286" s="291" t="str">
        <f>VLOOKUP($B286,'Master Tracker'!$D:$T,17,false)</f>
        <v>https://drive.google.com/open?id=1kYppkRWR7lJMCRKXg-PzWpAQVNo78wkq</v>
      </c>
      <c r="AE286" s="291" t="str">
        <f>VLOOKUP($B286,'Master Tracker'!$D:$V,19,false)</f>
        <v>https://drive.google.com/open?id=1HA0PNNDj3KREOWZlqWbhcFLmXdq2KN20</v>
      </c>
      <c r="AF286" s="292" t="str">
        <f>IFERROR(__xludf.DUMMYFUNCTION("IFERROR(
  INDEX(
    FILTER(
      'Juma Recording forms'!$G:$G,
      TRIM('Juma Recording forms'!$F:$F) = TRIM($B286),
      'Juma Recording forms'!$AA:$AA = 1
    ),
    1
  ),
  ""Not Found""
)"),"Not Found")</f>
        <v>Not Found</v>
      </c>
      <c r="AG286" s="292">
        <f>IFERROR(__xludf.DUMMYFUNCTION("IFERROR(
  INDEX(
    FILTER(
      'Juma Recording forms'!$G:$G,
      TRIM('Juma Recording forms'!$F:$F) = TRIM($B286),
      'Juma Recording forms'!$AA:$AA = 2
    ),
    1
  ),
  ""Not Found""
)"),150.0)</f>
        <v>150</v>
      </c>
      <c r="AH286" s="292" t="str">
        <f>IFERROR(__xludf.DUMMYFUNCTION("IFERROR(
  INDEX(
    FILTER(
      'Juma Recording forms'!$G:$G,
      TRIM('Juma Recording forms'!$F:$F) = TRIM($B286),
      'Juma Recording forms'!$AA:$AA = 3
    ),
    1
  ),
  ""Not Found""
)"),"Not Found")</f>
        <v>Not Found</v>
      </c>
      <c r="AI286" s="292" t="str">
        <f>IFERROR(__xludf.DUMMYFUNCTION("IFERROR(
  INDEX(
    FILTER(
      'Juma Recording forms'!$G:$G,
      TRIM('Juma Recording forms'!$F:$F) = TRIM($B286),
      'Juma Recording forms'!$AA:$AA = 4
    ),
    1
  ),
  ""Not Found""
)"),"Not Found")</f>
        <v>Not Found</v>
      </c>
      <c r="AJ286" s="292" t="str">
        <f>IFERROR(__xludf.DUMMYFUNCTION("IFERROR(
  INDEX(
    FILTER(
      'Juma Recording forms'!$G:$G,
      TRIM('Juma Recording forms'!$F:$F) = TRIM($B286),
      'Juma Recording forms'!$AA:$AA = 5
    ),
    1
  ),
  ""Not Found""
)"),"Not Found")</f>
        <v>Not Found</v>
      </c>
      <c r="AK286" s="292" t="str">
        <f>IFERROR(__xludf.DUMMYFUNCTION("IFERROR(
  INDEX(
    FILTER(
      'Juma Recording forms'!$G:$G,
      TRIM('Juma Recording forms'!$F:$F) = TRIM($B286),
      'Juma Recording forms'!$AA:$AA = 6
    ),
    1
  ),
  ""Not Found""
)"),"Not Found")</f>
        <v>Not Found</v>
      </c>
      <c r="AL2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1!$E:$E"")=$B286) *
        (IMPORTRANGE(""https://docs.google.com/spreadsheets/d/161aHT6vVT3SLneTKD19N5qVWtnj_jIT8CSsOmUVKmaA/e"&amp;"dit?gid=1761053510"",
          ""Haris_Form responses 1!$AQ:$AQ"")=1)
      ),
      1
    ),
    ""0""
  ),
  ""Form not found""
)
"),"Form not found")</f>
        <v>Form not found</v>
      </c>
      <c r="AM2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1!$E:$E"")=$B286) *
        (IMPORTRANGE(""https://docs.google.com/spreadsheets/d/161aHT6vVT3SLneTKD19N5qVWtnj_jIT8CSsOmUVKmaA/e"&amp;"dit?gid=1761053510"",
          ""Haris_Form responses 1!$AQ:$AQ"")=2)
      ),
      1
    ),
    ""0""
  ),
  ""Form not found""
)
"),"9")</f>
        <v>9</v>
      </c>
      <c r="AN2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1!$E:$E"")=$B286) *
        (IMPORTRANGE(""https://docs.google.com/spreadsheets/d/161aHT6vVT3SLneTKD19N5qVWtnj_jIT8CSsOmUVKmaA/e"&amp;"dit?gid=1761053510"",
          ""Haris_Form responses 1!$AQ:$AQ"")=3)
      ),
      1
    ),
    ""0""
  ),
  ""Form not found""
)
"),"Form not found")</f>
        <v>Form not found</v>
      </c>
      <c r="AO2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1!$E:$E"")=$B286) *
        (IMPORTRANGE(""https://docs.google.com/spreadsheets/d/161aHT6vVT3SLneTKD19N5qVWtnj_jIT8CSsOmUVKmaA/e"&amp;"dit?gid=1761053510"",
          ""Haris_Form responses 1!$AQ:$AQ"")=4)
      ),
      1
    ),
    ""0""
  ),
  ""Form not found""
)
"),"Form not found")</f>
        <v>Form not found</v>
      </c>
      <c r="AP2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1!$E:$E"")=$B286) *
        (IMPORTRANGE(""https://docs.google.com/spreadsheets/d/161aHT6vVT3SLneTKD19N5qVWtnj_jIT8CSsOmUVKmaA/e"&amp;"dit?gid=1761053510"",
          ""Haris_Form responses 1!$AQ:$AQ"")=5)
      ),
      1
    ),
    ""0""
  ),
  ""Form not found""
)
"),"0")</f>
        <v>0</v>
      </c>
      <c r="AQ28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1!$E:$E"")=$B286) *
        (IMPORTRANGE(""https://docs.google.com/spreadsheets/d/161aHT6vVT3SLneTKD19N5qVWtnj_jIT8CSsOmUVKmaA/e"&amp;"dit?gid=1761053510"",
          ""Haris_Form responses 1!$AQ:$AQ"")=6)
      ),
      1
    ),
    ""0""
  ),
  ""Form not found""
)
"),"0")</f>
        <v>0</v>
      </c>
      <c r="AR2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1!$E:$E"")=$B286) *
        (IMPORTRANGE(""https://docs.google.com/spreadsheets/d/161aHT6vVT3SLneTKD19N5qVWtnj_jIT8CSsOmUVKmaA/e"&amp;"dit?gid=1761053510"",
          ""Haris_Form responses 1!$AQ:$AQ"")=1)
      ),
      1
    ),
    ""0""
  ),
  ""Form not found""
)
"),"Form not found")</f>
        <v>Form not found</v>
      </c>
      <c r="AS2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1!$E:$E"")=$B286) *
        (IMPORTRANGE(""https://docs.google.com/spreadsheets/d/161aHT6vVT3SLneTKD19N5qVWtnj_jIT8CSsOmUVKmaA/e"&amp;"dit?gid=1761053510"",
          ""Haris_Form responses 1!$AQ:$AQ"")=2)
      ),
      1
    ),
    ""0""
  ),
  ""Form not found""
)
"),"9")</f>
        <v>9</v>
      </c>
      <c r="AT2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1!$E:$E"")=$B286) *
        (IMPORTRANGE(""https://docs.google.com/spreadsheets/d/161aHT6vVT3SLneTKD19N5qVWtnj_jIT8CSsOmUVKmaA/e"&amp;"dit?gid=1761053510"",
          ""Haris_Form responses 1!$AQ:$AQ"")=3)
      ),
      1
    ),
    ""0""
  ),
  ""Form not found""
)
"),"Form not found")</f>
        <v>Form not found</v>
      </c>
      <c r="AU2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1!$E:$E"")=$B286) *
        (IMPORTRANGE(""https://docs.google.com/spreadsheets/d/161aHT6vVT3SLneTKD19N5qVWtnj_jIT8CSsOmUVKmaA/e"&amp;"dit?gid=1761053510"",
          ""Haris_Form responses 1!$AQ:$AQ"")=4)
      ),
      1
    ),
    ""0""
  ),
  ""Form not found""
)
"),"Form not found")</f>
        <v>Form not found</v>
      </c>
      <c r="AV2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1!$E:$E"")=$B286) *
        (IMPORTRANGE(""https://docs.google.com/spreadsheets/d/161aHT6vVT3SLneTKD19N5qVWtnj_jIT8CSsOmUVKmaA/e"&amp;"dit?gid=1761053510"",
          ""Haris_Form responses 1!$AQ:$AQ"")=5)
      ),
      1
    ),
    ""0""
  ),
  ""Form not found""
)
"),"0")</f>
        <v>0</v>
      </c>
      <c r="AW28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1!$E:$E"")=$B286) *
        (IMPORTRANGE(""https://docs.google.com/spreadsheets/d/161aHT6vVT3SLneTKD19N5qVWtnj_jIT8CSsOmUVKmaA/e"&amp;"dit?gid=1761053510"",
          ""Haris_Form responses 1!$AQ:$AQ"")=6)
      ),
      1
    ),
    ""0""
  ),
  ""Form not found""
)
"),"0")</f>
        <v>0</v>
      </c>
      <c r="AX2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1!$E:$E"")=$B286) *
        (IMPORTRANGE(""https://docs.google.com/spreadsheets/d/161aHT6vVT3SLneTKD19N5qVWtnj_jIT8CSsOmUVKmaA/e"&amp;"dit?gid=1761053510"",
          ""Haris_Form responses 1!$AQ:$AQ"")=1)
      ),
      1
    ),
    ""0""
  ),
  ""Form not found""
)
"),"Form not found")</f>
        <v>Form not found</v>
      </c>
      <c r="AY2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1!$E:$E"")=$B286) *
        (IMPORTRANGE(""https://docs.google.com/spreadsheets/d/161aHT6vVT3SLneTKD19N5qVWtnj_jIT8CSsOmUVKmaA/e"&amp;"dit?gid=1761053510"",
          ""Haris_Form responses 1!$AQ:$AQ"")=2)
      ),
      1
    ),
    ""0""
  ),
  ""Form not found""
)
"),"0")</f>
        <v>0</v>
      </c>
      <c r="AZ2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1!$E:$E"")=$B286) *
        (IMPORTRANGE(""https://docs.google.com/spreadsheets/d/161aHT6vVT3SLneTKD19N5qVWtnj_jIT8CSsOmUVKmaA/e"&amp;"dit?gid=1761053510"",
          ""Haris_Form responses 1!$AQ:$AQ"")=3)
      ),
      1
    ),
    ""0""
  ),
  ""Form not found""
)
"),"Form not found")</f>
        <v>Form not found</v>
      </c>
      <c r="BA2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1!$E:$E"")=$B286) *
        (IMPORTRANGE(""https://docs.google.com/spreadsheets/d/161aHT6vVT3SLneTKD19N5qVWtnj_jIT8CSsOmUVKmaA/e"&amp;"dit?gid=1761053510"",
          ""Haris_Form responses 1!$AQ:$AQ"")=4)
      ),
      1
    ),
    ""0""
  ),
  ""Form not found""
)
"),"Form not found")</f>
        <v>Form not found</v>
      </c>
      <c r="BB2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1!$E:$E"")=$B286) *
        (IMPORTRANGE(""https://docs.google.com/spreadsheets/d/161aHT6vVT3SLneTKD19N5qVWtnj_jIT8CSsOmUVKmaA/e"&amp;"dit?gid=1761053510"",
          ""Haris_Form responses 1!$AQ:$AQ"")=5)
      ),
      1
    ),
    ""0""
  ),
  ""Form not found""
)
"),"0")</f>
        <v>0</v>
      </c>
      <c r="BC28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1!$E:$E"")=$B286) *
        (IMPORTRANGE(""https://docs.google.com/spreadsheets/d/161aHT6vVT3SLneTKD19N5qVWtnj_jIT8CSsOmUVKmaA/e"&amp;"dit?gid=1761053510"",
          ""Haris_Form responses 1!$AQ:$AQ"")=6)
      ),
      1
    ),
    ""0""
  ),
  ""Form not found""
)
"),"0")</f>
        <v>0</v>
      </c>
      <c r="BD286" s="293"/>
    </row>
    <row r="287">
      <c r="A287" s="283" t="str">
        <f>IFERROR(__xludf.DUMMYFUNCTION("VLOOKUP($B287,IMPORTRANGE(""https://docs.google.com/spreadsheets/d/1VNXDITjs75AcgdBSW27oL1VZH31udDprJSsBcE5xlp4/edit?gid=1551188038#gid=1551188038"", ""Sheet9!$B:$E""),2,false)"),"Rawalpindi")</f>
        <v>Rawalpindi</v>
      </c>
      <c r="B287" s="283" t="s">
        <v>4898</v>
      </c>
      <c r="C287" s="284" t="str">
        <f>IFERROR(__xludf.DUMMYFUNCTION("VLOOKUP(TRIM($B287), IMPORTRANGE(""https://docs.google.com/spreadsheets/d/1aSOrU4PTpuBZqfitKaH1Rfww6-YOiNCKoBpPl8XBHaw/edit?gid=0#gid=0"", ""sheet3!$B:$C""), 2, FALSE)
"),"Jamia Masjid Jamun Wali Rawalpindi")</f>
        <v>Jamia Masjid Jamun Wali Rawalpindi</v>
      </c>
      <c r="D287" s="284" t="str">
        <f>IFERROR(__xludf.DUMMYFUNCTION("IFERROR(
  INDEX(
    FILTER(
      IMPORTRANGE(""1aSOrU4PTpuBZqfitKaH1Rfww6-YOiNCKoBpPl8XBHaw/edit?gid=0#gid=0"",""Sheet1!G:G""),
      IMPORTRANGE(""1aSOrU4PTpuBZqfitKaH1Rfww6-YOiNCKoBpPl8XBHaw/edit?gid=0#gid=0"",""Sheet1!C:C"")=$B287
    ),
    1
  ),
"&amp;"  ""Not Found""
)"),"Women Religious No Info Share")</f>
        <v>Women Religious No Info Share</v>
      </c>
      <c r="E287" s="284" t="str">
        <f>VLOOKUP(B287,'Juma Recording forms'!A:E,5,false)</f>
        <v>Jamia masjid jamun wali , Rawalpindi</v>
      </c>
      <c r="F287" s="284" t="str">
        <f>IFERROR(__xludf.DUMMYFUNCTION("IFERROR(
  INDEX(
    FILTER(
      IMPORTRANGE(""1Cxrhp3-_-HS7v9uuqQliiIfrmMP4VaFoDNDWyUFy2J8/edit?gid=0#gid=0"",""Sheet1!Q:Q""),
      IMPORTRANGE(""1Cxrhp3-_-HS7v9uuqQliiIfrmMP4VaFoDNDWyUFy2J8/edit?gid=0#gid=0"",""Sheet1!K:K"")=$B287
    ),
    1
  ),
"&amp;"  ""Not Found""
)"),"Muhammad saddique")</f>
        <v>Muhammad saddique</v>
      </c>
      <c r="G287" s="292">
        <v>1945.0</v>
      </c>
      <c r="H287" s="284"/>
      <c r="I287" s="285" t="s">
        <v>197</v>
      </c>
      <c r="J287" s="286">
        <v>2.0</v>
      </c>
      <c r="K287" s="287" t="str">
        <f>VLOOKUP($B287,'Mosque Locations'!$A:$E,3,FALSE)
</f>
        <v>https://maps.google.com/maps?q=33.617316%2C73.0622193&amp;z=17&amp;hl=en</v>
      </c>
      <c r="L287" s="286">
        <f>VLOOKUP($B287,'Mosque Locations'!$A:$E,4,FALSE)
</f>
        <v>33.617316</v>
      </c>
      <c r="M287" s="286">
        <f>VLOOKUP($B287,'Mosque Locations'!$A:$E,5,false)</f>
        <v>73.0622193</v>
      </c>
      <c r="N287" s="288"/>
      <c r="O287" s="288"/>
      <c r="P287" s="288"/>
      <c r="Q287" s="290" t="str">
        <f>IFERROR(__xludf.DUMMYFUNCTION("IFERROR(
  INDEX(
    FILTER(
      IMPORTRANGE(""1kOrIKZmJfNUkgOVP3sI9BPjaaPA0_a4636oymQxTXg8"",""Form Responses 1!N:N""),
      TRIM(IMPORTRANGE(""1kOrIKZmJfNUkgOVP3sI9BPjaaPA0_a4636oymQxTXg8"",""Form Responses 1!F:F""))=TRIM($B287)
    ),
    1
  ),
  "&amp;"""Not Found""
)
"),"https://drive.google.com/open?id=19RfqjH2Rc_Dqaoa_x6xJ-KAQ4LHjthlo")</f>
        <v>https://drive.google.com/open?id=19RfqjH2Rc_Dqaoa_x6xJ-KAQ4LHjthlo</v>
      </c>
      <c r="R287" s="290" t="str">
        <f>IFERROR(__xludf.DUMMYFUNCTION("IFERROR(
  INDEX(
    FILTER(
      IMPORTRANGE(""1kOrIKZmJfNUkgOVP3sI9BPjaaPA0_a4636oymQxTXg8"",""Form Responses 1!M:M""),
      TRIM(IMPORTRANGE(""1kOrIKZmJfNUkgOVP3sI9BPjaaPA0_a4636oymQxTXg8"",""Form Responses 1!F:F""))=TRIM($B287)
    ),
    1
  ),
  "&amp;"""Not Found""
)
"),"https://drive.google.com/open?id=15HBwhKdB3h4ybZzYd9U6snHja9nplNjq")</f>
        <v>https://drive.google.com/open?id=15HBwhKdB3h4ybZzYd9U6snHja9nplNjq</v>
      </c>
      <c r="S287" s="285"/>
      <c r="T287" s="284" t="str">
        <f>VLOOKUP($B287,'Master Tracker'!D:E,2,false)</f>
        <v>Not Found</v>
      </c>
      <c r="U287" s="292" t="str">
        <f>VLOOKUP($B287,'Master Tracker'!$D:$T,4,FALSE)
</f>
        <v>Not Found</v>
      </c>
      <c r="V287" s="290" t="str">
        <f>VLOOKUP($B287,'Master Tracker'!$D:$T,5,false)</f>
        <v>https://drive.google.com/open?id=1J6fG3gIRmm3qCl6AvqptOmI5AWMGQobI</v>
      </c>
      <c r="W287" s="291" t="str">
        <f>VLOOKUP($B287,'Master Tracker'!$D:$T,7,false)</f>
        <v>https://drive.google.com/open?id=158T_PouKwsI6yNzufYN8QEXoxBcH28jb</v>
      </c>
      <c r="X287" s="290" t="str">
        <f>VLOOKUP($B287,'Master Tracker'!$D:$T,8,false)</f>
        <v>https://drive.google.com/open?id=1_Ryykao8pERo_wYqli_47VZ9YG-6ado4</v>
      </c>
      <c r="Y287" s="291" t="str">
        <f>VLOOKUP($B287,'Master Tracker'!$D:$T,10,false)</f>
        <v>https://drive.google.com/open?id=1Oqz43hEilaoNzpoPYiudDrVw0OQdgb7I</v>
      </c>
      <c r="Z287" s="290" t="str">
        <f>VLOOKUP($B287,'Master Tracker'!$D:$T,11,false)</f>
        <v>https://drive.google.com/open?id=1oK5t-VQ1Q_zGT0rq6XThVHtb5Zz0utJt</v>
      </c>
      <c r="AA287" s="291" t="str">
        <f>VLOOKUP($B287,'Master Tracker'!$D:$T,13,false)</f>
        <v>https://drive.google.com/open?id=1Fk79r0FI-GPRGx70W2ZQmpzRTaWw5B8j</v>
      </c>
      <c r="AB287" s="284" t="str">
        <f>VLOOKUP($B287,'Master Tracker'!$D:$T,14,false)</f>
        <v>Not Found</v>
      </c>
      <c r="AC287" s="292" t="str">
        <f>VLOOKUP($B287,'Master Tracker'!$D:$T,16,false)</f>
        <v>Not Found</v>
      </c>
      <c r="AD287" s="292" t="str">
        <f>VLOOKUP($B287,'Master Tracker'!$D:$T,17,false)</f>
        <v>Not Found</v>
      </c>
      <c r="AE287" s="292" t="str">
        <f>VLOOKUP($B287,'Master Tracker'!$D:$V,19,false)</f>
        <v>Not Found</v>
      </c>
      <c r="AF287" s="292" t="str">
        <f>IFERROR(__xludf.DUMMYFUNCTION("IFERROR(
  INDEX(
    FILTER(
      'Juma Recording forms'!$G:$G,
      TRIM('Juma Recording forms'!$F:$F) = TRIM($B287),
      'Juma Recording forms'!$AA:$AA = 1
    ),
    1
  ),
  ""Not Found""
)"),"Not Found")</f>
        <v>Not Found</v>
      </c>
      <c r="AG287" s="292">
        <f>IFERROR(__xludf.DUMMYFUNCTION("IFERROR(
  INDEX(
    FILTER(
      'Juma Recording forms'!$G:$G,
      TRIM('Juma Recording forms'!$F:$F) = TRIM($B287),
      'Juma Recording forms'!$AA:$AA = 2
    ),
    1
  ),
  ""Not Found""
)"),147.0)</f>
        <v>147</v>
      </c>
      <c r="AH287" s="292" t="str">
        <f>IFERROR(__xludf.DUMMYFUNCTION("IFERROR(
  INDEX(
    FILTER(
      'Juma Recording forms'!$G:$G,
      TRIM('Juma Recording forms'!$F:$F) = TRIM($B287),
      'Juma Recording forms'!$AA:$AA = 3
    ),
    1
  ),
  ""Not Found""
)"),"Not Found")</f>
        <v>Not Found</v>
      </c>
      <c r="AI287" s="292" t="str">
        <f>IFERROR(__xludf.DUMMYFUNCTION("IFERROR(
  INDEX(
    FILTER(
      'Juma Recording forms'!$G:$G,
      TRIM('Juma Recording forms'!$F:$F) = TRIM($B287),
      'Juma Recording forms'!$AA:$AA = 4
    ),
    1
  ),
  ""Not Found""
)"),"Not Found")</f>
        <v>Not Found</v>
      </c>
      <c r="AJ287" s="292" t="str">
        <f>IFERROR(__xludf.DUMMYFUNCTION("IFERROR(
  INDEX(
    FILTER(
      'Juma Recording forms'!$G:$G,
      TRIM('Juma Recording forms'!$F:$F) = TRIM($B287),
      'Juma Recording forms'!$AA:$AA = 5
    ),
    1
  ),
  ""Not Found""
)"),"Not Found")</f>
        <v>Not Found</v>
      </c>
      <c r="AK287" s="292" t="str">
        <f>IFERROR(__xludf.DUMMYFUNCTION("IFERROR(
  INDEX(
    FILTER(
      'Juma Recording forms'!$G:$G,
      TRIM('Juma Recording forms'!$F:$F) = TRIM($B287),
      'Juma Recording forms'!$AA:$AA = 6
    ),
    1
  ),
  ""Not Found""
)"),"Not Found")</f>
        <v>Not Found</v>
      </c>
      <c r="AL2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1!$E:$E"")=$B287) *
        (IMPORTRANGE(""https://docs.google.com/spreadsheets/d/161aHT6vVT3SLneTKD19N5qVWtnj_jIT8CSsOmUVKmaA/e"&amp;"dit?gid=1761053510"",
          ""Haris_Form responses 1!$AQ:$AQ"")=1)
      ),
      1
    ),
    ""0""
  ),
  ""Form not found""
)
"),"Form not found")</f>
        <v>Form not found</v>
      </c>
      <c r="AM2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1!$E:$E"")=$B287) *
        (IMPORTRANGE(""https://docs.google.com/spreadsheets/d/161aHT6vVT3SLneTKD19N5qVWtnj_jIT8CSsOmUVKmaA/e"&amp;"dit?gid=1761053510"",
          ""Haris_Form responses 1!$AQ:$AQ"")=2)
      ),
      1
    ),
    ""0""
  ),
  ""Form not found""
)
"),"10")</f>
        <v>10</v>
      </c>
      <c r="AN2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1!$E:$E"")=$B287) *
        (IMPORTRANGE(""https://docs.google.com/spreadsheets/d/161aHT6vVT3SLneTKD19N5qVWtnj_jIT8CSsOmUVKmaA/e"&amp;"dit?gid=1761053510"",
          ""Haris_Form responses 1!$AQ:$AQ"")=3)
      ),
      1
    ),
    ""0""
  ),
  ""Form not found""
)
"),"10")</f>
        <v>10</v>
      </c>
      <c r="AO2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1!$E:$E"")=$B287) *
        (IMPORTRANGE(""https://docs.google.com/spreadsheets/d/161aHT6vVT3SLneTKD19N5qVWtnj_jIT8CSsOmUVKmaA/e"&amp;"dit?gid=1761053510"",
          ""Haris_Form responses 1!$AQ:$AQ"")=4)
      ),
      1
    ),
    ""0""
  ),
  ""Form not found""
)
"),"0")</f>
        <v>0</v>
      </c>
      <c r="AP2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1!$E:$E"")=$B287) *
        (IMPORTRANGE(""https://docs.google.com/spreadsheets/d/161aHT6vVT3SLneTKD19N5qVWtnj_jIT8CSsOmUVKmaA/e"&amp;"dit?gid=1761053510"",
          ""Haris_Form responses 1!$AQ:$AQ"")=5)
      ),
      1
    ),
    ""0""
  ),
  ""Form not found""
)
"),"Form not found")</f>
        <v>Form not found</v>
      </c>
      <c r="AQ28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1!$E:$E"")=$B287) *
        (IMPORTRANGE(""https://docs.google.com/spreadsheets/d/161aHT6vVT3SLneTKD19N5qVWtnj_jIT8CSsOmUVKmaA/e"&amp;"dit?gid=1761053510"",
          ""Haris_Form responses 1!$AQ:$AQ"")=6)
      ),
      1
    ),
    ""0""
  ),
  ""Form not found""
)
"),"Form not found")</f>
        <v>Form not found</v>
      </c>
      <c r="AR2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1!$E:$E"")=$B287) *
        (IMPORTRANGE(""https://docs.google.com/spreadsheets/d/161aHT6vVT3SLneTKD19N5qVWtnj_jIT8CSsOmUVKmaA/e"&amp;"dit?gid=1761053510"",
          ""Haris_Form responses 1!$AQ:$AQ"")=1)
      ),
      1
    ),
    ""0""
  ),
  ""Form not found""
)
"),"Form not found")</f>
        <v>Form not found</v>
      </c>
      <c r="AS2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1!$E:$E"")=$B287) *
        (IMPORTRANGE(""https://docs.google.com/spreadsheets/d/161aHT6vVT3SLneTKD19N5qVWtnj_jIT8CSsOmUVKmaA/e"&amp;"dit?gid=1761053510"",
          ""Haris_Form responses 1!$AQ:$AQ"")=2)
      ),
      1
    ),
    ""0""
  ),
  ""Form not found""
)
"),"0")</f>
        <v>0</v>
      </c>
      <c r="AT2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1!$E:$E"")=$B287) *
        (IMPORTRANGE(""https://docs.google.com/spreadsheets/d/161aHT6vVT3SLneTKD19N5qVWtnj_jIT8CSsOmUVKmaA/e"&amp;"dit?gid=1761053510"",
          ""Haris_Form responses 1!$AQ:$AQ"")=3)
      ),
      1
    ),
    ""0""
  ),
  ""Form not found""
)
"),"0")</f>
        <v>0</v>
      </c>
      <c r="AU2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1!$E:$E"")=$B287) *
        (IMPORTRANGE(""https://docs.google.com/spreadsheets/d/161aHT6vVT3SLneTKD19N5qVWtnj_jIT8CSsOmUVKmaA/e"&amp;"dit?gid=1761053510"",
          ""Haris_Form responses 1!$AQ:$AQ"")=4)
      ),
      1
    ),
    ""0""
  ),
  ""Form not found""
)
"),"0")</f>
        <v>0</v>
      </c>
      <c r="AV2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1!$E:$E"")=$B287) *
        (IMPORTRANGE(""https://docs.google.com/spreadsheets/d/161aHT6vVT3SLneTKD19N5qVWtnj_jIT8CSsOmUVKmaA/e"&amp;"dit?gid=1761053510"",
          ""Haris_Form responses 1!$AQ:$AQ"")=5)
      ),
      1
    ),
    ""0""
  ),
  ""Form not found""
)
"),"Form not found")</f>
        <v>Form not found</v>
      </c>
      <c r="AW28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1!$E:$E"")=$B287) *
        (IMPORTRANGE(""https://docs.google.com/spreadsheets/d/161aHT6vVT3SLneTKD19N5qVWtnj_jIT8CSsOmUVKmaA/e"&amp;"dit?gid=1761053510"",
          ""Haris_Form responses 1!$AQ:$AQ"")=6)
      ),
      1
    ),
    ""0""
  ),
  ""Form not found""
)
"),"Form not found")</f>
        <v>Form not found</v>
      </c>
      <c r="AX2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1!$E:$E"")=$B287) *
        (IMPORTRANGE(""https://docs.google.com/spreadsheets/d/161aHT6vVT3SLneTKD19N5qVWtnj_jIT8CSsOmUVKmaA/e"&amp;"dit?gid=1761053510"",
          ""Haris_Form responses 1!$AQ:$AQ"")=1)
      ),
      1
    ),
    ""0""
  ),
  ""Form not found""
)
"),"Form not found")</f>
        <v>Form not found</v>
      </c>
      <c r="AY2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1!$E:$E"")=$B287) *
        (IMPORTRANGE(""https://docs.google.com/spreadsheets/d/161aHT6vVT3SLneTKD19N5qVWtnj_jIT8CSsOmUVKmaA/e"&amp;"dit?gid=1761053510"",
          ""Haris_Form responses 1!$AQ:$AQ"")=2)
      ),
      1
    ),
    ""0""
  ),
  ""Form not found""
)
"),"9")</f>
        <v>9</v>
      </c>
      <c r="AZ2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1!$E:$E"")=$B287) *
        (IMPORTRANGE(""https://docs.google.com/spreadsheets/d/161aHT6vVT3SLneTKD19N5qVWtnj_jIT8CSsOmUVKmaA/e"&amp;"dit?gid=1761053510"",
          ""Haris_Form responses 1!$AQ:$AQ"")=3)
      ),
      1
    ),
    ""0""
  ),
  ""Form not found""
)
"),"10")</f>
        <v>10</v>
      </c>
      <c r="BA2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1!$E:$E"")=$B287) *
        (IMPORTRANGE(""https://docs.google.com/spreadsheets/d/161aHT6vVT3SLneTKD19N5qVWtnj_jIT8CSsOmUVKmaA/e"&amp;"dit?gid=1761053510"",
          ""Haris_Form responses 1!$AQ:$AQ"")=4)
      ),
      1
    ),
    ""0""
  ),
  ""Form not found""
)
"),"0")</f>
        <v>0</v>
      </c>
      <c r="BB2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1!$E:$E"")=$B287) *
        (IMPORTRANGE(""https://docs.google.com/spreadsheets/d/161aHT6vVT3SLneTKD19N5qVWtnj_jIT8CSsOmUVKmaA/e"&amp;"dit?gid=1761053510"",
          ""Haris_Form responses 1!$AQ:$AQ"")=5)
      ),
      1
    ),
    ""0""
  ),
  ""Form not found""
)
"),"Form not found")</f>
        <v>Form not found</v>
      </c>
      <c r="BC28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1!$E:$E"")=$B287) *
        (IMPORTRANGE(""https://docs.google.com/spreadsheets/d/161aHT6vVT3SLneTKD19N5qVWtnj_jIT8CSsOmUVKmaA/e"&amp;"dit?gid=1761053510"",
          ""Haris_Form responses 1!$AQ:$AQ"")=6)
      ),
      1
    ),
    ""0""
  ),
  ""Form not found""
)
"),"Form not found")</f>
        <v>Form not found</v>
      </c>
      <c r="BD287" s="293"/>
    </row>
    <row r="288">
      <c r="A288" s="283" t="str">
        <f>IFERROR(__xludf.DUMMYFUNCTION("VLOOKUP($B288,IMPORTRANGE(""https://docs.google.com/spreadsheets/d/1VNXDITjs75AcgdBSW27oL1VZH31udDprJSsBcE5xlp4/edit?gid=1551188038#gid=1551188038"", ""Sheet9!$B:$E""),2,false)"),"Rawalpindi")</f>
        <v>Rawalpindi</v>
      </c>
      <c r="B288" s="283" t="s">
        <v>4899</v>
      </c>
      <c r="C288" s="284" t="str">
        <f>IFERROR(__xludf.DUMMYFUNCTION("VLOOKUP(TRIM($B288), IMPORTRANGE(""https://docs.google.com/spreadsheets/d/1aSOrU4PTpuBZqfitKaH1Rfww6-YOiNCKoBpPl8XBHaw/edit?gid=0#gid=0"", ""sheet3!$B:$C""), 2, FALSE)
"),"Jamia Masjid Pholo Wali Rawalpindi")</f>
        <v>Jamia Masjid Pholo Wali Rawalpindi</v>
      </c>
      <c r="D288" s="284" t="str">
        <f>IFERROR(__xludf.DUMMYFUNCTION("IFERROR(
  INDEX(
    FILTER(
      IMPORTRANGE(""1aSOrU4PTpuBZqfitKaH1Rfww6-YOiNCKoBpPl8XBHaw/edit?gid=0#gid=0"",""Sheet1!G:G""),
      IMPORTRANGE(""1aSOrU4PTpuBZqfitKaH1Rfww6-YOiNCKoBpPl8XBHaw/edit?gid=0#gid=0"",""Sheet1!C:C"")=$B288
    ),
    1
  ),
"&amp;"  ""Not Found""
)"),"Women Religious No Info Share")</f>
        <v>Women Religious No Info Share</v>
      </c>
      <c r="E288" s="284" t="str">
        <f>VLOOKUP(B288,'Juma Recording forms'!A:E,5,false)</f>
        <v>#N/A</v>
      </c>
      <c r="F288" s="284" t="str">
        <f>IFERROR(__xludf.DUMMYFUNCTION("IFERROR(
  INDEX(
    FILTER(
      IMPORTRANGE(""1Cxrhp3-_-HS7v9uuqQliiIfrmMP4VaFoDNDWyUFy2J8/edit?gid=0#gid=0"",""Sheet1!Q:Q""),
      IMPORTRANGE(""1Cxrhp3-_-HS7v9uuqQliiIfrmMP4VaFoDNDWyUFy2J8/edit?gid=0#gid=0"",""Sheet1!K:K"")=$B288
    ),
    1
  ),
"&amp;"  ""Not Found""
)"),"m abdul basit ")</f>
        <v>m abdul basit </v>
      </c>
      <c r="G288" s="284"/>
      <c r="H288" s="284"/>
      <c r="I288" s="285" t="s">
        <v>197</v>
      </c>
      <c r="J288" s="286">
        <v>2.0</v>
      </c>
      <c r="K288" s="287" t="str">
        <f>VLOOKUP($B288,'Mosque Locations'!$A:$E,3,FALSE)
</f>
        <v>https://maps.google.com/maps?q=33.6228339%2C73.0551435&amp;z=17&amp;hl=en</v>
      </c>
      <c r="L288" s="286">
        <f>VLOOKUP($B288,'Mosque Locations'!$A:$E,4,FALSE)
</f>
        <v>33.6228339</v>
      </c>
      <c r="M288" s="286">
        <f>VLOOKUP($B288,'Mosque Locations'!$A:$E,5,false)</f>
        <v>73.0551435</v>
      </c>
      <c r="N288" s="288"/>
      <c r="O288" s="288"/>
      <c r="P288" s="288"/>
      <c r="Q288" s="290" t="str">
        <f>IFERROR(__xludf.DUMMYFUNCTION("IFERROR(
  INDEX(
    FILTER(
      IMPORTRANGE(""1kOrIKZmJfNUkgOVP3sI9BPjaaPA0_a4636oymQxTXg8"",""Form Responses 1!N:N""),
      TRIM(IMPORTRANGE(""1kOrIKZmJfNUkgOVP3sI9BPjaaPA0_a4636oymQxTXg8"",""Form Responses 1!F:F""))=TRIM($B288)
    ),
    1
  ),
  "&amp;"""Not Found""
)
"),"https://drive.google.com/open?id=19HX4uVChRs_e1iFFfHwk-s2bMvFcIJjR")</f>
        <v>https://drive.google.com/open?id=19HX4uVChRs_e1iFFfHwk-s2bMvFcIJjR</v>
      </c>
      <c r="R288" s="290" t="str">
        <f>IFERROR(__xludf.DUMMYFUNCTION("IFERROR(
  INDEX(
    FILTER(
      IMPORTRANGE(""1kOrIKZmJfNUkgOVP3sI9BPjaaPA0_a4636oymQxTXg8"",""Form Responses 1!M:M""),
      TRIM(IMPORTRANGE(""1kOrIKZmJfNUkgOVP3sI9BPjaaPA0_a4636oymQxTXg8"",""Form Responses 1!F:F""))=TRIM($B288)
    ),
    1
  ),
  "&amp;"""Not Found""
)
"),"https://drive.google.com/open?id=19VxRcFAGaHGnMiOTTDb07S3vnFw9Q6LX")</f>
        <v>https://drive.google.com/open?id=19VxRcFAGaHGnMiOTTDb07S3vnFw9Q6LX</v>
      </c>
      <c r="S288" s="285"/>
      <c r="T288" s="284" t="str">
        <f>VLOOKUP($B288,'Master Tracker'!D:E,2,false)</f>
        <v>Not Found</v>
      </c>
      <c r="U288" s="292" t="str">
        <f>VLOOKUP($B288,'Master Tracker'!$D:$T,4,FALSE)
</f>
        <v>Not Found</v>
      </c>
      <c r="V288" s="290" t="str">
        <f>VLOOKUP($B288,'Master Tracker'!$D:$T,5,false)</f>
        <v>https://drive.google.com/file/d/1pundOj6UUNwpdkYsbiON6VuzWr3wFvaa/view?usp=drive_link</v>
      </c>
      <c r="W288" s="291" t="str">
        <f>VLOOKUP($B288,'Master Tracker'!$D:$T,7,false)</f>
        <v>https://drive.google.com/open?id=1eLO82Xzz9bCu5u7gLSB8hBcAQPB7Pin7</v>
      </c>
      <c r="X288" s="290" t="str">
        <f>VLOOKUP($B288,'Master Tracker'!$D:$T,8,false)</f>
        <v>https://drive.google.com/open?id=1z9HqgELKXlxHd4O5p-mOkG99utvo5B1S</v>
      </c>
      <c r="Y288" s="291" t="str">
        <f>VLOOKUP($B288,'Master Tracker'!$D:$T,10,false)</f>
        <v>https://drive.google.com/open?id=10yXmUsWJqENeLkj79Kx5uZ4lk6VPXiR5</v>
      </c>
      <c r="Z288" s="290" t="str">
        <f>VLOOKUP($B288,'Master Tracker'!$D:$T,11,false)</f>
        <v>https://drive.google.com/file/d/1ddnxGakt09V-l3IxdqXvmbUjHT1toX4S/view?usp=drive_link</v>
      </c>
      <c r="AA288" s="291" t="str">
        <f>VLOOKUP($B288,'Master Tracker'!$D:$T,13,false)</f>
        <v>https://drive.google.com/open?id=1HQ-97wgduLPuFSFySDuLXkbXfA0iWgQ9</v>
      </c>
      <c r="AB288" s="284" t="str">
        <f>VLOOKUP($B288,'Master Tracker'!$D:$T,14,false)</f>
        <v>Not Found</v>
      </c>
      <c r="AC288" s="292" t="str">
        <f>VLOOKUP($B288,'Master Tracker'!$D:$T,16,false)</f>
        <v>Not Found</v>
      </c>
      <c r="AD288" s="291" t="str">
        <f>VLOOKUP($B288,'Master Tracker'!$D:$T,17,false)</f>
        <v>https://drive.google.com/file/d/1w49sOIEXV4E7pH-LzM_O6-IrDywqJ5Ve/view?usp=drive_link</v>
      </c>
      <c r="AE288" s="291" t="str">
        <f>VLOOKUP($B288,'Master Tracker'!$D:$V,19,false)</f>
        <v>https://drive.google.com/open?id=13lD4WOlcy5lNHJXCVtwZas6zgH1EbRfM</v>
      </c>
      <c r="AF288" s="292" t="str">
        <f>IFERROR(__xludf.DUMMYFUNCTION("IFERROR(
  INDEX(
    FILTER(
      'Juma Recording forms'!$G:$G,
      TRIM('Juma Recording forms'!$F:$F) = TRIM($B288),
      'Juma Recording forms'!$AA:$AA = 1
    ),
    1
  ),
  ""Not Found""
)"),"Not Found")</f>
        <v>Not Found</v>
      </c>
      <c r="AG288" s="292" t="str">
        <f>IFERROR(__xludf.DUMMYFUNCTION("IFERROR(
  INDEX(
    FILTER(
      'Juma Recording forms'!$G:$G,
      TRIM('Juma Recording forms'!$F:$F) = TRIM($B288),
      'Juma Recording forms'!$AA:$AA = 2
    ),
    1
  ),
  ""Not Found""
)"),"Not Found")</f>
        <v>Not Found</v>
      </c>
      <c r="AH288" s="292" t="str">
        <f>IFERROR(__xludf.DUMMYFUNCTION("IFERROR(
  INDEX(
    FILTER(
      'Juma Recording forms'!$G:$G,
      TRIM('Juma Recording forms'!$F:$F) = TRIM($B288),
      'Juma Recording forms'!$AA:$AA = 3
    ),
    1
  ),
  ""Not Found""
)"),"Not Found")</f>
        <v>Not Found</v>
      </c>
      <c r="AI288" s="292" t="str">
        <f>IFERROR(__xludf.DUMMYFUNCTION("IFERROR(
  INDEX(
    FILTER(
      'Juma Recording forms'!$G:$G,
      TRIM('Juma Recording forms'!$F:$F) = TRIM($B288),
      'Juma Recording forms'!$AA:$AA = 4
    ),
    1
  ),
  ""Not Found""
)"),"Not Found")</f>
        <v>Not Found</v>
      </c>
      <c r="AJ288" s="292" t="str">
        <f>IFERROR(__xludf.DUMMYFUNCTION("IFERROR(
  INDEX(
    FILTER(
      'Juma Recording forms'!$G:$G,
      TRIM('Juma Recording forms'!$F:$F) = TRIM($B288),
      'Juma Recording forms'!$AA:$AA = 5
    ),
    1
  ),
  ""Not Found""
)"),"Not Found")</f>
        <v>Not Found</v>
      </c>
      <c r="AK288" s="292" t="str">
        <f>IFERROR(__xludf.DUMMYFUNCTION("IFERROR(
  INDEX(
    FILTER(
      'Juma Recording forms'!$G:$G,
      TRIM('Juma Recording forms'!$F:$F) = TRIM($B288),
      'Juma Recording forms'!$AA:$AA = 6
    ),
    1
  ),
  ""Not Found""
)"),"Not Found")</f>
        <v>Not Found</v>
      </c>
      <c r="AL2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1!$E:$E"")=$B288) *
        (IMPORTRANGE(""https://docs.google.com/spreadsheets/d/161aHT6vVT3SLneTKD19N5qVWtnj_jIT8CSsOmUVKmaA/e"&amp;"dit?gid=1761053510"",
          ""Haris_Form responses 1!$AQ:$AQ"")=1)
      ),
      1
    ),
    ""0""
  ),
  ""Form not found""
)
"),"Form not found")</f>
        <v>Form not found</v>
      </c>
      <c r="AM2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1!$E:$E"")=$B288) *
        (IMPORTRANGE(""https://docs.google.com/spreadsheets/d/161aHT6vVT3SLneTKD19N5qVWtnj_jIT8CSsOmUVKmaA/e"&amp;"dit?gid=1761053510"",
          ""Haris_Form responses 1!$AQ:$AQ"")=2)
      ),
      1
    ),
    ""0""
  ),
  ""Form not found""
)
"),"10")</f>
        <v>10</v>
      </c>
      <c r="AN2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1!$E:$E"")=$B288) *
        (IMPORTRANGE(""https://docs.google.com/spreadsheets/d/161aHT6vVT3SLneTKD19N5qVWtnj_jIT8CSsOmUVKmaA/e"&amp;"dit?gid=1761053510"",
          ""Haris_Form responses 1!$AQ:$AQ"")=3)
      ),
      1
    ),
    ""0""
  ),
  ""Form not found""
)
"),"10")</f>
        <v>10</v>
      </c>
      <c r="AO2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1!$E:$E"")=$B288) *
        (IMPORTRANGE(""https://docs.google.com/spreadsheets/d/161aHT6vVT3SLneTKD19N5qVWtnj_jIT8CSsOmUVKmaA/e"&amp;"dit?gid=1761053510"",
          ""Haris_Form responses 1!$AQ:$AQ"")=4)
      ),
      1
    ),
    ""0""
  ),
  ""Form not found""
)
"),"10")</f>
        <v>10</v>
      </c>
      <c r="AP2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1!$E:$E"")=$B288) *
        (IMPORTRANGE(""https://docs.google.com/spreadsheets/d/161aHT6vVT3SLneTKD19N5qVWtnj_jIT8CSsOmUVKmaA/e"&amp;"dit?gid=1761053510"",
          ""Haris_Form responses 1!$AQ:$AQ"")=5)
      ),
      1
    ),
    ""0""
  ),
  ""Form not found""
)
"),"Form not found")</f>
        <v>Form not found</v>
      </c>
      <c r="AQ28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1!$E:$E"")=$B288) *
        (IMPORTRANGE(""https://docs.google.com/spreadsheets/d/161aHT6vVT3SLneTKD19N5qVWtnj_jIT8CSsOmUVKmaA/e"&amp;"dit?gid=1761053510"",
          ""Haris_Form responses 1!$AQ:$AQ"")=6)
      ),
      1
    ),
    ""0""
  ),
  ""Form not found""
)
"),"10")</f>
        <v>10</v>
      </c>
      <c r="AR2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1!$E:$E"")=$B288) *
        (IMPORTRANGE(""https://docs.google.com/spreadsheets/d/161aHT6vVT3SLneTKD19N5qVWtnj_jIT8CSsOmUVKmaA/e"&amp;"dit?gid=1761053510"",
          ""Haris_Form responses 1!$AQ:$AQ"")=1)
      ),
      1
    ),
    ""0""
  ),
  ""Form not found""
)
"),"Form not found")</f>
        <v>Form not found</v>
      </c>
      <c r="AS2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1!$E:$E"")=$B288) *
        (IMPORTRANGE(""https://docs.google.com/spreadsheets/d/161aHT6vVT3SLneTKD19N5qVWtnj_jIT8CSsOmUVKmaA/e"&amp;"dit?gid=1761053510"",
          ""Haris_Form responses 1!$AQ:$AQ"")=2)
      ),
      1
    ),
    ""0""
  ),
  ""Form not found""
)
"),"0")</f>
        <v>0</v>
      </c>
      <c r="AT2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1!$E:$E"")=$B288) *
        (IMPORTRANGE(""https://docs.google.com/spreadsheets/d/161aHT6vVT3SLneTKD19N5qVWtnj_jIT8CSsOmUVKmaA/e"&amp;"dit?gid=1761053510"",
          ""Haris_Form responses 1!$AQ:$AQ"")=3)
      ),
      1
    ),
    ""0""
  ),
  ""Form not found""
)
"),"0")</f>
        <v>0</v>
      </c>
      <c r="AU2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1!$E:$E"")=$B288) *
        (IMPORTRANGE(""https://docs.google.com/spreadsheets/d/161aHT6vVT3SLneTKD19N5qVWtnj_jIT8CSsOmUVKmaA/e"&amp;"dit?gid=1761053510"",
          ""Haris_Form responses 1!$AQ:$AQ"")=4)
      ),
      1
    ),
    ""0""
  ),
  ""Form not found""
)
"),"0")</f>
        <v>0</v>
      </c>
      <c r="AV2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1!$E:$E"")=$B288) *
        (IMPORTRANGE(""https://docs.google.com/spreadsheets/d/161aHT6vVT3SLneTKD19N5qVWtnj_jIT8CSsOmUVKmaA/e"&amp;"dit?gid=1761053510"",
          ""Haris_Form responses 1!$AQ:$AQ"")=5)
      ),
      1
    ),
    ""0""
  ),
  ""Form not found""
)
"),"Form not found")</f>
        <v>Form not found</v>
      </c>
      <c r="AW28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1!$E:$E"")=$B288) *
        (IMPORTRANGE(""https://docs.google.com/spreadsheets/d/161aHT6vVT3SLneTKD19N5qVWtnj_jIT8CSsOmUVKmaA/e"&amp;"dit?gid=1761053510"",
          ""Haris_Form responses 1!$AQ:$AQ"")=6)
      ),
      1
    ),
    ""0""
  ),
  ""Form not found""
)
"),"0")</f>
        <v>0</v>
      </c>
      <c r="AX2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1!$E:$E"")=$B288) *
        (IMPORTRANGE(""https://docs.google.com/spreadsheets/d/161aHT6vVT3SLneTKD19N5qVWtnj_jIT8CSsOmUVKmaA/e"&amp;"dit?gid=1761053510"",
          ""Haris_Form responses 1!$AQ:$AQ"")=1)
      ),
      1
    ),
    ""0""
  ),
  ""Form not found""
)
"),"Form not found")</f>
        <v>Form not found</v>
      </c>
      <c r="AY2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1!$E:$E"")=$B288) *
        (IMPORTRANGE(""https://docs.google.com/spreadsheets/d/161aHT6vVT3SLneTKD19N5qVWtnj_jIT8CSsOmUVKmaA/e"&amp;"dit?gid=1761053510"",
          ""Haris_Form responses 1!$AQ:$AQ"")=2)
      ),
      1
    ),
    ""0""
  ),
  ""Form not found""
)
"),"10")</f>
        <v>10</v>
      </c>
      <c r="AZ2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1!$E:$E"")=$B288) *
        (IMPORTRANGE(""https://docs.google.com/spreadsheets/d/161aHT6vVT3SLneTKD19N5qVWtnj_jIT8CSsOmUVKmaA/e"&amp;"dit?gid=1761053510"",
          ""Haris_Form responses 1!$AQ:$AQ"")=3)
      ),
      1
    ),
    ""0""
  ),
  ""Form not found""
)
"),"10")</f>
        <v>10</v>
      </c>
      <c r="BA2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1!$E:$E"")=$B288) *
        (IMPORTRANGE(""https://docs.google.com/spreadsheets/d/161aHT6vVT3SLneTKD19N5qVWtnj_jIT8CSsOmUVKmaA/e"&amp;"dit?gid=1761053510"",
          ""Haris_Form responses 1!$AQ:$AQ"")=4)
      ),
      1
    ),
    ""0""
  ),
  ""Form not found""
)
"),"10")</f>
        <v>10</v>
      </c>
      <c r="BB2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1!$E:$E"")=$B288) *
        (IMPORTRANGE(""https://docs.google.com/spreadsheets/d/161aHT6vVT3SLneTKD19N5qVWtnj_jIT8CSsOmUVKmaA/e"&amp;"dit?gid=1761053510"",
          ""Haris_Form responses 1!$AQ:$AQ"")=5)
      ),
      1
    ),
    ""0""
  ),
  ""Form not found""
)
"),"Form not found")</f>
        <v>Form not found</v>
      </c>
      <c r="BC28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1!$E:$E"")=$B288) *
        (IMPORTRANGE(""https://docs.google.com/spreadsheets/d/161aHT6vVT3SLneTKD19N5qVWtnj_jIT8CSsOmUVKmaA/e"&amp;"dit?gid=1761053510"",
          ""Haris_Form responses 1!$AQ:$AQ"")=6)
      ),
      1
    ),
    ""0""
  ),
  ""Form not found""
)
"),"10")</f>
        <v>10</v>
      </c>
      <c r="BD288" s="293"/>
    </row>
    <row r="289">
      <c r="A289" s="283" t="str">
        <f>IFERROR(__xludf.DUMMYFUNCTION("VLOOKUP($B289,IMPORTRANGE(""https://docs.google.com/spreadsheets/d/1VNXDITjs75AcgdBSW27oL1VZH31udDprJSsBcE5xlp4/edit?gid=1551188038#gid=1551188038"", ""Sheet9!$B:$E""),2,false)"),"Rawalpindi")</f>
        <v>Rawalpindi</v>
      </c>
      <c r="B289" s="283" t="s">
        <v>4900</v>
      </c>
      <c r="C289" s="284" t="str">
        <f>IFERROR(__xludf.DUMMYFUNCTION("VLOOKUP(TRIM($B289), IMPORTRANGE(""https://docs.google.com/spreadsheets/d/1aSOrU4PTpuBZqfitKaH1Rfww6-YOiNCKoBpPl8XBHaw/edit?gid=0#gid=0"", ""sheet3!$B:$C""), 2, FALSE)
"),"Jamia Masjid Syedan #2 Rawalpindi")</f>
        <v>Jamia Masjid Syedan #2 Rawalpindi</v>
      </c>
      <c r="D289" s="284" t="str">
        <f>IFERROR(__xludf.DUMMYFUNCTION("IFERROR(
  INDEX(
    FILTER(
      IMPORTRANGE(""1aSOrU4PTpuBZqfitKaH1Rfww6-YOiNCKoBpPl8XBHaw/edit?gid=0#gid=0"",""Sheet1!G:G""),
      IMPORTRANGE(""1aSOrU4PTpuBZqfitKaH1Rfww6-YOiNCKoBpPl8XBHaw/edit?gid=0#gid=0"",""Sheet1!C:C"")=$B289
    ),
    1
  ),
"&amp;"  ""Not Found""
)"),"Control")</f>
        <v>Control</v>
      </c>
      <c r="E289" s="284" t="str">
        <f>VLOOKUP(B289,'Juma Recording forms'!A:E,5,false)</f>
        <v>Masjid syeden#2 rewalpind</v>
      </c>
      <c r="F289" s="284" t="str">
        <f>IFERROR(__xludf.DUMMYFUNCTION("IFERROR(
  INDEX(
    FILTER(
      IMPORTRANGE(""1Cxrhp3-_-HS7v9uuqQliiIfrmMP4VaFoDNDWyUFy2J8/edit?gid=0#gid=0"",""Sheet1!Q:Q""),
      IMPORTRANGE(""1Cxrhp3-_-HS7v9uuqQliiIfrmMP4VaFoDNDWyUFy2J8/edit?gid=0#gid=0"",""Sheet1!K:K"")=$B289
    ),
    1
  ),
"&amp;"  ""Not Found""
)"),"Qari Arshad ul haq")</f>
        <v>Qari Arshad ul haq</v>
      </c>
      <c r="G289" s="292">
        <v>1950.0</v>
      </c>
      <c r="H289" s="284" t="s">
        <v>4901</v>
      </c>
      <c r="I289" s="285" t="s">
        <v>197</v>
      </c>
      <c r="J289" s="286">
        <v>2.0</v>
      </c>
      <c r="K289" s="287" t="str">
        <f>VLOOKUP($B289,'Mosque Locations'!$A:$E,3,FALSE)
</f>
        <v>https://maps.google.com/maps?q=33.6206937%2C73.0664336&amp;z=17&amp;hl=en</v>
      </c>
      <c r="L289" s="286">
        <f>VLOOKUP($B289,'Mosque Locations'!$A:$E,4,FALSE)
</f>
        <v>33.6206937</v>
      </c>
      <c r="M289" s="286">
        <f>VLOOKUP($B289,'Mosque Locations'!$A:$E,5,false)</f>
        <v>73.0664336</v>
      </c>
      <c r="N289" s="288"/>
      <c r="O289" s="288"/>
      <c r="P289" s="288"/>
      <c r="Q289" s="290" t="str">
        <f>IFERROR(__xludf.DUMMYFUNCTION("IFERROR(
  INDEX(
    FILTER(
      IMPORTRANGE(""1kOrIKZmJfNUkgOVP3sI9BPjaaPA0_a4636oymQxTXg8"",""Form Responses 1!N:N""),
      TRIM(IMPORTRANGE(""1kOrIKZmJfNUkgOVP3sI9BPjaaPA0_a4636oymQxTXg8"",""Form Responses 1!F:F""))=TRIM($B289)
    ),
    1
  ),
  "&amp;"""Not Found""
)
"),"https://drive.google.com/open?id=10PQHWUwkGzoAAhulKPesf6Tw_gPe73pf")</f>
        <v>https://drive.google.com/open?id=10PQHWUwkGzoAAhulKPesf6Tw_gPe73pf</v>
      </c>
      <c r="R289" s="290" t="str">
        <f>IFERROR(__xludf.DUMMYFUNCTION("IFERROR(
  INDEX(
    FILTER(
      IMPORTRANGE(""1kOrIKZmJfNUkgOVP3sI9BPjaaPA0_a4636oymQxTXg8"",""Form Responses 1!M:M""),
      TRIM(IMPORTRANGE(""1kOrIKZmJfNUkgOVP3sI9BPjaaPA0_a4636oymQxTXg8"",""Form Responses 1!F:F""))=TRIM($B289)
    ),
    1
  ),
  "&amp;"""Not Found""
)
"),"https://drive.google.com/open?id=1c-iAcv5S0C96svDNEgPG0nd4D4xq6kcr")</f>
        <v>https://drive.google.com/open?id=1c-iAcv5S0C96svDNEgPG0nd4D4xq6kcr</v>
      </c>
      <c r="S289" s="285"/>
      <c r="T289" s="290" t="str">
        <f>VLOOKUP($B289,'Master Tracker'!D:E,2,false)</f>
        <v>https://drive.google.com/file/d/1MZ_Z84aZf3xbsLa-fDhLaZTJQFW-Qpqw/view?usp=drive_link</v>
      </c>
      <c r="U289" s="291" t="str">
        <f>VLOOKUP($B289,'Master Tracker'!$D:$T,4,FALSE)
</f>
        <v>https://drive.google.com/open?id=1CPppvj7WvZmdL0kPMGqNCRVh4geaNMIttNcVm-PfHMc</v>
      </c>
      <c r="V289" s="284" t="str">
        <f>VLOOKUP($B289,'Master Tracker'!$D:$T,5,false)</f>
        <v/>
      </c>
      <c r="W289" s="292" t="str">
        <f>VLOOKUP($B289,'Master Tracker'!$D:$T,7,false)</f>
        <v>Not Found</v>
      </c>
      <c r="X289" s="290" t="str">
        <f>VLOOKUP($B289,'Master Tracker'!$D:$T,8,false)</f>
        <v>https://drive.google.com/file/d/1D0ibfXVtfHnlulSjEmR2ksMF7DjaC0rB/view?usp=drive_link</v>
      </c>
      <c r="Y289" s="291" t="str">
        <f>VLOOKUP($B289,'Master Tracker'!$D:$T,10,false)</f>
        <v>https://drive.google.com/open?id=1N_scEj1Rh58f27Hhw29n5RtaAlEWsr7U</v>
      </c>
      <c r="Z289" s="284" t="str">
        <f>VLOOKUP($B289,'Master Tracker'!$D:$T,11,false)</f>
        <v>Not Found</v>
      </c>
      <c r="AA289" s="292" t="str">
        <f>VLOOKUP($B289,'Master Tracker'!$D:$T,13,false)</f>
        <v>Not Found</v>
      </c>
      <c r="AB289" s="284" t="str">
        <f>VLOOKUP($B289,'Master Tracker'!$D:$T,14,false)</f>
        <v>Not Found</v>
      </c>
      <c r="AC289" s="292" t="str">
        <f>VLOOKUP($B289,'Master Tracker'!$D:$T,16,false)</f>
        <v>Not Found</v>
      </c>
      <c r="AD289" s="292" t="str">
        <f>VLOOKUP($B289,'Master Tracker'!$D:$T,17,false)</f>
        <v>Not Found</v>
      </c>
      <c r="AE289" s="292" t="str">
        <f>VLOOKUP($B289,'Master Tracker'!$D:$V,19,false)</f>
        <v>Not Found</v>
      </c>
      <c r="AF289" s="292">
        <f>IFERROR(__xludf.DUMMYFUNCTION("IFERROR(
  INDEX(
    FILTER(
      'Juma Recording forms'!$G:$G,
      TRIM('Juma Recording forms'!$F:$F) = TRIM($B289),
      'Juma Recording forms'!$AA:$AA = 1
    ),
    1
  ),
  ""Not Found""
)"),371.0)</f>
        <v>371</v>
      </c>
      <c r="AG289" s="292">
        <f>IFERROR(__xludf.DUMMYFUNCTION("IFERROR(
  INDEX(
    FILTER(
      'Juma Recording forms'!$G:$G,
      TRIM('Juma Recording forms'!$F:$F) = TRIM($B289),
      'Juma Recording forms'!$AA:$AA = 2
    ),
    1
  ),
  ""Not Found""
)"),367.0)</f>
        <v>367</v>
      </c>
      <c r="AH289" s="292" t="str">
        <f>IFERROR(__xludf.DUMMYFUNCTION("IFERROR(
  INDEX(
    FILTER(
      'Juma Recording forms'!$G:$G,
      TRIM('Juma Recording forms'!$F:$F) = TRIM($B289),
      'Juma Recording forms'!$AA:$AA = 3
    ),
    1
  ),
  ""Not Found""
)"),"Not Found")</f>
        <v>Not Found</v>
      </c>
      <c r="AI289" s="292" t="str">
        <f>IFERROR(__xludf.DUMMYFUNCTION("IFERROR(
  INDEX(
    FILTER(
      'Juma Recording forms'!$G:$G,
      TRIM('Juma Recording forms'!$F:$F) = TRIM($B289),
      'Juma Recording forms'!$AA:$AA = 4
    ),
    1
  ),
  ""Not Found""
)"),"Not Found")</f>
        <v>Not Found</v>
      </c>
      <c r="AJ289" s="292" t="str">
        <f>IFERROR(__xludf.DUMMYFUNCTION("IFERROR(
  INDEX(
    FILTER(
      'Juma Recording forms'!$G:$G,
      TRIM('Juma Recording forms'!$F:$F) = TRIM($B289),
      'Juma Recording forms'!$AA:$AA = 5
    ),
    1
  ),
  ""Not Found""
)"),"Not Found")</f>
        <v>Not Found</v>
      </c>
      <c r="AK289" s="292" t="str">
        <f>IFERROR(__xludf.DUMMYFUNCTION("IFERROR(
  INDEX(
    FILTER(
      'Juma Recording forms'!$G:$G,
      TRIM('Juma Recording forms'!$F:$F) = TRIM($B289),
      'Juma Recording forms'!$AA:$AA = 6
    ),
    1
  ),
  ""Not Found""
)"),"Not Found")</f>
        <v>Not Found</v>
      </c>
      <c r="AL2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1!$E:$E"")=$B289) *
        (IMPORTRANGE(""https://docs.google.com/spreadsheets/d/161aHT6vVT3SLneTKD19N5qVWtnj_jIT8CSsOmUVKmaA/e"&amp;"dit?gid=1761053510"",
          ""Haris_Form responses 1!$AQ:$AQ"")=1)
      ),
      1
    ),
    ""0""
  ),
  ""Form not found""
)
"),"0")</f>
        <v>0</v>
      </c>
      <c r="AM2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1!$E:$E"")=$B289) *
        (IMPORTRANGE(""https://docs.google.com/spreadsheets/d/161aHT6vVT3SLneTKD19N5qVWtnj_jIT8CSsOmUVKmaA/e"&amp;"dit?gid=1761053510"",
          ""Haris_Form responses 1!$AQ:$AQ"")=2)
      ),
      1
    ),
    ""0""
  ),
  ""Form not found""
)
"),"Form not found")</f>
        <v>Form not found</v>
      </c>
      <c r="AN2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1!$E:$E"")=$B289) *
        (IMPORTRANGE(""https://docs.google.com/spreadsheets/d/161aHT6vVT3SLneTKD19N5qVWtnj_jIT8CSsOmUVKmaA/e"&amp;"dit?gid=1761053510"",
          ""Haris_Form responses 1!$AQ:$AQ"")=3)
      ),
      1
    ),
    ""0""
  ),
  ""Form not found""
)
"),"0")</f>
        <v>0</v>
      </c>
      <c r="AO2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1!$E:$E"")=$B289) *
        (IMPORTRANGE(""https://docs.google.com/spreadsheets/d/161aHT6vVT3SLneTKD19N5qVWtnj_jIT8CSsOmUVKmaA/e"&amp;"dit?gid=1761053510"",
          ""Haris_Form responses 1!$AQ:$AQ"")=4)
      ),
      1
    ),
    ""0""
  ),
  ""Form not found""
)
"),"Form not found")</f>
        <v>Form not found</v>
      </c>
      <c r="AP2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1!$E:$E"")=$B289) *
        (IMPORTRANGE(""https://docs.google.com/spreadsheets/d/161aHT6vVT3SLneTKD19N5qVWtnj_jIT8CSsOmUVKmaA/e"&amp;"dit?gid=1761053510"",
          ""Haris_Form responses 1!$AQ:$AQ"")=5)
      ),
      1
    ),
    ""0""
  ),
  ""Form not found""
)
"),"Form not found")</f>
        <v>Form not found</v>
      </c>
      <c r="AQ28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1!$E:$E"")=$B289) *
        (IMPORTRANGE(""https://docs.google.com/spreadsheets/d/161aHT6vVT3SLneTKD19N5qVWtnj_jIT8CSsOmUVKmaA/e"&amp;"dit?gid=1761053510"",
          ""Haris_Form responses 1!$AQ:$AQ"")=6)
      ),
      1
    ),
    ""0""
  ),
  ""Form not found""
)
"),"Form not found")</f>
        <v>Form not found</v>
      </c>
      <c r="AR2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1!$E:$E"")=$B289) *
        (IMPORTRANGE(""https://docs.google.com/spreadsheets/d/161aHT6vVT3SLneTKD19N5qVWtnj_jIT8CSsOmUVKmaA/e"&amp;"dit?gid=1761053510"",
          ""Haris_Form responses 1!$AQ:$AQ"")=1)
      ),
      1
    ),
    ""0""
  ),
  ""Form not found""
)
"),"0")</f>
        <v>0</v>
      </c>
      <c r="AS2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1!$E:$E"")=$B289) *
        (IMPORTRANGE(""https://docs.google.com/spreadsheets/d/161aHT6vVT3SLneTKD19N5qVWtnj_jIT8CSsOmUVKmaA/e"&amp;"dit?gid=1761053510"",
          ""Haris_Form responses 1!$AQ:$AQ"")=2)
      ),
      1
    ),
    ""0""
  ),
  ""Form not found""
)
"),"Form not found")</f>
        <v>Form not found</v>
      </c>
      <c r="AT2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1!$E:$E"")=$B289) *
        (IMPORTRANGE(""https://docs.google.com/spreadsheets/d/161aHT6vVT3SLneTKD19N5qVWtnj_jIT8CSsOmUVKmaA/e"&amp;"dit?gid=1761053510"",
          ""Haris_Form responses 1!$AQ:$AQ"")=3)
      ),
      1
    ),
    ""0""
  ),
  ""Form not found""
)
"),"0")</f>
        <v>0</v>
      </c>
      <c r="AU2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1!$E:$E"")=$B289) *
        (IMPORTRANGE(""https://docs.google.com/spreadsheets/d/161aHT6vVT3SLneTKD19N5qVWtnj_jIT8CSsOmUVKmaA/e"&amp;"dit?gid=1761053510"",
          ""Haris_Form responses 1!$AQ:$AQ"")=4)
      ),
      1
    ),
    ""0""
  ),
  ""Form not found""
)
"),"Form not found")</f>
        <v>Form not found</v>
      </c>
      <c r="AV2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1!$E:$E"")=$B289) *
        (IMPORTRANGE(""https://docs.google.com/spreadsheets/d/161aHT6vVT3SLneTKD19N5qVWtnj_jIT8CSsOmUVKmaA/e"&amp;"dit?gid=1761053510"",
          ""Haris_Form responses 1!$AQ:$AQ"")=5)
      ),
      1
    ),
    ""0""
  ),
  ""Form not found""
)
"),"Form not found")</f>
        <v>Form not found</v>
      </c>
      <c r="AW28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1!$E:$E"")=$B289) *
        (IMPORTRANGE(""https://docs.google.com/spreadsheets/d/161aHT6vVT3SLneTKD19N5qVWtnj_jIT8CSsOmUVKmaA/e"&amp;"dit?gid=1761053510"",
          ""Haris_Form responses 1!$AQ:$AQ"")=6)
      ),
      1
    ),
    ""0""
  ),
  ""Form not found""
)
"),"Form not found")</f>
        <v>Form not found</v>
      </c>
      <c r="AX2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1!$E:$E"")=$B289) *
        (IMPORTRANGE(""https://docs.google.com/spreadsheets/d/161aHT6vVT3SLneTKD19N5qVWtnj_jIT8CSsOmUVKmaA/e"&amp;"dit?gid=1761053510"",
          ""Haris_Form responses 1!$AQ:$AQ"")=1)
      ),
      1
    ),
    ""0""
  ),
  ""Form not found""
)
"),"0")</f>
        <v>0</v>
      </c>
      <c r="AY2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1!$E:$E"")=$B289) *
        (IMPORTRANGE(""https://docs.google.com/spreadsheets/d/161aHT6vVT3SLneTKD19N5qVWtnj_jIT8CSsOmUVKmaA/e"&amp;"dit?gid=1761053510"",
          ""Haris_Form responses 1!$AQ:$AQ"")=2)
      ),
      1
    ),
    ""0""
  ),
  ""Form not found""
)
"),"Form not found")</f>
        <v>Form not found</v>
      </c>
      <c r="AZ2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1!$E:$E"")=$B289) *
        (IMPORTRANGE(""https://docs.google.com/spreadsheets/d/161aHT6vVT3SLneTKD19N5qVWtnj_jIT8CSsOmUVKmaA/e"&amp;"dit?gid=1761053510"",
          ""Haris_Form responses 1!$AQ:$AQ"")=3)
      ),
      1
    ),
    ""0""
  ),
  ""Form not found""
)
"),"0")</f>
        <v>0</v>
      </c>
      <c r="BA2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1!$E:$E"")=$B289) *
        (IMPORTRANGE(""https://docs.google.com/spreadsheets/d/161aHT6vVT3SLneTKD19N5qVWtnj_jIT8CSsOmUVKmaA/e"&amp;"dit?gid=1761053510"",
          ""Haris_Form responses 1!$AQ:$AQ"")=4)
      ),
      1
    ),
    ""0""
  ),
  ""Form not found""
)
"),"Form not found")</f>
        <v>Form not found</v>
      </c>
      <c r="BB2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1!$E:$E"")=$B289) *
        (IMPORTRANGE(""https://docs.google.com/spreadsheets/d/161aHT6vVT3SLneTKD19N5qVWtnj_jIT8CSsOmUVKmaA/e"&amp;"dit?gid=1761053510"",
          ""Haris_Form responses 1!$AQ:$AQ"")=5)
      ),
      1
    ),
    ""0""
  ),
  ""Form not found""
)
"),"Form not found")</f>
        <v>Form not found</v>
      </c>
      <c r="BC28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1!$E:$E"")=$B289) *
        (IMPORTRANGE(""https://docs.google.com/spreadsheets/d/161aHT6vVT3SLneTKD19N5qVWtnj_jIT8CSsOmUVKmaA/e"&amp;"dit?gid=1761053510"",
          ""Haris_Form responses 1!$AQ:$AQ"")=6)
      ),
      1
    ),
    ""0""
  ),
  ""Form not found""
)
"),"Form not found")</f>
        <v>Form not found</v>
      </c>
      <c r="BD289" s="293"/>
    </row>
    <row r="290">
      <c r="A290" s="283" t="str">
        <f>IFERROR(__xludf.DUMMYFUNCTION("VLOOKUP($B290,IMPORTRANGE(""https://docs.google.com/spreadsheets/d/1VNXDITjs75AcgdBSW27oL1VZH31udDprJSsBcE5xlp4/edit?gid=1551188038#gid=1551188038"", ""Sheet9!$B:$E""),2,false)"),"Rawalpindi")</f>
        <v>Rawalpindi</v>
      </c>
      <c r="B290" s="283" t="s">
        <v>4378</v>
      </c>
      <c r="C290" s="284" t="str">
        <f>IFERROR(__xludf.DUMMYFUNCTION("VLOOKUP(TRIM($B290), IMPORTRANGE(""https://docs.google.com/spreadsheets/d/1aSOrU4PTpuBZqfitKaH1Rfww6-YOiNCKoBpPl8XBHaw/edit?gid=0#gid=0"", ""sheet3!$B:$C""), 2, FALSE)
"),"Jamia Masjid King Mandi Rawalpindi")</f>
        <v>Jamia Masjid King Mandi Rawalpindi</v>
      </c>
      <c r="D290" s="284" t="str">
        <f>IFERROR(__xludf.DUMMYFUNCTION("IFERROR(
  INDEX(
    FILTER(
      IMPORTRANGE(""1aSOrU4PTpuBZqfitKaH1Rfww6-YOiNCKoBpPl8XBHaw/edit?gid=0#gid=0"",""Sheet1!G:G""),
      IMPORTRANGE(""1aSOrU4PTpuBZqfitKaH1Rfww6-YOiNCKoBpPl8XBHaw/edit?gid=0#gid=0"",""Sheet1!C:C"")=$B290
    ),
    1
  ),
"&amp;"  ""Not Found""
)"),"Women Religious No Info Share")</f>
        <v>Women Religious No Info Share</v>
      </c>
      <c r="E290" s="284" t="str">
        <f>VLOOKUP(B290,'Juma Recording forms'!A:E,5,false)</f>
        <v>Jamia Masjid King Mandi Rawalpindi( jamia masjid asar UL wali)</v>
      </c>
      <c r="F290" s="284" t="str">
        <f>IFERROR(__xludf.DUMMYFUNCTION("IFERROR(
  INDEX(
    FILTER(
      IMPORTRANGE(""1Cxrhp3-_-HS7v9uuqQliiIfrmMP4VaFoDNDWyUFy2J8/edit?gid=0#gid=0"",""Sheet1!Q:Q""),
      IMPORTRANGE(""1Cxrhp3-_-HS7v9uuqQliiIfrmMP4VaFoDNDWyUFy2J8/edit?gid=0#gid=0"",""Sheet1!K:K"")=$B290
    ),
    1
  ),
"&amp;"  ""Not Found""
)"),"Qari Aman ul ghafoor")</f>
        <v>Qari Aman ul ghafoor</v>
      </c>
      <c r="G290" s="292">
        <v>1920.0</v>
      </c>
      <c r="H290" s="284"/>
      <c r="I290" s="285" t="s">
        <v>197</v>
      </c>
      <c r="J290" s="286">
        <v>2.0</v>
      </c>
      <c r="K290" s="287" t="str">
        <f>VLOOKUP($B290,'Mosque Locations'!$A:$E,3,FALSE)
</f>
        <v>https://maps.google.com/maps?q=33.6022424%2C73.0535193&amp;z=17&amp;hl=en</v>
      </c>
      <c r="L290" s="286">
        <f>VLOOKUP($B290,'Mosque Locations'!$A:$E,4,FALSE)
</f>
        <v>33.6022424</v>
      </c>
      <c r="M290" s="286">
        <f>VLOOKUP($B290,'Mosque Locations'!$A:$E,5,false)</f>
        <v>73.0535193</v>
      </c>
      <c r="N290" s="288"/>
      <c r="O290" s="288"/>
      <c r="P290" s="288"/>
      <c r="Q290" s="290" t="str">
        <f>IFERROR(__xludf.DUMMYFUNCTION("IFERROR(
  INDEX(
    FILTER(
      IMPORTRANGE(""1kOrIKZmJfNUkgOVP3sI9BPjaaPA0_a4636oymQxTXg8"",""Form Responses 1!N:N""),
      TRIM(IMPORTRANGE(""1kOrIKZmJfNUkgOVP3sI9BPjaaPA0_a4636oymQxTXg8"",""Form Responses 1!F:F""))=TRIM($B290)
    ),
    1
  ),
  "&amp;"""Not Found""
)
"),"https://drive.google.com/open?id=1DUD1_3EZGzsFT-Rl-mE2BuLRKpeM1kAg")</f>
        <v>https://drive.google.com/open?id=1DUD1_3EZGzsFT-Rl-mE2BuLRKpeM1kAg</v>
      </c>
      <c r="R290" s="290" t="str">
        <f>IFERROR(__xludf.DUMMYFUNCTION("IFERROR(
  INDEX(
    FILTER(
      IMPORTRANGE(""1kOrIKZmJfNUkgOVP3sI9BPjaaPA0_a4636oymQxTXg8"",""Form Responses 1!M:M""),
      TRIM(IMPORTRANGE(""1kOrIKZmJfNUkgOVP3sI9BPjaaPA0_a4636oymQxTXg8"",""Form Responses 1!F:F""))=TRIM($B290)
    ),
    1
  ),
  "&amp;"""Not Found""
)
"),"https://drive.google.com/open?id=18Rb3XjNSqmRnH8MmJ85qoi3QVFFGzgBo")</f>
        <v>https://drive.google.com/open?id=18Rb3XjNSqmRnH8MmJ85qoi3QVFFGzgBo</v>
      </c>
      <c r="S290" s="285"/>
      <c r="T290" s="290" t="str">
        <f>VLOOKUP($B290,'Master Tracker'!D:E,2,false)</f>
        <v>https://drive.google.com/open?id=1xLdP4MshKdr8V5WL6KkopeC25VNwsQcp</v>
      </c>
      <c r="U290" s="291" t="str">
        <f>VLOOKUP($B290,'Master Tracker'!$D:$T,4,FALSE)
</f>
        <v>https://drive.google.com/open?id=143MPdKOeldMM6iZjpzX9GPKoXinf6k9AHrk2MG7ggAE</v>
      </c>
      <c r="V290" s="290" t="str">
        <f>VLOOKUP($B290,'Master Tracker'!$D:$T,5,false)</f>
        <v>https://drive.google.com/open?id=1lpOfspmvDnVNEPJ-EdLHI4yyXL8m-j9F</v>
      </c>
      <c r="W290" s="291" t="str">
        <f>VLOOKUP($B290,'Master Tracker'!$D:$T,7,false)</f>
        <v>https://drive.google.com/open?id=1KdayRp4Utwu1ThsbNSwsYaMhIXxcrseCMb8Myt4kJvE</v>
      </c>
      <c r="X290" s="290" t="str">
        <f>VLOOKUP($B290,'Master Tracker'!$D:$T,8,false)</f>
        <v>https://drive.google.com/open?id=10kAK90Y7dnJArVgo-HdJtRikbCV-rVMG</v>
      </c>
      <c r="Y290" s="291" t="str">
        <f>VLOOKUP($B290,'Master Tracker'!$D:$T,10,false)</f>
        <v>https://drive.google.com/open?id=1POK0PNQIEcisDQC7ps16H_QL3vIGR4kquLw0HycPkQQ</v>
      </c>
      <c r="Z290" s="284" t="str">
        <f>VLOOKUP($B290,'Master Tracker'!$D:$T,11,false)</f>
        <v>Not Found</v>
      </c>
      <c r="AA290" s="292" t="str">
        <f>VLOOKUP($B290,'Master Tracker'!$D:$T,13,false)</f>
        <v>Not Found</v>
      </c>
      <c r="AB290" s="290" t="str">
        <f>VLOOKUP($B290,'Master Tracker'!$D:$T,14,false)</f>
        <v>https://drive.google.com/open?id=1ZdzwHAZmZfKrGuU4MbSs35kRnG-zE4XQ</v>
      </c>
      <c r="AC290" s="291" t="str">
        <f>VLOOKUP($B290,'Master Tracker'!$D:$T,16,false)</f>
        <v>https://drive.google.com/open?id=1medLDadPiqkOf-kxhYw7Xyk-xhM0RxNoq7gnI6S5u8I</v>
      </c>
      <c r="AD290" s="292" t="str">
        <f>VLOOKUP($B290,'Master Tracker'!$D:$T,17,false)</f>
        <v>Not Found</v>
      </c>
      <c r="AE290" s="292" t="str">
        <f>VLOOKUP($B290,'Master Tracker'!$D:$V,19,false)</f>
        <v>Not Found</v>
      </c>
      <c r="AF290" s="292">
        <f>IFERROR(__xludf.DUMMYFUNCTION("IFERROR(
  INDEX(
    FILTER(
      'Juma Recording forms'!$G:$G,
      TRIM('Juma Recording forms'!$F:$F) = TRIM($B290),
      'Juma Recording forms'!$AA:$AA = 1
    ),
    1
  ),
  ""Not Found""
)"),350.0)</f>
        <v>350</v>
      </c>
      <c r="AG290" s="292">
        <f>IFERROR(__xludf.DUMMYFUNCTION("IFERROR(
  INDEX(
    FILTER(
      'Juma Recording forms'!$G:$G,
      TRIM('Juma Recording forms'!$F:$F) = TRIM($B290),
      'Juma Recording forms'!$AA:$AA = 2
    ),
    1
  ),
  ""Not Found""
)"),360.0)</f>
        <v>360</v>
      </c>
      <c r="AH290" s="292" t="str">
        <f>IFERROR(__xludf.DUMMYFUNCTION("IFERROR(
  INDEX(
    FILTER(
      'Juma Recording forms'!$G:$G,
      TRIM('Juma Recording forms'!$F:$F) = TRIM($B290),
      'Juma Recording forms'!$AA:$AA = 3
    ),
    1
  ),
  ""Not Found""
)"),"Not Found")</f>
        <v>Not Found</v>
      </c>
      <c r="AI290" s="292" t="str">
        <f>IFERROR(__xludf.DUMMYFUNCTION("IFERROR(
  INDEX(
    FILTER(
      'Juma Recording forms'!$G:$G,
      TRIM('Juma Recording forms'!$F:$F) = TRIM($B290),
      'Juma Recording forms'!$AA:$AA = 4
    ),
    1
  ),
  ""Not Found""
)"),"Not Found")</f>
        <v>Not Found</v>
      </c>
      <c r="AJ290" s="292" t="str">
        <f>IFERROR(__xludf.DUMMYFUNCTION("IFERROR(
  INDEX(
    FILTER(
      'Juma Recording forms'!$G:$G,
      TRIM('Juma Recording forms'!$F:$F) = TRIM($B290),
      'Juma Recording forms'!$AA:$AA = 5
    ),
    1
  ),
  ""Not Found""
)"),"Not Found")</f>
        <v>Not Found</v>
      </c>
      <c r="AK290" s="292" t="str">
        <f>IFERROR(__xludf.DUMMYFUNCTION("IFERROR(
  INDEX(
    FILTER(
      'Juma Recording forms'!$G:$G,
      TRIM('Juma Recording forms'!$F:$F) = TRIM($B290),
      'Juma Recording forms'!$AA:$AA = 6
    ),
    1
  ),
  ""Not Found""
)"),"Not Found")</f>
        <v>Not Found</v>
      </c>
      <c r="AL2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1!$E:$E"")=$B290) *
        (IMPORTRANGE(""https://docs.google.com/spreadsheets/d/161aHT6vVT3SLneTKD19N5qVWtnj_jIT8CSsOmUVKmaA/e"&amp;"dit?gid=1761053510"",
          ""Haris_Form responses 1!$AQ:$AQ"")=1)
      ),
      1
    ),
    ""0""
  ),
  ""Form not found""
)
"),"0")</f>
        <v>0</v>
      </c>
      <c r="AM2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1!$E:$E"")=$B290) *
        (IMPORTRANGE(""https://docs.google.com/spreadsheets/d/161aHT6vVT3SLneTKD19N5qVWtnj_jIT8CSsOmUVKmaA/e"&amp;"dit?gid=1761053510"",
          ""Haris_Form responses 1!$AQ:$AQ"")=2)
      ),
      1
    ),
    ""0""
  ),
  ""Form not found""
)
"),"6")</f>
        <v>6</v>
      </c>
      <c r="AN2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1!$E:$E"")=$B290) *
        (IMPORTRANGE(""https://docs.google.com/spreadsheets/d/161aHT6vVT3SLneTKD19N5qVWtnj_jIT8CSsOmUVKmaA/e"&amp;"dit?gid=1761053510"",
          ""Haris_Form responses 1!$AQ:$AQ"")=3)
      ),
      1
    ),
    ""0""
  ),
  ""Form not found""
)
"),"9")</f>
        <v>9</v>
      </c>
      <c r="AO2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1!$E:$E"")=$B290) *
        (IMPORTRANGE(""https://docs.google.com/spreadsheets/d/161aHT6vVT3SLneTKD19N5qVWtnj_jIT8CSsOmUVKmaA/e"&amp;"dit?gid=1761053510"",
          ""Haris_Form responses 1!$AQ:$AQ"")=4)
      ),
      1
    ),
    ""0""
  ),
  ""Form not found""
)
"),"Form not found")</f>
        <v>Form not found</v>
      </c>
      <c r="AP2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1!$E:$E"")=$B290) *
        (IMPORTRANGE(""https://docs.google.com/spreadsheets/d/161aHT6vVT3SLneTKD19N5qVWtnj_jIT8CSsOmUVKmaA/e"&amp;"dit?gid=1761053510"",
          ""Haris_Form responses 1!$AQ:$AQ"")=5)
      ),
      1
    ),
    ""0""
  ),
  ""Form not found""
)
"),"0")</f>
        <v>0</v>
      </c>
      <c r="AQ29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1!$E:$E"")=$B290) *
        (IMPORTRANGE(""https://docs.google.com/spreadsheets/d/161aHT6vVT3SLneTKD19N5qVWtnj_jIT8CSsOmUVKmaA/e"&amp;"dit?gid=1761053510"",
          ""Haris_Form responses 1!$AQ:$AQ"")=6)
      ),
      1
    ),
    ""0""
  ),
  ""Form not found""
)
"),"Form not found")</f>
        <v>Form not found</v>
      </c>
      <c r="AR2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1!$E:$E"")=$B290) *
        (IMPORTRANGE(""https://docs.google.com/spreadsheets/d/161aHT6vVT3SLneTKD19N5qVWtnj_jIT8CSsOmUVKmaA/e"&amp;"dit?gid=1761053510"",
          ""Haris_Form responses 1!$AQ:$AQ"")=1)
      ),
      1
    ),
    ""0""
  ),
  ""Form not found""
)
"),"0")</f>
        <v>0</v>
      </c>
      <c r="AS2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1!$E:$E"")=$B290) *
        (IMPORTRANGE(""https://docs.google.com/spreadsheets/d/161aHT6vVT3SLneTKD19N5qVWtnj_jIT8CSsOmUVKmaA/e"&amp;"dit?gid=1761053510"",
          ""Haris_Form responses 1!$AQ:$AQ"")=2)
      ),
      1
    ),
    ""0""
  ),
  ""Form not found""
)
"),"0")</f>
        <v>0</v>
      </c>
      <c r="AT2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1!$E:$E"")=$B290) *
        (IMPORTRANGE(""https://docs.google.com/spreadsheets/d/161aHT6vVT3SLneTKD19N5qVWtnj_jIT8CSsOmUVKmaA/e"&amp;"dit?gid=1761053510"",
          ""Haris_Form responses 1!$AQ:$AQ"")=3)
      ),
      1
    ),
    ""0""
  ),
  ""Form not found""
)
"),"0")</f>
        <v>0</v>
      </c>
      <c r="AU2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1!$E:$E"")=$B290) *
        (IMPORTRANGE(""https://docs.google.com/spreadsheets/d/161aHT6vVT3SLneTKD19N5qVWtnj_jIT8CSsOmUVKmaA/e"&amp;"dit?gid=1761053510"",
          ""Haris_Form responses 1!$AQ:$AQ"")=4)
      ),
      1
    ),
    ""0""
  ),
  ""Form not found""
)
"),"Form not found")</f>
        <v>Form not found</v>
      </c>
      <c r="AV2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1!$E:$E"")=$B290) *
        (IMPORTRANGE(""https://docs.google.com/spreadsheets/d/161aHT6vVT3SLneTKD19N5qVWtnj_jIT8CSsOmUVKmaA/e"&amp;"dit?gid=1761053510"",
          ""Haris_Form responses 1!$AQ:$AQ"")=5)
      ),
      1
    ),
    ""0""
  ),
  ""Form not found""
)
"),"0")</f>
        <v>0</v>
      </c>
      <c r="AW29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1!$E:$E"")=$B290) *
        (IMPORTRANGE(""https://docs.google.com/spreadsheets/d/161aHT6vVT3SLneTKD19N5qVWtnj_jIT8CSsOmUVKmaA/e"&amp;"dit?gid=1761053510"",
          ""Haris_Form responses 1!$AQ:$AQ"")=6)
      ),
      1
    ),
    ""0""
  ),
  ""Form not found""
)
"),"Form not found")</f>
        <v>Form not found</v>
      </c>
      <c r="AX2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1!$E:$E"")=$B290) *
        (IMPORTRANGE(""https://docs.google.com/spreadsheets/d/161aHT6vVT3SLneTKD19N5qVWtnj_jIT8CSsOmUVKmaA/e"&amp;"dit?gid=1761053510"",
          ""Haris_Form responses 1!$AQ:$AQ"")=1)
      ),
      1
    ),
    ""0""
  ),
  ""Form not found""
)
"),"0")</f>
        <v>0</v>
      </c>
      <c r="AY2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1!$E:$E"")=$B290) *
        (IMPORTRANGE(""https://docs.google.com/spreadsheets/d/161aHT6vVT3SLneTKD19N5qVWtnj_jIT8CSsOmUVKmaA/e"&amp;"dit?gid=1761053510"",
          ""Haris_Form responses 1!$AQ:$AQ"")=2)
      ),
      1
    ),
    ""0""
  ),
  ""Form not found""
)
"),"6")</f>
        <v>6</v>
      </c>
      <c r="AZ2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1!$E:$E"")=$B290) *
        (IMPORTRANGE(""https://docs.google.com/spreadsheets/d/161aHT6vVT3SLneTKD19N5qVWtnj_jIT8CSsOmUVKmaA/e"&amp;"dit?gid=1761053510"",
          ""Haris_Form responses 1!$AQ:$AQ"")=3)
      ),
      1
    ),
    ""0""
  ),
  ""Form not found""
)
"),"9")</f>
        <v>9</v>
      </c>
      <c r="BA2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1!$E:$E"")=$B290) *
        (IMPORTRANGE(""https://docs.google.com/spreadsheets/d/161aHT6vVT3SLneTKD19N5qVWtnj_jIT8CSsOmUVKmaA/e"&amp;"dit?gid=1761053510"",
          ""Haris_Form responses 1!$AQ:$AQ"")=4)
      ),
      1
    ),
    ""0""
  ),
  ""Form not found""
)
"),"Form not found")</f>
        <v>Form not found</v>
      </c>
      <c r="BB2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1!$E:$E"")=$B290) *
        (IMPORTRANGE(""https://docs.google.com/spreadsheets/d/161aHT6vVT3SLneTKD19N5qVWtnj_jIT8CSsOmUVKmaA/e"&amp;"dit?gid=1761053510"",
          ""Haris_Form responses 1!$AQ:$AQ"")=5)
      ),
      1
    ),
    ""0""
  ),
  ""Form not found""
)
"),"0")</f>
        <v>0</v>
      </c>
      <c r="BC29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1!$E:$E"")=$B290) *
        (IMPORTRANGE(""https://docs.google.com/spreadsheets/d/161aHT6vVT3SLneTKD19N5qVWtnj_jIT8CSsOmUVKmaA/e"&amp;"dit?gid=1761053510"",
          ""Haris_Form responses 1!$AQ:$AQ"")=6)
      ),
      1
    ),
    ""0""
  ),
  ""Form not found""
)
"),"Form not found")</f>
        <v>Form not found</v>
      </c>
      <c r="BD290" s="293"/>
    </row>
    <row r="291">
      <c r="A291" s="283" t="str">
        <f>IFERROR(__xludf.DUMMYFUNCTION("VLOOKUP($B291,IMPORTRANGE(""https://docs.google.com/spreadsheets/d/1VNXDITjs75AcgdBSW27oL1VZH31udDprJSsBcE5xlp4/edit?gid=1551188038#gid=1551188038"", ""Sheet9!$B:$E""),2,false)"),"Rawalpindi")</f>
        <v>Rawalpindi</v>
      </c>
      <c r="B291" s="283" t="s">
        <v>4299</v>
      </c>
      <c r="C291" s="284" t="str">
        <f>IFERROR(__xludf.DUMMYFUNCTION("VLOOKUP(TRIM($B291), IMPORTRANGE(""https://docs.google.com/spreadsheets/d/1aSOrU4PTpuBZqfitKaH1Rfww6-YOiNCKoBpPl8XBHaw/edit?gid=0#gid=0"", ""sheet3!$B:$C""), 2, FALSE)
"),"Jamia Masjid Darbar Shah Di Nahlian")</f>
        <v>Jamia Masjid Darbar Shah Di Nahlian</v>
      </c>
      <c r="D291" s="284" t="str">
        <f>IFERROR(__xludf.DUMMYFUNCTION("IFERROR(
  INDEX(
    FILTER(
      IMPORTRANGE(""1aSOrU4PTpuBZqfitKaH1Rfww6-YOiNCKoBpPl8XBHaw/edit?gid=0#gid=0"",""Sheet1!G:G""),
      IMPORTRANGE(""1aSOrU4PTpuBZqfitKaH1Rfww6-YOiNCKoBpPl8XBHaw/edit?gid=0#gid=0"",""Sheet1!C:C"")=$B291
    ),
    1
  ),
"&amp;"  ""Not Found""
)"),"Control")</f>
        <v>Control</v>
      </c>
      <c r="E291" s="284" t="str">
        <f>VLOOKUP(B291,'Juma Recording forms'!A:E,5,false)</f>
        <v>Jamia Masjid Darbar Shah Di Nahlian</v>
      </c>
      <c r="F291" s="284" t="str">
        <f>IFERROR(__xludf.DUMMYFUNCTION("IFERROR(
  INDEX(
    FILTER(
      IMPORTRANGE(""1Cxrhp3-_-HS7v9uuqQliiIfrmMP4VaFoDNDWyUFy2J8/edit?gid=0#gid=0"",""Sheet1!Q:Q""),
      IMPORTRANGE(""1Cxrhp3-_-HS7v9uuqQliiIfrmMP4VaFoDNDWyUFy2J8/edit?gid=0#gid=0"",""Sheet1!K:K"")=$B291
    ),
    1
  ),
"&amp;"  ""Not Found""
)"),"Not Found")</f>
        <v>Not Found</v>
      </c>
      <c r="G291" s="292">
        <v>1913.0</v>
      </c>
      <c r="H291" s="284"/>
      <c r="I291" s="285" t="s">
        <v>197</v>
      </c>
      <c r="J291" s="286">
        <v>2.0</v>
      </c>
      <c r="K291" s="287" t="str">
        <f>VLOOKUP($B291,'Mosque Locations'!$A:$E,3,FALSE)
</f>
        <v>https://maps.google.com/maps?q=33.6114515%2C73.0658015&amp;z=17&amp;hl=en</v>
      </c>
      <c r="L291" s="286">
        <f>VLOOKUP($B291,'Mosque Locations'!$A:$E,4,FALSE)
</f>
        <v>33.6114515</v>
      </c>
      <c r="M291" s="286">
        <f>VLOOKUP($B291,'Mosque Locations'!$A:$E,5,false)</f>
        <v>73.0658015</v>
      </c>
      <c r="N291" s="288"/>
      <c r="O291" s="288"/>
      <c r="P291" s="288"/>
      <c r="Q291" s="290" t="str">
        <f>IFERROR(__xludf.DUMMYFUNCTION("IFERROR(
  INDEX(
    FILTER(
      IMPORTRANGE(""1kOrIKZmJfNUkgOVP3sI9BPjaaPA0_a4636oymQxTXg8"",""Form Responses 1!N:N""),
      TRIM(IMPORTRANGE(""1kOrIKZmJfNUkgOVP3sI9BPjaaPA0_a4636oymQxTXg8"",""Form Responses 1!F:F""))=TRIM($B291)
    ),
    1
  ),
  "&amp;"""Not Found""
)
"),"https://drive.google.com/open?id=136-O-P1Qx5zVc3C8HtC6sC6UUKtG8Jpu")</f>
        <v>https://drive.google.com/open?id=136-O-P1Qx5zVc3C8HtC6sC6UUKtG8Jpu</v>
      </c>
      <c r="R291" s="290" t="str">
        <f>IFERROR(__xludf.DUMMYFUNCTION("IFERROR(
  INDEX(
    FILTER(
      IMPORTRANGE(""1kOrIKZmJfNUkgOVP3sI9BPjaaPA0_a4636oymQxTXg8"",""Form Responses 1!M:M""),
      TRIM(IMPORTRANGE(""1kOrIKZmJfNUkgOVP3sI9BPjaaPA0_a4636oymQxTXg8"",""Form Responses 1!F:F""))=TRIM($B291)
    ),
    1
  ),
  "&amp;"""Not Found""
)
"),"https://drive.google.com/open?id=1u1HrYzQWhEyLHL-rgMDVXZMP6WN5LYbi")</f>
        <v>https://drive.google.com/open?id=1u1HrYzQWhEyLHL-rgMDVXZMP6WN5LYbi</v>
      </c>
      <c r="S291" s="285"/>
      <c r="T291" s="290" t="str">
        <f>VLOOKUP($B291,'Master Tracker'!D:E,2,false)</f>
        <v>https://drive.google.com/open?id=1FxVsIK3WuQVrTdP6s9HaR4GZ287SNjn8</v>
      </c>
      <c r="U291" s="291" t="str">
        <f>VLOOKUP($B291,'Master Tracker'!$D:$T,4,FALSE)
</f>
        <v>https://drive.google.com/open?id=1ldXuf6T3YaFFePiWtqIy6_arNBWlsQhz</v>
      </c>
      <c r="V291" s="284" t="str">
        <f>VLOOKUP($B291,'Master Tracker'!$D:$T,5,false)</f>
        <v>Not Found</v>
      </c>
      <c r="W291" s="292" t="str">
        <f>VLOOKUP($B291,'Master Tracker'!$D:$T,7,false)</f>
        <v>Not Found</v>
      </c>
      <c r="X291" s="290" t="str">
        <f>VLOOKUP($B291,'Master Tracker'!$D:$T,8,false)</f>
        <v>https://drive.google.com/open?id=12qGoXQmRuElMKshM0apa2CIaoiYNmHoW</v>
      </c>
      <c r="Y291" s="291" t="str">
        <f>VLOOKUP($B291,'Master Tracker'!$D:$T,10,false)</f>
        <v>https://drive.google.com/open?id=1bYmNNL7bSmxg255GCE1gOWTT6zk2as847yqSJVpVV4U</v>
      </c>
      <c r="Z291" s="284" t="str">
        <f>VLOOKUP($B291,'Master Tracker'!$D:$T,11,false)</f>
        <v>Not Found</v>
      </c>
      <c r="AA291" s="292" t="str">
        <f>VLOOKUP($B291,'Master Tracker'!$D:$T,13,false)</f>
        <v>Not Found</v>
      </c>
      <c r="AB291" s="284" t="str">
        <f>VLOOKUP($B291,'Master Tracker'!$D:$T,14,false)</f>
        <v>Not Found</v>
      </c>
      <c r="AC291" s="292" t="str">
        <f>VLOOKUP($B291,'Master Tracker'!$D:$T,16,false)</f>
        <v>Not Found</v>
      </c>
      <c r="AD291" s="292" t="str">
        <f>VLOOKUP($B291,'Master Tracker'!$D:$T,17,false)</f>
        <v>Not Found</v>
      </c>
      <c r="AE291" s="292" t="str">
        <f>VLOOKUP($B291,'Master Tracker'!$D:$V,19,false)</f>
        <v>Not Found</v>
      </c>
      <c r="AF291" s="292">
        <f>IFERROR(__xludf.DUMMYFUNCTION("IFERROR(
  INDEX(
    FILTER(
      'Juma Recording forms'!$G:$G,
      TRIM('Juma Recording forms'!$F:$F) = TRIM($B291),
      'Juma Recording forms'!$AA:$AA = 1
    ),
    1
  ),
  ""Not Found""
)"),232.0)</f>
        <v>232</v>
      </c>
      <c r="AG291" s="292" t="str">
        <f>IFERROR(__xludf.DUMMYFUNCTION("IFERROR(
  INDEX(
    FILTER(
      'Juma Recording forms'!$G:$G,
      TRIM('Juma Recording forms'!$F:$F) = TRIM($B291),
      'Juma Recording forms'!$AA:$AA = 2
    ),
    1
  ),
  ""Not Found""
)"),"Not Found")</f>
        <v>Not Found</v>
      </c>
      <c r="AH291" s="292" t="str">
        <f>IFERROR(__xludf.DUMMYFUNCTION("IFERROR(
  INDEX(
    FILTER(
      'Juma Recording forms'!$G:$G,
      TRIM('Juma Recording forms'!$F:$F) = TRIM($B291),
      'Juma Recording forms'!$AA:$AA = 3
    ),
    1
  ),
  ""Not Found""
)"),"Not Found")</f>
        <v>Not Found</v>
      </c>
      <c r="AI291" s="292" t="str">
        <f>IFERROR(__xludf.DUMMYFUNCTION("IFERROR(
  INDEX(
    FILTER(
      'Juma Recording forms'!$G:$G,
      TRIM('Juma Recording forms'!$F:$F) = TRIM($B291),
      'Juma Recording forms'!$AA:$AA = 4
    ),
    1
  ),
  ""Not Found""
)"),"Not Found")</f>
        <v>Not Found</v>
      </c>
      <c r="AJ291" s="292" t="str">
        <f>IFERROR(__xludf.DUMMYFUNCTION("IFERROR(
  INDEX(
    FILTER(
      'Juma Recording forms'!$G:$G,
      TRIM('Juma Recording forms'!$F:$F) = TRIM($B291),
      'Juma Recording forms'!$AA:$AA = 5
    ),
    1
  ),
  ""Not Found""
)"),"Not Found")</f>
        <v>Not Found</v>
      </c>
      <c r="AK291" s="292" t="str">
        <f>IFERROR(__xludf.DUMMYFUNCTION("IFERROR(
  INDEX(
    FILTER(
      'Juma Recording forms'!$G:$G,
      TRIM('Juma Recording forms'!$F:$F) = TRIM($B291),
      'Juma Recording forms'!$AA:$AA = 6
    ),
    1
  ),
  ""Not Found""
)"),"Not Found")</f>
        <v>Not Found</v>
      </c>
      <c r="AL2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1!$E:$E"")=$B291) *
        (IMPORTRANGE(""https://docs.google.com/spreadsheets/d/161aHT6vVT3SLneTKD19N5qVWtnj_jIT8CSsOmUVKmaA/e"&amp;"dit?gid=1761053510"",
          ""Haris_Form responses 1!$AQ:$AQ"")=1)
      ),
      1
    ),
    ""0""
  ),
  ""Form not found""
)
"),"0")</f>
        <v>0</v>
      </c>
      <c r="AM2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1!$E:$E"")=$B291) *
        (IMPORTRANGE(""https://docs.google.com/spreadsheets/d/161aHT6vVT3SLneTKD19N5qVWtnj_jIT8CSsOmUVKmaA/e"&amp;"dit?gid=1761053510"",
          ""Haris_Form responses 1!$AQ:$AQ"")=2)
      ),
      1
    ),
    ""0""
  ),
  ""Form not found""
)
"),"Form not found")</f>
        <v>Form not found</v>
      </c>
      <c r="AN2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1!$E:$E"")=$B291) *
        (IMPORTRANGE(""https://docs.google.com/spreadsheets/d/161aHT6vVT3SLneTKD19N5qVWtnj_jIT8CSsOmUVKmaA/e"&amp;"dit?gid=1761053510"",
          ""Haris_Form responses 1!$AQ:$AQ"")=3)
      ),
      1
    ),
    ""0""
  ),
  ""Form not found""
)
"),"0")</f>
        <v>0</v>
      </c>
      <c r="AO2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1!$E:$E"")=$B291) *
        (IMPORTRANGE(""https://docs.google.com/spreadsheets/d/161aHT6vVT3SLneTKD19N5qVWtnj_jIT8CSsOmUVKmaA/e"&amp;"dit?gid=1761053510"",
          ""Haris_Form responses 1!$AQ:$AQ"")=4)
      ),
      1
    ),
    ""0""
  ),
  ""Form not found""
)
"),"Form not found")</f>
        <v>Form not found</v>
      </c>
      <c r="AP2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1!$E:$E"")=$B291) *
        (IMPORTRANGE(""https://docs.google.com/spreadsheets/d/161aHT6vVT3SLneTKD19N5qVWtnj_jIT8CSsOmUVKmaA/e"&amp;"dit?gid=1761053510"",
          ""Haris_Form responses 1!$AQ:$AQ"")=5)
      ),
      1
    ),
    ""0""
  ),
  ""Form not found""
)
"),"Form not found")</f>
        <v>Form not found</v>
      </c>
      <c r="AQ29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1!$E:$E"")=$B291) *
        (IMPORTRANGE(""https://docs.google.com/spreadsheets/d/161aHT6vVT3SLneTKD19N5qVWtnj_jIT8CSsOmUVKmaA/e"&amp;"dit?gid=1761053510"",
          ""Haris_Form responses 1!$AQ:$AQ"")=6)
      ),
      1
    ),
    ""0""
  ),
  ""Form not found""
)
"),"Form not found")</f>
        <v>Form not found</v>
      </c>
      <c r="AR2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1!$E:$E"")=$B291) *
        (IMPORTRANGE(""https://docs.google.com/spreadsheets/d/161aHT6vVT3SLneTKD19N5qVWtnj_jIT8CSsOmUVKmaA/e"&amp;"dit?gid=1761053510"",
          ""Haris_Form responses 1!$AQ:$AQ"")=1)
      ),
      1
    ),
    ""0""
  ),
  ""Form not found""
)
"),"0")</f>
        <v>0</v>
      </c>
      <c r="AS2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1!$E:$E"")=$B291) *
        (IMPORTRANGE(""https://docs.google.com/spreadsheets/d/161aHT6vVT3SLneTKD19N5qVWtnj_jIT8CSsOmUVKmaA/e"&amp;"dit?gid=1761053510"",
          ""Haris_Form responses 1!$AQ:$AQ"")=2)
      ),
      1
    ),
    ""0""
  ),
  ""Form not found""
)
"),"Form not found")</f>
        <v>Form not found</v>
      </c>
      <c r="AT2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1!$E:$E"")=$B291) *
        (IMPORTRANGE(""https://docs.google.com/spreadsheets/d/161aHT6vVT3SLneTKD19N5qVWtnj_jIT8CSsOmUVKmaA/e"&amp;"dit?gid=1761053510"",
          ""Haris_Form responses 1!$AQ:$AQ"")=3)
      ),
      1
    ),
    ""0""
  ),
  ""Form not found""
)
"),"0")</f>
        <v>0</v>
      </c>
      <c r="AU2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1!$E:$E"")=$B291) *
        (IMPORTRANGE(""https://docs.google.com/spreadsheets/d/161aHT6vVT3SLneTKD19N5qVWtnj_jIT8CSsOmUVKmaA/e"&amp;"dit?gid=1761053510"",
          ""Haris_Form responses 1!$AQ:$AQ"")=4)
      ),
      1
    ),
    ""0""
  ),
  ""Form not found""
)
"),"Form not found")</f>
        <v>Form not found</v>
      </c>
      <c r="AV2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1!$E:$E"")=$B291) *
        (IMPORTRANGE(""https://docs.google.com/spreadsheets/d/161aHT6vVT3SLneTKD19N5qVWtnj_jIT8CSsOmUVKmaA/e"&amp;"dit?gid=1761053510"",
          ""Haris_Form responses 1!$AQ:$AQ"")=5)
      ),
      1
    ),
    ""0""
  ),
  ""Form not found""
)
"),"Form not found")</f>
        <v>Form not found</v>
      </c>
      <c r="AW29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1!$E:$E"")=$B291) *
        (IMPORTRANGE(""https://docs.google.com/spreadsheets/d/161aHT6vVT3SLneTKD19N5qVWtnj_jIT8CSsOmUVKmaA/e"&amp;"dit?gid=1761053510"",
          ""Haris_Form responses 1!$AQ:$AQ"")=6)
      ),
      1
    ),
    ""0""
  ),
  ""Form not found""
)
"),"Form not found")</f>
        <v>Form not found</v>
      </c>
      <c r="AX2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1!$E:$E"")=$B291) *
        (IMPORTRANGE(""https://docs.google.com/spreadsheets/d/161aHT6vVT3SLneTKD19N5qVWtnj_jIT8CSsOmUVKmaA/e"&amp;"dit?gid=1761053510"",
          ""Haris_Form responses 1!$AQ:$AQ"")=1)
      ),
      1
    ),
    ""0""
  ),
  ""Form not found""
)
"),"0")</f>
        <v>0</v>
      </c>
      <c r="AY2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1!$E:$E"")=$B291) *
        (IMPORTRANGE(""https://docs.google.com/spreadsheets/d/161aHT6vVT3SLneTKD19N5qVWtnj_jIT8CSsOmUVKmaA/e"&amp;"dit?gid=1761053510"",
          ""Haris_Form responses 1!$AQ:$AQ"")=2)
      ),
      1
    ),
    ""0""
  ),
  ""Form not found""
)
"),"Form not found")</f>
        <v>Form not found</v>
      </c>
      <c r="AZ2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1!$E:$E"")=$B291) *
        (IMPORTRANGE(""https://docs.google.com/spreadsheets/d/161aHT6vVT3SLneTKD19N5qVWtnj_jIT8CSsOmUVKmaA/e"&amp;"dit?gid=1761053510"",
          ""Haris_Form responses 1!$AQ:$AQ"")=3)
      ),
      1
    ),
    ""0""
  ),
  ""Form not found""
)
"),"0")</f>
        <v>0</v>
      </c>
      <c r="BA2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1!$E:$E"")=$B291) *
        (IMPORTRANGE(""https://docs.google.com/spreadsheets/d/161aHT6vVT3SLneTKD19N5qVWtnj_jIT8CSsOmUVKmaA/e"&amp;"dit?gid=1761053510"",
          ""Haris_Form responses 1!$AQ:$AQ"")=4)
      ),
      1
    ),
    ""0""
  ),
  ""Form not found""
)
"),"Form not found")</f>
        <v>Form not found</v>
      </c>
      <c r="BB2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1!$E:$E"")=$B291) *
        (IMPORTRANGE(""https://docs.google.com/spreadsheets/d/161aHT6vVT3SLneTKD19N5qVWtnj_jIT8CSsOmUVKmaA/e"&amp;"dit?gid=1761053510"",
          ""Haris_Form responses 1!$AQ:$AQ"")=5)
      ),
      1
    ),
    ""0""
  ),
  ""Form not found""
)
"),"Form not found")</f>
        <v>Form not found</v>
      </c>
      <c r="BC29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1!$E:$E"")=$B291) *
        (IMPORTRANGE(""https://docs.google.com/spreadsheets/d/161aHT6vVT3SLneTKD19N5qVWtnj_jIT8CSsOmUVKmaA/e"&amp;"dit?gid=1761053510"",
          ""Haris_Form responses 1!$AQ:$AQ"")=6)
      ),
      1
    ),
    ""0""
  ),
  ""Form not found""
)
"),"Form not found")</f>
        <v>Form not found</v>
      </c>
      <c r="BD291" s="293"/>
    </row>
    <row r="292">
      <c r="A292" s="283" t="str">
        <f>IFERROR(__xludf.DUMMYFUNCTION("VLOOKUP($B292,IMPORTRANGE(""https://docs.google.com/spreadsheets/d/1VNXDITjs75AcgdBSW27oL1VZH31udDprJSsBcE5xlp4/edit?gid=1551188038#gid=1551188038"", ""Sheet9!$B:$E""),2,false)"),"Rawalpindi")</f>
        <v>Rawalpindi</v>
      </c>
      <c r="B292" s="283" t="s">
        <v>4337</v>
      </c>
      <c r="C292" s="284" t="str">
        <f>IFERROR(__xludf.DUMMYFUNCTION("VLOOKUP(TRIM($B292), IMPORTRANGE(""https://docs.google.com/spreadsheets/d/1aSOrU4PTpuBZqfitKaH1Rfww6-YOiNCKoBpPl8XBHaw/edit?gid=0#gid=0"", ""sheet3!$B:$C""), 2, FALSE)
"),"Markazi Jamia Masjid Rawalpindi")</f>
        <v>Markazi Jamia Masjid Rawalpindi</v>
      </c>
      <c r="D292" s="284" t="str">
        <f>IFERROR(__xludf.DUMMYFUNCTION("IFERROR(
  INDEX(
    FILTER(
      IMPORTRANGE(""1aSOrU4PTpuBZqfitKaH1Rfww6-YOiNCKoBpPl8XBHaw/edit?gid=0#gid=0"",""Sheet1!G:G""),
      IMPORTRANGE(""1aSOrU4PTpuBZqfitKaH1Rfww6-YOiNCKoBpPl8XBHaw/edit?gid=0#gid=0"",""Sheet1!C:C"")=$B292
    ),
    1
  ),
"&amp;"  ""Not Found""
)"),"Control")</f>
        <v>Control</v>
      </c>
      <c r="E292" s="284" t="str">
        <f>VLOOKUP(B292,'Juma Recording forms'!A:E,5,false)</f>
        <v>Markazi Jamia Masjid Hanfia Rawalpindi</v>
      </c>
      <c r="F292" s="284" t="str">
        <f>IFERROR(__xludf.DUMMYFUNCTION("IFERROR(
  INDEX(
    FILTER(
      IMPORTRANGE(""1Cxrhp3-_-HS7v9uuqQliiIfrmMP4VaFoDNDWyUFy2J8/edit?gid=0#gid=0"",""Sheet1!Q:Q""),
      IMPORTRANGE(""1Cxrhp3-_-HS7v9uuqQliiIfrmMP4VaFoDNDWyUFy2J8/edit?gid=0#gid=0"",""Sheet1!K:K"")=$B292
    ),
    1
  ),
"&amp;"  ""Not Found""
)"),"Tariq Mehmood qadari")</f>
        <v>Tariq Mehmood qadari</v>
      </c>
      <c r="G292" s="292">
        <v>1894.0</v>
      </c>
      <c r="H292" s="284"/>
      <c r="I292" s="285" t="s">
        <v>197</v>
      </c>
      <c r="J292" s="286">
        <v>2.0</v>
      </c>
      <c r="K292" s="287" t="str">
        <f>VLOOKUP($B292,'Mosque Locations'!$A:$E,3,FALSE)
</f>
        <v>https://maps.google.com/maps?q=33.6182966%2C73.0565511&amp;z=17&amp;hl=en</v>
      </c>
      <c r="L292" s="286">
        <f>VLOOKUP($B292,'Mosque Locations'!$A:$E,4,FALSE)
</f>
        <v>33.6182966</v>
      </c>
      <c r="M292" s="286">
        <f>VLOOKUP($B292,'Mosque Locations'!$A:$E,5,false)</f>
        <v>73.0565511</v>
      </c>
      <c r="N292" s="288"/>
      <c r="O292" s="288"/>
      <c r="P292" s="288"/>
      <c r="Q292" s="290" t="str">
        <f>IFERROR(__xludf.DUMMYFUNCTION("IFERROR(
  INDEX(
    FILTER(
      IMPORTRANGE(""1kOrIKZmJfNUkgOVP3sI9BPjaaPA0_a4636oymQxTXg8"",""Form Responses 1!N:N""),
      TRIM(IMPORTRANGE(""1kOrIKZmJfNUkgOVP3sI9BPjaaPA0_a4636oymQxTXg8"",""Form Responses 1!F:F""))=TRIM($B292)
    ),
    1
  ),
  "&amp;"""Not Found""
)
"),"https://drive.google.com/open?id=1A660fqymwFP9zUaxcSxktmMJttqKDYLA")</f>
        <v>https://drive.google.com/open?id=1A660fqymwFP9zUaxcSxktmMJttqKDYLA</v>
      </c>
      <c r="R292" s="290" t="str">
        <f>IFERROR(__xludf.DUMMYFUNCTION("IFERROR(
  INDEX(
    FILTER(
      IMPORTRANGE(""1kOrIKZmJfNUkgOVP3sI9BPjaaPA0_a4636oymQxTXg8"",""Form Responses 1!M:M""),
      TRIM(IMPORTRANGE(""1kOrIKZmJfNUkgOVP3sI9BPjaaPA0_a4636oymQxTXg8"",""Form Responses 1!F:F""))=TRIM($B292)
    ),
    1
  ),
  "&amp;"""Not Found""
)
"),"https://drive.google.com/open?id=1zUlff6Zpycns1JnMvFqffDBPgFlh3ETG")</f>
        <v>https://drive.google.com/open?id=1zUlff6Zpycns1JnMvFqffDBPgFlh3ETG</v>
      </c>
      <c r="S292" s="285"/>
      <c r="T292" s="290" t="str">
        <f>VLOOKUP($B292,'Master Tracker'!D:E,2,false)</f>
        <v>https://drive.google.com/file/d/1EKX5M69jJ9ExSE2b0Xae4e1Ku1jNZwsZ/view?usp=drive_link</v>
      </c>
      <c r="U292" s="291" t="str">
        <f>VLOOKUP($B292,'Master Tracker'!$D:$T,4,FALSE)
</f>
        <v>https://drive.google.com/open?id=1f3wwA2BjfYfcGw3oyrNr0dhiV4HAu4zK</v>
      </c>
      <c r="V292" s="284" t="str">
        <f>VLOOKUP($B292,'Master Tracker'!$D:$T,5,false)</f>
        <v/>
      </c>
      <c r="W292" s="292" t="str">
        <f>VLOOKUP($B292,'Master Tracker'!$D:$T,7,false)</f>
        <v>Not Found</v>
      </c>
      <c r="X292" s="290" t="str">
        <f>VLOOKUP($B292,'Master Tracker'!$D:$T,8,false)</f>
        <v>https://drive.google.com/open?id=1ANmPf84hlKdrk0akGA91901vOx5rpqb1</v>
      </c>
      <c r="Y292" s="291" t="str">
        <f>VLOOKUP($B292,'Master Tracker'!$D:$T,10,false)</f>
        <v>https://drive.google.com/open?id=1yzuBW1C6AVTwLZ__DFSnEzMcguzYuU-oWxtnH_TD8gU</v>
      </c>
      <c r="Z292" s="284" t="str">
        <f>VLOOKUP($B292,'Master Tracker'!$D:$T,11,false)</f>
        <v>Not Found</v>
      </c>
      <c r="AA292" s="292" t="str">
        <f>VLOOKUP($B292,'Master Tracker'!$D:$T,13,false)</f>
        <v>Not Found</v>
      </c>
      <c r="AB292" s="284" t="str">
        <f>VLOOKUP($B292,'Master Tracker'!$D:$T,14,false)</f>
        <v>Not Found</v>
      </c>
      <c r="AC292" s="292" t="str">
        <f>VLOOKUP($B292,'Master Tracker'!$D:$T,16,false)</f>
        <v>Not Found</v>
      </c>
      <c r="AD292" s="292" t="str">
        <f>VLOOKUP($B292,'Master Tracker'!$D:$T,17,false)</f>
        <v>Not Found</v>
      </c>
      <c r="AE292" s="292" t="str">
        <f>VLOOKUP($B292,'Master Tracker'!$D:$V,19,false)</f>
        <v>Not Found</v>
      </c>
      <c r="AF292" s="292">
        <f>IFERROR(__xludf.DUMMYFUNCTION("IFERROR(
  INDEX(
    FILTER(
      'Juma Recording forms'!$G:$G,
      TRIM('Juma Recording forms'!$F:$F) = TRIM($B292),
      'Juma Recording forms'!$AA:$AA = 1
    ),
    1
  ),
  ""Not Found""
)"),950.0)</f>
        <v>950</v>
      </c>
      <c r="AG292" s="292">
        <f>IFERROR(__xludf.DUMMYFUNCTION("IFERROR(
  INDEX(
    FILTER(
      'Juma Recording forms'!$G:$G,
      TRIM('Juma Recording forms'!$F:$F) = TRIM($B292),
      'Juma Recording forms'!$AA:$AA = 2
    ),
    1
  ),
  ""Not Found""
)"),300.0)</f>
        <v>300</v>
      </c>
      <c r="AH292" s="292" t="str">
        <f>IFERROR(__xludf.DUMMYFUNCTION("IFERROR(
  INDEX(
    FILTER(
      'Juma Recording forms'!$G:$G,
      TRIM('Juma Recording forms'!$F:$F) = TRIM($B292),
      'Juma Recording forms'!$AA:$AA = 3
    ),
    1
  ),
  ""Not Found""
)"),"Not Found")</f>
        <v>Not Found</v>
      </c>
      <c r="AI292" s="292" t="str">
        <f>IFERROR(__xludf.DUMMYFUNCTION("IFERROR(
  INDEX(
    FILTER(
      'Juma Recording forms'!$G:$G,
      TRIM('Juma Recording forms'!$F:$F) = TRIM($B292),
      'Juma Recording forms'!$AA:$AA = 4
    ),
    1
  ),
  ""Not Found""
)"),"Not Found")</f>
        <v>Not Found</v>
      </c>
      <c r="AJ292" s="292" t="str">
        <f>IFERROR(__xludf.DUMMYFUNCTION("IFERROR(
  INDEX(
    FILTER(
      'Juma Recording forms'!$G:$G,
      TRIM('Juma Recording forms'!$F:$F) = TRIM($B292),
      'Juma Recording forms'!$AA:$AA = 5
    ),
    1
  ),
  ""Not Found""
)"),"Not Found")</f>
        <v>Not Found</v>
      </c>
      <c r="AK292" s="292" t="str">
        <f>IFERROR(__xludf.DUMMYFUNCTION("IFERROR(
  INDEX(
    FILTER(
      'Juma Recording forms'!$G:$G,
      TRIM('Juma Recording forms'!$F:$F) = TRIM($B292),
      'Juma Recording forms'!$AA:$AA = 6
    ),
    1
  ),
  ""Not Found""
)"),"Not Found")</f>
        <v>Not Found</v>
      </c>
      <c r="AL2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1!$E:$E"")=$B292) *
        (IMPORTRANGE(""https://docs.google.com/spreadsheets/d/161aHT6vVT3SLneTKD19N5qVWtnj_jIT8CSsOmUVKmaA/e"&amp;"dit?gid=1761053510"",
          ""Haris_Form responses 1!$AQ:$AQ"")=1)
      ),
      1
    ),
    ""0""
  ),
  ""Form not found""
)
"),"0")</f>
        <v>0</v>
      </c>
      <c r="AM2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1!$E:$E"")=$B292) *
        (IMPORTRANGE(""https://docs.google.com/spreadsheets/d/161aHT6vVT3SLneTKD19N5qVWtnj_jIT8CSsOmUVKmaA/e"&amp;"dit?gid=1761053510"",
          ""Haris_Form responses 1!$AQ:$AQ"")=2)
      ),
      1
    ),
    ""0""
  ),
  ""Form not found""
)
"),"Form not found")</f>
        <v>Form not found</v>
      </c>
      <c r="AN2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1!$E:$E"")=$B292) *
        (IMPORTRANGE(""https://docs.google.com/spreadsheets/d/161aHT6vVT3SLneTKD19N5qVWtnj_jIT8CSsOmUVKmaA/e"&amp;"dit?gid=1761053510"",
          ""Haris_Form responses 1!$AQ:$AQ"")=3)
      ),
      1
    ),
    ""0""
  ),
  ""Form not found""
)
"),"0")</f>
        <v>0</v>
      </c>
      <c r="AO2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1!$E:$E"")=$B292) *
        (IMPORTRANGE(""https://docs.google.com/spreadsheets/d/161aHT6vVT3SLneTKD19N5qVWtnj_jIT8CSsOmUVKmaA/e"&amp;"dit?gid=1761053510"",
          ""Haris_Form responses 1!$AQ:$AQ"")=4)
      ),
      1
    ),
    ""0""
  ),
  ""Form not found""
)
"),"Form not found")</f>
        <v>Form not found</v>
      </c>
      <c r="AP2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1!$E:$E"")=$B292) *
        (IMPORTRANGE(""https://docs.google.com/spreadsheets/d/161aHT6vVT3SLneTKD19N5qVWtnj_jIT8CSsOmUVKmaA/e"&amp;"dit?gid=1761053510"",
          ""Haris_Form responses 1!$AQ:$AQ"")=5)
      ),
      1
    ),
    ""0""
  ),
  ""Form not found""
)
"),"Form not found")</f>
        <v>Form not found</v>
      </c>
      <c r="AQ29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1!$E:$E"")=$B292) *
        (IMPORTRANGE(""https://docs.google.com/spreadsheets/d/161aHT6vVT3SLneTKD19N5qVWtnj_jIT8CSsOmUVKmaA/e"&amp;"dit?gid=1761053510"",
          ""Haris_Form responses 1!$AQ:$AQ"")=6)
      ),
      1
    ),
    ""0""
  ),
  ""Form not found""
)
"),"Form not found")</f>
        <v>Form not found</v>
      </c>
      <c r="AR2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1!$E:$E"")=$B292) *
        (IMPORTRANGE(""https://docs.google.com/spreadsheets/d/161aHT6vVT3SLneTKD19N5qVWtnj_jIT8CSsOmUVKmaA/e"&amp;"dit?gid=1761053510"",
          ""Haris_Form responses 1!$AQ:$AQ"")=1)
      ),
      1
    ),
    ""0""
  ),
  ""Form not found""
)
"),"0")</f>
        <v>0</v>
      </c>
      <c r="AS2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1!$E:$E"")=$B292) *
        (IMPORTRANGE(""https://docs.google.com/spreadsheets/d/161aHT6vVT3SLneTKD19N5qVWtnj_jIT8CSsOmUVKmaA/e"&amp;"dit?gid=1761053510"",
          ""Haris_Form responses 1!$AQ:$AQ"")=2)
      ),
      1
    ),
    ""0""
  ),
  ""Form not found""
)
"),"Form not found")</f>
        <v>Form not found</v>
      </c>
      <c r="AT2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1!$E:$E"")=$B292) *
        (IMPORTRANGE(""https://docs.google.com/spreadsheets/d/161aHT6vVT3SLneTKD19N5qVWtnj_jIT8CSsOmUVKmaA/e"&amp;"dit?gid=1761053510"",
          ""Haris_Form responses 1!$AQ:$AQ"")=3)
      ),
      1
    ),
    ""0""
  ),
  ""Form not found""
)
"),"3")</f>
        <v>3</v>
      </c>
      <c r="AU2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1!$E:$E"")=$B292) *
        (IMPORTRANGE(""https://docs.google.com/spreadsheets/d/161aHT6vVT3SLneTKD19N5qVWtnj_jIT8CSsOmUVKmaA/e"&amp;"dit?gid=1761053510"",
          ""Haris_Form responses 1!$AQ:$AQ"")=4)
      ),
      1
    ),
    ""0""
  ),
  ""Form not found""
)
"),"Form not found")</f>
        <v>Form not found</v>
      </c>
      <c r="AV2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1!$E:$E"")=$B292) *
        (IMPORTRANGE(""https://docs.google.com/spreadsheets/d/161aHT6vVT3SLneTKD19N5qVWtnj_jIT8CSsOmUVKmaA/e"&amp;"dit?gid=1761053510"",
          ""Haris_Form responses 1!$AQ:$AQ"")=5)
      ),
      1
    ),
    ""0""
  ),
  ""Form not found""
)
"),"Form not found")</f>
        <v>Form not found</v>
      </c>
      <c r="AW29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1!$E:$E"")=$B292) *
        (IMPORTRANGE(""https://docs.google.com/spreadsheets/d/161aHT6vVT3SLneTKD19N5qVWtnj_jIT8CSsOmUVKmaA/e"&amp;"dit?gid=1761053510"",
          ""Haris_Form responses 1!$AQ:$AQ"")=6)
      ),
      1
    ),
    ""0""
  ),
  ""Form not found""
)
"),"Form not found")</f>
        <v>Form not found</v>
      </c>
      <c r="AX2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1!$E:$E"")=$B292) *
        (IMPORTRANGE(""https://docs.google.com/spreadsheets/d/161aHT6vVT3SLneTKD19N5qVWtnj_jIT8CSsOmUVKmaA/e"&amp;"dit?gid=1761053510"",
          ""Haris_Form responses 1!$AQ:$AQ"")=1)
      ),
      1
    ),
    ""0""
  ),
  ""Form not found""
)
"),"0")</f>
        <v>0</v>
      </c>
      <c r="AY2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1!$E:$E"")=$B292) *
        (IMPORTRANGE(""https://docs.google.com/spreadsheets/d/161aHT6vVT3SLneTKD19N5qVWtnj_jIT8CSsOmUVKmaA/e"&amp;"dit?gid=1761053510"",
          ""Haris_Form responses 1!$AQ:$AQ"")=2)
      ),
      1
    ),
    ""0""
  ),
  ""Form not found""
)
"),"Form not found")</f>
        <v>Form not found</v>
      </c>
      <c r="AZ2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1!$E:$E"")=$B292) *
        (IMPORTRANGE(""https://docs.google.com/spreadsheets/d/161aHT6vVT3SLneTKD19N5qVWtnj_jIT8CSsOmUVKmaA/e"&amp;"dit?gid=1761053510"",
          ""Haris_Form responses 1!$AQ:$AQ"")=3)
      ),
      1
    ),
    ""0""
  ),
  ""Form not found""
)
"),"3")</f>
        <v>3</v>
      </c>
      <c r="BA2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1!$E:$E"")=$B292) *
        (IMPORTRANGE(""https://docs.google.com/spreadsheets/d/161aHT6vVT3SLneTKD19N5qVWtnj_jIT8CSsOmUVKmaA/e"&amp;"dit?gid=1761053510"",
          ""Haris_Form responses 1!$AQ:$AQ"")=4)
      ),
      1
    ),
    ""0""
  ),
  ""Form not found""
)
"),"Form not found")</f>
        <v>Form not found</v>
      </c>
      <c r="BB2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1!$E:$E"")=$B292) *
        (IMPORTRANGE(""https://docs.google.com/spreadsheets/d/161aHT6vVT3SLneTKD19N5qVWtnj_jIT8CSsOmUVKmaA/e"&amp;"dit?gid=1761053510"",
          ""Haris_Form responses 1!$AQ:$AQ"")=5)
      ),
      1
    ),
    ""0""
  ),
  ""Form not found""
)
"),"Form not found")</f>
        <v>Form not found</v>
      </c>
      <c r="BC29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1!$E:$E"")=$B292) *
        (IMPORTRANGE(""https://docs.google.com/spreadsheets/d/161aHT6vVT3SLneTKD19N5qVWtnj_jIT8CSsOmUVKmaA/e"&amp;"dit?gid=1761053510"",
          ""Haris_Form responses 1!$AQ:$AQ"")=6)
      ),
      1
    ),
    ""0""
  ),
  ""Form not found""
)
"),"Form not found")</f>
        <v>Form not found</v>
      </c>
      <c r="BD292" s="293"/>
    </row>
    <row r="293">
      <c r="A293" s="283" t="str">
        <f>IFERROR(__xludf.DUMMYFUNCTION("VLOOKUP($B293,IMPORTRANGE(""https://docs.google.com/spreadsheets/d/1VNXDITjs75AcgdBSW27oL1VZH31udDprJSsBcE5xlp4/edit?gid=1551188038#gid=1551188038"", ""Sheet9!$B:$E""),2,false)"),"Rawalpindi")</f>
        <v>Rawalpindi</v>
      </c>
      <c r="B293" s="283" t="s">
        <v>4902</v>
      </c>
      <c r="C293" s="284" t="str">
        <f>IFERROR(__xludf.DUMMYFUNCTION("VLOOKUP(TRIM($B293), IMPORTRANGE(""https://docs.google.com/spreadsheets/d/1aSOrU4PTpuBZqfitKaH1Rfww6-YOiNCKoBpPl8XBHaw/edit?gid=0#gid=0"", ""sheet3!$B:$C""), 2, FALSE)
"),"Jamia Masjid Gawaal Mandi Rawalpindi")</f>
        <v>Jamia Masjid Gawaal Mandi Rawalpindi</v>
      </c>
      <c r="D293" s="284" t="str">
        <f>IFERROR(__xludf.DUMMYFUNCTION("IFERROR(
  INDEX(
    FILTER(
      IMPORTRANGE(""1aSOrU4PTpuBZqfitKaH1Rfww6-YOiNCKoBpPl8XBHaw/edit?gid=0#gid=0"",""Sheet1!G:G""),
      IMPORTRANGE(""1aSOrU4PTpuBZqfitKaH1Rfww6-YOiNCKoBpPl8XBHaw/edit?gid=0#gid=0"",""Sheet1!C:C"")=$B293
    ),
    1
  ),
"&amp;"  ""Not Found""
)"),"Women Secular Info Share")</f>
        <v>Women Secular Info Share</v>
      </c>
      <c r="E293" s="284" t="str">
        <f>VLOOKUP(B293,'Juma Recording forms'!A:E,5,false)</f>
        <v>Jamia masjid gawal Mandi Rawalpindi</v>
      </c>
      <c r="F293" s="284" t="str">
        <f>IFERROR(__xludf.DUMMYFUNCTION("IFERROR(
  INDEX(
    FILTER(
      IMPORTRANGE(""1Cxrhp3-_-HS7v9uuqQliiIfrmMP4VaFoDNDWyUFy2J8/edit?gid=0#gid=0"",""Sheet1!Q:Q""),
      IMPORTRANGE(""1Cxrhp3-_-HS7v9uuqQliiIfrmMP4VaFoDNDWyUFy2J8/edit?gid=0#gid=0"",""Sheet1!K:K"")=$B293
    ),
    1
  ),
"&amp;"  ""Not Found""
)"),"Muhammad amir")</f>
        <v>Muhammad amir</v>
      </c>
      <c r="G293" s="292">
        <v>1952.0</v>
      </c>
      <c r="H293" s="284"/>
      <c r="I293" s="285" t="s">
        <v>197</v>
      </c>
      <c r="J293" s="286">
        <v>2.0</v>
      </c>
      <c r="K293" s="287" t="str">
        <f>VLOOKUP($B293,'Mosque Locations'!$A:$E,3,FALSE)
</f>
        <v>https://maps.google.com/maps?q=33.6059161%2C73.0571634&amp;z=17&amp;hl=en</v>
      </c>
      <c r="L293" s="286">
        <f>VLOOKUP($B293,'Mosque Locations'!$A:$E,4,FALSE)
</f>
        <v>33.6059161</v>
      </c>
      <c r="M293" s="286">
        <f>VLOOKUP($B293,'Mosque Locations'!$A:$E,5,false)</f>
        <v>73.0571634</v>
      </c>
      <c r="N293" s="288"/>
      <c r="O293" s="288"/>
      <c r="P293" s="288"/>
      <c r="Q293" s="290" t="str">
        <f>IFERROR(__xludf.DUMMYFUNCTION("IFERROR(
  INDEX(
    FILTER(
      IMPORTRANGE(""1kOrIKZmJfNUkgOVP3sI9BPjaaPA0_a4636oymQxTXg8"",""Form Responses 1!N:N""),
      TRIM(IMPORTRANGE(""1kOrIKZmJfNUkgOVP3sI9BPjaaPA0_a4636oymQxTXg8"",""Form Responses 1!F:F""))=TRIM($B293)
    ),
    1
  ),
  "&amp;"""Not Found""
)
"),"https://drive.google.com/open?id=1OF7gZJzIUHxxy5A_LKR-qUSWpHeFPmKq")</f>
        <v>https://drive.google.com/open?id=1OF7gZJzIUHxxy5A_LKR-qUSWpHeFPmKq</v>
      </c>
      <c r="R293" s="290" t="str">
        <f>IFERROR(__xludf.DUMMYFUNCTION("IFERROR(
  INDEX(
    FILTER(
      IMPORTRANGE(""1kOrIKZmJfNUkgOVP3sI9BPjaaPA0_a4636oymQxTXg8"",""Form Responses 1!M:M""),
      TRIM(IMPORTRANGE(""1kOrIKZmJfNUkgOVP3sI9BPjaaPA0_a4636oymQxTXg8"",""Form Responses 1!F:F""))=TRIM($B293)
    ),
    1
  ),
  "&amp;"""Not Found""
)
"),"https://drive.google.com/open?id=1XPzS4tnp763vbl4vDGUQJ2Cw3rguv1ey")</f>
        <v>https://drive.google.com/open?id=1XPzS4tnp763vbl4vDGUQJ2Cw3rguv1ey</v>
      </c>
      <c r="S293" s="285"/>
      <c r="T293" s="290" t="str">
        <f>VLOOKUP($B293,'Master Tracker'!D:E,2,false)</f>
        <v>https://drive.google.com/open?id=1AKQCC3NS3Af9fxS3kC4RpkUFAuRrbIEm</v>
      </c>
      <c r="U293" s="291" t="str">
        <f>VLOOKUP($B293,'Master Tracker'!$D:$T,4,FALSE)
</f>
        <v>https://drive.google.com/open?id=1ICDAawc92E5i5PDUqUHLujTz2ZPgF23n</v>
      </c>
      <c r="V293" s="290" t="str">
        <f>VLOOKUP($B293,'Master Tracker'!$D:$T,5,false)</f>
        <v>https://drive.google.com/open?id=15y9Yyz7X9noodOnSRt0RbwUyCKGpleWl</v>
      </c>
      <c r="W293" s="291" t="str">
        <f>VLOOKUP($B293,'Master Tracker'!$D:$T,7,false)</f>
        <v>https://drive.google.com/open?id=1CsdXUWq1Ds-03qCUjklK7OcRxnd4CiOp</v>
      </c>
      <c r="X293" s="290" t="str">
        <f>VLOOKUP($B293,'Master Tracker'!$D:$T,8,false)</f>
        <v>https://drive.google.com/open?id=1kXROIxE8m3sJPaLI7WdbrAfK-aoUzCRd</v>
      </c>
      <c r="Y293" s="291" t="str">
        <f>VLOOKUP($B293,'Master Tracker'!$D:$T,10,false)</f>
        <v>https://drive.google.com/open?id=18Sn90-e8vLKpEowrLKsvqkQeKBgclbhC</v>
      </c>
      <c r="Z293" s="284" t="str">
        <f>VLOOKUP($B293,'Master Tracker'!$D:$T,11,false)</f>
        <v>Not Found</v>
      </c>
      <c r="AA293" s="292" t="str">
        <f>VLOOKUP($B293,'Master Tracker'!$D:$T,13,false)</f>
        <v>Not Found</v>
      </c>
      <c r="AB293" s="284" t="str">
        <f>VLOOKUP($B293,'Master Tracker'!$D:$T,14,false)</f>
        <v>Not Found</v>
      </c>
      <c r="AC293" s="292" t="str">
        <f>VLOOKUP($B293,'Master Tracker'!$D:$T,16,false)</f>
        <v>Not Found</v>
      </c>
      <c r="AD293" s="292" t="str">
        <f>VLOOKUP($B293,'Master Tracker'!$D:$T,17,false)</f>
        <v>Not Found</v>
      </c>
      <c r="AE293" s="292" t="str">
        <f>VLOOKUP($B293,'Master Tracker'!$D:$V,19,false)</f>
        <v>Not Found</v>
      </c>
      <c r="AF293" s="292">
        <f>IFERROR(__xludf.DUMMYFUNCTION("IFERROR(
  INDEX(
    FILTER(
      'Juma Recording forms'!$G:$G,
      TRIM('Juma Recording forms'!$F:$F) = TRIM($B293),
      'Juma Recording forms'!$AA:$AA = 1
    ),
    1
  ),
  ""Not Found""
)"),850.0)</f>
        <v>850</v>
      </c>
      <c r="AG293" s="292">
        <f>IFERROR(__xludf.DUMMYFUNCTION("IFERROR(
  INDEX(
    FILTER(
      'Juma Recording forms'!$G:$G,
      TRIM('Juma Recording forms'!$F:$F) = TRIM($B293),
      'Juma Recording forms'!$AA:$AA = 2
    ),
    1
  ),
  ""Not Found""
)"),805.0)</f>
        <v>805</v>
      </c>
      <c r="AH293" s="292" t="str">
        <f>IFERROR(__xludf.DUMMYFUNCTION("IFERROR(
  INDEX(
    FILTER(
      'Juma Recording forms'!$G:$G,
      TRIM('Juma Recording forms'!$F:$F) = TRIM($B293),
      'Juma Recording forms'!$AA:$AA = 3
    ),
    1
  ),
  ""Not Found""
)"),"Not Found")</f>
        <v>Not Found</v>
      </c>
      <c r="AI293" s="292" t="str">
        <f>IFERROR(__xludf.DUMMYFUNCTION("IFERROR(
  INDEX(
    FILTER(
      'Juma Recording forms'!$G:$G,
      TRIM('Juma Recording forms'!$F:$F) = TRIM($B293),
      'Juma Recording forms'!$AA:$AA = 4
    ),
    1
  ),
  ""Not Found""
)"),"Not Found")</f>
        <v>Not Found</v>
      </c>
      <c r="AJ293" s="292" t="str">
        <f>IFERROR(__xludf.DUMMYFUNCTION("IFERROR(
  INDEX(
    FILTER(
      'Juma Recording forms'!$G:$G,
      TRIM('Juma Recording forms'!$F:$F) = TRIM($B293),
      'Juma Recording forms'!$AA:$AA = 5
    ),
    1
  ),
  ""Not Found""
)"),"Not Found")</f>
        <v>Not Found</v>
      </c>
      <c r="AK293" s="292" t="str">
        <f>IFERROR(__xludf.DUMMYFUNCTION("IFERROR(
  INDEX(
    FILTER(
      'Juma Recording forms'!$G:$G,
      TRIM('Juma Recording forms'!$F:$F) = TRIM($B293),
      'Juma Recording forms'!$AA:$AA = 6
    ),
    1
  ),
  ""Not Found""
)"),"Not Found")</f>
        <v>Not Found</v>
      </c>
      <c r="AL2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1!$E:$E"")=$B293) *
        (IMPORTRANGE(""https://docs.google.com/spreadsheets/d/161aHT6vVT3SLneTKD19N5qVWtnj_jIT8CSsOmUVKmaA/e"&amp;"dit?gid=1761053510"",
          ""Haris_Form responses 1!$AQ:$AQ"")=1)
      ),
      1
    ),
    ""0""
  ),
  ""Form not found""
)
"),"10")</f>
        <v>10</v>
      </c>
      <c r="AM2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1!$E:$E"")=$B293) *
        (IMPORTRANGE(""https://docs.google.com/spreadsheets/d/161aHT6vVT3SLneTKD19N5qVWtnj_jIT8CSsOmUVKmaA/e"&amp;"dit?gid=1761053510"",
          ""Haris_Form responses 1!$AQ:$AQ"")=2)
      ),
      1
    ),
    ""0""
  ),
  ""Form not found""
)
"),"10")</f>
        <v>10</v>
      </c>
      <c r="AN2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1!$E:$E"")=$B293) *
        (IMPORTRANGE(""https://docs.google.com/spreadsheets/d/161aHT6vVT3SLneTKD19N5qVWtnj_jIT8CSsOmUVKmaA/e"&amp;"dit?gid=1761053510"",
          ""Haris_Form responses 1!$AQ:$AQ"")=3)
      ),
      1
    ),
    ""0""
  ),
  ""Form not found""
)
"),"0")</f>
        <v>0</v>
      </c>
      <c r="AO2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1!$E:$E"")=$B293) *
        (IMPORTRANGE(""https://docs.google.com/spreadsheets/d/161aHT6vVT3SLneTKD19N5qVWtnj_jIT8CSsOmUVKmaA/e"&amp;"dit?gid=1761053510"",
          ""Haris_Form responses 1!$AQ:$AQ"")=4)
      ),
      1
    ),
    ""0""
  ),
  ""Form not found""
)
"),"Form not found")</f>
        <v>Form not found</v>
      </c>
      <c r="AP2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1!$E:$E"")=$B293) *
        (IMPORTRANGE(""https://docs.google.com/spreadsheets/d/161aHT6vVT3SLneTKD19N5qVWtnj_jIT8CSsOmUVKmaA/e"&amp;"dit?gid=1761053510"",
          ""Haris_Form responses 1!$AQ:$AQ"")=5)
      ),
      1
    ),
    ""0""
  ),
  ""Form not found""
)
"),"Form not found")</f>
        <v>Form not found</v>
      </c>
      <c r="AQ29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1!$E:$E"")=$B293) *
        (IMPORTRANGE(""https://docs.google.com/spreadsheets/d/161aHT6vVT3SLneTKD19N5qVWtnj_jIT8CSsOmUVKmaA/e"&amp;"dit?gid=1761053510"",
          ""Haris_Form responses 1!$AQ:$AQ"")=6)
      ),
      1
    ),
    ""0""
  ),
  ""Form not found""
)
"),"Form not found")</f>
        <v>Form not found</v>
      </c>
      <c r="AR2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1!$E:$E"")=$B293) *
        (IMPORTRANGE(""https://docs.google.com/spreadsheets/d/161aHT6vVT3SLneTKD19N5qVWtnj_jIT8CSsOmUVKmaA/e"&amp;"dit?gid=1761053510"",
          ""Haris_Form responses 1!$AQ:$AQ"")=1)
      ),
      1
    ),
    ""0""
  ),
  ""Form not found""
)
"),"0")</f>
        <v>0</v>
      </c>
      <c r="AS2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1!$E:$E"")=$B293) *
        (IMPORTRANGE(""https://docs.google.com/spreadsheets/d/161aHT6vVT3SLneTKD19N5qVWtnj_jIT8CSsOmUVKmaA/e"&amp;"dit?gid=1761053510"",
          ""Haris_Form responses 1!$AQ:$AQ"")=2)
      ),
      1
    ),
    ""0""
  ),
  ""Form not found""
)
"),"0")</f>
        <v>0</v>
      </c>
      <c r="AT2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1!$E:$E"")=$B293) *
        (IMPORTRANGE(""https://docs.google.com/spreadsheets/d/161aHT6vVT3SLneTKD19N5qVWtnj_jIT8CSsOmUVKmaA/e"&amp;"dit?gid=1761053510"",
          ""Haris_Form responses 1!$AQ:$AQ"")=3)
      ),
      1
    ),
    ""0""
  ),
  ""Form not found""
)
"),"0")</f>
        <v>0</v>
      </c>
      <c r="AU2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1!$E:$E"")=$B293) *
        (IMPORTRANGE(""https://docs.google.com/spreadsheets/d/161aHT6vVT3SLneTKD19N5qVWtnj_jIT8CSsOmUVKmaA/e"&amp;"dit?gid=1761053510"",
          ""Haris_Form responses 1!$AQ:$AQ"")=4)
      ),
      1
    ),
    ""0""
  ),
  ""Form not found""
)
"),"Form not found")</f>
        <v>Form not found</v>
      </c>
      <c r="AV2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1!$E:$E"")=$B293) *
        (IMPORTRANGE(""https://docs.google.com/spreadsheets/d/161aHT6vVT3SLneTKD19N5qVWtnj_jIT8CSsOmUVKmaA/e"&amp;"dit?gid=1761053510"",
          ""Haris_Form responses 1!$AQ:$AQ"")=5)
      ),
      1
    ),
    ""0""
  ),
  ""Form not found""
)
"),"Form not found")</f>
        <v>Form not found</v>
      </c>
      <c r="AW29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1!$E:$E"")=$B293) *
        (IMPORTRANGE(""https://docs.google.com/spreadsheets/d/161aHT6vVT3SLneTKD19N5qVWtnj_jIT8CSsOmUVKmaA/e"&amp;"dit?gid=1761053510"",
          ""Haris_Form responses 1!$AQ:$AQ"")=6)
      ),
      1
    ),
    ""0""
  ),
  ""Form not found""
)
"),"Form not found")</f>
        <v>Form not found</v>
      </c>
      <c r="AX2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1!$E:$E"")=$B293) *
        (IMPORTRANGE(""https://docs.google.com/spreadsheets/d/161aHT6vVT3SLneTKD19N5qVWtnj_jIT8CSsOmUVKmaA/e"&amp;"dit?gid=1761053510"",
          ""Haris_Form responses 1!$AQ:$AQ"")=1)
      ),
      1
    ),
    ""0""
  ),
  ""Form not found""
)
"),"10")</f>
        <v>10</v>
      </c>
      <c r="AY2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1!$E:$E"")=$B293) *
        (IMPORTRANGE(""https://docs.google.com/spreadsheets/d/161aHT6vVT3SLneTKD19N5qVWtnj_jIT8CSsOmUVKmaA/e"&amp;"dit?gid=1761053510"",
          ""Haris_Form responses 1!$AQ:$AQ"")=2)
      ),
      1
    ),
    ""0""
  ),
  ""Form not found""
)
"),"10")</f>
        <v>10</v>
      </c>
      <c r="AZ2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1!$E:$E"")=$B293) *
        (IMPORTRANGE(""https://docs.google.com/spreadsheets/d/161aHT6vVT3SLneTKD19N5qVWtnj_jIT8CSsOmUVKmaA/e"&amp;"dit?gid=1761053510"",
          ""Haris_Form responses 1!$AQ:$AQ"")=3)
      ),
      1
    ),
    ""0""
  ),
  ""Form not found""
)
"),"0")</f>
        <v>0</v>
      </c>
      <c r="BA2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1!$E:$E"")=$B293) *
        (IMPORTRANGE(""https://docs.google.com/spreadsheets/d/161aHT6vVT3SLneTKD19N5qVWtnj_jIT8CSsOmUVKmaA/e"&amp;"dit?gid=1761053510"",
          ""Haris_Form responses 1!$AQ:$AQ"")=4)
      ),
      1
    ),
    ""0""
  ),
  ""Form not found""
)
"),"Form not found")</f>
        <v>Form not found</v>
      </c>
      <c r="BB2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1!$E:$E"")=$B293) *
        (IMPORTRANGE(""https://docs.google.com/spreadsheets/d/161aHT6vVT3SLneTKD19N5qVWtnj_jIT8CSsOmUVKmaA/e"&amp;"dit?gid=1761053510"",
          ""Haris_Form responses 1!$AQ:$AQ"")=5)
      ),
      1
    ),
    ""0""
  ),
  ""Form not found""
)
"),"Form not found")</f>
        <v>Form not found</v>
      </c>
      <c r="BC29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1!$E:$E"")=$B293) *
        (IMPORTRANGE(""https://docs.google.com/spreadsheets/d/161aHT6vVT3SLneTKD19N5qVWtnj_jIT8CSsOmUVKmaA/e"&amp;"dit?gid=1761053510"",
          ""Haris_Form responses 1!$AQ:$AQ"")=6)
      ),
      1
    ),
    ""0""
  ),
  ""Form not found""
)
"),"Form not found")</f>
        <v>Form not found</v>
      </c>
      <c r="BD293" s="293"/>
    </row>
    <row r="294">
      <c r="A294" s="283" t="str">
        <f>IFERROR(__xludf.DUMMYFUNCTION("VLOOKUP($B294,IMPORTRANGE(""https://docs.google.com/spreadsheets/d/1VNXDITjs75AcgdBSW27oL1VZH31udDprJSsBcE5xlp4/edit?gid=1551188038#gid=1551188038"", ""Sheet9!$B:$E""),2,false)"),"Rawalpindi")</f>
        <v>Rawalpindi</v>
      </c>
      <c r="B294" s="283" t="s">
        <v>4384</v>
      </c>
      <c r="C294" s="284" t="str">
        <f>IFERROR(__xludf.DUMMYFUNCTION("VLOOKUP(TRIM($B294), IMPORTRANGE(""https://docs.google.com/spreadsheets/d/1aSOrU4PTpuBZqfitKaH1Rfww6-YOiNCKoBpPl8XBHaw/edit?gid=0#gid=0"", ""sheet3!$B:$C""), 2, FALSE)
"),"Jamia Masjid Madina Kabari Bazar Rawalpindi")</f>
        <v>Jamia Masjid Madina Kabari Bazar Rawalpindi</v>
      </c>
      <c r="D294" s="284" t="str">
        <f>IFERROR(__xludf.DUMMYFUNCTION("IFERROR(
  INDEX(
    FILTER(
      IMPORTRANGE(""1aSOrU4PTpuBZqfitKaH1Rfww6-YOiNCKoBpPl8XBHaw/edit?gid=0#gid=0"",""Sheet1!G:G""),
      IMPORTRANGE(""1aSOrU4PTpuBZqfitKaH1Rfww6-YOiNCKoBpPl8XBHaw/edit?gid=0#gid=0"",""Sheet1!C:C"")=$B294
    ),
    1
  ),
"&amp;"  ""Not Found""
)"),"Women Religious No Info Share")</f>
        <v>Women Religious No Info Share</v>
      </c>
      <c r="E294" s="284" t="str">
        <f>VLOOKUP(B294,'Juma Recording forms'!A:E,5,false)</f>
        <v>Jamia Masjid Madina Kabari Bazar Rawalpindi</v>
      </c>
      <c r="F294" s="284" t="str">
        <f>IFERROR(__xludf.DUMMYFUNCTION("IFERROR(
  INDEX(
    FILTER(
      IMPORTRANGE(""1Cxrhp3-_-HS7v9uuqQliiIfrmMP4VaFoDNDWyUFy2J8/edit?gid=0#gid=0"",""Sheet1!Q:Q""),
      IMPORTRANGE(""1Cxrhp3-_-HS7v9uuqQliiIfrmMP4VaFoDNDWyUFy2J8/edit?gid=0#gid=0"",""Sheet1!K:K"")=$B294
    ),
    1
  ),
"&amp;"  ""Not Found""
)"),"Not Found")</f>
        <v>Not Found</v>
      </c>
      <c r="G294" s="292">
        <v>1910.0</v>
      </c>
      <c r="H294" s="284"/>
      <c r="I294" s="285" t="s">
        <v>197</v>
      </c>
      <c r="J294" s="286">
        <v>2.0</v>
      </c>
      <c r="K294" s="287" t="str">
        <f>VLOOKUP($B294,'Mosque Locations'!$A:$E,3,FALSE)
</f>
        <v>https://maps.google.com/maps?q=33.6138963%2C73.0548993&amp;z=17&amp;hl=en</v>
      </c>
      <c r="L294" s="286">
        <f>VLOOKUP($B294,'Mosque Locations'!$A:$E,4,FALSE)
</f>
        <v>33.6138963</v>
      </c>
      <c r="M294" s="286">
        <f>VLOOKUP($B294,'Mosque Locations'!$A:$E,5,false)</f>
        <v>73.0548993</v>
      </c>
      <c r="N294" s="288"/>
      <c r="O294" s="288"/>
      <c r="P294" s="288"/>
      <c r="Q294" s="290" t="str">
        <f>IFERROR(__xludf.DUMMYFUNCTION("IFERROR(
  INDEX(
    FILTER(
      IMPORTRANGE(""1kOrIKZmJfNUkgOVP3sI9BPjaaPA0_a4636oymQxTXg8"",""Form Responses 1!N:N""),
      TRIM(IMPORTRANGE(""1kOrIKZmJfNUkgOVP3sI9BPjaaPA0_a4636oymQxTXg8"",""Form Responses 1!F:F""))=TRIM($B294)
    ),
    1
  ),
  "&amp;"""Not Found""
)
"),"https://drive.google.com/open?id=1RUMxUmagtQ5Wm-5EHpigQWLCKENooJD7")</f>
        <v>https://drive.google.com/open?id=1RUMxUmagtQ5Wm-5EHpigQWLCKENooJD7</v>
      </c>
      <c r="R294" s="290" t="str">
        <f>IFERROR(__xludf.DUMMYFUNCTION("IFERROR(
  INDEX(
    FILTER(
      IMPORTRANGE(""1kOrIKZmJfNUkgOVP3sI9BPjaaPA0_a4636oymQxTXg8"",""Form Responses 1!M:M""),
      TRIM(IMPORTRANGE(""1kOrIKZmJfNUkgOVP3sI9BPjaaPA0_a4636oymQxTXg8"",""Form Responses 1!F:F""))=TRIM($B294)
    ),
    1
  ),
  "&amp;"""Not Found""
)
"),"https://drive.google.com/open?id=1X6jrKrp0_Qpo20TlGP6QKp55b4IiEnuY")</f>
        <v>https://drive.google.com/open?id=1X6jrKrp0_Qpo20TlGP6QKp55b4IiEnuY</v>
      </c>
      <c r="S294" s="285"/>
      <c r="T294" s="290" t="str">
        <f>VLOOKUP($B294,'Master Tracker'!D:E,2,false)</f>
        <v>https://drive.google.com/open?id=1_2MmJ2TBo6BksD59MevNlObM_IOSRdrp</v>
      </c>
      <c r="U294" s="291" t="str">
        <f>VLOOKUP($B294,'Master Tracker'!$D:$T,4,FALSE)
</f>
        <v>https://drive.google.com/open?id=1Hfjewsnfba3ZfhSRuR-pkU2-oeNX5HeOn-L9uSYAwWM</v>
      </c>
      <c r="V294" s="290" t="str">
        <f>VLOOKUP($B294,'Master Tracker'!$D:$T,5,false)</f>
        <v>https://drive.google.com/open?id=1TIT9tWwYtTeVl2cw8SlQz0SDVnzkq-dk</v>
      </c>
      <c r="W294" s="291" t="str">
        <f>VLOOKUP($B294,'Master Tracker'!$D:$T,7,false)</f>
        <v>https://drive.google.com/open?id=1NhS9cgmn9_RjEhaZWDoROTwJIXbCBG8c</v>
      </c>
      <c r="X294" s="290" t="str">
        <f>VLOOKUP($B294,'Master Tracker'!$D:$T,8,false)</f>
        <v>https://drive.google.com/open?id=1B2P-s4TNj6_uxIbqzCymsyoJ_ZDnHVji</v>
      </c>
      <c r="Y294" s="291" t="str">
        <f>VLOOKUP($B294,'Master Tracker'!$D:$T,10,false)</f>
        <v>https://drive.google.com/open?id=1UQZcpZnF5cgeVTrUyn24fnPjb0EmGw-UQPjGPRyAqJs</v>
      </c>
      <c r="Z294" s="284" t="str">
        <f>VLOOKUP($B294,'Master Tracker'!$D:$T,11,false)</f>
        <v>Not Found</v>
      </c>
      <c r="AA294" s="292" t="str">
        <f>VLOOKUP($B294,'Master Tracker'!$D:$T,13,false)</f>
        <v>Not Found</v>
      </c>
      <c r="AB294" s="284" t="str">
        <f>VLOOKUP($B294,'Master Tracker'!$D:$T,14,false)</f>
        <v>Not Found</v>
      </c>
      <c r="AC294" s="292" t="str">
        <f>VLOOKUP($B294,'Master Tracker'!$D:$T,16,false)</f>
        <v>Not Found</v>
      </c>
      <c r="AD294" s="292" t="str">
        <f>VLOOKUP($B294,'Master Tracker'!$D:$T,17,false)</f>
        <v>Not Found</v>
      </c>
      <c r="AE294" s="292" t="str">
        <f>VLOOKUP($B294,'Master Tracker'!$D:$V,19,false)</f>
        <v>Not Found</v>
      </c>
      <c r="AF294" s="292">
        <f>IFERROR(__xludf.DUMMYFUNCTION("IFERROR(
  INDEX(
    FILTER(
      'Juma Recording forms'!$G:$G,
      TRIM('Juma Recording forms'!$F:$F) = TRIM($B294),
      'Juma Recording forms'!$AA:$AA = 1
    ),
    1
  ),
  ""Not Found""
)"),380.0)</f>
        <v>380</v>
      </c>
      <c r="AG294" s="292">
        <f>IFERROR(__xludf.DUMMYFUNCTION("IFERROR(
  INDEX(
    FILTER(
      'Juma Recording forms'!$G:$G,
      TRIM('Juma Recording forms'!$F:$F) = TRIM($B294),
      'Juma Recording forms'!$AA:$AA = 2
    ),
    1
  ),
  ""Not Found""
)"),410.0)</f>
        <v>410</v>
      </c>
      <c r="AH294" s="292" t="str">
        <f>IFERROR(__xludf.DUMMYFUNCTION("IFERROR(
  INDEX(
    FILTER(
      'Juma Recording forms'!$G:$G,
      TRIM('Juma Recording forms'!$F:$F) = TRIM($B294),
      'Juma Recording forms'!$AA:$AA = 3
    ),
    1
  ),
  ""Not Found""
)"),"Not Found")</f>
        <v>Not Found</v>
      </c>
      <c r="AI294" s="292" t="str">
        <f>IFERROR(__xludf.DUMMYFUNCTION("IFERROR(
  INDEX(
    FILTER(
      'Juma Recording forms'!$G:$G,
      TRIM('Juma Recording forms'!$F:$F) = TRIM($B294),
      'Juma Recording forms'!$AA:$AA = 4
    ),
    1
  ),
  ""Not Found""
)"),"Not Found")</f>
        <v>Not Found</v>
      </c>
      <c r="AJ294" s="292" t="str">
        <f>IFERROR(__xludf.DUMMYFUNCTION("IFERROR(
  INDEX(
    FILTER(
      'Juma Recording forms'!$G:$G,
      TRIM('Juma Recording forms'!$F:$F) = TRIM($B294),
      'Juma Recording forms'!$AA:$AA = 5
    ),
    1
  ),
  ""Not Found""
)"),"Not Found")</f>
        <v>Not Found</v>
      </c>
      <c r="AK294" s="292" t="str">
        <f>IFERROR(__xludf.DUMMYFUNCTION("IFERROR(
  INDEX(
    FILTER(
      'Juma Recording forms'!$G:$G,
      TRIM('Juma Recording forms'!$F:$F) = TRIM($B294),
      'Juma Recording forms'!$AA:$AA = 6
    ),
    1
  ),
  ""Not Found""
)"),"Not Found")</f>
        <v>Not Found</v>
      </c>
      <c r="AL2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1!$E:$E"")=$B294) *
        (IMPORTRANGE(""https://docs.google.com/spreadsheets/d/161aHT6vVT3SLneTKD19N5qVWtnj_jIT8CSsOmUVKmaA/e"&amp;"dit?gid=1761053510"",
          ""Haris_Form responses 1!$AQ:$AQ"")=1)
      ),
      1
    ),
    ""0""
  ),
  ""Form not found""
)
"),"10")</f>
        <v>10</v>
      </c>
      <c r="AM2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1!$E:$E"")=$B294) *
        (IMPORTRANGE(""https://docs.google.com/spreadsheets/d/161aHT6vVT3SLneTKD19N5qVWtnj_jIT8CSsOmUVKmaA/e"&amp;"dit?gid=1761053510"",
          ""Haris_Form responses 1!$AQ:$AQ"")=2)
      ),
      1
    ),
    ""0""
  ),
  ""Form not found""
)
"),"10")</f>
        <v>10</v>
      </c>
      <c r="AN2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1!$E:$E"")=$B294) *
        (IMPORTRANGE(""https://docs.google.com/spreadsheets/d/161aHT6vVT3SLneTKD19N5qVWtnj_jIT8CSsOmUVKmaA/e"&amp;"dit?gid=1761053510"",
          ""Haris_Form responses 1!$AQ:$AQ"")=3)
      ),
      1
    ),
    ""0""
  ),
  ""Form not found""
)
"),"0")</f>
        <v>0</v>
      </c>
      <c r="AO2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1!$E:$E"")=$B294) *
        (IMPORTRANGE(""https://docs.google.com/spreadsheets/d/161aHT6vVT3SLneTKD19N5qVWtnj_jIT8CSsOmUVKmaA/e"&amp;"dit?gid=1761053510"",
          ""Haris_Form responses 1!$AQ:$AQ"")=4)
      ),
      1
    ),
    ""0""
  ),
  ""Form not found""
)
"),"Form not found")</f>
        <v>Form not found</v>
      </c>
      <c r="AP2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1!$E:$E"")=$B294) *
        (IMPORTRANGE(""https://docs.google.com/spreadsheets/d/161aHT6vVT3SLneTKD19N5qVWtnj_jIT8CSsOmUVKmaA/e"&amp;"dit?gid=1761053510"",
          ""Haris_Form responses 1!$AQ:$AQ"")=5)
      ),
      1
    ),
    ""0""
  ),
  ""Form not found""
)
"),"Form not found")</f>
        <v>Form not found</v>
      </c>
      <c r="AQ29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1!$E:$E"")=$B294) *
        (IMPORTRANGE(""https://docs.google.com/spreadsheets/d/161aHT6vVT3SLneTKD19N5qVWtnj_jIT8CSsOmUVKmaA/e"&amp;"dit?gid=1761053510"",
          ""Haris_Form responses 1!$AQ:$AQ"")=6)
      ),
      1
    ),
    ""0""
  ),
  ""Form not found""
)
"),"Form not found")</f>
        <v>Form not found</v>
      </c>
      <c r="AR2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1!$E:$E"")=$B294) *
        (IMPORTRANGE(""https://docs.google.com/spreadsheets/d/161aHT6vVT3SLneTKD19N5qVWtnj_jIT8CSsOmUVKmaA/e"&amp;"dit?gid=1761053510"",
          ""Haris_Form responses 1!$AQ:$AQ"")=1)
      ),
      1
    ),
    ""0""
  ),
  ""Form not found""
)
"),"0")</f>
        <v>0</v>
      </c>
      <c r="AS2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1!$E:$E"")=$B294) *
        (IMPORTRANGE(""https://docs.google.com/spreadsheets/d/161aHT6vVT3SLneTKD19N5qVWtnj_jIT8CSsOmUVKmaA/e"&amp;"dit?gid=1761053510"",
          ""Haris_Form responses 1!$AQ:$AQ"")=2)
      ),
      1
    ),
    ""0""
  ),
  ""Form not found""
)
"),"0")</f>
        <v>0</v>
      </c>
      <c r="AT2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1!$E:$E"")=$B294) *
        (IMPORTRANGE(""https://docs.google.com/spreadsheets/d/161aHT6vVT3SLneTKD19N5qVWtnj_jIT8CSsOmUVKmaA/e"&amp;"dit?gid=1761053510"",
          ""Haris_Form responses 1!$AQ:$AQ"")=3)
      ),
      1
    ),
    ""0""
  ),
  ""Form not found""
)
"),"0")</f>
        <v>0</v>
      </c>
      <c r="AU2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1!$E:$E"")=$B294) *
        (IMPORTRANGE(""https://docs.google.com/spreadsheets/d/161aHT6vVT3SLneTKD19N5qVWtnj_jIT8CSsOmUVKmaA/e"&amp;"dit?gid=1761053510"",
          ""Haris_Form responses 1!$AQ:$AQ"")=4)
      ),
      1
    ),
    ""0""
  ),
  ""Form not found""
)
"),"Form not found")</f>
        <v>Form not found</v>
      </c>
      <c r="AV2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1!$E:$E"")=$B294) *
        (IMPORTRANGE(""https://docs.google.com/spreadsheets/d/161aHT6vVT3SLneTKD19N5qVWtnj_jIT8CSsOmUVKmaA/e"&amp;"dit?gid=1761053510"",
          ""Haris_Form responses 1!$AQ:$AQ"")=5)
      ),
      1
    ),
    ""0""
  ),
  ""Form not found""
)
"),"Form not found")</f>
        <v>Form not found</v>
      </c>
      <c r="AW29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1!$E:$E"")=$B294) *
        (IMPORTRANGE(""https://docs.google.com/spreadsheets/d/161aHT6vVT3SLneTKD19N5qVWtnj_jIT8CSsOmUVKmaA/e"&amp;"dit?gid=1761053510"",
          ""Haris_Form responses 1!$AQ:$AQ"")=6)
      ),
      1
    ),
    ""0""
  ),
  ""Form not found""
)
"),"Form not found")</f>
        <v>Form not found</v>
      </c>
      <c r="AX2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1!$E:$E"")=$B294) *
        (IMPORTRANGE(""https://docs.google.com/spreadsheets/d/161aHT6vVT3SLneTKD19N5qVWtnj_jIT8CSsOmUVKmaA/e"&amp;"dit?gid=1761053510"",
          ""Haris_Form responses 1!$AQ:$AQ"")=1)
      ),
      1
    ),
    ""0""
  ),
  ""Form not found""
)
"),"10")</f>
        <v>10</v>
      </c>
      <c r="AY2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1!$E:$E"")=$B294) *
        (IMPORTRANGE(""https://docs.google.com/spreadsheets/d/161aHT6vVT3SLneTKD19N5qVWtnj_jIT8CSsOmUVKmaA/e"&amp;"dit?gid=1761053510"",
          ""Haris_Form responses 1!$AQ:$AQ"")=2)
      ),
      1
    ),
    ""0""
  ),
  ""Form not found""
)
"),"10")</f>
        <v>10</v>
      </c>
      <c r="AZ2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1!$E:$E"")=$B294) *
        (IMPORTRANGE(""https://docs.google.com/spreadsheets/d/161aHT6vVT3SLneTKD19N5qVWtnj_jIT8CSsOmUVKmaA/e"&amp;"dit?gid=1761053510"",
          ""Haris_Form responses 1!$AQ:$AQ"")=3)
      ),
      1
    ),
    ""0""
  ),
  ""Form not found""
)
"),"0")</f>
        <v>0</v>
      </c>
      <c r="BA2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1!$E:$E"")=$B294) *
        (IMPORTRANGE(""https://docs.google.com/spreadsheets/d/161aHT6vVT3SLneTKD19N5qVWtnj_jIT8CSsOmUVKmaA/e"&amp;"dit?gid=1761053510"",
          ""Haris_Form responses 1!$AQ:$AQ"")=4)
      ),
      1
    ),
    ""0""
  ),
  ""Form not found""
)
"),"Form not found")</f>
        <v>Form not found</v>
      </c>
      <c r="BB2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1!$E:$E"")=$B294) *
        (IMPORTRANGE(""https://docs.google.com/spreadsheets/d/161aHT6vVT3SLneTKD19N5qVWtnj_jIT8CSsOmUVKmaA/e"&amp;"dit?gid=1761053510"",
          ""Haris_Form responses 1!$AQ:$AQ"")=5)
      ),
      1
    ),
    ""0""
  ),
  ""Form not found""
)
"),"Form not found")</f>
        <v>Form not found</v>
      </c>
      <c r="BC29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1!$E:$E"")=$B294) *
        (IMPORTRANGE(""https://docs.google.com/spreadsheets/d/161aHT6vVT3SLneTKD19N5qVWtnj_jIT8CSsOmUVKmaA/e"&amp;"dit?gid=1761053510"",
          ""Haris_Form responses 1!$AQ:$AQ"")=6)
      ),
      1
    ),
    ""0""
  ),
  ""Form not found""
)
"),"Form not found")</f>
        <v>Form not found</v>
      </c>
      <c r="BD294" s="293"/>
    </row>
    <row r="295">
      <c r="A295" s="283" t="str">
        <f>IFERROR(__xludf.DUMMYFUNCTION("VLOOKUP($B295,IMPORTRANGE(""https://docs.google.com/spreadsheets/d/1VNXDITjs75AcgdBSW27oL1VZH31udDprJSsBcE5xlp4/edit?gid=1551188038#gid=1551188038"", ""Sheet9!$B:$E""),2,false)"),"Rawalpindi")</f>
        <v>Rawalpindi</v>
      </c>
      <c r="B295" s="283" t="s">
        <v>4903</v>
      </c>
      <c r="C295" s="284" t="str">
        <f>IFERROR(__xludf.DUMMYFUNCTION("VLOOKUP(TRIM($B295), IMPORTRANGE(""https://docs.google.com/spreadsheets/d/1aSOrU4PTpuBZqfitKaH1Rfww6-YOiNCKoBpPl8XBHaw/edit?gid=0#gid=0"", ""sheet3!$B:$C""), 2, FALSE)
"),"Jamia Masjid Sabzi Mandi Rawalpindi")</f>
        <v>Jamia Masjid Sabzi Mandi Rawalpindi</v>
      </c>
      <c r="D295" s="284" t="str">
        <f>IFERROR(__xludf.DUMMYFUNCTION("IFERROR(
  INDEX(
    FILTER(
      IMPORTRANGE(""1aSOrU4PTpuBZqfitKaH1Rfww6-YOiNCKoBpPl8XBHaw/edit?gid=0#gid=0"",""Sheet1!G:G""),
      IMPORTRANGE(""1aSOrU4PTpuBZqfitKaH1Rfww6-YOiNCKoBpPl8XBHaw/edit?gid=0#gid=0"",""Sheet1!C:C"")=$B295
    ),
    1
  ),
"&amp;"  ""Not Found""
)"),"Community Religious Info Share")</f>
        <v>Community Religious Info Share</v>
      </c>
      <c r="E295" s="284" t="str">
        <f>VLOOKUP(B295,'Juma Recording forms'!A:E,5,false)</f>
        <v>JAMIA MASJID SABZY MANDY MOTI BAZAR RAWALPINDI</v>
      </c>
      <c r="F295" s="284" t="str">
        <f>IFERROR(__xludf.DUMMYFUNCTION("IFERROR(
  INDEX(
    FILTER(
      IMPORTRANGE(""1Cxrhp3-_-HS7v9uuqQliiIfrmMP4VaFoDNDWyUFy2J8/edit?gid=0#gid=0"",""Sheet1!Q:Q""),
      IMPORTRANGE(""1Cxrhp3-_-HS7v9uuqQliiIfrmMP4VaFoDNDWyUFy2J8/edit?gid=0#gid=0"",""Sheet1!K:K"")=$B295
    ),
    1
  ),
"&amp;"  ""Not Found""
)"),"Moulan imanul haq")</f>
        <v>Moulan imanul haq</v>
      </c>
      <c r="G295" s="284"/>
      <c r="H295" s="284"/>
      <c r="I295" s="285" t="s">
        <v>401</v>
      </c>
      <c r="J295" s="286">
        <v>2.0</v>
      </c>
      <c r="K295" s="287" t="str">
        <f>VLOOKUP($B295,'Mosque Locations'!$A:$E,3,FALSE)
</f>
        <v>https://maps.google.com/maps?q=33.6141445%2C73.0576834&amp;z=17&amp;hl=en</v>
      </c>
      <c r="L295" s="286">
        <f>VLOOKUP($B295,'Mosque Locations'!$A:$E,4,FALSE)
</f>
        <v>33.6141445</v>
      </c>
      <c r="M295" s="286">
        <f>VLOOKUP($B295,'Mosque Locations'!$A:$E,5,false)</f>
        <v>73.0576834</v>
      </c>
      <c r="N295" s="288"/>
      <c r="O295" s="288"/>
      <c r="P295" s="288"/>
      <c r="Q295" s="290" t="str">
        <f>IFERROR(__xludf.DUMMYFUNCTION("IFERROR(
  INDEX(
    FILTER(
      IMPORTRANGE(""1kOrIKZmJfNUkgOVP3sI9BPjaaPA0_a4636oymQxTXg8"",""Form Responses 1!N:N""),
      TRIM(IMPORTRANGE(""1kOrIKZmJfNUkgOVP3sI9BPjaaPA0_a4636oymQxTXg8"",""Form Responses 1!F:F""))=TRIM($B295)
    ),
    1
  ),
  "&amp;"""Not Found""
)
"),"https://drive.google.com/open?id=1_0WSTR4PRJUev2i18gCFYRCLp0romYvl")</f>
        <v>https://drive.google.com/open?id=1_0WSTR4PRJUev2i18gCFYRCLp0romYvl</v>
      </c>
      <c r="R295" s="290" t="str">
        <f>IFERROR(__xludf.DUMMYFUNCTION("IFERROR(
  INDEX(
    FILTER(
      IMPORTRANGE(""1kOrIKZmJfNUkgOVP3sI9BPjaaPA0_a4636oymQxTXg8"",""Form Responses 1!M:M""),
      TRIM(IMPORTRANGE(""1kOrIKZmJfNUkgOVP3sI9BPjaaPA0_a4636oymQxTXg8"",""Form Responses 1!F:F""))=TRIM($B295)
    ),
    1
  ),
  "&amp;"""Not Found""
)
"),"https://drive.google.com/open?id=1-8siBMrlilDnaZp6F2ahaDP0w3NRPj5I")</f>
        <v>https://drive.google.com/open?id=1-8siBMrlilDnaZp6F2ahaDP0w3NRPj5I</v>
      </c>
      <c r="S295" s="285"/>
      <c r="T295" s="290" t="str">
        <f>VLOOKUP($B295,'Master Tracker'!D:E,2,false)</f>
        <v>https://drive.google.com/open?id=1zd06YbSxqBI3eCdFsND5qDeoQ3iKaNxp</v>
      </c>
      <c r="U295" s="291" t="str">
        <f>VLOOKUP($B295,'Master Tracker'!$D:$T,4,FALSE)
</f>
        <v>https://drive.google.com/open?id=1N60Su56VCIhfeZ7KJbMbJ5AvNG34cUhxxUiCzYN1ME0</v>
      </c>
      <c r="V295" s="290" t="str">
        <f>VLOOKUP($B295,'Master Tracker'!$D:$T,5,false)</f>
        <v>https://drive.google.com/open?id=1plLqCZnzbpu7rmtmJsZyrIte0EAA7Iv0</v>
      </c>
      <c r="W295" s="291" t="str">
        <f>VLOOKUP($B295,'Master Tracker'!$D:$T,7,false)</f>
        <v>https://drive.google.com/open?id=1UylD6bRYqiwDz0mOLskvOegjcFLi84rf</v>
      </c>
      <c r="X295" s="290" t="str">
        <f>VLOOKUP($B295,'Master Tracker'!$D:$T,8,false)</f>
        <v>https://drive.google.com/open?id=1UovsYMBHlgJKcEYwiQqIe59cGtp6hNRJ</v>
      </c>
      <c r="Y295" s="291" t="str">
        <f>VLOOKUP($B295,'Master Tracker'!$D:$T,10,false)</f>
        <v>https://drive.google.com/open?id=1OrtrbQSst4iahiTdzP0fhp1Dck30PwhJ</v>
      </c>
      <c r="Z295" s="290" t="str">
        <f>VLOOKUP($B295,'Master Tracker'!$D:$T,11,false)</f>
        <v>https://drive.google.com/open?id=13vfFCwm-WTp61r5JWZcCc7E-tp6aQwOA</v>
      </c>
      <c r="AA295" s="291" t="str">
        <f>VLOOKUP($B295,'Master Tracker'!$D:$T,13,false)</f>
        <v>https://drive.google.com/open?id=1a5nnTP2Y6xXBHQfnZGcRxOLvs9tmoLUG</v>
      </c>
      <c r="AB295" s="290" t="str">
        <f>VLOOKUP($B295,'Master Tracker'!$D:$T,14,false)</f>
        <v>https://drive.google.com/open?id=1h7OjBdm5FxmocwRlv_xt1-4QP72Hc1D8</v>
      </c>
      <c r="AC295" s="291" t="str">
        <f>VLOOKUP($B295,'Master Tracker'!$D:$T,16,false)</f>
        <v>https://drive.google.com/open?id=1Vyen5zGqtQwcJ4-W1oVVtM-65N_jUrOm</v>
      </c>
      <c r="AD295" s="291" t="str">
        <f>VLOOKUP($B295,'Master Tracker'!$D:$T,17,false)</f>
        <v>https://drive.google.com/open?id=1273k9pS3xKtAOc1NUfi3WNs-92ZKh2EH</v>
      </c>
      <c r="AE295" s="291" t="str">
        <f>VLOOKUP($B295,'Master Tracker'!$D:$V,19,false)</f>
        <v>https://drive.google.com/open?id=1X1Pbb6eo_-5woR5KOetHDPbW3f35kxOZ</v>
      </c>
      <c r="AF295" s="292">
        <f>IFERROR(__xludf.DUMMYFUNCTION("IFERROR(
  INDEX(
    FILTER(
      'Juma Recording forms'!$G:$G,
      TRIM('Juma Recording forms'!$F:$F) = TRIM($B295),
      'Juma Recording forms'!$AA:$AA = 1
    ),
    1
  ),
  ""Not Found""
)"),850.0)</f>
        <v>850</v>
      </c>
      <c r="AG295" s="292">
        <f>IFERROR(__xludf.DUMMYFUNCTION("IFERROR(
  INDEX(
    FILTER(
      'Juma Recording forms'!$G:$G,
      TRIM('Juma Recording forms'!$F:$F) = TRIM($B295),
      'Juma Recording forms'!$AA:$AA = 2
    ),
    1
  ),
  ""Not Found""
)"),850.0)</f>
        <v>850</v>
      </c>
      <c r="AH295" s="292" t="str">
        <f>IFERROR(__xludf.DUMMYFUNCTION("IFERROR(
  INDEX(
    FILTER(
      'Juma Recording forms'!$G:$G,
      TRIM('Juma Recording forms'!$F:$F) = TRIM($B295),
      'Juma Recording forms'!$AA:$AA = 3
    ),
    1
  ),
  ""Not Found""
)"),"Not Found")</f>
        <v>Not Found</v>
      </c>
      <c r="AI295" s="292" t="str">
        <f>IFERROR(__xludf.DUMMYFUNCTION("IFERROR(
  INDEX(
    FILTER(
      'Juma Recording forms'!$G:$G,
      TRIM('Juma Recording forms'!$F:$F) = TRIM($B295),
      'Juma Recording forms'!$AA:$AA = 4
    ),
    1
  ),
  ""Not Found""
)"),"Not Found")</f>
        <v>Not Found</v>
      </c>
      <c r="AJ295" s="292" t="str">
        <f>IFERROR(__xludf.DUMMYFUNCTION("IFERROR(
  INDEX(
    FILTER(
      'Juma Recording forms'!$G:$G,
      TRIM('Juma Recording forms'!$F:$F) = TRIM($B295),
      'Juma Recording forms'!$AA:$AA = 5
    ),
    1
  ),
  ""Not Found""
)"),"Not Found")</f>
        <v>Not Found</v>
      </c>
      <c r="AK295" s="292" t="str">
        <f>IFERROR(__xludf.DUMMYFUNCTION("IFERROR(
  INDEX(
    FILTER(
      'Juma Recording forms'!$G:$G,
      TRIM('Juma Recording forms'!$F:$F) = TRIM($B295),
      'Juma Recording forms'!$AA:$AA = 6
    ),
    1
  ),
  ""Not Found""
)"),"Not Found")</f>
        <v>Not Found</v>
      </c>
      <c r="AL2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1!$E:$E"")=$B295) *
        (IMPORTRANGE(""https://docs.google.com/spreadsheets/d/161aHT6vVT3SLneTKD19N5qVWtnj_jIT8CSsOmUVKmaA/e"&amp;"dit?gid=1761053510"",
          ""Haris_Form responses 1!$AQ:$AQ"")=1)
      ),
      1
    ),
    ""0""
  ),
  ""Form not found""
)
"),"0")</f>
        <v>0</v>
      </c>
      <c r="AM2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1!$E:$E"")=$B295) *
        (IMPORTRANGE(""https://docs.google.com/spreadsheets/d/161aHT6vVT3SLneTKD19N5qVWtnj_jIT8CSsOmUVKmaA/e"&amp;"dit?gid=1761053510"",
          ""Haris_Form responses 1!$AQ:$AQ"")=2)
      ),
      1
    ),
    ""0""
  ),
  ""Form not found""
)
"),"0")</f>
        <v>0</v>
      </c>
      <c r="AN2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1!$E:$E"")=$B295) *
        (IMPORTRANGE(""https://docs.google.com/spreadsheets/d/161aHT6vVT3SLneTKD19N5qVWtnj_jIT8CSsOmUVKmaA/e"&amp;"dit?gid=1761053510"",
          ""Haris_Form responses 1!$AQ:$AQ"")=3)
      ),
      1
    ),
    ""0""
  ),
  ""Form not found""
)
"),"2")</f>
        <v>2</v>
      </c>
      <c r="AO2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1!$E:$E"")=$B295) *
        (IMPORTRANGE(""https://docs.google.com/spreadsheets/d/161aHT6vVT3SLneTKD19N5qVWtnj_jIT8CSsOmUVKmaA/e"&amp;"dit?gid=1761053510"",
          ""Haris_Form responses 1!$AQ:$AQ"")=4)
      ),
      1
    ),
    ""0""
  ),
  ""Form not found""
)
"),"10")</f>
        <v>10</v>
      </c>
      <c r="AP2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1!$E:$E"")=$B295) *
        (IMPORTRANGE(""https://docs.google.com/spreadsheets/d/161aHT6vVT3SLneTKD19N5qVWtnj_jIT8CSsOmUVKmaA/e"&amp;"dit?gid=1761053510"",
          ""Haris_Form responses 1!$AQ:$AQ"")=5)
      ),
      1
    ),
    ""0""
  ),
  ""Form not found""
)
"),"9")</f>
        <v>9</v>
      </c>
      <c r="AQ29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1!$E:$E"")=$B295) *
        (IMPORTRANGE(""https://docs.google.com/spreadsheets/d/161aHT6vVT3SLneTKD19N5qVWtnj_jIT8CSsOmUVKmaA/e"&amp;"dit?gid=1761053510"",
          ""Haris_Form responses 1!$AQ:$AQ"")=6)
      ),
      1
    ),
    ""0""
  ),
  ""Form not found""
)
"),"0")</f>
        <v>0</v>
      </c>
      <c r="AR2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1!$E:$E"")=$B295) *
        (IMPORTRANGE(""https://docs.google.com/spreadsheets/d/161aHT6vVT3SLneTKD19N5qVWtnj_jIT8CSsOmUVKmaA/e"&amp;"dit?gid=1761053510"",
          ""Haris_Form responses 1!$AQ:$AQ"")=1)
      ),
      1
    ),
    ""0""
  ),
  ""Form not found""
)
"),"0")</f>
        <v>0</v>
      </c>
      <c r="AS2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1!$E:$E"")=$B295) *
        (IMPORTRANGE(""https://docs.google.com/spreadsheets/d/161aHT6vVT3SLneTKD19N5qVWtnj_jIT8CSsOmUVKmaA/e"&amp;"dit?gid=1761053510"",
          ""Haris_Form responses 1!$AQ:$AQ"")=2)
      ),
      1
    ),
    ""0""
  ),
  ""Form not found""
)
"),"0")</f>
        <v>0</v>
      </c>
      <c r="AT2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1!$E:$E"")=$B295) *
        (IMPORTRANGE(""https://docs.google.com/spreadsheets/d/161aHT6vVT3SLneTKD19N5qVWtnj_jIT8CSsOmUVKmaA/e"&amp;"dit?gid=1761053510"",
          ""Haris_Form responses 1!$AQ:$AQ"")=3)
      ),
      1
    ),
    ""0""
  ),
  ""Form not found""
)
"),"0")</f>
        <v>0</v>
      </c>
      <c r="AU2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1!$E:$E"")=$B295) *
        (IMPORTRANGE(""https://docs.google.com/spreadsheets/d/161aHT6vVT3SLneTKD19N5qVWtnj_jIT8CSsOmUVKmaA/e"&amp;"dit?gid=1761053510"",
          ""Haris_Form responses 1!$AQ:$AQ"")=4)
      ),
      1
    ),
    ""0""
  ),
  ""Form not found""
)
"),"10")</f>
        <v>10</v>
      </c>
      <c r="AV2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1!$E:$E"")=$B295) *
        (IMPORTRANGE(""https://docs.google.com/spreadsheets/d/161aHT6vVT3SLneTKD19N5qVWtnj_jIT8CSsOmUVKmaA/e"&amp;"dit?gid=1761053510"",
          ""Haris_Form responses 1!$AQ:$AQ"")=5)
      ),
      1
    ),
    ""0""
  ),
  ""Form not found""
)
"),"9")</f>
        <v>9</v>
      </c>
      <c r="AW29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1!$E:$E"")=$B295) *
        (IMPORTRANGE(""https://docs.google.com/spreadsheets/d/161aHT6vVT3SLneTKD19N5qVWtnj_jIT8CSsOmUVKmaA/e"&amp;"dit?gid=1761053510"",
          ""Haris_Form responses 1!$AQ:$AQ"")=6)
      ),
      1
    ),
    ""0""
  ),
  ""Form not found""
)
"),"0")</f>
        <v>0</v>
      </c>
      <c r="AX2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1!$E:$E"")=$B295) *
        (IMPORTRANGE(""https://docs.google.com/spreadsheets/d/161aHT6vVT3SLneTKD19N5qVWtnj_jIT8CSsOmUVKmaA/e"&amp;"dit?gid=1761053510"",
          ""Haris_Form responses 1!$AQ:$AQ"")=1)
      ),
      1
    ),
    ""0""
  ),
  ""Form not found""
)
"),"0")</f>
        <v>0</v>
      </c>
      <c r="AY2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1!$E:$E"")=$B295) *
        (IMPORTRANGE(""https://docs.google.com/spreadsheets/d/161aHT6vVT3SLneTKD19N5qVWtnj_jIT8CSsOmUVKmaA/e"&amp;"dit?gid=1761053510"",
          ""Haris_Form responses 1!$AQ:$AQ"")=2)
      ),
      1
    ),
    ""0""
  ),
  ""Form not found""
)
"),"0")</f>
        <v>0</v>
      </c>
      <c r="AZ2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1!$E:$E"")=$B295) *
        (IMPORTRANGE(""https://docs.google.com/spreadsheets/d/161aHT6vVT3SLneTKD19N5qVWtnj_jIT8CSsOmUVKmaA/e"&amp;"dit?gid=1761053510"",
          ""Haris_Form responses 1!$AQ:$AQ"")=3)
      ),
      1
    ),
    ""0""
  ),
  ""Form not found""
)
"),"0")</f>
        <v>0</v>
      </c>
      <c r="BA2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1!$E:$E"")=$B295) *
        (IMPORTRANGE(""https://docs.google.com/spreadsheets/d/161aHT6vVT3SLneTKD19N5qVWtnj_jIT8CSsOmUVKmaA/e"&amp;"dit?gid=1761053510"",
          ""Haris_Form responses 1!$AQ:$AQ"")=4)
      ),
      1
    ),
    ""0""
  ),
  ""Form not found""
)
"),"0")</f>
        <v>0</v>
      </c>
      <c r="BB2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1!$E:$E"")=$B295) *
        (IMPORTRANGE(""https://docs.google.com/spreadsheets/d/161aHT6vVT3SLneTKD19N5qVWtnj_jIT8CSsOmUVKmaA/e"&amp;"dit?gid=1761053510"",
          ""Haris_Form responses 1!$AQ:$AQ"")=5)
      ),
      1
    ),
    ""0""
  ),
  ""Form not found""
)
"),"0")</f>
        <v>0</v>
      </c>
      <c r="BC29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1!$E:$E"")=$B295) *
        (IMPORTRANGE(""https://docs.google.com/spreadsheets/d/161aHT6vVT3SLneTKD19N5qVWtnj_jIT8CSsOmUVKmaA/e"&amp;"dit?gid=1761053510"",
          ""Haris_Form responses 1!$AQ:$AQ"")=6)
      ),
      1
    ),
    ""0""
  ),
  ""Form not found""
)
"),"0")</f>
        <v>0</v>
      </c>
      <c r="BD295" s="293"/>
    </row>
    <row r="296">
      <c r="A296" s="283" t="str">
        <f>IFERROR(__xludf.DUMMYFUNCTION("VLOOKUP($B296,IMPORTRANGE(""https://docs.google.com/spreadsheets/d/1VNXDITjs75AcgdBSW27oL1VZH31udDprJSsBcE5xlp4/edit?gid=1551188038#gid=1551188038"", ""Sheet9!$B:$E""),2,false)"),"Rawalpindi")</f>
        <v>Rawalpindi</v>
      </c>
      <c r="B296" s="283" t="s">
        <v>4904</v>
      </c>
      <c r="C296" s="284" t="str">
        <f>IFERROR(__xludf.DUMMYFUNCTION("VLOOKUP(TRIM($B296), IMPORTRANGE(""https://docs.google.com/spreadsheets/d/1aSOrU4PTpuBZqfitKaH1Rfww6-YOiNCKoBpPl8XBHaw/edit?gid=0#gid=0"", ""sheet3!$B:$C""), 2, FALSE)
"),"Jamia Masjid Murre Barori Rawalpindi")</f>
        <v>Jamia Masjid Murre Barori Rawalpindi</v>
      </c>
      <c r="D296" s="284" t="str">
        <f>IFERROR(__xludf.DUMMYFUNCTION("IFERROR(
  INDEX(
    FILTER(
      IMPORTRANGE(""1aSOrU4PTpuBZqfitKaH1Rfww6-YOiNCKoBpPl8XBHaw/edit?gid=0#gid=0"",""Sheet1!G:G""),
      IMPORTRANGE(""1aSOrU4PTpuBZqfitKaH1Rfww6-YOiNCKoBpPl8XBHaw/edit?gid=0#gid=0"",""Sheet1!C:C"")=$B296
    ),
    1
  ),
"&amp;"  ""Not Found""
)"),"Women Secular Info Share")</f>
        <v>Women Secular Info Share</v>
      </c>
      <c r="E296" s="284" t="str">
        <f>VLOOKUP(B296,'Juma Recording forms'!A:E,5,false)</f>
        <v>Jamia Masjid Muree barori chaklala scheme 3 Rawalpindi</v>
      </c>
      <c r="F296" s="284" t="str">
        <f>IFERROR(__xludf.DUMMYFUNCTION("IFERROR(
  INDEX(
    FILTER(
      IMPORTRANGE(""1Cxrhp3-_-HS7v9uuqQliiIfrmMP4VaFoDNDWyUFy2J8/edit?gid=0#gid=0"",""Sheet1!Q:Q""),
      IMPORTRANGE(""1Cxrhp3-_-HS7v9uuqQliiIfrmMP4VaFoDNDWyUFy2J8/edit?gid=0#gid=0"",""Sheet1!K:K"")=$B296
    ),
    1
  ),
"&amp;"  ""Not Found""
)"),"Muhammad Irfan Qadri ")</f>
        <v>Muhammad Irfan Qadri </v>
      </c>
      <c r="G296" s="284"/>
      <c r="H296" s="284"/>
      <c r="I296" s="285" t="s">
        <v>197</v>
      </c>
      <c r="J296" s="286">
        <v>2.0</v>
      </c>
      <c r="K296" s="287" t="str">
        <f>VLOOKUP($B296,'Mosque Locations'!$A:$E,3,FALSE)
</f>
        <v>https://maps.google.com/maps?q=33.5790168%2C73.0856103&amp;z=17&amp;hl=en</v>
      </c>
      <c r="L296" s="286">
        <f>VLOOKUP($B296,'Mosque Locations'!$A:$E,4,FALSE)
</f>
        <v>33.5790168</v>
      </c>
      <c r="M296" s="286">
        <f>VLOOKUP($B296,'Mosque Locations'!$A:$E,5,false)</f>
        <v>73.0856103</v>
      </c>
      <c r="N296" s="288"/>
      <c r="O296" s="288"/>
      <c r="P296" s="288"/>
      <c r="Q296" s="290" t="str">
        <f>IFERROR(__xludf.DUMMYFUNCTION("IFERROR(
  INDEX(
    FILTER(
      IMPORTRANGE(""1kOrIKZmJfNUkgOVP3sI9BPjaaPA0_a4636oymQxTXg8"",""Form Responses 1!N:N""),
      TRIM(IMPORTRANGE(""1kOrIKZmJfNUkgOVP3sI9BPjaaPA0_a4636oymQxTXg8"",""Form Responses 1!F:F""))=TRIM($B296)
    ),
    1
  ),
  "&amp;"""Not Found""
)
"),"https://drive.google.com/open?id=1vDK0ewMTQcijQ9smgg074fy-HiiDHiaW")</f>
        <v>https://drive.google.com/open?id=1vDK0ewMTQcijQ9smgg074fy-HiiDHiaW</v>
      </c>
      <c r="R296" s="290" t="str">
        <f>IFERROR(__xludf.DUMMYFUNCTION("IFERROR(
  INDEX(
    FILTER(
      IMPORTRANGE(""1kOrIKZmJfNUkgOVP3sI9BPjaaPA0_a4636oymQxTXg8"",""Form Responses 1!M:M""),
      TRIM(IMPORTRANGE(""1kOrIKZmJfNUkgOVP3sI9BPjaaPA0_a4636oymQxTXg8"",""Form Responses 1!F:F""))=TRIM($B296)
    ),
    1
  ),
  "&amp;"""Not Found""
)
"),"https://drive.google.com/open?id=1d2jsY4QABxNzuGem7CzrQfGRw8nw2rmc")</f>
        <v>https://drive.google.com/open?id=1d2jsY4QABxNzuGem7CzrQfGRw8nw2rmc</v>
      </c>
      <c r="S296" s="285"/>
      <c r="T296" s="290" t="str">
        <f>VLOOKUP($B296,'Master Tracker'!D:E,2,false)</f>
        <v>https://drive.google.com/open?id=1MXIOdDelU_XncLihTWGxT2tMp33RZgP6</v>
      </c>
      <c r="U296" s="291" t="str">
        <f>VLOOKUP($B296,'Master Tracker'!$D:$T,4,FALSE)
</f>
        <v>https://drive.google.com/open?id=1zcYpjJPW5BPJ1dLBTx86a8sz3N-yhUJt</v>
      </c>
      <c r="V296" s="290" t="str">
        <f>VLOOKUP($B296,'Master Tracker'!$D:$T,5,false)</f>
        <v>https://drive.google.com/open?id=1Z3t6L3czbUuLnPXKlogBPpOEo0gR0bJ5</v>
      </c>
      <c r="W296" s="292" t="str">
        <f>VLOOKUP($B296,'Master Tracker'!$D:$T,7,false)</f>
        <v>Not Found</v>
      </c>
      <c r="X296" s="290" t="str">
        <f>VLOOKUP($B296,'Master Tracker'!$D:$T,8,false)</f>
        <v>https://drive.google.com/open?id=1JdEXIgXFrU__zGFN6oY7eJ1eE8oVBUV0</v>
      </c>
      <c r="Y296" s="291" t="str">
        <f>VLOOKUP($B296,'Master Tracker'!$D:$T,10,false)</f>
        <v>https://drive.google.com/open?id=1UknQxXL6wCR08NTak2MPn_Cp1IZukbZE</v>
      </c>
      <c r="Z296" s="290" t="str">
        <f>VLOOKUP($B296,'Master Tracker'!$D:$T,11,false)</f>
        <v>https://drive.google.com/open?id=1Roy4pTEev7cXjW8K5fubJ2AQBbG-jOhc</v>
      </c>
      <c r="AA296" s="291" t="str">
        <f>VLOOKUP($B296,'Master Tracker'!$D:$T,13,false)</f>
        <v>https://drive.google.com/open?id=1n8XwdIOzvmX5VSlb7bB-AL5hDmiWeN2GsTPBBfJBIWM</v>
      </c>
      <c r="AB296" s="290" t="str">
        <f>VLOOKUP($B296,'Master Tracker'!$D:$T,14,false)</f>
        <v>https://drive.google.com/open?id=1v8y8HYdB44iYkA4zq7YXTsf5Fewlh6SH</v>
      </c>
      <c r="AC296" s="291" t="str">
        <f>VLOOKUP($B296,'Master Tracker'!$D:$T,16,false)</f>
        <v>https://drive.google.com/open?id=17FPT7xcgawdFpCkujtABOH8XKv6gwyhv2O1laIzKGGs</v>
      </c>
      <c r="AD296" s="292" t="str">
        <f>VLOOKUP($B296,'Master Tracker'!$D:$T,17,false)</f>
        <v>Not Found</v>
      </c>
      <c r="AE296" s="292" t="str">
        <f>VLOOKUP($B296,'Master Tracker'!$D:$V,19,false)</f>
        <v>Not Found</v>
      </c>
      <c r="AF296" s="292">
        <f>IFERROR(__xludf.DUMMYFUNCTION("IFERROR(
  INDEX(
    FILTER(
      'Juma Recording forms'!$G:$G,
      TRIM('Juma Recording forms'!$F:$F) = TRIM($B296),
      'Juma Recording forms'!$AA:$AA = 1
    ),
    1
  ),
  ""Not Found""
)"),200.0)</f>
        <v>200</v>
      </c>
      <c r="AG296" s="292">
        <f>IFERROR(__xludf.DUMMYFUNCTION("IFERROR(
  INDEX(
    FILTER(
      'Juma Recording forms'!$G:$G,
      TRIM('Juma Recording forms'!$F:$F) = TRIM($B296),
      'Juma Recording forms'!$AA:$AA = 2
    ),
    1
  ),
  ""Not Found""
)"),130.0)</f>
        <v>130</v>
      </c>
      <c r="AH296" s="292" t="str">
        <f>IFERROR(__xludf.DUMMYFUNCTION("IFERROR(
  INDEX(
    FILTER(
      'Juma Recording forms'!$G:$G,
      TRIM('Juma Recording forms'!$F:$F) = TRIM($B296),
      'Juma Recording forms'!$AA:$AA = 3
    ),
    1
  ),
  ""Not Found""
)"),"Not Found")</f>
        <v>Not Found</v>
      </c>
      <c r="AI296" s="292" t="str">
        <f>IFERROR(__xludf.DUMMYFUNCTION("IFERROR(
  INDEX(
    FILTER(
      'Juma Recording forms'!$G:$G,
      TRIM('Juma Recording forms'!$F:$F) = TRIM($B296),
      'Juma Recording forms'!$AA:$AA = 4
    ),
    1
  ),
  ""Not Found""
)"),"Not Found")</f>
        <v>Not Found</v>
      </c>
      <c r="AJ296" s="292" t="str">
        <f>IFERROR(__xludf.DUMMYFUNCTION("IFERROR(
  INDEX(
    FILTER(
      'Juma Recording forms'!$G:$G,
      TRIM('Juma Recording forms'!$F:$F) = TRIM($B296),
      'Juma Recording forms'!$AA:$AA = 5
    ),
    1
  ),
  ""Not Found""
)"),"Not Found")</f>
        <v>Not Found</v>
      </c>
      <c r="AK296" s="292" t="str">
        <f>IFERROR(__xludf.DUMMYFUNCTION("IFERROR(
  INDEX(
    FILTER(
      'Juma Recording forms'!$G:$G,
      TRIM('Juma Recording forms'!$F:$F) = TRIM($B296),
      'Juma Recording forms'!$AA:$AA = 6
    ),
    1
  ),
  ""Not Found""
)"),"Not Found")</f>
        <v>Not Found</v>
      </c>
      <c r="AL2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1!$E:$E"")=$B296) *
        (IMPORTRANGE(""https://docs.google.com/spreadsheets/d/161aHT6vVT3SLneTKD19N5qVWtnj_jIT8CSsOmUVKmaA/e"&amp;"dit?gid=1761053510"",
          ""Haris_Form responses 1!$AQ:$AQ"")=1)
      ),
      1
    ),
    ""0""
  ),
  ""Form not found""
)
"),"0")</f>
        <v>0</v>
      </c>
      <c r="AM2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1!$E:$E"")=$B296) *
        (IMPORTRANGE(""https://docs.google.com/spreadsheets/d/161aHT6vVT3SLneTKD19N5qVWtnj_jIT8CSsOmUVKmaA/e"&amp;"dit?gid=1761053510"",
          ""Haris_Form responses 1!$AQ:$AQ"")=2)
      ),
      1
    ),
    ""0""
  ),
  ""Form not found""
)
"),"0")</f>
        <v>0</v>
      </c>
      <c r="AN2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1!$E:$E"")=$B296) *
        (IMPORTRANGE(""https://docs.google.com/spreadsheets/d/161aHT6vVT3SLneTKD19N5qVWtnj_jIT8CSsOmUVKmaA/e"&amp;"dit?gid=1761053510"",
          ""Haris_Form responses 1!$AQ:$AQ"")=3)
      ),
      1
    ),
    ""0""
  ),
  ""Form not found""
)
"),"10")</f>
        <v>10</v>
      </c>
      <c r="AO2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1!$E:$E"")=$B296) *
        (IMPORTRANGE(""https://docs.google.com/spreadsheets/d/161aHT6vVT3SLneTKD19N5qVWtnj_jIT8CSsOmUVKmaA/e"&amp;"dit?gid=1761053510"",
          ""Haris_Form responses 1!$AQ:$AQ"")=4)
      ),
      1
    ),
    ""0""
  ),
  ""Form not found""
)
"),"10")</f>
        <v>10</v>
      </c>
      <c r="AP2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1!$E:$E"")=$B296) *
        (IMPORTRANGE(""https://docs.google.com/spreadsheets/d/161aHT6vVT3SLneTKD19N5qVWtnj_jIT8CSsOmUVKmaA/e"&amp;"dit?gid=1761053510"",
          ""Haris_Form responses 1!$AQ:$AQ"")=5)
      ),
      1
    ),
    ""0""
  ),
  ""Form not found""
)
"),"0")</f>
        <v>0</v>
      </c>
      <c r="AQ29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1!$E:$E"")=$B296) *
        (IMPORTRANGE(""https://docs.google.com/spreadsheets/d/161aHT6vVT3SLneTKD19N5qVWtnj_jIT8CSsOmUVKmaA/e"&amp;"dit?gid=1761053510"",
          ""Haris_Form responses 1!$AQ:$AQ"")=6)
      ),
      1
    ),
    ""0""
  ),
  ""Form not found""
)
"),"Form not found")</f>
        <v>Form not found</v>
      </c>
      <c r="AR2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1!$E:$E"")=$B296) *
        (IMPORTRANGE(""https://docs.google.com/spreadsheets/d/161aHT6vVT3SLneTKD19N5qVWtnj_jIT8CSsOmUVKmaA/e"&amp;"dit?gid=1761053510"",
          ""Haris_Form responses 1!$AQ:$AQ"")=1)
      ),
      1
    ),
    ""0""
  ),
  ""Form not found""
)
"),"0")</f>
        <v>0</v>
      </c>
      <c r="AS2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1!$E:$E"")=$B296) *
        (IMPORTRANGE(""https://docs.google.com/spreadsheets/d/161aHT6vVT3SLneTKD19N5qVWtnj_jIT8CSsOmUVKmaA/e"&amp;"dit?gid=1761053510"",
          ""Haris_Form responses 1!$AQ:$AQ"")=2)
      ),
      1
    ),
    ""0""
  ),
  ""Form not found""
)
"),"0")</f>
        <v>0</v>
      </c>
      <c r="AT2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1!$E:$E"")=$B296) *
        (IMPORTRANGE(""https://docs.google.com/spreadsheets/d/161aHT6vVT3SLneTKD19N5qVWtnj_jIT8CSsOmUVKmaA/e"&amp;"dit?gid=1761053510"",
          ""Haris_Form responses 1!$AQ:$AQ"")=3)
      ),
      1
    ),
    ""0""
  ),
  ""Form not found""
)
"),"0")</f>
        <v>0</v>
      </c>
      <c r="AU2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1!$E:$E"")=$B296) *
        (IMPORTRANGE(""https://docs.google.com/spreadsheets/d/161aHT6vVT3SLneTKD19N5qVWtnj_jIT8CSsOmUVKmaA/e"&amp;"dit?gid=1761053510"",
          ""Haris_Form responses 1!$AQ:$AQ"")=4)
      ),
      1
    ),
    ""0""
  ),
  ""Form not found""
)
"),"0")</f>
        <v>0</v>
      </c>
      <c r="AV2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1!$E:$E"")=$B296) *
        (IMPORTRANGE(""https://docs.google.com/spreadsheets/d/161aHT6vVT3SLneTKD19N5qVWtnj_jIT8CSsOmUVKmaA/e"&amp;"dit?gid=1761053510"",
          ""Haris_Form responses 1!$AQ:$AQ"")=5)
      ),
      1
    ),
    ""0""
  ),
  ""Form not found""
)
"),"0")</f>
        <v>0</v>
      </c>
      <c r="AW29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1!$E:$E"")=$B296) *
        (IMPORTRANGE(""https://docs.google.com/spreadsheets/d/161aHT6vVT3SLneTKD19N5qVWtnj_jIT8CSsOmUVKmaA/e"&amp;"dit?gid=1761053510"",
          ""Haris_Form responses 1!$AQ:$AQ"")=6)
      ),
      1
    ),
    ""0""
  ),
  ""Form not found""
)
"),"Form not found")</f>
        <v>Form not found</v>
      </c>
      <c r="AX2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1!$E:$E"")=$B296) *
        (IMPORTRANGE(""https://docs.google.com/spreadsheets/d/161aHT6vVT3SLneTKD19N5qVWtnj_jIT8CSsOmUVKmaA/e"&amp;"dit?gid=1761053510"",
          ""Haris_Form responses 1!$AQ:$AQ"")=1)
      ),
      1
    ),
    ""0""
  ),
  ""Form not found""
)
"),"0")</f>
        <v>0</v>
      </c>
      <c r="AY2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1!$E:$E"")=$B296) *
        (IMPORTRANGE(""https://docs.google.com/spreadsheets/d/161aHT6vVT3SLneTKD19N5qVWtnj_jIT8CSsOmUVKmaA/e"&amp;"dit?gid=1761053510"",
          ""Haris_Form responses 1!$AQ:$AQ"")=2)
      ),
      1
    ),
    ""0""
  ),
  ""Form not found""
)
"),"0")</f>
        <v>0</v>
      </c>
      <c r="AZ2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1!$E:$E"")=$B296) *
        (IMPORTRANGE(""https://docs.google.com/spreadsheets/d/161aHT6vVT3SLneTKD19N5qVWtnj_jIT8CSsOmUVKmaA/e"&amp;"dit?gid=1761053510"",
          ""Haris_Form responses 1!$AQ:$AQ"")=3)
      ),
      1
    ),
    ""0""
  ),
  ""Form not found""
)
"),"10")</f>
        <v>10</v>
      </c>
      <c r="BA2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1!$E:$E"")=$B296) *
        (IMPORTRANGE(""https://docs.google.com/spreadsheets/d/161aHT6vVT3SLneTKD19N5qVWtnj_jIT8CSsOmUVKmaA/e"&amp;"dit?gid=1761053510"",
          ""Haris_Form responses 1!$AQ:$AQ"")=4)
      ),
      1
    ),
    ""0""
  ),
  ""Form not found""
)
"),"9")</f>
        <v>9</v>
      </c>
      <c r="BB2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1!$E:$E"")=$B296) *
        (IMPORTRANGE(""https://docs.google.com/spreadsheets/d/161aHT6vVT3SLneTKD19N5qVWtnj_jIT8CSsOmUVKmaA/e"&amp;"dit?gid=1761053510"",
          ""Haris_Form responses 1!$AQ:$AQ"")=5)
      ),
      1
    ),
    ""0""
  ),
  ""Form not found""
)
"),"0")</f>
        <v>0</v>
      </c>
      <c r="BC29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1!$E:$E"")=$B296) *
        (IMPORTRANGE(""https://docs.google.com/spreadsheets/d/161aHT6vVT3SLneTKD19N5qVWtnj_jIT8CSsOmUVKmaA/e"&amp;"dit?gid=1761053510"",
          ""Haris_Form responses 1!$AQ:$AQ"")=6)
      ),
      1
    ),
    ""0""
  ),
  ""Form not found""
)
"),"Form not found")</f>
        <v>Form not found</v>
      </c>
      <c r="BD296" s="293"/>
    </row>
    <row r="297">
      <c r="A297" s="283" t="str">
        <f>IFERROR(__xludf.DUMMYFUNCTION("VLOOKUP($B297,IMPORTRANGE(""https://docs.google.com/spreadsheets/d/1VNXDITjs75AcgdBSW27oL1VZH31udDprJSsBcE5xlp4/edit?gid=1551188038#gid=1551188038"", ""Sheet9!$B:$E""),2,false)"),"Rawalpindi")</f>
        <v>Rawalpindi</v>
      </c>
      <c r="B297" s="283" t="s">
        <v>4366</v>
      </c>
      <c r="C297" s="284" t="str">
        <f>IFERROR(__xludf.DUMMYFUNCTION("VLOOKUP(TRIM($B297), IMPORTRANGE(""https://docs.google.com/spreadsheets/d/1aSOrU4PTpuBZqfitKaH1Rfww6-YOiNCKoBpPl8XBHaw/edit?gid=0#gid=0"", ""sheet3!$B:$C""), 2, FALSE)
"),"Jamia Masjid Sadique-E-Akbar The Mall Muree")</f>
        <v>Jamia Masjid Sadique-E-Akbar The Mall Muree</v>
      </c>
      <c r="D297" s="284" t="str">
        <f>IFERROR(__xludf.DUMMYFUNCTION("IFERROR(
  INDEX(
    FILTER(
      IMPORTRANGE(""1aSOrU4PTpuBZqfitKaH1Rfww6-YOiNCKoBpPl8XBHaw/edit?gid=0#gid=0"",""Sheet1!G:G""),
      IMPORTRANGE(""1aSOrU4PTpuBZqfitKaH1Rfww6-YOiNCKoBpPl8XBHaw/edit?gid=0#gid=0"",""Sheet1!C:C"")=$B297
    ),
    1
  ),
"&amp;"  ""Not Found""
)"),"Community Secular No Info Share")</f>
        <v>Community Secular No Info Share</v>
      </c>
      <c r="E297" s="284" t="str">
        <f>VLOOKUP(B297,'Juma Recording forms'!A:E,5,false)</f>
        <v>Darl ullom jamia abbasia jamia masjid sadeeq akabar</v>
      </c>
      <c r="F297" s="284" t="str">
        <f>IFERROR(__xludf.DUMMYFUNCTION("IFERROR(
  INDEX(
    FILTER(
      IMPORTRANGE(""1Cxrhp3-_-HS7v9uuqQliiIfrmMP4VaFoDNDWyUFy2J8/edit?gid=0#gid=0"",""Sheet1!Q:Q""),
      IMPORTRANGE(""1Cxrhp3-_-HS7v9uuqQliiIfrmMP4VaFoDNDWyUFy2J8/edit?gid=0#gid=0"",""Sheet1!K:K"")=$B297
    ),
    1
  ),
"&amp;"  ""Not Found""
)"),"Not Found")</f>
        <v>Not Found</v>
      </c>
      <c r="G297" s="284"/>
      <c r="H297" s="284"/>
      <c r="I297" s="285" t="s">
        <v>401</v>
      </c>
      <c r="J297" s="286">
        <v>2.0</v>
      </c>
      <c r="K297" s="287" t="str">
        <f>VLOOKUP($B297,'Mosque Locations'!$A:$E,3,FALSE)
</f>
        <v>https://maps.google.com/maps?q=33.9072445%2C73.39384&amp;z=17&amp;hl=en</v>
      </c>
      <c r="L297" s="286">
        <f>VLOOKUP($B297,'Mosque Locations'!$A:$E,4,FALSE)
</f>
        <v>33.9072445</v>
      </c>
      <c r="M297" s="286">
        <f>VLOOKUP($B297,'Mosque Locations'!$A:$E,5,false)</f>
        <v>73.39384</v>
      </c>
      <c r="N297" s="288"/>
      <c r="O297" s="288"/>
      <c r="P297" s="288"/>
      <c r="Q297" s="290" t="str">
        <f>IFERROR(__xludf.DUMMYFUNCTION("IFERROR(
  INDEX(
    FILTER(
      IMPORTRANGE(""1kOrIKZmJfNUkgOVP3sI9BPjaaPA0_a4636oymQxTXg8"",""Form Responses 1!N:N""),
      TRIM(IMPORTRANGE(""1kOrIKZmJfNUkgOVP3sI9BPjaaPA0_a4636oymQxTXg8"",""Form Responses 1!F:F""))=TRIM($B297)
    ),
    1
  ),
  "&amp;"""Not Found""
)
"),"https://drive.google.com/open?id=1YHgYWj1-StzMnyZfYnR6KW7vacDaMKSr")</f>
        <v>https://drive.google.com/open?id=1YHgYWj1-StzMnyZfYnR6KW7vacDaMKSr</v>
      </c>
      <c r="R297" s="290" t="str">
        <f>IFERROR(__xludf.DUMMYFUNCTION("IFERROR(
  INDEX(
    FILTER(
      IMPORTRANGE(""1kOrIKZmJfNUkgOVP3sI9BPjaaPA0_a4636oymQxTXg8"",""Form Responses 1!M:M""),
      TRIM(IMPORTRANGE(""1kOrIKZmJfNUkgOVP3sI9BPjaaPA0_a4636oymQxTXg8"",""Form Responses 1!F:F""))=TRIM($B297)
    ),
    1
  ),
  "&amp;"""Not Found""
)
"),"https://drive.google.com/open?id=1IRuCRMSA6J9Y3-8zZz1cp5FgeyU55p8r")</f>
        <v>https://drive.google.com/open?id=1IRuCRMSA6J9Y3-8zZz1cp5FgeyU55p8r</v>
      </c>
      <c r="S297" s="285"/>
      <c r="T297" s="290" t="str">
        <f>VLOOKUP($B297,'Master Tracker'!D:E,2,false)</f>
        <v>https://drive.google.com/open?id=1n8hg6ZqKvkCYJrPY8EZQvcx13SsCU0Sz</v>
      </c>
      <c r="U297" s="291" t="str">
        <f>VLOOKUP($B297,'Master Tracker'!$D:$T,4,FALSE)
</f>
        <v>https://drive.google.com/open?id=13tAL-HIOOkvbAGvwm3Iwl8R-yTzjBu1J</v>
      </c>
      <c r="V297" s="290" t="str">
        <f>VLOOKUP($B297,'Master Tracker'!$D:$T,5,false)</f>
        <v>https://drive.google.com/open?id=1YX9YAZlVjT5kD-XF43YajsXIv846eWgK</v>
      </c>
      <c r="W297" s="291" t="str">
        <f>VLOOKUP($B297,'Master Tracker'!$D:$T,7,false)</f>
        <v>https://drive.google.com/open?id=1mvNQK87fXwQMId2B00LD3x-aExs_hQ440khkcBW_36M</v>
      </c>
      <c r="X297" s="290" t="str">
        <f>VLOOKUP($B297,'Master Tracker'!$D:$T,8,false)</f>
        <v>https://drive.google.com/open?id=1PMUK7AKNp6tZg-dPc3VmH_wr-2Qyl_M2</v>
      </c>
      <c r="Y297" s="291" t="str">
        <f>VLOOKUP($B297,'Master Tracker'!$D:$T,10,false)</f>
        <v>https://drive.google.com/open?id=1OfvblRBrGT_7ejSBavenicXMWJeM3ulkWDSWUZ5n22s</v>
      </c>
      <c r="Z297" s="284" t="str">
        <f>VLOOKUP($B297,'Master Tracker'!$D:$T,11,false)</f>
        <v>Not Found</v>
      </c>
      <c r="AA297" s="292" t="str">
        <f>VLOOKUP($B297,'Master Tracker'!$D:$T,13,false)</f>
        <v>Not Found</v>
      </c>
      <c r="AB297" s="290" t="str">
        <f>VLOOKUP($B297,'Master Tracker'!$D:$T,14,false)</f>
        <v>https://drive.google.com/open?id=1bC83J-lrPIs2VMfscxnjmm6MQ74b_5AW</v>
      </c>
      <c r="AC297" s="291" t="str">
        <f>VLOOKUP($B297,'Master Tracker'!$D:$T,16,false)</f>
        <v>https://drive.google.com/open?id=1Y-J93t6Od0DMO-uTlq9p0ClYG1IrTJeM</v>
      </c>
      <c r="AD297" s="291" t="str">
        <f>VLOOKUP($B297,'Master Tracker'!$D:$T,17,false)</f>
        <v>https://drive.google.com/open?id=1ujBl5JG5WvS0M_xAxwFnBTcimuEZgflB</v>
      </c>
      <c r="AE297" s="291" t="str">
        <f>VLOOKUP($B297,'Master Tracker'!$D:$V,19,false)</f>
        <v>https://drive.google.com/open?id=19L2ZjexGWsyo9Vh9S4hiDpG1_uby13Agf5nBrUZZNHk</v>
      </c>
      <c r="AF297" s="292">
        <f>IFERROR(__xludf.DUMMYFUNCTION("IFERROR(
  INDEX(
    FILTER(
      'Juma Recording forms'!$G:$G,
      TRIM('Juma Recording forms'!$F:$F) = TRIM($B297),
      'Juma Recording forms'!$AA:$AA = 1
    ),
    1
  ),
  ""Not Found""
)"),950.0)</f>
        <v>950</v>
      </c>
      <c r="AG297" s="292">
        <f>IFERROR(__xludf.DUMMYFUNCTION("IFERROR(
  INDEX(
    FILTER(
      'Juma Recording forms'!$G:$G,
      TRIM('Juma Recording forms'!$F:$F) = TRIM($B297),
      'Juma Recording forms'!$AA:$AA = 2
    ),
    1
  ),
  ""Not Found""
)"),1000.0)</f>
        <v>1000</v>
      </c>
      <c r="AH297" s="292" t="str">
        <f>IFERROR(__xludf.DUMMYFUNCTION("IFERROR(
  INDEX(
    FILTER(
      'Juma Recording forms'!$G:$G,
      TRIM('Juma Recording forms'!$F:$F) = TRIM($B297),
      'Juma Recording forms'!$AA:$AA = 3
    ),
    1
  ),
  ""Not Found""
)"),"Not Found")</f>
        <v>Not Found</v>
      </c>
      <c r="AI297" s="292" t="str">
        <f>IFERROR(__xludf.DUMMYFUNCTION("IFERROR(
  INDEX(
    FILTER(
      'Juma Recording forms'!$G:$G,
      TRIM('Juma Recording forms'!$F:$F) = TRIM($B297),
      'Juma Recording forms'!$AA:$AA = 4
    ),
    1
  ),
  ""Not Found""
)"),"Not Found")</f>
        <v>Not Found</v>
      </c>
      <c r="AJ297" s="292" t="str">
        <f>IFERROR(__xludf.DUMMYFUNCTION("IFERROR(
  INDEX(
    FILTER(
      'Juma Recording forms'!$G:$G,
      TRIM('Juma Recording forms'!$F:$F) = TRIM($B297),
      'Juma Recording forms'!$AA:$AA = 5
    ),
    1
  ),
  ""Not Found""
)"),"Not Found")</f>
        <v>Not Found</v>
      </c>
      <c r="AK297" s="292" t="str">
        <f>IFERROR(__xludf.DUMMYFUNCTION("IFERROR(
  INDEX(
    FILTER(
      'Juma Recording forms'!$G:$G,
      TRIM('Juma Recording forms'!$F:$F) = TRIM($B297),
      'Juma Recording forms'!$AA:$AA = 6
    ),
    1
  ),
  ""Not Found""
)"),"Not Found")</f>
        <v>Not Found</v>
      </c>
      <c r="AL2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1!$E:$E"")=$B297) *
        (IMPORTRANGE(""https://docs.google.com/spreadsheets/d/161aHT6vVT3SLneTKD19N5qVWtnj_jIT8CSsOmUVKmaA/e"&amp;"dit?gid=1761053510"",
          ""Haris_Form responses 1!$AQ:$AQ"")=1)
      ),
      1
    ),
    ""0""
  ),
  ""Form not found""
)
"),"1")</f>
        <v>1</v>
      </c>
      <c r="AM2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1!$E:$E"")=$B297) *
        (IMPORTRANGE(""https://docs.google.com/spreadsheets/d/161aHT6vVT3SLneTKD19N5qVWtnj_jIT8CSsOmUVKmaA/e"&amp;"dit?gid=1761053510"",
          ""Haris_Form responses 1!$AQ:$AQ"")=2)
      ),
      1
    ),
    ""0""
  ),
  ""Form not found""
)
"),"5")</f>
        <v>5</v>
      </c>
      <c r="AN2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1!$E:$E"")=$B297) *
        (IMPORTRANGE(""https://docs.google.com/spreadsheets/d/161aHT6vVT3SLneTKD19N5qVWtnj_jIT8CSsOmUVKmaA/e"&amp;"dit?gid=1761053510"",
          ""Haris_Form responses 1!$AQ:$AQ"")=3)
      ),
      1
    ),
    ""0""
  ),
  ""Form not found""
)
"),"3")</f>
        <v>3</v>
      </c>
      <c r="AO2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1!$E:$E"")=$B297) *
        (IMPORTRANGE(""https://docs.google.com/spreadsheets/d/161aHT6vVT3SLneTKD19N5qVWtnj_jIT8CSsOmUVKmaA/e"&amp;"dit?gid=1761053510"",
          ""Haris_Form responses 1!$AQ:$AQ"")=4)
      ),
      1
    ),
    ""0""
  ),
  ""Form not found""
)
"),"Form not found")</f>
        <v>Form not found</v>
      </c>
      <c r="AP2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1!$E:$E"")=$B297) *
        (IMPORTRANGE(""https://docs.google.com/spreadsheets/d/161aHT6vVT3SLneTKD19N5qVWtnj_jIT8CSsOmUVKmaA/e"&amp;"dit?gid=1761053510"",
          ""Haris_Form responses 1!$AQ:$AQ"")=5)
      ),
      1
    ),
    ""0""
  ),
  ""Form not found""
)
"),"2")</f>
        <v>2</v>
      </c>
      <c r="AQ29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1!$E:$E"")=$B297) *
        (IMPORTRANGE(""https://docs.google.com/spreadsheets/d/161aHT6vVT3SLneTKD19N5qVWtnj_jIT8CSsOmUVKmaA/e"&amp;"dit?gid=1761053510"",
          ""Haris_Form responses 1!$AQ:$AQ"")=6)
      ),
      1
    ),
    ""0""
  ),
  ""Form not found""
)
"),"0")</f>
        <v>0</v>
      </c>
      <c r="AR2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1!$E:$E"")=$B297) *
        (IMPORTRANGE(""https://docs.google.com/spreadsheets/d/161aHT6vVT3SLneTKD19N5qVWtnj_jIT8CSsOmUVKmaA/e"&amp;"dit?gid=1761053510"",
          ""Haris_Form responses 1!$AQ:$AQ"")=1)
      ),
      1
    ),
    ""0""
  ),
  ""Form not found""
)
"),"1")</f>
        <v>1</v>
      </c>
      <c r="AS2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1!$E:$E"")=$B297) *
        (IMPORTRANGE(""https://docs.google.com/spreadsheets/d/161aHT6vVT3SLneTKD19N5qVWtnj_jIT8CSsOmUVKmaA/e"&amp;"dit?gid=1761053510"",
          ""Haris_Form responses 1!$AQ:$AQ"")=2)
      ),
      1
    ),
    ""0""
  ),
  ""Form not found""
)
"),"5")</f>
        <v>5</v>
      </c>
      <c r="AT2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1!$E:$E"")=$B297) *
        (IMPORTRANGE(""https://docs.google.com/spreadsheets/d/161aHT6vVT3SLneTKD19N5qVWtnj_jIT8CSsOmUVKmaA/e"&amp;"dit?gid=1761053510"",
          ""Haris_Form responses 1!$AQ:$AQ"")=3)
      ),
      1
    ),
    ""0""
  ),
  ""Form not found""
)
"),"3")</f>
        <v>3</v>
      </c>
      <c r="AU2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1!$E:$E"")=$B297) *
        (IMPORTRANGE(""https://docs.google.com/spreadsheets/d/161aHT6vVT3SLneTKD19N5qVWtnj_jIT8CSsOmUVKmaA/e"&amp;"dit?gid=1761053510"",
          ""Haris_Form responses 1!$AQ:$AQ"")=4)
      ),
      1
    ),
    ""0""
  ),
  ""Form not found""
)
"),"Form not found")</f>
        <v>Form not found</v>
      </c>
      <c r="AV2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1!$E:$E"")=$B297) *
        (IMPORTRANGE(""https://docs.google.com/spreadsheets/d/161aHT6vVT3SLneTKD19N5qVWtnj_jIT8CSsOmUVKmaA/e"&amp;"dit?gid=1761053510"",
          ""Haris_Form responses 1!$AQ:$AQ"")=5)
      ),
      1
    ),
    ""0""
  ),
  ""Form not found""
)
"),"2")</f>
        <v>2</v>
      </c>
      <c r="AW29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1!$E:$E"")=$B297) *
        (IMPORTRANGE(""https://docs.google.com/spreadsheets/d/161aHT6vVT3SLneTKD19N5qVWtnj_jIT8CSsOmUVKmaA/e"&amp;"dit?gid=1761053510"",
          ""Haris_Form responses 1!$AQ:$AQ"")=6)
      ),
      1
    ),
    ""0""
  ),
  ""Form not found""
)
"),"0")</f>
        <v>0</v>
      </c>
      <c r="AX2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1!$E:$E"")=$B297) *
        (IMPORTRANGE(""https://docs.google.com/spreadsheets/d/161aHT6vVT3SLneTKD19N5qVWtnj_jIT8CSsOmUVKmaA/e"&amp;"dit?gid=1761053510"",
          ""Haris_Form responses 1!$AQ:$AQ"")=1)
      ),
      1
    ),
    ""0""
  ),
  ""Form not found""
)
"),"0")</f>
        <v>0</v>
      </c>
      <c r="AY2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1!$E:$E"")=$B297) *
        (IMPORTRANGE(""https://docs.google.com/spreadsheets/d/161aHT6vVT3SLneTKD19N5qVWtnj_jIT8CSsOmUVKmaA/e"&amp;"dit?gid=1761053510"",
          ""Haris_Form responses 1!$AQ:$AQ"")=2)
      ),
      1
    ),
    ""0""
  ),
  ""Form not found""
)
"),"0")</f>
        <v>0</v>
      </c>
      <c r="AZ2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1!$E:$E"")=$B297) *
        (IMPORTRANGE(""https://docs.google.com/spreadsheets/d/161aHT6vVT3SLneTKD19N5qVWtnj_jIT8CSsOmUVKmaA/e"&amp;"dit?gid=1761053510"",
          ""Haris_Form responses 1!$AQ:$AQ"")=3)
      ),
      1
    ),
    ""0""
  ),
  ""Form not found""
)
"),"0")</f>
        <v>0</v>
      </c>
      <c r="BA2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1!$E:$E"")=$B297) *
        (IMPORTRANGE(""https://docs.google.com/spreadsheets/d/161aHT6vVT3SLneTKD19N5qVWtnj_jIT8CSsOmUVKmaA/e"&amp;"dit?gid=1761053510"",
          ""Haris_Form responses 1!$AQ:$AQ"")=4)
      ),
      1
    ),
    ""0""
  ),
  ""Form not found""
)
"),"Form not found")</f>
        <v>Form not found</v>
      </c>
      <c r="BB2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1!$E:$E"")=$B297) *
        (IMPORTRANGE(""https://docs.google.com/spreadsheets/d/161aHT6vVT3SLneTKD19N5qVWtnj_jIT8CSsOmUVKmaA/e"&amp;"dit?gid=1761053510"",
          ""Haris_Form responses 1!$AQ:$AQ"")=5)
      ),
      1
    ),
    ""0""
  ),
  ""Form not found""
)
"),"0")</f>
        <v>0</v>
      </c>
      <c r="BC29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1!$E:$E"")=$B297) *
        (IMPORTRANGE(""https://docs.google.com/spreadsheets/d/161aHT6vVT3SLneTKD19N5qVWtnj_jIT8CSsOmUVKmaA/e"&amp;"dit?gid=1761053510"",
          ""Haris_Form responses 1!$AQ:$AQ"")=6)
      ),
      1
    ),
    ""0""
  ),
  ""Form not found""
)
"),"0")</f>
        <v>0</v>
      </c>
      <c r="BD297" s="293"/>
    </row>
    <row r="298">
      <c r="A298" s="283" t="str">
        <f>IFERROR(__xludf.DUMMYFUNCTION("VLOOKUP($B298,IMPORTRANGE(""https://docs.google.com/spreadsheets/d/1VNXDITjs75AcgdBSW27oL1VZH31udDprJSsBcE5xlp4/edit?gid=1551188038#gid=1551188038"", ""Sheet9!$B:$E""),2,false)"),"Rawalpindi")</f>
        <v>Rawalpindi</v>
      </c>
      <c r="B298" s="283" t="s">
        <v>4905</v>
      </c>
      <c r="C298" s="284" t="str">
        <f>IFERROR(__xludf.DUMMYFUNCTION("VLOOKUP(TRIM($B298), IMPORTRANGE(""https://docs.google.com/spreadsheets/d/1aSOrU4PTpuBZqfitKaH1Rfww6-YOiNCKoBpPl8XBHaw/edit?gid=0#gid=0"", ""sheet3!$B:$C""), 2, FALSE)
"),"Jamia Masjid Bhaga Sher Dargali Rawalpindi")</f>
        <v>Jamia Masjid Bhaga Sher Dargali Rawalpindi</v>
      </c>
      <c r="D298" s="284" t="str">
        <f>IFERROR(__xludf.DUMMYFUNCTION("IFERROR(
  INDEX(
    FILTER(
      IMPORTRANGE(""1aSOrU4PTpuBZqfitKaH1Rfww6-YOiNCKoBpPl8XBHaw/edit?gid=0#gid=0"",""Sheet1!G:G""),
      IMPORTRANGE(""1aSOrU4PTpuBZqfitKaH1Rfww6-YOiNCKoBpPl8XBHaw/edit?gid=0#gid=0"",""Sheet1!C:C"")=$B298
    ),
    1
  ),
"&amp;"  ""Not Found""
)"),"Community Religious Info Share")</f>
        <v>Community Religious Info Share</v>
      </c>
      <c r="E298" s="284" t="str">
        <f>VLOOKUP(B298,'Juma Recording forms'!A:E,5,false)</f>
        <v>Masjid Main Haji Sab Bagga Sher</v>
      </c>
      <c r="F298" s="284" t="str">
        <f>IFERROR(__xludf.DUMMYFUNCTION("IFERROR(
  INDEX(
    FILTER(
      IMPORTRANGE(""1Cxrhp3-_-HS7v9uuqQliiIfrmMP4VaFoDNDWyUFy2J8/edit?gid=0#gid=0"",""Sheet1!Q:Q""),
      IMPORTRANGE(""1Cxrhp3-_-HS7v9uuqQliiIfrmMP4VaFoDNDWyUFy2J8/edit?gid=0#gid=0"",""Sheet1!K:K"")=$B298
    ),
    1
  ),
"&amp;"  ""Not Found""
)"),"Not Found")</f>
        <v>Not Found</v>
      </c>
      <c r="G298" s="284"/>
      <c r="H298" s="284"/>
      <c r="I298" s="285" t="s">
        <v>197</v>
      </c>
      <c r="J298" s="286">
        <v>2.0</v>
      </c>
      <c r="K298" s="287" t="str">
        <f>VLOOKUP($B298,'Mosque Locations'!$A:$E,3,FALSE)
</f>
        <v>https://maps.google.com/maps?q=33.378525%2C73.3373617&amp;z=17&amp;hl=en</v>
      </c>
      <c r="L298" s="286">
        <f>VLOOKUP($B298,'Mosque Locations'!$A:$E,4,FALSE)
</f>
        <v>33.378525</v>
      </c>
      <c r="M298" s="286">
        <f>VLOOKUP($B298,'Mosque Locations'!$A:$E,5,false)</f>
        <v>73.3373617</v>
      </c>
      <c r="N298" s="288"/>
      <c r="O298" s="288"/>
      <c r="P298" s="288"/>
      <c r="Q298" s="290" t="str">
        <f>IFERROR(__xludf.DUMMYFUNCTION("IFERROR(
  INDEX(
    FILTER(
      IMPORTRANGE(""1kOrIKZmJfNUkgOVP3sI9BPjaaPA0_a4636oymQxTXg8"",""Form Responses 1!N:N""),
      TRIM(IMPORTRANGE(""1kOrIKZmJfNUkgOVP3sI9BPjaaPA0_a4636oymQxTXg8"",""Form Responses 1!F:F""))=TRIM($B298)
    ),
    1
  ),
  "&amp;"""Not Found""
)
"),"https://drive.google.com/open?id=11peEPlylptT7HOvrifzsnUb81abtMNDs")</f>
        <v>https://drive.google.com/open?id=11peEPlylptT7HOvrifzsnUb81abtMNDs</v>
      </c>
      <c r="R298" s="290" t="str">
        <f>IFERROR(__xludf.DUMMYFUNCTION("IFERROR(
  INDEX(
    FILTER(
      IMPORTRANGE(""1kOrIKZmJfNUkgOVP3sI9BPjaaPA0_a4636oymQxTXg8"",""Form Responses 1!M:M""),
      TRIM(IMPORTRANGE(""1kOrIKZmJfNUkgOVP3sI9BPjaaPA0_a4636oymQxTXg8"",""Form Responses 1!F:F""))=TRIM($B298)
    ),
    1
  ),
  "&amp;"""Not Found""
)
"),"https://drive.google.com/open?id=1YObgQ5uQFDpoTFjQfnJ4SyLSHMl5qBh8")</f>
        <v>https://drive.google.com/open?id=1YObgQ5uQFDpoTFjQfnJ4SyLSHMl5qBh8</v>
      </c>
      <c r="S298" s="285"/>
      <c r="T298" s="290" t="str">
        <f>VLOOKUP($B298,'Master Tracker'!D:E,2,false)</f>
        <v>https://drive.google.com/open?id=1VgVTf0Out9MmejVaMXZNDPSlf0AwYuex</v>
      </c>
      <c r="U298" s="291" t="str">
        <f>VLOOKUP($B298,'Master Tracker'!$D:$T,4,FALSE)
</f>
        <v>https://drive.google.com/open?id=1fzeYRBXoUxXMeMyaCfS5bEsJst41hZuuL2x-SL-Dof0</v>
      </c>
      <c r="V298" s="290" t="str">
        <f>VLOOKUP($B298,'Master Tracker'!$D:$T,5,false)</f>
        <v>https://drive.google.com/open?id=12F-8rEeJuhN1Mh3pXEoLJkRse8cfn9Bp</v>
      </c>
      <c r="W298" s="291" t="str">
        <f>VLOOKUP($B298,'Master Tracker'!$D:$T,7,false)</f>
        <v>https://drive.google.com/open?id=1zX2fCBjzlUDsvmaZ-yMM8Yt_HPxCXkTOpGRFxlyaaTY</v>
      </c>
      <c r="X298" s="290" t="str">
        <f>VLOOKUP($B298,'Master Tracker'!$D:$T,8,false)</f>
        <v>https://drive.google.com/open?id=12lhxmer7KP_xXouBVbgPESXDdqDuUQtL</v>
      </c>
      <c r="Y298" s="291" t="str">
        <f>VLOOKUP($B298,'Master Tracker'!$D:$T,10,false)</f>
        <v>https://drive.google.com/open?id=1oVyCTUcrMG6Z_Ojgzz2z5b3G5XxQx7Ax2S-61h3FEJ8</v>
      </c>
      <c r="Z298" s="284" t="str">
        <f>VLOOKUP($B298,'Master Tracker'!$D:$T,11,false)</f>
        <v>Not Found</v>
      </c>
      <c r="AA298" s="292" t="str">
        <f>VLOOKUP($B298,'Master Tracker'!$D:$T,13,false)</f>
        <v>Not Found</v>
      </c>
      <c r="AB298" s="284" t="str">
        <f>VLOOKUP($B298,'Master Tracker'!$D:$T,14,false)</f>
        <v>Not Found</v>
      </c>
      <c r="AC298" s="292" t="str">
        <f>VLOOKUP($B298,'Master Tracker'!$D:$T,16,false)</f>
        <v>Not Found</v>
      </c>
      <c r="AD298" s="292" t="str">
        <f>VLOOKUP($B298,'Master Tracker'!$D:$T,17,false)</f>
        <v>Not Found</v>
      </c>
      <c r="AE298" s="292" t="str">
        <f>VLOOKUP($B298,'Master Tracker'!$D:$V,19,false)</f>
        <v>Not Found</v>
      </c>
      <c r="AF298" s="292">
        <f>IFERROR(__xludf.DUMMYFUNCTION("IFERROR(
  INDEX(
    FILTER(
      'Juma Recording forms'!$G:$G,
      TRIM('Juma Recording forms'!$F:$F) = TRIM($B298),
      'Juma Recording forms'!$AA:$AA = 1
    ),
    1
  ),
  ""Not Found""
)"),254.0)</f>
        <v>254</v>
      </c>
      <c r="AG298" s="292">
        <f>IFERROR(__xludf.DUMMYFUNCTION("IFERROR(
  INDEX(
    FILTER(
      'Juma Recording forms'!$G:$G,
      TRIM('Juma Recording forms'!$F:$F) = TRIM($B298),
      'Juma Recording forms'!$AA:$AA = 2
    ),
    1
  ),
  ""Not Found""
)"),327.0)</f>
        <v>327</v>
      </c>
      <c r="AH298" s="292" t="str">
        <f>IFERROR(__xludf.DUMMYFUNCTION("IFERROR(
  INDEX(
    FILTER(
      'Juma Recording forms'!$G:$G,
      TRIM('Juma Recording forms'!$F:$F) = TRIM($B298),
      'Juma Recording forms'!$AA:$AA = 3
    ),
    1
  ),
  ""Not Found""
)"),"Not Found")</f>
        <v>Not Found</v>
      </c>
      <c r="AI298" s="292" t="str">
        <f>IFERROR(__xludf.DUMMYFUNCTION("IFERROR(
  INDEX(
    FILTER(
      'Juma Recording forms'!$G:$G,
      TRIM('Juma Recording forms'!$F:$F) = TRIM($B298),
      'Juma Recording forms'!$AA:$AA = 4
    ),
    1
  ),
  ""Not Found""
)"),"Not Found")</f>
        <v>Not Found</v>
      </c>
      <c r="AJ298" s="292" t="str">
        <f>IFERROR(__xludf.DUMMYFUNCTION("IFERROR(
  INDEX(
    FILTER(
      'Juma Recording forms'!$G:$G,
      TRIM('Juma Recording forms'!$F:$F) = TRIM($B298),
      'Juma Recording forms'!$AA:$AA = 5
    ),
    1
  ),
  ""Not Found""
)"),"Not Found")</f>
        <v>Not Found</v>
      </c>
      <c r="AK298" s="292" t="str">
        <f>IFERROR(__xludf.DUMMYFUNCTION("IFERROR(
  INDEX(
    FILTER(
      'Juma Recording forms'!$G:$G,
      TRIM('Juma Recording forms'!$F:$F) = TRIM($B298),
      'Juma Recording forms'!$AA:$AA = 6
    ),
    1
  ),
  ""Not Found""
)"),"Not Found")</f>
        <v>Not Found</v>
      </c>
      <c r="AL2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1!$E:$E"")=$B298) *
        (IMPORTRANGE(""https://docs.google.com/spreadsheets/d/161aHT6vVT3SLneTKD19N5qVWtnj_jIT8CSsOmUVKmaA/e"&amp;"dit?gid=1761053510"",
          ""Haris_Form responses 1!$AQ:$AQ"")=1)
      ),
      1
    ),
    ""0""
  ),
  ""Form not found""
)
"),"7")</f>
        <v>7</v>
      </c>
      <c r="AM2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1!$E:$E"")=$B298) *
        (IMPORTRANGE(""https://docs.google.com/spreadsheets/d/161aHT6vVT3SLneTKD19N5qVWtnj_jIT8CSsOmUVKmaA/e"&amp;"dit?gid=1761053510"",
          ""Haris_Form responses 1!$AQ:$AQ"")=2)
      ),
      1
    ),
    ""0""
  ),
  ""Form not found""
)
"),"8")</f>
        <v>8</v>
      </c>
      <c r="AN2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1!$E:$E"")=$B298) *
        (IMPORTRANGE(""https://docs.google.com/spreadsheets/d/161aHT6vVT3SLneTKD19N5qVWtnj_jIT8CSsOmUVKmaA/e"&amp;"dit?gid=1761053510"",
          ""Haris_Form responses 1!$AQ:$AQ"")=3)
      ),
      1
    ),
    ""0""
  ),
  ""Form not found""
)
"),"0")</f>
        <v>0</v>
      </c>
      <c r="AO2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1!$E:$E"")=$B298) *
        (IMPORTRANGE(""https://docs.google.com/spreadsheets/d/161aHT6vVT3SLneTKD19N5qVWtnj_jIT8CSsOmUVKmaA/e"&amp;"dit?gid=1761053510"",
          ""Haris_Form responses 1!$AQ:$AQ"")=4)
      ),
      1
    ),
    ""0""
  ),
  ""Form not found""
)
"),"Form not found")</f>
        <v>Form not found</v>
      </c>
      <c r="AP2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1!$E:$E"")=$B298) *
        (IMPORTRANGE(""https://docs.google.com/spreadsheets/d/161aHT6vVT3SLneTKD19N5qVWtnj_jIT8CSsOmUVKmaA/e"&amp;"dit?gid=1761053510"",
          ""Haris_Form responses 1!$AQ:$AQ"")=5)
      ),
      1
    ),
    ""0""
  ),
  ""Form not found""
)
"),"Form not found")</f>
        <v>Form not found</v>
      </c>
      <c r="AQ29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1!$E:$E"")=$B298) *
        (IMPORTRANGE(""https://docs.google.com/spreadsheets/d/161aHT6vVT3SLneTKD19N5qVWtnj_jIT8CSsOmUVKmaA/e"&amp;"dit?gid=1761053510"",
          ""Haris_Form responses 1!$AQ:$AQ"")=6)
      ),
      1
    ),
    ""0""
  ),
  ""Form not found""
)
"),"Form not found")</f>
        <v>Form not found</v>
      </c>
      <c r="AR2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1!$E:$E"")=$B298) *
        (IMPORTRANGE(""https://docs.google.com/spreadsheets/d/161aHT6vVT3SLneTKD19N5qVWtnj_jIT8CSsOmUVKmaA/e"&amp;"dit?gid=1761053510"",
          ""Haris_Form responses 1!$AQ:$AQ"")=1)
      ),
      1
    ),
    ""0""
  ),
  ""Form not found""
)
"),"7")</f>
        <v>7</v>
      </c>
      <c r="AS2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1!$E:$E"")=$B298) *
        (IMPORTRANGE(""https://docs.google.com/spreadsheets/d/161aHT6vVT3SLneTKD19N5qVWtnj_jIT8CSsOmUVKmaA/e"&amp;"dit?gid=1761053510"",
          ""Haris_Form responses 1!$AQ:$AQ"")=2)
      ),
      1
    ),
    ""0""
  ),
  ""Form not found""
)
"),"8")</f>
        <v>8</v>
      </c>
      <c r="AT2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1!$E:$E"")=$B298) *
        (IMPORTRANGE(""https://docs.google.com/spreadsheets/d/161aHT6vVT3SLneTKD19N5qVWtnj_jIT8CSsOmUVKmaA/e"&amp;"dit?gid=1761053510"",
          ""Haris_Form responses 1!$AQ:$AQ"")=3)
      ),
      1
    ),
    ""0""
  ),
  ""Form not found""
)
"),"0")</f>
        <v>0</v>
      </c>
      <c r="AU2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1!$E:$E"")=$B298) *
        (IMPORTRANGE(""https://docs.google.com/spreadsheets/d/161aHT6vVT3SLneTKD19N5qVWtnj_jIT8CSsOmUVKmaA/e"&amp;"dit?gid=1761053510"",
          ""Haris_Form responses 1!$AQ:$AQ"")=4)
      ),
      1
    ),
    ""0""
  ),
  ""Form not found""
)
"),"Form not found")</f>
        <v>Form not found</v>
      </c>
      <c r="AV2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1!$E:$E"")=$B298) *
        (IMPORTRANGE(""https://docs.google.com/spreadsheets/d/161aHT6vVT3SLneTKD19N5qVWtnj_jIT8CSsOmUVKmaA/e"&amp;"dit?gid=1761053510"",
          ""Haris_Form responses 1!$AQ:$AQ"")=5)
      ),
      1
    ),
    ""0""
  ),
  ""Form not found""
)
"),"Form not found")</f>
        <v>Form not found</v>
      </c>
      <c r="AW29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1!$E:$E"")=$B298) *
        (IMPORTRANGE(""https://docs.google.com/spreadsheets/d/161aHT6vVT3SLneTKD19N5qVWtnj_jIT8CSsOmUVKmaA/e"&amp;"dit?gid=1761053510"",
          ""Haris_Form responses 1!$AQ:$AQ"")=6)
      ),
      1
    ),
    ""0""
  ),
  ""Form not found""
)
"),"Form not found")</f>
        <v>Form not found</v>
      </c>
      <c r="AX2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1!$E:$E"")=$B298) *
        (IMPORTRANGE(""https://docs.google.com/spreadsheets/d/161aHT6vVT3SLneTKD19N5qVWtnj_jIT8CSsOmUVKmaA/e"&amp;"dit?gid=1761053510"",
          ""Haris_Form responses 1!$AQ:$AQ"")=1)
      ),
      1
    ),
    ""0""
  ),
  ""Form not found""
)
"),"0")</f>
        <v>0</v>
      </c>
      <c r="AY2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1!$E:$E"")=$B298) *
        (IMPORTRANGE(""https://docs.google.com/spreadsheets/d/161aHT6vVT3SLneTKD19N5qVWtnj_jIT8CSsOmUVKmaA/e"&amp;"dit?gid=1761053510"",
          ""Haris_Form responses 1!$AQ:$AQ"")=2)
      ),
      1
    ),
    ""0""
  ),
  ""Form not found""
)
"),"0")</f>
        <v>0</v>
      </c>
      <c r="AZ2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1!$E:$E"")=$B298) *
        (IMPORTRANGE(""https://docs.google.com/spreadsheets/d/161aHT6vVT3SLneTKD19N5qVWtnj_jIT8CSsOmUVKmaA/e"&amp;"dit?gid=1761053510"",
          ""Haris_Form responses 1!$AQ:$AQ"")=3)
      ),
      1
    ),
    ""0""
  ),
  ""Form not found""
)
"),"0")</f>
        <v>0</v>
      </c>
      <c r="BA2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1!$E:$E"")=$B298) *
        (IMPORTRANGE(""https://docs.google.com/spreadsheets/d/161aHT6vVT3SLneTKD19N5qVWtnj_jIT8CSsOmUVKmaA/e"&amp;"dit?gid=1761053510"",
          ""Haris_Form responses 1!$AQ:$AQ"")=4)
      ),
      1
    ),
    ""0""
  ),
  ""Form not found""
)
"),"Form not found")</f>
        <v>Form not found</v>
      </c>
      <c r="BB2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1!$E:$E"")=$B298) *
        (IMPORTRANGE(""https://docs.google.com/spreadsheets/d/161aHT6vVT3SLneTKD19N5qVWtnj_jIT8CSsOmUVKmaA/e"&amp;"dit?gid=1761053510"",
          ""Haris_Form responses 1!$AQ:$AQ"")=5)
      ),
      1
    ),
    ""0""
  ),
  ""Form not found""
)
"),"Form not found")</f>
        <v>Form not found</v>
      </c>
      <c r="BC29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1!$E:$E"")=$B298) *
        (IMPORTRANGE(""https://docs.google.com/spreadsheets/d/161aHT6vVT3SLneTKD19N5qVWtnj_jIT8CSsOmUVKmaA/e"&amp;"dit?gid=1761053510"",
          ""Haris_Form responses 1!$AQ:$AQ"")=6)
      ),
      1
    ),
    ""0""
  ),
  ""Form not found""
)
"),"Form not found")</f>
        <v>Form not found</v>
      </c>
      <c r="BD298" s="293"/>
    </row>
    <row r="299">
      <c r="A299" s="283" t="str">
        <f>IFERROR(__xludf.DUMMYFUNCTION("VLOOKUP($B299,IMPORTRANGE(""https://docs.google.com/spreadsheets/d/1VNXDITjs75AcgdBSW27oL1VZH31udDprJSsBcE5xlp4/edit?gid=1551188038#gid=1551188038"", ""Sheet9!$B:$E""),2,false)"),"Sahiwal")</f>
        <v>Sahiwal</v>
      </c>
      <c r="B299" s="283" t="s">
        <v>4686</v>
      </c>
      <c r="C299" s="284" t="str">
        <f>IFERROR(__xludf.DUMMYFUNCTION("VLOOKUP(TRIM($B299), IMPORTRANGE(""https://docs.google.com/spreadsheets/d/1aSOrU4PTpuBZqfitKaH1Rfww6-YOiNCKoBpPl8XBHaw/edit?gid=0#gid=0"", ""sheet3!$B:$C""), 2, FALSE)
"),"Jamia Masjid Taliyah Nawali Shahiwal")</f>
        <v>Jamia Masjid Taliyah Nawali Shahiwal</v>
      </c>
      <c r="D299" s="284" t="str">
        <f>IFERROR(__xludf.DUMMYFUNCTION("IFERROR(
  INDEX(
    FILTER(
      IMPORTRANGE(""1aSOrU4PTpuBZqfitKaH1Rfww6-YOiNCKoBpPl8XBHaw/edit?gid=0#gid=0"",""Sheet1!G:G""),
      IMPORTRANGE(""1aSOrU4PTpuBZqfitKaH1Rfww6-YOiNCKoBpPl8XBHaw/edit?gid=0#gid=0"",""Sheet1!C:C"")=$B299
    ),
    1
  ),
"&amp;"  ""Not Found""
)"),"Control")</f>
        <v>Control</v>
      </c>
      <c r="E299" s="284" t="str">
        <f>VLOOKUP(B299,'Juma Recording forms'!A:E,5,false)</f>
        <v>Jamia masjid Mohammaia ghousia</v>
      </c>
      <c r="F299" s="284" t="str">
        <f>IFERROR(__xludf.DUMMYFUNCTION("IFERROR(
  INDEX(
    FILTER(
      IMPORTRANGE(""1Cxrhp3-_-HS7v9uuqQliiIfrmMP4VaFoDNDWyUFy2J8/edit?gid=0#gid=0"",""Sheet1!Q:Q""),
      IMPORTRANGE(""1Cxrhp3-_-HS7v9uuqQliiIfrmMP4VaFoDNDWyUFy2J8/edit?gid=0#gid=0"",""Sheet1!K:K"")=$B299
    ),
    1
  ),
"&amp;"  ""Not Found""
)"),"Molana m aslam")</f>
        <v>Molana m aslam</v>
      </c>
      <c r="G299" s="292">
        <v>1970.0</v>
      </c>
      <c r="H299" s="284"/>
      <c r="I299" s="285" t="s">
        <v>401</v>
      </c>
      <c r="J299" s="286">
        <v>2.0</v>
      </c>
      <c r="K299" s="287" t="str">
        <f>VLOOKUP($B299,'Mosque Locations'!$A:$E,3,FALSE)
</f>
        <v>https://maps.google.com/maps?q=30.6541356%2C73.1115608&amp;z=17&amp;hl=en</v>
      </c>
      <c r="L299" s="286">
        <f>VLOOKUP($B299,'Mosque Locations'!$A:$E,4,FALSE)
</f>
        <v>30.65414</v>
      </c>
      <c r="M299" s="286">
        <f>VLOOKUP($B299,'Mosque Locations'!$A:$E,5,false)</f>
        <v>73.11156</v>
      </c>
      <c r="N299" s="288"/>
      <c r="O299" s="288"/>
      <c r="P299" s="288"/>
      <c r="Q299" s="295" t="str">
        <f>IFERROR(__xludf.DUMMYFUNCTION("IFERROR(
  INDEX(
    FILTER(
      IMPORTRANGE(""1kOrIKZmJfNUkgOVP3sI9BPjaaPA0_a4636oymQxTXg8"",""Form Responses 1!N:N""),
      TRIM(IMPORTRANGE(""1kOrIKZmJfNUkgOVP3sI9BPjaaPA0_a4636oymQxTXg8"",""Form Responses 1!F:F""))=TRIM($B299)
    ),
    1
  ),
  "&amp;"""Not Found""
)
"),"https://drive.google.com/file/d/1PnsfyuHXkqLXzl_UspFFz7EtYKvEFHk2/view?usp=drive_link")</f>
        <v>https://drive.google.com/file/d/1PnsfyuHXkqLXzl_UspFFz7EtYKvEFHk2/view?usp=drive_link</v>
      </c>
      <c r="R299" s="295" t="str">
        <f>IFERROR(__xludf.DUMMYFUNCTION("IFERROR(
  INDEX(
    FILTER(
      IMPORTRANGE(""1kOrIKZmJfNUkgOVP3sI9BPjaaPA0_a4636oymQxTXg8"",""Form Responses 1!M:M""),
      TRIM(IMPORTRANGE(""1kOrIKZmJfNUkgOVP3sI9BPjaaPA0_a4636oymQxTXg8"",""Form Responses 1!F:F""))=TRIM($B299)
    ),
    1
  ),
  "&amp;"""Not Found""
)
"),"https://drive.google.com/file/d/1oRG7keQh09T15zXgJsKLekIlpi6RWLhH/view?usp=drive_link")</f>
        <v>https://drive.google.com/file/d/1oRG7keQh09T15zXgJsKLekIlpi6RWLhH/view?usp=drive_link</v>
      </c>
      <c r="S299" s="285"/>
      <c r="T299" s="290" t="str">
        <f>VLOOKUP($B299,'Master Tracker'!D:E,2,false)</f>
        <v>https://drive.google.com/file/d/1sMzStmlCWe-9fy6HH6WwbmRCKs8q4MWq/view?usp=drive_link</v>
      </c>
      <c r="U299" s="291" t="str">
        <f>VLOOKUP($B299,'Master Tracker'!$D:$T,4,FALSE)
</f>
        <v>https://drive.google.com/open?id=1fBGk4h18sfuP5PgJAgLSa_oeA8CAc7u3</v>
      </c>
      <c r="V299" s="284" t="str">
        <f>VLOOKUP($B299,'Master Tracker'!$D:$T,5,false)</f>
        <v>Not Found</v>
      </c>
      <c r="W299" s="292" t="str">
        <f>VLOOKUP($B299,'Master Tracker'!$D:$T,7,false)</f>
        <v>Not Found</v>
      </c>
      <c r="X299" s="290" t="str">
        <f>VLOOKUP($B299,'Master Tracker'!$D:$T,8,false)</f>
        <v>https://drive.google.com/file/d/180os61bYtf5qw8YU68Q3kJXM2YIVHvIC/view?usp=drive_link</v>
      </c>
      <c r="Y299" s="291" t="str">
        <f>VLOOKUP($B299,'Master Tracker'!$D:$T,10,false)</f>
        <v>https://drive.google.com/open?id=1WJr6V4QXBgUABP6aa6gvZKx8WELx6OLh3SNCkp5cAkQ</v>
      </c>
      <c r="Z299" s="284" t="str">
        <f>VLOOKUP($B299,'Master Tracker'!$D:$T,11,false)</f>
        <v>Not Found</v>
      </c>
      <c r="AA299" s="292" t="str">
        <f>VLOOKUP($B299,'Master Tracker'!$D:$T,13,false)</f>
        <v>Not Found</v>
      </c>
      <c r="AB299" s="284" t="str">
        <f>VLOOKUP($B299,'Master Tracker'!$D:$T,14,false)</f>
        <v>Not Found</v>
      </c>
      <c r="AC299" s="292" t="str">
        <f>VLOOKUP($B299,'Master Tracker'!$D:$T,16,false)</f>
        <v>Not Found</v>
      </c>
      <c r="AD299" s="292" t="str">
        <f>VLOOKUP($B299,'Master Tracker'!$D:$T,17,false)</f>
        <v>Not Found</v>
      </c>
      <c r="AE299" s="292" t="str">
        <f>VLOOKUP($B299,'Master Tracker'!$D:$V,19,false)</f>
        <v>Not Found</v>
      </c>
      <c r="AF299" s="292">
        <f>IFERROR(__xludf.DUMMYFUNCTION("IFERROR(
  INDEX(
    FILTER(
      'Juma Recording forms'!$G:$G,
      TRIM('Juma Recording forms'!$F:$F) = TRIM($B299),
      'Juma Recording forms'!$AA:$AA = 1
    ),
    1
  ),
  ""Not Found""
)"),550.0)</f>
        <v>550</v>
      </c>
      <c r="AG299" s="292" t="str">
        <f>IFERROR(__xludf.DUMMYFUNCTION("IFERROR(
  INDEX(
    FILTER(
      'Juma Recording forms'!$G:$G,
      TRIM('Juma Recording forms'!$F:$F) = TRIM($B299),
      'Juma Recording forms'!$AA:$AA = 2
    ),
    1
  ),
  ""Not Found""
)"),"Not Found")</f>
        <v>Not Found</v>
      </c>
      <c r="AH299" s="292">
        <f>IFERROR(__xludf.DUMMYFUNCTION("IFERROR(
  INDEX(
    FILTER(
      'Juma Recording forms'!$G:$G,
      TRIM('Juma Recording forms'!$F:$F) = TRIM($B299),
      'Juma Recording forms'!$AA:$AA = 3
    ),
    1
  ),
  ""Not Found""
)"),550.0)</f>
        <v>550</v>
      </c>
      <c r="AI299" s="292" t="str">
        <f>IFERROR(__xludf.DUMMYFUNCTION("IFERROR(
  INDEX(
    FILTER(
      'Juma Recording forms'!$G:$G,
      TRIM('Juma Recording forms'!$F:$F) = TRIM($B299),
      'Juma Recording forms'!$AA:$AA = 4
    ),
    1
  ),
  ""Not Found""
)"),"Not Found")</f>
        <v>Not Found</v>
      </c>
      <c r="AJ299" s="292" t="str">
        <f>IFERROR(__xludf.DUMMYFUNCTION("IFERROR(
  INDEX(
    FILTER(
      'Juma Recording forms'!$G:$G,
      TRIM('Juma Recording forms'!$F:$F) = TRIM($B299),
      'Juma Recording forms'!$AA:$AA = 5
    ),
    1
  ),
  ""Not Found""
)"),"Not Found")</f>
        <v>Not Found</v>
      </c>
      <c r="AK299" s="292" t="str">
        <f>IFERROR(__xludf.DUMMYFUNCTION("IFERROR(
  INDEX(
    FILTER(
      'Juma Recording forms'!$G:$G,
      TRIM('Juma Recording forms'!$F:$F) = TRIM($B299),
      'Juma Recording forms'!$AA:$AA = 6
    ),
    1
  ),
  ""Not Found""
)"),"Not Found")</f>
        <v>Not Found</v>
      </c>
      <c r="AL2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1!$E:$E"")=$B299) *
        (IMPORTRANGE(""https://docs.google.com/spreadsheets/d/161aHT6vVT3SLneTKD19N5qVWtnj_jIT8CSsOmUVKmaA/e"&amp;"dit?gid=1761053510"",
          ""Haris_Form responses 1!$AQ:$AQ"")=1)
      ),
      1
    ),
    ""0""
  ),
  ""Form not found""
)
"),"0")</f>
        <v>0</v>
      </c>
      <c r="AM2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1!$E:$E"")=$B299) *
        (IMPORTRANGE(""https://docs.google.com/spreadsheets/d/161aHT6vVT3SLneTKD19N5qVWtnj_jIT8CSsOmUVKmaA/e"&amp;"dit?gid=1761053510"",
          ""Haris_Form responses 1!$AQ:$AQ"")=2)
      ),
      1
    ),
    ""0""
  ),
  ""Form not found""
)
"),"Form not found")</f>
        <v>Form not found</v>
      </c>
      <c r="AN2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1!$E:$E"")=$B299) *
        (IMPORTRANGE(""https://docs.google.com/spreadsheets/d/161aHT6vVT3SLneTKD19N5qVWtnj_jIT8CSsOmUVKmaA/e"&amp;"dit?gid=1761053510"",
          ""Haris_Form responses 1!$AQ:$AQ"")=3)
      ),
      1
    ),
    ""0""
  ),
  ""Form not found""
)
"),"0")</f>
        <v>0</v>
      </c>
      <c r="AO2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1!$E:$E"")=$B299) *
        (IMPORTRANGE(""https://docs.google.com/spreadsheets/d/161aHT6vVT3SLneTKD19N5qVWtnj_jIT8CSsOmUVKmaA/e"&amp;"dit?gid=1761053510"",
          ""Haris_Form responses 1!$AQ:$AQ"")=4)
      ),
      1
    ),
    ""0""
  ),
  ""Form not found""
)
"),"Form not found")</f>
        <v>Form not found</v>
      </c>
      <c r="AP2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1!$E:$E"")=$B299) *
        (IMPORTRANGE(""https://docs.google.com/spreadsheets/d/161aHT6vVT3SLneTKD19N5qVWtnj_jIT8CSsOmUVKmaA/e"&amp;"dit?gid=1761053510"",
          ""Haris_Form responses 1!$AQ:$AQ"")=5)
      ),
      1
    ),
    ""0""
  ),
  ""Form not found""
)
"),"Form not found")</f>
        <v>Form not found</v>
      </c>
      <c r="AQ29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1!$E:$E"")=$B299) *
        (IMPORTRANGE(""https://docs.google.com/spreadsheets/d/161aHT6vVT3SLneTKD19N5qVWtnj_jIT8CSsOmUVKmaA/e"&amp;"dit?gid=1761053510"",
          ""Haris_Form responses 1!$AQ:$AQ"")=6)
      ),
      1
    ),
    ""0""
  ),
  ""Form not found""
)
"),"Form not found")</f>
        <v>Form not found</v>
      </c>
      <c r="AR2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1!$E:$E"")=$B299) *
        (IMPORTRANGE(""https://docs.google.com/spreadsheets/d/161aHT6vVT3SLneTKD19N5qVWtnj_jIT8CSsOmUVKmaA/e"&amp;"dit?gid=1761053510"",
          ""Haris_Form responses 1!$AQ:$AQ"")=1)
      ),
      1
    ),
    ""0""
  ),
  ""Form not found""
)
"),"0")</f>
        <v>0</v>
      </c>
      <c r="AS2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1!$E:$E"")=$B299) *
        (IMPORTRANGE(""https://docs.google.com/spreadsheets/d/161aHT6vVT3SLneTKD19N5qVWtnj_jIT8CSsOmUVKmaA/e"&amp;"dit?gid=1761053510"",
          ""Haris_Form responses 1!$AQ:$AQ"")=2)
      ),
      1
    ),
    ""0""
  ),
  ""Form not found""
)
"),"Form not found")</f>
        <v>Form not found</v>
      </c>
      <c r="AT2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1!$E:$E"")=$B299) *
        (IMPORTRANGE(""https://docs.google.com/spreadsheets/d/161aHT6vVT3SLneTKD19N5qVWtnj_jIT8CSsOmUVKmaA/e"&amp;"dit?gid=1761053510"",
          ""Haris_Form responses 1!$AQ:$AQ"")=3)
      ),
      1
    ),
    ""0""
  ),
  ""Form not found""
)
"),"0")</f>
        <v>0</v>
      </c>
      <c r="AU2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1!$E:$E"")=$B299) *
        (IMPORTRANGE(""https://docs.google.com/spreadsheets/d/161aHT6vVT3SLneTKD19N5qVWtnj_jIT8CSsOmUVKmaA/e"&amp;"dit?gid=1761053510"",
          ""Haris_Form responses 1!$AQ:$AQ"")=4)
      ),
      1
    ),
    ""0""
  ),
  ""Form not found""
)
"),"Form not found")</f>
        <v>Form not found</v>
      </c>
      <c r="AV2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1!$E:$E"")=$B299) *
        (IMPORTRANGE(""https://docs.google.com/spreadsheets/d/161aHT6vVT3SLneTKD19N5qVWtnj_jIT8CSsOmUVKmaA/e"&amp;"dit?gid=1761053510"",
          ""Haris_Form responses 1!$AQ:$AQ"")=5)
      ),
      1
    ),
    ""0""
  ),
  ""Form not found""
)
"),"Form not found")</f>
        <v>Form not found</v>
      </c>
      <c r="AW29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1!$E:$E"")=$B299) *
        (IMPORTRANGE(""https://docs.google.com/spreadsheets/d/161aHT6vVT3SLneTKD19N5qVWtnj_jIT8CSsOmUVKmaA/e"&amp;"dit?gid=1761053510"",
          ""Haris_Form responses 1!$AQ:$AQ"")=6)
      ),
      1
    ),
    ""0""
  ),
  ""Form not found""
)
"),"Form not found")</f>
        <v>Form not found</v>
      </c>
      <c r="AX2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1!$E:$E"")=$B299) *
        (IMPORTRANGE(""https://docs.google.com/spreadsheets/d/161aHT6vVT3SLneTKD19N5qVWtnj_jIT8CSsOmUVKmaA/e"&amp;"dit?gid=1761053510"",
          ""Haris_Form responses 1!$AQ:$AQ"")=1)
      ),
      1
    ),
    ""0""
  ),
  ""Form not found""
)
"),"0")</f>
        <v>0</v>
      </c>
      <c r="AY2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1!$E:$E"")=$B299) *
        (IMPORTRANGE(""https://docs.google.com/spreadsheets/d/161aHT6vVT3SLneTKD19N5qVWtnj_jIT8CSsOmUVKmaA/e"&amp;"dit?gid=1761053510"",
          ""Haris_Form responses 1!$AQ:$AQ"")=2)
      ),
      1
    ),
    ""0""
  ),
  ""Form not found""
)
"),"Form not found")</f>
        <v>Form not found</v>
      </c>
      <c r="AZ2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1!$E:$E"")=$B299) *
        (IMPORTRANGE(""https://docs.google.com/spreadsheets/d/161aHT6vVT3SLneTKD19N5qVWtnj_jIT8CSsOmUVKmaA/e"&amp;"dit?gid=1761053510"",
          ""Haris_Form responses 1!$AQ:$AQ"")=3)
      ),
      1
    ),
    ""0""
  ),
  ""Form not found""
)
"),"0")</f>
        <v>0</v>
      </c>
      <c r="BA2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1!$E:$E"")=$B299) *
        (IMPORTRANGE(""https://docs.google.com/spreadsheets/d/161aHT6vVT3SLneTKD19N5qVWtnj_jIT8CSsOmUVKmaA/e"&amp;"dit?gid=1761053510"",
          ""Haris_Form responses 1!$AQ:$AQ"")=4)
      ),
      1
    ),
    ""0""
  ),
  ""Form not found""
)
"),"Form not found")</f>
        <v>Form not found</v>
      </c>
      <c r="BB2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1!$E:$E"")=$B299) *
        (IMPORTRANGE(""https://docs.google.com/spreadsheets/d/161aHT6vVT3SLneTKD19N5qVWtnj_jIT8CSsOmUVKmaA/e"&amp;"dit?gid=1761053510"",
          ""Haris_Form responses 1!$AQ:$AQ"")=5)
      ),
      1
    ),
    ""0""
  ),
  ""Form not found""
)
"),"Form not found")</f>
        <v>Form not found</v>
      </c>
      <c r="BC29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1!$E:$E"")=$B299) *
        (IMPORTRANGE(""https://docs.google.com/spreadsheets/d/161aHT6vVT3SLneTKD19N5qVWtnj_jIT8CSsOmUVKmaA/e"&amp;"dit?gid=1761053510"",
          ""Haris_Form responses 1!$AQ:$AQ"")=6)
      ),
      1
    ),
    ""0""
  ),
  ""Form not found""
)
"),"Form not found")</f>
        <v>Form not found</v>
      </c>
      <c r="BD299" s="293"/>
    </row>
    <row r="300">
      <c r="A300" s="283" t="str">
        <f>IFERROR(__xludf.DUMMYFUNCTION("VLOOKUP($B300,IMPORTRANGE(""https://docs.google.com/spreadsheets/d/1VNXDITjs75AcgdBSW27oL1VZH31udDprJSsBcE5xlp4/edit?gid=1551188038#gid=1551188038"", ""Sheet9!$B:$E""),2,false)"),"Sahiwal")</f>
        <v>Sahiwal</v>
      </c>
      <c r="B300" s="283" t="s">
        <v>4687</v>
      </c>
      <c r="C300" s="284" t="str">
        <f>IFERROR(__xludf.DUMMYFUNCTION("VLOOKUP(TRIM($B300), IMPORTRANGE(""https://docs.google.com/spreadsheets/d/1aSOrU4PTpuBZqfitKaH1Rfww6-YOiNCKoBpPl8XBHaw/edit?gid=0#gid=0"", ""sheet3!$B:$C""), 2, FALSE)
"),"Jamia Masjid Gaalah Mandi Chichawatni")</f>
        <v>Jamia Masjid Gaalah Mandi Chichawatni</v>
      </c>
      <c r="D300" s="284" t="str">
        <f>IFERROR(__xludf.DUMMYFUNCTION("IFERROR(
  INDEX(
    FILTER(
      IMPORTRANGE(""1aSOrU4PTpuBZqfitKaH1Rfww6-YOiNCKoBpPl8XBHaw/edit?gid=0#gid=0"",""Sheet1!G:G""),
      IMPORTRANGE(""1aSOrU4PTpuBZqfitKaH1Rfww6-YOiNCKoBpPl8XBHaw/edit?gid=0#gid=0"",""Sheet1!C:C"")=$B300
    ),
    1
  ),
"&amp;"  ""Not Found""
)"),"Control")</f>
        <v>Control</v>
      </c>
      <c r="E300" s="284" t="str">
        <f>VLOOKUP(B300,'Juma Recording forms'!A:E,5,false)</f>
        <v>Jamiha Masjad ghala mandi chichawatni </v>
      </c>
      <c r="F300" s="284" t="str">
        <f>IFERROR(__xludf.DUMMYFUNCTION("IFERROR(
  INDEX(
    FILTER(
      IMPORTRANGE(""1Cxrhp3-_-HS7v9uuqQliiIfrmMP4VaFoDNDWyUFy2J8/edit?gid=0#gid=0"",""Sheet1!Q:Q""),
      IMPORTRANGE(""1Cxrhp3-_-HS7v9uuqQliiIfrmMP4VaFoDNDWyUFy2J8/edit?gid=0#gid=0"",""Sheet1!K:K"")=$B300
    ),
    1
  ),
"&amp;"  ""Not Found""
)"),"molana m tahir")</f>
        <v>molana m tahir</v>
      </c>
      <c r="G300" s="284">
        <v>1955.0</v>
      </c>
      <c r="H300" s="284"/>
      <c r="I300" s="285" t="s">
        <v>197</v>
      </c>
      <c r="J300" s="286">
        <v>2.0</v>
      </c>
      <c r="K300" s="287" t="str">
        <f>VLOOKUP($B300,'Mosque Locations'!$A:$E,3,FALSE)
</f>
        <v>https://maps.google.com/maps?q=30.531882%2C72.6887089&amp;z=17&amp;hl=en</v>
      </c>
      <c r="L300" s="286">
        <f>VLOOKUP($B300,'Mosque Locations'!$A:$E,4,FALSE)
</f>
        <v>30.53188</v>
      </c>
      <c r="M300" s="286">
        <f>VLOOKUP($B300,'Mosque Locations'!$A:$E,5,false)</f>
        <v>72.68871</v>
      </c>
      <c r="N300" s="288"/>
      <c r="O300" s="288"/>
      <c r="P300" s="288"/>
      <c r="Q300" s="295" t="str">
        <f>IFERROR(__xludf.DUMMYFUNCTION("IFERROR(
  INDEX(
    FILTER(
      IMPORTRANGE(""1kOrIKZmJfNUkgOVP3sI9BPjaaPA0_a4636oymQxTXg8"",""Form Responses 1!N:N""),
      TRIM(IMPORTRANGE(""1kOrIKZmJfNUkgOVP3sI9BPjaaPA0_a4636oymQxTXg8"",""Form Responses 1!F:F""))=TRIM($B300)
    ),
    1
  ),
  "&amp;"""Not Found""
)
"),"https://drive.google.com/file/d/1m1lUadKO7vaQyNzYQ4LNQ3XwoQIhk3Zw/view?usp=drive_link")</f>
        <v>https://drive.google.com/file/d/1m1lUadKO7vaQyNzYQ4LNQ3XwoQIhk3Zw/view?usp=drive_link</v>
      </c>
      <c r="R300" s="295" t="str">
        <f>IFERROR(__xludf.DUMMYFUNCTION("IFERROR(
  INDEX(
    FILTER(
      IMPORTRANGE(""1kOrIKZmJfNUkgOVP3sI9BPjaaPA0_a4636oymQxTXg8"",""Form Responses 1!M:M""),
      TRIM(IMPORTRANGE(""1kOrIKZmJfNUkgOVP3sI9BPjaaPA0_a4636oymQxTXg8"",""Form Responses 1!F:F""))=TRIM($B300)
    ),
    1
  ),
  "&amp;"""Not Found""
)
"),"https://drive.google.com/open?id=19xh5Y8Ht94Yr56GHzrtHtuosOOupNOrc")</f>
        <v>https://drive.google.com/open?id=19xh5Y8Ht94Yr56GHzrtHtuosOOupNOrc</v>
      </c>
      <c r="S300" s="285"/>
      <c r="T300" s="290" t="str">
        <f>VLOOKUP($B300,'Master Tracker'!D:E,2,false)</f>
        <v>https://drive.google.com/file/d/1HVbSbF8xgE4_TxTkhEA69bPLbLgvibJb/view?usp=drive_link</v>
      </c>
      <c r="U300" s="291" t="str">
        <f>VLOOKUP($B300,'Master Tracker'!$D:$T,4,FALSE)
</f>
        <v>https://drive.google.com/open?id=1LDvIHGT9ruVY6t6cJ1vIN0xDktWRtW0T</v>
      </c>
      <c r="V300" s="284" t="str">
        <f>VLOOKUP($B300,'Master Tracker'!$D:$T,5,false)</f>
        <v>Not Found</v>
      </c>
      <c r="W300" s="292" t="str">
        <f>VLOOKUP($B300,'Master Tracker'!$D:$T,7,false)</f>
        <v>Not Found</v>
      </c>
      <c r="X300" s="290" t="str">
        <f>VLOOKUP($B300,'Master Tracker'!$D:$T,8,false)</f>
        <v>https://drive.google.com/file/d/1sdmFoveod6WmmeLc9S_lQkkoNPff0YxW/view?usp=drive_link</v>
      </c>
      <c r="Y300" s="291" t="str">
        <f>VLOOKUP($B300,'Master Tracker'!$D:$T,10,false)</f>
        <v>https://drive.google.com/open?id=1IgmpXxZS-KR2-2LLfAhrWlC1HVnkQTRvQHpCtVFMjyU</v>
      </c>
      <c r="Z300" s="284" t="str">
        <f>VLOOKUP($B300,'Master Tracker'!$D:$T,11,false)</f>
        <v>Not Found</v>
      </c>
      <c r="AA300" s="292" t="str">
        <f>VLOOKUP($B300,'Master Tracker'!$D:$T,13,false)</f>
        <v>Not Found</v>
      </c>
      <c r="AB300" s="284" t="str">
        <f>VLOOKUP($B300,'Master Tracker'!$D:$T,14,false)</f>
        <v>Not Found</v>
      </c>
      <c r="AC300" s="292" t="str">
        <f>VLOOKUP($B300,'Master Tracker'!$D:$T,16,false)</f>
        <v>Not Found</v>
      </c>
      <c r="AD300" s="292" t="str">
        <f>VLOOKUP($B300,'Master Tracker'!$D:$T,17,false)</f>
        <v>Not Found</v>
      </c>
      <c r="AE300" s="292" t="str">
        <f>VLOOKUP($B300,'Master Tracker'!$D:$V,19,false)</f>
        <v>Not Found</v>
      </c>
      <c r="AF300" s="292">
        <f>IFERROR(__xludf.DUMMYFUNCTION("IFERROR(
  INDEX(
    FILTER(
      'Juma Recording forms'!$G:$G,
      TRIM('Juma Recording forms'!$F:$F) = TRIM($B300),
      'Juma Recording forms'!$AA:$AA = 1
    ),
    1
  ),
  ""Not Found""
)"),242.0)</f>
        <v>242</v>
      </c>
      <c r="AG300" s="292" t="str">
        <f>IFERROR(__xludf.DUMMYFUNCTION("IFERROR(
  INDEX(
    FILTER(
      'Juma Recording forms'!$G:$G,
      TRIM('Juma Recording forms'!$F:$F) = TRIM($B300),
      'Juma Recording forms'!$AA:$AA = 2
    ),
    1
  ),
  ""Not Found""
)"),"Not Found")</f>
        <v>Not Found</v>
      </c>
      <c r="AH300" s="292">
        <f>IFERROR(__xludf.DUMMYFUNCTION("IFERROR(
  INDEX(
    FILTER(
      'Juma Recording forms'!$G:$G,
      TRIM('Juma Recording forms'!$F:$F) = TRIM($B300),
      'Juma Recording forms'!$AA:$AA = 3
    ),
    1
  ),
  ""Not Found""
)"),228.0)</f>
        <v>228</v>
      </c>
      <c r="AI300" s="292" t="str">
        <f>IFERROR(__xludf.DUMMYFUNCTION("IFERROR(
  INDEX(
    FILTER(
      'Juma Recording forms'!$G:$G,
      TRIM('Juma Recording forms'!$F:$F) = TRIM($B300),
      'Juma Recording forms'!$AA:$AA = 4
    ),
    1
  ),
  ""Not Found""
)"),"Not Found")</f>
        <v>Not Found</v>
      </c>
      <c r="AJ300" s="292" t="str">
        <f>IFERROR(__xludf.DUMMYFUNCTION("IFERROR(
  INDEX(
    FILTER(
      'Juma Recording forms'!$G:$G,
      TRIM('Juma Recording forms'!$F:$F) = TRIM($B300),
      'Juma Recording forms'!$AA:$AA = 5
    ),
    1
  ),
  ""Not Found""
)"),"Not Found")</f>
        <v>Not Found</v>
      </c>
      <c r="AK300" s="292" t="str">
        <f>IFERROR(__xludf.DUMMYFUNCTION("IFERROR(
  INDEX(
    FILTER(
      'Juma Recording forms'!$G:$G,
      TRIM('Juma Recording forms'!$F:$F) = TRIM($B300),
      'Juma Recording forms'!$AA:$AA = 6
    ),
    1
  ),
  ""Not Found""
)"),"Not Found")</f>
        <v>Not Found</v>
      </c>
      <c r="AL3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1!$E:$E"")=$B300) *
        (IMPORTRANGE(""https://docs.google.com/spreadsheets/d/161aHT6vVT3SLneTKD19N5qVWtnj_jIT8CSsOmUVKmaA/e"&amp;"dit?gid=1761053510"",
          ""Haris_Form responses 1!$AQ:$AQ"")=1)
      ),
      1
    ),
    ""0""
  ),
  ""Form not found""
)
"),"0")</f>
        <v>0</v>
      </c>
      <c r="AM3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1!$E:$E"")=$B300) *
        (IMPORTRANGE(""https://docs.google.com/spreadsheets/d/161aHT6vVT3SLneTKD19N5qVWtnj_jIT8CSsOmUVKmaA/e"&amp;"dit?gid=1761053510"",
          ""Haris_Form responses 1!$AQ:$AQ"")=2)
      ),
      1
    ),
    ""0""
  ),
  ""Form not found""
)
"),"Form not found")</f>
        <v>Form not found</v>
      </c>
      <c r="AN3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1!$E:$E"")=$B300) *
        (IMPORTRANGE(""https://docs.google.com/spreadsheets/d/161aHT6vVT3SLneTKD19N5qVWtnj_jIT8CSsOmUVKmaA/e"&amp;"dit?gid=1761053510"",
          ""Haris_Form responses 1!$AQ:$AQ"")=3)
      ),
      1
    ),
    ""0""
  ),
  ""Form not found""
)
"),"0")</f>
        <v>0</v>
      </c>
      <c r="AO3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1!$E:$E"")=$B300) *
        (IMPORTRANGE(""https://docs.google.com/spreadsheets/d/161aHT6vVT3SLneTKD19N5qVWtnj_jIT8CSsOmUVKmaA/e"&amp;"dit?gid=1761053510"",
          ""Haris_Form responses 1!$AQ:$AQ"")=4)
      ),
      1
    ),
    ""0""
  ),
  ""Form not found""
)
"),"Form not found")</f>
        <v>Form not found</v>
      </c>
      <c r="AP3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1!$E:$E"")=$B300) *
        (IMPORTRANGE(""https://docs.google.com/spreadsheets/d/161aHT6vVT3SLneTKD19N5qVWtnj_jIT8CSsOmUVKmaA/e"&amp;"dit?gid=1761053510"",
          ""Haris_Form responses 1!$AQ:$AQ"")=5)
      ),
      1
    ),
    ""0""
  ),
  ""Form not found""
)
"),"Form not found")</f>
        <v>Form not found</v>
      </c>
      <c r="AQ30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1!$E:$E"")=$B300) *
        (IMPORTRANGE(""https://docs.google.com/spreadsheets/d/161aHT6vVT3SLneTKD19N5qVWtnj_jIT8CSsOmUVKmaA/e"&amp;"dit?gid=1761053510"",
          ""Haris_Form responses 1!$AQ:$AQ"")=6)
      ),
      1
    ),
    ""0""
  ),
  ""Form not found""
)
"),"Form not found")</f>
        <v>Form not found</v>
      </c>
      <c r="AR3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1!$E:$E"")=$B300) *
        (IMPORTRANGE(""https://docs.google.com/spreadsheets/d/161aHT6vVT3SLneTKD19N5qVWtnj_jIT8CSsOmUVKmaA/e"&amp;"dit?gid=1761053510"",
          ""Haris_Form responses 1!$AQ:$AQ"")=1)
      ),
      1
    ),
    ""0""
  ),
  ""Form not found""
)
"),"0")</f>
        <v>0</v>
      </c>
      <c r="AS3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1!$E:$E"")=$B300) *
        (IMPORTRANGE(""https://docs.google.com/spreadsheets/d/161aHT6vVT3SLneTKD19N5qVWtnj_jIT8CSsOmUVKmaA/e"&amp;"dit?gid=1761053510"",
          ""Haris_Form responses 1!$AQ:$AQ"")=2)
      ),
      1
    ),
    ""0""
  ),
  ""Form not found""
)
"),"Form not found")</f>
        <v>Form not found</v>
      </c>
      <c r="AT3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1!$E:$E"")=$B300) *
        (IMPORTRANGE(""https://docs.google.com/spreadsheets/d/161aHT6vVT3SLneTKD19N5qVWtnj_jIT8CSsOmUVKmaA/e"&amp;"dit?gid=1761053510"",
          ""Haris_Form responses 1!$AQ:$AQ"")=3)
      ),
      1
    ),
    ""0""
  ),
  ""Form not found""
)
"),"0")</f>
        <v>0</v>
      </c>
      <c r="AU3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1!$E:$E"")=$B300) *
        (IMPORTRANGE(""https://docs.google.com/spreadsheets/d/161aHT6vVT3SLneTKD19N5qVWtnj_jIT8CSsOmUVKmaA/e"&amp;"dit?gid=1761053510"",
          ""Haris_Form responses 1!$AQ:$AQ"")=4)
      ),
      1
    ),
    ""0""
  ),
  ""Form not found""
)
"),"Form not found")</f>
        <v>Form not found</v>
      </c>
      <c r="AV3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1!$E:$E"")=$B300) *
        (IMPORTRANGE(""https://docs.google.com/spreadsheets/d/161aHT6vVT3SLneTKD19N5qVWtnj_jIT8CSsOmUVKmaA/e"&amp;"dit?gid=1761053510"",
          ""Haris_Form responses 1!$AQ:$AQ"")=5)
      ),
      1
    ),
    ""0""
  ),
  ""Form not found""
)
"),"Form not found")</f>
        <v>Form not found</v>
      </c>
      <c r="AW30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1!$E:$E"")=$B300) *
        (IMPORTRANGE(""https://docs.google.com/spreadsheets/d/161aHT6vVT3SLneTKD19N5qVWtnj_jIT8CSsOmUVKmaA/e"&amp;"dit?gid=1761053510"",
          ""Haris_Form responses 1!$AQ:$AQ"")=6)
      ),
      1
    ),
    ""0""
  ),
  ""Form not found""
)
"),"Form not found")</f>
        <v>Form not found</v>
      </c>
      <c r="AX3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1!$E:$E"")=$B300) *
        (IMPORTRANGE(""https://docs.google.com/spreadsheets/d/161aHT6vVT3SLneTKD19N5qVWtnj_jIT8CSsOmUVKmaA/e"&amp;"dit?gid=1761053510"",
          ""Haris_Form responses 1!$AQ:$AQ"")=1)
      ),
      1
    ),
    ""0""
  ),
  ""Form not found""
)
"),"0")</f>
        <v>0</v>
      </c>
      <c r="AY3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1!$E:$E"")=$B300) *
        (IMPORTRANGE(""https://docs.google.com/spreadsheets/d/161aHT6vVT3SLneTKD19N5qVWtnj_jIT8CSsOmUVKmaA/e"&amp;"dit?gid=1761053510"",
          ""Haris_Form responses 1!$AQ:$AQ"")=2)
      ),
      1
    ),
    ""0""
  ),
  ""Form not found""
)
"),"Form not found")</f>
        <v>Form not found</v>
      </c>
      <c r="AZ3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1!$E:$E"")=$B300) *
        (IMPORTRANGE(""https://docs.google.com/spreadsheets/d/161aHT6vVT3SLneTKD19N5qVWtnj_jIT8CSsOmUVKmaA/e"&amp;"dit?gid=1761053510"",
          ""Haris_Form responses 1!$AQ:$AQ"")=3)
      ),
      1
    ),
    ""0""
  ),
  ""Form not found""
)
"),"0")</f>
        <v>0</v>
      </c>
      <c r="BA3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1!$E:$E"")=$B300) *
        (IMPORTRANGE(""https://docs.google.com/spreadsheets/d/161aHT6vVT3SLneTKD19N5qVWtnj_jIT8CSsOmUVKmaA/e"&amp;"dit?gid=1761053510"",
          ""Haris_Form responses 1!$AQ:$AQ"")=4)
      ),
      1
    ),
    ""0""
  ),
  ""Form not found""
)
"),"Form not found")</f>
        <v>Form not found</v>
      </c>
      <c r="BB3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1!$E:$E"")=$B300) *
        (IMPORTRANGE(""https://docs.google.com/spreadsheets/d/161aHT6vVT3SLneTKD19N5qVWtnj_jIT8CSsOmUVKmaA/e"&amp;"dit?gid=1761053510"",
          ""Haris_Form responses 1!$AQ:$AQ"")=5)
      ),
      1
    ),
    ""0""
  ),
  ""Form not found""
)
"),"Form not found")</f>
        <v>Form not found</v>
      </c>
      <c r="BC30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1!$E:$E"")=$B300) *
        (IMPORTRANGE(""https://docs.google.com/spreadsheets/d/161aHT6vVT3SLneTKD19N5qVWtnj_jIT8CSsOmUVKmaA/e"&amp;"dit?gid=1761053510"",
          ""Haris_Form responses 1!$AQ:$AQ"")=6)
      ),
      1
    ),
    ""0""
  ),
  ""Form not found""
)
"),"Form not found")</f>
        <v>Form not found</v>
      </c>
      <c r="BD300" s="293"/>
    </row>
    <row r="301">
      <c r="A301" s="283" t="str">
        <f>IFERROR(__xludf.DUMMYFUNCTION("VLOOKUP($B301,IMPORTRANGE(""https://docs.google.com/spreadsheets/d/1VNXDITjs75AcgdBSW27oL1VZH31udDprJSsBcE5xlp4/edit?gid=1551188038#gid=1551188038"", ""Sheet9!$B:$E""),2,false)"),"Sahiwal")</f>
        <v>Sahiwal</v>
      </c>
      <c r="B301" s="283" t="s">
        <v>4688</v>
      </c>
      <c r="C301" s="284" t="str">
        <f>IFERROR(__xludf.DUMMYFUNCTION("VLOOKUP(TRIM($B301), IMPORTRANGE(""https://docs.google.com/spreadsheets/d/1aSOrU4PTpuBZqfitKaH1Rfww6-YOiNCKoBpPl8XBHaw/edit?gid=0#gid=0"", ""sheet3!$B:$C""), 2, FALSE)
"),"Jamia Masjid Gaalah Mandi Shahiwal")</f>
        <v>Jamia Masjid Gaalah Mandi Shahiwal</v>
      </c>
      <c r="D301" s="284" t="str">
        <f>IFERROR(__xludf.DUMMYFUNCTION("IFERROR(
  INDEX(
    FILTER(
      IMPORTRANGE(""1aSOrU4PTpuBZqfitKaH1Rfww6-YOiNCKoBpPl8XBHaw/edit?gid=0#gid=0"",""Sheet1!G:G""),
      IMPORTRANGE(""1aSOrU4PTpuBZqfitKaH1Rfww6-YOiNCKoBpPl8XBHaw/edit?gid=0#gid=0"",""Sheet1!C:C"")=$B301
    ),
    1
  ),
"&amp;"  ""Not Found""
)"),"Control")</f>
        <v>Control</v>
      </c>
      <c r="E301" s="284" t="str">
        <f>VLOOKUP(B301,'Juma Recording forms'!A:E,5,false)</f>
        <v>Jamia masjid ghallah mandi</v>
      </c>
      <c r="F301" s="284" t="str">
        <f>IFERROR(__xludf.DUMMYFUNCTION("IFERROR(
  INDEX(
    FILTER(
      IMPORTRANGE(""1Cxrhp3-_-HS7v9uuqQliiIfrmMP4VaFoDNDWyUFy2J8/edit?gid=0#gid=0"",""Sheet1!Q:Q""),
      IMPORTRANGE(""1Cxrhp3-_-HS7v9uuqQliiIfrmMP4VaFoDNDWyUFy2J8/edit?gid=0#gid=0"",""Sheet1!K:K"")=$B301
    ),
    1
  ),
"&amp;"  ""Not Found""
)"),"Qari abdul rehman")</f>
        <v>Qari abdul rehman</v>
      </c>
      <c r="G301" s="284">
        <v>1948.0</v>
      </c>
      <c r="H301" s="284"/>
      <c r="I301" s="285" t="s">
        <v>197</v>
      </c>
      <c r="J301" s="286">
        <v>2.0</v>
      </c>
      <c r="K301" s="287" t="str">
        <f>VLOOKUP($B301,'Mosque Locations'!$A:$E,3,FALSE)
</f>
        <v>https://maps.google.com/maps?q=30.653332%2C73.1066953&amp;z=17&amp;hl=en</v>
      </c>
      <c r="L301" s="286">
        <f>VLOOKUP($B301,'Mosque Locations'!$A:$E,4,FALSE)
</f>
        <v>30.65333</v>
      </c>
      <c r="M301" s="286">
        <f>VLOOKUP($B301,'Mosque Locations'!$A:$E,5,false)</f>
        <v>73.1067</v>
      </c>
      <c r="N301" s="288"/>
      <c r="O301" s="288"/>
      <c r="P301" s="288"/>
      <c r="Q301" s="290" t="str">
        <f>IFERROR(__xludf.DUMMYFUNCTION("IFERROR(
  INDEX(
    FILTER(
      IMPORTRANGE(""1kOrIKZmJfNUkgOVP3sI9BPjaaPA0_a4636oymQxTXg8"",""Form Responses 1!N:N""),
      TRIM(IMPORTRANGE(""1kOrIKZmJfNUkgOVP3sI9BPjaaPA0_a4636oymQxTXg8"",""Form Responses 1!F:F""))=TRIM($B301)
    ),
    1
  ),
  "&amp;"""Not Found""
)
"),"https://drive.google.com/open?id=1bm89FueoEdGIkJWNMKtX3SlE8gSqdk-C")</f>
        <v>https://drive.google.com/open?id=1bm89FueoEdGIkJWNMKtX3SlE8gSqdk-C</v>
      </c>
      <c r="R301" s="290" t="str">
        <f>IFERROR(__xludf.DUMMYFUNCTION("IFERROR(
  INDEX(
    FILTER(
      IMPORTRANGE(""1kOrIKZmJfNUkgOVP3sI9BPjaaPA0_a4636oymQxTXg8"",""Form Responses 1!M:M""),
      TRIM(IMPORTRANGE(""1kOrIKZmJfNUkgOVP3sI9BPjaaPA0_a4636oymQxTXg8"",""Form Responses 1!F:F""))=TRIM($B301)
    ),
    1
  ),
  "&amp;"""Not Found""
)
"),"https://drive.google.com/open?id=1llY_KcdNu_EWCbz5Jghh_zrXzKFAlN5m")</f>
        <v>https://drive.google.com/open?id=1llY_KcdNu_EWCbz5Jghh_zrXzKFAlN5m</v>
      </c>
      <c r="S301" s="285"/>
      <c r="T301" s="290" t="str">
        <f>VLOOKUP($B301,'Master Tracker'!D:E,2,false)</f>
        <v>https://drive.google.com/file/d/1uppktk-1XqyyomF3NM-x64YqwuvXB7jd/view?usp=drive_link</v>
      </c>
      <c r="U301" s="291" t="str">
        <f>VLOOKUP($B301,'Master Tracker'!$D:$T,4,FALSE)
</f>
        <v>https://drive.google.com/open?id=1keuMrxneNr9QcoBQxCVZ_ySbb12eLEpp4Bi1TSgoScg</v>
      </c>
      <c r="V301" s="284" t="str">
        <f>VLOOKUP($B301,'Master Tracker'!$D:$T,5,false)</f>
        <v>Not Found</v>
      </c>
      <c r="W301" s="292" t="str">
        <f>VLOOKUP($B301,'Master Tracker'!$D:$T,7,false)</f>
        <v>Not Found</v>
      </c>
      <c r="X301" s="290" t="str">
        <f>VLOOKUP($B301,'Master Tracker'!$D:$T,8,false)</f>
        <v>https://drive.google.com/file/d/1TGstwvHQM1UaFxwp--tEbCiyzteYNGhI/view?usp=drive_link</v>
      </c>
      <c r="Y301" s="291" t="str">
        <f>VLOOKUP($B301,'Master Tracker'!$D:$T,10,false)</f>
        <v>https://drive.google.com/open?id=1-kBIfVA31S8t6w-sMg-VsAPJR_K9D-c9</v>
      </c>
      <c r="Z301" s="284" t="str">
        <f>VLOOKUP($B301,'Master Tracker'!$D:$T,11,false)</f>
        <v>Not Found</v>
      </c>
      <c r="AA301" s="292" t="str">
        <f>VLOOKUP($B301,'Master Tracker'!$D:$T,13,false)</f>
        <v>Not Found</v>
      </c>
      <c r="AB301" s="284" t="str">
        <f>VLOOKUP($B301,'Master Tracker'!$D:$T,14,false)</f>
        <v>Not Found</v>
      </c>
      <c r="AC301" s="292" t="str">
        <f>VLOOKUP($B301,'Master Tracker'!$D:$T,16,false)</f>
        <v>Not Found</v>
      </c>
      <c r="AD301" s="292" t="str">
        <f>VLOOKUP($B301,'Master Tracker'!$D:$T,17,false)</f>
        <v>Not Found</v>
      </c>
      <c r="AE301" s="292" t="str">
        <f>VLOOKUP($B301,'Master Tracker'!$D:$V,19,false)</f>
        <v>Not Found</v>
      </c>
      <c r="AF301" s="292">
        <f>IFERROR(__xludf.DUMMYFUNCTION("IFERROR(
  INDEX(
    FILTER(
      'Juma Recording forms'!$G:$G,
      TRIM('Juma Recording forms'!$F:$F) = TRIM($B301),
      'Juma Recording forms'!$AA:$AA = 1
    ),
    1
  ),
  ""Not Found""
)"),380.0)</f>
        <v>380</v>
      </c>
      <c r="AG301" s="292" t="str">
        <f>IFERROR(__xludf.DUMMYFUNCTION("IFERROR(
  INDEX(
    FILTER(
      'Juma Recording forms'!$G:$G,
      TRIM('Juma Recording forms'!$F:$F) = TRIM($B301),
      'Juma Recording forms'!$AA:$AA = 2
    ),
    1
  ),
  ""Not Found""
)"),"Not Found")</f>
        <v>Not Found</v>
      </c>
      <c r="AH301" s="292">
        <f>IFERROR(__xludf.DUMMYFUNCTION("IFERROR(
  INDEX(
    FILTER(
      'Juma Recording forms'!$G:$G,
      TRIM('Juma Recording forms'!$F:$F) = TRIM($B301),
      'Juma Recording forms'!$AA:$AA = 3
    ),
    1
  ),
  ""Not Found""
)"),380.0)</f>
        <v>380</v>
      </c>
      <c r="AI301" s="292" t="str">
        <f>IFERROR(__xludf.DUMMYFUNCTION("IFERROR(
  INDEX(
    FILTER(
      'Juma Recording forms'!$G:$G,
      TRIM('Juma Recording forms'!$F:$F) = TRIM($B301),
      'Juma Recording forms'!$AA:$AA = 4
    ),
    1
  ),
  ""Not Found""
)"),"Not Found")</f>
        <v>Not Found</v>
      </c>
      <c r="AJ301" s="292" t="str">
        <f>IFERROR(__xludf.DUMMYFUNCTION("IFERROR(
  INDEX(
    FILTER(
      'Juma Recording forms'!$G:$G,
      TRIM('Juma Recording forms'!$F:$F) = TRIM($B301),
      'Juma Recording forms'!$AA:$AA = 5
    ),
    1
  ),
  ""Not Found""
)"),"Not Found")</f>
        <v>Not Found</v>
      </c>
      <c r="AK301" s="292" t="str">
        <f>IFERROR(__xludf.DUMMYFUNCTION("IFERROR(
  INDEX(
    FILTER(
      'Juma Recording forms'!$G:$G,
      TRIM('Juma Recording forms'!$F:$F) = TRIM($B301),
      'Juma Recording forms'!$AA:$AA = 6
    ),
    1
  ),
  ""Not Found""
)"),"Not Found")</f>
        <v>Not Found</v>
      </c>
      <c r="AL3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1!$E:$E"")=$B301) *
        (IMPORTRANGE(""https://docs.google.com/spreadsheets/d/161aHT6vVT3SLneTKD19N5qVWtnj_jIT8CSsOmUVKmaA/e"&amp;"dit?gid=1761053510"",
          ""Haris_Form responses 1!$AQ:$AQ"")=1)
      ),
      1
    ),
    ""0""
  ),
  ""Form not found""
)
"),"0")</f>
        <v>0</v>
      </c>
      <c r="AM3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1!$E:$E"")=$B301) *
        (IMPORTRANGE(""https://docs.google.com/spreadsheets/d/161aHT6vVT3SLneTKD19N5qVWtnj_jIT8CSsOmUVKmaA/e"&amp;"dit?gid=1761053510"",
          ""Haris_Form responses 1!$AQ:$AQ"")=2)
      ),
      1
    ),
    ""0""
  ),
  ""Form not found""
)
"),"Form not found")</f>
        <v>Form not found</v>
      </c>
      <c r="AN3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1!$E:$E"")=$B301) *
        (IMPORTRANGE(""https://docs.google.com/spreadsheets/d/161aHT6vVT3SLneTKD19N5qVWtnj_jIT8CSsOmUVKmaA/e"&amp;"dit?gid=1761053510"",
          ""Haris_Form responses 1!$AQ:$AQ"")=3)
      ),
      1
    ),
    ""0""
  ),
  ""Form not found""
)
"),"0")</f>
        <v>0</v>
      </c>
      <c r="AO3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1!$E:$E"")=$B301) *
        (IMPORTRANGE(""https://docs.google.com/spreadsheets/d/161aHT6vVT3SLneTKD19N5qVWtnj_jIT8CSsOmUVKmaA/e"&amp;"dit?gid=1761053510"",
          ""Haris_Form responses 1!$AQ:$AQ"")=4)
      ),
      1
    ),
    ""0""
  ),
  ""Form not found""
)
"),"Form not found")</f>
        <v>Form not found</v>
      </c>
      <c r="AP3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1!$E:$E"")=$B301) *
        (IMPORTRANGE(""https://docs.google.com/spreadsheets/d/161aHT6vVT3SLneTKD19N5qVWtnj_jIT8CSsOmUVKmaA/e"&amp;"dit?gid=1761053510"",
          ""Haris_Form responses 1!$AQ:$AQ"")=5)
      ),
      1
    ),
    ""0""
  ),
  ""Form not found""
)
"),"Form not found")</f>
        <v>Form not found</v>
      </c>
      <c r="AQ301"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1!$E:$E"")=$B301) *
        (IMPORTRANGE(""https://docs.google.com/spreadsheets/d/161aHT6vVT3SLneTKD19N5qVWtnj_jIT8CSsOmUVKmaA/e"&amp;"dit?gid=1761053510"",
          ""Haris_Form responses 1!$AQ:$AQ"")=6)
      ),
      1
    ),
    ""0""
  ),
  ""Form not found""
)
"),"Form not found")</f>
        <v>Form not found</v>
      </c>
      <c r="AR3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1!$E:$E"")=$B301) *
        (IMPORTRANGE(""https://docs.google.com/spreadsheets/d/161aHT6vVT3SLneTKD19N5qVWtnj_jIT8CSsOmUVKmaA/e"&amp;"dit?gid=1761053510"",
          ""Haris_Form responses 1!$AQ:$AQ"")=1)
      ),
      1
    ),
    ""0""
  ),
  ""Form not found""
)
"),"0")</f>
        <v>0</v>
      </c>
      <c r="AS3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1!$E:$E"")=$B301) *
        (IMPORTRANGE(""https://docs.google.com/spreadsheets/d/161aHT6vVT3SLneTKD19N5qVWtnj_jIT8CSsOmUVKmaA/e"&amp;"dit?gid=1761053510"",
          ""Haris_Form responses 1!$AQ:$AQ"")=2)
      ),
      1
    ),
    ""0""
  ),
  ""Form not found""
)
"),"Form not found")</f>
        <v>Form not found</v>
      </c>
      <c r="AT3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1!$E:$E"")=$B301) *
        (IMPORTRANGE(""https://docs.google.com/spreadsheets/d/161aHT6vVT3SLneTKD19N5qVWtnj_jIT8CSsOmUVKmaA/e"&amp;"dit?gid=1761053510"",
          ""Haris_Form responses 1!$AQ:$AQ"")=3)
      ),
      1
    ),
    ""0""
  ),
  ""Form not found""
)
"),"0")</f>
        <v>0</v>
      </c>
      <c r="AU3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1!$E:$E"")=$B301) *
        (IMPORTRANGE(""https://docs.google.com/spreadsheets/d/161aHT6vVT3SLneTKD19N5qVWtnj_jIT8CSsOmUVKmaA/e"&amp;"dit?gid=1761053510"",
          ""Haris_Form responses 1!$AQ:$AQ"")=4)
      ),
      1
    ),
    ""0""
  ),
  ""Form not found""
)
"),"Form not found")</f>
        <v>Form not found</v>
      </c>
      <c r="AV3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1!$E:$E"")=$B301) *
        (IMPORTRANGE(""https://docs.google.com/spreadsheets/d/161aHT6vVT3SLneTKD19N5qVWtnj_jIT8CSsOmUVKmaA/e"&amp;"dit?gid=1761053510"",
          ""Haris_Form responses 1!$AQ:$AQ"")=5)
      ),
      1
    ),
    ""0""
  ),
  ""Form not found""
)
"),"Form not found")</f>
        <v>Form not found</v>
      </c>
      <c r="AW301"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1!$E:$E"")=$B301) *
        (IMPORTRANGE(""https://docs.google.com/spreadsheets/d/161aHT6vVT3SLneTKD19N5qVWtnj_jIT8CSsOmUVKmaA/e"&amp;"dit?gid=1761053510"",
          ""Haris_Form responses 1!$AQ:$AQ"")=6)
      ),
      1
    ),
    ""0""
  ),
  ""Form not found""
)
"),"Form not found")</f>
        <v>Form not found</v>
      </c>
      <c r="AX3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1!$E:$E"")=$B301) *
        (IMPORTRANGE(""https://docs.google.com/spreadsheets/d/161aHT6vVT3SLneTKD19N5qVWtnj_jIT8CSsOmUVKmaA/e"&amp;"dit?gid=1761053510"",
          ""Haris_Form responses 1!$AQ:$AQ"")=1)
      ),
      1
    ),
    ""0""
  ),
  ""Form not found""
)
"),"0")</f>
        <v>0</v>
      </c>
      <c r="AY3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1!$E:$E"")=$B301) *
        (IMPORTRANGE(""https://docs.google.com/spreadsheets/d/161aHT6vVT3SLneTKD19N5qVWtnj_jIT8CSsOmUVKmaA/e"&amp;"dit?gid=1761053510"",
          ""Haris_Form responses 1!$AQ:$AQ"")=2)
      ),
      1
    ),
    ""0""
  ),
  ""Form not found""
)
"),"Form not found")</f>
        <v>Form not found</v>
      </c>
      <c r="AZ3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1!$E:$E"")=$B301) *
        (IMPORTRANGE(""https://docs.google.com/spreadsheets/d/161aHT6vVT3SLneTKD19N5qVWtnj_jIT8CSsOmUVKmaA/e"&amp;"dit?gid=1761053510"",
          ""Haris_Form responses 1!$AQ:$AQ"")=3)
      ),
      1
    ),
    ""0""
  ),
  ""Form not found""
)
"),"0")</f>
        <v>0</v>
      </c>
      <c r="BA3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1!$E:$E"")=$B301) *
        (IMPORTRANGE(""https://docs.google.com/spreadsheets/d/161aHT6vVT3SLneTKD19N5qVWtnj_jIT8CSsOmUVKmaA/e"&amp;"dit?gid=1761053510"",
          ""Haris_Form responses 1!$AQ:$AQ"")=4)
      ),
      1
    ),
    ""0""
  ),
  ""Form not found""
)
"),"Form not found")</f>
        <v>Form not found</v>
      </c>
      <c r="BB3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1!$E:$E"")=$B301) *
        (IMPORTRANGE(""https://docs.google.com/spreadsheets/d/161aHT6vVT3SLneTKD19N5qVWtnj_jIT8CSsOmUVKmaA/e"&amp;"dit?gid=1761053510"",
          ""Haris_Form responses 1!$AQ:$AQ"")=5)
      ),
      1
    ),
    ""0""
  ),
  ""Form not found""
)
"),"Form not found")</f>
        <v>Form not found</v>
      </c>
      <c r="BC301"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1!$E:$E"")=$B301) *
        (IMPORTRANGE(""https://docs.google.com/spreadsheets/d/161aHT6vVT3SLneTKD19N5qVWtnj_jIT8CSsOmUVKmaA/e"&amp;"dit?gid=1761053510"",
          ""Haris_Form responses 1!$AQ:$AQ"")=6)
      ),
      1
    ),
    ""0""
  ),
  ""Form not found""
)
"),"Form not found")</f>
        <v>Form not found</v>
      </c>
      <c r="BD301" s="293"/>
    </row>
    <row r="302">
      <c r="A302" s="283" t="str">
        <f>IFERROR(__xludf.DUMMYFUNCTION("VLOOKUP($B302,IMPORTRANGE(""https://docs.google.com/spreadsheets/d/1VNXDITjs75AcgdBSW27oL1VZH31udDprJSsBcE5xlp4/edit?gid=1551188038#gid=1551188038"", ""Sheet9!$B:$E""),2,false)"),"Sahiwal")</f>
        <v>Sahiwal</v>
      </c>
      <c r="B302" s="283" t="s">
        <v>4689</v>
      </c>
      <c r="C302" s="284" t="str">
        <f>IFERROR(__xludf.DUMMYFUNCTION("VLOOKUP(TRIM($B302), IMPORTRANGE(""https://docs.google.com/spreadsheets/d/1aSOrU4PTpuBZqfitKaH1Rfww6-YOiNCKoBpPl8XBHaw/edit?gid=0#gid=0"", ""sheet3!$B:$C""), 2, FALSE)
"),"Jamia Masjid Eid Gah Shahiwal")</f>
        <v>Jamia Masjid Eid Gah Shahiwal</v>
      </c>
      <c r="D302" s="284" t="str">
        <f>IFERROR(__xludf.DUMMYFUNCTION("IFERROR(
  INDEX(
    FILTER(
      IMPORTRANGE(""1aSOrU4PTpuBZqfitKaH1Rfww6-YOiNCKoBpPl8XBHaw/edit?gid=0#gid=0"",""Sheet1!G:G""),
      IMPORTRANGE(""1aSOrU4PTpuBZqfitKaH1Rfww6-YOiNCKoBpPl8XBHaw/edit?gid=0#gid=0"",""Sheet1!C:C"")=$B302
    ),
    1
  ),
"&amp;"  ""Not Found""
)"),"Control")</f>
        <v>Control</v>
      </c>
      <c r="E302" s="284" t="str">
        <f>VLOOKUP(B302,'Juma Recording forms'!A:E,5,false)</f>
        <v>Jamia Masjid Eid gah Sahiwal </v>
      </c>
      <c r="F302" s="284" t="str">
        <f>IFERROR(__xludf.DUMMYFUNCTION("IFERROR(
  INDEX(
    FILTER(
      IMPORTRANGE(""1Cxrhp3-_-HS7v9uuqQliiIfrmMP4VaFoDNDWyUFy2J8/edit?gid=0#gid=0"",""Sheet1!Q:Q""),
      IMPORTRANGE(""1Cxrhp3-_-HS7v9uuqQliiIfrmMP4VaFoDNDWyUFy2J8/edit?gid=0#gid=0"",""Sheet1!K:K"")=$B302
    ),
    1
  ),
"&amp;"  ""Not Found""
)"),"Mulana abdul basit")</f>
        <v>Mulana abdul basit</v>
      </c>
      <c r="G302" s="284">
        <v>1912.0</v>
      </c>
      <c r="H302" s="284"/>
      <c r="I302" s="285" t="s">
        <v>401</v>
      </c>
      <c r="J302" s="286">
        <v>2.0</v>
      </c>
      <c r="K302" s="287" t="str">
        <f>VLOOKUP($B302,'Mosque Locations'!$A:$E,3,FALSE)
</f>
        <v>https://maps.google.com/maps?q=30.6597964%2C73.10988&amp;z=17&amp;hl=en</v>
      </c>
      <c r="L302" s="286">
        <f>VLOOKUP($B302,'Mosque Locations'!$A:$E,4,FALSE)
</f>
        <v>30.6598</v>
      </c>
      <c r="M302" s="286">
        <f>VLOOKUP($B302,'Mosque Locations'!$A:$E,5,false)</f>
        <v>73.10988</v>
      </c>
      <c r="N302" s="288"/>
      <c r="O302" s="288"/>
      <c r="P302" s="288"/>
      <c r="Q302" s="295" t="str">
        <f>IFERROR(__xludf.DUMMYFUNCTION("IFERROR(
  INDEX(
    FILTER(
      IMPORTRANGE(""1kOrIKZmJfNUkgOVP3sI9BPjaaPA0_a4636oymQxTXg8"",""Form Responses 1!N:N""),
      TRIM(IMPORTRANGE(""1kOrIKZmJfNUkgOVP3sI9BPjaaPA0_a4636oymQxTXg8"",""Form Responses 1!F:F""))=TRIM($B302)
    ),
    1
  ),
  "&amp;"""Not Found""
)
"),"https://drive.google.com/open?id=1nWd92VDK_nZgK-zm-L9e8SxiYfgU7YSP")</f>
        <v>https://drive.google.com/open?id=1nWd92VDK_nZgK-zm-L9e8SxiYfgU7YSP</v>
      </c>
      <c r="R302" s="290" t="str">
        <f>IFERROR(__xludf.DUMMYFUNCTION("IFERROR(
  INDEX(
    FILTER(
      IMPORTRANGE(""1kOrIKZmJfNUkgOVP3sI9BPjaaPA0_a4636oymQxTXg8"",""Form Responses 1!M:M""),
      TRIM(IMPORTRANGE(""1kOrIKZmJfNUkgOVP3sI9BPjaaPA0_a4636oymQxTXg8"",""Form Responses 1!F:F""))=TRIM($B302)
    ),
    1
  ),
  "&amp;"""Not Found""
)
"),"https://drive.google.com/open?id=16bgZave3L0tRg-f8iXsJ46uYdnITm0yO")</f>
        <v>https://drive.google.com/open?id=16bgZave3L0tRg-f8iXsJ46uYdnITm0yO</v>
      </c>
      <c r="S302" s="285"/>
      <c r="T302" s="290" t="str">
        <f>VLOOKUP($B302,'Master Tracker'!D:E,2,false)</f>
        <v>https://drive.google.com/file/d/1216Tn0ckwQv7SnJPE8bep8szzAgEae5n/view?usp=drive_link</v>
      </c>
      <c r="U302" s="291" t="str">
        <f>VLOOKUP($B302,'Master Tracker'!$D:$T,4,FALSE)
</f>
        <v>https://drive.google.com/open?id=1ez7AyexLOWhILx5t8dyQXYd_RW_N82Xm9kOaXiJD0KQ</v>
      </c>
      <c r="V302" s="284" t="str">
        <f>VLOOKUP($B302,'Master Tracker'!$D:$T,5,false)</f>
        <v>Not Found</v>
      </c>
      <c r="W302" s="292" t="str">
        <f>VLOOKUP($B302,'Master Tracker'!$D:$T,7,false)</f>
        <v>Not Found</v>
      </c>
      <c r="X302" s="290" t="str">
        <f>VLOOKUP($B302,'Master Tracker'!$D:$T,8,false)</f>
        <v>https://drive.google.com/file/d/1PC9t-b3j7TVVhRGQHyOoS97Y4rJRRhDr/view?usp=drive_link</v>
      </c>
      <c r="Y302" s="291" t="str">
        <f>VLOOKUP($B302,'Master Tracker'!$D:$T,10,false)</f>
        <v>https://drive.google.com/open?id=1h5bqUCtyu8sfbr0CVDK8Zo6ASFse2Y4g4h-BTd3zwvI</v>
      </c>
      <c r="Z302" s="284" t="str">
        <f>VLOOKUP($B302,'Master Tracker'!$D:$T,11,false)</f>
        <v>Not Found</v>
      </c>
      <c r="AA302" s="292" t="str">
        <f>VLOOKUP($B302,'Master Tracker'!$D:$T,13,false)</f>
        <v>Not Found</v>
      </c>
      <c r="AB302" s="284" t="str">
        <f>VLOOKUP($B302,'Master Tracker'!$D:$T,14,false)</f>
        <v>Not Found</v>
      </c>
      <c r="AC302" s="292" t="str">
        <f>VLOOKUP($B302,'Master Tracker'!$D:$T,16,false)</f>
        <v>Not Found</v>
      </c>
      <c r="AD302" s="292" t="str">
        <f>VLOOKUP($B302,'Master Tracker'!$D:$T,17,false)</f>
        <v>Not Found</v>
      </c>
      <c r="AE302" s="292" t="str">
        <f>VLOOKUP($B302,'Master Tracker'!$D:$V,19,false)</f>
        <v>Not Found</v>
      </c>
      <c r="AF302" s="292">
        <f>IFERROR(__xludf.DUMMYFUNCTION("IFERROR(
  INDEX(
    FILTER(
      'Juma Recording forms'!$G:$G,
      TRIM('Juma Recording forms'!$F:$F) = TRIM($B302),
      'Juma Recording forms'!$AA:$AA = 1
    ),
    1
  ),
  ""Not Found""
)"),600.0)</f>
        <v>600</v>
      </c>
      <c r="AG302" s="292" t="str">
        <f>IFERROR(__xludf.DUMMYFUNCTION("IFERROR(
  INDEX(
    FILTER(
      'Juma Recording forms'!$G:$G,
      TRIM('Juma Recording forms'!$F:$F) = TRIM($B302),
      'Juma Recording forms'!$AA:$AA = 2
    ),
    1
  ),
  ""Not Found""
)"),"Not Found")</f>
        <v>Not Found</v>
      </c>
      <c r="AH302" s="292">
        <f>IFERROR(__xludf.DUMMYFUNCTION("IFERROR(
  INDEX(
    FILTER(
      'Juma Recording forms'!$G:$G,
      TRIM('Juma Recording forms'!$F:$F) = TRIM($B302),
      'Juma Recording forms'!$AA:$AA = 3
    ),
    1
  ),
  ""Not Found""
)"),500.0)</f>
        <v>500</v>
      </c>
      <c r="AI302" s="292" t="str">
        <f>IFERROR(__xludf.DUMMYFUNCTION("IFERROR(
  INDEX(
    FILTER(
      'Juma Recording forms'!$G:$G,
      TRIM('Juma Recording forms'!$F:$F) = TRIM($B302),
      'Juma Recording forms'!$AA:$AA = 4
    ),
    1
  ),
  ""Not Found""
)"),"Not Found")</f>
        <v>Not Found</v>
      </c>
      <c r="AJ302" s="292" t="str">
        <f>IFERROR(__xludf.DUMMYFUNCTION("IFERROR(
  INDEX(
    FILTER(
      'Juma Recording forms'!$G:$G,
      TRIM('Juma Recording forms'!$F:$F) = TRIM($B302),
      'Juma Recording forms'!$AA:$AA = 5
    ),
    1
  ),
  ""Not Found""
)"),"Not Found")</f>
        <v>Not Found</v>
      </c>
      <c r="AK302" s="292" t="str">
        <f>IFERROR(__xludf.DUMMYFUNCTION("IFERROR(
  INDEX(
    FILTER(
      'Juma Recording forms'!$G:$G,
      TRIM('Juma Recording forms'!$F:$F) = TRIM($B302),
      'Juma Recording forms'!$AA:$AA = 6
    ),
    1
  ),
  ""Not Found""
)"),"Not Found")</f>
        <v>Not Found</v>
      </c>
      <c r="AL3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1!$E:$E"")=$B302) *
        (IMPORTRANGE(""https://docs.google.com/spreadsheets/d/161aHT6vVT3SLneTKD19N5qVWtnj_jIT8CSsOmUVKmaA/e"&amp;"dit?gid=1761053510"",
          ""Haris_Form responses 1!$AQ:$AQ"")=1)
      ),
      1
    ),
    ""0""
  ),
  ""Form not found""
)
"),"0")</f>
        <v>0</v>
      </c>
      <c r="AM3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1!$E:$E"")=$B302) *
        (IMPORTRANGE(""https://docs.google.com/spreadsheets/d/161aHT6vVT3SLneTKD19N5qVWtnj_jIT8CSsOmUVKmaA/e"&amp;"dit?gid=1761053510"",
          ""Haris_Form responses 1!$AQ:$AQ"")=2)
      ),
      1
    ),
    ""0""
  ),
  ""Form not found""
)
"),"Form not found")</f>
        <v>Form not found</v>
      </c>
      <c r="AN3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1!$E:$E"")=$B302) *
        (IMPORTRANGE(""https://docs.google.com/spreadsheets/d/161aHT6vVT3SLneTKD19N5qVWtnj_jIT8CSsOmUVKmaA/e"&amp;"dit?gid=1761053510"",
          ""Haris_Form responses 1!$AQ:$AQ"")=3)
      ),
      1
    ),
    ""0""
  ),
  ""Form not found""
)
"),"0")</f>
        <v>0</v>
      </c>
      <c r="AO3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1!$E:$E"")=$B302) *
        (IMPORTRANGE(""https://docs.google.com/spreadsheets/d/161aHT6vVT3SLneTKD19N5qVWtnj_jIT8CSsOmUVKmaA/e"&amp;"dit?gid=1761053510"",
          ""Haris_Form responses 1!$AQ:$AQ"")=4)
      ),
      1
    ),
    ""0""
  ),
  ""Form not found""
)
"),"Form not found")</f>
        <v>Form not found</v>
      </c>
      <c r="AP3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1!$E:$E"")=$B302) *
        (IMPORTRANGE(""https://docs.google.com/spreadsheets/d/161aHT6vVT3SLneTKD19N5qVWtnj_jIT8CSsOmUVKmaA/e"&amp;"dit?gid=1761053510"",
          ""Haris_Form responses 1!$AQ:$AQ"")=5)
      ),
      1
    ),
    ""0""
  ),
  ""Form not found""
)
"),"Form not found")</f>
        <v>Form not found</v>
      </c>
      <c r="AQ302"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1!$E:$E"")=$B302) *
        (IMPORTRANGE(""https://docs.google.com/spreadsheets/d/161aHT6vVT3SLneTKD19N5qVWtnj_jIT8CSsOmUVKmaA/e"&amp;"dit?gid=1761053510"",
          ""Haris_Form responses 1!$AQ:$AQ"")=6)
      ),
      1
    ),
    ""0""
  ),
  ""Form not found""
)
"),"Form not found")</f>
        <v>Form not found</v>
      </c>
      <c r="AR3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1!$E:$E"")=$B302) *
        (IMPORTRANGE(""https://docs.google.com/spreadsheets/d/161aHT6vVT3SLneTKD19N5qVWtnj_jIT8CSsOmUVKmaA/e"&amp;"dit?gid=1761053510"",
          ""Haris_Form responses 1!$AQ:$AQ"")=1)
      ),
      1
    ),
    ""0""
  ),
  ""Form not found""
)
"),"0")</f>
        <v>0</v>
      </c>
      <c r="AS3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1!$E:$E"")=$B302) *
        (IMPORTRANGE(""https://docs.google.com/spreadsheets/d/161aHT6vVT3SLneTKD19N5qVWtnj_jIT8CSsOmUVKmaA/e"&amp;"dit?gid=1761053510"",
          ""Haris_Form responses 1!$AQ:$AQ"")=2)
      ),
      1
    ),
    ""0""
  ),
  ""Form not found""
)
"),"Form not found")</f>
        <v>Form not found</v>
      </c>
      <c r="AT3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1!$E:$E"")=$B302) *
        (IMPORTRANGE(""https://docs.google.com/spreadsheets/d/161aHT6vVT3SLneTKD19N5qVWtnj_jIT8CSsOmUVKmaA/e"&amp;"dit?gid=1761053510"",
          ""Haris_Form responses 1!$AQ:$AQ"")=3)
      ),
      1
    ),
    ""0""
  ),
  ""Form not found""
)
"),"0")</f>
        <v>0</v>
      </c>
      <c r="AU3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1!$E:$E"")=$B302) *
        (IMPORTRANGE(""https://docs.google.com/spreadsheets/d/161aHT6vVT3SLneTKD19N5qVWtnj_jIT8CSsOmUVKmaA/e"&amp;"dit?gid=1761053510"",
          ""Haris_Form responses 1!$AQ:$AQ"")=4)
      ),
      1
    ),
    ""0""
  ),
  ""Form not found""
)
"),"Form not found")</f>
        <v>Form not found</v>
      </c>
      <c r="AV3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1!$E:$E"")=$B302) *
        (IMPORTRANGE(""https://docs.google.com/spreadsheets/d/161aHT6vVT3SLneTKD19N5qVWtnj_jIT8CSsOmUVKmaA/e"&amp;"dit?gid=1761053510"",
          ""Haris_Form responses 1!$AQ:$AQ"")=5)
      ),
      1
    ),
    ""0""
  ),
  ""Form not found""
)
"),"Form not found")</f>
        <v>Form not found</v>
      </c>
      <c r="AW302"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1!$E:$E"")=$B302) *
        (IMPORTRANGE(""https://docs.google.com/spreadsheets/d/161aHT6vVT3SLneTKD19N5qVWtnj_jIT8CSsOmUVKmaA/e"&amp;"dit?gid=1761053510"",
          ""Haris_Form responses 1!$AQ:$AQ"")=6)
      ),
      1
    ),
    ""0""
  ),
  ""Form not found""
)
"),"Form not found")</f>
        <v>Form not found</v>
      </c>
      <c r="AX3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1!$E:$E"")=$B302) *
        (IMPORTRANGE(""https://docs.google.com/spreadsheets/d/161aHT6vVT3SLneTKD19N5qVWtnj_jIT8CSsOmUVKmaA/e"&amp;"dit?gid=1761053510"",
          ""Haris_Form responses 1!$AQ:$AQ"")=1)
      ),
      1
    ),
    ""0""
  ),
  ""Form not found""
)
"),"0")</f>
        <v>0</v>
      </c>
      <c r="AY3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1!$E:$E"")=$B302) *
        (IMPORTRANGE(""https://docs.google.com/spreadsheets/d/161aHT6vVT3SLneTKD19N5qVWtnj_jIT8CSsOmUVKmaA/e"&amp;"dit?gid=1761053510"",
          ""Haris_Form responses 1!$AQ:$AQ"")=2)
      ),
      1
    ),
    ""0""
  ),
  ""Form not found""
)
"),"Form not found")</f>
        <v>Form not found</v>
      </c>
      <c r="AZ3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1!$E:$E"")=$B302) *
        (IMPORTRANGE(""https://docs.google.com/spreadsheets/d/161aHT6vVT3SLneTKD19N5qVWtnj_jIT8CSsOmUVKmaA/e"&amp;"dit?gid=1761053510"",
          ""Haris_Form responses 1!$AQ:$AQ"")=3)
      ),
      1
    ),
    ""0""
  ),
  ""Form not found""
)
"),"0")</f>
        <v>0</v>
      </c>
      <c r="BA3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1!$E:$E"")=$B302) *
        (IMPORTRANGE(""https://docs.google.com/spreadsheets/d/161aHT6vVT3SLneTKD19N5qVWtnj_jIT8CSsOmUVKmaA/e"&amp;"dit?gid=1761053510"",
          ""Haris_Form responses 1!$AQ:$AQ"")=4)
      ),
      1
    ),
    ""0""
  ),
  ""Form not found""
)
"),"Form not found")</f>
        <v>Form not found</v>
      </c>
      <c r="BB3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1!$E:$E"")=$B302) *
        (IMPORTRANGE(""https://docs.google.com/spreadsheets/d/161aHT6vVT3SLneTKD19N5qVWtnj_jIT8CSsOmUVKmaA/e"&amp;"dit?gid=1761053510"",
          ""Haris_Form responses 1!$AQ:$AQ"")=5)
      ),
      1
    ),
    ""0""
  ),
  ""Form not found""
)
"),"Form not found")</f>
        <v>Form not found</v>
      </c>
      <c r="BC302"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1!$E:$E"")=$B302) *
        (IMPORTRANGE(""https://docs.google.com/spreadsheets/d/161aHT6vVT3SLneTKD19N5qVWtnj_jIT8CSsOmUVKmaA/e"&amp;"dit?gid=1761053510"",
          ""Haris_Form responses 1!$AQ:$AQ"")=6)
      ),
      1
    ),
    ""0""
  ),
  ""Form not found""
)
"),"Form not found")</f>
        <v>Form not found</v>
      </c>
      <c r="BD302" s="293"/>
    </row>
    <row r="303">
      <c r="A303" s="283" t="str">
        <f>IFERROR(__xludf.DUMMYFUNCTION("VLOOKUP($B303,IMPORTRANGE(""https://docs.google.com/spreadsheets/d/1VNXDITjs75AcgdBSW27oL1VZH31udDprJSsBcE5xlp4/edit?gid=1551188038#gid=1551188038"", ""Sheet9!$B:$E""),2,false)"),"Sahiwal")</f>
        <v>Sahiwal</v>
      </c>
      <c r="B303" s="283" t="s">
        <v>4690</v>
      </c>
      <c r="C303" s="284" t="str">
        <f>IFERROR(__xludf.DUMMYFUNCTION("VLOOKUP(TRIM($B303), IMPORTRANGE(""https://docs.google.com/spreadsheets/d/1aSOrU4PTpuBZqfitKaH1Rfww6-YOiNCKoBpPl8XBHaw/edit?gid=0#gid=0"", ""sheet3!$B:$C""), 2, FALSE)
"),"Jamia Masjid Sunhari Gol Chowk Sahiwal")</f>
        <v>Jamia Masjid Sunhari Gol Chowk Sahiwal</v>
      </c>
      <c r="D303" s="284" t="str">
        <f>IFERROR(__xludf.DUMMYFUNCTION("IFERROR(
  INDEX(
    FILTER(
      IMPORTRANGE(""1aSOrU4PTpuBZqfitKaH1Rfww6-YOiNCKoBpPl8XBHaw/edit?gid=0#gid=0"",""Sheet1!G:G""),
      IMPORTRANGE(""1aSOrU4PTpuBZqfitKaH1Rfww6-YOiNCKoBpPl8XBHaw/edit?gid=0#gid=0"",""Sheet1!C:C"")=$B303
    ),
    1
  ),
"&amp;"  ""Not Found""
)"),"Women Religious Info Share")</f>
        <v>Women Religious Info Share</v>
      </c>
      <c r="E303" s="284" t="str">
        <f>VLOOKUP(B303,'Juma Recording forms'!A:E,5,false)</f>
        <v>Jamia masjid sohnairy gol chakar</v>
      </c>
      <c r="F303" s="284" t="str">
        <f>IFERROR(__xludf.DUMMYFUNCTION("IFERROR(
  INDEX(
    FILTER(
      IMPORTRANGE(""1Cxrhp3-_-HS7v9uuqQliiIfrmMP4VaFoDNDWyUFy2J8/edit?gid=0#gid=0"",""Sheet1!Q:Q""),
      IMPORTRANGE(""1Cxrhp3-_-HS7v9uuqQliiIfrmMP4VaFoDNDWyUFy2J8/edit?gid=0#gid=0"",""Sheet1!K:K"")=$B303
    ),
    1
  ),
"&amp;"  ""Not Found""
)"),"Mazhar farit shah")</f>
        <v>Mazhar farit shah</v>
      </c>
      <c r="G303" s="292">
        <v>1950.0</v>
      </c>
      <c r="H303" s="284"/>
      <c r="I303" s="285" t="s">
        <v>401</v>
      </c>
      <c r="J303" s="286">
        <v>2.0</v>
      </c>
      <c r="K303" s="287" t="str">
        <f>VLOOKUP($B303,'Mosque Locations'!$A:$E,3,FALSE)
</f>
        <v>https://www.google.com/maps?q=30.6682914,73.1088151</v>
      </c>
      <c r="L303" s="286">
        <f>VLOOKUP($B303,'Mosque Locations'!$A:$E,4,FALSE)
</f>
        <v>30.66829</v>
      </c>
      <c r="M303" s="286">
        <f>VLOOKUP($B303,'Mosque Locations'!$A:$E,5,false)</f>
        <v>73.10882</v>
      </c>
      <c r="N303" s="288"/>
      <c r="O303" s="288"/>
      <c r="P303" s="288"/>
      <c r="Q303" s="295" t="str">
        <f>IFERROR(__xludf.DUMMYFUNCTION("IFERROR(
  INDEX(
    FILTER(
      IMPORTRANGE(""1kOrIKZmJfNUkgOVP3sI9BPjaaPA0_a4636oymQxTXg8"",""Form Responses 1!N:N""),
      TRIM(IMPORTRANGE(""1kOrIKZmJfNUkgOVP3sI9BPjaaPA0_a4636oymQxTXg8"",""Form Responses 1!F:F""))=TRIM($B303)
    ),
    1
  ),
  "&amp;"""Not Found""
)
"),"https://drive.google.com/file/d/1tLeVniv4q36jh1a7xLkvO-BkZb9Z98lt/view?usp=drive_link")</f>
        <v>https://drive.google.com/file/d/1tLeVniv4q36jh1a7xLkvO-BkZb9Z98lt/view?usp=drive_link</v>
      </c>
      <c r="R303" s="295" t="str">
        <f>IFERROR(__xludf.DUMMYFUNCTION("IFERROR(
  INDEX(
    FILTER(
      IMPORTRANGE(""1kOrIKZmJfNUkgOVP3sI9BPjaaPA0_a4636oymQxTXg8"",""Form Responses 1!M:M""),
      TRIM(IMPORTRANGE(""1kOrIKZmJfNUkgOVP3sI9BPjaaPA0_a4636oymQxTXg8"",""Form Responses 1!F:F""))=TRIM($B303)
    ),
    1
  ),
  "&amp;"""Not Found""
)
"),"https://drive.google.com/file/d/1xk8rmubHgTI8gs2poFR7SzTMj77Xg1rS/view?usp=drive_link")</f>
        <v>https://drive.google.com/file/d/1xk8rmubHgTI8gs2poFR7SzTMj77Xg1rS/view?usp=drive_link</v>
      </c>
      <c r="S303" s="285"/>
      <c r="T303" s="290" t="str">
        <f>VLOOKUP($B303,'Master Tracker'!D:E,2,false)</f>
        <v>https://drive.google.com/open?id=1GuLVHpTNdTmWoG_XZXTqmLUsfwvuDckb</v>
      </c>
      <c r="U303" s="291" t="str">
        <f>VLOOKUP($B303,'Master Tracker'!$D:$T,4,FALSE)
</f>
        <v>https://drive.google.com/open?id=1ZHIjqScwqHl3Ttn0g_yj-ZbY8P9YmGLQxfzX8C3qCpo</v>
      </c>
      <c r="V303" s="290" t="str">
        <f>VLOOKUP($B303,'Master Tracker'!$D:$T,5,false)</f>
        <v>https://drive.google.com/open?id=16dn2o3l0Gv1jMXhCjtY3Yw9z6YvNVTAG</v>
      </c>
      <c r="W303" s="291" t="str">
        <f>VLOOKUP($B303,'Master Tracker'!$D:$T,7,false)</f>
        <v>https://drive.google.com/open?id=1YctZSSIfmv3fCeCgWcxMkaeOygTXGLeM</v>
      </c>
      <c r="X303" s="290" t="str">
        <f>VLOOKUP($B303,'Master Tracker'!$D:$T,8,false)</f>
        <v>https://drive.google.com/open?id=1m9trDQ2cln7oGVlvz1IfKqixlikoZkL3</v>
      </c>
      <c r="Y303" s="291" t="str">
        <f>VLOOKUP($B303,'Master Tracker'!$D:$T,10,false)</f>
        <v>https://drive.google.com/open?id=1_qVx8NTTjXcITSLQjXh_OXqxXQ5N3RxgdiBaDNBiPDg</v>
      </c>
      <c r="Z303" s="284" t="str">
        <f>VLOOKUP($B303,'Master Tracker'!$D:$T,11,false)</f>
        <v>Not Found</v>
      </c>
      <c r="AA303" s="292" t="str">
        <f>VLOOKUP($B303,'Master Tracker'!$D:$T,13,false)</f>
        <v>Not Found</v>
      </c>
      <c r="AB303" s="284" t="str">
        <f>VLOOKUP($B303,'Master Tracker'!$D:$T,14,false)</f>
        <v>Not Found</v>
      </c>
      <c r="AC303" s="292" t="str">
        <f>VLOOKUP($B303,'Master Tracker'!$D:$T,16,false)</f>
        <v>Not Found</v>
      </c>
      <c r="AD303" s="292" t="str">
        <f>VLOOKUP($B303,'Master Tracker'!$D:$T,17,false)</f>
        <v>Not Found</v>
      </c>
      <c r="AE303" s="292" t="str">
        <f>VLOOKUP($B303,'Master Tracker'!$D:$V,19,false)</f>
        <v>Not Found</v>
      </c>
      <c r="AF303" s="292">
        <f>IFERROR(__xludf.DUMMYFUNCTION("IFERROR(
  INDEX(
    FILTER(
      'Juma Recording forms'!$G:$G,
      TRIM('Juma Recording forms'!$F:$F) = TRIM($B303),
      'Juma Recording forms'!$AA:$AA = 1
    ),
    1
  ),
  ""Not Found""
)"),3000.0)</f>
        <v>3000</v>
      </c>
      <c r="AG303" s="292">
        <f>IFERROR(__xludf.DUMMYFUNCTION("IFERROR(
  INDEX(
    FILTER(
      'Juma Recording forms'!$G:$G,
      TRIM('Juma Recording forms'!$F:$F) = TRIM($B303),
      'Juma Recording forms'!$AA:$AA = 2
    ),
    1
  ),
  ""Not Found""
)"),3000.0)</f>
        <v>3000</v>
      </c>
      <c r="AH303" s="292">
        <f>IFERROR(__xludf.DUMMYFUNCTION("IFERROR(
  INDEX(
    FILTER(
      'Juma Recording forms'!$G:$G,
      TRIM('Juma Recording forms'!$F:$F) = TRIM($B303),
      'Juma Recording forms'!$AA:$AA = 3
    ),
    1
  ),
  ""Not Found""
)"),3000.0)</f>
        <v>3000</v>
      </c>
      <c r="AI303" s="292" t="str">
        <f>IFERROR(__xludf.DUMMYFUNCTION("IFERROR(
  INDEX(
    FILTER(
      'Juma Recording forms'!$G:$G,
      TRIM('Juma Recording forms'!$F:$F) = TRIM($B303),
      'Juma Recording forms'!$AA:$AA = 4
    ),
    1
  ),
  ""Not Found""
)"),"Not Found")</f>
        <v>Not Found</v>
      </c>
      <c r="AJ303" s="292" t="str">
        <f>IFERROR(__xludf.DUMMYFUNCTION("IFERROR(
  INDEX(
    FILTER(
      'Juma Recording forms'!$G:$G,
      TRIM('Juma Recording forms'!$F:$F) = TRIM($B303),
      'Juma Recording forms'!$AA:$AA = 5
    ),
    1
  ),
  ""Not Found""
)"),"Not Found")</f>
        <v>Not Found</v>
      </c>
      <c r="AK303" s="292" t="str">
        <f>IFERROR(__xludf.DUMMYFUNCTION("IFERROR(
  INDEX(
    FILTER(
      'Juma Recording forms'!$G:$G,
      TRIM('Juma Recording forms'!$F:$F) = TRIM($B303),
      'Juma Recording forms'!$AA:$AA = 6
    ),
    1
  ),
  ""Not Found""
)"),"Not Found")</f>
        <v>Not Found</v>
      </c>
      <c r="AL3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1!$E:$E"")=$B303) *
        (IMPORTRANGE(""https://docs.google.com/spreadsheets/d/161aHT6vVT3SLneTKD19N5qVWtnj_jIT8CSsOmUVKmaA/e"&amp;"dit?gid=1761053510"",
          ""Haris_Form responses 1!$AQ:$AQ"")=1)
      ),
      1
    ),
    ""0""
  ),
  ""Form not found""
)
"),"9")</f>
        <v>9</v>
      </c>
      <c r="AM3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1!$E:$E"")=$B303) *
        (IMPORTRANGE(""https://docs.google.com/spreadsheets/d/161aHT6vVT3SLneTKD19N5qVWtnj_jIT8CSsOmUVKmaA/e"&amp;"dit?gid=1761053510"",
          ""Haris_Form responses 1!$AQ:$AQ"")=2)
      ),
      1
    ),
    ""0""
  ),
  ""Form not found""
)
"),"9")</f>
        <v>9</v>
      </c>
      <c r="AN3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1!$E:$E"")=$B303) *
        (IMPORTRANGE(""https://docs.google.com/spreadsheets/d/161aHT6vVT3SLneTKD19N5qVWtnj_jIT8CSsOmUVKmaA/e"&amp;"dit?gid=1761053510"",
          ""Haris_Form responses 1!$AQ:$AQ"")=3)
      ),
      1
    ),
    ""0""
  ),
  ""Form not found""
)
"),"0")</f>
        <v>0</v>
      </c>
      <c r="AO3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1!$E:$E"")=$B303) *
        (IMPORTRANGE(""https://docs.google.com/spreadsheets/d/161aHT6vVT3SLneTKD19N5qVWtnj_jIT8CSsOmUVKmaA/e"&amp;"dit?gid=1761053510"",
          ""Haris_Form responses 1!$AQ:$AQ"")=4)
      ),
      1
    ),
    ""0""
  ),
  ""Form not found""
)
"),"Form not found")</f>
        <v>Form not found</v>
      </c>
      <c r="AP3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1!$E:$E"")=$B303) *
        (IMPORTRANGE(""https://docs.google.com/spreadsheets/d/161aHT6vVT3SLneTKD19N5qVWtnj_jIT8CSsOmUVKmaA/e"&amp;"dit?gid=1761053510"",
          ""Haris_Form responses 1!$AQ:$AQ"")=5)
      ),
      1
    ),
    ""0""
  ),
  ""Form not found""
)
"),"Form not found")</f>
        <v>Form not found</v>
      </c>
      <c r="AQ303"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1!$E:$E"")=$B303) *
        (IMPORTRANGE(""https://docs.google.com/spreadsheets/d/161aHT6vVT3SLneTKD19N5qVWtnj_jIT8CSsOmUVKmaA/e"&amp;"dit?gid=1761053510"",
          ""Haris_Form responses 1!$AQ:$AQ"")=6)
      ),
      1
    ),
    ""0""
  ),
  ""Form not found""
)
"),"Form not found")</f>
        <v>Form not found</v>
      </c>
      <c r="AR3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1!$E:$E"")=$B303) *
        (IMPORTRANGE(""https://docs.google.com/spreadsheets/d/161aHT6vVT3SLneTKD19N5qVWtnj_jIT8CSsOmUVKmaA/e"&amp;"dit?gid=1761053510"",
          ""Haris_Form responses 1!$AQ:$AQ"")=1)
      ),
      1
    ),
    ""0""
  ),
  ""Form not found""
)
"),"0")</f>
        <v>0</v>
      </c>
      <c r="AS3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1!$E:$E"")=$B303) *
        (IMPORTRANGE(""https://docs.google.com/spreadsheets/d/161aHT6vVT3SLneTKD19N5qVWtnj_jIT8CSsOmUVKmaA/e"&amp;"dit?gid=1761053510"",
          ""Haris_Form responses 1!$AQ:$AQ"")=2)
      ),
      1
    ),
    ""0""
  ),
  ""Form not found""
)
"),"0")</f>
        <v>0</v>
      </c>
      <c r="AT3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1!$E:$E"")=$B303) *
        (IMPORTRANGE(""https://docs.google.com/spreadsheets/d/161aHT6vVT3SLneTKD19N5qVWtnj_jIT8CSsOmUVKmaA/e"&amp;"dit?gid=1761053510"",
          ""Haris_Form responses 1!$AQ:$AQ"")=3)
      ),
      1
    ),
    ""0""
  ),
  ""Form not found""
)
"),"0")</f>
        <v>0</v>
      </c>
      <c r="AU3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1!$E:$E"")=$B303) *
        (IMPORTRANGE(""https://docs.google.com/spreadsheets/d/161aHT6vVT3SLneTKD19N5qVWtnj_jIT8CSsOmUVKmaA/e"&amp;"dit?gid=1761053510"",
          ""Haris_Form responses 1!$AQ:$AQ"")=4)
      ),
      1
    ),
    ""0""
  ),
  ""Form not found""
)
"),"Form not found")</f>
        <v>Form not found</v>
      </c>
      <c r="AV3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1!$E:$E"")=$B303) *
        (IMPORTRANGE(""https://docs.google.com/spreadsheets/d/161aHT6vVT3SLneTKD19N5qVWtnj_jIT8CSsOmUVKmaA/e"&amp;"dit?gid=1761053510"",
          ""Haris_Form responses 1!$AQ:$AQ"")=5)
      ),
      1
    ),
    ""0""
  ),
  ""Form not found""
)
"),"Form not found")</f>
        <v>Form not found</v>
      </c>
      <c r="AW303"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1!$E:$E"")=$B303) *
        (IMPORTRANGE(""https://docs.google.com/spreadsheets/d/161aHT6vVT3SLneTKD19N5qVWtnj_jIT8CSsOmUVKmaA/e"&amp;"dit?gid=1761053510"",
          ""Haris_Form responses 1!$AQ:$AQ"")=6)
      ),
      1
    ),
    ""0""
  ),
  ""Form not found""
)
"),"Form not found")</f>
        <v>Form not found</v>
      </c>
      <c r="AX3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1!$E:$E"")=$B303) *
        (IMPORTRANGE(""https://docs.google.com/spreadsheets/d/161aHT6vVT3SLneTKD19N5qVWtnj_jIT8CSsOmUVKmaA/e"&amp;"dit?gid=1761053510"",
          ""Haris_Form responses 1!$AQ:$AQ"")=1)
      ),
      1
    ),
    ""0""
  ),
  ""Form not found""
)
"),"9")</f>
        <v>9</v>
      </c>
      <c r="AY3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1!$E:$E"")=$B303) *
        (IMPORTRANGE(""https://docs.google.com/spreadsheets/d/161aHT6vVT3SLneTKD19N5qVWtnj_jIT8CSsOmUVKmaA/e"&amp;"dit?gid=1761053510"",
          ""Haris_Form responses 1!$AQ:$AQ"")=2)
      ),
      1
    ),
    ""0""
  ),
  ""Form not found""
)
"),"8")</f>
        <v>8</v>
      </c>
      <c r="AZ3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1!$E:$E"")=$B303) *
        (IMPORTRANGE(""https://docs.google.com/spreadsheets/d/161aHT6vVT3SLneTKD19N5qVWtnj_jIT8CSsOmUVKmaA/e"&amp;"dit?gid=1761053510"",
          ""Haris_Form responses 1!$AQ:$AQ"")=3)
      ),
      1
    ),
    ""0""
  ),
  ""Form not found""
)
"),"0")</f>
        <v>0</v>
      </c>
      <c r="BA3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1!$E:$E"")=$B303) *
        (IMPORTRANGE(""https://docs.google.com/spreadsheets/d/161aHT6vVT3SLneTKD19N5qVWtnj_jIT8CSsOmUVKmaA/e"&amp;"dit?gid=1761053510"",
          ""Haris_Form responses 1!$AQ:$AQ"")=4)
      ),
      1
    ),
    ""0""
  ),
  ""Form not found""
)
"),"Form not found")</f>
        <v>Form not found</v>
      </c>
      <c r="BB3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1!$E:$E"")=$B303) *
        (IMPORTRANGE(""https://docs.google.com/spreadsheets/d/161aHT6vVT3SLneTKD19N5qVWtnj_jIT8CSsOmUVKmaA/e"&amp;"dit?gid=1761053510"",
          ""Haris_Form responses 1!$AQ:$AQ"")=5)
      ),
      1
    ),
    ""0""
  ),
  ""Form not found""
)
"),"Form not found")</f>
        <v>Form not found</v>
      </c>
      <c r="BC303"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1!$E:$E"")=$B303) *
        (IMPORTRANGE(""https://docs.google.com/spreadsheets/d/161aHT6vVT3SLneTKD19N5qVWtnj_jIT8CSsOmUVKmaA/e"&amp;"dit?gid=1761053510"",
          ""Haris_Form responses 1!$AQ:$AQ"")=6)
      ),
      1
    ),
    ""0""
  ),
  ""Form not found""
)
"),"Form not found")</f>
        <v>Form not found</v>
      </c>
      <c r="BD303" s="293"/>
    </row>
    <row r="304">
      <c r="A304" s="283" t="str">
        <f>IFERROR(__xludf.DUMMYFUNCTION("VLOOKUP($B304,IMPORTRANGE(""https://docs.google.com/spreadsheets/d/1VNXDITjs75AcgdBSW27oL1VZH31udDprJSsBcE5xlp4/edit?gid=1551188038#gid=1551188038"", ""Sheet9!$B:$E""),2,false)"),"Sahiwal")</f>
        <v>Sahiwal</v>
      </c>
      <c r="B304" s="283" t="s">
        <v>4691</v>
      </c>
      <c r="C304" s="284" t="str">
        <f>IFERROR(__xludf.DUMMYFUNCTION("VLOOKUP(TRIM($B304), IMPORTRANGE(""https://docs.google.com/spreadsheets/d/1aSOrU4PTpuBZqfitKaH1Rfww6-YOiNCKoBpPl8XBHaw/edit?gid=0#gid=0"", ""sheet3!$B:$C""), 2, FALSE)
"),"Jamia Masjid Chila Gha Sheer Shah Wali")</f>
        <v>Jamia Masjid Chila Gha Sheer Shah Wali</v>
      </c>
      <c r="D304" s="284" t="str">
        <f>IFERROR(__xludf.DUMMYFUNCTION("IFERROR(
  INDEX(
    FILTER(
      IMPORTRANGE(""1aSOrU4PTpuBZqfitKaH1Rfww6-YOiNCKoBpPl8XBHaw/edit?gid=0#gid=0"",""Sheet1!G:G""),
      IMPORTRANGE(""1aSOrU4PTpuBZqfitKaH1Rfww6-YOiNCKoBpPl8XBHaw/edit?gid=0#gid=0"",""Sheet1!C:C"")=$B304
    ),
    1
  ),
"&amp;"  ""Not Found""
)"),"Women Religious Info Share")</f>
        <v>Women Religious Info Share</v>
      </c>
      <c r="E304" s="284" t="str">
        <f>VLOOKUP(B304,'Juma Recording forms'!A:E,5,false)</f>
        <v>Jamia masjid chila Gah shair shah wali</v>
      </c>
      <c r="F304" s="284" t="str">
        <f>IFERROR(__xludf.DUMMYFUNCTION("IFERROR(
  INDEX(
    FILTER(
      IMPORTRANGE(""1Cxrhp3-_-HS7v9uuqQliiIfrmMP4VaFoDNDWyUFy2J8/edit?gid=0#gid=0"",""Sheet1!Q:Q""),
      IMPORTRANGE(""1Cxrhp3-_-HS7v9uuqQliiIfrmMP4VaFoDNDWyUFy2J8/edit?gid=0#gid=0"",""Sheet1!K:K"")=$B304
    ),
    1
  ),
"&amp;"  ""Not Found""
)"),"Molana zFar hussain")</f>
        <v>Molana zFar hussain</v>
      </c>
      <c r="G304" s="284">
        <v>1990.0</v>
      </c>
      <c r="H304" s="284" t="s">
        <v>4906</v>
      </c>
      <c r="I304" s="285" t="s">
        <v>197</v>
      </c>
      <c r="J304" s="286">
        <v>2.0</v>
      </c>
      <c r="K304" s="287" t="str">
        <f>VLOOKUP($B304,'Mosque Locations'!$A:$E,3,FALSE)
</f>
        <v>https://maps.google.com/maps?q=30.650259017944336%2C73.09505462646484&amp;z=17&amp;hl=en</v>
      </c>
      <c r="L304" s="286">
        <f>VLOOKUP($B304,'Mosque Locations'!$A:$E,4,FALSE)
</f>
        <v>30.65026</v>
      </c>
      <c r="M304" s="286">
        <f>VLOOKUP($B304,'Mosque Locations'!$A:$E,5,false)</f>
        <v>73.09505</v>
      </c>
      <c r="N304" s="288"/>
      <c r="O304" s="288"/>
      <c r="P304" s="288"/>
      <c r="Q304" s="290" t="str">
        <f>IFERROR(__xludf.DUMMYFUNCTION("IFERROR(
  INDEX(
    FILTER(
      IMPORTRANGE(""1kOrIKZmJfNUkgOVP3sI9BPjaaPA0_a4636oymQxTXg8"",""Form Responses 1!N:N""),
      TRIM(IMPORTRANGE(""1kOrIKZmJfNUkgOVP3sI9BPjaaPA0_a4636oymQxTXg8"",""Form Responses 1!F:F""))=TRIM($B304)
    ),
    1
  ),
  "&amp;"""Not Found""
)
"),"https://drive.google.com/open?id=1f_KOZh3foyGHJ6Latr7QKUr-1vyiwNo-")</f>
        <v>https://drive.google.com/open?id=1f_KOZh3foyGHJ6Latr7QKUr-1vyiwNo-</v>
      </c>
      <c r="R304" s="295" t="str">
        <f>IFERROR(__xludf.DUMMYFUNCTION("IFERROR(
  INDEX(
    FILTER(
      IMPORTRANGE(""1kOrIKZmJfNUkgOVP3sI9BPjaaPA0_a4636oymQxTXg8"",""Form Responses 1!M:M""),
      TRIM(IMPORTRANGE(""1kOrIKZmJfNUkgOVP3sI9BPjaaPA0_a4636oymQxTXg8"",""Form Responses 1!F:F""))=TRIM($B304)
    ),
    1
  ),
  "&amp;"""Not Found""
)
"),"https://drive.google.com/file/d/1cyNmz9UCrl5sZzTEY5wU36xYRLhnvCJK/view?usp=drive_link")</f>
        <v>https://drive.google.com/file/d/1cyNmz9UCrl5sZzTEY5wU36xYRLhnvCJK/view?usp=drive_link</v>
      </c>
      <c r="S304" s="285"/>
      <c r="T304" s="290" t="str">
        <f>VLOOKUP($B304,'Master Tracker'!D:E,2,false)</f>
        <v>https://drive.google.com/file/d/1MyeVG7yAekK_Wv7ZkwfpzeDzZAn5bEa1/view?usp=sharing</v>
      </c>
      <c r="U304" s="291" t="str">
        <f>VLOOKUP($B304,'Master Tracker'!$D:$T,4,FALSE)
</f>
        <v>https://drive.google.com/open?id=18TO5x23qkGyzi3HCOHHtyvdVJYhKGgmNP0kcf78AU-8</v>
      </c>
      <c r="V304" s="290" t="str">
        <f>VLOOKUP($B304,'Master Tracker'!$D:$T,5,false)</f>
        <v>https://drive.google.com/file/d/1jbV-U_JloAEs1D9Mijyo8UVFzoZYSVdm/view?usp=drive_link</v>
      </c>
      <c r="W304" s="291" t="str">
        <f>VLOOKUP($B304,'Master Tracker'!$D:$T,7,false)</f>
        <v>https://drive.google.com/open?id=16XxulU7NImY8epFvLJhY1KAIS98lFRUH</v>
      </c>
      <c r="X304" s="290" t="str">
        <f>VLOOKUP($B304,'Master Tracker'!$D:$T,8,false)</f>
        <v>https://drive.google.com/file/d/1O5BgxIC_pJtrOa32O6U_NYGapHjhZIjO/view?usp=drive_link</v>
      </c>
      <c r="Y304" s="291" t="str">
        <f>VLOOKUP($B304,'Master Tracker'!$D:$T,10,false)</f>
        <v>https://drive.google.com/open?id=1DR7E4i61ocPmweaEFVabAn0KwYsycgfY</v>
      </c>
      <c r="Z304" s="284" t="str">
        <f>VLOOKUP($B304,'Master Tracker'!$D:$T,11,false)</f>
        <v>Not Found</v>
      </c>
      <c r="AA304" s="292" t="str">
        <f>VLOOKUP($B304,'Master Tracker'!$D:$T,13,false)</f>
        <v>Not Found</v>
      </c>
      <c r="AB304" s="284" t="str">
        <f>VLOOKUP($B304,'Master Tracker'!$D:$T,14,false)</f>
        <v>Not Found</v>
      </c>
      <c r="AC304" s="292" t="str">
        <f>VLOOKUP($B304,'Master Tracker'!$D:$T,16,false)</f>
        <v>Not Found</v>
      </c>
      <c r="AD304" s="292" t="str">
        <f>VLOOKUP($B304,'Master Tracker'!$D:$T,17,false)</f>
        <v>Not Found</v>
      </c>
      <c r="AE304" s="292" t="str">
        <f>VLOOKUP($B304,'Master Tracker'!$D:$V,19,false)</f>
        <v>Not Found</v>
      </c>
      <c r="AF304" s="292">
        <f>IFERROR(__xludf.DUMMYFUNCTION("IFERROR(
  INDEX(
    FILTER(
      'Juma Recording forms'!$G:$G,
      TRIM('Juma Recording forms'!$F:$F) = TRIM($B304),
      'Juma Recording forms'!$AA:$AA = 1
    ),
    1
  ),
  ""Not Found""
)"),550.0)</f>
        <v>550</v>
      </c>
      <c r="AG304" s="292">
        <f>IFERROR(__xludf.DUMMYFUNCTION("IFERROR(
  INDEX(
    FILTER(
      'Juma Recording forms'!$G:$G,
      TRIM('Juma Recording forms'!$F:$F) = TRIM($B304),
      'Juma Recording forms'!$AA:$AA = 2
    ),
    1
  ),
  ""Not Found""
)"),550.0)</f>
        <v>550</v>
      </c>
      <c r="AH304" s="292">
        <f>IFERROR(__xludf.DUMMYFUNCTION("IFERROR(
  INDEX(
    FILTER(
      'Juma Recording forms'!$G:$G,
      TRIM('Juma Recording forms'!$F:$F) = TRIM($B304),
      'Juma Recording forms'!$AA:$AA = 3
    ),
    1
  ),
  ""Not Found""
)"),550.0)</f>
        <v>550</v>
      </c>
      <c r="AI304" s="292" t="str">
        <f>IFERROR(__xludf.DUMMYFUNCTION("IFERROR(
  INDEX(
    FILTER(
      'Juma Recording forms'!$G:$G,
      TRIM('Juma Recording forms'!$F:$F) = TRIM($B304),
      'Juma Recording forms'!$AA:$AA = 4
    ),
    1
  ),
  ""Not Found""
)"),"Not Found")</f>
        <v>Not Found</v>
      </c>
      <c r="AJ304" s="292" t="str">
        <f>IFERROR(__xludf.DUMMYFUNCTION("IFERROR(
  INDEX(
    FILTER(
      'Juma Recording forms'!$G:$G,
      TRIM('Juma Recording forms'!$F:$F) = TRIM($B304),
      'Juma Recording forms'!$AA:$AA = 5
    ),
    1
  ),
  ""Not Found""
)"),"Not Found")</f>
        <v>Not Found</v>
      </c>
      <c r="AK304" s="292" t="str">
        <f>IFERROR(__xludf.DUMMYFUNCTION("IFERROR(
  INDEX(
    FILTER(
      'Juma Recording forms'!$G:$G,
      TRIM('Juma Recording forms'!$F:$F) = TRIM($B304),
      'Juma Recording forms'!$AA:$AA = 6
    ),
    1
  ),
  ""Not Found""
)"),"Not Found")</f>
        <v>Not Found</v>
      </c>
      <c r="AL3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1!$E:$E"")=$B304) *
        (IMPORTRANGE(""https://docs.google.com/spreadsheets/d/161aHT6vVT3SLneTKD19N5qVWtnj_jIT8CSsOmUVKmaA/e"&amp;"dit?gid=1761053510"",
          ""Haris_Form responses 1!$AQ:$AQ"")=1)
      ),
      1
    ),
    ""0""
  ),
  ""Form not found""
)
"),"9")</f>
        <v>9</v>
      </c>
      <c r="AM3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1!$E:$E"")=$B304) *
        (IMPORTRANGE(""https://docs.google.com/spreadsheets/d/161aHT6vVT3SLneTKD19N5qVWtnj_jIT8CSsOmUVKmaA/e"&amp;"dit?gid=1761053510"",
          ""Haris_Form responses 1!$AQ:$AQ"")=2)
      ),
      1
    ),
    ""0""
  ),
  ""Form not found""
)
"),"10")</f>
        <v>10</v>
      </c>
      <c r="AN3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1!$E:$E"")=$B304) *
        (IMPORTRANGE(""https://docs.google.com/spreadsheets/d/161aHT6vVT3SLneTKD19N5qVWtnj_jIT8CSsOmUVKmaA/e"&amp;"dit?gid=1761053510"",
          ""Haris_Form responses 1!$AQ:$AQ"")=3)
      ),
      1
    ),
    ""0""
  ),
  ""Form not found""
)
"),"0")</f>
        <v>0</v>
      </c>
      <c r="AO3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1!$E:$E"")=$B304) *
        (IMPORTRANGE(""https://docs.google.com/spreadsheets/d/161aHT6vVT3SLneTKD19N5qVWtnj_jIT8CSsOmUVKmaA/e"&amp;"dit?gid=1761053510"",
          ""Haris_Form responses 1!$AQ:$AQ"")=4)
      ),
      1
    ),
    ""0""
  ),
  ""Form not found""
)
"),"Form not found")</f>
        <v>Form not found</v>
      </c>
      <c r="AP3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1!$E:$E"")=$B304) *
        (IMPORTRANGE(""https://docs.google.com/spreadsheets/d/161aHT6vVT3SLneTKD19N5qVWtnj_jIT8CSsOmUVKmaA/e"&amp;"dit?gid=1761053510"",
          ""Haris_Form responses 1!$AQ:$AQ"")=5)
      ),
      1
    ),
    ""0""
  ),
  ""Form not found""
)
"),"Form not found")</f>
        <v>Form not found</v>
      </c>
      <c r="AQ304"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1!$E:$E"")=$B304) *
        (IMPORTRANGE(""https://docs.google.com/spreadsheets/d/161aHT6vVT3SLneTKD19N5qVWtnj_jIT8CSsOmUVKmaA/e"&amp;"dit?gid=1761053510"",
          ""Haris_Form responses 1!$AQ:$AQ"")=6)
      ),
      1
    ),
    ""0""
  ),
  ""Form not found""
)
"),"Form not found")</f>
        <v>Form not found</v>
      </c>
      <c r="AR3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1!$E:$E"")=$B304) *
        (IMPORTRANGE(""https://docs.google.com/spreadsheets/d/161aHT6vVT3SLneTKD19N5qVWtnj_jIT8CSsOmUVKmaA/e"&amp;"dit?gid=1761053510"",
          ""Haris_Form responses 1!$AQ:$AQ"")=1)
      ),
      1
    ),
    ""0""
  ),
  ""Form not found""
)
"),"0")</f>
        <v>0</v>
      </c>
      <c r="AS3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1!$E:$E"")=$B304) *
        (IMPORTRANGE(""https://docs.google.com/spreadsheets/d/161aHT6vVT3SLneTKD19N5qVWtnj_jIT8CSsOmUVKmaA/e"&amp;"dit?gid=1761053510"",
          ""Haris_Form responses 1!$AQ:$AQ"")=2)
      ),
      1
    ),
    ""0""
  ),
  ""Form not found""
)
"),"0")</f>
        <v>0</v>
      </c>
      <c r="AT3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1!$E:$E"")=$B304) *
        (IMPORTRANGE(""https://docs.google.com/spreadsheets/d/161aHT6vVT3SLneTKD19N5qVWtnj_jIT8CSsOmUVKmaA/e"&amp;"dit?gid=1761053510"",
          ""Haris_Form responses 1!$AQ:$AQ"")=3)
      ),
      1
    ),
    ""0""
  ),
  ""Form not found""
)
"),"0")</f>
        <v>0</v>
      </c>
      <c r="AU3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1!$E:$E"")=$B304) *
        (IMPORTRANGE(""https://docs.google.com/spreadsheets/d/161aHT6vVT3SLneTKD19N5qVWtnj_jIT8CSsOmUVKmaA/e"&amp;"dit?gid=1761053510"",
          ""Haris_Form responses 1!$AQ:$AQ"")=4)
      ),
      1
    ),
    ""0""
  ),
  ""Form not found""
)
"),"Form not found")</f>
        <v>Form not found</v>
      </c>
      <c r="AV3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1!$E:$E"")=$B304) *
        (IMPORTRANGE(""https://docs.google.com/spreadsheets/d/161aHT6vVT3SLneTKD19N5qVWtnj_jIT8CSsOmUVKmaA/e"&amp;"dit?gid=1761053510"",
          ""Haris_Form responses 1!$AQ:$AQ"")=5)
      ),
      1
    ),
    ""0""
  ),
  ""Form not found""
)
"),"Form not found")</f>
        <v>Form not found</v>
      </c>
      <c r="AW304"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1!$E:$E"")=$B304) *
        (IMPORTRANGE(""https://docs.google.com/spreadsheets/d/161aHT6vVT3SLneTKD19N5qVWtnj_jIT8CSsOmUVKmaA/e"&amp;"dit?gid=1761053510"",
          ""Haris_Form responses 1!$AQ:$AQ"")=6)
      ),
      1
    ),
    ""0""
  ),
  ""Form not found""
)
"),"Form not found")</f>
        <v>Form not found</v>
      </c>
      <c r="AX3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1!$E:$E"")=$B304) *
        (IMPORTRANGE(""https://docs.google.com/spreadsheets/d/161aHT6vVT3SLneTKD19N5qVWtnj_jIT8CSsOmUVKmaA/e"&amp;"dit?gid=1761053510"",
          ""Haris_Form responses 1!$AQ:$AQ"")=1)
      ),
      1
    ),
    ""0""
  ),
  ""Form not found""
)
"),"9")</f>
        <v>9</v>
      </c>
      <c r="AY3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1!$E:$E"")=$B304) *
        (IMPORTRANGE(""https://docs.google.com/spreadsheets/d/161aHT6vVT3SLneTKD19N5qVWtnj_jIT8CSsOmUVKmaA/e"&amp;"dit?gid=1761053510"",
          ""Haris_Form responses 1!$AQ:$AQ"")=2)
      ),
      1
    ),
    ""0""
  ),
  ""Form not found""
)
"),"9")</f>
        <v>9</v>
      </c>
      <c r="AZ3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1!$E:$E"")=$B304) *
        (IMPORTRANGE(""https://docs.google.com/spreadsheets/d/161aHT6vVT3SLneTKD19N5qVWtnj_jIT8CSsOmUVKmaA/e"&amp;"dit?gid=1761053510"",
          ""Haris_Form responses 1!$AQ:$AQ"")=3)
      ),
      1
    ),
    ""0""
  ),
  ""Form not found""
)
"),"0")</f>
        <v>0</v>
      </c>
      <c r="BA3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1!$E:$E"")=$B304) *
        (IMPORTRANGE(""https://docs.google.com/spreadsheets/d/161aHT6vVT3SLneTKD19N5qVWtnj_jIT8CSsOmUVKmaA/e"&amp;"dit?gid=1761053510"",
          ""Haris_Form responses 1!$AQ:$AQ"")=4)
      ),
      1
    ),
    ""0""
  ),
  ""Form not found""
)
"),"Form not found")</f>
        <v>Form not found</v>
      </c>
      <c r="BB3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1!$E:$E"")=$B304) *
        (IMPORTRANGE(""https://docs.google.com/spreadsheets/d/161aHT6vVT3SLneTKD19N5qVWtnj_jIT8CSsOmUVKmaA/e"&amp;"dit?gid=1761053510"",
          ""Haris_Form responses 1!$AQ:$AQ"")=5)
      ),
      1
    ),
    ""0""
  ),
  ""Form not found""
)
"),"Form not found")</f>
        <v>Form not found</v>
      </c>
      <c r="BC304"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1!$E:$E"")=$B304) *
        (IMPORTRANGE(""https://docs.google.com/spreadsheets/d/161aHT6vVT3SLneTKD19N5qVWtnj_jIT8CSsOmUVKmaA/e"&amp;"dit?gid=1761053510"",
          ""Haris_Form responses 1!$AQ:$AQ"")=6)
      ),
      1
    ),
    ""0""
  ),
  ""Form not found""
)
"),"Form not found")</f>
        <v>Form not found</v>
      </c>
      <c r="BD304" s="293"/>
    </row>
    <row r="305">
      <c r="A305" s="283" t="str">
        <f>IFERROR(__xludf.DUMMYFUNCTION("VLOOKUP($B305,IMPORTRANGE(""https://docs.google.com/spreadsheets/d/1VNXDITjs75AcgdBSW27oL1VZH31udDprJSsBcE5xlp4/edit?gid=1551188038#gid=1551188038"", ""Sheet9!$B:$E""),2,false)"),"Sahiwal")</f>
        <v>Sahiwal</v>
      </c>
      <c r="B305" s="283" t="s">
        <v>4692</v>
      </c>
      <c r="C305" s="284" t="str">
        <f>IFERROR(__xludf.DUMMYFUNCTION("VLOOKUP(TRIM($B305), IMPORTRANGE(""https://docs.google.com/spreadsheets/d/1aSOrU4PTpuBZqfitKaH1Rfww6-YOiNCKoBpPl8XBHaw/edit?gid=0#gid=0"", ""sheet3!$B:$C""), 2, FALSE)
"),"Jamia Masjid Noor Almasjid Chichawatni")</f>
        <v>Jamia Masjid Noor Almasjid Chichawatni</v>
      </c>
      <c r="D305" s="284" t="str">
        <f>IFERROR(__xludf.DUMMYFUNCTION("IFERROR(
  INDEX(
    FILTER(
      IMPORTRANGE(""1aSOrU4PTpuBZqfitKaH1Rfww6-YOiNCKoBpPl8XBHaw/edit?gid=0#gid=0"",""Sheet1!G:G""),
      IMPORTRANGE(""1aSOrU4PTpuBZqfitKaH1Rfww6-YOiNCKoBpPl8XBHaw/edit?gid=0#gid=0"",""Sheet1!C:C"")=$B305
    ),
    1
  ),
"&amp;"  ""Not Found""
)"),"Control")</f>
        <v>Control</v>
      </c>
      <c r="E305" s="284" t="str">
        <f>VLOOKUP(B305,'Juma Recording forms'!A:E,5,false)</f>
        <v> noor ul masjid</v>
      </c>
      <c r="F305" s="284" t="str">
        <f>IFERROR(__xludf.DUMMYFUNCTION("IFERROR(
  INDEX(
    FILTER(
      IMPORTRANGE(""1Cxrhp3-_-HS7v9uuqQliiIfrmMP4VaFoDNDWyUFy2J8/edit?gid=0#gid=0"",""Sheet1!Q:Q""),
      IMPORTRANGE(""1Cxrhp3-_-HS7v9uuqQliiIfrmMP4VaFoDNDWyUFy2J8/edit?gid=0#gid=0"",""Sheet1!K:K"")=$B305
    ),
    1
  ),
"&amp;"  ""Not Found""
)"),"Not Found")</f>
        <v>Not Found</v>
      </c>
      <c r="G305" s="284"/>
      <c r="H305" s="284"/>
      <c r="I305" s="285" t="s">
        <v>197</v>
      </c>
      <c r="J305" s="286">
        <v>2.0</v>
      </c>
      <c r="K305" s="287" t="str">
        <f>VLOOKUP($B305,'Mosque Locations'!$A:$E,3,FALSE)
</f>
        <v>https://maps.google.com/maps?q=30.5315193%2C72.6888218&amp;z=17&amp;hl=en</v>
      </c>
      <c r="L305" s="286">
        <f>VLOOKUP($B305,'Mosque Locations'!$A:$E,4,FALSE)
</f>
        <v>30.53152</v>
      </c>
      <c r="M305" s="286">
        <f>VLOOKUP($B305,'Mosque Locations'!$A:$E,5,false)</f>
        <v>72.68882</v>
      </c>
      <c r="N305" s="288"/>
      <c r="O305" s="288"/>
      <c r="P305" s="288"/>
      <c r="Q305" s="290" t="str">
        <f>IFERROR(__xludf.DUMMYFUNCTION("IFERROR(
  INDEX(
    FILTER(
      IMPORTRANGE(""1kOrIKZmJfNUkgOVP3sI9BPjaaPA0_a4636oymQxTXg8"",""Form Responses 1!N:N""),
      TRIM(IMPORTRANGE(""1kOrIKZmJfNUkgOVP3sI9BPjaaPA0_a4636oymQxTXg8"",""Form Responses 1!F:F""))=TRIM($B305)
    ),
    1
  ),
  "&amp;"""Not Found""
)
"),"https://drive.google.com/open?id=15zQ2uJ2_IQpqefelXCiVIdTeAV_dxAsn")</f>
        <v>https://drive.google.com/open?id=15zQ2uJ2_IQpqefelXCiVIdTeAV_dxAsn</v>
      </c>
      <c r="R305" s="290" t="str">
        <f>IFERROR(__xludf.DUMMYFUNCTION("IFERROR(
  INDEX(
    FILTER(
      IMPORTRANGE(""1kOrIKZmJfNUkgOVP3sI9BPjaaPA0_a4636oymQxTXg8"",""Form Responses 1!M:M""),
      TRIM(IMPORTRANGE(""1kOrIKZmJfNUkgOVP3sI9BPjaaPA0_a4636oymQxTXg8"",""Form Responses 1!F:F""))=TRIM($B305)
    ),
    1
  ),
  "&amp;"""Not Found""
)
"),"https://drive.google.com/open?id=1WUjQJFGBw15eDscqCGIxhCw1xh_nm8Mb")</f>
        <v>https://drive.google.com/open?id=1WUjQJFGBw15eDscqCGIxhCw1xh_nm8Mb</v>
      </c>
      <c r="S305" s="285"/>
      <c r="T305" s="290" t="str">
        <f>VLOOKUP($B305,'Master Tracker'!D:E,2,false)</f>
        <v>https://drive.google.com/open?id=1onz1V_9XhR9UPFWTZxPlbWdysMdaJkQC</v>
      </c>
      <c r="U305" s="291" t="str">
        <f>VLOOKUP($B305,'Master Tracker'!$D:$T,4,FALSE)
</f>
        <v>https://drive.google.com/open?id=1HuVnFxiOmer36Mmz16z0Q_RgueWa8eSO3h0yNByyNZQ</v>
      </c>
      <c r="V305" s="284" t="str">
        <f>VLOOKUP($B305,'Master Tracker'!$D:$T,5,false)</f>
        <v>Not Found</v>
      </c>
      <c r="W305" s="292" t="str">
        <f>VLOOKUP($B305,'Master Tracker'!$D:$T,7,false)</f>
        <v>Not Found</v>
      </c>
      <c r="X305" s="290" t="str">
        <f>VLOOKUP($B305,'Master Tracker'!$D:$T,8,false)</f>
        <v>https://drive.google.com/file/d/1q5fGIBPN4Ub6QFnlkfsJLexcm5nL_TR0/view?usp=drive_link</v>
      </c>
      <c r="Y305" s="291" t="str">
        <f>VLOOKUP($B305,'Master Tracker'!$D:$T,10,false)</f>
        <v>https://drive.google.com/open?id=1O_04lbRcDQETCGgdtxy_qvofiqvZjwOuC6YuQNhheEU</v>
      </c>
      <c r="Z305" s="284" t="str">
        <f>VLOOKUP($B305,'Master Tracker'!$D:$T,11,false)</f>
        <v>Not Found</v>
      </c>
      <c r="AA305" s="292" t="str">
        <f>VLOOKUP($B305,'Master Tracker'!$D:$T,13,false)</f>
        <v>Not Found</v>
      </c>
      <c r="AB305" s="284" t="str">
        <f>VLOOKUP($B305,'Master Tracker'!$D:$T,14,false)</f>
        <v>Not Found</v>
      </c>
      <c r="AC305" s="292" t="str">
        <f>VLOOKUP($B305,'Master Tracker'!$D:$T,16,false)</f>
        <v>Not Found</v>
      </c>
      <c r="AD305" s="292" t="str">
        <f>VLOOKUP($B305,'Master Tracker'!$D:$T,17,false)</f>
        <v>Not Found</v>
      </c>
      <c r="AE305" s="292" t="str">
        <f>VLOOKUP($B305,'Master Tracker'!$D:$V,19,false)</f>
        <v>Not Found</v>
      </c>
      <c r="AF305" s="292">
        <f>IFERROR(__xludf.DUMMYFUNCTION("IFERROR(
  INDEX(
    FILTER(
      'Juma Recording forms'!$G:$G,
      TRIM('Juma Recording forms'!$F:$F) = TRIM($B305),
      'Juma Recording forms'!$AA:$AA = 1
    ),
    1
  ),
  ""Not Found""
)"),1300.0)</f>
        <v>1300</v>
      </c>
      <c r="AG305" s="292" t="str">
        <f>IFERROR(__xludf.DUMMYFUNCTION("IFERROR(
  INDEX(
    FILTER(
      'Juma Recording forms'!$G:$G,
      TRIM('Juma Recording forms'!$F:$F) = TRIM($B305),
      'Juma Recording forms'!$AA:$AA = 2
    ),
    1
  ),
  ""Not Found""
)"),"Not Found")</f>
        <v>Not Found</v>
      </c>
      <c r="AH305" s="292">
        <f>IFERROR(__xludf.DUMMYFUNCTION("IFERROR(
  INDEX(
    FILTER(
      'Juma Recording forms'!$G:$G,
      TRIM('Juma Recording forms'!$F:$F) = TRIM($B305),
      'Juma Recording forms'!$AA:$AA = 3
    ),
    1
  ),
  ""Not Found""
)"),1400.0)</f>
        <v>1400</v>
      </c>
      <c r="AI305" s="292" t="str">
        <f>IFERROR(__xludf.DUMMYFUNCTION("IFERROR(
  INDEX(
    FILTER(
      'Juma Recording forms'!$G:$G,
      TRIM('Juma Recording forms'!$F:$F) = TRIM($B305),
      'Juma Recording forms'!$AA:$AA = 4
    ),
    1
  ),
  ""Not Found""
)"),"Not Found")</f>
        <v>Not Found</v>
      </c>
      <c r="AJ305" s="292" t="str">
        <f>IFERROR(__xludf.DUMMYFUNCTION("IFERROR(
  INDEX(
    FILTER(
      'Juma Recording forms'!$G:$G,
      TRIM('Juma Recording forms'!$F:$F) = TRIM($B305),
      'Juma Recording forms'!$AA:$AA = 5
    ),
    1
  ),
  ""Not Found""
)"),"Not Found")</f>
        <v>Not Found</v>
      </c>
      <c r="AK305" s="292" t="str">
        <f>IFERROR(__xludf.DUMMYFUNCTION("IFERROR(
  INDEX(
    FILTER(
      'Juma Recording forms'!$G:$G,
      TRIM('Juma Recording forms'!$F:$F) = TRIM($B305),
      'Juma Recording forms'!$AA:$AA = 6
    ),
    1
  ),
  ""Not Found""
)"),"Not Found")</f>
        <v>Not Found</v>
      </c>
      <c r="AL3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1!$E:$E"")=$B305) *
        (IMPORTRANGE(""https://docs.google.com/spreadsheets/d/161aHT6vVT3SLneTKD19N5qVWtnj_jIT8CSsOmUVKmaA/e"&amp;"dit?gid=1761053510"",
          ""Haris_Form responses 1!$AQ:$AQ"")=1)
      ),
      1
    ),
    ""0""
  ),
  ""Form not found""
)
"),"0")</f>
        <v>0</v>
      </c>
      <c r="AM3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1!$E:$E"")=$B305) *
        (IMPORTRANGE(""https://docs.google.com/spreadsheets/d/161aHT6vVT3SLneTKD19N5qVWtnj_jIT8CSsOmUVKmaA/e"&amp;"dit?gid=1761053510"",
          ""Haris_Form responses 1!$AQ:$AQ"")=2)
      ),
      1
    ),
    ""0""
  ),
  ""Form not found""
)
"),"Form not found")</f>
        <v>Form not found</v>
      </c>
      <c r="AN3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1!$E:$E"")=$B305) *
        (IMPORTRANGE(""https://docs.google.com/spreadsheets/d/161aHT6vVT3SLneTKD19N5qVWtnj_jIT8CSsOmUVKmaA/e"&amp;"dit?gid=1761053510"",
          ""Haris_Form responses 1!$AQ:$AQ"")=3)
      ),
      1
    ),
    ""0""
  ),
  ""Form not found""
)
"),"0")</f>
        <v>0</v>
      </c>
      <c r="AO3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1!$E:$E"")=$B305) *
        (IMPORTRANGE(""https://docs.google.com/spreadsheets/d/161aHT6vVT3SLneTKD19N5qVWtnj_jIT8CSsOmUVKmaA/e"&amp;"dit?gid=1761053510"",
          ""Haris_Form responses 1!$AQ:$AQ"")=4)
      ),
      1
    ),
    ""0""
  ),
  ""Form not found""
)
"),"Form not found")</f>
        <v>Form not found</v>
      </c>
      <c r="AP3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1!$E:$E"")=$B305) *
        (IMPORTRANGE(""https://docs.google.com/spreadsheets/d/161aHT6vVT3SLneTKD19N5qVWtnj_jIT8CSsOmUVKmaA/e"&amp;"dit?gid=1761053510"",
          ""Haris_Form responses 1!$AQ:$AQ"")=5)
      ),
      1
    ),
    ""0""
  ),
  ""Form not found""
)
"),"Form not found")</f>
        <v>Form not found</v>
      </c>
      <c r="AQ305"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1!$E:$E"")=$B305) *
        (IMPORTRANGE(""https://docs.google.com/spreadsheets/d/161aHT6vVT3SLneTKD19N5qVWtnj_jIT8CSsOmUVKmaA/e"&amp;"dit?gid=1761053510"",
          ""Haris_Form responses 1!$AQ:$AQ"")=6)
      ),
      1
    ),
    ""0""
  ),
  ""Form not found""
)
"),"Form not found")</f>
        <v>Form not found</v>
      </c>
      <c r="AR3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1!$E:$E"")=$B305) *
        (IMPORTRANGE(""https://docs.google.com/spreadsheets/d/161aHT6vVT3SLneTKD19N5qVWtnj_jIT8CSsOmUVKmaA/e"&amp;"dit?gid=1761053510"",
          ""Haris_Form responses 1!$AQ:$AQ"")=1)
      ),
      1
    ),
    ""0""
  ),
  ""Form not found""
)
"),"0")</f>
        <v>0</v>
      </c>
      <c r="AS3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1!$E:$E"")=$B305) *
        (IMPORTRANGE(""https://docs.google.com/spreadsheets/d/161aHT6vVT3SLneTKD19N5qVWtnj_jIT8CSsOmUVKmaA/e"&amp;"dit?gid=1761053510"",
          ""Haris_Form responses 1!$AQ:$AQ"")=2)
      ),
      1
    ),
    ""0""
  ),
  ""Form not found""
)
"),"Form not found")</f>
        <v>Form not found</v>
      </c>
      <c r="AT3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1!$E:$E"")=$B305) *
        (IMPORTRANGE(""https://docs.google.com/spreadsheets/d/161aHT6vVT3SLneTKD19N5qVWtnj_jIT8CSsOmUVKmaA/e"&amp;"dit?gid=1761053510"",
          ""Haris_Form responses 1!$AQ:$AQ"")=3)
      ),
      1
    ),
    ""0""
  ),
  ""Form not found""
)
"),"0")</f>
        <v>0</v>
      </c>
      <c r="AU3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1!$E:$E"")=$B305) *
        (IMPORTRANGE(""https://docs.google.com/spreadsheets/d/161aHT6vVT3SLneTKD19N5qVWtnj_jIT8CSsOmUVKmaA/e"&amp;"dit?gid=1761053510"",
          ""Haris_Form responses 1!$AQ:$AQ"")=4)
      ),
      1
    ),
    ""0""
  ),
  ""Form not found""
)
"),"Form not found")</f>
        <v>Form not found</v>
      </c>
      <c r="AV3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1!$E:$E"")=$B305) *
        (IMPORTRANGE(""https://docs.google.com/spreadsheets/d/161aHT6vVT3SLneTKD19N5qVWtnj_jIT8CSsOmUVKmaA/e"&amp;"dit?gid=1761053510"",
          ""Haris_Form responses 1!$AQ:$AQ"")=5)
      ),
      1
    ),
    ""0""
  ),
  ""Form not found""
)
"),"Form not found")</f>
        <v>Form not found</v>
      </c>
      <c r="AW305"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1!$E:$E"")=$B305) *
        (IMPORTRANGE(""https://docs.google.com/spreadsheets/d/161aHT6vVT3SLneTKD19N5qVWtnj_jIT8CSsOmUVKmaA/e"&amp;"dit?gid=1761053510"",
          ""Haris_Form responses 1!$AQ:$AQ"")=6)
      ),
      1
    ),
    ""0""
  ),
  ""Form not found""
)
"),"Form not found")</f>
        <v>Form not found</v>
      </c>
      <c r="AX3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1!$E:$E"")=$B305) *
        (IMPORTRANGE(""https://docs.google.com/spreadsheets/d/161aHT6vVT3SLneTKD19N5qVWtnj_jIT8CSsOmUVKmaA/e"&amp;"dit?gid=1761053510"",
          ""Haris_Form responses 1!$AQ:$AQ"")=1)
      ),
      1
    ),
    ""0""
  ),
  ""Form not found""
)
"),"0")</f>
        <v>0</v>
      </c>
      <c r="AY3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1!$E:$E"")=$B305) *
        (IMPORTRANGE(""https://docs.google.com/spreadsheets/d/161aHT6vVT3SLneTKD19N5qVWtnj_jIT8CSsOmUVKmaA/e"&amp;"dit?gid=1761053510"",
          ""Haris_Form responses 1!$AQ:$AQ"")=2)
      ),
      1
    ),
    ""0""
  ),
  ""Form not found""
)
"),"Form not found")</f>
        <v>Form not found</v>
      </c>
      <c r="AZ3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1!$E:$E"")=$B305) *
        (IMPORTRANGE(""https://docs.google.com/spreadsheets/d/161aHT6vVT3SLneTKD19N5qVWtnj_jIT8CSsOmUVKmaA/e"&amp;"dit?gid=1761053510"",
          ""Haris_Form responses 1!$AQ:$AQ"")=3)
      ),
      1
    ),
    ""0""
  ),
  ""Form not found""
)
"),"0")</f>
        <v>0</v>
      </c>
      <c r="BA3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1!$E:$E"")=$B305) *
        (IMPORTRANGE(""https://docs.google.com/spreadsheets/d/161aHT6vVT3SLneTKD19N5qVWtnj_jIT8CSsOmUVKmaA/e"&amp;"dit?gid=1761053510"",
          ""Haris_Form responses 1!$AQ:$AQ"")=4)
      ),
      1
    ),
    ""0""
  ),
  ""Form not found""
)
"),"Form not found")</f>
        <v>Form not found</v>
      </c>
      <c r="BB3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1!$E:$E"")=$B305) *
        (IMPORTRANGE(""https://docs.google.com/spreadsheets/d/161aHT6vVT3SLneTKD19N5qVWtnj_jIT8CSsOmUVKmaA/e"&amp;"dit?gid=1761053510"",
          ""Haris_Form responses 1!$AQ:$AQ"")=5)
      ),
      1
    ),
    ""0""
  ),
  ""Form not found""
)
"),"Form not found")</f>
        <v>Form not found</v>
      </c>
      <c r="BC305"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1!$E:$E"")=$B305) *
        (IMPORTRANGE(""https://docs.google.com/spreadsheets/d/161aHT6vVT3SLneTKD19N5qVWtnj_jIT8CSsOmUVKmaA/e"&amp;"dit?gid=1761053510"",
          ""Haris_Form responses 1!$AQ:$AQ"")=6)
      ),
      1
    ),
    ""0""
  ),
  ""Form not found""
)
"),"Form not found")</f>
        <v>Form not found</v>
      </c>
      <c r="BD305" s="293"/>
    </row>
    <row r="306">
      <c r="A306" s="283" t="str">
        <f>IFERROR(__xludf.DUMMYFUNCTION("VLOOKUP($B306,IMPORTRANGE(""https://docs.google.com/spreadsheets/d/1VNXDITjs75AcgdBSW27oL1VZH31udDprJSsBcE5xlp4/edit?gid=1551188038#gid=1551188038"", ""Sheet9!$B:$E""),2,false)"),"Sahiwal")</f>
        <v>Sahiwal</v>
      </c>
      <c r="B306" s="283" t="s">
        <v>4693</v>
      </c>
      <c r="C306" s="284" t="str">
        <f>IFERROR(__xludf.DUMMYFUNCTION("VLOOKUP(TRIM($B306), IMPORTRANGE(""https://docs.google.com/spreadsheets/d/1aSOrU4PTpuBZqfitKaH1Rfww6-YOiNCKoBpPl8XBHaw/edit?gid=0#gid=0"", ""sheet3!$B:$C""), 2, FALSE)
"),"Jamia Masjid Panha Kambeer Shahiwal")</f>
        <v>Jamia Masjid Panha Kambeer Shahiwal</v>
      </c>
      <c r="D306" s="284" t="str">
        <f>IFERROR(__xludf.DUMMYFUNCTION("IFERROR(
  INDEX(
    FILTER(
      IMPORTRANGE(""1aSOrU4PTpuBZqfitKaH1Rfww6-YOiNCKoBpPl8XBHaw/edit?gid=0#gid=0"",""Sheet1!G:G""),
      IMPORTRANGE(""1aSOrU4PTpuBZqfitKaH1Rfww6-YOiNCKoBpPl8XBHaw/edit?gid=0#gid=0"",""Sheet1!C:C"")=$B306
    ),
    1
  ),
"&amp;"  ""Not Found""
)"),"Community Religious Info Share")</f>
        <v>Community Religious Info Share</v>
      </c>
      <c r="E306" s="284" t="str">
        <f>VLOOKUP(B306,'Juma Recording forms'!A:E,5,false)</f>
        <v>Jamia masjid syed muhammad panah </v>
      </c>
      <c r="F306" s="284" t="str">
        <f>IFERROR(__xludf.DUMMYFUNCTION("IFERROR(
  INDEX(
    FILTER(
      IMPORTRANGE(""1Cxrhp3-_-HS7v9uuqQliiIfrmMP4VaFoDNDWyUFy2J8/edit?gid=0#gid=0"",""Sheet1!Q:Q""),
      IMPORTRANGE(""1Cxrhp3-_-HS7v9uuqQliiIfrmMP4VaFoDNDWyUFy2J8/edit?gid=0#gid=0"",""Sheet1!K:K"")=$B306
    ),
    1
  ),
"&amp;"  ""Not Found""
)"),"Molana Khalil ur rehman")</f>
        <v>Molana Khalil ur rehman</v>
      </c>
      <c r="G306" s="292">
        <v>1975.0</v>
      </c>
      <c r="H306" s="284" t="s">
        <v>4907</v>
      </c>
      <c r="I306" s="285" t="s">
        <v>401</v>
      </c>
      <c r="J306" s="286">
        <v>2.0</v>
      </c>
      <c r="K306" s="287" t="str">
        <f>VLOOKUP($B306,'Mosque Locations'!$A:$E,3,FALSE)
</f>
        <v>https://maps.google.com/maps?q=30.429981231689453%2C73.04800415039062&amp;z=17&amp;hl=en</v>
      </c>
      <c r="L306" s="286">
        <f>VLOOKUP($B306,'Mosque Locations'!$A:$E,4,FALSE)
</f>
        <v>30.42998</v>
      </c>
      <c r="M306" s="286">
        <f>VLOOKUP($B306,'Mosque Locations'!$A:$E,5,false)</f>
        <v>73.048</v>
      </c>
      <c r="N306" s="288"/>
      <c r="O306" s="288"/>
      <c r="P306" s="288"/>
      <c r="Q306" s="295" t="str">
        <f>IFERROR(__xludf.DUMMYFUNCTION("IFERROR(
  INDEX(
    FILTER(
      IMPORTRANGE(""1kOrIKZmJfNUkgOVP3sI9BPjaaPA0_a4636oymQxTXg8"",""Form Responses 1!N:N""),
      TRIM(IMPORTRANGE(""1kOrIKZmJfNUkgOVP3sI9BPjaaPA0_a4636oymQxTXg8"",""Form Responses 1!F:F""))=TRIM($B306)
    ),
    1
  ),
  "&amp;"""Not Found""
)
"),"https://drive.google.com/open?id=1d7rqbA_aiEFvVkQskmUeeMp3fx2BF1Ay")</f>
        <v>https://drive.google.com/open?id=1d7rqbA_aiEFvVkQskmUeeMp3fx2BF1Ay</v>
      </c>
      <c r="R306" s="295" t="str">
        <f>IFERROR(__xludf.DUMMYFUNCTION("IFERROR(
  INDEX(
    FILTER(
      IMPORTRANGE(""1kOrIKZmJfNUkgOVP3sI9BPjaaPA0_a4636oymQxTXg8"",""Form Responses 1!M:M""),
      TRIM(IMPORTRANGE(""1kOrIKZmJfNUkgOVP3sI9BPjaaPA0_a4636oymQxTXg8"",""Form Responses 1!F:F""))=TRIM($B306)
    ),
    1
  ),
  "&amp;"""Not Found""
)
"),"https://drive.google.com/open?id=1BKPuq9fb3lV1ihSNJaus1HjoaTwl5zpz")</f>
        <v>https://drive.google.com/open?id=1BKPuq9fb3lV1ihSNJaus1HjoaTwl5zpz</v>
      </c>
      <c r="S306" s="250" t="s">
        <v>4908</v>
      </c>
      <c r="T306" s="290" t="str">
        <f>VLOOKUP($B306,'Master Tracker'!D:E,2,false)</f>
        <v>https://drive.google.com/file/d/1JNhPcqL5ODn7ISyxcVTe80UNm14cSMSr/view?usp=drive_link</v>
      </c>
      <c r="U306" s="291" t="str">
        <f>VLOOKUP($B306,'Master Tracker'!$D:$T,4,FALSE)
</f>
        <v>https://drive.google.com/open?id=1LMdy2_eXVPDg94OCdlkjErQ13BW0bDE3g_lV53K9UzM</v>
      </c>
      <c r="V306" s="290" t="str">
        <f>VLOOKUP($B306,'Master Tracker'!$D:$T,5,false)</f>
        <v>https://drive.google.com/file/d/17a7ps4AC4y59fduyOYFPzeR6ntjix-8u/view?usp=drive_link</v>
      </c>
      <c r="W306" s="291" t="str">
        <f>VLOOKUP($B306,'Master Tracker'!$D:$T,7,false)</f>
        <v>https://drive.google.com/open?id=1Rqpcw_7iVc8gLRFxemYBMzZGu2E-qBWwLCnO-xoixUA</v>
      </c>
      <c r="X306" s="290" t="str">
        <f>VLOOKUP($B306,'Master Tracker'!$D:$T,8,false)</f>
        <v>https://drive.google.com/file/d/1LA370gMA7iVg_stKChDlmOWj9JSZ5Ymj/view?usp=drive_link</v>
      </c>
      <c r="Y306" s="291" t="str">
        <f>VLOOKUP($B306,'Master Tracker'!$D:$T,10,false)</f>
        <v>https://drive.google.com/open?id=1ZwWdm1QQgVPpJE53FPUs2bJ4cqqlf0-P</v>
      </c>
      <c r="Z306" s="284" t="str">
        <f>VLOOKUP($B306,'Master Tracker'!$D:$T,11,false)</f>
        <v>Not Found</v>
      </c>
      <c r="AA306" s="292" t="str">
        <f>VLOOKUP($B306,'Master Tracker'!$D:$T,13,false)</f>
        <v>Not Found</v>
      </c>
      <c r="AB306" s="284" t="str">
        <f>VLOOKUP($B306,'Master Tracker'!$D:$T,14,false)</f>
        <v>Not Found</v>
      </c>
      <c r="AC306" s="292" t="str">
        <f>VLOOKUP($B306,'Master Tracker'!$D:$T,16,false)</f>
        <v>Not Found</v>
      </c>
      <c r="AD306" s="292" t="str">
        <f>VLOOKUP($B306,'Master Tracker'!$D:$T,17,false)</f>
        <v>Not Found</v>
      </c>
      <c r="AE306" s="292" t="str">
        <f>VLOOKUP($B306,'Master Tracker'!$D:$V,19,false)</f>
        <v>Not Found</v>
      </c>
      <c r="AF306" s="292">
        <f>IFERROR(__xludf.DUMMYFUNCTION("IFERROR(
  INDEX(
    FILTER(
      'Juma Recording forms'!$G:$G,
      TRIM('Juma Recording forms'!$F:$F) = TRIM($B306),
      'Juma Recording forms'!$AA:$AA = 1
    ),
    1
  ),
  ""Not Found""
)"),345.0)</f>
        <v>345</v>
      </c>
      <c r="AG306" s="292">
        <f>IFERROR(__xludf.DUMMYFUNCTION("IFERROR(
  INDEX(
    FILTER(
      'Juma Recording forms'!$G:$G,
      TRIM('Juma Recording forms'!$F:$F) = TRIM($B306),
      'Juma Recording forms'!$AA:$AA = 2
    ),
    1
  ),
  ""Not Found""
)"),375.0)</f>
        <v>375</v>
      </c>
      <c r="AH306" s="292">
        <f>IFERROR(__xludf.DUMMYFUNCTION("IFERROR(
  INDEX(
    FILTER(
      'Juma Recording forms'!$G:$G,
      TRIM('Juma Recording forms'!$F:$F) = TRIM($B306),
      'Juma Recording forms'!$AA:$AA = 3
    ),
    1
  ),
  ""Not Found""
)"),395.0)</f>
        <v>395</v>
      </c>
      <c r="AI306" s="292" t="str">
        <f>IFERROR(__xludf.DUMMYFUNCTION("IFERROR(
  INDEX(
    FILTER(
      'Juma Recording forms'!$G:$G,
      TRIM('Juma Recording forms'!$F:$F) = TRIM($B306),
      'Juma Recording forms'!$AA:$AA = 4
    ),
    1
  ),
  ""Not Found""
)"),"Not Found")</f>
        <v>Not Found</v>
      </c>
      <c r="AJ306" s="292" t="str">
        <f>IFERROR(__xludf.DUMMYFUNCTION("IFERROR(
  INDEX(
    FILTER(
      'Juma Recording forms'!$G:$G,
      TRIM('Juma Recording forms'!$F:$F) = TRIM($B306),
      'Juma Recording forms'!$AA:$AA = 5
    ),
    1
  ),
  ""Not Found""
)"),"Not Found")</f>
        <v>Not Found</v>
      </c>
      <c r="AK306" s="292" t="str">
        <f>IFERROR(__xludf.DUMMYFUNCTION("IFERROR(
  INDEX(
    FILTER(
      'Juma Recording forms'!$G:$G,
      TRIM('Juma Recording forms'!$F:$F) = TRIM($B306),
      'Juma Recording forms'!$AA:$AA = 6
    ),
    1
  ),
  ""Not Found""
)"),"Not Found")</f>
        <v>Not Found</v>
      </c>
      <c r="AL3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1!$E:$E"")=$B306) *
        (IMPORTRANGE(""https://docs.google.com/spreadsheets/d/161aHT6vVT3SLneTKD19N5qVWtnj_jIT8CSsOmUVKmaA/e"&amp;"dit?gid=1761053510"",
          ""Haris_Form responses 1!$AQ:$AQ"")=1)
      ),
      1
    ),
    ""0""
  ),
  ""Form not found""
)
"),"8")</f>
        <v>8</v>
      </c>
      <c r="AM3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1!$E:$E"")=$B306) *
        (IMPORTRANGE(""https://docs.google.com/spreadsheets/d/161aHT6vVT3SLneTKD19N5qVWtnj_jIT8CSsOmUVKmaA/e"&amp;"dit?gid=1761053510"",
          ""Haris_Form responses 1!$AQ:$AQ"")=2)
      ),
      1
    ),
    ""0""
  ),
  ""Form not found""
)
"),"10")</f>
        <v>10</v>
      </c>
      <c r="AN3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1!$E:$E"")=$B306) *
        (IMPORTRANGE(""https://docs.google.com/spreadsheets/d/161aHT6vVT3SLneTKD19N5qVWtnj_jIT8CSsOmUVKmaA/e"&amp;"dit?gid=1761053510"",
          ""Haris_Form responses 1!$AQ:$AQ"")=3)
      ),
      1
    ),
    ""0""
  ),
  ""Form not found""
)
"),"0")</f>
        <v>0</v>
      </c>
      <c r="AO3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1!$E:$E"")=$B306) *
        (IMPORTRANGE(""https://docs.google.com/spreadsheets/d/161aHT6vVT3SLneTKD19N5qVWtnj_jIT8CSsOmUVKmaA/e"&amp;"dit?gid=1761053510"",
          ""Haris_Form responses 1!$AQ:$AQ"")=4)
      ),
      1
    ),
    ""0""
  ),
  ""Form not found""
)
"),"Form not found")</f>
        <v>Form not found</v>
      </c>
      <c r="AP3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1!$E:$E"")=$B306) *
        (IMPORTRANGE(""https://docs.google.com/spreadsheets/d/161aHT6vVT3SLneTKD19N5qVWtnj_jIT8CSsOmUVKmaA/e"&amp;"dit?gid=1761053510"",
          ""Haris_Form responses 1!$AQ:$AQ"")=5)
      ),
      1
    ),
    ""0""
  ),
  ""Form not found""
)
"),"Form not found")</f>
        <v>Form not found</v>
      </c>
      <c r="AQ306"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1!$E:$E"")=$B306) *
        (IMPORTRANGE(""https://docs.google.com/spreadsheets/d/161aHT6vVT3SLneTKD19N5qVWtnj_jIT8CSsOmUVKmaA/e"&amp;"dit?gid=1761053510"",
          ""Haris_Form responses 1!$AQ:$AQ"")=6)
      ),
      1
    ),
    ""0""
  ),
  ""Form not found""
)
"),"Form not found")</f>
        <v>Form not found</v>
      </c>
      <c r="AR3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1!$E:$E"")=$B306) *
        (IMPORTRANGE(""https://docs.google.com/spreadsheets/d/161aHT6vVT3SLneTKD19N5qVWtnj_jIT8CSsOmUVKmaA/e"&amp;"dit?gid=1761053510"",
          ""Haris_Form responses 1!$AQ:$AQ"")=1)
      ),
      1
    ),
    ""0""
  ),
  ""Form not found""
)
"),"8")</f>
        <v>8</v>
      </c>
      <c r="AS3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1!$E:$E"")=$B306) *
        (IMPORTRANGE(""https://docs.google.com/spreadsheets/d/161aHT6vVT3SLneTKD19N5qVWtnj_jIT8CSsOmUVKmaA/e"&amp;"dit?gid=1761053510"",
          ""Haris_Form responses 1!$AQ:$AQ"")=2)
      ),
      1
    ),
    ""0""
  ),
  ""Form not found""
)
"),"10")</f>
        <v>10</v>
      </c>
      <c r="AT3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1!$E:$E"")=$B306) *
        (IMPORTRANGE(""https://docs.google.com/spreadsheets/d/161aHT6vVT3SLneTKD19N5qVWtnj_jIT8CSsOmUVKmaA/e"&amp;"dit?gid=1761053510"",
          ""Haris_Form responses 1!$AQ:$AQ"")=3)
      ),
      1
    ),
    ""0""
  ),
  ""Form not found""
)
"),"0")</f>
        <v>0</v>
      </c>
      <c r="AU3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1!$E:$E"")=$B306) *
        (IMPORTRANGE(""https://docs.google.com/spreadsheets/d/161aHT6vVT3SLneTKD19N5qVWtnj_jIT8CSsOmUVKmaA/e"&amp;"dit?gid=1761053510"",
          ""Haris_Form responses 1!$AQ:$AQ"")=4)
      ),
      1
    ),
    ""0""
  ),
  ""Form not found""
)
"),"Form not found")</f>
        <v>Form not found</v>
      </c>
      <c r="AV3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1!$E:$E"")=$B306) *
        (IMPORTRANGE(""https://docs.google.com/spreadsheets/d/161aHT6vVT3SLneTKD19N5qVWtnj_jIT8CSsOmUVKmaA/e"&amp;"dit?gid=1761053510"",
          ""Haris_Form responses 1!$AQ:$AQ"")=5)
      ),
      1
    ),
    ""0""
  ),
  ""Form not found""
)
"),"Form not found")</f>
        <v>Form not found</v>
      </c>
      <c r="AW306"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1!$E:$E"")=$B306) *
        (IMPORTRANGE(""https://docs.google.com/spreadsheets/d/161aHT6vVT3SLneTKD19N5qVWtnj_jIT8CSsOmUVKmaA/e"&amp;"dit?gid=1761053510"",
          ""Haris_Form responses 1!$AQ:$AQ"")=6)
      ),
      1
    ),
    ""0""
  ),
  ""Form not found""
)
"),"Form not found")</f>
        <v>Form not found</v>
      </c>
      <c r="AX3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1!$E:$E"")=$B306) *
        (IMPORTRANGE(""https://docs.google.com/spreadsheets/d/161aHT6vVT3SLneTKD19N5qVWtnj_jIT8CSsOmUVKmaA/e"&amp;"dit?gid=1761053510"",
          ""Haris_Form responses 1!$AQ:$AQ"")=1)
      ),
      1
    ),
    ""0""
  ),
  ""Form not found""
)
"),"0")</f>
        <v>0</v>
      </c>
      <c r="AY3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1!$E:$E"")=$B306) *
        (IMPORTRANGE(""https://docs.google.com/spreadsheets/d/161aHT6vVT3SLneTKD19N5qVWtnj_jIT8CSsOmUVKmaA/e"&amp;"dit?gid=1761053510"",
          ""Haris_Form responses 1!$AQ:$AQ"")=2)
      ),
      1
    ),
    ""0""
  ),
  ""Form not found""
)
"),"0")</f>
        <v>0</v>
      </c>
      <c r="AZ3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1!$E:$E"")=$B306) *
        (IMPORTRANGE(""https://docs.google.com/spreadsheets/d/161aHT6vVT3SLneTKD19N5qVWtnj_jIT8CSsOmUVKmaA/e"&amp;"dit?gid=1761053510"",
          ""Haris_Form responses 1!$AQ:$AQ"")=3)
      ),
      1
    ),
    ""0""
  ),
  ""Form not found""
)
"),"2")</f>
        <v>2</v>
      </c>
      <c r="BA3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1!$E:$E"")=$B306) *
        (IMPORTRANGE(""https://docs.google.com/spreadsheets/d/161aHT6vVT3SLneTKD19N5qVWtnj_jIT8CSsOmUVKmaA/e"&amp;"dit?gid=1761053510"",
          ""Haris_Form responses 1!$AQ:$AQ"")=4)
      ),
      1
    ),
    ""0""
  ),
  ""Form not found""
)
"),"Form not found")</f>
        <v>Form not found</v>
      </c>
      <c r="BB3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1!$E:$E"")=$B306) *
        (IMPORTRANGE(""https://docs.google.com/spreadsheets/d/161aHT6vVT3SLneTKD19N5qVWtnj_jIT8CSsOmUVKmaA/e"&amp;"dit?gid=1761053510"",
          ""Haris_Form responses 1!$AQ:$AQ"")=5)
      ),
      1
    ),
    ""0""
  ),
  ""Form not found""
)
"),"Form not found")</f>
        <v>Form not found</v>
      </c>
      <c r="BC306"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1!$E:$E"")=$B306) *
        (IMPORTRANGE(""https://docs.google.com/spreadsheets/d/161aHT6vVT3SLneTKD19N5qVWtnj_jIT8CSsOmUVKmaA/e"&amp;"dit?gid=1761053510"",
          ""Haris_Form responses 1!$AQ:$AQ"")=6)
      ),
      1
    ),
    ""0""
  ),
  ""Form not found""
)
"),"Form not found")</f>
        <v>Form not found</v>
      </c>
      <c r="BD306" s="293"/>
    </row>
    <row r="307">
      <c r="A307" s="283" t="str">
        <f>IFERROR(__xludf.DUMMYFUNCTION("VLOOKUP($B307,IMPORTRANGE(""https://docs.google.com/spreadsheets/d/1VNXDITjs75AcgdBSW27oL1VZH31udDprJSsBcE5xlp4/edit?gid=1551188038#gid=1551188038"", ""Sheet9!$B:$E""),2,false)"),"Shahkot")</f>
        <v>Shahkot</v>
      </c>
      <c r="B307" s="283" t="s">
        <v>3868</v>
      </c>
      <c r="C307" s="284" t="str">
        <f>IFERROR(__xludf.DUMMYFUNCTION("VLOOKUP(TRIM($B307), IMPORTRANGE(""https://docs.google.com/spreadsheets/d/1aSOrU4PTpuBZqfitKaH1Rfww6-YOiNCKoBpPl8XBHaw/edit?gid=0#gid=0"", ""sheet3!$B:$C""), 2, FALSE)
"),"Jamia Masjid Darbar Nolakha Hazari Shahkot")</f>
        <v>Jamia Masjid Darbar Nolakha Hazari Shahkot</v>
      </c>
      <c r="D307" s="284" t="str">
        <f>IFERROR(__xludf.DUMMYFUNCTION("IFERROR(
  INDEX(
    FILTER(
      IMPORTRANGE(""1aSOrU4PTpuBZqfitKaH1Rfww6-YOiNCKoBpPl8XBHaw/edit?gid=0#gid=0"",""Sheet1!G:G""),
      IMPORTRANGE(""1aSOrU4PTpuBZqfitKaH1Rfww6-YOiNCKoBpPl8XBHaw/edit?gid=0#gid=0"",""Sheet1!C:C"")=$B307
    ),
    1
  ),
"&amp;"  ""Not Found""
)"),"Women Religious Info Share")</f>
        <v>Women Religious Info Share</v>
      </c>
      <c r="E307" s="284" t="str">
        <f>VLOOKUP(B307,'Juma Recording forms'!A:E,5,false)</f>
        <v>Nolakh hazari shahkot </v>
      </c>
      <c r="F307" s="284" t="str">
        <f>IFERROR(__xludf.DUMMYFUNCTION("IFERROR(
  INDEX(
    FILTER(
      IMPORTRANGE(""1Cxrhp3-_-HS7v9uuqQliiIfrmMP4VaFoDNDWyUFy2J8/edit?gid=0#gid=0"",""Sheet1!Q:Q""),
      IMPORTRANGE(""1Cxrhp3-_-HS7v9uuqQliiIfrmMP4VaFoDNDWyUFy2J8/edit?gid=0#gid=0"",""Sheet1!K:K"")=$B307
    ),
    1
  ),
"&amp;"  ""Not Found""
)"),"Not Found")</f>
        <v>Not Found</v>
      </c>
      <c r="G307" s="292">
        <v>1963.0</v>
      </c>
      <c r="H307" s="284"/>
      <c r="I307" s="285" t="s">
        <v>197</v>
      </c>
      <c r="J307" s="286">
        <v>2.0</v>
      </c>
      <c r="K307" s="287" t="str">
        <f>VLOOKUP($B307,'Mosque Locations'!$A:$E,3,FALSE)
</f>
        <v>https://maps.google.com/?q=31.5741166,73.4732311</v>
      </c>
      <c r="L307" s="286">
        <f>VLOOKUP($B307,'Mosque Locations'!$A:$E,4,FALSE)
</f>
        <v>31.57412</v>
      </c>
      <c r="M307" s="286">
        <f>VLOOKUP($B307,'Mosque Locations'!$A:$E,5,false)</f>
        <v>73.47323</v>
      </c>
      <c r="N307" s="288"/>
      <c r="O307" s="288"/>
      <c r="P307" s="288"/>
      <c r="Q307" s="290" t="str">
        <f>IFERROR(__xludf.DUMMYFUNCTION("IFERROR(
  INDEX(
    FILTER(
      IMPORTRANGE(""1kOrIKZmJfNUkgOVP3sI9BPjaaPA0_a4636oymQxTXg8"",""Form Responses 1!N:N""),
      TRIM(IMPORTRANGE(""1kOrIKZmJfNUkgOVP3sI9BPjaaPA0_a4636oymQxTXg8"",""Form Responses 1!F:F""))=TRIM($B307)
    ),
    1
  ),
  "&amp;"""Not Found""
)
"),"https://drive.google.com/open?id=1jjl2ej5UcSCBiHbE29IhhzxkgngKWbfj")</f>
        <v>https://drive.google.com/open?id=1jjl2ej5UcSCBiHbE29IhhzxkgngKWbfj</v>
      </c>
      <c r="R307" s="290" t="str">
        <f>IFERROR(__xludf.DUMMYFUNCTION("IFERROR(
  INDEX(
    FILTER(
      IMPORTRANGE(""1kOrIKZmJfNUkgOVP3sI9BPjaaPA0_a4636oymQxTXg8"",""Form Responses 1!M:M""),
      TRIM(IMPORTRANGE(""1kOrIKZmJfNUkgOVP3sI9BPjaaPA0_a4636oymQxTXg8"",""Form Responses 1!F:F""))=TRIM($B307)
    ),
    1
  ),
  "&amp;"""Not Found""
)
"),"https://drive.google.com/open?id=14eXnMZsmSob2NknbjOkhrBGLRhFqwy7u")</f>
        <v>https://drive.google.com/open?id=14eXnMZsmSob2NknbjOkhrBGLRhFqwy7u</v>
      </c>
      <c r="S307" s="285"/>
      <c r="T307" s="290" t="str">
        <f>VLOOKUP($B307,'Master Tracker'!D:E,2,false)</f>
        <v>https://drive.google.com/open?id=1tiLmgzLiiI7-6P5MPm5CuiROv4HqkmqU</v>
      </c>
      <c r="U307" s="291" t="str">
        <f>VLOOKUP($B307,'Master Tracker'!$D:$T,4,FALSE)
</f>
        <v>https://drive.google.com/open?id=1G83kI0PunAuLNO57ws0GBekALp5Ruj2KL6h1inoDIPc</v>
      </c>
      <c r="V307" s="290" t="str">
        <f>VLOOKUP($B307,'Master Tracker'!$D:$T,5,false)</f>
        <v>https://drive.google.com/open?id=1X6ooIAeEh5MgvM0sMLiTf9bXEpqOo4Fh</v>
      </c>
      <c r="W307" s="291" t="str">
        <f>VLOOKUP($B307,'Master Tracker'!$D:$T,7,false)</f>
        <v>https://drive.google.com/open?id=1man3c7Wa2IAAFN7vNXAxMeYl9TFaY0w57mAnZ6dGU0w</v>
      </c>
      <c r="X307" s="290" t="str">
        <f>VLOOKUP($B307,'Master Tracker'!$D:$T,8,false)</f>
        <v>https://drive.google.com/open?id=1Ur2EEoMU1LZEMfkQmv1Up4RhpheYvWeE</v>
      </c>
      <c r="Y307" s="291" t="str">
        <f>VLOOKUP($B307,'Master Tracker'!$D:$T,10,false)</f>
        <v>https://drive.google.com/open?id=191aDj308R04Hp2XKQzK9hBZ0drumKfm3n4ZTsaCd5wg</v>
      </c>
      <c r="Z307" s="290" t="str">
        <f>VLOOKUP($B307,'Master Tracker'!$D:$T,11,false)</f>
        <v>https://drive.google.com/open?id=1Ug1DEMCHECXTgr2q-lS0C_CIoXFxo17o</v>
      </c>
      <c r="AA307" s="291" t="str">
        <f>VLOOKUP($B307,'Master Tracker'!$D:$T,13,false)</f>
        <v>https://drive.google.com/open?id=14SpHemu4ZjwaDGjMAcprJK1Qc9KSvRFl</v>
      </c>
      <c r="AB307" s="290" t="str">
        <f>VLOOKUP($B307,'Master Tracker'!$D:$T,14,false)</f>
        <v>https://drive.google.com/open?id=15DITqmF9OhvKqCgczyGpa49fcizweio5</v>
      </c>
      <c r="AC307" s="291" t="str">
        <f>VLOOKUP($B307,'Master Tracker'!$D:$T,16,false)</f>
        <v>https://drive.google.com/open?id=18z5URNvFY77K7yHMx4JVIxcPlwW20OjHu0hf7Nx0paw</v>
      </c>
      <c r="AD307" s="292" t="str">
        <f>VLOOKUP($B307,'Master Tracker'!$D:$T,17,false)</f>
        <v>Not Found</v>
      </c>
      <c r="AE307" s="292" t="str">
        <f>VLOOKUP($B307,'Master Tracker'!$D:$V,19,false)</f>
        <v>Not Found</v>
      </c>
      <c r="AF307" s="292">
        <f>IFERROR(__xludf.DUMMYFUNCTION("IFERROR(
  INDEX(
    FILTER(
      'Juma Recording forms'!$G:$G,
      TRIM('Juma Recording forms'!$F:$F) = TRIM($B307),
      'Juma Recording forms'!$AA:$AA = 1
    ),
    1
  ),
  ""Not Found""
)"),270.0)</f>
        <v>270</v>
      </c>
      <c r="AG307" s="292">
        <f>IFERROR(__xludf.DUMMYFUNCTION("IFERROR(
  INDEX(
    FILTER(
      'Juma Recording forms'!$G:$G,
      TRIM('Juma Recording forms'!$F:$F) = TRIM($B307),
      'Juma Recording forms'!$AA:$AA = 2
    ),
    1
  ),
  ""Not Found""
)"),290.0)</f>
        <v>290</v>
      </c>
      <c r="AH307" s="292">
        <f>IFERROR(__xludf.DUMMYFUNCTION("IFERROR(
  INDEX(
    FILTER(
      'Juma Recording forms'!$G:$G,
      TRIM('Juma Recording forms'!$F:$F) = TRIM($B307),
      'Juma Recording forms'!$AA:$AA = 3
    ),
    1
  ),
  ""Not Found""
)"),320.0)</f>
        <v>320</v>
      </c>
      <c r="AI307" s="292">
        <f>IFERROR(__xludf.DUMMYFUNCTION("IFERROR(
  INDEX(
    FILTER(
      'Juma Recording forms'!$G:$G,
      TRIM('Juma Recording forms'!$F:$F) = TRIM($B307),
      'Juma Recording forms'!$AA:$AA = 4
    ),
    1
  ),
  ""Not Found""
)"),220.0)</f>
        <v>220</v>
      </c>
      <c r="AJ307" s="292">
        <f>IFERROR(__xludf.DUMMYFUNCTION("IFERROR(
  INDEX(
    FILTER(
      'Juma Recording forms'!$G:$G,
      TRIM('Juma Recording forms'!$F:$F) = TRIM($B307),
      'Juma Recording forms'!$AA:$AA = 5
    ),
    1
  ),
  ""Not Found""
)"),330.0)</f>
        <v>330</v>
      </c>
      <c r="AK307" s="292" t="str">
        <f>IFERROR(__xludf.DUMMYFUNCTION("IFERROR(
  INDEX(
    FILTER(
      'Juma Recording forms'!$G:$G,
      TRIM('Juma Recording forms'!$F:$F) = TRIM($B307),
      'Juma Recording forms'!$AA:$AA = 6
    ),
    1
  ),
  ""Not Found""
)"),"Not Found")</f>
        <v>Not Found</v>
      </c>
      <c r="AL3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1!$E:$E"")=$B307) *
        (IMPORTRANGE(""https://docs.google.com/spreadsheets/d/161aHT6vVT3SLneTKD19N5qVWtnj_jIT8CSsOmUVKmaA/e"&amp;"dit?gid=1761053510"",
          ""Haris_Form responses 1!$AQ:$AQ"")=1)
      ),
      1
    ),
    ""0""
  ),
  ""Form not found""
)
"),"4")</f>
        <v>4</v>
      </c>
      <c r="AM3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1!$E:$E"")=$B307) *
        (IMPORTRANGE(""https://docs.google.com/spreadsheets/d/161aHT6vVT3SLneTKD19N5qVWtnj_jIT8CSsOmUVKmaA/e"&amp;"dit?gid=1761053510"",
          ""Haris_Form responses 1!$AQ:$AQ"")=2)
      ),
      1
    ),
    ""0""
  ),
  ""Form not found""
)
"),"0")</f>
        <v>0</v>
      </c>
      <c r="AN3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1!$E:$E"")=$B307) *
        (IMPORTRANGE(""https://docs.google.com/spreadsheets/d/161aHT6vVT3SLneTKD19N5qVWtnj_jIT8CSsOmUVKmaA/e"&amp;"dit?gid=1761053510"",
          ""Haris_Form responses 1!$AQ:$AQ"")=3)
      ),
      1
    ),
    ""0""
  ),
  ""Form not found""
)
"),"0")</f>
        <v>0</v>
      </c>
      <c r="AO3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1!$E:$E"")=$B307) *
        (IMPORTRANGE(""https://docs.google.com/spreadsheets/d/161aHT6vVT3SLneTKD19N5qVWtnj_jIT8CSsOmUVKmaA/e"&amp;"dit?gid=1761053510"",
          ""Haris_Form responses 1!$AQ:$AQ"")=4)
      ),
      1
    ),
    ""0""
  ),
  ""Form not found""
)
"),"5")</f>
        <v>5</v>
      </c>
      <c r="AP3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1!$E:$E"")=$B307) *
        (IMPORTRANGE(""https://docs.google.com/spreadsheets/d/161aHT6vVT3SLneTKD19N5qVWtnj_jIT8CSsOmUVKmaA/e"&amp;"dit?gid=1761053510"",
          ""Haris_Form responses 1!$AQ:$AQ"")=5)
      ),
      1
    ),
    ""0""
  ),
  ""Form not found""
)
"),"0")</f>
        <v>0</v>
      </c>
      <c r="AQ307"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1!$E:$E"")=$B307) *
        (IMPORTRANGE(""https://docs.google.com/spreadsheets/d/161aHT6vVT3SLneTKD19N5qVWtnj_jIT8CSsOmUVKmaA/e"&amp;"dit?gid=1761053510"",
          ""Haris_Form responses 1!$AQ:$AQ"")=6)
      ),
      1
    ),
    ""0""
  ),
  ""Form not found""
)
"),"Form not found")</f>
        <v>Form not found</v>
      </c>
      <c r="AR3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1!$E:$E"")=$B307) *
        (IMPORTRANGE(""https://docs.google.com/spreadsheets/d/161aHT6vVT3SLneTKD19N5qVWtnj_jIT8CSsOmUVKmaA/e"&amp;"dit?gid=1761053510"",
          ""Haris_Form responses 1!$AQ:$AQ"")=1)
      ),
      1
    ),
    ""0""
  ),
  ""Form not found""
)
"),"0")</f>
        <v>0</v>
      </c>
      <c r="AS3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1!$E:$E"")=$B307) *
        (IMPORTRANGE(""https://docs.google.com/spreadsheets/d/161aHT6vVT3SLneTKD19N5qVWtnj_jIT8CSsOmUVKmaA/e"&amp;"dit?gid=1761053510"",
          ""Haris_Form responses 1!$AQ:$AQ"")=2)
      ),
      1
    ),
    ""0""
  ),
  ""Form not found""
)
"),"0")</f>
        <v>0</v>
      </c>
      <c r="AT3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1!$E:$E"")=$B307) *
        (IMPORTRANGE(""https://docs.google.com/spreadsheets/d/161aHT6vVT3SLneTKD19N5qVWtnj_jIT8CSsOmUVKmaA/e"&amp;"dit?gid=1761053510"",
          ""Haris_Form responses 1!$AQ:$AQ"")=3)
      ),
      1
    ),
    ""0""
  ),
  ""Form not found""
)
"),"0")</f>
        <v>0</v>
      </c>
      <c r="AU3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1!$E:$E"")=$B307) *
        (IMPORTRANGE(""https://docs.google.com/spreadsheets/d/161aHT6vVT3SLneTKD19N5qVWtnj_jIT8CSsOmUVKmaA/e"&amp;"dit?gid=1761053510"",
          ""Haris_Form responses 1!$AQ:$AQ"")=4)
      ),
      1
    ),
    ""0""
  ),
  ""Form not found""
)
"),"0")</f>
        <v>0</v>
      </c>
      <c r="AV3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1!$E:$E"")=$B307) *
        (IMPORTRANGE(""https://docs.google.com/spreadsheets/d/161aHT6vVT3SLneTKD19N5qVWtnj_jIT8CSsOmUVKmaA/e"&amp;"dit?gid=1761053510"",
          ""Haris_Form responses 1!$AQ:$AQ"")=5)
      ),
      1
    ),
    ""0""
  ),
  ""Form not found""
)
"),"0")</f>
        <v>0</v>
      </c>
      <c r="AW307"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1!$E:$E"")=$B307) *
        (IMPORTRANGE(""https://docs.google.com/spreadsheets/d/161aHT6vVT3SLneTKD19N5qVWtnj_jIT8CSsOmUVKmaA/e"&amp;"dit?gid=1761053510"",
          ""Haris_Form responses 1!$AQ:$AQ"")=6)
      ),
      1
    ),
    ""0""
  ),
  ""Form not found""
)
"),"Form not found")</f>
        <v>Form not found</v>
      </c>
      <c r="AX3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1!$E:$E"")=$B307) *
        (IMPORTRANGE(""https://docs.google.com/spreadsheets/d/161aHT6vVT3SLneTKD19N5qVWtnj_jIT8CSsOmUVKmaA/e"&amp;"dit?gid=1761053510"",
          ""Haris_Form responses 1!$AQ:$AQ"")=1)
      ),
      1
    ),
    ""0""
  ),
  ""Form not found""
)
"),"4")</f>
        <v>4</v>
      </c>
      <c r="AY3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1!$E:$E"")=$B307) *
        (IMPORTRANGE(""https://docs.google.com/spreadsheets/d/161aHT6vVT3SLneTKD19N5qVWtnj_jIT8CSsOmUVKmaA/e"&amp;"dit?gid=1761053510"",
          ""Haris_Form responses 1!$AQ:$AQ"")=2)
      ),
      1
    ),
    ""0""
  ),
  ""Form not found""
)
"),"0")</f>
        <v>0</v>
      </c>
      <c r="AZ3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1!$E:$E"")=$B307) *
        (IMPORTRANGE(""https://docs.google.com/spreadsheets/d/161aHT6vVT3SLneTKD19N5qVWtnj_jIT8CSsOmUVKmaA/e"&amp;"dit?gid=1761053510"",
          ""Haris_Form responses 1!$AQ:$AQ"")=3)
      ),
      1
    ),
    ""0""
  ),
  ""Form not found""
)
"),"0")</f>
        <v>0</v>
      </c>
      <c r="BA3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1!$E:$E"")=$B307) *
        (IMPORTRANGE(""https://docs.google.com/spreadsheets/d/161aHT6vVT3SLneTKD19N5qVWtnj_jIT8CSsOmUVKmaA/e"&amp;"dit?gid=1761053510"",
          ""Haris_Form responses 1!$AQ:$AQ"")=4)
      ),
      1
    ),
    ""0""
  ),
  ""Form not found""
)
"),"4")</f>
        <v>4</v>
      </c>
      <c r="BB3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1!$E:$E"")=$B307) *
        (IMPORTRANGE(""https://docs.google.com/spreadsheets/d/161aHT6vVT3SLneTKD19N5qVWtnj_jIT8CSsOmUVKmaA/e"&amp;"dit?gid=1761053510"",
          ""Haris_Form responses 1!$AQ:$AQ"")=5)
      ),
      1
    ),
    ""0""
  ),
  ""Form not found""
)
"),"0")</f>
        <v>0</v>
      </c>
      <c r="BC307"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1!$E:$E"")=$B307) *
        (IMPORTRANGE(""https://docs.google.com/spreadsheets/d/161aHT6vVT3SLneTKD19N5qVWtnj_jIT8CSsOmUVKmaA/e"&amp;"dit?gid=1761053510"",
          ""Haris_Form responses 1!$AQ:$AQ"")=6)
      ),
      1
    ),
    ""0""
  ),
  ""Form not found""
)
"),"Form not found")</f>
        <v>Form not found</v>
      </c>
      <c r="BD307" s="293"/>
    </row>
    <row r="308">
      <c r="A308" s="283" t="str">
        <f>IFERROR(__xludf.DUMMYFUNCTION("VLOOKUP($B308,IMPORTRANGE(""https://docs.google.com/spreadsheets/d/1VNXDITjs75AcgdBSW27oL1VZH31udDprJSsBcE5xlp4/edit?gid=1551188038#gid=1551188038"", ""Sheet9!$B:$E""),2,false)"),"Shahkot")</f>
        <v>Shahkot</v>
      </c>
      <c r="B308" s="283" t="s">
        <v>3881</v>
      </c>
      <c r="C308" s="284" t="str">
        <f>IFERROR(__xludf.DUMMYFUNCTION("VLOOKUP(TRIM($B308), IMPORTRANGE(""https://docs.google.com/spreadsheets/d/1aSOrU4PTpuBZqfitKaH1Rfww6-YOiNCKoBpPl8XBHaw/edit?gid=0#gid=0"", ""sheet3!$B:$C""), 2, FALSE)
"),"Jamia Masjid Laari Adda Shahkot")</f>
        <v>Jamia Masjid Laari Adda Shahkot</v>
      </c>
      <c r="D308" s="284" t="str">
        <f>IFERROR(__xludf.DUMMYFUNCTION("IFERROR(
  INDEX(
    FILTER(
      IMPORTRANGE(""1aSOrU4PTpuBZqfitKaH1Rfww6-YOiNCKoBpPl8XBHaw/edit?gid=0#gid=0"",""Sheet1!G:G""),
      IMPORTRANGE(""1aSOrU4PTpuBZqfitKaH1Rfww6-YOiNCKoBpPl8XBHaw/edit?gid=0#gid=0"",""Sheet1!C:C"")=$B308
    ),
    1
  ),
"&amp;"  ""Not Found""
)"),"Community Secular Info Share")</f>
        <v>Community Secular Info Share</v>
      </c>
      <c r="E308" s="284" t="str">
        <f>VLOOKUP(B308,'Juma Recording forms'!A:E,5,false)</f>
        <v>Lari adda shahkot</v>
      </c>
      <c r="F308" s="284" t="str">
        <f>IFERROR(__xludf.DUMMYFUNCTION("IFERROR(
  INDEX(
    FILTER(
      IMPORTRANGE(""1Cxrhp3-_-HS7v9uuqQliiIfrmMP4VaFoDNDWyUFy2J8/edit?gid=0#gid=0"",""Sheet1!Q:Q""),
      IMPORTRANGE(""1Cxrhp3-_-HS7v9uuqQliiIfrmMP4VaFoDNDWyUFy2J8/edit?gid=0#gid=0"",""Sheet1!K:K"")=$B308
    ),
    1
  ),
"&amp;"  ""Not Found""
)"),"m afzal")</f>
        <v>m afzal</v>
      </c>
      <c r="G308" s="284">
        <v>1960.0</v>
      </c>
      <c r="H308" s="284"/>
      <c r="I308" s="285" t="s">
        <v>197</v>
      </c>
      <c r="J308" s="286">
        <v>2.0</v>
      </c>
      <c r="K308" s="287" t="str">
        <f>VLOOKUP($B308,'Mosque Locations'!$A:$E,3,FALSE)
</f>
        <v>https://www.google.com/maps?q=31.5782176,73.4759467</v>
      </c>
      <c r="L308" s="286">
        <f>VLOOKUP($B308,'Mosque Locations'!$A:$E,4,FALSE)
</f>
        <v>31.57822</v>
      </c>
      <c r="M308" s="286">
        <f>VLOOKUP($B308,'Mosque Locations'!$A:$E,5,false)</f>
        <v>73.47595</v>
      </c>
      <c r="N308" s="288"/>
      <c r="O308" s="288"/>
      <c r="P308" s="288"/>
      <c r="Q308" s="290" t="str">
        <f>IFERROR(__xludf.DUMMYFUNCTION("IFERROR(
  INDEX(
    FILTER(
      IMPORTRANGE(""1kOrIKZmJfNUkgOVP3sI9BPjaaPA0_a4636oymQxTXg8"",""Form Responses 1!N:N""),
      TRIM(IMPORTRANGE(""1kOrIKZmJfNUkgOVP3sI9BPjaaPA0_a4636oymQxTXg8"",""Form Responses 1!F:F""))=TRIM($B308)
    ),
    1
  ),
  "&amp;"""Not Found""
)
"),"https://drive.google.com/open?id=1d0vODkwil6UHYC03Fg9lH47nk4BbXlSZ")</f>
        <v>https://drive.google.com/open?id=1d0vODkwil6UHYC03Fg9lH47nk4BbXlSZ</v>
      </c>
      <c r="R308" s="290" t="str">
        <f>IFERROR(__xludf.DUMMYFUNCTION("IFERROR(
  INDEX(
    FILTER(
      IMPORTRANGE(""1kOrIKZmJfNUkgOVP3sI9BPjaaPA0_a4636oymQxTXg8"",""Form Responses 1!M:M""),
      TRIM(IMPORTRANGE(""1kOrIKZmJfNUkgOVP3sI9BPjaaPA0_a4636oymQxTXg8"",""Form Responses 1!F:F""))=TRIM($B308)
    ),
    1
  ),
  "&amp;"""Not Found""
)
"),"https://drive.google.com/open?id=1oCHa4cRdvm0EFx9Chj1F02lSd36X-sWL")</f>
        <v>https://drive.google.com/open?id=1oCHa4cRdvm0EFx9Chj1F02lSd36X-sWL</v>
      </c>
      <c r="S308" s="285"/>
      <c r="T308" s="290" t="str">
        <f>VLOOKUP($B308,'Master Tracker'!D:E,2,false)</f>
        <v>https://drive.google.com/open?id=1B107z-E5O0O3iC0Op9oXWor0S0kTtzMg</v>
      </c>
      <c r="U308" s="291" t="str">
        <f>VLOOKUP($B308,'Master Tracker'!$D:$T,4,FALSE)
</f>
        <v>https://drive.google.com/open?id=1YOmDaSKHCNtIxojssPPCNcHBmi-Muv-f</v>
      </c>
      <c r="V308" s="290" t="str">
        <f>VLOOKUP($B308,'Master Tracker'!$D:$T,5,false)</f>
        <v>https://drive.google.com/open?id=1_GFmfKlZqChoNr4o0hCPAaXmEuCamMnZ</v>
      </c>
      <c r="W308" s="291" t="str">
        <f>VLOOKUP($B308,'Master Tracker'!$D:$T,7,false)</f>
        <v>https://drive.google.com/open?id=1ndMXDSp8Fuw3_VvIkNKts919bTJkc8-Q</v>
      </c>
      <c r="X308" s="290" t="str">
        <f>VLOOKUP($B308,'Master Tracker'!$D:$T,8,false)</f>
        <v>https://drive.google.com/open?id=16z5OyHIsNWmHF8sCFj9A7P_JQtNQNtw7</v>
      </c>
      <c r="Y308" s="291" t="str">
        <f>VLOOKUP($B308,'Master Tracker'!$D:$T,10,false)</f>
        <v>https://drive.google.com/open?id=1tLlird2y5Ai1F4b5JpWinGf2iV2EmtsWzOxkVe7XqYs</v>
      </c>
      <c r="Z308" s="284" t="str">
        <f>VLOOKUP($B308,'Master Tracker'!$D:$T,11,false)</f>
        <v>Not Found</v>
      </c>
      <c r="AA308" s="292" t="str">
        <f>VLOOKUP($B308,'Master Tracker'!$D:$T,13,false)</f>
        <v>Not Found</v>
      </c>
      <c r="AB308" s="284" t="str">
        <f>VLOOKUP($B308,'Master Tracker'!$D:$T,14,false)</f>
        <v>Not Found</v>
      </c>
      <c r="AC308" s="292" t="str">
        <f>VLOOKUP($B308,'Master Tracker'!$D:$T,16,false)</f>
        <v>Not Found</v>
      </c>
      <c r="AD308" s="292" t="str">
        <f>VLOOKUP($B308,'Master Tracker'!$D:$T,17,false)</f>
        <v>Not Found</v>
      </c>
      <c r="AE308" s="292" t="str">
        <f>VLOOKUP($B308,'Master Tracker'!$D:$V,19,false)</f>
        <v>Not Found</v>
      </c>
      <c r="AF308" s="292">
        <f>IFERROR(__xludf.DUMMYFUNCTION("IFERROR(
  INDEX(
    FILTER(
      'Juma Recording forms'!$G:$G,
      TRIM('Juma Recording forms'!$F:$F) = TRIM($B308),
      'Juma Recording forms'!$AA:$AA = 1
    ),
    1
  ),
  ""Not Found""
)"),76.0)</f>
        <v>76</v>
      </c>
      <c r="AG308" s="292">
        <f>IFERROR(__xludf.DUMMYFUNCTION("IFERROR(
  INDEX(
    FILTER(
      'Juma Recording forms'!$G:$G,
      TRIM('Juma Recording forms'!$F:$F) = TRIM($B308),
      'Juma Recording forms'!$AA:$AA = 2
    ),
    1
  ),
  ""Not Found""
)"),76.0)</f>
        <v>76</v>
      </c>
      <c r="AH308" s="292">
        <f>IFERROR(__xludf.DUMMYFUNCTION("IFERROR(
  INDEX(
    FILTER(
      'Juma Recording forms'!$G:$G,
      TRIM('Juma Recording forms'!$F:$F) = TRIM($B308),
      'Juma Recording forms'!$AA:$AA = 3
    ),
    1
  ),
  ""Not Found""
)"),220.0)</f>
        <v>220</v>
      </c>
      <c r="AI308" s="292" t="str">
        <f>IFERROR(__xludf.DUMMYFUNCTION("IFERROR(
  INDEX(
    FILTER(
      'Juma Recording forms'!$G:$G,
      TRIM('Juma Recording forms'!$F:$F) = TRIM($B308),
      'Juma Recording forms'!$AA:$AA = 4
    ),
    1
  ),
  ""Not Found""
)"),"Not Found")</f>
        <v>Not Found</v>
      </c>
      <c r="AJ308" s="292" t="str">
        <f>IFERROR(__xludf.DUMMYFUNCTION("IFERROR(
  INDEX(
    FILTER(
      'Juma Recording forms'!$G:$G,
      TRIM('Juma Recording forms'!$F:$F) = TRIM($B308),
      'Juma Recording forms'!$AA:$AA = 5
    ),
    1
  ),
  ""Not Found""
)"),"Not Found")</f>
        <v>Not Found</v>
      </c>
      <c r="AK308" s="292" t="str">
        <f>IFERROR(__xludf.DUMMYFUNCTION("IFERROR(
  INDEX(
    FILTER(
      'Juma Recording forms'!$G:$G,
      TRIM('Juma Recording forms'!$F:$F) = TRIM($B308),
      'Juma Recording forms'!$AA:$AA = 6
    ),
    1
  ),
  ""Not Found""
)"),"Not Found")</f>
        <v>Not Found</v>
      </c>
      <c r="AL3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1!$E:$E"")=$B308) *
        (IMPORTRANGE(""https://docs.google.com/spreadsheets/d/161aHT6vVT3SLneTKD19N5qVWtnj_jIT8CSsOmUVKmaA/e"&amp;"dit?gid=1761053510"",
          ""Haris_Form responses 1!$AQ:$AQ"")=1)
      ),
      1
    ),
    ""0""
  ),
  ""Form not found""
)
"),"7")</f>
        <v>7</v>
      </c>
      <c r="AM3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1!$E:$E"")=$B308) *
        (IMPORTRANGE(""https://docs.google.com/spreadsheets/d/161aHT6vVT3SLneTKD19N5qVWtnj_jIT8CSsOmUVKmaA/e"&amp;"dit?gid=1761053510"",
          ""Haris_Form responses 1!$AQ:$AQ"")=2)
      ),
      1
    ),
    ""0""
  ),
  ""Form not found""
)
"),"9")</f>
        <v>9</v>
      </c>
      <c r="AN3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1!$E:$E"")=$B308) *
        (IMPORTRANGE(""https://docs.google.com/spreadsheets/d/161aHT6vVT3SLneTKD19N5qVWtnj_jIT8CSsOmUVKmaA/e"&amp;"dit?gid=1761053510"",
          ""Haris_Form responses 1!$AQ:$AQ"")=3)
      ),
      1
    ),
    ""0""
  ),
  ""Form not found""
)
"),"0")</f>
        <v>0</v>
      </c>
      <c r="AO3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1!$E:$E"")=$B308) *
        (IMPORTRANGE(""https://docs.google.com/spreadsheets/d/161aHT6vVT3SLneTKD19N5qVWtnj_jIT8CSsOmUVKmaA/e"&amp;"dit?gid=1761053510"",
          ""Haris_Form responses 1!$AQ:$AQ"")=4)
      ),
      1
    ),
    ""0""
  ),
  ""Form not found""
)
"),"Form not found")</f>
        <v>Form not found</v>
      </c>
      <c r="AP3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1!$E:$E"")=$B308) *
        (IMPORTRANGE(""https://docs.google.com/spreadsheets/d/161aHT6vVT3SLneTKD19N5qVWtnj_jIT8CSsOmUVKmaA/e"&amp;"dit?gid=1761053510"",
          ""Haris_Form responses 1!$AQ:$AQ"")=5)
      ),
      1
    ),
    ""0""
  ),
  ""Form not found""
)
"),"Form not found")</f>
        <v>Form not found</v>
      </c>
      <c r="AQ308"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1!$E:$E"")=$B308) *
        (IMPORTRANGE(""https://docs.google.com/spreadsheets/d/161aHT6vVT3SLneTKD19N5qVWtnj_jIT8CSsOmUVKmaA/e"&amp;"dit?gid=1761053510"",
          ""Haris_Form responses 1!$AQ:$AQ"")=6)
      ),
      1
    ),
    ""0""
  ),
  ""Form not found""
)
"),"Form not found")</f>
        <v>Form not found</v>
      </c>
      <c r="AR3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1!$E:$E"")=$B308) *
        (IMPORTRANGE(""https://docs.google.com/spreadsheets/d/161aHT6vVT3SLneTKD19N5qVWtnj_jIT8CSsOmUVKmaA/e"&amp;"dit?gid=1761053510"",
          ""Haris_Form responses 1!$AQ:$AQ"")=1)
      ),
      1
    ),
    ""0""
  ),
  ""Form not found""
)
"),"7")</f>
        <v>7</v>
      </c>
      <c r="AS3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1!$E:$E"")=$B308) *
        (IMPORTRANGE(""https://docs.google.com/spreadsheets/d/161aHT6vVT3SLneTKD19N5qVWtnj_jIT8CSsOmUVKmaA/e"&amp;"dit?gid=1761053510"",
          ""Haris_Form responses 1!$AQ:$AQ"")=2)
      ),
      1
    ),
    ""0""
  ),
  ""Form not found""
)
"),"9")</f>
        <v>9</v>
      </c>
      <c r="AT3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1!$E:$E"")=$B308) *
        (IMPORTRANGE(""https://docs.google.com/spreadsheets/d/161aHT6vVT3SLneTKD19N5qVWtnj_jIT8CSsOmUVKmaA/e"&amp;"dit?gid=1761053510"",
          ""Haris_Form responses 1!$AQ:$AQ"")=3)
      ),
      1
    ),
    ""0""
  ),
  ""Form not found""
)
"),"0")</f>
        <v>0</v>
      </c>
      <c r="AU3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1!$E:$E"")=$B308) *
        (IMPORTRANGE(""https://docs.google.com/spreadsheets/d/161aHT6vVT3SLneTKD19N5qVWtnj_jIT8CSsOmUVKmaA/e"&amp;"dit?gid=1761053510"",
          ""Haris_Form responses 1!$AQ:$AQ"")=4)
      ),
      1
    ),
    ""0""
  ),
  ""Form not found""
)
"),"Form not found")</f>
        <v>Form not found</v>
      </c>
      <c r="AV3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1!$E:$E"")=$B308) *
        (IMPORTRANGE(""https://docs.google.com/spreadsheets/d/161aHT6vVT3SLneTKD19N5qVWtnj_jIT8CSsOmUVKmaA/e"&amp;"dit?gid=1761053510"",
          ""Haris_Form responses 1!$AQ:$AQ"")=5)
      ),
      1
    ),
    ""0""
  ),
  ""Form not found""
)
"),"Form not found")</f>
        <v>Form not found</v>
      </c>
      <c r="AW308"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1!$E:$E"")=$B308) *
        (IMPORTRANGE(""https://docs.google.com/spreadsheets/d/161aHT6vVT3SLneTKD19N5qVWtnj_jIT8CSsOmUVKmaA/e"&amp;"dit?gid=1761053510"",
          ""Haris_Form responses 1!$AQ:$AQ"")=6)
      ),
      1
    ),
    ""0""
  ),
  ""Form not found""
)
"),"Form not found")</f>
        <v>Form not found</v>
      </c>
      <c r="AX3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1!$E:$E"")=$B308) *
        (IMPORTRANGE(""https://docs.google.com/spreadsheets/d/161aHT6vVT3SLneTKD19N5qVWtnj_jIT8CSsOmUVKmaA/e"&amp;"dit?gid=1761053510"",
          ""Haris_Form responses 1!$AQ:$AQ"")=1)
      ),
      1
    ),
    ""0""
  ),
  ""Form not found""
)
"),"0")</f>
        <v>0</v>
      </c>
      <c r="AY3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1!$E:$E"")=$B308) *
        (IMPORTRANGE(""https://docs.google.com/spreadsheets/d/161aHT6vVT3SLneTKD19N5qVWtnj_jIT8CSsOmUVKmaA/e"&amp;"dit?gid=1761053510"",
          ""Haris_Form responses 1!$AQ:$AQ"")=2)
      ),
      1
    ),
    ""0""
  ),
  ""Form not found""
)
"),"0")</f>
        <v>0</v>
      </c>
      <c r="AZ3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1!$E:$E"")=$B308) *
        (IMPORTRANGE(""https://docs.google.com/spreadsheets/d/161aHT6vVT3SLneTKD19N5qVWtnj_jIT8CSsOmUVKmaA/e"&amp;"dit?gid=1761053510"",
          ""Haris_Form responses 1!$AQ:$AQ"")=3)
      ),
      1
    ),
    ""0""
  ),
  ""Form not found""
)
"),"0")</f>
        <v>0</v>
      </c>
      <c r="BA3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1!$E:$E"")=$B308) *
        (IMPORTRANGE(""https://docs.google.com/spreadsheets/d/161aHT6vVT3SLneTKD19N5qVWtnj_jIT8CSsOmUVKmaA/e"&amp;"dit?gid=1761053510"",
          ""Haris_Form responses 1!$AQ:$AQ"")=4)
      ),
      1
    ),
    ""0""
  ),
  ""Form not found""
)
"),"Form not found")</f>
        <v>Form not found</v>
      </c>
      <c r="BB3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1!$E:$E"")=$B308) *
        (IMPORTRANGE(""https://docs.google.com/spreadsheets/d/161aHT6vVT3SLneTKD19N5qVWtnj_jIT8CSsOmUVKmaA/e"&amp;"dit?gid=1761053510"",
          ""Haris_Form responses 1!$AQ:$AQ"")=5)
      ),
      1
    ),
    ""0""
  ),
  ""Form not found""
)
"),"Form not found")</f>
        <v>Form not found</v>
      </c>
      <c r="BC308"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1!$E:$E"")=$B308) *
        (IMPORTRANGE(""https://docs.google.com/spreadsheets/d/161aHT6vVT3SLneTKD19N5qVWtnj_jIT8CSsOmUVKmaA/e"&amp;"dit?gid=1761053510"",
          ""Haris_Form responses 1!$AQ:$AQ"")=6)
      ),
      1
    ),
    ""0""
  ),
  ""Form not found""
)
"),"Form not found")</f>
        <v>Form not found</v>
      </c>
      <c r="BD308" s="293"/>
    </row>
    <row r="309">
      <c r="A309" s="283" t="str">
        <f>IFERROR(__xludf.DUMMYFUNCTION("VLOOKUP($B309,IMPORTRANGE(""https://docs.google.com/spreadsheets/d/1VNXDITjs75AcgdBSW27oL1VZH31udDprJSsBcE5xlp4/edit?gid=1551188038#gid=1551188038"", ""Sheet9!$B:$E""),2,false)"),"Shahkot")</f>
        <v>Shahkot</v>
      </c>
      <c r="B309" s="283" t="s">
        <v>4011</v>
      </c>
      <c r="C309" s="284" t="str">
        <f>IFERROR(__xludf.DUMMYFUNCTION("VLOOKUP(TRIM($B309), IMPORTRANGE(""https://docs.google.com/spreadsheets/d/1aSOrU4PTpuBZqfitKaH1Rfww6-YOiNCKoBpPl8XBHaw/edit?gid=0#gid=0"", ""sheet3!$B:$C""), 2, FALSE)
"),"Jamia Masjid Markazi Rizwi Sangala Hill")</f>
        <v>Jamia Masjid Markazi Rizwi Sangala Hill</v>
      </c>
      <c r="D309" s="284" t="str">
        <f>IFERROR(__xludf.DUMMYFUNCTION("IFERROR(
  INDEX(
    FILTER(
      IMPORTRANGE(""1aSOrU4PTpuBZqfitKaH1Rfww6-YOiNCKoBpPl8XBHaw/edit?gid=0#gid=0"",""Sheet1!G:G""),
      IMPORTRANGE(""1aSOrU4PTpuBZqfitKaH1Rfww6-YOiNCKoBpPl8XBHaw/edit?gid=0#gid=0"",""Sheet1!C:C"")=$B309
    ),
    1
  ),
"&amp;"  ""Not Found""
)"),"Community Secular Info Share")</f>
        <v>Community Secular Info Share</v>
      </c>
      <c r="E309" s="284" t="str">
        <f>VLOOKUP(B309,'Juma Recording forms'!A:E,5,false)</f>
        <v>Jamia Masjid markzi Rizwai Sangla Hill</v>
      </c>
      <c r="F309" s="284" t="str">
        <f>IFERROR(__xludf.DUMMYFUNCTION("IFERROR(
  INDEX(
    FILTER(
      IMPORTRANGE(""1Cxrhp3-_-HS7v9uuqQliiIfrmMP4VaFoDNDWyUFy2J8/edit?gid=0#gid=0"",""Sheet1!Q:Q""),
      IMPORTRANGE(""1Cxrhp3-_-HS7v9uuqQliiIfrmMP4VaFoDNDWyUFy2J8/edit?gid=0#gid=0"",""Sheet1!K:K"")=$B309
    ),
    1
  ),
"&amp;"  ""Not Found""
)"),"prof doctor syed azfar haider naqvi")</f>
        <v>prof doctor syed azfar haider naqvi</v>
      </c>
      <c r="G309" s="284">
        <v>1947.0</v>
      </c>
      <c r="H309" s="284"/>
      <c r="I309" s="285" t="s">
        <v>197</v>
      </c>
      <c r="J309" s="286">
        <v>2.0</v>
      </c>
      <c r="K309" s="287" t="str">
        <f>VLOOKUP($B309,'Mosque Locations'!$A:$E,3,FALSE)
</f>
        <v>https://maps.google.com/?q=31.7152984,73.3771368</v>
      </c>
      <c r="L309" s="286">
        <f>VLOOKUP($B309,'Mosque Locations'!$A:$E,4,FALSE)
</f>
        <v>31.7153</v>
      </c>
      <c r="M309" s="286">
        <f>VLOOKUP($B309,'Mosque Locations'!$A:$E,5,false)</f>
        <v>73.37714</v>
      </c>
      <c r="N309" s="288"/>
      <c r="O309" s="288"/>
      <c r="P309" s="288"/>
      <c r="Q309" s="290" t="str">
        <f>IFERROR(__xludf.DUMMYFUNCTION("IFERROR(
  INDEX(
    FILTER(
      IMPORTRANGE(""1kOrIKZmJfNUkgOVP3sI9BPjaaPA0_a4636oymQxTXg8"",""Form Responses 1!N:N""),
      TRIM(IMPORTRANGE(""1kOrIKZmJfNUkgOVP3sI9BPjaaPA0_a4636oymQxTXg8"",""Form Responses 1!F:F""))=TRIM($B309)
    ),
    1
  ),
  "&amp;"""Not Found""
)
"),"https://drive.google.com/open?id=1pwNNGJIEg2QQBeWmgMazh9WS-aFuHf5V")</f>
        <v>https://drive.google.com/open?id=1pwNNGJIEg2QQBeWmgMazh9WS-aFuHf5V</v>
      </c>
      <c r="R309" s="290" t="str">
        <f>IFERROR(__xludf.DUMMYFUNCTION("IFERROR(
  INDEX(
    FILTER(
      IMPORTRANGE(""1kOrIKZmJfNUkgOVP3sI9BPjaaPA0_a4636oymQxTXg8"",""Form Responses 1!M:M""),
      TRIM(IMPORTRANGE(""1kOrIKZmJfNUkgOVP3sI9BPjaaPA0_a4636oymQxTXg8"",""Form Responses 1!F:F""))=TRIM($B309)
    ),
    1
  ),
  "&amp;"""Not Found""
)
"),"https://drive.google.com/open?id=17nhDYYPAHq99zJ0M5d0Y7n6Sq8hENis4")</f>
        <v>https://drive.google.com/open?id=17nhDYYPAHq99zJ0M5d0Y7n6Sq8hENis4</v>
      </c>
      <c r="S309" s="285"/>
      <c r="T309" s="290" t="str">
        <f>VLOOKUP($B309,'Master Tracker'!D:E,2,false)</f>
        <v>https://drive.google.com/open?id=1vQMlqxPX2gStCNxeuS_OrR678ELDHI_v</v>
      </c>
      <c r="U309" s="291" t="str">
        <f>VLOOKUP($B309,'Master Tracker'!$D:$T,4,FALSE)
</f>
        <v>https://drive.google.com/open?id=1kkdTBGKMNPRgsGrJSpuDHKzB6DGB0mNc0dmW_h1L1rY</v>
      </c>
      <c r="V309" s="290" t="str">
        <f>VLOOKUP($B309,'Master Tracker'!$D:$T,5,false)</f>
        <v>https://drive.google.com/open?id=1E4coFNTzraeg1pdkKKtHcvyZDBULsRz2</v>
      </c>
      <c r="W309" s="291" t="str">
        <f>VLOOKUP($B309,'Master Tracker'!$D:$T,7,false)</f>
        <v>https://drive.google.com/open?id=1x9AD4KCMrxPxy7Pv8B1u-b58QWRjSqrWvHsKn0K0cQA</v>
      </c>
      <c r="X309" s="290" t="str">
        <f>VLOOKUP($B309,'Master Tracker'!$D:$T,8,false)</f>
        <v>https://drive.google.com/open?id=1-V_rAs2k2TMpKdc11sJPw78KboDJdJ6O</v>
      </c>
      <c r="Y309" s="291" t="str">
        <f>VLOOKUP($B309,'Master Tracker'!$D:$T,10,false)</f>
        <v>https://drive.google.com/open?id=1tf6CBouEOkPFtVy2dhf8GvnCCpqcDTuG5OjsQWZnUZM</v>
      </c>
      <c r="Z309" s="284" t="str">
        <f>VLOOKUP($B309,'Master Tracker'!$D:$T,11,false)</f>
        <v>Not Found</v>
      </c>
      <c r="AA309" s="292" t="str">
        <f>VLOOKUP($B309,'Master Tracker'!$D:$T,13,false)</f>
        <v>Not Found</v>
      </c>
      <c r="AB309" s="284" t="str">
        <f>VLOOKUP($B309,'Master Tracker'!$D:$T,14,false)</f>
        <v>Not Found</v>
      </c>
      <c r="AC309" s="292" t="str">
        <f>VLOOKUP($B309,'Master Tracker'!$D:$T,16,false)</f>
        <v>Not Found</v>
      </c>
      <c r="AD309" s="292" t="str">
        <f>VLOOKUP($B309,'Master Tracker'!$D:$T,17,false)</f>
        <v>Not Found</v>
      </c>
      <c r="AE309" s="292" t="str">
        <f>VLOOKUP($B309,'Master Tracker'!$D:$V,19,false)</f>
        <v>Not Found</v>
      </c>
      <c r="AF309" s="292">
        <f>IFERROR(__xludf.DUMMYFUNCTION("IFERROR(
  INDEX(
    FILTER(
      'Juma Recording forms'!$G:$G,
      TRIM('Juma Recording forms'!$F:$F) = TRIM($B309),
      'Juma Recording forms'!$AA:$AA = 1
    ),
    1
  ),
  ""Not Found""
)"),750.0)</f>
        <v>750</v>
      </c>
      <c r="AG309" s="292">
        <f>IFERROR(__xludf.DUMMYFUNCTION("IFERROR(
  INDEX(
    FILTER(
      'Juma Recording forms'!$G:$G,
      TRIM('Juma Recording forms'!$F:$F) = TRIM($B309),
      'Juma Recording forms'!$AA:$AA = 2
    ),
    1
  ),
  ""Not Found""
)"),700.0)</f>
        <v>700</v>
      </c>
      <c r="AH309" s="292">
        <f>IFERROR(__xludf.DUMMYFUNCTION("IFERROR(
  INDEX(
    FILTER(
      'Juma Recording forms'!$G:$G,
      TRIM('Juma Recording forms'!$F:$F) = TRIM($B309),
      'Juma Recording forms'!$AA:$AA = 3
    ),
    1
  ),
  ""Not Found""
)"),700.0)</f>
        <v>700</v>
      </c>
      <c r="AI309" s="292" t="str">
        <f>IFERROR(__xludf.DUMMYFUNCTION("IFERROR(
  INDEX(
    FILTER(
      'Juma Recording forms'!$G:$G,
      TRIM('Juma Recording forms'!$F:$F) = TRIM($B309),
      'Juma Recording forms'!$AA:$AA = 4
    ),
    1
  ),
  ""Not Found""
)"),"Not Found")</f>
        <v>Not Found</v>
      </c>
      <c r="AJ309" s="292" t="str">
        <f>IFERROR(__xludf.DUMMYFUNCTION("IFERROR(
  INDEX(
    FILTER(
      'Juma Recording forms'!$G:$G,
      TRIM('Juma Recording forms'!$F:$F) = TRIM($B309),
      'Juma Recording forms'!$AA:$AA = 5
    ),
    1
  ),
  ""Not Found""
)"),"Not Found")</f>
        <v>Not Found</v>
      </c>
      <c r="AK309" s="292" t="str">
        <f>IFERROR(__xludf.DUMMYFUNCTION("IFERROR(
  INDEX(
    FILTER(
      'Juma Recording forms'!$G:$G,
      TRIM('Juma Recording forms'!$F:$F) = TRIM($B309),
      'Juma Recording forms'!$AA:$AA = 6
    ),
    1
  ),
  ""Not Found""
)"),"Not Found")</f>
        <v>Not Found</v>
      </c>
      <c r="AL3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1!$E:$E"")=$B309) *
        (IMPORTRANGE(""https://docs.google.com/spreadsheets/d/161aHT6vVT3SLneTKD19N5qVWtnj_jIT8CSsOmUVKmaA/e"&amp;"dit?gid=1761053510"",
          ""Haris_Form responses 1!$AQ:$AQ"")=1)
      ),
      1
    ),
    ""0""
  ),
  ""Form not found""
)
"),"9")</f>
        <v>9</v>
      </c>
      <c r="AM3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1!$E:$E"")=$B309) *
        (IMPORTRANGE(""https://docs.google.com/spreadsheets/d/161aHT6vVT3SLneTKD19N5qVWtnj_jIT8CSsOmUVKmaA/e"&amp;"dit?gid=1761053510"",
          ""Haris_Form responses 1!$AQ:$AQ"")=2)
      ),
      1
    ),
    ""0""
  ),
  ""Form not found""
)
"),"6")</f>
        <v>6</v>
      </c>
      <c r="AN3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1!$E:$E"")=$B309) *
        (IMPORTRANGE(""https://docs.google.com/spreadsheets/d/161aHT6vVT3SLneTKD19N5qVWtnj_jIT8CSsOmUVKmaA/e"&amp;"dit?gid=1761053510"",
          ""Haris_Form responses 1!$AQ:$AQ"")=3)
      ),
      1
    ),
    ""0""
  ),
  ""Form not found""
)
"),"0")</f>
        <v>0</v>
      </c>
      <c r="AO3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1!$E:$E"")=$B309) *
        (IMPORTRANGE(""https://docs.google.com/spreadsheets/d/161aHT6vVT3SLneTKD19N5qVWtnj_jIT8CSsOmUVKmaA/e"&amp;"dit?gid=1761053510"",
          ""Haris_Form responses 1!$AQ:$AQ"")=4)
      ),
      1
    ),
    ""0""
  ),
  ""Form not found""
)
"),"Form not found")</f>
        <v>Form not found</v>
      </c>
      <c r="AP3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1!$E:$E"")=$B309) *
        (IMPORTRANGE(""https://docs.google.com/spreadsheets/d/161aHT6vVT3SLneTKD19N5qVWtnj_jIT8CSsOmUVKmaA/e"&amp;"dit?gid=1761053510"",
          ""Haris_Form responses 1!$AQ:$AQ"")=5)
      ),
      1
    ),
    ""0""
  ),
  ""Form not found""
)
"),"Form not found")</f>
        <v>Form not found</v>
      </c>
      <c r="AQ309"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1!$E:$E"")=$B309) *
        (IMPORTRANGE(""https://docs.google.com/spreadsheets/d/161aHT6vVT3SLneTKD19N5qVWtnj_jIT8CSsOmUVKmaA/e"&amp;"dit?gid=1761053510"",
          ""Haris_Form responses 1!$AQ:$AQ"")=6)
      ),
      1
    ),
    ""0""
  ),
  ""Form not found""
)
"),"Form not found")</f>
        <v>Form not found</v>
      </c>
      <c r="AR3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1!$E:$E"")=$B309) *
        (IMPORTRANGE(""https://docs.google.com/spreadsheets/d/161aHT6vVT3SLneTKD19N5qVWtnj_jIT8CSsOmUVKmaA/e"&amp;"dit?gid=1761053510"",
          ""Haris_Form responses 1!$AQ:$AQ"")=1)
      ),
      1
    ),
    ""0""
  ),
  ""Form not found""
)
"),"9")</f>
        <v>9</v>
      </c>
      <c r="AS3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1!$E:$E"")=$B309) *
        (IMPORTRANGE(""https://docs.google.com/spreadsheets/d/161aHT6vVT3SLneTKD19N5qVWtnj_jIT8CSsOmUVKmaA/e"&amp;"dit?gid=1761053510"",
          ""Haris_Form responses 1!$AQ:$AQ"")=2)
      ),
      1
    ),
    ""0""
  ),
  ""Form not found""
)
"),"6")</f>
        <v>6</v>
      </c>
      <c r="AT3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1!$E:$E"")=$B309) *
        (IMPORTRANGE(""https://docs.google.com/spreadsheets/d/161aHT6vVT3SLneTKD19N5qVWtnj_jIT8CSsOmUVKmaA/e"&amp;"dit?gid=1761053510"",
          ""Haris_Form responses 1!$AQ:$AQ"")=3)
      ),
      1
    ),
    ""0""
  ),
  ""Form not found""
)
"),"0")</f>
        <v>0</v>
      </c>
      <c r="AU3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1!$E:$E"")=$B309) *
        (IMPORTRANGE(""https://docs.google.com/spreadsheets/d/161aHT6vVT3SLneTKD19N5qVWtnj_jIT8CSsOmUVKmaA/e"&amp;"dit?gid=1761053510"",
          ""Haris_Form responses 1!$AQ:$AQ"")=4)
      ),
      1
    ),
    ""0""
  ),
  ""Form not found""
)
"),"Form not found")</f>
        <v>Form not found</v>
      </c>
      <c r="AV3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1!$E:$E"")=$B309) *
        (IMPORTRANGE(""https://docs.google.com/spreadsheets/d/161aHT6vVT3SLneTKD19N5qVWtnj_jIT8CSsOmUVKmaA/e"&amp;"dit?gid=1761053510"",
          ""Haris_Form responses 1!$AQ:$AQ"")=5)
      ),
      1
    ),
    ""0""
  ),
  ""Form not found""
)
"),"Form not found")</f>
        <v>Form not found</v>
      </c>
      <c r="AW309"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1!$E:$E"")=$B309) *
        (IMPORTRANGE(""https://docs.google.com/spreadsheets/d/161aHT6vVT3SLneTKD19N5qVWtnj_jIT8CSsOmUVKmaA/e"&amp;"dit?gid=1761053510"",
          ""Haris_Form responses 1!$AQ:$AQ"")=6)
      ),
      1
    ),
    ""0""
  ),
  ""Form not found""
)
"),"Form not found")</f>
        <v>Form not found</v>
      </c>
      <c r="AX3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1!$E:$E"")=$B309) *
        (IMPORTRANGE(""https://docs.google.com/spreadsheets/d/161aHT6vVT3SLneTKD19N5qVWtnj_jIT8CSsOmUVKmaA/e"&amp;"dit?gid=1761053510"",
          ""Haris_Form responses 1!$AQ:$AQ"")=1)
      ),
      1
    ),
    ""0""
  ),
  ""Form not found""
)
"),"0")</f>
        <v>0</v>
      </c>
      <c r="AY3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1!$E:$E"")=$B309) *
        (IMPORTRANGE(""https://docs.google.com/spreadsheets/d/161aHT6vVT3SLneTKD19N5qVWtnj_jIT8CSsOmUVKmaA/e"&amp;"dit?gid=1761053510"",
          ""Haris_Form responses 1!$AQ:$AQ"")=2)
      ),
      1
    ),
    ""0""
  ),
  ""Form not found""
)
"),"0")</f>
        <v>0</v>
      </c>
      <c r="AZ3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1!$E:$E"")=$B309) *
        (IMPORTRANGE(""https://docs.google.com/spreadsheets/d/161aHT6vVT3SLneTKD19N5qVWtnj_jIT8CSsOmUVKmaA/e"&amp;"dit?gid=1761053510"",
          ""Haris_Form responses 1!$AQ:$AQ"")=3)
      ),
      1
    ),
    ""0""
  ),
  ""Form not found""
)
"),"0")</f>
        <v>0</v>
      </c>
      <c r="BA3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1!$E:$E"")=$B309) *
        (IMPORTRANGE(""https://docs.google.com/spreadsheets/d/161aHT6vVT3SLneTKD19N5qVWtnj_jIT8CSsOmUVKmaA/e"&amp;"dit?gid=1761053510"",
          ""Haris_Form responses 1!$AQ:$AQ"")=4)
      ),
      1
    ),
    ""0""
  ),
  ""Form not found""
)
"),"Form not found")</f>
        <v>Form not found</v>
      </c>
      <c r="BB3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1!$E:$E"")=$B309) *
        (IMPORTRANGE(""https://docs.google.com/spreadsheets/d/161aHT6vVT3SLneTKD19N5qVWtnj_jIT8CSsOmUVKmaA/e"&amp;"dit?gid=1761053510"",
          ""Haris_Form responses 1!$AQ:$AQ"")=5)
      ),
      1
    ),
    ""0""
  ),
  ""Form not found""
)
"),"Form not found")</f>
        <v>Form not found</v>
      </c>
      <c r="BC309"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1!$E:$E"")=$B309) *
        (IMPORTRANGE(""https://docs.google.com/spreadsheets/d/161aHT6vVT3SLneTKD19N5qVWtnj_jIT8CSsOmUVKmaA/e"&amp;"dit?gid=1761053510"",
          ""Haris_Form responses 1!$AQ:$AQ"")=6)
      ),
      1
    ),
    ""0""
  ),
  ""Form not found""
)
"),"Form not found")</f>
        <v>Form not found</v>
      </c>
      <c r="BD309" s="293"/>
    </row>
    <row r="310">
      <c r="A310" s="283" t="str">
        <f>IFERROR(__xludf.DUMMYFUNCTION("VLOOKUP($B310,IMPORTRANGE(""https://docs.google.com/spreadsheets/d/1VNXDITjs75AcgdBSW27oL1VZH31udDprJSsBcE5xlp4/edit?gid=1551188038#gid=1551188038"", ""Sheet9!$B:$E""),2,false)"),"Shahkot")</f>
        <v>Shahkot</v>
      </c>
      <c r="B310" s="283" t="s">
        <v>4701</v>
      </c>
      <c r="C310" s="284" t="str">
        <f>IFERROR(__xludf.DUMMYFUNCTION("VLOOKUP(TRIM($B310), IMPORTRANGE(""https://docs.google.com/spreadsheets/d/1aSOrU4PTpuBZqfitKaH1Rfww6-YOiNCKoBpPl8XBHaw/edit?gid=0#gid=0"", ""sheet3!$B:$C""), 2, FALSE)
"),"Jamia Masjid Syed Emam Ali Shah Sangala")</f>
        <v>Jamia Masjid Syed Emam Ali Shah Sangala</v>
      </c>
      <c r="D310" s="284" t="str">
        <f>IFERROR(__xludf.DUMMYFUNCTION("IFERROR(
  INDEX(
    FILTER(
      IMPORTRANGE(""1aSOrU4PTpuBZqfitKaH1Rfww6-YOiNCKoBpPl8XBHaw/edit?gid=0#gid=0"",""Sheet1!G:G""),
      IMPORTRANGE(""1aSOrU4PTpuBZqfitKaH1Rfww6-YOiNCKoBpPl8XBHaw/edit?gid=0#gid=0"",""Sheet1!C:C"")=$B310
    ),
    1
  ),
"&amp;"  ""Not Found""
)"),"Women Secular Info Share")</f>
        <v>Women Secular Info Share</v>
      </c>
      <c r="E310" s="284" t="str">
        <f>VLOOKUP(B310,'Juma Recording forms'!A:E,5,false)</f>
        <v>#N/A</v>
      </c>
      <c r="F310" s="284" t="str">
        <f>IFERROR(__xludf.DUMMYFUNCTION("IFERROR(
  INDEX(
    FILTER(
      IMPORTRANGE(""1Cxrhp3-_-HS7v9uuqQliiIfrmMP4VaFoDNDWyUFy2J8/edit?gid=0#gid=0"",""Sheet1!Q:Q""),
      IMPORTRANGE(""1Cxrhp3-_-HS7v9uuqQliiIfrmMP4VaFoDNDWyUFy2J8/edit?gid=0#gid=0"",""Sheet1!K:K"")=$B310
    ),
    1
  ),
"&amp;"  ""Not Found""
)"),"Raza ul mustafa ")</f>
        <v>Raza ul mustafa </v>
      </c>
      <c r="G310" s="284"/>
      <c r="H310" s="284"/>
      <c r="I310" s="285"/>
      <c r="J310" s="286">
        <v>1.0</v>
      </c>
      <c r="K310" s="287" t="str">
        <f>VLOOKUP($B310,'Mosque Locations'!$A:$E,3,FALSE)
</f>
        <v>https://www.google.com/maps?q=31.7339755,73.3445062</v>
      </c>
      <c r="L310" s="286">
        <f>VLOOKUP($B310,'Mosque Locations'!$A:$E,4,FALSE)
</f>
        <v>31.73398</v>
      </c>
      <c r="M310" s="286">
        <f>VLOOKUP($B310,'Mosque Locations'!$A:$E,5,false)</f>
        <v>73.34451</v>
      </c>
      <c r="N310" s="288"/>
      <c r="O310" s="288"/>
      <c r="P310" s="288"/>
      <c r="Q310" s="284" t="str">
        <f>IFERROR(__xludf.DUMMYFUNCTION("IFERROR(
  INDEX(
    FILTER(
      IMPORTRANGE(""1kOrIKZmJfNUkgOVP3sI9BPjaaPA0_a4636oymQxTXg8"",""Form Responses 1!N:N""),
      TRIM(IMPORTRANGE(""1kOrIKZmJfNUkgOVP3sI9BPjaaPA0_a4636oymQxTXg8"",""Form Responses 1!F:F""))=TRIM($B310)
    ),
    1
  ),
  "&amp;"""Not Found""
)
"),"Not Found")</f>
        <v>Not Found</v>
      </c>
      <c r="R310" s="284" t="str">
        <f>IFERROR(__xludf.DUMMYFUNCTION("IFERROR(
  INDEX(
    FILTER(
      IMPORTRANGE(""1kOrIKZmJfNUkgOVP3sI9BPjaaPA0_a4636oymQxTXg8"",""Form Responses 1!M:M""),
      TRIM(IMPORTRANGE(""1kOrIKZmJfNUkgOVP3sI9BPjaaPA0_a4636oymQxTXg8"",""Form Responses 1!F:F""))=TRIM($B310)
    ),
    1
  ),
  "&amp;"""Not Found""
)
"),"Not Found")</f>
        <v>Not Found</v>
      </c>
      <c r="S310" s="285"/>
      <c r="T310" s="290" t="str">
        <f>VLOOKUP($B310,'Master Tracker'!D:E,2,false)</f>
        <v>https://drive.google.com/open?id=10x_dPfpFSvkQhuO0VCGv4lzNQAsIjs4e</v>
      </c>
      <c r="U310" s="291" t="str">
        <f>VLOOKUP($B310,'Master Tracker'!$D:$T,4,FALSE)
</f>
        <v>https://drive.google.com/open?id=1ctBDZBdktC0PIYmsdfgdr6hzGg9olJNf</v>
      </c>
      <c r="V310" s="290" t="str">
        <f>VLOOKUP($B310,'Master Tracker'!$D:$T,5,false)</f>
        <v>https://drive.google.com/open?id=1mfthkfVmJ1A9PfvEf2353ARiJwZB6Pld</v>
      </c>
      <c r="W310" s="291" t="str">
        <f>VLOOKUP($B310,'Master Tracker'!$D:$T,7,false)</f>
        <v>https://drive.google.com/open?id=12kqL7Jb9ocA59lPSmI7_HS5iAqKVedlW</v>
      </c>
      <c r="X310" s="290" t="str">
        <f>VLOOKUP($B310,'Master Tracker'!$D:$T,8,false)</f>
        <v>https://drive.google.com/open?id=1ETgZaVrtEM7wJ0GbEvTBIwRswtfMCJI0</v>
      </c>
      <c r="Y310" s="291" t="str">
        <f>VLOOKUP($B310,'Master Tracker'!$D:$T,10,false)</f>
        <v>https://drive.google.com/open?id=1c0ZXtdX_qRdPdhuKGz5ASIcynaZL7cG6NZH_kJZymSU</v>
      </c>
      <c r="Z310" s="284" t="str">
        <f>VLOOKUP($B310,'Master Tracker'!$D:$T,11,false)</f>
        <v>Not Found</v>
      </c>
      <c r="AA310" s="292" t="str">
        <f>VLOOKUP($B310,'Master Tracker'!$D:$T,13,false)</f>
        <v>Not Found</v>
      </c>
      <c r="AB310" s="284" t="str">
        <f>VLOOKUP($B310,'Master Tracker'!$D:$T,14,false)</f>
        <v>Not Found</v>
      </c>
      <c r="AC310" s="292" t="str">
        <f>VLOOKUP($B310,'Master Tracker'!$D:$T,16,false)</f>
        <v>Not Found</v>
      </c>
      <c r="AD310" s="292" t="str">
        <f>VLOOKUP($B310,'Master Tracker'!$D:$T,17,false)</f>
        <v>Not Found</v>
      </c>
      <c r="AE310" s="292" t="str">
        <f>VLOOKUP($B310,'Master Tracker'!$D:$V,19,false)</f>
        <v>Not Found</v>
      </c>
      <c r="AF310" s="292" t="str">
        <f>IFERROR(__xludf.DUMMYFUNCTION("IFERROR(
  INDEX(
    FILTER(
      'Juma Recording forms'!$G:$G,
      TRIM('Juma Recording forms'!$F:$F) = TRIM($B310),
      'Juma Recording forms'!$AA:$AA = 1
    ),
    1
  ),
  ""Not Found""
)"),"Not Found")</f>
        <v>Not Found</v>
      </c>
      <c r="AG310" s="292" t="str">
        <f>IFERROR(__xludf.DUMMYFUNCTION("IFERROR(
  INDEX(
    FILTER(
      'Juma Recording forms'!$G:$G,
      TRIM('Juma Recording forms'!$F:$F) = TRIM($B310),
      'Juma Recording forms'!$AA:$AA = 2
    ),
    1
  ),
  ""Not Found""
)"),"Not Found")</f>
        <v>Not Found</v>
      </c>
      <c r="AH310" s="292" t="str">
        <f>IFERROR(__xludf.DUMMYFUNCTION("IFERROR(
  INDEX(
    FILTER(
      'Juma Recording forms'!$G:$G,
      TRIM('Juma Recording forms'!$F:$F) = TRIM($B310),
      'Juma Recording forms'!$AA:$AA = 3
    ),
    1
  ),
  ""Not Found""
)"),"Not Found")</f>
        <v>Not Found</v>
      </c>
      <c r="AI310" s="292" t="str">
        <f>IFERROR(__xludf.DUMMYFUNCTION("IFERROR(
  INDEX(
    FILTER(
      'Juma Recording forms'!$G:$G,
      TRIM('Juma Recording forms'!$F:$F) = TRIM($B310),
      'Juma Recording forms'!$AA:$AA = 4
    ),
    1
  ),
  ""Not Found""
)"),"Not Found")</f>
        <v>Not Found</v>
      </c>
      <c r="AJ310" s="292" t="str">
        <f>IFERROR(__xludf.DUMMYFUNCTION("IFERROR(
  INDEX(
    FILTER(
      'Juma Recording forms'!$G:$G,
      TRIM('Juma Recording forms'!$F:$F) = TRIM($B310),
      'Juma Recording forms'!$AA:$AA = 5
    ),
    1
  ),
  ""Not Found""
)"),"Not Found")</f>
        <v>Not Found</v>
      </c>
      <c r="AK310" s="292" t="str">
        <f>IFERROR(__xludf.DUMMYFUNCTION("IFERROR(
  INDEX(
    FILTER(
      'Juma Recording forms'!$G:$G,
      TRIM('Juma Recording forms'!$F:$F) = TRIM($B310),
      'Juma Recording forms'!$AA:$AA = 6
    ),
    1
  ),
  ""Not Found""
)"),"Not Found")</f>
        <v>Not Found</v>
      </c>
      <c r="AL3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1!$E:$E"")=$B310) *
        (IMPORTRANGE(""https://docs.google.com/spreadsheets/d/161aHT6vVT3SLneTKD19N5qVWtnj_jIT8CSsOmUVKmaA/e"&amp;"dit?gid=1761053510"",
          ""Haris_Form responses 1!$AQ:$AQ"")=1)
      ),
      1
    ),
    ""0""
  ),
  ""Form not found""
)
"),"10")</f>
        <v>10</v>
      </c>
      <c r="AM3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1!$E:$E"")=$B310) *
        (IMPORTRANGE(""https://docs.google.com/spreadsheets/d/161aHT6vVT3SLneTKD19N5qVWtnj_jIT8CSsOmUVKmaA/e"&amp;"dit?gid=1761053510"",
          ""Haris_Form responses 1!$AQ:$AQ"")=2)
      ),
      1
    ),
    ""0""
  ),
  ""Form not found""
)
"),"10")</f>
        <v>10</v>
      </c>
      <c r="AN3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1!$E:$E"")=$B310) *
        (IMPORTRANGE(""https://docs.google.com/spreadsheets/d/161aHT6vVT3SLneTKD19N5qVWtnj_jIT8CSsOmUVKmaA/e"&amp;"dit?gid=1761053510"",
          ""Haris_Form responses 1!$AQ:$AQ"")=3)
      ),
      1
    ),
    ""0""
  ),
  ""Form not found""
)
"),"1")</f>
        <v>1</v>
      </c>
      <c r="AO3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1!$E:$E"")=$B310) *
        (IMPORTRANGE(""https://docs.google.com/spreadsheets/d/161aHT6vVT3SLneTKD19N5qVWtnj_jIT8CSsOmUVKmaA/e"&amp;"dit?gid=1761053510"",
          ""Haris_Form responses 1!$AQ:$AQ"")=4)
      ),
      1
    ),
    ""0""
  ),
  ""Form not found""
)
"),"Form not found")</f>
        <v>Form not found</v>
      </c>
      <c r="AP3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1!$E:$E"")=$B310) *
        (IMPORTRANGE(""https://docs.google.com/spreadsheets/d/161aHT6vVT3SLneTKD19N5qVWtnj_jIT8CSsOmUVKmaA/e"&amp;"dit?gid=1761053510"",
          ""Haris_Form responses 1!$AQ:$AQ"")=5)
      ),
      1
    ),
    ""0""
  ),
  ""Form not found""
)
"),"Form not found")</f>
        <v>Form not found</v>
      </c>
      <c r="AQ310" s="293" t="str">
        <f>IFERROR(__xludf.DUMMYFUNCTION("IFERROR(
  TEXT(
    INDEX(
      FILTER(
        IMPORTRANGE(""https://docs.google.com/spreadsheets/d/161aHT6vVT3SLneTKD19N5qVWtnj_jIT8CSsOmUVKmaA/edit?gid=1761053510"",
          ""Haris_Form responses 1!$K:$K""  ), 
        (IMPORTRANGE(""https://docs."&amp;"google.com/spreadsheets/d/161aHT6vVT3SLneTKD19N5qVWtnj_jIT8CSsOmUVKmaA/edit?gid=1761053510"",
          ""Haris_Form responses 1!$E:$E"")=$B310) *
        (IMPORTRANGE(""https://docs.google.com/spreadsheets/d/161aHT6vVT3SLneTKD19N5qVWtnj_jIT8CSsOmUVKmaA/e"&amp;"dit?gid=1761053510"",
          ""Haris_Form responses 1!$AQ:$AQ"")=6)
      ),
      1
    ),
    ""0""
  ),
  ""Form not found""
)
"),"Form not found")</f>
        <v>Form not found</v>
      </c>
      <c r="AR3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1!$E:$E"")=$B310) *
        (IMPORTRANGE(""https://docs.google.com/spreadsheets/d/161aHT6vVT3SLneTKD19N5qVWtnj_jIT8CSsOmUVKmaA/e"&amp;"dit?gid=1761053510"",
          ""Haris_Form responses 1!$AQ:$AQ"")=1)
      ),
      1
    ),
    ""0""
  ),
  ""Form not found""
)
"),"0")</f>
        <v>0</v>
      </c>
      <c r="AS3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1!$E:$E"")=$B310) *
        (IMPORTRANGE(""https://docs.google.com/spreadsheets/d/161aHT6vVT3SLneTKD19N5qVWtnj_jIT8CSsOmUVKmaA/e"&amp;"dit?gid=1761053510"",
          ""Haris_Form responses 1!$AQ:$AQ"")=2)
      ),
      1
    ),
    ""0""
  ),
  ""Form not found""
)
"),"0")</f>
        <v>0</v>
      </c>
      <c r="AT3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1!$E:$E"")=$B310) *
        (IMPORTRANGE(""https://docs.google.com/spreadsheets/d/161aHT6vVT3SLneTKD19N5qVWtnj_jIT8CSsOmUVKmaA/e"&amp;"dit?gid=1761053510"",
          ""Haris_Form responses 1!$AQ:$AQ"")=3)
      ),
      1
    ),
    ""0""
  ),
  ""Form not found""
)
"),"0")</f>
        <v>0</v>
      </c>
      <c r="AU3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1!$E:$E"")=$B310) *
        (IMPORTRANGE(""https://docs.google.com/spreadsheets/d/161aHT6vVT3SLneTKD19N5qVWtnj_jIT8CSsOmUVKmaA/e"&amp;"dit?gid=1761053510"",
          ""Haris_Form responses 1!$AQ:$AQ"")=4)
      ),
      1
    ),
    ""0""
  ),
  ""Form not found""
)
"),"Form not found")</f>
        <v>Form not found</v>
      </c>
      <c r="AV3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1!$E:$E"")=$B310) *
        (IMPORTRANGE(""https://docs.google.com/spreadsheets/d/161aHT6vVT3SLneTKD19N5qVWtnj_jIT8CSsOmUVKmaA/e"&amp;"dit?gid=1761053510"",
          ""Haris_Form responses 1!$AQ:$AQ"")=5)
      ),
      1
    ),
    ""0""
  ),
  ""Form not found""
)
"),"Form not found")</f>
        <v>Form not found</v>
      </c>
      <c r="AW310" s="293" t="str">
        <f>IFERROR(__xludf.DUMMYFUNCTION("IFERROR(
  TEXT(
    INDEX(
      FILTER(
        IMPORTRANGE(""https://docs.google.com/spreadsheets/d/161aHT6vVT3SLneTKD19N5qVWtnj_jIT8CSsOmUVKmaA/edit?gid=1761053510"",
          ""Haris_Form responses 1!$M:$M""  ), 
        (IMPORTRANGE(""https://docs."&amp;"google.com/spreadsheets/d/161aHT6vVT3SLneTKD19N5qVWtnj_jIT8CSsOmUVKmaA/edit?gid=1761053510"",
          ""Haris_Form responses 1!$E:$E"")=$B310) *
        (IMPORTRANGE(""https://docs.google.com/spreadsheets/d/161aHT6vVT3SLneTKD19N5qVWtnj_jIT8CSsOmUVKmaA/e"&amp;"dit?gid=1761053510"",
          ""Haris_Form responses 1!$AQ:$AQ"")=6)
      ),
      1
    ),
    ""0""
  ),
  ""Form not found""
)
"),"Form not found")</f>
        <v>Form not found</v>
      </c>
      <c r="AX3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1!$E:$E"")=$B310) *
        (IMPORTRANGE(""https://docs.google.com/spreadsheets/d/161aHT6vVT3SLneTKD19N5qVWtnj_jIT8CSsOmUVKmaA/e"&amp;"dit?gid=1761053510"",
          ""Haris_Form responses 1!$AQ:$AQ"")=1)
      ),
      1
    ),
    ""0""
  ),
  ""Form not found""
)
"),"10")</f>
        <v>10</v>
      </c>
      <c r="AY3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1!$E:$E"")=$B310) *
        (IMPORTRANGE(""https://docs.google.com/spreadsheets/d/161aHT6vVT3SLneTKD19N5qVWtnj_jIT8CSsOmUVKmaA/e"&amp;"dit?gid=1761053510"",
          ""Haris_Form responses 1!$AQ:$AQ"")=2)
      ),
      1
    ),
    ""0""
  ),
  ""Form not found""
)
"),"9")</f>
        <v>9</v>
      </c>
      <c r="AZ3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1!$E:$E"")=$B310) *
        (IMPORTRANGE(""https://docs.google.com/spreadsheets/d/161aHT6vVT3SLneTKD19N5qVWtnj_jIT8CSsOmUVKmaA/e"&amp;"dit?gid=1761053510"",
          ""Haris_Form responses 1!$AQ:$AQ"")=3)
      ),
      1
    ),
    ""0""
  ),
  ""Form not found""
)
"),"1")</f>
        <v>1</v>
      </c>
      <c r="BA3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1!$E:$E"")=$B310) *
        (IMPORTRANGE(""https://docs.google.com/spreadsheets/d/161aHT6vVT3SLneTKD19N5qVWtnj_jIT8CSsOmUVKmaA/e"&amp;"dit?gid=1761053510"",
          ""Haris_Form responses 1!$AQ:$AQ"")=4)
      ),
      1
    ),
    ""0""
  ),
  ""Form not found""
)
"),"Form not found")</f>
        <v>Form not found</v>
      </c>
      <c r="BB3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1!$E:$E"")=$B310) *
        (IMPORTRANGE(""https://docs.google.com/spreadsheets/d/161aHT6vVT3SLneTKD19N5qVWtnj_jIT8CSsOmUVKmaA/e"&amp;"dit?gid=1761053510"",
          ""Haris_Form responses 1!$AQ:$AQ"")=5)
      ),
      1
    ),
    ""0""
  ),
  ""Form not found""
)
"),"Form not found")</f>
        <v>Form not found</v>
      </c>
      <c r="BC310" s="293" t="str">
        <f>IFERROR(__xludf.DUMMYFUNCTION("IFERROR(
  TEXT(
    INDEX(
      FILTER(
        IMPORTRANGE(""https://docs.google.com/spreadsheets/d/161aHT6vVT3SLneTKD19N5qVWtnj_jIT8CSsOmUVKmaA/edit?gid=1761053510"",
          ""Haris_Form responses 1!$L:$L""  ), 
        (IMPORTRANGE(""https://docs."&amp;"google.com/spreadsheets/d/161aHT6vVT3SLneTKD19N5qVWtnj_jIT8CSsOmUVKmaA/edit?gid=1761053510"",
          ""Haris_Form responses 1!$E:$E"")=$B310) *
        (IMPORTRANGE(""https://docs.google.com/spreadsheets/d/161aHT6vVT3SLneTKD19N5qVWtnj_jIT8CSsOmUVKmaA/e"&amp;"dit?gid=1761053510"",
          ""Haris_Form responses 1!$AQ:$AQ"")=6)
      ),
      1
    ),
    ""0""
  ),
  ""Form not found""
)
"),"Form not found")</f>
        <v>Form not found</v>
      </c>
      <c r="BD310" s="293"/>
    </row>
    <row r="311">
      <c r="A311" s="302" t="s">
        <v>4909</v>
      </c>
      <c r="B311" s="283" t="s">
        <v>4909</v>
      </c>
      <c r="C311" s="302" t="s">
        <v>4909</v>
      </c>
      <c r="D311" s="302" t="s">
        <v>4909</v>
      </c>
      <c r="E311" s="302" t="s">
        <v>4909</v>
      </c>
      <c r="F311" s="302" t="s">
        <v>4909</v>
      </c>
      <c r="G311" s="302" t="s">
        <v>4909</v>
      </c>
      <c r="H311" s="302" t="s">
        <v>4909</v>
      </c>
      <c r="I311" s="302" t="s">
        <v>4909</v>
      </c>
      <c r="J311" s="302" t="s">
        <v>4909</v>
      </c>
      <c r="K311" s="302" t="s">
        <v>4909</v>
      </c>
      <c r="L311" s="302" t="s">
        <v>4909</v>
      </c>
      <c r="M311" s="302" t="s">
        <v>4909</v>
      </c>
      <c r="N311" s="303"/>
      <c r="O311" s="303"/>
      <c r="P311" s="303"/>
      <c r="Q311" s="302" t="s">
        <v>4909</v>
      </c>
      <c r="R311" s="302" t="s">
        <v>4909</v>
      </c>
      <c r="S311" s="283"/>
      <c r="T311" s="302" t="s">
        <v>4909</v>
      </c>
      <c r="U311" s="302" t="s">
        <v>4909</v>
      </c>
      <c r="V311" s="302" t="s">
        <v>4909</v>
      </c>
      <c r="W311" s="302" t="s">
        <v>4909</v>
      </c>
      <c r="X311" s="302" t="s">
        <v>4909</v>
      </c>
      <c r="Y311" s="302" t="s">
        <v>4909</v>
      </c>
      <c r="Z311" s="302" t="s">
        <v>4909</v>
      </c>
      <c r="AA311" s="302" t="s">
        <v>4909</v>
      </c>
      <c r="AB311" s="302" t="s">
        <v>4909</v>
      </c>
      <c r="AC311" s="302" t="s">
        <v>4909</v>
      </c>
      <c r="AD311" s="302" t="s">
        <v>4909</v>
      </c>
      <c r="AE311" s="302" t="s">
        <v>4909</v>
      </c>
      <c r="AF311" s="302" t="s">
        <v>4909</v>
      </c>
      <c r="AG311" s="302" t="s">
        <v>4909</v>
      </c>
      <c r="AH311" s="302" t="s">
        <v>4909</v>
      </c>
      <c r="AI311" s="302" t="s">
        <v>4909</v>
      </c>
      <c r="AJ311" s="302" t="s">
        <v>4909</v>
      </c>
      <c r="AK311" s="302" t="s">
        <v>4909</v>
      </c>
      <c r="AL311" s="302" t="s">
        <v>4909</v>
      </c>
      <c r="AM311" s="302" t="s">
        <v>4909</v>
      </c>
      <c r="AN311" s="302" t="s">
        <v>4909</v>
      </c>
      <c r="AO311" s="302" t="s">
        <v>4909</v>
      </c>
      <c r="AP311" s="302" t="s">
        <v>4909</v>
      </c>
      <c r="AQ311" s="302" t="s">
        <v>4909</v>
      </c>
      <c r="AR311" s="302" t="s">
        <v>4909</v>
      </c>
      <c r="AS311" s="302" t="s">
        <v>4909</v>
      </c>
      <c r="AT311" s="302" t="s">
        <v>4909</v>
      </c>
      <c r="AU311" s="302" t="s">
        <v>4909</v>
      </c>
      <c r="AV311" s="302" t="s">
        <v>4909</v>
      </c>
      <c r="AW311" s="302" t="s">
        <v>4909</v>
      </c>
      <c r="AX311" s="302" t="s">
        <v>4909</v>
      </c>
      <c r="AY311" s="302" t="s">
        <v>4909</v>
      </c>
      <c r="AZ311" s="302" t="s">
        <v>4909</v>
      </c>
      <c r="BA311" s="302" t="s">
        <v>4909</v>
      </c>
      <c r="BB311" s="297"/>
      <c r="BC311" s="297"/>
      <c r="BD311" s="297"/>
    </row>
    <row r="312">
      <c r="A312" s="285"/>
      <c r="B312" s="285"/>
      <c r="C312" s="284"/>
      <c r="D312" s="284"/>
      <c r="E312" s="284"/>
      <c r="F312" s="284"/>
      <c r="G312" s="284"/>
      <c r="H312" s="284"/>
      <c r="I312" s="285"/>
      <c r="J312" s="284"/>
      <c r="K312" s="284"/>
      <c r="L312" s="284"/>
      <c r="M312" s="284"/>
      <c r="N312" s="288"/>
      <c r="O312" s="288"/>
      <c r="P312" s="288"/>
      <c r="Q312" s="284"/>
      <c r="R312" s="284"/>
      <c r="S312" s="285"/>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row>
    <row r="313">
      <c r="A313" s="285"/>
      <c r="B313" s="285"/>
      <c r="C313" s="284"/>
      <c r="D313" s="284"/>
      <c r="E313" s="284"/>
      <c r="F313" s="284"/>
      <c r="G313" s="284"/>
      <c r="H313" s="284"/>
      <c r="I313" s="285"/>
      <c r="J313" s="284"/>
      <c r="K313" s="284"/>
      <c r="L313" s="284"/>
      <c r="M313" s="284"/>
      <c r="N313" s="288"/>
      <c r="O313" s="288"/>
      <c r="P313" s="288"/>
      <c r="Q313" s="284"/>
      <c r="R313" s="284"/>
      <c r="S313" s="285"/>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row>
    <row r="314">
      <c r="A314" s="285"/>
      <c r="B314" s="285"/>
      <c r="C314" s="284"/>
      <c r="D314" s="284"/>
      <c r="E314" s="284"/>
      <c r="F314" s="284"/>
      <c r="G314" s="284"/>
      <c r="H314" s="284"/>
      <c r="I314" s="285"/>
      <c r="J314" s="284"/>
      <c r="K314" s="284"/>
      <c r="L314" s="284"/>
      <c r="M314" s="284"/>
      <c r="N314" s="288"/>
      <c r="O314" s="288"/>
      <c r="P314" s="288"/>
      <c r="Q314" s="284"/>
      <c r="R314" s="284"/>
      <c r="S314" s="285"/>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row>
    <row r="315">
      <c r="A315" s="285"/>
      <c r="B315" s="285"/>
      <c r="C315" s="284"/>
      <c r="D315" s="284"/>
      <c r="E315" s="284"/>
      <c r="F315" s="284"/>
      <c r="G315" s="284"/>
      <c r="H315" s="284"/>
      <c r="I315" s="285"/>
      <c r="J315" s="284"/>
      <c r="K315" s="284"/>
      <c r="L315" s="284"/>
      <c r="M315" s="284"/>
      <c r="N315" s="288"/>
      <c r="O315" s="288"/>
      <c r="P315" s="288"/>
      <c r="Q315" s="284"/>
      <c r="R315" s="284"/>
      <c r="S315" s="285"/>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row>
    <row r="316">
      <c r="A316" s="285"/>
      <c r="B316" s="285"/>
      <c r="C316" s="284"/>
      <c r="D316" s="284"/>
      <c r="E316" s="284"/>
      <c r="F316" s="284"/>
      <c r="G316" s="284"/>
      <c r="H316" s="284"/>
      <c r="I316" s="285"/>
      <c r="J316" s="284"/>
      <c r="K316" s="284"/>
      <c r="L316" s="284"/>
      <c r="M316" s="284"/>
      <c r="N316" s="288"/>
      <c r="O316" s="288"/>
      <c r="P316" s="288"/>
      <c r="Q316" s="284"/>
      <c r="R316" s="284"/>
      <c r="S316" s="285"/>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row>
    <row r="317">
      <c r="A317" s="285"/>
      <c r="B317" s="285"/>
      <c r="C317" s="284"/>
      <c r="D317" s="284"/>
      <c r="E317" s="284"/>
      <c r="F317" s="284"/>
      <c r="G317" s="284"/>
      <c r="H317" s="284"/>
      <c r="I317" s="285"/>
      <c r="J317" s="284"/>
      <c r="K317" s="284"/>
      <c r="L317" s="284"/>
      <c r="M317" s="284"/>
      <c r="N317" s="288"/>
      <c r="O317" s="288"/>
      <c r="P317" s="288"/>
      <c r="Q317" s="284"/>
      <c r="R317" s="284"/>
      <c r="S317" s="285"/>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row>
    <row r="318">
      <c r="A318" s="285"/>
      <c r="B318" s="285"/>
      <c r="C318" s="284"/>
      <c r="D318" s="284"/>
      <c r="E318" s="284"/>
      <c r="F318" s="284"/>
      <c r="G318" s="284"/>
      <c r="H318" s="284"/>
      <c r="I318" s="285"/>
      <c r="J318" s="284"/>
      <c r="K318" s="284"/>
      <c r="L318" s="284"/>
      <c r="M318" s="284"/>
      <c r="N318" s="288"/>
      <c r="O318" s="288"/>
      <c r="P318" s="288"/>
      <c r="Q318" s="284"/>
      <c r="R318" s="284"/>
      <c r="S318" s="285"/>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row>
    <row r="319">
      <c r="A319" s="285"/>
      <c r="B319" s="285"/>
      <c r="C319" s="284"/>
      <c r="D319" s="284"/>
      <c r="E319" s="284"/>
      <c r="F319" s="284"/>
      <c r="G319" s="284"/>
      <c r="H319" s="284"/>
      <c r="I319" s="285"/>
      <c r="J319" s="284"/>
      <c r="K319" s="284"/>
      <c r="L319" s="284"/>
      <c r="M319" s="284"/>
      <c r="N319" s="288"/>
      <c r="O319" s="288"/>
      <c r="P319" s="288"/>
      <c r="Q319" s="284"/>
      <c r="R319" s="284"/>
      <c r="S319" s="285"/>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row>
    <row r="320">
      <c r="A320" s="285"/>
      <c r="B320" s="285"/>
      <c r="C320" s="284"/>
      <c r="D320" s="284"/>
      <c r="E320" s="284"/>
      <c r="F320" s="284"/>
      <c r="G320" s="284"/>
      <c r="H320" s="284"/>
      <c r="I320" s="285"/>
      <c r="J320" s="284"/>
      <c r="K320" s="284"/>
      <c r="L320" s="284"/>
      <c r="M320" s="284"/>
      <c r="N320" s="288"/>
      <c r="O320" s="288"/>
      <c r="P320" s="288"/>
      <c r="Q320" s="284"/>
      <c r="R320" s="284"/>
      <c r="S320" s="285"/>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row>
    <row r="321">
      <c r="A321" s="285"/>
      <c r="B321" s="285"/>
      <c r="C321" s="284"/>
      <c r="D321" s="284"/>
      <c r="E321" s="284"/>
      <c r="F321" s="284"/>
      <c r="G321" s="284"/>
      <c r="H321" s="284"/>
      <c r="I321" s="285"/>
      <c r="J321" s="284"/>
      <c r="K321" s="284"/>
      <c r="L321" s="284"/>
      <c r="M321" s="284"/>
      <c r="N321" s="288"/>
      <c r="O321" s="288"/>
      <c r="P321" s="288"/>
      <c r="Q321" s="284"/>
      <c r="R321" s="284"/>
      <c r="S321" s="285"/>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row>
    <row r="322">
      <c r="A322" s="285"/>
      <c r="B322" s="285"/>
      <c r="C322" s="284"/>
      <c r="D322" s="284"/>
      <c r="E322" s="284"/>
      <c r="F322" s="284"/>
      <c r="G322" s="284"/>
      <c r="H322" s="284"/>
      <c r="I322" s="285"/>
      <c r="J322" s="284"/>
      <c r="K322" s="284"/>
      <c r="L322" s="284"/>
      <c r="M322" s="284"/>
      <c r="N322" s="288"/>
      <c r="O322" s="288"/>
      <c r="P322" s="288"/>
      <c r="Q322" s="284"/>
      <c r="R322" s="284"/>
      <c r="S322" s="285"/>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row>
    <row r="323">
      <c r="A323" s="285"/>
      <c r="B323" s="285"/>
      <c r="C323" s="284"/>
      <c r="D323" s="284"/>
      <c r="E323" s="284"/>
      <c r="F323" s="284"/>
      <c r="G323" s="284"/>
      <c r="H323" s="284"/>
      <c r="I323" s="285"/>
      <c r="J323" s="284"/>
      <c r="K323" s="284"/>
      <c r="L323" s="284"/>
      <c r="M323" s="284"/>
      <c r="N323" s="288"/>
      <c r="O323" s="288"/>
      <c r="P323" s="288"/>
      <c r="Q323" s="284"/>
      <c r="R323" s="284"/>
      <c r="S323" s="285"/>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row>
    <row r="324">
      <c r="A324" s="285"/>
      <c r="B324" s="285"/>
      <c r="C324" s="284"/>
      <c r="D324" s="284"/>
      <c r="E324" s="284"/>
      <c r="F324" s="284"/>
      <c r="G324" s="284"/>
      <c r="H324" s="284"/>
      <c r="I324" s="285"/>
      <c r="J324" s="284"/>
      <c r="K324" s="284"/>
      <c r="L324" s="284"/>
      <c r="M324" s="284"/>
      <c r="N324" s="288"/>
      <c r="O324" s="288"/>
      <c r="P324" s="288"/>
      <c r="Q324" s="284"/>
      <c r="R324" s="284"/>
      <c r="S324" s="285"/>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row>
    <row r="325">
      <c r="A325" s="285"/>
      <c r="B325" s="285"/>
      <c r="C325" s="284"/>
      <c r="D325" s="284"/>
      <c r="E325" s="284"/>
      <c r="F325" s="284"/>
      <c r="G325" s="284"/>
      <c r="H325" s="284"/>
      <c r="I325" s="285"/>
      <c r="J325" s="284"/>
      <c r="K325" s="284"/>
      <c r="L325" s="284"/>
      <c r="M325" s="284"/>
      <c r="N325" s="288"/>
      <c r="O325" s="288"/>
      <c r="P325" s="288"/>
      <c r="Q325" s="284"/>
      <c r="R325" s="284"/>
      <c r="S325" s="285"/>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row>
    <row r="326">
      <c r="A326" s="285"/>
      <c r="B326" s="285"/>
      <c r="C326" s="284"/>
      <c r="D326" s="284"/>
      <c r="E326" s="284"/>
      <c r="F326" s="284"/>
      <c r="G326" s="284"/>
      <c r="H326" s="284"/>
      <c r="I326" s="285"/>
      <c r="J326" s="284"/>
      <c r="K326" s="284"/>
      <c r="L326" s="284"/>
      <c r="M326" s="284"/>
      <c r="N326" s="288"/>
      <c r="O326" s="288"/>
      <c r="P326" s="288"/>
      <c r="Q326" s="284"/>
      <c r="R326" s="284"/>
      <c r="S326" s="285"/>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row>
    <row r="327">
      <c r="A327" s="285"/>
      <c r="B327" s="285"/>
      <c r="C327" s="284"/>
      <c r="D327" s="284"/>
      <c r="E327" s="284"/>
      <c r="F327" s="284"/>
      <c r="G327" s="284"/>
      <c r="H327" s="284"/>
      <c r="I327" s="285"/>
      <c r="J327" s="284"/>
      <c r="K327" s="284"/>
      <c r="L327" s="284"/>
      <c r="M327" s="284"/>
      <c r="N327" s="288"/>
      <c r="O327" s="288"/>
      <c r="P327" s="288"/>
      <c r="Q327" s="284"/>
      <c r="R327" s="284"/>
      <c r="S327" s="285"/>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row>
    <row r="328">
      <c r="A328" s="285"/>
      <c r="B328" s="285"/>
      <c r="C328" s="284"/>
      <c r="D328" s="284"/>
      <c r="E328" s="284"/>
      <c r="F328" s="284"/>
      <c r="G328" s="284"/>
      <c r="H328" s="284"/>
      <c r="I328" s="285"/>
      <c r="J328" s="284"/>
      <c r="K328" s="284"/>
      <c r="L328" s="284"/>
      <c r="M328" s="284"/>
      <c r="N328" s="288"/>
      <c r="O328" s="288"/>
      <c r="P328" s="288"/>
      <c r="Q328" s="284"/>
      <c r="R328" s="284"/>
      <c r="S328" s="285"/>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row>
    <row r="329">
      <c r="A329" s="285"/>
      <c r="B329" s="285"/>
      <c r="C329" s="284"/>
      <c r="D329" s="284"/>
      <c r="E329" s="284"/>
      <c r="F329" s="284"/>
      <c r="G329" s="284"/>
      <c r="H329" s="284"/>
      <c r="I329" s="285"/>
      <c r="J329" s="284"/>
      <c r="K329" s="284"/>
      <c r="L329" s="284"/>
      <c r="M329" s="284"/>
      <c r="N329" s="288"/>
      <c r="O329" s="288"/>
      <c r="P329" s="288"/>
      <c r="Q329" s="284"/>
      <c r="R329" s="284"/>
      <c r="S329" s="285"/>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row>
    <row r="330">
      <c r="A330" s="285"/>
      <c r="B330" s="285"/>
      <c r="C330" s="284"/>
      <c r="D330" s="284"/>
      <c r="E330" s="284"/>
      <c r="F330" s="284"/>
      <c r="G330" s="284"/>
      <c r="H330" s="284"/>
      <c r="I330" s="285"/>
      <c r="J330" s="284"/>
      <c r="K330" s="284"/>
      <c r="L330" s="284"/>
      <c r="M330" s="284"/>
      <c r="N330" s="288"/>
      <c r="O330" s="288"/>
      <c r="P330" s="288"/>
      <c r="Q330" s="284"/>
      <c r="R330" s="284"/>
      <c r="S330" s="285"/>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row>
    <row r="331">
      <c r="A331" s="285"/>
      <c r="B331" s="285"/>
      <c r="C331" s="284"/>
      <c r="D331" s="284"/>
      <c r="E331" s="284"/>
      <c r="F331" s="284"/>
      <c r="G331" s="284"/>
      <c r="H331" s="284"/>
      <c r="I331" s="285"/>
      <c r="J331" s="284"/>
      <c r="K331" s="284"/>
      <c r="L331" s="284"/>
      <c r="M331" s="284"/>
      <c r="N331" s="288"/>
      <c r="O331" s="288"/>
      <c r="P331" s="288"/>
      <c r="Q331" s="284"/>
      <c r="R331" s="284"/>
      <c r="S331" s="285"/>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row>
    <row r="332">
      <c r="A332" s="285"/>
      <c r="B332" s="285"/>
      <c r="C332" s="284"/>
      <c r="D332" s="284"/>
      <c r="E332" s="284"/>
      <c r="F332" s="284"/>
      <c r="G332" s="284"/>
      <c r="H332" s="284"/>
      <c r="I332" s="285"/>
      <c r="J332" s="284"/>
      <c r="K332" s="284"/>
      <c r="L332" s="284"/>
      <c r="M332" s="284"/>
      <c r="N332" s="288"/>
      <c r="O332" s="288"/>
      <c r="P332" s="288"/>
      <c r="Q332" s="284"/>
      <c r="R332" s="284"/>
      <c r="S332" s="285"/>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row>
    <row r="333">
      <c r="A333" s="285"/>
      <c r="B333" s="285"/>
      <c r="C333" s="284"/>
      <c r="D333" s="284"/>
      <c r="E333" s="284"/>
      <c r="F333" s="284"/>
      <c r="G333" s="284"/>
      <c r="H333" s="284"/>
      <c r="I333" s="285"/>
      <c r="J333" s="284"/>
      <c r="K333" s="284"/>
      <c r="L333" s="284"/>
      <c r="M333" s="284"/>
      <c r="N333" s="288"/>
      <c r="O333" s="288"/>
      <c r="P333" s="288"/>
      <c r="Q333" s="284"/>
      <c r="R333" s="284"/>
      <c r="S333" s="285"/>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row>
    <row r="334">
      <c r="A334" s="285"/>
      <c r="B334" s="285"/>
      <c r="C334" s="284"/>
      <c r="D334" s="284"/>
      <c r="E334" s="284"/>
      <c r="F334" s="284"/>
      <c r="G334" s="284"/>
      <c r="H334" s="284"/>
      <c r="I334" s="285"/>
      <c r="J334" s="284"/>
      <c r="K334" s="284"/>
      <c r="L334" s="284"/>
      <c r="M334" s="284"/>
      <c r="N334" s="288"/>
      <c r="O334" s="288"/>
      <c r="P334" s="288"/>
      <c r="Q334" s="284"/>
      <c r="R334" s="284"/>
      <c r="S334" s="285"/>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row>
    <row r="335">
      <c r="A335" s="285"/>
      <c r="B335" s="285"/>
      <c r="C335" s="284"/>
      <c r="D335" s="284"/>
      <c r="E335" s="284"/>
      <c r="F335" s="284"/>
      <c r="G335" s="284"/>
      <c r="H335" s="284"/>
      <c r="I335" s="285"/>
      <c r="J335" s="284"/>
      <c r="K335" s="284"/>
      <c r="L335" s="284"/>
      <c r="M335" s="284"/>
      <c r="N335" s="288"/>
      <c r="O335" s="288"/>
      <c r="P335" s="288"/>
      <c r="Q335" s="284"/>
      <c r="R335" s="284"/>
      <c r="S335" s="285"/>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row>
    <row r="336">
      <c r="A336" s="285"/>
      <c r="B336" s="285"/>
      <c r="C336" s="284"/>
      <c r="D336" s="284"/>
      <c r="E336" s="284"/>
      <c r="F336" s="284"/>
      <c r="G336" s="284"/>
      <c r="H336" s="284"/>
      <c r="I336" s="285"/>
      <c r="J336" s="284"/>
      <c r="K336" s="284"/>
      <c r="L336" s="284"/>
      <c r="M336" s="284"/>
      <c r="N336" s="288"/>
      <c r="O336" s="288"/>
      <c r="P336" s="288"/>
      <c r="Q336" s="284"/>
      <c r="R336" s="284"/>
      <c r="S336" s="285"/>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row>
    <row r="337">
      <c r="A337" s="285"/>
      <c r="B337" s="285"/>
      <c r="C337" s="284"/>
      <c r="D337" s="284"/>
      <c r="E337" s="284"/>
      <c r="F337" s="284"/>
      <c r="G337" s="284"/>
      <c r="H337" s="284"/>
      <c r="I337" s="285"/>
      <c r="J337" s="284"/>
      <c r="K337" s="284"/>
      <c r="L337" s="284"/>
      <c r="M337" s="284"/>
      <c r="N337" s="288"/>
      <c r="O337" s="288"/>
      <c r="P337" s="288"/>
      <c r="Q337" s="284"/>
      <c r="R337" s="284"/>
      <c r="S337" s="285"/>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row>
    <row r="338">
      <c r="A338" s="285"/>
      <c r="B338" s="285"/>
      <c r="C338" s="284"/>
      <c r="D338" s="284"/>
      <c r="E338" s="284"/>
      <c r="F338" s="284"/>
      <c r="G338" s="284"/>
      <c r="H338" s="284"/>
      <c r="I338" s="285"/>
      <c r="J338" s="284"/>
      <c r="K338" s="284"/>
      <c r="L338" s="284"/>
      <c r="M338" s="284"/>
      <c r="N338" s="288"/>
      <c r="O338" s="288"/>
      <c r="P338" s="288"/>
      <c r="Q338" s="284"/>
      <c r="R338" s="284"/>
      <c r="S338" s="285"/>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row>
    <row r="339">
      <c r="A339" s="285"/>
      <c r="B339" s="285"/>
      <c r="C339" s="284"/>
      <c r="D339" s="284"/>
      <c r="E339" s="284"/>
      <c r="F339" s="284"/>
      <c r="G339" s="284"/>
      <c r="H339" s="284"/>
      <c r="I339" s="285"/>
      <c r="J339" s="284"/>
      <c r="K339" s="284"/>
      <c r="L339" s="284"/>
      <c r="M339" s="284"/>
      <c r="N339" s="288"/>
      <c r="O339" s="288"/>
      <c r="P339" s="288"/>
      <c r="Q339" s="284"/>
      <c r="R339" s="284"/>
      <c r="S339" s="285"/>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row>
    <row r="340">
      <c r="A340" s="285"/>
      <c r="B340" s="285"/>
      <c r="C340" s="284"/>
      <c r="D340" s="284"/>
      <c r="E340" s="284"/>
      <c r="F340" s="284"/>
      <c r="G340" s="284"/>
      <c r="H340" s="284"/>
      <c r="I340" s="285"/>
      <c r="J340" s="284"/>
      <c r="K340" s="284"/>
      <c r="L340" s="284"/>
      <c r="M340" s="284"/>
      <c r="N340" s="288"/>
      <c r="O340" s="288"/>
      <c r="P340" s="288"/>
      <c r="Q340" s="284"/>
      <c r="R340" s="284"/>
      <c r="S340" s="285"/>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row>
    <row r="341">
      <c r="A341" s="285"/>
      <c r="B341" s="285"/>
      <c r="C341" s="284"/>
      <c r="D341" s="284"/>
      <c r="E341" s="284"/>
      <c r="F341" s="284"/>
      <c r="G341" s="284"/>
      <c r="H341" s="284"/>
      <c r="I341" s="285"/>
      <c r="J341" s="284"/>
      <c r="K341" s="284"/>
      <c r="L341" s="284"/>
      <c r="M341" s="284"/>
      <c r="N341" s="288"/>
      <c r="O341" s="288"/>
      <c r="P341" s="288"/>
      <c r="Q341" s="284"/>
      <c r="R341" s="284"/>
      <c r="S341" s="285"/>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row>
    <row r="342">
      <c r="A342" s="285"/>
      <c r="B342" s="285"/>
      <c r="C342" s="284"/>
      <c r="D342" s="284"/>
      <c r="E342" s="284"/>
      <c r="F342" s="284"/>
      <c r="G342" s="284"/>
      <c r="H342" s="284"/>
      <c r="I342" s="285"/>
      <c r="J342" s="284"/>
      <c r="K342" s="284"/>
      <c r="L342" s="284"/>
      <c r="M342" s="284"/>
      <c r="N342" s="288"/>
      <c r="O342" s="288"/>
      <c r="P342" s="288"/>
      <c r="Q342" s="284"/>
      <c r="R342" s="284"/>
      <c r="S342" s="285"/>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row>
    <row r="343">
      <c r="A343" s="285"/>
      <c r="B343" s="285"/>
      <c r="C343" s="284"/>
      <c r="D343" s="284"/>
      <c r="E343" s="284"/>
      <c r="F343" s="284"/>
      <c r="G343" s="284"/>
      <c r="H343" s="284"/>
      <c r="I343" s="285"/>
      <c r="J343" s="284"/>
      <c r="K343" s="284"/>
      <c r="L343" s="284"/>
      <c r="M343" s="284"/>
      <c r="N343" s="288"/>
      <c r="O343" s="288"/>
      <c r="P343" s="288"/>
      <c r="Q343" s="284"/>
      <c r="R343" s="284"/>
      <c r="S343" s="285"/>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row>
    <row r="344">
      <c r="A344" s="285"/>
      <c r="B344" s="285"/>
      <c r="C344" s="284"/>
      <c r="D344" s="284"/>
      <c r="E344" s="284"/>
      <c r="F344" s="284"/>
      <c r="G344" s="284"/>
      <c r="H344" s="284"/>
      <c r="I344" s="285"/>
      <c r="J344" s="284"/>
      <c r="K344" s="284"/>
      <c r="L344" s="284"/>
      <c r="M344" s="284"/>
      <c r="N344" s="288"/>
      <c r="O344" s="288"/>
      <c r="P344" s="288"/>
      <c r="Q344" s="284"/>
      <c r="R344" s="284"/>
      <c r="S344" s="285"/>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row>
    <row r="345">
      <c r="A345" s="285"/>
      <c r="B345" s="285"/>
      <c r="C345" s="284"/>
      <c r="D345" s="284"/>
      <c r="E345" s="284"/>
      <c r="F345" s="284"/>
      <c r="G345" s="284"/>
      <c r="H345" s="284"/>
      <c r="I345" s="285"/>
      <c r="J345" s="284"/>
      <c r="K345" s="284"/>
      <c r="L345" s="284"/>
      <c r="M345" s="284"/>
      <c r="N345" s="288"/>
      <c r="O345" s="288"/>
      <c r="P345" s="288"/>
      <c r="Q345" s="284"/>
      <c r="R345" s="284"/>
      <c r="S345" s="285"/>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row>
    <row r="346">
      <c r="A346" s="285"/>
      <c r="B346" s="285"/>
      <c r="C346" s="284"/>
      <c r="D346" s="284"/>
      <c r="E346" s="284"/>
      <c r="F346" s="284"/>
      <c r="G346" s="284"/>
      <c r="H346" s="284"/>
      <c r="I346" s="285"/>
      <c r="J346" s="284"/>
      <c r="K346" s="284"/>
      <c r="L346" s="284"/>
      <c r="M346" s="284"/>
      <c r="N346" s="288"/>
      <c r="O346" s="288"/>
      <c r="P346" s="288"/>
      <c r="Q346" s="284"/>
      <c r="R346" s="284"/>
      <c r="S346" s="285"/>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row>
    <row r="347">
      <c r="A347" s="285"/>
      <c r="B347" s="285"/>
      <c r="C347" s="284"/>
      <c r="D347" s="284"/>
      <c r="E347" s="284"/>
      <c r="F347" s="284"/>
      <c r="G347" s="284"/>
      <c r="H347" s="284"/>
      <c r="I347" s="285"/>
      <c r="J347" s="284"/>
      <c r="K347" s="284"/>
      <c r="L347" s="284"/>
      <c r="M347" s="284"/>
      <c r="N347" s="288"/>
      <c r="O347" s="288"/>
      <c r="P347" s="288"/>
      <c r="Q347" s="284"/>
      <c r="R347" s="284"/>
      <c r="S347" s="285"/>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row>
    <row r="348">
      <c r="A348" s="285"/>
      <c r="B348" s="285"/>
      <c r="C348" s="284"/>
      <c r="D348" s="284"/>
      <c r="E348" s="284"/>
      <c r="F348" s="284"/>
      <c r="G348" s="284"/>
      <c r="H348" s="284"/>
      <c r="I348" s="285"/>
      <c r="J348" s="284"/>
      <c r="K348" s="284"/>
      <c r="L348" s="284"/>
      <c r="M348" s="284"/>
      <c r="N348" s="288"/>
      <c r="O348" s="288"/>
      <c r="P348" s="288"/>
      <c r="Q348" s="284"/>
      <c r="R348" s="284"/>
      <c r="S348" s="285"/>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row>
    <row r="349">
      <c r="A349" s="285"/>
      <c r="B349" s="285"/>
      <c r="C349" s="284"/>
      <c r="D349" s="284"/>
      <c r="E349" s="284"/>
      <c r="F349" s="284"/>
      <c r="G349" s="284"/>
      <c r="H349" s="284"/>
      <c r="I349" s="285"/>
      <c r="J349" s="284"/>
      <c r="K349" s="284"/>
      <c r="L349" s="284"/>
      <c r="M349" s="284"/>
      <c r="N349" s="288"/>
      <c r="O349" s="288"/>
      <c r="P349" s="288"/>
      <c r="Q349" s="284"/>
      <c r="R349" s="284"/>
      <c r="S349" s="285"/>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row>
    <row r="350">
      <c r="A350" s="285"/>
      <c r="B350" s="285"/>
      <c r="C350" s="284"/>
      <c r="D350" s="284"/>
      <c r="E350" s="284"/>
      <c r="F350" s="284"/>
      <c r="G350" s="284"/>
      <c r="H350" s="284"/>
      <c r="I350" s="285"/>
      <c r="J350" s="284"/>
      <c r="K350" s="284"/>
      <c r="L350" s="284"/>
      <c r="M350" s="284"/>
      <c r="N350" s="288"/>
      <c r="O350" s="288"/>
      <c r="P350" s="288"/>
      <c r="Q350" s="284"/>
      <c r="R350" s="284"/>
      <c r="S350" s="285"/>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row>
    <row r="351">
      <c r="A351" s="285"/>
      <c r="B351" s="285"/>
      <c r="C351" s="284"/>
      <c r="D351" s="284"/>
      <c r="E351" s="284"/>
      <c r="F351" s="284"/>
      <c r="G351" s="284"/>
      <c r="H351" s="284"/>
      <c r="I351" s="285"/>
      <c r="J351" s="284"/>
      <c r="K351" s="284"/>
      <c r="L351" s="284"/>
      <c r="M351" s="284"/>
      <c r="N351" s="288"/>
      <c r="O351" s="288"/>
      <c r="P351" s="288"/>
      <c r="Q351" s="284"/>
      <c r="R351" s="284"/>
      <c r="S351" s="285"/>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row>
    <row r="352">
      <c r="A352" s="285"/>
      <c r="B352" s="285"/>
      <c r="C352" s="284"/>
      <c r="D352" s="284"/>
      <c r="E352" s="284"/>
      <c r="F352" s="284"/>
      <c r="G352" s="284"/>
      <c r="H352" s="284"/>
      <c r="I352" s="285"/>
      <c r="J352" s="284"/>
      <c r="K352" s="284"/>
      <c r="L352" s="284"/>
      <c r="M352" s="284"/>
      <c r="N352" s="288"/>
      <c r="O352" s="288"/>
      <c r="P352" s="288"/>
      <c r="Q352" s="284"/>
      <c r="R352" s="284"/>
      <c r="S352" s="285"/>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row>
    <row r="353">
      <c r="A353" s="285"/>
      <c r="B353" s="285"/>
      <c r="C353" s="284"/>
      <c r="D353" s="284"/>
      <c r="E353" s="284"/>
      <c r="F353" s="284"/>
      <c r="G353" s="284"/>
      <c r="H353" s="284"/>
      <c r="I353" s="285"/>
      <c r="J353" s="284"/>
      <c r="K353" s="284"/>
      <c r="L353" s="284"/>
      <c r="M353" s="284"/>
      <c r="N353" s="288"/>
      <c r="O353" s="288"/>
      <c r="P353" s="288"/>
      <c r="Q353" s="284"/>
      <c r="R353" s="284"/>
      <c r="S353" s="285"/>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row>
    <row r="354">
      <c r="A354" s="285"/>
      <c r="B354" s="285"/>
      <c r="C354" s="284"/>
      <c r="D354" s="284"/>
      <c r="E354" s="284"/>
      <c r="F354" s="284"/>
      <c r="G354" s="284"/>
      <c r="H354" s="284"/>
      <c r="I354" s="285"/>
      <c r="J354" s="284"/>
      <c r="K354" s="284"/>
      <c r="L354" s="284"/>
      <c r="M354" s="284"/>
      <c r="N354" s="288"/>
      <c r="O354" s="288"/>
      <c r="P354" s="288"/>
      <c r="Q354" s="284"/>
      <c r="R354" s="284"/>
      <c r="S354" s="285"/>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row>
    <row r="355">
      <c r="A355" s="285"/>
      <c r="B355" s="285"/>
      <c r="C355" s="284"/>
      <c r="D355" s="284"/>
      <c r="E355" s="284"/>
      <c r="F355" s="284"/>
      <c r="G355" s="284"/>
      <c r="H355" s="284"/>
      <c r="I355" s="285"/>
      <c r="J355" s="284"/>
      <c r="K355" s="284"/>
      <c r="L355" s="284"/>
      <c r="M355" s="284"/>
      <c r="N355" s="288"/>
      <c r="O355" s="288"/>
      <c r="P355" s="288"/>
      <c r="Q355" s="284"/>
      <c r="R355" s="284"/>
      <c r="S355" s="285"/>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row>
    <row r="356">
      <c r="A356" s="285"/>
      <c r="B356" s="285"/>
      <c r="C356" s="284"/>
      <c r="D356" s="284"/>
      <c r="E356" s="284"/>
      <c r="F356" s="284"/>
      <c r="G356" s="284"/>
      <c r="H356" s="284"/>
      <c r="I356" s="285"/>
      <c r="J356" s="284"/>
      <c r="K356" s="284"/>
      <c r="L356" s="284"/>
      <c r="M356" s="284"/>
      <c r="N356" s="288"/>
      <c r="O356" s="288"/>
      <c r="P356" s="288"/>
      <c r="Q356" s="284"/>
      <c r="R356" s="284"/>
      <c r="S356" s="285"/>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row>
    <row r="357">
      <c r="A357" s="285"/>
      <c r="B357" s="285"/>
      <c r="C357" s="284"/>
      <c r="D357" s="284"/>
      <c r="E357" s="284"/>
      <c r="F357" s="284"/>
      <c r="G357" s="284"/>
      <c r="H357" s="284"/>
      <c r="I357" s="285"/>
      <c r="J357" s="284"/>
      <c r="K357" s="284"/>
      <c r="L357" s="284"/>
      <c r="M357" s="284"/>
      <c r="N357" s="288"/>
      <c r="O357" s="288"/>
      <c r="P357" s="288"/>
      <c r="Q357" s="284"/>
      <c r="R357" s="284"/>
      <c r="S357" s="285"/>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row>
    <row r="358">
      <c r="A358" s="285"/>
      <c r="B358" s="285"/>
      <c r="C358" s="284"/>
      <c r="D358" s="284"/>
      <c r="E358" s="284"/>
      <c r="F358" s="284"/>
      <c r="G358" s="284"/>
      <c r="H358" s="284"/>
      <c r="I358" s="285"/>
      <c r="J358" s="284"/>
      <c r="K358" s="284"/>
      <c r="L358" s="284"/>
      <c r="M358" s="284"/>
      <c r="N358" s="288"/>
      <c r="O358" s="288"/>
      <c r="P358" s="288"/>
      <c r="Q358" s="284"/>
      <c r="R358" s="284"/>
      <c r="S358" s="285"/>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row>
    <row r="359">
      <c r="A359" s="285"/>
      <c r="B359" s="285"/>
      <c r="C359" s="284"/>
      <c r="D359" s="284"/>
      <c r="E359" s="284"/>
      <c r="F359" s="284"/>
      <c r="G359" s="284"/>
      <c r="H359" s="284"/>
      <c r="I359" s="285"/>
      <c r="J359" s="284"/>
      <c r="K359" s="284"/>
      <c r="L359" s="284"/>
      <c r="M359" s="284"/>
      <c r="N359" s="288"/>
      <c r="O359" s="288"/>
      <c r="P359" s="288"/>
      <c r="Q359" s="284"/>
      <c r="R359" s="284"/>
      <c r="S359" s="285"/>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row>
    <row r="360">
      <c r="A360" s="285"/>
      <c r="B360" s="285"/>
      <c r="C360" s="284"/>
      <c r="D360" s="284"/>
      <c r="E360" s="284"/>
      <c r="F360" s="284"/>
      <c r="G360" s="284"/>
      <c r="H360" s="284"/>
      <c r="I360" s="285"/>
      <c r="J360" s="284"/>
      <c r="K360" s="284"/>
      <c r="L360" s="284"/>
      <c r="M360" s="284"/>
      <c r="N360" s="288"/>
      <c r="O360" s="288"/>
      <c r="P360" s="288"/>
      <c r="Q360" s="284"/>
      <c r="R360" s="284"/>
      <c r="S360" s="285"/>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row>
    <row r="361">
      <c r="A361" s="285"/>
      <c r="B361" s="285"/>
      <c r="C361" s="284"/>
      <c r="D361" s="284"/>
      <c r="E361" s="284"/>
      <c r="F361" s="284"/>
      <c r="G361" s="284"/>
      <c r="H361" s="284"/>
      <c r="I361" s="285"/>
      <c r="J361" s="284"/>
      <c r="K361" s="284"/>
      <c r="L361" s="284"/>
      <c r="M361" s="284"/>
      <c r="N361" s="288"/>
      <c r="O361" s="288"/>
      <c r="P361" s="288"/>
      <c r="Q361" s="284"/>
      <c r="R361" s="284"/>
      <c r="S361" s="285"/>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row>
    <row r="362">
      <c r="A362" s="285"/>
      <c r="B362" s="285"/>
      <c r="C362" s="284"/>
      <c r="D362" s="284"/>
      <c r="E362" s="284"/>
      <c r="F362" s="284"/>
      <c r="G362" s="284"/>
      <c r="H362" s="284"/>
      <c r="I362" s="285"/>
      <c r="J362" s="284"/>
      <c r="K362" s="284"/>
      <c r="L362" s="284"/>
      <c r="M362" s="284"/>
      <c r="N362" s="288"/>
      <c r="O362" s="288"/>
      <c r="P362" s="288"/>
      <c r="Q362" s="284"/>
      <c r="R362" s="284"/>
      <c r="S362" s="285"/>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row>
    <row r="363">
      <c r="A363" s="285"/>
      <c r="B363" s="285"/>
      <c r="C363" s="284"/>
      <c r="D363" s="284"/>
      <c r="E363" s="284"/>
      <c r="F363" s="284"/>
      <c r="G363" s="284"/>
      <c r="H363" s="284"/>
      <c r="I363" s="285"/>
      <c r="J363" s="284"/>
      <c r="K363" s="284"/>
      <c r="L363" s="284"/>
      <c r="M363" s="284"/>
      <c r="N363" s="288"/>
      <c r="O363" s="288"/>
      <c r="P363" s="288"/>
      <c r="Q363" s="284"/>
      <c r="R363" s="284"/>
      <c r="S363" s="285"/>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row>
    <row r="364">
      <c r="A364" s="285"/>
      <c r="B364" s="285"/>
      <c r="C364" s="284"/>
      <c r="D364" s="284"/>
      <c r="E364" s="284"/>
      <c r="F364" s="284"/>
      <c r="G364" s="284"/>
      <c r="H364" s="284"/>
      <c r="I364" s="285"/>
      <c r="J364" s="284"/>
      <c r="K364" s="284"/>
      <c r="L364" s="284"/>
      <c r="M364" s="284"/>
      <c r="N364" s="288"/>
      <c r="O364" s="288"/>
      <c r="P364" s="288"/>
      <c r="Q364" s="284"/>
      <c r="R364" s="284"/>
      <c r="S364" s="285"/>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row>
    <row r="365">
      <c r="A365" s="285"/>
      <c r="B365" s="285"/>
      <c r="C365" s="284"/>
      <c r="D365" s="284"/>
      <c r="E365" s="284"/>
      <c r="F365" s="284"/>
      <c r="G365" s="284"/>
      <c r="H365" s="284"/>
      <c r="I365" s="285"/>
      <c r="J365" s="284"/>
      <c r="K365" s="284"/>
      <c r="L365" s="284"/>
      <c r="M365" s="284"/>
      <c r="N365" s="288"/>
      <c r="O365" s="288"/>
      <c r="P365" s="288"/>
      <c r="Q365" s="284"/>
      <c r="R365" s="284"/>
      <c r="S365" s="285"/>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row>
    <row r="366">
      <c r="A366" s="285"/>
      <c r="B366" s="285"/>
      <c r="C366" s="284"/>
      <c r="D366" s="284"/>
      <c r="E366" s="284"/>
      <c r="F366" s="284"/>
      <c r="G366" s="284"/>
      <c r="H366" s="284"/>
      <c r="I366" s="285"/>
      <c r="J366" s="284"/>
      <c r="K366" s="284"/>
      <c r="L366" s="284"/>
      <c r="M366" s="284"/>
      <c r="N366" s="288"/>
      <c r="O366" s="288"/>
      <c r="P366" s="288"/>
      <c r="Q366" s="284"/>
      <c r="R366" s="284"/>
      <c r="S366" s="285"/>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row>
    <row r="367">
      <c r="A367" s="285"/>
      <c r="B367" s="285"/>
      <c r="C367" s="284"/>
      <c r="D367" s="284"/>
      <c r="E367" s="284"/>
      <c r="F367" s="284"/>
      <c r="G367" s="284"/>
      <c r="H367" s="284"/>
      <c r="I367" s="285"/>
      <c r="J367" s="284"/>
      <c r="K367" s="284"/>
      <c r="L367" s="284"/>
      <c r="M367" s="284"/>
      <c r="N367" s="288"/>
      <c r="O367" s="288"/>
      <c r="P367" s="288"/>
      <c r="Q367" s="284"/>
      <c r="R367" s="284"/>
      <c r="S367" s="285"/>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row>
    <row r="368">
      <c r="A368" s="285"/>
      <c r="B368" s="285"/>
      <c r="C368" s="284"/>
      <c r="D368" s="284"/>
      <c r="E368" s="284"/>
      <c r="F368" s="284"/>
      <c r="G368" s="284"/>
      <c r="H368" s="284"/>
      <c r="I368" s="285"/>
      <c r="J368" s="284"/>
      <c r="K368" s="284"/>
      <c r="L368" s="284"/>
      <c r="M368" s="284"/>
      <c r="N368" s="288"/>
      <c r="O368" s="288"/>
      <c r="P368" s="288"/>
      <c r="Q368" s="284"/>
      <c r="R368" s="284"/>
      <c r="S368" s="285"/>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row>
    <row r="369">
      <c r="A369" s="285"/>
      <c r="B369" s="285"/>
      <c r="C369" s="284"/>
      <c r="D369" s="284"/>
      <c r="E369" s="284"/>
      <c r="F369" s="284"/>
      <c r="G369" s="284"/>
      <c r="H369" s="284"/>
      <c r="I369" s="285"/>
      <c r="J369" s="284"/>
      <c r="K369" s="284"/>
      <c r="L369" s="284"/>
      <c r="M369" s="284"/>
      <c r="N369" s="288"/>
      <c r="O369" s="288"/>
      <c r="P369" s="288"/>
      <c r="Q369" s="284"/>
      <c r="R369" s="284"/>
      <c r="S369" s="285"/>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row>
    <row r="370">
      <c r="A370" s="285"/>
      <c r="B370" s="285"/>
      <c r="C370" s="284"/>
      <c r="D370" s="284"/>
      <c r="E370" s="284"/>
      <c r="F370" s="284"/>
      <c r="G370" s="284"/>
      <c r="H370" s="284"/>
      <c r="I370" s="285"/>
      <c r="J370" s="284"/>
      <c r="K370" s="284"/>
      <c r="L370" s="284"/>
      <c r="M370" s="284"/>
      <c r="N370" s="288"/>
      <c r="O370" s="288"/>
      <c r="P370" s="288"/>
      <c r="Q370" s="284"/>
      <c r="R370" s="284"/>
      <c r="S370" s="285"/>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row>
    <row r="371">
      <c r="A371" s="285"/>
      <c r="B371" s="285"/>
      <c r="C371" s="284"/>
      <c r="D371" s="284"/>
      <c r="E371" s="284"/>
      <c r="F371" s="284"/>
      <c r="G371" s="284"/>
      <c r="H371" s="284"/>
      <c r="I371" s="285"/>
      <c r="J371" s="284"/>
      <c r="K371" s="284"/>
      <c r="L371" s="284"/>
      <c r="M371" s="284"/>
      <c r="N371" s="288"/>
      <c r="O371" s="288"/>
      <c r="P371" s="288"/>
      <c r="Q371" s="284"/>
      <c r="R371" s="284"/>
      <c r="S371" s="285"/>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row>
    <row r="372">
      <c r="A372" s="285"/>
      <c r="B372" s="285"/>
      <c r="C372" s="284"/>
      <c r="D372" s="284"/>
      <c r="E372" s="284"/>
      <c r="F372" s="284"/>
      <c r="G372" s="284"/>
      <c r="H372" s="284"/>
      <c r="I372" s="285"/>
      <c r="J372" s="284"/>
      <c r="K372" s="284"/>
      <c r="L372" s="284"/>
      <c r="M372" s="284"/>
      <c r="N372" s="288"/>
      <c r="O372" s="288"/>
      <c r="P372" s="288"/>
      <c r="Q372" s="284"/>
      <c r="R372" s="284"/>
      <c r="S372" s="285"/>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row>
    <row r="373">
      <c r="A373" s="285"/>
      <c r="B373" s="285"/>
      <c r="C373" s="284"/>
      <c r="D373" s="284"/>
      <c r="E373" s="284"/>
      <c r="F373" s="284"/>
      <c r="G373" s="284"/>
      <c r="H373" s="284"/>
      <c r="I373" s="285"/>
      <c r="J373" s="284"/>
      <c r="K373" s="284"/>
      <c r="L373" s="284"/>
      <c r="M373" s="284"/>
      <c r="N373" s="288"/>
      <c r="O373" s="288"/>
      <c r="P373" s="288"/>
      <c r="Q373" s="284"/>
      <c r="R373" s="284"/>
      <c r="S373" s="285"/>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row>
    <row r="374">
      <c r="A374" s="285"/>
      <c r="B374" s="285"/>
      <c r="C374" s="284"/>
      <c r="D374" s="284"/>
      <c r="E374" s="284"/>
      <c r="F374" s="284"/>
      <c r="G374" s="284"/>
      <c r="H374" s="284"/>
      <c r="I374" s="285"/>
      <c r="J374" s="284"/>
      <c r="K374" s="284"/>
      <c r="L374" s="284"/>
      <c r="M374" s="284"/>
      <c r="N374" s="288"/>
      <c r="O374" s="288"/>
      <c r="P374" s="288"/>
      <c r="Q374" s="284"/>
      <c r="R374" s="284"/>
      <c r="S374" s="285"/>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row>
    <row r="375">
      <c r="A375" s="285"/>
      <c r="B375" s="285"/>
      <c r="C375" s="284"/>
      <c r="D375" s="284"/>
      <c r="E375" s="284"/>
      <c r="F375" s="284"/>
      <c r="G375" s="284"/>
      <c r="H375" s="284"/>
      <c r="I375" s="285"/>
      <c r="J375" s="284"/>
      <c r="K375" s="284"/>
      <c r="L375" s="284"/>
      <c r="M375" s="284"/>
      <c r="N375" s="288"/>
      <c r="O375" s="288"/>
      <c r="P375" s="288"/>
      <c r="Q375" s="284"/>
      <c r="R375" s="284"/>
      <c r="S375" s="285"/>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row>
    <row r="376">
      <c r="A376" s="285"/>
      <c r="B376" s="285"/>
      <c r="C376" s="284"/>
      <c r="D376" s="284"/>
      <c r="E376" s="284"/>
      <c r="F376" s="284"/>
      <c r="G376" s="284"/>
      <c r="H376" s="284"/>
      <c r="I376" s="285"/>
      <c r="J376" s="284"/>
      <c r="K376" s="284"/>
      <c r="L376" s="284"/>
      <c r="M376" s="284"/>
      <c r="N376" s="288"/>
      <c r="O376" s="288"/>
      <c r="P376" s="288"/>
      <c r="Q376" s="284"/>
      <c r="R376" s="284"/>
      <c r="S376" s="285"/>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row>
    <row r="377">
      <c r="A377" s="285"/>
      <c r="B377" s="285"/>
      <c r="C377" s="284"/>
      <c r="D377" s="284"/>
      <c r="E377" s="284"/>
      <c r="F377" s="284"/>
      <c r="G377" s="284"/>
      <c r="H377" s="284"/>
      <c r="I377" s="285"/>
      <c r="J377" s="284"/>
      <c r="K377" s="284"/>
      <c r="L377" s="284"/>
      <c r="M377" s="284"/>
      <c r="N377" s="288"/>
      <c r="O377" s="288"/>
      <c r="P377" s="288"/>
      <c r="Q377" s="284"/>
      <c r="R377" s="284"/>
      <c r="S377" s="285"/>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row>
    <row r="378">
      <c r="A378" s="285"/>
      <c r="B378" s="285"/>
      <c r="C378" s="284"/>
      <c r="D378" s="284"/>
      <c r="E378" s="284"/>
      <c r="F378" s="284"/>
      <c r="G378" s="284"/>
      <c r="H378" s="284"/>
      <c r="I378" s="285"/>
      <c r="J378" s="284"/>
      <c r="K378" s="284"/>
      <c r="L378" s="284"/>
      <c r="M378" s="284"/>
      <c r="N378" s="288"/>
      <c r="O378" s="288"/>
      <c r="P378" s="288"/>
      <c r="Q378" s="284"/>
      <c r="R378" s="284"/>
      <c r="S378" s="285"/>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row>
    <row r="379">
      <c r="A379" s="285"/>
      <c r="B379" s="285"/>
      <c r="C379" s="284"/>
      <c r="D379" s="284"/>
      <c r="E379" s="284"/>
      <c r="F379" s="284"/>
      <c r="G379" s="284"/>
      <c r="H379" s="284"/>
      <c r="I379" s="285"/>
      <c r="J379" s="284"/>
      <c r="K379" s="284"/>
      <c r="L379" s="284"/>
      <c r="M379" s="284"/>
      <c r="N379" s="288"/>
      <c r="O379" s="288"/>
      <c r="P379" s="288"/>
      <c r="Q379" s="284"/>
      <c r="R379" s="284"/>
      <c r="S379" s="285"/>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row>
    <row r="380">
      <c r="A380" s="285"/>
      <c r="B380" s="285"/>
      <c r="C380" s="284"/>
      <c r="D380" s="284"/>
      <c r="E380" s="284"/>
      <c r="F380" s="284"/>
      <c r="G380" s="284"/>
      <c r="H380" s="284"/>
      <c r="I380" s="285"/>
      <c r="J380" s="284"/>
      <c r="K380" s="284"/>
      <c r="L380" s="284"/>
      <c r="M380" s="284"/>
      <c r="N380" s="288"/>
      <c r="O380" s="288"/>
      <c r="P380" s="288"/>
      <c r="Q380" s="284"/>
      <c r="R380" s="284"/>
      <c r="S380" s="285"/>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row>
    <row r="381">
      <c r="A381" s="285"/>
      <c r="B381" s="285"/>
      <c r="C381" s="284"/>
      <c r="D381" s="284"/>
      <c r="E381" s="284"/>
      <c r="F381" s="284"/>
      <c r="G381" s="284"/>
      <c r="H381" s="284"/>
      <c r="I381" s="285"/>
      <c r="J381" s="284"/>
      <c r="K381" s="284"/>
      <c r="L381" s="284"/>
      <c r="M381" s="284"/>
      <c r="N381" s="288"/>
      <c r="O381" s="288"/>
      <c r="P381" s="288"/>
      <c r="Q381" s="284"/>
      <c r="R381" s="284"/>
      <c r="S381" s="285"/>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row>
    <row r="382">
      <c r="A382" s="285"/>
      <c r="B382" s="285"/>
      <c r="C382" s="284"/>
      <c r="D382" s="284"/>
      <c r="E382" s="284"/>
      <c r="F382" s="284"/>
      <c r="G382" s="284"/>
      <c r="H382" s="284"/>
      <c r="I382" s="285"/>
      <c r="J382" s="284"/>
      <c r="K382" s="284"/>
      <c r="L382" s="284"/>
      <c r="M382" s="284"/>
      <c r="N382" s="288"/>
      <c r="O382" s="288"/>
      <c r="P382" s="288"/>
      <c r="Q382" s="284"/>
      <c r="R382" s="284"/>
      <c r="S382" s="285"/>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row>
    <row r="383">
      <c r="A383" s="285"/>
      <c r="B383" s="285"/>
      <c r="C383" s="284"/>
      <c r="D383" s="284"/>
      <c r="E383" s="284"/>
      <c r="F383" s="284"/>
      <c r="G383" s="284"/>
      <c r="H383" s="284"/>
      <c r="I383" s="285"/>
      <c r="J383" s="284"/>
      <c r="K383" s="284"/>
      <c r="L383" s="284"/>
      <c r="M383" s="284"/>
      <c r="N383" s="288"/>
      <c r="O383" s="288"/>
      <c r="P383" s="288"/>
      <c r="Q383" s="284"/>
      <c r="R383" s="284"/>
      <c r="S383" s="285"/>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row>
    <row r="384">
      <c r="A384" s="285"/>
      <c r="B384" s="285"/>
      <c r="C384" s="284"/>
      <c r="D384" s="284"/>
      <c r="E384" s="284"/>
      <c r="F384" s="284"/>
      <c r="G384" s="284"/>
      <c r="H384" s="284"/>
      <c r="I384" s="285"/>
      <c r="J384" s="284"/>
      <c r="K384" s="284"/>
      <c r="L384" s="284"/>
      <c r="M384" s="284"/>
      <c r="N384" s="288"/>
      <c r="O384" s="288"/>
      <c r="P384" s="288"/>
      <c r="Q384" s="284"/>
      <c r="R384" s="284"/>
      <c r="S384" s="285"/>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row>
    <row r="385">
      <c r="A385" s="285"/>
      <c r="B385" s="285"/>
      <c r="C385" s="284"/>
      <c r="D385" s="284"/>
      <c r="E385" s="284"/>
      <c r="F385" s="284"/>
      <c r="G385" s="284"/>
      <c r="H385" s="284"/>
      <c r="I385" s="285"/>
      <c r="J385" s="284"/>
      <c r="K385" s="284"/>
      <c r="L385" s="284"/>
      <c r="M385" s="284"/>
      <c r="N385" s="288"/>
      <c r="O385" s="288"/>
      <c r="P385" s="288"/>
      <c r="Q385" s="284"/>
      <c r="R385" s="284"/>
      <c r="S385" s="285"/>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row>
    <row r="386">
      <c r="A386" s="285"/>
      <c r="B386" s="285"/>
      <c r="C386" s="284"/>
      <c r="D386" s="284"/>
      <c r="E386" s="284"/>
      <c r="F386" s="284"/>
      <c r="G386" s="284"/>
      <c r="H386" s="284"/>
      <c r="I386" s="285"/>
      <c r="J386" s="284"/>
      <c r="K386" s="284"/>
      <c r="L386" s="284"/>
      <c r="M386" s="284"/>
      <c r="N386" s="288"/>
      <c r="O386" s="288"/>
      <c r="P386" s="288"/>
      <c r="Q386" s="284"/>
      <c r="R386" s="284"/>
      <c r="S386" s="285"/>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row>
    <row r="387">
      <c r="A387" s="285"/>
      <c r="B387" s="285"/>
      <c r="C387" s="284"/>
      <c r="D387" s="284"/>
      <c r="E387" s="284"/>
      <c r="F387" s="284"/>
      <c r="G387" s="284"/>
      <c r="H387" s="284"/>
      <c r="I387" s="285"/>
      <c r="J387" s="284"/>
      <c r="K387" s="284"/>
      <c r="L387" s="284"/>
      <c r="M387" s="284"/>
      <c r="N387" s="288"/>
      <c r="O387" s="288"/>
      <c r="P387" s="288"/>
      <c r="Q387" s="284"/>
      <c r="R387" s="284"/>
      <c r="S387" s="285"/>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row>
    <row r="388">
      <c r="A388" s="285"/>
      <c r="B388" s="285"/>
      <c r="C388" s="284"/>
      <c r="D388" s="284"/>
      <c r="E388" s="284"/>
      <c r="F388" s="284"/>
      <c r="G388" s="284"/>
      <c r="H388" s="284"/>
      <c r="I388" s="285"/>
      <c r="J388" s="284"/>
      <c r="K388" s="284"/>
      <c r="L388" s="284"/>
      <c r="M388" s="284"/>
      <c r="N388" s="288"/>
      <c r="O388" s="288"/>
      <c r="P388" s="288"/>
      <c r="Q388" s="284"/>
      <c r="R388" s="284"/>
      <c r="S388" s="285"/>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row>
    <row r="389">
      <c r="A389" s="285"/>
      <c r="B389" s="285"/>
      <c r="C389" s="284"/>
      <c r="D389" s="284"/>
      <c r="E389" s="284"/>
      <c r="F389" s="284"/>
      <c r="G389" s="284"/>
      <c r="H389" s="284"/>
      <c r="I389" s="285"/>
      <c r="J389" s="284"/>
      <c r="K389" s="284"/>
      <c r="L389" s="284"/>
      <c r="M389" s="284"/>
      <c r="N389" s="288"/>
      <c r="O389" s="288"/>
      <c r="P389" s="288"/>
      <c r="Q389" s="284"/>
      <c r="R389" s="284"/>
      <c r="S389" s="285"/>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row>
    <row r="390">
      <c r="A390" s="285"/>
      <c r="B390" s="285"/>
      <c r="C390" s="284"/>
      <c r="D390" s="284"/>
      <c r="E390" s="284"/>
      <c r="F390" s="284"/>
      <c r="G390" s="284"/>
      <c r="H390" s="284"/>
      <c r="I390" s="285"/>
      <c r="J390" s="284"/>
      <c r="K390" s="284"/>
      <c r="L390" s="284"/>
      <c r="M390" s="284"/>
      <c r="N390" s="288"/>
      <c r="O390" s="288"/>
      <c r="P390" s="288"/>
      <c r="Q390" s="284"/>
      <c r="R390" s="284"/>
      <c r="S390" s="285"/>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row>
    <row r="391">
      <c r="A391" s="285"/>
      <c r="B391" s="285"/>
      <c r="C391" s="284"/>
      <c r="D391" s="284"/>
      <c r="E391" s="284"/>
      <c r="F391" s="284"/>
      <c r="G391" s="284"/>
      <c r="H391" s="284"/>
      <c r="I391" s="285"/>
      <c r="J391" s="284"/>
      <c r="K391" s="284"/>
      <c r="L391" s="284"/>
      <c r="M391" s="284"/>
      <c r="N391" s="288"/>
      <c r="O391" s="288"/>
      <c r="P391" s="288"/>
      <c r="Q391" s="284"/>
      <c r="R391" s="284"/>
      <c r="S391" s="285"/>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row>
    <row r="392">
      <c r="A392" s="285"/>
      <c r="B392" s="285"/>
      <c r="C392" s="284"/>
      <c r="D392" s="284"/>
      <c r="E392" s="284"/>
      <c r="F392" s="284"/>
      <c r="G392" s="284"/>
      <c r="H392" s="284"/>
      <c r="I392" s="285"/>
      <c r="J392" s="284"/>
      <c r="K392" s="284"/>
      <c r="L392" s="284"/>
      <c r="M392" s="284"/>
      <c r="N392" s="288"/>
      <c r="O392" s="288"/>
      <c r="P392" s="288"/>
      <c r="Q392" s="284"/>
      <c r="R392" s="284"/>
      <c r="S392" s="285"/>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row>
    <row r="393">
      <c r="A393" s="285"/>
      <c r="B393" s="285"/>
      <c r="C393" s="284"/>
      <c r="D393" s="284"/>
      <c r="E393" s="284"/>
      <c r="F393" s="284"/>
      <c r="G393" s="284"/>
      <c r="H393" s="284"/>
      <c r="I393" s="285"/>
      <c r="J393" s="284"/>
      <c r="K393" s="284"/>
      <c r="L393" s="284"/>
      <c r="M393" s="284"/>
      <c r="N393" s="288"/>
      <c r="O393" s="288"/>
      <c r="P393" s="288"/>
      <c r="Q393" s="284"/>
      <c r="R393" s="284"/>
      <c r="S393" s="285"/>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row>
    <row r="394">
      <c r="A394" s="285"/>
      <c r="B394" s="285"/>
      <c r="C394" s="284"/>
      <c r="D394" s="284"/>
      <c r="E394" s="284"/>
      <c r="F394" s="284"/>
      <c r="G394" s="284"/>
      <c r="H394" s="284"/>
      <c r="I394" s="285"/>
      <c r="J394" s="284"/>
      <c r="K394" s="284"/>
      <c r="L394" s="284"/>
      <c r="M394" s="284"/>
      <c r="N394" s="288"/>
      <c r="O394" s="288"/>
      <c r="P394" s="288"/>
      <c r="Q394" s="284"/>
      <c r="R394" s="284"/>
      <c r="S394" s="285"/>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row>
    <row r="395">
      <c r="A395" s="285"/>
      <c r="B395" s="285"/>
      <c r="C395" s="284"/>
      <c r="D395" s="284"/>
      <c r="E395" s="284"/>
      <c r="F395" s="284"/>
      <c r="G395" s="284"/>
      <c r="H395" s="284"/>
      <c r="I395" s="285"/>
      <c r="J395" s="284"/>
      <c r="K395" s="284"/>
      <c r="L395" s="284"/>
      <c r="M395" s="284"/>
      <c r="N395" s="288"/>
      <c r="O395" s="288"/>
      <c r="P395" s="288"/>
      <c r="Q395" s="284"/>
      <c r="R395" s="284"/>
      <c r="S395" s="285"/>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row>
    <row r="396">
      <c r="A396" s="285"/>
      <c r="B396" s="285"/>
      <c r="C396" s="284"/>
      <c r="D396" s="284"/>
      <c r="E396" s="284"/>
      <c r="F396" s="284"/>
      <c r="G396" s="284"/>
      <c r="H396" s="284"/>
      <c r="I396" s="285"/>
      <c r="J396" s="284"/>
      <c r="K396" s="284"/>
      <c r="L396" s="284"/>
      <c r="M396" s="284"/>
      <c r="N396" s="288"/>
      <c r="O396" s="288"/>
      <c r="P396" s="288"/>
      <c r="Q396" s="284"/>
      <c r="R396" s="284"/>
      <c r="S396" s="285"/>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row>
    <row r="397">
      <c r="A397" s="285"/>
      <c r="B397" s="285"/>
      <c r="C397" s="284"/>
      <c r="D397" s="284"/>
      <c r="E397" s="284"/>
      <c r="F397" s="284"/>
      <c r="G397" s="284"/>
      <c r="H397" s="284"/>
      <c r="I397" s="285"/>
      <c r="J397" s="284"/>
      <c r="K397" s="284"/>
      <c r="L397" s="284"/>
      <c r="M397" s="284"/>
      <c r="N397" s="288"/>
      <c r="O397" s="288"/>
      <c r="P397" s="288"/>
      <c r="Q397" s="284"/>
      <c r="R397" s="284"/>
      <c r="S397" s="285"/>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row>
    <row r="398">
      <c r="A398" s="285"/>
      <c r="B398" s="285"/>
      <c r="C398" s="284"/>
      <c r="D398" s="284"/>
      <c r="E398" s="284"/>
      <c r="F398" s="284"/>
      <c r="G398" s="284"/>
      <c r="H398" s="284"/>
      <c r="I398" s="285"/>
      <c r="J398" s="284"/>
      <c r="K398" s="284"/>
      <c r="L398" s="284"/>
      <c r="M398" s="284"/>
      <c r="N398" s="288"/>
      <c r="O398" s="288"/>
      <c r="P398" s="288"/>
      <c r="Q398" s="284"/>
      <c r="R398" s="284"/>
      <c r="S398" s="285"/>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row>
    <row r="399">
      <c r="A399" s="285"/>
      <c r="B399" s="285"/>
      <c r="C399" s="284"/>
      <c r="D399" s="284"/>
      <c r="E399" s="284"/>
      <c r="F399" s="284"/>
      <c r="G399" s="284"/>
      <c r="H399" s="284"/>
      <c r="I399" s="285"/>
      <c r="J399" s="284"/>
      <c r="K399" s="284"/>
      <c r="L399" s="284"/>
      <c r="M399" s="284"/>
      <c r="N399" s="288"/>
      <c r="O399" s="288"/>
      <c r="P399" s="288"/>
      <c r="Q399" s="284"/>
      <c r="R399" s="284"/>
      <c r="S399" s="285"/>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row>
    <row r="400">
      <c r="A400" s="285"/>
      <c r="B400" s="285"/>
      <c r="C400" s="284"/>
      <c r="D400" s="284"/>
      <c r="E400" s="284"/>
      <c r="F400" s="284"/>
      <c r="G400" s="284"/>
      <c r="H400" s="284"/>
      <c r="I400" s="285"/>
      <c r="J400" s="284"/>
      <c r="K400" s="284"/>
      <c r="L400" s="284"/>
      <c r="M400" s="284"/>
      <c r="N400" s="288"/>
      <c r="O400" s="288"/>
      <c r="P400" s="288"/>
      <c r="Q400" s="284"/>
      <c r="R400" s="284"/>
      <c r="S400" s="285"/>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row>
    <row r="401">
      <c r="A401" s="285"/>
      <c r="B401" s="285"/>
      <c r="C401" s="284"/>
      <c r="D401" s="284"/>
      <c r="E401" s="284"/>
      <c r="F401" s="284"/>
      <c r="G401" s="284"/>
      <c r="H401" s="284"/>
      <c r="I401" s="285"/>
      <c r="J401" s="284"/>
      <c r="K401" s="284"/>
      <c r="L401" s="284"/>
      <c r="M401" s="284"/>
      <c r="N401" s="288"/>
      <c r="O401" s="288"/>
      <c r="P401" s="288"/>
      <c r="Q401" s="284"/>
      <c r="R401" s="284"/>
      <c r="S401" s="285"/>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row>
    <row r="402">
      <c r="A402" s="285"/>
      <c r="B402" s="285"/>
      <c r="C402" s="284"/>
      <c r="D402" s="284"/>
      <c r="E402" s="284"/>
      <c r="F402" s="284"/>
      <c r="G402" s="284"/>
      <c r="H402" s="284"/>
      <c r="I402" s="285"/>
      <c r="J402" s="284"/>
      <c r="K402" s="284"/>
      <c r="L402" s="284"/>
      <c r="M402" s="284"/>
      <c r="N402" s="288"/>
      <c r="O402" s="288"/>
      <c r="P402" s="288"/>
      <c r="Q402" s="284"/>
      <c r="R402" s="284"/>
      <c r="S402" s="285"/>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row>
    <row r="403">
      <c r="A403" s="285"/>
      <c r="B403" s="285"/>
      <c r="C403" s="284"/>
      <c r="D403" s="284"/>
      <c r="E403" s="284"/>
      <c r="F403" s="284"/>
      <c r="G403" s="284"/>
      <c r="H403" s="284"/>
      <c r="I403" s="285"/>
      <c r="J403" s="284"/>
      <c r="K403" s="284"/>
      <c r="L403" s="284"/>
      <c r="M403" s="284"/>
      <c r="N403" s="288"/>
      <c r="O403" s="288"/>
      <c r="P403" s="288"/>
      <c r="Q403" s="284"/>
      <c r="R403" s="284"/>
      <c r="S403" s="285"/>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row>
    <row r="404">
      <c r="A404" s="285"/>
      <c r="B404" s="285"/>
      <c r="C404" s="284"/>
      <c r="D404" s="284"/>
      <c r="E404" s="284"/>
      <c r="F404" s="284"/>
      <c r="G404" s="284"/>
      <c r="H404" s="284"/>
      <c r="I404" s="285"/>
      <c r="J404" s="284"/>
      <c r="K404" s="284"/>
      <c r="L404" s="284"/>
      <c r="M404" s="284"/>
      <c r="N404" s="288"/>
      <c r="O404" s="288"/>
      <c r="P404" s="288"/>
      <c r="Q404" s="284"/>
      <c r="R404" s="284"/>
      <c r="S404" s="285"/>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row>
    <row r="405">
      <c r="A405" s="285"/>
      <c r="B405" s="285"/>
      <c r="C405" s="284"/>
      <c r="D405" s="284"/>
      <c r="E405" s="284"/>
      <c r="F405" s="284"/>
      <c r="G405" s="284"/>
      <c r="H405" s="284"/>
      <c r="I405" s="285"/>
      <c r="J405" s="284"/>
      <c r="K405" s="284"/>
      <c r="L405" s="284"/>
      <c r="M405" s="284"/>
      <c r="N405" s="288"/>
      <c r="O405" s="288"/>
      <c r="P405" s="288"/>
      <c r="Q405" s="284"/>
      <c r="R405" s="284"/>
      <c r="S405" s="285"/>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row>
    <row r="406">
      <c r="A406" s="285"/>
      <c r="B406" s="285"/>
      <c r="C406" s="284"/>
      <c r="D406" s="284"/>
      <c r="E406" s="284"/>
      <c r="F406" s="284"/>
      <c r="G406" s="284"/>
      <c r="H406" s="284"/>
      <c r="I406" s="285"/>
      <c r="J406" s="284"/>
      <c r="K406" s="284"/>
      <c r="L406" s="284"/>
      <c r="M406" s="284"/>
      <c r="N406" s="288"/>
      <c r="O406" s="288"/>
      <c r="P406" s="288"/>
      <c r="Q406" s="284"/>
      <c r="R406" s="284"/>
      <c r="S406" s="285"/>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row>
    <row r="407">
      <c r="A407" s="285"/>
      <c r="B407" s="285"/>
      <c r="C407" s="284"/>
      <c r="D407" s="284"/>
      <c r="E407" s="284"/>
      <c r="F407" s="284"/>
      <c r="G407" s="284"/>
      <c r="H407" s="284"/>
      <c r="I407" s="285"/>
      <c r="J407" s="284"/>
      <c r="K407" s="284"/>
      <c r="L407" s="284"/>
      <c r="M407" s="284"/>
      <c r="N407" s="288"/>
      <c r="O407" s="288"/>
      <c r="P407" s="288"/>
      <c r="Q407" s="284"/>
      <c r="R407" s="284"/>
      <c r="S407" s="285"/>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row>
    <row r="408">
      <c r="A408" s="285"/>
      <c r="B408" s="285"/>
      <c r="C408" s="284"/>
      <c r="D408" s="284"/>
      <c r="E408" s="284"/>
      <c r="F408" s="284"/>
      <c r="G408" s="284"/>
      <c r="H408" s="284"/>
      <c r="I408" s="285"/>
      <c r="J408" s="284"/>
      <c r="K408" s="284"/>
      <c r="L408" s="284"/>
      <c r="M408" s="284"/>
      <c r="N408" s="288"/>
      <c r="O408" s="288"/>
      <c r="P408" s="288"/>
      <c r="Q408" s="284"/>
      <c r="R408" s="284"/>
      <c r="S408" s="285"/>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row>
    <row r="409">
      <c r="A409" s="285"/>
      <c r="B409" s="285"/>
      <c r="C409" s="284"/>
      <c r="D409" s="284"/>
      <c r="E409" s="284"/>
      <c r="F409" s="284"/>
      <c r="G409" s="284"/>
      <c r="H409" s="284"/>
      <c r="I409" s="285"/>
      <c r="J409" s="284"/>
      <c r="K409" s="284"/>
      <c r="L409" s="284"/>
      <c r="M409" s="284"/>
      <c r="N409" s="288"/>
      <c r="O409" s="288"/>
      <c r="P409" s="288"/>
      <c r="Q409" s="284"/>
      <c r="R409" s="284"/>
      <c r="S409" s="285"/>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row>
    <row r="410">
      <c r="A410" s="285"/>
      <c r="B410" s="285"/>
      <c r="C410" s="284"/>
      <c r="D410" s="284"/>
      <c r="E410" s="284"/>
      <c r="F410" s="284"/>
      <c r="G410" s="284"/>
      <c r="H410" s="284"/>
      <c r="I410" s="285"/>
      <c r="J410" s="284"/>
      <c r="K410" s="284"/>
      <c r="L410" s="284"/>
      <c r="M410" s="284"/>
      <c r="N410" s="288"/>
      <c r="O410" s="288"/>
      <c r="P410" s="288"/>
      <c r="Q410" s="284"/>
      <c r="R410" s="284"/>
      <c r="S410" s="285"/>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row>
    <row r="411">
      <c r="A411" s="285"/>
      <c r="B411" s="285"/>
      <c r="C411" s="284"/>
      <c r="D411" s="284"/>
      <c r="E411" s="284"/>
      <c r="F411" s="284"/>
      <c r="G411" s="284"/>
      <c r="H411" s="284"/>
      <c r="I411" s="285"/>
      <c r="J411" s="284"/>
      <c r="K411" s="284"/>
      <c r="L411" s="284"/>
      <c r="M411" s="284"/>
      <c r="N411" s="288"/>
      <c r="O411" s="288"/>
      <c r="P411" s="288"/>
      <c r="Q411" s="284"/>
      <c r="R411" s="284"/>
      <c r="S411" s="285"/>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row>
    <row r="412">
      <c r="A412" s="285"/>
      <c r="B412" s="285"/>
      <c r="C412" s="284"/>
      <c r="D412" s="284"/>
      <c r="E412" s="284"/>
      <c r="F412" s="284"/>
      <c r="G412" s="284"/>
      <c r="H412" s="284"/>
      <c r="I412" s="285"/>
      <c r="J412" s="284"/>
      <c r="K412" s="284"/>
      <c r="L412" s="284"/>
      <c r="M412" s="284"/>
      <c r="N412" s="288"/>
      <c r="O412" s="288"/>
      <c r="P412" s="288"/>
      <c r="Q412" s="284"/>
      <c r="R412" s="284"/>
      <c r="S412" s="285"/>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row>
    <row r="413">
      <c r="A413" s="285"/>
      <c r="B413" s="285"/>
      <c r="C413" s="284"/>
      <c r="D413" s="284"/>
      <c r="E413" s="284"/>
      <c r="F413" s="284"/>
      <c r="G413" s="284"/>
      <c r="H413" s="284"/>
      <c r="I413" s="285"/>
      <c r="J413" s="284"/>
      <c r="K413" s="284"/>
      <c r="L413" s="284"/>
      <c r="M413" s="284"/>
      <c r="N413" s="288"/>
      <c r="O413" s="288"/>
      <c r="P413" s="288"/>
      <c r="Q413" s="284"/>
      <c r="R413" s="284"/>
      <c r="S413" s="285"/>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row>
    <row r="414">
      <c r="A414" s="285"/>
      <c r="B414" s="285"/>
      <c r="C414" s="284"/>
      <c r="D414" s="284"/>
      <c r="E414" s="284"/>
      <c r="F414" s="284"/>
      <c r="G414" s="284"/>
      <c r="H414" s="284"/>
      <c r="I414" s="285"/>
      <c r="J414" s="284"/>
      <c r="K414" s="284"/>
      <c r="L414" s="284"/>
      <c r="M414" s="284"/>
      <c r="N414" s="288"/>
      <c r="O414" s="288"/>
      <c r="P414" s="288"/>
      <c r="Q414" s="284"/>
      <c r="R414" s="284"/>
      <c r="S414" s="285"/>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row>
    <row r="415">
      <c r="A415" s="285"/>
      <c r="B415" s="285"/>
      <c r="C415" s="284"/>
      <c r="D415" s="284"/>
      <c r="E415" s="284"/>
      <c r="F415" s="284"/>
      <c r="G415" s="284"/>
      <c r="H415" s="284"/>
      <c r="I415" s="285"/>
      <c r="J415" s="284"/>
      <c r="K415" s="284"/>
      <c r="L415" s="284"/>
      <c r="M415" s="284"/>
      <c r="N415" s="288"/>
      <c r="O415" s="288"/>
      <c r="P415" s="288"/>
      <c r="Q415" s="284"/>
      <c r="R415" s="284"/>
      <c r="S415" s="285"/>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row>
    <row r="416">
      <c r="A416" s="285"/>
      <c r="B416" s="285"/>
      <c r="C416" s="284"/>
      <c r="D416" s="284"/>
      <c r="E416" s="284"/>
      <c r="F416" s="284"/>
      <c r="G416" s="284"/>
      <c r="H416" s="284"/>
      <c r="I416" s="285"/>
      <c r="J416" s="284"/>
      <c r="K416" s="284"/>
      <c r="L416" s="284"/>
      <c r="M416" s="284"/>
      <c r="N416" s="288"/>
      <c r="O416" s="288"/>
      <c r="P416" s="288"/>
      <c r="Q416" s="284"/>
      <c r="R416" s="284"/>
      <c r="S416" s="285"/>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row>
    <row r="417">
      <c r="A417" s="285"/>
      <c r="B417" s="285"/>
      <c r="C417" s="284"/>
      <c r="D417" s="284"/>
      <c r="E417" s="284"/>
      <c r="F417" s="284"/>
      <c r="G417" s="284"/>
      <c r="H417" s="284"/>
      <c r="I417" s="285"/>
      <c r="J417" s="284"/>
      <c r="K417" s="284"/>
      <c r="L417" s="284"/>
      <c r="M417" s="284"/>
      <c r="N417" s="288"/>
      <c r="O417" s="288"/>
      <c r="P417" s="288"/>
      <c r="Q417" s="284"/>
      <c r="R417" s="284"/>
      <c r="S417" s="285"/>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row>
    <row r="418">
      <c r="A418" s="285"/>
      <c r="B418" s="285"/>
      <c r="C418" s="284"/>
      <c r="D418" s="284"/>
      <c r="E418" s="284"/>
      <c r="F418" s="284"/>
      <c r="G418" s="284"/>
      <c r="H418" s="284"/>
      <c r="I418" s="285"/>
      <c r="J418" s="284"/>
      <c r="K418" s="284"/>
      <c r="L418" s="284"/>
      <c r="M418" s="284"/>
      <c r="N418" s="288"/>
      <c r="O418" s="288"/>
      <c r="P418" s="288"/>
      <c r="Q418" s="284"/>
      <c r="R418" s="284"/>
      <c r="S418" s="285"/>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row>
    <row r="419">
      <c r="A419" s="285"/>
      <c r="B419" s="285"/>
      <c r="C419" s="284"/>
      <c r="D419" s="284"/>
      <c r="E419" s="284"/>
      <c r="F419" s="284"/>
      <c r="G419" s="284"/>
      <c r="H419" s="284"/>
      <c r="I419" s="285"/>
      <c r="J419" s="284"/>
      <c r="K419" s="284"/>
      <c r="L419" s="284"/>
      <c r="M419" s="284"/>
      <c r="N419" s="288"/>
      <c r="O419" s="288"/>
      <c r="P419" s="288"/>
      <c r="Q419" s="284"/>
      <c r="R419" s="284"/>
      <c r="S419" s="285"/>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row>
    <row r="420">
      <c r="A420" s="285"/>
      <c r="B420" s="285"/>
      <c r="C420" s="284"/>
      <c r="D420" s="284"/>
      <c r="E420" s="284"/>
      <c r="F420" s="284"/>
      <c r="G420" s="284"/>
      <c r="H420" s="284"/>
      <c r="I420" s="285"/>
      <c r="J420" s="284"/>
      <c r="K420" s="284"/>
      <c r="L420" s="284"/>
      <c r="M420" s="284"/>
      <c r="N420" s="288"/>
      <c r="O420" s="288"/>
      <c r="P420" s="288"/>
      <c r="Q420" s="284"/>
      <c r="R420" s="284"/>
      <c r="S420" s="285"/>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row>
    <row r="421">
      <c r="A421" s="285"/>
      <c r="B421" s="285"/>
      <c r="C421" s="284"/>
      <c r="D421" s="284"/>
      <c r="E421" s="284"/>
      <c r="F421" s="284"/>
      <c r="G421" s="284"/>
      <c r="H421" s="284"/>
      <c r="I421" s="285"/>
      <c r="J421" s="284"/>
      <c r="K421" s="284"/>
      <c r="L421" s="284"/>
      <c r="M421" s="284"/>
      <c r="N421" s="288"/>
      <c r="O421" s="288"/>
      <c r="P421" s="288"/>
      <c r="Q421" s="284"/>
      <c r="R421" s="284"/>
      <c r="S421" s="285"/>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row>
    <row r="422">
      <c r="A422" s="285"/>
      <c r="B422" s="285"/>
      <c r="C422" s="284"/>
      <c r="D422" s="284"/>
      <c r="E422" s="284"/>
      <c r="F422" s="284"/>
      <c r="G422" s="284"/>
      <c r="H422" s="284"/>
      <c r="I422" s="285"/>
      <c r="J422" s="284"/>
      <c r="K422" s="284"/>
      <c r="L422" s="284"/>
      <c r="M422" s="284"/>
      <c r="N422" s="288"/>
      <c r="O422" s="288"/>
      <c r="P422" s="288"/>
      <c r="Q422" s="284"/>
      <c r="R422" s="284"/>
      <c r="S422" s="285"/>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row>
    <row r="423">
      <c r="A423" s="285"/>
      <c r="B423" s="285"/>
      <c r="C423" s="284"/>
      <c r="D423" s="284"/>
      <c r="E423" s="284"/>
      <c r="F423" s="284"/>
      <c r="G423" s="284"/>
      <c r="H423" s="284"/>
      <c r="I423" s="285"/>
      <c r="J423" s="284"/>
      <c r="K423" s="284"/>
      <c r="L423" s="284"/>
      <c r="M423" s="284"/>
      <c r="N423" s="288"/>
      <c r="O423" s="288"/>
      <c r="P423" s="288"/>
      <c r="Q423" s="284"/>
      <c r="R423" s="284"/>
      <c r="S423" s="285"/>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row>
    <row r="424">
      <c r="A424" s="285"/>
      <c r="B424" s="285"/>
      <c r="C424" s="284"/>
      <c r="D424" s="284"/>
      <c r="E424" s="284"/>
      <c r="F424" s="284"/>
      <c r="G424" s="284"/>
      <c r="H424" s="284"/>
      <c r="I424" s="285"/>
      <c r="J424" s="284"/>
      <c r="K424" s="284"/>
      <c r="L424" s="284"/>
      <c r="M424" s="284"/>
      <c r="N424" s="288"/>
      <c r="O424" s="288"/>
      <c r="P424" s="288"/>
      <c r="Q424" s="284"/>
      <c r="R424" s="284"/>
      <c r="S424" s="285"/>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row>
    <row r="425">
      <c r="A425" s="285"/>
      <c r="B425" s="285"/>
      <c r="C425" s="284"/>
      <c r="D425" s="284"/>
      <c r="E425" s="284"/>
      <c r="F425" s="284"/>
      <c r="G425" s="284"/>
      <c r="H425" s="284"/>
      <c r="I425" s="285"/>
      <c r="J425" s="284"/>
      <c r="K425" s="284"/>
      <c r="L425" s="284"/>
      <c r="M425" s="284"/>
      <c r="N425" s="288"/>
      <c r="O425" s="288"/>
      <c r="P425" s="288"/>
      <c r="Q425" s="284"/>
      <c r="R425" s="284"/>
      <c r="S425" s="285"/>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row>
    <row r="426">
      <c r="A426" s="285"/>
      <c r="B426" s="285"/>
      <c r="C426" s="284"/>
      <c r="D426" s="284"/>
      <c r="E426" s="284"/>
      <c r="F426" s="284"/>
      <c r="G426" s="284"/>
      <c r="H426" s="284"/>
      <c r="I426" s="285"/>
      <c r="J426" s="284"/>
      <c r="K426" s="284"/>
      <c r="L426" s="284"/>
      <c r="M426" s="284"/>
      <c r="N426" s="288"/>
      <c r="O426" s="288"/>
      <c r="P426" s="288"/>
      <c r="Q426" s="284"/>
      <c r="R426" s="284"/>
      <c r="S426" s="285"/>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row>
    <row r="427">
      <c r="A427" s="285"/>
      <c r="B427" s="285"/>
      <c r="C427" s="284"/>
      <c r="D427" s="284"/>
      <c r="E427" s="284"/>
      <c r="F427" s="284"/>
      <c r="G427" s="284"/>
      <c r="H427" s="284"/>
      <c r="I427" s="285"/>
      <c r="J427" s="284"/>
      <c r="K427" s="284"/>
      <c r="L427" s="284"/>
      <c r="M427" s="284"/>
      <c r="N427" s="288"/>
      <c r="O427" s="288"/>
      <c r="P427" s="288"/>
      <c r="Q427" s="284"/>
      <c r="R427" s="284"/>
      <c r="S427" s="285"/>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row>
    <row r="428">
      <c r="A428" s="285"/>
      <c r="B428" s="285"/>
      <c r="C428" s="284"/>
      <c r="D428" s="284"/>
      <c r="E428" s="284"/>
      <c r="F428" s="284"/>
      <c r="G428" s="284"/>
      <c r="H428" s="284"/>
      <c r="I428" s="285"/>
      <c r="J428" s="284"/>
      <c r="K428" s="284"/>
      <c r="L428" s="284"/>
      <c r="M428" s="284"/>
      <c r="N428" s="288"/>
      <c r="O428" s="288"/>
      <c r="P428" s="288"/>
      <c r="Q428" s="284"/>
      <c r="R428" s="284"/>
      <c r="S428" s="285"/>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row>
    <row r="429">
      <c r="A429" s="285"/>
      <c r="B429" s="285"/>
      <c r="C429" s="284"/>
      <c r="D429" s="284"/>
      <c r="E429" s="284"/>
      <c r="F429" s="284"/>
      <c r="G429" s="284"/>
      <c r="H429" s="284"/>
      <c r="I429" s="285"/>
      <c r="J429" s="284"/>
      <c r="K429" s="284"/>
      <c r="L429" s="284"/>
      <c r="M429" s="284"/>
      <c r="N429" s="288"/>
      <c r="O429" s="288"/>
      <c r="P429" s="288"/>
      <c r="Q429" s="284"/>
      <c r="R429" s="284"/>
      <c r="S429" s="285"/>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row>
    <row r="430">
      <c r="A430" s="285"/>
      <c r="B430" s="285"/>
      <c r="C430" s="284"/>
      <c r="D430" s="284"/>
      <c r="E430" s="284"/>
      <c r="F430" s="284"/>
      <c r="G430" s="284"/>
      <c r="H430" s="284"/>
      <c r="I430" s="285"/>
      <c r="J430" s="284"/>
      <c r="K430" s="284"/>
      <c r="L430" s="284"/>
      <c r="M430" s="284"/>
      <c r="N430" s="288"/>
      <c r="O430" s="288"/>
      <c r="P430" s="288"/>
      <c r="Q430" s="284"/>
      <c r="R430" s="284"/>
      <c r="S430" s="285"/>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row>
    <row r="431">
      <c r="A431" s="285"/>
      <c r="B431" s="285"/>
      <c r="C431" s="284"/>
      <c r="D431" s="284"/>
      <c r="E431" s="284"/>
      <c r="F431" s="284"/>
      <c r="G431" s="284"/>
      <c r="H431" s="284"/>
      <c r="I431" s="285"/>
      <c r="J431" s="284"/>
      <c r="K431" s="284"/>
      <c r="L431" s="284"/>
      <c r="M431" s="284"/>
      <c r="N431" s="288"/>
      <c r="O431" s="288"/>
      <c r="P431" s="288"/>
      <c r="Q431" s="284"/>
      <c r="R431" s="284"/>
      <c r="S431" s="285"/>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row>
    <row r="432">
      <c r="A432" s="285"/>
      <c r="B432" s="285"/>
      <c r="C432" s="284"/>
      <c r="D432" s="284"/>
      <c r="E432" s="284"/>
      <c r="F432" s="284"/>
      <c r="G432" s="284"/>
      <c r="H432" s="284"/>
      <c r="I432" s="285"/>
      <c r="J432" s="284"/>
      <c r="K432" s="284"/>
      <c r="L432" s="284"/>
      <c r="M432" s="284"/>
      <c r="N432" s="288"/>
      <c r="O432" s="288"/>
      <c r="P432" s="288"/>
      <c r="Q432" s="284"/>
      <c r="R432" s="284"/>
      <c r="S432" s="285"/>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row>
    <row r="433">
      <c r="A433" s="285"/>
      <c r="B433" s="285"/>
      <c r="C433" s="284"/>
      <c r="D433" s="284"/>
      <c r="E433" s="284"/>
      <c r="F433" s="284"/>
      <c r="G433" s="284"/>
      <c r="H433" s="284"/>
      <c r="I433" s="285"/>
      <c r="J433" s="284"/>
      <c r="K433" s="284"/>
      <c r="L433" s="284"/>
      <c r="M433" s="284"/>
      <c r="N433" s="288"/>
      <c r="O433" s="288"/>
      <c r="P433" s="288"/>
      <c r="Q433" s="284"/>
      <c r="R433" s="284"/>
      <c r="S433" s="285"/>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row>
    <row r="434">
      <c r="A434" s="285"/>
      <c r="B434" s="285"/>
      <c r="C434" s="284"/>
      <c r="D434" s="284"/>
      <c r="E434" s="284"/>
      <c r="F434" s="284"/>
      <c r="G434" s="284"/>
      <c r="H434" s="284"/>
      <c r="I434" s="285"/>
      <c r="J434" s="284"/>
      <c r="K434" s="284"/>
      <c r="L434" s="284"/>
      <c r="M434" s="284"/>
      <c r="N434" s="288"/>
      <c r="O434" s="288"/>
      <c r="P434" s="288"/>
      <c r="Q434" s="284"/>
      <c r="R434" s="284"/>
      <c r="S434" s="285"/>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row>
    <row r="435">
      <c r="A435" s="285"/>
      <c r="B435" s="285"/>
      <c r="C435" s="284"/>
      <c r="D435" s="284"/>
      <c r="E435" s="284"/>
      <c r="F435" s="284"/>
      <c r="G435" s="284"/>
      <c r="H435" s="284"/>
      <c r="I435" s="285"/>
      <c r="J435" s="284"/>
      <c r="K435" s="284"/>
      <c r="L435" s="284"/>
      <c r="M435" s="284"/>
      <c r="N435" s="288"/>
      <c r="O435" s="288"/>
      <c r="P435" s="288"/>
      <c r="Q435" s="284"/>
      <c r="R435" s="284"/>
      <c r="S435" s="285"/>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row>
    <row r="436">
      <c r="A436" s="285"/>
      <c r="B436" s="285"/>
      <c r="C436" s="284"/>
      <c r="D436" s="284"/>
      <c r="E436" s="284"/>
      <c r="F436" s="284"/>
      <c r="G436" s="284"/>
      <c r="H436" s="284"/>
      <c r="I436" s="285"/>
      <c r="J436" s="284"/>
      <c r="K436" s="284"/>
      <c r="L436" s="284"/>
      <c r="M436" s="284"/>
      <c r="N436" s="288"/>
      <c r="O436" s="288"/>
      <c r="P436" s="288"/>
      <c r="Q436" s="284"/>
      <c r="R436" s="284"/>
      <c r="S436" s="285"/>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row>
    <row r="437">
      <c r="A437" s="285"/>
      <c r="B437" s="285"/>
      <c r="C437" s="284"/>
      <c r="D437" s="284"/>
      <c r="E437" s="284"/>
      <c r="F437" s="284"/>
      <c r="G437" s="284"/>
      <c r="H437" s="284"/>
      <c r="I437" s="285"/>
      <c r="J437" s="284"/>
      <c r="K437" s="284"/>
      <c r="L437" s="284"/>
      <c r="M437" s="284"/>
      <c r="N437" s="288"/>
      <c r="O437" s="288"/>
      <c r="P437" s="288"/>
      <c r="Q437" s="284"/>
      <c r="R437" s="284"/>
      <c r="S437" s="285"/>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row>
    <row r="438">
      <c r="A438" s="285"/>
      <c r="B438" s="285"/>
      <c r="C438" s="284"/>
      <c r="D438" s="284"/>
      <c r="E438" s="284"/>
      <c r="F438" s="284"/>
      <c r="G438" s="284"/>
      <c r="H438" s="284"/>
      <c r="I438" s="285"/>
      <c r="J438" s="284"/>
      <c r="K438" s="284"/>
      <c r="L438" s="284"/>
      <c r="M438" s="284"/>
      <c r="N438" s="288"/>
      <c r="O438" s="288"/>
      <c r="P438" s="288"/>
      <c r="Q438" s="284"/>
      <c r="R438" s="284"/>
      <c r="S438" s="285"/>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row>
    <row r="439">
      <c r="A439" s="285"/>
      <c r="B439" s="285"/>
      <c r="C439" s="284"/>
      <c r="D439" s="284"/>
      <c r="E439" s="284"/>
      <c r="F439" s="284"/>
      <c r="G439" s="284"/>
      <c r="H439" s="284"/>
      <c r="I439" s="285"/>
      <c r="J439" s="284"/>
      <c r="K439" s="284"/>
      <c r="L439" s="284"/>
      <c r="M439" s="284"/>
      <c r="N439" s="288"/>
      <c r="O439" s="288"/>
      <c r="P439" s="288"/>
      <c r="Q439" s="284"/>
      <c r="R439" s="284"/>
      <c r="S439" s="285"/>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row>
    <row r="440">
      <c r="A440" s="285"/>
      <c r="B440" s="285"/>
      <c r="C440" s="284"/>
      <c r="D440" s="284"/>
      <c r="E440" s="284"/>
      <c r="F440" s="284"/>
      <c r="G440" s="284"/>
      <c r="H440" s="284"/>
      <c r="I440" s="285"/>
      <c r="J440" s="284"/>
      <c r="K440" s="284"/>
      <c r="L440" s="284"/>
      <c r="M440" s="284"/>
      <c r="N440" s="288"/>
      <c r="O440" s="288"/>
      <c r="P440" s="288"/>
      <c r="Q440" s="284"/>
      <c r="R440" s="284"/>
      <c r="S440" s="285"/>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row>
    <row r="441">
      <c r="A441" s="285"/>
      <c r="B441" s="285"/>
      <c r="C441" s="284"/>
      <c r="D441" s="284"/>
      <c r="E441" s="284"/>
      <c r="F441" s="284"/>
      <c r="G441" s="284"/>
      <c r="H441" s="284"/>
      <c r="I441" s="285"/>
      <c r="J441" s="284"/>
      <c r="K441" s="284"/>
      <c r="L441" s="284"/>
      <c r="M441" s="284"/>
      <c r="N441" s="288"/>
      <c r="O441" s="288"/>
      <c r="P441" s="288"/>
      <c r="Q441" s="284"/>
      <c r="R441" s="284"/>
      <c r="S441" s="285"/>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row>
    <row r="442">
      <c r="A442" s="285"/>
      <c r="B442" s="285"/>
      <c r="C442" s="284"/>
      <c r="D442" s="284"/>
      <c r="E442" s="284"/>
      <c r="F442" s="284"/>
      <c r="G442" s="284"/>
      <c r="H442" s="284"/>
      <c r="I442" s="285"/>
      <c r="J442" s="284"/>
      <c r="K442" s="284"/>
      <c r="L442" s="284"/>
      <c r="M442" s="284"/>
      <c r="N442" s="288"/>
      <c r="O442" s="288"/>
      <c r="P442" s="288"/>
      <c r="Q442" s="284"/>
      <c r="R442" s="284"/>
      <c r="S442" s="285"/>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row>
    <row r="443">
      <c r="A443" s="285"/>
      <c r="B443" s="285"/>
      <c r="C443" s="284"/>
      <c r="D443" s="284"/>
      <c r="E443" s="284"/>
      <c r="F443" s="284"/>
      <c r="G443" s="284"/>
      <c r="H443" s="284"/>
      <c r="I443" s="285"/>
      <c r="J443" s="284"/>
      <c r="K443" s="284"/>
      <c r="L443" s="284"/>
      <c r="M443" s="284"/>
      <c r="N443" s="288"/>
      <c r="O443" s="288"/>
      <c r="P443" s="288"/>
      <c r="Q443" s="284"/>
      <c r="R443" s="284"/>
      <c r="S443" s="285"/>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row>
    <row r="444">
      <c r="A444" s="285"/>
      <c r="B444" s="285"/>
      <c r="C444" s="284"/>
      <c r="D444" s="284"/>
      <c r="E444" s="284"/>
      <c r="F444" s="284"/>
      <c r="G444" s="284"/>
      <c r="H444" s="284"/>
      <c r="I444" s="285"/>
      <c r="J444" s="284"/>
      <c r="K444" s="284"/>
      <c r="L444" s="284"/>
      <c r="M444" s="284"/>
      <c r="N444" s="288"/>
      <c r="O444" s="288"/>
      <c r="P444" s="288"/>
      <c r="Q444" s="284"/>
      <c r="R444" s="284"/>
      <c r="S444" s="285"/>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row>
    <row r="445">
      <c r="A445" s="285"/>
      <c r="B445" s="285"/>
      <c r="C445" s="284"/>
      <c r="D445" s="284"/>
      <c r="E445" s="284"/>
      <c r="F445" s="284"/>
      <c r="G445" s="284"/>
      <c r="H445" s="284"/>
      <c r="I445" s="285"/>
      <c r="J445" s="284"/>
      <c r="K445" s="284"/>
      <c r="L445" s="284"/>
      <c r="M445" s="284"/>
      <c r="N445" s="288"/>
      <c r="O445" s="288"/>
      <c r="P445" s="288"/>
      <c r="Q445" s="284"/>
      <c r="R445" s="284"/>
      <c r="S445" s="285"/>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row>
    <row r="446">
      <c r="A446" s="285"/>
      <c r="B446" s="285"/>
      <c r="C446" s="284"/>
      <c r="D446" s="284"/>
      <c r="E446" s="284"/>
      <c r="F446" s="284"/>
      <c r="G446" s="284"/>
      <c r="H446" s="284"/>
      <c r="I446" s="285"/>
      <c r="J446" s="284"/>
      <c r="K446" s="284"/>
      <c r="L446" s="284"/>
      <c r="M446" s="284"/>
      <c r="N446" s="288"/>
      <c r="O446" s="288"/>
      <c r="P446" s="288"/>
      <c r="Q446" s="284"/>
      <c r="R446" s="284"/>
      <c r="S446" s="285"/>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row>
    <row r="447">
      <c r="A447" s="285"/>
      <c r="B447" s="285"/>
      <c r="C447" s="284"/>
      <c r="D447" s="284"/>
      <c r="E447" s="284"/>
      <c r="F447" s="284"/>
      <c r="G447" s="284"/>
      <c r="H447" s="284"/>
      <c r="I447" s="285"/>
      <c r="J447" s="284"/>
      <c r="K447" s="284"/>
      <c r="L447" s="284"/>
      <c r="M447" s="284"/>
      <c r="N447" s="288"/>
      <c r="O447" s="288"/>
      <c r="P447" s="288"/>
      <c r="Q447" s="284"/>
      <c r="R447" s="284"/>
      <c r="S447" s="285"/>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row>
    <row r="448">
      <c r="A448" s="285"/>
      <c r="B448" s="285"/>
      <c r="C448" s="284"/>
      <c r="D448" s="284"/>
      <c r="E448" s="284"/>
      <c r="F448" s="284"/>
      <c r="G448" s="284"/>
      <c r="H448" s="284"/>
      <c r="I448" s="285"/>
      <c r="J448" s="284"/>
      <c r="K448" s="284"/>
      <c r="L448" s="284"/>
      <c r="M448" s="284"/>
      <c r="N448" s="288"/>
      <c r="O448" s="288"/>
      <c r="P448" s="288"/>
      <c r="Q448" s="284"/>
      <c r="R448" s="284"/>
      <c r="S448" s="285"/>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row>
    <row r="449">
      <c r="A449" s="285"/>
      <c r="B449" s="285"/>
      <c r="C449" s="284"/>
      <c r="D449" s="284"/>
      <c r="E449" s="284"/>
      <c r="F449" s="284"/>
      <c r="G449" s="284"/>
      <c r="H449" s="284"/>
      <c r="I449" s="285"/>
      <c r="J449" s="284"/>
      <c r="K449" s="284"/>
      <c r="L449" s="284"/>
      <c r="M449" s="284"/>
      <c r="N449" s="288"/>
      <c r="O449" s="288"/>
      <c r="P449" s="288"/>
      <c r="Q449" s="284"/>
      <c r="R449" s="284"/>
      <c r="S449" s="285"/>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row>
    <row r="450">
      <c r="A450" s="285"/>
      <c r="B450" s="285"/>
      <c r="C450" s="284"/>
      <c r="D450" s="284"/>
      <c r="E450" s="284"/>
      <c r="F450" s="284"/>
      <c r="G450" s="284"/>
      <c r="H450" s="284"/>
      <c r="I450" s="285"/>
      <c r="J450" s="284"/>
      <c r="K450" s="284"/>
      <c r="L450" s="284"/>
      <c r="M450" s="284"/>
      <c r="N450" s="288"/>
      <c r="O450" s="288"/>
      <c r="P450" s="288"/>
      <c r="Q450" s="284"/>
      <c r="R450" s="284"/>
      <c r="S450" s="285"/>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row>
    <row r="451">
      <c r="A451" s="285"/>
      <c r="B451" s="285"/>
      <c r="C451" s="284"/>
      <c r="D451" s="284"/>
      <c r="E451" s="284"/>
      <c r="F451" s="284"/>
      <c r="G451" s="284"/>
      <c r="H451" s="284"/>
      <c r="I451" s="285"/>
      <c r="J451" s="284"/>
      <c r="K451" s="284"/>
      <c r="L451" s="284"/>
      <c r="M451" s="284"/>
      <c r="N451" s="288"/>
      <c r="O451" s="288"/>
      <c r="P451" s="288"/>
      <c r="Q451" s="284"/>
      <c r="R451" s="284"/>
      <c r="S451" s="285"/>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row>
    <row r="452">
      <c r="A452" s="285"/>
      <c r="B452" s="285"/>
      <c r="C452" s="284"/>
      <c r="D452" s="284"/>
      <c r="E452" s="284"/>
      <c r="F452" s="284"/>
      <c r="G452" s="284"/>
      <c r="H452" s="284"/>
      <c r="I452" s="285"/>
      <c r="J452" s="284"/>
      <c r="K452" s="284"/>
      <c r="L452" s="284"/>
      <c r="M452" s="284"/>
      <c r="N452" s="288"/>
      <c r="O452" s="288"/>
      <c r="P452" s="288"/>
      <c r="Q452" s="284"/>
      <c r="R452" s="284"/>
      <c r="S452" s="285"/>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row>
    <row r="453">
      <c r="A453" s="285"/>
      <c r="B453" s="285"/>
      <c r="C453" s="284"/>
      <c r="D453" s="284"/>
      <c r="E453" s="284"/>
      <c r="F453" s="284"/>
      <c r="G453" s="284"/>
      <c r="H453" s="284"/>
      <c r="I453" s="285"/>
      <c r="J453" s="284"/>
      <c r="K453" s="284"/>
      <c r="L453" s="284"/>
      <c r="M453" s="284"/>
      <c r="N453" s="288"/>
      <c r="O453" s="288"/>
      <c r="P453" s="288"/>
      <c r="Q453" s="284"/>
      <c r="R453" s="284"/>
      <c r="S453" s="285"/>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row>
    <row r="454">
      <c r="A454" s="285"/>
      <c r="B454" s="285"/>
      <c r="C454" s="284"/>
      <c r="D454" s="284"/>
      <c r="E454" s="284"/>
      <c r="F454" s="284"/>
      <c r="G454" s="284"/>
      <c r="H454" s="284"/>
      <c r="I454" s="285"/>
      <c r="J454" s="284"/>
      <c r="K454" s="284"/>
      <c r="L454" s="284"/>
      <c r="M454" s="284"/>
      <c r="N454" s="288"/>
      <c r="O454" s="288"/>
      <c r="P454" s="288"/>
      <c r="Q454" s="284"/>
      <c r="R454" s="284"/>
      <c r="S454" s="285"/>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row>
    <row r="455">
      <c r="A455" s="285"/>
      <c r="B455" s="285"/>
      <c r="C455" s="284"/>
      <c r="D455" s="284"/>
      <c r="E455" s="284"/>
      <c r="F455" s="284"/>
      <c r="G455" s="284"/>
      <c r="H455" s="284"/>
      <c r="I455" s="285"/>
      <c r="J455" s="284"/>
      <c r="K455" s="284"/>
      <c r="L455" s="284"/>
      <c r="M455" s="284"/>
      <c r="N455" s="288"/>
      <c r="O455" s="288"/>
      <c r="P455" s="288"/>
      <c r="Q455" s="284"/>
      <c r="R455" s="284"/>
      <c r="S455" s="285"/>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row>
    <row r="456">
      <c r="A456" s="285"/>
      <c r="B456" s="285"/>
      <c r="C456" s="284"/>
      <c r="D456" s="284"/>
      <c r="E456" s="284"/>
      <c r="F456" s="284"/>
      <c r="G456" s="284"/>
      <c r="H456" s="284"/>
      <c r="I456" s="285"/>
      <c r="J456" s="284"/>
      <c r="K456" s="284"/>
      <c r="L456" s="284"/>
      <c r="M456" s="284"/>
      <c r="N456" s="288"/>
      <c r="O456" s="288"/>
      <c r="P456" s="288"/>
      <c r="Q456" s="284"/>
      <c r="R456" s="284"/>
      <c r="S456" s="285"/>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row>
    <row r="457">
      <c r="A457" s="285"/>
      <c r="B457" s="285"/>
      <c r="C457" s="284"/>
      <c r="D457" s="284"/>
      <c r="E457" s="284"/>
      <c r="F457" s="284"/>
      <c r="G457" s="284"/>
      <c r="H457" s="284"/>
      <c r="I457" s="285"/>
      <c r="J457" s="284"/>
      <c r="K457" s="284"/>
      <c r="L457" s="284"/>
      <c r="M457" s="284"/>
      <c r="N457" s="288"/>
      <c r="O457" s="288"/>
      <c r="P457" s="288"/>
      <c r="Q457" s="284"/>
      <c r="R457" s="284"/>
      <c r="S457" s="285"/>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row>
    <row r="458">
      <c r="A458" s="285"/>
      <c r="B458" s="285"/>
      <c r="C458" s="284"/>
      <c r="D458" s="284"/>
      <c r="E458" s="284"/>
      <c r="F458" s="284"/>
      <c r="G458" s="284"/>
      <c r="H458" s="284"/>
      <c r="I458" s="285"/>
      <c r="J458" s="284"/>
      <c r="K458" s="284"/>
      <c r="L458" s="284"/>
      <c r="M458" s="284"/>
      <c r="N458" s="288"/>
      <c r="O458" s="288"/>
      <c r="P458" s="288"/>
      <c r="Q458" s="284"/>
      <c r="R458" s="284"/>
      <c r="S458" s="285"/>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row>
    <row r="459">
      <c r="A459" s="285"/>
      <c r="B459" s="285"/>
      <c r="C459" s="284"/>
      <c r="D459" s="284"/>
      <c r="E459" s="284"/>
      <c r="F459" s="284"/>
      <c r="G459" s="284"/>
      <c r="H459" s="284"/>
      <c r="I459" s="285"/>
      <c r="J459" s="284"/>
      <c r="K459" s="284"/>
      <c r="L459" s="284"/>
      <c r="M459" s="284"/>
      <c r="N459" s="288"/>
      <c r="O459" s="288"/>
      <c r="P459" s="288"/>
      <c r="Q459" s="284"/>
      <c r="R459" s="284"/>
      <c r="S459" s="285"/>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row>
    <row r="460">
      <c r="A460" s="285"/>
      <c r="B460" s="285"/>
      <c r="C460" s="284"/>
      <c r="D460" s="284"/>
      <c r="E460" s="284"/>
      <c r="F460" s="284"/>
      <c r="G460" s="284"/>
      <c r="H460" s="284"/>
      <c r="I460" s="285"/>
      <c r="J460" s="284"/>
      <c r="K460" s="284"/>
      <c r="L460" s="284"/>
      <c r="M460" s="284"/>
      <c r="N460" s="288"/>
      <c r="O460" s="288"/>
      <c r="P460" s="288"/>
      <c r="Q460" s="284"/>
      <c r="R460" s="284"/>
      <c r="S460" s="285"/>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row>
    <row r="461">
      <c r="A461" s="285"/>
      <c r="B461" s="285"/>
      <c r="C461" s="284"/>
      <c r="D461" s="284"/>
      <c r="E461" s="284"/>
      <c r="F461" s="284"/>
      <c r="G461" s="284"/>
      <c r="H461" s="284"/>
      <c r="I461" s="285"/>
      <c r="J461" s="284"/>
      <c r="K461" s="284"/>
      <c r="L461" s="284"/>
      <c r="M461" s="284"/>
      <c r="N461" s="288"/>
      <c r="O461" s="288"/>
      <c r="P461" s="288"/>
      <c r="Q461" s="284"/>
      <c r="R461" s="284"/>
      <c r="S461" s="285"/>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row>
    <row r="462">
      <c r="A462" s="285"/>
      <c r="B462" s="285"/>
      <c r="C462" s="284"/>
      <c r="D462" s="284"/>
      <c r="E462" s="284"/>
      <c r="F462" s="284"/>
      <c r="G462" s="284"/>
      <c r="H462" s="284"/>
      <c r="I462" s="285"/>
      <c r="J462" s="284"/>
      <c r="K462" s="284"/>
      <c r="L462" s="284"/>
      <c r="M462" s="284"/>
      <c r="N462" s="288"/>
      <c r="O462" s="288"/>
      <c r="P462" s="288"/>
      <c r="Q462" s="284"/>
      <c r="R462" s="284"/>
      <c r="S462" s="285"/>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row>
    <row r="463">
      <c r="A463" s="285"/>
      <c r="B463" s="285"/>
      <c r="C463" s="284"/>
      <c r="D463" s="284"/>
      <c r="E463" s="284"/>
      <c r="F463" s="284"/>
      <c r="G463" s="284"/>
      <c r="H463" s="284"/>
      <c r="I463" s="285"/>
      <c r="J463" s="284"/>
      <c r="K463" s="284"/>
      <c r="L463" s="284"/>
      <c r="M463" s="284"/>
      <c r="N463" s="288"/>
      <c r="O463" s="288"/>
      <c r="P463" s="288"/>
      <c r="Q463" s="284"/>
      <c r="R463" s="284"/>
      <c r="S463" s="285"/>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row>
    <row r="464">
      <c r="A464" s="285"/>
      <c r="B464" s="285"/>
      <c r="C464" s="284"/>
      <c r="D464" s="284"/>
      <c r="E464" s="284"/>
      <c r="F464" s="284"/>
      <c r="G464" s="284"/>
      <c r="H464" s="284"/>
      <c r="I464" s="285"/>
      <c r="J464" s="284"/>
      <c r="K464" s="284"/>
      <c r="L464" s="284"/>
      <c r="M464" s="284"/>
      <c r="N464" s="288"/>
      <c r="O464" s="288"/>
      <c r="P464" s="288"/>
      <c r="Q464" s="284"/>
      <c r="R464" s="284"/>
      <c r="S464" s="285"/>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row>
    <row r="465">
      <c r="A465" s="285"/>
      <c r="B465" s="285"/>
      <c r="C465" s="284"/>
      <c r="D465" s="284"/>
      <c r="E465" s="284"/>
      <c r="F465" s="284"/>
      <c r="G465" s="284"/>
      <c r="H465" s="284"/>
      <c r="I465" s="285"/>
      <c r="J465" s="284"/>
      <c r="K465" s="284"/>
      <c r="L465" s="284"/>
      <c r="M465" s="284"/>
      <c r="N465" s="288"/>
      <c r="O465" s="288"/>
      <c r="P465" s="288"/>
      <c r="Q465" s="284"/>
      <c r="R465" s="284"/>
      <c r="S465" s="285"/>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row>
    <row r="466">
      <c r="A466" s="285"/>
      <c r="B466" s="285"/>
      <c r="C466" s="284"/>
      <c r="D466" s="284"/>
      <c r="E466" s="284"/>
      <c r="F466" s="284"/>
      <c r="G466" s="284"/>
      <c r="H466" s="284"/>
      <c r="I466" s="285"/>
      <c r="J466" s="284"/>
      <c r="K466" s="284"/>
      <c r="L466" s="284"/>
      <c r="M466" s="284"/>
      <c r="N466" s="288"/>
      <c r="O466" s="288"/>
      <c r="P466" s="288"/>
      <c r="Q466" s="284"/>
      <c r="R466" s="284"/>
      <c r="S466" s="285"/>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row>
    <row r="467">
      <c r="A467" s="285"/>
      <c r="B467" s="285"/>
      <c r="C467" s="284"/>
      <c r="D467" s="284"/>
      <c r="E467" s="284"/>
      <c r="F467" s="284"/>
      <c r="G467" s="284"/>
      <c r="H467" s="284"/>
      <c r="I467" s="285"/>
      <c r="J467" s="284"/>
      <c r="K467" s="284"/>
      <c r="L467" s="284"/>
      <c r="M467" s="284"/>
      <c r="N467" s="288"/>
      <c r="O467" s="288"/>
      <c r="P467" s="288"/>
      <c r="Q467" s="284"/>
      <c r="R467" s="284"/>
      <c r="S467" s="285"/>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row>
    <row r="468">
      <c r="A468" s="285"/>
      <c r="B468" s="285"/>
      <c r="C468" s="284"/>
      <c r="D468" s="284"/>
      <c r="E468" s="284"/>
      <c r="F468" s="284"/>
      <c r="G468" s="284"/>
      <c r="H468" s="284"/>
      <c r="I468" s="285"/>
      <c r="J468" s="284"/>
      <c r="K468" s="284"/>
      <c r="L468" s="284"/>
      <c r="M468" s="284"/>
      <c r="N468" s="288"/>
      <c r="O468" s="288"/>
      <c r="P468" s="288"/>
      <c r="Q468" s="284"/>
      <c r="R468" s="284"/>
      <c r="S468" s="285"/>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row>
    <row r="469">
      <c r="A469" s="285"/>
      <c r="B469" s="285"/>
      <c r="C469" s="284"/>
      <c r="D469" s="284"/>
      <c r="E469" s="284"/>
      <c r="F469" s="284"/>
      <c r="G469" s="284"/>
      <c r="H469" s="284"/>
      <c r="I469" s="285"/>
      <c r="J469" s="284"/>
      <c r="K469" s="284"/>
      <c r="L469" s="284"/>
      <c r="M469" s="284"/>
      <c r="N469" s="288"/>
      <c r="O469" s="288"/>
      <c r="P469" s="288"/>
      <c r="Q469" s="284"/>
      <c r="R469" s="284"/>
      <c r="S469" s="285"/>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row>
    <row r="470">
      <c r="A470" s="285"/>
      <c r="B470" s="285"/>
      <c r="C470" s="284"/>
      <c r="D470" s="284"/>
      <c r="E470" s="284"/>
      <c r="F470" s="284"/>
      <c r="G470" s="284"/>
      <c r="H470" s="284"/>
      <c r="I470" s="285"/>
      <c r="J470" s="284"/>
      <c r="K470" s="284"/>
      <c r="L470" s="284"/>
      <c r="M470" s="284"/>
      <c r="N470" s="288"/>
      <c r="O470" s="288"/>
      <c r="P470" s="288"/>
      <c r="Q470" s="284"/>
      <c r="R470" s="284"/>
      <c r="S470" s="285"/>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row>
    <row r="471">
      <c r="A471" s="285"/>
      <c r="B471" s="285"/>
      <c r="C471" s="284"/>
      <c r="D471" s="284"/>
      <c r="E471" s="284"/>
      <c r="F471" s="284"/>
      <c r="G471" s="284"/>
      <c r="H471" s="284"/>
      <c r="I471" s="285"/>
      <c r="J471" s="284"/>
      <c r="K471" s="284"/>
      <c r="L471" s="284"/>
      <c r="M471" s="284"/>
      <c r="N471" s="288"/>
      <c r="O471" s="288"/>
      <c r="P471" s="288"/>
      <c r="Q471" s="284"/>
      <c r="R471" s="284"/>
      <c r="S471" s="285"/>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row>
    <row r="472">
      <c r="A472" s="285"/>
      <c r="B472" s="285"/>
      <c r="C472" s="284"/>
      <c r="D472" s="284"/>
      <c r="E472" s="284"/>
      <c r="F472" s="284"/>
      <c r="G472" s="284"/>
      <c r="H472" s="284"/>
      <c r="I472" s="285"/>
      <c r="J472" s="284"/>
      <c r="K472" s="284"/>
      <c r="L472" s="284"/>
      <c r="M472" s="284"/>
      <c r="N472" s="288"/>
      <c r="O472" s="288"/>
      <c r="P472" s="288"/>
      <c r="Q472" s="284"/>
      <c r="R472" s="284"/>
      <c r="S472" s="285"/>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row>
    <row r="473">
      <c r="A473" s="285"/>
      <c r="B473" s="285"/>
      <c r="C473" s="284"/>
      <c r="D473" s="284"/>
      <c r="E473" s="284"/>
      <c r="F473" s="284"/>
      <c r="G473" s="284"/>
      <c r="H473" s="284"/>
      <c r="I473" s="285"/>
      <c r="J473" s="284"/>
      <c r="K473" s="284"/>
      <c r="L473" s="284"/>
      <c r="M473" s="284"/>
      <c r="N473" s="288"/>
      <c r="O473" s="288"/>
      <c r="P473" s="288"/>
      <c r="Q473" s="284"/>
      <c r="R473" s="284"/>
      <c r="S473" s="285"/>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row>
    <row r="474">
      <c r="A474" s="285"/>
      <c r="B474" s="285"/>
      <c r="C474" s="284"/>
      <c r="D474" s="284"/>
      <c r="E474" s="284"/>
      <c r="F474" s="284"/>
      <c r="G474" s="284"/>
      <c r="H474" s="284"/>
      <c r="I474" s="285"/>
      <c r="J474" s="284"/>
      <c r="K474" s="284"/>
      <c r="L474" s="284"/>
      <c r="M474" s="284"/>
      <c r="N474" s="288"/>
      <c r="O474" s="288"/>
      <c r="P474" s="288"/>
      <c r="Q474" s="284"/>
      <c r="R474" s="284"/>
      <c r="S474" s="285"/>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row>
    <row r="475">
      <c r="A475" s="285"/>
      <c r="B475" s="285"/>
      <c r="C475" s="284"/>
      <c r="D475" s="284"/>
      <c r="E475" s="284"/>
      <c r="F475" s="284"/>
      <c r="G475" s="284"/>
      <c r="H475" s="284"/>
      <c r="I475" s="285"/>
      <c r="J475" s="284"/>
      <c r="K475" s="284"/>
      <c r="L475" s="284"/>
      <c r="M475" s="284"/>
      <c r="N475" s="288"/>
      <c r="O475" s="288"/>
      <c r="P475" s="288"/>
      <c r="Q475" s="284"/>
      <c r="R475" s="284"/>
      <c r="S475" s="285"/>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row>
    <row r="476">
      <c r="A476" s="285"/>
      <c r="B476" s="285"/>
      <c r="C476" s="284"/>
      <c r="D476" s="284"/>
      <c r="E476" s="284"/>
      <c r="F476" s="284"/>
      <c r="G476" s="284"/>
      <c r="H476" s="284"/>
      <c r="I476" s="285"/>
      <c r="J476" s="284"/>
      <c r="K476" s="284"/>
      <c r="L476" s="284"/>
      <c r="M476" s="284"/>
      <c r="N476" s="288"/>
      <c r="O476" s="288"/>
      <c r="P476" s="288"/>
      <c r="Q476" s="284"/>
      <c r="R476" s="284"/>
      <c r="S476" s="285"/>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row>
    <row r="477">
      <c r="A477" s="285"/>
      <c r="B477" s="285"/>
      <c r="C477" s="284"/>
      <c r="D477" s="284"/>
      <c r="E477" s="284"/>
      <c r="F477" s="284"/>
      <c r="G477" s="284"/>
      <c r="H477" s="284"/>
      <c r="I477" s="285"/>
      <c r="J477" s="284"/>
      <c r="K477" s="284"/>
      <c r="L477" s="284"/>
      <c r="M477" s="284"/>
      <c r="N477" s="288"/>
      <c r="O477" s="288"/>
      <c r="P477" s="288"/>
      <c r="Q477" s="284"/>
      <c r="R477" s="284"/>
      <c r="S477" s="285"/>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row>
    <row r="478">
      <c r="A478" s="285"/>
      <c r="B478" s="285"/>
      <c r="C478" s="284"/>
      <c r="D478" s="284"/>
      <c r="E478" s="284"/>
      <c r="F478" s="284"/>
      <c r="G478" s="284"/>
      <c r="H478" s="284"/>
      <c r="I478" s="285"/>
      <c r="J478" s="284"/>
      <c r="K478" s="284"/>
      <c r="L478" s="284"/>
      <c r="M478" s="284"/>
      <c r="N478" s="288"/>
      <c r="O478" s="288"/>
      <c r="P478" s="288"/>
      <c r="Q478" s="284"/>
      <c r="R478" s="284"/>
      <c r="S478" s="285"/>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row>
    <row r="479">
      <c r="A479" s="285"/>
      <c r="B479" s="285"/>
      <c r="C479" s="284"/>
      <c r="D479" s="284"/>
      <c r="E479" s="284"/>
      <c r="F479" s="284"/>
      <c r="G479" s="284"/>
      <c r="H479" s="284"/>
      <c r="I479" s="285"/>
      <c r="J479" s="284"/>
      <c r="K479" s="284"/>
      <c r="L479" s="284"/>
      <c r="M479" s="284"/>
      <c r="N479" s="288"/>
      <c r="O479" s="288"/>
      <c r="P479" s="288"/>
      <c r="Q479" s="284"/>
      <c r="R479" s="284"/>
      <c r="S479" s="285"/>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row>
    <row r="480">
      <c r="A480" s="285"/>
      <c r="B480" s="285"/>
      <c r="C480" s="284"/>
      <c r="D480" s="284"/>
      <c r="E480" s="284"/>
      <c r="F480" s="284"/>
      <c r="G480" s="284"/>
      <c r="H480" s="284"/>
      <c r="I480" s="285"/>
      <c r="J480" s="284"/>
      <c r="K480" s="284"/>
      <c r="L480" s="284"/>
      <c r="M480" s="284"/>
      <c r="N480" s="288"/>
      <c r="O480" s="288"/>
      <c r="P480" s="288"/>
      <c r="Q480" s="284"/>
      <c r="R480" s="284"/>
      <c r="S480" s="285"/>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row>
    <row r="481">
      <c r="A481" s="285"/>
      <c r="B481" s="285"/>
      <c r="C481" s="284"/>
      <c r="D481" s="284"/>
      <c r="E481" s="284"/>
      <c r="F481" s="284"/>
      <c r="G481" s="284"/>
      <c r="H481" s="284"/>
      <c r="I481" s="285"/>
      <c r="J481" s="284"/>
      <c r="K481" s="284"/>
      <c r="L481" s="284"/>
      <c r="M481" s="284"/>
      <c r="N481" s="288"/>
      <c r="O481" s="288"/>
      <c r="P481" s="288"/>
      <c r="Q481" s="284"/>
      <c r="R481" s="284"/>
      <c r="S481" s="285"/>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row>
    <row r="482">
      <c r="A482" s="285"/>
      <c r="B482" s="285"/>
      <c r="C482" s="284"/>
      <c r="D482" s="284"/>
      <c r="E482" s="284"/>
      <c r="F482" s="284"/>
      <c r="G482" s="284"/>
      <c r="H482" s="284"/>
      <c r="I482" s="285"/>
      <c r="J482" s="284"/>
      <c r="K482" s="284"/>
      <c r="L482" s="284"/>
      <c r="M482" s="284"/>
      <c r="N482" s="288"/>
      <c r="O482" s="288"/>
      <c r="P482" s="288"/>
      <c r="Q482" s="284"/>
      <c r="R482" s="284"/>
      <c r="S482" s="285"/>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row>
    <row r="483">
      <c r="A483" s="285"/>
      <c r="B483" s="285"/>
      <c r="C483" s="284"/>
      <c r="D483" s="284"/>
      <c r="E483" s="284"/>
      <c r="F483" s="284"/>
      <c r="G483" s="284"/>
      <c r="H483" s="284"/>
      <c r="I483" s="285"/>
      <c r="J483" s="284"/>
      <c r="K483" s="284"/>
      <c r="L483" s="284"/>
      <c r="M483" s="284"/>
      <c r="N483" s="288"/>
      <c r="O483" s="288"/>
      <c r="P483" s="288"/>
      <c r="Q483" s="284"/>
      <c r="R483" s="284"/>
      <c r="S483" s="285"/>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row>
    <row r="484">
      <c r="A484" s="285"/>
      <c r="B484" s="285"/>
      <c r="C484" s="284"/>
      <c r="D484" s="284"/>
      <c r="E484" s="284"/>
      <c r="F484" s="284"/>
      <c r="G484" s="284"/>
      <c r="H484" s="284"/>
      <c r="I484" s="285"/>
      <c r="J484" s="284"/>
      <c r="K484" s="284"/>
      <c r="L484" s="284"/>
      <c r="M484" s="284"/>
      <c r="N484" s="288"/>
      <c r="O484" s="288"/>
      <c r="P484" s="288"/>
      <c r="Q484" s="284"/>
      <c r="R484" s="284"/>
      <c r="S484" s="285"/>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row>
    <row r="485">
      <c r="A485" s="285"/>
      <c r="B485" s="285"/>
      <c r="C485" s="284"/>
      <c r="D485" s="284"/>
      <c r="E485" s="284"/>
      <c r="F485" s="284"/>
      <c r="G485" s="284"/>
      <c r="H485" s="284"/>
      <c r="I485" s="285"/>
      <c r="J485" s="284"/>
      <c r="K485" s="284"/>
      <c r="L485" s="284"/>
      <c r="M485" s="284"/>
      <c r="N485" s="288"/>
      <c r="O485" s="288"/>
      <c r="P485" s="288"/>
      <c r="Q485" s="284"/>
      <c r="R485" s="284"/>
      <c r="S485" s="285"/>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row>
    <row r="486">
      <c r="A486" s="285"/>
      <c r="B486" s="285"/>
      <c r="C486" s="284"/>
      <c r="D486" s="284"/>
      <c r="E486" s="284"/>
      <c r="F486" s="284"/>
      <c r="G486" s="284"/>
      <c r="H486" s="284"/>
      <c r="I486" s="285"/>
      <c r="J486" s="284"/>
      <c r="K486" s="284"/>
      <c r="L486" s="284"/>
      <c r="M486" s="284"/>
      <c r="N486" s="288"/>
      <c r="O486" s="288"/>
      <c r="P486" s="288"/>
      <c r="Q486" s="284"/>
      <c r="R486" s="284"/>
      <c r="S486" s="285"/>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row>
    <row r="487">
      <c r="A487" s="285"/>
      <c r="B487" s="285"/>
      <c r="C487" s="284"/>
      <c r="D487" s="284"/>
      <c r="E487" s="284"/>
      <c r="F487" s="284"/>
      <c r="G487" s="284"/>
      <c r="H487" s="284"/>
      <c r="I487" s="285"/>
      <c r="J487" s="284"/>
      <c r="K487" s="284"/>
      <c r="L487" s="284"/>
      <c r="M487" s="284"/>
      <c r="N487" s="288"/>
      <c r="O487" s="288"/>
      <c r="P487" s="288"/>
      <c r="Q487" s="284"/>
      <c r="R487" s="284"/>
      <c r="S487" s="285"/>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row>
    <row r="488">
      <c r="A488" s="285"/>
      <c r="B488" s="285"/>
      <c r="C488" s="284"/>
      <c r="D488" s="284"/>
      <c r="E488" s="284"/>
      <c r="F488" s="284"/>
      <c r="G488" s="284"/>
      <c r="H488" s="284"/>
      <c r="I488" s="285"/>
      <c r="J488" s="284"/>
      <c r="K488" s="284"/>
      <c r="L488" s="284"/>
      <c r="M488" s="284"/>
      <c r="N488" s="288"/>
      <c r="O488" s="288"/>
      <c r="P488" s="288"/>
      <c r="Q488" s="284"/>
      <c r="R488" s="284"/>
      <c r="S488" s="285"/>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row>
    <row r="489">
      <c r="A489" s="285"/>
      <c r="B489" s="285"/>
      <c r="C489" s="284"/>
      <c r="D489" s="284"/>
      <c r="E489" s="284"/>
      <c r="F489" s="284"/>
      <c r="G489" s="284"/>
      <c r="H489" s="284"/>
      <c r="I489" s="285"/>
      <c r="J489" s="284"/>
      <c r="K489" s="284"/>
      <c r="L489" s="284"/>
      <c r="M489" s="284"/>
      <c r="N489" s="288"/>
      <c r="O489" s="288"/>
      <c r="P489" s="288"/>
      <c r="Q489" s="284"/>
      <c r="R489" s="284"/>
      <c r="S489" s="285"/>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row>
    <row r="490">
      <c r="A490" s="285"/>
      <c r="B490" s="285"/>
      <c r="C490" s="284"/>
      <c r="D490" s="284"/>
      <c r="E490" s="284"/>
      <c r="F490" s="284"/>
      <c r="G490" s="284"/>
      <c r="H490" s="284"/>
      <c r="I490" s="285"/>
      <c r="J490" s="284"/>
      <c r="K490" s="284"/>
      <c r="L490" s="284"/>
      <c r="M490" s="284"/>
      <c r="N490" s="288"/>
      <c r="O490" s="288"/>
      <c r="P490" s="288"/>
      <c r="Q490" s="284"/>
      <c r="R490" s="284"/>
      <c r="S490" s="285"/>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row>
    <row r="491">
      <c r="A491" s="285"/>
      <c r="B491" s="285"/>
      <c r="C491" s="284"/>
      <c r="D491" s="284"/>
      <c r="E491" s="284"/>
      <c r="F491" s="284"/>
      <c r="G491" s="284"/>
      <c r="H491" s="284"/>
      <c r="I491" s="285"/>
      <c r="J491" s="284"/>
      <c r="K491" s="284"/>
      <c r="L491" s="284"/>
      <c r="M491" s="284"/>
      <c r="N491" s="288"/>
      <c r="O491" s="288"/>
      <c r="P491" s="288"/>
      <c r="Q491" s="284"/>
      <c r="R491" s="284"/>
      <c r="S491" s="285"/>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row>
    <row r="492">
      <c r="A492" s="285"/>
      <c r="B492" s="285"/>
      <c r="C492" s="284"/>
      <c r="D492" s="284"/>
      <c r="E492" s="284"/>
      <c r="F492" s="284"/>
      <c r="G492" s="284"/>
      <c r="H492" s="284"/>
      <c r="I492" s="285"/>
      <c r="J492" s="284"/>
      <c r="K492" s="284"/>
      <c r="L492" s="284"/>
      <c r="M492" s="284"/>
      <c r="N492" s="288"/>
      <c r="O492" s="288"/>
      <c r="P492" s="288"/>
      <c r="Q492" s="284"/>
      <c r="R492" s="284"/>
      <c r="S492" s="285"/>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row>
    <row r="493">
      <c r="A493" s="285"/>
      <c r="B493" s="285"/>
      <c r="C493" s="284"/>
      <c r="D493" s="284"/>
      <c r="E493" s="284"/>
      <c r="F493" s="284"/>
      <c r="G493" s="284"/>
      <c r="H493" s="284"/>
      <c r="I493" s="285"/>
      <c r="J493" s="284"/>
      <c r="K493" s="284"/>
      <c r="L493" s="284"/>
      <c r="M493" s="284"/>
      <c r="N493" s="288"/>
      <c r="O493" s="288"/>
      <c r="P493" s="288"/>
      <c r="Q493" s="284"/>
      <c r="R493" s="284"/>
      <c r="S493" s="285"/>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row>
    <row r="494">
      <c r="A494" s="285"/>
      <c r="B494" s="285"/>
      <c r="C494" s="284"/>
      <c r="D494" s="284"/>
      <c r="E494" s="284"/>
      <c r="F494" s="284"/>
      <c r="G494" s="284"/>
      <c r="H494" s="284"/>
      <c r="I494" s="285"/>
      <c r="J494" s="284"/>
      <c r="K494" s="284"/>
      <c r="L494" s="284"/>
      <c r="M494" s="284"/>
      <c r="N494" s="288"/>
      <c r="O494" s="288"/>
      <c r="P494" s="288"/>
      <c r="Q494" s="284"/>
      <c r="R494" s="284"/>
      <c r="S494" s="285"/>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row>
    <row r="495">
      <c r="A495" s="285"/>
      <c r="B495" s="285"/>
      <c r="C495" s="284"/>
      <c r="D495" s="284"/>
      <c r="E495" s="284"/>
      <c r="F495" s="284"/>
      <c r="G495" s="284"/>
      <c r="H495" s="284"/>
      <c r="I495" s="285"/>
      <c r="J495" s="284"/>
      <c r="K495" s="284"/>
      <c r="L495" s="284"/>
      <c r="M495" s="284"/>
      <c r="N495" s="288"/>
      <c r="O495" s="288"/>
      <c r="P495" s="288"/>
      <c r="Q495" s="284"/>
      <c r="R495" s="284"/>
      <c r="S495" s="285"/>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row>
    <row r="496">
      <c r="A496" s="285"/>
      <c r="B496" s="285"/>
      <c r="C496" s="284"/>
      <c r="D496" s="284"/>
      <c r="E496" s="284"/>
      <c r="F496" s="284"/>
      <c r="G496" s="284"/>
      <c r="H496" s="284"/>
      <c r="I496" s="285"/>
      <c r="J496" s="284"/>
      <c r="K496" s="284"/>
      <c r="L496" s="284"/>
      <c r="M496" s="284"/>
      <c r="N496" s="288"/>
      <c r="O496" s="288"/>
      <c r="P496" s="288"/>
      <c r="Q496" s="284"/>
      <c r="R496" s="284"/>
      <c r="S496" s="285"/>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row>
    <row r="497">
      <c r="A497" s="285"/>
      <c r="B497" s="285"/>
      <c r="C497" s="284"/>
      <c r="D497" s="284"/>
      <c r="E497" s="284"/>
      <c r="F497" s="284"/>
      <c r="G497" s="284"/>
      <c r="H497" s="284"/>
      <c r="I497" s="285"/>
      <c r="J497" s="284"/>
      <c r="K497" s="284"/>
      <c r="L497" s="284"/>
      <c r="M497" s="284"/>
      <c r="N497" s="288"/>
      <c r="O497" s="288"/>
      <c r="P497" s="288"/>
      <c r="Q497" s="284"/>
      <c r="R497" s="284"/>
      <c r="S497" s="285"/>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row>
    <row r="498">
      <c r="A498" s="285"/>
      <c r="B498" s="285"/>
      <c r="C498" s="284"/>
      <c r="D498" s="284"/>
      <c r="E498" s="284"/>
      <c r="F498" s="284"/>
      <c r="G498" s="284"/>
      <c r="H498" s="284"/>
      <c r="I498" s="285"/>
      <c r="J498" s="284"/>
      <c r="K498" s="284"/>
      <c r="L498" s="284"/>
      <c r="M498" s="284"/>
      <c r="N498" s="288"/>
      <c r="O498" s="288"/>
      <c r="P498" s="288"/>
      <c r="Q498" s="284"/>
      <c r="R498" s="284"/>
      <c r="S498" s="285"/>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row>
    <row r="499">
      <c r="A499" s="285"/>
      <c r="B499" s="285"/>
      <c r="C499" s="284"/>
      <c r="D499" s="284"/>
      <c r="E499" s="284"/>
      <c r="F499" s="284"/>
      <c r="G499" s="284"/>
      <c r="H499" s="284"/>
      <c r="I499" s="285"/>
      <c r="J499" s="284"/>
      <c r="K499" s="284"/>
      <c r="L499" s="284"/>
      <c r="M499" s="284"/>
      <c r="N499" s="288"/>
      <c r="O499" s="288"/>
      <c r="P499" s="288"/>
      <c r="Q499" s="284"/>
      <c r="R499" s="284"/>
      <c r="S499" s="285"/>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row>
    <row r="500">
      <c r="A500" s="285"/>
      <c r="B500" s="285"/>
      <c r="C500" s="284"/>
      <c r="D500" s="284"/>
      <c r="E500" s="284"/>
      <c r="F500" s="284"/>
      <c r="G500" s="284"/>
      <c r="H500" s="284"/>
      <c r="I500" s="285"/>
      <c r="J500" s="284"/>
      <c r="K500" s="284"/>
      <c r="L500" s="284"/>
      <c r="M500" s="284"/>
      <c r="N500" s="288"/>
      <c r="O500" s="288"/>
      <c r="P500" s="288"/>
      <c r="Q500" s="284"/>
      <c r="R500" s="284"/>
      <c r="S500" s="285"/>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row>
    <row r="501">
      <c r="A501" s="285"/>
      <c r="B501" s="285"/>
      <c r="C501" s="284"/>
      <c r="D501" s="284"/>
      <c r="E501" s="284"/>
      <c r="F501" s="284"/>
      <c r="G501" s="284"/>
      <c r="H501" s="284"/>
      <c r="I501" s="285"/>
      <c r="J501" s="284"/>
      <c r="K501" s="284"/>
      <c r="L501" s="284"/>
      <c r="M501" s="284"/>
      <c r="N501" s="288"/>
      <c r="O501" s="288"/>
      <c r="P501" s="288"/>
      <c r="Q501" s="284"/>
      <c r="R501" s="284"/>
      <c r="S501" s="285"/>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row>
    <row r="502">
      <c r="A502" s="285"/>
      <c r="B502" s="285"/>
      <c r="C502" s="284"/>
      <c r="D502" s="284"/>
      <c r="E502" s="284"/>
      <c r="F502" s="284"/>
      <c r="G502" s="284"/>
      <c r="H502" s="284"/>
      <c r="I502" s="285"/>
      <c r="J502" s="284"/>
      <c r="K502" s="284"/>
      <c r="L502" s="284"/>
      <c r="M502" s="284"/>
      <c r="N502" s="288"/>
      <c r="O502" s="288"/>
      <c r="P502" s="288"/>
      <c r="Q502" s="284"/>
      <c r="R502" s="284"/>
      <c r="S502" s="285"/>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row>
    <row r="503">
      <c r="A503" s="285"/>
      <c r="B503" s="285"/>
      <c r="C503" s="284"/>
      <c r="D503" s="284"/>
      <c r="E503" s="284"/>
      <c r="F503" s="284"/>
      <c r="G503" s="284"/>
      <c r="H503" s="284"/>
      <c r="I503" s="285"/>
      <c r="J503" s="284"/>
      <c r="K503" s="284"/>
      <c r="L503" s="284"/>
      <c r="M503" s="284"/>
      <c r="N503" s="288"/>
      <c r="O503" s="288"/>
      <c r="P503" s="288"/>
      <c r="Q503" s="284"/>
      <c r="R503" s="284"/>
      <c r="S503" s="285"/>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row>
    <row r="504">
      <c r="A504" s="285"/>
      <c r="B504" s="285"/>
      <c r="C504" s="284"/>
      <c r="D504" s="284"/>
      <c r="E504" s="284"/>
      <c r="F504" s="284"/>
      <c r="G504" s="284"/>
      <c r="H504" s="284"/>
      <c r="I504" s="285"/>
      <c r="J504" s="284"/>
      <c r="K504" s="284"/>
      <c r="L504" s="284"/>
      <c r="M504" s="284"/>
      <c r="N504" s="288"/>
      <c r="O504" s="288"/>
      <c r="P504" s="288"/>
      <c r="Q504" s="284"/>
      <c r="R504" s="284"/>
      <c r="S504" s="285"/>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row>
    <row r="505">
      <c r="A505" s="285"/>
      <c r="B505" s="285"/>
      <c r="C505" s="284"/>
      <c r="D505" s="284"/>
      <c r="E505" s="284"/>
      <c r="F505" s="284"/>
      <c r="G505" s="284"/>
      <c r="H505" s="284"/>
      <c r="I505" s="285"/>
      <c r="J505" s="284"/>
      <c r="K505" s="284"/>
      <c r="L505" s="284"/>
      <c r="M505" s="284"/>
      <c r="N505" s="288"/>
      <c r="O505" s="288"/>
      <c r="P505" s="288"/>
      <c r="Q505" s="284"/>
      <c r="R505" s="284"/>
      <c r="S505" s="285"/>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row>
    <row r="506">
      <c r="A506" s="285"/>
      <c r="B506" s="285"/>
      <c r="C506" s="284"/>
      <c r="D506" s="284"/>
      <c r="E506" s="284"/>
      <c r="F506" s="284"/>
      <c r="G506" s="284"/>
      <c r="H506" s="284"/>
      <c r="I506" s="285"/>
      <c r="J506" s="284"/>
      <c r="K506" s="284"/>
      <c r="L506" s="284"/>
      <c r="M506" s="284"/>
      <c r="N506" s="288"/>
      <c r="O506" s="288"/>
      <c r="P506" s="288"/>
      <c r="Q506" s="284"/>
      <c r="R506" s="284"/>
      <c r="S506" s="285"/>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row>
    <row r="507">
      <c r="A507" s="285"/>
      <c r="B507" s="285"/>
      <c r="C507" s="284"/>
      <c r="D507" s="284"/>
      <c r="E507" s="284"/>
      <c r="F507" s="284"/>
      <c r="G507" s="284"/>
      <c r="H507" s="284"/>
      <c r="I507" s="285"/>
      <c r="J507" s="284"/>
      <c r="K507" s="284"/>
      <c r="L507" s="284"/>
      <c r="M507" s="284"/>
      <c r="N507" s="288"/>
      <c r="O507" s="288"/>
      <c r="P507" s="288"/>
      <c r="Q507" s="284"/>
      <c r="R507" s="284"/>
      <c r="S507" s="285"/>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row>
    <row r="508">
      <c r="A508" s="285"/>
      <c r="B508" s="285"/>
      <c r="C508" s="284"/>
      <c r="D508" s="284"/>
      <c r="E508" s="284"/>
      <c r="F508" s="284"/>
      <c r="G508" s="284"/>
      <c r="H508" s="284"/>
      <c r="I508" s="285"/>
      <c r="J508" s="284"/>
      <c r="K508" s="284"/>
      <c r="L508" s="284"/>
      <c r="M508" s="284"/>
      <c r="N508" s="288"/>
      <c r="O508" s="288"/>
      <c r="P508" s="288"/>
      <c r="Q508" s="284"/>
      <c r="R508" s="284"/>
      <c r="S508" s="285"/>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row>
    <row r="509">
      <c r="A509" s="285"/>
      <c r="B509" s="285"/>
      <c r="C509" s="284"/>
      <c r="D509" s="284"/>
      <c r="E509" s="284"/>
      <c r="F509" s="284"/>
      <c r="G509" s="284"/>
      <c r="H509" s="284"/>
      <c r="I509" s="285"/>
      <c r="J509" s="284"/>
      <c r="K509" s="284"/>
      <c r="L509" s="284"/>
      <c r="M509" s="284"/>
      <c r="N509" s="288"/>
      <c r="O509" s="288"/>
      <c r="P509" s="288"/>
      <c r="Q509" s="284"/>
      <c r="R509" s="284"/>
      <c r="S509" s="285"/>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row>
    <row r="510">
      <c r="A510" s="285"/>
      <c r="B510" s="285"/>
      <c r="C510" s="284"/>
      <c r="D510" s="284"/>
      <c r="E510" s="284"/>
      <c r="F510" s="284"/>
      <c r="G510" s="284"/>
      <c r="H510" s="284"/>
      <c r="I510" s="285"/>
      <c r="J510" s="284"/>
      <c r="K510" s="284"/>
      <c r="L510" s="284"/>
      <c r="M510" s="284"/>
      <c r="N510" s="288"/>
      <c r="O510" s="288"/>
      <c r="P510" s="288"/>
      <c r="Q510" s="284"/>
      <c r="R510" s="284"/>
      <c r="S510" s="285"/>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row>
    <row r="511">
      <c r="A511" s="285"/>
      <c r="B511" s="285"/>
      <c r="C511" s="284"/>
      <c r="D511" s="284"/>
      <c r="E511" s="284"/>
      <c r="F511" s="284"/>
      <c r="G511" s="284"/>
      <c r="H511" s="284"/>
      <c r="I511" s="285"/>
      <c r="J511" s="284"/>
      <c r="K511" s="284"/>
      <c r="L511" s="284"/>
      <c r="M511" s="284"/>
      <c r="N511" s="288"/>
      <c r="O511" s="288"/>
      <c r="P511" s="288"/>
      <c r="Q511" s="284"/>
      <c r="R511" s="284"/>
      <c r="S511" s="285"/>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row>
    <row r="512">
      <c r="A512" s="285"/>
      <c r="B512" s="285"/>
      <c r="C512" s="284"/>
      <c r="D512" s="284"/>
      <c r="E512" s="284"/>
      <c r="F512" s="284"/>
      <c r="G512" s="284"/>
      <c r="H512" s="284"/>
      <c r="I512" s="285"/>
      <c r="J512" s="284"/>
      <c r="K512" s="284"/>
      <c r="L512" s="284"/>
      <c r="M512" s="284"/>
      <c r="N512" s="288"/>
      <c r="O512" s="288"/>
      <c r="P512" s="288"/>
      <c r="Q512" s="284"/>
      <c r="R512" s="284"/>
      <c r="S512" s="285"/>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row>
    <row r="513">
      <c r="A513" s="285"/>
      <c r="B513" s="285"/>
      <c r="C513" s="284"/>
      <c r="D513" s="284"/>
      <c r="E513" s="284"/>
      <c r="F513" s="284"/>
      <c r="G513" s="284"/>
      <c r="H513" s="284"/>
      <c r="I513" s="285"/>
      <c r="J513" s="284"/>
      <c r="K513" s="284"/>
      <c r="L513" s="284"/>
      <c r="M513" s="284"/>
      <c r="N513" s="288"/>
      <c r="O513" s="288"/>
      <c r="P513" s="288"/>
      <c r="Q513" s="284"/>
      <c r="R513" s="284"/>
      <c r="S513" s="285"/>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row>
    <row r="514">
      <c r="A514" s="285"/>
      <c r="B514" s="285"/>
      <c r="C514" s="284"/>
      <c r="D514" s="284"/>
      <c r="E514" s="284"/>
      <c r="F514" s="284"/>
      <c r="G514" s="284"/>
      <c r="H514" s="284"/>
      <c r="I514" s="285"/>
      <c r="J514" s="284"/>
      <c r="K514" s="284"/>
      <c r="L514" s="284"/>
      <c r="M514" s="284"/>
      <c r="N514" s="288"/>
      <c r="O514" s="288"/>
      <c r="P514" s="288"/>
      <c r="Q514" s="284"/>
      <c r="R514" s="284"/>
      <c r="S514" s="285"/>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row>
    <row r="515">
      <c r="A515" s="285"/>
      <c r="B515" s="285"/>
      <c r="C515" s="284"/>
      <c r="D515" s="284"/>
      <c r="E515" s="284"/>
      <c r="F515" s="284"/>
      <c r="G515" s="284"/>
      <c r="H515" s="284"/>
      <c r="I515" s="285"/>
      <c r="J515" s="284"/>
      <c r="K515" s="284"/>
      <c r="L515" s="284"/>
      <c r="M515" s="284"/>
      <c r="N515" s="288"/>
      <c r="O515" s="288"/>
      <c r="P515" s="288"/>
      <c r="Q515" s="284"/>
      <c r="R515" s="284"/>
      <c r="S515" s="285"/>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row>
    <row r="516">
      <c r="A516" s="285"/>
      <c r="B516" s="285"/>
      <c r="C516" s="284"/>
      <c r="D516" s="284"/>
      <c r="E516" s="284"/>
      <c r="F516" s="284"/>
      <c r="G516" s="284"/>
      <c r="H516" s="284"/>
      <c r="I516" s="285"/>
      <c r="J516" s="284"/>
      <c r="K516" s="284"/>
      <c r="L516" s="284"/>
      <c r="M516" s="284"/>
      <c r="N516" s="288"/>
      <c r="O516" s="288"/>
      <c r="P516" s="288"/>
      <c r="Q516" s="284"/>
      <c r="R516" s="284"/>
      <c r="S516" s="285"/>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row>
    <row r="517">
      <c r="A517" s="285"/>
      <c r="B517" s="285"/>
      <c r="C517" s="284"/>
      <c r="D517" s="284"/>
      <c r="E517" s="284"/>
      <c r="F517" s="284"/>
      <c r="G517" s="284"/>
      <c r="H517" s="284"/>
      <c r="I517" s="285"/>
      <c r="J517" s="284"/>
      <c r="K517" s="284"/>
      <c r="L517" s="284"/>
      <c r="M517" s="284"/>
      <c r="N517" s="288"/>
      <c r="O517" s="288"/>
      <c r="P517" s="288"/>
      <c r="Q517" s="284"/>
      <c r="R517" s="284"/>
      <c r="S517" s="285"/>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row>
    <row r="518">
      <c r="A518" s="285"/>
      <c r="B518" s="285"/>
      <c r="C518" s="284"/>
      <c r="D518" s="284"/>
      <c r="E518" s="284"/>
      <c r="F518" s="284"/>
      <c r="G518" s="284"/>
      <c r="H518" s="284"/>
      <c r="I518" s="285"/>
      <c r="J518" s="284"/>
      <c r="K518" s="284"/>
      <c r="L518" s="284"/>
      <c r="M518" s="284"/>
      <c r="N518" s="288"/>
      <c r="O518" s="288"/>
      <c r="P518" s="288"/>
      <c r="Q518" s="284"/>
      <c r="R518" s="284"/>
      <c r="S518" s="285"/>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row>
    <row r="519">
      <c r="A519" s="285"/>
      <c r="B519" s="285"/>
      <c r="C519" s="284"/>
      <c r="D519" s="284"/>
      <c r="E519" s="284"/>
      <c r="F519" s="284"/>
      <c r="G519" s="284"/>
      <c r="H519" s="284"/>
      <c r="I519" s="285"/>
      <c r="J519" s="284"/>
      <c r="K519" s="284"/>
      <c r="L519" s="284"/>
      <c r="M519" s="284"/>
      <c r="N519" s="288"/>
      <c r="O519" s="288"/>
      <c r="P519" s="288"/>
      <c r="Q519" s="284"/>
      <c r="R519" s="284"/>
      <c r="S519" s="285"/>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row>
    <row r="520">
      <c r="A520" s="285"/>
      <c r="B520" s="285"/>
      <c r="C520" s="284"/>
      <c r="D520" s="284"/>
      <c r="E520" s="284"/>
      <c r="F520" s="284"/>
      <c r="G520" s="284"/>
      <c r="H520" s="284"/>
      <c r="I520" s="285"/>
      <c r="J520" s="284"/>
      <c r="K520" s="284"/>
      <c r="L520" s="284"/>
      <c r="M520" s="284"/>
      <c r="N520" s="288"/>
      <c r="O520" s="288"/>
      <c r="P520" s="288"/>
      <c r="Q520" s="284"/>
      <c r="R520" s="284"/>
      <c r="S520" s="285"/>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row>
    <row r="521">
      <c r="A521" s="285"/>
      <c r="B521" s="285"/>
      <c r="C521" s="284"/>
      <c r="D521" s="284"/>
      <c r="E521" s="284"/>
      <c r="F521" s="284"/>
      <c r="G521" s="284"/>
      <c r="H521" s="284"/>
      <c r="I521" s="285"/>
      <c r="J521" s="284"/>
      <c r="K521" s="284"/>
      <c r="L521" s="284"/>
      <c r="M521" s="284"/>
      <c r="N521" s="288"/>
      <c r="O521" s="288"/>
      <c r="P521" s="288"/>
      <c r="Q521" s="284"/>
      <c r="R521" s="284"/>
      <c r="S521" s="285"/>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row>
    <row r="522">
      <c r="A522" s="285"/>
      <c r="B522" s="285"/>
      <c r="C522" s="284"/>
      <c r="D522" s="284"/>
      <c r="E522" s="284"/>
      <c r="F522" s="284"/>
      <c r="G522" s="284"/>
      <c r="H522" s="284"/>
      <c r="I522" s="285"/>
      <c r="J522" s="284"/>
      <c r="K522" s="284"/>
      <c r="L522" s="284"/>
      <c r="M522" s="284"/>
      <c r="N522" s="288"/>
      <c r="O522" s="288"/>
      <c r="P522" s="288"/>
      <c r="Q522" s="284"/>
      <c r="R522" s="284"/>
      <c r="S522" s="285"/>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row>
    <row r="523">
      <c r="A523" s="285"/>
      <c r="B523" s="285"/>
      <c r="C523" s="284"/>
      <c r="D523" s="284"/>
      <c r="E523" s="284"/>
      <c r="F523" s="284"/>
      <c r="G523" s="284"/>
      <c r="H523" s="284"/>
      <c r="I523" s="285"/>
      <c r="J523" s="284"/>
      <c r="K523" s="284"/>
      <c r="L523" s="284"/>
      <c r="M523" s="284"/>
      <c r="N523" s="288"/>
      <c r="O523" s="288"/>
      <c r="P523" s="288"/>
      <c r="Q523" s="284"/>
      <c r="R523" s="284"/>
      <c r="S523" s="285"/>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row>
    <row r="524">
      <c r="A524" s="285"/>
      <c r="B524" s="285"/>
      <c r="C524" s="284"/>
      <c r="D524" s="284"/>
      <c r="E524" s="284"/>
      <c r="F524" s="284"/>
      <c r="G524" s="284"/>
      <c r="H524" s="284"/>
      <c r="I524" s="285"/>
      <c r="J524" s="284"/>
      <c r="K524" s="284"/>
      <c r="L524" s="284"/>
      <c r="M524" s="284"/>
      <c r="N524" s="288"/>
      <c r="O524" s="288"/>
      <c r="P524" s="288"/>
      <c r="Q524" s="284"/>
      <c r="R524" s="284"/>
      <c r="S524" s="285"/>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row>
    <row r="525">
      <c r="A525" s="285"/>
      <c r="B525" s="285"/>
      <c r="C525" s="284"/>
      <c r="D525" s="284"/>
      <c r="E525" s="284"/>
      <c r="F525" s="284"/>
      <c r="G525" s="284"/>
      <c r="H525" s="284"/>
      <c r="I525" s="285"/>
      <c r="J525" s="284"/>
      <c r="K525" s="284"/>
      <c r="L525" s="284"/>
      <c r="M525" s="284"/>
      <c r="N525" s="288"/>
      <c r="O525" s="288"/>
      <c r="P525" s="288"/>
      <c r="Q525" s="284"/>
      <c r="R525" s="284"/>
      <c r="S525" s="285"/>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row>
    <row r="526">
      <c r="A526" s="285"/>
      <c r="B526" s="285"/>
      <c r="C526" s="284"/>
      <c r="D526" s="284"/>
      <c r="E526" s="284"/>
      <c r="F526" s="284"/>
      <c r="G526" s="284"/>
      <c r="H526" s="284"/>
      <c r="I526" s="285"/>
      <c r="J526" s="284"/>
      <c r="K526" s="284"/>
      <c r="L526" s="284"/>
      <c r="M526" s="284"/>
      <c r="N526" s="288"/>
      <c r="O526" s="288"/>
      <c r="P526" s="288"/>
      <c r="Q526" s="284"/>
      <c r="R526" s="284"/>
      <c r="S526" s="285"/>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row>
    <row r="527">
      <c r="A527" s="285"/>
      <c r="B527" s="285"/>
      <c r="C527" s="284"/>
      <c r="D527" s="284"/>
      <c r="E527" s="284"/>
      <c r="F527" s="284"/>
      <c r="G527" s="284"/>
      <c r="H527" s="284"/>
      <c r="I527" s="285"/>
      <c r="J527" s="284"/>
      <c r="K527" s="284"/>
      <c r="L527" s="284"/>
      <c r="M527" s="284"/>
      <c r="N527" s="288"/>
      <c r="O527" s="288"/>
      <c r="P527" s="288"/>
      <c r="Q527" s="284"/>
      <c r="R527" s="284"/>
      <c r="S527" s="285"/>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row>
    <row r="528">
      <c r="A528" s="285"/>
      <c r="B528" s="285"/>
      <c r="C528" s="284"/>
      <c r="D528" s="284"/>
      <c r="E528" s="284"/>
      <c r="F528" s="284"/>
      <c r="G528" s="284"/>
      <c r="H528" s="284"/>
      <c r="I528" s="285"/>
      <c r="J528" s="284"/>
      <c r="K528" s="284"/>
      <c r="L528" s="284"/>
      <c r="M528" s="284"/>
      <c r="N528" s="288"/>
      <c r="O528" s="288"/>
      <c r="P528" s="288"/>
      <c r="Q528" s="284"/>
      <c r="R528" s="284"/>
      <c r="S528" s="285"/>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row>
    <row r="529">
      <c r="A529" s="285"/>
      <c r="B529" s="285"/>
      <c r="C529" s="284"/>
      <c r="D529" s="284"/>
      <c r="E529" s="284"/>
      <c r="F529" s="284"/>
      <c r="G529" s="284"/>
      <c r="H529" s="284"/>
      <c r="I529" s="285"/>
      <c r="J529" s="284"/>
      <c r="K529" s="284"/>
      <c r="L529" s="284"/>
      <c r="M529" s="284"/>
      <c r="N529" s="288"/>
      <c r="O529" s="288"/>
      <c r="P529" s="288"/>
      <c r="Q529" s="284"/>
      <c r="R529" s="284"/>
      <c r="S529" s="285"/>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row>
    <row r="530">
      <c r="A530" s="285"/>
      <c r="B530" s="285"/>
      <c r="C530" s="284"/>
      <c r="D530" s="284"/>
      <c r="E530" s="284"/>
      <c r="F530" s="284"/>
      <c r="G530" s="284"/>
      <c r="H530" s="284"/>
      <c r="I530" s="285"/>
      <c r="J530" s="284"/>
      <c r="K530" s="284"/>
      <c r="L530" s="284"/>
      <c r="M530" s="284"/>
      <c r="N530" s="288"/>
      <c r="O530" s="288"/>
      <c r="P530" s="288"/>
      <c r="Q530" s="284"/>
      <c r="R530" s="284"/>
      <c r="S530" s="285"/>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row>
    <row r="531">
      <c r="A531" s="285"/>
      <c r="B531" s="285"/>
      <c r="C531" s="284"/>
      <c r="D531" s="284"/>
      <c r="E531" s="284"/>
      <c r="F531" s="284"/>
      <c r="G531" s="284"/>
      <c r="H531" s="284"/>
      <c r="I531" s="285"/>
      <c r="J531" s="284"/>
      <c r="K531" s="284"/>
      <c r="L531" s="284"/>
      <c r="M531" s="284"/>
      <c r="N531" s="288"/>
      <c r="O531" s="288"/>
      <c r="P531" s="288"/>
      <c r="Q531" s="284"/>
      <c r="R531" s="284"/>
      <c r="S531" s="285"/>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row>
    <row r="532">
      <c r="A532" s="285"/>
      <c r="B532" s="285"/>
      <c r="C532" s="284"/>
      <c r="D532" s="284"/>
      <c r="E532" s="284"/>
      <c r="F532" s="284"/>
      <c r="G532" s="284"/>
      <c r="H532" s="284"/>
      <c r="I532" s="285"/>
      <c r="J532" s="284"/>
      <c r="K532" s="284"/>
      <c r="L532" s="284"/>
      <c r="M532" s="284"/>
      <c r="N532" s="288"/>
      <c r="O532" s="288"/>
      <c r="P532" s="288"/>
      <c r="Q532" s="284"/>
      <c r="R532" s="284"/>
      <c r="S532" s="285"/>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row>
    <row r="533">
      <c r="A533" s="285"/>
      <c r="B533" s="285"/>
      <c r="C533" s="284"/>
      <c r="D533" s="284"/>
      <c r="E533" s="284"/>
      <c r="F533" s="284"/>
      <c r="G533" s="284"/>
      <c r="H533" s="284"/>
      <c r="I533" s="285"/>
      <c r="J533" s="284"/>
      <c r="K533" s="284"/>
      <c r="L533" s="284"/>
      <c r="M533" s="284"/>
      <c r="N533" s="288"/>
      <c r="O533" s="288"/>
      <c r="P533" s="288"/>
      <c r="Q533" s="284"/>
      <c r="R533" s="284"/>
      <c r="S533" s="285"/>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row>
    <row r="534">
      <c r="A534" s="285"/>
      <c r="B534" s="285"/>
      <c r="C534" s="284"/>
      <c r="D534" s="284"/>
      <c r="E534" s="284"/>
      <c r="F534" s="284"/>
      <c r="G534" s="284"/>
      <c r="H534" s="284"/>
      <c r="I534" s="285"/>
      <c r="J534" s="284"/>
      <c r="K534" s="284"/>
      <c r="L534" s="284"/>
      <c r="M534" s="284"/>
      <c r="N534" s="288"/>
      <c r="O534" s="288"/>
      <c r="P534" s="288"/>
      <c r="Q534" s="284"/>
      <c r="R534" s="284"/>
      <c r="S534" s="285"/>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row>
    <row r="535">
      <c r="A535" s="285"/>
      <c r="B535" s="285"/>
      <c r="C535" s="284"/>
      <c r="D535" s="284"/>
      <c r="E535" s="284"/>
      <c r="F535" s="284"/>
      <c r="G535" s="284"/>
      <c r="H535" s="284"/>
      <c r="I535" s="285"/>
      <c r="J535" s="284"/>
      <c r="K535" s="284"/>
      <c r="L535" s="284"/>
      <c r="M535" s="284"/>
      <c r="N535" s="288"/>
      <c r="O535" s="288"/>
      <c r="P535" s="288"/>
      <c r="Q535" s="284"/>
      <c r="R535" s="284"/>
      <c r="S535" s="285"/>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row>
    <row r="536">
      <c r="A536" s="285"/>
      <c r="B536" s="285"/>
      <c r="C536" s="284"/>
      <c r="D536" s="284"/>
      <c r="E536" s="284"/>
      <c r="F536" s="284"/>
      <c r="G536" s="284"/>
      <c r="H536" s="284"/>
      <c r="I536" s="285"/>
      <c r="J536" s="284"/>
      <c r="K536" s="284"/>
      <c r="L536" s="284"/>
      <c r="M536" s="284"/>
      <c r="N536" s="288"/>
      <c r="O536" s="288"/>
      <c r="P536" s="288"/>
      <c r="Q536" s="284"/>
      <c r="R536" s="284"/>
      <c r="S536" s="285"/>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row>
    <row r="537">
      <c r="A537" s="285"/>
      <c r="B537" s="285"/>
      <c r="C537" s="284"/>
      <c r="D537" s="284"/>
      <c r="E537" s="284"/>
      <c r="F537" s="284"/>
      <c r="G537" s="284"/>
      <c r="H537" s="284"/>
      <c r="I537" s="285"/>
      <c r="J537" s="284"/>
      <c r="K537" s="284"/>
      <c r="L537" s="284"/>
      <c r="M537" s="284"/>
      <c r="N537" s="288"/>
      <c r="O537" s="288"/>
      <c r="P537" s="288"/>
      <c r="Q537" s="284"/>
      <c r="R537" s="284"/>
      <c r="S537" s="285"/>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row>
    <row r="538">
      <c r="A538" s="285"/>
      <c r="B538" s="285"/>
      <c r="C538" s="284"/>
      <c r="D538" s="284"/>
      <c r="E538" s="284"/>
      <c r="F538" s="284"/>
      <c r="G538" s="284"/>
      <c r="H538" s="284"/>
      <c r="I538" s="285"/>
      <c r="J538" s="284"/>
      <c r="K538" s="284"/>
      <c r="L538" s="284"/>
      <c r="M538" s="284"/>
      <c r="N538" s="288"/>
      <c r="O538" s="288"/>
      <c r="P538" s="288"/>
      <c r="Q538" s="284"/>
      <c r="R538" s="284"/>
      <c r="S538" s="285"/>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row>
    <row r="539">
      <c r="A539" s="285"/>
      <c r="B539" s="285"/>
      <c r="C539" s="284"/>
      <c r="D539" s="284"/>
      <c r="E539" s="284"/>
      <c r="F539" s="284"/>
      <c r="G539" s="284"/>
      <c r="H539" s="284"/>
      <c r="I539" s="285"/>
      <c r="J539" s="284"/>
      <c r="K539" s="284"/>
      <c r="L539" s="284"/>
      <c r="M539" s="284"/>
      <c r="N539" s="288"/>
      <c r="O539" s="288"/>
      <c r="P539" s="288"/>
      <c r="Q539" s="284"/>
      <c r="R539" s="284"/>
      <c r="S539" s="285"/>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row>
    <row r="540">
      <c r="A540" s="285"/>
      <c r="B540" s="285"/>
      <c r="C540" s="284"/>
      <c r="D540" s="284"/>
      <c r="E540" s="284"/>
      <c r="F540" s="284"/>
      <c r="G540" s="284"/>
      <c r="H540" s="284"/>
      <c r="I540" s="285"/>
      <c r="J540" s="284"/>
      <c r="K540" s="284"/>
      <c r="L540" s="284"/>
      <c r="M540" s="284"/>
      <c r="N540" s="288"/>
      <c r="O540" s="288"/>
      <c r="P540" s="288"/>
      <c r="Q540" s="284"/>
      <c r="R540" s="284"/>
      <c r="S540" s="285"/>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row>
    <row r="541">
      <c r="A541" s="285"/>
      <c r="B541" s="285"/>
      <c r="C541" s="284"/>
      <c r="D541" s="284"/>
      <c r="E541" s="284"/>
      <c r="F541" s="284"/>
      <c r="G541" s="284"/>
      <c r="H541" s="284"/>
      <c r="I541" s="285"/>
      <c r="J541" s="284"/>
      <c r="K541" s="284"/>
      <c r="L541" s="284"/>
      <c r="M541" s="284"/>
      <c r="N541" s="288"/>
      <c r="O541" s="288"/>
      <c r="P541" s="288"/>
      <c r="Q541" s="284"/>
      <c r="R541" s="284"/>
      <c r="S541" s="285"/>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row>
    <row r="542">
      <c r="A542" s="285"/>
      <c r="B542" s="285"/>
      <c r="C542" s="284"/>
      <c r="D542" s="284"/>
      <c r="E542" s="284"/>
      <c r="F542" s="284"/>
      <c r="G542" s="284"/>
      <c r="H542" s="284"/>
      <c r="I542" s="285"/>
      <c r="J542" s="284"/>
      <c r="K542" s="284"/>
      <c r="L542" s="284"/>
      <c r="M542" s="284"/>
      <c r="N542" s="288"/>
      <c r="O542" s="288"/>
      <c r="P542" s="288"/>
      <c r="Q542" s="284"/>
      <c r="R542" s="284"/>
      <c r="S542" s="285"/>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row>
    <row r="543">
      <c r="A543" s="285"/>
      <c r="B543" s="285"/>
      <c r="C543" s="284"/>
      <c r="D543" s="284"/>
      <c r="E543" s="284"/>
      <c r="F543" s="284"/>
      <c r="G543" s="284"/>
      <c r="H543" s="284"/>
      <c r="I543" s="285"/>
      <c r="J543" s="284"/>
      <c r="K543" s="284"/>
      <c r="L543" s="284"/>
      <c r="M543" s="284"/>
      <c r="N543" s="288"/>
      <c r="O543" s="288"/>
      <c r="P543" s="288"/>
      <c r="Q543" s="284"/>
      <c r="R543" s="284"/>
      <c r="S543" s="285"/>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row>
    <row r="544">
      <c r="A544" s="285"/>
      <c r="B544" s="285"/>
      <c r="C544" s="284"/>
      <c r="D544" s="284"/>
      <c r="E544" s="284"/>
      <c r="F544" s="284"/>
      <c r="G544" s="284"/>
      <c r="H544" s="284"/>
      <c r="I544" s="285"/>
      <c r="J544" s="284"/>
      <c r="K544" s="284"/>
      <c r="L544" s="284"/>
      <c r="M544" s="284"/>
      <c r="N544" s="288"/>
      <c r="O544" s="288"/>
      <c r="P544" s="288"/>
      <c r="Q544" s="284"/>
      <c r="R544" s="284"/>
      <c r="S544" s="285"/>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row>
    <row r="545">
      <c r="A545" s="285"/>
      <c r="B545" s="285"/>
      <c r="C545" s="284"/>
      <c r="D545" s="284"/>
      <c r="E545" s="284"/>
      <c r="F545" s="284"/>
      <c r="G545" s="284"/>
      <c r="H545" s="284"/>
      <c r="I545" s="285"/>
      <c r="J545" s="284"/>
      <c r="K545" s="284"/>
      <c r="L545" s="284"/>
      <c r="M545" s="284"/>
      <c r="N545" s="288"/>
      <c r="O545" s="288"/>
      <c r="P545" s="288"/>
      <c r="Q545" s="284"/>
      <c r="R545" s="284"/>
      <c r="S545" s="285"/>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row>
    <row r="546">
      <c r="A546" s="285"/>
      <c r="B546" s="285"/>
      <c r="C546" s="284"/>
      <c r="D546" s="284"/>
      <c r="E546" s="284"/>
      <c r="F546" s="284"/>
      <c r="G546" s="284"/>
      <c r="H546" s="284"/>
      <c r="I546" s="285"/>
      <c r="J546" s="284"/>
      <c r="K546" s="284"/>
      <c r="L546" s="284"/>
      <c r="M546" s="284"/>
      <c r="N546" s="288"/>
      <c r="O546" s="288"/>
      <c r="P546" s="288"/>
      <c r="Q546" s="284"/>
      <c r="R546" s="284"/>
      <c r="S546" s="285"/>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row>
    <row r="547">
      <c r="A547" s="285"/>
      <c r="B547" s="285"/>
      <c r="C547" s="284"/>
      <c r="D547" s="284"/>
      <c r="E547" s="284"/>
      <c r="F547" s="284"/>
      <c r="G547" s="284"/>
      <c r="H547" s="284"/>
      <c r="I547" s="285"/>
      <c r="J547" s="284"/>
      <c r="K547" s="284"/>
      <c r="L547" s="284"/>
      <c r="M547" s="284"/>
      <c r="N547" s="288"/>
      <c r="O547" s="288"/>
      <c r="P547" s="288"/>
      <c r="Q547" s="284"/>
      <c r="R547" s="284"/>
      <c r="S547" s="285"/>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row>
    <row r="548">
      <c r="A548" s="285"/>
      <c r="B548" s="285"/>
      <c r="C548" s="284"/>
      <c r="D548" s="284"/>
      <c r="E548" s="284"/>
      <c r="F548" s="284"/>
      <c r="G548" s="284"/>
      <c r="H548" s="284"/>
      <c r="I548" s="285"/>
      <c r="J548" s="284"/>
      <c r="K548" s="284"/>
      <c r="L548" s="284"/>
      <c r="M548" s="284"/>
      <c r="N548" s="288"/>
      <c r="O548" s="288"/>
      <c r="P548" s="288"/>
      <c r="Q548" s="284"/>
      <c r="R548" s="284"/>
      <c r="S548" s="285"/>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row>
    <row r="549">
      <c r="A549" s="285"/>
      <c r="B549" s="285"/>
      <c r="C549" s="284"/>
      <c r="D549" s="284"/>
      <c r="E549" s="284"/>
      <c r="F549" s="284"/>
      <c r="G549" s="284"/>
      <c r="H549" s="284"/>
      <c r="I549" s="285"/>
      <c r="J549" s="284"/>
      <c r="K549" s="284"/>
      <c r="L549" s="284"/>
      <c r="M549" s="284"/>
      <c r="N549" s="288"/>
      <c r="O549" s="288"/>
      <c r="P549" s="288"/>
      <c r="Q549" s="284"/>
      <c r="R549" s="284"/>
      <c r="S549" s="285"/>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row>
    <row r="550">
      <c r="A550" s="285"/>
      <c r="B550" s="285"/>
      <c r="C550" s="284"/>
      <c r="D550" s="284"/>
      <c r="E550" s="284"/>
      <c r="F550" s="284"/>
      <c r="G550" s="284"/>
      <c r="H550" s="284"/>
      <c r="I550" s="285"/>
      <c r="J550" s="284"/>
      <c r="K550" s="284"/>
      <c r="L550" s="284"/>
      <c r="M550" s="284"/>
      <c r="N550" s="288"/>
      <c r="O550" s="288"/>
      <c r="P550" s="288"/>
      <c r="Q550" s="284"/>
      <c r="R550" s="284"/>
      <c r="S550" s="285"/>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row>
    <row r="551">
      <c r="A551" s="285"/>
      <c r="B551" s="285"/>
      <c r="C551" s="284"/>
      <c r="D551" s="284"/>
      <c r="E551" s="284"/>
      <c r="F551" s="284"/>
      <c r="G551" s="284"/>
      <c r="H551" s="284"/>
      <c r="I551" s="285"/>
      <c r="J551" s="284"/>
      <c r="K551" s="284"/>
      <c r="L551" s="284"/>
      <c r="M551" s="284"/>
      <c r="N551" s="288"/>
      <c r="O551" s="288"/>
      <c r="P551" s="288"/>
      <c r="Q551" s="284"/>
      <c r="R551" s="284"/>
      <c r="S551" s="285"/>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row>
    <row r="552">
      <c r="A552" s="285"/>
      <c r="B552" s="285"/>
      <c r="C552" s="284"/>
      <c r="D552" s="284"/>
      <c r="E552" s="284"/>
      <c r="F552" s="284"/>
      <c r="G552" s="284"/>
      <c r="H552" s="284"/>
      <c r="I552" s="285"/>
      <c r="J552" s="284"/>
      <c r="K552" s="284"/>
      <c r="L552" s="284"/>
      <c r="M552" s="284"/>
      <c r="N552" s="288"/>
      <c r="O552" s="288"/>
      <c r="P552" s="288"/>
      <c r="Q552" s="284"/>
      <c r="R552" s="284"/>
      <c r="S552" s="285"/>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row>
    <row r="553">
      <c r="A553" s="285"/>
      <c r="B553" s="285"/>
      <c r="C553" s="284"/>
      <c r="D553" s="284"/>
      <c r="E553" s="284"/>
      <c r="F553" s="284"/>
      <c r="G553" s="284"/>
      <c r="H553" s="284"/>
      <c r="I553" s="285"/>
      <c r="J553" s="284"/>
      <c r="K553" s="284"/>
      <c r="L553" s="284"/>
      <c r="M553" s="284"/>
      <c r="N553" s="288"/>
      <c r="O553" s="288"/>
      <c r="P553" s="288"/>
      <c r="Q553" s="284"/>
      <c r="R553" s="284"/>
      <c r="S553" s="285"/>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row>
    <row r="554">
      <c r="A554" s="285"/>
      <c r="B554" s="285"/>
      <c r="C554" s="284"/>
      <c r="D554" s="284"/>
      <c r="E554" s="284"/>
      <c r="F554" s="284"/>
      <c r="G554" s="284"/>
      <c r="H554" s="284"/>
      <c r="I554" s="285"/>
      <c r="J554" s="284"/>
      <c r="K554" s="284"/>
      <c r="L554" s="284"/>
      <c r="M554" s="284"/>
      <c r="N554" s="288"/>
      <c r="O554" s="288"/>
      <c r="P554" s="288"/>
      <c r="Q554" s="284"/>
      <c r="R554" s="284"/>
      <c r="S554" s="285"/>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row>
    <row r="555">
      <c r="A555" s="285"/>
      <c r="B555" s="285"/>
      <c r="C555" s="284"/>
      <c r="D555" s="284"/>
      <c r="E555" s="284"/>
      <c r="F555" s="284"/>
      <c r="G555" s="284"/>
      <c r="H555" s="284"/>
      <c r="I555" s="285"/>
      <c r="J555" s="284"/>
      <c r="K555" s="284"/>
      <c r="L555" s="284"/>
      <c r="M555" s="284"/>
      <c r="N555" s="288"/>
      <c r="O555" s="288"/>
      <c r="P555" s="288"/>
      <c r="Q555" s="284"/>
      <c r="R555" s="284"/>
      <c r="S555" s="285"/>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row>
    <row r="556">
      <c r="A556" s="285"/>
      <c r="B556" s="285"/>
      <c r="C556" s="284"/>
      <c r="D556" s="284"/>
      <c r="E556" s="284"/>
      <c r="F556" s="284"/>
      <c r="G556" s="284"/>
      <c r="H556" s="284"/>
      <c r="I556" s="285"/>
      <c r="J556" s="284"/>
      <c r="K556" s="284"/>
      <c r="L556" s="284"/>
      <c r="M556" s="284"/>
      <c r="N556" s="288"/>
      <c r="O556" s="288"/>
      <c r="P556" s="288"/>
      <c r="Q556" s="284"/>
      <c r="R556" s="284"/>
      <c r="S556" s="285"/>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row>
    <row r="557">
      <c r="A557" s="285"/>
      <c r="B557" s="285"/>
      <c r="C557" s="284"/>
      <c r="D557" s="284"/>
      <c r="E557" s="284"/>
      <c r="F557" s="284"/>
      <c r="G557" s="284"/>
      <c r="H557" s="284"/>
      <c r="I557" s="285"/>
      <c r="J557" s="284"/>
      <c r="K557" s="284"/>
      <c r="L557" s="284"/>
      <c r="M557" s="284"/>
      <c r="N557" s="288"/>
      <c r="O557" s="288"/>
      <c r="P557" s="288"/>
      <c r="Q557" s="284"/>
      <c r="R557" s="284"/>
      <c r="S557" s="285"/>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row>
    <row r="558">
      <c r="A558" s="285"/>
      <c r="B558" s="285"/>
      <c r="C558" s="284"/>
      <c r="D558" s="284"/>
      <c r="E558" s="284"/>
      <c r="F558" s="284"/>
      <c r="G558" s="284"/>
      <c r="H558" s="284"/>
      <c r="I558" s="285"/>
      <c r="J558" s="284"/>
      <c r="K558" s="284"/>
      <c r="L558" s="284"/>
      <c r="M558" s="284"/>
      <c r="N558" s="288"/>
      <c r="O558" s="288"/>
      <c r="P558" s="288"/>
      <c r="Q558" s="284"/>
      <c r="R558" s="284"/>
      <c r="S558" s="285"/>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row>
    <row r="559">
      <c r="A559" s="285"/>
      <c r="B559" s="285"/>
      <c r="C559" s="284"/>
      <c r="D559" s="284"/>
      <c r="E559" s="284"/>
      <c r="F559" s="284"/>
      <c r="G559" s="284"/>
      <c r="H559" s="284"/>
      <c r="I559" s="285"/>
      <c r="J559" s="284"/>
      <c r="K559" s="284"/>
      <c r="L559" s="284"/>
      <c r="M559" s="284"/>
      <c r="N559" s="288"/>
      <c r="O559" s="288"/>
      <c r="P559" s="288"/>
      <c r="Q559" s="284"/>
      <c r="R559" s="284"/>
      <c r="S559" s="285"/>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row>
    <row r="560">
      <c r="A560" s="285"/>
      <c r="B560" s="285"/>
      <c r="C560" s="284"/>
      <c r="D560" s="284"/>
      <c r="E560" s="284"/>
      <c r="F560" s="284"/>
      <c r="G560" s="284"/>
      <c r="H560" s="284"/>
      <c r="I560" s="285"/>
      <c r="J560" s="284"/>
      <c r="K560" s="284"/>
      <c r="L560" s="284"/>
      <c r="M560" s="284"/>
      <c r="N560" s="288"/>
      <c r="O560" s="288"/>
      <c r="P560" s="288"/>
      <c r="Q560" s="284"/>
      <c r="R560" s="284"/>
      <c r="S560" s="285"/>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row>
    <row r="561">
      <c r="A561" s="285"/>
      <c r="B561" s="285"/>
      <c r="C561" s="284"/>
      <c r="D561" s="284"/>
      <c r="E561" s="284"/>
      <c r="F561" s="284"/>
      <c r="G561" s="284"/>
      <c r="H561" s="284"/>
      <c r="I561" s="285"/>
      <c r="J561" s="284"/>
      <c r="K561" s="284"/>
      <c r="L561" s="284"/>
      <c r="M561" s="284"/>
      <c r="N561" s="288"/>
      <c r="O561" s="288"/>
      <c r="P561" s="288"/>
      <c r="Q561" s="284"/>
      <c r="R561" s="284"/>
      <c r="S561" s="285"/>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row>
    <row r="562">
      <c r="A562" s="285"/>
      <c r="B562" s="285"/>
      <c r="C562" s="284"/>
      <c r="D562" s="284"/>
      <c r="E562" s="284"/>
      <c r="F562" s="284"/>
      <c r="G562" s="284"/>
      <c r="H562" s="284"/>
      <c r="I562" s="285"/>
      <c r="J562" s="284"/>
      <c r="K562" s="284"/>
      <c r="L562" s="284"/>
      <c r="M562" s="284"/>
      <c r="N562" s="288"/>
      <c r="O562" s="288"/>
      <c r="P562" s="288"/>
      <c r="Q562" s="284"/>
      <c r="R562" s="284"/>
      <c r="S562" s="285"/>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row>
    <row r="563">
      <c r="A563" s="285"/>
      <c r="B563" s="285"/>
      <c r="C563" s="284"/>
      <c r="D563" s="284"/>
      <c r="E563" s="284"/>
      <c r="F563" s="284"/>
      <c r="G563" s="284"/>
      <c r="H563" s="284"/>
      <c r="I563" s="285"/>
      <c r="J563" s="284"/>
      <c r="K563" s="284"/>
      <c r="L563" s="284"/>
      <c r="M563" s="284"/>
      <c r="N563" s="288"/>
      <c r="O563" s="288"/>
      <c r="P563" s="288"/>
      <c r="Q563" s="284"/>
      <c r="R563" s="284"/>
      <c r="S563" s="285"/>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row>
    <row r="564">
      <c r="A564" s="285"/>
      <c r="B564" s="285"/>
      <c r="C564" s="284"/>
      <c r="D564" s="284"/>
      <c r="E564" s="284"/>
      <c r="F564" s="284"/>
      <c r="G564" s="284"/>
      <c r="H564" s="284"/>
      <c r="I564" s="285"/>
      <c r="J564" s="284"/>
      <c r="K564" s="284"/>
      <c r="L564" s="284"/>
      <c r="M564" s="284"/>
      <c r="N564" s="288"/>
      <c r="O564" s="288"/>
      <c r="P564" s="288"/>
      <c r="Q564" s="284"/>
      <c r="R564" s="284"/>
      <c r="S564" s="285"/>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row>
    <row r="565">
      <c r="A565" s="285"/>
      <c r="B565" s="285"/>
      <c r="C565" s="284"/>
      <c r="D565" s="284"/>
      <c r="E565" s="284"/>
      <c r="F565" s="284"/>
      <c r="G565" s="284"/>
      <c r="H565" s="284"/>
      <c r="I565" s="285"/>
      <c r="J565" s="284"/>
      <c r="K565" s="284"/>
      <c r="L565" s="284"/>
      <c r="M565" s="284"/>
      <c r="N565" s="288"/>
      <c r="O565" s="288"/>
      <c r="P565" s="288"/>
      <c r="Q565" s="284"/>
      <c r="R565" s="284"/>
      <c r="S565" s="285"/>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row>
    <row r="566">
      <c r="A566" s="285"/>
      <c r="B566" s="285"/>
      <c r="C566" s="284"/>
      <c r="D566" s="284"/>
      <c r="E566" s="284"/>
      <c r="F566" s="284"/>
      <c r="G566" s="284"/>
      <c r="H566" s="284"/>
      <c r="I566" s="285"/>
      <c r="J566" s="284"/>
      <c r="K566" s="284"/>
      <c r="L566" s="284"/>
      <c r="M566" s="284"/>
      <c r="N566" s="288"/>
      <c r="O566" s="288"/>
      <c r="P566" s="288"/>
      <c r="Q566" s="284"/>
      <c r="R566" s="284"/>
      <c r="S566" s="285"/>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row>
    <row r="567">
      <c r="A567" s="285"/>
      <c r="B567" s="285"/>
      <c r="C567" s="284"/>
      <c r="D567" s="284"/>
      <c r="E567" s="284"/>
      <c r="F567" s="284"/>
      <c r="G567" s="284"/>
      <c r="H567" s="284"/>
      <c r="I567" s="285"/>
      <c r="J567" s="284"/>
      <c r="K567" s="284"/>
      <c r="L567" s="284"/>
      <c r="M567" s="284"/>
      <c r="N567" s="288"/>
      <c r="O567" s="288"/>
      <c r="P567" s="288"/>
      <c r="Q567" s="284"/>
      <c r="R567" s="284"/>
      <c r="S567" s="285"/>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row>
    <row r="568">
      <c r="A568" s="285"/>
      <c r="B568" s="285"/>
      <c r="C568" s="284"/>
      <c r="D568" s="284"/>
      <c r="E568" s="284"/>
      <c r="F568" s="284"/>
      <c r="G568" s="284"/>
      <c r="H568" s="284"/>
      <c r="I568" s="285"/>
      <c r="J568" s="284"/>
      <c r="K568" s="284"/>
      <c r="L568" s="284"/>
      <c r="M568" s="284"/>
      <c r="N568" s="288"/>
      <c r="O568" s="288"/>
      <c r="P568" s="288"/>
      <c r="Q568" s="284"/>
      <c r="R568" s="284"/>
      <c r="S568" s="285"/>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row>
    <row r="569">
      <c r="A569" s="285"/>
      <c r="B569" s="285"/>
      <c r="C569" s="284"/>
      <c r="D569" s="284"/>
      <c r="E569" s="284"/>
      <c r="F569" s="284"/>
      <c r="G569" s="284"/>
      <c r="H569" s="284"/>
      <c r="I569" s="285"/>
      <c r="J569" s="284"/>
      <c r="K569" s="284"/>
      <c r="L569" s="284"/>
      <c r="M569" s="284"/>
      <c r="N569" s="288"/>
      <c r="O569" s="288"/>
      <c r="P569" s="288"/>
      <c r="Q569" s="284"/>
      <c r="R569" s="284"/>
      <c r="S569" s="285"/>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row>
    <row r="570">
      <c r="A570" s="285"/>
      <c r="B570" s="285"/>
      <c r="C570" s="284"/>
      <c r="D570" s="284"/>
      <c r="E570" s="284"/>
      <c r="F570" s="284"/>
      <c r="G570" s="284"/>
      <c r="H570" s="284"/>
      <c r="I570" s="285"/>
      <c r="J570" s="284"/>
      <c r="K570" s="284"/>
      <c r="L570" s="284"/>
      <c r="M570" s="284"/>
      <c r="N570" s="288"/>
      <c r="O570" s="288"/>
      <c r="P570" s="288"/>
      <c r="Q570" s="284"/>
      <c r="R570" s="284"/>
      <c r="S570" s="285"/>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row>
    <row r="571">
      <c r="A571" s="285"/>
      <c r="B571" s="285"/>
      <c r="C571" s="284"/>
      <c r="D571" s="284"/>
      <c r="E571" s="284"/>
      <c r="F571" s="284"/>
      <c r="G571" s="284"/>
      <c r="H571" s="284"/>
      <c r="I571" s="285"/>
      <c r="J571" s="284"/>
      <c r="K571" s="284"/>
      <c r="L571" s="284"/>
      <c r="M571" s="284"/>
      <c r="N571" s="288"/>
      <c r="O571" s="288"/>
      <c r="P571" s="288"/>
      <c r="Q571" s="284"/>
      <c r="R571" s="284"/>
      <c r="S571" s="285"/>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row>
    <row r="572">
      <c r="A572" s="285"/>
      <c r="B572" s="285"/>
      <c r="C572" s="284"/>
      <c r="D572" s="284"/>
      <c r="E572" s="284"/>
      <c r="F572" s="284"/>
      <c r="G572" s="284"/>
      <c r="H572" s="284"/>
      <c r="I572" s="285"/>
      <c r="J572" s="284"/>
      <c r="K572" s="284"/>
      <c r="L572" s="284"/>
      <c r="M572" s="284"/>
      <c r="N572" s="288"/>
      <c r="O572" s="288"/>
      <c r="P572" s="288"/>
      <c r="Q572" s="284"/>
      <c r="R572" s="284"/>
      <c r="S572" s="285"/>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row>
    <row r="573">
      <c r="A573" s="285"/>
      <c r="B573" s="285"/>
      <c r="C573" s="284"/>
      <c r="D573" s="284"/>
      <c r="E573" s="284"/>
      <c r="F573" s="284"/>
      <c r="G573" s="284"/>
      <c r="H573" s="284"/>
      <c r="I573" s="285"/>
      <c r="J573" s="284"/>
      <c r="K573" s="284"/>
      <c r="L573" s="284"/>
      <c r="M573" s="284"/>
      <c r="N573" s="288"/>
      <c r="O573" s="288"/>
      <c r="P573" s="288"/>
      <c r="Q573" s="284"/>
      <c r="R573" s="284"/>
      <c r="S573" s="285"/>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row>
    <row r="574">
      <c r="A574" s="285"/>
      <c r="B574" s="285"/>
      <c r="C574" s="284"/>
      <c r="D574" s="284"/>
      <c r="E574" s="284"/>
      <c r="F574" s="284"/>
      <c r="G574" s="284"/>
      <c r="H574" s="284"/>
      <c r="I574" s="285"/>
      <c r="J574" s="284"/>
      <c r="K574" s="284"/>
      <c r="L574" s="284"/>
      <c r="M574" s="284"/>
      <c r="N574" s="288"/>
      <c r="O574" s="288"/>
      <c r="P574" s="288"/>
      <c r="Q574" s="284"/>
      <c r="R574" s="284"/>
      <c r="S574" s="285"/>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row>
    <row r="575">
      <c r="A575" s="285"/>
      <c r="B575" s="285"/>
      <c r="C575" s="284"/>
      <c r="D575" s="284"/>
      <c r="E575" s="284"/>
      <c r="F575" s="284"/>
      <c r="G575" s="284"/>
      <c r="H575" s="284"/>
      <c r="I575" s="285"/>
      <c r="J575" s="284"/>
      <c r="K575" s="284"/>
      <c r="L575" s="284"/>
      <c r="M575" s="284"/>
      <c r="N575" s="288"/>
      <c r="O575" s="288"/>
      <c r="P575" s="288"/>
      <c r="Q575" s="284"/>
      <c r="R575" s="284"/>
      <c r="S575" s="285"/>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row>
    <row r="576">
      <c r="A576" s="285"/>
      <c r="B576" s="285"/>
      <c r="C576" s="284"/>
      <c r="D576" s="284"/>
      <c r="E576" s="284"/>
      <c r="F576" s="284"/>
      <c r="G576" s="284"/>
      <c r="H576" s="284"/>
      <c r="I576" s="285"/>
      <c r="J576" s="284"/>
      <c r="K576" s="284"/>
      <c r="L576" s="284"/>
      <c r="M576" s="284"/>
      <c r="N576" s="288"/>
      <c r="O576" s="288"/>
      <c r="P576" s="288"/>
      <c r="Q576" s="284"/>
      <c r="R576" s="284"/>
      <c r="S576" s="285"/>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row>
    <row r="577">
      <c r="A577" s="285"/>
      <c r="B577" s="285"/>
      <c r="C577" s="284"/>
      <c r="D577" s="284"/>
      <c r="E577" s="284"/>
      <c r="F577" s="284"/>
      <c r="G577" s="284"/>
      <c r="H577" s="284"/>
      <c r="I577" s="285"/>
      <c r="J577" s="284"/>
      <c r="K577" s="284"/>
      <c r="L577" s="284"/>
      <c r="M577" s="284"/>
      <c r="N577" s="288"/>
      <c r="O577" s="288"/>
      <c r="P577" s="288"/>
      <c r="Q577" s="284"/>
      <c r="R577" s="284"/>
      <c r="S577" s="285"/>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row>
    <row r="578">
      <c r="A578" s="285"/>
      <c r="B578" s="285"/>
      <c r="C578" s="284"/>
      <c r="D578" s="284"/>
      <c r="E578" s="284"/>
      <c r="F578" s="284"/>
      <c r="G578" s="284"/>
      <c r="H578" s="284"/>
      <c r="I578" s="285"/>
      <c r="J578" s="284"/>
      <c r="K578" s="284"/>
      <c r="L578" s="284"/>
      <c r="M578" s="284"/>
      <c r="N578" s="288"/>
      <c r="O578" s="288"/>
      <c r="P578" s="288"/>
      <c r="Q578" s="284"/>
      <c r="R578" s="284"/>
      <c r="S578" s="285"/>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row>
    <row r="579">
      <c r="A579" s="285"/>
      <c r="B579" s="285"/>
      <c r="C579" s="284"/>
      <c r="D579" s="284"/>
      <c r="E579" s="284"/>
      <c r="F579" s="284"/>
      <c r="G579" s="284"/>
      <c r="H579" s="284"/>
      <c r="I579" s="285"/>
      <c r="J579" s="284"/>
      <c r="K579" s="284"/>
      <c r="L579" s="284"/>
      <c r="M579" s="284"/>
      <c r="N579" s="288"/>
      <c r="O579" s="288"/>
      <c r="P579" s="288"/>
      <c r="Q579" s="284"/>
      <c r="R579" s="284"/>
      <c r="S579" s="285"/>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row>
    <row r="580">
      <c r="A580" s="285"/>
      <c r="B580" s="285"/>
      <c r="C580" s="284"/>
      <c r="D580" s="284"/>
      <c r="E580" s="284"/>
      <c r="F580" s="284"/>
      <c r="G580" s="284"/>
      <c r="H580" s="284"/>
      <c r="I580" s="285"/>
      <c r="J580" s="284"/>
      <c r="K580" s="284"/>
      <c r="L580" s="284"/>
      <c r="M580" s="284"/>
      <c r="N580" s="288"/>
      <c r="O580" s="288"/>
      <c r="P580" s="288"/>
      <c r="Q580" s="284"/>
      <c r="R580" s="284"/>
      <c r="S580" s="285"/>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row>
    <row r="581">
      <c r="A581" s="285"/>
      <c r="B581" s="285"/>
      <c r="C581" s="284"/>
      <c r="D581" s="284"/>
      <c r="E581" s="284"/>
      <c r="F581" s="284"/>
      <c r="G581" s="284"/>
      <c r="H581" s="284"/>
      <c r="I581" s="285"/>
      <c r="J581" s="284"/>
      <c r="K581" s="284"/>
      <c r="L581" s="284"/>
      <c r="M581" s="284"/>
      <c r="N581" s="288"/>
      <c r="O581" s="288"/>
      <c r="P581" s="288"/>
      <c r="Q581" s="284"/>
      <c r="R581" s="284"/>
      <c r="S581" s="285"/>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row>
    <row r="582">
      <c r="A582" s="285"/>
      <c r="B582" s="285"/>
      <c r="C582" s="284"/>
      <c r="D582" s="284"/>
      <c r="E582" s="284"/>
      <c r="F582" s="284"/>
      <c r="G582" s="284"/>
      <c r="H582" s="284"/>
      <c r="I582" s="285"/>
      <c r="J582" s="284"/>
      <c r="K582" s="284"/>
      <c r="L582" s="284"/>
      <c r="M582" s="284"/>
      <c r="N582" s="288"/>
      <c r="O582" s="288"/>
      <c r="P582" s="288"/>
      <c r="Q582" s="284"/>
      <c r="R582" s="284"/>
      <c r="S582" s="285"/>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row>
    <row r="583">
      <c r="A583" s="285"/>
      <c r="B583" s="285"/>
      <c r="C583" s="284"/>
      <c r="D583" s="284"/>
      <c r="E583" s="284"/>
      <c r="F583" s="284"/>
      <c r="G583" s="284"/>
      <c r="H583" s="284"/>
      <c r="I583" s="285"/>
      <c r="J583" s="284"/>
      <c r="K583" s="284"/>
      <c r="L583" s="284"/>
      <c r="M583" s="284"/>
      <c r="N583" s="288"/>
      <c r="O583" s="288"/>
      <c r="P583" s="288"/>
      <c r="Q583" s="284"/>
      <c r="R583" s="284"/>
      <c r="S583" s="285"/>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row>
    <row r="584">
      <c r="A584" s="285"/>
      <c r="B584" s="285"/>
      <c r="C584" s="284"/>
      <c r="D584" s="284"/>
      <c r="E584" s="284"/>
      <c r="F584" s="284"/>
      <c r="G584" s="284"/>
      <c r="H584" s="284"/>
      <c r="I584" s="285"/>
      <c r="J584" s="284"/>
      <c r="K584" s="284"/>
      <c r="L584" s="284"/>
      <c r="M584" s="284"/>
      <c r="N584" s="288"/>
      <c r="O584" s="288"/>
      <c r="P584" s="288"/>
      <c r="Q584" s="284"/>
      <c r="R584" s="284"/>
      <c r="S584" s="285"/>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row>
    <row r="585">
      <c r="A585" s="285"/>
      <c r="B585" s="285"/>
      <c r="C585" s="284"/>
      <c r="D585" s="284"/>
      <c r="E585" s="284"/>
      <c r="F585" s="284"/>
      <c r="G585" s="284"/>
      <c r="H585" s="284"/>
      <c r="I585" s="285"/>
      <c r="J585" s="284"/>
      <c r="K585" s="284"/>
      <c r="L585" s="284"/>
      <c r="M585" s="284"/>
      <c r="N585" s="288"/>
      <c r="O585" s="288"/>
      <c r="P585" s="288"/>
      <c r="Q585" s="284"/>
      <c r="R585" s="284"/>
      <c r="S585" s="285"/>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row>
    <row r="586">
      <c r="A586" s="285"/>
      <c r="B586" s="285"/>
      <c r="C586" s="284"/>
      <c r="D586" s="284"/>
      <c r="E586" s="284"/>
      <c r="F586" s="284"/>
      <c r="G586" s="284"/>
      <c r="H586" s="284"/>
      <c r="I586" s="285"/>
      <c r="J586" s="284"/>
      <c r="K586" s="284"/>
      <c r="L586" s="284"/>
      <c r="M586" s="284"/>
      <c r="N586" s="288"/>
      <c r="O586" s="288"/>
      <c r="P586" s="288"/>
      <c r="Q586" s="284"/>
      <c r="R586" s="284"/>
      <c r="S586" s="285"/>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row>
    <row r="587">
      <c r="A587" s="285"/>
      <c r="B587" s="285"/>
      <c r="C587" s="284"/>
      <c r="D587" s="284"/>
      <c r="E587" s="284"/>
      <c r="F587" s="284"/>
      <c r="G587" s="284"/>
      <c r="H587" s="284"/>
      <c r="I587" s="285"/>
      <c r="J587" s="284"/>
      <c r="K587" s="284"/>
      <c r="L587" s="284"/>
      <c r="M587" s="284"/>
      <c r="N587" s="288"/>
      <c r="O587" s="288"/>
      <c r="P587" s="288"/>
      <c r="Q587" s="284"/>
      <c r="R587" s="284"/>
      <c r="S587" s="285"/>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row>
    <row r="588">
      <c r="A588" s="285"/>
      <c r="B588" s="285"/>
      <c r="C588" s="284"/>
      <c r="D588" s="284"/>
      <c r="E588" s="284"/>
      <c r="F588" s="284"/>
      <c r="G588" s="284"/>
      <c r="H588" s="284"/>
      <c r="I588" s="285"/>
      <c r="J588" s="284"/>
      <c r="K588" s="284"/>
      <c r="L588" s="284"/>
      <c r="M588" s="284"/>
      <c r="N588" s="288"/>
      <c r="O588" s="288"/>
      <c r="P588" s="288"/>
      <c r="Q588" s="284"/>
      <c r="R588" s="284"/>
      <c r="S588" s="285"/>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row>
    <row r="589">
      <c r="A589" s="285"/>
      <c r="B589" s="285"/>
      <c r="C589" s="284"/>
      <c r="D589" s="284"/>
      <c r="E589" s="284"/>
      <c r="F589" s="284"/>
      <c r="G589" s="284"/>
      <c r="H589" s="284"/>
      <c r="I589" s="285"/>
      <c r="J589" s="284"/>
      <c r="K589" s="284"/>
      <c r="L589" s="284"/>
      <c r="M589" s="284"/>
      <c r="N589" s="288"/>
      <c r="O589" s="288"/>
      <c r="P589" s="288"/>
      <c r="Q589" s="284"/>
      <c r="R589" s="284"/>
      <c r="S589" s="285"/>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row>
    <row r="590">
      <c r="A590" s="285"/>
      <c r="B590" s="285"/>
      <c r="C590" s="284"/>
      <c r="D590" s="284"/>
      <c r="E590" s="284"/>
      <c r="F590" s="284"/>
      <c r="G590" s="284"/>
      <c r="H590" s="284"/>
      <c r="I590" s="285"/>
      <c r="J590" s="284"/>
      <c r="K590" s="284"/>
      <c r="L590" s="284"/>
      <c r="M590" s="284"/>
      <c r="N590" s="288"/>
      <c r="O590" s="288"/>
      <c r="P590" s="288"/>
      <c r="Q590" s="284"/>
      <c r="R590" s="284"/>
      <c r="S590" s="285"/>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row>
    <row r="591">
      <c r="A591" s="285"/>
      <c r="B591" s="285"/>
      <c r="C591" s="284"/>
      <c r="D591" s="284"/>
      <c r="E591" s="284"/>
      <c r="F591" s="284"/>
      <c r="G591" s="284"/>
      <c r="H591" s="284"/>
      <c r="I591" s="285"/>
      <c r="J591" s="284"/>
      <c r="K591" s="284"/>
      <c r="L591" s="284"/>
      <c r="M591" s="284"/>
      <c r="N591" s="288"/>
      <c r="O591" s="288"/>
      <c r="P591" s="288"/>
      <c r="Q591" s="284"/>
      <c r="R591" s="284"/>
      <c r="S591" s="285"/>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row>
    <row r="592">
      <c r="A592" s="285"/>
      <c r="B592" s="285"/>
      <c r="C592" s="284"/>
      <c r="D592" s="284"/>
      <c r="E592" s="284"/>
      <c r="F592" s="284"/>
      <c r="G592" s="284"/>
      <c r="H592" s="284"/>
      <c r="I592" s="285"/>
      <c r="J592" s="284"/>
      <c r="K592" s="284"/>
      <c r="L592" s="284"/>
      <c r="M592" s="284"/>
      <c r="N592" s="288"/>
      <c r="O592" s="288"/>
      <c r="P592" s="288"/>
      <c r="Q592" s="284"/>
      <c r="R592" s="284"/>
      <c r="S592" s="285"/>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row>
    <row r="593">
      <c r="A593" s="285"/>
      <c r="B593" s="285"/>
      <c r="C593" s="284"/>
      <c r="D593" s="284"/>
      <c r="E593" s="284"/>
      <c r="F593" s="284"/>
      <c r="G593" s="284"/>
      <c r="H593" s="284"/>
      <c r="I593" s="285"/>
      <c r="J593" s="284"/>
      <c r="K593" s="284"/>
      <c r="L593" s="284"/>
      <c r="M593" s="284"/>
      <c r="N593" s="288"/>
      <c r="O593" s="288"/>
      <c r="P593" s="288"/>
      <c r="Q593" s="284"/>
      <c r="R593" s="284"/>
      <c r="S593" s="285"/>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row>
    <row r="594">
      <c r="A594" s="285"/>
      <c r="B594" s="285"/>
      <c r="C594" s="284"/>
      <c r="D594" s="284"/>
      <c r="E594" s="284"/>
      <c r="F594" s="284"/>
      <c r="G594" s="284"/>
      <c r="H594" s="284"/>
      <c r="I594" s="285"/>
      <c r="J594" s="284"/>
      <c r="K594" s="284"/>
      <c r="L594" s="284"/>
      <c r="M594" s="284"/>
      <c r="N594" s="288"/>
      <c r="O594" s="288"/>
      <c r="P594" s="288"/>
      <c r="Q594" s="284"/>
      <c r="R594" s="284"/>
      <c r="S594" s="285"/>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row>
    <row r="595">
      <c r="A595" s="285"/>
      <c r="B595" s="285"/>
      <c r="C595" s="284"/>
      <c r="D595" s="284"/>
      <c r="E595" s="284"/>
      <c r="F595" s="284"/>
      <c r="G595" s="284"/>
      <c r="H595" s="284"/>
      <c r="I595" s="285"/>
      <c r="J595" s="284"/>
      <c r="K595" s="284"/>
      <c r="L595" s="284"/>
      <c r="M595" s="284"/>
      <c r="N595" s="288"/>
      <c r="O595" s="288"/>
      <c r="P595" s="288"/>
      <c r="Q595" s="284"/>
      <c r="R595" s="284"/>
      <c r="S595" s="285"/>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row>
    <row r="596">
      <c r="A596" s="285"/>
      <c r="B596" s="285"/>
      <c r="C596" s="284"/>
      <c r="D596" s="284"/>
      <c r="E596" s="284"/>
      <c r="F596" s="284"/>
      <c r="G596" s="284"/>
      <c r="H596" s="284"/>
      <c r="I596" s="285"/>
      <c r="J596" s="284"/>
      <c r="K596" s="284"/>
      <c r="L596" s="284"/>
      <c r="M596" s="284"/>
      <c r="N596" s="288"/>
      <c r="O596" s="288"/>
      <c r="P596" s="288"/>
      <c r="Q596" s="284"/>
      <c r="R596" s="284"/>
      <c r="S596" s="285"/>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row>
    <row r="597">
      <c r="A597" s="285"/>
      <c r="B597" s="285"/>
      <c r="C597" s="284"/>
      <c r="D597" s="284"/>
      <c r="E597" s="284"/>
      <c r="F597" s="284"/>
      <c r="G597" s="284"/>
      <c r="H597" s="284"/>
      <c r="I597" s="285"/>
      <c r="J597" s="284"/>
      <c r="K597" s="284"/>
      <c r="L597" s="284"/>
      <c r="M597" s="284"/>
      <c r="N597" s="288"/>
      <c r="O597" s="288"/>
      <c r="P597" s="288"/>
      <c r="Q597" s="284"/>
      <c r="R597" s="284"/>
      <c r="S597" s="285"/>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row>
    <row r="598">
      <c r="A598" s="285"/>
      <c r="B598" s="285"/>
      <c r="C598" s="284"/>
      <c r="D598" s="284"/>
      <c r="E598" s="284"/>
      <c r="F598" s="284"/>
      <c r="G598" s="284"/>
      <c r="H598" s="284"/>
      <c r="I598" s="285"/>
      <c r="J598" s="284"/>
      <c r="K598" s="284"/>
      <c r="L598" s="284"/>
      <c r="M598" s="284"/>
      <c r="N598" s="288"/>
      <c r="O598" s="288"/>
      <c r="P598" s="288"/>
      <c r="Q598" s="284"/>
      <c r="R598" s="284"/>
      <c r="S598" s="285"/>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row>
    <row r="599">
      <c r="A599" s="285"/>
      <c r="B599" s="285"/>
      <c r="C599" s="284"/>
      <c r="D599" s="284"/>
      <c r="E599" s="284"/>
      <c r="F599" s="284"/>
      <c r="G599" s="284"/>
      <c r="H599" s="284"/>
      <c r="I599" s="285"/>
      <c r="J599" s="284"/>
      <c r="K599" s="284"/>
      <c r="L599" s="284"/>
      <c r="M599" s="284"/>
      <c r="N599" s="288"/>
      <c r="O599" s="288"/>
      <c r="P599" s="288"/>
      <c r="Q599" s="284"/>
      <c r="R599" s="284"/>
      <c r="S599" s="285"/>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row>
    <row r="600">
      <c r="A600" s="285"/>
      <c r="B600" s="285"/>
      <c r="C600" s="284"/>
      <c r="D600" s="284"/>
      <c r="E600" s="284"/>
      <c r="F600" s="284"/>
      <c r="G600" s="284"/>
      <c r="H600" s="284"/>
      <c r="I600" s="285"/>
      <c r="J600" s="284"/>
      <c r="K600" s="284"/>
      <c r="L600" s="284"/>
      <c r="M600" s="284"/>
      <c r="N600" s="288"/>
      <c r="O600" s="288"/>
      <c r="P600" s="288"/>
      <c r="Q600" s="284"/>
      <c r="R600" s="284"/>
      <c r="S600" s="285"/>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row>
    <row r="601">
      <c r="A601" s="285"/>
      <c r="B601" s="285"/>
      <c r="C601" s="284"/>
      <c r="D601" s="284"/>
      <c r="E601" s="284"/>
      <c r="F601" s="284"/>
      <c r="G601" s="284"/>
      <c r="H601" s="284"/>
      <c r="I601" s="285"/>
      <c r="J601" s="284"/>
      <c r="K601" s="284"/>
      <c r="L601" s="284"/>
      <c r="M601" s="284"/>
      <c r="N601" s="288"/>
      <c r="O601" s="288"/>
      <c r="P601" s="288"/>
      <c r="Q601" s="284"/>
      <c r="R601" s="284"/>
      <c r="S601" s="285"/>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row>
    <row r="602">
      <c r="A602" s="285"/>
      <c r="B602" s="285"/>
      <c r="C602" s="284"/>
      <c r="D602" s="284"/>
      <c r="E602" s="284"/>
      <c r="F602" s="284"/>
      <c r="G602" s="284"/>
      <c r="H602" s="284"/>
      <c r="I602" s="285"/>
      <c r="J602" s="284"/>
      <c r="K602" s="284"/>
      <c r="L602" s="284"/>
      <c r="M602" s="284"/>
      <c r="N602" s="288"/>
      <c r="O602" s="288"/>
      <c r="P602" s="288"/>
      <c r="Q602" s="284"/>
      <c r="R602" s="284"/>
      <c r="S602" s="285"/>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row>
    <row r="603">
      <c r="A603" s="285"/>
      <c r="B603" s="285"/>
      <c r="C603" s="284"/>
      <c r="D603" s="284"/>
      <c r="E603" s="284"/>
      <c r="F603" s="284"/>
      <c r="G603" s="284"/>
      <c r="H603" s="284"/>
      <c r="I603" s="285"/>
      <c r="J603" s="284"/>
      <c r="K603" s="284"/>
      <c r="L603" s="284"/>
      <c r="M603" s="284"/>
      <c r="N603" s="288"/>
      <c r="O603" s="288"/>
      <c r="P603" s="288"/>
      <c r="Q603" s="284"/>
      <c r="R603" s="284"/>
      <c r="S603" s="285"/>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row>
    <row r="604">
      <c r="A604" s="285"/>
      <c r="B604" s="285"/>
      <c r="C604" s="284"/>
      <c r="D604" s="284"/>
      <c r="E604" s="284"/>
      <c r="F604" s="284"/>
      <c r="G604" s="284"/>
      <c r="H604" s="284"/>
      <c r="I604" s="285"/>
      <c r="J604" s="284"/>
      <c r="K604" s="284"/>
      <c r="L604" s="284"/>
      <c r="M604" s="284"/>
      <c r="N604" s="288"/>
      <c r="O604" s="288"/>
      <c r="P604" s="288"/>
      <c r="Q604" s="284"/>
      <c r="R604" s="284"/>
      <c r="S604" s="285"/>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row>
    <row r="605">
      <c r="A605" s="285"/>
      <c r="B605" s="285"/>
      <c r="C605" s="284"/>
      <c r="D605" s="284"/>
      <c r="E605" s="284"/>
      <c r="F605" s="284"/>
      <c r="G605" s="284"/>
      <c r="H605" s="284"/>
      <c r="I605" s="285"/>
      <c r="J605" s="284"/>
      <c r="K605" s="284"/>
      <c r="L605" s="284"/>
      <c r="M605" s="284"/>
      <c r="N605" s="288"/>
      <c r="O605" s="288"/>
      <c r="P605" s="288"/>
      <c r="Q605" s="284"/>
      <c r="R605" s="284"/>
      <c r="S605" s="285"/>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row>
    <row r="606">
      <c r="A606" s="285"/>
      <c r="B606" s="285"/>
      <c r="C606" s="284"/>
      <c r="D606" s="284"/>
      <c r="E606" s="284"/>
      <c r="F606" s="284"/>
      <c r="G606" s="284"/>
      <c r="H606" s="284"/>
      <c r="I606" s="285"/>
      <c r="J606" s="284"/>
      <c r="K606" s="284"/>
      <c r="L606" s="284"/>
      <c r="M606" s="284"/>
      <c r="N606" s="288"/>
      <c r="O606" s="288"/>
      <c r="P606" s="288"/>
      <c r="Q606" s="284"/>
      <c r="R606" s="284"/>
      <c r="S606" s="285"/>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row>
    <row r="607">
      <c r="A607" s="285"/>
      <c r="B607" s="285"/>
      <c r="C607" s="284"/>
      <c r="D607" s="284"/>
      <c r="E607" s="284"/>
      <c r="F607" s="284"/>
      <c r="G607" s="284"/>
      <c r="H607" s="284"/>
      <c r="I607" s="285"/>
      <c r="J607" s="284"/>
      <c r="K607" s="284"/>
      <c r="L607" s="284"/>
      <c r="M607" s="284"/>
      <c r="N607" s="288"/>
      <c r="O607" s="288"/>
      <c r="P607" s="288"/>
      <c r="Q607" s="284"/>
      <c r="R607" s="284"/>
      <c r="S607" s="285"/>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row>
    <row r="608">
      <c r="A608" s="285"/>
      <c r="B608" s="285"/>
      <c r="C608" s="284"/>
      <c r="D608" s="284"/>
      <c r="E608" s="284"/>
      <c r="F608" s="284"/>
      <c r="G608" s="284"/>
      <c r="H608" s="284"/>
      <c r="I608" s="285"/>
      <c r="J608" s="284"/>
      <c r="K608" s="284"/>
      <c r="L608" s="284"/>
      <c r="M608" s="284"/>
      <c r="N608" s="288"/>
      <c r="O608" s="288"/>
      <c r="P608" s="288"/>
      <c r="Q608" s="284"/>
      <c r="R608" s="284"/>
      <c r="S608" s="285"/>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row>
    <row r="609">
      <c r="A609" s="285"/>
      <c r="B609" s="285"/>
      <c r="C609" s="284"/>
      <c r="D609" s="284"/>
      <c r="E609" s="284"/>
      <c r="F609" s="284"/>
      <c r="G609" s="284"/>
      <c r="H609" s="284"/>
      <c r="I609" s="285"/>
      <c r="J609" s="284"/>
      <c r="K609" s="284"/>
      <c r="L609" s="284"/>
      <c r="M609" s="284"/>
      <c r="N609" s="288"/>
      <c r="O609" s="288"/>
      <c r="P609" s="288"/>
      <c r="Q609" s="284"/>
      <c r="R609" s="284"/>
      <c r="S609" s="285"/>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row>
    <row r="610">
      <c r="A610" s="285"/>
      <c r="B610" s="285"/>
      <c r="C610" s="284"/>
      <c r="D610" s="284"/>
      <c r="E610" s="284"/>
      <c r="F610" s="284"/>
      <c r="G610" s="284"/>
      <c r="H610" s="284"/>
      <c r="I610" s="285"/>
      <c r="J610" s="284"/>
      <c r="K610" s="284"/>
      <c r="L610" s="284"/>
      <c r="M610" s="284"/>
      <c r="N610" s="288"/>
      <c r="O610" s="288"/>
      <c r="P610" s="288"/>
      <c r="Q610" s="284"/>
      <c r="R610" s="284"/>
      <c r="S610" s="285"/>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row>
    <row r="611">
      <c r="A611" s="285"/>
      <c r="B611" s="285"/>
      <c r="C611" s="284"/>
      <c r="D611" s="284"/>
      <c r="E611" s="284"/>
      <c r="F611" s="284"/>
      <c r="G611" s="284"/>
      <c r="H611" s="284"/>
      <c r="I611" s="285"/>
      <c r="J611" s="284"/>
      <c r="K611" s="284"/>
      <c r="L611" s="284"/>
      <c r="M611" s="284"/>
      <c r="N611" s="288"/>
      <c r="O611" s="288"/>
      <c r="P611" s="288"/>
      <c r="Q611" s="284"/>
      <c r="R611" s="284"/>
      <c r="S611" s="285"/>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row>
    <row r="612">
      <c r="A612" s="285"/>
      <c r="B612" s="285"/>
      <c r="C612" s="284"/>
      <c r="D612" s="284"/>
      <c r="E612" s="284"/>
      <c r="F612" s="284"/>
      <c r="G612" s="284"/>
      <c r="H612" s="284"/>
      <c r="I612" s="285"/>
      <c r="J612" s="284"/>
      <c r="K612" s="284"/>
      <c r="L612" s="284"/>
      <c r="M612" s="284"/>
      <c r="N612" s="288"/>
      <c r="O612" s="288"/>
      <c r="P612" s="288"/>
      <c r="Q612" s="284"/>
      <c r="R612" s="284"/>
      <c r="S612" s="285"/>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row>
    <row r="613">
      <c r="A613" s="285"/>
      <c r="B613" s="285"/>
      <c r="C613" s="284"/>
      <c r="D613" s="284"/>
      <c r="E613" s="284"/>
      <c r="F613" s="284"/>
      <c r="G613" s="284"/>
      <c r="H613" s="284"/>
      <c r="I613" s="285"/>
      <c r="J613" s="284"/>
      <c r="K613" s="284"/>
      <c r="L613" s="284"/>
      <c r="M613" s="284"/>
      <c r="N613" s="288"/>
      <c r="O613" s="288"/>
      <c r="P613" s="288"/>
      <c r="Q613" s="284"/>
      <c r="R613" s="284"/>
      <c r="S613" s="285"/>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row>
    <row r="614">
      <c r="A614" s="285"/>
      <c r="B614" s="285"/>
      <c r="C614" s="284"/>
      <c r="D614" s="284"/>
      <c r="E614" s="284"/>
      <c r="F614" s="284"/>
      <c r="G614" s="284"/>
      <c r="H614" s="284"/>
      <c r="I614" s="285"/>
      <c r="J614" s="284"/>
      <c r="K614" s="284"/>
      <c r="L614" s="284"/>
      <c r="M614" s="284"/>
      <c r="N614" s="288"/>
      <c r="O614" s="288"/>
      <c r="P614" s="288"/>
      <c r="Q614" s="284"/>
      <c r="R614" s="284"/>
      <c r="S614" s="285"/>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row>
    <row r="615">
      <c r="A615" s="285"/>
      <c r="B615" s="285"/>
      <c r="C615" s="284"/>
      <c r="D615" s="284"/>
      <c r="E615" s="284"/>
      <c r="F615" s="284"/>
      <c r="G615" s="284"/>
      <c r="H615" s="284"/>
      <c r="I615" s="285"/>
      <c r="J615" s="284"/>
      <c r="K615" s="284"/>
      <c r="L615" s="284"/>
      <c r="M615" s="284"/>
      <c r="N615" s="288"/>
      <c r="O615" s="288"/>
      <c r="P615" s="288"/>
      <c r="Q615" s="284"/>
      <c r="R615" s="284"/>
      <c r="S615" s="285"/>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row>
    <row r="616">
      <c r="A616" s="285"/>
      <c r="B616" s="285"/>
      <c r="C616" s="284"/>
      <c r="D616" s="284"/>
      <c r="E616" s="284"/>
      <c r="F616" s="284"/>
      <c r="G616" s="284"/>
      <c r="H616" s="284"/>
      <c r="I616" s="285"/>
      <c r="J616" s="284"/>
      <c r="K616" s="284"/>
      <c r="L616" s="284"/>
      <c r="M616" s="284"/>
      <c r="N616" s="288"/>
      <c r="O616" s="288"/>
      <c r="P616" s="288"/>
      <c r="Q616" s="284"/>
      <c r="R616" s="284"/>
      <c r="S616" s="285"/>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row>
    <row r="617">
      <c r="A617" s="285"/>
      <c r="B617" s="285"/>
      <c r="C617" s="284"/>
      <c r="D617" s="284"/>
      <c r="E617" s="284"/>
      <c r="F617" s="284"/>
      <c r="G617" s="284"/>
      <c r="H617" s="284"/>
      <c r="I617" s="285"/>
      <c r="J617" s="284"/>
      <c r="K617" s="284"/>
      <c r="L617" s="284"/>
      <c r="M617" s="284"/>
      <c r="N617" s="288"/>
      <c r="O617" s="288"/>
      <c r="P617" s="288"/>
      <c r="Q617" s="284"/>
      <c r="R617" s="284"/>
      <c r="S617" s="285"/>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row>
    <row r="618">
      <c r="A618" s="285"/>
      <c r="B618" s="285"/>
      <c r="C618" s="284"/>
      <c r="D618" s="284"/>
      <c r="E618" s="284"/>
      <c r="F618" s="284"/>
      <c r="G618" s="284"/>
      <c r="H618" s="284"/>
      <c r="I618" s="285"/>
      <c r="J618" s="284"/>
      <c r="K618" s="284"/>
      <c r="L618" s="284"/>
      <c r="M618" s="284"/>
      <c r="N618" s="288"/>
      <c r="O618" s="288"/>
      <c r="P618" s="288"/>
      <c r="Q618" s="284"/>
      <c r="R618" s="284"/>
      <c r="S618" s="285"/>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row>
    <row r="619">
      <c r="A619" s="285"/>
      <c r="B619" s="285"/>
      <c r="C619" s="284"/>
      <c r="D619" s="284"/>
      <c r="E619" s="284"/>
      <c r="F619" s="284"/>
      <c r="G619" s="284"/>
      <c r="H619" s="284"/>
      <c r="I619" s="285"/>
      <c r="J619" s="284"/>
      <c r="K619" s="284"/>
      <c r="L619" s="284"/>
      <c r="M619" s="284"/>
      <c r="N619" s="288"/>
      <c r="O619" s="288"/>
      <c r="P619" s="288"/>
      <c r="Q619" s="284"/>
      <c r="R619" s="284"/>
      <c r="S619" s="285"/>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row>
    <row r="620">
      <c r="A620" s="285"/>
      <c r="B620" s="285"/>
      <c r="C620" s="284"/>
      <c r="D620" s="284"/>
      <c r="E620" s="284"/>
      <c r="F620" s="284"/>
      <c r="G620" s="284"/>
      <c r="H620" s="284"/>
      <c r="I620" s="285"/>
      <c r="J620" s="284"/>
      <c r="K620" s="284"/>
      <c r="L620" s="284"/>
      <c r="M620" s="284"/>
      <c r="N620" s="288"/>
      <c r="O620" s="288"/>
      <c r="P620" s="288"/>
      <c r="Q620" s="284"/>
      <c r="R620" s="284"/>
      <c r="S620" s="285"/>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row>
    <row r="621">
      <c r="A621" s="285"/>
      <c r="B621" s="285"/>
      <c r="C621" s="284"/>
      <c r="D621" s="284"/>
      <c r="E621" s="284"/>
      <c r="F621" s="284"/>
      <c r="G621" s="284"/>
      <c r="H621" s="284"/>
      <c r="I621" s="285"/>
      <c r="J621" s="284"/>
      <c r="K621" s="284"/>
      <c r="L621" s="284"/>
      <c r="M621" s="284"/>
      <c r="N621" s="288"/>
      <c r="O621" s="288"/>
      <c r="P621" s="288"/>
      <c r="Q621" s="284"/>
      <c r="R621" s="284"/>
      <c r="S621" s="285"/>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row>
    <row r="622">
      <c r="A622" s="285"/>
      <c r="B622" s="285"/>
      <c r="C622" s="284"/>
      <c r="D622" s="284"/>
      <c r="E622" s="284"/>
      <c r="F622" s="284"/>
      <c r="G622" s="284"/>
      <c r="H622" s="284"/>
      <c r="I622" s="285"/>
      <c r="J622" s="284"/>
      <c r="K622" s="284"/>
      <c r="L622" s="284"/>
      <c r="M622" s="284"/>
      <c r="N622" s="288"/>
      <c r="O622" s="288"/>
      <c r="P622" s="288"/>
      <c r="Q622" s="284"/>
      <c r="R622" s="284"/>
      <c r="S622" s="285"/>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row>
    <row r="623">
      <c r="A623" s="285"/>
      <c r="B623" s="285"/>
      <c r="C623" s="284"/>
      <c r="D623" s="284"/>
      <c r="E623" s="284"/>
      <c r="F623" s="284"/>
      <c r="G623" s="284"/>
      <c r="H623" s="284"/>
      <c r="I623" s="285"/>
      <c r="J623" s="284"/>
      <c r="K623" s="284"/>
      <c r="L623" s="284"/>
      <c r="M623" s="284"/>
      <c r="N623" s="288"/>
      <c r="O623" s="288"/>
      <c r="P623" s="288"/>
      <c r="Q623" s="284"/>
      <c r="R623" s="284"/>
      <c r="S623" s="285"/>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row>
    <row r="624">
      <c r="A624" s="285"/>
      <c r="B624" s="285"/>
      <c r="C624" s="284"/>
      <c r="D624" s="284"/>
      <c r="E624" s="284"/>
      <c r="F624" s="284"/>
      <c r="G624" s="284"/>
      <c r="H624" s="284"/>
      <c r="I624" s="285"/>
      <c r="J624" s="284"/>
      <c r="K624" s="284"/>
      <c r="L624" s="284"/>
      <c r="M624" s="284"/>
      <c r="N624" s="288"/>
      <c r="O624" s="288"/>
      <c r="P624" s="288"/>
      <c r="Q624" s="284"/>
      <c r="R624" s="284"/>
      <c r="S624" s="285"/>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row>
    <row r="625">
      <c r="A625" s="285"/>
      <c r="B625" s="285"/>
      <c r="C625" s="284"/>
      <c r="D625" s="284"/>
      <c r="E625" s="284"/>
      <c r="F625" s="284"/>
      <c r="G625" s="284"/>
      <c r="H625" s="284"/>
      <c r="I625" s="285"/>
      <c r="J625" s="284"/>
      <c r="K625" s="284"/>
      <c r="L625" s="284"/>
      <c r="M625" s="284"/>
      <c r="N625" s="288"/>
      <c r="O625" s="288"/>
      <c r="P625" s="288"/>
      <c r="Q625" s="284"/>
      <c r="R625" s="284"/>
      <c r="S625" s="285"/>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row>
    <row r="626">
      <c r="A626" s="285"/>
      <c r="B626" s="285"/>
      <c r="C626" s="284"/>
      <c r="D626" s="284"/>
      <c r="E626" s="284"/>
      <c r="F626" s="284"/>
      <c r="G626" s="284"/>
      <c r="H626" s="284"/>
      <c r="I626" s="285"/>
      <c r="J626" s="284"/>
      <c r="K626" s="284"/>
      <c r="L626" s="284"/>
      <c r="M626" s="284"/>
      <c r="N626" s="288"/>
      <c r="O626" s="288"/>
      <c r="P626" s="288"/>
      <c r="Q626" s="284"/>
      <c r="R626" s="284"/>
      <c r="S626" s="285"/>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row>
    <row r="627">
      <c r="A627" s="285"/>
      <c r="B627" s="285"/>
      <c r="C627" s="284"/>
      <c r="D627" s="284"/>
      <c r="E627" s="284"/>
      <c r="F627" s="284"/>
      <c r="G627" s="284"/>
      <c r="H627" s="284"/>
      <c r="I627" s="285"/>
      <c r="J627" s="284"/>
      <c r="K627" s="284"/>
      <c r="L627" s="284"/>
      <c r="M627" s="284"/>
      <c r="N627" s="288"/>
      <c r="O627" s="288"/>
      <c r="P627" s="288"/>
      <c r="Q627" s="284"/>
      <c r="R627" s="284"/>
      <c r="S627" s="285"/>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row>
    <row r="628">
      <c r="A628" s="285"/>
      <c r="B628" s="285"/>
      <c r="C628" s="284"/>
      <c r="D628" s="284"/>
      <c r="E628" s="284"/>
      <c r="F628" s="284"/>
      <c r="G628" s="284"/>
      <c r="H628" s="284"/>
      <c r="I628" s="285"/>
      <c r="J628" s="284"/>
      <c r="K628" s="284"/>
      <c r="L628" s="284"/>
      <c r="M628" s="284"/>
      <c r="N628" s="288"/>
      <c r="O628" s="288"/>
      <c r="P628" s="288"/>
      <c r="Q628" s="284"/>
      <c r="R628" s="284"/>
      <c r="S628" s="285"/>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row>
    <row r="629">
      <c r="A629" s="285"/>
      <c r="B629" s="285"/>
      <c r="C629" s="284"/>
      <c r="D629" s="284"/>
      <c r="E629" s="284"/>
      <c r="F629" s="284"/>
      <c r="G629" s="284"/>
      <c r="H629" s="284"/>
      <c r="I629" s="285"/>
      <c r="J629" s="284"/>
      <c r="K629" s="284"/>
      <c r="L629" s="284"/>
      <c r="M629" s="284"/>
      <c r="N629" s="288"/>
      <c r="O629" s="288"/>
      <c r="P629" s="288"/>
      <c r="Q629" s="284"/>
      <c r="R629" s="284"/>
      <c r="S629" s="285"/>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row>
    <row r="630">
      <c r="A630" s="285"/>
      <c r="B630" s="285"/>
      <c r="C630" s="284"/>
      <c r="D630" s="284"/>
      <c r="E630" s="284"/>
      <c r="F630" s="284"/>
      <c r="G630" s="284"/>
      <c r="H630" s="284"/>
      <c r="I630" s="285"/>
      <c r="J630" s="284"/>
      <c r="K630" s="284"/>
      <c r="L630" s="284"/>
      <c r="M630" s="284"/>
      <c r="N630" s="288"/>
      <c r="O630" s="288"/>
      <c r="P630" s="288"/>
      <c r="Q630" s="284"/>
      <c r="R630" s="284"/>
      <c r="S630" s="285"/>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row>
    <row r="631">
      <c r="A631" s="285"/>
      <c r="B631" s="285"/>
      <c r="C631" s="284"/>
      <c r="D631" s="284"/>
      <c r="E631" s="284"/>
      <c r="F631" s="284"/>
      <c r="G631" s="284"/>
      <c r="H631" s="284"/>
      <c r="I631" s="285"/>
      <c r="J631" s="284"/>
      <c r="K631" s="284"/>
      <c r="L631" s="284"/>
      <c r="M631" s="284"/>
      <c r="N631" s="288"/>
      <c r="O631" s="288"/>
      <c r="P631" s="288"/>
      <c r="Q631" s="284"/>
      <c r="R631" s="284"/>
      <c r="S631" s="285"/>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row>
    <row r="632">
      <c r="A632" s="285"/>
      <c r="B632" s="285"/>
      <c r="C632" s="284"/>
      <c r="D632" s="284"/>
      <c r="E632" s="284"/>
      <c r="F632" s="284"/>
      <c r="G632" s="284"/>
      <c r="H632" s="284"/>
      <c r="I632" s="285"/>
      <c r="J632" s="284"/>
      <c r="K632" s="284"/>
      <c r="L632" s="284"/>
      <c r="M632" s="284"/>
      <c r="N632" s="288"/>
      <c r="O632" s="288"/>
      <c r="P632" s="288"/>
      <c r="Q632" s="284"/>
      <c r="R632" s="284"/>
      <c r="S632" s="285"/>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row>
    <row r="633">
      <c r="A633" s="285"/>
      <c r="B633" s="285"/>
      <c r="C633" s="284"/>
      <c r="D633" s="284"/>
      <c r="E633" s="284"/>
      <c r="F633" s="284"/>
      <c r="G633" s="284"/>
      <c r="H633" s="284"/>
      <c r="I633" s="285"/>
      <c r="J633" s="284"/>
      <c r="K633" s="284"/>
      <c r="L633" s="284"/>
      <c r="M633" s="284"/>
      <c r="N633" s="288"/>
      <c r="O633" s="288"/>
      <c r="P633" s="288"/>
      <c r="Q633" s="284"/>
      <c r="R633" s="284"/>
      <c r="S633" s="285"/>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row>
    <row r="634">
      <c r="A634" s="285"/>
      <c r="B634" s="285"/>
      <c r="C634" s="284"/>
      <c r="D634" s="284"/>
      <c r="E634" s="284"/>
      <c r="F634" s="284"/>
      <c r="G634" s="284"/>
      <c r="H634" s="284"/>
      <c r="I634" s="285"/>
      <c r="J634" s="284"/>
      <c r="K634" s="284"/>
      <c r="L634" s="284"/>
      <c r="M634" s="284"/>
      <c r="N634" s="288"/>
      <c r="O634" s="288"/>
      <c r="P634" s="288"/>
      <c r="Q634" s="284"/>
      <c r="R634" s="284"/>
      <c r="S634" s="285"/>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row>
    <row r="635">
      <c r="A635" s="285"/>
      <c r="B635" s="285"/>
      <c r="C635" s="284"/>
      <c r="D635" s="284"/>
      <c r="E635" s="284"/>
      <c r="F635" s="284"/>
      <c r="G635" s="284"/>
      <c r="H635" s="284"/>
      <c r="I635" s="285"/>
      <c r="J635" s="284"/>
      <c r="K635" s="284"/>
      <c r="L635" s="284"/>
      <c r="M635" s="284"/>
      <c r="N635" s="288"/>
      <c r="O635" s="288"/>
      <c r="P635" s="288"/>
      <c r="Q635" s="284"/>
      <c r="R635" s="284"/>
      <c r="S635" s="285"/>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row>
    <row r="636">
      <c r="A636" s="285"/>
      <c r="B636" s="285"/>
      <c r="C636" s="284"/>
      <c r="D636" s="284"/>
      <c r="E636" s="284"/>
      <c r="F636" s="284"/>
      <c r="G636" s="284"/>
      <c r="H636" s="284"/>
      <c r="I636" s="285"/>
      <c r="J636" s="284"/>
      <c r="K636" s="284"/>
      <c r="L636" s="284"/>
      <c r="M636" s="284"/>
      <c r="N636" s="288"/>
      <c r="O636" s="288"/>
      <c r="P636" s="288"/>
      <c r="Q636" s="284"/>
      <c r="R636" s="284"/>
      <c r="S636" s="285"/>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row>
    <row r="637">
      <c r="A637" s="285"/>
      <c r="B637" s="285"/>
      <c r="C637" s="284"/>
      <c r="D637" s="284"/>
      <c r="E637" s="284"/>
      <c r="F637" s="284"/>
      <c r="G637" s="284"/>
      <c r="H637" s="284"/>
      <c r="I637" s="285"/>
      <c r="J637" s="284"/>
      <c r="K637" s="284"/>
      <c r="L637" s="284"/>
      <c r="M637" s="284"/>
      <c r="N637" s="288"/>
      <c r="O637" s="288"/>
      <c r="P637" s="288"/>
      <c r="Q637" s="284"/>
      <c r="R637" s="284"/>
      <c r="S637" s="285"/>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row>
    <row r="638">
      <c r="A638" s="285"/>
      <c r="B638" s="285"/>
      <c r="C638" s="284"/>
      <c r="D638" s="284"/>
      <c r="E638" s="284"/>
      <c r="F638" s="284"/>
      <c r="G638" s="284"/>
      <c r="H638" s="284"/>
      <c r="I638" s="285"/>
      <c r="J638" s="284"/>
      <c r="K638" s="284"/>
      <c r="L638" s="284"/>
      <c r="M638" s="284"/>
      <c r="N638" s="288"/>
      <c r="O638" s="288"/>
      <c r="P638" s="288"/>
      <c r="Q638" s="284"/>
      <c r="R638" s="284"/>
      <c r="S638" s="285"/>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row>
    <row r="639">
      <c r="A639" s="285"/>
      <c r="B639" s="285"/>
      <c r="C639" s="284"/>
      <c r="D639" s="284"/>
      <c r="E639" s="284"/>
      <c r="F639" s="284"/>
      <c r="G639" s="284"/>
      <c r="H639" s="284"/>
      <c r="I639" s="285"/>
      <c r="J639" s="284"/>
      <c r="K639" s="284"/>
      <c r="L639" s="284"/>
      <c r="M639" s="284"/>
      <c r="N639" s="288"/>
      <c r="O639" s="288"/>
      <c r="P639" s="288"/>
      <c r="Q639" s="284"/>
      <c r="R639" s="284"/>
      <c r="S639" s="285"/>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row>
    <row r="640">
      <c r="A640" s="285"/>
      <c r="B640" s="285"/>
      <c r="C640" s="284"/>
      <c r="D640" s="284"/>
      <c r="E640" s="284"/>
      <c r="F640" s="284"/>
      <c r="G640" s="284"/>
      <c r="H640" s="284"/>
      <c r="I640" s="285"/>
      <c r="J640" s="284"/>
      <c r="K640" s="284"/>
      <c r="L640" s="284"/>
      <c r="M640" s="284"/>
      <c r="N640" s="288"/>
      <c r="O640" s="288"/>
      <c r="P640" s="288"/>
      <c r="Q640" s="284"/>
      <c r="R640" s="284"/>
      <c r="S640" s="285"/>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row>
    <row r="641">
      <c r="A641" s="285"/>
      <c r="B641" s="285"/>
      <c r="C641" s="284"/>
      <c r="D641" s="284"/>
      <c r="E641" s="284"/>
      <c r="F641" s="284"/>
      <c r="G641" s="284"/>
      <c r="H641" s="284"/>
      <c r="I641" s="285"/>
      <c r="J641" s="284"/>
      <c r="K641" s="284"/>
      <c r="L641" s="284"/>
      <c r="M641" s="284"/>
      <c r="N641" s="288"/>
      <c r="O641" s="288"/>
      <c r="P641" s="288"/>
      <c r="Q641" s="284"/>
      <c r="R641" s="284"/>
      <c r="S641" s="285"/>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row>
    <row r="642">
      <c r="A642" s="285"/>
      <c r="B642" s="285"/>
      <c r="C642" s="284"/>
      <c r="D642" s="284"/>
      <c r="E642" s="284"/>
      <c r="F642" s="284"/>
      <c r="G642" s="284"/>
      <c r="H642" s="284"/>
      <c r="I642" s="285"/>
      <c r="J642" s="284"/>
      <c r="K642" s="284"/>
      <c r="L642" s="284"/>
      <c r="M642" s="284"/>
      <c r="N642" s="288"/>
      <c r="O642" s="288"/>
      <c r="P642" s="288"/>
      <c r="Q642" s="284"/>
      <c r="R642" s="284"/>
      <c r="S642" s="285"/>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row>
    <row r="643">
      <c r="A643" s="285"/>
      <c r="B643" s="285"/>
      <c r="C643" s="284"/>
      <c r="D643" s="284"/>
      <c r="E643" s="284"/>
      <c r="F643" s="284"/>
      <c r="G643" s="284"/>
      <c r="H643" s="284"/>
      <c r="I643" s="285"/>
      <c r="J643" s="284"/>
      <c r="K643" s="284"/>
      <c r="L643" s="284"/>
      <c r="M643" s="284"/>
      <c r="N643" s="288"/>
      <c r="O643" s="288"/>
      <c r="P643" s="288"/>
      <c r="Q643" s="284"/>
      <c r="R643" s="284"/>
      <c r="S643" s="285"/>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row>
    <row r="644">
      <c r="A644" s="285"/>
      <c r="B644" s="285"/>
      <c r="C644" s="284"/>
      <c r="D644" s="284"/>
      <c r="E644" s="284"/>
      <c r="F644" s="284"/>
      <c r="G644" s="284"/>
      <c r="H644" s="284"/>
      <c r="I644" s="285"/>
      <c r="J644" s="284"/>
      <c r="K644" s="284"/>
      <c r="L644" s="284"/>
      <c r="M644" s="284"/>
      <c r="N644" s="288"/>
      <c r="O644" s="288"/>
      <c r="P644" s="288"/>
      <c r="Q644" s="284"/>
      <c r="R644" s="284"/>
      <c r="S644" s="285"/>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row>
    <row r="645">
      <c r="A645" s="285"/>
      <c r="B645" s="285"/>
      <c r="C645" s="284"/>
      <c r="D645" s="284"/>
      <c r="E645" s="284"/>
      <c r="F645" s="284"/>
      <c r="G645" s="284"/>
      <c r="H645" s="284"/>
      <c r="I645" s="285"/>
      <c r="J645" s="284"/>
      <c r="K645" s="284"/>
      <c r="L645" s="284"/>
      <c r="M645" s="284"/>
      <c r="N645" s="288"/>
      <c r="O645" s="288"/>
      <c r="P645" s="288"/>
      <c r="Q645" s="284"/>
      <c r="R645" s="284"/>
      <c r="S645" s="285"/>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row>
    <row r="646">
      <c r="A646" s="285"/>
      <c r="B646" s="285"/>
      <c r="C646" s="284"/>
      <c r="D646" s="284"/>
      <c r="E646" s="284"/>
      <c r="F646" s="284"/>
      <c r="G646" s="284"/>
      <c r="H646" s="284"/>
      <c r="I646" s="285"/>
      <c r="J646" s="284"/>
      <c r="K646" s="284"/>
      <c r="L646" s="284"/>
      <c r="M646" s="284"/>
      <c r="N646" s="288"/>
      <c r="O646" s="288"/>
      <c r="P646" s="288"/>
      <c r="Q646" s="284"/>
      <c r="R646" s="284"/>
      <c r="S646" s="285"/>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row>
    <row r="647">
      <c r="A647" s="285"/>
      <c r="B647" s="285"/>
      <c r="C647" s="284"/>
      <c r="D647" s="284"/>
      <c r="E647" s="284"/>
      <c r="F647" s="284"/>
      <c r="G647" s="284"/>
      <c r="H647" s="284"/>
      <c r="I647" s="285"/>
      <c r="J647" s="284"/>
      <c r="K647" s="284"/>
      <c r="L647" s="284"/>
      <c r="M647" s="284"/>
      <c r="N647" s="288"/>
      <c r="O647" s="288"/>
      <c r="P647" s="288"/>
      <c r="Q647" s="284"/>
      <c r="R647" s="284"/>
      <c r="S647" s="285"/>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row>
    <row r="648">
      <c r="A648" s="285"/>
      <c r="B648" s="285"/>
      <c r="C648" s="284"/>
      <c r="D648" s="284"/>
      <c r="E648" s="284"/>
      <c r="F648" s="284"/>
      <c r="G648" s="284"/>
      <c r="H648" s="284"/>
      <c r="I648" s="285"/>
      <c r="J648" s="284"/>
      <c r="K648" s="284"/>
      <c r="L648" s="284"/>
      <c r="M648" s="284"/>
      <c r="N648" s="288"/>
      <c r="O648" s="288"/>
      <c r="P648" s="288"/>
      <c r="Q648" s="284"/>
      <c r="R648" s="284"/>
      <c r="S648" s="285"/>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row>
    <row r="649">
      <c r="A649" s="285"/>
      <c r="B649" s="285"/>
      <c r="C649" s="284"/>
      <c r="D649" s="284"/>
      <c r="E649" s="284"/>
      <c r="F649" s="284"/>
      <c r="G649" s="284"/>
      <c r="H649" s="284"/>
      <c r="I649" s="285"/>
      <c r="J649" s="284"/>
      <c r="K649" s="284"/>
      <c r="L649" s="284"/>
      <c r="M649" s="284"/>
      <c r="N649" s="288"/>
      <c r="O649" s="288"/>
      <c r="P649" s="288"/>
      <c r="Q649" s="284"/>
      <c r="R649" s="284"/>
      <c r="S649" s="285"/>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row>
    <row r="650">
      <c r="A650" s="285"/>
      <c r="B650" s="285"/>
      <c r="C650" s="284"/>
      <c r="D650" s="284"/>
      <c r="E650" s="284"/>
      <c r="F650" s="284"/>
      <c r="G650" s="284"/>
      <c r="H650" s="284"/>
      <c r="I650" s="285"/>
      <c r="J650" s="284"/>
      <c r="K650" s="284"/>
      <c r="L650" s="284"/>
      <c r="M650" s="284"/>
      <c r="N650" s="288"/>
      <c r="O650" s="288"/>
      <c r="P650" s="288"/>
      <c r="Q650" s="284"/>
      <c r="R650" s="284"/>
      <c r="S650" s="285"/>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row>
    <row r="651">
      <c r="A651" s="285"/>
      <c r="B651" s="285"/>
      <c r="C651" s="284"/>
      <c r="D651" s="284"/>
      <c r="E651" s="284"/>
      <c r="F651" s="284"/>
      <c r="G651" s="284"/>
      <c r="H651" s="284"/>
      <c r="I651" s="285"/>
      <c r="J651" s="284"/>
      <c r="K651" s="284"/>
      <c r="L651" s="284"/>
      <c r="M651" s="284"/>
      <c r="N651" s="288"/>
      <c r="O651" s="288"/>
      <c r="P651" s="288"/>
      <c r="Q651" s="284"/>
      <c r="R651" s="284"/>
      <c r="S651" s="285"/>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row>
    <row r="652">
      <c r="A652" s="285"/>
      <c r="B652" s="285"/>
      <c r="C652" s="284"/>
      <c r="D652" s="284"/>
      <c r="E652" s="284"/>
      <c r="F652" s="284"/>
      <c r="G652" s="284"/>
      <c r="H652" s="284"/>
      <c r="I652" s="285"/>
      <c r="J652" s="284"/>
      <c r="K652" s="284"/>
      <c r="L652" s="284"/>
      <c r="M652" s="284"/>
      <c r="N652" s="288"/>
      <c r="O652" s="288"/>
      <c r="P652" s="288"/>
      <c r="Q652" s="284"/>
      <c r="R652" s="284"/>
      <c r="S652" s="285"/>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row>
    <row r="653">
      <c r="A653" s="285"/>
      <c r="B653" s="285"/>
      <c r="C653" s="284"/>
      <c r="D653" s="284"/>
      <c r="E653" s="284"/>
      <c r="F653" s="284"/>
      <c r="G653" s="284"/>
      <c r="H653" s="284"/>
      <c r="I653" s="285"/>
      <c r="J653" s="284"/>
      <c r="K653" s="284"/>
      <c r="L653" s="284"/>
      <c r="M653" s="284"/>
      <c r="N653" s="288"/>
      <c r="O653" s="288"/>
      <c r="P653" s="288"/>
      <c r="Q653" s="284"/>
      <c r="R653" s="284"/>
      <c r="S653" s="285"/>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row>
    <row r="654">
      <c r="A654" s="285"/>
      <c r="B654" s="285"/>
      <c r="C654" s="284"/>
      <c r="D654" s="284"/>
      <c r="E654" s="284"/>
      <c r="F654" s="284"/>
      <c r="G654" s="284"/>
      <c r="H654" s="284"/>
      <c r="I654" s="285"/>
      <c r="J654" s="284"/>
      <c r="K654" s="284"/>
      <c r="L654" s="284"/>
      <c r="M654" s="284"/>
      <c r="N654" s="288"/>
      <c r="O654" s="288"/>
      <c r="P654" s="288"/>
      <c r="Q654" s="284"/>
      <c r="R654" s="284"/>
      <c r="S654" s="285"/>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row>
    <row r="655">
      <c r="A655" s="285"/>
      <c r="B655" s="285"/>
      <c r="C655" s="284"/>
      <c r="D655" s="284"/>
      <c r="E655" s="284"/>
      <c r="F655" s="284"/>
      <c r="G655" s="284"/>
      <c r="H655" s="284"/>
      <c r="I655" s="285"/>
      <c r="J655" s="284"/>
      <c r="K655" s="284"/>
      <c r="L655" s="284"/>
      <c r="M655" s="284"/>
      <c r="N655" s="288"/>
      <c r="O655" s="288"/>
      <c r="P655" s="288"/>
      <c r="Q655" s="284"/>
      <c r="R655" s="284"/>
      <c r="S655" s="285"/>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row>
    <row r="656">
      <c r="A656" s="285"/>
      <c r="B656" s="285"/>
      <c r="C656" s="284"/>
      <c r="D656" s="284"/>
      <c r="E656" s="284"/>
      <c r="F656" s="284"/>
      <c r="G656" s="284"/>
      <c r="H656" s="284"/>
      <c r="I656" s="285"/>
      <c r="J656" s="284"/>
      <c r="K656" s="284"/>
      <c r="L656" s="284"/>
      <c r="M656" s="284"/>
      <c r="N656" s="288"/>
      <c r="O656" s="288"/>
      <c r="P656" s="288"/>
      <c r="Q656" s="284"/>
      <c r="R656" s="284"/>
      <c r="S656" s="285"/>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row>
    <row r="657">
      <c r="A657" s="285"/>
      <c r="B657" s="285"/>
      <c r="C657" s="284"/>
      <c r="D657" s="284"/>
      <c r="E657" s="284"/>
      <c r="F657" s="284"/>
      <c r="G657" s="284"/>
      <c r="H657" s="284"/>
      <c r="I657" s="285"/>
      <c r="J657" s="284"/>
      <c r="K657" s="284"/>
      <c r="L657" s="284"/>
      <c r="M657" s="284"/>
      <c r="N657" s="288"/>
      <c r="O657" s="288"/>
      <c r="P657" s="288"/>
      <c r="Q657" s="284"/>
      <c r="R657" s="284"/>
      <c r="S657" s="285"/>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row>
    <row r="658">
      <c r="A658" s="285"/>
      <c r="B658" s="285"/>
      <c r="C658" s="284"/>
      <c r="D658" s="284"/>
      <c r="E658" s="284"/>
      <c r="F658" s="284"/>
      <c r="G658" s="284"/>
      <c r="H658" s="284"/>
      <c r="I658" s="285"/>
      <c r="J658" s="284"/>
      <c r="K658" s="284"/>
      <c r="L658" s="284"/>
      <c r="M658" s="284"/>
      <c r="N658" s="288"/>
      <c r="O658" s="288"/>
      <c r="P658" s="288"/>
      <c r="Q658" s="284"/>
      <c r="R658" s="284"/>
      <c r="S658" s="285"/>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row>
    <row r="659">
      <c r="A659" s="285"/>
      <c r="B659" s="285"/>
      <c r="C659" s="284"/>
      <c r="D659" s="284"/>
      <c r="E659" s="284"/>
      <c r="F659" s="284"/>
      <c r="G659" s="284"/>
      <c r="H659" s="284"/>
      <c r="I659" s="285"/>
      <c r="J659" s="284"/>
      <c r="K659" s="284"/>
      <c r="L659" s="284"/>
      <c r="M659" s="284"/>
      <c r="N659" s="288"/>
      <c r="O659" s="288"/>
      <c r="P659" s="288"/>
      <c r="Q659" s="284"/>
      <c r="R659" s="284"/>
      <c r="S659" s="285"/>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row>
    <row r="660">
      <c r="A660" s="285"/>
      <c r="B660" s="285"/>
      <c r="C660" s="284"/>
      <c r="D660" s="284"/>
      <c r="E660" s="284"/>
      <c r="F660" s="284"/>
      <c r="G660" s="284"/>
      <c r="H660" s="284"/>
      <c r="I660" s="285"/>
      <c r="J660" s="284"/>
      <c r="K660" s="284"/>
      <c r="L660" s="284"/>
      <c r="M660" s="284"/>
      <c r="N660" s="288"/>
      <c r="O660" s="288"/>
      <c r="P660" s="288"/>
      <c r="Q660" s="284"/>
      <c r="R660" s="284"/>
      <c r="S660" s="285"/>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row>
    <row r="661">
      <c r="A661" s="285"/>
      <c r="B661" s="285"/>
      <c r="C661" s="284"/>
      <c r="D661" s="284"/>
      <c r="E661" s="284"/>
      <c r="F661" s="284"/>
      <c r="G661" s="284"/>
      <c r="H661" s="284"/>
      <c r="I661" s="285"/>
      <c r="J661" s="284"/>
      <c r="K661" s="284"/>
      <c r="L661" s="284"/>
      <c r="M661" s="284"/>
      <c r="N661" s="288"/>
      <c r="O661" s="288"/>
      <c r="P661" s="288"/>
      <c r="Q661" s="284"/>
      <c r="R661" s="284"/>
      <c r="S661" s="285"/>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row>
    <row r="662">
      <c r="A662" s="285"/>
      <c r="B662" s="285"/>
      <c r="C662" s="284"/>
      <c r="D662" s="284"/>
      <c r="E662" s="284"/>
      <c r="F662" s="284"/>
      <c r="G662" s="284"/>
      <c r="H662" s="284"/>
      <c r="I662" s="285"/>
      <c r="J662" s="284"/>
      <c r="K662" s="284"/>
      <c r="L662" s="284"/>
      <c r="M662" s="284"/>
      <c r="N662" s="288"/>
      <c r="O662" s="288"/>
      <c r="P662" s="288"/>
      <c r="Q662" s="284"/>
      <c r="R662" s="284"/>
      <c r="S662" s="285"/>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row>
    <row r="663">
      <c r="A663" s="285"/>
      <c r="B663" s="285"/>
      <c r="C663" s="284"/>
      <c r="D663" s="284"/>
      <c r="E663" s="284"/>
      <c r="F663" s="284"/>
      <c r="G663" s="284"/>
      <c r="H663" s="284"/>
      <c r="I663" s="285"/>
      <c r="J663" s="284"/>
      <c r="K663" s="284"/>
      <c r="L663" s="284"/>
      <c r="M663" s="284"/>
      <c r="N663" s="288"/>
      <c r="O663" s="288"/>
      <c r="P663" s="288"/>
      <c r="Q663" s="284"/>
      <c r="R663" s="284"/>
      <c r="S663" s="285"/>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row>
    <row r="664">
      <c r="A664" s="285"/>
      <c r="B664" s="285"/>
      <c r="C664" s="284"/>
      <c r="D664" s="284"/>
      <c r="E664" s="284"/>
      <c r="F664" s="284"/>
      <c r="G664" s="284"/>
      <c r="H664" s="284"/>
      <c r="I664" s="285"/>
      <c r="J664" s="284"/>
      <c r="K664" s="284"/>
      <c r="L664" s="284"/>
      <c r="M664" s="284"/>
      <c r="N664" s="288"/>
      <c r="O664" s="288"/>
      <c r="P664" s="288"/>
      <c r="Q664" s="284"/>
      <c r="R664" s="284"/>
      <c r="S664" s="285"/>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row>
    <row r="665">
      <c r="A665" s="285"/>
      <c r="B665" s="285"/>
      <c r="C665" s="284"/>
      <c r="D665" s="284"/>
      <c r="E665" s="284"/>
      <c r="F665" s="284"/>
      <c r="G665" s="284"/>
      <c r="H665" s="284"/>
      <c r="I665" s="285"/>
      <c r="J665" s="284"/>
      <c r="K665" s="284"/>
      <c r="L665" s="284"/>
      <c r="M665" s="284"/>
      <c r="N665" s="288"/>
      <c r="O665" s="288"/>
      <c r="P665" s="288"/>
      <c r="Q665" s="284"/>
      <c r="R665" s="284"/>
      <c r="S665" s="285"/>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row>
    <row r="666">
      <c r="A666" s="285"/>
      <c r="B666" s="285"/>
      <c r="C666" s="284"/>
      <c r="D666" s="284"/>
      <c r="E666" s="284"/>
      <c r="F666" s="284"/>
      <c r="G666" s="284"/>
      <c r="H666" s="284"/>
      <c r="I666" s="285"/>
      <c r="J666" s="284"/>
      <c r="K666" s="284"/>
      <c r="L666" s="284"/>
      <c r="M666" s="284"/>
      <c r="N666" s="288"/>
      <c r="O666" s="288"/>
      <c r="P666" s="288"/>
      <c r="Q666" s="284"/>
      <c r="R666" s="284"/>
      <c r="S666" s="285"/>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row>
    <row r="667">
      <c r="A667" s="285"/>
      <c r="B667" s="285"/>
      <c r="C667" s="284"/>
      <c r="D667" s="284"/>
      <c r="E667" s="284"/>
      <c r="F667" s="284"/>
      <c r="G667" s="284"/>
      <c r="H667" s="284"/>
      <c r="I667" s="285"/>
      <c r="J667" s="284"/>
      <c r="K667" s="284"/>
      <c r="L667" s="284"/>
      <c r="M667" s="284"/>
      <c r="N667" s="288"/>
      <c r="O667" s="288"/>
      <c r="P667" s="288"/>
      <c r="Q667" s="284"/>
      <c r="R667" s="284"/>
      <c r="S667" s="285"/>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row>
    <row r="668">
      <c r="A668" s="285"/>
      <c r="B668" s="285"/>
      <c r="C668" s="284"/>
      <c r="D668" s="284"/>
      <c r="E668" s="284"/>
      <c r="F668" s="284"/>
      <c r="G668" s="284"/>
      <c r="H668" s="284"/>
      <c r="I668" s="285"/>
      <c r="J668" s="284"/>
      <c r="K668" s="284"/>
      <c r="L668" s="284"/>
      <c r="M668" s="284"/>
      <c r="N668" s="288"/>
      <c r="O668" s="288"/>
      <c r="P668" s="288"/>
      <c r="Q668" s="284"/>
      <c r="R668" s="284"/>
      <c r="S668" s="285"/>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row>
    <row r="669">
      <c r="A669" s="285"/>
      <c r="B669" s="285"/>
      <c r="C669" s="284"/>
      <c r="D669" s="284"/>
      <c r="E669" s="284"/>
      <c r="F669" s="284"/>
      <c r="G669" s="284"/>
      <c r="H669" s="284"/>
      <c r="I669" s="285"/>
      <c r="J669" s="284"/>
      <c r="K669" s="284"/>
      <c r="L669" s="284"/>
      <c r="M669" s="284"/>
      <c r="N669" s="288"/>
      <c r="O669" s="288"/>
      <c r="P669" s="288"/>
      <c r="Q669" s="284"/>
      <c r="R669" s="284"/>
      <c r="S669" s="285"/>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row>
    <row r="670">
      <c r="A670" s="285"/>
      <c r="B670" s="285"/>
      <c r="C670" s="284"/>
      <c r="D670" s="284"/>
      <c r="E670" s="284"/>
      <c r="F670" s="284"/>
      <c r="G670" s="284"/>
      <c r="H670" s="284"/>
      <c r="I670" s="285"/>
      <c r="J670" s="284"/>
      <c r="K670" s="284"/>
      <c r="L670" s="284"/>
      <c r="M670" s="284"/>
      <c r="N670" s="288"/>
      <c r="O670" s="288"/>
      <c r="P670" s="288"/>
      <c r="Q670" s="284"/>
      <c r="R670" s="284"/>
      <c r="S670" s="285"/>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row>
    <row r="671">
      <c r="A671" s="285"/>
      <c r="B671" s="285"/>
      <c r="C671" s="284"/>
      <c r="D671" s="284"/>
      <c r="E671" s="284"/>
      <c r="F671" s="284"/>
      <c r="G671" s="284"/>
      <c r="H671" s="284"/>
      <c r="I671" s="285"/>
      <c r="J671" s="284"/>
      <c r="K671" s="284"/>
      <c r="L671" s="284"/>
      <c r="M671" s="284"/>
      <c r="N671" s="288"/>
      <c r="O671" s="288"/>
      <c r="P671" s="288"/>
      <c r="Q671" s="284"/>
      <c r="R671" s="284"/>
      <c r="S671" s="285"/>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row>
    <row r="672">
      <c r="A672" s="285"/>
      <c r="B672" s="285"/>
      <c r="C672" s="284"/>
      <c r="D672" s="284"/>
      <c r="E672" s="284"/>
      <c r="F672" s="284"/>
      <c r="G672" s="284"/>
      <c r="H672" s="284"/>
      <c r="I672" s="285"/>
      <c r="J672" s="284"/>
      <c r="K672" s="284"/>
      <c r="L672" s="284"/>
      <c r="M672" s="284"/>
      <c r="N672" s="288"/>
      <c r="O672" s="288"/>
      <c r="P672" s="288"/>
      <c r="Q672" s="284"/>
      <c r="R672" s="284"/>
      <c r="S672" s="285"/>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row>
    <row r="673">
      <c r="A673" s="285"/>
      <c r="B673" s="285"/>
      <c r="C673" s="284"/>
      <c r="D673" s="284"/>
      <c r="E673" s="284"/>
      <c r="F673" s="284"/>
      <c r="G673" s="284"/>
      <c r="H673" s="284"/>
      <c r="I673" s="285"/>
      <c r="J673" s="284"/>
      <c r="K673" s="284"/>
      <c r="L673" s="284"/>
      <c r="M673" s="284"/>
      <c r="N673" s="288"/>
      <c r="O673" s="288"/>
      <c r="P673" s="288"/>
      <c r="Q673" s="284"/>
      <c r="R673" s="284"/>
      <c r="S673" s="285"/>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row>
    <row r="674">
      <c r="A674" s="285"/>
      <c r="B674" s="285"/>
      <c r="C674" s="284"/>
      <c r="D674" s="284"/>
      <c r="E674" s="284"/>
      <c r="F674" s="284"/>
      <c r="G674" s="284"/>
      <c r="H674" s="284"/>
      <c r="I674" s="285"/>
      <c r="J674" s="284"/>
      <c r="K674" s="284"/>
      <c r="L674" s="284"/>
      <c r="M674" s="284"/>
      <c r="N674" s="288"/>
      <c r="O674" s="288"/>
      <c r="P674" s="288"/>
      <c r="Q674" s="284"/>
      <c r="R674" s="284"/>
      <c r="S674" s="285"/>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row>
    <row r="675">
      <c r="A675" s="285"/>
      <c r="B675" s="285"/>
      <c r="C675" s="284"/>
      <c r="D675" s="284"/>
      <c r="E675" s="284"/>
      <c r="F675" s="284"/>
      <c r="G675" s="284"/>
      <c r="H675" s="284"/>
      <c r="I675" s="285"/>
      <c r="J675" s="284"/>
      <c r="K675" s="284"/>
      <c r="L675" s="284"/>
      <c r="M675" s="284"/>
      <c r="N675" s="288"/>
      <c r="O675" s="288"/>
      <c r="P675" s="288"/>
      <c r="Q675" s="284"/>
      <c r="R675" s="284"/>
      <c r="S675" s="285"/>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row>
    <row r="676">
      <c r="A676" s="285"/>
      <c r="B676" s="285"/>
      <c r="C676" s="284"/>
      <c r="D676" s="284"/>
      <c r="E676" s="284"/>
      <c r="F676" s="284"/>
      <c r="G676" s="284"/>
      <c r="H676" s="284"/>
      <c r="I676" s="285"/>
      <c r="J676" s="284"/>
      <c r="K676" s="284"/>
      <c r="L676" s="284"/>
      <c r="M676" s="284"/>
      <c r="N676" s="288"/>
      <c r="O676" s="288"/>
      <c r="P676" s="288"/>
      <c r="Q676" s="284"/>
      <c r="R676" s="284"/>
      <c r="S676" s="285"/>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row>
    <row r="677">
      <c r="A677" s="285"/>
      <c r="B677" s="285"/>
      <c r="C677" s="284"/>
      <c r="D677" s="284"/>
      <c r="E677" s="284"/>
      <c r="F677" s="284"/>
      <c r="G677" s="284"/>
      <c r="H677" s="284"/>
      <c r="I677" s="285"/>
      <c r="J677" s="284"/>
      <c r="K677" s="284"/>
      <c r="L677" s="284"/>
      <c r="M677" s="284"/>
      <c r="N677" s="288"/>
      <c r="O677" s="288"/>
      <c r="P677" s="288"/>
      <c r="Q677" s="284"/>
      <c r="R677" s="284"/>
      <c r="S677" s="285"/>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row>
    <row r="678">
      <c r="A678" s="285"/>
      <c r="B678" s="285"/>
      <c r="C678" s="284"/>
      <c r="D678" s="284"/>
      <c r="E678" s="284"/>
      <c r="F678" s="284"/>
      <c r="G678" s="284"/>
      <c r="H678" s="284"/>
      <c r="I678" s="285"/>
      <c r="J678" s="284"/>
      <c r="K678" s="284"/>
      <c r="L678" s="284"/>
      <c r="M678" s="284"/>
      <c r="N678" s="288"/>
      <c r="O678" s="288"/>
      <c r="P678" s="288"/>
      <c r="Q678" s="284"/>
      <c r="R678" s="284"/>
      <c r="S678" s="285"/>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row>
    <row r="679">
      <c r="A679" s="285"/>
      <c r="B679" s="285"/>
      <c r="C679" s="284"/>
      <c r="D679" s="284"/>
      <c r="E679" s="284"/>
      <c r="F679" s="284"/>
      <c r="G679" s="284"/>
      <c r="H679" s="284"/>
      <c r="I679" s="285"/>
      <c r="J679" s="284"/>
      <c r="K679" s="284"/>
      <c r="L679" s="284"/>
      <c r="M679" s="284"/>
      <c r="N679" s="288"/>
      <c r="O679" s="288"/>
      <c r="P679" s="288"/>
      <c r="Q679" s="284"/>
      <c r="R679" s="284"/>
      <c r="S679" s="285"/>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row>
    <row r="680">
      <c r="A680" s="285"/>
      <c r="B680" s="285"/>
      <c r="C680" s="284"/>
      <c r="D680" s="284"/>
      <c r="E680" s="284"/>
      <c r="F680" s="284"/>
      <c r="G680" s="284"/>
      <c r="H680" s="284"/>
      <c r="I680" s="285"/>
      <c r="J680" s="284"/>
      <c r="K680" s="284"/>
      <c r="L680" s="284"/>
      <c r="M680" s="284"/>
      <c r="N680" s="288"/>
      <c r="O680" s="288"/>
      <c r="P680" s="288"/>
      <c r="Q680" s="284"/>
      <c r="R680" s="284"/>
      <c r="S680" s="285"/>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row>
    <row r="681">
      <c r="A681" s="285"/>
      <c r="B681" s="285"/>
      <c r="C681" s="284"/>
      <c r="D681" s="284"/>
      <c r="E681" s="284"/>
      <c r="F681" s="284"/>
      <c r="G681" s="284"/>
      <c r="H681" s="284"/>
      <c r="I681" s="285"/>
      <c r="J681" s="284"/>
      <c r="K681" s="284"/>
      <c r="L681" s="284"/>
      <c r="M681" s="284"/>
      <c r="N681" s="288"/>
      <c r="O681" s="288"/>
      <c r="P681" s="288"/>
      <c r="Q681" s="284"/>
      <c r="R681" s="284"/>
      <c r="S681" s="285"/>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row>
    <row r="682">
      <c r="A682" s="285"/>
      <c r="B682" s="285"/>
      <c r="C682" s="284"/>
      <c r="D682" s="284"/>
      <c r="E682" s="284"/>
      <c r="F682" s="284"/>
      <c r="G682" s="284"/>
      <c r="H682" s="284"/>
      <c r="I682" s="285"/>
      <c r="J682" s="284"/>
      <c r="K682" s="284"/>
      <c r="L682" s="284"/>
      <c r="M682" s="284"/>
      <c r="N682" s="288"/>
      <c r="O682" s="288"/>
      <c r="P682" s="288"/>
      <c r="Q682" s="284"/>
      <c r="R682" s="284"/>
      <c r="S682" s="285"/>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row>
    <row r="683">
      <c r="A683" s="285"/>
      <c r="B683" s="285"/>
      <c r="C683" s="284"/>
      <c r="D683" s="284"/>
      <c r="E683" s="284"/>
      <c r="F683" s="284"/>
      <c r="G683" s="284"/>
      <c r="H683" s="284"/>
      <c r="I683" s="285"/>
      <c r="J683" s="284"/>
      <c r="K683" s="284"/>
      <c r="L683" s="284"/>
      <c r="M683" s="284"/>
      <c r="N683" s="288"/>
      <c r="O683" s="288"/>
      <c r="P683" s="288"/>
      <c r="Q683" s="284"/>
      <c r="R683" s="284"/>
      <c r="S683" s="285"/>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row>
    <row r="684">
      <c r="A684" s="285"/>
      <c r="B684" s="285"/>
      <c r="C684" s="284"/>
      <c r="D684" s="284"/>
      <c r="E684" s="284"/>
      <c r="F684" s="284"/>
      <c r="G684" s="284"/>
      <c r="H684" s="284"/>
      <c r="I684" s="285"/>
      <c r="J684" s="284"/>
      <c r="K684" s="284"/>
      <c r="L684" s="284"/>
      <c r="M684" s="284"/>
      <c r="N684" s="288"/>
      <c r="O684" s="288"/>
      <c r="P684" s="288"/>
      <c r="Q684" s="284"/>
      <c r="R684" s="284"/>
      <c r="S684" s="285"/>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row>
    <row r="685">
      <c r="A685" s="285"/>
      <c r="B685" s="285"/>
      <c r="C685" s="284"/>
      <c r="D685" s="284"/>
      <c r="E685" s="284"/>
      <c r="F685" s="284"/>
      <c r="G685" s="284"/>
      <c r="H685" s="284"/>
      <c r="I685" s="285"/>
      <c r="J685" s="284"/>
      <c r="K685" s="284"/>
      <c r="L685" s="284"/>
      <c r="M685" s="284"/>
      <c r="N685" s="288"/>
      <c r="O685" s="288"/>
      <c r="P685" s="288"/>
      <c r="Q685" s="284"/>
      <c r="R685" s="284"/>
      <c r="S685" s="285"/>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row>
    <row r="686">
      <c r="A686" s="285"/>
      <c r="B686" s="285"/>
      <c r="C686" s="284"/>
      <c r="D686" s="284"/>
      <c r="E686" s="284"/>
      <c r="F686" s="284"/>
      <c r="G686" s="284"/>
      <c r="H686" s="284"/>
      <c r="I686" s="285"/>
      <c r="J686" s="284"/>
      <c r="K686" s="284"/>
      <c r="L686" s="284"/>
      <c r="M686" s="284"/>
      <c r="N686" s="288"/>
      <c r="O686" s="288"/>
      <c r="P686" s="288"/>
      <c r="Q686" s="284"/>
      <c r="R686" s="284"/>
      <c r="S686" s="285"/>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row>
    <row r="687">
      <c r="A687" s="285"/>
      <c r="B687" s="285"/>
      <c r="C687" s="284"/>
      <c r="D687" s="284"/>
      <c r="E687" s="284"/>
      <c r="F687" s="284"/>
      <c r="G687" s="284"/>
      <c r="H687" s="284"/>
      <c r="I687" s="285"/>
      <c r="J687" s="284"/>
      <c r="K687" s="284"/>
      <c r="L687" s="284"/>
      <c r="M687" s="284"/>
      <c r="N687" s="288"/>
      <c r="O687" s="288"/>
      <c r="P687" s="288"/>
      <c r="Q687" s="284"/>
      <c r="R687" s="284"/>
      <c r="S687" s="285"/>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row>
    <row r="688">
      <c r="A688" s="285"/>
      <c r="B688" s="285"/>
      <c r="C688" s="284"/>
      <c r="D688" s="284"/>
      <c r="E688" s="284"/>
      <c r="F688" s="284"/>
      <c r="G688" s="284"/>
      <c r="H688" s="284"/>
      <c r="I688" s="285"/>
      <c r="J688" s="284"/>
      <c r="K688" s="284"/>
      <c r="L688" s="284"/>
      <c r="M688" s="284"/>
      <c r="N688" s="288"/>
      <c r="O688" s="288"/>
      <c r="P688" s="288"/>
      <c r="Q688" s="284"/>
      <c r="R688" s="284"/>
      <c r="S688" s="285"/>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row>
    <row r="689">
      <c r="A689" s="285"/>
      <c r="B689" s="285"/>
      <c r="C689" s="284"/>
      <c r="D689" s="284"/>
      <c r="E689" s="284"/>
      <c r="F689" s="284"/>
      <c r="G689" s="284"/>
      <c r="H689" s="284"/>
      <c r="I689" s="285"/>
      <c r="J689" s="284"/>
      <c r="K689" s="284"/>
      <c r="L689" s="284"/>
      <c r="M689" s="284"/>
      <c r="N689" s="288"/>
      <c r="O689" s="288"/>
      <c r="P689" s="288"/>
      <c r="Q689" s="284"/>
      <c r="R689" s="284"/>
      <c r="S689" s="285"/>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row>
    <row r="690">
      <c r="A690" s="285"/>
      <c r="B690" s="285"/>
      <c r="C690" s="284"/>
      <c r="D690" s="284"/>
      <c r="E690" s="284"/>
      <c r="F690" s="284"/>
      <c r="G690" s="284"/>
      <c r="H690" s="284"/>
      <c r="I690" s="285"/>
      <c r="J690" s="284"/>
      <c r="K690" s="284"/>
      <c r="L690" s="284"/>
      <c r="M690" s="284"/>
      <c r="N690" s="288"/>
      <c r="O690" s="288"/>
      <c r="P690" s="288"/>
      <c r="Q690" s="284"/>
      <c r="R690" s="284"/>
      <c r="S690" s="285"/>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row>
    <row r="691">
      <c r="A691" s="285"/>
      <c r="B691" s="285"/>
      <c r="C691" s="284"/>
      <c r="D691" s="284"/>
      <c r="E691" s="284"/>
      <c r="F691" s="284"/>
      <c r="G691" s="284"/>
      <c r="H691" s="284"/>
      <c r="I691" s="285"/>
      <c r="J691" s="284"/>
      <c r="K691" s="284"/>
      <c r="L691" s="284"/>
      <c r="M691" s="284"/>
      <c r="N691" s="288"/>
      <c r="O691" s="288"/>
      <c r="P691" s="288"/>
      <c r="Q691" s="284"/>
      <c r="R691" s="284"/>
      <c r="S691" s="285"/>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row>
    <row r="692">
      <c r="A692" s="285"/>
      <c r="B692" s="285"/>
      <c r="C692" s="284"/>
      <c r="D692" s="284"/>
      <c r="E692" s="284"/>
      <c r="F692" s="284"/>
      <c r="G692" s="284"/>
      <c r="H692" s="284"/>
      <c r="I692" s="285"/>
      <c r="J692" s="284"/>
      <c r="K692" s="284"/>
      <c r="L692" s="284"/>
      <c r="M692" s="284"/>
      <c r="N692" s="288"/>
      <c r="O692" s="288"/>
      <c r="P692" s="288"/>
      <c r="Q692" s="284"/>
      <c r="R692" s="284"/>
      <c r="S692" s="285"/>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row>
    <row r="693">
      <c r="A693" s="285"/>
      <c r="B693" s="285"/>
      <c r="C693" s="284"/>
      <c r="D693" s="284"/>
      <c r="E693" s="284"/>
      <c r="F693" s="284"/>
      <c r="G693" s="284"/>
      <c r="H693" s="284"/>
      <c r="I693" s="285"/>
      <c r="J693" s="284"/>
      <c r="K693" s="284"/>
      <c r="L693" s="284"/>
      <c r="M693" s="284"/>
      <c r="N693" s="288"/>
      <c r="O693" s="288"/>
      <c r="P693" s="288"/>
      <c r="Q693" s="284"/>
      <c r="R693" s="284"/>
      <c r="S693" s="285"/>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row>
    <row r="694">
      <c r="A694" s="285"/>
      <c r="B694" s="285"/>
      <c r="C694" s="284"/>
      <c r="D694" s="284"/>
      <c r="E694" s="284"/>
      <c r="F694" s="284"/>
      <c r="G694" s="284"/>
      <c r="H694" s="284"/>
      <c r="I694" s="285"/>
      <c r="J694" s="284"/>
      <c r="K694" s="284"/>
      <c r="L694" s="284"/>
      <c r="M694" s="284"/>
      <c r="N694" s="288"/>
      <c r="O694" s="288"/>
      <c r="P694" s="288"/>
      <c r="Q694" s="284"/>
      <c r="R694" s="284"/>
      <c r="S694" s="285"/>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row>
    <row r="695">
      <c r="A695" s="285"/>
      <c r="B695" s="285"/>
      <c r="C695" s="284"/>
      <c r="D695" s="284"/>
      <c r="E695" s="284"/>
      <c r="F695" s="284"/>
      <c r="G695" s="284"/>
      <c r="H695" s="284"/>
      <c r="I695" s="285"/>
      <c r="J695" s="284"/>
      <c r="K695" s="284"/>
      <c r="L695" s="284"/>
      <c r="M695" s="284"/>
      <c r="N695" s="288"/>
      <c r="O695" s="288"/>
      <c r="P695" s="288"/>
      <c r="Q695" s="284"/>
      <c r="R695" s="284"/>
      <c r="S695" s="285"/>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row>
    <row r="696">
      <c r="A696" s="285"/>
      <c r="B696" s="285"/>
      <c r="C696" s="284"/>
      <c r="D696" s="284"/>
      <c r="E696" s="284"/>
      <c r="F696" s="284"/>
      <c r="G696" s="284"/>
      <c r="H696" s="284"/>
      <c r="I696" s="285"/>
      <c r="J696" s="284"/>
      <c r="K696" s="284"/>
      <c r="L696" s="284"/>
      <c r="M696" s="284"/>
      <c r="N696" s="288"/>
      <c r="O696" s="288"/>
      <c r="P696" s="288"/>
      <c r="Q696" s="284"/>
      <c r="R696" s="284"/>
      <c r="S696" s="285"/>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row>
    <row r="697">
      <c r="A697" s="285"/>
      <c r="B697" s="285"/>
      <c r="C697" s="284"/>
      <c r="D697" s="284"/>
      <c r="E697" s="284"/>
      <c r="F697" s="284"/>
      <c r="G697" s="284"/>
      <c r="H697" s="284"/>
      <c r="I697" s="285"/>
      <c r="J697" s="284"/>
      <c r="K697" s="284"/>
      <c r="L697" s="284"/>
      <c r="M697" s="284"/>
      <c r="N697" s="288"/>
      <c r="O697" s="288"/>
      <c r="P697" s="288"/>
      <c r="Q697" s="284"/>
      <c r="R697" s="284"/>
      <c r="S697" s="285"/>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row>
    <row r="698">
      <c r="A698" s="285"/>
      <c r="B698" s="285"/>
      <c r="C698" s="284"/>
      <c r="D698" s="284"/>
      <c r="E698" s="284"/>
      <c r="F698" s="284"/>
      <c r="G698" s="284"/>
      <c r="H698" s="284"/>
      <c r="I698" s="285"/>
      <c r="J698" s="284"/>
      <c r="K698" s="284"/>
      <c r="L698" s="284"/>
      <c r="M698" s="284"/>
      <c r="N698" s="288"/>
      <c r="O698" s="288"/>
      <c r="P698" s="288"/>
      <c r="Q698" s="284"/>
      <c r="R698" s="284"/>
      <c r="S698" s="285"/>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row>
    <row r="699">
      <c r="A699" s="285"/>
      <c r="B699" s="285"/>
      <c r="C699" s="284"/>
      <c r="D699" s="284"/>
      <c r="E699" s="284"/>
      <c r="F699" s="284"/>
      <c r="G699" s="284"/>
      <c r="H699" s="284"/>
      <c r="I699" s="285"/>
      <c r="J699" s="284"/>
      <c r="K699" s="284"/>
      <c r="L699" s="284"/>
      <c r="M699" s="284"/>
      <c r="N699" s="288"/>
      <c r="O699" s="288"/>
      <c r="P699" s="288"/>
      <c r="Q699" s="284"/>
      <c r="R699" s="284"/>
      <c r="S699" s="285"/>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row>
    <row r="700">
      <c r="A700" s="285"/>
      <c r="B700" s="285"/>
      <c r="C700" s="284"/>
      <c r="D700" s="284"/>
      <c r="E700" s="284"/>
      <c r="F700" s="284"/>
      <c r="G700" s="284"/>
      <c r="H700" s="284"/>
      <c r="I700" s="285"/>
      <c r="J700" s="284"/>
      <c r="K700" s="284"/>
      <c r="L700" s="284"/>
      <c r="M700" s="284"/>
      <c r="N700" s="288"/>
      <c r="O700" s="288"/>
      <c r="P700" s="288"/>
      <c r="Q700" s="284"/>
      <c r="R700" s="284"/>
      <c r="S700" s="285"/>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row>
    <row r="701">
      <c r="A701" s="285"/>
      <c r="B701" s="285"/>
      <c r="C701" s="284"/>
      <c r="D701" s="284"/>
      <c r="E701" s="284"/>
      <c r="F701" s="284"/>
      <c r="G701" s="284"/>
      <c r="H701" s="284"/>
      <c r="I701" s="285"/>
      <c r="J701" s="284"/>
      <c r="K701" s="284"/>
      <c r="L701" s="284"/>
      <c r="M701" s="284"/>
      <c r="N701" s="288"/>
      <c r="O701" s="288"/>
      <c r="P701" s="288"/>
      <c r="Q701" s="284"/>
      <c r="R701" s="284"/>
      <c r="S701" s="285"/>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row>
    <row r="702">
      <c r="A702" s="285"/>
      <c r="B702" s="285"/>
      <c r="C702" s="284"/>
      <c r="D702" s="284"/>
      <c r="E702" s="284"/>
      <c r="F702" s="284"/>
      <c r="G702" s="284"/>
      <c r="H702" s="284"/>
      <c r="I702" s="285"/>
      <c r="J702" s="284"/>
      <c r="K702" s="284"/>
      <c r="L702" s="284"/>
      <c r="M702" s="284"/>
      <c r="N702" s="288"/>
      <c r="O702" s="288"/>
      <c r="P702" s="288"/>
      <c r="Q702" s="284"/>
      <c r="R702" s="284"/>
      <c r="S702" s="285"/>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row>
    <row r="703">
      <c r="A703" s="285"/>
      <c r="B703" s="285"/>
      <c r="C703" s="284"/>
      <c r="D703" s="284"/>
      <c r="E703" s="284"/>
      <c r="F703" s="284"/>
      <c r="G703" s="284"/>
      <c r="H703" s="284"/>
      <c r="I703" s="285"/>
      <c r="J703" s="284"/>
      <c r="K703" s="284"/>
      <c r="L703" s="284"/>
      <c r="M703" s="284"/>
      <c r="N703" s="288"/>
      <c r="O703" s="288"/>
      <c r="P703" s="288"/>
      <c r="Q703" s="284"/>
      <c r="R703" s="284"/>
      <c r="S703" s="285"/>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row>
    <row r="704">
      <c r="A704" s="285"/>
      <c r="B704" s="285"/>
      <c r="C704" s="284"/>
      <c r="D704" s="284"/>
      <c r="E704" s="284"/>
      <c r="F704" s="284"/>
      <c r="G704" s="284"/>
      <c r="H704" s="284"/>
      <c r="I704" s="285"/>
      <c r="J704" s="284"/>
      <c r="K704" s="284"/>
      <c r="L704" s="284"/>
      <c r="M704" s="284"/>
      <c r="N704" s="288"/>
      <c r="O704" s="288"/>
      <c r="P704" s="288"/>
      <c r="Q704" s="284"/>
      <c r="R704" s="284"/>
      <c r="S704" s="285"/>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row>
    <row r="705">
      <c r="A705" s="285"/>
      <c r="B705" s="285"/>
      <c r="C705" s="284"/>
      <c r="D705" s="284"/>
      <c r="E705" s="284"/>
      <c r="F705" s="284"/>
      <c r="G705" s="284"/>
      <c r="H705" s="284"/>
      <c r="I705" s="285"/>
      <c r="J705" s="284"/>
      <c r="K705" s="284"/>
      <c r="L705" s="284"/>
      <c r="M705" s="284"/>
      <c r="N705" s="288"/>
      <c r="O705" s="288"/>
      <c r="P705" s="288"/>
      <c r="Q705" s="284"/>
      <c r="R705" s="284"/>
      <c r="S705" s="285"/>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row>
    <row r="706">
      <c r="A706" s="285"/>
      <c r="B706" s="285"/>
      <c r="C706" s="284"/>
      <c r="D706" s="284"/>
      <c r="E706" s="284"/>
      <c r="F706" s="284"/>
      <c r="G706" s="284"/>
      <c r="H706" s="284"/>
      <c r="I706" s="285"/>
      <c r="J706" s="284"/>
      <c r="K706" s="284"/>
      <c r="L706" s="284"/>
      <c r="M706" s="284"/>
      <c r="N706" s="288"/>
      <c r="O706" s="288"/>
      <c r="P706" s="288"/>
      <c r="Q706" s="284"/>
      <c r="R706" s="284"/>
      <c r="S706" s="285"/>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row>
    <row r="707">
      <c r="A707" s="285"/>
      <c r="B707" s="285"/>
      <c r="C707" s="284"/>
      <c r="D707" s="284"/>
      <c r="E707" s="284"/>
      <c r="F707" s="284"/>
      <c r="G707" s="284"/>
      <c r="H707" s="284"/>
      <c r="I707" s="285"/>
      <c r="J707" s="284"/>
      <c r="K707" s="284"/>
      <c r="L707" s="284"/>
      <c r="M707" s="284"/>
      <c r="N707" s="288"/>
      <c r="O707" s="288"/>
      <c r="P707" s="288"/>
      <c r="Q707" s="284"/>
      <c r="R707" s="284"/>
      <c r="S707" s="285"/>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row>
    <row r="708">
      <c r="A708" s="285"/>
      <c r="B708" s="285"/>
      <c r="C708" s="284"/>
      <c r="D708" s="284"/>
      <c r="E708" s="284"/>
      <c r="F708" s="284"/>
      <c r="G708" s="284"/>
      <c r="H708" s="284"/>
      <c r="I708" s="285"/>
      <c r="J708" s="284"/>
      <c r="K708" s="284"/>
      <c r="L708" s="284"/>
      <c r="M708" s="284"/>
      <c r="N708" s="288"/>
      <c r="O708" s="288"/>
      <c r="P708" s="288"/>
      <c r="Q708" s="284"/>
      <c r="R708" s="284"/>
      <c r="S708" s="285"/>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row>
    <row r="709">
      <c r="A709" s="285"/>
      <c r="B709" s="285"/>
      <c r="C709" s="284"/>
      <c r="D709" s="284"/>
      <c r="E709" s="284"/>
      <c r="F709" s="284"/>
      <c r="G709" s="284"/>
      <c r="H709" s="284"/>
      <c r="I709" s="285"/>
      <c r="J709" s="284"/>
      <c r="K709" s="284"/>
      <c r="L709" s="284"/>
      <c r="M709" s="284"/>
      <c r="N709" s="288"/>
      <c r="O709" s="288"/>
      <c r="P709" s="288"/>
      <c r="Q709" s="284"/>
      <c r="R709" s="284"/>
      <c r="S709" s="285"/>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row>
    <row r="710">
      <c r="A710" s="285"/>
      <c r="B710" s="285"/>
      <c r="C710" s="284"/>
      <c r="D710" s="284"/>
      <c r="E710" s="284"/>
      <c r="F710" s="284"/>
      <c r="G710" s="284"/>
      <c r="H710" s="284"/>
      <c r="I710" s="285"/>
      <c r="J710" s="284"/>
      <c r="K710" s="284"/>
      <c r="L710" s="284"/>
      <c r="M710" s="284"/>
      <c r="N710" s="288"/>
      <c r="O710" s="288"/>
      <c r="P710" s="288"/>
      <c r="Q710" s="284"/>
      <c r="R710" s="284"/>
      <c r="S710" s="285"/>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row>
    <row r="711">
      <c r="A711" s="285"/>
      <c r="B711" s="285"/>
      <c r="C711" s="284"/>
      <c r="D711" s="284"/>
      <c r="E711" s="284"/>
      <c r="F711" s="284"/>
      <c r="G711" s="284"/>
      <c r="H711" s="284"/>
      <c r="I711" s="285"/>
      <c r="J711" s="284"/>
      <c r="K711" s="284"/>
      <c r="L711" s="284"/>
      <c r="M711" s="284"/>
      <c r="N711" s="288"/>
      <c r="O711" s="288"/>
      <c r="P711" s="288"/>
      <c r="Q711" s="284"/>
      <c r="R711" s="284"/>
      <c r="S711" s="285"/>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row>
    <row r="712">
      <c r="A712" s="285"/>
      <c r="B712" s="285"/>
      <c r="C712" s="284"/>
      <c r="D712" s="284"/>
      <c r="E712" s="284"/>
      <c r="F712" s="284"/>
      <c r="G712" s="284"/>
      <c r="H712" s="284"/>
      <c r="I712" s="285"/>
      <c r="J712" s="284"/>
      <c r="K712" s="284"/>
      <c r="L712" s="284"/>
      <c r="M712" s="284"/>
      <c r="N712" s="288"/>
      <c r="O712" s="288"/>
      <c r="P712" s="288"/>
      <c r="Q712" s="284"/>
      <c r="R712" s="284"/>
      <c r="S712" s="285"/>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row>
    <row r="713">
      <c r="A713" s="285"/>
      <c r="B713" s="285"/>
      <c r="C713" s="284"/>
      <c r="D713" s="284"/>
      <c r="E713" s="284"/>
      <c r="F713" s="284"/>
      <c r="G713" s="284"/>
      <c r="H713" s="284"/>
      <c r="I713" s="285"/>
      <c r="J713" s="284"/>
      <c r="K713" s="284"/>
      <c r="L713" s="284"/>
      <c r="M713" s="284"/>
      <c r="N713" s="288"/>
      <c r="O713" s="288"/>
      <c r="P713" s="288"/>
      <c r="Q713" s="284"/>
      <c r="R713" s="284"/>
      <c r="S713" s="285"/>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row>
    <row r="714">
      <c r="A714" s="285"/>
      <c r="B714" s="285"/>
      <c r="C714" s="284"/>
      <c r="D714" s="284"/>
      <c r="E714" s="284"/>
      <c r="F714" s="284"/>
      <c r="G714" s="284"/>
      <c r="H714" s="284"/>
      <c r="I714" s="285"/>
      <c r="J714" s="284"/>
      <c r="K714" s="284"/>
      <c r="L714" s="284"/>
      <c r="M714" s="284"/>
      <c r="N714" s="288"/>
      <c r="O714" s="288"/>
      <c r="P714" s="288"/>
      <c r="Q714" s="284"/>
      <c r="R714" s="284"/>
      <c r="S714" s="285"/>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row>
    <row r="715">
      <c r="A715" s="285"/>
      <c r="B715" s="285"/>
      <c r="C715" s="284"/>
      <c r="D715" s="284"/>
      <c r="E715" s="284"/>
      <c r="F715" s="284"/>
      <c r="G715" s="284"/>
      <c r="H715" s="284"/>
      <c r="I715" s="285"/>
      <c r="J715" s="284"/>
      <c r="K715" s="284"/>
      <c r="L715" s="284"/>
      <c r="M715" s="284"/>
      <c r="N715" s="288"/>
      <c r="O715" s="288"/>
      <c r="P715" s="288"/>
      <c r="Q715" s="284"/>
      <c r="R715" s="284"/>
      <c r="S715" s="285"/>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row>
    <row r="716">
      <c r="A716" s="285"/>
      <c r="B716" s="285"/>
      <c r="C716" s="284"/>
      <c r="D716" s="284"/>
      <c r="E716" s="284"/>
      <c r="F716" s="284"/>
      <c r="G716" s="284"/>
      <c r="H716" s="284"/>
      <c r="I716" s="285"/>
      <c r="J716" s="284"/>
      <c r="K716" s="284"/>
      <c r="L716" s="284"/>
      <c r="M716" s="284"/>
      <c r="N716" s="288"/>
      <c r="O716" s="288"/>
      <c r="P716" s="288"/>
      <c r="Q716" s="284"/>
      <c r="R716" s="284"/>
      <c r="S716" s="285"/>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row>
    <row r="717">
      <c r="A717" s="285"/>
      <c r="B717" s="285"/>
      <c r="C717" s="284"/>
      <c r="D717" s="284"/>
      <c r="E717" s="284"/>
      <c r="F717" s="284"/>
      <c r="G717" s="284"/>
      <c r="H717" s="284"/>
      <c r="I717" s="285"/>
      <c r="J717" s="284"/>
      <c r="K717" s="284"/>
      <c r="L717" s="284"/>
      <c r="M717" s="284"/>
      <c r="N717" s="288"/>
      <c r="O717" s="288"/>
      <c r="P717" s="288"/>
      <c r="Q717" s="284"/>
      <c r="R717" s="284"/>
      <c r="S717" s="285"/>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row>
    <row r="718">
      <c r="A718" s="285"/>
      <c r="B718" s="285"/>
      <c r="C718" s="284"/>
      <c r="D718" s="284"/>
      <c r="E718" s="284"/>
      <c r="F718" s="284"/>
      <c r="G718" s="284"/>
      <c r="H718" s="284"/>
      <c r="I718" s="285"/>
      <c r="J718" s="284"/>
      <c r="K718" s="284"/>
      <c r="L718" s="284"/>
      <c r="M718" s="284"/>
      <c r="N718" s="288"/>
      <c r="O718" s="288"/>
      <c r="P718" s="288"/>
      <c r="Q718" s="284"/>
      <c r="R718" s="284"/>
      <c r="S718" s="285"/>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row>
    <row r="719">
      <c r="A719" s="285"/>
      <c r="B719" s="285"/>
      <c r="C719" s="284"/>
      <c r="D719" s="284"/>
      <c r="E719" s="284"/>
      <c r="F719" s="284"/>
      <c r="G719" s="284"/>
      <c r="H719" s="284"/>
      <c r="I719" s="285"/>
      <c r="J719" s="284"/>
      <c r="K719" s="284"/>
      <c r="L719" s="284"/>
      <c r="M719" s="284"/>
      <c r="N719" s="288"/>
      <c r="O719" s="288"/>
      <c r="P719" s="288"/>
      <c r="Q719" s="284"/>
      <c r="R719" s="284"/>
      <c r="S719" s="285"/>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row>
    <row r="720">
      <c r="A720" s="285"/>
      <c r="B720" s="285"/>
      <c r="C720" s="284"/>
      <c r="D720" s="284"/>
      <c r="E720" s="284"/>
      <c r="F720" s="284"/>
      <c r="G720" s="284"/>
      <c r="H720" s="284"/>
      <c r="I720" s="285"/>
      <c r="J720" s="284"/>
      <c r="K720" s="284"/>
      <c r="L720" s="284"/>
      <c r="M720" s="284"/>
      <c r="N720" s="288"/>
      <c r="O720" s="288"/>
      <c r="P720" s="288"/>
      <c r="Q720" s="284"/>
      <c r="R720" s="284"/>
      <c r="S720" s="285"/>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row>
    <row r="721">
      <c r="A721" s="285"/>
      <c r="B721" s="285"/>
      <c r="C721" s="284"/>
      <c r="D721" s="284"/>
      <c r="E721" s="284"/>
      <c r="F721" s="284"/>
      <c r="G721" s="284"/>
      <c r="H721" s="284"/>
      <c r="I721" s="285"/>
      <c r="J721" s="284"/>
      <c r="K721" s="284"/>
      <c r="L721" s="284"/>
      <c r="M721" s="284"/>
      <c r="N721" s="288"/>
      <c r="O721" s="288"/>
      <c r="P721" s="288"/>
      <c r="Q721" s="284"/>
      <c r="R721" s="284"/>
      <c r="S721" s="285"/>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row>
    <row r="722">
      <c r="A722" s="285"/>
      <c r="B722" s="285"/>
      <c r="C722" s="284"/>
      <c r="D722" s="284"/>
      <c r="E722" s="284"/>
      <c r="F722" s="284"/>
      <c r="G722" s="284"/>
      <c r="H722" s="284"/>
      <c r="I722" s="285"/>
      <c r="J722" s="284"/>
      <c r="K722" s="284"/>
      <c r="L722" s="284"/>
      <c r="M722" s="284"/>
      <c r="N722" s="288"/>
      <c r="O722" s="288"/>
      <c r="P722" s="288"/>
      <c r="Q722" s="284"/>
      <c r="R722" s="284"/>
      <c r="S722" s="285"/>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row>
    <row r="723">
      <c r="A723" s="285"/>
      <c r="B723" s="285"/>
      <c r="C723" s="284"/>
      <c r="D723" s="284"/>
      <c r="E723" s="284"/>
      <c r="F723" s="284"/>
      <c r="G723" s="284"/>
      <c r="H723" s="284"/>
      <c r="I723" s="285"/>
      <c r="J723" s="284"/>
      <c r="K723" s="284"/>
      <c r="L723" s="284"/>
      <c r="M723" s="284"/>
      <c r="N723" s="288"/>
      <c r="O723" s="288"/>
      <c r="P723" s="288"/>
      <c r="Q723" s="284"/>
      <c r="R723" s="284"/>
      <c r="S723" s="285"/>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row>
    <row r="724">
      <c r="A724" s="285"/>
      <c r="B724" s="285"/>
      <c r="C724" s="284"/>
      <c r="D724" s="284"/>
      <c r="E724" s="284"/>
      <c r="F724" s="284"/>
      <c r="G724" s="284"/>
      <c r="H724" s="284"/>
      <c r="I724" s="285"/>
      <c r="J724" s="284"/>
      <c r="K724" s="284"/>
      <c r="L724" s="284"/>
      <c r="M724" s="284"/>
      <c r="N724" s="288"/>
      <c r="O724" s="288"/>
      <c r="P724" s="288"/>
      <c r="Q724" s="284"/>
      <c r="R724" s="284"/>
      <c r="S724" s="285"/>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row>
    <row r="725">
      <c r="A725" s="285"/>
      <c r="B725" s="285"/>
      <c r="C725" s="284"/>
      <c r="D725" s="284"/>
      <c r="E725" s="284"/>
      <c r="F725" s="284"/>
      <c r="G725" s="284"/>
      <c r="H725" s="284"/>
      <c r="I725" s="285"/>
      <c r="J725" s="284"/>
      <c r="K725" s="284"/>
      <c r="L725" s="284"/>
      <c r="M725" s="284"/>
      <c r="N725" s="288"/>
      <c r="O725" s="288"/>
      <c r="P725" s="288"/>
      <c r="Q725" s="284"/>
      <c r="R725" s="284"/>
      <c r="S725" s="285"/>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row>
    <row r="726">
      <c r="A726" s="285"/>
      <c r="B726" s="285"/>
      <c r="C726" s="284"/>
      <c r="D726" s="284"/>
      <c r="E726" s="284"/>
      <c r="F726" s="284"/>
      <c r="G726" s="284"/>
      <c r="H726" s="284"/>
      <c r="I726" s="285"/>
      <c r="J726" s="284"/>
      <c r="K726" s="284"/>
      <c r="L726" s="284"/>
      <c r="M726" s="284"/>
      <c r="N726" s="288"/>
      <c r="O726" s="288"/>
      <c r="P726" s="288"/>
      <c r="Q726" s="284"/>
      <c r="R726" s="284"/>
      <c r="S726" s="285"/>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row>
    <row r="727">
      <c r="A727" s="285"/>
      <c r="B727" s="285"/>
      <c r="C727" s="284"/>
      <c r="D727" s="284"/>
      <c r="E727" s="284"/>
      <c r="F727" s="284"/>
      <c r="G727" s="284"/>
      <c r="H727" s="284"/>
      <c r="I727" s="285"/>
      <c r="J727" s="284"/>
      <c r="K727" s="284"/>
      <c r="L727" s="284"/>
      <c r="M727" s="284"/>
      <c r="N727" s="288"/>
      <c r="O727" s="288"/>
      <c r="P727" s="288"/>
      <c r="Q727" s="284"/>
      <c r="R727" s="284"/>
      <c r="S727" s="285"/>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row>
    <row r="728">
      <c r="A728" s="285"/>
      <c r="B728" s="285"/>
      <c r="C728" s="284"/>
      <c r="D728" s="284"/>
      <c r="E728" s="284"/>
      <c r="F728" s="284"/>
      <c r="G728" s="284"/>
      <c r="H728" s="284"/>
      <c r="I728" s="285"/>
      <c r="J728" s="284"/>
      <c r="K728" s="284"/>
      <c r="L728" s="284"/>
      <c r="M728" s="284"/>
      <c r="N728" s="288"/>
      <c r="O728" s="288"/>
      <c r="P728" s="288"/>
      <c r="Q728" s="284"/>
      <c r="R728" s="284"/>
      <c r="S728" s="285"/>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row>
    <row r="729">
      <c r="A729" s="285"/>
      <c r="B729" s="285"/>
      <c r="C729" s="284"/>
      <c r="D729" s="284"/>
      <c r="E729" s="284"/>
      <c r="F729" s="284"/>
      <c r="G729" s="284"/>
      <c r="H729" s="284"/>
      <c r="I729" s="285"/>
      <c r="J729" s="284"/>
      <c r="K729" s="284"/>
      <c r="L729" s="284"/>
      <c r="M729" s="284"/>
      <c r="N729" s="288"/>
      <c r="O729" s="288"/>
      <c r="P729" s="288"/>
      <c r="Q729" s="284"/>
      <c r="R729" s="284"/>
      <c r="S729" s="285"/>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row>
    <row r="730">
      <c r="A730" s="285"/>
      <c r="B730" s="285"/>
      <c r="C730" s="284"/>
      <c r="D730" s="284"/>
      <c r="E730" s="284"/>
      <c r="F730" s="284"/>
      <c r="G730" s="284"/>
      <c r="H730" s="284"/>
      <c r="I730" s="285"/>
      <c r="J730" s="284"/>
      <c r="K730" s="284"/>
      <c r="L730" s="284"/>
      <c r="M730" s="284"/>
      <c r="N730" s="288"/>
      <c r="O730" s="288"/>
      <c r="P730" s="288"/>
      <c r="Q730" s="284"/>
      <c r="R730" s="284"/>
      <c r="S730" s="285"/>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row>
    <row r="731">
      <c r="A731" s="285"/>
      <c r="B731" s="285"/>
      <c r="C731" s="284"/>
      <c r="D731" s="284"/>
      <c r="E731" s="284"/>
      <c r="F731" s="284"/>
      <c r="G731" s="284"/>
      <c r="H731" s="284"/>
      <c r="I731" s="285"/>
      <c r="J731" s="284"/>
      <c r="K731" s="284"/>
      <c r="L731" s="284"/>
      <c r="M731" s="284"/>
      <c r="N731" s="288"/>
      <c r="O731" s="288"/>
      <c r="P731" s="288"/>
      <c r="Q731" s="284"/>
      <c r="R731" s="284"/>
      <c r="S731" s="285"/>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row>
    <row r="732">
      <c r="A732" s="285"/>
      <c r="B732" s="285"/>
      <c r="C732" s="284"/>
      <c r="D732" s="284"/>
      <c r="E732" s="284"/>
      <c r="F732" s="284"/>
      <c r="G732" s="284"/>
      <c r="H732" s="284"/>
      <c r="I732" s="285"/>
      <c r="J732" s="284"/>
      <c r="K732" s="284"/>
      <c r="L732" s="284"/>
      <c r="M732" s="284"/>
      <c r="N732" s="288"/>
      <c r="O732" s="288"/>
      <c r="P732" s="288"/>
      <c r="Q732" s="284"/>
      <c r="R732" s="284"/>
      <c r="S732" s="285"/>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row>
    <row r="733">
      <c r="A733" s="285"/>
      <c r="B733" s="285"/>
      <c r="C733" s="284"/>
      <c r="D733" s="284"/>
      <c r="E733" s="284"/>
      <c r="F733" s="284"/>
      <c r="G733" s="284"/>
      <c r="H733" s="284"/>
      <c r="I733" s="285"/>
      <c r="J733" s="284"/>
      <c r="K733" s="284"/>
      <c r="L733" s="284"/>
      <c r="M733" s="284"/>
      <c r="N733" s="288"/>
      <c r="O733" s="288"/>
      <c r="P733" s="288"/>
      <c r="Q733" s="284"/>
      <c r="R733" s="284"/>
      <c r="S733" s="285"/>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row>
    <row r="734">
      <c r="A734" s="285"/>
      <c r="B734" s="285"/>
      <c r="C734" s="284"/>
      <c r="D734" s="284"/>
      <c r="E734" s="284"/>
      <c r="F734" s="284"/>
      <c r="G734" s="284"/>
      <c r="H734" s="284"/>
      <c r="I734" s="285"/>
      <c r="J734" s="284"/>
      <c r="K734" s="284"/>
      <c r="L734" s="284"/>
      <c r="M734" s="284"/>
      <c r="N734" s="288"/>
      <c r="O734" s="288"/>
      <c r="P734" s="288"/>
      <c r="Q734" s="284"/>
      <c r="R734" s="284"/>
      <c r="S734" s="285"/>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row>
    <row r="735">
      <c r="A735" s="285"/>
      <c r="B735" s="285"/>
      <c r="C735" s="284"/>
      <c r="D735" s="284"/>
      <c r="E735" s="284"/>
      <c r="F735" s="284"/>
      <c r="G735" s="284"/>
      <c r="H735" s="284"/>
      <c r="I735" s="285"/>
      <c r="J735" s="284"/>
      <c r="K735" s="284"/>
      <c r="L735" s="284"/>
      <c r="M735" s="284"/>
      <c r="N735" s="288"/>
      <c r="O735" s="288"/>
      <c r="P735" s="288"/>
      <c r="Q735" s="284"/>
      <c r="R735" s="284"/>
      <c r="S735" s="285"/>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row>
    <row r="736">
      <c r="A736" s="285"/>
      <c r="B736" s="285"/>
      <c r="C736" s="284"/>
      <c r="D736" s="284"/>
      <c r="E736" s="284"/>
      <c r="F736" s="284"/>
      <c r="G736" s="284"/>
      <c r="H736" s="284"/>
      <c r="I736" s="285"/>
      <c r="J736" s="284"/>
      <c r="K736" s="284"/>
      <c r="L736" s="284"/>
      <c r="M736" s="284"/>
      <c r="N736" s="288"/>
      <c r="O736" s="288"/>
      <c r="P736" s="288"/>
      <c r="Q736" s="284"/>
      <c r="R736" s="284"/>
      <c r="S736" s="285"/>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row>
    <row r="737">
      <c r="A737" s="285"/>
      <c r="B737" s="285"/>
      <c r="C737" s="284"/>
      <c r="D737" s="284"/>
      <c r="E737" s="284"/>
      <c r="F737" s="284"/>
      <c r="G737" s="284"/>
      <c r="H737" s="284"/>
      <c r="I737" s="285"/>
      <c r="J737" s="284"/>
      <c r="K737" s="284"/>
      <c r="L737" s="284"/>
      <c r="M737" s="284"/>
      <c r="N737" s="288"/>
      <c r="O737" s="288"/>
      <c r="P737" s="288"/>
      <c r="Q737" s="284"/>
      <c r="R737" s="284"/>
      <c r="S737" s="285"/>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row>
    <row r="738">
      <c r="A738" s="285"/>
      <c r="B738" s="285"/>
      <c r="C738" s="284"/>
      <c r="D738" s="284"/>
      <c r="E738" s="284"/>
      <c r="F738" s="284"/>
      <c r="G738" s="284"/>
      <c r="H738" s="284"/>
      <c r="I738" s="285"/>
      <c r="J738" s="284"/>
      <c r="K738" s="284"/>
      <c r="L738" s="284"/>
      <c r="M738" s="284"/>
      <c r="N738" s="288"/>
      <c r="O738" s="288"/>
      <c r="P738" s="288"/>
      <c r="Q738" s="284"/>
      <c r="R738" s="284"/>
      <c r="S738" s="285"/>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row>
    <row r="739">
      <c r="A739" s="285"/>
      <c r="B739" s="285"/>
      <c r="C739" s="284"/>
      <c r="D739" s="284"/>
      <c r="E739" s="284"/>
      <c r="F739" s="284"/>
      <c r="G739" s="284"/>
      <c r="H739" s="284"/>
      <c r="I739" s="285"/>
      <c r="J739" s="284"/>
      <c r="K739" s="284"/>
      <c r="L739" s="284"/>
      <c r="M739" s="284"/>
      <c r="N739" s="288"/>
      <c r="O739" s="288"/>
      <c r="P739" s="288"/>
      <c r="Q739" s="284"/>
      <c r="R739" s="284"/>
      <c r="S739" s="285"/>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row>
    <row r="740">
      <c r="A740" s="285"/>
      <c r="B740" s="285"/>
      <c r="C740" s="284"/>
      <c r="D740" s="284"/>
      <c r="E740" s="284"/>
      <c r="F740" s="284"/>
      <c r="G740" s="284"/>
      <c r="H740" s="284"/>
      <c r="I740" s="285"/>
      <c r="J740" s="284"/>
      <c r="K740" s="284"/>
      <c r="L740" s="284"/>
      <c r="M740" s="284"/>
      <c r="N740" s="288"/>
      <c r="O740" s="288"/>
      <c r="P740" s="288"/>
      <c r="Q740" s="284"/>
      <c r="R740" s="284"/>
      <c r="S740" s="285"/>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row>
    <row r="741">
      <c r="A741" s="285"/>
      <c r="B741" s="285"/>
      <c r="C741" s="284"/>
      <c r="D741" s="284"/>
      <c r="E741" s="284"/>
      <c r="F741" s="284"/>
      <c r="G741" s="284"/>
      <c r="H741" s="284"/>
      <c r="I741" s="285"/>
      <c r="J741" s="284"/>
      <c r="K741" s="284"/>
      <c r="L741" s="284"/>
      <c r="M741" s="284"/>
      <c r="N741" s="288"/>
      <c r="O741" s="288"/>
      <c r="P741" s="288"/>
      <c r="Q741" s="284"/>
      <c r="R741" s="284"/>
      <c r="S741" s="285"/>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row>
    <row r="742">
      <c r="A742" s="285"/>
      <c r="B742" s="285"/>
      <c r="C742" s="284"/>
      <c r="D742" s="284"/>
      <c r="E742" s="284"/>
      <c r="F742" s="284"/>
      <c r="G742" s="284"/>
      <c r="H742" s="284"/>
      <c r="I742" s="285"/>
      <c r="J742" s="284"/>
      <c r="K742" s="284"/>
      <c r="L742" s="284"/>
      <c r="M742" s="284"/>
      <c r="N742" s="288"/>
      <c r="O742" s="288"/>
      <c r="P742" s="288"/>
      <c r="Q742" s="284"/>
      <c r="R742" s="284"/>
      <c r="S742" s="285"/>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row>
    <row r="743">
      <c r="A743" s="285"/>
      <c r="B743" s="285"/>
      <c r="C743" s="284"/>
      <c r="D743" s="284"/>
      <c r="E743" s="284"/>
      <c r="F743" s="284"/>
      <c r="G743" s="284"/>
      <c r="H743" s="284"/>
      <c r="I743" s="285"/>
      <c r="J743" s="284"/>
      <c r="K743" s="284"/>
      <c r="L743" s="284"/>
      <c r="M743" s="284"/>
      <c r="N743" s="288"/>
      <c r="O743" s="288"/>
      <c r="P743" s="288"/>
      <c r="Q743" s="284"/>
      <c r="R743" s="284"/>
      <c r="S743" s="285"/>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row>
    <row r="744">
      <c r="A744" s="285"/>
      <c r="B744" s="285"/>
      <c r="C744" s="284"/>
      <c r="D744" s="284"/>
      <c r="E744" s="284"/>
      <c r="F744" s="284"/>
      <c r="G744" s="284"/>
      <c r="H744" s="284"/>
      <c r="I744" s="285"/>
      <c r="J744" s="284"/>
      <c r="K744" s="284"/>
      <c r="L744" s="284"/>
      <c r="M744" s="284"/>
      <c r="N744" s="288"/>
      <c r="O744" s="288"/>
      <c r="P744" s="288"/>
      <c r="Q744" s="284"/>
      <c r="R744" s="284"/>
      <c r="S744" s="285"/>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row>
    <row r="745">
      <c r="A745" s="285"/>
      <c r="B745" s="285"/>
      <c r="C745" s="284"/>
      <c r="D745" s="284"/>
      <c r="E745" s="284"/>
      <c r="F745" s="284"/>
      <c r="G745" s="284"/>
      <c r="H745" s="284"/>
      <c r="I745" s="285"/>
      <c r="J745" s="284"/>
      <c r="K745" s="284"/>
      <c r="L745" s="284"/>
      <c r="M745" s="284"/>
      <c r="N745" s="288"/>
      <c r="O745" s="288"/>
      <c r="P745" s="288"/>
      <c r="Q745" s="284"/>
      <c r="R745" s="284"/>
      <c r="S745" s="285"/>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row>
    <row r="746">
      <c r="A746" s="285"/>
      <c r="B746" s="285"/>
      <c r="C746" s="284"/>
      <c r="D746" s="284"/>
      <c r="E746" s="284"/>
      <c r="F746" s="284"/>
      <c r="G746" s="284"/>
      <c r="H746" s="284"/>
      <c r="I746" s="285"/>
      <c r="J746" s="284"/>
      <c r="K746" s="284"/>
      <c r="L746" s="284"/>
      <c r="M746" s="284"/>
      <c r="N746" s="288"/>
      <c r="O746" s="288"/>
      <c r="P746" s="288"/>
      <c r="Q746" s="284"/>
      <c r="R746" s="284"/>
      <c r="S746" s="285"/>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row>
    <row r="747">
      <c r="A747" s="285"/>
      <c r="B747" s="285"/>
      <c r="C747" s="284"/>
      <c r="D747" s="284"/>
      <c r="E747" s="284"/>
      <c r="F747" s="284"/>
      <c r="G747" s="284"/>
      <c r="H747" s="284"/>
      <c r="I747" s="285"/>
      <c r="J747" s="284"/>
      <c r="K747" s="284"/>
      <c r="L747" s="284"/>
      <c r="M747" s="284"/>
      <c r="N747" s="288"/>
      <c r="O747" s="288"/>
      <c r="P747" s="288"/>
      <c r="Q747" s="284"/>
      <c r="R747" s="284"/>
      <c r="S747" s="285"/>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row>
    <row r="748">
      <c r="A748" s="285"/>
      <c r="B748" s="285"/>
      <c r="C748" s="284"/>
      <c r="D748" s="284"/>
      <c r="E748" s="284"/>
      <c r="F748" s="284"/>
      <c r="G748" s="284"/>
      <c r="H748" s="284"/>
      <c r="I748" s="285"/>
      <c r="J748" s="284"/>
      <c r="K748" s="284"/>
      <c r="L748" s="284"/>
      <c r="M748" s="284"/>
      <c r="N748" s="288"/>
      <c r="O748" s="288"/>
      <c r="P748" s="288"/>
      <c r="Q748" s="284"/>
      <c r="R748" s="284"/>
      <c r="S748" s="285"/>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row>
    <row r="749">
      <c r="A749" s="285"/>
      <c r="B749" s="285"/>
      <c r="C749" s="284"/>
      <c r="D749" s="284"/>
      <c r="E749" s="284"/>
      <c r="F749" s="284"/>
      <c r="G749" s="284"/>
      <c r="H749" s="284"/>
      <c r="I749" s="285"/>
      <c r="J749" s="284"/>
      <c r="K749" s="284"/>
      <c r="L749" s="284"/>
      <c r="M749" s="284"/>
      <c r="N749" s="288"/>
      <c r="O749" s="288"/>
      <c r="P749" s="288"/>
      <c r="Q749" s="284"/>
      <c r="R749" s="284"/>
      <c r="S749" s="285"/>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row>
    <row r="750">
      <c r="A750" s="285"/>
      <c r="B750" s="285"/>
      <c r="C750" s="284"/>
      <c r="D750" s="284"/>
      <c r="E750" s="284"/>
      <c r="F750" s="284"/>
      <c r="G750" s="284"/>
      <c r="H750" s="284"/>
      <c r="I750" s="285"/>
      <c r="J750" s="284"/>
      <c r="K750" s="284"/>
      <c r="L750" s="284"/>
      <c r="M750" s="284"/>
      <c r="N750" s="288"/>
      <c r="O750" s="288"/>
      <c r="P750" s="288"/>
      <c r="Q750" s="284"/>
      <c r="R750" s="284"/>
      <c r="S750" s="285"/>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row>
    <row r="751">
      <c r="A751" s="285"/>
      <c r="B751" s="285"/>
      <c r="C751" s="284"/>
      <c r="D751" s="284"/>
      <c r="E751" s="284"/>
      <c r="F751" s="284"/>
      <c r="G751" s="284"/>
      <c r="H751" s="284"/>
      <c r="I751" s="285"/>
      <c r="J751" s="284"/>
      <c r="K751" s="284"/>
      <c r="L751" s="284"/>
      <c r="M751" s="284"/>
      <c r="N751" s="288"/>
      <c r="O751" s="288"/>
      <c r="P751" s="288"/>
      <c r="Q751" s="284"/>
      <c r="R751" s="284"/>
      <c r="S751" s="285"/>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row>
    <row r="752">
      <c r="A752" s="285"/>
      <c r="B752" s="285"/>
      <c r="C752" s="284"/>
      <c r="D752" s="284"/>
      <c r="E752" s="284"/>
      <c r="F752" s="284"/>
      <c r="G752" s="284"/>
      <c r="H752" s="284"/>
      <c r="I752" s="285"/>
      <c r="J752" s="284"/>
      <c r="K752" s="284"/>
      <c r="L752" s="284"/>
      <c r="M752" s="284"/>
      <c r="N752" s="288"/>
      <c r="O752" s="288"/>
      <c r="P752" s="288"/>
      <c r="Q752" s="284"/>
      <c r="R752" s="284"/>
      <c r="S752" s="285"/>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row>
    <row r="753">
      <c r="A753" s="285"/>
      <c r="B753" s="285"/>
      <c r="C753" s="284"/>
      <c r="D753" s="284"/>
      <c r="E753" s="284"/>
      <c r="F753" s="284"/>
      <c r="G753" s="284"/>
      <c r="H753" s="284"/>
      <c r="I753" s="285"/>
      <c r="J753" s="284"/>
      <c r="K753" s="284"/>
      <c r="L753" s="284"/>
      <c r="M753" s="284"/>
      <c r="N753" s="288"/>
      <c r="O753" s="288"/>
      <c r="P753" s="288"/>
      <c r="Q753" s="284"/>
      <c r="R753" s="284"/>
      <c r="S753" s="285"/>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row>
    <row r="754">
      <c r="A754" s="285"/>
      <c r="B754" s="285"/>
      <c r="C754" s="284"/>
      <c r="D754" s="284"/>
      <c r="E754" s="284"/>
      <c r="F754" s="284"/>
      <c r="G754" s="284"/>
      <c r="H754" s="284"/>
      <c r="I754" s="285"/>
      <c r="J754" s="284"/>
      <c r="K754" s="284"/>
      <c r="L754" s="284"/>
      <c r="M754" s="284"/>
      <c r="N754" s="288"/>
      <c r="O754" s="288"/>
      <c r="P754" s="288"/>
      <c r="Q754" s="284"/>
      <c r="R754" s="284"/>
      <c r="S754" s="285"/>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row>
    <row r="755">
      <c r="A755" s="285"/>
      <c r="B755" s="285"/>
      <c r="C755" s="284"/>
      <c r="D755" s="284"/>
      <c r="E755" s="284"/>
      <c r="F755" s="284"/>
      <c r="G755" s="284"/>
      <c r="H755" s="284"/>
      <c r="I755" s="285"/>
      <c r="J755" s="284"/>
      <c r="K755" s="284"/>
      <c r="L755" s="284"/>
      <c r="M755" s="284"/>
      <c r="N755" s="288"/>
      <c r="O755" s="288"/>
      <c r="P755" s="288"/>
      <c r="Q755" s="284"/>
      <c r="R755" s="284"/>
      <c r="S755" s="285"/>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row>
    <row r="756">
      <c r="A756" s="285"/>
      <c r="B756" s="285"/>
      <c r="C756" s="284"/>
      <c r="D756" s="284"/>
      <c r="E756" s="284"/>
      <c r="F756" s="284"/>
      <c r="G756" s="284"/>
      <c r="H756" s="284"/>
      <c r="I756" s="285"/>
      <c r="J756" s="284"/>
      <c r="K756" s="284"/>
      <c r="L756" s="284"/>
      <c r="M756" s="284"/>
      <c r="N756" s="288"/>
      <c r="O756" s="288"/>
      <c r="P756" s="288"/>
      <c r="Q756" s="284"/>
      <c r="R756" s="284"/>
      <c r="S756" s="285"/>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row>
    <row r="757">
      <c r="A757" s="285"/>
      <c r="B757" s="285"/>
      <c r="C757" s="284"/>
      <c r="D757" s="284"/>
      <c r="E757" s="284"/>
      <c r="F757" s="284"/>
      <c r="G757" s="284"/>
      <c r="H757" s="284"/>
      <c r="I757" s="285"/>
      <c r="J757" s="284"/>
      <c r="K757" s="284"/>
      <c r="L757" s="284"/>
      <c r="M757" s="284"/>
      <c r="N757" s="288"/>
      <c r="O757" s="288"/>
      <c r="P757" s="288"/>
      <c r="Q757" s="284"/>
      <c r="R757" s="284"/>
      <c r="S757" s="285"/>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row>
    <row r="758">
      <c r="A758" s="285"/>
      <c r="B758" s="285"/>
      <c r="C758" s="284"/>
      <c r="D758" s="284"/>
      <c r="E758" s="284"/>
      <c r="F758" s="284"/>
      <c r="G758" s="284"/>
      <c r="H758" s="284"/>
      <c r="I758" s="285"/>
      <c r="J758" s="284"/>
      <c r="K758" s="284"/>
      <c r="L758" s="284"/>
      <c r="M758" s="284"/>
      <c r="N758" s="288"/>
      <c r="O758" s="288"/>
      <c r="P758" s="288"/>
      <c r="Q758" s="284"/>
      <c r="R758" s="284"/>
      <c r="S758" s="285"/>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row>
    <row r="759">
      <c r="A759" s="285"/>
      <c r="B759" s="285"/>
      <c r="C759" s="284"/>
      <c r="D759" s="284"/>
      <c r="E759" s="284"/>
      <c r="F759" s="284"/>
      <c r="G759" s="284"/>
      <c r="H759" s="284"/>
      <c r="I759" s="285"/>
      <c r="J759" s="284"/>
      <c r="K759" s="284"/>
      <c r="L759" s="284"/>
      <c r="M759" s="284"/>
      <c r="N759" s="288"/>
      <c r="O759" s="288"/>
      <c r="P759" s="288"/>
      <c r="Q759" s="284"/>
      <c r="R759" s="284"/>
      <c r="S759" s="285"/>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row>
    <row r="760">
      <c r="A760" s="285"/>
      <c r="B760" s="285"/>
      <c r="C760" s="284"/>
      <c r="D760" s="284"/>
      <c r="E760" s="284"/>
      <c r="F760" s="284"/>
      <c r="G760" s="284"/>
      <c r="H760" s="284"/>
      <c r="I760" s="285"/>
      <c r="J760" s="284"/>
      <c r="K760" s="284"/>
      <c r="L760" s="284"/>
      <c r="M760" s="284"/>
      <c r="N760" s="288"/>
      <c r="O760" s="288"/>
      <c r="P760" s="288"/>
      <c r="Q760" s="284"/>
      <c r="R760" s="284"/>
      <c r="S760" s="285"/>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row>
    <row r="761">
      <c r="A761" s="285"/>
      <c r="B761" s="285"/>
      <c r="C761" s="284"/>
      <c r="D761" s="284"/>
      <c r="E761" s="284"/>
      <c r="F761" s="284"/>
      <c r="G761" s="284"/>
      <c r="H761" s="284"/>
      <c r="I761" s="285"/>
      <c r="J761" s="284"/>
      <c r="K761" s="284"/>
      <c r="L761" s="284"/>
      <c r="M761" s="284"/>
      <c r="N761" s="288"/>
      <c r="O761" s="288"/>
      <c r="P761" s="288"/>
      <c r="Q761" s="284"/>
      <c r="R761" s="284"/>
      <c r="S761" s="285"/>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row>
    <row r="762">
      <c r="A762" s="285"/>
      <c r="B762" s="285"/>
      <c r="C762" s="284"/>
      <c r="D762" s="284"/>
      <c r="E762" s="284"/>
      <c r="F762" s="284"/>
      <c r="G762" s="284"/>
      <c r="H762" s="284"/>
      <c r="I762" s="285"/>
      <c r="J762" s="284"/>
      <c r="K762" s="284"/>
      <c r="L762" s="284"/>
      <c r="M762" s="284"/>
      <c r="N762" s="288"/>
      <c r="O762" s="288"/>
      <c r="P762" s="288"/>
      <c r="Q762" s="284"/>
      <c r="R762" s="284"/>
      <c r="S762" s="285"/>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row>
    <row r="763">
      <c r="A763" s="285"/>
      <c r="B763" s="285"/>
      <c r="C763" s="284"/>
      <c r="D763" s="284"/>
      <c r="E763" s="284"/>
      <c r="F763" s="284"/>
      <c r="G763" s="284"/>
      <c r="H763" s="284"/>
      <c r="I763" s="285"/>
      <c r="J763" s="284"/>
      <c r="K763" s="284"/>
      <c r="L763" s="284"/>
      <c r="M763" s="284"/>
      <c r="N763" s="288"/>
      <c r="O763" s="288"/>
      <c r="P763" s="288"/>
      <c r="Q763" s="284"/>
      <c r="R763" s="284"/>
      <c r="S763" s="285"/>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row>
    <row r="764">
      <c r="A764" s="285"/>
      <c r="B764" s="285"/>
      <c r="C764" s="284"/>
      <c r="D764" s="284"/>
      <c r="E764" s="284"/>
      <c r="F764" s="284"/>
      <c r="G764" s="284"/>
      <c r="H764" s="284"/>
      <c r="I764" s="285"/>
      <c r="J764" s="284"/>
      <c r="K764" s="284"/>
      <c r="L764" s="284"/>
      <c r="M764" s="284"/>
      <c r="N764" s="288"/>
      <c r="O764" s="288"/>
      <c r="P764" s="288"/>
      <c r="Q764" s="284"/>
      <c r="R764" s="284"/>
      <c r="S764" s="285"/>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row>
    <row r="765">
      <c r="A765" s="285"/>
      <c r="B765" s="285"/>
      <c r="C765" s="284"/>
      <c r="D765" s="284"/>
      <c r="E765" s="284"/>
      <c r="F765" s="284"/>
      <c r="G765" s="284"/>
      <c r="H765" s="284"/>
      <c r="I765" s="285"/>
      <c r="J765" s="284"/>
      <c r="K765" s="284"/>
      <c r="L765" s="284"/>
      <c r="M765" s="284"/>
      <c r="N765" s="288"/>
      <c r="O765" s="288"/>
      <c r="P765" s="288"/>
      <c r="Q765" s="284"/>
      <c r="R765" s="284"/>
      <c r="S765" s="285"/>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row>
    <row r="766">
      <c r="A766" s="285"/>
      <c r="B766" s="285"/>
      <c r="C766" s="284"/>
      <c r="D766" s="284"/>
      <c r="E766" s="284"/>
      <c r="F766" s="284"/>
      <c r="G766" s="284"/>
      <c r="H766" s="284"/>
      <c r="I766" s="285"/>
      <c r="J766" s="284"/>
      <c r="K766" s="284"/>
      <c r="L766" s="284"/>
      <c r="M766" s="284"/>
      <c r="N766" s="288"/>
      <c r="O766" s="288"/>
      <c r="P766" s="288"/>
      <c r="Q766" s="284"/>
      <c r="R766" s="284"/>
      <c r="S766" s="285"/>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row>
    <row r="767">
      <c r="A767" s="285"/>
      <c r="B767" s="285"/>
      <c r="C767" s="284"/>
      <c r="D767" s="284"/>
      <c r="E767" s="284"/>
      <c r="F767" s="284"/>
      <c r="G767" s="284"/>
      <c r="H767" s="284"/>
      <c r="I767" s="285"/>
      <c r="J767" s="284"/>
      <c r="K767" s="284"/>
      <c r="L767" s="284"/>
      <c r="M767" s="284"/>
      <c r="N767" s="288"/>
      <c r="O767" s="288"/>
      <c r="P767" s="288"/>
      <c r="Q767" s="284"/>
      <c r="R767" s="284"/>
      <c r="S767" s="285"/>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row>
    <row r="768">
      <c r="A768" s="285"/>
      <c r="B768" s="285"/>
      <c r="C768" s="284"/>
      <c r="D768" s="284"/>
      <c r="E768" s="284"/>
      <c r="F768" s="284"/>
      <c r="G768" s="284"/>
      <c r="H768" s="284"/>
      <c r="I768" s="285"/>
      <c r="J768" s="284"/>
      <c r="K768" s="284"/>
      <c r="L768" s="284"/>
      <c r="M768" s="284"/>
      <c r="N768" s="288"/>
      <c r="O768" s="288"/>
      <c r="P768" s="288"/>
      <c r="Q768" s="284"/>
      <c r="R768" s="284"/>
      <c r="S768" s="285"/>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row>
    <row r="769">
      <c r="A769" s="285"/>
      <c r="B769" s="285"/>
      <c r="C769" s="284"/>
      <c r="D769" s="284"/>
      <c r="E769" s="284"/>
      <c r="F769" s="284"/>
      <c r="G769" s="284"/>
      <c r="H769" s="284"/>
      <c r="I769" s="285"/>
      <c r="J769" s="284"/>
      <c r="K769" s="284"/>
      <c r="L769" s="284"/>
      <c r="M769" s="284"/>
      <c r="N769" s="288"/>
      <c r="O769" s="288"/>
      <c r="P769" s="288"/>
      <c r="Q769" s="284"/>
      <c r="R769" s="284"/>
      <c r="S769" s="285"/>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row>
    <row r="770">
      <c r="A770" s="285"/>
      <c r="B770" s="285"/>
      <c r="C770" s="284"/>
      <c r="D770" s="284"/>
      <c r="E770" s="284"/>
      <c r="F770" s="284"/>
      <c r="G770" s="284"/>
      <c r="H770" s="284"/>
      <c r="I770" s="285"/>
      <c r="J770" s="284"/>
      <c r="K770" s="284"/>
      <c r="L770" s="284"/>
      <c r="M770" s="284"/>
      <c r="N770" s="288"/>
      <c r="O770" s="288"/>
      <c r="P770" s="288"/>
      <c r="Q770" s="284"/>
      <c r="R770" s="284"/>
      <c r="S770" s="285"/>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row>
    <row r="771">
      <c r="A771" s="285"/>
      <c r="B771" s="285"/>
      <c r="C771" s="284"/>
      <c r="D771" s="284"/>
      <c r="E771" s="284"/>
      <c r="F771" s="284"/>
      <c r="G771" s="284"/>
      <c r="H771" s="284"/>
      <c r="I771" s="285"/>
      <c r="J771" s="284"/>
      <c r="K771" s="284"/>
      <c r="L771" s="284"/>
      <c r="M771" s="284"/>
      <c r="N771" s="288"/>
      <c r="O771" s="288"/>
      <c r="P771" s="288"/>
      <c r="Q771" s="284"/>
      <c r="R771" s="284"/>
      <c r="S771" s="285"/>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row>
    <row r="772">
      <c r="A772" s="285"/>
      <c r="B772" s="285"/>
      <c r="C772" s="284"/>
      <c r="D772" s="284"/>
      <c r="E772" s="284"/>
      <c r="F772" s="284"/>
      <c r="G772" s="284"/>
      <c r="H772" s="284"/>
      <c r="I772" s="285"/>
      <c r="J772" s="284"/>
      <c r="K772" s="284"/>
      <c r="L772" s="284"/>
      <c r="M772" s="284"/>
      <c r="N772" s="288"/>
      <c r="O772" s="288"/>
      <c r="P772" s="288"/>
      <c r="Q772" s="284"/>
      <c r="R772" s="284"/>
      <c r="S772" s="285"/>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row>
    <row r="773">
      <c r="A773" s="285"/>
      <c r="B773" s="285"/>
      <c r="C773" s="284"/>
      <c r="D773" s="284"/>
      <c r="E773" s="284"/>
      <c r="F773" s="284"/>
      <c r="G773" s="284"/>
      <c r="H773" s="284"/>
      <c r="I773" s="285"/>
      <c r="J773" s="284"/>
      <c r="K773" s="284"/>
      <c r="L773" s="284"/>
      <c r="M773" s="284"/>
      <c r="N773" s="288"/>
      <c r="O773" s="288"/>
      <c r="P773" s="288"/>
      <c r="Q773" s="284"/>
      <c r="R773" s="284"/>
      <c r="S773" s="285"/>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row>
    <row r="774">
      <c r="A774" s="285"/>
      <c r="B774" s="285"/>
      <c r="C774" s="284"/>
      <c r="D774" s="284"/>
      <c r="E774" s="284"/>
      <c r="F774" s="284"/>
      <c r="G774" s="284"/>
      <c r="H774" s="284"/>
      <c r="I774" s="285"/>
      <c r="J774" s="284"/>
      <c r="K774" s="284"/>
      <c r="L774" s="284"/>
      <c r="M774" s="284"/>
      <c r="N774" s="288"/>
      <c r="O774" s="288"/>
      <c r="P774" s="288"/>
      <c r="Q774" s="284"/>
      <c r="R774" s="284"/>
      <c r="S774" s="285"/>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row>
    <row r="775">
      <c r="A775" s="285"/>
      <c r="B775" s="285"/>
      <c r="C775" s="284"/>
      <c r="D775" s="284"/>
      <c r="E775" s="284"/>
      <c r="F775" s="284"/>
      <c r="G775" s="284"/>
      <c r="H775" s="284"/>
      <c r="I775" s="285"/>
      <c r="J775" s="284"/>
      <c r="K775" s="284"/>
      <c r="L775" s="284"/>
      <c r="M775" s="284"/>
      <c r="N775" s="288"/>
      <c r="O775" s="288"/>
      <c r="P775" s="288"/>
      <c r="Q775" s="284"/>
      <c r="R775" s="284"/>
      <c r="S775" s="285"/>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row>
    <row r="776">
      <c r="A776" s="285"/>
      <c r="B776" s="285"/>
      <c r="C776" s="284"/>
      <c r="D776" s="284"/>
      <c r="E776" s="284"/>
      <c r="F776" s="284"/>
      <c r="G776" s="284"/>
      <c r="H776" s="284"/>
      <c r="I776" s="285"/>
      <c r="J776" s="284"/>
      <c r="K776" s="284"/>
      <c r="L776" s="284"/>
      <c r="M776" s="284"/>
      <c r="N776" s="288"/>
      <c r="O776" s="288"/>
      <c r="P776" s="288"/>
      <c r="Q776" s="284"/>
      <c r="R776" s="284"/>
      <c r="S776" s="285"/>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row>
    <row r="777">
      <c r="A777" s="285"/>
      <c r="B777" s="285"/>
      <c r="C777" s="284"/>
      <c r="D777" s="284"/>
      <c r="E777" s="284"/>
      <c r="F777" s="284"/>
      <c r="G777" s="284"/>
      <c r="H777" s="284"/>
      <c r="I777" s="285"/>
      <c r="J777" s="284"/>
      <c r="K777" s="284"/>
      <c r="L777" s="284"/>
      <c r="M777" s="284"/>
      <c r="N777" s="288"/>
      <c r="O777" s="288"/>
      <c r="P777" s="288"/>
      <c r="Q777" s="284"/>
      <c r="R777" s="284"/>
      <c r="S777" s="285"/>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row>
    <row r="778">
      <c r="A778" s="285"/>
      <c r="B778" s="285"/>
      <c r="C778" s="284"/>
      <c r="D778" s="284"/>
      <c r="E778" s="284"/>
      <c r="F778" s="284"/>
      <c r="G778" s="284"/>
      <c r="H778" s="284"/>
      <c r="I778" s="285"/>
      <c r="J778" s="284"/>
      <c r="K778" s="284"/>
      <c r="L778" s="284"/>
      <c r="M778" s="284"/>
      <c r="N778" s="288"/>
      <c r="O778" s="288"/>
      <c r="P778" s="288"/>
      <c r="Q778" s="284"/>
      <c r="R778" s="284"/>
      <c r="S778" s="285"/>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row>
    <row r="779">
      <c r="A779" s="285"/>
      <c r="B779" s="285"/>
      <c r="C779" s="284"/>
      <c r="D779" s="284"/>
      <c r="E779" s="284"/>
      <c r="F779" s="284"/>
      <c r="G779" s="284"/>
      <c r="H779" s="284"/>
      <c r="I779" s="285"/>
      <c r="J779" s="284"/>
      <c r="K779" s="284"/>
      <c r="L779" s="284"/>
      <c r="M779" s="284"/>
      <c r="N779" s="288"/>
      <c r="O779" s="288"/>
      <c r="P779" s="288"/>
      <c r="Q779" s="284"/>
      <c r="R779" s="284"/>
      <c r="S779" s="285"/>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row>
    <row r="780">
      <c r="A780" s="285"/>
      <c r="B780" s="285"/>
      <c r="C780" s="284"/>
      <c r="D780" s="284"/>
      <c r="E780" s="284"/>
      <c r="F780" s="284"/>
      <c r="G780" s="284"/>
      <c r="H780" s="284"/>
      <c r="I780" s="285"/>
      <c r="J780" s="284"/>
      <c r="K780" s="284"/>
      <c r="L780" s="284"/>
      <c r="M780" s="284"/>
      <c r="N780" s="288"/>
      <c r="O780" s="288"/>
      <c r="P780" s="288"/>
      <c r="Q780" s="284"/>
      <c r="R780" s="284"/>
      <c r="S780" s="285"/>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row>
    <row r="781">
      <c r="A781" s="285"/>
      <c r="B781" s="285"/>
      <c r="C781" s="284"/>
      <c r="D781" s="284"/>
      <c r="E781" s="284"/>
      <c r="F781" s="284"/>
      <c r="G781" s="284"/>
      <c r="H781" s="284"/>
      <c r="I781" s="285"/>
      <c r="J781" s="284"/>
      <c r="K781" s="284"/>
      <c r="L781" s="284"/>
      <c r="M781" s="284"/>
      <c r="N781" s="288"/>
      <c r="O781" s="288"/>
      <c r="P781" s="288"/>
      <c r="Q781" s="284"/>
      <c r="R781" s="284"/>
      <c r="S781" s="285"/>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row>
    <row r="782">
      <c r="A782" s="285"/>
      <c r="B782" s="285"/>
      <c r="C782" s="284"/>
      <c r="D782" s="284"/>
      <c r="E782" s="284"/>
      <c r="F782" s="284"/>
      <c r="G782" s="284"/>
      <c r="H782" s="284"/>
      <c r="I782" s="285"/>
      <c r="J782" s="284"/>
      <c r="K782" s="284"/>
      <c r="L782" s="284"/>
      <c r="M782" s="284"/>
      <c r="N782" s="288"/>
      <c r="O782" s="288"/>
      <c r="P782" s="288"/>
      <c r="Q782" s="284"/>
      <c r="R782" s="284"/>
      <c r="S782" s="285"/>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row>
    <row r="783">
      <c r="A783" s="285"/>
      <c r="B783" s="285"/>
      <c r="C783" s="284"/>
      <c r="D783" s="284"/>
      <c r="E783" s="284"/>
      <c r="F783" s="284"/>
      <c r="G783" s="284"/>
      <c r="H783" s="284"/>
      <c r="I783" s="285"/>
      <c r="J783" s="284"/>
      <c r="K783" s="284"/>
      <c r="L783" s="284"/>
      <c r="M783" s="284"/>
      <c r="N783" s="288"/>
      <c r="O783" s="288"/>
      <c r="P783" s="288"/>
      <c r="Q783" s="284"/>
      <c r="R783" s="284"/>
      <c r="S783" s="285"/>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row>
    <row r="784">
      <c r="A784" s="285"/>
      <c r="B784" s="285"/>
      <c r="C784" s="284"/>
      <c r="D784" s="284"/>
      <c r="E784" s="284"/>
      <c r="F784" s="284"/>
      <c r="G784" s="284"/>
      <c r="H784" s="284"/>
      <c r="I784" s="285"/>
      <c r="J784" s="284"/>
      <c r="K784" s="284"/>
      <c r="L784" s="284"/>
      <c r="M784" s="284"/>
      <c r="N784" s="288"/>
      <c r="O784" s="288"/>
      <c r="P784" s="288"/>
      <c r="Q784" s="284"/>
      <c r="R784" s="284"/>
      <c r="S784" s="285"/>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row>
    <row r="785">
      <c r="A785" s="285"/>
      <c r="B785" s="285"/>
      <c r="C785" s="284"/>
      <c r="D785" s="284"/>
      <c r="E785" s="284"/>
      <c r="F785" s="284"/>
      <c r="G785" s="284"/>
      <c r="H785" s="284"/>
      <c r="I785" s="285"/>
      <c r="J785" s="284"/>
      <c r="K785" s="284"/>
      <c r="L785" s="284"/>
      <c r="M785" s="284"/>
      <c r="N785" s="288"/>
      <c r="O785" s="288"/>
      <c r="P785" s="288"/>
      <c r="Q785" s="284"/>
      <c r="R785" s="284"/>
      <c r="S785" s="285"/>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row>
    <row r="786">
      <c r="A786" s="285"/>
      <c r="B786" s="285"/>
      <c r="C786" s="284"/>
      <c r="D786" s="284"/>
      <c r="E786" s="284"/>
      <c r="F786" s="284"/>
      <c r="G786" s="284"/>
      <c r="H786" s="284"/>
      <c r="I786" s="285"/>
      <c r="J786" s="284"/>
      <c r="K786" s="284"/>
      <c r="L786" s="284"/>
      <c r="M786" s="284"/>
      <c r="N786" s="288"/>
      <c r="O786" s="288"/>
      <c r="P786" s="288"/>
      <c r="Q786" s="284"/>
      <c r="R786" s="284"/>
      <c r="S786" s="285"/>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row>
    <row r="787">
      <c r="A787" s="285"/>
      <c r="B787" s="285"/>
      <c r="C787" s="284"/>
      <c r="D787" s="284"/>
      <c r="E787" s="284"/>
      <c r="F787" s="284"/>
      <c r="G787" s="284"/>
      <c r="H787" s="284"/>
      <c r="I787" s="285"/>
      <c r="J787" s="284"/>
      <c r="K787" s="284"/>
      <c r="L787" s="284"/>
      <c r="M787" s="284"/>
      <c r="N787" s="288"/>
      <c r="O787" s="288"/>
      <c r="P787" s="288"/>
      <c r="Q787" s="284"/>
      <c r="R787" s="284"/>
      <c r="S787" s="285"/>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row>
    <row r="788">
      <c r="A788" s="285"/>
      <c r="B788" s="285"/>
      <c r="C788" s="284"/>
      <c r="D788" s="284"/>
      <c r="E788" s="284"/>
      <c r="F788" s="284"/>
      <c r="G788" s="284"/>
      <c r="H788" s="284"/>
      <c r="I788" s="285"/>
      <c r="J788" s="284"/>
      <c r="K788" s="284"/>
      <c r="L788" s="284"/>
      <c r="M788" s="284"/>
      <c r="N788" s="288"/>
      <c r="O788" s="288"/>
      <c r="P788" s="288"/>
      <c r="Q788" s="284"/>
      <c r="R788" s="284"/>
      <c r="S788" s="285"/>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row>
    <row r="789">
      <c r="A789" s="285"/>
      <c r="B789" s="285"/>
      <c r="C789" s="284"/>
      <c r="D789" s="284"/>
      <c r="E789" s="284"/>
      <c r="F789" s="284"/>
      <c r="G789" s="284"/>
      <c r="H789" s="284"/>
      <c r="I789" s="285"/>
      <c r="J789" s="284"/>
      <c r="K789" s="284"/>
      <c r="L789" s="284"/>
      <c r="M789" s="284"/>
      <c r="N789" s="288"/>
      <c r="O789" s="288"/>
      <c r="P789" s="288"/>
      <c r="Q789" s="284"/>
      <c r="R789" s="284"/>
      <c r="S789" s="285"/>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row>
    <row r="790">
      <c r="A790" s="285"/>
      <c r="B790" s="285"/>
      <c r="C790" s="284"/>
      <c r="D790" s="284"/>
      <c r="E790" s="284"/>
      <c r="F790" s="284"/>
      <c r="G790" s="284"/>
      <c r="H790" s="284"/>
      <c r="I790" s="285"/>
      <c r="J790" s="284"/>
      <c r="K790" s="284"/>
      <c r="L790" s="284"/>
      <c r="M790" s="284"/>
      <c r="N790" s="288"/>
      <c r="O790" s="288"/>
      <c r="P790" s="288"/>
      <c r="Q790" s="284"/>
      <c r="R790" s="284"/>
      <c r="S790" s="285"/>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row>
    <row r="791">
      <c r="A791" s="285"/>
      <c r="B791" s="285"/>
      <c r="C791" s="284"/>
      <c r="D791" s="284"/>
      <c r="E791" s="284"/>
      <c r="F791" s="284"/>
      <c r="G791" s="284"/>
      <c r="H791" s="284"/>
      <c r="I791" s="285"/>
      <c r="J791" s="284"/>
      <c r="K791" s="284"/>
      <c r="L791" s="284"/>
      <c r="M791" s="284"/>
      <c r="N791" s="288"/>
      <c r="O791" s="288"/>
      <c r="P791" s="288"/>
      <c r="Q791" s="284"/>
      <c r="R791" s="284"/>
      <c r="S791" s="285"/>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row>
    <row r="792">
      <c r="A792" s="285"/>
      <c r="B792" s="285"/>
      <c r="C792" s="284"/>
      <c r="D792" s="284"/>
      <c r="E792" s="284"/>
      <c r="F792" s="284"/>
      <c r="G792" s="284"/>
      <c r="H792" s="284"/>
      <c r="I792" s="285"/>
      <c r="J792" s="284"/>
      <c r="K792" s="284"/>
      <c r="L792" s="284"/>
      <c r="M792" s="284"/>
      <c r="N792" s="288"/>
      <c r="O792" s="288"/>
      <c r="P792" s="288"/>
      <c r="Q792" s="284"/>
      <c r="R792" s="284"/>
      <c r="S792" s="285"/>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row>
    <row r="793">
      <c r="A793" s="285"/>
      <c r="B793" s="285"/>
      <c r="C793" s="284"/>
      <c r="D793" s="284"/>
      <c r="E793" s="284"/>
      <c r="F793" s="284"/>
      <c r="G793" s="284"/>
      <c r="H793" s="284"/>
      <c r="I793" s="285"/>
      <c r="J793" s="284"/>
      <c r="K793" s="284"/>
      <c r="L793" s="284"/>
      <c r="M793" s="284"/>
      <c r="N793" s="288"/>
      <c r="O793" s="288"/>
      <c r="P793" s="288"/>
      <c r="Q793" s="284"/>
      <c r="R793" s="284"/>
      <c r="S793" s="285"/>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row>
    <row r="794">
      <c r="A794" s="285"/>
      <c r="B794" s="285"/>
      <c r="C794" s="284"/>
      <c r="D794" s="284"/>
      <c r="E794" s="284"/>
      <c r="F794" s="284"/>
      <c r="G794" s="284"/>
      <c r="H794" s="284"/>
      <c r="I794" s="285"/>
      <c r="J794" s="284"/>
      <c r="K794" s="284"/>
      <c r="L794" s="284"/>
      <c r="M794" s="284"/>
      <c r="N794" s="288"/>
      <c r="O794" s="288"/>
      <c r="P794" s="288"/>
      <c r="Q794" s="284"/>
      <c r="R794" s="284"/>
      <c r="S794" s="285"/>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row>
    <row r="795">
      <c r="A795" s="285"/>
      <c r="B795" s="285"/>
      <c r="C795" s="284"/>
      <c r="D795" s="284"/>
      <c r="E795" s="284"/>
      <c r="F795" s="284"/>
      <c r="G795" s="284"/>
      <c r="H795" s="284"/>
      <c r="I795" s="285"/>
      <c r="J795" s="284"/>
      <c r="K795" s="284"/>
      <c r="L795" s="284"/>
      <c r="M795" s="284"/>
      <c r="N795" s="288"/>
      <c r="O795" s="288"/>
      <c r="P795" s="288"/>
      <c r="Q795" s="284"/>
      <c r="R795" s="284"/>
      <c r="S795" s="285"/>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row>
    <row r="796">
      <c r="A796" s="285"/>
      <c r="B796" s="285"/>
      <c r="C796" s="284"/>
      <c r="D796" s="284"/>
      <c r="E796" s="284"/>
      <c r="F796" s="284"/>
      <c r="G796" s="284"/>
      <c r="H796" s="284"/>
      <c r="I796" s="285"/>
      <c r="J796" s="284"/>
      <c r="K796" s="284"/>
      <c r="L796" s="284"/>
      <c r="M796" s="284"/>
      <c r="N796" s="288"/>
      <c r="O796" s="288"/>
      <c r="P796" s="288"/>
      <c r="Q796" s="284"/>
      <c r="R796" s="284"/>
      <c r="S796" s="285"/>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row>
    <row r="797">
      <c r="A797" s="285"/>
      <c r="B797" s="285"/>
      <c r="C797" s="284"/>
      <c r="D797" s="284"/>
      <c r="E797" s="284"/>
      <c r="F797" s="284"/>
      <c r="G797" s="284"/>
      <c r="H797" s="284"/>
      <c r="I797" s="285"/>
      <c r="J797" s="284"/>
      <c r="K797" s="284"/>
      <c r="L797" s="284"/>
      <c r="M797" s="284"/>
      <c r="N797" s="288"/>
      <c r="O797" s="288"/>
      <c r="P797" s="288"/>
      <c r="Q797" s="284"/>
      <c r="R797" s="284"/>
      <c r="S797" s="285"/>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row>
    <row r="798">
      <c r="A798" s="285"/>
      <c r="B798" s="285"/>
      <c r="C798" s="284"/>
      <c r="D798" s="284"/>
      <c r="E798" s="284"/>
      <c r="F798" s="284"/>
      <c r="G798" s="284"/>
      <c r="H798" s="284"/>
      <c r="I798" s="285"/>
      <c r="J798" s="284"/>
      <c r="K798" s="284"/>
      <c r="L798" s="284"/>
      <c r="M798" s="284"/>
      <c r="N798" s="288"/>
      <c r="O798" s="288"/>
      <c r="P798" s="288"/>
      <c r="Q798" s="284"/>
      <c r="R798" s="284"/>
      <c r="S798" s="285"/>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row>
    <row r="799">
      <c r="A799" s="285"/>
      <c r="B799" s="285"/>
      <c r="C799" s="284"/>
      <c r="D799" s="284"/>
      <c r="E799" s="284"/>
      <c r="F799" s="284"/>
      <c r="G799" s="284"/>
      <c r="H799" s="284"/>
      <c r="I799" s="285"/>
      <c r="J799" s="284"/>
      <c r="K799" s="284"/>
      <c r="L799" s="284"/>
      <c r="M799" s="284"/>
      <c r="N799" s="288"/>
      <c r="O799" s="288"/>
      <c r="P799" s="288"/>
      <c r="Q799" s="284"/>
      <c r="R799" s="284"/>
      <c r="S799" s="285"/>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row>
    <row r="800">
      <c r="A800" s="285"/>
      <c r="B800" s="285"/>
      <c r="C800" s="284"/>
      <c r="D800" s="284"/>
      <c r="E800" s="284"/>
      <c r="F800" s="284"/>
      <c r="G800" s="284"/>
      <c r="H800" s="284"/>
      <c r="I800" s="285"/>
      <c r="J800" s="284"/>
      <c r="K800" s="284"/>
      <c r="L800" s="284"/>
      <c r="M800" s="284"/>
      <c r="N800" s="288"/>
      <c r="O800" s="288"/>
      <c r="P800" s="288"/>
      <c r="Q800" s="284"/>
      <c r="R800" s="284"/>
      <c r="S800" s="285"/>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row>
    <row r="801">
      <c r="A801" s="285"/>
      <c r="B801" s="285"/>
      <c r="C801" s="284"/>
      <c r="D801" s="284"/>
      <c r="E801" s="284"/>
      <c r="F801" s="284"/>
      <c r="G801" s="284"/>
      <c r="H801" s="284"/>
      <c r="I801" s="285"/>
      <c r="J801" s="284"/>
      <c r="K801" s="284"/>
      <c r="L801" s="284"/>
      <c r="M801" s="284"/>
      <c r="N801" s="288"/>
      <c r="O801" s="288"/>
      <c r="P801" s="288"/>
      <c r="Q801" s="284"/>
      <c r="R801" s="284"/>
      <c r="S801" s="285"/>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row>
    <row r="802">
      <c r="A802" s="285"/>
      <c r="B802" s="285"/>
      <c r="C802" s="284"/>
      <c r="D802" s="284"/>
      <c r="E802" s="284"/>
      <c r="F802" s="284"/>
      <c r="G802" s="284"/>
      <c r="H802" s="284"/>
      <c r="I802" s="285"/>
      <c r="J802" s="284"/>
      <c r="K802" s="284"/>
      <c r="L802" s="284"/>
      <c r="M802" s="284"/>
      <c r="N802" s="288"/>
      <c r="O802" s="288"/>
      <c r="P802" s="288"/>
      <c r="Q802" s="284"/>
      <c r="R802" s="284"/>
      <c r="S802" s="285"/>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row>
    <row r="803">
      <c r="A803" s="285"/>
      <c r="B803" s="285"/>
      <c r="C803" s="284"/>
      <c r="D803" s="284"/>
      <c r="E803" s="284"/>
      <c r="F803" s="284"/>
      <c r="G803" s="284"/>
      <c r="H803" s="284"/>
      <c r="I803" s="285"/>
      <c r="J803" s="284"/>
      <c r="K803" s="284"/>
      <c r="L803" s="284"/>
      <c r="M803" s="284"/>
      <c r="N803" s="288"/>
      <c r="O803" s="288"/>
      <c r="P803" s="288"/>
      <c r="Q803" s="284"/>
      <c r="R803" s="284"/>
      <c r="S803" s="285"/>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row>
    <row r="804">
      <c r="A804" s="285"/>
      <c r="B804" s="285"/>
      <c r="C804" s="284"/>
      <c r="D804" s="284"/>
      <c r="E804" s="284"/>
      <c r="F804" s="284"/>
      <c r="G804" s="284"/>
      <c r="H804" s="284"/>
      <c r="I804" s="285"/>
      <c r="J804" s="284"/>
      <c r="K804" s="284"/>
      <c r="L804" s="284"/>
      <c r="M804" s="284"/>
      <c r="N804" s="288"/>
      <c r="O804" s="288"/>
      <c r="P804" s="288"/>
      <c r="Q804" s="284"/>
      <c r="R804" s="284"/>
      <c r="S804" s="285"/>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row>
    <row r="805">
      <c r="A805" s="285"/>
      <c r="B805" s="285"/>
      <c r="C805" s="284"/>
      <c r="D805" s="284"/>
      <c r="E805" s="284"/>
      <c r="F805" s="284"/>
      <c r="G805" s="284"/>
      <c r="H805" s="284"/>
      <c r="I805" s="285"/>
      <c r="J805" s="284"/>
      <c r="K805" s="284"/>
      <c r="L805" s="284"/>
      <c r="M805" s="284"/>
      <c r="N805" s="288"/>
      <c r="O805" s="288"/>
      <c r="P805" s="288"/>
      <c r="Q805" s="284"/>
      <c r="R805" s="284"/>
      <c r="S805" s="285"/>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row>
    <row r="806">
      <c r="A806" s="285"/>
      <c r="B806" s="285"/>
      <c r="C806" s="284"/>
      <c r="D806" s="284"/>
      <c r="E806" s="284"/>
      <c r="F806" s="284"/>
      <c r="G806" s="284"/>
      <c r="H806" s="284"/>
      <c r="I806" s="285"/>
      <c r="J806" s="284"/>
      <c r="K806" s="284"/>
      <c r="L806" s="284"/>
      <c r="M806" s="284"/>
      <c r="N806" s="288"/>
      <c r="O806" s="288"/>
      <c r="P806" s="288"/>
      <c r="Q806" s="284"/>
      <c r="R806" s="284"/>
      <c r="S806" s="285"/>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row>
    <row r="807">
      <c r="A807" s="285"/>
      <c r="B807" s="285"/>
      <c r="C807" s="284"/>
      <c r="D807" s="284"/>
      <c r="E807" s="284"/>
      <c r="F807" s="284"/>
      <c r="G807" s="284"/>
      <c r="H807" s="284"/>
      <c r="I807" s="285"/>
      <c r="J807" s="284"/>
      <c r="K807" s="284"/>
      <c r="L807" s="284"/>
      <c r="M807" s="284"/>
      <c r="N807" s="288"/>
      <c r="O807" s="288"/>
      <c r="P807" s="288"/>
      <c r="Q807" s="284"/>
      <c r="R807" s="284"/>
      <c r="S807" s="285"/>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row>
    <row r="808">
      <c r="A808" s="285"/>
      <c r="B808" s="285"/>
      <c r="C808" s="284"/>
      <c r="D808" s="284"/>
      <c r="E808" s="284"/>
      <c r="F808" s="284"/>
      <c r="G808" s="284"/>
      <c r="H808" s="284"/>
      <c r="I808" s="285"/>
      <c r="J808" s="284"/>
      <c r="K808" s="284"/>
      <c r="L808" s="284"/>
      <c r="M808" s="284"/>
      <c r="N808" s="288"/>
      <c r="O808" s="288"/>
      <c r="P808" s="288"/>
      <c r="Q808" s="284"/>
      <c r="R808" s="284"/>
      <c r="S808" s="285"/>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row>
    <row r="809">
      <c r="A809" s="285"/>
      <c r="B809" s="285"/>
      <c r="C809" s="284"/>
      <c r="D809" s="284"/>
      <c r="E809" s="284"/>
      <c r="F809" s="284"/>
      <c r="G809" s="284"/>
      <c r="H809" s="284"/>
      <c r="I809" s="285"/>
      <c r="J809" s="284"/>
      <c r="K809" s="284"/>
      <c r="L809" s="284"/>
      <c r="M809" s="284"/>
      <c r="N809" s="288"/>
      <c r="O809" s="288"/>
      <c r="P809" s="288"/>
      <c r="Q809" s="284"/>
      <c r="R809" s="284"/>
      <c r="S809" s="285"/>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row>
    <row r="810">
      <c r="A810" s="285"/>
      <c r="B810" s="285"/>
      <c r="C810" s="284"/>
      <c r="D810" s="284"/>
      <c r="E810" s="284"/>
      <c r="F810" s="284"/>
      <c r="G810" s="284"/>
      <c r="H810" s="284"/>
      <c r="I810" s="285"/>
      <c r="J810" s="284"/>
      <c r="K810" s="284"/>
      <c r="L810" s="284"/>
      <c r="M810" s="284"/>
      <c r="N810" s="288"/>
      <c r="O810" s="288"/>
      <c r="P810" s="288"/>
      <c r="Q810" s="284"/>
      <c r="R810" s="284"/>
      <c r="S810" s="285"/>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row>
    <row r="811">
      <c r="A811" s="285"/>
      <c r="B811" s="285"/>
      <c r="C811" s="284"/>
      <c r="D811" s="284"/>
      <c r="E811" s="284"/>
      <c r="F811" s="284"/>
      <c r="G811" s="284"/>
      <c r="H811" s="284"/>
      <c r="I811" s="285"/>
      <c r="J811" s="284"/>
      <c r="K811" s="284"/>
      <c r="L811" s="284"/>
      <c r="M811" s="284"/>
      <c r="N811" s="288"/>
      <c r="O811" s="288"/>
      <c r="P811" s="288"/>
      <c r="Q811" s="284"/>
      <c r="R811" s="284"/>
      <c r="S811" s="285"/>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row>
    <row r="812">
      <c r="A812" s="285"/>
      <c r="B812" s="285"/>
      <c r="C812" s="284"/>
      <c r="D812" s="284"/>
      <c r="E812" s="284"/>
      <c r="F812" s="284"/>
      <c r="G812" s="284"/>
      <c r="H812" s="284"/>
      <c r="I812" s="285"/>
      <c r="J812" s="284"/>
      <c r="K812" s="284"/>
      <c r="L812" s="284"/>
      <c r="M812" s="284"/>
      <c r="N812" s="288"/>
      <c r="O812" s="288"/>
      <c r="P812" s="288"/>
      <c r="Q812" s="284"/>
      <c r="R812" s="284"/>
      <c r="S812" s="285"/>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row>
    <row r="813">
      <c r="A813" s="285"/>
      <c r="B813" s="285"/>
      <c r="C813" s="284"/>
      <c r="D813" s="284"/>
      <c r="E813" s="284"/>
      <c r="F813" s="284"/>
      <c r="G813" s="284"/>
      <c r="H813" s="284"/>
      <c r="I813" s="285"/>
      <c r="J813" s="284"/>
      <c r="K813" s="284"/>
      <c r="L813" s="284"/>
      <c r="M813" s="284"/>
      <c r="N813" s="288"/>
      <c r="O813" s="288"/>
      <c r="P813" s="288"/>
      <c r="Q813" s="284"/>
      <c r="R813" s="284"/>
      <c r="S813" s="285"/>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row>
    <row r="814">
      <c r="A814" s="285"/>
      <c r="B814" s="285"/>
      <c r="C814" s="284"/>
      <c r="D814" s="284"/>
      <c r="E814" s="284"/>
      <c r="F814" s="284"/>
      <c r="G814" s="284"/>
      <c r="H814" s="284"/>
      <c r="I814" s="285"/>
      <c r="J814" s="284"/>
      <c r="K814" s="284"/>
      <c r="L814" s="284"/>
      <c r="M814" s="284"/>
      <c r="N814" s="288"/>
      <c r="O814" s="288"/>
      <c r="P814" s="288"/>
      <c r="Q814" s="284"/>
      <c r="R814" s="284"/>
      <c r="S814" s="285"/>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row>
    <row r="815">
      <c r="A815" s="285"/>
      <c r="B815" s="285"/>
      <c r="C815" s="284"/>
      <c r="D815" s="284"/>
      <c r="E815" s="284"/>
      <c r="F815" s="284"/>
      <c r="G815" s="284"/>
      <c r="H815" s="284"/>
      <c r="I815" s="285"/>
      <c r="J815" s="284"/>
      <c r="K815" s="284"/>
      <c r="L815" s="284"/>
      <c r="M815" s="284"/>
      <c r="N815" s="288"/>
      <c r="O815" s="288"/>
      <c r="P815" s="288"/>
      <c r="Q815" s="284"/>
      <c r="R815" s="284"/>
      <c r="S815" s="285"/>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row>
    <row r="816">
      <c r="A816" s="285"/>
      <c r="B816" s="285"/>
      <c r="C816" s="284"/>
      <c r="D816" s="284"/>
      <c r="E816" s="284"/>
      <c r="F816" s="284"/>
      <c r="G816" s="284"/>
      <c r="H816" s="284"/>
      <c r="I816" s="285"/>
      <c r="J816" s="284"/>
      <c r="K816" s="284"/>
      <c r="L816" s="284"/>
      <c r="M816" s="284"/>
      <c r="N816" s="288"/>
      <c r="O816" s="288"/>
      <c r="P816" s="288"/>
      <c r="Q816" s="284"/>
      <c r="R816" s="284"/>
      <c r="S816" s="285"/>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row>
    <row r="817">
      <c r="A817" s="285"/>
      <c r="B817" s="285"/>
      <c r="C817" s="284"/>
      <c r="D817" s="284"/>
      <c r="E817" s="284"/>
      <c r="F817" s="284"/>
      <c r="G817" s="284"/>
      <c r="H817" s="284"/>
      <c r="I817" s="285"/>
      <c r="J817" s="284"/>
      <c r="K817" s="284"/>
      <c r="L817" s="284"/>
      <c r="M817" s="284"/>
      <c r="N817" s="288"/>
      <c r="O817" s="288"/>
      <c r="P817" s="288"/>
      <c r="Q817" s="284"/>
      <c r="R817" s="284"/>
      <c r="S817" s="285"/>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row>
    <row r="818">
      <c r="A818" s="285"/>
      <c r="B818" s="285"/>
      <c r="C818" s="284"/>
      <c r="D818" s="284"/>
      <c r="E818" s="284"/>
      <c r="F818" s="284"/>
      <c r="G818" s="284"/>
      <c r="H818" s="284"/>
      <c r="I818" s="285"/>
      <c r="J818" s="284"/>
      <c r="K818" s="284"/>
      <c r="L818" s="284"/>
      <c r="M818" s="284"/>
      <c r="N818" s="288"/>
      <c r="O818" s="288"/>
      <c r="P818" s="288"/>
      <c r="Q818" s="284"/>
      <c r="R818" s="284"/>
      <c r="S818" s="285"/>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row>
    <row r="819">
      <c r="A819" s="285"/>
      <c r="B819" s="285"/>
      <c r="C819" s="284"/>
      <c r="D819" s="284"/>
      <c r="E819" s="284"/>
      <c r="F819" s="284"/>
      <c r="G819" s="284"/>
      <c r="H819" s="284"/>
      <c r="I819" s="285"/>
      <c r="J819" s="284"/>
      <c r="K819" s="284"/>
      <c r="L819" s="284"/>
      <c r="M819" s="284"/>
      <c r="N819" s="288"/>
      <c r="O819" s="288"/>
      <c r="P819" s="288"/>
      <c r="Q819" s="284"/>
      <c r="R819" s="284"/>
      <c r="S819" s="285"/>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row>
    <row r="820">
      <c r="A820" s="285"/>
      <c r="B820" s="285"/>
      <c r="C820" s="284"/>
      <c r="D820" s="284"/>
      <c r="E820" s="284"/>
      <c r="F820" s="284"/>
      <c r="G820" s="284"/>
      <c r="H820" s="284"/>
      <c r="I820" s="285"/>
      <c r="J820" s="284"/>
      <c r="K820" s="284"/>
      <c r="L820" s="284"/>
      <c r="M820" s="284"/>
      <c r="N820" s="288"/>
      <c r="O820" s="288"/>
      <c r="P820" s="288"/>
      <c r="Q820" s="284"/>
      <c r="R820" s="284"/>
      <c r="S820" s="285"/>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row>
    <row r="821">
      <c r="A821" s="285"/>
      <c r="B821" s="285"/>
      <c r="C821" s="284"/>
      <c r="D821" s="284"/>
      <c r="E821" s="284"/>
      <c r="F821" s="284"/>
      <c r="G821" s="284"/>
      <c r="H821" s="284"/>
      <c r="I821" s="285"/>
      <c r="J821" s="284"/>
      <c r="K821" s="284"/>
      <c r="L821" s="284"/>
      <c r="M821" s="284"/>
      <c r="N821" s="288"/>
      <c r="O821" s="288"/>
      <c r="P821" s="288"/>
      <c r="Q821" s="284"/>
      <c r="R821" s="284"/>
      <c r="S821" s="285"/>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row>
    <row r="822">
      <c r="A822" s="285"/>
      <c r="B822" s="285"/>
      <c r="C822" s="284"/>
      <c r="D822" s="284"/>
      <c r="E822" s="284"/>
      <c r="F822" s="284"/>
      <c r="G822" s="284"/>
      <c r="H822" s="284"/>
      <c r="I822" s="285"/>
      <c r="J822" s="284"/>
      <c r="K822" s="284"/>
      <c r="L822" s="284"/>
      <c r="M822" s="284"/>
      <c r="N822" s="288"/>
      <c r="O822" s="288"/>
      <c r="P822" s="288"/>
      <c r="Q822" s="284"/>
      <c r="R822" s="284"/>
      <c r="S822" s="285"/>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row>
    <row r="823">
      <c r="A823" s="285"/>
      <c r="B823" s="285"/>
      <c r="C823" s="284"/>
      <c r="D823" s="284"/>
      <c r="E823" s="284"/>
      <c r="F823" s="284"/>
      <c r="G823" s="284"/>
      <c r="H823" s="284"/>
      <c r="I823" s="285"/>
      <c r="J823" s="284"/>
      <c r="K823" s="284"/>
      <c r="L823" s="284"/>
      <c r="M823" s="284"/>
      <c r="N823" s="288"/>
      <c r="O823" s="288"/>
      <c r="P823" s="288"/>
      <c r="Q823" s="284"/>
      <c r="R823" s="284"/>
      <c r="S823" s="285"/>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row>
    <row r="824">
      <c r="A824" s="285"/>
      <c r="B824" s="285"/>
      <c r="C824" s="284"/>
      <c r="D824" s="284"/>
      <c r="E824" s="284"/>
      <c r="F824" s="284"/>
      <c r="G824" s="284"/>
      <c r="H824" s="284"/>
      <c r="I824" s="285"/>
      <c r="J824" s="284"/>
      <c r="K824" s="284"/>
      <c r="L824" s="284"/>
      <c r="M824" s="284"/>
      <c r="N824" s="288"/>
      <c r="O824" s="288"/>
      <c r="P824" s="288"/>
      <c r="Q824" s="284"/>
      <c r="R824" s="284"/>
      <c r="S824" s="285"/>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row>
    <row r="825">
      <c r="A825" s="285"/>
      <c r="B825" s="285"/>
      <c r="C825" s="284"/>
      <c r="D825" s="284"/>
      <c r="E825" s="284"/>
      <c r="F825" s="284"/>
      <c r="G825" s="284"/>
      <c r="H825" s="284"/>
      <c r="I825" s="285"/>
      <c r="J825" s="284"/>
      <c r="K825" s="284"/>
      <c r="L825" s="284"/>
      <c r="M825" s="284"/>
      <c r="N825" s="288"/>
      <c r="O825" s="288"/>
      <c r="P825" s="288"/>
      <c r="Q825" s="284"/>
      <c r="R825" s="284"/>
      <c r="S825" s="285"/>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row>
    <row r="826">
      <c r="A826" s="285"/>
      <c r="B826" s="285"/>
      <c r="C826" s="284"/>
      <c r="D826" s="284"/>
      <c r="E826" s="284"/>
      <c r="F826" s="284"/>
      <c r="G826" s="284"/>
      <c r="H826" s="284"/>
      <c r="I826" s="285"/>
      <c r="J826" s="284"/>
      <c r="K826" s="284"/>
      <c r="L826" s="284"/>
      <c r="M826" s="284"/>
      <c r="N826" s="288"/>
      <c r="O826" s="288"/>
      <c r="P826" s="288"/>
      <c r="Q826" s="284"/>
      <c r="R826" s="284"/>
      <c r="S826" s="285"/>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row>
    <row r="827">
      <c r="A827" s="285"/>
      <c r="B827" s="285"/>
      <c r="C827" s="284"/>
      <c r="D827" s="284"/>
      <c r="E827" s="284"/>
      <c r="F827" s="284"/>
      <c r="G827" s="284"/>
      <c r="H827" s="284"/>
      <c r="I827" s="285"/>
      <c r="J827" s="284"/>
      <c r="K827" s="284"/>
      <c r="L827" s="284"/>
      <c r="M827" s="284"/>
      <c r="N827" s="288"/>
      <c r="O827" s="288"/>
      <c r="P827" s="288"/>
      <c r="Q827" s="284"/>
      <c r="R827" s="284"/>
      <c r="S827" s="285"/>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row>
    <row r="828">
      <c r="A828" s="285"/>
      <c r="B828" s="285"/>
      <c r="C828" s="284"/>
      <c r="D828" s="284"/>
      <c r="E828" s="284"/>
      <c r="F828" s="284"/>
      <c r="G828" s="284"/>
      <c r="H828" s="284"/>
      <c r="I828" s="285"/>
      <c r="J828" s="284"/>
      <c r="K828" s="284"/>
      <c r="L828" s="284"/>
      <c r="M828" s="284"/>
      <c r="N828" s="288"/>
      <c r="O828" s="288"/>
      <c r="P828" s="288"/>
      <c r="Q828" s="284"/>
      <c r="R828" s="284"/>
      <c r="S828" s="285"/>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row>
    <row r="829">
      <c r="A829" s="285"/>
      <c r="B829" s="285"/>
      <c r="C829" s="284"/>
      <c r="D829" s="284"/>
      <c r="E829" s="284"/>
      <c r="F829" s="284"/>
      <c r="G829" s="284"/>
      <c r="H829" s="284"/>
      <c r="I829" s="285"/>
      <c r="J829" s="284"/>
      <c r="K829" s="284"/>
      <c r="L829" s="284"/>
      <c r="M829" s="284"/>
      <c r="N829" s="288"/>
      <c r="O829" s="288"/>
      <c r="P829" s="288"/>
      <c r="Q829" s="284"/>
      <c r="R829" s="284"/>
      <c r="S829" s="285"/>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row>
    <row r="830">
      <c r="A830" s="285"/>
      <c r="B830" s="285"/>
      <c r="C830" s="284"/>
      <c r="D830" s="284"/>
      <c r="E830" s="284"/>
      <c r="F830" s="284"/>
      <c r="G830" s="284"/>
      <c r="H830" s="284"/>
      <c r="I830" s="285"/>
      <c r="J830" s="284"/>
      <c r="K830" s="284"/>
      <c r="L830" s="284"/>
      <c r="M830" s="284"/>
      <c r="N830" s="288"/>
      <c r="O830" s="288"/>
      <c r="P830" s="288"/>
      <c r="Q830" s="284"/>
      <c r="R830" s="284"/>
      <c r="S830" s="285"/>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row>
    <row r="831">
      <c r="A831" s="285"/>
      <c r="B831" s="285"/>
      <c r="C831" s="284"/>
      <c r="D831" s="284"/>
      <c r="E831" s="284"/>
      <c r="F831" s="284"/>
      <c r="G831" s="284"/>
      <c r="H831" s="284"/>
      <c r="I831" s="285"/>
      <c r="J831" s="284"/>
      <c r="K831" s="284"/>
      <c r="L831" s="284"/>
      <c r="M831" s="284"/>
      <c r="N831" s="288"/>
      <c r="O831" s="288"/>
      <c r="P831" s="288"/>
      <c r="Q831" s="284"/>
      <c r="R831" s="284"/>
      <c r="S831" s="285"/>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row>
    <row r="832">
      <c r="A832" s="285"/>
      <c r="B832" s="285"/>
      <c r="C832" s="284"/>
      <c r="D832" s="284"/>
      <c r="E832" s="284"/>
      <c r="F832" s="284"/>
      <c r="G832" s="284"/>
      <c r="H832" s="284"/>
      <c r="I832" s="285"/>
      <c r="J832" s="284"/>
      <c r="K832" s="284"/>
      <c r="L832" s="284"/>
      <c r="M832" s="284"/>
      <c r="N832" s="288"/>
      <c r="O832" s="288"/>
      <c r="P832" s="288"/>
      <c r="Q832" s="284"/>
      <c r="R832" s="284"/>
      <c r="S832" s="285"/>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row>
    <row r="833">
      <c r="A833" s="285"/>
      <c r="B833" s="285"/>
      <c r="C833" s="284"/>
      <c r="D833" s="284"/>
      <c r="E833" s="284"/>
      <c r="F833" s="284"/>
      <c r="G833" s="284"/>
      <c r="H833" s="284"/>
      <c r="I833" s="285"/>
      <c r="J833" s="284"/>
      <c r="K833" s="284"/>
      <c r="L833" s="284"/>
      <c r="M833" s="284"/>
      <c r="N833" s="288"/>
      <c r="O833" s="288"/>
      <c r="P833" s="288"/>
      <c r="Q833" s="284"/>
      <c r="R833" s="284"/>
      <c r="S833" s="285"/>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row>
    <row r="834">
      <c r="A834" s="285"/>
      <c r="B834" s="285"/>
      <c r="C834" s="284"/>
      <c r="D834" s="284"/>
      <c r="E834" s="284"/>
      <c r="F834" s="284"/>
      <c r="G834" s="284"/>
      <c r="H834" s="284"/>
      <c r="I834" s="285"/>
      <c r="J834" s="284"/>
      <c r="K834" s="284"/>
      <c r="L834" s="284"/>
      <c r="M834" s="284"/>
      <c r="N834" s="288"/>
      <c r="O834" s="288"/>
      <c r="P834" s="288"/>
      <c r="Q834" s="284"/>
      <c r="R834" s="284"/>
      <c r="S834" s="285"/>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row>
    <row r="835">
      <c r="A835" s="285"/>
      <c r="B835" s="285"/>
      <c r="C835" s="284"/>
      <c r="D835" s="284"/>
      <c r="E835" s="284"/>
      <c r="F835" s="284"/>
      <c r="G835" s="284"/>
      <c r="H835" s="284"/>
      <c r="I835" s="285"/>
      <c r="J835" s="284"/>
      <c r="K835" s="284"/>
      <c r="L835" s="284"/>
      <c r="M835" s="284"/>
      <c r="N835" s="288"/>
      <c r="O835" s="288"/>
      <c r="P835" s="288"/>
      <c r="Q835" s="284"/>
      <c r="R835" s="284"/>
      <c r="S835" s="285"/>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row>
    <row r="836">
      <c r="A836" s="285"/>
      <c r="B836" s="285"/>
      <c r="C836" s="284"/>
      <c r="D836" s="284"/>
      <c r="E836" s="284"/>
      <c r="F836" s="284"/>
      <c r="G836" s="284"/>
      <c r="H836" s="284"/>
      <c r="I836" s="285"/>
      <c r="J836" s="284"/>
      <c r="K836" s="284"/>
      <c r="L836" s="284"/>
      <c r="M836" s="284"/>
      <c r="N836" s="288"/>
      <c r="O836" s="288"/>
      <c r="P836" s="288"/>
      <c r="Q836" s="284"/>
      <c r="R836" s="284"/>
      <c r="S836" s="285"/>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row>
    <row r="837">
      <c r="A837" s="285"/>
      <c r="B837" s="285"/>
      <c r="C837" s="284"/>
      <c r="D837" s="284"/>
      <c r="E837" s="284"/>
      <c r="F837" s="284"/>
      <c r="G837" s="284"/>
      <c r="H837" s="284"/>
      <c r="I837" s="285"/>
      <c r="J837" s="284"/>
      <c r="K837" s="284"/>
      <c r="L837" s="284"/>
      <c r="M837" s="284"/>
      <c r="N837" s="288"/>
      <c r="O837" s="288"/>
      <c r="P837" s="288"/>
      <c r="Q837" s="284"/>
      <c r="R837" s="284"/>
      <c r="S837" s="285"/>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row>
    <row r="838">
      <c r="A838" s="285"/>
      <c r="B838" s="285"/>
      <c r="C838" s="284"/>
      <c r="D838" s="284"/>
      <c r="E838" s="284"/>
      <c r="F838" s="284"/>
      <c r="G838" s="284"/>
      <c r="H838" s="284"/>
      <c r="I838" s="285"/>
      <c r="J838" s="284"/>
      <c r="K838" s="284"/>
      <c r="L838" s="284"/>
      <c r="M838" s="284"/>
      <c r="N838" s="288"/>
      <c r="O838" s="288"/>
      <c r="P838" s="288"/>
      <c r="Q838" s="284"/>
      <c r="R838" s="284"/>
      <c r="S838" s="285"/>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row>
    <row r="839">
      <c r="A839" s="285"/>
      <c r="B839" s="285"/>
      <c r="C839" s="284"/>
      <c r="D839" s="284"/>
      <c r="E839" s="284"/>
      <c r="F839" s="284"/>
      <c r="G839" s="284"/>
      <c r="H839" s="284"/>
      <c r="I839" s="285"/>
      <c r="J839" s="284"/>
      <c r="K839" s="284"/>
      <c r="L839" s="284"/>
      <c r="M839" s="284"/>
      <c r="N839" s="288"/>
      <c r="O839" s="288"/>
      <c r="P839" s="288"/>
      <c r="Q839" s="284"/>
      <c r="R839" s="284"/>
      <c r="S839" s="285"/>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row>
    <row r="840">
      <c r="A840" s="285"/>
      <c r="B840" s="285"/>
      <c r="C840" s="284"/>
      <c r="D840" s="284"/>
      <c r="E840" s="284"/>
      <c r="F840" s="284"/>
      <c r="G840" s="284"/>
      <c r="H840" s="284"/>
      <c r="I840" s="285"/>
      <c r="J840" s="284"/>
      <c r="K840" s="284"/>
      <c r="L840" s="284"/>
      <c r="M840" s="284"/>
      <c r="N840" s="288"/>
      <c r="O840" s="288"/>
      <c r="P840" s="288"/>
      <c r="Q840" s="284"/>
      <c r="R840" s="284"/>
      <c r="S840" s="285"/>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row>
    <row r="841">
      <c r="A841" s="285"/>
      <c r="B841" s="285"/>
      <c r="C841" s="284"/>
      <c r="D841" s="284"/>
      <c r="E841" s="284"/>
      <c r="F841" s="284"/>
      <c r="G841" s="284"/>
      <c r="H841" s="284"/>
      <c r="I841" s="285"/>
      <c r="J841" s="284"/>
      <c r="K841" s="284"/>
      <c r="L841" s="284"/>
      <c r="M841" s="284"/>
      <c r="N841" s="288"/>
      <c r="O841" s="288"/>
      <c r="P841" s="288"/>
      <c r="Q841" s="284"/>
      <c r="R841" s="284"/>
      <c r="S841" s="285"/>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row>
    <row r="842">
      <c r="A842" s="285"/>
      <c r="B842" s="285"/>
      <c r="C842" s="284"/>
      <c r="D842" s="284"/>
      <c r="E842" s="284"/>
      <c r="F842" s="284"/>
      <c r="G842" s="284"/>
      <c r="H842" s="284"/>
      <c r="I842" s="285"/>
      <c r="J842" s="284"/>
      <c r="K842" s="284"/>
      <c r="L842" s="284"/>
      <c r="M842" s="284"/>
      <c r="N842" s="288"/>
      <c r="O842" s="288"/>
      <c r="P842" s="288"/>
      <c r="Q842" s="284"/>
      <c r="R842" s="284"/>
      <c r="S842" s="285"/>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row>
    <row r="843">
      <c r="A843" s="285"/>
      <c r="B843" s="285"/>
      <c r="C843" s="284"/>
      <c r="D843" s="284"/>
      <c r="E843" s="284"/>
      <c r="F843" s="284"/>
      <c r="G843" s="284"/>
      <c r="H843" s="284"/>
      <c r="I843" s="285"/>
      <c r="J843" s="284"/>
      <c r="K843" s="284"/>
      <c r="L843" s="284"/>
      <c r="M843" s="284"/>
      <c r="N843" s="288"/>
      <c r="O843" s="288"/>
      <c r="P843" s="288"/>
      <c r="Q843" s="284"/>
      <c r="R843" s="284"/>
      <c r="S843" s="285"/>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row>
    <row r="844">
      <c r="A844" s="285"/>
      <c r="B844" s="285"/>
      <c r="C844" s="284"/>
      <c r="D844" s="284"/>
      <c r="E844" s="284"/>
      <c r="F844" s="284"/>
      <c r="G844" s="284"/>
      <c r="H844" s="284"/>
      <c r="I844" s="285"/>
      <c r="J844" s="284"/>
      <c r="K844" s="284"/>
      <c r="L844" s="284"/>
      <c r="M844" s="284"/>
      <c r="N844" s="288"/>
      <c r="O844" s="288"/>
      <c r="P844" s="288"/>
      <c r="Q844" s="284"/>
      <c r="R844" s="284"/>
      <c r="S844" s="285"/>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row>
    <row r="845">
      <c r="A845" s="285"/>
      <c r="B845" s="285"/>
      <c r="C845" s="284"/>
      <c r="D845" s="284"/>
      <c r="E845" s="284"/>
      <c r="F845" s="284"/>
      <c r="G845" s="284"/>
      <c r="H845" s="284"/>
      <c r="I845" s="285"/>
      <c r="J845" s="284"/>
      <c r="K845" s="284"/>
      <c r="L845" s="284"/>
      <c r="M845" s="284"/>
      <c r="N845" s="288"/>
      <c r="O845" s="288"/>
      <c r="P845" s="288"/>
      <c r="Q845" s="284"/>
      <c r="R845" s="284"/>
      <c r="S845" s="285"/>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row>
    <row r="846">
      <c r="A846" s="285"/>
      <c r="B846" s="285"/>
      <c r="C846" s="284"/>
      <c r="D846" s="284"/>
      <c r="E846" s="284"/>
      <c r="F846" s="284"/>
      <c r="G846" s="284"/>
      <c r="H846" s="284"/>
      <c r="I846" s="285"/>
      <c r="J846" s="284"/>
      <c r="K846" s="284"/>
      <c r="L846" s="284"/>
      <c r="M846" s="284"/>
      <c r="N846" s="288"/>
      <c r="O846" s="288"/>
      <c r="P846" s="288"/>
      <c r="Q846" s="284"/>
      <c r="R846" s="284"/>
      <c r="S846" s="285"/>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row>
    <row r="847">
      <c r="A847" s="285"/>
      <c r="B847" s="285"/>
      <c r="C847" s="284"/>
      <c r="D847" s="284"/>
      <c r="E847" s="284"/>
      <c r="F847" s="284"/>
      <c r="G847" s="284"/>
      <c r="H847" s="284"/>
      <c r="I847" s="285"/>
      <c r="J847" s="284"/>
      <c r="K847" s="284"/>
      <c r="L847" s="284"/>
      <c r="M847" s="284"/>
      <c r="N847" s="288"/>
      <c r="O847" s="288"/>
      <c r="P847" s="288"/>
      <c r="Q847" s="284"/>
      <c r="R847" s="284"/>
      <c r="S847" s="285"/>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row>
    <row r="848">
      <c r="A848" s="285"/>
      <c r="B848" s="285"/>
      <c r="C848" s="284"/>
      <c r="D848" s="284"/>
      <c r="E848" s="284"/>
      <c r="F848" s="284"/>
      <c r="G848" s="284"/>
      <c r="H848" s="284"/>
      <c r="I848" s="285"/>
      <c r="J848" s="284"/>
      <c r="K848" s="284"/>
      <c r="L848" s="284"/>
      <c r="M848" s="284"/>
      <c r="N848" s="288"/>
      <c r="O848" s="288"/>
      <c r="P848" s="288"/>
      <c r="Q848" s="284"/>
      <c r="R848" s="284"/>
      <c r="S848" s="285"/>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row>
    <row r="849">
      <c r="A849" s="285"/>
      <c r="B849" s="285"/>
      <c r="C849" s="284"/>
      <c r="D849" s="284"/>
      <c r="E849" s="284"/>
      <c r="F849" s="284"/>
      <c r="G849" s="284"/>
      <c r="H849" s="284"/>
      <c r="I849" s="285"/>
      <c r="J849" s="284"/>
      <c r="K849" s="284"/>
      <c r="L849" s="284"/>
      <c r="M849" s="284"/>
      <c r="N849" s="288"/>
      <c r="O849" s="288"/>
      <c r="P849" s="288"/>
      <c r="Q849" s="284"/>
      <c r="R849" s="284"/>
      <c r="S849" s="285"/>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row>
    <row r="850">
      <c r="A850" s="285"/>
      <c r="B850" s="285"/>
      <c r="C850" s="284"/>
      <c r="D850" s="284"/>
      <c r="E850" s="284"/>
      <c r="F850" s="284"/>
      <c r="G850" s="284"/>
      <c r="H850" s="284"/>
      <c r="I850" s="285"/>
      <c r="J850" s="284"/>
      <c r="K850" s="284"/>
      <c r="L850" s="284"/>
      <c r="M850" s="284"/>
      <c r="N850" s="288"/>
      <c r="O850" s="288"/>
      <c r="P850" s="288"/>
      <c r="Q850" s="284"/>
      <c r="R850" s="284"/>
      <c r="S850" s="285"/>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row>
    <row r="851">
      <c r="A851" s="285"/>
      <c r="B851" s="285"/>
      <c r="C851" s="284"/>
      <c r="D851" s="284"/>
      <c r="E851" s="284"/>
      <c r="F851" s="284"/>
      <c r="G851" s="284"/>
      <c r="H851" s="284"/>
      <c r="I851" s="285"/>
      <c r="J851" s="284"/>
      <c r="K851" s="284"/>
      <c r="L851" s="284"/>
      <c r="M851" s="284"/>
      <c r="N851" s="288"/>
      <c r="O851" s="288"/>
      <c r="P851" s="288"/>
      <c r="Q851" s="284"/>
      <c r="R851" s="284"/>
      <c r="S851" s="285"/>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row>
    <row r="852">
      <c r="A852" s="285"/>
      <c r="B852" s="285"/>
      <c r="C852" s="284"/>
      <c r="D852" s="284"/>
      <c r="E852" s="284"/>
      <c r="F852" s="284"/>
      <c r="G852" s="284"/>
      <c r="H852" s="284"/>
      <c r="I852" s="285"/>
      <c r="J852" s="284"/>
      <c r="K852" s="284"/>
      <c r="L852" s="284"/>
      <c r="M852" s="284"/>
      <c r="N852" s="288"/>
      <c r="O852" s="288"/>
      <c r="P852" s="288"/>
      <c r="Q852" s="284"/>
      <c r="R852" s="284"/>
      <c r="S852" s="285"/>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row>
    <row r="853">
      <c r="A853" s="285"/>
      <c r="B853" s="285"/>
      <c r="C853" s="284"/>
      <c r="D853" s="284"/>
      <c r="E853" s="284"/>
      <c r="F853" s="284"/>
      <c r="G853" s="284"/>
      <c r="H853" s="284"/>
      <c r="I853" s="285"/>
      <c r="J853" s="284"/>
      <c r="K853" s="284"/>
      <c r="L853" s="284"/>
      <c r="M853" s="284"/>
      <c r="N853" s="288"/>
      <c r="O853" s="288"/>
      <c r="P853" s="288"/>
      <c r="Q853" s="284"/>
      <c r="R853" s="284"/>
      <c r="S853" s="285"/>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row>
    <row r="854">
      <c r="A854" s="285"/>
      <c r="B854" s="285"/>
      <c r="C854" s="284"/>
      <c r="D854" s="284"/>
      <c r="E854" s="284"/>
      <c r="F854" s="284"/>
      <c r="G854" s="284"/>
      <c r="H854" s="284"/>
      <c r="I854" s="285"/>
      <c r="J854" s="284"/>
      <c r="K854" s="284"/>
      <c r="L854" s="284"/>
      <c r="M854" s="284"/>
      <c r="N854" s="288"/>
      <c r="O854" s="288"/>
      <c r="P854" s="288"/>
      <c r="Q854" s="284"/>
      <c r="R854" s="284"/>
      <c r="S854" s="285"/>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row>
    <row r="855">
      <c r="A855" s="285"/>
      <c r="B855" s="285"/>
      <c r="C855" s="284"/>
      <c r="D855" s="284"/>
      <c r="E855" s="284"/>
      <c r="F855" s="284"/>
      <c r="G855" s="284"/>
      <c r="H855" s="284"/>
      <c r="I855" s="285"/>
      <c r="J855" s="284"/>
      <c r="K855" s="284"/>
      <c r="L855" s="284"/>
      <c r="M855" s="284"/>
      <c r="N855" s="288"/>
      <c r="O855" s="288"/>
      <c r="P855" s="288"/>
      <c r="Q855" s="284"/>
      <c r="R855" s="284"/>
      <c r="S855" s="285"/>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row>
    <row r="856">
      <c r="A856" s="285"/>
      <c r="B856" s="285"/>
      <c r="C856" s="284"/>
      <c r="D856" s="284"/>
      <c r="E856" s="284"/>
      <c r="F856" s="284"/>
      <c r="G856" s="284"/>
      <c r="H856" s="284"/>
      <c r="I856" s="285"/>
      <c r="J856" s="284"/>
      <c r="K856" s="284"/>
      <c r="L856" s="284"/>
      <c r="M856" s="284"/>
      <c r="N856" s="288"/>
      <c r="O856" s="288"/>
      <c r="P856" s="288"/>
      <c r="Q856" s="284"/>
      <c r="R856" s="284"/>
      <c r="S856" s="285"/>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row>
    <row r="857">
      <c r="A857" s="285"/>
      <c r="B857" s="285"/>
      <c r="C857" s="284"/>
      <c r="D857" s="284"/>
      <c r="E857" s="284"/>
      <c r="F857" s="284"/>
      <c r="G857" s="284"/>
      <c r="H857" s="284"/>
      <c r="I857" s="285"/>
      <c r="J857" s="284"/>
      <c r="K857" s="284"/>
      <c r="L857" s="284"/>
      <c r="M857" s="284"/>
      <c r="N857" s="288"/>
      <c r="O857" s="288"/>
      <c r="P857" s="288"/>
      <c r="Q857" s="284"/>
      <c r="R857" s="284"/>
      <c r="S857" s="285"/>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row>
    <row r="858">
      <c r="A858" s="285"/>
      <c r="B858" s="285"/>
      <c r="C858" s="284"/>
      <c r="D858" s="284"/>
      <c r="E858" s="284"/>
      <c r="F858" s="284"/>
      <c r="G858" s="284"/>
      <c r="H858" s="284"/>
      <c r="I858" s="285"/>
      <c r="J858" s="284"/>
      <c r="K858" s="284"/>
      <c r="L858" s="284"/>
      <c r="M858" s="284"/>
      <c r="N858" s="288"/>
      <c r="O858" s="288"/>
      <c r="P858" s="288"/>
      <c r="Q858" s="284"/>
      <c r="R858" s="284"/>
      <c r="S858" s="285"/>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row>
    <row r="859">
      <c r="A859" s="285"/>
      <c r="B859" s="285"/>
      <c r="C859" s="284"/>
      <c r="D859" s="284"/>
      <c r="E859" s="284"/>
      <c r="F859" s="284"/>
      <c r="G859" s="284"/>
      <c r="H859" s="284"/>
      <c r="I859" s="285"/>
      <c r="J859" s="284"/>
      <c r="K859" s="284"/>
      <c r="L859" s="284"/>
      <c r="M859" s="284"/>
      <c r="N859" s="288"/>
      <c r="O859" s="288"/>
      <c r="P859" s="288"/>
      <c r="Q859" s="284"/>
      <c r="R859" s="284"/>
      <c r="S859" s="285"/>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row>
    <row r="860">
      <c r="A860" s="285"/>
      <c r="B860" s="285"/>
      <c r="C860" s="284"/>
      <c r="D860" s="284"/>
      <c r="E860" s="284"/>
      <c r="F860" s="284"/>
      <c r="G860" s="284"/>
      <c r="H860" s="284"/>
      <c r="I860" s="285"/>
      <c r="J860" s="284"/>
      <c r="K860" s="284"/>
      <c r="L860" s="284"/>
      <c r="M860" s="284"/>
      <c r="N860" s="288"/>
      <c r="O860" s="288"/>
      <c r="P860" s="288"/>
      <c r="Q860" s="284"/>
      <c r="R860" s="284"/>
      <c r="S860" s="285"/>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row>
    <row r="861">
      <c r="A861" s="285"/>
      <c r="B861" s="285"/>
      <c r="C861" s="284"/>
      <c r="D861" s="284"/>
      <c r="E861" s="284"/>
      <c r="F861" s="284"/>
      <c r="G861" s="284"/>
      <c r="H861" s="284"/>
      <c r="I861" s="285"/>
      <c r="J861" s="284"/>
      <c r="K861" s="284"/>
      <c r="L861" s="284"/>
      <c r="M861" s="284"/>
      <c r="N861" s="288"/>
      <c r="O861" s="288"/>
      <c r="P861" s="288"/>
      <c r="Q861" s="284"/>
      <c r="R861" s="284"/>
      <c r="S861" s="285"/>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row>
    <row r="862">
      <c r="A862" s="285"/>
      <c r="B862" s="285"/>
      <c r="C862" s="284"/>
      <c r="D862" s="284"/>
      <c r="E862" s="284"/>
      <c r="F862" s="284"/>
      <c r="G862" s="284"/>
      <c r="H862" s="284"/>
      <c r="I862" s="285"/>
      <c r="J862" s="284"/>
      <c r="K862" s="284"/>
      <c r="L862" s="284"/>
      <c r="M862" s="284"/>
      <c r="N862" s="288"/>
      <c r="O862" s="288"/>
      <c r="P862" s="288"/>
      <c r="Q862" s="284"/>
      <c r="R862" s="284"/>
      <c r="S862" s="285"/>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row>
    <row r="863">
      <c r="A863" s="285"/>
      <c r="B863" s="285"/>
      <c r="C863" s="284"/>
      <c r="D863" s="284"/>
      <c r="E863" s="284"/>
      <c r="F863" s="284"/>
      <c r="G863" s="284"/>
      <c r="H863" s="284"/>
      <c r="I863" s="285"/>
      <c r="J863" s="284"/>
      <c r="K863" s="284"/>
      <c r="L863" s="284"/>
      <c r="M863" s="284"/>
      <c r="N863" s="288"/>
      <c r="O863" s="288"/>
      <c r="P863" s="288"/>
      <c r="Q863" s="284"/>
      <c r="R863" s="284"/>
      <c r="S863" s="285"/>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row>
    <row r="864">
      <c r="A864" s="285"/>
      <c r="B864" s="285"/>
      <c r="C864" s="284"/>
      <c r="D864" s="284"/>
      <c r="E864" s="284"/>
      <c r="F864" s="284"/>
      <c r="G864" s="284"/>
      <c r="H864" s="284"/>
      <c r="I864" s="285"/>
      <c r="J864" s="284"/>
      <c r="K864" s="284"/>
      <c r="L864" s="284"/>
      <c r="M864" s="284"/>
      <c r="N864" s="288"/>
      <c r="O864" s="288"/>
      <c r="P864" s="288"/>
      <c r="Q864" s="284"/>
      <c r="R864" s="284"/>
      <c r="S864" s="285"/>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row>
    <row r="865">
      <c r="A865" s="285"/>
      <c r="B865" s="285"/>
      <c r="C865" s="284"/>
      <c r="D865" s="284"/>
      <c r="E865" s="284"/>
      <c r="F865" s="284"/>
      <c r="G865" s="284"/>
      <c r="H865" s="284"/>
      <c r="I865" s="285"/>
      <c r="J865" s="284"/>
      <c r="K865" s="284"/>
      <c r="L865" s="284"/>
      <c r="M865" s="284"/>
      <c r="N865" s="288"/>
      <c r="O865" s="288"/>
      <c r="P865" s="288"/>
      <c r="Q865" s="284"/>
      <c r="R865" s="284"/>
      <c r="S865" s="285"/>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row>
    <row r="866">
      <c r="A866" s="285"/>
      <c r="B866" s="285"/>
      <c r="C866" s="284"/>
      <c r="D866" s="284"/>
      <c r="E866" s="284"/>
      <c r="F866" s="284"/>
      <c r="G866" s="284"/>
      <c r="H866" s="284"/>
      <c r="I866" s="285"/>
      <c r="J866" s="284"/>
      <c r="K866" s="284"/>
      <c r="L866" s="284"/>
      <c r="M866" s="284"/>
      <c r="N866" s="288"/>
      <c r="O866" s="288"/>
      <c r="P866" s="288"/>
      <c r="Q866" s="284"/>
      <c r="R866" s="284"/>
      <c r="S866" s="285"/>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row>
    <row r="867">
      <c r="A867" s="285"/>
      <c r="B867" s="285"/>
      <c r="C867" s="284"/>
      <c r="D867" s="284"/>
      <c r="E867" s="284"/>
      <c r="F867" s="284"/>
      <c r="G867" s="284"/>
      <c r="H867" s="284"/>
      <c r="I867" s="285"/>
      <c r="J867" s="284"/>
      <c r="K867" s="284"/>
      <c r="L867" s="284"/>
      <c r="M867" s="284"/>
      <c r="N867" s="288"/>
      <c r="O867" s="288"/>
      <c r="P867" s="288"/>
      <c r="Q867" s="284"/>
      <c r="R867" s="284"/>
      <c r="S867" s="285"/>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row>
    <row r="868">
      <c r="A868" s="285"/>
      <c r="B868" s="285"/>
      <c r="C868" s="284"/>
      <c r="D868" s="284"/>
      <c r="E868" s="284"/>
      <c r="F868" s="284"/>
      <c r="G868" s="284"/>
      <c r="H868" s="284"/>
      <c r="I868" s="285"/>
      <c r="J868" s="284"/>
      <c r="K868" s="284"/>
      <c r="L868" s="284"/>
      <c r="M868" s="284"/>
      <c r="N868" s="288"/>
      <c r="O868" s="288"/>
      <c r="P868" s="288"/>
      <c r="Q868" s="284"/>
      <c r="R868" s="284"/>
      <c r="S868" s="285"/>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row>
    <row r="869">
      <c r="A869" s="285"/>
      <c r="B869" s="285"/>
      <c r="C869" s="284"/>
      <c r="D869" s="284"/>
      <c r="E869" s="284"/>
      <c r="F869" s="284"/>
      <c r="G869" s="284"/>
      <c r="H869" s="284"/>
      <c r="I869" s="285"/>
      <c r="J869" s="284"/>
      <c r="K869" s="284"/>
      <c r="L869" s="284"/>
      <c r="M869" s="284"/>
      <c r="N869" s="288"/>
      <c r="O869" s="288"/>
      <c r="P869" s="288"/>
      <c r="Q869" s="284"/>
      <c r="R869" s="284"/>
      <c r="S869" s="285"/>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row>
    <row r="870">
      <c r="A870" s="285"/>
      <c r="B870" s="285"/>
      <c r="C870" s="284"/>
      <c r="D870" s="284"/>
      <c r="E870" s="284"/>
      <c r="F870" s="284"/>
      <c r="G870" s="284"/>
      <c r="H870" s="284"/>
      <c r="I870" s="285"/>
      <c r="J870" s="284"/>
      <c r="K870" s="284"/>
      <c r="L870" s="284"/>
      <c r="M870" s="284"/>
      <c r="N870" s="288"/>
      <c r="O870" s="288"/>
      <c r="P870" s="288"/>
      <c r="Q870" s="284"/>
      <c r="R870" s="284"/>
      <c r="S870" s="285"/>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row>
    <row r="871">
      <c r="A871" s="285"/>
      <c r="B871" s="285"/>
      <c r="C871" s="284"/>
      <c r="D871" s="284"/>
      <c r="E871" s="284"/>
      <c r="F871" s="284"/>
      <c r="G871" s="284"/>
      <c r="H871" s="284"/>
      <c r="I871" s="285"/>
      <c r="J871" s="284"/>
      <c r="K871" s="284"/>
      <c r="L871" s="284"/>
      <c r="M871" s="284"/>
      <c r="N871" s="288"/>
      <c r="O871" s="288"/>
      <c r="P871" s="288"/>
      <c r="Q871" s="284"/>
      <c r="R871" s="284"/>
      <c r="S871" s="285"/>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row>
    <row r="872">
      <c r="A872" s="285"/>
      <c r="B872" s="285"/>
      <c r="C872" s="284"/>
      <c r="D872" s="284"/>
      <c r="E872" s="284"/>
      <c r="F872" s="284"/>
      <c r="G872" s="284"/>
      <c r="H872" s="284"/>
      <c r="I872" s="285"/>
      <c r="J872" s="284"/>
      <c r="K872" s="284"/>
      <c r="L872" s="284"/>
      <c r="M872" s="284"/>
      <c r="N872" s="288"/>
      <c r="O872" s="288"/>
      <c r="P872" s="288"/>
      <c r="Q872" s="284"/>
      <c r="R872" s="284"/>
      <c r="S872" s="285"/>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row>
    <row r="873">
      <c r="A873" s="285"/>
      <c r="B873" s="285"/>
      <c r="C873" s="284"/>
      <c r="D873" s="284"/>
      <c r="E873" s="284"/>
      <c r="F873" s="284"/>
      <c r="G873" s="284"/>
      <c r="H873" s="284"/>
      <c r="I873" s="285"/>
      <c r="J873" s="284"/>
      <c r="K873" s="284"/>
      <c r="L873" s="284"/>
      <c r="M873" s="284"/>
      <c r="N873" s="288"/>
      <c r="O873" s="288"/>
      <c r="P873" s="288"/>
      <c r="Q873" s="284"/>
      <c r="R873" s="284"/>
      <c r="S873" s="285"/>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row>
    <row r="874">
      <c r="A874" s="285"/>
      <c r="B874" s="285"/>
      <c r="C874" s="284"/>
      <c r="D874" s="284"/>
      <c r="E874" s="284"/>
      <c r="F874" s="284"/>
      <c r="G874" s="284"/>
      <c r="H874" s="284"/>
      <c r="I874" s="285"/>
      <c r="J874" s="284"/>
      <c r="K874" s="284"/>
      <c r="L874" s="284"/>
      <c r="M874" s="284"/>
      <c r="N874" s="288"/>
      <c r="O874" s="288"/>
      <c r="P874" s="288"/>
      <c r="Q874" s="284"/>
      <c r="R874" s="284"/>
      <c r="S874" s="285"/>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row>
    <row r="875">
      <c r="A875" s="285"/>
      <c r="B875" s="285"/>
      <c r="C875" s="284"/>
      <c r="D875" s="284"/>
      <c r="E875" s="284"/>
      <c r="F875" s="284"/>
      <c r="G875" s="284"/>
      <c r="H875" s="284"/>
      <c r="I875" s="285"/>
      <c r="J875" s="284"/>
      <c r="K875" s="284"/>
      <c r="L875" s="284"/>
      <c r="M875" s="284"/>
      <c r="N875" s="288"/>
      <c r="O875" s="288"/>
      <c r="P875" s="288"/>
      <c r="Q875" s="284"/>
      <c r="R875" s="284"/>
      <c r="S875" s="285"/>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row>
    <row r="876">
      <c r="A876" s="285"/>
      <c r="B876" s="285"/>
      <c r="C876" s="284"/>
      <c r="D876" s="284"/>
      <c r="E876" s="284"/>
      <c r="F876" s="284"/>
      <c r="G876" s="284"/>
      <c r="H876" s="284"/>
      <c r="I876" s="285"/>
      <c r="J876" s="284"/>
      <c r="K876" s="284"/>
      <c r="L876" s="284"/>
      <c r="M876" s="284"/>
      <c r="N876" s="288"/>
      <c r="O876" s="288"/>
      <c r="P876" s="288"/>
      <c r="Q876" s="284"/>
      <c r="R876" s="284"/>
      <c r="S876" s="285"/>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row>
    <row r="877">
      <c r="A877" s="285"/>
      <c r="B877" s="285"/>
      <c r="C877" s="284"/>
      <c r="D877" s="284"/>
      <c r="E877" s="284"/>
      <c r="F877" s="284"/>
      <c r="G877" s="284"/>
      <c r="H877" s="284"/>
      <c r="I877" s="285"/>
      <c r="J877" s="284"/>
      <c r="K877" s="284"/>
      <c r="L877" s="284"/>
      <c r="M877" s="284"/>
      <c r="N877" s="288"/>
      <c r="O877" s="288"/>
      <c r="P877" s="288"/>
      <c r="Q877" s="284"/>
      <c r="R877" s="284"/>
      <c r="S877" s="285"/>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row>
    <row r="878">
      <c r="A878" s="285"/>
      <c r="B878" s="285"/>
      <c r="C878" s="284"/>
      <c r="D878" s="284"/>
      <c r="E878" s="284"/>
      <c r="F878" s="284"/>
      <c r="G878" s="284"/>
      <c r="H878" s="284"/>
      <c r="I878" s="285"/>
      <c r="J878" s="284"/>
      <c r="K878" s="284"/>
      <c r="L878" s="284"/>
      <c r="M878" s="284"/>
      <c r="N878" s="288"/>
      <c r="O878" s="288"/>
      <c r="P878" s="288"/>
      <c r="Q878" s="284"/>
      <c r="R878" s="284"/>
      <c r="S878" s="285"/>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row>
    <row r="879">
      <c r="A879" s="285"/>
      <c r="B879" s="285"/>
      <c r="C879" s="284"/>
      <c r="D879" s="284"/>
      <c r="E879" s="284"/>
      <c r="F879" s="284"/>
      <c r="G879" s="284"/>
      <c r="H879" s="284"/>
      <c r="I879" s="285"/>
      <c r="J879" s="284"/>
      <c r="K879" s="284"/>
      <c r="L879" s="284"/>
      <c r="M879" s="284"/>
      <c r="N879" s="288"/>
      <c r="O879" s="288"/>
      <c r="P879" s="288"/>
      <c r="Q879" s="284"/>
      <c r="R879" s="284"/>
      <c r="S879" s="285"/>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row>
    <row r="880">
      <c r="A880" s="285"/>
      <c r="B880" s="285"/>
      <c r="C880" s="284"/>
      <c r="D880" s="284"/>
      <c r="E880" s="284"/>
      <c r="F880" s="284"/>
      <c r="G880" s="284"/>
      <c r="H880" s="284"/>
      <c r="I880" s="285"/>
      <c r="J880" s="284"/>
      <c r="K880" s="284"/>
      <c r="L880" s="284"/>
      <c r="M880" s="284"/>
      <c r="N880" s="288"/>
      <c r="O880" s="288"/>
      <c r="P880" s="288"/>
      <c r="Q880" s="284"/>
      <c r="R880" s="284"/>
      <c r="S880" s="285"/>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row>
    <row r="881">
      <c r="A881" s="285"/>
      <c r="B881" s="285"/>
      <c r="C881" s="284"/>
      <c r="D881" s="284"/>
      <c r="E881" s="284"/>
      <c r="F881" s="284"/>
      <c r="G881" s="284"/>
      <c r="H881" s="284"/>
      <c r="I881" s="285"/>
      <c r="J881" s="284"/>
      <c r="K881" s="284"/>
      <c r="L881" s="284"/>
      <c r="M881" s="284"/>
      <c r="N881" s="288"/>
      <c r="O881" s="288"/>
      <c r="P881" s="288"/>
      <c r="Q881" s="284"/>
      <c r="R881" s="284"/>
      <c r="S881" s="285"/>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row>
    <row r="882">
      <c r="A882" s="285"/>
      <c r="B882" s="285"/>
      <c r="C882" s="284"/>
      <c r="D882" s="284"/>
      <c r="E882" s="284"/>
      <c r="F882" s="284"/>
      <c r="G882" s="284"/>
      <c r="H882" s="284"/>
      <c r="I882" s="285"/>
      <c r="J882" s="284"/>
      <c r="K882" s="284"/>
      <c r="L882" s="284"/>
      <c r="M882" s="284"/>
      <c r="N882" s="288"/>
      <c r="O882" s="288"/>
      <c r="P882" s="288"/>
      <c r="Q882" s="284"/>
      <c r="R882" s="284"/>
      <c r="S882" s="285"/>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row>
    <row r="883">
      <c r="A883" s="285"/>
      <c r="B883" s="285"/>
      <c r="C883" s="284"/>
      <c r="D883" s="284"/>
      <c r="E883" s="284"/>
      <c r="F883" s="284"/>
      <c r="G883" s="284"/>
      <c r="H883" s="284"/>
      <c r="I883" s="285"/>
      <c r="J883" s="284"/>
      <c r="K883" s="284"/>
      <c r="L883" s="284"/>
      <c r="M883" s="284"/>
      <c r="N883" s="288"/>
      <c r="O883" s="288"/>
      <c r="P883" s="288"/>
      <c r="Q883" s="284"/>
      <c r="R883" s="284"/>
      <c r="S883" s="285"/>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row>
    <row r="884">
      <c r="A884" s="285"/>
      <c r="B884" s="285"/>
      <c r="C884" s="284"/>
      <c r="D884" s="284"/>
      <c r="E884" s="284"/>
      <c r="F884" s="284"/>
      <c r="G884" s="284"/>
      <c r="H884" s="284"/>
      <c r="I884" s="285"/>
      <c r="J884" s="284"/>
      <c r="K884" s="284"/>
      <c r="L884" s="284"/>
      <c r="M884" s="284"/>
      <c r="N884" s="288"/>
      <c r="O884" s="288"/>
      <c r="P884" s="288"/>
      <c r="Q884" s="284"/>
      <c r="R884" s="284"/>
      <c r="S884" s="285"/>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row>
    <row r="885">
      <c r="A885" s="285"/>
      <c r="B885" s="285"/>
      <c r="C885" s="284"/>
      <c r="D885" s="284"/>
      <c r="E885" s="284"/>
      <c r="F885" s="284"/>
      <c r="G885" s="284"/>
      <c r="H885" s="284"/>
      <c r="I885" s="285"/>
      <c r="J885" s="284"/>
      <c r="K885" s="284"/>
      <c r="L885" s="284"/>
      <c r="M885" s="284"/>
      <c r="N885" s="288"/>
      <c r="O885" s="288"/>
      <c r="P885" s="288"/>
      <c r="Q885" s="284"/>
      <c r="R885" s="284"/>
      <c r="S885" s="285"/>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row>
    <row r="886">
      <c r="A886" s="285"/>
      <c r="B886" s="285"/>
      <c r="C886" s="284"/>
      <c r="D886" s="284"/>
      <c r="E886" s="284"/>
      <c r="F886" s="284"/>
      <c r="G886" s="284"/>
      <c r="H886" s="284"/>
      <c r="I886" s="285"/>
      <c r="J886" s="284"/>
      <c r="K886" s="284"/>
      <c r="L886" s="284"/>
      <c r="M886" s="284"/>
      <c r="N886" s="288"/>
      <c r="O886" s="288"/>
      <c r="P886" s="288"/>
      <c r="Q886" s="284"/>
      <c r="R886" s="284"/>
      <c r="S886" s="285"/>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row>
    <row r="887">
      <c r="A887" s="285"/>
      <c r="B887" s="285"/>
      <c r="C887" s="284"/>
      <c r="D887" s="284"/>
      <c r="E887" s="284"/>
      <c r="F887" s="284"/>
      <c r="G887" s="284"/>
      <c r="H887" s="284"/>
      <c r="I887" s="285"/>
      <c r="J887" s="284"/>
      <c r="K887" s="284"/>
      <c r="L887" s="284"/>
      <c r="M887" s="284"/>
      <c r="N887" s="288"/>
      <c r="O887" s="288"/>
      <c r="P887" s="288"/>
      <c r="Q887" s="284"/>
      <c r="R887" s="284"/>
      <c r="S887" s="285"/>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row>
    <row r="888">
      <c r="A888" s="285"/>
      <c r="B888" s="285"/>
      <c r="C888" s="284"/>
      <c r="D888" s="284"/>
      <c r="E888" s="284"/>
      <c r="F888" s="284"/>
      <c r="G888" s="284"/>
      <c r="H888" s="284"/>
      <c r="I888" s="285"/>
      <c r="J888" s="284"/>
      <c r="K888" s="284"/>
      <c r="L888" s="284"/>
      <c r="M888" s="284"/>
      <c r="N888" s="288"/>
      <c r="O888" s="288"/>
      <c r="P888" s="288"/>
      <c r="Q888" s="284"/>
      <c r="R888" s="284"/>
      <c r="S888" s="285"/>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row>
    <row r="889">
      <c r="A889" s="285"/>
      <c r="B889" s="285"/>
      <c r="C889" s="284"/>
      <c r="D889" s="284"/>
      <c r="E889" s="284"/>
      <c r="F889" s="284"/>
      <c r="G889" s="284"/>
      <c r="H889" s="284"/>
      <c r="I889" s="285"/>
      <c r="J889" s="284"/>
      <c r="K889" s="284"/>
      <c r="L889" s="284"/>
      <c r="M889" s="284"/>
      <c r="N889" s="288"/>
      <c r="O889" s="288"/>
      <c r="P889" s="288"/>
      <c r="Q889" s="284"/>
      <c r="R889" s="284"/>
      <c r="S889" s="285"/>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row>
    <row r="890">
      <c r="A890" s="285"/>
      <c r="B890" s="285"/>
      <c r="C890" s="284"/>
      <c r="D890" s="284"/>
      <c r="E890" s="284"/>
      <c r="F890" s="284"/>
      <c r="G890" s="284"/>
      <c r="H890" s="284"/>
      <c r="I890" s="285"/>
      <c r="J890" s="284"/>
      <c r="K890" s="284"/>
      <c r="L890" s="284"/>
      <c r="M890" s="284"/>
      <c r="N890" s="288"/>
      <c r="O890" s="288"/>
      <c r="P890" s="288"/>
      <c r="Q890" s="284"/>
      <c r="R890" s="284"/>
      <c r="S890" s="285"/>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row>
    <row r="891">
      <c r="A891" s="285"/>
      <c r="B891" s="285"/>
      <c r="C891" s="284"/>
      <c r="D891" s="284"/>
      <c r="E891" s="284"/>
      <c r="F891" s="284"/>
      <c r="G891" s="284"/>
      <c r="H891" s="284"/>
      <c r="I891" s="285"/>
      <c r="J891" s="284"/>
      <c r="K891" s="284"/>
      <c r="L891" s="284"/>
      <c r="M891" s="284"/>
      <c r="N891" s="288"/>
      <c r="O891" s="288"/>
      <c r="P891" s="288"/>
      <c r="Q891" s="284"/>
      <c r="R891" s="284"/>
      <c r="S891" s="285"/>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row>
    <row r="892">
      <c r="A892" s="285"/>
      <c r="B892" s="285"/>
      <c r="C892" s="284"/>
      <c r="D892" s="284"/>
      <c r="E892" s="284"/>
      <c r="F892" s="284"/>
      <c r="G892" s="284"/>
      <c r="H892" s="284"/>
      <c r="I892" s="285"/>
      <c r="J892" s="284"/>
      <c r="K892" s="284"/>
      <c r="L892" s="284"/>
      <c r="M892" s="284"/>
      <c r="N892" s="288"/>
      <c r="O892" s="288"/>
      <c r="P892" s="288"/>
      <c r="Q892" s="284"/>
      <c r="R892" s="284"/>
      <c r="S892" s="285"/>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row>
    <row r="893">
      <c r="A893" s="285"/>
      <c r="B893" s="285"/>
      <c r="C893" s="284"/>
      <c r="D893" s="284"/>
      <c r="E893" s="284"/>
      <c r="F893" s="284"/>
      <c r="G893" s="284"/>
      <c r="H893" s="284"/>
      <c r="I893" s="285"/>
      <c r="J893" s="284"/>
      <c r="K893" s="284"/>
      <c r="L893" s="284"/>
      <c r="M893" s="284"/>
      <c r="N893" s="288"/>
      <c r="O893" s="288"/>
      <c r="P893" s="288"/>
      <c r="Q893" s="284"/>
      <c r="R893" s="284"/>
      <c r="S893" s="285"/>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row>
    <row r="894">
      <c r="A894" s="285"/>
      <c r="B894" s="285"/>
      <c r="C894" s="284"/>
      <c r="D894" s="284"/>
      <c r="E894" s="284"/>
      <c r="F894" s="284"/>
      <c r="G894" s="284"/>
      <c r="H894" s="284"/>
      <c r="I894" s="285"/>
      <c r="J894" s="284"/>
      <c r="K894" s="284"/>
      <c r="L894" s="284"/>
      <c r="M894" s="284"/>
      <c r="N894" s="288"/>
      <c r="O894" s="288"/>
      <c r="P894" s="288"/>
      <c r="Q894" s="284"/>
      <c r="R894" s="284"/>
      <c r="S894" s="285"/>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row>
    <row r="895">
      <c r="A895" s="285"/>
      <c r="B895" s="285"/>
      <c r="C895" s="284"/>
      <c r="D895" s="284"/>
      <c r="E895" s="284"/>
      <c r="F895" s="284"/>
      <c r="G895" s="284"/>
      <c r="H895" s="284"/>
      <c r="I895" s="285"/>
      <c r="J895" s="284"/>
      <c r="K895" s="284"/>
      <c r="L895" s="284"/>
      <c r="M895" s="284"/>
      <c r="N895" s="288"/>
      <c r="O895" s="288"/>
      <c r="P895" s="288"/>
      <c r="Q895" s="284"/>
      <c r="R895" s="284"/>
      <c r="S895" s="285"/>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row>
    <row r="896">
      <c r="A896" s="285"/>
      <c r="B896" s="285"/>
      <c r="C896" s="284"/>
      <c r="D896" s="284"/>
      <c r="E896" s="284"/>
      <c r="F896" s="284"/>
      <c r="G896" s="284"/>
      <c r="H896" s="284"/>
      <c r="I896" s="285"/>
      <c r="J896" s="284"/>
      <c r="K896" s="284"/>
      <c r="L896" s="284"/>
      <c r="M896" s="284"/>
      <c r="N896" s="288"/>
      <c r="O896" s="288"/>
      <c r="P896" s="288"/>
      <c r="Q896" s="284"/>
      <c r="R896" s="284"/>
      <c r="S896" s="285"/>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row>
    <row r="897">
      <c r="A897" s="285"/>
      <c r="B897" s="285"/>
      <c r="C897" s="284"/>
      <c r="D897" s="284"/>
      <c r="E897" s="284"/>
      <c r="F897" s="284"/>
      <c r="G897" s="284"/>
      <c r="H897" s="284"/>
      <c r="I897" s="285"/>
      <c r="J897" s="284"/>
      <c r="K897" s="284"/>
      <c r="L897" s="284"/>
      <c r="M897" s="284"/>
      <c r="N897" s="288"/>
      <c r="O897" s="288"/>
      <c r="P897" s="288"/>
      <c r="Q897" s="284"/>
      <c r="R897" s="284"/>
      <c r="S897" s="285"/>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row>
    <row r="898">
      <c r="A898" s="285"/>
      <c r="B898" s="285"/>
      <c r="C898" s="284"/>
      <c r="D898" s="284"/>
      <c r="E898" s="284"/>
      <c r="F898" s="284"/>
      <c r="G898" s="284"/>
      <c r="H898" s="284"/>
      <c r="I898" s="285"/>
      <c r="J898" s="284"/>
      <c r="K898" s="284"/>
      <c r="L898" s="284"/>
      <c r="M898" s="284"/>
      <c r="N898" s="288"/>
      <c r="O898" s="288"/>
      <c r="P898" s="288"/>
      <c r="Q898" s="284"/>
      <c r="R898" s="284"/>
      <c r="S898" s="285"/>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row>
    <row r="899">
      <c r="A899" s="285"/>
      <c r="B899" s="285"/>
      <c r="C899" s="284"/>
      <c r="D899" s="284"/>
      <c r="E899" s="284"/>
      <c r="F899" s="284"/>
      <c r="G899" s="284"/>
      <c r="H899" s="284"/>
      <c r="I899" s="285"/>
      <c r="J899" s="284"/>
      <c r="K899" s="284"/>
      <c r="L899" s="284"/>
      <c r="M899" s="284"/>
      <c r="N899" s="288"/>
      <c r="O899" s="288"/>
      <c r="P899" s="288"/>
      <c r="Q899" s="284"/>
      <c r="R899" s="284"/>
      <c r="S899" s="285"/>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row>
    <row r="900">
      <c r="A900" s="285"/>
      <c r="B900" s="285"/>
      <c r="C900" s="284"/>
      <c r="D900" s="284"/>
      <c r="E900" s="284"/>
      <c r="F900" s="284"/>
      <c r="G900" s="284"/>
      <c r="H900" s="284"/>
      <c r="I900" s="285"/>
      <c r="J900" s="284"/>
      <c r="K900" s="284"/>
      <c r="L900" s="284"/>
      <c r="M900" s="284"/>
      <c r="N900" s="288"/>
      <c r="O900" s="288"/>
      <c r="P900" s="288"/>
      <c r="Q900" s="284"/>
      <c r="R900" s="284"/>
      <c r="S900" s="285"/>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row>
    <row r="901">
      <c r="A901" s="285"/>
      <c r="B901" s="285"/>
      <c r="C901" s="284"/>
      <c r="D901" s="284"/>
      <c r="E901" s="284"/>
      <c r="F901" s="284"/>
      <c r="G901" s="284"/>
      <c r="H901" s="284"/>
      <c r="I901" s="285"/>
      <c r="J901" s="284"/>
      <c r="K901" s="284"/>
      <c r="L901" s="284"/>
      <c r="M901" s="284"/>
      <c r="N901" s="288"/>
      <c r="O901" s="288"/>
      <c r="P901" s="288"/>
      <c r="Q901" s="284"/>
      <c r="R901" s="284"/>
      <c r="S901" s="285"/>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row>
    <row r="902">
      <c r="A902" s="285"/>
      <c r="B902" s="285"/>
      <c r="C902" s="284"/>
      <c r="D902" s="284"/>
      <c r="E902" s="284"/>
      <c r="F902" s="284"/>
      <c r="G902" s="284"/>
      <c r="H902" s="284"/>
      <c r="I902" s="285"/>
      <c r="J902" s="284"/>
      <c r="K902" s="284"/>
      <c r="L902" s="284"/>
      <c r="M902" s="284"/>
      <c r="N902" s="288"/>
      <c r="O902" s="288"/>
      <c r="P902" s="288"/>
      <c r="Q902" s="284"/>
      <c r="R902" s="284"/>
      <c r="S902" s="285"/>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row>
    <row r="903">
      <c r="A903" s="285"/>
      <c r="B903" s="285"/>
      <c r="C903" s="284"/>
      <c r="D903" s="284"/>
      <c r="E903" s="284"/>
      <c r="F903" s="284"/>
      <c r="G903" s="284"/>
      <c r="H903" s="284"/>
      <c r="I903" s="285"/>
      <c r="J903" s="284"/>
      <c r="K903" s="284"/>
      <c r="L903" s="284"/>
      <c r="M903" s="284"/>
      <c r="N903" s="288"/>
      <c r="O903" s="288"/>
      <c r="P903" s="288"/>
      <c r="Q903" s="284"/>
      <c r="R903" s="284"/>
      <c r="S903" s="285"/>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row>
    <row r="904">
      <c r="A904" s="285"/>
      <c r="B904" s="285"/>
      <c r="C904" s="284"/>
      <c r="D904" s="284"/>
      <c r="E904" s="284"/>
      <c r="F904" s="284"/>
      <c r="G904" s="284"/>
      <c r="H904" s="284"/>
      <c r="I904" s="285"/>
      <c r="J904" s="284"/>
      <c r="K904" s="284"/>
      <c r="L904" s="284"/>
      <c r="M904" s="284"/>
      <c r="N904" s="288"/>
      <c r="O904" s="288"/>
      <c r="P904" s="288"/>
      <c r="Q904" s="284"/>
      <c r="R904" s="284"/>
      <c r="S904" s="285"/>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row>
    <row r="905">
      <c r="A905" s="285"/>
      <c r="B905" s="285"/>
      <c r="C905" s="284"/>
      <c r="D905" s="284"/>
      <c r="E905" s="284"/>
      <c r="F905" s="284"/>
      <c r="G905" s="284"/>
      <c r="H905" s="284"/>
      <c r="I905" s="285"/>
      <c r="J905" s="284"/>
      <c r="K905" s="284"/>
      <c r="L905" s="284"/>
      <c r="M905" s="284"/>
      <c r="N905" s="288"/>
      <c r="O905" s="288"/>
      <c r="P905" s="288"/>
      <c r="Q905" s="284"/>
      <c r="R905" s="284"/>
      <c r="S905" s="285"/>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row>
    <row r="906">
      <c r="A906" s="285"/>
      <c r="B906" s="285"/>
      <c r="C906" s="284"/>
      <c r="D906" s="284"/>
      <c r="E906" s="284"/>
      <c r="F906" s="284"/>
      <c r="G906" s="284"/>
      <c r="H906" s="284"/>
      <c r="I906" s="285"/>
      <c r="J906" s="284"/>
      <c r="K906" s="284"/>
      <c r="L906" s="284"/>
      <c r="M906" s="284"/>
      <c r="N906" s="288"/>
      <c r="O906" s="288"/>
      <c r="P906" s="288"/>
      <c r="Q906" s="284"/>
      <c r="R906" s="284"/>
      <c r="S906" s="285"/>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row>
    <row r="907">
      <c r="A907" s="285"/>
      <c r="B907" s="285"/>
      <c r="C907" s="284"/>
      <c r="D907" s="284"/>
      <c r="E907" s="284"/>
      <c r="F907" s="284"/>
      <c r="G907" s="284"/>
      <c r="H907" s="284"/>
      <c r="I907" s="285"/>
      <c r="J907" s="284"/>
      <c r="K907" s="284"/>
      <c r="L907" s="284"/>
      <c r="M907" s="284"/>
      <c r="N907" s="288"/>
      <c r="O907" s="288"/>
      <c r="P907" s="288"/>
      <c r="Q907" s="284"/>
      <c r="R907" s="284"/>
      <c r="S907" s="285"/>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row>
    <row r="908">
      <c r="A908" s="285"/>
      <c r="B908" s="285"/>
      <c r="C908" s="284"/>
      <c r="D908" s="284"/>
      <c r="E908" s="284"/>
      <c r="F908" s="284"/>
      <c r="G908" s="284"/>
      <c r="H908" s="284"/>
      <c r="I908" s="285"/>
      <c r="J908" s="284"/>
      <c r="K908" s="284"/>
      <c r="L908" s="284"/>
      <c r="M908" s="284"/>
      <c r="N908" s="288"/>
      <c r="O908" s="288"/>
      <c r="P908" s="288"/>
      <c r="Q908" s="284"/>
      <c r="R908" s="284"/>
      <c r="S908" s="285"/>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row>
    <row r="909">
      <c r="A909" s="285"/>
      <c r="B909" s="285"/>
      <c r="C909" s="284"/>
      <c r="D909" s="284"/>
      <c r="E909" s="284"/>
      <c r="F909" s="284"/>
      <c r="G909" s="284"/>
      <c r="H909" s="284"/>
      <c r="I909" s="285"/>
      <c r="J909" s="284"/>
      <c r="K909" s="284"/>
      <c r="L909" s="284"/>
      <c r="M909" s="284"/>
      <c r="N909" s="288"/>
      <c r="O909" s="288"/>
      <c r="P909" s="288"/>
      <c r="Q909" s="284"/>
      <c r="R909" s="284"/>
      <c r="S909" s="285"/>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row>
    <row r="910">
      <c r="A910" s="285"/>
      <c r="B910" s="285"/>
      <c r="C910" s="284"/>
      <c r="D910" s="284"/>
      <c r="E910" s="284"/>
      <c r="F910" s="284"/>
      <c r="G910" s="284"/>
      <c r="H910" s="284"/>
      <c r="I910" s="285"/>
      <c r="J910" s="284"/>
      <c r="K910" s="284"/>
      <c r="L910" s="284"/>
      <c r="M910" s="284"/>
      <c r="N910" s="288"/>
      <c r="O910" s="288"/>
      <c r="P910" s="288"/>
      <c r="Q910" s="284"/>
      <c r="R910" s="284"/>
      <c r="S910" s="285"/>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row>
    <row r="911">
      <c r="A911" s="285"/>
      <c r="B911" s="285"/>
      <c r="C911" s="284"/>
      <c r="D911" s="284"/>
      <c r="E911" s="284"/>
      <c r="F911" s="284"/>
      <c r="G911" s="284"/>
      <c r="H911" s="284"/>
      <c r="I911" s="285"/>
      <c r="J911" s="284"/>
      <c r="K911" s="284"/>
      <c r="L911" s="284"/>
      <c r="M911" s="284"/>
      <c r="N911" s="288"/>
      <c r="O911" s="288"/>
      <c r="P911" s="288"/>
      <c r="Q911" s="284"/>
      <c r="R911" s="284"/>
      <c r="S911" s="285"/>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row>
    <row r="912">
      <c r="A912" s="285"/>
      <c r="B912" s="285"/>
      <c r="C912" s="284"/>
      <c r="D912" s="284"/>
      <c r="E912" s="284"/>
      <c r="F912" s="284"/>
      <c r="G912" s="284"/>
      <c r="H912" s="284"/>
      <c r="I912" s="285"/>
      <c r="J912" s="284"/>
      <c r="K912" s="284"/>
      <c r="L912" s="284"/>
      <c r="M912" s="284"/>
      <c r="N912" s="288"/>
      <c r="O912" s="288"/>
      <c r="P912" s="288"/>
      <c r="Q912" s="284"/>
      <c r="R912" s="284"/>
      <c r="S912" s="285"/>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row>
    <row r="913">
      <c r="A913" s="285"/>
      <c r="B913" s="285"/>
      <c r="C913" s="284"/>
      <c r="D913" s="284"/>
      <c r="E913" s="284"/>
      <c r="F913" s="284"/>
      <c r="G913" s="284"/>
      <c r="H913" s="284"/>
      <c r="I913" s="285"/>
      <c r="J913" s="284"/>
      <c r="K913" s="284"/>
      <c r="L913" s="284"/>
      <c r="M913" s="284"/>
      <c r="N913" s="288"/>
      <c r="O913" s="288"/>
      <c r="P913" s="288"/>
      <c r="Q913" s="284"/>
      <c r="R913" s="284"/>
      <c r="S913" s="285"/>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row>
    <row r="914">
      <c r="A914" s="285"/>
      <c r="B914" s="285"/>
      <c r="C914" s="284"/>
      <c r="D914" s="284"/>
      <c r="E914" s="284"/>
      <c r="F914" s="284"/>
      <c r="G914" s="284"/>
      <c r="H914" s="284"/>
      <c r="I914" s="285"/>
      <c r="J914" s="284"/>
      <c r="K914" s="284"/>
      <c r="L914" s="284"/>
      <c r="M914" s="284"/>
      <c r="N914" s="288"/>
      <c r="O914" s="288"/>
      <c r="P914" s="288"/>
      <c r="Q914" s="284"/>
      <c r="R914" s="284"/>
      <c r="S914" s="285"/>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row>
    <row r="915">
      <c r="A915" s="285"/>
      <c r="B915" s="285"/>
      <c r="C915" s="284"/>
      <c r="D915" s="284"/>
      <c r="E915" s="284"/>
      <c r="F915" s="284"/>
      <c r="G915" s="284"/>
      <c r="H915" s="284"/>
      <c r="I915" s="285"/>
      <c r="J915" s="284"/>
      <c r="K915" s="284"/>
      <c r="L915" s="284"/>
      <c r="M915" s="284"/>
      <c r="N915" s="288"/>
      <c r="O915" s="288"/>
      <c r="P915" s="288"/>
      <c r="Q915" s="284"/>
      <c r="R915" s="284"/>
      <c r="S915" s="285"/>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row>
    <row r="916">
      <c r="A916" s="285"/>
      <c r="B916" s="285"/>
      <c r="C916" s="284"/>
      <c r="D916" s="284"/>
      <c r="E916" s="284"/>
      <c r="F916" s="284"/>
      <c r="G916" s="284"/>
      <c r="H916" s="284"/>
      <c r="I916" s="285"/>
      <c r="J916" s="284"/>
      <c r="K916" s="284"/>
      <c r="L916" s="284"/>
      <c r="M916" s="284"/>
      <c r="N916" s="288"/>
      <c r="O916" s="288"/>
      <c r="P916" s="288"/>
      <c r="Q916" s="284"/>
      <c r="R916" s="284"/>
      <c r="S916" s="285"/>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row>
    <row r="917">
      <c r="A917" s="285"/>
      <c r="B917" s="285"/>
      <c r="C917" s="284"/>
      <c r="D917" s="284"/>
      <c r="E917" s="284"/>
      <c r="F917" s="284"/>
      <c r="G917" s="284"/>
      <c r="H917" s="284"/>
      <c r="I917" s="285"/>
      <c r="J917" s="284"/>
      <c r="K917" s="284"/>
      <c r="L917" s="284"/>
      <c r="M917" s="284"/>
      <c r="N917" s="288"/>
      <c r="O917" s="288"/>
      <c r="P917" s="288"/>
      <c r="Q917" s="284"/>
      <c r="R917" s="284"/>
      <c r="S917" s="285"/>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row>
    <row r="918">
      <c r="A918" s="285"/>
      <c r="B918" s="285"/>
      <c r="C918" s="284"/>
      <c r="D918" s="284"/>
      <c r="E918" s="284"/>
      <c r="F918" s="284"/>
      <c r="G918" s="284"/>
      <c r="H918" s="284"/>
      <c r="I918" s="285"/>
      <c r="J918" s="284"/>
      <c r="K918" s="284"/>
      <c r="L918" s="284"/>
      <c r="M918" s="284"/>
      <c r="N918" s="288"/>
      <c r="O918" s="288"/>
      <c r="P918" s="288"/>
      <c r="Q918" s="284"/>
      <c r="R918" s="284"/>
      <c r="S918" s="285"/>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row>
    <row r="919">
      <c r="A919" s="285"/>
      <c r="B919" s="285"/>
      <c r="C919" s="284"/>
      <c r="D919" s="284"/>
      <c r="E919" s="284"/>
      <c r="F919" s="284"/>
      <c r="G919" s="284"/>
      <c r="H919" s="284"/>
      <c r="I919" s="285"/>
      <c r="J919" s="284"/>
      <c r="K919" s="284"/>
      <c r="L919" s="284"/>
      <c r="M919" s="284"/>
      <c r="N919" s="288"/>
      <c r="O919" s="288"/>
      <c r="P919" s="288"/>
      <c r="Q919" s="284"/>
      <c r="R919" s="284"/>
      <c r="S919" s="285"/>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row>
    <row r="920">
      <c r="A920" s="285"/>
      <c r="B920" s="285"/>
      <c r="C920" s="284"/>
      <c r="D920" s="284"/>
      <c r="E920" s="284"/>
      <c r="F920" s="284"/>
      <c r="G920" s="284"/>
      <c r="H920" s="284"/>
      <c r="I920" s="285"/>
      <c r="J920" s="284"/>
      <c r="K920" s="284"/>
      <c r="L920" s="284"/>
      <c r="M920" s="284"/>
      <c r="N920" s="288"/>
      <c r="O920" s="288"/>
      <c r="P920" s="288"/>
      <c r="Q920" s="284"/>
      <c r="R920" s="284"/>
      <c r="S920" s="285"/>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row>
    <row r="921">
      <c r="A921" s="285"/>
      <c r="B921" s="285"/>
      <c r="C921" s="284"/>
      <c r="D921" s="284"/>
      <c r="E921" s="284"/>
      <c r="F921" s="284"/>
      <c r="G921" s="284"/>
      <c r="H921" s="284"/>
      <c r="I921" s="285"/>
      <c r="J921" s="284"/>
      <c r="K921" s="284"/>
      <c r="L921" s="284"/>
      <c r="M921" s="284"/>
      <c r="N921" s="288"/>
      <c r="O921" s="288"/>
      <c r="P921" s="288"/>
      <c r="Q921" s="284"/>
      <c r="R921" s="284"/>
      <c r="S921" s="285"/>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row>
    <row r="922">
      <c r="A922" s="285"/>
      <c r="B922" s="285"/>
      <c r="C922" s="284"/>
      <c r="D922" s="284"/>
      <c r="E922" s="284"/>
      <c r="F922" s="284"/>
      <c r="G922" s="284"/>
      <c r="H922" s="284"/>
      <c r="I922" s="285"/>
      <c r="J922" s="284"/>
      <c r="K922" s="284"/>
      <c r="L922" s="284"/>
      <c r="M922" s="284"/>
      <c r="N922" s="288"/>
      <c r="O922" s="288"/>
      <c r="P922" s="288"/>
      <c r="Q922" s="284"/>
      <c r="R922" s="284"/>
      <c r="S922" s="285"/>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row>
    <row r="923">
      <c r="A923" s="285"/>
      <c r="B923" s="285"/>
      <c r="C923" s="284"/>
      <c r="D923" s="284"/>
      <c r="E923" s="284"/>
      <c r="F923" s="284"/>
      <c r="G923" s="284"/>
      <c r="H923" s="284"/>
      <c r="I923" s="285"/>
      <c r="J923" s="284"/>
      <c r="K923" s="284"/>
      <c r="L923" s="284"/>
      <c r="M923" s="284"/>
      <c r="N923" s="288"/>
      <c r="O923" s="288"/>
      <c r="P923" s="288"/>
      <c r="Q923" s="284"/>
      <c r="R923" s="284"/>
      <c r="S923" s="285"/>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row>
    <row r="924">
      <c r="A924" s="285"/>
      <c r="B924" s="285"/>
      <c r="C924" s="284"/>
      <c r="D924" s="284"/>
      <c r="E924" s="284"/>
      <c r="F924" s="284"/>
      <c r="G924" s="284"/>
      <c r="H924" s="284"/>
      <c r="I924" s="285"/>
      <c r="J924" s="284"/>
      <c r="K924" s="284"/>
      <c r="L924" s="284"/>
      <c r="M924" s="284"/>
      <c r="N924" s="288"/>
      <c r="O924" s="288"/>
      <c r="P924" s="288"/>
      <c r="Q924" s="284"/>
      <c r="R924" s="284"/>
      <c r="S924" s="285"/>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row>
    <row r="925">
      <c r="A925" s="285"/>
      <c r="B925" s="285"/>
      <c r="C925" s="284"/>
      <c r="D925" s="284"/>
      <c r="E925" s="284"/>
      <c r="F925" s="284"/>
      <c r="G925" s="284"/>
      <c r="H925" s="284"/>
      <c r="I925" s="285"/>
      <c r="J925" s="284"/>
      <c r="K925" s="284"/>
      <c r="L925" s="284"/>
      <c r="M925" s="284"/>
      <c r="N925" s="288"/>
      <c r="O925" s="288"/>
      <c r="P925" s="288"/>
      <c r="Q925" s="284"/>
      <c r="R925" s="284"/>
      <c r="S925" s="285"/>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row>
    <row r="926">
      <c r="A926" s="285"/>
      <c r="B926" s="285"/>
      <c r="C926" s="284"/>
      <c r="D926" s="284"/>
      <c r="E926" s="284"/>
      <c r="F926" s="284"/>
      <c r="G926" s="284"/>
      <c r="H926" s="284"/>
      <c r="I926" s="285"/>
      <c r="J926" s="284"/>
      <c r="K926" s="284"/>
      <c r="L926" s="284"/>
      <c r="M926" s="284"/>
      <c r="N926" s="288"/>
      <c r="O926" s="288"/>
      <c r="P926" s="288"/>
      <c r="Q926" s="284"/>
      <c r="R926" s="284"/>
      <c r="S926" s="285"/>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row>
    <row r="927">
      <c r="A927" s="285"/>
      <c r="B927" s="285"/>
      <c r="C927" s="284"/>
      <c r="D927" s="284"/>
      <c r="E927" s="284"/>
      <c r="F927" s="284"/>
      <c r="G927" s="284"/>
      <c r="H927" s="284"/>
      <c r="I927" s="285"/>
      <c r="J927" s="284"/>
      <c r="K927" s="284"/>
      <c r="L927" s="284"/>
      <c r="M927" s="284"/>
      <c r="N927" s="288"/>
      <c r="O927" s="288"/>
      <c r="P927" s="288"/>
      <c r="Q927" s="284"/>
      <c r="R927" s="284"/>
      <c r="S927" s="285"/>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row>
    <row r="928">
      <c r="A928" s="285"/>
      <c r="B928" s="285"/>
      <c r="C928" s="284"/>
      <c r="D928" s="284"/>
      <c r="E928" s="284"/>
      <c r="F928" s="284"/>
      <c r="G928" s="284"/>
      <c r="H928" s="284"/>
      <c r="I928" s="285"/>
      <c r="J928" s="284"/>
      <c r="K928" s="284"/>
      <c r="L928" s="284"/>
      <c r="M928" s="284"/>
      <c r="N928" s="288"/>
      <c r="O928" s="288"/>
      <c r="P928" s="288"/>
      <c r="Q928" s="284"/>
      <c r="R928" s="284"/>
      <c r="S928" s="285"/>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row>
    <row r="929">
      <c r="A929" s="285"/>
      <c r="B929" s="285"/>
      <c r="C929" s="284"/>
      <c r="D929" s="284"/>
      <c r="E929" s="284"/>
      <c r="F929" s="284"/>
      <c r="G929" s="284"/>
      <c r="H929" s="284"/>
      <c r="I929" s="285"/>
      <c r="J929" s="284"/>
      <c r="K929" s="284"/>
      <c r="L929" s="284"/>
      <c r="M929" s="284"/>
      <c r="N929" s="288"/>
      <c r="O929" s="288"/>
      <c r="P929" s="288"/>
      <c r="Q929" s="284"/>
      <c r="R929" s="284"/>
      <c r="S929" s="285"/>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row>
    <row r="930">
      <c r="A930" s="285"/>
      <c r="B930" s="285"/>
      <c r="C930" s="284"/>
      <c r="D930" s="284"/>
      <c r="E930" s="284"/>
      <c r="F930" s="284"/>
      <c r="G930" s="284"/>
      <c r="H930" s="284"/>
      <c r="I930" s="285"/>
      <c r="J930" s="284"/>
      <c r="K930" s="284"/>
      <c r="L930" s="284"/>
      <c r="M930" s="284"/>
      <c r="N930" s="288"/>
      <c r="O930" s="288"/>
      <c r="P930" s="288"/>
      <c r="Q930" s="284"/>
      <c r="R930" s="284"/>
      <c r="S930" s="285"/>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row>
    <row r="931">
      <c r="A931" s="285"/>
      <c r="B931" s="285"/>
      <c r="C931" s="284"/>
      <c r="D931" s="284"/>
      <c r="E931" s="284"/>
      <c r="F931" s="284"/>
      <c r="G931" s="284"/>
      <c r="H931" s="284"/>
      <c r="I931" s="285"/>
      <c r="J931" s="284"/>
      <c r="K931" s="284"/>
      <c r="L931" s="284"/>
      <c r="M931" s="284"/>
      <c r="N931" s="288"/>
      <c r="O931" s="288"/>
      <c r="P931" s="288"/>
      <c r="Q931" s="284"/>
      <c r="R931" s="284"/>
      <c r="S931" s="285"/>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row>
    <row r="932">
      <c r="A932" s="285"/>
      <c r="B932" s="285"/>
      <c r="C932" s="284"/>
      <c r="D932" s="284"/>
      <c r="E932" s="284"/>
      <c r="F932" s="284"/>
      <c r="G932" s="284"/>
      <c r="H932" s="284"/>
      <c r="I932" s="285"/>
      <c r="J932" s="284"/>
      <c r="K932" s="284"/>
      <c r="L932" s="284"/>
      <c r="M932" s="284"/>
      <c r="N932" s="288"/>
      <c r="O932" s="288"/>
      <c r="P932" s="288"/>
      <c r="Q932" s="284"/>
      <c r="R932" s="284"/>
      <c r="S932" s="285"/>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row>
    <row r="933">
      <c r="A933" s="285"/>
      <c r="B933" s="285"/>
      <c r="C933" s="284"/>
      <c r="D933" s="284"/>
      <c r="E933" s="284"/>
      <c r="F933" s="284"/>
      <c r="G933" s="284"/>
      <c r="H933" s="284"/>
      <c r="I933" s="285"/>
      <c r="J933" s="284"/>
      <c r="K933" s="284"/>
      <c r="L933" s="284"/>
      <c r="M933" s="284"/>
      <c r="N933" s="288"/>
      <c r="O933" s="288"/>
      <c r="P933" s="288"/>
      <c r="Q933" s="284"/>
      <c r="R933" s="284"/>
      <c r="S933" s="285"/>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row>
    <row r="934">
      <c r="A934" s="285"/>
      <c r="B934" s="285"/>
      <c r="C934" s="284"/>
      <c r="D934" s="284"/>
      <c r="E934" s="284"/>
      <c r="F934" s="284"/>
      <c r="G934" s="284"/>
      <c r="H934" s="284"/>
      <c r="I934" s="285"/>
      <c r="J934" s="284"/>
      <c r="K934" s="284"/>
      <c r="L934" s="284"/>
      <c r="M934" s="284"/>
      <c r="N934" s="288"/>
      <c r="O934" s="288"/>
      <c r="P934" s="288"/>
      <c r="Q934" s="284"/>
      <c r="R934" s="284"/>
      <c r="S934" s="285"/>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row>
    <row r="935">
      <c r="A935" s="285"/>
      <c r="B935" s="285"/>
      <c r="C935" s="284"/>
      <c r="D935" s="284"/>
      <c r="E935" s="284"/>
      <c r="F935" s="284"/>
      <c r="G935" s="284"/>
      <c r="H935" s="284"/>
      <c r="I935" s="285"/>
      <c r="J935" s="284"/>
      <c r="K935" s="284"/>
      <c r="L935" s="284"/>
      <c r="M935" s="284"/>
      <c r="N935" s="288"/>
      <c r="O935" s="288"/>
      <c r="P935" s="288"/>
      <c r="Q935" s="284"/>
      <c r="R935" s="284"/>
      <c r="S935" s="285"/>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row>
    <row r="936">
      <c r="A936" s="285"/>
      <c r="B936" s="285"/>
      <c r="C936" s="284"/>
      <c r="D936" s="284"/>
      <c r="E936" s="284"/>
      <c r="F936" s="284"/>
      <c r="G936" s="284"/>
      <c r="H936" s="284"/>
      <c r="I936" s="285"/>
      <c r="J936" s="284"/>
      <c r="K936" s="284"/>
      <c r="L936" s="284"/>
      <c r="M936" s="284"/>
      <c r="N936" s="288"/>
      <c r="O936" s="288"/>
      <c r="P936" s="288"/>
      <c r="Q936" s="284"/>
      <c r="R936" s="284"/>
      <c r="S936" s="285"/>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row>
    <row r="937">
      <c r="A937" s="285"/>
      <c r="B937" s="285"/>
      <c r="C937" s="284"/>
      <c r="D937" s="284"/>
      <c r="E937" s="284"/>
      <c r="F937" s="284"/>
      <c r="G937" s="284"/>
      <c r="H937" s="284"/>
      <c r="I937" s="285"/>
      <c r="J937" s="284"/>
      <c r="K937" s="284"/>
      <c r="L937" s="284"/>
      <c r="M937" s="284"/>
      <c r="N937" s="288"/>
      <c r="O937" s="288"/>
      <c r="P937" s="288"/>
      <c r="Q937" s="284"/>
      <c r="R937" s="284"/>
      <c r="S937" s="285"/>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row>
    <row r="938">
      <c r="A938" s="285"/>
      <c r="B938" s="285"/>
      <c r="C938" s="284"/>
      <c r="D938" s="284"/>
      <c r="E938" s="284"/>
      <c r="F938" s="284"/>
      <c r="G938" s="284"/>
      <c r="H938" s="284"/>
      <c r="I938" s="285"/>
      <c r="J938" s="284"/>
      <c r="K938" s="284"/>
      <c r="L938" s="284"/>
      <c r="M938" s="284"/>
      <c r="N938" s="288"/>
      <c r="O938" s="288"/>
      <c r="P938" s="288"/>
      <c r="Q938" s="284"/>
      <c r="R938" s="284"/>
      <c r="S938" s="285"/>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row>
    <row r="939">
      <c r="A939" s="285"/>
      <c r="B939" s="285"/>
      <c r="C939" s="284"/>
      <c r="D939" s="284"/>
      <c r="E939" s="284"/>
      <c r="F939" s="284"/>
      <c r="G939" s="284"/>
      <c r="H939" s="284"/>
      <c r="I939" s="285"/>
      <c r="J939" s="284"/>
      <c r="K939" s="284"/>
      <c r="L939" s="284"/>
      <c r="M939" s="284"/>
      <c r="N939" s="288"/>
      <c r="O939" s="288"/>
      <c r="P939" s="288"/>
      <c r="Q939" s="284"/>
      <c r="R939" s="284"/>
      <c r="S939" s="285"/>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row>
    <row r="940">
      <c r="A940" s="285"/>
      <c r="B940" s="285"/>
      <c r="C940" s="284"/>
      <c r="D940" s="284"/>
      <c r="E940" s="284"/>
      <c r="F940" s="284"/>
      <c r="G940" s="284"/>
      <c r="H940" s="284"/>
      <c r="I940" s="285"/>
      <c r="J940" s="284"/>
      <c r="K940" s="284"/>
      <c r="L940" s="284"/>
      <c r="M940" s="284"/>
      <c r="N940" s="288"/>
      <c r="O940" s="288"/>
      <c r="P940" s="288"/>
      <c r="Q940" s="284"/>
      <c r="R940" s="284"/>
      <c r="S940" s="285"/>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row>
    <row r="941">
      <c r="A941" s="285"/>
      <c r="B941" s="285"/>
      <c r="C941" s="284"/>
      <c r="D941" s="284"/>
      <c r="E941" s="284"/>
      <c r="F941" s="284"/>
      <c r="G941" s="284"/>
      <c r="H941" s="284"/>
      <c r="I941" s="285"/>
      <c r="J941" s="284"/>
      <c r="K941" s="284"/>
      <c r="L941" s="284"/>
      <c r="M941" s="284"/>
      <c r="N941" s="288"/>
      <c r="O941" s="288"/>
      <c r="P941" s="288"/>
      <c r="Q941" s="284"/>
      <c r="R941" s="284"/>
      <c r="S941" s="285"/>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row>
    <row r="942">
      <c r="A942" s="285"/>
      <c r="B942" s="285"/>
      <c r="C942" s="284"/>
      <c r="D942" s="284"/>
      <c r="E942" s="284"/>
      <c r="F942" s="284"/>
      <c r="G942" s="284"/>
      <c r="H942" s="284"/>
      <c r="I942" s="285"/>
      <c r="J942" s="284"/>
      <c r="K942" s="284"/>
      <c r="L942" s="284"/>
      <c r="M942" s="284"/>
      <c r="N942" s="288"/>
      <c r="O942" s="288"/>
      <c r="P942" s="288"/>
      <c r="Q942" s="284"/>
      <c r="R942" s="284"/>
      <c r="S942" s="285"/>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row>
    <row r="943">
      <c r="A943" s="285"/>
      <c r="B943" s="285"/>
      <c r="C943" s="284"/>
      <c r="D943" s="284"/>
      <c r="E943" s="284"/>
      <c r="F943" s="284"/>
      <c r="G943" s="284"/>
      <c r="H943" s="284"/>
      <c r="I943" s="285"/>
      <c r="J943" s="284"/>
      <c r="K943" s="284"/>
      <c r="L943" s="284"/>
      <c r="M943" s="284"/>
      <c r="N943" s="288"/>
      <c r="O943" s="288"/>
      <c r="P943" s="288"/>
      <c r="Q943" s="284"/>
      <c r="R943" s="284"/>
      <c r="S943" s="285"/>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row>
    <row r="944">
      <c r="A944" s="285"/>
      <c r="B944" s="285"/>
      <c r="C944" s="284"/>
      <c r="D944" s="284"/>
      <c r="E944" s="284"/>
      <c r="F944" s="284"/>
      <c r="G944" s="284"/>
      <c r="H944" s="284"/>
      <c r="I944" s="285"/>
      <c r="J944" s="284"/>
      <c r="K944" s="284"/>
      <c r="L944" s="284"/>
      <c r="M944" s="284"/>
      <c r="N944" s="288"/>
      <c r="O944" s="288"/>
      <c r="P944" s="288"/>
      <c r="Q944" s="284"/>
      <c r="R944" s="284"/>
      <c r="S944" s="285"/>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row>
    <row r="945">
      <c r="A945" s="285"/>
      <c r="B945" s="285"/>
      <c r="C945" s="284"/>
      <c r="D945" s="284"/>
      <c r="E945" s="284"/>
      <c r="F945" s="284"/>
      <c r="G945" s="284"/>
      <c r="H945" s="284"/>
      <c r="I945" s="285"/>
      <c r="J945" s="284"/>
      <c r="K945" s="284"/>
      <c r="L945" s="284"/>
      <c r="M945" s="284"/>
      <c r="N945" s="288"/>
      <c r="O945" s="288"/>
      <c r="P945" s="288"/>
      <c r="Q945" s="284"/>
      <c r="R945" s="284"/>
      <c r="S945" s="285"/>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row>
    <row r="946">
      <c r="A946" s="285"/>
      <c r="B946" s="285"/>
      <c r="C946" s="284"/>
      <c r="D946" s="284"/>
      <c r="E946" s="284"/>
      <c r="F946" s="284"/>
      <c r="G946" s="284"/>
      <c r="H946" s="284"/>
      <c r="I946" s="285"/>
      <c r="J946" s="284"/>
      <c r="K946" s="284"/>
      <c r="L946" s="284"/>
      <c r="M946" s="284"/>
      <c r="N946" s="288"/>
      <c r="O946" s="288"/>
      <c r="P946" s="288"/>
      <c r="Q946" s="284"/>
      <c r="R946" s="284"/>
      <c r="S946" s="285"/>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row>
    <row r="947">
      <c r="A947" s="285"/>
      <c r="B947" s="285"/>
      <c r="C947" s="284"/>
      <c r="D947" s="284"/>
      <c r="E947" s="284"/>
      <c r="F947" s="284"/>
      <c r="G947" s="284"/>
      <c r="H947" s="284"/>
      <c r="I947" s="285"/>
      <c r="J947" s="284"/>
      <c r="K947" s="284"/>
      <c r="L947" s="284"/>
      <c r="M947" s="284"/>
      <c r="N947" s="288"/>
      <c r="O947" s="288"/>
      <c r="P947" s="288"/>
      <c r="Q947" s="284"/>
      <c r="R947" s="284"/>
      <c r="S947" s="285"/>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row>
    <row r="948">
      <c r="A948" s="285"/>
      <c r="B948" s="285"/>
      <c r="C948" s="284"/>
      <c r="D948" s="284"/>
      <c r="E948" s="284"/>
      <c r="F948" s="284"/>
      <c r="G948" s="284"/>
      <c r="H948" s="284"/>
      <c r="I948" s="285"/>
      <c r="J948" s="284"/>
      <c r="K948" s="284"/>
      <c r="L948" s="284"/>
      <c r="M948" s="284"/>
      <c r="N948" s="288"/>
      <c r="O948" s="288"/>
      <c r="P948" s="288"/>
      <c r="Q948" s="284"/>
      <c r="R948" s="284"/>
      <c r="S948" s="285"/>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row>
    <row r="949">
      <c r="A949" s="285"/>
      <c r="B949" s="285"/>
      <c r="C949" s="284"/>
      <c r="D949" s="284"/>
      <c r="E949" s="284"/>
      <c r="F949" s="284"/>
      <c r="G949" s="284"/>
      <c r="H949" s="284"/>
      <c r="I949" s="285"/>
      <c r="J949" s="284"/>
      <c r="K949" s="284"/>
      <c r="L949" s="284"/>
      <c r="M949" s="284"/>
      <c r="N949" s="288"/>
      <c r="O949" s="288"/>
      <c r="P949" s="288"/>
      <c r="Q949" s="284"/>
      <c r="R949" s="284"/>
      <c r="S949" s="285"/>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row>
    <row r="950">
      <c r="A950" s="285"/>
      <c r="B950" s="285"/>
      <c r="C950" s="284"/>
      <c r="D950" s="284"/>
      <c r="E950" s="284"/>
      <c r="F950" s="284"/>
      <c r="G950" s="284"/>
      <c r="H950" s="284"/>
      <c r="I950" s="285"/>
      <c r="J950" s="284"/>
      <c r="K950" s="284"/>
      <c r="L950" s="284"/>
      <c r="M950" s="284"/>
      <c r="N950" s="288"/>
      <c r="O950" s="288"/>
      <c r="P950" s="288"/>
      <c r="Q950" s="284"/>
      <c r="R950" s="284"/>
      <c r="S950" s="285"/>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row>
    <row r="951">
      <c r="A951" s="285"/>
      <c r="B951" s="285"/>
      <c r="C951" s="284"/>
      <c r="D951" s="284"/>
      <c r="E951" s="284"/>
      <c r="F951" s="284"/>
      <c r="G951" s="284"/>
      <c r="H951" s="284"/>
      <c r="I951" s="285"/>
      <c r="J951" s="284"/>
      <c r="K951" s="284"/>
      <c r="L951" s="284"/>
      <c r="M951" s="284"/>
      <c r="N951" s="288"/>
      <c r="O951" s="288"/>
      <c r="P951" s="288"/>
      <c r="Q951" s="284"/>
      <c r="R951" s="284"/>
      <c r="S951" s="285"/>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row>
    <row r="952">
      <c r="A952" s="285"/>
      <c r="B952" s="285"/>
      <c r="C952" s="284"/>
      <c r="D952" s="284"/>
      <c r="E952" s="284"/>
      <c r="F952" s="284"/>
      <c r="G952" s="284"/>
      <c r="H952" s="284"/>
      <c r="I952" s="285"/>
      <c r="J952" s="284"/>
      <c r="K952" s="284"/>
      <c r="L952" s="284"/>
      <c r="M952" s="284"/>
      <c r="N952" s="288"/>
      <c r="O952" s="288"/>
      <c r="P952" s="288"/>
      <c r="Q952" s="284"/>
      <c r="R952" s="284"/>
      <c r="S952" s="285"/>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row>
    <row r="953">
      <c r="A953" s="285"/>
      <c r="B953" s="285"/>
      <c r="C953" s="284"/>
      <c r="D953" s="284"/>
      <c r="E953" s="284"/>
      <c r="F953" s="284"/>
      <c r="G953" s="284"/>
      <c r="H953" s="284"/>
      <c r="I953" s="285"/>
      <c r="J953" s="284"/>
      <c r="K953" s="284"/>
      <c r="L953" s="284"/>
      <c r="M953" s="284"/>
      <c r="N953" s="288"/>
      <c r="O953" s="288"/>
      <c r="P953" s="288"/>
      <c r="Q953" s="284"/>
      <c r="R953" s="284"/>
      <c r="S953" s="285"/>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row>
    <row r="954">
      <c r="A954" s="285"/>
      <c r="B954" s="285"/>
      <c r="C954" s="284"/>
      <c r="D954" s="284"/>
      <c r="E954" s="284"/>
      <c r="F954" s="284"/>
      <c r="G954" s="284"/>
      <c r="H954" s="284"/>
      <c r="I954" s="285"/>
      <c r="J954" s="284"/>
      <c r="K954" s="284"/>
      <c r="L954" s="284"/>
      <c r="M954" s="284"/>
      <c r="N954" s="288"/>
      <c r="O954" s="288"/>
      <c r="P954" s="288"/>
      <c r="Q954" s="284"/>
      <c r="R954" s="284"/>
      <c r="S954" s="285"/>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row>
    <row r="955">
      <c r="A955" s="285"/>
      <c r="B955" s="285"/>
      <c r="C955" s="284"/>
      <c r="D955" s="284"/>
      <c r="E955" s="284"/>
      <c r="F955" s="284"/>
      <c r="G955" s="284"/>
      <c r="H955" s="284"/>
      <c r="I955" s="285"/>
      <c r="J955" s="284"/>
      <c r="K955" s="284"/>
      <c r="L955" s="284"/>
      <c r="M955" s="284"/>
      <c r="N955" s="288"/>
      <c r="O955" s="288"/>
      <c r="P955" s="288"/>
      <c r="Q955" s="284"/>
      <c r="R955" s="284"/>
      <c r="S955" s="285"/>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row>
    <row r="956">
      <c r="A956" s="285"/>
      <c r="B956" s="285"/>
      <c r="C956" s="284"/>
      <c r="D956" s="284"/>
      <c r="E956" s="284"/>
      <c r="F956" s="284"/>
      <c r="G956" s="284"/>
      <c r="H956" s="284"/>
      <c r="I956" s="285"/>
      <c r="J956" s="284"/>
      <c r="K956" s="284"/>
      <c r="L956" s="284"/>
      <c r="M956" s="284"/>
      <c r="N956" s="288"/>
      <c r="O956" s="288"/>
      <c r="P956" s="288"/>
      <c r="Q956" s="284"/>
      <c r="R956" s="284"/>
      <c r="S956" s="285"/>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row>
    <row r="957">
      <c r="A957" s="285"/>
      <c r="B957" s="285"/>
      <c r="C957" s="284"/>
      <c r="D957" s="284"/>
      <c r="E957" s="284"/>
      <c r="F957" s="284"/>
      <c r="G957" s="284"/>
      <c r="H957" s="284"/>
      <c r="I957" s="285"/>
      <c r="J957" s="284"/>
      <c r="K957" s="284"/>
      <c r="L957" s="284"/>
      <c r="M957" s="284"/>
      <c r="N957" s="288"/>
      <c r="O957" s="288"/>
      <c r="P957" s="288"/>
      <c r="Q957" s="284"/>
      <c r="R957" s="284"/>
      <c r="S957" s="285"/>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row>
    <row r="958">
      <c r="A958" s="285"/>
      <c r="B958" s="285"/>
      <c r="C958" s="284"/>
      <c r="D958" s="284"/>
      <c r="E958" s="284"/>
      <c r="F958" s="284"/>
      <c r="G958" s="284"/>
      <c r="H958" s="284"/>
      <c r="I958" s="285"/>
      <c r="J958" s="284"/>
      <c r="K958" s="284"/>
      <c r="L958" s="284"/>
      <c r="M958" s="284"/>
      <c r="N958" s="288"/>
      <c r="O958" s="288"/>
      <c r="P958" s="288"/>
      <c r="Q958" s="284"/>
      <c r="R958" s="284"/>
      <c r="S958" s="285"/>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row>
    <row r="959">
      <c r="A959" s="285"/>
      <c r="B959" s="285"/>
      <c r="C959" s="284"/>
      <c r="D959" s="284"/>
      <c r="E959" s="284"/>
      <c r="F959" s="284"/>
      <c r="G959" s="284"/>
      <c r="H959" s="284"/>
      <c r="I959" s="285"/>
      <c r="J959" s="284"/>
      <c r="K959" s="284"/>
      <c r="L959" s="284"/>
      <c r="M959" s="284"/>
      <c r="N959" s="288"/>
      <c r="O959" s="288"/>
      <c r="P959" s="288"/>
      <c r="Q959" s="284"/>
      <c r="R959" s="284"/>
      <c r="S959" s="285"/>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row>
    <row r="960">
      <c r="A960" s="285"/>
      <c r="B960" s="285"/>
      <c r="C960" s="284"/>
      <c r="D960" s="284"/>
      <c r="E960" s="284"/>
      <c r="F960" s="284"/>
      <c r="G960" s="284"/>
      <c r="H960" s="284"/>
      <c r="I960" s="285"/>
      <c r="J960" s="284"/>
      <c r="K960" s="284"/>
      <c r="L960" s="284"/>
      <c r="M960" s="284"/>
      <c r="N960" s="288"/>
      <c r="O960" s="288"/>
      <c r="P960" s="288"/>
      <c r="Q960" s="284"/>
      <c r="R960" s="284"/>
      <c r="S960" s="285"/>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row>
    <row r="961">
      <c r="A961" s="285"/>
      <c r="B961" s="285"/>
      <c r="C961" s="284"/>
      <c r="D961" s="284"/>
      <c r="E961" s="284"/>
      <c r="F961" s="284"/>
      <c r="G961" s="284"/>
      <c r="H961" s="284"/>
      <c r="I961" s="285"/>
      <c r="J961" s="284"/>
      <c r="K961" s="284"/>
      <c r="L961" s="284"/>
      <c r="M961" s="284"/>
      <c r="N961" s="288"/>
      <c r="O961" s="288"/>
      <c r="P961" s="288"/>
      <c r="Q961" s="284"/>
      <c r="R961" s="284"/>
      <c r="S961" s="285"/>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row>
    <row r="962">
      <c r="A962" s="285"/>
      <c r="B962" s="285"/>
      <c r="C962" s="284"/>
      <c r="D962" s="284"/>
      <c r="E962" s="284"/>
      <c r="F962" s="284"/>
      <c r="G962" s="284"/>
      <c r="H962" s="284"/>
      <c r="I962" s="285"/>
      <c r="J962" s="284"/>
      <c r="K962" s="284"/>
      <c r="L962" s="284"/>
      <c r="M962" s="284"/>
      <c r="N962" s="288"/>
      <c r="O962" s="288"/>
      <c r="P962" s="288"/>
      <c r="Q962" s="284"/>
      <c r="R962" s="284"/>
      <c r="S962" s="285"/>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row>
    <row r="963">
      <c r="A963" s="285"/>
      <c r="B963" s="285"/>
      <c r="C963" s="284"/>
      <c r="D963" s="284"/>
      <c r="E963" s="284"/>
      <c r="F963" s="284"/>
      <c r="G963" s="284"/>
      <c r="H963" s="284"/>
      <c r="I963" s="285"/>
      <c r="J963" s="284"/>
      <c r="K963" s="284"/>
      <c r="L963" s="284"/>
      <c r="M963" s="284"/>
      <c r="N963" s="288"/>
      <c r="O963" s="288"/>
      <c r="P963" s="288"/>
      <c r="Q963" s="284"/>
      <c r="R963" s="284"/>
      <c r="S963" s="285"/>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row>
    <row r="964">
      <c r="A964" s="285"/>
      <c r="B964" s="285"/>
      <c r="C964" s="284"/>
      <c r="D964" s="284"/>
      <c r="E964" s="284"/>
      <c r="F964" s="284"/>
      <c r="G964" s="284"/>
      <c r="H964" s="284"/>
      <c r="I964" s="285"/>
      <c r="J964" s="284"/>
      <c r="K964" s="284"/>
      <c r="L964" s="284"/>
      <c r="M964" s="284"/>
      <c r="N964" s="288"/>
      <c r="O964" s="288"/>
      <c r="P964" s="288"/>
      <c r="Q964" s="284"/>
      <c r="R964" s="284"/>
      <c r="S964" s="285"/>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row>
    <row r="965">
      <c r="A965" s="285"/>
      <c r="B965" s="285"/>
      <c r="C965" s="284"/>
      <c r="D965" s="284"/>
      <c r="E965" s="284"/>
      <c r="F965" s="284"/>
      <c r="G965" s="284"/>
      <c r="H965" s="284"/>
      <c r="I965" s="285"/>
      <c r="J965" s="284"/>
      <c r="K965" s="284"/>
      <c r="L965" s="284"/>
      <c r="M965" s="284"/>
      <c r="N965" s="288"/>
      <c r="O965" s="288"/>
      <c r="P965" s="288"/>
      <c r="Q965" s="284"/>
      <c r="R965" s="284"/>
      <c r="S965" s="285"/>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row>
    <row r="966">
      <c r="A966" s="285"/>
      <c r="B966" s="285"/>
      <c r="C966" s="284"/>
      <c r="D966" s="284"/>
      <c r="E966" s="284"/>
      <c r="F966" s="284"/>
      <c r="G966" s="284"/>
      <c r="H966" s="284"/>
      <c r="I966" s="285"/>
      <c r="J966" s="284"/>
      <c r="K966" s="284"/>
      <c r="L966" s="284"/>
      <c r="M966" s="284"/>
      <c r="N966" s="288"/>
      <c r="O966" s="288"/>
      <c r="P966" s="288"/>
      <c r="Q966" s="284"/>
      <c r="R966" s="284"/>
      <c r="S966" s="285"/>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row>
    <row r="967">
      <c r="A967" s="285"/>
      <c r="B967" s="285"/>
      <c r="C967" s="284"/>
      <c r="D967" s="284"/>
      <c r="E967" s="284"/>
      <c r="F967" s="284"/>
      <c r="G967" s="284"/>
      <c r="H967" s="284"/>
      <c r="I967" s="285"/>
      <c r="J967" s="284"/>
      <c r="K967" s="284"/>
      <c r="L967" s="284"/>
      <c r="M967" s="284"/>
      <c r="N967" s="288"/>
      <c r="O967" s="288"/>
      <c r="P967" s="288"/>
      <c r="Q967" s="284"/>
      <c r="R967" s="284"/>
      <c r="S967" s="285"/>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row>
    <row r="968">
      <c r="A968" s="285"/>
      <c r="B968" s="285"/>
      <c r="C968" s="284"/>
      <c r="D968" s="284"/>
      <c r="E968" s="284"/>
      <c r="F968" s="284"/>
      <c r="G968" s="284"/>
      <c r="H968" s="284"/>
      <c r="I968" s="285"/>
      <c r="J968" s="284"/>
      <c r="K968" s="284"/>
      <c r="L968" s="284"/>
      <c r="M968" s="284"/>
      <c r="N968" s="288"/>
      <c r="O968" s="288"/>
      <c r="P968" s="288"/>
      <c r="Q968" s="284"/>
      <c r="R968" s="284"/>
      <c r="S968" s="285"/>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row>
    <row r="969">
      <c r="A969" s="285"/>
      <c r="B969" s="285"/>
      <c r="C969" s="284"/>
      <c r="D969" s="284"/>
      <c r="E969" s="284"/>
      <c r="F969" s="284"/>
      <c r="G969" s="284"/>
      <c r="H969" s="284"/>
      <c r="I969" s="285"/>
      <c r="J969" s="284"/>
      <c r="K969" s="284"/>
      <c r="L969" s="284"/>
      <c r="M969" s="284"/>
      <c r="N969" s="288"/>
      <c r="O969" s="288"/>
      <c r="P969" s="288"/>
      <c r="Q969" s="284"/>
      <c r="R969" s="284"/>
      <c r="S969" s="285"/>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row>
    <row r="970">
      <c r="A970" s="285"/>
      <c r="B970" s="285"/>
      <c r="C970" s="284"/>
      <c r="D970" s="284"/>
      <c r="E970" s="284"/>
      <c r="F970" s="284"/>
      <c r="G970" s="284"/>
      <c r="H970" s="284"/>
      <c r="I970" s="285"/>
      <c r="J970" s="284"/>
      <c r="K970" s="284"/>
      <c r="L970" s="284"/>
      <c r="M970" s="284"/>
      <c r="N970" s="288"/>
      <c r="O970" s="288"/>
      <c r="P970" s="288"/>
      <c r="Q970" s="284"/>
      <c r="R970" s="284"/>
      <c r="S970" s="285"/>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row>
    <row r="971">
      <c r="A971" s="285"/>
      <c r="B971" s="285"/>
      <c r="C971" s="284"/>
      <c r="D971" s="284"/>
      <c r="E971" s="284"/>
      <c r="F971" s="284"/>
      <c r="G971" s="284"/>
      <c r="H971" s="284"/>
      <c r="I971" s="285"/>
      <c r="J971" s="284"/>
      <c r="K971" s="284"/>
      <c r="L971" s="284"/>
      <c r="M971" s="284"/>
      <c r="N971" s="288"/>
      <c r="O971" s="288"/>
      <c r="P971" s="288"/>
      <c r="Q971" s="284"/>
      <c r="R971" s="284"/>
      <c r="S971" s="285"/>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row>
    <row r="972">
      <c r="A972" s="285"/>
      <c r="B972" s="285"/>
      <c r="C972" s="284"/>
      <c r="D972" s="284"/>
      <c r="E972" s="284"/>
      <c r="F972" s="284"/>
      <c r="G972" s="284"/>
      <c r="H972" s="284"/>
      <c r="I972" s="285"/>
      <c r="J972" s="284"/>
      <c r="K972" s="284"/>
      <c r="L972" s="284"/>
      <c r="M972" s="284"/>
      <c r="N972" s="288"/>
      <c r="O972" s="288"/>
      <c r="P972" s="288"/>
      <c r="Q972" s="284"/>
      <c r="R972" s="284"/>
      <c r="S972" s="285"/>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row>
    <row r="973">
      <c r="A973" s="285"/>
      <c r="B973" s="285"/>
      <c r="C973" s="284"/>
      <c r="D973" s="284"/>
      <c r="E973" s="284"/>
      <c r="F973" s="284"/>
      <c r="G973" s="284"/>
      <c r="H973" s="284"/>
      <c r="I973" s="285"/>
      <c r="J973" s="284"/>
      <c r="K973" s="284"/>
      <c r="L973" s="284"/>
      <c r="M973" s="284"/>
      <c r="N973" s="288"/>
      <c r="O973" s="288"/>
      <c r="P973" s="288"/>
      <c r="Q973" s="284"/>
      <c r="R973" s="284"/>
      <c r="S973" s="285"/>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row>
    <row r="974">
      <c r="A974" s="285"/>
      <c r="B974" s="285"/>
      <c r="C974" s="284"/>
      <c r="D974" s="284"/>
      <c r="E974" s="284"/>
      <c r="F974" s="284"/>
      <c r="G974" s="284"/>
      <c r="H974" s="284"/>
      <c r="I974" s="285"/>
      <c r="J974" s="284"/>
      <c r="K974" s="284"/>
      <c r="L974" s="284"/>
      <c r="M974" s="284"/>
      <c r="N974" s="288"/>
      <c r="O974" s="288"/>
      <c r="P974" s="288"/>
      <c r="Q974" s="284"/>
      <c r="R974" s="284"/>
      <c r="S974" s="285"/>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row>
    <row r="975">
      <c r="A975" s="285"/>
      <c r="B975" s="285"/>
      <c r="C975" s="284"/>
      <c r="D975" s="284"/>
      <c r="E975" s="284"/>
      <c r="F975" s="284"/>
      <c r="G975" s="284"/>
      <c r="H975" s="284"/>
      <c r="I975" s="285"/>
      <c r="J975" s="284"/>
      <c r="K975" s="284"/>
      <c r="L975" s="284"/>
      <c r="M975" s="284"/>
      <c r="N975" s="288"/>
      <c r="O975" s="288"/>
      <c r="P975" s="288"/>
      <c r="Q975" s="284"/>
      <c r="R975" s="284"/>
      <c r="S975" s="285"/>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row>
    <row r="976">
      <c r="A976" s="285"/>
      <c r="B976" s="285"/>
      <c r="C976" s="284"/>
      <c r="D976" s="284"/>
      <c r="E976" s="284"/>
      <c r="F976" s="284"/>
      <c r="G976" s="284"/>
      <c r="H976" s="284"/>
      <c r="I976" s="285"/>
      <c r="J976" s="284"/>
      <c r="K976" s="284"/>
      <c r="L976" s="284"/>
      <c r="M976" s="284"/>
      <c r="N976" s="288"/>
      <c r="O976" s="288"/>
      <c r="P976" s="288"/>
      <c r="Q976" s="284"/>
      <c r="R976" s="284"/>
      <c r="S976" s="285"/>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row>
    <row r="977">
      <c r="A977" s="285"/>
      <c r="B977" s="285"/>
      <c r="C977" s="284"/>
      <c r="D977" s="284"/>
      <c r="E977" s="284"/>
      <c r="F977" s="284"/>
      <c r="G977" s="284"/>
      <c r="H977" s="284"/>
      <c r="I977" s="285"/>
      <c r="J977" s="284"/>
      <c r="K977" s="284"/>
      <c r="L977" s="284"/>
      <c r="M977" s="284"/>
      <c r="N977" s="288"/>
      <c r="O977" s="288"/>
      <c r="P977" s="288"/>
      <c r="Q977" s="284"/>
      <c r="R977" s="284"/>
      <c r="S977" s="285"/>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row>
    <row r="978">
      <c r="A978" s="285"/>
      <c r="B978" s="285"/>
      <c r="C978" s="284"/>
      <c r="D978" s="284"/>
      <c r="E978" s="284"/>
      <c r="F978" s="284"/>
      <c r="G978" s="284"/>
      <c r="H978" s="284"/>
      <c r="I978" s="285"/>
      <c r="J978" s="284"/>
      <c r="K978" s="284"/>
      <c r="L978" s="284"/>
      <c r="M978" s="284"/>
      <c r="N978" s="288"/>
      <c r="O978" s="288"/>
      <c r="P978" s="288"/>
      <c r="Q978" s="284"/>
      <c r="R978" s="284"/>
      <c r="S978" s="285"/>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row>
    <row r="979">
      <c r="A979" s="285"/>
      <c r="B979" s="285"/>
      <c r="C979" s="284"/>
      <c r="D979" s="284"/>
      <c r="E979" s="284"/>
      <c r="F979" s="284"/>
      <c r="G979" s="284"/>
      <c r="H979" s="284"/>
      <c r="I979" s="285"/>
      <c r="J979" s="284"/>
      <c r="K979" s="284"/>
      <c r="L979" s="284"/>
      <c r="M979" s="284"/>
      <c r="N979" s="288"/>
      <c r="O979" s="288"/>
      <c r="P979" s="288"/>
      <c r="Q979" s="284"/>
      <c r="R979" s="284"/>
      <c r="S979" s="285"/>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row>
    <row r="980">
      <c r="A980" s="285"/>
      <c r="B980" s="285"/>
      <c r="C980" s="284"/>
      <c r="D980" s="284"/>
      <c r="E980" s="284"/>
      <c r="F980" s="284"/>
      <c r="G980" s="284"/>
      <c r="H980" s="284"/>
      <c r="I980" s="285"/>
      <c r="J980" s="284"/>
      <c r="K980" s="284"/>
      <c r="L980" s="284"/>
      <c r="M980" s="284"/>
      <c r="N980" s="288"/>
      <c r="O980" s="288"/>
      <c r="P980" s="288"/>
      <c r="Q980" s="284"/>
      <c r="R980" s="284"/>
      <c r="S980" s="285"/>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row>
    <row r="981">
      <c r="A981" s="285"/>
      <c r="B981" s="285"/>
      <c r="C981" s="284"/>
      <c r="D981" s="284"/>
      <c r="E981" s="284"/>
      <c r="F981" s="284"/>
      <c r="G981" s="284"/>
      <c r="H981" s="284"/>
      <c r="I981" s="285"/>
      <c r="J981" s="284"/>
      <c r="K981" s="284"/>
      <c r="L981" s="284"/>
      <c r="M981" s="284"/>
      <c r="N981" s="288"/>
      <c r="O981" s="288"/>
      <c r="P981" s="288"/>
      <c r="Q981" s="284"/>
      <c r="R981" s="284"/>
      <c r="S981" s="285"/>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row>
    <row r="982">
      <c r="A982" s="285"/>
      <c r="B982" s="285"/>
      <c r="C982" s="284"/>
      <c r="D982" s="284"/>
      <c r="E982" s="284"/>
      <c r="F982" s="284"/>
      <c r="G982" s="284"/>
      <c r="H982" s="284"/>
      <c r="I982" s="285"/>
      <c r="J982" s="284"/>
      <c r="K982" s="284"/>
      <c r="L982" s="284"/>
      <c r="M982" s="284"/>
      <c r="N982" s="288"/>
      <c r="O982" s="288"/>
      <c r="P982" s="288"/>
      <c r="Q982" s="284"/>
      <c r="R982" s="284"/>
      <c r="S982" s="285"/>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row>
    <row r="983">
      <c r="A983" s="285"/>
      <c r="B983" s="285"/>
      <c r="C983" s="284"/>
      <c r="D983" s="284"/>
      <c r="E983" s="284"/>
      <c r="F983" s="284"/>
      <c r="G983" s="284"/>
      <c r="H983" s="284"/>
      <c r="I983" s="285"/>
      <c r="J983" s="284"/>
      <c r="K983" s="284"/>
      <c r="L983" s="284"/>
      <c r="M983" s="284"/>
      <c r="N983" s="288"/>
      <c r="O983" s="288"/>
      <c r="P983" s="288"/>
      <c r="Q983" s="284"/>
      <c r="R983" s="284"/>
      <c r="S983" s="285"/>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row>
    <row r="984">
      <c r="A984" s="285"/>
      <c r="B984" s="285"/>
      <c r="C984" s="284"/>
      <c r="D984" s="284"/>
      <c r="E984" s="284"/>
      <c r="F984" s="284"/>
      <c r="G984" s="284"/>
      <c r="H984" s="284"/>
      <c r="I984" s="285"/>
      <c r="J984" s="284"/>
      <c r="K984" s="284"/>
      <c r="L984" s="284"/>
      <c r="M984" s="284"/>
      <c r="N984" s="288"/>
      <c r="O984" s="288"/>
      <c r="P984" s="288"/>
      <c r="Q984" s="284"/>
      <c r="R984" s="284"/>
      <c r="S984" s="285"/>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row>
    <row r="985">
      <c r="A985" s="285"/>
      <c r="B985" s="285"/>
      <c r="C985" s="284"/>
      <c r="D985" s="284"/>
      <c r="E985" s="284"/>
      <c r="F985" s="284"/>
      <c r="G985" s="284"/>
      <c r="H985" s="284"/>
      <c r="I985" s="285"/>
      <c r="J985" s="284"/>
      <c r="K985" s="284"/>
      <c r="L985" s="284"/>
      <c r="M985" s="284"/>
      <c r="N985" s="288"/>
      <c r="O985" s="288"/>
      <c r="P985" s="288"/>
      <c r="Q985" s="284"/>
      <c r="R985" s="284"/>
      <c r="S985" s="285"/>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row>
    <row r="986">
      <c r="A986" s="285"/>
      <c r="B986" s="285"/>
      <c r="C986" s="284"/>
      <c r="D986" s="284"/>
      <c r="E986" s="284"/>
      <c r="F986" s="284"/>
      <c r="G986" s="284"/>
      <c r="H986" s="284"/>
      <c r="I986" s="285"/>
      <c r="J986" s="284"/>
      <c r="K986" s="284"/>
      <c r="L986" s="284"/>
      <c r="M986" s="284"/>
      <c r="N986" s="288"/>
      <c r="O986" s="288"/>
      <c r="P986" s="288"/>
      <c r="Q986" s="284"/>
      <c r="R986" s="284"/>
      <c r="S986" s="285"/>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row>
    <row r="987">
      <c r="A987" s="285"/>
      <c r="B987" s="285"/>
      <c r="C987" s="284"/>
      <c r="D987" s="284"/>
      <c r="E987" s="284"/>
      <c r="F987" s="284"/>
      <c r="G987" s="284"/>
      <c r="H987" s="284"/>
      <c r="I987" s="285"/>
      <c r="J987" s="284"/>
      <c r="K987" s="284"/>
      <c r="L987" s="284"/>
      <c r="M987" s="284"/>
      <c r="N987" s="288"/>
      <c r="O987" s="288"/>
      <c r="P987" s="288"/>
      <c r="Q987" s="284"/>
      <c r="R987" s="284"/>
      <c r="S987" s="285"/>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row>
    <row r="988">
      <c r="A988" s="285"/>
      <c r="B988" s="285"/>
      <c r="C988" s="284"/>
      <c r="D988" s="284"/>
      <c r="E988" s="284"/>
      <c r="F988" s="284"/>
      <c r="G988" s="284"/>
      <c r="H988" s="284"/>
      <c r="I988" s="285"/>
      <c r="J988" s="284"/>
      <c r="K988" s="284"/>
      <c r="L988" s="284"/>
      <c r="M988" s="284"/>
      <c r="N988" s="288"/>
      <c r="O988" s="288"/>
      <c r="P988" s="288"/>
      <c r="Q988" s="284"/>
      <c r="R988" s="284"/>
      <c r="S988" s="285"/>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row>
    <row r="989">
      <c r="A989" s="285"/>
      <c r="B989" s="285"/>
      <c r="C989" s="284"/>
      <c r="D989" s="284"/>
      <c r="E989" s="284"/>
      <c r="F989" s="284"/>
      <c r="G989" s="284"/>
      <c r="H989" s="284"/>
      <c r="I989" s="285"/>
      <c r="J989" s="284"/>
      <c r="K989" s="284"/>
      <c r="L989" s="284"/>
      <c r="M989" s="284"/>
      <c r="N989" s="288"/>
      <c r="O989" s="288"/>
      <c r="P989" s="288"/>
      <c r="Q989" s="284"/>
      <c r="R989" s="284"/>
      <c r="S989" s="285"/>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row>
    <row r="990">
      <c r="A990" s="285"/>
      <c r="B990" s="285"/>
      <c r="C990" s="284"/>
      <c r="D990" s="284"/>
      <c r="E990" s="284"/>
      <c r="F990" s="284"/>
      <c r="G990" s="284"/>
      <c r="H990" s="284"/>
      <c r="I990" s="285"/>
      <c r="J990" s="284"/>
      <c r="K990" s="284"/>
      <c r="L990" s="284"/>
      <c r="M990" s="284"/>
      <c r="N990" s="288"/>
      <c r="O990" s="288"/>
      <c r="P990" s="288"/>
      <c r="Q990" s="284"/>
      <c r="R990" s="284"/>
      <c r="S990" s="285"/>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20.25"/>
  </cols>
  <sheetData>
    <row r="1">
      <c r="A1" s="304" t="s">
        <v>4910</v>
      </c>
      <c r="B1" s="304" t="s">
        <v>4911</v>
      </c>
      <c r="C1" s="305" t="s">
        <v>4912</v>
      </c>
      <c r="D1" s="306" t="s">
        <v>4773</v>
      </c>
      <c r="E1" s="306" t="s">
        <v>4774</v>
      </c>
    </row>
    <row r="2">
      <c r="A2" s="307" t="s">
        <v>1491</v>
      </c>
      <c r="B2" s="307" t="s">
        <v>4913</v>
      </c>
      <c r="C2" s="308" t="s">
        <v>4914</v>
      </c>
      <c r="D2" s="309">
        <v>31.80188</v>
      </c>
      <c r="E2" s="309">
        <v>74.25332</v>
      </c>
    </row>
    <row r="3">
      <c r="A3" s="307" t="s">
        <v>2015</v>
      </c>
      <c r="B3" s="307" t="s">
        <v>4915</v>
      </c>
      <c r="C3" s="308" t="s">
        <v>4916</v>
      </c>
      <c r="D3" s="309">
        <v>32.00235</v>
      </c>
      <c r="E3" s="309">
        <v>74.56032</v>
      </c>
    </row>
    <row r="4">
      <c r="A4" s="307" t="s">
        <v>1423</v>
      </c>
      <c r="B4" s="307" t="s">
        <v>4917</v>
      </c>
      <c r="C4" s="308" t="s">
        <v>4918</v>
      </c>
      <c r="D4" s="309">
        <v>31.78644</v>
      </c>
      <c r="E4" s="309">
        <v>73.97667</v>
      </c>
    </row>
    <row r="5">
      <c r="A5" s="307" t="s">
        <v>1468</v>
      </c>
      <c r="B5" s="307" t="s">
        <v>4919</v>
      </c>
      <c r="C5" s="308" t="s">
        <v>4920</v>
      </c>
      <c r="D5" s="309">
        <v>31.87145</v>
      </c>
      <c r="E5" s="309">
        <v>74.5247</v>
      </c>
    </row>
    <row r="6">
      <c r="A6" s="307" t="s">
        <v>1505</v>
      </c>
      <c r="B6" s="307" t="s">
        <v>4921</v>
      </c>
      <c r="C6" s="308" t="s">
        <v>4922</v>
      </c>
      <c r="D6" s="309">
        <v>31.71256</v>
      </c>
      <c r="E6" s="309">
        <v>73.98445</v>
      </c>
    </row>
    <row r="7">
      <c r="A7" s="307" t="s">
        <v>1714</v>
      </c>
      <c r="B7" s="307" t="s">
        <v>4923</v>
      </c>
      <c r="C7" s="308" t="s">
        <v>4924</v>
      </c>
      <c r="D7" s="309">
        <v>31.71669</v>
      </c>
      <c r="E7" s="309">
        <v>73.96795</v>
      </c>
    </row>
    <row r="8">
      <c r="A8" s="307" t="s">
        <v>1438</v>
      </c>
      <c r="B8" s="307" t="s">
        <v>4925</v>
      </c>
      <c r="C8" s="308" t="s">
        <v>4926</v>
      </c>
      <c r="D8" s="309">
        <v>31.74096</v>
      </c>
      <c r="E8" s="309">
        <v>73.83113</v>
      </c>
    </row>
    <row r="9">
      <c r="A9" s="307" t="s">
        <v>1643</v>
      </c>
      <c r="B9" s="307" t="s">
        <v>4927</v>
      </c>
      <c r="C9" s="308" t="s">
        <v>4928</v>
      </c>
      <c r="D9" s="309">
        <v>31.71347</v>
      </c>
      <c r="E9" s="309">
        <v>73.98005</v>
      </c>
    </row>
    <row r="10">
      <c r="A10" s="307" t="s">
        <v>3411</v>
      </c>
      <c r="B10" s="307" t="s">
        <v>2812</v>
      </c>
      <c r="C10" s="308" t="s">
        <v>4929</v>
      </c>
      <c r="D10" s="309">
        <v>31.5742</v>
      </c>
      <c r="E10" s="309">
        <v>74.30402</v>
      </c>
    </row>
    <row r="11">
      <c r="A11" s="307" t="s">
        <v>2908</v>
      </c>
      <c r="B11" s="307" t="s">
        <v>4930</v>
      </c>
      <c r="C11" s="308" t="s">
        <v>4931</v>
      </c>
      <c r="D11" s="309">
        <v>31.58222</v>
      </c>
      <c r="E11" s="309">
        <v>74.31641</v>
      </c>
    </row>
    <row r="12">
      <c r="A12" s="307" t="s">
        <v>4932</v>
      </c>
      <c r="B12" s="307" t="s">
        <v>4933</v>
      </c>
      <c r="C12" s="308" t="s">
        <v>4934</v>
      </c>
      <c r="D12" s="309">
        <v>31.5829</v>
      </c>
      <c r="E12" s="309">
        <v>74.30598</v>
      </c>
    </row>
    <row r="13">
      <c r="A13" s="307" t="s">
        <v>2878</v>
      </c>
      <c r="B13" s="307" t="s">
        <v>2879</v>
      </c>
      <c r="C13" s="308" t="s">
        <v>4935</v>
      </c>
      <c r="D13" s="309">
        <v>31.5829</v>
      </c>
      <c r="E13" s="309">
        <v>74.30598</v>
      </c>
    </row>
    <row r="14">
      <c r="A14" s="307" t="s">
        <v>4936</v>
      </c>
      <c r="B14" s="307" t="s">
        <v>4937</v>
      </c>
      <c r="D14" s="310"/>
      <c r="E14" s="310"/>
    </row>
    <row r="15">
      <c r="A15" s="307" t="s">
        <v>4938</v>
      </c>
      <c r="B15" s="307" t="s">
        <v>1376</v>
      </c>
      <c r="C15" s="308" t="s">
        <v>4939</v>
      </c>
      <c r="D15" s="309">
        <v>31.57677</v>
      </c>
      <c r="E15" s="309">
        <v>74.31365</v>
      </c>
    </row>
    <row r="16">
      <c r="A16" s="307" t="s">
        <v>3100</v>
      </c>
      <c r="B16" s="307" t="s">
        <v>4940</v>
      </c>
      <c r="C16" s="308" t="s">
        <v>4941</v>
      </c>
      <c r="D16" s="309">
        <v>31.57606</v>
      </c>
      <c r="E16" s="309">
        <v>74.31303</v>
      </c>
    </row>
    <row r="17">
      <c r="A17" s="307" t="s">
        <v>4942</v>
      </c>
      <c r="B17" s="307" t="s">
        <v>4943</v>
      </c>
      <c r="C17" s="308" t="s">
        <v>4944</v>
      </c>
      <c r="D17" s="309">
        <v>31.57907</v>
      </c>
      <c r="E17" s="309">
        <v>74.32013</v>
      </c>
    </row>
    <row r="18">
      <c r="A18" s="307" t="s">
        <v>2983</v>
      </c>
      <c r="B18" s="307" t="s">
        <v>4945</v>
      </c>
      <c r="C18" s="308" t="s">
        <v>4946</v>
      </c>
      <c r="D18" s="309">
        <v>31.58608</v>
      </c>
      <c r="E18" s="309">
        <v>74.30807</v>
      </c>
    </row>
    <row r="19">
      <c r="A19" s="307" t="s">
        <v>1202</v>
      </c>
      <c r="B19" s="307" t="s">
        <v>4947</v>
      </c>
      <c r="C19" s="308" t="s">
        <v>4948</v>
      </c>
      <c r="D19" s="309">
        <v>31.57408</v>
      </c>
      <c r="E19" s="309">
        <v>74.31347</v>
      </c>
    </row>
    <row r="20">
      <c r="A20" s="307" t="s">
        <v>4949</v>
      </c>
      <c r="B20" s="307" t="s">
        <v>1779</v>
      </c>
      <c r="C20" s="308" t="s">
        <v>4950</v>
      </c>
      <c r="D20" s="309">
        <v>31.57348</v>
      </c>
      <c r="E20" s="309">
        <v>74.32217</v>
      </c>
    </row>
    <row r="21">
      <c r="A21" s="307" t="s">
        <v>2925</v>
      </c>
      <c r="B21" s="307" t="s">
        <v>4951</v>
      </c>
      <c r="C21" s="308" t="s">
        <v>4952</v>
      </c>
      <c r="D21" s="309">
        <v>31.58311</v>
      </c>
      <c r="E21" s="309">
        <v>74.31845</v>
      </c>
    </row>
    <row r="22">
      <c r="A22" s="307" t="s">
        <v>2956</v>
      </c>
      <c r="B22" s="307" t="s">
        <v>4953</v>
      </c>
      <c r="C22" s="308" t="s">
        <v>4954</v>
      </c>
      <c r="D22" s="309">
        <v>31.57733</v>
      </c>
      <c r="E22" s="309">
        <v>74.31716</v>
      </c>
    </row>
    <row r="23">
      <c r="A23" s="307" t="s">
        <v>4955</v>
      </c>
      <c r="B23" s="307" t="s">
        <v>4956</v>
      </c>
      <c r="C23" s="308" t="s">
        <v>4957</v>
      </c>
      <c r="D23" s="309">
        <v>31.58015</v>
      </c>
      <c r="E23" s="309">
        <v>74.3153</v>
      </c>
    </row>
    <row r="24">
      <c r="A24" s="307" t="s">
        <v>2948</v>
      </c>
      <c r="B24" s="307" t="s">
        <v>4958</v>
      </c>
      <c r="C24" s="308" t="s">
        <v>4959</v>
      </c>
      <c r="D24" s="309">
        <v>31.5874</v>
      </c>
      <c r="E24" s="309">
        <v>74.30402</v>
      </c>
    </row>
    <row r="25">
      <c r="A25" s="307" t="s">
        <v>3031</v>
      </c>
      <c r="B25" s="307" t="s">
        <v>4960</v>
      </c>
      <c r="C25" s="308" t="s">
        <v>4961</v>
      </c>
      <c r="D25" s="309">
        <v>31.57431</v>
      </c>
      <c r="E25" s="309">
        <v>74.31149</v>
      </c>
    </row>
    <row r="26">
      <c r="A26" s="307" t="s">
        <v>4962</v>
      </c>
      <c r="B26" s="307" t="s">
        <v>4963</v>
      </c>
      <c r="C26" s="308" t="s">
        <v>4964</v>
      </c>
      <c r="D26" s="307">
        <v>31.5814746</v>
      </c>
      <c r="E26" s="307">
        <v>74.3007817</v>
      </c>
    </row>
    <row r="27">
      <c r="A27" s="307" t="s">
        <v>4965</v>
      </c>
      <c r="B27" s="307" t="s">
        <v>4966</v>
      </c>
      <c r="C27" s="308" t="s">
        <v>4967</v>
      </c>
      <c r="D27" s="307">
        <v>31.5813669</v>
      </c>
      <c r="E27" s="307">
        <v>74.3137182</v>
      </c>
    </row>
    <row r="28">
      <c r="A28" s="307" t="s">
        <v>4968</v>
      </c>
      <c r="B28" s="307" t="s">
        <v>4969</v>
      </c>
      <c r="C28" s="308" t="s">
        <v>4970</v>
      </c>
      <c r="D28" s="307">
        <v>31.585691</v>
      </c>
      <c r="E28" s="307">
        <v>74.3204243</v>
      </c>
    </row>
    <row r="29">
      <c r="A29" s="307" t="s">
        <v>4971</v>
      </c>
      <c r="B29" s="307" t="s">
        <v>4972</v>
      </c>
      <c r="D29" s="310"/>
      <c r="E29" s="310"/>
    </row>
    <row r="30">
      <c r="A30" s="307" t="s">
        <v>2974</v>
      </c>
      <c r="B30" s="307" t="s">
        <v>4973</v>
      </c>
      <c r="C30" s="308" t="s">
        <v>4974</v>
      </c>
      <c r="D30" s="307">
        <v>31.5782971</v>
      </c>
      <c r="E30" s="307">
        <v>74.3222366</v>
      </c>
    </row>
    <row r="31">
      <c r="A31" s="307" t="s">
        <v>2933</v>
      </c>
      <c r="B31" s="307" t="s">
        <v>4975</v>
      </c>
      <c r="C31" s="308" t="s">
        <v>4976</v>
      </c>
      <c r="D31" s="307">
        <v>31.5834478</v>
      </c>
      <c r="E31" s="307">
        <v>74.3211755</v>
      </c>
    </row>
    <row r="32">
      <c r="A32" s="307" t="s">
        <v>4977</v>
      </c>
      <c r="B32" s="307" t="s">
        <v>1133</v>
      </c>
      <c r="C32" s="308" t="s">
        <v>4978</v>
      </c>
      <c r="D32" s="307">
        <v>31.5839243</v>
      </c>
      <c r="E32" s="307">
        <v>74.3165669</v>
      </c>
    </row>
    <row r="33">
      <c r="A33" s="307" t="s">
        <v>2993</v>
      </c>
      <c r="B33" s="307" t="s">
        <v>4979</v>
      </c>
      <c r="C33" s="308" t="s">
        <v>4980</v>
      </c>
      <c r="D33" s="307">
        <v>31.5813779</v>
      </c>
      <c r="E33" s="307">
        <v>74.3214262</v>
      </c>
    </row>
    <row r="34">
      <c r="A34" s="307" t="s">
        <v>4981</v>
      </c>
      <c r="B34" s="307" t="s">
        <v>1812</v>
      </c>
      <c r="C34" s="308" t="s">
        <v>4982</v>
      </c>
      <c r="D34" s="307">
        <v>31.5884155</v>
      </c>
      <c r="E34" s="307">
        <v>74.3190388</v>
      </c>
    </row>
    <row r="35">
      <c r="A35" s="307" t="s">
        <v>3039</v>
      </c>
      <c r="B35" s="307" t="s">
        <v>4983</v>
      </c>
      <c r="C35" s="308" t="s">
        <v>4984</v>
      </c>
      <c r="D35" s="307">
        <v>31.5817083</v>
      </c>
      <c r="E35" s="307">
        <v>74.3049283</v>
      </c>
    </row>
    <row r="36">
      <c r="A36" s="307" t="s">
        <v>4985</v>
      </c>
      <c r="B36" s="307" t="s">
        <v>4986</v>
      </c>
      <c r="C36" s="308" t="s">
        <v>4987</v>
      </c>
      <c r="D36" s="307">
        <v>31.5773126</v>
      </c>
      <c r="E36" s="307">
        <v>74.3215007</v>
      </c>
    </row>
    <row r="37">
      <c r="A37" s="307" t="s">
        <v>4988</v>
      </c>
      <c r="B37" s="307" t="s">
        <v>4989</v>
      </c>
      <c r="C37" s="308" t="s">
        <v>4990</v>
      </c>
      <c r="D37" s="307">
        <v>31.5800170898437</v>
      </c>
      <c r="E37" s="307">
        <v>74.326416015625</v>
      </c>
    </row>
    <row r="38">
      <c r="A38" s="307" t="s">
        <v>4991</v>
      </c>
      <c r="B38" s="307" t="s">
        <v>4992</v>
      </c>
      <c r="D38" s="310"/>
      <c r="E38" s="310"/>
    </row>
    <row r="39">
      <c r="A39" s="307" t="s">
        <v>4993</v>
      </c>
      <c r="B39" s="307" t="s">
        <v>3204</v>
      </c>
      <c r="C39" s="308" t="s">
        <v>4994</v>
      </c>
      <c r="D39" s="307">
        <v>31.5908317</v>
      </c>
      <c r="E39" s="307">
        <v>74.3130167</v>
      </c>
    </row>
    <row r="40">
      <c r="A40" s="307" t="s">
        <v>1194</v>
      </c>
      <c r="B40" s="307" t="s">
        <v>2560</v>
      </c>
      <c r="C40" s="308" t="s">
        <v>4995</v>
      </c>
      <c r="D40" s="307">
        <v>31.5835261</v>
      </c>
      <c r="E40" s="307">
        <v>74.3226613</v>
      </c>
    </row>
    <row r="41">
      <c r="A41" s="307" t="s">
        <v>4996</v>
      </c>
      <c r="B41" s="307" t="s">
        <v>4997</v>
      </c>
      <c r="C41" s="308" t="s">
        <v>4998</v>
      </c>
      <c r="D41" s="307">
        <v>31.5699308</v>
      </c>
      <c r="E41" s="307">
        <v>74.3089839</v>
      </c>
    </row>
    <row r="42">
      <c r="A42" s="307" t="s">
        <v>3012</v>
      </c>
      <c r="B42" s="307" t="s">
        <v>3014</v>
      </c>
      <c r="C42" s="308" t="s">
        <v>4999</v>
      </c>
      <c r="D42" s="307">
        <v>31.5691184</v>
      </c>
      <c r="E42" s="307">
        <v>74.3111879</v>
      </c>
    </row>
    <row r="43">
      <c r="A43" s="307" t="s">
        <v>5000</v>
      </c>
      <c r="B43" s="307" t="s">
        <v>5001</v>
      </c>
      <c r="C43" s="308" t="s">
        <v>5002</v>
      </c>
      <c r="D43" s="307">
        <v>31.5644595</v>
      </c>
      <c r="E43" s="307">
        <v>74.3106655</v>
      </c>
    </row>
    <row r="44">
      <c r="A44" s="307" t="s">
        <v>1387</v>
      </c>
      <c r="B44" s="307" t="s">
        <v>5003</v>
      </c>
      <c r="C44" s="308" t="s">
        <v>5004</v>
      </c>
      <c r="D44" s="307">
        <v>31.504318</v>
      </c>
      <c r="E44" s="307">
        <v>74.2550115</v>
      </c>
    </row>
    <row r="45">
      <c r="A45" s="307" t="s">
        <v>5005</v>
      </c>
      <c r="B45" s="307" t="s">
        <v>5006</v>
      </c>
      <c r="D45" s="310"/>
      <c r="E45" s="310"/>
    </row>
    <row r="46">
      <c r="A46" s="307" t="s">
        <v>5007</v>
      </c>
      <c r="B46" s="307" t="s">
        <v>1340</v>
      </c>
      <c r="C46" s="308" t="s">
        <v>5008</v>
      </c>
      <c r="D46" s="307">
        <v>31.5647601</v>
      </c>
      <c r="E46" s="307">
        <v>74.2908442</v>
      </c>
    </row>
    <row r="47">
      <c r="A47" s="307" t="s">
        <v>5009</v>
      </c>
      <c r="B47" s="307" t="s">
        <v>1626</v>
      </c>
      <c r="C47" s="308" t="s">
        <v>5010</v>
      </c>
      <c r="D47" s="307">
        <v>31.5662015</v>
      </c>
      <c r="E47" s="307">
        <v>74.3146421</v>
      </c>
    </row>
    <row r="48">
      <c r="A48" s="307" t="s">
        <v>5011</v>
      </c>
      <c r="B48" s="307" t="s">
        <v>1158</v>
      </c>
      <c r="C48" s="308" t="s">
        <v>5012</v>
      </c>
      <c r="D48" s="307">
        <v>31.5524641</v>
      </c>
      <c r="E48" s="307">
        <v>74.3175409</v>
      </c>
    </row>
    <row r="49">
      <c r="A49" s="307" t="s">
        <v>5013</v>
      </c>
      <c r="B49" s="307" t="s">
        <v>5014</v>
      </c>
      <c r="C49" s="308" t="s">
        <v>5015</v>
      </c>
      <c r="D49" s="307">
        <v>31.5586574</v>
      </c>
      <c r="E49" s="307">
        <v>74.3135574</v>
      </c>
    </row>
    <row r="50">
      <c r="A50" s="307" t="s">
        <v>5016</v>
      </c>
      <c r="B50" s="307" t="s">
        <v>5017</v>
      </c>
      <c r="C50" s="308" t="s">
        <v>5018</v>
      </c>
      <c r="D50" s="307">
        <v>31.5534798</v>
      </c>
      <c r="E50" s="307">
        <v>74.3125106</v>
      </c>
    </row>
    <row r="51">
      <c r="A51" s="307" t="s">
        <v>2964</v>
      </c>
      <c r="B51" s="307" t="s">
        <v>5019</v>
      </c>
      <c r="C51" s="308" t="s">
        <v>5020</v>
      </c>
      <c r="D51" s="311">
        <v>31.53154</v>
      </c>
      <c r="E51" s="311">
        <v>74.31261</v>
      </c>
    </row>
    <row r="52">
      <c r="A52" s="307" t="s">
        <v>5021</v>
      </c>
      <c r="B52" s="307" t="s">
        <v>1285</v>
      </c>
      <c r="C52" s="308" t="s">
        <v>5022</v>
      </c>
      <c r="D52" s="311">
        <v>31.54865</v>
      </c>
      <c r="E52" s="311">
        <v>74.339</v>
      </c>
    </row>
    <row r="53">
      <c r="A53" s="307" t="s">
        <v>1587</v>
      </c>
      <c r="B53" s="307" t="s">
        <v>5023</v>
      </c>
      <c r="C53" s="308" t="s">
        <v>5024</v>
      </c>
      <c r="D53" s="311">
        <v>31.56444</v>
      </c>
      <c r="E53" s="311">
        <v>74.33878</v>
      </c>
    </row>
    <row r="54">
      <c r="A54" s="307" t="s">
        <v>5025</v>
      </c>
      <c r="B54" s="307" t="s">
        <v>5026</v>
      </c>
      <c r="C54" s="308" t="s">
        <v>5027</v>
      </c>
      <c r="D54" s="311">
        <v>31.5592</v>
      </c>
      <c r="E54" s="311">
        <v>74.3211</v>
      </c>
    </row>
    <row r="55">
      <c r="A55" s="307" t="s">
        <v>5028</v>
      </c>
      <c r="B55" s="307" t="s">
        <v>5029</v>
      </c>
      <c r="C55" s="308" t="s">
        <v>5030</v>
      </c>
      <c r="D55" s="311">
        <v>31.56468</v>
      </c>
      <c r="E55" s="311">
        <v>74.31855</v>
      </c>
    </row>
    <row r="56">
      <c r="A56" s="307" t="s">
        <v>5031</v>
      </c>
      <c r="B56" s="307" t="s">
        <v>5032</v>
      </c>
      <c r="C56" s="308" t="s">
        <v>5033</v>
      </c>
      <c r="D56" s="311">
        <v>31.57219</v>
      </c>
      <c r="E56" s="311">
        <v>74.33066</v>
      </c>
    </row>
    <row r="57">
      <c r="A57" s="307" t="s">
        <v>5034</v>
      </c>
      <c r="B57" s="307" t="s">
        <v>1754</v>
      </c>
      <c r="C57" s="308" t="s">
        <v>5035</v>
      </c>
      <c r="D57" s="311">
        <v>31.56934</v>
      </c>
      <c r="E57" s="311">
        <v>74.33704</v>
      </c>
    </row>
    <row r="58">
      <c r="A58" s="307" t="s">
        <v>5036</v>
      </c>
      <c r="B58" s="307" t="s">
        <v>5037</v>
      </c>
      <c r="C58" s="308" t="s">
        <v>5038</v>
      </c>
      <c r="D58" s="311">
        <v>31.57619</v>
      </c>
      <c r="E58" s="311">
        <v>74.33363</v>
      </c>
    </row>
    <row r="59">
      <c r="A59" s="307" t="s">
        <v>5039</v>
      </c>
      <c r="B59" s="307" t="s">
        <v>5040</v>
      </c>
      <c r="C59" s="312" t="s">
        <v>5041</v>
      </c>
      <c r="D59" s="313" t="s">
        <v>5042</v>
      </c>
      <c r="E59" s="313" t="s">
        <v>5043</v>
      </c>
    </row>
    <row r="60">
      <c r="A60" s="307" t="s">
        <v>5044</v>
      </c>
      <c r="B60" s="307" t="s">
        <v>1653</v>
      </c>
      <c r="C60" s="308" t="s">
        <v>5045</v>
      </c>
      <c r="D60" s="311">
        <v>31.58777</v>
      </c>
      <c r="E60" s="311">
        <v>74.34587</v>
      </c>
    </row>
    <row r="61">
      <c r="A61" s="307" t="s">
        <v>5046</v>
      </c>
      <c r="B61" s="307" t="s">
        <v>1293</v>
      </c>
      <c r="C61" s="308" t="s">
        <v>5047</v>
      </c>
      <c r="D61" s="311">
        <v>31.57558</v>
      </c>
      <c r="E61" s="311">
        <v>74.32929</v>
      </c>
    </row>
    <row r="62">
      <c r="A62" s="307" t="s">
        <v>5048</v>
      </c>
      <c r="B62" s="307" t="s">
        <v>5049</v>
      </c>
      <c r="C62" s="308" t="s">
        <v>5050</v>
      </c>
      <c r="D62" s="311">
        <v>31.56517</v>
      </c>
      <c r="E62" s="311">
        <v>74.32298</v>
      </c>
    </row>
    <row r="63">
      <c r="A63" s="307" t="s">
        <v>5051</v>
      </c>
      <c r="B63" s="307" t="s">
        <v>5052</v>
      </c>
      <c r="C63" s="312" t="s">
        <v>5053</v>
      </c>
      <c r="D63" s="313" t="s">
        <v>5054</v>
      </c>
      <c r="E63" s="313" t="s">
        <v>5055</v>
      </c>
    </row>
    <row r="64">
      <c r="A64" s="307" t="s">
        <v>5056</v>
      </c>
      <c r="B64" s="307" t="s">
        <v>5057</v>
      </c>
      <c r="C64" s="308" t="s">
        <v>5058</v>
      </c>
      <c r="D64" s="311">
        <v>31.56301</v>
      </c>
      <c r="E64" s="311">
        <v>74.34339</v>
      </c>
    </row>
    <row r="65">
      <c r="A65" s="307" t="s">
        <v>3002</v>
      </c>
      <c r="B65" s="307" t="s">
        <v>5059</v>
      </c>
      <c r="C65" s="308" t="s">
        <v>5060</v>
      </c>
      <c r="D65" s="311">
        <v>31.56809</v>
      </c>
      <c r="E65" s="311">
        <v>74.34531</v>
      </c>
    </row>
    <row r="66">
      <c r="A66" s="307" t="s">
        <v>5061</v>
      </c>
      <c r="B66" s="307" t="s">
        <v>5062</v>
      </c>
      <c r="C66" s="307"/>
      <c r="D66" s="313" t="s">
        <v>5063</v>
      </c>
      <c r="E66" s="314"/>
    </row>
    <row r="67">
      <c r="A67" s="307" t="s">
        <v>5064</v>
      </c>
      <c r="B67" s="307" t="s">
        <v>5065</v>
      </c>
      <c r="C67" s="308" t="s">
        <v>5066</v>
      </c>
      <c r="D67" s="311">
        <v>31.56854</v>
      </c>
      <c r="E67" s="311">
        <v>74.31941</v>
      </c>
    </row>
    <row r="68">
      <c r="A68" s="307" t="s">
        <v>5067</v>
      </c>
      <c r="B68" s="307" t="s">
        <v>1277</v>
      </c>
      <c r="C68" s="308" t="s">
        <v>5068</v>
      </c>
      <c r="D68" s="311">
        <v>31.58565</v>
      </c>
      <c r="E68" s="311">
        <v>74.33745</v>
      </c>
    </row>
    <row r="69">
      <c r="A69" s="307" t="s">
        <v>5069</v>
      </c>
      <c r="B69" s="307" t="s">
        <v>5070</v>
      </c>
      <c r="C69" s="308" t="s">
        <v>5071</v>
      </c>
      <c r="D69" s="311">
        <v>31.58422</v>
      </c>
      <c r="E69" s="311">
        <v>74.3376</v>
      </c>
    </row>
    <row r="70">
      <c r="A70" s="307" t="s">
        <v>5072</v>
      </c>
      <c r="B70" s="307" t="s">
        <v>5073</v>
      </c>
      <c r="C70" s="308" t="s">
        <v>5074</v>
      </c>
      <c r="D70" s="311">
        <v>31.58355</v>
      </c>
      <c r="E70" s="311">
        <v>74.33981</v>
      </c>
    </row>
    <row r="71">
      <c r="A71" s="307" t="s">
        <v>5075</v>
      </c>
      <c r="B71" s="307" t="s">
        <v>5076</v>
      </c>
      <c r="C71" s="308" t="s">
        <v>5077</v>
      </c>
      <c r="D71" s="311">
        <v>31.58622</v>
      </c>
      <c r="E71" s="311">
        <v>74.34498</v>
      </c>
    </row>
    <row r="72">
      <c r="A72" s="307" t="s">
        <v>3159</v>
      </c>
      <c r="B72" s="307" t="s">
        <v>5078</v>
      </c>
      <c r="C72" s="308" t="s">
        <v>5079</v>
      </c>
      <c r="D72" s="311">
        <v>31.58844</v>
      </c>
      <c r="E72" s="311">
        <v>74.34871</v>
      </c>
    </row>
    <row r="73">
      <c r="A73" s="307" t="s">
        <v>1172</v>
      </c>
      <c r="B73" s="307" t="s">
        <v>5080</v>
      </c>
      <c r="C73" s="308" t="s">
        <v>5081</v>
      </c>
      <c r="D73" s="311">
        <v>31.5884</v>
      </c>
      <c r="E73" s="311">
        <v>74.39409</v>
      </c>
    </row>
    <row r="74">
      <c r="A74" s="307" t="s">
        <v>5082</v>
      </c>
      <c r="B74" s="307" t="s">
        <v>5083</v>
      </c>
      <c r="C74" s="308" t="s">
        <v>5084</v>
      </c>
      <c r="D74" s="311">
        <v>31.5607</v>
      </c>
      <c r="E74" s="311">
        <v>74.36045</v>
      </c>
    </row>
    <row r="75">
      <c r="A75" s="307" t="s">
        <v>5085</v>
      </c>
      <c r="B75" s="307" t="s">
        <v>5086</v>
      </c>
      <c r="C75" s="308" t="s">
        <v>5087</v>
      </c>
      <c r="D75" s="311">
        <v>31.57091</v>
      </c>
      <c r="E75" s="311">
        <v>74.37768</v>
      </c>
    </row>
    <row r="76">
      <c r="A76" s="307" t="s">
        <v>5088</v>
      </c>
      <c r="B76" s="307" t="s">
        <v>5089</v>
      </c>
      <c r="C76" s="308" t="s">
        <v>5090</v>
      </c>
      <c r="D76" s="311">
        <v>31.54786</v>
      </c>
      <c r="E76" s="311">
        <v>74.37611</v>
      </c>
    </row>
    <row r="77">
      <c r="A77" s="307" t="s">
        <v>2826</v>
      </c>
      <c r="B77" s="307" t="s">
        <v>5091</v>
      </c>
      <c r="C77" s="308" t="s">
        <v>5092</v>
      </c>
      <c r="D77" s="311">
        <v>31.58487</v>
      </c>
      <c r="E77" s="311">
        <v>74.37678</v>
      </c>
    </row>
    <row r="78">
      <c r="A78" s="307" t="s">
        <v>5093</v>
      </c>
      <c r="B78" s="307" t="s">
        <v>5094</v>
      </c>
      <c r="C78" s="308" t="s">
        <v>5095</v>
      </c>
      <c r="D78" s="311">
        <v>31.5884</v>
      </c>
      <c r="E78" s="311">
        <v>74.39409</v>
      </c>
    </row>
    <row r="79">
      <c r="A79" s="307" t="s">
        <v>5096</v>
      </c>
      <c r="B79" s="307" t="s">
        <v>1260</v>
      </c>
      <c r="C79" s="308" t="s">
        <v>5097</v>
      </c>
      <c r="D79" s="311">
        <v>31.58068</v>
      </c>
      <c r="E79" s="311">
        <v>74.36056</v>
      </c>
    </row>
    <row r="80">
      <c r="A80" s="307" t="s">
        <v>2078</v>
      </c>
      <c r="B80" s="307" t="s">
        <v>5098</v>
      </c>
      <c r="C80" s="308" t="s">
        <v>5099</v>
      </c>
      <c r="D80" s="311">
        <v>31.58563</v>
      </c>
      <c r="E80" s="311">
        <v>74.37425</v>
      </c>
    </row>
    <row r="81">
      <c r="A81" s="307" t="s">
        <v>5100</v>
      </c>
      <c r="B81" s="307" t="s">
        <v>5101</v>
      </c>
      <c r="C81" s="308" t="s">
        <v>5102</v>
      </c>
      <c r="D81" s="311">
        <v>31.59657</v>
      </c>
      <c r="E81" s="311">
        <v>74.49952</v>
      </c>
    </row>
    <row r="82">
      <c r="A82" s="307" t="s">
        <v>5103</v>
      </c>
      <c r="B82" s="307" t="s">
        <v>5104</v>
      </c>
      <c r="C82" s="308" t="s">
        <v>5105</v>
      </c>
      <c r="D82" s="311">
        <v>31.60094</v>
      </c>
      <c r="E82" s="311">
        <v>74.39549</v>
      </c>
    </row>
    <row r="83">
      <c r="A83" s="307" t="s">
        <v>5106</v>
      </c>
      <c r="B83" s="307" t="s">
        <v>1835</v>
      </c>
      <c r="C83" s="308" t="s">
        <v>5107</v>
      </c>
      <c r="D83" s="311">
        <v>31.54992</v>
      </c>
      <c r="E83" s="311">
        <v>74.37565</v>
      </c>
    </row>
    <row r="84">
      <c r="A84" s="307" t="s">
        <v>5108</v>
      </c>
      <c r="B84" s="307" t="s">
        <v>5109</v>
      </c>
      <c r="C84" s="307"/>
      <c r="D84" s="313"/>
      <c r="E84" s="314"/>
    </row>
    <row r="85">
      <c r="A85" s="307" t="s">
        <v>5110</v>
      </c>
      <c r="B85" s="307" t="s">
        <v>5111</v>
      </c>
      <c r="C85" s="307"/>
      <c r="D85" s="313"/>
      <c r="E85" s="314"/>
    </row>
    <row r="86">
      <c r="A86" s="307" t="s">
        <v>2860</v>
      </c>
      <c r="B86" s="307" t="s">
        <v>5112</v>
      </c>
      <c r="C86" s="308" t="s">
        <v>5113</v>
      </c>
      <c r="D86" s="311">
        <v>31.52895</v>
      </c>
      <c r="E86" s="311">
        <v>74.32861</v>
      </c>
    </row>
    <row r="87">
      <c r="A87" s="307" t="s">
        <v>5114</v>
      </c>
      <c r="B87" s="307" t="s">
        <v>5115</v>
      </c>
      <c r="C87" s="308" t="s">
        <v>5116</v>
      </c>
      <c r="D87" s="311">
        <v>31.46198</v>
      </c>
      <c r="E87" s="311">
        <v>74.30995</v>
      </c>
    </row>
    <row r="88">
      <c r="A88" s="307" t="s">
        <v>5117</v>
      </c>
      <c r="B88" s="307" t="s">
        <v>2366</v>
      </c>
      <c r="C88" s="308" t="s">
        <v>5118</v>
      </c>
      <c r="D88" s="311">
        <v>31.58777</v>
      </c>
      <c r="E88" s="311">
        <v>74.34587</v>
      </c>
    </row>
    <row r="89">
      <c r="A89" s="307" t="s">
        <v>4575</v>
      </c>
      <c r="B89" s="307" t="s">
        <v>5119</v>
      </c>
      <c r="C89" s="308" t="s">
        <v>5120</v>
      </c>
      <c r="D89" s="311">
        <v>32.29355</v>
      </c>
      <c r="E89" s="311">
        <v>72.35384</v>
      </c>
    </row>
    <row r="90">
      <c r="A90" s="307" t="s">
        <v>4576</v>
      </c>
      <c r="B90" s="307" t="s">
        <v>5121</v>
      </c>
      <c r="C90" s="308" t="s">
        <v>5122</v>
      </c>
      <c r="D90" s="311">
        <v>31.78843</v>
      </c>
      <c r="E90" s="311">
        <v>71.10761</v>
      </c>
    </row>
    <row r="91">
      <c r="A91" s="307" t="s">
        <v>4578</v>
      </c>
      <c r="B91" s="307" t="s">
        <v>5123</v>
      </c>
      <c r="C91" s="308" t="s">
        <v>5124</v>
      </c>
      <c r="D91" s="311">
        <v>31.87933</v>
      </c>
      <c r="E91" s="311">
        <v>71.90375</v>
      </c>
    </row>
    <row r="92">
      <c r="A92" s="307" t="s">
        <v>2595</v>
      </c>
      <c r="B92" s="307" t="s">
        <v>5125</v>
      </c>
      <c r="C92" s="308" t="s">
        <v>5126</v>
      </c>
      <c r="D92" s="311">
        <v>32.28773</v>
      </c>
      <c r="E92" s="311">
        <v>72.3526</v>
      </c>
    </row>
    <row r="93">
      <c r="A93" s="307" t="s">
        <v>1771</v>
      </c>
      <c r="B93" s="307" t="s">
        <v>5127</v>
      </c>
      <c r="C93" s="308" t="s">
        <v>5128</v>
      </c>
      <c r="D93" s="311">
        <v>31.72018</v>
      </c>
      <c r="E93" s="311">
        <v>72.97721</v>
      </c>
    </row>
    <row r="94">
      <c r="A94" s="307" t="s">
        <v>5129</v>
      </c>
      <c r="B94" s="307" t="s">
        <v>5130</v>
      </c>
      <c r="C94" s="307"/>
      <c r="D94" s="313" t="s">
        <v>5063</v>
      </c>
      <c r="E94" s="314"/>
    </row>
    <row r="95">
      <c r="A95" s="307" t="s">
        <v>4565</v>
      </c>
      <c r="B95" s="307" t="s">
        <v>5131</v>
      </c>
      <c r="C95" s="308" t="s">
        <v>5132</v>
      </c>
      <c r="D95" s="311">
        <v>32.0847</v>
      </c>
      <c r="E95" s="311">
        <v>72.69041</v>
      </c>
    </row>
    <row r="96">
      <c r="A96" s="307" t="s">
        <v>4567</v>
      </c>
      <c r="B96" s="307" t="s">
        <v>5133</v>
      </c>
      <c r="C96" s="308" t="s">
        <v>5134</v>
      </c>
      <c r="D96" s="311">
        <v>32.26649</v>
      </c>
      <c r="E96" s="311">
        <v>72.90363</v>
      </c>
    </row>
    <row r="97">
      <c r="A97" s="307" t="s">
        <v>4568</v>
      </c>
      <c r="B97" s="307" t="s">
        <v>5135</v>
      </c>
      <c r="C97" s="308" t="s">
        <v>5136</v>
      </c>
      <c r="D97" s="311">
        <v>32.27306</v>
      </c>
      <c r="E97" s="311">
        <v>72.87466</v>
      </c>
    </row>
    <row r="98">
      <c r="A98" s="307" t="s">
        <v>4569</v>
      </c>
      <c r="B98" s="307" t="s">
        <v>5137</v>
      </c>
      <c r="C98" s="308" t="s">
        <v>5138</v>
      </c>
      <c r="D98" s="311">
        <v>32.26644</v>
      </c>
      <c r="E98" s="311">
        <v>72.90515</v>
      </c>
    </row>
    <row r="99">
      <c r="A99" s="307" t="s">
        <v>4570</v>
      </c>
      <c r="B99" s="307" t="s">
        <v>5139</v>
      </c>
      <c r="C99" s="308" t="s">
        <v>5140</v>
      </c>
      <c r="D99" s="311">
        <v>32.35316</v>
      </c>
      <c r="E99" s="311">
        <v>73.01099</v>
      </c>
    </row>
    <row r="100">
      <c r="A100" s="307" t="s">
        <v>5141</v>
      </c>
      <c r="B100" s="307" t="s">
        <v>5142</v>
      </c>
      <c r="C100" s="308" t="s">
        <v>5143</v>
      </c>
      <c r="D100" s="311">
        <v>32.12707</v>
      </c>
      <c r="E100" s="311">
        <v>72.45334</v>
      </c>
    </row>
    <row r="101">
      <c r="A101" s="307" t="s">
        <v>4571</v>
      </c>
      <c r="B101" s="307" t="s">
        <v>5144</v>
      </c>
      <c r="C101" s="308" t="s">
        <v>5145</v>
      </c>
      <c r="D101" s="311">
        <v>32.08547</v>
      </c>
      <c r="E101" s="311">
        <v>72.66733</v>
      </c>
    </row>
    <row r="102">
      <c r="A102" s="307" t="s">
        <v>4572</v>
      </c>
      <c r="B102" s="307" t="s">
        <v>5146</v>
      </c>
      <c r="C102" s="308" t="s">
        <v>5147</v>
      </c>
      <c r="D102" s="311">
        <v>32.15414</v>
      </c>
      <c r="E102" s="311">
        <v>72.92035</v>
      </c>
    </row>
    <row r="103">
      <c r="A103" s="307" t="s">
        <v>4573</v>
      </c>
      <c r="B103" s="307" t="s">
        <v>5148</v>
      </c>
      <c r="C103" s="308" t="s">
        <v>5149</v>
      </c>
      <c r="D103" s="311">
        <v>32.0872</v>
      </c>
      <c r="E103" s="311">
        <v>72.66337</v>
      </c>
    </row>
    <row r="104">
      <c r="A104" s="307" t="s">
        <v>2795</v>
      </c>
      <c r="B104" s="307" t="s">
        <v>2796</v>
      </c>
      <c r="C104" s="308" t="s">
        <v>5150</v>
      </c>
      <c r="D104" s="311">
        <v>32.26652</v>
      </c>
      <c r="E104" s="311">
        <v>72.90338</v>
      </c>
    </row>
    <row r="105">
      <c r="A105" s="307" t="s">
        <v>4574</v>
      </c>
      <c r="B105" s="307" t="s">
        <v>5151</v>
      </c>
      <c r="C105" s="308" t="s">
        <v>5152</v>
      </c>
      <c r="D105" s="311">
        <v>32.07678</v>
      </c>
      <c r="E105" s="311">
        <v>72.69837</v>
      </c>
    </row>
    <row r="106">
      <c r="A106" s="307" t="s">
        <v>2802</v>
      </c>
      <c r="B106" s="307" t="s">
        <v>5153</v>
      </c>
      <c r="C106" s="308" t="s">
        <v>5154</v>
      </c>
      <c r="D106" s="311">
        <v>32.08531</v>
      </c>
      <c r="E106" s="311">
        <v>72.66984</v>
      </c>
    </row>
    <row r="107">
      <c r="A107" s="307" t="s">
        <v>2454</v>
      </c>
      <c r="B107" s="307" t="s">
        <v>5155</v>
      </c>
      <c r="C107" s="308" t="s">
        <v>5156</v>
      </c>
      <c r="D107" s="311">
        <v>32.0839</v>
      </c>
      <c r="E107" s="311">
        <v>72.66436</v>
      </c>
    </row>
    <row r="108">
      <c r="A108" s="307" t="s">
        <v>5157</v>
      </c>
      <c r="B108" s="307" t="s">
        <v>5158</v>
      </c>
      <c r="C108" s="308" t="s">
        <v>5159</v>
      </c>
      <c r="D108" s="311">
        <v>31.57412</v>
      </c>
      <c r="E108" s="311">
        <v>73.47323</v>
      </c>
    </row>
    <row r="109">
      <c r="A109" s="307" t="s">
        <v>5160</v>
      </c>
      <c r="B109" s="307" t="s">
        <v>5161</v>
      </c>
      <c r="C109" s="308" t="s">
        <v>5162</v>
      </c>
      <c r="D109" s="311">
        <v>31.57822</v>
      </c>
      <c r="E109" s="311">
        <v>73.47595</v>
      </c>
    </row>
    <row r="110">
      <c r="A110" s="307" t="s">
        <v>5163</v>
      </c>
      <c r="B110" s="307" t="s">
        <v>5164</v>
      </c>
      <c r="C110" s="308" t="s">
        <v>5165</v>
      </c>
      <c r="D110" s="311">
        <v>31.7153</v>
      </c>
      <c r="E110" s="311">
        <v>73.37714</v>
      </c>
    </row>
    <row r="111">
      <c r="A111" s="307" t="s">
        <v>5166</v>
      </c>
      <c r="B111" s="307" t="s">
        <v>5167</v>
      </c>
      <c r="C111" s="308" t="s">
        <v>5168</v>
      </c>
      <c r="D111" s="311">
        <v>31.73398</v>
      </c>
      <c r="E111" s="311">
        <v>73.34451</v>
      </c>
    </row>
    <row r="112">
      <c r="A112" s="307" t="s">
        <v>5169</v>
      </c>
      <c r="B112" s="307" t="s">
        <v>5170</v>
      </c>
      <c r="C112" s="308" t="s">
        <v>5171</v>
      </c>
      <c r="D112" s="311">
        <v>31.42028</v>
      </c>
      <c r="E112" s="311">
        <v>73.04316</v>
      </c>
    </row>
    <row r="113">
      <c r="A113" s="307" t="s">
        <v>4169</v>
      </c>
      <c r="B113" s="307" t="s">
        <v>5172</v>
      </c>
      <c r="C113" s="308" t="s">
        <v>5173</v>
      </c>
      <c r="D113" s="311">
        <v>31.40991</v>
      </c>
      <c r="E113" s="311">
        <v>73.09393</v>
      </c>
    </row>
    <row r="114">
      <c r="A114" s="307" t="s">
        <v>5174</v>
      </c>
      <c r="B114" s="307" t="s">
        <v>5175</v>
      </c>
      <c r="C114" s="308" t="s">
        <v>5176</v>
      </c>
      <c r="D114" s="311">
        <v>31.42566</v>
      </c>
      <c r="E114" s="311">
        <v>73.09756</v>
      </c>
    </row>
    <row r="115">
      <c r="A115" s="307" t="s">
        <v>4049</v>
      </c>
      <c r="B115" s="307" t="s">
        <v>5177</v>
      </c>
      <c r="C115" s="308" t="s">
        <v>5178</v>
      </c>
      <c r="D115" s="311">
        <v>31.42296</v>
      </c>
      <c r="E115" s="311">
        <v>73.10089</v>
      </c>
    </row>
    <row r="116">
      <c r="A116" s="307" t="s">
        <v>5179</v>
      </c>
      <c r="B116" s="307" t="s">
        <v>5180</v>
      </c>
      <c r="C116" s="308" t="s">
        <v>5181</v>
      </c>
      <c r="D116" s="311">
        <v>31.47674</v>
      </c>
      <c r="E116" s="311">
        <v>73.07742</v>
      </c>
    </row>
    <row r="117">
      <c r="A117" s="307" t="s">
        <v>5182</v>
      </c>
      <c r="B117" s="307" t="s">
        <v>5183</v>
      </c>
      <c r="C117" s="308" t="s">
        <v>5184</v>
      </c>
      <c r="D117" s="311">
        <v>31.42385</v>
      </c>
      <c r="E117" s="311">
        <v>73.07279</v>
      </c>
    </row>
    <row r="118">
      <c r="A118" s="307" t="s">
        <v>5185</v>
      </c>
      <c r="B118" s="307" t="s">
        <v>5186</v>
      </c>
      <c r="C118" s="308" t="s">
        <v>5187</v>
      </c>
      <c r="D118" s="311">
        <v>31.38992</v>
      </c>
      <c r="E118" s="311">
        <v>73.44386</v>
      </c>
    </row>
    <row r="119">
      <c r="A119" s="307" t="s">
        <v>5188</v>
      </c>
      <c r="B119" s="307" t="s">
        <v>5189</v>
      </c>
      <c r="C119" s="308" t="s">
        <v>5190</v>
      </c>
      <c r="D119" s="311">
        <v>31.399</v>
      </c>
      <c r="E119" s="313" t="s">
        <v>5191</v>
      </c>
    </row>
    <row r="120">
      <c r="A120" s="307" t="s">
        <v>5192</v>
      </c>
      <c r="B120" s="307" t="s">
        <v>5193</v>
      </c>
      <c r="C120" s="308" t="s">
        <v>5194</v>
      </c>
      <c r="D120" s="311">
        <v>31.40708</v>
      </c>
      <c r="E120" s="311">
        <v>73.09929</v>
      </c>
    </row>
    <row r="121">
      <c r="A121" s="307" t="s">
        <v>5195</v>
      </c>
      <c r="B121" s="307" t="s">
        <v>5196</v>
      </c>
      <c r="C121" s="308" t="s">
        <v>5197</v>
      </c>
      <c r="D121" s="311">
        <v>31.42126</v>
      </c>
      <c r="E121" s="311">
        <v>73.08157</v>
      </c>
    </row>
    <row r="122">
      <c r="A122" s="307" t="s">
        <v>5198</v>
      </c>
      <c r="B122" s="307" t="s">
        <v>5199</v>
      </c>
      <c r="C122" s="308" t="s">
        <v>5200</v>
      </c>
      <c r="D122" s="311">
        <v>31.38661</v>
      </c>
      <c r="E122" s="311">
        <v>73.06763</v>
      </c>
    </row>
    <row r="123">
      <c r="A123" s="307" t="s">
        <v>5201</v>
      </c>
      <c r="B123" s="307" t="s">
        <v>5202</v>
      </c>
      <c r="C123" s="308" t="s">
        <v>5203</v>
      </c>
      <c r="D123" s="311">
        <v>31.41909</v>
      </c>
      <c r="E123" s="311">
        <v>73.07073</v>
      </c>
    </row>
    <row r="124">
      <c r="A124" s="307" t="s">
        <v>5204</v>
      </c>
      <c r="B124" s="307" t="s">
        <v>5205</v>
      </c>
      <c r="C124" s="308" t="s">
        <v>5206</v>
      </c>
      <c r="D124" s="311">
        <v>31.14723</v>
      </c>
      <c r="E124" s="311">
        <v>72.68535</v>
      </c>
    </row>
    <row r="125">
      <c r="A125" s="307" t="s">
        <v>5207</v>
      </c>
      <c r="B125" s="307" t="s">
        <v>5208</v>
      </c>
      <c r="C125" s="308" t="s">
        <v>5209</v>
      </c>
      <c r="D125" s="311">
        <v>30.82731</v>
      </c>
      <c r="E125" s="311">
        <v>73.04255</v>
      </c>
    </row>
    <row r="126">
      <c r="A126" s="307" t="s">
        <v>5210</v>
      </c>
      <c r="B126" s="307" t="s">
        <v>5211</v>
      </c>
      <c r="C126" s="308" t="s">
        <v>5212</v>
      </c>
      <c r="D126" s="311">
        <v>31.42006</v>
      </c>
      <c r="E126" s="311">
        <v>73.08254</v>
      </c>
    </row>
    <row r="127">
      <c r="A127" s="307" t="s">
        <v>3873</v>
      </c>
      <c r="B127" s="307" t="s">
        <v>5213</v>
      </c>
      <c r="C127" s="308" t="s">
        <v>5214</v>
      </c>
      <c r="D127" s="311">
        <v>31.41763</v>
      </c>
      <c r="E127" s="311">
        <v>73.08091</v>
      </c>
    </row>
    <row r="128">
      <c r="A128" s="307" t="s">
        <v>5215</v>
      </c>
      <c r="B128" s="307" t="s">
        <v>5216</v>
      </c>
      <c r="C128" s="308" t="s">
        <v>5217</v>
      </c>
      <c r="D128" s="311">
        <v>31.40547</v>
      </c>
      <c r="E128" s="313" t="s">
        <v>5218</v>
      </c>
    </row>
    <row r="129">
      <c r="A129" s="307" t="s">
        <v>5219</v>
      </c>
      <c r="B129" s="307" t="s">
        <v>3980</v>
      </c>
      <c r="C129" s="308" t="s">
        <v>5220</v>
      </c>
      <c r="D129" s="311">
        <v>31.17011</v>
      </c>
      <c r="E129" s="311">
        <v>72.88173</v>
      </c>
    </row>
    <row r="130">
      <c r="A130" s="307" t="s">
        <v>5221</v>
      </c>
      <c r="B130" s="307" t="s">
        <v>5222</v>
      </c>
      <c r="C130" s="308" t="s">
        <v>5223</v>
      </c>
      <c r="D130" s="311">
        <v>31.38818</v>
      </c>
      <c r="E130" s="311">
        <v>73.19977</v>
      </c>
    </row>
    <row r="131">
      <c r="A131" s="307" t="s">
        <v>5224</v>
      </c>
      <c r="B131" s="307" t="s">
        <v>5225</v>
      </c>
      <c r="C131" s="308" t="s">
        <v>5226</v>
      </c>
      <c r="D131" s="311">
        <v>31.41608</v>
      </c>
      <c r="E131" s="311">
        <v>73.07712</v>
      </c>
    </row>
    <row r="132">
      <c r="A132" s="307" t="s">
        <v>5227</v>
      </c>
      <c r="B132" s="307" t="s">
        <v>5228</v>
      </c>
      <c r="C132" s="308" t="s">
        <v>5229</v>
      </c>
      <c r="D132" s="311">
        <v>31.28751</v>
      </c>
      <c r="E132" s="311">
        <v>72.86717</v>
      </c>
    </row>
    <row r="133">
      <c r="A133" s="307" t="s">
        <v>5230</v>
      </c>
      <c r="B133" s="307" t="s">
        <v>4137</v>
      </c>
      <c r="C133" s="308" t="s">
        <v>5231</v>
      </c>
      <c r="D133" s="311">
        <v>31.39398</v>
      </c>
      <c r="E133" s="311">
        <v>73.07249</v>
      </c>
    </row>
    <row r="134">
      <c r="A134" s="307" t="s">
        <v>5232</v>
      </c>
      <c r="B134" s="307" t="s">
        <v>5233</v>
      </c>
      <c r="C134" s="308" t="s">
        <v>5234</v>
      </c>
      <c r="D134" s="311">
        <v>30.9433</v>
      </c>
      <c r="E134" s="311">
        <v>73.00344</v>
      </c>
    </row>
    <row r="135">
      <c r="A135" s="307" t="s">
        <v>5235</v>
      </c>
      <c r="B135" s="307" t="s">
        <v>5236</v>
      </c>
      <c r="C135" s="308" t="s">
        <v>5237</v>
      </c>
      <c r="D135" s="311">
        <v>31.14613</v>
      </c>
      <c r="E135" s="311">
        <v>72.68473</v>
      </c>
    </row>
    <row r="136">
      <c r="A136" s="307" t="s">
        <v>5238</v>
      </c>
      <c r="B136" s="307" t="s">
        <v>5239</v>
      </c>
      <c r="C136" s="308" t="s">
        <v>5240</v>
      </c>
      <c r="D136" s="311">
        <v>30.9715</v>
      </c>
      <c r="E136" s="311">
        <v>72.4802</v>
      </c>
    </row>
    <row r="137">
      <c r="A137" s="307" t="s">
        <v>5241</v>
      </c>
      <c r="B137" s="307" t="s">
        <v>5242</v>
      </c>
      <c r="C137" s="308" t="s">
        <v>5243</v>
      </c>
      <c r="D137" s="311">
        <v>31.41988</v>
      </c>
      <c r="E137" s="311">
        <v>73.07962</v>
      </c>
    </row>
    <row r="138">
      <c r="A138" s="307" t="s">
        <v>5244</v>
      </c>
      <c r="B138" s="307" t="s">
        <v>5245</v>
      </c>
      <c r="C138" s="308" t="s">
        <v>5246</v>
      </c>
      <c r="D138" s="311">
        <v>31.27505</v>
      </c>
      <c r="E138" s="311">
        <v>72.31551</v>
      </c>
    </row>
    <row r="139">
      <c r="A139" s="307" t="s">
        <v>5247</v>
      </c>
      <c r="B139" s="307" t="s">
        <v>5248</v>
      </c>
      <c r="C139" s="308" t="s">
        <v>5249</v>
      </c>
      <c r="D139" s="311">
        <v>31.27444</v>
      </c>
      <c r="E139" s="311">
        <v>72.30977</v>
      </c>
    </row>
    <row r="140">
      <c r="A140" s="307" t="s">
        <v>5250</v>
      </c>
      <c r="B140" s="307" t="s">
        <v>5251</v>
      </c>
      <c r="C140" s="308" t="s">
        <v>5252</v>
      </c>
      <c r="D140" s="311">
        <v>31.27505</v>
      </c>
      <c r="E140" s="311">
        <v>72.31551</v>
      </c>
    </row>
    <row r="141">
      <c r="A141" s="307" t="s">
        <v>5253</v>
      </c>
      <c r="B141" s="307" t="s">
        <v>5254</v>
      </c>
      <c r="C141" s="308" t="s">
        <v>5255</v>
      </c>
      <c r="D141" s="311">
        <v>30.96301</v>
      </c>
      <c r="E141" s="311">
        <v>72.2542</v>
      </c>
    </row>
    <row r="142">
      <c r="A142" s="307" t="s">
        <v>5256</v>
      </c>
      <c r="B142" s="307" t="s">
        <v>5257</v>
      </c>
      <c r="C142" s="308" t="s">
        <v>5258</v>
      </c>
      <c r="D142" s="311">
        <v>30.96796</v>
      </c>
      <c r="E142" s="311">
        <v>72.27431</v>
      </c>
    </row>
    <row r="143">
      <c r="A143" s="307" t="s">
        <v>5259</v>
      </c>
      <c r="B143" s="307" t="s">
        <v>5260</v>
      </c>
      <c r="C143" s="308" t="s">
        <v>5261</v>
      </c>
      <c r="D143" s="311">
        <v>30.93986</v>
      </c>
      <c r="E143" s="311">
        <v>72.16252</v>
      </c>
    </row>
    <row r="144">
      <c r="A144" s="307" t="s">
        <v>5262</v>
      </c>
      <c r="B144" s="307" t="s">
        <v>5263</v>
      </c>
      <c r="C144" s="308" t="s">
        <v>5264</v>
      </c>
      <c r="D144" s="311">
        <v>30.83227</v>
      </c>
      <c r="E144" s="311">
        <v>71.90557</v>
      </c>
    </row>
    <row r="145">
      <c r="A145" s="307" t="s">
        <v>365</v>
      </c>
      <c r="B145" s="307" t="s">
        <v>5265</v>
      </c>
      <c r="C145" s="308" t="s">
        <v>5266</v>
      </c>
      <c r="D145" s="311">
        <v>30.1999</v>
      </c>
      <c r="E145" s="311">
        <v>71.47094</v>
      </c>
    </row>
    <row r="146">
      <c r="A146" s="307" t="s">
        <v>398</v>
      </c>
      <c r="B146" s="307" t="s">
        <v>5267</v>
      </c>
      <c r="C146" s="308" t="s">
        <v>5268</v>
      </c>
      <c r="D146" s="311">
        <v>30.2042</v>
      </c>
      <c r="E146" s="311">
        <v>71.52004</v>
      </c>
    </row>
    <row r="147">
      <c r="A147" s="307" t="s">
        <v>219</v>
      </c>
      <c r="B147" s="307" t="s">
        <v>5269</v>
      </c>
      <c r="C147" s="308" t="s">
        <v>5270</v>
      </c>
      <c r="D147" s="311">
        <v>30.18693</v>
      </c>
      <c r="E147" s="311">
        <v>71.47532</v>
      </c>
    </row>
    <row r="148">
      <c r="A148" s="307" t="s">
        <v>74</v>
      </c>
      <c r="B148" s="307" t="s">
        <v>5271</v>
      </c>
      <c r="C148" s="308" t="s">
        <v>5272</v>
      </c>
      <c r="D148" s="311">
        <v>30.19195</v>
      </c>
      <c r="E148" s="311">
        <v>71.47815</v>
      </c>
    </row>
    <row r="149">
      <c r="A149" s="307" t="s">
        <v>61</v>
      </c>
      <c r="B149" s="307" t="s">
        <v>5273</v>
      </c>
      <c r="C149" s="308" t="s">
        <v>5274</v>
      </c>
      <c r="D149" s="311">
        <v>30.18887</v>
      </c>
      <c r="E149" s="311">
        <v>71.47274</v>
      </c>
    </row>
    <row r="150">
      <c r="A150" s="307" t="s">
        <v>333</v>
      </c>
      <c r="B150" s="307" t="s">
        <v>5275</v>
      </c>
      <c r="C150" s="308" t="s">
        <v>5276</v>
      </c>
      <c r="D150" s="311">
        <v>30.18822</v>
      </c>
      <c r="E150" s="311">
        <v>71.47629</v>
      </c>
    </row>
    <row r="151">
      <c r="A151" s="307" t="s">
        <v>153</v>
      </c>
      <c r="B151" s="307" t="s">
        <v>757</v>
      </c>
      <c r="C151" s="308" t="s">
        <v>5277</v>
      </c>
      <c r="D151" s="311">
        <v>30.19004</v>
      </c>
      <c r="E151" s="311">
        <v>71.46963</v>
      </c>
    </row>
    <row r="152">
      <c r="A152" s="307" t="s">
        <v>427</v>
      </c>
      <c r="B152" s="307" t="s">
        <v>999</v>
      </c>
      <c r="C152" s="308" t="s">
        <v>5278</v>
      </c>
      <c r="D152" s="311">
        <v>30.19763</v>
      </c>
      <c r="E152" s="311">
        <v>71.47927</v>
      </c>
    </row>
    <row r="153">
      <c r="A153" s="307" t="s">
        <v>595</v>
      </c>
      <c r="B153" s="307" t="s">
        <v>598</v>
      </c>
      <c r="C153" s="308" t="s">
        <v>5279</v>
      </c>
      <c r="D153" s="311">
        <v>30.20117</v>
      </c>
      <c r="E153" s="313" t="s">
        <v>5280</v>
      </c>
    </row>
    <row r="154">
      <c r="A154" s="307" t="s">
        <v>211</v>
      </c>
      <c r="B154" s="307" t="s">
        <v>5281</v>
      </c>
      <c r="C154" s="308" t="s">
        <v>5282</v>
      </c>
      <c r="D154" s="311">
        <v>30.20142</v>
      </c>
      <c r="E154" s="311">
        <v>71.48386</v>
      </c>
    </row>
    <row r="155">
      <c r="A155" s="307" t="s">
        <v>632</v>
      </c>
      <c r="B155" s="307" t="s">
        <v>1092</v>
      </c>
      <c r="C155" s="308" t="s">
        <v>5283</v>
      </c>
      <c r="D155" s="311">
        <v>30.19054</v>
      </c>
      <c r="E155" s="311">
        <v>71.47166</v>
      </c>
    </row>
    <row r="156">
      <c r="A156" s="307" t="s">
        <v>199</v>
      </c>
      <c r="B156" s="307" t="s">
        <v>5284</v>
      </c>
      <c r="C156" s="308" t="s">
        <v>5285</v>
      </c>
      <c r="D156" s="311">
        <v>30.39024</v>
      </c>
      <c r="E156" s="311">
        <v>71.57041</v>
      </c>
    </row>
    <row r="157">
      <c r="A157" s="307" t="s">
        <v>5286</v>
      </c>
      <c r="B157" s="307" t="s">
        <v>5287</v>
      </c>
      <c r="C157" s="308" t="s">
        <v>5288</v>
      </c>
      <c r="D157" s="311">
        <v>30.08642</v>
      </c>
      <c r="E157" s="311">
        <v>71.65278</v>
      </c>
    </row>
    <row r="158">
      <c r="A158" s="307" t="s">
        <v>857</v>
      </c>
      <c r="B158" s="307" t="s">
        <v>5289</v>
      </c>
      <c r="C158" s="308" t="s">
        <v>5290</v>
      </c>
      <c r="D158" s="311">
        <v>30.39024</v>
      </c>
      <c r="E158" s="311">
        <v>71.57041</v>
      </c>
    </row>
    <row r="159">
      <c r="A159" s="307" t="s">
        <v>192</v>
      </c>
      <c r="B159" s="307" t="s">
        <v>5291</v>
      </c>
      <c r="C159" s="308" t="s">
        <v>5292</v>
      </c>
      <c r="D159" s="311">
        <v>30.19057</v>
      </c>
      <c r="E159" s="311">
        <v>71.4711</v>
      </c>
    </row>
    <row r="160">
      <c r="A160" s="307" t="s">
        <v>330</v>
      </c>
      <c r="B160" s="307" t="s">
        <v>5293</v>
      </c>
      <c r="C160" s="308" t="s">
        <v>5294</v>
      </c>
      <c r="D160" s="311">
        <v>30.1923</v>
      </c>
      <c r="E160" s="311">
        <v>71.4707</v>
      </c>
    </row>
    <row r="161">
      <c r="A161" s="307" t="s">
        <v>301</v>
      </c>
      <c r="B161" s="307" t="s">
        <v>5295</v>
      </c>
      <c r="C161" s="308" t="s">
        <v>5296</v>
      </c>
      <c r="D161" s="311">
        <v>30.19405</v>
      </c>
      <c r="E161" s="311">
        <v>71.47361</v>
      </c>
    </row>
    <row r="162">
      <c r="A162" s="307" t="s">
        <v>67</v>
      </c>
      <c r="B162" s="307" t="s">
        <v>5297</v>
      </c>
      <c r="C162" s="308" t="s">
        <v>5298</v>
      </c>
      <c r="D162" s="311">
        <v>30.19407</v>
      </c>
      <c r="E162" s="311">
        <v>71.45469</v>
      </c>
    </row>
    <row r="163">
      <c r="A163" s="307" t="s">
        <v>48</v>
      </c>
      <c r="B163" s="307" t="s">
        <v>5299</v>
      </c>
      <c r="C163" s="308" t="s">
        <v>5300</v>
      </c>
      <c r="D163" s="311">
        <v>30.19199</v>
      </c>
      <c r="E163" s="311">
        <v>71.4549</v>
      </c>
    </row>
    <row r="164">
      <c r="A164" s="307" t="s">
        <v>614</v>
      </c>
      <c r="B164" s="307" t="s">
        <v>5301</v>
      </c>
      <c r="C164" s="315" t="s">
        <v>5302</v>
      </c>
      <c r="D164" s="311"/>
      <c r="E164" s="311"/>
    </row>
    <row r="165">
      <c r="A165" s="307" t="s">
        <v>737</v>
      </c>
      <c r="B165" s="307" t="s">
        <v>5303</v>
      </c>
      <c r="C165" s="308" t="s">
        <v>5304</v>
      </c>
      <c r="D165" s="311">
        <v>30.19051</v>
      </c>
      <c r="E165" s="311">
        <v>71.46976</v>
      </c>
    </row>
    <row r="166">
      <c r="A166" s="307" t="s">
        <v>656</v>
      </c>
      <c r="B166" s="307" t="s">
        <v>5305</v>
      </c>
      <c r="C166" s="308" t="s">
        <v>5306</v>
      </c>
      <c r="D166" s="311">
        <v>30.18882</v>
      </c>
      <c r="E166" s="311">
        <v>71.4715</v>
      </c>
    </row>
    <row r="167">
      <c r="A167" s="307" t="s">
        <v>505</v>
      </c>
      <c r="B167" s="307" t="s">
        <v>5307</v>
      </c>
      <c r="C167" s="308" t="s">
        <v>5308</v>
      </c>
      <c r="D167" s="311">
        <v>30.18827</v>
      </c>
      <c r="E167" s="311">
        <v>71.46955</v>
      </c>
    </row>
    <row r="168">
      <c r="A168" s="307" t="s">
        <v>318</v>
      </c>
      <c r="B168" s="307" t="s">
        <v>5309</v>
      </c>
      <c r="C168" s="308" t="s">
        <v>5310</v>
      </c>
      <c r="D168" s="311">
        <v>30.18427</v>
      </c>
      <c r="E168" s="311">
        <v>71.46772</v>
      </c>
    </row>
    <row r="169">
      <c r="A169" s="307" t="s">
        <v>295</v>
      </c>
      <c r="B169" s="307" t="s">
        <v>5311</v>
      </c>
      <c r="C169" s="308" t="s">
        <v>5312</v>
      </c>
      <c r="D169" s="311">
        <v>30.18887</v>
      </c>
      <c r="E169" s="311">
        <v>71.46868</v>
      </c>
    </row>
    <row r="170">
      <c r="A170" s="307" t="s">
        <v>270</v>
      </c>
      <c r="B170" s="307" t="s">
        <v>683</v>
      </c>
      <c r="C170" s="308" t="s">
        <v>5313</v>
      </c>
      <c r="D170" s="311">
        <v>30.19328</v>
      </c>
      <c r="E170" s="311">
        <v>71.47141</v>
      </c>
    </row>
    <row r="171">
      <c r="A171" s="307" t="s">
        <v>159</v>
      </c>
      <c r="B171" s="307" t="s">
        <v>5314</v>
      </c>
      <c r="C171" s="308" t="s">
        <v>5315</v>
      </c>
      <c r="D171" s="311">
        <v>30.19534</v>
      </c>
      <c r="E171" s="311">
        <v>71.4747</v>
      </c>
    </row>
    <row r="172">
      <c r="A172" s="307" t="s">
        <v>564</v>
      </c>
      <c r="B172" s="307" t="s">
        <v>5316</v>
      </c>
      <c r="C172" s="308" t="s">
        <v>5317</v>
      </c>
      <c r="D172" s="311">
        <v>30.19167</v>
      </c>
      <c r="E172" s="311">
        <v>71.47111</v>
      </c>
    </row>
    <row r="173">
      <c r="A173" s="307" t="s">
        <v>740</v>
      </c>
      <c r="B173" s="307" t="s">
        <v>4122</v>
      </c>
      <c r="C173" s="308" t="s">
        <v>5318</v>
      </c>
      <c r="D173" s="311">
        <v>30.19156</v>
      </c>
      <c r="E173" s="311">
        <v>71.4728</v>
      </c>
    </row>
    <row r="174">
      <c r="A174" s="307" t="s">
        <v>437</v>
      </c>
      <c r="B174" s="307" t="s">
        <v>5319</v>
      </c>
      <c r="C174" s="308" t="s">
        <v>5320</v>
      </c>
      <c r="D174" s="311">
        <v>30.19217</v>
      </c>
      <c r="E174" s="311">
        <v>71.47202</v>
      </c>
    </row>
    <row r="175">
      <c r="A175" s="307" t="s">
        <v>433</v>
      </c>
      <c r="B175" s="307" t="s">
        <v>5321</v>
      </c>
      <c r="C175" s="308" t="s">
        <v>5322</v>
      </c>
      <c r="D175" s="311">
        <v>30.19511</v>
      </c>
      <c r="E175" s="313" t="s">
        <v>5323</v>
      </c>
    </row>
    <row r="176">
      <c r="A176" s="307" t="s">
        <v>89</v>
      </c>
      <c r="B176" s="307" t="s">
        <v>5324</v>
      </c>
      <c r="C176" s="308" t="s">
        <v>5325</v>
      </c>
      <c r="D176" s="311">
        <v>30.22792</v>
      </c>
      <c r="E176" s="311">
        <v>71.47555</v>
      </c>
    </row>
    <row r="177">
      <c r="A177" s="307" t="s">
        <v>186</v>
      </c>
      <c r="B177" s="307" t="s">
        <v>5326</v>
      </c>
      <c r="C177" s="308" t="s">
        <v>5327</v>
      </c>
      <c r="D177" s="311">
        <v>30.17797</v>
      </c>
      <c r="E177" s="311">
        <v>71.44406</v>
      </c>
    </row>
    <row r="178">
      <c r="A178" s="307" t="s">
        <v>129</v>
      </c>
      <c r="B178" s="307" t="s">
        <v>5328</v>
      </c>
      <c r="C178" s="308" t="s">
        <v>5329</v>
      </c>
      <c r="D178" s="311">
        <v>30.1728</v>
      </c>
      <c r="E178" s="311">
        <v>71.47132</v>
      </c>
    </row>
    <row r="179">
      <c r="A179" s="307" t="s">
        <v>552</v>
      </c>
      <c r="B179" s="307" t="s">
        <v>5330</v>
      </c>
      <c r="C179" s="308" t="s">
        <v>5331</v>
      </c>
      <c r="D179" s="311">
        <v>30.19057</v>
      </c>
      <c r="E179" s="313" t="s">
        <v>5332</v>
      </c>
    </row>
    <row r="180">
      <c r="A180" s="307" t="s">
        <v>285</v>
      </c>
      <c r="B180" s="307" t="s">
        <v>3841</v>
      </c>
      <c r="C180" s="308" t="s">
        <v>5333</v>
      </c>
      <c r="D180" s="311">
        <v>30.0722</v>
      </c>
      <c r="E180" s="311">
        <v>71.4942</v>
      </c>
    </row>
    <row r="181">
      <c r="A181" s="307" t="s">
        <v>421</v>
      </c>
      <c r="B181" s="307" t="s">
        <v>5334</v>
      </c>
      <c r="C181" s="308" t="s">
        <v>5335</v>
      </c>
      <c r="D181" s="311">
        <v>29.98522</v>
      </c>
      <c r="E181" s="311">
        <v>71.41475</v>
      </c>
    </row>
    <row r="182">
      <c r="A182" s="307" t="s">
        <v>180</v>
      </c>
      <c r="B182" s="307" t="s">
        <v>5336</v>
      </c>
      <c r="C182" s="308" t="s">
        <v>5337</v>
      </c>
      <c r="D182" s="311">
        <v>29.63057</v>
      </c>
      <c r="E182" s="311">
        <v>71.4308</v>
      </c>
    </row>
    <row r="183">
      <c r="A183" s="307" t="s">
        <v>555</v>
      </c>
      <c r="B183" s="307" t="s">
        <v>5338</v>
      </c>
      <c r="C183" s="308" t="s">
        <v>5339</v>
      </c>
      <c r="D183" s="311">
        <v>29.5049</v>
      </c>
      <c r="E183" s="311">
        <v>71.22414</v>
      </c>
    </row>
    <row r="184">
      <c r="A184" s="307" t="s">
        <v>5340</v>
      </c>
      <c r="B184" s="307" t="s">
        <v>4205</v>
      </c>
      <c r="C184" s="308" t="s">
        <v>5341</v>
      </c>
      <c r="D184" s="311">
        <v>30.19157</v>
      </c>
      <c r="E184" s="311">
        <v>71.47298</v>
      </c>
    </row>
    <row r="185">
      <c r="A185" s="307" t="s">
        <v>5342</v>
      </c>
      <c r="B185" s="307" t="s">
        <v>5343</v>
      </c>
      <c r="D185" s="316"/>
      <c r="E185" s="314"/>
    </row>
    <row r="186">
      <c r="A186" s="307" t="s">
        <v>463</v>
      </c>
      <c r="B186" s="307" t="s">
        <v>5344</v>
      </c>
      <c r="C186" s="308" t="s">
        <v>5345</v>
      </c>
      <c r="D186" s="311">
        <v>30.94155</v>
      </c>
      <c r="E186" s="311">
        <v>70.9322</v>
      </c>
    </row>
    <row r="187">
      <c r="A187" s="307" t="s">
        <v>140</v>
      </c>
      <c r="B187" s="307" t="s">
        <v>5346</v>
      </c>
      <c r="C187" s="308" t="s">
        <v>5347</v>
      </c>
      <c r="D187" s="311">
        <v>30.57034</v>
      </c>
      <c r="E187" s="311">
        <v>70.93711</v>
      </c>
    </row>
    <row r="188">
      <c r="A188" s="307" t="s">
        <v>5348</v>
      </c>
      <c r="B188" s="307" t="s">
        <v>5349</v>
      </c>
      <c r="C188" s="317" t="s">
        <v>5350</v>
      </c>
      <c r="D188" s="318" t="s">
        <v>5351</v>
      </c>
      <c r="E188" s="314"/>
    </row>
    <row r="189">
      <c r="A189" s="307" t="s">
        <v>1020</v>
      </c>
      <c r="B189" s="307" t="s">
        <v>5352</v>
      </c>
      <c r="C189" s="308" t="s">
        <v>5353</v>
      </c>
      <c r="D189" s="311">
        <v>31.14617</v>
      </c>
      <c r="E189" s="311">
        <v>70.93026</v>
      </c>
    </row>
    <row r="190">
      <c r="A190" s="307" t="s">
        <v>456</v>
      </c>
      <c r="B190" s="307" t="s">
        <v>5354</v>
      </c>
      <c r="C190" s="308" t="s">
        <v>5355</v>
      </c>
      <c r="D190" s="311">
        <v>31.22878</v>
      </c>
      <c r="E190" s="311">
        <v>70.95142</v>
      </c>
    </row>
    <row r="191">
      <c r="A191" s="307" t="s">
        <v>481</v>
      </c>
      <c r="B191" s="307" t="s">
        <v>5356</v>
      </c>
      <c r="C191" s="308" t="s">
        <v>5357</v>
      </c>
      <c r="D191" s="311">
        <v>30.88445</v>
      </c>
      <c r="E191" s="311">
        <v>71.66575</v>
      </c>
    </row>
    <row r="192">
      <c r="A192" s="307" t="s">
        <v>475</v>
      </c>
      <c r="B192" s="307" t="s">
        <v>5358</v>
      </c>
      <c r="C192" s="308" t="s">
        <v>5359</v>
      </c>
      <c r="D192" s="311">
        <v>31.14409</v>
      </c>
      <c r="E192" s="311">
        <v>71.27893</v>
      </c>
    </row>
    <row r="193">
      <c r="A193" s="307" t="s">
        <v>95</v>
      </c>
      <c r="B193" s="307" t="s">
        <v>705</v>
      </c>
      <c r="C193" s="308" t="s">
        <v>5360</v>
      </c>
      <c r="D193" s="311">
        <v>30.07584</v>
      </c>
      <c r="E193" s="311">
        <v>70.96543</v>
      </c>
    </row>
    <row r="194">
      <c r="A194" s="307" t="s">
        <v>356</v>
      </c>
      <c r="B194" s="307" t="s">
        <v>5361</v>
      </c>
      <c r="C194" s="308" t="s">
        <v>5362</v>
      </c>
      <c r="D194" s="311">
        <v>29.3448</v>
      </c>
      <c r="E194" s="311">
        <v>70.838</v>
      </c>
    </row>
    <row r="195">
      <c r="A195" s="307" t="s">
        <v>5363</v>
      </c>
      <c r="B195" s="307" t="s">
        <v>5364</v>
      </c>
      <c r="C195" s="308" t="s">
        <v>5365</v>
      </c>
      <c r="D195" s="311">
        <v>28.96012</v>
      </c>
      <c r="E195" s="311">
        <v>70.36847</v>
      </c>
    </row>
    <row r="196">
      <c r="A196" s="307" t="s">
        <v>173</v>
      </c>
      <c r="B196" s="307" t="s">
        <v>5366</v>
      </c>
      <c r="C196" s="308" t="s">
        <v>5367</v>
      </c>
      <c r="D196" s="311">
        <v>30.29796</v>
      </c>
      <c r="E196" s="311">
        <v>71.92083</v>
      </c>
    </row>
    <row r="197">
      <c r="A197" s="307" t="s">
        <v>205</v>
      </c>
      <c r="B197" s="307" t="s">
        <v>5368</v>
      </c>
      <c r="C197" s="308" t="s">
        <v>5369</v>
      </c>
      <c r="D197" s="311">
        <v>30.30248</v>
      </c>
      <c r="E197" s="311">
        <v>71.92008</v>
      </c>
    </row>
    <row r="198">
      <c r="A198" s="307" t="s">
        <v>5370</v>
      </c>
      <c r="B198" s="307" t="s">
        <v>5371</v>
      </c>
      <c r="C198" s="308" t="s">
        <v>5372</v>
      </c>
      <c r="D198" s="311">
        <v>30.44714</v>
      </c>
      <c r="E198" s="311">
        <v>72.34986</v>
      </c>
    </row>
    <row r="199">
      <c r="A199" s="307" t="s">
        <v>848</v>
      </c>
      <c r="B199" s="307" t="s">
        <v>850</v>
      </c>
      <c r="C199" s="308" t="s">
        <v>5373</v>
      </c>
      <c r="D199" s="311">
        <v>30.20694</v>
      </c>
      <c r="E199" s="311">
        <v>72.2309</v>
      </c>
    </row>
    <row r="200">
      <c r="A200" s="307" t="s">
        <v>726</v>
      </c>
      <c r="B200" s="307" t="s">
        <v>1050</v>
      </c>
      <c r="C200" s="308" t="s">
        <v>5374</v>
      </c>
      <c r="D200" s="311">
        <v>30.56529</v>
      </c>
      <c r="E200" s="311">
        <v>72.17407</v>
      </c>
    </row>
    <row r="201">
      <c r="A201" s="307" t="s">
        <v>578</v>
      </c>
      <c r="B201" s="307" t="s">
        <v>5375</v>
      </c>
      <c r="C201" s="308" t="s">
        <v>5376</v>
      </c>
      <c r="D201" s="309">
        <v>30.30992</v>
      </c>
      <c r="E201" s="309">
        <v>71.9249</v>
      </c>
    </row>
    <row r="202">
      <c r="A202" s="307" t="s">
        <v>166</v>
      </c>
      <c r="B202" s="307" t="s">
        <v>5377</v>
      </c>
      <c r="C202" s="308" t="s">
        <v>5378</v>
      </c>
      <c r="D202" s="309">
        <v>30.03829</v>
      </c>
      <c r="E202" s="309">
        <v>71.8148</v>
      </c>
    </row>
    <row r="203">
      <c r="A203" s="307" t="s">
        <v>687</v>
      </c>
      <c r="B203" s="307" t="s">
        <v>3709</v>
      </c>
      <c r="C203" s="308" t="s">
        <v>5379</v>
      </c>
      <c r="D203" s="309">
        <v>30.02772</v>
      </c>
      <c r="E203" s="309">
        <v>71.17967</v>
      </c>
    </row>
    <row r="204">
      <c r="A204" s="307" t="s">
        <v>103</v>
      </c>
      <c r="B204" s="307" t="s">
        <v>5380</v>
      </c>
      <c r="C204" s="308" t="s">
        <v>5381</v>
      </c>
      <c r="D204" s="309">
        <v>29.6238</v>
      </c>
      <c r="E204" s="309">
        <v>71.91745</v>
      </c>
    </row>
    <row r="205">
      <c r="A205" s="307" t="s">
        <v>123</v>
      </c>
      <c r="B205" s="307" t="s">
        <v>5382</v>
      </c>
      <c r="C205" s="308" t="s">
        <v>5383</v>
      </c>
      <c r="D205" s="309">
        <v>29.53921</v>
      </c>
      <c r="E205" s="309">
        <v>71.63464</v>
      </c>
    </row>
    <row r="206">
      <c r="A206" s="307" t="s">
        <v>3573</v>
      </c>
      <c r="B206" s="307" t="s">
        <v>5384</v>
      </c>
      <c r="C206" s="308" t="s">
        <v>5385</v>
      </c>
      <c r="D206" s="309">
        <v>30.05618</v>
      </c>
      <c r="E206" s="309">
        <v>72.75853</v>
      </c>
    </row>
    <row r="207">
      <c r="A207" s="307" t="s">
        <v>3619</v>
      </c>
      <c r="B207" s="307" t="s">
        <v>5386</v>
      </c>
      <c r="C207" s="308" t="s">
        <v>5387</v>
      </c>
      <c r="D207" s="309">
        <v>30.04191</v>
      </c>
      <c r="E207" s="309">
        <v>72.68703</v>
      </c>
    </row>
    <row r="208">
      <c r="A208" s="307" t="s">
        <v>3531</v>
      </c>
      <c r="B208" s="307" t="s">
        <v>5388</v>
      </c>
      <c r="C208" s="308" t="s">
        <v>5389</v>
      </c>
      <c r="D208" s="309">
        <v>30.04253</v>
      </c>
      <c r="E208" s="309">
        <v>72.35063</v>
      </c>
    </row>
    <row r="209">
      <c r="A209" s="307" t="s">
        <v>3486</v>
      </c>
      <c r="B209" s="307" t="s">
        <v>5390</v>
      </c>
      <c r="C209" s="308" t="s">
        <v>5391</v>
      </c>
      <c r="D209" s="309">
        <v>29.9198</v>
      </c>
      <c r="E209" s="309">
        <v>72.26417</v>
      </c>
    </row>
    <row r="210">
      <c r="A210" s="307" t="s">
        <v>3685</v>
      </c>
      <c r="B210" s="307" t="s">
        <v>3687</v>
      </c>
      <c r="C210" s="308" t="s">
        <v>5392</v>
      </c>
      <c r="D210" s="309">
        <v>30.16001</v>
      </c>
      <c r="E210" s="309">
        <v>72.68017</v>
      </c>
    </row>
    <row r="211">
      <c r="A211" s="307" t="s">
        <v>3678</v>
      </c>
      <c r="B211" s="307" t="s">
        <v>5393</v>
      </c>
      <c r="C211" s="308" t="s">
        <v>5394</v>
      </c>
      <c r="D211" s="309">
        <v>30.15776</v>
      </c>
      <c r="E211" s="309">
        <v>72.67986</v>
      </c>
    </row>
    <row r="212">
      <c r="A212" s="307" t="s">
        <v>3661</v>
      </c>
      <c r="B212" s="307" t="s">
        <v>5395</v>
      </c>
      <c r="C212" s="308" t="s">
        <v>5396</v>
      </c>
      <c r="D212" s="309">
        <v>30.33348</v>
      </c>
      <c r="E212" s="309">
        <v>72.79438</v>
      </c>
    </row>
    <row r="213">
      <c r="A213" s="307" t="s">
        <v>3549</v>
      </c>
      <c r="B213" s="307" t="s">
        <v>5397</v>
      </c>
      <c r="C213" s="308" t="s">
        <v>5398</v>
      </c>
      <c r="D213" s="309">
        <v>30.04783</v>
      </c>
      <c r="E213" s="309">
        <v>72.36127</v>
      </c>
    </row>
    <row r="214">
      <c r="A214" s="307" t="s">
        <v>584</v>
      </c>
      <c r="B214" s="307" t="s">
        <v>5399</v>
      </c>
      <c r="C214" s="308" t="s">
        <v>5400</v>
      </c>
      <c r="D214" s="309">
        <v>29.9859</v>
      </c>
      <c r="E214" s="309">
        <v>70.30259</v>
      </c>
    </row>
    <row r="215">
      <c r="A215" s="307" t="s">
        <v>233</v>
      </c>
      <c r="B215" s="307" t="s">
        <v>5401</v>
      </c>
      <c r="C215" s="308" t="s">
        <v>5402</v>
      </c>
      <c r="D215" s="309">
        <v>30.06266</v>
      </c>
      <c r="E215" s="309">
        <v>70.64346</v>
      </c>
    </row>
    <row r="216">
      <c r="A216" s="307" t="s">
        <v>371</v>
      </c>
      <c r="B216" s="307" t="s">
        <v>5403</v>
      </c>
      <c r="C216" s="308" t="s">
        <v>5404</v>
      </c>
      <c r="D216" s="309">
        <v>30.05796</v>
      </c>
      <c r="E216" s="309">
        <v>70.63599</v>
      </c>
    </row>
    <row r="217">
      <c r="A217" s="307" t="s">
        <v>487</v>
      </c>
      <c r="B217" s="307" t="s">
        <v>5405</v>
      </c>
      <c r="C217" s="308" t="s">
        <v>5406</v>
      </c>
      <c r="D217" s="309">
        <v>30.27881</v>
      </c>
      <c r="E217" s="309">
        <v>70.7268</v>
      </c>
    </row>
    <row r="218">
      <c r="A218" s="307" t="s">
        <v>292</v>
      </c>
      <c r="B218" s="307" t="s">
        <v>5407</v>
      </c>
      <c r="C218" s="308" t="s">
        <v>5408</v>
      </c>
      <c r="D218" s="309">
        <v>29.39602</v>
      </c>
      <c r="E218" s="309">
        <v>71.68242</v>
      </c>
    </row>
    <row r="219">
      <c r="A219" s="307" t="s">
        <v>117</v>
      </c>
      <c r="B219" s="307" t="s">
        <v>5409</v>
      </c>
      <c r="C219" s="308" t="s">
        <v>5410</v>
      </c>
      <c r="D219" s="309">
        <v>29.39826</v>
      </c>
      <c r="E219" s="309">
        <v>71.67609</v>
      </c>
    </row>
    <row r="220">
      <c r="A220" s="307" t="s">
        <v>393</v>
      </c>
      <c r="B220" s="307" t="s">
        <v>5411</v>
      </c>
      <c r="C220" s="308" t="s">
        <v>5412</v>
      </c>
      <c r="D220" s="309">
        <v>29.39645</v>
      </c>
      <c r="E220" s="309">
        <v>71.67313</v>
      </c>
    </row>
    <row r="221">
      <c r="A221" s="307" t="s">
        <v>404</v>
      </c>
      <c r="B221" s="307" t="s">
        <v>5413</v>
      </c>
      <c r="C221" s="308" t="s">
        <v>5414</v>
      </c>
      <c r="D221" s="309">
        <v>29.39569</v>
      </c>
      <c r="E221" s="309">
        <v>71.67958</v>
      </c>
    </row>
    <row r="222">
      <c r="A222" s="307" t="s">
        <v>377</v>
      </c>
      <c r="B222" s="307" t="s">
        <v>5415</v>
      </c>
      <c r="C222" s="308" t="s">
        <v>5416</v>
      </c>
      <c r="D222" s="309">
        <v>29.39891</v>
      </c>
      <c r="E222" s="309">
        <v>71.67363</v>
      </c>
    </row>
    <row r="223">
      <c r="A223" s="307" t="s">
        <v>277</v>
      </c>
      <c r="B223" s="307" t="s">
        <v>5417</v>
      </c>
      <c r="C223" s="308" t="s">
        <v>5418</v>
      </c>
      <c r="D223" s="309">
        <v>28.97545</v>
      </c>
      <c r="E223" s="309">
        <v>71.66372</v>
      </c>
    </row>
    <row r="224">
      <c r="A224" s="307" t="s">
        <v>589</v>
      </c>
      <c r="B224" s="307" t="s">
        <v>626</v>
      </c>
      <c r="C224" s="308" t="s">
        <v>5419</v>
      </c>
      <c r="D224" s="309">
        <v>29.40231</v>
      </c>
      <c r="E224" s="309">
        <v>71.6536</v>
      </c>
    </row>
    <row r="225">
      <c r="A225" s="307" t="s">
        <v>324</v>
      </c>
      <c r="B225" s="307" t="s">
        <v>5420</v>
      </c>
      <c r="C225" s="308" t="s">
        <v>5421</v>
      </c>
      <c r="D225" s="309">
        <v>29.39605</v>
      </c>
      <c r="E225" s="309">
        <v>71.67478</v>
      </c>
    </row>
    <row r="226">
      <c r="A226" s="307" t="s">
        <v>308</v>
      </c>
      <c r="B226" s="307" t="s">
        <v>5422</v>
      </c>
      <c r="C226" s="308" t="s">
        <v>5423</v>
      </c>
      <c r="D226" s="309">
        <v>29.39532</v>
      </c>
      <c r="E226" s="309">
        <v>71.67402</v>
      </c>
    </row>
    <row r="227">
      <c r="A227" s="307" t="s">
        <v>338</v>
      </c>
      <c r="B227" s="307" t="s">
        <v>5424</v>
      </c>
      <c r="C227" s="308" t="s">
        <v>5425</v>
      </c>
      <c r="D227" s="309">
        <v>29.31401</v>
      </c>
      <c r="E227" s="309">
        <v>71.5437</v>
      </c>
    </row>
    <row r="228">
      <c r="A228" s="307" t="s">
        <v>416</v>
      </c>
      <c r="B228" s="307" t="s">
        <v>5426</v>
      </c>
      <c r="C228" s="308" t="s">
        <v>5427</v>
      </c>
      <c r="D228" s="309">
        <v>29.45676</v>
      </c>
      <c r="E228" s="309">
        <v>71.95389</v>
      </c>
    </row>
    <row r="229">
      <c r="A229" s="307" t="s">
        <v>500</v>
      </c>
      <c r="B229" s="307" t="s">
        <v>5428</v>
      </c>
      <c r="C229" s="308" t="s">
        <v>5429</v>
      </c>
      <c r="D229" s="309">
        <v>29.58125</v>
      </c>
      <c r="E229" s="309">
        <v>72.23382</v>
      </c>
    </row>
    <row r="230">
      <c r="A230" s="307" t="s">
        <v>529</v>
      </c>
      <c r="B230" s="307" t="s">
        <v>5430</v>
      </c>
      <c r="C230" s="308" t="s">
        <v>5431</v>
      </c>
      <c r="D230" s="309">
        <v>29.23705</v>
      </c>
      <c r="E230" s="309">
        <v>71.06078</v>
      </c>
    </row>
    <row r="231">
      <c r="A231" s="307" t="s">
        <v>539</v>
      </c>
      <c r="B231" s="307" t="s">
        <v>5432</v>
      </c>
      <c r="C231" s="308" t="s">
        <v>5433</v>
      </c>
      <c r="D231" s="309">
        <v>29.24268</v>
      </c>
      <c r="E231" s="309">
        <v>71.05572</v>
      </c>
    </row>
    <row r="232">
      <c r="A232" s="307" t="s">
        <v>544</v>
      </c>
      <c r="B232" s="307" t="s">
        <v>547</v>
      </c>
      <c r="C232" s="308" t="s">
        <v>5434</v>
      </c>
      <c r="D232" s="309">
        <v>29.24268</v>
      </c>
      <c r="E232" s="309">
        <v>71.05572</v>
      </c>
    </row>
    <row r="233">
      <c r="A233" s="307" t="s">
        <v>601</v>
      </c>
      <c r="B233" s="307" t="s">
        <v>603</v>
      </c>
      <c r="C233" s="308" t="s">
        <v>5435</v>
      </c>
      <c r="D233" s="309">
        <v>29.24317</v>
      </c>
      <c r="E233" s="309">
        <v>71.05551</v>
      </c>
    </row>
    <row r="234">
      <c r="A234" s="307" t="s">
        <v>518</v>
      </c>
      <c r="B234" s="307" t="s">
        <v>521</v>
      </c>
      <c r="C234" s="308" t="s">
        <v>5436</v>
      </c>
      <c r="D234" s="309">
        <v>29.0992</v>
      </c>
      <c r="E234" s="309">
        <v>71.27458</v>
      </c>
    </row>
    <row r="235">
      <c r="A235" s="307" t="s">
        <v>524</v>
      </c>
      <c r="B235" s="307" t="s">
        <v>5437</v>
      </c>
      <c r="C235" s="308" t="s">
        <v>5438</v>
      </c>
      <c r="D235" s="309">
        <v>29.14679</v>
      </c>
      <c r="E235" s="309">
        <v>71.26701</v>
      </c>
    </row>
    <row r="236">
      <c r="A236" s="307" t="s">
        <v>534</v>
      </c>
      <c r="B236" s="307" t="s">
        <v>537</v>
      </c>
      <c r="C236" s="308" t="s">
        <v>5439</v>
      </c>
      <c r="D236" s="309">
        <v>29.14384</v>
      </c>
      <c r="E236" s="309">
        <v>71.25947</v>
      </c>
    </row>
    <row r="237">
      <c r="A237" s="307" t="s">
        <v>695</v>
      </c>
      <c r="B237" s="307" t="s">
        <v>5440</v>
      </c>
      <c r="C237" s="308" t="s">
        <v>5441</v>
      </c>
      <c r="D237" s="309">
        <v>29.69456</v>
      </c>
      <c r="E237" s="309">
        <v>72.55061</v>
      </c>
    </row>
    <row r="238">
      <c r="A238" s="307" t="s">
        <v>711</v>
      </c>
      <c r="B238" s="307" t="s">
        <v>5442</v>
      </c>
      <c r="C238" s="308" t="s">
        <v>5443</v>
      </c>
      <c r="D238" s="309">
        <v>29.68941</v>
      </c>
      <c r="E238" s="309">
        <v>72.53478</v>
      </c>
    </row>
    <row r="239">
      <c r="A239" s="307" t="s">
        <v>83</v>
      </c>
      <c r="B239" s="307" t="s">
        <v>985</v>
      </c>
      <c r="C239" s="308" t="s">
        <v>5444</v>
      </c>
      <c r="D239" s="309">
        <v>29.79613</v>
      </c>
      <c r="E239" s="309">
        <v>72.85818</v>
      </c>
    </row>
    <row r="240">
      <c r="A240" s="307" t="s">
        <v>382</v>
      </c>
      <c r="B240" s="307" t="s">
        <v>5445</v>
      </c>
      <c r="C240" s="308" t="s">
        <v>5446</v>
      </c>
      <c r="D240" s="309">
        <v>29.8029</v>
      </c>
      <c r="E240" s="309">
        <v>72.84065</v>
      </c>
    </row>
    <row r="241">
      <c r="A241" s="307" t="s">
        <v>5447</v>
      </c>
      <c r="B241" s="307" t="s">
        <v>5448</v>
      </c>
      <c r="C241" s="308" t="s">
        <v>5449</v>
      </c>
      <c r="D241" s="309">
        <v>29.79797</v>
      </c>
      <c r="E241" s="309">
        <v>72.84437</v>
      </c>
    </row>
    <row r="242">
      <c r="A242" s="307" t="s">
        <v>55</v>
      </c>
      <c r="B242" s="307" t="s">
        <v>5450</v>
      </c>
      <c r="C242" s="308" t="s">
        <v>5451</v>
      </c>
      <c r="D242" s="309">
        <v>30.00295</v>
      </c>
      <c r="E242" s="309">
        <v>73.26121</v>
      </c>
    </row>
    <row r="243">
      <c r="A243" s="307" t="s">
        <v>443</v>
      </c>
      <c r="B243" s="307" t="s">
        <v>5452</v>
      </c>
      <c r="C243" s="308" t="s">
        <v>5453</v>
      </c>
      <c r="D243" s="309">
        <v>29.61144</v>
      </c>
      <c r="E243" s="309">
        <v>73.13765</v>
      </c>
    </row>
    <row r="244">
      <c r="A244" s="307" t="s">
        <v>5454</v>
      </c>
      <c r="B244" s="307" t="s">
        <v>5455</v>
      </c>
      <c r="D244" s="310"/>
      <c r="E244" s="307"/>
    </row>
    <row r="245">
      <c r="A245" s="307" t="s">
        <v>345</v>
      </c>
      <c r="B245" s="307" t="s">
        <v>5456</v>
      </c>
      <c r="C245" s="308" t="s">
        <v>5457</v>
      </c>
      <c r="D245" s="309">
        <v>30.03654</v>
      </c>
      <c r="E245" s="309">
        <v>73.53645</v>
      </c>
    </row>
    <row r="246">
      <c r="A246" s="307" t="s">
        <v>251</v>
      </c>
      <c r="B246" s="307" t="s">
        <v>5458</v>
      </c>
      <c r="C246" s="308" t="s">
        <v>5459</v>
      </c>
      <c r="D246" s="309">
        <v>28.64201</v>
      </c>
      <c r="E246" s="309">
        <v>70.65399</v>
      </c>
    </row>
    <row r="247">
      <c r="A247" s="307" t="s">
        <v>5460</v>
      </c>
      <c r="B247" s="307" t="s">
        <v>5461</v>
      </c>
      <c r="C247" s="308" t="s">
        <v>5462</v>
      </c>
      <c r="D247" s="309">
        <v>28.96128</v>
      </c>
      <c r="E247" s="309">
        <v>70.74037</v>
      </c>
    </row>
    <row r="248">
      <c r="A248" s="307" t="s">
        <v>512</v>
      </c>
      <c r="B248" s="307" t="s">
        <v>5463</v>
      </c>
      <c r="C248" s="308" t="s">
        <v>5464</v>
      </c>
      <c r="D248" s="309">
        <v>28.63936</v>
      </c>
      <c r="E248" s="309">
        <v>70.65502</v>
      </c>
    </row>
    <row r="249">
      <c r="A249" s="307" t="s">
        <v>5465</v>
      </c>
      <c r="B249" s="307" t="s">
        <v>5466</v>
      </c>
      <c r="C249" s="308" t="s">
        <v>5467</v>
      </c>
      <c r="D249" s="309">
        <v>28.95248</v>
      </c>
      <c r="E249" s="309">
        <v>70.87888</v>
      </c>
    </row>
    <row r="250">
      <c r="A250" s="307" t="s">
        <v>258</v>
      </c>
      <c r="B250" s="307" t="s">
        <v>5468</v>
      </c>
      <c r="C250" s="308" t="s">
        <v>5469</v>
      </c>
      <c r="D250" s="309">
        <v>28.64394</v>
      </c>
      <c r="E250" s="309">
        <v>70.6589</v>
      </c>
    </row>
    <row r="251">
      <c r="A251" s="307" t="s">
        <v>264</v>
      </c>
      <c r="B251" s="307" t="s">
        <v>5470</v>
      </c>
      <c r="C251" s="308" t="s">
        <v>5471</v>
      </c>
      <c r="D251" s="309">
        <v>28.64363</v>
      </c>
      <c r="E251" s="309">
        <v>70.65362</v>
      </c>
    </row>
    <row r="252">
      <c r="A252" s="307" t="s">
        <v>147</v>
      </c>
      <c r="B252" s="307" t="s">
        <v>5472</v>
      </c>
      <c r="C252" s="308" t="s">
        <v>5473</v>
      </c>
      <c r="D252" s="309">
        <v>28.41964</v>
      </c>
      <c r="E252" s="309">
        <v>70.30602</v>
      </c>
    </row>
    <row r="253">
      <c r="A253" s="307" t="s">
        <v>238</v>
      </c>
      <c r="B253" s="307" t="s">
        <v>5474</v>
      </c>
      <c r="C253" s="308" t="s">
        <v>5475</v>
      </c>
      <c r="D253" s="309">
        <v>28.2246</v>
      </c>
      <c r="E253" s="309">
        <v>69.9309</v>
      </c>
    </row>
    <row r="254">
      <c r="A254" s="307" t="s">
        <v>110</v>
      </c>
      <c r="B254" s="307" t="s">
        <v>5476</v>
      </c>
      <c r="C254" s="308" t="s">
        <v>5477</v>
      </c>
      <c r="D254" s="309">
        <v>28.42622</v>
      </c>
      <c r="E254" s="309">
        <v>70.3227</v>
      </c>
    </row>
    <row r="255">
      <c r="A255" s="307" t="s">
        <v>3555</v>
      </c>
      <c r="B255" s="307" t="s">
        <v>5478</v>
      </c>
      <c r="C255" s="308" t="s">
        <v>5479</v>
      </c>
      <c r="D255" s="309">
        <v>30.34092</v>
      </c>
      <c r="E255" s="309">
        <v>73.38707</v>
      </c>
    </row>
    <row r="256">
      <c r="A256" s="307" t="s">
        <v>3603</v>
      </c>
      <c r="B256" s="307" t="s">
        <v>5480</v>
      </c>
      <c r="C256" s="308" t="s">
        <v>5481</v>
      </c>
      <c r="D256" s="309">
        <v>30.35184</v>
      </c>
      <c r="E256" s="309">
        <v>73.39093</v>
      </c>
    </row>
    <row r="257">
      <c r="A257" s="307" t="s">
        <v>3613</v>
      </c>
      <c r="B257" s="307" t="s">
        <v>5482</v>
      </c>
      <c r="C257" s="308" t="s">
        <v>5483</v>
      </c>
      <c r="D257" s="309">
        <v>30.34292</v>
      </c>
      <c r="E257" s="309">
        <v>73.38938</v>
      </c>
    </row>
    <row r="258">
      <c r="A258" s="307" t="s">
        <v>3561</v>
      </c>
      <c r="B258" s="307" t="s">
        <v>5484</v>
      </c>
      <c r="C258" s="308" t="s">
        <v>5485</v>
      </c>
      <c r="D258" s="309">
        <v>30.31479</v>
      </c>
      <c r="E258" s="309">
        <v>73.3438</v>
      </c>
    </row>
    <row r="259">
      <c r="A259" s="307" t="s">
        <v>3567</v>
      </c>
      <c r="B259" s="307" t="s">
        <v>5486</v>
      </c>
      <c r="C259" s="308" t="s">
        <v>5487</v>
      </c>
      <c r="D259" s="309">
        <v>30.31479</v>
      </c>
      <c r="E259" s="309">
        <v>73.3438</v>
      </c>
    </row>
    <row r="260">
      <c r="A260" s="307" t="s">
        <v>3609</v>
      </c>
      <c r="B260" s="307" t="s">
        <v>5488</v>
      </c>
      <c r="C260" s="308" t="s">
        <v>5489</v>
      </c>
      <c r="D260" s="309">
        <v>30.29146</v>
      </c>
      <c r="E260" s="309">
        <v>73.06883</v>
      </c>
    </row>
    <row r="261">
      <c r="A261" s="307" t="s">
        <v>3597</v>
      </c>
      <c r="B261" s="307" t="s">
        <v>5490</v>
      </c>
      <c r="C261" s="308" t="s">
        <v>5491</v>
      </c>
      <c r="D261" s="309">
        <v>30.29031</v>
      </c>
      <c r="E261" s="309">
        <v>73.06604</v>
      </c>
    </row>
    <row r="262">
      <c r="A262" s="307" t="s">
        <v>3591</v>
      </c>
      <c r="B262" s="307" t="s">
        <v>5492</v>
      </c>
      <c r="C262" s="308" t="s">
        <v>5493</v>
      </c>
      <c r="D262" s="309">
        <v>30.65026</v>
      </c>
      <c r="E262" s="309">
        <v>73.09505</v>
      </c>
    </row>
    <row r="263">
      <c r="A263" s="307" t="s">
        <v>3625</v>
      </c>
      <c r="B263" s="307" t="s">
        <v>5494</v>
      </c>
      <c r="C263" s="308" t="s">
        <v>5495</v>
      </c>
      <c r="D263" s="309">
        <v>30.42998</v>
      </c>
      <c r="E263" s="309">
        <v>73.048</v>
      </c>
    </row>
    <row r="264">
      <c r="A264" s="307" t="s">
        <v>3579</v>
      </c>
      <c r="B264" s="307" t="s">
        <v>5496</v>
      </c>
      <c r="C264" s="308" t="s">
        <v>5497</v>
      </c>
      <c r="D264" s="309">
        <v>30.65333</v>
      </c>
      <c r="E264" s="309">
        <v>73.1067</v>
      </c>
    </row>
    <row r="265">
      <c r="A265" s="307" t="s">
        <v>3585</v>
      </c>
      <c r="B265" s="307" t="s">
        <v>5498</v>
      </c>
      <c r="C265" s="308" t="s">
        <v>5499</v>
      </c>
      <c r="D265" s="309">
        <v>30.66829</v>
      </c>
      <c r="E265" s="309">
        <v>73.10882</v>
      </c>
    </row>
    <row r="266">
      <c r="A266" s="307" t="s">
        <v>3512</v>
      </c>
      <c r="B266" s="307" t="s">
        <v>5500</v>
      </c>
      <c r="C266" s="308" t="s">
        <v>5501</v>
      </c>
      <c r="D266" s="309">
        <v>30.6598</v>
      </c>
      <c r="E266" s="309">
        <v>73.10988</v>
      </c>
    </row>
    <row r="267">
      <c r="A267" s="307" t="s">
        <v>3537</v>
      </c>
      <c r="B267" s="307" t="s">
        <v>5502</v>
      </c>
      <c r="C267" s="308" t="s">
        <v>5503</v>
      </c>
      <c r="D267" s="309">
        <v>30.65414</v>
      </c>
      <c r="E267" s="309">
        <v>73.11156</v>
      </c>
    </row>
    <row r="268">
      <c r="A268" s="307" t="s">
        <v>3543</v>
      </c>
      <c r="B268" s="307" t="s">
        <v>5504</v>
      </c>
      <c r="C268" s="308" t="s">
        <v>5505</v>
      </c>
      <c r="D268" s="309">
        <v>30.53152</v>
      </c>
      <c r="E268" s="309">
        <v>72.68882</v>
      </c>
    </row>
    <row r="269">
      <c r="A269" s="307" t="s">
        <v>3492</v>
      </c>
      <c r="B269" s="307" t="s">
        <v>5506</v>
      </c>
      <c r="C269" s="308" t="s">
        <v>5507</v>
      </c>
      <c r="D269" s="309">
        <v>30.53188</v>
      </c>
      <c r="E269" s="309">
        <v>72.68871</v>
      </c>
    </row>
    <row r="270">
      <c r="A270" s="307" t="s">
        <v>3506</v>
      </c>
      <c r="B270" s="307" t="s">
        <v>5508</v>
      </c>
      <c r="C270" s="308" t="s">
        <v>5509</v>
      </c>
      <c r="D270" s="309">
        <v>30.80769</v>
      </c>
      <c r="E270" s="309">
        <v>73.44568</v>
      </c>
    </row>
    <row r="271">
      <c r="A271" s="307" t="s">
        <v>3518</v>
      </c>
      <c r="B271" s="307" t="s">
        <v>5510</v>
      </c>
      <c r="C271" s="308" t="s">
        <v>5511</v>
      </c>
      <c r="D271" s="309">
        <v>30.8088</v>
      </c>
      <c r="E271" s="309">
        <v>73.44451</v>
      </c>
    </row>
    <row r="272">
      <c r="A272" s="307" t="s">
        <v>3499</v>
      </c>
      <c r="B272" s="307" t="s">
        <v>5512</v>
      </c>
      <c r="C272" s="308" t="s">
        <v>5513</v>
      </c>
      <c r="D272" s="309">
        <v>30.95281</v>
      </c>
      <c r="E272" s="309">
        <v>73.32939</v>
      </c>
    </row>
    <row r="273">
      <c r="A273" s="307" t="s">
        <v>3480</v>
      </c>
      <c r="B273" s="307" t="s">
        <v>5514</v>
      </c>
      <c r="C273" s="308" t="s">
        <v>5515</v>
      </c>
      <c r="D273" s="309">
        <v>30.95244</v>
      </c>
      <c r="E273" s="309">
        <v>73.53877</v>
      </c>
    </row>
    <row r="274">
      <c r="A274" s="307" t="s">
        <v>3524</v>
      </c>
      <c r="B274" s="307" t="s">
        <v>5516</v>
      </c>
      <c r="C274" s="308" t="s">
        <v>5517</v>
      </c>
      <c r="D274" s="309">
        <v>30.87989</v>
      </c>
      <c r="E274" s="309">
        <v>73.59432</v>
      </c>
    </row>
    <row r="275">
      <c r="A275" s="307" t="s">
        <v>2477</v>
      </c>
      <c r="B275" s="307" t="s">
        <v>5518</v>
      </c>
      <c r="C275" s="308" t="s">
        <v>5519</v>
      </c>
      <c r="D275" s="309">
        <v>32.07109</v>
      </c>
      <c r="E275" s="309">
        <v>73.7195</v>
      </c>
    </row>
    <row r="276">
      <c r="A276" s="307" t="s">
        <v>2471</v>
      </c>
      <c r="B276" s="307" t="s">
        <v>5520</v>
      </c>
      <c r="C276" s="308" t="s">
        <v>5521</v>
      </c>
      <c r="D276" s="309">
        <v>32.16681</v>
      </c>
      <c r="E276" s="309">
        <v>74.18252</v>
      </c>
    </row>
    <row r="277">
      <c r="A277" s="307" t="s">
        <v>2154</v>
      </c>
      <c r="B277" s="307" t="s">
        <v>5522</v>
      </c>
      <c r="C277" s="308" t="s">
        <v>5523</v>
      </c>
      <c r="D277" s="309">
        <v>32.16507</v>
      </c>
      <c r="E277" s="309">
        <v>74.19074</v>
      </c>
    </row>
    <row r="278">
      <c r="A278" s="307" t="s">
        <v>2100</v>
      </c>
      <c r="B278" s="307" t="s">
        <v>5524</v>
      </c>
      <c r="C278" s="308" t="s">
        <v>5525</v>
      </c>
      <c r="D278" s="309">
        <v>32.15726</v>
      </c>
      <c r="E278" s="309">
        <v>74.189</v>
      </c>
    </row>
    <row r="279">
      <c r="A279" s="307" t="s">
        <v>1817</v>
      </c>
      <c r="B279" s="307" t="s">
        <v>5526</v>
      </c>
      <c r="C279" s="308" t="s">
        <v>5527</v>
      </c>
      <c r="D279" s="309">
        <v>32.15716</v>
      </c>
      <c r="E279" s="309">
        <v>74.1929</v>
      </c>
    </row>
    <row r="280">
      <c r="A280" s="307" t="s">
        <v>2084</v>
      </c>
      <c r="B280" s="307" t="s">
        <v>2790</v>
      </c>
      <c r="C280" s="308" t="s">
        <v>5528</v>
      </c>
      <c r="D280" s="309">
        <v>31.90745</v>
      </c>
      <c r="E280" s="309">
        <v>73.61266</v>
      </c>
    </row>
    <row r="281">
      <c r="A281" s="307" t="s">
        <v>2463</v>
      </c>
      <c r="B281" s="307" t="s">
        <v>5529</v>
      </c>
      <c r="C281" s="308" t="s">
        <v>5530</v>
      </c>
      <c r="D281" s="309">
        <v>32.253</v>
      </c>
      <c r="E281" s="309">
        <v>73.67402</v>
      </c>
    </row>
    <row r="282">
      <c r="A282" s="307" t="s">
        <v>2765</v>
      </c>
      <c r="B282" s="307" t="s">
        <v>5531</v>
      </c>
      <c r="C282" s="308" t="s">
        <v>5532</v>
      </c>
      <c r="D282" s="309">
        <v>32.33014</v>
      </c>
      <c r="E282" s="309">
        <v>73.77968</v>
      </c>
    </row>
    <row r="283">
      <c r="A283" s="307" t="s">
        <v>2119</v>
      </c>
      <c r="B283" s="307" t="s">
        <v>5533</v>
      </c>
      <c r="C283" s="308" t="s">
        <v>5534</v>
      </c>
      <c r="D283" s="309">
        <v>32.13281</v>
      </c>
      <c r="E283" s="309">
        <v>73.82959</v>
      </c>
    </row>
    <row r="284">
      <c r="A284" s="307" t="s">
        <v>2203</v>
      </c>
      <c r="B284" s="307" t="s">
        <v>5535</v>
      </c>
      <c r="C284" s="308" t="s">
        <v>5536</v>
      </c>
      <c r="D284" s="309">
        <v>32.57686</v>
      </c>
      <c r="E284" s="309">
        <v>74.08113</v>
      </c>
    </row>
    <row r="285">
      <c r="A285" s="307" t="s">
        <v>2167</v>
      </c>
      <c r="B285" s="307" t="s">
        <v>2170</v>
      </c>
      <c r="C285" s="308" t="s">
        <v>5537</v>
      </c>
      <c r="D285" s="309">
        <v>32.58004</v>
      </c>
      <c r="E285" s="309">
        <v>74.09792</v>
      </c>
    </row>
    <row r="286">
      <c r="A286" s="307" t="s">
        <v>5538</v>
      </c>
      <c r="B286" s="307" t="s">
        <v>5539</v>
      </c>
      <c r="D286" s="307"/>
    </row>
    <row r="287">
      <c r="A287" s="307" t="s">
        <v>4553</v>
      </c>
      <c r="B287" s="307" t="s">
        <v>5540</v>
      </c>
      <c r="C287" s="308" t="s">
        <v>5541</v>
      </c>
      <c r="D287" s="309">
        <v>32.57104</v>
      </c>
      <c r="E287" s="309">
        <v>74.08838</v>
      </c>
    </row>
    <row r="288">
      <c r="A288" s="307" t="s">
        <v>1784</v>
      </c>
      <c r="B288" s="307" t="s">
        <v>5542</v>
      </c>
      <c r="C288" s="308" t="s">
        <v>5543</v>
      </c>
      <c r="D288" s="309">
        <v>32.5731</v>
      </c>
      <c r="E288" s="309">
        <v>74.07452</v>
      </c>
    </row>
    <row r="289">
      <c r="A289" s="307" t="s">
        <v>1825</v>
      </c>
      <c r="B289" s="307" t="s">
        <v>2820</v>
      </c>
      <c r="C289" s="308" t="s">
        <v>5544</v>
      </c>
      <c r="D289" s="309">
        <v>32.55938</v>
      </c>
      <c r="E289" s="309">
        <v>73.21096</v>
      </c>
    </row>
    <row r="290">
      <c r="A290" s="307" t="s">
        <v>2265</v>
      </c>
      <c r="B290" s="307" t="s">
        <v>5545</v>
      </c>
      <c r="C290" s="308" t="s">
        <v>5546</v>
      </c>
      <c r="D290" s="309">
        <v>32.79601</v>
      </c>
      <c r="E290" s="309">
        <v>73.78922</v>
      </c>
    </row>
    <row r="291">
      <c r="A291" s="307" t="s">
        <v>1670</v>
      </c>
      <c r="B291" s="307" t="s">
        <v>5547</v>
      </c>
      <c r="C291" s="308" t="s">
        <v>5548</v>
      </c>
      <c r="D291" s="309">
        <v>32.59129</v>
      </c>
      <c r="E291" s="309">
        <v>74.08715</v>
      </c>
      <c r="F291" s="319"/>
      <c r="G291" s="319"/>
    </row>
    <row r="292">
      <c r="A292" s="307" t="s">
        <v>2731</v>
      </c>
      <c r="B292" s="307" t="s">
        <v>2792</v>
      </c>
      <c r="C292" s="320" t="s">
        <v>5549</v>
      </c>
      <c r="D292" s="309">
        <v>32.57146</v>
      </c>
      <c r="E292" s="309">
        <v>74.0846</v>
      </c>
    </row>
    <row r="293">
      <c r="A293" s="307" t="s">
        <v>2531</v>
      </c>
      <c r="B293" s="307" t="s">
        <v>2623</v>
      </c>
      <c r="C293" s="308" t="s">
        <v>5550</v>
      </c>
      <c r="D293" s="8">
        <v>32.5714801</v>
      </c>
      <c r="E293" s="8">
        <v>74.0857584</v>
      </c>
    </row>
    <row r="294">
      <c r="A294" s="307" t="s">
        <v>1978</v>
      </c>
      <c r="B294" s="307" t="s">
        <v>5551</v>
      </c>
      <c r="C294" s="308" t="s">
        <v>5552</v>
      </c>
      <c r="D294" s="8">
        <v>32.5337283</v>
      </c>
      <c r="E294" s="8">
        <v>73.4838909</v>
      </c>
    </row>
    <row r="295">
      <c r="A295" s="307" t="s">
        <v>1954</v>
      </c>
      <c r="B295" s="307" t="s">
        <v>5553</v>
      </c>
      <c r="C295" s="308" t="s">
        <v>5554</v>
      </c>
      <c r="D295" s="8">
        <v>32.5864601</v>
      </c>
      <c r="E295" s="8">
        <v>73.4900294</v>
      </c>
    </row>
    <row r="296">
      <c r="A296" s="307" t="s">
        <v>1793</v>
      </c>
      <c r="B296" s="307" t="s">
        <v>5555</v>
      </c>
      <c r="C296" s="308" t="s">
        <v>5556</v>
      </c>
      <c r="D296" s="8">
        <v>32.5549029</v>
      </c>
      <c r="E296" s="8">
        <v>73.2125862</v>
      </c>
    </row>
    <row r="297">
      <c r="A297" s="307" t="s">
        <v>1885</v>
      </c>
      <c r="B297" s="307" t="s">
        <v>5557</v>
      </c>
      <c r="C297" s="308" t="s">
        <v>5558</v>
      </c>
      <c r="D297" s="8">
        <v>32.9284525</v>
      </c>
      <c r="E297" s="8">
        <v>73.7339202</v>
      </c>
    </row>
    <row r="298">
      <c r="A298" s="307" t="s">
        <v>2273</v>
      </c>
      <c r="B298" s="307" t="s">
        <v>5559</v>
      </c>
      <c r="C298" s="308" t="s">
        <v>5560</v>
      </c>
      <c r="D298" s="8">
        <v>32.9248217</v>
      </c>
      <c r="E298" s="8">
        <v>73.7322679</v>
      </c>
    </row>
    <row r="299">
      <c r="A299" s="307" t="s">
        <v>2544</v>
      </c>
      <c r="B299" s="307" t="s">
        <v>5561</v>
      </c>
      <c r="C299" s="308" t="s">
        <v>5562</v>
      </c>
      <c r="D299" s="8">
        <v>32.719097</v>
      </c>
      <c r="E299" s="8">
        <v>72.9852805</v>
      </c>
    </row>
    <row r="300">
      <c r="A300" s="307" t="s">
        <v>2551</v>
      </c>
      <c r="B300" s="307" t="s">
        <v>2553</v>
      </c>
      <c r="C300" s="308" t="s">
        <v>5563</v>
      </c>
      <c r="D300" s="8">
        <v>32.9257983</v>
      </c>
      <c r="E300" s="8">
        <v>72.4068136</v>
      </c>
    </row>
    <row r="301">
      <c r="A301" s="307" t="s">
        <v>4557</v>
      </c>
      <c r="B301" s="307" t="s">
        <v>5564</v>
      </c>
      <c r="C301" s="308" t="s">
        <v>5565</v>
      </c>
      <c r="D301" s="8">
        <v>32.4882583</v>
      </c>
      <c r="E301" s="8">
        <v>74.5383817</v>
      </c>
    </row>
    <row r="302">
      <c r="A302" s="307" t="s">
        <v>4559</v>
      </c>
      <c r="B302" s="307" t="s">
        <v>5566</v>
      </c>
      <c r="C302" s="308" t="s">
        <v>5567</v>
      </c>
      <c r="D302" s="8">
        <v>32.6707567</v>
      </c>
      <c r="E302" s="8">
        <v>74.5707033</v>
      </c>
    </row>
    <row r="303">
      <c r="A303" s="307" t="s">
        <v>4560</v>
      </c>
      <c r="B303" s="307" t="s">
        <v>5568</v>
      </c>
      <c r="C303" s="308" t="s">
        <v>5569</v>
      </c>
      <c r="D303" s="8">
        <v>32.4924412</v>
      </c>
      <c r="E303" s="8">
        <v>74.5390548</v>
      </c>
    </row>
    <row r="304">
      <c r="A304" s="307" t="s">
        <v>4561</v>
      </c>
      <c r="B304" s="307" t="s">
        <v>5570</v>
      </c>
      <c r="C304" s="308" t="s">
        <v>5571</v>
      </c>
      <c r="D304" s="8">
        <v>32.4948115</v>
      </c>
      <c r="E304" s="8">
        <v>74.5621511</v>
      </c>
    </row>
    <row r="305">
      <c r="A305" s="307" t="s">
        <v>4562</v>
      </c>
      <c r="B305" s="307" t="s">
        <v>1686</v>
      </c>
      <c r="C305" s="308" t="s">
        <v>5572</v>
      </c>
      <c r="D305" s="8">
        <v>32.5489782</v>
      </c>
      <c r="E305" s="8">
        <v>74.5487986</v>
      </c>
    </row>
    <row r="306">
      <c r="A306" s="307" t="s">
        <v>1969</v>
      </c>
      <c r="B306" s="307" t="s">
        <v>5573</v>
      </c>
      <c r="C306" s="308" t="s">
        <v>5574</v>
      </c>
      <c r="D306" s="8">
        <v>32.3261997</v>
      </c>
      <c r="E306" s="8">
        <v>75.3006909</v>
      </c>
    </row>
    <row r="307">
      <c r="A307" s="307" t="s">
        <v>2092</v>
      </c>
      <c r="B307" s="307" t="s">
        <v>5575</v>
      </c>
      <c r="C307" s="308" t="s">
        <v>5576</v>
      </c>
      <c r="D307" s="8">
        <v>32.2635931</v>
      </c>
      <c r="E307" s="8">
        <v>75.1662053</v>
      </c>
    </row>
    <row r="308">
      <c r="A308" s="307" t="s">
        <v>2537</v>
      </c>
      <c r="B308" s="307" t="s">
        <v>5577</v>
      </c>
      <c r="C308" s="308" t="s">
        <v>5578</v>
      </c>
      <c r="D308" s="8" t="s">
        <v>5579</v>
      </c>
      <c r="E308" s="8" t="s">
        <v>5580</v>
      </c>
    </row>
    <row r="309">
      <c r="A309" s="307" t="s">
        <v>4702</v>
      </c>
      <c r="B309" s="307" t="s">
        <v>5581</v>
      </c>
      <c r="C309" s="308" t="s">
        <v>5582</v>
      </c>
      <c r="D309" s="8">
        <v>33.6153631</v>
      </c>
      <c r="E309" s="8">
        <v>73.0528385</v>
      </c>
    </row>
    <row r="310">
      <c r="A310" s="307" t="s">
        <v>4703</v>
      </c>
      <c r="B310" s="307" t="s">
        <v>5583</v>
      </c>
      <c r="C310" s="308" t="s">
        <v>5584</v>
      </c>
      <c r="D310" s="8">
        <v>33.5742801</v>
      </c>
      <c r="E310" s="8">
        <v>73.0401426</v>
      </c>
    </row>
    <row r="311">
      <c r="A311" s="307" t="s">
        <v>4704</v>
      </c>
      <c r="B311" s="307" t="s">
        <v>4302</v>
      </c>
      <c r="C311" s="308" t="s">
        <v>5585</v>
      </c>
      <c r="D311" s="8">
        <v>33.6114515</v>
      </c>
      <c r="E311" s="8">
        <v>73.0658015</v>
      </c>
    </row>
    <row r="312">
      <c r="A312" s="307" t="s">
        <v>4705</v>
      </c>
      <c r="B312" s="307" t="s">
        <v>4387</v>
      </c>
      <c r="C312" s="308" t="s">
        <v>5586</v>
      </c>
      <c r="D312" s="8">
        <v>33.6138963</v>
      </c>
      <c r="E312" s="8">
        <v>73.0548993</v>
      </c>
    </row>
    <row r="313">
      <c r="A313" s="307" t="s">
        <v>4706</v>
      </c>
      <c r="B313" s="307" t="s">
        <v>5587</v>
      </c>
      <c r="C313" s="308" t="s">
        <v>5588</v>
      </c>
      <c r="D313" s="8">
        <v>33.6049542</v>
      </c>
      <c r="E313" s="8">
        <v>73.1011314</v>
      </c>
    </row>
    <row r="314">
      <c r="A314" s="307" t="s">
        <v>4707</v>
      </c>
      <c r="B314" s="307" t="s">
        <v>5589</v>
      </c>
      <c r="C314" s="308" t="s">
        <v>5590</v>
      </c>
      <c r="D314" s="8">
        <v>33.6182966</v>
      </c>
      <c r="E314" s="8">
        <v>73.0565511</v>
      </c>
    </row>
    <row r="315">
      <c r="A315" s="307" t="s">
        <v>4708</v>
      </c>
      <c r="B315" s="307" t="s">
        <v>5591</v>
      </c>
      <c r="C315" s="308" t="s">
        <v>5592</v>
      </c>
      <c r="D315" s="8">
        <v>33.617316</v>
      </c>
      <c r="E315" s="8">
        <v>73.0622193</v>
      </c>
    </row>
    <row r="316">
      <c r="A316" s="307" t="s">
        <v>4709</v>
      </c>
      <c r="B316" s="307" t="s">
        <v>5593</v>
      </c>
      <c r="C316" s="308" t="s">
        <v>5594</v>
      </c>
      <c r="D316" s="8">
        <v>33.6141445</v>
      </c>
      <c r="E316" s="8">
        <v>73.0576834</v>
      </c>
    </row>
    <row r="317">
      <c r="A317" s="307" t="s">
        <v>4710</v>
      </c>
      <c r="B317" s="307" t="s">
        <v>5595</v>
      </c>
      <c r="C317" s="308" t="s">
        <v>5596</v>
      </c>
      <c r="D317" s="8">
        <v>33.6228339</v>
      </c>
      <c r="E317" s="8">
        <v>73.0551435</v>
      </c>
    </row>
    <row r="318">
      <c r="A318" s="307" t="s">
        <v>4711</v>
      </c>
      <c r="B318" s="307" t="s">
        <v>5597</v>
      </c>
      <c r="C318" s="308" t="s">
        <v>5598</v>
      </c>
      <c r="D318" s="8">
        <v>33.6059161</v>
      </c>
      <c r="E318" s="8">
        <v>73.0571634</v>
      </c>
    </row>
    <row r="319">
      <c r="A319" s="307" t="s">
        <v>4712</v>
      </c>
      <c r="B319" s="307" t="s">
        <v>5599</v>
      </c>
      <c r="C319" s="308" t="s">
        <v>5600</v>
      </c>
      <c r="D319" s="8">
        <v>33.5813044</v>
      </c>
      <c r="E319" s="8">
        <v>73.0285838</v>
      </c>
    </row>
    <row r="320">
      <c r="A320" s="307" t="s">
        <v>4713</v>
      </c>
      <c r="B320" s="307" t="s">
        <v>5601</v>
      </c>
      <c r="C320" s="308" t="s">
        <v>5602</v>
      </c>
      <c r="D320" s="8">
        <v>33.6206937</v>
      </c>
      <c r="E320" s="8">
        <v>73.0664336</v>
      </c>
    </row>
    <row r="321">
      <c r="A321" s="307" t="s">
        <v>4447</v>
      </c>
      <c r="B321" s="307" t="s">
        <v>5603</v>
      </c>
      <c r="C321" s="308" t="s">
        <v>5604</v>
      </c>
      <c r="D321" s="8">
        <v>33.5790168</v>
      </c>
      <c r="E321" s="8">
        <v>73.0856103</v>
      </c>
    </row>
    <row r="322">
      <c r="A322" s="307" t="s">
        <v>4715</v>
      </c>
      <c r="B322" s="307" t="s">
        <v>5605</v>
      </c>
      <c r="C322" s="308" t="s">
        <v>5606</v>
      </c>
      <c r="D322" s="8">
        <v>33.6180715</v>
      </c>
      <c r="E322" s="8">
        <v>73.0669</v>
      </c>
    </row>
    <row r="323">
      <c r="A323" s="307" t="s">
        <v>4716</v>
      </c>
      <c r="B323" s="307" t="s">
        <v>5607</v>
      </c>
      <c r="C323" s="308" t="s">
        <v>5608</v>
      </c>
      <c r="D323" s="8">
        <v>33.3789517</v>
      </c>
      <c r="E323" s="8">
        <v>73.5478217</v>
      </c>
    </row>
    <row r="324">
      <c r="A324" s="307" t="s">
        <v>4717</v>
      </c>
      <c r="B324" s="307" t="s">
        <v>4460</v>
      </c>
      <c r="C324" s="308" t="s">
        <v>5609</v>
      </c>
      <c r="D324" s="8">
        <v>33.6022424</v>
      </c>
      <c r="E324" s="8">
        <v>73.0535193</v>
      </c>
    </row>
    <row r="325">
      <c r="A325" s="307" t="s">
        <v>4718</v>
      </c>
      <c r="B325" s="307" t="s">
        <v>4392</v>
      </c>
      <c r="C325" s="308" t="s">
        <v>5610</v>
      </c>
      <c r="D325" s="8">
        <v>33.6071287</v>
      </c>
      <c r="E325" s="8">
        <v>73.049163</v>
      </c>
    </row>
    <row r="326">
      <c r="A326" s="307" t="s">
        <v>4719</v>
      </c>
      <c r="B326" s="307" t="s">
        <v>4437</v>
      </c>
      <c r="C326" s="308" t="s">
        <v>5611</v>
      </c>
      <c r="D326" s="8">
        <v>33.5778038</v>
      </c>
      <c r="E326" s="8">
        <v>73.0882561</v>
      </c>
    </row>
    <row r="327">
      <c r="A327" s="307" t="s">
        <v>4720</v>
      </c>
      <c r="B327" s="307" t="s">
        <v>5612</v>
      </c>
      <c r="C327" s="308" t="s">
        <v>5613</v>
      </c>
      <c r="D327" s="8">
        <v>33.378525</v>
      </c>
      <c r="E327" s="8">
        <v>73.3373617</v>
      </c>
    </row>
    <row r="328">
      <c r="A328" s="307" t="s">
        <v>4721</v>
      </c>
      <c r="B328" s="307" t="s">
        <v>5614</v>
      </c>
      <c r="C328" s="308" t="s">
        <v>5615</v>
      </c>
      <c r="D328" s="8">
        <v>33.9072445</v>
      </c>
      <c r="E328" s="8">
        <v>73.39384</v>
      </c>
    </row>
    <row r="329">
      <c r="A329" s="307" t="s">
        <v>5616</v>
      </c>
      <c r="B329" s="310"/>
      <c r="C329" s="321"/>
    </row>
    <row r="330">
      <c r="A330" s="307" t="s">
        <v>5617</v>
      </c>
      <c r="B330" s="310"/>
      <c r="C330" s="321"/>
    </row>
    <row r="331">
      <c r="A331" s="307" t="s">
        <v>5618</v>
      </c>
      <c r="B331" s="310"/>
      <c r="C331" s="321"/>
    </row>
    <row r="332">
      <c r="A332" s="307" t="s">
        <v>5619</v>
      </c>
      <c r="B332" s="310"/>
      <c r="C332" s="321"/>
    </row>
    <row r="333">
      <c r="A333" s="307" t="s">
        <v>5620</v>
      </c>
      <c r="B333" s="310"/>
      <c r="C333" s="321"/>
    </row>
    <row r="334">
      <c r="A334" s="307" t="s">
        <v>5621</v>
      </c>
      <c r="B334" s="310"/>
      <c r="C334" s="321"/>
    </row>
    <row r="335">
      <c r="A335" s="307" t="s">
        <v>5622</v>
      </c>
      <c r="B335" s="310"/>
      <c r="C335" s="321"/>
    </row>
    <row r="336">
      <c r="A336" s="307" t="s">
        <v>5623</v>
      </c>
      <c r="B336" s="310"/>
      <c r="C336" s="321"/>
    </row>
    <row r="337">
      <c r="A337" s="307" t="s">
        <v>5624</v>
      </c>
      <c r="B337" s="310"/>
      <c r="C337" s="321"/>
    </row>
    <row r="338">
      <c r="A338" s="307" t="s">
        <v>5625</v>
      </c>
      <c r="B338" s="310"/>
      <c r="C338" s="321"/>
    </row>
    <row r="339">
      <c r="A339" s="307" t="s">
        <v>5626</v>
      </c>
      <c r="B339" s="310"/>
      <c r="C339" s="321"/>
    </row>
    <row r="340">
      <c r="A340" s="307" t="s">
        <v>5627</v>
      </c>
      <c r="B340" s="310"/>
      <c r="C340" s="321"/>
    </row>
    <row r="341">
      <c r="A341" s="307" t="s">
        <v>5628</v>
      </c>
      <c r="B341" s="310"/>
      <c r="C341" s="321"/>
    </row>
    <row r="342">
      <c r="A342" s="307" t="s">
        <v>5629</v>
      </c>
      <c r="B342" s="310"/>
      <c r="C342" s="321"/>
    </row>
    <row r="343">
      <c r="A343" s="307" t="s">
        <v>5630</v>
      </c>
      <c r="B343" s="310"/>
      <c r="C343" s="321"/>
    </row>
    <row r="344">
      <c r="A344" s="307" t="s">
        <v>5631</v>
      </c>
      <c r="B344" s="310"/>
      <c r="C344" s="321"/>
    </row>
    <row r="345">
      <c r="A345" s="307" t="s">
        <v>5632</v>
      </c>
      <c r="B345" s="310"/>
      <c r="C345" s="321"/>
    </row>
    <row r="346">
      <c r="A346" s="307" t="s">
        <v>5633</v>
      </c>
      <c r="B346" s="310"/>
      <c r="C346" s="321"/>
    </row>
    <row r="347">
      <c r="A347" s="307" t="s">
        <v>5634</v>
      </c>
      <c r="B347" s="310"/>
      <c r="C347" s="321"/>
    </row>
    <row r="348">
      <c r="A348" s="307" t="s">
        <v>5635</v>
      </c>
      <c r="B348" s="310"/>
      <c r="C348" s="321"/>
    </row>
    <row r="349">
      <c r="A349" s="307" t="s">
        <v>5636</v>
      </c>
      <c r="B349" s="310"/>
      <c r="C349" s="321"/>
    </row>
    <row r="350">
      <c r="A350" s="307" t="s">
        <v>5637</v>
      </c>
      <c r="B350" s="310"/>
      <c r="C350" s="321"/>
    </row>
    <row r="351">
      <c r="A351" s="307" t="s">
        <v>5638</v>
      </c>
      <c r="B351" s="310"/>
      <c r="C351" s="321"/>
    </row>
    <row r="352">
      <c r="A352" s="307" t="s">
        <v>5639</v>
      </c>
      <c r="B352" s="310"/>
      <c r="C352" s="321"/>
    </row>
    <row r="353">
      <c r="A353" s="307" t="s">
        <v>5640</v>
      </c>
      <c r="B353" s="310"/>
      <c r="C353" s="321"/>
    </row>
    <row r="354">
      <c r="A354" s="307" t="s">
        <v>5641</v>
      </c>
      <c r="B354" s="310"/>
      <c r="C354" s="321"/>
    </row>
    <row r="355">
      <c r="A355" s="307" t="s">
        <v>5642</v>
      </c>
      <c r="B355" s="310"/>
      <c r="C355" s="321"/>
    </row>
    <row r="356">
      <c r="A356" s="307" t="s">
        <v>5643</v>
      </c>
      <c r="B356" s="310"/>
      <c r="C356" s="321"/>
    </row>
    <row r="357">
      <c r="A357" s="307" t="s">
        <v>5644</v>
      </c>
      <c r="B357" s="310"/>
      <c r="C357" s="321"/>
    </row>
    <row r="358">
      <c r="A358" s="307" t="s">
        <v>5645</v>
      </c>
      <c r="B358" s="310"/>
      <c r="C358" s="321"/>
    </row>
    <row r="359">
      <c r="A359" s="307" t="s">
        <v>5646</v>
      </c>
      <c r="B359" s="310"/>
      <c r="C359" s="321"/>
    </row>
    <row r="360">
      <c r="A360" s="307" t="s">
        <v>5647</v>
      </c>
      <c r="B360" s="310"/>
      <c r="C360" s="321"/>
    </row>
    <row r="361">
      <c r="A361" s="307" t="s">
        <v>5648</v>
      </c>
      <c r="B361" s="310"/>
      <c r="C361" s="321"/>
    </row>
    <row r="362">
      <c r="A362" s="307" t="s">
        <v>5649</v>
      </c>
      <c r="B362" s="310"/>
      <c r="C362" s="321"/>
    </row>
    <row r="363">
      <c r="A363" s="307" t="s">
        <v>5650</v>
      </c>
      <c r="B363" s="310"/>
      <c r="C363" s="321"/>
    </row>
    <row r="364">
      <c r="A364" s="307" t="s">
        <v>5651</v>
      </c>
      <c r="B364" s="310"/>
      <c r="C364" s="321"/>
    </row>
    <row r="365">
      <c r="A365" s="307" t="s">
        <v>5652</v>
      </c>
      <c r="B365" s="310"/>
      <c r="C365" s="321"/>
    </row>
    <row r="366">
      <c r="A366" s="307" t="s">
        <v>5653</v>
      </c>
      <c r="B366" s="310"/>
      <c r="C366" s="321"/>
    </row>
    <row r="367">
      <c r="A367" s="307" t="s">
        <v>5654</v>
      </c>
      <c r="B367" s="310"/>
      <c r="C367" s="321"/>
    </row>
    <row r="368">
      <c r="A368" s="307" t="s">
        <v>5655</v>
      </c>
      <c r="B368" s="310"/>
      <c r="C368" s="321"/>
    </row>
    <row r="369">
      <c r="A369" s="307" t="s">
        <v>5656</v>
      </c>
      <c r="B369" s="310"/>
      <c r="C369" s="321"/>
    </row>
    <row r="370">
      <c r="A370" s="307" t="s">
        <v>5657</v>
      </c>
      <c r="B370" s="310"/>
      <c r="C370" s="321"/>
    </row>
    <row r="371">
      <c r="A371" s="307" t="s">
        <v>5658</v>
      </c>
      <c r="B371" s="310"/>
      <c r="C371" s="321"/>
    </row>
    <row r="372">
      <c r="A372" s="307" t="s">
        <v>5659</v>
      </c>
      <c r="B372" s="310"/>
      <c r="C372" s="321"/>
    </row>
    <row r="373">
      <c r="A373" s="307" t="s">
        <v>5660</v>
      </c>
      <c r="B373" s="310"/>
      <c r="C373" s="321"/>
    </row>
    <row r="374">
      <c r="A374" s="307" t="s">
        <v>5661</v>
      </c>
      <c r="B374" s="310"/>
      <c r="C374" s="321"/>
    </row>
    <row r="375">
      <c r="A375" s="307" t="s">
        <v>5662</v>
      </c>
      <c r="B375" s="310"/>
      <c r="C375" s="321"/>
    </row>
    <row r="376">
      <c r="A376" s="307" t="s">
        <v>5663</v>
      </c>
      <c r="B376" s="310"/>
      <c r="C376" s="321"/>
    </row>
    <row r="377">
      <c r="A377" s="307" t="s">
        <v>5664</v>
      </c>
      <c r="B377" s="310"/>
      <c r="C377" s="321"/>
    </row>
    <row r="378">
      <c r="A378" s="307" t="s">
        <v>5665</v>
      </c>
      <c r="B378" s="310"/>
      <c r="C378" s="321"/>
    </row>
    <row r="379">
      <c r="A379" s="307" t="s">
        <v>5666</v>
      </c>
      <c r="B379" s="310"/>
      <c r="C379" s="321"/>
    </row>
    <row r="380">
      <c r="A380" s="307" t="s">
        <v>5667</v>
      </c>
      <c r="B380" s="310"/>
      <c r="C380" s="321"/>
    </row>
    <row r="381">
      <c r="A381" s="307" t="s">
        <v>5668</v>
      </c>
      <c r="B381" s="310"/>
      <c r="C381" s="321"/>
    </row>
    <row r="382">
      <c r="A382" s="307" t="s">
        <v>5669</v>
      </c>
      <c r="B382" s="310"/>
      <c r="C382" s="321"/>
    </row>
    <row r="383">
      <c r="A383" s="307" t="s">
        <v>5670</v>
      </c>
      <c r="B383" s="310"/>
      <c r="C383" s="321"/>
    </row>
    <row r="384">
      <c r="A384" s="307" t="s">
        <v>5671</v>
      </c>
      <c r="B384" s="310"/>
      <c r="C384" s="321"/>
    </row>
    <row r="385">
      <c r="A385" s="307" t="s">
        <v>5672</v>
      </c>
      <c r="B385" s="310"/>
      <c r="C385" s="321"/>
    </row>
    <row r="386">
      <c r="A386" s="307" t="s">
        <v>5673</v>
      </c>
      <c r="B386" s="310"/>
      <c r="C386" s="321"/>
    </row>
    <row r="387">
      <c r="A387" s="307" t="s">
        <v>5674</v>
      </c>
      <c r="B387" s="310"/>
      <c r="C387" s="321"/>
    </row>
    <row r="388">
      <c r="A388" s="307" t="s">
        <v>5675</v>
      </c>
      <c r="B388" s="310"/>
      <c r="C388" s="321"/>
    </row>
    <row r="389">
      <c r="A389" s="307" t="s">
        <v>5676</v>
      </c>
      <c r="B389" s="310"/>
      <c r="C389" s="321"/>
    </row>
    <row r="390">
      <c r="A390" s="307" t="s">
        <v>5677</v>
      </c>
      <c r="B390" s="310"/>
      <c r="C390" s="321"/>
    </row>
    <row r="391">
      <c r="A391" s="307" t="s">
        <v>5678</v>
      </c>
      <c r="B391" s="310"/>
      <c r="C391" s="321"/>
    </row>
    <row r="392">
      <c r="A392" s="307" t="s">
        <v>5679</v>
      </c>
      <c r="B392" s="310"/>
      <c r="C392" s="321"/>
    </row>
    <row r="393">
      <c r="A393" s="307" t="s">
        <v>5680</v>
      </c>
      <c r="B393" s="310"/>
      <c r="C393" s="321"/>
    </row>
    <row r="394">
      <c r="A394" s="307" t="s">
        <v>5681</v>
      </c>
      <c r="B394" s="310"/>
      <c r="C394" s="321"/>
    </row>
    <row r="395">
      <c r="A395" s="307" t="s">
        <v>5682</v>
      </c>
      <c r="B395" s="310"/>
      <c r="C395" s="321"/>
    </row>
    <row r="396">
      <c r="A396" s="307" t="s">
        <v>5683</v>
      </c>
      <c r="B396" s="310"/>
      <c r="C396" s="321"/>
    </row>
    <row r="397">
      <c r="A397" s="307" t="s">
        <v>5684</v>
      </c>
      <c r="B397" s="310"/>
      <c r="C397" s="321"/>
    </row>
    <row r="398">
      <c r="A398" s="307" t="s">
        <v>5685</v>
      </c>
      <c r="B398" s="310"/>
      <c r="C398" s="321"/>
    </row>
    <row r="399">
      <c r="A399" s="307" t="s">
        <v>5686</v>
      </c>
      <c r="B399" s="310"/>
      <c r="C399" s="321"/>
    </row>
    <row r="400">
      <c r="A400" s="307" t="s">
        <v>5687</v>
      </c>
      <c r="B400" s="310"/>
      <c r="C400" s="321"/>
    </row>
    <row r="401">
      <c r="A401" s="307" t="s">
        <v>5688</v>
      </c>
      <c r="B401" s="310"/>
      <c r="C401" s="321"/>
    </row>
    <row r="402">
      <c r="A402" s="307" t="s">
        <v>5689</v>
      </c>
      <c r="B402" s="310"/>
      <c r="C402" s="321"/>
    </row>
    <row r="403">
      <c r="A403" s="307" t="s">
        <v>5690</v>
      </c>
      <c r="B403" s="310"/>
      <c r="C403" s="321"/>
    </row>
    <row r="404">
      <c r="A404" s="307" t="s">
        <v>5691</v>
      </c>
      <c r="B404" s="310"/>
      <c r="C404" s="321"/>
    </row>
    <row r="405">
      <c r="A405" s="307" t="s">
        <v>5692</v>
      </c>
      <c r="B405" s="310"/>
      <c r="C405" s="321"/>
    </row>
    <row r="406">
      <c r="A406" s="307" t="s">
        <v>5693</v>
      </c>
      <c r="B406" s="310"/>
      <c r="C406" s="321"/>
    </row>
    <row r="407">
      <c r="A407" s="307" t="s">
        <v>5694</v>
      </c>
      <c r="B407" s="310"/>
      <c r="C407" s="321"/>
    </row>
    <row r="408">
      <c r="A408" s="307" t="s">
        <v>5695</v>
      </c>
      <c r="B408" s="310"/>
      <c r="C408" s="321"/>
    </row>
    <row r="409">
      <c r="A409" s="307" t="s">
        <v>5696</v>
      </c>
      <c r="B409" s="310"/>
      <c r="C409" s="321"/>
    </row>
    <row r="410">
      <c r="A410" s="307" t="s">
        <v>5697</v>
      </c>
      <c r="B410" s="310"/>
      <c r="C410" s="321"/>
    </row>
    <row r="411">
      <c r="A411" s="307" t="s">
        <v>5698</v>
      </c>
      <c r="B411" s="310"/>
      <c r="C411" s="321"/>
    </row>
    <row r="412">
      <c r="A412" s="307" t="s">
        <v>5699</v>
      </c>
      <c r="B412" s="310"/>
      <c r="C412" s="321"/>
    </row>
    <row r="413">
      <c r="A413" s="307" t="s">
        <v>5700</v>
      </c>
      <c r="B413" s="310"/>
      <c r="C413" s="321"/>
    </row>
    <row r="414">
      <c r="A414" s="307" t="s">
        <v>5701</v>
      </c>
      <c r="B414" s="310"/>
      <c r="C414" s="321"/>
    </row>
    <row r="415">
      <c r="A415" s="307" t="s">
        <v>5702</v>
      </c>
      <c r="B415" s="310"/>
      <c r="C415" s="321"/>
    </row>
    <row r="416">
      <c r="A416" s="307" t="s">
        <v>5703</v>
      </c>
      <c r="B416" s="310"/>
      <c r="C416" s="321"/>
    </row>
    <row r="417">
      <c r="A417" s="307" t="s">
        <v>5704</v>
      </c>
      <c r="B417" s="310"/>
      <c r="C417" s="321"/>
    </row>
    <row r="418">
      <c r="A418" s="307" t="s">
        <v>5705</v>
      </c>
      <c r="B418" s="310"/>
      <c r="C418" s="321"/>
    </row>
    <row r="419">
      <c r="A419" s="307" t="s">
        <v>5706</v>
      </c>
      <c r="B419" s="310"/>
      <c r="C419" s="321"/>
    </row>
    <row r="420">
      <c r="A420" s="307" t="s">
        <v>5707</v>
      </c>
      <c r="B420" s="310"/>
      <c r="C420" s="321"/>
    </row>
    <row r="421">
      <c r="A421" s="307" t="s">
        <v>5708</v>
      </c>
      <c r="B421" s="310"/>
      <c r="C421" s="321"/>
    </row>
    <row r="422">
      <c r="A422" s="307" t="s">
        <v>5709</v>
      </c>
      <c r="B422" s="310"/>
      <c r="C422" s="321"/>
    </row>
    <row r="423">
      <c r="A423" s="307" t="s">
        <v>5710</v>
      </c>
      <c r="B423" s="310"/>
      <c r="C423" s="321"/>
    </row>
    <row r="424">
      <c r="A424" s="307" t="s">
        <v>5711</v>
      </c>
      <c r="B424" s="310"/>
      <c r="C424" s="321"/>
    </row>
    <row r="425">
      <c r="A425" s="307" t="s">
        <v>5712</v>
      </c>
      <c r="B425" s="310"/>
      <c r="C425" s="321"/>
    </row>
    <row r="426">
      <c r="A426" s="307" t="s">
        <v>5713</v>
      </c>
      <c r="B426" s="310"/>
      <c r="C426" s="321"/>
    </row>
    <row r="427">
      <c r="A427" s="307" t="s">
        <v>5714</v>
      </c>
      <c r="B427" s="310"/>
      <c r="C427" s="321"/>
    </row>
    <row r="428">
      <c r="A428" s="307" t="s">
        <v>5715</v>
      </c>
      <c r="B428" s="310"/>
      <c r="C428" s="321"/>
    </row>
    <row r="429">
      <c r="A429" s="307" t="s">
        <v>5716</v>
      </c>
      <c r="B429" s="310"/>
      <c r="C429" s="321"/>
    </row>
    <row r="430">
      <c r="A430" s="307" t="s">
        <v>5717</v>
      </c>
      <c r="B430" s="310"/>
      <c r="C430" s="321"/>
    </row>
    <row r="431">
      <c r="A431" s="307" t="s">
        <v>5718</v>
      </c>
      <c r="B431" s="310"/>
      <c r="C431" s="321"/>
    </row>
    <row r="432">
      <c r="A432" s="307" t="s">
        <v>5719</v>
      </c>
      <c r="B432" s="310"/>
      <c r="C432" s="321"/>
    </row>
    <row r="433">
      <c r="A433" s="307" t="s">
        <v>5720</v>
      </c>
      <c r="B433" s="310"/>
      <c r="C433" s="321"/>
    </row>
    <row r="434">
      <c r="A434" s="307" t="s">
        <v>5721</v>
      </c>
      <c r="B434" s="310"/>
      <c r="C434" s="321"/>
    </row>
    <row r="435">
      <c r="A435" s="307" t="s">
        <v>5722</v>
      </c>
      <c r="B435" s="310"/>
      <c r="C435" s="321"/>
    </row>
    <row r="436">
      <c r="A436" s="307" t="s">
        <v>5723</v>
      </c>
      <c r="B436" s="310"/>
      <c r="C436" s="321"/>
    </row>
    <row r="437">
      <c r="A437" s="307" t="s">
        <v>5724</v>
      </c>
      <c r="B437" s="310"/>
      <c r="C437" s="321"/>
    </row>
    <row r="438">
      <c r="A438" s="307" t="s">
        <v>5725</v>
      </c>
      <c r="B438" s="310"/>
      <c r="C438" s="321"/>
    </row>
    <row r="439">
      <c r="A439" s="307" t="s">
        <v>5726</v>
      </c>
      <c r="B439" s="310"/>
      <c r="C439" s="321"/>
    </row>
    <row r="440">
      <c r="A440" s="307" t="s">
        <v>5727</v>
      </c>
      <c r="B440" s="310"/>
      <c r="C440" s="321"/>
    </row>
    <row r="441">
      <c r="A441" s="307" t="s">
        <v>5728</v>
      </c>
      <c r="B441" s="310"/>
      <c r="C441" s="321"/>
    </row>
    <row r="442">
      <c r="A442" s="307" t="s">
        <v>5729</v>
      </c>
      <c r="B442" s="310"/>
      <c r="C442" s="321"/>
    </row>
    <row r="443">
      <c r="A443" s="307" t="s">
        <v>5730</v>
      </c>
      <c r="B443" s="310"/>
      <c r="C443" s="321"/>
    </row>
    <row r="444">
      <c r="A444" s="307" t="s">
        <v>5731</v>
      </c>
      <c r="B444" s="310"/>
      <c r="C444" s="321"/>
    </row>
    <row r="445">
      <c r="A445" s="307" t="s">
        <v>5732</v>
      </c>
      <c r="B445" s="310"/>
      <c r="C445" s="321"/>
    </row>
    <row r="446">
      <c r="A446" s="307" t="s">
        <v>5733</v>
      </c>
      <c r="B446" s="310"/>
      <c r="C446" s="321"/>
    </row>
    <row r="447">
      <c r="A447" s="307" t="s">
        <v>5734</v>
      </c>
      <c r="B447" s="310"/>
      <c r="C447" s="321"/>
    </row>
    <row r="448">
      <c r="A448" s="307" t="s">
        <v>5735</v>
      </c>
      <c r="B448" s="310"/>
      <c r="C448" s="321"/>
    </row>
    <row r="449">
      <c r="A449" s="307" t="s">
        <v>5736</v>
      </c>
      <c r="B449" s="310"/>
      <c r="C449" s="321"/>
    </row>
    <row r="450">
      <c r="A450" s="307" t="s">
        <v>5737</v>
      </c>
      <c r="B450" s="310"/>
      <c r="C450" s="321"/>
    </row>
    <row r="451">
      <c r="A451" s="307" t="s">
        <v>5738</v>
      </c>
      <c r="B451" s="310"/>
      <c r="C451" s="321"/>
    </row>
    <row r="452">
      <c r="A452" s="307" t="s">
        <v>5739</v>
      </c>
      <c r="B452" s="310"/>
      <c r="C452" s="321"/>
    </row>
    <row r="453">
      <c r="A453" s="307" t="s">
        <v>5740</v>
      </c>
      <c r="B453" s="310"/>
      <c r="C453" s="321"/>
    </row>
    <row r="454">
      <c r="A454" s="307" t="s">
        <v>5741</v>
      </c>
      <c r="B454" s="310"/>
      <c r="C454" s="321"/>
    </row>
    <row r="455">
      <c r="A455" s="307" t="s">
        <v>5742</v>
      </c>
      <c r="B455" s="310"/>
      <c r="C455" s="321"/>
    </row>
    <row r="456">
      <c r="A456" s="307" t="s">
        <v>5743</v>
      </c>
      <c r="B456" s="310"/>
      <c r="C456" s="321"/>
    </row>
    <row r="457">
      <c r="A457" s="307" t="s">
        <v>5744</v>
      </c>
      <c r="B457" s="310"/>
      <c r="C457" s="321"/>
    </row>
    <row r="458">
      <c r="A458" s="307" t="s">
        <v>5745</v>
      </c>
      <c r="B458" s="310"/>
      <c r="C458" s="321"/>
    </row>
    <row r="459">
      <c r="A459" s="307" t="s">
        <v>5746</v>
      </c>
      <c r="B459" s="310"/>
      <c r="C459" s="321"/>
    </row>
    <row r="460">
      <c r="A460" s="307" t="s">
        <v>5747</v>
      </c>
      <c r="B460" s="310"/>
      <c r="C460" s="321"/>
    </row>
    <row r="461">
      <c r="A461" s="307" t="s">
        <v>5748</v>
      </c>
      <c r="B461" s="310"/>
      <c r="C461" s="321"/>
    </row>
    <row r="462">
      <c r="A462" s="307" t="s">
        <v>5749</v>
      </c>
      <c r="B462" s="310"/>
      <c r="C462" s="321"/>
    </row>
    <row r="463">
      <c r="A463" s="307" t="s">
        <v>5750</v>
      </c>
      <c r="B463" s="310"/>
      <c r="C463" s="321"/>
    </row>
    <row r="464">
      <c r="A464" s="307" t="s">
        <v>5751</v>
      </c>
      <c r="B464" s="310"/>
      <c r="C464" s="321"/>
    </row>
    <row r="465">
      <c r="A465" s="307" t="s">
        <v>5752</v>
      </c>
      <c r="B465" s="310"/>
      <c r="C465" s="321"/>
    </row>
    <row r="466">
      <c r="A466" s="307" t="s">
        <v>5753</v>
      </c>
      <c r="B466" s="310"/>
      <c r="C466" s="321"/>
    </row>
    <row r="467">
      <c r="A467" s="307" t="s">
        <v>5754</v>
      </c>
      <c r="B467" s="310"/>
      <c r="C467" s="321"/>
    </row>
    <row r="468">
      <c r="A468" s="307" t="s">
        <v>5755</v>
      </c>
      <c r="B468" s="310"/>
      <c r="C468" s="321"/>
    </row>
    <row r="469">
      <c r="A469" s="307" t="s">
        <v>5756</v>
      </c>
      <c r="B469" s="310"/>
      <c r="C469" s="321"/>
    </row>
    <row r="470">
      <c r="A470" s="307" t="s">
        <v>5757</v>
      </c>
      <c r="B470" s="310"/>
      <c r="C470" s="321"/>
    </row>
    <row r="471">
      <c r="A471" s="307" t="s">
        <v>5758</v>
      </c>
      <c r="B471" s="310"/>
      <c r="C471" s="321"/>
    </row>
    <row r="472">
      <c r="A472" s="307" t="s">
        <v>5759</v>
      </c>
      <c r="B472" s="310"/>
      <c r="C472" s="321"/>
    </row>
    <row r="473">
      <c r="A473" s="307" t="s">
        <v>5760</v>
      </c>
      <c r="B473" s="310"/>
      <c r="C473" s="321"/>
    </row>
    <row r="474">
      <c r="A474" s="307" t="s">
        <v>5761</v>
      </c>
      <c r="B474" s="310"/>
      <c r="C474" s="321"/>
    </row>
    <row r="475">
      <c r="A475" s="307" t="s">
        <v>5762</v>
      </c>
      <c r="B475" s="310"/>
      <c r="C475" s="321"/>
    </row>
    <row r="476">
      <c r="A476" s="307" t="s">
        <v>5763</v>
      </c>
      <c r="B476" s="310"/>
      <c r="C476" s="321"/>
    </row>
    <row r="477">
      <c r="A477" s="307" t="s">
        <v>5764</v>
      </c>
      <c r="B477" s="310"/>
      <c r="C477" s="321"/>
    </row>
    <row r="478">
      <c r="A478" s="307" t="s">
        <v>5765</v>
      </c>
      <c r="B478" s="310"/>
      <c r="C478" s="321"/>
    </row>
    <row r="479">
      <c r="A479" s="307" t="s">
        <v>5766</v>
      </c>
      <c r="B479" s="310"/>
      <c r="C479" s="321"/>
    </row>
    <row r="480">
      <c r="A480" s="307" t="s">
        <v>5767</v>
      </c>
      <c r="B480" s="310"/>
      <c r="C480" s="321"/>
    </row>
    <row r="481">
      <c r="A481" s="307" t="s">
        <v>5768</v>
      </c>
      <c r="B481" s="310"/>
      <c r="C481" s="321"/>
    </row>
    <row r="482">
      <c r="A482" s="307" t="s">
        <v>5769</v>
      </c>
      <c r="B482" s="310"/>
      <c r="C482" s="321"/>
    </row>
    <row r="483">
      <c r="A483" s="307" t="s">
        <v>5770</v>
      </c>
      <c r="B483" s="310"/>
      <c r="C483" s="321"/>
    </row>
    <row r="484">
      <c r="A484" s="307" t="s">
        <v>5771</v>
      </c>
      <c r="B484" s="310"/>
      <c r="C484" s="321"/>
    </row>
    <row r="485">
      <c r="A485" s="307" t="s">
        <v>5772</v>
      </c>
      <c r="B485" s="310"/>
      <c r="C485" s="321"/>
    </row>
    <row r="486">
      <c r="A486" s="307" t="s">
        <v>5773</v>
      </c>
      <c r="B486" s="310"/>
      <c r="C486" s="321"/>
    </row>
    <row r="487">
      <c r="A487" s="307" t="s">
        <v>5774</v>
      </c>
      <c r="B487" s="310"/>
      <c r="C487" s="321"/>
    </row>
    <row r="488">
      <c r="A488" s="307" t="s">
        <v>5775</v>
      </c>
      <c r="B488" s="310"/>
      <c r="C488" s="321"/>
    </row>
    <row r="489">
      <c r="A489" s="307" t="s">
        <v>5776</v>
      </c>
      <c r="B489" s="310"/>
      <c r="C489" s="321"/>
    </row>
    <row r="490">
      <c r="A490" s="307" t="s">
        <v>5777</v>
      </c>
      <c r="B490" s="310"/>
      <c r="C490" s="321"/>
    </row>
    <row r="491">
      <c r="A491" s="307" t="s">
        <v>5778</v>
      </c>
      <c r="B491" s="310"/>
      <c r="C491" s="321"/>
    </row>
    <row r="492">
      <c r="A492" s="307" t="s">
        <v>5779</v>
      </c>
      <c r="B492" s="310"/>
      <c r="C492" s="321"/>
    </row>
    <row r="493">
      <c r="A493" s="307" t="s">
        <v>5780</v>
      </c>
      <c r="B493" s="310"/>
      <c r="C493" s="321"/>
    </row>
    <row r="494">
      <c r="A494" s="307" t="s">
        <v>5781</v>
      </c>
      <c r="B494" s="310"/>
      <c r="C494" s="321"/>
    </row>
    <row r="495">
      <c r="A495" s="307" t="s">
        <v>5782</v>
      </c>
      <c r="B495" s="310"/>
      <c r="C495" s="321"/>
    </row>
    <row r="496">
      <c r="A496" s="307" t="s">
        <v>5783</v>
      </c>
      <c r="B496" s="310"/>
      <c r="C496" s="321"/>
    </row>
    <row r="497">
      <c r="A497" s="307" t="s">
        <v>5784</v>
      </c>
      <c r="B497" s="310"/>
      <c r="C497" s="321"/>
    </row>
    <row r="498">
      <c r="A498" s="307" t="s">
        <v>5785</v>
      </c>
      <c r="B498" s="310"/>
      <c r="C498" s="321"/>
    </row>
    <row r="499">
      <c r="A499" s="307" t="s">
        <v>5786</v>
      </c>
      <c r="B499" s="310"/>
      <c r="C499" s="321"/>
    </row>
    <row r="500">
      <c r="A500" s="307" t="s">
        <v>5787</v>
      </c>
      <c r="B500" s="310"/>
      <c r="C500" s="321"/>
    </row>
    <row r="501">
      <c r="A501" s="307" t="s">
        <v>5788</v>
      </c>
      <c r="B501" s="310"/>
      <c r="C501" s="321"/>
    </row>
    <row r="502">
      <c r="A502" s="307" t="s">
        <v>5789</v>
      </c>
      <c r="B502" s="310"/>
      <c r="C502" s="321"/>
    </row>
    <row r="503">
      <c r="A503" s="307" t="s">
        <v>5790</v>
      </c>
      <c r="B503" s="310"/>
      <c r="C503" s="321"/>
    </row>
    <row r="504">
      <c r="A504" s="307" t="s">
        <v>5791</v>
      </c>
      <c r="B504" s="310"/>
      <c r="C504" s="321"/>
    </row>
    <row r="505">
      <c r="A505" s="307" t="s">
        <v>5792</v>
      </c>
      <c r="B505" s="310"/>
      <c r="C505" s="321"/>
    </row>
    <row r="506">
      <c r="A506" s="307" t="s">
        <v>5793</v>
      </c>
      <c r="B506" s="310"/>
      <c r="C506" s="321"/>
    </row>
    <row r="507">
      <c r="A507" s="307" t="s">
        <v>5794</v>
      </c>
      <c r="B507" s="310"/>
      <c r="C507" s="321"/>
    </row>
    <row r="508">
      <c r="A508" s="307" t="s">
        <v>5795</v>
      </c>
      <c r="B508" s="310"/>
      <c r="C508" s="321"/>
    </row>
    <row r="509">
      <c r="A509" s="307" t="s">
        <v>5796</v>
      </c>
      <c r="B509" s="310"/>
      <c r="C509" s="321"/>
    </row>
    <row r="510">
      <c r="C510" s="238"/>
    </row>
    <row r="511">
      <c r="C511" s="238"/>
    </row>
    <row r="512">
      <c r="C512" s="238"/>
    </row>
    <row r="513">
      <c r="C513" s="238"/>
    </row>
    <row r="514">
      <c r="C514" s="238"/>
    </row>
    <row r="515">
      <c r="C515" s="238"/>
    </row>
    <row r="516">
      <c r="C516" s="238"/>
    </row>
    <row r="517">
      <c r="C517" s="238"/>
    </row>
    <row r="518">
      <c r="C518" s="238"/>
    </row>
    <row r="519">
      <c r="C519" s="238"/>
    </row>
    <row r="520">
      <c r="C520" s="238"/>
    </row>
    <row r="521">
      <c r="C521" s="238"/>
    </row>
    <row r="522">
      <c r="C522" s="238"/>
    </row>
    <row r="523">
      <c r="C523" s="238"/>
    </row>
    <row r="524">
      <c r="C524" s="238"/>
    </row>
    <row r="525">
      <c r="C525" s="238"/>
    </row>
    <row r="526">
      <c r="C526" s="238"/>
    </row>
    <row r="527">
      <c r="C527" s="238"/>
    </row>
    <row r="528">
      <c r="C528" s="238"/>
    </row>
    <row r="529">
      <c r="C529" s="238"/>
    </row>
    <row r="530">
      <c r="C530" s="238"/>
    </row>
    <row r="531">
      <c r="C531" s="238"/>
    </row>
    <row r="532">
      <c r="C532" s="238"/>
    </row>
    <row r="533">
      <c r="C533" s="238"/>
    </row>
    <row r="534">
      <c r="C534" s="238"/>
    </row>
    <row r="535">
      <c r="C535" s="238"/>
    </row>
    <row r="536">
      <c r="C536" s="238"/>
    </row>
    <row r="537">
      <c r="C537" s="238"/>
    </row>
    <row r="538">
      <c r="C538" s="238"/>
    </row>
    <row r="539">
      <c r="C539" s="238"/>
    </row>
    <row r="540">
      <c r="C540" s="238"/>
    </row>
    <row r="541">
      <c r="C541" s="238"/>
    </row>
    <row r="542">
      <c r="C542" s="238"/>
    </row>
    <row r="543">
      <c r="C543" s="238"/>
    </row>
    <row r="544">
      <c r="C544" s="238"/>
    </row>
    <row r="545">
      <c r="C545" s="238"/>
    </row>
    <row r="546">
      <c r="C546" s="238"/>
    </row>
    <row r="547">
      <c r="C547" s="238"/>
    </row>
    <row r="548">
      <c r="C548" s="238"/>
    </row>
    <row r="549">
      <c r="C549" s="238"/>
    </row>
    <row r="550">
      <c r="C550" s="238"/>
    </row>
    <row r="551">
      <c r="C551" s="238"/>
    </row>
    <row r="552">
      <c r="C552" s="238"/>
    </row>
    <row r="553">
      <c r="C553" s="238"/>
    </row>
    <row r="554">
      <c r="C554" s="238"/>
    </row>
    <row r="555">
      <c r="C555" s="238"/>
    </row>
    <row r="556">
      <c r="C556" s="238"/>
    </row>
    <row r="557">
      <c r="C557" s="238"/>
    </row>
    <row r="558">
      <c r="C558" s="238"/>
    </row>
    <row r="559">
      <c r="C559" s="238"/>
    </row>
    <row r="560">
      <c r="C560" s="238"/>
    </row>
    <row r="561">
      <c r="C561" s="238"/>
    </row>
    <row r="562">
      <c r="C562" s="238"/>
    </row>
    <row r="563">
      <c r="C563" s="238"/>
    </row>
    <row r="564">
      <c r="C564" s="238"/>
    </row>
    <row r="565">
      <c r="C565" s="238"/>
    </row>
    <row r="566">
      <c r="C566" s="238"/>
    </row>
    <row r="567">
      <c r="C567" s="238"/>
    </row>
    <row r="568">
      <c r="C568" s="238"/>
    </row>
    <row r="569">
      <c r="C569" s="238"/>
    </row>
    <row r="570">
      <c r="C570" s="238"/>
    </row>
    <row r="571">
      <c r="C571" s="238"/>
    </row>
    <row r="572">
      <c r="C572" s="238"/>
    </row>
    <row r="573">
      <c r="C573" s="238"/>
    </row>
    <row r="574">
      <c r="C574" s="238"/>
    </row>
    <row r="575">
      <c r="C575" s="238"/>
    </row>
    <row r="576">
      <c r="C576" s="238"/>
    </row>
    <row r="577">
      <c r="C577" s="238"/>
    </row>
    <row r="578">
      <c r="C578" s="238"/>
    </row>
    <row r="579">
      <c r="C579" s="238"/>
    </row>
    <row r="580">
      <c r="C580" s="238"/>
    </row>
    <row r="581">
      <c r="C581" s="238"/>
    </row>
    <row r="582">
      <c r="C582" s="238"/>
    </row>
    <row r="583">
      <c r="C583" s="238"/>
    </row>
    <row r="584">
      <c r="C584" s="238"/>
    </row>
    <row r="585">
      <c r="C585" s="238"/>
    </row>
    <row r="586">
      <c r="C586" s="238"/>
    </row>
    <row r="587">
      <c r="C587" s="238"/>
    </row>
    <row r="588">
      <c r="C588" s="238"/>
    </row>
    <row r="589">
      <c r="C589" s="238"/>
    </row>
    <row r="590">
      <c r="C590" s="238"/>
    </row>
    <row r="591">
      <c r="C591" s="238"/>
    </row>
    <row r="592">
      <c r="C592" s="238"/>
    </row>
    <row r="593">
      <c r="C593" s="238"/>
    </row>
    <row r="594">
      <c r="C594" s="238"/>
    </row>
    <row r="595">
      <c r="C595" s="238"/>
    </row>
    <row r="596">
      <c r="C596" s="238"/>
    </row>
    <row r="597">
      <c r="C597" s="238"/>
    </row>
    <row r="598">
      <c r="C598" s="238"/>
    </row>
    <row r="599">
      <c r="C599" s="238"/>
    </row>
    <row r="600">
      <c r="C600" s="238"/>
    </row>
    <row r="601">
      <c r="C601" s="238"/>
    </row>
    <row r="602">
      <c r="C602" s="238"/>
    </row>
    <row r="603">
      <c r="C603" s="238"/>
    </row>
    <row r="604">
      <c r="C604" s="238"/>
    </row>
    <row r="605">
      <c r="C605" s="238"/>
    </row>
    <row r="606">
      <c r="C606" s="238"/>
    </row>
    <row r="607">
      <c r="C607" s="238"/>
    </row>
    <row r="608">
      <c r="C608" s="238"/>
    </row>
    <row r="609">
      <c r="C609" s="238"/>
    </row>
    <row r="610">
      <c r="C610" s="238"/>
    </row>
    <row r="611">
      <c r="C611" s="238"/>
    </row>
    <row r="612">
      <c r="C612" s="238"/>
    </row>
    <row r="613">
      <c r="C613" s="238"/>
    </row>
    <row r="614">
      <c r="C614" s="238"/>
    </row>
    <row r="615">
      <c r="C615" s="238"/>
    </row>
    <row r="616">
      <c r="C616" s="238"/>
    </row>
    <row r="617">
      <c r="C617" s="238"/>
    </row>
    <row r="618">
      <c r="C618" s="238"/>
    </row>
    <row r="619">
      <c r="C619" s="238"/>
    </row>
    <row r="620">
      <c r="C620" s="238"/>
    </row>
    <row r="621">
      <c r="C621" s="238"/>
    </row>
    <row r="622">
      <c r="C622" s="238"/>
    </row>
    <row r="623">
      <c r="C623" s="238"/>
    </row>
    <row r="624">
      <c r="C624" s="238"/>
    </row>
    <row r="625">
      <c r="C625" s="238"/>
    </row>
    <row r="626">
      <c r="C626" s="238"/>
    </row>
    <row r="627">
      <c r="C627" s="238"/>
    </row>
    <row r="628">
      <c r="C628" s="238"/>
    </row>
    <row r="629">
      <c r="C629" s="238"/>
    </row>
    <row r="630">
      <c r="C630" s="238"/>
    </row>
    <row r="631">
      <c r="C631" s="238"/>
    </row>
    <row r="632">
      <c r="C632" s="238"/>
    </row>
    <row r="633">
      <c r="C633" s="238"/>
    </row>
    <row r="634">
      <c r="C634" s="238"/>
    </row>
    <row r="635">
      <c r="C635" s="238"/>
    </row>
    <row r="636">
      <c r="C636" s="238"/>
    </row>
    <row r="637">
      <c r="C637" s="238"/>
    </row>
    <row r="638">
      <c r="C638" s="238"/>
    </row>
    <row r="639">
      <c r="C639" s="238"/>
    </row>
    <row r="640">
      <c r="C640" s="238"/>
    </row>
    <row r="641">
      <c r="C641" s="238"/>
    </row>
    <row r="642">
      <c r="C642" s="238"/>
    </row>
    <row r="643">
      <c r="C643" s="238"/>
    </row>
    <row r="644">
      <c r="C644" s="238"/>
    </row>
    <row r="645">
      <c r="C645" s="238"/>
    </row>
    <row r="646">
      <c r="C646" s="238"/>
    </row>
    <row r="647">
      <c r="C647" s="238"/>
    </row>
    <row r="648">
      <c r="C648" s="238"/>
    </row>
    <row r="649">
      <c r="C649" s="238"/>
    </row>
    <row r="650">
      <c r="C650" s="238"/>
    </row>
    <row r="651">
      <c r="C651" s="238"/>
    </row>
    <row r="652">
      <c r="C652" s="238"/>
    </row>
    <row r="653">
      <c r="C653" s="238"/>
    </row>
    <row r="654">
      <c r="C654" s="238"/>
    </row>
    <row r="655">
      <c r="C655" s="238"/>
    </row>
    <row r="656">
      <c r="C656" s="238"/>
    </row>
    <row r="657">
      <c r="C657" s="238"/>
    </row>
    <row r="658">
      <c r="C658" s="238"/>
    </row>
    <row r="659">
      <c r="C659" s="238"/>
    </row>
    <row r="660">
      <c r="C660" s="238"/>
    </row>
    <row r="661">
      <c r="C661" s="238"/>
    </row>
    <row r="662">
      <c r="C662" s="238"/>
    </row>
    <row r="663">
      <c r="C663" s="238"/>
    </row>
    <row r="664">
      <c r="C664" s="238"/>
    </row>
    <row r="665">
      <c r="C665" s="238"/>
    </row>
    <row r="666">
      <c r="C666" s="238"/>
    </row>
    <row r="667">
      <c r="C667" s="238"/>
    </row>
    <row r="668">
      <c r="C668" s="238"/>
    </row>
    <row r="669">
      <c r="C669" s="238"/>
    </row>
    <row r="670">
      <c r="C670" s="238"/>
    </row>
    <row r="671">
      <c r="C671" s="238"/>
    </row>
    <row r="672">
      <c r="C672" s="238"/>
    </row>
    <row r="673">
      <c r="C673" s="238"/>
    </row>
    <row r="674">
      <c r="C674" s="238"/>
    </row>
    <row r="675">
      <c r="C675" s="238"/>
    </row>
    <row r="676">
      <c r="C676" s="238"/>
    </row>
    <row r="677">
      <c r="C677" s="238"/>
    </row>
    <row r="678">
      <c r="C678" s="238"/>
    </row>
    <row r="679">
      <c r="C679" s="238"/>
    </row>
    <row r="680">
      <c r="C680" s="238"/>
    </row>
    <row r="681">
      <c r="C681" s="238"/>
    </row>
    <row r="682">
      <c r="C682" s="238"/>
    </row>
    <row r="683">
      <c r="C683" s="238"/>
    </row>
    <row r="684">
      <c r="C684" s="238"/>
    </row>
    <row r="685">
      <c r="C685" s="238"/>
    </row>
    <row r="686">
      <c r="C686" s="238"/>
    </row>
    <row r="687">
      <c r="C687" s="238"/>
    </row>
    <row r="688">
      <c r="C688" s="238"/>
    </row>
    <row r="689">
      <c r="C689" s="238"/>
    </row>
    <row r="690">
      <c r="C690" s="238"/>
    </row>
    <row r="691">
      <c r="C691" s="238"/>
    </row>
    <row r="692">
      <c r="C692" s="238"/>
    </row>
    <row r="693">
      <c r="C693" s="238"/>
    </row>
    <row r="694">
      <c r="C694" s="238"/>
    </row>
    <row r="695">
      <c r="C695" s="238"/>
    </row>
    <row r="696">
      <c r="C696" s="238"/>
    </row>
    <row r="697">
      <c r="C697" s="238"/>
    </row>
    <row r="698">
      <c r="C698" s="238"/>
    </row>
    <row r="699">
      <c r="C699" s="238"/>
    </row>
    <row r="700">
      <c r="C700" s="238"/>
    </row>
    <row r="701">
      <c r="C701" s="238"/>
    </row>
    <row r="702">
      <c r="C702" s="238"/>
    </row>
    <row r="703">
      <c r="C703" s="238"/>
    </row>
    <row r="704">
      <c r="C704" s="238"/>
    </row>
    <row r="705">
      <c r="C705" s="238"/>
    </row>
    <row r="706">
      <c r="C706" s="238"/>
    </row>
    <row r="707">
      <c r="C707" s="238"/>
    </row>
    <row r="708">
      <c r="C708" s="238"/>
    </row>
    <row r="709">
      <c r="C709" s="238"/>
    </row>
    <row r="710">
      <c r="C710" s="238"/>
    </row>
    <row r="711">
      <c r="C711" s="238"/>
    </row>
    <row r="712">
      <c r="C712" s="238"/>
    </row>
    <row r="713">
      <c r="C713" s="238"/>
    </row>
    <row r="714">
      <c r="C714" s="238"/>
    </row>
    <row r="715">
      <c r="C715" s="238"/>
    </row>
    <row r="716">
      <c r="C716" s="238"/>
    </row>
    <row r="717">
      <c r="C717" s="238"/>
    </row>
    <row r="718">
      <c r="C718" s="238"/>
    </row>
    <row r="719">
      <c r="C719" s="238"/>
    </row>
    <row r="720">
      <c r="C720" s="238"/>
    </row>
    <row r="721">
      <c r="C721" s="238"/>
    </row>
    <row r="722">
      <c r="C722" s="238"/>
    </row>
    <row r="723">
      <c r="C723" s="238"/>
    </row>
    <row r="724">
      <c r="C724" s="238"/>
    </row>
    <row r="725">
      <c r="C725" s="238"/>
    </row>
    <row r="726">
      <c r="C726" s="238"/>
    </row>
    <row r="727">
      <c r="C727" s="238"/>
    </row>
    <row r="728">
      <c r="C728" s="238"/>
    </row>
    <row r="729">
      <c r="C729" s="238"/>
    </row>
    <row r="730">
      <c r="C730" s="238"/>
    </row>
    <row r="731">
      <c r="C731" s="238"/>
    </row>
    <row r="732">
      <c r="C732" s="238"/>
    </row>
    <row r="733">
      <c r="C733" s="238"/>
    </row>
    <row r="734">
      <c r="C734" s="238"/>
    </row>
    <row r="735">
      <c r="C735" s="238"/>
    </row>
    <row r="736">
      <c r="C736" s="238"/>
    </row>
    <row r="737">
      <c r="C737" s="238"/>
    </row>
    <row r="738">
      <c r="C738" s="238"/>
    </row>
    <row r="739">
      <c r="C739" s="238"/>
    </row>
    <row r="740">
      <c r="C740" s="238"/>
    </row>
    <row r="741">
      <c r="C741" s="238"/>
    </row>
    <row r="742">
      <c r="C742" s="238"/>
    </row>
    <row r="743">
      <c r="C743" s="238"/>
    </row>
    <row r="744">
      <c r="C744" s="238"/>
    </row>
    <row r="745">
      <c r="C745" s="238"/>
    </row>
    <row r="746">
      <c r="C746" s="238"/>
    </row>
    <row r="747">
      <c r="C747" s="238"/>
    </row>
    <row r="748">
      <c r="C748" s="238"/>
    </row>
    <row r="749">
      <c r="C749" s="238"/>
    </row>
    <row r="750">
      <c r="C750" s="238"/>
    </row>
    <row r="751">
      <c r="C751" s="238"/>
    </row>
    <row r="752">
      <c r="C752" s="238"/>
    </row>
    <row r="753">
      <c r="C753" s="238"/>
    </row>
    <row r="754">
      <c r="C754" s="238"/>
    </row>
    <row r="755">
      <c r="C755" s="238"/>
    </row>
    <row r="756">
      <c r="C756" s="238"/>
    </row>
    <row r="757">
      <c r="C757" s="238"/>
    </row>
    <row r="758">
      <c r="C758" s="238"/>
    </row>
    <row r="759">
      <c r="C759" s="238"/>
    </row>
    <row r="760">
      <c r="C760" s="238"/>
    </row>
    <row r="761">
      <c r="C761" s="238"/>
    </row>
    <row r="762">
      <c r="C762" s="238"/>
    </row>
    <row r="763">
      <c r="C763" s="238"/>
    </row>
    <row r="764">
      <c r="C764" s="238"/>
    </row>
    <row r="765">
      <c r="C765" s="238"/>
    </row>
    <row r="766">
      <c r="C766" s="238"/>
    </row>
    <row r="767">
      <c r="C767" s="238"/>
    </row>
    <row r="768">
      <c r="C768" s="238"/>
    </row>
    <row r="769">
      <c r="C769" s="238"/>
    </row>
    <row r="770">
      <c r="C770" s="238"/>
    </row>
    <row r="771">
      <c r="C771" s="238"/>
    </row>
    <row r="772">
      <c r="C772" s="238"/>
    </row>
    <row r="773">
      <c r="C773" s="238"/>
    </row>
    <row r="774">
      <c r="C774" s="238"/>
    </row>
    <row r="775">
      <c r="C775" s="238"/>
    </row>
    <row r="776">
      <c r="C776" s="238"/>
    </row>
    <row r="777">
      <c r="C777" s="238"/>
    </row>
    <row r="778">
      <c r="C778" s="238"/>
    </row>
    <row r="779">
      <c r="C779" s="238"/>
    </row>
    <row r="780">
      <c r="C780" s="238"/>
    </row>
    <row r="781">
      <c r="C781" s="238"/>
    </row>
    <row r="782">
      <c r="C782" s="238"/>
    </row>
    <row r="783">
      <c r="C783" s="238"/>
    </row>
    <row r="784">
      <c r="C784" s="238"/>
    </row>
    <row r="785">
      <c r="C785" s="238"/>
    </row>
    <row r="786">
      <c r="C786" s="238"/>
    </row>
    <row r="787">
      <c r="C787" s="238"/>
    </row>
    <row r="788">
      <c r="C788" s="238"/>
    </row>
    <row r="789">
      <c r="C789" s="238"/>
    </row>
    <row r="790">
      <c r="C790" s="238"/>
    </row>
    <row r="791">
      <c r="C791" s="238"/>
    </row>
    <row r="792">
      <c r="C792" s="238"/>
    </row>
    <row r="793">
      <c r="C793" s="238"/>
    </row>
    <row r="794">
      <c r="C794" s="238"/>
    </row>
    <row r="795">
      <c r="C795" s="238"/>
    </row>
    <row r="796">
      <c r="C796" s="238"/>
    </row>
    <row r="797">
      <c r="C797" s="238"/>
    </row>
    <row r="798">
      <c r="C798" s="238"/>
    </row>
    <row r="799">
      <c r="C799" s="238"/>
    </row>
    <row r="800">
      <c r="C800" s="238"/>
    </row>
    <row r="801">
      <c r="C801" s="238"/>
    </row>
    <row r="802">
      <c r="C802" s="238"/>
    </row>
    <row r="803">
      <c r="C803" s="238"/>
    </row>
    <row r="804">
      <c r="C804" s="238"/>
    </row>
    <row r="805">
      <c r="C805" s="238"/>
    </row>
    <row r="806">
      <c r="C806" s="238"/>
    </row>
    <row r="807">
      <c r="C807" s="238"/>
    </row>
    <row r="808">
      <c r="C808" s="238"/>
    </row>
    <row r="809">
      <c r="C809" s="238"/>
    </row>
    <row r="810">
      <c r="C810" s="238"/>
    </row>
    <row r="811">
      <c r="C811" s="238"/>
    </row>
    <row r="812">
      <c r="C812" s="238"/>
    </row>
    <row r="813">
      <c r="C813" s="238"/>
    </row>
    <row r="814">
      <c r="C814" s="238"/>
    </row>
    <row r="815">
      <c r="C815" s="238"/>
    </row>
    <row r="816">
      <c r="C816" s="238"/>
    </row>
    <row r="817">
      <c r="C817" s="238"/>
    </row>
    <row r="818">
      <c r="C818" s="238"/>
    </row>
    <row r="819">
      <c r="C819" s="238"/>
    </row>
    <row r="820">
      <c r="C820" s="238"/>
    </row>
    <row r="821">
      <c r="C821" s="238"/>
    </row>
    <row r="822">
      <c r="C822" s="238"/>
    </row>
    <row r="823">
      <c r="C823" s="238"/>
    </row>
    <row r="824">
      <c r="C824" s="238"/>
    </row>
    <row r="825">
      <c r="C825" s="238"/>
    </row>
    <row r="826">
      <c r="C826" s="238"/>
    </row>
    <row r="827">
      <c r="C827" s="238"/>
    </row>
    <row r="828">
      <c r="C828" s="238"/>
    </row>
    <row r="829">
      <c r="C829" s="238"/>
    </row>
    <row r="830">
      <c r="C830" s="238"/>
    </row>
    <row r="831">
      <c r="C831" s="238"/>
    </row>
    <row r="832">
      <c r="C832" s="238"/>
    </row>
    <row r="833">
      <c r="C833" s="238"/>
    </row>
    <row r="834">
      <c r="C834" s="238"/>
    </row>
    <row r="835">
      <c r="C835" s="238"/>
    </row>
    <row r="836">
      <c r="C836" s="238"/>
    </row>
    <row r="837">
      <c r="C837" s="238"/>
    </row>
    <row r="838">
      <c r="C838" s="238"/>
    </row>
    <row r="839">
      <c r="C839" s="238"/>
    </row>
    <row r="840">
      <c r="C840" s="238"/>
    </row>
    <row r="841">
      <c r="C841" s="238"/>
    </row>
    <row r="842">
      <c r="C842" s="238"/>
    </row>
    <row r="843">
      <c r="C843" s="238"/>
    </row>
    <row r="844">
      <c r="C844" s="238"/>
    </row>
    <row r="845">
      <c r="C845" s="238"/>
    </row>
    <row r="846">
      <c r="C846" s="238"/>
    </row>
    <row r="847">
      <c r="C847" s="238"/>
    </row>
    <row r="848">
      <c r="C848" s="238"/>
    </row>
    <row r="849">
      <c r="C849" s="238"/>
    </row>
    <row r="850">
      <c r="C850" s="238"/>
    </row>
    <row r="851">
      <c r="C851" s="238"/>
    </row>
    <row r="852">
      <c r="C852" s="238"/>
    </row>
    <row r="853">
      <c r="C853" s="238"/>
    </row>
    <row r="854">
      <c r="C854" s="238"/>
    </row>
    <row r="855">
      <c r="C855" s="238"/>
    </row>
    <row r="856">
      <c r="C856" s="238"/>
    </row>
    <row r="857">
      <c r="C857" s="238"/>
    </row>
    <row r="858">
      <c r="C858" s="238"/>
    </row>
    <row r="859">
      <c r="C859" s="238"/>
    </row>
    <row r="860">
      <c r="C860" s="238"/>
    </row>
    <row r="861">
      <c r="C861" s="238"/>
    </row>
    <row r="862">
      <c r="C862" s="238"/>
    </row>
    <row r="863">
      <c r="C863" s="238"/>
    </row>
    <row r="864">
      <c r="C864" s="238"/>
    </row>
    <row r="865">
      <c r="C865" s="238"/>
    </row>
    <row r="866">
      <c r="C866" s="238"/>
    </row>
    <row r="867">
      <c r="C867" s="238"/>
    </row>
    <row r="868">
      <c r="C868" s="238"/>
    </row>
    <row r="869">
      <c r="C869" s="238"/>
    </row>
    <row r="870">
      <c r="C870" s="238"/>
    </row>
    <row r="871">
      <c r="C871" s="238"/>
    </row>
    <row r="872">
      <c r="C872" s="238"/>
    </row>
    <row r="873">
      <c r="C873" s="238"/>
    </row>
    <row r="874">
      <c r="C874" s="238"/>
    </row>
    <row r="875">
      <c r="C875" s="238"/>
    </row>
    <row r="876">
      <c r="C876" s="238"/>
    </row>
    <row r="877">
      <c r="C877" s="238"/>
    </row>
    <row r="878">
      <c r="C878" s="238"/>
    </row>
    <row r="879">
      <c r="C879" s="238"/>
    </row>
    <row r="880">
      <c r="C880" s="238"/>
    </row>
    <row r="881">
      <c r="C881" s="238"/>
    </row>
    <row r="882">
      <c r="C882" s="238"/>
    </row>
    <row r="883">
      <c r="C883" s="238"/>
    </row>
    <row r="884">
      <c r="C884" s="238"/>
    </row>
    <row r="885">
      <c r="C885" s="238"/>
    </row>
    <row r="886">
      <c r="C886" s="238"/>
    </row>
    <row r="887">
      <c r="C887" s="238"/>
    </row>
    <row r="888">
      <c r="C888" s="238"/>
    </row>
    <row r="889">
      <c r="C889" s="238"/>
    </row>
    <row r="890">
      <c r="C890" s="238"/>
    </row>
    <row r="891">
      <c r="C891" s="238"/>
    </row>
    <row r="892">
      <c r="C892" s="238"/>
    </row>
    <row r="893">
      <c r="C893" s="238"/>
    </row>
    <row r="894">
      <c r="C894" s="238"/>
    </row>
    <row r="895">
      <c r="C895" s="238"/>
    </row>
    <row r="896">
      <c r="C896" s="238"/>
    </row>
    <row r="897">
      <c r="C897" s="238"/>
    </row>
    <row r="898">
      <c r="C898" s="238"/>
    </row>
    <row r="899">
      <c r="C899" s="238"/>
    </row>
    <row r="900">
      <c r="C900" s="238"/>
    </row>
    <row r="901">
      <c r="C901" s="238"/>
    </row>
    <row r="902">
      <c r="C902" s="238"/>
    </row>
    <row r="903">
      <c r="C903" s="238"/>
    </row>
    <row r="904">
      <c r="C904" s="238"/>
    </row>
    <row r="905">
      <c r="C905" s="238"/>
    </row>
    <row r="906">
      <c r="C906" s="238"/>
    </row>
    <row r="907">
      <c r="C907" s="238"/>
    </row>
    <row r="908">
      <c r="C908" s="238"/>
    </row>
    <row r="909">
      <c r="C909" s="238"/>
    </row>
    <row r="910">
      <c r="C910" s="238"/>
    </row>
    <row r="911">
      <c r="C911" s="238"/>
    </row>
    <row r="912">
      <c r="C912" s="238"/>
    </row>
    <row r="913">
      <c r="C913" s="238"/>
    </row>
    <row r="914">
      <c r="C914" s="238"/>
    </row>
    <row r="915">
      <c r="C915" s="238"/>
    </row>
    <row r="916">
      <c r="C916" s="238"/>
    </row>
    <row r="917">
      <c r="C917" s="238"/>
    </row>
    <row r="918">
      <c r="C918" s="238"/>
    </row>
    <row r="919">
      <c r="C919" s="238"/>
    </row>
    <row r="920">
      <c r="C920" s="238"/>
    </row>
    <row r="921">
      <c r="C921" s="238"/>
    </row>
    <row r="922">
      <c r="C922" s="238"/>
    </row>
    <row r="923">
      <c r="C923" s="238"/>
    </row>
    <row r="924">
      <c r="C924" s="238"/>
    </row>
    <row r="925">
      <c r="C925" s="238"/>
    </row>
    <row r="926">
      <c r="C926" s="238"/>
    </row>
    <row r="927">
      <c r="C927" s="238"/>
    </row>
    <row r="928">
      <c r="C928" s="238"/>
    </row>
    <row r="929">
      <c r="C929" s="238"/>
    </row>
    <row r="930">
      <c r="C930" s="238"/>
    </row>
    <row r="931">
      <c r="C931" s="238"/>
    </row>
    <row r="932">
      <c r="C932" s="238"/>
    </row>
    <row r="933">
      <c r="C933" s="238"/>
    </row>
    <row r="934">
      <c r="C934" s="238"/>
    </row>
    <row r="935">
      <c r="C935" s="238"/>
    </row>
    <row r="936">
      <c r="C936" s="238"/>
    </row>
    <row r="937">
      <c r="C937" s="238"/>
    </row>
    <row r="938">
      <c r="C938" s="238"/>
    </row>
    <row r="939">
      <c r="C939" s="238"/>
    </row>
    <row r="940">
      <c r="C940" s="238"/>
    </row>
    <row r="941">
      <c r="C941" s="238"/>
    </row>
    <row r="942">
      <c r="C942" s="238"/>
    </row>
    <row r="943">
      <c r="C943" s="238"/>
    </row>
    <row r="944">
      <c r="C944" s="238"/>
    </row>
    <row r="945">
      <c r="C945" s="238"/>
    </row>
    <row r="946">
      <c r="C946" s="238"/>
    </row>
    <row r="947">
      <c r="C947" s="238"/>
    </row>
    <row r="948">
      <c r="C948" s="238"/>
    </row>
    <row r="949">
      <c r="C949" s="238"/>
    </row>
    <row r="950">
      <c r="C950" s="238"/>
    </row>
    <row r="951">
      <c r="C951" s="238"/>
    </row>
    <row r="952">
      <c r="C952" s="238"/>
    </row>
    <row r="953">
      <c r="C953" s="238"/>
    </row>
    <row r="954">
      <c r="C954" s="238"/>
    </row>
    <row r="955">
      <c r="C955" s="238"/>
    </row>
    <row r="956">
      <c r="C956" s="238"/>
    </row>
    <row r="957">
      <c r="C957" s="238"/>
    </row>
    <row r="958">
      <c r="C958" s="238"/>
    </row>
    <row r="959">
      <c r="C959" s="238"/>
    </row>
    <row r="960">
      <c r="C960" s="238"/>
    </row>
    <row r="961">
      <c r="C961" s="238"/>
    </row>
    <row r="962">
      <c r="C962" s="238"/>
    </row>
    <row r="963">
      <c r="C963" s="238"/>
    </row>
    <row r="964">
      <c r="C964" s="238"/>
    </row>
    <row r="965">
      <c r="C965" s="238"/>
    </row>
    <row r="966">
      <c r="C966" s="238"/>
    </row>
    <row r="967">
      <c r="C967" s="238"/>
    </row>
    <row r="968">
      <c r="C968" s="238"/>
    </row>
    <row r="969">
      <c r="C969" s="238"/>
    </row>
    <row r="970">
      <c r="C970" s="238"/>
    </row>
    <row r="971">
      <c r="C971" s="238"/>
    </row>
    <row r="972">
      <c r="C972" s="238"/>
    </row>
    <row r="973">
      <c r="C973" s="238"/>
    </row>
    <row r="974">
      <c r="C974" s="238"/>
    </row>
    <row r="975">
      <c r="C975" s="238"/>
    </row>
    <row r="976">
      <c r="C976" s="238"/>
    </row>
    <row r="977">
      <c r="C977" s="238"/>
    </row>
    <row r="978">
      <c r="C978" s="238"/>
    </row>
    <row r="979">
      <c r="C979" s="238"/>
    </row>
    <row r="980">
      <c r="C980" s="238"/>
    </row>
    <row r="981">
      <c r="C981" s="238"/>
    </row>
    <row r="982">
      <c r="C982" s="238"/>
    </row>
    <row r="983">
      <c r="C983" s="238"/>
    </row>
    <row r="984">
      <c r="C984" s="238"/>
    </row>
    <row r="985">
      <c r="C985" s="238"/>
    </row>
    <row r="986">
      <c r="C986" s="238"/>
    </row>
    <row r="987">
      <c r="C987" s="238"/>
    </row>
    <row r="988">
      <c r="C988" s="238"/>
    </row>
    <row r="989">
      <c r="C989" s="238"/>
    </row>
    <row r="990">
      <c r="C990" s="238"/>
    </row>
    <row r="991">
      <c r="C991" s="238"/>
    </row>
    <row r="992">
      <c r="C992" s="238"/>
    </row>
    <row r="993">
      <c r="C993" s="238"/>
    </row>
    <row r="994">
      <c r="C994" s="238"/>
    </row>
    <row r="995">
      <c r="C995" s="238"/>
    </row>
    <row r="996">
      <c r="C996" s="238"/>
    </row>
    <row r="997">
      <c r="C997" s="238"/>
    </row>
    <row r="998">
      <c r="C998" s="238"/>
    </row>
    <row r="999">
      <c r="C999" s="238"/>
    </row>
    <row r="1000">
      <c r="C1000" s="238"/>
    </row>
  </sheetData>
  <mergeCells count="8">
    <mergeCell ref="B14:C14"/>
    <mergeCell ref="B29:C29"/>
    <mergeCell ref="B38:C38"/>
    <mergeCell ref="B45:C45"/>
    <mergeCell ref="B185:C185"/>
    <mergeCell ref="B244:C244"/>
    <mergeCell ref="B286:C286"/>
    <mergeCell ref="D286:E286"/>
  </mergeCell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30"/>
    <hyperlink r:id="rId28" ref="C31"/>
    <hyperlink r:id="rId29" ref="C32"/>
    <hyperlink r:id="rId30" ref="C33"/>
    <hyperlink r:id="rId31" ref="C34"/>
    <hyperlink r:id="rId32" ref="C35"/>
    <hyperlink r:id="rId33" ref="C36"/>
    <hyperlink r:id="rId34" ref="C37"/>
    <hyperlink r:id="rId35" ref="C39"/>
    <hyperlink r:id="rId36" ref="C40"/>
    <hyperlink r:id="rId37" ref="C41"/>
    <hyperlink r:id="rId38" ref="C42"/>
    <hyperlink r:id="rId39" ref="C43"/>
    <hyperlink r:id="rId40" ref="C44"/>
    <hyperlink r:id="rId41" ref="C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7"/>
    <hyperlink r:id="rId53" ref="C58"/>
    <hyperlink r:id="rId54" ref="C59"/>
    <hyperlink r:id="rId55" ref="C60"/>
    <hyperlink r:id="rId56" ref="C61"/>
    <hyperlink r:id="rId57" ref="C62"/>
    <hyperlink r:id="rId58" ref="C63"/>
    <hyperlink r:id="rId59" ref="C64"/>
    <hyperlink r:id="rId60" ref="C65"/>
    <hyperlink r:id="rId61" ref="C67"/>
    <hyperlink r:id="rId62" ref="C68"/>
    <hyperlink r:id="rId63" ref="C69"/>
    <hyperlink r:id="rId64" ref="C70"/>
    <hyperlink r:id="rId65" ref="C71"/>
    <hyperlink r:id="rId66" ref="C72"/>
    <hyperlink r:id="rId67" ref="C73"/>
    <hyperlink r:id="rId68" ref="C74"/>
    <hyperlink r:id="rId69" ref="C75"/>
    <hyperlink r:id="rId70" ref="C76"/>
    <hyperlink r:id="rId71" ref="C77"/>
    <hyperlink r:id="rId72" ref="C78"/>
    <hyperlink r:id="rId73" ref="C79"/>
    <hyperlink r:id="rId74" ref="C80"/>
    <hyperlink r:id="rId75" ref="C81"/>
    <hyperlink r:id="rId76" ref="C82"/>
    <hyperlink r:id="rId77" ref="C83"/>
    <hyperlink r:id="rId78" ref="C86"/>
    <hyperlink r:id="rId79" ref="C87"/>
    <hyperlink r:id="rId80" ref="C88"/>
    <hyperlink r:id="rId81" ref="C89"/>
    <hyperlink r:id="rId82" ref="C90"/>
    <hyperlink r:id="rId83" ref="C91"/>
    <hyperlink r:id="rId84" ref="C92"/>
    <hyperlink r:id="rId85" ref="C93"/>
    <hyperlink r:id="rId86" ref="C95"/>
    <hyperlink r:id="rId87" ref="C96"/>
    <hyperlink r:id="rId88" ref="C97"/>
    <hyperlink r:id="rId89" ref="C98"/>
    <hyperlink r:id="rId90" ref="C99"/>
    <hyperlink r:id="rId91" ref="C100"/>
    <hyperlink r:id="rId92" ref="C101"/>
    <hyperlink r:id="rId93" ref="C102"/>
    <hyperlink r:id="rId94" ref="C103"/>
    <hyperlink r:id="rId95" ref="C104"/>
    <hyperlink r:id="rId96" ref="C105"/>
    <hyperlink r:id="rId97" ref="C106"/>
    <hyperlink r:id="rId98" ref="C107"/>
    <hyperlink r:id="rId99" ref="C108"/>
    <hyperlink r:id="rId100" ref="C109"/>
    <hyperlink r:id="rId101" ref="C110"/>
    <hyperlink r:id="rId102" ref="C111"/>
    <hyperlink r:id="rId103" ref="C112"/>
    <hyperlink r:id="rId104" ref="C113"/>
    <hyperlink r:id="rId105" ref="C114"/>
    <hyperlink r:id="rId106" ref="C115"/>
    <hyperlink r:id="rId107" ref="C116"/>
    <hyperlink r:id="rId108" ref="C117"/>
    <hyperlink r:id="rId109" ref="C118"/>
    <hyperlink r:id="rId110" ref="C119"/>
    <hyperlink r:id="rId111" ref="C120"/>
    <hyperlink r:id="rId112" ref="C121"/>
    <hyperlink r:id="rId113" ref="C122"/>
    <hyperlink r:id="rId114" ref="C123"/>
    <hyperlink r:id="rId115" ref="C124"/>
    <hyperlink r:id="rId116" ref="C125"/>
    <hyperlink r:id="rId117" ref="C126"/>
    <hyperlink r:id="rId118" ref="C127"/>
    <hyperlink r:id="rId119" ref="C128"/>
    <hyperlink r:id="rId120" ref="C129"/>
    <hyperlink r:id="rId121" ref="C130"/>
    <hyperlink r:id="rId122" ref="C131"/>
    <hyperlink r:id="rId123" ref="C132"/>
    <hyperlink r:id="rId124" ref="C133"/>
    <hyperlink r:id="rId125" ref="C134"/>
    <hyperlink r:id="rId126" ref="C135"/>
    <hyperlink r:id="rId127" ref="C136"/>
    <hyperlink r:id="rId128" ref="C137"/>
    <hyperlink r:id="rId129" ref="C138"/>
    <hyperlink r:id="rId130" ref="C139"/>
    <hyperlink r:id="rId131" ref="C140"/>
    <hyperlink r:id="rId132" ref="C141"/>
    <hyperlink r:id="rId133" ref="C142"/>
    <hyperlink r:id="rId134" ref="C143"/>
    <hyperlink r:id="rId135" ref="C144"/>
    <hyperlink r:id="rId136" ref="C145"/>
    <hyperlink r:id="rId137" ref="C146"/>
    <hyperlink r:id="rId138" ref="C147"/>
    <hyperlink r:id="rId139" ref="C148"/>
    <hyperlink r:id="rId140" ref="C149"/>
    <hyperlink r:id="rId141" ref="C150"/>
    <hyperlink r:id="rId142" ref="C151"/>
    <hyperlink r:id="rId143" ref="C152"/>
    <hyperlink r:id="rId144" ref="C153"/>
    <hyperlink r:id="rId145" ref="C154"/>
    <hyperlink r:id="rId146" ref="C155"/>
    <hyperlink r:id="rId147" ref="C156"/>
    <hyperlink r:id="rId148" ref="C157"/>
    <hyperlink r:id="rId149" ref="C158"/>
    <hyperlink r:id="rId150" ref="C159"/>
    <hyperlink r:id="rId151" ref="C160"/>
    <hyperlink r:id="rId152" ref="C161"/>
    <hyperlink r:id="rId153" ref="C162"/>
    <hyperlink r:id="rId154" ref="C163"/>
    <hyperlink r:id="rId155" ref="C164"/>
    <hyperlink r:id="rId156" ref="C165"/>
    <hyperlink r:id="rId157" ref="C166"/>
    <hyperlink r:id="rId158" ref="C167"/>
    <hyperlink r:id="rId159" ref="C168"/>
    <hyperlink r:id="rId160" ref="C169"/>
    <hyperlink r:id="rId161" ref="C170"/>
    <hyperlink r:id="rId162" ref="C171"/>
    <hyperlink r:id="rId163" ref="C172"/>
    <hyperlink r:id="rId164" ref="C173"/>
    <hyperlink r:id="rId165" ref="C174"/>
    <hyperlink r:id="rId166" ref="C175"/>
    <hyperlink r:id="rId167" ref="C176"/>
    <hyperlink r:id="rId168" ref="C177"/>
    <hyperlink r:id="rId169" ref="C178"/>
    <hyperlink r:id="rId170" ref="C179"/>
    <hyperlink r:id="rId171" ref="C180"/>
    <hyperlink r:id="rId172" ref="C181"/>
    <hyperlink r:id="rId173" ref="C182"/>
    <hyperlink r:id="rId174" ref="C183"/>
    <hyperlink r:id="rId175" ref="C184"/>
    <hyperlink r:id="rId176" ref="C186"/>
    <hyperlink r:id="rId177" ref="C187"/>
    <hyperlink r:id="rId178" ref="C189"/>
    <hyperlink r:id="rId179" ref="C190"/>
    <hyperlink r:id="rId180" ref="C191"/>
    <hyperlink r:id="rId181" ref="C192"/>
    <hyperlink r:id="rId182" ref="C193"/>
    <hyperlink r:id="rId183" ref="C194"/>
    <hyperlink r:id="rId184" ref="C195"/>
    <hyperlink r:id="rId185" ref="C196"/>
    <hyperlink r:id="rId186" ref="C197"/>
    <hyperlink r:id="rId187" ref="C198"/>
    <hyperlink r:id="rId188" ref="C199"/>
    <hyperlink r:id="rId189" ref="C200"/>
    <hyperlink r:id="rId190" ref="C201"/>
    <hyperlink r:id="rId191" ref="C202"/>
    <hyperlink r:id="rId192" ref="C203"/>
    <hyperlink r:id="rId193" ref="C204"/>
    <hyperlink r:id="rId194" ref="C205"/>
    <hyperlink r:id="rId195" ref="C206"/>
    <hyperlink r:id="rId196" ref="C207"/>
    <hyperlink r:id="rId197" ref="C208"/>
    <hyperlink r:id="rId198" ref="C209"/>
    <hyperlink r:id="rId199" ref="C210"/>
    <hyperlink r:id="rId200" ref="C211"/>
    <hyperlink r:id="rId201" ref="C212"/>
    <hyperlink r:id="rId202" ref="C213"/>
    <hyperlink r:id="rId203" ref="C214"/>
    <hyperlink r:id="rId204" ref="C215"/>
    <hyperlink r:id="rId205" ref="C216"/>
    <hyperlink r:id="rId206" ref="C217"/>
    <hyperlink r:id="rId207" ref="C218"/>
    <hyperlink r:id="rId208" ref="C219"/>
    <hyperlink r:id="rId209" ref="C220"/>
    <hyperlink r:id="rId210" ref="C221"/>
    <hyperlink r:id="rId211" ref="C222"/>
    <hyperlink r:id="rId212" ref="C223"/>
    <hyperlink r:id="rId213" ref="C224"/>
    <hyperlink r:id="rId214" ref="C225"/>
    <hyperlink r:id="rId215" ref="C226"/>
    <hyperlink r:id="rId216" ref="C227"/>
    <hyperlink r:id="rId217" ref="C228"/>
    <hyperlink r:id="rId218" ref="C229"/>
    <hyperlink r:id="rId219" ref="C230"/>
    <hyperlink r:id="rId220" ref="C231"/>
    <hyperlink r:id="rId221" ref="C232"/>
    <hyperlink r:id="rId222" ref="C233"/>
    <hyperlink r:id="rId223" ref="C234"/>
    <hyperlink r:id="rId224" ref="C235"/>
    <hyperlink r:id="rId225" ref="C236"/>
    <hyperlink r:id="rId226" ref="C237"/>
    <hyperlink r:id="rId227" ref="C238"/>
    <hyperlink r:id="rId228" ref="C239"/>
    <hyperlink r:id="rId229" ref="C240"/>
    <hyperlink r:id="rId230" ref="C241"/>
    <hyperlink r:id="rId231" ref="C242"/>
    <hyperlink r:id="rId232" ref="C243"/>
    <hyperlink r:id="rId233" ref="C245"/>
    <hyperlink r:id="rId234" ref="C246"/>
    <hyperlink r:id="rId235" ref="C247"/>
    <hyperlink r:id="rId236" ref="C248"/>
    <hyperlink r:id="rId237" ref="C249"/>
    <hyperlink r:id="rId238" ref="C250"/>
    <hyperlink r:id="rId239" ref="C251"/>
    <hyperlink r:id="rId240" ref="C252"/>
    <hyperlink r:id="rId241" ref="C253"/>
    <hyperlink r:id="rId242" ref="C254"/>
    <hyperlink r:id="rId243" ref="C255"/>
    <hyperlink r:id="rId244" ref="C256"/>
    <hyperlink r:id="rId245" ref="C257"/>
    <hyperlink r:id="rId246" ref="C258"/>
    <hyperlink r:id="rId247" ref="C259"/>
    <hyperlink r:id="rId248" ref="C260"/>
    <hyperlink r:id="rId249" ref="C261"/>
    <hyperlink r:id="rId250" ref="C262"/>
    <hyperlink r:id="rId251" ref="C263"/>
    <hyperlink r:id="rId252" ref="C264"/>
    <hyperlink r:id="rId253" ref="C265"/>
    <hyperlink r:id="rId254" ref="C266"/>
    <hyperlink r:id="rId255" ref="C267"/>
    <hyperlink r:id="rId256" ref="C268"/>
    <hyperlink r:id="rId257" ref="C269"/>
    <hyperlink r:id="rId258" ref="C270"/>
    <hyperlink r:id="rId259" ref="C271"/>
    <hyperlink r:id="rId260" ref="C272"/>
    <hyperlink r:id="rId261" ref="C273"/>
    <hyperlink r:id="rId262" ref="C274"/>
    <hyperlink r:id="rId263" ref="C275"/>
    <hyperlink r:id="rId264" ref="C276"/>
    <hyperlink r:id="rId265" ref="C277"/>
    <hyperlink r:id="rId266" ref="C278"/>
    <hyperlink r:id="rId267" ref="C279"/>
    <hyperlink r:id="rId268" ref="C280"/>
    <hyperlink r:id="rId269" ref="C281"/>
    <hyperlink r:id="rId270" ref="C282"/>
    <hyperlink r:id="rId271" ref="C283"/>
    <hyperlink r:id="rId272" ref="C284"/>
    <hyperlink r:id="rId273" ref="C285"/>
    <hyperlink r:id="rId274" ref="C287"/>
    <hyperlink r:id="rId275" ref="C288"/>
    <hyperlink r:id="rId276" ref="C289"/>
    <hyperlink r:id="rId277" ref="C290"/>
    <hyperlink r:id="rId278" ref="C291"/>
    <hyperlink r:id="rId279" ref="C292"/>
    <hyperlink r:id="rId280" ref="C293"/>
    <hyperlink r:id="rId281" ref="C294"/>
    <hyperlink r:id="rId282" ref="C295"/>
    <hyperlink r:id="rId283" ref="C296"/>
    <hyperlink r:id="rId284" ref="C297"/>
    <hyperlink r:id="rId285" ref="C298"/>
    <hyperlink r:id="rId286" ref="C299"/>
    <hyperlink r:id="rId287" ref="C300"/>
    <hyperlink r:id="rId288" ref="C301"/>
    <hyperlink r:id="rId289" ref="C302"/>
    <hyperlink r:id="rId290" ref="C303"/>
    <hyperlink r:id="rId291" ref="C304"/>
    <hyperlink r:id="rId292" ref="C305"/>
    <hyperlink r:id="rId293" ref="C306"/>
    <hyperlink r:id="rId294" ref="C307"/>
    <hyperlink r:id="rId295" ref="C308"/>
    <hyperlink r:id="rId296" ref="C309"/>
    <hyperlink r:id="rId297" ref="C310"/>
    <hyperlink r:id="rId298" ref="C311"/>
    <hyperlink r:id="rId299" ref="C312"/>
    <hyperlink r:id="rId300" ref="C313"/>
    <hyperlink r:id="rId301" ref="C314"/>
    <hyperlink r:id="rId302" ref="C315"/>
    <hyperlink r:id="rId303" ref="C316"/>
    <hyperlink r:id="rId304" ref="C317"/>
    <hyperlink r:id="rId305" ref="C318"/>
    <hyperlink r:id="rId306" ref="C319"/>
    <hyperlink r:id="rId307" ref="C320"/>
    <hyperlink r:id="rId308" ref="C321"/>
    <hyperlink r:id="rId309" ref="C322"/>
    <hyperlink r:id="rId310" ref="C323"/>
    <hyperlink r:id="rId311" ref="C324"/>
    <hyperlink r:id="rId312" ref="C325"/>
    <hyperlink r:id="rId313" ref="C326"/>
    <hyperlink r:id="rId314" ref="C327"/>
    <hyperlink r:id="rId315" ref="C328"/>
  </hyperlinks>
  <drawing r:id="rId3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5"/>
    <col hidden="1" min="6" max="20" width="12.63"/>
    <col customWidth="1" min="21" max="21" width="51.13"/>
    <col hidden="1" min="22" max="24" width="12.63"/>
  </cols>
  <sheetData>
    <row r="1">
      <c r="A1" s="2" t="str">
        <f>IFERROR(__xludf.DUMMYFUNCTION("IMPORTRANGE(""https://docs.google.com/spreadsheets/d/1DccNxjBgurEr0ABkI_rBagJT5phB5HaHG5N_mTm_BiA/edit?gid=1382299152#gid=1382299152"",""Form responses 1!A1:Y400000"")"),"Timestamp")</f>
        <v>Timestamp</v>
      </c>
      <c r="B1" s="10" t="str">
        <f>IFERROR(__xludf.DUMMYFUNCTION("""COMPUTED_VALUE"""),"آپ کا نام کیا ہے؟")</f>
        <v>آپ کا نام کیا ہے؟</v>
      </c>
      <c r="C1" s="10" t="str">
        <f>IFERROR(__xludf.DUMMYFUNCTION("""COMPUTED_VALUE"""),"آپ کا فون نمبر کیا ہے؟")</f>
        <v>آپ کا فون نمبر کیا ہے؟</v>
      </c>
      <c r="D1" s="10" t="str">
        <f>IFERROR(__xludf.DUMMYFUNCTION("""COMPUTED_VALUE"""),"آپ کس مسجد کا سروے کر رہے ہیں؟ 
-مسجد کے باہر جو مسجد کا اصل نام لکھا ہے وہ یہاں لکھیں")</f>
        <v>آپ کس مسجد کا سروے کر رہے ہیں؟ 
-مسجد کے باہر جو مسجد کا اصل نام لکھا ہے وہ یہاں لکھیں</v>
      </c>
      <c r="E1" s="10" t="str">
        <f>IFERROR(__xludf.DUMMYFUNCTION("""COMPUTED_VALUE"""),"آپ جس مسجد کا سروے کر رہے ہیں اس کا آئی ڈی نمبر کیا ہے؟")</f>
        <v>آپ جس مسجد کا سروے کر رہے ہیں اس کا آئی ڈی نمبر کیا ہے؟</v>
      </c>
      <c r="F1" s="10" t="str">
        <f>IFERROR(__xludf.DUMMYFUNCTION("""COMPUTED_VALUE"""),"مسجد میں کتنے لوگوں نے جمعہ کی نماز پڑھی؟
اندازہ لگانے کے بجائےعین نمبر لکھیں-")</f>
        <v>مسجد میں کتنے لوگوں نے جمعہ کی نماز پڑھی؟
اندازہ لگانے کے بجائےعین نمبر لکھیں-</v>
      </c>
      <c r="G1" s="10" t="str">
        <f>IFERROR(__xludf.DUMMYFUNCTION("""COMPUTED_VALUE"""),"پانچ منٹ کے لئے مسجد کے ارد گرد چکر لگائیں اور مسجد سے باہر صفائی کا اندازہ لیں-
٠ سے ١٠ کے پیمانے پر، جہاں ٠ کا مطلب ہے گندا، ٥ کا مطلب ہے کچھ حد تک صاف اور ١٠ کا مطلب ہے بہت صاف، مسجد کے ارد گرد علاقہ کتنا صاف ہے؟")</f>
        <v>پانچ منٹ کے لئے مسجد کے ارد گرد چکر لگائیں اور مسجد سے باہر صفائی کا اندازہ لیں-
٠ سے ١٠ کے پیمانے پر، جہاں ٠ کا مطلب ہے گندا، ٥ کا مطلب ہے کچھ حد تک صاف اور ١٠ کا مطلب ہے بہت صاف، مسجد کے ارد گرد علاقہ کتنا صاف ہے؟</v>
      </c>
      <c r="H1" s="10" t="str">
        <f>IFERROR(__xludf.DUMMYFUNCTION("""COMPUTED_VALUE"""),"پانچ منٹ کے لئے مسجد کے محلے کا چکر لگائیں اور محلے کی صفائی کا اندازہ لیں-
٠ سے ١٠ کے پیمانے پر، جہاں ٠ کا مطلب ہے گندا، ٥ کا مطلب ہے کچھ حد تک صاف اور ١٠ کا مطلب ہے بہت صاف، مسجد کا محلہ کتنا صاف ہے؟")</f>
        <v>پانچ منٹ کے لئے مسجد کے محلے کا چکر لگائیں اور محلے کی صفائی کا اندازہ لیں-
٠ سے ١٠ کے پیمانے پر، جہاں ٠ کا مطلب ہے گندا، ٥ کا مطلب ہے کچھ حد تک صاف اور ١٠ کا مطلب ہے بہت صاف، مسجد کا محلہ کتنا صاف ہے؟</v>
      </c>
      <c r="I1" s="10" t="str">
        <f>IFERROR(__xludf.DUMMYFUNCTION("""COMPUTED_VALUE"""),"مسجد کے قریب لیکن باہر کسی جگہ کھڑے ہو جائیں- احتیاط سے اپنے ارد گرد دیکھیں۔
آپ اپنے آس پاس کچرے کے کتنے ٹکڑے یا ڈھیر گن سکتے ہیں؟ نیچے نمبر لکھیں-")</f>
        <v>مسجد کے قریب لیکن باہر کسی جگہ کھڑے ہو جائیں- احتیاط سے اپنے ارد گرد دیکھیں۔
آپ اپنے آس پاس کچرے کے کتنے ٹکڑے یا ڈھیر گن سکتے ہیں؟ نیچے نمبر لکھیں-</v>
      </c>
      <c r="J1" s="10" t="str">
        <f>IFERROR(__xludf.DUMMYFUNCTION("""COMPUTED_VALUE"""),"یہ مسجد کس سال میں تعمیر ہوئی؟")</f>
        <v>یہ مسجد کس سال میں تعمیر ہوئی؟</v>
      </c>
      <c r="K1" s="10" t="str">
        <f>IFERROR(__xludf.DUMMYFUNCTION("""COMPUTED_VALUE"""),"کیا اس مسجد میں خواتین کے لیے نماز پڑھنے کی جگہ یا کوئی سیکشن ہے؟")</f>
        <v>کیا اس مسجد میں خواتین کے لیے نماز پڑھنے کی جگہ یا کوئی سیکشن ہے؟</v>
      </c>
      <c r="L1" s="10" t="str">
        <f>IFERROR(__xludf.DUMMYFUNCTION("""COMPUTED_VALUE"""),"کیا اس مسجد کے ساتھ کوئی دربار بھی وابستہ ہے؟
اگر دربار ہے تو وہ کس شخص کا دربار ہے؟ جو شخص یہاں دفن ہے اسکا پورا نام لکھیں-")</f>
        <v>کیا اس مسجد کے ساتھ کوئی دربار بھی وابستہ ہے؟
اگر دربار ہے تو وہ کس شخص کا دربار ہے؟ جو شخص یہاں دفن ہے اسکا پورا نام لکھیں-</v>
      </c>
      <c r="M1" s="10" t="str">
        <f>IFERROR(__xludf.DUMMYFUNCTION("""COMPUTED_VALUE"""),"٠ سے ١٠ کے پیمانے پر، امام کے بیان کو نمازی کتنے غور سے سن رہے تھے؟")</f>
        <v>٠ سے ١٠ کے پیمانے پر، امام کے بیان کو نمازی کتنے غور سے سن رہے تھے؟</v>
      </c>
      <c r="N1" s="10" t="str">
        <f>IFERROR(__xludf.DUMMYFUNCTION("""COMPUTED_VALUE"""),"اب ہم آپ سے امام کے بیان کے بارے میں کچھ سوال پوچھیں گے-
کیا ہم نے آپ کو امام کے بیان سے موازنہ کرنے کے لیے کوئی رسم الخط دیا ہے؟ اگر ہم نے آپ کو پڑوسیوں یا عورتوں کے حقوق کے اوپر کوئی رسم الخط نہیں دیا تو یہاں نہیں لکھیں-")</f>
        <v>اب ہم آپ سے امام کے بیان کے بارے میں کچھ سوال پوچھیں گے-
کیا ہم نے آپ کو امام کے بیان سے موازنہ کرنے کے لیے کوئی رسم الخط دیا ہے؟ اگر ہم نے آپ کو پڑوسیوں یا عورتوں کے حقوق کے اوپر کوئی رسم الخط نہیں دیا تو یہاں نہیں لکھیں-</v>
      </c>
      <c r="O1" s="10" t="str">
        <f>IFERROR(__xludf.DUMMYFUNCTION("""COMPUTED_VALUE"""),"امام نے دیے ہوۓ رسم الخط کے کتنے فیصد مواد پر بات کی؟ 
اگر امام نے رسم الخط کے مواد پر بالکل بات نہیں کی تو 0% لکھیں. اگر امام نے سارے مواد پر بات کی تو 100% لکھیں-  ")</f>
        <v>امام نے دیے ہوۓ رسم الخط کے کتنے فیصد مواد پر بات کی؟ 
اگر امام نے رسم الخط کے مواد پر بالکل بات نہیں کی تو 0% لکھیں. اگر امام نے سارے مواد پر بات کی تو 100% لکھیں-  </v>
      </c>
      <c r="P1" s="10" t="str">
        <f>IFERROR(__xludf.DUMMYFUNCTION("""COMPUTED_VALUE"""),"
٠ سے ١٠ کے پیمانے پر، امام نے رسم الخط کی کتنی قریب سے پیروی کی؟")</f>
        <v>
٠ سے ١٠ کے پیمانے پر، امام نے رسم الخط کی کتنی قریب سے پیروی کی؟</v>
      </c>
      <c r="Q1" s="10" t="str">
        <f>IFERROR(__xludf.DUMMYFUNCTION("""COMPUTED_VALUE"""),"٠ سے ١٠ کے پیمانے پر، امام نے دیے ہوۓ رسم الخط میں اپنی طرف سے کتنا اضافی مواد شامل کیا؟")</f>
        <v>٠ سے ١٠ کے پیمانے پر، امام نے دیے ہوۓ رسم الخط میں اپنی طرف سے کتنا اضافی مواد شامل کیا؟</v>
      </c>
      <c r="R1" s="10" t="str">
        <f>IFERROR(__xludf.DUMMYFUNCTION("""COMPUTED_VALUE"""),"٠ سے ١٠ کے پیمانے پر، امام کے بیان کا مجموعی پیغام دیے ہوۓ رسم الخط کے پیغام سے کتنا ملتا جلتا تھا؟")</f>
        <v>٠ سے ١٠ کے پیمانے پر، امام کے بیان کا مجموعی پیغام دیے ہوۓ رسم الخط کے پیغام سے کتنا ملتا جلتا تھا؟</v>
      </c>
      <c r="S1" s="10" t="str">
        <f>IFERROR(__xludf.DUMMYFUNCTION("""COMPUTED_VALUE"""),"باہر سے مسجد کی تصویر یہاں اپلوڈ کریں-
کوشش کریں کے مسجد کا داخلہ اور پیرونی حصّہ زیادہ سے زیادہ نظر آ رہا ہو-")</f>
        <v>باہر سے مسجد کی تصویر یہاں اپلوڈ کریں-
کوشش کریں کے مسجد کا داخلہ اور پیرونی حصّہ زیادہ سے زیادہ نظر آ رہا ہو-</v>
      </c>
      <c r="T1" s="10" t="str">
        <f>IFERROR(__xludf.DUMMYFUNCTION("""COMPUTED_VALUE"""),"اندر سے مسجد کی تصویر یہاں اپلوڈ کریں- 
کوشش کریں کے مسجد کے منبر اور اندرونی حصّہ زیادہ سے زیادہ نظر آرہے ہوں-")</f>
        <v>اندر سے مسجد کی تصویر یہاں اپلوڈ کریں- 
کوشش کریں کے مسجد کے منبر اور اندرونی حصّہ زیادہ سے زیادہ نظر آرہے ہوں-</v>
      </c>
      <c r="U1" s="10" t="str">
        <f>IFERROR(__xludf.DUMMYFUNCTION("""COMPUTED_VALUE"""),"امام کے پورے جمعہ کے بیان کی ریکارڈنگ یہاں اپلوڈ کریں-")</f>
        <v>امام کے پورے جمعہ کے بیان کی ریکارڈنگ یہاں اپلوڈ کریں-</v>
      </c>
      <c r="V1" s="10" t="str">
        <f>IFERROR(__xludf.DUMMYFUNCTION("""COMPUTED_VALUE"""),"اگر آپ ہمیں اضافی معلومات فراہم کرنا چاہتے ہیں یا آپ کو کوئی پریشانی ہے تو براہ کرم اسے نیچے لکھیں۔")</f>
        <v>اگر آپ ہمیں اضافی معلومات فراہم کرنا چاہتے ہیں یا آپ کو کوئی پریشانی ہے تو براہ کرم اسے نیچے لکھیں۔</v>
      </c>
      <c r="W1" s="10" t="str">
        <f>IFERROR(__xludf.DUMMYFUNCTION("""COMPUTED_VALUE"""),"Column 22")</f>
        <v>Column 22</v>
      </c>
      <c r="X1" s="10" t="str">
        <f>IFERROR(__xludf.DUMMYFUNCTION("""COMPUTED_VALUE"""),"غور سے اس رسم الخط کو پڑھیں جو ہم نے آپ کو پڑھنے کے لیے دی تھی۔ درج ذیل سوالات آپ سے اس رسم الخط کا موازنہ 
امام کے جمعہ کے بیان سے کرنے کو کہیں گے۔
کیا آپ نے یہ رسم الخط پڑھ لیا ہے؟")</f>
        <v>غور سے اس رسم الخط کو پڑھیں جو ہم نے آپ کو پڑھنے کے لیے دی تھی۔ درج ذیل سوالات آپ سے اس رسم الخط کا موازنہ 
امام کے جمعہ کے بیان سے کرنے کو کہیں گے۔
کیا آپ نے یہ رسم الخط پڑھ لیا ہے؟</v>
      </c>
      <c r="Y1" s="14" t="str">
        <f>IFERROR(__xludf.DUMMYFUNCTION("""COMPUTED_VALUE"""),"Email address")</f>
        <v>Email address</v>
      </c>
      <c r="AA1" s="322" t="s">
        <v>5797</v>
      </c>
    </row>
    <row r="2" hidden="1">
      <c r="A2" s="9">
        <f>IFERROR(__xludf.DUMMYFUNCTION("""COMPUTED_VALUE"""),45730.66801607639)</f>
        <v>45730.66802</v>
      </c>
      <c r="B2" s="10" t="str">
        <f>IFERROR(__xludf.DUMMYFUNCTION("""COMPUTED_VALUE"""),"Adil Ahsan")</f>
        <v>Adil Ahsan</v>
      </c>
      <c r="C2" s="10" t="str">
        <f>IFERROR(__xludf.DUMMYFUNCTION("""COMPUTED_VALUE"""),"0335-4680867")</f>
        <v>0335-4680867</v>
      </c>
      <c r="D2" s="10" t="str">
        <f>IFERROR(__xludf.DUMMYFUNCTION("""COMPUTED_VALUE"""),"Masjid john")</f>
        <v>Masjid john</v>
      </c>
      <c r="E2" s="10" t="str">
        <f>IFERROR(__xludf.DUMMYFUNCTION("""COMPUTED_VALUE"""),"Abcde")</f>
        <v>Abcde</v>
      </c>
      <c r="F2" s="10">
        <f>IFERROR(__xludf.DUMMYFUNCTION("""COMPUTED_VALUE"""),123.0)</f>
        <v>123</v>
      </c>
      <c r="G2" s="10">
        <f>IFERROR(__xludf.DUMMYFUNCTION("""COMPUTED_VALUE"""),10.0)</f>
        <v>10</v>
      </c>
      <c r="H2" s="10">
        <f>IFERROR(__xludf.DUMMYFUNCTION("""COMPUTED_VALUE"""),10.0)</f>
        <v>10</v>
      </c>
      <c r="I2" s="10">
        <f>IFERROR(__xludf.DUMMYFUNCTION("""COMPUTED_VALUE"""),10.0)</f>
        <v>10</v>
      </c>
      <c r="J2" s="10">
        <f>IFERROR(__xludf.DUMMYFUNCTION("""COMPUTED_VALUE"""),1900.0)</f>
        <v>1900</v>
      </c>
      <c r="K2" s="10" t="str">
        <f>IFERROR(__xludf.DUMMYFUNCTION("""COMPUTED_VALUE"""),"Yes")</f>
        <v>Yes</v>
      </c>
      <c r="L2" s="10" t="str">
        <f>IFERROR(__xludf.DUMMYFUNCTION("""COMPUTED_VALUE"""),"Sksjsjsjs")</f>
        <v>Sksjsjsjs</v>
      </c>
      <c r="M2" s="10">
        <f>IFERROR(__xludf.DUMMYFUNCTION("""COMPUTED_VALUE"""),10.0)</f>
        <v>10</v>
      </c>
      <c r="N2" s="10" t="str">
        <f>IFERROR(__xludf.DUMMYFUNCTION("""COMPUTED_VALUE"""),"Yes")</f>
        <v>Yes</v>
      </c>
      <c r="O2" s="323">
        <f>IFERROR(__xludf.DUMMYFUNCTION("""COMPUTED_VALUE"""),1.0)</f>
        <v>1</v>
      </c>
      <c r="P2" s="10">
        <f>IFERROR(__xludf.DUMMYFUNCTION("""COMPUTED_VALUE"""),10.0)</f>
        <v>10</v>
      </c>
      <c r="Q2" s="10">
        <f>IFERROR(__xludf.DUMMYFUNCTION("""COMPUTED_VALUE"""),10.0)</f>
        <v>10</v>
      </c>
      <c r="R2" s="10">
        <f>IFERROR(__xludf.DUMMYFUNCTION("""COMPUTED_VALUE"""),10.0)</f>
        <v>10</v>
      </c>
      <c r="S2" s="18" t="str">
        <f>IFERROR(__xludf.DUMMYFUNCTION("""COMPUTED_VALUE"""),"https://drive.google.com/open?id=14GK8EE2rNleneizPS2IZoy_-0-AqgIYP")</f>
        <v>https://drive.google.com/open?id=14GK8EE2rNleneizPS2IZoy_-0-AqgIYP</v>
      </c>
      <c r="T2" s="18" t="str">
        <f>IFERROR(__xludf.DUMMYFUNCTION("""COMPUTED_VALUE"""),"https://drive.google.com/open?id=1MFEmHCoGFvB8Cxo5uVgu2ikiAFc8K-3E")</f>
        <v>https://drive.google.com/open?id=1MFEmHCoGFvB8Cxo5uVgu2ikiAFc8K-3E</v>
      </c>
      <c r="U2" s="10" t="str">
        <f>IFERROR(__xludf.DUMMYFUNCTION("""COMPUTED_VALUE"""),"https://drive.google.com/open?id=1-MxcxLwzYs2RsyVsZctDhPTdKoFM6-dG, https://drive.google.com/open?id=1Cdkxdb5cooBO7oV8lyDYRzBvhfBobSAf")</f>
        <v>https://drive.google.com/open?id=1-MxcxLwzYs2RsyVsZctDhPTdKoFM6-dG, https://drive.google.com/open?id=1Cdkxdb5cooBO7oV8lyDYRzBvhfBobSAf</v>
      </c>
      <c r="V2" s="10" t="str">
        <f>IFERROR(__xludf.DUMMYFUNCTION("""COMPUTED_VALUE"""),"Iiu")</f>
        <v>Iiu</v>
      </c>
      <c r="W2" s="10"/>
      <c r="X2" s="10"/>
      <c r="Y2" s="14"/>
      <c r="AA2" s="324"/>
    </row>
    <row r="3" hidden="1">
      <c r="A3" s="9">
        <f>IFERROR(__xludf.DUMMYFUNCTION("""COMPUTED_VALUE"""),45757.59020734954)</f>
        <v>45757.59021</v>
      </c>
      <c r="B3" s="10" t="str">
        <f>IFERROR(__xludf.DUMMYFUNCTION("""COMPUTED_VALUE"""),"saifullah")</f>
        <v>saifullah</v>
      </c>
      <c r="C3" s="10" t="str">
        <f>IFERROR(__xludf.DUMMYFUNCTION("""COMPUTED_VALUE"""),"03008842077")</f>
        <v>03008842077</v>
      </c>
      <c r="D3" s="10" t="str">
        <f>IFERROR(__xludf.DUMMYFUNCTION("""COMPUTED_VALUE"""),"john")</f>
        <v>john</v>
      </c>
      <c r="E3" s="10">
        <f>IFERROR(__xludf.DUMMYFUNCTION("""COMPUTED_VALUE"""),12345.0)</f>
        <v>12345</v>
      </c>
      <c r="F3" s="10">
        <f>IFERROR(__xludf.DUMMYFUNCTION("""COMPUTED_VALUE"""),23.0)</f>
        <v>23</v>
      </c>
      <c r="G3" s="10">
        <f>IFERROR(__xludf.DUMMYFUNCTION("""COMPUTED_VALUE"""),10.0)</f>
        <v>10</v>
      </c>
      <c r="H3" s="10">
        <f>IFERROR(__xludf.DUMMYFUNCTION("""COMPUTED_VALUE"""),10.0)</f>
        <v>10</v>
      </c>
      <c r="I3" s="10" t="str">
        <f>IFERROR(__xludf.DUMMYFUNCTION("""COMPUTED_VALUE"""),"john")</f>
        <v>john</v>
      </c>
      <c r="J3" s="10" t="str">
        <f>IFERROR(__xludf.DUMMYFUNCTION("""COMPUTED_VALUE"""),"john")</f>
        <v>john</v>
      </c>
      <c r="K3" s="10" t="str">
        <f>IFERROR(__xludf.DUMMYFUNCTION("""COMPUTED_VALUE"""),"Yes")</f>
        <v>Yes</v>
      </c>
      <c r="L3" s="10" t="str">
        <f>IFERROR(__xludf.DUMMYFUNCTION("""COMPUTED_VALUE"""),"john")</f>
        <v>john</v>
      </c>
      <c r="M3" s="10">
        <f>IFERROR(__xludf.DUMMYFUNCTION("""COMPUTED_VALUE"""),10.0)</f>
        <v>10</v>
      </c>
      <c r="N3" s="10" t="str">
        <f>IFERROR(__xludf.DUMMYFUNCTION("""COMPUTED_VALUE"""),"No")</f>
        <v>No</v>
      </c>
      <c r="O3" s="10"/>
      <c r="P3" s="10"/>
      <c r="Q3" s="10"/>
      <c r="R3" s="10"/>
      <c r="S3" s="18" t="str">
        <f>IFERROR(__xludf.DUMMYFUNCTION("""COMPUTED_VALUE"""),"https://drive.google.com/open?id=1EPTt34A9tYDeMoO3f6Y7clDz1_Jwo1qb")</f>
        <v>https://drive.google.com/open?id=1EPTt34A9tYDeMoO3f6Y7clDz1_Jwo1qb</v>
      </c>
      <c r="T3" s="18" t="str">
        <f>IFERROR(__xludf.DUMMYFUNCTION("""COMPUTED_VALUE"""),"https://drive.google.com/open?id=1CnlHycGEG2HytSXlJRocHxJAw3C9rBCE")</f>
        <v>https://drive.google.com/open?id=1CnlHycGEG2HytSXlJRocHxJAw3C9rBCE</v>
      </c>
      <c r="U3" s="18" t="str">
        <f>IFERROR(__xludf.DUMMYFUNCTION("""COMPUTED_VALUE"""),"https://drive.google.com/open?id=1REuVfn6pQF3J0gXPzGotH4WZiKIsMmuo")</f>
        <v>https://drive.google.com/open?id=1REuVfn6pQF3J0gXPzGotH4WZiKIsMmuo</v>
      </c>
      <c r="V3" s="10" t="str">
        <f>IFERROR(__xludf.DUMMYFUNCTION("""COMPUTED_VALUE"""),"john")</f>
        <v>john</v>
      </c>
      <c r="W3" s="10"/>
      <c r="X3" s="10"/>
      <c r="Y3" s="14" t="str">
        <f>IFERROR(__xludf.DUMMYFUNCTION("""COMPUTED_VALUE"""),"saifimtiaz@gmail.com")</f>
        <v>saifimtiaz@gmail.com</v>
      </c>
      <c r="AA3" s="324"/>
    </row>
    <row r="4" hidden="1">
      <c r="A4" s="9">
        <f>IFERROR(__xludf.DUMMYFUNCTION("""COMPUTED_VALUE"""),45758.207227997686)</f>
        <v>45758.20723</v>
      </c>
      <c r="B4" s="10" t="str">
        <f>IFERROR(__xludf.DUMMYFUNCTION("""COMPUTED_VALUE"""),"Salman yousaf ")</f>
        <v>Salman yousaf </v>
      </c>
      <c r="C4" s="10" t="str">
        <f>IFERROR(__xludf.DUMMYFUNCTION("""COMPUTED_VALUE"""),"03054436981")</f>
        <v>03054436981</v>
      </c>
      <c r="D4" s="10" t="str">
        <f>IFERROR(__xludf.DUMMYFUNCTION("""COMPUTED_VALUE"""),"Jamia masjid Aali")</f>
        <v>Jamia masjid Aali</v>
      </c>
      <c r="E4" s="10" t="str">
        <f>IFERROR(__xludf.DUMMYFUNCTION("""COMPUTED_VALUE"""),"Pwwfr")</f>
        <v>Pwwfr</v>
      </c>
      <c r="F4" s="10">
        <f>IFERROR(__xludf.DUMMYFUNCTION("""COMPUTED_VALUE"""),80.0)</f>
        <v>80</v>
      </c>
      <c r="G4" s="10">
        <f>IFERROR(__xludf.DUMMYFUNCTION("""COMPUTED_VALUE"""),2.0)</f>
        <v>2</v>
      </c>
      <c r="H4" s="10">
        <f>IFERROR(__xludf.DUMMYFUNCTION("""COMPUTED_VALUE"""),1.0)</f>
        <v>1</v>
      </c>
      <c r="I4" s="10">
        <f>IFERROR(__xludf.DUMMYFUNCTION("""COMPUTED_VALUE"""),2.0)</f>
        <v>2</v>
      </c>
      <c r="J4" s="10">
        <f>IFERROR(__xludf.DUMMYFUNCTION("""COMPUTED_VALUE"""),1951.0)</f>
        <v>1951</v>
      </c>
      <c r="K4" s="10" t="str">
        <f>IFERROR(__xludf.DUMMYFUNCTION("""COMPUTED_VALUE"""),"No")</f>
        <v>No</v>
      </c>
      <c r="L4" s="10" t="str">
        <f>IFERROR(__xludf.DUMMYFUNCTION("""COMPUTED_VALUE"""),"No")</f>
        <v>No</v>
      </c>
      <c r="M4" s="10">
        <f>IFERROR(__xludf.DUMMYFUNCTION("""COMPUTED_VALUE"""),10.0)</f>
        <v>10</v>
      </c>
      <c r="N4" s="10" t="str">
        <f>IFERROR(__xludf.DUMMYFUNCTION("""COMPUTED_VALUE"""),"Yes")</f>
        <v>Yes</v>
      </c>
      <c r="O4" s="323">
        <f>IFERROR(__xludf.DUMMYFUNCTION("""COMPUTED_VALUE"""),1.0)</f>
        <v>1</v>
      </c>
      <c r="P4" s="10">
        <f>IFERROR(__xludf.DUMMYFUNCTION("""COMPUTED_VALUE"""),10.0)</f>
        <v>10</v>
      </c>
      <c r="Q4" s="10">
        <f>IFERROR(__xludf.DUMMYFUNCTION("""COMPUTED_VALUE"""),0.0)</f>
        <v>0</v>
      </c>
      <c r="R4" s="10">
        <f>IFERROR(__xludf.DUMMYFUNCTION("""COMPUTED_VALUE"""),10.0)</f>
        <v>10</v>
      </c>
      <c r="S4" s="18" t="str">
        <f>IFERROR(__xludf.DUMMYFUNCTION("""COMPUTED_VALUE"""),"https://drive.google.com/open?id=1Q8r1mY4OGi1vN3XRKZaVPlDUdDRaNVv5")</f>
        <v>https://drive.google.com/open?id=1Q8r1mY4OGi1vN3XRKZaVPlDUdDRaNVv5</v>
      </c>
      <c r="T4" s="18" t="str">
        <f>IFERROR(__xludf.DUMMYFUNCTION("""COMPUTED_VALUE"""),"https://drive.google.com/file/d/1ov-sXGP8FxUARhrVpz8NShnkciaAukYP/view")</f>
        <v>https://drive.google.com/file/d/1ov-sXGP8FxUARhrVpz8NShnkciaAukYP/view</v>
      </c>
      <c r="U4" s="18" t="str">
        <f>IFERROR(__xludf.DUMMYFUNCTION("""COMPUTED_VALUE"""),"https://drive.google.com/file/d/1lwUmi7qlZtrpKXjJtQgE0-IKd8Wwldlj/view?usp=drive_link")</f>
        <v>https://drive.google.com/file/d/1lwUmi7qlZtrpKXjJtQgE0-IKd8Wwldlj/view?usp=drive_link</v>
      </c>
      <c r="V4" s="10"/>
      <c r="W4" s="10"/>
      <c r="X4" s="10" t="str">
        <f>IFERROR(__xludf.DUMMYFUNCTION("""COMPUTED_VALUE"""),"Yes")</f>
        <v>Yes</v>
      </c>
      <c r="Y4" s="14" t="str">
        <f>IFERROR(__xludf.DUMMYFUNCTION("""COMPUTED_VALUE"""),"salmanyousaf806@gmail.com")</f>
        <v>salmanyousaf806@gmail.com</v>
      </c>
      <c r="AA4" s="325">
        <v>1.0</v>
      </c>
    </row>
    <row r="5" hidden="1">
      <c r="A5" s="9">
        <f>IFERROR(__xludf.DUMMYFUNCTION("""COMPUTED_VALUE"""),45758.27708619213)</f>
        <v>45758.27709</v>
      </c>
      <c r="B5" s="10" t="str">
        <f>IFERROR(__xludf.DUMMYFUNCTION("""COMPUTED_VALUE"""),"Adnan ")</f>
        <v>Adnan </v>
      </c>
      <c r="C5" s="10" t="str">
        <f>IFERROR(__xludf.DUMMYFUNCTION("""COMPUTED_VALUE"""),"03099323116")</f>
        <v>03099323116</v>
      </c>
      <c r="D5" s="10" t="str">
        <f>IFERROR(__xludf.DUMMYFUNCTION("""COMPUTED_VALUE"""),"Jamya masjid hazore sha")</f>
        <v>Jamya masjid hazore sha</v>
      </c>
      <c r="E5" s="10" t="str">
        <f>IFERROR(__xludf.DUMMYFUNCTION("""COMPUTED_VALUE"""),"wfyxg")</f>
        <v>wfyxg</v>
      </c>
      <c r="F5" s="10">
        <f>IFERROR(__xludf.DUMMYFUNCTION("""COMPUTED_VALUE"""),200.0)</f>
        <v>200</v>
      </c>
      <c r="G5" s="10">
        <f>IFERROR(__xludf.DUMMYFUNCTION("""COMPUTED_VALUE"""),8.0)</f>
        <v>8</v>
      </c>
      <c r="H5" s="10">
        <f>IFERROR(__xludf.DUMMYFUNCTION("""COMPUTED_VALUE"""),8.0)</f>
        <v>8</v>
      </c>
      <c r="I5" s="10">
        <f>IFERROR(__xludf.DUMMYFUNCTION("""COMPUTED_VALUE"""),0.0)</f>
        <v>0</v>
      </c>
      <c r="J5" s="10">
        <f>IFERROR(__xludf.DUMMYFUNCTION("""COMPUTED_VALUE"""),1900.0)</f>
        <v>1900</v>
      </c>
      <c r="K5" s="10" t="str">
        <f>IFERROR(__xludf.DUMMYFUNCTION("""COMPUTED_VALUE"""),"No")</f>
        <v>No</v>
      </c>
      <c r="L5" s="10" t="str">
        <f>IFERROR(__xludf.DUMMYFUNCTION("""COMPUTED_VALUE"""),"Hazrat baba hazore sha")</f>
        <v>Hazrat baba hazore sha</v>
      </c>
      <c r="M5" s="10">
        <f>IFERROR(__xludf.DUMMYFUNCTION("""COMPUTED_VALUE"""),8.0)</f>
        <v>8</v>
      </c>
      <c r="N5" s="10" t="str">
        <f>IFERROR(__xludf.DUMMYFUNCTION("""COMPUTED_VALUE"""),"No")</f>
        <v>No</v>
      </c>
      <c r="O5" s="10"/>
      <c r="P5" s="10"/>
      <c r="Q5" s="10"/>
      <c r="R5" s="10"/>
      <c r="S5" s="18" t="str">
        <f>IFERROR(__xludf.DUMMYFUNCTION("""COMPUTED_VALUE"""),"https://drive.google.com/open?id=1zNgHGQZIZmtEo_84SrGOw-b-46PWEcU3")</f>
        <v>https://drive.google.com/open?id=1zNgHGQZIZmtEo_84SrGOw-b-46PWEcU3</v>
      </c>
      <c r="T5" s="18" t="str">
        <f>IFERROR(__xludf.DUMMYFUNCTION("""COMPUTED_VALUE"""),"https://drive.google.com/open?id=1CBJuyR2LwoDZmMz6Vx5nuAxyLMQSL2CG")</f>
        <v>https://drive.google.com/open?id=1CBJuyR2LwoDZmMz6Vx5nuAxyLMQSL2CG</v>
      </c>
      <c r="U5" s="18" t="str">
        <f>IFERROR(__xludf.DUMMYFUNCTION("""COMPUTED_VALUE"""),"https://drive.google.com/open?id=1WjAQVPgXlATxKte7gb59tvuyd8xHsF1b")</f>
        <v>https://drive.google.com/open?id=1WjAQVPgXlATxKte7gb59tvuyd8xHsF1b</v>
      </c>
      <c r="V5" s="10"/>
      <c r="W5" s="10"/>
      <c r="X5" s="10"/>
      <c r="Y5" s="14" t="str">
        <f>IFERROR(__xludf.DUMMYFUNCTION("""COMPUTED_VALUE"""),"aadnananwar123@gmail.com")</f>
        <v>aadnananwar123@gmail.com</v>
      </c>
      <c r="AA5" s="325">
        <v>1.0</v>
      </c>
    </row>
    <row r="6" hidden="1">
      <c r="A6" s="9">
        <f>IFERROR(__xludf.DUMMYFUNCTION("""COMPUTED_VALUE"""),45830.28673611111)</f>
        <v>45830.28674</v>
      </c>
      <c r="B6" s="10" t="str">
        <f>IFERROR(__xludf.DUMMYFUNCTION("""COMPUTED_VALUE"""),"M Rizwan")</f>
        <v>M Rizwan</v>
      </c>
      <c r="C6" s="10">
        <f>IFERROR(__xludf.DUMMYFUNCTION("""COMPUTED_VALUE"""),3.00948582E9)</f>
        <v>3009485820</v>
      </c>
      <c r="D6" s="10" t="str">
        <f>IFERROR(__xludf.DUMMYFUNCTION("""COMPUTED_VALUE"""),"Jamia Masjid Mian Karaam Bakhs Pani Wala Talaab Lahore")</f>
        <v>Jamia Masjid Mian Karaam Bakhs Pani Wala Talaab Lahore</v>
      </c>
      <c r="E6" s="10" t="str">
        <f>IFERROR(__xludf.DUMMYFUNCTION("""COMPUTED_VALUE"""),"kpwne")</f>
        <v>kpwne</v>
      </c>
      <c r="F6" s="10">
        <f>IFERROR(__xludf.DUMMYFUNCTION("""COMPUTED_VALUE"""),180.0)</f>
        <v>180</v>
      </c>
      <c r="G6" s="10">
        <f>IFERROR(__xludf.DUMMYFUNCTION("""COMPUTED_VALUE"""),9.0)</f>
        <v>9</v>
      </c>
      <c r="H6" s="10">
        <f>IFERROR(__xludf.DUMMYFUNCTION("""COMPUTED_VALUE"""),9.0)</f>
        <v>9</v>
      </c>
      <c r="I6" s="10">
        <f>IFERROR(__xludf.DUMMYFUNCTION("""COMPUTED_VALUE"""),0.0)</f>
        <v>0</v>
      </c>
      <c r="J6" s="10">
        <f>IFERROR(__xludf.DUMMYFUNCTION("""COMPUTED_VALUE"""),0.0)</f>
        <v>0</v>
      </c>
      <c r="K6" s="10" t="str">
        <f>IFERROR(__xludf.DUMMYFUNCTION("""COMPUTED_VALUE"""),"No")</f>
        <v>No</v>
      </c>
      <c r="L6" s="10">
        <f>IFERROR(__xludf.DUMMYFUNCTION("""COMPUTED_VALUE"""),0.0)</f>
        <v>0</v>
      </c>
      <c r="M6" s="10">
        <f>IFERROR(__xludf.DUMMYFUNCTION("""COMPUTED_VALUE"""),9.0)</f>
        <v>9</v>
      </c>
      <c r="N6" s="10" t="str">
        <f>IFERROR(__xludf.DUMMYFUNCTION("""COMPUTED_VALUE"""),"Yes")</f>
        <v>Yes</v>
      </c>
      <c r="O6" s="323">
        <f>IFERROR(__xludf.DUMMYFUNCTION("""COMPUTED_VALUE"""),0.0)</f>
        <v>0</v>
      </c>
      <c r="P6" s="10">
        <f>IFERROR(__xludf.DUMMYFUNCTION("""COMPUTED_VALUE"""),0.0)</f>
        <v>0</v>
      </c>
      <c r="Q6" s="10">
        <f>IFERROR(__xludf.DUMMYFUNCTION("""COMPUTED_VALUE"""),0.0)</f>
        <v>0</v>
      </c>
      <c r="R6" s="10">
        <f>IFERROR(__xludf.DUMMYFUNCTION("""COMPUTED_VALUE"""),0.0)</f>
        <v>0</v>
      </c>
      <c r="S6" s="10"/>
      <c r="T6" s="10"/>
      <c r="U6" s="10"/>
      <c r="V6" s="10"/>
      <c r="W6" s="10"/>
      <c r="X6" s="10" t="str">
        <f>IFERROR(__xludf.DUMMYFUNCTION("""COMPUTED_VALUE"""),"Yes")</f>
        <v>Yes</v>
      </c>
      <c r="Y6" s="14" t="str">
        <f>IFERROR(__xludf.DUMMYFUNCTION("""COMPUTED_VALUE"""),"aadnananwar123@gmail.com")</f>
        <v>aadnananwar123@gmail.com</v>
      </c>
      <c r="AA6" s="325">
        <v>1.0</v>
      </c>
    </row>
    <row r="7" hidden="1">
      <c r="A7" s="9">
        <f>IFERROR(__xludf.DUMMYFUNCTION("""COMPUTED_VALUE"""),45758.29171384259)</f>
        <v>45758.29171</v>
      </c>
      <c r="B7" s="10" t="str">
        <f>IFERROR(__xludf.DUMMYFUNCTION("""COMPUTED_VALUE"""),"Adnan ")</f>
        <v>Adnan </v>
      </c>
      <c r="C7" s="10" t="str">
        <f>IFERROR(__xludf.DUMMYFUNCTION("""COMPUTED_VALUE"""),"03099323116")</f>
        <v>03099323116</v>
      </c>
      <c r="D7" s="10" t="str">
        <f>IFERROR(__xludf.DUMMYFUNCTION("""COMPUTED_VALUE"""),"Jamya masjid abubakar sadiq ")</f>
        <v>Jamya masjid abubakar sadiq </v>
      </c>
      <c r="E7" s="10" t="str">
        <f>IFERROR(__xludf.DUMMYFUNCTION("""COMPUTED_VALUE"""),"gqomo")</f>
        <v>gqomo</v>
      </c>
      <c r="F7" s="10">
        <f>IFERROR(__xludf.DUMMYFUNCTION("""COMPUTED_VALUE"""),180.0)</f>
        <v>180</v>
      </c>
      <c r="G7" s="10">
        <f>IFERROR(__xludf.DUMMYFUNCTION("""COMPUTED_VALUE"""),9.0)</f>
        <v>9</v>
      </c>
      <c r="H7" s="10">
        <f>IFERROR(__xludf.DUMMYFUNCTION("""COMPUTED_VALUE"""),9.0)</f>
        <v>9</v>
      </c>
      <c r="I7" s="10">
        <f>IFERROR(__xludf.DUMMYFUNCTION("""COMPUTED_VALUE"""),0.0)</f>
        <v>0</v>
      </c>
      <c r="J7" s="10">
        <f>IFERROR(__xludf.DUMMYFUNCTION("""COMPUTED_VALUE"""),1957.0)</f>
        <v>1957</v>
      </c>
      <c r="K7" s="10" t="str">
        <f>IFERROR(__xludf.DUMMYFUNCTION("""COMPUTED_VALUE"""),"No")</f>
        <v>No</v>
      </c>
      <c r="L7" s="10" t="str">
        <f>IFERROR(__xludf.DUMMYFUNCTION("""COMPUTED_VALUE"""),"No")</f>
        <v>No</v>
      </c>
      <c r="M7" s="10">
        <f>IFERROR(__xludf.DUMMYFUNCTION("""COMPUTED_VALUE"""),9.0)</f>
        <v>9</v>
      </c>
      <c r="N7" s="10" t="str">
        <f>IFERROR(__xludf.DUMMYFUNCTION("""COMPUTED_VALUE"""),"Yes")</f>
        <v>Yes</v>
      </c>
      <c r="O7" s="323">
        <f>IFERROR(__xludf.DUMMYFUNCTION("""COMPUTED_VALUE"""),1.0)</f>
        <v>1</v>
      </c>
      <c r="P7" s="10">
        <f>IFERROR(__xludf.DUMMYFUNCTION("""COMPUTED_VALUE"""),10.0)</f>
        <v>10</v>
      </c>
      <c r="Q7" s="10">
        <f>IFERROR(__xludf.DUMMYFUNCTION("""COMPUTED_VALUE"""),0.0)</f>
        <v>0</v>
      </c>
      <c r="R7" s="10">
        <f>IFERROR(__xludf.DUMMYFUNCTION("""COMPUTED_VALUE"""),10.0)</f>
        <v>10</v>
      </c>
      <c r="S7" s="18" t="str">
        <f>IFERROR(__xludf.DUMMYFUNCTION("""COMPUTED_VALUE"""),"https://drive.google.com/open?id=1Ee7FFGdUFodpiYZ1-W8JCqp_JfLKSmyb")</f>
        <v>https://drive.google.com/open?id=1Ee7FFGdUFodpiYZ1-W8JCqp_JfLKSmyb</v>
      </c>
      <c r="T7" s="10" t="str">
        <f>IFERROR(__xludf.DUMMYFUNCTION("""COMPUTED_VALUE"""),"https://drive.google.com/open?id=1iOIs2wHP75aoXAp-VGa-g-UOHgxUoxG0, https://drive.google.com/open?id=1YY1fSeBoRpPcQ8oFuqi6njM1EmPKrfPj, https://drive.google.com/open?id=1oFV1AjTO0L8iNGcfYzMySYdQK1702erp")</f>
        <v>https://drive.google.com/open?id=1iOIs2wHP75aoXAp-VGa-g-UOHgxUoxG0, https://drive.google.com/open?id=1YY1fSeBoRpPcQ8oFuqi6njM1EmPKrfPj, https://drive.google.com/open?id=1oFV1AjTO0L8iNGcfYzMySYdQK1702erp</v>
      </c>
      <c r="U7" s="18" t="str">
        <f>IFERROR(__xludf.DUMMYFUNCTION("""COMPUTED_VALUE"""),"https://drive.google.com/open?id=1auIwHPYeeWqcq_6b2EtZom9fLuON1gYi")</f>
        <v>https://drive.google.com/open?id=1auIwHPYeeWqcq_6b2EtZom9fLuON1gYi</v>
      </c>
      <c r="V7" s="10" t="str">
        <f>IFERROR(__xludf.DUMMYFUNCTION("""COMPUTED_VALUE"""),"No")</f>
        <v>No</v>
      </c>
      <c r="W7" s="10"/>
      <c r="X7" s="10" t="str">
        <f>IFERROR(__xludf.DUMMYFUNCTION("""COMPUTED_VALUE"""),"Yes")</f>
        <v>Yes</v>
      </c>
      <c r="Y7" s="14" t="str">
        <f>IFERROR(__xludf.DUMMYFUNCTION("""COMPUTED_VALUE"""),"aadnananwar123@gmail.com")</f>
        <v>aadnananwar123@gmail.com</v>
      </c>
      <c r="AA7" s="325">
        <v>1.0</v>
      </c>
    </row>
    <row r="8" hidden="1">
      <c r="A8" s="9">
        <f>IFERROR(__xludf.DUMMYFUNCTION("""COMPUTED_VALUE"""),45758.29278894676)</f>
        <v>45758.29279</v>
      </c>
      <c r="B8" s="10" t="str">
        <f>IFERROR(__xludf.DUMMYFUNCTION("""COMPUTED_VALUE"""),"Muhammad Razzaq Sajid ")</f>
        <v>Muhammad Razzaq Sajid </v>
      </c>
      <c r="C8" s="10" t="str">
        <f>IFERROR(__xludf.DUMMYFUNCTION("""COMPUTED_VALUE"""),"03036162361")</f>
        <v>03036162361</v>
      </c>
      <c r="D8" s="10" t="str">
        <f>IFERROR(__xludf.DUMMYFUNCTION("""COMPUTED_VALUE"""),"Jamia Masjid Australia ")</f>
        <v>Jamia Masjid Australia </v>
      </c>
      <c r="E8" s="10" t="str">
        <f>IFERROR(__xludf.DUMMYFUNCTION("""COMPUTED_VALUE"""),"Xdhvt")</f>
        <v>Xdhvt</v>
      </c>
      <c r="F8" s="10">
        <f>IFERROR(__xludf.DUMMYFUNCTION("""COMPUTED_VALUE"""),1345.0)</f>
        <v>1345</v>
      </c>
      <c r="G8" s="10">
        <f>IFERROR(__xludf.DUMMYFUNCTION("""COMPUTED_VALUE"""),4.0)</f>
        <v>4</v>
      </c>
      <c r="H8" s="10">
        <f>IFERROR(__xludf.DUMMYFUNCTION("""COMPUTED_VALUE"""),6.0)</f>
        <v>6</v>
      </c>
      <c r="I8" s="10">
        <f>IFERROR(__xludf.DUMMYFUNCTION("""COMPUTED_VALUE"""),2.0)</f>
        <v>2</v>
      </c>
      <c r="J8" s="10">
        <f>IFERROR(__xludf.DUMMYFUNCTION("""COMPUTED_VALUE"""),1925.0)</f>
        <v>1925</v>
      </c>
      <c r="K8" s="10" t="str">
        <f>IFERROR(__xludf.DUMMYFUNCTION("""COMPUTED_VALUE"""),"No")</f>
        <v>No</v>
      </c>
      <c r="L8" s="10" t="str">
        <f>IFERROR(__xludf.DUMMYFUNCTION("""COMPUTED_VALUE"""),"No")</f>
        <v>No</v>
      </c>
      <c r="M8" s="10">
        <f>IFERROR(__xludf.DUMMYFUNCTION("""COMPUTED_VALUE"""),7.0)</f>
        <v>7</v>
      </c>
      <c r="N8" s="10" t="str">
        <f>IFERROR(__xludf.DUMMYFUNCTION("""COMPUTED_VALUE"""),"No")</f>
        <v>No</v>
      </c>
      <c r="O8" s="10"/>
      <c r="P8" s="10"/>
      <c r="Q8" s="10"/>
      <c r="R8" s="10"/>
      <c r="S8" s="18" t="str">
        <f>IFERROR(__xludf.DUMMYFUNCTION("""COMPUTED_VALUE"""),"https://drive.google.com/open?id=1goIv0_ci-4qxIt7I7paXMf_Bjb7fePCV")</f>
        <v>https://drive.google.com/open?id=1goIv0_ci-4qxIt7I7paXMf_Bjb7fePCV</v>
      </c>
      <c r="T8" s="18" t="str">
        <f>IFERROR(__xludf.DUMMYFUNCTION("""COMPUTED_VALUE"""),"https://drive.google.com/open?id=1xn8RV5tV_K5P2NIWjCkMVYbc8Cdcrt5C")</f>
        <v>https://drive.google.com/open?id=1xn8RV5tV_K5P2NIWjCkMVYbc8Cdcrt5C</v>
      </c>
      <c r="U8" s="18" t="str">
        <f>IFERROR(__xludf.DUMMYFUNCTION("""COMPUTED_VALUE"""),"https://drive.google.com/open?id=1Kniam6Czmn2Cc9493GXJd4iAFRXf_z4n")</f>
        <v>https://drive.google.com/open?id=1Kniam6Czmn2Cc9493GXJd4iAFRXf_z4n</v>
      </c>
      <c r="V8" s="10" t="str">
        <f>IFERROR(__xludf.DUMMYFUNCTION("""COMPUTED_VALUE"""),"No")</f>
        <v>No</v>
      </c>
      <c r="W8" s="10"/>
      <c r="X8" s="10"/>
      <c r="Y8" s="14" t="str">
        <f>IFERROR(__xludf.DUMMYFUNCTION("""COMPUTED_VALUE"""),"razzaq.sajid1@gmail.com")</f>
        <v>razzaq.sajid1@gmail.com</v>
      </c>
      <c r="AA8" s="325">
        <v>1.0</v>
      </c>
    </row>
    <row r="9" hidden="1">
      <c r="A9" s="9">
        <f>IFERROR(__xludf.DUMMYFUNCTION("""COMPUTED_VALUE"""),45758.32369863426)</f>
        <v>45758.3237</v>
      </c>
      <c r="B9" s="10" t="str">
        <f>IFERROR(__xludf.DUMMYFUNCTION("""COMPUTED_VALUE"""),"Bilal")</f>
        <v>Bilal</v>
      </c>
      <c r="C9" s="10" t="str">
        <f>IFERROR(__xludf.DUMMYFUNCTION("""COMPUTED_VALUE"""),"0306761947")</f>
        <v>0306761947</v>
      </c>
      <c r="D9" s="10" t="str">
        <f>IFERROR(__xludf.DUMMYFUNCTION("""COMPUTED_VALUE"""),"Jaima masjid Ali shah rungareez")</f>
        <v>Jaima masjid Ali shah rungareez</v>
      </c>
      <c r="E9" s="10" t="str">
        <f>IFERROR(__xludf.DUMMYFUNCTION("""COMPUTED_VALUE"""),"fjkfw")</f>
        <v>fjkfw</v>
      </c>
      <c r="F9" s="10">
        <f>IFERROR(__xludf.DUMMYFUNCTION("""COMPUTED_VALUE"""),150.0)</f>
        <v>150</v>
      </c>
      <c r="G9" s="10">
        <f>IFERROR(__xludf.DUMMYFUNCTION("""COMPUTED_VALUE"""),10.0)</f>
        <v>10</v>
      </c>
      <c r="H9" s="10">
        <f>IFERROR(__xludf.DUMMYFUNCTION("""COMPUTED_VALUE"""),10.0)</f>
        <v>10</v>
      </c>
      <c r="I9" s="10">
        <f>IFERROR(__xludf.DUMMYFUNCTION("""COMPUTED_VALUE"""),0.0)</f>
        <v>0</v>
      </c>
      <c r="J9" s="10">
        <f>IFERROR(__xludf.DUMMYFUNCTION("""COMPUTED_VALUE"""),1980.0)</f>
        <v>1980</v>
      </c>
      <c r="K9" s="10" t="str">
        <f>IFERROR(__xludf.DUMMYFUNCTION("""COMPUTED_VALUE"""),"No")</f>
        <v>No</v>
      </c>
      <c r="L9" s="10" t="str">
        <f>IFERROR(__xludf.DUMMYFUNCTION("""COMPUTED_VALUE"""),"No")</f>
        <v>No</v>
      </c>
      <c r="M9" s="10">
        <f>IFERROR(__xludf.DUMMYFUNCTION("""COMPUTED_VALUE"""),10.0)</f>
        <v>10</v>
      </c>
      <c r="N9" s="10" t="str">
        <f>IFERROR(__xludf.DUMMYFUNCTION("""COMPUTED_VALUE"""),"Yes")</f>
        <v>Yes</v>
      </c>
      <c r="O9" s="323">
        <f>IFERROR(__xludf.DUMMYFUNCTION("""COMPUTED_VALUE"""),1.0)</f>
        <v>1</v>
      </c>
      <c r="P9" s="10">
        <f>IFERROR(__xludf.DUMMYFUNCTION("""COMPUTED_VALUE"""),10.0)</f>
        <v>10</v>
      </c>
      <c r="Q9" s="10">
        <f>IFERROR(__xludf.DUMMYFUNCTION("""COMPUTED_VALUE"""),0.0)</f>
        <v>0</v>
      </c>
      <c r="R9" s="10">
        <f>IFERROR(__xludf.DUMMYFUNCTION("""COMPUTED_VALUE"""),10.0)</f>
        <v>10</v>
      </c>
      <c r="S9" s="18" t="str">
        <f>IFERROR(__xludf.DUMMYFUNCTION("""COMPUTED_VALUE"""),"https://drive.google.com/open?id=13IvzXX7w8wtefWKRPD2SB6k7GqjLkgL-")</f>
        <v>https://drive.google.com/open?id=13IvzXX7w8wtefWKRPD2SB6k7GqjLkgL-</v>
      </c>
      <c r="T9" s="18" t="str">
        <f>IFERROR(__xludf.DUMMYFUNCTION("""COMPUTED_VALUE"""),"https://drive.google.com/open?id=1Ecqqge_Th-hOWYxVCnSObMeyNKlvkI1K")</f>
        <v>https://drive.google.com/open?id=1Ecqqge_Th-hOWYxVCnSObMeyNKlvkI1K</v>
      </c>
      <c r="U9" s="18" t="str">
        <f>IFERROR(__xludf.DUMMYFUNCTION("""COMPUTED_VALUE"""),"https://drive.google.com/open?id=1pXgXrGaG0bTvVmClhccpP7w3OiEynF0m")</f>
        <v>https://drive.google.com/open?id=1pXgXrGaG0bTvVmClhccpP7w3OiEynF0m</v>
      </c>
      <c r="V9" s="10" t="str">
        <f>IFERROR(__xludf.DUMMYFUNCTION("""COMPUTED_VALUE"""),"No")</f>
        <v>No</v>
      </c>
      <c r="W9" s="10"/>
      <c r="X9" s="10" t="str">
        <f>IFERROR(__xludf.DUMMYFUNCTION("""COMPUTED_VALUE"""),"Yes")</f>
        <v>Yes</v>
      </c>
      <c r="Y9" s="14" t="str">
        <f>IFERROR(__xludf.DUMMYFUNCTION("""COMPUTED_VALUE"""),"m.bilalkhokhar013@gmail.com")</f>
        <v>m.bilalkhokhar013@gmail.com</v>
      </c>
      <c r="AA9" s="325">
        <v>1.0</v>
      </c>
    </row>
    <row r="10" hidden="1">
      <c r="A10" s="9">
        <f>IFERROR(__xludf.DUMMYFUNCTION("""COMPUTED_VALUE"""),45758.33148238426)</f>
        <v>45758.33148</v>
      </c>
      <c r="B10" s="10" t="str">
        <f>IFERROR(__xludf.DUMMYFUNCTION("""COMPUTED_VALUE"""),"Muhammad Ahsan ")</f>
        <v>Muhammad Ahsan </v>
      </c>
      <c r="C10" s="10" t="str">
        <f>IFERROR(__xludf.DUMMYFUNCTION("""COMPUTED_VALUE"""),"03078868667")</f>
        <v>03078868667</v>
      </c>
      <c r="D10" s="10" t="str">
        <f>IFERROR(__xludf.DUMMYFUNCTION("""COMPUTED_VALUE"""),"Jamia Masjid Takiya Sain Sardaara Lahore")</f>
        <v>Jamia Masjid Takiya Sain Sardaara Lahore</v>
      </c>
      <c r="E10" s="10" t="str">
        <f>IFERROR(__xludf.DUMMYFUNCTION("""COMPUTED_VALUE"""),"vtoiy")</f>
        <v>vtoiy</v>
      </c>
      <c r="F10" s="10">
        <f>IFERROR(__xludf.DUMMYFUNCTION("""COMPUTED_VALUE"""),600.0)</f>
        <v>600</v>
      </c>
      <c r="G10" s="10">
        <f>IFERROR(__xludf.DUMMYFUNCTION("""COMPUTED_VALUE"""),9.0)</f>
        <v>9</v>
      </c>
      <c r="H10" s="10">
        <f>IFERROR(__xludf.DUMMYFUNCTION("""COMPUTED_VALUE"""),10.0)</f>
        <v>10</v>
      </c>
      <c r="I10" s="10">
        <f>IFERROR(__xludf.DUMMYFUNCTION("""COMPUTED_VALUE"""),0.0)</f>
        <v>0</v>
      </c>
      <c r="J10" s="10" t="str">
        <f>IFERROR(__xludf.DUMMYFUNCTION("""COMPUTED_VALUE"""),"0000")</f>
        <v>0000</v>
      </c>
      <c r="K10" s="10" t="str">
        <f>IFERROR(__xludf.DUMMYFUNCTION("""COMPUTED_VALUE"""),"No")</f>
        <v>No</v>
      </c>
      <c r="L10" s="10" t="str">
        <f>IFERROR(__xludf.DUMMYFUNCTION("""COMPUTED_VALUE"""),"No")</f>
        <v>No</v>
      </c>
      <c r="M10" s="10">
        <f>IFERROR(__xludf.DUMMYFUNCTION("""COMPUTED_VALUE"""),8.0)</f>
        <v>8</v>
      </c>
      <c r="N10" s="10" t="str">
        <f>IFERROR(__xludf.DUMMYFUNCTION("""COMPUTED_VALUE"""),"Yes")</f>
        <v>Yes</v>
      </c>
      <c r="O10" s="323">
        <f>IFERROR(__xludf.DUMMYFUNCTION("""COMPUTED_VALUE"""),0.9)</f>
        <v>0.9</v>
      </c>
      <c r="P10" s="10">
        <f>IFERROR(__xludf.DUMMYFUNCTION("""COMPUTED_VALUE"""),9.0)</f>
        <v>9</v>
      </c>
      <c r="Q10" s="10">
        <f>IFERROR(__xludf.DUMMYFUNCTION("""COMPUTED_VALUE"""),2.0)</f>
        <v>2</v>
      </c>
      <c r="R10" s="10">
        <f>IFERROR(__xludf.DUMMYFUNCTION("""COMPUTED_VALUE"""),9.0)</f>
        <v>9</v>
      </c>
      <c r="S10" s="18" t="str">
        <f>IFERROR(__xludf.DUMMYFUNCTION("""COMPUTED_VALUE"""),"https://drive.google.com/file/d/1sF_n_2OyD_wEGOTyLM3jj-IPCKk43z2g/view")</f>
        <v>https://drive.google.com/file/d/1sF_n_2OyD_wEGOTyLM3jj-IPCKk43z2g/view</v>
      </c>
      <c r="T10" s="18" t="str">
        <f>IFERROR(__xludf.DUMMYFUNCTION("""COMPUTED_VALUE"""),"https://drive.google.com/open?id=1OJU-0hIZcS7BvsT0Hs4Z85U2OAszd5aR")</f>
        <v>https://drive.google.com/open?id=1OJU-0hIZcS7BvsT0Hs4Z85U2OAszd5aR</v>
      </c>
      <c r="U10" s="18" t="str">
        <f>IFERROR(__xludf.DUMMYFUNCTION("""COMPUTED_VALUE"""),"https://drive.google.com/open?id=1pbvV0wfvf_PcOhC28q0zN6KKOWQP1HQm")</f>
        <v>https://drive.google.com/open?id=1pbvV0wfvf_PcOhC28q0zN6KKOWQP1HQm</v>
      </c>
      <c r="V10" s="10"/>
      <c r="W10" s="10"/>
      <c r="X10" s="10" t="str">
        <f>IFERROR(__xludf.DUMMYFUNCTION("""COMPUTED_VALUE"""),"Yes")</f>
        <v>Yes</v>
      </c>
      <c r="Y10" s="14" t="str">
        <f>IFERROR(__xludf.DUMMYFUNCTION("""COMPUTED_VALUE"""),"ahsanhamid496@gmail.com")</f>
        <v>ahsanhamid496@gmail.com</v>
      </c>
      <c r="AA10" s="325">
        <v>1.0</v>
      </c>
    </row>
    <row r="11" hidden="1">
      <c r="A11" s="9">
        <f>IFERROR(__xludf.DUMMYFUNCTION("""COMPUTED_VALUE"""),45758.337581608794)</f>
        <v>45758.33758</v>
      </c>
      <c r="B11" s="10" t="str">
        <f>IFERROR(__xludf.DUMMYFUNCTION("""COMPUTED_VALUE"""),"Muhammad saqib ")</f>
        <v>Muhammad saqib </v>
      </c>
      <c r="C11" s="10" t="str">
        <f>IFERROR(__xludf.DUMMYFUNCTION("""COMPUTED_VALUE"""),"03234041429")</f>
        <v>03234041429</v>
      </c>
      <c r="D11" s="10" t="str">
        <f>IFERROR(__xludf.DUMMYFUNCTION("""COMPUTED_VALUE"""),"Jamia masjid meeran hussain ranjani")</f>
        <v>Jamia masjid meeran hussain ranjani</v>
      </c>
      <c r="E11" s="10" t="str">
        <f>IFERROR(__xludf.DUMMYFUNCTION("""COMPUTED_VALUE"""),"Yhrds")</f>
        <v>Yhrds</v>
      </c>
      <c r="F11" s="10">
        <f>IFERROR(__xludf.DUMMYFUNCTION("""COMPUTED_VALUE"""),520.0)</f>
        <v>520</v>
      </c>
      <c r="G11" s="10">
        <f>IFERROR(__xludf.DUMMYFUNCTION("""COMPUTED_VALUE"""),10.0)</f>
        <v>10</v>
      </c>
      <c r="H11" s="10">
        <f>IFERROR(__xludf.DUMMYFUNCTION("""COMPUTED_VALUE"""),9.0)</f>
        <v>9</v>
      </c>
      <c r="I11" s="10">
        <f>IFERROR(__xludf.DUMMYFUNCTION("""COMPUTED_VALUE"""),1.0)</f>
        <v>1</v>
      </c>
      <c r="J11" s="10">
        <f>IFERROR(__xludf.DUMMYFUNCTION("""COMPUTED_VALUE"""),1950.0)</f>
        <v>1950</v>
      </c>
      <c r="K11" s="10" t="str">
        <f>IFERROR(__xludf.DUMMYFUNCTION("""COMPUTED_VALUE"""),"Yes")</f>
        <v>Yes</v>
      </c>
      <c r="L11" s="10" t="str">
        <f>IFERROR(__xludf.DUMMYFUNCTION("""COMPUTED_VALUE"""),"Meeran hussain ")</f>
        <v>Meeran hussain </v>
      </c>
      <c r="M11" s="10">
        <f>IFERROR(__xludf.DUMMYFUNCTION("""COMPUTED_VALUE"""),7.0)</f>
        <v>7</v>
      </c>
      <c r="N11" s="10" t="str">
        <f>IFERROR(__xludf.DUMMYFUNCTION("""COMPUTED_VALUE"""),"Yes")</f>
        <v>Yes</v>
      </c>
      <c r="O11" s="323">
        <f>IFERROR(__xludf.DUMMYFUNCTION("""COMPUTED_VALUE"""),0.9)</f>
        <v>0.9</v>
      </c>
      <c r="P11" s="10">
        <f>IFERROR(__xludf.DUMMYFUNCTION("""COMPUTED_VALUE"""),9.0)</f>
        <v>9</v>
      </c>
      <c r="Q11" s="10">
        <f>IFERROR(__xludf.DUMMYFUNCTION("""COMPUTED_VALUE"""),5.0)</f>
        <v>5</v>
      </c>
      <c r="R11" s="10">
        <f>IFERROR(__xludf.DUMMYFUNCTION("""COMPUTED_VALUE"""),9.0)</f>
        <v>9</v>
      </c>
      <c r="S11" s="18" t="str">
        <f>IFERROR(__xludf.DUMMYFUNCTION("""COMPUTED_VALUE"""),"https://drive.google.com/open?id=1WY3tsNfCSkvGRzQckXAOK8QuzfeTi_S_")</f>
        <v>https://drive.google.com/open?id=1WY3tsNfCSkvGRzQckXAOK8QuzfeTi_S_</v>
      </c>
      <c r="T11" s="18" t="str">
        <f>IFERROR(__xludf.DUMMYFUNCTION("""COMPUTED_VALUE"""),"https://drive.google.com/open?id=1xiu1_Q8NtK6FoCiUixH9dekcUkseyfba")</f>
        <v>https://drive.google.com/open?id=1xiu1_Q8NtK6FoCiUixH9dekcUkseyfba</v>
      </c>
      <c r="U11" s="18" t="str">
        <f>IFERROR(__xludf.DUMMYFUNCTION("""COMPUTED_VALUE"""),"https://drive.google.com/open?id=1lvKLw2_cOGoRc39eLYc2buzqm7rdQtD0")</f>
        <v>https://drive.google.com/open?id=1lvKLw2_cOGoRc39eLYc2buzqm7rdQtD0</v>
      </c>
      <c r="V11" s="10"/>
      <c r="W11" s="10"/>
      <c r="X11" s="10" t="str">
        <f>IFERROR(__xludf.DUMMYFUNCTION("""COMPUTED_VALUE"""),"Yes")</f>
        <v>Yes</v>
      </c>
      <c r="Y11" s="14" t="str">
        <f>IFERROR(__xludf.DUMMYFUNCTION("""COMPUTED_VALUE"""),"sheikhsaqib003@gmail.com")</f>
        <v>sheikhsaqib003@gmail.com</v>
      </c>
      <c r="AA11" s="325">
        <v>1.0</v>
      </c>
    </row>
    <row r="12" hidden="1">
      <c r="A12" s="9">
        <f>IFERROR(__xludf.DUMMYFUNCTION("""COMPUTED_VALUE"""),45758.33779734954)</f>
        <v>45758.3378</v>
      </c>
      <c r="B12" s="10" t="str">
        <f>IFERROR(__xludf.DUMMYFUNCTION("""COMPUTED_VALUE"""),"Muhammad Haris ")</f>
        <v>Muhammad Haris </v>
      </c>
      <c r="C12" s="10" t="str">
        <f>IFERROR(__xludf.DUMMYFUNCTION("""COMPUTED_VALUE"""),"03204565224")</f>
        <v>03204565224</v>
      </c>
      <c r="D12" s="10" t="str">
        <f>IFERROR(__xludf.DUMMYFUNCTION("""COMPUTED_VALUE"""),"Jamia Masjid Hanfiya Ghosia Scheme 2 Lahore")</f>
        <v>Jamia Masjid Hanfiya Ghosia Scheme 2 Lahore</v>
      </c>
      <c r="E12" s="10" t="str">
        <f>IFERROR(__xludf.DUMMYFUNCTION("""COMPUTED_VALUE"""),"CWFIM")</f>
        <v>CWFIM</v>
      </c>
      <c r="F12" s="10">
        <f>IFERROR(__xludf.DUMMYFUNCTION("""COMPUTED_VALUE"""),730.0)</f>
        <v>730</v>
      </c>
      <c r="G12" s="10">
        <f>IFERROR(__xludf.DUMMYFUNCTION("""COMPUTED_VALUE"""),8.0)</f>
        <v>8</v>
      </c>
      <c r="H12" s="10">
        <f>IFERROR(__xludf.DUMMYFUNCTION("""COMPUTED_VALUE"""),9.0)</f>
        <v>9</v>
      </c>
      <c r="I12" s="10">
        <f>IFERROR(__xludf.DUMMYFUNCTION("""COMPUTED_VALUE"""),0.0)</f>
        <v>0</v>
      </c>
      <c r="J12" s="10">
        <f>IFERROR(__xludf.DUMMYFUNCTION("""COMPUTED_VALUE"""),1955.0)</f>
        <v>1955</v>
      </c>
      <c r="K12" s="10" t="str">
        <f>IFERROR(__xludf.DUMMYFUNCTION("""COMPUTED_VALUE"""),"Yes")</f>
        <v>Yes</v>
      </c>
      <c r="L12" s="10">
        <f>IFERROR(__xludf.DUMMYFUNCTION("""COMPUTED_VALUE"""),0.0)</f>
        <v>0</v>
      </c>
      <c r="M12" s="10">
        <f>IFERROR(__xludf.DUMMYFUNCTION("""COMPUTED_VALUE"""),9.0)</f>
        <v>9</v>
      </c>
      <c r="N12" s="10" t="str">
        <f>IFERROR(__xludf.DUMMYFUNCTION("""COMPUTED_VALUE"""),"No")</f>
        <v>No</v>
      </c>
      <c r="O12" s="10"/>
      <c r="P12" s="10"/>
      <c r="Q12" s="10"/>
      <c r="R12" s="10"/>
      <c r="S12" s="18" t="str">
        <f>IFERROR(__xludf.DUMMYFUNCTION("""COMPUTED_VALUE"""),"https://drive.google.com/open?id=1-2QpoEeJL5e_V0oLaThQKGFWREeeY5B3")</f>
        <v>https://drive.google.com/open?id=1-2QpoEeJL5e_V0oLaThQKGFWREeeY5B3</v>
      </c>
      <c r="T12" s="18" t="str">
        <f>IFERROR(__xludf.DUMMYFUNCTION("""COMPUTED_VALUE"""),"https://drive.google.com/open?id=1hwExPMXfydUM6QbRn4LkWtXUX25WHulQ")</f>
        <v>https://drive.google.com/open?id=1hwExPMXfydUM6QbRn4LkWtXUX25WHulQ</v>
      </c>
      <c r="U12" s="18" t="str">
        <f>IFERROR(__xludf.DUMMYFUNCTION("""COMPUTED_VALUE"""),"https://drive.google.com/open?id=10ekFBlqlvCwt-hJG1XhzTtrZ9QtL3NsA")</f>
        <v>https://drive.google.com/open?id=10ekFBlqlvCwt-hJG1XhzTtrZ9QtL3NsA</v>
      </c>
      <c r="V12" s="10" t="str">
        <f>IFERROR(__xludf.DUMMYFUNCTION("""COMPUTED_VALUE"""),"Khateeb ny mokay per kaha ky wo hmaray kutba next week mei pry gha. ")</f>
        <v>Khateeb ny mokay per kaha ky wo hmaray kutba next week mei pry gha. </v>
      </c>
      <c r="W12" s="10"/>
      <c r="X12" s="10"/>
      <c r="Y12" s="14" t="str">
        <f>IFERROR(__xludf.DUMMYFUNCTION("""COMPUTED_VALUE"""),"mianharisamjad284@gmail.com")</f>
        <v>mianharisamjad284@gmail.com</v>
      </c>
      <c r="AA12" s="325">
        <v>1.0</v>
      </c>
    </row>
    <row r="13" hidden="1">
      <c r="A13" s="9">
        <f>IFERROR(__xludf.DUMMYFUNCTION("""COMPUTED_VALUE"""),45758.35824976852)</f>
        <v>45758.35825</v>
      </c>
      <c r="B13" s="10" t="str">
        <f>IFERROR(__xludf.DUMMYFUNCTION("""COMPUTED_VALUE"""),"Babar Ali")</f>
        <v>Babar Ali</v>
      </c>
      <c r="C13" s="10" t="str">
        <f>IFERROR(__xludf.DUMMYFUNCTION("""COMPUTED_VALUE"""),"03011297393")</f>
        <v>03011297393</v>
      </c>
      <c r="D13" s="10" t="str">
        <f>IFERROR(__xludf.DUMMYFUNCTION("""COMPUTED_VALUE"""),"Noorani jamia masjid")</f>
        <v>Noorani jamia masjid</v>
      </c>
      <c r="E13" s="10" t="str">
        <f>IFERROR(__xludf.DUMMYFUNCTION("""COMPUTED_VALUE"""),"Hkeci")</f>
        <v>Hkeci</v>
      </c>
      <c r="F13" s="10">
        <f>IFERROR(__xludf.DUMMYFUNCTION("""COMPUTED_VALUE"""),380.0)</f>
        <v>380</v>
      </c>
      <c r="G13" s="10">
        <f>IFERROR(__xludf.DUMMYFUNCTION("""COMPUTED_VALUE"""),4.0)</f>
        <v>4</v>
      </c>
      <c r="H13" s="10">
        <f>IFERROR(__xludf.DUMMYFUNCTION("""COMPUTED_VALUE"""),7.0)</f>
        <v>7</v>
      </c>
      <c r="I13" s="10">
        <f>IFERROR(__xludf.DUMMYFUNCTION("""COMPUTED_VALUE"""),2.0)</f>
        <v>2</v>
      </c>
      <c r="J13" s="10">
        <f>IFERROR(__xludf.DUMMYFUNCTION("""COMPUTED_VALUE"""),1955.0)</f>
        <v>1955</v>
      </c>
      <c r="K13" s="10" t="str">
        <f>IFERROR(__xludf.DUMMYFUNCTION("""COMPUTED_VALUE"""),"No")</f>
        <v>No</v>
      </c>
      <c r="L13" s="10" t="str">
        <f>IFERROR(__xludf.DUMMYFUNCTION("""COMPUTED_VALUE"""),"No")</f>
        <v>No</v>
      </c>
      <c r="M13" s="10">
        <f>IFERROR(__xludf.DUMMYFUNCTION("""COMPUTED_VALUE"""),7.0)</f>
        <v>7</v>
      </c>
      <c r="N13" s="10" t="str">
        <f>IFERROR(__xludf.DUMMYFUNCTION("""COMPUTED_VALUE"""),"Yes")</f>
        <v>Yes</v>
      </c>
      <c r="O13" s="323">
        <f>IFERROR(__xludf.DUMMYFUNCTION("""COMPUTED_VALUE"""),1.0)</f>
        <v>1</v>
      </c>
      <c r="P13" s="10">
        <f>IFERROR(__xludf.DUMMYFUNCTION("""COMPUTED_VALUE"""),9.0)</f>
        <v>9</v>
      </c>
      <c r="Q13" s="10">
        <f>IFERROR(__xludf.DUMMYFUNCTION("""COMPUTED_VALUE"""),1.0)</f>
        <v>1</v>
      </c>
      <c r="R13" s="10">
        <f>IFERROR(__xludf.DUMMYFUNCTION("""COMPUTED_VALUE"""),9.0)</f>
        <v>9</v>
      </c>
      <c r="S13" s="18" t="str">
        <f>IFERROR(__xludf.DUMMYFUNCTION("""COMPUTED_VALUE"""),"https://drive.google.com/open?id=1t28c_QM80AEFd4lDriCXH7vdGLm7V1BF")</f>
        <v>https://drive.google.com/open?id=1t28c_QM80AEFd4lDriCXH7vdGLm7V1BF</v>
      </c>
      <c r="T13" s="18" t="str">
        <f>IFERROR(__xludf.DUMMYFUNCTION("""COMPUTED_VALUE"""),"https://drive.google.com/open?id=1uK5cfAmapH9y3qz_xwxMHPuJzk0B7owb")</f>
        <v>https://drive.google.com/open?id=1uK5cfAmapH9y3qz_xwxMHPuJzk0B7owb</v>
      </c>
      <c r="U13" s="18" t="str">
        <f>IFERROR(__xludf.DUMMYFUNCTION("""COMPUTED_VALUE"""),"https://drive.google.com/open?id=1sA0rzef59Gh1VSSQg0mKdH6vFXEg5Ixs")</f>
        <v>https://drive.google.com/open?id=1sA0rzef59Gh1VSSQg0mKdH6vFXEg5Ixs</v>
      </c>
      <c r="V13" s="10"/>
      <c r="W13" s="10"/>
      <c r="X13" s="10" t="str">
        <f>IFERROR(__xludf.DUMMYFUNCTION("""COMPUTED_VALUE"""),"Yes")</f>
        <v>Yes</v>
      </c>
      <c r="Y13" s="14" t="str">
        <f>IFERROR(__xludf.DUMMYFUNCTION("""COMPUTED_VALUE"""),"babarrasheed341@gmail.com")</f>
        <v>babarrasheed341@gmail.com</v>
      </c>
      <c r="AA13" s="325">
        <v>1.0</v>
      </c>
    </row>
    <row r="14" hidden="1">
      <c r="A14" s="9">
        <f>IFERROR(__xludf.DUMMYFUNCTION("""COMPUTED_VALUE"""),45758.3610125)</f>
        <v>45758.36101</v>
      </c>
      <c r="B14" s="10" t="str">
        <f>IFERROR(__xludf.DUMMYFUNCTION("""COMPUTED_VALUE"""),"Usman Tariq ")</f>
        <v>Usman Tariq </v>
      </c>
      <c r="C14" s="10" t="str">
        <f>IFERROR(__xludf.DUMMYFUNCTION("""COMPUTED_VALUE"""),"03015732031")</f>
        <v>03015732031</v>
      </c>
      <c r="D14" s="10" t="str">
        <f>IFERROR(__xludf.DUMMYFUNCTION("""COMPUTED_VALUE"""),"Jamiea masjid sheikh sikandar ")</f>
        <v>Jamiea masjid sheikh sikandar </v>
      </c>
      <c r="E14" s="10" t="str">
        <f>IFERROR(__xludf.DUMMYFUNCTION("""COMPUTED_VALUE"""),"jypnp")</f>
        <v>jypnp</v>
      </c>
      <c r="F14" s="10">
        <f>IFERROR(__xludf.DUMMYFUNCTION("""COMPUTED_VALUE"""),150.0)</f>
        <v>150</v>
      </c>
      <c r="G14" s="10">
        <f>IFERROR(__xludf.DUMMYFUNCTION("""COMPUTED_VALUE"""),8.0)</f>
        <v>8</v>
      </c>
      <c r="H14" s="10">
        <f>IFERROR(__xludf.DUMMYFUNCTION("""COMPUTED_VALUE"""),8.0)</f>
        <v>8</v>
      </c>
      <c r="I14" s="10">
        <f>IFERROR(__xludf.DUMMYFUNCTION("""COMPUTED_VALUE"""),0.0)</f>
        <v>0</v>
      </c>
      <c r="J14" s="10">
        <f>IFERROR(__xludf.DUMMYFUNCTION("""COMPUTED_VALUE"""),2000.0)</f>
        <v>2000</v>
      </c>
      <c r="K14" s="10" t="str">
        <f>IFERROR(__xludf.DUMMYFUNCTION("""COMPUTED_VALUE"""),"No")</f>
        <v>No</v>
      </c>
      <c r="L14" s="10" t="str">
        <f>IFERROR(__xludf.DUMMYFUNCTION("""COMPUTED_VALUE"""),"No")</f>
        <v>No</v>
      </c>
      <c r="M14" s="10">
        <f>IFERROR(__xludf.DUMMYFUNCTION("""COMPUTED_VALUE"""),10.0)</f>
        <v>10</v>
      </c>
      <c r="N14" s="10" t="str">
        <f>IFERROR(__xludf.DUMMYFUNCTION("""COMPUTED_VALUE"""),"Yes")</f>
        <v>Yes</v>
      </c>
      <c r="O14" s="323">
        <f>IFERROR(__xludf.DUMMYFUNCTION("""COMPUTED_VALUE"""),0.2)</f>
        <v>0.2</v>
      </c>
      <c r="P14" s="10">
        <f>IFERROR(__xludf.DUMMYFUNCTION("""COMPUTED_VALUE"""),2.0)</f>
        <v>2</v>
      </c>
      <c r="Q14" s="10">
        <f>IFERROR(__xludf.DUMMYFUNCTION("""COMPUTED_VALUE"""),8.0)</f>
        <v>8</v>
      </c>
      <c r="R14" s="10">
        <f>IFERROR(__xludf.DUMMYFUNCTION("""COMPUTED_VALUE"""),2.0)</f>
        <v>2</v>
      </c>
      <c r="S14" s="10" t="str">
        <f>IFERROR(__xludf.DUMMYFUNCTION("""COMPUTED_VALUE"""),"https://drive.google.com/open?id=1QQAy0rcgQ4qQ0ywXokEUF3p4U0GAsNph, https://drive.google.com/open?id=1XJHt05f4yVoF9eWqnfblFtorMpTgwE6y, https://drive.google.com/open?id=1a_ObuWi7aUpMPVDGRDVeyR47KFffSrqd")</f>
        <v>https://drive.google.com/open?id=1QQAy0rcgQ4qQ0ywXokEUF3p4U0GAsNph, https://drive.google.com/open?id=1XJHt05f4yVoF9eWqnfblFtorMpTgwE6y, https://drive.google.com/open?id=1a_ObuWi7aUpMPVDGRDVeyR47KFffSrqd</v>
      </c>
      <c r="T14" s="10" t="str">
        <f>IFERROR(__xludf.DUMMYFUNCTION("""COMPUTED_VALUE"""),"https://drive.google.com/open?id=1bIZ7Wvf2OjQ1xNQs-bU6ICb9Koye1dvq, https://drive.google.com/open?id=1FmKaCliLM_pM3-YSeRH1irY7wyZPoYlA, https://drive.google.com/open?id=1pRRSj7aPSuB4g5ZSrMGWD_g9jOxFZLkt, https://drive.google.com/open?id=1mQ7UMVBJFF5-ljX1_"&amp;"okeEfLO3uIbM8tC, https://drive.google.com/open?id=146dyxcBm0zvm3tYqwzSep_q7QemJ9O7C")</f>
        <v>https://drive.google.com/open?id=1bIZ7Wvf2OjQ1xNQs-bU6ICb9Koye1dvq, https://drive.google.com/open?id=1FmKaCliLM_pM3-YSeRH1irY7wyZPoYlA, https://drive.google.com/open?id=1pRRSj7aPSuB4g5ZSrMGWD_g9jOxFZLkt, https://drive.google.com/open?id=1mQ7UMVBJFF5-ljX1_okeEfLO3uIbM8tC, https://drive.google.com/open?id=146dyxcBm0zvm3tYqwzSep_q7QemJ9O7C</v>
      </c>
      <c r="U14" s="10" t="str">
        <f>IFERROR(__xludf.DUMMYFUNCTION("""COMPUTED_VALUE"""),"https://drive.google.com/open?id=1yzwYTfRT2T2jBCL1WiElUqqcHeBWfYSb, https://drive.google.com/open?id=11n-V8KrTVvX42kSw9hm_pcbVEMxc7Fu9")</f>
        <v>https://drive.google.com/open?id=1yzwYTfRT2T2jBCL1WiElUqqcHeBWfYSb, https://drive.google.com/open?id=11n-V8KrTVvX42kSw9hm_pcbVEMxc7Fu9</v>
      </c>
      <c r="V14" s="10" t="str">
        <f>IFERROR(__xludf.DUMMYFUNCTION("""COMPUTED_VALUE"""),"No")</f>
        <v>No</v>
      </c>
      <c r="W14" s="10"/>
      <c r="X14" s="10" t="str">
        <f>IFERROR(__xludf.DUMMYFUNCTION("""COMPUTED_VALUE"""),"Yes")</f>
        <v>Yes</v>
      </c>
      <c r="Y14" s="14" t="str">
        <f>IFERROR(__xludf.DUMMYFUNCTION("""COMPUTED_VALUE"""),"usmanrumi31@gmail.com")</f>
        <v>usmanrumi31@gmail.com</v>
      </c>
      <c r="AA14" s="325">
        <v>1.0</v>
      </c>
    </row>
    <row r="15" hidden="1">
      <c r="A15" s="9">
        <f>IFERROR(__xludf.DUMMYFUNCTION("""COMPUTED_VALUE"""),45758.37217475694)</f>
        <v>45758.37217</v>
      </c>
      <c r="B15" s="10" t="str">
        <f>IFERROR(__xludf.DUMMYFUNCTION("""COMPUTED_VALUE"""),"Dilawar Abbas")</f>
        <v>Dilawar Abbas</v>
      </c>
      <c r="C15" s="10" t="str">
        <f>IFERROR(__xludf.DUMMYFUNCTION("""COMPUTED_VALUE"""),"03095378593")</f>
        <v>03095378593</v>
      </c>
      <c r="D15" s="10" t="str">
        <f>IFERROR(__xludf.DUMMYFUNCTION("""COMPUTED_VALUE"""),"Jamia Masjid Noor Eman Wala")</f>
        <v>Jamia Masjid Noor Eman Wala</v>
      </c>
      <c r="E15" s="10" t="str">
        <f>IFERROR(__xludf.DUMMYFUNCTION("""COMPUTED_VALUE"""),"TNJAZ")</f>
        <v>TNJAZ</v>
      </c>
      <c r="F15" s="10">
        <f>IFERROR(__xludf.DUMMYFUNCTION("""COMPUTED_VALUE"""),93.0)</f>
        <v>93</v>
      </c>
      <c r="G15" s="10">
        <f>IFERROR(__xludf.DUMMYFUNCTION("""COMPUTED_VALUE"""),7.0)</f>
        <v>7</v>
      </c>
      <c r="H15" s="10">
        <f>IFERROR(__xludf.DUMMYFUNCTION("""COMPUTED_VALUE"""),7.0)</f>
        <v>7</v>
      </c>
      <c r="I15" s="10">
        <f>IFERROR(__xludf.DUMMYFUNCTION("""COMPUTED_VALUE"""),0.0)</f>
        <v>0</v>
      </c>
      <c r="J15" s="10">
        <f>IFERROR(__xludf.DUMMYFUNCTION("""COMPUTED_VALUE"""),1990.0)</f>
        <v>1990</v>
      </c>
      <c r="K15" s="10" t="str">
        <f>IFERROR(__xludf.DUMMYFUNCTION("""COMPUTED_VALUE"""),"No")</f>
        <v>No</v>
      </c>
      <c r="L15" s="10" t="str">
        <f>IFERROR(__xludf.DUMMYFUNCTION("""COMPUTED_VALUE"""),"No")</f>
        <v>No</v>
      </c>
      <c r="M15" s="10">
        <f>IFERROR(__xludf.DUMMYFUNCTION("""COMPUTED_VALUE"""),9.0)</f>
        <v>9</v>
      </c>
      <c r="N15" s="10" t="str">
        <f>IFERROR(__xludf.DUMMYFUNCTION("""COMPUTED_VALUE"""),"Yes")</f>
        <v>Yes</v>
      </c>
      <c r="O15" s="323">
        <f>IFERROR(__xludf.DUMMYFUNCTION("""COMPUTED_VALUE"""),0.0)</f>
        <v>0</v>
      </c>
      <c r="P15" s="10">
        <f>IFERROR(__xludf.DUMMYFUNCTION("""COMPUTED_VALUE"""),0.0)</f>
        <v>0</v>
      </c>
      <c r="Q15" s="10">
        <f>IFERROR(__xludf.DUMMYFUNCTION("""COMPUTED_VALUE"""),10.0)</f>
        <v>10</v>
      </c>
      <c r="R15" s="10">
        <f>IFERROR(__xludf.DUMMYFUNCTION("""COMPUTED_VALUE"""),10.0)</f>
        <v>10</v>
      </c>
      <c r="S15" s="18" t="str">
        <f>IFERROR(__xludf.DUMMYFUNCTION("""COMPUTED_VALUE"""),"https://drive.google.com/open?id=1HWK2N4ppCDwY1Kc258Lr8Dg8SdFbol6b")</f>
        <v>https://drive.google.com/open?id=1HWK2N4ppCDwY1Kc258Lr8Dg8SdFbol6b</v>
      </c>
      <c r="T15" s="18" t="str">
        <f>IFERROR(__xludf.DUMMYFUNCTION("""COMPUTED_VALUE"""),"https://drive.google.com/file/d/1BKYwxunTVjmTGQVZO24H-64oVlGGxz2p/view")</f>
        <v>https://drive.google.com/file/d/1BKYwxunTVjmTGQVZO24H-64oVlGGxz2p/view</v>
      </c>
      <c r="U15" s="18" t="str">
        <f>IFERROR(__xludf.DUMMYFUNCTION("""COMPUTED_VALUE"""),"https://drive.google.com/open?id=1mJbDNYlkHSJWfb_1vLE6XDAqeVHe6j3e")</f>
        <v>https://drive.google.com/open?id=1mJbDNYlkHSJWfb_1vLE6XDAqeVHe6j3e</v>
      </c>
      <c r="V15" s="10"/>
      <c r="W15" s="10"/>
      <c r="X15" s="10" t="str">
        <f>IFERROR(__xludf.DUMMYFUNCTION("""COMPUTED_VALUE"""),"Yes")</f>
        <v>Yes</v>
      </c>
      <c r="Y15" s="14" t="str">
        <f>IFERROR(__xludf.DUMMYFUNCTION("""COMPUTED_VALUE"""),"dilawarkhan1172@gmail.com")</f>
        <v>dilawarkhan1172@gmail.com</v>
      </c>
      <c r="AA15" s="325">
        <v>1.0</v>
      </c>
    </row>
    <row r="16" hidden="1">
      <c r="A16" s="9">
        <f>IFERROR(__xludf.DUMMYFUNCTION("""COMPUTED_VALUE"""),45758.38760018519)</f>
        <v>45758.3876</v>
      </c>
      <c r="B16" s="10" t="str">
        <f>IFERROR(__xludf.DUMMYFUNCTION("""COMPUTED_VALUE"""),"Muhammad asif kaleem")</f>
        <v>Muhammad asif kaleem</v>
      </c>
      <c r="C16" s="10" t="str">
        <f>IFERROR(__xludf.DUMMYFUNCTION("""COMPUTED_VALUE"""),"03228810855")</f>
        <v>03228810855</v>
      </c>
      <c r="D16" s="10" t="str">
        <f>IFERROR(__xludf.DUMMYFUNCTION("""COMPUTED_VALUE"""),"Jamia masjid dehli muslim")</f>
        <v>Jamia masjid dehli muslim</v>
      </c>
      <c r="E16" s="10" t="str">
        <f>IFERROR(__xludf.DUMMYFUNCTION("""COMPUTED_VALUE"""),"IEYAF")</f>
        <v>IEYAF</v>
      </c>
      <c r="F16" s="10">
        <f>IFERROR(__xludf.DUMMYFUNCTION("""COMPUTED_VALUE"""),432.0)</f>
        <v>432</v>
      </c>
      <c r="G16" s="10">
        <f>IFERROR(__xludf.DUMMYFUNCTION("""COMPUTED_VALUE"""),4.0)</f>
        <v>4</v>
      </c>
      <c r="H16" s="10">
        <f>IFERROR(__xludf.DUMMYFUNCTION("""COMPUTED_VALUE"""),6.0)</f>
        <v>6</v>
      </c>
      <c r="I16" s="10">
        <f>IFERROR(__xludf.DUMMYFUNCTION("""COMPUTED_VALUE"""),2.0)</f>
        <v>2</v>
      </c>
      <c r="J16" s="10">
        <f>IFERROR(__xludf.DUMMYFUNCTION("""COMPUTED_VALUE"""),1937.0)</f>
        <v>1937</v>
      </c>
      <c r="K16" s="10" t="str">
        <f>IFERROR(__xludf.DUMMYFUNCTION("""COMPUTED_VALUE"""),"No")</f>
        <v>No</v>
      </c>
      <c r="L16" s="10" t="str">
        <f>IFERROR(__xludf.DUMMYFUNCTION("""COMPUTED_VALUE"""),"No")</f>
        <v>No</v>
      </c>
      <c r="M16" s="10">
        <f>IFERROR(__xludf.DUMMYFUNCTION("""COMPUTED_VALUE"""),7.0)</f>
        <v>7</v>
      </c>
      <c r="N16" s="10" t="str">
        <f>IFERROR(__xludf.DUMMYFUNCTION("""COMPUTED_VALUE"""),"Yes")</f>
        <v>Yes</v>
      </c>
      <c r="O16" s="323">
        <f>IFERROR(__xludf.DUMMYFUNCTION("""COMPUTED_VALUE"""),0.0)</f>
        <v>0</v>
      </c>
      <c r="P16" s="10">
        <f>IFERROR(__xludf.DUMMYFUNCTION("""COMPUTED_VALUE"""),0.0)</f>
        <v>0</v>
      </c>
      <c r="Q16" s="10">
        <f>IFERROR(__xludf.DUMMYFUNCTION("""COMPUTED_VALUE"""),10.0)</f>
        <v>10</v>
      </c>
      <c r="R16" s="10">
        <f>IFERROR(__xludf.DUMMYFUNCTION("""COMPUTED_VALUE"""),0.0)</f>
        <v>0</v>
      </c>
      <c r="S16" s="18" t="str">
        <f>IFERROR(__xludf.DUMMYFUNCTION("""COMPUTED_VALUE"""),"https://drive.google.com/open?id=1yBoHJKJAs-dN8lP-ZYYrlowalQvAD8Y_")</f>
        <v>https://drive.google.com/open?id=1yBoHJKJAs-dN8lP-ZYYrlowalQvAD8Y_</v>
      </c>
      <c r="T16" s="18" t="str">
        <f>IFERROR(__xludf.DUMMYFUNCTION("""COMPUTED_VALUE"""),"https://drive.google.com/open?id=1x_Z2tLnluG4DjOHBD5VaYFUVejq9AUas")</f>
        <v>https://drive.google.com/open?id=1x_Z2tLnluG4DjOHBD5VaYFUVejq9AUas</v>
      </c>
      <c r="U16" s="18" t="str">
        <f>IFERROR(__xludf.DUMMYFUNCTION("""COMPUTED_VALUE"""),"https://drive.google.com/open?id=1qL5pNc0cGybPR3eQUic6MzwuRa3-KZ3j")</f>
        <v>https://drive.google.com/open?id=1qL5pNc0cGybPR3eQUic6MzwuRa3-KZ3j</v>
      </c>
      <c r="V16" s="10" t="str">
        <f>IFERROR(__xludf.DUMMYFUNCTION("""COMPUTED_VALUE"""),"The imam did not read the sermon given in the mosque")</f>
        <v>The imam did not read the sermon given in the mosque</v>
      </c>
      <c r="W16" s="10"/>
      <c r="X16" s="10" t="str">
        <f>IFERROR(__xludf.DUMMYFUNCTION("""COMPUTED_VALUE"""),"Yes")</f>
        <v>Yes</v>
      </c>
      <c r="Y16" s="14" t="str">
        <f>IFERROR(__xludf.DUMMYFUNCTION("""COMPUTED_VALUE"""),"asifkaleem992@gmail.com")</f>
        <v>asifkaleem992@gmail.com</v>
      </c>
      <c r="AA16" s="325">
        <v>1.0</v>
      </c>
    </row>
    <row r="17" hidden="1">
      <c r="A17" s="9">
        <f>IFERROR(__xludf.DUMMYFUNCTION("""COMPUTED_VALUE"""),45758.39980881945)</f>
        <v>45758.39981</v>
      </c>
      <c r="B17" s="10" t="str">
        <f>IFERROR(__xludf.DUMMYFUNCTION("""COMPUTED_VALUE"""),"Muhammad Irfan Amjad ")</f>
        <v>Muhammad Irfan Amjad </v>
      </c>
      <c r="C17" s="10" t="str">
        <f>IFERROR(__xludf.DUMMYFUNCTION("""COMPUTED_VALUE"""),"03014813508")</f>
        <v>03014813508</v>
      </c>
      <c r="D17" s="10" t="str">
        <f>IFERROR(__xludf.DUMMYFUNCTION("""COMPUTED_VALUE"""),"جامع مسجد حنفیہ گلی نمبر 9 بیڈن روڈ لاہور ")</f>
        <v>جامع مسجد حنفیہ گلی نمبر 9 بیڈن روڈ لاہور </v>
      </c>
      <c r="E17" s="10" t="str">
        <f>IFERROR(__xludf.DUMMYFUNCTION("""COMPUTED_VALUE"""),"dxome")</f>
        <v>dxome</v>
      </c>
      <c r="F17" s="10">
        <f>IFERROR(__xludf.DUMMYFUNCTION("""COMPUTED_VALUE"""),230.0)</f>
        <v>230</v>
      </c>
      <c r="G17" s="10">
        <f>IFERROR(__xludf.DUMMYFUNCTION("""COMPUTED_VALUE"""),0.0)</f>
        <v>0</v>
      </c>
      <c r="H17" s="10">
        <f>IFERROR(__xludf.DUMMYFUNCTION("""COMPUTED_VALUE"""),0.0)</f>
        <v>0</v>
      </c>
      <c r="I17" s="10" t="str">
        <f>IFERROR(__xludf.DUMMYFUNCTION("""COMPUTED_VALUE"""),"2 سے 3")</f>
        <v>2 سے 3</v>
      </c>
      <c r="J17" s="10">
        <f>IFERROR(__xludf.DUMMYFUNCTION("""COMPUTED_VALUE"""),2003.0)</f>
        <v>2003</v>
      </c>
      <c r="K17" s="10" t="str">
        <f>IFERROR(__xludf.DUMMYFUNCTION("""COMPUTED_VALUE"""),"No")</f>
        <v>No</v>
      </c>
      <c r="L17" s="10" t="str">
        <f>IFERROR(__xludf.DUMMYFUNCTION("""COMPUTED_VALUE"""),"نہیں ")</f>
        <v>نہیں </v>
      </c>
      <c r="M17" s="10">
        <f>IFERROR(__xludf.DUMMYFUNCTION("""COMPUTED_VALUE"""),10.0)</f>
        <v>10</v>
      </c>
      <c r="N17" s="10" t="str">
        <f>IFERROR(__xludf.DUMMYFUNCTION("""COMPUTED_VALUE"""),"No")</f>
        <v>No</v>
      </c>
      <c r="O17" s="10"/>
      <c r="P17" s="10"/>
      <c r="Q17" s="10"/>
      <c r="R17" s="10"/>
      <c r="S17" s="18" t="str">
        <f>IFERROR(__xludf.DUMMYFUNCTION("""COMPUTED_VALUE"""),"https://drive.google.com/file/d/1lACen18TA9y0Ss173c9rxbwesbrW9d3n/view")</f>
        <v>https://drive.google.com/file/d/1lACen18TA9y0Ss173c9rxbwesbrW9d3n/view</v>
      </c>
      <c r="T17" s="10" t="str">
        <f>IFERROR(__xludf.DUMMYFUNCTION("""COMPUTED_VALUE"""),"https://drive.google.com/open?id=1XpWpu-VL2Aw7U0QALrvjmTNV1Sxg1fCR, https://drive.google.com/open?id=1dkr122OOeVYCq16Ktbvlrp0haiO2-6C6, https://drive.google.com/open?id=1YVfTZwXjGwtwb6q5P0vbQC51R5vO6EgY")</f>
        <v>https://drive.google.com/open?id=1XpWpu-VL2Aw7U0QALrvjmTNV1Sxg1fCR, https://drive.google.com/open?id=1dkr122OOeVYCq16Ktbvlrp0haiO2-6C6, https://drive.google.com/open?id=1YVfTZwXjGwtwb6q5P0vbQC51R5vO6EgY</v>
      </c>
      <c r="U17" s="18" t="str">
        <f>IFERROR(__xludf.DUMMYFUNCTION("""COMPUTED_VALUE"""),"https://drive.google.com/open?id=1a4ox4sDxspprphXzSgyXEBric3ic4frP")</f>
        <v>https://drive.google.com/open?id=1a4ox4sDxspprphXzSgyXEBric3ic4frP</v>
      </c>
      <c r="V17" s="10" t="str">
        <f>IFERROR(__xludf.DUMMYFUNCTION("""COMPUTED_VALUE"""),"نہیں ")</f>
        <v>نہیں </v>
      </c>
      <c r="W17" s="10"/>
      <c r="X17" s="10"/>
      <c r="Y17" s="14" t="str">
        <f>IFERROR(__xludf.DUMMYFUNCTION("""COMPUTED_VALUE"""),"irfanamjad1983@gmail.com")</f>
        <v>irfanamjad1983@gmail.com</v>
      </c>
      <c r="AA17" s="325">
        <v>1.0</v>
      </c>
    </row>
    <row r="18" hidden="1">
      <c r="A18" s="9">
        <f>IFERROR(__xludf.DUMMYFUNCTION("""COMPUTED_VALUE"""),45758.42763039352)</f>
        <v>45758.42763</v>
      </c>
      <c r="B18" s="10" t="str">
        <f>IFERROR(__xludf.DUMMYFUNCTION("""COMPUTED_VALUE"""),"Ameer hamza ")</f>
        <v>Ameer hamza </v>
      </c>
      <c r="C18" s="10" t="str">
        <f>IFERROR(__xludf.DUMMYFUNCTION("""COMPUTED_VALUE"""),"03071778530")</f>
        <v>03071778530</v>
      </c>
      <c r="D18" s="10" t="str">
        <f>IFERROR(__xludf.DUMMYFUNCTION("""COMPUTED_VALUE""")," Mandi Lahore")</f>
        <v> Mandi Lahore</v>
      </c>
      <c r="E18" s="10" t="str">
        <f>IFERROR(__xludf.DUMMYFUNCTION("""COMPUTED_VALUE"""),"dwebz	")</f>
        <v>dwebz	</v>
      </c>
      <c r="F18" s="10">
        <f>IFERROR(__xludf.DUMMYFUNCTION("""COMPUTED_VALUE"""),350.0)</f>
        <v>350</v>
      </c>
      <c r="G18" s="10">
        <f>IFERROR(__xludf.DUMMYFUNCTION("""COMPUTED_VALUE"""),9.0)</f>
        <v>9</v>
      </c>
      <c r="H18" s="10">
        <f>IFERROR(__xludf.DUMMYFUNCTION("""COMPUTED_VALUE"""),8.0)</f>
        <v>8</v>
      </c>
      <c r="I18" s="10">
        <f>IFERROR(__xludf.DUMMYFUNCTION("""COMPUTED_VALUE"""),0.0)</f>
        <v>0</v>
      </c>
      <c r="J18" s="10">
        <f>IFERROR(__xludf.DUMMYFUNCTION("""COMPUTED_VALUE"""),1925.0)</f>
        <v>1925</v>
      </c>
      <c r="K18" s="10" t="str">
        <f>IFERROR(__xludf.DUMMYFUNCTION("""COMPUTED_VALUE"""),"No")</f>
        <v>No</v>
      </c>
      <c r="L18" s="10" t="str">
        <f>IFERROR(__xludf.DUMMYFUNCTION("""COMPUTED_VALUE"""),"Yes , Mubarak Ali ")</f>
        <v>Yes , Mubarak Ali </v>
      </c>
      <c r="M18" s="10">
        <f>IFERROR(__xludf.DUMMYFUNCTION("""COMPUTED_VALUE"""),8.0)</f>
        <v>8</v>
      </c>
      <c r="N18" s="10" t="str">
        <f>IFERROR(__xludf.DUMMYFUNCTION("""COMPUTED_VALUE"""),"Yes")</f>
        <v>Yes</v>
      </c>
      <c r="O18" s="323">
        <f>IFERROR(__xludf.DUMMYFUNCTION("""COMPUTED_VALUE"""),0.8)</f>
        <v>0.8</v>
      </c>
      <c r="P18" s="10">
        <f>IFERROR(__xludf.DUMMYFUNCTION("""COMPUTED_VALUE"""),10.0)</f>
        <v>10</v>
      </c>
      <c r="Q18" s="10">
        <f>IFERROR(__xludf.DUMMYFUNCTION("""COMPUTED_VALUE"""),3.0)</f>
        <v>3</v>
      </c>
      <c r="R18" s="10">
        <f>IFERROR(__xludf.DUMMYFUNCTION("""COMPUTED_VALUE"""),9.0)</f>
        <v>9</v>
      </c>
      <c r="S18" s="10" t="str">
        <f>IFERROR(__xludf.DUMMYFUNCTION("""COMPUTED_VALUE"""),"https://drive.google.com/open?id=1h7Wh14_K2YMlEnPuWkoSQC41oRoT_0Wc, https://drive.google.com/open?id=1Hrmf3ogjL89TnzUzwsb6Z1WJ0Z3yEmbC, https://drive.google.com/open?id=1T4FW05JhPGvDtatlUq-1lmBj2bCosqqW")</f>
        <v>https://drive.google.com/open?id=1h7Wh14_K2YMlEnPuWkoSQC41oRoT_0Wc, https://drive.google.com/open?id=1Hrmf3ogjL89TnzUzwsb6Z1WJ0Z3yEmbC, https://drive.google.com/open?id=1T4FW05JhPGvDtatlUq-1lmBj2bCosqqW</v>
      </c>
      <c r="T18" s="10" t="str">
        <f>IFERROR(__xludf.DUMMYFUNCTION("""COMPUTED_VALUE"""),"https://drive.google.com/open?id=1QukZ6nRpLeOmvQIFmKYTLxIopMDuUeMq, https://drive.google.com/open?id=1STfeR7XXoFCxE7Ol_qjO8lziHpCIw9WU, https://drive.google.com/open?id=1QHuYk57zWRYnEe6wWLfOMXJTgOVpsnyd")</f>
        <v>https://drive.google.com/open?id=1QukZ6nRpLeOmvQIFmKYTLxIopMDuUeMq, https://drive.google.com/open?id=1STfeR7XXoFCxE7Ol_qjO8lziHpCIw9WU, https://drive.google.com/open?id=1QHuYk57zWRYnEe6wWLfOMXJTgOVpsnyd</v>
      </c>
      <c r="U18" s="18" t="str">
        <f>IFERROR(__xludf.DUMMYFUNCTION("""COMPUTED_VALUE"""),"https://drive.google.com/open?id=14XRkcbypigP8gEuE1QQzaSFoCdg_LzxJ")</f>
        <v>https://drive.google.com/open?id=14XRkcbypigP8gEuE1QQzaSFoCdg_LzxJ</v>
      </c>
      <c r="V18" s="10" t="str">
        <f>IFERROR(__xludf.DUMMYFUNCTION("""COMPUTED_VALUE"""),"Nhi")</f>
        <v>Nhi</v>
      </c>
      <c r="W18" s="10"/>
      <c r="X18" s="10" t="str">
        <f>IFERROR(__xludf.DUMMYFUNCTION("""COMPUTED_VALUE"""),"Yes")</f>
        <v>Yes</v>
      </c>
      <c r="Y18" s="14" t="str">
        <f>IFERROR(__xludf.DUMMYFUNCTION("""COMPUTED_VALUE"""),"uetianhamza8@gmail.com")</f>
        <v>uetianhamza8@gmail.com</v>
      </c>
      <c r="AA18" s="325">
        <v>1.0</v>
      </c>
    </row>
    <row r="19" hidden="1">
      <c r="A19" s="9">
        <f>IFERROR(__xludf.DUMMYFUNCTION("""COMPUTED_VALUE"""),45758.4294015625)</f>
        <v>45758.4294</v>
      </c>
      <c r="B19" s="10" t="str">
        <f>IFERROR(__xludf.DUMMYFUNCTION("""COMPUTED_VALUE"""),"M Rizwan")</f>
        <v>M Rizwan</v>
      </c>
      <c r="C19" s="10">
        <f>IFERROR(__xludf.DUMMYFUNCTION("""COMPUTED_VALUE"""),3.0948582E8)</f>
        <v>309485820</v>
      </c>
      <c r="D19" s="10" t="str">
        <f>IFERROR(__xludf.DUMMYFUNCTION("""COMPUTED_VALUE"""),"John")</f>
        <v>John</v>
      </c>
      <c r="E19" s="10">
        <f>IFERROR(__xludf.DUMMYFUNCTION("""COMPUTED_VALUE"""),12345.0)</f>
        <v>12345</v>
      </c>
      <c r="F19" s="10">
        <f>IFERROR(__xludf.DUMMYFUNCTION("""COMPUTED_VALUE"""),120.0)</f>
        <v>120</v>
      </c>
      <c r="G19" s="10">
        <f>IFERROR(__xludf.DUMMYFUNCTION("""COMPUTED_VALUE"""),5.0)</f>
        <v>5</v>
      </c>
      <c r="H19" s="10">
        <f>IFERROR(__xludf.DUMMYFUNCTION("""COMPUTED_VALUE"""),6.0)</f>
        <v>6</v>
      </c>
      <c r="I19" s="10">
        <f>IFERROR(__xludf.DUMMYFUNCTION("""COMPUTED_VALUE"""),0.0)</f>
        <v>0</v>
      </c>
      <c r="J19" s="10" t="str">
        <f>IFERROR(__xludf.DUMMYFUNCTION("""COMPUTED_VALUE"""),"0000")</f>
        <v>0000</v>
      </c>
      <c r="K19" s="10" t="str">
        <f>IFERROR(__xludf.DUMMYFUNCTION("""COMPUTED_VALUE"""),"No")</f>
        <v>No</v>
      </c>
      <c r="L19" s="10" t="str">
        <f>IFERROR(__xludf.DUMMYFUNCTION("""COMPUTED_VALUE"""),"B")</f>
        <v>B</v>
      </c>
      <c r="M19" s="10">
        <f>IFERROR(__xludf.DUMMYFUNCTION("""COMPUTED_VALUE"""),7.0)</f>
        <v>7</v>
      </c>
      <c r="N19" s="10" t="str">
        <f>IFERROR(__xludf.DUMMYFUNCTION("""COMPUTED_VALUE"""),"No")</f>
        <v>No</v>
      </c>
      <c r="O19" s="10"/>
      <c r="P19" s="10"/>
      <c r="Q19" s="10"/>
      <c r="R19" s="10"/>
      <c r="S19" s="18" t="str">
        <f>IFERROR(__xludf.DUMMYFUNCTION("""COMPUTED_VALUE"""),"https://drive.google.com/open?id=1RtJKbK9e6y79QrNJbvet9afOzNFEJNn7")</f>
        <v>https://drive.google.com/open?id=1RtJKbK9e6y79QrNJbvet9afOzNFEJNn7</v>
      </c>
      <c r="T19" s="18" t="str">
        <f>IFERROR(__xludf.DUMMYFUNCTION("""COMPUTED_VALUE"""),"https://drive.google.com/open?id=1fW7EuQBIYF_w_qw0qphmZPZHI4WCw1N1")</f>
        <v>https://drive.google.com/open?id=1fW7EuQBIYF_w_qw0qphmZPZHI4WCw1N1</v>
      </c>
      <c r="U19" s="18" t="str">
        <f>IFERROR(__xludf.DUMMYFUNCTION("""COMPUTED_VALUE"""),"https://drive.google.com/open?id=1BkxTZVgFSJKFnr2TOZ8X68TcM4LOxRel")</f>
        <v>https://drive.google.com/open?id=1BkxTZVgFSJKFnr2TOZ8X68TcM4LOxRel</v>
      </c>
      <c r="V19" s="10"/>
      <c r="W19" s="10"/>
      <c r="X19" s="10"/>
      <c r="Y19" s="14" t="str">
        <f>IFERROR(__xludf.DUMMYFUNCTION("""COMPUTED_VALUE"""),"mrizwangcu8@gmail.com")</f>
        <v>mrizwangcu8@gmail.com</v>
      </c>
      <c r="AA19" s="325">
        <v>1.0</v>
      </c>
    </row>
    <row r="20" hidden="1">
      <c r="A20" s="9">
        <f>IFERROR(__xludf.DUMMYFUNCTION("""COMPUTED_VALUE"""),45758.435905)</f>
        <v>45758.43591</v>
      </c>
      <c r="B20" s="10" t="str">
        <f>IFERROR(__xludf.DUMMYFUNCTION("""COMPUTED_VALUE"""),"john")</f>
        <v>john</v>
      </c>
      <c r="C20" s="10" t="str">
        <f>IFERROR(__xludf.DUMMYFUNCTION("""COMPUTED_VALUE"""),"john")</f>
        <v>john</v>
      </c>
      <c r="D20" s="10" t="str">
        <f>IFERROR(__xludf.DUMMYFUNCTION("""COMPUTED_VALUE"""),"john")</f>
        <v>john</v>
      </c>
      <c r="E20" s="10" t="str">
        <f>IFERROR(__xludf.DUMMYFUNCTION("""COMPUTED_VALUE"""),"john")</f>
        <v>john</v>
      </c>
      <c r="F20" s="10" t="str">
        <f>IFERROR(__xludf.DUMMYFUNCTION("""COMPUTED_VALUE"""),"john")</f>
        <v>john</v>
      </c>
      <c r="G20" s="10">
        <f>IFERROR(__xludf.DUMMYFUNCTION("""COMPUTED_VALUE"""),10.0)</f>
        <v>10</v>
      </c>
      <c r="H20" s="10">
        <f>IFERROR(__xludf.DUMMYFUNCTION("""COMPUTED_VALUE"""),10.0)</f>
        <v>10</v>
      </c>
      <c r="I20" s="10" t="str">
        <f>IFERROR(__xludf.DUMMYFUNCTION("""COMPUTED_VALUE"""),"john")</f>
        <v>john</v>
      </c>
      <c r="J20" s="10" t="str">
        <f>IFERROR(__xludf.DUMMYFUNCTION("""COMPUTED_VALUE"""),"john")</f>
        <v>john</v>
      </c>
      <c r="K20" s="10" t="str">
        <f>IFERROR(__xludf.DUMMYFUNCTION("""COMPUTED_VALUE"""),"No")</f>
        <v>No</v>
      </c>
      <c r="L20" s="10" t="str">
        <f>IFERROR(__xludf.DUMMYFUNCTION("""COMPUTED_VALUE"""),"john")</f>
        <v>john</v>
      </c>
      <c r="M20" s="10">
        <f>IFERROR(__xludf.DUMMYFUNCTION("""COMPUTED_VALUE"""),10.0)</f>
        <v>10</v>
      </c>
      <c r="N20" s="10" t="str">
        <f>IFERROR(__xludf.DUMMYFUNCTION("""COMPUTED_VALUE"""),"Yes")</f>
        <v>Yes</v>
      </c>
      <c r="O20" s="323">
        <f>IFERROR(__xludf.DUMMYFUNCTION("""COMPUTED_VALUE"""),0.7)</f>
        <v>0.7</v>
      </c>
      <c r="P20" s="10">
        <f>IFERROR(__xludf.DUMMYFUNCTION("""COMPUTED_VALUE"""),10.0)</f>
        <v>10</v>
      </c>
      <c r="Q20" s="10">
        <f>IFERROR(__xludf.DUMMYFUNCTION("""COMPUTED_VALUE"""),10.0)</f>
        <v>10</v>
      </c>
      <c r="R20" s="10">
        <f>IFERROR(__xludf.DUMMYFUNCTION("""COMPUTED_VALUE"""),10.0)</f>
        <v>10</v>
      </c>
      <c r="S20" s="18" t="str">
        <f>IFERROR(__xludf.DUMMYFUNCTION("""COMPUTED_VALUE"""),"https://drive.google.com/open?id=1ncX3T9xYeitNYvVxkw4WRrOKDJxEQcZ4")</f>
        <v>https://drive.google.com/open?id=1ncX3T9xYeitNYvVxkw4WRrOKDJxEQcZ4</v>
      </c>
      <c r="T20" s="18" t="str">
        <f>IFERROR(__xludf.DUMMYFUNCTION("""COMPUTED_VALUE"""),"https://drive.google.com/open?id=1l_BuFHGYxN71e5EFM48KD89IW9lOrbey")</f>
        <v>https://drive.google.com/open?id=1l_BuFHGYxN71e5EFM48KD89IW9lOrbey</v>
      </c>
      <c r="U20" s="18" t="str">
        <f>IFERROR(__xludf.DUMMYFUNCTION("""COMPUTED_VALUE"""),"https://drive.google.com/open?id=1BWSVZFtLM9aKIXiuR0n3zpWDYIaY62io")</f>
        <v>https://drive.google.com/open?id=1BWSVZFtLM9aKIXiuR0n3zpWDYIaY62io</v>
      </c>
      <c r="V20" s="10" t="str">
        <f>IFERROR(__xludf.DUMMYFUNCTION("""COMPUTED_VALUE"""),"john")</f>
        <v>john</v>
      </c>
      <c r="W20" s="10"/>
      <c r="X20" s="10" t="str">
        <f>IFERROR(__xludf.DUMMYFUNCTION("""COMPUTED_VALUE"""),"Yes")</f>
        <v>Yes</v>
      </c>
      <c r="Y20" s="14" t="str">
        <f>IFERROR(__xludf.DUMMYFUNCTION("""COMPUTED_VALUE"""),"saifimtiaz@gmail.com")</f>
        <v>saifimtiaz@gmail.com</v>
      </c>
      <c r="AA20" s="325" t="s">
        <v>4</v>
      </c>
    </row>
    <row r="21" hidden="1">
      <c r="A21" s="9">
        <f>IFERROR(__xludf.DUMMYFUNCTION("""COMPUTED_VALUE"""),45758.437214571764)</f>
        <v>45758.43721</v>
      </c>
      <c r="B21" s="10" t="str">
        <f>IFERROR(__xludf.DUMMYFUNCTION("""COMPUTED_VALUE"""),"Umar butt")</f>
        <v>Umar butt</v>
      </c>
      <c r="C21" s="10" t="str">
        <f>IFERROR(__xludf.DUMMYFUNCTION("""COMPUTED_VALUE"""),"03200099395")</f>
        <v>03200099395</v>
      </c>
      <c r="D21" s="10" t="str">
        <f>IFERROR(__xludf.DUMMYFUNCTION("""COMPUTED_VALUE"""),"Jamia Masjid Hanfia Railway")</f>
        <v>Jamia Masjid Hanfia Railway</v>
      </c>
      <c r="E21" s="10" t="str">
        <f>IFERROR(__xludf.DUMMYFUNCTION("""COMPUTED_VALUE"""),"Wvmxf")</f>
        <v>Wvmxf</v>
      </c>
      <c r="F21" s="10">
        <f>IFERROR(__xludf.DUMMYFUNCTION("""COMPUTED_VALUE"""),100.0)</f>
        <v>100</v>
      </c>
      <c r="G21" s="10">
        <f>IFERROR(__xludf.DUMMYFUNCTION("""COMPUTED_VALUE"""),8.0)</f>
        <v>8</v>
      </c>
      <c r="H21" s="10">
        <f>IFERROR(__xludf.DUMMYFUNCTION("""COMPUTED_VALUE"""),8.0)</f>
        <v>8</v>
      </c>
      <c r="I21" s="10" t="str">
        <f>IFERROR(__xludf.DUMMYFUNCTION("""COMPUTED_VALUE"""),"3-4")</f>
        <v>3-4</v>
      </c>
      <c r="J21" s="10" t="str">
        <f>IFERROR(__xludf.DUMMYFUNCTION("""COMPUTED_VALUE"""),"1900s")</f>
        <v>1900s</v>
      </c>
      <c r="K21" s="10" t="str">
        <f>IFERROR(__xludf.DUMMYFUNCTION("""COMPUTED_VALUE"""),"No")</f>
        <v>No</v>
      </c>
      <c r="L21" s="10" t="str">
        <f>IFERROR(__xludf.DUMMYFUNCTION("""COMPUTED_VALUE"""),"No")</f>
        <v>No</v>
      </c>
      <c r="M21" s="10">
        <f>IFERROR(__xludf.DUMMYFUNCTION("""COMPUTED_VALUE"""),9.0)</f>
        <v>9</v>
      </c>
      <c r="N21" s="10" t="str">
        <f>IFERROR(__xludf.DUMMYFUNCTION("""COMPUTED_VALUE"""),"No")</f>
        <v>No</v>
      </c>
      <c r="O21" s="10"/>
      <c r="P21" s="10"/>
      <c r="Q21" s="10"/>
      <c r="R21" s="10"/>
      <c r="S21" s="18" t="str">
        <f>IFERROR(__xludf.DUMMYFUNCTION("""COMPUTED_VALUE"""),"https://drive.google.com/open?id=1qhXJ0Rg25OUeWrKLVgLRKn1BDH2jxlSy")</f>
        <v>https://drive.google.com/open?id=1qhXJ0Rg25OUeWrKLVgLRKn1BDH2jxlSy</v>
      </c>
      <c r="T21" s="18" t="str">
        <f>IFERROR(__xludf.DUMMYFUNCTION("""COMPUTED_VALUE"""),"https://drive.google.com/open?id=1HcmO-vwPUaUHr0CjXBD9j4Tk7OfZDpka")</f>
        <v>https://drive.google.com/open?id=1HcmO-vwPUaUHr0CjXBD9j4Tk7OfZDpka</v>
      </c>
      <c r="U21" s="18" t="str">
        <f>IFERROR(__xludf.DUMMYFUNCTION("""COMPUTED_VALUE"""),"https://drive.google.com/open?id=1OqbJFz-b6N44O91q7bIxAEuEeAe_0mKh")</f>
        <v>https://drive.google.com/open?id=1OqbJFz-b6N44O91q7bIxAEuEeAe_0mKh</v>
      </c>
      <c r="V21" s="10"/>
      <c r="W21" s="10"/>
      <c r="X21" s="10"/>
      <c r="Y21" s="14" t="str">
        <f>IFERROR(__xludf.DUMMYFUNCTION("""COMPUTED_VALUE"""),"buttumar092@gmail.com")</f>
        <v>buttumar092@gmail.com</v>
      </c>
      <c r="AA21" s="325">
        <v>1.0</v>
      </c>
    </row>
    <row r="22" hidden="1">
      <c r="A22" s="9">
        <f>IFERROR(__xludf.DUMMYFUNCTION("""COMPUTED_VALUE"""),45758.43899299769)</f>
        <v>45758.43899</v>
      </c>
      <c r="B22" s="10" t="str">
        <f>IFERROR(__xludf.DUMMYFUNCTION("""COMPUTED_VALUE"""),"Bilal ")</f>
        <v>Bilal </v>
      </c>
      <c r="C22" s="10" t="str">
        <f>IFERROR(__xludf.DUMMYFUNCTION("""COMPUTED_VALUE"""),"03008018158")</f>
        <v>03008018158</v>
      </c>
      <c r="D22" s="10" t="str">
        <f>IFERROR(__xludf.DUMMYFUNCTION("""COMPUTED_VALUE"""),"	Jamia Masjid Takiya Peer Hassan Shah Wali Lahore	")</f>
        <v>	Jamia Masjid Takiya Peer Hassan Shah Wali Lahore	</v>
      </c>
      <c r="E22" s="10" t="str">
        <f>IFERROR(__xludf.DUMMYFUNCTION("""COMPUTED_VALUE"""),"buvya")</f>
        <v>buvya</v>
      </c>
      <c r="F22" s="10">
        <f>IFERROR(__xludf.DUMMYFUNCTION("""COMPUTED_VALUE"""),225.0)</f>
        <v>225</v>
      </c>
      <c r="G22" s="10">
        <f>IFERROR(__xludf.DUMMYFUNCTION("""COMPUTED_VALUE"""),8.0)</f>
        <v>8</v>
      </c>
      <c r="H22" s="10">
        <f>IFERROR(__xludf.DUMMYFUNCTION("""COMPUTED_VALUE"""),8.0)</f>
        <v>8</v>
      </c>
      <c r="I22" s="10">
        <f>IFERROR(__xludf.DUMMYFUNCTION("""COMPUTED_VALUE"""),0.0)</f>
        <v>0</v>
      </c>
      <c r="J22" s="10">
        <f>IFERROR(__xludf.DUMMYFUNCTION("""COMPUTED_VALUE"""),1938.0)</f>
        <v>1938</v>
      </c>
      <c r="K22" s="10" t="str">
        <f>IFERROR(__xludf.DUMMYFUNCTION("""COMPUTED_VALUE"""),"No")</f>
        <v>No</v>
      </c>
      <c r="L22" s="10" t="str">
        <f>IFERROR(__xludf.DUMMYFUNCTION("""COMPUTED_VALUE"""),"Peer hassan shah wali ")</f>
        <v>Peer hassan shah wali </v>
      </c>
      <c r="M22" s="10">
        <f>IFERROR(__xludf.DUMMYFUNCTION("""COMPUTED_VALUE"""),8.0)</f>
        <v>8</v>
      </c>
      <c r="N22" s="10" t="str">
        <f>IFERROR(__xludf.DUMMYFUNCTION("""COMPUTED_VALUE"""),"Yes")</f>
        <v>Yes</v>
      </c>
      <c r="O22" s="323">
        <f>IFERROR(__xludf.DUMMYFUNCTION("""COMPUTED_VALUE"""),0.8)</f>
        <v>0.8</v>
      </c>
      <c r="P22" s="10">
        <f>IFERROR(__xludf.DUMMYFUNCTION("""COMPUTED_VALUE"""),8.0)</f>
        <v>8</v>
      </c>
      <c r="Q22" s="10">
        <f>IFERROR(__xludf.DUMMYFUNCTION("""COMPUTED_VALUE"""),4.0)</f>
        <v>4</v>
      </c>
      <c r="R22" s="10">
        <f>IFERROR(__xludf.DUMMYFUNCTION("""COMPUTED_VALUE"""),7.0)</f>
        <v>7</v>
      </c>
      <c r="S22" s="10" t="str">
        <f>IFERROR(__xludf.DUMMYFUNCTION("""COMPUTED_VALUE"""),"https://drive.google.com/open?id=1A_Yo_HZAGYieGkyKDf3bNnoiylo104hY, https://drive.google.com/open?id=1sv72v86YI7mD9tBXtK_3BW3xSo0ol2JH, https://drive.google.com/open?id=1HJ7e4yPc6hh6SqyzEVm4lbLguVOPwD8c")</f>
        <v>https://drive.google.com/open?id=1A_Yo_HZAGYieGkyKDf3bNnoiylo104hY, https://drive.google.com/open?id=1sv72v86YI7mD9tBXtK_3BW3xSo0ol2JH, https://drive.google.com/open?id=1HJ7e4yPc6hh6SqyzEVm4lbLguVOPwD8c</v>
      </c>
      <c r="T22" s="10" t="str">
        <f>IFERROR(__xludf.DUMMYFUNCTION("""COMPUTED_VALUE"""),"https://drive.google.com/open?id=1-l1I5klAhcLgCEZsVv2LScdhK0bON72K, https://drive.google.com/open?id=1XhLMgQUF3hRwytO8XJN3ss5HuqZAIKCL")</f>
        <v>https://drive.google.com/open?id=1-l1I5klAhcLgCEZsVv2LScdhK0bON72K, https://drive.google.com/open?id=1XhLMgQUF3hRwytO8XJN3ss5HuqZAIKCL</v>
      </c>
      <c r="U22" s="18" t="str">
        <f>IFERROR(__xludf.DUMMYFUNCTION("""COMPUTED_VALUE"""),"https://drive.google.com/open?id=1PRSMEqDe9sYxRIeoCCTFoc5hvHIx24KS")</f>
        <v>https://drive.google.com/open?id=1PRSMEqDe9sYxRIeoCCTFoc5hvHIx24KS</v>
      </c>
      <c r="V22" s="10" t="str">
        <f>IFERROR(__xludf.DUMMYFUNCTION("""COMPUTED_VALUE"""),"Nhi")</f>
        <v>Nhi</v>
      </c>
      <c r="W22" s="10"/>
      <c r="X22" s="10" t="str">
        <f>IFERROR(__xludf.DUMMYFUNCTION("""COMPUTED_VALUE"""),"Yes")</f>
        <v>Yes</v>
      </c>
      <c r="Y22" s="14" t="str">
        <f>IFERROR(__xludf.DUMMYFUNCTION("""COMPUTED_VALUE"""),"eng.ameerhamza15@gmail.com")</f>
        <v>eng.ameerhamza15@gmail.com</v>
      </c>
      <c r="AA22" s="325">
        <v>1.0</v>
      </c>
    </row>
    <row r="23" hidden="1">
      <c r="A23" s="9">
        <f>IFERROR(__xludf.DUMMYFUNCTION("""COMPUTED_VALUE"""),45758.47174201389)</f>
        <v>45758.47174</v>
      </c>
      <c r="B23" s="10" t="str">
        <f>IFERROR(__xludf.DUMMYFUNCTION("""COMPUTED_VALUE"""),"Dealbig380@gmail.com")</f>
        <v>Dealbig380@gmail.com</v>
      </c>
      <c r="C23" s="10" t="str">
        <f>IFERROR(__xludf.DUMMYFUNCTION("""COMPUTED_VALUE"""),"03217073342")</f>
        <v>03217073342</v>
      </c>
      <c r="D23" s="10" t="str">
        <f>IFERROR(__xludf.DUMMYFUNCTION("""COMPUTED_VALUE"""),"Jamia Masjid Esha Shahab Lahore")</f>
        <v>Jamia Masjid Esha Shahab Lahore</v>
      </c>
      <c r="E23" s="10" t="str">
        <f>IFERROR(__xludf.DUMMYFUNCTION("""COMPUTED_VALUE"""),"zhcjl	")</f>
        <v>zhcjl	</v>
      </c>
      <c r="F23" s="10">
        <f>IFERROR(__xludf.DUMMYFUNCTION("""COMPUTED_VALUE"""),220.0)</f>
        <v>220</v>
      </c>
      <c r="G23" s="10">
        <f>IFERROR(__xludf.DUMMYFUNCTION("""COMPUTED_VALUE"""),10.0)</f>
        <v>10</v>
      </c>
      <c r="H23" s="10">
        <f>IFERROR(__xludf.DUMMYFUNCTION("""COMPUTED_VALUE"""),8.0)</f>
        <v>8</v>
      </c>
      <c r="I23" s="10">
        <f>IFERROR(__xludf.DUMMYFUNCTION("""COMPUTED_VALUE"""),0.0)</f>
        <v>0</v>
      </c>
      <c r="J23" s="10">
        <f>IFERROR(__xludf.DUMMYFUNCTION("""COMPUTED_VALUE"""),1939.0)</f>
        <v>1939</v>
      </c>
      <c r="K23" s="10" t="str">
        <f>IFERROR(__xludf.DUMMYFUNCTION("""COMPUTED_VALUE"""),"No")</f>
        <v>No</v>
      </c>
      <c r="L23" s="10" t="str">
        <f>IFERROR(__xludf.DUMMYFUNCTION("""COMPUTED_VALUE"""),"Nhi ")</f>
        <v>Nhi </v>
      </c>
      <c r="M23" s="10">
        <f>IFERROR(__xludf.DUMMYFUNCTION("""COMPUTED_VALUE"""),9.0)</f>
        <v>9</v>
      </c>
      <c r="N23" s="10" t="str">
        <f>IFERROR(__xludf.DUMMYFUNCTION("""COMPUTED_VALUE"""),"Yes")</f>
        <v>Yes</v>
      </c>
      <c r="O23" s="323">
        <f>IFERROR(__xludf.DUMMYFUNCTION("""COMPUTED_VALUE"""),0.6)</f>
        <v>0.6</v>
      </c>
      <c r="P23" s="10">
        <f>IFERROR(__xludf.DUMMYFUNCTION("""COMPUTED_VALUE"""),8.0)</f>
        <v>8</v>
      </c>
      <c r="Q23" s="10">
        <f>IFERROR(__xludf.DUMMYFUNCTION("""COMPUTED_VALUE"""),6.0)</f>
        <v>6</v>
      </c>
      <c r="R23" s="10">
        <f>IFERROR(__xludf.DUMMYFUNCTION("""COMPUTED_VALUE"""),6.0)</f>
        <v>6</v>
      </c>
      <c r="S23" s="18" t="str">
        <f>IFERROR(__xludf.DUMMYFUNCTION("""COMPUTED_VALUE"""),"https://drive.google.com/open?id=11yNedQOuXH6q0UmCH9MYob3dQrKTPi6j")</f>
        <v>https://drive.google.com/open?id=11yNedQOuXH6q0UmCH9MYob3dQrKTPi6j</v>
      </c>
      <c r="T23" s="10" t="str">
        <f>IFERROR(__xludf.DUMMYFUNCTION("""COMPUTED_VALUE"""),"https://drive.google.com/open?id=1035jVkTF3uYMT6KeIsGiKlqQ_d6UC2-Y, https://drive.google.com/open?id=1J0BHJFkZ4OmEi6_w5UvkNyTIa4rEn0VJ, https://drive.google.com/open?id=11SGSxztIlGwXWDEVUxhAQjY32Hy75r8m, https://drive.google.com/open?id=1hwbZrtJj46zRoFDs-"&amp;"yEYjb7MoKUBTT3N, https://drive.google.com/open?id=1pQ-ZyiIT4Krfn6YO6d1T023gy7SwtJTz")</f>
        <v>https://drive.google.com/open?id=1035jVkTF3uYMT6KeIsGiKlqQ_d6UC2-Y, https://drive.google.com/open?id=1J0BHJFkZ4OmEi6_w5UvkNyTIa4rEn0VJ, https://drive.google.com/open?id=11SGSxztIlGwXWDEVUxhAQjY32Hy75r8m, https://drive.google.com/open?id=1hwbZrtJj46zRoFDs-yEYjb7MoKUBTT3N, https://drive.google.com/open?id=1pQ-ZyiIT4Krfn6YO6d1T023gy7SwtJTz</v>
      </c>
      <c r="U23" s="18" t="str">
        <f>IFERROR(__xludf.DUMMYFUNCTION("""COMPUTED_VALUE"""),"https://drive.google.com/open?id=10nGn9fxzNLp--BcYN6GqfQ_XaHa9XnXa")</f>
        <v>https://drive.google.com/open?id=10nGn9fxzNLp--BcYN6GqfQ_XaHa9XnXa</v>
      </c>
      <c r="V23" s="10" t="str">
        <f>IFERROR(__xludf.DUMMYFUNCTION("""COMPUTED_VALUE"""),"Nhi")</f>
        <v>Nhi</v>
      </c>
      <c r="W23" s="10"/>
      <c r="X23" s="10" t="str">
        <f>IFERROR(__xludf.DUMMYFUNCTION("""COMPUTED_VALUE"""),"Yes")</f>
        <v>Yes</v>
      </c>
      <c r="Y23" s="14" t="str">
        <f>IFERROR(__xludf.DUMMYFUNCTION("""COMPUTED_VALUE"""),"dealbig380@gmail.com")</f>
        <v>dealbig380@gmail.com</v>
      </c>
      <c r="AA23" s="325">
        <v>1.0</v>
      </c>
    </row>
    <row r="24" hidden="1">
      <c r="A24" s="9">
        <f>IFERROR(__xludf.DUMMYFUNCTION("""COMPUTED_VALUE"""),45758.494417939815)</f>
        <v>45758.49442</v>
      </c>
      <c r="B24" s="10" t="str">
        <f>IFERROR(__xludf.DUMMYFUNCTION("""COMPUTED_VALUE"""),"Ali Raza")</f>
        <v>Ali Raza</v>
      </c>
      <c r="C24" s="10" t="str">
        <f>IFERROR(__xludf.DUMMYFUNCTION("""COMPUTED_VALUE"""),"03059848297")</f>
        <v>03059848297</v>
      </c>
      <c r="D24" s="10" t="str">
        <f>IFERROR(__xludf.DUMMYFUNCTION("""COMPUTED_VALUE"""),"Jamia Masjid Bilal Nawab Colony Misri Shah")</f>
        <v>Jamia Masjid Bilal Nawab Colony Misri Shah</v>
      </c>
      <c r="E24" s="10" t="str">
        <f>IFERROR(__xludf.DUMMYFUNCTION("""COMPUTED_VALUE"""),"Avbgy")</f>
        <v>Avbgy</v>
      </c>
      <c r="F24" s="10">
        <f>IFERROR(__xludf.DUMMYFUNCTION("""COMPUTED_VALUE"""),220.0)</f>
        <v>220</v>
      </c>
      <c r="G24" s="10">
        <f>IFERROR(__xludf.DUMMYFUNCTION("""COMPUTED_VALUE"""),8.0)</f>
        <v>8</v>
      </c>
      <c r="H24" s="10">
        <f>IFERROR(__xludf.DUMMYFUNCTION("""COMPUTED_VALUE"""),7.0)</f>
        <v>7</v>
      </c>
      <c r="I24" s="10">
        <f>IFERROR(__xludf.DUMMYFUNCTION("""COMPUTED_VALUE"""),2.0)</f>
        <v>2</v>
      </c>
      <c r="J24" s="10" t="str">
        <f>IFERROR(__xludf.DUMMYFUNCTION("""COMPUTED_VALUE"""),"0000")</f>
        <v>0000</v>
      </c>
      <c r="K24" s="10" t="str">
        <f>IFERROR(__xludf.DUMMYFUNCTION("""COMPUTED_VALUE"""),"No")</f>
        <v>No</v>
      </c>
      <c r="L24" s="10" t="str">
        <f>IFERROR(__xludf.DUMMYFUNCTION("""COMPUTED_VALUE"""),"Nahi")</f>
        <v>Nahi</v>
      </c>
      <c r="M24" s="10">
        <f>IFERROR(__xludf.DUMMYFUNCTION("""COMPUTED_VALUE"""),10.0)</f>
        <v>10</v>
      </c>
      <c r="N24" s="10" t="str">
        <f>IFERROR(__xludf.DUMMYFUNCTION("""COMPUTED_VALUE"""),"Yes")</f>
        <v>Yes</v>
      </c>
      <c r="O24" s="323">
        <f>IFERROR(__xludf.DUMMYFUNCTION("""COMPUTED_VALUE"""),1.0)</f>
        <v>1</v>
      </c>
      <c r="P24" s="10">
        <f>IFERROR(__xludf.DUMMYFUNCTION("""COMPUTED_VALUE"""),10.0)</f>
        <v>10</v>
      </c>
      <c r="Q24" s="10">
        <f>IFERROR(__xludf.DUMMYFUNCTION("""COMPUTED_VALUE"""),1.0)</f>
        <v>1</v>
      </c>
      <c r="R24" s="10">
        <f>IFERROR(__xludf.DUMMYFUNCTION("""COMPUTED_VALUE"""),10.0)</f>
        <v>10</v>
      </c>
      <c r="S24" s="18" t="str">
        <f>IFERROR(__xludf.DUMMYFUNCTION("""COMPUTED_VALUE"""),"https://drive.google.com/open?id=1lmaZTHQKhaT8-MxvQt-NjUCEsFSmbSKm")</f>
        <v>https://drive.google.com/open?id=1lmaZTHQKhaT8-MxvQt-NjUCEsFSmbSKm</v>
      </c>
      <c r="T24" s="18" t="str">
        <f>IFERROR(__xludf.DUMMYFUNCTION("""COMPUTED_VALUE"""),"https://drive.google.com/file/d/122tUmXEUg4ddWb1l0dkKc6hEEen6owgu/view")</f>
        <v>https://drive.google.com/file/d/122tUmXEUg4ddWb1l0dkKc6hEEen6owgu/view</v>
      </c>
      <c r="U24" s="18" t="str">
        <f>IFERROR(__xludf.DUMMYFUNCTION("""COMPUTED_VALUE"""),"https://drive.google.com/open?id=1L7wX4_HQWYqVKifBsaF9rGJuiTqSpFh3")</f>
        <v>https://drive.google.com/open?id=1L7wX4_HQWYqVKifBsaF9rGJuiTqSpFh3</v>
      </c>
      <c r="V24" s="10" t="str">
        <f>IFERROR(__xludf.DUMMYFUNCTION("""COMPUTED_VALUE"""),"No")</f>
        <v>No</v>
      </c>
      <c r="W24" s="10"/>
      <c r="X24" s="10" t="str">
        <f>IFERROR(__xludf.DUMMYFUNCTION("""COMPUTED_VALUE"""),"Yes")</f>
        <v>Yes</v>
      </c>
      <c r="Y24" s="14" t="str">
        <f>IFERROR(__xludf.DUMMYFUNCTION("""COMPUTED_VALUE"""),"alee.raxa007@gmail.com")</f>
        <v>alee.raxa007@gmail.com</v>
      </c>
      <c r="AA24" s="325">
        <v>1.0</v>
      </c>
    </row>
    <row r="25" hidden="1">
      <c r="A25" s="9">
        <f>IFERROR(__xludf.DUMMYFUNCTION("""COMPUTED_VALUE"""),45758.505855497686)</f>
        <v>45758.50586</v>
      </c>
      <c r="B25" s="10" t="str">
        <f>IFERROR(__xludf.DUMMYFUNCTION("""COMPUTED_VALUE"""),"Ali usman")</f>
        <v>Ali usman</v>
      </c>
      <c r="C25" s="10" t="str">
        <f>IFERROR(__xludf.DUMMYFUNCTION("""COMPUTED_VALUE"""),"03035218874")</f>
        <v>03035218874</v>
      </c>
      <c r="D25" s="10" t="str">
        <f>IFERROR(__xludf.DUMMYFUNCTION("""COMPUTED_VALUE"""),"Jamia Masjid Main Bazar Kahchu Pura Lahore")</f>
        <v>Jamia Masjid Main Bazar Kahchu Pura Lahore</v>
      </c>
      <c r="E25" s="10" t="str">
        <f>IFERROR(__xludf.DUMMYFUNCTION("""COMPUTED_VALUE"""),"slyiw")</f>
        <v>slyiw</v>
      </c>
      <c r="F25" s="10">
        <f>IFERROR(__xludf.DUMMYFUNCTION("""COMPUTED_VALUE"""),620.0)</f>
        <v>620</v>
      </c>
      <c r="G25" s="10">
        <f>IFERROR(__xludf.DUMMYFUNCTION("""COMPUTED_VALUE"""),5.0)</f>
        <v>5</v>
      </c>
      <c r="H25" s="10">
        <f>IFERROR(__xludf.DUMMYFUNCTION("""COMPUTED_VALUE"""),3.0)</f>
        <v>3</v>
      </c>
      <c r="I25" s="10">
        <f>IFERROR(__xludf.DUMMYFUNCTION("""COMPUTED_VALUE"""),2.0)</f>
        <v>2</v>
      </c>
      <c r="J25" s="10">
        <f>IFERROR(__xludf.DUMMYFUNCTION("""COMPUTED_VALUE"""),2001.0)</f>
        <v>2001</v>
      </c>
      <c r="K25" s="10" t="str">
        <f>IFERROR(__xludf.DUMMYFUNCTION("""COMPUTED_VALUE"""),"Yes")</f>
        <v>Yes</v>
      </c>
      <c r="L25" s="10" t="str">
        <f>IFERROR(__xludf.DUMMYFUNCTION("""COMPUTED_VALUE"""),"No")</f>
        <v>No</v>
      </c>
      <c r="M25" s="10">
        <f>IFERROR(__xludf.DUMMYFUNCTION("""COMPUTED_VALUE"""),8.0)</f>
        <v>8</v>
      </c>
      <c r="N25" s="10" t="str">
        <f>IFERROR(__xludf.DUMMYFUNCTION("""COMPUTED_VALUE"""),"Yes")</f>
        <v>Yes</v>
      </c>
      <c r="O25" s="323">
        <f>IFERROR(__xludf.DUMMYFUNCTION("""COMPUTED_VALUE"""),1.0)</f>
        <v>1</v>
      </c>
      <c r="P25" s="10">
        <f>IFERROR(__xludf.DUMMYFUNCTION("""COMPUTED_VALUE"""),10.0)</f>
        <v>10</v>
      </c>
      <c r="Q25" s="10">
        <f>IFERROR(__xludf.DUMMYFUNCTION("""COMPUTED_VALUE"""),0.0)</f>
        <v>0</v>
      </c>
      <c r="R25" s="10">
        <f>IFERROR(__xludf.DUMMYFUNCTION("""COMPUTED_VALUE"""),10.0)</f>
        <v>10</v>
      </c>
      <c r="S25" s="18" t="str">
        <f>IFERROR(__xludf.DUMMYFUNCTION("""COMPUTED_VALUE"""),"https://drive.google.com/open?id=17aeyAKYo66IfHcBCBPMOquVG8-Woe81l")</f>
        <v>https://drive.google.com/open?id=17aeyAKYo66IfHcBCBPMOquVG8-Woe81l</v>
      </c>
      <c r="T25" s="18" t="str">
        <f>IFERROR(__xludf.DUMMYFUNCTION("""COMPUTED_VALUE"""),"https://drive.google.com/open?id=1H_ZIx3dj6t3cXMIKqKVv98wg_JODhDjw")</f>
        <v>https://drive.google.com/open?id=1H_ZIx3dj6t3cXMIKqKVv98wg_JODhDjw</v>
      </c>
      <c r="U25" s="18" t="str">
        <f>IFERROR(__xludf.DUMMYFUNCTION("""COMPUTED_VALUE"""),"https://drive.google.com/open?id=1VL0Zqf8wXGt4tdaLBxJacFsZxlFn_mjy")</f>
        <v>https://drive.google.com/open?id=1VL0Zqf8wXGt4tdaLBxJacFsZxlFn_mjy</v>
      </c>
      <c r="V25" s="10" t="str">
        <f>IFERROR(__xludf.DUMMYFUNCTION("""COMPUTED_VALUE"""),"Bohat nice ikhlaq k Sath Pura complete lufz ba lufz prha")</f>
        <v>Bohat nice ikhlaq k Sath Pura complete lufz ba lufz prha</v>
      </c>
      <c r="W25" s="10"/>
      <c r="X25" s="10" t="str">
        <f>IFERROR(__xludf.DUMMYFUNCTION("""COMPUTED_VALUE"""),"Yes")</f>
        <v>Yes</v>
      </c>
      <c r="Y25" s="14" t="str">
        <f>IFERROR(__xludf.DUMMYFUNCTION("""COMPUTED_VALUE"""),"hobyhobby00@gmail.com")</f>
        <v>hobyhobby00@gmail.com</v>
      </c>
      <c r="AA25" s="325">
        <v>1.0</v>
      </c>
    </row>
    <row r="26" hidden="1">
      <c r="A26" s="9">
        <f>IFERROR(__xludf.DUMMYFUNCTION("""COMPUTED_VALUE"""),45758.511524201385)</f>
        <v>45758.51152</v>
      </c>
      <c r="B26" s="10" t="str">
        <f>IFERROR(__xludf.DUMMYFUNCTION("""COMPUTED_VALUE"""),"Abdul Rauf ")</f>
        <v>Abdul Rauf </v>
      </c>
      <c r="C26" s="10" t="str">
        <f>IFERROR(__xludf.DUMMYFUNCTION("""COMPUTED_VALUE"""),"03008789090")</f>
        <v>03008789090</v>
      </c>
      <c r="D26" s="10" t="str">
        <f>IFERROR(__xludf.DUMMYFUNCTION("""COMPUTED_VALUE"""),"Jamia Masjid Shah Shams Qadari Lahore")</f>
        <v>Jamia Masjid Shah Shams Qadari Lahore</v>
      </c>
      <c r="E26" s="10" t="str">
        <f>IFERROR(__xludf.DUMMYFUNCTION("""COMPUTED_VALUE"""),"rhlwr")</f>
        <v>rhlwr</v>
      </c>
      <c r="F26" s="10">
        <f>IFERROR(__xludf.DUMMYFUNCTION("""COMPUTED_VALUE"""),200.0)</f>
        <v>200</v>
      </c>
      <c r="G26" s="10">
        <f>IFERROR(__xludf.DUMMYFUNCTION("""COMPUTED_VALUE"""),4.0)</f>
        <v>4</v>
      </c>
      <c r="H26" s="10">
        <f>IFERROR(__xludf.DUMMYFUNCTION("""COMPUTED_VALUE"""),4.0)</f>
        <v>4</v>
      </c>
      <c r="I26" s="10">
        <f>IFERROR(__xludf.DUMMYFUNCTION("""COMPUTED_VALUE"""),2.0)</f>
        <v>2</v>
      </c>
      <c r="J26" s="10">
        <f>IFERROR(__xludf.DUMMYFUNCTION("""COMPUTED_VALUE"""),1965.0)</f>
        <v>1965</v>
      </c>
      <c r="K26" s="10" t="str">
        <f>IFERROR(__xludf.DUMMYFUNCTION("""COMPUTED_VALUE"""),"No")</f>
        <v>No</v>
      </c>
      <c r="L26" s="10" t="str">
        <f>IFERROR(__xludf.DUMMYFUNCTION("""COMPUTED_VALUE"""),"Shah shams")</f>
        <v>Shah shams</v>
      </c>
      <c r="M26" s="10">
        <f>IFERROR(__xludf.DUMMYFUNCTION("""COMPUTED_VALUE"""),10.0)</f>
        <v>10</v>
      </c>
      <c r="N26" s="10" t="str">
        <f>IFERROR(__xludf.DUMMYFUNCTION("""COMPUTED_VALUE"""),"No")</f>
        <v>No</v>
      </c>
      <c r="O26" s="10"/>
      <c r="P26" s="10"/>
      <c r="Q26" s="10"/>
      <c r="R26" s="10"/>
      <c r="S26" s="18" t="str">
        <f>IFERROR(__xludf.DUMMYFUNCTION("""COMPUTED_VALUE"""),"https://drive.google.com/open?id=1N6vrjjKx2UFEieUUvhtePkSsQ-NO4mgu")</f>
        <v>https://drive.google.com/open?id=1N6vrjjKx2UFEieUUvhtePkSsQ-NO4mgu</v>
      </c>
      <c r="T26" s="18" t="str">
        <f>IFERROR(__xludf.DUMMYFUNCTION("""COMPUTED_VALUE"""),"https://drive.google.com/file/d/1q_hWdJJ7QuIznIvLdiHIKX2Dyo6bT9Vc/view")</f>
        <v>https://drive.google.com/file/d/1q_hWdJJ7QuIznIvLdiHIKX2Dyo6bT9Vc/view</v>
      </c>
      <c r="U26" s="18" t="str">
        <f>IFERROR(__xludf.DUMMYFUNCTION("""COMPUTED_VALUE"""),"https://drive.google.com/open?id=1fwweJfdEGZcJmnnrKsLBjpNn-6wnrJB_")</f>
        <v>https://drive.google.com/open?id=1fwweJfdEGZcJmnnrKsLBjpNn-6wnrJB_</v>
      </c>
      <c r="V26" s="10"/>
      <c r="W26" s="10"/>
      <c r="X26" s="10"/>
      <c r="Y26" s="14" t="str">
        <f>IFERROR(__xludf.DUMMYFUNCTION("""COMPUTED_VALUE"""),"rauf88699@gmail.com")</f>
        <v>rauf88699@gmail.com</v>
      </c>
      <c r="AA26" s="325">
        <v>1.0</v>
      </c>
    </row>
    <row r="27" hidden="1">
      <c r="A27" s="9">
        <f>IFERROR(__xludf.DUMMYFUNCTION("""COMPUTED_VALUE"""),45758.550546886574)</f>
        <v>45758.55055</v>
      </c>
      <c r="B27" s="10" t="str">
        <f>IFERROR(__xludf.DUMMYFUNCTION("""COMPUTED_VALUE"""),"Muhammad Nouman ")</f>
        <v>Muhammad Nouman </v>
      </c>
      <c r="C27" s="10" t="str">
        <f>IFERROR(__xludf.DUMMYFUNCTION("""COMPUTED_VALUE"""),"03284112905")</f>
        <v>03284112905</v>
      </c>
      <c r="D27" s="10" t="str">
        <f>IFERROR(__xludf.DUMMYFUNCTION("""COMPUTED_VALUE"""),"Jamia Masjid Chowk Dalkara Lahore")</f>
        <v>Jamia Masjid Chowk Dalkara Lahore</v>
      </c>
      <c r="E27" s="10" t="str">
        <f>IFERROR(__xludf.DUMMYFUNCTION("""COMPUTED_VALUE"""),"Wywfr")</f>
        <v>Wywfr</v>
      </c>
      <c r="F27" s="10">
        <f>IFERROR(__xludf.DUMMYFUNCTION("""COMPUTED_VALUE"""),560.0)</f>
        <v>560</v>
      </c>
      <c r="G27" s="10">
        <f>IFERROR(__xludf.DUMMYFUNCTION("""COMPUTED_VALUE"""),8.0)</f>
        <v>8</v>
      </c>
      <c r="H27" s="10">
        <f>IFERROR(__xludf.DUMMYFUNCTION("""COMPUTED_VALUE"""),8.0)</f>
        <v>8</v>
      </c>
      <c r="I27" s="10">
        <f>IFERROR(__xludf.DUMMYFUNCTION("""COMPUTED_VALUE"""),1.0)</f>
        <v>1</v>
      </c>
      <c r="J27" s="10">
        <f>IFERROR(__xludf.DUMMYFUNCTION("""COMPUTED_VALUE"""),1975.0)</f>
        <v>1975</v>
      </c>
      <c r="K27" s="10" t="str">
        <f>IFERROR(__xludf.DUMMYFUNCTION("""COMPUTED_VALUE"""),"No")</f>
        <v>No</v>
      </c>
      <c r="L27" s="10" t="str">
        <f>IFERROR(__xludf.DUMMYFUNCTION("""COMPUTED_VALUE"""),"No")</f>
        <v>No</v>
      </c>
      <c r="M27" s="10">
        <f>IFERROR(__xludf.DUMMYFUNCTION("""COMPUTED_VALUE"""),8.0)</f>
        <v>8</v>
      </c>
      <c r="N27" s="10" t="str">
        <f>IFERROR(__xludf.DUMMYFUNCTION("""COMPUTED_VALUE"""),"Yes")</f>
        <v>Yes</v>
      </c>
      <c r="O27" s="323">
        <f>IFERROR(__xludf.DUMMYFUNCTION("""COMPUTED_VALUE"""),0.0)</f>
        <v>0</v>
      </c>
      <c r="P27" s="10">
        <f>IFERROR(__xludf.DUMMYFUNCTION("""COMPUTED_VALUE"""),0.0)</f>
        <v>0</v>
      </c>
      <c r="Q27" s="10">
        <f>IFERROR(__xludf.DUMMYFUNCTION("""COMPUTED_VALUE"""),0.0)</f>
        <v>0</v>
      </c>
      <c r="R27" s="10">
        <f>IFERROR(__xludf.DUMMYFUNCTION("""COMPUTED_VALUE"""),0.0)</f>
        <v>0</v>
      </c>
      <c r="S27" s="18" t="str">
        <f>IFERROR(__xludf.DUMMYFUNCTION("""COMPUTED_VALUE"""),"https://drive.google.com/open?id=1nDBlAkLDGzuDR3ZekNzPwNjQDq4CqNER")</f>
        <v>https://drive.google.com/open?id=1nDBlAkLDGzuDR3ZekNzPwNjQDq4CqNER</v>
      </c>
      <c r="T27" s="18" t="str">
        <f>IFERROR(__xludf.DUMMYFUNCTION("""COMPUTED_VALUE"""),"https://drive.google.com/open?id=16dWKNJGmt8AGL7fEnGIN71_I-eGYDPAH")</f>
        <v>https://drive.google.com/open?id=16dWKNJGmt8AGL7fEnGIN71_I-eGYDPAH</v>
      </c>
      <c r="U27" s="18" t="str">
        <f>IFERROR(__xludf.DUMMYFUNCTION("""COMPUTED_VALUE"""),"https://drive.google.com/open?id=1aE8FMoMOs4oIeK0LRThhO-jpE7Ptm3b4")</f>
        <v>https://drive.google.com/open?id=1aE8FMoMOs4oIeK0LRThhO-jpE7Ptm3b4</v>
      </c>
      <c r="V27" s="10"/>
      <c r="W27" s="10"/>
      <c r="X27" s="10" t="str">
        <f>IFERROR(__xludf.DUMMYFUNCTION("""COMPUTED_VALUE"""),"Yes")</f>
        <v>Yes</v>
      </c>
      <c r="Y27" s="14" t="str">
        <f>IFERROR(__xludf.DUMMYFUNCTION("""COMPUTED_VALUE"""),"miannomanamjad284@gmail.com")</f>
        <v>miannomanamjad284@gmail.com</v>
      </c>
      <c r="AA27" s="325">
        <v>1.0</v>
      </c>
    </row>
    <row r="28" hidden="1">
      <c r="A28" s="9">
        <f>IFERROR(__xludf.DUMMYFUNCTION("""COMPUTED_VALUE"""),45758.58404274305)</f>
        <v>45758.58404</v>
      </c>
      <c r="B28" s="10" t="str">
        <f>IFERROR(__xludf.DUMMYFUNCTION("""COMPUTED_VALUE"""),"Muhammad Tahir ")</f>
        <v>Muhammad Tahir </v>
      </c>
      <c r="C28" s="10" t="str">
        <f>IFERROR(__xludf.DUMMYFUNCTION("""COMPUTED_VALUE"""),"0315-4165034 ")</f>
        <v>0315-4165034 </v>
      </c>
      <c r="D28" s="10" t="str">
        <f>IFERROR(__xludf.DUMMYFUNCTION("""COMPUTED_VALUE"""),"Jamia Syedna Abubakar Siddique Gumti Bazar")</f>
        <v>Jamia Syedna Abubakar Siddique Gumti Bazar</v>
      </c>
      <c r="E28" s="10" t="str">
        <f>IFERROR(__xludf.DUMMYFUNCTION("""COMPUTED_VALUE"""),"ptnjj")</f>
        <v>ptnjj</v>
      </c>
      <c r="F28" s="10">
        <f>IFERROR(__xludf.DUMMYFUNCTION("""COMPUTED_VALUE"""),200.0)</f>
        <v>200</v>
      </c>
      <c r="G28" s="10">
        <f>IFERROR(__xludf.DUMMYFUNCTION("""COMPUTED_VALUE"""),5.0)</f>
        <v>5</v>
      </c>
      <c r="H28" s="10">
        <f>IFERROR(__xludf.DUMMYFUNCTION("""COMPUTED_VALUE"""),5.0)</f>
        <v>5</v>
      </c>
      <c r="I28" s="10" t="str">
        <f>IFERROR(__xludf.DUMMYFUNCTION("""COMPUTED_VALUE"""),"No")</f>
        <v>No</v>
      </c>
      <c r="J28" s="10">
        <f>IFERROR(__xludf.DUMMYFUNCTION("""COMPUTED_VALUE"""),1960.0)</f>
        <v>1960</v>
      </c>
      <c r="K28" s="10" t="str">
        <f>IFERROR(__xludf.DUMMYFUNCTION("""COMPUTED_VALUE"""),"No")</f>
        <v>No</v>
      </c>
      <c r="L28" s="10" t="str">
        <f>IFERROR(__xludf.DUMMYFUNCTION("""COMPUTED_VALUE"""),"No")</f>
        <v>No</v>
      </c>
      <c r="M28" s="10">
        <f>IFERROR(__xludf.DUMMYFUNCTION("""COMPUTED_VALUE"""),8.0)</f>
        <v>8</v>
      </c>
      <c r="N28" s="10" t="str">
        <f>IFERROR(__xludf.DUMMYFUNCTION("""COMPUTED_VALUE"""),"No")</f>
        <v>No</v>
      </c>
      <c r="O28" s="10"/>
      <c r="P28" s="10"/>
      <c r="Q28" s="10"/>
      <c r="R28" s="10"/>
      <c r="S28" s="18" t="str">
        <f>IFERROR(__xludf.DUMMYFUNCTION("""COMPUTED_VALUE"""),"https://drive.google.com/open?id=1NN2UYQIiEDPrBhgu7UPa9vEcxT_gcfc-")</f>
        <v>https://drive.google.com/open?id=1NN2UYQIiEDPrBhgu7UPa9vEcxT_gcfc-</v>
      </c>
      <c r="T28" s="18" t="str">
        <f>IFERROR(__xludf.DUMMYFUNCTION("""COMPUTED_VALUE"""),"https://drive.google.com/open?id=1WmgbYJtNNhnsQ0uTFF72wi-vt0rWT_Y5")</f>
        <v>https://drive.google.com/open?id=1WmgbYJtNNhnsQ0uTFF72wi-vt0rWT_Y5</v>
      </c>
      <c r="U28" s="18" t="str">
        <f>IFERROR(__xludf.DUMMYFUNCTION("""COMPUTED_VALUE"""),"https://drive.google.com/open?id=1OIuzy2QqiuVNDwPueEXxpO7o9WwTXCze")</f>
        <v>https://drive.google.com/open?id=1OIuzy2QqiuVNDwPueEXxpO7o9WwTXCze</v>
      </c>
      <c r="V28" s="10" t="str">
        <f>IFERROR(__xludf.DUMMYFUNCTION("""COMPUTED_VALUE"""),"NA")</f>
        <v>NA</v>
      </c>
      <c r="W28" s="10"/>
      <c r="X28" s="10"/>
      <c r="Y28" s="14" t="str">
        <f>IFERROR(__xludf.DUMMYFUNCTION("""COMPUTED_VALUE"""),"tahirdaudi55@gmail.com")</f>
        <v>tahirdaudi55@gmail.com</v>
      </c>
      <c r="AA28" s="325">
        <v>1.0</v>
      </c>
    </row>
    <row r="29" hidden="1">
      <c r="A29" s="9">
        <f>IFERROR(__xludf.DUMMYFUNCTION("""COMPUTED_VALUE"""),45759.132374768524)</f>
        <v>45759.13237</v>
      </c>
      <c r="B29" s="10" t="str">
        <f>IFERROR(__xludf.DUMMYFUNCTION("""COMPUTED_VALUE"""),"Sheri")</f>
        <v>Sheri</v>
      </c>
      <c r="C29" s="10" t="str">
        <f>IFERROR(__xludf.DUMMYFUNCTION("""COMPUTED_VALUE"""),"03438080093")</f>
        <v>03438080093</v>
      </c>
      <c r="D29" s="10" t="str">
        <f>IFERROR(__xludf.DUMMYFUNCTION("""COMPUTED_VALUE"""),"Jamia Masjid Darbar Ismail Shah Bhukari ")</f>
        <v>Jamia Masjid Darbar Ismail Shah Bhukari </v>
      </c>
      <c r="E29" s="10" t="str">
        <f>IFERROR(__xludf.DUMMYFUNCTION("""COMPUTED_VALUE"""),"fevmy")</f>
        <v>fevmy</v>
      </c>
      <c r="F29" s="10">
        <f>IFERROR(__xludf.DUMMYFUNCTION("""COMPUTED_VALUE"""),180.0)</f>
        <v>180</v>
      </c>
      <c r="G29" s="10">
        <f>IFERROR(__xludf.DUMMYFUNCTION("""COMPUTED_VALUE"""),9.0)</f>
        <v>9</v>
      </c>
      <c r="H29" s="10">
        <f>IFERROR(__xludf.DUMMYFUNCTION("""COMPUTED_VALUE"""),9.0)</f>
        <v>9</v>
      </c>
      <c r="I29" s="10">
        <f>IFERROR(__xludf.DUMMYFUNCTION("""COMPUTED_VALUE"""),0.0)</f>
        <v>0</v>
      </c>
      <c r="J29" s="10">
        <f>IFERROR(__xludf.DUMMYFUNCTION("""COMPUTED_VALUE"""),1945.0)</f>
        <v>1945</v>
      </c>
      <c r="K29" s="10" t="str">
        <f>IFERROR(__xludf.DUMMYFUNCTION("""COMPUTED_VALUE"""),"No")</f>
        <v>No</v>
      </c>
      <c r="L29" s="10" t="str">
        <f>IFERROR(__xludf.DUMMYFUNCTION("""COMPUTED_VALUE"""),"Darbar Ismail Shah Bhukari ")</f>
        <v>Darbar Ismail Shah Bhukari </v>
      </c>
      <c r="M29" s="10">
        <f>IFERROR(__xludf.DUMMYFUNCTION("""COMPUTED_VALUE"""),9.0)</f>
        <v>9</v>
      </c>
      <c r="N29" s="10" t="str">
        <f>IFERROR(__xludf.DUMMYFUNCTION("""COMPUTED_VALUE"""),"Yes")</f>
        <v>Yes</v>
      </c>
      <c r="O29" s="323">
        <f>IFERROR(__xludf.DUMMYFUNCTION("""COMPUTED_VALUE"""),0.0)</f>
        <v>0</v>
      </c>
      <c r="P29" s="10">
        <f>IFERROR(__xludf.DUMMYFUNCTION("""COMPUTED_VALUE"""),0.0)</f>
        <v>0</v>
      </c>
      <c r="Q29" s="10">
        <f>IFERROR(__xludf.DUMMYFUNCTION("""COMPUTED_VALUE"""),0.0)</f>
        <v>0</v>
      </c>
      <c r="R29" s="10">
        <f>IFERROR(__xludf.DUMMYFUNCTION("""COMPUTED_VALUE"""),0.0)</f>
        <v>0</v>
      </c>
      <c r="S29" s="18" t="str">
        <f>IFERROR(__xludf.DUMMYFUNCTION("""COMPUTED_VALUE"""),"https://drive.google.com/open?id=1iB0yCbKh9V4fBedekOqYdJTkNFqgsLuQ")</f>
        <v>https://drive.google.com/open?id=1iB0yCbKh9V4fBedekOqYdJTkNFqgsLuQ</v>
      </c>
      <c r="T29" s="18" t="str">
        <f>IFERROR(__xludf.DUMMYFUNCTION("""COMPUTED_VALUE"""),"https://drive.google.com/open?id=1ueqfpWigvvrGvNdNNt5VxIUsWCGxr7KN")</f>
        <v>https://drive.google.com/open?id=1ueqfpWigvvrGvNdNNt5VxIUsWCGxr7KN</v>
      </c>
      <c r="U29" s="18" t="str">
        <f>IFERROR(__xludf.DUMMYFUNCTION("""COMPUTED_VALUE"""),"https://drive.google.com/open?id=1sVzmpmCZYJPWcXKbOEV1ltgPkQFvs_Jg")</f>
        <v>https://drive.google.com/open?id=1sVzmpmCZYJPWcXKbOEV1ltgPkQFvs_Jg</v>
      </c>
      <c r="V29" s="10"/>
      <c r="W29" s="10"/>
      <c r="X29" s="10" t="str">
        <f>IFERROR(__xludf.DUMMYFUNCTION("""COMPUTED_VALUE"""),"Yes")</f>
        <v>Yes</v>
      </c>
      <c r="Y29" s="14" t="str">
        <f>IFERROR(__xludf.DUMMYFUNCTION("""COMPUTED_VALUE"""),"haris.cerp@gmail.com")</f>
        <v>haris.cerp@gmail.com</v>
      </c>
      <c r="AA29" s="325">
        <v>1.0</v>
      </c>
    </row>
    <row r="30" hidden="1">
      <c r="A30" s="9">
        <f>IFERROR(__xludf.DUMMYFUNCTION("""COMPUTED_VALUE"""),45759.2396681713)</f>
        <v>45759.23967</v>
      </c>
      <c r="B30" s="10" t="str">
        <f>IFERROR(__xludf.DUMMYFUNCTION("""COMPUTED_VALUE"""),"Shamas")</f>
        <v>Shamas</v>
      </c>
      <c r="C30" s="10" t="str">
        <f>IFERROR(__xludf.DUMMYFUNCTION("""COMPUTED_VALUE"""),"03438080093")</f>
        <v>03438080093</v>
      </c>
      <c r="D30" s="10" t="str">
        <f>IFERROR(__xludf.DUMMYFUNCTION("""COMPUTED_VALUE"""),"Jamia Masjid Hanfiya Muslim Gunj Kahchu Pura ")</f>
        <v>Jamia Masjid Hanfiya Muslim Gunj Kahchu Pura </v>
      </c>
      <c r="E30" s="10" t="str">
        <f>IFERROR(__xludf.DUMMYFUNCTION("""COMPUTED_VALUE"""),"ogwwf")</f>
        <v>ogwwf</v>
      </c>
      <c r="F30" s="10">
        <f>IFERROR(__xludf.DUMMYFUNCTION("""COMPUTED_VALUE"""),110.0)</f>
        <v>110</v>
      </c>
      <c r="G30" s="10">
        <f>IFERROR(__xludf.DUMMYFUNCTION("""COMPUTED_VALUE"""),8.0)</f>
        <v>8</v>
      </c>
      <c r="H30" s="10">
        <f>IFERROR(__xludf.DUMMYFUNCTION("""COMPUTED_VALUE"""),7.0)</f>
        <v>7</v>
      </c>
      <c r="I30" s="10">
        <f>IFERROR(__xludf.DUMMYFUNCTION("""COMPUTED_VALUE"""),2.0)</f>
        <v>2</v>
      </c>
      <c r="J30" s="10">
        <f>IFERROR(__xludf.DUMMYFUNCTION("""COMPUTED_VALUE"""),1940.0)</f>
        <v>1940</v>
      </c>
      <c r="K30" s="10" t="str">
        <f>IFERROR(__xludf.DUMMYFUNCTION("""COMPUTED_VALUE"""),"No")</f>
        <v>No</v>
      </c>
      <c r="L30" s="10" t="str">
        <f>IFERROR(__xludf.DUMMYFUNCTION("""COMPUTED_VALUE"""),"No")</f>
        <v>No</v>
      </c>
      <c r="M30" s="10">
        <f>IFERROR(__xludf.DUMMYFUNCTION("""COMPUTED_VALUE"""),8.0)</f>
        <v>8</v>
      </c>
      <c r="N30" s="10" t="str">
        <f>IFERROR(__xludf.DUMMYFUNCTION("""COMPUTED_VALUE"""),"Yes")</f>
        <v>Yes</v>
      </c>
      <c r="O30" s="323">
        <f>IFERROR(__xludf.DUMMYFUNCTION("""COMPUTED_VALUE"""),0.9)</f>
        <v>0.9</v>
      </c>
      <c r="P30" s="10">
        <f>IFERROR(__xludf.DUMMYFUNCTION("""COMPUTED_VALUE"""),8.0)</f>
        <v>8</v>
      </c>
      <c r="Q30" s="10">
        <f>IFERROR(__xludf.DUMMYFUNCTION("""COMPUTED_VALUE"""),2.0)</f>
        <v>2</v>
      </c>
      <c r="R30" s="10">
        <f>IFERROR(__xludf.DUMMYFUNCTION("""COMPUTED_VALUE"""),9.0)</f>
        <v>9</v>
      </c>
      <c r="S30" s="18" t="str">
        <f>IFERROR(__xludf.DUMMYFUNCTION("""COMPUTED_VALUE"""),"https://drive.google.com/open?id=1GqC_iC5CjQYKHebfX_WziXQXrM9TMHPm")</f>
        <v>https://drive.google.com/open?id=1GqC_iC5CjQYKHebfX_WziXQXrM9TMHPm</v>
      </c>
      <c r="T30" s="18" t="str">
        <f>IFERROR(__xludf.DUMMYFUNCTION("""COMPUTED_VALUE"""),"https://drive.google.com/open?id=1Jj1xZFyCp2OSZ0NNv2fuhv4t5-2ZIRc9")</f>
        <v>https://drive.google.com/open?id=1Jj1xZFyCp2OSZ0NNv2fuhv4t5-2ZIRc9</v>
      </c>
      <c r="U30" s="18" t="str">
        <f>IFERROR(__xludf.DUMMYFUNCTION("""COMPUTED_VALUE"""),"https://drive.google.com/open?id=1WSY6RHhHBCdPG7x3BBGuAsgoVOOQ5jwy")</f>
        <v>https://drive.google.com/open?id=1WSY6RHhHBCdPG7x3BBGuAsgoVOOQ5jwy</v>
      </c>
      <c r="V30" s="10"/>
      <c r="W30" s="10"/>
      <c r="X30" s="10" t="str">
        <f>IFERROR(__xludf.DUMMYFUNCTION("""COMPUTED_VALUE"""),"Yes")</f>
        <v>Yes</v>
      </c>
      <c r="Y30" s="14" t="str">
        <f>IFERROR(__xludf.DUMMYFUNCTION("""COMPUTED_VALUE"""),"mianharisamjad284@gmail.com")</f>
        <v>mianharisamjad284@gmail.com</v>
      </c>
      <c r="AA30" s="325">
        <v>1.0</v>
      </c>
    </row>
    <row r="31" hidden="1">
      <c r="A31" s="9">
        <f>IFERROR(__xludf.DUMMYFUNCTION("""COMPUTED_VALUE"""),45759.41300778935)</f>
        <v>45759.41301</v>
      </c>
      <c r="B31" s="10" t="str">
        <f>IFERROR(__xludf.DUMMYFUNCTION("""COMPUTED_VALUE"""),"M Haseeb ")</f>
        <v>M Haseeb </v>
      </c>
      <c r="C31" s="10" t="str">
        <f>IFERROR(__xludf.DUMMYFUNCTION("""COMPUTED_VALUE"""),"03262232424")</f>
        <v>03262232424</v>
      </c>
      <c r="D31" s="10" t="str">
        <f>IFERROR(__xludf.DUMMYFUNCTION("""COMPUTED_VALUE"""),"jamia masjid walton road ")</f>
        <v>jamia masjid walton road </v>
      </c>
      <c r="E31" s="10" t="str">
        <f>IFERROR(__xludf.DUMMYFUNCTION("""COMPUTED_VALUE"""),"vmezu")</f>
        <v>vmezu</v>
      </c>
      <c r="F31" s="10">
        <f>IFERROR(__xludf.DUMMYFUNCTION("""COMPUTED_VALUE"""),210.0)</f>
        <v>210</v>
      </c>
      <c r="G31" s="10">
        <f>IFERROR(__xludf.DUMMYFUNCTION("""COMPUTED_VALUE"""),9.0)</f>
        <v>9</v>
      </c>
      <c r="H31" s="10">
        <f>IFERROR(__xludf.DUMMYFUNCTION("""COMPUTED_VALUE"""),9.0)</f>
        <v>9</v>
      </c>
      <c r="I31" s="10">
        <f>IFERROR(__xludf.DUMMYFUNCTION("""COMPUTED_VALUE"""),0.0)</f>
        <v>0</v>
      </c>
      <c r="J31" s="10" t="str">
        <f>IFERROR(__xludf.DUMMYFUNCTION("""COMPUTED_VALUE"""),"0000")</f>
        <v>0000</v>
      </c>
      <c r="K31" s="10" t="str">
        <f>IFERROR(__xludf.DUMMYFUNCTION("""COMPUTED_VALUE"""),"No")</f>
        <v>No</v>
      </c>
      <c r="L31" s="10" t="str">
        <f>IFERROR(__xludf.DUMMYFUNCTION("""COMPUTED_VALUE"""),"no")</f>
        <v>no</v>
      </c>
      <c r="M31" s="10">
        <f>IFERROR(__xludf.DUMMYFUNCTION("""COMPUTED_VALUE"""),10.0)</f>
        <v>10</v>
      </c>
      <c r="N31" s="10" t="str">
        <f>IFERROR(__xludf.DUMMYFUNCTION("""COMPUTED_VALUE"""),"Yes")</f>
        <v>Yes</v>
      </c>
      <c r="O31" s="323">
        <f>IFERROR(__xludf.DUMMYFUNCTION("""COMPUTED_VALUE"""),0.0)</f>
        <v>0</v>
      </c>
      <c r="P31" s="10">
        <f>IFERROR(__xludf.DUMMYFUNCTION("""COMPUTED_VALUE"""),0.0)</f>
        <v>0</v>
      </c>
      <c r="Q31" s="10">
        <f>IFERROR(__xludf.DUMMYFUNCTION("""COMPUTED_VALUE"""),10.0)</f>
        <v>10</v>
      </c>
      <c r="R31" s="10">
        <f>IFERROR(__xludf.DUMMYFUNCTION("""COMPUTED_VALUE"""),0.0)</f>
        <v>0</v>
      </c>
      <c r="S31" s="18" t="str">
        <f>IFERROR(__xludf.DUMMYFUNCTION("""COMPUTED_VALUE"""),"https://drive.google.com/file/d/1eaRutIbfjbc5tsIhU6Ciw3K88czzAS5Y/view")</f>
        <v>https://drive.google.com/file/d/1eaRutIbfjbc5tsIhU6Ciw3K88czzAS5Y/view</v>
      </c>
      <c r="T31" s="18" t="str">
        <f>IFERROR(__xludf.DUMMYFUNCTION("""COMPUTED_VALUE"""),"https://drive.google.com/open?id=1F0zwMrcJovTlaBBtXlidGnN5AfZTKwQc")</f>
        <v>https://drive.google.com/open?id=1F0zwMrcJovTlaBBtXlidGnN5AfZTKwQc</v>
      </c>
      <c r="U31" s="18" t="str">
        <f>IFERROR(__xludf.DUMMYFUNCTION("""COMPUTED_VALUE"""),"https://drive.google.com/open?id=1peG0mo2kdOukoA4FY4kbpIKR51AKGAC7")</f>
        <v>https://drive.google.com/open?id=1peG0mo2kdOukoA4FY4kbpIKR51AKGAC7</v>
      </c>
      <c r="V31" s="10"/>
      <c r="W31" s="10"/>
      <c r="X31" s="10" t="str">
        <f>IFERROR(__xludf.DUMMYFUNCTION("""COMPUTED_VALUE"""),"Yes")</f>
        <v>Yes</v>
      </c>
      <c r="Y31" s="14" t="str">
        <f>IFERROR(__xludf.DUMMYFUNCTION("""COMPUTED_VALUE"""),"haseebhamidofficial@gmail.com")</f>
        <v>haseebhamidofficial@gmail.com</v>
      </c>
      <c r="AA31" s="325">
        <v>1.0</v>
      </c>
    </row>
    <row r="32" hidden="1">
      <c r="A32" s="9">
        <f>IFERROR(__xludf.DUMMYFUNCTION("""COMPUTED_VALUE"""),45763.09993462963)</f>
        <v>45763.09993</v>
      </c>
      <c r="B32" s="10" t="str">
        <f>IFERROR(__xludf.DUMMYFUNCTION("""COMPUTED_VALUE"""),"Muhammad Razzaq Sajid ")</f>
        <v>Muhammad Razzaq Sajid </v>
      </c>
      <c r="C32" s="10" t="str">
        <f>IFERROR(__xludf.DUMMYFUNCTION("""COMPUTED_VALUE"""),"03036162361")</f>
        <v>03036162361</v>
      </c>
      <c r="D32" s="10" t="str">
        <f>IFERROR(__xludf.DUMMYFUNCTION("""COMPUTED_VALUE"""),"Jamia Masjid Sakhi Abdul Wahab ")</f>
        <v>Jamia Masjid Sakhi Abdul Wahab </v>
      </c>
      <c r="E32" s="10" t="str">
        <f>IFERROR(__xludf.DUMMYFUNCTION("""COMPUTED_VALUE"""),"moorq")</f>
        <v>moorq</v>
      </c>
      <c r="F32" s="10">
        <f>IFERROR(__xludf.DUMMYFUNCTION("""COMPUTED_VALUE"""),95.0)</f>
        <v>95</v>
      </c>
      <c r="G32" s="10">
        <f>IFERROR(__xludf.DUMMYFUNCTION("""COMPUTED_VALUE"""),6.0)</f>
        <v>6</v>
      </c>
      <c r="H32" s="10">
        <f>IFERROR(__xludf.DUMMYFUNCTION("""COMPUTED_VALUE"""),8.0)</f>
        <v>8</v>
      </c>
      <c r="I32" s="10">
        <f>IFERROR(__xludf.DUMMYFUNCTION("""COMPUTED_VALUE"""),2.0)</f>
        <v>2</v>
      </c>
      <c r="J32" s="10" t="str">
        <f>IFERROR(__xludf.DUMMYFUNCTION("""COMPUTED_VALUE"""),"No")</f>
        <v>No</v>
      </c>
      <c r="K32" s="10" t="str">
        <f>IFERROR(__xludf.DUMMYFUNCTION("""COMPUTED_VALUE"""),"No")</f>
        <v>No</v>
      </c>
      <c r="L32" s="10" t="str">
        <f>IFERROR(__xludf.DUMMYFUNCTION("""COMPUTED_VALUE"""),"Hazrat Sakhi Abdul Wahab ")</f>
        <v>Hazrat Sakhi Abdul Wahab </v>
      </c>
      <c r="M32" s="10">
        <f>IFERROR(__xludf.DUMMYFUNCTION("""COMPUTED_VALUE"""),8.0)</f>
        <v>8</v>
      </c>
      <c r="N32" s="10" t="str">
        <f>IFERROR(__xludf.DUMMYFUNCTION("""COMPUTED_VALUE"""),"No")</f>
        <v>No</v>
      </c>
      <c r="O32" s="10"/>
      <c r="P32" s="10"/>
      <c r="Q32" s="10"/>
      <c r="R32" s="10"/>
      <c r="S32" s="18" t="str">
        <f>IFERROR(__xludf.DUMMYFUNCTION("""COMPUTED_VALUE"""),"https://drive.google.com/open?id=1YV8RvDiS3nOTbKovf2rZtvVoQizGmGtA")</f>
        <v>https://drive.google.com/open?id=1YV8RvDiS3nOTbKovf2rZtvVoQizGmGtA</v>
      </c>
      <c r="T32" s="18" t="str">
        <f>IFERROR(__xludf.DUMMYFUNCTION("""COMPUTED_VALUE"""),"https://drive.google.com/open?id=1dQpZB2ZZr7YzzDhQRhiyfJBGYBJYPaoG")</f>
        <v>https://drive.google.com/open?id=1dQpZB2ZZr7YzzDhQRhiyfJBGYBJYPaoG</v>
      </c>
      <c r="U32" s="18" t="str">
        <f>IFERROR(__xludf.DUMMYFUNCTION("""COMPUTED_VALUE"""),"https://drive.google.com/open?id=1B1t76Ga60ld94Y1IQ_DulkO8hdUnlfxq")</f>
        <v>https://drive.google.com/open?id=1B1t76Ga60ld94Y1IQ_DulkO8hdUnlfxq</v>
      </c>
      <c r="V32" s="10" t="str">
        <f>IFERROR(__xludf.DUMMYFUNCTION("""COMPUTED_VALUE"""),"No")</f>
        <v>No</v>
      </c>
      <c r="W32" s="10"/>
      <c r="X32" s="10"/>
      <c r="Y32" s="14" t="str">
        <f>IFERROR(__xludf.DUMMYFUNCTION("""COMPUTED_VALUE"""),"razzaq.sajid1@gmail.com")</f>
        <v>razzaq.sajid1@gmail.com</v>
      </c>
      <c r="AA32" s="325">
        <v>1.0</v>
      </c>
    </row>
    <row r="33" hidden="1">
      <c r="A33" s="9">
        <f>IFERROR(__xludf.DUMMYFUNCTION("""COMPUTED_VALUE"""),45763.29058378472)</f>
        <v>45763.29058</v>
      </c>
      <c r="B33" s="10" t="str">
        <f>IFERROR(__xludf.DUMMYFUNCTION("""COMPUTED_VALUE"""),"Ali usman ")</f>
        <v>Ali usman </v>
      </c>
      <c r="C33" s="10" t="str">
        <f>IFERROR(__xludf.DUMMYFUNCTION("""COMPUTED_VALUE"""),"03035218874")</f>
        <v>03035218874</v>
      </c>
      <c r="D33" s="10" t="str">
        <f>IFERROR(__xludf.DUMMYFUNCTION("""COMPUTED_VALUE"""),"Jamia masjid Unchi hunfiya")</f>
        <v>Jamia masjid Unchi hunfiya</v>
      </c>
      <c r="E33" s="10" t="str">
        <f>IFERROR(__xludf.DUMMYFUNCTION("""COMPUTED_VALUE"""),"Jamia masjid Unchi hunfiya")</f>
        <v>Jamia masjid Unchi hunfiya</v>
      </c>
      <c r="F33" s="10">
        <f>IFERROR(__xludf.DUMMYFUNCTION("""COMPUTED_VALUE"""),470.0)</f>
        <v>470</v>
      </c>
      <c r="G33" s="10">
        <f>IFERROR(__xludf.DUMMYFUNCTION("""COMPUTED_VALUE"""),4.0)</f>
        <v>4</v>
      </c>
      <c r="H33" s="10">
        <f>IFERROR(__xludf.DUMMYFUNCTION("""COMPUTED_VALUE"""),3.0)</f>
        <v>3</v>
      </c>
      <c r="I33" s="10">
        <f>IFERROR(__xludf.DUMMYFUNCTION("""COMPUTED_VALUE"""),1.0)</f>
        <v>1</v>
      </c>
      <c r="J33" s="10">
        <f>IFERROR(__xludf.DUMMYFUNCTION("""COMPUTED_VALUE"""),2004.0)</f>
        <v>2004</v>
      </c>
      <c r="K33" s="10" t="str">
        <f>IFERROR(__xludf.DUMMYFUNCTION("""COMPUTED_VALUE"""),"No")</f>
        <v>No</v>
      </c>
      <c r="L33" s="10" t="str">
        <f>IFERROR(__xludf.DUMMYFUNCTION("""COMPUTED_VALUE"""),"No")</f>
        <v>No</v>
      </c>
      <c r="M33" s="10">
        <f>IFERROR(__xludf.DUMMYFUNCTION("""COMPUTED_VALUE"""),9.0)</f>
        <v>9</v>
      </c>
      <c r="N33" s="10" t="str">
        <f>IFERROR(__xludf.DUMMYFUNCTION("""COMPUTED_VALUE"""),"Yes")</f>
        <v>Yes</v>
      </c>
      <c r="O33" s="323">
        <f>IFERROR(__xludf.DUMMYFUNCTION("""COMPUTED_VALUE"""),0.0)</f>
        <v>0</v>
      </c>
      <c r="P33" s="10">
        <f>IFERROR(__xludf.DUMMYFUNCTION("""COMPUTED_VALUE"""),0.0)</f>
        <v>0</v>
      </c>
      <c r="Q33" s="10">
        <f>IFERROR(__xludf.DUMMYFUNCTION("""COMPUTED_VALUE"""),0.0)</f>
        <v>0</v>
      </c>
      <c r="R33" s="10">
        <f>IFERROR(__xludf.DUMMYFUNCTION("""COMPUTED_VALUE"""),0.0)</f>
        <v>0</v>
      </c>
      <c r="S33" s="18" t="str">
        <f>IFERROR(__xludf.DUMMYFUNCTION("""COMPUTED_VALUE"""),"https://drive.google.com/open?id=1jfHYNVt4HRrlqR4j7E1_5EI3JFeMFLlX")</f>
        <v>https://drive.google.com/open?id=1jfHYNVt4HRrlqR4j7E1_5EI3JFeMFLlX</v>
      </c>
      <c r="T33" s="18" t="str">
        <f>IFERROR(__xludf.DUMMYFUNCTION("""COMPUTED_VALUE"""),"https://drive.google.com/open?id=1Qi5zrmViL1m81bvgznqg5bcizfjm-kb-")</f>
        <v>https://drive.google.com/open?id=1Qi5zrmViL1m81bvgznqg5bcizfjm-kb-</v>
      </c>
      <c r="U33" s="10"/>
      <c r="V33" s="10">
        <f>IFERROR(__xludf.DUMMYFUNCTION("""COMPUTED_VALUE"""),0.0)</f>
        <v>0</v>
      </c>
      <c r="W33" s="10"/>
      <c r="X33" s="10" t="str">
        <f>IFERROR(__xludf.DUMMYFUNCTION("""COMPUTED_VALUE"""),"No")</f>
        <v>No</v>
      </c>
      <c r="Y33" s="14" t="str">
        <f>IFERROR(__xludf.DUMMYFUNCTION("""COMPUTED_VALUE"""),"hobyhobby04@gmail.com")</f>
        <v>hobyhobby04@gmail.com</v>
      </c>
      <c r="AA33" s="325" t="s">
        <v>4</v>
      </c>
    </row>
    <row r="34" hidden="1">
      <c r="A34" s="9">
        <f>IFERROR(__xludf.DUMMYFUNCTION("""COMPUTED_VALUE"""),45763.297098599534)</f>
        <v>45763.2971</v>
      </c>
      <c r="B34" s="10" t="str">
        <f>IFERROR(__xludf.DUMMYFUNCTION("""COMPUTED_VALUE"""),"Ali usman ")</f>
        <v>Ali usman </v>
      </c>
      <c r="C34" s="10" t="str">
        <f>IFERROR(__xludf.DUMMYFUNCTION("""COMPUTED_VALUE"""),"03035218874")</f>
        <v>03035218874</v>
      </c>
      <c r="D34" s="10" t="str">
        <f>IFERROR(__xludf.DUMMYFUNCTION("""COMPUTED_VALUE"""),"Jamia Masjid Hanfiya Farookia Khrishan Nagar Lahore")</f>
        <v>Jamia Masjid Hanfiya Farookia Khrishan Nagar Lahore</v>
      </c>
      <c r="E34" s="10" t="str">
        <f>IFERROR(__xludf.DUMMYFUNCTION("""COMPUTED_VALUE"""),"mfrop")</f>
        <v>mfrop</v>
      </c>
      <c r="F34" s="10">
        <f>IFERROR(__xludf.DUMMYFUNCTION("""COMPUTED_VALUE"""),470.0)</f>
        <v>470</v>
      </c>
      <c r="G34" s="10">
        <f>IFERROR(__xludf.DUMMYFUNCTION("""COMPUTED_VALUE"""),5.0)</f>
        <v>5</v>
      </c>
      <c r="H34" s="10">
        <f>IFERROR(__xludf.DUMMYFUNCTION("""COMPUTED_VALUE"""),4.0)</f>
        <v>4</v>
      </c>
      <c r="I34" s="10">
        <f>IFERROR(__xludf.DUMMYFUNCTION("""COMPUTED_VALUE"""),1.0)</f>
        <v>1</v>
      </c>
      <c r="J34" s="10">
        <f>IFERROR(__xludf.DUMMYFUNCTION("""COMPUTED_VALUE"""),2005.0)</f>
        <v>2005</v>
      </c>
      <c r="K34" s="10" t="str">
        <f>IFERROR(__xludf.DUMMYFUNCTION("""COMPUTED_VALUE"""),"No")</f>
        <v>No</v>
      </c>
      <c r="L34" s="10" t="str">
        <f>IFERROR(__xludf.DUMMYFUNCTION("""COMPUTED_VALUE"""),"No")</f>
        <v>No</v>
      </c>
      <c r="M34" s="10">
        <f>IFERROR(__xludf.DUMMYFUNCTION("""COMPUTED_VALUE"""),9.0)</f>
        <v>9</v>
      </c>
      <c r="N34" s="10" t="str">
        <f>IFERROR(__xludf.DUMMYFUNCTION("""COMPUTED_VALUE"""),"No")</f>
        <v>No</v>
      </c>
      <c r="O34" s="10"/>
      <c r="P34" s="10"/>
      <c r="Q34" s="10"/>
      <c r="R34" s="10"/>
      <c r="S34" s="18" t="str">
        <f>IFERROR(__xludf.DUMMYFUNCTION("""COMPUTED_VALUE"""),"https://drive.google.com/open?id=1mxHwUZux-dFQTkRcUIazA3xQSeXRtqPg")</f>
        <v>https://drive.google.com/open?id=1mxHwUZux-dFQTkRcUIazA3xQSeXRtqPg</v>
      </c>
      <c r="T34" s="10" t="str">
        <f>IFERROR(__xludf.DUMMYFUNCTION("""COMPUTED_VALUE"""),"https://drive.google.com/open?id=16pXnPiIhPDOjIXHQgtSGsllNsEtkI-UJ, https://drive.google.com/open?id=1KqrgEW38ov6jOaeZRTOZuTI_3F181xQS")</f>
        <v>https://drive.google.com/open?id=16pXnPiIhPDOjIXHQgtSGsllNsEtkI-UJ, https://drive.google.com/open?id=1KqrgEW38ov6jOaeZRTOZuTI_3F181xQS</v>
      </c>
      <c r="U34" s="18" t="str">
        <f>IFERROR(__xludf.DUMMYFUNCTION("""COMPUTED_VALUE"""),"https://drive.google.com/open?id=1RcW7-oCuoZ7r0-TavCG2R-Srtk6WIv2w")</f>
        <v>https://drive.google.com/open?id=1RcW7-oCuoZ7r0-TavCG2R-Srtk6WIv2w</v>
      </c>
      <c r="V34" s="10" t="str">
        <f>IFERROR(__xludf.DUMMYFUNCTION("""COMPUTED_VALUE"""),"Masjid locate krne me mushkil hui")</f>
        <v>Masjid locate krne me mushkil hui</v>
      </c>
      <c r="W34" s="10"/>
      <c r="X34" s="10"/>
      <c r="Y34" s="14" t="str">
        <f>IFERROR(__xludf.DUMMYFUNCTION("""COMPUTED_VALUE"""),"hobyhobby03@gmail.com")</f>
        <v>hobyhobby03@gmail.com</v>
      </c>
      <c r="AA34" s="325">
        <v>1.0</v>
      </c>
    </row>
    <row r="35" hidden="1">
      <c r="A35" s="9">
        <f>IFERROR(__xludf.DUMMYFUNCTION("""COMPUTED_VALUE"""),45763.537478819446)</f>
        <v>45763.53748</v>
      </c>
      <c r="B35" s="10" t="str">
        <f>IFERROR(__xludf.DUMMYFUNCTION("""COMPUTED_VALUE"""),"Muhammad Haris ")</f>
        <v>Muhammad Haris </v>
      </c>
      <c r="C35" s="10" t="str">
        <f>IFERROR(__xludf.DUMMYFUNCTION("""COMPUTED_VALUE"""),"03204565224")</f>
        <v>03204565224</v>
      </c>
      <c r="D35" s="10" t="str">
        <f>IFERROR(__xludf.DUMMYFUNCTION("""COMPUTED_VALUE"""),"Jamia Masjid Darbar Qurban Ali Shah ")</f>
        <v>Jamia Masjid Darbar Qurban Ali Shah </v>
      </c>
      <c r="E35" s="10" t="str">
        <f>IFERROR(__xludf.DUMMYFUNCTION("""COMPUTED_VALUE"""),"xqvon")</f>
        <v>xqvon</v>
      </c>
      <c r="F35" s="10">
        <f>IFERROR(__xludf.DUMMYFUNCTION("""COMPUTED_VALUE"""),190.0)</f>
        <v>190</v>
      </c>
      <c r="G35" s="10">
        <f>IFERROR(__xludf.DUMMYFUNCTION("""COMPUTED_VALUE"""),10.0)</f>
        <v>10</v>
      </c>
      <c r="H35" s="10">
        <f>IFERROR(__xludf.DUMMYFUNCTION("""COMPUTED_VALUE"""),9.0)</f>
        <v>9</v>
      </c>
      <c r="I35" s="10">
        <f>IFERROR(__xludf.DUMMYFUNCTION("""COMPUTED_VALUE"""),0.0)</f>
        <v>0</v>
      </c>
      <c r="J35" s="10">
        <f>IFERROR(__xludf.DUMMYFUNCTION("""COMPUTED_VALUE"""),1970.0)</f>
        <v>1970</v>
      </c>
      <c r="K35" s="10" t="str">
        <f>IFERROR(__xludf.DUMMYFUNCTION("""COMPUTED_VALUE"""),"No")</f>
        <v>No</v>
      </c>
      <c r="L35" s="10" t="str">
        <f>IFERROR(__xludf.DUMMYFUNCTION("""COMPUTED_VALUE"""),"Darbar Qurban Ali Shah ")</f>
        <v>Darbar Qurban Ali Shah </v>
      </c>
      <c r="M35" s="10">
        <f>IFERROR(__xludf.DUMMYFUNCTION("""COMPUTED_VALUE"""),9.0)</f>
        <v>9</v>
      </c>
      <c r="N35" s="10" t="str">
        <f>IFERROR(__xludf.DUMMYFUNCTION("""COMPUTED_VALUE"""),"No")</f>
        <v>No</v>
      </c>
      <c r="O35" s="10"/>
      <c r="P35" s="10"/>
      <c r="Q35" s="10"/>
      <c r="R35" s="10"/>
      <c r="S35" s="18" t="str">
        <f>IFERROR(__xludf.DUMMYFUNCTION("""COMPUTED_VALUE"""),"https://drive.google.com/open?id=1xlaQEx8qgwsdjSNZC2mcq-vCgMLKcuch")</f>
        <v>https://drive.google.com/open?id=1xlaQEx8qgwsdjSNZC2mcq-vCgMLKcuch</v>
      </c>
      <c r="T35" s="18" t="str">
        <f>IFERROR(__xludf.DUMMYFUNCTION("""COMPUTED_VALUE"""),"https://drive.google.com/open?id=1Emo4eURiL-L2d7JQ985fFa3vmrkSU68u")</f>
        <v>https://drive.google.com/open?id=1Emo4eURiL-L2d7JQ985fFa3vmrkSU68u</v>
      </c>
      <c r="U35" s="18" t="str">
        <f>IFERROR(__xludf.DUMMYFUNCTION("""COMPUTED_VALUE"""),"https://drive.google.com/open?id=12vsiCJ7XNWBQwEpOeF4JSoa2IAohh1AB")</f>
        <v>https://drive.google.com/open?id=12vsiCJ7XNWBQwEpOeF4JSoa2IAohh1AB</v>
      </c>
      <c r="V35" s="10"/>
      <c r="W35" s="10"/>
      <c r="X35" s="10"/>
      <c r="Y35" s="14" t="str">
        <f>IFERROR(__xludf.DUMMYFUNCTION("""COMPUTED_VALUE"""),"mianharisamjad284@gmail.com")</f>
        <v>mianharisamjad284@gmail.com</v>
      </c>
      <c r="AA35" s="325">
        <v>1.0</v>
      </c>
    </row>
    <row r="36" hidden="1">
      <c r="A36" s="9">
        <f>IFERROR(__xludf.DUMMYFUNCTION("""COMPUTED_VALUE"""),45763.54494114583)</f>
        <v>45763.54494</v>
      </c>
      <c r="B36" s="10" t="str">
        <f>IFERROR(__xludf.DUMMYFUNCTION("""COMPUTED_VALUE"""),"Muhammad Noman")</f>
        <v>Muhammad Noman</v>
      </c>
      <c r="C36" s="10" t="str">
        <f>IFERROR(__xludf.DUMMYFUNCTION("""COMPUTED_VALUE"""),"03036966304")</f>
        <v>03036966304</v>
      </c>
      <c r="D36" s="10" t="str">
        <f>IFERROR(__xludf.DUMMYFUNCTION("""COMPUTED_VALUE"""),"Jamia Masjid Bibi Pak Daman ")</f>
        <v>Jamia Masjid Bibi Pak Daman </v>
      </c>
      <c r="E36" s="10" t="str">
        <f>IFERROR(__xludf.DUMMYFUNCTION("""COMPUTED_VALUE"""),"shcuy")</f>
        <v>shcuy</v>
      </c>
      <c r="F36" s="10">
        <f>IFERROR(__xludf.DUMMYFUNCTION("""COMPUTED_VALUE"""),350.0)</f>
        <v>350</v>
      </c>
      <c r="G36" s="10">
        <f>IFERROR(__xludf.DUMMYFUNCTION("""COMPUTED_VALUE"""),8.0)</f>
        <v>8</v>
      </c>
      <c r="H36" s="10">
        <f>IFERROR(__xludf.DUMMYFUNCTION("""COMPUTED_VALUE"""),7.0)</f>
        <v>7</v>
      </c>
      <c r="I36" s="10">
        <f>IFERROR(__xludf.DUMMYFUNCTION("""COMPUTED_VALUE"""),1.0)</f>
        <v>1</v>
      </c>
      <c r="J36" s="10" t="str">
        <f>IFERROR(__xludf.DUMMYFUNCTION("""COMPUTED_VALUE"""),"0000")</f>
        <v>0000</v>
      </c>
      <c r="K36" s="10" t="str">
        <f>IFERROR(__xludf.DUMMYFUNCTION("""COMPUTED_VALUE"""),"No")</f>
        <v>No</v>
      </c>
      <c r="L36" s="10" t="str">
        <f>IFERROR(__xludf.DUMMYFUNCTION("""COMPUTED_VALUE"""),"Darbar Bibi Pak Daman ")</f>
        <v>Darbar Bibi Pak Daman </v>
      </c>
      <c r="M36" s="10">
        <f>IFERROR(__xludf.DUMMYFUNCTION("""COMPUTED_VALUE"""),8.0)</f>
        <v>8</v>
      </c>
      <c r="N36" s="10" t="str">
        <f>IFERROR(__xludf.DUMMYFUNCTION("""COMPUTED_VALUE"""),"No")</f>
        <v>No</v>
      </c>
      <c r="O36" s="10"/>
      <c r="P36" s="10"/>
      <c r="Q36" s="10"/>
      <c r="R36" s="10"/>
      <c r="S36" s="18" t="str">
        <f>IFERROR(__xludf.DUMMYFUNCTION("""COMPUTED_VALUE"""),"https://drive.google.com/open?id=1m6KDaILkzom45SameYZu-JX6HvSVOYSM")</f>
        <v>https://drive.google.com/open?id=1m6KDaILkzom45SameYZu-JX6HvSVOYSM</v>
      </c>
      <c r="T36" s="18" t="str">
        <f>IFERROR(__xludf.DUMMYFUNCTION("""COMPUTED_VALUE"""),"https://drive.google.com/open?id=1TpgfThCI1PmY7jUNgRw2hm6hNFF1loIR")</f>
        <v>https://drive.google.com/open?id=1TpgfThCI1PmY7jUNgRw2hm6hNFF1loIR</v>
      </c>
      <c r="U36" s="18" t="str">
        <f>IFERROR(__xludf.DUMMYFUNCTION("""COMPUTED_VALUE"""),"https://drive.google.com/open?id=1yfgpu58wKMSdGbg3cEeXHU5S80thzp6D")</f>
        <v>https://drive.google.com/open?id=1yfgpu58wKMSdGbg3cEeXHU5S80thzp6D</v>
      </c>
      <c r="V36" s="10"/>
      <c r="W36" s="10"/>
      <c r="X36" s="10"/>
      <c r="Y36" s="14" t="str">
        <f>IFERROR(__xludf.DUMMYFUNCTION("""COMPUTED_VALUE"""),"mianharisamjad284@gmail.com")</f>
        <v>mianharisamjad284@gmail.com</v>
      </c>
      <c r="AA36" s="325">
        <v>1.0</v>
      </c>
    </row>
    <row r="37" hidden="1">
      <c r="A37" s="9">
        <f>IFERROR(__xludf.DUMMYFUNCTION("""COMPUTED_VALUE"""),45763.551626863424)</f>
        <v>45763.55163</v>
      </c>
      <c r="B37" s="10" t="str">
        <f>IFERROR(__xludf.DUMMYFUNCTION("""COMPUTED_VALUE"""),"Muhammad Azlan ")</f>
        <v>Muhammad Azlan </v>
      </c>
      <c r="C37" s="10" t="str">
        <f>IFERROR(__xludf.DUMMYFUNCTION("""COMPUTED_VALUE"""),"03008032951")</f>
        <v>03008032951</v>
      </c>
      <c r="D37" s="10" t="str">
        <f>IFERROR(__xludf.DUMMYFUNCTION("""COMPUTED_VALUE"""),"Jamia Masjid Darbar Shah Gohar peer ")</f>
        <v>Jamia Masjid Darbar Shah Gohar peer </v>
      </c>
      <c r="E37" s="10" t="str">
        <f>IFERROR(__xludf.DUMMYFUNCTION("""COMPUTED_VALUE"""),"qecjr")</f>
        <v>qecjr</v>
      </c>
      <c r="F37" s="10">
        <f>IFERROR(__xludf.DUMMYFUNCTION("""COMPUTED_VALUE"""),110.0)</f>
        <v>110</v>
      </c>
      <c r="G37" s="10">
        <f>IFERROR(__xludf.DUMMYFUNCTION("""COMPUTED_VALUE"""),9.0)</f>
        <v>9</v>
      </c>
      <c r="H37" s="10">
        <f>IFERROR(__xludf.DUMMYFUNCTION("""COMPUTED_VALUE"""),8.0)</f>
        <v>8</v>
      </c>
      <c r="I37" s="10">
        <f>IFERROR(__xludf.DUMMYFUNCTION("""COMPUTED_VALUE"""),1.0)</f>
        <v>1</v>
      </c>
      <c r="J37" s="10" t="str">
        <f>IFERROR(__xludf.DUMMYFUNCTION("""COMPUTED_VALUE"""),"0000")</f>
        <v>0000</v>
      </c>
      <c r="K37" s="10" t="str">
        <f>IFERROR(__xludf.DUMMYFUNCTION("""COMPUTED_VALUE"""),"No")</f>
        <v>No</v>
      </c>
      <c r="L37" s="10" t="str">
        <f>IFERROR(__xludf.DUMMYFUNCTION("""COMPUTED_VALUE"""),"Darbar shah Gohar peer ")</f>
        <v>Darbar shah Gohar peer </v>
      </c>
      <c r="M37" s="10">
        <f>IFERROR(__xludf.DUMMYFUNCTION("""COMPUTED_VALUE"""),8.0)</f>
        <v>8</v>
      </c>
      <c r="N37" s="10" t="str">
        <f>IFERROR(__xludf.DUMMYFUNCTION("""COMPUTED_VALUE"""),"No")</f>
        <v>No</v>
      </c>
      <c r="O37" s="10"/>
      <c r="P37" s="10"/>
      <c r="Q37" s="10"/>
      <c r="R37" s="10"/>
      <c r="S37" s="18" t="str">
        <f>IFERROR(__xludf.DUMMYFUNCTION("""COMPUTED_VALUE"""),"https://drive.google.com/open?id=1B2xTPAtHwcZMGMn9ihvZKGr6DuAWccgb")</f>
        <v>https://drive.google.com/open?id=1B2xTPAtHwcZMGMn9ihvZKGr6DuAWccgb</v>
      </c>
      <c r="T37" s="18" t="str">
        <f>IFERROR(__xludf.DUMMYFUNCTION("""COMPUTED_VALUE"""),"https://drive.google.com/open?id=1PQOeRvaZYILlt888BY6jYhhKjtjEBSHx")</f>
        <v>https://drive.google.com/open?id=1PQOeRvaZYILlt888BY6jYhhKjtjEBSHx</v>
      </c>
      <c r="U37" s="18" t="str">
        <f>IFERROR(__xludf.DUMMYFUNCTION("""COMPUTED_VALUE"""),"https://drive.google.com/open?id=1nAY21rV52-XfQmP8ZMgUw78KA-rl9zsi")</f>
        <v>https://drive.google.com/open?id=1nAY21rV52-XfQmP8ZMgUw78KA-rl9zsi</v>
      </c>
      <c r="V37" s="10"/>
      <c r="W37" s="10"/>
      <c r="X37" s="10"/>
      <c r="Y37" s="14" t="str">
        <f>IFERROR(__xludf.DUMMYFUNCTION("""COMPUTED_VALUE"""),"mianharisamjad284@gmail.com")</f>
        <v>mianharisamjad284@gmail.com</v>
      </c>
      <c r="AA37" s="325">
        <v>1.0</v>
      </c>
    </row>
    <row r="38" hidden="1">
      <c r="A38" s="9">
        <f>IFERROR(__xludf.DUMMYFUNCTION("""COMPUTED_VALUE"""),45763.55455153935)</f>
        <v>45763.55455</v>
      </c>
      <c r="B38" s="10" t="str">
        <f>IFERROR(__xludf.DUMMYFUNCTION("""COMPUTED_VALUE"""),"Sheri")</f>
        <v>Sheri</v>
      </c>
      <c r="C38" s="10" t="str">
        <f>IFERROR(__xludf.DUMMYFUNCTION("""COMPUTED_VALUE"""),"03438080093")</f>
        <v>03438080093</v>
      </c>
      <c r="D38" s="10" t="str">
        <f>IFERROR(__xludf.DUMMYFUNCTION("""COMPUTED_VALUE"""),"Jamia Masjid Molve taaj Deen Lahore ")</f>
        <v>Jamia Masjid Molve taaj Deen Lahore </v>
      </c>
      <c r="E38" s="10" t="str">
        <f>IFERROR(__xludf.DUMMYFUNCTION("""COMPUTED_VALUE"""),"xmebi")</f>
        <v>xmebi</v>
      </c>
      <c r="F38" s="10">
        <f>IFERROR(__xludf.DUMMYFUNCTION("""COMPUTED_VALUE"""),175.0)</f>
        <v>175</v>
      </c>
      <c r="G38" s="10">
        <f>IFERROR(__xludf.DUMMYFUNCTION("""COMPUTED_VALUE"""),8.0)</f>
        <v>8</v>
      </c>
      <c r="H38" s="10">
        <f>IFERROR(__xludf.DUMMYFUNCTION("""COMPUTED_VALUE"""),7.0)</f>
        <v>7</v>
      </c>
      <c r="I38" s="10">
        <f>IFERROR(__xludf.DUMMYFUNCTION("""COMPUTED_VALUE"""),2.0)</f>
        <v>2</v>
      </c>
      <c r="J38" s="10" t="str">
        <f>IFERROR(__xludf.DUMMYFUNCTION("""COMPUTED_VALUE"""),"0000")</f>
        <v>0000</v>
      </c>
      <c r="K38" s="10" t="str">
        <f>IFERROR(__xludf.DUMMYFUNCTION("""COMPUTED_VALUE"""),"No")</f>
        <v>No</v>
      </c>
      <c r="L38" s="10" t="str">
        <f>IFERROR(__xludf.DUMMYFUNCTION("""COMPUTED_VALUE"""),"No")</f>
        <v>No</v>
      </c>
      <c r="M38" s="10">
        <f>IFERROR(__xludf.DUMMYFUNCTION("""COMPUTED_VALUE"""),8.0)</f>
        <v>8</v>
      </c>
      <c r="N38" s="10" t="str">
        <f>IFERROR(__xludf.DUMMYFUNCTION("""COMPUTED_VALUE"""),"No")</f>
        <v>No</v>
      </c>
      <c r="O38" s="10"/>
      <c r="P38" s="10"/>
      <c r="Q38" s="10"/>
      <c r="R38" s="10"/>
      <c r="S38" s="18" t="str">
        <f>IFERROR(__xludf.DUMMYFUNCTION("""COMPUTED_VALUE"""),"https://drive.google.com/open?id=176HZkSVZyrk50mDt5YIhUpqhJ7iJD1ch")</f>
        <v>https://drive.google.com/open?id=176HZkSVZyrk50mDt5YIhUpqhJ7iJD1ch</v>
      </c>
      <c r="T38" s="18" t="str">
        <f>IFERROR(__xludf.DUMMYFUNCTION("""COMPUTED_VALUE"""),"https://drive.google.com/open?id=1IF0hpL4hE4msbeUIC9CzXRpNZYKuFZov")</f>
        <v>https://drive.google.com/open?id=1IF0hpL4hE4msbeUIC9CzXRpNZYKuFZov</v>
      </c>
      <c r="U38" s="18" t="str">
        <f>IFERROR(__xludf.DUMMYFUNCTION("""COMPUTED_VALUE"""),"https://drive.google.com/open?id=1AnkmZeeNFxYh3KJ-iXmc-TeysuTSS74y")</f>
        <v>https://drive.google.com/open?id=1AnkmZeeNFxYh3KJ-iXmc-TeysuTSS74y</v>
      </c>
      <c r="V38" s="10"/>
      <c r="W38" s="10"/>
      <c r="X38" s="10"/>
      <c r="Y38" s="14" t="str">
        <f>IFERROR(__xludf.DUMMYFUNCTION("""COMPUTED_VALUE"""),"mianharisamjad284@gmail.com")</f>
        <v>mianharisamjad284@gmail.com</v>
      </c>
      <c r="AA38" s="325">
        <v>1.0</v>
      </c>
    </row>
    <row r="39" hidden="1">
      <c r="A39" s="9">
        <f>IFERROR(__xludf.DUMMYFUNCTION("""COMPUTED_VALUE"""),45764.697658819445)</f>
        <v>45764.69766</v>
      </c>
      <c r="B39" s="10" t="str">
        <f>IFERROR(__xludf.DUMMYFUNCTION("""COMPUTED_VALUE"""),"Zaheer ")</f>
        <v>Zaheer </v>
      </c>
      <c r="C39" s="10" t="str">
        <f>IFERROR(__xludf.DUMMYFUNCTION("""COMPUTED_VALUE"""),"03217040700")</f>
        <v>03217040700</v>
      </c>
      <c r="D39" s="10" t="str">
        <f>IFERROR(__xludf.DUMMYFUNCTION("""COMPUTED_VALUE"""),"Jamia Masjid Muslim Luhari Gate Lahore")</f>
        <v>Jamia Masjid Muslim Luhari Gate Lahore</v>
      </c>
      <c r="E39" s="10" t="str">
        <f>IFERROR(__xludf.DUMMYFUNCTION("""COMPUTED_VALUE"""),"zqlfc")</f>
        <v>zqlfc</v>
      </c>
      <c r="F39" s="10">
        <f>IFERROR(__xludf.DUMMYFUNCTION("""COMPUTED_VALUE"""),230.0)</f>
        <v>230</v>
      </c>
      <c r="G39" s="10">
        <f>IFERROR(__xludf.DUMMYFUNCTION("""COMPUTED_VALUE"""),6.0)</f>
        <v>6</v>
      </c>
      <c r="H39" s="10">
        <f>IFERROR(__xludf.DUMMYFUNCTION("""COMPUTED_VALUE"""),4.0)</f>
        <v>4</v>
      </c>
      <c r="I39" s="10" t="str">
        <f>IFERROR(__xludf.DUMMYFUNCTION("""COMPUTED_VALUE"""),"No")</f>
        <v>No</v>
      </c>
      <c r="J39" s="10" t="str">
        <f>IFERROR(__xludf.DUMMYFUNCTION("""COMPUTED_VALUE"""),"No")</f>
        <v>No</v>
      </c>
      <c r="K39" s="10" t="str">
        <f>IFERROR(__xludf.DUMMYFUNCTION("""COMPUTED_VALUE"""),"No")</f>
        <v>No</v>
      </c>
      <c r="L39" s="10" t="str">
        <f>IFERROR(__xludf.DUMMYFUNCTION("""COMPUTED_VALUE"""),"Shah Abdul Ghani")</f>
        <v>Shah Abdul Ghani</v>
      </c>
      <c r="M39" s="10">
        <f>IFERROR(__xludf.DUMMYFUNCTION("""COMPUTED_VALUE"""),7.0)</f>
        <v>7</v>
      </c>
      <c r="N39" s="10" t="str">
        <f>IFERROR(__xludf.DUMMYFUNCTION("""COMPUTED_VALUE"""),"No")</f>
        <v>No</v>
      </c>
      <c r="O39" s="10"/>
      <c r="P39" s="10"/>
      <c r="Q39" s="10"/>
      <c r="R39" s="10"/>
      <c r="S39" s="18" t="str">
        <f>IFERROR(__xludf.DUMMYFUNCTION("""COMPUTED_VALUE"""),"https://drive.google.com/open?id=1U4cs7QX9XT6TBau0UX1OHsAgEXmT4Hi7")</f>
        <v>https://drive.google.com/open?id=1U4cs7QX9XT6TBau0UX1OHsAgEXmT4Hi7</v>
      </c>
      <c r="T39" s="18" t="str">
        <f>IFERROR(__xludf.DUMMYFUNCTION("""COMPUTED_VALUE"""),"https://drive.google.com/open?id=1nOrFDFX0ECaJ3B4pJc-zVMM08bFAmrNd")</f>
        <v>https://drive.google.com/open?id=1nOrFDFX0ECaJ3B4pJc-zVMM08bFAmrNd</v>
      </c>
      <c r="U39" s="18" t="str">
        <f>IFERROR(__xludf.DUMMYFUNCTION("""COMPUTED_VALUE"""),"https://drive.google.com/open?id=1YWdhcNOdYO5YlBIGaQ5AHwEunrz_Aw9Q")</f>
        <v>https://drive.google.com/open?id=1YWdhcNOdYO5YlBIGaQ5AHwEunrz_Aw9Q</v>
      </c>
      <c r="V39" s="10"/>
      <c r="W39" s="10"/>
      <c r="X39" s="10"/>
      <c r="Y39" s="14" t="str">
        <f>IFERROR(__xludf.DUMMYFUNCTION("""COMPUTED_VALUE"""),"zbutt49@yahoo.com")</f>
        <v>zbutt49@yahoo.com</v>
      </c>
      <c r="AA39" s="325">
        <v>1.0</v>
      </c>
    </row>
    <row r="40" hidden="1">
      <c r="A40" s="9">
        <f>IFERROR(__xludf.DUMMYFUNCTION("""COMPUTED_VALUE"""),45764.70432429398)</f>
        <v>45764.70432</v>
      </c>
      <c r="B40" s="10" t="str">
        <f>IFERROR(__xludf.DUMMYFUNCTION("""COMPUTED_VALUE"""),"Zaheer ")</f>
        <v>Zaheer </v>
      </c>
      <c r="C40" s="10" t="str">
        <f>IFERROR(__xludf.DUMMYFUNCTION("""COMPUTED_VALUE"""),"03217040700")</f>
        <v>03217040700</v>
      </c>
      <c r="D40" s="10" t="str">
        <f>IFERROR(__xludf.DUMMYFUNCTION("""COMPUTED_VALUE"""),"03334032972")</f>
        <v>03334032972</v>
      </c>
      <c r="E40" s="10" t="str">
        <f>IFERROR(__xludf.DUMMYFUNCTION("""COMPUTED_VALUE"""),"No")</f>
        <v>No</v>
      </c>
      <c r="F40" s="10">
        <f>IFERROR(__xludf.DUMMYFUNCTION("""COMPUTED_VALUE"""),480.0)</f>
        <v>480</v>
      </c>
      <c r="G40" s="10">
        <f>IFERROR(__xludf.DUMMYFUNCTION("""COMPUTED_VALUE"""),8.0)</f>
        <v>8</v>
      </c>
      <c r="H40" s="10">
        <f>IFERROR(__xludf.DUMMYFUNCTION("""COMPUTED_VALUE"""),5.0)</f>
        <v>5</v>
      </c>
      <c r="I40" s="10" t="str">
        <f>IFERROR(__xludf.DUMMYFUNCTION("""COMPUTED_VALUE"""),"No")</f>
        <v>No</v>
      </c>
      <c r="J40" s="10" t="str">
        <f>IFERROR(__xludf.DUMMYFUNCTION("""COMPUTED_VALUE"""),"No")</f>
        <v>No</v>
      </c>
      <c r="K40" s="10" t="str">
        <f>IFERROR(__xludf.DUMMYFUNCTION("""COMPUTED_VALUE"""),"No")</f>
        <v>No</v>
      </c>
      <c r="L40" s="10" t="str">
        <f>IFERROR(__xludf.DUMMYFUNCTION("""COMPUTED_VALUE"""),"No")</f>
        <v>No</v>
      </c>
      <c r="M40" s="10">
        <f>IFERROR(__xludf.DUMMYFUNCTION("""COMPUTED_VALUE"""),8.0)</f>
        <v>8</v>
      </c>
      <c r="N40" s="10" t="str">
        <f>IFERROR(__xludf.DUMMYFUNCTION("""COMPUTED_VALUE"""),"No")</f>
        <v>No</v>
      </c>
      <c r="O40" s="10"/>
      <c r="P40" s="10"/>
      <c r="Q40" s="10"/>
      <c r="R40" s="10"/>
      <c r="S40" s="18" t="str">
        <f>IFERROR(__xludf.DUMMYFUNCTION("""COMPUTED_VALUE"""),"https://drive.google.com/open?id=1rZPgfL-n8qbNReMfrLh88WaTZrnxtXpy")</f>
        <v>https://drive.google.com/open?id=1rZPgfL-n8qbNReMfrLh88WaTZrnxtXpy</v>
      </c>
      <c r="T40" s="18" t="str">
        <f>IFERROR(__xludf.DUMMYFUNCTION("""COMPUTED_VALUE"""),"https://drive.google.com/open?id=1VkbtmoRKuHx_x6VoD7wvUvHe2qzxWulZ")</f>
        <v>https://drive.google.com/open?id=1VkbtmoRKuHx_x6VoD7wvUvHe2qzxWulZ</v>
      </c>
      <c r="U40" s="18" t="str">
        <f>IFERROR(__xludf.DUMMYFUNCTION("""COMPUTED_VALUE"""),"https://drive.google.com/open?id=1sD0hpjvoBXDZYXHmsBG76uTwgnCiveX2")</f>
        <v>https://drive.google.com/open?id=1sD0hpjvoBXDZYXHmsBG76uTwgnCiveX2</v>
      </c>
      <c r="V40" s="10"/>
      <c r="W40" s="10"/>
      <c r="X40" s="10"/>
      <c r="Y40" s="14" t="str">
        <f>IFERROR(__xludf.DUMMYFUNCTION("""COMPUTED_VALUE"""),"zbutt2391@gmail.com")</f>
        <v>zbutt2391@gmail.com</v>
      </c>
      <c r="AA40" s="325" t="s">
        <v>4</v>
      </c>
    </row>
    <row r="41" hidden="1">
      <c r="A41" s="9">
        <f>IFERROR(__xludf.DUMMYFUNCTION("""COMPUTED_VALUE"""),45765.20720903935)</f>
        <v>45765.20721</v>
      </c>
      <c r="B41" s="10" t="str">
        <f>IFERROR(__xludf.DUMMYFUNCTION("""COMPUTED_VALUE"""),"Salman yousaf ")</f>
        <v>Salman yousaf </v>
      </c>
      <c r="C41" s="10" t="str">
        <f>IFERROR(__xludf.DUMMYFUNCTION("""COMPUTED_VALUE"""),"03054436981")</f>
        <v>03054436981</v>
      </c>
      <c r="D41" s="10" t="str">
        <f>IFERROR(__xludf.DUMMYFUNCTION("""COMPUTED_VALUE"""),"Jamia masjid Aali ")</f>
        <v>Jamia masjid Aali </v>
      </c>
      <c r="E41" s="10" t="str">
        <f>IFERROR(__xludf.DUMMYFUNCTION("""COMPUTED_VALUE"""),"PWWFR")</f>
        <v>PWWFR</v>
      </c>
      <c r="F41" s="10">
        <f>IFERROR(__xludf.DUMMYFUNCTION("""COMPUTED_VALUE"""),105.0)</f>
        <v>105</v>
      </c>
      <c r="G41" s="10">
        <f>IFERROR(__xludf.DUMMYFUNCTION("""COMPUTED_VALUE"""),9.0)</f>
        <v>9</v>
      </c>
      <c r="H41" s="10">
        <f>IFERROR(__xludf.DUMMYFUNCTION("""COMPUTED_VALUE"""),8.0)</f>
        <v>8</v>
      </c>
      <c r="I41" s="10">
        <f>IFERROR(__xludf.DUMMYFUNCTION("""COMPUTED_VALUE"""),6.0)</f>
        <v>6</v>
      </c>
      <c r="J41" s="10">
        <f>IFERROR(__xludf.DUMMYFUNCTION("""COMPUTED_VALUE"""),1951.0)</f>
        <v>1951</v>
      </c>
      <c r="K41" s="10" t="str">
        <f>IFERROR(__xludf.DUMMYFUNCTION("""COMPUTED_VALUE"""),"No")</f>
        <v>No</v>
      </c>
      <c r="L41" s="10" t="str">
        <f>IFERROR(__xludf.DUMMYFUNCTION("""COMPUTED_VALUE"""),"N/A")</f>
        <v>N/A</v>
      </c>
      <c r="M41" s="10">
        <f>IFERROR(__xludf.DUMMYFUNCTION("""COMPUTED_VALUE"""),10.0)</f>
        <v>10</v>
      </c>
      <c r="N41" s="10" t="str">
        <f>IFERROR(__xludf.DUMMYFUNCTION("""COMPUTED_VALUE"""),"Yes")</f>
        <v>Yes</v>
      </c>
      <c r="O41" s="323">
        <f>IFERROR(__xludf.DUMMYFUNCTION("""COMPUTED_VALUE"""),1.0)</f>
        <v>1</v>
      </c>
      <c r="P41" s="10">
        <f>IFERROR(__xludf.DUMMYFUNCTION("""COMPUTED_VALUE"""),10.0)</f>
        <v>10</v>
      </c>
      <c r="Q41" s="10">
        <f>IFERROR(__xludf.DUMMYFUNCTION("""COMPUTED_VALUE"""),0.0)</f>
        <v>0</v>
      </c>
      <c r="R41" s="10">
        <f>IFERROR(__xludf.DUMMYFUNCTION("""COMPUTED_VALUE"""),10.0)</f>
        <v>10</v>
      </c>
      <c r="S41" s="18" t="str">
        <f>IFERROR(__xludf.DUMMYFUNCTION("""COMPUTED_VALUE"""),"https://drive.google.com/open?id=1Q8r1mY4OGi1vN3XRKZaVPlDUdDRaNVv5")</f>
        <v>https://drive.google.com/open?id=1Q8r1mY4OGi1vN3XRKZaVPlDUdDRaNVv5</v>
      </c>
      <c r="T41" s="18" t="str">
        <f>IFERROR(__xludf.DUMMYFUNCTION("""COMPUTED_VALUE"""),"https://drive.google.com/open?id=1udsIR_mgOx4SIYt_VaS-lefhtlDxp6pL")</f>
        <v>https://drive.google.com/open?id=1udsIR_mgOx4SIYt_VaS-lefhtlDxp6pL</v>
      </c>
      <c r="U41" s="18" t="str">
        <f>IFERROR(__xludf.DUMMYFUNCTION("""COMPUTED_VALUE"""),"https://drive.google.com/file/d/1JinnoD2-Bb_UH8mJIti3TQUiFHlQBKPR/view?usp=drive_link")</f>
        <v>https://drive.google.com/file/d/1JinnoD2-Bb_UH8mJIti3TQUiFHlQBKPR/view?usp=drive_link</v>
      </c>
      <c r="V41" s="10" t="str">
        <f>IFERROR(__xludf.DUMMYFUNCTION("""COMPUTED_VALUE"""),"No")</f>
        <v>No</v>
      </c>
      <c r="W41" s="10"/>
      <c r="X41" s="10" t="str">
        <f>IFERROR(__xludf.DUMMYFUNCTION("""COMPUTED_VALUE"""),"Yes")</f>
        <v>Yes</v>
      </c>
      <c r="Y41" s="14" t="str">
        <f>IFERROR(__xludf.DUMMYFUNCTION("""COMPUTED_VALUE"""),"salmanyousaf806@gmail.com")</f>
        <v>salmanyousaf806@gmail.com</v>
      </c>
      <c r="AA41" s="325">
        <v>2.0</v>
      </c>
    </row>
    <row r="42" hidden="1">
      <c r="A42" s="9">
        <f>IFERROR(__xludf.DUMMYFUNCTION("""COMPUTED_VALUE"""),45765.22541865741)</f>
        <v>45765.22542</v>
      </c>
      <c r="B42" s="10" t="str">
        <f>IFERROR(__xludf.DUMMYFUNCTION("""COMPUTED_VALUE"""),"Muhammad Bilal")</f>
        <v>Muhammad Bilal</v>
      </c>
      <c r="C42" s="10" t="str">
        <f>IFERROR(__xludf.DUMMYFUNCTION("""COMPUTED_VALUE"""),"03066761947")</f>
        <v>03066761947</v>
      </c>
      <c r="D42" s="10" t="str">
        <f>IFERROR(__xludf.DUMMYFUNCTION("""COMPUTED_VALUE"""),"Jamia Masjid Shah Ali Rungareez Lahore2")</f>
        <v>Jamia Masjid Shah Ali Rungareez Lahore2</v>
      </c>
      <c r="E42" s="10" t="str">
        <f>IFERROR(__xludf.DUMMYFUNCTION("""COMPUTED_VALUE"""),"fjkfw")</f>
        <v>fjkfw</v>
      </c>
      <c r="F42" s="10">
        <f>IFERROR(__xludf.DUMMYFUNCTION("""COMPUTED_VALUE"""),150.0)</f>
        <v>150</v>
      </c>
      <c r="G42" s="10">
        <f>IFERROR(__xludf.DUMMYFUNCTION("""COMPUTED_VALUE"""),10.0)</f>
        <v>10</v>
      </c>
      <c r="H42" s="10">
        <f>IFERROR(__xludf.DUMMYFUNCTION("""COMPUTED_VALUE"""),9.0)</f>
        <v>9</v>
      </c>
      <c r="I42" s="10">
        <f>IFERROR(__xludf.DUMMYFUNCTION("""COMPUTED_VALUE"""),0.0)</f>
        <v>0</v>
      </c>
      <c r="J42" s="10">
        <f>IFERROR(__xludf.DUMMYFUNCTION("""COMPUTED_VALUE"""),1980.0)</f>
        <v>1980</v>
      </c>
      <c r="K42" s="10" t="str">
        <f>IFERROR(__xludf.DUMMYFUNCTION("""COMPUTED_VALUE"""),"No")</f>
        <v>No</v>
      </c>
      <c r="L42" s="10" t="str">
        <f>IFERROR(__xludf.DUMMYFUNCTION("""COMPUTED_VALUE"""),"No")</f>
        <v>No</v>
      </c>
      <c r="M42" s="10">
        <f>IFERROR(__xludf.DUMMYFUNCTION("""COMPUTED_VALUE"""),10.0)</f>
        <v>10</v>
      </c>
      <c r="N42" s="10" t="str">
        <f>IFERROR(__xludf.DUMMYFUNCTION("""COMPUTED_VALUE"""),"Yes")</f>
        <v>Yes</v>
      </c>
      <c r="O42" s="323">
        <f>IFERROR(__xludf.DUMMYFUNCTION("""COMPUTED_VALUE"""),1.0)</f>
        <v>1</v>
      </c>
      <c r="P42" s="10">
        <f>IFERROR(__xludf.DUMMYFUNCTION("""COMPUTED_VALUE"""),10.0)</f>
        <v>10</v>
      </c>
      <c r="Q42" s="10">
        <f>IFERROR(__xludf.DUMMYFUNCTION("""COMPUTED_VALUE"""),4.0)</f>
        <v>4</v>
      </c>
      <c r="R42" s="10">
        <f>IFERROR(__xludf.DUMMYFUNCTION("""COMPUTED_VALUE"""),10.0)</f>
        <v>10</v>
      </c>
      <c r="S42" s="18" t="str">
        <f>IFERROR(__xludf.DUMMYFUNCTION("""COMPUTED_VALUE"""),"https://drive.google.com/open?id=1wewO0xLH8DWr6SzJiuAL5N364SgtbsUF")</f>
        <v>https://drive.google.com/open?id=1wewO0xLH8DWr6SzJiuAL5N364SgtbsUF</v>
      </c>
      <c r="T42" s="10" t="str">
        <f>IFERROR(__xludf.DUMMYFUNCTION("""COMPUTED_VALUE"""),"https://drive.google.com/open?id=1ENU05uXxXTCd20ecI39GLQ4Cq-QxO8Jp, https://drive.google.com/open?id=1bh561_SWs7iCzo-tfe-157jddXzrLXbQ")</f>
        <v>https://drive.google.com/open?id=1ENU05uXxXTCd20ecI39GLQ4Cq-QxO8Jp, https://drive.google.com/open?id=1bh561_SWs7iCzo-tfe-157jddXzrLXbQ</v>
      </c>
      <c r="U42" s="18" t="str">
        <f>IFERROR(__xludf.DUMMYFUNCTION("""COMPUTED_VALUE"""),"https://drive.google.com/open?id=1teRxO8T2SXJk7o7qNZ_gO1aGJidB6TVF")</f>
        <v>https://drive.google.com/open?id=1teRxO8T2SXJk7o7qNZ_gO1aGJidB6TVF</v>
      </c>
      <c r="V42" s="10"/>
      <c r="W42" s="10"/>
      <c r="X42" s="10" t="str">
        <f>IFERROR(__xludf.DUMMYFUNCTION("""COMPUTED_VALUE"""),"Yes")</f>
        <v>Yes</v>
      </c>
      <c r="Y42" s="14" t="str">
        <f>IFERROR(__xludf.DUMMYFUNCTION("""COMPUTED_VALUE"""),"m.bilalkholhar013@gmail.com")</f>
        <v>m.bilalkholhar013@gmail.com</v>
      </c>
      <c r="AA42" s="325">
        <v>2.0</v>
      </c>
    </row>
    <row r="43" hidden="1">
      <c r="A43" s="9">
        <f>IFERROR(__xludf.DUMMYFUNCTION("""COMPUTED_VALUE"""),45765.24068737269)</f>
        <v>45765.24069</v>
      </c>
      <c r="B43" s="10" t="str">
        <f>IFERROR(__xludf.DUMMYFUNCTION("""COMPUTED_VALUE"""),"Muhammad Razzaq Sajid ")</f>
        <v>Muhammad Razzaq Sajid </v>
      </c>
      <c r="C43" s="10" t="str">
        <f>IFERROR(__xludf.DUMMYFUNCTION("""COMPUTED_VALUE"""),"03036162361")</f>
        <v>03036162361</v>
      </c>
      <c r="D43" s="10" t="str">
        <f>IFERROR(__xludf.DUMMYFUNCTION("""COMPUTED_VALUE"""),"Jamia Masjid Australia ")</f>
        <v>Jamia Masjid Australia </v>
      </c>
      <c r="E43" s="10" t="str">
        <f>IFERROR(__xludf.DUMMYFUNCTION("""COMPUTED_VALUE"""),"Xdhvt ")</f>
        <v>Xdhvt </v>
      </c>
      <c r="F43" s="10">
        <f>IFERROR(__xludf.DUMMYFUNCTION("""COMPUTED_VALUE"""),3240.0)</f>
        <v>3240</v>
      </c>
      <c r="G43" s="10">
        <f>IFERROR(__xludf.DUMMYFUNCTION("""COMPUTED_VALUE"""),6.0)</f>
        <v>6</v>
      </c>
      <c r="H43" s="10">
        <f>IFERROR(__xludf.DUMMYFUNCTION("""COMPUTED_VALUE"""),5.0)</f>
        <v>5</v>
      </c>
      <c r="I43" s="10">
        <f>IFERROR(__xludf.DUMMYFUNCTION("""COMPUTED_VALUE"""),2.0)</f>
        <v>2</v>
      </c>
      <c r="J43" s="10">
        <f>IFERROR(__xludf.DUMMYFUNCTION("""COMPUTED_VALUE"""),1925.0)</f>
        <v>1925</v>
      </c>
      <c r="K43" s="10" t="str">
        <f>IFERROR(__xludf.DUMMYFUNCTION("""COMPUTED_VALUE"""),"No")</f>
        <v>No</v>
      </c>
      <c r="L43" s="10" t="str">
        <f>IFERROR(__xludf.DUMMYFUNCTION("""COMPUTED_VALUE"""),"No")</f>
        <v>No</v>
      </c>
      <c r="M43" s="10">
        <f>IFERROR(__xludf.DUMMYFUNCTION("""COMPUTED_VALUE"""),7.0)</f>
        <v>7</v>
      </c>
      <c r="N43" s="10" t="str">
        <f>IFERROR(__xludf.DUMMYFUNCTION("""COMPUTED_VALUE"""),"No")</f>
        <v>No</v>
      </c>
      <c r="O43" s="10"/>
      <c r="P43" s="10"/>
      <c r="Q43" s="10"/>
      <c r="R43" s="10"/>
      <c r="S43" s="18" t="str">
        <f>IFERROR(__xludf.DUMMYFUNCTION("""COMPUTED_VALUE"""),"https://drive.google.com/open?id=1QUQtifhLSj-d26_koiMWyfaO_c0RPSkA")</f>
        <v>https://drive.google.com/open?id=1QUQtifhLSj-d26_koiMWyfaO_c0RPSkA</v>
      </c>
      <c r="T43" s="18" t="str">
        <f>IFERROR(__xludf.DUMMYFUNCTION("""COMPUTED_VALUE"""),"https://drive.google.com/open?id=1xn8RV5tV_K5P2NIWjCkMVYbc8Cdcrt5C")</f>
        <v>https://drive.google.com/open?id=1xn8RV5tV_K5P2NIWjCkMVYbc8Cdcrt5C</v>
      </c>
      <c r="U43" s="18" t="str">
        <f>IFERROR(__xludf.DUMMYFUNCTION("""COMPUTED_VALUE"""),"https://drive.google.com/open?id=1NHvCxlJulyMVu8rr0_9h3cfGPvzKyMA3")</f>
        <v>https://drive.google.com/open?id=1NHvCxlJulyMVu8rr0_9h3cfGPvzKyMA3</v>
      </c>
      <c r="V43" s="10"/>
      <c r="W43" s="10"/>
      <c r="X43" s="10"/>
      <c r="Y43" s="14" t="str">
        <f>IFERROR(__xludf.DUMMYFUNCTION("""COMPUTED_VALUE"""),"razzaq.sajid1@gmail.com")</f>
        <v>razzaq.sajid1@gmail.com</v>
      </c>
      <c r="AA43" s="325">
        <v>2.0</v>
      </c>
    </row>
    <row r="44" hidden="1">
      <c r="A44" s="9">
        <f>IFERROR(__xludf.DUMMYFUNCTION("""COMPUTED_VALUE"""),45765.24366771991)</f>
        <v>45765.24367</v>
      </c>
      <c r="B44" s="10" t="str">
        <f>IFERROR(__xludf.DUMMYFUNCTION("""COMPUTED_VALUE"""),"Usman Tariq ")</f>
        <v>Usman Tariq </v>
      </c>
      <c r="C44" s="10" t="str">
        <f>IFERROR(__xludf.DUMMYFUNCTION("""COMPUTED_VALUE"""),"03015732031")</f>
        <v>03015732031</v>
      </c>
      <c r="D44" s="10" t="str">
        <f>IFERROR(__xludf.DUMMYFUNCTION("""COMPUTED_VALUE"""),"Jamiea masjid sheikh sikandar Lahore ")</f>
        <v>Jamiea masjid sheikh sikandar Lahore </v>
      </c>
      <c r="E44" s="10" t="str">
        <f>IFERROR(__xludf.DUMMYFUNCTION("""COMPUTED_VALUE"""),"jypnp ")</f>
        <v>jypnp </v>
      </c>
      <c r="F44" s="10">
        <f>IFERROR(__xludf.DUMMYFUNCTION("""COMPUTED_VALUE"""),200.0)</f>
        <v>200</v>
      </c>
      <c r="G44" s="10">
        <f>IFERROR(__xludf.DUMMYFUNCTION("""COMPUTED_VALUE"""),5.0)</f>
        <v>5</v>
      </c>
      <c r="H44" s="10">
        <f>IFERROR(__xludf.DUMMYFUNCTION("""COMPUTED_VALUE"""),5.0)</f>
        <v>5</v>
      </c>
      <c r="I44" s="10">
        <f>IFERROR(__xludf.DUMMYFUNCTION("""COMPUTED_VALUE"""),0.0)</f>
        <v>0</v>
      </c>
      <c r="J44" s="10">
        <f>IFERROR(__xludf.DUMMYFUNCTION("""COMPUTED_VALUE"""),2000.0)</f>
        <v>2000</v>
      </c>
      <c r="K44" s="10" t="str">
        <f>IFERROR(__xludf.DUMMYFUNCTION("""COMPUTED_VALUE"""),"No")</f>
        <v>No</v>
      </c>
      <c r="L44" s="10" t="str">
        <f>IFERROR(__xludf.DUMMYFUNCTION("""COMPUTED_VALUE"""),"Qadeer shah Darbar")</f>
        <v>Qadeer shah Darbar</v>
      </c>
      <c r="M44" s="10">
        <f>IFERROR(__xludf.DUMMYFUNCTION("""COMPUTED_VALUE"""),10.0)</f>
        <v>10</v>
      </c>
      <c r="N44" s="10" t="str">
        <f>IFERROR(__xludf.DUMMYFUNCTION("""COMPUTED_VALUE"""),"Yes")</f>
        <v>Yes</v>
      </c>
      <c r="O44" s="323">
        <f>IFERROR(__xludf.DUMMYFUNCTION("""COMPUTED_VALUE"""),0.0)</f>
        <v>0</v>
      </c>
      <c r="P44" s="10">
        <f>IFERROR(__xludf.DUMMYFUNCTION("""COMPUTED_VALUE"""),0.0)</f>
        <v>0</v>
      </c>
      <c r="Q44" s="10">
        <f>IFERROR(__xludf.DUMMYFUNCTION("""COMPUTED_VALUE"""),0.0)</f>
        <v>0</v>
      </c>
      <c r="R44" s="10">
        <f>IFERROR(__xludf.DUMMYFUNCTION("""COMPUTED_VALUE"""),0.0)</f>
        <v>0</v>
      </c>
      <c r="S44" s="10" t="str">
        <f>IFERROR(__xludf.DUMMYFUNCTION("""COMPUTED_VALUE"""),"https://drive.google.com/open?id=1e3g6KezdztWA6Id7293454XwDPtleVh3, https://drive.google.com/open?id=1-wWjIX7qq5JzZ2Swaq8T0_6cqPWwUqlR, https://drive.google.com/open?id=1Li1qDih7mBzk5Jm-hW77FN23a3MZiJDF, https://drive.google.com/open?id=14xDbjmfQt7M52Lbk4"&amp;"YEBKkXvnJ-nGrsw, https://drive.google.com/open?id=1Toe0pdrU2H9MdYZNVhUXI5rbAloLBRXl")</f>
        <v>https://drive.google.com/open?id=1e3g6KezdztWA6Id7293454XwDPtleVh3, https://drive.google.com/open?id=1-wWjIX7qq5JzZ2Swaq8T0_6cqPWwUqlR, https://drive.google.com/open?id=1Li1qDih7mBzk5Jm-hW77FN23a3MZiJDF, https://drive.google.com/open?id=14xDbjmfQt7M52Lbk4YEBKkXvnJ-nGrsw, https://drive.google.com/open?id=1Toe0pdrU2H9MdYZNVhUXI5rbAloLBRXl</v>
      </c>
      <c r="T44" s="10" t="str">
        <f>IFERROR(__xludf.DUMMYFUNCTION("""COMPUTED_VALUE"""),"https://drive.google.com/open?id=1kOzpTj3MmGV0Y0du1I8RipJJ0eC2ST20, https://drive.google.com/open?id=1P71M0WG_YUvpRYKr5-zHNzF4yYqY9DKG, https://drive.google.com/open?id=1mQ_xdZLUnQy-wHgMTI19vX8Geg6usTBa, https://drive.google.com/open?id=1dCP2a8AWoZUGooF7F"&amp;"K6wT0JBZ4KsiVJJ")</f>
        <v>https://drive.google.com/open?id=1kOzpTj3MmGV0Y0du1I8RipJJ0eC2ST20, https://drive.google.com/open?id=1P71M0WG_YUvpRYKr5-zHNzF4yYqY9DKG, https://drive.google.com/open?id=1mQ_xdZLUnQy-wHgMTI19vX8Geg6usTBa, https://drive.google.com/open?id=1dCP2a8AWoZUGooF7FK6wT0JBZ4KsiVJJ</v>
      </c>
      <c r="U44" s="18" t="str">
        <f>IFERROR(__xludf.DUMMYFUNCTION("""COMPUTED_VALUE"""),"https://drive.google.com/file/d/1OOULq03OADBmQwn7vae42nITrSABHYWA/view?usp=drive_link")</f>
        <v>https://drive.google.com/file/d/1OOULq03OADBmQwn7vae42nITrSABHYWA/view?usp=drive_link</v>
      </c>
      <c r="V44" s="10" t="str">
        <f>IFERROR(__xludf.DUMMYFUNCTION("""COMPUTED_VALUE"""),"Imam sahib ny apka dia hwa khutba nahi parha hai. Unho ny kaha k next week namazieo sy mushawarat kr k phir apka khutba parhy gy.")</f>
        <v>Imam sahib ny apka dia hwa khutba nahi parha hai. Unho ny kaha k next week namazieo sy mushawarat kr k phir apka khutba parhy gy.</v>
      </c>
      <c r="W44" s="10"/>
      <c r="X44" s="10" t="str">
        <f>IFERROR(__xludf.DUMMYFUNCTION("""COMPUTED_VALUE"""),"Yes")</f>
        <v>Yes</v>
      </c>
      <c r="Y44" s="14" t="str">
        <f>IFERROR(__xludf.DUMMYFUNCTION("""COMPUTED_VALUE"""),"usmanrumi31@gmail.com")</f>
        <v>usmanrumi31@gmail.com</v>
      </c>
      <c r="AA44" s="325">
        <v>2.0</v>
      </c>
    </row>
    <row r="45" hidden="1">
      <c r="A45" s="9">
        <f>IFERROR(__xludf.DUMMYFUNCTION("""COMPUTED_VALUE"""),45765.26706987269)</f>
        <v>45765.26707</v>
      </c>
      <c r="B45" s="10" t="str">
        <f>IFERROR(__xludf.DUMMYFUNCTION("""COMPUTED_VALUE"""),"Haider Ali")</f>
        <v>Haider Ali</v>
      </c>
      <c r="C45" s="10" t="str">
        <f>IFERROR(__xludf.DUMMYFUNCTION("""COMPUTED_VALUE"""),"03330031508")</f>
        <v>03330031508</v>
      </c>
      <c r="D45" s="10" t="str">
        <f>IFERROR(__xludf.DUMMYFUNCTION("""COMPUTED_VALUE"""),"Jamai masjed Mirza ourkaan Sheikupura ")</f>
        <v>Jamai masjed Mirza ourkaan Sheikupura </v>
      </c>
      <c r="E45" s="10" t="str">
        <f>IFERROR(__xludf.DUMMYFUNCTION("""COMPUTED_VALUE"""),"Hnzog")</f>
        <v>Hnzog</v>
      </c>
      <c r="F45" s="10">
        <f>IFERROR(__xludf.DUMMYFUNCTION("""COMPUTED_VALUE"""),230.0)</f>
        <v>230</v>
      </c>
      <c r="G45" s="10">
        <f>IFERROR(__xludf.DUMMYFUNCTION("""COMPUTED_VALUE"""),9.0)</f>
        <v>9</v>
      </c>
      <c r="H45" s="10">
        <f>IFERROR(__xludf.DUMMYFUNCTION("""COMPUTED_VALUE"""),8.0)</f>
        <v>8</v>
      </c>
      <c r="I45" s="10">
        <f>IFERROR(__xludf.DUMMYFUNCTION("""COMPUTED_VALUE"""),1.0)</f>
        <v>1</v>
      </c>
      <c r="J45" s="10">
        <f>IFERROR(__xludf.DUMMYFUNCTION("""COMPUTED_VALUE"""),2007.0)</f>
        <v>2007</v>
      </c>
      <c r="K45" s="10" t="str">
        <f>IFERROR(__xludf.DUMMYFUNCTION("""COMPUTED_VALUE"""),"No")</f>
        <v>No</v>
      </c>
      <c r="L45" s="10" t="str">
        <f>IFERROR(__xludf.DUMMYFUNCTION("""COMPUTED_VALUE"""),"No")</f>
        <v>No</v>
      </c>
      <c r="M45" s="10">
        <f>IFERROR(__xludf.DUMMYFUNCTION("""COMPUTED_VALUE"""),7.0)</f>
        <v>7</v>
      </c>
      <c r="N45" s="10" t="str">
        <f>IFERROR(__xludf.DUMMYFUNCTION("""COMPUTED_VALUE"""),"Yes")</f>
        <v>Yes</v>
      </c>
      <c r="O45" s="323">
        <f>IFERROR(__xludf.DUMMYFUNCTION("""COMPUTED_VALUE"""),0.7)</f>
        <v>0.7</v>
      </c>
      <c r="P45" s="10">
        <f>IFERROR(__xludf.DUMMYFUNCTION("""COMPUTED_VALUE"""),7.0)</f>
        <v>7</v>
      </c>
      <c r="Q45" s="10">
        <f>IFERROR(__xludf.DUMMYFUNCTION("""COMPUTED_VALUE"""),4.0)</f>
        <v>4</v>
      </c>
      <c r="R45" s="10">
        <f>IFERROR(__xludf.DUMMYFUNCTION("""COMPUTED_VALUE"""),6.0)</f>
        <v>6</v>
      </c>
      <c r="S45" s="18" t="str">
        <f>IFERROR(__xludf.DUMMYFUNCTION("""COMPUTED_VALUE"""),"https://drive.google.com/open?id=1KjtzrwJdWxQGysgO7dDNRIwi-LQgjRgj")</f>
        <v>https://drive.google.com/open?id=1KjtzrwJdWxQGysgO7dDNRIwi-LQgjRgj</v>
      </c>
      <c r="T45" s="18" t="str">
        <f>IFERROR(__xludf.DUMMYFUNCTION("""COMPUTED_VALUE"""),"https://drive.google.com/open?id=1wG29YCpZkWChvNKgjNWYexf2CyuWZOqM")</f>
        <v>https://drive.google.com/open?id=1wG29YCpZkWChvNKgjNWYexf2CyuWZOqM</v>
      </c>
      <c r="U45" s="18" t="str">
        <f>IFERROR(__xludf.DUMMYFUNCTION("""COMPUTED_VALUE"""),"https://drive.google.com/open?id=1Vd6MVyZ15AQ9ajvvpaAiu0B0MwwygEuy")</f>
        <v>https://drive.google.com/open?id=1Vd6MVyZ15AQ9ajvvpaAiu0B0MwwygEuy</v>
      </c>
      <c r="V45" s="10"/>
      <c r="W45" s="10"/>
      <c r="X45" s="10" t="str">
        <f>IFERROR(__xludf.DUMMYFUNCTION("""COMPUTED_VALUE"""),"Yes")</f>
        <v>Yes</v>
      </c>
      <c r="Y45" s="14" t="str">
        <f>IFERROR(__xludf.DUMMYFUNCTION("""COMPUTED_VALUE"""),"hj568050@gmail.com")</f>
        <v>hj568050@gmail.com</v>
      </c>
      <c r="AA45" s="325">
        <v>1.0</v>
      </c>
    </row>
    <row r="46" hidden="1">
      <c r="A46" s="9">
        <f>IFERROR(__xludf.DUMMYFUNCTION("""COMPUTED_VALUE"""),45765.26844167824)</f>
        <v>45765.26844</v>
      </c>
      <c r="B46" s="10" t="str">
        <f>IFERROR(__xludf.DUMMYFUNCTION("""COMPUTED_VALUE"""),"Umar butt ")</f>
        <v>Umar butt </v>
      </c>
      <c r="C46" s="10" t="str">
        <f>IFERROR(__xludf.DUMMYFUNCTION("""COMPUTED_VALUE"""),"03200099395")</f>
        <v>03200099395</v>
      </c>
      <c r="D46" s="10" t="str">
        <f>IFERROR(__xludf.DUMMYFUNCTION("""COMPUTED_VALUE"""),"Jamia masjid Madina")</f>
        <v>Jamia masjid Madina</v>
      </c>
      <c r="E46" s="10" t="str">
        <f>IFERROR(__xludf.DUMMYFUNCTION("""COMPUTED_VALUE"""),"Lcwok")</f>
        <v>Lcwok</v>
      </c>
      <c r="F46" s="10">
        <f>IFERROR(__xludf.DUMMYFUNCTION("""COMPUTED_VALUE"""),300.0)</f>
        <v>300</v>
      </c>
      <c r="G46" s="10">
        <f>IFERROR(__xludf.DUMMYFUNCTION("""COMPUTED_VALUE"""),8.0)</f>
        <v>8</v>
      </c>
      <c r="H46" s="10">
        <f>IFERROR(__xludf.DUMMYFUNCTION("""COMPUTED_VALUE"""),8.0)</f>
        <v>8</v>
      </c>
      <c r="I46" s="10" t="str">
        <f>IFERROR(__xludf.DUMMYFUNCTION("""COMPUTED_VALUE"""),"4 or 5")</f>
        <v>4 or 5</v>
      </c>
      <c r="J46" s="10" t="str">
        <f>IFERROR(__xludf.DUMMYFUNCTION("""COMPUTED_VALUE"""),"1900s")</f>
        <v>1900s</v>
      </c>
      <c r="K46" s="10" t="str">
        <f>IFERROR(__xludf.DUMMYFUNCTION("""COMPUTED_VALUE"""),"No")</f>
        <v>No</v>
      </c>
      <c r="L46" s="10" t="str">
        <f>IFERROR(__xludf.DUMMYFUNCTION("""COMPUTED_VALUE"""),"No")</f>
        <v>No</v>
      </c>
      <c r="M46" s="10">
        <f>IFERROR(__xludf.DUMMYFUNCTION("""COMPUTED_VALUE"""),8.0)</f>
        <v>8</v>
      </c>
      <c r="N46" s="10" t="str">
        <f>IFERROR(__xludf.DUMMYFUNCTION("""COMPUTED_VALUE"""),"No")</f>
        <v>No</v>
      </c>
      <c r="O46" s="10"/>
      <c r="P46" s="10"/>
      <c r="Q46" s="10"/>
      <c r="R46" s="10"/>
      <c r="S46" s="18" t="str">
        <f>IFERROR(__xludf.DUMMYFUNCTION("""COMPUTED_VALUE"""),"https://drive.google.com/open?id=1cgfqUDFBKjMELy30jAEWBRGL1I8aaUiQ")</f>
        <v>https://drive.google.com/open?id=1cgfqUDFBKjMELy30jAEWBRGL1I8aaUiQ</v>
      </c>
      <c r="T46" s="18" t="str">
        <f>IFERROR(__xludf.DUMMYFUNCTION("""COMPUTED_VALUE"""),"https://drive.google.com/open?id=1N3FML6AKuFiNMOLTCwwsdHmr_-I4CF38")</f>
        <v>https://drive.google.com/open?id=1N3FML6AKuFiNMOLTCwwsdHmr_-I4CF38</v>
      </c>
      <c r="U46" s="18" t="str">
        <f>IFERROR(__xludf.DUMMYFUNCTION("""COMPUTED_VALUE"""),"https://drive.google.com/open?id=1R39GHkipONP0TJ15WsxscBRWTl5vchoO")</f>
        <v>https://drive.google.com/open?id=1R39GHkipONP0TJ15WsxscBRWTl5vchoO</v>
      </c>
      <c r="V46" s="10"/>
      <c r="W46" s="10"/>
      <c r="X46" s="10"/>
      <c r="Y46" s="14" t="str">
        <f>IFERROR(__xludf.DUMMYFUNCTION("""COMPUTED_VALUE"""),"buttumar092@gmail.com")</f>
        <v>buttumar092@gmail.com</v>
      </c>
      <c r="AA46" s="325">
        <v>1.0</v>
      </c>
    </row>
    <row r="47" hidden="1">
      <c r="A47" s="9">
        <f>IFERROR(__xludf.DUMMYFUNCTION("""COMPUTED_VALUE"""),45765.27145194444)</f>
        <v>45765.27145</v>
      </c>
      <c r="B47" s="10" t="str">
        <f>IFERROR(__xludf.DUMMYFUNCTION("""COMPUTED_VALUE"""),"Mohsin Raza")</f>
        <v>Mohsin Raza</v>
      </c>
      <c r="C47" s="10" t="str">
        <f>IFERROR(__xludf.DUMMYFUNCTION("""COMPUTED_VALUE"""),"03014497860")</f>
        <v>03014497860</v>
      </c>
      <c r="D47" s="10" t="str">
        <f>IFERROR(__xludf.DUMMYFUNCTION("""COMPUTED_VALUE"""),"Jamia Masjid Imam bargah kalan kachary sheikhupura")</f>
        <v>Jamia Masjid Imam bargah kalan kachary sheikhupura</v>
      </c>
      <c r="E47" s="10" t="str">
        <f>IFERROR(__xludf.DUMMYFUNCTION("""COMPUTED_VALUE"""),"UPUVS")</f>
        <v>UPUVS</v>
      </c>
      <c r="F47" s="10">
        <f>IFERROR(__xludf.DUMMYFUNCTION("""COMPUTED_VALUE"""),230.0)</f>
        <v>230</v>
      </c>
      <c r="G47" s="10">
        <f>IFERROR(__xludf.DUMMYFUNCTION("""COMPUTED_VALUE"""),10.0)</f>
        <v>10</v>
      </c>
      <c r="H47" s="10">
        <f>IFERROR(__xludf.DUMMYFUNCTION("""COMPUTED_VALUE"""),8.0)</f>
        <v>8</v>
      </c>
      <c r="I47" s="10" t="str">
        <f>IFERROR(__xludf.DUMMYFUNCTION("""COMPUTED_VALUE"""),"No")</f>
        <v>No</v>
      </c>
      <c r="J47" s="10" t="str">
        <f>IFERROR(__xludf.DUMMYFUNCTION("""COMPUTED_VALUE"""),"Under construction ")</f>
        <v>Under construction </v>
      </c>
      <c r="K47" s="10" t="str">
        <f>IFERROR(__xludf.DUMMYFUNCTION("""COMPUTED_VALUE"""),"Yes")</f>
        <v>Yes</v>
      </c>
      <c r="L47" s="10" t="str">
        <f>IFERROR(__xludf.DUMMYFUNCTION("""COMPUTED_VALUE"""),"No")</f>
        <v>No</v>
      </c>
      <c r="M47" s="10">
        <f>IFERROR(__xludf.DUMMYFUNCTION("""COMPUTED_VALUE"""),8.0)</f>
        <v>8</v>
      </c>
      <c r="N47" s="10" t="str">
        <f>IFERROR(__xludf.DUMMYFUNCTION("""COMPUTED_VALUE"""),"No")</f>
        <v>No</v>
      </c>
      <c r="O47" s="10"/>
      <c r="P47" s="10"/>
      <c r="Q47" s="10"/>
      <c r="R47" s="10"/>
      <c r="S47" s="18" t="str">
        <f>IFERROR(__xludf.DUMMYFUNCTION("""COMPUTED_VALUE"""),"https://drive.google.com/open?id=18geZxzFoCRkfa2VF1THh7LKJRgn2eQ87")</f>
        <v>https://drive.google.com/open?id=18geZxzFoCRkfa2VF1THh7LKJRgn2eQ87</v>
      </c>
      <c r="T47" s="18" t="str">
        <f>IFERROR(__xludf.DUMMYFUNCTION("""COMPUTED_VALUE"""),"https://drive.google.com/open?id=14MFO8hiim9IqEaZKnGdv0CYman08-YU5")</f>
        <v>https://drive.google.com/open?id=14MFO8hiim9IqEaZKnGdv0CYman08-YU5</v>
      </c>
      <c r="U47" s="18" t="str">
        <f>IFERROR(__xludf.DUMMYFUNCTION("""COMPUTED_VALUE"""),"https://drive.google.com/open?id=1aG_lPdlkD2AJrteY90cHiQBE_tMKe1n3")</f>
        <v>https://drive.google.com/open?id=1aG_lPdlkD2AJrteY90cHiQBE_tMKe1n3</v>
      </c>
      <c r="V47" s="10"/>
      <c r="W47" s="10"/>
      <c r="X47" s="10"/>
      <c r="Y47" s="14" t="str">
        <f>IFERROR(__xludf.DUMMYFUNCTION("""COMPUTED_VALUE"""),"mohsingchatha@gmail.com")</f>
        <v>mohsingchatha@gmail.com</v>
      </c>
      <c r="AA47" s="325">
        <v>1.0</v>
      </c>
    </row>
    <row r="48" hidden="1">
      <c r="A48" s="9">
        <f>IFERROR(__xludf.DUMMYFUNCTION("""COMPUTED_VALUE"""),45765.27224668981)</f>
        <v>45765.27225</v>
      </c>
      <c r="B48" s="10" t="str">
        <f>IFERROR(__xludf.DUMMYFUNCTION("""COMPUTED_VALUE"""),"Muhammad Asif kaleem")</f>
        <v>Muhammad Asif kaleem</v>
      </c>
      <c r="C48" s="10" t="str">
        <f>IFERROR(__xludf.DUMMYFUNCTION("""COMPUTED_VALUE"""),"03228810855")</f>
        <v>03228810855</v>
      </c>
      <c r="D48" s="10" t="str">
        <f>IFERROR(__xludf.DUMMYFUNCTION("""COMPUTED_VALUE"""),"Jamia masjid dehli muslim")</f>
        <v>Jamia masjid dehli muslim</v>
      </c>
      <c r="E48" s="10" t="str">
        <f>IFERROR(__xludf.DUMMYFUNCTION("""COMPUTED_VALUE"""),"IEYAF")</f>
        <v>IEYAF</v>
      </c>
      <c r="F48" s="10">
        <f>IFERROR(__xludf.DUMMYFUNCTION("""COMPUTED_VALUE"""),429.0)</f>
        <v>429</v>
      </c>
      <c r="G48" s="10">
        <f>IFERROR(__xludf.DUMMYFUNCTION("""COMPUTED_VALUE"""),8.0)</f>
        <v>8</v>
      </c>
      <c r="H48" s="10">
        <f>IFERROR(__xludf.DUMMYFUNCTION("""COMPUTED_VALUE"""),7.0)</f>
        <v>7</v>
      </c>
      <c r="I48" s="10">
        <f>IFERROR(__xludf.DUMMYFUNCTION("""COMPUTED_VALUE"""),1.0)</f>
        <v>1</v>
      </c>
      <c r="J48" s="10">
        <f>IFERROR(__xludf.DUMMYFUNCTION("""COMPUTED_VALUE"""),1938.0)</f>
        <v>1938</v>
      </c>
      <c r="K48" s="10" t="str">
        <f>IFERROR(__xludf.DUMMYFUNCTION("""COMPUTED_VALUE"""),"No")</f>
        <v>No</v>
      </c>
      <c r="L48" s="10" t="str">
        <f>IFERROR(__xludf.DUMMYFUNCTION("""COMPUTED_VALUE"""),"No")</f>
        <v>No</v>
      </c>
      <c r="M48" s="10">
        <f>IFERROR(__xludf.DUMMYFUNCTION("""COMPUTED_VALUE"""),6.0)</f>
        <v>6</v>
      </c>
      <c r="N48" s="10" t="str">
        <f>IFERROR(__xludf.DUMMYFUNCTION("""COMPUTED_VALUE"""),"Yes")</f>
        <v>Yes</v>
      </c>
      <c r="O48" s="323">
        <f>IFERROR(__xludf.DUMMYFUNCTION("""COMPUTED_VALUE"""),0.8)</f>
        <v>0.8</v>
      </c>
      <c r="P48" s="10">
        <f>IFERROR(__xludf.DUMMYFUNCTION("""COMPUTED_VALUE"""),8.0)</f>
        <v>8</v>
      </c>
      <c r="Q48" s="10">
        <f>IFERROR(__xludf.DUMMYFUNCTION("""COMPUTED_VALUE"""),3.0)</f>
        <v>3</v>
      </c>
      <c r="R48" s="10">
        <f>IFERROR(__xludf.DUMMYFUNCTION("""COMPUTED_VALUE"""),8.0)</f>
        <v>8</v>
      </c>
      <c r="S48" s="18" t="str">
        <f>IFERROR(__xludf.DUMMYFUNCTION("""COMPUTED_VALUE"""),"https://drive.google.com/open?id=13nbgNmNZAjJnslF6XRRUizt6YqfyvoFt")</f>
        <v>https://drive.google.com/open?id=13nbgNmNZAjJnslF6XRRUizt6YqfyvoFt</v>
      </c>
      <c r="T48" s="18" t="str">
        <f>IFERROR(__xludf.DUMMYFUNCTION("""COMPUTED_VALUE"""),"https://drive.google.com/open?id=1Q4SS9LMaqqNC9bsTc6zkrhy1BsxjqmyH")</f>
        <v>https://drive.google.com/open?id=1Q4SS9LMaqqNC9bsTc6zkrhy1BsxjqmyH</v>
      </c>
      <c r="U48" s="18" t="str">
        <f>IFERROR(__xludf.DUMMYFUNCTION("""COMPUTED_VALUE"""),"https://drive.google.com/open?id=1YYIY1HQu7CPeZNNeq32z_XX53G9DmIPq")</f>
        <v>https://drive.google.com/open?id=1YYIY1HQu7CPeZNNeq32z_XX53G9DmIPq</v>
      </c>
      <c r="V48" s="10" t="str">
        <f>IFERROR(__xludf.DUMMYFUNCTION("""COMPUTED_VALUE"""),"No comments")</f>
        <v>No comments</v>
      </c>
      <c r="W48" s="10"/>
      <c r="X48" s="10" t="str">
        <f>IFERROR(__xludf.DUMMYFUNCTION("""COMPUTED_VALUE"""),"Yes")</f>
        <v>Yes</v>
      </c>
      <c r="Y48" s="14" t="str">
        <f>IFERROR(__xludf.DUMMYFUNCTION("""COMPUTED_VALUE"""),"asufkaleem992@gmail.com")</f>
        <v>asufkaleem992@gmail.com</v>
      </c>
      <c r="AA48" s="325">
        <v>2.0</v>
      </c>
    </row>
    <row r="49" hidden="1">
      <c r="A49" s="9">
        <f>IFERROR(__xludf.DUMMYFUNCTION("""COMPUTED_VALUE"""),45765.27748586806)</f>
        <v>45765.27749</v>
      </c>
      <c r="B49" s="10" t="str">
        <f>IFERROR(__xludf.DUMMYFUNCTION("""COMPUTED_VALUE"""),"M.Rizwan")</f>
        <v>M.Rizwan</v>
      </c>
      <c r="C49" s="10" t="str">
        <f>IFERROR(__xludf.DUMMYFUNCTION("""COMPUTED_VALUE"""),"03084373512")</f>
        <v>03084373512</v>
      </c>
      <c r="D49" s="10" t="str">
        <f>IFERROR(__xludf.DUMMYFUNCTION("""COMPUTED_VALUE"""),"Jamia Masjid Farooq Abad auqaf wali Sheikhupura ")</f>
        <v>Jamia Masjid Farooq Abad auqaf wali Sheikhupura </v>
      </c>
      <c r="E49" s="10" t="str">
        <f>IFERROR(__xludf.DUMMYFUNCTION("""COMPUTED_VALUE"""),"GARUU")</f>
        <v>GARUU</v>
      </c>
      <c r="F49" s="10">
        <f>IFERROR(__xludf.DUMMYFUNCTION("""COMPUTED_VALUE"""),450.0)</f>
        <v>450</v>
      </c>
      <c r="G49" s="10">
        <f>IFERROR(__xludf.DUMMYFUNCTION("""COMPUTED_VALUE"""),6.0)</f>
        <v>6</v>
      </c>
      <c r="H49" s="10">
        <f>IFERROR(__xludf.DUMMYFUNCTION("""COMPUTED_VALUE"""),6.0)</f>
        <v>6</v>
      </c>
      <c r="I49" s="10">
        <f>IFERROR(__xludf.DUMMYFUNCTION("""COMPUTED_VALUE"""),0.0)</f>
        <v>0</v>
      </c>
      <c r="J49" s="10">
        <f>IFERROR(__xludf.DUMMYFUNCTION("""COMPUTED_VALUE"""),1976.0)</f>
        <v>1976</v>
      </c>
      <c r="K49" s="10" t="str">
        <f>IFERROR(__xludf.DUMMYFUNCTION("""COMPUTED_VALUE"""),"No")</f>
        <v>No</v>
      </c>
      <c r="L49" s="10" t="str">
        <f>IFERROR(__xludf.DUMMYFUNCTION("""COMPUTED_VALUE"""),"No")</f>
        <v>No</v>
      </c>
      <c r="M49" s="10">
        <f>IFERROR(__xludf.DUMMYFUNCTION("""COMPUTED_VALUE"""),7.0)</f>
        <v>7</v>
      </c>
      <c r="N49" s="10" t="str">
        <f>IFERROR(__xludf.DUMMYFUNCTION("""COMPUTED_VALUE"""),"No")</f>
        <v>No</v>
      </c>
      <c r="O49" s="10"/>
      <c r="P49" s="10"/>
      <c r="Q49" s="10"/>
      <c r="R49" s="10"/>
      <c r="S49" s="18" t="str">
        <f>IFERROR(__xludf.DUMMYFUNCTION("""COMPUTED_VALUE"""),"https://drive.google.com/open?id=1pLDNfadBTvpEySYyi0sq8oSWJUezq_-1")</f>
        <v>https://drive.google.com/open?id=1pLDNfadBTvpEySYyi0sq8oSWJUezq_-1</v>
      </c>
      <c r="T49" s="18" t="str">
        <f>IFERROR(__xludf.DUMMYFUNCTION("""COMPUTED_VALUE"""),"https://drive.google.com/open?id=1HmAKCBk05PDeOZpzpQf-HSeIviSNtU7j")</f>
        <v>https://drive.google.com/open?id=1HmAKCBk05PDeOZpzpQf-HSeIviSNtU7j</v>
      </c>
      <c r="U49" s="18" t="str">
        <f>IFERROR(__xludf.DUMMYFUNCTION("""COMPUTED_VALUE"""),"https://drive.google.com/open?id=1kKTaUnuixWZE8jGPha3NahRndQT6p2Bk")</f>
        <v>https://drive.google.com/open?id=1kKTaUnuixWZE8jGPha3NahRndQT6p2Bk</v>
      </c>
      <c r="V49" s="10" t="str">
        <f>IFERROR(__xludf.DUMMYFUNCTION("""COMPUTED_VALUE"""),"No")</f>
        <v>No</v>
      </c>
      <c r="W49" s="10"/>
      <c r="X49" s="10"/>
      <c r="Y49" s="14" t="str">
        <f>IFERROR(__xludf.DUMMYFUNCTION("""COMPUTED_VALUE"""),"mrizwanrasheed666@gmail.com")</f>
        <v>mrizwanrasheed666@gmail.com</v>
      </c>
      <c r="AA49" s="325">
        <v>1.0</v>
      </c>
    </row>
    <row r="50" hidden="1">
      <c r="A50" s="9">
        <f>IFERROR(__xludf.DUMMYFUNCTION("""COMPUTED_VALUE"""),45765.286586145834)</f>
        <v>45765.28659</v>
      </c>
      <c r="B50" s="10" t="str">
        <f>IFERROR(__xludf.DUMMYFUNCTION("""COMPUTED_VALUE"""),"حافظ محمد آصف ")</f>
        <v>حافظ محمد آصف </v>
      </c>
      <c r="C50" s="10" t="str">
        <f>IFERROR(__xludf.DUMMYFUNCTION("""COMPUTED_VALUE"""),"03318421006")</f>
        <v>03318421006</v>
      </c>
      <c r="D50" s="10" t="str">
        <f>IFERROR(__xludf.DUMMYFUNCTION("""COMPUTED_VALUE"""),"جامعہ مسجد ریلوے توڑ شیخوپورہ ")</f>
        <v>جامعہ مسجد ریلوے توڑ شیخوپورہ </v>
      </c>
      <c r="E50" s="10" t="str">
        <f>IFERROR(__xludf.DUMMYFUNCTION("""COMPUTED_VALUE"""),"WGWH")</f>
        <v>WGWH</v>
      </c>
      <c r="F50" s="10">
        <f>IFERROR(__xludf.DUMMYFUNCTION("""COMPUTED_VALUE"""),173.0)</f>
        <v>173</v>
      </c>
      <c r="G50" s="10">
        <f>IFERROR(__xludf.DUMMYFUNCTION("""COMPUTED_VALUE"""),10.0)</f>
        <v>10</v>
      </c>
      <c r="H50" s="10">
        <f>IFERROR(__xludf.DUMMYFUNCTION("""COMPUTED_VALUE"""),10.0)</f>
        <v>10</v>
      </c>
      <c r="I50" s="10" t="str">
        <f>IFERROR(__xludf.DUMMYFUNCTION("""COMPUTED_VALUE"""),"کوئی نہیں ")</f>
        <v>کوئی نہیں </v>
      </c>
      <c r="J50" s="10">
        <f>IFERROR(__xludf.DUMMYFUNCTION("""COMPUTED_VALUE"""),1925.0)</f>
        <v>1925</v>
      </c>
      <c r="K50" s="10" t="str">
        <f>IFERROR(__xludf.DUMMYFUNCTION("""COMPUTED_VALUE"""),"No")</f>
        <v>No</v>
      </c>
      <c r="L50" s="10" t="str">
        <f>IFERROR(__xludf.DUMMYFUNCTION("""COMPUTED_VALUE"""),"نہیں ")</f>
        <v>نہیں </v>
      </c>
      <c r="M50" s="10">
        <f>IFERROR(__xludf.DUMMYFUNCTION("""COMPUTED_VALUE"""),10.0)</f>
        <v>10</v>
      </c>
      <c r="N50" s="10" t="str">
        <f>IFERROR(__xludf.DUMMYFUNCTION("""COMPUTED_VALUE"""),"No")</f>
        <v>No</v>
      </c>
      <c r="O50" s="10"/>
      <c r="P50" s="10"/>
      <c r="Q50" s="10"/>
      <c r="R50" s="10"/>
      <c r="S50" s="18" t="str">
        <f>IFERROR(__xludf.DUMMYFUNCTION("""COMPUTED_VALUE"""),"https://drive.google.com/open?id=1gAvcA-kA1Hf2sJCTr6cctd1NK5bU_pfP")</f>
        <v>https://drive.google.com/open?id=1gAvcA-kA1Hf2sJCTr6cctd1NK5bU_pfP</v>
      </c>
      <c r="T50" s="18" t="str">
        <f>IFERROR(__xludf.DUMMYFUNCTION("""COMPUTED_VALUE"""),"https://drive.google.com/open?id=1BjRvI1PdSd5FVExIbEKjhCVrbpDFKAQE")</f>
        <v>https://drive.google.com/open?id=1BjRvI1PdSd5FVExIbEKjhCVrbpDFKAQE</v>
      </c>
      <c r="U50" s="18" t="str">
        <f>IFERROR(__xludf.DUMMYFUNCTION("""COMPUTED_VALUE"""),"https://drive.google.com/open?id=1UeAOZn35BEy5pP595bIpvFxSEaxzkW7Y")</f>
        <v>https://drive.google.com/open?id=1UeAOZn35BEy5pP595bIpvFxSEaxzkW7Y</v>
      </c>
      <c r="V50" s="10"/>
      <c r="W50" s="10"/>
      <c r="X50" s="10"/>
      <c r="Y50" s="14" t="str">
        <f>IFERROR(__xludf.DUMMYFUNCTION("""COMPUTED_VALUE"""),"saqiasif98@gmail.com")</f>
        <v>saqiasif98@gmail.com</v>
      </c>
      <c r="AA50" s="325">
        <v>1.0</v>
      </c>
    </row>
    <row r="51" hidden="1">
      <c r="A51" s="9">
        <f>IFERROR(__xludf.DUMMYFUNCTION("""COMPUTED_VALUE"""),45765.288355173616)</f>
        <v>45765.28836</v>
      </c>
      <c r="B51" s="10" t="str">
        <f>IFERROR(__xludf.DUMMYFUNCTION("""COMPUTED_VALUE"""),"Irfan Amjad ")</f>
        <v>Irfan Amjad </v>
      </c>
      <c r="C51" s="10" t="str">
        <f>IFERROR(__xludf.DUMMYFUNCTION("""COMPUTED_VALUE"""),"03014813508")</f>
        <v>03014813508</v>
      </c>
      <c r="D51" s="10" t="str">
        <f>IFERROR(__xludf.DUMMYFUNCTION("""COMPUTED_VALUE"""),"جامعہ مسجدحاحنفیہ گلی نمبر 9 بیڈن روڈ لاہور ")</f>
        <v>جامعہ مسجدحاحنفیہ گلی نمبر 9 بیڈن روڈ لاہور </v>
      </c>
      <c r="E51" s="10" t="str">
        <f>IFERROR(__xludf.DUMMYFUNCTION("""COMPUTED_VALUE"""),"dxome")</f>
        <v>dxome</v>
      </c>
      <c r="F51" s="10">
        <f>IFERROR(__xludf.DUMMYFUNCTION("""COMPUTED_VALUE"""),260.0)</f>
        <v>260</v>
      </c>
      <c r="G51" s="10">
        <f>IFERROR(__xludf.DUMMYFUNCTION("""COMPUTED_VALUE"""),0.0)</f>
        <v>0</v>
      </c>
      <c r="H51" s="10">
        <f>IFERROR(__xludf.DUMMYFUNCTION("""COMPUTED_VALUE"""),0.0)</f>
        <v>0</v>
      </c>
      <c r="I51" s="10" t="str">
        <f>IFERROR(__xludf.DUMMYFUNCTION("""COMPUTED_VALUE"""),"1سے 2")</f>
        <v>1سے 2</v>
      </c>
      <c r="J51" s="10">
        <f>IFERROR(__xludf.DUMMYFUNCTION("""COMPUTED_VALUE"""),1973.0)</f>
        <v>1973</v>
      </c>
      <c r="K51" s="10" t="str">
        <f>IFERROR(__xludf.DUMMYFUNCTION("""COMPUTED_VALUE"""),"No")</f>
        <v>No</v>
      </c>
      <c r="L51" s="10" t="str">
        <f>IFERROR(__xludf.DUMMYFUNCTION("""COMPUTED_VALUE"""),"نہیں ")</f>
        <v>نہیں </v>
      </c>
      <c r="M51" s="10">
        <f>IFERROR(__xludf.DUMMYFUNCTION("""COMPUTED_VALUE"""),10.0)</f>
        <v>10</v>
      </c>
      <c r="N51" s="10" t="str">
        <f>IFERROR(__xludf.DUMMYFUNCTION("""COMPUTED_VALUE"""),"No")</f>
        <v>No</v>
      </c>
      <c r="O51" s="10"/>
      <c r="P51" s="10"/>
      <c r="Q51" s="10"/>
      <c r="R51" s="10"/>
      <c r="S51" s="10" t="str">
        <f>IFERROR(__xludf.DUMMYFUNCTION("""COMPUTED_VALUE"""),"https://drive.google.com/open?id=14jd90vYfqYItnifdVUE3XQsHEcI64oxx, https://drive.google.com/open?id=1CM1X8MCjQ6ejPTTs-wBWHqpyTLLgjGjW")</f>
        <v>https://drive.google.com/open?id=14jd90vYfqYItnifdVUE3XQsHEcI64oxx, https://drive.google.com/open?id=1CM1X8MCjQ6ejPTTs-wBWHqpyTLLgjGjW</v>
      </c>
      <c r="T51" s="10" t="str">
        <f>IFERROR(__xludf.DUMMYFUNCTION("""COMPUTED_VALUE"""),"https://drive.google.com/open?id=1yObd98EqoXB-9OuLjMTl87ci_8SgDSmP, https://drive.google.com/open?id=1gwdIV69k5_pGWUFvCDfBj49LlPPmwe2d, https://drive.google.com/open?id=1ICr8vrB2-Yrazso8WYQqL7kc5FD9iVWa")</f>
        <v>https://drive.google.com/open?id=1yObd98EqoXB-9OuLjMTl87ci_8SgDSmP, https://drive.google.com/open?id=1gwdIV69k5_pGWUFvCDfBj49LlPPmwe2d, https://drive.google.com/open?id=1ICr8vrB2-Yrazso8WYQqL7kc5FD9iVWa</v>
      </c>
      <c r="U51" s="18" t="str">
        <f>IFERROR(__xludf.DUMMYFUNCTION("""COMPUTED_VALUE"""),"https://drive.google.com/open?id=1bcOfjJcJ1rqA_z_IR3L_vY3U4oU58MKB")</f>
        <v>https://drive.google.com/open?id=1bcOfjJcJ1rqA_z_IR3L_vY3U4oU58MKB</v>
      </c>
      <c r="V51" s="10" t="str">
        <f>IFERROR(__xludf.DUMMYFUNCTION("""COMPUTED_VALUE"""),"نہیں ")</f>
        <v>نہیں </v>
      </c>
      <c r="W51" s="10"/>
      <c r="X51" s="10"/>
      <c r="Y51" s="14" t="str">
        <f>IFERROR(__xludf.DUMMYFUNCTION("""COMPUTED_VALUE"""),"irfanamjad1983@gmail.com")</f>
        <v>irfanamjad1983@gmail.com</v>
      </c>
      <c r="AA51" s="325">
        <v>2.0</v>
      </c>
    </row>
    <row r="52" hidden="1">
      <c r="A52" s="9">
        <f>IFERROR(__xludf.DUMMYFUNCTION("""COMPUTED_VALUE"""),45765.293347997685)</f>
        <v>45765.29335</v>
      </c>
      <c r="B52" s="10" t="str">
        <f>IFERROR(__xludf.DUMMYFUNCTION("""COMPUTED_VALUE"""),"Muhammad Waseem ")</f>
        <v>Muhammad Waseem </v>
      </c>
      <c r="C52" s="10" t="str">
        <f>IFERROR(__xludf.DUMMYFUNCTION("""COMPUTED_VALUE"""),"03306540300")</f>
        <v>03306540300</v>
      </c>
      <c r="D52" s="10" t="str">
        <f>IFERROR(__xludf.DUMMYFUNCTION("""COMPUTED_VALUE"""),"جامعہ مسجد حنفیہ فاروقیہ ریلوے روڈ گوالمنڈی لاہور ")</f>
        <v>جامعہ مسجد حنفیہ فاروقیہ ریلوے روڈ گوالمنڈی لاہور </v>
      </c>
      <c r="E52" s="10" t="str">
        <f>IFERROR(__xludf.DUMMYFUNCTION("""COMPUTED_VALUE"""),"wvmxf")</f>
        <v>wvmxf</v>
      </c>
      <c r="F52" s="10">
        <f>IFERROR(__xludf.DUMMYFUNCTION("""COMPUTED_VALUE"""),400.0)</f>
        <v>400</v>
      </c>
      <c r="G52" s="10">
        <f>IFERROR(__xludf.DUMMYFUNCTION("""COMPUTED_VALUE"""),9.0)</f>
        <v>9</v>
      </c>
      <c r="H52" s="10">
        <f>IFERROR(__xludf.DUMMYFUNCTION("""COMPUTED_VALUE"""),7.0)</f>
        <v>7</v>
      </c>
      <c r="I52" s="10">
        <f>IFERROR(__xludf.DUMMYFUNCTION("""COMPUTED_VALUE"""),2.0)</f>
        <v>2</v>
      </c>
      <c r="J52" s="10">
        <f>IFERROR(__xludf.DUMMYFUNCTION("""COMPUTED_VALUE"""),1964.0)</f>
        <v>1964</v>
      </c>
      <c r="K52" s="10" t="str">
        <f>IFERROR(__xludf.DUMMYFUNCTION("""COMPUTED_VALUE"""),"No")</f>
        <v>No</v>
      </c>
      <c r="L52" s="10">
        <f>IFERROR(__xludf.DUMMYFUNCTION("""COMPUTED_VALUE"""),0.0)</f>
        <v>0</v>
      </c>
      <c r="M52" s="10">
        <f>IFERROR(__xludf.DUMMYFUNCTION("""COMPUTED_VALUE"""),10.0)</f>
        <v>10</v>
      </c>
      <c r="N52" s="10" t="str">
        <f>IFERROR(__xludf.DUMMYFUNCTION("""COMPUTED_VALUE"""),"Yes")</f>
        <v>Yes</v>
      </c>
      <c r="O52" s="323">
        <f>IFERROR(__xludf.DUMMYFUNCTION("""COMPUTED_VALUE"""),0.9)</f>
        <v>0.9</v>
      </c>
      <c r="P52" s="10">
        <f>IFERROR(__xludf.DUMMYFUNCTION("""COMPUTED_VALUE"""),9.0)</f>
        <v>9</v>
      </c>
      <c r="Q52" s="10">
        <f>IFERROR(__xludf.DUMMYFUNCTION("""COMPUTED_VALUE"""),1.0)</f>
        <v>1</v>
      </c>
      <c r="R52" s="10">
        <f>IFERROR(__xludf.DUMMYFUNCTION("""COMPUTED_VALUE"""),9.0)</f>
        <v>9</v>
      </c>
      <c r="S52" s="10" t="str">
        <f>IFERROR(__xludf.DUMMYFUNCTION("""COMPUTED_VALUE"""),"https://drive.google.com/open?id=1T-7SWfFarhnZvg9GQx4HjCtlTMUTzJa4, https://drive.google.com/open?id=17QgZ3ixae3p1eo_i0GF8kZ5J6fiOjVs3")</f>
        <v>https://drive.google.com/open?id=1T-7SWfFarhnZvg9GQx4HjCtlTMUTzJa4, https://drive.google.com/open?id=17QgZ3ixae3p1eo_i0GF8kZ5J6fiOjVs3</v>
      </c>
      <c r="T52" s="10" t="str">
        <f>IFERROR(__xludf.DUMMYFUNCTION("""COMPUTED_VALUE"""),"https://drive.google.com/open?id=1ru9SVGQqjs6LnKQeK1NtdiysU3Bmy2yJ, https://drive.google.com/open?id=1OU8XfobmwPRVxR8nLdMuM_PFcOQ2zfBC, https://drive.google.com/open?id=1r4V5sCMN_uCiHWIf4cwxkQCxj--ZjvT1")</f>
        <v>https://drive.google.com/open?id=1ru9SVGQqjs6LnKQeK1NtdiysU3Bmy2yJ, https://drive.google.com/open?id=1OU8XfobmwPRVxR8nLdMuM_PFcOQ2zfBC, https://drive.google.com/open?id=1r4V5sCMN_uCiHWIf4cwxkQCxj--ZjvT1</v>
      </c>
      <c r="U52" s="18" t="str">
        <f>IFERROR(__xludf.DUMMYFUNCTION("""COMPUTED_VALUE"""),"https://drive.google.com/open?id=1EVoQyHNuBQMcNaHDQL2sLlQ1UFY2rA-N, https://drive.google.com/open?id=1EPAWYm6_De3_c7sAfWjkWXHuOrJK5xz7")</f>
        <v>https://drive.google.com/open?id=1EVoQyHNuBQMcNaHDQL2sLlQ1UFY2rA-N, https://drive.google.com/open?id=1EPAWYm6_De3_c7sAfWjkWXHuOrJK5xz7</v>
      </c>
      <c r="V52" s="10"/>
      <c r="W52" s="10"/>
      <c r="X52" s="10" t="str">
        <f>IFERROR(__xludf.DUMMYFUNCTION("""COMPUTED_VALUE"""),"Yes")</f>
        <v>Yes</v>
      </c>
      <c r="Y52" s="14" t="str">
        <f>IFERROR(__xludf.DUMMYFUNCTION("""COMPUTED_VALUE"""),"mwaseem65403@gmail.com")</f>
        <v>mwaseem65403@gmail.com</v>
      </c>
      <c r="AA52" s="325">
        <v>2.0</v>
      </c>
    </row>
    <row r="53" hidden="1">
      <c r="A53" s="9">
        <f>IFERROR(__xludf.DUMMYFUNCTION("""COMPUTED_VALUE"""),45765.29788865741)</f>
        <v>45765.29789</v>
      </c>
      <c r="B53" s="10" t="str">
        <f>IFERROR(__xludf.DUMMYFUNCTION("""COMPUTED_VALUE"""),"Sohail asghar bhatti ")</f>
        <v>Sohail asghar bhatti </v>
      </c>
      <c r="C53" s="10" t="str">
        <f>IFERROR(__xludf.DUMMYFUNCTION("""COMPUTED_VALUE"""),"03017982931")</f>
        <v>03017982931</v>
      </c>
      <c r="D53" s="10" t="str">
        <f>IFERROR(__xludf.DUMMYFUNCTION("""COMPUTED_VALUE"""),"Jamia masjid qalandar shah ")</f>
        <v>Jamia masjid qalandar shah </v>
      </c>
      <c r="E53" s="10" t="str">
        <f>IFERROR(__xludf.DUMMYFUNCTION("""COMPUTED_VALUE"""),"CKLBK")</f>
        <v>CKLBK</v>
      </c>
      <c r="F53" s="10">
        <f>IFERROR(__xludf.DUMMYFUNCTION("""COMPUTED_VALUE"""),200.0)</f>
        <v>200</v>
      </c>
      <c r="G53" s="10">
        <f>IFERROR(__xludf.DUMMYFUNCTION("""COMPUTED_VALUE"""),8.0)</f>
        <v>8</v>
      </c>
      <c r="H53" s="10">
        <f>IFERROR(__xludf.DUMMYFUNCTION("""COMPUTED_VALUE"""),7.0)</f>
        <v>7</v>
      </c>
      <c r="I53" s="10">
        <f>IFERROR(__xludf.DUMMYFUNCTION("""COMPUTED_VALUE"""),2.0)</f>
        <v>2</v>
      </c>
      <c r="J53" s="10">
        <f>IFERROR(__xludf.DUMMYFUNCTION("""COMPUTED_VALUE"""),1950.0)</f>
        <v>1950</v>
      </c>
      <c r="K53" s="10" t="str">
        <f>IFERROR(__xludf.DUMMYFUNCTION("""COMPUTED_VALUE"""),"No")</f>
        <v>No</v>
      </c>
      <c r="L53" s="10" t="str">
        <f>IFERROR(__xludf.DUMMYFUNCTION("""COMPUTED_VALUE"""),"Pear qalandar shah ")</f>
        <v>Pear qalandar shah </v>
      </c>
      <c r="M53" s="10">
        <f>IFERROR(__xludf.DUMMYFUNCTION("""COMPUTED_VALUE"""),10.0)</f>
        <v>10</v>
      </c>
      <c r="N53" s="10" t="str">
        <f>IFERROR(__xludf.DUMMYFUNCTION("""COMPUTED_VALUE"""),"No")</f>
        <v>No</v>
      </c>
      <c r="O53" s="10"/>
      <c r="P53" s="10"/>
      <c r="Q53" s="10"/>
      <c r="R53" s="10"/>
      <c r="S53" s="18" t="str">
        <f>IFERROR(__xludf.DUMMYFUNCTION("""COMPUTED_VALUE"""),"https://drive.google.com/open?id=1BDhjMuz-d4Cm3X4ZTq_1jql_rQL61OxU")</f>
        <v>https://drive.google.com/open?id=1BDhjMuz-d4Cm3X4ZTq_1jql_rQL61OxU</v>
      </c>
      <c r="T53" s="18" t="str">
        <f>IFERROR(__xludf.DUMMYFUNCTION("""COMPUTED_VALUE"""),"https://drive.google.com/open?id=1ssgJLVOPIw-LXyu0hQjJWrXeOS_g5brJ")</f>
        <v>https://drive.google.com/open?id=1ssgJLVOPIw-LXyu0hQjJWrXeOS_g5brJ</v>
      </c>
      <c r="U53" s="18" t="str">
        <f>IFERROR(__xludf.DUMMYFUNCTION("""COMPUTED_VALUE"""),"https://drive.google.com/open?id=10FYTEy4DLnoXBLSjpsgGobesv2hWqqto")</f>
        <v>https://drive.google.com/open?id=10FYTEy4DLnoXBLSjpsgGobesv2hWqqto</v>
      </c>
      <c r="V53" s="10" t="str">
        <f>IFERROR(__xludf.DUMMYFUNCTION("""COMPUTED_VALUE"""),"No")</f>
        <v>No</v>
      </c>
      <c r="W53" s="10"/>
      <c r="X53" s="10"/>
      <c r="Y53" s="14" t="str">
        <f>IFERROR(__xludf.DUMMYFUNCTION("""COMPUTED_VALUE"""),"sahilbhai34657788@gmail.com")</f>
        <v>sahilbhai34657788@gmail.com</v>
      </c>
      <c r="AA53" s="325">
        <v>1.0</v>
      </c>
    </row>
    <row r="54" hidden="1">
      <c r="A54" s="9">
        <f>IFERROR(__xludf.DUMMYFUNCTION("""COMPUTED_VALUE"""),45765.302992997684)</f>
        <v>45765.30299</v>
      </c>
      <c r="B54" s="10" t="str">
        <f>IFERROR(__xludf.DUMMYFUNCTION("""COMPUTED_VALUE"""),"Babar Ali")</f>
        <v>Babar Ali</v>
      </c>
      <c r="C54" s="10" t="str">
        <f>IFERROR(__xludf.DUMMYFUNCTION("""COMPUTED_VALUE"""),"03011297393")</f>
        <v>03011297393</v>
      </c>
      <c r="D54" s="10" t="str">
        <f>IFERROR(__xludf.DUMMYFUNCTION("""COMPUTED_VALUE"""),"Noorani jamia masjid")</f>
        <v>Noorani jamia masjid</v>
      </c>
      <c r="E54" s="10" t="str">
        <f>IFERROR(__xludf.DUMMYFUNCTION("""COMPUTED_VALUE"""),"Hkeci")</f>
        <v>Hkeci</v>
      </c>
      <c r="F54" s="10">
        <f>IFERROR(__xludf.DUMMYFUNCTION("""COMPUTED_VALUE"""),430.0)</f>
        <v>430</v>
      </c>
      <c r="G54" s="10">
        <f>IFERROR(__xludf.DUMMYFUNCTION("""COMPUTED_VALUE"""),7.0)</f>
        <v>7</v>
      </c>
      <c r="H54" s="10">
        <f>IFERROR(__xludf.DUMMYFUNCTION("""COMPUTED_VALUE"""),7.0)</f>
        <v>7</v>
      </c>
      <c r="I54" s="10">
        <f>IFERROR(__xludf.DUMMYFUNCTION("""COMPUTED_VALUE"""),2.0)</f>
        <v>2</v>
      </c>
      <c r="J54" s="10">
        <f>IFERROR(__xludf.DUMMYFUNCTION("""COMPUTED_VALUE"""),1960.0)</f>
        <v>1960</v>
      </c>
      <c r="K54" s="10" t="str">
        <f>IFERROR(__xludf.DUMMYFUNCTION("""COMPUTED_VALUE"""),"No")</f>
        <v>No</v>
      </c>
      <c r="L54" s="10" t="str">
        <f>IFERROR(__xludf.DUMMYFUNCTION("""COMPUTED_VALUE"""),"No")</f>
        <v>No</v>
      </c>
      <c r="M54" s="10">
        <f>IFERROR(__xludf.DUMMYFUNCTION("""COMPUTED_VALUE"""),7.0)</f>
        <v>7</v>
      </c>
      <c r="N54" s="10" t="str">
        <f>IFERROR(__xludf.DUMMYFUNCTION("""COMPUTED_VALUE"""),"Yes")</f>
        <v>Yes</v>
      </c>
      <c r="O54" s="323">
        <f>IFERROR(__xludf.DUMMYFUNCTION("""COMPUTED_VALUE"""),1.0)</f>
        <v>1</v>
      </c>
      <c r="P54" s="10">
        <f>IFERROR(__xludf.DUMMYFUNCTION("""COMPUTED_VALUE"""),7.0)</f>
        <v>7</v>
      </c>
      <c r="Q54" s="10">
        <f>IFERROR(__xludf.DUMMYFUNCTION("""COMPUTED_VALUE"""),3.0)</f>
        <v>3</v>
      </c>
      <c r="R54" s="10">
        <f>IFERROR(__xludf.DUMMYFUNCTION("""COMPUTED_VALUE"""),7.0)</f>
        <v>7</v>
      </c>
      <c r="S54" s="18" t="str">
        <f>IFERROR(__xludf.DUMMYFUNCTION("""COMPUTED_VALUE"""),"https://drive.google.com/open?id=1_z2DTxdwCMnxQz4JMcJLJGNo_yCDEGl-")</f>
        <v>https://drive.google.com/open?id=1_z2DTxdwCMnxQz4JMcJLJGNo_yCDEGl-</v>
      </c>
      <c r="T54" s="18" t="str">
        <f>IFERROR(__xludf.DUMMYFUNCTION("""COMPUTED_VALUE"""),"https://drive.google.com/open?id=1MnISCufsw3IwVuznfIhJ7reBd_MxxrnK")</f>
        <v>https://drive.google.com/open?id=1MnISCufsw3IwVuznfIhJ7reBd_MxxrnK</v>
      </c>
      <c r="U54" s="18" t="str">
        <f>IFERROR(__xludf.DUMMYFUNCTION("""COMPUTED_VALUE"""),"https://drive.google.com/open?id=1SVcV4e9R2f6o0MtoDuY6E8rEF17q8VyH")</f>
        <v>https://drive.google.com/open?id=1SVcV4e9R2f6o0MtoDuY6E8rEF17q8VyH</v>
      </c>
      <c r="V54" s="10"/>
      <c r="W54" s="10"/>
      <c r="X54" s="10" t="str">
        <f>IFERROR(__xludf.DUMMYFUNCTION("""COMPUTED_VALUE"""),"Yes")</f>
        <v>Yes</v>
      </c>
      <c r="Y54" s="14" t="str">
        <f>IFERROR(__xludf.DUMMYFUNCTION("""COMPUTED_VALUE"""),"babarrasheed341@gmail.com")</f>
        <v>babarrasheed341@gmail.com</v>
      </c>
      <c r="AA54" s="325">
        <v>2.0</v>
      </c>
    </row>
    <row r="55" hidden="1">
      <c r="A55" s="9">
        <f>IFERROR(__xludf.DUMMYFUNCTION("""COMPUTED_VALUE"""),45765.30406753472)</f>
        <v>45765.30407</v>
      </c>
      <c r="B55" s="10" t="str">
        <f>IFERROR(__xludf.DUMMYFUNCTION("""COMPUTED_VALUE"""),"Ameer hamza ")</f>
        <v>Ameer hamza </v>
      </c>
      <c r="C55" s="10" t="str">
        <f>IFERROR(__xludf.DUMMYFUNCTION("""COMPUTED_VALUE"""),"03071778530")</f>
        <v>03071778530</v>
      </c>
      <c r="D55" s="10" t="str">
        <f>IFERROR(__xludf.DUMMYFUNCTION("""COMPUTED_VALUE"""),"	Jamia Masjid Hamam Wali Sotar Mandi Lahore	")</f>
        <v>	Jamia Masjid Hamam Wali Sotar Mandi Lahore	</v>
      </c>
      <c r="E55" s="10" t="str">
        <f>IFERROR(__xludf.DUMMYFUNCTION("""COMPUTED_VALUE"""),"dwebz")</f>
        <v>dwebz</v>
      </c>
      <c r="F55" s="10">
        <f>IFERROR(__xludf.DUMMYFUNCTION("""COMPUTED_VALUE"""),350.0)</f>
        <v>350</v>
      </c>
      <c r="G55" s="10">
        <f>IFERROR(__xludf.DUMMYFUNCTION("""COMPUTED_VALUE"""),9.0)</f>
        <v>9</v>
      </c>
      <c r="H55" s="10">
        <f>IFERROR(__xludf.DUMMYFUNCTION("""COMPUTED_VALUE"""),10.0)</f>
        <v>10</v>
      </c>
      <c r="I55" s="10">
        <f>IFERROR(__xludf.DUMMYFUNCTION("""COMPUTED_VALUE"""),0.0)</f>
        <v>0</v>
      </c>
      <c r="J55" s="10">
        <f>IFERROR(__xludf.DUMMYFUNCTION("""COMPUTED_VALUE"""),1935.0)</f>
        <v>1935</v>
      </c>
      <c r="K55" s="10" t="str">
        <f>IFERROR(__xludf.DUMMYFUNCTION("""COMPUTED_VALUE"""),"No")</f>
        <v>No</v>
      </c>
      <c r="L55" s="10" t="str">
        <f>IFERROR(__xludf.DUMMYFUNCTION("""COMPUTED_VALUE"""),"Hazrat mubarak ali ")</f>
        <v>Hazrat mubarak ali </v>
      </c>
      <c r="M55" s="10">
        <f>IFERROR(__xludf.DUMMYFUNCTION("""COMPUTED_VALUE"""),8.0)</f>
        <v>8</v>
      </c>
      <c r="N55" s="10" t="str">
        <f>IFERROR(__xludf.DUMMYFUNCTION("""COMPUTED_VALUE"""),"Yes")</f>
        <v>Yes</v>
      </c>
      <c r="O55" s="323">
        <f>IFERROR(__xludf.DUMMYFUNCTION("""COMPUTED_VALUE"""),0.5)</f>
        <v>0.5</v>
      </c>
      <c r="P55" s="10">
        <f>IFERROR(__xludf.DUMMYFUNCTION("""COMPUTED_VALUE"""),5.0)</f>
        <v>5</v>
      </c>
      <c r="Q55" s="10">
        <f>IFERROR(__xludf.DUMMYFUNCTION("""COMPUTED_VALUE"""),6.0)</f>
        <v>6</v>
      </c>
      <c r="R55" s="10">
        <f>IFERROR(__xludf.DUMMYFUNCTION("""COMPUTED_VALUE"""),5.0)</f>
        <v>5</v>
      </c>
      <c r="S55" s="10"/>
      <c r="T55" s="10" t="str">
        <f>IFERROR(__xludf.DUMMYFUNCTION("""COMPUTED_VALUE"""),"https://drive.google.com/open?id=1GsVAKqmJRaTtVa8UrgZCR8p6V_wwQJsi, https://drive.google.com/open?id=1IftolwWyrLw3hTZOVjJmU9qBTtPlIEEC")</f>
        <v>https://drive.google.com/open?id=1GsVAKqmJRaTtVa8UrgZCR8p6V_wwQJsi, https://drive.google.com/open?id=1IftolwWyrLw3hTZOVjJmU9qBTtPlIEEC</v>
      </c>
      <c r="U55" s="18" t="str">
        <f>IFERROR(__xludf.DUMMYFUNCTION("""COMPUTED_VALUE"""),"https://drive.google.com/open?id=1Ur-pf15KR3B_bClJXx1mHMcEos7tIbVd")</f>
        <v>https://drive.google.com/open?id=1Ur-pf15KR3B_bClJXx1mHMcEos7tIbVd</v>
      </c>
      <c r="V55" s="10" t="str">
        <f>IFERROR(__xludf.DUMMYFUNCTION("""COMPUTED_VALUE"""),"Nhi")</f>
        <v>Nhi</v>
      </c>
      <c r="W55" s="10"/>
      <c r="X55" s="10" t="str">
        <f>IFERROR(__xludf.DUMMYFUNCTION("""COMPUTED_VALUE"""),"Yes")</f>
        <v>Yes</v>
      </c>
      <c r="Y55" s="14" t="str">
        <f>IFERROR(__xludf.DUMMYFUNCTION("""COMPUTED_VALUE"""),"uetianhamza8@gmail.com")</f>
        <v>uetianhamza8@gmail.com</v>
      </c>
      <c r="AA55" s="325">
        <v>2.0</v>
      </c>
    </row>
    <row r="56" hidden="1">
      <c r="A56" s="9">
        <f>IFERROR(__xludf.DUMMYFUNCTION("""COMPUTED_VALUE"""),45765.31811795139)</f>
        <v>45765.31812</v>
      </c>
      <c r="B56" s="10" t="str">
        <f>IFERROR(__xludf.DUMMYFUNCTION("""COMPUTED_VALUE"""),"Muhammad Tahir ")</f>
        <v>Muhammad Tahir </v>
      </c>
      <c r="C56" s="10" t="str">
        <f>IFERROR(__xludf.DUMMYFUNCTION("""COMPUTED_VALUE"""),"0315-4165034 ")</f>
        <v>0315-4165034 </v>
      </c>
      <c r="D56" s="10" t="str">
        <f>IFERROR(__xludf.DUMMYFUNCTION("""COMPUTED_VALUE"""),"Jamia Masjid Kingrian wali Mozang")</f>
        <v>Jamia Masjid Kingrian wali Mozang</v>
      </c>
      <c r="E56" s="10" t="str">
        <f>IFERROR(__xludf.DUMMYFUNCTION("""COMPUTED_VALUE"""),"ekvzq")</f>
        <v>ekvzq</v>
      </c>
      <c r="F56" s="10">
        <f>IFERROR(__xludf.DUMMYFUNCTION("""COMPUTED_VALUE"""),150.0)</f>
        <v>150</v>
      </c>
      <c r="G56" s="10">
        <f>IFERROR(__xludf.DUMMYFUNCTION("""COMPUTED_VALUE"""),5.0)</f>
        <v>5</v>
      </c>
      <c r="H56" s="10">
        <f>IFERROR(__xludf.DUMMYFUNCTION("""COMPUTED_VALUE"""),5.0)</f>
        <v>5</v>
      </c>
      <c r="I56" s="10">
        <f>IFERROR(__xludf.DUMMYFUNCTION("""COMPUTED_VALUE"""),0.0)</f>
        <v>0</v>
      </c>
      <c r="J56" s="10">
        <f>IFERROR(__xludf.DUMMYFUNCTION("""COMPUTED_VALUE"""),1960.0)</f>
        <v>1960</v>
      </c>
      <c r="K56" s="10" t="str">
        <f>IFERROR(__xludf.DUMMYFUNCTION("""COMPUTED_VALUE"""),"No")</f>
        <v>No</v>
      </c>
      <c r="L56" s="10" t="str">
        <f>IFERROR(__xludf.DUMMYFUNCTION("""COMPUTED_VALUE"""),"Na")</f>
        <v>Na</v>
      </c>
      <c r="M56" s="10">
        <f>IFERROR(__xludf.DUMMYFUNCTION("""COMPUTED_VALUE"""),10.0)</f>
        <v>10</v>
      </c>
      <c r="N56" s="10" t="str">
        <f>IFERROR(__xludf.DUMMYFUNCTION("""COMPUTED_VALUE"""),"Yes")</f>
        <v>Yes</v>
      </c>
      <c r="O56" s="323">
        <f>IFERROR(__xludf.DUMMYFUNCTION("""COMPUTED_VALUE"""),1.0)</f>
        <v>1</v>
      </c>
      <c r="P56" s="10">
        <f>IFERROR(__xludf.DUMMYFUNCTION("""COMPUTED_VALUE"""),9.0)</f>
        <v>9</v>
      </c>
      <c r="Q56" s="10">
        <f>IFERROR(__xludf.DUMMYFUNCTION("""COMPUTED_VALUE"""),3.0)</f>
        <v>3</v>
      </c>
      <c r="R56" s="10">
        <f>IFERROR(__xludf.DUMMYFUNCTION("""COMPUTED_VALUE"""),9.0)</f>
        <v>9</v>
      </c>
      <c r="S56" s="18" t="str">
        <f>IFERROR(__xludf.DUMMYFUNCTION("""COMPUTED_VALUE"""),"https://drive.google.com/open?id=1Sx20HJD3ulbIKFxPjmy0VYTjn7DEU2oy")</f>
        <v>https://drive.google.com/open?id=1Sx20HJD3ulbIKFxPjmy0VYTjn7DEU2oy</v>
      </c>
      <c r="T56" s="18" t="str">
        <f>IFERROR(__xludf.DUMMYFUNCTION("""COMPUTED_VALUE"""),"https://drive.google.com/open?id=1uy6qDWU5appuycefutCYc43w_8FaxnGH")</f>
        <v>https://drive.google.com/open?id=1uy6qDWU5appuycefutCYc43w_8FaxnGH</v>
      </c>
      <c r="U56" s="18" t="str">
        <f>IFERROR(__xludf.DUMMYFUNCTION("""COMPUTED_VALUE"""),"https://drive.google.com/open?id=1s13hgqYE3w1sNIyBqZcw3y4YRuBwd5ls")</f>
        <v>https://drive.google.com/open?id=1s13hgqYE3w1sNIyBqZcw3y4YRuBwd5ls</v>
      </c>
      <c r="V56" s="10" t="str">
        <f>IFERROR(__xludf.DUMMYFUNCTION("""COMPUTED_VALUE"""),"NA")</f>
        <v>NA</v>
      </c>
      <c r="W56" s="10"/>
      <c r="X56" s="10" t="str">
        <f>IFERROR(__xludf.DUMMYFUNCTION("""COMPUTED_VALUE"""),"Yes")</f>
        <v>Yes</v>
      </c>
      <c r="Y56" s="14" t="str">
        <f>IFERROR(__xludf.DUMMYFUNCTION("""COMPUTED_VALUE"""),"tahirdaudi55@gmail.com")</f>
        <v>tahirdaudi55@gmail.com</v>
      </c>
      <c r="AA56" s="325">
        <v>2.0</v>
      </c>
    </row>
    <row r="57" hidden="1">
      <c r="A57" s="9">
        <f>IFERROR(__xludf.DUMMYFUNCTION("""COMPUTED_VALUE"""),45765.31900956019)</f>
        <v>45765.31901</v>
      </c>
      <c r="B57" s="10" t="str">
        <f>IFERROR(__xludf.DUMMYFUNCTION("""COMPUTED_VALUE"""),"Sajjad Hussain bhatti ")</f>
        <v>Sajjad Hussain bhatti </v>
      </c>
      <c r="C57" s="10" t="str">
        <f>IFERROR(__xludf.DUMMYFUNCTION("""COMPUTED_VALUE"""),"03008432760")</f>
        <v>03008432760</v>
      </c>
      <c r="D57" s="10" t="str">
        <f>IFERROR(__xludf.DUMMYFUNCTION("""COMPUTED_VALUE"""),"Jamia masjid syeda muridka")</f>
        <v>Jamia masjid syeda muridka</v>
      </c>
      <c r="E57" s="10" t="str">
        <f>IFERROR(__xludf.DUMMYFUNCTION("""COMPUTED_VALUE"""),"XBFUU")</f>
        <v>XBFUU</v>
      </c>
      <c r="F57" s="10">
        <f>IFERROR(__xludf.DUMMYFUNCTION("""COMPUTED_VALUE"""),370.0)</f>
        <v>370</v>
      </c>
      <c r="G57" s="10">
        <f>IFERROR(__xludf.DUMMYFUNCTION("""COMPUTED_VALUE"""),10.0)</f>
        <v>10</v>
      </c>
      <c r="H57" s="10">
        <f>IFERROR(__xludf.DUMMYFUNCTION("""COMPUTED_VALUE"""),10.0)</f>
        <v>10</v>
      </c>
      <c r="I57" s="10">
        <f>IFERROR(__xludf.DUMMYFUNCTION("""COMPUTED_VALUE"""),0.0)</f>
        <v>0</v>
      </c>
      <c r="J57" s="10">
        <f>IFERROR(__xludf.DUMMYFUNCTION("""COMPUTED_VALUE"""),1956.0)</f>
        <v>1956</v>
      </c>
      <c r="K57" s="10" t="str">
        <f>IFERROR(__xludf.DUMMYFUNCTION("""COMPUTED_VALUE"""),"No")</f>
        <v>No</v>
      </c>
      <c r="L57" s="10" t="str">
        <f>IFERROR(__xludf.DUMMYFUNCTION("""COMPUTED_VALUE"""),"No")</f>
        <v>No</v>
      </c>
      <c r="M57" s="10">
        <f>IFERROR(__xludf.DUMMYFUNCTION("""COMPUTED_VALUE"""),10.0)</f>
        <v>10</v>
      </c>
      <c r="N57" s="10" t="str">
        <f>IFERROR(__xludf.DUMMYFUNCTION("""COMPUTED_VALUE"""),"No")</f>
        <v>No</v>
      </c>
      <c r="O57" s="10"/>
      <c r="P57" s="10"/>
      <c r="Q57" s="10"/>
      <c r="R57" s="10"/>
      <c r="S57" s="18" t="str">
        <f>IFERROR(__xludf.DUMMYFUNCTION("""COMPUTED_VALUE"""),"https://drive.google.com/open?id=1OCdKsVx_dIhQijkUuiEDhX8ps_Q409Ki")</f>
        <v>https://drive.google.com/open?id=1OCdKsVx_dIhQijkUuiEDhX8ps_Q409Ki</v>
      </c>
      <c r="T57" s="18" t="str">
        <f>IFERROR(__xludf.DUMMYFUNCTION("""COMPUTED_VALUE"""),"https://drive.google.com/open?id=1yp0_ok3jsVtEj3qrtFoTWF_ctfMourq8")</f>
        <v>https://drive.google.com/open?id=1yp0_ok3jsVtEj3qrtFoTWF_ctfMourq8</v>
      </c>
      <c r="U57" s="18" t="str">
        <f>IFERROR(__xludf.DUMMYFUNCTION("""COMPUTED_VALUE"""),"https://drive.google.com/open?id=1ZHCraUjMGDwmuj1JCcxsBr0_aLMlJomS")</f>
        <v>https://drive.google.com/open?id=1ZHCraUjMGDwmuj1JCcxsBr0_aLMlJomS</v>
      </c>
      <c r="V57" s="10" t="str">
        <f>IFERROR(__xludf.DUMMYFUNCTION("""COMPUTED_VALUE"""),"No")</f>
        <v>No</v>
      </c>
      <c r="W57" s="10"/>
      <c r="X57" s="10"/>
      <c r="Y57" s="14" t="str">
        <f>IFERROR(__xludf.DUMMYFUNCTION("""COMPUTED_VALUE"""),"bsajjad124@gmail.com")</f>
        <v>bsajjad124@gmail.com</v>
      </c>
      <c r="AA57" s="325">
        <v>1.0</v>
      </c>
    </row>
    <row r="58" hidden="1">
      <c r="A58" s="9">
        <f>IFERROR(__xludf.DUMMYFUNCTION("""COMPUTED_VALUE"""),45765.325127268516)</f>
        <v>45765.32513</v>
      </c>
      <c r="B58" s="10" t="str">
        <f>IFERROR(__xludf.DUMMYFUNCTION("""COMPUTED_VALUE"""),"Noman ")</f>
        <v>Noman </v>
      </c>
      <c r="C58" s="10" t="str">
        <f>IFERROR(__xludf.DUMMYFUNCTION("""COMPUTED_VALUE"""),"321 7073342")</f>
        <v>321 7073342</v>
      </c>
      <c r="D58" s="10" t="str">
        <f>IFERROR(__xludf.DUMMYFUNCTION("""COMPUTED_VALUE"""),"Jamia Masjid Chowk Dalkara Lahore")</f>
        <v>Jamia Masjid Chowk Dalkara Lahore</v>
      </c>
      <c r="E58" s="10" t="str">
        <f>IFERROR(__xludf.DUMMYFUNCTION("""COMPUTED_VALUE"""),"wywfr")</f>
        <v>wywfr</v>
      </c>
      <c r="F58" s="10">
        <f>IFERROR(__xludf.DUMMYFUNCTION("""COMPUTED_VALUE"""),280.0)</f>
        <v>280</v>
      </c>
      <c r="G58" s="10">
        <f>IFERROR(__xludf.DUMMYFUNCTION("""COMPUTED_VALUE"""),8.0)</f>
        <v>8</v>
      </c>
      <c r="H58" s="10">
        <f>IFERROR(__xludf.DUMMYFUNCTION("""COMPUTED_VALUE"""),7.0)</f>
        <v>7</v>
      </c>
      <c r="I58" s="10">
        <f>IFERROR(__xludf.DUMMYFUNCTION("""COMPUTED_VALUE"""),0.0)</f>
        <v>0</v>
      </c>
      <c r="J58" s="10">
        <f>IFERROR(__xludf.DUMMYFUNCTION("""COMPUTED_VALUE"""),1960.0)</f>
        <v>1960</v>
      </c>
      <c r="K58" s="10" t="str">
        <f>IFERROR(__xludf.DUMMYFUNCTION("""COMPUTED_VALUE"""),"No")</f>
        <v>No</v>
      </c>
      <c r="L58" s="10" t="str">
        <f>IFERROR(__xludf.DUMMYFUNCTION("""COMPUTED_VALUE"""),"Nhi ")</f>
        <v>Nhi </v>
      </c>
      <c r="M58" s="10">
        <f>IFERROR(__xludf.DUMMYFUNCTION("""COMPUTED_VALUE"""),7.0)</f>
        <v>7</v>
      </c>
      <c r="N58" s="10" t="str">
        <f>IFERROR(__xludf.DUMMYFUNCTION("""COMPUTED_VALUE"""),"Yes")</f>
        <v>Yes</v>
      </c>
      <c r="O58" s="323">
        <f>IFERROR(__xludf.DUMMYFUNCTION("""COMPUTED_VALUE"""),0.2)</f>
        <v>0.2</v>
      </c>
      <c r="P58" s="10">
        <f>IFERROR(__xludf.DUMMYFUNCTION("""COMPUTED_VALUE"""),2.0)</f>
        <v>2</v>
      </c>
      <c r="Q58" s="10">
        <f>IFERROR(__xludf.DUMMYFUNCTION("""COMPUTED_VALUE"""),9.0)</f>
        <v>9</v>
      </c>
      <c r="R58" s="10">
        <f>IFERROR(__xludf.DUMMYFUNCTION("""COMPUTED_VALUE"""),2.0)</f>
        <v>2</v>
      </c>
      <c r="S58" s="10" t="str">
        <f>IFERROR(__xludf.DUMMYFUNCTION("""COMPUTED_VALUE"""),"https://drive.google.com/open?id=1xhUtL7GAbNHO-1bH45jTr6DPyXHMgYH-, https://drive.google.com/open?id=1axP5S500RAZw_bqdtIE9ohLUURzvBo1N")</f>
        <v>https://drive.google.com/open?id=1xhUtL7GAbNHO-1bH45jTr6DPyXHMgYH-, https://drive.google.com/open?id=1axP5S500RAZw_bqdtIE9ohLUURzvBo1N</v>
      </c>
      <c r="T58" s="10" t="str">
        <f>IFERROR(__xludf.DUMMYFUNCTION("""COMPUTED_VALUE"""),"https://drive.google.com/open?id=1bk31WWvsn6Xj1Tge0CxvyKvV_iO4tWSy, https://drive.google.com/open?id=1mgzQp9lnNhaLrpZ88KKnaNo4Sd9a_fSy, https://drive.google.com/open?id=1v3ogiv-DHRoGUFbJC1Z5GmFSwKfwpbIN, https://drive.google.com/open?id=1K76BzSJNGZGTD5Fd0"&amp;"7hJ82lQfwv2sbLV")</f>
        <v>https://drive.google.com/open?id=1bk31WWvsn6Xj1Tge0CxvyKvV_iO4tWSy, https://drive.google.com/open?id=1mgzQp9lnNhaLrpZ88KKnaNo4Sd9a_fSy, https://drive.google.com/open?id=1v3ogiv-DHRoGUFbJC1Z5GmFSwKfwpbIN, https://drive.google.com/open?id=1K76BzSJNGZGTD5Fd07hJ82lQfwv2sbLV</v>
      </c>
      <c r="U58" s="18" t="str">
        <f>IFERROR(__xludf.DUMMYFUNCTION("""COMPUTED_VALUE"""),"https://drive.google.com/open?id=1UrzgFv_fjkkDkuA04F0kBPlldeIKh-qV")</f>
        <v>https://drive.google.com/open?id=1UrzgFv_fjkkDkuA04F0kBPlldeIKh-qV</v>
      </c>
      <c r="V58" s="10"/>
      <c r="W58" s="10"/>
      <c r="X58" s="10" t="str">
        <f>IFERROR(__xludf.DUMMYFUNCTION("""COMPUTED_VALUE"""),"Yes")</f>
        <v>Yes</v>
      </c>
      <c r="Y58" s="14" t="str">
        <f>IFERROR(__xludf.DUMMYFUNCTION("""COMPUTED_VALUE"""),"dealbig380@gmail.com")</f>
        <v>dealbig380@gmail.com</v>
      </c>
      <c r="AA58" s="325">
        <v>2.0</v>
      </c>
    </row>
    <row r="59" hidden="1">
      <c r="A59" s="9">
        <f>IFERROR(__xludf.DUMMYFUNCTION("""COMPUTED_VALUE"""),45765.32821920139)</f>
        <v>45765.32822</v>
      </c>
      <c r="B59" s="10" t="str">
        <f>IFERROR(__xludf.DUMMYFUNCTION("""COMPUTED_VALUE"""),"Jamshaid Ali")</f>
        <v>Jamshaid Ali</v>
      </c>
      <c r="C59" s="10" t="str">
        <f>IFERROR(__xludf.DUMMYFUNCTION("""COMPUTED_VALUE"""),"03344036442")</f>
        <v>03344036442</v>
      </c>
      <c r="D59" s="10" t="str">
        <f>IFERROR(__xludf.DUMMYFUNCTION("""COMPUTED_VALUE"""),"Jamia Masjid Auqaf wali session court kachary  sheikhupura")</f>
        <v>Jamia Masjid Auqaf wali session court kachary  sheikhupura</v>
      </c>
      <c r="E59" s="10" t="str">
        <f>IFERROR(__xludf.DUMMYFUNCTION("""COMPUTED_VALUE"""),"DSZHX")</f>
        <v>DSZHX</v>
      </c>
      <c r="F59" s="10">
        <f>IFERROR(__xludf.DUMMYFUNCTION("""COMPUTED_VALUE"""),83.0)</f>
        <v>83</v>
      </c>
      <c r="G59" s="10">
        <f>IFERROR(__xludf.DUMMYFUNCTION("""COMPUTED_VALUE"""),10.0)</f>
        <v>10</v>
      </c>
      <c r="H59" s="10">
        <f>IFERROR(__xludf.DUMMYFUNCTION("""COMPUTED_VALUE"""),9.0)</f>
        <v>9</v>
      </c>
      <c r="I59" s="10">
        <f>IFERROR(__xludf.DUMMYFUNCTION("""COMPUTED_VALUE"""),0.0)</f>
        <v>0</v>
      </c>
      <c r="J59" s="10">
        <f>IFERROR(__xludf.DUMMYFUNCTION("""COMPUTED_VALUE"""),1948.0)</f>
        <v>1948</v>
      </c>
      <c r="K59" s="10" t="str">
        <f>IFERROR(__xludf.DUMMYFUNCTION("""COMPUTED_VALUE"""),"No")</f>
        <v>No</v>
      </c>
      <c r="L59" s="10" t="str">
        <f>IFERROR(__xludf.DUMMYFUNCTION("""COMPUTED_VALUE"""),"No")</f>
        <v>No</v>
      </c>
      <c r="M59" s="10">
        <f>IFERROR(__xludf.DUMMYFUNCTION("""COMPUTED_VALUE"""),8.0)</f>
        <v>8</v>
      </c>
      <c r="N59" s="10" t="str">
        <f>IFERROR(__xludf.DUMMYFUNCTION("""COMPUTED_VALUE"""),"No")</f>
        <v>No</v>
      </c>
      <c r="O59" s="10"/>
      <c r="P59" s="10"/>
      <c r="Q59" s="10"/>
      <c r="R59" s="10"/>
      <c r="S59" s="18" t="str">
        <f>IFERROR(__xludf.DUMMYFUNCTION("""COMPUTED_VALUE"""),"https://drive.google.com/open?id=18sTxYVoR2V_j87J91eWm1SoIz2uWSX-l")</f>
        <v>https://drive.google.com/open?id=18sTxYVoR2V_j87J91eWm1SoIz2uWSX-l</v>
      </c>
      <c r="T59" s="18" t="str">
        <f>IFERROR(__xludf.DUMMYFUNCTION("""COMPUTED_VALUE"""),"https://drive.google.com/open?id=1OLhB5AqkNJ_F9DTHXjQ6LrhjLARsgOUB")</f>
        <v>https://drive.google.com/open?id=1OLhB5AqkNJ_F9DTHXjQ6LrhjLARsgOUB</v>
      </c>
      <c r="U59" s="18" t="str">
        <f>IFERROR(__xludf.DUMMYFUNCTION("""COMPUTED_VALUE"""),"https://drive.google.com/open?id=1xwdh5pNpDoVwgL7MO2FUx3Psuo80DdSx")</f>
        <v>https://drive.google.com/open?id=1xwdh5pNpDoVwgL7MO2FUx3Psuo80DdSx</v>
      </c>
      <c r="V59" s="10"/>
      <c r="W59" s="10"/>
      <c r="X59" s="10"/>
      <c r="Y59" s="14" t="str">
        <f>IFERROR(__xludf.DUMMYFUNCTION("""COMPUTED_VALUE"""),"jamsheed.ali8888@gmail.com")</f>
        <v>jamsheed.ali8888@gmail.com</v>
      </c>
      <c r="AA59" s="325">
        <v>1.0</v>
      </c>
    </row>
    <row r="60" hidden="1">
      <c r="A60" s="10"/>
      <c r="B60" s="10" t="str">
        <f>IFERROR(__xludf.DUMMYFUNCTION("""COMPUTED_VALUE"""),"Akhtar ")</f>
        <v>Akhtar </v>
      </c>
      <c r="C60" s="10" t="str">
        <f>IFERROR(__xludf.DUMMYFUNCTION("""COMPUTED_VALUE"""),"03315942731")</f>
        <v>03315942731</v>
      </c>
      <c r="D60" s="10" t="str">
        <f>IFERROR(__xludf.DUMMYFUNCTION("""COMPUTED_VALUE"""),"Jamia Masjid Esha Shahab lahore ")</f>
        <v>Jamia Masjid Esha Shahab lahore </v>
      </c>
      <c r="E60" s="10" t="str">
        <f>IFERROR(__xludf.DUMMYFUNCTION("""COMPUTED_VALUE"""),"zhcjl	")</f>
        <v>zhcjl	</v>
      </c>
      <c r="F60" s="10">
        <f>IFERROR(__xludf.DUMMYFUNCTION("""COMPUTED_VALUE"""),350.0)</f>
        <v>350</v>
      </c>
      <c r="G60" s="10">
        <f>IFERROR(__xludf.DUMMYFUNCTION("""COMPUTED_VALUE"""),8.0)</f>
        <v>8</v>
      </c>
      <c r="H60" s="10">
        <f>IFERROR(__xludf.DUMMYFUNCTION("""COMPUTED_VALUE"""),7.0)</f>
        <v>7</v>
      </c>
      <c r="I60" s="10">
        <f>IFERROR(__xludf.DUMMYFUNCTION("""COMPUTED_VALUE"""),0.0)</f>
        <v>0</v>
      </c>
      <c r="J60" s="10">
        <f>IFERROR(__xludf.DUMMYFUNCTION("""COMPUTED_VALUE"""),1927.0)</f>
        <v>1927</v>
      </c>
      <c r="K60" s="10" t="str">
        <f>IFERROR(__xludf.DUMMYFUNCTION("""COMPUTED_VALUE"""),"No")</f>
        <v>No</v>
      </c>
      <c r="L60" s="10" t="str">
        <f>IFERROR(__xludf.DUMMYFUNCTION("""COMPUTED_VALUE"""),"Hazrat esha sahab ")</f>
        <v>Hazrat esha sahab </v>
      </c>
      <c r="M60" s="10">
        <f>IFERROR(__xludf.DUMMYFUNCTION("""COMPUTED_VALUE"""),9.0)</f>
        <v>9</v>
      </c>
      <c r="N60" s="10" t="str">
        <f>IFERROR(__xludf.DUMMYFUNCTION("""COMPUTED_VALUE"""),"Yes")</f>
        <v>Yes</v>
      </c>
      <c r="O60" s="323">
        <f>IFERROR(__xludf.DUMMYFUNCTION("""COMPUTED_VALUE"""),0.6)</f>
        <v>0.6</v>
      </c>
      <c r="P60" s="10">
        <f>IFERROR(__xludf.DUMMYFUNCTION("""COMPUTED_VALUE"""),6.0)</f>
        <v>6</v>
      </c>
      <c r="Q60" s="10">
        <f>IFERROR(__xludf.DUMMYFUNCTION("""COMPUTED_VALUE"""),7.0)</f>
        <v>7</v>
      </c>
      <c r="R60" s="10">
        <f>IFERROR(__xludf.DUMMYFUNCTION("""COMPUTED_VALUE"""),5.0)</f>
        <v>5</v>
      </c>
      <c r="S60" s="10" t="str">
        <f>IFERROR(__xludf.DUMMYFUNCTION("""COMPUTED_VALUE"""),"https://drive.google.com/open?id=10C_WH_Edm4rENpjFs9FY-QCMWvtrO5r7, https://drive.google.com/open?id=136Umvlck4H11OEz9C-n_9Qdb3QQkLunH, https://drive.google.com/open?id=1en2Ek-6ldImW0GhIc0hV6J0Zbfz4xIqK, https://drive.google.com/open?id=1TtasxhGzcf85AcYgV"&amp;"aRJiXVe7-Zrstzv")</f>
        <v>https://drive.google.com/open?id=10C_WH_Edm4rENpjFs9FY-QCMWvtrO5r7, https://drive.google.com/open?id=136Umvlck4H11OEz9C-n_9Qdb3QQkLunH, https://drive.google.com/open?id=1en2Ek-6ldImW0GhIc0hV6J0Zbfz4xIqK, https://drive.google.com/open?id=1TtasxhGzcf85AcYgVaRJiXVe7-Zrstzv</v>
      </c>
      <c r="T60" s="10" t="str">
        <f>IFERROR(__xludf.DUMMYFUNCTION("""COMPUTED_VALUE"""),"https://drive.google.com/open?id=1JkC99B2V22vuANR8ZQq7SEWPFJNZVJcG, https://drive.google.com/open?id=1q6PHOYegMgcsNNEX6MLZl6Og1fHppPLQ, https://drive.google.com/open?id=1Zvop0ifEyM5mw8-VdU-KxjfinKkpwjoq, https://drive.google.com/open?id=1QNfKXflJZXd6Zf9tH"&amp;"IwyW5RMx2MU6BhO, https://drive.google.com/open?id=13ChjqumpurFB3MZvSLXWb_Ez5JD9dmE6")</f>
        <v>https://drive.google.com/open?id=1JkC99B2V22vuANR8ZQq7SEWPFJNZVJcG, https://drive.google.com/open?id=1q6PHOYegMgcsNNEX6MLZl6Og1fHppPLQ, https://drive.google.com/open?id=1Zvop0ifEyM5mw8-VdU-KxjfinKkpwjoq, https://drive.google.com/open?id=1QNfKXflJZXd6Zf9tHIwyW5RMx2MU6BhO, https://drive.google.com/open?id=13ChjqumpurFB3MZvSLXWb_Ez5JD9dmE6</v>
      </c>
      <c r="U60" s="18" t="str">
        <f>IFERROR(__xludf.DUMMYFUNCTION("""COMPUTED_VALUE"""),"https://drive.google.com/open?id=1mEJ51F4C0fh2D0JdwZp-eVEAmTOMss5F")</f>
        <v>https://drive.google.com/open?id=1mEJ51F4C0fh2D0JdwZp-eVEAmTOMss5F</v>
      </c>
      <c r="V60" s="10"/>
      <c r="W60" s="10"/>
      <c r="X60" s="10" t="str">
        <f>IFERROR(__xludf.DUMMYFUNCTION("""COMPUTED_VALUE"""),"Yes")</f>
        <v>Yes</v>
      </c>
      <c r="Y60" s="14" t="str">
        <f>IFERROR(__xludf.DUMMYFUNCTION("""COMPUTED_VALUE"""),"dealbig380@gmail.comd")</f>
        <v>dealbig380@gmail.comd</v>
      </c>
      <c r="AA60" s="325">
        <v>2.0</v>
      </c>
    </row>
    <row r="61" hidden="1">
      <c r="A61" s="9">
        <f>IFERROR(__xludf.DUMMYFUNCTION("""COMPUTED_VALUE"""),45765.34146784722)</f>
        <v>45765.34147</v>
      </c>
      <c r="B61" s="10" t="str">
        <f>IFERROR(__xludf.DUMMYFUNCTION("""COMPUTED_VALUE"""),"Bilal ")</f>
        <v>Bilal </v>
      </c>
      <c r="C61" s="10" t="str">
        <f>IFERROR(__xludf.DUMMYFUNCTION("""COMPUTED_VALUE"""),"+92 317 4582961")</f>
        <v>+92 317 4582961</v>
      </c>
      <c r="D61" s="10" t="str">
        <f>IFERROR(__xludf.DUMMYFUNCTION("""COMPUTED_VALUE"""),"	Jamia Masjid Takiya Peer Hassan Shah Wali Lahore	")</f>
        <v>	Jamia Masjid Takiya Peer Hassan Shah Wali Lahore	</v>
      </c>
      <c r="E61" s="10" t="str">
        <f>IFERROR(__xludf.DUMMYFUNCTION("""COMPUTED_VALUE"""),"buvya")</f>
        <v>buvya</v>
      </c>
      <c r="F61" s="10">
        <f>IFERROR(__xludf.DUMMYFUNCTION("""COMPUTED_VALUE"""),130.0)</f>
        <v>130</v>
      </c>
      <c r="G61" s="10">
        <f>IFERROR(__xludf.DUMMYFUNCTION("""COMPUTED_VALUE"""),8.0)</f>
        <v>8</v>
      </c>
      <c r="H61" s="10">
        <f>IFERROR(__xludf.DUMMYFUNCTION("""COMPUTED_VALUE"""),7.0)</f>
        <v>7</v>
      </c>
      <c r="I61" s="10">
        <f>IFERROR(__xludf.DUMMYFUNCTION("""COMPUTED_VALUE"""),1.0)</f>
        <v>1</v>
      </c>
      <c r="J61" s="10">
        <f>IFERROR(__xludf.DUMMYFUNCTION("""COMPUTED_VALUE"""),1935.0)</f>
        <v>1935</v>
      </c>
      <c r="K61" s="10" t="str">
        <f>IFERROR(__xludf.DUMMYFUNCTION("""COMPUTED_VALUE"""),"No")</f>
        <v>No</v>
      </c>
      <c r="L61" s="10" t="str">
        <f>IFERROR(__xludf.DUMMYFUNCTION("""COMPUTED_VALUE"""),"Peer takiya hassan shah wali .")</f>
        <v>Peer takiya hassan shah wali .</v>
      </c>
      <c r="M61" s="10">
        <f>IFERROR(__xludf.DUMMYFUNCTION("""COMPUTED_VALUE"""),7.0)</f>
        <v>7</v>
      </c>
      <c r="N61" s="10" t="str">
        <f>IFERROR(__xludf.DUMMYFUNCTION("""COMPUTED_VALUE"""),"Yes")</f>
        <v>Yes</v>
      </c>
      <c r="O61" s="323">
        <f>IFERROR(__xludf.DUMMYFUNCTION("""COMPUTED_VALUE"""),0.8)</f>
        <v>0.8</v>
      </c>
      <c r="P61" s="10">
        <f>IFERROR(__xludf.DUMMYFUNCTION("""COMPUTED_VALUE"""),7.0)</f>
        <v>7</v>
      </c>
      <c r="Q61" s="10">
        <f>IFERROR(__xludf.DUMMYFUNCTION("""COMPUTED_VALUE"""),4.0)</f>
        <v>4</v>
      </c>
      <c r="R61" s="10">
        <f>IFERROR(__xludf.DUMMYFUNCTION("""COMPUTED_VALUE"""),6.0)</f>
        <v>6</v>
      </c>
      <c r="S61" s="10" t="str">
        <f>IFERROR(__xludf.DUMMYFUNCTION("""COMPUTED_VALUE"""),"https://drive.google.com/open?id=1_lanbRORj8MOVsb6DB-ZZJQ7f_6yg8Y1, https://drive.google.com/open?id=17Sja-7dSl7QP8IFbU20cT71Zba2ikK5R")</f>
        <v>https://drive.google.com/open?id=1_lanbRORj8MOVsb6DB-ZZJQ7f_6yg8Y1, https://drive.google.com/open?id=17Sja-7dSl7QP8IFbU20cT71Zba2ikK5R</v>
      </c>
      <c r="T61" s="10" t="str">
        <f>IFERROR(__xludf.DUMMYFUNCTION("""COMPUTED_VALUE"""),"https://drive.google.com/open?id=1w-IT0ATCeWUFe60tvPBkXaPMeJHhMwRF, https://drive.google.com/open?id=13rc3RUlW19xQYyONOY6FJFiyHqXxn3mE")</f>
        <v>https://drive.google.com/open?id=1w-IT0ATCeWUFe60tvPBkXaPMeJHhMwRF, https://drive.google.com/open?id=13rc3RUlW19xQYyONOY6FJFiyHqXxn3mE</v>
      </c>
      <c r="U61" s="18" t="str">
        <f>IFERROR(__xludf.DUMMYFUNCTION("""COMPUTED_VALUE"""),"https://drive.google.com/open?id=1kebdCI1z2x3Hg-hFHkRIwU9ARDmzSC7f")</f>
        <v>https://drive.google.com/open?id=1kebdCI1z2x3Hg-hFHkRIwU9ARDmzSC7f</v>
      </c>
      <c r="V61" s="10"/>
      <c r="W61" s="10"/>
      <c r="X61" s="10" t="str">
        <f>IFERROR(__xludf.DUMMYFUNCTION("""COMPUTED_VALUE"""),"Yes")</f>
        <v>Yes</v>
      </c>
      <c r="Y61" s="14" t="str">
        <f>IFERROR(__xludf.DUMMYFUNCTION("""COMPUTED_VALUE"""),"dealbig380@gmail.com")</f>
        <v>dealbig380@gmail.com</v>
      </c>
      <c r="AA61" s="325">
        <v>2.0</v>
      </c>
    </row>
    <row r="62" hidden="1">
      <c r="A62" s="9">
        <f>IFERROR(__xludf.DUMMYFUNCTION("""COMPUTED_VALUE"""),45765.34164532408)</f>
        <v>45765.34165</v>
      </c>
      <c r="B62" s="10" t="str">
        <f>IFERROR(__xludf.DUMMYFUNCTION("""COMPUTED_VALUE"""),"Adnan")</f>
        <v>Adnan</v>
      </c>
      <c r="C62" s="10" t="str">
        <f>IFERROR(__xludf.DUMMYFUNCTION("""COMPUTED_VALUE"""),"03099323116")</f>
        <v>03099323116</v>
      </c>
      <c r="D62" s="10" t="str">
        <f>IFERROR(__xludf.DUMMYFUNCTION("""COMPUTED_VALUE"""),"Jamia masjid abubakar sadeeq jaloo moor")</f>
        <v>Jamia masjid abubakar sadeeq jaloo moor</v>
      </c>
      <c r="E62" s="10" t="str">
        <f>IFERROR(__xludf.DUMMYFUNCTION("""COMPUTED_VALUE"""),"gqomo")</f>
        <v>gqomo</v>
      </c>
      <c r="F62" s="10">
        <f>IFERROR(__xludf.DUMMYFUNCTION("""COMPUTED_VALUE"""),220.0)</f>
        <v>220</v>
      </c>
      <c r="G62" s="10">
        <f>IFERROR(__xludf.DUMMYFUNCTION("""COMPUTED_VALUE"""),9.0)</f>
        <v>9</v>
      </c>
      <c r="H62" s="10">
        <f>IFERROR(__xludf.DUMMYFUNCTION("""COMPUTED_VALUE"""),9.0)</f>
        <v>9</v>
      </c>
      <c r="I62" s="10">
        <f>IFERROR(__xludf.DUMMYFUNCTION("""COMPUTED_VALUE"""),0.0)</f>
        <v>0</v>
      </c>
      <c r="J62" s="10">
        <f>IFERROR(__xludf.DUMMYFUNCTION("""COMPUTED_VALUE"""),1985.0)</f>
        <v>1985</v>
      </c>
      <c r="K62" s="10" t="str">
        <f>IFERROR(__xludf.DUMMYFUNCTION("""COMPUTED_VALUE"""),"No")</f>
        <v>No</v>
      </c>
      <c r="L62" s="10" t="str">
        <f>IFERROR(__xludf.DUMMYFUNCTION("""COMPUTED_VALUE"""),"No")</f>
        <v>No</v>
      </c>
      <c r="M62" s="10">
        <f>IFERROR(__xludf.DUMMYFUNCTION("""COMPUTED_VALUE"""),7.0)</f>
        <v>7</v>
      </c>
      <c r="N62" s="10" t="str">
        <f>IFERROR(__xludf.DUMMYFUNCTION("""COMPUTED_VALUE"""),"Yes")</f>
        <v>Yes</v>
      </c>
      <c r="O62" s="323">
        <f>IFERROR(__xludf.DUMMYFUNCTION("""COMPUTED_VALUE"""),1.0)</f>
        <v>1</v>
      </c>
      <c r="P62" s="10">
        <f>IFERROR(__xludf.DUMMYFUNCTION("""COMPUTED_VALUE"""),10.0)</f>
        <v>10</v>
      </c>
      <c r="Q62" s="10">
        <f>IFERROR(__xludf.DUMMYFUNCTION("""COMPUTED_VALUE"""),1.0)</f>
        <v>1</v>
      </c>
      <c r="R62" s="10">
        <f>IFERROR(__xludf.DUMMYFUNCTION("""COMPUTED_VALUE"""),10.0)</f>
        <v>10</v>
      </c>
      <c r="S62" s="18" t="str">
        <f>IFERROR(__xludf.DUMMYFUNCTION("""COMPUTED_VALUE"""),"https://drive.google.com/open?id=1HOqPI4TrRfTx7ZphHbaECUc79yWRz_SP")</f>
        <v>https://drive.google.com/open?id=1HOqPI4TrRfTx7ZphHbaECUc79yWRz_SP</v>
      </c>
      <c r="T62" s="18" t="str">
        <f>IFERROR(__xludf.DUMMYFUNCTION("""COMPUTED_VALUE"""),"https://drive.google.com/open?id=1HswrlGFqWeLiPMps-6-fDEWzCnf6L5Z_")</f>
        <v>https://drive.google.com/open?id=1HswrlGFqWeLiPMps-6-fDEWzCnf6L5Z_</v>
      </c>
      <c r="U62" s="18" t="str">
        <f>IFERROR(__xludf.DUMMYFUNCTION("""COMPUTED_VALUE"""),"https://drive.google.com/open?id=1P063TMlPFMvsBsQPB7rBBz3M4YD55DPU")</f>
        <v>https://drive.google.com/open?id=1P063TMlPFMvsBsQPB7rBBz3M4YD55DPU</v>
      </c>
      <c r="V62" s="10"/>
      <c r="W62" s="10"/>
      <c r="X62" s="10" t="str">
        <f>IFERROR(__xludf.DUMMYFUNCTION("""COMPUTED_VALUE"""),"Yes")</f>
        <v>Yes</v>
      </c>
      <c r="Y62" s="14" t="str">
        <f>IFERROR(__xludf.DUMMYFUNCTION("""COMPUTED_VALUE"""),"aadnananwar123@gmail.com")</f>
        <v>aadnananwar123@gmail.com</v>
      </c>
      <c r="AA62" s="325">
        <v>2.0</v>
      </c>
    </row>
    <row r="63" hidden="1">
      <c r="A63" s="9">
        <f>IFERROR(__xludf.DUMMYFUNCTION("""COMPUTED_VALUE"""),45765.36696467592)</f>
        <v>45765.36696</v>
      </c>
      <c r="B63" s="10" t="str">
        <f>IFERROR(__xludf.DUMMYFUNCTION("""COMPUTED_VALUE"""),"Shamas")</f>
        <v>Shamas</v>
      </c>
      <c r="C63" s="10" t="str">
        <f>IFERROR(__xludf.DUMMYFUNCTION("""COMPUTED_VALUE"""),"03438080093")</f>
        <v>03438080093</v>
      </c>
      <c r="D63" s="10" t="str">
        <f>IFERROR(__xludf.DUMMYFUNCTION("""COMPUTED_VALUE"""),"Jamia Masjid Hanfiya Muslim gunj kahchu Pura ")</f>
        <v>Jamia Masjid Hanfiya Muslim gunj kahchu Pura </v>
      </c>
      <c r="E63" s="10" t="str">
        <f>IFERROR(__xludf.DUMMYFUNCTION("""COMPUTED_VALUE"""),"Ogwwf")</f>
        <v>Ogwwf</v>
      </c>
      <c r="F63" s="10">
        <f>IFERROR(__xludf.DUMMYFUNCTION("""COMPUTED_VALUE"""),120.0)</f>
        <v>120</v>
      </c>
      <c r="G63" s="10">
        <f>IFERROR(__xludf.DUMMYFUNCTION("""COMPUTED_VALUE"""),9.0)</f>
        <v>9</v>
      </c>
      <c r="H63" s="10">
        <f>IFERROR(__xludf.DUMMYFUNCTION("""COMPUTED_VALUE"""),8.0)</f>
        <v>8</v>
      </c>
      <c r="I63" s="10">
        <f>IFERROR(__xludf.DUMMYFUNCTION("""COMPUTED_VALUE"""),0.0)</f>
        <v>0</v>
      </c>
      <c r="J63" s="10">
        <f>IFERROR(__xludf.DUMMYFUNCTION("""COMPUTED_VALUE"""),1940.0)</f>
        <v>1940</v>
      </c>
      <c r="K63" s="10" t="str">
        <f>IFERROR(__xludf.DUMMYFUNCTION("""COMPUTED_VALUE"""),"No")</f>
        <v>No</v>
      </c>
      <c r="L63" s="10" t="str">
        <f>IFERROR(__xludf.DUMMYFUNCTION("""COMPUTED_VALUE"""),"No")</f>
        <v>No</v>
      </c>
      <c r="M63" s="10">
        <f>IFERROR(__xludf.DUMMYFUNCTION("""COMPUTED_VALUE"""),9.0)</f>
        <v>9</v>
      </c>
      <c r="N63" s="10" t="str">
        <f>IFERROR(__xludf.DUMMYFUNCTION("""COMPUTED_VALUE"""),"Yes")</f>
        <v>Yes</v>
      </c>
      <c r="O63" s="323">
        <f>IFERROR(__xludf.DUMMYFUNCTION("""COMPUTED_VALUE"""),0.9)</f>
        <v>0.9</v>
      </c>
      <c r="P63" s="10">
        <f>IFERROR(__xludf.DUMMYFUNCTION("""COMPUTED_VALUE"""),9.0)</f>
        <v>9</v>
      </c>
      <c r="Q63" s="10">
        <f>IFERROR(__xludf.DUMMYFUNCTION("""COMPUTED_VALUE"""),1.0)</f>
        <v>1</v>
      </c>
      <c r="R63" s="10">
        <f>IFERROR(__xludf.DUMMYFUNCTION("""COMPUTED_VALUE"""),9.0)</f>
        <v>9</v>
      </c>
      <c r="S63" s="18" t="str">
        <f>IFERROR(__xludf.DUMMYFUNCTION("""COMPUTED_VALUE"""),"https://drive.google.com/open?id=1qCAevKKd17kKKT8mpeDbYjt9CFHF3pYh")</f>
        <v>https://drive.google.com/open?id=1qCAevKKd17kKKT8mpeDbYjt9CFHF3pYh</v>
      </c>
      <c r="T63" s="18" t="str">
        <f>IFERROR(__xludf.DUMMYFUNCTION("""COMPUTED_VALUE"""),"https://drive.google.com/open?id=1IjiM5uPqvZOJrJP_7H8uc-35WiJVyPka")</f>
        <v>https://drive.google.com/open?id=1IjiM5uPqvZOJrJP_7H8uc-35WiJVyPka</v>
      </c>
      <c r="U63" s="18" t="str">
        <f>IFERROR(__xludf.DUMMYFUNCTION("""COMPUTED_VALUE"""),"https://drive.google.com/open?id=1TC2WjqZKV9lBde8amtMEmAd7EvG31gsq")</f>
        <v>https://drive.google.com/open?id=1TC2WjqZKV9lBde8amtMEmAd7EvG31gsq</v>
      </c>
      <c r="V63" s="10"/>
      <c r="W63" s="10"/>
      <c r="X63" s="10" t="str">
        <f>IFERROR(__xludf.DUMMYFUNCTION("""COMPUTED_VALUE"""),"Yes")</f>
        <v>Yes</v>
      </c>
      <c r="Y63" s="14" t="str">
        <f>IFERROR(__xludf.DUMMYFUNCTION("""COMPUTED_VALUE"""),"haris.cerp@gmail.com")</f>
        <v>haris.cerp@gmail.com</v>
      </c>
      <c r="AA63" s="325">
        <v>2.0</v>
      </c>
    </row>
    <row r="64" hidden="1">
      <c r="A64" s="9">
        <f>IFERROR(__xludf.DUMMYFUNCTION("""COMPUTED_VALUE"""),45765.37154917824)</f>
        <v>45765.37155</v>
      </c>
      <c r="B64" s="10" t="str">
        <f>IFERROR(__xludf.DUMMYFUNCTION("""COMPUTED_VALUE"""),"Sheri")</f>
        <v>Sheri</v>
      </c>
      <c r="C64" s="10" t="str">
        <f>IFERROR(__xludf.DUMMYFUNCTION("""COMPUTED_VALUE"""),"03438080093")</f>
        <v>03438080093</v>
      </c>
      <c r="D64" s="10" t="str">
        <f>IFERROR(__xludf.DUMMYFUNCTION("""COMPUTED_VALUE"""),"Jamia Masjid Ismail Shah Bhukari ")</f>
        <v>Jamia Masjid Ismail Shah Bhukari </v>
      </c>
      <c r="E64" s="10" t="str">
        <f>IFERROR(__xludf.DUMMYFUNCTION("""COMPUTED_VALUE"""),"fevmy")</f>
        <v>fevmy</v>
      </c>
      <c r="F64" s="10">
        <f>IFERROR(__xludf.DUMMYFUNCTION("""COMPUTED_VALUE"""),230.0)</f>
        <v>230</v>
      </c>
      <c r="G64" s="10">
        <f>IFERROR(__xludf.DUMMYFUNCTION("""COMPUTED_VALUE"""),8.0)</f>
        <v>8</v>
      </c>
      <c r="H64" s="10">
        <f>IFERROR(__xludf.DUMMYFUNCTION("""COMPUTED_VALUE"""),7.0)</f>
        <v>7</v>
      </c>
      <c r="I64" s="10">
        <f>IFERROR(__xludf.DUMMYFUNCTION("""COMPUTED_VALUE"""),1.0)</f>
        <v>1</v>
      </c>
      <c r="J64" s="10" t="str">
        <f>IFERROR(__xludf.DUMMYFUNCTION("""COMPUTED_VALUE"""),"0000")</f>
        <v>0000</v>
      </c>
      <c r="K64" s="10" t="str">
        <f>IFERROR(__xludf.DUMMYFUNCTION("""COMPUTED_VALUE"""),"No")</f>
        <v>No</v>
      </c>
      <c r="L64" s="10" t="str">
        <f>IFERROR(__xludf.DUMMYFUNCTION("""COMPUTED_VALUE"""),"Darbar Ismail Shah Bhukari ")</f>
        <v>Darbar Ismail Shah Bhukari </v>
      </c>
      <c r="M64" s="10">
        <f>IFERROR(__xludf.DUMMYFUNCTION("""COMPUTED_VALUE"""),9.0)</f>
        <v>9</v>
      </c>
      <c r="N64" s="10" t="str">
        <f>IFERROR(__xludf.DUMMYFUNCTION("""COMPUTED_VALUE"""),"Yes")</f>
        <v>Yes</v>
      </c>
      <c r="O64" s="323">
        <f>IFERROR(__xludf.DUMMYFUNCTION("""COMPUTED_VALUE"""),0.2)</f>
        <v>0.2</v>
      </c>
      <c r="P64" s="10">
        <f>IFERROR(__xludf.DUMMYFUNCTION("""COMPUTED_VALUE"""),2.0)</f>
        <v>2</v>
      </c>
      <c r="Q64" s="10">
        <f>IFERROR(__xludf.DUMMYFUNCTION("""COMPUTED_VALUE"""),7.0)</f>
        <v>7</v>
      </c>
      <c r="R64" s="10">
        <f>IFERROR(__xludf.DUMMYFUNCTION("""COMPUTED_VALUE"""),2.0)</f>
        <v>2</v>
      </c>
      <c r="S64" s="18" t="str">
        <f>IFERROR(__xludf.DUMMYFUNCTION("""COMPUTED_VALUE"""),"https://drive.google.com/open?id=1y_z4CCYs4y8iQHlz1ApKinneaGt6EIkO")</f>
        <v>https://drive.google.com/open?id=1y_z4CCYs4y8iQHlz1ApKinneaGt6EIkO</v>
      </c>
      <c r="T64" s="18" t="str">
        <f>IFERROR(__xludf.DUMMYFUNCTION("""COMPUTED_VALUE"""),"https://drive.google.com/open?id=1g7McvvmV3N919fWf4PbAjALGqUCPhPW6")</f>
        <v>https://drive.google.com/open?id=1g7McvvmV3N919fWf4PbAjALGqUCPhPW6</v>
      </c>
      <c r="U64" s="18" t="str">
        <f>IFERROR(__xludf.DUMMYFUNCTION("""COMPUTED_VALUE"""),"https://drive.google.com/open?id=1SZ7uMJMzBY26ZPAvAkPUITuM3Na1mCfh")</f>
        <v>https://drive.google.com/open?id=1SZ7uMJMzBY26ZPAvAkPUITuM3Na1mCfh</v>
      </c>
      <c r="V64" s="10" t="str">
        <f>IFERROR(__xludf.DUMMYFUNCTION("""COMPUTED_VALUE"""),"Imam ny apny kutbay ka akhri hissay mei hmara topic btaya or sath sath talqeen b krta raha hmary project per ")</f>
        <v>Imam ny apny kutbay ka akhri hissay mei hmara topic btaya or sath sath talqeen b krta raha hmary project per </v>
      </c>
      <c r="W64" s="10"/>
      <c r="X64" s="10" t="str">
        <f>IFERROR(__xludf.DUMMYFUNCTION("""COMPUTED_VALUE"""),"Yes")</f>
        <v>Yes</v>
      </c>
      <c r="Y64" s="14" t="str">
        <f>IFERROR(__xludf.DUMMYFUNCTION("""COMPUTED_VALUE"""),"haris.cerp@gmail.com")</f>
        <v>haris.cerp@gmail.com</v>
      </c>
      <c r="AA64" s="325">
        <v>1.0</v>
      </c>
    </row>
    <row r="65" hidden="1">
      <c r="A65" s="9">
        <f>IFERROR(__xludf.DUMMYFUNCTION("""COMPUTED_VALUE"""),45765.37548393519)</f>
        <v>45765.37548</v>
      </c>
      <c r="B65" s="10" t="str">
        <f>IFERROR(__xludf.DUMMYFUNCTION("""COMPUTED_VALUE"""),"Muhammad Haris ")</f>
        <v>Muhammad Haris </v>
      </c>
      <c r="C65" s="10" t="str">
        <f>IFERROR(__xludf.DUMMYFUNCTION("""COMPUTED_VALUE"""),"03204565224")</f>
        <v>03204565224</v>
      </c>
      <c r="D65" s="10" t="str">
        <f>IFERROR(__xludf.DUMMYFUNCTION("""COMPUTED_VALUE"""),"Jamia Masjid Hanfiya Ghousia Scheme 2 Lahore ")</f>
        <v>Jamia Masjid Hanfiya Ghousia Scheme 2 Lahore </v>
      </c>
      <c r="E65" s="10" t="str">
        <f>IFERROR(__xludf.DUMMYFUNCTION("""COMPUTED_VALUE"""),"cwfim")</f>
        <v>cwfim</v>
      </c>
      <c r="F65" s="10">
        <f>IFERROR(__xludf.DUMMYFUNCTION("""COMPUTED_VALUE"""),680.0)</f>
        <v>680</v>
      </c>
      <c r="G65" s="10">
        <f>IFERROR(__xludf.DUMMYFUNCTION("""COMPUTED_VALUE"""),9.0)</f>
        <v>9</v>
      </c>
      <c r="H65" s="10">
        <f>IFERROR(__xludf.DUMMYFUNCTION("""COMPUTED_VALUE"""),9.0)</f>
        <v>9</v>
      </c>
      <c r="I65" s="10">
        <f>IFERROR(__xludf.DUMMYFUNCTION("""COMPUTED_VALUE"""),0.0)</f>
        <v>0</v>
      </c>
      <c r="J65" s="10">
        <f>IFERROR(__xludf.DUMMYFUNCTION("""COMPUTED_VALUE"""),1955.0)</f>
        <v>1955</v>
      </c>
      <c r="K65" s="10" t="str">
        <f>IFERROR(__xludf.DUMMYFUNCTION("""COMPUTED_VALUE"""),"Yes")</f>
        <v>Yes</v>
      </c>
      <c r="L65" s="10" t="str">
        <f>IFERROR(__xludf.DUMMYFUNCTION("""COMPUTED_VALUE"""),"No")</f>
        <v>No</v>
      </c>
      <c r="M65" s="10">
        <f>IFERROR(__xludf.DUMMYFUNCTION("""COMPUTED_VALUE"""),8.0)</f>
        <v>8</v>
      </c>
      <c r="N65" s="10" t="str">
        <f>IFERROR(__xludf.DUMMYFUNCTION("""COMPUTED_VALUE"""),"Yes")</f>
        <v>Yes</v>
      </c>
      <c r="O65" s="323">
        <f>IFERROR(__xludf.DUMMYFUNCTION("""COMPUTED_VALUE"""),1.0)</f>
        <v>1</v>
      </c>
      <c r="P65" s="10">
        <f>IFERROR(__xludf.DUMMYFUNCTION("""COMPUTED_VALUE"""),7.0)</f>
        <v>7</v>
      </c>
      <c r="Q65" s="10">
        <f>IFERROR(__xludf.DUMMYFUNCTION("""COMPUTED_VALUE"""),3.0)</f>
        <v>3</v>
      </c>
      <c r="R65" s="10">
        <f>IFERROR(__xludf.DUMMYFUNCTION("""COMPUTED_VALUE"""),10.0)</f>
        <v>10</v>
      </c>
      <c r="S65" s="18" t="str">
        <f>IFERROR(__xludf.DUMMYFUNCTION("""COMPUTED_VALUE"""),"https://drive.google.com/open?id=1zAvAYL6pLoupOh0_0plO07VL7jEIDRfw")</f>
        <v>https://drive.google.com/open?id=1zAvAYL6pLoupOh0_0plO07VL7jEIDRfw</v>
      </c>
      <c r="T65" s="18" t="str">
        <f>IFERROR(__xludf.DUMMYFUNCTION("""COMPUTED_VALUE"""),"https://drive.google.com/open?id=1VYUIERcO7_UaWnkHTppNbQLXOVKY1X9H")</f>
        <v>https://drive.google.com/open?id=1VYUIERcO7_UaWnkHTppNbQLXOVKY1X9H</v>
      </c>
      <c r="U65" s="18" t="str">
        <f>IFERROR(__xludf.DUMMYFUNCTION("""COMPUTED_VALUE"""),"https://drive.google.com/open?id=1RPbf1bZ7_VzntBnTXLC1vw9NFRnrkVIJ")</f>
        <v>https://drive.google.com/open?id=1RPbf1bZ7_VzntBnTXLC1vw9NFRnrkVIJ</v>
      </c>
      <c r="V65" s="10" t="str">
        <f>IFERROR(__xludf.DUMMYFUNCTION("""COMPUTED_VALUE"""),"Khateeb sab ka kutbay ka topic Sara hmara he tha bss btanay or smjhany ka tareeqa alag tha")</f>
        <v>Khateeb sab ka kutbay ka topic Sara hmara he tha bss btanay or smjhany ka tareeqa alag tha</v>
      </c>
      <c r="W65" s="10"/>
      <c r="X65" s="10" t="str">
        <f>IFERROR(__xludf.DUMMYFUNCTION("""COMPUTED_VALUE"""),"Yes")</f>
        <v>Yes</v>
      </c>
      <c r="Y65" s="14" t="str">
        <f>IFERROR(__xludf.DUMMYFUNCTION("""COMPUTED_VALUE"""),"mianharisamjad284@gmail.com")</f>
        <v>mianharisamjad284@gmail.com</v>
      </c>
      <c r="AA65" s="325">
        <v>2.0</v>
      </c>
    </row>
    <row r="66" hidden="1">
      <c r="A66" s="9">
        <f>IFERROR(__xludf.DUMMYFUNCTION("""COMPUTED_VALUE"""),45765.40450071759)</f>
        <v>45765.4045</v>
      </c>
      <c r="B66" s="10" t="str">
        <f>IFERROR(__xludf.DUMMYFUNCTION("""COMPUTED_VALUE"""),"Muhammad Fareed")</f>
        <v>Muhammad Fareed</v>
      </c>
      <c r="C66" s="10" t="str">
        <f>IFERROR(__xludf.DUMMYFUNCTION("""COMPUTED_VALUE"""),"03026624607")</f>
        <v>03026624607</v>
      </c>
      <c r="D66" s="10" t="str">
        <f>IFERROR(__xludf.DUMMYFUNCTION("""COMPUTED_VALUE"""),"Jamia Masjid Darbar Madoh Laal Hussain")</f>
        <v>Jamia Masjid Darbar Madoh Laal Hussain</v>
      </c>
      <c r="E66" s="10" t="str">
        <f>IFERROR(__xludf.DUMMYFUNCTION("""COMPUTED_VALUE"""),"Klysr")</f>
        <v>Klysr</v>
      </c>
      <c r="F66" s="10">
        <f>IFERROR(__xludf.DUMMYFUNCTION("""COMPUTED_VALUE"""),480.0)</f>
        <v>480</v>
      </c>
      <c r="G66" s="10">
        <f>IFERROR(__xludf.DUMMYFUNCTION("""COMPUTED_VALUE"""),8.0)</f>
        <v>8</v>
      </c>
      <c r="H66" s="10">
        <f>IFERROR(__xludf.DUMMYFUNCTION("""COMPUTED_VALUE"""),7.0)</f>
        <v>7</v>
      </c>
      <c r="I66" s="10">
        <f>IFERROR(__xludf.DUMMYFUNCTION("""COMPUTED_VALUE"""),2.0)</f>
        <v>2</v>
      </c>
      <c r="J66" s="10" t="str">
        <f>IFERROR(__xludf.DUMMYFUNCTION("""COMPUTED_VALUE"""),"0000")</f>
        <v>0000</v>
      </c>
      <c r="K66" s="10" t="str">
        <f>IFERROR(__xludf.DUMMYFUNCTION("""COMPUTED_VALUE"""),"Yes")</f>
        <v>Yes</v>
      </c>
      <c r="L66" s="10" t="str">
        <f>IFERROR(__xludf.DUMMYFUNCTION("""COMPUTED_VALUE"""),"Darbar Madoh Laal Hussain ")</f>
        <v>Darbar Madoh Laal Hussain </v>
      </c>
      <c r="M66" s="10">
        <f>IFERROR(__xludf.DUMMYFUNCTION("""COMPUTED_VALUE"""),8.0)</f>
        <v>8</v>
      </c>
      <c r="N66" s="10" t="str">
        <f>IFERROR(__xludf.DUMMYFUNCTION("""COMPUTED_VALUE"""),"Yes")</f>
        <v>Yes</v>
      </c>
      <c r="O66" s="323">
        <f>IFERROR(__xludf.DUMMYFUNCTION("""COMPUTED_VALUE"""),1.0)</f>
        <v>1</v>
      </c>
      <c r="P66" s="10">
        <f>IFERROR(__xludf.DUMMYFUNCTION("""COMPUTED_VALUE"""),9.0)</f>
        <v>9</v>
      </c>
      <c r="Q66" s="10">
        <f>IFERROR(__xludf.DUMMYFUNCTION("""COMPUTED_VALUE"""),1.0)</f>
        <v>1</v>
      </c>
      <c r="R66" s="10">
        <f>IFERROR(__xludf.DUMMYFUNCTION("""COMPUTED_VALUE"""),9.0)</f>
        <v>9</v>
      </c>
      <c r="S66" s="18" t="str">
        <f>IFERROR(__xludf.DUMMYFUNCTION("""COMPUTED_VALUE"""),"https://drive.google.com/open?id=1BICpKMbXfQ2YNjoqkeKahQOsHeV2GPIq")</f>
        <v>https://drive.google.com/open?id=1BICpKMbXfQ2YNjoqkeKahQOsHeV2GPIq</v>
      </c>
      <c r="T66" s="18" t="str">
        <f>IFERROR(__xludf.DUMMYFUNCTION("""COMPUTED_VALUE"""),"https://drive.google.com/open?id=1_cHM-eiykRp8CPVA1M2RZ-4BYRIzV3kV")</f>
        <v>https://drive.google.com/open?id=1_cHM-eiykRp8CPVA1M2RZ-4BYRIzV3kV</v>
      </c>
      <c r="U66" s="18" t="str">
        <f>IFERROR(__xludf.DUMMYFUNCTION("""COMPUTED_VALUE"""),"https://drive.google.com/open?id=1ZzrcTeOidPtfIDnrBfHbmjIQexw5Ox7Y")</f>
        <v>https://drive.google.com/open?id=1ZzrcTeOidPtfIDnrBfHbmjIQexw5Ox7Y</v>
      </c>
      <c r="V66" s="10"/>
      <c r="W66" s="10"/>
      <c r="X66" s="10" t="str">
        <f>IFERROR(__xludf.DUMMYFUNCTION("""COMPUTED_VALUE"""),"Yes")</f>
        <v>Yes</v>
      </c>
      <c r="Y66" s="14" t="str">
        <f>IFERROR(__xludf.DUMMYFUNCTION("""COMPUTED_VALUE"""),"fareedkhanlalaji@gmail.com")</f>
        <v>fareedkhanlalaji@gmail.com</v>
      </c>
      <c r="AA66" s="325">
        <v>2.0</v>
      </c>
    </row>
    <row r="67" hidden="1">
      <c r="A67" s="9">
        <f>IFERROR(__xludf.DUMMYFUNCTION("""COMPUTED_VALUE"""),45765.42709622685)</f>
        <v>45765.4271</v>
      </c>
      <c r="B67" s="10" t="str">
        <f>IFERROR(__xludf.DUMMYFUNCTION("""COMPUTED_VALUE"""),"Ali Raza")</f>
        <v>Ali Raza</v>
      </c>
      <c r="C67" s="10" t="str">
        <f>IFERROR(__xludf.DUMMYFUNCTION("""COMPUTED_VALUE"""),"03059848297")</f>
        <v>03059848297</v>
      </c>
      <c r="D67" s="10" t="str">
        <f>IFERROR(__xludf.DUMMYFUNCTION("""COMPUTED_VALUE"""),"Jamia Masjid Bilal Nawab Colony Misri Shah Lahore")</f>
        <v>Jamia Masjid Bilal Nawab Colony Misri Shah Lahore</v>
      </c>
      <c r="E67" s="10" t="str">
        <f>IFERROR(__xludf.DUMMYFUNCTION("""COMPUTED_VALUE"""),"Avbgy")</f>
        <v>Avbgy</v>
      </c>
      <c r="F67" s="10">
        <f>IFERROR(__xludf.DUMMYFUNCTION("""COMPUTED_VALUE"""),220.0)</f>
        <v>220</v>
      </c>
      <c r="G67" s="10">
        <f>IFERROR(__xludf.DUMMYFUNCTION("""COMPUTED_VALUE"""),8.0)</f>
        <v>8</v>
      </c>
      <c r="H67" s="10">
        <f>IFERROR(__xludf.DUMMYFUNCTION("""COMPUTED_VALUE"""),6.0)</f>
        <v>6</v>
      </c>
      <c r="I67" s="10">
        <f>IFERROR(__xludf.DUMMYFUNCTION("""COMPUTED_VALUE"""),2.0)</f>
        <v>2</v>
      </c>
      <c r="J67" s="10" t="str">
        <f>IFERROR(__xludf.DUMMYFUNCTION("""COMPUTED_VALUE"""),"0000")</f>
        <v>0000</v>
      </c>
      <c r="K67" s="10" t="str">
        <f>IFERROR(__xludf.DUMMYFUNCTION("""COMPUTED_VALUE"""),"No")</f>
        <v>No</v>
      </c>
      <c r="L67" s="10" t="str">
        <f>IFERROR(__xludf.DUMMYFUNCTION("""COMPUTED_VALUE"""),"No")</f>
        <v>No</v>
      </c>
      <c r="M67" s="10">
        <f>IFERROR(__xludf.DUMMYFUNCTION("""COMPUTED_VALUE"""),10.0)</f>
        <v>10</v>
      </c>
      <c r="N67" s="10" t="str">
        <f>IFERROR(__xludf.DUMMYFUNCTION("""COMPUTED_VALUE"""),"Yes")</f>
        <v>Yes</v>
      </c>
      <c r="O67" s="323">
        <f>IFERROR(__xludf.DUMMYFUNCTION("""COMPUTED_VALUE"""),0.8)</f>
        <v>0.8</v>
      </c>
      <c r="P67" s="10">
        <f>IFERROR(__xludf.DUMMYFUNCTION("""COMPUTED_VALUE"""),8.0)</f>
        <v>8</v>
      </c>
      <c r="Q67" s="10">
        <f>IFERROR(__xludf.DUMMYFUNCTION("""COMPUTED_VALUE"""),1.0)</f>
        <v>1</v>
      </c>
      <c r="R67" s="10">
        <f>IFERROR(__xludf.DUMMYFUNCTION("""COMPUTED_VALUE"""),9.0)</f>
        <v>9</v>
      </c>
      <c r="S67" s="18" t="str">
        <f>IFERROR(__xludf.DUMMYFUNCTION("""COMPUTED_VALUE"""),"https://drive.google.com/open?id=1gJpMZxGrtgZIDNwvs6tqTzzKl7zYeHsT")</f>
        <v>https://drive.google.com/open?id=1gJpMZxGrtgZIDNwvs6tqTzzKl7zYeHsT</v>
      </c>
      <c r="T67" s="18" t="str">
        <f>IFERROR(__xludf.DUMMYFUNCTION("""COMPUTED_VALUE"""),"https://drive.google.com/open?id=122tUmXEUg4ddWb1l0dkKc6hEEen6owgu")</f>
        <v>https://drive.google.com/open?id=122tUmXEUg4ddWb1l0dkKc6hEEen6owgu</v>
      </c>
      <c r="U67" s="18" t="str">
        <f>IFERROR(__xludf.DUMMYFUNCTION("""COMPUTED_VALUE"""),"https://drive.google.com/open?id=1iSBYCO7Vcul7mApUbalVju-7IQ_O-XVm")</f>
        <v>https://drive.google.com/open?id=1iSBYCO7Vcul7mApUbalVju-7IQ_O-XVm</v>
      </c>
      <c r="V67" s="10" t="str">
        <f>IFERROR(__xludf.DUMMYFUNCTION("""COMPUTED_VALUE"""),"None")</f>
        <v>None</v>
      </c>
      <c r="W67" s="10"/>
      <c r="X67" s="10" t="str">
        <f>IFERROR(__xludf.DUMMYFUNCTION("""COMPUTED_VALUE"""),"Yes")</f>
        <v>Yes</v>
      </c>
      <c r="Y67" s="14" t="str">
        <f>IFERROR(__xludf.DUMMYFUNCTION("""COMPUTED_VALUE"""),"alee.raxa007@gmail.com")</f>
        <v>alee.raxa007@gmail.com</v>
      </c>
      <c r="AA67" s="325">
        <v>2.0</v>
      </c>
    </row>
    <row r="68" hidden="1">
      <c r="A68" s="9">
        <f>IFERROR(__xludf.DUMMYFUNCTION("""COMPUTED_VALUE"""),45765.42733194445)</f>
        <v>45765.42733</v>
      </c>
      <c r="B68" s="10" t="str">
        <f>IFERROR(__xludf.DUMMYFUNCTION("""COMPUTED_VALUE"""),"Asfund")</f>
        <v>Asfund</v>
      </c>
      <c r="C68" s="10" t="str">
        <f>IFERROR(__xludf.DUMMYFUNCTION("""COMPUTED_VALUE"""),"03026624607")</f>
        <v>03026624607</v>
      </c>
      <c r="D68" s="10" t="str">
        <f>IFERROR(__xludf.DUMMYFUNCTION("""COMPUTED_VALUE"""),"Jamia Masjid Darbar Qurban Ali Shah ")</f>
        <v>Jamia Masjid Darbar Qurban Ali Shah </v>
      </c>
      <c r="E68" s="10" t="str">
        <f>IFERROR(__xludf.DUMMYFUNCTION("""COMPUTED_VALUE"""),"xqvon")</f>
        <v>xqvon</v>
      </c>
      <c r="F68" s="10">
        <f>IFERROR(__xludf.DUMMYFUNCTION("""COMPUTED_VALUE"""),380.0)</f>
        <v>380</v>
      </c>
      <c r="G68" s="10">
        <f>IFERROR(__xludf.DUMMYFUNCTION("""COMPUTED_VALUE"""),9.0)</f>
        <v>9</v>
      </c>
      <c r="H68" s="10">
        <f>IFERROR(__xludf.DUMMYFUNCTION("""COMPUTED_VALUE"""),8.0)</f>
        <v>8</v>
      </c>
      <c r="I68" s="10">
        <f>IFERROR(__xludf.DUMMYFUNCTION("""COMPUTED_VALUE"""),0.0)</f>
        <v>0</v>
      </c>
      <c r="J68" s="10" t="str">
        <f>IFERROR(__xludf.DUMMYFUNCTION("""COMPUTED_VALUE"""),"0000")</f>
        <v>0000</v>
      </c>
      <c r="K68" s="10" t="str">
        <f>IFERROR(__xludf.DUMMYFUNCTION("""COMPUTED_VALUE"""),"No")</f>
        <v>No</v>
      </c>
      <c r="L68" s="10" t="str">
        <f>IFERROR(__xludf.DUMMYFUNCTION("""COMPUTED_VALUE"""),"Darbar Qurban Ali Shah ")</f>
        <v>Darbar Qurban Ali Shah </v>
      </c>
      <c r="M68" s="10">
        <f>IFERROR(__xludf.DUMMYFUNCTION("""COMPUTED_VALUE"""),9.0)</f>
        <v>9</v>
      </c>
      <c r="N68" s="10" t="str">
        <f>IFERROR(__xludf.DUMMYFUNCTION("""COMPUTED_VALUE"""),"No")</f>
        <v>No</v>
      </c>
      <c r="O68" s="10"/>
      <c r="P68" s="10"/>
      <c r="Q68" s="10"/>
      <c r="R68" s="10"/>
      <c r="S68" s="18" t="str">
        <f>IFERROR(__xludf.DUMMYFUNCTION("""COMPUTED_VALUE"""),"https://drive.google.com/open?id=1v4PKojb1MR8TGH-4V0zRUGqHRRdF_2Hf")</f>
        <v>https://drive.google.com/open?id=1v4PKojb1MR8TGH-4V0zRUGqHRRdF_2Hf</v>
      </c>
      <c r="T68" s="18" t="str">
        <f>IFERROR(__xludf.DUMMYFUNCTION("""COMPUTED_VALUE"""),"https://drive.google.com/open?id=1JR6gskmiMNA2K9bggOYHQsHl0cIVEFKO")</f>
        <v>https://drive.google.com/open?id=1JR6gskmiMNA2K9bggOYHQsHl0cIVEFKO</v>
      </c>
      <c r="U68" s="10" t="str">
        <f>IFERROR(__xludf.DUMMYFUNCTION("""COMPUTED_VALUE"""),"https://drive.google.com/open?id=1Vf3E66eV1dwir-8erQOEouErFxbdrsux, https://drive.google.com/open?id=1jxSbFG8UaR2Z57yNr0NMQDGJfJ5fQIso")</f>
        <v>https://drive.google.com/open?id=1Vf3E66eV1dwir-8erQOEouErFxbdrsux, https://drive.google.com/open?id=1jxSbFG8UaR2Z57yNr0NMQDGJfJ5fQIso</v>
      </c>
      <c r="V68" s="10"/>
      <c r="W68" s="10"/>
      <c r="X68" s="10"/>
      <c r="Y68" s="14" t="str">
        <f>IFERROR(__xludf.DUMMYFUNCTION("""COMPUTED_VALUE"""),"asfund.cerp@gmail.com")</f>
        <v>asfund.cerp@gmail.com</v>
      </c>
      <c r="AA68" s="325">
        <v>3.0</v>
      </c>
    </row>
    <row r="69" hidden="1">
      <c r="A69" s="9">
        <f>IFERROR(__xludf.DUMMYFUNCTION("""COMPUTED_VALUE"""),45765.50562511574)</f>
        <v>45765.50563</v>
      </c>
      <c r="B69" s="10" t="str">
        <f>IFERROR(__xludf.DUMMYFUNCTION("""COMPUTED_VALUE"""),"Muhammad saqib ")</f>
        <v>Muhammad saqib </v>
      </c>
      <c r="C69" s="10" t="str">
        <f>IFERROR(__xludf.DUMMYFUNCTION("""COMPUTED_VALUE"""),"03234041429")</f>
        <v>03234041429</v>
      </c>
      <c r="D69" s="10" t="str">
        <f>IFERROR(__xludf.DUMMYFUNCTION("""COMPUTED_VALUE"""),"Jamia masjid darbar meer Husain rangani")</f>
        <v>Jamia masjid darbar meer Husain rangani</v>
      </c>
      <c r="E69" s="10" t="str">
        <f>IFERROR(__xludf.DUMMYFUNCTION("""COMPUTED_VALUE"""),"Yhrds ")</f>
        <v>Yhrds </v>
      </c>
      <c r="F69" s="10">
        <f>IFERROR(__xludf.DUMMYFUNCTION("""COMPUTED_VALUE"""),540.0)</f>
        <v>540</v>
      </c>
      <c r="G69" s="10">
        <f>IFERROR(__xludf.DUMMYFUNCTION("""COMPUTED_VALUE"""),8.0)</f>
        <v>8</v>
      </c>
      <c r="H69" s="10">
        <f>IFERROR(__xludf.DUMMYFUNCTION("""COMPUTED_VALUE"""),9.0)</f>
        <v>9</v>
      </c>
      <c r="I69" s="10">
        <f>IFERROR(__xludf.DUMMYFUNCTION("""COMPUTED_VALUE"""),1.0)</f>
        <v>1</v>
      </c>
      <c r="J69" s="10">
        <f>IFERROR(__xludf.DUMMYFUNCTION("""COMPUTED_VALUE"""),1945.0)</f>
        <v>1945</v>
      </c>
      <c r="K69" s="10" t="str">
        <f>IFERROR(__xludf.DUMMYFUNCTION("""COMPUTED_VALUE"""),"Yes")</f>
        <v>Yes</v>
      </c>
      <c r="L69" s="10" t="str">
        <f>IFERROR(__xludf.DUMMYFUNCTION("""COMPUTED_VALUE"""),"Meeran hussain ranjani ")</f>
        <v>Meeran hussain ranjani </v>
      </c>
      <c r="M69" s="10">
        <f>IFERROR(__xludf.DUMMYFUNCTION("""COMPUTED_VALUE"""),9.0)</f>
        <v>9</v>
      </c>
      <c r="N69" s="10" t="str">
        <f>IFERROR(__xludf.DUMMYFUNCTION("""COMPUTED_VALUE"""),"Yes")</f>
        <v>Yes</v>
      </c>
      <c r="O69" s="323">
        <f>IFERROR(__xludf.DUMMYFUNCTION("""COMPUTED_VALUE"""),0.9)</f>
        <v>0.9</v>
      </c>
      <c r="P69" s="10">
        <f>IFERROR(__xludf.DUMMYFUNCTION("""COMPUTED_VALUE"""),3.0)</f>
        <v>3</v>
      </c>
      <c r="Q69" s="10">
        <f>IFERROR(__xludf.DUMMYFUNCTION("""COMPUTED_VALUE"""),7.0)</f>
        <v>7</v>
      </c>
      <c r="R69" s="10">
        <f>IFERROR(__xludf.DUMMYFUNCTION("""COMPUTED_VALUE"""),8.0)</f>
        <v>8</v>
      </c>
      <c r="S69" s="18" t="str">
        <f>IFERROR(__xludf.DUMMYFUNCTION("""COMPUTED_VALUE"""),"https://drive.google.com/open?id=1D14l-NAjL8m0GhqCUXKdqbf5e_P0eimq")</f>
        <v>https://drive.google.com/open?id=1D14l-NAjL8m0GhqCUXKdqbf5e_P0eimq</v>
      </c>
      <c r="T69" s="10" t="str">
        <f>IFERROR(__xludf.DUMMYFUNCTION("""COMPUTED_VALUE"""),"https://drive.google.com/open?id=1zoj7mMlC3omuZmiRyJE32tXWhhokziTJ, https://drive.google.com/open?id=1qaDdjef7VlQk2tiRE0OXlXESm8UxW8Jw")</f>
        <v>https://drive.google.com/open?id=1zoj7mMlC3omuZmiRyJE32tXWhhokziTJ, https://drive.google.com/open?id=1qaDdjef7VlQk2tiRE0OXlXESm8UxW8Jw</v>
      </c>
      <c r="U69" s="18" t="str">
        <f>IFERROR(__xludf.DUMMYFUNCTION("""COMPUTED_VALUE"""),"https://drive.google.com/open?id=1y7CD9ikF4b3sIfwq9imC_0KMQjm7Xlii")</f>
        <v>https://drive.google.com/open?id=1y7CD9ikF4b3sIfwq9imC_0KMQjm7Xlii</v>
      </c>
      <c r="V69" s="10" t="str">
        <f>IFERROR(__xludf.DUMMYFUNCTION("""COMPUTED_VALUE"""),"No")</f>
        <v>No</v>
      </c>
      <c r="W69" s="10"/>
      <c r="X69" s="10" t="str">
        <f>IFERROR(__xludf.DUMMYFUNCTION("""COMPUTED_VALUE"""),"Yes")</f>
        <v>Yes</v>
      </c>
      <c r="Y69" s="14" t="str">
        <f>IFERROR(__xludf.DUMMYFUNCTION("""COMPUTED_VALUE"""),"sheikhsaqib003@gmail.com")</f>
        <v>sheikhsaqib003@gmail.com</v>
      </c>
      <c r="AA69" s="325">
        <v>2.0</v>
      </c>
    </row>
    <row r="70" hidden="1">
      <c r="A70" s="9">
        <f>IFERROR(__xludf.DUMMYFUNCTION("""COMPUTED_VALUE"""),45765.55420304398)</f>
        <v>45765.5542</v>
      </c>
      <c r="B70" s="10" t="str">
        <f>IFERROR(__xludf.DUMMYFUNCTION("""COMPUTED_VALUE"""),"Zahrer butt")</f>
        <v>Zahrer butt</v>
      </c>
      <c r="C70" s="10" t="str">
        <f>IFERROR(__xludf.DUMMYFUNCTION("""COMPUTED_VALUE"""),"03217040700")</f>
        <v>03217040700</v>
      </c>
      <c r="D70" s="10" t="str">
        <f>IFERROR(__xludf.DUMMYFUNCTION("""COMPUTED_VALUE"""),"Madina masjid purani anarkali")</f>
        <v>Madina masjid purani anarkali</v>
      </c>
      <c r="E70" s="10" t="str">
        <f>IFERROR(__xludf.DUMMYFUNCTION("""COMPUTED_VALUE"""),"bpozt")</f>
        <v>bpozt</v>
      </c>
      <c r="F70" s="10">
        <f>IFERROR(__xludf.DUMMYFUNCTION("""COMPUTED_VALUE"""),260.0)</f>
        <v>260</v>
      </c>
      <c r="G70" s="10">
        <f>IFERROR(__xludf.DUMMYFUNCTION("""COMPUTED_VALUE"""),7.0)</f>
        <v>7</v>
      </c>
      <c r="H70" s="10">
        <f>IFERROR(__xludf.DUMMYFUNCTION("""COMPUTED_VALUE"""),2.0)</f>
        <v>2</v>
      </c>
      <c r="I70" s="10" t="str">
        <f>IFERROR(__xludf.DUMMYFUNCTION("""COMPUTED_VALUE"""),"No")</f>
        <v>No</v>
      </c>
      <c r="J70" s="10">
        <f>IFERROR(__xludf.DUMMYFUNCTION("""COMPUTED_VALUE"""),1960.0)</f>
        <v>1960</v>
      </c>
      <c r="K70" s="10" t="str">
        <f>IFERROR(__xludf.DUMMYFUNCTION("""COMPUTED_VALUE"""),"No")</f>
        <v>No</v>
      </c>
      <c r="L70" s="10" t="str">
        <f>IFERROR(__xludf.DUMMYFUNCTION("""COMPUTED_VALUE"""),"No")</f>
        <v>No</v>
      </c>
      <c r="M70" s="10">
        <f>IFERROR(__xludf.DUMMYFUNCTION("""COMPUTED_VALUE"""),7.0)</f>
        <v>7</v>
      </c>
      <c r="N70" s="10" t="str">
        <f>IFERROR(__xludf.DUMMYFUNCTION("""COMPUTED_VALUE"""),"Yes")</f>
        <v>Yes</v>
      </c>
      <c r="O70" s="323">
        <f>IFERROR(__xludf.DUMMYFUNCTION("""COMPUTED_VALUE"""),0.4)</f>
        <v>0.4</v>
      </c>
      <c r="P70" s="10">
        <f>IFERROR(__xludf.DUMMYFUNCTION("""COMPUTED_VALUE"""),4.0)</f>
        <v>4</v>
      </c>
      <c r="Q70" s="10">
        <f>IFERROR(__xludf.DUMMYFUNCTION("""COMPUTED_VALUE"""),6.0)</f>
        <v>6</v>
      </c>
      <c r="R70" s="10">
        <f>IFERROR(__xludf.DUMMYFUNCTION("""COMPUTED_VALUE"""),4.0)</f>
        <v>4</v>
      </c>
      <c r="S70" s="18" t="str">
        <f>IFERROR(__xludf.DUMMYFUNCTION("""COMPUTED_VALUE"""),"https://drive.google.com/open?id=12wHTasG807YamjS4PrN4rVWxUmYGVYV6")</f>
        <v>https://drive.google.com/open?id=12wHTasG807YamjS4PrN4rVWxUmYGVYV6</v>
      </c>
      <c r="T70" s="18" t="str">
        <f>IFERROR(__xludf.DUMMYFUNCTION("""COMPUTED_VALUE"""),"https://drive.google.com/open?id=18yVdX2rk1ZP8NH0vaobRxFVXCpFCHmJ_")</f>
        <v>https://drive.google.com/open?id=18yVdX2rk1ZP8NH0vaobRxFVXCpFCHmJ_</v>
      </c>
      <c r="U70" s="18" t="str">
        <f>IFERROR(__xludf.DUMMYFUNCTION("""COMPUTED_VALUE"""),"https://drive.google.com/open?id=1qAxiHQa_-28MKa5mlldT9_LF6tPE411m")</f>
        <v>https://drive.google.com/open?id=1qAxiHQa_-28MKa5mlldT9_LF6tPE411m</v>
      </c>
      <c r="V70" s="10"/>
      <c r="W70" s="10"/>
      <c r="X70" s="10" t="str">
        <f>IFERROR(__xludf.DUMMYFUNCTION("""COMPUTED_VALUE"""),"Yes")</f>
        <v>Yes</v>
      </c>
      <c r="Y70" s="14" t="str">
        <f>IFERROR(__xludf.DUMMYFUNCTION("""COMPUTED_VALUE"""),"zbutt49@yahoo.com")</f>
        <v>zbutt49@yahoo.com</v>
      </c>
      <c r="AA70" s="325">
        <v>2.0</v>
      </c>
    </row>
    <row r="71" hidden="1">
      <c r="A71" s="9">
        <f>IFERROR(__xludf.DUMMYFUNCTION("""COMPUTED_VALUE"""),45765.606923113424)</f>
        <v>45765.60692</v>
      </c>
      <c r="B71" s="10" t="str">
        <f>IFERROR(__xludf.DUMMYFUNCTION("""COMPUTED_VALUE"""),"Dilawar Abbas ")</f>
        <v>Dilawar Abbas </v>
      </c>
      <c r="C71" s="10" t="str">
        <f>IFERROR(__xludf.DUMMYFUNCTION("""COMPUTED_VALUE"""),"03095378593")</f>
        <v>03095378593</v>
      </c>
      <c r="D71" s="10" t="str">
        <f>IFERROR(__xludf.DUMMYFUNCTION("""COMPUTED_VALUE"""),"Jamia Masjid Noor Eman Wala ")</f>
        <v>Jamia Masjid Noor Eman Wala </v>
      </c>
      <c r="E71" s="10" t="str">
        <f>IFERROR(__xludf.DUMMYFUNCTION("""COMPUTED_VALUE"""),"TNJAZ")</f>
        <v>TNJAZ</v>
      </c>
      <c r="F71" s="10">
        <f>IFERROR(__xludf.DUMMYFUNCTION("""COMPUTED_VALUE"""),97.0)</f>
        <v>97</v>
      </c>
      <c r="G71" s="10">
        <f>IFERROR(__xludf.DUMMYFUNCTION("""COMPUTED_VALUE"""),7.0)</f>
        <v>7</v>
      </c>
      <c r="H71" s="10">
        <f>IFERROR(__xludf.DUMMYFUNCTION("""COMPUTED_VALUE"""),7.0)</f>
        <v>7</v>
      </c>
      <c r="I71" s="10">
        <f>IFERROR(__xludf.DUMMYFUNCTION("""COMPUTED_VALUE"""),1.0)</f>
        <v>1</v>
      </c>
      <c r="J71" s="10">
        <f>IFERROR(__xludf.DUMMYFUNCTION("""COMPUTED_VALUE"""),1990.0)</f>
        <v>1990</v>
      </c>
      <c r="K71" s="10" t="str">
        <f>IFERROR(__xludf.DUMMYFUNCTION("""COMPUTED_VALUE"""),"No")</f>
        <v>No</v>
      </c>
      <c r="L71" s="10" t="str">
        <f>IFERROR(__xludf.DUMMYFUNCTION("""COMPUTED_VALUE"""),"No")</f>
        <v>No</v>
      </c>
      <c r="M71" s="10">
        <f>IFERROR(__xludf.DUMMYFUNCTION("""COMPUTED_VALUE"""),9.0)</f>
        <v>9</v>
      </c>
      <c r="N71" s="10" t="str">
        <f>IFERROR(__xludf.DUMMYFUNCTION("""COMPUTED_VALUE"""),"Yes")</f>
        <v>Yes</v>
      </c>
      <c r="O71" s="323">
        <f>IFERROR(__xludf.DUMMYFUNCTION("""COMPUTED_VALUE"""),0.0)</f>
        <v>0</v>
      </c>
      <c r="P71" s="10">
        <f>IFERROR(__xludf.DUMMYFUNCTION("""COMPUTED_VALUE"""),0.0)</f>
        <v>0</v>
      </c>
      <c r="Q71" s="10">
        <f>IFERROR(__xludf.DUMMYFUNCTION("""COMPUTED_VALUE"""),10.0)</f>
        <v>10</v>
      </c>
      <c r="R71" s="10">
        <f>IFERROR(__xludf.DUMMYFUNCTION("""COMPUTED_VALUE"""),0.0)</f>
        <v>0</v>
      </c>
      <c r="S71" s="10" t="str">
        <f>IFERROR(__xludf.DUMMYFUNCTION("""COMPUTED_VALUE"""),"https://drive.google.com/open?id=1YcEumL1Y7J1wLm3GWSg2HOxjdoPUG81Q, https://drive.google.com/open?id=1UncZTXNIR_gzluQICmmQNQLokqTCoRCB")</f>
        <v>https://drive.google.com/open?id=1YcEumL1Y7J1wLm3GWSg2HOxjdoPUG81Q, https://drive.google.com/open?id=1UncZTXNIR_gzluQICmmQNQLokqTCoRCB</v>
      </c>
      <c r="T71" s="10" t="str">
        <f>IFERROR(__xludf.DUMMYFUNCTION("""COMPUTED_VALUE"""),"https://drive.google.com/open?id=1re3PwC0L1P4X6VGQBYiUPH6lkl2McYh4, https://drive.google.com/open?id=1xQ3dem2ejFKtTYWAIHZnOAUosMVBcped")</f>
        <v>https://drive.google.com/open?id=1re3PwC0L1P4X6VGQBYiUPH6lkl2McYh4, https://drive.google.com/open?id=1xQ3dem2ejFKtTYWAIHZnOAUosMVBcped</v>
      </c>
      <c r="U71" s="18" t="str">
        <f>IFERROR(__xludf.DUMMYFUNCTION("""COMPUTED_VALUE"""),"https://drive.google.com/open?id=1h0CmlQPJme3hIEMkKNoeU5mnnvOBp97p")</f>
        <v>https://drive.google.com/open?id=1h0CmlQPJme3hIEMkKNoeU5mnnvOBp97p</v>
      </c>
      <c r="V71" s="10"/>
      <c r="W71" s="10"/>
      <c r="X71" s="10" t="str">
        <f>IFERROR(__xludf.DUMMYFUNCTION("""COMPUTED_VALUE"""),"Yes")</f>
        <v>Yes</v>
      </c>
      <c r="Y71" s="14" t="str">
        <f>IFERROR(__xludf.DUMMYFUNCTION("""COMPUTED_VALUE"""),"dilawarkhan1172@gmail.com")</f>
        <v>dilawarkhan1172@gmail.com</v>
      </c>
      <c r="AA71" s="325">
        <v>2.0</v>
      </c>
    </row>
    <row r="72" hidden="1">
      <c r="A72" s="9">
        <f>IFERROR(__xludf.DUMMYFUNCTION("""COMPUTED_VALUE"""),45765.66132565972)</f>
        <v>45765.66133</v>
      </c>
      <c r="B72" s="10" t="str">
        <f>IFERROR(__xludf.DUMMYFUNCTION("""COMPUTED_VALUE"""),"Ali usman ")</f>
        <v>Ali usman </v>
      </c>
      <c r="C72" s="10" t="str">
        <f>IFERROR(__xludf.DUMMYFUNCTION("""COMPUTED_VALUE"""),"03035218874")</f>
        <v>03035218874</v>
      </c>
      <c r="D72" s="10" t="str">
        <f>IFERROR(__xludf.DUMMYFUNCTION("""COMPUTED_VALUE"""),"	Jamia Masjid Main Bazar Kahchu Pura Lahore")</f>
        <v>	Jamia Masjid Main Bazar Kahchu Pura Lahore</v>
      </c>
      <c r="E72" s="10" t="str">
        <f>IFERROR(__xludf.DUMMYFUNCTION("""COMPUTED_VALUE"""),"slyiw")</f>
        <v>slyiw</v>
      </c>
      <c r="F72" s="10">
        <f>IFERROR(__xludf.DUMMYFUNCTION("""COMPUTED_VALUE"""),420.0)</f>
        <v>420</v>
      </c>
      <c r="G72" s="10">
        <f>IFERROR(__xludf.DUMMYFUNCTION("""COMPUTED_VALUE"""),7.0)</f>
        <v>7</v>
      </c>
      <c r="H72" s="10">
        <f>IFERROR(__xludf.DUMMYFUNCTION("""COMPUTED_VALUE"""),6.0)</f>
        <v>6</v>
      </c>
      <c r="I72" s="10">
        <f>IFERROR(__xludf.DUMMYFUNCTION("""COMPUTED_VALUE"""),1.0)</f>
        <v>1</v>
      </c>
      <c r="J72" s="10">
        <f>IFERROR(__xludf.DUMMYFUNCTION("""COMPUTED_VALUE"""),2004.0)</f>
        <v>2004</v>
      </c>
      <c r="K72" s="10" t="str">
        <f>IFERROR(__xludf.DUMMYFUNCTION("""COMPUTED_VALUE"""),"No")</f>
        <v>No</v>
      </c>
      <c r="L72" s="10" t="str">
        <f>IFERROR(__xludf.DUMMYFUNCTION("""COMPUTED_VALUE"""),"No")</f>
        <v>No</v>
      </c>
      <c r="M72" s="10">
        <f>IFERROR(__xludf.DUMMYFUNCTION("""COMPUTED_VALUE"""),9.0)</f>
        <v>9</v>
      </c>
      <c r="N72" s="10" t="str">
        <f>IFERROR(__xludf.DUMMYFUNCTION("""COMPUTED_VALUE"""),"Yes")</f>
        <v>Yes</v>
      </c>
      <c r="O72" s="323">
        <f>IFERROR(__xludf.DUMMYFUNCTION("""COMPUTED_VALUE"""),0.8)</f>
        <v>0.8</v>
      </c>
      <c r="P72" s="10">
        <f>IFERROR(__xludf.DUMMYFUNCTION("""COMPUTED_VALUE"""),8.0)</f>
        <v>8</v>
      </c>
      <c r="Q72" s="10">
        <f>IFERROR(__xludf.DUMMYFUNCTION("""COMPUTED_VALUE"""),2.0)</f>
        <v>2</v>
      </c>
      <c r="R72" s="10">
        <f>IFERROR(__xludf.DUMMYFUNCTION("""COMPUTED_VALUE"""),10.0)</f>
        <v>10</v>
      </c>
      <c r="S72" s="18" t="str">
        <f>IFERROR(__xludf.DUMMYFUNCTION("""COMPUTED_VALUE"""),"https://drive.google.com/open?id=1ivGXG7d0x3k8iU_LT4PkueUuxPTvoamc")</f>
        <v>https://drive.google.com/open?id=1ivGXG7d0x3k8iU_LT4PkueUuxPTvoamc</v>
      </c>
      <c r="T72" s="18" t="str">
        <f>IFERROR(__xludf.DUMMYFUNCTION("""COMPUTED_VALUE"""),"https://drive.google.com/open?id=1lvLEKIdEn2Eax_vZH_hhxZOtaLvsB4vj")</f>
        <v>https://drive.google.com/open?id=1lvLEKIdEn2Eax_vZH_hhxZOtaLvsB4vj</v>
      </c>
      <c r="U72" s="18" t="str">
        <f>IFERROR(__xludf.DUMMYFUNCTION("""COMPUTED_VALUE"""),"https://drive.google.com/open?id=1IbLr7uhuNkb1eCBCmaa2HZoHrxZ5AuY0")</f>
        <v>https://drive.google.com/open?id=1IbLr7uhuNkb1eCBCmaa2HZoHrxZ5AuY0</v>
      </c>
      <c r="V72" s="10"/>
      <c r="W72" s="10"/>
      <c r="X72" s="10" t="str">
        <f>IFERROR(__xludf.DUMMYFUNCTION("""COMPUTED_VALUE"""),"Yes")</f>
        <v>Yes</v>
      </c>
      <c r="Y72" s="14" t="str">
        <f>IFERROR(__xludf.DUMMYFUNCTION("""COMPUTED_VALUE"""),"hobyhobby00@gmail.com")</f>
        <v>hobyhobby00@gmail.com</v>
      </c>
      <c r="AA72" s="325">
        <v>2.0</v>
      </c>
    </row>
    <row r="73" hidden="1">
      <c r="A73" s="9">
        <f>IFERROR(__xludf.DUMMYFUNCTION("""COMPUTED_VALUE"""),45765.7644121412)</f>
        <v>45765.76441</v>
      </c>
      <c r="B73" s="10" t="str">
        <f>IFERROR(__xludf.DUMMYFUNCTION("""COMPUTED_VALUE"""),"Muhammad Noman")</f>
        <v>Muhammad Noman</v>
      </c>
      <c r="C73" s="10" t="str">
        <f>IFERROR(__xludf.DUMMYFUNCTION("""COMPUTED_VALUE"""),"03036966304")</f>
        <v>03036966304</v>
      </c>
      <c r="D73" s="10" t="str">
        <f>IFERROR(__xludf.DUMMYFUNCTION("""COMPUTED_VALUE"""),"Jamia masjid darbar bibi pak daman")</f>
        <v>Jamia masjid darbar bibi pak daman</v>
      </c>
      <c r="E73" s="10" t="str">
        <f>IFERROR(__xludf.DUMMYFUNCTION("""COMPUTED_VALUE"""),"SHCUY")</f>
        <v>SHCUY</v>
      </c>
      <c r="F73" s="10">
        <f>IFERROR(__xludf.DUMMYFUNCTION("""COMPUTED_VALUE"""),360.0)</f>
        <v>360</v>
      </c>
      <c r="G73" s="10">
        <f>IFERROR(__xludf.DUMMYFUNCTION("""COMPUTED_VALUE"""),8.0)</f>
        <v>8</v>
      </c>
      <c r="H73" s="10">
        <f>IFERROR(__xludf.DUMMYFUNCTION("""COMPUTED_VALUE"""),7.0)</f>
        <v>7</v>
      </c>
      <c r="I73" s="10">
        <f>IFERROR(__xludf.DUMMYFUNCTION("""COMPUTED_VALUE"""),1.0)</f>
        <v>1</v>
      </c>
      <c r="J73" s="10" t="str">
        <f>IFERROR(__xludf.DUMMYFUNCTION("""COMPUTED_VALUE"""),"0000")</f>
        <v>0000</v>
      </c>
      <c r="K73" s="10" t="str">
        <f>IFERROR(__xludf.DUMMYFUNCTION("""COMPUTED_VALUE"""),"No")</f>
        <v>No</v>
      </c>
      <c r="L73" s="10" t="str">
        <f>IFERROR(__xludf.DUMMYFUNCTION("""COMPUTED_VALUE"""),"Darbar Bibi Pak daman ")</f>
        <v>Darbar Bibi Pak daman </v>
      </c>
      <c r="M73" s="10">
        <f>IFERROR(__xludf.DUMMYFUNCTION("""COMPUTED_VALUE"""),8.0)</f>
        <v>8</v>
      </c>
      <c r="N73" s="10" t="str">
        <f>IFERROR(__xludf.DUMMYFUNCTION("""COMPUTED_VALUE"""),"No")</f>
        <v>No</v>
      </c>
      <c r="O73" s="10"/>
      <c r="P73" s="10"/>
      <c r="Q73" s="10"/>
      <c r="R73" s="10"/>
      <c r="S73" s="18" t="str">
        <f>IFERROR(__xludf.DUMMYFUNCTION("""COMPUTED_VALUE"""),"https://drive.google.com/open?id=1auxKaKnnKsajiut7XLiOcfZjFYrdBY5C")</f>
        <v>https://drive.google.com/open?id=1auxKaKnnKsajiut7XLiOcfZjFYrdBY5C</v>
      </c>
      <c r="T73" s="18" t="str">
        <f>IFERROR(__xludf.DUMMYFUNCTION("""COMPUTED_VALUE"""),"https://drive.google.com/open?id=1uPdQxAv4lQHNlF1aIl4f_WeKicUkvPRK")</f>
        <v>https://drive.google.com/open?id=1uPdQxAv4lQHNlF1aIl4f_WeKicUkvPRK</v>
      </c>
      <c r="U73" s="18" t="str">
        <f>IFERROR(__xludf.DUMMYFUNCTION("""COMPUTED_VALUE"""),"https://drive.google.com/open?id=1Jtet982nrjyc3_gFoXM5WqIyQ54Ehbc3")</f>
        <v>https://drive.google.com/open?id=1Jtet982nrjyc3_gFoXM5WqIyQ54Ehbc3</v>
      </c>
      <c r="V73" s="10"/>
      <c r="W73" s="10"/>
      <c r="X73" s="10"/>
      <c r="Y73" s="14" t="str">
        <f>IFERROR(__xludf.DUMMYFUNCTION("""COMPUTED_VALUE"""),"miannomanamjad284@gmail.com")</f>
        <v>miannomanamjad284@gmail.com</v>
      </c>
      <c r="AA73" s="325">
        <v>3.0</v>
      </c>
    </row>
    <row r="74" hidden="1">
      <c r="A74" s="9">
        <f>IFERROR(__xludf.DUMMYFUNCTION("""COMPUTED_VALUE"""),45765.779690219904)</f>
        <v>45765.77969</v>
      </c>
      <c r="B74" s="10" t="str">
        <f>IFERROR(__xludf.DUMMYFUNCTION("""COMPUTED_VALUE"""),"Anees ")</f>
        <v>Anees </v>
      </c>
      <c r="C74" s="10" t="str">
        <f>IFERROR(__xludf.DUMMYFUNCTION("""COMPUTED_VALUE"""),"03374188965")</f>
        <v>03374188965</v>
      </c>
      <c r="D74" s="10" t="str">
        <f>IFERROR(__xludf.DUMMYFUNCTION("""COMPUTED_VALUE"""),"Jamia masjid darbar shah gohar peer")</f>
        <v>Jamia masjid darbar shah gohar peer</v>
      </c>
      <c r="E74" s="10" t="str">
        <f>IFERROR(__xludf.DUMMYFUNCTION("""COMPUTED_VALUE"""),"Qecjr")</f>
        <v>Qecjr</v>
      </c>
      <c r="F74" s="10">
        <f>IFERROR(__xludf.DUMMYFUNCTION("""COMPUTED_VALUE"""),130.0)</f>
        <v>130</v>
      </c>
      <c r="G74" s="10">
        <f>IFERROR(__xludf.DUMMYFUNCTION("""COMPUTED_VALUE"""),9.0)</f>
        <v>9</v>
      </c>
      <c r="H74" s="10">
        <f>IFERROR(__xludf.DUMMYFUNCTION("""COMPUTED_VALUE"""),7.0)</f>
        <v>7</v>
      </c>
      <c r="I74" s="10">
        <f>IFERROR(__xludf.DUMMYFUNCTION("""COMPUTED_VALUE"""),0.0)</f>
        <v>0</v>
      </c>
      <c r="J74" s="10" t="str">
        <f>IFERROR(__xludf.DUMMYFUNCTION("""COMPUTED_VALUE"""),"0000")</f>
        <v>0000</v>
      </c>
      <c r="K74" s="10" t="str">
        <f>IFERROR(__xludf.DUMMYFUNCTION("""COMPUTED_VALUE"""),"No")</f>
        <v>No</v>
      </c>
      <c r="L74" s="10" t="str">
        <f>IFERROR(__xludf.DUMMYFUNCTION("""COMPUTED_VALUE"""),"Darbar Shah gohar peer")</f>
        <v>Darbar Shah gohar peer</v>
      </c>
      <c r="M74" s="10">
        <f>IFERROR(__xludf.DUMMYFUNCTION("""COMPUTED_VALUE"""),8.0)</f>
        <v>8</v>
      </c>
      <c r="N74" s="10" t="str">
        <f>IFERROR(__xludf.DUMMYFUNCTION("""COMPUTED_VALUE"""),"No")</f>
        <v>No</v>
      </c>
      <c r="O74" s="10"/>
      <c r="P74" s="10"/>
      <c r="Q74" s="10"/>
      <c r="R74" s="10"/>
      <c r="S74" s="18" t="str">
        <f>IFERROR(__xludf.DUMMYFUNCTION("""COMPUTED_VALUE"""),"https://drive.google.com/open?id=1oX9SNGo0OXwSLG1lAOXvD4F2dasB-rNf")</f>
        <v>https://drive.google.com/open?id=1oX9SNGo0OXwSLG1lAOXvD4F2dasB-rNf</v>
      </c>
      <c r="T74" s="18" t="str">
        <f>IFERROR(__xludf.DUMMYFUNCTION("""COMPUTED_VALUE"""),"https://drive.google.com/open?id=1sG9ljG1_finXwGSfE7-Wc3Ensv0-12cX")</f>
        <v>https://drive.google.com/open?id=1sG9ljG1_finXwGSfE7-Wc3Ensv0-12cX</v>
      </c>
      <c r="U74" s="18" t="str">
        <f>IFERROR(__xludf.DUMMYFUNCTION("""COMPUTED_VALUE"""),"https://drive.google.com/open?id=1ElibYT8yZUnQZ-ksmskqtl56Wo93UjcN")</f>
        <v>https://drive.google.com/open?id=1ElibYT8yZUnQZ-ksmskqtl56Wo93UjcN</v>
      </c>
      <c r="V74" s="10"/>
      <c r="W74" s="10"/>
      <c r="X74" s="10"/>
      <c r="Y74" s="14" t="str">
        <f>IFERROR(__xludf.DUMMYFUNCTION("""COMPUTED_VALUE"""),"miannomanamjad284@gmail.com")</f>
        <v>miannomanamjad284@gmail.com</v>
      </c>
      <c r="AA74" s="325">
        <v>3.0</v>
      </c>
    </row>
    <row r="75" hidden="1">
      <c r="A75" s="9">
        <f>IFERROR(__xludf.DUMMYFUNCTION("""COMPUTED_VALUE"""),45766.02726503472)</f>
        <v>45766.02727</v>
      </c>
      <c r="B75" s="10" t="str">
        <f>IFERROR(__xludf.DUMMYFUNCTION("""COMPUTED_VALUE"""),"Abdul Rauf ")</f>
        <v>Abdul Rauf </v>
      </c>
      <c r="C75" s="10" t="str">
        <f>IFERROR(__xludf.DUMMYFUNCTION("""COMPUTED_VALUE"""),"03008789099")</f>
        <v>03008789099</v>
      </c>
      <c r="D75" s="10" t="str">
        <f>IFERROR(__xludf.DUMMYFUNCTION("""COMPUTED_VALUE"""),"Jamiya masjid shah shams quadari Lahore ")</f>
        <v>Jamiya masjid shah shams quadari Lahore </v>
      </c>
      <c r="E75" s="10" t="str">
        <f>IFERROR(__xludf.DUMMYFUNCTION("""COMPUTED_VALUE"""),"rhlwr")</f>
        <v>rhlwr</v>
      </c>
      <c r="F75" s="10">
        <f>IFERROR(__xludf.DUMMYFUNCTION("""COMPUTED_VALUE"""),200.0)</f>
        <v>200</v>
      </c>
      <c r="G75" s="10">
        <f>IFERROR(__xludf.DUMMYFUNCTION("""COMPUTED_VALUE"""),3.0)</f>
        <v>3</v>
      </c>
      <c r="H75" s="10">
        <f>IFERROR(__xludf.DUMMYFUNCTION("""COMPUTED_VALUE"""),8.0)</f>
        <v>8</v>
      </c>
      <c r="I75" s="10">
        <f>IFERROR(__xludf.DUMMYFUNCTION("""COMPUTED_VALUE"""),2.0)</f>
        <v>2</v>
      </c>
      <c r="J75" s="10">
        <f>IFERROR(__xludf.DUMMYFUNCTION("""COMPUTED_VALUE"""),1966.0)</f>
        <v>1966</v>
      </c>
      <c r="K75" s="10" t="str">
        <f>IFERROR(__xludf.DUMMYFUNCTION("""COMPUTED_VALUE"""),"No")</f>
        <v>No</v>
      </c>
      <c r="L75" s="10" t="str">
        <f>IFERROR(__xludf.DUMMYFUNCTION("""COMPUTED_VALUE"""),"Shah shamas")</f>
        <v>Shah shamas</v>
      </c>
      <c r="M75" s="10">
        <f>IFERROR(__xludf.DUMMYFUNCTION("""COMPUTED_VALUE"""),8.0)</f>
        <v>8</v>
      </c>
      <c r="N75" s="10" t="str">
        <f>IFERROR(__xludf.DUMMYFUNCTION("""COMPUTED_VALUE"""),"No")</f>
        <v>No</v>
      </c>
      <c r="O75" s="10"/>
      <c r="P75" s="10"/>
      <c r="Q75" s="10"/>
      <c r="R75" s="10"/>
      <c r="S75" s="18" t="str">
        <f>IFERROR(__xludf.DUMMYFUNCTION("""COMPUTED_VALUE"""),"https://drive.google.com/open?id=1Nu50NlP9a0X0_C6oAEPyEb9rgdx3qyiw")</f>
        <v>https://drive.google.com/open?id=1Nu50NlP9a0X0_C6oAEPyEb9rgdx3qyiw</v>
      </c>
      <c r="T75" s="10" t="str">
        <f>IFERROR(__xludf.DUMMYFUNCTION("""COMPUTED_VALUE"""),"https://drive.google.com/open?id=1KvMd6ZYBWJi3tLxWEaCExkPyg25GW5zp, https://drive.google.com/open?id=1q_hWdJJ7QuIznIvLdiHIKX2Dyo6bT9Vc")</f>
        <v>https://drive.google.com/open?id=1KvMd6ZYBWJi3tLxWEaCExkPyg25GW5zp, https://drive.google.com/open?id=1q_hWdJJ7QuIznIvLdiHIKX2Dyo6bT9Vc</v>
      </c>
      <c r="U75" s="18" t="str">
        <f>IFERROR(__xludf.DUMMYFUNCTION("""COMPUTED_VALUE"""),"https://drive.google.com/open?id=16O1JUFkR4Mev64TMmZlriBveLKpjVstA")</f>
        <v>https://drive.google.com/open?id=16O1JUFkR4Mev64TMmZlriBveLKpjVstA</v>
      </c>
      <c r="V75" s="10" t="str">
        <f>IFERROR(__xludf.DUMMYFUNCTION("""COMPUTED_VALUE"""),"Ni")</f>
        <v>Ni</v>
      </c>
      <c r="W75" s="10"/>
      <c r="X75" s="10"/>
      <c r="Y75" s="14" t="str">
        <f>IFERROR(__xludf.DUMMYFUNCTION("""COMPUTED_VALUE"""),"rauf88699@gmail.com")</f>
        <v>rauf88699@gmail.com</v>
      </c>
      <c r="AA75" s="325">
        <v>2.0</v>
      </c>
    </row>
    <row r="76" hidden="1">
      <c r="A76" s="9">
        <f>IFERROR(__xludf.DUMMYFUNCTION("""COMPUTED_VALUE"""),45766.04123366898)</f>
        <v>45766.04123</v>
      </c>
      <c r="B76" s="10" t="str">
        <f>IFERROR(__xludf.DUMMYFUNCTION("""COMPUTED_VALUE"""),"Ahmad ")</f>
        <v>Ahmad </v>
      </c>
      <c r="C76" s="10" t="str">
        <f>IFERROR(__xludf.DUMMYFUNCTION("""COMPUTED_VALUE""")," 0346 7171875")</f>
        <v> 0346 7171875</v>
      </c>
      <c r="D76" s="10" t="str">
        <f>IFERROR(__xludf.DUMMYFUNCTION("""COMPUTED_VALUE"""),"Jamiya masjid hanfiya peer hakum shah")</f>
        <v>Jamiya masjid hanfiya peer hakum shah</v>
      </c>
      <c r="E76" s="10" t="str">
        <f>IFERROR(__xludf.DUMMYFUNCTION("""COMPUTED_VALUE"""),"hbroz")</f>
        <v>hbroz</v>
      </c>
      <c r="F76" s="10">
        <f>IFERROR(__xludf.DUMMYFUNCTION("""COMPUTED_VALUE"""),500.0)</f>
        <v>500</v>
      </c>
      <c r="G76" s="10">
        <f>IFERROR(__xludf.DUMMYFUNCTION("""COMPUTED_VALUE"""),10.0)</f>
        <v>10</v>
      </c>
      <c r="H76" s="10">
        <f>IFERROR(__xludf.DUMMYFUNCTION("""COMPUTED_VALUE"""),10.0)</f>
        <v>10</v>
      </c>
      <c r="I76" s="10">
        <f>IFERROR(__xludf.DUMMYFUNCTION("""COMPUTED_VALUE"""),0.0)</f>
        <v>0</v>
      </c>
      <c r="J76" s="10">
        <f>IFERROR(__xludf.DUMMYFUNCTION("""COMPUTED_VALUE"""),1988.0)</f>
        <v>1988</v>
      </c>
      <c r="K76" s="10" t="str">
        <f>IFERROR(__xludf.DUMMYFUNCTION("""COMPUTED_VALUE"""),"No")</f>
        <v>No</v>
      </c>
      <c r="L76" s="10" t="str">
        <f>IFERROR(__xludf.DUMMYFUNCTION("""COMPUTED_VALUE"""),"Peer hakum shah")</f>
        <v>Peer hakum shah</v>
      </c>
      <c r="M76" s="10">
        <f>IFERROR(__xludf.DUMMYFUNCTION("""COMPUTED_VALUE"""),10.0)</f>
        <v>10</v>
      </c>
      <c r="N76" s="10" t="str">
        <f>IFERROR(__xludf.DUMMYFUNCTION("""COMPUTED_VALUE"""),"No")</f>
        <v>No</v>
      </c>
      <c r="O76" s="10"/>
      <c r="P76" s="10"/>
      <c r="Q76" s="10"/>
      <c r="R76" s="10"/>
      <c r="S76" s="18" t="str">
        <f>IFERROR(__xludf.DUMMYFUNCTION("""COMPUTED_VALUE"""),"https://drive.google.com/open?id=1Vo1YJV-wa2qMb8zAYI3ljudCLIwhy-hE")</f>
        <v>https://drive.google.com/open?id=1Vo1YJV-wa2qMb8zAYI3ljudCLIwhy-hE</v>
      </c>
      <c r="T76" s="18" t="str">
        <f>IFERROR(__xludf.DUMMYFUNCTION("""COMPUTED_VALUE"""),"https://drive.google.com/open?id=1znZ-eB3GTnmq6riifjKvjuUCrhGEixSJ")</f>
        <v>https://drive.google.com/open?id=1znZ-eB3GTnmq6riifjKvjuUCrhGEixSJ</v>
      </c>
      <c r="U76" s="18" t="str">
        <f>IFERROR(__xludf.DUMMYFUNCTION("""COMPUTED_VALUE"""),"https://drive.google.com/open?id=1cvIqk8lDUB7l-xaAalD6V_snORVOSeFQ")</f>
        <v>https://drive.google.com/open?id=1cvIqk8lDUB7l-xaAalD6V_snORVOSeFQ</v>
      </c>
      <c r="V76" s="10" t="str">
        <f>IFERROR(__xludf.DUMMYFUNCTION("""COMPUTED_VALUE"""),"No")</f>
        <v>No</v>
      </c>
      <c r="W76" s="10"/>
      <c r="X76" s="10"/>
      <c r="Y76" s="14" t="str">
        <f>IFERROR(__xludf.DUMMYFUNCTION("""COMPUTED_VALUE"""),"ahmedsaeed3351817@gmail.com")</f>
        <v>ahmedsaeed3351817@gmail.com</v>
      </c>
      <c r="AA76" s="325">
        <v>1.0</v>
      </c>
    </row>
    <row r="77" hidden="1">
      <c r="A77" s="9">
        <f>IFERROR(__xludf.DUMMYFUNCTION("""COMPUTED_VALUE"""),45766.536087280096)</f>
        <v>45766.53609</v>
      </c>
      <c r="B77" s="10" t="str">
        <f>IFERROR(__xludf.DUMMYFUNCTION("""COMPUTED_VALUE"""),"Salman yousaf ")</f>
        <v>Salman yousaf </v>
      </c>
      <c r="C77" s="10" t="str">
        <f>IFERROR(__xludf.DUMMYFUNCTION("""COMPUTED_VALUE"""),"03054436981")</f>
        <v>03054436981</v>
      </c>
      <c r="D77" s="10" t="str">
        <f>IFERROR(__xludf.DUMMYFUNCTION("""COMPUTED_VALUE"""),"Jamia masjid Aali ")</f>
        <v>Jamia masjid Aali </v>
      </c>
      <c r="E77" s="10" t="str">
        <f>IFERROR(__xludf.DUMMYFUNCTION("""COMPUTED_VALUE"""),"Pwwfr")</f>
        <v>Pwwfr</v>
      </c>
      <c r="F77" s="10">
        <f>IFERROR(__xludf.DUMMYFUNCTION("""COMPUTED_VALUE"""),120.0)</f>
        <v>120</v>
      </c>
      <c r="G77" s="10">
        <f>IFERROR(__xludf.DUMMYFUNCTION("""COMPUTED_VALUE"""),7.0)</f>
        <v>7</v>
      </c>
      <c r="H77" s="10">
        <f>IFERROR(__xludf.DUMMYFUNCTION("""COMPUTED_VALUE"""),9.0)</f>
        <v>9</v>
      </c>
      <c r="I77" s="10">
        <f>IFERROR(__xludf.DUMMYFUNCTION("""COMPUTED_VALUE"""),2.0)</f>
        <v>2</v>
      </c>
      <c r="J77" s="10">
        <f>IFERROR(__xludf.DUMMYFUNCTION("""COMPUTED_VALUE"""),1951.0)</f>
        <v>1951</v>
      </c>
      <c r="K77" s="10" t="str">
        <f>IFERROR(__xludf.DUMMYFUNCTION("""COMPUTED_VALUE"""),"No")</f>
        <v>No</v>
      </c>
      <c r="L77" s="10" t="str">
        <f>IFERROR(__xludf.DUMMYFUNCTION("""COMPUTED_VALUE"""),"No")</f>
        <v>No</v>
      </c>
      <c r="M77" s="10">
        <f>IFERROR(__xludf.DUMMYFUNCTION("""COMPUTED_VALUE"""),10.0)</f>
        <v>10</v>
      </c>
      <c r="N77" s="10" t="str">
        <f>IFERROR(__xludf.DUMMYFUNCTION("""COMPUTED_VALUE"""),"Yes")</f>
        <v>Yes</v>
      </c>
      <c r="O77" s="323">
        <f>IFERROR(__xludf.DUMMYFUNCTION("""COMPUTED_VALUE"""),1.0)</f>
        <v>1</v>
      </c>
      <c r="P77" s="10">
        <f>IFERROR(__xludf.DUMMYFUNCTION("""COMPUTED_VALUE"""),10.0)</f>
        <v>10</v>
      </c>
      <c r="Q77" s="10">
        <f>IFERROR(__xludf.DUMMYFUNCTION("""COMPUTED_VALUE"""),10.0)</f>
        <v>10</v>
      </c>
      <c r="R77" s="10">
        <f>IFERROR(__xludf.DUMMYFUNCTION("""COMPUTED_VALUE"""),10.0)</f>
        <v>10</v>
      </c>
      <c r="S77" s="10"/>
      <c r="T77" s="10"/>
      <c r="U77" s="18" t="str">
        <f>IFERROR(__xludf.DUMMYFUNCTION("""COMPUTED_VALUE"""),"https://drive.google.com/open?id=1L6V7_glf43lqG328d7ZAdm9-bnqIPmFV")</f>
        <v>https://drive.google.com/open?id=1L6V7_glf43lqG328d7ZAdm9-bnqIPmFV</v>
      </c>
      <c r="V77" s="10" t="str">
        <f>IFERROR(__xludf.DUMMYFUNCTION("""COMPUTED_VALUE"""),"No")</f>
        <v>No</v>
      </c>
      <c r="W77" s="10"/>
      <c r="X77" s="10" t="str">
        <f>IFERROR(__xludf.DUMMYFUNCTION("""COMPUTED_VALUE"""),"Yes")</f>
        <v>Yes</v>
      </c>
      <c r="Y77" s="14" t="str">
        <f>IFERROR(__xludf.DUMMYFUNCTION("""COMPUTED_VALUE"""),"salmanyousaf806@gmail.com")</f>
        <v>salmanyousaf806@gmail.com</v>
      </c>
      <c r="AA77" s="325">
        <v>2.0</v>
      </c>
    </row>
    <row r="78" hidden="1">
      <c r="A78" s="9">
        <f>IFERROR(__xludf.DUMMYFUNCTION("""COMPUTED_VALUE"""),45766.95615084491)</f>
        <v>45766.95615</v>
      </c>
      <c r="B78" s="10" t="str">
        <f>IFERROR(__xludf.DUMMYFUNCTION("""COMPUTED_VALUE"""),"M Haseeb ")</f>
        <v>M Haseeb </v>
      </c>
      <c r="C78" s="10" t="str">
        <f>IFERROR(__xludf.DUMMYFUNCTION("""COMPUTED_VALUE"""),"03262232424")</f>
        <v>03262232424</v>
      </c>
      <c r="D78" s="10" t="str">
        <f>IFERROR(__xludf.DUMMYFUNCTION("""COMPUTED_VALUE"""),"jamia masjid hazrat syed charag ali shah ealton road ")</f>
        <v>jamia masjid hazrat syed charag ali shah ealton road </v>
      </c>
      <c r="E78" s="10" t="str">
        <f>IFERROR(__xludf.DUMMYFUNCTION("""COMPUTED_VALUE"""),"vmezu ")</f>
        <v>vmezu </v>
      </c>
      <c r="F78" s="10">
        <f>IFERROR(__xludf.DUMMYFUNCTION("""COMPUTED_VALUE"""),174.0)</f>
        <v>174</v>
      </c>
      <c r="G78" s="10">
        <f>IFERROR(__xludf.DUMMYFUNCTION("""COMPUTED_VALUE"""),8.0)</f>
        <v>8</v>
      </c>
      <c r="H78" s="10">
        <f>IFERROR(__xludf.DUMMYFUNCTION("""COMPUTED_VALUE"""),8.0)</f>
        <v>8</v>
      </c>
      <c r="I78" s="10">
        <f>IFERROR(__xludf.DUMMYFUNCTION("""COMPUTED_VALUE"""),3.0)</f>
        <v>3</v>
      </c>
      <c r="J78" s="10" t="str">
        <f>IFERROR(__xludf.DUMMYFUNCTION("""COMPUTED_VALUE"""),"0000")</f>
        <v>0000</v>
      </c>
      <c r="K78" s="10" t="str">
        <f>IFERROR(__xludf.DUMMYFUNCTION("""COMPUTED_VALUE"""),"No")</f>
        <v>No</v>
      </c>
      <c r="L78" s="10" t="str">
        <f>IFERROR(__xludf.DUMMYFUNCTION("""COMPUTED_VALUE"""),"Ha")</f>
        <v>Ha</v>
      </c>
      <c r="M78" s="10">
        <f>IFERROR(__xludf.DUMMYFUNCTION("""COMPUTED_VALUE"""),9.0)</f>
        <v>9</v>
      </c>
      <c r="N78" s="10" t="str">
        <f>IFERROR(__xludf.DUMMYFUNCTION("""COMPUTED_VALUE"""),"Yes")</f>
        <v>Yes</v>
      </c>
      <c r="O78" s="323">
        <f>IFERROR(__xludf.DUMMYFUNCTION("""COMPUTED_VALUE"""),1.0)</f>
        <v>1</v>
      </c>
      <c r="P78" s="10">
        <f>IFERROR(__xludf.DUMMYFUNCTION("""COMPUTED_VALUE"""),10.0)</f>
        <v>10</v>
      </c>
      <c r="Q78" s="10">
        <f>IFERROR(__xludf.DUMMYFUNCTION("""COMPUTED_VALUE"""),4.0)</f>
        <v>4</v>
      </c>
      <c r="R78" s="10">
        <f>IFERROR(__xludf.DUMMYFUNCTION("""COMPUTED_VALUE"""),10.0)</f>
        <v>10</v>
      </c>
      <c r="S78" s="18" t="str">
        <f>IFERROR(__xludf.DUMMYFUNCTION("""COMPUTED_VALUE"""),"https://drive.google.com/open?id=1eaRutIbfjbc5tsIhU6Ciw3K88czzAS5Y")</f>
        <v>https://drive.google.com/open?id=1eaRutIbfjbc5tsIhU6Ciw3K88czzAS5Y</v>
      </c>
      <c r="T78" s="18" t="str">
        <f>IFERROR(__xludf.DUMMYFUNCTION("""COMPUTED_VALUE"""),"https://drive.google.com/open?id=1QDRrrptPZvaYtmE1pF32Ibi1AhAkTFlt")</f>
        <v>https://drive.google.com/open?id=1QDRrrptPZvaYtmE1pF32Ibi1AhAkTFlt</v>
      </c>
      <c r="U78" s="18" t="str">
        <f>IFERROR(__xludf.DUMMYFUNCTION("""COMPUTED_VALUE"""),"https://drive.google.com/open?id=1e6MLpEvXEcYJxDEk0rH59lrv2XuEaP9T")</f>
        <v>https://drive.google.com/open?id=1e6MLpEvXEcYJxDEk0rH59lrv2XuEaP9T</v>
      </c>
      <c r="V78" s="10"/>
      <c r="W78" s="10"/>
      <c r="X78" s="10" t="str">
        <f>IFERROR(__xludf.DUMMYFUNCTION("""COMPUTED_VALUE"""),"Yes")</f>
        <v>Yes</v>
      </c>
      <c r="Y78" s="14" t="str">
        <f>IFERROR(__xludf.DUMMYFUNCTION("""COMPUTED_VALUE"""),"haseebhamidofficial@gmail.com")</f>
        <v>haseebhamidofficial@gmail.com</v>
      </c>
      <c r="AA78" s="325">
        <v>2.0</v>
      </c>
    </row>
    <row r="79" hidden="1">
      <c r="A79" s="9">
        <f>IFERROR(__xludf.DUMMYFUNCTION("""COMPUTED_VALUE"""),45767.55502630787)</f>
        <v>45767.55503</v>
      </c>
      <c r="B79" s="10" t="str">
        <f>IFERROR(__xludf.DUMMYFUNCTION("""COMPUTED_VALUE"""),"Muhammad Ahsan")</f>
        <v>Muhammad Ahsan</v>
      </c>
      <c r="C79" s="10" t="str">
        <f>IFERROR(__xludf.DUMMYFUNCTION("""COMPUTED_VALUE"""),"03078868667")</f>
        <v>03078868667</v>
      </c>
      <c r="D79" s="10" t="str">
        <f>IFERROR(__xludf.DUMMYFUNCTION("""COMPUTED_VALUE"""),"Jamia Masjid Darbar Shah Chiraag Lahore")</f>
        <v>Jamia Masjid Darbar Shah Chiraag Lahore</v>
      </c>
      <c r="E79" s="10" t="str">
        <f>IFERROR(__xludf.DUMMYFUNCTION("""COMPUTED_VALUE"""),"pmeqo")</f>
        <v>pmeqo</v>
      </c>
      <c r="F79" s="10">
        <f>IFERROR(__xludf.DUMMYFUNCTION("""COMPUTED_VALUE"""),600.0)</f>
        <v>600</v>
      </c>
      <c r="G79" s="10">
        <f>IFERROR(__xludf.DUMMYFUNCTION("""COMPUTED_VALUE"""),9.0)</f>
        <v>9</v>
      </c>
      <c r="H79" s="10">
        <f>IFERROR(__xludf.DUMMYFUNCTION("""COMPUTED_VALUE"""),9.0)</f>
        <v>9</v>
      </c>
      <c r="I79" s="10">
        <f>IFERROR(__xludf.DUMMYFUNCTION("""COMPUTED_VALUE"""),0.0)</f>
        <v>0</v>
      </c>
      <c r="J79" s="10" t="str">
        <f>IFERROR(__xludf.DUMMYFUNCTION("""COMPUTED_VALUE"""),"00000")</f>
        <v>00000</v>
      </c>
      <c r="K79" s="10" t="str">
        <f>IFERROR(__xludf.DUMMYFUNCTION("""COMPUTED_VALUE"""),"No")</f>
        <v>No</v>
      </c>
      <c r="L79" s="10" t="str">
        <f>IFERROR(__xludf.DUMMYFUNCTION("""COMPUTED_VALUE"""),"no")</f>
        <v>no</v>
      </c>
      <c r="M79" s="10">
        <f>IFERROR(__xludf.DUMMYFUNCTION("""COMPUTED_VALUE"""),8.0)</f>
        <v>8</v>
      </c>
      <c r="N79" s="10" t="str">
        <f>IFERROR(__xludf.DUMMYFUNCTION("""COMPUTED_VALUE"""),"Yes")</f>
        <v>Yes</v>
      </c>
      <c r="O79" s="323">
        <f>IFERROR(__xludf.DUMMYFUNCTION("""COMPUTED_VALUE"""),0.8)</f>
        <v>0.8</v>
      </c>
      <c r="P79" s="10">
        <f>IFERROR(__xludf.DUMMYFUNCTION("""COMPUTED_VALUE"""),7.0)</f>
        <v>7</v>
      </c>
      <c r="Q79" s="10">
        <f>IFERROR(__xludf.DUMMYFUNCTION("""COMPUTED_VALUE"""),7.0)</f>
        <v>7</v>
      </c>
      <c r="R79" s="10">
        <f>IFERROR(__xludf.DUMMYFUNCTION("""COMPUTED_VALUE"""),6.0)</f>
        <v>6</v>
      </c>
      <c r="S79" s="18" t="str">
        <f>IFERROR(__xludf.DUMMYFUNCTION("""COMPUTED_VALUE"""),"https://drive.google.com/open?id=1d1WSb3zzd0ot7FSnh7qTVvRykbsnPH3i")</f>
        <v>https://drive.google.com/open?id=1d1WSb3zzd0ot7FSnh7qTVvRykbsnPH3i</v>
      </c>
      <c r="T79" s="18" t="str">
        <f>IFERROR(__xludf.DUMMYFUNCTION("""COMPUTED_VALUE"""),"https://drive.google.com/open?id=1YWOoS0DiquUAtmmJ1dliaAlutOygRw0s")</f>
        <v>https://drive.google.com/open?id=1YWOoS0DiquUAtmmJ1dliaAlutOygRw0s</v>
      </c>
      <c r="U79" s="18" t="str">
        <f>IFERROR(__xludf.DUMMYFUNCTION("""COMPUTED_VALUE"""),"https://drive.google.com/open?id=1-2Eh4bcLrPaRU29snlyWpok9d5Z9kSnE")</f>
        <v>https://drive.google.com/open?id=1-2Eh4bcLrPaRU29snlyWpok9d5Z9kSnE</v>
      </c>
      <c r="V79" s="10"/>
      <c r="W79" s="10"/>
      <c r="X79" s="10" t="str">
        <f>IFERROR(__xludf.DUMMYFUNCTION("""COMPUTED_VALUE"""),"Yes")</f>
        <v>Yes</v>
      </c>
      <c r="Y79" s="14" t="str">
        <f>IFERROR(__xludf.DUMMYFUNCTION("""COMPUTED_VALUE"""),"ahsanhamid496@gmail.com")</f>
        <v>ahsanhamid496@gmail.com</v>
      </c>
      <c r="AA79" s="325">
        <v>1.0</v>
      </c>
    </row>
    <row r="80" hidden="1">
      <c r="A80" s="9">
        <f>IFERROR(__xludf.DUMMYFUNCTION("""COMPUTED_VALUE"""),45767.56051009259)</f>
        <v>45767.56051</v>
      </c>
      <c r="B80" s="10" t="str">
        <f>IFERROR(__xludf.DUMMYFUNCTION("""COMPUTED_VALUE"""),"Muhammad Ahsan")</f>
        <v>Muhammad Ahsan</v>
      </c>
      <c r="C80" s="10" t="str">
        <f>IFERROR(__xludf.DUMMYFUNCTION("""COMPUTED_VALUE"""),"03078868667")</f>
        <v>03078868667</v>
      </c>
      <c r="D80" s="10" t="str">
        <f>IFERROR(__xludf.DUMMYFUNCTION("""COMPUTED_VALUE"""),"Jamia Masjid Takiya Sain Sardaara Lahore")</f>
        <v>Jamia Masjid Takiya Sain Sardaara Lahore</v>
      </c>
      <c r="E80" s="10" t="str">
        <f>IFERROR(__xludf.DUMMYFUNCTION("""COMPUTED_VALUE"""),"vtoiy")</f>
        <v>vtoiy</v>
      </c>
      <c r="F80" s="10">
        <f>IFERROR(__xludf.DUMMYFUNCTION("""COMPUTED_VALUE"""),478.0)</f>
        <v>478</v>
      </c>
      <c r="G80" s="10">
        <f>IFERROR(__xludf.DUMMYFUNCTION("""COMPUTED_VALUE"""),9.0)</f>
        <v>9</v>
      </c>
      <c r="H80" s="10">
        <f>IFERROR(__xludf.DUMMYFUNCTION("""COMPUTED_VALUE"""),9.0)</f>
        <v>9</v>
      </c>
      <c r="I80" s="10">
        <f>IFERROR(__xludf.DUMMYFUNCTION("""COMPUTED_VALUE"""),0.0)</f>
        <v>0</v>
      </c>
      <c r="J80" s="10" t="str">
        <f>IFERROR(__xludf.DUMMYFUNCTION("""COMPUTED_VALUE"""),"0000")</f>
        <v>0000</v>
      </c>
      <c r="K80" s="10" t="str">
        <f>IFERROR(__xludf.DUMMYFUNCTION("""COMPUTED_VALUE"""),"No")</f>
        <v>No</v>
      </c>
      <c r="L80" s="10" t="str">
        <f>IFERROR(__xludf.DUMMYFUNCTION("""COMPUTED_VALUE"""),"Takiya Sain Sardaara")</f>
        <v>Takiya Sain Sardaara</v>
      </c>
      <c r="M80" s="10">
        <f>IFERROR(__xludf.DUMMYFUNCTION("""COMPUTED_VALUE"""),10.0)</f>
        <v>10</v>
      </c>
      <c r="N80" s="10" t="str">
        <f>IFERROR(__xludf.DUMMYFUNCTION("""COMPUTED_VALUE"""),"Yes")</f>
        <v>Yes</v>
      </c>
      <c r="O80" s="323">
        <f>IFERROR(__xludf.DUMMYFUNCTION("""COMPUTED_VALUE"""),1.0)</f>
        <v>1</v>
      </c>
      <c r="P80" s="10">
        <f>IFERROR(__xludf.DUMMYFUNCTION("""COMPUTED_VALUE"""),10.0)</f>
        <v>10</v>
      </c>
      <c r="Q80" s="10">
        <f>IFERROR(__xludf.DUMMYFUNCTION("""COMPUTED_VALUE"""),0.0)</f>
        <v>0</v>
      </c>
      <c r="R80" s="10">
        <f>IFERROR(__xludf.DUMMYFUNCTION("""COMPUTED_VALUE"""),10.0)</f>
        <v>10</v>
      </c>
      <c r="S80" s="10" t="str">
        <f>IFERROR(__xludf.DUMMYFUNCTION("""COMPUTED_VALUE"""),"https://drive.google.com/open?id=1r1J41Cb7WwPN8LsKfgUqS_HVUePphFAJ, https://drive.google.com/open?id=1sF_n_2OyD_wEGOTyLM3jj-IPCKk43z2g")</f>
        <v>https://drive.google.com/open?id=1r1J41Cb7WwPN8LsKfgUqS_HVUePphFAJ, https://drive.google.com/open?id=1sF_n_2OyD_wEGOTyLM3jj-IPCKk43z2g</v>
      </c>
      <c r="T80" s="10" t="str">
        <f>IFERROR(__xludf.DUMMYFUNCTION("""COMPUTED_VALUE"""),"https://drive.google.com/open?id=1QtTar6mTO0-o0KAFrReEUvL02O9wRTli, https://drive.google.com/open?id=1KnC7ExM05I9ava60tW5_8Sz9WCwHXpvt, https://drive.google.com/open?id=1GR0UXPbFb8uQTj_X5xxdm1Qk9lCGVSNi, https://drive.google.com/open?id=1ro_roOK_LEafEzZuv"&amp;"fpCOqpFhoEKjCUv, https://drive.google.com/open?id=1cBido9szDOnUBHJejSegw3FYCCdK57Bn")</f>
        <v>https://drive.google.com/open?id=1QtTar6mTO0-o0KAFrReEUvL02O9wRTli, https://drive.google.com/open?id=1KnC7ExM05I9ava60tW5_8Sz9WCwHXpvt, https://drive.google.com/open?id=1GR0UXPbFb8uQTj_X5xxdm1Qk9lCGVSNi, https://drive.google.com/open?id=1ro_roOK_LEafEzZuvfpCOqpFhoEKjCUv, https://drive.google.com/open?id=1cBido9szDOnUBHJejSegw3FYCCdK57Bn</v>
      </c>
      <c r="U80" s="18" t="str">
        <f>IFERROR(__xludf.DUMMYFUNCTION("""COMPUTED_VALUE"""),"https://drive.google.com/open?id=1MdjdFqxkn5wff15D8ksjid99cZz-gkR4")</f>
        <v>https://drive.google.com/open?id=1MdjdFqxkn5wff15D8ksjid99cZz-gkR4</v>
      </c>
      <c r="V80" s="10"/>
      <c r="W80" s="10"/>
      <c r="X80" s="10" t="str">
        <f>IFERROR(__xludf.DUMMYFUNCTION("""COMPUTED_VALUE"""),"Yes")</f>
        <v>Yes</v>
      </c>
      <c r="Y80" s="14" t="str">
        <f>IFERROR(__xludf.DUMMYFUNCTION("""COMPUTED_VALUE"""),"ahsanhamid496@gmail.com")</f>
        <v>ahsanhamid496@gmail.com</v>
      </c>
      <c r="AA80" s="325">
        <v>2.0</v>
      </c>
    </row>
    <row r="81" hidden="1">
      <c r="A81" s="9">
        <f>IFERROR(__xludf.DUMMYFUNCTION("""COMPUTED_VALUE"""),45767.626410509256)</f>
        <v>45767.62641</v>
      </c>
      <c r="B81" s="10" t="str">
        <f>IFERROR(__xludf.DUMMYFUNCTION("""COMPUTED_VALUE"""),"Sheheryar Ahmad")</f>
        <v>Sheheryar Ahmad</v>
      </c>
      <c r="C81" s="10" t="str">
        <f>IFERROR(__xludf.DUMMYFUNCTION("""COMPUTED_VALUE"""),"03194458854")</f>
        <v>03194458854</v>
      </c>
      <c r="D81" s="10" t="str">
        <f>IFERROR(__xludf.DUMMYFUNCTION("""COMPUTED_VALUE"""),"Jamiyan Masjid Nila Gumbad New Anarkali Lahore")</f>
        <v>Jamiyan Masjid Nila Gumbad New Anarkali Lahore</v>
      </c>
      <c r="E81" s="10" t="str">
        <f>IFERROR(__xludf.DUMMYFUNCTION("""COMPUTED_VALUE"""),"lwumj")</f>
        <v>lwumj</v>
      </c>
      <c r="F81" s="10">
        <f>IFERROR(__xludf.DUMMYFUNCTION("""COMPUTED_VALUE"""),85.0)</f>
        <v>85</v>
      </c>
      <c r="G81" s="10">
        <f>IFERROR(__xludf.DUMMYFUNCTION("""COMPUTED_VALUE"""),9.0)</f>
        <v>9</v>
      </c>
      <c r="H81" s="10">
        <f>IFERROR(__xludf.DUMMYFUNCTION("""COMPUTED_VALUE"""),9.0)</f>
        <v>9</v>
      </c>
      <c r="I81" s="10">
        <f>IFERROR(__xludf.DUMMYFUNCTION("""COMPUTED_VALUE"""),1.0)</f>
        <v>1</v>
      </c>
      <c r="J81" s="10">
        <f>IFERROR(__xludf.DUMMYFUNCTION("""COMPUTED_VALUE"""),1990.0)</f>
        <v>1990</v>
      </c>
      <c r="K81" s="10" t="str">
        <f>IFERROR(__xludf.DUMMYFUNCTION("""COMPUTED_VALUE"""),"No")</f>
        <v>No</v>
      </c>
      <c r="L81" s="10" t="str">
        <f>IFERROR(__xludf.DUMMYFUNCTION("""COMPUTED_VALUE"""),"No")</f>
        <v>No</v>
      </c>
      <c r="M81" s="10">
        <f>IFERROR(__xludf.DUMMYFUNCTION("""COMPUTED_VALUE"""),8.0)</f>
        <v>8</v>
      </c>
      <c r="N81" s="10" t="str">
        <f>IFERROR(__xludf.DUMMYFUNCTION("""COMPUTED_VALUE"""),"Yes")</f>
        <v>Yes</v>
      </c>
      <c r="O81" s="323">
        <f>IFERROR(__xludf.DUMMYFUNCTION("""COMPUTED_VALUE"""),0.8)</f>
        <v>0.8</v>
      </c>
      <c r="P81" s="10">
        <f>IFERROR(__xludf.DUMMYFUNCTION("""COMPUTED_VALUE"""),8.0)</f>
        <v>8</v>
      </c>
      <c r="Q81" s="10">
        <f>IFERROR(__xludf.DUMMYFUNCTION("""COMPUTED_VALUE"""),2.0)</f>
        <v>2</v>
      </c>
      <c r="R81" s="10">
        <f>IFERROR(__xludf.DUMMYFUNCTION("""COMPUTED_VALUE"""),8.0)</f>
        <v>8</v>
      </c>
      <c r="S81" s="18" t="str">
        <f>IFERROR(__xludf.DUMMYFUNCTION("""COMPUTED_VALUE"""),"https://drive.google.com/open?id=1sUjnlN3muEANEsRC9RCdy_cbJjwlvcOZ")</f>
        <v>https://drive.google.com/open?id=1sUjnlN3muEANEsRC9RCdy_cbJjwlvcOZ</v>
      </c>
      <c r="T81" s="18" t="str">
        <f>IFERROR(__xludf.DUMMYFUNCTION("""COMPUTED_VALUE"""),"https://drive.google.com/open?id=1jOLXk57WXLNZG68w6ZSIkXjfcS7o5OF4")</f>
        <v>https://drive.google.com/open?id=1jOLXk57WXLNZG68w6ZSIkXjfcS7o5OF4</v>
      </c>
      <c r="U81" s="18" t="str">
        <f>IFERROR(__xludf.DUMMYFUNCTION("""COMPUTED_VALUE"""),"https://drive.google.com/open?id=1xdMC6hVCECPqpRPuffotCq4iGWcT_FH_")</f>
        <v>https://drive.google.com/open?id=1xdMC6hVCECPqpRPuffotCq4iGWcT_FH_</v>
      </c>
      <c r="V81" s="10"/>
      <c r="W81" s="10"/>
      <c r="X81" s="10" t="str">
        <f>IFERROR(__xludf.DUMMYFUNCTION("""COMPUTED_VALUE"""),"Yes")</f>
        <v>Yes</v>
      </c>
      <c r="Y81" s="14" t="str">
        <f>IFERROR(__xludf.DUMMYFUNCTION("""COMPUTED_VALUE"""),"sheheryarahmad9@gmail.com")</f>
        <v>sheheryarahmad9@gmail.com</v>
      </c>
      <c r="AA81" s="325">
        <v>1.0</v>
      </c>
    </row>
    <row r="82" hidden="1">
      <c r="A82" s="9">
        <f>IFERROR(__xludf.DUMMYFUNCTION("""COMPUTED_VALUE"""),45768.99848940972)</f>
        <v>45768.99849</v>
      </c>
      <c r="B82" s="10" t="str">
        <f>IFERROR(__xludf.DUMMYFUNCTION("""COMPUTED_VALUE"""),"Hafiz Muhammad Asif ")</f>
        <v>Hafiz Muhammad Asif </v>
      </c>
      <c r="C82" s="10" t="str">
        <f>IFERROR(__xludf.DUMMYFUNCTION("""COMPUTED_VALUE"""),"03318421006")</f>
        <v>03318421006</v>
      </c>
      <c r="D82" s="10" t="str">
        <f>IFERROR(__xludf.DUMMYFUNCTION("""COMPUTED_VALUE"""),"Jamia Masjid Railway Road Sheikhupura ")</f>
        <v>Jamia Masjid Railway Road Sheikhupura </v>
      </c>
      <c r="E82" s="10" t="str">
        <f>IFERROR(__xludf.DUMMYFUNCTION("""COMPUTED_VALUE"""),"INGWH")</f>
        <v>INGWH</v>
      </c>
      <c r="F82" s="10">
        <f>IFERROR(__xludf.DUMMYFUNCTION("""COMPUTED_VALUE"""),173.0)</f>
        <v>173</v>
      </c>
      <c r="G82" s="10">
        <f>IFERROR(__xludf.DUMMYFUNCTION("""COMPUTED_VALUE"""),10.0)</f>
        <v>10</v>
      </c>
      <c r="H82" s="10">
        <f>IFERROR(__xludf.DUMMYFUNCTION("""COMPUTED_VALUE"""),10.0)</f>
        <v>10</v>
      </c>
      <c r="I82" s="10" t="str">
        <f>IFERROR(__xludf.DUMMYFUNCTION("""COMPUTED_VALUE"""),"Koi nai")</f>
        <v>Koi nai</v>
      </c>
      <c r="J82" s="10">
        <f>IFERROR(__xludf.DUMMYFUNCTION("""COMPUTED_VALUE"""),1925.0)</f>
        <v>1925</v>
      </c>
      <c r="K82" s="10" t="str">
        <f>IFERROR(__xludf.DUMMYFUNCTION("""COMPUTED_VALUE"""),"No")</f>
        <v>No</v>
      </c>
      <c r="L82" s="10" t="str">
        <f>IFERROR(__xludf.DUMMYFUNCTION("""COMPUTED_VALUE"""),"No")</f>
        <v>No</v>
      </c>
      <c r="M82" s="10">
        <f>IFERROR(__xludf.DUMMYFUNCTION("""COMPUTED_VALUE"""),10.0)</f>
        <v>10</v>
      </c>
      <c r="N82" s="10" t="str">
        <f>IFERROR(__xludf.DUMMYFUNCTION("""COMPUTED_VALUE"""),"No")</f>
        <v>No</v>
      </c>
      <c r="O82" s="10"/>
      <c r="P82" s="10"/>
      <c r="Q82" s="10"/>
      <c r="R82" s="10"/>
      <c r="S82" s="18" t="str">
        <f>IFERROR(__xludf.DUMMYFUNCTION("""COMPUTED_VALUE"""),"https://drive.google.com/open?id=14vbFK4GZUywQnuN0tWxzgOna9KRitd-X")</f>
        <v>https://drive.google.com/open?id=14vbFK4GZUywQnuN0tWxzgOna9KRitd-X</v>
      </c>
      <c r="T82" s="18" t="str">
        <f>IFERROR(__xludf.DUMMYFUNCTION("""COMPUTED_VALUE"""),"https://drive.google.com/open?id=1OPaxrmCgZK7VNTN9jQLs1fu8AZMtF6Mz")</f>
        <v>https://drive.google.com/open?id=1OPaxrmCgZK7VNTN9jQLs1fu8AZMtF6Mz</v>
      </c>
      <c r="U82" s="18" t="str">
        <f>IFERROR(__xludf.DUMMYFUNCTION("""COMPUTED_VALUE"""),"https://drive.google.com/open?id=1FdrO0DDVe-0nTBa-GqmK3nzv-TvIrmae")</f>
        <v>https://drive.google.com/open?id=1FdrO0DDVe-0nTBa-GqmK3nzv-TvIrmae</v>
      </c>
      <c r="V82" s="10"/>
      <c r="W82" s="10"/>
      <c r="X82" s="10"/>
      <c r="Y82" s="14" t="str">
        <f>IFERROR(__xludf.DUMMYFUNCTION("""COMPUTED_VALUE"""),"saqiasif98@gmail.com")</f>
        <v>saqiasif98@gmail.com</v>
      </c>
      <c r="AA82" s="325">
        <v>1.0</v>
      </c>
    </row>
    <row r="83" hidden="1">
      <c r="A83" s="9">
        <f>IFERROR(__xludf.DUMMYFUNCTION("""COMPUTED_VALUE"""),45769.2611016088)</f>
        <v>45769.2611</v>
      </c>
      <c r="B83" s="10" t="str">
        <f>IFERROR(__xludf.DUMMYFUNCTION("""COMPUTED_VALUE"""),"Asim munir ")</f>
        <v>Asim munir </v>
      </c>
      <c r="C83" s="10" t="str">
        <f>IFERROR(__xludf.DUMMYFUNCTION("""COMPUTED_VALUE"""),"03005787199")</f>
        <v>03005787199</v>
      </c>
      <c r="D83" s="10" t="str">
        <f>IFERROR(__xludf.DUMMYFUNCTION("""COMPUTED_VALUE"""),"Jamia Masjid Rasool Shaheya Landa Bazar Lahore")</f>
        <v>Jamia Masjid Rasool Shaheya Landa Bazar Lahore</v>
      </c>
      <c r="E83" s="10" t="str">
        <f>IFERROR(__xludf.DUMMYFUNCTION("""COMPUTED_VALUE"""),"njkhf")</f>
        <v>njkhf</v>
      </c>
      <c r="F83" s="10">
        <f>IFERROR(__xludf.DUMMYFUNCTION("""COMPUTED_VALUE"""),155.0)</f>
        <v>155</v>
      </c>
      <c r="G83" s="10">
        <f>IFERROR(__xludf.DUMMYFUNCTION("""COMPUTED_VALUE"""),10.0)</f>
        <v>10</v>
      </c>
      <c r="H83" s="10">
        <f>IFERROR(__xludf.DUMMYFUNCTION("""COMPUTED_VALUE"""),8.0)</f>
        <v>8</v>
      </c>
      <c r="I83" s="10" t="str">
        <f>IFERROR(__xludf.DUMMYFUNCTION("""COMPUTED_VALUE"""),"No")</f>
        <v>No</v>
      </c>
      <c r="J83" s="10" t="str">
        <f>IFERROR(__xludf.DUMMYFUNCTION("""COMPUTED_VALUE"""),"0000")</f>
        <v>0000</v>
      </c>
      <c r="K83" s="10" t="str">
        <f>IFERROR(__xludf.DUMMYFUNCTION("""COMPUTED_VALUE"""),"Yes")</f>
        <v>Yes</v>
      </c>
      <c r="L83" s="10" t="str">
        <f>IFERROR(__xludf.DUMMYFUNCTION("""COMPUTED_VALUE"""),"No")</f>
        <v>No</v>
      </c>
      <c r="M83" s="10">
        <f>IFERROR(__xludf.DUMMYFUNCTION("""COMPUTED_VALUE"""),10.0)</f>
        <v>10</v>
      </c>
      <c r="N83" s="10" t="str">
        <f>IFERROR(__xludf.DUMMYFUNCTION("""COMPUTED_VALUE"""),"Yes")</f>
        <v>Yes</v>
      </c>
      <c r="O83" s="323">
        <f>IFERROR(__xludf.DUMMYFUNCTION("""COMPUTED_VALUE"""),0.8)</f>
        <v>0.8</v>
      </c>
      <c r="P83" s="10">
        <f>IFERROR(__xludf.DUMMYFUNCTION("""COMPUTED_VALUE"""),8.0)</f>
        <v>8</v>
      </c>
      <c r="Q83" s="10">
        <f>IFERROR(__xludf.DUMMYFUNCTION("""COMPUTED_VALUE"""),5.0)</f>
        <v>5</v>
      </c>
      <c r="R83" s="10">
        <f>IFERROR(__xludf.DUMMYFUNCTION("""COMPUTED_VALUE"""),5.0)</f>
        <v>5</v>
      </c>
      <c r="S83" s="18" t="str">
        <f>IFERROR(__xludf.DUMMYFUNCTION("""COMPUTED_VALUE"""),"https://drive.google.com/file/d/1ZE7YlLp-92AV_5ncC3NUeMb-_TkTxTnY/view?usp=sharing")</f>
        <v>https://drive.google.com/file/d/1ZE7YlLp-92AV_5ncC3NUeMb-_TkTxTnY/view?usp=sharing</v>
      </c>
      <c r="T83" s="18" t="str">
        <f>IFERROR(__xludf.DUMMYFUNCTION("""COMPUTED_VALUE"""),"https://drive.google.com/file/d/1ocmf0DW1NU2yCLmXoADOEttVtbzzNBSt/view?usp=sharing")</f>
        <v>https://drive.google.com/file/d/1ocmf0DW1NU2yCLmXoADOEttVtbzzNBSt/view?usp=sharing</v>
      </c>
      <c r="U83" s="18" t="str">
        <f>IFERROR(__xludf.DUMMYFUNCTION("""COMPUTED_VALUE"""),"https://drive.google.com/open?id=1xoK_W2JlOQyG1S7a2PZYXy15TT0lVKTL")</f>
        <v>https://drive.google.com/open?id=1xoK_W2JlOQyG1S7a2PZYXy15TT0lVKTL</v>
      </c>
      <c r="V83" s="10"/>
      <c r="W83" s="10"/>
      <c r="X83" s="10" t="str">
        <f>IFERROR(__xludf.DUMMYFUNCTION("""COMPUTED_VALUE"""),"No")</f>
        <v>No</v>
      </c>
      <c r="Y83" s="14" t="str">
        <f>IFERROR(__xludf.DUMMYFUNCTION("""COMPUTED_VALUE"""),"asim.muneer9024@gmail.com")</f>
        <v>asim.muneer9024@gmail.com</v>
      </c>
      <c r="AA83" s="325">
        <v>1.0</v>
      </c>
    </row>
    <row r="84" hidden="1">
      <c r="A84" s="9">
        <f>IFERROR(__xludf.DUMMYFUNCTION("""COMPUTED_VALUE"""),45771.605569861116)</f>
        <v>45771.60557</v>
      </c>
      <c r="B84" s="10" t="str">
        <f>IFERROR(__xludf.DUMMYFUNCTION("""COMPUTED_VALUE"""),"Zaheer  Butt")</f>
        <v>Zaheer  Butt</v>
      </c>
      <c r="C84" s="10" t="str">
        <f>IFERROR(__xludf.DUMMYFUNCTION("""COMPUTED_VALUE"""),"03217040700")</f>
        <v>03217040700</v>
      </c>
      <c r="D84" s="10" t="str">
        <f>IFERROR(__xludf.DUMMYFUNCTION("""COMPUTED_VALUE"""),"Jamaya Shah Abdul ghani Masjid")</f>
        <v>Jamaya Shah Abdul ghani Masjid</v>
      </c>
      <c r="E84" s="10" t="str">
        <f>IFERROR(__xludf.DUMMYFUNCTION("""COMPUTED_VALUE"""),"No")</f>
        <v>No</v>
      </c>
      <c r="F84" s="10">
        <f>IFERROR(__xludf.DUMMYFUNCTION("""COMPUTED_VALUE"""),240.0)</f>
        <v>240</v>
      </c>
      <c r="G84" s="10">
        <f>IFERROR(__xludf.DUMMYFUNCTION("""COMPUTED_VALUE"""),4.0)</f>
        <v>4</v>
      </c>
      <c r="H84" s="10">
        <f>IFERROR(__xludf.DUMMYFUNCTION("""COMPUTED_VALUE"""),4.0)</f>
        <v>4</v>
      </c>
      <c r="I84" s="10" t="str">
        <f>IFERROR(__xludf.DUMMYFUNCTION("""COMPUTED_VALUE"""),"No")</f>
        <v>No</v>
      </c>
      <c r="J84" s="10">
        <f>IFERROR(__xludf.DUMMYFUNCTION("""COMPUTED_VALUE"""),1960.0)</f>
        <v>1960</v>
      </c>
      <c r="K84" s="10" t="str">
        <f>IFERROR(__xludf.DUMMYFUNCTION("""COMPUTED_VALUE"""),"No")</f>
        <v>No</v>
      </c>
      <c r="L84" s="10" t="str">
        <f>IFERROR(__xludf.DUMMYFUNCTION("""COMPUTED_VALUE"""),"Shah Abdul ghani ")</f>
        <v>Shah Abdul ghani </v>
      </c>
      <c r="M84" s="10">
        <f>IFERROR(__xludf.DUMMYFUNCTION("""COMPUTED_VALUE"""),6.0)</f>
        <v>6</v>
      </c>
      <c r="N84" s="10" t="str">
        <f>IFERROR(__xludf.DUMMYFUNCTION("""COMPUTED_VALUE"""),"No")</f>
        <v>No</v>
      </c>
      <c r="O84" s="10"/>
      <c r="P84" s="10"/>
      <c r="Q84" s="10"/>
      <c r="R84" s="10"/>
      <c r="S84" s="18" t="str">
        <f>IFERROR(__xludf.DUMMYFUNCTION("""COMPUTED_VALUE"""),"https://drive.google.com/open?id=1_8Vjb33JpAOya38BFhZ6EyAqdzy65oQX")</f>
        <v>https://drive.google.com/open?id=1_8Vjb33JpAOya38BFhZ6EyAqdzy65oQX</v>
      </c>
      <c r="T84" s="18" t="str">
        <f>IFERROR(__xludf.DUMMYFUNCTION("""COMPUTED_VALUE"""),"https://drive.google.com/open?id=1BkRFo6M1AcmeqD6VTebKk8OSliacFPrK")</f>
        <v>https://drive.google.com/open?id=1BkRFo6M1AcmeqD6VTebKk8OSliacFPrK</v>
      </c>
      <c r="U84" s="18" t="str">
        <f>IFERROR(__xludf.DUMMYFUNCTION("""COMPUTED_VALUE"""),"https://drive.google.com/open?id=1d5TDJ1_JOxNodo4k-KUIZZNa5DwYEmQI")</f>
        <v>https://drive.google.com/open?id=1d5TDJ1_JOxNodo4k-KUIZZNa5DwYEmQI</v>
      </c>
      <c r="V84" s="10"/>
      <c r="W84" s="10"/>
      <c r="X84" s="10"/>
      <c r="Y84" s="14" t="str">
        <f>IFERROR(__xludf.DUMMYFUNCTION("""COMPUTED_VALUE"""),"zbutt49@yahoo.com")</f>
        <v>zbutt49@yahoo.com</v>
      </c>
      <c r="AA84" s="325">
        <v>1.0</v>
      </c>
    </row>
    <row r="85" hidden="1">
      <c r="A85" s="9">
        <f>IFERROR(__xludf.DUMMYFUNCTION("""COMPUTED_VALUE"""),45771.61334226852)</f>
        <v>45771.61334</v>
      </c>
      <c r="B85" s="10" t="str">
        <f>IFERROR(__xludf.DUMMYFUNCTION("""COMPUTED_VALUE"""),"Zaheer ")</f>
        <v>Zaheer </v>
      </c>
      <c r="C85" s="10" t="str">
        <f>IFERROR(__xludf.DUMMYFUNCTION("""COMPUTED_VALUE"""),"03217040700")</f>
        <v>03217040700</v>
      </c>
      <c r="D85" s="10" t="str">
        <f>IFERROR(__xludf.DUMMYFUNCTION("""COMPUTED_VALUE"""),"Jamaya masjid islam ")</f>
        <v>Jamaya masjid islam </v>
      </c>
      <c r="E85" s="10" t="str">
        <f>IFERROR(__xludf.DUMMYFUNCTION("""COMPUTED_VALUE"""),"No")</f>
        <v>No</v>
      </c>
      <c r="F85" s="10">
        <f>IFERROR(__xludf.DUMMYFUNCTION("""COMPUTED_VALUE"""),420.0)</f>
        <v>420</v>
      </c>
      <c r="G85" s="10">
        <f>IFERROR(__xludf.DUMMYFUNCTION("""COMPUTED_VALUE"""),8.0)</f>
        <v>8</v>
      </c>
      <c r="H85" s="10">
        <f>IFERROR(__xludf.DUMMYFUNCTION("""COMPUTED_VALUE"""),7.0)</f>
        <v>7</v>
      </c>
      <c r="I85" s="10" t="str">
        <f>IFERROR(__xludf.DUMMYFUNCTION("""COMPUTED_VALUE"""),"No")</f>
        <v>No</v>
      </c>
      <c r="J85" s="10" t="str">
        <f>IFERROR(__xludf.DUMMYFUNCTION("""COMPUTED_VALUE"""),"Very old")</f>
        <v>Very old</v>
      </c>
      <c r="K85" s="10" t="str">
        <f>IFERROR(__xludf.DUMMYFUNCTION("""COMPUTED_VALUE"""),"No")</f>
        <v>No</v>
      </c>
      <c r="L85" s="10" t="str">
        <f>IFERROR(__xludf.DUMMYFUNCTION("""COMPUTED_VALUE"""),"No")</f>
        <v>No</v>
      </c>
      <c r="M85" s="10">
        <f>IFERROR(__xludf.DUMMYFUNCTION("""COMPUTED_VALUE"""),9.0)</f>
        <v>9</v>
      </c>
      <c r="N85" s="10" t="str">
        <f>IFERROR(__xludf.DUMMYFUNCTION("""COMPUTED_VALUE"""),"Yes")</f>
        <v>Yes</v>
      </c>
      <c r="O85" s="323">
        <f>IFERROR(__xludf.DUMMYFUNCTION("""COMPUTED_VALUE"""),0.4)</f>
        <v>0.4</v>
      </c>
      <c r="P85" s="10">
        <f>IFERROR(__xludf.DUMMYFUNCTION("""COMPUTED_VALUE"""),4.0)</f>
        <v>4</v>
      </c>
      <c r="Q85" s="10">
        <f>IFERROR(__xludf.DUMMYFUNCTION("""COMPUTED_VALUE"""),6.0)</f>
        <v>6</v>
      </c>
      <c r="R85" s="10">
        <f>IFERROR(__xludf.DUMMYFUNCTION("""COMPUTED_VALUE"""),4.0)</f>
        <v>4</v>
      </c>
      <c r="S85" s="18" t="str">
        <f>IFERROR(__xludf.DUMMYFUNCTION("""COMPUTED_VALUE"""),"https://drive.google.com/open?id=1hEsGMnKuDBIEGpWptQQ7jrVPFjs-zhq8")</f>
        <v>https://drive.google.com/open?id=1hEsGMnKuDBIEGpWptQQ7jrVPFjs-zhq8</v>
      </c>
      <c r="T85" s="18" t="str">
        <f>IFERROR(__xludf.DUMMYFUNCTION("""COMPUTED_VALUE"""),"https://drive.google.com/open?id=1UflC0gXbaQOWBigVlvwzaZbZE6X6e1k2")</f>
        <v>https://drive.google.com/open?id=1UflC0gXbaQOWBigVlvwzaZbZE6X6e1k2</v>
      </c>
      <c r="U85" s="18" t="str">
        <f>IFERROR(__xludf.DUMMYFUNCTION("""COMPUTED_VALUE"""),"https://drive.google.com/open?id=1xufQCP6q2lz41q9gQ2NVxJBjIlj4d-y2")</f>
        <v>https://drive.google.com/open?id=1xufQCP6q2lz41q9gQ2NVxJBjIlj4d-y2</v>
      </c>
      <c r="V85" s="10"/>
      <c r="W85" s="10"/>
      <c r="X85" s="10" t="str">
        <f>IFERROR(__xludf.DUMMYFUNCTION("""COMPUTED_VALUE"""),"Yes")</f>
        <v>Yes</v>
      </c>
      <c r="Y85" s="14" t="str">
        <f>IFERROR(__xludf.DUMMYFUNCTION("""COMPUTED_VALUE"""),"zbutt2391@gmail.com")</f>
        <v>zbutt2391@gmail.com</v>
      </c>
      <c r="AA85" s="325">
        <v>1.0</v>
      </c>
    </row>
    <row r="86" hidden="1">
      <c r="A86" s="9">
        <f>IFERROR(__xludf.DUMMYFUNCTION("""COMPUTED_VALUE"""),45772.20650971065)</f>
        <v>45772.20651</v>
      </c>
      <c r="B86" s="10" t="str">
        <f>IFERROR(__xludf.DUMMYFUNCTION("""COMPUTED_VALUE"""),"Salman yousaf ")</f>
        <v>Salman yousaf </v>
      </c>
      <c r="C86" s="10" t="str">
        <f>IFERROR(__xludf.DUMMYFUNCTION("""COMPUTED_VALUE"""),"03054436981")</f>
        <v>03054436981</v>
      </c>
      <c r="D86" s="10" t="str">
        <f>IFERROR(__xludf.DUMMYFUNCTION("""COMPUTED_VALUE"""),"Jamia masjid Aali ")</f>
        <v>Jamia masjid Aali </v>
      </c>
      <c r="E86" s="10" t="str">
        <f>IFERROR(__xludf.DUMMYFUNCTION("""COMPUTED_VALUE"""),"Pwwfr")</f>
        <v>Pwwfr</v>
      </c>
      <c r="F86" s="10">
        <f>IFERROR(__xludf.DUMMYFUNCTION("""COMPUTED_VALUE"""),116.0)</f>
        <v>116</v>
      </c>
      <c r="G86" s="10">
        <f>IFERROR(__xludf.DUMMYFUNCTION("""COMPUTED_VALUE"""),10.0)</f>
        <v>10</v>
      </c>
      <c r="H86" s="10">
        <f>IFERROR(__xludf.DUMMYFUNCTION("""COMPUTED_VALUE"""),10.0)</f>
        <v>10</v>
      </c>
      <c r="I86" s="10">
        <f>IFERROR(__xludf.DUMMYFUNCTION("""COMPUTED_VALUE"""),1.0)</f>
        <v>1</v>
      </c>
      <c r="J86" s="10">
        <f>IFERROR(__xludf.DUMMYFUNCTION("""COMPUTED_VALUE"""),1951.0)</f>
        <v>1951</v>
      </c>
      <c r="K86" s="10" t="str">
        <f>IFERROR(__xludf.DUMMYFUNCTION("""COMPUTED_VALUE"""),"No")</f>
        <v>No</v>
      </c>
      <c r="L86" s="10" t="str">
        <f>IFERROR(__xludf.DUMMYFUNCTION("""COMPUTED_VALUE"""),"No")</f>
        <v>No</v>
      </c>
      <c r="M86" s="10">
        <f>IFERROR(__xludf.DUMMYFUNCTION("""COMPUTED_VALUE"""),10.0)</f>
        <v>10</v>
      </c>
      <c r="N86" s="10" t="str">
        <f>IFERROR(__xludf.DUMMYFUNCTION("""COMPUTED_VALUE"""),"No")</f>
        <v>No</v>
      </c>
      <c r="O86" s="10"/>
      <c r="P86" s="10"/>
      <c r="Q86" s="10"/>
      <c r="R86" s="10"/>
      <c r="S86" s="18" t="str">
        <f>IFERROR(__xludf.DUMMYFUNCTION("""COMPUTED_VALUE"""),"https://drive.google.com/open?id=1R0PmrWPs5DIriZZH4oz-6PKOe3B6r1gZ")</f>
        <v>https://drive.google.com/open?id=1R0PmrWPs5DIriZZH4oz-6PKOe3B6r1gZ</v>
      </c>
      <c r="T86" s="18" t="str">
        <f>IFERROR(__xludf.DUMMYFUNCTION("""COMPUTED_VALUE"""),"https://drive.google.com/open?id=1ov-sXGP8FxUARhrVpz8NShnkciaAukYP")</f>
        <v>https://drive.google.com/open?id=1ov-sXGP8FxUARhrVpz8NShnkciaAukYP</v>
      </c>
      <c r="U86" s="18" t="str">
        <f>IFERROR(__xludf.DUMMYFUNCTION("""COMPUTED_VALUE"""),"https://drive.google.com/file/d/1rBfJYIww--HNLCpMqHiOkWsYlQK27CdJ/view?usp=sharing")</f>
        <v>https://drive.google.com/file/d/1rBfJYIww--HNLCpMqHiOkWsYlQK27CdJ/view?usp=sharing</v>
      </c>
      <c r="V86" s="10" t="str">
        <f>IFERROR(__xludf.DUMMYFUNCTION("""COMPUTED_VALUE"""),"No")</f>
        <v>No</v>
      </c>
      <c r="W86" s="10"/>
      <c r="X86" s="10"/>
      <c r="Y86" s="14" t="str">
        <f>IFERROR(__xludf.DUMMYFUNCTION("""COMPUTED_VALUE"""),"salmanyousaf806@gmail.com")</f>
        <v>salmanyousaf806@gmail.com</v>
      </c>
      <c r="AA86" s="325">
        <v>3.0</v>
      </c>
    </row>
    <row r="87" hidden="1">
      <c r="A87" s="9">
        <f>IFERROR(__xludf.DUMMYFUNCTION("""COMPUTED_VALUE"""),45772.22496927083)</f>
        <v>45772.22497</v>
      </c>
      <c r="B87" s="10" t="str">
        <f>IFERROR(__xludf.DUMMYFUNCTION("""COMPUTED_VALUE"""),"Nouman khan ")</f>
        <v>Nouman khan </v>
      </c>
      <c r="C87" s="10" t="str">
        <f>IFERROR(__xludf.DUMMYFUNCTION("""COMPUTED_VALUE"""),"03034702785")</f>
        <v>03034702785</v>
      </c>
      <c r="D87" s="10" t="str">
        <f>IFERROR(__xludf.DUMMYFUNCTION("""COMPUTED_VALUE"""),"Sayen Karam ilahi masjid")</f>
        <v>Sayen Karam ilahi masjid</v>
      </c>
      <c r="E87" s="10" t="str">
        <f>IFERROR(__xludf.DUMMYFUNCTION("""COMPUTED_VALUE"""),"SXNPD")</f>
        <v>SXNPD</v>
      </c>
      <c r="F87" s="10">
        <f>IFERROR(__xludf.DUMMYFUNCTION("""COMPUTED_VALUE"""),321.0)</f>
        <v>321</v>
      </c>
      <c r="G87" s="10">
        <f>IFERROR(__xludf.DUMMYFUNCTION("""COMPUTED_VALUE"""),9.0)</f>
        <v>9</v>
      </c>
      <c r="H87" s="10">
        <f>IFERROR(__xludf.DUMMYFUNCTION("""COMPUTED_VALUE"""),8.0)</f>
        <v>8</v>
      </c>
      <c r="I87" s="10">
        <f>IFERROR(__xludf.DUMMYFUNCTION("""COMPUTED_VALUE"""),1.0)</f>
        <v>1</v>
      </c>
      <c r="J87" s="10">
        <f>IFERROR(__xludf.DUMMYFUNCTION("""COMPUTED_VALUE"""),1934.0)</f>
        <v>1934</v>
      </c>
      <c r="K87" s="10" t="str">
        <f>IFERROR(__xludf.DUMMYFUNCTION("""COMPUTED_VALUE"""),"No")</f>
        <v>No</v>
      </c>
      <c r="L87" s="10" t="str">
        <f>IFERROR(__xludf.DUMMYFUNCTION("""COMPUTED_VALUE"""),"Sayen Karam ilahi")</f>
        <v>Sayen Karam ilahi</v>
      </c>
      <c r="M87" s="10">
        <f>IFERROR(__xludf.DUMMYFUNCTION("""COMPUTED_VALUE"""),10.0)</f>
        <v>10</v>
      </c>
      <c r="N87" s="10" t="str">
        <f>IFERROR(__xludf.DUMMYFUNCTION("""COMPUTED_VALUE"""),"Yes")</f>
        <v>Yes</v>
      </c>
      <c r="O87" s="323">
        <f>IFERROR(__xludf.DUMMYFUNCTION("""COMPUTED_VALUE"""),0.8)</f>
        <v>0.8</v>
      </c>
      <c r="P87" s="10">
        <f>IFERROR(__xludf.DUMMYFUNCTION("""COMPUTED_VALUE"""),9.0)</f>
        <v>9</v>
      </c>
      <c r="Q87" s="10">
        <f>IFERROR(__xludf.DUMMYFUNCTION("""COMPUTED_VALUE"""),3.0)</f>
        <v>3</v>
      </c>
      <c r="R87" s="10">
        <f>IFERROR(__xludf.DUMMYFUNCTION("""COMPUTED_VALUE"""),8.0)</f>
        <v>8</v>
      </c>
      <c r="S87" s="18" t="str">
        <f>IFERROR(__xludf.DUMMYFUNCTION("""COMPUTED_VALUE"""),"https://drive.google.com/open?id=1DEFU5sDwey5HZzEE_r6baKuOMo-ZWdS4")</f>
        <v>https://drive.google.com/open?id=1DEFU5sDwey5HZzEE_r6baKuOMo-ZWdS4</v>
      </c>
      <c r="T87" s="18" t="str">
        <f>IFERROR(__xludf.DUMMYFUNCTION("""COMPUTED_VALUE"""),"https://drive.google.com/open?id=15wHuFh1R-BQORy3ZocCawbuixPFxMUmS")</f>
        <v>https://drive.google.com/open?id=15wHuFh1R-BQORy3ZocCawbuixPFxMUmS</v>
      </c>
      <c r="U87" s="18" t="str">
        <f>IFERROR(__xludf.DUMMYFUNCTION("""COMPUTED_VALUE"""),"https://drive.google.com/open?id=1PUS2Rvl7LmLLYsTJNUW1mJ6dE5J-RL_d")</f>
        <v>https://drive.google.com/open?id=1PUS2Rvl7LmLLYsTJNUW1mJ6dE5J-RL_d</v>
      </c>
      <c r="V87" s="10" t="str">
        <f>IFERROR(__xludf.DUMMYFUNCTION("""COMPUTED_VALUE"""),"No comment ")</f>
        <v>No comment </v>
      </c>
      <c r="W87" s="10"/>
      <c r="X87" s="10" t="str">
        <f>IFERROR(__xludf.DUMMYFUNCTION("""COMPUTED_VALUE"""),"Yes")</f>
        <v>Yes</v>
      </c>
      <c r="Y87" s="14" t="str">
        <f>IFERROR(__xludf.DUMMYFUNCTION("""COMPUTED_VALUE"""),"nouuman.pak1993@gmail.com")</f>
        <v>nouuman.pak1993@gmail.com</v>
      </c>
      <c r="AA87" s="325">
        <v>1.0</v>
      </c>
    </row>
    <row r="88" hidden="1">
      <c r="A88" s="9">
        <f>IFERROR(__xludf.DUMMYFUNCTION("""COMPUTED_VALUE"""),45772.22874730324)</f>
        <v>45772.22875</v>
      </c>
      <c r="B88" s="10" t="str">
        <f>IFERROR(__xludf.DUMMYFUNCTION("""COMPUTED_VALUE"""),"Muhammad Razzaq Sajid ")</f>
        <v>Muhammad Razzaq Sajid </v>
      </c>
      <c r="C88" s="10" t="str">
        <f>IFERROR(__xludf.DUMMYFUNCTION("""COMPUTED_VALUE"""),"03036162361")</f>
        <v>03036162361</v>
      </c>
      <c r="D88" s="10" t="str">
        <f>IFERROR(__xludf.DUMMYFUNCTION("""COMPUTED_VALUE"""),"Jamia Masjid Australia ")</f>
        <v>Jamia Masjid Australia </v>
      </c>
      <c r="E88" s="10" t="str">
        <f>IFERROR(__xludf.DUMMYFUNCTION("""COMPUTED_VALUE"""),"xdhvt")</f>
        <v>xdhvt</v>
      </c>
      <c r="F88" s="10">
        <f>IFERROR(__xludf.DUMMYFUNCTION("""COMPUTED_VALUE"""),2150.0)</f>
        <v>2150</v>
      </c>
      <c r="G88" s="10">
        <f>IFERROR(__xludf.DUMMYFUNCTION("""COMPUTED_VALUE"""),6.0)</f>
        <v>6</v>
      </c>
      <c r="H88" s="10">
        <f>IFERROR(__xludf.DUMMYFUNCTION("""COMPUTED_VALUE"""),6.0)</f>
        <v>6</v>
      </c>
      <c r="I88" s="10">
        <f>IFERROR(__xludf.DUMMYFUNCTION("""COMPUTED_VALUE"""),2.0)</f>
        <v>2</v>
      </c>
      <c r="J88" s="10">
        <f>IFERROR(__xludf.DUMMYFUNCTION("""COMPUTED_VALUE"""),1925.0)</f>
        <v>1925</v>
      </c>
      <c r="K88" s="10" t="str">
        <f>IFERROR(__xludf.DUMMYFUNCTION("""COMPUTED_VALUE"""),"No")</f>
        <v>No</v>
      </c>
      <c r="L88" s="10" t="str">
        <f>IFERROR(__xludf.DUMMYFUNCTION("""COMPUTED_VALUE"""),"No")</f>
        <v>No</v>
      </c>
      <c r="M88" s="10">
        <f>IFERROR(__xludf.DUMMYFUNCTION("""COMPUTED_VALUE"""),7.0)</f>
        <v>7</v>
      </c>
      <c r="N88" s="10" t="str">
        <f>IFERROR(__xludf.DUMMYFUNCTION("""COMPUTED_VALUE"""),"No")</f>
        <v>No</v>
      </c>
      <c r="O88" s="10"/>
      <c r="P88" s="10"/>
      <c r="Q88" s="10"/>
      <c r="R88" s="10"/>
      <c r="S88" s="18" t="str">
        <f>IFERROR(__xludf.DUMMYFUNCTION("""COMPUTED_VALUE"""),"https://drive.google.com/open?id=1xmXsfiuNKXXuWWt3z2Da9LGSUQFfj1Ip")</f>
        <v>https://drive.google.com/open?id=1xmXsfiuNKXXuWWt3z2Da9LGSUQFfj1Ip</v>
      </c>
      <c r="T88" s="18" t="str">
        <f>IFERROR(__xludf.DUMMYFUNCTION("""COMPUTED_VALUE"""),"https://drive.google.com/open?id=1G6ftajbBh1NpQd9CB0XCr5q3Aq7KQ-vl")</f>
        <v>https://drive.google.com/open?id=1G6ftajbBh1NpQd9CB0XCr5q3Aq7KQ-vl</v>
      </c>
      <c r="U88" s="18" t="str">
        <f>IFERROR(__xludf.DUMMYFUNCTION("""COMPUTED_VALUE"""),"https://drive.google.com/open?id=1zmKm6su4u2NNqCEEpBIl-lfdcAc-cnkv")</f>
        <v>https://drive.google.com/open?id=1zmKm6su4u2NNqCEEpBIl-lfdcAc-cnkv</v>
      </c>
      <c r="V88" s="10" t="str">
        <f>IFERROR(__xludf.DUMMYFUNCTION("""COMPUTED_VALUE"""),"No")</f>
        <v>No</v>
      </c>
      <c r="W88" s="10"/>
      <c r="X88" s="10"/>
      <c r="Y88" s="14" t="str">
        <f>IFERROR(__xludf.DUMMYFUNCTION("""COMPUTED_VALUE"""),"razzaq.sajid1@gmail.com")</f>
        <v>razzaq.sajid1@gmail.com</v>
      </c>
      <c r="AA88" s="325">
        <v>3.0</v>
      </c>
    </row>
    <row r="89" hidden="1">
      <c r="A89" s="9">
        <f>IFERROR(__xludf.DUMMYFUNCTION("""COMPUTED_VALUE"""),45772.22911355324)</f>
        <v>45772.22911</v>
      </c>
      <c r="B89" s="10" t="str">
        <f>IFERROR(__xludf.DUMMYFUNCTION("""COMPUTED_VALUE"""),"Adnan")</f>
        <v>Adnan</v>
      </c>
      <c r="C89" s="10" t="str">
        <f>IFERROR(__xludf.DUMMYFUNCTION("""COMPUTED_VALUE"""),"03466626866")</f>
        <v>03466626866</v>
      </c>
      <c r="D89" s="10" t="str">
        <f>IFERROR(__xludf.DUMMYFUNCTION("""COMPUTED_VALUE"""),"Jamia Masjid Darbar Peer Milah Reheem Pura Kachian, Tehsil &amp; District Sialkot")</f>
        <v>Jamia Masjid Darbar Peer Milah Reheem Pura Kachian, Tehsil &amp; District Sialkot</v>
      </c>
      <c r="E89" s="10" t="str">
        <f>IFERROR(__xludf.DUMMYFUNCTION("""COMPUTED_VALUE"""),"dkded")</f>
        <v>dkded</v>
      </c>
      <c r="F89" s="10">
        <f>IFERROR(__xludf.DUMMYFUNCTION("""COMPUTED_VALUE"""),370.0)</f>
        <v>370</v>
      </c>
      <c r="G89" s="10">
        <f>IFERROR(__xludf.DUMMYFUNCTION("""COMPUTED_VALUE"""),7.0)</f>
        <v>7</v>
      </c>
      <c r="H89" s="10">
        <f>IFERROR(__xludf.DUMMYFUNCTION("""COMPUTED_VALUE"""),8.0)</f>
        <v>8</v>
      </c>
      <c r="I89" s="10">
        <f>IFERROR(__xludf.DUMMYFUNCTION("""COMPUTED_VALUE"""),0.0)</f>
        <v>0</v>
      </c>
      <c r="J89" s="10">
        <f>IFERROR(__xludf.DUMMYFUNCTION("""COMPUTED_VALUE"""),1987.0)</f>
        <v>1987</v>
      </c>
      <c r="K89" s="10" t="str">
        <f>IFERROR(__xludf.DUMMYFUNCTION("""COMPUTED_VALUE"""),"Yes")</f>
        <v>Yes</v>
      </c>
      <c r="L89" s="10" t="str">
        <f>IFERROR(__xludf.DUMMYFUNCTION("""COMPUTED_VALUE"""),"Yes")</f>
        <v>Yes</v>
      </c>
      <c r="M89" s="10">
        <f>IFERROR(__xludf.DUMMYFUNCTION("""COMPUTED_VALUE"""),6.0)</f>
        <v>6</v>
      </c>
      <c r="N89" s="10" t="str">
        <f>IFERROR(__xludf.DUMMYFUNCTION("""COMPUTED_VALUE"""),"Yes")</f>
        <v>Yes</v>
      </c>
      <c r="O89" s="323">
        <f>IFERROR(__xludf.DUMMYFUNCTION("""COMPUTED_VALUE"""),0.9)</f>
        <v>0.9</v>
      </c>
      <c r="P89" s="10">
        <f>IFERROR(__xludf.DUMMYFUNCTION("""COMPUTED_VALUE"""),8.0)</f>
        <v>8</v>
      </c>
      <c r="Q89" s="10">
        <f>IFERROR(__xludf.DUMMYFUNCTION("""COMPUTED_VALUE"""),8.0)</f>
        <v>8</v>
      </c>
      <c r="R89" s="10">
        <f>IFERROR(__xludf.DUMMYFUNCTION("""COMPUTED_VALUE"""),9.0)</f>
        <v>9</v>
      </c>
      <c r="S89" s="18" t="str">
        <f>IFERROR(__xludf.DUMMYFUNCTION("""COMPUTED_VALUE"""),"https://drive.google.com/open?id=12De6V-GYjqqAZVfw9rQHFe7shPS7Y6vQ")</f>
        <v>https://drive.google.com/open?id=12De6V-GYjqqAZVfw9rQHFe7shPS7Y6vQ</v>
      </c>
      <c r="T89" s="18" t="str">
        <f>IFERROR(__xludf.DUMMYFUNCTION("""COMPUTED_VALUE"""),"https://drive.google.com/open?id=13p_goAQct7KhxsyjwJOOs4f5wCejR0uh")</f>
        <v>https://drive.google.com/open?id=13p_goAQct7KhxsyjwJOOs4f5wCejR0uh</v>
      </c>
      <c r="U89" s="18" t="str">
        <f>IFERROR(__xludf.DUMMYFUNCTION("""COMPUTED_VALUE"""),"https://drive.google.com/open?id=14qnOoInmDGkfHlNVJIYi-u6ZGmQp91uD")</f>
        <v>https://drive.google.com/open?id=14qnOoInmDGkfHlNVJIYi-u6ZGmQp91uD</v>
      </c>
      <c r="V89" s="10" t="str">
        <f>IFERROR(__xludf.DUMMYFUNCTION("""COMPUTED_VALUE"""),"All topics are covered ")</f>
        <v>All topics are covered </v>
      </c>
      <c r="W89" s="10"/>
      <c r="X89" s="10" t="str">
        <f>IFERROR(__xludf.DUMMYFUNCTION("""COMPUTED_VALUE"""),"Yes")</f>
        <v>Yes</v>
      </c>
      <c r="Y89" s="14" t="str">
        <f>IFERROR(__xludf.DUMMYFUNCTION("""COMPUTED_VALUE"""),"kelash78@gmail.com")</f>
        <v>kelash78@gmail.com</v>
      </c>
      <c r="AA89" s="325">
        <v>1.0</v>
      </c>
    </row>
    <row r="90" hidden="1">
      <c r="A90" s="9">
        <f>IFERROR(__xludf.DUMMYFUNCTION("""COMPUTED_VALUE"""),45772.23440454861)</f>
        <v>45772.2344</v>
      </c>
      <c r="B90" s="10" t="str">
        <f>IFERROR(__xludf.DUMMYFUNCTION("""COMPUTED_VALUE"""),"Usman Tariq ")</f>
        <v>Usman Tariq </v>
      </c>
      <c r="C90" s="10" t="str">
        <f>IFERROR(__xludf.DUMMYFUNCTION("""COMPUTED_VALUE"""),"03015732031")</f>
        <v>03015732031</v>
      </c>
      <c r="D90" s="10" t="str">
        <f>IFERROR(__xludf.DUMMYFUNCTION("""COMPUTED_VALUE"""),"Jamiea masjid sheikh sikandar Lahore ")</f>
        <v>Jamiea masjid sheikh sikandar Lahore </v>
      </c>
      <c r="E90" s="10" t="str">
        <f>IFERROR(__xludf.DUMMYFUNCTION("""COMPUTED_VALUE"""),"jypnp")</f>
        <v>jypnp</v>
      </c>
      <c r="F90" s="10">
        <f>IFERROR(__xludf.DUMMYFUNCTION("""COMPUTED_VALUE"""),200.0)</f>
        <v>200</v>
      </c>
      <c r="G90" s="10">
        <f>IFERROR(__xludf.DUMMYFUNCTION("""COMPUTED_VALUE"""),0.0)</f>
        <v>0</v>
      </c>
      <c r="H90" s="10">
        <f>IFERROR(__xludf.DUMMYFUNCTION("""COMPUTED_VALUE"""),2.0)</f>
        <v>2</v>
      </c>
      <c r="I90" s="10">
        <f>IFERROR(__xludf.DUMMYFUNCTION("""COMPUTED_VALUE"""),1.0)</f>
        <v>1</v>
      </c>
      <c r="J90" s="10">
        <f>IFERROR(__xludf.DUMMYFUNCTION("""COMPUTED_VALUE"""),2000.0)</f>
        <v>2000</v>
      </c>
      <c r="K90" s="10" t="str">
        <f>IFERROR(__xludf.DUMMYFUNCTION("""COMPUTED_VALUE"""),"No")</f>
        <v>No</v>
      </c>
      <c r="L90" s="10" t="str">
        <f>IFERROR(__xludf.DUMMYFUNCTION("""COMPUTED_VALUE"""),"Qadeer shah Darbar ")</f>
        <v>Qadeer shah Darbar </v>
      </c>
      <c r="M90" s="10">
        <f>IFERROR(__xludf.DUMMYFUNCTION("""COMPUTED_VALUE"""),10.0)</f>
        <v>10</v>
      </c>
      <c r="N90" s="10" t="str">
        <f>IFERROR(__xludf.DUMMYFUNCTION("""COMPUTED_VALUE"""),"Yes")</f>
        <v>Yes</v>
      </c>
      <c r="O90" s="323">
        <f>IFERROR(__xludf.DUMMYFUNCTION("""COMPUTED_VALUE"""),0.0)</f>
        <v>0</v>
      </c>
      <c r="P90" s="10">
        <f>IFERROR(__xludf.DUMMYFUNCTION("""COMPUTED_VALUE"""),0.0)</f>
        <v>0</v>
      </c>
      <c r="Q90" s="10">
        <f>IFERROR(__xludf.DUMMYFUNCTION("""COMPUTED_VALUE"""),0.0)</f>
        <v>0</v>
      </c>
      <c r="R90" s="10">
        <f>IFERROR(__xludf.DUMMYFUNCTION("""COMPUTED_VALUE"""),0.0)</f>
        <v>0</v>
      </c>
      <c r="S90" s="10" t="str">
        <f>IFERROR(__xludf.DUMMYFUNCTION("""COMPUTED_VALUE"""),"https://drive.google.com/open?id=19muyISgY3kdBPSEqbk7FtVtgAvJQ7u6c, https://drive.google.com/open?id=11jci9YUOhcTFbxEEoDu2vKJg3U6T3U4B, https://drive.google.com/open?id=1P0dluTzXiu24svY2kT2yqFMAhRoUppLM, https://drive.google.com/open?id=11luib1OQPxYW-ttSf"&amp;"CfMGg234ovqBezQ, https://drive.google.com/open?id=1wHQeof447owjnjxrWiKCPwjJ1d2sGRHa")</f>
        <v>https://drive.google.com/open?id=19muyISgY3kdBPSEqbk7FtVtgAvJQ7u6c, https://drive.google.com/open?id=11jci9YUOhcTFbxEEoDu2vKJg3U6T3U4B, https://drive.google.com/open?id=1P0dluTzXiu24svY2kT2yqFMAhRoUppLM, https://drive.google.com/open?id=11luib1OQPxYW-ttSfCfMGg234ovqBezQ, https://drive.google.com/open?id=1wHQeof447owjnjxrWiKCPwjJ1d2sGRHa</v>
      </c>
      <c r="T90" s="10" t="str">
        <f>IFERROR(__xludf.DUMMYFUNCTION("""COMPUTED_VALUE"""),"https://drive.google.com/open?id=1axlmFLzerDPdIX196dib3ERaeGgwiqMV, https://drive.google.com/open?id=1r_IVwwZLGIsJv_ZLJsW1AqvLbQYXiEw4, https://drive.google.com/open?id=1CV94YEc1z1-Mrv7OfAypG877Rg7ESIz3, https://drive.google.com/open?id=1gpugRFnXy3OJPkhEm"&amp;"u55volBBW48EYaA")</f>
        <v>https://drive.google.com/open?id=1axlmFLzerDPdIX196dib3ERaeGgwiqMV, https://drive.google.com/open?id=1r_IVwwZLGIsJv_ZLJsW1AqvLbQYXiEw4, https://drive.google.com/open?id=1CV94YEc1z1-Mrv7OfAypG877Rg7ESIz3, https://drive.google.com/open?id=1gpugRFnXy3OJPkhEmu55volBBW48EYaA</v>
      </c>
      <c r="U90" s="10" t="str">
        <f>IFERROR(__xludf.DUMMYFUNCTION("""COMPUTED_VALUE"""),"https://drive.google.com/open?id=1HrvzLinb1OnQr2TiUe1XTOXhJNNRP8Sp, https://drive.google.com/open?id=1fyE2sQNR3ttm3WATCfIIQFBClFtZn5v1")</f>
        <v>https://drive.google.com/open?id=1HrvzLinb1OnQr2TiUe1XTOXhJNNRP8Sp, https://drive.google.com/open?id=1fyE2sQNR3ttm3WATCfIIQFBClFtZn5v1</v>
      </c>
      <c r="V90" s="10" t="str">
        <f>IFERROR(__xludf.DUMMYFUNCTION("""COMPUTED_VALUE"""),"Imam sahib ny hamara khutba nahi parha hai.")</f>
        <v>Imam sahib ny hamara khutba nahi parha hai.</v>
      </c>
      <c r="W90" s="10"/>
      <c r="X90" s="10" t="str">
        <f>IFERROR(__xludf.DUMMYFUNCTION("""COMPUTED_VALUE"""),"Yes")</f>
        <v>Yes</v>
      </c>
      <c r="Y90" s="14" t="str">
        <f>IFERROR(__xludf.DUMMYFUNCTION("""COMPUTED_VALUE"""),"usmanrumi31@gmail.com")</f>
        <v>usmanrumi31@gmail.com</v>
      </c>
      <c r="AA90" s="325">
        <v>3.0</v>
      </c>
    </row>
    <row r="91" hidden="1">
      <c r="A91" s="9">
        <f>IFERROR(__xludf.DUMMYFUNCTION("""COMPUTED_VALUE"""),45772.235586712966)</f>
        <v>45772.23559</v>
      </c>
      <c r="B91" s="10" t="str">
        <f>IFERROR(__xludf.DUMMYFUNCTION("""COMPUTED_VALUE"""),"Sami Ullah")</f>
        <v>Sami Ullah</v>
      </c>
      <c r="C91" s="10" t="str">
        <f>IFERROR(__xludf.DUMMYFUNCTION("""COMPUTED_VALUE"""),"03060977105")</f>
        <v>03060977105</v>
      </c>
      <c r="D91" s="10" t="str">
        <f>IFERROR(__xludf.DUMMYFUNCTION("""COMPUTED_VALUE"""),"Jamia masjid gulzar madina")</f>
        <v>Jamia masjid gulzar madina</v>
      </c>
      <c r="E91" s="10" t="str">
        <f>IFERROR(__xludf.DUMMYFUNCTION("""COMPUTED_VALUE"""),"bjngp")</f>
        <v>bjngp</v>
      </c>
      <c r="F91" s="10">
        <f>IFERROR(__xludf.DUMMYFUNCTION("""COMPUTED_VALUE"""),2100.0)</f>
        <v>2100</v>
      </c>
      <c r="G91" s="10">
        <f>IFERROR(__xludf.DUMMYFUNCTION("""COMPUTED_VALUE"""),10.0)</f>
        <v>10</v>
      </c>
      <c r="H91" s="10">
        <f>IFERROR(__xludf.DUMMYFUNCTION("""COMPUTED_VALUE"""),10.0)</f>
        <v>10</v>
      </c>
      <c r="I91" s="10">
        <f>IFERROR(__xludf.DUMMYFUNCTION("""COMPUTED_VALUE"""),0.0)</f>
        <v>0</v>
      </c>
      <c r="J91" s="10">
        <f>IFERROR(__xludf.DUMMYFUNCTION("""COMPUTED_VALUE"""),1940.0)</f>
        <v>1940</v>
      </c>
      <c r="K91" s="10" t="str">
        <f>IFERROR(__xludf.DUMMYFUNCTION("""COMPUTED_VALUE"""),"No")</f>
        <v>No</v>
      </c>
      <c r="L91" s="10" t="str">
        <f>IFERROR(__xludf.DUMMYFUNCTION("""COMPUTED_VALUE"""),"NO")</f>
        <v>NO</v>
      </c>
      <c r="M91" s="10">
        <f>IFERROR(__xludf.DUMMYFUNCTION("""COMPUTED_VALUE"""),10.0)</f>
        <v>10</v>
      </c>
      <c r="N91" s="10" t="str">
        <f>IFERROR(__xludf.DUMMYFUNCTION("""COMPUTED_VALUE"""),"Yes")</f>
        <v>Yes</v>
      </c>
      <c r="O91" s="323">
        <f>IFERROR(__xludf.DUMMYFUNCTION("""COMPUTED_VALUE"""),0.8)</f>
        <v>0.8</v>
      </c>
      <c r="P91" s="10">
        <f>IFERROR(__xludf.DUMMYFUNCTION("""COMPUTED_VALUE"""),8.0)</f>
        <v>8</v>
      </c>
      <c r="Q91" s="10">
        <f>IFERROR(__xludf.DUMMYFUNCTION("""COMPUTED_VALUE"""),1.0)</f>
        <v>1</v>
      </c>
      <c r="R91" s="10">
        <f>IFERROR(__xludf.DUMMYFUNCTION("""COMPUTED_VALUE"""),8.0)</f>
        <v>8</v>
      </c>
      <c r="S91" s="18" t="str">
        <f>IFERROR(__xludf.DUMMYFUNCTION("""COMPUTED_VALUE"""),"https://drive.google.com/open?id=1gwGulCrdkF7Tc_ff6HejnsfK3JrVTecM")</f>
        <v>https://drive.google.com/open?id=1gwGulCrdkF7Tc_ff6HejnsfK3JrVTecM</v>
      </c>
      <c r="T91" s="18" t="str">
        <f>IFERROR(__xludf.DUMMYFUNCTION("""COMPUTED_VALUE"""),"https://drive.google.com/open?id=16F058S3ofRLijGkEUOIYMfcU4Q8WDTTC")</f>
        <v>https://drive.google.com/open?id=16F058S3ofRLijGkEUOIYMfcU4Q8WDTTC</v>
      </c>
      <c r="U91" s="18" t="str">
        <f>IFERROR(__xludf.DUMMYFUNCTION("""COMPUTED_VALUE"""),"https://drive.google.com/open?id=16NnHDU7JInRK6CHpO-CFj-WZxkxOaPBL")</f>
        <v>https://drive.google.com/open?id=16NnHDU7JInRK6CHpO-CFj-WZxkxOaPBL</v>
      </c>
      <c r="V91" s="10" t="str">
        <f>IFERROR(__xludf.DUMMYFUNCTION("""COMPUTED_VALUE"""),"Nothing ")</f>
        <v>Nothing </v>
      </c>
      <c r="W91" s="10"/>
      <c r="X91" s="10" t="str">
        <f>IFERROR(__xludf.DUMMYFUNCTION("""COMPUTED_VALUE"""),"Yes")</f>
        <v>Yes</v>
      </c>
      <c r="Y91" s="14" t="str">
        <f>IFERROR(__xludf.DUMMYFUNCTION("""COMPUTED_VALUE"""),"samiullahjoyia973@gmail.com")</f>
        <v>samiullahjoyia973@gmail.com</v>
      </c>
      <c r="AA91" s="325">
        <v>1.0</v>
      </c>
    </row>
    <row r="92" hidden="1">
      <c r="A92" s="9">
        <f>IFERROR(__xludf.DUMMYFUNCTION("""COMPUTED_VALUE"""),45772.24331423611)</f>
        <v>45772.24331</v>
      </c>
      <c r="B92" s="10" t="str">
        <f>IFERROR(__xludf.DUMMYFUNCTION("""COMPUTED_VALUE"""),"نوید انجم")</f>
        <v>نوید انجم</v>
      </c>
      <c r="C92" s="10" t="str">
        <f>IFERROR(__xludf.DUMMYFUNCTION("""COMPUTED_VALUE"""),"03009829782")</f>
        <v>03009829782</v>
      </c>
      <c r="D92" s="10" t="str">
        <f>IFERROR(__xludf.DUMMYFUNCTION("""COMPUTED_VALUE"""),"مرکزی جامع مسجد دربار شریف حضرت بابا سخی سید محمد سید شاہ")</f>
        <v>مرکزی جامع مسجد دربار شریف حضرت بابا سخی سید محمد سید شاہ</v>
      </c>
      <c r="E92" s="10" t="str">
        <f>IFERROR(__xludf.DUMMYFUNCTION("""COMPUTED_VALUE"""),"Jiuks")</f>
        <v>Jiuks</v>
      </c>
      <c r="F92" s="10">
        <f>IFERROR(__xludf.DUMMYFUNCTION("""COMPUTED_VALUE"""),300.0)</f>
        <v>300</v>
      </c>
      <c r="G92" s="10">
        <f>IFERROR(__xludf.DUMMYFUNCTION("""COMPUTED_VALUE"""),9.0)</f>
        <v>9</v>
      </c>
      <c r="H92" s="10">
        <f>IFERROR(__xludf.DUMMYFUNCTION("""COMPUTED_VALUE"""),9.0)</f>
        <v>9</v>
      </c>
      <c r="I92" s="10">
        <f>IFERROR(__xludf.DUMMYFUNCTION("""COMPUTED_VALUE"""),1.0)</f>
        <v>1</v>
      </c>
      <c r="J92" s="10">
        <f>IFERROR(__xludf.DUMMYFUNCTION("""COMPUTED_VALUE"""),1992.0)</f>
        <v>1992</v>
      </c>
      <c r="K92" s="10" t="str">
        <f>IFERROR(__xludf.DUMMYFUNCTION("""COMPUTED_VALUE"""),"No")</f>
        <v>No</v>
      </c>
      <c r="L92" s="10" t="str">
        <f>IFERROR(__xludf.DUMMYFUNCTION("""COMPUTED_VALUE"""),"دربار بابا سید شاہ ")</f>
        <v>دربار بابا سید شاہ </v>
      </c>
      <c r="M92" s="10">
        <f>IFERROR(__xludf.DUMMYFUNCTION("""COMPUTED_VALUE"""),8.0)</f>
        <v>8</v>
      </c>
      <c r="N92" s="10" t="str">
        <f>IFERROR(__xludf.DUMMYFUNCTION("""COMPUTED_VALUE"""),"No")</f>
        <v>No</v>
      </c>
      <c r="O92" s="10"/>
      <c r="P92" s="10"/>
      <c r="Q92" s="10"/>
      <c r="R92" s="10"/>
      <c r="S92" s="18" t="str">
        <f>IFERROR(__xludf.DUMMYFUNCTION("""COMPUTED_VALUE"""),"https://drive.google.com/open?id=1zqvaFKnbCUOgZvA5h7GXyadZqC-nKg3p")</f>
        <v>https://drive.google.com/open?id=1zqvaFKnbCUOgZvA5h7GXyadZqC-nKg3p</v>
      </c>
      <c r="T92" s="18" t="str">
        <f>IFERROR(__xludf.DUMMYFUNCTION("""COMPUTED_VALUE"""),"https://drive.google.com/open?id=1wG29YCpZkWChvNKgjNWYexf2CyuWZOqM")</f>
        <v>https://drive.google.com/open?id=1wG29YCpZkWChvNKgjNWYexf2CyuWZOqM</v>
      </c>
      <c r="U92" s="18" t="str">
        <f>IFERROR(__xludf.DUMMYFUNCTION("""COMPUTED_VALUE"""),"https://drive.google.com/open?id=1cKS4Aciad3y2lA-_Np13z6ZIIPGoQsFg")</f>
        <v>https://drive.google.com/open?id=1cKS4Aciad3y2lA-_Np13z6ZIIPGoQsFg</v>
      </c>
      <c r="V92" s="10"/>
      <c r="W92" s="10"/>
      <c r="X92" s="10"/>
      <c r="Y92" s="14" t="str">
        <f>IFERROR(__xludf.DUMMYFUNCTION("""COMPUTED_VALUE"""),"navidanjum20@gmail.com")</f>
        <v>navidanjum20@gmail.com</v>
      </c>
      <c r="AA92" s="325">
        <v>1.0</v>
      </c>
    </row>
    <row r="93" hidden="1">
      <c r="A93" s="9">
        <f>IFERROR(__xludf.DUMMYFUNCTION("""COMPUTED_VALUE"""),45772.24582561343)</f>
        <v>45772.24583</v>
      </c>
      <c r="B93" s="10" t="str">
        <f>IFERROR(__xludf.DUMMYFUNCTION("""COMPUTED_VALUE"""),"Haider Ali")</f>
        <v>Haider Ali</v>
      </c>
      <c r="C93" s="10" t="str">
        <f>IFERROR(__xludf.DUMMYFUNCTION("""COMPUTED_VALUE"""),"03330031508")</f>
        <v>03330031508</v>
      </c>
      <c r="D93" s="10" t="str">
        <f>IFERROR(__xludf.DUMMYFUNCTION("""COMPUTED_VALUE"""),"Jami Masjed Mirza Ourkaan Sheikupura ")</f>
        <v>Jami Masjed Mirza Ourkaan Sheikupura </v>
      </c>
      <c r="E93" s="10" t="str">
        <f>IFERROR(__xludf.DUMMYFUNCTION("""COMPUTED_VALUE"""),"HNZOG")</f>
        <v>HNZOG</v>
      </c>
      <c r="F93" s="10">
        <f>IFERROR(__xludf.DUMMYFUNCTION("""COMPUTED_VALUE"""),170.0)</f>
        <v>170</v>
      </c>
      <c r="G93" s="10">
        <f>IFERROR(__xludf.DUMMYFUNCTION("""COMPUTED_VALUE"""),8.0)</f>
        <v>8</v>
      </c>
      <c r="H93" s="10">
        <f>IFERROR(__xludf.DUMMYFUNCTION("""COMPUTED_VALUE"""),8.0)</f>
        <v>8</v>
      </c>
      <c r="I93" s="10">
        <f>IFERROR(__xludf.DUMMYFUNCTION("""COMPUTED_VALUE"""),1.0)</f>
        <v>1</v>
      </c>
      <c r="J93" s="10" t="str">
        <f>IFERROR(__xludf.DUMMYFUNCTION("""COMPUTED_VALUE"""),"No")</f>
        <v>No</v>
      </c>
      <c r="K93" s="10" t="str">
        <f>IFERROR(__xludf.DUMMYFUNCTION("""COMPUTED_VALUE"""),"No")</f>
        <v>No</v>
      </c>
      <c r="L93" s="10" t="str">
        <f>IFERROR(__xludf.DUMMYFUNCTION("""COMPUTED_VALUE"""),"No")</f>
        <v>No</v>
      </c>
      <c r="M93" s="10">
        <f>IFERROR(__xludf.DUMMYFUNCTION("""COMPUTED_VALUE"""),10.0)</f>
        <v>10</v>
      </c>
      <c r="N93" s="10" t="str">
        <f>IFERROR(__xludf.DUMMYFUNCTION("""COMPUTED_VALUE"""),"No")</f>
        <v>No</v>
      </c>
      <c r="O93" s="10"/>
      <c r="P93" s="10"/>
      <c r="Q93" s="10"/>
      <c r="R93" s="10"/>
      <c r="S93" s="18" t="str">
        <f>IFERROR(__xludf.DUMMYFUNCTION("""COMPUTED_VALUE"""),"https://drive.google.com/open?id=1KjtzrwJdWxQGysgO7dDNRIwi-LQgjRgj")</f>
        <v>https://drive.google.com/open?id=1KjtzrwJdWxQGysgO7dDNRIwi-LQgjRgj</v>
      </c>
      <c r="T93" s="18" t="str">
        <f>IFERROR(__xludf.DUMMYFUNCTION("""COMPUTED_VALUE"""),"https://drive.google.com/open?id=1cldsvPBlDr2zrQE7azU46GMHmQik_-lj")</f>
        <v>https://drive.google.com/open?id=1cldsvPBlDr2zrQE7azU46GMHmQik_-lj</v>
      </c>
      <c r="U93" s="18" t="str">
        <f>IFERROR(__xludf.DUMMYFUNCTION("""COMPUTED_VALUE"""),"https://drive.google.com/open?id=1YP_TIrfkQJhnLc4wAEHhtEnmudxtExvE")</f>
        <v>https://drive.google.com/open?id=1YP_TIrfkQJhnLc4wAEHhtEnmudxtExvE</v>
      </c>
      <c r="V93" s="10"/>
      <c r="W93" s="10"/>
      <c r="X93" s="10"/>
      <c r="Y93" s="14" t="str">
        <f>IFERROR(__xludf.DUMMYFUNCTION("""COMPUTED_VALUE"""),"hj568050@gmail.com")</f>
        <v>hj568050@gmail.com</v>
      </c>
      <c r="AA93" s="325" t="s">
        <v>4</v>
      </c>
    </row>
    <row r="94" hidden="1">
      <c r="A94" s="9">
        <f>IFERROR(__xludf.DUMMYFUNCTION("""COMPUTED_VALUE"""),45772.24625429398)</f>
        <v>45772.24625</v>
      </c>
      <c r="B94" s="10" t="str">
        <f>IFERROR(__xludf.DUMMYFUNCTION("""COMPUTED_VALUE"""),"Muhammad Tahir ")</f>
        <v>Muhammad Tahir </v>
      </c>
      <c r="C94" s="10" t="str">
        <f>IFERROR(__xludf.DUMMYFUNCTION("""COMPUTED_VALUE"""),"0315-4165034 ")</f>
        <v>0315-4165034 </v>
      </c>
      <c r="D94" s="10" t="str">
        <f>IFERROR(__xludf.DUMMYFUNCTION("""COMPUTED_VALUE"""),"Jamia Syedna Abubakar Siddique Gumti Bazar ")</f>
        <v>Jamia Syedna Abubakar Siddique Gumti Bazar </v>
      </c>
      <c r="E94" s="10" t="str">
        <f>IFERROR(__xludf.DUMMYFUNCTION("""COMPUTED_VALUE"""),"ptnjj")</f>
        <v>ptnjj</v>
      </c>
      <c r="F94" s="10">
        <f>IFERROR(__xludf.DUMMYFUNCTION("""COMPUTED_VALUE"""),200.0)</f>
        <v>200</v>
      </c>
      <c r="G94" s="10">
        <f>IFERROR(__xludf.DUMMYFUNCTION("""COMPUTED_VALUE"""),10.0)</f>
        <v>10</v>
      </c>
      <c r="H94" s="10">
        <f>IFERROR(__xludf.DUMMYFUNCTION("""COMPUTED_VALUE"""),5.0)</f>
        <v>5</v>
      </c>
      <c r="I94" s="10">
        <f>IFERROR(__xludf.DUMMYFUNCTION("""COMPUTED_VALUE"""),0.0)</f>
        <v>0</v>
      </c>
      <c r="J94" s="10">
        <f>IFERROR(__xludf.DUMMYFUNCTION("""COMPUTED_VALUE"""),1965.0)</f>
        <v>1965</v>
      </c>
      <c r="K94" s="10" t="str">
        <f>IFERROR(__xludf.DUMMYFUNCTION("""COMPUTED_VALUE"""),"No")</f>
        <v>No</v>
      </c>
      <c r="L94" s="10" t="str">
        <f>IFERROR(__xludf.DUMMYFUNCTION("""COMPUTED_VALUE"""),"NA")</f>
        <v>NA</v>
      </c>
      <c r="M94" s="10">
        <f>IFERROR(__xludf.DUMMYFUNCTION("""COMPUTED_VALUE"""),10.0)</f>
        <v>10</v>
      </c>
      <c r="N94" s="10" t="str">
        <f>IFERROR(__xludf.DUMMYFUNCTION("""COMPUTED_VALUE"""),"Yes")</f>
        <v>Yes</v>
      </c>
      <c r="O94" s="323">
        <f>IFERROR(__xludf.DUMMYFUNCTION("""COMPUTED_VALUE"""),0.0)</f>
        <v>0</v>
      </c>
      <c r="P94" s="10">
        <f>IFERROR(__xludf.DUMMYFUNCTION("""COMPUTED_VALUE"""),5.0)</f>
        <v>5</v>
      </c>
      <c r="Q94" s="10">
        <f>IFERROR(__xludf.DUMMYFUNCTION("""COMPUTED_VALUE"""),5.0)</f>
        <v>5</v>
      </c>
      <c r="R94" s="10">
        <f>IFERROR(__xludf.DUMMYFUNCTION("""COMPUTED_VALUE"""),5.0)</f>
        <v>5</v>
      </c>
      <c r="S94" s="18" t="str">
        <f>IFERROR(__xludf.DUMMYFUNCTION("""COMPUTED_VALUE"""),"https://drive.google.com/open?id=1fzFlOpnqdBT65NKzTdEVLNr3bW7DCyYx")</f>
        <v>https://drive.google.com/open?id=1fzFlOpnqdBT65NKzTdEVLNr3bW7DCyYx</v>
      </c>
      <c r="T94" s="10" t="str">
        <f>IFERROR(__xludf.DUMMYFUNCTION("""COMPUTED_VALUE"""),"https://drive.google.com/open?id=16Ivj2XBeq-svMvQXPUhLT7iSwbSP1Z-Z, https://drive.google.com/open?id=1yflX3q-m2WPOqyGPqimio4_5a3LTFTzO")</f>
        <v>https://drive.google.com/open?id=16Ivj2XBeq-svMvQXPUhLT7iSwbSP1Z-Z, https://drive.google.com/open?id=1yflX3q-m2WPOqyGPqimio4_5a3LTFTzO</v>
      </c>
      <c r="U94" s="18" t="str">
        <f>IFERROR(__xludf.DUMMYFUNCTION("""COMPUTED_VALUE"""),"https://drive.google.com/open?id=1s8o0lort_B-bCSWZt2iHl47lpXvcGr3D")</f>
        <v>https://drive.google.com/open?id=1s8o0lort_B-bCSWZt2iHl47lpXvcGr3D</v>
      </c>
      <c r="V94" s="10" t="str">
        <f>IFERROR(__xludf.DUMMYFUNCTION("""COMPUTED_VALUE"""),"NA")</f>
        <v>NA</v>
      </c>
      <c r="W94" s="10"/>
      <c r="X94" s="10" t="str">
        <f>IFERROR(__xludf.DUMMYFUNCTION("""COMPUTED_VALUE"""),"No")</f>
        <v>No</v>
      </c>
      <c r="Y94" s="14" t="str">
        <f>IFERROR(__xludf.DUMMYFUNCTION("""COMPUTED_VALUE"""),"tahirdaudi55@gmail.com")</f>
        <v>tahirdaudi55@gmail.com</v>
      </c>
      <c r="AA94" s="325">
        <v>1.0</v>
      </c>
    </row>
    <row r="95" hidden="1">
      <c r="A95" s="9">
        <f>IFERROR(__xludf.DUMMYFUNCTION("""COMPUTED_VALUE"""),45772.24630456018)</f>
        <v>45772.2463</v>
      </c>
      <c r="B95" s="10" t="str">
        <f>IFERROR(__xludf.DUMMYFUNCTION("""COMPUTED_VALUE"""),"Wasif Rehman ")</f>
        <v>Wasif Rehman </v>
      </c>
      <c r="C95" s="10" t="str">
        <f>IFERROR(__xludf.DUMMYFUNCTION("""COMPUTED_VALUE"""),"03466866233")</f>
        <v>03466866233</v>
      </c>
      <c r="D95" s="10" t="str">
        <f>IFERROR(__xludf.DUMMYFUNCTION("""COMPUTED_VALUE"""),"Jamia masjid derbar naghy shah")</f>
        <v>Jamia masjid derbar naghy shah</v>
      </c>
      <c r="E95" s="10" t="str">
        <f>IFERROR(__xludf.DUMMYFUNCTION("""COMPUTED_VALUE"""),"Wrtan")</f>
        <v>Wrtan</v>
      </c>
      <c r="F95" s="10">
        <f>IFERROR(__xludf.DUMMYFUNCTION("""COMPUTED_VALUE"""),200.0)</f>
        <v>200</v>
      </c>
      <c r="G95" s="10">
        <f>IFERROR(__xludf.DUMMYFUNCTION("""COMPUTED_VALUE"""),9.0)</f>
        <v>9</v>
      </c>
      <c r="H95" s="10">
        <f>IFERROR(__xludf.DUMMYFUNCTION("""COMPUTED_VALUE"""),8.0)</f>
        <v>8</v>
      </c>
      <c r="I95" s="10">
        <f>IFERROR(__xludf.DUMMYFUNCTION("""COMPUTED_VALUE"""),0.0)</f>
        <v>0</v>
      </c>
      <c r="J95" s="10">
        <f>IFERROR(__xludf.DUMMYFUNCTION("""COMPUTED_VALUE"""),35.0)</f>
        <v>35</v>
      </c>
      <c r="K95" s="10" t="str">
        <f>IFERROR(__xludf.DUMMYFUNCTION("""COMPUTED_VALUE"""),"No")</f>
        <v>No</v>
      </c>
      <c r="L95" s="10" t="str">
        <f>IFERROR(__xludf.DUMMYFUNCTION("""COMPUTED_VALUE"""),"Derbar naghy shah ")</f>
        <v>Derbar naghy shah </v>
      </c>
      <c r="M95" s="10">
        <f>IFERROR(__xludf.DUMMYFUNCTION("""COMPUTED_VALUE"""),8.0)</f>
        <v>8</v>
      </c>
      <c r="N95" s="10" t="str">
        <f>IFERROR(__xludf.DUMMYFUNCTION("""COMPUTED_VALUE"""),"No")</f>
        <v>No</v>
      </c>
      <c r="O95" s="10"/>
      <c r="P95" s="10"/>
      <c r="Q95" s="10"/>
      <c r="R95" s="10"/>
      <c r="S95" s="18" t="str">
        <f>IFERROR(__xludf.DUMMYFUNCTION("""COMPUTED_VALUE"""),"https://drive.google.com/open?id=13hrNTsuVlchrsQMcyUeFFAkQRhSeAER8")</f>
        <v>https://drive.google.com/open?id=13hrNTsuVlchrsQMcyUeFFAkQRhSeAER8</v>
      </c>
      <c r="T95" s="18" t="str">
        <f>IFERROR(__xludf.DUMMYFUNCTION("""COMPUTED_VALUE"""),"https://drive.google.com/open?id=1kW4L8oFyCPKkZ_EdnS7pCyIdYyB9SS7w")</f>
        <v>https://drive.google.com/open?id=1kW4L8oFyCPKkZ_EdnS7pCyIdYyB9SS7w</v>
      </c>
      <c r="U95" s="18" t="str">
        <f>IFERROR(__xludf.DUMMYFUNCTION("""COMPUTED_VALUE"""),"https://drive.google.com/open?id=1qweIClmM2tByKy4Ti5rM5xBmGCFQwUOr")</f>
        <v>https://drive.google.com/open?id=1qweIClmM2tByKy4Ti5rM5xBmGCFQwUOr</v>
      </c>
      <c r="V95" s="10"/>
      <c r="W95" s="10"/>
      <c r="X95" s="10"/>
      <c r="Y95" s="14" t="str">
        <f>IFERROR(__xludf.DUMMYFUNCTION("""COMPUTED_VALUE"""),"wasif6268@gmail.com")</f>
        <v>wasif6268@gmail.com</v>
      </c>
      <c r="AA95" s="325">
        <v>1.0</v>
      </c>
    </row>
    <row r="96" hidden="1">
      <c r="A96" s="9">
        <f>IFERROR(__xludf.DUMMYFUNCTION("""COMPUTED_VALUE"""),45772.246940578705)</f>
        <v>45772.24694</v>
      </c>
      <c r="B96" s="10" t="str">
        <f>IFERROR(__xludf.DUMMYFUNCTION("""COMPUTED_VALUE"""),"Haider Ali")</f>
        <v>Haider Ali</v>
      </c>
      <c r="C96" s="10" t="str">
        <f>IFERROR(__xludf.DUMMYFUNCTION("""COMPUTED_VALUE"""),"03330031508")</f>
        <v>03330031508</v>
      </c>
      <c r="D96" s="10" t="str">
        <f>IFERROR(__xludf.DUMMYFUNCTION("""COMPUTED_VALUE"""),"Jami Masjed Mirza Ourkaan Sheikupura ")</f>
        <v>Jami Masjed Mirza Ourkaan Sheikupura </v>
      </c>
      <c r="E96" s="10" t="str">
        <f>IFERROR(__xludf.DUMMYFUNCTION("""COMPUTED_VALUE"""),"HNZOG")</f>
        <v>HNZOG</v>
      </c>
      <c r="F96" s="10">
        <f>IFERROR(__xludf.DUMMYFUNCTION("""COMPUTED_VALUE"""),170.0)</f>
        <v>170</v>
      </c>
      <c r="G96" s="10">
        <f>IFERROR(__xludf.DUMMYFUNCTION("""COMPUTED_VALUE"""),8.0)</f>
        <v>8</v>
      </c>
      <c r="H96" s="10">
        <f>IFERROR(__xludf.DUMMYFUNCTION("""COMPUTED_VALUE"""),8.0)</f>
        <v>8</v>
      </c>
      <c r="I96" s="10">
        <f>IFERROR(__xludf.DUMMYFUNCTION("""COMPUTED_VALUE"""),1.0)</f>
        <v>1</v>
      </c>
      <c r="J96" s="10" t="str">
        <f>IFERROR(__xludf.DUMMYFUNCTION("""COMPUTED_VALUE"""),"No")</f>
        <v>No</v>
      </c>
      <c r="K96" s="10" t="str">
        <f>IFERROR(__xludf.DUMMYFUNCTION("""COMPUTED_VALUE"""),"No")</f>
        <v>No</v>
      </c>
      <c r="L96" s="10" t="str">
        <f>IFERROR(__xludf.DUMMYFUNCTION("""COMPUTED_VALUE"""),"No")</f>
        <v>No</v>
      </c>
      <c r="M96" s="10">
        <f>IFERROR(__xludf.DUMMYFUNCTION("""COMPUTED_VALUE"""),10.0)</f>
        <v>10</v>
      </c>
      <c r="N96" s="10" t="str">
        <f>IFERROR(__xludf.DUMMYFUNCTION("""COMPUTED_VALUE"""),"No")</f>
        <v>No</v>
      </c>
      <c r="O96" s="10"/>
      <c r="P96" s="10"/>
      <c r="Q96" s="10"/>
      <c r="R96" s="10"/>
      <c r="S96" s="18" t="str">
        <f>IFERROR(__xludf.DUMMYFUNCTION("""COMPUTED_VALUE"""),"https://drive.google.com/open?id=1EYOKAxaCjDMaZuuCu1tVYPeTgzmgzSph")</f>
        <v>https://drive.google.com/open?id=1EYOKAxaCjDMaZuuCu1tVYPeTgzmgzSph</v>
      </c>
      <c r="T96" s="18" t="str">
        <f>IFERROR(__xludf.DUMMYFUNCTION("""COMPUTED_VALUE"""),"https://drive.google.com/open?id=1Cyx_ovKLYXEFNmktL0GQ3rInHBIJ_8HY")</f>
        <v>https://drive.google.com/open?id=1Cyx_ovKLYXEFNmktL0GQ3rInHBIJ_8HY</v>
      </c>
      <c r="U96" s="18" t="str">
        <f>IFERROR(__xludf.DUMMYFUNCTION("""COMPUTED_VALUE"""),"https://drive.google.com/open?id=1YP_TIrfkQJhnLc4wAEHhtEnmudxtExvE")</f>
        <v>https://drive.google.com/open?id=1YP_TIrfkQJhnLc4wAEHhtEnmudxtExvE</v>
      </c>
      <c r="V96" s="10"/>
      <c r="W96" s="10"/>
      <c r="X96" s="10"/>
      <c r="Y96" s="14" t="str">
        <f>IFERROR(__xludf.DUMMYFUNCTION("""COMPUTED_VALUE"""),"hj568050@gmail.com")</f>
        <v>hj568050@gmail.com</v>
      </c>
      <c r="AA96" s="325">
        <v>3.0</v>
      </c>
    </row>
    <row r="97" hidden="1">
      <c r="A97" s="9">
        <f>IFERROR(__xludf.DUMMYFUNCTION("""COMPUTED_VALUE"""),45772.248431875)</f>
        <v>45772.24843</v>
      </c>
      <c r="B97" s="10" t="str">
        <f>IFERROR(__xludf.DUMMYFUNCTION("""COMPUTED_VALUE"""),"Muhammad Saifullah khan")</f>
        <v>Muhammad Saifullah khan</v>
      </c>
      <c r="C97" s="10" t="str">
        <f>IFERROR(__xludf.DUMMYFUNCTION("""COMPUTED_VALUE"""),"03101793850")</f>
        <v>03101793850</v>
      </c>
      <c r="D97" s="10" t="str">
        <f>IFERROR(__xludf.DUMMYFUNCTION("""COMPUTED_VALUE"""),"Markazi jamiya msjid maine bazar khushab")</f>
        <v>Markazi jamiya msjid maine bazar khushab</v>
      </c>
      <c r="E97" s="10" t="str">
        <f>IFERROR(__xludf.DUMMYFUNCTION("""COMPUTED_VALUE"""),"Osgnp")</f>
        <v>Osgnp</v>
      </c>
      <c r="F97" s="10">
        <f>IFERROR(__xludf.DUMMYFUNCTION("""COMPUTED_VALUE"""),1000.0)</f>
        <v>1000</v>
      </c>
      <c r="G97" s="10">
        <f>IFERROR(__xludf.DUMMYFUNCTION("""COMPUTED_VALUE"""),9.0)</f>
        <v>9</v>
      </c>
      <c r="H97" s="10">
        <f>IFERROR(__xludf.DUMMYFUNCTION("""COMPUTED_VALUE"""),5.0)</f>
        <v>5</v>
      </c>
      <c r="I97" s="10">
        <f>IFERROR(__xludf.DUMMYFUNCTION("""COMPUTED_VALUE"""),6.0)</f>
        <v>6</v>
      </c>
      <c r="J97" s="10">
        <f>IFERROR(__xludf.DUMMYFUNCTION("""COMPUTED_VALUE"""),2005.0)</f>
        <v>2005</v>
      </c>
      <c r="K97" s="10" t="str">
        <f>IFERROR(__xludf.DUMMYFUNCTION("""COMPUTED_VALUE"""),"No")</f>
        <v>No</v>
      </c>
      <c r="L97" s="10" t="str">
        <f>IFERROR(__xludf.DUMMYFUNCTION("""COMPUTED_VALUE"""),"No")</f>
        <v>No</v>
      </c>
      <c r="M97" s="10">
        <f>IFERROR(__xludf.DUMMYFUNCTION("""COMPUTED_VALUE"""),8.0)</f>
        <v>8</v>
      </c>
      <c r="N97" s="10" t="str">
        <f>IFERROR(__xludf.DUMMYFUNCTION("""COMPUTED_VALUE"""),"No")</f>
        <v>No</v>
      </c>
      <c r="O97" s="10"/>
      <c r="P97" s="10"/>
      <c r="Q97" s="10"/>
      <c r="R97" s="10"/>
      <c r="S97" s="18" t="str">
        <f>IFERROR(__xludf.DUMMYFUNCTION("""COMPUTED_VALUE"""),"https://drive.google.com/open?id=1ZgToLWUpFYY1Pz0UUOl_y5_C__vMvXsy")</f>
        <v>https://drive.google.com/open?id=1ZgToLWUpFYY1Pz0UUOl_y5_C__vMvXsy</v>
      </c>
      <c r="T97" s="18" t="str">
        <f>IFERROR(__xludf.DUMMYFUNCTION("""COMPUTED_VALUE"""),"https://drive.google.com/open?id=13-e0QourTePWt4Kp2zbtuX3OR_aU5GRa")</f>
        <v>https://drive.google.com/open?id=13-e0QourTePWt4Kp2zbtuX3OR_aU5GRa</v>
      </c>
      <c r="U97" s="18" t="str">
        <f>IFERROR(__xludf.DUMMYFUNCTION("""COMPUTED_VALUE"""),"https://drive.google.com/open?id=1ePG7YGeGVSwo83uE7xCwzGTgAK-7cArv")</f>
        <v>https://drive.google.com/open?id=1ePG7YGeGVSwo83uE7xCwzGTgAK-7cArv</v>
      </c>
      <c r="V97" s="10"/>
      <c r="W97" s="10"/>
      <c r="X97" s="10"/>
      <c r="Y97" s="14" t="str">
        <f>IFERROR(__xludf.DUMMYFUNCTION("""COMPUTED_VALUE"""),"kmuhammadsaifullah@gmail.com")</f>
        <v>kmuhammadsaifullah@gmail.com</v>
      </c>
      <c r="AA97" s="325">
        <v>1.0</v>
      </c>
    </row>
    <row r="98" hidden="1">
      <c r="A98" s="9">
        <f>IFERROR(__xludf.DUMMYFUNCTION("""COMPUTED_VALUE"""),45772.249630289356)</f>
        <v>45772.24963</v>
      </c>
      <c r="B98" s="10" t="str">
        <f>IFERROR(__xludf.DUMMYFUNCTION("""COMPUTED_VALUE"""),"Nisar Ali Nasir")</f>
        <v>Nisar Ali Nasir</v>
      </c>
      <c r="C98" s="10" t="str">
        <f>IFERROR(__xludf.DUMMYFUNCTION("""COMPUTED_VALUE"""),"03445131452")</f>
        <v>03445131452</v>
      </c>
      <c r="D98" s="10" t="str">
        <f>IFERROR(__xludf.DUMMYFUNCTION("""COMPUTED_VALUE"""),"Jamia masjid darbar badshan ")</f>
        <v>Jamia masjid darbar badshan </v>
      </c>
      <c r="E98" s="10" t="str">
        <f>IFERROR(__xludf.DUMMYFUNCTION("""COMPUTED_VALUE"""),"Gxkkx")</f>
        <v>Gxkkx</v>
      </c>
      <c r="F98" s="10">
        <f>IFERROR(__xludf.DUMMYFUNCTION("""COMPUTED_VALUE"""),300.0)</f>
        <v>300</v>
      </c>
      <c r="G98" s="10">
        <f>IFERROR(__xludf.DUMMYFUNCTION("""COMPUTED_VALUE"""),7.0)</f>
        <v>7</v>
      </c>
      <c r="H98" s="10">
        <f>IFERROR(__xludf.DUMMYFUNCTION("""COMPUTED_VALUE"""),6.0)</f>
        <v>6</v>
      </c>
      <c r="I98" s="10">
        <f>IFERROR(__xludf.DUMMYFUNCTION("""COMPUTED_VALUE"""),1.0)</f>
        <v>1</v>
      </c>
      <c r="J98" s="10">
        <f>IFERROR(__xludf.DUMMYFUNCTION("""COMPUTED_VALUE"""),1800.0)</f>
        <v>1800</v>
      </c>
      <c r="K98" s="10" t="str">
        <f>IFERROR(__xludf.DUMMYFUNCTION("""COMPUTED_VALUE"""),"Yes")</f>
        <v>Yes</v>
      </c>
      <c r="L98" s="10" t="str">
        <f>IFERROR(__xludf.DUMMYFUNCTION("""COMPUTED_VALUE"""),"Darbar badshan ")</f>
        <v>Darbar badshan </v>
      </c>
      <c r="M98" s="10">
        <f>IFERROR(__xludf.DUMMYFUNCTION("""COMPUTED_VALUE"""),9.0)</f>
        <v>9</v>
      </c>
      <c r="N98" s="10" t="str">
        <f>IFERROR(__xludf.DUMMYFUNCTION("""COMPUTED_VALUE"""),"No")</f>
        <v>No</v>
      </c>
      <c r="O98" s="10"/>
      <c r="P98" s="10"/>
      <c r="Q98" s="10"/>
      <c r="R98" s="10"/>
      <c r="S98" s="18" t="str">
        <f>IFERROR(__xludf.DUMMYFUNCTION("""COMPUTED_VALUE"""),"https://drive.google.com/open?id=1GpvAoCPvg9Z_npesaqGCA-9dn3kkDssu")</f>
        <v>https://drive.google.com/open?id=1GpvAoCPvg9Z_npesaqGCA-9dn3kkDssu</v>
      </c>
      <c r="T98" s="18" t="str">
        <f>IFERROR(__xludf.DUMMYFUNCTION("""COMPUTED_VALUE"""),"https://drive.google.com/open?id=1HQJHm8YiVb_kiuSdvrKexHSGOMMVj27K")</f>
        <v>https://drive.google.com/open?id=1HQJHm8YiVb_kiuSdvrKexHSGOMMVj27K</v>
      </c>
      <c r="U98" s="18" t="str">
        <f>IFERROR(__xludf.DUMMYFUNCTION("""COMPUTED_VALUE"""),"https://drive.google.com/open?id=1c_WuCNAIfgufoYGzPFYKraNfBZrKAViD")</f>
        <v>https://drive.google.com/open?id=1c_WuCNAIfgufoYGzPFYKraNfBZrKAViD</v>
      </c>
      <c r="V98" s="10"/>
      <c r="W98" s="10"/>
      <c r="X98" s="10"/>
      <c r="Y98" s="14" t="str">
        <f>IFERROR(__xludf.DUMMYFUNCTION("""COMPUTED_VALUE"""),"nisaralinasir4@gmail.com")</f>
        <v>nisaralinasir4@gmail.com</v>
      </c>
      <c r="AA98" s="325">
        <v>1.0</v>
      </c>
    </row>
    <row r="99" hidden="1">
      <c r="A99" s="9">
        <f>IFERROR(__xludf.DUMMYFUNCTION("""COMPUTED_VALUE"""),45772.25170628472)</f>
        <v>45772.25171</v>
      </c>
      <c r="B99" s="10" t="str">
        <f>IFERROR(__xludf.DUMMYFUNCTION("""COMPUTED_VALUE"""),"Muhammad Asif kaleem")</f>
        <v>Muhammad Asif kaleem</v>
      </c>
      <c r="C99" s="10" t="str">
        <f>IFERROR(__xludf.DUMMYFUNCTION("""COMPUTED_VALUE"""),"03228810855")</f>
        <v>03228810855</v>
      </c>
      <c r="D99" s="10" t="str">
        <f>IFERROR(__xludf.DUMMYFUNCTION("""COMPUTED_VALUE"""),"Jamia masjid dehli muslim")</f>
        <v>Jamia masjid dehli muslim</v>
      </c>
      <c r="E99" s="10" t="str">
        <f>IFERROR(__xludf.DUMMYFUNCTION("""COMPUTED_VALUE"""),"IEYAF")</f>
        <v>IEYAF</v>
      </c>
      <c r="F99" s="10">
        <f>IFERROR(__xludf.DUMMYFUNCTION("""COMPUTED_VALUE"""),437.0)</f>
        <v>437</v>
      </c>
      <c r="G99" s="10">
        <f>IFERROR(__xludf.DUMMYFUNCTION("""COMPUTED_VALUE"""),7.0)</f>
        <v>7</v>
      </c>
      <c r="H99" s="10">
        <f>IFERROR(__xludf.DUMMYFUNCTION("""COMPUTED_VALUE"""),8.0)</f>
        <v>8</v>
      </c>
      <c r="I99" s="10">
        <f>IFERROR(__xludf.DUMMYFUNCTION("""COMPUTED_VALUE"""),1.0)</f>
        <v>1</v>
      </c>
      <c r="J99" s="10">
        <f>IFERROR(__xludf.DUMMYFUNCTION("""COMPUTED_VALUE"""),1938.0)</f>
        <v>1938</v>
      </c>
      <c r="K99" s="10" t="str">
        <f>IFERROR(__xludf.DUMMYFUNCTION("""COMPUTED_VALUE"""),"No")</f>
        <v>No</v>
      </c>
      <c r="L99" s="10" t="str">
        <f>IFERROR(__xludf.DUMMYFUNCTION("""COMPUTED_VALUE"""),"No")</f>
        <v>No</v>
      </c>
      <c r="M99" s="10">
        <f>IFERROR(__xludf.DUMMYFUNCTION("""COMPUTED_VALUE"""),9.0)</f>
        <v>9</v>
      </c>
      <c r="N99" s="10" t="str">
        <f>IFERROR(__xludf.DUMMYFUNCTION("""COMPUTED_VALUE"""),"Yes")</f>
        <v>Yes</v>
      </c>
      <c r="O99" s="323">
        <f>IFERROR(__xludf.DUMMYFUNCTION("""COMPUTED_VALUE"""),0.6)</f>
        <v>0.6</v>
      </c>
      <c r="P99" s="10">
        <f>IFERROR(__xludf.DUMMYFUNCTION("""COMPUTED_VALUE"""),6.0)</f>
        <v>6</v>
      </c>
      <c r="Q99" s="10">
        <f>IFERROR(__xludf.DUMMYFUNCTION("""COMPUTED_VALUE"""),4.0)</f>
        <v>4</v>
      </c>
      <c r="R99" s="10">
        <f>IFERROR(__xludf.DUMMYFUNCTION("""COMPUTED_VALUE"""),6.0)</f>
        <v>6</v>
      </c>
      <c r="S99" s="18" t="str">
        <f>IFERROR(__xludf.DUMMYFUNCTION("""COMPUTED_VALUE"""),"https://drive.google.com/open?id=1z-p87qnOEcmu4icPDvuCbqHJEEVjkbWX")</f>
        <v>https://drive.google.com/open?id=1z-p87qnOEcmu4icPDvuCbqHJEEVjkbWX</v>
      </c>
      <c r="T99" s="18" t="str">
        <f>IFERROR(__xludf.DUMMYFUNCTION("""COMPUTED_VALUE"""),"https://drive.google.com/open?id=1GZugQPlPYb7Fljz1m8mP83xr8JDrGaDl")</f>
        <v>https://drive.google.com/open?id=1GZugQPlPYb7Fljz1m8mP83xr8JDrGaDl</v>
      </c>
      <c r="U99" s="18" t="str">
        <f>IFERROR(__xludf.DUMMYFUNCTION("""COMPUTED_VALUE"""),"https://drive.google.com/open?id=18V_uQoQbhgtJ9-sK2wZZcswokMK5WktS")</f>
        <v>https://drive.google.com/open?id=18V_uQoQbhgtJ9-sK2wZZcswokMK5WktS</v>
      </c>
      <c r="V99" s="10" t="str">
        <f>IFERROR(__xludf.DUMMYFUNCTION("""COMPUTED_VALUE"""),"No comments")</f>
        <v>No comments</v>
      </c>
      <c r="W99" s="10"/>
      <c r="X99" s="10" t="str">
        <f>IFERROR(__xludf.DUMMYFUNCTION("""COMPUTED_VALUE"""),"Yes")</f>
        <v>Yes</v>
      </c>
      <c r="Y99" s="14" t="str">
        <f>IFERROR(__xludf.DUMMYFUNCTION("""COMPUTED_VALUE"""),"asifkaleem992@gmail.com")</f>
        <v>asifkaleem992@gmail.com</v>
      </c>
      <c r="AA99" s="325">
        <v>3.0</v>
      </c>
    </row>
    <row r="100" hidden="1">
      <c r="A100" s="9">
        <f>IFERROR(__xludf.DUMMYFUNCTION("""COMPUTED_VALUE"""),45772.253551539354)</f>
        <v>45772.25355</v>
      </c>
      <c r="B100" s="10" t="str">
        <f>IFERROR(__xludf.DUMMYFUNCTION("""COMPUTED_VALUE"""),"Bilal")</f>
        <v>Bilal</v>
      </c>
      <c r="C100" s="10" t="str">
        <f>IFERROR(__xludf.DUMMYFUNCTION("""COMPUTED_VALUE"""),"03066761947")</f>
        <v>03066761947</v>
      </c>
      <c r="D100" s="10" t="str">
        <f>IFERROR(__xludf.DUMMYFUNCTION("""COMPUTED_VALUE"""),"Jamia Masjid Shah Ali Rungareez Lahore")</f>
        <v>Jamia Masjid Shah Ali Rungareez Lahore</v>
      </c>
      <c r="E100" s="10" t="str">
        <f>IFERROR(__xludf.DUMMYFUNCTION("""COMPUTED_VALUE"""),"fjkfw")</f>
        <v>fjkfw</v>
      </c>
      <c r="F100" s="10">
        <f>IFERROR(__xludf.DUMMYFUNCTION("""COMPUTED_VALUE"""),150.0)</f>
        <v>150</v>
      </c>
      <c r="G100" s="10">
        <f>IFERROR(__xludf.DUMMYFUNCTION("""COMPUTED_VALUE"""),10.0)</f>
        <v>10</v>
      </c>
      <c r="H100" s="10">
        <f>IFERROR(__xludf.DUMMYFUNCTION("""COMPUTED_VALUE"""),10.0)</f>
        <v>10</v>
      </c>
      <c r="I100" s="10">
        <f>IFERROR(__xludf.DUMMYFUNCTION("""COMPUTED_VALUE"""),0.0)</f>
        <v>0</v>
      </c>
      <c r="J100" s="10">
        <f>IFERROR(__xludf.DUMMYFUNCTION("""COMPUTED_VALUE"""),1980.0)</f>
        <v>1980</v>
      </c>
      <c r="K100" s="10" t="str">
        <f>IFERROR(__xludf.DUMMYFUNCTION("""COMPUTED_VALUE"""),"No")</f>
        <v>No</v>
      </c>
      <c r="L100" s="10" t="str">
        <f>IFERROR(__xludf.DUMMYFUNCTION("""COMPUTED_VALUE"""),"No")</f>
        <v>No</v>
      </c>
      <c r="M100" s="10">
        <f>IFERROR(__xludf.DUMMYFUNCTION("""COMPUTED_VALUE"""),10.0)</f>
        <v>10</v>
      </c>
      <c r="N100" s="10" t="str">
        <f>IFERROR(__xludf.DUMMYFUNCTION("""COMPUTED_VALUE"""),"No")</f>
        <v>No</v>
      </c>
      <c r="O100" s="10"/>
      <c r="P100" s="10"/>
      <c r="Q100" s="10"/>
      <c r="R100" s="10"/>
      <c r="S100" s="18" t="str">
        <f>IFERROR(__xludf.DUMMYFUNCTION("""COMPUTED_VALUE"""),"https://drive.google.com/open?id=1Sy86Xo9n3t_BsmM3QL_Ldxe8BX6yApw7")</f>
        <v>https://drive.google.com/open?id=1Sy86Xo9n3t_BsmM3QL_Ldxe8BX6yApw7</v>
      </c>
      <c r="T100" s="18" t="str">
        <f>IFERROR(__xludf.DUMMYFUNCTION("""COMPUTED_VALUE"""),"https://drive.google.com/open?id=1I1iPGcbRX3NCl-CC61OkJk57GVDCXuDu")</f>
        <v>https://drive.google.com/open?id=1I1iPGcbRX3NCl-CC61OkJk57GVDCXuDu</v>
      </c>
      <c r="U100" s="18" t="str">
        <f>IFERROR(__xludf.DUMMYFUNCTION("""COMPUTED_VALUE"""),"https://drive.google.com/open?id=1_exkS--n8ZhIoNB46myakyF-OGZrqgp7")</f>
        <v>https://drive.google.com/open?id=1_exkS--n8ZhIoNB46myakyF-OGZrqgp7</v>
      </c>
      <c r="V100" s="10" t="str">
        <f>IFERROR(__xludf.DUMMYFUNCTION("""COMPUTED_VALUE"""),"No")</f>
        <v>No</v>
      </c>
      <c r="W100" s="10"/>
      <c r="X100" s="10"/>
      <c r="Y100" s="14" t="str">
        <f>IFERROR(__xludf.DUMMYFUNCTION("""COMPUTED_VALUE"""),"m.bilalkhokhar013@gmail.com")</f>
        <v>m.bilalkhokhar013@gmail.com</v>
      </c>
      <c r="AA100" s="325">
        <v>3.0</v>
      </c>
    </row>
    <row r="101" hidden="1">
      <c r="A101" s="9">
        <f>IFERROR(__xludf.DUMMYFUNCTION("""COMPUTED_VALUE"""),45772.25359414352)</f>
        <v>45772.25359</v>
      </c>
      <c r="B101" s="10" t="str">
        <f>IFERROR(__xludf.DUMMYFUNCTION("""COMPUTED_VALUE"""),"Dilawar Abbas")</f>
        <v>Dilawar Abbas</v>
      </c>
      <c r="C101" s="10" t="str">
        <f>IFERROR(__xludf.DUMMYFUNCTION("""COMPUTED_VALUE"""),"03095378593")</f>
        <v>03095378593</v>
      </c>
      <c r="D101" s="10" t="str">
        <f>IFERROR(__xludf.DUMMYFUNCTION("""COMPUTED_VALUE"""),"Jamia Masjid Noor Eman Wala (TNJAZ)")</f>
        <v>Jamia Masjid Noor Eman Wala (TNJAZ)</v>
      </c>
      <c r="E101" s="10" t="str">
        <f>IFERROR(__xludf.DUMMYFUNCTION("""COMPUTED_VALUE"""),"TNJAZ")</f>
        <v>TNJAZ</v>
      </c>
      <c r="F101" s="10">
        <f>IFERROR(__xludf.DUMMYFUNCTION("""COMPUTED_VALUE"""),97.0)</f>
        <v>97</v>
      </c>
      <c r="G101" s="10">
        <f>IFERROR(__xludf.DUMMYFUNCTION("""COMPUTED_VALUE"""),8.0)</f>
        <v>8</v>
      </c>
      <c r="H101" s="10">
        <f>IFERROR(__xludf.DUMMYFUNCTION("""COMPUTED_VALUE"""),8.0)</f>
        <v>8</v>
      </c>
      <c r="I101" s="10">
        <f>IFERROR(__xludf.DUMMYFUNCTION("""COMPUTED_VALUE"""),0.0)</f>
        <v>0</v>
      </c>
      <c r="J101" s="10">
        <f>IFERROR(__xludf.DUMMYFUNCTION("""COMPUTED_VALUE"""),1990.0)</f>
        <v>1990</v>
      </c>
      <c r="K101" s="10" t="str">
        <f>IFERROR(__xludf.DUMMYFUNCTION("""COMPUTED_VALUE"""),"No")</f>
        <v>No</v>
      </c>
      <c r="L101" s="10" t="str">
        <f>IFERROR(__xludf.DUMMYFUNCTION("""COMPUTED_VALUE"""),"No")</f>
        <v>No</v>
      </c>
      <c r="M101" s="10">
        <f>IFERROR(__xludf.DUMMYFUNCTION("""COMPUTED_VALUE"""),9.0)</f>
        <v>9</v>
      </c>
      <c r="N101" s="10" t="str">
        <f>IFERROR(__xludf.DUMMYFUNCTION("""COMPUTED_VALUE"""),"Yes")</f>
        <v>Yes</v>
      </c>
      <c r="O101" s="323">
        <f>IFERROR(__xludf.DUMMYFUNCTION("""COMPUTED_VALUE"""),0.7)</f>
        <v>0.7</v>
      </c>
      <c r="P101" s="10">
        <f>IFERROR(__xludf.DUMMYFUNCTION("""COMPUTED_VALUE"""),7.0)</f>
        <v>7</v>
      </c>
      <c r="Q101" s="10">
        <f>IFERROR(__xludf.DUMMYFUNCTION("""COMPUTED_VALUE"""),3.0)</f>
        <v>3</v>
      </c>
      <c r="R101" s="10">
        <f>IFERROR(__xludf.DUMMYFUNCTION("""COMPUTED_VALUE"""),8.0)</f>
        <v>8</v>
      </c>
      <c r="S101" s="18" t="str">
        <f>IFERROR(__xludf.DUMMYFUNCTION("""COMPUTED_VALUE"""),"https://drive.google.com/open?id=14zvqgcYwTk3ptMaZpEX4c8i_IQ66A73R")</f>
        <v>https://drive.google.com/open?id=14zvqgcYwTk3ptMaZpEX4c8i_IQ66A73R</v>
      </c>
      <c r="T101" s="18" t="str">
        <f>IFERROR(__xludf.DUMMYFUNCTION("""COMPUTED_VALUE"""),"https://drive.google.com/open?id=1Lp4eQFMThD8BfFHJer1TpQcl4qR16lMS")</f>
        <v>https://drive.google.com/open?id=1Lp4eQFMThD8BfFHJer1TpQcl4qR16lMS</v>
      </c>
      <c r="U101" s="18" t="str">
        <f>IFERROR(__xludf.DUMMYFUNCTION("""COMPUTED_VALUE"""),"https://drive.google.com/open?id=1CR9Cq3iFEcntYoD27a0mRFPWDXyKKLPx")</f>
        <v>https://drive.google.com/open?id=1CR9Cq3iFEcntYoD27a0mRFPWDXyKKLPx</v>
      </c>
      <c r="V101" s="10"/>
      <c r="W101" s="10"/>
      <c r="X101" s="10" t="str">
        <f>IFERROR(__xludf.DUMMYFUNCTION("""COMPUTED_VALUE"""),"Yes")</f>
        <v>Yes</v>
      </c>
      <c r="Y101" s="14" t="str">
        <f>IFERROR(__xludf.DUMMYFUNCTION("""COMPUTED_VALUE"""),"dilawarkhan1172@gmail.com")</f>
        <v>dilawarkhan1172@gmail.com</v>
      </c>
      <c r="AA101" s="325">
        <v>3.0</v>
      </c>
    </row>
    <row r="102" hidden="1">
      <c r="A102" s="9">
        <f>IFERROR(__xludf.DUMMYFUNCTION("""COMPUTED_VALUE"""),45772.254900671294)</f>
        <v>45772.2549</v>
      </c>
      <c r="B102" s="10" t="str">
        <f>IFERROR(__xludf.DUMMYFUNCTION("""COMPUTED_VALUE"""),"Wajid Mushtaq ")</f>
        <v>Wajid Mushtaq </v>
      </c>
      <c r="C102" s="10" t="str">
        <f>IFERROR(__xludf.DUMMYFUNCTION("""COMPUTED_VALUE"""),"03246427664")</f>
        <v>03246427664</v>
      </c>
      <c r="D102" s="10" t="str">
        <f>IFERROR(__xludf.DUMMYFUNCTION("""COMPUTED_VALUE"""),"Jamia Masjid Dabar Cila Ga KangnaPeera Ahmal Pura Sialkot ")</f>
        <v>Jamia Masjid Dabar Cila Ga KangnaPeera Ahmal Pura Sialkot </v>
      </c>
      <c r="E102" s="10" t="str">
        <f>IFERROR(__xludf.DUMMYFUNCTION("""COMPUTED_VALUE"""),"Oiuji")</f>
        <v>Oiuji</v>
      </c>
      <c r="F102" s="10">
        <f>IFERROR(__xludf.DUMMYFUNCTION("""COMPUTED_VALUE"""),215.0)</f>
        <v>215</v>
      </c>
      <c r="G102" s="10">
        <f>IFERROR(__xludf.DUMMYFUNCTION("""COMPUTED_VALUE"""),8.0)</f>
        <v>8</v>
      </c>
      <c r="H102" s="10">
        <f>IFERROR(__xludf.DUMMYFUNCTION("""COMPUTED_VALUE"""),8.0)</f>
        <v>8</v>
      </c>
      <c r="I102" s="10">
        <f>IFERROR(__xludf.DUMMYFUNCTION("""COMPUTED_VALUE"""),0.0)</f>
        <v>0</v>
      </c>
      <c r="J102" s="10">
        <f>IFERROR(__xludf.DUMMYFUNCTION("""COMPUTED_VALUE"""),1982.0)</f>
        <v>1982</v>
      </c>
      <c r="K102" s="10" t="str">
        <f>IFERROR(__xludf.DUMMYFUNCTION("""COMPUTED_VALUE"""),"No")</f>
        <v>No</v>
      </c>
      <c r="L102" s="10" t="str">
        <f>IFERROR(__xludf.DUMMYFUNCTION("""COMPUTED_VALUE"""),"Yes")</f>
        <v>Yes</v>
      </c>
      <c r="M102" s="10">
        <f>IFERROR(__xludf.DUMMYFUNCTION("""COMPUTED_VALUE"""),6.0)</f>
        <v>6</v>
      </c>
      <c r="N102" s="10" t="str">
        <f>IFERROR(__xludf.DUMMYFUNCTION("""COMPUTED_VALUE"""),"Yes")</f>
        <v>Yes</v>
      </c>
      <c r="O102" s="323">
        <f>IFERROR(__xludf.DUMMYFUNCTION("""COMPUTED_VALUE"""),0.0)</f>
        <v>0</v>
      </c>
      <c r="P102" s="10">
        <f>IFERROR(__xludf.DUMMYFUNCTION("""COMPUTED_VALUE"""),0.0)</f>
        <v>0</v>
      </c>
      <c r="Q102" s="10">
        <f>IFERROR(__xludf.DUMMYFUNCTION("""COMPUTED_VALUE"""),0.0)</f>
        <v>0</v>
      </c>
      <c r="R102" s="10">
        <f>IFERROR(__xludf.DUMMYFUNCTION("""COMPUTED_VALUE"""),0.0)</f>
        <v>0</v>
      </c>
      <c r="S102" s="18" t="str">
        <f>IFERROR(__xludf.DUMMYFUNCTION("""COMPUTED_VALUE"""),"https://drive.google.com/open?id=1FfjSQOIkXUx0O8p9ieIoOiWa_j66chcf")</f>
        <v>https://drive.google.com/open?id=1FfjSQOIkXUx0O8p9ieIoOiWa_j66chcf</v>
      </c>
      <c r="T102" s="18" t="str">
        <f>IFERROR(__xludf.DUMMYFUNCTION("""COMPUTED_VALUE"""),"https://drive.google.com/open?id=15mUkmgvLthZHhDrA5le5yJn6l8VooUTT")</f>
        <v>https://drive.google.com/open?id=15mUkmgvLthZHhDrA5le5yJn6l8VooUTT</v>
      </c>
      <c r="U102" s="18" t="str">
        <f>IFERROR(__xludf.DUMMYFUNCTION("""COMPUTED_VALUE"""),"https://drive.google.com/open?id=1WcEoM3gnUhItmNY3n7QgZgx1z08TKb32")</f>
        <v>https://drive.google.com/open?id=1WcEoM3gnUhItmNY3n7QgZgx1z08TKb32</v>
      </c>
      <c r="V102" s="10" t="str">
        <f>IFERROR(__xludf.DUMMYFUNCTION("""COMPUTED_VALUE"""),"Not following the written instructions ")</f>
        <v>Not following the written instructions </v>
      </c>
      <c r="W102" s="10"/>
      <c r="X102" s="10" t="str">
        <f>IFERROR(__xludf.DUMMYFUNCTION("""COMPUTED_VALUE"""),"Yes")</f>
        <v>Yes</v>
      </c>
      <c r="Y102" s="14" t="str">
        <f>IFERROR(__xludf.DUMMYFUNCTION("""COMPUTED_VALUE"""),"wajidmushtaq941@gmail.com")</f>
        <v>wajidmushtaq941@gmail.com</v>
      </c>
      <c r="AA102" s="325">
        <v>1.0</v>
      </c>
    </row>
    <row r="103" hidden="1">
      <c r="A103" s="9">
        <f>IFERROR(__xludf.DUMMYFUNCTION("""COMPUTED_VALUE"""),45772.258129131944)</f>
        <v>45772.25813</v>
      </c>
      <c r="B103" s="10" t="str">
        <f>IFERROR(__xludf.DUMMYFUNCTION("""COMPUTED_VALUE"""),"محمد وسیم ")</f>
        <v>محمد وسیم </v>
      </c>
      <c r="C103" s="10" t="str">
        <f>IFERROR(__xludf.DUMMYFUNCTION("""COMPUTED_VALUE"""),"03036313075")</f>
        <v>03036313075</v>
      </c>
      <c r="D103" s="10" t="str">
        <f>IFERROR(__xludf.DUMMYFUNCTION("""COMPUTED_VALUE"""),"شاہی مسجد چنیوٹ ")</f>
        <v>شاہی مسجد چنیوٹ </v>
      </c>
      <c r="E103" s="10" t="str">
        <f>IFERROR(__xludf.DUMMYFUNCTION("""COMPUTED_VALUE"""),"LTSEN")</f>
        <v>LTSEN</v>
      </c>
      <c r="F103" s="10">
        <f>IFERROR(__xludf.DUMMYFUNCTION("""COMPUTED_VALUE"""),135.0)</f>
        <v>135</v>
      </c>
      <c r="G103" s="10">
        <f>IFERROR(__xludf.DUMMYFUNCTION("""COMPUTED_VALUE"""),7.0)</f>
        <v>7</v>
      </c>
      <c r="H103" s="10">
        <f>IFERROR(__xludf.DUMMYFUNCTION("""COMPUTED_VALUE"""),7.0)</f>
        <v>7</v>
      </c>
      <c r="I103" s="10">
        <f>IFERROR(__xludf.DUMMYFUNCTION("""COMPUTED_VALUE"""),0.0)</f>
        <v>0</v>
      </c>
      <c r="J103" s="10">
        <f>IFERROR(__xludf.DUMMYFUNCTION("""COMPUTED_VALUE"""),1648.0)</f>
        <v>1648</v>
      </c>
      <c r="K103" s="10" t="str">
        <f>IFERROR(__xludf.DUMMYFUNCTION("""COMPUTED_VALUE"""),"No")</f>
        <v>No</v>
      </c>
      <c r="L103" s="10" t="str">
        <f>IFERROR(__xludf.DUMMYFUNCTION("""COMPUTED_VALUE"""),"No")</f>
        <v>No</v>
      </c>
      <c r="M103" s="10">
        <f>IFERROR(__xludf.DUMMYFUNCTION("""COMPUTED_VALUE"""),8.0)</f>
        <v>8</v>
      </c>
      <c r="N103" s="10" t="str">
        <f>IFERROR(__xludf.DUMMYFUNCTION("""COMPUTED_VALUE"""),"No")</f>
        <v>No</v>
      </c>
      <c r="O103" s="10"/>
      <c r="P103" s="10"/>
      <c r="Q103" s="10"/>
      <c r="R103" s="10"/>
      <c r="S103" s="18" t="str">
        <f>IFERROR(__xludf.DUMMYFUNCTION("""COMPUTED_VALUE"""),"https://drive.google.com/open?id=188p23_zJQW4EfyXob-rUzkf2X0cgQK6S")</f>
        <v>https://drive.google.com/open?id=188p23_zJQW4EfyXob-rUzkf2X0cgQK6S</v>
      </c>
      <c r="T103" s="18" t="str">
        <f>IFERROR(__xludf.DUMMYFUNCTION("""COMPUTED_VALUE"""),"https://drive.google.com/open?id=1Iifkb2P8Y4nq8xg0NL-voX5LULJkekwP")</f>
        <v>https://drive.google.com/open?id=1Iifkb2P8Y4nq8xg0NL-voX5LULJkekwP</v>
      </c>
      <c r="U103" s="18" t="str">
        <f>IFERROR(__xludf.DUMMYFUNCTION("""COMPUTED_VALUE"""),"https://drive.google.com/file/d/1Ger7GrAnAx-MUdWrlAXsCNeh4PkCIrBN/view?usp=sharing")</f>
        <v>https://drive.google.com/file/d/1Ger7GrAnAx-MUdWrlAXsCNeh4PkCIrBN/view?usp=sharing</v>
      </c>
      <c r="V103" s="10"/>
      <c r="W103" s="10"/>
      <c r="X103" s="10"/>
      <c r="Y103" s="14" t="str">
        <f>IFERROR(__xludf.DUMMYFUNCTION("""COMPUTED_VALUE"""),"waseem.pwd.chiniot@gmail.com")</f>
        <v>waseem.pwd.chiniot@gmail.com</v>
      </c>
      <c r="AA103" s="325">
        <v>1.0</v>
      </c>
    </row>
    <row r="104" hidden="1">
      <c r="A104" s="9">
        <f>IFERROR(__xludf.DUMMYFUNCTION("""COMPUTED_VALUE"""),45772.25851100695)</f>
        <v>45772.25851</v>
      </c>
      <c r="B104" s="10" t="str">
        <f>IFERROR(__xludf.DUMMYFUNCTION("""COMPUTED_VALUE"""),"Muhammad Waseem ")</f>
        <v>Muhammad Waseem </v>
      </c>
      <c r="C104" s="10" t="str">
        <f>IFERROR(__xludf.DUMMYFUNCTION("""COMPUTED_VALUE"""),"03306540300")</f>
        <v>03306540300</v>
      </c>
      <c r="D104" s="10" t="str">
        <f>IFERROR(__xludf.DUMMYFUNCTION("""COMPUTED_VALUE"""),"Jamia Masjid Hanifia Railway Road Gawaal Mandi Lahore")</f>
        <v>Jamia Masjid Hanifia Railway Road Gawaal Mandi Lahore</v>
      </c>
      <c r="E104" s="10" t="str">
        <f>IFERROR(__xludf.DUMMYFUNCTION("""COMPUTED_VALUE"""),"wvmxf")</f>
        <v>wvmxf</v>
      </c>
      <c r="F104" s="10">
        <f>IFERROR(__xludf.DUMMYFUNCTION("""COMPUTED_VALUE"""),450.0)</f>
        <v>450</v>
      </c>
      <c r="G104" s="10">
        <f>IFERROR(__xludf.DUMMYFUNCTION("""COMPUTED_VALUE"""),8.0)</f>
        <v>8</v>
      </c>
      <c r="H104" s="10">
        <f>IFERROR(__xludf.DUMMYFUNCTION("""COMPUTED_VALUE"""),7.0)</f>
        <v>7</v>
      </c>
      <c r="I104" s="10">
        <f>IFERROR(__xludf.DUMMYFUNCTION("""COMPUTED_VALUE"""),2.0)</f>
        <v>2</v>
      </c>
      <c r="J104" s="10">
        <f>IFERROR(__xludf.DUMMYFUNCTION("""COMPUTED_VALUE"""),1964.0)</f>
        <v>1964</v>
      </c>
      <c r="K104" s="10" t="str">
        <f>IFERROR(__xludf.DUMMYFUNCTION("""COMPUTED_VALUE"""),"No")</f>
        <v>No</v>
      </c>
      <c r="L104" s="10" t="str">
        <f>IFERROR(__xludf.DUMMYFUNCTION("""COMPUTED_VALUE"""),"Hazrat Baba Sayed muraad Shah and Hazrar Baba Syed Natho shah")</f>
        <v>Hazrat Baba Sayed muraad Shah and Hazrar Baba Syed Natho shah</v>
      </c>
      <c r="M104" s="10">
        <f>IFERROR(__xludf.DUMMYFUNCTION("""COMPUTED_VALUE"""),10.0)</f>
        <v>10</v>
      </c>
      <c r="N104" s="10" t="str">
        <f>IFERROR(__xludf.DUMMYFUNCTION("""COMPUTED_VALUE"""),"Yes")</f>
        <v>Yes</v>
      </c>
      <c r="O104" s="323">
        <f>IFERROR(__xludf.DUMMYFUNCTION("""COMPUTED_VALUE"""),0.3)</f>
        <v>0.3</v>
      </c>
      <c r="P104" s="10">
        <f>IFERROR(__xludf.DUMMYFUNCTION("""COMPUTED_VALUE"""),3.0)</f>
        <v>3</v>
      </c>
      <c r="Q104" s="10">
        <f>IFERROR(__xludf.DUMMYFUNCTION("""COMPUTED_VALUE"""),7.0)</f>
        <v>7</v>
      </c>
      <c r="R104" s="10">
        <f>IFERROR(__xludf.DUMMYFUNCTION("""COMPUTED_VALUE"""),4.0)</f>
        <v>4</v>
      </c>
      <c r="S104" s="10" t="str">
        <f>IFERROR(__xludf.DUMMYFUNCTION("""COMPUTED_VALUE"""),"https://drive.google.com/open?id=1HaICNJVwUOphSmk8FPu_lBccJkGlOL0v, https://drive.google.com/open?id=1f_0K26kPqaa4-hI84y8wX_p7hcdGRluO, https://drive.google.com/open?id=1WXAGwqUgNt638O-XSPS-SEa7vlBmBLX1, https://drive.google.com/open?id=1WU15OCOM2927y20UX"&amp;"XkYinxGst-MvomL, https://drive.google.com/open?id=1kuFqffoa2ug_Z4pWqSRi8F-VfDobDKh9")</f>
        <v>https://drive.google.com/open?id=1HaICNJVwUOphSmk8FPu_lBccJkGlOL0v, https://drive.google.com/open?id=1f_0K26kPqaa4-hI84y8wX_p7hcdGRluO, https://drive.google.com/open?id=1WXAGwqUgNt638O-XSPS-SEa7vlBmBLX1, https://drive.google.com/open?id=1WU15OCOM2927y20UXXkYinxGst-MvomL, https://drive.google.com/open?id=1kuFqffoa2ug_Z4pWqSRi8F-VfDobDKh9</v>
      </c>
      <c r="T104" s="10" t="str">
        <f>IFERROR(__xludf.DUMMYFUNCTION("""COMPUTED_VALUE"""),"https://drive.google.com/open?id=1HY2a-vMPALUHfAI79tbrO3D8uBrZYRLl, https://drive.google.com/open?id=19NFZ9VH0INGDrIt4fwdeWKmOVynBmPzv, https://drive.google.com/open?id=1MxzmruL0kT-oy9dIDJ7YAMmd30h1mSLG, https://drive.google.com/open?id=1z0a8ZdDopfDZG7GKw"&amp;"3lUZO6iKQsiz8KT")</f>
        <v>https://drive.google.com/open?id=1HY2a-vMPALUHfAI79tbrO3D8uBrZYRLl, https://drive.google.com/open?id=19NFZ9VH0INGDrIt4fwdeWKmOVynBmPzv, https://drive.google.com/open?id=1MxzmruL0kT-oy9dIDJ7YAMmd30h1mSLG, https://drive.google.com/open?id=1z0a8ZdDopfDZG7GKw3lUZO6iKQsiz8KT</v>
      </c>
      <c r="U104" s="18" t="str">
        <f>IFERROR(__xludf.DUMMYFUNCTION("""COMPUTED_VALUE"""),"https://drive.google.com/open?id=17Omk1xU_6g4J2WKpyLrIMEAljHH-zjUr")</f>
        <v>https://drive.google.com/open?id=17Omk1xU_6g4J2WKpyLrIMEAljHH-zjUr</v>
      </c>
      <c r="V104" s="10"/>
      <c r="W104" s="10"/>
      <c r="X104" s="10" t="str">
        <f>IFERROR(__xludf.DUMMYFUNCTION("""COMPUTED_VALUE"""),"Yes")</f>
        <v>Yes</v>
      </c>
      <c r="Y104" s="14" t="str">
        <f>IFERROR(__xludf.DUMMYFUNCTION("""COMPUTED_VALUE"""),"mwaseem65403@gmail.com")</f>
        <v>mwaseem65403@gmail.com</v>
      </c>
      <c r="AA104" s="325">
        <v>3.0</v>
      </c>
    </row>
    <row r="105" hidden="1">
      <c r="A105" s="9">
        <f>IFERROR(__xludf.DUMMYFUNCTION("""COMPUTED_VALUE"""),45772.25963377315)</f>
        <v>45772.25963</v>
      </c>
      <c r="B105" s="10" t="str">
        <f>IFERROR(__xludf.DUMMYFUNCTION("""COMPUTED_VALUE"""),"Muhammad Usman ")</f>
        <v>Muhammad Usman </v>
      </c>
      <c r="C105" s="10" t="str">
        <f>IFERROR(__xludf.DUMMYFUNCTION("""COMPUTED_VALUE"""),"03006214381")</f>
        <v>03006214381</v>
      </c>
      <c r="D105" s="10" t="str">
        <f>IFERROR(__xludf.DUMMYFUNCTION("""COMPUTED_VALUE"""),"Jamia masjed Shah Hussain ")</f>
        <v>Jamia masjed Shah Hussain </v>
      </c>
      <c r="E105" s="10" t="str">
        <f>IFERROR(__xludf.DUMMYFUNCTION("""COMPUTED_VALUE"""),"ECKCL")</f>
        <v>ECKCL</v>
      </c>
      <c r="F105" s="10">
        <f>IFERROR(__xludf.DUMMYFUNCTION("""COMPUTED_VALUE"""),214.0)</f>
        <v>214</v>
      </c>
      <c r="G105" s="10">
        <f>IFERROR(__xludf.DUMMYFUNCTION("""COMPUTED_VALUE"""),6.0)</f>
        <v>6</v>
      </c>
      <c r="H105" s="10">
        <f>IFERROR(__xludf.DUMMYFUNCTION("""COMPUTED_VALUE"""),7.0)</f>
        <v>7</v>
      </c>
      <c r="I105" s="10">
        <f>IFERROR(__xludf.DUMMYFUNCTION("""COMPUTED_VALUE"""),1.0)</f>
        <v>1</v>
      </c>
      <c r="J105" s="10">
        <f>IFERROR(__xludf.DUMMYFUNCTION("""COMPUTED_VALUE"""),2005.0)</f>
        <v>2005</v>
      </c>
      <c r="K105" s="10" t="str">
        <f>IFERROR(__xludf.DUMMYFUNCTION("""COMPUTED_VALUE"""),"No")</f>
        <v>No</v>
      </c>
      <c r="L105" s="10" t="str">
        <f>IFERROR(__xludf.DUMMYFUNCTION("""COMPUTED_VALUE"""),"Shah Hussain multani")</f>
        <v>Shah Hussain multani</v>
      </c>
      <c r="M105" s="10">
        <f>IFERROR(__xludf.DUMMYFUNCTION("""COMPUTED_VALUE"""),8.0)</f>
        <v>8</v>
      </c>
      <c r="N105" s="10" t="str">
        <f>IFERROR(__xludf.DUMMYFUNCTION("""COMPUTED_VALUE"""),"Yes")</f>
        <v>Yes</v>
      </c>
      <c r="O105" s="323">
        <f>IFERROR(__xludf.DUMMYFUNCTION("""COMPUTED_VALUE"""),0.0)</f>
        <v>0</v>
      </c>
      <c r="P105" s="10">
        <f>IFERROR(__xludf.DUMMYFUNCTION("""COMPUTED_VALUE"""),2.0)</f>
        <v>2</v>
      </c>
      <c r="Q105" s="10">
        <f>IFERROR(__xludf.DUMMYFUNCTION("""COMPUTED_VALUE"""),9.0)</f>
        <v>9</v>
      </c>
      <c r="R105" s="10">
        <f>IFERROR(__xludf.DUMMYFUNCTION("""COMPUTED_VALUE"""),1.0)</f>
        <v>1</v>
      </c>
      <c r="S105" s="10" t="str">
        <f>IFERROR(__xludf.DUMMYFUNCTION("""COMPUTED_VALUE"""),"https://drive.google.com/open?id=15za1QhbFaMbj9Dh_Yl--MEkYnTcmVD6Y, https://drive.google.com/open?id=1cJ9OjIOOs4VIIw42vjrqq6i4bmrMaXz2, https://drive.google.com/open?id=1-DqcPEfEpAeOJ3tGLUxO5beoIG0Tkm_A, https://drive.google.com/open?id=1ON72AxvGYjkV9UgsL"&amp;"zz_k-F7yHUakFi-, https://drive.google.com/open?id=19XitYM1Slxx6DkMe4wELyB_pCizJ2f7T")</f>
        <v>https://drive.google.com/open?id=15za1QhbFaMbj9Dh_Yl--MEkYnTcmVD6Y, https://drive.google.com/open?id=1cJ9OjIOOs4VIIw42vjrqq6i4bmrMaXz2, https://drive.google.com/open?id=1-DqcPEfEpAeOJ3tGLUxO5beoIG0Tkm_A, https://drive.google.com/open?id=1ON72AxvGYjkV9UgsLzz_k-F7yHUakFi-, https://drive.google.com/open?id=19XitYM1Slxx6DkMe4wELyB_pCizJ2f7T</v>
      </c>
      <c r="T105" s="10" t="str">
        <f>IFERROR(__xludf.DUMMYFUNCTION("""COMPUTED_VALUE"""),"https://drive.google.com/open?id=1PPxuxOM2wIMr0JcrITGi7syxIY8JP_KL, https://drive.google.com/open?id=1gJLpNtwDY1D6cife9Thf8IlbH2p3Lsfd, https://drive.google.com/open?id=1k1E0WFHx1KvsQXJsJbptD7UHIVIJkft_, https://drive.google.com/open?id=1QgkF_wWO6CL1zrRB5"&amp;"wGL6wjf8XH8t1n_, https://drive.google.com/open?id=1ICZlEbwqOvCqRq8D43jOybMgweeNK3DN")</f>
        <v>https://drive.google.com/open?id=1PPxuxOM2wIMr0JcrITGi7syxIY8JP_KL, https://drive.google.com/open?id=1gJLpNtwDY1D6cife9Thf8IlbH2p3Lsfd, https://drive.google.com/open?id=1k1E0WFHx1KvsQXJsJbptD7UHIVIJkft_, https://drive.google.com/open?id=1QgkF_wWO6CL1zrRB5wGL6wjf8XH8t1n_, https://drive.google.com/open?id=1ICZlEbwqOvCqRq8D43jOybMgweeNK3DN</v>
      </c>
      <c r="U105" s="18" t="str">
        <f>IFERROR(__xludf.DUMMYFUNCTION("""COMPUTED_VALUE"""),"https://drive.google.com/open?id=1mCQQpvebEevHj4A5YAHxfRMVdHTE-elx")</f>
        <v>https://drive.google.com/open?id=1mCQQpvebEevHj4A5YAHxfRMVdHTE-elx</v>
      </c>
      <c r="V105" s="10"/>
      <c r="W105" s="10"/>
      <c r="X105" s="10" t="str">
        <f>IFERROR(__xludf.DUMMYFUNCTION("""COMPUTED_VALUE"""),"Yes")</f>
        <v>Yes</v>
      </c>
      <c r="Y105" s="14" t="str">
        <f>IFERROR(__xludf.DUMMYFUNCTION("""COMPUTED_VALUE"""),"osman.mohammad381@gmail.com")</f>
        <v>osman.mohammad381@gmail.com</v>
      </c>
      <c r="AA105" s="325">
        <v>1.0</v>
      </c>
    </row>
    <row r="106" hidden="1">
      <c r="A106" s="9">
        <f>IFERROR(__xludf.DUMMYFUNCTION("""COMPUTED_VALUE"""),45772.260526122685)</f>
        <v>45772.26053</v>
      </c>
      <c r="B106" s="10" t="str">
        <f>IFERROR(__xludf.DUMMYFUNCTION("""COMPUTED_VALUE"""),"Hafiz Muhammad Asif ")</f>
        <v>Hafiz Muhammad Asif </v>
      </c>
      <c r="C106" s="10" t="str">
        <f>IFERROR(__xludf.DUMMYFUNCTION("""COMPUTED_VALUE"""),"03318421006")</f>
        <v>03318421006</v>
      </c>
      <c r="D106" s="10" t="str">
        <f>IFERROR(__xludf.DUMMYFUNCTION("""COMPUTED_VALUE"""),"Jamia Masjid Railway Road Sheikhupura ")</f>
        <v>Jamia Masjid Railway Road Sheikhupura </v>
      </c>
      <c r="E106" s="10" t="str">
        <f>IFERROR(__xludf.DUMMYFUNCTION("""COMPUTED_VALUE"""),"INGWH ")</f>
        <v>INGWH </v>
      </c>
      <c r="F106" s="10">
        <f>IFERROR(__xludf.DUMMYFUNCTION("""COMPUTED_VALUE"""),1050.0)</f>
        <v>1050</v>
      </c>
      <c r="G106" s="10">
        <f>IFERROR(__xludf.DUMMYFUNCTION("""COMPUTED_VALUE"""),7.0)</f>
        <v>7</v>
      </c>
      <c r="H106" s="10">
        <f>IFERROR(__xludf.DUMMYFUNCTION("""COMPUTED_VALUE"""),5.0)</f>
        <v>5</v>
      </c>
      <c r="I106" s="10" t="str">
        <f>IFERROR(__xludf.DUMMYFUNCTION("""COMPUTED_VALUE"""),"3 ڈھیر اینٹوں کے تجاوزات گرانے کی وجہ سے")</f>
        <v>3 ڈھیر اینٹوں کے تجاوزات گرانے کی وجہ سے</v>
      </c>
      <c r="J106" s="10">
        <f>IFERROR(__xludf.DUMMYFUNCTION("""COMPUTED_VALUE"""),1925.0)</f>
        <v>1925</v>
      </c>
      <c r="K106" s="10" t="str">
        <f>IFERROR(__xludf.DUMMYFUNCTION("""COMPUTED_VALUE"""),"No")</f>
        <v>No</v>
      </c>
      <c r="L106" s="10" t="str">
        <f>IFERROR(__xludf.DUMMYFUNCTION("""COMPUTED_VALUE"""),"No")</f>
        <v>No</v>
      </c>
      <c r="M106" s="10">
        <f>IFERROR(__xludf.DUMMYFUNCTION("""COMPUTED_VALUE"""),10.0)</f>
        <v>10</v>
      </c>
      <c r="N106" s="10" t="str">
        <f>IFERROR(__xludf.DUMMYFUNCTION("""COMPUTED_VALUE"""),"Yes")</f>
        <v>Yes</v>
      </c>
      <c r="O106" s="323">
        <f>IFERROR(__xludf.DUMMYFUNCTION("""COMPUTED_VALUE"""),1.0)</f>
        <v>1</v>
      </c>
      <c r="P106" s="10">
        <f>IFERROR(__xludf.DUMMYFUNCTION("""COMPUTED_VALUE"""),10.0)</f>
        <v>10</v>
      </c>
      <c r="Q106" s="10">
        <f>IFERROR(__xludf.DUMMYFUNCTION("""COMPUTED_VALUE"""),10.0)</f>
        <v>10</v>
      </c>
      <c r="R106" s="10">
        <f>IFERROR(__xludf.DUMMYFUNCTION("""COMPUTED_VALUE"""),10.0)</f>
        <v>10</v>
      </c>
      <c r="S106" s="10" t="str">
        <f>IFERROR(__xludf.DUMMYFUNCTION("""COMPUTED_VALUE"""),"https://drive.google.com/open?id=1ArjbFDpN11t6xjH0OksQ7zfA_PGsY_3O, https://drive.google.com/open?id=1VhsC_1C8RyUtQZkvdAEApeeQeqHqQpnQ")</f>
        <v>https://drive.google.com/open?id=1ArjbFDpN11t6xjH0OksQ7zfA_PGsY_3O, https://drive.google.com/open?id=1VhsC_1C8RyUtQZkvdAEApeeQeqHqQpnQ</v>
      </c>
      <c r="T106" s="18" t="str">
        <f>IFERROR(__xludf.DUMMYFUNCTION("""COMPUTED_VALUE"""),"https://drive.google.com/open?id=1fGIfxzg4OY0wGHPC8TcmoApCD-8pKoTU")</f>
        <v>https://drive.google.com/open?id=1fGIfxzg4OY0wGHPC8TcmoApCD-8pKoTU</v>
      </c>
      <c r="U106" s="18" t="str">
        <f>IFERROR(__xludf.DUMMYFUNCTION("""COMPUTED_VALUE"""),"https://drive.google.com/open?id=11HYvcak8k2th0PgLWJblZ1beupJd7lcy")</f>
        <v>https://drive.google.com/open?id=11HYvcak8k2th0PgLWJblZ1beupJd7lcy</v>
      </c>
      <c r="V106" s="10"/>
      <c r="W106" s="10"/>
      <c r="X106" s="10" t="str">
        <f>IFERROR(__xludf.DUMMYFUNCTION("""COMPUTED_VALUE"""),"Yes")</f>
        <v>Yes</v>
      </c>
      <c r="Y106" s="14" t="str">
        <f>IFERROR(__xludf.DUMMYFUNCTION("""COMPUTED_VALUE"""),"saqiasif98@gmail.com")</f>
        <v>saqiasif98@gmail.com</v>
      </c>
      <c r="AA106" s="325">
        <v>2.0</v>
      </c>
    </row>
    <row r="107" hidden="1">
      <c r="A107" s="9">
        <f>IFERROR(__xludf.DUMMYFUNCTION("""COMPUTED_VALUE"""),45772.261630243054)</f>
        <v>45772.26163</v>
      </c>
      <c r="B107" s="10" t="str">
        <f>IFERROR(__xludf.DUMMYFUNCTION("""COMPUTED_VALUE"""),"Farhat Abbas")</f>
        <v>Farhat Abbas</v>
      </c>
      <c r="C107" s="10" t="str">
        <f>IFERROR(__xludf.DUMMYFUNCTION("""COMPUTED_VALUE"""),"03217753289")</f>
        <v>03217753289</v>
      </c>
      <c r="D107" s="10" t="str">
        <f>IFERROR(__xludf.DUMMYFUNCTION("""COMPUTED_VALUE"""),"Jamia markazi Masjid ahl e sunnat railway Chowk malakwal ")</f>
        <v>Jamia markazi Masjid ahl e sunnat railway Chowk malakwal </v>
      </c>
      <c r="E107" s="10" t="str">
        <f>IFERROR(__xludf.DUMMYFUNCTION("""COMPUTED_VALUE"""),"ZMBIV")</f>
        <v>ZMBIV</v>
      </c>
      <c r="F107" s="10">
        <f>IFERROR(__xludf.DUMMYFUNCTION("""COMPUTED_VALUE"""),700.0)</f>
        <v>700</v>
      </c>
      <c r="G107" s="10">
        <f>IFERROR(__xludf.DUMMYFUNCTION("""COMPUTED_VALUE"""),10.0)</f>
        <v>10</v>
      </c>
      <c r="H107" s="10">
        <f>IFERROR(__xludf.DUMMYFUNCTION("""COMPUTED_VALUE"""),10.0)</f>
        <v>10</v>
      </c>
      <c r="I107" s="10">
        <f>IFERROR(__xludf.DUMMYFUNCTION("""COMPUTED_VALUE"""),0.0)</f>
        <v>0</v>
      </c>
      <c r="J107" s="10">
        <f>IFERROR(__xludf.DUMMYFUNCTION("""COMPUTED_VALUE"""),1995.0)</f>
        <v>1995</v>
      </c>
      <c r="K107" s="10" t="str">
        <f>IFERROR(__xludf.DUMMYFUNCTION("""COMPUTED_VALUE"""),"Yes")</f>
        <v>Yes</v>
      </c>
      <c r="L107" s="10" t="str">
        <f>IFERROR(__xludf.DUMMYFUNCTION("""COMPUTED_VALUE"""),"No")</f>
        <v>No</v>
      </c>
      <c r="M107" s="10">
        <f>IFERROR(__xludf.DUMMYFUNCTION("""COMPUTED_VALUE"""),10.0)</f>
        <v>10</v>
      </c>
      <c r="N107" s="10" t="str">
        <f>IFERROR(__xludf.DUMMYFUNCTION("""COMPUTED_VALUE"""),"Yes")</f>
        <v>Yes</v>
      </c>
      <c r="O107" s="323">
        <f>IFERROR(__xludf.DUMMYFUNCTION("""COMPUTED_VALUE"""),1.0)</f>
        <v>1</v>
      </c>
      <c r="P107" s="10">
        <f>IFERROR(__xludf.DUMMYFUNCTION("""COMPUTED_VALUE"""),10.0)</f>
        <v>10</v>
      </c>
      <c r="Q107" s="10">
        <f>IFERROR(__xludf.DUMMYFUNCTION("""COMPUTED_VALUE"""),5.0)</f>
        <v>5</v>
      </c>
      <c r="R107" s="10">
        <f>IFERROR(__xludf.DUMMYFUNCTION("""COMPUTED_VALUE"""),10.0)</f>
        <v>10</v>
      </c>
      <c r="S107" s="10" t="str">
        <f>IFERROR(__xludf.DUMMYFUNCTION("""COMPUTED_VALUE"""),"https://drive.google.com/open?id=1jK2Rcu_apHaUS1seJp2VkQ3Um9wdAU5t, https://drive.google.com/open?id=1OStGkkQ4ePS8iBcsNINjdEW4H390-0Ei")</f>
        <v>https://drive.google.com/open?id=1jK2Rcu_apHaUS1seJp2VkQ3Um9wdAU5t, https://drive.google.com/open?id=1OStGkkQ4ePS8iBcsNINjdEW4H390-0Ei</v>
      </c>
      <c r="T107" s="18" t="str">
        <f>IFERROR(__xludf.DUMMYFUNCTION("""COMPUTED_VALUE"""),"https://drive.google.com/open?id=1LobgM7p3DcxAYwr9NHrCgNhDmEq-xSOw")</f>
        <v>https://drive.google.com/open?id=1LobgM7p3DcxAYwr9NHrCgNhDmEq-xSOw</v>
      </c>
      <c r="U107" s="18" t="str">
        <f>IFERROR(__xludf.DUMMYFUNCTION("""COMPUTED_VALUE"""),"https://drive.google.com/open?id=1JbJ3KD3V9HyMJ3yCYYal9i3hgzANb85t")</f>
        <v>https://drive.google.com/open?id=1JbJ3KD3V9HyMJ3yCYYal9i3hgzANb85t</v>
      </c>
      <c r="V107" s="10"/>
      <c r="W107" s="10"/>
      <c r="X107" s="10" t="str">
        <f>IFERROR(__xludf.DUMMYFUNCTION("""COMPUTED_VALUE"""),"Yes")</f>
        <v>Yes</v>
      </c>
      <c r="Y107" s="14" t="str">
        <f>IFERROR(__xludf.DUMMYFUNCTION("""COMPUTED_VALUE"""),"mailforfahat@gmail.com")</f>
        <v>mailforfahat@gmail.com</v>
      </c>
      <c r="AA107" s="325">
        <v>1.0</v>
      </c>
    </row>
    <row r="108" hidden="1">
      <c r="A108" s="9">
        <f>IFERROR(__xludf.DUMMYFUNCTION("""COMPUTED_VALUE"""),45772.26666916667)</f>
        <v>45772.26667</v>
      </c>
      <c r="B108" s="10" t="str">
        <f>IFERROR(__xludf.DUMMYFUNCTION("""COMPUTED_VALUE"""),"M.Rizwan")</f>
        <v>M.Rizwan</v>
      </c>
      <c r="C108" s="10" t="str">
        <f>IFERROR(__xludf.DUMMYFUNCTION("""COMPUTED_VALUE"""),"03084373512")</f>
        <v>03084373512</v>
      </c>
      <c r="D108" s="10" t="str">
        <f>IFERROR(__xludf.DUMMYFUNCTION("""COMPUTED_VALUE"""),"Jamia Masjid Farooq Abad auqaf wali ")</f>
        <v>Jamia Masjid Farooq Abad auqaf wali </v>
      </c>
      <c r="E108" s="10" t="str">
        <f>IFERROR(__xludf.DUMMYFUNCTION("""COMPUTED_VALUE"""),"GARUU")</f>
        <v>GARUU</v>
      </c>
      <c r="F108" s="10">
        <f>IFERROR(__xludf.DUMMYFUNCTION("""COMPUTED_VALUE"""),450.0)</f>
        <v>450</v>
      </c>
      <c r="G108" s="10">
        <f>IFERROR(__xludf.DUMMYFUNCTION("""COMPUTED_VALUE"""),8.0)</f>
        <v>8</v>
      </c>
      <c r="H108" s="10">
        <f>IFERROR(__xludf.DUMMYFUNCTION("""COMPUTED_VALUE"""),8.0)</f>
        <v>8</v>
      </c>
      <c r="I108" s="10">
        <f>IFERROR(__xludf.DUMMYFUNCTION("""COMPUTED_VALUE"""),0.0)</f>
        <v>0</v>
      </c>
      <c r="J108" s="10">
        <f>IFERROR(__xludf.DUMMYFUNCTION("""COMPUTED_VALUE"""),1976.0)</f>
        <v>1976</v>
      </c>
      <c r="K108" s="10" t="str">
        <f>IFERROR(__xludf.DUMMYFUNCTION("""COMPUTED_VALUE"""),"No")</f>
        <v>No</v>
      </c>
      <c r="L108" s="10" t="str">
        <f>IFERROR(__xludf.DUMMYFUNCTION("""COMPUTED_VALUE"""),"Nill")</f>
        <v>Nill</v>
      </c>
      <c r="M108" s="10">
        <f>IFERROR(__xludf.DUMMYFUNCTION("""COMPUTED_VALUE"""),7.0)</f>
        <v>7</v>
      </c>
      <c r="N108" s="10" t="str">
        <f>IFERROR(__xludf.DUMMYFUNCTION("""COMPUTED_VALUE"""),"No")</f>
        <v>No</v>
      </c>
      <c r="O108" s="10"/>
      <c r="P108" s="10"/>
      <c r="Q108" s="10"/>
      <c r="R108" s="10"/>
      <c r="S108" s="18" t="str">
        <f>IFERROR(__xludf.DUMMYFUNCTION("""COMPUTED_VALUE"""),"https://drive.google.com/open?id=1pLDNfadBTvpEySYyi0sq8oSWJUezq_-1")</f>
        <v>https://drive.google.com/open?id=1pLDNfadBTvpEySYyi0sq8oSWJUezq_-1</v>
      </c>
      <c r="T108" s="18" t="str">
        <f>IFERROR(__xludf.DUMMYFUNCTION("""COMPUTED_VALUE"""),"https://drive.google.com/open?id=1HmAKCBk05PDeOZpzpQf-HSeIviSNtU7j")</f>
        <v>https://drive.google.com/open?id=1HmAKCBk05PDeOZpzpQf-HSeIviSNtU7j</v>
      </c>
      <c r="U108" s="18" t="str">
        <f>IFERROR(__xludf.DUMMYFUNCTION("""COMPUTED_VALUE"""),"https://drive.google.com/open?id=1tJSLscdYWEcal01YimyqQs3rHd9n-R-D")</f>
        <v>https://drive.google.com/open?id=1tJSLscdYWEcal01YimyqQs3rHd9n-R-D</v>
      </c>
      <c r="V108" s="10"/>
      <c r="W108" s="10"/>
      <c r="X108" s="10"/>
      <c r="Y108" s="14" t="str">
        <f>IFERROR(__xludf.DUMMYFUNCTION("""COMPUTED_VALUE"""),"mrizwanrasheed666@gmail.com")</f>
        <v>mrizwanrasheed666@gmail.com</v>
      </c>
      <c r="AA108" s="325">
        <v>2.0</v>
      </c>
    </row>
    <row r="109" hidden="1">
      <c r="A109" s="9">
        <f>IFERROR(__xludf.DUMMYFUNCTION("""COMPUTED_VALUE"""),45772.27187020834)</f>
        <v>45772.27187</v>
      </c>
      <c r="B109" s="10" t="str">
        <f>IFERROR(__xludf.DUMMYFUNCTION("""COMPUTED_VALUE"""),"Muhammad Abu bakar")</f>
        <v>Muhammad Abu bakar</v>
      </c>
      <c r="C109" s="10" t="str">
        <f>IFERROR(__xludf.DUMMYFUNCTION("""COMPUTED_VALUE"""),"03420642165")</f>
        <v>03420642165</v>
      </c>
      <c r="D109" s="10" t="str">
        <f>IFERROR(__xludf.DUMMYFUNCTION("""COMPUTED_VALUE"""),"QARI MUHAMMAD JAVID SULTANI ")</f>
        <v>QARI MUHAMMAD JAVID SULTANI </v>
      </c>
      <c r="E109" s="10">
        <f>IFERROR(__xludf.DUMMYFUNCTION("""COMPUTED_VALUE"""),3.5102796239E10)</f>
        <v>35102796239</v>
      </c>
      <c r="F109" s="10">
        <f>IFERROR(__xludf.DUMMYFUNCTION("""COMPUTED_VALUE"""),35.0)</f>
        <v>35</v>
      </c>
      <c r="G109" s="10">
        <f>IFERROR(__xludf.DUMMYFUNCTION("""COMPUTED_VALUE"""),8.0)</f>
        <v>8</v>
      </c>
      <c r="H109" s="10">
        <f>IFERROR(__xludf.DUMMYFUNCTION("""COMPUTED_VALUE"""),8.0)</f>
        <v>8</v>
      </c>
      <c r="I109" s="10" t="str">
        <f>IFERROR(__xludf.DUMMYFUNCTION("""COMPUTED_VALUE"""),"No")</f>
        <v>No</v>
      </c>
      <c r="J109" s="10">
        <f>IFERROR(__xludf.DUMMYFUNCTION("""COMPUTED_VALUE"""),0.0)</f>
        <v>0</v>
      </c>
      <c r="K109" s="10" t="str">
        <f>IFERROR(__xludf.DUMMYFUNCTION("""COMPUTED_VALUE"""),"No")</f>
        <v>No</v>
      </c>
      <c r="L109" s="10" t="str">
        <f>IFERROR(__xludf.DUMMYFUNCTION("""COMPUTED_VALUE"""),"no")</f>
        <v>no</v>
      </c>
      <c r="M109" s="10">
        <f>IFERROR(__xludf.DUMMYFUNCTION("""COMPUTED_VALUE"""),7.0)</f>
        <v>7</v>
      </c>
      <c r="N109" s="10" t="str">
        <f>IFERROR(__xludf.DUMMYFUNCTION("""COMPUTED_VALUE"""),"No")</f>
        <v>No</v>
      </c>
      <c r="O109" s="10"/>
      <c r="P109" s="10"/>
      <c r="Q109" s="10"/>
      <c r="R109" s="10"/>
      <c r="S109" s="10"/>
      <c r="T109" s="10"/>
      <c r="U109" s="10"/>
      <c r="V109" s="10" t="str">
        <f>IFERROR(__xludf.DUMMYFUNCTION("""COMPUTED_VALUE"""),"NO")</f>
        <v>NO</v>
      </c>
      <c r="W109" s="10"/>
      <c r="X109" s="10"/>
      <c r="Y109" s="14" t="str">
        <f>IFERROR(__xludf.DUMMYFUNCTION("""COMPUTED_VALUE"""),"abub55768@gmail.com")</f>
        <v>abub55768@gmail.com</v>
      </c>
      <c r="AA109" s="325" t="s">
        <v>5798</v>
      </c>
    </row>
    <row r="110" hidden="1">
      <c r="A110" s="9">
        <f>IFERROR(__xludf.DUMMYFUNCTION("""COMPUTED_VALUE"""),45772.27192211806)</f>
        <v>45772.27192</v>
      </c>
      <c r="B110" s="10" t="str">
        <f>IFERROR(__xludf.DUMMYFUNCTION("""COMPUTED_VALUE"""),"Shahzad Amjad")</f>
        <v>Shahzad Amjad</v>
      </c>
      <c r="C110" s="10" t="str">
        <f>IFERROR(__xludf.DUMMYFUNCTION("""COMPUTED_VALUE"""),"0323-4751058")</f>
        <v>0323-4751058</v>
      </c>
      <c r="D110" s="10" t="str">
        <f>IFERROR(__xludf.DUMMYFUNCTION("""COMPUTED_VALUE"""),"Jamia Masjid Ghosia Masti Gate Lahore")</f>
        <v>Jamia Masjid Ghosia Masti Gate Lahore</v>
      </c>
      <c r="E110" s="10" t="str">
        <f>IFERROR(__xludf.DUMMYFUNCTION("""COMPUTED_VALUE"""),"xuynq")</f>
        <v>xuynq</v>
      </c>
      <c r="F110" s="10">
        <f>IFERROR(__xludf.DUMMYFUNCTION("""COMPUTED_VALUE"""),180.0)</f>
        <v>180</v>
      </c>
      <c r="G110" s="10">
        <f>IFERROR(__xludf.DUMMYFUNCTION("""COMPUTED_VALUE"""),7.0)</f>
        <v>7</v>
      </c>
      <c r="H110" s="10">
        <f>IFERROR(__xludf.DUMMYFUNCTION("""COMPUTED_VALUE"""),8.0)</f>
        <v>8</v>
      </c>
      <c r="I110" s="10">
        <f>IFERROR(__xludf.DUMMYFUNCTION("""COMPUTED_VALUE"""),1.0)</f>
        <v>1</v>
      </c>
      <c r="J110" s="10" t="str">
        <f>IFERROR(__xludf.DUMMYFUNCTION("""COMPUTED_VALUE"""),"0000")</f>
        <v>0000</v>
      </c>
      <c r="K110" s="10" t="str">
        <f>IFERROR(__xludf.DUMMYFUNCTION("""COMPUTED_VALUE"""),"No")</f>
        <v>No</v>
      </c>
      <c r="L110" s="10" t="str">
        <f>IFERROR(__xludf.DUMMYFUNCTION("""COMPUTED_VALUE"""),"No")</f>
        <v>No</v>
      </c>
      <c r="M110" s="10">
        <f>IFERROR(__xludf.DUMMYFUNCTION("""COMPUTED_VALUE"""),10.0)</f>
        <v>10</v>
      </c>
      <c r="N110" s="10" t="str">
        <f>IFERROR(__xludf.DUMMYFUNCTION("""COMPUTED_VALUE"""),"No")</f>
        <v>No</v>
      </c>
      <c r="O110" s="10"/>
      <c r="P110" s="10"/>
      <c r="Q110" s="10"/>
      <c r="R110" s="10"/>
      <c r="S110" s="18" t="str">
        <f>IFERROR(__xludf.DUMMYFUNCTION("""COMPUTED_VALUE"""),"https://drive.google.com/open?id=1EWh1wYRomzuc_q17BUhrGFYpT6-YsWYw")</f>
        <v>https://drive.google.com/open?id=1EWh1wYRomzuc_q17BUhrGFYpT6-YsWYw</v>
      </c>
      <c r="T110" s="18" t="str">
        <f>IFERROR(__xludf.DUMMYFUNCTION("""COMPUTED_VALUE"""),"https://drive.google.com/open?id=1QGEfcnx1TqdnyNh49u227GSkvHSLIFDN")</f>
        <v>https://drive.google.com/open?id=1QGEfcnx1TqdnyNh49u227GSkvHSLIFDN</v>
      </c>
      <c r="U110" s="18" t="str">
        <f>IFERROR(__xludf.DUMMYFUNCTION("""COMPUTED_VALUE"""),"https://drive.google.com/open?id=1HW9q0BtiI_cLBRHkdwpteSFwDgrljlAN")</f>
        <v>https://drive.google.com/open?id=1HW9q0BtiI_cLBRHkdwpteSFwDgrljlAN</v>
      </c>
      <c r="V110" s="10" t="str">
        <f>IFERROR(__xludf.DUMMYFUNCTION("""COMPUTED_VALUE"""),"No")</f>
        <v>No</v>
      </c>
      <c r="W110" s="10"/>
      <c r="X110" s="10"/>
      <c r="Y110" s="14" t="str">
        <f>IFERROR(__xludf.DUMMYFUNCTION("""COMPUTED_VALUE"""),"malikggg151@gmail.com")</f>
        <v>malikggg151@gmail.com</v>
      </c>
      <c r="AA110" s="325">
        <v>3.0</v>
      </c>
    </row>
    <row r="111" hidden="1">
      <c r="A111" s="9">
        <f>IFERROR(__xludf.DUMMYFUNCTION("""COMPUTED_VALUE"""),45772.27287916667)</f>
        <v>45772.27288</v>
      </c>
      <c r="B111" s="10" t="str">
        <f>IFERROR(__xludf.DUMMYFUNCTION("""COMPUTED_VALUE"""),"Ali raza")</f>
        <v>Ali raza</v>
      </c>
      <c r="C111" s="10" t="str">
        <f>IFERROR(__xludf.DUMMYFUNCTION("""COMPUTED_VALUE"""),"03486712713")</f>
        <v>03486712713</v>
      </c>
      <c r="D111" s="10" t="str">
        <f>IFERROR(__xludf.DUMMYFUNCTION("""COMPUTED_VALUE"""),"JAMIA MASJID FAROOQIYA RIZVIYA POWNDAWALA ")</f>
        <v>JAMIA MASJID FAROOQIYA RIZVIYA POWNDAWALA </v>
      </c>
      <c r="E111" s="10" t="str">
        <f>IFERROR(__xludf.DUMMYFUNCTION("""COMPUTED_VALUE"""),"ZRXRI")</f>
        <v>ZRXRI</v>
      </c>
      <c r="F111" s="10">
        <f>IFERROR(__xludf.DUMMYFUNCTION("""COMPUTED_VALUE"""),120.0)</f>
        <v>120</v>
      </c>
      <c r="G111" s="10">
        <f>IFERROR(__xludf.DUMMYFUNCTION("""COMPUTED_VALUE"""),10.0)</f>
        <v>10</v>
      </c>
      <c r="H111" s="10">
        <f>IFERROR(__xludf.DUMMYFUNCTION("""COMPUTED_VALUE"""),10.0)</f>
        <v>10</v>
      </c>
      <c r="I111" s="10">
        <f>IFERROR(__xludf.DUMMYFUNCTION("""COMPUTED_VALUE"""),0.0)</f>
        <v>0</v>
      </c>
      <c r="J111" s="10">
        <f>IFERROR(__xludf.DUMMYFUNCTION("""COMPUTED_VALUE"""),1965.0)</f>
        <v>1965</v>
      </c>
      <c r="K111" s="10" t="str">
        <f>IFERROR(__xludf.DUMMYFUNCTION("""COMPUTED_VALUE"""),"No")</f>
        <v>No</v>
      </c>
      <c r="L111" s="10" t="str">
        <f>IFERROR(__xludf.DUMMYFUNCTION("""COMPUTED_VALUE"""),"NO")</f>
        <v>NO</v>
      </c>
      <c r="M111" s="10">
        <f>IFERROR(__xludf.DUMMYFUNCTION("""COMPUTED_VALUE"""),10.0)</f>
        <v>10</v>
      </c>
      <c r="N111" s="10" t="str">
        <f>IFERROR(__xludf.DUMMYFUNCTION("""COMPUTED_VALUE"""),"No")</f>
        <v>No</v>
      </c>
      <c r="O111" s="10"/>
      <c r="P111" s="10"/>
      <c r="Q111" s="10"/>
      <c r="R111" s="10"/>
      <c r="S111" s="18" t="str">
        <f>IFERROR(__xludf.DUMMYFUNCTION("""COMPUTED_VALUE"""),"https://drive.google.com/open?id=1lnnS3aNyUDhISeUlfuRuiEhG1E0QfAEI")</f>
        <v>https://drive.google.com/open?id=1lnnS3aNyUDhISeUlfuRuiEhG1E0QfAEI</v>
      </c>
      <c r="T111" s="18" t="str">
        <f>IFERROR(__xludf.DUMMYFUNCTION("""COMPUTED_VALUE"""),"https://drive.google.com/open?id=1Zg1h0JgE-1wTxi6ZXmGj7HszEF4xkDTR")</f>
        <v>https://drive.google.com/open?id=1Zg1h0JgE-1wTxi6ZXmGj7HszEF4xkDTR</v>
      </c>
      <c r="U111" s="18" t="str">
        <f>IFERROR(__xludf.DUMMYFUNCTION("""COMPUTED_VALUE"""),"https://drive.google.com/open?id=1fuNEuXCOzlFUmqflyHBKeJijcwHnQjfh")</f>
        <v>https://drive.google.com/open?id=1fuNEuXCOzlFUmqflyHBKeJijcwHnQjfh</v>
      </c>
      <c r="V111" s="10"/>
      <c r="W111" s="10"/>
      <c r="X111" s="10"/>
      <c r="Y111" s="14" t="str">
        <f>IFERROR(__xludf.DUMMYFUNCTION("""COMPUTED_VALUE"""),"aliraza.hafizabadi@gmail.com")</f>
        <v>aliraza.hafizabadi@gmail.com</v>
      </c>
      <c r="AA111" s="325">
        <v>1.0</v>
      </c>
    </row>
    <row r="112" hidden="1">
      <c r="A112" s="9">
        <f>IFERROR(__xludf.DUMMYFUNCTION("""COMPUTED_VALUE"""),45772.27745043981)</f>
        <v>45772.27745</v>
      </c>
      <c r="B112" s="10" t="str">
        <f>IFERROR(__xludf.DUMMYFUNCTION("""COMPUTED_VALUE"""),"تنویر الحسن ")</f>
        <v>تنویر الحسن </v>
      </c>
      <c r="C112" s="10" t="str">
        <f>IFERROR(__xludf.DUMMYFUNCTION("""COMPUTED_VALUE"""),"03095906728")</f>
        <v>03095906728</v>
      </c>
      <c r="D112" s="10" t="str">
        <f>IFERROR(__xludf.DUMMYFUNCTION("""COMPUTED_VALUE"""),"جامع مسجد دربار حاجی شیخ احمد ولی")</f>
        <v>جامع مسجد دربار حاجی شیخ احمد ولی</v>
      </c>
      <c r="E112" s="10" t="str">
        <f>IFERROR(__xludf.DUMMYFUNCTION("""COMPUTED_VALUE"""),"PGPQM")</f>
        <v>PGPQM</v>
      </c>
      <c r="F112" s="10">
        <f>IFERROR(__xludf.DUMMYFUNCTION("""COMPUTED_VALUE"""),700.0)</f>
        <v>700</v>
      </c>
      <c r="G112" s="10">
        <f>IFERROR(__xludf.DUMMYFUNCTION("""COMPUTED_VALUE"""),8.0)</f>
        <v>8</v>
      </c>
      <c r="H112" s="10">
        <f>IFERROR(__xludf.DUMMYFUNCTION("""COMPUTED_VALUE"""),8.0)</f>
        <v>8</v>
      </c>
      <c r="I112" s="10">
        <f>IFERROR(__xludf.DUMMYFUNCTION("""COMPUTED_VALUE"""),0.0)</f>
        <v>0</v>
      </c>
      <c r="J112" s="10">
        <f>IFERROR(__xludf.DUMMYFUNCTION("""COMPUTED_VALUE"""),1985.0)</f>
        <v>1985</v>
      </c>
      <c r="K112" s="10" t="str">
        <f>IFERROR(__xludf.DUMMYFUNCTION("""COMPUTED_VALUE"""),"No")</f>
        <v>No</v>
      </c>
      <c r="L112" s="10" t="str">
        <f>IFERROR(__xludf.DUMMYFUNCTION("""COMPUTED_VALUE"""),"دربار حاجی شیخ احمد ولی ")</f>
        <v>دربار حاجی شیخ احمد ولی </v>
      </c>
      <c r="M112" s="10">
        <f>IFERROR(__xludf.DUMMYFUNCTION("""COMPUTED_VALUE"""),9.0)</f>
        <v>9</v>
      </c>
      <c r="N112" s="10" t="str">
        <f>IFERROR(__xludf.DUMMYFUNCTION("""COMPUTED_VALUE"""),"Yes")</f>
        <v>Yes</v>
      </c>
      <c r="O112" s="323">
        <f>IFERROR(__xludf.DUMMYFUNCTION("""COMPUTED_VALUE"""),1.0)</f>
        <v>1</v>
      </c>
      <c r="P112" s="10">
        <f>IFERROR(__xludf.DUMMYFUNCTION("""COMPUTED_VALUE"""),10.0)</f>
        <v>10</v>
      </c>
      <c r="Q112" s="10">
        <f>IFERROR(__xludf.DUMMYFUNCTION("""COMPUTED_VALUE"""),4.0)</f>
        <v>4</v>
      </c>
      <c r="R112" s="10">
        <f>IFERROR(__xludf.DUMMYFUNCTION("""COMPUTED_VALUE"""),9.0)</f>
        <v>9</v>
      </c>
      <c r="S112" s="18" t="str">
        <f>IFERROR(__xludf.DUMMYFUNCTION("""COMPUTED_VALUE"""),"https://drive.google.com/open?id=1sTd5YlM4l8hLhAHTgL6Sz_2S0SeNoYIK")</f>
        <v>https://drive.google.com/open?id=1sTd5YlM4l8hLhAHTgL6Sz_2S0SeNoYIK</v>
      </c>
      <c r="T112" s="18" t="str">
        <f>IFERROR(__xludf.DUMMYFUNCTION("""COMPUTED_VALUE"""),"https://drive.google.com/open?id=15NA-z75BaMm1oYGaDZXG-oKU9z_ZiBQF")</f>
        <v>https://drive.google.com/open?id=15NA-z75BaMm1oYGaDZXG-oKU9z_ZiBQF</v>
      </c>
      <c r="U112" s="18" t="str">
        <f>IFERROR(__xludf.DUMMYFUNCTION("""COMPUTED_VALUE"""),"https://drive.google.com/open?id=1cz5N4dz7rg7W8jk51Ds3r4mmMyR4xRr2")</f>
        <v>https://drive.google.com/open?id=1cz5N4dz7rg7W8jk51Ds3r4mmMyR4xRr2</v>
      </c>
      <c r="V112" s="10" t="str">
        <f>IFERROR(__xludf.DUMMYFUNCTION("""COMPUTED_VALUE"""),"کوئی نہیں ")</f>
        <v>کوئی نہیں </v>
      </c>
      <c r="W112" s="10"/>
      <c r="X112" s="10" t="str">
        <f>IFERROR(__xludf.DUMMYFUNCTION("""COMPUTED_VALUE"""),"Yes")</f>
        <v>Yes</v>
      </c>
      <c r="Y112" s="14" t="str">
        <f>IFERROR(__xludf.DUMMYFUNCTION("""COMPUTED_VALUE"""),"tanveerhanjra67@gmail.com")</f>
        <v>tanveerhanjra67@gmail.com</v>
      </c>
      <c r="AA112" s="325">
        <v>1.0</v>
      </c>
    </row>
    <row r="113" hidden="1">
      <c r="A113" s="9">
        <f>IFERROR(__xludf.DUMMYFUNCTION("""COMPUTED_VALUE"""),45772.27747545139)</f>
        <v>45772.27748</v>
      </c>
      <c r="B113" s="10" t="str">
        <f>IFERROR(__xludf.DUMMYFUNCTION("""COMPUTED_VALUE"""),"Babar Ali ")</f>
        <v>Babar Ali </v>
      </c>
      <c r="C113" s="10" t="str">
        <f>IFERROR(__xludf.DUMMYFUNCTION("""COMPUTED_VALUE"""),"03011297393")</f>
        <v>03011297393</v>
      </c>
      <c r="D113" s="10" t="str">
        <f>IFERROR(__xludf.DUMMYFUNCTION("""COMPUTED_VALUE"""),"Jamia Mosjid Noorani Qasaban Wali")</f>
        <v>Jamia Mosjid Noorani Qasaban Wali</v>
      </c>
      <c r="E113" s="10" t="str">
        <f>IFERROR(__xludf.DUMMYFUNCTION("""COMPUTED_VALUE"""),"Hkeci")</f>
        <v>Hkeci</v>
      </c>
      <c r="F113" s="10">
        <f>IFERROR(__xludf.DUMMYFUNCTION("""COMPUTED_VALUE"""),470.0)</f>
        <v>470</v>
      </c>
      <c r="G113" s="10">
        <f>IFERROR(__xludf.DUMMYFUNCTION("""COMPUTED_VALUE"""),7.0)</f>
        <v>7</v>
      </c>
      <c r="H113" s="10">
        <f>IFERROR(__xludf.DUMMYFUNCTION("""COMPUTED_VALUE"""),7.0)</f>
        <v>7</v>
      </c>
      <c r="I113" s="10">
        <f>IFERROR(__xludf.DUMMYFUNCTION("""COMPUTED_VALUE"""),2.0)</f>
        <v>2</v>
      </c>
      <c r="J113" s="10">
        <f>IFERROR(__xludf.DUMMYFUNCTION("""COMPUTED_VALUE"""),1960.0)</f>
        <v>1960</v>
      </c>
      <c r="K113" s="10" t="str">
        <f>IFERROR(__xludf.DUMMYFUNCTION("""COMPUTED_VALUE"""),"No")</f>
        <v>No</v>
      </c>
      <c r="L113" s="10" t="str">
        <f>IFERROR(__xludf.DUMMYFUNCTION("""COMPUTED_VALUE"""),"No")</f>
        <v>No</v>
      </c>
      <c r="M113" s="10">
        <f>IFERROR(__xludf.DUMMYFUNCTION("""COMPUTED_VALUE"""),7.0)</f>
        <v>7</v>
      </c>
      <c r="N113" s="10" t="str">
        <f>IFERROR(__xludf.DUMMYFUNCTION("""COMPUTED_VALUE"""),"No")</f>
        <v>No</v>
      </c>
      <c r="O113" s="10"/>
      <c r="P113" s="10"/>
      <c r="Q113" s="10"/>
      <c r="R113" s="10"/>
      <c r="S113" s="18" t="str">
        <f>IFERROR(__xludf.DUMMYFUNCTION("""COMPUTED_VALUE"""),"https://drive.google.com/open?id=1sWaAS5BBgXGHbYCy5uBLzg2cIwRXBKtF")</f>
        <v>https://drive.google.com/open?id=1sWaAS5BBgXGHbYCy5uBLzg2cIwRXBKtF</v>
      </c>
      <c r="T113" s="18" t="str">
        <f>IFERROR(__xludf.DUMMYFUNCTION("""COMPUTED_VALUE"""),"https://drive.google.com/open?id=1xzXpaSJ22yVJgGucAW9U4U1RMVNQbg2K")</f>
        <v>https://drive.google.com/open?id=1xzXpaSJ22yVJgGucAW9U4U1RMVNQbg2K</v>
      </c>
      <c r="U113" s="18" t="str">
        <f>IFERROR(__xludf.DUMMYFUNCTION("""COMPUTED_VALUE"""),"https://drive.google.com/open?id=1fKV3SMdp5FxSn84-kTa7U7k4DqLXH7Dy")</f>
        <v>https://drive.google.com/open?id=1fKV3SMdp5FxSn84-kTa7U7k4DqLXH7Dy</v>
      </c>
      <c r="V113" s="10"/>
      <c r="W113" s="10"/>
      <c r="X113" s="10"/>
      <c r="Y113" s="14" t="str">
        <f>IFERROR(__xludf.DUMMYFUNCTION("""COMPUTED_VALUE"""),"babarrasheed341@gmail.com")</f>
        <v>babarrasheed341@gmail.com</v>
      </c>
      <c r="AA113" s="325">
        <v>3.0</v>
      </c>
    </row>
    <row r="114">
      <c r="A114" s="9">
        <f>IFERROR(__xludf.DUMMYFUNCTION("""COMPUTED_VALUE"""),45772.278381516204)</f>
        <v>45772.27838</v>
      </c>
      <c r="B114" s="10" t="str">
        <f>IFERROR(__xludf.DUMMYFUNCTION("""COMPUTED_VALUE"""),"Ali Raza")</f>
        <v>Ali Raza</v>
      </c>
      <c r="C114" s="10" t="str">
        <f>IFERROR(__xludf.DUMMYFUNCTION("""COMPUTED_VALUE"""),"03290367757")</f>
        <v>03290367757</v>
      </c>
      <c r="D114" s="10" t="str">
        <f>IFERROR(__xludf.DUMMYFUNCTION("""COMPUTED_VALUE"""),"Markazi Jamia Masjid Satellite Town Sargodha ")</f>
        <v>Markazi Jamia Masjid Satellite Town Sargodha </v>
      </c>
      <c r="E114" s="10" t="str">
        <f>IFERROR(__xludf.DUMMYFUNCTION("""COMPUTED_VALUE"""),"vncjq")</f>
        <v>vncjq</v>
      </c>
      <c r="F114" s="10">
        <f>IFERROR(__xludf.DUMMYFUNCTION("""COMPUTED_VALUE"""),330.0)</f>
        <v>330</v>
      </c>
      <c r="G114" s="10">
        <f>IFERROR(__xludf.DUMMYFUNCTION("""COMPUTED_VALUE"""),6.0)</f>
        <v>6</v>
      </c>
      <c r="H114" s="10">
        <f>IFERROR(__xludf.DUMMYFUNCTION("""COMPUTED_VALUE"""),7.0)</f>
        <v>7</v>
      </c>
      <c r="I114" s="10">
        <f>IFERROR(__xludf.DUMMYFUNCTION("""COMPUTED_VALUE"""),0.0)</f>
        <v>0</v>
      </c>
      <c r="J114" s="10">
        <f>IFERROR(__xludf.DUMMYFUNCTION("""COMPUTED_VALUE"""),1874.0)</f>
        <v>1874</v>
      </c>
      <c r="K114" s="10" t="str">
        <f>IFERROR(__xludf.DUMMYFUNCTION("""COMPUTED_VALUE"""),"No")</f>
        <v>No</v>
      </c>
      <c r="L114" s="10" t="str">
        <f>IFERROR(__xludf.DUMMYFUNCTION("""COMPUTED_VALUE"""),"None")</f>
        <v>None</v>
      </c>
      <c r="M114" s="10">
        <f>IFERROR(__xludf.DUMMYFUNCTION("""COMPUTED_VALUE"""),8.0)</f>
        <v>8</v>
      </c>
      <c r="N114" s="10" t="str">
        <f>IFERROR(__xludf.DUMMYFUNCTION("""COMPUTED_VALUE"""),"Yes")</f>
        <v>Yes</v>
      </c>
      <c r="O114" s="323">
        <f>IFERROR(__xludf.DUMMYFUNCTION("""COMPUTED_VALUE"""),0.6)</f>
        <v>0.6</v>
      </c>
      <c r="P114" s="10">
        <f>IFERROR(__xludf.DUMMYFUNCTION("""COMPUTED_VALUE"""),8.0)</f>
        <v>8</v>
      </c>
      <c r="Q114" s="10">
        <f>IFERROR(__xludf.DUMMYFUNCTION("""COMPUTED_VALUE"""),2.0)</f>
        <v>2</v>
      </c>
      <c r="R114" s="10">
        <f>IFERROR(__xludf.DUMMYFUNCTION("""COMPUTED_VALUE"""),5.0)</f>
        <v>5</v>
      </c>
      <c r="S114" s="10" t="str">
        <f>IFERROR(__xludf.DUMMYFUNCTION("""COMPUTED_VALUE"""),"https://drive.google.com/open?id=1WCSbUkB9ro7OHdW800JIkoZVmts-Wiuc, https://drive.google.com/open?id=1E5ltVibeHyOwsOgfnSFo0HE9kjtMYTwE")</f>
        <v>https://drive.google.com/open?id=1WCSbUkB9ro7OHdW800JIkoZVmts-Wiuc, https://drive.google.com/open?id=1E5ltVibeHyOwsOgfnSFo0HE9kjtMYTwE</v>
      </c>
      <c r="T114" s="18" t="str">
        <f>IFERROR(__xludf.DUMMYFUNCTION("""COMPUTED_VALUE"""),"https://drive.google.com/open?id=10XaR1Ab3Bv_v7bwDXpMer6wVYJUgIv71")</f>
        <v>https://drive.google.com/open?id=10XaR1Ab3Bv_v7bwDXpMer6wVYJUgIv71</v>
      </c>
      <c r="U114" s="18" t="str">
        <f>IFERROR(__xludf.DUMMYFUNCTION("""COMPUTED_VALUE"""),"https://drive.google.com/open?id=1mF_Y4DWeChm-GK-O-rfQ6MvR5Pqq-nfB")</f>
        <v>https://drive.google.com/open?id=1mF_Y4DWeChm-GK-O-rfQ6MvR5Pqq-nfB</v>
      </c>
      <c r="V114" s="10" t="str">
        <f>IFERROR(__xludf.DUMMYFUNCTION("""COMPUTED_VALUE"""),"No
")</f>
        <v>No
</v>
      </c>
      <c r="W114" s="10"/>
      <c r="X114" s="10" t="str">
        <f>IFERROR(__xludf.DUMMYFUNCTION("""COMPUTED_VALUE"""),"Yes")</f>
        <v>Yes</v>
      </c>
      <c r="Y114" s="14" t="str">
        <f>IFERROR(__xludf.DUMMYFUNCTION("""COMPUTED_VALUE"""),"alyxraza777@gmail.com")</f>
        <v>alyxraza777@gmail.com</v>
      </c>
      <c r="AA114" s="325">
        <v>1.0</v>
      </c>
    </row>
    <row r="115" hidden="1">
      <c r="A115" s="9">
        <f>IFERROR(__xludf.DUMMYFUNCTION("""COMPUTED_VALUE"""),45772.27956739583)</f>
        <v>45772.27957</v>
      </c>
      <c r="B115" s="10" t="str">
        <f>IFERROR(__xludf.DUMMYFUNCTION("""COMPUTED_VALUE"""),"Muhammad Tahir ")</f>
        <v>Muhammad Tahir </v>
      </c>
      <c r="C115" s="10" t="str">
        <f>IFERROR(__xludf.DUMMYFUNCTION("""COMPUTED_VALUE"""),"0315-4165034 ")</f>
        <v>0315-4165034 </v>
      </c>
      <c r="D115" s="10" t="str">
        <f>IFERROR(__xludf.DUMMYFUNCTION("""COMPUTED_VALUE"""),"Masjid Kingrian wali Mozang")</f>
        <v>Masjid Kingrian wali Mozang</v>
      </c>
      <c r="E115" s="10" t="str">
        <f>IFERROR(__xludf.DUMMYFUNCTION("""COMPUTED_VALUE"""),"ekvzq")</f>
        <v>ekvzq</v>
      </c>
      <c r="F115" s="10">
        <f>IFERROR(__xludf.DUMMYFUNCTION("""COMPUTED_VALUE"""),150.0)</f>
        <v>150</v>
      </c>
      <c r="G115" s="10">
        <f>IFERROR(__xludf.DUMMYFUNCTION("""COMPUTED_VALUE"""),5.0)</f>
        <v>5</v>
      </c>
      <c r="H115" s="10">
        <f>IFERROR(__xludf.DUMMYFUNCTION("""COMPUTED_VALUE"""),5.0)</f>
        <v>5</v>
      </c>
      <c r="I115" s="10">
        <f>IFERROR(__xludf.DUMMYFUNCTION("""COMPUTED_VALUE"""),0.0)</f>
        <v>0</v>
      </c>
      <c r="J115" s="10">
        <f>IFERROR(__xludf.DUMMYFUNCTION("""COMPUTED_VALUE"""),1960.0)</f>
        <v>1960</v>
      </c>
      <c r="K115" s="10" t="str">
        <f>IFERROR(__xludf.DUMMYFUNCTION("""COMPUTED_VALUE"""),"No")</f>
        <v>No</v>
      </c>
      <c r="L115" s="10" t="str">
        <f>IFERROR(__xludf.DUMMYFUNCTION("""COMPUTED_VALUE"""),"NA")</f>
        <v>NA</v>
      </c>
      <c r="M115" s="10">
        <f>IFERROR(__xludf.DUMMYFUNCTION("""COMPUTED_VALUE"""),5.0)</f>
        <v>5</v>
      </c>
      <c r="N115" s="10" t="str">
        <f>IFERROR(__xludf.DUMMYFUNCTION("""COMPUTED_VALUE"""),"No")</f>
        <v>No</v>
      </c>
      <c r="O115" s="10"/>
      <c r="P115" s="10"/>
      <c r="Q115" s="10"/>
      <c r="R115" s="10"/>
      <c r="S115" s="18" t="str">
        <f>IFERROR(__xludf.DUMMYFUNCTION("""COMPUTED_VALUE"""),"https://drive.google.com/open?id=1ugcbGPZqxOXoqvtN3EO053ZWr6B9FmcJ")</f>
        <v>https://drive.google.com/open?id=1ugcbGPZqxOXoqvtN3EO053ZWr6B9FmcJ</v>
      </c>
      <c r="T115" s="18" t="str">
        <f>IFERROR(__xludf.DUMMYFUNCTION("""COMPUTED_VALUE"""),"https://drive.google.com/open?id=1nhQqpmHj0Kw3BkBctWyl1Da5lMIfQpLF")</f>
        <v>https://drive.google.com/open?id=1nhQqpmHj0Kw3BkBctWyl1Da5lMIfQpLF</v>
      </c>
      <c r="U115" s="18" t="str">
        <f>IFERROR(__xludf.DUMMYFUNCTION("""COMPUTED_VALUE"""),"https://drive.google.com/open?id=1YwDtR46yEUP6HXfVdFoy7PvumqpEf9g1")</f>
        <v>https://drive.google.com/open?id=1YwDtR46yEUP6HXfVdFoy7PvumqpEf9g1</v>
      </c>
      <c r="V115" s="10" t="str">
        <f>IFERROR(__xludf.DUMMYFUNCTION("""COMPUTED_VALUE"""),"NA")</f>
        <v>NA</v>
      </c>
      <c r="W115" s="10"/>
      <c r="X115" s="10"/>
      <c r="Y115" s="14" t="str">
        <f>IFERROR(__xludf.DUMMYFUNCTION("""COMPUTED_VALUE"""),"tahirdaudi55@gmail.com")</f>
        <v>tahirdaudi55@gmail.com</v>
      </c>
      <c r="AA115" s="325">
        <v>3.0</v>
      </c>
    </row>
    <row r="116" hidden="1">
      <c r="A116" s="9">
        <f>IFERROR(__xludf.DUMMYFUNCTION("""COMPUTED_VALUE"""),45772.27961038194)</f>
        <v>45772.27961</v>
      </c>
      <c r="B116" s="10" t="str">
        <f>IFERROR(__xludf.DUMMYFUNCTION("""COMPUTED_VALUE"""),"Muhammad Saad ameer")</f>
        <v>Muhammad Saad ameer</v>
      </c>
      <c r="C116" s="10" t="str">
        <f>IFERROR(__xludf.DUMMYFUNCTION("""COMPUTED_VALUE"""),"03285003985")</f>
        <v>03285003985</v>
      </c>
      <c r="D116" s="10" t="str">
        <f>IFERROR(__xludf.DUMMYFUNCTION("""COMPUTED_VALUE"""),"Jamia masjid gulzare madina 43 shumali sargodha")</f>
        <v>Jamia masjid gulzare madina 43 shumali sargodha</v>
      </c>
      <c r="E116" s="10" t="str">
        <f>IFERROR(__xludf.DUMMYFUNCTION("""COMPUTED_VALUE"""),"qpstq")</f>
        <v>qpstq</v>
      </c>
      <c r="F116" s="10">
        <f>IFERROR(__xludf.DUMMYFUNCTION("""COMPUTED_VALUE"""),500.0)</f>
        <v>500</v>
      </c>
      <c r="G116" s="10">
        <f>IFERROR(__xludf.DUMMYFUNCTION("""COMPUTED_VALUE"""),9.0)</f>
        <v>9</v>
      </c>
      <c r="H116" s="10">
        <f>IFERROR(__xludf.DUMMYFUNCTION("""COMPUTED_VALUE"""),0.0)</f>
        <v>0</v>
      </c>
      <c r="I116" s="10">
        <f>IFERROR(__xludf.DUMMYFUNCTION("""COMPUTED_VALUE"""),2.0)</f>
        <v>2</v>
      </c>
      <c r="J116" s="10">
        <f>IFERROR(__xludf.DUMMYFUNCTION("""COMPUTED_VALUE"""),1931.0)</f>
        <v>1931</v>
      </c>
      <c r="K116" s="10" t="str">
        <f>IFERROR(__xludf.DUMMYFUNCTION("""COMPUTED_VALUE"""),"No")</f>
        <v>No</v>
      </c>
      <c r="L116" s="10" t="str">
        <f>IFERROR(__xludf.DUMMYFUNCTION("""COMPUTED_VALUE"""),"No")</f>
        <v>No</v>
      </c>
      <c r="M116" s="10">
        <f>IFERROR(__xludf.DUMMYFUNCTION("""COMPUTED_VALUE"""),9.0)</f>
        <v>9</v>
      </c>
      <c r="N116" s="10" t="str">
        <f>IFERROR(__xludf.DUMMYFUNCTION("""COMPUTED_VALUE"""),"Yes")</f>
        <v>Yes</v>
      </c>
      <c r="O116" s="323">
        <f>IFERROR(__xludf.DUMMYFUNCTION("""COMPUTED_VALUE"""),0.9)</f>
        <v>0.9</v>
      </c>
      <c r="P116" s="10">
        <f>IFERROR(__xludf.DUMMYFUNCTION("""COMPUTED_VALUE"""),10.0)</f>
        <v>10</v>
      </c>
      <c r="Q116" s="10">
        <f>IFERROR(__xludf.DUMMYFUNCTION("""COMPUTED_VALUE"""),0.0)</f>
        <v>0</v>
      </c>
      <c r="R116" s="10">
        <f>IFERROR(__xludf.DUMMYFUNCTION("""COMPUTED_VALUE"""),7.0)</f>
        <v>7</v>
      </c>
      <c r="S116" s="18" t="str">
        <f>IFERROR(__xludf.DUMMYFUNCTION("""COMPUTED_VALUE"""),"https://drive.google.com/open?id=1Yi-VhjfvlyM1DaJaN1kt8Cvn1vhFgJOT")</f>
        <v>https://drive.google.com/open?id=1Yi-VhjfvlyM1DaJaN1kt8Cvn1vhFgJOT</v>
      </c>
      <c r="T116" s="18" t="str">
        <f>IFERROR(__xludf.DUMMYFUNCTION("""COMPUTED_VALUE"""),"https://drive.google.com/open?id=1xWnfUDtao70QHFbtZsnfx8nOfBNes5K4")</f>
        <v>https://drive.google.com/open?id=1xWnfUDtao70QHFbtZsnfx8nOfBNes5K4</v>
      </c>
      <c r="U116" s="18" t="str">
        <f>IFERROR(__xludf.DUMMYFUNCTION("""COMPUTED_VALUE"""),"https://drive.google.com/open?id=1-UwuLHYMk7aQU1D-yfyjWOdRJyDpsixk")</f>
        <v>https://drive.google.com/open?id=1-UwuLHYMk7aQU1D-yfyjWOdRJyDpsixk</v>
      </c>
      <c r="V116" s="10"/>
      <c r="W116" s="10"/>
      <c r="X116" s="10" t="str">
        <f>IFERROR(__xludf.DUMMYFUNCTION("""COMPUTED_VALUE"""),"Yes")</f>
        <v>Yes</v>
      </c>
      <c r="Y116" s="14" t="str">
        <f>IFERROR(__xludf.DUMMYFUNCTION("""COMPUTED_VALUE"""),"meharsaad986@gmail.com")</f>
        <v>meharsaad986@gmail.com</v>
      </c>
      <c r="AA116" s="325">
        <v>1.0</v>
      </c>
    </row>
    <row r="117" hidden="1">
      <c r="A117" s="9">
        <f>IFERROR(__xludf.DUMMYFUNCTION("""COMPUTED_VALUE"""),45772.281431979165)</f>
        <v>45772.28143</v>
      </c>
      <c r="B117" s="10" t="str">
        <f>IFERROR(__xludf.DUMMYFUNCTION("""COMPUTED_VALUE"""),"Abdul Jabbar ")</f>
        <v>Abdul Jabbar </v>
      </c>
      <c r="C117" s="10" t="str">
        <f>IFERROR(__xludf.DUMMYFUNCTION("""COMPUTED_VALUE"""),"03092670337")</f>
        <v>03092670337</v>
      </c>
      <c r="D117" s="10" t="str">
        <f>IFERROR(__xludf.DUMMYFUNCTION("""COMPUTED_VALUE"""),"Jamia Masjid Takiya Sakhi Abdul Wahaab ")</f>
        <v>Jamia Masjid Takiya Sakhi Abdul Wahaab </v>
      </c>
      <c r="E117" s="10" t="str">
        <f>IFERROR(__xludf.DUMMYFUNCTION("""COMPUTED_VALUE"""),"Moorq")</f>
        <v>Moorq</v>
      </c>
      <c r="F117" s="10">
        <f>IFERROR(__xludf.DUMMYFUNCTION("""COMPUTED_VALUE"""),60.0)</f>
        <v>60</v>
      </c>
      <c r="G117" s="10">
        <f>IFERROR(__xludf.DUMMYFUNCTION("""COMPUTED_VALUE"""),8.0)</f>
        <v>8</v>
      </c>
      <c r="H117" s="10">
        <f>IFERROR(__xludf.DUMMYFUNCTION("""COMPUTED_VALUE"""),8.0)</f>
        <v>8</v>
      </c>
      <c r="I117" s="10" t="str">
        <f>IFERROR(__xludf.DUMMYFUNCTION("""COMPUTED_VALUE"""),"No")</f>
        <v>No</v>
      </c>
      <c r="J117" s="10">
        <f>IFERROR(__xludf.DUMMYFUNCTION("""COMPUTED_VALUE"""),2000.0)</f>
        <v>2000</v>
      </c>
      <c r="K117" s="10" t="str">
        <f>IFERROR(__xludf.DUMMYFUNCTION("""COMPUTED_VALUE"""),"No")</f>
        <v>No</v>
      </c>
      <c r="L117" s="10" t="str">
        <f>IFERROR(__xludf.DUMMYFUNCTION("""COMPUTED_VALUE"""),"Sakhi Abdul Wahaab ")</f>
        <v>Sakhi Abdul Wahaab </v>
      </c>
      <c r="M117" s="10">
        <f>IFERROR(__xludf.DUMMYFUNCTION("""COMPUTED_VALUE"""),10.0)</f>
        <v>10</v>
      </c>
      <c r="N117" s="10" t="str">
        <f>IFERROR(__xludf.DUMMYFUNCTION("""COMPUTED_VALUE"""),"No")</f>
        <v>No</v>
      </c>
      <c r="O117" s="10"/>
      <c r="P117" s="10"/>
      <c r="Q117" s="10"/>
      <c r="R117" s="10"/>
      <c r="S117" s="18" t="str">
        <f>IFERROR(__xludf.DUMMYFUNCTION("""COMPUTED_VALUE"""),"https://drive.google.com/open?id=1z4pa-ZCgThFH3oCC_sxeRP9UOL3GfibW")</f>
        <v>https://drive.google.com/open?id=1z4pa-ZCgThFH3oCC_sxeRP9UOL3GfibW</v>
      </c>
      <c r="T117" s="18" t="str">
        <f>IFERROR(__xludf.DUMMYFUNCTION("""COMPUTED_VALUE"""),"https://drive.google.com/open?id=1EZjSc_6yj1vAqdmIjhGAE9jnzYBbrb9a")</f>
        <v>https://drive.google.com/open?id=1EZjSc_6yj1vAqdmIjhGAE9jnzYBbrb9a</v>
      </c>
      <c r="U117" s="18" t="str">
        <f>IFERROR(__xludf.DUMMYFUNCTION("""COMPUTED_VALUE"""),"https://drive.google.com/open?id=16GwmzVRw-adnS8j1_LVDt-UbPQ80wqdm")</f>
        <v>https://drive.google.com/open?id=16GwmzVRw-adnS8j1_LVDt-UbPQ80wqdm</v>
      </c>
      <c r="V117" s="10"/>
      <c r="W117" s="10"/>
      <c r="X117" s="10"/>
      <c r="Y117" s="14" t="str">
        <f>IFERROR(__xludf.DUMMYFUNCTION("""COMPUTED_VALUE"""),"abduljabbar02082004@gmail.com")</f>
        <v>abduljabbar02082004@gmail.com</v>
      </c>
      <c r="AA117" s="325">
        <v>3.0</v>
      </c>
    </row>
    <row r="118" hidden="1">
      <c r="A118" s="9">
        <f>IFERROR(__xludf.DUMMYFUNCTION("""COMPUTED_VALUE"""),45772.282610069444)</f>
        <v>45772.28261</v>
      </c>
      <c r="B118" s="10" t="str">
        <f>IFERROR(__xludf.DUMMYFUNCTION("""COMPUTED_VALUE"""),"Shoaib")</f>
        <v>Shoaib</v>
      </c>
      <c r="C118" s="10" t="str">
        <f>IFERROR(__xludf.DUMMYFUNCTION("""COMPUTED_VALUE"""),"03018698469")</f>
        <v>03018698469</v>
      </c>
      <c r="D118" s="10" t="str">
        <f>IFERROR(__xludf.DUMMYFUNCTION("""COMPUTED_VALUE"""),"Jamia masjid ashrafiya gol chok")</f>
        <v>Jamia masjid ashrafiya gol chok</v>
      </c>
      <c r="E118" s="10" t="str">
        <f>IFERROR(__xludf.DUMMYFUNCTION("""COMPUTED_VALUE"""),"palog")</f>
        <v>palog</v>
      </c>
      <c r="F118" s="10">
        <f>IFERROR(__xludf.DUMMYFUNCTION("""COMPUTED_VALUE"""),560.0)</f>
        <v>560</v>
      </c>
      <c r="G118" s="10">
        <f>IFERROR(__xludf.DUMMYFUNCTION("""COMPUTED_VALUE"""),8.0)</f>
        <v>8</v>
      </c>
      <c r="H118" s="10">
        <f>IFERROR(__xludf.DUMMYFUNCTION("""COMPUTED_VALUE"""),6.0)</f>
        <v>6</v>
      </c>
      <c r="I118" s="10">
        <f>IFERROR(__xludf.DUMMYFUNCTION("""COMPUTED_VALUE"""),4.0)</f>
        <v>4</v>
      </c>
      <c r="J118" s="10">
        <f>IFERROR(__xludf.DUMMYFUNCTION("""COMPUTED_VALUE"""),1930.0)</f>
        <v>1930</v>
      </c>
      <c r="K118" s="10" t="str">
        <f>IFERROR(__xludf.DUMMYFUNCTION("""COMPUTED_VALUE"""),"No")</f>
        <v>No</v>
      </c>
      <c r="L118" s="10" t="str">
        <f>IFERROR(__xludf.DUMMYFUNCTION("""COMPUTED_VALUE"""),"Koi nhi he ")</f>
        <v>Koi nhi he </v>
      </c>
      <c r="M118" s="10">
        <f>IFERROR(__xludf.DUMMYFUNCTION("""COMPUTED_VALUE"""),8.0)</f>
        <v>8</v>
      </c>
      <c r="N118" s="10" t="str">
        <f>IFERROR(__xludf.DUMMYFUNCTION("""COMPUTED_VALUE"""),"Yes")</f>
        <v>Yes</v>
      </c>
      <c r="O118" s="323">
        <f>IFERROR(__xludf.DUMMYFUNCTION("""COMPUTED_VALUE"""),0.6)</f>
        <v>0.6</v>
      </c>
      <c r="P118" s="10">
        <f>IFERROR(__xludf.DUMMYFUNCTION("""COMPUTED_VALUE"""),7.0)</f>
        <v>7</v>
      </c>
      <c r="Q118" s="10">
        <f>IFERROR(__xludf.DUMMYFUNCTION("""COMPUTED_VALUE"""),4.0)</f>
        <v>4</v>
      </c>
      <c r="R118" s="10">
        <f>IFERROR(__xludf.DUMMYFUNCTION("""COMPUTED_VALUE"""),8.0)</f>
        <v>8</v>
      </c>
      <c r="S118" s="18" t="str">
        <f>IFERROR(__xludf.DUMMYFUNCTION("""COMPUTED_VALUE"""),"https://drive.google.com/open?id=1GLzbff-eXsn9VzdYCxBf_vADZC9gaCdD")</f>
        <v>https://drive.google.com/open?id=1GLzbff-eXsn9VzdYCxBf_vADZC9gaCdD</v>
      </c>
      <c r="T118" s="18" t="str">
        <f>IFERROR(__xludf.DUMMYFUNCTION("""COMPUTED_VALUE"""),"https://drive.google.com/open?id=1YVrdlw2GkZb-JoJPgVLelwWPLW5A_BzD")</f>
        <v>https://drive.google.com/open?id=1YVrdlw2GkZb-JoJPgVLelwWPLW5A_BzD</v>
      </c>
      <c r="U118" s="18" t="str">
        <f>IFERROR(__xludf.DUMMYFUNCTION("""COMPUTED_VALUE"""),"https://drive.google.com/open?id=1twylK2pnxlAIYg9y4grlhYKeO1XawihA")</f>
        <v>https://drive.google.com/open?id=1twylK2pnxlAIYg9y4grlhYKeO1XawihA</v>
      </c>
      <c r="V118" s="10" t="str">
        <f>IFERROR(__xludf.DUMMYFUNCTION("""COMPUTED_VALUE"""),"No")</f>
        <v>No</v>
      </c>
      <c r="W118" s="10"/>
      <c r="X118" s="10" t="str">
        <f>IFERROR(__xludf.DUMMYFUNCTION("""COMPUTED_VALUE"""),"Yes")</f>
        <v>Yes</v>
      </c>
      <c r="Y118" s="14" t="str">
        <f>IFERROR(__xludf.DUMMYFUNCTION("""COMPUTED_VALUE"""),"shoaibmukhtar073@gmail.com")</f>
        <v>shoaibmukhtar073@gmail.com</v>
      </c>
      <c r="AA118" s="325">
        <v>1.0</v>
      </c>
    </row>
    <row r="119" hidden="1">
      <c r="A119" s="9">
        <f>IFERROR(__xludf.DUMMYFUNCTION("""COMPUTED_VALUE"""),45772.28289587963)</f>
        <v>45772.2829</v>
      </c>
      <c r="B119" s="10" t="str">
        <f>IFERROR(__xludf.DUMMYFUNCTION("""COMPUTED_VALUE"""),"Jawad")</f>
        <v>Jawad</v>
      </c>
      <c r="C119" s="10" t="str">
        <f>IFERROR(__xludf.DUMMYFUNCTION("""COMPUTED_VALUE"""),"03076036512")</f>
        <v>03076036512</v>
      </c>
      <c r="D119" s="10" t="str">
        <f>IFERROR(__xludf.DUMMYFUNCTION("""COMPUTED_VALUE"""),"Jamia masjid block#1 sargodha")</f>
        <v>Jamia masjid block#1 sargodha</v>
      </c>
      <c r="E119" s="10" t="str">
        <f>IFERROR(__xludf.DUMMYFUNCTION("""COMPUTED_VALUE"""),"Pmxox")</f>
        <v>Pmxox</v>
      </c>
      <c r="F119" s="10">
        <f>IFERROR(__xludf.DUMMYFUNCTION("""COMPUTED_VALUE"""),900.0)</f>
        <v>900</v>
      </c>
      <c r="G119" s="10">
        <f>IFERROR(__xludf.DUMMYFUNCTION("""COMPUTED_VALUE"""),9.0)</f>
        <v>9</v>
      </c>
      <c r="H119" s="10">
        <f>IFERROR(__xludf.DUMMYFUNCTION("""COMPUTED_VALUE"""),5.0)</f>
        <v>5</v>
      </c>
      <c r="I119" s="10">
        <f>IFERROR(__xludf.DUMMYFUNCTION("""COMPUTED_VALUE"""),2.0)</f>
        <v>2</v>
      </c>
      <c r="J119" s="10">
        <f>IFERROR(__xludf.DUMMYFUNCTION("""COMPUTED_VALUE"""),1323.0)</f>
        <v>1323</v>
      </c>
      <c r="K119" s="10" t="str">
        <f>IFERROR(__xludf.DUMMYFUNCTION("""COMPUTED_VALUE"""),"No")</f>
        <v>No</v>
      </c>
      <c r="L119" s="10" t="str">
        <f>IFERROR(__xludf.DUMMYFUNCTION("""COMPUTED_VALUE"""),"No")</f>
        <v>No</v>
      </c>
      <c r="M119" s="10">
        <f>IFERROR(__xludf.DUMMYFUNCTION("""COMPUTED_VALUE"""),7.0)</f>
        <v>7</v>
      </c>
      <c r="N119" s="10" t="str">
        <f>IFERROR(__xludf.DUMMYFUNCTION("""COMPUTED_VALUE"""),"Yes")</f>
        <v>Yes</v>
      </c>
      <c r="O119" s="323">
        <f>IFERROR(__xludf.DUMMYFUNCTION("""COMPUTED_VALUE"""),0.7)</f>
        <v>0.7</v>
      </c>
      <c r="P119" s="10">
        <f>IFERROR(__xludf.DUMMYFUNCTION("""COMPUTED_VALUE"""),8.0)</f>
        <v>8</v>
      </c>
      <c r="Q119" s="10">
        <f>IFERROR(__xludf.DUMMYFUNCTION("""COMPUTED_VALUE"""),2.0)</f>
        <v>2</v>
      </c>
      <c r="R119" s="10">
        <f>IFERROR(__xludf.DUMMYFUNCTION("""COMPUTED_VALUE"""),5.0)</f>
        <v>5</v>
      </c>
      <c r="S119" s="18" t="str">
        <f>IFERROR(__xludf.DUMMYFUNCTION("""COMPUTED_VALUE"""),"https://drive.google.com/open?id=1cnpBYc_1Un7OFDUkgoA6uBhSUuYf0uUl")</f>
        <v>https://drive.google.com/open?id=1cnpBYc_1Un7OFDUkgoA6uBhSUuYf0uUl</v>
      </c>
      <c r="T119" s="18" t="str">
        <f>IFERROR(__xludf.DUMMYFUNCTION("""COMPUTED_VALUE"""),"https://drive.google.com/open?id=1oktqcfeKexYsw_rCtvQWP6GDLqzMVWCo")</f>
        <v>https://drive.google.com/open?id=1oktqcfeKexYsw_rCtvQWP6GDLqzMVWCo</v>
      </c>
      <c r="U119" s="18" t="str">
        <f>IFERROR(__xludf.DUMMYFUNCTION("""COMPUTED_VALUE"""),"https://drive.google.com/open?id=13ZWxT3T2XCJDDjT5nLlb17azWQeqv0c3")</f>
        <v>https://drive.google.com/open?id=13ZWxT3T2XCJDDjT5nLlb17azWQeqv0c3</v>
      </c>
      <c r="V119" s="10" t="str">
        <f>IFERROR(__xludf.DUMMYFUNCTION("""COMPUTED_VALUE"""),"No")</f>
        <v>No</v>
      </c>
      <c r="W119" s="10"/>
      <c r="X119" s="10" t="str">
        <f>IFERROR(__xludf.DUMMYFUNCTION("""COMPUTED_VALUE"""),"Yes")</f>
        <v>Yes</v>
      </c>
      <c r="Y119" s="14" t="str">
        <f>IFERROR(__xludf.DUMMYFUNCTION("""COMPUTED_VALUE"""),"malikjawadahmed667@gmail.com")</f>
        <v>malikjawadahmed667@gmail.com</v>
      </c>
      <c r="AA119" s="325">
        <v>1.0</v>
      </c>
    </row>
    <row r="120" hidden="1">
      <c r="A120" s="9">
        <f>IFERROR(__xludf.DUMMYFUNCTION("""COMPUTED_VALUE"""),45772.284500381946)</f>
        <v>45772.2845</v>
      </c>
      <c r="B120" s="10" t="str">
        <f>IFERROR(__xludf.DUMMYFUNCTION("""COMPUTED_VALUE"""),"Muhammad Naveed ")</f>
        <v>Muhammad Naveed </v>
      </c>
      <c r="C120" s="10" t="str">
        <f>IFERROR(__xludf.DUMMYFUNCTION("""COMPUTED_VALUE"""),"03044150404")</f>
        <v>03044150404</v>
      </c>
      <c r="D120" s="10" t="str">
        <f>IFERROR(__xludf.DUMMYFUNCTION("""COMPUTED_VALUE"""),"Jamia masjid Hafiz Noor jhelum")</f>
        <v>Jamia masjid Hafiz Noor jhelum</v>
      </c>
      <c r="E120" s="10" t="str">
        <f>IFERROR(__xludf.DUMMYFUNCTION("""COMPUTED_VALUE"""),"PXOLR")</f>
        <v>PXOLR</v>
      </c>
      <c r="F120" s="10">
        <f>IFERROR(__xludf.DUMMYFUNCTION("""COMPUTED_VALUE"""),150.0)</f>
        <v>150</v>
      </c>
      <c r="G120" s="10">
        <f>IFERROR(__xludf.DUMMYFUNCTION("""COMPUTED_VALUE"""),8.0)</f>
        <v>8</v>
      </c>
      <c r="H120" s="10">
        <f>IFERROR(__xludf.DUMMYFUNCTION("""COMPUTED_VALUE"""),7.0)</f>
        <v>7</v>
      </c>
      <c r="I120" s="10">
        <f>IFERROR(__xludf.DUMMYFUNCTION("""COMPUTED_VALUE"""),3.0)</f>
        <v>3</v>
      </c>
      <c r="J120" s="10">
        <f>IFERROR(__xludf.DUMMYFUNCTION("""COMPUTED_VALUE"""),1970.0)</f>
        <v>1970</v>
      </c>
      <c r="K120" s="10" t="str">
        <f>IFERROR(__xludf.DUMMYFUNCTION("""COMPUTED_VALUE"""),"Yes")</f>
        <v>Yes</v>
      </c>
      <c r="L120" s="10" t="str">
        <f>IFERROR(__xludf.DUMMYFUNCTION("""COMPUTED_VALUE"""),"No")</f>
        <v>No</v>
      </c>
      <c r="M120" s="10">
        <f>IFERROR(__xludf.DUMMYFUNCTION("""COMPUTED_VALUE"""),10.0)</f>
        <v>10</v>
      </c>
      <c r="N120" s="10" t="str">
        <f>IFERROR(__xludf.DUMMYFUNCTION("""COMPUTED_VALUE"""),"No")</f>
        <v>No</v>
      </c>
      <c r="O120" s="10"/>
      <c r="P120" s="10"/>
      <c r="Q120" s="10"/>
      <c r="R120" s="10"/>
      <c r="S120" s="18" t="str">
        <f>IFERROR(__xludf.DUMMYFUNCTION("""COMPUTED_VALUE"""),"https://drive.google.com/file/d/17KzOkC3YJ7qDdUTVT7DykL-2-q32knDW/view?usp=sharing")</f>
        <v>https://drive.google.com/file/d/17KzOkC3YJ7qDdUTVT7DykL-2-q32knDW/view?usp=sharing</v>
      </c>
      <c r="T120" s="18" t="str">
        <f>IFERROR(__xludf.DUMMYFUNCTION("""COMPUTED_VALUE"""),"https://drive.google.com/file/d/1xnndrjTvK-aCJK2V3YkLeB-S-4wvzJ-K/view?usp=sharing")</f>
        <v>https://drive.google.com/file/d/1xnndrjTvK-aCJK2V3YkLeB-S-4wvzJ-K/view?usp=sharing</v>
      </c>
      <c r="U120" s="18" t="str">
        <f>IFERROR(__xludf.DUMMYFUNCTION("""COMPUTED_VALUE"""),"https://drive.google.com/open?id=1jjJe_mAxvZl5JPAxoPZcir0TqH3mh637")</f>
        <v>https://drive.google.com/open?id=1jjJe_mAxvZl5JPAxoPZcir0TqH3mh637</v>
      </c>
      <c r="V120" s="10"/>
      <c r="W120" s="10"/>
      <c r="X120" s="10"/>
      <c r="Y120" s="14" t="str">
        <f>IFERROR(__xludf.DUMMYFUNCTION("""COMPUTED_VALUE"""),"mnaveed6011@gmail.com")</f>
        <v>mnaveed6011@gmail.com</v>
      </c>
      <c r="AA120" s="325">
        <v>1.0</v>
      </c>
    </row>
    <row r="121" hidden="1">
      <c r="A121" s="9">
        <f>IFERROR(__xludf.DUMMYFUNCTION("""COMPUTED_VALUE"""),45772.28526711806)</f>
        <v>45772.28527</v>
      </c>
      <c r="B121" s="10" t="str">
        <f>IFERROR(__xludf.DUMMYFUNCTION("""COMPUTED_VALUE"""),"Haris")</f>
        <v>Haris</v>
      </c>
      <c r="C121" s="10" t="str">
        <f>IFERROR(__xludf.DUMMYFUNCTION("""COMPUTED_VALUE"""),"03204565224")</f>
        <v>03204565224</v>
      </c>
      <c r="D121" s="10" t="str">
        <f>IFERROR(__xludf.DUMMYFUNCTION("""COMPUTED_VALUE"""),"Jamia Masjid Hanfiya Ghousia Scheme 2 Lahore ")</f>
        <v>Jamia Masjid Hanfiya Ghousia Scheme 2 Lahore </v>
      </c>
      <c r="E121" s="10" t="str">
        <f>IFERROR(__xludf.DUMMYFUNCTION("""COMPUTED_VALUE"""),"CWFIM")</f>
        <v>CWFIM</v>
      </c>
      <c r="F121" s="10">
        <f>IFERROR(__xludf.DUMMYFUNCTION("""COMPUTED_VALUE"""),645.0)</f>
        <v>645</v>
      </c>
      <c r="G121" s="10">
        <f>IFERROR(__xludf.DUMMYFUNCTION("""COMPUTED_VALUE"""),9.0)</f>
        <v>9</v>
      </c>
      <c r="H121" s="10">
        <f>IFERROR(__xludf.DUMMYFUNCTION("""COMPUTED_VALUE"""),8.0)</f>
        <v>8</v>
      </c>
      <c r="I121" s="10">
        <f>IFERROR(__xludf.DUMMYFUNCTION("""COMPUTED_VALUE"""),0.0)</f>
        <v>0</v>
      </c>
      <c r="J121" s="10">
        <f>IFERROR(__xludf.DUMMYFUNCTION("""COMPUTED_VALUE"""),1955.0)</f>
        <v>1955</v>
      </c>
      <c r="K121" s="10" t="str">
        <f>IFERROR(__xludf.DUMMYFUNCTION("""COMPUTED_VALUE"""),"Yes")</f>
        <v>Yes</v>
      </c>
      <c r="L121" s="10" t="str">
        <f>IFERROR(__xludf.DUMMYFUNCTION("""COMPUTED_VALUE"""),"No")</f>
        <v>No</v>
      </c>
      <c r="M121" s="10">
        <f>IFERROR(__xludf.DUMMYFUNCTION("""COMPUTED_VALUE"""),9.0)</f>
        <v>9</v>
      </c>
      <c r="N121" s="10" t="str">
        <f>IFERROR(__xludf.DUMMYFUNCTION("""COMPUTED_VALUE"""),"Yes")</f>
        <v>Yes</v>
      </c>
      <c r="O121" s="323">
        <f>IFERROR(__xludf.DUMMYFUNCTION("""COMPUTED_VALUE"""),0.0)</f>
        <v>0</v>
      </c>
      <c r="P121" s="10">
        <f>IFERROR(__xludf.DUMMYFUNCTION("""COMPUTED_VALUE"""),0.0)</f>
        <v>0</v>
      </c>
      <c r="Q121" s="10">
        <f>IFERROR(__xludf.DUMMYFUNCTION("""COMPUTED_VALUE"""),0.0)</f>
        <v>0</v>
      </c>
      <c r="R121" s="10">
        <f>IFERROR(__xludf.DUMMYFUNCTION("""COMPUTED_VALUE"""),0.0)</f>
        <v>0</v>
      </c>
      <c r="S121" s="18" t="str">
        <f>IFERROR(__xludf.DUMMYFUNCTION("""COMPUTED_VALUE"""),"https://drive.google.com/open?id=1VoC4UT9ZmfZtPDI76VjIaQEYtbHpFzhQ")</f>
        <v>https://drive.google.com/open?id=1VoC4UT9ZmfZtPDI76VjIaQEYtbHpFzhQ</v>
      </c>
      <c r="T121" s="18" t="str">
        <f>IFERROR(__xludf.DUMMYFUNCTION("""COMPUTED_VALUE"""),"https://drive.google.com/open?id=169lQ7OsRvC1BCMCvLU2XYl-Bgrs6OxkN")</f>
        <v>https://drive.google.com/open?id=169lQ7OsRvC1BCMCvLU2XYl-Bgrs6OxkN</v>
      </c>
      <c r="U121" s="18" t="str">
        <f>IFERROR(__xludf.DUMMYFUNCTION("""COMPUTED_VALUE"""),"https://drive.google.com/open?id=1r8QJykvHA7s_VKJr8kPOGLw7gxL-6cs5")</f>
        <v>https://drive.google.com/open?id=1r8QJykvHA7s_VKJr8kPOGLw7gxL-6cs5</v>
      </c>
      <c r="V121" s="10"/>
      <c r="W121" s="10"/>
      <c r="X121" s="10" t="str">
        <f>IFERROR(__xludf.DUMMYFUNCTION("""COMPUTED_VALUE"""),"Yes")</f>
        <v>Yes</v>
      </c>
      <c r="Y121" s="14" t="str">
        <f>IFERROR(__xludf.DUMMYFUNCTION("""COMPUTED_VALUE"""),"mianharisamjad284@gmail.com")</f>
        <v>mianharisamjad284@gmail.com</v>
      </c>
      <c r="AA121" s="325">
        <v>3.0</v>
      </c>
    </row>
    <row r="122" hidden="1">
      <c r="A122" s="9">
        <f>IFERROR(__xludf.DUMMYFUNCTION("""COMPUTED_VALUE"""),45772.28611648148)</f>
        <v>45772.28612</v>
      </c>
      <c r="B122" s="10" t="str">
        <f>IFERROR(__xludf.DUMMYFUNCTION("""COMPUTED_VALUE"""),"Umar butt ")</f>
        <v>Umar butt </v>
      </c>
      <c r="C122" s="10" t="str">
        <f>IFERROR(__xludf.DUMMYFUNCTION("""COMPUTED_VALUE"""),"03200099395")</f>
        <v>03200099395</v>
      </c>
      <c r="D122" s="10" t="str">
        <f>IFERROR(__xludf.DUMMYFUNCTION("""COMPUTED_VALUE"""),"Jamia Masjid Madina township Lahore ")</f>
        <v>Jamia Masjid Madina township Lahore </v>
      </c>
      <c r="E122" s="10" t="str">
        <f>IFERROR(__xludf.DUMMYFUNCTION("""COMPUTED_VALUE"""),"Lcwok")</f>
        <v>Lcwok</v>
      </c>
      <c r="F122" s="10">
        <f>IFERROR(__xludf.DUMMYFUNCTION("""COMPUTED_VALUE"""),400.0)</f>
        <v>400</v>
      </c>
      <c r="G122" s="10">
        <f>IFERROR(__xludf.DUMMYFUNCTION("""COMPUTED_VALUE"""),8.0)</f>
        <v>8</v>
      </c>
      <c r="H122" s="10">
        <f>IFERROR(__xludf.DUMMYFUNCTION("""COMPUTED_VALUE"""),8.0)</f>
        <v>8</v>
      </c>
      <c r="I122" s="10" t="str">
        <f>IFERROR(__xludf.DUMMYFUNCTION("""COMPUTED_VALUE"""),"4-5")</f>
        <v>4-5</v>
      </c>
      <c r="J122" s="10" t="str">
        <f>IFERROR(__xludf.DUMMYFUNCTION("""COMPUTED_VALUE"""),"1900s")</f>
        <v>1900s</v>
      </c>
      <c r="K122" s="10" t="str">
        <f>IFERROR(__xludf.DUMMYFUNCTION("""COMPUTED_VALUE"""),"No")</f>
        <v>No</v>
      </c>
      <c r="L122" s="10" t="str">
        <f>IFERROR(__xludf.DUMMYFUNCTION("""COMPUTED_VALUE"""),"No")</f>
        <v>No</v>
      </c>
      <c r="M122" s="10">
        <f>IFERROR(__xludf.DUMMYFUNCTION("""COMPUTED_VALUE"""),9.0)</f>
        <v>9</v>
      </c>
      <c r="N122" s="10" t="str">
        <f>IFERROR(__xludf.DUMMYFUNCTION("""COMPUTED_VALUE"""),"No")</f>
        <v>No</v>
      </c>
      <c r="O122" s="10"/>
      <c r="P122" s="10"/>
      <c r="Q122" s="10"/>
      <c r="R122" s="10"/>
      <c r="S122" s="18" t="str">
        <f>IFERROR(__xludf.DUMMYFUNCTION("""COMPUTED_VALUE"""),"https://drive.google.com/open?id=1H_awdPw9zznEkg9pJwr4C0w4LtDsxf-y")</f>
        <v>https://drive.google.com/open?id=1H_awdPw9zznEkg9pJwr4C0w4LtDsxf-y</v>
      </c>
      <c r="T122" s="18" t="str">
        <f>IFERROR(__xludf.DUMMYFUNCTION("""COMPUTED_VALUE"""),"https://drive.google.com/open?id=1hksgj4QocrWB3udVFByWJ0g8YLCIN2N3")</f>
        <v>https://drive.google.com/open?id=1hksgj4QocrWB3udVFByWJ0g8YLCIN2N3</v>
      </c>
      <c r="U122" s="18" t="str">
        <f>IFERROR(__xludf.DUMMYFUNCTION("""COMPUTED_VALUE"""),"https://drive.google.com/open?id=1Ty3sHgkycx2xu8aL6BHuhUMOcnV5DUpR")</f>
        <v>https://drive.google.com/open?id=1Ty3sHgkycx2xu8aL6BHuhUMOcnV5DUpR</v>
      </c>
      <c r="V122" s="10"/>
      <c r="W122" s="10"/>
      <c r="X122" s="10"/>
      <c r="Y122" s="14" t="str">
        <f>IFERROR(__xludf.DUMMYFUNCTION("""COMPUTED_VALUE"""),"buttumar092@gmail.com")</f>
        <v>buttumar092@gmail.com</v>
      </c>
      <c r="AA122" s="325">
        <v>3.0</v>
      </c>
    </row>
    <row r="123" hidden="1">
      <c r="A123" s="9">
        <f>IFERROR(__xludf.DUMMYFUNCTION("""COMPUTED_VALUE"""),45772.292012314814)</f>
        <v>45772.29201</v>
      </c>
      <c r="B123" s="10" t="str">
        <f>IFERROR(__xludf.DUMMYFUNCTION("""COMPUTED_VALUE"""),"Muhammad saqib ")</f>
        <v>Muhammad saqib </v>
      </c>
      <c r="C123" s="10" t="str">
        <f>IFERROR(__xludf.DUMMYFUNCTION("""COMPUTED_VALUE"""),"03234041429")</f>
        <v>03234041429</v>
      </c>
      <c r="D123" s="10" t="str">
        <f>IFERROR(__xludf.DUMMYFUNCTION("""COMPUTED_VALUE"""),"Jamia masjid darbar meer Husain zanjani ")</f>
        <v>Jamia masjid darbar meer Husain zanjani </v>
      </c>
      <c r="E123" s="10" t="str">
        <f>IFERROR(__xludf.DUMMYFUNCTION("""COMPUTED_VALUE"""),"yhrds")</f>
        <v>yhrds</v>
      </c>
      <c r="F123" s="10">
        <f>IFERROR(__xludf.DUMMYFUNCTION("""COMPUTED_VALUE"""),520.0)</f>
        <v>520</v>
      </c>
      <c r="G123" s="10">
        <f>IFERROR(__xludf.DUMMYFUNCTION("""COMPUTED_VALUE"""),7.0)</f>
        <v>7</v>
      </c>
      <c r="H123" s="10">
        <f>IFERROR(__xludf.DUMMYFUNCTION("""COMPUTED_VALUE"""),7.0)</f>
        <v>7</v>
      </c>
      <c r="I123" s="10">
        <f>IFERROR(__xludf.DUMMYFUNCTION("""COMPUTED_VALUE"""),2.0)</f>
        <v>2</v>
      </c>
      <c r="J123" s="10">
        <f>IFERROR(__xludf.DUMMYFUNCTION("""COMPUTED_VALUE"""),1945.0)</f>
        <v>1945</v>
      </c>
      <c r="K123" s="10" t="str">
        <f>IFERROR(__xludf.DUMMYFUNCTION("""COMPUTED_VALUE"""),"Yes")</f>
        <v>Yes</v>
      </c>
      <c r="L123" s="10" t="str">
        <f>IFERROR(__xludf.DUMMYFUNCTION("""COMPUTED_VALUE"""),"Meraan hussain zanjani ")</f>
        <v>Meraan hussain zanjani </v>
      </c>
      <c r="M123" s="10">
        <f>IFERROR(__xludf.DUMMYFUNCTION("""COMPUTED_VALUE"""),8.0)</f>
        <v>8</v>
      </c>
      <c r="N123" s="10" t="str">
        <f>IFERROR(__xludf.DUMMYFUNCTION("""COMPUTED_VALUE"""),"No")</f>
        <v>No</v>
      </c>
      <c r="O123" s="10"/>
      <c r="P123" s="10"/>
      <c r="Q123" s="10"/>
      <c r="R123" s="10"/>
      <c r="S123" s="18" t="str">
        <f>IFERROR(__xludf.DUMMYFUNCTION("""COMPUTED_VALUE"""),"https://drive.google.com/open?id=1reoQ49n_3MCNCQBlCDwb09v5TdTPp3SI")</f>
        <v>https://drive.google.com/open?id=1reoQ49n_3MCNCQBlCDwb09v5TdTPp3SI</v>
      </c>
      <c r="T123" s="18" t="str">
        <f>IFERROR(__xludf.DUMMYFUNCTION("""COMPUTED_VALUE"""),"https://drive.google.com/open?id=1T0PWiQu1yPJ0IqQNP2vAVoMlcWzpjON2")</f>
        <v>https://drive.google.com/open?id=1T0PWiQu1yPJ0IqQNP2vAVoMlcWzpjON2</v>
      </c>
      <c r="U123" s="18" t="str">
        <f>IFERROR(__xludf.DUMMYFUNCTION("""COMPUTED_VALUE"""),"https://drive.google.com/open?id=1vYnsO4R2DAYT_0WlYOI4TGC3nljQRlYr")</f>
        <v>https://drive.google.com/open?id=1vYnsO4R2DAYT_0WlYOI4TGC3nljQRlYr</v>
      </c>
      <c r="V123" s="10"/>
      <c r="W123" s="10"/>
      <c r="X123" s="10"/>
      <c r="Y123" s="14" t="str">
        <f>IFERROR(__xludf.DUMMYFUNCTION("""COMPUTED_VALUE"""),"sheikhsaqib003@gmail.com")</f>
        <v>sheikhsaqib003@gmail.com</v>
      </c>
      <c r="AA123" s="325">
        <v>3.0</v>
      </c>
    </row>
    <row r="124" hidden="1">
      <c r="A124" s="9">
        <f>IFERROR(__xludf.DUMMYFUNCTION("""COMPUTED_VALUE"""),45772.29243267361)</f>
        <v>45772.29243</v>
      </c>
      <c r="B124" s="10" t="str">
        <f>IFERROR(__xludf.DUMMYFUNCTION("""COMPUTED_VALUE"""),"Ali Raza")</f>
        <v>Ali Raza</v>
      </c>
      <c r="C124" s="10" t="str">
        <f>IFERROR(__xludf.DUMMYFUNCTION("""COMPUTED_VALUE"""),"03059848297")</f>
        <v>03059848297</v>
      </c>
      <c r="D124" s="10" t="str">
        <f>IFERROR(__xludf.DUMMYFUNCTION("""COMPUTED_VALUE"""),"Jamia masjid Bilal Nawab Colony Misri shah")</f>
        <v>Jamia masjid Bilal Nawab Colony Misri shah</v>
      </c>
      <c r="E124" s="10" t="str">
        <f>IFERROR(__xludf.DUMMYFUNCTION("""COMPUTED_VALUE"""),"Avbgy")</f>
        <v>Avbgy</v>
      </c>
      <c r="F124" s="10">
        <f>IFERROR(__xludf.DUMMYFUNCTION("""COMPUTED_VALUE"""),220.0)</f>
        <v>220</v>
      </c>
      <c r="G124" s="10">
        <f>IFERROR(__xludf.DUMMYFUNCTION("""COMPUTED_VALUE"""),8.0)</f>
        <v>8</v>
      </c>
      <c r="H124" s="10">
        <f>IFERROR(__xludf.DUMMYFUNCTION("""COMPUTED_VALUE"""),5.0)</f>
        <v>5</v>
      </c>
      <c r="I124" s="10">
        <f>IFERROR(__xludf.DUMMYFUNCTION("""COMPUTED_VALUE"""),5.0)</f>
        <v>5</v>
      </c>
      <c r="J124" s="10" t="str">
        <f>IFERROR(__xludf.DUMMYFUNCTION("""COMPUTED_VALUE"""),"0000")</f>
        <v>0000</v>
      </c>
      <c r="K124" s="10" t="str">
        <f>IFERROR(__xludf.DUMMYFUNCTION("""COMPUTED_VALUE"""),"No")</f>
        <v>No</v>
      </c>
      <c r="L124" s="10" t="str">
        <f>IFERROR(__xludf.DUMMYFUNCTION("""COMPUTED_VALUE"""),"No")</f>
        <v>No</v>
      </c>
      <c r="M124" s="10">
        <f>IFERROR(__xludf.DUMMYFUNCTION("""COMPUTED_VALUE"""),9.0)</f>
        <v>9</v>
      </c>
      <c r="N124" s="10" t="str">
        <f>IFERROR(__xludf.DUMMYFUNCTION("""COMPUTED_VALUE"""),"Yes")</f>
        <v>Yes</v>
      </c>
      <c r="O124" s="323">
        <f>IFERROR(__xludf.DUMMYFUNCTION("""COMPUTED_VALUE"""),0.9)</f>
        <v>0.9</v>
      </c>
      <c r="P124" s="10">
        <f>IFERROR(__xludf.DUMMYFUNCTION("""COMPUTED_VALUE"""),9.0)</f>
        <v>9</v>
      </c>
      <c r="Q124" s="10">
        <f>IFERROR(__xludf.DUMMYFUNCTION("""COMPUTED_VALUE"""),2.0)</f>
        <v>2</v>
      </c>
      <c r="R124" s="10">
        <f>IFERROR(__xludf.DUMMYFUNCTION("""COMPUTED_VALUE"""),8.0)</f>
        <v>8</v>
      </c>
      <c r="S124" s="18" t="str">
        <f>IFERROR(__xludf.DUMMYFUNCTION("""COMPUTED_VALUE"""),"https://drive.google.com/open?id=1wDBD9d4x69JDlFyaoZpnUOgmvDyxnxE-")</f>
        <v>https://drive.google.com/open?id=1wDBD9d4x69JDlFyaoZpnUOgmvDyxnxE-</v>
      </c>
      <c r="T124" s="18" t="str">
        <f>IFERROR(__xludf.DUMMYFUNCTION("""COMPUTED_VALUE"""),"https://drive.google.com/open?id=1nGhOVTmCkHmCySNwDEJfWIn5NenUvnAp")</f>
        <v>https://drive.google.com/open?id=1nGhOVTmCkHmCySNwDEJfWIn5NenUvnAp</v>
      </c>
      <c r="U124" s="18" t="str">
        <f>IFERROR(__xludf.DUMMYFUNCTION("""COMPUTED_VALUE"""),"https://drive.google.com/open?id=1BqXzbxVRL7RAEj8StbNN7A6FYYOpG5-m")</f>
        <v>https://drive.google.com/open?id=1BqXzbxVRL7RAEj8StbNN7A6FYYOpG5-m</v>
      </c>
      <c r="V124" s="10"/>
      <c r="W124" s="10"/>
      <c r="X124" s="10" t="str">
        <f>IFERROR(__xludf.DUMMYFUNCTION("""COMPUTED_VALUE"""),"Yes")</f>
        <v>Yes</v>
      </c>
      <c r="Y124" s="14" t="str">
        <f>IFERROR(__xludf.DUMMYFUNCTION("""COMPUTED_VALUE"""),"Alee.raxa007@gmail.com")</f>
        <v>Alee.raxa007@gmail.com</v>
      </c>
      <c r="AA124" s="325">
        <v>3.0</v>
      </c>
    </row>
    <row r="125" hidden="1">
      <c r="A125" s="9">
        <f>IFERROR(__xludf.DUMMYFUNCTION("""COMPUTED_VALUE"""),45772.293630520835)</f>
        <v>45772.29363</v>
      </c>
      <c r="B125" s="10" t="str">
        <f>IFERROR(__xludf.DUMMYFUNCTION("""COMPUTED_VALUE"""),"M.Shamas")</f>
        <v>M.Shamas</v>
      </c>
      <c r="C125" s="10" t="str">
        <f>IFERROR(__xludf.DUMMYFUNCTION("""COMPUTED_VALUE"""),"03438080093")</f>
        <v>03438080093</v>
      </c>
      <c r="D125" s="10" t="str">
        <f>IFERROR(__xludf.DUMMYFUNCTION("""COMPUTED_VALUE"""),"Jamia Masjid Hanfiya Muslim Gunj Kachu Pura ")</f>
        <v>Jamia Masjid Hanfiya Muslim Gunj Kachu Pura </v>
      </c>
      <c r="E125" s="10" t="str">
        <f>IFERROR(__xludf.DUMMYFUNCTION("""COMPUTED_VALUE"""),"ogwwf")</f>
        <v>ogwwf</v>
      </c>
      <c r="F125" s="10">
        <f>IFERROR(__xludf.DUMMYFUNCTION("""COMPUTED_VALUE"""),130.0)</f>
        <v>130</v>
      </c>
      <c r="G125" s="10">
        <f>IFERROR(__xludf.DUMMYFUNCTION("""COMPUTED_VALUE"""),9.0)</f>
        <v>9</v>
      </c>
      <c r="H125" s="10">
        <f>IFERROR(__xludf.DUMMYFUNCTION("""COMPUTED_VALUE"""),8.0)</f>
        <v>8</v>
      </c>
      <c r="I125" s="10">
        <f>IFERROR(__xludf.DUMMYFUNCTION("""COMPUTED_VALUE"""),0.0)</f>
        <v>0</v>
      </c>
      <c r="J125" s="10">
        <f>IFERROR(__xludf.DUMMYFUNCTION("""COMPUTED_VALUE"""),1940.0)</f>
        <v>1940</v>
      </c>
      <c r="K125" s="10" t="str">
        <f>IFERROR(__xludf.DUMMYFUNCTION("""COMPUTED_VALUE"""),"No")</f>
        <v>No</v>
      </c>
      <c r="L125" s="10" t="str">
        <f>IFERROR(__xludf.DUMMYFUNCTION("""COMPUTED_VALUE"""),"No")</f>
        <v>No</v>
      </c>
      <c r="M125" s="10">
        <f>IFERROR(__xludf.DUMMYFUNCTION("""COMPUTED_VALUE"""),9.0)</f>
        <v>9</v>
      </c>
      <c r="N125" s="10" t="str">
        <f>IFERROR(__xludf.DUMMYFUNCTION("""COMPUTED_VALUE"""),"No")</f>
        <v>No</v>
      </c>
      <c r="O125" s="10"/>
      <c r="P125" s="10"/>
      <c r="Q125" s="10"/>
      <c r="R125" s="10"/>
      <c r="S125" s="18" t="str">
        <f>IFERROR(__xludf.DUMMYFUNCTION("""COMPUTED_VALUE"""),"https://drive.google.com/open?id=1qgpTKBekgXJTDqN9tzA1hYtZOGJhIVFK")</f>
        <v>https://drive.google.com/open?id=1qgpTKBekgXJTDqN9tzA1hYtZOGJhIVFK</v>
      </c>
      <c r="T125" s="18" t="str">
        <f>IFERROR(__xludf.DUMMYFUNCTION("""COMPUTED_VALUE"""),"https://drive.google.com/open?id=1BdicaPgqbXOGj6uw-ev3Y4s6VKhYsR2r")</f>
        <v>https://drive.google.com/open?id=1BdicaPgqbXOGj6uw-ev3Y4s6VKhYsR2r</v>
      </c>
      <c r="U125" s="18" t="str">
        <f>IFERROR(__xludf.DUMMYFUNCTION("""COMPUTED_VALUE"""),"https://drive.google.com/open?id=12qDw6sDi_pMHu6Daknb3eJtz0sT1qZ4Z")</f>
        <v>https://drive.google.com/open?id=12qDw6sDi_pMHu6Daknb3eJtz0sT1qZ4Z</v>
      </c>
      <c r="V125" s="10"/>
      <c r="W125" s="10"/>
      <c r="X125" s="10"/>
      <c r="Y125" s="14" t="str">
        <f>IFERROR(__xludf.DUMMYFUNCTION("""COMPUTED_VALUE"""),"haris.cerp@gmail.com")</f>
        <v>haris.cerp@gmail.com</v>
      </c>
      <c r="AA125" s="325">
        <v>3.0</v>
      </c>
    </row>
    <row r="126" hidden="1">
      <c r="A126" s="9">
        <f>IFERROR(__xludf.DUMMYFUNCTION("""COMPUTED_VALUE"""),45772.29573373843)</f>
        <v>45772.29573</v>
      </c>
      <c r="B126" s="10" t="str">
        <f>IFERROR(__xludf.DUMMYFUNCTION("""COMPUTED_VALUE"""),"Muhammad Irfan Amjad ")</f>
        <v>Muhammad Irfan Amjad </v>
      </c>
      <c r="C126" s="10" t="str">
        <f>IFERROR(__xludf.DUMMYFUNCTION("""COMPUTED_VALUE"""),"03014813508")</f>
        <v>03014813508</v>
      </c>
      <c r="D126" s="10" t="str">
        <f>IFERROR(__xludf.DUMMYFUNCTION("""COMPUTED_VALUE"""),"جامعہ مسجدحاحنفیہ بیڈن روڈ لاہور ")</f>
        <v>جامعہ مسجدحاحنفیہ بیڈن روڈ لاہور </v>
      </c>
      <c r="E126" s="10" t="str">
        <f>IFERROR(__xludf.DUMMYFUNCTION("""COMPUTED_VALUE"""),"dxome")</f>
        <v>dxome</v>
      </c>
      <c r="F126" s="10">
        <f>IFERROR(__xludf.DUMMYFUNCTION("""COMPUTED_VALUE"""),265.0)</f>
        <v>265</v>
      </c>
      <c r="G126" s="10">
        <f>IFERROR(__xludf.DUMMYFUNCTION("""COMPUTED_VALUE"""),0.0)</f>
        <v>0</v>
      </c>
      <c r="H126" s="10">
        <f>IFERROR(__xludf.DUMMYFUNCTION("""COMPUTED_VALUE"""),0.0)</f>
        <v>0</v>
      </c>
      <c r="I126" s="10" t="str">
        <f>IFERROR(__xludf.DUMMYFUNCTION("""COMPUTED_VALUE"""),"1 سے 2")</f>
        <v>1 سے 2</v>
      </c>
      <c r="J126" s="10">
        <f>IFERROR(__xludf.DUMMYFUNCTION("""COMPUTED_VALUE"""),1973.0)</f>
        <v>1973</v>
      </c>
      <c r="K126" s="10" t="str">
        <f>IFERROR(__xludf.DUMMYFUNCTION("""COMPUTED_VALUE"""),"No")</f>
        <v>No</v>
      </c>
      <c r="L126" s="10" t="str">
        <f>IFERROR(__xludf.DUMMYFUNCTION("""COMPUTED_VALUE"""),"نہیں ")</f>
        <v>نہیں </v>
      </c>
      <c r="M126" s="10">
        <f>IFERROR(__xludf.DUMMYFUNCTION("""COMPUTED_VALUE"""),10.0)</f>
        <v>10</v>
      </c>
      <c r="N126" s="10" t="str">
        <f>IFERROR(__xludf.DUMMYFUNCTION("""COMPUTED_VALUE"""),"No")</f>
        <v>No</v>
      </c>
      <c r="O126" s="10"/>
      <c r="P126" s="10"/>
      <c r="Q126" s="10"/>
      <c r="R126" s="10"/>
      <c r="S126" s="10" t="str">
        <f>IFERROR(__xludf.DUMMYFUNCTION("""COMPUTED_VALUE"""),"https://drive.google.com/open?id=1JIZO0pm7m8hXuCpw3Br2Xw3Rl66bFEZt, https://drive.google.com/open?id=1lj_tmr0bOXN_OFT_mM1yg-eeN9ISOVkf")</f>
        <v>https://drive.google.com/open?id=1JIZO0pm7m8hXuCpw3Br2Xw3Rl66bFEZt, https://drive.google.com/open?id=1lj_tmr0bOXN_OFT_mM1yg-eeN9ISOVkf</v>
      </c>
      <c r="T126" s="10" t="str">
        <f>IFERROR(__xludf.DUMMYFUNCTION("""COMPUTED_VALUE"""),"https://drive.google.com/open?id=15byAWEe7yw1khDFSKt4IvKs1Jnq6KnSH, https://drive.google.com/open?id=1aiyvbsNOBQVMm_TbjgTJL3Qxnhp8L0zJ")</f>
        <v>https://drive.google.com/open?id=15byAWEe7yw1khDFSKt4IvKs1Jnq6KnSH, https://drive.google.com/open?id=1aiyvbsNOBQVMm_TbjgTJL3Qxnhp8L0zJ</v>
      </c>
      <c r="U126" s="18" t="str">
        <f>IFERROR(__xludf.DUMMYFUNCTION("""COMPUTED_VALUE"""),"https://drive.google.com/open?id=1Y9o6WCHjga1aHzc8FmEAiBCWhloMZySK")</f>
        <v>https://drive.google.com/open?id=1Y9o6WCHjga1aHzc8FmEAiBCWhloMZySK</v>
      </c>
      <c r="V126" s="10" t="str">
        <f>IFERROR(__xludf.DUMMYFUNCTION("""COMPUTED_VALUE"""),"نہیں ")</f>
        <v>نہیں </v>
      </c>
      <c r="W126" s="10"/>
      <c r="X126" s="10"/>
      <c r="Y126" s="14" t="str">
        <f>IFERROR(__xludf.DUMMYFUNCTION("""COMPUTED_VALUE"""),"irfanamjad1983@gmail.com")</f>
        <v>irfanamjad1983@gmail.com</v>
      </c>
      <c r="AA126" s="325">
        <v>3.0</v>
      </c>
    </row>
    <row r="127" hidden="1">
      <c r="A127" s="9">
        <f>IFERROR(__xludf.DUMMYFUNCTION("""COMPUTED_VALUE"""),45772.29811903935)</f>
        <v>45772.29812</v>
      </c>
      <c r="B127" s="10" t="str">
        <f>IFERROR(__xludf.DUMMYFUNCTION("""COMPUTED_VALUE"""),"Muhammad Baqir")</f>
        <v>Muhammad Baqir</v>
      </c>
      <c r="C127" s="10" t="str">
        <f>IFERROR(__xludf.DUMMYFUNCTION("""COMPUTED_VALUE"""),"03005551884")</f>
        <v>03005551884</v>
      </c>
      <c r="D127" s="10" t="str">
        <f>IFERROR(__xludf.DUMMYFUNCTION("""COMPUTED_VALUE"""),"Jamia Masjid Emam Ali Alhaq Sialkot ")</f>
        <v>Jamia Masjid Emam Ali Alhaq Sialkot </v>
      </c>
      <c r="E127" s="10" t="str">
        <f>IFERROR(__xludf.DUMMYFUNCTION("""COMPUTED_VALUE"""),"Aknhz")</f>
        <v>Aknhz</v>
      </c>
      <c r="F127" s="10">
        <f>IFERROR(__xludf.DUMMYFUNCTION("""COMPUTED_VALUE"""),250.0)</f>
        <v>250</v>
      </c>
      <c r="G127" s="10">
        <f>IFERROR(__xludf.DUMMYFUNCTION("""COMPUTED_VALUE"""),5.0)</f>
        <v>5</v>
      </c>
      <c r="H127" s="10">
        <f>IFERROR(__xludf.DUMMYFUNCTION("""COMPUTED_VALUE"""),5.0)</f>
        <v>5</v>
      </c>
      <c r="I127" s="10">
        <f>IFERROR(__xludf.DUMMYFUNCTION("""COMPUTED_VALUE"""),3.0)</f>
        <v>3</v>
      </c>
      <c r="J127" s="10">
        <f>IFERROR(__xludf.DUMMYFUNCTION("""COMPUTED_VALUE"""),1970.0)</f>
        <v>1970</v>
      </c>
      <c r="K127" s="10" t="str">
        <f>IFERROR(__xludf.DUMMYFUNCTION("""COMPUTED_VALUE"""),"No")</f>
        <v>No</v>
      </c>
      <c r="L127" s="10" t="str">
        <f>IFERROR(__xludf.DUMMYFUNCTION("""COMPUTED_VALUE"""),"Emam Ali Alhaq Sialkot ")</f>
        <v>Emam Ali Alhaq Sialkot </v>
      </c>
      <c r="M127" s="10">
        <f>IFERROR(__xludf.DUMMYFUNCTION("""COMPUTED_VALUE"""),6.0)</f>
        <v>6</v>
      </c>
      <c r="N127" s="10" t="str">
        <f>IFERROR(__xludf.DUMMYFUNCTION("""COMPUTED_VALUE"""),"No")</f>
        <v>No</v>
      </c>
      <c r="O127" s="10"/>
      <c r="P127" s="10"/>
      <c r="Q127" s="10"/>
      <c r="R127" s="10"/>
      <c r="S127" s="18" t="str">
        <f>IFERROR(__xludf.DUMMYFUNCTION("""COMPUTED_VALUE"""),"https://drive.google.com/open?id=15s7JlXhj8Q3FTQPlaGi701INPxP1Dngq")</f>
        <v>https://drive.google.com/open?id=15s7JlXhj8Q3FTQPlaGi701INPxP1Dngq</v>
      </c>
      <c r="T127" s="18" t="str">
        <f>IFERROR(__xludf.DUMMYFUNCTION("""COMPUTED_VALUE"""),"https://drive.google.com/open?id=1ur8FWGCmspeLZOgHtgka3VfOLyuWmbuw")</f>
        <v>https://drive.google.com/open?id=1ur8FWGCmspeLZOgHtgka3VfOLyuWmbuw</v>
      </c>
      <c r="U127" s="18" t="str">
        <f>IFERROR(__xludf.DUMMYFUNCTION("""COMPUTED_VALUE"""),"https://drive.google.com/open?id=1dKJwOx7CbMO34q_FKAkyVpBjnKvFQXZi")</f>
        <v>https://drive.google.com/open?id=1dKJwOx7CbMO34q_FKAkyVpBjnKvFQXZi</v>
      </c>
      <c r="V127" s="10"/>
      <c r="W127" s="10"/>
      <c r="X127" s="10"/>
      <c r="Y127" s="14" t="str">
        <f>IFERROR(__xludf.DUMMYFUNCTION("""COMPUTED_VALUE"""),"baqir26@yahoo.com")</f>
        <v>baqir26@yahoo.com</v>
      </c>
      <c r="AA127" s="325">
        <v>1.0</v>
      </c>
    </row>
    <row r="128" hidden="1">
      <c r="A128" s="9">
        <f>IFERROR(__xludf.DUMMYFUNCTION("""COMPUTED_VALUE"""),45772.298148946764)</f>
        <v>45772.29815</v>
      </c>
      <c r="B128" s="10" t="str">
        <f>IFERROR(__xludf.DUMMYFUNCTION("""COMPUTED_VALUE"""),"Adnan Ali ")</f>
        <v>Adnan Ali </v>
      </c>
      <c r="C128" s="10" t="str">
        <f>IFERROR(__xludf.DUMMYFUNCTION("""COMPUTED_VALUE"""),"0305 4045395 ")</f>
        <v>0305 4045395 </v>
      </c>
      <c r="D128" s="10" t="str">
        <f>IFERROR(__xludf.DUMMYFUNCTION("""COMPUTED_VALUE"""),"Jamia Masjid luhari Gate Lahore ")</f>
        <v>Jamia Masjid luhari Gate Lahore </v>
      </c>
      <c r="E128" s="10" t="str">
        <f>IFERROR(__xludf.DUMMYFUNCTION("""COMPUTED_VALUE"""),"Zqlfc")</f>
        <v>Zqlfc</v>
      </c>
      <c r="F128" s="10">
        <f>IFERROR(__xludf.DUMMYFUNCTION("""COMPUTED_VALUE"""),420.0)</f>
        <v>420</v>
      </c>
      <c r="G128" s="10">
        <f>IFERROR(__xludf.DUMMYFUNCTION("""COMPUTED_VALUE"""),7.0)</f>
        <v>7</v>
      </c>
      <c r="H128" s="10">
        <f>IFERROR(__xludf.DUMMYFUNCTION("""COMPUTED_VALUE"""),6.0)</f>
        <v>6</v>
      </c>
      <c r="I128" s="10">
        <f>IFERROR(__xludf.DUMMYFUNCTION("""COMPUTED_VALUE"""),3.0)</f>
        <v>3</v>
      </c>
      <c r="J128" s="10">
        <f>IFERROR(__xludf.DUMMYFUNCTION("""COMPUTED_VALUE"""),1951.0)</f>
        <v>1951</v>
      </c>
      <c r="K128" s="10" t="str">
        <f>IFERROR(__xludf.DUMMYFUNCTION("""COMPUTED_VALUE"""),"No")</f>
        <v>No</v>
      </c>
      <c r="L128" s="10" t="str">
        <f>IFERROR(__xludf.DUMMYFUNCTION("""COMPUTED_VALUE"""),"No")</f>
        <v>No</v>
      </c>
      <c r="M128" s="10">
        <f>IFERROR(__xludf.DUMMYFUNCTION("""COMPUTED_VALUE"""),8.0)</f>
        <v>8</v>
      </c>
      <c r="N128" s="10" t="str">
        <f>IFERROR(__xludf.DUMMYFUNCTION("""COMPUTED_VALUE"""),"No")</f>
        <v>No</v>
      </c>
      <c r="O128" s="10"/>
      <c r="P128" s="10"/>
      <c r="Q128" s="10"/>
      <c r="R128" s="10"/>
      <c r="S128" s="18" t="str">
        <f>IFERROR(__xludf.DUMMYFUNCTION("""COMPUTED_VALUE"""),"https://drive.google.com/open?id=18A_Rrw4n-pxe-LpNh_kcNeSvaGNZKTp9")</f>
        <v>https://drive.google.com/open?id=18A_Rrw4n-pxe-LpNh_kcNeSvaGNZKTp9</v>
      </c>
      <c r="T128" s="18" t="str">
        <f>IFERROR(__xludf.DUMMYFUNCTION("""COMPUTED_VALUE"""),"https://drive.google.com/open?id=1eBKCokVgRuGYDqg6V6gdxdMfrQu6wTqj")</f>
        <v>https://drive.google.com/open?id=1eBKCokVgRuGYDqg6V6gdxdMfrQu6wTqj</v>
      </c>
      <c r="U128" s="18" t="str">
        <f>IFERROR(__xludf.DUMMYFUNCTION("""COMPUTED_VALUE"""),"https://drive.google.com/open?id=1hr6Soq_WEJi6-FyAp7kO38ijuRyv3Pxx")</f>
        <v>https://drive.google.com/open?id=1hr6Soq_WEJi6-FyAp7kO38ijuRyv3Pxx</v>
      </c>
      <c r="V128" s="10"/>
      <c r="W128" s="10"/>
      <c r="X128" s="10"/>
      <c r="Y128" s="14" t="str">
        <f>IFERROR(__xludf.DUMMYFUNCTION("""COMPUTED_VALUE"""),"a65047036@gmail.com")</f>
        <v>a65047036@gmail.com</v>
      </c>
      <c r="AA128" s="325">
        <v>3.0</v>
      </c>
    </row>
    <row r="129" hidden="1">
      <c r="A129" s="9">
        <f>IFERROR(__xludf.DUMMYFUNCTION("""COMPUTED_VALUE"""),45772.299532488425)</f>
        <v>45772.29953</v>
      </c>
      <c r="B129" s="10" t="str">
        <f>IFERROR(__xludf.DUMMYFUNCTION("""COMPUTED_VALUE"""),"Sheri")</f>
        <v>Sheri</v>
      </c>
      <c r="C129" s="10" t="str">
        <f>IFERROR(__xludf.DUMMYFUNCTION("""COMPUTED_VALUE"""),"03438080093")</f>
        <v>03438080093</v>
      </c>
      <c r="D129" s="10" t="str">
        <f>IFERROR(__xludf.DUMMYFUNCTION("""COMPUTED_VALUE"""),"Jamia Masjid Darbar Ismail Shah Bhukari ")</f>
        <v>Jamia Masjid Darbar Ismail Shah Bhukari </v>
      </c>
      <c r="E129" s="10" t="str">
        <f>IFERROR(__xludf.DUMMYFUNCTION("""COMPUTED_VALUE"""),"fevmy")</f>
        <v>fevmy</v>
      </c>
      <c r="F129" s="10">
        <f>IFERROR(__xludf.DUMMYFUNCTION("""COMPUTED_VALUE"""),173.0)</f>
        <v>173</v>
      </c>
      <c r="G129" s="10">
        <f>IFERROR(__xludf.DUMMYFUNCTION("""COMPUTED_VALUE"""),8.0)</f>
        <v>8</v>
      </c>
      <c r="H129" s="10">
        <f>IFERROR(__xludf.DUMMYFUNCTION("""COMPUTED_VALUE"""),7.0)</f>
        <v>7</v>
      </c>
      <c r="I129" s="10">
        <f>IFERROR(__xludf.DUMMYFUNCTION("""COMPUTED_VALUE"""),2.0)</f>
        <v>2</v>
      </c>
      <c r="J129" s="10">
        <f>IFERROR(__xludf.DUMMYFUNCTION("""COMPUTED_VALUE"""),1945.0)</f>
        <v>1945</v>
      </c>
      <c r="K129" s="10" t="str">
        <f>IFERROR(__xludf.DUMMYFUNCTION("""COMPUTED_VALUE"""),"No")</f>
        <v>No</v>
      </c>
      <c r="L129" s="10" t="str">
        <f>IFERROR(__xludf.DUMMYFUNCTION("""COMPUTED_VALUE"""),"Darbar Ismail Shah Bhukari ")</f>
        <v>Darbar Ismail Shah Bhukari </v>
      </c>
      <c r="M129" s="10">
        <f>IFERROR(__xludf.DUMMYFUNCTION("""COMPUTED_VALUE"""),10.0)</f>
        <v>10</v>
      </c>
      <c r="N129" s="10" t="str">
        <f>IFERROR(__xludf.DUMMYFUNCTION("""COMPUTED_VALUE"""),"Yes")</f>
        <v>Yes</v>
      </c>
      <c r="O129" s="323">
        <f>IFERROR(__xludf.DUMMYFUNCTION("""COMPUTED_VALUE"""),0.0)</f>
        <v>0</v>
      </c>
      <c r="P129" s="10">
        <f>IFERROR(__xludf.DUMMYFUNCTION("""COMPUTED_VALUE"""),0.0)</f>
        <v>0</v>
      </c>
      <c r="Q129" s="10">
        <f>IFERROR(__xludf.DUMMYFUNCTION("""COMPUTED_VALUE"""),0.0)</f>
        <v>0</v>
      </c>
      <c r="R129" s="10">
        <f>IFERROR(__xludf.DUMMYFUNCTION("""COMPUTED_VALUE"""),0.0)</f>
        <v>0</v>
      </c>
      <c r="S129" s="18" t="str">
        <f>IFERROR(__xludf.DUMMYFUNCTION("""COMPUTED_VALUE"""),"https://drive.google.com/open?id=1iB0yCbKh9V4fBedekOqYdJTkNFqgsLuQ")</f>
        <v>https://drive.google.com/open?id=1iB0yCbKh9V4fBedekOqYdJTkNFqgsLuQ</v>
      </c>
      <c r="T129" s="18" t="str">
        <f>IFERROR(__xludf.DUMMYFUNCTION("""COMPUTED_VALUE"""),"https://drive.google.com/open?id=1ueqfpWigvvrGvNdNNt5VxIUsWCGxr7KN")</f>
        <v>https://drive.google.com/open?id=1ueqfpWigvvrGvNdNNt5VxIUsWCGxr7KN</v>
      </c>
      <c r="U129" s="18" t="str">
        <f>IFERROR(__xludf.DUMMYFUNCTION("""COMPUTED_VALUE"""),"https://drive.google.com/open?id=14inJVTTs-ua6lQ3fD2Jmvd3bAwyMW800")</f>
        <v>https://drive.google.com/open?id=14inJVTTs-ua6lQ3fD2Jmvd3bAwyMW800</v>
      </c>
      <c r="V129" s="10"/>
      <c r="W129" s="10"/>
      <c r="X129" s="10" t="str">
        <f>IFERROR(__xludf.DUMMYFUNCTION("""COMPUTED_VALUE"""),"Yes")</f>
        <v>Yes</v>
      </c>
      <c r="Y129" s="14" t="str">
        <f>IFERROR(__xludf.DUMMYFUNCTION("""COMPUTED_VALUE"""),"haris.cerp@gmail.com")</f>
        <v>haris.cerp@gmail.com</v>
      </c>
      <c r="AA129" s="325">
        <v>3.0</v>
      </c>
    </row>
    <row r="130" hidden="1">
      <c r="A130" s="9">
        <f>IFERROR(__xludf.DUMMYFUNCTION("""COMPUTED_VALUE"""),45772.30100652778)</f>
        <v>45772.30101</v>
      </c>
      <c r="B130" s="10" t="str">
        <f>IFERROR(__xludf.DUMMYFUNCTION("""COMPUTED_VALUE"""),"Abdullah ")</f>
        <v>Abdullah </v>
      </c>
      <c r="C130" s="10" t="str">
        <f>IFERROR(__xludf.DUMMYFUNCTION("""COMPUTED_VALUE"""),"03076348483")</f>
        <v>03076348483</v>
      </c>
      <c r="D130" s="10" t="str">
        <f>IFERROR(__xludf.DUMMYFUNCTION("""COMPUTED_VALUE"""),"Jamia masjid safdariya rangpura sialkot")</f>
        <v>Jamia masjid safdariya rangpura sialkot</v>
      </c>
      <c r="E130" s="10" t="str">
        <f>IFERROR(__xludf.DUMMYFUNCTION("""COMPUTED_VALUE"""),"Pcboq")</f>
        <v>Pcboq</v>
      </c>
      <c r="F130" s="10">
        <f>IFERROR(__xludf.DUMMYFUNCTION("""COMPUTED_VALUE"""),185.0)</f>
        <v>185</v>
      </c>
      <c r="G130" s="10">
        <f>IFERROR(__xludf.DUMMYFUNCTION("""COMPUTED_VALUE"""),8.0)</f>
        <v>8</v>
      </c>
      <c r="H130" s="10">
        <f>IFERROR(__xludf.DUMMYFUNCTION("""COMPUTED_VALUE"""),8.0)</f>
        <v>8</v>
      </c>
      <c r="I130" s="10">
        <f>IFERROR(__xludf.DUMMYFUNCTION("""COMPUTED_VALUE"""),0.0)</f>
        <v>0</v>
      </c>
      <c r="J130" s="10">
        <f>IFERROR(__xludf.DUMMYFUNCTION("""COMPUTED_VALUE"""),1989.0)</f>
        <v>1989</v>
      </c>
      <c r="K130" s="10" t="str">
        <f>IFERROR(__xludf.DUMMYFUNCTION("""COMPUTED_VALUE"""),"No")</f>
        <v>No</v>
      </c>
      <c r="L130" s="10" t="str">
        <f>IFERROR(__xludf.DUMMYFUNCTION("""COMPUTED_VALUE"""),"No")</f>
        <v>No</v>
      </c>
      <c r="M130" s="10">
        <f>IFERROR(__xludf.DUMMYFUNCTION("""COMPUTED_VALUE"""),7.0)</f>
        <v>7</v>
      </c>
      <c r="N130" s="10" t="str">
        <f>IFERROR(__xludf.DUMMYFUNCTION("""COMPUTED_VALUE"""),"Yes")</f>
        <v>Yes</v>
      </c>
      <c r="O130" s="323">
        <f>IFERROR(__xludf.DUMMYFUNCTION("""COMPUTED_VALUE"""),0.9)</f>
        <v>0.9</v>
      </c>
      <c r="P130" s="10">
        <f>IFERROR(__xludf.DUMMYFUNCTION("""COMPUTED_VALUE"""),9.0)</f>
        <v>9</v>
      </c>
      <c r="Q130" s="10">
        <f>IFERROR(__xludf.DUMMYFUNCTION("""COMPUTED_VALUE"""),1.0)</f>
        <v>1</v>
      </c>
      <c r="R130" s="10">
        <f>IFERROR(__xludf.DUMMYFUNCTION("""COMPUTED_VALUE"""),9.0)</f>
        <v>9</v>
      </c>
      <c r="S130" s="18" t="str">
        <f>IFERROR(__xludf.DUMMYFUNCTION("""COMPUTED_VALUE"""),"https://drive.google.com/open?id=1K7Fw_gzV-wPdEp1AEKJduscKYzWtcRlZ")</f>
        <v>https://drive.google.com/open?id=1K7Fw_gzV-wPdEp1AEKJduscKYzWtcRlZ</v>
      </c>
      <c r="T130" s="18" t="str">
        <f>IFERROR(__xludf.DUMMYFUNCTION("""COMPUTED_VALUE"""),"https://drive.google.com/open?id=1ZyZvfCxCln5j--uBznvHFg0mUKshyrlH")</f>
        <v>https://drive.google.com/open?id=1ZyZvfCxCln5j--uBznvHFg0mUKshyrlH</v>
      </c>
      <c r="U130" s="18" t="str">
        <f>IFERROR(__xludf.DUMMYFUNCTION("""COMPUTED_VALUE"""),"https://drive.google.com/open?id=17WsVvW0lC1D4xq2_GPl-KUkUAN8-Rb7M")</f>
        <v>https://drive.google.com/open?id=17WsVvW0lC1D4xq2_GPl-KUkUAN8-Rb7M</v>
      </c>
      <c r="V130" s="10"/>
      <c r="W130" s="10"/>
      <c r="X130" s="10" t="str">
        <f>IFERROR(__xludf.DUMMYFUNCTION("""COMPUTED_VALUE"""),"Yes")</f>
        <v>Yes</v>
      </c>
      <c r="Y130" s="14" t="str">
        <f>IFERROR(__xludf.DUMMYFUNCTION("""COMPUTED_VALUE"""),"subhan.zulaied@gmail.com")</f>
        <v>subhan.zulaied@gmail.com</v>
      </c>
      <c r="AA130" s="325">
        <v>1.0</v>
      </c>
    </row>
    <row r="131" hidden="1">
      <c r="A131" s="9">
        <f>IFERROR(__xludf.DUMMYFUNCTION("""COMPUTED_VALUE"""),45772.30774936343)</f>
        <v>45772.30775</v>
      </c>
      <c r="B131" s="10" t="str">
        <f>IFERROR(__xludf.DUMMYFUNCTION("""COMPUTED_VALUE"""),"M Haseeb ")</f>
        <v>M Haseeb </v>
      </c>
      <c r="C131" s="10" t="str">
        <f>IFERROR(__xludf.DUMMYFUNCTION("""COMPUTED_VALUE"""),"03262232424")</f>
        <v>03262232424</v>
      </c>
      <c r="D131" s="10" t="str">
        <f>IFERROR(__xludf.DUMMYFUNCTION("""COMPUTED_VALUE"""),"jamia masjid hazrat syed charag ali shah")</f>
        <v>jamia masjid hazrat syed charag ali shah</v>
      </c>
      <c r="E131" s="10" t="str">
        <f>IFERROR(__xludf.DUMMYFUNCTION("""COMPUTED_VALUE"""),"vmezu")</f>
        <v>vmezu</v>
      </c>
      <c r="F131" s="10">
        <f>IFERROR(__xludf.DUMMYFUNCTION("""COMPUTED_VALUE"""),710.0)</f>
        <v>710</v>
      </c>
      <c r="G131" s="10">
        <f>IFERROR(__xludf.DUMMYFUNCTION("""COMPUTED_VALUE"""),8.0)</f>
        <v>8</v>
      </c>
      <c r="H131" s="10">
        <f>IFERROR(__xludf.DUMMYFUNCTION("""COMPUTED_VALUE"""),8.0)</f>
        <v>8</v>
      </c>
      <c r="I131" s="10">
        <f>IFERROR(__xludf.DUMMYFUNCTION("""COMPUTED_VALUE"""),2.0)</f>
        <v>2</v>
      </c>
      <c r="J131" s="10" t="str">
        <f>IFERROR(__xludf.DUMMYFUNCTION("""COMPUTED_VALUE"""),"0000")</f>
        <v>0000</v>
      </c>
      <c r="K131" s="10" t="str">
        <f>IFERROR(__xludf.DUMMYFUNCTION("""COMPUTED_VALUE"""),"No")</f>
        <v>No</v>
      </c>
      <c r="L131" s="10" t="str">
        <f>IFERROR(__xludf.DUMMYFUNCTION("""COMPUTED_VALUE"""),"yes")</f>
        <v>yes</v>
      </c>
      <c r="M131" s="10">
        <f>IFERROR(__xludf.DUMMYFUNCTION("""COMPUTED_VALUE"""),10.0)</f>
        <v>10</v>
      </c>
      <c r="N131" s="10" t="str">
        <f>IFERROR(__xludf.DUMMYFUNCTION("""COMPUTED_VALUE"""),"No")</f>
        <v>No</v>
      </c>
      <c r="O131" s="10"/>
      <c r="P131" s="10"/>
      <c r="Q131" s="10"/>
      <c r="R131" s="10"/>
      <c r="S131" s="18" t="str">
        <f>IFERROR(__xludf.DUMMYFUNCTION("""COMPUTED_VALUE"""),"https://drive.google.com/open?id=1RjqIfNBh1CeINdtVOjTEwfuNne7kw5jk")</f>
        <v>https://drive.google.com/open?id=1RjqIfNBh1CeINdtVOjTEwfuNne7kw5jk</v>
      </c>
      <c r="T131" s="18" t="str">
        <f>IFERROR(__xludf.DUMMYFUNCTION("""COMPUTED_VALUE"""),"https://drive.google.com/open?id=1GD22A9LWhUXTzs-dlaA9HmPHQhfyBi_J")</f>
        <v>https://drive.google.com/open?id=1GD22A9LWhUXTzs-dlaA9HmPHQhfyBi_J</v>
      </c>
      <c r="U131" s="18" t="str">
        <f>IFERROR(__xludf.DUMMYFUNCTION("""COMPUTED_VALUE"""),"https://drive.google.com/open?id=1jPo9Fgose9IPb34EDwrkXK9q8wJkk4UX")</f>
        <v>https://drive.google.com/open?id=1jPo9Fgose9IPb34EDwrkXK9q8wJkk4UX</v>
      </c>
      <c r="V131" s="10" t="str">
        <f>IFERROR(__xludf.DUMMYFUNCTION("""COMPUTED_VALUE"""),"masjid ma pena wala pani ka intazam ni tha")</f>
        <v>masjid ma pena wala pani ka intazam ni tha</v>
      </c>
      <c r="W131" s="10"/>
      <c r="X131" s="10"/>
      <c r="Y131" s="14" t="str">
        <f>IFERROR(__xludf.DUMMYFUNCTION("""COMPUTED_VALUE"""),"haseebhamidofficial@gmail.com")</f>
        <v>haseebhamidofficial@gmail.com</v>
      </c>
      <c r="AA131" s="325">
        <v>3.0</v>
      </c>
    </row>
    <row r="132" hidden="1">
      <c r="A132" s="9">
        <f>IFERROR(__xludf.DUMMYFUNCTION("""COMPUTED_VALUE"""),45772.31242598379)</f>
        <v>45772.31243</v>
      </c>
      <c r="B132" s="10" t="str">
        <f>IFERROR(__xludf.DUMMYFUNCTION("""COMPUTED_VALUE"""),"Muhammad Bakhsh")</f>
        <v>Muhammad Bakhsh</v>
      </c>
      <c r="C132" s="10" t="str">
        <f>IFERROR(__xludf.DUMMYFUNCTION("""COMPUTED_VALUE"""),"03455751506")</f>
        <v>03455751506</v>
      </c>
      <c r="D132" s="10" t="str">
        <f>IFERROR(__xludf.DUMMYFUNCTION("""COMPUTED_VALUE"""),"Markzi Jamia Masjid Railway Road Mandi Bahauddin ")</f>
        <v>Markzi Jamia Masjid Railway Road Mandi Bahauddin </v>
      </c>
      <c r="E132" s="10" t="str">
        <f>IFERROR(__xludf.DUMMYFUNCTION("""COMPUTED_VALUE"""),"IPMEE")</f>
        <v>IPMEE</v>
      </c>
      <c r="F132" s="10">
        <f>IFERROR(__xludf.DUMMYFUNCTION("""COMPUTED_VALUE"""),600.0)</f>
        <v>600</v>
      </c>
      <c r="G132" s="10">
        <f>IFERROR(__xludf.DUMMYFUNCTION("""COMPUTED_VALUE"""),9.0)</f>
        <v>9</v>
      </c>
      <c r="H132" s="10">
        <f>IFERROR(__xludf.DUMMYFUNCTION("""COMPUTED_VALUE"""),7.0)</f>
        <v>7</v>
      </c>
      <c r="I132" s="10" t="str">
        <f>IFERROR(__xludf.DUMMYFUNCTION("""COMPUTED_VALUE"""),"One")</f>
        <v>One</v>
      </c>
      <c r="J132" s="10">
        <f>IFERROR(__xludf.DUMMYFUNCTION("""COMPUTED_VALUE"""),1933.0)</f>
        <v>1933</v>
      </c>
      <c r="K132" s="10" t="str">
        <f>IFERROR(__xludf.DUMMYFUNCTION("""COMPUTED_VALUE"""),"No")</f>
        <v>No</v>
      </c>
      <c r="L132" s="10" t="str">
        <f>IFERROR(__xludf.DUMMYFUNCTION("""COMPUTED_VALUE"""),"No")</f>
        <v>No</v>
      </c>
      <c r="M132" s="10">
        <f>IFERROR(__xludf.DUMMYFUNCTION("""COMPUTED_VALUE"""),10.0)</f>
        <v>10</v>
      </c>
      <c r="N132" s="10" t="str">
        <f>IFERROR(__xludf.DUMMYFUNCTION("""COMPUTED_VALUE"""),"No")</f>
        <v>No</v>
      </c>
      <c r="O132" s="10"/>
      <c r="P132" s="10"/>
      <c r="Q132" s="10"/>
      <c r="R132" s="10"/>
      <c r="S132" s="18" t="str">
        <f>IFERROR(__xludf.DUMMYFUNCTION("""COMPUTED_VALUE"""),"https://drive.google.com/open?id=1WI5vLCQK1r5Mn01yJfUfAWKGBSCA-urO")</f>
        <v>https://drive.google.com/open?id=1WI5vLCQK1r5Mn01yJfUfAWKGBSCA-urO</v>
      </c>
      <c r="T132" s="10" t="str">
        <f>IFERROR(__xludf.DUMMYFUNCTION("""COMPUTED_VALUE"""),"https://drive.google.com/open?id=1yBAs75IR4J8fbY4CQ8-51yvf149fOCD-, https://drive.google.com/open?id=1BK9N1IPOhg52CyF3d51axYbs2skZxYB0")</f>
        <v>https://drive.google.com/open?id=1yBAs75IR4J8fbY4CQ8-51yvf149fOCD-, https://drive.google.com/open?id=1BK9N1IPOhg52CyF3d51axYbs2skZxYB0</v>
      </c>
      <c r="U132" s="18" t="str">
        <f>IFERROR(__xludf.DUMMYFUNCTION("""COMPUTED_VALUE"""),"https://drive.google.com/open?id=1Bld_IDtCUwyQlJPSC2McoKf-bR1dCGE9")</f>
        <v>https://drive.google.com/open?id=1Bld_IDtCUwyQlJPSC2McoKf-bR1dCGE9</v>
      </c>
      <c r="V132" s="10"/>
      <c r="W132" s="10"/>
      <c r="X132" s="10"/>
      <c r="Y132" s="14" t="str">
        <f>IFERROR(__xludf.DUMMYFUNCTION("""COMPUTED_VALUE"""),"mb.gondal2016@gmail.com")</f>
        <v>mb.gondal2016@gmail.com</v>
      </c>
      <c r="AA132" s="325">
        <v>1.0</v>
      </c>
    </row>
    <row r="133" hidden="1">
      <c r="A133" s="9">
        <f>IFERROR(__xludf.DUMMYFUNCTION("""COMPUTED_VALUE"""),45772.32520446759)</f>
        <v>45772.3252</v>
      </c>
      <c r="B133" s="10" t="str">
        <f>IFERROR(__xludf.DUMMYFUNCTION("""COMPUTED_VALUE"""),"Mohsin Raza ")</f>
        <v>Mohsin Raza </v>
      </c>
      <c r="C133" s="10" t="str">
        <f>IFERROR(__xludf.DUMMYFUNCTION("""COMPUTED_VALUE"""),"03014497860")</f>
        <v>03014497860</v>
      </c>
      <c r="D133" s="10" t="str">
        <f>IFERROR(__xludf.DUMMYFUNCTION("""COMPUTED_VALUE"""),"Jamia Masjid Imam bargah kalan kacheri sheikhupura ")</f>
        <v>Jamia Masjid Imam bargah kalan kacheri sheikhupura </v>
      </c>
      <c r="E133" s="10" t="str">
        <f>IFERROR(__xludf.DUMMYFUNCTION("""COMPUTED_VALUE"""),"UPUVS")</f>
        <v>UPUVS</v>
      </c>
      <c r="F133" s="10">
        <f>IFERROR(__xludf.DUMMYFUNCTION("""COMPUTED_VALUE"""),220.0)</f>
        <v>220</v>
      </c>
      <c r="G133" s="10">
        <f>IFERROR(__xludf.DUMMYFUNCTION("""COMPUTED_VALUE"""),5.0)</f>
        <v>5</v>
      </c>
      <c r="H133" s="10">
        <f>IFERROR(__xludf.DUMMYFUNCTION("""COMPUTED_VALUE"""),5.0)</f>
        <v>5</v>
      </c>
      <c r="I133" s="10">
        <f>IFERROR(__xludf.DUMMYFUNCTION("""COMPUTED_VALUE"""),2.0)</f>
        <v>2</v>
      </c>
      <c r="J133" s="10" t="str">
        <f>IFERROR(__xludf.DUMMYFUNCTION("""COMPUTED_VALUE"""),"زیر تعمیر ")</f>
        <v>زیر تعمیر </v>
      </c>
      <c r="K133" s="10" t="str">
        <f>IFERROR(__xludf.DUMMYFUNCTION("""COMPUTED_VALUE"""),"Yes")</f>
        <v>Yes</v>
      </c>
      <c r="L133" s="10" t="str">
        <f>IFERROR(__xludf.DUMMYFUNCTION("""COMPUTED_VALUE"""),"No")</f>
        <v>No</v>
      </c>
      <c r="M133" s="10">
        <f>IFERROR(__xludf.DUMMYFUNCTION("""COMPUTED_VALUE"""),5.0)</f>
        <v>5</v>
      </c>
      <c r="N133" s="10" t="str">
        <f>IFERROR(__xludf.DUMMYFUNCTION("""COMPUTED_VALUE"""),"Yes")</f>
        <v>Yes</v>
      </c>
      <c r="O133" s="323">
        <f>IFERROR(__xludf.DUMMYFUNCTION("""COMPUTED_VALUE"""),0.5)</f>
        <v>0.5</v>
      </c>
      <c r="P133" s="10">
        <f>IFERROR(__xludf.DUMMYFUNCTION("""COMPUTED_VALUE"""),5.0)</f>
        <v>5</v>
      </c>
      <c r="Q133" s="10">
        <f>IFERROR(__xludf.DUMMYFUNCTION("""COMPUTED_VALUE"""),5.0)</f>
        <v>5</v>
      </c>
      <c r="R133" s="10">
        <f>IFERROR(__xludf.DUMMYFUNCTION("""COMPUTED_VALUE"""),5.0)</f>
        <v>5</v>
      </c>
      <c r="S133" s="18" t="str">
        <f>IFERROR(__xludf.DUMMYFUNCTION("""COMPUTED_VALUE"""),"https://drive.google.com/open?id=1jpdU5xvfyzONBWcYrJ7f4VhTNJsNkLIz")</f>
        <v>https://drive.google.com/open?id=1jpdU5xvfyzONBWcYrJ7f4VhTNJsNkLIz</v>
      </c>
      <c r="T133" s="18" t="str">
        <f>IFERROR(__xludf.DUMMYFUNCTION("""COMPUTED_VALUE"""),"https://drive.google.com/open?id=1UjWAJmpCo9RgVGd2hP_XqukvCJaLTQka")</f>
        <v>https://drive.google.com/open?id=1UjWAJmpCo9RgVGd2hP_XqukvCJaLTQka</v>
      </c>
      <c r="U133" s="18" t="str">
        <f>IFERROR(__xludf.DUMMYFUNCTION("""COMPUTED_VALUE"""),"https://drive.google.com/open?id=1n6_LK-XExxokeY5R157brhnv04pvjsob")</f>
        <v>https://drive.google.com/open?id=1n6_LK-XExxokeY5R157brhnv04pvjsob</v>
      </c>
      <c r="V133" s="10"/>
      <c r="W133" s="10"/>
      <c r="X133" s="10" t="str">
        <f>IFERROR(__xludf.DUMMYFUNCTION("""COMPUTED_VALUE"""),"Yes")</f>
        <v>Yes</v>
      </c>
      <c r="Y133" s="14" t="str">
        <f>IFERROR(__xludf.DUMMYFUNCTION("""COMPUTED_VALUE"""),"mohsingchatha@gmail.com")</f>
        <v>mohsingchatha@gmail.com</v>
      </c>
      <c r="AA133" s="325">
        <v>2.0</v>
      </c>
    </row>
    <row r="134" hidden="1">
      <c r="A134" s="9">
        <f>IFERROR(__xludf.DUMMYFUNCTION("""COMPUTED_VALUE"""),45772.33371269676)</f>
        <v>45772.33371</v>
      </c>
      <c r="B134" s="10" t="str">
        <f>IFERROR(__xludf.DUMMYFUNCTION("""COMPUTED_VALUE"""),"Abdulqayyum ")</f>
        <v>Abdulqayyum </v>
      </c>
      <c r="C134" s="10" t="str">
        <f>IFERROR(__xludf.DUMMYFUNCTION("""COMPUTED_VALUE"""),"03064458620")</f>
        <v>03064458620</v>
      </c>
      <c r="D134" s="10" t="str">
        <f>IFERROR(__xludf.DUMMYFUNCTION("""COMPUTED_VALUE"""),"Jamia Masjid Darbar Abdul Salam chishti Musroor Shakargarh")</f>
        <v>Jamia Masjid Darbar Abdul Salam chishti Musroor Shakargarh</v>
      </c>
      <c r="E134" s="10" t="str">
        <f>IFERROR(__xludf.DUMMYFUNCTION("""COMPUTED_VALUE"""),"DGOHD")</f>
        <v>DGOHD</v>
      </c>
      <c r="F134" s="10">
        <f>IFERROR(__xludf.DUMMYFUNCTION("""COMPUTED_VALUE"""),164.0)</f>
        <v>164</v>
      </c>
      <c r="G134" s="10">
        <f>IFERROR(__xludf.DUMMYFUNCTION("""COMPUTED_VALUE"""),10.0)</f>
        <v>10</v>
      </c>
      <c r="H134" s="10">
        <f>IFERROR(__xludf.DUMMYFUNCTION("""COMPUTED_VALUE"""),10.0)</f>
        <v>10</v>
      </c>
      <c r="I134" s="10">
        <f>IFERROR(__xludf.DUMMYFUNCTION("""COMPUTED_VALUE"""),1.0)</f>
        <v>1</v>
      </c>
      <c r="J134" s="10">
        <f>IFERROR(__xludf.DUMMYFUNCTION("""COMPUTED_VALUE"""),2000.0)</f>
        <v>2000</v>
      </c>
      <c r="K134" s="10" t="str">
        <f>IFERROR(__xludf.DUMMYFUNCTION("""COMPUTED_VALUE"""),"No")</f>
        <v>No</v>
      </c>
      <c r="L134" s="10" t="str">
        <f>IFERROR(__xludf.DUMMYFUNCTION("""COMPUTED_VALUE"""),"Abdul Salam chishti ")</f>
        <v>Abdul Salam chishti </v>
      </c>
      <c r="M134" s="10">
        <f>IFERROR(__xludf.DUMMYFUNCTION("""COMPUTED_VALUE"""),9.0)</f>
        <v>9</v>
      </c>
      <c r="N134" s="10" t="str">
        <f>IFERROR(__xludf.DUMMYFUNCTION("""COMPUTED_VALUE"""),"Yes")</f>
        <v>Yes</v>
      </c>
      <c r="O134" s="323">
        <f>IFERROR(__xludf.DUMMYFUNCTION("""COMPUTED_VALUE"""),1.0)</f>
        <v>1</v>
      </c>
      <c r="P134" s="10">
        <f>IFERROR(__xludf.DUMMYFUNCTION("""COMPUTED_VALUE"""),10.0)</f>
        <v>10</v>
      </c>
      <c r="Q134" s="10">
        <f>IFERROR(__xludf.DUMMYFUNCTION("""COMPUTED_VALUE"""),1.0)</f>
        <v>1</v>
      </c>
      <c r="R134" s="10">
        <f>IFERROR(__xludf.DUMMYFUNCTION("""COMPUTED_VALUE"""),10.0)</f>
        <v>10</v>
      </c>
      <c r="S134" s="18" t="str">
        <f>IFERROR(__xludf.DUMMYFUNCTION("""COMPUTED_VALUE"""),"https://drive.google.com/open?id=1n5J6O8VFGw2AVuTlbqRcdb2o0u1_1GeY")</f>
        <v>https://drive.google.com/open?id=1n5J6O8VFGw2AVuTlbqRcdb2o0u1_1GeY</v>
      </c>
      <c r="T134" s="18" t="str">
        <f>IFERROR(__xludf.DUMMYFUNCTION("""COMPUTED_VALUE"""),"https://drive.google.com/open?id=1W9cTMzJUGIto5c2vBD81QLvkRtcDSvWG")</f>
        <v>https://drive.google.com/open?id=1W9cTMzJUGIto5c2vBD81QLvkRtcDSvWG</v>
      </c>
      <c r="U134" s="18" t="str">
        <f>IFERROR(__xludf.DUMMYFUNCTION("""COMPUTED_VALUE"""),"https://drive.google.com/open?id=1Qo8W-7qumF0eSaLqwU_4IgWEfJ9Zx5LZ")</f>
        <v>https://drive.google.com/open?id=1Qo8W-7qumF0eSaLqwU_4IgWEfJ9Zx5LZ</v>
      </c>
      <c r="V134" s="10"/>
      <c r="W134" s="10"/>
      <c r="X134" s="10" t="str">
        <f>IFERROR(__xludf.DUMMYFUNCTION("""COMPUTED_VALUE"""),"Yes")</f>
        <v>Yes</v>
      </c>
      <c r="Y134" s="14" t="str">
        <f>IFERROR(__xludf.DUMMYFUNCTION("""COMPUTED_VALUE"""),"abdulqayyum53373@gmail.com")</f>
        <v>abdulqayyum53373@gmail.com</v>
      </c>
      <c r="AA134" s="325">
        <v>1.0</v>
      </c>
    </row>
    <row r="135" hidden="1">
      <c r="A135" s="9">
        <f>IFERROR(__xludf.DUMMYFUNCTION("""COMPUTED_VALUE"""),45772.33454122685)</f>
        <v>45772.33454</v>
      </c>
      <c r="B135" s="10" t="str">
        <f>IFERROR(__xludf.DUMMYFUNCTION("""COMPUTED_VALUE"""),"Muhammad Abu Bakar ")</f>
        <v>Muhammad Abu Bakar </v>
      </c>
      <c r="C135" s="10" t="str">
        <f>IFERROR(__xludf.DUMMYFUNCTION("""COMPUTED_VALUE"""),"03420642165")</f>
        <v>03420642165</v>
      </c>
      <c r="D135" s="10" t="str">
        <f>IFERROR(__xludf.DUMMYFUNCTION("""COMPUTED_VALUE"""),"Markazi jamia Masjid Sadiq akbar")</f>
        <v>Markazi jamia Masjid Sadiq akbar</v>
      </c>
      <c r="E135" s="10" t="str">
        <f>IFERROR(__xludf.DUMMYFUNCTION("""COMPUTED_VALUE"""),"HOMVR")</f>
        <v>HOMVR</v>
      </c>
      <c r="F135" s="10">
        <f>IFERROR(__xludf.DUMMYFUNCTION("""COMPUTED_VALUE"""),70.0)</f>
        <v>70</v>
      </c>
      <c r="G135" s="10">
        <f>IFERROR(__xludf.DUMMYFUNCTION("""COMPUTED_VALUE"""),9.0)</f>
        <v>9</v>
      </c>
      <c r="H135" s="10">
        <f>IFERROR(__xludf.DUMMYFUNCTION("""COMPUTED_VALUE"""),9.0)</f>
        <v>9</v>
      </c>
      <c r="I135" s="10" t="str">
        <f>IFERROR(__xludf.DUMMYFUNCTION("""COMPUTED_VALUE"""),"No")</f>
        <v>No</v>
      </c>
      <c r="J135" s="10">
        <f>IFERROR(__xludf.DUMMYFUNCTION("""COMPUTED_VALUE"""),70.0)</f>
        <v>70</v>
      </c>
      <c r="K135" s="10" t="str">
        <f>IFERROR(__xludf.DUMMYFUNCTION("""COMPUTED_VALUE"""),"No")</f>
        <v>No</v>
      </c>
      <c r="L135" s="10" t="str">
        <f>IFERROR(__xludf.DUMMYFUNCTION("""COMPUTED_VALUE"""),"No")</f>
        <v>No</v>
      </c>
      <c r="M135" s="10">
        <f>IFERROR(__xludf.DUMMYFUNCTION("""COMPUTED_VALUE"""),9.0)</f>
        <v>9</v>
      </c>
      <c r="N135" s="10" t="str">
        <f>IFERROR(__xludf.DUMMYFUNCTION("""COMPUTED_VALUE"""),"No")</f>
        <v>No</v>
      </c>
      <c r="O135" s="10"/>
      <c r="P135" s="10"/>
      <c r="Q135" s="10"/>
      <c r="R135" s="10"/>
      <c r="S135" s="18" t="str">
        <f>IFERROR(__xludf.DUMMYFUNCTION("""COMPUTED_VALUE"""),"https://drive.google.com/open?id=1xK2pdMG5wb9sbsVRtsris_JpLwDvJpXA")</f>
        <v>https://drive.google.com/open?id=1xK2pdMG5wb9sbsVRtsris_JpLwDvJpXA</v>
      </c>
      <c r="T135" s="18" t="str">
        <f>IFERROR(__xludf.DUMMYFUNCTION("""COMPUTED_VALUE"""),"https://drive.google.com/open?id=1mWVQ1kFfZHSEw7ijRQ55f1ncF5KkcDHB")</f>
        <v>https://drive.google.com/open?id=1mWVQ1kFfZHSEw7ijRQ55f1ncF5KkcDHB</v>
      </c>
      <c r="U135" s="10"/>
      <c r="V135" s="10" t="str">
        <f>IFERROR(__xludf.DUMMYFUNCTION("""COMPUTED_VALUE"""),"No")</f>
        <v>No</v>
      </c>
      <c r="W135" s="10"/>
      <c r="X135" s="10"/>
      <c r="Y135" s="14" t="str">
        <f>IFERROR(__xludf.DUMMYFUNCTION("""COMPUTED_VALUE"""),"abub55768@gmail.com")</f>
        <v>abub55768@gmail.com</v>
      </c>
      <c r="AA135" s="325" t="s">
        <v>4</v>
      </c>
    </row>
    <row r="136" hidden="1">
      <c r="A136" s="9">
        <f>IFERROR(__xludf.DUMMYFUNCTION("""COMPUTED_VALUE"""),45772.3357322338)</f>
        <v>45772.33573</v>
      </c>
      <c r="B136" s="10" t="str">
        <f>IFERROR(__xludf.DUMMYFUNCTION("""COMPUTED_VALUE"""),"Saif ullah ")</f>
        <v>Saif ullah </v>
      </c>
      <c r="C136" s="10" t="str">
        <f>IFERROR(__xludf.DUMMYFUNCTION("""COMPUTED_VALUE"""),"03232498641")</f>
        <v>03232498641</v>
      </c>
      <c r="D136" s="10" t="str">
        <f>IFERROR(__xludf.DUMMYFUNCTION("""COMPUTED_VALUE"""),"Jamia masjid phularwan sargodha")</f>
        <v>Jamia masjid phularwan sargodha</v>
      </c>
      <c r="E136" s="10" t="str">
        <f>IFERROR(__xludf.DUMMYFUNCTION("""COMPUTED_VALUE"""),"Jtmur")</f>
        <v>Jtmur</v>
      </c>
      <c r="F136" s="10">
        <f>IFERROR(__xludf.DUMMYFUNCTION("""COMPUTED_VALUE"""),200.0)</f>
        <v>200</v>
      </c>
      <c r="G136" s="10">
        <f>IFERROR(__xludf.DUMMYFUNCTION("""COMPUTED_VALUE"""),5.0)</f>
        <v>5</v>
      </c>
      <c r="H136" s="10">
        <f>IFERROR(__xludf.DUMMYFUNCTION("""COMPUTED_VALUE"""),5.0)</f>
        <v>5</v>
      </c>
      <c r="I136" s="10">
        <f>IFERROR(__xludf.DUMMYFUNCTION("""COMPUTED_VALUE"""),0.0)</f>
        <v>0</v>
      </c>
      <c r="J136" s="10" t="str">
        <f>IFERROR(__xludf.DUMMYFUNCTION("""COMPUTED_VALUE"""),"No")</f>
        <v>No</v>
      </c>
      <c r="K136" s="10" t="str">
        <f>IFERROR(__xludf.DUMMYFUNCTION("""COMPUTED_VALUE"""),"No")</f>
        <v>No</v>
      </c>
      <c r="L136" s="10" t="str">
        <f>IFERROR(__xludf.DUMMYFUNCTION("""COMPUTED_VALUE"""),"No")</f>
        <v>No</v>
      </c>
      <c r="M136" s="10">
        <f>IFERROR(__xludf.DUMMYFUNCTION("""COMPUTED_VALUE"""),7.0)</f>
        <v>7</v>
      </c>
      <c r="N136" s="10" t="str">
        <f>IFERROR(__xludf.DUMMYFUNCTION("""COMPUTED_VALUE"""),"Yes")</f>
        <v>Yes</v>
      </c>
      <c r="O136" s="323">
        <f>IFERROR(__xludf.DUMMYFUNCTION("""COMPUTED_VALUE"""),0.5)</f>
        <v>0.5</v>
      </c>
      <c r="P136" s="10">
        <f>IFERROR(__xludf.DUMMYFUNCTION("""COMPUTED_VALUE"""),7.0)</f>
        <v>7</v>
      </c>
      <c r="Q136" s="10">
        <f>IFERROR(__xludf.DUMMYFUNCTION("""COMPUTED_VALUE"""),3.0)</f>
        <v>3</v>
      </c>
      <c r="R136" s="10">
        <f>IFERROR(__xludf.DUMMYFUNCTION("""COMPUTED_VALUE"""),5.0)</f>
        <v>5</v>
      </c>
      <c r="S136" s="18" t="str">
        <f>IFERROR(__xludf.DUMMYFUNCTION("""COMPUTED_VALUE"""),"https://drive.google.com/open?id=1WNVZRwYVuw_CP2Im9_9FVmdiig9Pe1c4")</f>
        <v>https://drive.google.com/open?id=1WNVZRwYVuw_CP2Im9_9FVmdiig9Pe1c4</v>
      </c>
      <c r="T136" s="18" t="str">
        <f>IFERROR(__xludf.DUMMYFUNCTION("""COMPUTED_VALUE"""),"https://drive.google.com/open?id=1XUBoUG7y2WhuAmWzracbbeRvDzJUqrdz")</f>
        <v>https://drive.google.com/open?id=1XUBoUG7y2WhuAmWzracbbeRvDzJUqrdz</v>
      </c>
      <c r="U136" s="18" t="str">
        <f>IFERROR(__xludf.DUMMYFUNCTION("""COMPUTED_VALUE"""),"https://drive.google.com/open?id=11F34ralsogpPnvOJ3_dtdv1-OTnrQdnS")</f>
        <v>https://drive.google.com/open?id=11F34ralsogpPnvOJ3_dtdv1-OTnrQdnS</v>
      </c>
      <c r="V136" s="10" t="str">
        <f>IFERROR(__xludf.DUMMYFUNCTION("""COMPUTED_VALUE"""),"No")</f>
        <v>No</v>
      </c>
      <c r="W136" s="10"/>
      <c r="X136" s="10" t="str">
        <f>IFERROR(__xludf.DUMMYFUNCTION("""COMPUTED_VALUE"""),"Yes")</f>
        <v>Yes</v>
      </c>
      <c r="Y136" s="14" t="str">
        <f>IFERROR(__xludf.DUMMYFUNCTION("""COMPUTED_VALUE"""),"btwitssaifi2324@gmail.com")</f>
        <v>btwitssaifi2324@gmail.com</v>
      </c>
      <c r="AA136" s="325">
        <v>1.0</v>
      </c>
    </row>
    <row r="137" hidden="1">
      <c r="A137" s="9">
        <f>IFERROR(__xludf.DUMMYFUNCTION("""COMPUTED_VALUE"""),45772.33587820602)</f>
        <v>45772.33588</v>
      </c>
      <c r="B137" s="10" t="str">
        <f>IFERROR(__xludf.DUMMYFUNCTION("""COMPUTED_VALUE"""),"Jamshaid Al")</f>
        <v>Jamshaid Al</v>
      </c>
      <c r="C137" s="10" t="str">
        <f>IFERROR(__xludf.DUMMYFUNCTION("""COMPUTED_VALUE"""),"03344036442")</f>
        <v>03344036442</v>
      </c>
      <c r="D137" s="10" t="str">
        <f>IFERROR(__xludf.DUMMYFUNCTION("""COMPUTED_VALUE"""),"Jamia Masjid Auqaf wali session court kachary sheikhupura ")</f>
        <v>Jamia Masjid Auqaf wali session court kachary sheikhupura </v>
      </c>
      <c r="E137" s="10" t="str">
        <f>IFERROR(__xludf.DUMMYFUNCTION("""COMPUTED_VALUE"""),"DSZHX")</f>
        <v>DSZHX</v>
      </c>
      <c r="F137" s="10">
        <f>IFERROR(__xludf.DUMMYFUNCTION("""COMPUTED_VALUE"""),220.0)</f>
        <v>220</v>
      </c>
      <c r="G137" s="10">
        <f>IFERROR(__xludf.DUMMYFUNCTION("""COMPUTED_VALUE"""),10.0)</f>
        <v>10</v>
      </c>
      <c r="H137" s="10">
        <f>IFERROR(__xludf.DUMMYFUNCTION("""COMPUTED_VALUE"""),9.0)</f>
        <v>9</v>
      </c>
      <c r="I137" s="10">
        <f>IFERROR(__xludf.DUMMYFUNCTION("""COMPUTED_VALUE"""),0.0)</f>
        <v>0</v>
      </c>
      <c r="J137" s="10">
        <f>IFERROR(__xludf.DUMMYFUNCTION("""COMPUTED_VALUE"""),1948.0)</f>
        <v>1948</v>
      </c>
      <c r="K137" s="10" t="str">
        <f>IFERROR(__xludf.DUMMYFUNCTION("""COMPUTED_VALUE"""),"No")</f>
        <v>No</v>
      </c>
      <c r="L137" s="10" t="str">
        <f>IFERROR(__xludf.DUMMYFUNCTION("""COMPUTED_VALUE"""),"No")</f>
        <v>No</v>
      </c>
      <c r="M137" s="10">
        <f>IFERROR(__xludf.DUMMYFUNCTION("""COMPUTED_VALUE"""),8.0)</f>
        <v>8</v>
      </c>
      <c r="N137" s="10" t="str">
        <f>IFERROR(__xludf.DUMMYFUNCTION("""COMPUTED_VALUE"""),"Yes")</f>
        <v>Yes</v>
      </c>
      <c r="O137" s="323">
        <f>IFERROR(__xludf.DUMMYFUNCTION("""COMPUTED_VALUE"""),0.5)</f>
        <v>0.5</v>
      </c>
      <c r="P137" s="10">
        <f>IFERROR(__xludf.DUMMYFUNCTION("""COMPUTED_VALUE"""),9.0)</f>
        <v>9</v>
      </c>
      <c r="Q137" s="10">
        <f>IFERROR(__xludf.DUMMYFUNCTION("""COMPUTED_VALUE"""),3.0)</f>
        <v>3</v>
      </c>
      <c r="R137" s="10">
        <f>IFERROR(__xludf.DUMMYFUNCTION("""COMPUTED_VALUE"""),9.0)</f>
        <v>9</v>
      </c>
      <c r="S137" s="10" t="str">
        <f>IFERROR(__xludf.DUMMYFUNCTION("""COMPUTED_VALUE"""),"https://drive.google.com/open?id=1HxanF587-3gnja1acmyjuMwdMnuP4l8k, https://drive.google.com/open?id=1biWfFfnRP0q23AGUpH2FK1Gsd3tYQWtq")</f>
        <v>https://drive.google.com/open?id=1HxanF587-3gnja1acmyjuMwdMnuP4l8k, https://drive.google.com/open?id=1biWfFfnRP0q23AGUpH2FK1Gsd3tYQWtq</v>
      </c>
      <c r="T137" s="18" t="str">
        <f>IFERROR(__xludf.DUMMYFUNCTION("""COMPUTED_VALUE"""),"https://drive.google.com/open?id=10mc-oRazpNONUif50yf9BsdK8rLZjGj_")</f>
        <v>https://drive.google.com/open?id=10mc-oRazpNONUif50yf9BsdK8rLZjGj_</v>
      </c>
      <c r="U137" s="18" t="str">
        <f>IFERROR(__xludf.DUMMYFUNCTION("""COMPUTED_VALUE"""),"https://drive.google.com/open?id=1z5fi8to9gw38-_ixzD_uWxh9HpPqMkCj")</f>
        <v>https://drive.google.com/open?id=1z5fi8to9gw38-_ixzD_uWxh9HpPqMkCj</v>
      </c>
      <c r="V137" s="10"/>
      <c r="W137" s="10"/>
      <c r="X137" s="10" t="str">
        <f>IFERROR(__xludf.DUMMYFUNCTION("""COMPUTED_VALUE"""),"Yes")</f>
        <v>Yes</v>
      </c>
      <c r="Y137" s="14" t="str">
        <f>IFERROR(__xludf.DUMMYFUNCTION("""COMPUTED_VALUE"""),"jamsheed.ali8888@gmail.com")</f>
        <v>jamsheed.ali8888@gmail.com</v>
      </c>
      <c r="AA137" s="325">
        <v>2.0</v>
      </c>
    </row>
    <row r="138" hidden="1">
      <c r="A138" s="9">
        <f>IFERROR(__xludf.DUMMYFUNCTION("""COMPUTED_VALUE"""),45772.340415416664)</f>
        <v>45772.34042</v>
      </c>
      <c r="B138" s="10" t="str">
        <f>IFERROR(__xludf.DUMMYFUNCTION("""COMPUTED_VALUE"""),"Hassan Farooq")</f>
        <v>Hassan Farooq</v>
      </c>
      <c r="C138" s="10" t="str">
        <f>IFERROR(__xludf.DUMMYFUNCTION("""COMPUTED_VALUE"""),"03057252835")</f>
        <v>03057252835</v>
      </c>
      <c r="D138" s="10" t="str">
        <f>IFERROR(__xludf.DUMMYFUNCTION("""COMPUTED_VALUE"""),"مرکزی جامع مسجد اہلِ سنت والجماعت")</f>
        <v>مرکزی جامع مسجد اہلِ سنت والجماعت</v>
      </c>
      <c r="E138" s="10" t="str">
        <f>IFERROR(__xludf.DUMMYFUNCTION("""COMPUTED_VALUE"""),"obntr")</f>
        <v>obntr</v>
      </c>
      <c r="F138" s="10">
        <f>IFERROR(__xludf.DUMMYFUNCTION("""COMPUTED_VALUE"""),200.0)</f>
        <v>200</v>
      </c>
      <c r="G138" s="10">
        <f>IFERROR(__xludf.DUMMYFUNCTION("""COMPUTED_VALUE"""),6.0)</f>
        <v>6</v>
      </c>
      <c r="H138" s="10">
        <f>IFERROR(__xludf.DUMMYFUNCTION("""COMPUTED_VALUE"""),5.0)</f>
        <v>5</v>
      </c>
      <c r="I138" s="10">
        <f>IFERROR(__xludf.DUMMYFUNCTION("""COMPUTED_VALUE"""),2.0)</f>
        <v>2</v>
      </c>
      <c r="J138" s="10" t="str">
        <f>IFERROR(__xludf.DUMMYFUNCTION("""COMPUTED_VALUE"""),"No ")</f>
        <v>No </v>
      </c>
      <c r="K138" s="10" t="str">
        <f>IFERROR(__xludf.DUMMYFUNCTION("""COMPUTED_VALUE"""),"No")</f>
        <v>No</v>
      </c>
      <c r="L138" s="10" t="str">
        <f>IFERROR(__xludf.DUMMYFUNCTION("""COMPUTED_VALUE"""),"no")</f>
        <v>no</v>
      </c>
      <c r="M138" s="10">
        <f>IFERROR(__xludf.DUMMYFUNCTION("""COMPUTED_VALUE"""),8.0)</f>
        <v>8</v>
      </c>
      <c r="N138" s="10" t="str">
        <f>IFERROR(__xludf.DUMMYFUNCTION("""COMPUTED_VALUE"""),"Yes")</f>
        <v>Yes</v>
      </c>
      <c r="O138" s="323">
        <f>IFERROR(__xludf.DUMMYFUNCTION("""COMPUTED_VALUE"""),0.7)</f>
        <v>0.7</v>
      </c>
      <c r="P138" s="10">
        <f>IFERROR(__xludf.DUMMYFUNCTION("""COMPUTED_VALUE"""),8.0)</f>
        <v>8</v>
      </c>
      <c r="Q138" s="10">
        <f>IFERROR(__xludf.DUMMYFUNCTION("""COMPUTED_VALUE"""),1.0)</f>
        <v>1</v>
      </c>
      <c r="R138" s="10">
        <f>IFERROR(__xludf.DUMMYFUNCTION("""COMPUTED_VALUE"""),8.0)</f>
        <v>8</v>
      </c>
      <c r="S138" s="18" t="str">
        <f>IFERROR(__xludf.DUMMYFUNCTION("""COMPUTED_VALUE"""),"https://drive.google.com/open?id=14mEnx_pyiqNGAK6izg95pmJEcIRt8LDQ")</f>
        <v>https://drive.google.com/open?id=14mEnx_pyiqNGAK6izg95pmJEcIRt8LDQ</v>
      </c>
      <c r="T138" s="18" t="str">
        <f>IFERROR(__xludf.DUMMYFUNCTION("""COMPUTED_VALUE"""),"https://drive.google.com/open?id=1TjcN9mTneladIePIrNoZFTs5Tc3Rcls3")</f>
        <v>https://drive.google.com/open?id=1TjcN9mTneladIePIrNoZFTs5Tc3Rcls3</v>
      </c>
      <c r="U138" s="18" t="str">
        <f>IFERROR(__xludf.DUMMYFUNCTION("""COMPUTED_VALUE"""),"https://drive.google.com/open?id=1Sx56JWlqXnN_rDmo7FlIlzxA2JFQQvYK")</f>
        <v>https://drive.google.com/open?id=1Sx56JWlqXnN_rDmo7FlIlzxA2JFQQvYK</v>
      </c>
      <c r="V138" s="10"/>
      <c r="W138" s="10"/>
      <c r="X138" s="10" t="str">
        <f>IFERROR(__xludf.DUMMYFUNCTION("""COMPUTED_VALUE"""),"Yes")</f>
        <v>Yes</v>
      </c>
      <c r="Y138" s="14" t="str">
        <f>IFERROR(__xludf.DUMMYFUNCTION("""COMPUTED_VALUE"""),"hassanmalik00100200@gmail.com")</f>
        <v>hassanmalik00100200@gmail.com</v>
      </c>
      <c r="AA138" s="325">
        <v>1.0</v>
      </c>
    </row>
    <row r="139" hidden="1">
      <c r="A139" s="9">
        <f>IFERROR(__xludf.DUMMYFUNCTION("""COMPUTED_VALUE"""),45772.34248651621)</f>
        <v>45772.34249</v>
      </c>
      <c r="B139" s="10" t="str">
        <f>IFERROR(__xludf.DUMMYFUNCTION("""COMPUTED_VALUE"""),"Sohail asghar bhatti ")</f>
        <v>Sohail asghar bhatti </v>
      </c>
      <c r="C139" s="10" t="str">
        <f>IFERROR(__xludf.DUMMYFUNCTION("""COMPUTED_VALUE"""),"03017982931")</f>
        <v>03017982931</v>
      </c>
      <c r="D139" s="10" t="str">
        <f>IFERROR(__xludf.DUMMYFUNCTION("""COMPUTED_VALUE"""),"Jamia masjid qalandar shah ")</f>
        <v>Jamia masjid qalandar shah </v>
      </c>
      <c r="E139" s="10" t="str">
        <f>IFERROR(__xludf.DUMMYFUNCTION("""COMPUTED_VALUE"""),"CKLBK")</f>
        <v>CKLBK</v>
      </c>
      <c r="F139" s="10">
        <f>IFERROR(__xludf.DUMMYFUNCTION("""COMPUTED_VALUE"""),247.0)</f>
        <v>247</v>
      </c>
      <c r="G139" s="10">
        <f>IFERROR(__xludf.DUMMYFUNCTION("""COMPUTED_VALUE"""),8.0)</f>
        <v>8</v>
      </c>
      <c r="H139" s="10">
        <f>IFERROR(__xludf.DUMMYFUNCTION("""COMPUTED_VALUE"""),8.0)</f>
        <v>8</v>
      </c>
      <c r="I139" s="10">
        <f>IFERROR(__xludf.DUMMYFUNCTION("""COMPUTED_VALUE"""),1.0)</f>
        <v>1</v>
      </c>
      <c r="J139" s="10">
        <f>IFERROR(__xludf.DUMMYFUNCTION("""COMPUTED_VALUE"""),1951.0)</f>
        <v>1951</v>
      </c>
      <c r="K139" s="10" t="str">
        <f>IFERROR(__xludf.DUMMYFUNCTION("""COMPUTED_VALUE"""),"No")</f>
        <v>No</v>
      </c>
      <c r="L139" s="10" t="str">
        <f>IFERROR(__xludf.DUMMYFUNCTION("""COMPUTED_VALUE"""),"Qalandar shah ")</f>
        <v>Qalandar shah </v>
      </c>
      <c r="M139" s="10">
        <f>IFERROR(__xludf.DUMMYFUNCTION("""COMPUTED_VALUE"""),10.0)</f>
        <v>10</v>
      </c>
      <c r="N139" s="10" t="str">
        <f>IFERROR(__xludf.DUMMYFUNCTION("""COMPUTED_VALUE"""),"No")</f>
        <v>No</v>
      </c>
      <c r="O139" s="10"/>
      <c r="P139" s="10"/>
      <c r="Q139" s="10"/>
      <c r="R139" s="10"/>
      <c r="S139" s="18" t="str">
        <f>IFERROR(__xludf.DUMMYFUNCTION("""COMPUTED_VALUE"""),"https://drive.google.com/open?id=1WEgKIYTZFLgYTLL-hdifPMuuEDmcrKw_")</f>
        <v>https://drive.google.com/open?id=1WEgKIYTZFLgYTLL-hdifPMuuEDmcrKw_</v>
      </c>
      <c r="T139" s="18" t="str">
        <f>IFERROR(__xludf.DUMMYFUNCTION("""COMPUTED_VALUE"""),"https://drive.google.com/open?id=1nE4iBk7QpNF1l5lGKBkIVnIAN6TQ-E8Y")</f>
        <v>https://drive.google.com/open?id=1nE4iBk7QpNF1l5lGKBkIVnIAN6TQ-E8Y</v>
      </c>
      <c r="U139" s="18" t="str">
        <f>IFERROR(__xludf.DUMMYFUNCTION("""COMPUTED_VALUE"""),"https://drive.google.com/open?id=1NaBoTwNPxWAvJNhkP_SzWp1UAREFmDKY")</f>
        <v>https://drive.google.com/open?id=1NaBoTwNPxWAvJNhkP_SzWp1UAREFmDKY</v>
      </c>
      <c r="V139" s="10" t="str">
        <f>IFERROR(__xludf.DUMMYFUNCTION("""COMPUTED_VALUE"""),"No")</f>
        <v>No</v>
      </c>
      <c r="W139" s="10"/>
      <c r="X139" s="10"/>
      <c r="Y139" s="14" t="str">
        <f>IFERROR(__xludf.DUMMYFUNCTION("""COMPUTED_VALUE"""),"sohailbhai34657788@gmail.com")</f>
        <v>sohailbhai34657788@gmail.com</v>
      </c>
      <c r="AA139" s="325">
        <v>2.0</v>
      </c>
    </row>
    <row r="140" hidden="1">
      <c r="A140" s="9">
        <f>IFERROR(__xludf.DUMMYFUNCTION("""COMPUTED_VALUE"""),45772.34793725694)</f>
        <v>45772.34794</v>
      </c>
      <c r="B140" s="10" t="str">
        <f>IFERROR(__xludf.DUMMYFUNCTION("""COMPUTED_VALUE"""),"Hafiz Muhammad Asif ")</f>
        <v>Hafiz Muhammad Asif </v>
      </c>
      <c r="C140" s="10" t="str">
        <f>IFERROR(__xludf.DUMMYFUNCTION("""COMPUTED_VALUE"""),"03318421006")</f>
        <v>03318421006</v>
      </c>
      <c r="D140" s="10" t="str">
        <f>IFERROR(__xludf.DUMMYFUNCTION("""COMPUTED_VALUE"""),"Jamia Masjid Railway Road Sheikhupura ")</f>
        <v>Jamia Masjid Railway Road Sheikhupura </v>
      </c>
      <c r="E140" s="10" t="str">
        <f>IFERROR(__xludf.DUMMYFUNCTION("""COMPUTED_VALUE"""),"INGWH")</f>
        <v>INGWH</v>
      </c>
      <c r="F140" s="10">
        <f>IFERROR(__xludf.DUMMYFUNCTION("""COMPUTED_VALUE"""),1050.0)</f>
        <v>1050</v>
      </c>
      <c r="G140" s="10">
        <f>IFERROR(__xludf.DUMMYFUNCTION("""COMPUTED_VALUE"""),7.0)</f>
        <v>7</v>
      </c>
      <c r="H140" s="10">
        <f>IFERROR(__xludf.DUMMYFUNCTION("""COMPUTED_VALUE"""),5.0)</f>
        <v>5</v>
      </c>
      <c r="I140" s="10" t="str">
        <f>IFERROR(__xludf.DUMMYFUNCTION("""COMPUTED_VALUE"""),"3 ڈھیر اینٹوں کے تجاوزات گرانے کی وجہ سے ")</f>
        <v>3 ڈھیر اینٹوں کے تجاوزات گرانے کی وجہ سے </v>
      </c>
      <c r="J140" s="10">
        <f>IFERROR(__xludf.DUMMYFUNCTION("""COMPUTED_VALUE"""),1925.0)</f>
        <v>1925</v>
      </c>
      <c r="K140" s="10" t="str">
        <f>IFERROR(__xludf.DUMMYFUNCTION("""COMPUTED_VALUE"""),"No")</f>
        <v>No</v>
      </c>
      <c r="L140" s="10" t="str">
        <f>IFERROR(__xludf.DUMMYFUNCTION("""COMPUTED_VALUE"""),"Koi nahi")</f>
        <v>Koi nahi</v>
      </c>
      <c r="M140" s="10">
        <f>IFERROR(__xludf.DUMMYFUNCTION("""COMPUTED_VALUE"""),10.0)</f>
        <v>10</v>
      </c>
      <c r="N140" s="10" t="str">
        <f>IFERROR(__xludf.DUMMYFUNCTION("""COMPUTED_VALUE"""),"Yes")</f>
        <v>Yes</v>
      </c>
      <c r="O140" s="323">
        <f>IFERROR(__xludf.DUMMYFUNCTION("""COMPUTED_VALUE"""),1.0)</f>
        <v>1</v>
      </c>
      <c r="P140" s="10">
        <f>IFERROR(__xludf.DUMMYFUNCTION("""COMPUTED_VALUE"""),10.0)</f>
        <v>10</v>
      </c>
      <c r="Q140" s="10">
        <f>IFERROR(__xludf.DUMMYFUNCTION("""COMPUTED_VALUE"""),10.0)</f>
        <v>10</v>
      </c>
      <c r="R140" s="10">
        <f>IFERROR(__xludf.DUMMYFUNCTION("""COMPUTED_VALUE"""),10.0)</f>
        <v>10</v>
      </c>
      <c r="S140" s="10" t="str">
        <f>IFERROR(__xludf.DUMMYFUNCTION("""COMPUTED_VALUE"""),"https://drive.google.com/open?id=1DPQiKTCDg47aQzN82QCm_yFofsyDFdRs, https://drive.google.com/open?id=1Ycw1wGQPmssuVPb4VXohiJg0EX47D_pZ")</f>
        <v>https://drive.google.com/open?id=1DPQiKTCDg47aQzN82QCm_yFofsyDFdRs, https://drive.google.com/open?id=1Ycw1wGQPmssuVPb4VXohiJg0EX47D_pZ</v>
      </c>
      <c r="T140" s="18" t="str">
        <f>IFERROR(__xludf.DUMMYFUNCTION("""COMPUTED_VALUE"""),"https://drive.google.com/open?id=1fFgncUQglyLTntCU_VuryJlA-NYo7DsV")</f>
        <v>https://drive.google.com/open?id=1fFgncUQglyLTntCU_VuryJlA-NYo7DsV</v>
      </c>
      <c r="U140" s="18" t="str">
        <f>IFERROR(__xludf.DUMMYFUNCTION("""COMPUTED_VALUE"""),"https://drive.google.com/open?id=1CYKF5WRY6qLQcENpDGzQxu2JJMqdh_0T")</f>
        <v>https://drive.google.com/open?id=1CYKF5WRY6qLQcENpDGzQxu2JJMqdh_0T</v>
      </c>
      <c r="V140" s="10"/>
      <c r="W140" s="10"/>
      <c r="X140" s="10" t="str">
        <f>IFERROR(__xludf.DUMMYFUNCTION("""COMPUTED_VALUE"""),"Yes")</f>
        <v>Yes</v>
      </c>
      <c r="Y140" s="14" t="str">
        <f>IFERROR(__xludf.DUMMYFUNCTION("""COMPUTED_VALUE"""),"saqiasif98@gmail.com")</f>
        <v>saqiasif98@gmail.com</v>
      </c>
      <c r="AA140" s="325">
        <v>2.0</v>
      </c>
    </row>
    <row r="141" hidden="1">
      <c r="A141" s="9">
        <f>IFERROR(__xludf.DUMMYFUNCTION("""COMPUTED_VALUE"""),45772.36035416667)</f>
        <v>45772.36035</v>
      </c>
      <c r="B141" s="10" t="str">
        <f>IFERROR(__xludf.DUMMYFUNCTION("""COMPUTED_VALUE"""),"Husnain Ali bhatti ")</f>
        <v>Husnain Ali bhatti </v>
      </c>
      <c r="C141" s="10" t="str">
        <f>IFERROR(__xludf.DUMMYFUNCTION("""COMPUTED_VALUE"""),"03444433036")</f>
        <v>03444433036</v>
      </c>
      <c r="D141" s="10" t="str">
        <f>IFERROR(__xludf.DUMMYFUNCTION("""COMPUTED_VALUE"""),"Jamia masjid Musa Dewan ")</f>
        <v>Jamia masjid Musa Dewan </v>
      </c>
      <c r="E141" s="10" t="str">
        <f>IFERROR(__xludf.DUMMYFUNCTION("""COMPUTED_VALUE"""),"ZJBWK")</f>
        <v>ZJBWK</v>
      </c>
      <c r="F141" s="10">
        <f>IFERROR(__xludf.DUMMYFUNCTION("""COMPUTED_VALUE"""),180.0)</f>
        <v>180</v>
      </c>
      <c r="G141" s="10">
        <f>IFERROR(__xludf.DUMMYFUNCTION("""COMPUTED_VALUE"""),8.0)</f>
        <v>8</v>
      </c>
      <c r="H141" s="10">
        <f>IFERROR(__xludf.DUMMYFUNCTION("""COMPUTED_VALUE"""),8.0)</f>
        <v>8</v>
      </c>
      <c r="I141" s="10">
        <f>IFERROR(__xludf.DUMMYFUNCTION("""COMPUTED_VALUE"""),1.0)</f>
        <v>1</v>
      </c>
      <c r="J141" s="10">
        <f>IFERROR(__xludf.DUMMYFUNCTION("""COMPUTED_VALUE"""),1925.0)</f>
        <v>1925</v>
      </c>
      <c r="K141" s="10" t="str">
        <f>IFERROR(__xludf.DUMMYFUNCTION("""COMPUTED_VALUE"""),"No")</f>
        <v>No</v>
      </c>
      <c r="L141" s="10" t="str">
        <f>IFERROR(__xludf.DUMMYFUNCTION("""COMPUTED_VALUE"""),"Shah Musa Dewan ")</f>
        <v>Shah Musa Dewan </v>
      </c>
      <c r="M141" s="10">
        <f>IFERROR(__xludf.DUMMYFUNCTION("""COMPUTED_VALUE"""),10.0)</f>
        <v>10</v>
      </c>
      <c r="N141" s="10" t="str">
        <f>IFERROR(__xludf.DUMMYFUNCTION("""COMPUTED_VALUE"""),"No")</f>
        <v>No</v>
      </c>
      <c r="O141" s="10"/>
      <c r="P141" s="10"/>
      <c r="Q141" s="10"/>
      <c r="R141" s="10"/>
      <c r="S141" s="18" t="str">
        <f>IFERROR(__xludf.DUMMYFUNCTION("""COMPUTED_VALUE"""),"https://drive.google.com/open?id=1xNw8Yk6hhh-FRLpIEAo2cQ8RaLXcWGNJ")</f>
        <v>https://drive.google.com/open?id=1xNw8Yk6hhh-FRLpIEAo2cQ8RaLXcWGNJ</v>
      </c>
      <c r="T141" s="18" t="str">
        <f>IFERROR(__xludf.DUMMYFUNCTION("""COMPUTED_VALUE"""),"https://drive.google.com/open?id=1uUIzKapQdCufoyAjwHNwB8NuhMc8aHTA")</f>
        <v>https://drive.google.com/open?id=1uUIzKapQdCufoyAjwHNwB8NuhMc8aHTA</v>
      </c>
      <c r="U141" s="18" t="str">
        <f>IFERROR(__xludf.DUMMYFUNCTION("""COMPUTED_VALUE"""),"https://drive.google.com/open?id=13o8li6z9Lv1eekScnodE09racX9Y8CLR")</f>
        <v>https://drive.google.com/open?id=13o8li6z9Lv1eekScnodE09racX9Y8CLR</v>
      </c>
      <c r="V141" s="10" t="str">
        <f>IFERROR(__xludf.DUMMYFUNCTION("""COMPUTED_VALUE"""),"No")</f>
        <v>No</v>
      </c>
      <c r="W141" s="10"/>
      <c r="X141" s="10"/>
      <c r="Y141" s="14" t="str">
        <f>IFERROR(__xludf.DUMMYFUNCTION("""COMPUTED_VALUE"""),"husnainali433036@gmail.com")</f>
        <v>husnainali433036@gmail.com</v>
      </c>
      <c r="AA141" s="325">
        <v>1.0</v>
      </c>
    </row>
    <row r="142" hidden="1">
      <c r="A142" s="9">
        <f>IFERROR(__xludf.DUMMYFUNCTION("""COMPUTED_VALUE"""),45772.363128321755)</f>
        <v>45772.36313</v>
      </c>
      <c r="B142" s="10" t="str">
        <f>IFERROR(__xludf.DUMMYFUNCTION("""COMPUTED_VALUE"""),"Adnan")</f>
        <v>Adnan</v>
      </c>
      <c r="C142" s="10" t="str">
        <f>IFERROR(__xludf.DUMMYFUNCTION("""COMPUTED_VALUE"""),"03099323116")</f>
        <v>03099323116</v>
      </c>
      <c r="D142" s="10" t="str">
        <f>IFERROR(__xludf.DUMMYFUNCTION("""COMPUTED_VALUE"""),"Jamya masid abubakar sadeeq jaloo moor")</f>
        <v>Jamya masid abubakar sadeeq jaloo moor</v>
      </c>
      <c r="E142" s="10" t="str">
        <f>IFERROR(__xludf.DUMMYFUNCTION("""COMPUTED_VALUE"""),"Gqomo")</f>
        <v>Gqomo</v>
      </c>
      <c r="F142" s="10">
        <f>IFERROR(__xludf.DUMMYFUNCTION("""COMPUTED_VALUE"""),200.0)</f>
        <v>200</v>
      </c>
      <c r="G142" s="10">
        <f>IFERROR(__xludf.DUMMYFUNCTION("""COMPUTED_VALUE"""),9.0)</f>
        <v>9</v>
      </c>
      <c r="H142" s="10">
        <f>IFERROR(__xludf.DUMMYFUNCTION("""COMPUTED_VALUE"""),8.0)</f>
        <v>8</v>
      </c>
      <c r="I142" s="10">
        <f>IFERROR(__xludf.DUMMYFUNCTION("""COMPUTED_VALUE"""),0.0)</f>
        <v>0</v>
      </c>
      <c r="J142" s="10">
        <f>IFERROR(__xludf.DUMMYFUNCTION("""COMPUTED_VALUE"""),1985.0)</f>
        <v>1985</v>
      </c>
      <c r="K142" s="10" t="str">
        <f>IFERROR(__xludf.DUMMYFUNCTION("""COMPUTED_VALUE"""),"No")</f>
        <v>No</v>
      </c>
      <c r="L142" s="10" t="str">
        <f>IFERROR(__xludf.DUMMYFUNCTION("""COMPUTED_VALUE"""),"No")</f>
        <v>No</v>
      </c>
      <c r="M142" s="10">
        <f>IFERROR(__xludf.DUMMYFUNCTION("""COMPUTED_VALUE"""),10.0)</f>
        <v>10</v>
      </c>
      <c r="N142" s="10" t="str">
        <f>IFERROR(__xludf.DUMMYFUNCTION("""COMPUTED_VALUE"""),"No")</f>
        <v>No</v>
      </c>
      <c r="O142" s="10"/>
      <c r="P142" s="10"/>
      <c r="Q142" s="10"/>
      <c r="R142" s="10"/>
      <c r="S142" s="18" t="str">
        <f>IFERROR(__xludf.DUMMYFUNCTION("""COMPUTED_VALUE"""),"https://drive.google.com/open?id=1_gxEmYJu79AQWxiF9hfjkGzVpuJ4IcPO")</f>
        <v>https://drive.google.com/open?id=1_gxEmYJu79AQWxiF9hfjkGzVpuJ4IcPO</v>
      </c>
      <c r="T142" s="18" t="str">
        <f>IFERROR(__xludf.DUMMYFUNCTION("""COMPUTED_VALUE"""),"https://drive.google.com/open?id=1XLCb-fpzOmCoNTd4i0-kLMkVC_feKmxa")</f>
        <v>https://drive.google.com/open?id=1XLCb-fpzOmCoNTd4i0-kLMkVC_feKmxa</v>
      </c>
      <c r="U142" s="18" t="str">
        <f>IFERROR(__xludf.DUMMYFUNCTION("""COMPUTED_VALUE"""),"https://drive.google.com/open?id=1uYMjMoLu7eJCNZlRLVSVDyrHLOOKrm7d")</f>
        <v>https://drive.google.com/open?id=1uYMjMoLu7eJCNZlRLVSVDyrHLOOKrm7d</v>
      </c>
      <c r="V142" s="10"/>
      <c r="W142" s="10"/>
      <c r="X142" s="10"/>
      <c r="Y142" s="14" t="str">
        <f>IFERROR(__xludf.DUMMYFUNCTION("""COMPUTED_VALUE"""),"aadnananwar123@gmail.com")</f>
        <v>aadnananwar123@gmail.com</v>
      </c>
      <c r="AA142" s="325">
        <v>3.0</v>
      </c>
    </row>
    <row r="143" hidden="1">
      <c r="A143" s="9">
        <f>IFERROR(__xludf.DUMMYFUNCTION("""COMPUTED_VALUE"""),45772.368591921295)</f>
        <v>45772.36859</v>
      </c>
      <c r="B143" s="10" t="str">
        <f>IFERROR(__xludf.DUMMYFUNCTION("""COMPUTED_VALUE"""),"Sajjjad Hussain bhatti")</f>
        <v>Sajjjad Hussain bhatti</v>
      </c>
      <c r="C143" s="10" t="str">
        <f>IFERROR(__xludf.DUMMYFUNCTION("""COMPUTED_VALUE"""),"03008432760")</f>
        <v>03008432760</v>
      </c>
      <c r="D143" s="10" t="str">
        <f>IFERROR(__xludf.DUMMYFUNCTION("""COMPUTED_VALUE"""),"Jamia Masjid syedia muridkey")</f>
        <v>Jamia Masjid syedia muridkey</v>
      </c>
      <c r="E143" s="10" t="str">
        <f>IFERROR(__xludf.DUMMYFUNCTION("""COMPUTED_VALUE"""),"XBFUU")</f>
        <v>XBFUU</v>
      </c>
      <c r="F143" s="10">
        <f>IFERROR(__xludf.DUMMYFUNCTION("""COMPUTED_VALUE"""),380.0)</f>
        <v>380</v>
      </c>
      <c r="G143" s="10">
        <f>IFERROR(__xludf.DUMMYFUNCTION("""COMPUTED_VALUE"""),10.0)</f>
        <v>10</v>
      </c>
      <c r="H143" s="10">
        <f>IFERROR(__xludf.DUMMYFUNCTION("""COMPUTED_VALUE"""),10.0)</f>
        <v>10</v>
      </c>
      <c r="I143" s="10">
        <f>IFERROR(__xludf.DUMMYFUNCTION("""COMPUTED_VALUE"""),0.0)</f>
        <v>0</v>
      </c>
      <c r="J143" s="10">
        <f>IFERROR(__xludf.DUMMYFUNCTION("""COMPUTED_VALUE"""),1956.0)</f>
        <v>1956</v>
      </c>
      <c r="K143" s="10" t="str">
        <f>IFERROR(__xludf.DUMMYFUNCTION("""COMPUTED_VALUE"""),"No")</f>
        <v>No</v>
      </c>
      <c r="L143" s="10" t="str">
        <f>IFERROR(__xludf.DUMMYFUNCTION("""COMPUTED_VALUE"""),"No")</f>
        <v>No</v>
      </c>
      <c r="M143" s="10">
        <f>IFERROR(__xludf.DUMMYFUNCTION("""COMPUTED_VALUE"""),9.0)</f>
        <v>9</v>
      </c>
      <c r="N143" s="10" t="str">
        <f>IFERROR(__xludf.DUMMYFUNCTION("""COMPUTED_VALUE"""),"Yes")</f>
        <v>Yes</v>
      </c>
      <c r="O143" s="323">
        <f>IFERROR(__xludf.DUMMYFUNCTION("""COMPUTED_VALUE"""),0.9)</f>
        <v>0.9</v>
      </c>
      <c r="P143" s="10">
        <f>IFERROR(__xludf.DUMMYFUNCTION("""COMPUTED_VALUE"""),9.0)</f>
        <v>9</v>
      </c>
      <c r="Q143" s="10">
        <f>IFERROR(__xludf.DUMMYFUNCTION("""COMPUTED_VALUE"""),1.0)</f>
        <v>1</v>
      </c>
      <c r="R143" s="10">
        <f>IFERROR(__xludf.DUMMYFUNCTION("""COMPUTED_VALUE"""),9.0)</f>
        <v>9</v>
      </c>
      <c r="S143" s="18" t="str">
        <f>IFERROR(__xludf.DUMMYFUNCTION("""COMPUTED_VALUE"""),"https://drive.google.com/open?id=1miWiDbYQnlhYq2TYqdKU7glKgx_APIn2")</f>
        <v>https://drive.google.com/open?id=1miWiDbYQnlhYq2TYqdKU7glKgx_APIn2</v>
      </c>
      <c r="T143" s="18" t="str">
        <f>IFERROR(__xludf.DUMMYFUNCTION("""COMPUTED_VALUE"""),"https://drive.google.com/open?id=1CnyF9RdlTsJ4JpURGz3L9jZq4JUb0gJ9")</f>
        <v>https://drive.google.com/open?id=1CnyF9RdlTsJ4JpURGz3L9jZq4JUb0gJ9</v>
      </c>
      <c r="U143" s="18" t="str">
        <f>IFERROR(__xludf.DUMMYFUNCTION("""COMPUTED_VALUE"""),"https://drive.google.com/open?id=1zjE3KrzdbSR_z1C6Cx_b7waHjQcF5yZb")</f>
        <v>https://drive.google.com/open?id=1zjE3KrzdbSR_z1C6Cx_b7waHjQcF5yZb</v>
      </c>
      <c r="V143" s="10"/>
      <c r="W143" s="10"/>
      <c r="X143" s="10" t="str">
        <f>IFERROR(__xludf.DUMMYFUNCTION("""COMPUTED_VALUE"""),"Yes")</f>
        <v>Yes</v>
      </c>
      <c r="Y143" s="14" t="str">
        <f>IFERROR(__xludf.DUMMYFUNCTION("""COMPUTED_VALUE"""),"bsajjad124@gmail.com")</f>
        <v>bsajjad124@gmail.com</v>
      </c>
      <c r="AA143" s="325">
        <v>2.0</v>
      </c>
    </row>
    <row r="144" hidden="1">
      <c r="A144" s="9">
        <f>IFERROR(__xludf.DUMMYFUNCTION("""COMPUTED_VALUE"""),45772.371565706024)</f>
        <v>45772.37157</v>
      </c>
      <c r="B144" s="10" t="str">
        <f>IFERROR(__xludf.DUMMYFUNCTION("""COMPUTED_VALUE"""),"Ameer Hamza ")</f>
        <v>Ameer Hamza </v>
      </c>
      <c r="C144" s="10" t="str">
        <f>IFERROR(__xludf.DUMMYFUNCTION("""COMPUTED_VALUE"""),"03071778530")</f>
        <v>03071778530</v>
      </c>
      <c r="D144" s="10" t="str">
        <f>IFERROR(__xludf.DUMMYFUNCTION("""COMPUTED_VALUE"""),"dwebz        ")</f>
        <v>dwebz        </v>
      </c>
      <c r="E144" s="10" t="str">
        <f>IFERROR(__xludf.DUMMYFUNCTION("""COMPUTED_VALUE"""),"dwebz")</f>
        <v>dwebz</v>
      </c>
      <c r="F144" s="10">
        <f>IFERROR(__xludf.DUMMYFUNCTION("""COMPUTED_VALUE"""),350.0)</f>
        <v>350</v>
      </c>
      <c r="G144" s="10">
        <f>IFERROR(__xludf.DUMMYFUNCTION("""COMPUTED_VALUE"""),8.0)</f>
        <v>8</v>
      </c>
      <c r="H144" s="10">
        <f>IFERROR(__xludf.DUMMYFUNCTION("""COMPUTED_VALUE"""),7.0)</f>
        <v>7</v>
      </c>
      <c r="I144" s="10">
        <f>IFERROR(__xludf.DUMMYFUNCTION("""COMPUTED_VALUE"""),0.0)</f>
        <v>0</v>
      </c>
      <c r="J144" s="10">
        <f>IFERROR(__xludf.DUMMYFUNCTION("""COMPUTED_VALUE"""),1935.0)</f>
        <v>1935</v>
      </c>
      <c r="K144" s="10" t="str">
        <f>IFERROR(__xludf.DUMMYFUNCTION("""COMPUTED_VALUE"""),"No")</f>
        <v>No</v>
      </c>
      <c r="L144" s="10" t="str">
        <f>IFERROR(__xludf.DUMMYFUNCTION("""COMPUTED_VALUE"""),"Nhi")</f>
        <v>Nhi</v>
      </c>
      <c r="M144" s="10">
        <f>IFERROR(__xludf.DUMMYFUNCTION("""COMPUTED_VALUE"""),8.0)</f>
        <v>8</v>
      </c>
      <c r="N144" s="10" t="str">
        <f>IFERROR(__xludf.DUMMYFUNCTION("""COMPUTED_VALUE"""),"Yes")</f>
        <v>Yes</v>
      </c>
      <c r="O144" s="323">
        <f>IFERROR(__xludf.DUMMYFUNCTION("""COMPUTED_VALUE"""),0.1)</f>
        <v>0.1</v>
      </c>
      <c r="P144" s="10">
        <f>IFERROR(__xludf.DUMMYFUNCTION("""COMPUTED_VALUE"""),1.0)</f>
        <v>1</v>
      </c>
      <c r="Q144" s="10">
        <f>IFERROR(__xludf.DUMMYFUNCTION("""COMPUTED_VALUE"""),9.0)</f>
        <v>9</v>
      </c>
      <c r="R144" s="10">
        <f>IFERROR(__xludf.DUMMYFUNCTION("""COMPUTED_VALUE"""),1.0)</f>
        <v>1</v>
      </c>
      <c r="S144" s="10" t="str">
        <f>IFERROR(__xludf.DUMMYFUNCTION("""COMPUTED_VALUE"""),"https://drive.google.com/open?id=1lejeL4wlZh6hTfC6Lns2kh-884fKIZ6B, https://drive.google.com/open?id=1N2fURj_fwwZq-lSVCbx-ADWJmGUK_6FF, https://drive.google.com/open?id=1Qskc3YGqsNsAveJjuOm_jJvj_CuCUvzW, https://drive.google.com/open?id=1b-BJyK66mfPfCT2-b"&amp;"qr6cHzsyQarkRQW, https://drive.google.com/open?id=1BONajCCqcsnpDOyipTsNtFDHAAuRcQpn")</f>
        <v>https://drive.google.com/open?id=1lejeL4wlZh6hTfC6Lns2kh-884fKIZ6B, https://drive.google.com/open?id=1N2fURj_fwwZq-lSVCbx-ADWJmGUK_6FF, https://drive.google.com/open?id=1Qskc3YGqsNsAveJjuOm_jJvj_CuCUvzW, https://drive.google.com/open?id=1b-BJyK66mfPfCT2-bqr6cHzsyQarkRQW, https://drive.google.com/open?id=1BONajCCqcsnpDOyipTsNtFDHAAuRcQpn</v>
      </c>
      <c r="T144" s="10" t="str">
        <f>IFERROR(__xludf.DUMMYFUNCTION("""COMPUTED_VALUE"""),"https://drive.google.com/open?id=1jsFyWxzl6jFlLu9FKSOlIhhKRt6ZoZFW, https://drive.google.com/open?id=1OxFxFI3u2awc1trJcPbqwW67dfWYST65, https://drive.google.com/open?id=1WmhEpAXWXqknNG88KIZEvJBsTBeG6QnE, https://drive.google.com/open?id=1MbsnYhJAEcoM4DiAi"&amp;"Q5GBj6UrvpgbiON, https://drive.google.com/open?id=1eVaVOYz9Y-GOjrMI29lnwb-VjWhmkHxr")</f>
        <v>https://drive.google.com/open?id=1jsFyWxzl6jFlLu9FKSOlIhhKRt6ZoZFW, https://drive.google.com/open?id=1OxFxFI3u2awc1trJcPbqwW67dfWYST65, https://drive.google.com/open?id=1WmhEpAXWXqknNG88KIZEvJBsTBeG6QnE, https://drive.google.com/open?id=1MbsnYhJAEcoM4DiAiQ5GBj6UrvpgbiON, https://drive.google.com/open?id=1eVaVOYz9Y-GOjrMI29lnwb-VjWhmkHxr</v>
      </c>
      <c r="U144" s="18" t="str">
        <f>IFERROR(__xludf.DUMMYFUNCTION("""COMPUTED_VALUE"""),"https://drive.google.com/open?id=1HPg-fxdADyJzVSk6bbPjDRLfJ1_YSoy1")</f>
        <v>https://drive.google.com/open?id=1HPg-fxdADyJzVSk6bbPjDRLfJ1_YSoy1</v>
      </c>
      <c r="V144" s="10"/>
      <c r="W144" s="10"/>
      <c r="X144" s="10" t="str">
        <f>IFERROR(__xludf.DUMMYFUNCTION("""COMPUTED_VALUE"""),"Yes")</f>
        <v>Yes</v>
      </c>
      <c r="Y144" s="14" t="str">
        <f>IFERROR(__xludf.DUMMYFUNCTION("""COMPUTED_VALUE"""),"uetianhamza8@gmail.com")</f>
        <v>uetianhamza8@gmail.com</v>
      </c>
      <c r="AA144" s="325">
        <v>3.0</v>
      </c>
    </row>
    <row r="145" hidden="1">
      <c r="A145" s="9">
        <f>IFERROR(__xludf.DUMMYFUNCTION("""COMPUTED_VALUE"""),45772.37203226852)</f>
        <v>45772.37203</v>
      </c>
      <c r="B145" s="10" t="str">
        <f>IFERROR(__xludf.DUMMYFUNCTION("""COMPUTED_VALUE"""),"Shahzad Ahmed")</f>
        <v>Shahzad Ahmed</v>
      </c>
      <c r="C145" s="10" t="str">
        <f>IFERROR(__xludf.DUMMYFUNCTION("""COMPUTED_VALUE"""),"03446427664")</f>
        <v>03446427664</v>
      </c>
      <c r="D145" s="10" t="str">
        <f>IFERROR(__xludf.DUMMYFUNCTION("""COMPUTED_VALUE"""),"Jamia Masjid Unchee Pansariyan Sialkot")</f>
        <v>Jamia Masjid Unchee Pansariyan Sialkot</v>
      </c>
      <c r="E145" s="10" t="str">
        <f>IFERROR(__xludf.DUMMYFUNCTION("""COMPUTED_VALUE"""),"oyfuj")</f>
        <v>oyfuj</v>
      </c>
      <c r="F145" s="10">
        <f>IFERROR(__xludf.DUMMYFUNCTION("""COMPUTED_VALUE"""),183.0)</f>
        <v>183</v>
      </c>
      <c r="G145" s="10">
        <f>IFERROR(__xludf.DUMMYFUNCTION("""COMPUTED_VALUE"""),7.0)</f>
        <v>7</v>
      </c>
      <c r="H145" s="10">
        <f>IFERROR(__xludf.DUMMYFUNCTION("""COMPUTED_VALUE"""),7.0)</f>
        <v>7</v>
      </c>
      <c r="I145" s="10">
        <f>IFERROR(__xludf.DUMMYFUNCTION("""COMPUTED_VALUE"""),0.0)</f>
        <v>0</v>
      </c>
      <c r="J145" s="10">
        <f>IFERROR(__xludf.DUMMYFUNCTION("""COMPUTED_VALUE"""),1980.0)</f>
        <v>1980</v>
      </c>
      <c r="K145" s="10" t="str">
        <f>IFERROR(__xludf.DUMMYFUNCTION("""COMPUTED_VALUE"""),"No")</f>
        <v>No</v>
      </c>
      <c r="L145" s="10" t="str">
        <f>IFERROR(__xludf.DUMMYFUNCTION("""COMPUTED_VALUE"""),"No")</f>
        <v>No</v>
      </c>
      <c r="M145" s="10">
        <f>IFERROR(__xludf.DUMMYFUNCTION("""COMPUTED_VALUE"""),7.0)</f>
        <v>7</v>
      </c>
      <c r="N145" s="10" t="str">
        <f>IFERROR(__xludf.DUMMYFUNCTION("""COMPUTED_VALUE"""),"No")</f>
        <v>No</v>
      </c>
      <c r="O145" s="10"/>
      <c r="P145" s="10"/>
      <c r="Q145" s="10"/>
      <c r="R145" s="10"/>
      <c r="S145" s="18" t="str">
        <f>IFERROR(__xludf.DUMMYFUNCTION("""COMPUTED_VALUE"""),"https://drive.google.com/open?id=11Ug7wCrug_-5fLyi72rh5j4xRtCQZz7S")</f>
        <v>https://drive.google.com/open?id=11Ug7wCrug_-5fLyi72rh5j4xRtCQZz7S</v>
      </c>
      <c r="T145" s="18" t="str">
        <f>IFERROR(__xludf.DUMMYFUNCTION("""COMPUTED_VALUE"""),"https://drive.google.com/open?id=1k2Zy4yyVDpbv_GzwByc3H6sKNBLvzOX-")</f>
        <v>https://drive.google.com/open?id=1k2Zy4yyVDpbv_GzwByc3H6sKNBLvzOX-</v>
      </c>
      <c r="U145" s="18" t="str">
        <f>IFERROR(__xludf.DUMMYFUNCTION("""COMPUTED_VALUE"""),"https://drive.google.com/open?id=1nH97eiujGBeeHMa6teXdAd6BdtSGuylv")</f>
        <v>https://drive.google.com/open?id=1nH97eiujGBeeHMa6teXdAd6BdtSGuylv</v>
      </c>
      <c r="V145" s="10" t="str">
        <f>IFERROR(__xludf.DUMMYFUNCTION("""COMPUTED_VALUE"""),"not any one")</f>
        <v>not any one</v>
      </c>
      <c r="W145" s="10"/>
      <c r="X145" s="10"/>
      <c r="Y145" s="14" t="str">
        <f>IFERROR(__xludf.DUMMYFUNCTION("""COMPUTED_VALUE"""),"zulaied.subhan@gmail.com")</f>
        <v>zulaied.subhan@gmail.com</v>
      </c>
      <c r="AA145" s="325">
        <v>1.0</v>
      </c>
    </row>
    <row r="146" hidden="1">
      <c r="A146" s="9">
        <f>IFERROR(__xludf.DUMMYFUNCTION("""COMPUTED_VALUE"""),45772.37763449074)</f>
        <v>45772.37763</v>
      </c>
      <c r="B146" s="10" t="str">
        <f>IFERROR(__xludf.DUMMYFUNCTION("""COMPUTED_VALUE"""),"Bilal ")</f>
        <v>Bilal </v>
      </c>
      <c r="C146" s="10" t="str">
        <f>IFERROR(__xludf.DUMMYFUNCTION("""COMPUTED_VALUE"""),"+92 317 4582961")</f>
        <v>+92 317 4582961</v>
      </c>
      <c r="D146" s="10" t="str">
        <f>IFERROR(__xludf.DUMMYFUNCTION("""COMPUTED_VALUE"""),"	Jamia Masjid Takiya Peer Hassan Shah Wali Lahore	")</f>
        <v>	Jamia Masjid Takiya Peer Hassan Shah Wali Lahore	</v>
      </c>
      <c r="E146" s="10" t="str">
        <f>IFERROR(__xludf.DUMMYFUNCTION("""COMPUTED_VALUE"""),"buvya")</f>
        <v>buvya</v>
      </c>
      <c r="F146" s="10">
        <f>IFERROR(__xludf.DUMMYFUNCTION("""COMPUTED_VALUE"""),165.0)</f>
        <v>165</v>
      </c>
      <c r="G146" s="10">
        <f>IFERROR(__xludf.DUMMYFUNCTION("""COMPUTED_VALUE"""),7.0)</f>
        <v>7</v>
      </c>
      <c r="H146" s="10">
        <f>IFERROR(__xludf.DUMMYFUNCTION("""COMPUTED_VALUE"""),9.0)</f>
        <v>9</v>
      </c>
      <c r="I146" s="10" t="str">
        <f>IFERROR(__xludf.DUMMYFUNCTION("""COMPUTED_VALUE"""),"Nhi")</f>
        <v>Nhi</v>
      </c>
      <c r="J146" s="10">
        <f>IFERROR(__xludf.DUMMYFUNCTION("""COMPUTED_VALUE"""),1928.0)</f>
        <v>1928</v>
      </c>
      <c r="K146" s="10" t="str">
        <f>IFERROR(__xludf.DUMMYFUNCTION("""COMPUTED_VALUE"""),"No")</f>
        <v>No</v>
      </c>
      <c r="L146" s="10" t="str">
        <f>IFERROR(__xludf.DUMMYFUNCTION("""COMPUTED_VALUE"""),"Nhi ")</f>
        <v>Nhi </v>
      </c>
      <c r="M146" s="10">
        <f>IFERROR(__xludf.DUMMYFUNCTION("""COMPUTED_VALUE"""),9.0)</f>
        <v>9</v>
      </c>
      <c r="N146" s="10" t="str">
        <f>IFERROR(__xludf.DUMMYFUNCTION("""COMPUTED_VALUE"""),"Yes")</f>
        <v>Yes</v>
      </c>
      <c r="O146" s="323">
        <f>IFERROR(__xludf.DUMMYFUNCTION("""COMPUTED_VALUE"""),0.4)</f>
        <v>0.4</v>
      </c>
      <c r="P146" s="10">
        <f>IFERROR(__xludf.DUMMYFUNCTION("""COMPUTED_VALUE"""),4.0)</f>
        <v>4</v>
      </c>
      <c r="Q146" s="10">
        <f>IFERROR(__xludf.DUMMYFUNCTION("""COMPUTED_VALUE"""),7.0)</f>
        <v>7</v>
      </c>
      <c r="R146" s="10">
        <f>IFERROR(__xludf.DUMMYFUNCTION("""COMPUTED_VALUE"""),3.0)</f>
        <v>3</v>
      </c>
      <c r="S146" s="18" t="str">
        <f>IFERROR(__xludf.DUMMYFUNCTION("""COMPUTED_VALUE"""),"https://drive.google.com/open?id=1EICeOpsjazUXHMkUJRN00HKxctV7sS7I")</f>
        <v>https://drive.google.com/open?id=1EICeOpsjazUXHMkUJRN00HKxctV7sS7I</v>
      </c>
      <c r="T146" s="10" t="str">
        <f>IFERROR(__xludf.DUMMYFUNCTION("""COMPUTED_VALUE"""),"https://drive.google.com/open?id=1D3hujcQHWIKxokqLsIi700t8OfF8LxUj, https://drive.google.com/open?id=12oL8cmGozCrrRbpnoqhaK1u2sOiszO3E, https://drive.google.com/open?id=1_q2odeWU-Yowc6oRK7NEzLd9HBSRplW4, https://drive.google.com/open?id=1BZYf873pbnp_HoOkx"&amp;"h6X5pE3nBl8HUFn")</f>
        <v>https://drive.google.com/open?id=1D3hujcQHWIKxokqLsIi700t8OfF8LxUj, https://drive.google.com/open?id=12oL8cmGozCrrRbpnoqhaK1u2sOiszO3E, https://drive.google.com/open?id=1_q2odeWU-Yowc6oRK7NEzLd9HBSRplW4, https://drive.google.com/open?id=1BZYf873pbnp_HoOkxh6X5pE3nBl8HUFn</v>
      </c>
      <c r="U146" s="18" t="str">
        <f>IFERROR(__xludf.DUMMYFUNCTION("""COMPUTED_VALUE"""),"https://drive.google.com/open?id=1u3CMxlGOsXBKu1SCOi6cEEpsCu11EtcV")</f>
        <v>https://drive.google.com/open?id=1u3CMxlGOsXBKu1SCOi6cEEpsCu11EtcV</v>
      </c>
      <c r="V146" s="10"/>
      <c r="W146" s="10"/>
      <c r="X146" s="10" t="str">
        <f>IFERROR(__xludf.DUMMYFUNCTION("""COMPUTED_VALUE"""),"Yes")</f>
        <v>Yes</v>
      </c>
      <c r="Y146" s="14" t="str">
        <f>IFERROR(__xludf.DUMMYFUNCTION("""COMPUTED_VALUE"""),"dealbig380@gmail.com")</f>
        <v>dealbig380@gmail.com</v>
      </c>
      <c r="AA146" s="325">
        <v>3.0</v>
      </c>
    </row>
    <row r="147" hidden="1">
      <c r="A147" s="9">
        <f>IFERROR(__xludf.DUMMYFUNCTION("""COMPUTED_VALUE"""),45772.38498083333)</f>
        <v>45772.38498</v>
      </c>
      <c r="B147" s="10" t="str">
        <f>IFERROR(__xludf.DUMMYFUNCTION("""COMPUTED_VALUE"""),"Noman ")</f>
        <v>Noman </v>
      </c>
      <c r="C147" s="10" t="str">
        <f>IFERROR(__xludf.DUMMYFUNCTION("""COMPUTED_VALUE"""),"03217073342")</f>
        <v>03217073342</v>
      </c>
      <c r="D147" s="10" t="str">
        <f>IFERROR(__xludf.DUMMYFUNCTION("""COMPUTED_VALUE"""),"Jamia Masjid Chowk Dalkara Lahore	")</f>
        <v>Jamia Masjid Chowk Dalkara Lahore	</v>
      </c>
      <c r="E147" s="10" t="str">
        <f>IFERROR(__xludf.DUMMYFUNCTION("""COMPUTED_VALUE"""),"wywfr")</f>
        <v>wywfr</v>
      </c>
      <c r="F147" s="10">
        <f>IFERROR(__xludf.DUMMYFUNCTION("""COMPUTED_VALUE"""),380.0)</f>
        <v>380</v>
      </c>
      <c r="G147" s="10">
        <f>IFERROR(__xludf.DUMMYFUNCTION("""COMPUTED_VALUE"""),8.0)</f>
        <v>8</v>
      </c>
      <c r="H147" s="10">
        <f>IFERROR(__xludf.DUMMYFUNCTION("""COMPUTED_VALUE"""),9.0)</f>
        <v>9</v>
      </c>
      <c r="I147" s="10">
        <f>IFERROR(__xludf.DUMMYFUNCTION("""COMPUTED_VALUE"""),0.0)</f>
        <v>0</v>
      </c>
      <c r="J147" s="10">
        <f>IFERROR(__xludf.DUMMYFUNCTION("""COMPUTED_VALUE"""),1938.0)</f>
        <v>1938</v>
      </c>
      <c r="K147" s="10" t="str">
        <f>IFERROR(__xludf.DUMMYFUNCTION("""COMPUTED_VALUE"""),"No")</f>
        <v>No</v>
      </c>
      <c r="L147" s="10" t="str">
        <f>IFERROR(__xludf.DUMMYFUNCTION("""COMPUTED_VALUE"""),"Nhi")</f>
        <v>Nhi</v>
      </c>
      <c r="M147" s="10">
        <f>IFERROR(__xludf.DUMMYFUNCTION("""COMPUTED_VALUE"""),9.0)</f>
        <v>9</v>
      </c>
      <c r="N147" s="10" t="str">
        <f>IFERROR(__xludf.DUMMYFUNCTION("""COMPUTED_VALUE"""),"Yes")</f>
        <v>Yes</v>
      </c>
      <c r="O147" s="323">
        <f>IFERROR(__xludf.DUMMYFUNCTION("""COMPUTED_VALUE"""),0.1)</f>
        <v>0.1</v>
      </c>
      <c r="P147" s="10">
        <f>IFERROR(__xludf.DUMMYFUNCTION("""COMPUTED_VALUE"""),1.0)</f>
        <v>1</v>
      </c>
      <c r="Q147" s="10">
        <f>IFERROR(__xludf.DUMMYFUNCTION("""COMPUTED_VALUE"""),9.0)</f>
        <v>9</v>
      </c>
      <c r="R147" s="10">
        <f>IFERROR(__xludf.DUMMYFUNCTION("""COMPUTED_VALUE"""),1.0)</f>
        <v>1</v>
      </c>
      <c r="S147" s="10" t="str">
        <f>IFERROR(__xludf.DUMMYFUNCTION("""COMPUTED_VALUE"""),"https://drive.google.com/open?id=1KKncQQKW-POVVMIEWyfdUl-MrazuFRe8, https://drive.google.com/open?id=1v5AGkSn7ZpJSdyOkrKtESiATicfAbW3o")</f>
        <v>https://drive.google.com/open?id=1KKncQQKW-POVVMIEWyfdUl-MrazuFRe8, https://drive.google.com/open?id=1v5AGkSn7ZpJSdyOkrKtESiATicfAbW3o</v>
      </c>
      <c r="T147" s="10" t="str">
        <f>IFERROR(__xludf.DUMMYFUNCTION("""COMPUTED_VALUE"""),"https://drive.google.com/open?id=1FpczyLU9jJiLyvztTJUX9d5UuBKtduBT, https://drive.google.com/open?id=15jtX5Rnd33wGV6bPq-zuOxSMJggAN0_T")</f>
        <v>https://drive.google.com/open?id=1FpczyLU9jJiLyvztTJUX9d5UuBKtduBT, https://drive.google.com/open?id=15jtX5Rnd33wGV6bPq-zuOxSMJggAN0_T</v>
      </c>
      <c r="U147" s="18" t="str">
        <f>IFERROR(__xludf.DUMMYFUNCTION("""COMPUTED_VALUE"""),"https://drive.google.com/open?id=1g7_grmFRdbxr6QenbCNNxj-nCgU8Du_z")</f>
        <v>https://drive.google.com/open?id=1g7_grmFRdbxr6QenbCNNxj-nCgU8Du_z</v>
      </c>
      <c r="V147" s="10"/>
      <c r="W147" s="10"/>
      <c r="X147" s="10" t="str">
        <f>IFERROR(__xludf.DUMMYFUNCTION("""COMPUTED_VALUE"""),"Yes")</f>
        <v>Yes</v>
      </c>
      <c r="Y147" s="14" t="str">
        <f>IFERROR(__xludf.DUMMYFUNCTION("""COMPUTED_VALUE"""),"eng.ameerhamza15@gmail.com")</f>
        <v>eng.ameerhamza15@gmail.com</v>
      </c>
      <c r="AA147" s="325">
        <v>3.0</v>
      </c>
    </row>
    <row r="148" hidden="1">
      <c r="A148" s="9">
        <f>IFERROR(__xludf.DUMMYFUNCTION("""COMPUTED_VALUE"""),45772.389485844906)</f>
        <v>45772.38949</v>
      </c>
      <c r="B148" s="10" t="str">
        <f>IFERROR(__xludf.DUMMYFUNCTION("""COMPUTED_VALUE"""),"Akhtar ")</f>
        <v>Akhtar </v>
      </c>
      <c r="C148" s="10" t="str">
        <f>IFERROR(__xludf.DUMMYFUNCTION("""COMPUTED_VALUE"""),"+92 342 0642731")</f>
        <v>+92 342 0642731</v>
      </c>
      <c r="D148" s="10" t="str">
        <f>IFERROR(__xludf.DUMMYFUNCTION("""COMPUTED_VALUE"""),"zhcjl	Jamia Masjid Esha Shahab Lahore	")</f>
        <v>zhcjl	Jamia Masjid Esha Shahab Lahore	</v>
      </c>
      <c r="E148" s="10" t="str">
        <f>IFERROR(__xludf.DUMMYFUNCTION("""COMPUTED_VALUE"""),"zhcjl")</f>
        <v>zhcjl</v>
      </c>
      <c r="F148" s="10">
        <f>IFERROR(__xludf.DUMMYFUNCTION("""COMPUTED_VALUE"""),345.0)</f>
        <v>345</v>
      </c>
      <c r="G148" s="10">
        <f>IFERROR(__xludf.DUMMYFUNCTION("""COMPUTED_VALUE"""),4.0)</f>
        <v>4</v>
      </c>
      <c r="H148" s="10">
        <f>IFERROR(__xludf.DUMMYFUNCTION("""COMPUTED_VALUE"""),7.0)</f>
        <v>7</v>
      </c>
      <c r="I148" s="10">
        <f>IFERROR(__xludf.DUMMYFUNCTION("""COMPUTED_VALUE"""),2.0)</f>
        <v>2</v>
      </c>
      <c r="J148" s="10">
        <f>IFERROR(__xludf.DUMMYFUNCTION("""COMPUTED_VALUE"""),1345.0)</f>
        <v>1345</v>
      </c>
      <c r="K148" s="10" t="str">
        <f>IFERROR(__xludf.DUMMYFUNCTION("""COMPUTED_VALUE"""),"No")</f>
        <v>No</v>
      </c>
      <c r="L148" s="10" t="str">
        <f>IFERROR(__xludf.DUMMYFUNCTION("""COMPUTED_VALUE"""),"Nhi ")</f>
        <v>Nhi </v>
      </c>
      <c r="M148" s="10">
        <f>IFERROR(__xludf.DUMMYFUNCTION("""COMPUTED_VALUE"""),8.0)</f>
        <v>8</v>
      </c>
      <c r="N148" s="10" t="str">
        <f>IFERROR(__xludf.DUMMYFUNCTION("""COMPUTED_VALUE"""),"Yes")</f>
        <v>Yes</v>
      </c>
      <c r="O148" s="323">
        <f>IFERROR(__xludf.DUMMYFUNCTION("""COMPUTED_VALUE"""),0.2)</f>
        <v>0.2</v>
      </c>
      <c r="P148" s="10">
        <f>IFERROR(__xludf.DUMMYFUNCTION("""COMPUTED_VALUE"""),3.0)</f>
        <v>3</v>
      </c>
      <c r="Q148" s="10">
        <f>IFERROR(__xludf.DUMMYFUNCTION("""COMPUTED_VALUE"""),7.0)</f>
        <v>7</v>
      </c>
      <c r="R148" s="10">
        <f>IFERROR(__xludf.DUMMYFUNCTION("""COMPUTED_VALUE"""),2.0)</f>
        <v>2</v>
      </c>
      <c r="S148" s="10" t="str">
        <f>IFERROR(__xludf.DUMMYFUNCTION("""COMPUTED_VALUE"""),"https://drive.google.com/open?id=175qB00C6msqqmSYHdhpu2pvIp4l1ZzpJ, https://drive.google.com/open?id=1rqJ29RUdrevsdESKgnOAMKfjnVdNJDh-, https://drive.google.com/open?id=1VawLlg1FW_H5oJ3dqc-WlX-cJXYMyMht, https://drive.google.com/open?id=1vpNJI9Z7K2eNR0wVj"&amp;"M1ieuZ0rjP6RiVq, https://drive.google.com/open?id=1Ay9MQ9Fx7ozjeqvqmNZ9UbffpLgrCrd_")</f>
        <v>https://drive.google.com/open?id=175qB00C6msqqmSYHdhpu2pvIp4l1ZzpJ, https://drive.google.com/open?id=1rqJ29RUdrevsdESKgnOAMKfjnVdNJDh-, https://drive.google.com/open?id=1VawLlg1FW_H5oJ3dqc-WlX-cJXYMyMht, https://drive.google.com/open?id=1vpNJI9Z7K2eNR0wVjM1ieuZ0rjP6RiVq, https://drive.google.com/open?id=1Ay9MQ9Fx7ozjeqvqmNZ9UbffpLgrCrd_</v>
      </c>
      <c r="T148" s="10" t="str">
        <f>IFERROR(__xludf.DUMMYFUNCTION("""COMPUTED_VALUE"""),"https://drive.google.com/open?id=1gOjemp4q7F2bqXCAw7xX5Y-bQwwDTrzs, https://drive.google.com/open?id=1z48f6OYbAp8TlXn9s39H20htELCaH2v8, https://drive.google.com/open?id=1Nk1GNU3UNyw6eqI_oD8y9_i68fUtDfmU, https://drive.google.com/open?id=1AwuIsVp-rRB_Zok0g"&amp;"zWuD7JxDOyHKYN6, https://drive.google.com/open?id=1YQ2ian5n5FE1JRmcTSSI6qsdrXxCRkfL")</f>
        <v>https://drive.google.com/open?id=1gOjemp4q7F2bqXCAw7xX5Y-bQwwDTrzs, https://drive.google.com/open?id=1z48f6OYbAp8TlXn9s39H20htELCaH2v8, https://drive.google.com/open?id=1Nk1GNU3UNyw6eqI_oD8y9_i68fUtDfmU, https://drive.google.com/open?id=1AwuIsVp-rRB_Zok0gzWuD7JxDOyHKYN6, https://drive.google.com/open?id=1YQ2ian5n5FE1JRmcTSSI6qsdrXxCRkfL</v>
      </c>
      <c r="U148" s="18" t="str">
        <f>IFERROR(__xludf.DUMMYFUNCTION("""COMPUTED_VALUE"""),"https://drive.google.com/open?id=1PiP70_blk6Y2azs1Asfim0EOrri1X4FV")</f>
        <v>https://drive.google.com/open?id=1PiP70_blk6Y2azs1Asfim0EOrri1X4FV</v>
      </c>
      <c r="V148" s="10"/>
      <c r="W148" s="10"/>
      <c r="X148" s="10" t="str">
        <f>IFERROR(__xludf.DUMMYFUNCTION("""COMPUTED_VALUE"""),"Yes")</f>
        <v>Yes</v>
      </c>
      <c r="Y148" s="14" t="str">
        <f>IFERROR(__xludf.DUMMYFUNCTION("""COMPUTED_VALUE"""),"dealbig380@gmail.com")</f>
        <v>dealbig380@gmail.com</v>
      </c>
      <c r="AA148" s="325">
        <v>3.0</v>
      </c>
    </row>
    <row r="149" hidden="1">
      <c r="A149" s="9">
        <f>IFERROR(__xludf.DUMMYFUNCTION("""COMPUTED_VALUE"""),45772.391848645835)</f>
        <v>45772.39185</v>
      </c>
      <c r="B149" s="10" t="str">
        <f>IFERROR(__xludf.DUMMYFUNCTION("""COMPUTED_VALUE"""),"Hammad Ahmed")</f>
        <v>Hammad Ahmed</v>
      </c>
      <c r="C149" s="10" t="str">
        <f>IFERROR(__xludf.DUMMYFUNCTION("""COMPUTED_VALUE"""),"03497178683")</f>
        <v>03497178683</v>
      </c>
      <c r="D149" s="10" t="str">
        <f>IFERROR(__xludf.DUMMYFUNCTION("""COMPUTED_VALUE"""),"Jamia masjid sakhi shah suleman noori hazoori bhalwal")</f>
        <v>Jamia masjid sakhi shah suleman noori hazoori bhalwal</v>
      </c>
      <c r="E149" s="10" t="str">
        <f>IFERROR(__xludf.DUMMYFUNCTION("""COMPUTED_VALUE"""),"wwwqh")</f>
        <v>wwwqh</v>
      </c>
      <c r="F149" s="10">
        <f>IFERROR(__xludf.DUMMYFUNCTION("""COMPUTED_VALUE"""),400.0)</f>
        <v>400</v>
      </c>
      <c r="G149" s="10">
        <f>IFERROR(__xludf.DUMMYFUNCTION("""COMPUTED_VALUE"""),7.0)</f>
        <v>7</v>
      </c>
      <c r="H149" s="10">
        <f>IFERROR(__xludf.DUMMYFUNCTION("""COMPUTED_VALUE"""),3.0)</f>
        <v>3</v>
      </c>
      <c r="I149" s="10">
        <f>IFERROR(__xludf.DUMMYFUNCTION("""COMPUTED_VALUE"""),2.0)</f>
        <v>2</v>
      </c>
      <c r="J149" s="10" t="str">
        <f>IFERROR(__xludf.DUMMYFUNCTION("""COMPUTED_VALUE"""),"No")</f>
        <v>No</v>
      </c>
      <c r="K149" s="10" t="str">
        <f>IFERROR(__xludf.DUMMYFUNCTION("""COMPUTED_VALUE"""),"Yes")</f>
        <v>Yes</v>
      </c>
      <c r="L149" s="10" t="str">
        <f>IFERROR(__xludf.DUMMYFUNCTION("""COMPUTED_VALUE"""),"Hazrat sakhi shah suleman noori hazoori bhalwal")</f>
        <v>Hazrat sakhi shah suleman noori hazoori bhalwal</v>
      </c>
      <c r="M149" s="10">
        <f>IFERROR(__xludf.DUMMYFUNCTION("""COMPUTED_VALUE"""),7.0)</f>
        <v>7</v>
      </c>
      <c r="N149" s="10" t="str">
        <f>IFERROR(__xludf.DUMMYFUNCTION("""COMPUTED_VALUE"""),"Yes")</f>
        <v>Yes</v>
      </c>
      <c r="O149" s="323">
        <f>IFERROR(__xludf.DUMMYFUNCTION("""COMPUTED_VALUE"""),0.7)</f>
        <v>0.7</v>
      </c>
      <c r="P149" s="10">
        <f>IFERROR(__xludf.DUMMYFUNCTION("""COMPUTED_VALUE"""),7.0)</f>
        <v>7</v>
      </c>
      <c r="Q149" s="10">
        <f>IFERROR(__xludf.DUMMYFUNCTION("""COMPUTED_VALUE"""),3.0)</f>
        <v>3</v>
      </c>
      <c r="R149" s="10">
        <f>IFERROR(__xludf.DUMMYFUNCTION("""COMPUTED_VALUE"""),3.0)</f>
        <v>3</v>
      </c>
      <c r="S149" s="18" t="str">
        <f>IFERROR(__xludf.DUMMYFUNCTION("""COMPUTED_VALUE"""),"https://drive.google.com/open?id=1v7EFQCalHHMLbPP7HMigf0bY_MH7efe1")</f>
        <v>https://drive.google.com/open?id=1v7EFQCalHHMLbPP7HMigf0bY_MH7efe1</v>
      </c>
      <c r="T149" s="18" t="str">
        <f>IFERROR(__xludf.DUMMYFUNCTION("""COMPUTED_VALUE"""),"https://drive.google.com/open?id=1j9Rl721qbSgoHWvED1jDlbfVj1ILZ0LL")</f>
        <v>https://drive.google.com/open?id=1j9Rl721qbSgoHWvED1jDlbfVj1ILZ0LL</v>
      </c>
      <c r="U149" s="18" t="str">
        <f>IFERROR(__xludf.DUMMYFUNCTION("""COMPUTED_VALUE"""),"https://drive.google.com/open?id=19GGz7sMm_iND9DwRH3bx4x8lDwZH6CBs")</f>
        <v>https://drive.google.com/open?id=19GGz7sMm_iND9DwRH3bx4x8lDwZH6CBs</v>
      </c>
      <c r="V149" s="10"/>
      <c r="W149" s="10"/>
      <c r="X149" s="10" t="str">
        <f>IFERROR(__xludf.DUMMYFUNCTION("""COMPUTED_VALUE"""),"Yes")</f>
        <v>Yes</v>
      </c>
      <c r="Y149" s="14" t="str">
        <f>IFERROR(__xludf.DUMMYFUNCTION("""COMPUTED_VALUE"""),"balkimalik88@gmail.com")</f>
        <v>balkimalik88@gmail.com</v>
      </c>
      <c r="AA149" s="325">
        <v>1.0</v>
      </c>
    </row>
    <row r="150" hidden="1">
      <c r="A150" s="9">
        <f>IFERROR(__xludf.DUMMYFUNCTION("""COMPUTED_VALUE"""),45772.39479334491)</f>
        <v>45772.39479</v>
      </c>
      <c r="B150" s="10" t="str">
        <f>IFERROR(__xludf.DUMMYFUNCTION("""COMPUTED_VALUE"""),"Muhammad Ahmad ")</f>
        <v>Muhammad Ahmad </v>
      </c>
      <c r="C150" s="10" t="str">
        <f>IFERROR(__xludf.DUMMYFUNCTION("""COMPUTED_VALUE"""),"03057180082")</f>
        <v>03057180082</v>
      </c>
      <c r="D150" s="10" t="str">
        <f>IFERROR(__xludf.DUMMYFUNCTION("""COMPUTED_VALUE"""),"Jamia masjid zia ")</f>
        <v>Jamia masjid zia </v>
      </c>
      <c r="E150" s="10" t="str">
        <f>IFERROR(__xludf.DUMMYFUNCTION("""COMPUTED_VALUE"""),"uiodj")</f>
        <v>uiodj</v>
      </c>
      <c r="F150" s="10">
        <f>IFERROR(__xludf.DUMMYFUNCTION("""COMPUTED_VALUE"""),150.0)</f>
        <v>150</v>
      </c>
      <c r="G150" s="10">
        <f>IFERROR(__xludf.DUMMYFUNCTION("""COMPUTED_VALUE"""),5.0)</f>
        <v>5</v>
      </c>
      <c r="H150" s="10">
        <f>IFERROR(__xludf.DUMMYFUNCTION("""COMPUTED_VALUE"""),4.0)</f>
        <v>4</v>
      </c>
      <c r="I150" s="10">
        <f>IFERROR(__xludf.DUMMYFUNCTION("""COMPUTED_VALUE"""),2.0)</f>
        <v>2</v>
      </c>
      <c r="J150" s="10" t="str">
        <f>IFERROR(__xludf.DUMMYFUNCTION("""COMPUTED_VALUE"""),"No")</f>
        <v>No</v>
      </c>
      <c r="K150" s="10" t="str">
        <f>IFERROR(__xludf.DUMMYFUNCTION("""COMPUTED_VALUE"""),"No")</f>
        <v>No</v>
      </c>
      <c r="L150" s="10" t="str">
        <f>IFERROR(__xludf.DUMMYFUNCTION("""COMPUTED_VALUE"""),"No")</f>
        <v>No</v>
      </c>
      <c r="M150" s="10">
        <f>IFERROR(__xludf.DUMMYFUNCTION("""COMPUTED_VALUE"""),8.0)</f>
        <v>8</v>
      </c>
      <c r="N150" s="10" t="str">
        <f>IFERROR(__xludf.DUMMYFUNCTION("""COMPUTED_VALUE"""),"Yes")</f>
        <v>Yes</v>
      </c>
      <c r="O150" s="323">
        <f>IFERROR(__xludf.DUMMYFUNCTION("""COMPUTED_VALUE"""),0.6)</f>
        <v>0.6</v>
      </c>
      <c r="P150" s="10">
        <f>IFERROR(__xludf.DUMMYFUNCTION("""COMPUTED_VALUE"""),8.0)</f>
        <v>8</v>
      </c>
      <c r="Q150" s="10">
        <f>IFERROR(__xludf.DUMMYFUNCTION("""COMPUTED_VALUE"""),3.0)</f>
        <v>3</v>
      </c>
      <c r="R150" s="10">
        <f>IFERROR(__xludf.DUMMYFUNCTION("""COMPUTED_VALUE"""),8.0)</f>
        <v>8</v>
      </c>
      <c r="S150" s="18" t="str">
        <f>IFERROR(__xludf.DUMMYFUNCTION("""COMPUTED_VALUE"""),"https://drive.google.com/open?id=1Pa8jxSiNSNHvV8796frRZPauP5q6VoXH")</f>
        <v>https://drive.google.com/open?id=1Pa8jxSiNSNHvV8796frRZPauP5q6VoXH</v>
      </c>
      <c r="T150" s="18" t="str">
        <f>IFERROR(__xludf.DUMMYFUNCTION("""COMPUTED_VALUE"""),"https://drive.google.com/open?id=16IMlOm6xS4rbWeuI7gI-CAbkhIND6wac")</f>
        <v>https://drive.google.com/open?id=16IMlOm6xS4rbWeuI7gI-CAbkhIND6wac</v>
      </c>
      <c r="U150" s="18" t="str">
        <f>IFERROR(__xludf.DUMMYFUNCTION("""COMPUTED_VALUE"""),"https://drive.google.com/open?id=1qv_81oe9RRwO7lbEs6MW27W-z-_uEyvp")</f>
        <v>https://drive.google.com/open?id=1qv_81oe9RRwO7lbEs6MW27W-z-_uEyvp</v>
      </c>
      <c r="V150" s="10" t="str">
        <f>IFERROR(__xludf.DUMMYFUNCTION("""COMPUTED_VALUE"""),"No")</f>
        <v>No</v>
      </c>
      <c r="W150" s="10"/>
      <c r="X150" s="10" t="str">
        <f>IFERROR(__xludf.DUMMYFUNCTION("""COMPUTED_VALUE"""),"Yes")</f>
        <v>Yes</v>
      </c>
      <c r="Y150" s="14" t="str">
        <f>IFERROR(__xludf.DUMMYFUNCTION("""COMPUTED_VALUE"""),"abdulwahabriaz440@gmail.com")</f>
        <v>abdulwahabriaz440@gmail.com</v>
      </c>
      <c r="AA150" s="325">
        <v>1.0</v>
      </c>
    </row>
    <row r="151" hidden="1">
      <c r="A151" s="9">
        <f>IFERROR(__xludf.DUMMYFUNCTION("""COMPUTED_VALUE"""),45772.40108800926)</f>
        <v>45772.40109</v>
      </c>
      <c r="B151" s="10" t="str">
        <f>IFERROR(__xludf.DUMMYFUNCTION("""COMPUTED_VALUE"""),"Muhammad Fareed ")</f>
        <v>Muhammad Fareed </v>
      </c>
      <c r="C151" s="10" t="str">
        <f>IFERROR(__xludf.DUMMYFUNCTION("""COMPUTED_VALUE"""),"03026624607")</f>
        <v>03026624607</v>
      </c>
      <c r="D151" s="10" t="str">
        <f>IFERROR(__xludf.DUMMYFUNCTION("""COMPUTED_VALUE"""),"Jamia Masjid Darbar Madoh Laal Hussain ")</f>
        <v>Jamia Masjid Darbar Madoh Laal Hussain </v>
      </c>
      <c r="E151" s="10" t="str">
        <f>IFERROR(__xludf.DUMMYFUNCTION("""COMPUTED_VALUE"""),"KLYSR")</f>
        <v>KLYSR</v>
      </c>
      <c r="F151" s="10">
        <f>IFERROR(__xludf.DUMMYFUNCTION("""COMPUTED_VALUE"""),640.0)</f>
        <v>640</v>
      </c>
      <c r="G151" s="10">
        <f>IFERROR(__xludf.DUMMYFUNCTION("""COMPUTED_VALUE"""),9.0)</f>
        <v>9</v>
      </c>
      <c r="H151" s="10">
        <f>IFERROR(__xludf.DUMMYFUNCTION("""COMPUTED_VALUE"""),8.0)</f>
        <v>8</v>
      </c>
      <c r="I151" s="10">
        <f>IFERROR(__xludf.DUMMYFUNCTION("""COMPUTED_VALUE"""),0.0)</f>
        <v>0</v>
      </c>
      <c r="J151" s="10" t="str">
        <f>IFERROR(__xludf.DUMMYFUNCTION("""COMPUTED_VALUE"""),"0000")</f>
        <v>0000</v>
      </c>
      <c r="K151" s="10" t="str">
        <f>IFERROR(__xludf.DUMMYFUNCTION("""COMPUTED_VALUE"""),"No")</f>
        <v>No</v>
      </c>
      <c r="L151" s="10" t="str">
        <f>IFERROR(__xludf.DUMMYFUNCTION("""COMPUTED_VALUE"""),"Darbar Madoh Laal Hussain ")</f>
        <v>Darbar Madoh Laal Hussain </v>
      </c>
      <c r="M151" s="10">
        <f>IFERROR(__xludf.DUMMYFUNCTION("""COMPUTED_VALUE"""),9.0)</f>
        <v>9</v>
      </c>
      <c r="N151" s="10" t="str">
        <f>IFERROR(__xludf.DUMMYFUNCTION("""COMPUTED_VALUE"""),"Yes")</f>
        <v>Yes</v>
      </c>
      <c r="O151" s="323">
        <f>IFERROR(__xludf.DUMMYFUNCTION("""COMPUTED_VALUE"""),0.8)</f>
        <v>0.8</v>
      </c>
      <c r="P151" s="10">
        <f>IFERROR(__xludf.DUMMYFUNCTION("""COMPUTED_VALUE"""),8.0)</f>
        <v>8</v>
      </c>
      <c r="Q151" s="10">
        <f>IFERROR(__xludf.DUMMYFUNCTION("""COMPUTED_VALUE"""),2.0)</f>
        <v>2</v>
      </c>
      <c r="R151" s="10">
        <f>IFERROR(__xludf.DUMMYFUNCTION("""COMPUTED_VALUE"""),6.0)</f>
        <v>6</v>
      </c>
      <c r="S151" s="18" t="str">
        <f>IFERROR(__xludf.DUMMYFUNCTION("""COMPUTED_VALUE"""),"https://drive.google.com/open?id=1tj1jvS5rUqzm2hn6YKFIUcmb7uxrSoIY")</f>
        <v>https://drive.google.com/open?id=1tj1jvS5rUqzm2hn6YKFIUcmb7uxrSoIY</v>
      </c>
      <c r="T151" s="18" t="str">
        <f>IFERROR(__xludf.DUMMYFUNCTION("""COMPUTED_VALUE"""),"https://drive.google.com/open?id=1xfdkc9W5mPh_cuFHmELt-cavO_scjTmj")</f>
        <v>https://drive.google.com/open?id=1xfdkc9W5mPh_cuFHmELt-cavO_scjTmj</v>
      </c>
      <c r="U151" s="18" t="str">
        <f>IFERROR(__xludf.DUMMYFUNCTION("""COMPUTED_VALUE"""),"https://drive.google.com/open?id=1b4ROcWLTkFo9wz14FvoPPxYUhwwwBVdK")</f>
        <v>https://drive.google.com/open?id=1b4ROcWLTkFo9wz14FvoPPxYUhwwwBVdK</v>
      </c>
      <c r="V151" s="10"/>
      <c r="W151" s="10"/>
      <c r="X151" s="10" t="str">
        <f>IFERROR(__xludf.DUMMYFUNCTION("""COMPUTED_VALUE"""),"Yes")</f>
        <v>Yes</v>
      </c>
      <c r="Y151" s="14" t="str">
        <f>IFERROR(__xludf.DUMMYFUNCTION("""COMPUTED_VALUE"""),"fareedkhanlalaji@gmail.com")</f>
        <v>fareedkhanlalaji@gmail.com</v>
      </c>
      <c r="AA151" s="325">
        <v>3.0</v>
      </c>
    </row>
    <row r="152" hidden="1">
      <c r="A152" s="9">
        <f>IFERROR(__xludf.DUMMYFUNCTION("""COMPUTED_VALUE"""),45772.40777755787)</f>
        <v>45772.40778</v>
      </c>
      <c r="B152" s="10" t="str">
        <f>IFERROR(__xludf.DUMMYFUNCTION("""COMPUTED_VALUE"""),"Muhammad Awais")</f>
        <v>Muhammad Awais</v>
      </c>
      <c r="C152" s="10" t="str">
        <f>IFERROR(__xludf.DUMMYFUNCTION("""COMPUTED_VALUE"""),"03473681771")</f>
        <v>03473681771</v>
      </c>
      <c r="D152" s="10" t="str">
        <f>IFERROR(__xludf.DUMMYFUNCTION("""COMPUTED_VALUE"""),"Jamia masjid mian riman")</f>
        <v>Jamia masjid mian riman</v>
      </c>
      <c r="E152" s="10" t="str">
        <f>IFERROR(__xludf.DUMMYFUNCTION("""COMPUTED_VALUE"""),"VIEXI")</f>
        <v>VIEXI</v>
      </c>
      <c r="F152" s="10">
        <f>IFERROR(__xludf.DUMMYFUNCTION("""COMPUTED_VALUE"""),115.0)</f>
        <v>115</v>
      </c>
      <c r="G152" s="10">
        <f>IFERROR(__xludf.DUMMYFUNCTION("""COMPUTED_VALUE"""),9.0)</f>
        <v>9</v>
      </c>
      <c r="H152" s="10">
        <f>IFERROR(__xludf.DUMMYFUNCTION("""COMPUTED_VALUE"""),8.0)</f>
        <v>8</v>
      </c>
      <c r="I152" s="10">
        <f>IFERROR(__xludf.DUMMYFUNCTION("""COMPUTED_VALUE"""),1.0)</f>
        <v>1</v>
      </c>
      <c r="J152" s="10">
        <f>IFERROR(__xludf.DUMMYFUNCTION("""COMPUTED_VALUE"""),1995.0)</f>
        <v>1995</v>
      </c>
      <c r="K152" s="10" t="str">
        <f>IFERROR(__xludf.DUMMYFUNCTION("""COMPUTED_VALUE"""),"No")</f>
        <v>No</v>
      </c>
      <c r="L152" s="10" t="str">
        <f>IFERROR(__xludf.DUMMYFUNCTION("""COMPUTED_VALUE"""),"No")</f>
        <v>No</v>
      </c>
      <c r="M152" s="10">
        <f>IFERROR(__xludf.DUMMYFUNCTION("""COMPUTED_VALUE"""),9.0)</f>
        <v>9</v>
      </c>
      <c r="N152" s="10" t="str">
        <f>IFERROR(__xludf.DUMMYFUNCTION("""COMPUTED_VALUE"""),"No")</f>
        <v>No</v>
      </c>
      <c r="O152" s="10"/>
      <c r="P152" s="10"/>
      <c r="Q152" s="10"/>
      <c r="R152" s="10"/>
      <c r="S152" s="10" t="str">
        <f>IFERROR(__xludf.DUMMYFUNCTION("""COMPUTED_VALUE"""),"https://drive.google.com/open?id=1VpZl20HDSrdMqVZDtB6oL4xECc6y7Kwt, https://drive.google.com/open?id=1xJJQjeaWAIk7e22zUKs3ciSMMCRq2yVK, https://drive.google.com/open?id=1u8kHOBXLyIHIuNpQQ3WIAL240Xo19ykQ, https://drive.google.com/open?id=1pnw-SLI1roXcfTccF"&amp;"afVUclA_T5n8Ozp, https://drive.google.com/open?id=16-wHWfhTwZKBnacGS7_cV2p4kJ2gvsBO")</f>
        <v>https://drive.google.com/open?id=1VpZl20HDSrdMqVZDtB6oL4xECc6y7Kwt, https://drive.google.com/open?id=1xJJQjeaWAIk7e22zUKs3ciSMMCRq2yVK, https://drive.google.com/open?id=1u8kHOBXLyIHIuNpQQ3WIAL240Xo19ykQ, https://drive.google.com/open?id=1pnw-SLI1roXcfTccFafVUclA_T5n8Ozp, https://drive.google.com/open?id=16-wHWfhTwZKBnacGS7_cV2p4kJ2gvsBO</v>
      </c>
      <c r="T152" s="10" t="str">
        <f>IFERROR(__xludf.DUMMYFUNCTION("""COMPUTED_VALUE"""),"https://drive.google.com/open?id=10AKjP_HKCgRHBHbugJW4NpT3lgWSdHDP, https://drive.google.com/open?id=1FfyxErgKFW8wHNFhTeZt8gyQ1UYW14n6, https://drive.google.com/open?id=1pKMgTskPLeKQA4oWzJ5D_tu7ORaJfcO8, https://drive.google.com/open?id=1iL3nEfMhwUWEk2EPd"&amp;"zeGhDlfTdJe_OMH, https://drive.google.com/open?id=1U510zAP0T-8eCwMkWEQOBvTyu5UONPsx")</f>
        <v>https://drive.google.com/open?id=10AKjP_HKCgRHBHbugJW4NpT3lgWSdHDP, https://drive.google.com/open?id=1FfyxErgKFW8wHNFhTeZt8gyQ1UYW14n6, https://drive.google.com/open?id=1pKMgTskPLeKQA4oWzJ5D_tu7ORaJfcO8, https://drive.google.com/open?id=1iL3nEfMhwUWEk2EPdzeGhDlfTdJe_OMH, https://drive.google.com/open?id=1U510zAP0T-8eCwMkWEQOBvTyu5UONPsx</v>
      </c>
      <c r="U152" s="18" t="str">
        <f>IFERROR(__xludf.DUMMYFUNCTION("""COMPUTED_VALUE"""),"https://drive.google.com/open?id=1Vbmkdl_7Ei46isaOU8KeRUmtucMEKNlF")</f>
        <v>https://drive.google.com/open?id=1Vbmkdl_7Ei46isaOU8KeRUmtucMEKNlF</v>
      </c>
      <c r="V152" s="10"/>
      <c r="W152" s="10"/>
      <c r="X152" s="10"/>
      <c r="Y152" s="14" t="str">
        <f>IFERROR(__xludf.DUMMYFUNCTION("""COMPUTED_VALUE"""),"ranaawais8081@gmail.com")</f>
        <v>ranaawais8081@gmail.com</v>
      </c>
      <c r="AA152" s="325">
        <v>1.0</v>
      </c>
    </row>
    <row r="153" hidden="1">
      <c r="A153" s="9">
        <f>IFERROR(__xludf.DUMMYFUNCTION("""COMPUTED_VALUE"""),45772.4185924537)</f>
        <v>45772.41859</v>
      </c>
      <c r="B153" s="10" t="str">
        <f>IFERROR(__xludf.DUMMYFUNCTION("""COMPUTED_VALUE"""),"M.yamin kanwal")</f>
        <v>M.yamin kanwal</v>
      </c>
      <c r="C153" s="10" t="str">
        <f>IFERROR(__xludf.DUMMYFUNCTION("""COMPUTED_VALUE"""),"03007774537")</f>
        <v>03007774537</v>
      </c>
      <c r="D153" s="10" t="str">
        <f>IFERROR(__xludf.DUMMYFUNCTION("""COMPUTED_VALUE"""),"Jamia Masjid Noor  shakar garh")</f>
        <v>Jamia Masjid Noor  shakar garh</v>
      </c>
      <c r="E153" s="10" t="str">
        <f>IFERROR(__xludf.DUMMYFUNCTION("""COMPUTED_VALUE"""),"OHBDV")</f>
        <v>OHBDV</v>
      </c>
      <c r="F153" s="10">
        <f>IFERROR(__xludf.DUMMYFUNCTION("""COMPUTED_VALUE"""),895.0)</f>
        <v>895</v>
      </c>
      <c r="G153" s="10">
        <f>IFERROR(__xludf.DUMMYFUNCTION("""COMPUTED_VALUE"""),8.0)</f>
        <v>8</v>
      </c>
      <c r="H153" s="10">
        <f>IFERROR(__xludf.DUMMYFUNCTION("""COMPUTED_VALUE"""),8.0)</f>
        <v>8</v>
      </c>
      <c r="I153" s="10">
        <f>IFERROR(__xludf.DUMMYFUNCTION("""COMPUTED_VALUE"""),0.0)</f>
        <v>0</v>
      </c>
      <c r="J153" s="10">
        <f>IFERROR(__xludf.DUMMYFUNCTION("""COMPUTED_VALUE"""),1965.0)</f>
        <v>1965</v>
      </c>
      <c r="K153" s="10" t="str">
        <f>IFERROR(__xludf.DUMMYFUNCTION("""COMPUTED_VALUE"""),"No")</f>
        <v>No</v>
      </c>
      <c r="L153" s="10" t="str">
        <f>IFERROR(__xludf.DUMMYFUNCTION("""COMPUTED_VALUE"""),"No")</f>
        <v>No</v>
      </c>
      <c r="M153" s="10">
        <f>IFERROR(__xludf.DUMMYFUNCTION("""COMPUTED_VALUE"""),10.0)</f>
        <v>10</v>
      </c>
      <c r="N153" s="10" t="str">
        <f>IFERROR(__xludf.DUMMYFUNCTION("""COMPUTED_VALUE"""),"Yes")</f>
        <v>Yes</v>
      </c>
      <c r="O153" s="323">
        <f>IFERROR(__xludf.DUMMYFUNCTION("""COMPUTED_VALUE"""),0.8)</f>
        <v>0.8</v>
      </c>
      <c r="P153" s="10">
        <f>IFERROR(__xludf.DUMMYFUNCTION("""COMPUTED_VALUE"""),8.0)</f>
        <v>8</v>
      </c>
      <c r="Q153" s="10">
        <f>IFERROR(__xludf.DUMMYFUNCTION("""COMPUTED_VALUE"""),2.0)</f>
        <v>2</v>
      </c>
      <c r="R153" s="10">
        <f>IFERROR(__xludf.DUMMYFUNCTION("""COMPUTED_VALUE"""),9.0)</f>
        <v>9</v>
      </c>
      <c r="S153" s="18" t="str">
        <f>IFERROR(__xludf.DUMMYFUNCTION("""COMPUTED_VALUE"""),"https://drive.google.com/open?id=1L9oSBZYReKTHypvdySBgItyXzsCXL2bp")</f>
        <v>https://drive.google.com/open?id=1L9oSBZYReKTHypvdySBgItyXzsCXL2bp</v>
      </c>
      <c r="T153" s="18" t="str">
        <f>IFERROR(__xludf.DUMMYFUNCTION("""COMPUTED_VALUE"""),"https://drive.google.com/open?id=1DgMZOT4N2NVhegCHDzajarK1l2G_xD-m")</f>
        <v>https://drive.google.com/open?id=1DgMZOT4N2NVhegCHDzajarK1l2G_xD-m</v>
      </c>
      <c r="U153" s="18" t="str">
        <f>IFERROR(__xludf.DUMMYFUNCTION("""COMPUTED_VALUE"""),"https://drive.google.com/open?id=188qZcmQYILmryMOpP5ifK9X1I7n91rC_")</f>
        <v>https://drive.google.com/open?id=188qZcmQYILmryMOpP5ifK9X1I7n91rC_</v>
      </c>
      <c r="V153" s="10"/>
      <c r="W153" s="10"/>
      <c r="X153" s="10" t="str">
        <f>IFERROR(__xludf.DUMMYFUNCTION("""COMPUTED_VALUE"""),"Yes")</f>
        <v>Yes</v>
      </c>
      <c r="Y153" s="14" t="str">
        <f>IFERROR(__xludf.DUMMYFUNCTION("""COMPUTED_VALUE"""),"yameenmss@gmail.com")</f>
        <v>yameenmss@gmail.com</v>
      </c>
      <c r="AA153" s="325">
        <v>1.0</v>
      </c>
    </row>
    <row r="154" hidden="1">
      <c r="A154" s="9">
        <f>IFERROR(__xludf.DUMMYFUNCTION("""COMPUTED_VALUE"""),45772.4372637037)</f>
        <v>45772.43726</v>
      </c>
      <c r="B154" s="10" t="str">
        <f>IFERROR(__xludf.DUMMYFUNCTION("""COMPUTED_VALUE"""),"Hasnain shah")</f>
        <v>Hasnain shah</v>
      </c>
      <c r="C154" s="10" t="str">
        <f>IFERROR(__xludf.DUMMYFUNCTION("""COMPUTED_VALUE"""),"03247339111")</f>
        <v>03247339111</v>
      </c>
      <c r="D154" s="10" t="str">
        <f>IFERROR(__xludf.DUMMYFUNCTION("""COMPUTED_VALUE"""),"JAMIA MASJID UCHI LAHORI GATE ")</f>
        <v>JAMIA MASJID UCHI LAHORI GATE </v>
      </c>
      <c r="E154" s="10" t="str">
        <f>IFERROR(__xludf.DUMMYFUNCTION("""COMPUTED_VALUE"""),"SPHKK")</f>
        <v>SPHKK</v>
      </c>
      <c r="F154" s="10">
        <f>IFERROR(__xludf.DUMMYFUNCTION("""COMPUTED_VALUE"""),250.0)</f>
        <v>250</v>
      </c>
      <c r="G154" s="10">
        <f>IFERROR(__xludf.DUMMYFUNCTION("""COMPUTED_VALUE"""),10.0)</f>
        <v>10</v>
      </c>
      <c r="H154" s="10">
        <f>IFERROR(__xludf.DUMMYFUNCTION("""COMPUTED_VALUE"""),10.0)</f>
        <v>10</v>
      </c>
      <c r="I154" s="10">
        <f>IFERROR(__xludf.DUMMYFUNCTION("""COMPUTED_VALUE"""),0.0)</f>
        <v>0</v>
      </c>
      <c r="J154" s="10">
        <f>IFERROR(__xludf.DUMMYFUNCTION("""COMPUTED_VALUE"""),1980.0)</f>
        <v>1980</v>
      </c>
      <c r="K154" s="10" t="str">
        <f>IFERROR(__xludf.DUMMYFUNCTION("""COMPUTED_VALUE"""),"No")</f>
        <v>No</v>
      </c>
      <c r="L154" s="10" t="str">
        <f>IFERROR(__xludf.DUMMYFUNCTION("""COMPUTED_VALUE"""),"No")</f>
        <v>No</v>
      </c>
      <c r="M154" s="10">
        <f>IFERROR(__xludf.DUMMYFUNCTION("""COMPUTED_VALUE"""),10.0)</f>
        <v>10</v>
      </c>
      <c r="N154" s="10" t="str">
        <f>IFERROR(__xludf.DUMMYFUNCTION("""COMPUTED_VALUE"""),"No")</f>
        <v>No</v>
      </c>
      <c r="O154" s="10"/>
      <c r="P154" s="10"/>
      <c r="Q154" s="10"/>
      <c r="R154" s="10"/>
      <c r="S154" s="18" t="str">
        <f>IFERROR(__xludf.DUMMYFUNCTION("""COMPUTED_VALUE"""),"https://drive.google.com/open?id=1D5SBbW3iwFU4wg0PIzFTc6_sVBMyyTV1")</f>
        <v>https://drive.google.com/open?id=1D5SBbW3iwFU4wg0PIzFTc6_sVBMyyTV1</v>
      </c>
      <c r="T154" s="18" t="str">
        <f>IFERROR(__xludf.DUMMYFUNCTION("""COMPUTED_VALUE"""),"https://drive.google.com/open?id=12dZ2oXeWcOtEEi-T1EKVOIY6N6VQ_xDI")</f>
        <v>https://drive.google.com/open?id=12dZ2oXeWcOtEEi-T1EKVOIY6N6VQ_xDI</v>
      </c>
      <c r="U154" s="18" t="str">
        <f>IFERROR(__xludf.DUMMYFUNCTION("""COMPUTED_VALUE"""),"https://drive.google.com/open?id=1C1BzaOZeUWg6rrKdwl4AGrWsW9JonCi5")</f>
        <v>https://drive.google.com/open?id=1C1BzaOZeUWg6rrKdwl4AGrWsW9JonCi5</v>
      </c>
      <c r="V154" s="10"/>
      <c r="W154" s="10"/>
      <c r="X154" s="10"/>
      <c r="Y154" s="14" t="str">
        <f>IFERROR(__xludf.DUMMYFUNCTION("""COMPUTED_VALUE"""),"aliraza.hafizabadi@gmail.com")</f>
        <v>aliraza.hafizabadi@gmail.com</v>
      </c>
      <c r="AA154" s="325">
        <v>1.0</v>
      </c>
    </row>
    <row r="155" hidden="1">
      <c r="A155" s="9">
        <f>IFERROR(__xludf.DUMMYFUNCTION("""COMPUTED_VALUE"""),45772.44100803241)</f>
        <v>45772.44101</v>
      </c>
      <c r="B155" s="10" t="str">
        <f>IFERROR(__xludf.DUMMYFUNCTION("""COMPUTED_VALUE"""),"Muhammad Noman")</f>
        <v>Muhammad Noman</v>
      </c>
      <c r="C155" s="10" t="str">
        <f>IFERROR(__xludf.DUMMYFUNCTION("""COMPUTED_VALUE"""),"03036966304")</f>
        <v>03036966304</v>
      </c>
      <c r="D155" s="10" t="str">
        <f>IFERROR(__xludf.DUMMYFUNCTION("""COMPUTED_VALUE"""),"Jamia Masjid Neela Ghumbat")</f>
        <v>Jamia Masjid Neela Ghumbat</v>
      </c>
      <c r="E155" s="10" t="str">
        <f>IFERROR(__xludf.DUMMYFUNCTION("""COMPUTED_VALUE"""),"lwumj")</f>
        <v>lwumj</v>
      </c>
      <c r="F155" s="10">
        <f>IFERROR(__xludf.DUMMYFUNCTION("""COMPUTED_VALUE"""),1130.0)</f>
        <v>1130</v>
      </c>
      <c r="G155" s="10">
        <f>IFERROR(__xludf.DUMMYFUNCTION("""COMPUTED_VALUE"""),10.0)</f>
        <v>10</v>
      </c>
      <c r="H155" s="10">
        <f>IFERROR(__xludf.DUMMYFUNCTION("""COMPUTED_VALUE"""),10.0)</f>
        <v>10</v>
      </c>
      <c r="I155" s="10">
        <f>IFERROR(__xludf.DUMMYFUNCTION("""COMPUTED_VALUE"""),0.0)</f>
        <v>0</v>
      </c>
      <c r="J155" s="10" t="str">
        <f>IFERROR(__xludf.DUMMYFUNCTION("""COMPUTED_VALUE"""),"0000")</f>
        <v>0000</v>
      </c>
      <c r="K155" s="10" t="str">
        <f>IFERROR(__xludf.DUMMYFUNCTION("""COMPUTED_VALUE"""),"No")</f>
        <v>No</v>
      </c>
      <c r="L155" s="10" t="str">
        <f>IFERROR(__xludf.DUMMYFUNCTION("""COMPUTED_VALUE"""),"No")</f>
        <v>No</v>
      </c>
      <c r="M155" s="10">
        <f>IFERROR(__xludf.DUMMYFUNCTION("""COMPUTED_VALUE"""),10.0)</f>
        <v>10</v>
      </c>
      <c r="N155" s="10" t="str">
        <f>IFERROR(__xludf.DUMMYFUNCTION("""COMPUTED_VALUE"""),"No")</f>
        <v>No</v>
      </c>
      <c r="O155" s="10"/>
      <c r="P155" s="10"/>
      <c r="Q155" s="10"/>
      <c r="R155" s="10"/>
      <c r="S155" s="18" t="str">
        <f>IFERROR(__xludf.DUMMYFUNCTION("""COMPUTED_VALUE"""),"https://drive.google.com/open?id=1sUjnlN3muEANEsRC9RCdy_cbJjwlvcOZ")</f>
        <v>https://drive.google.com/open?id=1sUjnlN3muEANEsRC9RCdy_cbJjwlvcOZ</v>
      </c>
      <c r="T155" s="18" t="str">
        <f>IFERROR(__xludf.DUMMYFUNCTION("""COMPUTED_VALUE"""),"https://drive.google.com/open?id=1jOLXk57WXLNZG68w6ZSIkXjfcS7o5OF4")</f>
        <v>https://drive.google.com/open?id=1jOLXk57WXLNZG68w6ZSIkXjfcS7o5OF4</v>
      </c>
      <c r="U155" s="18" t="str">
        <f>IFERROR(__xludf.DUMMYFUNCTION("""COMPUTED_VALUE"""),"https://drive.google.com/open?id=1Zm36mkMdwUDbm9e8x7xaqiXgzvjbiMqO")</f>
        <v>https://drive.google.com/open?id=1Zm36mkMdwUDbm9e8x7xaqiXgzvjbiMqO</v>
      </c>
      <c r="V155" s="10"/>
      <c r="W155" s="10"/>
      <c r="X155" s="10"/>
      <c r="Y155" s="14" t="str">
        <f>IFERROR(__xludf.DUMMYFUNCTION("""COMPUTED_VALUE"""),"miannomanamjad284@gmail.com")</f>
        <v>miannomanamjad284@gmail.com</v>
      </c>
      <c r="AA155" s="325">
        <v>3.0</v>
      </c>
    </row>
    <row r="156" hidden="1">
      <c r="A156" s="9">
        <f>IFERROR(__xludf.DUMMYFUNCTION("""COMPUTED_VALUE"""),45772.44462707176)</f>
        <v>45772.44463</v>
      </c>
      <c r="B156" s="10" t="str">
        <f>IFERROR(__xludf.DUMMYFUNCTION("""COMPUTED_VALUE"""),"Muhammad Ahsan")</f>
        <v>Muhammad Ahsan</v>
      </c>
      <c r="C156" s="10" t="str">
        <f>IFERROR(__xludf.DUMMYFUNCTION("""COMPUTED_VALUE"""),"0307-8868667")</f>
        <v>0307-8868667</v>
      </c>
      <c r="D156" s="10" t="str">
        <f>IFERROR(__xludf.DUMMYFUNCTION("""COMPUTED_VALUE"""),"Jamia Masjid Darbar Shah Chiraag Lahore")</f>
        <v>Jamia Masjid Darbar Shah Chiraag Lahore</v>
      </c>
      <c r="E156" s="10" t="str">
        <f>IFERROR(__xludf.DUMMYFUNCTION("""COMPUTED_VALUE"""),"pmeqo")</f>
        <v>pmeqo</v>
      </c>
      <c r="F156" s="10">
        <f>IFERROR(__xludf.DUMMYFUNCTION("""COMPUTED_VALUE"""),690.0)</f>
        <v>690</v>
      </c>
      <c r="G156" s="10">
        <f>IFERROR(__xludf.DUMMYFUNCTION("""COMPUTED_VALUE"""),9.0)</f>
        <v>9</v>
      </c>
      <c r="H156" s="10">
        <f>IFERROR(__xludf.DUMMYFUNCTION("""COMPUTED_VALUE"""),9.0)</f>
        <v>9</v>
      </c>
      <c r="I156" s="10">
        <f>IFERROR(__xludf.DUMMYFUNCTION("""COMPUTED_VALUE"""),0.0)</f>
        <v>0</v>
      </c>
      <c r="J156" s="10" t="str">
        <f>IFERROR(__xludf.DUMMYFUNCTION("""COMPUTED_VALUE"""),"0000")</f>
        <v>0000</v>
      </c>
      <c r="K156" s="10" t="str">
        <f>IFERROR(__xludf.DUMMYFUNCTION("""COMPUTED_VALUE"""),"No")</f>
        <v>No</v>
      </c>
      <c r="L156" s="10" t="str">
        <f>IFERROR(__xludf.DUMMYFUNCTION("""COMPUTED_VALUE"""),"no")</f>
        <v>no</v>
      </c>
      <c r="M156" s="10">
        <f>IFERROR(__xludf.DUMMYFUNCTION("""COMPUTED_VALUE"""),9.0)</f>
        <v>9</v>
      </c>
      <c r="N156" s="10" t="str">
        <f>IFERROR(__xludf.DUMMYFUNCTION("""COMPUTED_VALUE"""),"No")</f>
        <v>No</v>
      </c>
      <c r="O156" s="10"/>
      <c r="P156" s="10"/>
      <c r="Q156" s="10"/>
      <c r="R156" s="10"/>
      <c r="S156" s="18" t="str">
        <f>IFERROR(__xludf.DUMMYFUNCTION("""COMPUTED_VALUE"""),"https://drive.google.com/open?id=1KY1LEkBHgGczwV_kiPYocEUrsn11IlHp")</f>
        <v>https://drive.google.com/open?id=1KY1LEkBHgGczwV_kiPYocEUrsn11IlHp</v>
      </c>
      <c r="T156" s="18" t="str">
        <f>IFERROR(__xludf.DUMMYFUNCTION("""COMPUTED_VALUE"""),"https://drive.google.com/open?id=1fx40w1y_op9NgHe6k8a8I_L5qsZoSkxS")</f>
        <v>https://drive.google.com/open?id=1fx40w1y_op9NgHe6k8a8I_L5qsZoSkxS</v>
      </c>
      <c r="U156" s="18" t="str">
        <f>IFERROR(__xludf.DUMMYFUNCTION("""COMPUTED_VALUE"""),"https://drive.google.com/open?id=1Ocug-wCRf-GoMWs9kKlNjdiKTu5Z06VJ")</f>
        <v>https://drive.google.com/open?id=1Ocug-wCRf-GoMWs9kKlNjdiKTu5Z06VJ</v>
      </c>
      <c r="V156" s="10"/>
      <c r="W156" s="10"/>
      <c r="X156" s="10"/>
      <c r="Y156" s="14" t="str">
        <f>IFERROR(__xludf.DUMMYFUNCTION("""COMPUTED_VALUE"""),"ahsanhamid496@gmail.com")</f>
        <v>ahsanhamid496@gmail.com</v>
      </c>
      <c r="AA156" s="325">
        <v>3.0</v>
      </c>
    </row>
    <row r="157" hidden="1">
      <c r="A157" s="9">
        <f>IFERROR(__xludf.DUMMYFUNCTION("""COMPUTED_VALUE"""),45772.44683435185)</f>
        <v>45772.44683</v>
      </c>
      <c r="B157" s="10" t="str">
        <f>IFERROR(__xludf.DUMMYFUNCTION("""COMPUTED_VALUE"""),"Muhammd Ahsan")</f>
        <v>Muhammd Ahsan</v>
      </c>
      <c r="C157" s="10" t="str">
        <f>IFERROR(__xludf.DUMMYFUNCTION("""COMPUTED_VALUE"""),"0307-8868667")</f>
        <v>0307-8868667</v>
      </c>
      <c r="D157" s="10" t="str">
        <f>IFERROR(__xludf.DUMMYFUNCTION("""COMPUTED_VALUE"""),"Jamia Masjid Takiya Sain Sardaara Lahore")</f>
        <v>Jamia Masjid Takiya Sain Sardaara Lahore</v>
      </c>
      <c r="E157" s="10" t="str">
        <f>IFERROR(__xludf.DUMMYFUNCTION("""COMPUTED_VALUE"""),"vtoiy")</f>
        <v>vtoiy</v>
      </c>
      <c r="F157" s="10">
        <f>IFERROR(__xludf.DUMMYFUNCTION("""COMPUTED_VALUE"""),455.0)</f>
        <v>455</v>
      </c>
      <c r="G157" s="10">
        <f>IFERROR(__xludf.DUMMYFUNCTION("""COMPUTED_VALUE"""),10.0)</f>
        <v>10</v>
      </c>
      <c r="H157" s="10">
        <f>IFERROR(__xludf.DUMMYFUNCTION("""COMPUTED_VALUE"""),8.0)</f>
        <v>8</v>
      </c>
      <c r="I157" s="10">
        <f>IFERROR(__xludf.DUMMYFUNCTION("""COMPUTED_VALUE"""),0.0)</f>
        <v>0</v>
      </c>
      <c r="J157" s="10" t="str">
        <f>IFERROR(__xludf.DUMMYFUNCTION("""COMPUTED_VALUE"""),"0000")</f>
        <v>0000</v>
      </c>
      <c r="K157" s="10" t="str">
        <f>IFERROR(__xludf.DUMMYFUNCTION("""COMPUTED_VALUE"""),"No")</f>
        <v>No</v>
      </c>
      <c r="L157" s="10" t="str">
        <f>IFERROR(__xludf.DUMMYFUNCTION("""COMPUTED_VALUE"""),"Takiya Sain Sardaara")</f>
        <v>Takiya Sain Sardaara</v>
      </c>
      <c r="M157" s="10">
        <f>IFERROR(__xludf.DUMMYFUNCTION("""COMPUTED_VALUE"""),10.0)</f>
        <v>10</v>
      </c>
      <c r="N157" s="10" t="str">
        <f>IFERROR(__xludf.DUMMYFUNCTION("""COMPUTED_VALUE"""),"No")</f>
        <v>No</v>
      </c>
      <c r="O157" s="10"/>
      <c r="P157" s="10"/>
      <c r="Q157" s="10"/>
      <c r="R157" s="10"/>
      <c r="S157" s="18" t="str">
        <f>IFERROR(__xludf.DUMMYFUNCTION("""COMPUTED_VALUE"""),"https://drive.google.com/open?id=12TPdsqDOWuzOVvFlCOvwENCm8dQ9xks2")</f>
        <v>https://drive.google.com/open?id=12TPdsqDOWuzOVvFlCOvwENCm8dQ9xks2</v>
      </c>
      <c r="T157" s="18" t="str">
        <f>IFERROR(__xludf.DUMMYFUNCTION("""COMPUTED_VALUE"""),"https://drive.google.com/open?id=1ZHPSwlaCA18MXl7pbKmeFDREfFiLCCL1")</f>
        <v>https://drive.google.com/open?id=1ZHPSwlaCA18MXl7pbKmeFDREfFiLCCL1</v>
      </c>
      <c r="U157" s="18" t="str">
        <f>IFERROR(__xludf.DUMMYFUNCTION("""COMPUTED_VALUE"""),"https://drive.google.com/open?id=1oFCst-zhCdKB8ctPgZ0wSQVtIKt9ZKB-")</f>
        <v>https://drive.google.com/open?id=1oFCst-zhCdKB8ctPgZ0wSQVtIKt9ZKB-</v>
      </c>
      <c r="V157" s="10"/>
      <c r="W157" s="10"/>
      <c r="X157" s="10"/>
      <c r="Y157" s="14" t="str">
        <f>IFERROR(__xludf.DUMMYFUNCTION("""COMPUTED_VALUE"""),"ahsanhamid496@gmail.com")</f>
        <v>ahsanhamid496@gmail.com</v>
      </c>
      <c r="AA157" s="325">
        <v>3.0</v>
      </c>
    </row>
    <row r="158" hidden="1">
      <c r="A158" s="9">
        <f>IFERROR(__xludf.DUMMYFUNCTION("""COMPUTED_VALUE"""),45772.45208545139)</f>
        <v>45772.45209</v>
      </c>
      <c r="B158" s="10" t="str">
        <f>IFERROR(__xludf.DUMMYFUNCTION("""COMPUTED_VALUE"""),"Ghulam mustafa")</f>
        <v>Ghulam mustafa</v>
      </c>
      <c r="C158" s="10" t="str">
        <f>IFERROR(__xludf.DUMMYFUNCTION("""COMPUTED_VALUE"""),"03275749410")</f>
        <v>03275749410</v>
      </c>
      <c r="D158" s="10" t="str">
        <f>IFERROR(__xludf.DUMMYFUNCTION("""COMPUTED_VALUE"""),"JAMIA MASJID BHIRI SHAH REHMAN")</f>
        <v>JAMIA MASJID BHIRI SHAH REHMAN</v>
      </c>
      <c r="E158" s="10" t="str">
        <f>IFERROR(__xludf.DUMMYFUNCTION("""COMPUTED_VALUE"""),"OUGEG")</f>
        <v>OUGEG</v>
      </c>
      <c r="F158" s="10">
        <f>IFERROR(__xludf.DUMMYFUNCTION("""COMPUTED_VALUE"""),110.0)</f>
        <v>110</v>
      </c>
      <c r="G158" s="10">
        <f>IFERROR(__xludf.DUMMYFUNCTION("""COMPUTED_VALUE"""),10.0)</f>
        <v>10</v>
      </c>
      <c r="H158" s="10">
        <f>IFERROR(__xludf.DUMMYFUNCTION("""COMPUTED_VALUE"""),10.0)</f>
        <v>10</v>
      </c>
      <c r="I158" s="10" t="str">
        <f>IFERROR(__xludf.DUMMYFUNCTION("""COMPUTED_VALUE"""),"No")</f>
        <v>No</v>
      </c>
      <c r="J158" s="10">
        <f>IFERROR(__xludf.DUMMYFUNCTION("""COMPUTED_VALUE"""),1945.0)</f>
        <v>1945</v>
      </c>
      <c r="K158" s="10" t="str">
        <f>IFERROR(__xludf.DUMMYFUNCTION("""COMPUTED_VALUE"""),"No")</f>
        <v>No</v>
      </c>
      <c r="L158" s="10" t="str">
        <f>IFERROR(__xludf.DUMMYFUNCTION("""COMPUTED_VALUE"""),"Yes")</f>
        <v>Yes</v>
      </c>
      <c r="M158" s="10">
        <f>IFERROR(__xludf.DUMMYFUNCTION("""COMPUTED_VALUE"""),7.0)</f>
        <v>7</v>
      </c>
      <c r="N158" s="10" t="str">
        <f>IFERROR(__xludf.DUMMYFUNCTION("""COMPUTED_VALUE"""),"No")</f>
        <v>No</v>
      </c>
      <c r="O158" s="10"/>
      <c r="P158" s="10"/>
      <c r="Q158" s="10"/>
      <c r="R158" s="10"/>
      <c r="S158" s="18" t="str">
        <f>IFERROR(__xludf.DUMMYFUNCTION("""COMPUTED_VALUE"""),"https://drive.google.com/open?id=1vjzyv-pjfYw4AnR7MzR3uD8tPMMfcSRk")</f>
        <v>https://drive.google.com/open?id=1vjzyv-pjfYw4AnR7MzR3uD8tPMMfcSRk</v>
      </c>
      <c r="T158" s="18" t="str">
        <f>IFERROR(__xludf.DUMMYFUNCTION("""COMPUTED_VALUE"""),"https://drive.google.com/open?id=1NfqjaDGIZkL1YzDd96_XDunx3ta2K73C")</f>
        <v>https://drive.google.com/open?id=1NfqjaDGIZkL1YzDd96_XDunx3ta2K73C</v>
      </c>
      <c r="U158" s="18" t="str">
        <f>IFERROR(__xludf.DUMMYFUNCTION("""COMPUTED_VALUE"""),"https://drive.google.com/open?id=1Z8KQxH3IRkAxLd5omGkbS0o4w-B71N8i")</f>
        <v>https://drive.google.com/open?id=1Z8KQxH3IRkAxLd5omGkbS0o4w-B71N8i</v>
      </c>
      <c r="V158" s="10"/>
      <c r="W158" s="10"/>
      <c r="X158" s="10"/>
      <c r="Y158" s="14" t="str">
        <f>IFERROR(__xludf.DUMMYFUNCTION("""COMPUTED_VALUE"""),"gm3130331@gmail.com")</f>
        <v>gm3130331@gmail.com</v>
      </c>
      <c r="AA158" s="325">
        <v>1.0</v>
      </c>
    </row>
    <row r="159" hidden="1">
      <c r="A159" s="9">
        <f>IFERROR(__xludf.DUMMYFUNCTION("""COMPUTED_VALUE"""),45772.45410912037)</f>
        <v>45772.45411</v>
      </c>
      <c r="B159" s="10" t="str">
        <f>IFERROR(__xludf.DUMMYFUNCTION("""COMPUTED_VALUE"""),"نعمان بٹ")</f>
        <v>نعمان بٹ</v>
      </c>
      <c r="C159" s="10">
        <f>IFERROR(__xludf.DUMMYFUNCTION("""COMPUTED_VALUE"""),3.098691205E9)</f>
        <v>3098691205</v>
      </c>
      <c r="D159" s="10" t="str">
        <f>IFERROR(__xludf.DUMMYFUNCTION("""COMPUTED_VALUE"""),"Jamia masjid darbar mohri shareef")</f>
        <v>Jamia masjid darbar mohri shareef</v>
      </c>
      <c r="E159" s="10" t="str">
        <f>IFERROR(__xludf.DUMMYFUNCTION("""COMPUTED_VALUE"""),"Kmbbm")</f>
        <v>Kmbbm</v>
      </c>
      <c r="F159" s="10">
        <f>IFERROR(__xludf.DUMMYFUNCTION("""COMPUTED_VALUE"""),230.0)</f>
        <v>230</v>
      </c>
      <c r="G159" s="10">
        <f>IFERROR(__xludf.DUMMYFUNCTION("""COMPUTED_VALUE"""),9.0)</f>
        <v>9</v>
      </c>
      <c r="H159" s="10">
        <f>IFERROR(__xludf.DUMMYFUNCTION("""COMPUTED_VALUE"""),9.0)</f>
        <v>9</v>
      </c>
      <c r="I159" s="10">
        <f>IFERROR(__xludf.DUMMYFUNCTION("""COMPUTED_VALUE"""),1.0)</f>
        <v>1</v>
      </c>
      <c r="J159" s="10" t="str">
        <f>IFERROR(__xludf.DUMMYFUNCTION("""COMPUTED_VALUE"""),"0000")</f>
        <v>0000</v>
      </c>
      <c r="K159" s="10" t="str">
        <f>IFERROR(__xludf.DUMMYFUNCTION("""COMPUTED_VALUE"""),"No")</f>
        <v>No</v>
      </c>
      <c r="L159" s="10" t="str">
        <f>IFERROR(__xludf.DUMMYFUNCTION("""COMPUTED_VALUE"""),"Masoom shah ")</f>
        <v>Masoom shah </v>
      </c>
      <c r="M159" s="10">
        <f>IFERROR(__xludf.DUMMYFUNCTION("""COMPUTED_VALUE"""),8.0)</f>
        <v>8</v>
      </c>
      <c r="N159" s="10" t="str">
        <f>IFERROR(__xludf.DUMMYFUNCTION("""COMPUTED_VALUE"""),"No")</f>
        <v>No</v>
      </c>
      <c r="O159" s="10"/>
      <c r="P159" s="10"/>
      <c r="Q159" s="10"/>
      <c r="R159" s="10"/>
      <c r="S159" s="18" t="str">
        <f>IFERROR(__xludf.DUMMYFUNCTION("""COMPUTED_VALUE"""),"https://drive.google.com/open?id=14id7wpXsgIi9xZojwOEGmKP9QSsDhH7m")</f>
        <v>https://drive.google.com/open?id=14id7wpXsgIi9xZojwOEGmKP9QSsDhH7m</v>
      </c>
      <c r="T159" s="18" t="str">
        <f>IFERROR(__xludf.DUMMYFUNCTION("""COMPUTED_VALUE"""),"https://drive.google.com/open?id=1xri0t6MXIhDdICHaZ5EK0fNYqKrFN21K")</f>
        <v>https://drive.google.com/open?id=1xri0t6MXIhDdICHaZ5EK0fNYqKrFN21K</v>
      </c>
      <c r="U159" s="18" t="str">
        <f>IFERROR(__xludf.DUMMYFUNCTION("""COMPUTED_VALUE"""),"https://drive.google.com/open?id=1yde1CLFiqs8CIBA7xjc9X16TvQebxCCh")</f>
        <v>https://drive.google.com/open?id=1yde1CLFiqs8CIBA7xjc9X16TvQebxCCh</v>
      </c>
      <c r="V159" s="10"/>
      <c r="W159" s="10"/>
      <c r="X159" s="10"/>
      <c r="Y159" s="14" t="str">
        <f>IFERROR(__xludf.DUMMYFUNCTION("""COMPUTED_VALUE"""),"sulamanasghar69@gmail.com")</f>
        <v>sulamanasghar69@gmail.com</v>
      </c>
      <c r="AA159" s="325">
        <v>1.0</v>
      </c>
    </row>
    <row r="160" hidden="1">
      <c r="A160" s="9">
        <f>IFERROR(__xludf.DUMMYFUNCTION("""COMPUTED_VALUE"""),45772.457328819444)</f>
        <v>45772.45733</v>
      </c>
      <c r="B160" s="10" t="str">
        <f>IFERROR(__xludf.DUMMYFUNCTION("""COMPUTED_VALUE"""),"Anees")</f>
        <v>Anees</v>
      </c>
      <c r="C160" s="10" t="str">
        <f>IFERROR(__xludf.DUMMYFUNCTION("""COMPUTED_VALUE"""),"03374188965")</f>
        <v>03374188965</v>
      </c>
      <c r="D160" s="10" t="str">
        <f>IFERROR(__xludf.DUMMYFUNCTION("""COMPUTED_VALUE"""),"Jamia Masjid Molve taaj Deen ")</f>
        <v>Jamia Masjid Molve taaj Deen </v>
      </c>
      <c r="E160" s="10" t="str">
        <f>IFERROR(__xludf.DUMMYFUNCTION("""COMPUTED_VALUE"""),"xmebi")</f>
        <v>xmebi</v>
      </c>
      <c r="F160" s="10">
        <f>IFERROR(__xludf.DUMMYFUNCTION("""COMPUTED_VALUE"""),215.0)</f>
        <v>215</v>
      </c>
      <c r="G160" s="10">
        <f>IFERROR(__xludf.DUMMYFUNCTION("""COMPUTED_VALUE"""),9.0)</f>
        <v>9</v>
      </c>
      <c r="H160" s="10">
        <f>IFERROR(__xludf.DUMMYFUNCTION("""COMPUTED_VALUE"""),9.0)</f>
        <v>9</v>
      </c>
      <c r="I160" s="10">
        <f>IFERROR(__xludf.DUMMYFUNCTION("""COMPUTED_VALUE"""),0.0)</f>
        <v>0</v>
      </c>
      <c r="J160" s="10" t="str">
        <f>IFERROR(__xludf.DUMMYFUNCTION("""COMPUTED_VALUE"""),"0000")</f>
        <v>0000</v>
      </c>
      <c r="K160" s="10" t="str">
        <f>IFERROR(__xludf.DUMMYFUNCTION("""COMPUTED_VALUE"""),"No")</f>
        <v>No</v>
      </c>
      <c r="L160" s="10" t="str">
        <f>IFERROR(__xludf.DUMMYFUNCTION("""COMPUTED_VALUE"""),"No")</f>
        <v>No</v>
      </c>
      <c r="M160" s="10">
        <f>IFERROR(__xludf.DUMMYFUNCTION("""COMPUTED_VALUE"""),10.0)</f>
        <v>10</v>
      </c>
      <c r="N160" s="10" t="str">
        <f>IFERROR(__xludf.DUMMYFUNCTION("""COMPUTED_VALUE"""),"No")</f>
        <v>No</v>
      </c>
      <c r="O160" s="10"/>
      <c r="P160" s="10"/>
      <c r="Q160" s="10"/>
      <c r="R160" s="10"/>
      <c r="S160" s="18" t="str">
        <f>IFERROR(__xludf.DUMMYFUNCTION("""COMPUTED_VALUE"""),"https://drive.google.com/open?id=1UOSckozeYWtAqN61LDFnQWqgQxxk2CUp")</f>
        <v>https://drive.google.com/open?id=1UOSckozeYWtAqN61LDFnQWqgQxxk2CUp</v>
      </c>
      <c r="T160" s="18" t="str">
        <f>IFERROR(__xludf.DUMMYFUNCTION("""COMPUTED_VALUE"""),"https://drive.google.com/open?id=1LDbdFZryofoJ8frIE1MYhtKQtNo-bunN")</f>
        <v>https://drive.google.com/open?id=1LDbdFZryofoJ8frIE1MYhtKQtNo-bunN</v>
      </c>
      <c r="U160" s="18" t="str">
        <f>IFERROR(__xludf.DUMMYFUNCTION("""COMPUTED_VALUE"""),"https://drive.google.com/open?id=1NLdjUUqbODtbnYvK7WLMWw5z9l1WKbzp")</f>
        <v>https://drive.google.com/open?id=1NLdjUUqbODtbnYvK7WLMWw5z9l1WKbzp</v>
      </c>
      <c r="V160" s="10"/>
      <c r="W160" s="10"/>
      <c r="X160" s="10"/>
      <c r="Y160" s="14" t="str">
        <f>IFERROR(__xludf.DUMMYFUNCTION("""COMPUTED_VALUE"""),"haris.cerp@gmail.com")</f>
        <v>haris.cerp@gmail.com</v>
      </c>
      <c r="AA160" s="325">
        <v>3.0</v>
      </c>
    </row>
    <row r="161" hidden="1">
      <c r="A161" s="9">
        <f>IFERROR(__xludf.DUMMYFUNCTION("""COMPUTED_VALUE"""),45772.46448671297)</f>
        <v>45772.46449</v>
      </c>
      <c r="B161" s="10" t="str">
        <f>IFERROR(__xludf.DUMMYFUNCTION("""COMPUTED_VALUE"""),"Ali usman ")</f>
        <v>Ali usman </v>
      </c>
      <c r="C161" s="10" t="str">
        <f>IFERROR(__xludf.DUMMYFUNCTION("""COMPUTED_VALUE"""),"03035218874")</f>
        <v>03035218874</v>
      </c>
      <c r="D161" s="10" t="str">
        <f>IFERROR(__xludf.DUMMYFUNCTION("""COMPUTED_VALUE"""),"    Jamia Masjid Main Bazar Kahchu Pura Lahore        Maulana Muhammad Mukhtar Siyalvi        3004362549")</f>
        <v>    Jamia Masjid Main Bazar Kahchu Pura Lahore        Maulana Muhammad Mukhtar Siyalvi        3004362549</v>
      </c>
      <c r="E161" s="10" t="str">
        <f>IFERROR(__xludf.DUMMYFUNCTION("""COMPUTED_VALUE"""),"slyiw")</f>
        <v>slyiw</v>
      </c>
      <c r="F161" s="10">
        <f>IFERROR(__xludf.DUMMYFUNCTION("""COMPUTED_VALUE"""),490.0)</f>
        <v>490</v>
      </c>
      <c r="G161" s="10">
        <f>IFERROR(__xludf.DUMMYFUNCTION("""COMPUTED_VALUE"""),6.0)</f>
        <v>6</v>
      </c>
      <c r="H161" s="10">
        <f>IFERROR(__xludf.DUMMYFUNCTION("""COMPUTED_VALUE"""),6.0)</f>
        <v>6</v>
      </c>
      <c r="I161" s="10">
        <f>IFERROR(__xludf.DUMMYFUNCTION("""COMPUTED_VALUE"""),2.0)</f>
        <v>2</v>
      </c>
      <c r="J161" s="10">
        <f>IFERROR(__xludf.DUMMYFUNCTION("""COMPUTED_VALUE"""),2004.0)</f>
        <v>2004</v>
      </c>
      <c r="K161" s="10" t="str">
        <f>IFERROR(__xludf.DUMMYFUNCTION("""COMPUTED_VALUE"""),"No")</f>
        <v>No</v>
      </c>
      <c r="L161" s="10" t="str">
        <f>IFERROR(__xludf.DUMMYFUNCTION("""COMPUTED_VALUE"""),"No")</f>
        <v>No</v>
      </c>
      <c r="M161" s="10">
        <f>IFERROR(__xludf.DUMMYFUNCTION("""COMPUTED_VALUE"""),10.0)</f>
        <v>10</v>
      </c>
      <c r="N161" s="10" t="str">
        <f>IFERROR(__xludf.DUMMYFUNCTION("""COMPUTED_VALUE"""),"No")</f>
        <v>No</v>
      </c>
      <c r="O161" s="10"/>
      <c r="P161" s="10"/>
      <c r="Q161" s="10"/>
      <c r="R161" s="10"/>
      <c r="S161" s="18" t="str">
        <f>IFERROR(__xludf.DUMMYFUNCTION("""COMPUTED_VALUE"""),"https://drive.google.com/open?id=1fhnUC8aO4yM8kSNflRckClKeP5c6Uzbj")</f>
        <v>https://drive.google.com/open?id=1fhnUC8aO4yM8kSNflRckClKeP5c6Uzbj</v>
      </c>
      <c r="T161" s="18" t="str">
        <f>IFERROR(__xludf.DUMMYFUNCTION("""COMPUTED_VALUE"""),"https://drive.google.com/open?id=1IX22z2iLbnmXD5oPgBgS0j5Gx7jnN2gu")</f>
        <v>https://drive.google.com/open?id=1IX22z2iLbnmXD5oPgBgS0j5Gx7jnN2gu</v>
      </c>
      <c r="U161" s="18" t="str">
        <f>IFERROR(__xludf.DUMMYFUNCTION("""COMPUTED_VALUE"""),"https://drive.google.com/open?id=1Zc4gwY5jGyX1W4gpeh8pYagIFjo7kMmB")</f>
        <v>https://drive.google.com/open?id=1Zc4gwY5jGyX1W4gpeh8pYagIFjo7kMmB</v>
      </c>
      <c r="V161" s="10"/>
      <c r="W161" s="10"/>
      <c r="X161" s="10"/>
      <c r="Y161" s="14" t="str">
        <f>IFERROR(__xludf.DUMMYFUNCTION("""COMPUTED_VALUE"""),"hobyhobby00@gmail.com")</f>
        <v>hobyhobby00@gmail.com</v>
      </c>
      <c r="AA161" s="325">
        <v>3.0</v>
      </c>
    </row>
    <row r="162" hidden="1">
      <c r="A162" s="9">
        <f>IFERROR(__xludf.DUMMYFUNCTION("""COMPUTED_VALUE"""),45772.477764270836)</f>
        <v>45772.47776</v>
      </c>
      <c r="B162" s="10" t="str">
        <f>IFERROR(__xludf.DUMMYFUNCTION("""COMPUTED_VALUE"""),"Asim munir ")</f>
        <v>Asim munir </v>
      </c>
      <c r="C162" s="10" t="str">
        <f>IFERROR(__xludf.DUMMYFUNCTION("""COMPUTED_VALUE"""),"03005787199")</f>
        <v>03005787199</v>
      </c>
      <c r="D162" s="10" t="str">
        <f>IFERROR(__xludf.DUMMYFUNCTION("""COMPUTED_VALUE"""),"Jamia Masjid Rasool Shaheya Landa Bazar Lahore")</f>
        <v>Jamia Masjid Rasool Shaheya Landa Bazar Lahore</v>
      </c>
      <c r="E162" s="10" t="str">
        <f>IFERROR(__xludf.DUMMYFUNCTION("""COMPUTED_VALUE"""),"njkhf")</f>
        <v>njkhf</v>
      </c>
      <c r="F162" s="10">
        <f>IFERROR(__xludf.DUMMYFUNCTION("""COMPUTED_VALUE"""),377.0)</f>
        <v>377</v>
      </c>
      <c r="G162" s="10">
        <f>IFERROR(__xludf.DUMMYFUNCTION("""COMPUTED_VALUE"""),10.0)</f>
        <v>10</v>
      </c>
      <c r="H162" s="10">
        <f>IFERROR(__xludf.DUMMYFUNCTION("""COMPUTED_VALUE"""),8.0)</f>
        <v>8</v>
      </c>
      <c r="I162" s="10" t="str">
        <f>IFERROR(__xludf.DUMMYFUNCTION("""COMPUTED_VALUE"""),"NO")</f>
        <v>NO</v>
      </c>
      <c r="J162" s="10" t="str">
        <f>IFERROR(__xludf.DUMMYFUNCTION("""COMPUTED_VALUE"""),"0000")</f>
        <v>0000</v>
      </c>
      <c r="K162" s="10" t="str">
        <f>IFERROR(__xludf.DUMMYFUNCTION("""COMPUTED_VALUE"""),"Yes")</f>
        <v>Yes</v>
      </c>
      <c r="L162" s="10" t="str">
        <f>IFERROR(__xludf.DUMMYFUNCTION("""COMPUTED_VALUE"""),"No")</f>
        <v>No</v>
      </c>
      <c r="M162" s="10">
        <f>IFERROR(__xludf.DUMMYFUNCTION("""COMPUTED_VALUE"""),10.0)</f>
        <v>10</v>
      </c>
      <c r="N162" s="10" t="str">
        <f>IFERROR(__xludf.DUMMYFUNCTION("""COMPUTED_VALUE"""),"Yes")</f>
        <v>Yes</v>
      </c>
      <c r="O162" s="323">
        <f>IFERROR(__xludf.DUMMYFUNCTION("""COMPUTED_VALUE"""),0.9)</f>
        <v>0.9</v>
      </c>
      <c r="P162" s="10">
        <f>IFERROR(__xludf.DUMMYFUNCTION("""COMPUTED_VALUE"""),7.0)</f>
        <v>7</v>
      </c>
      <c r="Q162" s="10">
        <f>IFERROR(__xludf.DUMMYFUNCTION("""COMPUTED_VALUE"""),1.0)</f>
        <v>1</v>
      </c>
      <c r="R162" s="10">
        <f>IFERROR(__xludf.DUMMYFUNCTION("""COMPUTED_VALUE"""),7.0)</f>
        <v>7</v>
      </c>
      <c r="S162" s="10"/>
      <c r="T162" s="10"/>
      <c r="U162" s="10" t="str">
        <f>IFERROR(__xludf.DUMMYFUNCTION("""COMPUTED_VALUE"""),"https://drive.google.com/open?id=10pBDS9LuusDrHPUNAzAlUMjT77ks8NrV, https://drive.google.com/open?id=1kc74Awqt2wp5auBXwZsPkPr3ltHUDR70")</f>
        <v>https://drive.google.com/open?id=10pBDS9LuusDrHPUNAzAlUMjT77ks8NrV, https://drive.google.com/open?id=1kc74Awqt2wp5auBXwZsPkPr3ltHUDR70</v>
      </c>
      <c r="V162" s="10"/>
      <c r="W162" s="10"/>
      <c r="X162" s="10" t="str">
        <f>IFERROR(__xludf.DUMMYFUNCTION("""COMPUTED_VALUE"""),"Yes")</f>
        <v>Yes</v>
      </c>
      <c r="Y162" s="14" t="str">
        <f>IFERROR(__xludf.DUMMYFUNCTION("""COMPUTED_VALUE"""),"asim.muneer9024@gmail.com")</f>
        <v>asim.muneer9024@gmail.com</v>
      </c>
      <c r="AA162" s="325">
        <v>3.0</v>
      </c>
    </row>
    <row r="163" hidden="1">
      <c r="A163" s="9">
        <f>IFERROR(__xludf.DUMMYFUNCTION("""COMPUTED_VALUE"""),45772.49482471065)</f>
        <v>45772.49482</v>
      </c>
      <c r="B163" s="10" t="str">
        <f>IFERROR(__xludf.DUMMYFUNCTION("""COMPUTED_VALUE"""),"Ahmad ali")</f>
        <v>Ahmad ali</v>
      </c>
      <c r="C163" s="10" t="str">
        <f>IFERROR(__xludf.DUMMYFUNCTION("""COMPUTED_VALUE"""),"03107280745")</f>
        <v>03107280745</v>
      </c>
      <c r="D163" s="10" t="str">
        <f>IFERROR(__xludf.DUMMYFUNCTION("""COMPUTED_VALUE"""),"Jamia masjid hanfia ")</f>
        <v>Jamia masjid hanfia </v>
      </c>
      <c r="E163" s="10" t="str">
        <f>IFERROR(__xludf.DUMMYFUNCTION("""COMPUTED_VALUE"""),"Aovko")</f>
        <v>Aovko</v>
      </c>
      <c r="F163" s="10">
        <f>IFERROR(__xludf.DUMMYFUNCTION("""COMPUTED_VALUE"""),300.0)</f>
        <v>300</v>
      </c>
      <c r="G163" s="10">
        <f>IFERROR(__xludf.DUMMYFUNCTION("""COMPUTED_VALUE"""),10.0)</f>
        <v>10</v>
      </c>
      <c r="H163" s="10">
        <f>IFERROR(__xludf.DUMMYFUNCTION("""COMPUTED_VALUE"""),10.0)</f>
        <v>10</v>
      </c>
      <c r="I163" s="10">
        <f>IFERROR(__xludf.DUMMYFUNCTION("""COMPUTED_VALUE"""),0.0)</f>
        <v>0</v>
      </c>
      <c r="J163" s="10">
        <f>IFERROR(__xludf.DUMMYFUNCTION("""COMPUTED_VALUE"""),1955.0)</f>
        <v>1955</v>
      </c>
      <c r="K163" s="10" t="str">
        <f>IFERROR(__xludf.DUMMYFUNCTION("""COMPUTED_VALUE"""),"No")</f>
        <v>No</v>
      </c>
      <c r="L163" s="10" t="str">
        <f>IFERROR(__xludf.DUMMYFUNCTION("""COMPUTED_VALUE"""),"Sayyad Sajjad shah almaroof baba gulab shah")</f>
        <v>Sayyad Sajjad shah almaroof baba gulab shah</v>
      </c>
      <c r="M163" s="10">
        <f>IFERROR(__xludf.DUMMYFUNCTION("""COMPUTED_VALUE"""),10.0)</f>
        <v>10</v>
      </c>
      <c r="N163" s="10" t="str">
        <f>IFERROR(__xludf.DUMMYFUNCTION("""COMPUTED_VALUE"""),"No")</f>
        <v>No</v>
      </c>
      <c r="O163" s="10"/>
      <c r="P163" s="10"/>
      <c r="Q163" s="10"/>
      <c r="R163" s="10"/>
      <c r="S163" s="18" t="str">
        <f>IFERROR(__xludf.DUMMYFUNCTION("""COMPUTED_VALUE"""),"https://drive.google.com/open?id=1O3TAQSDArIuUtHqQ_qOBHFSOE2T1VZuY")</f>
        <v>https://drive.google.com/open?id=1O3TAQSDArIuUtHqQ_qOBHFSOE2T1VZuY</v>
      </c>
      <c r="T163" s="18" t="str">
        <f>IFERROR(__xludf.DUMMYFUNCTION("""COMPUTED_VALUE"""),"https://drive.google.com/open?id=13Vz5Ib4Fx-4f82lRSZXyLQC8MHaS1-l9")</f>
        <v>https://drive.google.com/open?id=13Vz5Ib4Fx-4f82lRSZXyLQC8MHaS1-l9</v>
      </c>
      <c r="U163" s="18" t="str">
        <f>IFERROR(__xludf.DUMMYFUNCTION("""COMPUTED_VALUE"""),"https://drive.google.com/open?id=1R83_pHzl3j9aOO0CMApn-fWmXHtjtFHT")</f>
        <v>https://drive.google.com/open?id=1R83_pHzl3j9aOO0CMApn-fWmXHtjtFHT</v>
      </c>
      <c r="V163" s="10"/>
      <c r="W163" s="10"/>
      <c r="X163" s="10"/>
      <c r="Y163" s="14" t="str">
        <f>IFERROR(__xludf.DUMMYFUNCTION("""COMPUTED_VALUE"""),"samiyakoob1@gmail.com")</f>
        <v>samiyakoob1@gmail.com</v>
      </c>
      <c r="AA163" s="325">
        <v>1.0</v>
      </c>
    </row>
    <row r="164" hidden="1">
      <c r="A164" s="9">
        <f>IFERROR(__xludf.DUMMYFUNCTION("""COMPUTED_VALUE"""),45772.49631427083)</f>
        <v>45772.49631</v>
      </c>
      <c r="B164" s="10" t="str">
        <f>IFERROR(__xludf.DUMMYFUNCTION("""COMPUTED_VALUE"""),"Zulqarnain Hassan ")</f>
        <v>Zulqarnain Hassan </v>
      </c>
      <c r="C164" s="10" t="str">
        <f>IFERROR(__xludf.DUMMYFUNCTION("""COMPUTED_VALUE"""),"03071412621")</f>
        <v>03071412621</v>
      </c>
      <c r="D164" s="10" t="str">
        <f>IFERROR(__xludf.DUMMYFUNCTION("""COMPUTED_VALUE"""),"JAMIA MASJID QUDOOSIA ROZVIYA CIVIL LINE ")</f>
        <v>JAMIA MASJID QUDOOSIA ROZVIYA CIVIL LINE </v>
      </c>
      <c r="E164" s="10" t="str">
        <f>IFERROR(__xludf.DUMMYFUNCTION("""COMPUTED_VALUE"""),"BWXOO")</f>
        <v>BWXOO</v>
      </c>
      <c r="F164" s="10">
        <f>IFERROR(__xludf.DUMMYFUNCTION("""COMPUTED_VALUE"""),350.0)</f>
        <v>350</v>
      </c>
      <c r="G164" s="10">
        <f>IFERROR(__xludf.DUMMYFUNCTION("""COMPUTED_VALUE"""),10.0)</f>
        <v>10</v>
      </c>
      <c r="H164" s="10">
        <f>IFERROR(__xludf.DUMMYFUNCTION("""COMPUTED_VALUE"""),10.0)</f>
        <v>10</v>
      </c>
      <c r="I164" s="10" t="str">
        <f>IFERROR(__xludf.DUMMYFUNCTION("""COMPUTED_VALUE"""),"No")</f>
        <v>No</v>
      </c>
      <c r="J164" s="10">
        <f>IFERROR(__xludf.DUMMYFUNCTION("""COMPUTED_VALUE"""),1980.0)</f>
        <v>1980</v>
      </c>
      <c r="K164" s="10" t="str">
        <f>IFERROR(__xludf.DUMMYFUNCTION("""COMPUTED_VALUE"""),"No")</f>
        <v>No</v>
      </c>
      <c r="L164" s="10" t="str">
        <f>IFERROR(__xludf.DUMMYFUNCTION("""COMPUTED_VALUE"""),"No")</f>
        <v>No</v>
      </c>
      <c r="M164" s="10">
        <f>IFERROR(__xludf.DUMMYFUNCTION("""COMPUTED_VALUE"""),9.0)</f>
        <v>9</v>
      </c>
      <c r="N164" s="10" t="str">
        <f>IFERROR(__xludf.DUMMYFUNCTION("""COMPUTED_VALUE"""),"Yes")</f>
        <v>Yes</v>
      </c>
      <c r="O164" s="323">
        <f>IFERROR(__xludf.DUMMYFUNCTION("""COMPUTED_VALUE"""),0.0)</f>
        <v>0</v>
      </c>
      <c r="P164" s="10">
        <f>IFERROR(__xludf.DUMMYFUNCTION("""COMPUTED_VALUE"""),0.0)</f>
        <v>0</v>
      </c>
      <c r="Q164" s="10">
        <f>IFERROR(__xludf.DUMMYFUNCTION("""COMPUTED_VALUE"""),10.0)</f>
        <v>10</v>
      </c>
      <c r="R164" s="10">
        <f>IFERROR(__xludf.DUMMYFUNCTION("""COMPUTED_VALUE"""),0.0)</f>
        <v>0</v>
      </c>
      <c r="S164" s="18" t="str">
        <f>IFERROR(__xludf.DUMMYFUNCTION("""COMPUTED_VALUE"""),"https://drive.google.com/open?id=1RbpkD2I6UMTAxWOskKDijKUwCF7Xv2pi")</f>
        <v>https://drive.google.com/open?id=1RbpkD2I6UMTAxWOskKDijKUwCF7Xv2pi</v>
      </c>
      <c r="T164" s="18" t="str">
        <f>IFERROR(__xludf.DUMMYFUNCTION("""COMPUTED_VALUE"""),"https://drive.google.com/open?id=1PSfRpZvj3CFxcIyQ6f5zHTjW40FLlK0a")</f>
        <v>https://drive.google.com/open?id=1PSfRpZvj3CFxcIyQ6f5zHTjW40FLlK0a</v>
      </c>
      <c r="U164" s="18" t="str">
        <f>IFERROR(__xludf.DUMMYFUNCTION("""COMPUTED_VALUE"""),"https://drive.google.com/open?id=1Aq6bQybetF-Ds6Rj9_EoaZkt3L0hhoBz")</f>
        <v>https://drive.google.com/open?id=1Aq6bQybetF-Ds6Rj9_EoaZkt3L0hhoBz</v>
      </c>
      <c r="V164" s="10"/>
      <c r="W164" s="10"/>
      <c r="X164" s="10" t="str">
        <f>IFERROR(__xludf.DUMMYFUNCTION("""COMPUTED_VALUE"""),"Yes")</f>
        <v>Yes</v>
      </c>
      <c r="Y164" s="14" t="str">
        <f>IFERROR(__xludf.DUMMYFUNCTION("""COMPUTED_VALUE"""),"zulqarnainhassan43@gmail.com")</f>
        <v>zulqarnainhassan43@gmail.com</v>
      </c>
      <c r="AA164" s="325">
        <v>1.0</v>
      </c>
    </row>
    <row r="165" hidden="1">
      <c r="A165" s="9">
        <f>IFERROR(__xludf.DUMMYFUNCTION("""COMPUTED_VALUE"""),45772.49813694444)</f>
        <v>45772.49814</v>
      </c>
      <c r="B165" s="10" t="str">
        <f>IFERROR(__xludf.DUMMYFUNCTION("""COMPUTED_VALUE"""),"Abdul Rauf")</f>
        <v>Abdul Rauf</v>
      </c>
      <c r="C165" s="10" t="str">
        <f>IFERROR(__xludf.DUMMYFUNCTION("""COMPUTED_VALUE"""),"03008789090")</f>
        <v>03008789090</v>
      </c>
      <c r="D165" s="10" t="str">
        <f>IFERROR(__xludf.DUMMYFUNCTION("""COMPUTED_VALUE"""),"	Jamia Masjid Hanfiya Farookia Khrishan Nagar Lahore")</f>
        <v>	Jamia Masjid Hanfiya Farookia Khrishan Nagar Lahore</v>
      </c>
      <c r="E165" s="10" t="str">
        <f>IFERROR(__xludf.DUMMYFUNCTION("""COMPUTED_VALUE"""),"mfrop")</f>
        <v>mfrop</v>
      </c>
      <c r="F165" s="10">
        <f>IFERROR(__xludf.DUMMYFUNCTION("""COMPUTED_VALUE"""),300.0)</f>
        <v>300</v>
      </c>
      <c r="G165" s="10">
        <f>IFERROR(__xludf.DUMMYFUNCTION("""COMPUTED_VALUE"""),10.0)</f>
        <v>10</v>
      </c>
      <c r="H165" s="10">
        <f>IFERROR(__xludf.DUMMYFUNCTION("""COMPUTED_VALUE"""),10.0)</f>
        <v>10</v>
      </c>
      <c r="I165" s="10">
        <f>IFERROR(__xludf.DUMMYFUNCTION("""COMPUTED_VALUE"""),0.0)</f>
        <v>0</v>
      </c>
      <c r="J165" s="10">
        <f>IFERROR(__xludf.DUMMYFUNCTION("""COMPUTED_VALUE"""),1975.0)</f>
        <v>1975</v>
      </c>
      <c r="K165" s="10" t="str">
        <f>IFERROR(__xludf.DUMMYFUNCTION("""COMPUTED_VALUE"""),"No")</f>
        <v>No</v>
      </c>
      <c r="L165" s="10" t="str">
        <f>IFERROR(__xludf.DUMMYFUNCTION("""COMPUTED_VALUE"""),"No")</f>
        <v>No</v>
      </c>
      <c r="M165" s="10">
        <f>IFERROR(__xludf.DUMMYFUNCTION("""COMPUTED_VALUE"""),10.0)</f>
        <v>10</v>
      </c>
      <c r="N165" s="10" t="str">
        <f>IFERROR(__xludf.DUMMYFUNCTION("""COMPUTED_VALUE"""),"No")</f>
        <v>No</v>
      </c>
      <c r="O165" s="10"/>
      <c r="P165" s="10"/>
      <c r="Q165" s="10"/>
      <c r="R165" s="10"/>
      <c r="S165" s="18" t="str">
        <f>IFERROR(__xludf.DUMMYFUNCTION("""COMPUTED_VALUE"""),"https://drive.google.com/open?id=1GDn_lip5LI2q2SYJu9hCZdPKEvctvjI-")</f>
        <v>https://drive.google.com/open?id=1GDn_lip5LI2q2SYJu9hCZdPKEvctvjI-</v>
      </c>
      <c r="T165" s="18" t="str">
        <f>IFERROR(__xludf.DUMMYFUNCTION("""COMPUTED_VALUE"""),"https://drive.google.com/open?id=17XRdT3x-IXIZQEQMSGYnb9vWea-rW1pa")</f>
        <v>https://drive.google.com/open?id=17XRdT3x-IXIZQEQMSGYnb9vWea-rW1pa</v>
      </c>
      <c r="U165" s="18" t="str">
        <f>IFERROR(__xludf.DUMMYFUNCTION("""COMPUTED_VALUE"""),"https://drive.google.com/open?id=15qd3A3eppIx9uk8Rlku9ZcL765ru7Ji6")</f>
        <v>https://drive.google.com/open?id=15qd3A3eppIx9uk8Rlku9ZcL765ru7Ji6</v>
      </c>
      <c r="V165" s="10" t="str">
        <f>IFERROR(__xludf.DUMMYFUNCTION("""COMPUTED_VALUE"""),"No")</f>
        <v>No</v>
      </c>
      <c r="W165" s="10"/>
      <c r="X165" s="10"/>
      <c r="Y165" s="14" t="str">
        <f>IFERROR(__xludf.DUMMYFUNCTION("""COMPUTED_VALUE"""),"rauf88699@gmail.com")</f>
        <v>rauf88699@gmail.com</v>
      </c>
      <c r="AA165" s="325">
        <v>3.0</v>
      </c>
    </row>
    <row r="166" hidden="1">
      <c r="A166" s="9">
        <f>IFERROR(__xludf.DUMMYFUNCTION("""COMPUTED_VALUE"""),45772.52364190972)</f>
        <v>45772.52364</v>
      </c>
      <c r="B166" s="10" t="str">
        <f>IFERROR(__xludf.DUMMYFUNCTION("""COMPUTED_VALUE"""),"Sulamanasghar")</f>
        <v>Sulamanasghar</v>
      </c>
      <c r="C166" s="10" t="str">
        <f>IFERROR(__xludf.DUMMYFUNCTION("""COMPUTED_VALUE"""),"03194116661")</f>
        <v>03194116661</v>
      </c>
      <c r="D166" s="10" t="str">
        <f>IFERROR(__xludf.DUMMYFUNCTION("""COMPUTED_VALUE"""),"Jamia Masjid Darbar Shah Jahangir Gujrat")</f>
        <v>Jamia Masjid Darbar Shah Jahangir Gujrat</v>
      </c>
      <c r="E166" s="10" t="str">
        <f>IFERROR(__xludf.DUMMYFUNCTION("""COMPUTED_VALUE"""),"CNZTW")</f>
        <v>CNZTW</v>
      </c>
      <c r="F166" s="10">
        <f>IFERROR(__xludf.DUMMYFUNCTION("""COMPUTED_VALUE"""),150.0)</f>
        <v>150</v>
      </c>
      <c r="G166" s="10">
        <f>IFERROR(__xludf.DUMMYFUNCTION("""COMPUTED_VALUE"""),8.0)</f>
        <v>8</v>
      </c>
      <c r="H166" s="10">
        <f>IFERROR(__xludf.DUMMYFUNCTION("""COMPUTED_VALUE"""),8.0)</f>
        <v>8</v>
      </c>
      <c r="I166" s="10">
        <f>IFERROR(__xludf.DUMMYFUNCTION("""COMPUTED_VALUE"""),2.0)</f>
        <v>2</v>
      </c>
      <c r="J166" s="10">
        <f>IFERROR(__xludf.DUMMYFUNCTION("""COMPUTED_VALUE"""),0.0)</f>
        <v>0</v>
      </c>
      <c r="K166" s="10" t="str">
        <f>IFERROR(__xludf.DUMMYFUNCTION("""COMPUTED_VALUE"""),"No")</f>
        <v>No</v>
      </c>
      <c r="L166" s="10" t="str">
        <f>IFERROR(__xludf.DUMMYFUNCTION("""COMPUTED_VALUE"""),"baba Wali shah")</f>
        <v>baba Wali shah</v>
      </c>
      <c r="M166" s="10">
        <f>IFERROR(__xludf.DUMMYFUNCTION("""COMPUTED_VALUE"""),6.0)</f>
        <v>6</v>
      </c>
      <c r="N166" s="10" t="str">
        <f>IFERROR(__xludf.DUMMYFUNCTION("""COMPUTED_VALUE"""),"Yes")</f>
        <v>Yes</v>
      </c>
      <c r="O166" s="323">
        <f>IFERROR(__xludf.DUMMYFUNCTION("""COMPUTED_VALUE"""),0.0)</f>
        <v>0</v>
      </c>
      <c r="P166" s="10">
        <f>IFERROR(__xludf.DUMMYFUNCTION("""COMPUTED_VALUE"""),0.0)</f>
        <v>0</v>
      </c>
      <c r="Q166" s="10">
        <f>IFERROR(__xludf.DUMMYFUNCTION("""COMPUTED_VALUE"""),10.0)</f>
        <v>10</v>
      </c>
      <c r="R166" s="10">
        <f>IFERROR(__xludf.DUMMYFUNCTION("""COMPUTED_VALUE"""),0.0)</f>
        <v>0</v>
      </c>
      <c r="S166" s="18" t="str">
        <f>IFERROR(__xludf.DUMMYFUNCTION("""COMPUTED_VALUE"""),"https://drive.google.com/open?id=1KmyzPyPu-ErGIbNJdoApjOD-Q37LzEpr")</f>
        <v>https://drive.google.com/open?id=1KmyzPyPu-ErGIbNJdoApjOD-Q37LzEpr</v>
      </c>
      <c r="T166" s="18" t="str">
        <f>IFERROR(__xludf.DUMMYFUNCTION("""COMPUTED_VALUE"""),"https://drive.google.com/open?id=1PJgs2WNfiQZ7wg7A4zHe-hZQV-rjwlkG")</f>
        <v>https://drive.google.com/open?id=1PJgs2WNfiQZ7wg7A4zHe-hZQV-rjwlkG</v>
      </c>
      <c r="U166" s="18" t="str">
        <f>IFERROR(__xludf.DUMMYFUNCTION("""COMPUTED_VALUE"""),"https://drive.google.com/open?id=14415bcUiIt0OwWttq0MVBRUMY27gpcm-")</f>
        <v>https://drive.google.com/open?id=14415bcUiIt0OwWttq0MVBRUMY27gpcm-</v>
      </c>
      <c r="V166" s="10"/>
      <c r="W166" s="10"/>
      <c r="X166" s="10" t="str">
        <f>IFERROR(__xludf.DUMMYFUNCTION("""COMPUTED_VALUE"""),"Yes")</f>
        <v>Yes</v>
      </c>
      <c r="Y166" s="14" t="str">
        <f>IFERROR(__xludf.DUMMYFUNCTION("""COMPUTED_VALUE"""),"drsulamanasgharchaudhary@gmail.com")</f>
        <v>drsulamanasgharchaudhary@gmail.com</v>
      </c>
      <c r="AA166" s="325">
        <v>1.0</v>
      </c>
    </row>
    <row r="167" hidden="1">
      <c r="A167" s="9">
        <f>IFERROR(__xludf.DUMMYFUNCTION("""COMPUTED_VALUE"""),45772.56400590278)</f>
        <v>45772.56401</v>
      </c>
      <c r="B167" s="10" t="str">
        <f>IFERROR(__xludf.DUMMYFUNCTION("""COMPUTED_VALUE"""),"Ahmad Saeed ")</f>
        <v>Ahmad Saeed </v>
      </c>
      <c r="C167" s="10" t="str">
        <f>IFERROR(__xludf.DUMMYFUNCTION("""COMPUTED_VALUE"""),"03467171875")</f>
        <v>03467171875</v>
      </c>
      <c r="D167" s="10" t="str">
        <f>IFERROR(__xludf.DUMMYFUNCTION("""COMPUTED_VALUE"""),"	Jamia Masjid Hanfiya Peer Hakum Shah Lahore")</f>
        <v>	Jamia Masjid Hanfiya Peer Hakum Shah Lahore</v>
      </c>
      <c r="E167" s="10" t="str">
        <f>IFERROR(__xludf.DUMMYFUNCTION("""COMPUTED_VALUE"""),"hbroz")</f>
        <v>hbroz</v>
      </c>
      <c r="F167" s="10">
        <f>IFERROR(__xludf.DUMMYFUNCTION("""COMPUTED_VALUE"""),300.0)</f>
        <v>300</v>
      </c>
      <c r="G167" s="10">
        <f>IFERROR(__xludf.DUMMYFUNCTION("""COMPUTED_VALUE"""),10.0)</f>
        <v>10</v>
      </c>
      <c r="H167" s="10">
        <f>IFERROR(__xludf.DUMMYFUNCTION("""COMPUTED_VALUE"""),10.0)</f>
        <v>10</v>
      </c>
      <c r="I167" s="10">
        <f>IFERROR(__xludf.DUMMYFUNCTION("""COMPUTED_VALUE"""),0.0)</f>
        <v>0</v>
      </c>
      <c r="J167" s="10">
        <f>IFERROR(__xludf.DUMMYFUNCTION("""COMPUTED_VALUE"""),1920.0)</f>
        <v>1920</v>
      </c>
      <c r="K167" s="10" t="str">
        <f>IFERROR(__xludf.DUMMYFUNCTION("""COMPUTED_VALUE"""),"No")</f>
        <v>No</v>
      </c>
      <c r="L167" s="10" t="str">
        <f>IFERROR(__xludf.DUMMYFUNCTION("""COMPUTED_VALUE"""),"No")</f>
        <v>No</v>
      </c>
      <c r="M167" s="10">
        <f>IFERROR(__xludf.DUMMYFUNCTION("""COMPUTED_VALUE"""),10.0)</f>
        <v>10</v>
      </c>
      <c r="N167" s="10" t="str">
        <f>IFERROR(__xludf.DUMMYFUNCTION("""COMPUTED_VALUE"""),"No")</f>
        <v>No</v>
      </c>
      <c r="O167" s="10"/>
      <c r="P167" s="10"/>
      <c r="Q167" s="10"/>
      <c r="R167" s="10"/>
      <c r="S167" s="18" t="str">
        <f>IFERROR(__xludf.DUMMYFUNCTION("""COMPUTED_VALUE"""),"https://drive.google.com/open?id=17hwGbzoojuIaVWl27sG5ERbnEv7stIU9")</f>
        <v>https://drive.google.com/open?id=17hwGbzoojuIaVWl27sG5ERbnEv7stIU9</v>
      </c>
      <c r="T167" s="10" t="str">
        <f>IFERROR(__xludf.DUMMYFUNCTION("""COMPUTED_VALUE"""),"https://drive.google.com/open?id=1v_dNEj0y6N1PLz7Lte3ZK6bdyG0N-Y-y, https://drive.google.com/open?id=1xBvVR7GR-9qlSfJSFDdN2xGcXId_dZTj")</f>
        <v>https://drive.google.com/open?id=1v_dNEj0y6N1PLz7Lte3ZK6bdyG0N-Y-y, https://drive.google.com/open?id=1xBvVR7GR-9qlSfJSFDdN2xGcXId_dZTj</v>
      </c>
      <c r="U167" s="18" t="str">
        <f>IFERROR(__xludf.DUMMYFUNCTION("""COMPUTED_VALUE"""),"https://drive.google.com/open?id=1_wU7gzAJJWj7llvS6C4CPHhVYA0SQst5")</f>
        <v>https://drive.google.com/open?id=1_wU7gzAJJWj7llvS6C4CPHhVYA0SQst5</v>
      </c>
      <c r="V167" s="10" t="str">
        <f>IFERROR(__xludf.DUMMYFUNCTION("""COMPUTED_VALUE"""),"No")</f>
        <v>No</v>
      </c>
      <c r="W167" s="10"/>
      <c r="X167" s="10"/>
      <c r="Y167" s="14" t="str">
        <f>IFERROR(__xludf.DUMMYFUNCTION("""COMPUTED_VALUE"""),"ahmedsaeed3351817@gmail.com")</f>
        <v>ahmedsaeed3351817@gmail.com</v>
      </c>
      <c r="AA167" s="325">
        <v>3.0</v>
      </c>
    </row>
    <row r="168" hidden="1">
      <c r="A168" s="9">
        <f>IFERROR(__xludf.DUMMYFUNCTION("""COMPUTED_VALUE"""),45772.64743633102)</f>
        <v>45772.64744</v>
      </c>
      <c r="B168" s="10" t="str">
        <f>IFERROR(__xludf.DUMMYFUNCTION("""COMPUTED_VALUE"""),"Ali usman ")</f>
        <v>Ali usman </v>
      </c>
      <c r="C168" s="10" t="str">
        <f>IFERROR(__xludf.DUMMYFUNCTION("""COMPUTED_VALUE"""),"03035218874")</f>
        <v>03035218874</v>
      </c>
      <c r="D168" s="10" t="str">
        <f>IFERROR(__xludf.DUMMYFUNCTION("""COMPUTED_VALUE"""),"	Jamia Masjid Main Bazar Kahchu Pura Lahore	")</f>
        <v>	Jamia Masjid Main Bazar Kahchu Pura Lahore	</v>
      </c>
      <c r="E168" s="10" t="str">
        <f>IFERROR(__xludf.DUMMYFUNCTION("""COMPUTED_VALUE"""),"slyiw")</f>
        <v>slyiw</v>
      </c>
      <c r="F168" s="10">
        <f>IFERROR(__xludf.DUMMYFUNCTION("""COMPUTED_VALUE"""),535.0)</f>
        <v>535</v>
      </c>
      <c r="G168" s="10">
        <f>IFERROR(__xludf.DUMMYFUNCTION("""COMPUTED_VALUE"""),5.0)</f>
        <v>5</v>
      </c>
      <c r="H168" s="10">
        <f>IFERROR(__xludf.DUMMYFUNCTION("""COMPUTED_VALUE"""),6.0)</f>
        <v>6</v>
      </c>
      <c r="I168" s="10">
        <f>IFERROR(__xludf.DUMMYFUNCTION("""COMPUTED_VALUE"""),2.0)</f>
        <v>2</v>
      </c>
      <c r="J168" s="10">
        <f>IFERROR(__xludf.DUMMYFUNCTION("""COMPUTED_VALUE"""),2004.0)</f>
        <v>2004</v>
      </c>
      <c r="K168" s="10" t="str">
        <f>IFERROR(__xludf.DUMMYFUNCTION("""COMPUTED_VALUE"""),"No")</f>
        <v>No</v>
      </c>
      <c r="L168" s="10" t="str">
        <f>IFERROR(__xludf.DUMMYFUNCTION("""COMPUTED_VALUE"""),"No")</f>
        <v>No</v>
      </c>
      <c r="M168" s="10">
        <f>IFERROR(__xludf.DUMMYFUNCTION("""COMPUTED_VALUE"""),10.0)</f>
        <v>10</v>
      </c>
      <c r="N168" s="10" t="str">
        <f>IFERROR(__xludf.DUMMYFUNCTION("""COMPUTED_VALUE"""),"No")</f>
        <v>No</v>
      </c>
      <c r="O168" s="10"/>
      <c r="P168" s="10"/>
      <c r="Q168" s="10"/>
      <c r="R168" s="10"/>
      <c r="S168" s="18" t="str">
        <f>IFERROR(__xludf.DUMMYFUNCTION("""COMPUTED_VALUE"""),"https://drive.google.com/open?id=1frKNgY9Hhe9pPWjDOJDxhvS7XINIJ3U8")</f>
        <v>https://drive.google.com/open?id=1frKNgY9Hhe9pPWjDOJDxhvS7XINIJ3U8</v>
      </c>
      <c r="T168" s="10" t="str">
        <f>IFERROR(__xludf.DUMMYFUNCTION("""COMPUTED_VALUE"""),"https://drive.google.com/open?id=1oaAFNO9H0pwOx1WO_bZazGmL4UPvFw-d, https://drive.google.com/open?id=1qjaFWBKoGe0mKlQdYz9idwE2CPy8NpB5, https://drive.google.com/open?id=1hmaC3UJ3k5vgHaMVz0RRBDHx8W95jZbg, https://drive.google.com/open?id=1DgF053iit0S9LE78C"&amp;"Ak2sE8qth3fHl2e")</f>
        <v>https://drive.google.com/open?id=1oaAFNO9H0pwOx1WO_bZazGmL4UPvFw-d, https://drive.google.com/open?id=1qjaFWBKoGe0mKlQdYz9idwE2CPy8NpB5, https://drive.google.com/open?id=1hmaC3UJ3k5vgHaMVz0RRBDHx8W95jZbg, https://drive.google.com/open?id=1DgF053iit0S9LE78CAk2sE8qth3fHl2e</v>
      </c>
      <c r="U168" s="18" t="str">
        <f>IFERROR(__xludf.DUMMYFUNCTION("""COMPUTED_VALUE"""),"https://drive.google.com/open?id=1NTjWUhCPhcjoXoVZnd9FawEnvBjs9h0L")</f>
        <v>https://drive.google.com/open?id=1NTjWUhCPhcjoXoVZnd9FawEnvBjs9h0L</v>
      </c>
      <c r="V168" s="10"/>
      <c r="W168" s="10"/>
      <c r="X168" s="10"/>
      <c r="Y168" s="14" t="str">
        <f>IFERROR(__xludf.DUMMYFUNCTION("""COMPUTED_VALUE"""),"hobyhobby00@gmail.com")</f>
        <v>hobyhobby00@gmail.com</v>
      </c>
      <c r="AA168" s="325" t="s">
        <v>4</v>
      </c>
    </row>
    <row r="169" hidden="1">
      <c r="A169" s="9">
        <f>IFERROR(__xludf.DUMMYFUNCTION("""COMPUTED_VALUE"""),45773.12786743055)</f>
        <v>45773.12787</v>
      </c>
      <c r="B169" s="10" t="str">
        <f>IFERROR(__xludf.DUMMYFUNCTION("""COMPUTED_VALUE"""),"Maqbool ahmad")</f>
        <v>Maqbool ahmad</v>
      </c>
      <c r="C169" s="10" t="str">
        <f>IFERROR(__xludf.DUMMYFUNCTION("""COMPUTED_VALUE"""),"03016334942")</f>
        <v>03016334942</v>
      </c>
      <c r="D169" s="10" t="str">
        <f>IFERROR(__xludf.DUMMYFUNCTION("""COMPUTED_VALUE"""),"Qutab Shah wali masjid")</f>
        <v>Qutab Shah wali masjid</v>
      </c>
      <c r="E169" s="10" t="str">
        <f>IFERROR(__xludf.DUMMYFUNCTION("""COMPUTED_VALUE"""),"Qlxff")</f>
        <v>Qlxff</v>
      </c>
      <c r="F169" s="10">
        <f>IFERROR(__xludf.DUMMYFUNCTION("""COMPUTED_VALUE"""),587.0)</f>
        <v>587</v>
      </c>
      <c r="G169" s="10">
        <f>IFERROR(__xludf.DUMMYFUNCTION("""COMPUTED_VALUE"""),9.0)</f>
        <v>9</v>
      </c>
      <c r="H169" s="10">
        <f>IFERROR(__xludf.DUMMYFUNCTION("""COMPUTED_VALUE"""),8.0)</f>
        <v>8</v>
      </c>
      <c r="I169" s="10">
        <f>IFERROR(__xludf.DUMMYFUNCTION("""COMPUTED_VALUE"""),0.0)</f>
        <v>0</v>
      </c>
      <c r="J169" s="10">
        <f>IFERROR(__xludf.DUMMYFUNCTION("""COMPUTED_VALUE"""),2003.0)</f>
        <v>2003</v>
      </c>
      <c r="K169" s="10" t="str">
        <f>IFERROR(__xludf.DUMMYFUNCTION("""COMPUTED_VALUE"""),"No")</f>
        <v>No</v>
      </c>
      <c r="L169" s="10" t="str">
        <f>IFERROR(__xludf.DUMMYFUNCTION("""COMPUTED_VALUE"""),"Darbar baba Qutab Shah wali")</f>
        <v>Darbar baba Qutab Shah wali</v>
      </c>
      <c r="M169" s="10">
        <f>IFERROR(__xludf.DUMMYFUNCTION("""COMPUTED_VALUE"""),9.0)</f>
        <v>9</v>
      </c>
      <c r="N169" s="10" t="str">
        <f>IFERROR(__xludf.DUMMYFUNCTION("""COMPUTED_VALUE"""),"Yes")</f>
        <v>Yes</v>
      </c>
      <c r="O169" s="323">
        <f>IFERROR(__xludf.DUMMYFUNCTION("""COMPUTED_VALUE"""),0.8)</f>
        <v>0.8</v>
      </c>
      <c r="P169" s="10">
        <f>IFERROR(__xludf.DUMMYFUNCTION("""COMPUTED_VALUE"""),9.0)</f>
        <v>9</v>
      </c>
      <c r="Q169" s="10">
        <f>IFERROR(__xludf.DUMMYFUNCTION("""COMPUTED_VALUE"""),2.0)</f>
        <v>2</v>
      </c>
      <c r="R169" s="10">
        <f>IFERROR(__xludf.DUMMYFUNCTION("""COMPUTED_VALUE"""),10.0)</f>
        <v>10</v>
      </c>
      <c r="S169" s="18" t="str">
        <f>IFERROR(__xludf.DUMMYFUNCTION("""COMPUTED_VALUE"""),"https://drive.google.com/open?id=1Wq_qH2W793Iht8HuuSnmlYk2ffuajcWG")</f>
        <v>https://drive.google.com/open?id=1Wq_qH2W793Iht8HuuSnmlYk2ffuajcWG</v>
      </c>
      <c r="T169" s="18" t="str">
        <f>IFERROR(__xludf.DUMMYFUNCTION("""COMPUTED_VALUE"""),"https://drive.google.com/open?id=1101oG7TG3wlceoQCEdFlH8bfILiA4hte")</f>
        <v>https://drive.google.com/open?id=1101oG7TG3wlceoQCEdFlH8bfILiA4hte</v>
      </c>
      <c r="U169" s="18" t="str">
        <f>IFERROR(__xludf.DUMMYFUNCTION("""COMPUTED_VALUE"""),"https://drive.google.com/open?id=1_Ln9AXybrNYRjOKjFXmKY8FXihiNwOrb")</f>
        <v>https://drive.google.com/open?id=1_Ln9AXybrNYRjOKjFXmKY8FXihiNwOrb</v>
      </c>
      <c r="V169" s="10" t="str">
        <f>IFERROR(__xludf.DUMMYFUNCTION("""COMPUTED_VALUE"""),"All data done")</f>
        <v>All data done</v>
      </c>
      <c r="W169" s="10"/>
      <c r="X169" s="10" t="str">
        <f>IFERROR(__xludf.DUMMYFUNCTION("""COMPUTED_VALUE"""),"Yes")</f>
        <v>Yes</v>
      </c>
      <c r="Y169" s="14" t="str">
        <f>IFERROR(__xludf.DUMMYFUNCTION("""COMPUTED_VALUE"""),"maqboolahmadnwl42@gmail.com")</f>
        <v>maqboolahmadnwl42@gmail.com</v>
      </c>
      <c r="AA169" s="325">
        <v>1.0</v>
      </c>
    </row>
    <row r="170" hidden="1">
      <c r="A170" s="9">
        <f>IFERROR(__xludf.DUMMYFUNCTION("""COMPUTED_VALUE"""),45773.15180439815)</f>
        <v>45773.1518</v>
      </c>
      <c r="B170" s="10" t="str">
        <f>IFERROR(__xludf.DUMMYFUNCTION("""COMPUTED_VALUE"""),"Usman")</f>
        <v>Usman</v>
      </c>
      <c r="C170" s="10" t="str">
        <f>IFERROR(__xludf.DUMMYFUNCTION("""COMPUTED_VALUE"""),"03046190315")</f>
        <v>03046190315</v>
      </c>
      <c r="D170" s="10" t="str">
        <f>IFERROR(__xludf.DUMMYFUNCTION("""COMPUTED_VALUE"""),"Jamia masjid galah mandi bhalwal")</f>
        <v>Jamia masjid galah mandi bhalwal</v>
      </c>
      <c r="E170" s="10" t="str">
        <f>IFERROR(__xludf.DUMMYFUNCTION("""COMPUTED_VALUE"""),"hhmbl")</f>
        <v>hhmbl</v>
      </c>
      <c r="F170" s="10">
        <f>IFERROR(__xludf.DUMMYFUNCTION("""COMPUTED_VALUE"""),250.0)</f>
        <v>250</v>
      </c>
      <c r="G170" s="10">
        <f>IFERROR(__xludf.DUMMYFUNCTION("""COMPUTED_VALUE"""),10.0)</f>
        <v>10</v>
      </c>
      <c r="H170" s="10">
        <f>IFERROR(__xludf.DUMMYFUNCTION("""COMPUTED_VALUE"""),7.0)</f>
        <v>7</v>
      </c>
      <c r="I170" s="10">
        <f>IFERROR(__xludf.DUMMYFUNCTION("""COMPUTED_VALUE"""),0.0)</f>
        <v>0</v>
      </c>
      <c r="J170" s="10" t="str">
        <f>IFERROR(__xludf.DUMMYFUNCTION("""COMPUTED_VALUE"""),"No")</f>
        <v>No</v>
      </c>
      <c r="K170" s="10" t="str">
        <f>IFERROR(__xludf.DUMMYFUNCTION("""COMPUTED_VALUE"""),"No")</f>
        <v>No</v>
      </c>
      <c r="L170" s="10" t="str">
        <f>IFERROR(__xludf.DUMMYFUNCTION("""COMPUTED_VALUE"""),"No")</f>
        <v>No</v>
      </c>
      <c r="M170" s="10">
        <f>IFERROR(__xludf.DUMMYFUNCTION("""COMPUTED_VALUE"""),10.0)</f>
        <v>10</v>
      </c>
      <c r="N170" s="10" t="str">
        <f>IFERROR(__xludf.DUMMYFUNCTION("""COMPUTED_VALUE"""),"Yes")</f>
        <v>Yes</v>
      </c>
      <c r="O170" s="323">
        <f>IFERROR(__xludf.DUMMYFUNCTION("""COMPUTED_VALUE"""),0.5)</f>
        <v>0.5</v>
      </c>
      <c r="P170" s="10">
        <f>IFERROR(__xludf.DUMMYFUNCTION("""COMPUTED_VALUE"""),5.0)</f>
        <v>5</v>
      </c>
      <c r="Q170" s="10">
        <f>IFERROR(__xludf.DUMMYFUNCTION("""COMPUTED_VALUE"""),5.0)</f>
        <v>5</v>
      </c>
      <c r="R170" s="10">
        <f>IFERROR(__xludf.DUMMYFUNCTION("""COMPUTED_VALUE"""),5.0)</f>
        <v>5</v>
      </c>
      <c r="S170" s="18" t="str">
        <f>IFERROR(__xludf.DUMMYFUNCTION("""COMPUTED_VALUE"""),"https://drive.google.com/open?id=12Cu0f2FYzx3953vFMwN_icmWBXhQ2GKx")</f>
        <v>https://drive.google.com/open?id=12Cu0f2FYzx3953vFMwN_icmWBXhQ2GKx</v>
      </c>
      <c r="T170" s="18" t="str">
        <f>IFERROR(__xludf.DUMMYFUNCTION("""COMPUTED_VALUE"""),"https://drive.google.com/open?id=1VLdrZw1jLoJ3fqSOAWmqddq07rccHXlA")</f>
        <v>https://drive.google.com/open?id=1VLdrZw1jLoJ3fqSOAWmqddq07rccHXlA</v>
      </c>
      <c r="U170" s="18" t="str">
        <f>IFERROR(__xludf.DUMMYFUNCTION("""COMPUTED_VALUE"""),"https://drive.google.com/open?id=10CdULj9PqPP98DZFODgS3QHEEBAcvtry")</f>
        <v>https://drive.google.com/open?id=10CdULj9PqPP98DZFODgS3QHEEBAcvtry</v>
      </c>
      <c r="V170" s="10" t="str">
        <f>IFERROR(__xludf.DUMMYFUNCTION("""COMPUTED_VALUE"""),"No")</f>
        <v>No</v>
      </c>
      <c r="W170" s="10"/>
      <c r="X170" s="10" t="str">
        <f>IFERROR(__xludf.DUMMYFUNCTION("""COMPUTED_VALUE"""),"Yes")</f>
        <v>Yes</v>
      </c>
      <c r="Y170" s="14" t="str">
        <f>IFERROR(__xludf.DUMMYFUNCTION("""COMPUTED_VALUE"""),"usmanchugtai315@gmail.com")</f>
        <v>usmanchugtai315@gmail.com</v>
      </c>
      <c r="AA170" s="325">
        <v>1.0</v>
      </c>
    </row>
    <row r="171" hidden="1">
      <c r="A171" s="9">
        <f>IFERROR(__xludf.DUMMYFUNCTION("""COMPUTED_VALUE"""),45773.20089609954)</f>
        <v>45773.2009</v>
      </c>
      <c r="B171" s="10" t="str">
        <f>IFERROR(__xludf.DUMMYFUNCTION("""COMPUTED_VALUE"""),"Sulaman asghar")</f>
        <v>Sulaman asghar</v>
      </c>
      <c r="C171" s="10" t="str">
        <f>IFERROR(__xludf.DUMMYFUNCTION("""COMPUTED_VALUE"""),"03126136070")</f>
        <v>03126136070</v>
      </c>
      <c r="D171" s="10" t="str">
        <f>IFERROR(__xludf.DUMMYFUNCTION("""COMPUTED_VALUE"""),"Ghosia musjid ")</f>
        <v>Ghosia musjid </v>
      </c>
      <c r="E171" s="10" t="str">
        <f>IFERROR(__xludf.DUMMYFUNCTION("""COMPUTED_VALUE"""),"XYHJE")</f>
        <v>XYHJE</v>
      </c>
      <c r="F171" s="10">
        <f>IFERROR(__xludf.DUMMYFUNCTION("""COMPUTED_VALUE"""),550.0)</f>
        <v>550</v>
      </c>
      <c r="G171" s="10">
        <f>IFERROR(__xludf.DUMMYFUNCTION("""COMPUTED_VALUE"""),9.0)</f>
        <v>9</v>
      </c>
      <c r="H171" s="10">
        <f>IFERROR(__xludf.DUMMYFUNCTION("""COMPUTED_VALUE"""),8.0)</f>
        <v>8</v>
      </c>
      <c r="I171" s="10">
        <f>IFERROR(__xludf.DUMMYFUNCTION("""COMPUTED_VALUE"""),2.0)</f>
        <v>2</v>
      </c>
      <c r="J171" s="10">
        <f>IFERROR(__xludf.DUMMYFUNCTION("""COMPUTED_VALUE"""),1957.0)</f>
        <v>1957</v>
      </c>
      <c r="K171" s="10" t="str">
        <f>IFERROR(__xludf.DUMMYFUNCTION("""COMPUTED_VALUE"""),"No")</f>
        <v>No</v>
      </c>
      <c r="L171" s="10" t="str">
        <f>IFERROR(__xludf.DUMMYFUNCTION("""COMPUTED_VALUE"""),"No")</f>
        <v>No</v>
      </c>
      <c r="M171" s="10">
        <f>IFERROR(__xludf.DUMMYFUNCTION("""COMPUTED_VALUE"""),6.0)</f>
        <v>6</v>
      </c>
      <c r="N171" s="10" t="str">
        <f>IFERROR(__xludf.DUMMYFUNCTION("""COMPUTED_VALUE"""),"Yes")</f>
        <v>Yes</v>
      </c>
      <c r="O171" s="323">
        <f>IFERROR(__xludf.DUMMYFUNCTION("""COMPUTED_VALUE"""),1.0)</f>
        <v>1</v>
      </c>
      <c r="P171" s="10">
        <f>IFERROR(__xludf.DUMMYFUNCTION("""COMPUTED_VALUE"""),9.0)</f>
        <v>9</v>
      </c>
      <c r="Q171" s="10">
        <f>IFERROR(__xludf.DUMMYFUNCTION("""COMPUTED_VALUE"""),6.0)</f>
        <v>6</v>
      </c>
      <c r="R171" s="10">
        <f>IFERROR(__xludf.DUMMYFUNCTION("""COMPUTED_VALUE"""),9.0)</f>
        <v>9</v>
      </c>
      <c r="S171" s="18" t="str">
        <f>IFERROR(__xludf.DUMMYFUNCTION("""COMPUTED_VALUE"""),"https://drive.google.com/open?id=1FE00cJ7grVMyb-Ee7ZLuHZleQFfigdtn")</f>
        <v>https://drive.google.com/open?id=1FE00cJ7grVMyb-Ee7ZLuHZleQFfigdtn</v>
      </c>
      <c r="T171" s="18" t="str">
        <f>IFERROR(__xludf.DUMMYFUNCTION("""COMPUTED_VALUE"""),"https://drive.google.com/open?id=1gcFLkaKZZDZrMIP77Nk9ZbQXBdxDgDTv")</f>
        <v>https://drive.google.com/open?id=1gcFLkaKZZDZrMIP77Nk9ZbQXBdxDgDTv</v>
      </c>
      <c r="U171" s="18" t="str">
        <f>IFERROR(__xludf.DUMMYFUNCTION("""COMPUTED_VALUE"""),"https://drive.google.com/open?id=1RuOYDxfISpHluT6l39cuNnsHp6jUrfeG")</f>
        <v>https://drive.google.com/open?id=1RuOYDxfISpHluT6l39cuNnsHp6jUrfeG</v>
      </c>
      <c r="V171" s="10" t="str">
        <f>IFERROR(__xludf.DUMMYFUNCTION("""COMPUTED_VALUE"""),"مسجد میں ریکارڈنگ کرنے سے اور فوٹو بنانے سے روکا گیا ہے 
جس بزرگ نے روکا ہے اسکی فوٹو ساتھ اٹیچ کر دی ہے ")</f>
        <v>مسجد میں ریکارڈنگ کرنے سے اور فوٹو بنانے سے روکا گیا ہے 
جس بزرگ نے روکا ہے اسکی فوٹو ساتھ اٹیچ کر دی ہے </v>
      </c>
      <c r="W171" s="10"/>
      <c r="X171" s="10" t="str">
        <f>IFERROR(__xludf.DUMMYFUNCTION("""COMPUTED_VALUE"""),"Yes")</f>
        <v>Yes</v>
      </c>
      <c r="Y171" s="14" t="str">
        <f>IFERROR(__xludf.DUMMYFUNCTION("""COMPUTED_VALUE"""),"sulamanasghar69@gmail.com")</f>
        <v>sulamanasghar69@gmail.com</v>
      </c>
      <c r="AA171" s="325">
        <v>1.0</v>
      </c>
    </row>
    <row r="172" hidden="1">
      <c r="A172" s="9">
        <f>IFERROR(__xludf.DUMMYFUNCTION("""COMPUTED_VALUE"""),45773.34033496528)</f>
        <v>45773.34033</v>
      </c>
      <c r="B172" s="10" t="str">
        <f>IFERROR(__xludf.DUMMYFUNCTION("""COMPUTED_VALUE"""),"zaheer")</f>
        <v>zaheer</v>
      </c>
      <c r="C172" s="10" t="str">
        <f>IFERROR(__xludf.DUMMYFUNCTION("""COMPUTED_VALUE"""),"03217040700")</f>
        <v>03217040700</v>
      </c>
      <c r="D172" s="10" t="str">
        <f>IFERROR(__xludf.DUMMYFUNCTION("""COMPUTED_VALUE"""),"Madina masjid chonk purani Anarkali lahore")</f>
        <v>Madina masjid chonk purani Anarkali lahore</v>
      </c>
      <c r="E172" s="10" t="str">
        <f>IFERROR(__xludf.DUMMYFUNCTION("""COMPUTED_VALUE"""),"bpozt")</f>
        <v>bpozt</v>
      </c>
      <c r="F172" s="10">
        <f>IFERROR(__xludf.DUMMYFUNCTION("""COMPUTED_VALUE"""),370.0)</f>
        <v>370</v>
      </c>
      <c r="G172" s="10">
        <f>IFERROR(__xludf.DUMMYFUNCTION("""COMPUTED_VALUE"""),7.0)</f>
        <v>7</v>
      </c>
      <c r="H172" s="10">
        <f>IFERROR(__xludf.DUMMYFUNCTION("""COMPUTED_VALUE"""),4.0)</f>
        <v>4</v>
      </c>
      <c r="I172" s="10">
        <f>IFERROR(__xludf.DUMMYFUNCTION("""COMPUTED_VALUE"""),0.0)</f>
        <v>0</v>
      </c>
      <c r="J172" s="10">
        <f>IFERROR(__xludf.DUMMYFUNCTION("""COMPUTED_VALUE"""),1960.0)</f>
        <v>1960</v>
      </c>
      <c r="K172" s="10" t="str">
        <f>IFERROR(__xludf.DUMMYFUNCTION("""COMPUTED_VALUE"""),"No")</f>
        <v>No</v>
      </c>
      <c r="L172" s="10" t="str">
        <f>IFERROR(__xludf.DUMMYFUNCTION("""COMPUTED_VALUE"""),"No")</f>
        <v>No</v>
      </c>
      <c r="M172" s="10">
        <f>IFERROR(__xludf.DUMMYFUNCTION("""COMPUTED_VALUE"""),5.0)</f>
        <v>5</v>
      </c>
      <c r="N172" s="10" t="str">
        <f>IFERROR(__xludf.DUMMYFUNCTION("""COMPUTED_VALUE"""),"No")</f>
        <v>No</v>
      </c>
      <c r="O172" s="10"/>
      <c r="P172" s="10"/>
      <c r="Q172" s="10"/>
      <c r="R172" s="10"/>
      <c r="S172" s="10"/>
      <c r="T172" s="10"/>
      <c r="U172" s="10"/>
      <c r="V172" s="10"/>
      <c r="W172" s="10"/>
      <c r="X172" s="10"/>
      <c r="Y172" s="14" t="str">
        <f>IFERROR(__xludf.DUMMYFUNCTION("""COMPUTED_VALUE"""),"zbutt49@yahoo.com")</f>
        <v>zbutt49@yahoo.com</v>
      </c>
      <c r="AA172" s="325" t="s">
        <v>4</v>
      </c>
    </row>
    <row r="173" hidden="1">
      <c r="A173" s="9">
        <f>IFERROR(__xludf.DUMMYFUNCTION("""COMPUTED_VALUE"""),45773.42722493055)</f>
        <v>45773.42722</v>
      </c>
      <c r="B173" s="10" t="str">
        <f>IFERROR(__xludf.DUMMYFUNCTION("""COMPUTED_VALUE"""),"Amjad JAVED ")</f>
        <v>Amjad JAVED </v>
      </c>
      <c r="C173" s="10" t="str">
        <f>IFERROR(__xludf.DUMMYFUNCTION("""COMPUTED_VALUE"""),"03094647215")</f>
        <v>03094647215</v>
      </c>
      <c r="D173" s="10" t="str">
        <f>IFERROR(__xludf.DUMMYFUNCTION("""COMPUTED_VALUE"""),"Molve Muhammad husain wali Urdu Bazar gujranwala ")</f>
        <v>Molve Muhammad husain wali Urdu Bazar gujranwala </v>
      </c>
      <c r="E173" s="10" t="str">
        <f>IFERROR(__xludf.DUMMYFUNCTION("""COMPUTED_VALUE"""),"CcxyI")</f>
        <v>CcxyI</v>
      </c>
      <c r="F173" s="10">
        <f>IFERROR(__xludf.DUMMYFUNCTION("""COMPUTED_VALUE"""),140.0)</f>
        <v>140</v>
      </c>
      <c r="G173" s="10">
        <f>IFERROR(__xludf.DUMMYFUNCTION("""COMPUTED_VALUE"""),8.0)</f>
        <v>8</v>
      </c>
      <c r="H173" s="10">
        <f>IFERROR(__xludf.DUMMYFUNCTION("""COMPUTED_VALUE"""),7.0)</f>
        <v>7</v>
      </c>
      <c r="I173" s="10">
        <f>IFERROR(__xludf.DUMMYFUNCTION("""COMPUTED_VALUE"""),0.0)</f>
        <v>0</v>
      </c>
      <c r="J173" s="10">
        <f>IFERROR(__xludf.DUMMYFUNCTION("""COMPUTED_VALUE"""),1960.0)</f>
        <v>1960</v>
      </c>
      <c r="K173" s="10" t="str">
        <f>IFERROR(__xludf.DUMMYFUNCTION("""COMPUTED_VALUE"""),"No")</f>
        <v>No</v>
      </c>
      <c r="L173" s="10" t="str">
        <f>IFERROR(__xludf.DUMMYFUNCTION("""COMPUTED_VALUE"""),"No")</f>
        <v>No</v>
      </c>
      <c r="M173" s="10">
        <f>IFERROR(__xludf.DUMMYFUNCTION("""COMPUTED_VALUE"""),7.0)</f>
        <v>7</v>
      </c>
      <c r="N173" s="10" t="str">
        <f>IFERROR(__xludf.DUMMYFUNCTION("""COMPUTED_VALUE"""),"Yes")</f>
        <v>Yes</v>
      </c>
      <c r="O173" s="323">
        <f>IFERROR(__xludf.DUMMYFUNCTION("""COMPUTED_VALUE"""),0.9)</f>
        <v>0.9</v>
      </c>
      <c r="P173" s="10">
        <f>IFERROR(__xludf.DUMMYFUNCTION("""COMPUTED_VALUE"""),9.0)</f>
        <v>9</v>
      </c>
      <c r="Q173" s="10">
        <f>IFERROR(__xludf.DUMMYFUNCTION("""COMPUTED_VALUE"""),8.0)</f>
        <v>8</v>
      </c>
      <c r="R173" s="10">
        <f>IFERROR(__xludf.DUMMYFUNCTION("""COMPUTED_VALUE"""),9.0)</f>
        <v>9</v>
      </c>
      <c r="S173" s="18" t="str">
        <f>IFERROR(__xludf.DUMMYFUNCTION("""COMPUTED_VALUE"""),"https://drive.google.com/open?id=1alHwS3rg5ib6W9yGt5JvE6v3TrAVp-4I")</f>
        <v>https://drive.google.com/open?id=1alHwS3rg5ib6W9yGt5JvE6v3TrAVp-4I</v>
      </c>
      <c r="T173" s="18" t="str">
        <f>IFERROR(__xludf.DUMMYFUNCTION("""COMPUTED_VALUE"""),"https://drive.google.com/open?id=1Ba2nKmzbU-HfZk33sWQkj-9UgLJcPuzT")</f>
        <v>https://drive.google.com/open?id=1Ba2nKmzbU-HfZk33sWQkj-9UgLJcPuzT</v>
      </c>
      <c r="U173" s="18" t="str">
        <f>IFERROR(__xludf.DUMMYFUNCTION("""COMPUTED_VALUE"""),"https://drive.google.com/open?id=1VP_QFVms_N05ghyz_5h2tlDtiJgfLdWU")</f>
        <v>https://drive.google.com/open?id=1VP_QFVms_N05ghyz_5h2tlDtiJgfLdWU</v>
      </c>
      <c r="V173" s="10"/>
      <c r="W173" s="10"/>
      <c r="X173" s="10" t="str">
        <f>IFERROR(__xludf.DUMMYFUNCTION("""COMPUTED_VALUE"""),"Yes")</f>
        <v>Yes</v>
      </c>
      <c r="Y173" s="14" t="str">
        <f>IFERROR(__xludf.DUMMYFUNCTION("""COMPUTED_VALUE"""),"ranaamjedjaved215@gmail.com")</f>
        <v>ranaamjedjaved215@gmail.com</v>
      </c>
      <c r="AA173" s="325">
        <v>1.0</v>
      </c>
    </row>
    <row r="174" hidden="1">
      <c r="A174" s="9">
        <f>IFERROR(__xludf.DUMMYFUNCTION("""COMPUTED_VALUE"""),45773.47334175926)</f>
        <v>45773.47334</v>
      </c>
      <c r="B174" s="10" t="str">
        <f>IFERROR(__xludf.DUMMYFUNCTION("""COMPUTED_VALUE"""),"Zaheer Butt")</f>
        <v>Zaheer Butt</v>
      </c>
      <c r="C174" s="10" t="str">
        <f>IFERROR(__xludf.DUMMYFUNCTION("""COMPUTED_VALUE"""),"03217040700")</f>
        <v>03217040700</v>
      </c>
      <c r="D174" s="10" t="str">
        <f>IFERROR(__xludf.DUMMYFUNCTION("""COMPUTED_VALUE"""),"Madina Masjid chownk purani anarkali")</f>
        <v>Madina Masjid chownk purani anarkali</v>
      </c>
      <c r="E174" s="10" t="str">
        <f>IFERROR(__xludf.DUMMYFUNCTION("""COMPUTED_VALUE"""),"bpozt")</f>
        <v>bpozt</v>
      </c>
      <c r="F174" s="10">
        <f>IFERROR(__xludf.DUMMYFUNCTION("""COMPUTED_VALUE"""),370.0)</f>
        <v>370</v>
      </c>
      <c r="G174" s="10">
        <f>IFERROR(__xludf.DUMMYFUNCTION("""COMPUTED_VALUE"""),4.0)</f>
        <v>4</v>
      </c>
      <c r="H174" s="10">
        <f>IFERROR(__xludf.DUMMYFUNCTION("""COMPUTED_VALUE"""),4.0)</f>
        <v>4</v>
      </c>
      <c r="I174" s="10" t="str">
        <f>IFERROR(__xludf.DUMMYFUNCTION("""COMPUTED_VALUE"""),"No")</f>
        <v>No</v>
      </c>
      <c r="J174" s="10">
        <f>IFERROR(__xludf.DUMMYFUNCTION("""COMPUTED_VALUE"""),1960.0)</f>
        <v>1960</v>
      </c>
      <c r="K174" s="10" t="str">
        <f>IFERROR(__xludf.DUMMYFUNCTION("""COMPUTED_VALUE"""),"No")</f>
        <v>No</v>
      </c>
      <c r="L174" s="10" t="str">
        <f>IFERROR(__xludf.DUMMYFUNCTION("""COMPUTED_VALUE"""),"No")</f>
        <v>No</v>
      </c>
      <c r="M174" s="10">
        <f>IFERROR(__xludf.DUMMYFUNCTION("""COMPUTED_VALUE"""),5.0)</f>
        <v>5</v>
      </c>
      <c r="N174" s="10" t="str">
        <f>IFERROR(__xludf.DUMMYFUNCTION("""COMPUTED_VALUE"""),"Yes")</f>
        <v>Yes</v>
      </c>
      <c r="O174" s="323">
        <f>IFERROR(__xludf.DUMMYFUNCTION("""COMPUTED_VALUE"""),0.4)</f>
        <v>0.4</v>
      </c>
      <c r="P174" s="10">
        <f>IFERROR(__xludf.DUMMYFUNCTION("""COMPUTED_VALUE"""),4.0)</f>
        <v>4</v>
      </c>
      <c r="Q174" s="10">
        <f>IFERROR(__xludf.DUMMYFUNCTION("""COMPUTED_VALUE"""),6.0)</f>
        <v>6</v>
      </c>
      <c r="R174" s="10">
        <f>IFERROR(__xludf.DUMMYFUNCTION("""COMPUTED_VALUE"""),4.0)</f>
        <v>4</v>
      </c>
      <c r="S174" s="18" t="str">
        <f>IFERROR(__xludf.DUMMYFUNCTION("""COMPUTED_VALUE"""),"https://drive.google.com/open?id=1dkLwO5nB-cPIyh5vAQL-_MnKVetEc0Gw")</f>
        <v>https://drive.google.com/open?id=1dkLwO5nB-cPIyh5vAQL-_MnKVetEc0Gw</v>
      </c>
      <c r="T174" s="18" t="str">
        <f>IFERROR(__xludf.DUMMYFUNCTION("""COMPUTED_VALUE"""),"https://drive.google.com/open?id=1y8ADI5ZEgOtVLtKSkfHcoa952pLoYtvj")</f>
        <v>https://drive.google.com/open?id=1y8ADI5ZEgOtVLtKSkfHcoa952pLoYtvj</v>
      </c>
      <c r="U174" s="18" t="str">
        <f>IFERROR(__xludf.DUMMYFUNCTION("""COMPUTED_VALUE"""),"https://drive.google.com/open?id=1PKeUCt8QFKq71ufGzjrxvwpEQS0bpoux")</f>
        <v>https://drive.google.com/open?id=1PKeUCt8QFKq71ufGzjrxvwpEQS0bpoux</v>
      </c>
      <c r="V174" s="10"/>
      <c r="W174" s="10"/>
      <c r="X174" s="10" t="str">
        <f>IFERROR(__xludf.DUMMYFUNCTION("""COMPUTED_VALUE"""),"Yes")</f>
        <v>Yes</v>
      </c>
      <c r="Y174" s="14" t="str">
        <f>IFERROR(__xludf.DUMMYFUNCTION("""COMPUTED_VALUE"""),"zbutt49@yahoo.com")</f>
        <v>zbutt49@yahoo.com</v>
      </c>
      <c r="AA174" s="325">
        <v>3.0</v>
      </c>
    </row>
    <row r="175" hidden="1">
      <c r="A175" s="9">
        <f>IFERROR(__xludf.DUMMYFUNCTION("""COMPUTED_VALUE"""),45773.48186175926)</f>
        <v>45773.48186</v>
      </c>
      <c r="B175" s="10" t="str">
        <f>IFERROR(__xludf.DUMMYFUNCTION("""COMPUTED_VALUE"""),"Hamaad")</f>
        <v>Hamaad</v>
      </c>
      <c r="C175" s="10" t="str">
        <f>IFERROR(__xludf.DUMMYFUNCTION("""COMPUTED_VALUE"""),"03254128007")</f>
        <v>03254128007</v>
      </c>
      <c r="D175" s="10" t="str">
        <f>IFERROR(__xludf.DUMMYFUNCTION("""COMPUTED_VALUE"""),"Jamia Masjid Syaden shah Shahrazi Chakwal")</f>
        <v>Jamia Masjid Syaden shah Shahrazi Chakwal</v>
      </c>
      <c r="E175" s="10" t="str">
        <f>IFERROR(__xludf.DUMMYFUNCTION("""COMPUTED_VALUE"""),"pipxb")</f>
        <v>pipxb</v>
      </c>
      <c r="F175" s="10">
        <f>IFERROR(__xludf.DUMMYFUNCTION("""COMPUTED_VALUE"""),150.0)</f>
        <v>150</v>
      </c>
      <c r="G175" s="10">
        <f>IFERROR(__xludf.DUMMYFUNCTION("""COMPUTED_VALUE"""),7.0)</f>
        <v>7</v>
      </c>
      <c r="H175" s="10">
        <f>IFERROR(__xludf.DUMMYFUNCTION("""COMPUTED_VALUE"""),6.0)</f>
        <v>6</v>
      </c>
      <c r="I175" s="10">
        <f>IFERROR(__xludf.DUMMYFUNCTION("""COMPUTED_VALUE"""),3.0)</f>
        <v>3</v>
      </c>
      <c r="J175" s="10" t="str">
        <f>IFERROR(__xludf.DUMMYFUNCTION("""COMPUTED_VALUE"""),"0000")</f>
        <v>0000</v>
      </c>
      <c r="K175" s="10" t="str">
        <f>IFERROR(__xludf.DUMMYFUNCTION("""COMPUTED_VALUE"""),"No")</f>
        <v>No</v>
      </c>
      <c r="L175" s="10" t="str">
        <f>IFERROR(__xludf.DUMMYFUNCTION("""COMPUTED_VALUE"""),"No")</f>
        <v>No</v>
      </c>
      <c r="M175" s="10">
        <f>IFERROR(__xludf.DUMMYFUNCTION("""COMPUTED_VALUE"""),8.0)</f>
        <v>8</v>
      </c>
      <c r="N175" s="10" t="str">
        <f>IFERROR(__xludf.DUMMYFUNCTION("""COMPUTED_VALUE"""),"No")</f>
        <v>No</v>
      </c>
      <c r="O175" s="10"/>
      <c r="P175" s="10"/>
      <c r="Q175" s="10"/>
      <c r="R175" s="10"/>
      <c r="S175" s="18" t="str">
        <f>IFERROR(__xludf.DUMMYFUNCTION("""COMPUTED_VALUE"""),"https://drive.google.com/open?id=18xgzlbCySLLYIb1Zd-EYgFU7LSn9MOt5")</f>
        <v>https://drive.google.com/open?id=18xgzlbCySLLYIb1Zd-EYgFU7LSn9MOt5</v>
      </c>
      <c r="T175" s="18" t="str">
        <f>IFERROR(__xludf.DUMMYFUNCTION("""COMPUTED_VALUE"""),"https://drive.google.com/open?id=1PChbFEy925gfFmnARhqjo2T9CihqXFk5")</f>
        <v>https://drive.google.com/open?id=1PChbFEy925gfFmnARhqjo2T9CihqXFk5</v>
      </c>
      <c r="U175" s="18" t="str">
        <f>IFERROR(__xludf.DUMMYFUNCTION("""COMPUTED_VALUE"""),"https://drive.google.com/open?id=11qwN6dxeRYUsaju4c_51cScOkA-f6jN8")</f>
        <v>https://drive.google.com/open?id=11qwN6dxeRYUsaju4c_51cScOkA-f6jN8</v>
      </c>
      <c r="V175" s="10"/>
      <c r="W175" s="10"/>
      <c r="X175" s="10"/>
      <c r="Y175" s="14" t="str">
        <f>IFERROR(__xludf.DUMMYFUNCTION("""COMPUTED_VALUE"""),"hamadali47ali@gmail.com")</f>
        <v>hamadali47ali@gmail.com</v>
      </c>
      <c r="AA175" s="325">
        <v>1.0</v>
      </c>
    </row>
    <row r="176" hidden="1">
      <c r="A176" s="9">
        <f>IFERROR(__xludf.DUMMYFUNCTION("""COMPUTED_VALUE"""),45779.21774910879)</f>
        <v>45779.21775</v>
      </c>
      <c r="B176" s="10" t="str">
        <f>IFERROR(__xludf.DUMMYFUNCTION("""COMPUTED_VALUE"""),"Wasif Rehman ")</f>
        <v>Wasif Rehman </v>
      </c>
      <c r="C176" s="10" t="str">
        <f>IFERROR(__xludf.DUMMYFUNCTION("""COMPUTED_VALUE"""),"03466866233")</f>
        <v>03466866233</v>
      </c>
      <c r="D176" s="10" t="str">
        <f>IFERROR(__xludf.DUMMYFUNCTION("""COMPUTED_VALUE"""),"Jamia masjid derbar naghy shah ")</f>
        <v>Jamia masjid derbar naghy shah </v>
      </c>
      <c r="E176" s="10" t="str">
        <f>IFERROR(__xludf.DUMMYFUNCTION("""COMPUTED_VALUE"""),"Wrtan")</f>
        <v>Wrtan</v>
      </c>
      <c r="F176" s="10">
        <f>IFERROR(__xludf.DUMMYFUNCTION("""COMPUTED_VALUE"""),175.0)</f>
        <v>175</v>
      </c>
      <c r="G176" s="10">
        <f>IFERROR(__xludf.DUMMYFUNCTION("""COMPUTED_VALUE"""),8.0)</f>
        <v>8</v>
      </c>
      <c r="H176" s="10">
        <f>IFERROR(__xludf.DUMMYFUNCTION("""COMPUTED_VALUE"""),8.0)</f>
        <v>8</v>
      </c>
      <c r="I176" s="10">
        <f>IFERROR(__xludf.DUMMYFUNCTION("""COMPUTED_VALUE"""),0.0)</f>
        <v>0</v>
      </c>
      <c r="J176" s="10">
        <f>IFERROR(__xludf.DUMMYFUNCTION("""COMPUTED_VALUE"""),35.0)</f>
        <v>35</v>
      </c>
      <c r="K176" s="10" t="str">
        <f>IFERROR(__xludf.DUMMYFUNCTION("""COMPUTED_VALUE"""),"No")</f>
        <v>No</v>
      </c>
      <c r="L176" s="10" t="str">
        <f>IFERROR(__xludf.DUMMYFUNCTION("""COMPUTED_VALUE"""),"No")</f>
        <v>No</v>
      </c>
      <c r="M176" s="10">
        <f>IFERROR(__xludf.DUMMYFUNCTION("""COMPUTED_VALUE"""),7.0)</f>
        <v>7</v>
      </c>
      <c r="N176" s="10" t="str">
        <f>IFERROR(__xludf.DUMMYFUNCTION("""COMPUTED_VALUE"""),"No")</f>
        <v>No</v>
      </c>
      <c r="O176" s="10"/>
      <c r="P176" s="10"/>
      <c r="Q176" s="10"/>
      <c r="R176" s="10"/>
      <c r="S176" s="18" t="str">
        <f>IFERROR(__xludf.DUMMYFUNCTION("""COMPUTED_VALUE"""),"https://drive.google.com/open?id=1wk7Tordn6KaJoxoBC6fwgP-VBNanYhUz")</f>
        <v>https://drive.google.com/open?id=1wk7Tordn6KaJoxoBC6fwgP-VBNanYhUz</v>
      </c>
      <c r="T176" s="18" t="str">
        <f>IFERROR(__xludf.DUMMYFUNCTION("""COMPUTED_VALUE"""),"https://drive.google.com/open?id=1IOokRKKV5YfdGI_WKgq4bcySAxcmWeEw")</f>
        <v>https://drive.google.com/open?id=1IOokRKKV5YfdGI_WKgq4bcySAxcmWeEw</v>
      </c>
      <c r="U176" s="18" t="str">
        <f>IFERROR(__xludf.DUMMYFUNCTION("""COMPUTED_VALUE"""),"https://drive.google.com/open?id=1RLQrBTTu5XMw4C2bDTpyrinIdSfR-8ax")</f>
        <v>https://drive.google.com/open?id=1RLQrBTTu5XMw4C2bDTpyrinIdSfR-8ax</v>
      </c>
      <c r="V176" s="10"/>
      <c r="W176" s="10"/>
      <c r="X176" s="10"/>
      <c r="Y176" s="14" t="str">
        <f>IFERROR(__xludf.DUMMYFUNCTION("""COMPUTED_VALUE"""),"wasif6268@gmail.com")</f>
        <v>wasif6268@gmail.com</v>
      </c>
      <c r="AA176" s="325">
        <v>3.0</v>
      </c>
    </row>
    <row r="177" hidden="1">
      <c r="A177" s="9">
        <f>IFERROR(__xludf.DUMMYFUNCTION("""COMPUTED_VALUE"""),45779.22266513889)</f>
        <v>45779.22267</v>
      </c>
      <c r="B177" s="10" t="str">
        <f>IFERROR(__xludf.DUMMYFUNCTION("""COMPUTED_VALUE"""),"Adnan Bashir")</f>
        <v>Adnan Bashir</v>
      </c>
      <c r="C177" s="10" t="str">
        <f>IFERROR(__xludf.DUMMYFUNCTION("""COMPUTED_VALUE"""),"03466626866")</f>
        <v>03466626866</v>
      </c>
      <c r="D177" s="10" t="str">
        <f>IFERROR(__xludf.DUMMYFUNCTION("""COMPUTED_VALUE"""),"Jamia Masjid PEERA MALAH Raheem Pura ")</f>
        <v>Jamia Masjid PEERA MALAH Raheem Pura </v>
      </c>
      <c r="E177" s="10" t="str">
        <f>IFERROR(__xludf.DUMMYFUNCTION("""COMPUTED_VALUE"""),"Dkded")</f>
        <v>Dkded</v>
      </c>
      <c r="F177" s="10">
        <f>IFERROR(__xludf.DUMMYFUNCTION("""COMPUTED_VALUE"""),435.0)</f>
        <v>435</v>
      </c>
      <c r="G177" s="10">
        <f>IFERROR(__xludf.DUMMYFUNCTION("""COMPUTED_VALUE"""),7.0)</f>
        <v>7</v>
      </c>
      <c r="H177" s="10">
        <f>IFERROR(__xludf.DUMMYFUNCTION("""COMPUTED_VALUE"""),7.0)</f>
        <v>7</v>
      </c>
      <c r="I177" s="10">
        <f>IFERROR(__xludf.DUMMYFUNCTION("""COMPUTED_VALUE"""),0.0)</f>
        <v>0</v>
      </c>
      <c r="J177" s="10">
        <f>IFERROR(__xludf.DUMMYFUNCTION("""COMPUTED_VALUE"""),1983.0)</f>
        <v>1983</v>
      </c>
      <c r="K177" s="10" t="str">
        <f>IFERROR(__xludf.DUMMYFUNCTION("""COMPUTED_VALUE"""),"Yes")</f>
        <v>Yes</v>
      </c>
      <c r="L177" s="10" t="str">
        <f>IFERROR(__xludf.DUMMYFUNCTION("""COMPUTED_VALUE"""),"Yes ")</f>
        <v>Yes </v>
      </c>
      <c r="M177" s="10">
        <f>IFERROR(__xludf.DUMMYFUNCTION("""COMPUTED_VALUE"""),6.0)</f>
        <v>6</v>
      </c>
      <c r="N177" s="10" t="str">
        <f>IFERROR(__xludf.DUMMYFUNCTION("""COMPUTED_VALUE"""),"Yes")</f>
        <v>Yes</v>
      </c>
      <c r="O177" s="323">
        <f>IFERROR(__xludf.DUMMYFUNCTION("""COMPUTED_VALUE"""),0.3)</f>
        <v>0.3</v>
      </c>
      <c r="P177" s="10">
        <f>IFERROR(__xludf.DUMMYFUNCTION("""COMPUTED_VALUE"""),3.0)</f>
        <v>3</v>
      </c>
      <c r="Q177" s="10">
        <f>IFERROR(__xludf.DUMMYFUNCTION("""COMPUTED_VALUE"""),7.0)</f>
        <v>7</v>
      </c>
      <c r="R177" s="10">
        <f>IFERROR(__xludf.DUMMYFUNCTION("""COMPUTED_VALUE"""),3.0)</f>
        <v>3</v>
      </c>
      <c r="S177" s="18" t="str">
        <f>IFERROR(__xludf.DUMMYFUNCTION("""COMPUTED_VALUE"""),"https://drive.google.com/open?id=1l2k6i2hvwLkSYNgJ93wfI2GgRRrJDDKj")</f>
        <v>https://drive.google.com/open?id=1l2k6i2hvwLkSYNgJ93wfI2GgRRrJDDKj</v>
      </c>
      <c r="T177" s="18" t="str">
        <f>IFERROR(__xludf.DUMMYFUNCTION("""COMPUTED_VALUE"""),"https://drive.google.com/open?id=1V7k2tepFP7UgzEbIISC6qfN6Qo2bEqvP")</f>
        <v>https://drive.google.com/open?id=1V7k2tepFP7UgzEbIISC6qfN6Qo2bEqvP</v>
      </c>
      <c r="U177" s="18" t="str">
        <f>IFERROR(__xludf.DUMMYFUNCTION("""COMPUTED_VALUE"""),"https://drive.google.com/open?id=10GeL6ofm6IQ5ZUwKmbEgBIYLk6f5hQFU")</f>
        <v>https://drive.google.com/open?id=10GeL6ofm6IQ5ZUwKmbEgBIYLk6f5hQFU</v>
      </c>
      <c r="V177" s="10"/>
      <c r="W177" s="10"/>
      <c r="X177" s="10" t="str">
        <f>IFERROR(__xludf.DUMMYFUNCTION("""COMPUTED_VALUE"""),"Yes")</f>
        <v>Yes</v>
      </c>
      <c r="Y177" s="14" t="str">
        <f>IFERROR(__xludf.DUMMYFUNCTION("""COMPUTED_VALUE"""),"zulaied.subhan@gmail.com")</f>
        <v>zulaied.subhan@gmail.com</v>
      </c>
      <c r="AA177" s="325">
        <v>2.0</v>
      </c>
    </row>
    <row r="178" hidden="1">
      <c r="A178" s="9">
        <f>IFERROR(__xludf.DUMMYFUNCTION("""COMPUTED_VALUE"""),45779.22908913194)</f>
        <v>45779.22909</v>
      </c>
      <c r="B178" s="10" t="str">
        <f>IFERROR(__xludf.DUMMYFUNCTION("""COMPUTED_VALUE"""),"Naveed Anjum")</f>
        <v>Naveed Anjum</v>
      </c>
      <c r="C178" s="10" t="str">
        <f>IFERROR(__xludf.DUMMYFUNCTION("""COMPUTED_VALUE"""),"03009829782")</f>
        <v>03009829782</v>
      </c>
      <c r="D178" s="10" t="str">
        <f>IFERROR(__xludf.DUMMYFUNCTION("""COMPUTED_VALUE"""),"markzi jamia masjid darbar shreaf Hazrat baba skhi sayd Muhammad sayed shah")</f>
        <v>markzi jamia masjid darbar shreaf Hazrat baba skhi sayd Muhammad sayed shah</v>
      </c>
      <c r="E178" s="10" t="str">
        <f>IFERROR(__xludf.DUMMYFUNCTION("""COMPUTED_VALUE"""),"jiuks")</f>
        <v>jiuks</v>
      </c>
      <c r="F178" s="10">
        <f>IFERROR(__xludf.DUMMYFUNCTION("""COMPUTED_VALUE"""),350.0)</f>
        <v>350</v>
      </c>
      <c r="G178" s="10">
        <f>IFERROR(__xludf.DUMMYFUNCTION("""COMPUTED_VALUE"""),9.0)</f>
        <v>9</v>
      </c>
      <c r="H178" s="10">
        <f>IFERROR(__xludf.DUMMYFUNCTION("""COMPUTED_VALUE"""),9.0)</f>
        <v>9</v>
      </c>
      <c r="I178" s="10" t="str">
        <f>IFERROR(__xludf.DUMMYFUNCTION("""COMPUTED_VALUE"""),"nill")</f>
        <v>nill</v>
      </c>
      <c r="J178" s="10">
        <f>IFERROR(__xludf.DUMMYFUNCTION("""COMPUTED_VALUE"""),1992.0)</f>
        <v>1992</v>
      </c>
      <c r="K178" s="10" t="str">
        <f>IFERROR(__xludf.DUMMYFUNCTION("""COMPUTED_VALUE"""),"No")</f>
        <v>No</v>
      </c>
      <c r="L178" s="10" t="str">
        <f>IFERROR(__xludf.DUMMYFUNCTION("""COMPUTED_VALUE"""),"Darbar baba syd shah ")</f>
        <v>Darbar baba syd shah </v>
      </c>
      <c r="M178" s="10">
        <f>IFERROR(__xludf.DUMMYFUNCTION("""COMPUTED_VALUE"""),8.0)</f>
        <v>8</v>
      </c>
      <c r="N178" s="10" t="str">
        <f>IFERROR(__xludf.DUMMYFUNCTION("""COMPUTED_VALUE"""),"No")</f>
        <v>No</v>
      </c>
      <c r="O178" s="10"/>
      <c r="P178" s="10"/>
      <c r="Q178" s="10"/>
      <c r="R178" s="10"/>
      <c r="S178" s="18" t="str">
        <f>IFERROR(__xludf.DUMMYFUNCTION("""COMPUTED_VALUE"""),"https://drive.google.com/open?id=1mTa8ZQeJPqDaNqzl6kgRNISCM_QqzVPN")</f>
        <v>https://drive.google.com/open?id=1mTa8ZQeJPqDaNqzl6kgRNISCM_QqzVPN</v>
      </c>
      <c r="T178" s="18" t="str">
        <f>IFERROR(__xludf.DUMMYFUNCTION("""COMPUTED_VALUE"""),"https://drive.google.com/open?id=1DvubiaYvxG-HxmwGFnkQISHcUnVxYrAt")</f>
        <v>https://drive.google.com/open?id=1DvubiaYvxG-HxmwGFnkQISHcUnVxYrAt</v>
      </c>
      <c r="U178" s="18" t="str">
        <f>IFERROR(__xludf.DUMMYFUNCTION("""COMPUTED_VALUE"""),"https://drive.google.com/open?id=1M8PfEWAaXw0Tuw8obZJJBuoMRMtip6R2")</f>
        <v>https://drive.google.com/open?id=1M8PfEWAaXw0Tuw8obZJJBuoMRMtip6R2</v>
      </c>
      <c r="V178" s="10" t="str">
        <f>IFERROR(__xludf.DUMMYFUNCTION("""COMPUTED_VALUE"""),"no")</f>
        <v>no</v>
      </c>
      <c r="W178" s="10"/>
      <c r="X178" s="10"/>
      <c r="Y178" s="14" t="str">
        <f>IFERROR(__xludf.DUMMYFUNCTION("""COMPUTED_VALUE"""),"navidanjum20@gmail.com")</f>
        <v>navidanjum20@gmail.com</v>
      </c>
      <c r="AA178" s="325">
        <v>3.0</v>
      </c>
    </row>
    <row r="179" hidden="1">
      <c r="A179" s="9">
        <f>IFERROR(__xludf.DUMMYFUNCTION("""COMPUTED_VALUE"""),45779.22925296296)</f>
        <v>45779.22925</v>
      </c>
      <c r="B179" s="10" t="str">
        <f>IFERROR(__xludf.DUMMYFUNCTION("""COMPUTED_VALUE"""),"Muhammad Naveed ")</f>
        <v>Muhammad Naveed </v>
      </c>
      <c r="C179" s="10" t="str">
        <f>IFERROR(__xludf.DUMMYFUNCTION("""COMPUTED_VALUE"""),"03044150404")</f>
        <v>03044150404</v>
      </c>
      <c r="D179" s="10" t="str">
        <f>IFERROR(__xludf.DUMMYFUNCTION("""COMPUTED_VALUE"""),"Jamia masjid Hafiz Noor jhelum")</f>
        <v>Jamia masjid Hafiz Noor jhelum</v>
      </c>
      <c r="E179" s="10" t="str">
        <f>IFERROR(__xludf.DUMMYFUNCTION("""COMPUTED_VALUE"""),"PXOLR")</f>
        <v>PXOLR</v>
      </c>
      <c r="F179" s="10">
        <f>IFERROR(__xludf.DUMMYFUNCTION("""COMPUTED_VALUE"""),200.0)</f>
        <v>200</v>
      </c>
      <c r="G179" s="10">
        <f>IFERROR(__xludf.DUMMYFUNCTION("""COMPUTED_VALUE"""),7.0)</f>
        <v>7</v>
      </c>
      <c r="H179" s="10">
        <f>IFERROR(__xludf.DUMMYFUNCTION("""COMPUTED_VALUE"""),7.0)</f>
        <v>7</v>
      </c>
      <c r="I179" s="10">
        <f>IFERROR(__xludf.DUMMYFUNCTION("""COMPUTED_VALUE"""),2.0)</f>
        <v>2</v>
      </c>
      <c r="J179" s="10">
        <f>IFERROR(__xludf.DUMMYFUNCTION("""COMPUTED_VALUE"""),1970.0)</f>
        <v>1970</v>
      </c>
      <c r="K179" s="10" t="str">
        <f>IFERROR(__xludf.DUMMYFUNCTION("""COMPUTED_VALUE"""),"Yes")</f>
        <v>Yes</v>
      </c>
      <c r="L179" s="10" t="str">
        <f>IFERROR(__xludf.DUMMYFUNCTION("""COMPUTED_VALUE"""),"No")</f>
        <v>No</v>
      </c>
      <c r="M179" s="10">
        <f>IFERROR(__xludf.DUMMYFUNCTION("""COMPUTED_VALUE"""),8.0)</f>
        <v>8</v>
      </c>
      <c r="N179" s="10" t="str">
        <f>IFERROR(__xludf.DUMMYFUNCTION("""COMPUTED_VALUE"""),"No")</f>
        <v>No</v>
      </c>
      <c r="O179" s="10"/>
      <c r="P179" s="10"/>
      <c r="Q179" s="10"/>
      <c r="R179" s="10"/>
      <c r="S179" s="10"/>
      <c r="T179" s="10"/>
      <c r="U179" s="18" t="str">
        <f>IFERROR(__xludf.DUMMYFUNCTION("""COMPUTED_VALUE"""),"https://drive.google.com/open?id=1U7KIZPRLGtsXtj_qbKp9NpF8DWg164uX")</f>
        <v>https://drive.google.com/open?id=1U7KIZPRLGtsXtj_qbKp9NpF8DWg164uX</v>
      </c>
      <c r="V179" s="10"/>
      <c r="W179" s="10"/>
      <c r="X179" s="10"/>
      <c r="Y179" s="14" t="str">
        <f>IFERROR(__xludf.DUMMYFUNCTION("""COMPUTED_VALUE"""),"mnaveed6011@gmail.com")</f>
        <v>mnaveed6011@gmail.com</v>
      </c>
      <c r="AA179" s="325">
        <v>3.0</v>
      </c>
    </row>
    <row r="180" hidden="1">
      <c r="A180" s="9">
        <f>IFERROR(__xludf.DUMMYFUNCTION("""COMPUTED_VALUE"""),45779.24657552083)</f>
        <v>45779.24658</v>
      </c>
      <c r="B180" s="10" t="str">
        <f>IFERROR(__xludf.DUMMYFUNCTION("""COMPUTED_VALUE"""),"Muhammad Bakhsh Gondal")</f>
        <v>Muhammad Bakhsh Gondal</v>
      </c>
      <c r="C180" s="10" t="str">
        <f>IFERROR(__xludf.DUMMYFUNCTION("""COMPUTED_VALUE"""),"03455751506")</f>
        <v>03455751506</v>
      </c>
      <c r="D180" s="10" t="str">
        <f>IFERROR(__xludf.DUMMYFUNCTION("""COMPUTED_VALUE"""),"Markazi  jamiah Masid m.b.din")</f>
        <v>Markazi  jamiah Masid m.b.din</v>
      </c>
      <c r="E180" s="10" t="str">
        <f>IFERROR(__xludf.DUMMYFUNCTION("""COMPUTED_VALUE"""),"IPMEE")</f>
        <v>IPMEE</v>
      </c>
      <c r="F180" s="10">
        <f>IFERROR(__xludf.DUMMYFUNCTION("""COMPUTED_VALUE"""),550.0)</f>
        <v>550</v>
      </c>
      <c r="G180" s="10">
        <f>IFERROR(__xludf.DUMMYFUNCTION("""COMPUTED_VALUE"""),9.0)</f>
        <v>9</v>
      </c>
      <c r="H180" s="10">
        <f>IFERROR(__xludf.DUMMYFUNCTION("""COMPUTED_VALUE"""),8.0)</f>
        <v>8</v>
      </c>
      <c r="I180" s="10">
        <f>IFERROR(__xludf.DUMMYFUNCTION("""COMPUTED_VALUE"""),1.0)</f>
        <v>1</v>
      </c>
      <c r="J180" s="10">
        <f>IFERROR(__xludf.DUMMYFUNCTION("""COMPUTED_VALUE"""),1933.0)</f>
        <v>1933</v>
      </c>
      <c r="K180" s="10" t="str">
        <f>IFERROR(__xludf.DUMMYFUNCTION("""COMPUTED_VALUE"""),"Yes")</f>
        <v>Yes</v>
      </c>
      <c r="L180" s="10" t="str">
        <f>IFERROR(__xludf.DUMMYFUNCTION("""COMPUTED_VALUE"""),"No")</f>
        <v>No</v>
      </c>
      <c r="M180" s="10">
        <f>IFERROR(__xludf.DUMMYFUNCTION("""COMPUTED_VALUE"""),9.0)</f>
        <v>9</v>
      </c>
      <c r="N180" s="10" t="str">
        <f>IFERROR(__xludf.DUMMYFUNCTION("""COMPUTED_VALUE"""),"No")</f>
        <v>No</v>
      </c>
      <c r="O180" s="10"/>
      <c r="P180" s="10"/>
      <c r="Q180" s="10"/>
      <c r="R180" s="10"/>
      <c r="S180" s="18" t="str">
        <f>IFERROR(__xludf.DUMMYFUNCTION("""COMPUTED_VALUE"""),"https://drive.google.com/open?id=1KW-GWxm51XrRGARm1NQ0b06vGCl2n8HE")</f>
        <v>https://drive.google.com/open?id=1KW-GWxm51XrRGARm1NQ0b06vGCl2n8HE</v>
      </c>
      <c r="T180" s="10" t="str">
        <f>IFERROR(__xludf.DUMMYFUNCTION("""COMPUTED_VALUE"""),"https://drive.google.com/open?id=1bO_n4dKGwjh5D9bexHWrdNWXozw9vStk, https://drive.google.com/open?id=1I-QdYkens5Ej73ba7qlzTIjVEZDtWumB, https://drive.google.com/open?id=117mmzhMoXzcOUvNlYj-I_ha8AF_XyxrN, https://drive.google.com/open?id=17DA2IEFxs7-Bn1VhW"&amp;"UuPqC6VnY4mjFMD")</f>
        <v>https://drive.google.com/open?id=1bO_n4dKGwjh5D9bexHWrdNWXozw9vStk, https://drive.google.com/open?id=1I-QdYkens5Ej73ba7qlzTIjVEZDtWumB, https://drive.google.com/open?id=117mmzhMoXzcOUvNlYj-I_ha8AF_XyxrN, https://drive.google.com/open?id=17DA2IEFxs7-Bn1VhWUuPqC6VnY4mjFMD</v>
      </c>
      <c r="U180" s="18" t="str">
        <f>IFERROR(__xludf.DUMMYFUNCTION("""COMPUTED_VALUE"""),"https://drive.google.com/open?id=1c9tj8DU0Pjef7QmIuUwtZtxlHiTS_nzs")</f>
        <v>https://drive.google.com/open?id=1c9tj8DU0Pjef7QmIuUwtZtxlHiTS_nzs</v>
      </c>
      <c r="V180" s="10"/>
      <c r="W180" s="10"/>
      <c r="X180" s="10"/>
      <c r="Y180" s="14" t="str">
        <f>IFERROR(__xludf.DUMMYFUNCTION("""COMPUTED_VALUE"""),"mb.gondal2016@mail.com")</f>
        <v>mb.gondal2016@mail.com</v>
      </c>
      <c r="AA180" s="325">
        <v>3.0</v>
      </c>
    </row>
    <row r="181" hidden="1">
      <c r="A181" s="9">
        <f>IFERROR(__xludf.DUMMYFUNCTION("""COMPUTED_VALUE"""),45779.24981277778)</f>
        <v>45779.24981</v>
      </c>
      <c r="B181" s="10" t="str">
        <f>IFERROR(__xludf.DUMMYFUNCTION("""COMPUTED_VALUE"""),"Wajid Mushtaq ")</f>
        <v>Wajid Mushtaq </v>
      </c>
      <c r="C181" s="10" t="str">
        <f>IFERROR(__xludf.DUMMYFUNCTION("""COMPUTED_VALUE"""),"03246427664")</f>
        <v>03246427664</v>
      </c>
      <c r="D181" s="10" t="str">
        <f>IFERROR(__xludf.DUMMYFUNCTION("""COMPUTED_VALUE"""),"Jamia Masjid hanfia ghosiya rizwiya")</f>
        <v>Jamia Masjid hanfia ghosiya rizwiya</v>
      </c>
      <c r="E181" s="10" t="str">
        <f>IFERROR(__xludf.DUMMYFUNCTION("""COMPUTED_VALUE"""),"Oiuji")</f>
        <v>Oiuji</v>
      </c>
      <c r="F181" s="10">
        <f>IFERROR(__xludf.DUMMYFUNCTION("""COMPUTED_VALUE"""),160.0)</f>
        <v>160</v>
      </c>
      <c r="G181" s="10">
        <f>IFERROR(__xludf.DUMMYFUNCTION("""COMPUTED_VALUE"""),8.0)</f>
        <v>8</v>
      </c>
      <c r="H181" s="10">
        <f>IFERROR(__xludf.DUMMYFUNCTION("""COMPUTED_VALUE"""),8.0)</f>
        <v>8</v>
      </c>
      <c r="I181" s="10">
        <f>IFERROR(__xludf.DUMMYFUNCTION("""COMPUTED_VALUE"""),0.0)</f>
        <v>0</v>
      </c>
      <c r="J181" s="10">
        <f>IFERROR(__xludf.DUMMYFUNCTION("""COMPUTED_VALUE"""),1982.0)</f>
        <v>1982</v>
      </c>
      <c r="K181" s="10" t="str">
        <f>IFERROR(__xludf.DUMMYFUNCTION("""COMPUTED_VALUE"""),"No")</f>
        <v>No</v>
      </c>
      <c r="L181" s="10" t="str">
        <f>IFERROR(__xludf.DUMMYFUNCTION("""COMPUTED_VALUE"""),"Peer guga Shareef ")</f>
        <v>Peer guga Shareef </v>
      </c>
      <c r="M181" s="10">
        <f>IFERROR(__xludf.DUMMYFUNCTION("""COMPUTED_VALUE"""),8.0)</f>
        <v>8</v>
      </c>
      <c r="N181" s="10" t="str">
        <f>IFERROR(__xludf.DUMMYFUNCTION("""COMPUTED_VALUE"""),"Yes")</f>
        <v>Yes</v>
      </c>
      <c r="O181" s="323">
        <f>IFERROR(__xludf.DUMMYFUNCTION("""COMPUTED_VALUE"""),0.0)</f>
        <v>0</v>
      </c>
      <c r="P181" s="10">
        <f>IFERROR(__xludf.DUMMYFUNCTION("""COMPUTED_VALUE"""),0.0)</f>
        <v>0</v>
      </c>
      <c r="Q181" s="10">
        <f>IFERROR(__xludf.DUMMYFUNCTION("""COMPUTED_VALUE"""),0.0)</f>
        <v>0</v>
      </c>
      <c r="R181" s="10">
        <f>IFERROR(__xludf.DUMMYFUNCTION("""COMPUTED_VALUE"""),0.0)</f>
        <v>0</v>
      </c>
      <c r="S181" s="18" t="str">
        <f>IFERROR(__xludf.DUMMYFUNCTION("""COMPUTED_VALUE"""),"https://drive.google.com/open?id=1WvKr1MOzp0RVUi-O5IhYSbHJ_pfe3wKW")</f>
        <v>https://drive.google.com/open?id=1WvKr1MOzp0RVUi-O5IhYSbHJ_pfe3wKW</v>
      </c>
      <c r="T181" s="18" t="str">
        <f>IFERROR(__xludf.DUMMYFUNCTION("""COMPUTED_VALUE"""),"https://drive.google.com/open?id=1ivcrNe1WTx8ukVgv7eLXJIdlbPdjFKfa")</f>
        <v>https://drive.google.com/open?id=1ivcrNe1WTx8ukVgv7eLXJIdlbPdjFKfa</v>
      </c>
      <c r="U181" s="18" t="str">
        <f>IFERROR(__xludf.DUMMYFUNCTION("""COMPUTED_VALUE"""),"https://drive.google.com/open?id=1PjCi3iQ1E-KBqyqiIaQU5Yll85r9Fy0t")</f>
        <v>https://drive.google.com/open?id=1PjCi3iQ1E-KBqyqiIaQU5Yll85r9Fy0t</v>
      </c>
      <c r="V181" s="10" t="str">
        <f>IFERROR(__xludf.DUMMYFUNCTION("""COMPUTED_VALUE"""),"Imaam Absent ")</f>
        <v>Imaam Absent </v>
      </c>
      <c r="W181" s="10"/>
      <c r="X181" s="10" t="str">
        <f>IFERROR(__xludf.DUMMYFUNCTION("""COMPUTED_VALUE"""),"Yes")</f>
        <v>Yes</v>
      </c>
      <c r="Y181" s="14" t="str">
        <f>IFERROR(__xludf.DUMMYFUNCTION("""COMPUTED_VALUE"""),"wajidmushtaq941@gmail.com")</f>
        <v>wajidmushtaq941@gmail.com</v>
      </c>
      <c r="AA181" s="325">
        <v>4.0</v>
      </c>
    </row>
    <row r="182" hidden="1">
      <c r="A182" s="9">
        <f>IFERROR(__xludf.DUMMYFUNCTION("""COMPUTED_VALUE"""),45779.25214833333)</f>
        <v>45779.25215</v>
      </c>
      <c r="B182" s="10" t="str">
        <f>IFERROR(__xludf.DUMMYFUNCTION("""COMPUTED_VALUE"""),"سلیمان ")</f>
        <v>سلیمان </v>
      </c>
      <c r="C182" s="10" t="str">
        <f>IFERROR(__xludf.DUMMYFUNCTION("""COMPUTED_VALUE"""),"03126136070")</f>
        <v>03126136070</v>
      </c>
      <c r="D182" s="10" t="str">
        <f>IFERROR(__xludf.DUMMYFUNCTION("""COMPUTED_VALUE"""),"جامع مسجد زرین زربخت ہے")</f>
        <v>جامع مسجد زرین زربخت ہے</v>
      </c>
      <c r="E182" s="10" t="str">
        <f>IFERROR(__xludf.DUMMYFUNCTION("""COMPUTED_VALUE"""),"KMBBM")</f>
        <v>KMBBM</v>
      </c>
      <c r="F182" s="10">
        <f>IFERROR(__xludf.DUMMYFUNCTION("""COMPUTED_VALUE"""),190.0)</f>
        <v>190</v>
      </c>
      <c r="G182" s="10">
        <f>IFERROR(__xludf.DUMMYFUNCTION("""COMPUTED_VALUE"""),9.0)</f>
        <v>9</v>
      </c>
      <c r="H182" s="10">
        <f>IFERROR(__xludf.DUMMYFUNCTION("""COMPUTED_VALUE"""),9.0)</f>
        <v>9</v>
      </c>
      <c r="I182" s="10">
        <f>IFERROR(__xludf.DUMMYFUNCTION("""COMPUTED_VALUE"""),1.0)</f>
        <v>1</v>
      </c>
      <c r="J182" s="10" t="str">
        <f>IFERROR(__xludf.DUMMYFUNCTION("""COMPUTED_VALUE"""),"1963 بعد میں1989 میں دوبارہ تعمیر ہوئی")</f>
        <v>1963 بعد میں1989 میں دوبارہ تعمیر ہوئی</v>
      </c>
      <c r="K182" s="10" t="str">
        <f>IFERROR(__xludf.DUMMYFUNCTION("""COMPUTED_VALUE"""),"Yes")</f>
        <v>Yes</v>
      </c>
      <c r="L182" s="10" t="str">
        <f>IFERROR(__xludf.DUMMYFUNCTION("""COMPUTED_VALUE"""),"پیپر سید معصوم سرکار ")</f>
        <v>پیپر سید معصوم سرکار </v>
      </c>
      <c r="M182" s="10">
        <f>IFERROR(__xludf.DUMMYFUNCTION("""COMPUTED_VALUE"""),8.0)</f>
        <v>8</v>
      </c>
      <c r="N182" s="10" t="str">
        <f>IFERROR(__xludf.DUMMYFUNCTION("""COMPUTED_VALUE"""),"No")</f>
        <v>No</v>
      </c>
      <c r="O182" s="10"/>
      <c r="P182" s="10"/>
      <c r="Q182" s="10"/>
      <c r="R182" s="10"/>
      <c r="S182" s="18" t="str">
        <f>IFERROR(__xludf.DUMMYFUNCTION("""COMPUTED_VALUE"""),"https://drive.google.com/open?id=1keqYUro6cAvl80FxyUuUlACgEps0PzwM")</f>
        <v>https://drive.google.com/open?id=1keqYUro6cAvl80FxyUuUlACgEps0PzwM</v>
      </c>
      <c r="T182" s="18" t="str">
        <f>IFERROR(__xludf.DUMMYFUNCTION("""COMPUTED_VALUE"""),"https://drive.google.com/open?id=1ojFxtyNgdjFvJ143pxAZEkx0wiKmB9Wl")</f>
        <v>https://drive.google.com/open?id=1ojFxtyNgdjFvJ143pxAZEkx0wiKmB9Wl</v>
      </c>
      <c r="U182" s="18" t="str">
        <f>IFERROR(__xludf.DUMMYFUNCTION("""COMPUTED_VALUE"""),"https://drive.google.com/open?id=14hL-fq34Ysh4rlYw0JBMmHGUIO024xR2")</f>
        <v>https://drive.google.com/open?id=14hL-fq34Ysh4rlYw0JBMmHGUIO024xR2</v>
      </c>
      <c r="V182" s="10"/>
      <c r="W182" s="10"/>
      <c r="X182" s="10"/>
      <c r="Y182" s="14" t="str">
        <f>IFERROR(__xludf.DUMMYFUNCTION("""COMPUTED_VALUE"""),"sulamanasghar69@gmail.com")</f>
        <v>sulamanasghar69@gmail.com</v>
      </c>
      <c r="AA182" s="325">
        <v>3.0</v>
      </c>
    </row>
    <row r="183" hidden="1">
      <c r="A183" s="9">
        <f>IFERROR(__xludf.DUMMYFUNCTION("""COMPUTED_VALUE"""),45779.261106666665)</f>
        <v>45779.26111</v>
      </c>
      <c r="B183" s="10" t="str">
        <f>IFERROR(__xludf.DUMMYFUNCTION("""COMPUTED_VALUE"""),"Muhammad khalid salahuddin")</f>
        <v>Muhammad khalid salahuddin</v>
      </c>
      <c r="C183" s="10" t="str">
        <f>IFERROR(__xludf.DUMMYFUNCTION("""COMPUTED_VALUE"""),"03135510044")</f>
        <v>03135510044</v>
      </c>
      <c r="D183" s="10" t="str">
        <f>IFERROR(__xludf.DUMMYFUNCTION("""COMPUTED_VALUE"""),"جامع مسجد افغاناں ")</f>
        <v>جامع مسجد افغاناں </v>
      </c>
      <c r="E183" s="10" t="str">
        <f>IFERROR(__xludf.DUMMYFUNCTION("""COMPUTED_VALUE"""),"UVNAI")</f>
        <v>UVNAI</v>
      </c>
      <c r="F183" s="10">
        <f>IFERROR(__xludf.DUMMYFUNCTION("""COMPUTED_VALUE"""),526.0)</f>
        <v>526</v>
      </c>
      <c r="G183" s="10">
        <f>IFERROR(__xludf.DUMMYFUNCTION("""COMPUTED_VALUE"""),10.0)</f>
        <v>10</v>
      </c>
      <c r="H183" s="10">
        <f>IFERROR(__xludf.DUMMYFUNCTION("""COMPUTED_VALUE"""),9.0)</f>
        <v>9</v>
      </c>
      <c r="I183" s="10">
        <f>IFERROR(__xludf.DUMMYFUNCTION("""COMPUTED_VALUE"""),0.0)</f>
        <v>0</v>
      </c>
      <c r="J183" s="10">
        <f>IFERROR(__xludf.DUMMYFUNCTION("""COMPUTED_VALUE"""),1892.0)</f>
        <v>1892</v>
      </c>
      <c r="K183" s="10" t="str">
        <f>IFERROR(__xludf.DUMMYFUNCTION("""COMPUTED_VALUE"""),"No")</f>
        <v>No</v>
      </c>
      <c r="L183" s="10" t="str">
        <f>IFERROR(__xludf.DUMMYFUNCTION("""COMPUTED_VALUE"""),"حضرت بابا محمد دین افغانی ")</f>
        <v>حضرت بابا محمد دین افغانی </v>
      </c>
      <c r="M183" s="10">
        <f>IFERROR(__xludf.DUMMYFUNCTION("""COMPUTED_VALUE"""),10.0)</f>
        <v>10</v>
      </c>
      <c r="N183" s="10" t="str">
        <f>IFERROR(__xludf.DUMMYFUNCTION("""COMPUTED_VALUE"""),"Yes")</f>
        <v>Yes</v>
      </c>
      <c r="O183" s="323">
        <f>IFERROR(__xludf.DUMMYFUNCTION("""COMPUTED_VALUE"""),1.0)</f>
        <v>1</v>
      </c>
      <c r="P183" s="10">
        <f>IFERROR(__xludf.DUMMYFUNCTION("""COMPUTED_VALUE"""),10.0)</f>
        <v>10</v>
      </c>
      <c r="Q183" s="10">
        <f>IFERROR(__xludf.DUMMYFUNCTION("""COMPUTED_VALUE"""),3.0)</f>
        <v>3</v>
      </c>
      <c r="R183" s="10">
        <f>IFERROR(__xludf.DUMMYFUNCTION("""COMPUTED_VALUE"""),9.0)</f>
        <v>9</v>
      </c>
      <c r="S183" s="18" t="str">
        <f>IFERROR(__xludf.DUMMYFUNCTION("""COMPUTED_VALUE"""),"https://drive.google.com/open?id=1mS4PkYEF6Gs2EXpemEoTAYngjYcyxP_m")</f>
        <v>https://drive.google.com/open?id=1mS4PkYEF6Gs2EXpemEoTAYngjYcyxP_m</v>
      </c>
      <c r="T183" s="18" t="str">
        <f>IFERROR(__xludf.DUMMYFUNCTION("""COMPUTED_VALUE"""),"https://drive.google.com/open?id=1cgwCTeWCevys3LxI-93IgDoeXhOp9wO2")</f>
        <v>https://drive.google.com/open?id=1cgwCTeWCevys3LxI-93IgDoeXhOp9wO2</v>
      </c>
      <c r="U183" s="18" t="str">
        <f>IFERROR(__xludf.DUMMYFUNCTION("""COMPUTED_VALUE"""),"https://drive.google.com/open?id=19gIcnXZnol8BPgkgFifB8z3F8zr1lepu")</f>
        <v>https://drive.google.com/open?id=19gIcnXZnol8BPgkgFifB8z3F8zr1lepu</v>
      </c>
      <c r="V183" s="10"/>
      <c r="W183" s="10"/>
      <c r="X183" s="10" t="str">
        <f>IFERROR(__xludf.DUMMYFUNCTION("""COMPUTED_VALUE"""),"Yes")</f>
        <v>Yes</v>
      </c>
      <c r="Y183" s="14" t="str">
        <f>IFERROR(__xludf.DUMMYFUNCTION("""COMPUTED_VALUE"""),"sarkaralimuhammad@gmail.com")</f>
        <v>sarkaralimuhammad@gmail.com</v>
      </c>
      <c r="AA183" s="325">
        <v>2.0</v>
      </c>
    </row>
    <row r="184" hidden="1">
      <c r="A184" s="9">
        <f>IFERROR(__xludf.DUMMYFUNCTION("""COMPUTED_VALUE"""),45779.26158491898)</f>
        <v>45779.26158</v>
      </c>
      <c r="B184" s="10" t="str">
        <f>IFERROR(__xludf.DUMMYFUNCTION("""COMPUTED_VALUE"""),"Mohsin Raza ")</f>
        <v>Mohsin Raza </v>
      </c>
      <c r="C184" s="10" t="str">
        <f>IFERROR(__xludf.DUMMYFUNCTION("""COMPUTED_VALUE"""),"03014497860")</f>
        <v>03014497860</v>
      </c>
      <c r="D184" s="10" t="str">
        <f>IFERROR(__xludf.DUMMYFUNCTION("""COMPUTED_VALUE"""),"Jamia Masjid Imam bargah kalan kacheri sheikhupura ")</f>
        <v>Jamia Masjid Imam bargah kalan kacheri sheikhupura </v>
      </c>
      <c r="E184" s="10" t="str">
        <f>IFERROR(__xludf.DUMMYFUNCTION("""COMPUTED_VALUE"""),"UPUVS")</f>
        <v>UPUVS</v>
      </c>
      <c r="F184" s="10">
        <f>IFERROR(__xludf.DUMMYFUNCTION("""COMPUTED_VALUE"""),210.0)</f>
        <v>210</v>
      </c>
      <c r="G184" s="10">
        <f>IFERROR(__xludf.DUMMYFUNCTION("""COMPUTED_VALUE"""),5.0)</f>
        <v>5</v>
      </c>
      <c r="H184" s="10">
        <f>IFERROR(__xludf.DUMMYFUNCTION("""COMPUTED_VALUE"""),7.0)</f>
        <v>7</v>
      </c>
      <c r="I184" s="10">
        <f>IFERROR(__xludf.DUMMYFUNCTION("""COMPUTED_VALUE"""),2.0)</f>
        <v>2</v>
      </c>
      <c r="J184" s="10" t="str">
        <f>IFERROR(__xludf.DUMMYFUNCTION("""COMPUTED_VALUE"""),"زیر تعمیر ہے ")</f>
        <v>زیر تعمیر ہے </v>
      </c>
      <c r="K184" s="10" t="str">
        <f>IFERROR(__xludf.DUMMYFUNCTION("""COMPUTED_VALUE"""),"Yes")</f>
        <v>Yes</v>
      </c>
      <c r="L184" s="10" t="str">
        <f>IFERROR(__xludf.DUMMYFUNCTION("""COMPUTED_VALUE"""),"No")</f>
        <v>No</v>
      </c>
      <c r="M184" s="10">
        <f>IFERROR(__xludf.DUMMYFUNCTION("""COMPUTED_VALUE"""),8.0)</f>
        <v>8</v>
      </c>
      <c r="N184" s="10" t="str">
        <f>IFERROR(__xludf.DUMMYFUNCTION("""COMPUTED_VALUE"""),"No")</f>
        <v>No</v>
      </c>
      <c r="O184" s="10"/>
      <c r="P184" s="10"/>
      <c r="Q184" s="10"/>
      <c r="R184" s="10"/>
      <c r="S184" s="18" t="str">
        <f>IFERROR(__xludf.DUMMYFUNCTION("""COMPUTED_VALUE"""),"https://drive.google.com/open?id=1Cp1W035P2SdUaK2flY3FhAw6miHjNPjI")</f>
        <v>https://drive.google.com/open?id=1Cp1W035P2SdUaK2flY3FhAw6miHjNPjI</v>
      </c>
      <c r="T184" s="18" t="str">
        <f>IFERROR(__xludf.DUMMYFUNCTION("""COMPUTED_VALUE"""),"https://drive.google.com/open?id=1IwI8PmZo9qb5SBIlCxiAcvXL5HkyeFCa")</f>
        <v>https://drive.google.com/open?id=1IwI8PmZo9qb5SBIlCxiAcvXL5HkyeFCa</v>
      </c>
      <c r="U184" s="18" t="str">
        <f>IFERROR(__xludf.DUMMYFUNCTION("""COMPUTED_VALUE"""),"https://drive.google.com/open?id=1QzqUN0asolro6kPpb1atqziA_5CbNVRf")</f>
        <v>https://drive.google.com/open?id=1QzqUN0asolro6kPpb1atqziA_5CbNVRf</v>
      </c>
      <c r="V184" s="10"/>
      <c r="W184" s="10"/>
      <c r="X184" s="10"/>
      <c r="Y184" s="14" t="str">
        <f>IFERROR(__xludf.DUMMYFUNCTION("""COMPUTED_VALUE"""),"mohsingchatha@gmail.com")</f>
        <v>mohsingchatha@gmail.com</v>
      </c>
      <c r="AA184" s="325">
        <v>3.0</v>
      </c>
    </row>
    <row r="185" hidden="1">
      <c r="A185" s="9">
        <f>IFERROR(__xludf.DUMMYFUNCTION("""COMPUTED_VALUE"""),45779.271431851856)</f>
        <v>45779.27143</v>
      </c>
      <c r="B185" s="10" t="str">
        <f>IFERROR(__xludf.DUMMYFUNCTION("""COMPUTED_VALUE"""),"Sami Ullah")</f>
        <v>Sami Ullah</v>
      </c>
      <c r="C185" s="10" t="str">
        <f>IFERROR(__xludf.DUMMYFUNCTION("""COMPUTED_VALUE"""),"03060977105")</f>
        <v>03060977105</v>
      </c>
      <c r="D185" s="10" t="str">
        <f>IFERROR(__xludf.DUMMYFUNCTION("""COMPUTED_VALUE"""),"Jamia Masjid Gulzar Madina Darya Khan")</f>
        <v>Jamia Masjid Gulzar Madina Darya Khan</v>
      </c>
      <c r="E185" s="10" t="str">
        <f>IFERROR(__xludf.DUMMYFUNCTION("""COMPUTED_VALUE"""),"bjngp")</f>
        <v>bjngp</v>
      </c>
      <c r="F185" s="10">
        <f>IFERROR(__xludf.DUMMYFUNCTION("""COMPUTED_VALUE"""),2150.0)</f>
        <v>2150</v>
      </c>
      <c r="G185" s="10">
        <f>IFERROR(__xludf.DUMMYFUNCTION("""COMPUTED_VALUE"""),8.0)</f>
        <v>8</v>
      </c>
      <c r="H185" s="10">
        <f>IFERROR(__xludf.DUMMYFUNCTION("""COMPUTED_VALUE"""),8.0)</f>
        <v>8</v>
      </c>
      <c r="I185" s="10">
        <f>IFERROR(__xludf.DUMMYFUNCTION("""COMPUTED_VALUE"""),0.0)</f>
        <v>0</v>
      </c>
      <c r="J185" s="10">
        <f>IFERROR(__xludf.DUMMYFUNCTION("""COMPUTED_VALUE"""),1940.0)</f>
        <v>1940</v>
      </c>
      <c r="K185" s="10" t="str">
        <f>IFERROR(__xludf.DUMMYFUNCTION("""COMPUTED_VALUE"""),"No")</f>
        <v>No</v>
      </c>
      <c r="L185" s="10" t="str">
        <f>IFERROR(__xludf.DUMMYFUNCTION("""COMPUTED_VALUE"""),"No")</f>
        <v>No</v>
      </c>
      <c r="M185" s="10">
        <f>IFERROR(__xludf.DUMMYFUNCTION("""COMPUTED_VALUE"""),10.0)</f>
        <v>10</v>
      </c>
      <c r="N185" s="10" t="str">
        <f>IFERROR(__xludf.DUMMYFUNCTION("""COMPUTED_VALUE"""),"Yes")</f>
        <v>Yes</v>
      </c>
      <c r="O185" s="323">
        <f>IFERROR(__xludf.DUMMYFUNCTION("""COMPUTED_VALUE"""),0.8)</f>
        <v>0.8</v>
      </c>
      <c r="P185" s="10">
        <f>IFERROR(__xludf.DUMMYFUNCTION("""COMPUTED_VALUE"""),8.0)</f>
        <v>8</v>
      </c>
      <c r="Q185" s="10">
        <f>IFERROR(__xludf.DUMMYFUNCTION("""COMPUTED_VALUE"""),3.0)</f>
        <v>3</v>
      </c>
      <c r="R185" s="10">
        <f>IFERROR(__xludf.DUMMYFUNCTION("""COMPUTED_VALUE"""),8.0)</f>
        <v>8</v>
      </c>
      <c r="S185" s="18" t="str">
        <f>IFERROR(__xludf.DUMMYFUNCTION("""COMPUTED_VALUE"""),"https://drive.google.com/open?id=1MKsO4yto0M2w4ih4I0MsKoFrdexchEU3")</f>
        <v>https://drive.google.com/open?id=1MKsO4yto0M2w4ih4I0MsKoFrdexchEU3</v>
      </c>
      <c r="T185" s="18" t="str">
        <f>IFERROR(__xludf.DUMMYFUNCTION("""COMPUTED_VALUE"""),"https://drive.google.com/open?id=1LvEZw5B-SZsgjVICLnQxBM5U3IqeLvxd")</f>
        <v>https://drive.google.com/open?id=1LvEZw5B-SZsgjVICLnQxBM5U3IqeLvxd</v>
      </c>
      <c r="U185" s="18" t="str">
        <f>IFERROR(__xludf.DUMMYFUNCTION("""COMPUTED_VALUE"""),"https://drive.google.com/open?id=1tgpZfYSqtb9K6VrhSTqZRvr6JikTowev")</f>
        <v>https://drive.google.com/open?id=1tgpZfYSqtb9K6VrhSTqZRvr6JikTowev</v>
      </c>
      <c r="V185" s="10" t="str">
        <f>IFERROR(__xludf.DUMMYFUNCTION("""COMPUTED_VALUE"""),"Nothing ")</f>
        <v>Nothing </v>
      </c>
      <c r="W185" s="10"/>
      <c r="X185" s="10" t="str">
        <f>IFERROR(__xludf.DUMMYFUNCTION("""COMPUTED_VALUE"""),"Yes")</f>
        <v>Yes</v>
      </c>
      <c r="Y185" s="14" t="str">
        <f>IFERROR(__xludf.DUMMYFUNCTION("""COMPUTED_VALUE"""),"samiullahjoyia973@gmail.com")</f>
        <v>samiullahjoyia973@gmail.com</v>
      </c>
      <c r="AA185" s="325">
        <v>3.0</v>
      </c>
    </row>
    <row r="186" hidden="1">
      <c r="A186" s="9">
        <f>IFERROR(__xludf.DUMMYFUNCTION("""COMPUTED_VALUE"""),45779.28071040509)</f>
        <v>45779.28071</v>
      </c>
      <c r="B186" s="10" t="str">
        <f>IFERROR(__xludf.DUMMYFUNCTION("""COMPUTED_VALUE"""),"Nisar Ali Nasir ")</f>
        <v>Nisar Ali Nasir </v>
      </c>
      <c r="C186" s="10" t="str">
        <f>IFERROR(__xludf.DUMMYFUNCTION("""COMPUTED_VALUE"""),"03445131452")</f>
        <v>03445131452</v>
      </c>
      <c r="D186" s="10" t="str">
        <f>IFERROR(__xludf.DUMMYFUNCTION("""COMPUTED_VALUE"""),"Jamia masjid darbar badshan khushab ")</f>
        <v>Jamia masjid darbar badshan khushab </v>
      </c>
      <c r="E186" s="10" t="str">
        <f>IFERROR(__xludf.DUMMYFUNCTION("""COMPUTED_VALUE"""),"Gxkkx")</f>
        <v>Gxkkx</v>
      </c>
      <c r="F186" s="10">
        <f>IFERROR(__xludf.DUMMYFUNCTION("""COMPUTED_VALUE"""),350.0)</f>
        <v>350</v>
      </c>
      <c r="G186" s="10">
        <f>IFERROR(__xludf.DUMMYFUNCTION("""COMPUTED_VALUE"""),6.0)</f>
        <v>6</v>
      </c>
      <c r="H186" s="10">
        <f>IFERROR(__xludf.DUMMYFUNCTION("""COMPUTED_VALUE"""),4.0)</f>
        <v>4</v>
      </c>
      <c r="I186" s="10">
        <f>IFERROR(__xludf.DUMMYFUNCTION("""COMPUTED_VALUE"""),1.0)</f>
        <v>1</v>
      </c>
      <c r="J186" s="10">
        <f>IFERROR(__xludf.DUMMYFUNCTION("""COMPUTED_VALUE"""),1800.0)</f>
        <v>1800</v>
      </c>
      <c r="K186" s="10" t="str">
        <f>IFERROR(__xludf.DUMMYFUNCTION("""COMPUTED_VALUE"""),"Yes")</f>
        <v>Yes</v>
      </c>
      <c r="L186" s="10" t="str">
        <f>IFERROR(__xludf.DUMMYFUNCTION("""COMPUTED_VALUE"""),"Darbar badshan ")</f>
        <v>Darbar badshan </v>
      </c>
      <c r="M186" s="10">
        <f>IFERROR(__xludf.DUMMYFUNCTION("""COMPUTED_VALUE"""),9.0)</f>
        <v>9</v>
      </c>
      <c r="N186" s="10" t="str">
        <f>IFERROR(__xludf.DUMMYFUNCTION("""COMPUTED_VALUE"""),"No")</f>
        <v>No</v>
      </c>
      <c r="O186" s="10"/>
      <c r="P186" s="10"/>
      <c r="Q186" s="10"/>
      <c r="R186" s="10"/>
      <c r="S186" s="18" t="str">
        <f>IFERROR(__xludf.DUMMYFUNCTION("""COMPUTED_VALUE"""),"https://drive.google.com/open?id=1npL-5xfr0rzkXvXA1ZuGWYxjSKsHx1zn")</f>
        <v>https://drive.google.com/open?id=1npL-5xfr0rzkXvXA1ZuGWYxjSKsHx1zn</v>
      </c>
      <c r="T186" s="18" t="str">
        <f>IFERROR(__xludf.DUMMYFUNCTION("""COMPUTED_VALUE"""),"https://drive.google.com/open?id=10zwrrb3ais3rP6Qi0rfcqolfWtby-1Kz")</f>
        <v>https://drive.google.com/open?id=10zwrrb3ais3rP6Qi0rfcqolfWtby-1Kz</v>
      </c>
      <c r="U186" s="18" t="str">
        <f>IFERROR(__xludf.DUMMYFUNCTION("""COMPUTED_VALUE"""),"https://drive.google.com/open?id=1jN4FSsIUJL8OisAJWVZhtTCxrKdfjqmr")</f>
        <v>https://drive.google.com/open?id=1jN4FSsIUJL8OisAJWVZhtTCxrKdfjqmr</v>
      </c>
      <c r="V186" s="10"/>
      <c r="W186" s="10"/>
      <c r="X186" s="10"/>
      <c r="Y186" s="14" t="str">
        <f>IFERROR(__xludf.DUMMYFUNCTION("""COMPUTED_VALUE"""),"nisaralinasir4@gmail.com")</f>
        <v>nisaralinasir4@gmail.com</v>
      </c>
      <c r="AA186" s="325">
        <v>2.0</v>
      </c>
    </row>
    <row r="187" hidden="1">
      <c r="A187" s="9">
        <f>IFERROR(__xludf.DUMMYFUNCTION("""COMPUTED_VALUE"""),45779.28083239583)</f>
        <v>45779.28083</v>
      </c>
      <c r="B187" s="10" t="str">
        <f>IFERROR(__xludf.DUMMYFUNCTION("""COMPUTED_VALUE"""),"Abdullah ")</f>
        <v>Abdullah </v>
      </c>
      <c r="C187" s="10" t="str">
        <f>IFERROR(__xludf.DUMMYFUNCTION("""COMPUTED_VALUE"""),"03076348483")</f>
        <v>03076348483</v>
      </c>
      <c r="D187" s="10" t="str">
        <f>IFERROR(__xludf.DUMMYFUNCTION("""COMPUTED_VALUE"""),"Jamia masjid safdariya rangpura sialkot ")</f>
        <v>Jamia masjid safdariya rangpura sialkot </v>
      </c>
      <c r="E187" s="10" t="str">
        <f>IFERROR(__xludf.DUMMYFUNCTION("""COMPUTED_VALUE"""),"Pcboq")</f>
        <v>Pcboq</v>
      </c>
      <c r="F187" s="10">
        <f>IFERROR(__xludf.DUMMYFUNCTION("""COMPUTED_VALUE"""),137.0)</f>
        <v>137</v>
      </c>
      <c r="G187" s="10">
        <f>IFERROR(__xludf.DUMMYFUNCTION("""COMPUTED_VALUE"""),8.0)</f>
        <v>8</v>
      </c>
      <c r="H187" s="10">
        <f>IFERROR(__xludf.DUMMYFUNCTION("""COMPUTED_VALUE"""),8.0)</f>
        <v>8</v>
      </c>
      <c r="I187" s="10">
        <f>IFERROR(__xludf.DUMMYFUNCTION("""COMPUTED_VALUE"""),0.0)</f>
        <v>0</v>
      </c>
      <c r="J187" s="10">
        <f>IFERROR(__xludf.DUMMYFUNCTION("""COMPUTED_VALUE"""),1992.0)</f>
        <v>1992</v>
      </c>
      <c r="K187" s="10" t="str">
        <f>IFERROR(__xludf.DUMMYFUNCTION("""COMPUTED_VALUE"""),"No")</f>
        <v>No</v>
      </c>
      <c r="L187" s="10" t="str">
        <f>IFERROR(__xludf.DUMMYFUNCTION("""COMPUTED_VALUE"""),"No")</f>
        <v>No</v>
      </c>
      <c r="M187" s="10">
        <f>IFERROR(__xludf.DUMMYFUNCTION("""COMPUTED_VALUE"""),9.0)</f>
        <v>9</v>
      </c>
      <c r="N187" s="10" t="str">
        <f>IFERROR(__xludf.DUMMYFUNCTION("""COMPUTED_VALUE"""),"Yes")</f>
        <v>Yes</v>
      </c>
      <c r="O187" s="323">
        <f>IFERROR(__xludf.DUMMYFUNCTION("""COMPUTED_VALUE"""),0.9)</f>
        <v>0.9</v>
      </c>
      <c r="P187" s="10">
        <f>IFERROR(__xludf.DUMMYFUNCTION("""COMPUTED_VALUE"""),9.0)</f>
        <v>9</v>
      </c>
      <c r="Q187" s="10">
        <f>IFERROR(__xludf.DUMMYFUNCTION("""COMPUTED_VALUE"""),1.0)</f>
        <v>1</v>
      </c>
      <c r="R187" s="10">
        <f>IFERROR(__xludf.DUMMYFUNCTION("""COMPUTED_VALUE"""),9.0)</f>
        <v>9</v>
      </c>
      <c r="S187" s="18" t="str">
        <f>IFERROR(__xludf.DUMMYFUNCTION("""COMPUTED_VALUE"""),"https://drive.google.com/open?id=1Oji8bpMEg9r7QHWfVPaaVN34WteUwUk7")</f>
        <v>https://drive.google.com/open?id=1Oji8bpMEg9r7QHWfVPaaVN34WteUwUk7</v>
      </c>
      <c r="T187" s="18" t="str">
        <f>IFERROR(__xludf.DUMMYFUNCTION("""COMPUTED_VALUE"""),"https://drive.google.com/open?id=16tV_osyh0IojsONQrIoEAR5jswXZPcR0")</f>
        <v>https://drive.google.com/open?id=16tV_osyh0IojsONQrIoEAR5jswXZPcR0</v>
      </c>
      <c r="U187" s="18" t="str">
        <f>IFERROR(__xludf.DUMMYFUNCTION("""COMPUTED_VALUE"""),"https://drive.google.com/open?id=1VjZo7Tptca2B14cLTK6sp0DL8do2dsNB")</f>
        <v>https://drive.google.com/open?id=1VjZo7Tptca2B14cLTK6sp0DL8do2dsNB</v>
      </c>
      <c r="V187" s="10"/>
      <c r="W187" s="10"/>
      <c r="X187" s="10" t="str">
        <f>IFERROR(__xludf.DUMMYFUNCTION("""COMPUTED_VALUE"""),"Yes")</f>
        <v>Yes</v>
      </c>
      <c r="Y187" s="14" t="str">
        <f>IFERROR(__xludf.DUMMYFUNCTION("""COMPUTED_VALUE"""),"zulaied.subhan@gmail.com")</f>
        <v>zulaied.subhan@gmail.com</v>
      </c>
      <c r="AA187" s="325">
        <v>2.0</v>
      </c>
    </row>
    <row r="188" hidden="1">
      <c r="A188" s="9">
        <f>IFERROR(__xludf.DUMMYFUNCTION("""COMPUTED_VALUE"""),45779.28148741898)</f>
        <v>45779.28149</v>
      </c>
      <c r="B188" s="10" t="str">
        <f>IFERROR(__xludf.DUMMYFUNCTION("""COMPUTED_VALUE"""),"Hafiz Muhammad Asif ")</f>
        <v>Hafiz Muhammad Asif </v>
      </c>
      <c r="C188" s="10" t="str">
        <f>IFERROR(__xludf.DUMMYFUNCTION("""COMPUTED_VALUE"""),"03318421006")</f>
        <v>03318421006</v>
      </c>
      <c r="D188" s="10" t="str">
        <f>IFERROR(__xludf.DUMMYFUNCTION("""COMPUTED_VALUE"""),"Jamia Masjid Railway Road Sheikhupura ")</f>
        <v>Jamia Masjid Railway Road Sheikhupura </v>
      </c>
      <c r="E188" s="10" t="str">
        <f>IFERROR(__xludf.DUMMYFUNCTION("""COMPUTED_VALUE"""),"INGWH")</f>
        <v>INGWH</v>
      </c>
      <c r="F188" s="10">
        <f>IFERROR(__xludf.DUMMYFUNCTION("""COMPUTED_VALUE"""),1100.0)</f>
        <v>1100</v>
      </c>
      <c r="G188" s="10">
        <f>IFERROR(__xludf.DUMMYFUNCTION("""COMPUTED_VALUE"""),5.0)</f>
        <v>5</v>
      </c>
      <c r="H188" s="10">
        <f>IFERROR(__xludf.DUMMYFUNCTION("""COMPUTED_VALUE"""),5.0)</f>
        <v>5</v>
      </c>
      <c r="I188" s="10" t="str">
        <f>IFERROR(__xludf.DUMMYFUNCTION("""COMPUTED_VALUE"""),"2 ڈھیر اینٹوں کے ")</f>
        <v>2 ڈھیر اینٹوں کے </v>
      </c>
      <c r="J188" s="10">
        <f>IFERROR(__xludf.DUMMYFUNCTION("""COMPUTED_VALUE"""),1925.0)</f>
        <v>1925</v>
      </c>
      <c r="K188" s="10" t="str">
        <f>IFERROR(__xludf.DUMMYFUNCTION("""COMPUTED_VALUE"""),"No")</f>
        <v>No</v>
      </c>
      <c r="L188" s="10" t="str">
        <f>IFERROR(__xludf.DUMMYFUNCTION("""COMPUTED_VALUE"""),"کوئی نہیں ")</f>
        <v>کوئی نہیں </v>
      </c>
      <c r="M188" s="10">
        <f>IFERROR(__xludf.DUMMYFUNCTION("""COMPUTED_VALUE"""),10.0)</f>
        <v>10</v>
      </c>
      <c r="N188" s="10" t="str">
        <f>IFERROR(__xludf.DUMMYFUNCTION("""COMPUTED_VALUE"""),"No")</f>
        <v>No</v>
      </c>
      <c r="O188" s="10"/>
      <c r="P188" s="10"/>
      <c r="Q188" s="10"/>
      <c r="R188" s="10"/>
      <c r="S188" s="10" t="str">
        <f>IFERROR(__xludf.DUMMYFUNCTION("""COMPUTED_VALUE"""),"https://drive.google.com/open?id=1pA8iMJXpML510_ZgwO1v9XR2DcEvMhk6, https://drive.google.com/open?id=1zviITZWkAkFTHLCBBiDIvlKZdQbaG5zS")</f>
        <v>https://drive.google.com/open?id=1pA8iMJXpML510_ZgwO1v9XR2DcEvMhk6, https://drive.google.com/open?id=1zviITZWkAkFTHLCBBiDIvlKZdQbaG5zS</v>
      </c>
      <c r="T188" s="18" t="str">
        <f>IFERROR(__xludf.DUMMYFUNCTION("""COMPUTED_VALUE"""),"https://drive.google.com/open?id=1aCdU2315iUFtbaMxxz3O_wc3EwStqxso")</f>
        <v>https://drive.google.com/open?id=1aCdU2315iUFtbaMxxz3O_wc3EwStqxso</v>
      </c>
      <c r="U188" s="18" t="str">
        <f>IFERROR(__xludf.DUMMYFUNCTION("""COMPUTED_VALUE"""),"https://drive.google.com/open?id=1NvJjfbinrXcddUF8xVeXL8QuomFQSVA4")</f>
        <v>https://drive.google.com/open?id=1NvJjfbinrXcddUF8xVeXL8QuomFQSVA4</v>
      </c>
      <c r="V188" s="10"/>
      <c r="W188" s="10"/>
      <c r="X188" s="10"/>
      <c r="Y188" s="14" t="str">
        <f>IFERROR(__xludf.DUMMYFUNCTION("""COMPUTED_VALUE"""),"saqiasif98@gmail.com")</f>
        <v>saqiasif98@gmail.com</v>
      </c>
      <c r="AA188" s="325">
        <v>3.0</v>
      </c>
    </row>
    <row r="189" hidden="1">
      <c r="A189" s="9">
        <f>IFERROR(__xludf.DUMMYFUNCTION("""COMPUTED_VALUE"""),45779.28443545139)</f>
        <v>45779.28444</v>
      </c>
      <c r="B189" s="10" t="str">
        <f>IFERROR(__xludf.DUMMYFUNCTION("""COMPUTED_VALUE"""),"Husnain Ali bhatti ")</f>
        <v>Husnain Ali bhatti </v>
      </c>
      <c r="C189" s="10" t="str">
        <f>IFERROR(__xludf.DUMMYFUNCTION("""COMPUTED_VALUE"""),"03444433036")</f>
        <v>03444433036</v>
      </c>
      <c r="D189" s="10" t="str">
        <f>IFERROR(__xludf.DUMMYFUNCTION("""COMPUTED_VALUE"""),"Jamia masjid Qalander shah")</f>
        <v>Jamia masjid Qalander shah</v>
      </c>
      <c r="E189" s="10" t="str">
        <f>IFERROR(__xludf.DUMMYFUNCTION("""COMPUTED_VALUE"""),"CKLBK")</f>
        <v>CKLBK</v>
      </c>
      <c r="F189" s="10">
        <f>IFERROR(__xludf.DUMMYFUNCTION("""COMPUTED_VALUE"""),120.0)</f>
        <v>120</v>
      </c>
      <c r="G189" s="10">
        <f>IFERROR(__xludf.DUMMYFUNCTION("""COMPUTED_VALUE"""),8.0)</f>
        <v>8</v>
      </c>
      <c r="H189" s="10">
        <f>IFERROR(__xludf.DUMMYFUNCTION("""COMPUTED_VALUE"""),8.0)</f>
        <v>8</v>
      </c>
      <c r="I189" s="10">
        <f>IFERROR(__xludf.DUMMYFUNCTION("""COMPUTED_VALUE"""),1.0)</f>
        <v>1</v>
      </c>
      <c r="J189" s="10">
        <f>IFERROR(__xludf.DUMMYFUNCTION("""COMPUTED_VALUE"""),1951.0)</f>
        <v>1951</v>
      </c>
      <c r="K189" s="10" t="str">
        <f>IFERROR(__xludf.DUMMYFUNCTION("""COMPUTED_VALUE"""),"No")</f>
        <v>No</v>
      </c>
      <c r="L189" s="10" t="str">
        <f>IFERROR(__xludf.DUMMYFUNCTION("""COMPUTED_VALUE"""),"Qalander shah ")</f>
        <v>Qalander shah </v>
      </c>
      <c r="M189" s="10">
        <f>IFERROR(__xludf.DUMMYFUNCTION("""COMPUTED_VALUE"""),10.0)</f>
        <v>10</v>
      </c>
      <c r="N189" s="10" t="str">
        <f>IFERROR(__xludf.DUMMYFUNCTION("""COMPUTED_VALUE"""),"No")</f>
        <v>No</v>
      </c>
      <c r="O189" s="10"/>
      <c r="P189" s="10"/>
      <c r="Q189" s="10"/>
      <c r="R189" s="10"/>
      <c r="S189" s="18" t="str">
        <f>IFERROR(__xludf.DUMMYFUNCTION("""COMPUTED_VALUE"""),"https://drive.google.com/open?id=1wvMlldvORZhiwZQ_2r0eyRVa4CHPux7-")</f>
        <v>https://drive.google.com/open?id=1wvMlldvORZhiwZQ_2r0eyRVa4CHPux7-</v>
      </c>
      <c r="T189" s="18" t="str">
        <f>IFERROR(__xludf.DUMMYFUNCTION("""COMPUTED_VALUE"""),"https://drive.google.com/open?id=1c4r04kcMS_i3ePNcYPvto3RuoPj40Pzs")</f>
        <v>https://drive.google.com/open?id=1c4r04kcMS_i3ePNcYPvto3RuoPj40Pzs</v>
      </c>
      <c r="U189" s="18" t="str">
        <f>IFERROR(__xludf.DUMMYFUNCTION("""COMPUTED_VALUE"""),"https://drive.google.com/open?id=11y8S7hTrS5-8lWhXaaITB53iXZo6KZWB")</f>
        <v>https://drive.google.com/open?id=11y8S7hTrS5-8lWhXaaITB53iXZo6KZWB</v>
      </c>
      <c r="V189" s="10"/>
      <c r="W189" s="10"/>
      <c r="X189" s="10"/>
      <c r="Y189" s="14" t="str">
        <f>IFERROR(__xludf.DUMMYFUNCTION("""COMPUTED_VALUE"""),"husnainali433036@gmail.com")</f>
        <v>husnainali433036@gmail.com</v>
      </c>
      <c r="AA189" s="325">
        <v>3.0</v>
      </c>
    </row>
    <row r="190" hidden="1">
      <c r="A190" s="9">
        <f>IFERROR(__xludf.DUMMYFUNCTION("""COMPUTED_VALUE"""),45779.29907390046)</f>
        <v>45779.29907</v>
      </c>
      <c r="B190" s="10" t="str">
        <f>IFERROR(__xludf.DUMMYFUNCTION("""COMPUTED_VALUE"""),"M.Rizwan")</f>
        <v>M.Rizwan</v>
      </c>
      <c r="C190" s="10" t="str">
        <f>IFERROR(__xludf.DUMMYFUNCTION("""COMPUTED_VALUE"""),"03084373512")</f>
        <v>03084373512</v>
      </c>
      <c r="D190" s="10" t="str">
        <f>IFERROR(__xludf.DUMMYFUNCTION("""COMPUTED_VALUE"""),"Jamia Masjid Farooq Abad auqaf wali ")</f>
        <v>Jamia Masjid Farooq Abad auqaf wali </v>
      </c>
      <c r="E190" s="10" t="str">
        <f>IFERROR(__xludf.DUMMYFUNCTION("""COMPUTED_VALUE"""),"GARUU")</f>
        <v>GARUU</v>
      </c>
      <c r="F190" s="10">
        <f>IFERROR(__xludf.DUMMYFUNCTION("""COMPUTED_VALUE"""),430.0)</f>
        <v>430</v>
      </c>
      <c r="G190" s="10">
        <f>IFERROR(__xludf.DUMMYFUNCTION("""COMPUTED_VALUE"""),8.0)</f>
        <v>8</v>
      </c>
      <c r="H190" s="10">
        <f>IFERROR(__xludf.DUMMYFUNCTION("""COMPUTED_VALUE"""),8.0)</f>
        <v>8</v>
      </c>
      <c r="I190" s="10">
        <f>IFERROR(__xludf.DUMMYFUNCTION("""COMPUTED_VALUE"""),0.0)</f>
        <v>0</v>
      </c>
      <c r="J190" s="10">
        <f>IFERROR(__xludf.DUMMYFUNCTION("""COMPUTED_VALUE"""),1976.0)</f>
        <v>1976</v>
      </c>
      <c r="K190" s="10" t="str">
        <f>IFERROR(__xludf.DUMMYFUNCTION("""COMPUTED_VALUE"""),"No")</f>
        <v>No</v>
      </c>
      <c r="L190" s="10" t="str">
        <f>IFERROR(__xludf.DUMMYFUNCTION("""COMPUTED_VALUE"""),"No")</f>
        <v>No</v>
      </c>
      <c r="M190" s="10">
        <f>IFERROR(__xludf.DUMMYFUNCTION("""COMPUTED_VALUE"""),6.0)</f>
        <v>6</v>
      </c>
      <c r="N190" s="10" t="str">
        <f>IFERROR(__xludf.DUMMYFUNCTION("""COMPUTED_VALUE"""),"No")</f>
        <v>No</v>
      </c>
      <c r="O190" s="10"/>
      <c r="P190" s="10"/>
      <c r="Q190" s="10"/>
      <c r="R190" s="10"/>
      <c r="S190" s="18" t="str">
        <f>IFERROR(__xludf.DUMMYFUNCTION("""COMPUTED_VALUE"""),"https://drive.google.com/open?id=1emT5U2qBmTI7zv1E_RiT-Lu9hTWP3NNj")</f>
        <v>https://drive.google.com/open?id=1emT5U2qBmTI7zv1E_RiT-Lu9hTWP3NNj</v>
      </c>
      <c r="T190" s="18" t="str">
        <f>IFERROR(__xludf.DUMMYFUNCTION("""COMPUTED_VALUE"""),"https://drive.google.com/open?id=1LaeJOY9DsEzhyY5euIa67Av_vxvrTqIU")</f>
        <v>https://drive.google.com/open?id=1LaeJOY9DsEzhyY5euIa67Av_vxvrTqIU</v>
      </c>
      <c r="U190" s="18" t="str">
        <f>IFERROR(__xludf.DUMMYFUNCTION("""COMPUTED_VALUE"""),"https://drive.google.com/open?id=1OKtPFQtWVaVW4eYVGTna_iFG0Yin7v_6")</f>
        <v>https://drive.google.com/open?id=1OKtPFQtWVaVW4eYVGTna_iFG0Yin7v_6</v>
      </c>
      <c r="V190" s="10"/>
      <c r="W190" s="10"/>
      <c r="X190" s="10"/>
      <c r="Y190" s="14" t="str">
        <f>IFERROR(__xludf.DUMMYFUNCTION("""COMPUTED_VALUE"""),"mrizwanrasheed666@gmail.com")</f>
        <v>mrizwanrasheed666@gmail.com</v>
      </c>
      <c r="AA190" s="325">
        <v>3.0</v>
      </c>
    </row>
    <row r="191" hidden="1">
      <c r="A191" s="9">
        <f>IFERROR(__xludf.DUMMYFUNCTION("""COMPUTED_VALUE"""),45779.29992023148)</f>
        <v>45779.29992</v>
      </c>
      <c r="B191" s="10" t="str">
        <f>IFERROR(__xludf.DUMMYFUNCTION("""COMPUTED_VALUE"""),"Shamas")</f>
        <v>Shamas</v>
      </c>
      <c r="C191" s="10" t="str">
        <f>IFERROR(__xludf.DUMMYFUNCTION("""COMPUTED_VALUE"""),"03438080093")</f>
        <v>03438080093</v>
      </c>
      <c r="D191" s="10" t="str">
        <f>IFERROR(__xludf.DUMMYFUNCTION("""COMPUTED_VALUE"""),"Jamia Masjid Darbar Madoh Laal Hussain Lahore ")</f>
        <v>Jamia Masjid Darbar Madoh Laal Hussain Lahore </v>
      </c>
      <c r="E191" s="10" t="str">
        <f>IFERROR(__xludf.DUMMYFUNCTION("""COMPUTED_VALUE"""),"klysr")</f>
        <v>klysr</v>
      </c>
      <c r="F191" s="10">
        <f>IFERROR(__xludf.DUMMYFUNCTION("""COMPUTED_VALUE"""),680.0)</f>
        <v>680</v>
      </c>
      <c r="G191" s="10">
        <f>IFERROR(__xludf.DUMMYFUNCTION("""COMPUTED_VALUE"""),9.0)</f>
        <v>9</v>
      </c>
      <c r="H191" s="10">
        <f>IFERROR(__xludf.DUMMYFUNCTION("""COMPUTED_VALUE"""),9.0)</f>
        <v>9</v>
      </c>
      <c r="I191" s="10">
        <f>IFERROR(__xludf.DUMMYFUNCTION("""COMPUTED_VALUE"""),0.0)</f>
        <v>0</v>
      </c>
      <c r="J191" s="10" t="str">
        <f>IFERROR(__xludf.DUMMYFUNCTION("""COMPUTED_VALUE"""),"0000")</f>
        <v>0000</v>
      </c>
      <c r="K191" s="10" t="str">
        <f>IFERROR(__xludf.DUMMYFUNCTION("""COMPUTED_VALUE"""),"No")</f>
        <v>No</v>
      </c>
      <c r="L191" s="10" t="str">
        <f>IFERROR(__xludf.DUMMYFUNCTION("""COMPUTED_VALUE"""),"Darbar Madoh Laal Hussain ")</f>
        <v>Darbar Madoh Laal Hussain </v>
      </c>
      <c r="M191" s="10">
        <f>IFERROR(__xludf.DUMMYFUNCTION("""COMPUTED_VALUE"""),8.0)</f>
        <v>8</v>
      </c>
      <c r="N191" s="10" t="str">
        <f>IFERROR(__xludf.DUMMYFUNCTION("""COMPUTED_VALUE"""),"No")</f>
        <v>No</v>
      </c>
      <c r="O191" s="10"/>
      <c r="P191" s="10"/>
      <c r="Q191" s="10"/>
      <c r="R191" s="10"/>
      <c r="S191" s="18" t="str">
        <f>IFERROR(__xludf.DUMMYFUNCTION("""COMPUTED_VALUE"""),"https://drive.google.com/open?id=1cDWV-6Nh_pYYv4UlIXnGwp-INOUrbBP4")</f>
        <v>https://drive.google.com/open?id=1cDWV-6Nh_pYYv4UlIXnGwp-INOUrbBP4</v>
      </c>
      <c r="T191" s="18" t="str">
        <f>IFERROR(__xludf.DUMMYFUNCTION("""COMPUTED_VALUE"""),"https://drive.google.com/open?id=1TNiw2NrZ1Ey_aDwFR2lHNpDgIzBZE_TU")</f>
        <v>https://drive.google.com/open?id=1TNiw2NrZ1Ey_aDwFR2lHNpDgIzBZE_TU</v>
      </c>
      <c r="U191" s="18" t="str">
        <f>IFERROR(__xludf.DUMMYFUNCTION("""COMPUTED_VALUE"""),"https://drive.google.com/open?id=1cLw96iCvYktrXAiEVYNUGSqT0FXkul0e")</f>
        <v>https://drive.google.com/open?id=1cLw96iCvYktrXAiEVYNUGSqT0FXkul0e</v>
      </c>
      <c r="V191" s="10"/>
      <c r="W191" s="10"/>
      <c r="X191" s="10"/>
      <c r="Y191" s="14" t="str">
        <f>IFERROR(__xludf.DUMMYFUNCTION("""COMPUTED_VALUE"""),"asfund.cerp@gmail.com")</f>
        <v>asfund.cerp@gmail.com</v>
      </c>
      <c r="AA191" s="325">
        <v>4.0</v>
      </c>
    </row>
    <row r="192" hidden="1">
      <c r="A192" s="9">
        <f>IFERROR(__xludf.DUMMYFUNCTION("""COMPUTED_VALUE"""),45779.32253949074)</f>
        <v>45779.32254</v>
      </c>
      <c r="B192" s="10" t="str">
        <f>IFERROR(__xludf.DUMMYFUNCTION("""COMPUTED_VALUE"""),"Jamshaid Ali")</f>
        <v>Jamshaid Ali</v>
      </c>
      <c r="C192" s="10" t="str">
        <f>IFERROR(__xludf.DUMMYFUNCTION("""COMPUTED_VALUE"""),"03344036442")</f>
        <v>03344036442</v>
      </c>
      <c r="D192" s="10" t="str">
        <f>IFERROR(__xludf.DUMMYFUNCTION("""COMPUTED_VALUE"""),"Jamia Masjid Auqaf wali session court kachary sheikhpura")</f>
        <v>Jamia Masjid Auqaf wali session court kachary sheikhpura</v>
      </c>
      <c r="E192" s="10" t="str">
        <f>IFERROR(__xludf.DUMMYFUNCTION("""COMPUTED_VALUE"""),"DSZHX")</f>
        <v>DSZHX</v>
      </c>
      <c r="F192" s="10">
        <f>IFERROR(__xludf.DUMMYFUNCTION("""COMPUTED_VALUE"""),180.0)</f>
        <v>180</v>
      </c>
      <c r="G192" s="10">
        <f>IFERROR(__xludf.DUMMYFUNCTION("""COMPUTED_VALUE"""),10.0)</f>
        <v>10</v>
      </c>
      <c r="H192" s="10">
        <f>IFERROR(__xludf.DUMMYFUNCTION("""COMPUTED_VALUE"""),9.0)</f>
        <v>9</v>
      </c>
      <c r="I192" s="10">
        <f>IFERROR(__xludf.DUMMYFUNCTION("""COMPUTED_VALUE"""),0.0)</f>
        <v>0</v>
      </c>
      <c r="J192" s="10">
        <f>IFERROR(__xludf.DUMMYFUNCTION("""COMPUTED_VALUE"""),1948.0)</f>
        <v>1948</v>
      </c>
      <c r="K192" s="10" t="str">
        <f>IFERROR(__xludf.DUMMYFUNCTION("""COMPUTED_VALUE"""),"No")</f>
        <v>No</v>
      </c>
      <c r="L192" s="10" t="str">
        <f>IFERROR(__xludf.DUMMYFUNCTION("""COMPUTED_VALUE"""),"No")</f>
        <v>No</v>
      </c>
      <c r="M192" s="10">
        <f>IFERROR(__xludf.DUMMYFUNCTION("""COMPUTED_VALUE"""),8.0)</f>
        <v>8</v>
      </c>
      <c r="N192" s="10" t="str">
        <f>IFERROR(__xludf.DUMMYFUNCTION("""COMPUTED_VALUE"""),"No")</f>
        <v>No</v>
      </c>
      <c r="O192" s="10"/>
      <c r="P192" s="10"/>
      <c r="Q192" s="10"/>
      <c r="R192" s="10"/>
      <c r="S192" s="18" t="str">
        <f>IFERROR(__xludf.DUMMYFUNCTION("""COMPUTED_VALUE"""),"https://drive.google.com/open?id=1dsfj6l0vJL548NdpisxMbqyHLb1e9EKT")</f>
        <v>https://drive.google.com/open?id=1dsfj6l0vJL548NdpisxMbqyHLb1e9EKT</v>
      </c>
      <c r="T192" s="18" t="str">
        <f>IFERROR(__xludf.DUMMYFUNCTION("""COMPUTED_VALUE"""),"https://drive.google.com/open?id=1NGtYW8lWLTlHUiPzcWqr4Lyzgm4zYpTr")</f>
        <v>https://drive.google.com/open?id=1NGtYW8lWLTlHUiPzcWqr4Lyzgm4zYpTr</v>
      </c>
      <c r="U192" s="18" t="str">
        <f>IFERROR(__xludf.DUMMYFUNCTION("""COMPUTED_VALUE"""),"https://drive.google.com/open?id=1nbldnDpDrCTNd9sBvDng1Pmf2ms2Cwcc")</f>
        <v>https://drive.google.com/open?id=1nbldnDpDrCTNd9sBvDng1Pmf2ms2Cwcc</v>
      </c>
      <c r="V192" s="10"/>
      <c r="W192" s="10"/>
      <c r="X192" s="10"/>
      <c r="Y192" s="14" t="str">
        <f>IFERROR(__xludf.DUMMYFUNCTION("""COMPUTED_VALUE"""),"jamsheed.ali8888@gmail.com")</f>
        <v>jamsheed.ali8888@gmail.com</v>
      </c>
      <c r="AA192" s="325">
        <v>3.0</v>
      </c>
    </row>
    <row r="193" hidden="1">
      <c r="A193" s="9">
        <f>IFERROR(__xludf.DUMMYFUNCTION("""COMPUTED_VALUE"""),45779.32632199074)</f>
        <v>45779.32632</v>
      </c>
      <c r="B193" s="10" t="str">
        <f>IFERROR(__xludf.DUMMYFUNCTION("""COMPUTED_VALUE"""),"Abdulqayyum ")</f>
        <v>Abdulqayyum </v>
      </c>
      <c r="C193" s="10" t="str">
        <f>IFERROR(__xludf.DUMMYFUNCTION("""COMPUTED_VALUE"""),"03064458620")</f>
        <v>03064458620</v>
      </c>
      <c r="D193" s="10" t="str">
        <f>IFERROR(__xludf.DUMMYFUNCTION("""COMPUTED_VALUE"""),"Jamia masjid darbar Abdul Salam chishti Musroor Shakargarh ")</f>
        <v>Jamia masjid darbar Abdul Salam chishti Musroor Shakargarh </v>
      </c>
      <c r="E193" s="10" t="str">
        <f>IFERROR(__xludf.DUMMYFUNCTION("""COMPUTED_VALUE"""),"DGOHD")</f>
        <v>DGOHD</v>
      </c>
      <c r="F193" s="10">
        <f>IFERROR(__xludf.DUMMYFUNCTION("""COMPUTED_VALUE"""),82.0)</f>
        <v>82</v>
      </c>
      <c r="G193" s="10">
        <f>IFERROR(__xludf.DUMMYFUNCTION("""COMPUTED_VALUE"""),9.0)</f>
        <v>9</v>
      </c>
      <c r="H193" s="10">
        <f>IFERROR(__xludf.DUMMYFUNCTION("""COMPUTED_VALUE"""),9.0)</f>
        <v>9</v>
      </c>
      <c r="I193" s="10">
        <f>IFERROR(__xludf.DUMMYFUNCTION("""COMPUTED_VALUE"""),2.0)</f>
        <v>2</v>
      </c>
      <c r="J193" s="10">
        <f>IFERROR(__xludf.DUMMYFUNCTION("""COMPUTED_VALUE"""),2000.0)</f>
        <v>2000</v>
      </c>
      <c r="K193" s="10" t="str">
        <f>IFERROR(__xludf.DUMMYFUNCTION("""COMPUTED_VALUE"""),"No")</f>
        <v>No</v>
      </c>
      <c r="L193" s="10" t="str">
        <f>IFERROR(__xludf.DUMMYFUNCTION("""COMPUTED_VALUE"""),"Abdul Salam chishti ")</f>
        <v>Abdul Salam chishti </v>
      </c>
      <c r="M193" s="10">
        <f>IFERROR(__xludf.DUMMYFUNCTION("""COMPUTED_VALUE"""),8.0)</f>
        <v>8</v>
      </c>
      <c r="N193" s="10" t="str">
        <f>IFERROR(__xludf.DUMMYFUNCTION("""COMPUTED_VALUE"""),"Yes")</f>
        <v>Yes</v>
      </c>
      <c r="O193" s="323">
        <f>IFERROR(__xludf.DUMMYFUNCTION("""COMPUTED_VALUE"""),0.9)</f>
        <v>0.9</v>
      </c>
      <c r="P193" s="10">
        <f>IFERROR(__xludf.DUMMYFUNCTION("""COMPUTED_VALUE"""),9.0)</f>
        <v>9</v>
      </c>
      <c r="Q193" s="10">
        <f>IFERROR(__xludf.DUMMYFUNCTION("""COMPUTED_VALUE"""),1.0)</f>
        <v>1</v>
      </c>
      <c r="R193" s="10">
        <f>IFERROR(__xludf.DUMMYFUNCTION("""COMPUTED_VALUE"""),9.0)</f>
        <v>9</v>
      </c>
      <c r="S193" s="18" t="str">
        <f>IFERROR(__xludf.DUMMYFUNCTION("""COMPUTED_VALUE"""),"https://drive.google.com/open?id=1ITl1B6vbXxtEzWKEYmxmNVTcqx-YiL_E")</f>
        <v>https://drive.google.com/open?id=1ITl1B6vbXxtEzWKEYmxmNVTcqx-YiL_E</v>
      </c>
      <c r="T193" s="18" t="str">
        <f>IFERROR(__xludf.DUMMYFUNCTION("""COMPUTED_VALUE"""),"https://drive.google.com/open?id=1TwEQPwo9Nu1ndCc1CuUmIixOOkNVnet-")</f>
        <v>https://drive.google.com/open?id=1TwEQPwo9Nu1ndCc1CuUmIixOOkNVnet-</v>
      </c>
      <c r="U193" s="10" t="str">
        <f>IFERROR(__xludf.DUMMYFUNCTION("""COMPUTED_VALUE"""),"https://drive.google.com/open?id=1pDwSWPR-2e1nr2J90ZoMgm6jgM4lHcH6, https://drive.google.com/open?id=1nr98yzSn7r9kAa-W3PfFN1vg8qpp7eyy")</f>
        <v>https://drive.google.com/open?id=1pDwSWPR-2e1nr2J90ZoMgm6jgM4lHcH6, https://drive.google.com/open?id=1nr98yzSn7r9kAa-W3PfFN1vg8qpp7eyy</v>
      </c>
      <c r="V193" s="10" t="str">
        <f>IFERROR(__xludf.DUMMYFUNCTION("""COMPUTED_VALUE"""),"No")</f>
        <v>No</v>
      </c>
      <c r="W193" s="10"/>
      <c r="X193" s="10" t="str">
        <f>IFERROR(__xludf.DUMMYFUNCTION("""COMPUTED_VALUE"""),"Yes")</f>
        <v>Yes</v>
      </c>
      <c r="Y193" s="14" t="str">
        <f>IFERROR(__xludf.DUMMYFUNCTION("""COMPUTED_VALUE"""),"abdulqayyum53373@gmail.com")</f>
        <v>abdulqayyum53373@gmail.com</v>
      </c>
      <c r="AA193" s="325">
        <v>2.0</v>
      </c>
    </row>
    <row r="194" hidden="1">
      <c r="A194" s="9">
        <f>IFERROR(__xludf.DUMMYFUNCTION("""COMPUTED_VALUE"""),45779.32723940972)</f>
        <v>45779.32724</v>
      </c>
      <c r="B194" s="10" t="str">
        <f>IFERROR(__xludf.DUMMYFUNCTION("""COMPUTED_VALUE"""),"Ikram")</f>
        <v>Ikram</v>
      </c>
      <c r="C194" s="10" t="str">
        <f>IFERROR(__xludf.DUMMYFUNCTION("""COMPUTED_VALUE"""),"03136290030")</f>
        <v>03136290030</v>
      </c>
      <c r="D194" s="10" t="str">
        <f>IFERROR(__xludf.DUMMYFUNCTION("""COMPUTED_VALUE"""),"Jamia masjid galah mandi sargodha")</f>
        <v>Jamia masjid galah mandi sargodha</v>
      </c>
      <c r="E194" s="10" t="str">
        <f>IFERROR(__xludf.DUMMYFUNCTION("""COMPUTED_VALUE"""),"ebspq")</f>
        <v>ebspq</v>
      </c>
      <c r="F194" s="10">
        <f>IFERROR(__xludf.DUMMYFUNCTION("""COMPUTED_VALUE"""),700.0)</f>
        <v>700</v>
      </c>
      <c r="G194" s="10">
        <f>IFERROR(__xludf.DUMMYFUNCTION("""COMPUTED_VALUE"""),7.0)</f>
        <v>7</v>
      </c>
      <c r="H194" s="10">
        <f>IFERROR(__xludf.DUMMYFUNCTION("""COMPUTED_VALUE"""),5.0)</f>
        <v>5</v>
      </c>
      <c r="I194" s="10">
        <f>IFERROR(__xludf.DUMMYFUNCTION("""COMPUTED_VALUE"""),2.0)</f>
        <v>2</v>
      </c>
      <c r="J194" s="10">
        <f>IFERROR(__xludf.DUMMYFUNCTION("""COMPUTED_VALUE"""),1992.0)</f>
        <v>1992</v>
      </c>
      <c r="K194" s="10" t="str">
        <f>IFERROR(__xludf.DUMMYFUNCTION("""COMPUTED_VALUE"""),"No")</f>
        <v>No</v>
      </c>
      <c r="L194" s="10" t="str">
        <f>IFERROR(__xludf.DUMMYFUNCTION("""COMPUTED_VALUE"""),"No")</f>
        <v>No</v>
      </c>
      <c r="M194" s="10">
        <f>IFERROR(__xludf.DUMMYFUNCTION("""COMPUTED_VALUE"""),7.0)</f>
        <v>7</v>
      </c>
      <c r="N194" s="10" t="str">
        <f>IFERROR(__xludf.DUMMYFUNCTION("""COMPUTED_VALUE"""),"Yes")</f>
        <v>Yes</v>
      </c>
      <c r="O194" s="323">
        <f>IFERROR(__xludf.DUMMYFUNCTION("""COMPUTED_VALUE"""),0.7)</f>
        <v>0.7</v>
      </c>
      <c r="P194" s="10">
        <f>IFERROR(__xludf.DUMMYFUNCTION("""COMPUTED_VALUE"""),7.0)</f>
        <v>7</v>
      </c>
      <c r="Q194" s="10">
        <f>IFERROR(__xludf.DUMMYFUNCTION("""COMPUTED_VALUE"""),3.0)</f>
        <v>3</v>
      </c>
      <c r="R194" s="10">
        <f>IFERROR(__xludf.DUMMYFUNCTION("""COMPUTED_VALUE"""),7.0)</f>
        <v>7</v>
      </c>
      <c r="S194" s="18" t="str">
        <f>IFERROR(__xludf.DUMMYFUNCTION("""COMPUTED_VALUE"""),"https://drive.google.com/open?id=1YzS0YXmkTiMFzV_0khrLKEeR4CaRikk2")</f>
        <v>https://drive.google.com/open?id=1YzS0YXmkTiMFzV_0khrLKEeR4CaRikk2</v>
      </c>
      <c r="T194" s="18" t="str">
        <f>IFERROR(__xludf.DUMMYFUNCTION("""COMPUTED_VALUE"""),"https://drive.google.com/open?id=1zBxdjSEnk-d9DzeIwodD_T7R1fjOWC0n")</f>
        <v>https://drive.google.com/open?id=1zBxdjSEnk-d9DzeIwodD_T7R1fjOWC0n</v>
      </c>
      <c r="U194" s="18" t="str">
        <f>IFERROR(__xludf.DUMMYFUNCTION("""COMPUTED_VALUE"""),"https://drive.google.com/open?id=1dWLKlLGibOenkhX3xu8bpHA7SagKve64")</f>
        <v>https://drive.google.com/open?id=1dWLKlLGibOenkhX3xu8bpHA7SagKve64</v>
      </c>
      <c r="V194" s="10" t="str">
        <f>IFERROR(__xludf.DUMMYFUNCTION("""COMPUTED_VALUE"""),"No")</f>
        <v>No</v>
      </c>
      <c r="W194" s="10"/>
      <c r="X194" s="10" t="str">
        <f>IFERROR(__xludf.DUMMYFUNCTION("""COMPUTED_VALUE"""),"Yes")</f>
        <v>Yes</v>
      </c>
      <c r="Y194" s="14" t="str">
        <f>IFERROR(__xludf.DUMMYFUNCTION("""COMPUTED_VALUE"""),"ikramshahzad589@gmail.com")</f>
        <v>ikramshahzad589@gmail.com</v>
      </c>
      <c r="AA194" s="325">
        <v>2.0</v>
      </c>
    </row>
    <row r="195" hidden="1">
      <c r="A195" s="9">
        <f>IFERROR(__xludf.DUMMYFUNCTION("""COMPUTED_VALUE"""),45779.3315983912)</f>
        <v>45779.3316</v>
      </c>
      <c r="B195" s="10" t="str">
        <f>IFERROR(__xludf.DUMMYFUNCTION("""COMPUTED_VALUE"""),"Sajjad Hussain bhatti ")</f>
        <v>Sajjad Hussain bhatti </v>
      </c>
      <c r="C195" s="10" t="str">
        <f>IFERROR(__xludf.DUMMYFUNCTION("""COMPUTED_VALUE"""),"03008432760")</f>
        <v>03008432760</v>
      </c>
      <c r="D195" s="10" t="str">
        <f>IFERROR(__xludf.DUMMYFUNCTION("""COMPUTED_VALUE"""),"Jamia masjid syeda muridka ")</f>
        <v>Jamia masjid syeda muridka </v>
      </c>
      <c r="E195" s="10" t="str">
        <f>IFERROR(__xludf.DUMMYFUNCTION("""COMPUTED_VALUE"""),"XBFUU")</f>
        <v>XBFUU</v>
      </c>
      <c r="F195" s="10">
        <f>IFERROR(__xludf.DUMMYFUNCTION("""COMPUTED_VALUE"""),310.0)</f>
        <v>310</v>
      </c>
      <c r="G195" s="10">
        <f>IFERROR(__xludf.DUMMYFUNCTION("""COMPUTED_VALUE"""),10.0)</f>
        <v>10</v>
      </c>
      <c r="H195" s="10">
        <f>IFERROR(__xludf.DUMMYFUNCTION("""COMPUTED_VALUE"""),10.0)</f>
        <v>10</v>
      </c>
      <c r="I195" s="10">
        <f>IFERROR(__xludf.DUMMYFUNCTION("""COMPUTED_VALUE"""),0.0)</f>
        <v>0</v>
      </c>
      <c r="J195" s="10">
        <f>IFERROR(__xludf.DUMMYFUNCTION("""COMPUTED_VALUE"""),1956.0)</f>
        <v>1956</v>
      </c>
      <c r="K195" s="10" t="str">
        <f>IFERROR(__xludf.DUMMYFUNCTION("""COMPUTED_VALUE"""),"No")</f>
        <v>No</v>
      </c>
      <c r="L195" s="10" t="str">
        <f>IFERROR(__xludf.DUMMYFUNCTION("""COMPUTED_VALUE"""),"No")</f>
        <v>No</v>
      </c>
      <c r="M195" s="10">
        <f>IFERROR(__xludf.DUMMYFUNCTION("""COMPUTED_VALUE"""),10.0)</f>
        <v>10</v>
      </c>
      <c r="N195" s="10" t="str">
        <f>IFERROR(__xludf.DUMMYFUNCTION("""COMPUTED_VALUE"""),"No")</f>
        <v>No</v>
      </c>
      <c r="O195" s="10"/>
      <c r="P195" s="10"/>
      <c r="Q195" s="10"/>
      <c r="R195" s="10"/>
      <c r="S195" s="18" t="str">
        <f>IFERROR(__xludf.DUMMYFUNCTION("""COMPUTED_VALUE"""),"https://drive.google.com/open?id=1whPLSLkf-5HRdvL0P6izji8T96K2wXku")</f>
        <v>https://drive.google.com/open?id=1whPLSLkf-5HRdvL0P6izji8T96K2wXku</v>
      </c>
      <c r="T195" s="18" t="str">
        <f>IFERROR(__xludf.DUMMYFUNCTION("""COMPUTED_VALUE"""),"https://drive.google.com/open?id=1wfkQ027_VqDmReXuxHoVsXEifFMLCxKe")</f>
        <v>https://drive.google.com/open?id=1wfkQ027_VqDmReXuxHoVsXEifFMLCxKe</v>
      </c>
      <c r="U195" s="18" t="str">
        <f>IFERROR(__xludf.DUMMYFUNCTION("""COMPUTED_VALUE"""),"https://drive.google.com/open?id=1hN4CAnATRIlwcXjnNJivMsMtKF2YhmQM")</f>
        <v>https://drive.google.com/open?id=1hN4CAnATRIlwcXjnNJivMsMtKF2YhmQM</v>
      </c>
      <c r="V195" s="10" t="str">
        <f>IFERROR(__xludf.DUMMYFUNCTION("""COMPUTED_VALUE"""),"No")</f>
        <v>No</v>
      </c>
      <c r="W195" s="10"/>
      <c r="X195" s="10"/>
      <c r="Y195" s="14" t="str">
        <f>IFERROR(__xludf.DUMMYFUNCTION("""COMPUTED_VALUE"""),"bsajjad124@gmail.com")</f>
        <v>bsajjad124@gmail.com</v>
      </c>
      <c r="AA195" s="325">
        <v>3.0</v>
      </c>
    </row>
    <row r="196" hidden="1">
      <c r="A196" s="9">
        <f>IFERROR(__xludf.DUMMYFUNCTION("""COMPUTED_VALUE"""),45779.332748877314)</f>
        <v>45779.33275</v>
      </c>
      <c r="B196" s="10" t="str">
        <f>IFERROR(__xludf.DUMMYFUNCTION("""COMPUTED_VALUE"""),"M.yamin kanwal")</f>
        <v>M.yamin kanwal</v>
      </c>
      <c r="C196" s="10" t="str">
        <f>IFERROR(__xludf.DUMMYFUNCTION("""COMPUTED_VALUE"""),"03007774537")</f>
        <v>03007774537</v>
      </c>
      <c r="D196" s="10" t="str">
        <f>IFERROR(__xludf.DUMMYFUNCTION("""COMPUTED_VALUE"""),"Jamia masjid noor shakar garh")</f>
        <v>Jamia masjid noor shakar garh</v>
      </c>
      <c r="E196" s="10" t="str">
        <f>IFERROR(__xludf.DUMMYFUNCTION("""COMPUTED_VALUE"""),"OHBDV")</f>
        <v>OHBDV</v>
      </c>
      <c r="F196" s="10">
        <f>IFERROR(__xludf.DUMMYFUNCTION("""COMPUTED_VALUE"""),905.0)</f>
        <v>905</v>
      </c>
      <c r="G196" s="10">
        <f>IFERROR(__xludf.DUMMYFUNCTION("""COMPUTED_VALUE"""),8.0)</f>
        <v>8</v>
      </c>
      <c r="H196" s="10">
        <f>IFERROR(__xludf.DUMMYFUNCTION("""COMPUTED_VALUE"""),8.0)</f>
        <v>8</v>
      </c>
      <c r="I196" s="10">
        <f>IFERROR(__xludf.DUMMYFUNCTION("""COMPUTED_VALUE"""),0.0)</f>
        <v>0</v>
      </c>
      <c r="J196" s="10">
        <f>IFERROR(__xludf.DUMMYFUNCTION("""COMPUTED_VALUE"""),1965.0)</f>
        <v>1965</v>
      </c>
      <c r="K196" s="10" t="str">
        <f>IFERROR(__xludf.DUMMYFUNCTION("""COMPUTED_VALUE"""),"No")</f>
        <v>No</v>
      </c>
      <c r="L196" s="10" t="str">
        <f>IFERROR(__xludf.DUMMYFUNCTION("""COMPUTED_VALUE"""),"No")</f>
        <v>No</v>
      </c>
      <c r="M196" s="10">
        <f>IFERROR(__xludf.DUMMYFUNCTION("""COMPUTED_VALUE"""),9.0)</f>
        <v>9</v>
      </c>
      <c r="N196" s="10" t="str">
        <f>IFERROR(__xludf.DUMMYFUNCTION("""COMPUTED_VALUE"""),"No")</f>
        <v>No</v>
      </c>
      <c r="O196" s="10"/>
      <c r="P196" s="10"/>
      <c r="Q196" s="10"/>
      <c r="R196" s="10"/>
      <c r="S196" s="18" t="str">
        <f>IFERROR(__xludf.DUMMYFUNCTION("""COMPUTED_VALUE"""),"https://drive.google.com/open?id=1RtJDeGOQ8QZgAvMRX8q3IsxJAr_yA_iF")</f>
        <v>https://drive.google.com/open?id=1RtJDeGOQ8QZgAvMRX8q3IsxJAr_yA_iF</v>
      </c>
      <c r="T196" s="18" t="str">
        <f>IFERROR(__xludf.DUMMYFUNCTION("""COMPUTED_VALUE"""),"https://drive.google.com/open?id=1M_8BdYdTcjAo1k1Psy99Rc9C8T9PVg9I")</f>
        <v>https://drive.google.com/open?id=1M_8BdYdTcjAo1k1Psy99Rc9C8T9PVg9I</v>
      </c>
      <c r="U196" s="18" t="str">
        <f>IFERROR(__xludf.DUMMYFUNCTION("""COMPUTED_VALUE"""),"https://drive.google.com/open?id=1sugPYSD-EFCv9i3BUAXVgH7Z6c24zKEu")</f>
        <v>https://drive.google.com/open?id=1sugPYSD-EFCv9i3BUAXVgH7Z6c24zKEu</v>
      </c>
      <c r="V196" s="10"/>
      <c r="W196" s="10"/>
      <c r="X196" s="10"/>
      <c r="Y196" s="14" t="str">
        <f>IFERROR(__xludf.DUMMYFUNCTION("""COMPUTED_VALUE"""),"yameenmss@gmail.cim")</f>
        <v>yameenmss@gmail.cim</v>
      </c>
      <c r="AA196" s="325">
        <v>2.0</v>
      </c>
    </row>
    <row r="197" hidden="1">
      <c r="A197" s="9">
        <f>IFERROR(__xludf.DUMMYFUNCTION("""COMPUTED_VALUE"""),45779.33282082176)</f>
        <v>45779.33282</v>
      </c>
      <c r="B197" s="10" t="str">
        <f>IFERROR(__xludf.DUMMYFUNCTION("""COMPUTED_VALUE"""),"Muhammad Razzaq Sajid ")</f>
        <v>Muhammad Razzaq Sajid </v>
      </c>
      <c r="C197" s="10" t="str">
        <f>IFERROR(__xludf.DUMMYFUNCTION("""COMPUTED_VALUE"""),"03036162361")</f>
        <v>03036162361</v>
      </c>
      <c r="D197" s="10" t="str">
        <f>IFERROR(__xludf.DUMMYFUNCTION("""COMPUTED_VALUE"""),"Jamia Masjid Australia ")</f>
        <v>Jamia Masjid Australia </v>
      </c>
      <c r="E197" s="10" t="str">
        <f>IFERROR(__xludf.DUMMYFUNCTION("""COMPUTED_VALUE"""),"Xdhvt")</f>
        <v>Xdhvt</v>
      </c>
      <c r="F197" s="10">
        <f>IFERROR(__xludf.DUMMYFUNCTION("""COMPUTED_VALUE"""),2370.0)</f>
        <v>2370</v>
      </c>
      <c r="G197" s="10">
        <f>IFERROR(__xludf.DUMMYFUNCTION("""COMPUTED_VALUE"""),7.0)</f>
        <v>7</v>
      </c>
      <c r="H197" s="10">
        <f>IFERROR(__xludf.DUMMYFUNCTION("""COMPUTED_VALUE"""),7.0)</f>
        <v>7</v>
      </c>
      <c r="I197" s="10">
        <f>IFERROR(__xludf.DUMMYFUNCTION("""COMPUTED_VALUE"""),2.0)</f>
        <v>2</v>
      </c>
      <c r="J197" s="10">
        <f>IFERROR(__xludf.DUMMYFUNCTION("""COMPUTED_VALUE"""),1925.0)</f>
        <v>1925</v>
      </c>
      <c r="K197" s="10" t="str">
        <f>IFERROR(__xludf.DUMMYFUNCTION("""COMPUTED_VALUE"""),"No")</f>
        <v>No</v>
      </c>
      <c r="L197" s="10" t="str">
        <f>IFERROR(__xludf.DUMMYFUNCTION("""COMPUTED_VALUE"""),"No")</f>
        <v>No</v>
      </c>
      <c r="M197" s="10">
        <f>IFERROR(__xludf.DUMMYFUNCTION("""COMPUTED_VALUE"""),8.0)</f>
        <v>8</v>
      </c>
      <c r="N197" s="10" t="str">
        <f>IFERROR(__xludf.DUMMYFUNCTION("""COMPUTED_VALUE"""),"No")</f>
        <v>No</v>
      </c>
      <c r="O197" s="10"/>
      <c r="P197" s="10"/>
      <c r="Q197" s="10"/>
      <c r="R197" s="10"/>
      <c r="S197" s="18" t="str">
        <f>IFERROR(__xludf.DUMMYFUNCTION("""COMPUTED_VALUE"""),"https://drive.google.com/open?id=1yzw_7JHDE0aKWFCBGcTFGVjc75oprQg5")</f>
        <v>https://drive.google.com/open?id=1yzw_7JHDE0aKWFCBGcTFGVjc75oprQg5</v>
      </c>
      <c r="T197" s="18" t="str">
        <f>IFERROR(__xludf.DUMMYFUNCTION("""COMPUTED_VALUE"""),"https://drive.google.com/open?id=11TOR3hUXFaZbz3tEc-CoFkriTIEEE_PS")</f>
        <v>https://drive.google.com/open?id=11TOR3hUXFaZbz3tEc-CoFkriTIEEE_PS</v>
      </c>
      <c r="U197" s="18" t="str">
        <f>IFERROR(__xludf.DUMMYFUNCTION("""COMPUTED_VALUE"""),"https://drive.google.com/open?id=1LWNokqgHxJH1saY1YDbkPCrR6iLd-Qls")</f>
        <v>https://drive.google.com/open?id=1LWNokqgHxJH1saY1YDbkPCrR6iLd-Qls</v>
      </c>
      <c r="V197" s="10" t="str">
        <f>IFERROR(__xludf.DUMMYFUNCTION("""COMPUTED_VALUE"""),"No")</f>
        <v>No</v>
      </c>
      <c r="W197" s="10"/>
      <c r="X197" s="10"/>
      <c r="Y197" s="14" t="str">
        <f>IFERROR(__xludf.DUMMYFUNCTION("""COMPUTED_VALUE"""),"razzaq.sajid1@gmail.com")</f>
        <v>razzaq.sajid1@gmail.com</v>
      </c>
      <c r="AA197" s="325">
        <v>4.0</v>
      </c>
    </row>
    <row r="198" hidden="1">
      <c r="A198" s="9">
        <f>IFERROR(__xludf.DUMMYFUNCTION("""COMPUTED_VALUE"""),45779.33411520833)</f>
        <v>45779.33412</v>
      </c>
      <c r="B198" s="10" t="str">
        <f>IFERROR(__xludf.DUMMYFUNCTION("""COMPUTED_VALUE"""),"Jawad Ahmed")</f>
        <v>Jawad Ahmed</v>
      </c>
      <c r="C198" s="10" t="str">
        <f>IFERROR(__xludf.DUMMYFUNCTION("""COMPUTED_VALUE"""),"03076036512")</f>
        <v>03076036512</v>
      </c>
      <c r="D198" s="10" t="str">
        <f>IFERROR(__xludf.DUMMYFUNCTION("""COMPUTED_VALUE"""),"Jamia masjid block 1 sargodha")</f>
        <v>Jamia masjid block 1 sargodha</v>
      </c>
      <c r="E198" s="10" t="str">
        <f>IFERROR(__xludf.DUMMYFUNCTION("""COMPUTED_VALUE"""),"Pmxox")</f>
        <v>Pmxox</v>
      </c>
      <c r="F198" s="10">
        <f>IFERROR(__xludf.DUMMYFUNCTION("""COMPUTED_VALUE"""),900.0)</f>
        <v>900</v>
      </c>
      <c r="G198" s="10">
        <f>IFERROR(__xludf.DUMMYFUNCTION("""COMPUTED_VALUE"""),7.0)</f>
        <v>7</v>
      </c>
      <c r="H198" s="10">
        <f>IFERROR(__xludf.DUMMYFUNCTION("""COMPUTED_VALUE"""),5.0)</f>
        <v>5</v>
      </c>
      <c r="I198" s="10">
        <f>IFERROR(__xludf.DUMMYFUNCTION("""COMPUTED_VALUE"""),4.0)</f>
        <v>4</v>
      </c>
      <c r="J198" s="10">
        <f>IFERROR(__xludf.DUMMYFUNCTION("""COMPUTED_VALUE"""),1323.0)</f>
        <v>1323</v>
      </c>
      <c r="K198" s="10" t="str">
        <f>IFERROR(__xludf.DUMMYFUNCTION("""COMPUTED_VALUE"""),"No")</f>
        <v>No</v>
      </c>
      <c r="L198" s="10" t="str">
        <f>IFERROR(__xludf.DUMMYFUNCTION("""COMPUTED_VALUE"""),"No")</f>
        <v>No</v>
      </c>
      <c r="M198" s="10">
        <f>IFERROR(__xludf.DUMMYFUNCTION("""COMPUTED_VALUE"""),8.0)</f>
        <v>8</v>
      </c>
      <c r="N198" s="10" t="str">
        <f>IFERROR(__xludf.DUMMYFUNCTION("""COMPUTED_VALUE"""),"Yes")</f>
        <v>Yes</v>
      </c>
      <c r="O198" s="323">
        <f>IFERROR(__xludf.DUMMYFUNCTION("""COMPUTED_VALUE"""),0.0)</f>
        <v>0</v>
      </c>
      <c r="P198" s="10">
        <f>IFERROR(__xludf.DUMMYFUNCTION("""COMPUTED_VALUE"""),0.0)</f>
        <v>0</v>
      </c>
      <c r="Q198" s="10">
        <f>IFERROR(__xludf.DUMMYFUNCTION("""COMPUTED_VALUE"""),10.0)</f>
        <v>10</v>
      </c>
      <c r="R198" s="10">
        <f>IFERROR(__xludf.DUMMYFUNCTION("""COMPUTED_VALUE"""),0.0)</f>
        <v>0</v>
      </c>
      <c r="S198" s="18" t="str">
        <f>IFERROR(__xludf.DUMMYFUNCTION("""COMPUTED_VALUE"""),"https://drive.google.com/open?id=1sul0wDQYzCPdlk8FX_fl5h2xqip18EZY")</f>
        <v>https://drive.google.com/open?id=1sul0wDQYzCPdlk8FX_fl5h2xqip18EZY</v>
      </c>
      <c r="T198" s="18" t="str">
        <f>IFERROR(__xludf.DUMMYFUNCTION("""COMPUTED_VALUE"""),"https://drive.google.com/open?id=1JnS_-QOnoP70z7EZbJD8uG36rfNvN7do")</f>
        <v>https://drive.google.com/open?id=1JnS_-QOnoP70z7EZbJD8uG36rfNvN7do</v>
      </c>
      <c r="U198" s="18" t="str">
        <f>IFERROR(__xludf.DUMMYFUNCTION("""COMPUTED_VALUE"""),"https://drive.google.com/open?id=1qicMqBFvOk8qP25ZsGgr__yWSvuyx-mi")</f>
        <v>https://drive.google.com/open?id=1qicMqBFvOk8qP25ZsGgr__yWSvuyx-mi</v>
      </c>
      <c r="V198" s="10" t="str">
        <f>IFERROR(__xludf.DUMMYFUNCTION("""COMPUTED_VALUE"""),"No")</f>
        <v>No</v>
      </c>
      <c r="W198" s="10"/>
      <c r="X198" s="10" t="str">
        <f>IFERROR(__xludf.DUMMYFUNCTION("""COMPUTED_VALUE"""),"Yes")</f>
        <v>Yes</v>
      </c>
      <c r="Y198" s="14" t="str">
        <f>IFERROR(__xludf.DUMMYFUNCTION("""COMPUTED_VALUE"""),"malikjawadahmed667@gmail.com")</f>
        <v>malikjawadahmed667@gmail.com</v>
      </c>
      <c r="AA198" s="325">
        <v>2.0</v>
      </c>
    </row>
    <row r="199">
      <c r="A199" s="9">
        <f>IFERROR(__xludf.DUMMYFUNCTION("""COMPUTED_VALUE"""),45779.33552315972)</f>
        <v>45779.33552</v>
      </c>
      <c r="B199" s="10" t="str">
        <f>IFERROR(__xludf.DUMMYFUNCTION("""COMPUTED_VALUE"""),"Ali Raza ")</f>
        <v>Ali Raza </v>
      </c>
      <c r="C199" s="10" t="str">
        <f>IFERROR(__xludf.DUMMYFUNCTION("""COMPUTED_VALUE"""),"03290367757")</f>
        <v>03290367757</v>
      </c>
      <c r="D199" s="10" t="str">
        <f>IFERROR(__xludf.DUMMYFUNCTION("""COMPUTED_VALUE"""),"Jamia Markazi Masjid Satellite Town Sargodha ")</f>
        <v>Jamia Markazi Masjid Satellite Town Sargodha </v>
      </c>
      <c r="E199" s="10" t="str">
        <f>IFERROR(__xludf.DUMMYFUNCTION("""COMPUTED_VALUE"""),"vncjq")</f>
        <v>vncjq</v>
      </c>
      <c r="F199" s="10">
        <f>IFERROR(__xludf.DUMMYFUNCTION("""COMPUTED_VALUE"""),150.0)</f>
        <v>150</v>
      </c>
      <c r="G199" s="10">
        <f>IFERROR(__xludf.DUMMYFUNCTION("""COMPUTED_VALUE"""),7.0)</f>
        <v>7</v>
      </c>
      <c r="H199" s="10">
        <f>IFERROR(__xludf.DUMMYFUNCTION("""COMPUTED_VALUE"""),7.0)</f>
        <v>7</v>
      </c>
      <c r="I199" s="10" t="str">
        <f>IFERROR(__xludf.DUMMYFUNCTION("""COMPUTED_VALUE"""),"No")</f>
        <v>No</v>
      </c>
      <c r="J199" s="10">
        <f>IFERROR(__xludf.DUMMYFUNCTION("""COMPUTED_VALUE"""),1874.0)</f>
        <v>1874</v>
      </c>
      <c r="K199" s="10" t="str">
        <f>IFERROR(__xludf.DUMMYFUNCTION("""COMPUTED_VALUE"""),"No")</f>
        <v>No</v>
      </c>
      <c r="L199" s="10" t="str">
        <f>IFERROR(__xludf.DUMMYFUNCTION("""COMPUTED_VALUE"""),"No")</f>
        <v>No</v>
      </c>
      <c r="M199" s="10">
        <f>IFERROR(__xludf.DUMMYFUNCTION("""COMPUTED_VALUE"""),6.0)</f>
        <v>6</v>
      </c>
      <c r="N199" s="10" t="str">
        <f>IFERROR(__xludf.DUMMYFUNCTION("""COMPUTED_VALUE"""),"Yes")</f>
        <v>Yes</v>
      </c>
      <c r="O199" s="323">
        <f>IFERROR(__xludf.DUMMYFUNCTION("""COMPUTED_VALUE"""),0.7)</f>
        <v>0.7</v>
      </c>
      <c r="P199" s="10">
        <f>IFERROR(__xludf.DUMMYFUNCTION("""COMPUTED_VALUE"""),7.0)</f>
        <v>7</v>
      </c>
      <c r="Q199" s="10">
        <f>IFERROR(__xludf.DUMMYFUNCTION("""COMPUTED_VALUE"""),2.0)</f>
        <v>2</v>
      </c>
      <c r="R199" s="10">
        <f>IFERROR(__xludf.DUMMYFUNCTION("""COMPUTED_VALUE"""),7.0)</f>
        <v>7</v>
      </c>
      <c r="S199" s="18" t="str">
        <f>IFERROR(__xludf.DUMMYFUNCTION("""COMPUTED_VALUE"""),"https://drive.google.com/open?id=1nQjQ9D4Iu32UKaH_IlfM2rK8UlkkQnWW")</f>
        <v>https://drive.google.com/open?id=1nQjQ9D4Iu32UKaH_IlfM2rK8UlkkQnWW</v>
      </c>
      <c r="T199" s="18" t="str">
        <f>IFERROR(__xludf.DUMMYFUNCTION("""COMPUTED_VALUE"""),"https://drive.google.com/open?id=1Or7s1SqpiYCibKuKyHDI-Kmte_ukBHcd")</f>
        <v>https://drive.google.com/open?id=1Or7s1SqpiYCibKuKyHDI-Kmte_ukBHcd</v>
      </c>
      <c r="U199" s="18" t="str">
        <f>IFERROR(__xludf.DUMMYFUNCTION("""COMPUTED_VALUE"""),"https://drive.google.com/open?id=18Glgm-JENXIOelSAUHx4c9Vv5ZU9Pbi_")</f>
        <v>https://drive.google.com/open?id=18Glgm-JENXIOelSAUHx4c9Vv5ZU9Pbi_</v>
      </c>
      <c r="V199" s="10" t="str">
        <f>IFERROR(__xludf.DUMMYFUNCTION("""COMPUTED_VALUE"""),"No")</f>
        <v>No</v>
      </c>
      <c r="W199" s="10"/>
      <c r="X199" s="10" t="str">
        <f>IFERROR(__xludf.DUMMYFUNCTION("""COMPUTED_VALUE"""),"Yes")</f>
        <v>Yes</v>
      </c>
      <c r="Y199" s="14" t="str">
        <f>IFERROR(__xludf.DUMMYFUNCTION("""COMPUTED_VALUE"""),"alyxraza777@gmail.com")</f>
        <v>alyxraza777@gmail.com</v>
      </c>
      <c r="AA199" s="325">
        <v>2.0</v>
      </c>
    </row>
    <row r="200" hidden="1">
      <c r="A200" s="9">
        <f>IFERROR(__xludf.DUMMYFUNCTION("""COMPUTED_VALUE"""),45779.33599503472)</f>
        <v>45779.336</v>
      </c>
      <c r="B200" s="10" t="str">
        <f>IFERROR(__xludf.DUMMYFUNCTION("""COMPUTED_VALUE"""),"Ahmad Manzoor ")</f>
        <v>Ahmad Manzoor </v>
      </c>
      <c r="C200" s="10" t="str">
        <f>IFERROR(__xludf.DUMMYFUNCTION("""COMPUTED_VALUE"""),"03276245142")</f>
        <v>03276245142</v>
      </c>
      <c r="D200" s="10" t="str">
        <f>IFERROR(__xludf.DUMMYFUNCTION("""COMPUTED_VALUE"""),"Jamia Masjid Gulzar e Madina Sargodha ")</f>
        <v>Jamia Masjid Gulzar e Madina Sargodha </v>
      </c>
      <c r="E200" s="10" t="str">
        <f>IFERROR(__xludf.DUMMYFUNCTION("""COMPUTED_VALUE"""),"qpstq")</f>
        <v>qpstq</v>
      </c>
      <c r="F200" s="10">
        <f>IFERROR(__xludf.DUMMYFUNCTION("""COMPUTED_VALUE"""),150.0)</f>
        <v>150</v>
      </c>
      <c r="G200" s="10">
        <f>IFERROR(__xludf.DUMMYFUNCTION("""COMPUTED_VALUE"""),1.0)</f>
        <v>1</v>
      </c>
      <c r="H200" s="10">
        <f>IFERROR(__xludf.DUMMYFUNCTION("""COMPUTED_VALUE"""),3.0)</f>
        <v>3</v>
      </c>
      <c r="I200" s="10" t="str">
        <f>IFERROR(__xludf.DUMMYFUNCTION("""COMPUTED_VALUE"""),"No")</f>
        <v>No</v>
      </c>
      <c r="J200" s="10">
        <f>IFERROR(__xludf.DUMMYFUNCTION("""COMPUTED_VALUE"""),1863.0)</f>
        <v>1863</v>
      </c>
      <c r="K200" s="10" t="str">
        <f>IFERROR(__xludf.DUMMYFUNCTION("""COMPUTED_VALUE"""),"No")</f>
        <v>No</v>
      </c>
      <c r="L200" s="10" t="str">
        <f>IFERROR(__xludf.DUMMYFUNCTION("""COMPUTED_VALUE"""),"No")</f>
        <v>No</v>
      </c>
      <c r="M200" s="10">
        <f>IFERROR(__xludf.DUMMYFUNCTION("""COMPUTED_VALUE"""),5.0)</f>
        <v>5</v>
      </c>
      <c r="N200" s="10" t="str">
        <f>IFERROR(__xludf.DUMMYFUNCTION("""COMPUTED_VALUE"""),"Yes")</f>
        <v>Yes</v>
      </c>
      <c r="O200" s="323">
        <f>IFERROR(__xludf.DUMMYFUNCTION("""COMPUTED_VALUE"""),0.7)</f>
        <v>0.7</v>
      </c>
      <c r="P200" s="10">
        <f>IFERROR(__xludf.DUMMYFUNCTION("""COMPUTED_VALUE"""),7.0)</f>
        <v>7</v>
      </c>
      <c r="Q200" s="10">
        <f>IFERROR(__xludf.DUMMYFUNCTION("""COMPUTED_VALUE"""),2.0)</f>
        <v>2</v>
      </c>
      <c r="R200" s="10">
        <f>IFERROR(__xludf.DUMMYFUNCTION("""COMPUTED_VALUE"""),7.0)</f>
        <v>7</v>
      </c>
      <c r="S200" s="18" t="str">
        <f>IFERROR(__xludf.DUMMYFUNCTION("""COMPUTED_VALUE"""),"https://drive.google.com/open?id=1gwQ2ULl0rno_m_0l9BCwv8dXSyODpLNt")</f>
        <v>https://drive.google.com/open?id=1gwQ2ULl0rno_m_0l9BCwv8dXSyODpLNt</v>
      </c>
      <c r="T200" s="18" t="str">
        <f>IFERROR(__xludf.DUMMYFUNCTION("""COMPUTED_VALUE"""),"https://drive.google.com/open?id=1seqlKlC_VxpkKJrZ9UVGk07H9-Bo-kz6")</f>
        <v>https://drive.google.com/open?id=1seqlKlC_VxpkKJrZ9UVGk07H9-Bo-kz6</v>
      </c>
      <c r="U200" s="18" t="str">
        <f>IFERROR(__xludf.DUMMYFUNCTION("""COMPUTED_VALUE"""),"https://drive.google.com/open?id=1a3MkULfAQBC4I4h314saM1N17ElaQa1_")</f>
        <v>https://drive.google.com/open?id=1a3MkULfAQBC4I4h314saM1N17ElaQa1_</v>
      </c>
      <c r="V200" s="10" t="str">
        <f>IFERROR(__xludf.DUMMYFUNCTION("""COMPUTED_VALUE"""),"No")</f>
        <v>No</v>
      </c>
      <c r="W200" s="10"/>
      <c r="X200" s="10" t="str">
        <f>IFERROR(__xludf.DUMMYFUNCTION("""COMPUTED_VALUE"""),"Yes")</f>
        <v>Yes</v>
      </c>
      <c r="Y200" s="14" t="str">
        <f>IFERROR(__xludf.DUMMYFUNCTION("""COMPUTED_VALUE"""),"manzoorhussain8090100@gmail.com")</f>
        <v>manzoorhussain8090100@gmail.com</v>
      </c>
      <c r="AA200" s="325">
        <v>2.0</v>
      </c>
    </row>
    <row r="201" hidden="1">
      <c r="A201" s="9">
        <f>IFERROR(__xludf.DUMMYFUNCTION("""COMPUTED_VALUE"""),45779.34895221065)</f>
        <v>45779.34895</v>
      </c>
      <c r="B201" s="10" t="str">
        <f>IFERROR(__xludf.DUMMYFUNCTION("""COMPUTED_VALUE"""),"Muhammad Haris ")</f>
        <v>Muhammad Haris </v>
      </c>
      <c r="C201" s="10" t="str">
        <f>IFERROR(__xludf.DUMMYFUNCTION("""COMPUTED_VALUE"""),"03204565224")</f>
        <v>03204565224</v>
      </c>
      <c r="D201" s="10" t="str">
        <f>IFERROR(__xludf.DUMMYFUNCTION("""COMPUTED_VALUE"""),"Jamia Masjid Hanfiya Ghousia Scheme 2 Lahore ")</f>
        <v>Jamia Masjid Hanfiya Ghousia Scheme 2 Lahore </v>
      </c>
      <c r="E201" s="10" t="str">
        <f>IFERROR(__xludf.DUMMYFUNCTION("""COMPUTED_VALUE"""),"CWFIM")</f>
        <v>CWFIM</v>
      </c>
      <c r="F201" s="10">
        <f>IFERROR(__xludf.DUMMYFUNCTION("""COMPUTED_VALUE"""),575.0)</f>
        <v>575</v>
      </c>
      <c r="G201" s="10">
        <f>IFERROR(__xludf.DUMMYFUNCTION("""COMPUTED_VALUE"""),9.0)</f>
        <v>9</v>
      </c>
      <c r="H201" s="10">
        <f>IFERROR(__xludf.DUMMYFUNCTION("""COMPUTED_VALUE"""),8.0)</f>
        <v>8</v>
      </c>
      <c r="I201" s="10">
        <f>IFERROR(__xludf.DUMMYFUNCTION("""COMPUTED_VALUE"""),1.0)</f>
        <v>1</v>
      </c>
      <c r="J201" s="10">
        <f>IFERROR(__xludf.DUMMYFUNCTION("""COMPUTED_VALUE"""),1955.0)</f>
        <v>1955</v>
      </c>
      <c r="K201" s="10" t="str">
        <f>IFERROR(__xludf.DUMMYFUNCTION("""COMPUTED_VALUE"""),"Yes")</f>
        <v>Yes</v>
      </c>
      <c r="L201" s="10" t="str">
        <f>IFERROR(__xludf.DUMMYFUNCTION("""COMPUTED_VALUE"""),"No")</f>
        <v>No</v>
      </c>
      <c r="M201" s="10">
        <f>IFERROR(__xludf.DUMMYFUNCTION("""COMPUTED_VALUE"""),9.0)</f>
        <v>9</v>
      </c>
      <c r="N201" s="10" t="str">
        <f>IFERROR(__xludf.DUMMYFUNCTION("""COMPUTED_VALUE"""),"Yes")</f>
        <v>Yes</v>
      </c>
      <c r="O201" s="323">
        <f>IFERROR(__xludf.DUMMYFUNCTION("""COMPUTED_VALUE"""),0.0)</f>
        <v>0</v>
      </c>
      <c r="P201" s="10">
        <f>IFERROR(__xludf.DUMMYFUNCTION("""COMPUTED_VALUE"""),0.0)</f>
        <v>0</v>
      </c>
      <c r="Q201" s="10">
        <f>IFERROR(__xludf.DUMMYFUNCTION("""COMPUTED_VALUE"""),0.0)</f>
        <v>0</v>
      </c>
      <c r="R201" s="10">
        <f>IFERROR(__xludf.DUMMYFUNCTION("""COMPUTED_VALUE"""),2.0)</f>
        <v>2</v>
      </c>
      <c r="S201" s="18" t="str">
        <f>IFERROR(__xludf.DUMMYFUNCTION("""COMPUTED_VALUE"""),"https://drive.google.com/open?id=1mKvg4o9N6_eqfA3nXhkPmzs1pqzdKPhV")</f>
        <v>https://drive.google.com/open?id=1mKvg4o9N6_eqfA3nXhkPmzs1pqzdKPhV</v>
      </c>
      <c r="T201" s="18" t="str">
        <f>IFERROR(__xludf.DUMMYFUNCTION("""COMPUTED_VALUE"""),"https://drive.google.com/open?id=1qQ1hdaCejkR0cfg44l4T-vImcDVDSgZe")</f>
        <v>https://drive.google.com/open?id=1qQ1hdaCejkR0cfg44l4T-vImcDVDSgZe</v>
      </c>
      <c r="U201" s="18" t="str">
        <f>IFERROR(__xludf.DUMMYFUNCTION("""COMPUTED_VALUE"""),"https://drive.google.com/open?id=1A7Z68n4hVUhrDPejiGR58Nfffn2Pe5ar")</f>
        <v>https://drive.google.com/open?id=1A7Z68n4hVUhrDPejiGR58Nfffn2Pe5ar</v>
      </c>
      <c r="V201" s="10" t="str">
        <f>IFERROR(__xludf.DUMMYFUNCTION("""COMPUTED_VALUE"""),"Hamara kutba nahi prha laikin Thora SA milta tha apas mei ittefaq ky hawalay sy")</f>
        <v>Hamara kutba nahi prha laikin Thora SA milta tha apas mei ittefaq ky hawalay sy</v>
      </c>
      <c r="W201" s="10"/>
      <c r="X201" s="10" t="str">
        <f>IFERROR(__xludf.DUMMYFUNCTION("""COMPUTED_VALUE"""),"No")</f>
        <v>No</v>
      </c>
      <c r="Y201" s="14" t="str">
        <f>IFERROR(__xludf.DUMMYFUNCTION("""COMPUTED_VALUE"""),"mianharisamjad284@gmail.com")</f>
        <v>mianharisamjad284@gmail.com</v>
      </c>
      <c r="AA201" s="325">
        <v>4.0</v>
      </c>
    </row>
    <row r="202" hidden="1">
      <c r="A202" s="9">
        <f>IFERROR(__xludf.DUMMYFUNCTION("""COMPUTED_VALUE"""),45779.35392983796)</f>
        <v>45779.35393</v>
      </c>
      <c r="B202" s="10" t="str">
        <f>IFERROR(__xludf.DUMMYFUNCTION("""COMPUTED_VALUE"""),"Ameer hamza ")</f>
        <v>Ameer hamza </v>
      </c>
      <c r="C202" s="10" t="str">
        <f>IFERROR(__xludf.DUMMYFUNCTION("""COMPUTED_VALUE"""),"03071778530")</f>
        <v>03071778530</v>
      </c>
      <c r="D202" s="10" t="str">
        <f>IFERROR(__xludf.DUMMYFUNCTION("""COMPUTED_VALUE"""),"Jamia Masjid Takiya Hazoori Shah Lahore")</f>
        <v>Jamia Masjid Takiya Hazoori Shah Lahore</v>
      </c>
      <c r="E202" s="10" t="str">
        <f>IFERROR(__xludf.DUMMYFUNCTION("""COMPUTED_VALUE"""),"Wfyxg")</f>
        <v>Wfyxg</v>
      </c>
      <c r="F202" s="10">
        <f>IFERROR(__xludf.DUMMYFUNCTION("""COMPUTED_VALUE"""),245.0)</f>
        <v>245</v>
      </c>
      <c r="G202" s="10">
        <f>IFERROR(__xludf.DUMMYFUNCTION("""COMPUTED_VALUE"""),8.0)</f>
        <v>8</v>
      </c>
      <c r="H202" s="10">
        <f>IFERROR(__xludf.DUMMYFUNCTION("""COMPUTED_VALUE"""),9.0)</f>
        <v>9</v>
      </c>
      <c r="I202" s="10">
        <f>IFERROR(__xludf.DUMMYFUNCTION("""COMPUTED_VALUE"""),0.0)</f>
        <v>0</v>
      </c>
      <c r="J202" s="10">
        <f>IFERROR(__xludf.DUMMYFUNCTION("""COMPUTED_VALUE"""),1965.0)</f>
        <v>1965</v>
      </c>
      <c r="K202" s="10" t="str">
        <f>IFERROR(__xludf.DUMMYFUNCTION("""COMPUTED_VALUE"""),"No")</f>
        <v>No</v>
      </c>
      <c r="L202" s="10" t="str">
        <f>IFERROR(__xludf.DUMMYFUNCTION("""COMPUTED_VALUE"""),"Nhi")</f>
        <v>Nhi</v>
      </c>
      <c r="M202" s="10">
        <f>IFERROR(__xludf.DUMMYFUNCTION("""COMPUTED_VALUE"""),8.0)</f>
        <v>8</v>
      </c>
      <c r="N202" s="10" t="str">
        <f>IFERROR(__xludf.DUMMYFUNCTION("""COMPUTED_VALUE"""),"Yes")</f>
        <v>Yes</v>
      </c>
      <c r="O202" s="323">
        <f>IFERROR(__xludf.DUMMYFUNCTION("""COMPUTED_VALUE"""),0.1)</f>
        <v>0.1</v>
      </c>
      <c r="P202" s="10">
        <f>IFERROR(__xludf.DUMMYFUNCTION("""COMPUTED_VALUE"""),1.0)</f>
        <v>1</v>
      </c>
      <c r="Q202" s="10">
        <f>IFERROR(__xludf.DUMMYFUNCTION("""COMPUTED_VALUE"""),9.0)</f>
        <v>9</v>
      </c>
      <c r="R202" s="10">
        <f>IFERROR(__xludf.DUMMYFUNCTION("""COMPUTED_VALUE"""),0.0)</f>
        <v>0</v>
      </c>
      <c r="S202" s="10" t="str">
        <f>IFERROR(__xludf.DUMMYFUNCTION("""COMPUTED_VALUE"""),"https://drive.google.com/open?id=1NgtaCrqrjHynFX7_gE-HOF6zVlyMIOpp, https://drive.google.com/open?id=1y3ocdyYLX9nYfstI6lesjJXS19S1wUyD")</f>
        <v>https://drive.google.com/open?id=1NgtaCrqrjHynFX7_gE-HOF6zVlyMIOpp, https://drive.google.com/open?id=1y3ocdyYLX9nYfstI6lesjJXS19S1wUyD</v>
      </c>
      <c r="T202" s="10" t="str">
        <f>IFERROR(__xludf.DUMMYFUNCTION("""COMPUTED_VALUE"""),"https://drive.google.com/open?id=1TourKkKPizB6fSiyoQunnFv4Be43fp_P, https://drive.google.com/open?id=1RMc8SvR5gS_C_ckG9jhITKKfEb7PdQaP, https://drive.google.com/open?id=1EumAZmgZ0qJ3bf3XVwN13xcC0YKR7YYE, https://drive.google.com/open?id=1ZJvZ3SEcId-YIKGn2"&amp;"7UbP_kJrKjdVzTb")</f>
        <v>https://drive.google.com/open?id=1TourKkKPizB6fSiyoQunnFv4Be43fp_P, https://drive.google.com/open?id=1RMc8SvR5gS_C_ckG9jhITKKfEb7PdQaP, https://drive.google.com/open?id=1EumAZmgZ0qJ3bf3XVwN13xcC0YKR7YYE, https://drive.google.com/open?id=1ZJvZ3SEcId-YIKGn27UbP_kJrKjdVzTb</v>
      </c>
      <c r="U202" s="18" t="str">
        <f>IFERROR(__xludf.DUMMYFUNCTION("""COMPUTED_VALUE"""),"https://drive.google.com/open?id=1da9m8LMMlGOTpICfFZFuYWjRZM9-6N0A")</f>
        <v>https://drive.google.com/open?id=1da9m8LMMlGOTpICfFZFuYWjRZM9-6N0A</v>
      </c>
      <c r="V202" s="10"/>
      <c r="W202" s="10"/>
      <c r="X202" s="10" t="str">
        <f>IFERROR(__xludf.DUMMYFUNCTION("""COMPUTED_VALUE"""),"Yes")</f>
        <v>Yes</v>
      </c>
      <c r="Y202" s="14" t="str">
        <f>IFERROR(__xludf.DUMMYFUNCTION("""COMPUTED_VALUE"""),"uetianhamza8@gmail.com")</f>
        <v>uetianhamza8@gmail.com</v>
      </c>
      <c r="AA202" s="325">
        <v>3.0</v>
      </c>
    </row>
    <row r="203" hidden="1">
      <c r="A203" s="9">
        <f>IFERROR(__xludf.DUMMYFUNCTION("""COMPUTED_VALUE"""),45779.35556373843)</f>
        <v>45779.35556</v>
      </c>
      <c r="B203" s="10" t="str">
        <f>IFERROR(__xludf.DUMMYFUNCTION("""COMPUTED_VALUE"""),"Hassan Farooq ")</f>
        <v>Hassan Farooq </v>
      </c>
      <c r="C203" s="10" t="str">
        <f>IFERROR(__xludf.DUMMYFUNCTION("""COMPUTED_VALUE"""),"03057252835")</f>
        <v>03057252835</v>
      </c>
      <c r="D203" s="10" t="str">
        <f>IFERROR(__xludf.DUMMYFUNCTION("""COMPUTED_VALUE"""),"Jamia majid Ahla sunnat wl jammat ")</f>
        <v>Jamia majid Ahla sunnat wl jammat </v>
      </c>
      <c r="E203" s="10" t="str">
        <f>IFERROR(__xludf.DUMMYFUNCTION("""COMPUTED_VALUE"""),"obntr")</f>
        <v>obntr</v>
      </c>
      <c r="F203" s="10">
        <f>IFERROR(__xludf.DUMMYFUNCTION("""COMPUTED_VALUE"""),400.0)</f>
        <v>400</v>
      </c>
      <c r="G203" s="10">
        <f>IFERROR(__xludf.DUMMYFUNCTION("""COMPUTED_VALUE"""),8.0)</f>
        <v>8</v>
      </c>
      <c r="H203" s="10">
        <f>IFERROR(__xludf.DUMMYFUNCTION("""COMPUTED_VALUE"""),8.0)</f>
        <v>8</v>
      </c>
      <c r="I203" s="10">
        <f>IFERROR(__xludf.DUMMYFUNCTION("""COMPUTED_VALUE"""),2.0)</f>
        <v>2</v>
      </c>
      <c r="J203" s="10">
        <f>IFERROR(__xludf.DUMMYFUNCTION("""COMPUTED_VALUE"""),1985.0)</f>
        <v>1985</v>
      </c>
      <c r="K203" s="10" t="str">
        <f>IFERROR(__xludf.DUMMYFUNCTION("""COMPUTED_VALUE"""),"No")</f>
        <v>No</v>
      </c>
      <c r="L203" s="10" t="str">
        <f>IFERROR(__xludf.DUMMYFUNCTION("""COMPUTED_VALUE"""),"No ")</f>
        <v>No </v>
      </c>
      <c r="M203" s="10">
        <f>IFERROR(__xludf.DUMMYFUNCTION("""COMPUTED_VALUE"""),8.0)</f>
        <v>8</v>
      </c>
      <c r="N203" s="10" t="str">
        <f>IFERROR(__xludf.DUMMYFUNCTION("""COMPUTED_VALUE"""),"Yes")</f>
        <v>Yes</v>
      </c>
      <c r="O203" s="323">
        <f>IFERROR(__xludf.DUMMYFUNCTION("""COMPUTED_VALUE"""),1.0)</f>
        <v>1</v>
      </c>
      <c r="P203" s="10">
        <f>IFERROR(__xludf.DUMMYFUNCTION("""COMPUTED_VALUE"""),10.0)</f>
        <v>10</v>
      </c>
      <c r="Q203" s="10">
        <f>IFERROR(__xludf.DUMMYFUNCTION("""COMPUTED_VALUE"""),0.0)</f>
        <v>0</v>
      </c>
      <c r="R203" s="10">
        <f>IFERROR(__xludf.DUMMYFUNCTION("""COMPUTED_VALUE"""),10.0)</f>
        <v>10</v>
      </c>
      <c r="S203" s="18" t="str">
        <f>IFERROR(__xludf.DUMMYFUNCTION("""COMPUTED_VALUE"""),"https://drive.google.com/open?id=1Cuc35um-C7US_uHR1wulOxt879sqxNiJ")</f>
        <v>https://drive.google.com/open?id=1Cuc35um-C7US_uHR1wulOxt879sqxNiJ</v>
      </c>
      <c r="T203" s="18" t="str">
        <f>IFERROR(__xludf.DUMMYFUNCTION("""COMPUTED_VALUE"""),"https://drive.google.com/open?id=19vuyhSWOHfi5P7Rrx8oLcpvX9UwzxEob")</f>
        <v>https://drive.google.com/open?id=19vuyhSWOHfi5P7Rrx8oLcpvX9UwzxEob</v>
      </c>
      <c r="U203" s="18" t="str">
        <f>IFERROR(__xludf.DUMMYFUNCTION("""COMPUTED_VALUE"""),"https://drive.google.com/open?id=1goAqnN0TFUldbi9B7vOLMXIpAl6SbToh")</f>
        <v>https://drive.google.com/open?id=1goAqnN0TFUldbi9B7vOLMXIpAl6SbToh</v>
      </c>
      <c r="V203" s="10"/>
      <c r="W203" s="10"/>
      <c r="X203" s="10" t="str">
        <f>IFERROR(__xludf.DUMMYFUNCTION("""COMPUTED_VALUE"""),"Yes")</f>
        <v>Yes</v>
      </c>
      <c r="Y203" s="14" t="str">
        <f>IFERROR(__xludf.DUMMYFUNCTION("""COMPUTED_VALUE"""),"hassanmalik00100200@gmail.com")</f>
        <v>hassanmalik00100200@gmail.com</v>
      </c>
      <c r="AA203" s="325">
        <v>2.0</v>
      </c>
    </row>
    <row r="204" hidden="1">
      <c r="A204" s="9">
        <f>IFERROR(__xludf.DUMMYFUNCTION("""COMPUTED_VALUE"""),45779.356410740744)</f>
        <v>45779.35641</v>
      </c>
      <c r="B204" s="10" t="str">
        <f>IFERROR(__xludf.DUMMYFUNCTION("""COMPUTED_VALUE"""),"SULAMAN asghar")</f>
        <v>SULAMAN asghar</v>
      </c>
      <c r="C204" s="10" t="str">
        <f>IFERROR(__xludf.DUMMYFUNCTION("""COMPUTED_VALUE"""),"03126136070")</f>
        <v>03126136070</v>
      </c>
      <c r="D204" s="10" t="str">
        <f>IFERROR(__xludf.DUMMYFUNCTION("""COMPUTED_VALUE"""),"Jamia masjid shah jahngir")</f>
        <v>Jamia masjid shah jahngir</v>
      </c>
      <c r="E204" s="10" t="str">
        <f>IFERROR(__xludf.DUMMYFUNCTION("""COMPUTED_VALUE"""),"cnztw")</f>
        <v>cnztw</v>
      </c>
      <c r="F204" s="10">
        <f>IFERROR(__xludf.DUMMYFUNCTION("""COMPUTED_VALUE"""),150.0)</f>
        <v>150</v>
      </c>
      <c r="G204" s="10">
        <f>IFERROR(__xludf.DUMMYFUNCTION("""COMPUTED_VALUE"""),8.0)</f>
        <v>8</v>
      </c>
      <c r="H204" s="10">
        <f>IFERROR(__xludf.DUMMYFUNCTION("""COMPUTED_VALUE"""),8.0)</f>
        <v>8</v>
      </c>
      <c r="I204" s="10">
        <f>IFERROR(__xludf.DUMMYFUNCTION("""COMPUTED_VALUE"""),3.0)</f>
        <v>3</v>
      </c>
      <c r="J204" s="10">
        <f>IFERROR(__xludf.DUMMYFUNCTION("""COMPUTED_VALUE"""),1651.0)</f>
        <v>1651</v>
      </c>
      <c r="K204" s="10" t="str">
        <f>IFERROR(__xludf.DUMMYFUNCTION("""COMPUTED_VALUE"""),"No")</f>
        <v>No</v>
      </c>
      <c r="L204" s="10" t="str">
        <f>IFERROR(__xludf.DUMMYFUNCTION("""COMPUTED_VALUE"""),"شاہ جانگیر")</f>
        <v>شاہ جانگیر</v>
      </c>
      <c r="M204" s="10">
        <f>IFERROR(__xludf.DUMMYFUNCTION("""COMPUTED_VALUE"""),7.0)</f>
        <v>7</v>
      </c>
      <c r="N204" s="10" t="str">
        <f>IFERROR(__xludf.DUMMYFUNCTION("""COMPUTED_VALUE"""),"Yes")</f>
        <v>Yes</v>
      </c>
      <c r="O204" s="323">
        <f>IFERROR(__xludf.DUMMYFUNCTION("""COMPUTED_VALUE"""),0.9)</f>
        <v>0.9</v>
      </c>
      <c r="P204" s="10">
        <f>IFERROR(__xludf.DUMMYFUNCTION("""COMPUTED_VALUE"""),9.0)</f>
        <v>9</v>
      </c>
      <c r="Q204" s="10">
        <f>IFERROR(__xludf.DUMMYFUNCTION("""COMPUTED_VALUE"""),1.0)</f>
        <v>1</v>
      </c>
      <c r="R204" s="10">
        <f>IFERROR(__xludf.DUMMYFUNCTION("""COMPUTED_VALUE"""),8.0)</f>
        <v>8</v>
      </c>
      <c r="S204" s="18" t="str">
        <f>IFERROR(__xludf.DUMMYFUNCTION("""COMPUTED_VALUE"""),"https://drive.google.com/open?id=1HXDTQWC1RIqQyPwhZpVfq6t79bg0EETx")</f>
        <v>https://drive.google.com/open?id=1HXDTQWC1RIqQyPwhZpVfq6t79bg0EETx</v>
      </c>
      <c r="T204" s="18" t="str">
        <f>IFERROR(__xludf.DUMMYFUNCTION("""COMPUTED_VALUE"""),"https://drive.google.com/open?id=1KmyzPyPu-ErGIbNJdoApjOD-Q37LzEpr")</f>
        <v>https://drive.google.com/open?id=1KmyzPyPu-ErGIbNJdoApjOD-Q37LzEpr</v>
      </c>
      <c r="U204" s="18" t="str">
        <f>IFERROR(__xludf.DUMMYFUNCTION("""COMPUTED_VALUE"""),"https://drive.google.com/file/d/1Y0P-7dNE2HI7brCBw0iOnCDbgKG-gCPu/view?usp=drive_link")</f>
        <v>https://drive.google.com/file/d/1Y0P-7dNE2HI7brCBw0iOnCDbgKG-gCPu/view?usp=drive_link</v>
      </c>
      <c r="V204" s="10"/>
      <c r="W204" s="10"/>
      <c r="X204" s="10" t="str">
        <f>IFERROR(__xludf.DUMMYFUNCTION("""COMPUTED_VALUE"""),"Yes")</f>
        <v>Yes</v>
      </c>
      <c r="Y204" s="14" t="str">
        <f>IFERROR(__xludf.DUMMYFUNCTION("""COMPUTED_VALUE"""),"sulamanasghar69@gmail.com")</f>
        <v>sulamanasghar69@gmail.com</v>
      </c>
      <c r="AA204" s="325">
        <v>2.0</v>
      </c>
    </row>
    <row r="205" hidden="1">
      <c r="A205" s="9">
        <f>IFERROR(__xludf.DUMMYFUNCTION("""COMPUTED_VALUE"""),45779.35813866898)</f>
        <v>45779.35814</v>
      </c>
      <c r="B205" s="10" t="str">
        <f>IFERROR(__xludf.DUMMYFUNCTION("""COMPUTED_VALUE"""),"Saif ullah")</f>
        <v>Saif ullah</v>
      </c>
      <c r="C205" s="10" t="str">
        <f>IFERROR(__xludf.DUMMYFUNCTION("""COMPUTED_VALUE"""),"03232498641")</f>
        <v>03232498641</v>
      </c>
      <c r="D205" s="10" t="str">
        <f>IFERROR(__xludf.DUMMYFUNCTION("""COMPUTED_VALUE"""),"Jamia masjid phularwan ")</f>
        <v>Jamia masjid phularwan </v>
      </c>
      <c r="E205" s="10" t="str">
        <f>IFERROR(__xludf.DUMMYFUNCTION("""COMPUTED_VALUE"""),"Jtmur")</f>
        <v>Jtmur</v>
      </c>
      <c r="F205" s="10">
        <f>IFERROR(__xludf.DUMMYFUNCTION("""COMPUTED_VALUE"""),250.0)</f>
        <v>250</v>
      </c>
      <c r="G205" s="10">
        <f>IFERROR(__xludf.DUMMYFUNCTION("""COMPUTED_VALUE"""),5.0)</f>
        <v>5</v>
      </c>
      <c r="H205" s="10">
        <f>IFERROR(__xludf.DUMMYFUNCTION("""COMPUTED_VALUE"""),4.0)</f>
        <v>4</v>
      </c>
      <c r="I205" s="10" t="str">
        <f>IFERROR(__xludf.DUMMYFUNCTION("""COMPUTED_VALUE"""),"No")</f>
        <v>No</v>
      </c>
      <c r="J205" s="10">
        <f>IFERROR(__xludf.DUMMYFUNCTION("""COMPUTED_VALUE"""),1925.0)</f>
        <v>1925</v>
      </c>
      <c r="K205" s="10" t="str">
        <f>IFERROR(__xludf.DUMMYFUNCTION("""COMPUTED_VALUE"""),"No")</f>
        <v>No</v>
      </c>
      <c r="L205" s="10" t="str">
        <f>IFERROR(__xludf.DUMMYFUNCTION("""COMPUTED_VALUE"""),"No")</f>
        <v>No</v>
      </c>
      <c r="M205" s="10">
        <f>IFERROR(__xludf.DUMMYFUNCTION("""COMPUTED_VALUE"""),7.0)</f>
        <v>7</v>
      </c>
      <c r="N205" s="10" t="str">
        <f>IFERROR(__xludf.DUMMYFUNCTION("""COMPUTED_VALUE"""),"Yes")</f>
        <v>Yes</v>
      </c>
      <c r="O205" s="323">
        <f>IFERROR(__xludf.DUMMYFUNCTION("""COMPUTED_VALUE"""),1.0)</f>
        <v>1</v>
      </c>
      <c r="P205" s="10">
        <f>IFERROR(__xludf.DUMMYFUNCTION("""COMPUTED_VALUE"""),7.0)</f>
        <v>7</v>
      </c>
      <c r="Q205" s="10">
        <f>IFERROR(__xludf.DUMMYFUNCTION("""COMPUTED_VALUE"""),2.0)</f>
        <v>2</v>
      </c>
      <c r="R205" s="10">
        <f>IFERROR(__xludf.DUMMYFUNCTION("""COMPUTED_VALUE"""),7.0)</f>
        <v>7</v>
      </c>
      <c r="S205" s="18" t="str">
        <f>IFERROR(__xludf.DUMMYFUNCTION("""COMPUTED_VALUE"""),"https://drive.google.com/open?id=17qCYrLE-CBFxbrog1hmtIIUQOWNHnE5V")</f>
        <v>https://drive.google.com/open?id=17qCYrLE-CBFxbrog1hmtIIUQOWNHnE5V</v>
      </c>
      <c r="T205" s="18" t="str">
        <f>IFERROR(__xludf.DUMMYFUNCTION("""COMPUTED_VALUE"""),"https://drive.google.com/open?id=1l8gWoh-kJ0-Kh-fKhkHHTk_HGe8llTmo")</f>
        <v>https://drive.google.com/open?id=1l8gWoh-kJ0-Kh-fKhkHHTk_HGe8llTmo</v>
      </c>
      <c r="U205" s="18" t="str">
        <f>IFERROR(__xludf.DUMMYFUNCTION("""COMPUTED_VALUE"""),"https://drive.google.com/open?id=14C9jO7FsmaoVRXNl8ZQNy6kC4bQ3mAmG")</f>
        <v>https://drive.google.com/open?id=14C9jO7FsmaoVRXNl8ZQNy6kC4bQ3mAmG</v>
      </c>
      <c r="V205" s="10" t="str">
        <f>IFERROR(__xludf.DUMMYFUNCTION("""COMPUTED_VALUE"""),"No")</f>
        <v>No</v>
      </c>
      <c r="W205" s="10"/>
      <c r="X205" s="10" t="str">
        <f>IFERROR(__xludf.DUMMYFUNCTION("""COMPUTED_VALUE"""),"Yes")</f>
        <v>Yes</v>
      </c>
      <c r="Y205" s="14" t="str">
        <f>IFERROR(__xludf.DUMMYFUNCTION("""COMPUTED_VALUE"""),"btwitssaifi2324@gmail.com")</f>
        <v>btwitssaifi2324@gmail.com</v>
      </c>
      <c r="AA205" s="325">
        <v>3.0</v>
      </c>
    </row>
    <row r="206" hidden="1">
      <c r="A206" s="9">
        <f>IFERROR(__xludf.DUMMYFUNCTION("""COMPUTED_VALUE"""),45779.35910446759)</f>
        <v>45779.3591</v>
      </c>
      <c r="B206" s="10" t="str">
        <f>IFERROR(__xludf.DUMMYFUNCTION("""COMPUTED_VALUE"""),"Hassan Farooq ")</f>
        <v>Hassan Farooq </v>
      </c>
      <c r="C206" s="10" t="str">
        <f>IFERROR(__xludf.DUMMYFUNCTION("""COMPUTED_VALUE"""),"03057252835")</f>
        <v>03057252835</v>
      </c>
      <c r="D206" s="10" t="str">
        <f>IFERROR(__xludf.DUMMYFUNCTION("""COMPUTED_VALUE"""),"Jamia masjid Ahla sunnat ")</f>
        <v>Jamia masjid Ahla sunnat </v>
      </c>
      <c r="E206" s="10" t="str">
        <f>IFERROR(__xludf.DUMMYFUNCTION("""COMPUTED_VALUE"""),"obntr")</f>
        <v>obntr</v>
      </c>
      <c r="F206" s="10">
        <f>IFERROR(__xludf.DUMMYFUNCTION("""COMPUTED_VALUE"""),400.0)</f>
        <v>400</v>
      </c>
      <c r="G206" s="10">
        <f>IFERROR(__xludf.DUMMYFUNCTION("""COMPUTED_VALUE"""),9.0)</f>
        <v>9</v>
      </c>
      <c r="H206" s="10">
        <f>IFERROR(__xludf.DUMMYFUNCTION("""COMPUTED_VALUE"""),8.0)</f>
        <v>8</v>
      </c>
      <c r="I206" s="10">
        <f>IFERROR(__xludf.DUMMYFUNCTION("""COMPUTED_VALUE"""),1.0)</f>
        <v>1</v>
      </c>
      <c r="J206" s="10">
        <f>IFERROR(__xludf.DUMMYFUNCTION("""COMPUTED_VALUE"""),1985.0)</f>
        <v>1985</v>
      </c>
      <c r="K206" s="10" t="str">
        <f>IFERROR(__xludf.DUMMYFUNCTION("""COMPUTED_VALUE"""),"No")</f>
        <v>No</v>
      </c>
      <c r="L206" s="10" t="str">
        <f>IFERROR(__xludf.DUMMYFUNCTION("""COMPUTED_VALUE"""),"No")</f>
        <v>No</v>
      </c>
      <c r="M206" s="10">
        <f>IFERROR(__xludf.DUMMYFUNCTION("""COMPUTED_VALUE"""),8.0)</f>
        <v>8</v>
      </c>
      <c r="N206" s="10" t="str">
        <f>IFERROR(__xludf.DUMMYFUNCTION("""COMPUTED_VALUE"""),"Yes")</f>
        <v>Yes</v>
      </c>
      <c r="O206" s="323">
        <f>IFERROR(__xludf.DUMMYFUNCTION("""COMPUTED_VALUE"""),0.9)</f>
        <v>0.9</v>
      </c>
      <c r="P206" s="10">
        <f>IFERROR(__xludf.DUMMYFUNCTION("""COMPUTED_VALUE"""),9.0)</f>
        <v>9</v>
      </c>
      <c r="Q206" s="10">
        <f>IFERROR(__xludf.DUMMYFUNCTION("""COMPUTED_VALUE"""),1.0)</f>
        <v>1</v>
      </c>
      <c r="R206" s="10">
        <f>IFERROR(__xludf.DUMMYFUNCTION("""COMPUTED_VALUE"""),9.0)</f>
        <v>9</v>
      </c>
      <c r="S206" s="18" t="str">
        <f>IFERROR(__xludf.DUMMYFUNCTION("""COMPUTED_VALUE"""),"https://drive.google.com/open?id=1OkxpO9_p8nHxE675oaveOE_0e-4cKd_m")</f>
        <v>https://drive.google.com/open?id=1OkxpO9_p8nHxE675oaveOE_0e-4cKd_m</v>
      </c>
      <c r="T206" s="18" t="str">
        <f>IFERROR(__xludf.DUMMYFUNCTION("""COMPUTED_VALUE"""),"https://drive.google.com/open?id=1STMBxE1PTozkoN9jOWjsJXM8KHvsTZQZ")</f>
        <v>https://drive.google.com/open?id=1STMBxE1PTozkoN9jOWjsJXM8KHvsTZQZ</v>
      </c>
      <c r="U206" s="18" t="str">
        <f>IFERROR(__xludf.DUMMYFUNCTION("""COMPUTED_VALUE"""),"https://drive.google.com/open?id=1CaQBRgFko8Vrq-6PQJiGMxurM395Szbx")</f>
        <v>https://drive.google.com/open?id=1CaQBRgFko8Vrq-6PQJiGMxurM395Szbx</v>
      </c>
      <c r="V206" s="10" t="str">
        <f>IFERROR(__xludf.DUMMYFUNCTION("""COMPUTED_VALUE"""),"No")</f>
        <v>No</v>
      </c>
      <c r="W206" s="10"/>
      <c r="X206" s="10" t="str">
        <f>IFERROR(__xludf.DUMMYFUNCTION("""COMPUTED_VALUE"""),"Yes")</f>
        <v>Yes</v>
      </c>
      <c r="Y206" s="14" t="str">
        <f>IFERROR(__xludf.DUMMYFUNCTION("""COMPUTED_VALUE"""),"hassanmalik00100200@gmail.com")</f>
        <v>hassanmalik00100200@gmail.com</v>
      </c>
      <c r="AA206" s="325">
        <v>2.0</v>
      </c>
    </row>
    <row r="207" hidden="1">
      <c r="A207" s="9">
        <f>IFERROR(__xludf.DUMMYFUNCTION("""COMPUTED_VALUE"""),45779.36627431713)</f>
        <v>45779.36627</v>
      </c>
      <c r="B207" s="10" t="str">
        <f>IFERROR(__xludf.DUMMYFUNCTION("""COMPUTED_VALUE"""),"Muhammad Waseem")</f>
        <v>Muhammad Waseem</v>
      </c>
      <c r="C207" s="10" t="str">
        <f>IFERROR(__xludf.DUMMYFUNCTION("""COMPUTED_VALUE"""),"03036313075")</f>
        <v>03036313075</v>
      </c>
      <c r="D207" s="10" t="str">
        <f>IFERROR(__xludf.DUMMYFUNCTION("""COMPUTED_VALUE"""),"شاہی مسجد چنیوٹ ")</f>
        <v>شاہی مسجد چنیوٹ </v>
      </c>
      <c r="E207" s="10" t="str">
        <f>IFERROR(__xludf.DUMMYFUNCTION("""COMPUTED_VALUE"""),"ltsen")</f>
        <v>ltsen</v>
      </c>
      <c r="F207" s="10">
        <f>IFERROR(__xludf.DUMMYFUNCTION("""COMPUTED_VALUE"""),244.0)</f>
        <v>244</v>
      </c>
      <c r="G207" s="10">
        <f>IFERROR(__xludf.DUMMYFUNCTION("""COMPUTED_VALUE"""),7.0)</f>
        <v>7</v>
      </c>
      <c r="H207" s="10">
        <f>IFERROR(__xludf.DUMMYFUNCTION("""COMPUTED_VALUE"""),8.0)</f>
        <v>8</v>
      </c>
      <c r="I207" s="10">
        <f>IFERROR(__xludf.DUMMYFUNCTION("""COMPUTED_VALUE"""),0.0)</f>
        <v>0</v>
      </c>
      <c r="J207" s="10" t="str">
        <f>IFERROR(__xludf.DUMMYFUNCTION("""COMPUTED_VALUE"""),"1063 ہجری")</f>
        <v>1063 ہجری</v>
      </c>
      <c r="K207" s="10" t="str">
        <f>IFERROR(__xludf.DUMMYFUNCTION("""COMPUTED_VALUE"""),"No")</f>
        <v>No</v>
      </c>
      <c r="L207" s="10" t="str">
        <f>IFERROR(__xludf.DUMMYFUNCTION("""COMPUTED_VALUE"""),"No")</f>
        <v>No</v>
      </c>
      <c r="M207" s="10">
        <f>IFERROR(__xludf.DUMMYFUNCTION("""COMPUTED_VALUE"""),8.0)</f>
        <v>8</v>
      </c>
      <c r="N207" s="10" t="str">
        <f>IFERROR(__xludf.DUMMYFUNCTION("""COMPUTED_VALUE"""),"No")</f>
        <v>No</v>
      </c>
      <c r="O207" s="10"/>
      <c r="P207" s="10"/>
      <c r="Q207" s="10"/>
      <c r="R207" s="10"/>
      <c r="S207" s="18" t="str">
        <f>IFERROR(__xludf.DUMMYFUNCTION("""COMPUTED_VALUE"""),"https://drive.google.com/open?id=1VJjj8iRiGrrVJCPkAzLvnjSD9CQKC48H")</f>
        <v>https://drive.google.com/open?id=1VJjj8iRiGrrVJCPkAzLvnjSD9CQKC48H</v>
      </c>
      <c r="T207" s="18" t="str">
        <f>IFERROR(__xludf.DUMMYFUNCTION("""COMPUTED_VALUE"""),"https://drive.google.com/open?id=1XApVq7Yi8RAASPph-DoI6pz0Gg-u8YR-")</f>
        <v>https://drive.google.com/open?id=1XApVq7Yi8RAASPph-DoI6pz0Gg-u8YR-</v>
      </c>
      <c r="U207" s="18" t="str">
        <f>IFERROR(__xludf.DUMMYFUNCTION("""COMPUTED_VALUE"""),"https://drive.google.com/file/d/1khDkS4QC6Pe4TqxcO_YSKt8d9HzTOHXs/view?usp=sharing")</f>
        <v>https://drive.google.com/file/d/1khDkS4QC6Pe4TqxcO_YSKt8d9HzTOHXs/view?usp=sharing</v>
      </c>
      <c r="V207" s="10" t="str">
        <f>IFERROR(__xludf.DUMMYFUNCTION("""COMPUTED_VALUE"""),"مسجد کے نام کا کوئی بورڈ یا واضح نام نہیں لکھا ہوا اس کا نام واضح ہونا چاہیے ")</f>
        <v>مسجد کے نام کا کوئی بورڈ یا واضح نام نہیں لکھا ہوا اس کا نام واضح ہونا چاہیے </v>
      </c>
      <c r="W207" s="10"/>
      <c r="X207" s="10"/>
      <c r="Y207" s="14" t="str">
        <f>IFERROR(__xludf.DUMMYFUNCTION("""COMPUTED_VALUE"""),"waseem.pwd.chiniot@gmail.com")</f>
        <v>waseem.pwd.chiniot@gmail.com</v>
      </c>
      <c r="AA207" s="325">
        <v>2.0</v>
      </c>
    </row>
    <row r="208" hidden="1">
      <c r="A208" s="9">
        <f>IFERROR(__xludf.DUMMYFUNCTION("""COMPUTED_VALUE"""),45779.37093578704)</f>
        <v>45779.37094</v>
      </c>
      <c r="B208" s="10" t="str">
        <f>IFERROR(__xludf.DUMMYFUNCTION("""COMPUTED_VALUE"""),"Hammad Ahmed")</f>
        <v>Hammad Ahmed</v>
      </c>
      <c r="C208" s="10" t="str">
        <f>IFERROR(__xludf.DUMMYFUNCTION("""COMPUTED_VALUE"""),"03497178683")</f>
        <v>03497178683</v>
      </c>
      <c r="D208" s="10" t="str">
        <f>IFERROR(__xludf.DUMMYFUNCTION("""COMPUTED_VALUE"""),"Jamia masjid sakhi shah suleman noori hazoori bhalwal ")</f>
        <v>Jamia masjid sakhi shah suleman noori hazoori bhalwal </v>
      </c>
      <c r="E208" s="10" t="str">
        <f>IFERROR(__xludf.DUMMYFUNCTION("""COMPUTED_VALUE"""),"wwwqh")</f>
        <v>wwwqh</v>
      </c>
      <c r="F208" s="10">
        <f>IFERROR(__xludf.DUMMYFUNCTION("""COMPUTED_VALUE"""),300.0)</f>
        <v>300</v>
      </c>
      <c r="G208" s="10">
        <f>IFERROR(__xludf.DUMMYFUNCTION("""COMPUTED_VALUE"""),7.0)</f>
        <v>7</v>
      </c>
      <c r="H208" s="10">
        <f>IFERROR(__xludf.DUMMYFUNCTION("""COMPUTED_VALUE"""),5.0)</f>
        <v>5</v>
      </c>
      <c r="I208" s="10">
        <f>IFERROR(__xludf.DUMMYFUNCTION("""COMPUTED_VALUE"""),1.0)</f>
        <v>1</v>
      </c>
      <c r="J208" s="10">
        <f>IFERROR(__xludf.DUMMYFUNCTION("""COMPUTED_VALUE"""),1982.0)</f>
        <v>1982</v>
      </c>
      <c r="K208" s="10" t="str">
        <f>IFERROR(__xludf.DUMMYFUNCTION("""COMPUTED_VALUE"""),"No")</f>
        <v>No</v>
      </c>
      <c r="L208" s="10" t="str">
        <f>IFERROR(__xludf.DUMMYFUNCTION("""COMPUTED_VALUE"""),"Sakhi shah suleman noori hazoori bhalwal ")</f>
        <v>Sakhi shah suleman noori hazoori bhalwal </v>
      </c>
      <c r="M208" s="10">
        <f>IFERROR(__xludf.DUMMYFUNCTION("""COMPUTED_VALUE"""),7.0)</f>
        <v>7</v>
      </c>
      <c r="N208" s="10" t="str">
        <f>IFERROR(__xludf.DUMMYFUNCTION("""COMPUTED_VALUE"""),"Yes")</f>
        <v>Yes</v>
      </c>
      <c r="O208" s="323">
        <f>IFERROR(__xludf.DUMMYFUNCTION("""COMPUTED_VALUE"""),0.7)</f>
        <v>0.7</v>
      </c>
      <c r="P208" s="10">
        <f>IFERROR(__xludf.DUMMYFUNCTION("""COMPUTED_VALUE"""),7.0)</f>
        <v>7</v>
      </c>
      <c r="Q208" s="10">
        <f>IFERROR(__xludf.DUMMYFUNCTION("""COMPUTED_VALUE"""),4.0)</f>
        <v>4</v>
      </c>
      <c r="R208" s="10">
        <f>IFERROR(__xludf.DUMMYFUNCTION("""COMPUTED_VALUE"""),7.0)</f>
        <v>7</v>
      </c>
      <c r="S208" s="18" t="str">
        <f>IFERROR(__xludf.DUMMYFUNCTION("""COMPUTED_VALUE"""),"https://drive.google.com/open?id=1SaDy5lcAm6bd-8OPJ_A20ZUSPXKWyimE")</f>
        <v>https://drive.google.com/open?id=1SaDy5lcAm6bd-8OPJ_A20ZUSPXKWyimE</v>
      </c>
      <c r="T208" s="18" t="str">
        <f>IFERROR(__xludf.DUMMYFUNCTION("""COMPUTED_VALUE"""),"https://drive.google.com/open?id=1WHQP4YTUVekjeDgJT38zCUJYSO51GiUe")</f>
        <v>https://drive.google.com/open?id=1WHQP4YTUVekjeDgJT38zCUJYSO51GiUe</v>
      </c>
      <c r="U208" s="18" t="str">
        <f>IFERROR(__xludf.DUMMYFUNCTION("""COMPUTED_VALUE"""),"https://drive.google.com/open?id=1h58z9A3b0wbNi4ImcIXT0QjTYZ1zvRim")</f>
        <v>https://drive.google.com/open?id=1h58z9A3b0wbNi4ImcIXT0QjTYZ1zvRim</v>
      </c>
      <c r="V208" s="10" t="str">
        <f>IFERROR(__xludf.DUMMYFUNCTION("""COMPUTED_VALUE"""),"No")</f>
        <v>No</v>
      </c>
      <c r="W208" s="10"/>
      <c r="X208" s="10" t="str">
        <f>IFERROR(__xludf.DUMMYFUNCTION("""COMPUTED_VALUE"""),"Yes")</f>
        <v>Yes</v>
      </c>
      <c r="Y208" s="14" t="str">
        <f>IFERROR(__xludf.DUMMYFUNCTION("""COMPUTED_VALUE"""),"malikbhalki667@gmail.com")</f>
        <v>malikbhalki667@gmail.com</v>
      </c>
      <c r="AA208" s="325">
        <v>3.0</v>
      </c>
    </row>
    <row r="209" hidden="1">
      <c r="A209" s="9">
        <f>IFERROR(__xludf.DUMMYFUNCTION("""COMPUTED_VALUE"""),45779.37104854167)</f>
        <v>45779.37105</v>
      </c>
      <c r="B209" s="10" t="str">
        <f>IFERROR(__xludf.DUMMYFUNCTION("""COMPUTED_VALUE"""),"عرفان امجد ")</f>
        <v>عرفان امجد </v>
      </c>
      <c r="C209" s="10" t="str">
        <f>IFERROR(__xludf.DUMMYFUNCTION("""COMPUTED_VALUE"""),"03014813508")</f>
        <v>03014813508</v>
      </c>
      <c r="D209" s="10" t="str">
        <f>IFERROR(__xludf.DUMMYFUNCTION("""COMPUTED_VALUE"""),"جامعہ مسجد ایشاں بیگم پورہ لاہور ")</f>
        <v>جامعہ مسجد ایشاں بیگم پورہ لاہور </v>
      </c>
      <c r="E209" s="10" t="str">
        <f>IFERROR(__xludf.DUMMYFUNCTION("""COMPUTED_VALUE"""),"zhcjl")</f>
        <v>zhcjl</v>
      </c>
      <c r="F209" s="10">
        <f>IFERROR(__xludf.DUMMYFUNCTION("""COMPUTED_VALUE"""),275.0)</f>
        <v>275</v>
      </c>
      <c r="G209" s="10">
        <f>IFERROR(__xludf.DUMMYFUNCTION("""COMPUTED_VALUE"""),0.0)</f>
        <v>0</v>
      </c>
      <c r="H209" s="10">
        <f>IFERROR(__xludf.DUMMYFUNCTION("""COMPUTED_VALUE"""),0.0)</f>
        <v>0</v>
      </c>
      <c r="I209" s="10" t="str">
        <f>IFERROR(__xludf.DUMMYFUNCTION("""COMPUTED_VALUE"""),"2سے 3")</f>
        <v>2سے 3</v>
      </c>
      <c r="J209" s="10" t="str">
        <f>IFERROR(__xludf.DUMMYFUNCTION("""COMPUTED_VALUE"""),"چار سو سال پرانی ")</f>
        <v>چار سو سال پرانی </v>
      </c>
      <c r="K209" s="10" t="str">
        <f>IFERROR(__xludf.DUMMYFUNCTION("""COMPUTED_VALUE"""),"No")</f>
        <v>No</v>
      </c>
      <c r="L209" s="10" t="str">
        <f>IFERROR(__xludf.DUMMYFUNCTION("""COMPUTED_VALUE"""),"جی")</f>
        <v>جی</v>
      </c>
      <c r="M209" s="10">
        <f>IFERROR(__xludf.DUMMYFUNCTION("""COMPUTED_VALUE"""),9.0)</f>
        <v>9</v>
      </c>
      <c r="N209" s="10" t="str">
        <f>IFERROR(__xludf.DUMMYFUNCTION("""COMPUTED_VALUE"""),"No")</f>
        <v>No</v>
      </c>
      <c r="O209" s="10"/>
      <c r="P209" s="10"/>
      <c r="Q209" s="10"/>
      <c r="R209" s="10"/>
      <c r="S209" s="10" t="str">
        <f>IFERROR(__xludf.DUMMYFUNCTION("""COMPUTED_VALUE"""),"https://drive.google.com/open?id=1NCZUYEsydqxpptFRrdS6IbD1XnlxBx7F, https://drive.google.com/open?id=1lMvZoTh4d8zf3wVnktI7ZZvA_d8vwXRu")</f>
        <v>https://drive.google.com/open?id=1NCZUYEsydqxpptFRrdS6IbD1XnlxBx7F, https://drive.google.com/open?id=1lMvZoTh4d8zf3wVnktI7ZZvA_d8vwXRu</v>
      </c>
      <c r="T209" s="10" t="str">
        <f>IFERROR(__xludf.DUMMYFUNCTION("""COMPUTED_VALUE"""),"https://drive.google.com/open?id=1d8Csn34YQ44F3ISP3Yb3PTilC4-arI5F, https://drive.google.com/open?id=1s9R_vXfULTtx913NQctXOrdhgIhaf2h2, https://drive.google.com/open?id=1xheyla42KsyDwz-K1gcpSe4cWQ-dbfDD")</f>
        <v>https://drive.google.com/open?id=1d8Csn34YQ44F3ISP3Yb3PTilC4-arI5F, https://drive.google.com/open?id=1s9R_vXfULTtx913NQctXOrdhgIhaf2h2, https://drive.google.com/open?id=1xheyla42KsyDwz-K1gcpSe4cWQ-dbfDD</v>
      </c>
      <c r="U209" s="18" t="str">
        <f>IFERROR(__xludf.DUMMYFUNCTION("""COMPUTED_VALUE"""),"https://drive.google.com/open?id=17PScrfLWCy6sYiNxLWUDCyCdBLM6Mwxy")</f>
        <v>https://drive.google.com/open?id=17PScrfLWCy6sYiNxLWUDCyCdBLM6Mwxy</v>
      </c>
      <c r="V209" s="10"/>
      <c r="W209" s="10"/>
      <c r="X209" s="10"/>
      <c r="Y209" s="14" t="str">
        <f>IFERROR(__xludf.DUMMYFUNCTION("""COMPUTED_VALUE"""),"irfanamjad1983@gmail.com")</f>
        <v>irfanamjad1983@gmail.com</v>
      </c>
      <c r="AA209" s="325">
        <v>4.0</v>
      </c>
    </row>
    <row r="210" hidden="1">
      <c r="A210" s="9">
        <f>IFERROR(__xludf.DUMMYFUNCTION("""COMPUTED_VALUE"""),45779.38634141204)</f>
        <v>45779.38634</v>
      </c>
      <c r="B210" s="10" t="str">
        <f>IFERROR(__xludf.DUMMYFUNCTION("""COMPUTED_VALUE"""),"Shoaib")</f>
        <v>Shoaib</v>
      </c>
      <c r="C210" s="10" t="str">
        <f>IFERROR(__xludf.DUMMYFUNCTION("""COMPUTED_VALUE"""),"03018698469")</f>
        <v>03018698469</v>
      </c>
      <c r="D210" s="10" t="str">
        <f>IFERROR(__xludf.DUMMYFUNCTION("""COMPUTED_VALUE"""),"Markzi jamia masjid ashrafiya gol chok")</f>
        <v>Markzi jamia masjid ashrafiya gol chok</v>
      </c>
      <c r="E210" s="10" t="str">
        <f>IFERROR(__xludf.DUMMYFUNCTION("""COMPUTED_VALUE"""),"Palog")</f>
        <v>Palog</v>
      </c>
      <c r="F210" s="10">
        <f>IFERROR(__xludf.DUMMYFUNCTION("""COMPUTED_VALUE"""),630.0)</f>
        <v>630</v>
      </c>
      <c r="G210" s="10">
        <f>IFERROR(__xludf.DUMMYFUNCTION("""COMPUTED_VALUE"""),6.0)</f>
        <v>6</v>
      </c>
      <c r="H210" s="10">
        <f>IFERROR(__xludf.DUMMYFUNCTION("""COMPUTED_VALUE"""),6.0)</f>
        <v>6</v>
      </c>
      <c r="I210" s="10">
        <f>IFERROR(__xludf.DUMMYFUNCTION("""COMPUTED_VALUE"""),3.0)</f>
        <v>3</v>
      </c>
      <c r="J210" s="10">
        <f>IFERROR(__xludf.DUMMYFUNCTION("""COMPUTED_VALUE"""),1930.0)</f>
        <v>1930</v>
      </c>
      <c r="K210" s="10" t="str">
        <f>IFERROR(__xludf.DUMMYFUNCTION("""COMPUTED_VALUE"""),"No")</f>
        <v>No</v>
      </c>
      <c r="L210" s="10" t="str">
        <f>IFERROR(__xludf.DUMMYFUNCTION("""COMPUTED_VALUE"""),"No")</f>
        <v>No</v>
      </c>
      <c r="M210" s="10">
        <f>IFERROR(__xludf.DUMMYFUNCTION("""COMPUTED_VALUE"""),6.0)</f>
        <v>6</v>
      </c>
      <c r="N210" s="10" t="str">
        <f>IFERROR(__xludf.DUMMYFUNCTION("""COMPUTED_VALUE"""),"No")</f>
        <v>No</v>
      </c>
      <c r="O210" s="10"/>
      <c r="P210" s="10"/>
      <c r="Q210" s="10"/>
      <c r="R210" s="10"/>
      <c r="S210" s="18" t="str">
        <f>IFERROR(__xludf.DUMMYFUNCTION("""COMPUTED_VALUE"""),"https://drive.google.com/open?id=11qXOiP6otxggXRTaTzdSbyFiRbX5xn1Q")</f>
        <v>https://drive.google.com/open?id=11qXOiP6otxggXRTaTzdSbyFiRbX5xn1Q</v>
      </c>
      <c r="T210" s="18" t="str">
        <f>IFERROR(__xludf.DUMMYFUNCTION("""COMPUTED_VALUE"""),"https://drive.google.com/open?id=1MQSCEhwaFBexRgJmSzUgZHYWKoY7MO2a")</f>
        <v>https://drive.google.com/open?id=1MQSCEhwaFBexRgJmSzUgZHYWKoY7MO2a</v>
      </c>
      <c r="U210" s="18" t="str">
        <f>IFERROR(__xludf.DUMMYFUNCTION("""COMPUTED_VALUE"""),"https://drive.google.com/open?id=1lcTbEuu-XsOQ-2mujiVeRQXdweOkzDSN")</f>
        <v>https://drive.google.com/open?id=1lcTbEuu-XsOQ-2mujiVeRQXdweOkzDSN</v>
      </c>
      <c r="V210" s="10" t="str">
        <f>IFERROR(__xludf.DUMMYFUNCTION("""COMPUTED_VALUE"""),"No")</f>
        <v>No</v>
      </c>
      <c r="W210" s="10"/>
      <c r="X210" s="10"/>
      <c r="Y210" s="14" t="str">
        <f>IFERROR(__xludf.DUMMYFUNCTION("""COMPUTED_VALUE"""),"shoaibmukhtar073@gmail.com")</f>
        <v>shoaibmukhtar073@gmail.com</v>
      </c>
      <c r="AA210" s="325">
        <v>2.0</v>
      </c>
    </row>
    <row r="211" hidden="1">
      <c r="A211" s="9">
        <f>IFERROR(__xludf.DUMMYFUNCTION("""COMPUTED_VALUE"""),45779.40060474537)</f>
        <v>45779.4006</v>
      </c>
      <c r="B211" s="10" t="str">
        <f>IFERROR(__xludf.DUMMYFUNCTION("""COMPUTED_VALUE"""),"M Haseeb ")</f>
        <v>M Haseeb </v>
      </c>
      <c r="C211" s="10" t="str">
        <f>IFERROR(__xludf.DUMMYFUNCTION("""COMPUTED_VALUE"""),"03262232424")</f>
        <v>03262232424</v>
      </c>
      <c r="D211" s="10" t="str">
        <f>IFERROR(__xludf.DUMMYFUNCTION("""COMPUTED_VALUE"""),"Jamia masjid hazrat Syed charag Ali shah")</f>
        <v>Jamia masjid hazrat Syed charag Ali shah</v>
      </c>
      <c r="E211" s="10" t="str">
        <f>IFERROR(__xludf.DUMMYFUNCTION("""COMPUTED_VALUE"""),"vmezu")</f>
        <v>vmezu</v>
      </c>
      <c r="F211" s="10">
        <f>IFERROR(__xludf.DUMMYFUNCTION("""COMPUTED_VALUE"""),735.0)</f>
        <v>735</v>
      </c>
      <c r="G211" s="10">
        <f>IFERROR(__xludf.DUMMYFUNCTION("""COMPUTED_VALUE"""),8.0)</f>
        <v>8</v>
      </c>
      <c r="H211" s="10">
        <f>IFERROR(__xludf.DUMMYFUNCTION("""COMPUTED_VALUE"""),8.0)</f>
        <v>8</v>
      </c>
      <c r="I211" s="10">
        <f>IFERROR(__xludf.DUMMYFUNCTION("""COMPUTED_VALUE"""),1.0)</f>
        <v>1</v>
      </c>
      <c r="J211" s="10" t="str">
        <f>IFERROR(__xludf.DUMMYFUNCTION("""COMPUTED_VALUE"""),"0000")</f>
        <v>0000</v>
      </c>
      <c r="K211" s="10" t="str">
        <f>IFERROR(__xludf.DUMMYFUNCTION("""COMPUTED_VALUE"""),"No")</f>
        <v>No</v>
      </c>
      <c r="L211" s="10" t="str">
        <f>IFERROR(__xludf.DUMMYFUNCTION("""COMPUTED_VALUE"""),"Yes")</f>
        <v>Yes</v>
      </c>
      <c r="M211" s="10">
        <f>IFERROR(__xludf.DUMMYFUNCTION("""COMPUTED_VALUE"""),9.0)</f>
        <v>9</v>
      </c>
      <c r="N211" s="10" t="str">
        <f>IFERROR(__xludf.DUMMYFUNCTION("""COMPUTED_VALUE"""),"Yes")</f>
        <v>Yes</v>
      </c>
      <c r="O211" s="323">
        <f>IFERROR(__xludf.DUMMYFUNCTION("""COMPUTED_VALUE"""),1.0)</f>
        <v>1</v>
      </c>
      <c r="P211" s="10">
        <f>IFERROR(__xludf.DUMMYFUNCTION("""COMPUTED_VALUE"""),10.0)</f>
        <v>10</v>
      </c>
      <c r="Q211" s="10">
        <f>IFERROR(__xludf.DUMMYFUNCTION("""COMPUTED_VALUE"""),4.0)</f>
        <v>4</v>
      </c>
      <c r="R211" s="10">
        <f>IFERROR(__xludf.DUMMYFUNCTION("""COMPUTED_VALUE"""),10.0)</f>
        <v>10</v>
      </c>
      <c r="S211" s="18" t="str">
        <f>IFERROR(__xludf.DUMMYFUNCTION("""COMPUTED_VALUE"""),"https://drive.google.com/open?id=1542K-n3WZe7OO53ZQGaSvc9VzUrezT3f")</f>
        <v>https://drive.google.com/open?id=1542K-n3WZe7OO53ZQGaSvc9VzUrezT3f</v>
      </c>
      <c r="T211" s="18" t="str">
        <f>IFERROR(__xludf.DUMMYFUNCTION("""COMPUTED_VALUE"""),"https://drive.google.com/open?id=1oogtubalQsU7dlZoIV1ogArVgOR2tP-z")</f>
        <v>https://drive.google.com/open?id=1oogtubalQsU7dlZoIV1ogArVgOR2tP-z</v>
      </c>
      <c r="U211" s="18" t="str">
        <f>IFERROR(__xludf.DUMMYFUNCTION("""COMPUTED_VALUE"""),"https://drive.google.com/open?id=1ItZmACpKFuKweVLmqVfnP7k_h0FEw7qR")</f>
        <v>https://drive.google.com/open?id=1ItZmACpKFuKweVLmqVfnP7k_h0FEw7qR</v>
      </c>
      <c r="V211" s="10"/>
      <c r="W211" s="10"/>
      <c r="X211" s="10" t="str">
        <f>IFERROR(__xludf.DUMMYFUNCTION("""COMPUTED_VALUE"""),"Yes")</f>
        <v>Yes</v>
      </c>
      <c r="Y211" s="14" t="str">
        <f>IFERROR(__xludf.DUMMYFUNCTION("""COMPUTED_VALUE"""),"haseebhamidofficial@gmail.com")</f>
        <v>haseebhamidofficial@gmail.com</v>
      </c>
      <c r="AA211" s="325">
        <v>4.0</v>
      </c>
    </row>
    <row r="212" hidden="1">
      <c r="A212" s="9">
        <f>IFERROR(__xludf.DUMMYFUNCTION("""COMPUTED_VALUE"""),45779.401893229166)</f>
        <v>45779.40189</v>
      </c>
      <c r="B212" s="10" t="str">
        <f>IFERROR(__xludf.DUMMYFUNCTION("""COMPUTED_VALUE"""),"Usman ")</f>
        <v>Usman </v>
      </c>
      <c r="C212" s="10" t="str">
        <f>IFERROR(__xludf.DUMMYFUNCTION("""COMPUTED_VALUE"""),"03046190315")</f>
        <v>03046190315</v>
      </c>
      <c r="D212" s="10" t="str">
        <f>IFERROR(__xludf.DUMMYFUNCTION("""COMPUTED_VALUE"""),"Jamai masjid Ghala mandi bhalwal ")</f>
        <v>Jamai masjid Ghala mandi bhalwal </v>
      </c>
      <c r="E212" s="10" t="str">
        <f>IFERROR(__xludf.DUMMYFUNCTION("""COMPUTED_VALUE"""),"hhmbl")</f>
        <v>hhmbl</v>
      </c>
      <c r="F212" s="10">
        <f>IFERROR(__xludf.DUMMYFUNCTION("""COMPUTED_VALUE"""),300.0)</f>
        <v>300</v>
      </c>
      <c r="G212" s="10">
        <f>IFERROR(__xludf.DUMMYFUNCTION("""COMPUTED_VALUE"""),10.0)</f>
        <v>10</v>
      </c>
      <c r="H212" s="10">
        <f>IFERROR(__xludf.DUMMYFUNCTION("""COMPUTED_VALUE"""),7.0)</f>
        <v>7</v>
      </c>
      <c r="I212" s="10">
        <f>IFERROR(__xludf.DUMMYFUNCTION("""COMPUTED_VALUE"""),0.0)</f>
        <v>0</v>
      </c>
      <c r="J212" s="10" t="str">
        <f>IFERROR(__xludf.DUMMYFUNCTION("""COMPUTED_VALUE"""),"No")</f>
        <v>No</v>
      </c>
      <c r="K212" s="10" t="str">
        <f>IFERROR(__xludf.DUMMYFUNCTION("""COMPUTED_VALUE"""),"No")</f>
        <v>No</v>
      </c>
      <c r="L212" s="10" t="str">
        <f>IFERROR(__xludf.DUMMYFUNCTION("""COMPUTED_VALUE"""),"No")</f>
        <v>No</v>
      </c>
      <c r="M212" s="10">
        <f>IFERROR(__xludf.DUMMYFUNCTION("""COMPUTED_VALUE"""),7.0)</f>
        <v>7</v>
      </c>
      <c r="N212" s="10" t="str">
        <f>IFERROR(__xludf.DUMMYFUNCTION("""COMPUTED_VALUE"""),"Yes")</f>
        <v>Yes</v>
      </c>
      <c r="O212" s="323">
        <f>IFERROR(__xludf.DUMMYFUNCTION("""COMPUTED_VALUE"""),1.0)</f>
        <v>1</v>
      </c>
      <c r="P212" s="10">
        <f>IFERROR(__xludf.DUMMYFUNCTION("""COMPUTED_VALUE"""),9.0)</f>
        <v>9</v>
      </c>
      <c r="Q212" s="10">
        <f>IFERROR(__xludf.DUMMYFUNCTION("""COMPUTED_VALUE"""),1.0)</f>
        <v>1</v>
      </c>
      <c r="R212" s="10">
        <f>IFERROR(__xludf.DUMMYFUNCTION("""COMPUTED_VALUE"""),8.0)</f>
        <v>8</v>
      </c>
      <c r="S212" s="18" t="str">
        <f>IFERROR(__xludf.DUMMYFUNCTION("""COMPUTED_VALUE"""),"https://drive.google.com/open?id=1NkGoMPltbPbU9VIbu88GCSqR4sBeHKJ7")</f>
        <v>https://drive.google.com/open?id=1NkGoMPltbPbU9VIbu88GCSqR4sBeHKJ7</v>
      </c>
      <c r="T212" s="18" t="str">
        <f>IFERROR(__xludf.DUMMYFUNCTION("""COMPUTED_VALUE"""),"https://drive.google.com/open?id=1X-mSm1Yzv_roHHyooxsBEQWqjuW5gVsa")</f>
        <v>https://drive.google.com/open?id=1X-mSm1Yzv_roHHyooxsBEQWqjuW5gVsa</v>
      </c>
      <c r="U212" s="18" t="str">
        <f>IFERROR(__xludf.DUMMYFUNCTION("""COMPUTED_VALUE"""),"https://drive.google.com/open?id=1w7gR53IHsvEBy30bwV3_8zRiCsjNAZPL")</f>
        <v>https://drive.google.com/open?id=1w7gR53IHsvEBy30bwV3_8zRiCsjNAZPL</v>
      </c>
      <c r="V212" s="10" t="str">
        <f>IFERROR(__xludf.DUMMYFUNCTION("""COMPUTED_VALUE"""),"No")</f>
        <v>No</v>
      </c>
      <c r="W212" s="10"/>
      <c r="X212" s="10" t="str">
        <f>IFERROR(__xludf.DUMMYFUNCTION("""COMPUTED_VALUE"""),"Yes")</f>
        <v>Yes</v>
      </c>
      <c r="Y212" s="14" t="str">
        <f>IFERROR(__xludf.DUMMYFUNCTION("""COMPUTED_VALUE"""),"usmanchugtai315@gmail.com")</f>
        <v>usmanchugtai315@gmail.com</v>
      </c>
      <c r="AA212" s="325">
        <v>2.0</v>
      </c>
    </row>
    <row r="213" hidden="1">
      <c r="A213" s="9">
        <f>IFERROR(__xludf.DUMMYFUNCTION("""COMPUTED_VALUE"""),45779.40331479166)</f>
        <v>45779.40331</v>
      </c>
      <c r="B213" s="10" t="str">
        <f>IFERROR(__xludf.DUMMYFUNCTION("""COMPUTED_VALUE"""),"Waleed")</f>
        <v>Waleed</v>
      </c>
      <c r="C213" s="10" t="str">
        <f>IFERROR(__xludf.DUMMYFUNCTION("""COMPUTED_VALUE"""),"03057180082")</f>
        <v>03057180082</v>
      </c>
      <c r="D213" s="10" t="str">
        <f>IFERROR(__xludf.DUMMYFUNCTION("""COMPUTED_VALUE"""),"Jamia masjid Zia ")</f>
        <v>Jamia masjid Zia </v>
      </c>
      <c r="E213" s="10" t="str">
        <f>IFERROR(__xludf.DUMMYFUNCTION("""COMPUTED_VALUE"""),"Uiodj")</f>
        <v>Uiodj</v>
      </c>
      <c r="F213" s="10">
        <f>IFERROR(__xludf.DUMMYFUNCTION("""COMPUTED_VALUE"""),150.0)</f>
        <v>150</v>
      </c>
      <c r="G213" s="10">
        <f>IFERROR(__xludf.DUMMYFUNCTION("""COMPUTED_VALUE"""),5.0)</f>
        <v>5</v>
      </c>
      <c r="H213" s="10">
        <f>IFERROR(__xludf.DUMMYFUNCTION("""COMPUTED_VALUE"""),5.0)</f>
        <v>5</v>
      </c>
      <c r="I213" s="10" t="str">
        <f>IFERROR(__xludf.DUMMYFUNCTION("""COMPUTED_VALUE"""),"No")</f>
        <v>No</v>
      </c>
      <c r="J213" s="10">
        <f>IFERROR(__xludf.DUMMYFUNCTION("""COMPUTED_VALUE"""),1940.0)</f>
        <v>1940</v>
      </c>
      <c r="K213" s="10" t="str">
        <f>IFERROR(__xludf.DUMMYFUNCTION("""COMPUTED_VALUE"""),"No")</f>
        <v>No</v>
      </c>
      <c r="L213" s="10" t="str">
        <f>IFERROR(__xludf.DUMMYFUNCTION("""COMPUTED_VALUE"""),"No")</f>
        <v>No</v>
      </c>
      <c r="M213" s="10">
        <f>IFERROR(__xludf.DUMMYFUNCTION("""COMPUTED_VALUE"""),7.0)</f>
        <v>7</v>
      </c>
      <c r="N213" s="10" t="str">
        <f>IFERROR(__xludf.DUMMYFUNCTION("""COMPUTED_VALUE"""),"Yes")</f>
        <v>Yes</v>
      </c>
      <c r="O213" s="323">
        <f>IFERROR(__xludf.DUMMYFUNCTION("""COMPUTED_VALUE"""),0.7)</f>
        <v>0.7</v>
      </c>
      <c r="P213" s="10">
        <f>IFERROR(__xludf.DUMMYFUNCTION("""COMPUTED_VALUE"""),7.0)</f>
        <v>7</v>
      </c>
      <c r="Q213" s="10">
        <f>IFERROR(__xludf.DUMMYFUNCTION("""COMPUTED_VALUE"""),1.0)</f>
        <v>1</v>
      </c>
      <c r="R213" s="10">
        <f>IFERROR(__xludf.DUMMYFUNCTION("""COMPUTED_VALUE"""),9.0)</f>
        <v>9</v>
      </c>
      <c r="S213" s="18" t="str">
        <f>IFERROR(__xludf.DUMMYFUNCTION("""COMPUTED_VALUE"""),"https://drive.google.com/open?id=1tLC1hSwXCz1Reo_IxfcuBdllgK1gtq97")</f>
        <v>https://drive.google.com/open?id=1tLC1hSwXCz1Reo_IxfcuBdllgK1gtq97</v>
      </c>
      <c r="T213" s="18" t="str">
        <f>IFERROR(__xludf.DUMMYFUNCTION("""COMPUTED_VALUE"""),"https://drive.google.com/open?id=1Bf4-e-Yn_hoBbi334f-Q27_oc7iwmnWr")</f>
        <v>https://drive.google.com/open?id=1Bf4-e-Yn_hoBbi334f-Q27_oc7iwmnWr</v>
      </c>
      <c r="U213" s="18" t="str">
        <f>IFERROR(__xludf.DUMMYFUNCTION("""COMPUTED_VALUE"""),"https://drive.google.com/open?id=1Qd6E84zvwsJHC7Q8JZvencSNXxA9P5gL")</f>
        <v>https://drive.google.com/open?id=1Qd6E84zvwsJHC7Q8JZvencSNXxA9P5gL</v>
      </c>
      <c r="V213" s="10" t="str">
        <f>IFERROR(__xludf.DUMMYFUNCTION("""COMPUTED_VALUE"""),"No")</f>
        <v>No</v>
      </c>
      <c r="W213" s="10"/>
      <c r="X213" s="10" t="str">
        <f>IFERROR(__xludf.DUMMYFUNCTION("""COMPUTED_VALUE"""),"Yes")</f>
        <v>Yes</v>
      </c>
      <c r="Y213" s="14" t="str">
        <f>IFERROR(__xludf.DUMMYFUNCTION("""COMPUTED_VALUE"""),"abdulwahabriaz440@gmail.com")</f>
        <v>abdulwahabriaz440@gmail.com</v>
      </c>
      <c r="AA213" s="325">
        <v>2.0</v>
      </c>
    </row>
    <row r="214" hidden="1">
      <c r="A214" s="9">
        <f>IFERROR(__xludf.DUMMYFUNCTION("""COMPUTED_VALUE"""),45779.408369571756)</f>
        <v>45779.40837</v>
      </c>
      <c r="B214" s="10" t="str">
        <f>IFERROR(__xludf.DUMMYFUNCTION("""COMPUTED_VALUE"""),"Muhammad Tahir ")</f>
        <v>Muhammad Tahir </v>
      </c>
      <c r="C214" s="10" t="str">
        <f>IFERROR(__xludf.DUMMYFUNCTION("""COMPUTED_VALUE"""),"0315-4165034 ")</f>
        <v>0315-4165034 </v>
      </c>
      <c r="D214" s="10" t="str">
        <f>IFERROR(__xludf.DUMMYFUNCTION("""COMPUTED_VALUE"""),"Jamia masjid Kingrian wali Mozang ")</f>
        <v>Jamia masjid Kingrian wali Mozang </v>
      </c>
      <c r="E214" s="10" t="str">
        <f>IFERROR(__xludf.DUMMYFUNCTION("""COMPUTED_VALUE"""),"Ekvzq")</f>
        <v>Ekvzq</v>
      </c>
      <c r="F214" s="10">
        <f>IFERROR(__xludf.DUMMYFUNCTION("""COMPUTED_VALUE"""),200.0)</f>
        <v>200</v>
      </c>
      <c r="G214" s="10">
        <f>IFERROR(__xludf.DUMMYFUNCTION("""COMPUTED_VALUE"""),6.0)</f>
        <v>6</v>
      </c>
      <c r="H214" s="10">
        <f>IFERROR(__xludf.DUMMYFUNCTION("""COMPUTED_VALUE"""),6.0)</f>
        <v>6</v>
      </c>
      <c r="I214" s="10">
        <f>IFERROR(__xludf.DUMMYFUNCTION("""COMPUTED_VALUE"""),0.0)</f>
        <v>0</v>
      </c>
      <c r="J214" s="10">
        <f>IFERROR(__xludf.DUMMYFUNCTION("""COMPUTED_VALUE"""),1960.0)</f>
        <v>1960</v>
      </c>
      <c r="K214" s="10" t="str">
        <f>IFERROR(__xludf.DUMMYFUNCTION("""COMPUTED_VALUE"""),"No")</f>
        <v>No</v>
      </c>
      <c r="L214" s="10" t="str">
        <f>IFERROR(__xludf.DUMMYFUNCTION("""COMPUTED_VALUE"""),"NA")</f>
        <v>NA</v>
      </c>
      <c r="M214" s="10">
        <f>IFERROR(__xludf.DUMMYFUNCTION("""COMPUTED_VALUE"""),8.0)</f>
        <v>8</v>
      </c>
      <c r="N214" s="10" t="str">
        <f>IFERROR(__xludf.DUMMYFUNCTION("""COMPUTED_VALUE"""),"No")</f>
        <v>No</v>
      </c>
      <c r="O214" s="10"/>
      <c r="P214" s="10"/>
      <c r="Q214" s="10"/>
      <c r="R214" s="10"/>
      <c r="S214" s="18" t="str">
        <f>IFERROR(__xludf.DUMMYFUNCTION("""COMPUTED_VALUE"""),"https://drive.google.com/open?id=1gzxiUQwrcIysGXHtHLYP7Ajq7MxHBaYJ")</f>
        <v>https://drive.google.com/open?id=1gzxiUQwrcIysGXHtHLYP7Ajq7MxHBaYJ</v>
      </c>
      <c r="T214" s="18" t="str">
        <f>IFERROR(__xludf.DUMMYFUNCTION("""COMPUTED_VALUE"""),"https://drive.google.com/open?id=1R10_4q42S5pyCQG450z5ohamfO0CnULY")</f>
        <v>https://drive.google.com/open?id=1R10_4q42S5pyCQG450z5ohamfO0CnULY</v>
      </c>
      <c r="U214" s="18" t="str">
        <f>IFERROR(__xludf.DUMMYFUNCTION("""COMPUTED_VALUE"""),"https://drive.google.com/open?id=1Gi9w74SvJhR-w7JnJUR1xvvzRIHySmR6")</f>
        <v>https://drive.google.com/open?id=1Gi9w74SvJhR-w7JnJUR1xvvzRIHySmR6</v>
      </c>
      <c r="V214" s="10" t="str">
        <f>IFERROR(__xludf.DUMMYFUNCTION("""COMPUTED_VALUE"""),"NA")</f>
        <v>NA</v>
      </c>
      <c r="W214" s="10"/>
      <c r="X214" s="10"/>
      <c r="Y214" s="14" t="str">
        <f>IFERROR(__xludf.DUMMYFUNCTION("""COMPUTED_VALUE"""),"tahirdaudi55@gmail.com")</f>
        <v>tahirdaudi55@gmail.com</v>
      </c>
      <c r="AA214" s="325">
        <v>4.0</v>
      </c>
    </row>
    <row r="215" hidden="1">
      <c r="A215" s="9">
        <f>IFERROR(__xludf.DUMMYFUNCTION("""COMPUTED_VALUE"""),45779.42160540509)</f>
        <v>45779.42161</v>
      </c>
      <c r="B215" s="10" t="str">
        <f>IFERROR(__xludf.DUMMYFUNCTION("""COMPUTED_VALUE"""),"SULAMAN asghar ")</f>
        <v>SULAMAN asghar </v>
      </c>
      <c r="C215" s="10" t="str">
        <f>IFERROR(__xludf.DUMMYFUNCTION("""COMPUTED_VALUE"""),"03126136070")</f>
        <v>03126136070</v>
      </c>
      <c r="D215" s="10" t="str">
        <f>IFERROR(__xludf.DUMMYFUNCTION("""COMPUTED_VALUE"""),"Ghosia masjid Pakistan chock Gujrat ")</f>
        <v>Ghosia masjid Pakistan chock Gujrat </v>
      </c>
      <c r="E215" s="10" t="str">
        <f>IFERROR(__xludf.DUMMYFUNCTION("""COMPUTED_VALUE"""),"XYHJE")</f>
        <v>XYHJE</v>
      </c>
      <c r="F215" s="10">
        <f>IFERROR(__xludf.DUMMYFUNCTION("""COMPUTED_VALUE"""),350.0)</f>
        <v>350</v>
      </c>
      <c r="G215" s="10">
        <f>IFERROR(__xludf.DUMMYFUNCTION("""COMPUTED_VALUE"""),9.0)</f>
        <v>9</v>
      </c>
      <c r="H215" s="10">
        <f>IFERROR(__xludf.DUMMYFUNCTION("""COMPUTED_VALUE"""),8.0)</f>
        <v>8</v>
      </c>
      <c r="I215" s="10">
        <f>IFERROR(__xludf.DUMMYFUNCTION("""COMPUTED_VALUE"""),2.0)</f>
        <v>2</v>
      </c>
      <c r="J215" s="10">
        <f>IFERROR(__xludf.DUMMYFUNCTION("""COMPUTED_VALUE"""),1993.0)</f>
        <v>1993</v>
      </c>
      <c r="K215" s="10" t="str">
        <f>IFERROR(__xludf.DUMMYFUNCTION("""COMPUTED_VALUE"""),"No")</f>
        <v>No</v>
      </c>
      <c r="L215" s="10" t="str">
        <f>IFERROR(__xludf.DUMMYFUNCTION("""COMPUTED_VALUE"""),"نہیں")</f>
        <v>نہیں</v>
      </c>
      <c r="M215" s="10">
        <f>IFERROR(__xludf.DUMMYFUNCTION("""COMPUTED_VALUE"""),8.0)</f>
        <v>8</v>
      </c>
      <c r="N215" s="10" t="str">
        <f>IFERROR(__xludf.DUMMYFUNCTION("""COMPUTED_VALUE"""),"Yes")</f>
        <v>Yes</v>
      </c>
      <c r="O215" s="323">
        <f>IFERROR(__xludf.DUMMYFUNCTION("""COMPUTED_VALUE"""),0.9)</f>
        <v>0.9</v>
      </c>
      <c r="P215" s="10">
        <f>IFERROR(__xludf.DUMMYFUNCTION("""COMPUTED_VALUE"""),9.0)</f>
        <v>9</v>
      </c>
      <c r="Q215" s="10">
        <f>IFERROR(__xludf.DUMMYFUNCTION("""COMPUTED_VALUE"""),1.0)</f>
        <v>1</v>
      </c>
      <c r="R215" s="10">
        <f>IFERROR(__xludf.DUMMYFUNCTION("""COMPUTED_VALUE"""),9.0)</f>
        <v>9</v>
      </c>
      <c r="S215" s="10"/>
      <c r="T215" s="10"/>
      <c r="U215" s="10" t="str">
        <f>IFERROR(__xludf.DUMMYFUNCTION("""COMPUTED_VALUE"""),"https://drive.google.com/open?id=1ckVDCMSvukKdgtnPDaPWhVHxl4aF8wwB, https://drive.google.com/open?id=1ZMzGhWdnym1IVkO1Q8hRi2N4IcH1Glk0")</f>
        <v>https://drive.google.com/open?id=1ckVDCMSvukKdgtnPDaPWhVHxl4aF8wwB, https://drive.google.com/open?id=1ZMzGhWdnym1IVkO1Q8hRi2N4IcH1Glk0</v>
      </c>
      <c r="V215" s="10"/>
      <c r="W215" s="10"/>
      <c r="X215" s="10" t="str">
        <f>IFERROR(__xludf.DUMMYFUNCTION("""COMPUTED_VALUE"""),"Yes")</f>
        <v>Yes</v>
      </c>
      <c r="Y215" s="14" t="str">
        <f>IFERROR(__xludf.DUMMYFUNCTION("""COMPUTED_VALUE"""),"drsulamanasgharchaudhary@gmail.com")</f>
        <v>drsulamanasgharchaudhary@gmail.com</v>
      </c>
      <c r="AA215" s="325">
        <v>2.0</v>
      </c>
    </row>
    <row r="216" hidden="1">
      <c r="A216" s="9">
        <f>IFERROR(__xludf.DUMMYFUNCTION("""COMPUTED_VALUE"""),45779.45795921296)</f>
        <v>45779.45796</v>
      </c>
      <c r="B216" s="10" t="str">
        <f>IFERROR(__xludf.DUMMYFUNCTION("""COMPUTED_VALUE"""),"Shahbaz Ahmed")</f>
        <v>Shahbaz Ahmed</v>
      </c>
      <c r="C216" s="10" t="str">
        <f>IFERROR(__xludf.DUMMYFUNCTION("""COMPUTED_VALUE"""),"03446427664")</f>
        <v>03446427664</v>
      </c>
      <c r="D216" s="10" t="str">
        <f>IFERROR(__xludf.DUMMYFUNCTION("""COMPUTED_VALUE"""),"Jamia Masjid Hanfia aljanat Onchee Pansaria Sialkot")</f>
        <v>Jamia Masjid Hanfia aljanat Onchee Pansaria Sialkot</v>
      </c>
      <c r="E216" s="10" t="str">
        <f>IFERROR(__xludf.DUMMYFUNCTION("""COMPUTED_VALUE"""),"oyfuj")</f>
        <v>oyfuj</v>
      </c>
      <c r="F216" s="10">
        <f>IFERROR(__xludf.DUMMYFUNCTION("""COMPUTED_VALUE"""),147.0)</f>
        <v>147</v>
      </c>
      <c r="G216" s="10">
        <f>IFERROR(__xludf.DUMMYFUNCTION("""COMPUTED_VALUE"""),9.0)</f>
        <v>9</v>
      </c>
      <c r="H216" s="10">
        <f>IFERROR(__xludf.DUMMYFUNCTION("""COMPUTED_VALUE"""),9.0)</f>
        <v>9</v>
      </c>
      <c r="I216" s="10">
        <f>IFERROR(__xludf.DUMMYFUNCTION("""COMPUTED_VALUE"""),0.0)</f>
        <v>0</v>
      </c>
      <c r="J216" s="10">
        <f>IFERROR(__xludf.DUMMYFUNCTION("""COMPUTED_VALUE"""),1983.0)</f>
        <v>1983</v>
      </c>
      <c r="K216" s="10" t="str">
        <f>IFERROR(__xludf.DUMMYFUNCTION("""COMPUTED_VALUE"""),"No")</f>
        <v>No</v>
      </c>
      <c r="L216" s="10" t="str">
        <f>IFERROR(__xludf.DUMMYFUNCTION("""COMPUTED_VALUE"""),"no")</f>
        <v>no</v>
      </c>
      <c r="M216" s="10">
        <f>IFERROR(__xludf.DUMMYFUNCTION("""COMPUTED_VALUE"""),6.0)</f>
        <v>6</v>
      </c>
      <c r="N216" s="10" t="str">
        <f>IFERROR(__xludf.DUMMYFUNCTION("""COMPUTED_VALUE"""),"No")</f>
        <v>No</v>
      </c>
      <c r="O216" s="10"/>
      <c r="P216" s="10"/>
      <c r="Q216" s="10"/>
      <c r="R216" s="10"/>
      <c r="S216" s="18" t="str">
        <f>IFERROR(__xludf.DUMMYFUNCTION("""COMPUTED_VALUE"""),"https://drive.google.com/open?id=1Oy3yb9VRVSLpUjuAHL1Xd-G4TzY9JrhL")</f>
        <v>https://drive.google.com/open?id=1Oy3yb9VRVSLpUjuAHL1Xd-G4TzY9JrhL</v>
      </c>
      <c r="T216" s="18" t="str">
        <f>IFERROR(__xludf.DUMMYFUNCTION("""COMPUTED_VALUE"""),"https://drive.google.com/open?id=1OOrzBi0Y4uNcnShJk_0mq0UanMwOt7-H")</f>
        <v>https://drive.google.com/open?id=1OOrzBi0Y4uNcnShJk_0mq0UanMwOt7-H</v>
      </c>
      <c r="U216" s="18" t="str">
        <f>IFERROR(__xludf.DUMMYFUNCTION("""COMPUTED_VALUE"""),"https://drive.google.com/open?id=1AlZCGOf2ABJ-x0hTnEOCl4jGp3hgWW9M")</f>
        <v>https://drive.google.com/open?id=1AlZCGOf2ABJ-x0hTnEOCl4jGp3hgWW9M</v>
      </c>
      <c r="V216" s="10"/>
      <c r="W216" s="10"/>
      <c r="X216" s="10"/>
      <c r="Y216" s="14" t="str">
        <f>IFERROR(__xludf.DUMMYFUNCTION("""COMPUTED_VALUE"""),"subhan.zulaied@gmail.com")</f>
        <v>subhan.zulaied@gmail.com</v>
      </c>
      <c r="AA216" s="325">
        <v>3.0</v>
      </c>
    </row>
    <row r="217" hidden="1">
      <c r="A217" s="9">
        <f>IFERROR(__xludf.DUMMYFUNCTION("""COMPUTED_VALUE"""),45779.459646006944)</f>
        <v>45779.45965</v>
      </c>
      <c r="B217" s="10" t="str">
        <f>IFERROR(__xludf.DUMMYFUNCTION("""COMPUTED_VALUE"""),"Muhammad  Abu Bakar ")</f>
        <v>Muhammad  Abu Bakar </v>
      </c>
      <c r="C217" s="10" t="str">
        <f>IFERROR(__xludf.DUMMYFUNCTION("""COMPUTED_VALUE"""),"03420642165")</f>
        <v>03420642165</v>
      </c>
      <c r="D217" s="10" t="str">
        <f>IFERROR(__xludf.DUMMYFUNCTION("""COMPUTED_VALUE"""),"Jamia Masjid sadique e Akbar")</f>
        <v>Jamia Masjid sadique e Akbar</v>
      </c>
      <c r="E217" s="10" t="str">
        <f>IFERROR(__xludf.DUMMYFUNCTION("""COMPUTED_VALUE"""),"HOMVR")</f>
        <v>HOMVR</v>
      </c>
      <c r="F217" s="10">
        <f>IFERROR(__xludf.DUMMYFUNCTION("""COMPUTED_VALUE"""),80.0)</f>
        <v>80</v>
      </c>
      <c r="G217" s="10">
        <f>IFERROR(__xludf.DUMMYFUNCTION("""COMPUTED_VALUE"""),9.0)</f>
        <v>9</v>
      </c>
      <c r="H217" s="10">
        <f>IFERROR(__xludf.DUMMYFUNCTION("""COMPUTED_VALUE"""),8.0)</f>
        <v>8</v>
      </c>
      <c r="I217" s="10" t="str">
        <f>IFERROR(__xludf.DUMMYFUNCTION("""COMPUTED_VALUE"""),"No")</f>
        <v>No</v>
      </c>
      <c r="J217" s="10" t="str">
        <f>IFERROR(__xludf.DUMMYFUNCTION("""COMPUTED_VALUE"""),"80 Years")</f>
        <v>80 Years</v>
      </c>
      <c r="K217" s="10" t="str">
        <f>IFERROR(__xludf.DUMMYFUNCTION("""COMPUTED_VALUE"""),"No")</f>
        <v>No</v>
      </c>
      <c r="L217" s="10" t="str">
        <f>IFERROR(__xludf.DUMMYFUNCTION("""COMPUTED_VALUE"""),"No")</f>
        <v>No</v>
      </c>
      <c r="M217" s="10">
        <f>IFERROR(__xludf.DUMMYFUNCTION("""COMPUTED_VALUE"""),9.0)</f>
        <v>9</v>
      </c>
      <c r="N217" s="10" t="str">
        <f>IFERROR(__xludf.DUMMYFUNCTION("""COMPUTED_VALUE"""),"Yes")</f>
        <v>Yes</v>
      </c>
      <c r="O217" s="323">
        <f>IFERROR(__xludf.DUMMYFUNCTION("""COMPUTED_VALUE"""),0.9)</f>
        <v>0.9</v>
      </c>
      <c r="P217" s="10">
        <f>IFERROR(__xludf.DUMMYFUNCTION("""COMPUTED_VALUE"""),9.0)</f>
        <v>9</v>
      </c>
      <c r="Q217" s="10">
        <f>IFERROR(__xludf.DUMMYFUNCTION("""COMPUTED_VALUE"""),2.0)</f>
        <v>2</v>
      </c>
      <c r="R217" s="10">
        <f>IFERROR(__xludf.DUMMYFUNCTION("""COMPUTED_VALUE"""),9.0)</f>
        <v>9</v>
      </c>
      <c r="S217" s="18" t="str">
        <f>IFERROR(__xludf.DUMMYFUNCTION("""COMPUTED_VALUE"""),"https://drive.google.com/open?id=1R0j0g3mmpKyjuqmLebqbLPWT8UxfWLUL")</f>
        <v>https://drive.google.com/open?id=1R0j0g3mmpKyjuqmLebqbLPWT8UxfWLUL</v>
      </c>
      <c r="T217" s="18" t="str">
        <f>IFERROR(__xludf.DUMMYFUNCTION("""COMPUTED_VALUE"""),"https://drive.google.com/open?id=14kXAU_kq1GMYBXWxWPGmm7vU8iZlQT49")</f>
        <v>https://drive.google.com/open?id=14kXAU_kq1GMYBXWxWPGmm7vU8iZlQT49</v>
      </c>
      <c r="U217" s="18" t="str">
        <f>IFERROR(__xludf.DUMMYFUNCTION("""COMPUTED_VALUE"""),"https://drive.google.com/open?id=17Z8D6sOmqQLjp8v8v8iRQzp1X9LrvyPm")</f>
        <v>https://drive.google.com/open?id=17Z8D6sOmqQLjp8v8v8iRQzp1X9LrvyPm</v>
      </c>
      <c r="V217" s="10"/>
      <c r="W217" s="10"/>
      <c r="X217" s="10" t="str">
        <f>IFERROR(__xludf.DUMMYFUNCTION("""COMPUTED_VALUE"""),"Yes")</f>
        <v>Yes</v>
      </c>
      <c r="Y217" s="14" t="str">
        <f>IFERROR(__xludf.DUMMYFUNCTION("""COMPUTED_VALUE"""),"abub55768@gmail.com")</f>
        <v>abub55768@gmail.com</v>
      </c>
      <c r="AA217" s="325" t="s">
        <v>4</v>
      </c>
    </row>
    <row r="218" hidden="1">
      <c r="A218" s="9">
        <f>IFERROR(__xludf.DUMMYFUNCTION("""COMPUTED_VALUE"""),45779.46606414352)</f>
        <v>45779.46606</v>
      </c>
      <c r="B218" s="10" t="str">
        <f>IFERROR(__xludf.DUMMYFUNCTION("""COMPUTED_VALUE"""),"Muhammad Abu Bakar")</f>
        <v>Muhammad Abu Bakar</v>
      </c>
      <c r="C218" s="10" t="str">
        <f>IFERROR(__xludf.DUMMYFUNCTION("""COMPUTED_VALUE"""),"03420642165")</f>
        <v>03420642165</v>
      </c>
      <c r="D218" s="10" t="str">
        <f>IFERROR(__xludf.DUMMYFUNCTION("""COMPUTED_VALUE"""),"Jamia Masjid siddique e Akbar")</f>
        <v>Jamia Masjid siddique e Akbar</v>
      </c>
      <c r="E218" s="10" t="str">
        <f>IFERROR(__xludf.DUMMYFUNCTION("""COMPUTED_VALUE"""),"HOMVR ")</f>
        <v>HOMVR </v>
      </c>
      <c r="F218" s="10">
        <f>IFERROR(__xludf.DUMMYFUNCTION("""COMPUTED_VALUE"""),75.0)</f>
        <v>75</v>
      </c>
      <c r="G218" s="10">
        <f>IFERROR(__xludf.DUMMYFUNCTION("""COMPUTED_VALUE"""),9.0)</f>
        <v>9</v>
      </c>
      <c r="H218" s="10">
        <f>IFERROR(__xludf.DUMMYFUNCTION("""COMPUTED_VALUE"""),9.0)</f>
        <v>9</v>
      </c>
      <c r="I218" s="10" t="str">
        <f>IFERROR(__xludf.DUMMYFUNCTION("""COMPUTED_VALUE"""),"No")</f>
        <v>No</v>
      </c>
      <c r="J218" s="10">
        <f>IFERROR(__xludf.DUMMYFUNCTION("""COMPUTED_VALUE"""),1960.0)</f>
        <v>1960</v>
      </c>
      <c r="K218" s="10" t="str">
        <f>IFERROR(__xludf.DUMMYFUNCTION("""COMPUTED_VALUE"""),"No")</f>
        <v>No</v>
      </c>
      <c r="L218" s="10" t="str">
        <f>IFERROR(__xludf.DUMMYFUNCTION("""COMPUTED_VALUE"""),"No")</f>
        <v>No</v>
      </c>
      <c r="M218" s="10">
        <f>IFERROR(__xludf.DUMMYFUNCTION("""COMPUTED_VALUE"""),9.0)</f>
        <v>9</v>
      </c>
      <c r="N218" s="10" t="str">
        <f>IFERROR(__xludf.DUMMYFUNCTION("""COMPUTED_VALUE"""),"Yes")</f>
        <v>Yes</v>
      </c>
      <c r="O218" s="323">
        <f>IFERROR(__xludf.DUMMYFUNCTION("""COMPUTED_VALUE"""),0.8)</f>
        <v>0.8</v>
      </c>
      <c r="P218" s="10">
        <f>IFERROR(__xludf.DUMMYFUNCTION("""COMPUTED_VALUE"""),8.0)</f>
        <v>8</v>
      </c>
      <c r="Q218" s="10">
        <f>IFERROR(__xludf.DUMMYFUNCTION("""COMPUTED_VALUE"""),2.0)</f>
        <v>2</v>
      </c>
      <c r="R218" s="10">
        <f>IFERROR(__xludf.DUMMYFUNCTION("""COMPUTED_VALUE"""),9.0)</f>
        <v>9</v>
      </c>
      <c r="S218" s="18" t="str">
        <f>IFERROR(__xludf.DUMMYFUNCTION("""COMPUTED_VALUE"""),"https://drive.google.com/open?id=1PmRM0Hp7ODp-HiAjKA2B_CMCXknbX505")</f>
        <v>https://drive.google.com/open?id=1PmRM0Hp7ODp-HiAjKA2B_CMCXknbX505</v>
      </c>
      <c r="T218" s="18" t="str">
        <f>IFERROR(__xludf.DUMMYFUNCTION("""COMPUTED_VALUE"""),"https://drive.google.com/open?id=1W7AnWVCIaistOlIOJ9W-BcX1vZZJ-zFW")</f>
        <v>https://drive.google.com/open?id=1W7AnWVCIaistOlIOJ9W-BcX1vZZJ-zFW</v>
      </c>
      <c r="U218" s="10" t="str">
        <f>IFERROR(__xludf.DUMMYFUNCTION("""COMPUTED_VALUE"""),"https://drive.google.com/open?id=1EGWT-7Ouqv7eQgPxyi_Vm4wt88RiWNMX, https://drive.google.com/open?id=1ey4769qEKRE2o0NqayHKSgD7XeD9PhQc")</f>
        <v>https://drive.google.com/open?id=1EGWT-7Ouqv7eQgPxyi_Vm4wt88RiWNMX, https://drive.google.com/open?id=1ey4769qEKRE2o0NqayHKSgD7XeD9PhQc</v>
      </c>
      <c r="V218" s="10" t="str">
        <f>IFERROR(__xludf.DUMMYFUNCTION("""COMPUTED_VALUE"""),"No")</f>
        <v>No</v>
      </c>
      <c r="W218" s="10"/>
      <c r="X218" s="10" t="str">
        <f>IFERROR(__xludf.DUMMYFUNCTION("""COMPUTED_VALUE"""),"Yes")</f>
        <v>Yes</v>
      </c>
      <c r="Y218" s="14" t="str">
        <f>IFERROR(__xludf.DUMMYFUNCTION("""COMPUTED_VALUE"""),"abub55768@gmail.com")</f>
        <v>abub55768@gmail.com</v>
      </c>
      <c r="AA218" s="325">
        <v>2.0</v>
      </c>
    </row>
    <row r="219" hidden="1">
      <c r="A219" s="9">
        <f>IFERROR(__xludf.DUMMYFUNCTION("""COMPUTED_VALUE"""),45779.48274346065)</f>
        <v>45779.48274</v>
      </c>
      <c r="B219" s="10" t="str">
        <f>IFERROR(__xludf.DUMMYFUNCTION("""COMPUTED_VALUE"""),"Awaid")</f>
        <v>Awaid</v>
      </c>
      <c r="C219" s="10" t="str">
        <f>IFERROR(__xludf.DUMMYFUNCTION("""COMPUTED_VALUE"""),"03206556691")</f>
        <v>03206556691</v>
      </c>
      <c r="D219" s="10" t="str">
        <f>IFERROR(__xludf.DUMMYFUNCTION("""COMPUTED_VALUE"""),"Jamia masjid company Bagh sargodha")</f>
        <v>Jamia masjid company Bagh sargodha</v>
      </c>
      <c r="E219" s="10" t="str">
        <f>IFERROR(__xludf.DUMMYFUNCTION("""COMPUTED_VALUE"""),"LMDFN")</f>
        <v>LMDFN</v>
      </c>
      <c r="F219" s="10">
        <f>IFERROR(__xludf.DUMMYFUNCTION("""COMPUTED_VALUE"""),1000.0)</f>
        <v>1000</v>
      </c>
      <c r="G219" s="10">
        <f>IFERROR(__xludf.DUMMYFUNCTION("""COMPUTED_VALUE"""),10.0)</f>
        <v>10</v>
      </c>
      <c r="H219" s="10">
        <f>IFERROR(__xludf.DUMMYFUNCTION("""COMPUTED_VALUE"""),8.0)</f>
        <v>8</v>
      </c>
      <c r="I219" s="10">
        <f>IFERROR(__xludf.DUMMYFUNCTION("""COMPUTED_VALUE"""),0.0)</f>
        <v>0</v>
      </c>
      <c r="J219" s="10" t="str">
        <f>IFERROR(__xludf.DUMMYFUNCTION("""COMPUTED_VALUE"""),"No")</f>
        <v>No</v>
      </c>
      <c r="K219" s="10" t="str">
        <f>IFERROR(__xludf.DUMMYFUNCTION("""COMPUTED_VALUE"""),"No")</f>
        <v>No</v>
      </c>
      <c r="L219" s="10" t="str">
        <f>IFERROR(__xludf.DUMMYFUNCTION("""COMPUTED_VALUE"""),"Pir Hakim Ali shah")</f>
        <v>Pir Hakim Ali shah</v>
      </c>
      <c r="M219" s="10">
        <f>IFERROR(__xludf.DUMMYFUNCTION("""COMPUTED_VALUE"""),8.0)</f>
        <v>8</v>
      </c>
      <c r="N219" s="10" t="str">
        <f>IFERROR(__xludf.DUMMYFUNCTION("""COMPUTED_VALUE"""),"No")</f>
        <v>No</v>
      </c>
      <c r="O219" s="10"/>
      <c r="P219" s="10"/>
      <c r="Q219" s="10"/>
      <c r="R219" s="10"/>
      <c r="S219" s="18" t="str">
        <f>IFERROR(__xludf.DUMMYFUNCTION("""COMPUTED_VALUE"""),"https://drive.google.com/open?id=1nAnJVI59rc1gvUcdOQvLrognh9msnDq8")</f>
        <v>https://drive.google.com/open?id=1nAnJVI59rc1gvUcdOQvLrognh9msnDq8</v>
      </c>
      <c r="T219" s="18" t="str">
        <f>IFERROR(__xludf.DUMMYFUNCTION("""COMPUTED_VALUE"""),"https://drive.google.com/open?id=1EH8Rno9C-NygMGf4aoFjOEBgxsHyRvbz")</f>
        <v>https://drive.google.com/open?id=1EH8Rno9C-NygMGf4aoFjOEBgxsHyRvbz</v>
      </c>
      <c r="U219" s="18" t="str">
        <f>IFERROR(__xludf.DUMMYFUNCTION("""COMPUTED_VALUE"""),"https://drive.google.com/open?id=1QqzLwtK9R-gxHlma3nm7z0JjMaS_7arW")</f>
        <v>https://drive.google.com/open?id=1QqzLwtK9R-gxHlma3nm7z0JjMaS_7arW</v>
      </c>
      <c r="V219" s="10" t="str">
        <f>IFERROR(__xludf.DUMMYFUNCTION("""COMPUTED_VALUE"""),"No")</f>
        <v>No</v>
      </c>
      <c r="W219" s="10"/>
      <c r="X219" s="10"/>
      <c r="Y219" s="14" t="str">
        <f>IFERROR(__xludf.DUMMYFUNCTION("""COMPUTED_VALUE"""),"aleenaakram@gmail.com")</f>
        <v>aleenaakram@gmail.com</v>
      </c>
      <c r="AA219" s="325">
        <v>1.0</v>
      </c>
    </row>
    <row r="220" hidden="1">
      <c r="A220" s="9">
        <f>IFERROR(__xludf.DUMMYFUNCTION("""COMPUTED_VALUE"""),45779.48297557871)</f>
        <v>45779.48298</v>
      </c>
      <c r="B220" s="10" t="str">
        <f>IFERROR(__xludf.DUMMYFUNCTION("""COMPUTED_VALUE"""),"Amjad javed ")</f>
        <v>Amjad javed </v>
      </c>
      <c r="C220" s="10" t="str">
        <f>IFERROR(__xludf.DUMMYFUNCTION("""COMPUTED_VALUE"""),"03094647217")</f>
        <v>03094647217</v>
      </c>
      <c r="D220" s="10" t="str">
        <f>IFERROR(__xludf.DUMMYFUNCTION("""COMPUTED_VALUE"""),"Dabar botay sha")</f>
        <v>Dabar botay sha</v>
      </c>
      <c r="E220" s="10" t="str">
        <f>IFERROR(__xludf.DUMMYFUNCTION("""COMPUTED_VALUE"""),"BJLNR")</f>
        <v>BJLNR</v>
      </c>
      <c r="F220" s="10">
        <f>IFERROR(__xludf.DUMMYFUNCTION("""COMPUTED_VALUE"""),27.0)</f>
        <v>27</v>
      </c>
      <c r="G220" s="10">
        <f>IFERROR(__xludf.DUMMYFUNCTION("""COMPUTED_VALUE"""),5.0)</f>
        <v>5</v>
      </c>
      <c r="H220" s="10">
        <f>IFERROR(__xludf.DUMMYFUNCTION("""COMPUTED_VALUE"""),5.0)</f>
        <v>5</v>
      </c>
      <c r="I220" s="10">
        <f>IFERROR(__xludf.DUMMYFUNCTION("""COMPUTED_VALUE"""),3.0)</f>
        <v>3</v>
      </c>
      <c r="J220" s="10" t="str">
        <f>IFERROR(__xludf.DUMMYFUNCTION("""COMPUTED_VALUE"""),"No")</f>
        <v>No</v>
      </c>
      <c r="K220" s="10" t="str">
        <f>IFERROR(__xludf.DUMMYFUNCTION("""COMPUTED_VALUE"""),"No")</f>
        <v>No</v>
      </c>
      <c r="L220" s="10" t="str">
        <f>IFERROR(__xludf.DUMMYFUNCTION("""COMPUTED_VALUE"""),"Darbar boty sha")</f>
        <v>Darbar boty sha</v>
      </c>
      <c r="M220" s="10">
        <f>IFERROR(__xludf.DUMMYFUNCTION("""COMPUTED_VALUE"""),9.0)</f>
        <v>9</v>
      </c>
      <c r="N220" s="10" t="str">
        <f>IFERROR(__xludf.DUMMYFUNCTION("""COMPUTED_VALUE"""),"Yes")</f>
        <v>Yes</v>
      </c>
      <c r="O220" s="323">
        <f>IFERROR(__xludf.DUMMYFUNCTION("""COMPUTED_VALUE"""),1.0)</f>
        <v>1</v>
      </c>
      <c r="P220" s="10">
        <f>IFERROR(__xludf.DUMMYFUNCTION("""COMPUTED_VALUE"""),10.0)</f>
        <v>10</v>
      </c>
      <c r="Q220" s="10">
        <f>IFERROR(__xludf.DUMMYFUNCTION("""COMPUTED_VALUE"""),2.0)</f>
        <v>2</v>
      </c>
      <c r="R220" s="10">
        <f>IFERROR(__xludf.DUMMYFUNCTION("""COMPUTED_VALUE"""),10.0)</f>
        <v>10</v>
      </c>
      <c r="S220" s="18" t="str">
        <f>IFERROR(__xludf.DUMMYFUNCTION("""COMPUTED_VALUE"""),"https://drive.google.com/open?id=1CGMrpivhFuBosObOYVsmztqFEIImh0ZP")</f>
        <v>https://drive.google.com/open?id=1CGMrpivhFuBosObOYVsmztqFEIImh0ZP</v>
      </c>
      <c r="T220" s="18" t="str">
        <f>IFERROR(__xludf.DUMMYFUNCTION("""COMPUTED_VALUE"""),"https://drive.google.com/open?id=1Z1g-jwYjIZKT50gf5Jip12d276C12nyd")</f>
        <v>https://drive.google.com/open?id=1Z1g-jwYjIZKT50gf5Jip12d276C12nyd</v>
      </c>
      <c r="U220" s="18" t="str">
        <f>IFERROR(__xludf.DUMMYFUNCTION("""COMPUTED_VALUE"""),"https://drive.google.com/open?id=1iA7fzouz417pdevo4UlU74pYHsAQHMCx")</f>
        <v>https://drive.google.com/open?id=1iA7fzouz417pdevo4UlU74pYHsAQHMCx</v>
      </c>
      <c r="V220" s="10" t="str">
        <f>IFERROR(__xludf.DUMMYFUNCTION("""COMPUTED_VALUE"""),"No")</f>
        <v>No</v>
      </c>
      <c r="W220" s="10"/>
      <c r="X220" s="10" t="str">
        <f>IFERROR(__xludf.DUMMYFUNCTION("""COMPUTED_VALUE"""),"Yes")</f>
        <v>Yes</v>
      </c>
      <c r="Y220" s="14" t="str">
        <f>IFERROR(__xludf.DUMMYFUNCTION("""COMPUTED_VALUE"""),"ranaamjedjaved215@gmail.com")</f>
        <v>ranaamjedjaved215@gmail.com</v>
      </c>
      <c r="AA220" s="325">
        <v>2.0</v>
      </c>
    </row>
    <row r="221" hidden="1">
      <c r="A221" s="9">
        <f>IFERROR(__xludf.DUMMYFUNCTION("""COMPUTED_VALUE"""),45779.48841571759)</f>
        <v>45779.48842</v>
      </c>
      <c r="B221" s="10" t="str">
        <f>IFERROR(__xludf.DUMMYFUNCTION("""COMPUTED_VALUE"""),"Amjad JAVED ")</f>
        <v>Amjad JAVED </v>
      </c>
      <c r="C221" s="10" t="str">
        <f>IFERROR(__xludf.DUMMYFUNCTION("""COMPUTED_VALUE"""),"03706058110")</f>
        <v>03706058110</v>
      </c>
      <c r="D221" s="10" t="str">
        <f>IFERROR(__xludf.DUMMYFUNCTION("""COMPUTED_VALUE"""),"Molve Muhammad husain wali Urdu Bazar gujranwala ")</f>
        <v>Molve Muhammad husain wali Urdu Bazar gujranwala </v>
      </c>
      <c r="E221" s="10" t="str">
        <f>IFERROR(__xludf.DUMMYFUNCTION("""COMPUTED_VALUE"""),"CCXYI")</f>
        <v>CCXYI</v>
      </c>
      <c r="F221" s="10">
        <f>IFERROR(__xludf.DUMMYFUNCTION("""COMPUTED_VALUE"""),150.0)</f>
        <v>150</v>
      </c>
      <c r="G221" s="10">
        <f>IFERROR(__xludf.DUMMYFUNCTION("""COMPUTED_VALUE"""),9.0)</f>
        <v>9</v>
      </c>
      <c r="H221" s="10">
        <f>IFERROR(__xludf.DUMMYFUNCTION("""COMPUTED_VALUE"""),9.0)</f>
        <v>9</v>
      </c>
      <c r="I221" s="10">
        <f>IFERROR(__xludf.DUMMYFUNCTION("""COMPUTED_VALUE"""),0.0)</f>
        <v>0</v>
      </c>
      <c r="J221" s="10" t="str">
        <f>IFERROR(__xludf.DUMMYFUNCTION("""COMPUTED_VALUE"""),"No")</f>
        <v>No</v>
      </c>
      <c r="K221" s="10" t="str">
        <f>IFERROR(__xludf.DUMMYFUNCTION("""COMPUTED_VALUE"""),"No")</f>
        <v>No</v>
      </c>
      <c r="L221" s="10" t="str">
        <f>IFERROR(__xludf.DUMMYFUNCTION("""COMPUTED_VALUE"""),"No")</f>
        <v>No</v>
      </c>
      <c r="M221" s="10">
        <f>IFERROR(__xludf.DUMMYFUNCTION("""COMPUTED_VALUE"""),10.0)</f>
        <v>10</v>
      </c>
      <c r="N221" s="10" t="str">
        <f>IFERROR(__xludf.DUMMYFUNCTION("""COMPUTED_VALUE"""),"Yes")</f>
        <v>Yes</v>
      </c>
      <c r="O221" s="323">
        <f>IFERROR(__xludf.DUMMYFUNCTION("""COMPUTED_VALUE"""),1.0)</f>
        <v>1</v>
      </c>
      <c r="P221" s="10">
        <f>IFERROR(__xludf.DUMMYFUNCTION("""COMPUTED_VALUE"""),3.0)</f>
        <v>3</v>
      </c>
      <c r="Q221" s="10">
        <f>IFERROR(__xludf.DUMMYFUNCTION("""COMPUTED_VALUE"""),10.0)</f>
        <v>10</v>
      </c>
      <c r="R221" s="10">
        <f>IFERROR(__xludf.DUMMYFUNCTION("""COMPUTED_VALUE"""),10.0)</f>
        <v>10</v>
      </c>
      <c r="S221" s="18" t="str">
        <f>IFERROR(__xludf.DUMMYFUNCTION("""COMPUTED_VALUE"""),"https://drive.google.com/open?id=1bd9xJOAviT2nPUNTvxJOdatfEwhWfRZL")</f>
        <v>https://drive.google.com/open?id=1bd9xJOAviT2nPUNTvxJOdatfEwhWfRZL</v>
      </c>
      <c r="T221" s="18" t="str">
        <f>IFERROR(__xludf.DUMMYFUNCTION("""COMPUTED_VALUE"""),"https://drive.google.com/open?id=1oV2qTp36fBK6pYsWGf9sVe8gu0yQpKsu")</f>
        <v>https://drive.google.com/open?id=1oV2qTp36fBK6pYsWGf9sVe8gu0yQpKsu</v>
      </c>
      <c r="U221" s="18" t="str">
        <f>IFERROR(__xludf.DUMMYFUNCTION("""COMPUTED_VALUE"""),"https://drive.google.com/open?id=1B4Lq_61jZ_c93N0vxrOaHaWzJlXymyjh")</f>
        <v>https://drive.google.com/open?id=1B4Lq_61jZ_c93N0vxrOaHaWzJlXymyjh</v>
      </c>
      <c r="V221" s="10" t="str">
        <f>IFERROR(__xludf.DUMMYFUNCTION("""COMPUTED_VALUE"""),"No")</f>
        <v>No</v>
      </c>
      <c r="W221" s="10"/>
      <c r="X221" s="10" t="str">
        <f>IFERROR(__xludf.DUMMYFUNCTION("""COMPUTED_VALUE"""),"Yes")</f>
        <v>Yes</v>
      </c>
      <c r="Y221" s="14" t="str">
        <f>IFERROR(__xludf.DUMMYFUNCTION("""COMPUTED_VALUE"""),"amjadjaved215@gmail.com")</f>
        <v>amjadjaved215@gmail.com</v>
      </c>
      <c r="AA221" s="325">
        <v>2.0</v>
      </c>
    </row>
    <row r="222" hidden="1">
      <c r="A222" s="9">
        <f>IFERROR(__xludf.DUMMYFUNCTION("""COMPUTED_VALUE"""),45779.49305704861)</f>
        <v>45779.49306</v>
      </c>
      <c r="B222" s="10" t="str">
        <f>IFERROR(__xludf.DUMMYFUNCTION("""COMPUTED_VALUE"""),"Amjad javed ")</f>
        <v>Amjad javed </v>
      </c>
      <c r="C222" s="10" t="str">
        <f>IFERROR(__xludf.DUMMYFUNCTION("""COMPUTED_VALUE"""),"03094647215")</f>
        <v>03094647215</v>
      </c>
      <c r="D222" s="10" t="str">
        <f>IFERROR(__xludf.DUMMYFUNCTION("""COMPUTED_VALUE"""),"Dhonkal chila gha sakhi sarwer")</f>
        <v>Dhonkal chila gha sakhi sarwer</v>
      </c>
      <c r="E222" s="10" t="str">
        <f>IFERROR(__xludf.DUMMYFUNCTION("""COMPUTED_VALUE"""),"CVXRS")</f>
        <v>CVXRS</v>
      </c>
      <c r="F222" s="10">
        <f>IFERROR(__xludf.DUMMYFUNCTION("""COMPUTED_VALUE"""),90.0)</f>
        <v>90</v>
      </c>
      <c r="G222" s="10">
        <f>IFERROR(__xludf.DUMMYFUNCTION("""COMPUTED_VALUE"""),9.0)</f>
        <v>9</v>
      </c>
      <c r="H222" s="10">
        <f>IFERROR(__xludf.DUMMYFUNCTION("""COMPUTED_VALUE"""),9.0)</f>
        <v>9</v>
      </c>
      <c r="I222" s="10">
        <f>IFERROR(__xludf.DUMMYFUNCTION("""COMPUTED_VALUE"""),0.0)</f>
        <v>0</v>
      </c>
      <c r="J222" s="10" t="str">
        <f>IFERROR(__xludf.DUMMYFUNCTION("""COMPUTED_VALUE"""),"No")</f>
        <v>No</v>
      </c>
      <c r="K222" s="10" t="str">
        <f>IFERROR(__xludf.DUMMYFUNCTION("""COMPUTED_VALUE"""),"No")</f>
        <v>No</v>
      </c>
      <c r="L222" s="10" t="str">
        <f>IFERROR(__xludf.DUMMYFUNCTION("""COMPUTED_VALUE"""),"Shaki sarwer chila ga")</f>
        <v>Shaki sarwer chila ga</v>
      </c>
      <c r="M222" s="10">
        <f>IFERROR(__xludf.DUMMYFUNCTION("""COMPUTED_VALUE"""),9.0)</f>
        <v>9</v>
      </c>
      <c r="N222" s="10" t="str">
        <f>IFERROR(__xludf.DUMMYFUNCTION("""COMPUTED_VALUE"""),"Yes")</f>
        <v>Yes</v>
      </c>
      <c r="O222" s="323">
        <f>IFERROR(__xludf.DUMMYFUNCTION("""COMPUTED_VALUE"""),1.0)</f>
        <v>1</v>
      </c>
      <c r="P222" s="10">
        <f>IFERROR(__xludf.DUMMYFUNCTION("""COMPUTED_VALUE"""),9.0)</f>
        <v>9</v>
      </c>
      <c r="Q222" s="10">
        <f>IFERROR(__xludf.DUMMYFUNCTION("""COMPUTED_VALUE"""),10.0)</f>
        <v>10</v>
      </c>
      <c r="R222" s="10">
        <f>IFERROR(__xludf.DUMMYFUNCTION("""COMPUTED_VALUE"""),10.0)</f>
        <v>10</v>
      </c>
      <c r="S222" s="18" t="str">
        <f>IFERROR(__xludf.DUMMYFUNCTION("""COMPUTED_VALUE"""),"https://drive.google.com/open?id=1LAonl7Ss_zIjAuZG5zN7IziQg0Fo7RG0")</f>
        <v>https://drive.google.com/open?id=1LAonl7Ss_zIjAuZG5zN7IziQg0Fo7RG0</v>
      </c>
      <c r="T222" s="18" t="str">
        <f>IFERROR(__xludf.DUMMYFUNCTION("""COMPUTED_VALUE"""),"https://drive.google.com/open?id=1NdaZdj5bBZbJ2yWEp5eI8RJHEXxCAExR")</f>
        <v>https://drive.google.com/open?id=1NdaZdj5bBZbJ2yWEp5eI8RJHEXxCAExR</v>
      </c>
      <c r="U222" s="18" t="str">
        <f>IFERROR(__xludf.DUMMYFUNCTION("""COMPUTED_VALUE"""),"https://drive.google.com/open?id=1ahhQjHRgDocUArHUFqmZKZqDCIdxOGM8")</f>
        <v>https://drive.google.com/open?id=1ahhQjHRgDocUArHUFqmZKZqDCIdxOGM8</v>
      </c>
      <c r="V222" s="10" t="str">
        <f>IFERROR(__xludf.DUMMYFUNCTION("""COMPUTED_VALUE"""),"No")</f>
        <v>No</v>
      </c>
      <c r="W222" s="10"/>
      <c r="X222" s="10" t="str">
        <f>IFERROR(__xludf.DUMMYFUNCTION("""COMPUTED_VALUE"""),"Yes")</f>
        <v>Yes</v>
      </c>
      <c r="Y222" s="14" t="str">
        <f>IFERROR(__xludf.DUMMYFUNCTION("""COMPUTED_VALUE"""),"amjadjaved215@gmail.com")</f>
        <v>amjadjaved215@gmail.com</v>
      </c>
      <c r="AA222" s="325">
        <v>3.0</v>
      </c>
    </row>
    <row r="223" hidden="1">
      <c r="A223" s="9">
        <f>IFERROR(__xludf.DUMMYFUNCTION("""COMPUTED_VALUE"""),45779.50741276621)</f>
        <v>45779.50741</v>
      </c>
      <c r="B223" s="10" t="str">
        <f>IFERROR(__xludf.DUMMYFUNCTION("""COMPUTED_VALUE"""),"Muhammad Tahir ")</f>
        <v>Muhammad Tahir </v>
      </c>
      <c r="C223" s="10" t="str">
        <f>IFERROR(__xludf.DUMMYFUNCTION("""COMPUTED_VALUE"""),"0315-4165034 ")</f>
        <v>0315-4165034 </v>
      </c>
      <c r="D223" s="10" t="str">
        <f>IFERROR(__xludf.DUMMYFUNCTION("""COMPUTED_VALUE"""),"Masjid Syedna Abubakar Siddique Gumti Bazar ")</f>
        <v>Masjid Syedna Abubakar Siddique Gumti Bazar </v>
      </c>
      <c r="E223" s="10" t="str">
        <f>IFERROR(__xludf.DUMMYFUNCTION("""COMPUTED_VALUE"""),"ptnjj")</f>
        <v>ptnjj</v>
      </c>
      <c r="F223" s="10">
        <f>IFERROR(__xludf.DUMMYFUNCTION("""COMPUTED_VALUE"""),250.0)</f>
        <v>250</v>
      </c>
      <c r="G223" s="10">
        <f>IFERROR(__xludf.DUMMYFUNCTION("""COMPUTED_VALUE"""),7.0)</f>
        <v>7</v>
      </c>
      <c r="H223" s="10">
        <f>IFERROR(__xludf.DUMMYFUNCTION("""COMPUTED_VALUE"""),8.0)</f>
        <v>8</v>
      </c>
      <c r="I223" s="10">
        <f>IFERROR(__xludf.DUMMYFUNCTION("""COMPUTED_VALUE"""),0.0)</f>
        <v>0</v>
      </c>
      <c r="J223" s="10">
        <f>IFERROR(__xludf.DUMMYFUNCTION("""COMPUTED_VALUE"""),1965.0)</f>
        <v>1965</v>
      </c>
      <c r="K223" s="10" t="str">
        <f>IFERROR(__xludf.DUMMYFUNCTION("""COMPUTED_VALUE"""),"No")</f>
        <v>No</v>
      </c>
      <c r="L223" s="10" t="str">
        <f>IFERROR(__xludf.DUMMYFUNCTION("""COMPUTED_VALUE"""),"Na")</f>
        <v>Na</v>
      </c>
      <c r="M223" s="10">
        <f>IFERROR(__xludf.DUMMYFUNCTION("""COMPUTED_VALUE"""),10.0)</f>
        <v>10</v>
      </c>
      <c r="N223" s="10" t="str">
        <f>IFERROR(__xludf.DUMMYFUNCTION("""COMPUTED_VALUE"""),"No")</f>
        <v>No</v>
      </c>
      <c r="O223" s="10"/>
      <c r="P223" s="10"/>
      <c r="Q223" s="10"/>
      <c r="R223" s="10"/>
      <c r="S223" s="18" t="str">
        <f>IFERROR(__xludf.DUMMYFUNCTION("""COMPUTED_VALUE"""),"https://drive.google.com/open?id=1esu1ykZthDvAL3qrhyn39LmhcV7WY_kX")</f>
        <v>https://drive.google.com/open?id=1esu1ykZthDvAL3qrhyn39LmhcV7WY_kX</v>
      </c>
      <c r="T223" s="10" t="str">
        <f>IFERROR(__xludf.DUMMYFUNCTION("""COMPUTED_VALUE"""),"https://drive.google.com/open?id=1iJyE5z_fNr4eAZIGYgjyy5BDyOUHDmoy, https://drive.google.com/open?id=1Xg1P0kqOyHyylIGEDuRykvYoEaFffaFt, https://drive.google.com/open?id=1YXR6Uc80d7edQ6jAQ7F6-XWBhh5N9QLq")</f>
        <v>https://drive.google.com/open?id=1iJyE5z_fNr4eAZIGYgjyy5BDyOUHDmoy, https://drive.google.com/open?id=1Xg1P0kqOyHyylIGEDuRykvYoEaFffaFt, https://drive.google.com/open?id=1YXR6Uc80d7edQ6jAQ7F6-XWBhh5N9QLq</v>
      </c>
      <c r="U223" s="18" t="str">
        <f>IFERROR(__xludf.DUMMYFUNCTION("""COMPUTED_VALUE"""),"https://drive.google.com/open?id=1weynkTrBVdWY2Y-gJehrckdGd9AJ8iz6")</f>
        <v>https://drive.google.com/open?id=1weynkTrBVdWY2Y-gJehrckdGd9AJ8iz6</v>
      </c>
      <c r="V223" s="10" t="str">
        <f>IFERROR(__xludf.DUMMYFUNCTION("""COMPUTED_VALUE"""),"NA")</f>
        <v>NA</v>
      </c>
      <c r="W223" s="10"/>
      <c r="X223" s="10"/>
      <c r="Y223" s="14" t="str">
        <f>IFERROR(__xludf.DUMMYFUNCTION("""COMPUTED_VALUE"""),"tahirdaudi55@gmail.com")</f>
        <v>tahirdaudi55@gmail.com</v>
      </c>
      <c r="AA223" s="325">
        <v>3.0</v>
      </c>
    </row>
    <row r="224" hidden="1">
      <c r="A224" s="9">
        <f>IFERROR(__xludf.DUMMYFUNCTION("""COMPUTED_VALUE"""),45779.52970396991)</f>
        <v>45779.5297</v>
      </c>
      <c r="B224" s="10" t="str">
        <f>IFERROR(__xludf.DUMMYFUNCTION("""COMPUTED_VALUE"""),"Zulqarnain hassan ")</f>
        <v>Zulqarnain hassan </v>
      </c>
      <c r="C224" s="10" t="str">
        <f>IFERROR(__xludf.DUMMYFUNCTION("""COMPUTED_VALUE"""),"03071412621")</f>
        <v>03071412621</v>
      </c>
      <c r="D224" s="10" t="str">
        <f>IFERROR(__xludf.DUMMYFUNCTION("""COMPUTED_VALUE"""),"JAMIA MASJID UCHI LAHORI GATE ")</f>
        <v>JAMIA MASJID UCHI LAHORI GATE </v>
      </c>
      <c r="E224" s="10" t="str">
        <f>IFERROR(__xludf.DUMMYFUNCTION("""COMPUTED_VALUE"""),"SPHKK")</f>
        <v>SPHKK</v>
      </c>
      <c r="F224" s="10">
        <f>IFERROR(__xludf.DUMMYFUNCTION("""COMPUTED_VALUE"""),270.0)</f>
        <v>270</v>
      </c>
      <c r="G224" s="10">
        <f>IFERROR(__xludf.DUMMYFUNCTION("""COMPUTED_VALUE"""),10.0)</f>
        <v>10</v>
      </c>
      <c r="H224" s="10">
        <f>IFERROR(__xludf.DUMMYFUNCTION("""COMPUTED_VALUE"""),10.0)</f>
        <v>10</v>
      </c>
      <c r="I224" s="10" t="str">
        <f>IFERROR(__xludf.DUMMYFUNCTION("""COMPUTED_VALUE"""),"No")</f>
        <v>No</v>
      </c>
      <c r="J224" s="10">
        <f>IFERROR(__xludf.DUMMYFUNCTION("""COMPUTED_VALUE"""),1970.0)</f>
        <v>1970</v>
      </c>
      <c r="K224" s="10" t="str">
        <f>IFERROR(__xludf.DUMMYFUNCTION("""COMPUTED_VALUE"""),"No")</f>
        <v>No</v>
      </c>
      <c r="L224" s="10" t="str">
        <f>IFERROR(__xludf.DUMMYFUNCTION("""COMPUTED_VALUE"""),"No")</f>
        <v>No</v>
      </c>
      <c r="M224" s="10">
        <f>IFERROR(__xludf.DUMMYFUNCTION("""COMPUTED_VALUE"""),8.0)</f>
        <v>8</v>
      </c>
      <c r="N224" s="10" t="str">
        <f>IFERROR(__xludf.DUMMYFUNCTION("""COMPUTED_VALUE"""),"Yes")</f>
        <v>Yes</v>
      </c>
      <c r="O224" s="323">
        <f>IFERROR(__xludf.DUMMYFUNCTION("""COMPUTED_VALUE"""),0.8)</f>
        <v>0.8</v>
      </c>
      <c r="P224" s="10">
        <f>IFERROR(__xludf.DUMMYFUNCTION("""COMPUTED_VALUE"""),6.0)</f>
        <v>6</v>
      </c>
      <c r="Q224" s="10">
        <f>IFERROR(__xludf.DUMMYFUNCTION("""COMPUTED_VALUE"""),3.0)</f>
        <v>3</v>
      </c>
      <c r="R224" s="10">
        <f>IFERROR(__xludf.DUMMYFUNCTION("""COMPUTED_VALUE"""),8.0)</f>
        <v>8</v>
      </c>
      <c r="S224" s="18" t="str">
        <f>IFERROR(__xludf.DUMMYFUNCTION("""COMPUTED_VALUE"""),"https://drive.google.com/open?id=1ouYf474Uh1hzfrbDvEcR-Wqhvompfuj9")</f>
        <v>https://drive.google.com/open?id=1ouYf474Uh1hzfrbDvEcR-Wqhvompfuj9</v>
      </c>
      <c r="T224" s="18" t="str">
        <f>IFERROR(__xludf.DUMMYFUNCTION("""COMPUTED_VALUE"""),"https://drive.google.com/open?id=1Fz0ucbet9pCIzZytXewMCbwQcrWCjaIs")</f>
        <v>https://drive.google.com/open?id=1Fz0ucbet9pCIzZytXewMCbwQcrWCjaIs</v>
      </c>
      <c r="U224" s="18" t="str">
        <f>IFERROR(__xludf.DUMMYFUNCTION("""COMPUTED_VALUE"""),"https://drive.google.com/open?id=1LvN7HmVwDvTuNOPBUNyFjKubq94HTSHZ")</f>
        <v>https://drive.google.com/open?id=1LvN7HmVwDvTuNOPBUNyFjKubq94HTSHZ</v>
      </c>
      <c r="V224" s="10"/>
      <c r="W224" s="10"/>
      <c r="X224" s="10" t="str">
        <f>IFERROR(__xludf.DUMMYFUNCTION("""COMPUTED_VALUE"""),"Yes")</f>
        <v>Yes</v>
      </c>
      <c r="Y224" s="14" t="str">
        <f>IFERROR(__xludf.DUMMYFUNCTION("""COMPUTED_VALUE"""),"zulqarnainhassan43@gmail.com")</f>
        <v>zulqarnainhassan43@gmail.com</v>
      </c>
      <c r="AA224" s="325">
        <v>3.0</v>
      </c>
    </row>
    <row r="225" hidden="1">
      <c r="A225" s="9">
        <f>IFERROR(__xludf.DUMMYFUNCTION("""COMPUTED_VALUE"""),45779.64016420139)</f>
        <v>45779.64016</v>
      </c>
      <c r="B225" s="10" t="str">
        <f>IFERROR(__xludf.DUMMYFUNCTION("""COMPUTED_VALUE"""),"Babar Ali")</f>
        <v>Babar Ali</v>
      </c>
      <c r="C225" s="10" t="str">
        <f>IFERROR(__xludf.DUMMYFUNCTION("""COMPUTED_VALUE"""),"03011297393")</f>
        <v>03011297393</v>
      </c>
      <c r="D225" s="10" t="str">
        <f>IFERROR(__xludf.DUMMYFUNCTION("""COMPUTED_VALUE"""),"Jamia masjid hanifia farooqia railway road")</f>
        <v>Jamia masjid hanifia farooqia railway road</v>
      </c>
      <c r="E225" s="10" t="str">
        <f>IFERROR(__xludf.DUMMYFUNCTION("""COMPUTED_VALUE"""),"wvmxf")</f>
        <v>wvmxf</v>
      </c>
      <c r="F225" s="10">
        <f>IFERROR(__xludf.DUMMYFUNCTION("""COMPUTED_VALUE"""),345.0)</f>
        <v>345</v>
      </c>
      <c r="G225" s="10">
        <f>IFERROR(__xludf.DUMMYFUNCTION("""COMPUTED_VALUE"""),7.0)</f>
        <v>7</v>
      </c>
      <c r="H225" s="10">
        <f>IFERROR(__xludf.DUMMYFUNCTION("""COMPUTED_VALUE"""),6.0)</f>
        <v>6</v>
      </c>
      <c r="I225" s="10">
        <f>IFERROR(__xludf.DUMMYFUNCTION("""COMPUTED_VALUE"""),3.0)</f>
        <v>3</v>
      </c>
      <c r="J225" s="10">
        <f>IFERROR(__xludf.DUMMYFUNCTION("""COMPUTED_VALUE"""),1964.0)</f>
        <v>1964</v>
      </c>
      <c r="K225" s="10" t="str">
        <f>IFERROR(__xludf.DUMMYFUNCTION("""COMPUTED_VALUE"""),"No")</f>
        <v>No</v>
      </c>
      <c r="L225" s="10" t="str">
        <f>IFERROR(__xludf.DUMMYFUNCTION("""COMPUTED_VALUE"""),"No")</f>
        <v>No</v>
      </c>
      <c r="M225" s="10">
        <f>IFERROR(__xludf.DUMMYFUNCTION("""COMPUTED_VALUE"""),8.0)</f>
        <v>8</v>
      </c>
      <c r="N225" s="10" t="str">
        <f>IFERROR(__xludf.DUMMYFUNCTION("""COMPUTED_VALUE"""),"No")</f>
        <v>No</v>
      </c>
      <c r="O225" s="10"/>
      <c r="P225" s="10"/>
      <c r="Q225" s="10"/>
      <c r="R225" s="10"/>
      <c r="S225" s="18" t="str">
        <f>IFERROR(__xludf.DUMMYFUNCTION("""COMPUTED_VALUE"""),"https://drive.google.com/open?id=1YDYVbE28kmw658S1x8XIZmWqfjUpOQHr")</f>
        <v>https://drive.google.com/open?id=1YDYVbE28kmw658S1x8XIZmWqfjUpOQHr</v>
      </c>
      <c r="T225" s="18" t="str">
        <f>IFERROR(__xludf.DUMMYFUNCTION("""COMPUTED_VALUE"""),"https://drive.google.com/open?id=1uFUeLHXp-DS1q25tnawmzS6wQMwanh1y")</f>
        <v>https://drive.google.com/open?id=1uFUeLHXp-DS1q25tnawmzS6wQMwanh1y</v>
      </c>
      <c r="U225" s="18" t="str">
        <f>IFERROR(__xludf.DUMMYFUNCTION("""COMPUTED_VALUE"""),"https://drive.google.com/open?id=1q0pdsVdKS5CmiD_IdmjItf1JSpuRlYRr")</f>
        <v>https://drive.google.com/open?id=1q0pdsVdKS5CmiD_IdmjItf1JSpuRlYRr</v>
      </c>
      <c r="V225" s="10"/>
      <c r="W225" s="10"/>
      <c r="X225" s="10"/>
      <c r="Y225" s="14" t="str">
        <f>IFERROR(__xludf.DUMMYFUNCTION("""COMPUTED_VALUE"""),"babarrasheed341@gmail.com")</f>
        <v>babarrasheed341@gmail.com</v>
      </c>
      <c r="AA225" s="325">
        <v>4.0</v>
      </c>
    </row>
    <row r="226" hidden="1">
      <c r="A226" s="9">
        <f>IFERROR(__xludf.DUMMYFUNCTION("""COMPUTED_VALUE"""),45779.64016946759)</f>
        <v>45779.64017</v>
      </c>
      <c r="B226" s="10" t="str">
        <f>IFERROR(__xludf.DUMMYFUNCTION("""COMPUTED_VALUE"""),"Muhammad Saifullah khan")</f>
        <v>Muhammad Saifullah khan</v>
      </c>
      <c r="C226" s="10" t="str">
        <f>IFERROR(__xludf.DUMMYFUNCTION("""COMPUTED_VALUE"""),"03101793850")</f>
        <v>03101793850</v>
      </c>
      <c r="D226" s="10" t="str">
        <f>IFERROR(__xludf.DUMMYFUNCTION("""COMPUTED_VALUE"""),"Markazi jamiya masjid maine bazar khushab")</f>
        <v>Markazi jamiya masjid maine bazar khushab</v>
      </c>
      <c r="E226" s="10" t="str">
        <f>IFERROR(__xludf.DUMMYFUNCTION("""COMPUTED_VALUE"""),"Osgnp")</f>
        <v>Osgnp</v>
      </c>
      <c r="F226" s="10">
        <f>IFERROR(__xludf.DUMMYFUNCTION("""COMPUTED_VALUE"""),1000.0)</f>
        <v>1000</v>
      </c>
      <c r="G226" s="10">
        <f>IFERROR(__xludf.DUMMYFUNCTION("""COMPUTED_VALUE"""),5.0)</f>
        <v>5</v>
      </c>
      <c r="H226" s="10">
        <f>IFERROR(__xludf.DUMMYFUNCTION("""COMPUTED_VALUE"""),5.0)</f>
        <v>5</v>
      </c>
      <c r="I226" s="10">
        <f>IFERROR(__xludf.DUMMYFUNCTION("""COMPUTED_VALUE"""),6.0)</f>
        <v>6</v>
      </c>
      <c r="J226" s="10">
        <f>IFERROR(__xludf.DUMMYFUNCTION("""COMPUTED_VALUE"""),2005.0)</f>
        <v>2005</v>
      </c>
      <c r="K226" s="10" t="str">
        <f>IFERROR(__xludf.DUMMYFUNCTION("""COMPUTED_VALUE"""),"No")</f>
        <v>No</v>
      </c>
      <c r="L226" s="10" t="str">
        <f>IFERROR(__xludf.DUMMYFUNCTION("""COMPUTED_VALUE"""),"No")</f>
        <v>No</v>
      </c>
      <c r="M226" s="10">
        <f>IFERROR(__xludf.DUMMYFUNCTION("""COMPUTED_VALUE"""),10.0)</f>
        <v>10</v>
      </c>
      <c r="N226" s="10" t="str">
        <f>IFERROR(__xludf.DUMMYFUNCTION("""COMPUTED_VALUE"""),"No")</f>
        <v>No</v>
      </c>
      <c r="O226" s="10"/>
      <c r="P226" s="10"/>
      <c r="Q226" s="10"/>
      <c r="R226" s="10"/>
      <c r="S226" s="18" t="str">
        <f>IFERROR(__xludf.DUMMYFUNCTION("""COMPUTED_VALUE"""),"https://drive.google.com/open?id=1RYXeJU5hYf9dGFDY9wzW2SqQo9rvzXei")</f>
        <v>https://drive.google.com/open?id=1RYXeJU5hYf9dGFDY9wzW2SqQo9rvzXei</v>
      </c>
      <c r="T226" s="18" t="str">
        <f>IFERROR(__xludf.DUMMYFUNCTION("""COMPUTED_VALUE"""),"https://drive.google.com/open?id=1VajD54DluhTMyGNpCT8-VqF_YTFcXXyD")</f>
        <v>https://drive.google.com/open?id=1VajD54DluhTMyGNpCT8-VqF_YTFcXXyD</v>
      </c>
      <c r="U226" s="18" t="str">
        <f>IFERROR(__xludf.DUMMYFUNCTION("""COMPUTED_VALUE"""),"https://drive.google.com/open?id=1HBWjKVQoK7jE0CqrV68z4C7hHAjETlzI")</f>
        <v>https://drive.google.com/open?id=1HBWjKVQoK7jE0CqrV68z4C7hHAjETlzI</v>
      </c>
      <c r="V226" s="10"/>
      <c r="W226" s="10"/>
      <c r="X226" s="10"/>
      <c r="Y226" s="14" t="str">
        <f>IFERROR(__xludf.DUMMYFUNCTION("""COMPUTED_VALUE"""),"kmuhammadsaifullah@gmail.com")</f>
        <v>kmuhammadsaifullah@gmail.com</v>
      </c>
      <c r="AA226" s="325">
        <v>3.0</v>
      </c>
    </row>
    <row r="227" hidden="1">
      <c r="A227" s="9">
        <f>IFERROR(__xludf.DUMMYFUNCTION("""COMPUTED_VALUE"""),45780.157650231486)</f>
        <v>45780.15765</v>
      </c>
      <c r="B227" s="10" t="str">
        <f>IFERROR(__xludf.DUMMYFUNCTION("""COMPUTED_VALUE"""),"Ali Raza")</f>
        <v>Ali Raza</v>
      </c>
      <c r="C227" s="10" t="str">
        <f>IFERROR(__xludf.DUMMYFUNCTION("""COMPUTED_VALUE"""),"03046138132")</f>
        <v>03046138132</v>
      </c>
      <c r="D227" s="10" t="str">
        <f>IFERROR(__xludf.DUMMYFUNCTION("""COMPUTED_VALUE"""),"JAMIA MASJID FAROOQIYA GHOUSIYA  POWNDA WALA")</f>
        <v>JAMIA MASJID FAROOQIYA GHOUSIYA  POWNDA WALA</v>
      </c>
      <c r="E227" s="10" t="str">
        <f>IFERROR(__xludf.DUMMYFUNCTION("""COMPUTED_VALUE"""),"ZRXRI")</f>
        <v>ZRXRI</v>
      </c>
      <c r="F227" s="10">
        <f>IFERROR(__xludf.DUMMYFUNCTION("""COMPUTED_VALUE"""),170.0)</f>
        <v>170</v>
      </c>
      <c r="G227" s="10">
        <f>IFERROR(__xludf.DUMMYFUNCTION("""COMPUTED_VALUE"""),10.0)</f>
        <v>10</v>
      </c>
      <c r="H227" s="10">
        <f>IFERROR(__xludf.DUMMYFUNCTION("""COMPUTED_VALUE"""),10.0)</f>
        <v>10</v>
      </c>
      <c r="I227" s="10">
        <f>IFERROR(__xludf.DUMMYFUNCTION("""COMPUTED_VALUE"""),0.0)</f>
        <v>0</v>
      </c>
      <c r="J227" s="10">
        <f>IFERROR(__xludf.DUMMYFUNCTION("""COMPUTED_VALUE"""),1955.0)</f>
        <v>1955</v>
      </c>
      <c r="K227" s="10" t="str">
        <f>IFERROR(__xludf.DUMMYFUNCTION("""COMPUTED_VALUE"""),"No")</f>
        <v>No</v>
      </c>
      <c r="L227" s="10" t="str">
        <f>IFERROR(__xludf.DUMMYFUNCTION("""COMPUTED_VALUE"""),"No")</f>
        <v>No</v>
      </c>
      <c r="M227" s="10">
        <f>IFERROR(__xludf.DUMMYFUNCTION("""COMPUTED_VALUE"""),7.0)</f>
        <v>7</v>
      </c>
      <c r="N227" s="10" t="str">
        <f>IFERROR(__xludf.DUMMYFUNCTION("""COMPUTED_VALUE"""),"Yes")</f>
        <v>Yes</v>
      </c>
      <c r="O227" s="323">
        <f>IFERROR(__xludf.DUMMYFUNCTION("""COMPUTED_VALUE"""),0.7)</f>
        <v>0.7</v>
      </c>
      <c r="P227" s="10">
        <f>IFERROR(__xludf.DUMMYFUNCTION("""COMPUTED_VALUE"""),7.0)</f>
        <v>7</v>
      </c>
      <c r="Q227" s="10">
        <f>IFERROR(__xludf.DUMMYFUNCTION("""COMPUTED_VALUE"""),3.0)</f>
        <v>3</v>
      </c>
      <c r="R227" s="10">
        <f>IFERROR(__xludf.DUMMYFUNCTION("""COMPUTED_VALUE"""),5.0)</f>
        <v>5</v>
      </c>
      <c r="S227" s="18" t="str">
        <f>IFERROR(__xludf.DUMMYFUNCTION("""COMPUTED_VALUE"""),"https://drive.google.com/open?id=1-YLzVG_ruNTKPmWe04sej9JIo1BfrppA")</f>
        <v>https://drive.google.com/open?id=1-YLzVG_ruNTKPmWe04sej9JIo1BfrppA</v>
      </c>
      <c r="T227" s="18" t="str">
        <f>IFERROR(__xludf.DUMMYFUNCTION("""COMPUTED_VALUE"""),"https://drive.google.com/open?id=1hzewtllKsfOqukrg2UPGK5kxC5Y2tS_o")</f>
        <v>https://drive.google.com/open?id=1hzewtllKsfOqukrg2UPGK5kxC5Y2tS_o</v>
      </c>
      <c r="U227" s="18" t="str">
        <f>IFERROR(__xludf.DUMMYFUNCTION("""COMPUTED_VALUE"""),"https://drive.google.com/open?id=1CrIE2vuM2QGkJesSe-ZAUqFSRoRV_WDZ")</f>
        <v>https://drive.google.com/open?id=1CrIE2vuM2QGkJesSe-ZAUqFSRoRV_WDZ</v>
      </c>
      <c r="V227" s="10"/>
      <c r="W227" s="10"/>
      <c r="X227" s="10" t="str">
        <f>IFERROR(__xludf.DUMMYFUNCTION("""COMPUTED_VALUE"""),"Yes")</f>
        <v>Yes</v>
      </c>
      <c r="Y227" s="14" t="str">
        <f>IFERROR(__xludf.DUMMYFUNCTION("""COMPUTED_VALUE"""),"qb0430317@gmail.com")</f>
        <v>qb0430317@gmail.com</v>
      </c>
      <c r="AA227" s="325">
        <v>2.0</v>
      </c>
    </row>
    <row r="228" hidden="1">
      <c r="A228" s="9">
        <f>IFERROR(__xludf.DUMMYFUNCTION("""COMPUTED_VALUE"""),45780.165507592596)</f>
        <v>45780.16551</v>
      </c>
      <c r="B228" s="10" t="str">
        <f>IFERROR(__xludf.DUMMYFUNCTION("""COMPUTED_VALUE"""),"Ali Raza")</f>
        <v>Ali Raza</v>
      </c>
      <c r="C228" s="10" t="str">
        <f>IFERROR(__xludf.DUMMYFUNCTION("""COMPUTED_VALUE"""),"03486712713")</f>
        <v>03486712713</v>
      </c>
      <c r="D228" s="10" t="str">
        <f>IFERROR(__xludf.DUMMYFUNCTION("""COMPUTED_VALUE"""),"JAMIA MASJID QUDSIYA RIZVIYA CIVIL LINE")</f>
        <v>JAMIA MASJID QUDSIYA RIZVIYA CIVIL LINE</v>
      </c>
      <c r="E228" s="10" t="str">
        <f>IFERROR(__xludf.DUMMYFUNCTION("""COMPUTED_VALUE"""),"BWXOO")</f>
        <v>BWXOO</v>
      </c>
      <c r="F228" s="10">
        <f>IFERROR(__xludf.DUMMYFUNCTION("""COMPUTED_VALUE"""),180.0)</f>
        <v>180</v>
      </c>
      <c r="G228" s="10">
        <f>IFERROR(__xludf.DUMMYFUNCTION("""COMPUTED_VALUE"""),7.0)</f>
        <v>7</v>
      </c>
      <c r="H228" s="10">
        <f>IFERROR(__xludf.DUMMYFUNCTION("""COMPUTED_VALUE"""),7.0)</f>
        <v>7</v>
      </c>
      <c r="I228" s="10">
        <f>IFERROR(__xludf.DUMMYFUNCTION("""COMPUTED_VALUE"""),1.0)</f>
        <v>1</v>
      </c>
      <c r="J228" s="10">
        <f>IFERROR(__xludf.DUMMYFUNCTION("""COMPUTED_VALUE"""),1965.0)</f>
        <v>1965</v>
      </c>
      <c r="K228" s="10" t="str">
        <f>IFERROR(__xludf.DUMMYFUNCTION("""COMPUTED_VALUE"""),"No")</f>
        <v>No</v>
      </c>
      <c r="L228" s="10" t="str">
        <f>IFERROR(__xludf.DUMMYFUNCTION("""COMPUTED_VALUE"""),"No")</f>
        <v>No</v>
      </c>
      <c r="M228" s="10">
        <f>IFERROR(__xludf.DUMMYFUNCTION("""COMPUTED_VALUE"""),6.0)</f>
        <v>6</v>
      </c>
      <c r="N228" s="10" t="str">
        <f>IFERROR(__xludf.DUMMYFUNCTION("""COMPUTED_VALUE"""),"Yes")</f>
        <v>Yes</v>
      </c>
      <c r="O228" s="323">
        <f>IFERROR(__xludf.DUMMYFUNCTION("""COMPUTED_VALUE"""),1.0)</f>
        <v>1</v>
      </c>
      <c r="P228" s="10">
        <f>IFERROR(__xludf.DUMMYFUNCTION("""COMPUTED_VALUE"""),10.0)</f>
        <v>10</v>
      </c>
      <c r="Q228" s="10">
        <f>IFERROR(__xludf.DUMMYFUNCTION("""COMPUTED_VALUE"""),0.0)</f>
        <v>0</v>
      </c>
      <c r="R228" s="10">
        <f>IFERROR(__xludf.DUMMYFUNCTION("""COMPUTED_VALUE"""),10.0)</f>
        <v>10</v>
      </c>
      <c r="S228" s="18" t="str">
        <f>IFERROR(__xludf.DUMMYFUNCTION("""COMPUTED_VALUE"""),"https://drive.google.com/open?id=13tZtCyl1QRbbTGUG3H4ZsM0QfhmR28le")</f>
        <v>https://drive.google.com/open?id=13tZtCyl1QRbbTGUG3H4ZsM0QfhmR28le</v>
      </c>
      <c r="T228" s="18" t="str">
        <f>IFERROR(__xludf.DUMMYFUNCTION("""COMPUTED_VALUE"""),"https://drive.google.com/open?id=1Os98Not9ey3W3wbdDYsBzwkvmVwSJtQ5")</f>
        <v>https://drive.google.com/open?id=1Os98Not9ey3W3wbdDYsBzwkvmVwSJtQ5</v>
      </c>
      <c r="U228" s="18" t="str">
        <f>IFERROR(__xludf.DUMMYFUNCTION("""COMPUTED_VALUE"""),"https://drive.google.com/open?id=1yPVeMI2kifj5qc4NNKsT8k-fj5jS4Kcm")</f>
        <v>https://drive.google.com/open?id=1yPVeMI2kifj5qc4NNKsT8k-fj5jS4Kcm</v>
      </c>
      <c r="V228" s="10"/>
      <c r="W228" s="10"/>
      <c r="X228" s="10" t="str">
        <f>IFERROR(__xludf.DUMMYFUNCTION("""COMPUTED_VALUE"""),"Yes")</f>
        <v>Yes</v>
      </c>
      <c r="Y228" s="14" t="str">
        <f>IFERROR(__xludf.DUMMYFUNCTION("""COMPUTED_VALUE"""),"qb0430317@gmail.com")</f>
        <v>qb0430317@gmail.com</v>
      </c>
      <c r="AA228" s="325">
        <v>2.0</v>
      </c>
    </row>
    <row r="229" hidden="1">
      <c r="A229" s="9">
        <f>IFERROR(__xludf.DUMMYFUNCTION("""COMPUTED_VALUE"""),45780.2304650463)</f>
        <v>45780.23047</v>
      </c>
      <c r="B229" s="10" t="str">
        <f>IFERROR(__xludf.DUMMYFUNCTION("""COMPUTED_VALUE"""),"Sulaman")</f>
        <v>Sulaman</v>
      </c>
      <c r="C229" s="10" t="str">
        <f>IFERROR(__xludf.DUMMYFUNCTION("""COMPUTED_VALUE"""),"03126136070")</f>
        <v>03126136070</v>
      </c>
      <c r="D229" s="10" t="str">
        <f>IFERROR(__xludf.DUMMYFUNCTION("""COMPUTED_VALUE"""),"Sain Karam elahi sarkar")</f>
        <v>Sain Karam elahi sarkar</v>
      </c>
      <c r="E229" s="10" t="str">
        <f>IFERROR(__xludf.DUMMYFUNCTION("""COMPUTED_VALUE"""),"Sxnpd")</f>
        <v>Sxnpd</v>
      </c>
      <c r="F229" s="10">
        <f>IFERROR(__xludf.DUMMYFUNCTION("""COMPUTED_VALUE"""),140.0)</f>
        <v>140</v>
      </c>
      <c r="G229" s="10">
        <f>IFERROR(__xludf.DUMMYFUNCTION("""COMPUTED_VALUE"""),8.0)</f>
        <v>8</v>
      </c>
      <c r="H229" s="10">
        <f>IFERROR(__xludf.DUMMYFUNCTION("""COMPUTED_VALUE"""),3.0)</f>
        <v>3</v>
      </c>
      <c r="I229" s="10">
        <f>IFERROR(__xludf.DUMMYFUNCTION("""COMPUTED_VALUE"""),1.0)</f>
        <v>1</v>
      </c>
      <c r="J229" s="10" t="str">
        <f>IFERROR(__xludf.DUMMYFUNCTION("""COMPUTED_VALUE"""),"0000")</f>
        <v>0000</v>
      </c>
      <c r="K229" s="10" t="str">
        <f>IFERROR(__xludf.DUMMYFUNCTION("""COMPUTED_VALUE"""),"No")</f>
        <v>No</v>
      </c>
      <c r="L229" s="10" t="str">
        <f>IFERROR(__xludf.DUMMYFUNCTION("""COMPUTED_VALUE"""),"کانواں والی سرکار کرم الٰہی سرکار")</f>
        <v>کانواں والی سرکار کرم الٰہی سرکار</v>
      </c>
      <c r="M229" s="10">
        <f>IFERROR(__xludf.DUMMYFUNCTION("""COMPUTED_VALUE"""),7.0)</f>
        <v>7</v>
      </c>
      <c r="N229" s="10" t="str">
        <f>IFERROR(__xludf.DUMMYFUNCTION("""COMPUTED_VALUE"""),"Yes")</f>
        <v>Yes</v>
      </c>
      <c r="O229" s="323">
        <f>IFERROR(__xludf.DUMMYFUNCTION("""COMPUTED_VALUE"""),0.1)</f>
        <v>0.1</v>
      </c>
      <c r="P229" s="10">
        <f>IFERROR(__xludf.DUMMYFUNCTION("""COMPUTED_VALUE"""),0.0)</f>
        <v>0</v>
      </c>
      <c r="Q229" s="10">
        <f>IFERROR(__xludf.DUMMYFUNCTION("""COMPUTED_VALUE"""),10.0)</f>
        <v>10</v>
      </c>
      <c r="R229" s="10">
        <f>IFERROR(__xludf.DUMMYFUNCTION("""COMPUTED_VALUE"""),1.0)</f>
        <v>1</v>
      </c>
      <c r="S229" s="10"/>
      <c r="T229" s="10"/>
      <c r="U229" s="18" t="str">
        <f>IFERROR(__xludf.DUMMYFUNCTION("""COMPUTED_VALUE"""),"https://drive.google.com/open?id=14_mfupTiwCyq7rKFlaIKyETFZmjXpvu0")</f>
        <v>https://drive.google.com/open?id=14_mfupTiwCyq7rKFlaIKyETFZmjXpvu0</v>
      </c>
      <c r="V229" s="10" t="str">
        <f>IFERROR(__xludf.DUMMYFUNCTION("""COMPUTED_VALUE"""),"ہمارا خطبہ نہیں پڑھا گیا بلکہ مزدور ڈے کے حوالے سے خطبہ پڑھا گیا ہے")</f>
        <v>ہمارا خطبہ نہیں پڑھا گیا بلکہ مزدور ڈے کے حوالے سے خطبہ پڑھا گیا ہے</v>
      </c>
      <c r="W229" s="10"/>
      <c r="X229" s="10" t="str">
        <f>IFERROR(__xludf.DUMMYFUNCTION("""COMPUTED_VALUE"""),"Yes")</f>
        <v>Yes</v>
      </c>
      <c r="Y229" s="14" t="str">
        <f>IFERROR(__xludf.DUMMYFUNCTION("""COMPUTED_VALUE"""),"sulamanasghar69@gmail.com")</f>
        <v>sulamanasghar69@gmail.com</v>
      </c>
      <c r="AA229" s="325">
        <v>2.0</v>
      </c>
    </row>
    <row r="230" hidden="1">
      <c r="A230" s="9">
        <f>IFERROR(__xludf.DUMMYFUNCTION("""COMPUTED_VALUE"""),45780.28048335648)</f>
        <v>45780.28048</v>
      </c>
      <c r="B230" s="10" t="str">
        <f>IFERROR(__xludf.DUMMYFUNCTION("""COMPUTED_VALUE"""),"SHAH ZAIB")</f>
        <v>SHAH ZAIB</v>
      </c>
      <c r="C230" s="10" t="str">
        <f>IFERROR(__xludf.DUMMYFUNCTION("""COMPUTED_VALUE"""),"03166200368")</f>
        <v>03166200368</v>
      </c>
      <c r="D230" s="10" t="str">
        <f>IFERROR(__xludf.DUMMYFUNCTION("""COMPUTED_VALUE"""),"Biri Shah rehman")</f>
        <v>Biri Shah rehman</v>
      </c>
      <c r="E230" s="10" t="str">
        <f>IFERROR(__xludf.DUMMYFUNCTION("""COMPUTED_VALUE"""),"OUGEG")</f>
        <v>OUGEG</v>
      </c>
      <c r="F230" s="10">
        <f>IFERROR(__xludf.DUMMYFUNCTION("""COMPUTED_VALUE"""),20.0)</f>
        <v>20</v>
      </c>
      <c r="G230" s="10">
        <f>IFERROR(__xludf.DUMMYFUNCTION("""COMPUTED_VALUE"""),10.0)</f>
        <v>10</v>
      </c>
      <c r="H230" s="10">
        <f>IFERROR(__xludf.DUMMYFUNCTION("""COMPUTED_VALUE"""),10.0)</f>
        <v>10</v>
      </c>
      <c r="I230" s="10">
        <f>IFERROR(__xludf.DUMMYFUNCTION("""COMPUTED_VALUE"""),0.0)</f>
        <v>0</v>
      </c>
      <c r="J230" s="10">
        <f>IFERROR(__xludf.DUMMYFUNCTION("""COMPUTED_VALUE"""),1965.0)</f>
        <v>1965</v>
      </c>
      <c r="K230" s="10" t="str">
        <f>IFERROR(__xludf.DUMMYFUNCTION("""COMPUTED_VALUE"""),"No")</f>
        <v>No</v>
      </c>
      <c r="L230" s="10" t="str">
        <f>IFERROR(__xludf.DUMMYFUNCTION("""COMPUTED_VALUE"""),"SHAH ABDUL REHMAN AL MAROOF BHIRI SHAH REHMAN")</f>
        <v>SHAH ABDUL REHMAN AL MAROOF BHIRI SHAH REHMAN</v>
      </c>
      <c r="M230" s="10">
        <f>IFERROR(__xludf.DUMMYFUNCTION("""COMPUTED_VALUE"""),8.0)</f>
        <v>8</v>
      </c>
      <c r="N230" s="10" t="str">
        <f>IFERROR(__xludf.DUMMYFUNCTION("""COMPUTED_VALUE"""),"No")</f>
        <v>No</v>
      </c>
      <c r="O230" s="10"/>
      <c r="P230" s="10"/>
      <c r="Q230" s="10"/>
      <c r="R230" s="10"/>
      <c r="S230" s="18" t="str">
        <f>IFERROR(__xludf.DUMMYFUNCTION("""COMPUTED_VALUE"""),"https://drive.google.com/open?id=17iaOCyJtPFbKqhEpGZENmDXWHXMlkMoG")</f>
        <v>https://drive.google.com/open?id=17iaOCyJtPFbKqhEpGZENmDXWHXMlkMoG</v>
      </c>
      <c r="T230" s="18" t="str">
        <f>IFERROR(__xludf.DUMMYFUNCTION("""COMPUTED_VALUE"""),"https://drive.google.com/open?id=1kNhWJuJKX2VtBZZd29OGKzTPB7uWB3TB")</f>
        <v>https://drive.google.com/open?id=1kNhWJuJKX2VtBZZd29OGKzTPB7uWB3TB</v>
      </c>
      <c r="U230" s="18" t="str">
        <f>IFERROR(__xludf.DUMMYFUNCTION("""COMPUTED_VALUE"""),"https://drive.google.com/open?id=1vWi6DND9G6_qE4L8H_U-YRiVogdcKbW6")</f>
        <v>https://drive.google.com/open?id=1vWi6DND9G6_qE4L8H_U-YRiVogdcKbW6</v>
      </c>
      <c r="V230" s="10"/>
      <c r="W230" s="10"/>
      <c r="X230" s="10"/>
      <c r="Y230" s="14" t="str">
        <f>IFERROR(__xludf.DUMMYFUNCTION("""COMPUTED_VALUE"""),"qb0430317@gmail.com")</f>
        <v>qb0430317@gmail.com</v>
      </c>
      <c r="AA230" s="325" t="s">
        <v>4</v>
      </c>
    </row>
    <row r="231" hidden="1">
      <c r="A231" s="9">
        <f>IFERROR(__xludf.DUMMYFUNCTION("""COMPUTED_VALUE"""),45780.28674603009)</f>
        <v>45780.28675</v>
      </c>
      <c r="B231" s="10" t="str">
        <f>IFERROR(__xludf.DUMMYFUNCTION("""COMPUTED_VALUE"""),"Baqir irfat")</f>
        <v>Baqir irfat</v>
      </c>
      <c r="C231" s="10" t="str">
        <f>IFERROR(__xludf.DUMMYFUNCTION("""COMPUTED_VALUE"""),"03005551884")</f>
        <v>03005551884</v>
      </c>
      <c r="D231" s="10" t="str">
        <f>IFERROR(__xludf.DUMMYFUNCTION("""COMPUTED_VALUE"""),"Jamia masjid imam ali haq skt")</f>
        <v>Jamia masjid imam ali haq skt</v>
      </c>
      <c r="E231" s="10" t="str">
        <f>IFERROR(__xludf.DUMMYFUNCTION("""COMPUTED_VALUE"""),"Aknhz")</f>
        <v>Aknhz</v>
      </c>
      <c r="F231" s="10">
        <f>IFERROR(__xludf.DUMMYFUNCTION("""COMPUTED_VALUE"""),335.0)</f>
        <v>335</v>
      </c>
      <c r="G231" s="10">
        <f>IFERROR(__xludf.DUMMYFUNCTION("""COMPUTED_VALUE"""),8.0)</f>
        <v>8</v>
      </c>
      <c r="H231" s="10">
        <f>IFERROR(__xludf.DUMMYFUNCTION("""COMPUTED_VALUE"""),8.0)</f>
        <v>8</v>
      </c>
      <c r="I231" s="10">
        <f>IFERROR(__xludf.DUMMYFUNCTION("""COMPUTED_VALUE"""),2.0)</f>
        <v>2</v>
      </c>
      <c r="J231" s="10">
        <f>IFERROR(__xludf.DUMMYFUNCTION("""COMPUTED_VALUE"""),1970.0)</f>
        <v>1970</v>
      </c>
      <c r="K231" s="10" t="str">
        <f>IFERROR(__xludf.DUMMYFUNCTION("""COMPUTED_VALUE"""),"No")</f>
        <v>No</v>
      </c>
      <c r="L231" s="10" t="str">
        <f>IFERROR(__xludf.DUMMYFUNCTION("""COMPUTED_VALUE"""),"Imam ali haq darbar")</f>
        <v>Imam ali haq darbar</v>
      </c>
      <c r="M231" s="10">
        <f>IFERROR(__xludf.DUMMYFUNCTION("""COMPUTED_VALUE"""),8.0)</f>
        <v>8</v>
      </c>
      <c r="N231" s="10" t="str">
        <f>IFERROR(__xludf.DUMMYFUNCTION("""COMPUTED_VALUE"""),"No")</f>
        <v>No</v>
      </c>
      <c r="O231" s="10"/>
      <c r="P231" s="10"/>
      <c r="Q231" s="10"/>
      <c r="R231" s="10"/>
      <c r="S231" s="18" t="str">
        <f>IFERROR(__xludf.DUMMYFUNCTION("""COMPUTED_VALUE"""),"https://drive.google.com/open?id=1lRmKUzk99-JKeOYCMXNyLNW9ir00P9jd")</f>
        <v>https://drive.google.com/open?id=1lRmKUzk99-JKeOYCMXNyLNW9ir00P9jd</v>
      </c>
      <c r="T231" s="18" t="str">
        <f>IFERROR(__xludf.DUMMYFUNCTION("""COMPUTED_VALUE"""),"https://drive.google.com/open?id=1_PgJULmuJ17BDT1txpjCuwtFT1TLTI8U")</f>
        <v>https://drive.google.com/open?id=1_PgJULmuJ17BDT1txpjCuwtFT1TLTI8U</v>
      </c>
      <c r="U231" s="18" t="str">
        <f>IFERROR(__xludf.DUMMYFUNCTION("""COMPUTED_VALUE"""),"https://drive.google.com/open?id=1rodmpfrD799QmYvkot0IekWk297TQf8O")</f>
        <v>https://drive.google.com/open?id=1rodmpfrD799QmYvkot0IekWk297TQf8O</v>
      </c>
      <c r="V231" s="10"/>
      <c r="W231" s="10"/>
      <c r="X231" s="10"/>
      <c r="Y231" s="14" t="str">
        <f>IFERROR(__xludf.DUMMYFUNCTION("""COMPUTED_VALUE"""),"baqir26@yahoo.con")</f>
        <v>baqir26@yahoo.con</v>
      </c>
      <c r="AA231" s="325">
        <v>3.0</v>
      </c>
    </row>
    <row r="232" hidden="1">
      <c r="A232" s="9">
        <f>IFERROR(__xludf.DUMMYFUNCTION("""COMPUTED_VALUE"""),45780.292645243055)</f>
        <v>45780.29265</v>
      </c>
      <c r="B232" s="10" t="str">
        <f>IFERROR(__xludf.DUMMYFUNCTION("""COMPUTED_VALUE"""),"SHAH ZAIB")</f>
        <v>SHAH ZAIB</v>
      </c>
      <c r="C232" s="10" t="str">
        <f>IFERROR(__xludf.DUMMYFUNCTION("""COMPUTED_VALUE"""),"03166200368")</f>
        <v>03166200368</v>
      </c>
      <c r="D232" s="10" t="str">
        <f>IFERROR(__xludf.DUMMYFUNCTION("""COMPUTED_VALUE""")," DARBAR BHIRI SHAH REHMAN ")</f>
        <v> DARBAR BHIRI SHAH REHMAN </v>
      </c>
      <c r="E232" s="10" t="str">
        <f>IFERROR(__xludf.DUMMYFUNCTION("""COMPUTED_VALUE"""),"OUGEG")</f>
        <v>OUGEG</v>
      </c>
      <c r="F232" s="10">
        <f>IFERROR(__xludf.DUMMYFUNCTION("""COMPUTED_VALUE"""),20.0)</f>
        <v>20</v>
      </c>
      <c r="G232" s="10">
        <f>IFERROR(__xludf.DUMMYFUNCTION("""COMPUTED_VALUE"""),10.0)</f>
        <v>10</v>
      </c>
      <c r="H232" s="10">
        <f>IFERROR(__xludf.DUMMYFUNCTION("""COMPUTED_VALUE"""),10.0)</f>
        <v>10</v>
      </c>
      <c r="I232" s="10">
        <f>IFERROR(__xludf.DUMMYFUNCTION("""COMPUTED_VALUE"""),0.0)</f>
        <v>0</v>
      </c>
      <c r="J232" s="10">
        <f>IFERROR(__xludf.DUMMYFUNCTION("""COMPUTED_VALUE"""),1965.0)</f>
        <v>1965</v>
      </c>
      <c r="K232" s="10" t="str">
        <f>IFERROR(__xludf.DUMMYFUNCTION("""COMPUTED_VALUE"""),"No")</f>
        <v>No</v>
      </c>
      <c r="L232" s="10" t="str">
        <f>IFERROR(__xludf.DUMMYFUNCTION("""COMPUTED_VALUE"""),"SHAH ABDUL REHMAN AL MAROOF BHIRI SHAH REHMAN ")</f>
        <v>SHAH ABDUL REHMAN AL MAROOF BHIRI SHAH REHMAN </v>
      </c>
      <c r="M232" s="10">
        <f>IFERROR(__xludf.DUMMYFUNCTION("""COMPUTED_VALUE"""),7.0)</f>
        <v>7</v>
      </c>
      <c r="N232" s="10" t="str">
        <f>IFERROR(__xludf.DUMMYFUNCTION("""COMPUTED_VALUE"""),"No")</f>
        <v>No</v>
      </c>
      <c r="O232" s="10"/>
      <c r="P232" s="10"/>
      <c r="Q232" s="10"/>
      <c r="R232" s="10"/>
      <c r="S232" s="18" t="str">
        <f>IFERROR(__xludf.DUMMYFUNCTION("""COMPUTED_VALUE"""),"https://drive.google.com/open?id=1tAh66Xqox6K6siRI3AABSS59McSXIwuw")</f>
        <v>https://drive.google.com/open?id=1tAh66Xqox6K6siRI3AABSS59McSXIwuw</v>
      </c>
      <c r="T232" s="18" t="str">
        <f>IFERROR(__xludf.DUMMYFUNCTION("""COMPUTED_VALUE"""),"https://drive.google.com/open?id=1o-9nrY1_J3VxeB9xC7MS0ul-kU6JlR5g")</f>
        <v>https://drive.google.com/open?id=1o-9nrY1_J3VxeB9xC7MS0ul-kU6JlR5g</v>
      </c>
      <c r="U232" s="18" t="str">
        <f>IFERROR(__xludf.DUMMYFUNCTION("""COMPUTED_VALUE"""),"https://drive.google.com/open?id=1vWi6DND9G6_qE4L8H_U-YRiVogdcKbW6")</f>
        <v>https://drive.google.com/open?id=1vWi6DND9G6_qE4L8H_U-YRiVogdcKbW6</v>
      </c>
      <c r="V232" s="10"/>
      <c r="W232" s="10"/>
      <c r="X232" s="10"/>
      <c r="Y232" s="14" t="str">
        <f>IFERROR(__xludf.DUMMYFUNCTION("""COMPUTED_VALUE"""),"qb0430317@gmail.com")</f>
        <v>qb0430317@gmail.com</v>
      </c>
      <c r="AA232" s="325">
        <v>3.0</v>
      </c>
    </row>
    <row r="233" hidden="1">
      <c r="A233" s="9">
        <f>IFERROR(__xludf.DUMMYFUNCTION("""COMPUTED_VALUE"""),45780.29648197917)</f>
        <v>45780.29648</v>
      </c>
      <c r="B233" s="10" t="str">
        <f>IFERROR(__xludf.DUMMYFUNCTION("""COMPUTED_VALUE"""),"Abdul Rahman ")</f>
        <v>Abdul Rahman </v>
      </c>
      <c r="C233" s="10" t="str">
        <f>IFERROR(__xludf.DUMMYFUNCTION("""COMPUTED_VALUE"""),"03365787199")</f>
        <v>03365787199</v>
      </c>
      <c r="D233" s="10" t="str">
        <f>IFERROR(__xludf.DUMMYFUNCTION("""COMPUTED_VALUE"""),"QVDJF	Jamia Masjid Haji Muhammad Din Gujrat")</f>
        <v>QVDJF	Jamia Masjid Haji Muhammad Din Gujrat</v>
      </c>
      <c r="E233" s="10" t="str">
        <f>IFERROR(__xludf.DUMMYFUNCTION("""COMPUTED_VALUE"""),"QVDJF")</f>
        <v>QVDJF</v>
      </c>
      <c r="F233" s="10">
        <f>IFERROR(__xludf.DUMMYFUNCTION("""COMPUTED_VALUE"""),257.0)</f>
        <v>257</v>
      </c>
      <c r="G233" s="10">
        <f>IFERROR(__xludf.DUMMYFUNCTION("""COMPUTED_VALUE"""),10.0)</f>
        <v>10</v>
      </c>
      <c r="H233" s="10">
        <f>IFERROR(__xludf.DUMMYFUNCTION("""COMPUTED_VALUE"""),5.0)</f>
        <v>5</v>
      </c>
      <c r="I233" s="10" t="str">
        <f>IFERROR(__xludf.DUMMYFUNCTION("""COMPUTED_VALUE"""),"No")</f>
        <v>No</v>
      </c>
      <c r="J233" s="10" t="str">
        <f>IFERROR(__xludf.DUMMYFUNCTION("""COMPUTED_VALUE"""),"0000")</f>
        <v>0000</v>
      </c>
      <c r="K233" s="10" t="str">
        <f>IFERROR(__xludf.DUMMYFUNCTION("""COMPUTED_VALUE"""),"Yes")</f>
        <v>Yes</v>
      </c>
      <c r="L233" s="10" t="str">
        <f>IFERROR(__xludf.DUMMYFUNCTION("""COMPUTED_VALUE"""),"No")</f>
        <v>No</v>
      </c>
      <c r="M233" s="10">
        <f>IFERROR(__xludf.DUMMYFUNCTION("""COMPUTED_VALUE"""),8.0)</f>
        <v>8</v>
      </c>
      <c r="N233" s="10" t="str">
        <f>IFERROR(__xludf.DUMMYFUNCTION("""COMPUTED_VALUE"""),"Yes")</f>
        <v>Yes</v>
      </c>
      <c r="O233" s="323">
        <f>IFERROR(__xludf.DUMMYFUNCTION("""COMPUTED_VALUE"""),0.9)</f>
        <v>0.9</v>
      </c>
      <c r="P233" s="10">
        <f>IFERROR(__xludf.DUMMYFUNCTION("""COMPUTED_VALUE"""),7.0)</f>
        <v>7</v>
      </c>
      <c r="Q233" s="10">
        <f>IFERROR(__xludf.DUMMYFUNCTION("""COMPUTED_VALUE"""),2.0)</f>
        <v>2</v>
      </c>
      <c r="R233" s="10">
        <f>IFERROR(__xludf.DUMMYFUNCTION("""COMPUTED_VALUE"""),8.0)</f>
        <v>8</v>
      </c>
      <c r="S233" s="18" t="str">
        <f>IFERROR(__xludf.DUMMYFUNCTION("""COMPUTED_VALUE"""),"https://drive.google.com/file/d/1FZvF7zvORZ_HYt2MDijWMmaNnVIHfVG1/view?usp=sharing")</f>
        <v>https://drive.google.com/file/d/1FZvF7zvORZ_HYt2MDijWMmaNnVIHfVG1/view?usp=sharing</v>
      </c>
      <c r="T233" s="18" t="str">
        <f>IFERROR(__xludf.DUMMYFUNCTION("""COMPUTED_VALUE"""),"https://drive.google.com/file/d/1QjpSiGEHdRRoYdiIG8WMRvCfbRDsWhF6/view?usp=sharing")</f>
        <v>https://drive.google.com/file/d/1QjpSiGEHdRRoYdiIG8WMRvCfbRDsWhF6/view?usp=sharing</v>
      </c>
      <c r="U233" s="18" t="str">
        <f>IFERROR(__xludf.DUMMYFUNCTION("""COMPUTED_VALUE"""),"https://drive.google.com/open?id=1PV-4uOReqLud32EOLqRLoEiZJOjhbOwJ")</f>
        <v>https://drive.google.com/open?id=1PV-4uOReqLud32EOLqRLoEiZJOjhbOwJ</v>
      </c>
      <c r="V233" s="10" t="str">
        <f>IFERROR(__xludf.DUMMYFUNCTION("""COMPUTED_VALUE"""),"No")</f>
        <v>No</v>
      </c>
      <c r="W233" s="10"/>
      <c r="X233" s="10"/>
      <c r="Y233" s="14" t="str">
        <f>IFERROR(__xludf.DUMMYFUNCTION("""COMPUTED_VALUE"""),"asim.moon423@gmail.com")</f>
        <v>asim.moon423@gmail.com</v>
      </c>
      <c r="AA233" s="325">
        <v>1.0</v>
      </c>
    </row>
    <row r="234" hidden="1">
      <c r="A234" s="9">
        <f>IFERROR(__xludf.DUMMYFUNCTION("""COMPUTED_VALUE"""),45780.31123075231)</f>
        <v>45780.31123</v>
      </c>
      <c r="B234" s="10" t="str">
        <f>IFERROR(__xludf.DUMMYFUNCTION("""COMPUTED_VALUE"""),"Maqbood Ahmad")</f>
        <v>Maqbood Ahmad</v>
      </c>
      <c r="C234" s="10" t="str">
        <f>IFERROR(__xludf.DUMMYFUNCTION("""COMPUTED_VALUE"""),"03016334942")</f>
        <v>03016334942</v>
      </c>
      <c r="D234" s="10" t="str">
        <f>IFERROR(__xludf.DUMMYFUNCTION("""COMPUTED_VALUE"""),"Jamil masjid Qutab Shah wali")</f>
        <v>Jamil masjid Qutab Shah wali</v>
      </c>
      <c r="E234" s="10" t="str">
        <f>IFERROR(__xludf.DUMMYFUNCTION("""COMPUTED_VALUE"""),"QLXFF")</f>
        <v>QLXFF</v>
      </c>
      <c r="F234" s="10">
        <f>IFERROR(__xludf.DUMMYFUNCTION("""COMPUTED_VALUE"""),614.0)</f>
        <v>614</v>
      </c>
      <c r="G234" s="10">
        <f>IFERROR(__xludf.DUMMYFUNCTION("""COMPUTED_VALUE"""),8.0)</f>
        <v>8</v>
      </c>
      <c r="H234" s="10">
        <f>IFERROR(__xludf.DUMMYFUNCTION("""COMPUTED_VALUE"""),8.0)</f>
        <v>8</v>
      </c>
      <c r="I234" s="10">
        <f>IFERROR(__xludf.DUMMYFUNCTION("""COMPUTED_VALUE"""),0.0)</f>
        <v>0</v>
      </c>
      <c r="J234" s="10">
        <f>IFERROR(__xludf.DUMMYFUNCTION("""COMPUTED_VALUE"""),2003.0)</f>
        <v>2003</v>
      </c>
      <c r="K234" s="10" t="str">
        <f>IFERROR(__xludf.DUMMYFUNCTION("""COMPUTED_VALUE"""),"No")</f>
        <v>No</v>
      </c>
      <c r="L234" s="10" t="str">
        <f>IFERROR(__xludf.DUMMYFUNCTION("""COMPUTED_VALUE"""),"Qotab Shah wali")</f>
        <v>Qotab Shah wali</v>
      </c>
      <c r="M234" s="10">
        <f>IFERROR(__xludf.DUMMYFUNCTION("""COMPUTED_VALUE"""),8.0)</f>
        <v>8</v>
      </c>
      <c r="N234" s="10" t="str">
        <f>IFERROR(__xludf.DUMMYFUNCTION("""COMPUTED_VALUE"""),"Yes")</f>
        <v>Yes</v>
      </c>
      <c r="O234" s="323">
        <f>IFERROR(__xludf.DUMMYFUNCTION("""COMPUTED_VALUE"""),0.8)</f>
        <v>0.8</v>
      </c>
      <c r="P234" s="10">
        <f>IFERROR(__xludf.DUMMYFUNCTION("""COMPUTED_VALUE"""),8.0)</f>
        <v>8</v>
      </c>
      <c r="Q234" s="10">
        <f>IFERROR(__xludf.DUMMYFUNCTION("""COMPUTED_VALUE"""),2.0)</f>
        <v>2</v>
      </c>
      <c r="R234" s="10">
        <f>IFERROR(__xludf.DUMMYFUNCTION("""COMPUTED_VALUE"""),8.0)</f>
        <v>8</v>
      </c>
      <c r="S234" s="18" t="str">
        <f>IFERROR(__xludf.DUMMYFUNCTION("""COMPUTED_VALUE"""),"https://drive.google.com/open?id=1jEqW-YoLKYCrzB6quE9IhJrxhNEWk0Kp")</f>
        <v>https://drive.google.com/open?id=1jEqW-YoLKYCrzB6quE9IhJrxhNEWk0Kp</v>
      </c>
      <c r="T234" s="18" t="str">
        <f>IFERROR(__xludf.DUMMYFUNCTION("""COMPUTED_VALUE"""),"https://drive.google.com/open?id=1f6u6dkWyYk6SNgh-uOB35ba8SZve9YbJ")</f>
        <v>https://drive.google.com/open?id=1f6u6dkWyYk6SNgh-uOB35ba8SZve9YbJ</v>
      </c>
      <c r="U234" s="18" t="str">
        <f>IFERROR(__xludf.DUMMYFUNCTION("""COMPUTED_VALUE"""),"https://drive.google.com/open?id=1KUWOu7oAN0EOCLTlC8vpCFbV1VY09h9k")</f>
        <v>https://drive.google.com/open?id=1KUWOu7oAN0EOCLTlC8vpCFbV1VY09h9k</v>
      </c>
      <c r="V234" s="10"/>
      <c r="W234" s="10"/>
      <c r="X234" s="10" t="str">
        <f>IFERROR(__xludf.DUMMYFUNCTION("""COMPUTED_VALUE"""),"Yes")</f>
        <v>Yes</v>
      </c>
      <c r="Y234" s="14" t="str">
        <f>IFERROR(__xludf.DUMMYFUNCTION("""COMPUTED_VALUE"""),"maqboolahmadnwl42@gmail.com")</f>
        <v>maqboolahmadnwl42@gmail.com</v>
      </c>
      <c r="AA234" s="325">
        <v>2.0</v>
      </c>
    </row>
    <row r="235" hidden="1">
      <c r="A235" s="9">
        <f>IFERROR(__xludf.DUMMYFUNCTION("""COMPUTED_VALUE"""),45780.638893194446)</f>
        <v>45780.63889</v>
      </c>
      <c r="B235" s="10" t="str">
        <f>IFERROR(__xludf.DUMMYFUNCTION("""COMPUTED_VALUE"""),"Hamaad ")</f>
        <v>Hamaad </v>
      </c>
      <c r="C235" s="10" t="str">
        <f>IFERROR(__xludf.DUMMYFUNCTION("""COMPUTED_VALUE"""),"03254128007")</f>
        <v>03254128007</v>
      </c>
      <c r="D235" s="10" t="str">
        <f>IFERROR(__xludf.DUMMYFUNCTION("""COMPUTED_VALUE"""),"Jamia Masjid Syaden Shah Shahrazi Chakwal ")</f>
        <v>Jamia Masjid Syaden Shah Shahrazi Chakwal </v>
      </c>
      <c r="E235" s="10" t="str">
        <f>IFERROR(__xludf.DUMMYFUNCTION("""COMPUTED_VALUE"""),"PIPXB")</f>
        <v>PIPXB</v>
      </c>
      <c r="F235" s="10">
        <f>IFERROR(__xludf.DUMMYFUNCTION("""COMPUTED_VALUE"""),180.0)</f>
        <v>180</v>
      </c>
      <c r="G235" s="10">
        <f>IFERROR(__xludf.DUMMYFUNCTION("""COMPUTED_VALUE"""),8.0)</f>
        <v>8</v>
      </c>
      <c r="H235" s="10">
        <f>IFERROR(__xludf.DUMMYFUNCTION("""COMPUTED_VALUE"""),7.0)</f>
        <v>7</v>
      </c>
      <c r="I235" s="10">
        <f>IFERROR(__xludf.DUMMYFUNCTION("""COMPUTED_VALUE"""),1.0)</f>
        <v>1</v>
      </c>
      <c r="J235" s="10" t="str">
        <f>IFERROR(__xludf.DUMMYFUNCTION("""COMPUTED_VALUE"""),"0000")</f>
        <v>0000</v>
      </c>
      <c r="K235" s="10" t="str">
        <f>IFERROR(__xludf.DUMMYFUNCTION("""COMPUTED_VALUE"""),"No")</f>
        <v>No</v>
      </c>
      <c r="L235" s="10" t="str">
        <f>IFERROR(__xludf.DUMMYFUNCTION("""COMPUTED_VALUE"""),"No")</f>
        <v>No</v>
      </c>
      <c r="M235" s="10">
        <f>IFERROR(__xludf.DUMMYFUNCTION("""COMPUTED_VALUE"""),8.0)</f>
        <v>8</v>
      </c>
      <c r="N235" s="10" t="str">
        <f>IFERROR(__xludf.DUMMYFUNCTION("""COMPUTED_VALUE"""),"No")</f>
        <v>No</v>
      </c>
      <c r="O235" s="10"/>
      <c r="P235" s="10"/>
      <c r="Q235" s="10"/>
      <c r="R235" s="10"/>
      <c r="S235" s="18" t="str">
        <f>IFERROR(__xludf.DUMMYFUNCTION("""COMPUTED_VALUE"""),"https://drive.google.com/open?id=1nwKR9-wZ6hzNdf0Xr_66dAq2UYEBxwFX")</f>
        <v>https://drive.google.com/open?id=1nwKR9-wZ6hzNdf0Xr_66dAq2UYEBxwFX</v>
      </c>
      <c r="T235" s="18" t="str">
        <f>IFERROR(__xludf.DUMMYFUNCTION("""COMPUTED_VALUE"""),"https://drive.google.com/open?id=1cZwzCrgjydVRl_P59F5QoV73Id3oCi6-")</f>
        <v>https://drive.google.com/open?id=1cZwzCrgjydVRl_P59F5QoV73Id3oCi6-</v>
      </c>
      <c r="U235" s="18" t="str">
        <f>IFERROR(__xludf.DUMMYFUNCTION("""COMPUTED_VALUE"""),"https://drive.google.com/open?id=1Kal1N6K2EwoiVIFdgyLwTla_buY2Trg3")</f>
        <v>https://drive.google.com/open?id=1Kal1N6K2EwoiVIFdgyLwTla_buY2Trg3</v>
      </c>
      <c r="V235" s="10" t="str">
        <f>IFERROR(__xludf.DUMMYFUNCTION("""COMPUTED_VALUE"""),"Topic : Palestine ")</f>
        <v>Topic : Palestine </v>
      </c>
      <c r="W235" s="10"/>
      <c r="X235" s="10"/>
      <c r="Y235" s="14" t="str">
        <f>IFERROR(__xludf.DUMMYFUNCTION("""COMPUTED_VALUE"""),"hamadali47ali@gmail.com")</f>
        <v>hamadali47ali@gmail.com</v>
      </c>
      <c r="AA235" s="325">
        <v>3.0</v>
      </c>
    </row>
    <row r="236" hidden="1">
      <c r="A236" s="9">
        <f>IFERROR(__xludf.DUMMYFUNCTION("""COMPUTED_VALUE"""),45780.65001215278)</f>
        <v>45780.65001</v>
      </c>
      <c r="B236" s="10" t="str">
        <f>IFERROR(__xludf.DUMMYFUNCTION("""COMPUTED_VALUE"""),"Afaq")</f>
        <v>Afaq</v>
      </c>
      <c r="C236" s="10" t="str">
        <f>IFERROR(__xludf.DUMMYFUNCTION("""COMPUTED_VALUE"""),"03254128007")</f>
        <v>03254128007</v>
      </c>
      <c r="D236" s="10" t="str">
        <f>IFERROR(__xludf.DUMMYFUNCTION("""COMPUTED_VALUE"""),"Jamia Masjid Eid gah Tala gang chakwal")</f>
        <v>Jamia Masjid Eid gah Tala gang chakwal</v>
      </c>
      <c r="E236" s="10" t="str">
        <f>IFERROR(__xludf.DUMMYFUNCTION("""COMPUTED_VALUE"""),"HXSZB")</f>
        <v>HXSZB</v>
      </c>
      <c r="F236" s="10">
        <f>IFERROR(__xludf.DUMMYFUNCTION("""COMPUTED_VALUE"""),140.0)</f>
        <v>140</v>
      </c>
      <c r="G236" s="10">
        <f>IFERROR(__xludf.DUMMYFUNCTION("""COMPUTED_VALUE"""),8.0)</f>
        <v>8</v>
      </c>
      <c r="H236" s="10">
        <f>IFERROR(__xludf.DUMMYFUNCTION("""COMPUTED_VALUE"""),7.0)</f>
        <v>7</v>
      </c>
      <c r="I236" s="10">
        <f>IFERROR(__xludf.DUMMYFUNCTION("""COMPUTED_VALUE"""),2.0)</f>
        <v>2</v>
      </c>
      <c r="J236" s="10" t="str">
        <f>IFERROR(__xludf.DUMMYFUNCTION("""COMPUTED_VALUE"""),"0000")</f>
        <v>0000</v>
      </c>
      <c r="K236" s="10" t="str">
        <f>IFERROR(__xludf.DUMMYFUNCTION("""COMPUTED_VALUE"""),"No")</f>
        <v>No</v>
      </c>
      <c r="L236" s="10" t="str">
        <f>IFERROR(__xludf.DUMMYFUNCTION("""COMPUTED_VALUE"""),"No")</f>
        <v>No</v>
      </c>
      <c r="M236" s="10">
        <f>IFERROR(__xludf.DUMMYFUNCTION("""COMPUTED_VALUE"""),9.0)</f>
        <v>9</v>
      </c>
      <c r="N236" s="10" t="str">
        <f>IFERROR(__xludf.DUMMYFUNCTION("""COMPUTED_VALUE"""),"No")</f>
        <v>No</v>
      </c>
      <c r="O236" s="10"/>
      <c r="P236" s="10"/>
      <c r="Q236" s="10"/>
      <c r="R236" s="10"/>
      <c r="S236" s="18" t="str">
        <f>IFERROR(__xludf.DUMMYFUNCTION("""COMPUTED_VALUE"""),"https://drive.google.com/file/d/1vUvcX__uDw6lLrImzBEXJ680oDSLlITa/view?usp=sharing")</f>
        <v>https://drive.google.com/file/d/1vUvcX__uDw6lLrImzBEXJ680oDSLlITa/view?usp=sharing</v>
      </c>
      <c r="T236" s="18" t="str">
        <f>IFERROR(__xludf.DUMMYFUNCTION("""COMPUTED_VALUE"""),"https://drive.google.com/file/d/1-t5dZZW3s_cO8BUj_xf5Bz6cdpUXx76G/view?usp=sharing")</f>
        <v>https://drive.google.com/file/d/1-t5dZZW3s_cO8BUj_xf5Bz6cdpUXx76G/view?usp=sharing</v>
      </c>
      <c r="U236" s="18" t="str">
        <f>IFERROR(__xludf.DUMMYFUNCTION("""COMPUTED_VALUE"""),"https://drive.google.com/open?id=1zgODESIvP1jNLDbtk-AkveyC4VXzBUbD")</f>
        <v>https://drive.google.com/open?id=1zgODESIvP1jNLDbtk-AkveyC4VXzBUbD</v>
      </c>
      <c r="V236" s="10" t="str">
        <f>IFERROR(__xludf.DUMMYFUNCTION("""COMPUTED_VALUE"""),"Topic: Allah ky sth Kisi ko shirk na therana")</f>
        <v>Topic: Allah ky sth Kisi ko shirk na therana</v>
      </c>
      <c r="W236" s="10"/>
      <c r="X236" s="10"/>
      <c r="Y236" s="14" t="str">
        <f>IFERROR(__xludf.DUMMYFUNCTION("""COMPUTED_VALUE"""),"afaqchsarkar445@gmail.com")</f>
        <v>afaqchsarkar445@gmail.com</v>
      </c>
      <c r="AA236" s="325">
        <v>1.0</v>
      </c>
    </row>
    <row r="237" hidden="1">
      <c r="A237" s="9">
        <f>IFERROR(__xludf.DUMMYFUNCTION("""COMPUTED_VALUE"""),45783.175838634255)</f>
        <v>45783.17584</v>
      </c>
      <c r="B237" s="10" t="str">
        <f>IFERROR(__xludf.DUMMYFUNCTION("""COMPUTED_VALUE"""),"Asim munir ")</f>
        <v>Asim munir </v>
      </c>
      <c r="C237" s="10" t="str">
        <f>IFERROR(__xludf.DUMMYFUNCTION("""COMPUTED_VALUE"""),"03005787199")</f>
        <v>03005787199</v>
      </c>
      <c r="D237" s="10" t="str">
        <f>IFERROR(__xludf.DUMMYFUNCTION("""COMPUTED_VALUE"""),"Jamia Masjid Noor Eman Wali Kashmir Bazar Lahore")</f>
        <v>Jamia Masjid Noor Eman Wali Kashmir Bazar Lahore</v>
      </c>
      <c r="E237" s="10" t="str">
        <f>IFERROR(__xludf.DUMMYFUNCTION("""COMPUTED_VALUE"""),"tnjaz")</f>
        <v>tnjaz</v>
      </c>
      <c r="F237" s="10">
        <f>IFERROR(__xludf.DUMMYFUNCTION("""COMPUTED_VALUE"""),315.0)</f>
        <v>315</v>
      </c>
      <c r="G237" s="10">
        <f>IFERROR(__xludf.DUMMYFUNCTION("""COMPUTED_VALUE"""),10.0)</f>
        <v>10</v>
      </c>
      <c r="H237" s="10">
        <f>IFERROR(__xludf.DUMMYFUNCTION("""COMPUTED_VALUE"""),10.0)</f>
        <v>10</v>
      </c>
      <c r="I237" s="10" t="str">
        <f>IFERROR(__xludf.DUMMYFUNCTION("""COMPUTED_VALUE"""),"No")</f>
        <v>No</v>
      </c>
      <c r="J237" s="10" t="str">
        <f>IFERROR(__xludf.DUMMYFUNCTION("""COMPUTED_VALUE"""),"0000")</f>
        <v>0000</v>
      </c>
      <c r="K237" s="10" t="str">
        <f>IFERROR(__xludf.DUMMYFUNCTION("""COMPUTED_VALUE"""),"Yes")</f>
        <v>Yes</v>
      </c>
      <c r="L237" s="10" t="str">
        <f>IFERROR(__xludf.DUMMYFUNCTION("""COMPUTED_VALUE"""),"No")</f>
        <v>No</v>
      </c>
      <c r="M237" s="10">
        <f>IFERROR(__xludf.DUMMYFUNCTION("""COMPUTED_VALUE"""),10.0)</f>
        <v>10</v>
      </c>
      <c r="N237" s="10" t="str">
        <f>IFERROR(__xludf.DUMMYFUNCTION("""COMPUTED_VALUE"""),"no")</f>
        <v>no</v>
      </c>
      <c r="O237" s="323">
        <f>IFERROR(__xludf.DUMMYFUNCTION("""COMPUTED_VALUE"""),0.0)</f>
        <v>0</v>
      </c>
      <c r="P237" s="10">
        <f>IFERROR(__xludf.DUMMYFUNCTION("""COMPUTED_VALUE"""),0.0)</f>
        <v>0</v>
      </c>
      <c r="Q237" s="10">
        <f>IFERROR(__xludf.DUMMYFUNCTION("""COMPUTED_VALUE"""),0.0)</f>
        <v>0</v>
      </c>
      <c r="R237" s="10">
        <f>IFERROR(__xludf.DUMMYFUNCTION("""COMPUTED_VALUE"""),0.0)</f>
        <v>0</v>
      </c>
      <c r="S237" s="10">
        <f>IFERROR(__xludf.DUMMYFUNCTION("""COMPUTED_VALUE"""),0.0)</f>
        <v>0</v>
      </c>
      <c r="T237" s="10"/>
      <c r="U237" s="18" t="str">
        <f>IFERROR(__xludf.DUMMYFUNCTION("""COMPUTED_VALUE"""),"https://drive.google.com/open?id=1uUAu7vXdzuxneWAVRBBP_fAA3bSn1Gen")</f>
        <v>https://drive.google.com/open?id=1uUAu7vXdzuxneWAVRBBP_fAA3bSn1Gen</v>
      </c>
      <c r="V237" s="10" t="str">
        <f>IFERROR(__xludf.DUMMYFUNCTION("""COMPUTED_VALUE"""),"No")</f>
        <v>No</v>
      </c>
      <c r="W237" s="10"/>
      <c r="X237" s="10" t="str">
        <f>IFERROR(__xludf.DUMMYFUNCTION("""COMPUTED_VALUE"""),"Yes")</f>
        <v>Yes</v>
      </c>
      <c r="Y237" s="14" t="str">
        <f>IFERROR(__xludf.DUMMYFUNCTION("""COMPUTED_VALUE"""),"asim.muneer9024@gmail.com")</f>
        <v>asim.muneer9024@gmail.com</v>
      </c>
      <c r="AA237" s="325">
        <v>4.0</v>
      </c>
    </row>
    <row r="238" hidden="1">
      <c r="A238" s="9">
        <f>IFERROR(__xludf.DUMMYFUNCTION("""COMPUTED_VALUE"""),45783.43379274306)</f>
        <v>45783.43379</v>
      </c>
      <c r="B238" s="10" t="str">
        <f>IFERROR(__xludf.DUMMYFUNCTION("""COMPUTED_VALUE"""),"Zaheer ")</f>
        <v>Zaheer </v>
      </c>
      <c r="C238" s="10" t="str">
        <f>IFERROR(__xludf.DUMMYFUNCTION("""COMPUTED_VALUE"""),"03217040700")</f>
        <v>03217040700</v>
      </c>
      <c r="D238" s="10" t="str">
        <f>IFERROR(__xludf.DUMMYFUNCTION("""COMPUTED_VALUE"""),"Madina Masjid chownk purani anarkali ")</f>
        <v>Madina Masjid chownk purani anarkali </v>
      </c>
      <c r="E238" s="10" t="str">
        <f>IFERROR(__xludf.DUMMYFUNCTION("""COMPUTED_VALUE"""),"bpozt")</f>
        <v>bpozt</v>
      </c>
      <c r="F238" s="10">
        <f>IFERROR(__xludf.DUMMYFUNCTION("""COMPUTED_VALUE"""),320.0)</f>
        <v>320</v>
      </c>
      <c r="G238" s="10">
        <f>IFERROR(__xludf.DUMMYFUNCTION("""COMPUTED_VALUE"""),3.0)</f>
        <v>3</v>
      </c>
      <c r="H238" s="10">
        <f>IFERROR(__xludf.DUMMYFUNCTION("""COMPUTED_VALUE"""),4.0)</f>
        <v>4</v>
      </c>
      <c r="I238" s="10" t="str">
        <f>IFERROR(__xludf.DUMMYFUNCTION("""COMPUTED_VALUE"""),"No")</f>
        <v>No</v>
      </c>
      <c r="J238" s="10">
        <f>IFERROR(__xludf.DUMMYFUNCTION("""COMPUTED_VALUE"""),1960.0)</f>
        <v>1960</v>
      </c>
      <c r="K238" s="10" t="str">
        <f>IFERROR(__xludf.DUMMYFUNCTION("""COMPUTED_VALUE"""),"No")</f>
        <v>No</v>
      </c>
      <c r="L238" s="10" t="str">
        <f>IFERROR(__xludf.DUMMYFUNCTION("""COMPUTED_VALUE"""),"No")</f>
        <v>No</v>
      </c>
      <c r="M238" s="10">
        <f>IFERROR(__xludf.DUMMYFUNCTION("""COMPUTED_VALUE"""),7.0)</f>
        <v>7</v>
      </c>
      <c r="N238" s="10" t="str">
        <f>IFERROR(__xludf.DUMMYFUNCTION("""COMPUTED_VALUE"""),"Yes")</f>
        <v>Yes</v>
      </c>
      <c r="O238" s="323">
        <f>IFERROR(__xludf.DUMMYFUNCTION("""COMPUTED_VALUE"""),0.6)</f>
        <v>0.6</v>
      </c>
      <c r="P238" s="10">
        <f>IFERROR(__xludf.DUMMYFUNCTION("""COMPUTED_VALUE"""),6.0)</f>
        <v>6</v>
      </c>
      <c r="Q238" s="10">
        <f>IFERROR(__xludf.DUMMYFUNCTION("""COMPUTED_VALUE"""),4.0)</f>
        <v>4</v>
      </c>
      <c r="R238" s="10">
        <f>IFERROR(__xludf.DUMMYFUNCTION("""COMPUTED_VALUE"""),4.0)</f>
        <v>4</v>
      </c>
      <c r="S238" s="18" t="str">
        <f>IFERROR(__xludf.DUMMYFUNCTION("""COMPUTED_VALUE"""),"https://drive.google.com/open?id=1no9yGyoe4wCfEfTSVgelSq_w_7-PlE8T")</f>
        <v>https://drive.google.com/open?id=1no9yGyoe4wCfEfTSVgelSq_w_7-PlE8T</v>
      </c>
      <c r="T238" s="18" t="str">
        <f>IFERROR(__xludf.DUMMYFUNCTION("""COMPUTED_VALUE"""),"https://drive.google.com/open?id=1ESE0Cvy9B4Zo-BlZRjr-tgkk2xgpTGgn")</f>
        <v>https://drive.google.com/open?id=1ESE0Cvy9B4Zo-BlZRjr-tgkk2xgpTGgn</v>
      </c>
      <c r="U238" s="18" t="str">
        <f>IFERROR(__xludf.DUMMYFUNCTION("""COMPUTED_VALUE"""),"https://drive.google.com/open?id=13pa9CDu1n8EUXsx-OqJsgAGs1-vXO7e8")</f>
        <v>https://drive.google.com/open?id=13pa9CDu1n8EUXsx-OqJsgAGs1-vXO7e8</v>
      </c>
      <c r="V238" s="10"/>
      <c r="W238" s="10"/>
      <c r="X238" s="10" t="str">
        <f>IFERROR(__xludf.DUMMYFUNCTION("""COMPUTED_VALUE"""),"Yes")</f>
        <v>Yes</v>
      </c>
      <c r="Y238" s="14" t="str">
        <f>IFERROR(__xludf.DUMMYFUNCTION("""COMPUTED_VALUE"""),"zbutt49@yahoo.com")</f>
        <v>zbutt49@yahoo.com</v>
      </c>
      <c r="AA238" s="325" t="s">
        <v>4</v>
      </c>
    </row>
    <row r="239" hidden="1">
      <c r="A239" s="9">
        <f>IFERROR(__xludf.DUMMYFUNCTION("""COMPUTED_VALUE"""),45791.58357472222)</f>
        <v>45791.58357</v>
      </c>
      <c r="B239" s="10" t="str">
        <f>IFERROR(__xludf.DUMMYFUNCTION("""COMPUTED_VALUE"""),"Farhat Abbas")</f>
        <v>Farhat Abbas</v>
      </c>
      <c r="C239" s="10" t="str">
        <f>IFERROR(__xludf.DUMMYFUNCTION("""COMPUTED_VALUE"""),"03217753289")</f>
        <v>03217753289</v>
      </c>
      <c r="D239" s="10" t="str">
        <f>IFERROR(__xludf.DUMMYFUNCTION("""COMPUTED_VALUE"""),"Jami Masjid ahl e sunnat railway Chowk malakwal ")</f>
        <v>Jami Masjid ahl e sunnat railway Chowk malakwal </v>
      </c>
      <c r="E239" s="10" t="str">
        <f>IFERROR(__xludf.DUMMYFUNCTION("""COMPUTED_VALUE"""),"ZMBIV")</f>
        <v>ZMBIV</v>
      </c>
      <c r="F239" s="10">
        <f>IFERROR(__xludf.DUMMYFUNCTION("""COMPUTED_VALUE"""),700.0)</f>
        <v>700</v>
      </c>
      <c r="G239" s="10">
        <f>IFERROR(__xludf.DUMMYFUNCTION("""COMPUTED_VALUE"""),10.0)</f>
        <v>10</v>
      </c>
      <c r="H239" s="10">
        <f>IFERROR(__xludf.DUMMYFUNCTION("""COMPUTED_VALUE"""),10.0)</f>
        <v>10</v>
      </c>
      <c r="I239" s="10">
        <f>IFERROR(__xludf.DUMMYFUNCTION("""COMPUTED_VALUE"""),0.0)</f>
        <v>0</v>
      </c>
      <c r="J239" s="10">
        <f>IFERROR(__xludf.DUMMYFUNCTION("""COMPUTED_VALUE"""),1995.0)</f>
        <v>1995</v>
      </c>
      <c r="K239" s="10" t="str">
        <f>IFERROR(__xludf.DUMMYFUNCTION("""COMPUTED_VALUE"""),"No")</f>
        <v>No</v>
      </c>
      <c r="L239" s="10" t="str">
        <f>IFERROR(__xludf.DUMMYFUNCTION("""COMPUTED_VALUE"""),"No")</f>
        <v>No</v>
      </c>
      <c r="M239" s="10">
        <f>IFERROR(__xludf.DUMMYFUNCTION("""COMPUTED_VALUE"""),9.0)</f>
        <v>9</v>
      </c>
      <c r="N239" s="10" t="str">
        <f>IFERROR(__xludf.DUMMYFUNCTION("""COMPUTED_VALUE"""),"Yes")</f>
        <v>Yes</v>
      </c>
      <c r="O239" s="323">
        <f>IFERROR(__xludf.DUMMYFUNCTION("""COMPUTED_VALUE"""),1.0)</f>
        <v>1</v>
      </c>
      <c r="P239" s="10">
        <f>IFERROR(__xludf.DUMMYFUNCTION("""COMPUTED_VALUE"""),10.0)</f>
        <v>10</v>
      </c>
      <c r="Q239" s="10">
        <f>IFERROR(__xludf.DUMMYFUNCTION("""COMPUTED_VALUE"""),4.0)</f>
        <v>4</v>
      </c>
      <c r="R239" s="10">
        <f>IFERROR(__xludf.DUMMYFUNCTION("""COMPUTED_VALUE"""),10.0)</f>
        <v>10</v>
      </c>
      <c r="S239" s="18" t="str">
        <f>IFERROR(__xludf.DUMMYFUNCTION("""COMPUTED_VALUE"""),"https://drive.google.com/open?id=13snFvHslYgfzlmsTwIwVMXtTh3T3Wixg")</f>
        <v>https://drive.google.com/open?id=13snFvHslYgfzlmsTwIwVMXtTh3T3Wixg</v>
      </c>
      <c r="T239" s="18" t="str">
        <f>IFERROR(__xludf.DUMMYFUNCTION("""COMPUTED_VALUE"""),"https://drive.google.com/open?id=1MMBMG-YW_9d-rLv9ZIGjql69bdKA3FMU")</f>
        <v>https://drive.google.com/open?id=1MMBMG-YW_9d-rLv9ZIGjql69bdKA3FMU</v>
      </c>
      <c r="U239" s="18" t="str">
        <f>IFERROR(__xludf.DUMMYFUNCTION("""COMPUTED_VALUE"""),"https://drive.google.com/open?id=1sn8p9pv3JpeCkea3DJArg2uEM9A_WclQ")</f>
        <v>https://drive.google.com/open?id=1sn8p9pv3JpeCkea3DJArg2uEM9A_WclQ</v>
      </c>
      <c r="V239" s="10"/>
      <c r="W239" s="10"/>
      <c r="X239" s="10" t="str">
        <f>IFERROR(__xludf.DUMMYFUNCTION("""COMPUTED_VALUE"""),"Yes")</f>
        <v>Yes</v>
      </c>
      <c r="Y239" s="14" t="str">
        <f>IFERROR(__xludf.DUMMYFUNCTION("""COMPUTED_VALUE"""),"mailforfarhat@gmail.com")</f>
        <v>mailforfarhat@gmail.com</v>
      </c>
      <c r="AA239" s="325">
        <v>2.0</v>
      </c>
    </row>
    <row r="240" hidden="1">
      <c r="A240" s="9">
        <f>IFERROR(__xludf.DUMMYFUNCTION("""COMPUTED_VALUE"""),45793.194313252316)</f>
        <v>45793.19431</v>
      </c>
      <c r="B240" s="10" t="str">
        <f>IFERROR(__xludf.DUMMYFUNCTION("""COMPUTED_VALUE"""),"Shamas")</f>
        <v>Shamas</v>
      </c>
      <c r="C240" s="10" t="str">
        <f>IFERROR(__xludf.DUMMYFUNCTION("""COMPUTED_VALUE"""),"03438080093")</f>
        <v>03438080093</v>
      </c>
      <c r="D240" s="10" t="str">
        <f>IFERROR(__xludf.DUMMYFUNCTION("""COMPUTED_VALUE"""),"Jamia Masjid Darbar Ismail Shah Bhukari ")</f>
        <v>Jamia Masjid Darbar Ismail Shah Bhukari </v>
      </c>
      <c r="E240" s="10" t="str">
        <f>IFERROR(__xludf.DUMMYFUNCTION("""COMPUTED_VALUE"""),"fevmy")</f>
        <v>fevmy</v>
      </c>
      <c r="F240" s="10">
        <f>IFERROR(__xludf.DUMMYFUNCTION("""COMPUTED_VALUE"""),225.0)</f>
        <v>225</v>
      </c>
      <c r="G240" s="10">
        <f>IFERROR(__xludf.DUMMYFUNCTION("""COMPUTED_VALUE"""),8.0)</f>
        <v>8</v>
      </c>
      <c r="H240" s="10">
        <f>IFERROR(__xludf.DUMMYFUNCTION("""COMPUTED_VALUE"""),7.0)</f>
        <v>7</v>
      </c>
      <c r="I240" s="10">
        <f>IFERROR(__xludf.DUMMYFUNCTION("""COMPUTED_VALUE"""),1.0)</f>
        <v>1</v>
      </c>
      <c r="J240" s="10">
        <f>IFERROR(__xludf.DUMMYFUNCTION("""COMPUTED_VALUE"""),1925.0)</f>
        <v>1925</v>
      </c>
      <c r="K240" s="10" t="str">
        <f>IFERROR(__xludf.DUMMYFUNCTION("""COMPUTED_VALUE"""),"No")</f>
        <v>No</v>
      </c>
      <c r="L240" s="10" t="str">
        <f>IFERROR(__xludf.DUMMYFUNCTION("""COMPUTED_VALUE"""),"Darbar Ismail Shah Bhukari ")</f>
        <v>Darbar Ismail Shah Bhukari </v>
      </c>
      <c r="M240" s="10">
        <f>IFERROR(__xludf.DUMMYFUNCTION("""COMPUTED_VALUE"""),9.0)</f>
        <v>9</v>
      </c>
      <c r="N240" s="10" t="str">
        <f>IFERROR(__xludf.DUMMYFUNCTION("""COMPUTED_VALUE"""),"Yes")</f>
        <v>Yes</v>
      </c>
      <c r="O240" s="323">
        <f>IFERROR(__xludf.DUMMYFUNCTION("""COMPUTED_VALUE"""),0.0)</f>
        <v>0</v>
      </c>
      <c r="P240" s="10">
        <f>IFERROR(__xludf.DUMMYFUNCTION("""COMPUTED_VALUE"""),0.0)</f>
        <v>0</v>
      </c>
      <c r="Q240" s="10">
        <f>IFERROR(__xludf.DUMMYFUNCTION("""COMPUTED_VALUE"""),10.0)</f>
        <v>10</v>
      </c>
      <c r="R240" s="10">
        <f>IFERROR(__xludf.DUMMYFUNCTION("""COMPUTED_VALUE"""),0.0)</f>
        <v>0</v>
      </c>
      <c r="S240" s="18" t="str">
        <f>IFERROR(__xludf.DUMMYFUNCTION("""COMPUTED_VALUE"""),"https://drive.google.com/open?id=1ffJX9rUlCSNtwX3DQL7F7OvkRiixYtxc")</f>
        <v>https://drive.google.com/open?id=1ffJX9rUlCSNtwX3DQL7F7OvkRiixYtxc</v>
      </c>
      <c r="T240" s="18" t="str">
        <f>IFERROR(__xludf.DUMMYFUNCTION("""COMPUTED_VALUE"""),"https://drive.google.com/open?id=1dquFgJnUPsAzLCo5dgR5RRJR3mG4npos")</f>
        <v>https://drive.google.com/open?id=1dquFgJnUPsAzLCo5dgR5RRJR3mG4npos</v>
      </c>
      <c r="U240" s="18" t="str">
        <f>IFERROR(__xludf.DUMMYFUNCTION("""COMPUTED_VALUE"""),"https://drive.google.com/open?id=1XWMWFUQrgIgzJV8sOCBNMlfiSwFYmX-2")</f>
        <v>https://drive.google.com/open?id=1XWMWFUQrgIgzJV8sOCBNMlfiSwFYmX-2</v>
      </c>
      <c r="V240" s="10"/>
      <c r="W240" s="10"/>
      <c r="X240" s="10" t="str">
        <f>IFERROR(__xludf.DUMMYFUNCTION("""COMPUTED_VALUE"""),"Yes")</f>
        <v>Yes</v>
      </c>
      <c r="Y240" s="14" t="str">
        <f>IFERROR(__xludf.DUMMYFUNCTION("""COMPUTED_VALUE"""),"haris.cerp@gmail.com")</f>
        <v>haris.cerp@gmail.com</v>
      </c>
      <c r="AA240" s="325">
        <v>4.0</v>
      </c>
    </row>
    <row r="241" hidden="1">
      <c r="A241" s="9">
        <f>IFERROR(__xludf.DUMMYFUNCTION("""COMPUTED_VALUE"""),45793.20812938658)</f>
        <v>45793.20813</v>
      </c>
      <c r="B241" s="10" t="str">
        <f>IFERROR(__xludf.DUMMYFUNCTION("""COMPUTED_VALUE"""),"Fareed Khan")</f>
        <v>Fareed Khan</v>
      </c>
      <c r="C241" s="10" t="str">
        <f>IFERROR(__xludf.DUMMYFUNCTION("""COMPUTED_VALUE"""),"03026624607")</f>
        <v>03026624607</v>
      </c>
      <c r="D241" s="10" t="str">
        <f>IFERROR(__xludf.DUMMYFUNCTION("""COMPUTED_VALUE"""),"Jamia Masjid Shah Ali Rangreez Lahore")</f>
        <v>Jamia Masjid Shah Ali Rangreez Lahore</v>
      </c>
      <c r="E241" s="10" t="str">
        <f>IFERROR(__xludf.DUMMYFUNCTION("""COMPUTED_VALUE"""),"fjkfw")</f>
        <v>fjkfw</v>
      </c>
      <c r="F241" s="10">
        <f>IFERROR(__xludf.DUMMYFUNCTION("""COMPUTED_VALUE"""),240.0)</f>
        <v>240</v>
      </c>
      <c r="G241" s="10">
        <f>IFERROR(__xludf.DUMMYFUNCTION("""COMPUTED_VALUE"""),9.0)</f>
        <v>9</v>
      </c>
      <c r="H241" s="10">
        <f>IFERROR(__xludf.DUMMYFUNCTION("""COMPUTED_VALUE"""),8.0)</f>
        <v>8</v>
      </c>
      <c r="I241" s="10">
        <f>IFERROR(__xludf.DUMMYFUNCTION("""COMPUTED_VALUE"""),0.0)</f>
        <v>0</v>
      </c>
      <c r="J241" s="10" t="str">
        <f>IFERROR(__xludf.DUMMYFUNCTION("""COMPUTED_VALUE"""),"0000")</f>
        <v>0000</v>
      </c>
      <c r="K241" s="10" t="str">
        <f>IFERROR(__xludf.DUMMYFUNCTION("""COMPUTED_VALUE"""),"No")</f>
        <v>No</v>
      </c>
      <c r="L241" s="10" t="str">
        <f>IFERROR(__xludf.DUMMYFUNCTION("""COMPUTED_VALUE"""),"Darbar Shah Ali Rangreez ")</f>
        <v>Darbar Shah Ali Rangreez </v>
      </c>
      <c r="M241" s="10">
        <f>IFERROR(__xludf.DUMMYFUNCTION("""COMPUTED_VALUE"""),9.0)</f>
        <v>9</v>
      </c>
      <c r="N241" s="10" t="str">
        <f>IFERROR(__xludf.DUMMYFUNCTION("""COMPUTED_VALUE"""),"No")</f>
        <v>No</v>
      </c>
      <c r="O241" s="10"/>
      <c r="P241" s="10"/>
      <c r="Q241" s="10"/>
      <c r="R241" s="10"/>
      <c r="S241" s="18" t="str">
        <f>IFERROR(__xludf.DUMMYFUNCTION("""COMPUTED_VALUE"""),"https://drive.google.com/open?id=1PvxPxfR7624UgfRqgfXm18ZEXvKspDmg")</f>
        <v>https://drive.google.com/open?id=1PvxPxfR7624UgfRqgfXm18ZEXvKspDmg</v>
      </c>
      <c r="T241" s="18" t="str">
        <f>IFERROR(__xludf.DUMMYFUNCTION("""COMPUTED_VALUE"""),"https://drive.google.com/open?id=1zspD3LBlEDOgBpi-sDBkDuVpEGcMg8NK")</f>
        <v>https://drive.google.com/open?id=1zspD3LBlEDOgBpi-sDBkDuVpEGcMg8NK</v>
      </c>
      <c r="U241" s="18" t="str">
        <f>IFERROR(__xludf.DUMMYFUNCTION("""COMPUTED_VALUE"""),"https://drive.google.com/open?id=1cPJswgGP0xJ3tQ_D7xdoSijsuph3oqSg")</f>
        <v>https://drive.google.com/open?id=1cPJswgGP0xJ3tQ_D7xdoSijsuph3oqSg</v>
      </c>
      <c r="V241" s="10"/>
      <c r="W241" s="10"/>
      <c r="X241" s="10"/>
      <c r="Y241" s="14" t="str">
        <f>IFERROR(__xludf.DUMMYFUNCTION("""COMPUTED_VALUE"""),"fareedkhanlalaji@gmail.com")</f>
        <v>fareedkhanlalaji@gmail.com</v>
      </c>
      <c r="AA241" s="325">
        <v>4.0</v>
      </c>
    </row>
    <row r="242" hidden="1">
      <c r="A242" s="9">
        <f>IFERROR(__xludf.DUMMYFUNCTION("""COMPUTED_VALUE"""),45793.21968368055)</f>
        <v>45793.21968</v>
      </c>
      <c r="B242" s="10" t="str">
        <f>IFERROR(__xludf.DUMMYFUNCTION("""COMPUTED_VALUE"""),"Adnan Bashir")</f>
        <v>Adnan Bashir</v>
      </c>
      <c r="C242" s="10" t="str">
        <f>IFERROR(__xludf.DUMMYFUNCTION("""COMPUTED_VALUE"""),"03466626866")</f>
        <v>03466626866</v>
      </c>
      <c r="D242" s="10" t="str">
        <f>IFERROR(__xludf.DUMMYFUNCTION("""COMPUTED_VALUE"""),"Jamia masjid PEERA MALAH Raheem Pura Sialkot ")</f>
        <v>Jamia masjid PEERA MALAH Raheem Pura Sialkot </v>
      </c>
      <c r="E242" s="10" t="str">
        <f>IFERROR(__xludf.DUMMYFUNCTION("""COMPUTED_VALUE"""),"Dkded")</f>
        <v>Dkded</v>
      </c>
      <c r="F242" s="10">
        <f>IFERROR(__xludf.DUMMYFUNCTION("""COMPUTED_VALUE"""),360.0)</f>
        <v>360</v>
      </c>
      <c r="G242" s="10">
        <f>IFERROR(__xludf.DUMMYFUNCTION("""COMPUTED_VALUE"""),8.0)</f>
        <v>8</v>
      </c>
      <c r="H242" s="10">
        <f>IFERROR(__xludf.DUMMYFUNCTION("""COMPUTED_VALUE"""),8.0)</f>
        <v>8</v>
      </c>
      <c r="I242" s="10">
        <f>IFERROR(__xludf.DUMMYFUNCTION("""COMPUTED_VALUE"""),0.0)</f>
        <v>0</v>
      </c>
      <c r="J242" s="10">
        <f>IFERROR(__xludf.DUMMYFUNCTION("""COMPUTED_VALUE"""),1983.0)</f>
        <v>1983</v>
      </c>
      <c r="K242" s="10" t="str">
        <f>IFERROR(__xludf.DUMMYFUNCTION("""COMPUTED_VALUE"""),"No")</f>
        <v>No</v>
      </c>
      <c r="L242" s="10" t="str">
        <f>IFERROR(__xludf.DUMMYFUNCTION("""COMPUTED_VALUE"""),"Yes")</f>
        <v>Yes</v>
      </c>
      <c r="M242" s="10">
        <f>IFERROR(__xludf.DUMMYFUNCTION("""COMPUTED_VALUE"""),7.0)</f>
        <v>7</v>
      </c>
      <c r="N242" s="10" t="str">
        <f>IFERROR(__xludf.DUMMYFUNCTION("""COMPUTED_VALUE"""),"No")</f>
        <v>No</v>
      </c>
      <c r="O242" s="10"/>
      <c r="P242" s="10"/>
      <c r="Q242" s="10"/>
      <c r="R242" s="10"/>
      <c r="S242" s="18" t="str">
        <f>IFERROR(__xludf.DUMMYFUNCTION("""COMPUTED_VALUE"""),"https://drive.google.com/open?id=1xqAGtVUYDDrzo_Wad-vuuqr7KCks_T7W")</f>
        <v>https://drive.google.com/open?id=1xqAGtVUYDDrzo_Wad-vuuqr7KCks_T7W</v>
      </c>
      <c r="T242" s="18" t="str">
        <f>IFERROR(__xludf.DUMMYFUNCTION("""COMPUTED_VALUE"""),"https://drive.google.com/open?id=1ilv9SOzIpY6fWIMGXbjFanaAkMTHIAqD")</f>
        <v>https://drive.google.com/open?id=1ilv9SOzIpY6fWIMGXbjFanaAkMTHIAqD</v>
      </c>
      <c r="U242" s="18" t="str">
        <f>IFERROR(__xludf.DUMMYFUNCTION("""COMPUTED_VALUE"""),"https://drive.google.com/open?id=1VxeAdn7KQQVZf32LCsXnHi9K5t6e-m8p")</f>
        <v>https://drive.google.com/open?id=1VxeAdn7KQQVZf32LCsXnHi9K5t6e-m8p</v>
      </c>
      <c r="V242" s="10"/>
      <c r="W242" s="10"/>
      <c r="X242" s="10"/>
      <c r="Y242" s="14" t="str">
        <f>IFERROR(__xludf.DUMMYFUNCTION("""COMPUTED_VALUE"""),"subhan.zulaied@gmaip.com")</f>
        <v>subhan.zulaied@gmaip.com</v>
      </c>
      <c r="AA242" s="325">
        <v>3.0</v>
      </c>
    </row>
    <row r="243" hidden="1">
      <c r="A243" s="9">
        <f>IFERROR(__xludf.DUMMYFUNCTION("""COMPUTED_VALUE"""),45793.2401015625)</f>
        <v>45793.2401</v>
      </c>
      <c r="B243" s="10" t="str">
        <f>IFERROR(__xludf.DUMMYFUNCTION("""COMPUTED_VALUE"""),"Muhammad Bakhsh ")</f>
        <v>Muhammad Bakhsh </v>
      </c>
      <c r="C243" s="10" t="str">
        <f>IFERROR(__xludf.DUMMYFUNCTION("""COMPUTED_VALUE"""),"03455751506")</f>
        <v>03455751506</v>
      </c>
      <c r="D243" s="10" t="str">
        <f>IFERROR(__xludf.DUMMYFUNCTION("""COMPUTED_VALUE""")," Jamia Masjid sadique Akbar")</f>
        <v> Jamia Masjid sadique Akbar</v>
      </c>
      <c r="E243" s="10" t="str">
        <f>IFERROR(__xludf.DUMMYFUNCTION("""COMPUTED_VALUE"""),"HOMVR")</f>
        <v>HOMVR</v>
      </c>
      <c r="F243" s="10">
        <f>IFERROR(__xludf.DUMMYFUNCTION("""COMPUTED_VALUE"""),150.0)</f>
        <v>150</v>
      </c>
      <c r="G243" s="10">
        <f>IFERROR(__xludf.DUMMYFUNCTION("""COMPUTED_VALUE"""),8.0)</f>
        <v>8</v>
      </c>
      <c r="H243" s="10">
        <f>IFERROR(__xludf.DUMMYFUNCTION("""COMPUTED_VALUE"""),8.0)</f>
        <v>8</v>
      </c>
      <c r="I243" s="10" t="str">
        <f>IFERROR(__xludf.DUMMYFUNCTION("""COMPUTED_VALUE"""),"No")</f>
        <v>No</v>
      </c>
      <c r="J243" s="10">
        <f>IFERROR(__xludf.DUMMYFUNCTION("""COMPUTED_VALUE"""),1945.0)</f>
        <v>1945</v>
      </c>
      <c r="K243" s="10" t="str">
        <f>IFERROR(__xludf.DUMMYFUNCTION("""COMPUTED_VALUE"""),"No")</f>
        <v>No</v>
      </c>
      <c r="L243" s="10" t="str">
        <f>IFERROR(__xludf.DUMMYFUNCTION("""COMPUTED_VALUE"""),"No")</f>
        <v>No</v>
      </c>
      <c r="M243" s="10">
        <f>IFERROR(__xludf.DUMMYFUNCTION("""COMPUTED_VALUE"""),9.0)</f>
        <v>9</v>
      </c>
      <c r="N243" s="10" t="str">
        <f>IFERROR(__xludf.DUMMYFUNCTION("""COMPUTED_VALUE"""),"No")</f>
        <v>No</v>
      </c>
      <c r="O243" s="10"/>
      <c r="P243" s="10"/>
      <c r="Q243" s="10"/>
      <c r="R243" s="10"/>
      <c r="S243" s="10"/>
      <c r="T243" s="10"/>
      <c r="U243" s="18" t="str">
        <f>IFERROR(__xludf.DUMMYFUNCTION("""COMPUTED_VALUE"""),"https://drive.google.com/open?id=1Iv1tZugaeQC2s01kxFgHEBJhsOoKDqF9")</f>
        <v>https://drive.google.com/open?id=1Iv1tZugaeQC2s01kxFgHEBJhsOoKDqF9</v>
      </c>
      <c r="V243" s="10"/>
      <c r="W243" s="10"/>
      <c r="X243" s="10"/>
      <c r="Y243" s="14" t="str">
        <f>IFERROR(__xludf.DUMMYFUNCTION("""COMPUTED_VALUE"""),"mb.gondal2016@gmail.com")</f>
        <v>mb.gondal2016@gmail.com</v>
      </c>
      <c r="AA243" s="325">
        <v>3.0</v>
      </c>
    </row>
    <row r="244" hidden="1">
      <c r="A244" s="9">
        <f>IFERROR(__xludf.DUMMYFUNCTION("""COMPUTED_VALUE"""),45793.24444958333)</f>
        <v>45793.24445</v>
      </c>
      <c r="B244" s="10" t="str">
        <f>IFERROR(__xludf.DUMMYFUNCTION("""COMPUTED_VALUE"""),"Muhammad Bakhsh")</f>
        <v>Muhammad Bakhsh</v>
      </c>
      <c r="C244" s="10" t="str">
        <f>IFERROR(__xludf.DUMMYFUNCTION("""COMPUTED_VALUE"""),"03455751506")</f>
        <v>03455751506</v>
      </c>
      <c r="D244" s="10" t="str">
        <f>IFERROR(__xludf.DUMMYFUNCTION("""COMPUTED_VALUE"""),"Jamia Masjid Sadique e Akbar Jholana M.B.D")</f>
        <v>Jamia Masjid Sadique e Akbar Jholana M.B.D</v>
      </c>
      <c r="E244" s="10" t="str">
        <f>IFERROR(__xludf.DUMMYFUNCTION("""COMPUTED_VALUE"""),"HOMVR")</f>
        <v>HOMVR</v>
      </c>
      <c r="F244" s="10">
        <f>IFERROR(__xludf.DUMMYFUNCTION("""COMPUTED_VALUE"""),150.0)</f>
        <v>150</v>
      </c>
      <c r="G244" s="10">
        <f>IFERROR(__xludf.DUMMYFUNCTION("""COMPUTED_VALUE"""),8.0)</f>
        <v>8</v>
      </c>
      <c r="H244" s="10">
        <f>IFERROR(__xludf.DUMMYFUNCTION("""COMPUTED_VALUE"""),8.0)</f>
        <v>8</v>
      </c>
      <c r="I244" s="10" t="str">
        <f>IFERROR(__xludf.DUMMYFUNCTION("""COMPUTED_VALUE"""),"No")</f>
        <v>No</v>
      </c>
      <c r="J244" s="10">
        <f>IFERROR(__xludf.DUMMYFUNCTION("""COMPUTED_VALUE"""),1945.0)</f>
        <v>1945</v>
      </c>
      <c r="K244" s="10" t="str">
        <f>IFERROR(__xludf.DUMMYFUNCTION("""COMPUTED_VALUE"""),"No")</f>
        <v>No</v>
      </c>
      <c r="L244" s="10" t="str">
        <f>IFERROR(__xludf.DUMMYFUNCTION("""COMPUTED_VALUE"""),"No")</f>
        <v>No</v>
      </c>
      <c r="M244" s="10">
        <f>IFERROR(__xludf.DUMMYFUNCTION("""COMPUTED_VALUE"""),8.0)</f>
        <v>8</v>
      </c>
      <c r="N244" s="10" t="str">
        <f>IFERROR(__xludf.DUMMYFUNCTION("""COMPUTED_VALUE"""),"No")</f>
        <v>No</v>
      </c>
      <c r="O244" s="10"/>
      <c r="P244" s="10"/>
      <c r="Q244" s="10"/>
      <c r="R244" s="10"/>
      <c r="S244" s="10"/>
      <c r="T244" s="18" t="str">
        <f>IFERROR(__xludf.DUMMYFUNCTION("""COMPUTED_VALUE"""),"https://drive.google.com/open?id=1m8ECLy3gFGQSWaa2HPZD3ICs21UONSyP")</f>
        <v>https://drive.google.com/open?id=1m8ECLy3gFGQSWaa2HPZD3ICs21UONSyP</v>
      </c>
      <c r="U244" s="18" t="str">
        <f>IFERROR(__xludf.DUMMYFUNCTION("""COMPUTED_VALUE"""),"https://drive.google.com/open?id=1_OUZwguggL27O-3UcdRefr91IxOzhT-q")</f>
        <v>https://drive.google.com/open?id=1_OUZwguggL27O-3UcdRefr91IxOzhT-q</v>
      </c>
      <c r="V244" s="10"/>
      <c r="W244" s="10"/>
      <c r="X244" s="10"/>
      <c r="Y244" s="14" t="str">
        <f>IFERROR(__xludf.DUMMYFUNCTION("""COMPUTED_VALUE"""),"mb.gondal2016@gmail.com")</f>
        <v>mb.gondal2016@gmail.com</v>
      </c>
      <c r="AA244" s="325" t="s">
        <v>4</v>
      </c>
    </row>
    <row r="245" hidden="1">
      <c r="A245" s="9">
        <f>IFERROR(__xludf.DUMMYFUNCTION("""COMPUTED_VALUE"""),45793.245813368056)</f>
        <v>45793.24581</v>
      </c>
      <c r="B245" s="10" t="str">
        <f>IFERROR(__xludf.DUMMYFUNCTION("""COMPUTED_VALUE"""),"Ameer hamza ")</f>
        <v>Ameer hamza </v>
      </c>
      <c r="C245" s="10" t="str">
        <f>IFERROR(__xludf.DUMMYFUNCTION("""COMPUTED_VALUE"""),"03071778530")</f>
        <v>03071778530</v>
      </c>
      <c r="D245" s="10" t="str">
        <f>IFERROR(__xludf.DUMMYFUNCTION("""COMPUTED_VALUE"""),"	.....Jamia Masjid Madina Purani Anarkali Lahore. .")</f>
        <v>	.....Jamia Masjid Madina Purani Anarkali Lahore. .</v>
      </c>
      <c r="E245" s="10" t="str">
        <f>IFERROR(__xludf.DUMMYFUNCTION("""COMPUTED_VALUE"""),"bpozt")</f>
        <v>bpozt</v>
      </c>
      <c r="F245" s="10">
        <f>IFERROR(__xludf.DUMMYFUNCTION("""COMPUTED_VALUE"""),450.0)</f>
        <v>450</v>
      </c>
      <c r="G245" s="10">
        <f>IFERROR(__xludf.DUMMYFUNCTION("""COMPUTED_VALUE"""),5.0)</f>
        <v>5</v>
      </c>
      <c r="H245" s="10">
        <f>IFERROR(__xludf.DUMMYFUNCTION("""COMPUTED_VALUE"""),4.0)</f>
        <v>4</v>
      </c>
      <c r="I245" s="10">
        <f>IFERROR(__xludf.DUMMYFUNCTION("""COMPUTED_VALUE"""),3.0)</f>
        <v>3</v>
      </c>
      <c r="J245" s="10">
        <f>IFERROR(__xludf.DUMMYFUNCTION("""COMPUTED_VALUE"""),1966.0)</f>
        <v>1966</v>
      </c>
      <c r="K245" s="10" t="str">
        <f>IFERROR(__xludf.DUMMYFUNCTION("""COMPUTED_VALUE"""),"No")</f>
        <v>No</v>
      </c>
      <c r="L245" s="10" t="str">
        <f>IFERROR(__xludf.DUMMYFUNCTION("""COMPUTED_VALUE"""),"Nhi")</f>
        <v>Nhi</v>
      </c>
      <c r="M245" s="10">
        <f>IFERROR(__xludf.DUMMYFUNCTION("""COMPUTED_VALUE"""),7.0)</f>
        <v>7</v>
      </c>
      <c r="N245" s="10" t="str">
        <f>IFERROR(__xludf.DUMMYFUNCTION("""COMPUTED_VALUE"""),"Yes")</f>
        <v>Yes</v>
      </c>
      <c r="O245" s="323">
        <f>IFERROR(__xludf.DUMMYFUNCTION("""COMPUTED_VALUE"""),0.1)</f>
        <v>0.1</v>
      </c>
      <c r="P245" s="10">
        <f>IFERROR(__xludf.DUMMYFUNCTION("""COMPUTED_VALUE"""),2.0)</f>
        <v>2</v>
      </c>
      <c r="Q245" s="10">
        <f>IFERROR(__xludf.DUMMYFUNCTION("""COMPUTED_VALUE"""),9.0)</f>
        <v>9</v>
      </c>
      <c r="R245" s="10">
        <f>IFERROR(__xludf.DUMMYFUNCTION("""COMPUTED_VALUE"""),1.0)</f>
        <v>1</v>
      </c>
      <c r="S245" s="18" t="str">
        <f>IFERROR(__xludf.DUMMYFUNCTION("""COMPUTED_VALUE"""),"https://drive.google.com/open?id=1KnyfWBAt2ZdwOLPgMQvrmql3AMXAsn_p")</f>
        <v>https://drive.google.com/open?id=1KnyfWBAt2ZdwOLPgMQvrmql3AMXAsn_p</v>
      </c>
      <c r="T245" s="18" t="str">
        <f>IFERROR(__xludf.DUMMYFUNCTION("""COMPUTED_VALUE"""),"https://drive.google.com/open?id=16MgfxiW-W0oEGpyejvLuxTuel34JeEMM")</f>
        <v>https://drive.google.com/open?id=16MgfxiW-W0oEGpyejvLuxTuel34JeEMM</v>
      </c>
      <c r="U245" s="18" t="str">
        <f>IFERROR(__xludf.DUMMYFUNCTION("""COMPUTED_VALUE"""),"https://drive.google.com/open?id=1XRaAJrZVyyZax-zPYQuPBs1CWBKL-Qwe")</f>
        <v>https://drive.google.com/open?id=1XRaAJrZVyyZax-zPYQuPBs1CWBKL-Qwe</v>
      </c>
      <c r="V245" s="10"/>
      <c r="W245" s="10"/>
      <c r="X245" s="10" t="str">
        <f>IFERROR(__xludf.DUMMYFUNCTION("""COMPUTED_VALUE"""),"Yes")</f>
        <v>Yes</v>
      </c>
      <c r="Y245" s="14" t="str">
        <f>IFERROR(__xludf.DUMMYFUNCTION("""COMPUTED_VALUE"""),"uetianhamza8@gmail.com")</f>
        <v>uetianhamza8@gmail.com</v>
      </c>
      <c r="AA245" s="325">
        <v>5.0</v>
      </c>
    </row>
    <row r="246" hidden="1">
      <c r="A246" s="9">
        <f>IFERROR(__xludf.DUMMYFUNCTION("""COMPUTED_VALUE"""),45793.24910586806)</f>
        <v>45793.24911</v>
      </c>
      <c r="B246" s="10" t="str">
        <f>IFERROR(__xludf.DUMMYFUNCTION("""COMPUTED_VALUE"""),"Nisar Ali Nasir ")</f>
        <v>Nisar Ali Nasir </v>
      </c>
      <c r="C246" s="10" t="str">
        <f>IFERROR(__xludf.DUMMYFUNCTION("""COMPUTED_VALUE"""),"03445131452")</f>
        <v>03445131452</v>
      </c>
      <c r="D246" s="10" t="str">
        <f>IFERROR(__xludf.DUMMYFUNCTION("""COMPUTED_VALUE"""),"Jamia masjid darbar badshan khushab ")</f>
        <v>Jamia masjid darbar badshan khushab </v>
      </c>
      <c r="E246" s="10" t="str">
        <f>IFERROR(__xludf.DUMMYFUNCTION("""COMPUTED_VALUE"""),"GXKKX")</f>
        <v>GXKKX</v>
      </c>
      <c r="F246" s="10">
        <f>IFERROR(__xludf.DUMMYFUNCTION("""COMPUTED_VALUE"""),370.0)</f>
        <v>370</v>
      </c>
      <c r="G246" s="10">
        <f>IFERROR(__xludf.DUMMYFUNCTION("""COMPUTED_VALUE"""),5.0)</f>
        <v>5</v>
      </c>
      <c r="H246" s="10">
        <f>IFERROR(__xludf.DUMMYFUNCTION("""COMPUTED_VALUE"""),5.0)</f>
        <v>5</v>
      </c>
      <c r="I246" s="10">
        <f>IFERROR(__xludf.DUMMYFUNCTION("""COMPUTED_VALUE"""),1.0)</f>
        <v>1</v>
      </c>
      <c r="J246" s="10">
        <f>IFERROR(__xludf.DUMMYFUNCTION("""COMPUTED_VALUE"""),1800.0)</f>
        <v>1800</v>
      </c>
      <c r="K246" s="10" t="str">
        <f>IFERROR(__xludf.DUMMYFUNCTION("""COMPUTED_VALUE"""),"Yes")</f>
        <v>Yes</v>
      </c>
      <c r="L246" s="10" t="str">
        <f>IFERROR(__xludf.DUMMYFUNCTION("""COMPUTED_VALUE"""),"Badshan darbar ")</f>
        <v>Badshan darbar </v>
      </c>
      <c r="M246" s="10">
        <f>IFERROR(__xludf.DUMMYFUNCTION("""COMPUTED_VALUE"""),9.0)</f>
        <v>9</v>
      </c>
      <c r="N246" s="10" t="str">
        <f>IFERROR(__xludf.DUMMYFUNCTION("""COMPUTED_VALUE"""),"No")</f>
        <v>No</v>
      </c>
      <c r="O246" s="10"/>
      <c r="P246" s="10"/>
      <c r="Q246" s="10"/>
      <c r="R246" s="10"/>
      <c r="S246" s="18" t="str">
        <f>IFERROR(__xludf.DUMMYFUNCTION("""COMPUTED_VALUE"""),"https://drive.google.com/open?id=1UNf0RKDEyTkteRy02NkMMuykPo4duoPW")</f>
        <v>https://drive.google.com/open?id=1UNf0RKDEyTkteRy02NkMMuykPo4duoPW</v>
      </c>
      <c r="T246" s="18" t="str">
        <f>IFERROR(__xludf.DUMMYFUNCTION("""COMPUTED_VALUE"""),"https://drive.google.com/open?id=1ODoIyD3pv2ZxE783Jjd9nxZy3i1vvB7v")</f>
        <v>https://drive.google.com/open?id=1ODoIyD3pv2ZxE783Jjd9nxZy3i1vvB7v</v>
      </c>
      <c r="U246" s="18" t="str">
        <f>IFERROR(__xludf.DUMMYFUNCTION("""COMPUTED_VALUE"""),"https://drive.google.com/open?id=18SVI63sKqR48swQ9Jfq_K6k1xYT4h4tt")</f>
        <v>https://drive.google.com/open?id=18SVI63sKqR48swQ9Jfq_K6k1xYT4h4tt</v>
      </c>
      <c r="V246" s="10"/>
      <c r="W246" s="10"/>
      <c r="X246" s="10"/>
      <c r="Y246" s="14" t="str">
        <f>IFERROR(__xludf.DUMMYFUNCTION("""COMPUTED_VALUE"""),"nisaralinasir4@gmail.com")</f>
        <v>nisaralinasir4@gmail.com</v>
      </c>
      <c r="AA246" s="325">
        <v>3.0</v>
      </c>
    </row>
    <row r="247" hidden="1">
      <c r="A247" s="9">
        <f>IFERROR(__xludf.DUMMYFUNCTION("""COMPUTED_VALUE"""),45793.25067804398)</f>
        <v>45793.25068</v>
      </c>
      <c r="B247" s="10" t="str">
        <f>IFERROR(__xludf.DUMMYFUNCTION("""COMPUTED_VALUE"""),"Sulaman")</f>
        <v>Sulaman</v>
      </c>
      <c r="C247" s="10" t="str">
        <f>IFERROR(__xludf.DUMMYFUNCTION("""COMPUTED_VALUE"""),"03126136070")</f>
        <v>03126136070</v>
      </c>
      <c r="D247" s="10" t="str">
        <f>IFERROR(__xludf.DUMMYFUNCTION("""COMPUTED_VALUE"""),"جامع مسجد کرم الٰہی سرکار")</f>
        <v>جامع مسجد کرم الٰہی سرکار</v>
      </c>
      <c r="E247" s="10" t="str">
        <f>IFERROR(__xludf.DUMMYFUNCTION("""COMPUTED_VALUE"""),"Sxnpd")</f>
        <v>Sxnpd</v>
      </c>
      <c r="F247" s="10">
        <f>IFERROR(__xludf.DUMMYFUNCTION("""COMPUTED_VALUE"""),145.0)</f>
        <v>145</v>
      </c>
      <c r="G247" s="10">
        <f>IFERROR(__xludf.DUMMYFUNCTION("""COMPUTED_VALUE"""),8.0)</f>
        <v>8</v>
      </c>
      <c r="H247" s="10">
        <f>IFERROR(__xludf.DUMMYFUNCTION("""COMPUTED_VALUE"""),7.0)</f>
        <v>7</v>
      </c>
      <c r="I247" s="10">
        <f>IFERROR(__xludf.DUMMYFUNCTION("""COMPUTED_VALUE"""),2.0)</f>
        <v>2</v>
      </c>
      <c r="J247" s="10" t="str">
        <f>IFERROR(__xludf.DUMMYFUNCTION("""COMPUTED_VALUE"""),"0000")</f>
        <v>0000</v>
      </c>
      <c r="K247" s="10" t="str">
        <f>IFERROR(__xludf.DUMMYFUNCTION("""COMPUTED_VALUE"""),"No")</f>
        <v>No</v>
      </c>
      <c r="L247" s="10" t="str">
        <f>IFERROR(__xludf.DUMMYFUNCTION("""COMPUTED_VALUE"""),"سائیں کانواں والی سرکار ")</f>
        <v>سائیں کانواں والی سرکار </v>
      </c>
      <c r="M247" s="10">
        <f>IFERROR(__xludf.DUMMYFUNCTION("""COMPUTED_VALUE"""),8.0)</f>
        <v>8</v>
      </c>
      <c r="N247" s="10" t="str">
        <f>IFERROR(__xludf.DUMMYFUNCTION("""COMPUTED_VALUE"""),"Yes")</f>
        <v>Yes</v>
      </c>
      <c r="O247" s="323">
        <f>IFERROR(__xludf.DUMMYFUNCTION("""COMPUTED_VALUE"""),0.8)</f>
        <v>0.8</v>
      </c>
      <c r="P247" s="10">
        <f>IFERROR(__xludf.DUMMYFUNCTION("""COMPUTED_VALUE"""),8.0)</f>
        <v>8</v>
      </c>
      <c r="Q247" s="10">
        <f>IFERROR(__xludf.DUMMYFUNCTION("""COMPUTED_VALUE"""),1.0)</f>
        <v>1</v>
      </c>
      <c r="R247" s="10">
        <f>IFERROR(__xludf.DUMMYFUNCTION("""COMPUTED_VALUE"""),9.0)</f>
        <v>9</v>
      </c>
      <c r="S247" s="10"/>
      <c r="T247" s="10"/>
      <c r="U247" s="18" t="str">
        <f>IFERROR(__xludf.DUMMYFUNCTION("""COMPUTED_VALUE"""),"https://drive.google.com/open?id=1VDHQJPuWDUuWuRpl5-uP1WM43tjpIFMA")</f>
        <v>https://drive.google.com/open?id=1VDHQJPuWDUuWuRpl5-uP1WM43tjpIFMA</v>
      </c>
      <c r="V247" s="10"/>
      <c r="W247" s="10"/>
      <c r="X247" s="10" t="str">
        <f>IFERROR(__xludf.DUMMYFUNCTION("""COMPUTED_VALUE"""),"Yes")</f>
        <v>Yes</v>
      </c>
      <c r="Y247" s="14" t="str">
        <f>IFERROR(__xludf.DUMMYFUNCTION("""COMPUTED_VALUE"""),"sulamanasghar69@gmail.com")</f>
        <v>sulamanasghar69@gmail.com</v>
      </c>
      <c r="AA247" s="325">
        <v>3.0</v>
      </c>
    </row>
    <row r="248" hidden="1">
      <c r="A248" s="9">
        <f>IFERROR(__xludf.DUMMYFUNCTION("""COMPUTED_VALUE"""),45793.25282248843)</f>
        <v>45793.25282</v>
      </c>
      <c r="B248" s="10" t="str">
        <f>IFERROR(__xludf.DUMMYFUNCTION("""COMPUTED_VALUE"""),"Shoaib")</f>
        <v>Shoaib</v>
      </c>
      <c r="C248" s="10" t="str">
        <f>IFERROR(__xludf.DUMMYFUNCTION("""COMPUTED_VALUE"""),"03018698469")</f>
        <v>03018698469</v>
      </c>
      <c r="D248" s="10" t="str">
        <f>IFERROR(__xludf.DUMMYFUNCTION("""COMPUTED_VALUE"""),"Jamia masjid ashrafiya gol chok Sargodha ")</f>
        <v>Jamia masjid ashrafiya gol chok Sargodha </v>
      </c>
      <c r="E248" s="10" t="str">
        <f>IFERROR(__xludf.DUMMYFUNCTION("""COMPUTED_VALUE"""),"Palog")</f>
        <v>Palog</v>
      </c>
      <c r="F248" s="10">
        <f>IFERROR(__xludf.DUMMYFUNCTION("""COMPUTED_VALUE"""),830.0)</f>
        <v>830</v>
      </c>
      <c r="G248" s="10">
        <f>IFERROR(__xludf.DUMMYFUNCTION("""COMPUTED_VALUE"""),8.0)</f>
        <v>8</v>
      </c>
      <c r="H248" s="10">
        <f>IFERROR(__xludf.DUMMYFUNCTION("""COMPUTED_VALUE"""),7.0)</f>
        <v>7</v>
      </c>
      <c r="I248" s="10">
        <f>IFERROR(__xludf.DUMMYFUNCTION("""COMPUTED_VALUE"""),3.0)</f>
        <v>3</v>
      </c>
      <c r="J248" s="10">
        <f>IFERROR(__xludf.DUMMYFUNCTION("""COMPUTED_VALUE"""),1930.0)</f>
        <v>1930</v>
      </c>
      <c r="K248" s="10" t="str">
        <f>IFERROR(__xludf.DUMMYFUNCTION("""COMPUTED_VALUE"""),"No")</f>
        <v>No</v>
      </c>
      <c r="L248" s="10" t="str">
        <f>IFERROR(__xludf.DUMMYFUNCTION("""COMPUTED_VALUE"""),"No")</f>
        <v>No</v>
      </c>
      <c r="M248" s="10">
        <f>IFERROR(__xludf.DUMMYFUNCTION("""COMPUTED_VALUE"""),10.0)</f>
        <v>10</v>
      </c>
      <c r="N248" s="10" t="str">
        <f>IFERROR(__xludf.DUMMYFUNCTION("""COMPUTED_VALUE"""),"No")</f>
        <v>No</v>
      </c>
      <c r="O248" s="10"/>
      <c r="P248" s="10"/>
      <c r="Q248" s="10"/>
      <c r="R248" s="10"/>
      <c r="S248" s="18" t="str">
        <f>IFERROR(__xludf.DUMMYFUNCTION("""COMPUTED_VALUE"""),"https://drive.google.com/open?id=10nqpp_-xLffz_eWRWY4rOjHZHOBLYS49")</f>
        <v>https://drive.google.com/open?id=10nqpp_-xLffz_eWRWY4rOjHZHOBLYS49</v>
      </c>
      <c r="T248" s="18" t="str">
        <f>IFERROR(__xludf.DUMMYFUNCTION("""COMPUTED_VALUE"""),"https://drive.google.com/open?id=1fOUyFObSuzb6sHACFDeqytwDGx3UHxZ-")</f>
        <v>https://drive.google.com/open?id=1fOUyFObSuzb6sHACFDeqytwDGx3UHxZ-</v>
      </c>
      <c r="U248" s="18" t="str">
        <f>IFERROR(__xludf.DUMMYFUNCTION("""COMPUTED_VALUE"""),"https://drive.google.com/open?id=1FDCjAnEm3REAFI9jvsUCZ1V-latlVLMC")</f>
        <v>https://drive.google.com/open?id=1FDCjAnEm3REAFI9jvsUCZ1V-latlVLMC</v>
      </c>
      <c r="V248" s="10" t="str">
        <f>IFERROR(__xludf.DUMMYFUNCTION("""COMPUTED_VALUE"""),"No")</f>
        <v>No</v>
      </c>
      <c r="W248" s="10"/>
      <c r="X248" s="10"/>
      <c r="Y248" s="14" t="str">
        <f>IFERROR(__xludf.DUMMYFUNCTION("""COMPUTED_VALUE"""),"shoaibmukhtar073@gmail.com")</f>
        <v>shoaibmukhtar073@gmail.com</v>
      </c>
      <c r="AA248" s="325">
        <v>3.0</v>
      </c>
    </row>
    <row r="249" hidden="1">
      <c r="A249" s="9">
        <f>IFERROR(__xludf.DUMMYFUNCTION("""COMPUTED_VALUE"""),45793.2839666088)</f>
        <v>45793.28397</v>
      </c>
      <c r="B249" s="10" t="str">
        <f>IFERROR(__xludf.DUMMYFUNCTION("""COMPUTED_VALUE"""),"Hassan Farooq ")</f>
        <v>Hassan Farooq </v>
      </c>
      <c r="C249" s="10" t="str">
        <f>IFERROR(__xludf.DUMMYFUNCTION("""COMPUTED_VALUE"""),"03057252835")</f>
        <v>03057252835</v>
      </c>
      <c r="D249" s="10" t="str">
        <f>IFERROR(__xludf.DUMMYFUNCTION("""COMPUTED_VALUE"""),"Jamia masjid main bazar ahle sunnat ")</f>
        <v>Jamia masjid main bazar ahle sunnat </v>
      </c>
      <c r="E249" s="10" t="str">
        <f>IFERROR(__xludf.DUMMYFUNCTION("""COMPUTED_VALUE"""),"obntr")</f>
        <v>obntr</v>
      </c>
      <c r="F249" s="10">
        <f>IFERROR(__xludf.DUMMYFUNCTION("""COMPUTED_VALUE"""),250.0)</f>
        <v>250</v>
      </c>
      <c r="G249" s="10">
        <f>IFERROR(__xludf.DUMMYFUNCTION("""COMPUTED_VALUE"""),9.0)</f>
        <v>9</v>
      </c>
      <c r="H249" s="10">
        <f>IFERROR(__xludf.DUMMYFUNCTION("""COMPUTED_VALUE"""),8.0)</f>
        <v>8</v>
      </c>
      <c r="I249" s="10">
        <f>IFERROR(__xludf.DUMMYFUNCTION("""COMPUTED_VALUE"""),1.0)</f>
        <v>1</v>
      </c>
      <c r="J249" s="10">
        <f>IFERROR(__xludf.DUMMYFUNCTION("""COMPUTED_VALUE"""),1925.0)</f>
        <v>1925</v>
      </c>
      <c r="K249" s="10" t="str">
        <f>IFERROR(__xludf.DUMMYFUNCTION("""COMPUTED_VALUE"""),"No")</f>
        <v>No</v>
      </c>
      <c r="L249" s="10" t="str">
        <f>IFERROR(__xludf.DUMMYFUNCTION("""COMPUTED_VALUE"""),"no")</f>
        <v>no</v>
      </c>
      <c r="M249" s="10">
        <f>IFERROR(__xludf.DUMMYFUNCTION("""COMPUTED_VALUE"""),9.0)</f>
        <v>9</v>
      </c>
      <c r="N249" s="10" t="str">
        <f>IFERROR(__xludf.DUMMYFUNCTION("""COMPUTED_VALUE"""),"Yes")</f>
        <v>Yes</v>
      </c>
      <c r="O249" s="323">
        <f>IFERROR(__xludf.DUMMYFUNCTION("""COMPUTED_VALUE"""),0.9)</f>
        <v>0.9</v>
      </c>
      <c r="P249" s="10">
        <f>IFERROR(__xludf.DUMMYFUNCTION("""COMPUTED_VALUE"""),9.0)</f>
        <v>9</v>
      </c>
      <c r="Q249" s="10">
        <f>IFERROR(__xludf.DUMMYFUNCTION("""COMPUTED_VALUE"""),1.0)</f>
        <v>1</v>
      </c>
      <c r="R249" s="10">
        <f>IFERROR(__xludf.DUMMYFUNCTION("""COMPUTED_VALUE"""),9.0)</f>
        <v>9</v>
      </c>
      <c r="S249" s="18" t="str">
        <f>IFERROR(__xludf.DUMMYFUNCTION("""COMPUTED_VALUE"""),"https://drive.google.com/open?id=1R0GKayjCKTFTYHpYGV8F0YTdmyQAscCk")</f>
        <v>https://drive.google.com/open?id=1R0GKayjCKTFTYHpYGV8F0YTdmyQAscCk</v>
      </c>
      <c r="T249" s="18" t="str">
        <f>IFERROR(__xludf.DUMMYFUNCTION("""COMPUTED_VALUE"""),"https://drive.google.com/open?id=1rE8alas7F9z6FArhcCoEX9Bv3yy6dqzl")</f>
        <v>https://drive.google.com/open?id=1rE8alas7F9z6FArhcCoEX9Bv3yy6dqzl</v>
      </c>
      <c r="U249" s="18" t="str">
        <f>IFERROR(__xludf.DUMMYFUNCTION("""COMPUTED_VALUE"""),"https://drive.google.com/open?id=1jGbvnSaohPxducctb-AOySmbFHvZWNUs")</f>
        <v>https://drive.google.com/open?id=1jGbvnSaohPxducctb-AOySmbFHvZWNUs</v>
      </c>
      <c r="V249" s="10" t="str">
        <f>IFERROR(__xludf.DUMMYFUNCTION("""COMPUTED_VALUE"""),"No")</f>
        <v>No</v>
      </c>
      <c r="W249" s="10"/>
      <c r="X249" s="10" t="str">
        <f>IFERROR(__xludf.DUMMYFUNCTION("""COMPUTED_VALUE"""),"Yes")</f>
        <v>Yes</v>
      </c>
      <c r="Y249" s="14" t="str">
        <f>IFERROR(__xludf.DUMMYFUNCTION("""COMPUTED_VALUE"""),"hassanmalik00100200@gmail.com")</f>
        <v>hassanmalik00100200@gmail.com</v>
      </c>
      <c r="AA249" s="325">
        <v>3.0</v>
      </c>
    </row>
    <row r="250" hidden="1">
      <c r="A250" s="9">
        <f>IFERROR(__xludf.DUMMYFUNCTION("""COMPUTED_VALUE"""),45793.29377831018)</f>
        <v>45793.29378</v>
      </c>
      <c r="B250" s="10" t="str">
        <f>IFERROR(__xludf.DUMMYFUNCTION("""COMPUTED_VALUE"""),"Sheri")</f>
        <v>Sheri</v>
      </c>
      <c r="C250" s="10" t="str">
        <f>IFERROR(__xludf.DUMMYFUNCTION("""COMPUTED_VALUE"""),"03")</f>
        <v>03</v>
      </c>
      <c r="D250" s="10" t="str">
        <f>IFERROR(__xludf.DUMMYFUNCTION("""COMPUTED_VALUE"""),"Jamia Masjid Chowk Dalkara Lahore ")</f>
        <v>Jamia Masjid Chowk Dalkara Lahore </v>
      </c>
      <c r="E250" s="10" t="str">
        <f>IFERROR(__xludf.DUMMYFUNCTION("""COMPUTED_VALUE"""),"Wywfr")</f>
        <v>Wywfr</v>
      </c>
      <c r="F250" s="10">
        <f>IFERROR(__xludf.DUMMYFUNCTION("""COMPUTED_VALUE"""),548.0)</f>
        <v>548</v>
      </c>
      <c r="G250" s="10">
        <f>IFERROR(__xludf.DUMMYFUNCTION("""COMPUTED_VALUE"""),8.0)</f>
        <v>8</v>
      </c>
      <c r="H250" s="10">
        <f>IFERROR(__xludf.DUMMYFUNCTION("""COMPUTED_VALUE"""),7.0)</f>
        <v>7</v>
      </c>
      <c r="I250" s="10">
        <f>IFERROR(__xludf.DUMMYFUNCTION("""COMPUTED_VALUE"""),2.0)</f>
        <v>2</v>
      </c>
      <c r="J250" s="10" t="str">
        <f>IFERROR(__xludf.DUMMYFUNCTION("""COMPUTED_VALUE"""),"0000")</f>
        <v>0000</v>
      </c>
      <c r="K250" s="10" t="str">
        <f>IFERROR(__xludf.DUMMYFUNCTION("""COMPUTED_VALUE"""),"No")</f>
        <v>No</v>
      </c>
      <c r="L250" s="10" t="str">
        <f>IFERROR(__xludf.DUMMYFUNCTION("""COMPUTED_VALUE"""),"No")</f>
        <v>No</v>
      </c>
      <c r="M250" s="10">
        <f>IFERROR(__xludf.DUMMYFUNCTION("""COMPUTED_VALUE"""),8.0)</f>
        <v>8</v>
      </c>
      <c r="N250" s="10" t="str">
        <f>IFERROR(__xludf.DUMMYFUNCTION("""COMPUTED_VALUE"""),"Yes")</f>
        <v>Yes</v>
      </c>
      <c r="O250" s="323">
        <f>IFERROR(__xludf.DUMMYFUNCTION("""COMPUTED_VALUE"""),0.0)</f>
        <v>0</v>
      </c>
      <c r="P250" s="10">
        <f>IFERROR(__xludf.DUMMYFUNCTION("""COMPUTED_VALUE"""),0.0)</f>
        <v>0</v>
      </c>
      <c r="Q250" s="10">
        <f>IFERROR(__xludf.DUMMYFUNCTION("""COMPUTED_VALUE"""),10.0)</f>
        <v>10</v>
      </c>
      <c r="R250" s="10">
        <f>IFERROR(__xludf.DUMMYFUNCTION("""COMPUTED_VALUE"""),0.0)</f>
        <v>0</v>
      </c>
      <c r="S250" s="18" t="str">
        <f>IFERROR(__xludf.DUMMYFUNCTION("""COMPUTED_VALUE"""),"https://drive.google.com/open?id=1zOQfClwsRhU_EQXccNyxgBhrCZAz2fiI")</f>
        <v>https://drive.google.com/open?id=1zOQfClwsRhU_EQXccNyxgBhrCZAz2fiI</v>
      </c>
      <c r="T250" s="18" t="str">
        <f>IFERROR(__xludf.DUMMYFUNCTION("""COMPUTED_VALUE"""),"https://drive.google.com/open?id=1MgubGSloOBgi5TXqPY3ruERKK_lElg7i")</f>
        <v>https://drive.google.com/open?id=1MgubGSloOBgi5TXqPY3ruERKK_lElg7i</v>
      </c>
      <c r="U250" s="18" t="str">
        <f>IFERROR(__xludf.DUMMYFUNCTION("""COMPUTED_VALUE"""),"https://drive.google.com/open?id=106ZBaIwZixMXQXNfnwxk6ogYmHF3uvMN")</f>
        <v>https://drive.google.com/open?id=106ZBaIwZixMXQXNfnwxk6ogYmHF3uvMN</v>
      </c>
      <c r="V250" s="10"/>
      <c r="W250" s="10"/>
      <c r="X250" s="10" t="str">
        <f>IFERROR(__xludf.DUMMYFUNCTION("""COMPUTED_VALUE"""),"Yes")</f>
        <v>Yes</v>
      </c>
      <c r="Y250" s="14" t="str">
        <f>IFERROR(__xludf.DUMMYFUNCTION("""COMPUTED_VALUE"""),"haris.cerp@gmail.com")</f>
        <v>haris.cerp@gmail.com</v>
      </c>
      <c r="AA250" s="325">
        <v>4.0</v>
      </c>
    </row>
    <row r="251" hidden="1">
      <c r="A251" s="9">
        <f>IFERROR(__xludf.DUMMYFUNCTION("""COMPUTED_VALUE"""),45793.32515662037)</f>
        <v>45793.32516</v>
      </c>
      <c r="B251" s="10" t="str">
        <f>IFERROR(__xludf.DUMMYFUNCTION("""COMPUTED_VALUE"""),"Muhammad Khalid salahuddin")</f>
        <v>Muhammad Khalid salahuddin</v>
      </c>
      <c r="C251" s="10" t="str">
        <f>IFERROR(__xludf.DUMMYFUNCTION("""COMPUTED_VALUE"""),"03135510044")</f>
        <v>03135510044</v>
      </c>
      <c r="D251" s="10" t="str">
        <f>IFERROR(__xludf.DUMMYFUNCTION("""COMPUTED_VALUE"""),"Jamia Masjid Afghan")</f>
        <v>Jamia Masjid Afghan</v>
      </c>
      <c r="E251" s="10" t="str">
        <f>IFERROR(__xludf.DUMMYFUNCTION("""COMPUTED_VALUE"""),"UVNAI")</f>
        <v>UVNAI</v>
      </c>
      <c r="F251" s="10">
        <f>IFERROR(__xludf.DUMMYFUNCTION("""COMPUTED_VALUE"""),343.0)</f>
        <v>343</v>
      </c>
      <c r="G251" s="10">
        <f>IFERROR(__xludf.DUMMYFUNCTION("""COMPUTED_VALUE"""),10.0)</f>
        <v>10</v>
      </c>
      <c r="H251" s="10">
        <f>IFERROR(__xludf.DUMMYFUNCTION("""COMPUTED_VALUE"""),9.0)</f>
        <v>9</v>
      </c>
      <c r="I251" s="10">
        <f>IFERROR(__xludf.DUMMYFUNCTION("""COMPUTED_VALUE"""),0.0)</f>
        <v>0</v>
      </c>
      <c r="J251" s="10">
        <f>IFERROR(__xludf.DUMMYFUNCTION("""COMPUTED_VALUE"""),1892.0)</f>
        <v>1892</v>
      </c>
      <c r="K251" s="10" t="str">
        <f>IFERROR(__xludf.DUMMYFUNCTION("""COMPUTED_VALUE"""),"No")</f>
        <v>No</v>
      </c>
      <c r="L251" s="10" t="str">
        <f>IFERROR(__xludf.DUMMYFUNCTION("""COMPUTED_VALUE"""),"حضرت بابا دین محمد افغانی")</f>
        <v>حضرت بابا دین محمد افغانی</v>
      </c>
      <c r="M251" s="10">
        <f>IFERROR(__xludf.DUMMYFUNCTION("""COMPUTED_VALUE"""),10.0)</f>
        <v>10</v>
      </c>
      <c r="N251" s="10" t="str">
        <f>IFERROR(__xludf.DUMMYFUNCTION("""COMPUTED_VALUE"""),"Yes")</f>
        <v>Yes</v>
      </c>
      <c r="O251" s="323">
        <f>IFERROR(__xludf.DUMMYFUNCTION("""COMPUTED_VALUE"""),0.0)</f>
        <v>0</v>
      </c>
      <c r="P251" s="10">
        <f>IFERROR(__xludf.DUMMYFUNCTION("""COMPUTED_VALUE"""),0.0)</f>
        <v>0</v>
      </c>
      <c r="Q251" s="10">
        <f>IFERROR(__xludf.DUMMYFUNCTION("""COMPUTED_VALUE"""),0.0)</f>
        <v>0</v>
      </c>
      <c r="R251" s="10">
        <f>IFERROR(__xludf.DUMMYFUNCTION("""COMPUTED_VALUE"""),0.0)</f>
        <v>0</v>
      </c>
      <c r="S251" s="18" t="str">
        <f>IFERROR(__xludf.DUMMYFUNCTION("""COMPUTED_VALUE"""),"https://drive.google.com/open?id=1eJGRkwZqfVszggu24aJq9BIArR_HicgH")</f>
        <v>https://drive.google.com/open?id=1eJGRkwZqfVszggu24aJq9BIArR_HicgH</v>
      </c>
      <c r="T251" s="18" t="str">
        <f>IFERROR(__xludf.DUMMYFUNCTION("""COMPUTED_VALUE"""),"https://drive.google.com/open?id=1Rk28zDK_QlFuPINcpBgzn9SSZ2lvZw2K")</f>
        <v>https://drive.google.com/open?id=1Rk28zDK_QlFuPINcpBgzn9SSZ2lvZw2K</v>
      </c>
      <c r="U251" s="18" t="str">
        <f>IFERROR(__xludf.DUMMYFUNCTION("""COMPUTED_VALUE"""),"https://drive.google.com/open?id=18ueNhAYV5QQXWjweC8i48vF5_eixUSzk")</f>
        <v>https://drive.google.com/open?id=18ueNhAYV5QQXWjweC8i48vF5_eixUSzk</v>
      </c>
      <c r="V251" s="10"/>
      <c r="W251" s="10"/>
      <c r="X251" s="10" t="str">
        <f>IFERROR(__xludf.DUMMYFUNCTION("""COMPUTED_VALUE"""),"Yes")</f>
        <v>Yes</v>
      </c>
      <c r="Y251" s="14" t="str">
        <f>IFERROR(__xludf.DUMMYFUNCTION("""COMPUTED_VALUE"""),"sarkaralimuhammad@gmail.com")</f>
        <v>sarkaralimuhammad@gmail.com</v>
      </c>
      <c r="AA251" s="325">
        <v>3.0</v>
      </c>
    </row>
    <row r="252" hidden="1">
      <c r="A252" s="9">
        <f>IFERROR(__xludf.DUMMYFUNCTION("""COMPUTED_VALUE"""),45793.34475234954)</f>
        <v>45793.34475</v>
      </c>
      <c r="B252" s="10" t="str">
        <f>IFERROR(__xludf.DUMMYFUNCTION("""COMPUTED_VALUE"""),"Asim bhatti ")</f>
        <v>Asim bhatti </v>
      </c>
      <c r="C252" s="10" t="str">
        <f>IFERROR(__xludf.DUMMYFUNCTION("""COMPUTED_VALUE"""),"03005787199")</f>
        <v>03005787199</v>
      </c>
      <c r="D252" s="10" t="str">
        <f>IFERROR(__xludf.DUMMYFUNCTION("""COMPUTED_VALUE"""),"Jamia Masjid Haji Muhammad Din Gujrat")</f>
        <v>Jamia Masjid Haji Muhammad Din Gujrat</v>
      </c>
      <c r="E252" s="10" t="str">
        <f>IFERROR(__xludf.DUMMYFUNCTION("""COMPUTED_VALUE"""),"QVDJF")</f>
        <v>QVDJF</v>
      </c>
      <c r="F252" s="10">
        <f>IFERROR(__xludf.DUMMYFUNCTION("""COMPUTED_VALUE"""),268.0)</f>
        <v>268</v>
      </c>
      <c r="G252" s="10">
        <f>IFERROR(__xludf.DUMMYFUNCTION("""COMPUTED_VALUE"""),10.0)</f>
        <v>10</v>
      </c>
      <c r="H252" s="10">
        <f>IFERROR(__xludf.DUMMYFUNCTION("""COMPUTED_VALUE"""),8.0)</f>
        <v>8</v>
      </c>
      <c r="I252" s="10" t="str">
        <f>IFERROR(__xludf.DUMMYFUNCTION("""COMPUTED_VALUE"""),"No")</f>
        <v>No</v>
      </c>
      <c r="J252" s="10" t="str">
        <f>IFERROR(__xludf.DUMMYFUNCTION("""COMPUTED_VALUE"""),"0000")</f>
        <v>0000</v>
      </c>
      <c r="K252" s="10" t="str">
        <f>IFERROR(__xludf.DUMMYFUNCTION("""COMPUTED_VALUE"""),"Yes")</f>
        <v>Yes</v>
      </c>
      <c r="L252" s="10" t="str">
        <f>IFERROR(__xludf.DUMMYFUNCTION("""COMPUTED_VALUE"""),"No")</f>
        <v>No</v>
      </c>
      <c r="M252" s="10">
        <f>IFERROR(__xludf.DUMMYFUNCTION("""COMPUTED_VALUE"""),7.0)</f>
        <v>7</v>
      </c>
      <c r="N252" s="10" t="str">
        <f>IFERROR(__xludf.DUMMYFUNCTION("""COMPUTED_VALUE"""),"Yes")</f>
        <v>Yes</v>
      </c>
      <c r="O252" s="323">
        <f>IFERROR(__xludf.DUMMYFUNCTION("""COMPUTED_VALUE"""),0.8)</f>
        <v>0.8</v>
      </c>
      <c r="P252" s="10">
        <f>IFERROR(__xludf.DUMMYFUNCTION("""COMPUTED_VALUE"""),9.0)</f>
        <v>9</v>
      </c>
      <c r="Q252" s="10">
        <f>IFERROR(__xludf.DUMMYFUNCTION("""COMPUTED_VALUE"""),8.0)</f>
        <v>8</v>
      </c>
      <c r="R252" s="10">
        <f>IFERROR(__xludf.DUMMYFUNCTION("""COMPUTED_VALUE"""),8.0)</f>
        <v>8</v>
      </c>
      <c r="S252" s="10"/>
      <c r="T252" s="10"/>
      <c r="U252" s="18" t="str">
        <f>IFERROR(__xludf.DUMMYFUNCTION("""COMPUTED_VALUE"""),"https://drive.google.com/open?id=1ivgG3wJI1fPiOFmTXuzTuwjxGm6uAecT")</f>
        <v>https://drive.google.com/open?id=1ivgG3wJI1fPiOFmTXuzTuwjxGm6uAecT</v>
      </c>
      <c r="V252" s="10" t="str">
        <f>IFERROR(__xludf.DUMMYFUNCTION("""COMPUTED_VALUE"""),"No")</f>
        <v>No</v>
      </c>
      <c r="W252" s="10"/>
      <c r="X252" s="10" t="str">
        <f>IFERROR(__xludf.DUMMYFUNCTION("""COMPUTED_VALUE"""),"Yes")</f>
        <v>Yes</v>
      </c>
      <c r="Y252" s="14" t="str">
        <f>IFERROR(__xludf.DUMMYFUNCTION("""COMPUTED_VALUE"""),"asim.bhatti5787@gmail.com")</f>
        <v>asim.bhatti5787@gmail.com</v>
      </c>
      <c r="AA252" s="325">
        <v>3.0</v>
      </c>
    </row>
    <row r="253" hidden="1">
      <c r="A253" s="9">
        <f>IFERROR(__xludf.DUMMYFUNCTION("""COMPUTED_VALUE"""),45793.35190409722)</f>
        <v>45793.3519</v>
      </c>
      <c r="B253" s="10" t="str">
        <f>IFERROR(__xludf.DUMMYFUNCTION("""COMPUTED_VALUE"""),"Ahmad Manzoor ")</f>
        <v>Ahmad Manzoor </v>
      </c>
      <c r="C253" s="10" t="str">
        <f>IFERROR(__xludf.DUMMYFUNCTION("""COMPUTED_VALUE"""),"03280860096")</f>
        <v>03280860096</v>
      </c>
      <c r="D253" s="10" t="str">
        <f>IFERROR(__xludf.DUMMYFUNCTION("""COMPUTED_VALUE"""),"Jamia Masjid Gulzar e Madina ")</f>
        <v>Jamia Masjid Gulzar e Madina </v>
      </c>
      <c r="E253" s="10" t="str">
        <f>IFERROR(__xludf.DUMMYFUNCTION("""COMPUTED_VALUE"""),"qpstq")</f>
        <v>qpstq</v>
      </c>
      <c r="F253" s="10">
        <f>IFERROR(__xludf.DUMMYFUNCTION("""COMPUTED_VALUE"""),330.0)</f>
        <v>330</v>
      </c>
      <c r="G253" s="10">
        <f>IFERROR(__xludf.DUMMYFUNCTION("""COMPUTED_VALUE"""),8.0)</f>
        <v>8</v>
      </c>
      <c r="H253" s="10">
        <f>IFERROR(__xludf.DUMMYFUNCTION("""COMPUTED_VALUE"""),6.0)</f>
        <v>6</v>
      </c>
      <c r="I253" s="10">
        <f>IFERROR(__xludf.DUMMYFUNCTION("""COMPUTED_VALUE"""),0.0)</f>
        <v>0</v>
      </c>
      <c r="J253" s="10">
        <f>IFERROR(__xludf.DUMMYFUNCTION("""COMPUTED_VALUE"""),1930.0)</f>
        <v>1930</v>
      </c>
      <c r="K253" s="10" t="str">
        <f>IFERROR(__xludf.DUMMYFUNCTION("""COMPUTED_VALUE"""),"No")</f>
        <v>No</v>
      </c>
      <c r="L253" s="10" t="str">
        <f>IFERROR(__xludf.DUMMYFUNCTION("""COMPUTED_VALUE"""),"No")</f>
        <v>No</v>
      </c>
      <c r="M253" s="10">
        <f>IFERROR(__xludf.DUMMYFUNCTION("""COMPUTED_VALUE"""),7.0)</f>
        <v>7</v>
      </c>
      <c r="N253" s="10" t="str">
        <f>IFERROR(__xludf.DUMMYFUNCTION("""COMPUTED_VALUE"""),"No")</f>
        <v>No</v>
      </c>
      <c r="O253" s="10"/>
      <c r="P253" s="10"/>
      <c r="Q253" s="10"/>
      <c r="R253" s="10"/>
      <c r="S253" s="18" t="str">
        <f>IFERROR(__xludf.DUMMYFUNCTION("""COMPUTED_VALUE"""),"https://drive.google.com/open?id=1Vn5nwADCpJNgoMAlcPR5UJnXHL62nF6_")</f>
        <v>https://drive.google.com/open?id=1Vn5nwADCpJNgoMAlcPR5UJnXHL62nF6_</v>
      </c>
      <c r="T253" s="18" t="str">
        <f>IFERROR(__xludf.DUMMYFUNCTION("""COMPUTED_VALUE"""),"https://drive.google.com/open?id=1gJnSV-x-4KHKHGlYFdGUA2U8bV1C4vm-")</f>
        <v>https://drive.google.com/open?id=1gJnSV-x-4KHKHGlYFdGUA2U8bV1C4vm-</v>
      </c>
      <c r="U253" s="18" t="str">
        <f>IFERROR(__xludf.DUMMYFUNCTION("""COMPUTED_VALUE"""),"https://drive.google.com/open?id=1Ftk66St4UXBFX60wBZ8g2bkKy78NQjf1")</f>
        <v>https://drive.google.com/open?id=1Ftk66St4UXBFX60wBZ8g2bkKy78NQjf1</v>
      </c>
      <c r="V253" s="10" t="str">
        <f>IFERROR(__xludf.DUMMYFUNCTION("""COMPUTED_VALUE"""),"No")</f>
        <v>No</v>
      </c>
      <c r="W253" s="10"/>
      <c r="X253" s="10"/>
      <c r="Y253" s="14" t="str">
        <f>IFERROR(__xludf.DUMMYFUNCTION("""COMPUTED_VALUE"""),"manzoorhussain8090100@gmail.com")</f>
        <v>manzoorhussain8090100@gmail.com</v>
      </c>
      <c r="AA253" s="325">
        <v>3.0</v>
      </c>
    </row>
    <row r="254" hidden="1">
      <c r="A254" s="9">
        <f>IFERROR(__xludf.DUMMYFUNCTION("""COMPUTED_VALUE"""),45793.38736226852)</f>
        <v>45793.38736</v>
      </c>
      <c r="B254" s="10" t="str">
        <f>IFERROR(__xludf.DUMMYFUNCTION("""COMPUTED_VALUE"""),"محمد وسیم ")</f>
        <v>محمد وسیم </v>
      </c>
      <c r="C254" s="10" t="str">
        <f>IFERROR(__xludf.DUMMYFUNCTION("""COMPUTED_VALUE"""),"03036313075")</f>
        <v>03036313075</v>
      </c>
      <c r="D254" s="10" t="str">
        <f>IFERROR(__xludf.DUMMYFUNCTION("""COMPUTED_VALUE"""),"شاہی مسجد ")</f>
        <v>شاہی مسجد </v>
      </c>
      <c r="E254" s="10" t="str">
        <f>IFERROR(__xludf.DUMMYFUNCTION("""COMPUTED_VALUE"""),"LTSEN")</f>
        <v>LTSEN</v>
      </c>
      <c r="F254" s="10">
        <f>IFERROR(__xludf.DUMMYFUNCTION("""COMPUTED_VALUE"""),223.0)</f>
        <v>223</v>
      </c>
      <c r="G254" s="10">
        <f>IFERROR(__xludf.DUMMYFUNCTION("""COMPUTED_VALUE"""),8.0)</f>
        <v>8</v>
      </c>
      <c r="H254" s="10">
        <f>IFERROR(__xludf.DUMMYFUNCTION("""COMPUTED_VALUE"""),8.0)</f>
        <v>8</v>
      </c>
      <c r="I254" s="10">
        <f>IFERROR(__xludf.DUMMYFUNCTION("""COMPUTED_VALUE"""),0.0)</f>
        <v>0</v>
      </c>
      <c r="J254" s="10" t="str">
        <f>IFERROR(__xludf.DUMMYFUNCTION("""COMPUTED_VALUE"""),"1063 ہجری ")</f>
        <v>1063 ہجری </v>
      </c>
      <c r="K254" s="10" t="str">
        <f>IFERROR(__xludf.DUMMYFUNCTION("""COMPUTED_VALUE"""),"No")</f>
        <v>No</v>
      </c>
      <c r="L254" s="10" t="str">
        <f>IFERROR(__xludf.DUMMYFUNCTION("""COMPUTED_VALUE"""),"نہیں ہے")</f>
        <v>نہیں ہے</v>
      </c>
      <c r="M254" s="10">
        <f>IFERROR(__xludf.DUMMYFUNCTION("""COMPUTED_VALUE"""),7.0)</f>
        <v>7</v>
      </c>
      <c r="N254" s="10" t="str">
        <f>IFERROR(__xludf.DUMMYFUNCTION("""COMPUTED_VALUE"""),"No")</f>
        <v>No</v>
      </c>
      <c r="O254" s="10"/>
      <c r="P254" s="10"/>
      <c r="Q254" s="10"/>
      <c r="R254" s="10"/>
      <c r="S254" s="18" t="str">
        <f>IFERROR(__xludf.DUMMYFUNCTION("""COMPUTED_VALUE"""),"https://drive.google.com/open?id=1iPg3lD2FyXdJq1P6o6BAvlhXQFPWxErA")</f>
        <v>https://drive.google.com/open?id=1iPg3lD2FyXdJq1P6o6BAvlhXQFPWxErA</v>
      </c>
      <c r="T254" s="18" t="str">
        <f>IFERROR(__xludf.DUMMYFUNCTION("""COMPUTED_VALUE"""),"https://drive.google.com/open?id=1IYGDoKl36kzOV_WZUuWrJ4eiX17_dxto")</f>
        <v>https://drive.google.com/open?id=1IYGDoKl36kzOV_WZUuWrJ4eiX17_dxto</v>
      </c>
      <c r="U254" s="18" t="str">
        <f>IFERROR(__xludf.DUMMYFUNCTION("""COMPUTED_VALUE"""),"https://drive.google.com/file/d/1GmExB1ly3LPCq2jRKxd-Z_j33v51ZYHY/view?usp=sharing")</f>
        <v>https://drive.google.com/file/d/1GmExB1ly3LPCq2jRKxd-Z_j33v51ZYHY/view?usp=sharing</v>
      </c>
      <c r="V254" s="10" t="str">
        <f>IFERROR(__xludf.DUMMYFUNCTION("""COMPUTED_VALUE"""),"مسجد کا واضح نام نہیں لکھا ہوا ")</f>
        <v>مسجد کا واضح نام نہیں لکھا ہوا </v>
      </c>
      <c r="W254" s="10"/>
      <c r="X254" s="10"/>
      <c r="Y254" s="14" t="str">
        <f>IFERROR(__xludf.DUMMYFUNCTION("""COMPUTED_VALUE"""),"waseehm.pwwd.chiniot@gmail.com")</f>
        <v>waseehm.pwwd.chiniot@gmail.com</v>
      </c>
      <c r="AA254" s="325">
        <v>3.0</v>
      </c>
    </row>
    <row r="255" hidden="1">
      <c r="A255" s="9">
        <f>IFERROR(__xludf.DUMMYFUNCTION("""COMPUTED_VALUE"""),45793.39869929398)</f>
        <v>45793.3987</v>
      </c>
      <c r="B255" s="10" t="str">
        <f>IFERROR(__xludf.DUMMYFUNCTION("""COMPUTED_VALUE"""),"Waleed ")</f>
        <v>Waleed </v>
      </c>
      <c r="C255" s="10" t="str">
        <f>IFERROR(__xludf.DUMMYFUNCTION("""COMPUTED_VALUE"""),"03057180082")</f>
        <v>03057180082</v>
      </c>
      <c r="D255" s="10" t="str">
        <f>IFERROR(__xludf.DUMMYFUNCTION("""COMPUTED_VALUE"""),"Jamia masjid zia")</f>
        <v>Jamia masjid zia</v>
      </c>
      <c r="E255" s="10" t="str">
        <f>IFERROR(__xludf.DUMMYFUNCTION("""COMPUTED_VALUE"""),"uiodj")</f>
        <v>uiodj</v>
      </c>
      <c r="F255" s="10">
        <f>IFERROR(__xludf.DUMMYFUNCTION("""COMPUTED_VALUE"""),150.0)</f>
        <v>150</v>
      </c>
      <c r="G255" s="10">
        <f>IFERROR(__xludf.DUMMYFUNCTION("""COMPUTED_VALUE"""),8.0)</f>
        <v>8</v>
      </c>
      <c r="H255" s="10">
        <f>IFERROR(__xludf.DUMMYFUNCTION("""COMPUTED_VALUE"""),5.0)</f>
        <v>5</v>
      </c>
      <c r="I255" s="10" t="str">
        <f>IFERROR(__xludf.DUMMYFUNCTION("""COMPUTED_VALUE"""),"No")</f>
        <v>No</v>
      </c>
      <c r="J255" s="10" t="str">
        <f>IFERROR(__xludf.DUMMYFUNCTION("""COMPUTED_VALUE"""),"No")</f>
        <v>No</v>
      </c>
      <c r="K255" s="10" t="str">
        <f>IFERROR(__xludf.DUMMYFUNCTION("""COMPUTED_VALUE"""),"No")</f>
        <v>No</v>
      </c>
      <c r="L255" s="10" t="str">
        <f>IFERROR(__xludf.DUMMYFUNCTION("""COMPUTED_VALUE"""),"No")</f>
        <v>No</v>
      </c>
      <c r="M255" s="10">
        <f>IFERROR(__xludf.DUMMYFUNCTION("""COMPUTED_VALUE"""),7.0)</f>
        <v>7</v>
      </c>
      <c r="N255" s="10" t="str">
        <f>IFERROR(__xludf.DUMMYFUNCTION("""COMPUTED_VALUE"""),"Yes")</f>
        <v>Yes</v>
      </c>
      <c r="O255" s="323">
        <f>IFERROR(__xludf.DUMMYFUNCTION("""COMPUTED_VALUE"""),0.0)</f>
        <v>0</v>
      </c>
      <c r="P255" s="10">
        <f>IFERROR(__xludf.DUMMYFUNCTION("""COMPUTED_VALUE"""),0.0)</f>
        <v>0</v>
      </c>
      <c r="Q255" s="10">
        <f>IFERROR(__xludf.DUMMYFUNCTION("""COMPUTED_VALUE"""),10.0)</f>
        <v>10</v>
      </c>
      <c r="R255" s="10">
        <f>IFERROR(__xludf.DUMMYFUNCTION("""COMPUTED_VALUE"""),0.0)</f>
        <v>0</v>
      </c>
      <c r="S255" s="18" t="str">
        <f>IFERROR(__xludf.DUMMYFUNCTION("""COMPUTED_VALUE"""),"https://drive.google.com/open?id=1s_YSeHYFg0cLThqv6sfDD3eH3LEPjoPY")</f>
        <v>https://drive.google.com/open?id=1s_YSeHYFg0cLThqv6sfDD3eH3LEPjoPY</v>
      </c>
      <c r="T255" s="18" t="str">
        <f>IFERROR(__xludf.DUMMYFUNCTION("""COMPUTED_VALUE"""),"https://drive.google.com/open?id=1fcotx_8HFVYVk-TXC0-BvqnU41W2cOay")</f>
        <v>https://drive.google.com/open?id=1fcotx_8HFVYVk-TXC0-BvqnU41W2cOay</v>
      </c>
      <c r="U255" s="18" t="str">
        <f>IFERROR(__xludf.DUMMYFUNCTION("""COMPUTED_VALUE"""),"https://drive.google.com/open?id=1uQZmplAeW_khsU3rTwrJzv3YRIshkb_Z")</f>
        <v>https://drive.google.com/open?id=1uQZmplAeW_khsU3rTwrJzv3YRIshkb_Z</v>
      </c>
      <c r="V255" s="10"/>
      <c r="W255" s="10"/>
      <c r="X255" s="10" t="str">
        <f>IFERROR(__xludf.DUMMYFUNCTION("""COMPUTED_VALUE"""),"Yes")</f>
        <v>Yes</v>
      </c>
      <c r="Y255" s="14" t="str">
        <f>IFERROR(__xludf.DUMMYFUNCTION("""COMPUTED_VALUE"""),"abdulwahabriaz440@gmail.com")</f>
        <v>abdulwahabriaz440@gmail.com</v>
      </c>
      <c r="AA255" s="325">
        <v>3.0</v>
      </c>
    </row>
    <row r="256" hidden="1">
      <c r="A256" s="9">
        <f>IFERROR(__xludf.DUMMYFUNCTION("""COMPUTED_VALUE"""),45793.41914046297)</f>
        <v>45793.41914</v>
      </c>
      <c r="B256" s="10" t="str">
        <f>IFERROR(__xludf.DUMMYFUNCTION("""COMPUTED_VALUE"""),"Wajid Mushtaq ")</f>
        <v>Wajid Mushtaq </v>
      </c>
      <c r="C256" s="10" t="str">
        <f>IFERROR(__xludf.DUMMYFUNCTION("""COMPUTED_VALUE"""),"03246427664")</f>
        <v>03246427664</v>
      </c>
      <c r="D256" s="10" t="str">
        <f>IFERROR(__xludf.DUMMYFUNCTION("""COMPUTED_VALUE"""),"Jamia Masjid hanfia ghosiya rizwiya ")</f>
        <v>Jamia Masjid hanfia ghosiya rizwiya </v>
      </c>
      <c r="E256" s="10" t="str">
        <f>IFERROR(__xludf.DUMMYFUNCTION("""COMPUTED_VALUE"""),"Oiuji")</f>
        <v>Oiuji</v>
      </c>
      <c r="F256" s="10">
        <f>IFERROR(__xludf.DUMMYFUNCTION("""COMPUTED_VALUE"""),250.0)</f>
        <v>250</v>
      </c>
      <c r="G256" s="10">
        <f>IFERROR(__xludf.DUMMYFUNCTION("""COMPUTED_VALUE"""),6.0)</f>
        <v>6</v>
      </c>
      <c r="H256" s="10">
        <f>IFERROR(__xludf.DUMMYFUNCTION("""COMPUTED_VALUE"""),6.0)</f>
        <v>6</v>
      </c>
      <c r="I256" s="10">
        <f>IFERROR(__xludf.DUMMYFUNCTION("""COMPUTED_VALUE"""),1.0)</f>
        <v>1</v>
      </c>
      <c r="J256" s="10">
        <f>IFERROR(__xludf.DUMMYFUNCTION("""COMPUTED_VALUE"""),1982.0)</f>
        <v>1982</v>
      </c>
      <c r="K256" s="10" t="str">
        <f>IFERROR(__xludf.DUMMYFUNCTION("""COMPUTED_VALUE"""),"No")</f>
        <v>No</v>
      </c>
      <c r="L256" s="10" t="str">
        <f>IFERROR(__xludf.DUMMYFUNCTION("""COMPUTED_VALUE"""),"Peer guga ")</f>
        <v>Peer guga </v>
      </c>
      <c r="M256" s="10">
        <f>IFERROR(__xludf.DUMMYFUNCTION("""COMPUTED_VALUE"""),7.0)</f>
        <v>7</v>
      </c>
      <c r="N256" s="10" t="str">
        <f>IFERROR(__xludf.DUMMYFUNCTION("""COMPUTED_VALUE"""),"No")</f>
        <v>No</v>
      </c>
      <c r="O256" s="10"/>
      <c r="P256" s="10"/>
      <c r="Q256" s="10"/>
      <c r="R256" s="10"/>
      <c r="S256" s="18" t="str">
        <f>IFERROR(__xludf.DUMMYFUNCTION("""COMPUTED_VALUE"""),"https://drive.google.com/open?id=1qZv03A593QBAXNeA0otM4vdTdWGwIr1Y")</f>
        <v>https://drive.google.com/open?id=1qZv03A593QBAXNeA0otM4vdTdWGwIr1Y</v>
      </c>
      <c r="T256" s="18" t="str">
        <f>IFERROR(__xludf.DUMMYFUNCTION("""COMPUTED_VALUE"""),"https://drive.google.com/open?id=1aGAseoBlwfoaZxJ35Py_s_uYcUo-5I25")</f>
        <v>https://drive.google.com/open?id=1aGAseoBlwfoaZxJ35Py_s_uYcUo-5I25</v>
      </c>
      <c r="U256" s="18" t="str">
        <f>IFERROR(__xludf.DUMMYFUNCTION("""COMPUTED_VALUE"""),"https://drive.google.com/open?id=1djkDcKLs_JZpfL9r1S56fg5zDIq4I29A")</f>
        <v>https://drive.google.com/open?id=1djkDcKLs_JZpfL9r1S56fg5zDIq4I29A</v>
      </c>
      <c r="V256" s="10" t="str">
        <f>IFERROR(__xludf.DUMMYFUNCTION("""COMPUTED_VALUE"""),"No")</f>
        <v>No</v>
      </c>
      <c r="W256" s="10"/>
      <c r="X256" s="10"/>
      <c r="Y256" s="14" t="str">
        <f>IFERROR(__xludf.DUMMYFUNCTION("""COMPUTED_VALUE"""),"wajidmushtaq941@gmail.com")</f>
        <v>wajidmushtaq941@gmail.com</v>
      </c>
      <c r="AA256" s="325">
        <v>3.0</v>
      </c>
    </row>
    <row r="257" hidden="1">
      <c r="A257" s="9">
        <f>IFERROR(__xludf.DUMMYFUNCTION("""COMPUTED_VALUE"""),45793.42522958333)</f>
        <v>45793.42523</v>
      </c>
      <c r="B257" s="10" t="str">
        <f>IFERROR(__xludf.DUMMYFUNCTION("""COMPUTED_VALUE"""),"Awaid Akram")</f>
        <v>Awaid Akram</v>
      </c>
      <c r="C257" s="10" t="str">
        <f>IFERROR(__xludf.DUMMYFUNCTION("""COMPUTED_VALUE"""),"03206556691")</f>
        <v>03206556691</v>
      </c>
      <c r="D257" s="10" t="str">
        <f>IFERROR(__xludf.DUMMYFUNCTION("""COMPUTED_VALUE"""),"jamia masjid company bagh sargodha model bazar")</f>
        <v>jamia masjid company bagh sargodha model bazar</v>
      </c>
      <c r="E257" s="10" t="str">
        <f>IFERROR(__xludf.DUMMYFUNCTION("""COMPUTED_VALUE"""),"LMDFN")</f>
        <v>LMDFN</v>
      </c>
      <c r="F257" s="10">
        <f>IFERROR(__xludf.DUMMYFUNCTION("""COMPUTED_VALUE"""),950.0)</f>
        <v>950</v>
      </c>
      <c r="G257" s="10">
        <f>IFERROR(__xludf.DUMMYFUNCTION("""COMPUTED_VALUE"""),7.0)</f>
        <v>7</v>
      </c>
      <c r="H257" s="10">
        <f>IFERROR(__xludf.DUMMYFUNCTION("""COMPUTED_VALUE"""),9.0)</f>
        <v>9</v>
      </c>
      <c r="I257" s="10">
        <f>IFERROR(__xludf.DUMMYFUNCTION("""COMPUTED_VALUE"""),0.0)</f>
        <v>0</v>
      </c>
      <c r="J257" s="10" t="str">
        <f>IFERROR(__xludf.DUMMYFUNCTION("""COMPUTED_VALUE"""),"no")</f>
        <v>no</v>
      </c>
      <c r="K257" s="10" t="str">
        <f>IFERROR(__xludf.DUMMYFUNCTION("""COMPUTED_VALUE"""),"No")</f>
        <v>No</v>
      </c>
      <c r="L257" s="10" t="str">
        <f>IFERROR(__xludf.DUMMYFUNCTION("""COMPUTED_VALUE"""),"Par Hamid Ali Sha")</f>
        <v>Par Hamid Ali Sha</v>
      </c>
      <c r="M257" s="10">
        <f>IFERROR(__xludf.DUMMYFUNCTION("""COMPUTED_VALUE"""),9.0)</f>
        <v>9</v>
      </c>
      <c r="N257" s="10" t="str">
        <f>IFERROR(__xludf.DUMMYFUNCTION("""COMPUTED_VALUE"""),"No")</f>
        <v>No</v>
      </c>
      <c r="O257" s="10"/>
      <c r="P257" s="10"/>
      <c r="Q257" s="10"/>
      <c r="R257" s="10"/>
      <c r="S257" s="18" t="str">
        <f>IFERROR(__xludf.DUMMYFUNCTION("""COMPUTED_VALUE"""),"https://drive.google.com/open?id=1U4ieeYJ52OsdppXiGXvc6plYBcKWIpb8")</f>
        <v>https://drive.google.com/open?id=1U4ieeYJ52OsdppXiGXvc6plYBcKWIpb8</v>
      </c>
      <c r="T257" s="18" t="str">
        <f>IFERROR(__xludf.DUMMYFUNCTION("""COMPUTED_VALUE"""),"https://drive.google.com/open?id=1hww_2rusWtMth5klMJ-Cw7PBLb8FiQNm")</f>
        <v>https://drive.google.com/open?id=1hww_2rusWtMth5klMJ-Cw7PBLb8FiQNm</v>
      </c>
      <c r="U257" s="18" t="str">
        <f>IFERROR(__xludf.DUMMYFUNCTION("""COMPUTED_VALUE"""),"https://drive.google.com/open?id=1eu85pmOE3QFidy4a9PnlYtUT6ENf01n_")</f>
        <v>https://drive.google.com/open?id=1eu85pmOE3QFidy4a9PnlYtUT6ENf01n_</v>
      </c>
      <c r="V257" s="10"/>
      <c r="W257" s="10"/>
      <c r="X257" s="10"/>
      <c r="Y257" s="14" t="str">
        <f>IFERROR(__xludf.DUMMYFUNCTION("""COMPUTED_VALUE"""),"aleenaakram30257@gmail.com")</f>
        <v>aleenaakram30257@gmail.com</v>
      </c>
      <c r="AA257" s="325">
        <v>3.0</v>
      </c>
    </row>
    <row r="258">
      <c r="A258" s="9">
        <f>IFERROR(__xludf.DUMMYFUNCTION("""COMPUTED_VALUE"""),45793.43377777778)</f>
        <v>45793.43378</v>
      </c>
      <c r="B258" s="10" t="str">
        <f>IFERROR(__xludf.DUMMYFUNCTION("""COMPUTED_VALUE"""),"Ali Raza ")</f>
        <v>Ali Raza </v>
      </c>
      <c r="C258" s="10" t="str">
        <f>IFERROR(__xludf.DUMMYFUNCTION("""COMPUTED_VALUE"""),"03290367757")</f>
        <v>03290367757</v>
      </c>
      <c r="D258" s="10" t="str">
        <f>IFERROR(__xludf.DUMMYFUNCTION("""COMPUTED_VALUE"""),"Jamia Markazi Masjid Satellite Town Sargodha ")</f>
        <v>Jamia Markazi Masjid Satellite Town Sargodha </v>
      </c>
      <c r="E258" s="10" t="str">
        <f>IFERROR(__xludf.DUMMYFUNCTION("""COMPUTED_VALUE"""),"vncjq")</f>
        <v>vncjq</v>
      </c>
      <c r="F258" s="10">
        <f>IFERROR(__xludf.DUMMYFUNCTION("""COMPUTED_VALUE"""),343.0)</f>
        <v>343</v>
      </c>
      <c r="G258" s="10">
        <f>IFERROR(__xludf.DUMMYFUNCTION("""COMPUTED_VALUE"""),8.0)</f>
        <v>8</v>
      </c>
      <c r="H258" s="10">
        <f>IFERROR(__xludf.DUMMYFUNCTION("""COMPUTED_VALUE"""),6.0)</f>
        <v>6</v>
      </c>
      <c r="I258" s="10">
        <f>IFERROR(__xludf.DUMMYFUNCTION("""COMPUTED_VALUE"""),0.0)</f>
        <v>0</v>
      </c>
      <c r="J258" s="10">
        <f>IFERROR(__xludf.DUMMYFUNCTION("""COMPUTED_VALUE"""),1874.0)</f>
        <v>1874</v>
      </c>
      <c r="K258" s="10" t="str">
        <f>IFERROR(__xludf.DUMMYFUNCTION("""COMPUTED_VALUE"""),"No")</f>
        <v>No</v>
      </c>
      <c r="L258" s="10" t="str">
        <f>IFERROR(__xludf.DUMMYFUNCTION("""COMPUTED_VALUE"""),"No")</f>
        <v>No</v>
      </c>
      <c r="M258" s="10">
        <f>IFERROR(__xludf.DUMMYFUNCTION("""COMPUTED_VALUE"""),7.0)</f>
        <v>7</v>
      </c>
      <c r="N258" s="10" t="str">
        <f>IFERROR(__xludf.DUMMYFUNCTION("""COMPUTED_VALUE"""),"No")</f>
        <v>No</v>
      </c>
      <c r="O258" s="10"/>
      <c r="P258" s="10"/>
      <c r="Q258" s="10"/>
      <c r="R258" s="10"/>
      <c r="S258" s="18" t="str">
        <f>IFERROR(__xludf.DUMMYFUNCTION("""COMPUTED_VALUE"""),"https://drive.google.com/open?id=1xe1P6g9hp9ZI1EpW-gUuoUOogcJ7hVDw")</f>
        <v>https://drive.google.com/open?id=1xe1P6g9hp9ZI1EpW-gUuoUOogcJ7hVDw</v>
      </c>
      <c r="T258" s="18" t="str">
        <f>IFERROR(__xludf.DUMMYFUNCTION("""COMPUTED_VALUE"""),"https://drive.google.com/open?id=1OUpD6FW69BdPl73yjWdKxLSi9PlFYvYW")</f>
        <v>https://drive.google.com/open?id=1OUpD6FW69BdPl73yjWdKxLSi9PlFYvYW</v>
      </c>
      <c r="U258" s="18" t="str">
        <f>IFERROR(__xludf.DUMMYFUNCTION("""COMPUTED_VALUE"""),"https://drive.google.com/file/d/1g-n-OmT5GNKP4BHKPeNPIOjUQjzpBF5m/view?usp=drive_link")</f>
        <v>https://drive.google.com/file/d/1g-n-OmT5GNKP4BHKPeNPIOjUQjzpBF5m/view?usp=drive_link</v>
      </c>
      <c r="V258" s="10" t="str">
        <f>IFERROR(__xludf.DUMMYFUNCTION("""COMPUTED_VALUE"""),"NO ")</f>
        <v>NO </v>
      </c>
      <c r="W258" s="10"/>
      <c r="X258" s="10"/>
      <c r="Y258" s="14" t="str">
        <f>IFERROR(__xludf.DUMMYFUNCTION("""COMPUTED_VALUE"""),"alyxraza777@gmail.com")</f>
        <v>alyxraza777@gmail.com</v>
      </c>
      <c r="AA258" s="325">
        <v>3.0</v>
      </c>
    </row>
    <row r="259" hidden="1">
      <c r="A259" s="9">
        <f>IFERROR(__xludf.DUMMYFUNCTION("""COMPUTED_VALUE"""),45793.444740439816)</f>
        <v>45793.44474</v>
      </c>
      <c r="B259" s="10" t="str">
        <f>IFERROR(__xludf.DUMMYFUNCTION("""COMPUTED_VALUE"""),"Jawad")</f>
        <v>Jawad</v>
      </c>
      <c r="C259" s="10" t="str">
        <f>IFERROR(__xludf.DUMMYFUNCTION("""COMPUTED_VALUE"""),"03076036513")</f>
        <v>03076036513</v>
      </c>
      <c r="D259" s="10" t="str">
        <f>IFERROR(__xludf.DUMMYFUNCTION("""COMPUTED_VALUE"""),"Jamia masjid block 1 sargodha")</f>
        <v>Jamia masjid block 1 sargodha</v>
      </c>
      <c r="E259" s="10" t="str">
        <f>IFERROR(__xludf.DUMMYFUNCTION("""COMPUTED_VALUE"""),"pmxox")</f>
        <v>pmxox</v>
      </c>
      <c r="F259" s="10">
        <f>IFERROR(__xludf.DUMMYFUNCTION("""COMPUTED_VALUE"""),600.0)</f>
        <v>600</v>
      </c>
      <c r="G259" s="10">
        <f>IFERROR(__xludf.DUMMYFUNCTION("""COMPUTED_VALUE"""),5.0)</f>
        <v>5</v>
      </c>
      <c r="H259" s="10">
        <f>IFERROR(__xludf.DUMMYFUNCTION("""COMPUTED_VALUE"""),5.0)</f>
        <v>5</v>
      </c>
      <c r="I259" s="10">
        <f>IFERROR(__xludf.DUMMYFUNCTION("""COMPUTED_VALUE"""),2.0)</f>
        <v>2</v>
      </c>
      <c r="J259" s="10">
        <f>IFERROR(__xludf.DUMMYFUNCTION("""COMPUTED_VALUE"""),1323.0)</f>
        <v>1323</v>
      </c>
      <c r="K259" s="10" t="str">
        <f>IFERROR(__xludf.DUMMYFUNCTION("""COMPUTED_VALUE"""),"No")</f>
        <v>No</v>
      </c>
      <c r="L259" s="10" t="str">
        <f>IFERROR(__xludf.DUMMYFUNCTION("""COMPUTED_VALUE"""),"No")</f>
        <v>No</v>
      </c>
      <c r="M259" s="10">
        <f>IFERROR(__xludf.DUMMYFUNCTION("""COMPUTED_VALUE"""),7.0)</f>
        <v>7</v>
      </c>
      <c r="N259" s="10" t="str">
        <f>IFERROR(__xludf.DUMMYFUNCTION("""COMPUTED_VALUE"""),"No")</f>
        <v>No</v>
      </c>
      <c r="O259" s="10"/>
      <c r="P259" s="10"/>
      <c r="Q259" s="10"/>
      <c r="R259" s="10"/>
      <c r="S259" s="18" t="str">
        <f>IFERROR(__xludf.DUMMYFUNCTION("""COMPUTED_VALUE"""),"https://drive.google.com/open?id=1JJVWcWUOs0SS5ofGgSdWKQgDRcquQIQa")</f>
        <v>https://drive.google.com/open?id=1JJVWcWUOs0SS5ofGgSdWKQgDRcquQIQa</v>
      </c>
      <c r="T259" s="18" t="str">
        <f>IFERROR(__xludf.DUMMYFUNCTION("""COMPUTED_VALUE"""),"https://drive.google.com/open?id=1rScZvxQqyMWXgap7zgWgPBxS1HdLMH3s")</f>
        <v>https://drive.google.com/open?id=1rScZvxQqyMWXgap7zgWgPBxS1HdLMH3s</v>
      </c>
      <c r="U259" s="18" t="str">
        <f>IFERROR(__xludf.DUMMYFUNCTION("""COMPUTED_VALUE"""),"https://drive.google.com/open?id=1QDPUBaIEi08CzHiwv_2iUL1ZAQIikutC")</f>
        <v>https://drive.google.com/open?id=1QDPUBaIEi08CzHiwv_2iUL1ZAQIikutC</v>
      </c>
      <c r="V259" s="10" t="str">
        <f>IFERROR(__xludf.DUMMYFUNCTION("""COMPUTED_VALUE"""),"No")</f>
        <v>No</v>
      </c>
      <c r="W259" s="10"/>
      <c r="X259" s="10"/>
      <c r="Y259" s="14" t="str">
        <f>IFERROR(__xludf.DUMMYFUNCTION("""COMPUTED_VALUE"""),"bhalkimalik88@gmail.com")</f>
        <v>bhalkimalik88@gmail.com</v>
      </c>
      <c r="AA259" s="325">
        <v>3.0</v>
      </c>
    </row>
    <row r="260" hidden="1">
      <c r="A260" s="9">
        <f>IFERROR(__xludf.DUMMYFUNCTION("""COMPUTED_VALUE"""),45793.449796388886)</f>
        <v>45793.4498</v>
      </c>
      <c r="B260" s="10" t="str">
        <f>IFERROR(__xludf.DUMMYFUNCTION("""COMPUTED_VALUE"""),"Ikram")</f>
        <v>Ikram</v>
      </c>
      <c r="C260" s="10" t="str">
        <f>IFERROR(__xludf.DUMMYFUNCTION("""COMPUTED_VALUE"""),"0313")</f>
        <v>0313</v>
      </c>
      <c r="D260" s="10" t="str">
        <f>IFERROR(__xludf.DUMMYFUNCTION("""COMPUTED_VALUE"""),"Jamia masjid galah Mandi sargodha")</f>
        <v>Jamia masjid galah Mandi sargodha</v>
      </c>
      <c r="E260" s="10" t="str">
        <f>IFERROR(__xludf.DUMMYFUNCTION("""COMPUTED_VALUE"""),"ebspq")</f>
        <v>ebspq</v>
      </c>
      <c r="F260" s="10">
        <f>IFERROR(__xludf.DUMMYFUNCTION("""COMPUTED_VALUE"""),200.0)</f>
        <v>200</v>
      </c>
      <c r="G260" s="10">
        <f>IFERROR(__xludf.DUMMYFUNCTION("""COMPUTED_VALUE"""),5.0)</f>
        <v>5</v>
      </c>
      <c r="H260" s="10">
        <f>IFERROR(__xludf.DUMMYFUNCTION("""COMPUTED_VALUE"""),5.0)</f>
        <v>5</v>
      </c>
      <c r="I260" s="10">
        <f>IFERROR(__xludf.DUMMYFUNCTION("""COMPUTED_VALUE"""),3.0)</f>
        <v>3</v>
      </c>
      <c r="J260" s="10" t="str">
        <f>IFERROR(__xludf.DUMMYFUNCTION("""COMPUTED_VALUE"""),"No")</f>
        <v>No</v>
      </c>
      <c r="K260" s="10" t="str">
        <f>IFERROR(__xludf.DUMMYFUNCTION("""COMPUTED_VALUE"""),"No")</f>
        <v>No</v>
      </c>
      <c r="L260" s="10" t="str">
        <f>IFERROR(__xludf.DUMMYFUNCTION("""COMPUTED_VALUE"""),"No")</f>
        <v>No</v>
      </c>
      <c r="M260" s="10">
        <f>IFERROR(__xludf.DUMMYFUNCTION("""COMPUTED_VALUE"""),7.0)</f>
        <v>7</v>
      </c>
      <c r="N260" s="10" t="str">
        <f>IFERROR(__xludf.DUMMYFUNCTION("""COMPUTED_VALUE"""),"No")</f>
        <v>No</v>
      </c>
      <c r="O260" s="10"/>
      <c r="P260" s="10"/>
      <c r="Q260" s="10"/>
      <c r="R260" s="10"/>
      <c r="S260" s="18" t="str">
        <f>IFERROR(__xludf.DUMMYFUNCTION("""COMPUTED_VALUE"""),"https://drive.google.com/open?id=1Qnx5lFzfcIz9-sqoDM6sdOUfbC5igEt8")</f>
        <v>https://drive.google.com/open?id=1Qnx5lFzfcIz9-sqoDM6sdOUfbC5igEt8</v>
      </c>
      <c r="T260" s="18" t="str">
        <f>IFERROR(__xludf.DUMMYFUNCTION("""COMPUTED_VALUE"""),"https://drive.google.com/open?id=1gGgP_Nv7DcBFetFZfSLOBa5udr6Wizcu")</f>
        <v>https://drive.google.com/open?id=1gGgP_Nv7DcBFetFZfSLOBa5udr6Wizcu</v>
      </c>
      <c r="U260" s="18" t="str">
        <f>IFERROR(__xludf.DUMMYFUNCTION("""COMPUTED_VALUE"""),"https://drive.google.com/open?id=1dJgwn8IXHvGoRkJC590RpoE1Jl_EcUSN")</f>
        <v>https://drive.google.com/open?id=1dJgwn8IXHvGoRkJC590RpoE1Jl_EcUSN</v>
      </c>
      <c r="V260" s="10" t="str">
        <f>IFERROR(__xludf.DUMMYFUNCTION("""COMPUTED_VALUE"""),"No")</f>
        <v>No</v>
      </c>
      <c r="W260" s="10"/>
      <c r="X260" s="10"/>
      <c r="Y260" s="14" t="str">
        <f>IFERROR(__xludf.DUMMYFUNCTION("""COMPUTED_VALUE"""),"ikramshezad888@gmail.com")</f>
        <v>ikramshezad888@gmail.com</v>
      </c>
      <c r="AA260" s="325">
        <v>3.0</v>
      </c>
    </row>
    <row r="261" hidden="1">
      <c r="A261" s="9">
        <f>IFERROR(__xludf.DUMMYFUNCTION("""COMPUTED_VALUE"""),45793.48611016203)</f>
        <v>45793.48611</v>
      </c>
      <c r="B261" s="10" t="str">
        <f>IFERROR(__xludf.DUMMYFUNCTION("""COMPUTED_VALUE"""),"M. Yamin Kanwal")</f>
        <v>M. Yamin Kanwal</v>
      </c>
      <c r="C261" s="10" t="str">
        <f>IFERROR(__xludf.DUMMYFUNCTION("""COMPUTED_VALUE"""),"03007774537")</f>
        <v>03007774537</v>
      </c>
      <c r="D261" s="10" t="str">
        <f>IFERROR(__xludf.DUMMYFUNCTION("""COMPUTED_VALUE"""),"Jamia Masjid Noor shakar garh")</f>
        <v>Jamia Masjid Noor shakar garh</v>
      </c>
      <c r="E261" s="10" t="str">
        <f>IFERROR(__xludf.DUMMYFUNCTION("""COMPUTED_VALUE"""),"Ohbdv")</f>
        <v>Ohbdv</v>
      </c>
      <c r="F261" s="10">
        <f>IFERROR(__xludf.DUMMYFUNCTION("""COMPUTED_VALUE"""),917.0)</f>
        <v>917</v>
      </c>
      <c r="G261" s="10">
        <f>IFERROR(__xludf.DUMMYFUNCTION("""COMPUTED_VALUE"""),9.0)</f>
        <v>9</v>
      </c>
      <c r="H261" s="10">
        <f>IFERROR(__xludf.DUMMYFUNCTION("""COMPUTED_VALUE"""),8.0)</f>
        <v>8</v>
      </c>
      <c r="I261" s="10">
        <f>IFERROR(__xludf.DUMMYFUNCTION("""COMPUTED_VALUE"""),0.0)</f>
        <v>0</v>
      </c>
      <c r="J261" s="10">
        <f>IFERROR(__xludf.DUMMYFUNCTION("""COMPUTED_VALUE"""),1965.0)</f>
        <v>1965</v>
      </c>
      <c r="K261" s="10" t="str">
        <f>IFERROR(__xludf.DUMMYFUNCTION("""COMPUTED_VALUE"""),"No")</f>
        <v>No</v>
      </c>
      <c r="L261" s="10" t="str">
        <f>IFERROR(__xludf.DUMMYFUNCTION("""COMPUTED_VALUE"""),"No")</f>
        <v>No</v>
      </c>
      <c r="M261" s="10">
        <f>IFERROR(__xludf.DUMMYFUNCTION("""COMPUTED_VALUE"""),9.0)</f>
        <v>9</v>
      </c>
      <c r="N261" s="10" t="str">
        <f>IFERROR(__xludf.DUMMYFUNCTION("""COMPUTED_VALUE"""),"No")</f>
        <v>No</v>
      </c>
      <c r="O261" s="10"/>
      <c r="P261" s="10"/>
      <c r="Q261" s="10"/>
      <c r="R261" s="10"/>
      <c r="S261" s="18" t="str">
        <f>IFERROR(__xludf.DUMMYFUNCTION("""COMPUTED_VALUE"""),"https://drive.google.com/open?id=13DyFfIJLXQ_AKipDIoL7e0daKIHWW2wD")</f>
        <v>https://drive.google.com/open?id=13DyFfIJLXQ_AKipDIoL7e0daKIHWW2wD</v>
      </c>
      <c r="T261" s="18" t="str">
        <f>IFERROR(__xludf.DUMMYFUNCTION("""COMPUTED_VALUE"""),"https://drive.google.com/open?id=1Gara7GrxDGfHLwiH2-Hx7RlEcrCy-eyh")</f>
        <v>https://drive.google.com/open?id=1Gara7GrxDGfHLwiH2-Hx7RlEcrCy-eyh</v>
      </c>
      <c r="U261" s="18" t="str">
        <f>IFERROR(__xludf.DUMMYFUNCTION("""COMPUTED_VALUE"""),"https://drive.google.com/open?id=1SuOs5-p_r02aGjll-6Jm--mOWUlkJNC9")</f>
        <v>https://drive.google.com/open?id=1SuOs5-p_r02aGjll-6Jm--mOWUlkJNC9</v>
      </c>
      <c r="V261" s="10"/>
      <c r="W261" s="10"/>
      <c r="X261" s="10"/>
      <c r="Y261" s="14" t="str">
        <f>IFERROR(__xludf.DUMMYFUNCTION("""COMPUTED_VALUE"""),"yameenmss@gmail.com")</f>
        <v>yameenmss@gmail.com</v>
      </c>
      <c r="AA261" s="325">
        <v>3.0</v>
      </c>
    </row>
    <row r="262" hidden="1">
      <c r="A262" s="9">
        <f>IFERROR(__xludf.DUMMYFUNCTION("""COMPUTED_VALUE"""),45793.52408819445)</f>
        <v>45793.52409</v>
      </c>
      <c r="B262" s="10" t="str">
        <f>IFERROR(__xludf.DUMMYFUNCTION("""COMPUTED_VALUE"""),"Abdullah")</f>
        <v>Abdullah</v>
      </c>
      <c r="C262" s="10" t="str">
        <f>IFERROR(__xludf.DUMMYFUNCTION("""COMPUTED_VALUE"""),"03076348483")</f>
        <v>03076348483</v>
      </c>
      <c r="D262" s="10" t="str">
        <f>IFERROR(__xludf.DUMMYFUNCTION("""COMPUTED_VALUE"""),"jamia masjid Safdaria ")</f>
        <v>jamia masjid Safdaria </v>
      </c>
      <c r="E262" s="10" t="str">
        <f>IFERROR(__xludf.DUMMYFUNCTION("""COMPUTED_VALUE"""),"pcboq")</f>
        <v>pcboq</v>
      </c>
      <c r="F262" s="10">
        <f>IFERROR(__xludf.DUMMYFUNCTION("""COMPUTED_VALUE"""),163.0)</f>
        <v>163</v>
      </c>
      <c r="G262" s="10">
        <f>IFERROR(__xludf.DUMMYFUNCTION("""COMPUTED_VALUE"""),8.0)</f>
        <v>8</v>
      </c>
      <c r="H262" s="10">
        <f>IFERROR(__xludf.DUMMYFUNCTION("""COMPUTED_VALUE"""),8.0)</f>
        <v>8</v>
      </c>
      <c r="I262" s="10">
        <f>IFERROR(__xludf.DUMMYFUNCTION("""COMPUTED_VALUE"""),0.0)</f>
        <v>0</v>
      </c>
      <c r="J262" s="10">
        <f>IFERROR(__xludf.DUMMYFUNCTION("""COMPUTED_VALUE"""),1989.0)</f>
        <v>1989</v>
      </c>
      <c r="K262" s="10" t="str">
        <f>IFERROR(__xludf.DUMMYFUNCTION("""COMPUTED_VALUE"""),"No")</f>
        <v>No</v>
      </c>
      <c r="L262" s="10" t="str">
        <f>IFERROR(__xludf.DUMMYFUNCTION("""COMPUTED_VALUE"""),"no")</f>
        <v>no</v>
      </c>
      <c r="M262" s="10">
        <f>IFERROR(__xludf.DUMMYFUNCTION("""COMPUTED_VALUE"""),7.0)</f>
        <v>7</v>
      </c>
      <c r="N262" s="10" t="str">
        <f>IFERROR(__xludf.DUMMYFUNCTION("""COMPUTED_VALUE"""),"No")</f>
        <v>No</v>
      </c>
      <c r="O262" s="10"/>
      <c r="P262" s="10"/>
      <c r="Q262" s="10"/>
      <c r="R262" s="10"/>
      <c r="S262" s="18" t="str">
        <f>IFERROR(__xludf.DUMMYFUNCTION("""COMPUTED_VALUE"""),"https://drive.google.com/open?id=1gIi8KHFJJSr19DJ_PbZAs7KymHIMi0iV")</f>
        <v>https://drive.google.com/open?id=1gIi8KHFJJSr19DJ_PbZAs7KymHIMi0iV</v>
      </c>
      <c r="T262" s="18" t="str">
        <f>IFERROR(__xludf.DUMMYFUNCTION("""COMPUTED_VALUE"""),"https://drive.google.com/open?id=1sW-mfy3OSN_nRMXE1y8Qy11vlp6Ew_aR")</f>
        <v>https://drive.google.com/open?id=1sW-mfy3OSN_nRMXE1y8Qy11vlp6Ew_aR</v>
      </c>
      <c r="U262" s="18" t="str">
        <f>IFERROR(__xludf.DUMMYFUNCTION("""COMPUTED_VALUE"""),"https://drive.google.com/open?id=1vIJ-e0XKs5-aJcM69N3ghozViTpxGnke")</f>
        <v>https://drive.google.com/open?id=1vIJ-e0XKs5-aJcM69N3ghozViTpxGnke</v>
      </c>
      <c r="V262" s="10"/>
      <c r="W262" s="10"/>
      <c r="X262" s="10"/>
      <c r="Y262" s="14" t="str">
        <f>IFERROR(__xludf.DUMMYFUNCTION("""COMPUTED_VALUE"""),"kelash78@gmail.com")</f>
        <v>kelash78@gmail.com</v>
      </c>
      <c r="AA262" s="325">
        <v>3.0</v>
      </c>
    </row>
    <row r="263" hidden="1">
      <c r="A263" s="9">
        <f>IFERROR(__xludf.DUMMYFUNCTION("""COMPUTED_VALUE"""),45793.54167306713)</f>
        <v>45793.54167</v>
      </c>
      <c r="B263" s="10" t="str">
        <f>IFERROR(__xludf.DUMMYFUNCTION("""COMPUTED_VALUE"""),"sulamanasghar69@gmail.com")</f>
        <v>sulamanasghar69@gmail.com</v>
      </c>
      <c r="C263" s="10" t="str">
        <f>IFERROR(__xludf.DUMMYFUNCTION("""COMPUTED_VALUE"""),"03126136070")</f>
        <v>03126136070</v>
      </c>
      <c r="D263" s="10" t="str">
        <f>IFERROR(__xludf.DUMMYFUNCTION("""COMPUTED_VALUE"""),"Shah jahngir multani")</f>
        <v>Shah jahngir multani</v>
      </c>
      <c r="E263" s="10" t="str">
        <f>IFERROR(__xludf.DUMMYFUNCTION("""COMPUTED_VALUE"""),"Cnztw")</f>
        <v>Cnztw</v>
      </c>
      <c r="F263" s="10">
        <f>IFERROR(__xludf.DUMMYFUNCTION("""COMPUTED_VALUE"""),160.0)</f>
        <v>160</v>
      </c>
      <c r="G263" s="10">
        <f>IFERROR(__xludf.DUMMYFUNCTION("""COMPUTED_VALUE"""),8.0)</f>
        <v>8</v>
      </c>
      <c r="H263" s="10">
        <f>IFERROR(__xludf.DUMMYFUNCTION("""COMPUTED_VALUE"""),8.0)</f>
        <v>8</v>
      </c>
      <c r="I263" s="10">
        <f>IFERROR(__xludf.DUMMYFUNCTION("""COMPUTED_VALUE"""),3.0)</f>
        <v>3</v>
      </c>
      <c r="J263" s="10">
        <f>IFERROR(__xludf.DUMMYFUNCTION("""COMPUTED_VALUE"""),1651.0)</f>
        <v>1651</v>
      </c>
      <c r="K263" s="10" t="str">
        <f>IFERROR(__xludf.DUMMYFUNCTION("""COMPUTED_VALUE"""),"No")</f>
        <v>No</v>
      </c>
      <c r="L263" s="10" t="str">
        <f>IFERROR(__xludf.DUMMYFUNCTION("""COMPUTED_VALUE"""),"Darbar shah jahngir")</f>
        <v>Darbar shah jahngir</v>
      </c>
      <c r="M263" s="10">
        <f>IFERROR(__xludf.DUMMYFUNCTION("""COMPUTED_VALUE"""),8.0)</f>
        <v>8</v>
      </c>
      <c r="N263" s="10" t="str">
        <f>IFERROR(__xludf.DUMMYFUNCTION("""COMPUTED_VALUE"""),"No")</f>
        <v>No</v>
      </c>
      <c r="O263" s="10"/>
      <c r="P263" s="10"/>
      <c r="Q263" s="10"/>
      <c r="R263" s="10"/>
      <c r="S263" s="18" t="str">
        <f>IFERROR(__xludf.DUMMYFUNCTION("""COMPUTED_VALUE"""),"https://drive.google.com/open?id=17xjNrgr5_weDwDqlL35zSjrYxMr4wSWm")</f>
        <v>https://drive.google.com/open?id=17xjNrgr5_weDwDqlL35zSjrYxMr4wSWm</v>
      </c>
      <c r="T263" s="18" t="str">
        <f>IFERROR(__xludf.DUMMYFUNCTION("""COMPUTED_VALUE"""),"https://drive.google.com/open?id=1PJgs2WNfiQZ7wg7A4zHe-hZQV-rjwlkG")</f>
        <v>https://drive.google.com/open?id=1PJgs2WNfiQZ7wg7A4zHe-hZQV-rjwlkG</v>
      </c>
      <c r="U263" s="18" t="str">
        <f>IFERROR(__xludf.DUMMYFUNCTION("""COMPUTED_VALUE"""),"https://drive.google.com/open?id=14t2__17LvhUtRT6q6oHpoLY0VOujM6H-")</f>
        <v>https://drive.google.com/open?id=14t2__17LvhUtRT6q6oHpoLY0VOujM6H-</v>
      </c>
      <c r="V263" s="10" t="str">
        <f>IFERROR(__xludf.DUMMYFUNCTION("""COMPUTED_VALUE"""),"ہمارے دونوں خطبے انھوں نے پہلے دو جمعہ میں پڑھوا دیئے ہیں")</f>
        <v>ہمارے دونوں خطبے انھوں نے پہلے دو جمعہ میں پڑھوا دیئے ہیں</v>
      </c>
      <c r="W263" s="10"/>
      <c r="X263" s="10"/>
      <c r="Y263" s="14" t="str">
        <f>IFERROR(__xludf.DUMMYFUNCTION("""COMPUTED_VALUE"""),"sulamanasghar69@gmail.com")</f>
        <v>sulamanasghar69@gmail.com</v>
      </c>
      <c r="AA263" s="325">
        <v>3.0</v>
      </c>
    </row>
    <row r="264" hidden="1">
      <c r="A264" s="9">
        <f>IFERROR(__xludf.DUMMYFUNCTION("""COMPUTED_VALUE"""),45794.09148631945)</f>
        <v>45794.09149</v>
      </c>
      <c r="B264" s="10" t="str">
        <f>IFERROR(__xludf.DUMMYFUNCTION("""COMPUTED_VALUE"""),"Ali raza")</f>
        <v>Ali raza</v>
      </c>
      <c r="C264" s="10" t="str">
        <f>IFERROR(__xludf.DUMMYFUNCTION("""COMPUTED_VALUE"""),"03046138132")</f>
        <v>03046138132</v>
      </c>
      <c r="D264" s="10" t="str">
        <f>IFERROR(__xludf.DUMMYFUNCTION("""COMPUTED_VALUE"""),"JAMIA MASJID FAROOQIYA GHOUSIYA POWNDA WALA ")</f>
        <v>JAMIA MASJID FAROOQIYA GHOUSIYA POWNDA WALA </v>
      </c>
      <c r="E264" s="10" t="str">
        <f>IFERROR(__xludf.DUMMYFUNCTION("""COMPUTED_VALUE"""),"ZRXRI")</f>
        <v>ZRXRI</v>
      </c>
      <c r="F264" s="10">
        <f>IFERROR(__xludf.DUMMYFUNCTION("""COMPUTED_VALUE"""),180.0)</f>
        <v>180</v>
      </c>
      <c r="G264" s="10">
        <f>IFERROR(__xludf.DUMMYFUNCTION("""COMPUTED_VALUE"""),10.0)</f>
        <v>10</v>
      </c>
      <c r="H264" s="10">
        <f>IFERROR(__xludf.DUMMYFUNCTION("""COMPUTED_VALUE"""),10.0)</f>
        <v>10</v>
      </c>
      <c r="I264" s="10">
        <f>IFERROR(__xludf.DUMMYFUNCTION("""COMPUTED_VALUE"""),0.0)</f>
        <v>0</v>
      </c>
      <c r="J264" s="10">
        <f>IFERROR(__xludf.DUMMYFUNCTION("""COMPUTED_VALUE"""),1955.0)</f>
        <v>1955</v>
      </c>
      <c r="K264" s="10" t="str">
        <f>IFERROR(__xludf.DUMMYFUNCTION("""COMPUTED_VALUE"""),"No")</f>
        <v>No</v>
      </c>
      <c r="L264" s="10" t="str">
        <f>IFERROR(__xludf.DUMMYFUNCTION("""COMPUTED_VALUE"""),"No")</f>
        <v>No</v>
      </c>
      <c r="M264" s="10">
        <f>IFERROR(__xludf.DUMMYFUNCTION("""COMPUTED_VALUE"""),10.0)</f>
        <v>10</v>
      </c>
      <c r="N264" s="10" t="str">
        <f>IFERROR(__xludf.DUMMYFUNCTION("""COMPUTED_VALUE"""),"Yes")</f>
        <v>Yes</v>
      </c>
      <c r="O264" s="323">
        <f>IFERROR(__xludf.DUMMYFUNCTION("""COMPUTED_VALUE"""),1.0)</f>
        <v>1</v>
      </c>
      <c r="P264" s="10">
        <f>IFERROR(__xludf.DUMMYFUNCTION("""COMPUTED_VALUE"""),10.0)</f>
        <v>10</v>
      </c>
      <c r="Q264" s="10">
        <f>IFERROR(__xludf.DUMMYFUNCTION("""COMPUTED_VALUE"""),0.0)</f>
        <v>0</v>
      </c>
      <c r="R264" s="10">
        <f>IFERROR(__xludf.DUMMYFUNCTION("""COMPUTED_VALUE"""),8.0)</f>
        <v>8</v>
      </c>
      <c r="S264" s="18" t="str">
        <f>IFERROR(__xludf.DUMMYFUNCTION("""COMPUTED_VALUE"""),"https://drive.google.com/open?id=110EylDLNxy54ZhEjYcPc1_mSP006N4Zb")</f>
        <v>https://drive.google.com/open?id=110EylDLNxy54ZhEjYcPc1_mSP006N4Zb</v>
      </c>
      <c r="T264" s="18" t="str">
        <f>IFERROR(__xludf.DUMMYFUNCTION("""COMPUTED_VALUE"""),"https://drive.google.com/open?id=18wpmJAeNm3HzV7UAwI9YDBoemIRNeGxE")</f>
        <v>https://drive.google.com/open?id=18wpmJAeNm3HzV7UAwI9YDBoemIRNeGxE</v>
      </c>
      <c r="U264" s="18" t="str">
        <f>IFERROR(__xludf.DUMMYFUNCTION("""COMPUTED_VALUE"""),"https://drive.google.com/open?id=1x63k8BsORceM5st9cFoBfV8kJEZ4zEC4")</f>
        <v>https://drive.google.com/open?id=1x63k8BsORceM5st9cFoBfV8kJEZ4zEC4</v>
      </c>
      <c r="V264" s="10"/>
      <c r="W264" s="10"/>
      <c r="X264" s="10" t="str">
        <f>IFERROR(__xludf.DUMMYFUNCTION("""COMPUTED_VALUE"""),"Yes")</f>
        <v>Yes</v>
      </c>
      <c r="Y264" s="14" t="str">
        <f>IFERROR(__xludf.DUMMYFUNCTION("""COMPUTED_VALUE"""),"qb0430317@gmail.com")</f>
        <v>qb0430317@gmail.com</v>
      </c>
      <c r="AA264" s="325">
        <v>3.0</v>
      </c>
    </row>
    <row r="265" hidden="1">
      <c r="A265" s="9">
        <f>IFERROR(__xludf.DUMMYFUNCTION("""COMPUTED_VALUE"""),45794.09671896991)</f>
        <v>45794.09672</v>
      </c>
      <c r="B265" s="10" t="str">
        <f>IFERROR(__xludf.DUMMYFUNCTION("""COMPUTED_VALUE"""),"Ali raza")</f>
        <v>Ali raza</v>
      </c>
      <c r="C265" s="10" t="str">
        <f>IFERROR(__xludf.DUMMYFUNCTION("""COMPUTED_VALUE"""),"03046138132")</f>
        <v>03046138132</v>
      </c>
      <c r="D265" s="10" t="str">
        <f>IFERROR(__xludf.DUMMYFUNCTION("""COMPUTED_VALUE"""),"JAMIA MASJID QUDSIYA RIZVIYA CIVIL LINE")</f>
        <v>JAMIA MASJID QUDSIYA RIZVIYA CIVIL LINE</v>
      </c>
      <c r="E265" s="10" t="str">
        <f>IFERROR(__xludf.DUMMYFUNCTION("""COMPUTED_VALUE"""),"BWXOO")</f>
        <v>BWXOO</v>
      </c>
      <c r="F265" s="10">
        <f>IFERROR(__xludf.DUMMYFUNCTION("""COMPUTED_VALUE"""),150.0)</f>
        <v>150</v>
      </c>
      <c r="G265" s="10">
        <f>IFERROR(__xludf.DUMMYFUNCTION("""COMPUTED_VALUE"""),7.0)</f>
        <v>7</v>
      </c>
      <c r="H265" s="10">
        <f>IFERROR(__xludf.DUMMYFUNCTION("""COMPUTED_VALUE"""),7.0)</f>
        <v>7</v>
      </c>
      <c r="I265" s="10">
        <f>IFERROR(__xludf.DUMMYFUNCTION("""COMPUTED_VALUE"""),2.0)</f>
        <v>2</v>
      </c>
      <c r="J265" s="10">
        <f>IFERROR(__xludf.DUMMYFUNCTION("""COMPUTED_VALUE"""),1965.0)</f>
        <v>1965</v>
      </c>
      <c r="K265" s="10" t="str">
        <f>IFERROR(__xludf.DUMMYFUNCTION("""COMPUTED_VALUE"""),"No")</f>
        <v>No</v>
      </c>
      <c r="L265" s="10" t="str">
        <f>IFERROR(__xludf.DUMMYFUNCTION("""COMPUTED_VALUE"""),"No")</f>
        <v>No</v>
      </c>
      <c r="M265" s="10">
        <f>IFERROR(__xludf.DUMMYFUNCTION("""COMPUTED_VALUE"""),7.0)</f>
        <v>7</v>
      </c>
      <c r="N265" s="10" t="str">
        <f>IFERROR(__xludf.DUMMYFUNCTION("""COMPUTED_VALUE"""),"Yes")</f>
        <v>Yes</v>
      </c>
      <c r="O265" s="323">
        <f>IFERROR(__xludf.DUMMYFUNCTION("""COMPUTED_VALUE"""),0.5)</f>
        <v>0.5</v>
      </c>
      <c r="P265" s="10">
        <f>IFERROR(__xludf.DUMMYFUNCTION("""COMPUTED_VALUE"""),5.0)</f>
        <v>5</v>
      </c>
      <c r="Q265" s="10">
        <f>IFERROR(__xludf.DUMMYFUNCTION("""COMPUTED_VALUE"""),5.0)</f>
        <v>5</v>
      </c>
      <c r="R265" s="10">
        <f>IFERROR(__xludf.DUMMYFUNCTION("""COMPUTED_VALUE"""),5.0)</f>
        <v>5</v>
      </c>
      <c r="S265" s="18" t="str">
        <f>IFERROR(__xludf.DUMMYFUNCTION("""COMPUTED_VALUE"""),"https://drive.google.com/open?id=1Cl3Lr7NF437aKZwnbBY3nm_SZo7DuI-D")</f>
        <v>https://drive.google.com/open?id=1Cl3Lr7NF437aKZwnbBY3nm_SZo7DuI-D</v>
      </c>
      <c r="T265" s="18" t="str">
        <f>IFERROR(__xludf.DUMMYFUNCTION("""COMPUTED_VALUE"""),"https://drive.google.com/open?id=19E8Rwa1Fq6zeIyynzqy_1TrRO3XszJPK")</f>
        <v>https://drive.google.com/open?id=19E8Rwa1Fq6zeIyynzqy_1TrRO3XszJPK</v>
      </c>
      <c r="U265" s="18" t="str">
        <f>IFERROR(__xludf.DUMMYFUNCTION("""COMPUTED_VALUE"""),"https://drive.google.com/open?id=1XAYBv4JERF96P_u_f_GGQLspUquiQbGH")</f>
        <v>https://drive.google.com/open?id=1XAYBv4JERF96P_u_f_GGQLspUquiQbGH</v>
      </c>
      <c r="V265" s="10"/>
      <c r="W265" s="10"/>
      <c r="X265" s="10" t="str">
        <f>IFERROR(__xludf.DUMMYFUNCTION("""COMPUTED_VALUE"""),"Yes")</f>
        <v>Yes</v>
      </c>
      <c r="Y265" s="14" t="str">
        <f>IFERROR(__xludf.DUMMYFUNCTION("""COMPUTED_VALUE"""),"qb0430317@gmail.com")</f>
        <v>qb0430317@gmail.com</v>
      </c>
      <c r="AA265" s="325">
        <v>3.0</v>
      </c>
    </row>
    <row r="266" hidden="1">
      <c r="A266" s="9">
        <f>IFERROR(__xludf.DUMMYFUNCTION("""COMPUTED_VALUE"""),45794.145495324075)</f>
        <v>45794.1455</v>
      </c>
      <c r="B266" s="10" t="str">
        <f>IFERROR(__xludf.DUMMYFUNCTION("""COMPUTED_VALUE"""),"Maqbool  Ahmad")</f>
        <v>Maqbool  Ahmad</v>
      </c>
      <c r="C266" s="10" t="str">
        <f>IFERROR(__xludf.DUMMYFUNCTION("""COMPUTED_VALUE"""),"03016334942")</f>
        <v>03016334942</v>
      </c>
      <c r="D266" s="10" t="str">
        <f>IFERROR(__xludf.DUMMYFUNCTION("""COMPUTED_VALUE"""),"Masjad Qutab shah wali")</f>
        <v>Masjad Qutab shah wali</v>
      </c>
      <c r="E266" s="10" t="str">
        <f>IFERROR(__xludf.DUMMYFUNCTION("""COMPUTED_VALUE"""),"QLXFF")</f>
        <v>QLXFF</v>
      </c>
      <c r="F266" s="10">
        <f>IFERROR(__xludf.DUMMYFUNCTION("""COMPUTED_VALUE"""),685.0)</f>
        <v>685</v>
      </c>
      <c r="G266" s="10">
        <f>IFERROR(__xludf.DUMMYFUNCTION("""COMPUTED_VALUE"""),10.0)</f>
        <v>10</v>
      </c>
      <c r="H266" s="10">
        <f>IFERROR(__xludf.DUMMYFUNCTION("""COMPUTED_VALUE"""),8.0)</f>
        <v>8</v>
      </c>
      <c r="I266" s="10">
        <f>IFERROR(__xludf.DUMMYFUNCTION("""COMPUTED_VALUE"""),0.0)</f>
        <v>0</v>
      </c>
      <c r="J266" s="10">
        <f>IFERROR(__xludf.DUMMYFUNCTION("""COMPUTED_VALUE"""),2003.0)</f>
        <v>2003</v>
      </c>
      <c r="K266" s="10" t="str">
        <f>IFERROR(__xludf.DUMMYFUNCTION("""COMPUTED_VALUE"""),"No")</f>
        <v>No</v>
      </c>
      <c r="L266" s="10" t="str">
        <f>IFERROR(__xludf.DUMMYFUNCTION("""COMPUTED_VALUE"""),"Qutab shah wali")</f>
        <v>Qutab shah wali</v>
      </c>
      <c r="M266" s="10">
        <f>IFERROR(__xludf.DUMMYFUNCTION("""COMPUTED_VALUE"""),9.0)</f>
        <v>9</v>
      </c>
      <c r="N266" s="10" t="str">
        <f>IFERROR(__xludf.DUMMYFUNCTION("""COMPUTED_VALUE"""),"No")</f>
        <v>No</v>
      </c>
      <c r="O266" s="10"/>
      <c r="P266" s="10"/>
      <c r="Q266" s="10"/>
      <c r="R266" s="10"/>
      <c r="S266" s="18" t="str">
        <f>IFERROR(__xludf.DUMMYFUNCTION("""COMPUTED_VALUE"""),"https://drive.google.com/open?id=1SOClmmVUTChaUjGjGBWiE1rxI0J4Q-nq")</f>
        <v>https://drive.google.com/open?id=1SOClmmVUTChaUjGjGBWiE1rxI0J4Q-nq</v>
      </c>
      <c r="T266" s="18" t="str">
        <f>IFERROR(__xludf.DUMMYFUNCTION("""COMPUTED_VALUE"""),"https://drive.google.com/open?id=1sVKhJwsijH-OC7EZdxm1G6CnNIzPaj2O")</f>
        <v>https://drive.google.com/open?id=1sVKhJwsijH-OC7EZdxm1G6CnNIzPaj2O</v>
      </c>
      <c r="U266" s="18" t="str">
        <f>IFERROR(__xludf.DUMMYFUNCTION("""COMPUTED_VALUE"""),"https://drive.google.com/open?id=1P-I9H7iGnUrf4hVWOYQZJ3lLvZF2doeN")</f>
        <v>https://drive.google.com/open?id=1P-I9H7iGnUrf4hVWOYQZJ3lLvZF2doeN</v>
      </c>
      <c r="V266" s="10"/>
      <c r="W266" s="10"/>
      <c r="X266" s="10"/>
      <c r="Y266" s="14" t="str">
        <f>IFERROR(__xludf.DUMMYFUNCTION("""COMPUTED_VALUE"""),"maqboolahmadnwl42@gamil.com")</f>
        <v>maqboolahmadnwl42@gamil.com</v>
      </c>
      <c r="AA266" s="325">
        <v>3.0</v>
      </c>
    </row>
    <row r="267" hidden="1">
      <c r="A267" s="9">
        <f>IFERROR(__xludf.DUMMYFUNCTION("""COMPUTED_VALUE"""),45794.16771018518)</f>
        <v>45794.16771</v>
      </c>
      <c r="B267" s="10" t="str">
        <f>IFERROR(__xludf.DUMMYFUNCTION("""COMPUTED_VALUE"""),"Hassan Farooq ")</f>
        <v>Hassan Farooq </v>
      </c>
      <c r="C267" s="10" t="str">
        <f>IFERROR(__xludf.DUMMYFUNCTION("""COMPUTED_VALUE"""),"03057252835")</f>
        <v>03057252835</v>
      </c>
      <c r="D267" s="10" t="str">
        <f>IFERROR(__xludf.DUMMYFUNCTION("""COMPUTED_VALUE"""),"Jamia masjid main bazar ")</f>
        <v>Jamia masjid main bazar </v>
      </c>
      <c r="E267" s="10" t="str">
        <f>IFERROR(__xludf.DUMMYFUNCTION("""COMPUTED_VALUE"""),"obntr ")</f>
        <v>obntr </v>
      </c>
      <c r="F267" s="10">
        <f>IFERROR(__xludf.DUMMYFUNCTION("""COMPUTED_VALUE"""),250.0)</f>
        <v>250</v>
      </c>
      <c r="G267" s="10">
        <f>IFERROR(__xludf.DUMMYFUNCTION("""COMPUTED_VALUE"""),9.0)</f>
        <v>9</v>
      </c>
      <c r="H267" s="10">
        <f>IFERROR(__xludf.DUMMYFUNCTION("""COMPUTED_VALUE"""),9.0)</f>
        <v>9</v>
      </c>
      <c r="I267" s="10">
        <f>IFERROR(__xludf.DUMMYFUNCTION("""COMPUTED_VALUE"""),1.0)</f>
        <v>1</v>
      </c>
      <c r="J267" s="10">
        <f>IFERROR(__xludf.DUMMYFUNCTION("""COMPUTED_VALUE"""),1925.0)</f>
        <v>1925</v>
      </c>
      <c r="K267" s="10" t="str">
        <f>IFERROR(__xludf.DUMMYFUNCTION("""COMPUTED_VALUE"""),"No")</f>
        <v>No</v>
      </c>
      <c r="L267" s="10" t="str">
        <f>IFERROR(__xludf.DUMMYFUNCTION("""COMPUTED_VALUE"""),"no")</f>
        <v>no</v>
      </c>
      <c r="M267" s="10">
        <f>IFERROR(__xludf.DUMMYFUNCTION("""COMPUTED_VALUE"""),9.0)</f>
        <v>9</v>
      </c>
      <c r="N267" s="10" t="str">
        <f>IFERROR(__xludf.DUMMYFUNCTION("""COMPUTED_VALUE"""),"Yes")</f>
        <v>Yes</v>
      </c>
      <c r="O267" s="323">
        <f>IFERROR(__xludf.DUMMYFUNCTION("""COMPUTED_VALUE"""),0.9)</f>
        <v>0.9</v>
      </c>
      <c r="P267" s="10">
        <f>IFERROR(__xludf.DUMMYFUNCTION("""COMPUTED_VALUE"""),9.0)</f>
        <v>9</v>
      </c>
      <c r="Q267" s="10">
        <f>IFERROR(__xludf.DUMMYFUNCTION("""COMPUTED_VALUE"""),1.0)</f>
        <v>1</v>
      </c>
      <c r="R267" s="10">
        <f>IFERROR(__xludf.DUMMYFUNCTION("""COMPUTED_VALUE"""),9.0)</f>
        <v>9</v>
      </c>
      <c r="S267" s="18" t="str">
        <f>IFERROR(__xludf.DUMMYFUNCTION("""COMPUTED_VALUE"""),"https://drive.google.com/open?id=1o3ZeEH3OXlLIBy5e6SKUQZep99cM5eRk")</f>
        <v>https://drive.google.com/open?id=1o3ZeEH3OXlLIBy5e6SKUQZep99cM5eRk</v>
      </c>
      <c r="T267" s="18" t="str">
        <f>IFERROR(__xludf.DUMMYFUNCTION("""COMPUTED_VALUE"""),"https://drive.google.com/open?id=1eJXvx_cCQDi0sOprGfGe2q0hDgl_BQkr")</f>
        <v>https://drive.google.com/open?id=1eJXvx_cCQDi0sOprGfGe2q0hDgl_BQkr</v>
      </c>
      <c r="U267" s="18" t="str">
        <f>IFERROR(__xludf.DUMMYFUNCTION("""COMPUTED_VALUE"""),"https://drive.google.com/open?id=1pSn3T-e2jLoAymqsdUaMFymotvmThBy5")</f>
        <v>https://drive.google.com/open?id=1pSn3T-e2jLoAymqsdUaMFymotvmThBy5</v>
      </c>
      <c r="V267" s="10" t="str">
        <f>IFERROR(__xludf.DUMMYFUNCTION("""COMPUTED_VALUE"""),"no")</f>
        <v>no</v>
      </c>
      <c r="W267" s="10"/>
      <c r="X267" s="10" t="str">
        <f>IFERROR(__xludf.DUMMYFUNCTION("""COMPUTED_VALUE"""),"Yes")</f>
        <v>Yes</v>
      </c>
      <c r="Y267" s="14" t="str">
        <f>IFERROR(__xludf.DUMMYFUNCTION("""COMPUTED_VALUE"""),"hassanmalik00100200@gmail.com")</f>
        <v>hassanmalik00100200@gmail.com</v>
      </c>
      <c r="AA267" s="325">
        <v>3.0</v>
      </c>
    </row>
    <row r="268" hidden="1">
      <c r="A268" s="9">
        <f>IFERROR(__xludf.DUMMYFUNCTION("""COMPUTED_VALUE"""),45794.26381862268)</f>
        <v>45794.26382</v>
      </c>
      <c r="B268" s="10" t="str">
        <f>IFERROR(__xludf.DUMMYFUNCTION("""COMPUTED_VALUE"""),"USMAN ")</f>
        <v>USMAN </v>
      </c>
      <c r="C268" s="10" t="str">
        <f>IFERROR(__xludf.DUMMYFUNCTION("""COMPUTED_VALUE"""),"03046190315")</f>
        <v>03046190315</v>
      </c>
      <c r="D268" s="10" t="str">
        <f>IFERROR(__xludf.DUMMYFUNCTION("""COMPUTED_VALUE"""),"Jamia masjid galah mandi bhalwal ")</f>
        <v>Jamia masjid galah mandi bhalwal </v>
      </c>
      <c r="E268" s="10" t="str">
        <f>IFERROR(__xludf.DUMMYFUNCTION("""COMPUTED_VALUE"""),"hhmbl")</f>
        <v>hhmbl</v>
      </c>
      <c r="F268" s="10">
        <f>IFERROR(__xludf.DUMMYFUNCTION("""COMPUTED_VALUE"""),250.0)</f>
        <v>250</v>
      </c>
      <c r="G268" s="10">
        <f>IFERROR(__xludf.DUMMYFUNCTION("""COMPUTED_VALUE"""),8.0)</f>
        <v>8</v>
      </c>
      <c r="H268" s="10">
        <f>IFERROR(__xludf.DUMMYFUNCTION("""COMPUTED_VALUE"""),7.0)</f>
        <v>7</v>
      </c>
      <c r="I268" s="10">
        <f>IFERROR(__xludf.DUMMYFUNCTION("""COMPUTED_VALUE"""),0.0)</f>
        <v>0</v>
      </c>
      <c r="J268" s="10" t="str">
        <f>IFERROR(__xludf.DUMMYFUNCTION("""COMPUTED_VALUE"""),"No")</f>
        <v>No</v>
      </c>
      <c r="K268" s="10" t="str">
        <f>IFERROR(__xludf.DUMMYFUNCTION("""COMPUTED_VALUE"""),"No")</f>
        <v>No</v>
      </c>
      <c r="L268" s="10" t="str">
        <f>IFERROR(__xludf.DUMMYFUNCTION("""COMPUTED_VALUE"""),"No")</f>
        <v>No</v>
      </c>
      <c r="M268" s="10">
        <f>IFERROR(__xludf.DUMMYFUNCTION("""COMPUTED_VALUE"""),7.0)</f>
        <v>7</v>
      </c>
      <c r="N268" s="10" t="str">
        <f>IFERROR(__xludf.DUMMYFUNCTION("""COMPUTED_VALUE"""),"Yes")</f>
        <v>Yes</v>
      </c>
      <c r="O268" s="323">
        <f>IFERROR(__xludf.DUMMYFUNCTION("""COMPUTED_VALUE"""),0.7)</f>
        <v>0.7</v>
      </c>
      <c r="P268" s="10">
        <f>IFERROR(__xludf.DUMMYFUNCTION("""COMPUTED_VALUE"""),7.0)</f>
        <v>7</v>
      </c>
      <c r="Q268" s="10">
        <f>IFERROR(__xludf.DUMMYFUNCTION("""COMPUTED_VALUE"""),3.0)</f>
        <v>3</v>
      </c>
      <c r="R268" s="10">
        <f>IFERROR(__xludf.DUMMYFUNCTION("""COMPUTED_VALUE"""),7.0)</f>
        <v>7</v>
      </c>
      <c r="S268" s="18" t="str">
        <f>IFERROR(__xludf.DUMMYFUNCTION("""COMPUTED_VALUE"""),"https://drive.google.com/open?id=1QlqtCFJcL7PlVHDmA_2uf0TgOfcXKX5J")</f>
        <v>https://drive.google.com/open?id=1QlqtCFJcL7PlVHDmA_2uf0TgOfcXKX5J</v>
      </c>
      <c r="T268" s="18" t="str">
        <f>IFERROR(__xludf.DUMMYFUNCTION("""COMPUTED_VALUE"""),"https://drive.google.com/open?id=1sDhVUNyGLkW3li06bufeaUOHiSskH2_g")</f>
        <v>https://drive.google.com/open?id=1sDhVUNyGLkW3li06bufeaUOHiSskH2_g</v>
      </c>
      <c r="U268" s="18" t="str">
        <f>IFERROR(__xludf.DUMMYFUNCTION("""COMPUTED_VALUE"""),"https://drive.google.com/open?id=1aGseX32o-9Qj3RpZbfdshiPTvsvk8Z6W")</f>
        <v>https://drive.google.com/open?id=1aGseX32o-9Qj3RpZbfdshiPTvsvk8Z6W</v>
      </c>
      <c r="V268" s="10" t="str">
        <f>IFERROR(__xludf.DUMMYFUNCTION("""COMPUTED_VALUE"""),"No")</f>
        <v>No</v>
      </c>
      <c r="W268" s="10"/>
      <c r="X268" s="10" t="str">
        <f>IFERROR(__xludf.DUMMYFUNCTION("""COMPUTED_VALUE"""),"Yes")</f>
        <v>Yes</v>
      </c>
      <c r="Y268" s="14" t="str">
        <f>IFERROR(__xludf.DUMMYFUNCTION("""COMPUTED_VALUE"""),"usmanchugtai315@gmail.com")</f>
        <v>usmanchugtai315@gmail.com</v>
      </c>
      <c r="AA268" s="325">
        <v>3.0</v>
      </c>
    </row>
    <row r="269" hidden="1">
      <c r="A269" s="9">
        <f>IFERROR(__xludf.DUMMYFUNCTION("""COMPUTED_VALUE"""),45794.364506921294)</f>
        <v>45794.36451</v>
      </c>
      <c r="B269" s="10" t="str">
        <f>IFERROR(__xludf.DUMMYFUNCTION("""COMPUTED_VALUE"""),"Abdul Qayoom ")</f>
        <v>Abdul Qayoom </v>
      </c>
      <c r="C269" s="10" t="str">
        <f>IFERROR(__xludf.DUMMYFUNCTION("""COMPUTED_VALUE"""),"03064458620")</f>
        <v>03064458620</v>
      </c>
      <c r="D269" s="10" t="str">
        <f>IFERROR(__xludf.DUMMYFUNCTION("""COMPUTED_VALUE"""),"Jamia masjid abdul slam chishti wada bhai")</f>
        <v>Jamia masjid abdul slam chishti wada bhai</v>
      </c>
      <c r="E269" s="10" t="str">
        <f>IFERROR(__xludf.DUMMYFUNCTION("""COMPUTED_VALUE"""),"DGOHD")</f>
        <v>DGOHD</v>
      </c>
      <c r="F269" s="10">
        <f>IFERROR(__xludf.DUMMYFUNCTION("""COMPUTED_VALUE"""),45.0)</f>
        <v>45</v>
      </c>
      <c r="G269" s="10">
        <f>IFERROR(__xludf.DUMMYFUNCTION("""COMPUTED_VALUE"""),8.0)</f>
        <v>8</v>
      </c>
      <c r="H269" s="10">
        <f>IFERROR(__xludf.DUMMYFUNCTION("""COMPUTED_VALUE"""),7.0)</f>
        <v>7</v>
      </c>
      <c r="I269" s="10">
        <f>IFERROR(__xludf.DUMMYFUNCTION("""COMPUTED_VALUE"""),1.0)</f>
        <v>1</v>
      </c>
      <c r="J269" s="10">
        <f>IFERROR(__xludf.DUMMYFUNCTION("""COMPUTED_VALUE"""),2002.0)</f>
        <v>2002</v>
      </c>
      <c r="K269" s="10" t="str">
        <f>IFERROR(__xludf.DUMMYFUNCTION("""COMPUTED_VALUE"""),"No")</f>
        <v>No</v>
      </c>
      <c r="L269" s="10" t="str">
        <f>IFERROR(__xludf.DUMMYFUNCTION("""COMPUTED_VALUE"""),"Abdul slaam chishti wada bhai")</f>
        <v>Abdul slaam chishti wada bhai</v>
      </c>
      <c r="M269" s="10">
        <f>IFERROR(__xludf.DUMMYFUNCTION("""COMPUTED_VALUE"""),8.0)</f>
        <v>8</v>
      </c>
      <c r="N269" s="10" t="str">
        <f>IFERROR(__xludf.DUMMYFUNCTION("""COMPUTED_VALUE"""),"No")</f>
        <v>No</v>
      </c>
      <c r="O269" s="10"/>
      <c r="P269" s="10"/>
      <c r="Q269" s="10"/>
      <c r="R269" s="10"/>
      <c r="S269" s="18" t="str">
        <f>IFERROR(__xludf.DUMMYFUNCTION("""COMPUTED_VALUE"""),"https://drive.google.com/open?id=17VEBcDkTh-oXc5AM873h2xwYl_mtNrqp")</f>
        <v>https://drive.google.com/open?id=17VEBcDkTh-oXc5AM873h2xwYl_mtNrqp</v>
      </c>
      <c r="T269" s="18" t="str">
        <f>IFERROR(__xludf.DUMMYFUNCTION("""COMPUTED_VALUE"""),"https://drive.google.com/open?id=1s5y7y6lIG2l4ZLxQbifb9BK1GY3NNune")</f>
        <v>https://drive.google.com/open?id=1s5y7y6lIG2l4ZLxQbifb9BK1GY3NNune</v>
      </c>
      <c r="U269" s="18" t="str">
        <f>IFERROR(__xludf.DUMMYFUNCTION("""COMPUTED_VALUE"""),"https://drive.google.com/open?id=1_qR7RQeaJTRp8Gjpegf2z79UVao65NI9")</f>
        <v>https://drive.google.com/open?id=1_qR7RQeaJTRp8Gjpegf2z79UVao65NI9</v>
      </c>
      <c r="V269" s="10" t="str">
        <f>IFERROR(__xludf.DUMMYFUNCTION("""COMPUTED_VALUE"""),"Last juma darbar abdul slam chishti")</f>
        <v>Last juma darbar abdul slam chishti</v>
      </c>
      <c r="W269" s="10"/>
      <c r="X269" s="10"/>
      <c r="Y269" s="14" t="str">
        <f>IFERROR(__xludf.DUMMYFUNCTION("""COMPUTED_VALUE"""),"yameenmss@gmail.com")</f>
        <v>yameenmss@gmail.com</v>
      </c>
      <c r="AA269" s="325">
        <v>3.0</v>
      </c>
    </row>
    <row r="270" hidden="1">
      <c r="A270" s="9">
        <f>IFERROR(__xludf.DUMMYFUNCTION("""COMPUTED_VALUE"""),45794.55507232639)</f>
        <v>45794.55507</v>
      </c>
      <c r="B270" s="10" t="str">
        <f>IFERROR(__xludf.DUMMYFUNCTION("""COMPUTED_VALUE"""),"Sulaman asghar")</f>
        <v>Sulaman asghar</v>
      </c>
      <c r="C270" s="10" t="str">
        <f>IFERROR(__xludf.DUMMYFUNCTION("""COMPUTED_VALUE"""),"03126136070")</f>
        <v>03126136070</v>
      </c>
      <c r="D270" s="10" t="str">
        <f>IFERROR(__xludf.DUMMYFUNCTION("""COMPUTED_VALUE"""),"غوثیہ مسجد پاکستان چوک")</f>
        <v>غوثیہ مسجد پاکستان چوک</v>
      </c>
      <c r="E270" s="10" t="str">
        <f>IFERROR(__xludf.DUMMYFUNCTION("""COMPUTED_VALUE"""),"XYHJE")</f>
        <v>XYHJE</v>
      </c>
      <c r="F270" s="10">
        <f>IFERROR(__xludf.DUMMYFUNCTION("""COMPUTED_VALUE"""),300.0)</f>
        <v>300</v>
      </c>
      <c r="G270" s="10">
        <f>IFERROR(__xludf.DUMMYFUNCTION("""COMPUTED_VALUE"""),9.0)</f>
        <v>9</v>
      </c>
      <c r="H270" s="10">
        <f>IFERROR(__xludf.DUMMYFUNCTION("""COMPUTED_VALUE"""),7.0)</f>
        <v>7</v>
      </c>
      <c r="I270" s="10">
        <f>IFERROR(__xludf.DUMMYFUNCTION("""COMPUTED_VALUE"""),2.0)</f>
        <v>2</v>
      </c>
      <c r="J270" s="10" t="str">
        <f>IFERROR(__xludf.DUMMYFUNCTION("""COMPUTED_VALUE"""),"0000")</f>
        <v>0000</v>
      </c>
      <c r="K270" s="10" t="str">
        <f>IFERROR(__xludf.DUMMYFUNCTION("""COMPUTED_VALUE"""),"No")</f>
        <v>No</v>
      </c>
      <c r="L270" s="10" t="str">
        <f>IFERROR(__xludf.DUMMYFUNCTION("""COMPUTED_VALUE"""),"نہیں")</f>
        <v>نہیں</v>
      </c>
      <c r="M270" s="10">
        <f>IFERROR(__xludf.DUMMYFUNCTION("""COMPUTED_VALUE"""),9.0)</f>
        <v>9</v>
      </c>
      <c r="N270" s="10" t="str">
        <f>IFERROR(__xludf.DUMMYFUNCTION("""COMPUTED_VALUE"""),"Yes")</f>
        <v>Yes</v>
      </c>
      <c r="O270" s="323">
        <f>IFERROR(__xludf.DUMMYFUNCTION("""COMPUTED_VALUE"""),0.0)</f>
        <v>0</v>
      </c>
      <c r="P270" s="10">
        <f>IFERROR(__xludf.DUMMYFUNCTION("""COMPUTED_VALUE"""),0.0)</f>
        <v>0</v>
      </c>
      <c r="Q270" s="10">
        <f>IFERROR(__xludf.DUMMYFUNCTION("""COMPUTED_VALUE"""),10.0)</f>
        <v>10</v>
      </c>
      <c r="R270" s="10">
        <f>IFERROR(__xludf.DUMMYFUNCTION("""COMPUTED_VALUE"""),0.0)</f>
        <v>0</v>
      </c>
      <c r="S270" s="10"/>
      <c r="T270" s="10"/>
      <c r="U270" s="18" t="str">
        <f>IFERROR(__xludf.DUMMYFUNCTION("""COMPUTED_VALUE"""),"https://drive.google.com/open?id=1NOnwJqfzOAb_U7myjl-QKV96NEfC_uzc")</f>
        <v>https://drive.google.com/open?id=1NOnwJqfzOAb_U7myjl-QKV96NEfC_uzc</v>
      </c>
      <c r="V270" s="10"/>
      <c r="W270" s="10"/>
      <c r="X270" s="10" t="str">
        <f>IFERROR(__xludf.DUMMYFUNCTION("""COMPUTED_VALUE"""),"Yes")</f>
        <v>Yes</v>
      </c>
      <c r="Y270" s="14" t="str">
        <f>IFERROR(__xludf.DUMMYFUNCTION("""COMPUTED_VALUE"""),"sulamanasghar69@gmail.com")</f>
        <v>sulamanasghar69@gmail.com</v>
      </c>
      <c r="AA270" s="325">
        <v>3.0</v>
      </c>
    </row>
    <row r="271" hidden="1">
      <c r="A271" s="9">
        <f>IFERROR(__xludf.DUMMYFUNCTION("""COMPUTED_VALUE"""),45794.56076620371)</f>
        <v>45794.56077</v>
      </c>
      <c r="B271" s="10" t="str">
        <f>IFERROR(__xludf.DUMMYFUNCTION("""COMPUTED_VALUE"""),"Noman")</f>
        <v>Noman</v>
      </c>
      <c r="C271" s="10" t="str">
        <f>IFERROR(__xludf.DUMMYFUNCTION("""COMPUTED_VALUE"""),"03036966")</f>
        <v>03036966</v>
      </c>
      <c r="D271" s="10" t="str">
        <f>IFERROR(__xludf.DUMMYFUNCTION("""COMPUTED_VALUE"""),"Jamia masjid beadon road lahore")</f>
        <v>Jamia masjid beadon road lahore</v>
      </c>
      <c r="E271" s="10" t="str">
        <f>IFERROR(__xludf.DUMMYFUNCTION("""COMPUTED_VALUE"""),"dxome")</f>
        <v>dxome</v>
      </c>
      <c r="F271" s="10">
        <f>IFERROR(__xludf.DUMMYFUNCTION("""COMPUTED_VALUE"""),315.0)</f>
        <v>315</v>
      </c>
      <c r="G271" s="10">
        <f>IFERROR(__xludf.DUMMYFUNCTION("""COMPUTED_VALUE"""),7.0)</f>
        <v>7</v>
      </c>
      <c r="H271" s="10">
        <f>IFERROR(__xludf.DUMMYFUNCTION("""COMPUTED_VALUE"""),7.0)</f>
        <v>7</v>
      </c>
      <c r="I271" s="10">
        <f>IFERROR(__xludf.DUMMYFUNCTION("""COMPUTED_VALUE"""),2.0)</f>
        <v>2</v>
      </c>
      <c r="J271" s="10" t="str">
        <f>IFERROR(__xludf.DUMMYFUNCTION("""COMPUTED_VALUE"""),"0000")</f>
        <v>0000</v>
      </c>
      <c r="K271" s="10" t="str">
        <f>IFERROR(__xludf.DUMMYFUNCTION("""COMPUTED_VALUE"""),"No")</f>
        <v>No</v>
      </c>
      <c r="L271" s="10" t="str">
        <f>IFERROR(__xludf.DUMMYFUNCTION("""COMPUTED_VALUE"""),"No")</f>
        <v>No</v>
      </c>
      <c r="M271" s="10">
        <f>IFERROR(__xludf.DUMMYFUNCTION("""COMPUTED_VALUE"""),9.0)</f>
        <v>9</v>
      </c>
      <c r="N271" s="10" t="str">
        <f>IFERROR(__xludf.DUMMYFUNCTION("""COMPUTED_VALUE"""),"Yes")</f>
        <v>Yes</v>
      </c>
      <c r="O271" s="323">
        <f>IFERROR(__xludf.DUMMYFUNCTION("""COMPUTED_VALUE"""),0.0)</f>
        <v>0</v>
      </c>
      <c r="P271" s="10">
        <f>IFERROR(__xludf.DUMMYFUNCTION("""COMPUTED_VALUE"""),0.0)</f>
        <v>0</v>
      </c>
      <c r="Q271" s="10">
        <f>IFERROR(__xludf.DUMMYFUNCTION("""COMPUTED_VALUE"""),10.0)</f>
        <v>10</v>
      </c>
      <c r="R271" s="10">
        <f>IFERROR(__xludf.DUMMYFUNCTION("""COMPUTED_VALUE"""),0.0)</f>
        <v>0</v>
      </c>
      <c r="S271" s="18" t="str">
        <f>IFERROR(__xludf.DUMMYFUNCTION("""COMPUTED_VALUE"""),"https://drive.google.com/open?id=1O8UJ1W_74bw6wIojpj2wGnZrptGiiNU8")</f>
        <v>https://drive.google.com/open?id=1O8UJ1W_74bw6wIojpj2wGnZrptGiiNU8</v>
      </c>
      <c r="T271" s="18" t="str">
        <f>IFERROR(__xludf.DUMMYFUNCTION("""COMPUTED_VALUE"""),"https://drive.google.com/open?id=1-_c8e_5VfeJ7KhCT4k6MjCokwq77mO2O")</f>
        <v>https://drive.google.com/open?id=1-_c8e_5VfeJ7KhCT4k6MjCokwq77mO2O</v>
      </c>
      <c r="U271" s="18" t="str">
        <f>IFERROR(__xludf.DUMMYFUNCTION("""COMPUTED_VALUE"""),"https://drive.google.com/open?id=1MXM1sl6TEKCqcmAtJO5lGU2Z5WVMRP3W")</f>
        <v>https://drive.google.com/open?id=1MXM1sl6TEKCqcmAtJO5lGU2Z5WVMRP3W</v>
      </c>
      <c r="V271" s="10">
        <f>IFERROR(__xludf.DUMMYFUNCTION("""COMPUTED_VALUE"""),0.0)</f>
        <v>0</v>
      </c>
      <c r="W271" s="10"/>
      <c r="X271" s="10" t="str">
        <f>IFERROR(__xludf.DUMMYFUNCTION("""COMPUTED_VALUE"""),"Yes")</f>
        <v>Yes</v>
      </c>
      <c r="Y271" s="14" t="str">
        <f>IFERROR(__xludf.DUMMYFUNCTION("""COMPUTED_VALUE"""),"miannomanamjad284@gmail.com")</f>
        <v>miannomanamjad284@gmail.com</v>
      </c>
      <c r="AA271" s="325">
        <v>4.0</v>
      </c>
    </row>
    <row r="272" hidden="1">
      <c r="A272" s="9">
        <f>IFERROR(__xludf.DUMMYFUNCTION("""COMPUTED_VALUE"""),45794.5644896875)</f>
        <v>45794.56449</v>
      </c>
      <c r="B272" s="10" t="str">
        <f>IFERROR(__xludf.DUMMYFUNCTION("""COMPUTED_VALUE"""),"Sulaman asghar ")</f>
        <v>Sulaman asghar </v>
      </c>
      <c r="C272" s="10" t="str">
        <f>IFERROR(__xludf.DUMMYFUNCTION("""COMPUTED_VALUE"""),"03126136070")</f>
        <v>03126136070</v>
      </c>
      <c r="D272" s="10" t="str">
        <f>IFERROR(__xludf.DUMMYFUNCTION("""COMPUTED_VALUE"""),"جامع مسجد شاہ حسین گجرات")</f>
        <v>جامع مسجد شاہ حسین گجرات</v>
      </c>
      <c r="E272" s="10" t="str">
        <f>IFERROR(__xludf.DUMMYFUNCTION("""COMPUTED_VALUE"""),"ECKCL")</f>
        <v>ECKCL</v>
      </c>
      <c r="F272" s="10">
        <f>IFERROR(__xludf.DUMMYFUNCTION("""COMPUTED_VALUE"""),200.0)</f>
        <v>200</v>
      </c>
      <c r="G272" s="10">
        <f>IFERROR(__xludf.DUMMYFUNCTION("""COMPUTED_VALUE"""),8.0)</f>
        <v>8</v>
      </c>
      <c r="H272" s="10">
        <f>IFERROR(__xludf.DUMMYFUNCTION("""COMPUTED_VALUE"""),6.0)</f>
        <v>6</v>
      </c>
      <c r="I272" s="10">
        <f>IFERROR(__xludf.DUMMYFUNCTION("""COMPUTED_VALUE"""),3.0)</f>
        <v>3</v>
      </c>
      <c r="J272" s="10" t="str">
        <f>IFERROR(__xludf.DUMMYFUNCTION("""COMPUTED_VALUE"""),"0000")</f>
        <v>0000</v>
      </c>
      <c r="K272" s="10" t="str">
        <f>IFERROR(__xludf.DUMMYFUNCTION("""COMPUTED_VALUE"""),"No")</f>
        <v>No</v>
      </c>
      <c r="L272" s="10" t="str">
        <f>IFERROR(__xludf.DUMMYFUNCTION("""COMPUTED_VALUE"""),"شاہ حسین ملتانی")</f>
        <v>شاہ حسین ملتانی</v>
      </c>
      <c r="M272" s="10">
        <f>IFERROR(__xludf.DUMMYFUNCTION("""COMPUTED_VALUE"""),8.0)</f>
        <v>8</v>
      </c>
      <c r="N272" s="10" t="str">
        <f>IFERROR(__xludf.DUMMYFUNCTION("""COMPUTED_VALUE"""),"Yes")</f>
        <v>Yes</v>
      </c>
      <c r="O272" s="323">
        <f>IFERROR(__xludf.DUMMYFUNCTION("""COMPUTED_VALUE"""),0.0)</f>
        <v>0</v>
      </c>
      <c r="P272" s="10">
        <f>IFERROR(__xludf.DUMMYFUNCTION("""COMPUTED_VALUE"""),0.0)</f>
        <v>0</v>
      </c>
      <c r="Q272" s="10">
        <f>IFERROR(__xludf.DUMMYFUNCTION("""COMPUTED_VALUE"""),10.0)</f>
        <v>10</v>
      </c>
      <c r="R272" s="10">
        <f>IFERROR(__xludf.DUMMYFUNCTION("""COMPUTED_VALUE"""),0.0)</f>
        <v>0</v>
      </c>
      <c r="S272" s="10" t="str">
        <f>IFERROR(__xludf.DUMMYFUNCTION("""COMPUTED_VALUE"""),"https://drive.google.com/open?id=1RTj-m8-hlAnEiLZPPaOPRbMZGmby-TGn, https://drive.google.com/open?id=11u1hnz4WDbmBTnW-EsE21R1UpMXLhhbl, https://drive.google.com/open?id=1opMWL0FpDVtS1GIhOA3I5I8FPbvCZN4P")</f>
        <v>https://drive.google.com/open?id=1RTj-m8-hlAnEiLZPPaOPRbMZGmby-TGn, https://drive.google.com/open?id=11u1hnz4WDbmBTnW-EsE21R1UpMXLhhbl, https://drive.google.com/open?id=1opMWL0FpDVtS1GIhOA3I5I8FPbvCZN4P</v>
      </c>
      <c r="T272" s="18" t="str">
        <f>IFERROR(__xludf.DUMMYFUNCTION("""COMPUTED_VALUE"""),"https://drive.google.com/open?id=1Ep7uVS-AbJXqQUvOhcl1HaosZk-4eg5_")</f>
        <v>https://drive.google.com/open?id=1Ep7uVS-AbJXqQUvOhcl1HaosZk-4eg5_</v>
      </c>
      <c r="U272" s="18" t="str">
        <f>IFERROR(__xludf.DUMMYFUNCTION("""COMPUTED_VALUE"""),"https://drive.google.com/open?id=1V_avPmKOiMbJn_2YVUI74Akm4Iw5TX94")</f>
        <v>https://drive.google.com/open?id=1V_avPmKOiMbJn_2YVUI74Akm4Iw5TX94</v>
      </c>
      <c r="V272" s="10"/>
      <c r="W272" s="10"/>
      <c r="X272" s="10" t="str">
        <f>IFERROR(__xludf.DUMMYFUNCTION("""COMPUTED_VALUE"""),"Yes")</f>
        <v>Yes</v>
      </c>
      <c r="Y272" s="14" t="str">
        <f>IFERROR(__xludf.DUMMYFUNCTION("""COMPUTED_VALUE"""),"sulamanasghar69@gmail.com")</f>
        <v>sulamanasghar69@gmail.com</v>
      </c>
      <c r="AA272" s="325">
        <v>3.0</v>
      </c>
    </row>
    <row r="273" hidden="1">
      <c r="A273" s="9">
        <f>IFERROR(__xludf.DUMMYFUNCTION("""COMPUTED_VALUE"""),45794.984598634255)</f>
        <v>45794.9846</v>
      </c>
      <c r="B273" s="10" t="str">
        <f>IFERROR(__xludf.DUMMYFUNCTION("""COMPUTED_VALUE"""),"Nouman khan ")</f>
        <v>Nouman khan </v>
      </c>
      <c r="C273" s="10" t="str">
        <f>IFERROR(__xludf.DUMMYFUNCTION("""COMPUTED_VALUE"""),"03034702785")</f>
        <v>03034702785</v>
      </c>
      <c r="D273" s="10" t="str">
        <f>IFERROR(__xludf.DUMMYFUNCTION("""COMPUTED_VALUE"""),"Jamia masjid shahdola ")</f>
        <v>Jamia masjid shahdola </v>
      </c>
      <c r="E273" s="10" t="str">
        <f>IFERROR(__xludf.DUMMYFUNCTION("""COMPUTED_VALUE"""),"QAQID")</f>
        <v>QAQID</v>
      </c>
      <c r="F273" s="10">
        <f>IFERROR(__xludf.DUMMYFUNCTION("""COMPUTED_VALUE"""),210.0)</f>
        <v>210</v>
      </c>
      <c r="G273" s="10">
        <f>IFERROR(__xludf.DUMMYFUNCTION("""COMPUTED_VALUE"""),8.0)</f>
        <v>8</v>
      </c>
      <c r="H273" s="10">
        <f>IFERROR(__xludf.DUMMYFUNCTION("""COMPUTED_VALUE"""),9.0)</f>
        <v>9</v>
      </c>
      <c r="I273" s="10">
        <f>IFERROR(__xludf.DUMMYFUNCTION("""COMPUTED_VALUE"""),0.0)</f>
        <v>0</v>
      </c>
      <c r="J273" s="10">
        <f>IFERROR(__xludf.DUMMYFUNCTION("""COMPUTED_VALUE"""),1892.0)</f>
        <v>1892</v>
      </c>
      <c r="K273" s="10" t="str">
        <f>IFERROR(__xludf.DUMMYFUNCTION("""COMPUTED_VALUE"""),"No")</f>
        <v>No</v>
      </c>
      <c r="L273" s="10" t="str">
        <f>IFERROR(__xludf.DUMMYFUNCTION("""COMPUTED_VALUE"""),"Hazrat kabeer udr Deen daryae ")</f>
        <v>Hazrat kabeer udr Deen daryae </v>
      </c>
      <c r="M273" s="10">
        <f>IFERROR(__xludf.DUMMYFUNCTION("""COMPUTED_VALUE"""),9.0)</f>
        <v>9</v>
      </c>
      <c r="N273" s="10" t="str">
        <f>IFERROR(__xludf.DUMMYFUNCTION("""COMPUTED_VALUE"""),"No")</f>
        <v>No</v>
      </c>
      <c r="O273" s="10"/>
      <c r="P273" s="10"/>
      <c r="Q273" s="10"/>
      <c r="R273" s="10"/>
      <c r="S273" s="18" t="str">
        <f>IFERROR(__xludf.DUMMYFUNCTION("""COMPUTED_VALUE"""),"https://drive.google.com/open?id=1DLOJoSadHrZC83TMddMsFS-XOhxX4xaU")</f>
        <v>https://drive.google.com/open?id=1DLOJoSadHrZC83TMddMsFS-XOhxX4xaU</v>
      </c>
      <c r="T273" s="18" t="str">
        <f>IFERROR(__xludf.DUMMYFUNCTION("""COMPUTED_VALUE"""),"https://drive.google.com/open?id=1OONC-I2MRr-lL3GvHO-GUQkGBHnHWnFg")</f>
        <v>https://drive.google.com/open?id=1OONC-I2MRr-lL3GvHO-GUQkGBHnHWnFg</v>
      </c>
      <c r="U273" s="18" t="str">
        <f>IFERROR(__xludf.DUMMYFUNCTION("""COMPUTED_VALUE"""),"https://drive.google.com/open?id=1T0lWLzbXvsB73dRjKqKuw0JBgMXn7077")</f>
        <v>https://drive.google.com/open?id=1T0lWLzbXvsB73dRjKqKuw0JBgMXn7077</v>
      </c>
      <c r="V273" s="10" t="str">
        <f>IFERROR(__xludf.DUMMYFUNCTION("""COMPUTED_VALUE"""),"Recording ni upload ho re")</f>
        <v>Recording ni upload ho re</v>
      </c>
      <c r="W273" s="10"/>
      <c r="X273" s="10"/>
      <c r="Y273" s="14" t="str">
        <f>IFERROR(__xludf.DUMMYFUNCTION("""COMPUTED_VALUE"""),"nouuman.pak1993@gmail.com")</f>
        <v>nouuman.pak1993@gmail.com</v>
      </c>
      <c r="AA273" s="325">
        <v>3.0</v>
      </c>
    </row>
    <row r="274" hidden="1">
      <c r="A274" s="9">
        <f>IFERROR(__xludf.DUMMYFUNCTION("""COMPUTED_VALUE"""),45795.84866934028)</f>
        <v>45795.84867</v>
      </c>
      <c r="B274" s="10" t="str">
        <f>IFERROR(__xludf.DUMMYFUNCTION("""COMPUTED_VALUE"""),"Amjad ")</f>
        <v>Amjad </v>
      </c>
      <c r="C274" s="10" t="str">
        <f>IFERROR(__xludf.DUMMYFUNCTION("""COMPUTED_VALUE"""),"03094647215")</f>
        <v>03094647215</v>
      </c>
      <c r="D274" s="10" t="str">
        <f>IFERROR(__xludf.DUMMYFUNCTION("""COMPUTED_VALUE"""),"Urdu Bazar gujranwala molve Muhammad husain wali ")</f>
        <v>Urdu Bazar gujranwala molve Muhammad husain wali </v>
      </c>
      <c r="E274" s="10" t="str">
        <f>IFERROR(__xludf.DUMMYFUNCTION("""COMPUTED_VALUE"""),"Ccxyi")</f>
        <v>Ccxyi</v>
      </c>
      <c r="F274" s="10">
        <f>IFERROR(__xludf.DUMMYFUNCTION("""COMPUTED_VALUE"""),120.0)</f>
        <v>120</v>
      </c>
      <c r="G274" s="10">
        <f>IFERROR(__xludf.DUMMYFUNCTION("""COMPUTED_VALUE"""),8.0)</f>
        <v>8</v>
      </c>
      <c r="H274" s="10">
        <f>IFERROR(__xludf.DUMMYFUNCTION("""COMPUTED_VALUE"""),9.0)</f>
        <v>9</v>
      </c>
      <c r="I274" s="10" t="str">
        <f>IFERROR(__xludf.DUMMYFUNCTION("""COMPUTED_VALUE"""),"000")</f>
        <v>000</v>
      </c>
      <c r="J274" s="10" t="str">
        <f>IFERROR(__xludf.DUMMYFUNCTION("""COMPUTED_VALUE"""),"00")</f>
        <v>00</v>
      </c>
      <c r="K274" s="10" t="str">
        <f>IFERROR(__xludf.DUMMYFUNCTION("""COMPUTED_VALUE"""),"No")</f>
        <v>No</v>
      </c>
      <c r="L274" s="10" t="str">
        <f>IFERROR(__xludf.DUMMYFUNCTION("""COMPUTED_VALUE"""),"Ni")</f>
        <v>Ni</v>
      </c>
      <c r="M274" s="10">
        <f>IFERROR(__xludf.DUMMYFUNCTION("""COMPUTED_VALUE"""),9.0)</f>
        <v>9</v>
      </c>
      <c r="N274" s="10" t="str">
        <f>IFERROR(__xludf.DUMMYFUNCTION("""COMPUTED_VALUE"""),"Yes")</f>
        <v>Yes</v>
      </c>
      <c r="O274" s="323">
        <f>IFERROR(__xludf.DUMMYFUNCTION("""COMPUTED_VALUE"""),0.9)</f>
        <v>0.9</v>
      </c>
      <c r="P274" s="10">
        <f>IFERROR(__xludf.DUMMYFUNCTION("""COMPUTED_VALUE"""),8.0)</f>
        <v>8</v>
      </c>
      <c r="Q274" s="10">
        <f>IFERROR(__xludf.DUMMYFUNCTION("""COMPUTED_VALUE"""),2.0)</f>
        <v>2</v>
      </c>
      <c r="R274" s="10">
        <f>IFERROR(__xludf.DUMMYFUNCTION("""COMPUTED_VALUE"""),7.0)</f>
        <v>7</v>
      </c>
      <c r="S274" s="18" t="str">
        <f>IFERROR(__xludf.DUMMYFUNCTION("""COMPUTED_VALUE"""),"https://drive.google.com/open?id=1p5cYXcmOSQnaip2z0_ylPYXBW8s7xaAo")</f>
        <v>https://drive.google.com/open?id=1p5cYXcmOSQnaip2z0_ylPYXBW8s7xaAo</v>
      </c>
      <c r="T274" s="18" t="str">
        <f>IFERROR(__xludf.DUMMYFUNCTION("""COMPUTED_VALUE"""),"https://drive.google.com/open?id=1FdFoNYtRHK77Mq-3aTh2xQ2yK0ndy8_R")</f>
        <v>https://drive.google.com/open?id=1FdFoNYtRHK77Mq-3aTh2xQ2yK0ndy8_R</v>
      </c>
      <c r="U274" s="10" t="str">
        <f>IFERROR(__xludf.DUMMYFUNCTION("""COMPUTED_VALUE"""),"https://drive.google.com/open?id=1K510sP4C9TZ8ZXT6MH25qs7n3V_j_VNr, https://drive.google.com/open?id=1gHNQMAQWI5OHXtQpuBmvrCBzAMZocYr_")</f>
        <v>https://drive.google.com/open?id=1K510sP4C9TZ8ZXT6MH25qs7n3V_j_VNr, https://drive.google.com/open?id=1gHNQMAQWI5OHXtQpuBmvrCBzAMZocYr_</v>
      </c>
      <c r="V274" s="10" t="str">
        <f>IFERROR(__xludf.DUMMYFUNCTION("""COMPUTED_VALUE"""),"No")</f>
        <v>No</v>
      </c>
      <c r="W274" s="10"/>
      <c r="X274" s="10" t="str">
        <f>IFERROR(__xludf.DUMMYFUNCTION("""COMPUTED_VALUE"""),"Yes")</f>
        <v>Yes</v>
      </c>
      <c r="Y274" s="14" t="str">
        <f>IFERROR(__xludf.DUMMYFUNCTION("""COMPUTED_VALUE"""),"amjadjaved215@gmail.com")</f>
        <v>amjadjaved215@gmail.com</v>
      </c>
      <c r="AA274" s="325">
        <v>3.0</v>
      </c>
    </row>
    <row r="275" hidden="1">
      <c r="A275" s="9">
        <f>IFERROR(__xludf.DUMMYFUNCTION("""COMPUTED_VALUE"""),45795.85139244213)</f>
        <v>45795.85139</v>
      </c>
      <c r="B275" s="10" t="str">
        <f>IFERROR(__xludf.DUMMYFUNCTION("""COMPUTED_VALUE"""),"Amjad javed ")</f>
        <v>Amjad javed </v>
      </c>
      <c r="C275" s="10" t="str">
        <f>IFERROR(__xludf.DUMMYFUNCTION("""COMPUTED_VALUE"""),"03706058110")</f>
        <v>03706058110</v>
      </c>
      <c r="D275" s="10" t="str">
        <f>IFERROR(__xludf.DUMMYFUNCTION("""COMPUTED_VALUE"""),"Darbar boty sha")</f>
        <v>Darbar boty sha</v>
      </c>
      <c r="E275" s="10" t="str">
        <f>IFERROR(__xludf.DUMMYFUNCTION("""COMPUTED_VALUE"""),"BJLNR")</f>
        <v>BJLNR</v>
      </c>
      <c r="F275" s="10">
        <f>IFERROR(__xludf.DUMMYFUNCTION("""COMPUTED_VALUE"""),22.0)</f>
        <v>22</v>
      </c>
      <c r="G275" s="10">
        <f>IFERROR(__xludf.DUMMYFUNCTION("""COMPUTED_VALUE"""),6.0)</f>
        <v>6</v>
      </c>
      <c r="H275" s="10">
        <f>IFERROR(__xludf.DUMMYFUNCTION("""COMPUTED_VALUE"""),8.0)</f>
        <v>8</v>
      </c>
      <c r="I275" s="10">
        <f>IFERROR(__xludf.DUMMYFUNCTION("""COMPUTED_VALUE"""),1.0)</f>
        <v>1</v>
      </c>
      <c r="J275" s="10" t="str">
        <f>IFERROR(__xludf.DUMMYFUNCTION("""COMPUTED_VALUE"""),"No")</f>
        <v>No</v>
      </c>
      <c r="K275" s="10" t="str">
        <f>IFERROR(__xludf.DUMMYFUNCTION("""COMPUTED_VALUE"""),"No")</f>
        <v>No</v>
      </c>
      <c r="L275" s="10" t="str">
        <f>IFERROR(__xludf.DUMMYFUNCTION("""COMPUTED_VALUE"""),"Darbar boty sha ")</f>
        <v>Darbar boty sha </v>
      </c>
      <c r="M275" s="10">
        <f>IFERROR(__xludf.DUMMYFUNCTION("""COMPUTED_VALUE"""),9.0)</f>
        <v>9</v>
      </c>
      <c r="N275" s="10" t="str">
        <f>IFERROR(__xludf.DUMMYFUNCTION("""COMPUTED_VALUE"""),"Yes")</f>
        <v>Yes</v>
      </c>
      <c r="O275" s="323">
        <f>IFERROR(__xludf.DUMMYFUNCTION("""COMPUTED_VALUE"""),1.0)</f>
        <v>1</v>
      </c>
      <c r="P275" s="10">
        <f>IFERROR(__xludf.DUMMYFUNCTION("""COMPUTED_VALUE"""),9.0)</f>
        <v>9</v>
      </c>
      <c r="Q275" s="10">
        <f>IFERROR(__xludf.DUMMYFUNCTION("""COMPUTED_VALUE"""),0.0)</f>
        <v>0</v>
      </c>
      <c r="R275" s="10">
        <f>IFERROR(__xludf.DUMMYFUNCTION("""COMPUTED_VALUE"""),10.0)</f>
        <v>10</v>
      </c>
      <c r="S275" s="18" t="str">
        <f>IFERROR(__xludf.DUMMYFUNCTION("""COMPUTED_VALUE"""),"https://drive.google.com/open?id=1CGMrpivhFuBosObOYVsmztqFEIImh0ZP")</f>
        <v>https://drive.google.com/open?id=1CGMrpivhFuBosObOYVsmztqFEIImh0ZP</v>
      </c>
      <c r="T275" s="18" t="str">
        <f>IFERROR(__xludf.DUMMYFUNCTION("""COMPUTED_VALUE"""),"https://drive.google.com/open?id=1ExnG7VVhn7r_S4B-RVx6btjqxV4e91kJ")</f>
        <v>https://drive.google.com/open?id=1ExnG7VVhn7r_S4B-RVx6btjqxV4e91kJ</v>
      </c>
      <c r="U275" s="18" t="str">
        <f>IFERROR(__xludf.DUMMYFUNCTION("""COMPUTED_VALUE"""),"https://drive.google.com/open?id=1lSWcKtAj2nabWaBBmNyN6GNqrosJ86eh")</f>
        <v>https://drive.google.com/open?id=1lSWcKtAj2nabWaBBmNyN6GNqrosJ86eh</v>
      </c>
      <c r="V275" s="10" t="str">
        <f>IFERROR(__xludf.DUMMYFUNCTION("""COMPUTED_VALUE"""),"No")</f>
        <v>No</v>
      </c>
      <c r="W275" s="10"/>
      <c r="X275" s="10" t="str">
        <f>IFERROR(__xludf.DUMMYFUNCTION("""COMPUTED_VALUE"""),"Yes")</f>
        <v>Yes</v>
      </c>
      <c r="Y275" s="14" t="str">
        <f>IFERROR(__xludf.DUMMYFUNCTION("""COMPUTED_VALUE"""),"ranaamjedjaved215@gmail.com")</f>
        <v>ranaamjedjaved215@gmail.com</v>
      </c>
      <c r="AA275" s="325">
        <v>3.0</v>
      </c>
    </row>
    <row r="276" hidden="1">
      <c r="A276" s="9">
        <f>IFERROR(__xludf.DUMMYFUNCTION("""COMPUTED_VALUE"""),45795.8539794213)</f>
        <v>45795.85398</v>
      </c>
      <c r="B276" s="10" t="str">
        <f>IFERROR(__xludf.DUMMYFUNCTION("""COMPUTED_VALUE"""),"Amjad ")</f>
        <v>Amjad </v>
      </c>
      <c r="C276" s="10" t="str">
        <f>IFERROR(__xludf.DUMMYFUNCTION("""COMPUTED_VALUE"""),"0309 4647215")</f>
        <v>0309 4647215</v>
      </c>
      <c r="D276" s="10" t="str">
        <f>IFERROR(__xludf.DUMMYFUNCTION("""COMPUTED_VALUE"""),"Masjid mian rehema ")</f>
        <v>Masjid mian rehema </v>
      </c>
      <c r="E276" s="10" t="str">
        <f>IFERROR(__xludf.DUMMYFUNCTION("""COMPUTED_VALUE"""),"VIEXI")</f>
        <v>VIEXI</v>
      </c>
      <c r="F276" s="10">
        <f>IFERROR(__xludf.DUMMYFUNCTION("""COMPUTED_VALUE"""),95.0)</f>
        <v>95</v>
      </c>
      <c r="G276" s="10">
        <f>IFERROR(__xludf.DUMMYFUNCTION("""COMPUTED_VALUE"""),9.0)</f>
        <v>9</v>
      </c>
      <c r="H276" s="10">
        <f>IFERROR(__xludf.DUMMYFUNCTION("""COMPUTED_VALUE"""),9.0)</f>
        <v>9</v>
      </c>
      <c r="I276" s="10">
        <f>IFERROR(__xludf.DUMMYFUNCTION("""COMPUTED_VALUE"""),0.0)</f>
        <v>0</v>
      </c>
      <c r="J276" s="10" t="str">
        <f>IFERROR(__xludf.DUMMYFUNCTION("""COMPUTED_VALUE"""),"No")</f>
        <v>No</v>
      </c>
      <c r="K276" s="10" t="str">
        <f>IFERROR(__xludf.DUMMYFUNCTION("""COMPUTED_VALUE"""),"No")</f>
        <v>No</v>
      </c>
      <c r="L276" s="10" t="str">
        <f>IFERROR(__xludf.DUMMYFUNCTION("""COMPUTED_VALUE"""),"No")</f>
        <v>No</v>
      </c>
      <c r="M276" s="10">
        <f>IFERROR(__xludf.DUMMYFUNCTION("""COMPUTED_VALUE"""),9.0)</f>
        <v>9</v>
      </c>
      <c r="N276" s="10" t="str">
        <f>IFERROR(__xludf.DUMMYFUNCTION("""COMPUTED_VALUE"""),"Yes")</f>
        <v>Yes</v>
      </c>
      <c r="O276" s="323">
        <f>IFERROR(__xludf.DUMMYFUNCTION("""COMPUTED_VALUE"""),0.9)</f>
        <v>0.9</v>
      </c>
      <c r="P276" s="10">
        <f>IFERROR(__xludf.DUMMYFUNCTION("""COMPUTED_VALUE"""),7.0)</f>
        <v>7</v>
      </c>
      <c r="Q276" s="10">
        <f>IFERROR(__xludf.DUMMYFUNCTION("""COMPUTED_VALUE"""),9.0)</f>
        <v>9</v>
      </c>
      <c r="R276" s="10">
        <f>IFERROR(__xludf.DUMMYFUNCTION("""COMPUTED_VALUE"""),7.0)</f>
        <v>7</v>
      </c>
      <c r="S276" s="18" t="str">
        <f>IFERROR(__xludf.DUMMYFUNCTION("""COMPUTED_VALUE"""),"https://drive.google.com/open?id=1WLphKOJEyeroaocAagGuiOTFCZm0R1zL")</f>
        <v>https://drive.google.com/open?id=1WLphKOJEyeroaocAagGuiOTFCZm0R1zL</v>
      </c>
      <c r="T276" s="18" t="str">
        <f>IFERROR(__xludf.DUMMYFUNCTION("""COMPUTED_VALUE"""),"https://drive.google.com/open?id=1yinLLnEkzgJHC6qUsFifk8iZSECW0t0T")</f>
        <v>https://drive.google.com/open?id=1yinLLnEkzgJHC6qUsFifk8iZSECW0t0T</v>
      </c>
      <c r="U276" s="18" t="str">
        <f>IFERROR(__xludf.DUMMYFUNCTION("""COMPUTED_VALUE"""),"https://drive.google.com/open?id=1Cb_I1345HNBYx9ePwWCzOUi9RczR5qq0")</f>
        <v>https://drive.google.com/open?id=1Cb_I1345HNBYx9ePwWCzOUi9RczR5qq0</v>
      </c>
      <c r="V276" s="10" t="str">
        <f>IFERROR(__xludf.DUMMYFUNCTION("""COMPUTED_VALUE"""),"No")</f>
        <v>No</v>
      </c>
      <c r="W276" s="10"/>
      <c r="X276" s="10" t="str">
        <f>IFERROR(__xludf.DUMMYFUNCTION("""COMPUTED_VALUE"""),"Yes")</f>
        <v>Yes</v>
      </c>
      <c r="Y276" s="14" t="str">
        <f>IFERROR(__xludf.DUMMYFUNCTION("""COMPUTED_VALUE"""),"amjadjaved215@gmail.com")</f>
        <v>amjadjaved215@gmail.com</v>
      </c>
      <c r="AA276" s="325">
        <v>3.0</v>
      </c>
    </row>
    <row r="277" hidden="1">
      <c r="A277" s="9">
        <f>IFERROR(__xludf.DUMMYFUNCTION("""COMPUTED_VALUE"""),45800.50311790509)</f>
        <v>45800.50312</v>
      </c>
      <c r="B277" s="10" t="str">
        <f>IFERROR(__xludf.DUMMYFUNCTION("""COMPUTED_VALUE"""),"محمد خالد صلاح الدین")</f>
        <v>محمد خالد صلاح الدین</v>
      </c>
      <c r="C277" s="10" t="str">
        <f>IFERROR(__xludf.DUMMYFUNCTION("""COMPUTED_VALUE"""),"03068129812")</f>
        <v>03068129812</v>
      </c>
      <c r="D277" s="10" t="str">
        <f>IFERROR(__xludf.DUMMYFUNCTION("""COMPUTED_VALUE"""),"جامع مسجد افغان ")</f>
        <v>جامع مسجد افغان </v>
      </c>
      <c r="E277" s="10" t="str">
        <f>IFERROR(__xludf.DUMMYFUNCTION("""COMPUTED_VALUE"""),"UVNAI")</f>
        <v>UVNAI</v>
      </c>
      <c r="F277" s="10">
        <f>IFERROR(__xludf.DUMMYFUNCTION("""COMPUTED_VALUE"""),403.0)</f>
        <v>403</v>
      </c>
      <c r="G277" s="10">
        <f>IFERROR(__xludf.DUMMYFUNCTION("""COMPUTED_VALUE"""),10.0)</f>
        <v>10</v>
      </c>
      <c r="H277" s="10">
        <f>IFERROR(__xludf.DUMMYFUNCTION("""COMPUTED_VALUE"""),10.0)</f>
        <v>10</v>
      </c>
      <c r="I277" s="10">
        <f>IFERROR(__xludf.DUMMYFUNCTION("""COMPUTED_VALUE"""),0.0)</f>
        <v>0</v>
      </c>
      <c r="J277" s="10">
        <f>IFERROR(__xludf.DUMMYFUNCTION("""COMPUTED_VALUE"""),1892.0)</f>
        <v>1892</v>
      </c>
      <c r="K277" s="10" t="str">
        <f>IFERROR(__xludf.DUMMYFUNCTION("""COMPUTED_VALUE"""),"No")</f>
        <v>No</v>
      </c>
      <c r="L277" s="10" t="str">
        <f>IFERROR(__xludf.DUMMYFUNCTION("""COMPUTED_VALUE"""),"حضرت بابا محمد دین افغانی")</f>
        <v>حضرت بابا محمد دین افغانی</v>
      </c>
      <c r="M277" s="10">
        <f>IFERROR(__xludf.DUMMYFUNCTION("""COMPUTED_VALUE"""),9.0)</f>
        <v>9</v>
      </c>
      <c r="N277" s="10" t="str">
        <f>IFERROR(__xludf.DUMMYFUNCTION("""COMPUTED_VALUE"""),"Yes")</f>
        <v>Yes</v>
      </c>
      <c r="O277" s="323">
        <f>IFERROR(__xludf.DUMMYFUNCTION("""COMPUTED_VALUE"""),0.0)</f>
        <v>0</v>
      </c>
      <c r="P277" s="10">
        <f>IFERROR(__xludf.DUMMYFUNCTION("""COMPUTED_VALUE"""),0.0)</f>
        <v>0</v>
      </c>
      <c r="Q277" s="10">
        <f>IFERROR(__xludf.DUMMYFUNCTION("""COMPUTED_VALUE"""),0.0)</f>
        <v>0</v>
      </c>
      <c r="R277" s="10">
        <f>IFERROR(__xludf.DUMMYFUNCTION("""COMPUTED_VALUE"""),0.0)</f>
        <v>0</v>
      </c>
      <c r="S277" s="18" t="str">
        <f>IFERROR(__xludf.DUMMYFUNCTION("""COMPUTED_VALUE"""),"https://drive.google.com/open?id=1qniabQSSX1XD9sF4Iv1WjzBP4hyrJg5B")</f>
        <v>https://drive.google.com/open?id=1qniabQSSX1XD9sF4Iv1WjzBP4hyrJg5B</v>
      </c>
      <c r="T277" s="18" t="str">
        <f>IFERROR(__xludf.DUMMYFUNCTION("""COMPUTED_VALUE"""),"https://drive.google.com/open?id=1gdxwwcmHwmoTnRflhtBpMJzuMXNgfIQK")</f>
        <v>https://drive.google.com/open?id=1gdxwwcmHwmoTnRflhtBpMJzuMXNgfIQK</v>
      </c>
      <c r="U277" s="18" t="str">
        <f>IFERROR(__xludf.DUMMYFUNCTION("""COMPUTED_VALUE"""),"https://drive.google.com/open?id=1p4cVf5Z51nbnpi5BP6Y3jdCx7Y8lGWpx")</f>
        <v>https://drive.google.com/open?id=1p4cVf5Z51nbnpi5BP6Y3jdCx7Y8lGWpx</v>
      </c>
      <c r="V277" s="10"/>
      <c r="W277" s="10"/>
      <c r="X277" s="10" t="str">
        <f>IFERROR(__xludf.DUMMYFUNCTION("""COMPUTED_VALUE"""),"Yes")</f>
        <v>Yes</v>
      </c>
      <c r="Y277" s="14" t="str">
        <f>IFERROR(__xludf.DUMMYFUNCTION("""COMPUTED_VALUE"""),"sarkaralimuhammad@gmail.com")</f>
        <v>sarkaralimuhammad@gmail.com</v>
      </c>
      <c r="AA277" s="325">
        <v>4.0</v>
      </c>
    </row>
    <row r="278" hidden="1">
      <c r="A278" s="9">
        <f>IFERROR(__xludf.DUMMYFUNCTION("""COMPUTED_VALUE"""),45801.057928842594)</f>
        <v>45801.05793</v>
      </c>
      <c r="B278" s="10" t="str">
        <f>IFERROR(__xludf.DUMMYFUNCTION("""COMPUTED_VALUE"""),"Sulaman asghar ")</f>
        <v>Sulaman asghar </v>
      </c>
      <c r="C278" s="10" t="str">
        <f>IFERROR(__xludf.DUMMYFUNCTION("""COMPUTED_VALUE"""),"03126136070")</f>
        <v>03126136070</v>
      </c>
      <c r="D278" s="10" t="str">
        <f>IFERROR(__xludf.DUMMYFUNCTION("""COMPUTED_VALUE"""),"Jamia masjid shah Hussain ")</f>
        <v>Jamia masjid shah Hussain </v>
      </c>
      <c r="E278" s="10" t="str">
        <f>IFERROR(__xludf.DUMMYFUNCTION("""COMPUTED_VALUE"""),"ECKCL")</f>
        <v>ECKCL</v>
      </c>
      <c r="F278" s="10">
        <f>IFERROR(__xludf.DUMMYFUNCTION("""COMPUTED_VALUE"""),170.0)</f>
        <v>170</v>
      </c>
      <c r="G278" s="10">
        <f>IFERROR(__xludf.DUMMYFUNCTION("""COMPUTED_VALUE"""),7.0)</f>
        <v>7</v>
      </c>
      <c r="H278" s="10">
        <f>IFERROR(__xludf.DUMMYFUNCTION("""COMPUTED_VALUE"""),7.0)</f>
        <v>7</v>
      </c>
      <c r="I278" s="10">
        <f>IFERROR(__xludf.DUMMYFUNCTION("""COMPUTED_VALUE"""),3.0)</f>
        <v>3</v>
      </c>
      <c r="J278" s="10" t="str">
        <f>IFERROR(__xludf.DUMMYFUNCTION("""COMPUTED_VALUE"""),"0000")</f>
        <v>0000</v>
      </c>
      <c r="K278" s="10" t="str">
        <f>IFERROR(__xludf.DUMMYFUNCTION("""COMPUTED_VALUE"""),"No")</f>
        <v>No</v>
      </c>
      <c r="L278" s="10" t="str">
        <f>IFERROR(__xludf.DUMMYFUNCTION("""COMPUTED_VALUE"""),"شاہ حسین ملتانی")</f>
        <v>شاہ حسین ملتانی</v>
      </c>
      <c r="M278" s="10">
        <f>IFERROR(__xludf.DUMMYFUNCTION("""COMPUTED_VALUE"""),8.0)</f>
        <v>8</v>
      </c>
      <c r="N278" s="10" t="str">
        <f>IFERROR(__xludf.DUMMYFUNCTION("""COMPUTED_VALUE"""),"Yes")</f>
        <v>Yes</v>
      </c>
      <c r="O278" s="323">
        <f>IFERROR(__xludf.DUMMYFUNCTION("""COMPUTED_VALUE"""),0.9)</f>
        <v>0.9</v>
      </c>
      <c r="P278" s="10">
        <f>IFERROR(__xludf.DUMMYFUNCTION("""COMPUTED_VALUE"""),9.0)</f>
        <v>9</v>
      </c>
      <c r="Q278" s="10">
        <f>IFERROR(__xludf.DUMMYFUNCTION("""COMPUTED_VALUE"""),1.0)</f>
        <v>1</v>
      </c>
      <c r="R278" s="10">
        <f>IFERROR(__xludf.DUMMYFUNCTION("""COMPUTED_VALUE"""),9.0)</f>
        <v>9</v>
      </c>
      <c r="S278" s="10" t="str">
        <f>IFERROR(__xludf.DUMMYFUNCTION("""COMPUTED_VALUE"""),"https://drive.google.com/open?id=1VoCVuVS6wuP07UExIXQjWOWb14u6XLpB, https://drive.google.com/open?id=1eCAT5ws_r2GOvWdcKLWvWFxHfC1htBMD")</f>
        <v>https://drive.google.com/open?id=1VoCVuVS6wuP07UExIXQjWOWb14u6XLpB, https://drive.google.com/open?id=1eCAT5ws_r2GOvWdcKLWvWFxHfC1htBMD</v>
      </c>
      <c r="T278" s="18" t="str">
        <f>IFERROR(__xludf.DUMMYFUNCTION("""COMPUTED_VALUE"""),"https://drive.google.com/open?id=1KZd02DvglccMtOqVK-arxkSyMu9PQV7t")</f>
        <v>https://drive.google.com/open?id=1KZd02DvglccMtOqVK-arxkSyMu9PQV7t</v>
      </c>
      <c r="U278" s="18" t="str">
        <f>IFERROR(__xludf.DUMMYFUNCTION("""COMPUTED_VALUE"""),"https://drive.google.com/open?id=1exKurshXtwzot_q9Ddmfmx5gz_9ZdsV7")</f>
        <v>https://drive.google.com/open?id=1exKurshXtwzot_q9Ddmfmx5gz_9ZdsV7</v>
      </c>
      <c r="V278" s="10"/>
      <c r="W278" s="10"/>
      <c r="X278" s="10" t="str">
        <f>IFERROR(__xludf.DUMMYFUNCTION("""COMPUTED_VALUE"""),"Yes")</f>
        <v>Yes</v>
      </c>
      <c r="Y278" s="14" t="str">
        <f>IFERROR(__xludf.DUMMYFUNCTION("""COMPUTED_VALUE"""),"sulamanasghar69@gmail.com")</f>
        <v>sulamanasghar69@gmail.com</v>
      </c>
      <c r="AA278" s="325">
        <v>4.0</v>
      </c>
    </row>
    <row r="279" hidden="1">
      <c r="A279" s="9">
        <f>IFERROR(__xludf.DUMMYFUNCTION("""COMPUTED_VALUE"""),45801.22455266204)</f>
        <v>45801.22455</v>
      </c>
      <c r="B279" s="10" t="str">
        <f>IFERROR(__xludf.DUMMYFUNCTION("""COMPUTED_VALUE"""),"ALI RAZA")</f>
        <v>ALI RAZA</v>
      </c>
      <c r="C279" s="10" t="str">
        <f>IFERROR(__xludf.DUMMYFUNCTION("""COMPUTED_VALUE"""),"03046138132")</f>
        <v>03046138132</v>
      </c>
      <c r="D279" s="10" t="str">
        <f>IFERROR(__xludf.DUMMYFUNCTION("""COMPUTED_VALUE"""),"JAMIA MASJID SYED SAJJAD AL MAROOF BABA GHULAAB SHAH ")</f>
        <v>JAMIA MASJID SYED SAJJAD AL MAROOF BABA GHULAAB SHAH </v>
      </c>
      <c r="E279" s="10" t="str">
        <f>IFERROR(__xludf.DUMMYFUNCTION("""COMPUTED_VALUE"""),"AOVKO")</f>
        <v>AOVKO</v>
      </c>
      <c r="F279" s="10">
        <f>IFERROR(__xludf.DUMMYFUNCTION("""COMPUTED_VALUE"""),150.0)</f>
        <v>150</v>
      </c>
      <c r="G279" s="10">
        <f>IFERROR(__xludf.DUMMYFUNCTION("""COMPUTED_VALUE"""),10.0)</f>
        <v>10</v>
      </c>
      <c r="H279" s="10">
        <f>IFERROR(__xludf.DUMMYFUNCTION("""COMPUTED_VALUE"""),8.0)</f>
        <v>8</v>
      </c>
      <c r="I279" s="10">
        <f>IFERROR(__xludf.DUMMYFUNCTION("""COMPUTED_VALUE"""),0.0)</f>
        <v>0</v>
      </c>
      <c r="J279" s="10">
        <f>IFERROR(__xludf.DUMMYFUNCTION("""COMPUTED_VALUE"""),1945.0)</f>
        <v>1945</v>
      </c>
      <c r="K279" s="10" t="str">
        <f>IFERROR(__xludf.DUMMYFUNCTION("""COMPUTED_VALUE"""),"No")</f>
        <v>No</v>
      </c>
      <c r="L279" s="10" t="str">
        <f>IFERROR(__xludf.DUMMYFUNCTION("""COMPUTED_VALUE"""),"JAMIA MASJID SYED SAJJAD AL MAROOF BABA GHULAAB SHAH ")</f>
        <v>JAMIA MASJID SYED SAJJAD AL MAROOF BABA GHULAAB SHAH </v>
      </c>
      <c r="M279" s="10">
        <f>IFERROR(__xludf.DUMMYFUNCTION("""COMPUTED_VALUE"""),8.0)</f>
        <v>8</v>
      </c>
      <c r="N279" s="10" t="str">
        <f>IFERROR(__xludf.DUMMYFUNCTION("""COMPUTED_VALUE"""),"No")</f>
        <v>No</v>
      </c>
      <c r="O279" s="10"/>
      <c r="P279" s="10"/>
      <c r="Q279" s="10"/>
      <c r="R279" s="10"/>
      <c r="S279" s="18" t="str">
        <f>IFERROR(__xludf.DUMMYFUNCTION("""COMPUTED_VALUE"""),"https://drive.google.com/open?id=1uOsFxIgl2pKKUGDpyqcyTlDADY9l6XmB")</f>
        <v>https://drive.google.com/open?id=1uOsFxIgl2pKKUGDpyqcyTlDADY9l6XmB</v>
      </c>
      <c r="T279" s="18" t="str">
        <f>IFERROR(__xludf.DUMMYFUNCTION("""COMPUTED_VALUE"""),"https://drive.google.com/open?id=1Z1f2N-RiEiSr0GJEJmr7N4m-eX7u975P")</f>
        <v>https://drive.google.com/open?id=1Z1f2N-RiEiSr0GJEJmr7N4m-eX7u975P</v>
      </c>
      <c r="U279" s="18" t="str">
        <f>IFERROR(__xludf.DUMMYFUNCTION("""COMPUTED_VALUE"""),"https://drive.google.com/open?id=11HmbJxHKjDgNbdpyfSMl8BQst2Z7mc1E")</f>
        <v>https://drive.google.com/open?id=11HmbJxHKjDgNbdpyfSMl8BQst2Z7mc1E</v>
      </c>
      <c r="V279" s="10"/>
      <c r="W279" s="10"/>
      <c r="X279" s="10"/>
      <c r="Y279" s="14" t="str">
        <f>IFERROR(__xludf.DUMMYFUNCTION("""COMPUTED_VALUE"""),"aliraza.hafizabadi@gmail.com")</f>
        <v>aliraza.hafizabadi@gmail.com</v>
      </c>
      <c r="AA279" s="325">
        <v>3.0</v>
      </c>
    </row>
    <row r="280" hidden="1">
      <c r="A280" s="9">
        <f>IFERROR(__xludf.DUMMYFUNCTION("""COMPUTED_VALUE"""),45801.43310944445)</f>
        <v>45801.43311</v>
      </c>
      <c r="B280" s="10" t="str">
        <f>IFERROR(__xludf.DUMMYFUNCTION("""COMPUTED_VALUE"""),"Asim munir ")</f>
        <v>Asim munir </v>
      </c>
      <c r="C280" s="10" t="str">
        <f>IFERROR(__xludf.DUMMYFUNCTION("""COMPUTED_VALUE"""),"03005787199")</f>
        <v>03005787199</v>
      </c>
      <c r="D280" s="10" t="str">
        <f>IFERROR(__xludf.DUMMYFUNCTION("""COMPUTED_VALUE"""),"Jamia Masjid Eid gah Tala gang chakwal")</f>
        <v>Jamia Masjid Eid gah Tala gang chakwal</v>
      </c>
      <c r="E280" s="10" t="str">
        <f>IFERROR(__xludf.DUMMYFUNCTION("""COMPUTED_VALUE"""),"HXSZB")</f>
        <v>HXSZB</v>
      </c>
      <c r="F280" s="10">
        <f>IFERROR(__xludf.DUMMYFUNCTION("""COMPUTED_VALUE"""),166.0)</f>
        <v>166</v>
      </c>
      <c r="G280" s="10">
        <f>IFERROR(__xludf.DUMMYFUNCTION("""COMPUTED_VALUE"""),10.0)</f>
        <v>10</v>
      </c>
      <c r="H280" s="10">
        <f>IFERROR(__xludf.DUMMYFUNCTION("""COMPUTED_VALUE"""),7.0)</f>
        <v>7</v>
      </c>
      <c r="I280" s="10" t="str">
        <f>IFERROR(__xludf.DUMMYFUNCTION("""COMPUTED_VALUE"""),"No")</f>
        <v>No</v>
      </c>
      <c r="J280" s="10" t="str">
        <f>IFERROR(__xludf.DUMMYFUNCTION("""COMPUTED_VALUE"""),"0000")</f>
        <v>0000</v>
      </c>
      <c r="K280" s="10" t="str">
        <f>IFERROR(__xludf.DUMMYFUNCTION("""COMPUTED_VALUE"""),"Yes")</f>
        <v>Yes</v>
      </c>
      <c r="L280" s="10" t="str">
        <f>IFERROR(__xludf.DUMMYFUNCTION("""COMPUTED_VALUE"""),"No")</f>
        <v>No</v>
      </c>
      <c r="M280" s="10">
        <f>IFERROR(__xludf.DUMMYFUNCTION("""COMPUTED_VALUE"""),8.0)</f>
        <v>8</v>
      </c>
      <c r="N280" s="10" t="str">
        <f>IFERROR(__xludf.DUMMYFUNCTION("""COMPUTED_VALUE"""),"No")</f>
        <v>No</v>
      </c>
      <c r="O280" s="10"/>
      <c r="P280" s="10"/>
      <c r="Q280" s="10"/>
      <c r="R280" s="10"/>
      <c r="S280" s="10"/>
      <c r="T280" s="10"/>
      <c r="U280" s="18" t="str">
        <f>IFERROR(__xludf.DUMMYFUNCTION("""COMPUTED_VALUE"""),"https://drive.google.com/open?id=19ib_PHZ82TPjh2diJBmBrDw69kyMIe4J")</f>
        <v>https://drive.google.com/open?id=19ib_PHZ82TPjh2diJBmBrDw69kyMIe4J</v>
      </c>
      <c r="V280" s="10" t="str">
        <f>IFERROR(__xludf.DUMMYFUNCTION("""COMPUTED_VALUE"""),"No")</f>
        <v>No</v>
      </c>
      <c r="W280" s="10"/>
      <c r="X280" s="10"/>
      <c r="Y280" s="14" t="str">
        <f>IFERROR(__xludf.DUMMYFUNCTION("""COMPUTED_VALUE"""),"asim.muneer9024@gmail.com")</f>
        <v>asim.muneer9024@gmail.com</v>
      </c>
      <c r="AA280" s="325">
        <v>3.0</v>
      </c>
    </row>
    <row r="281" hidden="1">
      <c r="A281" s="9">
        <f>IFERROR(__xludf.DUMMYFUNCTION("""COMPUTED_VALUE"""),45806.314576273144)</f>
        <v>45806.31458</v>
      </c>
      <c r="B281" s="10" t="str">
        <f>IFERROR(__xludf.DUMMYFUNCTION("""COMPUTED_VALUE"""),"M Haris ")</f>
        <v>M Haris </v>
      </c>
      <c r="C281" s="10" t="str">
        <f>IFERROR(__xludf.DUMMYFUNCTION("""COMPUTED_VALUE"""),"03204565224")</f>
        <v>03204565224</v>
      </c>
      <c r="D281" s="10" t="str">
        <f>IFERROR(__xludf.DUMMYFUNCTION("""COMPUTED_VALUE"""),"Jamia Masjid masa dewaan Shiekhupura ")</f>
        <v>Jamia Masjid masa dewaan Shiekhupura </v>
      </c>
      <c r="E281" s="10" t="str">
        <f>IFERROR(__xludf.DUMMYFUNCTION("""COMPUTED_VALUE"""),"Zjbwk")</f>
        <v>Zjbwk</v>
      </c>
      <c r="F281" s="10">
        <f>IFERROR(__xludf.DUMMYFUNCTION("""COMPUTED_VALUE"""),195.0)</f>
        <v>195</v>
      </c>
      <c r="G281" s="10">
        <f>IFERROR(__xludf.DUMMYFUNCTION("""COMPUTED_VALUE"""),8.0)</f>
        <v>8</v>
      </c>
      <c r="H281" s="10">
        <f>IFERROR(__xludf.DUMMYFUNCTION("""COMPUTED_VALUE"""),7.0)</f>
        <v>7</v>
      </c>
      <c r="I281" s="10">
        <f>IFERROR(__xludf.DUMMYFUNCTION("""COMPUTED_VALUE"""),1.0)</f>
        <v>1</v>
      </c>
      <c r="J281" s="10">
        <f>IFERROR(__xludf.DUMMYFUNCTION("""COMPUTED_VALUE"""),1925.0)</f>
        <v>1925</v>
      </c>
      <c r="K281" s="10" t="str">
        <f>IFERROR(__xludf.DUMMYFUNCTION("""COMPUTED_VALUE"""),"No")</f>
        <v>No</v>
      </c>
      <c r="L281" s="10" t="str">
        <f>IFERROR(__xludf.DUMMYFUNCTION("""COMPUTED_VALUE"""),"Shah musa dewaan")</f>
        <v>Shah musa dewaan</v>
      </c>
      <c r="M281" s="10">
        <f>IFERROR(__xludf.DUMMYFUNCTION("""COMPUTED_VALUE"""),10.0)</f>
        <v>10</v>
      </c>
      <c r="N281" s="10" t="str">
        <f>IFERROR(__xludf.DUMMYFUNCTION("""COMPUTED_VALUE"""),"No")</f>
        <v>No</v>
      </c>
      <c r="O281" s="10"/>
      <c r="P281" s="10"/>
      <c r="Q281" s="10"/>
      <c r="R281" s="10"/>
      <c r="S281" s="10"/>
      <c r="T281" s="10"/>
      <c r="U281" s="18" t="str">
        <f>IFERROR(__xludf.DUMMYFUNCTION("""COMPUTED_VALUE"""),"https://drive.google.com/file/d/1I4qXJ33kCmfHpPU_08Idy41qKd0sNDUp/view?usp=drive_link")</f>
        <v>https://drive.google.com/file/d/1I4qXJ33kCmfHpPU_08Idy41qKd0sNDUp/view?usp=drive_link</v>
      </c>
      <c r="V281" s="10" t="str">
        <f>IFERROR(__xludf.DUMMYFUNCTION("""COMPUTED_VALUE"""),"Week 3")</f>
        <v>Week 3</v>
      </c>
      <c r="W281" s="10"/>
      <c r="X281" s="10"/>
      <c r="Y281" s="14" t="str">
        <f>IFERROR(__xludf.DUMMYFUNCTION("""COMPUTED_VALUE"""),"mianharisamjad284@gmail.com")</f>
        <v>mianharisamjad284@gmail.com</v>
      </c>
      <c r="AA281" s="325">
        <v>3.0</v>
      </c>
    </row>
    <row r="282" hidden="1">
      <c r="A282" s="9">
        <f>IFERROR(__xludf.DUMMYFUNCTION("""COMPUTED_VALUE"""),45806.32277943287)</f>
        <v>45806.32278</v>
      </c>
      <c r="B282" s="10" t="str">
        <f>IFERROR(__xludf.DUMMYFUNCTION("""COMPUTED_VALUE"""),"M Haris")</f>
        <v>M Haris</v>
      </c>
      <c r="C282" s="10" t="str">
        <f>IFERROR(__xludf.DUMMYFUNCTION("""COMPUTED_VALUE"""),"03204565224")</f>
        <v>03204565224</v>
      </c>
      <c r="D282" s="10" t="str">
        <f>IFERROR(__xludf.DUMMYFUNCTION("""COMPUTED_VALUE"""),"Jamia Masjid Ghosia Masti Gate Lahore")</f>
        <v>Jamia Masjid Ghosia Masti Gate Lahore</v>
      </c>
      <c r="E282" s="10" t="str">
        <f>IFERROR(__xludf.DUMMYFUNCTION("""COMPUTED_VALUE"""),"xuynq")</f>
        <v>xuynq</v>
      </c>
      <c r="F282" s="10">
        <f>IFERROR(__xludf.DUMMYFUNCTION("""COMPUTED_VALUE"""),165.0)</f>
        <v>165</v>
      </c>
      <c r="G282" s="10">
        <f>IFERROR(__xludf.DUMMYFUNCTION("""COMPUTED_VALUE"""),8.0)</f>
        <v>8</v>
      </c>
      <c r="H282" s="10">
        <f>IFERROR(__xludf.DUMMYFUNCTION("""COMPUTED_VALUE"""),7.0)</f>
        <v>7</v>
      </c>
      <c r="I282" s="10">
        <f>IFERROR(__xludf.DUMMYFUNCTION("""COMPUTED_VALUE"""),0.0)</f>
        <v>0</v>
      </c>
      <c r="J282" s="10">
        <f>IFERROR(__xludf.DUMMYFUNCTION("""COMPUTED_VALUE"""),1985.0)</f>
        <v>1985</v>
      </c>
      <c r="K282" s="10" t="str">
        <f>IFERROR(__xludf.DUMMYFUNCTION("""COMPUTED_VALUE"""),"No")</f>
        <v>No</v>
      </c>
      <c r="L282" s="10" t="str">
        <f>IFERROR(__xludf.DUMMYFUNCTION("""COMPUTED_VALUE"""),"Darbar haji sheikh Ahmad wali ")</f>
        <v>Darbar haji sheikh Ahmad wali </v>
      </c>
      <c r="M282" s="10">
        <f>IFERROR(__xludf.DUMMYFUNCTION("""COMPUTED_VALUE"""),9.0)</f>
        <v>9</v>
      </c>
      <c r="N282" s="10" t="str">
        <f>IFERROR(__xludf.DUMMYFUNCTION("""COMPUTED_VALUE"""),"Yes")</f>
        <v>Yes</v>
      </c>
      <c r="O282" s="323">
        <f>IFERROR(__xludf.DUMMYFUNCTION("""COMPUTED_VALUE"""),0.0)</f>
        <v>0</v>
      </c>
      <c r="P282" s="10">
        <f>IFERROR(__xludf.DUMMYFUNCTION("""COMPUTED_VALUE"""),0.0)</f>
        <v>0</v>
      </c>
      <c r="Q282" s="10">
        <f>IFERROR(__xludf.DUMMYFUNCTION("""COMPUTED_VALUE"""),3.0)</f>
        <v>3</v>
      </c>
      <c r="R282" s="10">
        <f>IFERROR(__xludf.DUMMYFUNCTION("""COMPUTED_VALUE"""),7.0)</f>
        <v>7</v>
      </c>
      <c r="S282" s="10"/>
      <c r="T282" s="10"/>
      <c r="U282" s="18" t="str">
        <f>IFERROR(__xludf.DUMMYFUNCTION("""COMPUTED_VALUE"""),"https://drive.google.com/file/d/1linZt5zkTNX_BYSbs6uz1rqFJpZqb9fV/view?usp=drive_link")</f>
        <v>https://drive.google.com/file/d/1linZt5zkTNX_BYSbs6uz1rqFJpZqb9fV/view?usp=drive_link</v>
      </c>
      <c r="V282" s="10" t="str">
        <f>IFERROR(__xludf.DUMMYFUNCTION("""COMPUTED_VALUE"""),"Week 2")</f>
        <v>Week 2</v>
      </c>
      <c r="W282" s="10"/>
      <c r="X282" s="10" t="str">
        <f>IFERROR(__xludf.DUMMYFUNCTION("""COMPUTED_VALUE"""),"Yes")</f>
        <v>Yes</v>
      </c>
      <c r="Y282" s="14" t="str">
        <f>IFERROR(__xludf.DUMMYFUNCTION("""COMPUTED_VALUE"""),"mianharisamjad284@gmail.com")</f>
        <v>mianharisamjad284@gmail.com</v>
      </c>
      <c r="AA282" s="325">
        <v>1.0</v>
      </c>
    </row>
    <row r="283" hidden="1">
      <c r="A283" s="9">
        <f>IFERROR(__xludf.DUMMYFUNCTION("""COMPUTED_VALUE"""),45806.325069224535)</f>
        <v>45806.32507</v>
      </c>
      <c r="B283" s="10" t="str">
        <f>IFERROR(__xludf.DUMMYFUNCTION("""COMPUTED_VALUE"""),"M Haris ")</f>
        <v>M Haris </v>
      </c>
      <c r="C283" s="10" t="str">
        <f>IFERROR(__xludf.DUMMYFUNCTION("""COMPUTED_VALUE"""),"03204565224")</f>
        <v>03204565224</v>
      </c>
      <c r="D283" s="10" t="str">
        <f>IFERROR(__xludf.DUMMYFUNCTION("""COMPUTED_VALUE"""),"Jamia Masjid Darbar sheikh Darbar wali gujrat ")</f>
        <v>Jamia Masjid Darbar sheikh Darbar wali gujrat </v>
      </c>
      <c r="E283" s="10" t="str">
        <f>IFERROR(__xludf.DUMMYFUNCTION("""COMPUTED_VALUE"""),"Pgpqm ")</f>
        <v>Pgpqm </v>
      </c>
      <c r="F283" s="10">
        <f>IFERROR(__xludf.DUMMYFUNCTION("""COMPUTED_VALUE"""),680.0)</f>
        <v>680</v>
      </c>
      <c r="G283" s="10">
        <f>IFERROR(__xludf.DUMMYFUNCTION("""COMPUTED_VALUE"""),8.0)</f>
        <v>8</v>
      </c>
      <c r="H283" s="10">
        <f>IFERROR(__xludf.DUMMYFUNCTION("""COMPUTED_VALUE"""),7.0)</f>
        <v>7</v>
      </c>
      <c r="I283" s="10">
        <f>IFERROR(__xludf.DUMMYFUNCTION("""COMPUTED_VALUE"""),0.0)</f>
        <v>0</v>
      </c>
      <c r="J283" s="10">
        <f>IFERROR(__xludf.DUMMYFUNCTION("""COMPUTED_VALUE"""),1985.0)</f>
        <v>1985</v>
      </c>
      <c r="K283" s="10" t="str">
        <f>IFERROR(__xludf.DUMMYFUNCTION("""COMPUTED_VALUE"""),"No")</f>
        <v>No</v>
      </c>
      <c r="L283" s="10" t="str">
        <f>IFERROR(__xludf.DUMMYFUNCTION("""COMPUTED_VALUE"""),"Darbar sheikh Ahmad wali ")</f>
        <v>Darbar sheikh Ahmad wali </v>
      </c>
      <c r="M283" s="10">
        <f>IFERROR(__xludf.DUMMYFUNCTION("""COMPUTED_VALUE"""),9.0)</f>
        <v>9</v>
      </c>
      <c r="N283" s="10" t="str">
        <f>IFERROR(__xludf.DUMMYFUNCTION("""COMPUTED_VALUE"""),"No")</f>
        <v>No</v>
      </c>
      <c r="O283" s="10"/>
      <c r="P283" s="10"/>
      <c r="Q283" s="10"/>
      <c r="R283" s="10"/>
      <c r="S283" s="10"/>
      <c r="T283" s="10"/>
      <c r="U283" s="18" t="str">
        <f>IFERROR(__xludf.DUMMYFUNCTION("""COMPUTED_VALUE"""),"https://drive.google.com/file/d/1gl_yX3zPt1zaYzUysmILKsT_0YC-etBj/view?usp=drive_link")</f>
        <v>https://drive.google.com/file/d/1gl_yX3zPt1zaYzUysmILKsT_0YC-etBj/view?usp=drive_link</v>
      </c>
      <c r="V283" s="10" t="str">
        <f>IFERROR(__xludf.DUMMYFUNCTION("""COMPUTED_VALUE"""),"Week 3")</f>
        <v>Week 3</v>
      </c>
      <c r="W283" s="10"/>
      <c r="X283" s="10" t="str">
        <f>IFERROR(__xludf.DUMMYFUNCTION("""COMPUTED_VALUE"""),"Yes")</f>
        <v>Yes</v>
      </c>
      <c r="Y283" s="14" t="str">
        <f>IFERROR(__xludf.DUMMYFUNCTION("""COMPUTED_VALUE"""),"mianharisamjad284@gmail.com")</f>
        <v>mianharisamjad284@gmail.com</v>
      </c>
      <c r="AA283" s="325">
        <v>3.0</v>
      </c>
    </row>
    <row r="284" hidden="1">
      <c r="A284" s="9">
        <f>IFERROR(__xludf.DUMMYFUNCTION("""COMPUTED_VALUE"""),45806.32877944445)</f>
        <v>45806.32878</v>
      </c>
      <c r="B284" s="10" t="str">
        <f>IFERROR(__xludf.DUMMYFUNCTION("""COMPUTED_VALUE"""),"M Haris ")</f>
        <v>M Haris </v>
      </c>
      <c r="C284" s="10" t="str">
        <f>IFERROR(__xludf.DUMMYFUNCTION("""COMPUTED_VALUE"""),"03204565224")</f>
        <v>03204565224</v>
      </c>
      <c r="D284" s="10" t="str">
        <f>IFERROR(__xludf.DUMMYFUNCTION("""COMPUTED_VALUE"""),"Jamia Masjid ale sunnat main Bazar malakaat")</f>
        <v>Jamia Masjid ale sunnat main Bazar malakaat</v>
      </c>
      <c r="E284" s="10" t="str">
        <f>IFERROR(__xludf.DUMMYFUNCTION("""COMPUTED_VALUE"""),"Zmbiv")</f>
        <v>Zmbiv</v>
      </c>
      <c r="F284" s="10">
        <f>IFERROR(__xludf.DUMMYFUNCTION("""COMPUTED_VALUE"""),685.0)</f>
        <v>685</v>
      </c>
      <c r="G284" s="10">
        <f>IFERROR(__xludf.DUMMYFUNCTION("""COMPUTED_VALUE"""),8.0)</f>
        <v>8</v>
      </c>
      <c r="H284" s="10">
        <f>IFERROR(__xludf.DUMMYFUNCTION("""COMPUTED_VALUE"""),7.0)</f>
        <v>7</v>
      </c>
      <c r="I284" s="10">
        <f>IFERROR(__xludf.DUMMYFUNCTION("""COMPUTED_VALUE"""),0.0)</f>
        <v>0</v>
      </c>
      <c r="J284" s="10">
        <f>IFERROR(__xludf.DUMMYFUNCTION("""COMPUTED_VALUE"""),1995.0)</f>
        <v>1995</v>
      </c>
      <c r="K284" s="10" t="str">
        <f>IFERROR(__xludf.DUMMYFUNCTION("""COMPUTED_VALUE"""),"No")</f>
        <v>No</v>
      </c>
      <c r="L284" s="10" t="str">
        <f>IFERROR(__xludf.DUMMYFUNCTION("""COMPUTED_VALUE"""),"No")</f>
        <v>No</v>
      </c>
      <c r="M284" s="10">
        <f>IFERROR(__xludf.DUMMYFUNCTION("""COMPUTED_VALUE"""),9.0)</f>
        <v>9</v>
      </c>
      <c r="N284" s="10" t="str">
        <f>IFERROR(__xludf.DUMMYFUNCTION("""COMPUTED_VALUE"""),"Yes")</f>
        <v>Yes</v>
      </c>
      <c r="O284" s="323">
        <f>IFERROR(__xludf.DUMMYFUNCTION("""COMPUTED_VALUE"""),0.7)</f>
        <v>0.7</v>
      </c>
      <c r="P284" s="10">
        <f>IFERROR(__xludf.DUMMYFUNCTION("""COMPUTED_VALUE"""),7.0)</f>
        <v>7</v>
      </c>
      <c r="Q284" s="10">
        <f>IFERROR(__xludf.DUMMYFUNCTION("""COMPUTED_VALUE"""),3.0)</f>
        <v>3</v>
      </c>
      <c r="R284" s="10">
        <f>IFERROR(__xludf.DUMMYFUNCTION("""COMPUTED_VALUE"""),7.0)</f>
        <v>7</v>
      </c>
      <c r="S284" s="10"/>
      <c r="T284" s="10"/>
      <c r="U284" s="18" t="str">
        <f>IFERROR(__xludf.DUMMYFUNCTION("""COMPUTED_VALUE"""),"https://drive.google.com/file/d/1bHEHfupAplEkZuLRiRqLlbg2Q5YSkyhm/view?usp=drive_link")</f>
        <v>https://drive.google.com/file/d/1bHEHfupAplEkZuLRiRqLlbg2Q5YSkyhm/view?usp=drive_link</v>
      </c>
      <c r="V284" s="10" t="str">
        <f>IFERROR(__xludf.DUMMYFUNCTION("""COMPUTED_VALUE"""),"Week 3 ")</f>
        <v>Week 3 </v>
      </c>
      <c r="W284" s="10"/>
      <c r="X284" s="10" t="str">
        <f>IFERROR(__xludf.DUMMYFUNCTION("""COMPUTED_VALUE"""),"Yes")</f>
        <v>Yes</v>
      </c>
      <c r="Y284" s="14" t="str">
        <f>IFERROR(__xludf.DUMMYFUNCTION("""COMPUTED_VALUE"""),"mianharisamjad284@gmail.com")</f>
        <v>mianharisamjad284@gmail.com</v>
      </c>
      <c r="AA284" s="325">
        <v>3.0</v>
      </c>
    </row>
    <row r="285" hidden="1">
      <c r="A285" s="9">
        <f>IFERROR(__xludf.DUMMYFUNCTION("""COMPUTED_VALUE"""),45809.72509620371)</f>
        <v>45809.7251</v>
      </c>
      <c r="B285" s="10" t="str">
        <f>IFERROR(__xludf.DUMMYFUNCTION("""COMPUTED_VALUE"""),"Muhammad Haris ")</f>
        <v>Muhammad Haris </v>
      </c>
      <c r="C285" s="10" t="str">
        <f>IFERROR(__xludf.DUMMYFUNCTION("""COMPUTED_VALUE"""),"03204565224")</f>
        <v>03204565224</v>
      </c>
      <c r="D285" s="10" t="str">
        <f>IFERROR(__xludf.DUMMYFUNCTION("""COMPUTED_VALUE"""),"Jamia Masjid Miya Rehman Hafizabad")</f>
        <v>Jamia Masjid Miya Rehman Hafizabad</v>
      </c>
      <c r="E285" s="10" t="str">
        <f>IFERROR(__xludf.DUMMYFUNCTION("""COMPUTED_VALUE"""),"VIEXI")</f>
        <v>VIEXI</v>
      </c>
      <c r="F285" s="10">
        <f>IFERROR(__xludf.DUMMYFUNCTION("""COMPUTED_VALUE"""),120.0)</f>
        <v>120</v>
      </c>
      <c r="G285" s="10">
        <f>IFERROR(__xludf.DUMMYFUNCTION("""COMPUTED_VALUE"""),9.0)</f>
        <v>9</v>
      </c>
      <c r="H285" s="10">
        <f>IFERROR(__xludf.DUMMYFUNCTION("""COMPUTED_VALUE"""),8.0)</f>
        <v>8</v>
      </c>
      <c r="I285" s="10">
        <f>IFERROR(__xludf.DUMMYFUNCTION("""COMPUTED_VALUE"""),0.0)</f>
        <v>0</v>
      </c>
      <c r="J285" s="10">
        <f>IFERROR(__xludf.DUMMYFUNCTION("""COMPUTED_VALUE"""),1995.0)</f>
        <v>1995</v>
      </c>
      <c r="K285" s="10" t="str">
        <f>IFERROR(__xludf.DUMMYFUNCTION("""COMPUTED_VALUE"""),"No")</f>
        <v>No</v>
      </c>
      <c r="L285" s="10" t="str">
        <f>IFERROR(__xludf.DUMMYFUNCTION("""COMPUTED_VALUE"""),"No")</f>
        <v>No</v>
      </c>
      <c r="M285" s="10">
        <f>IFERROR(__xludf.DUMMYFUNCTION("""COMPUTED_VALUE"""),9.0)</f>
        <v>9</v>
      </c>
      <c r="N285" s="10" t="str">
        <f>IFERROR(__xludf.DUMMYFUNCTION("""COMPUTED_VALUE"""),"Yes")</f>
        <v>Yes</v>
      </c>
      <c r="O285" s="323">
        <f>IFERROR(__xludf.DUMMYFUNCTION("""COMPUTED_VALUE"""),0.7)</f>
        <v>0.7</v>
      </c>
      <c r="P285" s="10">
        <f>IFERROR(__xludf.DUMMYFUNCTION("""COMPUTED_VALUE"""),7.0)</f>
        <v>7</v>
      </c>
      <c r="Q285" s="10">
        <f>IFERROR(__xludf.DUMMYFUNCTION("""COMPUTED_VALUE"""),3.0)</f>
        <v>3</v>
      </c>
      <c r="R285" s="10">
        <f>IFERROR(__xludf.DUMMYFUNCTION("""COMPUTED_VALUE"""),7.0)</f>
        <v>7</v>
      </c>
      <c r="S285" s="10"/>
      <c r="T285" s="10"/>
      <c r="U285" s="18" t="str">
        <f>IFERROR(__xludf.DUMMYFUNCTION("""COMPUTED_VALUE"""),"https://drive.google.com/file/d/1bpFE3U8MIpvTe1QizVQSLQFtKS6jNsPz/view?usp=drive_link")</f>
        <v>https://drive.google.com/file/d/1bpFE3U8MIpvTe1QizVQSLQFtKS6jNsPz/view?usp=drive_link</v>
      </c>
      <c r="V285" s="10" t="str">
        <f>IFERROR(__xludf.DUMMYFUNCTION("""COMPUTED_VALUE"""),"Week 2")</f>
        <v>Week 2</v>
      </c>
      <c r="W285" s="10"/>
      <c r="X285" s="10" t="str">
        <f>IFERROR(__xludf.DUMMYFUNCTION("""COMPUTED_VALUE"""),"Yes")</f>
        <v>Yes</v>
      </c>
      <c r="Y285" s="14" t="str">
        <f>IFERROR(__xludf.DUMMYFUNCTION("""COMPUTED_VALUE"""),"mianharisamjad284@gmail.com")</f>
        <v>mianharisamjad284@gmail.com</v>
      </c>
      <c r="AA285" s="325">
        <v>2.0</v>
      </c>
    </row>
    <row r="286" hidden="1">
      <c r="A286" s="9">
        <f>IFERROR(__xludf.DUMMYFUNCTION("""COMPUTED_VALUE"""),45809.72712802084)</f>
        <v>45809.72713</v>
      </c>
      <c r="B286" s="10" t="str">
        <f>IFERROR(__xludf.DUMMYFUNCTION("""COMPUTED_VALUE"""),"Muhammad Haris ")</f>
        <v>Muhammad Haris </v>
      </c>
      <c r="C286" s="10" t="str">
        <f>IFERROR(__xludf.DUMMYFUNCTION("""COMPUTED_VALUE"""),"03204565224")</f>
        <v>03204565224</v>
      </c>
      <c r="D286" s="10" t="str">
        <f>IFERROR(__xludf.DUMMYFUNCTION("""COMPUTED_VALUE"""),"Jamia Masjid Darbar Boty Shah Hafizabad")</f>
        <v>Jamia Masjid Darbar Boty Shah Hafizabad</v>
      </c>
      <c r="E286" s="10" t="str">
        <f>IFERROR(__xludf.DUMMYFUNCTION("""COMPUTED_VALUE"""),"BJLNR")</f>
        <v>BJLNR</v>
      </c>
      <c r="F286" s="10">
        <f>IFERROR(__xludf.DUMMYFUNCTION("""COMPUTED_VALUE"""),45.0)</f>
        <v>45</v>
      </c>
      <c r="G286" s="10">
        <f>IFERROR(__xludf.DUMMYFUNCTION("""COMPUTED_VALUE"""),7.0)</f>
        <v>7</v>
      </c>
      <c r="H286" s="10">
        <f>IFERROR(__xludf.DUMMYFUNCTION("""COMPUTED_VALUE"""),6.0)</f>
        <v>6</v>
      </c>
      <c r="I286" s="10">
        <f>IFERROR(__xludf.DUMMYFUNCTION("""COMPUTED_VALUE"""),3.0)</f>
        <v>3</v>
      </c>
      <c r="J286" s="10" t="str">
        <f>IFERROR(__xludf.DUMMYFUNCTION("""COMPUTED_VALUE"""),"0000")</f>
        <v>0000</v>
      </c>
      <c r="K286" s="10" t="str">
        <f>IFERROR(__xludf.DUMMYFUNCTION("""COMPUTED_VALUE"""),"No")</f>
        <v>No</v>
      </c>
      <c r="L286" s="10" t="str">
        <f>IFERROR(__xludf.DUMMYFUNCTION("""COMPUTED_VALUE"""),"Darbar Bhootay Shah")</f>
        <v>Darbar Bhootay Shah</v>
      </c>
      <c r="M286" s="10">
        <f>IFERROR(__xludf.DUMMYFUNCTION("""COMPUTED_VALUE"""),8.0)</f>
        <v>8</v>
      </c>
      <c r="N286" s="10" t="str">
        <f>IFERROR(__xludf.DUMMYFUNCTION("""COMPUTED_VALUE"""),"Yes")</f>
        <v>Yes</v>
      </c>
      <c r="O286" s="323">
        <f>IFERROR(__xludf.DUMMYFUNCTION("""COMPUTED_VALUE"""),0.6)</f>
        <v>0.6</v>
      </c>
      <c r="P286" s="10">
        <f>IFERROR(__xludf.DUMMYFUNCTION("""COMPUTED_VALUE"""),6.0)</f>
        <v>6</v>
      </c>
      <c r="Q286" s="10">
        <f>IFERROR(__xludf.DUMMYFUNCTION("""COMPUTED_VALUE"""),4.0)</f>
        <v>4</v>
      </c>
      <c r="R286" s="10">
        <f>IFERROR(__xludf.DUMMYFUNCTION("""COMPUTED_VALUE"""),6.0)</f>
        <v>6</v>
      </c>
      <c r="S286" s="10"/>
      <c r="T286" s="10"/>
      <c r="U286" s="10"/>
      <c r="V286" s="10" t="str">
        <f>IFERROR(__xludf.DUMMYFUNCTION("""COMPUTED_VALUE"""),"Week 1")</f>
        <v>Week 1</v>
      </c>
      <c r="W286" s="10"/>
      <c r="X286" s="10" t="str">
        <f>IFERROR(__xludf.DUMMYFUNCTION("""COMPUTED_VALUE"""),"Yes")</f>
        <v>Yes</v>
      </c>
      <c r="Y286" s="14" t="str">
        <f>IFERROR(__xludf.DUMMYFUNCTION("""COMPUTED_VALUE"""),"mianharisamjad284@gmail.com")</f>
        <v>mianharisamjad284@gmail.com</v>
      </c>
      <c r="AA286" s="324"/>
    </row>
    <row r="287" hidden="1">
      <c r="A287" s="9">
        <f>IFERROR(__xludf.DUMMYFUNCTION("""COMPUTED_VALUE"""),45809.72971230324)</f>
        <v>45809.72971</v>
      </c>
      <c r="B287" s="10" t="str">
        <f>IFERROR(__xludf.DUMMYFUNCTION("""COMPUTED_VALUE"""),"Muhammad Haris ")</f>
        <v>Muhammad Haris </v>
      </c>
      <c r="C287" s="10" t="str">
        <f>IFERROR(__xludf.DUMMYFUNCTION("""COMPUTED_VALUE"""),"03204565224")</f>
        <v>03204565224</v>
      </c>
      <c r="D287" s="10" t="str">
        <f>IFERROR(__xludf.DUMMYFUNCTION("""COMPUTED_VALUE"""),"Jamia Masjid Darbar Shah Dhola Gujrat")</f>
        <v>Jamia Masjid Darbar Shah Dhola Gujrat</v>
      </c>
      <c r="E287" s="10" t="str">
        <f>IFERROR(__xludf.DUMMYFUNCTION("""COMPUTED_VALUE"""),"QAQID")</f>
        <v>QAQID</v>
      </c>
      <c r="F287" s="10">
        <f>IFERROR(__xludf.DUMMYFUNCTION("""COMPUTED_VALUE"""),225.0)</f>
        <v>225</v>
      </c>
      <c r="G287" s="10">
        <f>IFERROR(__xludf.DUMMYFUNCTION("""COMPUTED_VALUE"""),9.0)</f>
        <v>9</v>
      </c>
      <c r="H287" s="10">
        <f>IFERROR(__xludf.DUMMYFUNCTION("""COMPUTED_VALUE"""),8.0)</f>
        <v>8</v>
      </c>
      <c r="I287" s="10">
        <f>IFERROR(__xludf.DUMMYFUNCTION("""COMPUTED_VALUE"""),0.0)</f>
        <v>0</v>
      </c>
      <c r="J287" s="10">
        <f>IFERROR(__xludf.DUMMYFUNCTION("""COMPUTED_VALUE"""),1892.0)</f>
        <v>1892</v>
      </c>
      <c r="K287" s="10" t="str">
        <f>IFERROR(__xludf.DUMMYFUNCTION("""COMPUTED_VALUE"""),"No")</f>
        <v>No</v>
      </c>
      <c r="L287" s="10" t="str">
        <f>IFERROR(__xludf.DUMMYFUNCTION("""COMPUTED_VALUE"""),"Hazrat kabeer udr Deen daryae ")</f>
        <v>Hazrat kabeer udr Deen daryae </v>
      </c>
      <c r="M287" s="10">
        <f>IFERROR(__xludf.DUMMYFUNCTION("""COMPUTED_VALUE"""),8.0)</f>
        <v>8</v>
      </c>
      <c r="N287" s="10" t="str">
        <f>IFERROR(__xludf.DUMMYFUNCTION("""COMPUTED_VALUE"""),"No")</f>
        <v>No</v>
      </c>
      <c r="O287" s="10"/>
      <c r="P287" s="10"/>
      <c r="Q287" s="10"/>
      <c r="R287" s="10"/>
      <c r="S287" s="10"/>
      <c r="T287" s="10"/>
      <c r="U287" s="18" t="str">
        <f>IFERROR(__xludf.DUMMYFUNCTION("""COMPUTED_VALUE"""),"https://drive.google.com/file/d/1DDVisaPY7tEMr_CDFpqgXHvnUNyIVrZS/view?usp=drive_link")</f>
        <v>https://drive.google.com/file/d/1DDVisaPY7tEMr_CDFpqgXHvnUNyIVrZS/view?usp=drive_link</v>
      </c>
      <c r="V287" s="10" t="str">
        <f>IFERROR(__xludf.DUMMYFUNCTION("""COMPUTED_VALUE"""),"Week 1")</f>
        <v>Week 1</v>
      </c>
      <c r="W287" s="10"/>
      <c r="X287" s="10"/>
      <c r="Y287" s="14" t="str">
        <f>IFERROR(__xludf.DUMMYFUNCTION("""COMPUTED_VALUE"""),"mianharisamjad284@gmail.com")</f>
        <v>mianharisamjad284@gmail.com</v>
      </c>
      <c r="AA287" s="325">
        <v>1.0</v>
      </c>
    </row>
    <row r="288" hidden="1">
      <c r="A288" s="9">
        <f>IFERROR(__xludf.DUMMYFUNCTION("""COMPUTED_VALUE"""),45809.734644745375)</f>
        <v>45809.73464</v>
      </c>
      <c r="B288" s="10" t="str">
        <f>IFERROR(__xludf.DUMMYFUNCTION("""COMPUTED_VALUE"""),"Muhammad Haris ")</f>
        <v>Muhammad Haris </v>
      </c>
      <c r="C288" s="10" t="str">
        <f>IFERROR(__xludf.DUMMYFUNCTION("""COMPUTED_VALUE"""),"03204565224")</f>
        <v>03204565224</v>
      </c>
      <c r="D288" s="10" t="str">
        <f>IFERROR(__xludf.DUMMYFUNCTION("""COMPUTED_VALUE"""),"Jamia Masjid Chakwali Darwaza Behra")</f>
        <v>Jamia Masjid Chakwali Darwaza Behra</v>
      </c>
      <c r="E288" s="10" t="str">
        <f>IFERROR(__xludf.DUMMYFUNCTION("""COMPUTED_VALUE"""),"VYRME")</f>
        <v>VYRME</v>
      </c>
      <c r="F288" s="10">
        <f>IFERROR(__xludf.DUMMYFUNCTION("""COMPUTED_VALUE"""),167.0)</f>
        <v>167</v>
      </c>
      <c r="G288" s="10">
        <f>IFERROR(__xludf.DUMMYFUNCTION("""COMPUTED_VALUE"""),9.0)</f>
        <v>9</v>
      </c>
      <c r="H288" s="10">
        <f>IFERROR(__xludf.DUMMYFUNCTION("""COMPUTED_VALUE"""),9.0)</f>
        <v>9</v>
      </c>
      <c r="I288" s="10">
        <f>IFERROR(__xludf.DUMMYFUNCTION("""COMPUTED_VALUE"""),0.0)</f>
        <v>0</v>
      </c>
      <c r="J288" s="10">
        <f>IFERROR(__xludf.DUMMYFUNCTION("""COMPUTED_VALUE"""),1984.0)</f>
        <v>1984</v>
      </c>
      <c r="K288" s="10" t="str">
        <f>IFERROR(__xludf.DUMMYFUNCTION("""COMPUTED_VALUE"""),"No")</f>
        <v>No</v>
      </c>
      <c r="L288" s="10" t="str">
        <f>IFERROR(__xludf.DUMMYFUNCTION("""COMPUTED_VALUE"""),"No")</f>
        <v>No</v>
      </c>
      <c r="M288" s="10">
        <f>IFERROR(__xludf.DUMMYFUNCTION("""COMPUTED_VALUE"""),8.0)</f>
        <v>8</v>
      </c>
      <c r="N288" s="10" t="str">
        <f>IFERROR(__xludf.DUMMYFUNCTION("""COMPUTED_VALUE"""),"No")</f>
        <v>No</v>
      </c>
      <c r="O288" s="10"/>
      <c r="P288" s="10"/>
      <c r="Q288" s="10"/>
      <c r="R288" s="10"/>
      <c r="S288" s="10"/>
      <c r="T288" s="10"/>
      <c r="U288" s="18" t="str">
        <f>IFERROR(__xludf.DUMMYFUNCTION("""COMPUTED_VALUE"""),"https://drive.google.com/file/d/1k0Ky5VCh7EcWR8q3oAvh7BFeYFD9xwjt/view?usp=sharing")</f>
        <v>https://drive.google.com/file/d/1k0Ky5VCh7EcWR8q3oAvh7BFeYFD9xwjt/view?usp=sharing</v>
      </c>
      <c r="V288" s="10" t="str">
        <f>IFERROR(__xludf.DUMMYFUNCTION("""COMPUTED_VALUE"""),"Week 1")</f>
        <v>Week 1</v>
      </c>
      <c r="W288" s="10"/>
      <c r="X288" s="10"/>
      <c r="Y288" s="14" t="str">
        <f>IFERROR(__xludf.DUMMYFUNCTION("""COMPUTED_VALUE"""),"mianharisamjad284@gmail.com")</f>
        <v>mianharisamjad284@gmail.com</v>
      </c>
      <c r="AA288" s="325">
        <v>1.0</v>
      </c>
    </row>
    <row r="289" hidden="1">
      <c r="A289" s="9">
        <f>IFERROR(__xludf.DUMMYFUNCTION("""COMPUTED_VALUE"""),45809.73574883102)</f>
        <v>45809.73575</v>
      </c>
      <c r="B289" s="10" t="str">
        <f>IFERROR(__xludf.DUMMYFUNCTION("""COMPUTED_VALUE"""),"Muhammad Haris ")</f>
        <v>Muhammad Haris </v>
      </c>
      <c r="C289" s="10" t="str">
        <f>IFERROR(__xludf.DUMMYFUNCTION("""COMPUTED_VALUE"""),"03204565224")</f>
        <v>03204565224</v>
      </c>
      <c r="D289" s="10" t="str">
        <f>IFERROR(__xludf.DUMMYFUNCTION("""COMPUTED_VALUE"""),"Jamia Masjid Chakwali Darwaza Behra")</f>
        <v>Jamia Masjid Chakwali Darwaza Behra</v>
      </c>
      <c r="E289" s="10" t="str">
        <f>IFERROR(__xludf.DUMMYFUNCTION("""COMPUTED_VALUE"""),"VYRME")</f>
        <v>VYRME</v>
      </c>
      <c r="F289" s="10">
        <f>IFERROR(__xludf.DUMMYFUNCTION("""COMPUTED_VALUE"""),180.0)</f>
        <v>180</v>
      </c>
      <c r="G289" s="10">
        <f>IFERROR(__xludf.DUMMYFUNCTION("""COMPUTED_VALUE"""),9.0)</f>
        <v>9</v>
      </c>
      <c r="H289" s="10">
        <f>IFERROR(__xludf.DUMMYFUNCTION("""COMPUTED_VALUE"""),9.0)</f>
        <v>9</v>
      </c>
      <c r="I289" s="10">
        <f>IFERROR(__xludf.DUMMYFUNCTION("""COMPUTED_VALUE"""),0.0)</f>
        <v>0</v>
      </c>
      <c r="J289" s="10">
        <f>IFERROR(__xludf.DUMMYFUNCTION("""COMPUTED_VALUE"""),1984.0)</f>
        <v>1984</v>
      </c>
      <c r="K289" s="10" t="str">
        <f>IFERROR(__xludf.DUMMYFUNCTION("""COMPUTED_VALUE"""),"No")</f>
        <v>No</v>
      </c>
      <c r="L289" s="10" t="str">
        <f>IFERROR(__xludf.DUMMYFUNCTION("""COMPUTED_VALUE"""),"No")</f>
        <v>No</v>
      </c>
      <c r="M289" s="10">
        <f>IFERROR(__xludf.DUMMYFUNCTION("""COMPUTED_VALUE"""),8.0)</f>
        <v>8</v>
      </c>
      <c r="N289" s="10" t="str">
        <f>IFERROR(__xludf.DUMMYFUNCTION("""COMPUTED_VALUE"""),"No")</f>
        <v>No</v>
      </c>
      <c r="O289" s="10"/>
      <c r="P289" s="10"/>
      <c r="Q289" s="10"/>
      <c r="R289" s="10"/>
      <c r="S289" s="10"/>
      <c r="T289" s="10"/>
      <c r="U289" s="18" t="str">
        <f>IFERROR(__xludf.DUMMYFUNCTION("""COMPUTED_VALUE"""),"https://drive.google.com/file/d/1CyADveJQLTF0cXAZPdxgYJ-4Cy7SZXYm/view?usp=sharing")</f>
        <v>https://drive.google.com/file/d/1CyADveJQLTF0cXAZPdxgYJ-4Cy7SZXYm/view?usp=sharing</v>
      </c>
      <c r="V289" s="10" t="str">
        <f>IFERROR(__xludf.DUMMYFUNCTION("""COMPUTED_VALUE"""),"Week 2")</f>
        <v>Week 2</v>
      </c>
      <c r="W289" s="10"/>
      <c r="X289" s="10"/>
      <c r="Y289" s="14" t="str">
        <f>IFERROR(__xludf.DUMMYFUNCTION("""COMPUTED_VALUE"""),"mianharisamjad284@gmail.com")</f>
        <v>mianharisamjad284@gmail.com</v>
      </c>
      <c r="AA289" s="325">
        <v>3.0</v>
      </c>
    </row>
    <row r="290" hidden="1">
      <c r="A290" s="9">
        <f>IFERROR(__xludf.DUMMYFUNCTION("""COMPUTED_VALUE"""),45812.748352256946)</f>
        <v>45812.74835</v>
      </c>
      <c r="B290" s="10" t="str">
        <f>IFERROR(__xludf.DUMMYFUNCTION("""COMPUTED_VALUE"""),"Muhammad Haris ")</f>
        <v>Muhammad Haris </v>
      </c>
      <c r="C290" s="10" t="str">
        <f>IFERROR(__xludf.DUMMYFUNCTION("""COMPUTED_VALUE"""),"03204565224")</f>
        <v>03204565224</v>
      </c>
      <c r="D290" s="10" t="str">
        <f>IFERROR(__xludf.DUMMYFUNCTION("""COMPUTED_VALUE"""),"Jamia Masjid Chila gah sakhi sarwar dhoonikal")</f>
        <v>Jamia Masjid Chila gah sakhi sarwar dhoonikal</v>
      </c>
      <c r="E290" s="10" t="str">
        <f>IFERROR(__xludf.DUMMYFUNCTION("""COMPUTED_VALUE"""),"CVXRS")</f>
        <v>CVXRS</v>
      </c>
      <c r="F290" s="10">
        <f>IFERROR(__xludf.DUMMYFUNCTION("""COMPUTED_VALUE"""),105.0)</f>
        <v>105</v>
      </c>
      <c r="G290" s="10">
        <f>IFERROR(__xludf.DUMMYFUNCTION("""COMPUTED_VALUE"""),9.0)</f>
        <v>9</v>
      </c>
      <c r="H290" s="10">
        <f>IFERROR(__xludf.DUMMYFUNCTION("""COMPUTED_VALUE"""),8.0)</f>
        <v>8</v>
      </c>
      <c r="I290" s="10">
        <f>IFERROR(__xludf.DUMMYFUNCTION("""COMPUTED_VALUE"""),0.0)</f>
        <v>0</v>
      </c>
      <c r="J290" s="10" t="str">
        <f>IFERROR(__xludf.DUMMYFUNCTION("""COMPUTED_VALUE"""),"0000")</f>
        <v>0000</v>
      </c>
      <c r="K290" s="10" t="str">
        <f>IFERROR(__xludf.DUMMYFUNCTION("""COMPUTED_VALUE"""),"No")</f>
        <v>No</v>
      </c>
      <c r="L290" s="10" t="str">
        <f>IFERROR(__xludf.DUMMYFUNCTION("""COMPUTED_VALUE"""),"Sakhi sarwar Chila gah darbar")</f>
        <v>Sakhi sarwar Chila gah darbar</v>
      </c>
      <c r="M290" s="10">
        <f>IFERROR(__xludf.DUMMYFUNCTION("""COMPUTED_VALUE"""),8.0)</f>
        <v>8</v>
      </c>
      <c r="N290" s="10" t="str">
        <f>IFERROR(__xludf.DUMMYFUNCTION("""COMPUTED_VALUE"""),"No")</f>
        <v>No</v>
      </c>
      <c r="O290" s="10"/>
      <c r="P290" s="10"/>
      <c r="Q290" s="10"/>
      <c r="R290" s="10"/>
      <c r="S290" s="10"/>
      <c r="T290" s="10"/>
      <c r="U290" s="18" t="str">
        <f>IFERROR(__xludf.DUMMYFUNCTION("""COMPUTED_VALUE"""),"https://drive.google.com/file/d/18cu7kWW5VUznFdxR4Qv27ZL9h5AjID0W/view?usp=drive_link")</f>
        <v>https://drive.google.com/file/d/18cu7kWW5VUznFdxR4Qv27ZL9h5AjID0W/view?usp=drive_link</v>
      </c>
      <c r="V290" s="10" t="str">
        <f>IFERROR(__xludf.DUMMYFUNCTION("""COMPUTED_VALUE"""),"Week 1")</f>
        <v>Week 1</v>
      </c>
      <c r="W290" s="10"/>
      <c r="X290" s="10"/>
      <c r="Y290" s="14" t="str">
        <f>IFERROR(__xludf.DUMMYFUNCTION("""COMPUTED_VALUE"""),"mianharisamjad284@gmail.com")</f>
        <v>mianharisamjad284@gmail.com</v>
      </c>
      <c r="AA290" s="325">
        <v>1.0</v>
      </c>
    </row>
    <row r="291" hidden="1">
      <c r="A291" s="9">
        <f>IFERROR(__xludf.DUMMYFUNCTION("""COMPUTED_VALUE"""),45823.82175354166)</f>
        <v>45823.82175</v>
      </c>
      <c r="B291" s="10" t="str">
        <f>IFERROR(__xludf.DUMMYFUNCTION("""COMPUTED_VALUE"""),"Ikram")</f>
        <v>Ikram</v>
      </c>
      <c r="C291" s="10" t="str">
        <f>IFERROR(__xludf.DUMMYFUNCTION("""COMPUTED_VALUE"""),"0313-6290030")</f>
        <v>0313-6290030</v>
      </c>
      <c r="D291" s="10" t="str">
        <f>IFERROR(__xludf.DUMMYFUNCTION("""COMPUTED_VALUE"""),"Jamia Masjid Galah Mandi Sargodha ")</f>
        <v>Jamia Masjid Galah Mandi Sargodha </v>
      </c>
      <c r="E291" s="10" t="str">
        <f>IFERROR(__xludf.DUMMYFUNCTION("""COMPUTED_VALUE"""),"EBSPQ")</f>
        <v>EBSPQ</v>
      </c>
      <c r="F291" s="10">
        <f>IFERROR(__xludf.DUMMYFUNCTION("""COMPUTED_VALUE"""),190.0)</f>
        <v>190</v>
      </c>
      <c r="G291" s="10">
        <f>IFERROR(__xludf.DUMMYFUNCTION("""COMPUTED_VALUE"""),9.0)</f>
        <v>9</v>
      </c>
      <c r="H291" s="10">
        <f>IFERROR(__xludf.DUMMYFUNCTION("""COMPUTED_VALUE"""),8.0)</f>
        <v>8</v>
      </c>
      <c r="I291" s="10">
        <f>IFERROR(__xludf.DUMMYFUNCTION("""COMPUTED_VALUE"""),0.0)</f>
        <v>0</v>
      </c>
      <c r="J291" s="10" t="str">
        <f>IFERROR(__xludf.DUMMYFUNCTION("""COMPUTED_VALUE"""),"0000")</f>
        <v>0000</v>
      </c>
      <c r="K291" s="10" t="str">
        <f>IFERROR(__xludf.DUMMYFUNCTION("""COMPUTED_VALUE"""),"No")</f>
        <v>No</v>
      </c>
      <c r="L291" s="10" t="str">
        <f>IFERROR(__xludf.DUMMYFUNCTION("""COMPUTED_VALUE"""),"No")</f>
        <v>No</v>
      </c>
      <c r="M291" s="10">
        <f>IFERROR(__xludf.DUMMYFUNCTION("""COMPUTED_VALUE"""),8.0)</f>
        <v>8</v>
      </c>
      <c r="N291" s="10" t="str">
        <f>IFERROR(__xludf.DUMMYFUNCTION("""COMPUTED_VALUE"""),"No")</f>
        <v>No</v>
      </c>
      <c r="O291" s="10"/>
      <c r="P291" s="10"/>
      <c r="Q291" s="10"/>
      <c r="R291" s="10"/>
      <c r="S291" s="10"/>
      <c r="T291" s="10"/>
      <c r="U291" s="18" t="str">
        <f>IFERROR(__xludf.DUMMYFUNCTION("""COMPUTED_VALUE"""),"https://drive.google.com/open?id=1q8zTSfyTFD5hoFLWNTQbKFPSHGOw22Ch")</f>
        <v>https://drive.google.com/open?id=1q8zTSfyTFD5hoFLWNTQbKFPSHGOw22Ch</v>
      </c>
      <c r="V291" s="10" t="str">
        <f>IFERROR(__xludf.DUMMYFUNCTION("""COMPUTED_VALUE"""),"Week 1")</f>
        <v>Week 1</v>
      </c>
      <c r="W291" s="10"/>
      <c r="X291" s="10"/>
      <c r="Y291" s="14" t="str">
        <f>IFERROR(__xludf.DUMMYFUNCTION("""COMPUTED_VALUE"""),"mianharisamjad284@gmail.com")</f>
        <v>mianharisamjad284@gmail.com</v>
      </c>
      <c r="AA291" s="325">
        <v>1.0</v>
      </c>
    </row>
    <row r="292" hidden="1">
      <c r="A292" s="9">
        <f>IFERROR(__xludf.DUMMYFUNCTION("""COMPUTED_VALUE"""),45829.88904969908)</f>
        <v>45829.88905</v>
      </c>
      <c r="B292" s="10" t="str">
        <f>IFERROR(__xludf.DUMMYFUNCTION("""COMPUTED_VALUE"""),"Wajid")</f>
        <v>Wajid</v>
      </c>
      <c r="C292" s="10" t="str">
        <f>IFERROR(__xludf.DUMMYFUNCTION("""COMPUTED_VALUE"""),"03246427664")</f>
        <v>03246427664</v>
      </c>
      <c r="D292" s="10" t="str">
        <f>IFERROR(__xludf.DUMMYFUNCTION("""COMPUTED_VALUE"""),"Jamia Masjid Darbar Chila gah kangna peera amaal Pura ")</f>
        <v>Jamia Masjid Darbar Chila gah kangna peera amaal Pura </v>
      </c>
      <c r="E292" s="10" t="str">
        <f>IFERROR(__xludf.DUMMYFUNCTION("""COMPUTED_VALUE"""),"Oiuji")</f>
        <v>Oiuji</v>
      </c>
      <c r="F292" s="10">
        <f>IFERROR(__xludf.DUMMYFUNCTION("""COMPUTED_VALUE"""),210.0)</f>
        <v>210</v>
      </c>
      <c r="G292" s="10">
        <f>IFERROR(__xludf.DUMMYFUNCTION("""COMPUTED_VALUE"""),8.0)</f>
        <v>8</v>
      </c>
      <c r="H292" s="10">
        <f>IFERROR(__xludf.DUMMYFUNCTION("""COMPUTED_VALUE"""),8.0)</f>
        <v>8</v>
      </c>
      <c r="I292" s="10">
        <f>IFERROR(__xludf.DUMMYFUNCTION("""COMPUTED_VALUE"""),1.0)</f>
        <v>1</v>
      </c>
      <c r="J292" s="10">
        <f>IFERROR(__xludf.DUMMYFUNCTION("""COMPUTED_VALUE"""),1982.0)</f>
        <v>1982</v>
      </c>
      <c r="K292" s="10" t="str">
        <f>IFERROR(__xludf.DUMMYFUNCTION("""COMPUTED_VALUE"""),"No")</f>
        <v>No</v>
      </c>
      <c r="L292" s="10" t="str">
        <f>IFERROR(__xludf.DUMMYFUNCTION("""COMPUTED_VALUE"""),"Darbar Chila gha")</f>
        <v>Darbar Chila gha</v>
      </c>
      <c r="M292" s="10">
        <f>IFERROR(__xludf.DUMMYFUNCTION("""COMPUTED_VALUE"""),8.0)</f>
        <v>8</v>
      </c>
      <c r="N292" s="10" t="str">
        <f>IFERROR(__xludf.DUMMYFUNCTION("""COMPUTED_VALUE"""),"Yes")</f>
        <v>Yes</v>
      </c>
      <c r="O292" s="323">
        <f>IFERROR(__xludf.DUMMYFUNCTION("""COMPUTED_VALUE"""),0.6)</f>
        <v>0.6</v>
      </c>
      <c r="P292" s="10">
        <f>IFERROR(__xludf.DUMMYFUNCTION("""COMPUTED_VALUE"""),6.0)</f>
        <v>6</v>
      </c>
      <c r="Q292" s="10">
        <f>IFERROR(__xludf.DUMMYFUNCTION("""COMPUTED_VALUE"""),4.0)</f>
        <v>4</v>
      </c>
      <c r="R292" s="10">
        <f>IFERROR(__xludf.DUMMYFUNCTION("""COMPUTED_VALUE"""),6.0)</f>
        <v>6</v>
      </c>
      <c r="S292" s="10"/>
      <c r="T292" s="10"/>
      <c r="U292" s="18" t="str">
        <f>IFERROR(__xludf.DUMMYFUNCTION("""COMPUTED_VALUE"""),"https://drive.google.com/file/d/1M8UkGI0R_Cf1dxJdZpmdmI8ypWVOrjgY/view?usp=drive_link")</f>
        <v>https://drive.google.com/file/d/1M8UkGI0R_Cf1dxJdZpmdmI8ypWVOrjgY/view?usp=drive_link</v>
      </c>
      <c r="V292" s="10"/>
      <c r="W292" s="10"/>
      <c r="X292" s="10" t="str">
        <f>IFERROR(__xludf.DUMMYFUNCTION("""COMPUTED_VALUE"""),"Yes")</f>
        <v>Yes</v>
      </c>
      <c r="Y292" s="14" t="str">
        <f>IFERROR(__xludf.DUMMYFUNCTION("""COMPUTED_VALUE"""),"wajidmushtaq941@gmail.com")</f>
        <v>wajidmushtaq941@gmail.com</v>
      </c>
      <c r="AA292" s="325">
        <v>2.0</v>
      </c>
    </row>
    <row r="293" hidden="1">
      <c r="A293" s="9">
        <f>IFERROR(__xludf.DUMMYFUNCTION("""COMPUTED_VALUE"""),45830.052454537035)</f>
        <v>45830.05245</v>
      </c>
      <c r="B293" s="10" t="str">
        <f>IFERROR(__xludf.DUMMYFUNCTION("""COMPUTED_VALUE"""),"M RIzwan")</f>
        <v>M RIzwan</v>
      </c>
      <c r="C293" s="10" t="str">
        <f>IFERROR(__xludf.DUMMYFUNCTION("""COMPUTED_VALUE"""),"03009485820")</f>
        <v>03009485820</v>
      </c>
      <c r="D293" s="10" t="str">
        <f>IFERROR(__xludf.DUMMYFUNCTION("""COMPUTED_VALUE"""),"Jamia Masjid Chila Gah Tabha Fareed Lahore")</f>
        <v>Jamia Masjid Chila Gah Tabha Fareed Lahore</v>
      </c>
      <c r="E293" s="10" t="str">
        <f>IFERROR(__xludf.DUMMYFUNCTION("""COMPUTED_VALUE"""),"eiuou")</f>
        <v>eiuou</v>
      </c>
      <c r="F293" s="10">
        <f>IFERROR(__xludf.DUMMYFUNCTION("""COMPUTED_VALUE"""),200.0)</f>
        <v>200</v>
      </c>
      <c r="G293" s="10">
        <f>IFERROR(__xludf.DUMMYFUNCTION("""COMPUTED_VALUE"""),8.0)</f>
        <v>8</v>
      </c>
      <c r="H293" s="10">
        <f>IFERROR(__xludf.DUMMYFUNCTION("""COMPUTED_VALUE"""),8.0)</f>
        <v>8</v>
      </c>
      <c r="I293" s="10">
        <f>IFERROR(__xludf.DUMMYFUNCTION("""COMPUTED_VALUE"""),1.0)</f>
        <v>1</v>
      </c>
      <c r="J293" s="10" t="str">
        <f>IFERROR(__xludf.DUMMYFUNCTION("""COMPUTED_VALUE"""),"0000")</f>
        <v>0000</v>
      </c>
      <c r="K293" s="10" t="str">
        <f>IFERROR(__xludf.DUMMYFUNCTION("""COMPUTED_VALUE"""),"No")</f>
        <v>No</v>
      </c>
      <c r="L293" s="10" t="str">
        <f>IFERROR(__xludf.DUMMYFUNCTION("""COMPUTED_VALUE"""),"NO")</f>
        <v>NO</v>
      </c>
      <c r="M293" s="10">
        <f>IFERROR(__xludf.DUMMYFUNCTION("""COMPUTED_VALUE"""),7.0)</f>
        <v>7</v>
      </c>
      <c r="N293" s="10" t="str">
        <f>IFERROR(__xludf.DUMMYFUNCTION("""COMPUTED_VALUE"""),"No")</f>
        <v>No</v>
      </c>
      <c r="O293" s="10"/>
      <c r="P293" s="10"/>
      <c r="Q293" s="10"/>
      <c r="R293" s="10"/>
      <c r="S293" s="10"/>
      <c r="T293" s="10"/>
      <c r="U293" s="18" t="str">
        <f>IFERROR(__xludf.DUMMYFUNCTION("""COMPUTED_VALUE"""),"https://drive.google.com/open?id=14s_s1TPKNFL8wI3hLRFX1yX5h55vjw7W")</f>
        <v>https://drive.google.com/open?id=14s_s1TPKNFL8wI3hLRFX1yX5h55vjw7W</v>
      </c>
      <c r="V293" s="10"/>
      <c r="W293" s="10"/>
      <c r="X293" s="10"/>
      <c r="Y293" s="14" t="str">
        <f>IFERROR(__xludf.DUMMYFUNCTION("""COMPUTED_VALUE"""),"mrizwangcu8@gmail.com")</f>
        <v>mrizwangcu8@gmail.com</v>
      </c>
      <c r="AA293" s="325">
        <v>1.0</v>
      </c>
    </row>
    <row r="294" hidden="1">
      <c r="A294" s="9">
        <f>IFERROR(__xludf.DUMMYFUNCTION("""COMPUTED_VALUE"""),45830.06272011574)</f>
        <v>45830.06272</v>
      </c>
      <c r="B294" s="10" t="str">
        <f>IFERROR(__xludf.DUMMYFUNCTION("""COMPUTED_VALUE"""),"M rizwan")</f>
        <v>M rizwan</v>
      </c>
      <c r="C294" s="10" t="str">
        <f>IFERROR(__xludf.DUMMYFUNCTION("""COMPUTED_VALUE"""),"03009485820")</f>
        <v>03009485820</v>
      </c>
      <c r="D294" s="10" t="str">
        <f>IFERROR(__xludf.DUMMYFUNCTION("""COMPUTED_VALUE"""),"Jamia masjid Shah Hussain Gujrat")</f>
        <v>Jamia masjid Shah Hussain Gujrat</v>
      </c>
      <c r="E294" s="10" t="str">
        <f>IFERROR(__xludf.DUMMYFUNCTION("""COMPUTED_VALUE"""),"ECKCL")</f>
        <v>ECKCL</v>
      </c>
      <c r="F294" s="10">
        <f>IFERROR(__xludf.DUMMYFUNCTION("""COMPUTED_VALUE"""),160.0)</f>
        <v>160</v>
      </c>
      <c r="G294" s="10">
        <f>IFERROR(__xludf.DUMMYFUNCTION("""COMPUTED_VALUE"""),7.0)</f>
        <v>7</v>
      </c>
      <c r="H294" s="10">
        <f>IFERROR(__xludf.DUMMYFUNCTION("""COMPUTED_VALUE"""),7.0)</f>
        <v>7</v>
      </c>
      <c r="I294" s="10">
        <f>IFERROR(__xludf.DUMMYFUNCTION("""COMPUTED_VALUE"""),0.0)</f>
        <v>0</v>
      </c>
      <c r="J294" s="10" t="str">
        <f>IFERROR(__xludf.DUMMYFUNCTION("""COMPUTED_VALUE"""),"0000")</f>
        <v>0000</v>
      </c>
      <c r="K294" s="10" t="str">
        <f>IFERROR(__xludf.DUMMYFUNCTION("""COMPUTED_VALUE"""),"No")</f>
        <v>No</v>
      </c>
      <c r="L294" s="10" t="str">
        <f>IFERROR(__xludf.DUMMYFUNCTION("""COMPUTED_VALUE"""),"Shah Hussain")</f>
        <v>Shah Hussain</v>
      </c>
      <c r="M294" s="10">
        <f>IFERROR(__xludf.DUMMYFUNCTION("""COMPUTED_VALUE"""),7.0)</f>
        <v>7</v>
      </c>
      <c r="N294" s="10" t="str">
        <f>IFERROR(__xludf.DUMMYFUNCTION("""COMPUTED_VALUE"""),"No")</f>
        <v>No</v>
      </c>
      <c r="O294" s="10"/>
      <c r="P294" s="10"/>
      <c r="Q294" s="10"/>
      <c r="R294" s="10"/>
      <c r="S294" s="10"/>
      <c r="T294" s="10"/>
      <c r="U294" s="18" t="str">
        <f>IFERROR(__xludf.DUMMYFUNCTION("""COMPUTED_VALUE"""),"https://drive.google.com/open?id=1kaK-kExn1qlzaEvTZFoNt0_dSj1PyxvC")</f>
        <v>https://drive.google.com/open?id=1kaK-kExn1qlzaEvTZFoNt0_dSj1PyxvC</v>
      </c>
      <c r="V294" s="10"/>
      <c r="W294" s="10"/>
      <c r="X294" s="10"/>
      <c r="Y294" s="14" t="str">
        <f>IFERROR(__xludf.DUMMYFUNCTION("""COMPUTED_VALUE"""),"mrizwangcu8@gmail.com")</f>
        <v>mrizwangcu8@gmail.com</v>
      </c>
      <c r="AA294" s="325">
        <v>5.0</v>
      </c>
    </row>
    <row r="295" hidden="1">
      <c r="A295" s="9">
        <f>IFERROR(__xludf.DUMMYFUNCTION("""COMPUTED_VALUE"""),45832.1315421412)</f>
        <v>45832.13154</v>
      </c>
      <c r="B295" s="10" t="str">
        <f>IFERROR(__xludf.DUMMYFUNCTION("""COMPUTED_VALUE"""),"M rizwan")</f>
        <v>M rizwan</v>
      </c>
      <c r="C295" s="10" t="str">
        <f>IFERROR(__xludf.DUMMYFUNCTION("""COMPUTED_VALUE"""),"03009485820")</f>
        <v>03009485820</v>
      </c>
      <c r="D295" s="10" t="str">
        <f>IFERROR(__xludf.DUMMYFUNCTION("""COMPUTED_VALUE"""),"Jamia Masjid Mian Karaam Bakhs Pani Wala Talaab Lahore")</f>
        <v>Jamia Masjid Mian Karaam Bakhs Pani Wala Talaab Lahore</v>
      </c>
      <c r="E295" s="10" t="str">
        <f>IFERROR(__xludf.DUMMYFUNCTION("""COMPUTED_VALUE"""),"kpwne")</f>
        <v>kpwne</v>
      </c>
      <c r="F295" s="10">
        <f>IFERROR(__xludf.DUMMYFUNCTION("""COMPUTED_VALUE"""),180.0)</f>
        <v>180</v>
      </c>
      <c r="G295" s="10">
        <f>IFERROR(__xludf.DUMMYFUNCTION("""COMPUTED_VALUE"""),7.0)</f>
        <v>7</v>
      </c>
      <c r="H295" s="10">
        <f>IFERROR(__xludf.DUMMYFUNCTION("""COMPUTED_VALUE"""),7.0)</f>
        <v>7</v>
      </c>
      <c r="I295" s="10">
        <f>IFERROR(__xludf.DUMMYFUNCTION("""COMPUTED_VALUE"""),1.0)</f>
        <v>1</v>
      </c>
      <c r="J295" s="10" t="str">
        <f>IFERROR(__xludf.DUMMYFUNCTION("""COMPUTED_VALUE"""),"0000")</f>
        <v>0000</v>
      </c>
      <c r="K295" s="10" t="str">
        <f>IFERROR(__xludf.DUMMYFUNCTION("""COMPUTED_VALUE"""),"No")</f>
        <v>No</v>
      </c>
      <c r="L295" s="10" t="str">
        <f>IFERROR(__xludf.DUMMYFUNCTION("""COMPUTED_VALUE"""),"no")</f>
        <v>no</v>
      </c>
      <c r="M295" s="10">
        <f>IFERROR(__xludf.DUMMYFUNCTION("""COMPUTED_VALUE"""),7.0)</f>
        <v>7</v>
      </c>
      <c r="N295" s="10" t="str">
        <f>IFERROR(__xludf.DUMMYFUNCTION("""COMPUTED_VALUE"""),"No")</f>
        <v>No</v>
      </c>
      <c r="O295" s="10"/>
      <c r="P295" s="10"/>
      <c r="Q295" s="10"/>
      <c r="R295" s="10"/>
      <c r="S295" s="10"/>
      <c r="T295" s="10"/>
      <c r="U295" s="18" t="str">
        <f>IFERROR(__xludf.DUMMYFUNCTION("""COMPUTED_VALUE"""),"https://drive.google.com/file/d/10t5dEi-iadyBUES3Xt9I0YDO3RreLvLn/view?usp=drive_link")</f>
        <v>https://drive.google.com/file/d/10t5dEi-iadyBUES3Xt9I0YDO3RreLvLn/view?usp=drive_link</v>
      </c>
      <c r="V295" s="10"/>
      <c r="W295" s="10"/>
      <c r="X295" s="10" t="str">
        <f>IFERROR(__xludf.DUMMYFUNCTION("""COMPUTED_VALUE"""),"Yes")</f>
        <v>Yes</v>
      </c>
      <c r="Y295" s="14" t="str">
        <f>IFERROR(__xludf.DUMMYFUNCTION("""COMPUTED_VALUE"""),"mrizwangcu8@gmail.com")</f>
        <v>mrizwangcu8@gmail.com</v>
      </c>
      <c r="AA295" s="325">
        <v>1.0</v>
      </c>
    </row>
    <row r="296" hidden="1">
      <c r="A296" s="9">
        <f>IFERROR(__xludf.DUMMYFUNCTION("""COMPUTED_VALUE"""),45832.140238865744)</f>
        <v>45832.14024</v>
      </c>
      <c r="B296" s="10" t="str">
        <f>IFERROR(__xludf.DUMMYFUNCTION("""COMPUTED_VALUE"""),"tanveer")</f>
        <v>tanveer</v>
      </c>
      <c r="C296" s="10">
        <f>IFERROR(__xludf.DUMMYFUNCTION("""COMPUTED_VALUE"""),3.095906728E9)</f>
        <v>3095906728</v>
      </c>
      <c r="D296" s="10" t="str">
        <f>IFERROR(__xludf.DUMMYFUNCTION("""COMPUTED_VALUE"""),"Jamia Masjid Darbar Shiekh Ahmad Wali Gujrat")</f>
        <v>Jamia Masjid Darbar Shiekh Ahmad Wali Gujrat</v>
      </c>
      <c r="E296" s="10" t="str">
        <f>IFERROR(__xludf.DUMMYFUNCTION("""COMPUTED_VALUE"""),"PGPQM")</f>
        <v>PGPQM</v>
      </c>
      <c r="F296" s="10">
        <f>IFERROR(__xludf.DUMMYFUNCTION("""COMPUTED_VALUE"""),250.0)</f>
        <v>250</v>
      </c>
      <c r="G296" s="10">
        <f>IFERROR(__xludf.DUMMYFUNCTION("""COMPUTED_VALUE"""),6.0)</f>
        <v>6</v>
      </c>
      <c r="H296" s="10">
        <f>IFERROR(__xludf.DUMMYFUNCTION("""COMPUTED_VALUE"""),6.0)</f>
        <v>6</v>
      </c>
      <c r="I296" s="10">
        <f>IFERROR(__xludf.DUMMYFUNCTION("""COMPUTED_VALUE"""),1.0)</f>
        <v>1</v>
      </c>
      <c r="J296" s="10" t="str">
        <f>IFERROR(__xludf.DUMMYFUNCTION("""COMPUTED_VALUE"""),"0000")</f>
        <v>0000</v>
      </c>
      <c r="K296" s="10" t="str">
        <f>IFERROR(__xludf.DUMMYFUNCTION("""COMPUTED_VALUE"""),"No")</f>
        <v>No</v>
      </c>
      <c r="L296" s="10" t="str">
        <f>IFERROR(__xludf.DUMMYFUNCTION("""COMPUTED_VALUE"""),"Shiekh Ahmad Wali")</f>
        <v>Shiekh Ahmad Wali</v>
      </c>
      <c r="M296" s="10">
        <f>IFERROR(__xludf.DUMMYFUNCTION("""COMPUTED_VALUE"""),7.0)</f>
        <v>7</v>
      </c>
      <c r="N296" s="10" t="str">
        <f>IFERROR(__xludf.DUMMYFUNCTION("""COMPUTED_VALUE"""),"Yes")</f>
        <v>Yes</v>
      </c>
      <c r="O296" s="323">
        <f>IFERROR(__xludf.DUMMYFUNCTION("""COMPUTED_VALUE"""),0.7)</f>
        <v>0.7</v>
      </c>
      <c r="P296" s="10">
        <f>IFERROR(__xludf.DUMMYFUNCTION("""COMPUTED_VALUE"""),7.0)</f>
        <v>7</v>
      </c>
      <c r="Q296" s="10">
        <f>IFERROR(__xludf.DUMMYFUNCTION("""COMPUTED_VALUE"""),2.0)</f>
        <v>2</v>
      </c>
      <c r="R296" s="10">
        <f>IFERROR(__xludf.DUMMYFUNCTION("""COMPUTED_VALUE"""),8.0)</f>
        <v>8</v>
      </c>
      <c r="S296" s="10"/>
      <c r="T296" s="10"/>
      <c r="U296" s="18" t="str">
        <f>IFERROR(__xludf.DUMMYFUNCTION("""COMPUTED_VALUE"""),"https://drive.google.com/open?id=1zNoMyQ767m3IYnKiqrKG34M7bddNuKOG")</f>
        <v>https://drive.google.com/open?id=1zNoMyQ767m3IYnKiqrKG34M7bddNuKOG</v>
      </c>
      <c r="V296" s="10"/>
      <c r="W296" s="10"/>
      <c r="X296" s="10" t="str">
        <f>IFERROR(__xludf.DUMMYFUNCTION("""COMPUTED_VALUE"""),"Yes")</f>
        <v>Yes</v>
      </c>
      <c r="Y296" s="14" t="str">
        <f>IFERROR(__xludf.DUMMYFUNCTION("""COMPUTED_VALUE"""),"mrizwangcu8@gmail.com")</f>
        <v>mrizwangcu8@gmail.com</v>
      </c>
      <c r="AA296" s="325">
        <v>2.0</v>
      </c>
    </row>
    <row r="297" hidden="1">
      <c r="A297" s="9">
        <f>IFERROR(__xludf.DUMMYFUNCTION("""COMPUTED_VALUE"""),45836.138403969904)</f>
        <v>45836.1384</v>
      </c>
      <c r="B297" s="10" t="str">
        <f>IFERROR(__xludf.DUMMYFUNCTION("""COMPUTED_VALUE"""),"M Rizwan")</f>
        <v>M Rizwan</v>
      </c>
      <c r="C297" s="10" t="str">
        <f>IFERROR(__xludf.DUMMYFUNCTION("""COMPUTED_VALUE"""),"03009485820")</f>
        <v>03009485820</v>
      </c>
      <c r="D297" s="10" t="str">
        <f>IFERROR(__xludf.DUMMYFUNCTION("""COMPUTED_VALUE"""),"jamaia masjid Boty Shah")</f>
        <v>jamaia masjid Boty Shah</v>
      </c>
      <c r="E297" s="10" t="str">
        <f>IFERROR(__xludf.DUMMYFUNCTION("""COMPUTED_VALUE"""),"BJLNR")</f>
        <v>BJLNR</v>
      </c>
      <c r="F297" s="10">
        <f>IFERROR(__xludf.DUMMYFUNCTION("""COMPUTED_VALUE"""),200.0)</f>
        <v>200</v>
      </c>
      <c r="G297" s="10">
        <f>IFERROR(__xludf.DUMMYFUNCTION("""COMPUTED_VALUE"""),7.0)</f>
        <v>7</v>
      </c>
      <c r="H297" s="10">
        <f>IFERROR(__xludf.DUMMYFUNCTION("""COMPUTED_VALUE"""),6.0)</f>
        <v>6</v>
      </c>
      <c r="I297" s="10">
        <f>IFERROR(__xludf.DUMMYFUNCTION("""COMPUTED_VALUE"""),1.0)</f>
        <v>1</v>
      </c>
      <c r="J297" s="10" t="str">
        <f>IFERROR(__xludf.DUMMYFUNCTION("""COMPUTED_VALUE"""),"00")</f>
        <v>00</v>
      </c>
      <c r="K297" s="10" t="str">
        <f>IFERROR(__xludf.DUMMYFUNCTION("""COMPUTED_VALUE"""),"No")</f>
        <v>No</v>
      </c>
      <c r="L297" s="10" t="str">
        <f>IFERROR(__xludf.DUMMYFUNCTION("""COMPUTED_VALUE"""),"Boty Shah")</f>
        <v>Boty Shah</v>
      </c>
      <c r="M297" s="10">
        <f>IFERROR(__xludf.DUMMYFUNCTION("""COMPUTED_VALUE"""),8.0)</f>
        <v>8</v>
      </c>
      <c r="N297" s="10" t="str">
        <f>IFERROR(__xludf.DUMMYFUNCTION("""COMPUTED_VALUE"""),"Yes")</f>
        <v>Yes</v>
      </c>
      <c r="O297" s="323">
        <f>IFERROR(__xludf.DUMMYFUNCTION("""COMPUTED_VALUE"""),0.9)</f>
        <v>0.9</v>
      </c>
      <c r="P297" s="10">
        <f>IFERROR(__xludf.DUMMYFUNCTION("""COMPUTED_VALUE"""),7.0)</f>
        <v>7</v>
      </c>
      <c r="Q297" s="10">
        <f>IFERROR(__xludf.DUMMYFUNCTION("""COMPUTED_VALUE"""),2.0)</f>
        <v>2</v>
      </c>
      <c r="R297" s="10">
        <f>IFERROR(__xludf.DUMMYFUNCTION("""COMPUTED_VALUE"""),8.0)</f>
        <v>8</v>
      </c>
      <c r="S297" s="10"/>
      <c r="T297" s="10"/>
      <c r="U297" s="18" t="str">
        <f>IFERROR(__xludf.DUMMYFUNCTION("""COMPUTED_VALUE"""),"https://drive.google.com/open?id=1GEoarcABVUWbWhJsEc7r7EAERUkbw0oV")</f>
        <v>https://drive.google.com/open?id=1GEoarcABVUWbWhJsEc7r7EAERUkbw0oV</v>
      </c>
      <c r="V297" s="10"/>
      <c r="W297" s="10"/>
      <c r="X297" s="10" t="str">
        <f>IFERROR(__xludf.DUMMYFUNCTION("""COMPUTED_VALUE"""),"Yes")</f>
        <v>Yes</v>
      </c>
      <c r="Y297" s="14" t="str">
        <f>IFERROR(__xludf.DUMMYFUNCTION("""COMPUTED_VALUE"""),"mrizwangcu8@gmail.com")</f>
        <v>mrizwangcu8@gmail.com</v>
      </c>
      <c r="AA297" s="325">
        <v>1.0</v>
      </c>
    </row>
    <row r="298" hidden="1">
      <c r="A298" s="9">
        <f>IFERROR(__xludf.DUMMYFUNCTION("""COMPUTED_VALUE"""),45845.118401134256)</f>
        <v>45845.1184</v>
      </c>
      <c r="B298" s="10" t="str">
        <f>IFERROR(__xludf.DUMMYFUNCTION("""COMPUTED_VALUE"""),"Adil")</f>
        <v>Adil</v>
      </c>
      <c r="C298" s="10" t="str">
        <f>IFERROR(__xludf.DUMMYFUNCTION("""COMPUTED_VALUE"""),"03354680867")</f>
        <v>03354680867</v>
      </c>
      <c r="D298" s="10" t="str">
        <f>IFERROR(__xludf.DUMMYFUNCTION("""COMPUTED_VALUE"""),"John")</f>
        <v>John</v>
      </c>
      <c r="E298" s="10" t="str">
        <f>IFERROR(__xludf.DUMMYFUNCTION("""COMPUTED_VALUE"""),"John")</f>
        <v>John</v>
      </c>
      <c r="F298" s="10">
        <f>IFERROR(__xludf.DUMMYFUNCTION("""COMPUTED_VALUE"""),235.0)</f>
        <v>235</v>
      </c>
      <c r="G298" s="10">
        <f>IFERROR(__xludf.DUMMYFUNCTION("""COMPUTED_VALUE"""),10.0)</f>
        <v>10</v>
      </c>
      <c r="H298" s="10">
        <f>IFERROR(__xludf.DUMMYFUNCTION("""COMPUTED_VALUE"""),10.0)</f>
        <v>10</v>
      </c>
      <c r="I298" s="10">
        <f>IFERROR(__xludf.DUMMYFUNCTION("""COMPUTED_VALUE"""),3.0)</f>
        <v>3</v>
      </c>
      <c r="J298" s="10"/>
      <c r="K298" s="10"/>
      <c r="L298" s="10"/>
      <c r="M298" s="10">
        <f>IFERROR(__xludf.DUMMYFUNCTION("""COMPUTED_VALUE"""),10.0)</f>
        <v>10</v>
      </c>
      <c r="N298" s="10"/>
      <c r="O298" s="10"/>
      <c r="P298" s="10"/>
      <c r="Q298" s="10"/>
      <c r="R298" s="10"/>
      <c r="S298" s="10"/>
      <c r="T298" s="10"/>
      <c r="U298" s="18" t="str">
        <f>IFERROR(__xludf.DUMMYFUNCTION("""COMPUTED_VALUE"""),"https://drive.google.com/open?id=1R3EIcbuYJRLM6AX-C07JJ2m2D0QN9RqS")</f>
        <v>https://drive.google.com/open?id=1R3EIcbuYJRLM6AX-C07JJ2m2D0QN9RqS</v>
      </c>
      <c r="V298" s="10"/>
      <c r="W298" s="10"/>
      <c r="X298" s="10"/>
      <c r="Y298" s="14" t="str">
        <f>IFERROR(__xludf.DUMMYFUNCTION("""COMPUTED_VALUE"""),"madilahsan@gmail.com")</f>
        <v>madilahsan@gmail.com</v>
      </c>
      <c r="AA298" s="324"/>
    </row>
    <row r="299" hidden="1">
      <c r="A299" s="9">
        <f>IFERROR(__xludf.DUMMYFUNCTION("""COMPUTED_VALUE"""),45863.1920090162)</f>
        <v>45863.19201</v>
      </c>
      <c r="B299" s="10" t="str">
        <f>IFERROR(__xludf.DUMMYFUNCTION("""COMPUTED_VALUE"""),"محمد فرقان")</f>
        <v>محمد فرقان</v>
      </c>
      <c r="C299" s="10" t="str">
        <f>IFERROR(__xludf.DUMMYFUNCTION("""COMPUTED_VALUE"""),"03017909295")</f>
        <v>03017909295</v>
      </c>
      <c r="D299" s="10" t="str">
        <f>IFERROR(__xludf.DUMMYFUNCTION("""COMPUTED_VALUE"""),"جامع مسجد سلطان احمد قتال جلالپور پیروالا")</f>
        <v>جامع مسجد سلطان احمد قتال جلالپور پیروالا</v>
      </c>
      <c r="E299" s="10" t="str">
        <f>IFERROR(__xludf.DUMMYFUNCTION("""COMPUTED_VALUE"""),"این ڈی ایس این کیو")</f>
        <v>این ڈی ایس این کیو</v>
      </c>
      <c r="F299" s="10">
        <f>IFERROR(__xludf.DUMMYFUNCTION("""COMPUTED_VALUE"""),413.0)</f>
        <v>413</v>
      </c>
      <c r="G299" s="10">
        <f>IFERROR(__xludf.DUMMYFUNCTION("""COMPUTED_VALUE"""),7.0)</f>
        <v>7</v>
      </c>
      <c r="H299" s="10">
        <f>IFERROR(__xludf.DUMMYFUNCTION("""COMPUTED_VALUE"""),6.0)</f>
        <v>6</v>
      </c>
      <c r="I299" s="10">
        <f>IFERROR(__xludf.DUMMYFUNCTION("""COMPUTED_VALUE"""),3.0)</f>
        <v>3</v>
      </c>
      <c r="J299" s="10"/>
      <c r="K299" s="10"/>
      <c r="L299" s="10"/>
      <c r="M299" s="10">
        <f>IFERROR(__xludf.DUMMYFUNCTION("""COMPUTED_VALUE"""),6.0)</f>
        <v>6</v>
      </c>
      <c r="N299" s="10"/>
      <c r="O299" s="10"/>
      <c r="P299" s="10"/>
      <c r="Q299" s="10"/>
      <c r="R299" s="10"/>
      <c r="S299" s="10"/>
      <c r="T299" s="10"/>
      <c r="U299" s="18" t="str">
        <f>IFERROR(__xludf.DUMMYFUNCTION("""COMPUTED_VALUE"""),"https://drive.google.com/open?id=1V8XCJIb7728hAFJtsFTAd1rkFqkCL-pE")</f>
        <v>https://drive.google.com/open?id=1V8XCJIb7728hAFJtsFTAd1rkFqkCL-pE</v>
      </c>
      <c r="V299" s="10" t="str">
        <f>IFERROR(__xludf.DUMMYFUNCTION("""COMPUTED_VALUE"""),"کوئی نہیں")</f>
        <v>کوئی نہیں</v>
      </c>
      <c r="W299" s="10"/>
      <c r="X299" s="10"/>
      <c r="Y299" s="14" t="str">
        <f>IFERROR(__xludf.DUMMYFUNCTION("""COMPUTED_VALUE"""),"bhattimazaan@gmail.com")</f>
        <v>bhattimazaan@gmail.com</v>
      </c>
      <c r="AA299" s="324"/>
    </row>
    <row r="300" hidden="1">
      <c r="A300" s="9">
        <f>IFERROR(__xludf.DUMMYFUNCTION("""COMPUTED_VALUE"""),45863.2124615162)</f>
        <v>45863.21246</v>
      </c>
      <c r="B300" s="10" t="str">
        <f>IFERROR(__xludf.DUMMYFUNCTION("""COMPUTED_VALUE"""),"Rao Aftab ")</f>
        <v>Rao Aftab </v>
      </c>
      <c r="C300" s="10" t="str">
        <f>IFERROR(__xludf.DUMMYFUNCTION("""COMPUTED_VALUE"""),"03027410445")</f>
        <v>03027410445</v>
      </c>
      <c r="D300" s="10" t="str">
        <f>IFERROR(__xludf.DUMMYFUNCTION("""COMPUTED_VALUE"""),"Jamia masjid gul din")</f>
        <v>Jamia masjid gul din</v>
      </c>
      <c r="E300" s="10" t="str">
        <f>IFERROR(__xludf.DUMMYFUNCTION("""COMPUTED_VALUE"""),"LVYEA")</f>
        <v>LVYEA</v>
      </c>
      <c r="F300" s="10">
        <f>IFERROR(__xludf.DUMMYFUNCTION("""COMPUTED_VALUE"""),140.0)</f>
        <v>140</v>
      </c>
      <c r="G300" s="10">
        <f>IFERROR(__xludf.DUMMYFUNCTION("""COMPUTED_VALUE"""),10.0)</f>
        <v>10</v>
      </c>
      <c r="H300" s="10">
        <f>IFERROR(__xludf.DUMMYFUNCTION("""COMPUTED_VALUE"""),10.0)</f>
        <v>10</v>
      </c>
      <c r="I300" s="10">
        <f>IFERROR(__xludf.DUMMYFUNCTION("""COMPUTED_VALUE"""),0.0)</f>
        <v>0</v>
      </c>
      <c r="J300" s="10"/>
      <c r="K300" s="10"/>
      <c r="L300" s="10"/>
      <c r="M300" s="10">
        <f>IFERROR(__xludf.DUMMYFUNCTION("""COMPUTED_VALUE"""),8.0)</f>
        <v>8</v>
      </c>
      <c r="N300" s="10"/>
      <c r="O300" s="10"/>
      <c r="P300" s="10"/>
      <c r="Q300" s="10"/>
      <c r="R300" s="10"/>
      <c r="S300" s="10"/>
      <c r="T300" s="10"/>
      <c r="U300" s="18" t="str">
        <f>IFERROR(__xludf.DUMMYFUNCTION("""COMPUTED_VALUE"""),"https://drive.google.com/file/d/12HIqKnIa7SPh8kcm8kyqaYNtxJpU_Rtk/view?usp=drive_link")</f>
        <v>https://drive.google.com/file/d/12HIqKnIa7SPh8kcm8kyqaYNtxJpU_Rtk/view?usp=drive_link</v>
      </c>
      <c r="V300" s="10" t="str">
        <f>IFERROR(__xludf.DUMMYFUNCTION("""COMPUTED_VALUE"""),"Last five minutes m loud speaker ki awaz kam hogai thi")</f>
        <v>Last five minutes m loud speaker ki awaz kam hogai thi</v>
      </c>
      <c r="W300" s="10"/>
      <c r="X300" s="10"/>
      <c r="Y300" s="14" t="str">
        <f>IFERROR(__xludf.DUMMYFUNCTION("""COMPUTED_VALUE"""),"rao.m.aftab@gmail.com")</f>
        <v>rao.m.aftab@gmail.com</v>
      </c>
      <c r="AA300" s="324"/>
    </row>
    <row r="301" hidden="1">
      <c r="A301" s="9">
        <f>IFERROR(__xludf.DUMMYFUNCTION("""COMPUTED_VALUE"""),45863.21320707176)</f>
        <v>45863.21321</v>
      </c>
      <c r="B301" s="10" t="str">
        <f>IFERROR(__xludf.DUMMYFUNCTION("""COMPUTED_VALUE"""),"Qurban Ali Anjum")</f>
        <v>Qurban Ali Anjum</v>
      </c>
      <c r="C301" s="10" t="str">
        <f>IFERROR(__xludf.DUMMYFUNCTION("""COMPUTED_VALUE"""),"03009162205")</f>
        <v>03009162205</v>
      </c>
      <c r="D301" s="10" t="str">
        <f>IFERROR(__xludf.DUMMYFUNCTION("""COMPUTED_VALUE"""),"Jamia Masjid Ghalla Mandi Bahawalnagar")</f>
        <v>Jamia Masjid Ghalla Mandi Bahawalnagar</v>
      </c>
      <c r="E301" s="10" t="str">
        <f>IFERROR(__xludf.DUMMYFUNCTION("""COMPUTED_VALUE"""),"YOKQU")</f>
        <v>YOKQU</v>
      </c>
      <c r="F301" s="10">
        <f>IFERROR(__xludf.DUMMYFUNCTION("""COMPUTED_VALUE"""),244.0)</f>
        <v>244</v>
      </c>
      <c r="G301" s="10">
        <f>IFERROR(__xludf.DUMMYFUNCTION("""COMPUTED_VALUE"""),8.0)</f>
        <v>8</v>
      </c>
      <c r="H301" s="10">
        <f>IFERROR(__xludf.DUMMYFUNCTION("""COMPUTED_VALUE"""),8.0)</f>
        <v>8</v>
      </c>
      <c r="I301" s="10">
        <f>IFERROR(__xludf.DUMMYFUNCTION("""COMPUTED_VALUE"""),1.0)</f>
        <v>1</v>
      </c>
      <c r="J301" s="10"/>
      <c r="K301" s="10"/>
      <c r="L301" s="10"/>
      <c r="M301" s="10">
        <f>IFERROR(__xludf.DUMMYFUNCTION("""COMPUTED_VALUE"""),9.0)</f>
        <v>9</v>
      </c>
      <c r="N301" s="10"/>
      <c r="O301" s="10"/>
      <c r="P301" s="10"/>
      <c r="Q301" s="10"/>
      <c r="R301" s="10"/>
      <c r="S301" s="10"/>
      <c r="T301" s="10"/>
      <c r="U301" s="18" t="str">
        <f>IFERROR(__xludf.DUMMYFUNCTION("""COMPUTED_VALUE"""),"https://drive.google.com/open?id=1b-qZlkWgxjdta7JgOSTlSfyC3SwZdfdo")</f>
        <v>https://drive.google.com/open?id=1b-qZlkWgxjdta7JgOSTlSfyC3SwZdfdo</v>
      </c>
      <c r="V301" s="10"/>
      <c r="W301" s="10"/>
      <c r="X301" s="10"/>
      <c r="Y301" s="14" t="str">
        <f>IFERROR(__xludf.DUMMYFUNCTION("""COMPUTED_VALUE"""),"qurbananjum65@gmail.com")</f>
        <v>qurbananjum65@gmail.com</v>
      </c>
      <c r="AA301" s="324"/>
    </row>
    <row r="302" hidden="1">
      <c r="A302" s="9">
        <f>IFERROR(__xludf.DUMMYFUNCTION("""COMPUTED_VALUE"""),45863.214527766206)</f>
        <v>45863.21453</v>
      </c>
      <c r="B302" s="10" t="str">
        <f>IFERROR(__xludf.DUMMYFUNCTION("""COMPUTED_VALUE"""),"Sajjad Hussain ")</f>
        <v>Sajjad Hussain </v>
      </c>
      <c r="C302" s="10" t="str">
        <f>IFERROR(__xludf.DUMMYFUNCTION("""COMPUTED_VALUE"""),"03013720843")</f>
        <v>03013720843</v>
      </c>
      <c r="D302" s="10" t="str">
        <f>IFERROR(__xludf.DUMMYFUNCTION("""COMPUTED_VALUE"""),"Jamia masjid ghawajagaan Multan ")</f>
        <v>Jamia masjid ghawajagaan Multan </v>
      </c>
      <c r="E302" s="10" t="str">
        <f>IFERROR(__xludf.DUMMYFUNCTION("""COMPUTED_VALUE"""),"CFHON")</f>
        <v>CFHON</v>
      </c>
      <c r="F302" s="10">
        <f>IFERROR(__xludf.DUMMYFUNCTION("""COMPUTED_VALUE"""),38.0)</f>
        <v>38</v>
      </c>
      <c r="G302" s="10">
        <f>IFERROR(__xludf.DUMMYFUNCTION("""COMPUTED_VALUE"""),4.0)</f>
        <v>4</v>
      </c>
      <c r="H302" s="10">
        <f>IFERROR(__xludf.DUMMYFUNCTION("""COMPUTED_VALUE"""),6.0)</f>
        <v>6</v>
      </c>
      <c r="I302" s="10">
        <f>IFERROR(__xludf.DUMMYFUNCTION("""COMPUTED_VALUE"""),2.0)</f>
        <v>2</v>
      </c>
      <c r="J302" s="10"/>
      <c r="K302" s="10"/>
      <c r="L302" s="10"/>
      <c r="M302" s="10">
        <f>IFERROR(__xludf.DUMMYFUNCTION("""COMPUTED_VALUE"""),8.0)</f>
        <v>8</v>
      </c>
      <c r="N302" s="10"/>
      <c r="O302" s="10"/>
      <c r="P302" s="10"/>
      <c r="Q302" s="10"/>
      <c r="R302" s="10"/>
      <c r="S302" s="10"/>
      <c r="T302" s="10"/>
      <c r="U302" s="18" t="str">
        <f>IFERROR(__xludf.DUMMYFUNCTION("""COMPUTED_VALUE"""),"https://drive.google.com/open?id=1Dq5zHiFBbfz7DSVqOC_9MV48iHjfoCya")</f>
        <v>https://drive.google.com/open?id=1Dq5zHiFBbfz7DSVqOC_9MV48iHjfoCya</v>
      </c>
      <c r="V302" s="10"/>
      <c r="W302" s="10"/>
      <c r="X302" s="10"/>
      <c r="Y302" s="14" t="str">
        <f>IFERROR(__xludf.DUMMYFUNCTION("""COMPUTED_VALUE"""),"sajjadhussainh786@gmail.com")</f>
        <v>sajjadhussainh786@gmail.com</v>
      </c>
      <c r="AA302" s="324"/>
    </row>
    <row r="303" hidden="1">
      <c r="A303" s="9">
        <f>IFERROR(__xludf.DUMMYFUNCTION("""COMPUTED_VALUE"""),45863.2149649537)</f>
        <v>45863.21496</v>
      </c>
      <c r="B303" s="10" t="str">
        <f>IFERROR(__xludf.DUMMYFUNCTION("""COMPUTED_VALUE"""),"Mubashir Aleem ")</f>
        <v>Mubashir Aleem </v>
      </c>
      <c r="C303" s="10" t="str">
        <f>IFERROR(__xludf.DUMMYFUNCTION("""COMPUTED_VALUE"""),"03355555543")</f>
        <v>03355555543</v>
      </c>
      <c r="D303" s="10" t="str">
        <f>IFERROR(__xludf.DUMMYFUNCTION("""COMPUTED_VALUE"""),"Jamia masjid Gul Hassan ")</f>
        <v>Jamia masjid Gul Hassan </v>
      </c>
      <c r="E303" s="10" t="str">
        <f>IFERROR(__xludf.DUMMYFUNCTION("""COMPUTED_VALUE"""),"FXLBT")</f>
        <v>FXLBT</v>
      </c>
      <c r="F303" s="10">
        <f>IFERROR(__xludf.DUMMYFUNCTION("""COMPUTED_VALUE"""),140.0)</f>
        <v>140</v>
      </c>
      <c r="G303" s="10">
        <f>IFERROR(__xludf.DUMMYFUNCTION("""COMPUTED_VALUE"""),10.0)</f>
        <v>10</v>
      </c>
      <c r="H303" s="10">
        <f>IFERROR(__xludf.DUMMYFUNCTION("""COMPUTED_VALUE"""),10.0)</f>
        <v>10</v>
      </c>
      <c r="I303" s="10">
        <f>IFERROR(__xludf.DUMMYFUNCTION("""COMPUTED_VALUE"""),0.0)</f>
        <v>0</v>
      </c>
      <c r="J303" s="10"/>
      <c r="K303" s="10"/>
      <c r="L303" s="10"/>
      <c r="M303" s="10">
        <f>IFERROR(__xludf.DUMMYFUNCTION("""COMPUTED_VALUE"""),9.0)</f>
        <v>9</v>
      </c>
      <c r="N303" s="10"/>
      <c r="O303" s="10"/>
      <c r="P303" s="10"/>
      <c r="Q303" s="10"/>
      <c r="R303" s="10"/>
      <c r="S303" s="10"/>
      <c r="T303" s="10"/>
      <c r="U303" s="18" t="str">
        <f>IFERROR(__xludf.DUMMYFUNCTION("""COMPUTED_VALUE"""),"https://drive.google.com/open?id=1xXoSE-wqhVuPUlokjS9lc_SzAnwNokpb")</f>
        <v>https://drive.google.com/open?id=1xXoSE-wqhVuPUlokjS9lc_SzAnwNokpb</v>
      </c>
      <c r="V303" s="10" t="str">
        <f>IFERROR(__xludf.DUMMYFUNCTION("""COMPUTED_VALUE"""),"Biyan late start howa ")</f>
        <v>Biyan late start howa </v>
      </c>
      <c r="W303" s="10"/>
      <c r="X303" s="10"/>
      <c r="Y303" s="14" t="str">
        <f>IFERROR(__xludf.DUMMYFUNCTION("""COMPUTED_VALUE"""),"maleem699@gmail.com")</f>
        <v>maleem699@gmail.com</v>
      </c>
      <c r="AA303" s="324"/>
    </row>
    <row r="304" hidden="1">
      <c r="A304" s="9">
        <f>IFERROR(__xludf.DUMMYFUNCTION("""COMPUTED_VALUE"""),45863.21576114584)</f>
        <v>45863.21576</v>
      </c>
      <c r="B304" s="10" t="str">
        <f>IFERROR(__xludf.DUMMYFUNCTION("""COMPUTED_VALUE"""),"Amir manzoor ")</f>
        <v>Amir manzoor </v>
      </c>
      <c r="C304" s="10" t="str">
        <f>IFERROR(__xludf.DUMMYFUNCTION("""COMPUTED_VALUE"""),"03045969137")</f>
        <v>03045969137</v>
      </c>
      <c r="D304" s="10" t="str">
        <f>IFERROR(__xludf.DUMMYFUNCTION("""COMPUTED_VALUE"""),"Masjid Neel garan")</f>
        <v>Masjid Neel garan</v>
      </c>
      <c r="E304" s="10" t="str">
        <f>IFERROR(__xludf.DUMMYFUNCTION("""COMPUTED_VALUE"""),"HJRMQ")</f>
        <v>HJRMQ</v>
      </c>
      <c r="F304" s="10">
        <f>IFERROR(__xludf.DUMMYFUNCTION("""COMPUTED_VALUE"""),59.0)</f>
        <v>59</v>
      </c>
      <c r="G304" s="10">
        <f>IFERROR(__xludf.DUMMYFUNCTION("""COMPUTED_VALUE"""),7.0)</f>
        <v>7</v>
      </c>
      <c r="H304" s="10">
        <f>IFERROR(__xludf.DUMMYFUNCTION("""COMPUTED_VALUE"""),7.0)</f>
        <v>7</v>
      </c>
      <c r="I304" s="10">
        <f>IFERROR(__xludf.DUMMYFUNCTION("""COMPUTED_VALUE"""),3.0)</f>
        <v>3</v>
      </c>
      <c r="J304" s="10"/>
      <c r="K304" s="10"/>
      <c r="L304" s="10"/>
      <c r="M304" s="10">
        <f>IFERROR(__xludf.DUMMYFUNCTION("""COMPUTED_VALUE"""),8.0)</f>
        <v>8</v>
      </c>
      <c r="N304" s="10"/>
      <c r="O304" s="10"/>
      <c r="P304" s="10"/>
      <c r="Q304" s="10"/>
      <c r="R304" s="10"/>
      <c r="S304" s="10"/>
      <c r="T304" s="10"/>
      <c r="U304" s="18" t="str">
        <f>IFERROR(__xludf.DUMMYFUNCTION("""COMPUTED_VALUE"""),"https://drive.google.com/open?id=17sz1LOkJ7tGXA0DNsIUuYyZEAY4qenBD")</f>
        <v>https://drive.google.com/open?id=17sz1LOkJ7tGXA0DNsIUuYyZEAY4qenBD</v>
      </c>
      <c r="V304" s="10"/>
      <c r="W304" s="10"/>
      <c r="X304" s="10"/>
      <c r="Y304" s="14" t="str">
        <f>IFERROR(__xludf.DUMMYFUNCTION("""COMPUTED_VALUE"""),"am6060648@gmail.com")</f>
        <v>am6060648@gmail.com</v>
      </c>
      <c r="AA304" s="324"/>
    </row>
    <row r="305" hidden="1">
      <c r="A305" s="9">
        <f>IFERROR(__xludf.DUMMYFUNCTION("""COMPUTED_VALUE"""),45863.22183384259)</f>
        <v>45863.22183</v>
      </c>
      <c r="B305" s="10" t="str">
        <f>IFERROR(__xludf.DUMMYFUNCTION("""COMPUTED_VALUE"""),"Amir manzoor ")</f>
        <v>Amir manzoor </v>
      </c>
      <c r="C305" s="10" t="str">
        <f>IFERROR(__xludf.DUMMYFUNCTION("""COMPUTED_VALUE"""),"03045969137")</f>
        <v>03045969137</v>
      </c>
      <c r="D305" s="10" t="str">
        <f>IFERROR(__xludf.DUMMYFUNCTION("""COMPUTED_VALUE"""),"Masjid Neel garan ")</f>
        <v>Masjid Neel garan </v>
      </c>
      <c r="E305" s="10" t="str">
        <f>IFERROR(__xludf.DUMMYFUNCTION("""COMPUTED_VALUE"""),"HJRMQ ")</f>
        <v>HJRMQ </v>
      </c>
      <c r="F305" s="10">
        <f>IFERROR(__xludf.DUMMYFUNCTION("""COMPUTED_VALUE"""),59.0)</f>
        <v>59</v>
      </c>
      <c r="G305" s="10">
        <f>IFERROR(__xludf.DUMMYFUNCTION("""COMPUTED_VALUE"""),7.0)</f>
        <v>7</v>
      </c>
      <c r="H305" s="10">
        <f>IFERROR(__xludf.DUMMYFUNCTION("""COMPUTED_VALUE"""),7.0)</f>
        <v>7</v>
      </c>
      <c r="I305" s="10">
        <f>IFERROR(__xludf.DUMMYFUNCTION("""COMPUTED_VALUE"""),3.0)</f>
        <v>3</v>
      </c>
      <c r="J305" s="10"/>
      <c r="K305" s="10"/>
      <c r="L305" s="10"/>
      <c r="M305" s="10">
        <f>IFERROR(__xludf.DUMMYFUNCTION("""COMPUTED_VALUE"""),8.0)</f>
        <v>8</v>
      </c>
      <c r="N305" s="10"/>
      <c r="O305" s="10"/>
      <c r="P305" s="10"/>
      <c r="Q305" s="10"/>
      <c r="R305" s="10"/>
      <c r="S305" s="10"/>
      <c r="T305" s="10"/>
      <c r="U305" s="18" t="str">
        <f>IFERROR(__xludf.DUMMYFUNCTION("""COMPUTED_VALUE"""),"https://drive.google.com/open?id=1vIgR9LHFS9wCCCljPdwpcKt4sLEsVI4M")</f>
        <v>https://drive.google.com/open?id=1vIgR9LHFS9wCCCljPdwpcKt4sLEsVI4M</v>
      </c>
      <c r="V305" s="10"/>
      <c r="W305" s="10"/>
      <c r="X305" s="10"/>
      <c r="Y305" s="14" t="str">
        <f>IFERROR(__xludf.DUMMYFUNCTION("""COMPUTED_VALUE"""),"am6060648@gmail.com")</f>
        <v>am6060648@gmail.com</v>
      </c>
      <c r="AA305" s="324"/>
    </row>
    <row r="306" hidden="1">
      <c r="A306" s="9">
        <f>IFERROR(__xludf.DUMMYFUNCTION("""COMPUTED_VALUE"""),45863.22383765047)</f>
        <v>45863.22384</v>
      </c>
      <c r="B306" s="10" t="str">
        <f>IFERROR(__xludf.DUMMYFUNCTION("""COMPUTED_VALUE"""),"علی اکبر")</f>
        <v>علی اکبر</v>
      </c>
      <c r="C306" s="10" t="str">
        <f>IFERROR(__xludf.DUMMYFUNCTION("""COMPUTED_VALUE"""),"03079438048")</f>
        <v>03079438048</v>
      </c>
      <c r="D306" s="10" t="str">
        <f>IFERROR(__xludf.DUMMYFUNCTION("""COMPUTED_VALUE"""),"مرکزی جامع مسجد چشتیاں ")</f>
        <v>مرکزی جامع مسجد چشتیاں </v>
      </c>
      <c r="E306" s="10" t="str">
        <f>IFERROR(__xludf.DUMMYFUNCTION("""COMPUTED_VALUE"""),"YBTBU")</f>
        <v>YBTBU</v>
      </c>
      <c r="F306" s="10">
        <f>IFERROR(__xludf.DUMMYFUNCTION("""COMPUTED_VALUE"""),874.0)</f>
        <v>874</v>
      </c>
      <c r="G306" s="10">
        <f>IFERROR(__xludf.DUMMYFUNCTION("""COMPUTED_VALUE"""),9.0)</f>
        <v>9</v>
      </c>
      <c r="H306" s="10">
        <f>IFERROR(__xludf.DUMMYFUNCTION("""COMPUTED_VALUE"""),7.0)</f>
        <v>7</v>
      </c>
      <c r="I306" s="10">
        <f>IFERROR(__xludf.DUMMYFUNCTION("""COMPUTED_VALUE"""),2.0)</f>
        <v>2</v>
      </c>
      <c r="J306" s="10"/>
      <c r="K306" s="10"/>
      <c r="L306" s="10"/>
      <c r="M306" s="10">
        <f>IFERROR(__xludf.DUMMYFUNCTION("""COMPUTED_VALUE"""),8.0)</f>
        <v>8</v>
      </c>
      <c r="N306" s="10"/>
      <c r="O306" s="10"/>
      <c r="P306" s="10"/>
      <c r="Q306" s="10"/>
      <c r="R306" s="10"/>
      <c r="S306" s="10"/>
      <c r="T306" s="10"/>
      <c r="U306" s="18" t="str">
        <f>IFERROR(__xludf.DUMMYFUNCTION("""COMPUTED_VALUE"""),"https://drive.google.com/open?id=1CEfEt7DbWmERTgFULUbIriWjRs7_I-S4")</f>
        <v>https://drive.google.com/open?id=1CEfEt7DbWmERTgFULUbIriWjRs7_I-S4</v>
      </c>
      <c r="V306" s="10"/>
      <c r="W306" s="10"/>
      <c r="X306" s="10"/>
      <c r="Y306" s="14" t="str">
        <f>IFERROR(__xludf.DUMMYFUNCTION("""COMPUTED_VALUE"""),"aliakbar9438048@gmail.com")</f>
        <v>aliakbar9438048@gmail.com</v>
      </c>
      <c r="AA306" s="324"/>
    </row>
    <row r="307" hidden="1">
      <c r="A307" s="9">
        <f>IFERROR(__xludf.DUMMYFUNCTION("""COMPUTED_VALUE"""),45863.2238803125)</f>
        <v>45863.22388</v>
      </c>
      <c r="B307" s="10" t="str">
        <f>IFERROR(__xludf.DUMMYFUNCTION("""COMPUTED_VALUE"""),"M.Amir")</f>
        <v>M.Amir</v>
      </c>
      <c r="C307" s="10" t="str">
        <f>IFERROR(__xludf.DUMMYFUNCTION("""COMPUTED_VALUE"""),"03099884405")</f>
        <v>03099884405</v>
      </c>
      <c r="D307" s="10" t="str">
        <f>IFERROR(__xludf.DUMMYFUNCTION("""COMPUTED_VALUE"""),"Jamia masjid sheakh Allahwasya machli Bazar bwp")</f>
        <v>Jamia masjid sheakh Allahwasya machli Bazar bwp</v>
      </c>
      <c r="E307" s="10" t="str">
        <f>IFERROR(__xludf.DUMMYFUNCTION("""COMPUTED_VALUE"""),"LRQVN")</f>
        <v>LRQVN</v>
      </c>
      <c r="F307" s="10">
        <f>IFERROR(__xludf.DUMMYFUNCTION("""COMPUTED_VALUE"""),337.0)</f>
        <v>337</v>
      </c>
      <c r="G307" s="10">
        <f>IFERROR(__xludf.DUMMYFUNCTION("""COMPUTED_VALUE"""),10.0)</f>
        <v>10</v>
      </c>
      <c r="H307" s="10">
        <f>IFERROR(__xludf.DUMMYFUNCTION("""COMPUTED_VALUE"""),10.0)</f>
        <v>10</v>
      </c>
      <c r="I307" s="10">
        <f>IFERROR(__xludf.DUMMYFUNCTION("""COMPUTED_VALUE"""),1.0)</f>
        <v>1</v>
      </c>
      <c r="J307" s="10"/>
      <c r="K307" s="10"/>
      <c r="L307" s="10"/>
      <c r="M307" s="10">
        <f>IFERROR(__xludf.DUMMYFUNCTION("""COMPUTED_VALUE"""),9.0)</f>
        <v>9</v>
      </c>
      <c r="N307" s="10"/>
      <c r="O307" s="10"/>
      <c r="P307" s="10"/>
      <c r="Q307" s="10"/>
      <c r="R307" s="10"/>
      <c r="S307" s="10"/>
      <c r="T307" s="10"/>
      <c r="U307" s="10"/>
      <c r="V307" s="10"/>
      <c r="W307" s="10"/>
      <c r="X307" s="10"/>
      <c r="Y307" s="14" t="str">
        <f>IFERROR(__xludf.DUMMYFUNCTION("""COMPUTED_VALUE"""),"amirakash6830@gmail.com")</f>
        <v>amirakash6830@gmail.com</v>
      </c>
      <c r="AA307" s="324"/>
    </row>
    <row r="308" hidden="1">
      <c r="A308" s="9">
        <f>IFERROR(__xludf.DUMMYFUNCTION("""COMPUTED_VALUE"""),45863.224836458336)</f>
        <v>45863.22484</v>
      </c>
      <c r="B308" s="10" t="str">
        <f>IFERROR(__xludf.DUMMYFUNCTION("""COMPUTED_VALUE"""),"Muhammad Imran ")</f>
        <v>Muhammad Imran </v>
      </c>
      <c r="C308" s="10" t="str">
        <f>IFERROR(__xludf.DUMMYFUNCTION("""COMPUTED_VALUE"""),"03017561003")</f>
        <v>03017561003</v>
      </c>
      <c r="D308" s="10" t="str">
        <f>IFERROR(__xludf.DUMMYFUNCTION("""COMPUTED_VALUE"""),"Markzi jamia jalal masjid")</f>
        <v>Markzi jamia jalal masjid</v>
      </c>
      <c r="E308" s="10" t="str">
        <f>IFERROR(__xludf.DUMMYFUNCTION("""COMPUTED_VALUE"""),"IPRWE")</f>
        <v>IPRWE</v>
      </c>
      <c r="F308" s="10">
        <f>IFERROR(__xludf.DUMMYFUNCTION("""COMPUTED_VALUE"""),691.0)</f>
        <v>691</v>
      </c>
      <c r="G308" s="10">
        <f>IFERROR(__xludf.DUMMYFUNCTION("""COMPUTED_VALUE"""),7.0)</f>
        <v>7</v>
      </c>
      <c r="H308" s="10">
        <f>IFERROR(__xludf.DUMMYFUNCTION("""COMPUTED_VALUE"""),7.0)</f>
        <v>7</v>
      </c>
      <c r="I308" s="10">
        <f>IFERROR(__xludf.DUMMYFUNCTION("""COMPUTED_VALUE"""),0.0)</f>
        <v>0</v>
      </c>
      <c r="J308" s="10"/>
      <c r="K308" s="10"/>
      <c r="L308" s="10"/>
      <c r="M308" s="10">
        <f>IFERROR(__xludf.DUMMYFUNCTION("""COMPUTED_VALUE"""),8.0)</f>
        <v>8</v>
      </c>
      <c r="N308" s="10"/>
      <c r="O308" s="10"/>
      <c r="P308" s="10"/>
      <c r="Q308" s="10"/>
      <c r="R308" s="10"/>
      <c r="S308" s="10"/>
      <c r="T308" s="10"/>
      <c r="U308" s="18" t="str">
        <f>IFERROR(__xludf.DUMMYFUNCTION("""COMPUTED_VALUE"""),"https://drive.google.com/open?id=1RD0G-VbOAoQ2XG06v4TX6uy7yV3tif-S")</f>
        <v>https://drive.google.com/open?id=1RD0G-VbOAoQ2XG06v4TX6uy7yV3tif-S</v>
      </c>
      <c r="V308" s="10"/>
      <c r="W308" s="10"/>
      <c r="X308" s="10"/>
      <c r="Y308" s="14" t="str">
        <f>IFERROR(__xludf.DUMMYFUNCTION("""COMPUTED_VALUE"""),"i7561003@gmail.com")</f>
        <v>i7561003@gmail.com</v>
      </c>
      <c r="AA308" s="324"/>
    </row>
    <row r="309" hidden="1">
      <c r="A309" s="9">
        <f>IFERROR(__xludf.DUMMYFUNCTION("""COMPUTED_VALUE"""),45863.22556738426)</f>
        <v>45863.22557</v>
      </c>
      <c r="B309" s="10" t="str">
        <f>IFERROR(__xludf.DUMMYFUNCTION("""COMPUTED_VALUE"""),"Faizullah ")</f>
        <v>Faizullah </v>
      </c>
      <c r="C309" s="10" t="str">
        <f>IFERROR(__xludf.DUMMYFUNCTION("""COMPUTED_VALUE"""),"03156557465")</f>
        <v>03156557465</v>
      </c>
      <c r="D309" s="10" t="str">
        <f>IFERROR(__xludf.DUMMYFUNCTION("""COMPUTED_VALUE"""),"Jamia Masjid Abdulah Shah Bukhari Chowk Qureshi Muzaffargarh")</f>
        <v>Jamia Masjid Abdulah Shah Bukhari Chowk Qureshi Muzaffargarh</v>
      </c>
      <c r="E309" s="10" t="str">
        <f>IFERROR(__xludf.DUMMYFUNCTION("""COMPUTED_VALUE"""),"KEZGA")</f>
        <v>KEZGA</v>
      </c>
      <c r="F309" s="10">
        <f>IFERROR(__xludf.DUMMYFUNCTION("""COMPUTED_VALUE"""),297.0)</f>
        <v>297</v>
      </c>
      <c r="G309" s="10">
        <f>IFERROR(__xludf.DUMMYFUNCTION("""COMPUTED_VALUE"""),9.0)</f>
        <v>9</v>
      </c>
      <c r="H309" s="10">
        <f>IFERROR(__xludf.DUMMYFUNCTION("""COMPUTED_VALUE"""),7.0)</f>
        <v>7</v>
      </c>
      <c r="I309" s="10" t="str">
        <f>IFERROR(__xludf.DUMMYFUNCTION("""COMPUTED_VALUE"""),"Hin sahi likin kam hin")</f>
        <v>Hin sahi likin kam hin</v>
      </c>
      <c r="J309" s="10"/>
      <c r="K309" s="10"/>
      <c r="L309" s="10"/>
      <c r="M309" s="10">
        <f>IFERROR(__xludf.DUMMYFUNCTION("""COMPUTED_VALUE"""),8.0)</f>
        <v>8</v>
      </c>
      <c r="N309" s="10"/>
      <c r="O309" s="10"/>
      <c r="P309" s="10"/>
      <c r="Q309" s="10"/>
      <c r="R309" s="10"/>
      <c r="S309" s="10"/>
      <c r="T309" s="10"/>
      <c r="U309" s="18" t="str">
        <f>IFERROR(__xludf.DUMMYFUNCTION("""COMPUTED_VALUE"""),"https://drive.google.com/open?id=1oqEwSBpGVRzh2doPPEgFLHzxC2DPhcvp")</f>
        <v>https://drive.google.com/open?id=1oqEwSBpGVRzh2doPPEgFLHzxC2DPhcvp</v>
      </c>
      <c r="V309" s="10" t="str">
        <f>IFERROR(__xludf.DUMMYFUNCTION("""COMPUTED_VALUE"""),"Imam sahi zara tawon kre to ajha hi")</f>
        <v>Imam sahi zara tawon kre to ajha hi</v>
      </c>
      <c r="W309" s="10"/>
      <c r="X309" s="10"/>
      <c r="Y309" s="14" t="str">
        <f>IFERROR(__xludf.DUMMYFUNCTION("""COMPUTED_VALUE"""),"geotv666666@gmail.com")</f>
        <v>geotv666666@gmail.com</v>
      </c>
      <c r="AA309" s="324"/>
    </row>
    <row r="310" hidden="1">
      <c r="A310" s="9">
        <f>IFERROR(__xludf.DUMMYFUNCTION("""COMPUTED_VALUE"""),45863.22659177083)</f>
        <v>45863.22659</v>
      </c>
      <c r="B310" s="10" t="str">
        <f>IFERROR(__xludf.DUMMYFUNCTION("""COMPUTED_VALUE"""),"Suleman Javeed")</f>
        <v>Suleman Javeed</v>
      </c>
      <c r="C310" s="10" t="str">
        <f>IFERROR(__xludf.DUMMYFUNCTION("""COMPUTED_VALUE"""),"03116660178")</f>
        <v>03116660178</v>
      </c>
      <c r="D310" s="10" t="str">
        <f>IFERROR(__xludf.DUMMYFUNCTION("""COMPUTED_VALUE"""),"Qazian Wali Masjid")</f>
        <v>Qazian Wali Masjid</v>
      </c>
      <c r="E310" s="10" t="str">
        <f>IFERROR(__xludf.DUMMYFUNCTION("""COMPUTED_VALUE"""),"XIINW")</f>
        <v>XIINW</v>
      </c>
      <c r="F310" s="10">
        <f>IFERROR(__xludf.DUMMYFUNCTION("""COMPUTED_VALUE"""),206.0)</f>
        <v>206</v>
      </c>
      <c r="G310" s="10">
        <f>IFERROR(__xludf.DUMMYFUNCTION("""COMPUTED_VALUE"""),7.0)</f>
        <v>7</v>
      </c>
      <c r="H310" s="10">
        <f>IFERROR(__xludf.DUMMYFUNCTION("""COMPUTED_VALUE"""),5.0)</f>
        <v>5</v>
      </c>
      <c r="I310" s="10">
        <f>IFERROR(__xludf.DUMMYFUNCTION("""COMPUTED_VALUE"""),3.0)</f>
        <v>3</v>
      </c>
      <c r="J310" s="10"/>
      <c r="K310" s="10"/>
      <c r="L310" s="10"/>
      <c r="M310" s="10">
        <f>IFERROR(__xludf.DUMMYFUNCTION("""COMPUTED_VALUE"""),10.0)</f>
        <v>10</v>
      </c>
      <c r="N310" s="10"/>
      <c r="O310" s="10"/>
      <c r="P310" s="10"/>
      <c r="Q310" s="10"/>
      <c r="R310" s="10"/>
      <c r="S310" s="10"/>
      <c r="T310" s="10"/>
      <c r="U310" s="18" t="str">
        <f>IFERROR(__xludf.DUMMYFUNCTION("""COMPUTED_VALUE"""),"https://drive.google.com/open?id=1szNGinY27z8ZASP6JwhZtlE6ytpJii2_")</f>
        <v>https://drive.google.com/open?id=1szNGinY27z8ZASP6JwhZtlE6ytpJii2_</v>
      </c>
      <c r="V310" s="10" t="str">
        <f>IFERROR(__xludf.DUMMYFUNCTION("""COMPUTED_VALUE"""),"لوگوں کو شعور کی ضرورت ہے۔")</f>
        <v>لوگوں کو شعور کی ضرورت ہے۔</v>
      </c>
      <c r="W310" s="10"/>
      <c r="X310" s="10"/>
      <c r="Y310" s="14" t="str">
        <f>IFERROR(__xludf.DUMMYFUNCTION("""COMPUTED_VALUE"""),"sulemanjaveed741@gmail.com")</f>
        <v>sulemanjaveed741@gmail.com</v>
      </c>
      <c r="AA310" s="324"/>
    </row>
    <row r="311" hidden="1">
      <c r="A311" s="9">
        <f>IFERROR(__xludf.DUMMYFUNCTION("""COMPUTED_VALUE"""),45863.2270931713)</f>
        <v>45863.22709</v>
      </c>
      <c r="B311" s="10" t="str">
        <f>IFERROR(__xludf.DUMMYFUNCTION("""COMPUTED_VALUE"""),"Atif ali")</f>
        <v>Atif ali</v>
      </c>
      <c r="C311" s="10" t="str">
        <f>IFERROR(__xludf.DUMMYFUNCTION("""COMPUTED_VALUE"""),"03290260531")</f>
        <v>03290260531</v>
      </c>
      <c r="D311" s="10" t="str">
        <f>IFERROR(__xludf.DUMMYFUNCTION("""COMPUTED_VALUE"""),"جامع مسجد اتہار کالونی")</f>
        <v>جامع مسجد اتہار کالونی</v>
      </c>
      <c r="E311" s="10" t="str">
        <f>IFERROR(__xludf.DUMMYFUNCTION("""COMPUTED_VALUE"""),"KFSQD")</f>
        <v>KFSQD</v>
      </c>
      <c r="F311" s="10">
        <f>IFERROR(__xludf.DUMMYFUNCTION("""COMPUTED_VALUE"""),210.0)</f>
        <v>210</v>
      </c>
      <c r="G311" s="10">
        <f>IFERROR(__xludf.DUMMYFUNCTION("""COMPUTED_VALUE"""),9.0)</f>
        <v>9</v>
      </c>
      <c r="H311" s="10">
        <f>IFERROR(__xludf.DUMMYFUNCTION("""COMPUTED_VALUE"""),7.0)</f>
        <v>7</v>
      </c>
      <c r="I311" s="10">
        <f>IFERROR(__xludf.DUMMYFUNCTION("""COMPUTED_VALUE"""),1.0)</f>
        <v>1</v>
      </c>
      <c r="J311" s="10"/>
      <c r="K311" s="10"/>
      <c r="L311" s="10"/>
      <c r="M311" s="10">
        <f>IFERROR(__xludf.DUMMYFUNCTION("""COMPUTED_VALUE"""),8.0)</f>
        <v>8</v>
      </c>
      <c r="N311" s="10"/>
      <c r="O311" s="10"/>
      <c r="P311" s="10"/>
      <c r="Q311" s="10"/>
      <c r="R311" s="10"/>
      <c r="S311" s="10"/>
      <c r="T311" s="10"/>
      <c r="U311" s="18" t="str">
        <f>IFERROR(__xludf.DUMMYFUNCTION("""COMPUTED_VALUE"""),"https://drive.google.com/open?id=18r7-l-M1szLnrIrJ3QEpAsJ5d3FxYxXN")</f>
        <v>https://drive.google.com/open?id=18r7-l-M1szLnrIrJ3QEpAsJ5d3FxYxXN</v>
      </c>
      <c r="V311" s="10" t="str">
        <f>IFERROR(__xludf.DUMMYFUNCTION("""COMPUTED_VALUE"""),"مسجد کا ایریا اندر سے اور وضو والی جگہ بہت صاف ہے")</f>
        <v>مسجد کا ایریا اندر سے اور وضو والی جگہ بہت صاف ہے</v>
      </c>
      <c r="W311" s="10"/>
      <c r="X311" s="10"/>
      <c r="Y311" s="14" t="str">
        <f>IFERROR(__xludf.DUMMYFUNCTION("""COMPUTED_VALUE"""),"ali133atifjutt@gmail.com")</f>
        <v>ali133atifjutt@gmail.com</v>
      </c>
      <c r="AA311" s="324"/>
    </row>
    <row r="312" hidden="1">
      <c r="A312" s="9">
        <f>IFERROR(__xludf.DUMMYFUNCTION("""COMPUTED_VALUE"""),45863.22794269676)</f>
        <v>45863.22794</v>
      </c>
      <c r="B312" s="10" t="str">
        <f>IFERROR(__xludf.DUMMYFUNCTION("""COMPUTED_VALUE"""),"Muhammad Imran ")</f>
        <v>Muhammad Imran </v>
      </c>
      <c r="C312" s="10" t="str">
        <f>IFERROR(__xludf.DUMMYFUNCTION("""COMPUTED_VALUE"""),"03017561003")</f>
        <v>03017561003</v>
      </c>
      <c r="D312" s="10" t="str">
        <f>IFERROR(__xludf.DUMMYFUNCTION("""COMPUTED_VALUE"""),"Markzi jamia jalal masjid ")</f>
        <v>Markzi jamia jalal masjid </v>
      </c>
      <c r="E312" s="10" t="str">
        <f>IFERROR(__xludf.DUMMYFUNCTION("""COMPUTED_VALUE"""),"Iprwe")</f>
        <v>Iprwe</v>
      </c>
      <c r="F312" s="10">
        <f>IFERROR(__xludf.DUMMYFUNCTION("""COMPUTED_VALUE"""),691.0)</f>
        <v>691</v>
      </c>
      <c r="G312" s="10">
        <f>IFERROR(__xludf.DUMMYFUNCTION("""COMPUTED_VALUE"""),7.0)</f>
        <v>7</v>
      </c>
      <c r="H312" s="10">
        <f>IFERROR(__xludf.DUMMYFUNCTION("""COMPUTED_VALUE"""),7.0)</f>
        <v>7</v>
      </c>
      <c r="I312" s="10">
        <f>IFERROR(__xludf.DUMMYFUNCTION("""COMPUTED_VALUE"""),0.0)</f>
        <v>0</v>
      </c>
      <c r="J312" s="10"/>
      <c r="K312" s="10"/>
      <c r="L312" s="10"/>
      <c r="M312" s="10">
        <f>IFERROR(__xludf.DUMMYFUNCTION("""COMPUTED_VALUE"""),8.0)</f>
        <v>8</v>
      </c>
      <c r="N312" s="10"/>
      <c r="O312" s="10"/>
      <c r="P312" s="10"/>
      <c r="Q312" s="10"/>
      <c r="R312" s="10"/>
      <c r="S312" s="10"/>
      <c r="T312" s="10"/>
      <c r="U312" s="18" t="str">
        <f>IFERROR(__xludf.DUMMYFUNCTION("""COMPUTED_VALUE"""),"https://drive.google.com/open?id=10jrr9klWc39LS0aHafoz19qJ2iM9Zi0o")</f>
        <v>https://drive.google.com/open?id=10jrr9klWc39LS0aHafoz19qJ2iM9Zi0o</v>
      </c>
      <c r="V312" s="10" t="str">
        <f>IFERROR(__xludf.DUMMYFUNCTION("""COMPUTED_VALUE"""),"No")</f>
        <v>No</v>
      </c>
      <c r="W312" s="10"/>
      <c r="X312" s="10"/>
      <c r="Y312" s="14" t="str">
        <f>IFERROR(__xludf.DUMMYFUNCTION("""COMPUTED_VALUE"""),"i7561003@gmail.com")</f>
        <v>i7561003@gmail.com</v>
      </c>
      <c r="AA312" s="324"/>
    </row>
    <row r="313" hidden="1">
      <c r="A313" s="9">
        <f>IFERROR(__xludf.DUMMYFUNCTION("""COMPUTED_VALUE"""),45863.22805517361)</f>
        <v>45863.22806</v>
      </c>
      <c r="B313" s="10" t="str">
        <f>IFERROR(__xludf.DUMMYFUNCTION("""COMPUTED_VALUE"""),"M.Amir")</f>
        <v>M.Amir</v>
      </c>
      <c r="C313" s="10" t="str">
        <f>IFERROR(__xludf.DUMMYFUNCTION("""COMPUTED_VALUE"""),"03099884405")</f>
        <v>03099884405</v>
      </c>
      <c r="D313" s="10" t="str">
        <f>IFERROR(__xludf.DUMMYFUNCTION("""COMPUTED_VALUE"""),"Jamia masjid sheakh Allah wasya machlibzar")</f>
        <v>Jamia masjid sheakh Allah wasya machlibzar</v>
      </c>
      <c r="E313" s="10" t="str">
        <f>IFERROR(__xludf.DUMMYFUNCTION("""COMPUTED_VALUE"""),"LRQVN")</f>
        <v>LRQVN</v>
      </c>
      <c r="F313" s="10">
        <f>IFERROR(__xludf.DUMMYFUNCTION("""COMPUTED_VALUE"""),337.0)</f>
        <v>337</v>
      </c>
      <c r="G313" s="10">
        <f>IFERROR(__xludf.DUMMYFUNCTION("""COMPUTED_VALUE"""),10.0)</f>
        <v>10</v>
      </c>
      <c r="H313" s="10">
        <f>IFERROR(__xludf.DUMMYFUNCTION("""COMPUTED_VALUE"""),9.0)</f>
        <v>9</v>
      </c>
      <c r="I313" s="10">
        <f>IFERROR(__xludf.DUMMYFUNCTION("""COMPUTED_VALUE"""),1.0)</f>
        <v>1</v>
      </c>
      <c r="J313" s="10"/>
      <c r="K313" s="10"/>
      <c r="L313" s="10"/>
      <c r="M313" s="10">
        <f>IFERROR(__xludf.DUMMYFUNCTION("""COMPUTED_VALUE"""),9.0)</f>
        <v>9</v>
      </c>
      <c r="N313" s="10"/>
      <c r="O313" s="10"/>
      <c r="P313" s="10"/>
      <c r="Q313" s="10"/>
      <c r="R313" s="10"/>
      <c r="S313" s="10"/>
      <c r="T313" s="10"/>
      <c r="U313" s="18" t="str">
        <f>IFERROR(__xludf.DUMMYFUNCTION("""COMPUTED_VALUE"""),"https://drive.google.com/open?id=1062bfFp6PXALa9DMo0meZKagxgzrj9dJ")</f>
        <v>https://drive.google.com/open?id=1062bfFp6PXALa9DMo0meZKagxgzrj9dJ</v>
      </c>
      <c r="V313" s="10"/>
      <c r="W313" s="10"/>
      <c r="X313" s="10"/>
      <c r="Y313" s="14" t="str">
        <f>IFERROR(__xludf.DUMMYFUNCTION("""COMPUTED_VALUE"""),"amirakash6830@gmail.com")</f>
        <v>amirakash6830@gmail.com</v>
      </c>
      <c r="AA313" s="324"/>
    </row>
    <row r="314" hidden="1">
      <c r="A314" s="9">
        <f>IFERROR(__xludf.DUMMYFUNCTION("""COMPUTED_VALUE"""),45863.23239399305)</f>
        <v>45863.23239</v>
      </c>
      <c r="B314" s="10" t="str">
        <f>IFERROR(__xludf.DUMMYFUNCTION("""COMPUTED_VALUE"""),"Farhan Sadiq")</f>
        <v>Farhan Sadiq</v>
      </c>
      <c r="C314" s="10" t="str">
        <f>IFERROR(__xludf.DUMMYFUNCTION("""COMPUTED_VALUE"""),"03025449670")</f>
        <v>03025449670</v>
      </c>
      <c r="D314" s="10" t="str">
        <f>IFERROR(__xludf.DUMMYFUNCTION("""COMPUTED_VALUE"""),"Jamia masjid Hazrat Bilal")</f>
        <v>Jamia masjid Hazrat Bilal</v>
      </c>
      <c r="E314" s="10" t="str">
        <f>IFERROR(__xludf.DUMMYFUNCTION("""COMPUTED_VALUE"""),"XDBPY")</f>
        <v>XDBPY</v>
      </c>
      <c r="F314" s="10">
        <f>IFERROR(__xludf.DUMMYFUNCTION("""COMPUTED_VALUE"""),340.0)</f>
        <v>340</v>
      </c>
      <c r="G314" s="10">
        <f>IFERROR(__xludf.DUMMYFUNCTION("""COMPUTED_VALUE"""),7.0)</f>
        <v>7</v>
      </c>
      <c r="H314" s="10">
        <f>IFERROR(__xludf.DUMMYFUNCTION("""COMPUTED_VALUE"""),6.0)</f>
        <v>6</v>
      </c>
      <c r="I314" s="10">
        <f>IFERROR(__xludf.DUMMYFUNCTION("""COMPUTED_VALUE"""),12.0)</f>
        <v>12</v>
      </c>
      <c r="J314" s="10"/>
      <c r="K314" s="10"/>
      <c r="L314" s="10"/>
      <c r="M314" s="10">
        <f>IFERROR(__xludf.DUMMYFUNCTION("""COMPUTED_VALUE"""),9.0)</f>
        <v>9</v>
      </c>
      <c r="N314" s="10"/>
      <c r="O314" s="10"/>
      <c r="P314" s="10"/>
      <c r="Q314" s="10"/>
      <c r="R314" s="10"/>
      <c r="S314" s="10"/>
      <c r="T314" s="10"/>
      <c r="U314" s="18" t="str">
        <f>IFERROR(__xludf.DUMMYFUNCTION("""COMPUTED_VALUE"""),"https://drive.google.com/open?id=11cyBapgzYrTTeCiwPdIZZJKzh89cD-oV")</f>
        <v>https://drive.google.com/open?id=11cyBapgzYrTTeCiwPdIZZJKzh89cD-oV</v>
      </c>
      <c r="V314" s="10"/>
      <c r="W314" s="10"/>
      <c r="X314" s="10"/>
      <c r="Y314" s="14" t="str">
        <f>IFERROR(__xludf.DUMMYFUNCTION("""COMPUTED_VALUE"""),"farhansadiqhans786@gmail.com")</f>
        <v>farhansadiqhans786@gmail.com</v>
      </c>
      <c r="AA314" s="324"/>
    </row>
    <row r="315" hidden="1">
      <c r="A315" s="9">
        <f>IFERROR(__xludf.DUMMYFUNCTION("""COMPUTED_VALUE"""),45863.23273898148)</f>
        <v>45863.23274</v>
      </c>
      <c r="B315" s="10" t="str">
        <f>IFERROR(__xludf.DUMMYFUNCTION("""COMPUTED_VALUE"""),"M. Asad shafique ")</f>
        <v>M. Asad shafique </v>
      </c>
      <c r="C315" s="10" t="str">
        <f>IFERROR(__xludf.DUMMYFUNCTION("""COMPUTED_VALUE"""),"03280905041")</f>
        <v>03280905041</v>
      </c>
      <c r="D315" s="10" t="str">
        <f>IFERROR(__xludf.DUMMYFUNCTION("""COMPUTED_VALUE"""),"Jamia masjid peer Mubarak Ali shah")</f>
        <v>Jamia masjid peer Mubarak Ali shah</v>
      </c>
      <c r="E315" s="10" t="str">
        <f>IFERROR(__xludf.DUMMYFUNCTION("""COMPUTED_VALUE"""),"DQMJV")</f>
        <v>DQMJV</v>
      </c>
      <c r="F315" s="10">
        <f>IFERROR(__xludf.DUMMYFUNCTION("""COMPUTED_VALUE"""),57.0)</f>
        <v>57</v>
      </c>
      <c r="G315" s="10">
        <f>IFERROR(__xludf.DUMMYFUNCTION("""COMPUTED_VALUE"""),8.0)</f>
        <v>8</v>
      </c>
      <c r="H315" s="10">
        <f>IFERROR(__xludf.DUMMYFUNCTION("""COMPUTED_VALUE"""),9.0)</f>
        <v>9</v>
      </c>
      <c r="I315" s="10" t="str">
        <f>IFERROR(__xludf.DUMMYFUNCTION("""COMPUTED_VALUE"""),"01")</f>
        <v>01</v>
      </c>
      <c r="J315" s="10"/>
      <c r="K315" s="10"/>
      <c r="L315" s="10"/>
      <c r="M315" s="10">
        <f>IFERROR(__xludf.DUMMYFUNCTION("""COMPUTED_VALUE"""),9.0)</f>
        <v>9</v>
      </c>
      <c r="N315" s="10"/>
      <c r="O315" s="10"/>
      <c r="P315" s="10"/>
      <c r="Q315" s="10"/>
      <c r="R315" s="10"/>
      <c r="S315" s="10"/>
      <c r="T315" s="10"/>
      <c r="U315" s="18" t="str">
        <f>IFERROR(__xludf.DUMMYFUNCTION("""COMPUTED_VALUE"""),"https://drive.google.com/open?id=1Mj9xUFhBxLRYrw9-9FI9cxfuZDTyuW62")</f>
        <v>https://drive.google.com/open?id=1Mj9xUFhBxLRYrw9-9FI9cxfuZDTyuW62</v>
      </c>
      <c r="V315" s="10"/>
      <c r="W315" s="10"/>
      <c r="X315" s="10"/>
      <c r="Y315" s="14" t="str">
        <f>IFERROR(__xludf.DUMMYFUNCTION("""COMPUTED_VALUE"""),"asadchudhary6@gmail.com")</f>
        <v>asadchudhary6@gmail.com</v>
      </c>
      <c r="AA315" s="324"/>
    </row>
    <row r="316" hidden="1">
      <c r="A316" s="9">
        <f>IFERROR(__xludf.DUMMYFUNCTION("""COMPUTED_VALUE"""),45863.234439120366)</f>
        <v>45863.23444</v>
      </c>
      <c r="B316" s="10" t="str">
        <f>IFERROR(__xludf.DUMMYFUNCTION("""COMPUTED_VALUE"""),"Shahzad Bilal ")</f>
        <v>Shahzad Bilal </v>
      </c>
      <c r="C316" s="10" t="str">
        <f>IFERROR(__xludf.DUMMYFUNCTION("""COMPUTED_VALUE"""),"03085398997")</f>
        <v>03085398997</v>
      </c>
      <c r="D316" s="10" t="str">
        <f>IFERROR(__xludf.DUMMYFUNCTION("""COMPUTED_VALUE"""),"Jamia Masjid perr mahal ashaq mekhma aquaf")</f>
        <v>Jamia Masjid perr mahal ashaq mekhma aquaf</v>
      </c>
      <c r="E316" s="10"/>
      <c r="F316" s="10">
        <f>IFERROR(__xludf.DUMMYFUNCTION("""COMPUTED_VALUE"""),216.0)</f>
        <v>216</v>
      </c>
      <c r="G316" s="10">
        <f>IFERROR(__xludf.DUMMYFUNCTION("""COMPUTED_VALUE"""),9.0)</f>
        <v>9</v>
      </c>
      <c r="H316" s="10">
        <f>IFERROR(__xludf.DUMMYFUNCTION("""COMPUTED_VALUE"""),9.0)</f>
        <v>9</v>
      </c>
      <c r="I316" s="10">
        <f>IFERROR(__xludf.DUMMYFUNCTION("""COMPUTED_VALUE"""),1.0)</f>
        <v>1</v>
      </c>
      <c r="J316" s="10"/>
      <c r="K316" s="10"/>
      <c r="L316" s="10"/>
      <c r="M316" s="10">
        <f>IFERROR(__xludf.DUMMYFUNCTION("""COMPUTED_VALUE"""),10.0)</f>
        <v>10</v>
      </c>
      <c r="N316" s="10"/>
      <c r="O316" s="10"/>
      <c r="P316" s="10"/>
      <c r="Q316" s="10"/>
      <c r="R316" s="10"/>
      <c r="S316" s="10"/>
      <c r="T316" s="10"/>
      <c r="U316" s="10"/>
      <c r="V316" s="10"/>
      <c r="W316" s="10"/>
      <c r="X316" s="10"/>
      <c r="Y316" s="14" t="str">
        <f>IFERROR(__xludf.DUMMYFUNCTION("""COMPUTED_VALUE"""),"multaniminivelogs@gmail.com")</f>
        <v>multaniminivelogs@gmail.com</v>
      </c>
      <c r="AA316" s="324"/>
    </row>
    <row r="317" hidden="1">
      <c r="A317" s="9">
        <f>IFERROR(__xludf.DUMMYFUNCTION("""COMPUTED_VALUE"""),45863.23591444445)</f>
        <v>45863.23591</v>
      </c>
      <c r="B317" s="10" t="str">
        <f>IFERROR(__xludf.DUMMYFUNCTION("""COMPUTED_VALUE"""),"Syed sabeeh ul Rehman bukahri ")</f>
        <v>Syed sabeeh ul Rehman bukahri </v>
      </c>
      <c r="C317" s="10" t="str">
        <f>IFERROR(__xludf.DUMMYFUNCTION("""COMPUTED_VALUE"""),"03707446218")</f>
        <v>03707446218</v>
      </c>
      <c r="D317" s="10" t="str">
        <f>IFERROR(__xludf.DUMMYFUNCTION("""COMPUTED_VALUE"""),"Jamia Masjid Abdul wahab Shah bukhari  deera deen pnnah kot addu")</f>
        <v>Jamia Masjid Abdul wahab Shah bukhari  deera deen pnnah kot addu</v>
      </c>
      <c r="E317" s="10" t="str">
        <f>IFERROR(__xludf.DUMMYFUNCTION("""COMPUTED_VALUE"""),"UXUMP")</f>
        <v>UXUMP</v>
      </c>
      <c r="F317" s="10">
        <f>IFERROR(__xludf.DUMMYFUNCTION("""COMPUTED_VALUE"""),250.0)</f>
        <v>250</v>
      </c>
      <c r="G317" s="10">
        <f>IFERROR(__xludf.DUMMYFUNCTION("""COMPUTED_VALUE"""),8.0)</f>
        <v>8</v>
      </c>
      <c r="H317" s="10">
        <f>IFERROR(__xludf.DUMMYFUNCTION("""COMPUTED_VALUE"""),7.0)</f>
        <v>7</v>
      </c>
      <c r="I317" s="10" t="str">
        <f>IFERROR(__xludf.DUMMYFUNCTION("""COMPUTED_VALUE"""),"Koi nhi")</f>
        <v>Koi nhi</v>
      </c>
      <c r="J317" s="10"/>
      <c r="K317" s="10"/>
      <c r="L317" s="10"/>
      <c r="M317" s="10">
        <f>IFERROR(__xludf.DUMMYFUNCTION("""COMPUTED_VALUE"""),7.0)</f>
        <v>7</v>
      </c>
      <c r="N317" s="10"/>
      <c r="O317" s="10"/>
      <c r="P317" s="10"/>
      <c r="Q317" s="10"/>
      <c r="R317" s="10"/>
      <c r="S317" s="10"/>
      <c r="T317" s="10"/>
      <c r="U317" s="18" t="str">
        <f>IFERROR(__xludf.DUMMYFUNCTION("""COMPUTED_VALUE"""),"https://drive.google.com/open?id=14XhJKgcdwfsRvRSFDJSaDwlmh8eJ_XlQ")</f>
        <v>https://drive.google.com/open?id=14XhJKgcdwfsRvRSFDJSaDwlmh8eJ_XlQ</v>
      </c>
      <c r="V317" s="10"/>
      <c r="W317" s="10"/>
      <c r="X317" s="10"/>
      <c r="Y317" s="14" t="str">
        <f>IFERROR(__xludf.DUMMYFUNCTION("""COMPUTED_VALUE"""),"urehman154763@gmail.com")</f>
        <v>urehman154763@gmail.com</v>
      </c>
      <c r="AA317" s="324"/>
    </row>
    <row r="318" hidden="1">
      <c r="A318" s="9">
        <f>IFERROR(__xludf.DUMMYFUNCTION("""COMPUTED_VALUE"""),45863.23708248843)</f>
        <v>45863.23708</v>
      </c>
      <c r="B318" s="10" t="str">
        <f>IFERROR(__xludf.DUMMYFUNCTION("""COMPUTED_VALUE"""),"Hamza Arif ")</f>
        <v>Hamza Arif </v>
      </c>
      <c r="C318" s="10" t="str">
        <f>IFERROR(__xludf.DUMMYFUNCTION("""COMPUTED_VALUE"""),"03072633573")</f>
        <v>03072633573</v>
      </c>
      <c r="D318" s="10" t="str">
        <f>IFERROR(__xludf.DUMMYFUNCTION("""COMPUTED_VALUE"""),"Jamia Masjid Nizamat")</f>
        <v>Jamia Masjid Nizamat</v>
      </c>
      <c r="E318" s="10" t="str">
        <f>IFERROR(__xludf.DUMMYFUNCTION("""COMPUTED_VALUE"""),"XXFOS")</f>
        <v>XXFOS</v>
      </c>
      <c r="F318" s="10">
        <f>IFERROR(__xludf.DUMMYFUNCTION("""COMPUTED_VALUE"""),1003.0)</f>
        <v>1003</v>
      </c>
      <c r="G318" s="10">
        <f>IFERROR(__xludf.DUMMYFUNCTION("""COMPUTED_VALUE"""),7.0)</f>
        <v>7</v>
      </c>
      <c r="H318" s="10">
        <f>IFERROR(__xludf.DUMMYFUNCTION("""COMPUTED_VALUE"""),7.0)</f>
        <v>7</v>
      </c>
      <c r="I318" s="10">
        <f>IFERROR(__xludf.DUMMYFUNCTION("""COMPUTED_VALUE"""),0.0)</f>
        <v>0</v>
      </c>
      <c r="J318" s="10"/>
      <c r="K318" s="10"/>
      <c r="L318" s="10"/>
      <c r="M318" s="10">
        <f>IFERROR(__xludf.DUMMYFUNCTION("""COMPUTED_VALUE"""),10.0)</f>
        <v>10</v>
      </c>
      <c r="N318" s="10"/>
      <c r="O318" s="10"/>
      <c r="P318" s="10"/>
      <c r="Q318" s="10"/>
      <c r="R318" s="10"/>
      <c r="S318" s="10"/>
      <c r="T318" s="10"/>
      <c r="U318" s="18" t="str">
        <f>IFERROR(__xludf.DUMMYFUNCTION("""COMPUTED_VALUE"""),"https://drive.google.com/open?id=1t1QF7MsPOQijIlAgmp9ZL3jb_BlE7YQ1")</f>
        <v>https://drive.google.com/open?id=1t1QF7MsPOQijIlAgmp9ZL3jb_BlE7YQ1</v>
      </c>
      <c r="V318" s="10"/>
      <c r="W318" s="10"/>
      <c r="X318" s="10"/>
      <c r="Y318" s="14" t="str">
        <f>IFERROR(__xludf.DUMMYFUNCTION("""COMPUTED_VALUE"""),"hamzadhillon18@gmail.com")</f>
        <v>hamzadhillon18@gmail.com</v>
      </c>
      <c r="AA318" s="324"/>
    </row>
    <row r="319" hidden="1">
      <c r="A319" s="9">
        <f>IFERROR(__xludf.DUMMYFUNCTION("""COMPUTED_VALUE"""),45863.23919490741)</f>
        <v>45863.23919</v>
      </c>
      <c r="B319" s="10" t="str">
        <f>IFERROR(__xludf.DUMMYFUNCTION("""COMPUTED_VALUE"""),"Mureed abbas")</f>
        <v>Mureed abbas</v>
      </c>
      <c r="C319" s="10" t="str">
        <f>IFERROR(__xludf.DUMMYFUNCTION("""COMPUTED_VALUE"""),"03017890996")</f>
        <v>03017890996</v>
      </c>
      <c r="D319" s="10" t="str">
        <f>IFERROR(__xludf.DUMMYFUNCTION("""COMPUTED_VALUE"""),"Jaima masjid anyat walayt Multan ")</f>
        <v>Jaima masjid anyat walayt Multan </v>
      </c>
      <c r="E319" s="10" t="str">
        <f>IFERROR(__xludf.DUMMYFUNCTION("""COMPUTED_VALUE"""),"MEEPX")</f>
        <v>MEEPX</v>
      </c>
      <c r="F319" s="10">
        <f>IFERROR(__xludf.DUMMYFUNCTION("""COMPUTED_VALUE"""),90.0)</f>
        <v>90</v>
      </c>
      <c r="G319" s="10">
        <f>IFERROR(__xludf.DUMMYFUNCTION("""COMPUTED_VALUE"""),6.0)</f>
        <v>6</v>
      </c>
      <c r="H319" s="10">
        <f>IFERROR(__xludf.DUMMYFUNCTION("""COMPUTED_VALUE"""),7.0)</f>
        <v>7</v>
      </c>
      <c r="I319" s="10">
        <f>IFERROR(__xludf.DUMMYFUNCTION("""COMPUTED_VALUE"""),2.0)</f>
        <v>2</v>
      </c>
      <c r="J319" s="10"/>
      <c r="K319" s="10"/>
      <c r="L319" s="10"/>
      <c r="M319" s="10">
        <f>IFERROR(__xludf.DUMMYFUNCTION("""COMPUTED_VALUE"""),8.0)</f>
        <v>8</v>
      </c>
      <c r="N319" s="10"/>
      <c r="O319" s="10"/>
      <c r="P319" s="10"/>
      <c r="Q319" s="10"/>
      <c r="R319" s="10"/>
      <c r="S319" s="10"/>
      <c r="T319" s="10"/>
      <c r="U319" s="18" t="str">
        <f>IFERROR(__xludf.DUMMYFUNCTION("""COMPUTED_VALUE"""),"https://drive.google.com/open?id=1xBNoqqjEch-5mCp7PVxG-tgelSxE_Jvx")</f>
        <v>https://drive.google.com/open?id=1xBNoqqjEch-5mCp7PVxG-tgelSxE_Jvx</v>
      </c>
      <c r="V319" s="10"/>
      <c r="W319" s="10"/>
      <c r="X319" s="10"/>
      <c r="Y319" s="14" t="str">
        <f>IFERROR(__xludf.DUMMYFUNCTION("""COMPUTED_VALUE"""),"mureedabbas55669@gmail.com")</f>
        <v>mureedabbas55669@gmail.com</v>
      </c>
      <c r="AA319" s="324"/>
    </row>
    <row r="320" hidden="1">
      <c r="A320" s="9">
        <f>IFERROR(__xludf.DUMMYFUNCTION("""COMPUTED_VALUE"""),45863.23929532408)</f>
        <v>45863.2393</v>
      </c>
      <c r="B320" s="10" t="str">
        <f>IFERROR(__xludf.DUMMYFUNCTION("""COMPUTED_VALUE"""),"خالد محمود")</f>
        <v>خالد محمود</v>
      </c>
      <c r="C320" s="10" t="str">
        <f>IFERROR(__xludf.DUMMYFUNCTION("""COMPUTED_VALUE"""),"03005249027")</f>
        <v>03005249027</v>
      </c>
      <c r="D320" s="10" t="str">
        <f>IFERROR(__xludf.DUMMYFUNCTION("""COMPUTED_VALUE"""),"مرکزی جامع مسجد")</f>
        <v>مرکزی جامع مسجد</v>
      </c>
      <c r="E320" s="10" t="str">
        <f>IFERROR(__xludf.DUMMYFUNCTION("""COMPUTED_VALUE"""),"YBTBU")</f>
        <v>YBTBU</v>
      </c>
      <c r="F320" s="10">
        <f>IFERROR(__xludf.DUMMYFUNCTION("""COMPUTED_VALUE"""),874.0)</f>
        <v>874</v>
      </c>
      <c r="G320" s="10">
        <f>IFERROR(__xludf.DUMMYFUNCTION("""COMPUTED_VALUE"""),8.0)</f>
        <v>8</v>
      </c>
      <c r="H320" s="10">
        <f>IFERROR(__xludf.DUMMYFUNCTION("""COMPUTED_VALUE"""),7.0)</f>
        <v>7</v>
      </c>
      <c r="I320" s="10">
        <f>IFERROR(__xludf.DUMMYFUNCTION("""COMPUTED_VALUE"""),3.0)</f>
        <v>3</v>
      </c>
      <c r="J320" s="10"/>
      <c r="K320" s="10"/>
      <c r="L320" s="10"/>
      <c r="M320" s="10">
        <f>IFERROR(__xludf.DUMMYFUNCTION("""COMPUTED_VALUE"""),8.0)</f>
        <v>8</v>
      </c>
      <c r="N320" s="10"/>
      <c r="O320" s="10"/>
      <c r="P320" s="10"/>
      <c r="Q320" s="10"/>
      <c r="R320" s="10"/>
      <c r="S320" s="10"/>
      <c r="T320" s="10"/>
      <c r="U320" s="18" t="str">
        <f>IFERROR(__xludf.DUMMYFUNCTION("""COMPUTED_VALUE"""),"https://drive.google.com/open?id=16uZlgVwD3YcytYRjQoWVaPCnnWLmjG8g")</f>
        <v>https://drive.google.com/open?id=16uZlgVwD3YcytYRjQoWVaPCnnWLmjG8g</v>
      </c>
      <c r="V320" s="10"/>
      <c r="W320" s="10"/>
      <c r="X320" s="10"/>
      <c r="Y320" s="14" t="str">
        <f>IFERROR(__xludf.DUMMYFUNCTION("""COMPUTED_VALUE"""),"ayyankhalidctn@gmail.com")</f>
        <v>ayyankhalidctn@gmail.com</v>
      </c>
      <c r="AA320" s="324"/>
    </row>
    <row r="321" hidden="1">
      <c r="A321" s="9">
        <f>IFERROR(__xludf.DUMMYFUNCTION("""COMPUTED_VALUE"""),45863.23967456019)</f>
        <v>45863.23967</v>
      </c>
      <c r="B321" s="10" t="str">
        <f>IFERROR(__xludf.DUMMYFUNCTION("""COMPUTED_VALUE"""),"محمد عرفان اکرم")</f>
        <v>محمد عرفان اکرم</v>
      </c>
      <c r="C321" s="10" t="str">
        <f>IFERROR(__xludf.DUMMYFUNCTION("""COMPUTED_VALUE"""),"03065345047")</f>
        <v>03065345047</v>
      </c>
      <c r="D321" s="10" t="str">
        <f>IFERROR(__xludf.DUMMYFUNCTION("""COMPUTED_VALUE"""),"جامع مسجد سراجاں حسین آگاہی ملتان")</f>
        <v>جامع مسجد سراجاں حسین آگاہی ملتان</v>
      </c>
      <c r="E321" s="10" t="str">
        <f>IFERROR(__xludf.DUMMYFUNCTION("""COMPUTED_VALUE"""),"YNBEH")</f>
        <v>YNBEH</v>
      </c>
      <c r="F321" s="10">
        <f>IFERROR(__xludf.DUMMYFUNCTION("""COMPUTED_VALUE"""),255.0)</f>
        <v>255</v>
      </c>
      <c r="G321" s="10">
        <f>IFERROR(__xludf.DUMMYFUNCTION("""COMPUTED_VALUE"""),9.0)</f>
        <v>9</v>
      </c>
      <c r="H321" s="10">
        <f>IFERROR(__xludf.DUMMYFUNCTION("""COMPUTED_VALUE"""),8.0)</f>
        <v>8</v>
      </c>
      <c r="I321" s="10">
        <f>IFERROR(__xludf.DUMMYFUNCTION("""COMPUTED_VALUE"""),0.0)</f>
        <v>0</v>
      </c>
      <c r="J321" s="10"/>
      <c r="K321" s="10"/>
      <c r="L321" s="10"/>
      <c r="M321" s="10">
        <f>IFERROR(__xludf.DUMMYFUNCTION("""COMPUTED_VALUE"""),9.0)</f>
        <v>9</v>
      </c>
      <c r="N321" s="10"/>
      <c r="O321" s="10"/>
      <c r="P321" s="10"/>
      <c r="Q321" s="10"/>
      <c r="R321" s="10"/>
      <c r="S321" s="10"/>
      <c r="T321" s="10"/>
      <c r="U321" s="18" t="str">
        <f>IFERROR(__xludf.DUMMYFUNCTION("""COMPUTED_VALUE"""),"https://drive.google.com/open?id=1Ghx3pxpVCivGMF7GW96vU7jo1_OBlL6U")</f>
        <v>https://drive.google.com/open?id=1Ghx3pxpVCivGMF7GW96vU7jo1_OBlL6U</v>
      </c>
      <c r="V321" s="10" t="str">
        <f>IFERROR(__xludf.DUMMYFUNCTION("""COMPUTED_VALUE"""),"جی نہیں۔ ")</f>
        <v>جی نہیں۔ </v>
      </c>
      <c r="W321" s="10"/>
      <c r="X321" s="10"/>
      <c r="Y321" s="14" t="str">
        <f>IFERROR(__xludf.DUMMYFUNCTION("""COMPUTED_VALUE"""),"akramif472@gmail.com")</f>
        <v>akramif472@gmail.com</v>
      </c>
      <c r="AA321" s="324"/>
    </row>
    <row r="322" hidden="1">
      <c r="A322" s="9">
        <f>IFERROR(__xludf.DUMMYFUNCTION("""COMPUTED_VALUE"""),45863.243451180555)</f>
        <v>45863.24345</v>
      </c>
      <c r="B322" s="10" t="str">
        <f>IFERROR(__xludf.DUMMYFUNCTION("""COMPUTED_VALUE"""),"Muhammad Waqas ")</f>
        <v>Muhammad Waqas </v>
      </c>
      <c r="C322" s="10" t="str">
        <f>IFERROR(__xludf.DUMMYFUNCTION("""COMPUTED_VALUE"""),"03068216308")</f>
        <v>03068216308</v>
      </c>
      <c r="D322" s="10" t="str">
        <f>IFERROR(__xludf.DUMMYFUNCTION("""COMPUTED_VALUE"""),"Jamia Masjid Allah Daad Trust Jahaniya Khanewal ")</f>
        <v>Jamia Masjid Allah Daad Trust Jahaniya Khanewal </v>
      </c>
      <c r="E322" s="10" t="str">
        <f>IFERROR(__xludf.DUMMYFUNCTION("""COMPUTED_VALUE"""),"BGZLC")</f>
        <v>BGZLC</v>
      </c>
      <c r="F322" s="10">
        <f>IFERROR(__xludf.DUMMYFUNCTION("""COMPUTED_VALUE"""),296.0)</f>
        <v>296</v>
      </c>
      <c r="G322" s="10">
        <f>IFERROR(__xludf.DUMMYFUNCTION("""COMPUTED_VALUE"""),8.0)</f>
        <v>8</v>
      </c>
      <c r="H322" s="10">
        <f>IFERROR(__xludf.DUMMYFUNCTION("""COMPUTED_VALUE"""),5.0)</f>
        <v>5</v>
      </c>
      <c r="I322" s="10">
        <f>IFERROR(__xludf.DUMMYFUNCTION("""COMPUTED_VALUE"""),0.0)</f>
        <v>0</v>
      </c>
      <c r="J322" s="10"/>
      <c r="K322" s="10"/>
      <c r="L322" s="10"/>
      <c r="M322" s="10">
        <f>IFERROR(__xludf.DUMMYFUNCTION("""COMPUTED_VALUE"""),7.0)</f>
        <v>7</v>
      </c>
      <c r="N322" s="10"/>
      <c r="O322" s="10"/>
      <c r="P322" s="10"/>
      <c r="Q322" s="10"/>
      <c r="R322" s="10"/>
      <c r="S322" s="10"/>
      <c r="T322" s="10"/>
      <c r="U322" s="18" t="str">
        <f>IFERROR(__xludf.DUMMYFUNCTION("""COMPUTED_VALUE"""),"https://drive.google.com/file/d/1BvB0wW9aXTBebjoGTczm_yEBh_0t0CL-/view?usp=drive_link")</f>
        <v>https://drive.google.com/file/d/1BvB0wW9aXTBebjoGTczm_yEBh_0t0CL-/view?usp=drive_link</v>
      </c>
      <c r="V322" s="10" t="str">
        <f>IFERROR(__xludf.DUMMYFUNCTION("""COMPUTED_VALUE"""),"Masjid ka new White wash honey ki waja sy Masjid Pora Name Nhi likha Gia tha ")</f>
        <v>Masjid ka new White wash honey ki waja sy Masjid Pora Name Nhi likha Gia tha </v>
      </c>
      <c r="W322" s="10"/>
      <c r="X322" s="10"/>
      <c r="Y322" s="14" t="str">
        <f>IFERROR(__xludf.DUMMYFUNCTION("""COMPUTED_VALUE"""),"wm8216308@gmail.com")</f>
        <v>wm8216308@gmail.com</v>
      </c>
      <c r="AA322" s="324"/>
    </row>
    <row r="323" hidden="1">
      <c r="A323" s="9">
        <f>IFERROR(__xludf.DUMMYFUNCTION("""COMPUTED_VALUE"""),45863.24451650463)</f>
        <v>45863.24452</v>
      </c>
      <c r="B323" s="10" t="str">
        <f>IFERROR(__xludf.DUMMYFUNCTION("""COMPUTED_VALUE"""),"Fahad Adeel ")</f>
        <v>Fahad Adeel </v>
      </c>
      <c r="C323" s="10" t="str">
        <f>IFERROR(__xludf.DUMMYFUNCTION("""COMPUTED_VALUE"""),"03008396958")</f>
        <v>03008396958</v>
      </c>
      <c r="D323" s="10" t="str">
        <f>IFERROR(__xludf.DUMMYFUNCTION("""COMPUTED_VALUE"""),"jamia Masjid markazi Eid Gah khanewal")</f>
        <v>jamia Masjid markazi Eid Gah khanewal</v>
      </c>
      <c r="E323" s="10" t="str">
        <f>IFERROR(__xludf.DUMMYFUNCTION("""COMPUTED_VALUE"""),"FRMFU")</f>
        <v>FRMFU</v>
      </c>
      <c r="F323" s="10">
        <f>IFERROR(__xludf.DUMMYFUNCTION("""COMPUTED_VALUE"""),1150.0)</f>
        <v>1150</v>
      </c>
      <c r="G323" s="10">
        <f>IFERROR(__xludf.DUMMYFUNCTION("""COMPUTED_VALUE"""),5.0)</f>
        <v>5</v>
      </c>
      <c r="H323" s="10">
        <f>IFERROR(__xludf.DUMMYFUNCTION("""COMPUTED_VALUE"""),4.0)</f>
        <v>4</v>
      </c>
      <c r="I323" s="10">
        <f>IFERROR(__xludf.DUMMYFUNCTION("""COMPUTED_VALUE"""),4.0)</f>
        <v>4</v>
      </c>
      <c r="J323" s="10"/>
      <c r="K323" s="10"/>
      <c r="L323" s="10"/>
      <c r="M323" s="10">
        <f>IFERROR(__xludf.DUMMYFUNCTION("""COMPUTED_VALUE"""),8.0)</f>
        <v>8</v>
      </c>
      <c r="N323" s="10"/>
      <c r="O323" s="10"/>
      <c r="P323" s="10"/>
      <c r="Q323" s="10"/>
      <c r="R323" s="10"/>
      <c r="S323" s="10"/>
      <c r="T323" s="10"/>
      <c r="U323" s="18" t="str">
        <f>IFERROR(__xludf.DUMMYFUNCTION("""COMPUTED_VALUE"""),"https://drive.google.com/open?id=1uP5bHnqJQ673PhQ-o1ni7ldTiJ8je3Kd")</f>
        <v>https://drive.google.com/open?id=1uP5bHnqJQ673PhQ-o1ni7ldTiJ8je3Kd</v>
      </c>
      <c r="V323" s="10" t="str">
        <f>IFERROR(__xludf.DUMMYFUNCTION("""COMPUTED_VALUE"""),"Nothing Special ")</f>
        <v>Nothing Special </v>
      </c>
      <c r="W323" s="10"/>
      <c r="X323" s="10"/>
      <c r="Y323" s="14" t="str">
        <f>IFERROR(__xludf.DUMMYFUNCTION("""COMPUTED_VALUE"""),"fahadsheikh4340@gmail.com")</f>
        <v>fahadsheikh4340@gmail.com</v>
      </c>
      <c r="AA323" s="324"/>
    </row>
    <row r="324" hidden="1">
      <c r="A324" s="9">
        <f>IFERROR(__xludf.DUMMYFUNCTION("""COMPUTED_VALUE"""),45863.246259363426)</f>
        <v>45863.24626</v>
      </c>
      <c r="B324" s="10" t="str">
        <f>IFERROR(__xludf.DUMMYFUNCTION("""COMPUTED_VALUE"""),"Kaleemullah ")</f>
        <v>Kaleemullah </v>
      </c>
      <c r="C324" s="10" t="str">
        <f>IFERROR(__xludf.DUMMYFUNCTION("""COMPUTED_VALUE"""),"03032672573")</f>
        <v>03032672573</v>
      </c>
      <c r="D324" s="10" t="str">
        <f>IFERROR(__xludf.DUMMYFUNCTION("""COMPUTED_VALUE"""),"Jamia masjid jagu wali")</f>
        <v>Jamia masjid jagu wali</v>
      </c>
      <c r="E324" s="10" t="str">
        <f>IFERROR(__xludf.DUMMYFUNCTION("""COMPUTED_VALUE"""),"OJKHV")</f>
        <v>OJKHV</v>
      </c>
      <c r="F324" s="10">
        <f>IFERROR(__xludf.DUMMYFUNCTION("""COMPUTED_VALUE"""),407.0)</f>
        <v>407</v>
      </c>
      <c r="G324" s="10">
        <f>IFERROR(__xludf.DUMMYFUNCTION("""COMPUTED_VALUE"""),8.0)</f>
        <v>8</v>
      </c>
      <c r="H324" s="10">
        <f>IFERROR(__xludf.DUMMYFUNCTION("""COMPUTED_VALUE"""),7.0)</f>
        <v>7</v>
      </c>
      <c r="I324" s="10" t="str">
        <f>IFERROR(__xludf.DUMMYFUNCTION("""COMPUTED_VALUE"""),"03")</f>
        <v>03</v>
      </c>
      <c r="J324" s="10"/>
      <c r="K324" s="10"/>
      <c r="L324" s="10"/>
      <c r="M324" s="10">
        <f>IFERROR(__xludf.DUMMYFUNCTION("""COMPUTED_VALUE"""),8.0)</f>
        <v>8</v>
      </c>
      <c r="N324" s="10"/>
      <c r="O324" s="10"/>
      <c r="P324" s="10"/>
      <c r="Q324" s="10"/>
      <c r="R324" s="10"/>
      <c r="S324" s="10"/>
      <c r="T324" s="10"/>
      <c r="U324" s="18" t="str">
        <f>IFERROR(__xludf.DUMMYFUNCTION("""COMPUTED_VALUE"""),"https://drive.google.com/open?id=1sbHpRWDqwo3T70kXTGqNi6qcOskuqLns")</f>
        <v>https://drive.google.com/open?id=1sbHpRWDqwo3T70kXTGqNi6qcOskuqLns</v>
      </c>
      <c r="V324" s="10"/>
      <c r="W324" s="10"/>
      <c r="X324" s="10"/>
      <c r="Y324" s="14" t="str">
        <f>IFERROR(__xludf.DUMMYFUNCTION("""COMPUTED_VALUE"""),"ku566650@gmail.com")</f>
        <v>ku566650@gmail.com</v>
      </c>
      <c r="AA324" s="324"/>
    </row>
    <row r="325" hidden="1">
      <c r="A325" s="9">
        <f>IFERROR(__xludf.DUMMYFUNCTION("""COMPUTED_VALUE"""),45863.247323206015)</f>
        <v>45863.24732</v>
      </c>
      <c r="B325" s="10" t="str">
        <f>IFERROR(__xludf.DUMMYFUNCTION("""COMPUTED_VALUE"""),"Riaz Hussain")</f>
        <v>Riaz Hussain</v>
      </c>
      <c r="C325" s="10" t="str">
        <f>IFERROR(__xludf.DUMMYFUNCTION("""COMPUTED_VALUE"""),"0329-2924404")</f>
        <v>0329-2924404</v>
      </c>
      <c r="D325" s="10" t="str">
        <f>IFERROR(__xludf.DUMMYFUNCTION("""COMPUTED_VALUE"""),"JAMIA MASJID KUMHAR MANDI")</f>
        <v>JAMIA MASJID KUMHAR MANDI</v>
      </c>
      <c r="E325" s="10" t="str">
        <f>IFERROR(__xludf.DUMMYFUNCTION("""COMPUTED_VALUE"""),"HKCEB")</f>
        <v>HKCEB</v>
      </c>
      <c r="F325" s="10">
        <f>IFERROR(__xludf.DUMMYFUNCTION("""COMPUTED_VALUE"""),327.0)</f>
        <v>327</v>
      </c>
      <c r="G325" s="10">
        <f>IFERROR(__xludf.DUMMYFUNCTION("""COMPUTED_VALUE"""),7.0)</f>
        <v>7</v>
      </c>
      <c r="H325" s="10">
        <f>IFERROR(__xludf.DUMMYFUNCTION("""COMPUTED_VALUE"""),8.0)</f>
        <v>8</v>
      </c>
      <c r="I325" s="10">
        <f>IFERROR(__xludf.DUMMYFUNCTION("""COMPUTED_VALUE"""),1.0)</f>
        <v>1</v>
      </c>
      <c r="J325" s="10"/>
      <c r="K325" s="10"/>
      <c r="L325" s="10"/>
      <c r="M325" s="10">
        <f>IFERROR(__xludf.DUMMYFUNCTION("""COMPUTED_VALUE"""),9.0)</f>
        <v>9</v>
      </c>
      <c r="N325" s="10"/>
      <c r="O325" s="10"/>
      <c r="P325" s="10"/>
      <c r="Q325" s="10"/>
      <c r="R325" s="10"/>
      <c r="S325" s="10"/>
      <c r="T325" s="10"/>
      <c r="U325" s="18" t="str">
        <f>IFERROR(__xludf.DUMMYFUNCTION("""COMPUTED_VALUE"""),"https://drive.google.com/open?id=1i9mjq6fHRshRZCnndVcrkoOAXoBvu1yh")</f>
        <v>https://drive.google.com/open?id=1i9mjq6fHRshRZCnndVcrkoOAXoBvu1yh</v>
      </c>
      <c r="V325" s="10"/>
      <c r="W325" s="10"/>
      <c r="X325" s="10"/>
      <c r="Y325" s="14" t="str">
        <f>IFERROR(__xludf.DUMMYFUNCTION("""COMPUTED_VALUE"""),"shriazhussain141@gmail.com")</f>
        <v>shriazhussain141@gmail.com</v>
      </c>
      <c r="AA325" s="324"/>
    </row>
    <row r="326" hidden="1">
      <c r="A326" s="9">
        <f>IFERROR(__xludf.DUMMYFUNCTION("""COMPUTED_VALUE"""),45863.25102402778)</f>
        <v>45863.25102</v>
      </c>
      <c r="B326" s="10" t="str">
        <f>IFERROR(__xludf.DUMMYFUNCTION("""COMPUTED_VALUE"""),"Muneeb Ahmad")</f>
        <v>Muneeb Ahmad</v>
      </c>
      <c r="C326" s="10" t="str">
        <f>IFERROR(__xludf.DUMMYFUNCTION("""COMPUTED_VALUE"""),"03036505287")</f>
        <v>03036505287</v>
      </c>
      <c r="D326" s="10" t="str">
        <f>IFERROR(__xludf.DUMMYFUNCTION("""COMPUTED_VALUE"""),"Jamia Masjid Madina Bohar Gate")</f>
        <v>Jamia Masjid Madina Bohar Gate</v>
      </c>
      <c r="E326" s="10" t="str">
        <f>IFERROR(__xludf.DUMMYFUNCTION("""COMPUTED_VALUE"""),"UKYKE")</f>
        <v>UKYKE</v>
      </c>
      <c r="F326" s="10">
        <f>IFERROR(__xludf.DUMMYFUNCTION("""COMPUTED_VALUE"""),107.0)</f>
        <v>107</v>
      </c>
      <c r="G326" s="10">
        <f>IFERROR(__xludf.DUMMYFUNCTION("""COMPUTED_VALUE"""),2.0)</f>
        <v>2</v>
      </c>
      <c r="H326" s="10">
        <f>IFERROR(__xludf.DUMMYFUNCTION("""COMPUTED_VALUE"""),3.0)</f>
        <v>3</v>
      </c>
      <c r="I326" s="10">
        <f>IFERROR(__xludf.DUMMYFUNCTION("""COMPUTED_VALUE"""),0.0)</f>
        <v>0</v>
      </c>
      <c r="J326" s="10"/>
      <c r="K326" s="10"/>
      <c r="L326" s="10"/>
      <c r="M326" s="10">
        <f>IFERROR(__xludf.DUMMYFUNCTION("""COMPUTED_VALUE"""),8.0)</f>
        <v>8</v>
      </c>
      <c r="N326" s="10"/>
      <c r="O326" s="10"/>
      <c r="P326" s="10"/>
      <c r="Q326" s="10"/>
      <c r="R326" s="10"/>
      <c r="S326" s="10"/>
      <c r="T326" s="10"/>
      <c r="U326" s="18" t="str">
        <f>IFERROR(__xludf.DUMMYFUNCTION("""COMPUTED_VALUE"""),"https://drive.google.com/open?id=1Q0KEZ3FuGacZ-xWYepcKvwau6O93FIDJ")</f>
        <v>https://drive.google.com/open?id=1Q0KEZ3FuGacZ-xWYepcKvwau6O93FIDJ</v>
      </c>
      <c r="V326" s="10" t="str">
        <f>IFERROR(__xludf.DUMMYFUNCTION("""COMPUTED_VALUE"""),"No")</f>
        <v>No</v>
      </c>
      <c r="W326" s="10"/>
      <c r="X326" s="10"/>
      <c r="Y326" s="14" t="str">
        <f>IFERROR(__xludf.DUMMYFUNCTION("""COMPUTED_VALUE"""),"kmkhan8747@gmail.com")</f>
        <v>kmkhan8747@gmail.com</v>
      </c>
      <c r="AA326" s="324"/>
    </row>
    <row r="327" hidden="1">
      <c r="A327" s="9">
        <f>IFERROR(__xludf.DUMMYFUNCTION("""COMPUTED_VALUE"""),45863.25163915509)</f>
        <v>45863.25164</v>
      </c>
      <c r="B327" s="10" t="str">
        <f>IFERROR(__xludf.DUMMYFUNCTION("""COMPUTED_VALUE"""),"Muhammad Rizwan")</f>
        <v>Muhammad Rizwan</v>
      </c>
      <c r="C327" s="10" t="str">
        <f>IFERROR(__xludf.DUMMYFUNCTION("""COMPUTED_VALUE"""),"03020878756")</f>
        <v>03020878756</v>
      </c>
      <c r="D327" s="10" t="str">
        <f>IFERROR(__xludf.DUMMYFUNCTION("""COMPUTED_VALUE"""),"Jamia masjid jhoke veenus Multan ")</f>
        <v>Jamia masjid jhoke veenus Multan </v>
      </c>
      <c r="E327" s="10" t="str">
        <f>IFERROR(__xludf.DUMMYFUNCTION("""COMPUTED_VALUE"""),"ZRPYU")</f>
        <v>ZRPYU</v>
      </c>
      <c r="F327" s="10">
        <f>IFERROR(__xludf.DUMMYFUNCTION("""COMPUTED_VALUE"""),170.0)</f>
        <v>170</v>
      </c>
      <c r="G327" s="10">
        <f>IFERROR(__xludf.DUMMYFUNCTION("""COMPUTED_VALUE"""),8.0)</f>
        <v>8</v>
      </c>
      <c r="H327" s="10">
        <f>IFERROR(__xludf.DUMMYFUNCTION("""COMPUTED_VALUE"""),7.0)</f>
        <v>7</v>
      </c>
      <c r="I327" s="10" t="str">
        <f>IFERROR(__xludf.DUMMYFUNCTION("""COMPUTED_VALUE"""),"3-5")</f>
        <v>3-5</v>
      </c>
      <c r="J327" s="10"/>
      <c r="K327" s="10"/>
      <c r="L327" s="10"/>
      <c r="M327" s="10">
        <f>IFERROR(__xludf.DUMMYFUNCTION("""COMPUTED_VALUE"""),9.0)</f>
        <v>9</v>
      </c>
      <c r="N327" s="10"/>
      <c r="O327" s="10"/>
      <c r="P327" s="10"/>
      <c r="Q327" s="10"/>
      <c r="R327" s="10"/>
      <c r="S327" s="10"/>
      <c r="T327" s="10"/>
      <c r="U327" s="18" t="str">
        <f>IFERROR(__xludf.DUMMYFUNCTION("""COMPUTED_VALUE"""),"https://drive.google.com/open?id=1XneVz5XtFHE6HgjhziOGooCdOIVKRd4x")</f>
        <v>https://drive.google.com/open?id=1XneVz5XtFHE6HgjhziOGooCdOIVKRd4x</v>
      </c>
      <c r="V327" s="10" t="str">
        <f>IFERROR(__xludf.DUMMYFUNCTION("""COMPUTED_VALUE"""),"No")</f>
        <v>No</v>
      </c>
      <c r="W327" s="10"/>
      <c r="X327" s="10"/>
      <c r="Y327" s="14" t="str">
        <f>IFERROR(__xludf.DUMMYFUNCTION("""COMPUTED_VALUE"""),"muhammadrizwankhanm276@gmail.com")</f>
        <v>muhammadrizwankhanm276@gmail.com</v>
      </c>
      <c r="AA327" s="324"/>
    </row>
    <row r="328" hidden="1">
      <c r="A328" s="9">
        <f>IFERROR(__xludf.DUMMYFUNCTION("""COMPUTED_VALUE"""),45863.2584195949)</f>
        <v>45863.25842</v>
      </c>
      <c r="B328" s="10" t="str">
        <f>IFERROR(__xludf.DUMMYFUNCTION("""COMPUTED_VALUE"""),"Sohaib")</f>
        <v>Sohaib</v>
      </c>
      <c r="C328" s="10" t="str">
        <f>IFERROR(__xludf.DUMMYFUNCTION("""COMPUTED_VALUE"""),"03177603116")</f>
        <v>03177603116</v>
      </c>
      <c r="D328" s="10" t="str">
        <f>IFERROR(__xludf.DUMMYFUNCTION("""COMPUTED_VALUE"""),"Jamia Masjid Gaalah Mandi khanewal")</f>
        <v>Jamia Masjid Gaalah Mandi khanewal</v>
      </c>
      <c r="E328" s="10" t="str">
        <f>IFERROR(__xludf.DUMMYFUNCTION("""COMPUTED_VALUE"""),"RTFEZ")</f>
        <v>RTFEZ</v>
      </c>
      <c r="F328" s="10">
        <f>IFERROR(__xludf.DUMMYFUNCTION("""COMPUTED_VALUE"""),310.0)</f>
        <v>310</v>
      </c>
      <c r="G328" s="10">
        <f>IFERROR(__xludf.DUMMYFUNCTION("""COMPUTED_VALUE"""),1.0)</f>
        <v>1</v>
      </c>
      <c r="H328" s="10">
        <f>IFERROR(__xludf.DUMMYFUNCTION("""COMPUTED_VALUE"""),1.0)</f>
        <v>1</v>
      </c>
      <c r="I328" s="10">
        <f>IFERROR(__xludf.DUMMYFUNCTION("""COMPUTED_VALUE"""),10.0)</f>
        <v>10</v>
      </c>
      <c r="J328" s="10"/>
      <c r="K328" s="10"/>
      <c r="L328" s="10"/>
      <c r="M328" s="10">
        <f>IFERROR(__xludf.DUMMYFUNCTION("""COMPUTED_VALUE"""),3.0)</f>
        <v>3</v>
      </c>
      <c r="N328" s="10"/>
      <c r="O328" s="10"/>
      <c r="P328" s="10"/>
      <c r="Q328" s="10"/>
      <c r="R328" s="10"/>
      <c r="S328" s="10"/>
      <c r="T328" s="10"/>
      <c r="U328" s="18" t="str">
        <f>IFERROR(__xludf.DUMMYFUNCTION("""COMPUTED_VALUE"""),"https://drive.google.com/open?id=1izC-5LejP7WTSmRZxTUBZiBFujYYCEIc")</f>
        <v>https://drive.google.com/open?id=1izC-5LejP7WTSmRZxTUBZiBFujYYCEIc</v>
      </c>
      <c r="V328" s="10" t="str">
        <f>IFERROR(__xludf.DUMMYFUNCTION("""COMPUTED_VALUE"""),"A lot of Sounding Fan are in mosque.No proper Sound system avalable.2 box of sounds are available but non in Good condition ")</f>
        <v>A lot of Sounding Fan are in mosque.No proper Sound system avalable.2 box of sounds are available but non in Good condition </v>
      </c>
      <c r="W328" s="10"/>
      <c r="X328" s="10"/>
      <c r="Y328" s="14" t="str">
        <f>IFERROR(__xludf.DUMMYFUNCTION("""COMPUTED_VALUE"""),"fahadsheikh4340@gmail.com")</f>
        <v>fahadsheikh4340@gmail.com</v>
      </c>
      <c r="AA328" s="324"/>
    </row>
    <row r="329" hidden="1">
      <c r="A329" s="9">
        <f>IFERROR(__xludf.DUMMYFUNCTION("""COMPUTED_VALUE"""),45863.259356319446)</f>
        <v>45863.25936</v>
      </c>
      <c r="B329" s="10" t="str">
        <f>IFERROR(__xludf.DUMMYFUNCTION("""COMPUTED_VALUE"""),"Sheraz Abbas")</f>
        <v>Sheraz Abbas</v>
      </c>
      <c r="C329" s="10" t="str">
        <f>IFERROR(__xludf.DUMMYFUNCTION("""COMPUTED_VALUE"""),"03091519138")</f>
        <v>03091519138</v>
      </c>
      <c r="D329" s="10" t="str">
        <f>IFERROR(__xludf.DUMMYFUNCTION("""COMPUTED_VALUE"""),"مسجد سے باہر کو نام نہیں تھا، ")</f>
        <v>مسجد سے باہر کو نام نہیں تھا، </v>
      </c>
      <c r="E329" s="10" t="str">
        <f>IFERROR(__xludf.DUMMYFUNCTION("""COMPUTED_VALUE"""),"NLHTW")</f>
        <v>NLHTW</v>
      </c>
      <c r="F329" s="10">
        <f>IFERROR(__xludf.DUMMYFUNCTION("""COMPUTED_VALUE"""),55.0)</f>
        <v>55</v>
      </c>
      <c r="G329" s="10">
        <f>IFERROR(__xludf.DUMMYFUNCTION("""COMPUTED_VALUE"""),9.0)</f>
        <v>9</v>
      </c>
      <c r="H329" s="10">
        <f>IFERROR(__xludf.DUMMYFUNCTION("""COMPUTED_VALUE"""),9.0)</f>
        <v>9</v>
      </c>
      <c r="I329" s="10" t="str">
        <f>IFERROR(__xludf.DUMMYFUNCTION("""COMPUTED_VALUE"""),"4 جگہ پر چھوٹی چھوٹی کندگی موجود تھی۔")</f>
        <v>4 جگہ پر چھوٹی چھوٹی کندگی موجود تھی۔</v>
      </c>
      <c r="J329" s="10"/>
      <c r="K329" s="10"/>
      <c r="L329" s="10"/>
      <c r="M329" s="10">
        <f>IFERROR(__xludf.DUMMYFUNCTION("""COMPUTED_VALUE"""),8.0)</f>
        <v>8</v>
      </c>
      <c r="N329" s="10"/>
      <c r="O329" s="10"/>
      <c r="P329" s="10"/>
      <c r="Q329" s="10"/>
      <c r="R329" s="10"/>
      <c r="S329" s="10"/>
      <c r="T329" s="10"/>
      <c r="U329" s="18" t="str">
        <f>IFERROR(__xludf.DUMMYFUNCTION("""COMPUTED_VALUE"""),"https://drive.google.com/open?id=1Q3hvK_-H5BUwHx2tfYySAcXd0SsJPjAN")</f>
        <v>https://drive.google.com/open?id=1Q3hvK_-H5BUwHx2tfYySAcXd0SsJPjAN</v>
      </c>
      <c r="V329" s="10" t="str">
        <f>IFERROR(__xludf.DUMMYFUNCTION("""COMPUTED_VALUE"""),"مسجد کا احاطہ بہت چھوٹا ہے، جس میں با مشکل 50 آدمی اتے ہیں اگر زیادہ آجائیں تو جگہ نہیں ہوتی اور کچھ کو دھوپ میں نماز پڑھنی پرتی ہے۔")</f>
        <v>مسجد کا احاطہ بہت چھوٹا ہے، جس میں با مشکل 50 آدمی اتے ہیں اگر زیادہ آجائیں تو جگہ نہیں ہوتی اور کچھ کو دھوپ میں نماز پڑھنی پرتی ہے۔</v>
      </c>
      <c r="W329" s="10"/>
      <c r="X329" s="10"/>
      <c r="Y329" s="14" t="str">
        <f>IFERROR(__xludf.DUMMYFUNCTION("""COMPUTED_VALUE"""),"teamxfluxs@gmail.com")</f>
        <v>teamxfluxs@gmail.com</v>
      </c>
      <c r="AA329" s="324"/>
    </row>
    <row r="330" hidden="1">
      <c r="A330" s="9">
        <f>IFERROR(__xludf.DUMMYFUNCTION("""COMPUTED_VALUE"""),45863.26198434028)</f>
        <v>45863.26198</v>
      </c>
      <c r="B330" s="10" t="str">
        <f>IFERROR(__xludf.DUMMYFUNCTION("""COMPUTED_VALUE"""),"Sajid Hussain ")</f>
        <v>Sajid Hussain </v>
      </c>
      <c r="C330" s="10" t="str">
        <f>IFERROR(__xludf.DUMMYFUNCTION("""COMPUTED_VALUE"""),"0302-8904114 ")</f>
        <v>0302-8904114 </v>
      </c>
      <c r="D330" s="10" t="str">
        <f>IFERROR(__xludf.DUMMYFUNCTION("""COMPUTED_VALUE"""),"Jamia Masjid Balochan Vali, Khoni Burj Multan")</f>
        <v>Jamia Masjid Balochan Vali, Khoni Burj Multan</v>
      </c>
      <c r="E330" s="10" t="str">
        <f>IFERROR(__xludf.DUMMYFUNCTION("""COMPUTED_VALUE"""),"ANROL")</f>
        <v>ANROL</v>
      </c>
      <c r="F330" s="10">
        <f>IFERROR(__xludf.DUMMYFUNCTION("""COMPUTED_VALUE"""),153.0)</f>
        <v>153</v>
      </c>
      <c r="G330" s="10">
        <f>IFERROR(__xludf.DUMMYFUNCTION("""COMPUTED_VALUE"""),8.0)</f>
        <v>8</v>
      </c>
      <c r="H330" s="10">
        <f>IFERROR(__xludf.DUMMYFUNCTION("""COMPUTED_VALUE"""),7.0)</f>
        <v>7</v>
      </c>
      <c r="I330" s="10">
        <f>IFERROR(__xludf.DUMMYFUNCTION("""COMPUTED_VALUE"""),3.0)</f>
        <v>3</v>
      </c>
      <c r="J330" s="10"/>
      <c r="K330" s="10"/>
      <c r="L330" s="10"/>
      <c r="M330" s="10">
        <f>IFERROR(__xludf.DUMMYFUNCTION("""COMPUTED_VALUE"""),9.0)</f>
        <v>9</v>
      </c>
      <c r="N330" s="10"/>
      <c r="O330" s="10"/>
      <c r="P330" s="10"/>
      <c r="Q330" s="10"/>
      <c r="R330" s="10"/>
      <c r="S330" s="10"/>
      <c r="T330" s="10"/>
      <c r="U330" s="18" t="str">
        <f>IFERROR(__xludf.DUMMYFUNCTION("""COMPUTED_VALUE"""),"https://drive.google.com/open?id=1AxtL0VVX29TEnC2UQkHp2nrMeXiuC1wd")</f>
        <v>https://drive.google.com/open?id=1AxtL0VVX29TEnC2UQkHp2nrMeXiuC1wd</v>
      </c>
      <c r="V330" s="10" t="str">
        <f>IFERROR(__xludf.DUMMYFUNCTION("""COMPUTED_VALUE"""),"There are two entrances of the mosque on one small entrance there use to be sitting some drug addicts they irritates imam sahib and the people who come to pray. Imam sahib has requested to help with the issue ")</f>
        <v>There are two entrances of the mosque on one small entrance there use to be sitting some drug addicts they irritates imam sahib and the people who come to pray. Imam sahib has requested to help with the issue </v>
      </c>
      <c r="W330" s="10"/>
      <c r="X330" s="10"/>
      <c r="Y330" s="14" t="str">
        <f>IFERROR(__xludf.DUMMYFUNCTION("""COMPUTED_VALUE"""),"sajidhussain00860@gmail.com")</f>
        <v>sajidhussain00860@gmail.com</v>
      </c>
      <c r="AA330" s="324"/>
    </row>
    <row r="331" hidden="1">
      <c r="A331" s="9">
        <f>IFERROR(__xludf.DUMMYFUNCTION("""COMPUTED_VALUE"""),45863.26352152778)</f>
        <v>45863.26352</v>
      </c>
      <c r="B331" s="10" t="str">
        <f>IFERROR(__xludf.DUMMYFUNCTION("""COMPUTED_VALUE"""),"M.usama Hanan")</f>
        <v>M.usama Hanan</v>
      </c>
      <c r="C331" s="10" t="str">
        <f>IFERROR(__xludf.DUMMYFUNCTION("""COMPUTED_VALUE"""),"03088678762")</f>
        <v>03088678762</v>
      </c>
      <c r="D331" s="10" t="str">
        <f>IFERROR(__xludf.DUMMYFUNCTION("""COMPUTED_VALUE"""),"Masjid k bahir koi nam NH likha hua tha pr masjid ka nam jamia masjid sarai ghulam Rasool h")</f>
        <v>Masjid k bahir koi nam NH likha hua tha pr masjid ka nam jamia masjid sarai ghulam Rasool h</v>
      </c>
      <c r="E331" s="10" t="str">
        <f>IFERROR(__xludf.DUMMYFUNCTION("""COMPUTED_VALUE"""),"JBEiD")</f>
        <v>JBEiD</v>
      </c>
      <c r="F331" s="10">
        <f>IFERROR(__xludf.DUMMYFUNCTION("""COMPUTED_VALUE"""),53.0)</f>
        <v>53</v>
      </c>
      <c r="G331" s="10">
        <f>IFERROR(__xludf.DUMMYFUNCTION("""COMPUTED_VALUE"""),5.0)</f>
        <v>5</v>
      </c>
      <c r="H331" s="10">
        <f>IFERROR(__xludf.DUMMYFUNCTION("""COMPUTED_VALUE"""),4.0)</f>
        <v>4</v>
      </c>
      <c r="I331" s="10">
        <f>IFERROR(__xludf.DUMMYFUNCTION("""COMPUTED_VALUE"""),12.0)</f>
        <v>12</v>
      </c>
      <c r="J331" s="10"/>
      <c r="K331" s="10"/>
      <c r="L331" s="10"/>
      <c r="M331" s="10">
        <f>IFERROR(__xludf.DUMMYFUNCTION("""COMPUTED_VALUE"""),8.0)</f>
        <v>8</v>
      </c>
      <c r="N331" s="10"/>
      <c r="O331" s="10"/>
      <c r="P331" s="10"/>
      <c r="Q331" s="10"/>
      <c r="R331" s="10"/>
      <c r="S331" s="10"/>
      <c r="T331" s="10"/>
      <c r="U331" s="10" t="str">
        <f>IFERROR(__xludf.DUMMYFUNCTION("""COMPUTED_VALUE"""),"https://drive.google.com/file/d/1IAYLULdPYKiFw5LXi8OahxmwkrOaEbur/view?usp=drive_link, https://drive.google.com/file/d/1l0XoQSuyc008Dz_oNgTWGF18E_evqrx1/view?usp=drive_link")</f>
        <v>https://drive.google.com/file/d/1IAYLULdPYKiFw5LXi8OahxmwkrOaEbur/view?usp=drive_link, https://drive.google.com/file/d/1l0XoQSuyc008Dz_oNgTWGF18E_evqrx1/view?usp=drive_link</v>
      </c>
      <c r="V331" s="10" t="str">
        <f>IFERROR(__xludf.DUMMYFUNCTION("""COMPUTED_VALUE"""),"NH koi NH h")</f>
        <v>NH koi NH h</v>
      </c>
      <c r="W331" s="10"/>
      <c r="X331" s="10"/>
      <c r="Y331" s="14" t="str">
        <f>IFERROR(__xludf.DUMMYFUNCTION("""COMPUTED_VALUE"""),"hananusama064@gmail.com")</f>
        <v>hananusama064@gmail.com</v>
      </c>
      <c r="AA331" s="324"/>
    </row>
    <row r="332" hidden="1">
      <c r="A332" s="9">
        <f>IFERROR(__xludf.DUMMYFUNCTION("""COMPUTED_VALUE"""),45863.26583471065)</f>
        <v>45863.26583</v>
      </c>
      <c r="B332" s="10" t="str">
        <f>IFERROR(__xludf.DUMMYFUNCTION("""COMPUTED_VALUE"""),"Aamir Rashid ")</f>
        <v>Aamir Rashid </v>
      </c>
      <c r="C332" s="10">
        <f>IFERROR(__xludf.DUMMYFUNCTION("""COMPUTED_VALUE"""),3.017908088E9)</f>
        <v>3017908088</v>
      </c>
      <c r="D332" s="10" t="str">
        <f>IFERROR(__xludf.DUMMYFUNCTION("""COMPUTED_VALUE"""),"Jamia Masjid Darbar Mula Qaid Shah DGKhan ")</f>
        <v>Jamia Masjid Darbar Mula Qaid Shah DGKhan </v>
      </c>
      <c r="E332" s="10" t="str">
        <f>IFERROR(__xludf.DUMMYFUNCTION("""COMPUTED_VALUE"""),"VSRRF")</f>
        <v>VSRRF</v>
      </c>
      <c r="F332" s="10">
        <f>IFERROR(__xludf.DUMMYFUNCTION("""COMPUTED_VALUE"""),107.0)</f>
        <v>107</v>
      </c>
      <c r="G332" s="10">
        <f>IFERROR(__xludf.DUMMYFUNCTION("""COMPUTED_VALUE"""),9.0)</f>
        <v>9</v>
      </c>
      <c r="H332" s="10">
        <f>IFERROR(__xludf.DUMMYFUNCTION("""COMPUTED_VALUE"""),9.0)</f>
        <v>9</v>
      </c>
      <c r="I332" s="10">
        <f>IFERROR(__xludf.DUMMYFUNCTION("""COMPUTED_VALUE"""),1.0)</f>
        <v>1</v>
      </c>
      <c r="J332" s="10"/>
      <c r="K332" s="10"/>
      <c r="L332" s="10"/>
      <c r="M332" s="10">
        <f>IFERROR(__xludf.DUMMYFUNCTION("""COMPUTED_VALUE"""),3.0)</f>
        <v>3</v>
      </c>
      <c r="N332" s="10"/>
      <c r="O332" s="10"/>
      <c r="P332" s="10"/>
      <c r="Q332" s="10"/>
      <c r="R332" s="10"/>
      <c r="S332" s="10"/>
      <c r="T332" s="10"/>
      <c r="U332" s="18" t="str">
        <f>IFERROR(__xludf.DUMMYFUNCTION("""COMPUTED_VALUE"""),"https://drive.google.com/open?id=1MhSOXS9xMVJZKUPOoL44uToAaFM1A4RB")</f>
        <v>https://drive.google.com/open?id=1MhSOXS9xMVJZKUPOoL44uToAaFM1A4RB</v>
      </c>
      <c r="V332" s="10"/>
      <c r="W332" s="10"/>
      <c r="X332" s="10"/>
      <c r="Y332" s="14" t="str">
        <f>IFERROR(__xludf.DUMMYFUNCTION("""COMPUTED_VALUE"""),"aamirrashid007@gmail.com")</f>
        <v>aamirrashid007@gmail.com</v>
      </c>
      <c r="AA332" s="324"/>
    </row>
    <row r="333" hidden="1">
      <c r="A333" s="9">
        <f>IFERROR(__xludf.DUMMYFUNCTION("""COMPUTED_VALUE"""),45863.2668275926)</f>
        <v>45863.26683</v>
      </c>
      <c r="B333" s="10" t="str">
        <f>IFERROR(__xludf.DUMMYFUNCTION("""COMPUTED_VALUE"""),"Shoaib Ahmad ")</f>
        <v>Shoaib Ahmad </v>
      </c>
      <c r="C333" s="10">
        <f>IFERROR(__xludf.DUMMYFUNCTION("""COMPUTED_VALUE"""),3.006745467E9)</f>
        <v>3006745467</v>
      </c>
      <c r="D333" s="10" t="str">
        <f>IFERROR(__xludf.DUMMYFUNCTION("""COMPUTED_VALUE"""),"Jamai Mosjid Goth Aalu Sadicabad ")</f>
        <v>Jamai Mosjid Goth Aalu Sadicabad </v>
      </c>
      <c r="E333" s="10" t="str">
        <f>IFERROR(__xludf.DUMMYFUNCTION("""COMPUTED_VALUE"""),"TEBUN")</f>
        <v>TEBUN</v>
      </c>
      <c r="F333" s="10">
        <f>IFERROR(__xludf.DUMMYFUNCTION("""COMPUTED_VALUE"""),50.0)</f>
        <v>50</v>
      </c>
      <c r="G333" s="10">
        <f>IFERROR(__xludf.DUMMYFUNCTION("""COMPUTED_VALUE"""),7.0)</f>
        <v>7</v>
      </c>
      <c r="H333" s="10">
        <f>IFERROR(__xludf.DUMMYFUNCTION("""COMPUTED_VALUE"""),5.0)</f>
        <v>5</v>
      </c>
      <c r="I333" s="10">
        <f>IFERROR(__xludf.DUMMYFUNCTION("""COMPUTED_VALUE"""),2.0)</f>
        <v>2</v>
      </c>
      <c r="J333" s="10"/>
      <c r="K333" s="10"/>
      <c r="L333" s="10"/>
      <c r="M333" s="10">
        <f>IFERROR(__xludf.DUMMYFUNCTION("""COMPUTED_VALUE"""),8.0)</f>
        <v>8</v>
      </c>
      <c r="N333" s="10"/>
      <c r="O333" s="10"/>
      <c r="P333" s="10"/>
      <c r="Q333" s="10"/>
      <c r="R333" s="10"/>
      <c r="S333" s="10"/>
      <c r="T333" s="10"/>
      <c r="U333" s="18" t="str">
        <f>IFERROR(__xludf.DUMMYFUNCTION("""COMPUTED_VALUE"""),"https://drive.google.com/open?id=1xFVhtLoXOC3uAFfIdSVUWAMGapX_JAwE")</f>
        <v>https://drive.google.com/open?id=1xFVhtLoXOC3uAFfIdSVUWAMGapX_JAwE</v>
      </c>
      <c r="V333" s="10" t="str">
        <f>IFERROR(__xludf.DUMMYFUNCTION("""COMPUTED_VALUE"""),"Jamia mosjid Goth aalu exist in sindh punjab border. A long distance from Rahim Yar khan ")</f>
        <v>Jamia mosjid Goth aalu exist in sindh punjab border. A long distance from Rahim Yar khan </v>
      </c>
      <c r="W333" s="10"/>
      <c r="X333" s="10"/>
      <c r="Y333" s="14" t="str">
        <f>IFERROR(__xludf.DUMMYFUNCTION("""COMPUTED_VALUE"""),"threealfa89@gmail.com")</f>
        <v>threealfa89@gmail.com</v>
      </c>
      <c r="AA333" s="324"/>
    </row>
    <row r="334" hidden="1">
      <c r="A334" s="9">
        <f>IFERROR(__xludf.DUMMYFUNCTION("""COMPUTED_VALUE"""),45863.26742005787)</f>
        <v>45863.26742</v>
      </c>
      <c r="B334" s="10" t="str">
        <f>IFERROR(__xludf.DUMMYFUNCTION("""COMPUTED_VALUE"""),"Muhammad Hamid Ali ")</f>
        <v>Muhammad Hamid Ali </v>
      </c>
      <c r="C334" s="10" t="str">
        <f>IFERROR(__xludf.DUMMYFUNCTION("""COMPUTED_VALUE"""),"03006923636")</f>
        <v>03006923636</v>
      </c>
      <c r="D334" s="10" t="str">
        <f>IFERROR(__xludf.DUMMYFUNCTION("""COMPUTED_VALUE"""),"جامع مسجد ملحقہ دربار حضرت بابا تاج الدین سرور سرکار رحمۃ اللّٰہ علیہ ")</f>
        <v>جامع مسجد ملحقہ دربار حضرت بابا تاج الدین سرور سرکار رحمۃ اللّٰہ علیہ </v>
      </c>
      <c r="E334" s="10" t="str">
        <f>IFERROR(__xludf.DUMMYFUNCTION("""COMPUTED_VALUE"""),"UVKDX ")</f>
        <v>UVKDX </v>
      </c>
      <c r="F334" s="10">
        <f>IFERROR(__xludf.DUMMYFUNCTION("""COMPUTED_VALUE"""),850.0)</f>
        <v>850</v>
      </c>
      <c r="G334" s="10">
        <f>IFERROR(__xludf.DUMMYFUNCTION("""COMPUTED_VALUE"""),8.0)</f>
        <v>8</v>
      </c>
      <c r="H334" s="10">
        <f>IFERROR(__xludf.DUMMYFUNCTION("""COMPUTED_VALUE"""),7.0)</f>
        <v>7</v>
      </c>
      <c r="I334" s="10">
        <f>IFERROR(__xludf.DUMMYFUNCTION("""COMPUTED_VALUE"""),2.0)</f>
        <v>2</v>
      </c>
      <c r="J334" s="10"/>
      <c r="K334" s="10"/>
      <c r="L334" s="10"/>
      <c r="M334" s="10">
        <f>IFERROR(__xludf.DUMMYFUNCTION("""COMPUTED_VALUE"""),9.0)</f>
        <v>9</v>
      </c>
      <c r="N334" s="10"/>
      <c r="O334" s="10"/>
      <c r="P334" s="10"/>
      <c r="Q334" s="10"/>
      <c r="R334" s="10"/>
      <c r="S334" s="10"/>
      <c r="T334" s="10"/>
      <c r="U334" s="18" t="str">
        <f>IFERROR(__xludf.DUMMYFUNCTION("""COMPUTED_VALUE"""),"https://drive.google.com/open?id=1Q-5HDO_cbndN4lTHR89xMHFb9DLnzUWR")</f>
        <v>https://drive.google.com/open?id=1Q-5HDO_cbndN4lTHR89xMHFb9DLnzUWR</v>
      </c>
      <c r="V334" s="10" t="str">
        <f>IFERROR(__xludf.DUMMYFUNCTION("""COMPUTED_VALUE"""),"مسجد کے چاروں اطراف قبرستان ہے ")</f>
        <v>مسجد کے چاروں اطراف قبرستان ہے </v>
      </c>
      <c r="W334" s="10"/>
      <c r="X334" s="10"/>
      <c r="Y334" s="14" t="str">
        <f>IFERROR(__xludf.DUMMYFUNCTION("""COMPUTED_VALUE"""),"hamidalisultani11@gmail.com")</f>
        <v>hamidalisultani11@gmail.com</v>
      </c>
      <c r="AA334" s="324"/>
    </row>
    <row r="335" hidden="1">
      <c r="A335" s="9">
        <f>IFERROR(__xludf.DUMMYFUNCTION("""COMPUTED_VALUE"""),45863.26837310185)</f>
        <v>45863.26837</v>
      </c>
      <c r="B335" s="10" t="str">
        <f>IFERROR(__xludf.DUMMYFUNCTION("""COMPUTED_VALUE"""),"AHSAN AHMAD ")</f>
        <v>AHSAN AHMAD </v>
      </c>
      <c r="C335" s="10" t="str">
        <f>IFERROR(__xludf.DUMMYFUNCTION("""COMPUTED_VALUE"""),"03008776162")</f>
        <v>03008776162</v>
      </c>
      <c r="D335" s="10" t="str">
        <f>IFERROR(__xludf.DUMMYFUNCTION("""COMPUTED_VALUE"""),"Jamia Masjid Mustri Kamal din")</f>
        <v>Jamia Masjid Mustri Kamal din</v>
      </c>
      <c r="E335" s="10" t="str">
        <f>IFERROR(__xludf.DUMMYFUNCTION("""COMPUTED_VALUE"""),"XATDF")</f>
        <v>XATDF</v>
      </c>
      <c r="F335" s="10">
        <f>IFERROR(__xludf.DUMMYFUNCTION("""COMPUTED_VALUE"""),165.0)</f>
        <v>165</v>
      </c>
      <c r="G335" s="10">
        <f>IFERROR(__xludf.DUMMYFUNCTION("""COMPUTED_VALUE"""),8.0)</f>
        <v>8</v>
      </c>
      <c r="H335" s="10">
        <f>IFERROR(__xludf.DUMMYFUNCTION("""COMPUTED_VALUE"""),8.0)</f>
        <v>8</v>
      </c>
      <c r="I335" s="10" t="str">
        <f>IFERROR(__xludf.DUMMYFUNCTION("""COMPUTED_VALUE"""),"No")</f>
        <v>No</v>
      </c>
      <c r="J335" s="10"/>
      <c r="K335" s="10"/>
      <c r="L335" s="10"/>
      <c r="M335" s="10">
        <f>IFERROR(__xludf.DUMMYFUNCTION("""COMPUTED_VALUE"""),8.0)</f>
        <v>8</v>
      </c>
      <c r="N335" s="10"/>
      <c r="O335" s="10"/>
      <c r="P335" s="10"/>
      <c r="Q335" s="10"/>
      <c r="R335" s="10"/>
      <c r="S335" s="10"/>
      <c r="T335" s="10"/>
      <c r="U335" s="18" t="str">
        <f>IFERROR(__xludf.DUMMYFUNCTION("""COMPUTED_VALUE"""),"https://drive.google.com/open?id=1ZIct1WcYhE87jlo3YyRIhKkkFSaHu1Lu")</f>
        <v>https://drive.google.com/open?id=1ZIct1WcYhE87jlo3YyRIhKkkFSaHu1Lu</v>
      </c>
      <c r="V335" s="10" t="str">
        <f>IFERROR(__xludf.DUMMYFUNCTION("""COMPUTED_VALUE"""),"FIRST 15 MINUTE BY ASSISTANT OF MOLANA, LAST 15 MINUTE BY MOLANA MAZHAR MUKHTAR HIMSELF")</f>
        <v>FIRST 15 MINUTE BY ASSISTANT OF MOLANA, LAST 15 MINUTE BY MOLANA MAZHAR MUKHTAR HIMSELF</v>
      </c>
      <c r="W335" s="10"/>
      <c r="X335" s="10"/>
      <c r="Y335" s="14" t="str">
        <f>IFERROR(__xludf.DUMMYFUNCTION("""COMPUTED_VALUE"""),"ahsanahmadrao79@gmail.com")</f>
        <v>ahsanahmadrao79@gmail.com</v>
      </c>
      <c r="AA335" s="324"/>
    </row>
    <row r="336" hidden="1">
      <c r="A336" s="9">
        <f>IFERROR(__xludf.DUMMYFUNCTION("""COMPUTED_VALUE"""),45863.26916300926)</f>
        <v>45863.26916</v>
      </c>
      <c r="B336" s="10" t="str">
        <f>IFERROR(__xludf.DUMMYFUNCTION("""COMPUTED_VALUE"""),"Muhammad rehan")</f>
        <v>Muhammad rehan</v>
      </c>
      <c r="C336" s="10" t="str">
        <f>IFERROR(__xludf.DUMMYFUNCTION("""COMPUTED_VALUE"""),"03414090005")</f>
        <v>03414090005</v>
      </c>
      <c r="D336" s="10" t="str">
        <f>IFERROR(__xludf.DUMMYFUNCTION("""COMPUTED_VALUE"""),"Jammia masjid maii sab")</f>
        <v>Jammia masjid maii sab</v>
      </c>
      <c r="E336" s="10" t="str">
        <f>IFERROR(__xludf.DUMMYFUNCTION("""COMPUTED_VALUE"""),"QQSMI")</f>
        <v>QQSMI</v>
      </c>
      <c r="F336" s="10">
        <f>IFERROR(__xludf.DUMMYFUNCTION("""COMPUTED_VALUE"""),196.0)</f>
        <v>196</v>
      </c>
      <c r="G336" s="10">
        <f>IFERROR(__xludf.DUMMYFUNCTION("""COMPUTED_VALUE"""),8.0)</f>
        <v>8</v>
      </c>
      <c r="H336" s="10">
        <f>IFERROR(__xludf.DUMMYFUNCTION("""COMPUTED_VALUE"""),6.0)</f>
        <v>6</v>
      </c>
      <c r="I336" s="10">
        <f>IFERROR(__xludf.DUMMYFUNCTION("""COMPUTED_VALUE"""),2.0)</f>
        <v>2</v>
      </c>
      <c r="J336" s="10"/>
      <c r="K336" s="10"/>
      <c r="L336" s="10"/>
      <c r="M336" s="10">
        <f>IFERROR(__xludf.DUMMYFUNCTION("""COMPUTED_VALUE"""),9.0)</f>
        <v>9</v>
      </c>
      <c r="N336" s="10"/>
      <c r="O336" s="10"/>
      <c r="P336" s="10"/>
      <c r="Q336" s="10"/>
      <c r="R336" s="10"/>
      <c r="S336" s="10"/>
      <c r="T336" s="10"/>
      <c r="U336" s="18" t="str">
        <f>IFERROR(__xludf.DUMMYFUNCTION("""COMPUTED_VALUE"""),"https://drive.google.com/open?id=1NgGffKDwBfZBYffODnUVH_hwCUoeWp8q")</f>
        <v>https://drive.google.com/open?id=1NgGffKDwBfZBYffODnUVH_hwCUoeWp8q</v>
      </c>
      <c r="V336" s="10"/>
      <c r="W336" s="10"/>
      <c r="X336" s="10"/>
      <c r="Y336" s="14" t="str">
        <f>IFERROR(__xludf.DUMMYFUNCTION("""COMPUTED_VALUE"""),"rehan00000000@gmail.com")</f>
        <v>rehan00000000@gmail.com</v>
      </c>
      <c r="AA336" s="324"/>
    </row>
    <row r="337" hidden="1">
      <c r="A337" s="9">
        <f>IFERROR(__xludf.DUMMYFUNCTION("""COMPUTED_VALUE"""),45863.27034703703)</f>
        <v>45863.27035</v>
      </c>
      <c r="B337" s="10" t="str">
        <f>IFERROR(__xludf.DUMMYFUNCTION("""COMPUTED_VALUE"""),"Arif Ali")</f>
        <v>Arif Ali</v>
      </c>
      <c r="C337" s="10" t="str">
        <f>IFERROR(__xludf.DUMMYFUNCTION("""COMPUTED_VALUE"""),"03017495940")</f>
        <v>03017495940</v>
      </c>
      <c r="D337" s="10" t="str">
        <f>IFERROR(__xludf.DUMMYFUNCTION("""COMPUTED_VALUE"""),"Jamia Masjid Ghalla Mandi")</f>
        <v>Jamia Masjid Ghalla Mandi</v>
      </c>
      <c r="E337" s="10" t="str">
        <f>IFERROR(__xludf.DUMMYFUNCTION("""COMPUTED_VALUE"""),"EKXDH")</f>
        <v>EKXDH</v>
      </c>
      <c r="F337" s="10">
        <f>IFERROR(__xludf.DUMMYFUNCTION("""COMPUTED_VALUE"""),155.0)</f>
        <v>155</v>
      </c>
      <c r="G337" s="10">
        <f>IFERROR(__xludf.DUMMYFUNCTION("""COMPUTED_VALUE"""),9.0)</f>
        <v>9</v>
      </c>
      <c r="H337" s="10">
        <f>IFERROR(__xludf.DUMMYFUNCTION("""COMPUTED_VALUE"""),9.0)</f>
        <v>9</v>
      </c>
      <c r="I337" s="10">
        <f>IFERROR(__xludf.DUMMYFUNCTION("""COMPUTED_VALUE"""),0.0)</f>
        <v>0</v>
      </c>
      <c r="J337" s="10"/>
      <c r="K337" s="10"/>
      <c r="L337" s="10"/>
      <c r="M337" s="10">
        <f>IFERROR(__xludf.DUMMYFUNCTION("""COMPUTED_VALUE"""),8.0)</f>
        <v>8</v>
      </c>
      <c r="N337" s="10"/>
      <c r="O337" s="10"/>
      <c r="P337" s="10"/>
      <c r="Q337" s="10"/>
      <c r="R337" s="10"/>
      <c r="S337" s="10"/>
      <c r="T337" s="10"/>
      <c r="U337" s="18" t="str">
        <f>IFERROR(__xludf.DUMMYFUNCTION("""COMPUTED_VALUE"""),"https://drive.google.com/open?id=1vD_pDtT167ixCPI8fzxYa2ERWBIpET1O")</f>
        <v>https://drive.google.com/open?id=1vD_pDtT167ixCPI8fzxYa2ERWBIpET1O</v>
      </c>
      <c r="V337" s="10"/>
      <c r="W337" s="10"/>
      <c r="X337" s="10"/>
      <c r="Y337" s="14" t="str">
        <f>IFERROR(__xludf.DUMMYFUNCTION("""COMPUTED_VALUE"""),"arifislamian@gmail.com")</f>
        <v>arifislamian@gmail.com</v>
      </c>
      <c r="AA337" s="324"/>
    </row>
    <row r="338" hidden="1">
      <c r="A338" s="9">
        <f>IFERROR(__xludf.DUMMYFUNCTION("""COMPUTED_VALUE"""),45863.27034753472)</f>
        <v>45863.27035</v>
      </c>
      <c r="B338" s="10" t="str">
        <f>IFERROR(__xludf.DUMMYFUNCTION("""COMPUTED_VALUE"""),"Muhammad Amin")</f>
        <v>Muhammad Amin</v>
      </c>
      <c r="C338" s="10" t="str">
        <f>IFERROR(__xludf.DUMMYFUNCTION("""COMPUTED_VALUE"""),"0300-7990842")</f>
        <v>0300-7990842</v>
      </c>
      <c r="D338" s="10" t="str">
        <f>IFERROR(__xludf.DUMMYFUNCTION("""COMPUTED_VALUE"""),"Jamia Masjid kabotar Mandi")</f>
        <v>Jamia Masjid kabotar Mandi</v>
      </c>
      <c r="E338" s="10" t="str">
        <f>IFERROR(__xludf.DUMMYFUNCTION("""COMPUTED_VALUE"""),"ULEIT")</f>
        <v>ULEIT</v>
      </c>
      <c r="F338" s="10">
        <f>IFERROR(__xludf.DUMMYFUNCTION("""COMPUTED_VALUE"""),187.0)</f>
        <v>187</v>
      </c>
      <c r="G338" s="10">
        <f>IFERROR(__xludf.DUMMYFUNCTION("""COMPUTED_VALUE"""),6.0)</f>
        <v>6</v>
      </c>
      <c r="H338" s="10">
        <f>IFERROR(__xludf.DUMMYFUNCTION("""COMPUTED_VALUE"""),6.0)</f>
        <v>6</v>
      </c>
      <c r="I338" s="10" t="str">
        <f>IFERROR(__xludf.DUMMYFUNCTION("""COMPUTED_VALUE"""),"03")</f>
        <v>03</v>
      </c>
      <c r="J338" s="10"/>
      <c r="K338" s="10"/>
      <c r="L338" s="10"/>
      <c r="M338" s="10">
        <f>IFERROR(__xludf.DUMMYFUNCTION("""COMPUTED_VALUE"""),9.0)</f>
        <v>9</v>
      </c>
      <c r="N338" s="10"/>
      <c r="O338" s="10"/>
      <c r="P338" s="10"/>
      <c r="Q338" s="10"/>
      <c r="R338" s="10"/>
      <c r="S338" s="10"/>
      <c r="T338" s="10"/>
      <c r="U338" s="18" t="str">
        <f>IFERROR(__xludf.DUMMYFUNCTION("""COMPUTED_VALUE"""),"https://drive.google.com/open?id=1V3wp-UNHrzfwZB57fM3-PdH7Uwsqsnru")</f>
        <v>https://drive.google.com/open?id=1V3wp-UNHrzfwZB57fM3-PdH7Uwsqsnru</v>
      </c>
      <c r="V338" s="10" t="str">
        <f>IFERROR(__xludf.DUMMYFUNCTION("""COMPUTED_VALUE"""),"N/A")</f>
        <v>N/A</v>
      </c>
      <c r="W338" s="10"/>
      <c r="X338" s="10"/>
      <c r="Y338" s="14" t="str">
        <f>IFERROR(__xludf.DUMMYFUNCTION("""COMPUTED_VALUE"""),"ameenmeo799@gmail.com")</f>
        <v>ameenmeo799@gmail.com</v>
      </c>
      <c r="AA338" s="324"/>
    </row>
    <row r="339" hidden="1">
      <c r="A339" s="9">
        <f>IFERROR(__xludf.DUMMYFUNCTION("""COMPUTED_VALUE"""),45863.27127131945)</f>
        <v>45863.27127</v>
      </c>
      <c r="B339" s="10" t="str">
        <f>IFERROR(__xludf.DUMMYFUNCTION("""COMPUTED_VALUE"""),"Shahzad Akhtar ")</f>
        <v>Shahzad Akhtar </v>
      </c>
      <c r="C339" s="10" t="str">
        <f>IFERROR(__xludf.DUMMYFUNCTION("""COMPUTED_VALUE"""),"03006830260")</f>
        <v>03006830260</v>
      </c>
      <c r="D339" s="10" t="str">
        <f>IFERROR(__xludf.DUMMYFUNCTION("""COMPUTED_VALUE"""),"Jamia Masjid Bostana Aziz ")</f>
        <v>Jamia Masjid Bostana Aziz </v>
      </c>
      <c r="E339" s="10" t="str">
        <f>IFERROR(__xludf.DUMMYFUNCTION("""COMPUTED_VALUE"""),"RTHFH")</f>
        <v>RTHFH</v>
      </c>
      <c r="F339" s="10">
        <f>IFERROR(__xludf.DUMMYFUNCTION("""COMPUTED_VALUE"""),356.0)</f>
        <v>356</v>
      </c>
      <c r="G339" s="10">
        <f>IFERROR(__xludf.DUMMYFUNCTION("""COMPUTED_VALUE"""),8.0)</f>
        <v>8</v>
      </c>
      <c r="H339" s="10">
        <f>IFERROR(__xludf.DUMMYFUNCTION("""COMPUTED_VALUE"""),8.0)</f>
        <v>8</v>
      </c>
      <c r="I339" s="10">
        <f>IFERROR(__xludf.DUMMYFUNCTION("""COMPUTED_VALUE"""),3.0)</f>
        <v>3</v>
      </c>
      <c r="J339" s="10"/>
      <c r="K339" s="10"/>
      <c r="L339" s="10"/>
      <c r="M339" s="10">
        <f>IFERROR(__xludf.DUMMYFUNCTION("""COMPUTED_VALUE"""),6.0)</f>
        <v>6</v>
      </c>
      <c r="N339" s="10"/>
      <c r="O339" s="10"/>
      <c r="P339" s="10"/>
      <c r="Q339" s="10"/>
      <c r="R339" s="10"/>
      <c r="S339" s="10"/>
      <c r="T339" s="10"/>
      <c r="U339" s="18" t="str">
        <f>IFERROR(__xludf.DUMMYFUNCTION("""COMPUTED_VALUE"""),"https://drive.google.com/open?id=1mLfZz0lXPjtaKBOxQKHg-Aodsvnd3Hg2")</f>
        <v>https://drive.google.com/open?id=1mLfZz0lXPjtaKBOxQKHg-Aodsvnd3Hg2</v>
      </c>
      <c r="V339" s="10" t="str">
        <f>IFERROR(__xludf.DUMMYFUNCTION("""COMPUTED_VALUE"""),"Nothing ")</f>
        <v>Nothing </v>
      </c>
      <c r="W339" s="10"/>
      <c r="X339" s="10"/>
      <c r="Y339" s="14" t="str">
        <f>IFERROR(__xludf.DUMMYFUNCTION("""COMPUTED_VALUE"""),"abdulquddous027@gmail.com")</f>
        <v>abdulquddous027@gmail.com</v>
      </c>
      <c r="AA339" s="324"/>
    </row>
    <row r="340" hidden="1">
      <c r="A340" s="9">
        <f>IFERROR(__xludf.DUMMYFUNCTION("""COMPUTED_VALUE"""),45863.27202711806)</f>
        <v>45863.27203</v>
      </c>
      <c r="B340" s="10" t="str">
        <f>IFERROR(__xludf.DUMMYFUNCTION("""COMPUTED_VALUE"""),"Ahsan Shahzad ")</f>
        <v>Ahsan Shahzad </v>
      </c>
      <c r="C340" s="10" t="str">
        <f>IFERROR(__xludf.DUMMYFUNCTION("""COMPUTED_VALUE"""),"03099804129")</f>
        <v>03099804129</v>
      </c>
      <c r="D340" s="10" t="str">
        <f>IFERROR(__xludf.DUMMYFUNCTION("""COMPUTED_VALUE"""),"Chaner peer jama masjid ")</f>
        <v>Chaner peer jama masjid </v>
      </c>
      <c r="E340" s="10" t="str">
        <f>IFERROR(__xludf.DUMMYFUNCTION("""COMPUTED_VALUE"""),"DQKGK")</f>
        <v>DQKGK</v>
      </c>
      <c r="F340" s="10">
        <f>IFERROR(__xludf.DUMMYFUNCTION("""COMPUTED_VALUE"""),209.0)</f>
        <v>209</v>
      </c>
      <c r="G340" s="10">
        <f>IFERROR(__xludf.DUMMYFUNCTION("""COMPUTED_VALUE"""),8.0)</f>
        <v>8</v>
      </c>
      <c r="H340" s="10">
        <f>IFERROR(__xludf.DUMMYFUNCTION("""COMPUTED_VALUE"""),5.0)</f>
        <v>5</v>
      </c>
      <c r="I340" s="10">
        <f>IFERROR(__xludf.DUMMYFUNCTION("""COMPUTED_VALUE"""),2.0)</f>
        <v>2</v>
      </c>
      <c r="J340" s="10"/>
      <c r="K340" s="10"/>
      <c r="L340" s="10"/>
      <c r="M340" s="10">
        <f>IFERROR(__xludf.DUMMYFUNCTION("""COMPUTED_VALUE"""),7.0)</f>
        <v>7</v>
      </c>
      <c r="N340" s="10"/>
      <c r="O340" s="10"/>
      <c r="P340" s="10"/>
      <c r="Q340" s="10"/>
      <c r="R340" s="10"/>
      <c r="S340" s="10"/>
      <c r="T340" s="10"/>
      <c r="U340" s="18" t="str">
        <f>IFERROR(__xludf.DUMMYFUNCTION("""COMPUTED_VALUE"""),"https://drive.google.com/open?id=1QCg6HHy2xV7Hs7EyphyRMiJz53qtAjI-")</f>
        <v>https://drive.google.com/open?id=1QCg6HHy2xV7Hs7EyphyRMiJz53qtAjI-</v>
      </c>
      <c r="V340" s="10" t="str">
        <f>IFERROR(__xludf.DUMMYFUNCTION("""COMPUTED_VALUE"""),"Nahi")</f>
        <v>Nahi</v>
      </c>
      <c r="W340" s="10"/>
      <c r="X340" s="10"/>
      <c r="Y340" s="14" t="str">
        <f>IFERROR(__xludf.DUMMYFUNCTION("""COMPUTED_VALUE"""),"askhokhar1371@gmail.com")</f>
        <v>askhokhar1371@gmail.com</v>
      </c>
      <c r="AA340" s="324"/>
    </row>
    <row r="341" hidden="1">
      <c r="A341" s="9">
        <f>IFERROR(__xludf.DUMMYFUNCTION("""COMPUTED_VALUE"""),45863.27292357638)</f>
        <v>45863.27292</v>
      </c>
      <c r="B341" s="10" t="str">
        <f>IFERROR(__xludf.DUMMYFUNCTION("""COMPUTED_VALUE"""),"Muhammad Waseem ")</f>
        <v>Muhammad Waseem </v>
      </c>
      <c r="C341" s="10" t="str">
        <f>IFERROR(__xludf.DUMMYFUNCTION("""COMPUTED_VALUE"""),"03467041520")</f>
        <v>03467041520</v>
      </c>
      <c r="D341" s="10" t="str">
        <f>IFERROR(__xludf.DUMMYFUNCTION("""COMPUTED_VALUE"""),"Jamiya Masjid Peer Ismail wali ")</f>
        <v>Jamiya Masjid Peer Ismail wali </v>
      </c>
      <c r="E341" s="10" t="str">
        <f>IFERROR(__xludf.DUMMYFUNCTION("""COMPUTED_VALUE"""),"DYRJS")</f>
        <v>DYRJS</v>
      </c>
      <c r="F341" s="10">
        <f>IFERROR(__xludf.DUMMYFUNCTION("""COMPUTED_VALUE"""),104.0)</f>
        <v>104</v>
      </c>
      <c r="G341" s="10">
        <f>IFERROR(__xludf.DUMMYFUNCTION("""COMPUTED_VALUE"""),7.0)</f>
        <v>7</v>
      </c>
      <c r="H341" s="10">
        <f>IFERROR(__xludf.DUMMYFUNCTION("""COMPUTED_VALUE"""),6.0)</f>
        <v>6</v>
      </c>
      <c r="I341" s="10">
        <f>IFERROR(__xludf.DUMMYFUNCTION("""COMPUTED_VALUE"""),2.0)</f>
        <v>2</v>
      </c>
      <c r="J341" s="10"/>
      <c r="K341" s="10"/>
      <c r="L341" s="10"/>
      <c r="M341" s="10">
        <f>IFERROR(__xludf.DUMMYFUNCTION("""COMPUTED_VALUE"""),8.0)</f>
        <v>8</v>
      </c>
      <c r="N341" s="10"/>
      <c r="O341" s="10"/>
      <c r="P341" s="10"/>
      <c r="Q341" s="10"/>
      <c r="R341" s="10"/>
      <c r="S341" s="10"/>
      <c r="T341" s="10"/>
      <c r="U341" s="18" t="str">
        <f>IFERROR(__xludf.DUMMYFUNCTION("""COMPUTED_VALUE"""),"https://drive.google.com/open?id=18CQ_tAVrlomKWEqxMCT4GPXtVxBLlUJB")</f>
        <v>https://drive.google.com/open?id=18CQ_tAVrlomKWEqxMCT4GPXtVxBLlUJB</v>
      </c>
      <c r="V341" s="10" t="str">
        <f>IFERROR(__xludf.DUMMYFUNCTION("""COMPUTED_VALUE"""),"Koi ni hy")</f>
        <v>Koi ni hy</v>
      </c>
      <c r="W341" s="10"/>
      <c r="X341" s="10"/>
      <c r="Y341" s="14" t="str">
        <f>IFERROR(__xludf.DUMMYFUNCTION("""COMPUTED_VALUE"""),"wasirana1520@gmail.com")</f>
        <v>wasirana1520@gmail.com</v>
      </c>
      <c r="AA341" s="324"/>
    </row>
    <row r="342" hidden="1">
      <c r="A342" s="9">
        <f>IFERROR(__xludf.DUMMYFUNCTION("""COMPUTED_VALUE"""),45863.275865)</f>
        <v>45863.27587</v>
      </c>
      <c r="B342" s="10" t="str">
        <f>IFERROR(__xludf.DUMMYFUNCTION("""COMPUTED_VALUE"""),"M.Amir")</f>
        <v>M.Amir</v>
      </c>
      <c r="C342" s="10" t="str">
        <f>IFERROR(__xludf.DUMMYFUNCTION("""COMPUTED_VALUE"""),"03099884405")</f>
        <v>03099884405</v>
      </c>
      <c r="D342" s="10" t="str">
        <f>IFERROR(__xludf.DUMMYFUNCTION("""COMPUTED_VALUE"""),"Jamia masjid Sadiq Akbar machi hatta bwp")</f>
        <v>Jamia masjid Sadiq Akbar machi hatta bwp</v>
      </c>
      <c r="E342" s="10" t="str">
        <f>IFERROR(__xludf.DUMMYFUNCTION("""COMPUTED_VALUE"""),"DFNMY")</f>
        <v>DFNMY</v>
      </c>
      <c r="F342" s="10">
        <f>IFERROR(__xludf.DUMMYFUNCTION("""COMPUTED_VALUE"""),337.0)</f>
        <v>337</v>
      </c>
      <c r="G342" s="10">
        <f>IFERROR(__xludf.DUMMYFUNCTION("""COMPUTED_VALUE"""),10.0)</f>
        <v>10</v>
      </c>
      <c r="H342" s="10">
        <f>IFERROR(__xludf.DUMMYFUNCTION("""COMPUTED_VALUE"""),9.0)</f>
        <v>9</v>
      </c>
      <c r="I342" s="10">
        <f>IFERROR(__xludf.DUMMYFUNCTION("""COMPUTED_VALUE"""),1.0)</f>
        <v>1</v>
      </c>
      <c r="J342" s="10"/>
      <c r="K342" s="10"/>
      <c r="L342" s="10"/>
      <c r="M342" s="10">
        <f>IFERROR(__xludf.DUMMYFUNCTION("""COMPUTED_VALUE"""),9.0)</f>
        <v>9</v>
      </c>
      <c r="N342" s="10"/>
      <c r="O342" s="10"/>
      <c r="P342" s="10"/>
      <c r="Q342" s="10"/>
      <c r="R342" s="10"/>
      <c r="S342" s="10"/>
      <c r="T342" s="10"/>
      <c r="U342" s="18" t="str">
        <f>IFERROR(__xludf.DUMMYFUNCTION("""COMPUTED_VALUE"""),"https://drive.google.com/open?id=13R6DvWb-LTvYDSCBYNTOgSvd3IIuGe8k")</f>
        <v>https://drive.google.com/open?id=13R6DvWb-LTvYDSCBYNTOgSvd3IIuGe8k</v>
      </c>
      <c r="V342" s="10"/>
      <c r="W342" s="10"/>
      <c r="X342" s="10"/>
      <c r="Y342" s="14" t="str">
        <f>IFERROR(__xludf.DUMMYFUNCTION("""COMPUTED_VALUE"""),"amirakash6830@gmail.com")</f>
        <v>amirakash6830@gmail.com</v>
      </c>
      <c r="AA342" s="324"/>
    </row>
    <row r="343" hidden="1">
      <c r="A343" s="9">
        <f>IFERROR(__xludf.DUMMYFUNCTION("""COMPUTED_VALUE"""),45863.27601829861)</f>
        <v>45863.27602</v>
      </c>
      <c r="B343" s="10" t="str">
        <f>IFERROR(__xludf.DUMMYFUNCTION("""COMPUTED_VALUE"""),"Muhammad Tahir ")</f>
        <v>Muhammad Tahir </v>
      </c>
      <c r="C343" s="10" t="str">
        <f>IFERROR(__xludf.DUMMYFUNCTION("""COMPUTED_VALUE"""),"03241553013")</f>
        <v>03241553013</v>
      </c>
      <c r="D343" s="10" t="str">
        <f>IFERROR(__xludf.DUMMYFUNCTION("""COMPUTED_VALUE"""),"Jamiah Masjid Khangran Wali")</f>
        <v>Jamiah Masjid Khangran Wali</v>
      </c>
      <c r="E343" s="10" t="str">
        <f>IFERROR(__xludf.DUMMYFUNCTION("""COMPUTED_VALUE"""),"PGVOS")</f>
        <v>PGVOS</v>
      </c>
      <c r="F343" s="10">
        <f>IFERROR(__xludf.DUMMYFUNCTION("""COMPUTED_VALUE"""),204.0)</f>
        <v>204</v>
      </c>
      <c r="G343" s="10">
        <f>IFERROR(__xludf.DUMMYFUNCTION("""COMPUTED_VALUE"""),7.0)</f>
        <v>7</v>
      </c>
      <c r="H343" s="10">
        <f>IFERROR(__xludf.DUMMYFUNCTION("""COMPUTED_VALUE"""),7.0)</f>
        <v>7</v>
      </c>
      <c r="I343" s="10">
        <f>IFERROR(__xludf.DUMMYFUNCTION("""COMPUTED_VALUE"""),7.0)</f>
        <v>7</v>
      </c>
      <c r="J343" s="10"/>
      <c r="K343" s="10"/>
      <c r="L343" s="10"/>
      <c r="M343" s="10">
        <f>IFERROR(__xludf.DUMMYFUNCTION("""COMPUTED_VALUE"""),10.0)</f>
        <v>10</v>
      </c>
      <c r="N343" s="10"/>
      <c r="O343" s="10"/>
      <c r="P343" s="10"/>
      <c r="Q343" s="10"/>
      <c r="R343" s="10"/>
      <c r="S343" s="10"/>
      <c r="T343" s="10"/>
      <c r="U343" s="18" t="str">
        <f>IFERROR(__xludf.DUMMYFUNCTION("""COMPUTED_VALUE"""),"https://drive.google.com/open?id=1Ff0qZSImizZY4wxjaGTKDBDB2cn7IiMp")</f>
        <v>https://drive.google.com/open?id=1Ff0qZSImizZY4wxjaGTKDBDB2cn7IiMp</v>
      </c>
      <c r="V343" s="10"/>
      <c r="W343" s="10"/>
      <c r="X343" s="10"/>
      <c r="Y343" s="14" t="str">
        <f>IFERROR(__xludf.DUMMYFUNCTION("""COMPUTED_VALUE"""),"tahirsultanofficial@gmail.com")</f>
        <v>tahirsultanofficial@gmail.com</v>
      </c>
      <c r="AA343" s="324"/>
    </row>
    <row r="344" hidden="1">
      <c r="A344" s="9">
        <f>IFERROR(__xludf.DUMMYFUNCTION("""COMPUTED_VALUE"""),45863.27697037037)</f>
        <v>45863.27697</v>
      </c>
      <c r="B344" s="10" t="str">
        <f>IFERROR(__xludf.DUMMYFUNCTION("""COMPUTED_VALUE"""),"Zafar Iqbal qamer ")</f>
        <v>Zafar Iqbal qamer </v>
      </c>
      <c r="C344" s="10" t="str">
        <f>IFERROR(__xludf.DUMMYFUNCTION("""COMPUTED_VALUE"""),"03006357889")</f>
        <v>03006357889</v>
      </c>
      <c r="D344" s="10" t="str">
        <f>IFERROR(__xludf.DUMMYFUNCTION("""COMPUTED_VALUE"""),"JAMIA masjid phonagran wali ")</f>
        <v>JAMIA masjid phonagran wali </v>
      </c>
      <c r="E344" s="10" t="str">
        <f>IFERROR(__xludf.DUMMYFUNCTION("""COMPUTED_VALUE"""),"VREAU")</f>
        <v>VREAU</v>
      </c>
      <c r="F344" s="10">
        <f>IFERROR(__xludf.DUMMYFUNCTION("""COMPUTED_VALUE"""),87.0)</f>
        <v>87</v>
      </c>
      <c r="G344" s="10">
        <f>IFERROR(__xludf.DUMMYFUNCTION("""COMPUTED_VALUE"""),7.0)</f>
        <v>7</v>
      </c>
      <c r="H344" s="10">
        <f>IFERROR(__xludf.DUMMYFUNCTION("""COMPUTED_VALUE"""),8.0)</f>
        <v>8</v>
      </c>
      <c r="I344" s="10" t="str">
        <f>IFERROR(__xludf.DUMMYFUNCTION("""COMPUTED_VALUE"""),"No")</f>
        <v>No</v>
      </c>
      <c r="J344" s="10"/>
      <c r="K344" s="10"/>
      <c r="L344" s="10"/>
      <c r="M344" s="10">
        <f>IFERROR(__xludf.DUMMYFUNCTION("""COMPUTED_VALUE"""),7.0)</f>
        <v>7</v>
      </c>
      <c r="N344" s="10"/>
      <c r="O344" s="10"/>
      <c r="P344" s="10"/>
      <c r="Q344" s="10"/>
      <c r="R344" s="10"/>
      <c r="S344" s="10"/>
      <c r="T344" s="10"/>
      <c r="U344" s="18" t="str">
        <f>IFERROR(__xludf.DUMMYFUNCTION("""COMPUTED_VALUE"""),"https://drive.google.com/open?id=1rYmgd0sapKC48_nzXVcY28tOMgt1yZbY")</f>
        <v>https://drive.google.com/open?id=1rYmgd0sapKC48_nzXVcY28tOMgt1yZbY</v>
      </c>
      <c r="V344" s="10" t="str">
        <f>IFERROR(__xludf.DUMMYFUNCTION("""COMPUTED_VALUE"""),"No pmore")</f>
        <v>No pmore</v>
      </c>
      <c r="W344" s="10"/>
      <c r="X344" s="10"/>
      <c r="Y344" s="14" t="str">
        <f>IFERROR(__xludf.DUMMYFUNCTION("""COMPUTED_VALUE"""),"zafarq386@gmail.com")</f>
        <v>zafarq386@gmail.com</v>
      </c>
      <c r="AA344" s="324"/>
    </row>
    <row r="345" hidden="1">
      <c r="A345" s="9">
        <f>IFERROR(__xludf.DUMMYFUNCTION("""COMPUTED_VALUE"""),45863.27700527778)</f>
        <v>45863.27701</v>
      </c>
      <c r="B345" s="10" t="str">
        <f>IFERROR(__xludf.DUMMYFUNCTION("""COMPUTED_VALUE"""),"Amir malik ")</f>
        <v>Amir malik </v>
      </c>
      <c r="C345" s="10" t="str">
        <f>IFERROR(__xludf.DUMMYFUNCTION("""COMPUTED_VALUE"""),"03009681066")</f>
        <v>03009681066</v>
      </c>
      <c r="D345" s="10" t="str">
        <f>IFERROR(__xludf.DUMMYFUNCTION("""COMPUTED_VALUE"""),"aqsa")</f>
        <v>aqsa</v>
      </c>
      <c r="E345" s="10" t="str">
        <f>IFERROR(__xludf.DUMMYFUNCTION("""COMPUTED_VALUE"""),"QWLFB")</f>
        <v>QWLFB</v>
      </c>
      <c r="F345" s="10">
        <f>IFERROR(__xludf.DUMMYFUNCTION("""COMPUTED_VALUE"""),153.0)</f>
        <v>153</v>
      </c>
      <c r="G345" s="10">
        <f>IFERROR(__xludf.DUMMYFUNCTION("""COMPUTED_VALUE"""),2.0)</f>
        <v>2</v>
      </c>
      <c r="H345" s="10">
        <f>IFERROR(__xludf.DUMMYFUNCTION("""COMPUTED_VALUE"""),4.0)</f>
        <v>4</v>
      </c>
      <c r="I345" s="10">
        <f>IFERROR(__xludf.DUMMYFUNCTION("""COMPUTED_VALUE"""),3.0)</f>
        <v>3</v>
      </c>
      <c r="J345" s="10"/>
      <c r="K345" s="10"/>
      <c r="L345" s="10"/>
      <c r="M345" s="10">
        <f>IFERROR(__xludf.DUMMYFUNCTION("""COMPUTED_VALUE"""),7.0)</f>
        <v>7</v>
      </c>
      <c r="N345" s="10"/>
      <c r="O345" s="10"/>
      <c r="P345" s="10"/>
      <c r="Q345" s="10"/>
      <c r="R345" s="10"/>
      <c r="S345" s="10"/>
      <c r="T345" s="10"/>
      <c r="U345" s="18" t="str">
        <f>IFERROR(__xludf.DUMMYFUNCTION("""COMPUTED_VALUE"""),"https://drive.google.com/open?id=1tLiEQxG8HWowT-cLfJZ59X_kYkWVhJrq")</f>
        <v>https://drive.google.com/open?id=1tLiEQxG8HWowT-cLfJZ59X_kYkWVhJrq</v>
      </c>
      <c r="V345" s="10"/>
      <c r="W345" s="10"/>
      <c r="X345" s="10"/>
      <c r="Y345" s="14" t="str">
        <f>IFERROR(__xludf.DUMMYFUNCTION("""COMPUTED_VALUE"""),"amirmalik2018@gmail.com")</f>
        <v>amirmalik2018@gmail.com</v>
      </c>
      <c r="AA345" s="324"/>
    </row>
    <row r="346" hidden="1">
      <c r="A346" s="9">
        <f>IFERROR(__xludf.DUMMYFUNCTION("""COMPUTED_VALUE"""),45863.27849686342)</f>
        <v>45863.2785</v>
      </c>
      <c r="B346" s="10" t="str">
        <f>IFERROR(__xludf.DUMMYFUNCTION("""COMPUTED_VALUE"""),"M.Amir ")</f>
        <v>M.Amir </v>
      </c>
      <c r="C346" s="10" t="str">
        <f>IFERROR(__xludf.DUMMYFUNCTION("""COMPUTED_VALUE"""),"03099884405")</f>
        <v>03099884405</v>
      </c>
      <c r="D346" s="10" t="str">
        <f>IFERROR(__xludf.DUMMYFUNCTION("""COMPUTED_VALUE"""),"Jamia masjid sheakh Allah wasyaachli bazar")</f>
        <v>Jamia masjid sheakh Allah wasyaachli bazar</v>
      </c>
      <c r="E346" s="10" t="str">
        <f>IFERROR(__xludf.DUMMYFUNCTION("""COMPUTED_VALUE"""),"LRQVN")</f>
        <v>LRQVN</v>
      </c>
      <c r="F346" s="10">
        <f>IFERROR(__xludf.DUMMYFUNCTION("""COMPUTED_VALUE"""),122.0)</f>
        <v>122</v>
      </c>
      <c r="G346" s="10">
        <f>IFERROR(__xludf.DUMMYFUNCTION("""COMPUTED_VALUE"""),9.0)</f>
        <v>9</v>
      </c>
      <c r="H346" s="10">
        <f>IFERROR(__xludf.DUMMYFUNCTION("""COMPUTED_VALUE"""),10.0)</f>
        <v>10</v>
      </c>
      <c r="I346" s="10">
        <f>IFERROR(__xludf.DUMMYFUNCTION("""COMPUTED_VALUE"""),1.0)</f>
        <v>1</v>
      </c>
      <c r="J346" s="10"/>
      <c r="K346" s="10"/>
      <c r="L346" s="10"/>
      <c r="M346" s="10">
        <f>IFERROR(__xludf.DUMMYFUNCTION("""COMPUTED_VALUE"""),8.0)</f>
        <v>8</v>
      </c>
      <c r="N346" s="10"/>
      <c r="O346" s="10"/>
      <c r="P346" s="10"/>
      <c r="Q346" s="10"/>
      <c r="R346" s="10"/>
      <c r="S346" s="10"/>
      <c r="T346" s="10"/>
      <c r="U346" s="18" t="str">
        <f>IFERROR(__xludf.DUMMYFUNCTION("""COMPUTED_VALUE"""),"https://drive.google.com/open?id=1pO1zl0t1sXkvlYoVG_UpD5Ll_Y3nhcN_")</f>
        <v>https://drive.google.com/open?id=1pO1zl0t1sXkvlYoVG_UpD5Ll_Y3nhcN_</v>
      </c>
      <c r="V346" s="10"/>
      <c r="W346" s="10"/>
      <c r="X346" s="10"/>
      <c r="Y346" s="14" t="str">
        <f>IFERROR(__xludf.DUMMYFUNCTION("""COMPUTED_VALUE"""),"amirakash6830@gmail.com")</f>
        <v>amirakash6830@gmail.com</v>
      </c>
      <c r="AA346" s="324"/>
    </row>
    <row r="347" hidden="1">
      <c r="A347" s="9">
        <f>IFERROR(__xludf.DUMMYFUNCTION("""COMPUTED_VALUE"""),45863.280165081014)</f>
        <v>45863.28017</v>
      </c>
      <c r="B347" s="10" t="str">
        <f>IFERROR(__xludf.DUMMYFUNCTION("""COMPUTED_VALUE"""),"Shahid Amin")</f>
        <v>Shahid Amin</v>
      </c>
      <c r="C347" s="10" t="str">
        <f>IFERROR(__xludf.DUMMYFUNCTION("""COMPUTED_VALUE"""),"03016108844")</f>
        <v>03016108844</v>
      </c>
      <c r="D347" s="10" t="str">
        <f>IFERROR(__xludf.DUMMYFUNCTION("""COMPUTED_VALUE"""),"Jamia masjid madina peopal waliwpqfg")</f>
        <v>Jamia masjid madina peopal waliwpqfg</v>
      </c>
      <c r="E347" s="10"/>
      <c r="F347" s="10">
        <f>IFERROR(__xludf.DUMMYFUNCTION("""COMPUTED_VALUE"""),60.0)</f>
        <v>60</v>
      </c>
      <c r="G347" s="10">
        <f>IFERROR(__xludf.DUMMYFUNCTION("""COMPUTED_VALUE"""),7.0)</f>
        <v>7</v>
      </c>
      <c r="H347" s="10">
        <f>IFERROR(__xludf.DUMMYFUNCTION("""COMPUTED_VALUE"""),7.0)</f>
        <v>7</v>
      </c>
      <c r="I347" s="10">
        <f>IFERROR(__xludf.DUMMYFUNCTION("""COMPUTED_VALUE"""),2.0)</f>
        <v>2</v>
      </c>
      <c r="J347" s="10"/>
      <c r="K347" s="10"/>
      <c r="L347" s="10"/>
      <c r="M347" s="10">
        <f>IFERROR(__xludf.DUMMYFUNCTION("""COMPUTED_VALUE"""),8.0)</f>
        <v>8</v>
      </c>
      <c r="N347" s="10"/>
      <c r="O347" s="10"/>
      <c r="P347" s="10"/>
      <c r="Q347" s="10"/>
      <c r="R347" s="10"/>
      <c r="S347" s="10"/>
      <c r="T347" s="10"/>
      <c r="U347" s="10"/>
      <c r="V347" s="10"/>
      <c r="W347" s="10"/>
      <c r="X347" s="10"/>
      <c r="Y347" s="14" t="str">
        <f>IFERROR(__xludf.DUMMYFUNCTION("""COMPUTED_VALUE"""),"shahidrao209@gmail.com")</f>
        <v>shahidrao209@gmail.com</v>
      </c>
      <c r="AA347" s="324"/>
    </row>
    <row r="348" hidden="1">
      <c r="A348" s="9">
        <f>IFERROR(__xludf.DUMMYFUNCTION("""COMPUTED_VALUE"""),45863.28026863426)</f>
        <v>45863.28027</v>
      </c>
      <c r="B348" s="10" t="str">
        <f>IFERROR(__xludf.DUMMYFUNCTION("""COMPUTED_VALUE"""),"Masroor karim ")</f>
        <v>Masroor karim </v>
      </c>
      <c r="C348" s="10" t="str">
        <f>IFERROR(__xludf.DUMMYFUNCTION("""COMPUTED_VALUE"""),"03051507669")</f>
        <v>03051507669</v>
      </c>
      <c r="D348" s="10" t="str">
        <f>IFERROR(__xludf.DUMMYFUNCTION("""COMPUTED_VALUE"""),"قدیمی جامعہ مسجد جنازہ گاہ نشاط روڈ لوہا مارکیٹ ملتان ")</f>
        <v>قدیمی جامعہ مسجد جنازہ گاہ نشاط روڈ لوہا مارکیٹ ملتان </v>
      </c>
      <c r="E348" s="10" t="str">
        <f>IFERROR(__xludf.DUMMYFUNCTION("""COMPUTED_VALUE"""),"WPXTS")</f>
        <v>WPXTS</v>
      </c>
      <c r="F348" s="10">
        <f>IFERROR(__xludf.DUMMYFUNCTION("""COMPUTED_VALUE"""),250.0)</f>
        <v>250</v>
      </c>
      <c r="G348" s="10">
        <f>IFERROR(__xludf.DUMMYFUNCTION("""COMPUTED_VALUE"""),8.0)</f>
        <v>8</v>
      </c>
      <c r="H348" s="10">
        <f>IFERROR(__xludf.DUMMYFUNCTION("""COMPUTED_VALUE"""),5.0)</f>
        <v>5</v>
      </c>
      <c r="I348" s="10">
        <f>IFERROR(__xludf.DUMMYFUNCTION("""COMPUTED_VALUE"""),2.0)</f>
        <v>2</v>
      </c>
      <c r="J348" s="10"/>
      <c r="K348" s="10"/>
      <c r="L348" s="10"/>
      <c r="M348" s="10">
        <f>IFERROR(__xludf.DUMMYFUNCTION("""COMPUTED_VALUE"""),8.0)</f>
        <v>8</v>
      </c>
      <c r="N348" s="10"/>
      <c r="O348" s="10"/>
      <c r="P348" s="10"/>
      <c r="Q348" s="10"/>
      <c r="R348" s="10"/>
      <c r="S348" s="10"/>
      <c r="T348" s="10"/>
      <c r="U348" s="18" t="str">
        <f>IFERROR(__xludf.DUMMYFUNCTION("""COMPUTED_VALUE"""),"https://drive.google.com/open?id=1glf15fFUJ9lUB3oYHPJhcAIs3ZUABuUF")</f>
        <v>https://drive.google.com/open?id=1glf15fFUJ9lUB3oYHPJhcAIs3ZUABuUF</v>
      </c>
      <c r="V348" s="10"/>
      <c r="W348" s="10"/>
      <c r="X348" s="10"/>
      <c r="Y348" s="14" t="str">
        <f>IFERROR(__xludf.DUMMYFUNCTION("""COMPUTED_VALUE"""),"masroormalik669@gmail.com")</f>
        <v>masroormalik669@gmail.com</v>
      </c>
      <c r="AA348" s="324"/>
    </row>
    <row r="349" hidden="1">
      <c r="A349" s="9">
        <f>IFERROR(__xludf.DUMMYFUNCTION("""COMPUTED_VALUE"""),45863.282035474534)</f>
        <v>45863.28204</v>
      </c>
      <c r="B349" s="10" t="str">
        <f>IFERROR(__xludf.DUMMYFUNCTION("""COMPUTED_VALUE"""),"Mubashair Akhtar ")</f>
        <v>Mubashair Akhtar </v>
      </c>
      <c r="C349" s="10" t="str">
        <f>IFERROR(__xludf.DUMMYFUNCTION("""COMPUTED_VALUE"""),"03009683779")</f>
        <v>03009683779</v>
      </c>
      <c r="D349" s="10" t="str">
        <f>IFERROR(__xludf.DUMMYFUNCTION("""COMPUTED_VALUE"""),"Al sadiq")</f>
        <v>Al sadiq</v>
      </c>
      <c r="E349" s="10" t="str">
        <f>IFERROR(__xludf.DUMMYFUNCTION("""COMPUTED_VALUE"""),"XNHGF")</f>
        <v>XNHGF</v>
      </c>
      <c r="F349" s="10">
        <f>IFERROR(__xludf.DUMMYFUNCTION("""COMPUTED_VALUE"""),775.0)</f>
        <v>775</v>
      </c>
      <c r="G349" s="10">
        <f>IFERROR(__xludf.DUMMYFUNCTION("""COMPUTED_VALUE"""),8.0)</f>
        <v>8</v>
      </c>
      <c r="H349" s="10">
        <f>IFERROR(__xludf.DUMMYFUNCTION("""COMPUTED_VALUE"""),7.0)</f>
        <v>7</v>
      </c>
      <c r="I349" s="10">
        <f>IFERROR(__xludf.DUMMYFUNCTION("""COMPUTED_VALUE"""),2.0)</f>
        <v>2</v>
      </c>
      <c r="J349" s="10"/>
      <c r="K349" s="10"/>
      <c r="L349" s="10"/>
      <c r="M349" s="10">
        <f>IFERROR(__xludf.DUMMYFUNCTION("""COMPUTED_VALUE"""),6.0)</f>
        <v>6</v>
      </c>
      <c r="N349" s="10"/>
      <c r="O349" s="10"/>
      <c r="P349" s="10"/>
      <c r="Q349" s="10"/>
      <c r="R349" s="10"/>
      <c r="S349" s="10"/>
      <c r="T349" s="10"/>
      <c r="U349" s="18" t="str">
        <f>IFERROR(__xludf.DUMMYFUNCTION("""COMPUTED_VALUE"""),"https://drive.google.com/open?id=1t984HtK_guWcZeKRnpb8iqKASRgbnGfk")</f>
        <v>https://drive.google.com/open?id=1t984HtK_guWcZeKRnpb8iqKASRgbnGfk</v>
      </c>
      <c r="V349" s="10"/>
      <c r="W349" s="10"/>
      <c r="X349" s="10"/>
      <c r="Y349" s="14" t="str">
        <f>IFERROR(__xludf.DUMMYFUNCTION("""COMPUTED_VALUE"""),"mubashairakhter@gmail.com")</f>
        <v>mubashairakhter@gmail.com</v>
      </c>
      <c r="AA349" s="324"/>
    </row>
    <row r="350" hidden="1">
      <c r="A350" s="9">
        <f>IFERROR(__xludf.DUMMYFUNCTION("""COMPUTED_VALUE"""),45863.28238260417)</f>
        <v>45863.28238</v>
      </c>
      <c r="B350" s="10" t="str">
        <f>IFERROR(__xludf.DUMMYFUNCTION("""COMPUTED_VALUE"""),"Zafar Iqbal qamer ")</f>
        <v>Zafar Iqbal qamer </v>
      </c>
      <c r="C350" s="10" t="str">
        <f>IFERROR(__xludf.DUMMYFUNCTION("""COMPUTED_VALUE"""),"03006357889")</f>
        <v>03006357889</v>
      </c>
      <c r="D350" s="10" t="str">
        <f>IFERROR(__xludf.DUMMYFUNCTION("""COMPUTED_VALUE"""),"JAMIA masjid kalay mandi ")</f>
        <v>JAMIA masjid kalay mandi </v>
      </c>
      <c r="E350" s="10" t="str">
        <f>IFERROR(__xludf.DUMMYFUNCTION("""COMPUTED_VALUE"""),"PFFES")</f>
        <v>PFFES</v>
      </c>
      <c r="F350" s="10">
        <f>IFERROR(__xludf.DUMMYFUNCTION("""COMPUTED_VALUE"""),211.0)</f>
        <v>211</v>
      </c>
      <c r="G350" s="10">
        <f>IFERROR(__xludf.DUMMYFUNCTION("""COMPUTED_VALUE"""),7.0)</f>
        <v>7</v>
      </c>
      <c r="H350" s="10">
        <f>IFERROR(__xludf.DUMMYFUNCTION("""COMPUTED_VALUE"""),7.0)</f>
        <v>7</v>
      </c>
      <c r="I350" s="10" t="str">
        <f>IFERROR(__xludf.DUMMYFUNCTION("""COMPUTED_VALUE"""),"No")</f>
        <v>No</v>
      </c>
      <c r="J350" s="10"/>
      <c r="K350" s="10"/>
      <c r="L350" s="10"/>
      <c r="M350" s="10">
        <f>IFERROR(__xludf.DUMMYFUNCTION("""COMPUTED_VALUE"""),7.0)</f>
        <v>7</v>
      </c>
      <c r="N350" s="10"/>
      <c r="O350" s="10"/>
      <c r="P350" s="10"/>
      <c r="Q350" s="10"/>
      <c r="R350" s="10"/>
      <c r="S350" s="10"/>
      <c r="T350" s="10"/>
      <c r="U350" s="18" t="str">
        <f>IFERROR(__xludf.DUMMYFUNCTION("""COMPUTED_VALUE"""),"https://drive.google.com/open?id=1OrMs1cxFAu2OhD9LmF1nMN7MX6rVfd5g")</f>
        <v>https://drive.google.com/open?id=1OrMs1cxFAu2OhD9LmF1nMN7MX6rVfd5g</v>
      </c>
      <c r="V350" s="10"/>
      <c r="W350" s="10"/>
      <c r="X350" s="10"/>
      <c r="Y350" s="14" t="str">
        <f>IFERROR(__xludf.DUMMYFUNCTION("""COMPUTED_VALUE"""),"zafarq386@gmail.com")</f>
        <v>zafarq386@gmail.com</v>
      </c>
      <c r="AA350" s="324"/>
    </row>
    <row r="351" hidden="1">
      <c r="A351" s="9">
        <f>IFERROR(__xludf.DUMMYFUNCTION("""COMPUTED_VALUE"""),45863.28263332176)</f>
        <v>45863.28263</v>
      </c>
      <c r="B351" s="10" t="str">
        <f>IFERROR(__xludf.DUMMYFUNCTION("""COMPUTED_VALUE"""),"Shahzad")</f>
        <v>Shahzad</v>
      </c>
      <c r="C351" s="10" t="str">
        <f>IFERROR(__xludf.DUMMYFUNCTION("""COMPUTED_VALUE"""),"03085398997")</f>
        <v>03085398997</v>
      </c>
      <c r="D351" s="10" t="str">
        <f>IFERROR(__xludf.DUMMYFUNCTION("""COMPUTED_VALUE"""),"Jamia Masjid Peer Ishaq")</f>
        <v>Jamia Masjid Peer Ishaq</v>
      </c>
      <c r="E351" s="10" t="str">
        <f>IFERROR(__xludf.DUMMYFUNCTION("""COMPUTED_VALUE"""),"ZYELN")</f>
        <v>ZYELN</v>
      </c>
      <c r="F351" s="10">
        <f>IFERROR(__xludf.DUMMYFUNCTION("""COMPUTED_VALUE"""),216.0)</f>
        <v>216</v>
      </c>
      <c r="G351" s="10">
        <f>IFERROR(__xludf.DUMMYFUNCTION("""COMPUTED_VALUE"""),9.0)</f>
        <v>9</v>
      </c>
      <c r="H351" s="10">
        <f>IFERROR(__xludf.DUMMYFUNCTION("""COMPUTED_VALUE"""),7.0)</f>
        <v>7</v>
      </c>
      <c r="I351" s="10">
        <f>IFERROR(__xludf.DUMMYFUNCTION("""COMPUTED_VALUE"""),1.0)</f>
        <v>1</v>
      </c>
      <c r="J351" s="10"/>
      <c r="K351" s="10"/>
      <c r="L351" s="10"/>
      <c r="M351" s="10">
        <f>IFERROR(__xludf.DUMMYFUNCTION("""COMPUTED_VALUE"""),9.0)</f>
        <v>9</v>
      </c>
      <c r="N351" s="10"/>
      <c r="O351" s="10"/>
      <c r="P351" s="10"/>
      <c r="Q351" s="10"/>
      <c r="R351" s="10"/>
      <c r="S351" s="10"/>
      <c r="T351" s="10"/>
      <c r="U351" s="18" t="str">
        <f>IFERROR(__xludf.DUMMYFUNCTION("""COMPUTED_VALUE"""),"https://drive.google.com/open?id=1Sgpf8xDKbapEI2wgJw6fbjB8RgUJQ7IB")</f>
        <v>https://drive.google.com/open?id=1Sgpf8xDKbapEI2wgJw6fbjB8RgUJQ7IB</v>
      </c>
      <c r="V351" s="10" t="str">
        <f>IFERROR(__xludf.DUMMYFUNCTION("""COMPUTED_VALUE"""),"NO")</f>
        <v>NO</v>
      </c>
      <c r="W351" s="10"/>
      <c r="X351" s="10"/>
      <c r="Y351" s="14" t="str">
        <f>IFERROR(__xludf.DUMMYFUNCTION("""COMPUTED_VALUE"""),"multaniminivelogs@gmail.com")</f>
        <v>multaniminivelogs@gmail.com</v>
      </c>
      <c r="AA351" s="324"/>
    </row>
    <row r="352" hidden="1">
      <c r="A352" s="9">
        <f>IFERROR(__xludf.DUMMYFUNCTION("""COMPUTED_VALUE"""),45863.285637719906)</f>
        <v>45863.28564</v>
      </c>
      <c r="B352" s="10" t="str">
        <f>IFERROR(__xludf.DUMMYFUNCTION("""COMPUTED_VALUE"""),"Syed Ali Abbas Shamsi ")</f>
        <v>Syed Ali Abbas Shamsi </v>
      </c>
      <c r="C352" s="10" t="str">
        <f>IFERROR(__xludf.DUMMYFUNCTION("""COMPUTED_VALUE"""),"03002853902")</f>
        <v>03002853902</v>
      </c>
      <c r="D352" s="10" t="str">
        <f>IFERROR(__xludf.DUMMYFUNCTION("""COMPUTED_VALUE"""),"Jamia masjid muhkim din serani ")</f>
        <v>Jamia masjid muhkim din serani </v>
      </c>
      <c r="E352" s="10" t="str">
        <f>IFERROR(__xludf.DUMMYFUNCTION("""COMPUTED_VALUE"""),"TKTXL")</f>
        <v>TKTXL</v>
      </c>
      <c r="F352" s="10">
        <f>IFERROR(__xludf.DUMMYFUNCTION("""COMPUTED_VALUE"""),600.0)</f>
        <v>600</v>
      </c>
      <c r="G352" s="10">
        <f>IFERROR(__xludf.DUMMYFUNCTION("""COMPUTED_VALUE"""),9.0)</f>
        <v>9</v>
      </c>
      <c r="H352" s="10">
        <f>IFERROR(__xludf.DUMMYFUNCTION("""COMPUTED_VALUE"""),7.0)</f>
        <v>7</v>
      </c>
      <c r="I352" s="10">
        <f>IFERROR(__xludf.DUMMYFUNCTION("""COMPUTED_VALUE"""),2.0)</f>
        <v>2</v>
      </c>
      <c r="J352" s="10"/>
      <c r="K352" s="10"/>
      <c r="L352" s="10"/>
      <c r="M352" s="10">
        <f>IFERROR(__xludf.DUMMYFUNCTION("""COMPUTED_VALUE"""),9.0)</f>
        <v>9</v>
      </c>
      <c r="N352" s="10"/>
      <c r="O352" s="10"/>
      <c r="P352" s="10"/>
      <c r="Q352" s="10"/>
      <c r="R352" s="10"/>
      <c r="S352" s="10"/>
      <c r="T352" s="10"/>
      <c r="U352" s="18" t="str">
        <f>IFERROR(__xludf.DUMMYFUNCTION("""COMPUTED_VALUE"""),"https://drive.google.com/open?id=1ORwtbvx5hUaHw5ltXD0a0cuDhXWSnlLK")</f>
        <v>https://drive.google.com/open?id=1ORwtbvx5hUaHw5ltXD0a0cuDhXWSnlLK</v>
      </c>
      <c r="V352" s="10" t="str">
        <f>IFERROR(__xludf.DUMMYFUNCTION("""COMPUTED_VALUE"""),"No problem ")</f>
        <v>No problem </v>
      </c>
      <c r="W352" s="10"/>
      <c r="X352" s="10"/>
      <c r="Y352" s="14" t="str">
        <f>IFERROR(__xludf.DUMMYFUNCTION("""COMPUTED_VALUE"""),"alishamsi123456@gmail.com")</f>
        <v>alishamsi123456@gmail.com</v>
      </c>
      <c r="AA352" s="324"/>
    </row>
    <row r="353" hidden="1">
      <c r="A353" s="9">
        <f>IFERROR(__xludf.DUMMYFUNCTION("""COMPUTED_VALUE"""),45863.286817141205)</f>
        <v>45863.28682</v>
      </c>
      <c r="B353" s="10" t="str">
        <f>IFERROR(__xludf.DUMMYFUNCTION("""COMPUTED_VALUE"""),"Muhammad waseem ")</f>
        <v>Muhammad waseem </v>
      </c>
      <c r="C353" s="10" t="str">
        <f>IFERROR(__xludf.DUMMYFUNCTION("""COMPUTED_VALUE"""),"03054641810")</f>
        <v>03054641810</v>
      </c>
      <c r="D353" s="10" t="str">
        <f>IFERROR(__xludf.DUMMYFUNCTION("""COMPUTED_VALUE"""),"Jamia msjid")</f>
        <v>Jamia msjid</v>
      </c>
      <c r="E353" s="10" t="str">
        <f>IFERROR(__xludf.DUMMYFUNCTION("""COMPUTED_VALUE"""),"PBYFM")</f>
        <v>PBYFM</v>
      </c>
      <c r="F353" s="10">
        <f>IFERROR(__xludf.DUMMYFUNCTION("""COMPUTED_VALUE"""),35.0)</f>
        <v>35</v>
      </c>
      <c r="G353" s="10">
        <f>IFERROR(__xludf.DUMMYFUNCTION("""COMPUTED_VALUE"""),6.0)</f>
        <v>6</v>
      </c>
      <c r="H353" s="10">
        <f>IFERROR(__xludf.DUMMYFUNCTION("""COMPUTED_VALUE"""),4.0)</f>
        <v>4</v>
      </c>
      <c r="I353" s="10" t="str">
        <f>IFERROR(__xludf.DUMMYFUNCTION("""COMPUTED_VALUE"""),"04")</f>
        <v>04</v>
      </c>
      <c r="J353" s="10"/>
      <c r="K353" s="10"/>
      <c r="L353" s="10"/>
      <c r="M353" s="10">
        <f>IFERROR(__xludf.DUMMYFUNCTION("""COMPUTED_VALUE"""),10.0)</f>
        <v>10</v>
      </c>
      <c r="N353" s="10"/>
      <c r="O353" s="10"/>
      <c r="P353" s="10"/>
      <c r="Q353" s="10"/>
      <c r="R353" s="10"/>
      <c r="S353" s="10"/>
      <c r="T353" s="10"/>
      <c r="U353" s="18" t="str">
        <f>IFERROR(__xludf.DUMMYFUNCTION("""COMPUTED_VALUE"""),"https://drive.google.com/open?id=1MNabs416M2JSqk2PH-TswJXhEElTaAJj")</f>
        <v>https://drive.google.com/open?id=1MNabs416M2JSqk2PH-TswJXhEElTaAJj</v>
      </c>
      <c r="V353" s="10"/>
      <c r="W353" s="10"/>
      <c r="X353" s="10"/>
      <c r="Y353" s="14" t="str">
        <f>IFERROR(__xludf.DUMMYFUNCTION("""COMPUTED_VALUE"""),"chw116668@gmail.com")</f>
        <v>chw116668@gmail.com</v>
      </c>
      <c r="AA353" s="324"/>
    </row>
    <row r="354" hidden="1">
      <c r="A354" s="9">
        <f>IFERROR(__xludf.DUMMYFUNCTION("""COMPUTED_VALUE"""),45863.28771365741)</f>
        <v>45863.28771</v>
      </c>
      <c r="B354" s="10" t="str">
        <f>IFERROR(__xludf.DUMMYFUNCTION("""COMPUTED_VALUE"""),"Shahid amin")</f>
        <v>Shahid amin</v>
      </c>
      <c r="C354" s="10" t="str">
        <f>IFERROR(__xludf.DUMMYFUNCTION("""COMPUTED_VALUE"""),"03016108844")</f>
        <v>03016108844</v>
      </c>
      <c r="D354" s="10" t="str">
        <f>IFERROR(__xludf.DUMMYFUNCTION("""COMPUTED_VALUE"""),"Madina masjid peopal wali")</f>
        <v>Madina masjid peopal wali</v>
      </c>
      <c r="E354" s="10" t="str">
        <f>IFERROR(__xludf.DUMMYFUNCTION("""COMPUTED_VALUE"""),"Wpqfg")</f>
        <v>Wpqfg</v>
      </c>
      <c r="F354" s="10">
        <f>IFERROR(__xludf.DUMMYFUNCTION("""COMPUTED_VALUE"""),60.0)</f>
        <v>60</v>
      </c>
      <c r="G354" s="10">
        <f>IFERROR(__xludf.DUMMYFUNCTION("""COMPUTED_VALUE"""),7.0)</f>
        <v>7</v>
      </c>
      <c r="H354" s="10">
        <f>IFERROR(__xludf.DUMMYFUNCTION("""COMPUTED_VALUE"""),7.0)</f>
        <v>7</v>
      </c>
      <c r="I354" s="10">
        <f>IFERROR(__xludf.DUMMYFUNCTION("""COMPUTED_VALUE"""),2.0)</f>
        <v>2</v>
      </c>
      <c r="J354" s="10"/>
      <c r="K354" s="10"/>
      <c r="L354" s="10"/>
      <c r="M354" s="10">
        <f>IFERROR(__xludf.DUMMYFUNCTION("""COMPUTED_VALUE"""),8.0)</f>
        <v>8</v>
      </c>
      <c r="N354" s="10"/>
      <c r="O354" s="10"/>
      <c r="P354" s="10"/>
      <c r="Q354" s="10"/>
      <c r="R354" s="10"/>
      <c r="S354" s="10"/>
      <c r="T354" s="10"/>
      <c r="U354" s="18" t="str">
        <f>IFERROR(__xludf.DUMMYFUNCTION("""COMPUTED_VALUE"""),"https://drive.google.com/file/d/19luiHoMIi1iRkVl8JFA_PdQLRAl6Sz9S/view?usp=drive_link")</f>
        <v>https://drive.google.com/file/d/19luiHoMIi1iRkVl8JFA_PdQLRAl6Sz9S/view?usp=drive_link</v>
      </c>
      <c r="V354" s="10"/>
      <c r="W354" s="10"/>
      <c r="X354" s="10"/>
      <c r="Y354" s="14" t="str">
        <f>IFERROR(__xludf.DUMMYFUNCTION("""COMPUTED_VALUE"""),"shahidrao209@gmail.com")</f>
        <v>shahidrao209@gmail.com</v>
      </c>
      <c r="AA354" s="324"/>
    </row>
    <row r="355" hidden="1">
      <c r="A355" s="9">
        <f>IFERROR(__xludf.DUMMYFUNCTION("""COMPUTED_VALUE"""),45863.28991777777)</f>
        <v>45863.28992</v>
      </c>
      <c r="B355" s="10" t="str">
        <f>IFERROR(__xludf.DUMMYFUNCTION("""COMPUTED_VALUE"""),"Asim sabri ")</f>
        <v>Asim sabri </v>
      </c>
      <c r="C355" s="10" t="str">
        <f>IFERROR(__xludf.DUMMYFUNCTION("""COMPUTED_VALUE"""),"03006481909")</f>
        <v>03006481909</v>
      </c>
      <c r="D355" s="10" t="str">
        <f>IFERROR(__xludf.DUMMYFUNCTION("""COMPUTED_VALUE"""),"Jamia masjid Mohib faqeer ")</f>
        <v>Jamia masjid Mohib faqeer </v>
      </c>
      <c r="E355" s="10" t="str">
        <f>IFERROR(__xludf.DUMMYFUNCTION("""COMPUTED_VALUE"""),"XALUJ")</f>
        <v>XALUJ</v>
      </c>
      <c r="F355" s="10">
        <f>IFERROR(__xludf.DUMMYFUNCTION("""COMPUTED_VALUE"""),760.0)</f>
        <v>760</v>
      </c>
      <c r="G355" s="10">
        <f>IFERROR(__xludf.DUMMYFUNCTION("""COMPUTED_VALUE"""),2.0)</f>
        <v>2</v>
      </c>
      <c r="H355" s="10">
        <f>IFERROR(__xludf.DUMMYFUNCTION("""COMPUTED_VALUE"""),5.0)</f>
        <v>5</v>
      </c>
      <c r="I355" s="10">
        <f>IFERROR(__xludf.DUMMYFUNCTION("""COMPUTED_VALUE"""),7.0)</f>
        <v>7</v>
      </c>
      <c r="J355" s="10"/>
      <c r="K355" s="10"/>
      <c r="L355" s="10"/>
      <c r="M355" s="10">
        <f>IFERROR(__xludf.DUMMYFUNCTION("""COMPUTED_VALUE"""),7.0)</f>
        <v>7</v>
      </c>
      <c r="N355" s="10"/>
      <c r="O355" s="10"/>
      <c r="P355" s="10"/>
      <c r="Q355" s="10"/>
      <c r="R355" s="10"/>
      <c r="S355" s="10"/>
      <c r="T355" s="10"/>
      <c r="U355" s="18" t="str">
        <f>IFERROR(__xludf.DUMMYFUNCTION("""COMPUTED_VALUE"""),"https://drive.google.com/file/d/1VDF4OGz0LLwM8trztTChnkz6Q48zBBQn/view?usp=drive_link")</f>
        <v>https://drive.google.com/file/d/1VDF4OGz0LLwM8trztTChnkz6Q48zBBQn/view?usp=drive_link</v>
      </c>
      <c r="V355" s="10" t="str">
        <f>IFERROR(__xludf.DUMMYFUNCTION("""COMPUTED_VALUE"""),"واشروم بلکل ناقص حالت ")</f>
        <v>واشروم بلکل ناقص حالت </v>
      </c>
      <c r="W355" s="10"/>
      <c r="X355" s="10"/>
      <c r="Y355" s="14" t="str">
        <f>IFERROR(__xludf.DUMMYFUNCTION("""COMPUTED_VALUE"""),"asimsabriasimsabri198126@gmail.com")</f>
        <v>asimsabriasimsabri198126@gmail.com</v>
      </c>
      <c r="AA355" s="324"/>
    </row>
    <row r="356" hidden="1">
      <c r="A356" s="9">
        <f>IFERROR(__xludf.DUMMYFUNCTION("""COMPUTED_VALUE"""),45863.2903144213)</f>
        <v>45863.29031</v>
      </c>
      <c r="B356" s="10" t="str">
        <f>IFERROR(__xludf.DUMMYFUNCTION("""COMPUTED_VALUE"""),"Shahid amin")</f>
        <v>Shahid amin</v>
      </c>
      <c r="C356" s="10" t="str">
        <f>IFERROR(__xludf.DUMMYFUNCTION("""COMPUTED_VALUE"""),"03016108844")</f>
        <v>03016108844</v>
      </c>
      <c r="D356" s="10" t="str">
        <f>IFERROR(__xludf.DUMMYFUNCTION("""COMPUTED_VALUE"""),"Madina masjid peopal wali")</f>
        <v>Madina masjid peopal wali</v>
      </c>
      <c r="E356" s="10" t="str">
        <f>IFERROR(__xludf.DUMMYFUNCTION("""COMPUTED_VALUE"""),"Wpwfg")</f>
        <v>Wpwfg</v>
      </c>
      <c r="F356" s="10">
        <f>IFERROR(__xludf.DUMMYFUNCTION("""COMPUTED_VALUE"""),60.0)</f>
        <v>60</v>
      </c>
      <c r="G356" s="10">
        <f>IFERROR(__xludf.DUMMYFUNCTION("""COMPUTED_VALUE"""),7.0)</f>
        <v>7</v>
      </c>
      <c r="H356" s="10">
        <f>IFERROR(__xludf.DUMMYFUNCTION("""COMPUTED_VALUE"""),7.0)</f>
        <v>7</v>
      </c>
      <c r="I356" s="10">
        <f>IFERROR(__xludf.DUMMYFUNCTION("""COMPUTED_VALUE"""),2.0)</f>
        <v>2</v>
      </c>
      <c r="J356" s="10"/>
      <c r="K356" s="10"/>
      <c r="L356" s="10"/>
      <c r="M356" s="10">
        <f>IFERROR(__xludf.DUMMYFUNCTION("""COMPUTED_VALUE"""),8.0)</f>
        <v>8</v>
      </c>
      <c r="N356" s="10"/>
      <c r="O356" s="10"/>
      <c r="P356" s="10"/>
      <c r="Q356" s="10"/>
      <c r="R356" s="10"/>
      <c r="S356" s="10"/>
      <c r="T356" s="10"/>
      <c r="U356" s="18" t="str">
        <f>IFERROR(__xludf.DUMMYFUNCTION("""COMPUTED_VALUE"""),"https://drive.google.com/open?id=1ET_VSkTv4YcTLyt8XFElN2MowczT2o_B")</f>
        <v>https://drive.google.com/open?id=1ET_VSkTv4YcTLyt8XFElN2MowczT2o_B</v>
      </c>
      <c r="V356" s="10"/>
      <c r="W356" s="10"/>
      <c r="X356" s="10"/>
      <c r="Y356" s="14" t="str">
        <f>IFERROR(__xludf.DUMMYFUNCTION("""COMPUTED_VALUE"""),"shahidrao209@gmail.com")</f>
        <v>shahidrao209@gmail.com</v>
      </c>
      <c r="AA356" s="324"/>
    </row>
    <row r="357" hidden="1">
      <c r="A357" s="9">
        <f>IFERROR(__xludf.DUMMYFUNCTION("""COMPUTED_VALUE"""),45863.29100672454)</f>
        <v>45863.29101</v>
      </c>
      <c r="B357" s="10" t="str">
        <f>IFERROR(__xludf.DUMMYFUNCTION("""COMPUTED_VALUE"""),"Muhammad Shabbir ")</f>
        <v>Muhammad Shabbir </v>
      </c>
      <c r="C357" s="10" t="str">
        <f>IFERROR(__xludf.DUMMYFUNCTION("""COMPUTED_VALUE"""),"03009543049")</f>
        <v>03009543049</v>
      </c>
      <c r="D357" s="10" t="str">
        <f>IFERROR(__xludf.DUMMYFUNCTION("""COMPUTED_VALUE"""),"Masjid Darbar  shah Rukne e alam ")</f>
        <v>Masjid Darbar  shah Rukne e alam </v>
      </c>
      <c r="E357" s="10" t="str">
        <f>IFERROR(__xludf.DUMMYFUNCTION("""COMPUTED_VALUE"""),"YEIGP")</f>
        <v>YEIGP</v>
      </c>
      <c r="F357" s="10">
        <f>IFERROR(__xludf.DUMMYFUNCTION("""COMPUTED_VALUE"""),313.0)</f>
        <v>313</v>
      </c>
      <c r="G357" s="10">
        <f>IFERROR(__xludf.DUMMYFUNCTION("""COMPUTED_VALUE"""),10.0)</f>
        <v>10</v>
      </c>
      <c r="H357" s="10">
        <f>IFERROR(__xludf.DUMMYFUNCTION("""COMPUTED_VALUE"""),10.0)</f>
        <v>10</v>
      </c>
      <c r="I357" s="10">
        <f>IFERROR(__xludf.DUMMYFUNCTION("""COMPUTED_VALUE"""),0.0)</f>
        <v>0</v>
      </c>
      <c r="J357" s="10"/>
      <c r="K357" s="10"/>
      <c r="L357" s="10"/>
      <c r="M357" s="10">
        <f>IFERROR(__xludf.DUMMYFUNCTION("""COMPUTED_VALUE"""),10.0)</f>
        <v>10</v>
      </c>
      <c r="N357" s="10"/>
      <c r="O357" s="10"/>
      <c r="P357" s="10"/>
      <c r="Q357" s="10"/>
      <c r="R357" s="10"/>
      <c r="S357" s="10"/>
      <c r="T357" s="10"/>
      <c r="U357" s="18" t="str">
        <f>IFERROR(__xludf.DUMMYFUNCTION("""COMPUTED_VALUE"""),"https://drive.google.com/open?id=1STqfOI4emRKoiaFelzrl9vBeuiZLRlRx")</f>
        <v>https://drive.google.com/open?id=1STqfOI4emRKoiaFelzrl9vBeuiZLRlRx</v>
      </c>
      <c r="V357" s="10"/>
      <c r="W357" s="10"/>
      <c r="X357" s="10"/>
      <c r="Y357" s="14" t="str">
        <f>IFERROR(__xludf.DUMMYFUNCTION("""COMPUTED_VALUE"""),"shabbirmalik017@gmail.com")</f>
        <v>shabbirmalik017@gmail.com</v>
      </c>
      <c r="AA357" s="324"/>
    </row>
    <row r="358" hidden="1">
      <c r="A358" s="9">
        <f>IFERROR(__xludf.DUMMYFUNCTION("""COMPUTED_VALUE"""),45863.293703460644)</f>
        <v>45863.2937</v>
      </c>
      <c r="B358" s="10" t="str">
        <f>IFERROR(__xludf.DUMMYFUNCTION("""COMPUTED_VALUE"""),"Muhammad Junaid")</f>
        <v>Muhammad Junaid</v>
      </c>
      <c r="C358" s="10" t="str">
        <f>IFERROR(__xludf.DUMMYFUNCTION("""COMPUTED_VALUE"""),"03422566208")</f>
        <v>03422566208</v>
      </c>
      <c r="D358" s="10" t="str">
        <f>IFERROR(__xludf.DUMMYFUNCTION("""COMPUTED_VALUE"""),"Jamia Masjid Block No. 3 DGKhan")</f>
        <v>Jamia Masjid Block No. 3 DGKhan</v>
      </c>
      <c r="E358" s="10" t="str">
        <f>IFERROR(__xludf.DUMMYFUNCTION("""COMPUTED_VALUE"""),"VYZQV")</f>
        <v>VYZQV</v>
      </c>
      <c r="F358" s="10">
        <f>IFERROR(__xludf.DUMMYFUNCTION("""COMPUTED_VALUE"""),460.0)</f>
        <v>460</v>
      </c>
      <c r="G358" s="10">
        <f>IFERROR(__xludf.DUMMYFUNCTION("""COMPUTED_VALUE"""),9.0)</f>
        <v>9</v>
      </c>
      <c r="H358" s="10">
        <f>IFERROR(__xludf.DUMMYFUNCTION("""COMPUTED_VALUE"""),8.0)</f>
        <v>8</v>
      </c>
      <c r="I358" s="10">
        <f>IFERROR(__xludf.DUMMYFUNCTION("""COMPUTED_VALUE"""),2.0)</f>
        <v>2</v>
      </c>
      <c r="J358" s="10"/>
      <c r="K358" s="10"/>
      <c r="L358" s="10"/>
      <c r="M358" s="10">
        <f>IFERROR(__xludf.DUMMYFUNCTION("""COMPUTED_VALUE"""),4.0)</f>
        <v>4</v>
      </c>
      <c r="N358" s="10"/>
      <c r="O358" s="10"/>
      <c r="P358" s="10"/>
      <c r="Q358" s="10"/>
      <c r="R358" s="10"/>
      <c r="S358" s="10"/>
      <c r="T358" s="10"/>
      <c r="U358" s="18" t="str">
        <f>IFERROR(__xludf.DUMMYFUNCTION("""COMPUTED_VALUE"""),"https://drive.google.com/open?id=1NVMtkmkhc6tSy4OFZyZl3axvssi0Ijiz")</f>
        <v>https://drive.google.com/open?id=1NVMtkmkhc6tSy4OFZyZl3axvssi0Ijiz</v>
      </c>
      <c r="V358" s="10"/>
      <c r="W358" s="10"/>
      <c r="X358" s="10"/>
      <c r="Y358" s="14" t="str">
        <f>IFERROR(__xludf.DUMMYFUNCTION("""COMPUTED_VALUE"""),"junaidkhan4045840@gmail.com")</f>
        <v>junaidkhan4045840@gmail.com</v>
      </c>
      <c r="AA358" s="324"/>
    </row>
    <row r="359" hidden="1">
      <c r="A359" s="9">
        <f>IFERROR(__xludf.DUMMYFUNCTION("""COMPUTED_VALUE"""),45863.29756099537)</f>
        <v>45863.29756</v>
      </c>
      <c r="B359" s="10" t="str">
        <f>IFERROR(__xludf.DUMMYFUNCTION("""COMPUTED_VALUE"""),"M. Arbaz")</f>
        <v>M. Arbaz</v>
      </c>
      <c r="C359" s="10" t="str">
        <f>IFERROR(__xludf.DUMMYFUNCTION("""COMPUTED_VALUE"""),"03011445582")</f>
        <v>03011445582</v>
      </c>
      <c r="D359" s="10" t="str">
        <f>IFERROR(__xludf.DUMMYFUNCTION("""COMPUTED_VALUE"""),"Jamia masjid Hakeem m.yar wali bwp")</f>
        <v>Jamia masjid Hakeem m.yar wali bwp</v>
      </c>
      <c r="E359" s="10" t="str">
        <f>IFERROR(__xludf.DUMMYFUNCTION("""COMPUTED_VALUE"""),"RAKEI")</f>
        <v>RAKEI</v>
      </c>
      <c r="F359" s="10">
        <f>IFERROR(__xludf.DUMMYFUNCTION("""COMPUTED_VALUE"""),127.0)</f>
        <v>127</v>
      </c>
      <c r="G359" s="10">
        <f>IFERROR(__xludf.DUMMYFUNCTION("""COMPUTED_VALUE"""),9.0)</f>
        <v>9</v>
      </c>
      <c r="H359" s="10">
        <f>IFERROR(__xludf.DUMMYFUNCTION("""COMPUTED_VALUE"""),9.0)</f>
        <v>9</v>
      </c>
      <c r="I359" s="10">
        <f>IFERROR(__xludf.DUMMYFUNCTION("""COMPUTED_VALUE"""),1.0)</f>
        <v>1</v>
      </c>
      <c r="J359" s="10"/>
      <c r="K359" s="10"/>
      <c r="L359" s="10"/>
      <c r="M359" s="10">
        <f>IFERROR(__xludf.DUMMYFUNCTION("""COMPUTED_VALUE"""),7.0)</f>
        <v>7</v>
      </c>
      <c r="N359" s="10"/>
      <c r="O359" s="10"/>
      <c r="P359" s="10"/>
      <c r="Q359" s="10"/>
      <c r="R359" s="10"/>
      <c r="S359" s="10"/>
      <c r="T359" s="10"/>
      <c r="U359" s="18" t="str">
        <f>IFERROR(__xludf.DUMMYFUNCTION("""COMPUTED_VALUE"""),"https://drive.google.com/open?id=1kydPABvmdArDnBsJmq-QOgF2wJhb3gnY")</f>
        <v>https://drive.google.com/open?id=1kydPABvmdArDnBsJmq-QOgF2wJhb3gnY</v>
      </c>
      <c r="V359" s="10"/>
      <c r="W359" s="10"/>
      <c r="X359" s="10"/>
      <c r="Y359" s="14" t="str">
        <f>IFERROR(__xludf.DUMMYFUNCTION("""COMPUTED_VALUE"""),"amirakash6830@gmail.com")</f>
        <v>amirakash6830@gmail.com</v>
      </c>
      <c r="AA359" s="324"/>
    </row>
    <row r="360" hidden="1">
      <c r="A360" s="9">
        <f>IFERROR(__xludf.DUMMYFUNCTION("""COMPUTED_VALUE"""),45863.2981327662)</f>
        <v>45863.29813</v>
      </c>
      <c r="B360" s="10" t="str">
        <f>IFERROR(__xludf.DUMMYFUNCTION("""COMPUTED_VALUE"""),"Muhammad imran")</f>
        <v>Muhammad imran</v>
      </c>
      <c r="C360" s="10" t="str">
        <f>IFERROR(__xludf.DUMMYFUNCTION("""COMPUTED_VALUE"""),"03006913636")</f>
        <v>03006913636</v>
      </c>
      <c r="D360" s="10" t="str">
        <f>IFERROR(__xludf.DUMMYFUNCTION("""COMPUTED_VALUE"""),"Jamia Masjid Khwaja Noor Mohammad Maharvi")</f>
        <v>Jamia Masjid Khwaja Noor Mohammad Maharvi</v>
      </c>
      <c r="E360" s="10" t="str">
        <f>IFERROR(__xludf.DUMMYFUNCTION("""COMPUTED_VALUE"""),"HRSOG")</f>
        <v>HRSOG</v>
      </c>
      <c r="F360" s="10">
        <f>IFERROR(__xludf.DUMMYFUNCTION("""COMPUTED_VALUE"""),1753.0)</f>
        <v>1753</v>
      </c>
      <c r="G360" s="10">
        <f>IFERROR(__xludf.DUMMYFUNCTION("""COMPUTED_VALUE"""),8.0)</f>
        <v>8</v>
      </c>
      <c r="H360" s="10">
        <f>IFERROR(__xludf.DUMMYFUNCTION("""COMPUTED_VALUE"""),8.0)</f>
        <v>8</v>
      </c>
      <c r="I360" s="10">
        <f>IFERROR(__xludf.DUMMYFUNCTION("""COMPUTED_VALUE"""),1.0)</f>
        <v>1</v>
      </c>
      <c r="J360" s="10"/>
      <c r="K360" s="10"/>
      <c r="L360" s="10"/>
      <c r="M360" s="10">
        <f>IFERROR(__xludf.DUMMYFUNCTION("""COMPUTED_VALUE"""),10.0)</f>
        <v>10</v>
      </c>
      <c r="N360" s="10"/>
      <c r="O360" s="10"/>
      <c r="P360" s="10"/>
      <c r="Q360" s="10"/>
      <c r="R360" s="10"/>
      <c r="S360" s="10"/>
      <c r="T360" s="10"/>
      <c r="U360" s="18" t="str">
        <f>IFERROR(__xludf.DUMMYFUNCTION("""COMPUTED_VALUE"""),"https://drive.google.com/open?id=1fvsYYdPXIFUBw63c0vi8q5EL3aqpfly5")</f>
        <v>https://drive.google.com/open?id=1fvsYYdPXIFUBw63c0vi8q5EL3aqpfly5</v>
      </c>
      <c r="V360" s="10" t="str">
        <f>IFERROR(__xludf.DUMMYFUNCTION("""COMPUTED_VALUE"""),"No")</f>
        <v>No</v>
      </c>
      <c r="W360" s="10"/>
      <c r="X360" s="10"/>
      <c r="Y360" s="14" t="str">
        <f>IFERROR(__xludf.DUMMYFUNCTION("""COMPUTED_VALUE"""),"imrankhan0300692@gmail.com")</f>
        <v>imrankhan0300692@gmail.com</v>
      </c>
      <c r="AA360" s="324"/>
    </row>
    <row r="361" hidden="1">
      <c r="A361" s="9">
        <f>IFERROR(__xludf.DUMMYFUNCTION("""COMPUTED_VALUE"""),45863.29818056713)</f>
        <v>45863.29818</v>
      </c>
      <c r="B361" s="10" t="str">
        <f>IFERROR(__xludf.DUMMYFUNCTION("""COMPUTED_VALUE"""),"Muhammad javed")</f>
        <v>Muhammad javed</v>
      </c>
      <c r="C361" s="10" t="str">
        <f>IFERROR(__xludf.DUMMYFUNCTION("""COMPUTED_VALUE"""),"03007354903")</f>
        <v>03007354903</v>
      </c>
      <c r="D361" s="10" t="str">
        <f>IFERROR(__xludf.DUMMYFUNCTION("""COMPUTED_VALUE"""),"Zain ull abidain")</f>
        <v>Zain ull abidain</v>
      </c>
      <c r="E361" s="10" t="str">
        <f>IFERROR(__xludf.DUMMYFUNCTION("""COMPUTED_VALUE"""),"0000")</f>
        <v>0000</v>
      </c>
      <c r="F361" s="10">
        <f>IFERROR(__xludf.DUMMYFUNCTION("""COMPUTED_VALUE"""),428.0)</f>
        <v>428</v>
      </c>
      <c r="G361" s="10">
        <f>IFERROR(__xludf.DUMMYFUNCTION("""COMPUTED_VALUE"""),4.0)</f>
        <v>4</v>
      </c>
      <c r="H361" s="10">
        <f>IFERROR(__xludf.DUMMYFUNCTION("""COMPUTED_VALUE"""),6.0)</f>
        <v>6</v>
      </c>
      <c r="I361" s="10">
        <f>IFERROR(__xludf.DUMMYFUNCTION("""COMPUTED_VALUE"""),0.0)</f>
        <v>0</v>
      </c>
      <c r="J361" s="10"/>
      <c r="K361" s="10"/>
      <c r="L361" s="10"/>
      <c r="M361" s="10">
        <f>IFERROR(__xludf.DUMMYFUNCTION("""COMPUTED_VALUE"""),4.0)</f>
        <v>4</v>
      </c>
      <c r="N361" s="10"/>
      <c r="O361" s="10"/>
      <c r="P361" s="10"/>
      <c r="Q361" s="10"/>
      <c r="R361" s="10"/>
      <c r="S361" s="10"/>
      <c r="T361" s="10"/>
      <c r="U361" s="10"/>
      <c r="V361" s="10"/>
      <c r="W361" s="10"/>
      <c r="X361" s="10"/>
      <c r="Y361" s="14" t="str">
        <f>IFERROR(__xludf.DUMMYFUNCTION("""COMPUTED_VALUE"""),"malikjavaid250@gmail.com")</f>
        <v>malikjavaid250@gmail.com</v>
      </c>
      <c r="AA361" s="324"/>
    </row>
    <row r="362" hidden="1">
      <c r="A362" s="9">
        <f>IFERROR(__xludf.DUMMYFUNCTION("""COMPUTED_VALUE"""),45863.30008050926)</f>
        <v>45863.30008</v>
      </c>
      <c r="B362" s="10" t="str">
        <f>IFERROR(__xludf.DUMMYFUNCTION("""COMPUTED_VALUE"""),"M.Ahmed ")</f>
        <v>M.Ahmed </v>
      </c>
      <c r="C362" s="10" t="str">
        <f>IFERROR(__xludf.DUMMYFUNCTION("""COMPUTED_VALUE"""),"03047615655")</f>
        <v>03047615655</v>
      </c>
      <c r="D362" s="10" t="str">
        <f>IFERROR(__xludf.DUMMYFUNCTION("""COMPUTED_VALUE"""),"Jamia masjid sheakh Syed wali Fareed gate")</f>
        <v>Jamia masjid sheakh Syed wali Fareed gate</v>
      </c>
      <c r="E362" s="10" t="str">
        <f>IFERROR(__xludf.DUMMYFUNCTION("""COMPUTED_VALUE"""),"PGOLJ")</f>
        <v>PGOLJ</v>
      </c>
      <c r="F362" s="10">
        <f>IFERROR(__xludf.DUMMYFUNCTION("""COMPUTED_VALUE"""),322.0)</f>
        <v>322</v>
      </c>
      <c r="G362" s="10">
        <f>IFERROR(__xludf.DUMMYFUNCTION("""COMPUTED_VALUE"""),8.0)</f>
        <v>8</v>
      </c>
      <c r="H362" s="10">
        <f>IFERROR(__xludf.DUMMYFUNCTION("""COMPUTED_VALUE"""),10.0)</f>
        <v>10</v>
      </c>
      <c r="I362" s="10">
        <f>IFERROR(__xludf.DUMMYFUNCTION("""COMPUTED_VALUE"""),2.0)</f>
        <v>2</v>
      </c>
      <c r="J362" s="10"/>
      <c r="K362" s="10"/>
      <c r="L362" s="10"/>
      <c r="M362" s="10">
        <f>IFERROR(__xludf.DUMMYFUNCTION("""COMPUTED_VALUE"""),9.0)</f>
        <v>9</v>
      </c>
      <c r="N362" s="10"/>
      <c r="O362" s="10"/>
      <c r="P362" s="10"/>
      <c r="Q362" s="10"/>
      <c r="R362" s="10"/>
      <c r="S362" s="10"/>
      <c r="T362" s="10"/>
      <c r="U362" s="18" t="str">
        <f>IFERROR(__xludf.DUMMYFUNCTION("""COMPUTED_VALUE"""),"https://drive.google.com/open?id=16z8Z03TJdCu4PSRPj7tpCHqCTemsYecC")</f>
        <v>https://drive.google.com/open?id=16z8Z03TJdCu4PSRPj7tpCHqCTemsYecC</v>
      </c>
      <c r="V362" s="10"/>
      <c r="W362" s="10"/>
      <c r="X362" s="10"/>
      <c r="Y362" s="14" t="str">
        <f>IFERROR(__xludf.DUMMYFUNCTION("""COMPUTED_VALUE"""),"amirakash6830@gmail.com")</f>
        <v>amirakash6830@gmail.com</v>
      </c>
      <c r="AA362" s="324"/>
    </row>
    <row r="363" hidden="1">
      <c r="A363" s="9">
        <f>IFERROR(__xludf.DUMMYFUNCTION("""COMPUTED_VALUE"""),45863.303011979166)</f>
        <v>45863.30301</v>
      </c>
      <c r="B363" s="10" t="str">
        <f>IFERROR(__xludf.DUMMYFUNCTION("""COMPUTED_VALUE"""),"Muhammad Asif Hanif ")</f>
        <v>Muhammad Asif Hanif </v>
      </c>
      <c r="C363" s="10" t="str">
        <f>IFERROR(__xludf.DUMMYFUNCTION("""COMPUTED_VALUE"""),"03007196255")</f>
        <v>03007196255</v>
      </c>
      <c r="D363" s="10" t="str">
        <f>IFERROR(__xludf.DUMMYFUNCTION("""COMPUTED_VALUE"""),"Yes")</f>
        <v>Yes</v>
      </c>
      <c r="E363" s="10" t="str">
        <f>IFERROR(__xludf.DUMMYFUNCTION("""COMPUTED_VALUE"""),"AKPFN")</f>
        <v>AKPFN</v>
      </c>
      <c r="F363" s="326">
        <f>IFERROR(__xludf.DUMMYFUNCTION("""COMPUTED_VALUE"""),800900.0)</f>
        <v>800900</v>
      </c>
      <c r="G363" s="10">
        <f>IFERROR(__xludf.DUMMYFUNCTION("""COMPUTED_VALUE"""),10.0)</f>
        <v>10</v>
      </c>
      <c r="H363" s="10">
        <f>IFERROR(__xludf.DUMMYFUNCTION("""COMPUTED_VALUE"""),10.0)</f>
        <v>10</v>
      </c>
      <c r="I363" s="10">
        <f>IFERROR(__xludf.DUMMYFUNCTION("""COMPUTED_VALUE"""),0.0)</f>
        <v>0</v>
      </c>
      <c r="J363" s="10"/>
      <c r="K363" s="10"/>
      <c r="L363" s="10"/>
      <c r="M363" s="10">
        <f>IFERROR(__xludf.DUMMYFUNCTION("""COMPUTED_VALUE"""),10.0)</f>
        <v>10</v>
      </c>
      <c r="N363" s="10"/>
      <c r="O363" s="10"/>
      <c r="P363" s="10"/>
      <c r="Q363" s="10"/>
      <c r="R363" s="10"/>
      <c r="S363" s="10"/>
      <c r="T363" s="10"/>
      <c r="U363" s="18" t="str">
        <f>IFERROR(__xludf.DUMMYFUNCTION("""COMPUTED_VALUE"""),"https://drive.google.com/open?id=18Ftz7IABuUeNWuhj33Wt2Qwhr8deAV0b")</f>
        <v>https://drive.google.com/open?id=18Ftz7IABuUeNWuhj33Wt2Qwhr8deAV0b</v>
      </c>
      <c r="V363" s="10"/>
      <c r="W363" s="10"/>
      <c r="X363" s="10"/>
      <c r="Y363" s="14" t="str">
        <f>IFERROR(__xludf.DUMMYFUNCTION("""COMPUTED_VALUE"""),"hasif3590@gmail.com")</f>
        <v>hasif3590@gmail.com</v>
      </c>
      <c r="AA363" s="324"/>
    </row>
    <row r="364" hidden="1">
      <c r="A364" s="9">
        <f>IFERROR(__xludf.DUMMYFUNCTION("""COMPUTED_VALUE"""),45863.30762238426)</f>
        <v>45863.30762</v>
      </c>
      <c r="B364" s="10" t="str">
        <f>IFERROR(__xludf.DUMMYFUNCTION("""COMPUTED_VALUE"""),"M.tariq")</f>
        <v>M.tariq</v>
      </c>
      <c r="C364" s="10" t="str">
        <f>IFERROR(__xludf.DUMMYFUNCTION("""COMPUTED_VALUE"""),"03112643273")</f>
        <v>03112643273</v>
      </c>
      <c r="D364" s="10" t="str">
        <f>IFERROR(__xludf.DUMMYFUNCTION("""COMPUTED_VALUE"""),"Jamia masjid kocha gull Hassan shahi Bazar bwp")</f>
        <v>Jamia masjid kocha gull Hassan shahi Bazar bwp</v>
      </c>
      <c r="E364" s="10" t="str">
        <f>IFERROR(__xludf.DUMMYFUNCTION("""COMPUTED_VALUE"""),"REIMC")</f>
        <v>REIMC</v>
      </c>
      <c r="F364" s="10">
        <f>IFERROR(__xludf.DUMMYFUNCTION("""COMPUTED_VALUE"""),157.0)</f>
        <v>157</v>
      </c>
      <c r="G364" s="10">
        <f>IFERROR(__xludf.DUMMYFUNCTION("""COMPUTED_VALUE"""),8.0)</f>
        <v>8</v>
      </c>
      <c r="H364" s="10">
        <f>IFERROR(__xludf.DUMMYFUNCTION("""COMPUTED_VALUE"""),10.0)</f>
        <v>10</v>
      </c>
      <c r="I364" s="10">
        <f>IFERROR(__xludf.DUMMYFUNCTION("""COMPUTED_VALUE"""),1.0)</f>
        <v>1</v>
      </c>
      <c r="J364" s="10"/>
      <c r="K364" s="10"/>
      <c r="L364" s="10"/>
      <c r="M364" s="10">
        <f>IFERROR(__xludf.DUMMYFUNCTION("""COMPUTED_VALUE"""),8.0)</f>
        <v>8</v>
      </c>
      <c r="N364" s="10"/>
      <c r="O364" s="10"/>
      <c r="P364" s="10"/>
      <c r="Q364" s="10"/>
      <c r="R364" s="10"/>
      <c r="S364" s="10"/>
      <c r="T364" s="10"/>
      <c r="U364" s="18" t="str">
        <f>IFERROR(__xludf.DUMMYFUNCTION("""COMPUTED_VALUE"""),"https://drive.google.com/open?id=1crTXJ4c_LHTbAktyDAGNl2SaIgFOwqKO")</f>
        <v>https://drive.google.com/open?id=1crTXJ4c_LHTbAktyDAGNl2SaIgFOwqKO</v>
      </c>
      <c r="V364" s="10"/>
      <c r="W364" s="10"/>
      <c r="X364" s="10"/>
      <c r="Y364" s="14" t="str">
        <f>IFERROR(__xludf.DUMMYFUNCTION("""COMPUTED_VALUE"""),"panwartareq@gmail.com")</f>
        <v>panwartareq@gmail.com</v>
      </c>
      <c r="AA364" s="324"/>
    </row>
    <row r="365" hidden="1">
      <c r="A365" s="9">
        <f>IFERROR(__xludf.DUMMYFUNCTION("""COMPUTED_VALUE"""),45863.30863501158)</f>
        <v>45863.30864</v>
      </c>
      <c r="B365" s="10" t="str">
        <f>IFERROR(__xludf.DUMMYFUNCTION("""COMPUTED_VALUE"""),"Sajjadch")</f>
        <v>Sajjadch</v>
      </c>
      <c r="C365" s="10" t="str">
        <f>IFERROR(__xludf.DUMMYFUNCTION("""COMPUTED_VALUE"""),"03005377792")</f>
        <v>03005377792</v>
      </c>
      <c r="D365" s="10" t="str">
        <f>IFERROR(__xludf.DUMMYFUNCTION("""COMPUTED_VALUE"""),"Jamia masjid badbar hazrat mianchannu")</f>
        <v>Jamia masjid badbar hazrat mianchannu</v>
      </c>
      <c r="E365" s="10" t="str">
        <f>IFERROR(__xludf.DUMMYFUNCTION("""COMPUTED_VALUE"""),"Xpynm")</f>
        <v>Xpynm</v>
      </c>
      <c r="F365" s="10">
        <f>IFERROR(__xludf.DUMMYFUNCTION("""COMPUTED_VALUE"""),425.0)</f>
        <v>425</v>
      </c>
      <c r="G365" s="10">
        <f>IFERROR(__xludf.DUMMYFUNCTION("""COMPUTED_VALUE"""),7.0)</f>
        <v>7</v>
      </c>
      <c r="H365" s="10">
        <f>IFERROR(__xludf.DUMMYFUNCTION("""COMPUTED_VALUE"""),7.0)</f>
        <v>7</v>
      </c>
      <c r="I365" s="10">
        <f>IFERROR(__xludf.DUMMYFUNCTION("""COMPUTED_VALUE"""),2.0)</f>
        <v>2</v>
      </c>
      <c r="J365" s="10"/>
      <c r="K365" s="10"/>
      <c r="L365" s="10"/>
      <c r="M365" s="10">
        <f>IFERROR(__xludf.DUMMYFUNCTION("""COMPUTED_VALUE"""),8.0)</f>
        <v>8</v>
      </c>
      <c r="N365" s="10"/>
      <c r="O365" s="10"/>
      <c r="P365" s="10"/>
      <c r="Q365" s="10"/>
      <c r="R365" s="10"/>
      <c r="S365" s="10"/>
      <c r="T365" s="10"/>
      <c r="U365" s="18" t="str">
        <f>IFERROR(__xludf.DUMMYFUNCTION("""COMPUTED_VALUE"""),"https://drive.google.com/open?id=1Px9Ds5j67XITAeLzkzMEONOLWVpDOAat")</f>
        <v>https://drive.google.com/open?id=1Px9Ds5j67XITAeLzkzMEONOLWVpDOAat</v>
      </c>
      <c r="V365" s="10"/>
      <c r="W365" s="10"/>
      <c r="X365" s="10"/>
      <c r="Y365" s="14" t="str">
        <f>IFERROR(__xludf.DUMMYFUNCTION("""COMPUTED_VALUE"""),"sajjadch9215@gmail.com")</f>
        <v>sajjadch9215@gmail.com</v>
      </c>
      <c r="AA365" s="324"/>
    </row>
    <row r="366" hidden="1">
      <c r="A366" s="9">
        <f>IFERROR(__xludf.DUMMYFUNCTION("""COMPUTED_VALUE"""),45863.31112381944)</f>
        <v>45863.31112</v>
      </c>
      <c r="B366" s="10" t="str">
        <f>IFERROR(__xludf.DUMMYFUNCTION("""COMPUTED_VALUE"""),"M. Ahtsam")</f>
        <v>M. Ahtsam</v>
      </c>
      <c r="C366" s="10" t="str">
        <f>IFERROR(__xludf.DUMMYFUNCTION("""COMPUTED_VALUE"""),"03004970030")</f>
        <v>03004970030</v>
      </c>
      <c r="D366" s="10" t="str">
        <f>IFERROR(__xludf.DUMMYFUNCTION("""COMPUTED_VALUE"""),"Jamia masjid darbar sakhi sultan check no 1bc")</f>
        <v>Jamia masjid darbar sakhi sultan check no 1bc</v>
      </c>
      <c r="E366" s="10" t="str">
        <f>IFERROR(__xludf.DUMMYFUNCTION("""COMPUTED_VALUE"""),"MXMSK")</f>
        <v>MXMSK</v>
      </c>
      <c r="F366" s="10">
        <f>IFERROR(__xludf.DUMMYFUNCTION("""COMPUTED_VALUE"""),171.0)</f>
        <v>171</v>
      </c>
      <c r="G366" s="10">
        <f>IFERROR(__xludf.DUMMYFUNCTION("""COMPUTED_VALUE"""),8.0)</f>
        <v>8</v>
      </c>
      <c r="H366" s="10">
        <f>IFERROR(__xludf.DUMMYFUNCTION("""COMPUTED_VALUE"""),10.0)</f>
        <v>10</v>
      </c>
      <c r="I366" s="10">
        <f>IFERROR(__xludf.DUMMYFUNCTION("""COMPUTED_VALUE"""),1.0)</f>
        <v>1</v>
      </c>
      <c r="J366" s="10"/>
      <c r="K366" s="10"/>
      <c r="L366" s="10"/>
      <c r="M366" s="10">
        <f>IFERROR(__xludf.DUMMYFUNCTION("""COMPUTED_VALUE"""),9.0)</f>
        <v>9</v>
      </c>
      <c r="N366" s="10"/>
      <c r="O366" s="10"/>
      <c r="P366" s="10"/>
      <c r="Q366" s="10"/>
      <c r="R366" s="10"/>
      <c r="S366" s="10"/>
      <c r="T366" s="10"/>
      <c r="U366" s="18" t="str">
        <f>IFERROR(__xludf.DUMMYFUNCTION("""COMPUTED_VALUE"""),"https://drive.google.com/open?id=1m_oQjcpq592-hOSd1OFbGi32C73oxsm5")</f>
        <v>https://drive.google.com/open?id=1m_oQjcpq592-hOSd1OFbGi32C73oxsm5</v>
      </c>
      <c r="V366" s="10"/>
      <c r="W366" s="10"/>
      <c r="X366" s="10"/>
      <c r="Y366" s="14" t="str">
        <f>IFERROR(__xludf.DUMMYFUNCTION("""COMPUTED_VALUE"""),"amirakash6830@gmail.com")</f>
        <v>amirakash6830@gmail.com</v>
      </c>
      <c r="AA366" s="324"/>
    </row>
    <row r="367" hidden="1">
      <c r="A367" s="9">
        <f>IFERROR(__xludf.DUMMYFUNCTION("""COMPUTED_VALUE"""),45863.311638217594)</f>
        <v>45863.31164</v>
      </c>
      <c r="B367" s="10" t="str">
        <f>IFERROR(__xludf.DUMMYFUNCTION("""COMPUTED_VALUE"""),"Muhammad Ibrar ")</f>
        <v>Muhammad Ibrar </v>
      </c>
      <c r="C367" s="10" t="str">
        <f>IFERROR(__xludf.DUMMYFUNCTION("""COMPUTED_VALUE"""),"00057550824")</f>
        <v>00057550824</v>
      </c>
      <c r="D367" s="10" t="str">
        <f>IFERROR(__xludf.DUMMYFUNCTION("""COMPUTED_VALUE"""),"Jamie masjid qasba murral Multan ")</f>
        <v>Jamie masjid qasba murral Multan </v>
      </c>
      <c r="E367" s="10" t="str">
        <f>IFERROR(__xludf.DUMMYFUNCTION("""COMPUTED_VALUE"""),"JSPGW")</f>
        <v>JSPGW</v>
      </c>
      <c r="F367" s="10">
        <f>IFERROR(__xludf.DUMMYFUNCTION("""COMPUTED_VALUE"""),149.0)</f>
        <v>149</v>
      </c>
      <c r="G367" s="10">
        <f>IFERROR(__xludf.DUMMYFUNCTION("""COMPUTED_VALUE"""),5.0)</f>
        <v>5</v>
      </c>
      <c r="H367" s="10">
        <f>IFERROR(__xludf.DUMMYFUNCTION("""COMPUTED_VALUE"""),4.0)</f>
        <v>4</v>
      </c>
      <c r="I367" s="10">
        <f>IFERROR(__xludf.DUMMYFUNCTION("""COMPUTED_VALUE"""),7.0)</f>
        <v>7</v>
      </c>
      <c r="J367" s="10"/>
      <c r="K367" s="10"/>
      <c r="L367" s="10"/>
      <c r="M367" s="10">
        <f>IFERROR(__xludf.DUMMYFUNCTION("""COMPUTED_VALUE"""),8.0)</f>
        <v>8</v>
      </c>
      <c r="N367" s="10"/>
      <c r="O367" s="10"/>
      <c r="P367" s="10"/>
      <c r="Q367" s="10"/>
      <c r="R367" s="10"/>
      <c r="S367" s="10"/>
      <c r="T367" s="10"/>
      <c r="U367" s="18" t="str">
        <f>IFERROR(__xludf.DUMMYFUNCTION("""COMPUTED_VALUE"""),"https://drive.google.com/open?id=1Zq3mG0-V1G3BJcf6TxTd18GDgaIoLBaE")</f>
        <v>https://drive.google.com/open?id=1Zq3mG0-V1G3BJcf6TxTd18GDgaIoLBaE</v>
      </c>
      <c r="V367" s="10" t="str">
        <f>IFERROR(__xludf.DUMMYFUNCTION("""COMPUTED_VALUE"""),"No")</f>
        <v>No</v>
      </c>
      <c r="W367" s="10"/>
      <c r="X367" s="10"/>
      <c r="Y367" s="14" t="str">
        <f>IFERROR(__xludf.DUMMYFUNCTION("""COMPUTED_VALUE"""),"rameezibrar7@gmail.com")</f>
        <v>rameezibrar7@gmail.com</v>
      </c>
      <c r="AA367" s="324"/>
    </row>
    <row r="368" hidden="1">
      <c r="A368" s="9">
        <f>IFERROR(__xludf.DUMMYFUNCTION("""COMPUTED_VALUE"""),45863.31246894676)</f>
        <v>45863.31247</v>
      </c>
      <c r="B368" s="10" t="str">
        <f>IFERROR(__xludf.DUMMYFUNCTION("""COMPUTED_VALUE"""),"Waseem abbas")</f>
        <v>Waseem abbas</v>
      </c>
      <c r="C368" s="10" t="str">
        <f>IFERROR(__xludf.DUMMYFUNCTION("""COMPUTED_VALUE"""),"03313211092")</f>
        <v>03313211092</v>
      </c>
      <c r="D368" s="10" t="str">
        <f>IFERROR(__xludf.DUMMYFUNCTION("""COMPUTED_VALUE"""),"Jamia masjid Azeem ul Deen daolat gate")</f>
        <v>Jamia masjid Azeem ul Deen daolat gate</v>
      </c>
      <c r="E368" s="10" t="str">
        <f>IFERROR(__xludf.DUMMYFUNCTION("""COMPUTED_VALUE"""),"PXSPV")</f>
        <v>PXSPV</v>
      </c>
      <c r="F368" s="10">
        <f>IFERROR(__xludf.DUMMYFUNCTION("""COMPUTED_VALUE"""),39.0)</f>
        <v>39</v>
      </c>
      <c r="G368" s="10">
        <f>IFERROR(__xludf.DUMMYFUNCTION("""COMPUTED_VALUE"""),10.0)</f>
        <v>10</v>
      </c>
      <c r="H368" s="10">
        <f>IFERROR(__xludf.DUMMYFUNCTION("""COMPUTED_VALUE"""),10.0)</f>
        <v>10</v>
      </c>
      <c r="I368" s="10">
        <f>IFERROR(__xludf.DUMMYFUNCTION("""COMPUTED_VALUE"""),1.0)</f>
        <v>1</v>
      </c>
      <c r="J368" s="10"/>
      <c r="K368" s="10"/>
      <c r="L368" s="10"/>
      <c r="M368" s="10">
        <f>IFERROR(__xludf.DUMMYFUNCTION("""COMPUTED_VALUE"""),8.0)</f>
        <v>8</v>
      </c>
      <c r="N368" s="10"/>
      <c r="O368" s="10"/>
      <c r="P368" s="10"/>
      <c r="Q368" s="10"/>
      <c r="R368" s="10"/>
      <c r="S368" s="10"/>
      <c r="T368" s="10"/>
      <c r="U368" s="18" t="str">
        <f>IFERROR(__xludf.DUMMYFUNCTION("""COMPUTED_VALUE"""),"https://drive.google.com/open?id=1UCx_u120klQ5wSoO3_xNchexap5-LmG0")</f>
        <v>https://drive.google.com/open?id=1UCx_u120klQ5wSoO3_xNchexap5-LmG0</v>
      </c>
      <c r="V368" s="10"/>
      <c r="W368" s="10"/>
      <c r="X368" s="10"/>
      <c r="Y368" s="14" t="str">
        <f>IFERROR(__xludf.DUMMYFUNCTION("""COMPUTED_VALUE"""),"haiderwasem@gmail.com")</f>
        <v>haiderwasem@gmail.com</v>
      </c>
      <c r="AA368" s="324"/>
    </row>
    <row r="369" hidden="1">
      <c r="A369" s="9">
        <f>IFERROR(__xludf.DUMMYFUNCTION("""COMPUTED_VALUE"""),45863.31627628472)</f>
        <v>45863.31628</v>
      </c>
      <c r="B369" s="10" t="str">
        <f>IFERROR(__xludf.DUMMYFUNCTION("""COMPUTED_VALUE"""),"Muhammad Waseem abbas ")</f>
        <v>Muhammad Waseem abbas </v>
      </c>
      <c r="C369" s="10" t="str">
        <f>IFERROR(__xludf.DUMMYFUNCTION("""COMPUTED_VALUE"""),"03313211092")</f>
        <v>03313211092</v>
      </c>
      <c r="D369" s="10" t="str">
        <f>IFERROR(__xludf.DUMMYFUNCTION("""COMPUTED_VALUE"""),"Jamia masjid bah ul Deen zakriya Multan OQ")</f>
        <v>Jamia masjid bah ul Deen zakriya Multan OQ</v>
      </c>
      <c r="E369" s="10" t="str">
        <f>IFERROR(__xludf.DUMMYFUNCTION("""COMPUTED_VALUE"""),"OQJMO")</f>
        <v>OQJMO</v>
      </c>
      <c r="F369" s="10">
        <f>IFERROR(__xludf.DUMMYFUNCTION("""COMPUTED_VALUE"""),69.0)</f>
        <v>69</v>
      </c>
      <c r="G369" s="10">
        <f>IFERROR(__xludf.DUMMYFUNCTION("""COMPUTED_VALUE"""),10.0)</f>
        <v>10</v>
      </c>
      <c r="H369" s="10">
        <f>IFERROR(__xludf.DUMMYFUNCTION("""COMPUTED_VALUE"""),10.0)</f>
        <v>10</v>
      </c>
      <c r="I369" s="10">
        <f>IFERROR(__xludf.DUMMYFUNCTION("""COMPUTED_VALUE"""),1.0)</f>
        <v>1</v>
      </c>
      <c r="J369" s="10"/>
      <c r="K369" s="10"/>
      <c r="L369" s="10"/>
      <c r="M369" s="10">
        <f>IFERROR(__xludf.DUMMYFUNCTION("""COMPUTED_VALUE"""),10.0)</f>
        <v>10</v>
      </c>
      <c r="N369" s="10"/>
      <c r="O369" s="10"/>
      <c r="P369" s="10"/>
      <c r="Q369" s="10"/>
      <c r="R369" s="10"/>
      <c r="S369" s="10"/>
      <c r="T369" s="10"/>
      <c r="U369" s="18" t="str">
        <f>IFERROR(__xludf.DUMMYFUNCTION("""COMPUTED_VALUE"""),"https://drive.google.com/open?id=1uKk1T1Di9Y4uNozOHRTcZR3E6tteFd7y")</f>
        <v>https://drive.google.com/open?id=1uKk1T1Di9Y4uNozOHRTcZR3E6tteFd7y</v>
      </c>
      <c r="V369" s="10"/>
      <c r="W369" s="10"/>
      <c r="X369" s="10"/>
      <c r="Y369" s="14" t="str">
        <f>IFERROR(__xludf.DUMMYFUNCTION("""COMPUTED_VALUE"""),"haiderwasem@gmail.com")</f>
        <v>haiderwasem@gmail.com</v>
      </c>
      <c r="AA369" s="324"/>
    </row>
    <row r="370" hidden="1">
      <c r="A370" s="9">
        <f>IFERROR(__xludf.DUMMYFUNCTION("""COMPUTED_VALUE"""),45863.335474120366)</f>
        <v>45863.33547</v>
      </c>
      <c r="B370" s="10" t="str">
        <f>IFERROR(__xludf.DUMMYFUNCTION("""COMPUTED_VALUE"""),"Muhammad Sajid ")</f>
        <v>Muhammad Sajid </v>
      </c>
      <c r="C370" s="10" t="str">
        <f>IFERROR(__xludf.DUMMYFUNCTION("""COMPUTED_VALUE"""),"03009817016")</f>
        <v>03009817016</v>
      </c>
      <c r="D370" s="10" t="str">
        <f>IFERROR(__xludf.DUMMYFUNCTION("""COMPUTED_VALUE"""),"Nawab Muhammad Ali khan wali masjid")</f>
        <v>Nawab Muhammad Ali khan wali masjid</v>
      </c>
      <c r="E370" s="10" t="str">
        <f>IFERROR(__xludf.DUMMYFUNCTION("""COMPUTED_VALUE"""),"DODAV")</f>
        <v>DODAV</v>
      </c>
      <c r="F370" s="10">
        <f>IFERROR(__xludf.DUMMYFUNCTION("""COMPUTED_VALUE"""),109.0)</f>
        <v>109</v>
      </c>
      <c r="G370" s="10">
        <f>IFERROR(__xludf.DUMMYFUNCTION("""COMPUTED_VALUE"""),7.0)</f>
        <v>7</v>
      </c>
      <c r="H370" s="10">
        <f>IFERROR(__xludf.DUMMYFUNCTION("""COMPUTED_VALUE"""),7.0)</f>
        <v>7</v>
      </c>
      <c r="I370" s="10">
        <f>IFERROR(__xludf.DUMMYFUNCTION("""COMPUTED_VALUE"""),3.0)</f>
        <v>3</v>
      </c>
      <c r="J370" s="10"/>
      <c r="K370" s="10"/>
      <c r="L370" s="10"/>
      <c r="M370" s="10">
        <f>IFERROR(__xludf.DUMMYFUNCTION("""COMPUTED_VALUE"""),9.0)</f>
        <v>9</v>
      </c>
      <c r="N370" s="10"/>
      <c r="O370" s="10"/>
      <c r="P370" s="10"/>
      <c r="Q370" s="10"/>
      <c r="R370" s="10"/>
      <c r="S370" s="10"/>
      <c r="T370" s="10"/>
      <c r="U370" s="18" t="str">
        <f>IFERROR(__xludf.DUMMYFUNCTION("""COMPUTED_VALUE"""),"https://drive.google.com/open?id=1IAC0em-qxuam4fMn-ohWTuJP_a575R8W")</f>
        <v>https://drive.google.com/open?id=1IAC0em-qxuam4fMn-ohWTuJP_a575R8W</v>
      </c>
      <c r="V370" s="10"/>
      <c r="W370" s="10"/>
      <c r="X370" s="10"/>
      <c r="Y370" s="14" t="str">
        <f>IFERROR(__xludf.DUMMYFUNCTION("""COMPUTED_VALUE"""),"sajidshahzad88@gmail.com")</f>
        <v>sajidshahzad88@gmail.com</v>
      </c>
      <c r="AA370" s="324"/>
    </row>
    <row r="371" hidden="1">
      <c r="A371" s="9">
        <f>IFERROR(__xludf.DUMMYFUNCTION("""COMPUTED_VALUE"""),45863.33698840278)</f>
        <v>45863.33699</v>
      </c>
      <c r="B371" s="10" t="str">
        <f>IFERROR(__xludf.DUMMYFUNCTION("""COMPUTED_VALUE"""),"Abdul Jabbar")</f>
        <v>Abdul Jabbar</v>
      </c>
      <c r="C371" s="10" t="str">
        <f>IFERROR(__xludf.DUMMYFUNCTION("""COMPUTED_VALUE"""),"03366688476")</f>
        <v>03366688476</v>
      </c>
      <c r="D371" s="10" t="str">
        <f>IFERROR(__xludf.DUMMYFUNCTION("""COMPUTED_VALUE"""),"Jamia Masjid Haroon Abad")</f>
        <v>Jamia Masjid Haroon Abad</v>
      </c>
      <c r="E371" s="10" t="str">
        <f>IFERROR(__xludf.DUMMYFUNCTION("""COMPUTED_VALUE"""),"JYDRI")</f>
        <v>JYDRI</v>
      </c>
      <c r="F371" s="10">
        <f>IFERROR(__xludf.DUMMYFUNCTION("""COMPUTED_VALUE"""),400.0)</f>
        <v>400</v>
      </c>
      <c r="G371" s="10">
        <f>IFERROR(__xludf.DUMMYFUNCTION("""COMPUTED_VALUE"""),7.0)</f>
        <v>7</v>
      </c>
      <c r="H371" s="10">
        <f>IFERROR(__xludf.DUMMYFUNCTION("""COMPUTED_VALUE"""),7.0)</f>
        <v>7</v>
      </c>
      <c r="I371" s="10">
        <f>IFERROR(__xludf.DUMMYFUNCTION("""COMPUTED_VALUE"""),0.0)</f>
        <v>0</v>
      </c>
      <c r="J371" s="10"/>
      <c r="K371" s="10"/>
      <c r="L371" s="10"/>
      <c r="M371" s="10">
        <f>IFERROR(__xludf.DUMMYFUNCTION("""COMPUTED_VALUE"""),7.0)</f>
        <v>7</v>
      </c>
      <c r="N371" s="10"/>
      <c r="O371" s="10"/>
      <c r="P371" s="10"/>
      <c r="Q371" s="10"/>
      <c r="R371" s="10"/>
      <c r="S371" s="10"/>
      <c r="T371" s="10"/>
      <c r="U371" s="18" t="str">
        <f>IFERROR(__xludf.DUMMYFUNCTION("""COMPUTED_VALUE"""),"https://drive.google.com/open?id=1RRuYRigdEBQ1eAosRzEFFYAigVO57g57")</f>
        <v>https://drive.google.com/open?id=1RRuYRigdEBQ1eAosRzEFFYAigVO57g57</v>
      </c>
      <c r="V371" s="10" t="str">
        <f>IFERROR(__xludf.DUMMYFUNCTION("""COMPUTED_VALUE"""),"N/A")</f>
        <v>N/A</v>
      </c>
      <c r="W371" s="10"/>
      <c r="X371" s="10"/>
      <c r="Y371" s="14" t="str">
        <f>IFERROR(__xludf.DUMMYFUNCTION("""COMPUTED_VALUE"""),"muhammadjabbar647@gmail.com")</f>
        <v>muhammadjabbar647@gmail.com</v>
      </c>
      <c r="AA371" s="324"/>
    </row>
    <row r="372" hidden="1">
      <c r="A372" s="9">
        <f>IFERROR(__xludf.DUMMYFUNCTION("""COMPUTED_VALUE"""),45863.35334923611)</f>
        <v>45863.35335</v>
      </c>
      <c r="B372" s="10" t="str">
        <f>IFERROR(__xludf.DUMMYFUNCTION("""COMPUTED_VALUE"""),"Syed Ali Hamza ")</f>
        <v>Syed Ali Hamza </v>
      </c>
      <c r="C372" s="10" t="str">
        <f>IFERROR(__xludf.DUMMYFUNCTION("""COMPUTED_VALUE"""),"03261635877")</f>
        <v>03261635877</v>
      </c>
      <c r="D372" s="10" t="str">
        <f>IFERROR(__xludf.DUMMYFUNCTION("""COMPUTED_VALUE"""),"Jamia Masjid Darbar Ali Rajan Shah Layyah ")</f>
        <v>Jamia Masjid Darbar Ali Rajan Shah Layyah </v>
      </c>
      <c r="E372" s="10" t="str">
        <f>IFERROR(__xludf.DUMMYFUNCTION("""COMPUTED_VALUE"""),"APTDT ")</f>
        <v>APTDT </v>
      </c>
      <c r="F372" s="10">
        <f>IFERROR(__xludf.DUMMYFUNCTION("""COMPUTED_VALUE"""),170.0)</f>
        <v>170</v>
      </c>
      <c r="G372" s="10">
        <f>IFERROR(__xludf.DUMMYFUNCTION("""COMPUTED_VALUE"""),9.0)</f>
        <v>9</v>
      </c>
      <c r="H372" s="10">
        <f>IFERROR(__xludf.DUMMYFUNCTION("""COMPUTED_VALUE"""),9.0)</f>
        <v>9</v>
      </c>
      <c r="I372" s="10" t="str">
        <f>IFERROR(__xludf.DUMMYFUNCTION("""COMPUTED_VALUE"""),"Nothing ")</f>
        <v>Nothing </v>
      </c>
      <c r="J372" s="10"/>
      <c r="K372" s="10"/>
      <c r="L372" s="10"/>
      <c r="M372" s="10">
        <f>IFERROR(__xludf.DUMMYFUNCTION("""COMPUTED_VALUE"""),8.0)</f>
        <v>8</v>
      </c>
      <c r="N372" s="10"/>
      <c r="O372" s="10"/>
      <c r="P372" s="10"/>
      <c r="Q372" s="10"/>
      <c r="R372" s="10"/>
      <c r="S372" s="10"/>
      <c r="T372" s="10"/>
      <c r="U372" s="18" t="str">
        <f>IFERROR(__xludf.DUMMYFUNCTION("""COMPUTED_VALUE"""),"https://drive.google.com/open?id=1LFUyp5YRCivmeIbZF-CGoDhgozt6jQbZ")</f>
        <v>https://drive.google.com/open?id=1LFUyp5YRCivmeIbZF-CGoDhgozt6jQbZ</v>
      </c>
      <c r="V372" s="10"/>
      <c r="W372" s="10"/>
      <c r="X372" s="10"/>
      <c r="Y372" s="14" t="str">
        <f>IFERROR(__xludf.DUMMYFUNCTION("""COMPUTED_VALUE"""),"alyhamza102@gmail.com")</f>
        <v>alyhamza102@gmail.com</v>
      </c>
      <c r="AA372" s="324"/>
    </row>
    <row r="373" hidden="1">
      <c r="A373" s="9">
        <f>IFERROR(__xludf.DUMMYFUNCTION("""COMPUTED_VALUE"""),45863.359878414354)</f>
        <v>45863.35988</v>
      </c>
      <c r="B373" s="10" t="str">
        <f>IFERROR(__xludf.DUMMYFUNCTION("""COMPUTED_VALUE"""),"Syed Ali Ahmad Bukhari ")</f>
        <v>Syed Ali Ahmad Bukhari </v>
      </c>
      <c r="C373" s="10" t="str">
        <f>IFERROR(__xludf.DUMMYFUNCTION("""COMPUTED_VALUE"""),"03086245045")</f>
        <v>03086245045</v>
      </c>
      <c r="D373" s="10" t="str">
        <f>IFERROR(__xludf.DUMMYFUNCTION("""COMPUTED_VALUE"""),"Jamia Masjid darbar laal Ehsan")</f>
        <v>Jamia Masjid darbar laal Ehsan</v>
      </c>
      <c r="E373" s="10" t="str">
        <f>IFERROR(__xludf.DUMMYFUNCTION("""COMPUTED_VALUE"""),"LYOIX")</f>
        <v>LYOIX</v>
      </c>
      <c r="F373" s="10" t="str">
        <f>IFERROR(__xludf.DUMMYFUNCTION("""COMPUTED_VALUE"""),"Approximately 300")</f>
        <v>Approximately 300</v>
      </c>
      <c r="G373" s="10">
        <f>IFERROR(__xludf.DUMMYFUNCTION("""COMPUTED_VALUE"""),8.0)</f>
        <v>8</v>
      </c>
      <c r="H373" s="10">
        <f>IFERROR(__xludf.DUMMYFUNCTION("""COMPUTED_VALUE"""),7.0)</f>
        <v>7</v>
      </c>
      <c r="I373" s="10" t="str">
        <f>IFERROR(__xludf.DUMMYFUNCTION("""COMPUTED_VALUE"""),"One or two just")</f>
        <v>One or two just</v>
      </c>
      <c r="J373" s="10"/>
      <c r="K373" s="10"/>
      <c r="L373" s="10"/>
      <c r="M373" s="10">
        <f>IFERROR(__xludf.DUMMYFUNCTION("""COMPUTED_VALUE"""),8.0)</f>
        <v>8</v>
      </c>
      <c r="N373" s="10"/>
      <c r="O373" s="10"/>
      <c r="P373" s="10"/>
      <c r="Q373" s="10"/>
      <c r="R373" s="10"/>
      <c r="S373" s="10"/>
      <c r="T373" s="10"/>
      <c r="U373" s="18" t="str">
        <f>IFERROR(__xludf.DUMMYFUNCTION("""COMPUTED_VALUE"""),"https://drive.google.com/open?id=1Xj9KzNMsM6WcIG8-GeA1LU1u2JTTf_Bq")</f>
        <v>https://drive.google.com/open?id=1Xj9KzNMsM6WcIG8-GeA1LU1u2JTTf_Bq</v>
      </c>
      <c r="V373" s="10" t="str">
        <f>IFERROR(__xludf.DUMMYFUNCTION("""COMPUTED_VALUE"""),"No")</f>
        <v>No</v>
      </c>
      <c r="W373" s="10"/>
      <c r="X373" s="10"/>
      <c r="Y373" s="14" t="str">
        <f>IFERROR(__xludf.DUMMYFUNCTION("""COMPUTED_VALUE"""),"syedaliahmad720@gmail.com")</f>
        <v>syedaliahmad720@gmail.com</v>
      </c>
      <c r="AA373" s="324"/>
    </row>
    <row r="374" hidden="1">
      <c r="A374" s="9">
        <f>IFERROR(__xludf.DUMMYFUNCTION("""COMPUTED_VALUE"""),45863.374340462964)</f>
        <v>45863.37434</v>
      </c>
      <c r="B374" s="10" t="str">
        <f>IFERROR(__xludf.DUMMYFUNCTION("""COMPUTED_VALUE"""),"Ahmad Ijaz")</f>
        <v>Ahmad Ijaz</v>
      </c>
      <c r="C374" s="10" t="str">
        <f>IFERROR(__xludf.DUMMYFUNCTION("""COMPUTED_VALUE"""),"03141638792")</f>
        <v>03141638792</v>
      </c>
      <c r="D374" s="10" t="str">
        <f>IFERROR(__xludf.DUMMYFUNCTION("""COMPUTED_VALUE"""),"Jamia Masjid darbar saki shah habib layyah")</f>
        <v>Jamia Masjid darbar saki shah habib layyah</v>
      </c>
      <c r="E374" s="10" t="str">
        <f>IFERROR(__xludf.DUMMYFUNCTION("""COMPUTED_VALUE"""),"TJBAX")</f>
        <v>TJBAX</v>
      </c>
      <c r="F374" s="10">
        <f>IFERROR(__xludf.DUMMYFUNCTION("""COMPUTED_VALUE"""),85.0)</f>
        <v>85</v>
      </c>
      <c r="G374" s="10">
        <f>IFERROR(__xludf.DUMMYFUNCTION("""COMPUTED_VALUE"""),8.0)</f>
        <v>8</v>
      </c>
      <c r="H374" s="10">
        <f>IFERROR(__xludf.DUMMYFUNCTION("""COMPUTED_VALUE"""),7.0)</f>
        <v>7</v>
      </c>
      <c r="I374" s="10" t="str">
        <f>IFERROR(__xludf.DUMMYFUNCTION("""COMPUTED_VALUE"""),"No")</f>
        <v>No</v>
      </c>
      <c r="J374" s="10"/>
      <c r="K374" s="10"/>
      <c r="L374" s="10"/>
      <c r="M374" s="10">
        <f>IFERROR(__xludf.DUMMYFUNCTION("""COMPUTED_VALUE"""),8.0)</f>
        <v>8</v>
      </c>
      <c r="N374" s="10"/>
      <c r="O374" s="10"/>
      <c r="P374" s="10"/>
      <c r="Q374" s="10"/>
      <c r="R374" s="10"/>
      <c r="S374" s="10"/>
      <c r="T374" s="10"/>
      <c r="U374" s="18" t="str">
        <f>IFERROR(__xludf.DUMMYFUNCTION("""COMPUTED_VALUE"""),"https://drive.google.com/open?id=1cyYbvIqTd7YW_yIoikX3lc-cGcEhy6gc")</f>
        <v>https://drive.google.com/open?id=1cyYbvIqTd7YW_yIoikX3lc-cGcEhy6gc</v>
      </c>
      <c r="V374" s="10" t="str">
        <f>IFERROR(__xludf.DUMMYFUNCTION("""COMPUTED_VALUE"""),"No")</f>
        <v>No</v>
      </c>
      <c r="W374" s="10"/>
      <c r="X374" s="10"/>
      <c r="Y374" s="14" t="str">
        <f>IFERROR(__xludf.DUMMYFUNCTION("""COMPUTED_VALUE"""),"qhmadikhan@gmail.com")</f>
        <v>qhmadikhan@gmail.com</v>
      </c>
      <c r="AA374" s="324"/>
    </row>
    <row r="375" hidden="1">
      <c r="A375" s="9">
        <f>IFERROR(__xludf.DUMMYFUNCTION("""COMPUTED_VALUE"""),45863.38687760416)</f>
        <v>45863.38688</v>
      </c>
      <c r="B375" s="10" t="str">
        <f>IFERROR(__xludf.DUMMYFUNCTION("""COMPUTED_VALUE"""),"Liaqat Hussain ")</f>
        <v>Liaqat Hussain </v>
      </c>
      <c r="C375" s="10" t="str">
        <f>IFERROR(__xludf.DUMMYFUNCTION("""COMPUTED_VALUE"""),"03026546166")</f>
        <v>03026546166</v>
      </c>
      <c r="D375" s="10" t="str">
        <f>IFERROR(__xludf.DUMMYFUNCTION("""COMPUTED_VALUE"""),"Jamia masjid haqania makhdoom Rashid ")</f>
        <v>Jamia masjid haqania makhdoom Rashid </v>
      </c>
      <c r="E375" s="10" t="str">
        <f>IFERROR(__xludf.DUMMYFUNCTION("""COMPUTED_VALUE"""),"CQXOG ")</f>
        <v>CQXOG </v>
      </c>
      <c r="F375" s="10">
        <f>IFERROR(__xludf.DUMMYFUNCTION("""COMPUTED_VALUE"""),373.0)</f>
        <v>373</v>
      </c>
      <c r="G375" s="10">
        <f>IFERROR(__xludf.DUMMYFUNCTION("""COMPUTED_VALUE"""),2.0)</f>
        <v>2</v>
      </c>
      <c r="H375" s="10">
        <f>IFERROR(__xludf.DUMMYFUNCTION("""COMPUTED_VALUE"""),5.0)</f>
        <v>5</v>
      </c>
      <c r="I375" s="10" t="str">
        <f>IFERROR(__xludf.DUMMYFUNCTION("""COMPUTED_VALUE"""),"00")</f>
        <v>00</v>
      </c>
      <c r="J375" s="10"/>
      <c r="K375" s="10"/>
      <c r="L375" s="10"/>
      <c r="M375" s="10">
        <f>IFERROR(__xludf.DUMMYFUNCTION("""COMPUTED_VALUE"""),4.0)</f>
        <v>4</v>
      </c>
      <c r="N375" s="10"/>
      <c r="O375" s="10"/>
      <c r="P375" s="10"/>
      <c r="Q375" s="10"/>
      <c r="R375" s="10"/>
      <c r="S375" s="10"/>
      <c r="T375" s="10"/>
      <c r="U375" s="10"/>
      <c r="V375" s="10"/>
      <c r="W375" s="10"/>
      <c r="X375" s="10"/>
      <c r="Y375" s="14" t="str">
        <f>IFERROR(__xludf.DUMMYFUNCTION("""COMPUTED_VALUE"""),"liaqathussain6166@gmail.com")</f>
        <v>liaqathussain6166@gmail.com</v>
      </c>
      <c r="AA375" s="324"/>
    </row>
    <row r="376" hidden="1">
      <c r="A376" s="9">
        <f>IFERROR(__xludf.DUMMYFUNCTION("""COMPUTED_VALUE"""),45863.393682939815)</f>
        <v>45863.39368</v>
      </c>
      <c r="B376" s="10" t="str">
        <f>IFERROR(__xludf.DUMMYFUNCTION("""COMPUTED_VALUE"""),"Bashir Hussain ")</f>
        <v>Bashir Hussain </v>
      </c>
      <c r="C376" s="10" t="str">
        <f>IFERROR(__xludf.DUMMYFUNCTION("""COMPUTED_VALUE"""),"03028762175")</f>
        <v>03028762175</v>
      </c>
      <c r="D376" s="10" t="str">
        <f>IFERROR(__xludf.DUMMYFUNCTION("""COMPUTED_VALUE"""),"Jame Masjid Anaeytia Darbar Hazrat Anayet Shah Bukhari")</f>
        <v>Jame Masjid Anaeytia Darbar Hazrat Anayet Shah Bukhari</v>
      </c>
      <c r="E376" s="10" t="str">
        <f>IFERROR(__xludf.DUMMYFUNCTION("""COMPUTED_VALUE"""),"GYDMP")</f>
        <v>GYDMP</v>
      </c>
      <c r="F376" s="10">
        <f>IFERROR(__xludf.DUMMYFUNCTION("""COMPUTED_VALUE"""),147.0)</f>
        <v>147</v>
      </c>
      <c r="G376" s="10">
        <f>IFERROR(__xludf.DUMMYFUNCTION("""COMPUTED_VALUE"""),8.0)</f>
        <v>8</v>
      </c>
      <c r="H376" s="10">
        <f>IFERROR(__xludf.DUMMYFUNCTION("""COMPUTED_VALUE"""),7.0)</f>
        <v>7</v>
      </c>
      <c r="I376" s="10">
        <f>IFERROR(__xludf.DUMMYFUNCTION("""COMPUTED_VALUE"""),2.0)</f>
        <v>2</v>
      </c>
      <c r="J376" s="10"/>
      <c r="K376" s="10"/>
      <c r="L376" s="10"/>
      <c r="M376" s="10">
        <f>IFERROR(__xludf.DUMMYFUNCTION("""COMPUTED_VALUE"""),9.0)</f>
        <v>9</v>
      </c>
      <c r="N376" s="10"/>
      <c r="O376" s="10"/>
      <c r="P376" s="10"/>
      <c r="Q376" s="10"/>
      <c r="R376" s="10"/>
      <c r="S376" s="10"/>
      <c r="T376" s="10"/>
      <c r="U376" s="18" t="str">
        <f>IFERROR(__xludf.DUMMYFUNCTION("""COMPUTED_VALUE"""),"https://drive.google.com/open?id=17gZfKbLqYE9ffLFRluzuZqT6gkFX34NH")</f>
        <v>https://drive.google.com/open?id=17gZfKbLqYE9ffLFRluzuZqT6gkFX34NH</v>
      </c>
      <c r="V376" s="10" t="str">
        <f>IFERROR(__xludf.DUMMYFUNCTION("""COMPUTED_VALUE"""),"Nothing ")</f>
        <v>Nothing </v>
      </c>
      <c r="W376" s="10"/>
      <c r="X376" s="10"/>
      <c r="Y376" s="14" t="str">
        <f>IFERROR(__xludf.DUMMYFUNCTION("""COMPUTED_VALUE"""),"bashir.dhatt@gmail.com")</f>
        <v>bashir.dhatt@gmail.com</v>
      </c>
      <c r="AA376" s="324"/>
    </row>
    <row r="377" hidden="1">
      <c r="A377" s="9">
        <f>IFERROR(__xludf.DUMMYFUNCTION("""COMPUTED_VALUE"""),45863.40107546296)</f>
        <v>45863.40108</v>
      </c>
      <c r="B377" s="10" t="str">
        <f>IFERROR(__xludf.DUMMYFUNCTION("""COMPUTED_VALUE"""),"Mazhar Abbas")</f>
        <v>Mazhar Abbas</v>
      </c>
      <c r="C377" s="10" t="str">
        <f>IFERROR(__xludf.DUMMYFUNCTION("""COMPUTED_VALUE"""),"03076762856")</f>
        <v>03076762856</v>
      </c>
      <c r="D377" s="10" t="str">
        <f>IFERROR(__xludf.DUMMYFUNCTION("""COMPUTED_VALUE"""),"Jamia Masjid Shamsher Shah Safri")</f>
        <v>Jamia Masjid Shamsher Shah Safri</v>
      </c>
      <c r="E377" s="10" t="str">
        <f>IFERROR(__xludf.DUMMYFUNCTION("""COMPUTED_VALUE"""),"ITYEP")</f>
        <v>ITYEP</v>
      </c>
      <c r="F377" s="10">
        <f>IFERROR(__xludf.DUMMYFUNCTION("""COMPUTED_VALUE"""),107.0)</f>
        <v>107</v>
      </c>
      <c r="G377" s="10">
        <f>IFERROR(__xludf.DUMMYFUNCTION("""COMPUTED_VALUE"""),8.0)</f>
        <v>8</v>
      </c>
      <c r="H377" s="10">
        <f>IFERROR(__xludf.DUMMYFUNCTION("""COMPUTED_VALUE"""),8.0)</f>
        <v>8</v>
      </c>
      <c r="I377" s="10">
        <f>IFERROR(__xludf.DUMMYFUNCTION("""COMPUTED_VALUE"""),3.0)</f>
        <v>3</v>
      </c>
      <c r="J377" s="10"/>
      <c r="K377" s="10"/>
      <c r="L377" s="10"/>
      <c r="M377" s="10">
        <f>IFERROR(__xludf.DUMMYFUNCTION("""COMPUTED_VALUE"""),10.0)</f>
        <v>10</v>
      </c>
      <c r="N377" s="10"/>
      <c r="O377" s="10"/>
      <c r="P377" s="10"/>
      <c r="Q377" s="10"/>
      <c r="R377" s="10"/>
      <c r="S377" s="10"/>
      <c r="T377" s="10"/>
      <c r="U377" s="18" t="str">
        <f>IFERROR(__xludf.DUMMYFUNCTION("""COMPUTED_VALUE"""),"https://drive.google.com/open?id=1d5qFesyD16VT7VtEEMNNkQ2ayNMHZ8AM")</f>
        <v>https://drive.google.com/open?id=1d5qFesyD16VT7VtEEMNNkQ2ayNMHZ8AM</v>
      </c>
      <c r="V377" s="10"/>
      <c r="W377" s="10"/>
      <c r="X377" s="10"/>
      <c r="Y377" s="14" t="str">
        <f>IFERROR(__xludf.DUMMYFUNCTION("""COMPUTED_VALUE"""),"mazhardhatt@gmail.com")</f>
        <v>mazhardhatt@gmail.com</v>
      </c>
      <c r="AA377" s="324"/>
    </row>
    <row r="378" hidden="1">
      <c r="A378" s="9">
        <f>IFERROR(__xludf.DUMMYFUNCTION("""COMPUTED_VALUE"""),45863.40524403936)</f>
        <v>45863.40524</v>
      </c>
      <c r="B378" s="10" t="str">
        <f>IFERROR(__xludf.DUMMYFUNCTION("""COMPUTED_VALUE"""),"Mazhar Abbas")</f>
        <v>Mazhar Abbas</v>
      </c>
      <c r="C378" s="10" t="str">
        <f>IFERROR(__xludf.DUMMYFUNCTION("""COMPUTED_VALUE"""),"03076762856")</f>
        <v>03076762856</v>
      </c>
      <c r="D378" s="10" t="str">
        <f>IFERROR(__xludf.DUMMYFUNCTION("""COMPUTED_VALUE"""),"Jamia Masjid Shamsher Shah Safri")</f>
        <v>Jamia Masjid Shamsher Shah Safri</v>
      </c>
      <c r="E378" s="10" t="str">
        <f>IFERROR(__xludf.DUMMYFUNCTION("""COMPUTED_VALUE"""),"ITYEP")</f>
        <v>ITYEP</v>
      </c>
      <c r="F378" s="10">
        <f>IFERROR(__xludf.DUMMYFUNCTION("""COMPUTED_VALUE"""),107.0)</f>
        <v>107</v>
      </c>
      <c r="G378" s="10">
        <f>IFERROR(__xludf.DUMMYFUNCTION("""COMPUTED_VALUE"""),8.0)</f>
        <v>8</v>
      </c>
      <c r="H378" s="10">
        <f>IFERROR(__xludf.DUMMYFUNCTION("""COMPUTED_VALUE"""),8.0)</f>
        <v>8</v>
      </c>
      <c r="I378" s="10">
        <f>IFERROR(__xludf.DUMMYFUNCTION("""COMPUTED_VALUE"""),3.0)</f>
        <v>3</v>
      </c>
      <c r="J378" s="10"/>
      <c r="K378" s="10"/>
      <c r="L378" s="10"/>
      <c r="M378" s="10">
        <f>IFERROR(__xludf.DUMMYFUNCTION("""COMPUTED_VALUE"""),10.0)</f>
        <v>10</v>
      </c>
      <c r="N378" s="10"/>
      <c r="O378" s="10"/>
      <c r="P378" s="10"/>
      <c r="Q378" s="10"/>
      <c r="R378" s="10"/>
      <c r="S378" s="10"/>
      <c r="T378" s="10"/>
      <c r="U378" s="18" t="str">
        <f>IFERROR(__xludf.DUMMYFUNCTION("""COMPUTED_VALUE"""),"https://drive.google.com/open?id=1FIBk7HZmVnj6wEZ2Z8jCFMIDSRer5yBE")</f>
        <v>https://drive.google.com/open?id=1FIBk7HZmVnj6wEZ2Z8jCFMIDSRer5yBE</v>
      </c>
      <c r="V378" s="10"/>
      <c r="W378" s="10"/>
      <c r="X378" s="10"/>
      <c r="Y378" s="14" t="str">
        <f>IFERROR(__xludf.DUMMYFUNCTION("""COMPUTED_VALUE"""),"mazhardhatt@gmail.com")</f>
        <v>mazhardhatt@gmail.com</v>
      </c>
      <c r="AA378" s="324"/>
    </row>
    <row r="379" hidden="1">
      <c r="A379" s="9">
        <f>IFERROR(__xludf.DUMMYFUNCTION("""COMPUTED_VALUE"""),45863.41563513889)</f>
        <v>45863.41564</v>
      </c>
      <c r="B379" s="10" t="str">
        <f>IFERROR(__xludf.DUMMYFUNCTION("""COMPUTED_VALUE"""),"Abdul Razzaq ")</f>
        <v>Abdul Razzaq </v>
      </c>
      <c r="C379" s="10" t="str">
        <f>IFERROR(__xludf.DUMMYFUNCTION("""COMPUTED_VALUE"""),"034177855669")</f>
        <v>034177855669</v>
      </c>
      <c r="D379" s="10" t="str">
        <f>IFERROR(__xludf.DUMMYFUNCTION("""COMPUTED_VALUE"""),"Jamia Masjid Darbar Shah Sadar Din, DGKhan ")</f>
        <v>Jamia Masjid Darbar Shah Sadar Din, DGKhan </v>
      </c>
      <c r="E379" s="10" t="str">
        <f>IFERROR(__xludf.DUMMYFUNCTION("""COMPUTED_VALUE"""),"KCAXS")</f>
        <v>KCAXS</v>
      </c>
      <c r="F379" s="10">
        <f>IFERROR(__xludf.DUMMYFUNCTION("""COMPUTED_VALUE"""),614.0)</f>
        <v>614</v>
      </c>
      <c r="G379" s="10">
        <f>IFERROR(__xludf.DUMMYFUNCTION("""COMPUTED_VALUE"""),8.0)</f>
        <v>8</v>
      </c>
      <c r="H379" s="10">
        <f>IFERROR(__xludf.DUMMYFUNCTION("""COMPUTED_VALUE"""),7.0)</f>
        <v>7</v>
      </c>
      <c r="I379" s="10">
        <f>IFERROR(__xludf.DUMMYFUNCTION("""COMPUTED_VALUE"""),3.0)</f>
        <v>3</v>
      </c>
      <c r="J379" s="10"/>
      <c r="K379" s="10"/>
      <c r="L379" s="10"/>
      <c r="M379" s="10">
        <f>IFERROR(__xludf.DUMMYFUNCTION("""COMPUTED_VALUE"""),3.0)</f>
        <v>3</v>
      </c>
      <c r="N379" s="10"/>
      <c r="O379" s="10"/>
      <c r="P379" s="10"/>
      <c r="Q379" s="10"/>
      <c r="R379" s="10"/>
      <c r="S379" s="10"/>
      <c r="T379" s="10"/>
      <c r="U379" s="18" t="str">
        <f>IFERROR(__xludf.DUMMYFUNCTION("""COMPUTED_VALUE"""),"https://drive.google.com/open?id=1HwL2OmZWCguGaKbq72IfEpnUO2_TqVre")</f>
        <v>https://drive.google.com/open?id=1HwL2OmZWCguGaKbq72IfEpnUO2_TqVre</v>
      </c>
      <c r="V379" s="10"/>
      <c r="W379" s="10"/>
      <c r="X379" s="10"/>
      <c r="Y379" s="14" t="str">
        <f>IFERROR(__xludf.DUMMYFUNCTION("""COMPUTED_VALUE"""),"aamirrashid007@gmail.com")</f>
        <v>aamirrashid007@gmail.com</v>
      </c>
      <c r="AA379" s="324"/>
    </row>
    <row r="380" hidden="1">
      <c r="A380" s="9">
        <f>IFERROR(__xludf.DUMMYFUNCTION("""COMPUTED_VALUE"""),45863.41893760416)</f>
        <v>45863.41894</v>
      </c>
      <c r="B380" s="10" t="str">
        <f>IFERROR(__xludf.DUMMYFUNCTION("""COMPUTED_VALUE"""),"M.Amir")</f>
        <v>M.Amir</v>
      </c>
      <c r="C380" s="10" t="str">
        <f>IFERROR(__xludf.DUMMYFUNCTION("""COMPUTED_VALUE"""),"03099884405")</f>
        <v>03099884405</v>
      </c>
      <c r="D380" s="10" t="str">
        <f>IFERROR(__xludf.DUMMYFUNCTION("""COMPUTED_VALUE"""),"Jamia masjid sheakh Allah wasya machli bazar")</f>
        <v>Jamia masjid sheakh Allah wasya machli bazar</v>
      </c>
      <c r="E380" s="10" t="str">
        <f>IFERROR(__xludf.DUMMYFUNCTION("""COMPUTED_VALUE"""),"LRQVN")</f>
        <v>LRQVN</v>
      </c>
      <c r="F380" s="10">
        <f>IFERROR(__xludf.DUMMYFUNCTION("""COMPUTED_VALUE"""),122.0)</f>
        <v>122</v>
      </c>
      <c r="G380" s="10">
        <f>IFERROR(__xludf.DUMMYFUNCTION("""COMPUTED_VALUE"""),10.0)</f>
        <v>10</v>
      </c>
      <c r="H380" s="10">
        <f>IFERROR(__xludf.DUMMYFUNCTION("""COMPUTED_VALUE"""),8.0)</f>
        <v>8</v>
      </c>
      <c r="I380" s="10">
        <f>IFERROR(__xludf.DUMMYFUNCTION("""COMPUTED_VALUE"""),1.0)</f>
        <v>1</v>
      </c>
      <c r="J380" s="10"/>
      <c r="K380" s="10"/>
      <c r="L380" s="10"/>
      <c r="M380" s="10">
        <f>IFERROR(__xludf.DUMMYFUNCTION("""COMPUTED_VALUE"""),8.0)</f>
        <v>8</v>
      </c>
      <c r="N380" s="10"/>
      <c r="O380" s="10"/>
      <c r="P380" s="10"/>
      <c r="Q380" s="10"/>
      <c r="R380" s="10"/>
      <c r="S380" s="10"/>
      <c r="T380" s="10"/>
      <c r="U380" s="18" t="str">
        <f>IFERROR(__xludf.DUMMYFUNCTION("""COMPUTED_VALUE"""),"https://drive.google.com/open?id=17b2zm484qpURzCN4uWIZxXlGT01BaREL")</f>
        <v>https://drive.google.com/open?id=17b2zm484qpURzCN4uWIZxXlGT01BaREL</v>
      </c>
      <c r="V380" s="10"/>
      <c r="W380" s="10"/>
      <c r="X380" s="10"/>
      <c r="Y380" s="14" t="str">
        <f>IFERROR(__xludf.DUMMYFUNCTION("""COMPUTED_VALUE"""),"amirakash6830@gmail.com")</f>
        <v>amirakash6830@gmail.com</v>
      </c>
      <c r="AA380" s="324"/>
    </row>
    <row r="381" hidden="1">
      <c r="A381" s="9">
        <f>IFERROR(__xludf.DUMMYFUNCTION("""COMPUTED_VALUE"""),45863.42517574074)</f>
        <v>45863.42518</v>
      </c>
      <c r="B381" s="10" t="str">
        <f>IFERROR(__xludf.DUMMYFUNCTION("""COMPUTED_VALUE"""),"Liaqat Hussain ")</f>
        <v>Liaqat Hussain </v>
      </c>
      <c r="C381" s="10" t="str">
        <f>IFERROR(__xludf.DUMMYFUNCTION("""COMPUTED_VALUE"""),"03026546166")</f>
        <v>03026546166</v>
      </c>
      <c r="D381" s="10" t="str">
        <f>IFERROR(__xludf.DUMMYFUNCTION("""COMPUTED_VALUE"""),"Jamia masjid haqania makhdoom Rashid ")</f>
        <v>Jamia masjid haqania makhdoom Rashid </v>
      </c>
      <c r="E381" s="10" t="str">
        <f>IFERROR(__xludf.DUMMYFUNCTION("""COMPUTED_VALUE"""),"CQXOG ")</f>
        <v>CQXOG </v>
      </c>
      <c r="F381" s="10">
        <f>IFERROR(__xludf.DUMMYFUNCTION("""COMPUTED_VALUE"""),373.0)</f>
        <v>373</v>
      </c>
      <c r="G381" s="10">
        <f>IFERROR(__xludf.DUMMYFUNCTION("""COMPUTED_VALUE"""),6.0)</f>
        <v>6</v>
      </c>
      <c r="H381" s="10">
        <f>IFERROR(__xludf.DUMMYFUNCTION("""COMPUTED_VALUE"""),5.0)</f>
        <v>5</v>
      </c>
      <c r="I381" s="10" t="str">
        <f>IFERROR(__xludf.DUMMYFUNCTION("""COMPUTED_VALUE"""),"00")</f>
        <v>00</v>
      </c>
      <c r="J381" s="10"/>
      <c r="K381" s="10"/>
      <c r="L381" s="10"/>
      <c r="M381" s="10">
        <f>IFERROR(__xludf.DUMMYFUNCTION("""COMPUTED_VALUE"""),4.0)</f>
        <v>4</v>
      </c>
      <c r="N381" s="10"/>
      <c r="O381" s="10"/>
      <c r="P381" s="10"/>
      <c r="Q381" s="10"/>
      <c r="R381" s="10"/>
      <c r="S381" s="10"/>
      <c r="T381" s="10"/>
      <c r="U381" s="18" t="str">
        <f>IFERROR(__xludf.DUMMYFUNCTION("""COMPUTED_VALUE"""),"https://drive.google.com/open?id=1urPYdlyPHO4se1j-cDqKGUTnl_AHm8Dz")</f>
        <v>https://drive.google.com/open?id=1urPYdlyPHO4se1j-cDqKGUTnl_AHm8Dz</v>
      </c>
      <c r="V381" s="10"/>
      <c r="W381" s="10"/>
      <c r="X381" s="10"/>
      <c r="Y381" s="14" t="str">
        <f>IFERROR(__xludf.DUMMYFUNCTION("""COMPUTED_VALUE"""),"liaqathussain6166@gmail.com")</f>
        <v>liaqathussain6166@gmail.com</v>
      </c>
      <c r="AA381" s="324"/>
    </row>
    <row r="382" hidden="1">
      <c r="A382" s="9">
        <f>IFERROR(__xludf.DUMMYFUNCTION("""COMPUTED_VALUE"""),45863.474798923606)</f>
        <v>45863.4748</v>
      </c>
      <c r="B382" s="10" t="str">
        <f>IFERROR(__xludf.DUMMYFUNCTION("""COMPUTED_VALUE"""),"Dilawar Hussain")</f>
        <v>Dilawar Hussain</v>
      </c>
      <c r="C382" s="10" t="str">
        <f>IFERROR(__xludf.DUMMYFUNCTION("""COMPUTED_VALUE"""),"03346055136")</f>
        <v>03346055136</v>
      </c>
      <c r="D382" s="10" t="str">
        <f>IFERROR(__xludf.DUMMYFUNCTION("""COMPUTED_VALUE"""),"Darbar Hazrat Sakhi Sarwar ")</f>
        <v>Darbar Hazrat Sakhi Sarwar </v>
      </c>
      <c r="E382" s="10" t="str">
        <f>IFERROR(__xludf.DUMMYFUNCTION("""COMPUTED_VALUE"""),"JHGHZJ")</f>
        <v>JHGHZJ</v>
      </c>
      <c r="F382" s="10">
        <f>IFERROR(__xludf.DUMMYFUNCTION("""COMPUTED_VALUE"""),450.0)</f>
        <v>450</v>
      </c>
      <c r="G382" s="10">
        <f>IFERROR(__xludf.DUMMYFUNCTION("""COMPUTED_VALUE"""),3.0)</f>
        <v>3</v>
      </c>
      <c r="H382" s="10">
        <f>IFERROR(__xludf.DUMMYFUNCTION("""COMPUTED_VALUE"""),3.0)</f>
        <v>3</v>
      </c>
      <c r="I382" s="10">
        <f>IFERROR(__xludf.DUMMYFUNCTION("""COMPUTED_VALUE"""),8.0)</f>
        <v>8</v>
      </c>
      <c r="J382" s="10"/>
      <c r="K382" s="10"/>
      <c r="L382" s="10"/>
      <c r="M382" s="10">
        <f>IFERROR(__xludf.DUMMYFUNCTION("""COMPUTED_VALUE"""),7.0)</f>
        <v>7</v>
      </c>
      <c r="N382" s="10"/>
      <c r="O382" s="10"/>
      <c r="P382" s="10"/>
      <c r="Q382" s="10"/>
      <c r="R382" s="10"/>
      <c r="S382" s="10"/>
      <c r="T382" s="10"/>
      <c r="U382" s="18" t="str">
        <f>IFERROR(__xludf.DUMMYFUNCTION("""COMPUTED_VALUE"""),"https://drive.google.com/open?id=1TsbsfidT6OITF_T7U8hH5XiAyr032asb")</f>
        <v>https://drive.google.com/open?id=1TsbsfidT6OITF_T7U8hH5XiAyr032asb</v>
      </c>
      <c r="V382" s="10" t="str">
        <f>IFERROR(__xludf.DUMMYFUNCTION("""COMPUTED_VALUE"""),"Aor Kuch nhai ")</f>
        <v>Aor Kuch nhai </v>
      </c>
      <c r="W382" s="10"/>
      <c r="X382" s="10"/>
      <c r="Y382" s="14" t="str">
        <f>IFERROR(__xludf.DUMMYFUNCTION("""COMPUTED_VALUE"""),"meerdilawarhussainkhan@gmail.com")</f>
        <v>meerdilawarhussainkhan@gmail.com</v>
      </c>
      <c r="AA382" s="324"/>
    </row>
    <row r="383" hidden="1">
      <c r="A383" s="9">
        <f>IFERROR(__xludf.DUMMYFUNCTION("""COMPUTED_VALUE"""),45863.48579633102)</f>
        <v>45863.4858</v>
      </c>
      <c r="B383" s="10" t="str">
        <f>IFERROR(__xludf.DUMMYFUNCTION("""COMPUTED_VALUE"""),"M. Sarfraz")</f>
        <v>M. Sarfraz</v>
      </c>
      <c r="C383" s="10" t="str">
        <f>IFERROR(__xludf.DUMMYFUNCTION("""COMPUTED_VALUE"""),"03067387448")</f>
        <v>03067387448</v>
      </c>
      <c r="D383" s="10" t="str">
        <f>IFERROR(__xludf.DUMMYFUNCTION("""COMPUTED_VALUE"""),"Jamia masjid darbar khuja khudabaksh kherpurXPP")</f>
        <v>Jamia masjid darbar khuja khudabaksh kherpurXPP</v>
      </c>
      <c r="E383" s="10" t="str">
        <f>IFERROR(__xludf.DUMMYFUNCTION("""COMPUTED_VALUE"""),"XPPXX")</f>
        <v>XPPXX</v>
      </c>
      <c r="F383" s="10">
        <f>IFERROR(__xludf.DUMMYFUNCTION("""COMPUTED_VALUE"""),216.0)</f>
        <v>216</v>
      </c>
      <c r="G383" s="10">
        <f>IFERROR(__xludf.DUMMYFUNCTION("""COMPUTED_VALUE"""),8.0)</f>
        <v>8</v>
      </c>
      <c r="H383" s="10">
        <f>IFERROR(__xludf.DUMMYFUNCTION("""COMPUTED_VALUE"""),10.0)</f>
        <v>10</v>
      </c>
      <c r="I383" s="10">
        <f>IFERROR(__xludf.DUMMYFUNCTION("""COMPUTED_VALUE"""),2.0)</f>
        <v>2</v>
      </c>
      <c r="J383" s="10"/>
      <c r="K383" s="10"/>
      <c r="L383" s="10"/>
      <c r="M383" s="10">
        <f>IFERROR(__xludf.DUMMYFUNCTION("""COMPUTED_VALUE"""),9.0)</f>
        <v>9</v>
      </c>
      <c r="N383" s="10"/>
      <c r="O383" s="10"/>
      <c r="P383" s="10"/>
      <c r="Q383" s="10"/>
      <c r="R383" s="10"/>
      <c r="S383" s="10"/>
      <c r="T383" s="10"/>
      <c r="U383" s="18" t="str">
        <f>IFERROR(__xludf.DUMMYFUNCTION("""COMPUTED_VALUE"""),"https://drive.google.com/open?id=1aiypwYkruZ2IGeQvC3YmHOdG8vdDsQGO")</f>
        <v>https://drive.google.com/open?id=1aiypwYkruZ2IGeQvC3YmHOdG8vdDsQGO</v>
      </c>
      <c r="V383" s="10"/>
      <c r="W383" s="10"/>
      <c r="X383" s="10"/>
      <c r="Y383" s="14" t="str">
        <f>IFERROR(__xludf.DUMMYFUNCTION("""COMPUTED_VALUE"""),"amirakash6830@gmail.com")</f>
        <v>amirakash6830@gmail.com</v>
      </c>
      <c r="AA383" s="324"/>
    </row>
    <row r="384" hidden="1">
      <c r="A384" s="9">
        <f>IFERROR(__xludf.DUMMYFUNCTION("""COMPUTED_VALUE"""),45863.505232662035)</f>
        <v>45863.50523</v>
      </c>
      <c r="B384" s="10" t="str">
        <f>IFERROR(__xludf.DUMMYFUNCTION("""COMPUTED_VALUE"""),"Imran Ali Khan")</f>
        <v>Imran Ali Khan</v>
      </c>
      <c r="C384" s="10" t="str">
        <f>IFERROR(__xludf.DUMMYFUNCTION("""COMPUTED_VALUE"""),"03056885716")</f>
        <v>03056885716</v>
      </c>
      <c r="D384" s="10" t="str">
        <f>IFERROR(__xludf.DUMMYFUNCTION("""COMPUTED_VALUE"""),"Haji Raheem baksh Mutwali.  Masjid Gull wali")</f>
        <v>Haji Raheem baksh Mutwali.  Masjid Gull wali</v>
      </c>
      <c r="E384" s="10" t="str">
        <f>IFERROR(__xludf.DUMMYFUNCTION("""COMPUTED_VALUE"""),"VBDPL")</f>
        <v>VBDPL</v>
      </c>
      <c r="F384" s="10">
        <f>IFERROR(__xludf.DUMMYFUNCTION("""COMPUTED_VALUE"""),250.0)</f>
        <v>250</v>
      </c>
      <c r="G384" s="10">
        <f>IFERROR(__xludf.DUMMYFUNCTION("""COMPUTED_VALUE"""),7.0)</f>
        <v>7</v>
      </c>
      <c r="H384" s="10">
        <f>IFERROR(__xludf.DUMMYFUNCTION("""COMPUTED_VALUE"""),6.0)</f>
        <v>6</v>
      </c>
      <c r="I384" s="10">
        <f>IFERROR(__xludf.DUMMYFUNCTION("""COMPUTED_VALUE"""),0.0)</f>
        <v>0</v>
      </c>
      <c r="J384" s="10"/>
      <c r="K384" s="10"/>
      <c r="L384" s="10"/>
      <c r="M384" s="10">
        <f>IFERROR(__xludf.DUMMYFUNCTION("""COMPUTED_VALUE"""),8.0)</f>
        <v>8</v>
      </c>
      <c r="N384" s="10"/>
      <c r="O384" s="10"/>
      <c r="P384" s="10"/>
      <c r="Q384" s="10"/>
      <c r="R384" s="10"/>
      <c r="S384" s="10"/>
      <c r="T384" s="10"/>
      <c r="U384" s="18" t="str">
        <f>IFERROR(__xludf.DUMMYFUNCTION("""COMPUTED_VALUE"""),"https://drive.google.com/open?id=1s4klhgylLVGIXanr9csSxuSeKz4vZLJX")</f>
        <v>https://drive.google.com/open?id=1s4klhgylLVGIXanr9csSxuSeKz4vZLJX</v>
      </c>
      <c r="V384" s="10" t="str">
        <f>IFERROR(__xludf.DUMMYFUNCTION("""COMPUTED_VALUE"""),"No Comments")</f>
        <v>No Comments</v>
      </c>
      <c r="W384" s="10"/>
      <c r="X384" s="10"/>
      <c r="Y384" s="14" t="str">
        <f>IFERROR(__xludf.DUMMYFUNCTION("""COMPUTED_VALUE"""),"imranhaffari101@gmail.com")</f>
        <v>imranhaffari101@gmail.com</v>
      </c>
      <c r="AA384" s="324"/>
    </row>
    <row r="385" hidden="1">
      <c r="A385" s="9">
        <f>IFERROR(__xludf.DUMMYFUNCTION("""COMPUTED_VALUE"""),45863.5366983912)</f>
        <v>45863.5367</v>
      </c>
      <c r="B385" s="10" t="str">
        <f>IFERROR(__xludf.DUMMYFUNCTION("""COMPUTED_VALUE"""),"NAZERR AHMED")</f>
        <v>NAZERR AHMED</v>
      </c>
      <c r="C385" s="10" t="str">
        <f>IFERROR(__xludf.DUMMYFUNCTION("""COMPUTED_VALUE"""),"03083233466")</f>
        <v>03083233466</v>
      </c>
      <c r="D385" s="10" t="str">
        <f>IFERROR(__xludf.DUMMYFUNCTION("""COMPUTED_VALUE"""),"JAMMA MASJID BABA SAHAB")</f>
        <v>JAMMA MASJID BABA SAHAB</v>
      </c>
      <c r="E385" s="10" t="str">
        <f>IFERROR(__xludf.DUMMYFUNCTION("""COMPUTED_VALUE"""),"RJSSU")</f>
        <v>RJSSU</v>
      </c>
      <c r="F385" s="10">
        <f>IFERROR(__xludf.DUMMYFUNCTION("""COMPUTED_VALUE"""),180.0)</f>
        <v>180</v>
      </c>
      <c r="G385" s="10">
        <f>IFERROR(__xludf.DUMMYFUNCTION("""COMPUTED_VALUE"""),9.0)</f>
        <v>9</v>
      </c>
      <c r="H385" s="10">
        <f>IFERROR(__xludf.DUMMYFUNCTION("""COMPUTED_VALUE"""),0.0)</f>
        <v>0</v>
      </c>
      <c r="I385" s="10">
        <f>IFERROR(__xludf.DUMMYFUNCTION("""COMPUTED_VALUE"""),0.0)</f>
        <v>0</v>
      </c>
      <c r="J385" s="10"/>
      <c r="K385" s="10"/>
      <c r="L385" s="10"/>
      <c r="M385" s="10">
        <f>IFERROR(__xludf.DUMMYFUNCTION("""COMPUTED_VALUE"""),9.0)</f>
        <v>9</v>
      </c>
      <c r="N385" s="10"/>
      <c r="O385" s="10"/>
      <c r="P385" s="10"/>
      <c r="Q385" s="10"/>
      <c r="R385" s="10"/>
      <c r="S385" s="10"/>
      <c r="T385" s="10"/>
      <c r="U385" s="10" t="str">
        <f>IFERROR(__xludf.DUMMYFUNCTION("""COMPUTED_VALUE"""),"https://drive.google.com/open?id=1v_iqCgRhbjNiR_RMQ-0bw-u0kkhzpjVo, https://drive.google.com/open?id=1XdhPH6gGTID2dgn9dCpmcQQtH2Q2tB_N")</f>
        <v>https://drive.google.com/open?id=1v_iqCgRhbjNiR_RMQ-0bw-u0kkhzpjVo, https://drive.google.com/open?id=1XdhPH6gGTID2dgn9dCpmcQQtH2Q2tB_N</v>
      </c>
      <c r="V385" s="10"/>
      <c r="W385" s="10"/>
      <c r="X385" s="10"/>
      <c r="Y385" s="14" t="str">
        <f>IFERROR(__xludf.DUMMYFUNCTION("""COMPUTED_VALUE"""),"nazeer1k73@gmail.com")</f>
        <v>nazeer1k73@gmail.com</v>
      </c>
      <c r="AA385" s="324"/>
    </row>
    <row r="386" hidden="1">
      <c r="A386" s="9">
        <f>IFERROR(__xludf.DUMMYFUNCTION("""COMPUTED_VALUE"""),45863.59195605324)</f>
        <v>45863.59196</v>
      </c>
      <c r="B386" s="10" t="str">
        <f>IFERROR(__xludf.DUMMYFUNCTION("""COMPUTED_VALUE"""),"Nazir Ahmed")</f>
        <v>Nazir Ahmed</v>
      </c>
      <c r="C386" s="10" t="str">
        <f>IFERROR(__xludf.DUMMYFUNCTION("""COMPUTED_VALUE"""),"03083233466")</f>
        <v>03083233466</v>
      </c>
      <c r="D386" s="10" t="str">
        <f>IFERROR(__xludf.DUMMYFUNCTION("""COMPUTED_VALUE"""),"Jamia Masjid Baba Sahib")</f>
        <v>Jamia Masjid Baba Sahib</v>
      </c>
      <c r="E386" s="10" t="str">
        <f>IFERROR(__xludf.DUMMYFUNCTION("""COMPUTED_VALUE"""),"RJSSU")</f>
        <v>RJSSU</v>
      </c>
      <c r="F386" s="10">
        <f>IFERROR(__xludf.DUMMYFUNCTION("""COMPUTED_VALUE"""),180.0)</f>
        <v>180</v>
      </c>
      <c r="G386" s="10">
        <f>IFERROR(__xludf.DUMMYFUNCTION("""COMPUTED_VALUE"""),7.0)</f>
        <v>7</v>
      </c>
      <c r="H386" s="10">
        <f>IFERROR(__xludf.DUMMYFUNCTION("""COMPUTED_VALUE"""),7.0)</f>
        <v>7</v>
      </c>
      <c r="I386" s="10">
        <f>IFERROR(__xludf.DUMMYFUNCTION("""COMPUTED_VALUE"""),0.0)</f>
        <v>0</v>
      </c>
      <c r="J386" s="10"/>
      <c r="K386" s="10"/>
      <c r="L386" s="10"/>
      <c r="M386" s="10">
        <f>IFERROR(__xludf.DUMMYFUNCTION("""COMPUTED_VALUE"""),9.0)</f>
        <v>9</v>
      </c>
      <c r="N386" s="10"/>
      <c r="O386" s="10"/>
      <c r="P386" s="10"/>
      <c r="Q386" s="10"/>
      <c r="R386" s="10"/>
      <c r="S386" s="10"/>
      <c r="T386" s="10"/>
      <c r="U386" s="18" t="str">
        <f>IFERROR(__xludf.DUMMYFUNCTION("""COMPUTED_VALUE"""),"https://drive.google.com/open?id=1Q5GMCVckTkUPmFClgwFbhIBJQoGCbaVW")</f>
        <v>https://drive.google.com/open?id=1Q5GMCVckTkUPmFClgwFbhIBJQoGCbaVW</v>
      </c>
      <c r="V386" s="10" t="str">
        <f>IFERROR(__xludf.DUMMYFUNCTION("""COMPUTED_VALUE"""),"N/A")</f>
        <v>N/A</v>
      </c>
      <c r="W386" s="10"/>
      <c r="X386" s="10"/>
      <c r="Y386" s="14" t="str">
        <f>IFERROR(__xludf.DUMMYFUNCTION("""COMPUTED_VALUE"""),"nazeer1k73@gmail.com")</f>
        <v>nazeer1k73@gmail.com</v>
      </c>
      <c r="AA386" s="324"/>
    </row>
    <row r="387" hidden="1">
      <c r="A387" s="9">
        <f>IFERROR(__xludf.DUMMYFUNCTION("""COMPUTED_VALUE"""),45863.59816271991)</f>
        <v>45863.59816</v>
      </c>
      <c r="B387" s="10" t="str">
        <f>IFERROR(__xludf.DUMMYFUNCTION("""COMPUTED_VALUE"""),"Muhammad Abdullah")</f>
        <v>Muhammad Abdullah</v>
      </c>
      <c r="C387" s="10" t="str">
        <f>IFERROR(__xludf.DUMMYFUNCTION("""COMPUTED_VALUE"""),"03457182181")</f>
        <v>03457182181</v>
      </c>
      <c r="D387" s="10" t="str">
        <f>IFERROR(__xludf.DUMMYFUNCTION("""COMPUTED_VALUE"""),"Jamia Masjid Shahe Dera Nawab Shahab")</f>
        <v>Jamia Masjid Shahe Dera Nawab Shahab</v>
      </c>
      <c r="E387" s="10" t="str">
        <f>IFERROR(__xludf.DUMMYFUNCTION("""COMPUTED_VALUE"""),"NJKNI")</f>
        <v>NJKNI</v>
      </c>
      <c r="F387" s="10">
        <f>IFERROR(__xludf.DUMMYFUNCTION("""COMPUTED_VALUE"""),110.0)</f>
        <v>110</v>
      </c>
      <c r="G387" s="10">
        <f>IFERROR(__xludf.DUMMYFUNCTION("""COMPUTED_VALUE"""),7.0)</f>
        <v>7</v>
      </c>
      <c r="H387" s="10">
        <f>IFERROR(__xludf.DUMMYFUNCTION("""COMPUTED_VALUE"""),7.0)</f>
        <v>7</v>
      </c>
      <c r="I387" s="10">
        <f>IFERROR(__xludf.DUMMYFUNCTION("""COMPUTED_VALUE"""),0.0)</f>
        <v>0</v>
      </c>
      <c r="J387" s="10"/>
      <c r="K387" s="10"/>
      <c r="L387" s="10"/>
      <c r="M387" s="10">
        <f>IFERROR(__xludf.DUMMYFUNCTION("""COMPUTED_VALUE"""),7.0)</f>
        <v>7</v>
      </c>
      <c r="N387" s="10"/>
      <c r="O387" s="10"/>
      <c r="P387" s="10"/>
      <c r="Q387" s="10"/>
      <c r="R387" s="10"/>
      <c r="S387" s="10"/>
      <c r="T387" s="10"/>
      <c r="U387" s="18" t="str">
        <f>IFERROR(__xludf.DUMMYFUNCTION("""COMPUTED_VALUE"""),"https://drive.google.com/open?id=1jEDp7YIuHTZZuA1q-0YSMZWyrWvoCueP")</f>
        <v>https://drive.google.com/open?id=1jEDp7YIuHTZZuA1q-0YSMZWyrWvoCueP</v>
      </c>
      <c r="V387" s="10"/>
      <c r="W387" s="10"/>
      <c r="X387" s="10"/>
      <c r="Y387" s="14" t="str">
        <f>IFERROR(__xludf.DUMMYFUNCTION("""COMPUTED_VALUE"""),"malikabdullah181@gmail.com")</f>
        <v>malikabdullah181@gmail.com</v>
      </c>
      <c r="AA387" s="324"/>
    </row>
    <row r="388" hidden="1">
      <c r="A388" s="9">
        <f>IFERROR(__xludf.DUMMYFUNCTION("""COMPUTED_VALUE"""),45863.60089434028)</f>
        <v>45863.60089</v>
      </c>
      <c r="B388" s="10" t="str">
        <f>IFERROR(__xludf.DUMMYFUNCTION("""COMPUTED_VALUE"""),"Muhammad Amir")</f>
        <v>Muhammad Amir</v>
      </c>
      <c r="C388" s="10" t="str">
        <f>IFERROR(__xludf.DUMMYFUNCTION("""COMPUTED_VALUE"""),"03027642630")</f>
        <v>03027642630</v>
      </c>
      <c r="D388" s="10" t="str">
        <f>IFERROR(__xludf.DUMMYFUNCTION("""COMPUTED_VALUE"""),"Jamia Masjid Ahl e Hadees Tahlianwali")</f>
        <v>Jamia Masjid Ahl e Hadees Tahlianwali</v>
      </c>
      <c r="E388" s="10" t="str">
        <f>IFERROR(__xludf.DUMMYFUNCTION("""COMPUTED_VALUE"""),"COCLQ")</f>
        <v>COCLQ</v>
      </c>
      <c r="F388" s="10">
        <f>IFERROR(__xludf.DUMMYFUNCTION("""COMPUTED_VALUE"""),160.0)</f>
        <v>160</v>
      </c>
      <c r="G388" s="10">
        <f>IFERROR(__xludf.DUMMYFUNCTION("""COMPUTED_VALUE"""),7.0)</f>
        <v>7</v>
      </c>
      <c r="H388" s="10">
        <f>IFERROR(__xludf.DUMMYFUNCTION("""COMPUTED_VALUE"""),7.0)</f>
        <v>7</v>
      </c>
      <c r="I388" s="10">
        <f>IFERROR(__xludf.DUMMYFUNCTION("""COMPUTED_VALUE"""),1.0)</f>
        <v>1</v>
      </c>
      <c r="J388" s="10"/>
      <c r="K388" s="10"/>
      <c r="L388" s="10"/>
      <c r="M388" s="10">
        <f>IFERROR(__xludf.DUMMYFUNCTION("""COMPUTED_VALUE"""),7.0)</f>
        <v>7</v>
      </c>
      <c r="N388" s="10"/>
      <c r="O388" s="10"/>
      <c r="P388" s="10"/>
      <c r="Q388" s="10"/>
      <c r="R388" s="10"/>
      <c r="S388" s="10"/>
      <c r="T388" s="10"/>
      <c r="U388" s="18" t="str">
        <f>IFERROR(__xludf.DUMMYFUNCTION("""COMPUTED_VALUE"""),"https://drive.google.com/open?id=1rJjofqH45xdiGTB6wD53Oq5woYPIDr1Q")</f>
        <v>https://drive.google.com/open?id=1rJjofqH45xdiGTB6wD53Oq5woYPIDr1Q</v>
      </c>
      <c r="V388" s="10"/>
      <c r="W388" s="10"/>
      <c r="X388" s="10"/>
      <c r="Y388" s="14" t="str">
        <f>IFERROR(__xludf.DUMMYFUNCTION("""COMPUTED_VALUE"""),"malikabdullah181@gmail.com")</f>
        <v>malikabdullah181@gmail.com</v>
      </c>
      <c r="AA388" s="324"/>
    </row>
    <row r="389" hidden="1">
      <c r="A389" s="9">
        <f>IFERROR(__xludf.DUMMYFUNCTION("""COMPUTED_VALUE"""),45863.60466167824)</f>
        <v>45863.60466</v>
      </c>
      <c r="B389" s="10" t="str">
        <f>IFERROR(__xludf.DUMMYFUNCTION("""COMPUTED_VALUE"""),"Muhammad Talha")</f>
        <v>Muhammad Talha</v>
      </c>
      <c r="C389" s="10" t="str">
        <f>IFERROR(__xludf.DUMMYFUNCTION("""COMPUTED_VALUE"""),"03092840539")</f>
        <v>03092840539</v>
      </c>
      <c r="D389" s="10" t="str">
        <f>IFERROR(__xludf.DUMMYFUNCTION("""COMPUTED_VALUE"""),"Jamia Masjid Hazrat Mehboob Subhani")</f>
        <v>Jamia Masjid Hazrat Mehboob Subhani</v>
      </c>
      <c r="E389" s="10" t="str">
        <f>IFERROR(__xludf.DUMMYFUNCTION("""COMPUTED_VALUE"""),"JOFFE")</f>
        <v>JOFFE</v>
      </c>
      <c r="F389" s="10">
        <f>IFERROR(__xludf.DUMMYFUNCTION("""COMPUTED_VALUE"""),450.0)</f>
        <v>450</v>
      </c>
      <c r="G389" s="10">
        <f>IFERROR(__xludf.DUMMYFUNCTION("""COMPUTED_VALUE"""),8.0)</f>
        <v>8</v>
      </c>
      <c r="H389" s="10">
        <f>IFERROR(__xludf.DUMMYFUNCTION("""COMPUTED_VALUE"""),8.0)</f>
        <v>8</v>
      </c>
      <c r="I389" s="10">
        <f>IFERROR(__xludf.DUMMYFUNCTION("""COMPUTED_VALUE"""),0.0)</f>
        <v>0</v>
      </c>
      <c r="J389" s="10"/>
      <c r="K389" s="10"/>
      <c r="L389" s="10"/>
      <c r="M389" s="10">
        <f>IFERROR(__xludf.DUMMYFUNCTION("""COMPUTED_VALUE"""),8.0)</f>
        <v>8</v>
      </c>
      <c r="N389" s="10"/>
      <c r="O389" s="10"/>
      <c r="P389" s="10"/>
      <c r="Q389" s="10"/>
      <c r="R389" s="10"/>
      <c r="S389" s="10"/>
      <c r="T389" s="10"/>
      <c r="U389" s="18" t="str">
        <f>IFERROR(__xludf.DUMMYFUNCTION("""COMPUTED_VALUE"""),"https://drive.google.com/open?id=1wbFzvR-RwS21xXZKHmUvwa0zlkdSQrYx")</f>
        <v>https://drive.google.com/open?id=1wbFzvR-RwS21xXZKHmUvwa0zlkdSQrYx</v>
      </c>
      <c r="V389" s="10"/>
      <c r="W389" s="10"/>
      <c r="X389" s="10"/>
      <c r="Y389" s="14" t="str">
        <f>IFERROR(__xludf.DUMMYFUNCTION("""COMPUTED_VALUE"""),"malikabdullah181@gmail.com")</f>
        <v>malikabdullah181@gmail.com</v>
      </c>
      <c r="AA389" s="324"/>
    </row>
    <row r="390" hidden="1">
      <c r="A390" s="9">
        <f>IFERROR(__xludf.DUMMYFUNCTION("""COMPUTED_VALUE"""),45863.60959944445)</f>
        <v>45863.6096</v>
      </c>
      <c r="B390" s="10" t="str">
        <f>IFERROR(__xludf.DUMMYFUNCTION("""COMPUTED_VALUE"""),"Muhammad Rafiq")</f>
        <v>Muhammad Rafiq</v>
      </c>
      <c r="C390" s="10" t="str">
        <f>IFERROR(__xludf.DUMMYFUNCTION("""COMPUTED_VALUE"""),"03055434673")</f>
        <v>03055434673</v>
      </c>
      <c r="D390" s="10" t="str">
        <f>IFERROR(__xludf.DUMMYFUNCTION("""COMPUTED_VALUE"""),"Jamia Masjid Sadiq Akbar High School Ahumdpur")</f>
        <v>Jamia Masjid Sadiq Akbar High School Ahumdpur</v>
      </c>
      <c r="E390" s="10" t="str">
        <f>IFERROR(__xludf.DUMMYFUNCTION("""COMPUTED_VALUE"""),"VEWIG")</f>
        <v>VEWIG</v>
      </c>
      <c r="F390" s="10">
        <f>IFERROR(__xludf.DUMMYFUNCTION("""COMPUTED_VALUE"""),430.0)</f>
        <v>430</v>
      </c>
      <c r="G390" s="10">
        <f>IFERROR(__xludf.DUMMYFUNCTION("""COMPUTED_VALUE"""),7.0)</f>
        <v>7</v>
      </c>
      <c r="H390" s="10">
        <f>IFERROR(__xludf.DUMMYFUNCTION("""COMPUTED_VALUE"""),7.0)</f>
        <v>7</v>
      </c>
      <c r="I390" s="10">
        <f>IFERROR(__xludf.DUMMYFUNCTION("""COMPUTED_VALUE"""),0.0)</f>
        <v>0</v>
      </c>
      <c r="J390" s="10"/>
      <c r="K390" s="10"/>
      <c r="L390" s="10"/>
      <c r="M390" s="10">
        <f>IFERROR(__xludf.DUMMYFUNCTION("""COMPUTED_VALUE"""),8.0)</f>
        <v>8</v>
      </c>
      <c r="N390" s="10"/>
      <c r="O390" s="10"/>
      <c r="P390" s="10"/>
      <c r="Q390" s="10"/>
      <c r="R390" s="10"/>
      <c r="S390" s="10"/>
      <c r="T390" s="10"/>
      <c r="U390" s="18" t="str">
        <f>IFERROR(__xludf.DUMMYFUNCTION("""COMPUTED_VALUE"""),"https://drive.google.com/open?id=1hA7OYF61k_VP3sgqTErw63JZ-nBeNswF")</f>
        <v>https://drive.google.com/open?id=1hA7OYF61k_VP3sgqTErw63JZ-nBeNswF</v>
      </c>
      <c r="V390" s="10"/>
      <c r="W390" s="10"/>
      <c r="X390" s="10"/>
      <c r="Y390" s="14" t="str">
        <f>IFERROR(__xludf.DUMMYFUNCTION("""COMPUTED_VALUE"""),"malikabdullah181@gmail.com")</f>
        <v>malikabdullah181@gmail.com</v>
      </c>
      <c r="AA390" s="324"/>
    </row>
    <row r="391" hidden="1">
      <c r="A391" s="9">
        <f>IFERROR(__xludf.DUMMYFUNCTION("""COMPUTED_VALUE"""),45863.61585495371)</f>
        <v>45863.61585</v>
      </c>
      <c r="B391" s="10" t="str">
        <f>IFERROR(__xludf.DUMMYFUNCTION("""COMPUTED_VALUE"""),"Muhammad Ishfaq")</f>
        <v>Muhammad Ishfaq</v>
      </c>
      <c r="C391" s="10" t="str">
        <f>IFERROR(__xludf.DUMMYFUNCTION("""COMPUTED_VALUE"""),"03008685179")</f>
        <v>03008685179</v>
      </c>
      <c r="D391" s="10" t="str">
        <f>IFERROR(__xludf.DUMMYFUNCTION("""COMPUTED_VALUE"""),"Jamia Masjid Syed Jalal Ud Din")</f>
        <v>Jamia Masjid Syed Jalal Ud Din</v>
      </c>
      <c r="E391" s="10" t="str">
        <f>IFERROR(__xludf.DUMMYFUNCTION("""COMPUTED_VALUE"""),"PNYZS")</f>
        <v>PNYZS</v>
      </c>
      <c r="F391" s="10">
        <f>IFERROR(__xludf.DUMMYFUNCTION("""COMPUTED_VALUE"""),450.0)</f>
        <v>450</v>
      </c>
      <c r="G391" s="10">
        <f>IFERROR(__xludf.DUMMYFUNCTION("""COMPUTED_VALUE"""),7.0)</f>
        <v>7</v>
      </c>
      <c r="H391" s="10">
        <f>IFERROR(__xludf.DUMMYFUNCTION("""COMPUTED_VALUE"""),7.0)</f>
        <v>7</v>
      </c>
      <c r="I391" s="10">
        <f>IFERROR(__xludf.DUMMYFUNCTION("""COMPUTED_VALUE"""),0.0)</f>
        <v>0</v>
      </c>
      <c r="J391" s="10"/>
      <c r="K391" s="10"/>
      <c r="L391" s="10"/>
      <c r="M391" s="10">
        <f>IFERROR(__xludf.DUMMYFUNCTION("""COMPUTED_VALUE"""),8.0)</f>
        <v>8</v>
      </c>
      <c r="N391" s="10"/>
      <c r="O391" s="10"/>
      <c r="P391" s="10"/>
      <c r="Q391" s="10"/>
      <c r="R391" s="10"/>
      <c r="S391" s="10"/>
      <c r="T391" s="10"/>
      <c r="U391" s="18" t="str">
        <f>IFERROR(__xludf.DUMMYFUNCTION("""COMPUTED_VALUE"""),"https://drive.google.com/open?id=1pzVqEwBQU7_1OiaXVp4YfxepkrjsrTIP")</f>
        <v>https://drive.google.com/open?id=1pzVqEwBQU7_1OiaXVp4YfxepkrjsrTIP</v>
      </c>
      <c r="V391" s="10"/>
      <c r="W391" s="10"/>
      <c r="X391" s="10"/>
      <c r="Y391" s="14" t="str">
        <f>IFERROR(__xludf.DUMMYFUNCTION("""COMPUTED_VALUE"""),"malikabdullah181@gmail.com")</f>
        <v>malikabdullah181@gmail.com</v>
      </c>
      <c r="AA391" s="324"/>
    </row>
    <row r="392" hidden="1">
      <c r="A392" s="9">
        <f>IFERROR(__xludf.DUMMYFUNCTION("""COMPUTED_VALUE"""),45863.673459004625)</f>
        <v>45863.67346</v>
      </c>
      <c r="B392" s="10" t="str">
        <f>IFERROR(__xludf.DUMMYFUNCTION("""COMPUTED_VALUE"""),"Muhammad Moeen")</f>
        <v>Muhammad Moeen</v>
      </c>
      <c r="C392" s="10" t="str">
        <f>IFERROR(__xludf.DUMMYFUNCTION("""COMPUTED_VALUE"""),"03018718247")</f>
        <v>03018718247</v>
      </c>
      <c r="D392" s="10" t="str">
        <f>IFERROR(__xludf.DUMMYFUNCTION("""COMPUTED_VALUE"""),"Jamia Masjid Darbar Fazal Ul Din Laadala Och Shareef")</f>
        <v>Jamia Masjid Darbar Fazal Ul Din Laadala Och Shareef</v>
      </c>
      <c r="E392" s="10" t="str">
        <f>IFERROR(__xludf.DUMMYFUNCTION("""COMPUTED_VALUE"""),"PZTQO")</f>
        <v>PZTQO</v>
      </c>
      <c r="F392" s="10">
        <f>IFERROR(__xludf.DUMMYFUNCTION("""COMPUTED_VALUE"""),120.0)</f>
        <v>120</v>
      </c>
      <c r="G392" s="10">
        <f>IFERROR(__xludf.DUMMYFUNCTION("""COMPUTED_VALUE"""),9.0)</f>
        <v>9</v>
      </c>
      <c r="H392" s="10">
        <f>IFERROR(__xludf.DUMMYFUNCTION("""COMPUTED_VALUE"""),9.0)</f>
        <v>9</v>
      </c>
      <c r="I392" s="10" t="str">
        <f>IFERROR(__xludf.DUMMYFUNCTION("""COMPUTED_VALUE"""),"Masjid under construction")</f>
        <v>Masjid under construction</v>
      </c>
      <c r="J392" s="10"/>
      <c r="K392" s="10"/>
      <c r="L392" s="10"/>
      <c r="M392" s="10">
        <f>IFERROR(__xludf.DUMMYFUNCTION("""COMPUTED_VALUE"""),8.0)</f>
        <v>8</v>
      </c>
      <c r="N392" s="10"/>
      <c r="O392" s="10"/>
      <c r="P392" s="10"/>
      <c r="Q392" s="10"/>
      <c r="R392" s="10"/>
      <c r="S392" s="10"/>
      <c r="T392" s="10"/>
      <c r="U392" s="18" t="str">
        <f>IFERROR(__xludf.DUMMYFUNCTION("""COMPUTED_VALUE"""),"https://drive.google.com/open?id=1wsofiMoeHdXEkQIxF5if28lNGMyUz1_k")</f>
        <v>https://drive.google.com/open?id=1wsofiMoeHdXEkQIxF5if28lNGMyUz1_k</v>
      </c>
      <c r="V392" s="10"/>
      <c r="W392" s="10"/>
      <c r="X392" s="10"/>
      <c r="Y392" s="14" t="str">
        <f>IFERROR(__xludf.DUMMYFUNCTION("""COMPUTED_VALUE"""),"malikabdullah181@gmail.com")</f>
        <v>malikabdullah181@gmail.com</v>
      </c>
      <c r="AA392" s="324"/>
    </row>
    <row r="393" hidden="1">
      <c r="A393" s="9">
        <f>IFERROR(__xludf.DUMMYFUNCTION("""COMPUTED_VALUE"""),45863.957453587966)</f>
        <v>45863.95745</v>
      </c>
      <c r="B393" s="10" t="str">
        <f>IFERROR(__xludf.DUMMYFUNCTION("""COMPUTED_VALUE"""),"Ahsan Shahzad ")</f>
        <v>Ahsan Shahzad </v>
      </c>
      <c r="C393" s="10" t="str">
        <f>IFERROR(__xludf.DUMMYFUNCTION("""COMPUTED_VALUE"""),"03099804129")</f>
        <v>03099804129</v>
      </c>
      <c r="D393" s="10" t="str">
        <f>IFERROR(__xludf.DUMMYFUNCTION("""COMPUTED_VALUE"""),"Jamia masjid chaner peer")</f>
        <v>Jamia masjid chaner peer</v>
      </c>
      <c r="E393" s="10" t="str">
        <f>IFERROR(__xludf.DUMMYFUNCTION("""COMPUTED_VALUE"""),"DQKGK")</f>
        <v>DQKGK</v>
      </c>
      <c r="F393" s="10">
        <f>IFERROR(__xludf.DUMMYFUNCTION("""COMPUTED_VALUE"""),209.0)</f>
        <v>209</v>
      </c>
      <c r="G393" s="10">
        <f>IFERROR(__xludf.DUMMYFUNCTION("""COMPUTED_VALUE"""),7.0)</f>
        <v>7</v>
      </c>
      <c r="H393" s="10">
        <f>IFERROR(__xludf.DUMMYFUNCTION("""COMPUTED_VALUE"""),7.0)</f>
        <v>7</v>
      </c>
      <c r="I393" s="10">
        <f>IFERROR(__xludf.DUMMYFUNCTION("""COMPUTED_VALUE"""),2.0)</f>
        <v>2</v>
      </c>
      <c r="J393" s="10"/>
      <c r="K393" s="10"/>
      <c r="L393" s="10"/>
      <c r="M393" s="10">
        <f>IFERROR(__xludf.DUMMYFUNCTION("""COMPUTED_VALUE"""),8.0)</f>
        <v>8</v>
      </c>
      <c r="N393" s="10"/>
      <c r="O393" s="10"/>
      <c r="P393" s="10"/>
      <c r="Q393" s="10"/>
      <c r="R393" s="10"/>
      <c r="S393" s="10"/>
      <c r="T393" s="10"/>
      <c r="U393" s="18" t="str">
        <f>IFERROR(__xludf.DUMMYFUNCTION("""COMPUTED_VALUE"""),"https://drive.google.com/open?id=1jIf6y1DDZ-hFwQES3ywMdwVrGs8Ma5Fp")</f>
        <v>https://drive.google.com/open?id=1jIf6y1DDZ-hFwQES3ywMdwVrGs8Ma5Fp</v>
      </c>
      <c r="V393" s="10" t="str">
        <f>IFERROR(__xludf.DUMMYFUNCTION("""COMPUTED_VALUE"""),"Nahi")</f>
        <v>Nahi</v>
      </c>
      <c r="W393" s="10"/>
      <c r="X393" s="10"/>
      <c r="Y393" s="14" t="str">
        <f>IFERROR(__xludf.DUMMYFUNCTION("""COMPUTED_VALUE"""),"askhokhar1371@gmail.com")</f>
        <v>askhokhar1371@gmail.com</v>
      </c>
      <c r="AA393" s="324"/>
    </row>
    <row r="394" hidden="1">
      <c r="A394" s="9">
        <f>IFERROR(__xludf.DUMMYFUNCTION("""COMPUTED_VALUE"""),45864.07780451389)</f>
        <v>45864.0778</v>
      </c>
      <c r="B394" s="10" t="str">
        <f>IFERROR(__xludf.DUMMYFUNCTION("""COMPUTED_VALUE"""),"Muhammad javed")</f>
        <v>Muhammad javed</v>
      </c>
      <c r="C394" s="10" t="str">
        <f>IFERROR(__xludf.DUMMYFUNCTION("""COMPUTED_VALUE"""),"03007354903")</f>
        <v>03007354903</v>
      </c>
      <c r="D394" s="10" t="str">
        <f>IFERROR(__xludf.DUMMYFUNCTION("""COMPUTED_VALUE"""),"Zain ull abidin0")</f>
        <v>Zain ull abidin0</v>
      </c>
      <c r="E394" s="10" t="str">
        <f>IFERROR(__xludf.DUMMYFUNCTION("""COMPUTED_VALUE"""),"CTOPI")</f>
        <v>CTOPI</v>
      </c>
      <c r="F394" s="10">
        <f>IFERROR(__xludf.DUMMYFUNCTION("""COMPUTED_VALUE"""),428.0)</f>
        <v>428</v>
      </c>
      <c r="G394" s="10">
        <f>IFERROR(__xludf.DUMMYFUNCTION("""COMPUTED_VALUE"""),4.0)</f>
        <v>4</v>
      </c>
      <c r="H394" s="10">
        <f>IFERROR(__xludf.DUMMYFUNCTION("""COMPUTED_VALUE"""),6.0)</f>
        <v>6</v>
      </c>
      <c r="I394" s="10">
        <f>IFERROR(__xludf.DUMMYFUNCTION("""COMPUTED_VALUE"""),0.0)</f>
        <v>0</v>
      </c>
      <c r="J394" s="10"/>
      <c r="K394" s="10"/>
      <c r="L394" s="10"/>
      <c r="M394" s="10">
        <f>IFERROR(__xludf.DUMMYFUNCTION("""COMPUTED_VALUE"""),4.0)</f>
        <v>4</v>
      </c>
      <c r="N394" s="10"/>
      <c r="O394" s="10"/>
      <c r="P394" s="10"/>
      <c r="Q394" s="10"/>
      <c r="R394" s="10"/>
      <c r="S394" s="10"/>
      <c r="T394" s="10"/>
      <c r="U394" s="18" t="str">
        <f>IFERROR(__xludf.DUMMYFUNCTION("""COMPUTED_VALUE"""),"https://drive.google.com/open?id=1il8VlVf4u1DsmGYlZlmhD3Bqg8NFu3ak")</f>
        <v>https://drive.google.com/open?id=1il8VlVf4u1DsmGYlZlmhD3Bqg8NFu3ak</v>
      </c>
      <c r="V394" s="10"/>
      <c r="W394" s="10"/>
      <c r="X394" s="10"/>
      <c r="Y394" s="14" t="str">
        <f>IFERROR(__xludf.DUMMYFUNCTION("""COMPUTED_VALUE"""),"malikjavaid250@gmail.com")</f>
        <v>malikjavaid250@gmail.com</v>
      </c>
      <c r="AA394" s="324"/>
    </row>
    <row r="395" hidden="1">
      <c r="A395" s="9">
        <f>IFERROR(__xludf.DUMMYFUNCTION("""COMPUTED_VALUE"""),45864.09103195602)</f>
        <v>45864.09103</v>
      </c>
      <c r="B395" s="10" t="str">
        <f>IFERROR(__xludf.DUMMYFUNCTION("""COMPUTED_VALUE"""),"محمد فرقان")</f>
        <v>محمد فرقان</v>
      </c>
      <c r="C395" s="10" t="str">
        <f>IFERROR(__xludf.DUMMYFUNCTION("""COMPUTED_VALUE"""),"03017909295")</f>
        <v>03017909295</v>
      </c>
      <c r="D395" s="10" t="str">
        <f>IFERROR(__xludf.DUMMYFUNCTION("""COMPUTED_VALUE"""),"جامع مسجد پیر قتال جلالپور پیروالا")</f>
        <v>جامع مسجد پیر قتال جلالپور پیروالا</v>
      </c>
      <c r="E395" s="10" t="str">
        <f>IFERROR(__xludf.DUMMYFUNCTION("""COMPUTED_VALUE"""),"NDSNQ")</f>
        <v>NDSNQ</v>
      </c>
      <c r="F395" s="10">
        <f>IFERROR(__xludf.DUMMYFUNCTION("""COMPUTED_VALUE"""),413.0)</f>
        <v>413</v>
      </c>
      <c r="G395" s="10">
        <f>IFERROR(__xludf.DUMMYFUNCTION("""COMPUTED_VALUE"""),7.0)</f>
        <v>7</v>
      </c>
      <c r="H395" s="10">
        <f>IFERROR(__xludf.DUMMYFUNCTION("""COMPUTED_VALUE"""),6.0)</f>
        <v>6</v>
      </c>
      <c r="I395" s="10">
        <f>IFERROR(__xludf.DUMMYFUNCTION("""COMPUTED_VALUE"""),3.0)</f>
        <v>3</v>
      </c>
      <c r="J395" s="10"/>
      <c r="K395" s="10"/>
      <c r="L395" s="10"/>
      <c r="M395" s="10">
        <f>IFERROR(__xludf.DUMMYFUNCTION("""COMPUTED_VALUE"""),6.0)</f>
        <v>6</v>
      </c>
      <c r="N395" s="10"/>
      <c r="O395" s="10"/>
      <c r="P395" s="10"/>
      <c r="Q395" s="10"/>
      <c r="R395" s="10"/>
      <c r="S395" s="10"/>
      <c r="T395" s="10"/>
      <c r="U395" s="18" t="str">
        <f>IFERROR(__xludf.DUMMYFUNCTION("""COMPUTED_VALUE"""),"https://drive.google.com/open?id=1oGse1tGak-NV3d5mldph77u_idJW6cwb")</f>
        <v>https://drive.google.com/open?id=1oGse1tGak-NV3d5mldph77u_idJW6cwb</v>
      </c>
      <c r="V395" s="10"/>
      <c r="W395" s="10"/>
      <c r="X395" s="10"/>
      <c r="Y395" s="14" t="str">
        <f>IFERROR(__xludf.DUMMYFUNCTION("""COMPUTED_VALUE"""),"bhattimazaan@gmail.com")</f>
        <v>bhattimazaan@gmail.com</v>
      </c>
      <c r="AA395" s="324"/>
    </row>
    <row r="396" hidden="1">
      <c r="A396" s="9">
        <f>IFERROR(__xludf.DUMMYFUNCTION("""COMPUTED_VALUE"""),45864.0981809375)</f>
        <v>45864.09818</v>
      </c>
      <c r="B396" s="10" t="str">
        <f>IFERROR(__xludf.DUMMYFUNCTION("""COMPUTED_VALUE"""),"M shoaib")</f>
        <v>M shoaib</v>
      </c>
      <c r="C396" s="10" t="str">
        <f>IFERROR(__xludf.DUMMYFUNCTION("""COMPUTED_VALUE"""),"03002525196")</f>
        <v>03002525196</v>
      </c>
      <c r="D396" s="10" t="str">
        <f>IFERROR(__xludf.DUMMYFUNCTION("""COMPUTED_VALUE"""),"Jamia masjid")</f>
        <v>Jamia masjid</v>
      </c>
      <c r="E396" s="10" t="str">
        <f>IFERROR(__xludf.DUMMYFUNCTION("""COMPUTED_VALUE"""),"OTCCU ")</f>
        <v>OTCCU </v>
      </c>
      <c r="F396" s="10">
        <f>IFERROR(__xludf.DUMMYFUNCTION("""COMPUTED_VALUE"""),52.0)</f>
        <v>52</v>
      </c>
      <c r="G396" s="10">
        <f>IFERROR(__xludf.DUMMYFUNCTION("""COMPUTED_VALUE"""),7.0)</f>
        <v>7</v>
      </c>
      <c r="H396" s="10">
        <f>IFERROR(__xludf.DUMMYFUNCTION("""COMPUTED_VALUE"""),6.0)</f>
        <v>6</v>
      </c>
      <c r="I396" s="10">
        <f>IFERROR(__xludf.DUMMYFUNCTION("""COMPUTED_VALUE"""),7.0)</f>
        <v>7</v>
      </c>
      <c r="J396" s="10"/>
      <c r="K396" s="10"/>
      <c r="L396" s="10"/>
      <c r="M396" s="10">
        <f>IFERROR(__xludf.DUMMYFUNCTION("""COMPUTED_VALUE"""),6.0)</f>
        <v>6</v>
      </c>
      <c r="N396" s="10"/>
      <c r="O396" s="10"/>
      <c r="P396" s="10"/>
      <c r="Q396" s="10"/>
      <c r="R396" s="10"/>
      <c r="S396" s="10"/>
      <c r="T396" s="10"/>
      <c r="U396" s="18" t="str">
        <f>IFERROR(__xludf.DUMMYFUNCTION("""COMPUTED_VALUE"""),"https://drive.google.com/file/d/13qbPD7kcrcaHVyG6dnNz0uVMCAWKeaKs/view?usp=drive_link")</f>
        <v>https://drive.google.com/file/d/13qbPD7kcrcaHVyG6dnNz0uVMCAWKeaKs/view?usp=drive_link</v>
      </c>
      <c r="V396" s="10" t="str">
        <f>IFERROR(__xludf.DUMMYFUNCTION("""COMPUTED_VALUE"""),"Nil")</f>
        <v>Nil</v>
      </c>
      <c r="W396" s="10"/>
      <c r="X396" s="10"/>
      <c r="Y396" s="14" t="str">
        <f>IFERROR(__xludf.DUMMYFUNCTION("""COMPUTED_VALUE"""),"sajjadch9215@gmail.com")</f>
        <v>sajjadch9215@gmail.com</v>
      </c>
      <c r="AA396" s="324"/>
    </row>
    <row r="397" hidden="1">
      <c r="A397" s="9">
        <f>IFERROR(__xludf.DUMMYFUNCTION("""COMPUTED_VALUE"""),45864.11950289352)</f>
        <v>45864.1195</v>
      </c>
      <c r="B397" s="10" t="str">
        <f>IFERROR(__xludf.DUMMYFUNCTION("""COMPUTED_VALUE"""),"ہزار خان ")</f>
        <v>ہزار خان </v>
      </c>
      <c r="C397" s="10" t="str">
        <f>IFERROR(__xludf.DUMMYFUNCTION("""COMPUTED_VALUE"""),"03201708927")</f>
        <v>03201708927</v>
      </c>
      <c r="D397" s="10" t="str">
        <f>IFERROR(__xludf.DUMMYFUNCTION("""COMPUTED_VALUE"""),"مسجد مدینہ/جامع مسجد قصاباں والی ملتان ")</f>
        <v>مسجد مدینہ/جامع مسجد قصاباں والی ملتان </v>
      </c>
      <c r="E397" s="10" t="str">
        <f>IFERROR(__xludf.DUMMYFUNCTION("""COMPUTED_VALUE"""),"QKGIH")</f>
        <v>QKGIH</v>
      </c>
      <c r="F397" s="10">
        <f>IFERROR(__xludf.DUMMYFUNCTION("""COMPUTED_VALUE"""),78.0)</f>
        <v>78</v>
      </c>
      <c r="G397" s="10">
        <f>IFERROR(__xludf.DUMMYFUNCTION("""COMPUTED_VALUE"""),0.0)</f>
        <v>0</v>
      </c>
      <c r="H397" s="10">
        <f>IFERROR(__xludf.DUMMYFUNCTION("""COMPUTED_VALUE"""),9.0)</f>
        <v>9</v>
      </c>
      <c r="I397" s="10">
        <f>IFERROR(__xludf.DUMMYFUNCTION("""COMPUTED_VALUE"""),0.0)</f>
        <v>0</v>
      </c>
      <c r="J397" s="10"/>
      <c r="K397" s="10"/>
      <c r="L397" s="10"/>
      <c r="M397" s="10">
        <f>IFERROR(__xludf.DUMMYFUNCTION("""COMPUTED_VALUE"""),10.0)</f>
        <v>10</v>
      </c>
      <c r="N397" s="10"/>
      <c r="O397" s="10"/>
      <c r="P397" s="10"/>
      <c r="Q397" s="10"/>
      <c r="R397" s="10"/>
      <c r="S397" s="10"/>
      <c r="T397" s="10"/>
      <c r="U397" s="18" t="str">
        <f>IFERROR(__xludf.DUMMYFUNCTION("""COMPUTED_VALUE"""),"https://drive.google.com/file/d/12w6COgvH8XPtfEQi8HA7ULk0xY_3jySv/view?usp=drive_link")</f>
        <v>https://drive.google.com/file/d/12w6COgvH8XPtfEQi8HA7ULk0xY_3jySv/view?usp=drive_link</v>
      </c>
      <c r="V397" s="10" t="str">
        <f>IFERROR(__xludf.DUMMYFUNCTION("""COMPUTED_VALUE"""),"نہیں کوئی پریشانی نہیں ہے آئیندہ مسجد کی لوکیشن ضرور بتایا جائے ")</f>
        <v>نہیں کوئی پریشانی نہیں ہے آئیندہ مسجد کی لوکیشن ضرور بتایا جائے </v>
      </c>
      <c r="W397" s="10"/>
      <c r="X397" s="10"/>
      <c r="Y397" s="14" t="str">
        <f>IFERROR(__xludf.DUMMYFUNCTION("""COMPUTED_VALUE"""),"hazarkhan8657@gmail.com")</f>
        <v>hazarkhan8657@gmail.com</v>
      </c>
      <c r="AA397" s="324"/>
    </row>
    <row r="398" hidden="1">
      <c r="A398" s="9">
        <f>IFERROR(__xludf.DUMMYFUNCTION("""COMPUTED_VALUE"""),45864.132778831015)</f>
        <v>45864.13278</v>
      </c>
      <c r="B398" s="10" t="str">
        <f>IFERROR(__xludf.DUMMYFUNCTION("""COMPUTED_VALUE"""),"Sheraz Ali Faraz ")</f>
        <v>Sheraz Ali Faraz </v>
      </c>
      <c r="C398" s="10" t="str">
        <f>IFERROR(__xludf.DUMMYFUNCTION("""COMPUTED_VALUE"""),"03037724188")</f>
        <v>03037724188</v>
      </c>
      <c r="D398" s="10" t="str">
        <f>IFERROR(__xludf.DUMMYFUNCTION("""COMPUTED_VALUE"""),"Masjid Gosha Nasheen Multan ")</f>
        <v>Masjid Gosha Nasheen Multan </v>
      </c>
      <c r="E398" s="10" t="str">
        <f>IFERROR(__xludf.DUMMYFUNCTION("""COMPUTED_VALUE"""),"LHGFS ")</f>
        <v>LHGFS </v>
      </c>
      <c r="F398" s="10">
        <f>IFERROR(__xludf.DUMMYFUNCTION("""COMPUTED_VALUE"""),86.0)</f>
        <v>86</v>
      </c>
      <c r="G398" s="10">
        <f>IFERROR(__xludf.DUMMYFUNCTION("""COMPUTED_VALUE"""),7.0)</f>
        <v>7</v>
      </c>
      <c r="H398" s="10">
        <f>IFERROR(__xludf.DUMMYFUNCTION("""COMPUTED_VALUE"""),6.0)</f>
        <v>6</v>
      </c>
      <c r="I398" s="10">
        <f>IFERROR(__xludf.DUMMYFUNCTION("""COMPUTED_VALUE"""),3.0)</f>
        <v>3</v>
      </c>
      <c r="J398" s="10"/>
      <c r="K398" s="10"/>
      <c r="L398" s="10"/>
      <c r="M398" s="10">
        <f>IFERROR(__xludf.DUMMYFUNCTION("""COMPUTED_VALUE"""),7.0)</f>
        <v>7</v>
      </c>
      <c r="N398" s="10"/>
      <c r="O398" s="10"/>
      <c r="P398" s="10"/>
      <c r="Q398" s="10"/>
      <c r="R398" s="10"/>
      <c r="S398" s="10"/>
      <c r="T398" s="10"/>
      <c r="U398" s="10"/>
      <c r="V398" s="10"/>
      <c r="W398" s="10"/>
      <c r="X398" s="10"/>
      <c r="Y398" s="14" t="str">
        <f>IFERROR(__xludf.DUMMYFUNCTION("""COMPUTED_VALUE"""),"sherazalifraz7788@gmail.com")</f>
        <v>sherazalifraz7788@gmail.com</v>
      </c>
      <c r="AA398" s="324"/>
    </row>
    <row r="399" hidden="1">
      <c r="A399" s="9">
        <f>IFERROR(__xludf.DUMMYFUNCTION("""COMPUTED_VALUE"""),45864.138103460646)</f>
        <v>45864.1381</v>
      </c>
      <c r="B399" s="10" t="str">
        <f>IFERROR(__xludf.DUMMYFUNCTION("""COMPUTED_VALUE"""),"Sheraz Ali Faraz ")</f>
        <v>Sheraz Ali Faraz </v>
      </c>
      <c r="C399" s="10" t="str">
        <f>IFERROR(__xludf.DUMMYFUNCTION("""COMPUTED_VALUE"""),"03037724188")</f>
        <v>03037724188</v>
      </c>
      <c r="D399" s="10" t="str">
        <f>IFERROR(__xludf.DUMMYFUNCTION("""COMPUTED_VALUE"""),"Jamiah Masjid Gosha Nasheen Multan ")</f>
        <v>Jamiah Masjid Gosha Nasheen Multan </v>
      </c>
      <c r="E399" s="10" t="str">
        <f>IFERROR(__xludf.DUMMYFUNCTION("""COMPUTED_VALUE"""),"LHGFS ")</f>
        <v>LHGFS </v>
      </c>
      <c r="F399" s="10">
        <f>IFERROR(__xludf.DUMMYFUNCTION("""COMPUTED_VALUE"""),86.0)</f>
        <v>86</v>
      </c>
      <c r="G399" s="10">
        <f>IFERROR(__xludf.DUMMYFUNCTION("""COMPUTED_VALUE"""),7.0)</f>
        <v>7</v>
      </c>
      <c r="H399" s="10">
        <f>IFERROR(__xludf.DUMMYFUNCTION("""COMPUTED_VALUE"""),7.0)</f>
        <v>7</v>
      </c>
      <c r="I399" s="10">
        <f>IFERROR(__xludf.DUMMYFUNCTION("""COMPUTED_VALUE"""),3.0)</f>
        <v>3</v>
      </c>
      <c r="J399" s="10"/>
      <c r="K399" s="10"/>
      <c r="L399" s="10"/>
      <c r="M399" s="10">
        <f>IFERROR(__xludf.DUMMYFUNCTION("""COMPUTED_VALUE"""),7.0)</f>
        <v>7</v>
      </c>
      <c r="N399" s="10"/>
      <c r="O399" s="10"/>
      <c r="P399" s="10"/>
      <c r="Q399" s="10"/>
      <c r="R399" s="10"/>
      <c r="S399" s="10"/>
      <c r="T399" s="10"/>
      <c r="U399" s="18" t="str">
        <f>IFERROR(__xludf.DUMMYFUNCTION("""COMPUTED_VALUE"""),"https://drive.google.com/file/d/1nbFjwKF5k4SRpaAeuSRuvP-6lk-DG9Qd/view?usp=drive_link")</f>
        <v>https://drive.google.com/file/d/1nbFjwKF5k4SRpaAeuSRuvP-6lk-DG9Qd/view?usp=drive_link</v>
      </c>
      <c r="V399" s="10" t="str">
        <f>IFERROR(__xludf.DUMMYFUNCTION("""COMPUTED_VALUE"""),"Nhi koi pershani nhi. All working doing is well ")</f>
        <v>Nhi koi pershani nhi. All working doing is well </v>
      </c>
      <c r="W399" s="10"/>
      <c r="X399" s="10"/>
      <c r="Y399" s="14" t="str">
        <f>IFERROR(__xludf.DUMMYFUNCTION("""COMPUTED_VALUE"""),"sherazalifraz7788@gmail.com")</f>
        <v>sherazalifraz7788@gmail.com</v>
      </c>
      <c r="AA399" s="324"/>
    </row>
    <row r="400" hidden="1">
      <c r="A400" s="9">
        <f>IFERROR(__xludf.DUMMYFUNCTION("""COMPUTED_VALUE"""),45864.21636090278)</f>
        <v>45864.21636</v>
      </c>
      <c r="B400" s="10" t="str">
        <f>IFERROR(__xludf.DUMMYFUNCTION("""COMPUTED_VALUE"""),"Waseem Abbas")</f>
        <v>Waseem Abbas</v>
      </c>
      <c r="C400" s="10" t="str">
        <f>IFERROR(__xludf.DUMMYFUNCTION("""COMPUTED_VALUE"""),"03348396958")</f>
        <v>03348396958</v>
      </c>
      <c r="D400" s="10" t="str">
        <f>IFERROR(__xludf.DUMMYFUNCTION("""COMPUTED_VALUE"""),"Jamia Masjid Habib ullah shah bagdadi")</f>
        <v>Jamia Masjid Habib ullah shah bagdadi</v>
      </c>
      <c r="E400" s="10" t="str">
        <f>IFERROR(__xludf.DUMMYFUNCTION("""COMPUTED_VALUE"""),"DPAXP")</f>
        <v>DPAXP</v>
      </c>
      <c r="F400" s="10">
        <f>IFERROR(__xludf.DUMMYFUNCTION("""COMPUTED_VALUE"""),196.0)</f>
        <v>196</v>
      </c>
      <c r="G400" s="10">
        <f>IFERROR(__xludf.DUMMYFUNCTION("""COMPUTED_VALUE"""),5.0)</f>
        <v>5</v>
      </c>
      <c r="H400" s="10">
        <f>IFERROR(__xludf.DUMMYFUNCTION("""COMPUTED_VALUE"""),6.0)</f>
        <v>6</v>
      </c>
      <c r="I400" s="10">
        <f>IFERROR(__xludf.DUMMYFUNCTION("""COMPUTED_VALUE"""),5.0)</f>
        <v>5</v>
      </c>
      <c r="J400" s="10"/>
      <c r="K400" s="10"/>
      <c r="L400" s="10"/>
      <c r="M400" s="10">
        <f>IFERROR(__xludf.DUMMYFUNCTION("""COMPUTED_VALUE"""),7.0)</f>
        <v>7</v>
      </c>
      <c r="N400" s="10"/>
      <c r="O400" s="10"/>
      <c r="P400" s="10"/>
      <c r="Q400" s="10"/>
      <c r="R400" s="10"/>
      <c r="S400" s="10"/>
      <c r="T400" s="10"/>
      <c r="U400" s="18" t="str">
        <f>IFERROR(__xludf.DUMMYFUNCTION("""COMPUTED_VALUE"""),"https://drive.google.com/file/d/1j87QbV6c93ORg0urepXgfiZzZSq01cvo/view?usp=drive_link")</f>
        <v>https://drive.google.com/file/d/1j87QbV6c93ORg0urepXgfiZzZSq01cvo/view?usp=drive_link</v>
      </c>
      <c r="V400" s="10" t="str">
        <f>IFERROR(__xludf.DUMMYFUNCTION("""COMPUTED_VALUE"""),"Nothing")</f>
        <v>Nothing</v>
      </c>
      <c r="W400" s="10"/>
      <c r="X400" s="10"/>
      <c r="Y400" s="14" t="str">
        <f>IFERROR(__xludf.DUMMYFUNCTION("""COMPUTED_VALUE"""),"fahadsheikh4340@gmail.com")</f>
        <v>fahadsheikh4340@gmail.com</v>
      </c>
      <c r="AA400" s="324"/>
    </row>
    <row r="401" hidden="1">
      <c r="A401" s="9">
        <f>IFERROR(__xludf.DUMMYFUNCTION("""COMPUTED_VALUE"""),45864.21680025463)</f>
        <v>45864.2168</v>
      </c>
      <c r="B401" s="10" t="str">
        <f>IFERROR(__xludf.DUMMYFUNCTION("""COMPUTED_VALUE"""),"Dilawar Hussain ")</f>
        <v>Dilawar Hussain </v>
      </c>
      <c r="C401" s="10" t="str">
        <f>IFERROR(__xludf.DUMMYFUNCTION("""COMPUTED_VALUE"""),"03347055136")</f>
        <v>03347055136</v>
      </c>
      <c r="D401" s="10" t="str">
        <f>IFERROR(__xludf.DUMMYFUNCTION("""COMPUTED_VALUE"""),"Jamia Masjid Darbar Hazrad Ahmad Sultan Sakhi Sarwar ")</f>
        <v>Jamia Masjid Darbar Hazrad Ahmad Sultan Sakhi Sarwar </v>
      </c>
      <c r="E401" s="10" t="str">
        <f>IFERROR(__xludf.DUMMYFUNCTION("""COMPUTED_VALUE"""),"JHZJG")</f>
        <v>JHZJG</v>
      </c>
      <c r="F401" s="10">
        <f>IFERROR(__xludf.DUMMYFUNCTION("""COMPUTED_VALUE"""),450.0)</f>
        <v>450</v>
      </c>
      <c r="G401" s="10">
        <f>IFERROR(__xludf.DUMMYFUNCTION("""COMPUTED_VALUE"""),3.0)</f>
        <v>3</v>
      </c>
      <c r="H401" s="10">
        <f>IFERROR(__xludf.DUMMYFUNCTION("""COMPUTED_VALUE"""),3.0)</f>
        <v>3</v>
      </c>
      <c r="I401" s="10">
        <f>IFERROR(__xludf.DUMMYFUNCTION("""COMPUTED_VALUE"""),11.0)</f>
        <v>11</v>
      </c>
      <c r="J401" s="10"/>
      <c r="K401" s="10"/>
      <c r="L401" s="10"/>
      <c r="M401" s="10">
        <f>IFERROR(__xludf.DUMMYFUNCTION("""COMPUTED_VALUE"""),5.0)</f>
        <v>5</v>
      </c>
      <c r="N401" s="10"/>
      <c r="O401" s="10"/>
      <c r="P401" s="10"/>
      <c r="Q401" s="10"/>
      <c r="R401" s="10"/>
      <c r="S401" s="10"/>
      <c r="T401" s="10"/>
      <c r="U401" s="18" t="str">
        <f>IFERROR(__xludf.DUMMYFUNCTION("""COMPUTED_VALUE"""),"https://drive.google.com/file/d/1UckujZRj_ijxnFtAIPm1Wu1-Z3hd7QkL/view?usp=drive_link")</f>
        <v>https://drive.google.com/file/d/1UckujZRj_ijxnFtAIPm1Wu1-Z3hd7QkL/view?usp=drive_link</v>
      </c>
      <c r="V401" s="10" t="str">
        <f>IFERROR(__xludf.DUMMYFUNCTION("""COMPUTED_VALUE"""),"No")</f>
        <v>No</v>
      </c>
      <c r="W401" s="10"/>
      <c r="X401" s="10"/>
      <c r="Y401" s="14" t="str">
        <f>IFERROR(__xludf.DUMMYFUNCTION("""COMPUTED_VALUE"""),"meerdilawarhussainkhan@gmail.com")</f>
        <v>meerdilawarhussainkhan@gmail.com</v>
      </c>
      <c r="AA401" s="324"/>
    </row>
    <row r="402" hidden="1">
      <c r="A402" s="9">
        <f>IFERROR(__xludf.DUMMYFUNCTION("""COMPUTED_VALUE"""),45864.409736354166)</f>
        <v>45864.40974</v>
      </c>
      <c r="B402" s="10" t="str">
        <f>IFERROR(__xludf.DUMMYFUNCTION("""COMPUTED_VALUE"""),"Shehzad Akhter")</f>
        <v>Shehzad Akhter</v>
      </c>
      <c r="C402" s="10" t="str">
        <f>IFERROR(__xludf.DUMMYFUNCTION("""COMPUTED_VALUE"""),"03099804119")</f>
        <v>03099804119</v>
      </c>
      <c r="D402" s="10" t="str">
        <f>IFERROR(__xludf.DUMMYFUNCTION("""COMPUTED_VALUE"""),"Jamia Masjid Bostan Aziz")</f>
        <v>Jamia Masjid Bostan Aziz</v>
      </c>
      <c r="E402" s="10" t="str">
        <f>IFERROR(__xludf.DUMMYFUNCTION("""COMPUTED_VALUE"""),"RTHFH")</f>
        <v>RTHFH</v>
      </c>
      <c r="F402" s="10">
        <f>IFERROR(__xludf.DUMMYFUNCTION("""COMPUTED_VALUE"""),356.0)</f>
        <v>356</v>
      </c>
      <c r="G402" s="10">
        <f>IFERROR(__xludf.DUMMYFUNCTION("""COMPUTED_VALUE"""),8.0)</f>
        <v>8</v>
      </c>
      <c r="H402" s="10">
        <f>IFERROR(__xludf.DUMMYFUNCTION("""COMPUTED_VALUE"""),8.0)</f>
        <v>8</v>
      </c>
      <c r="I402" s="10">
        <f>IFERROR(__xludf.DUMMYFUNCTION("""COMPUTED_VALUE"""),1.0)</f>
        <v>1</v>
      </c>
      <c r="J402" s="10"/>
      <c r="K402" s="10"/>
      <c r="L402" s="10"/>
      <c r="M402" s="10">
        <f>IFERROR(__xludf.DUMMYFUNCTION("""COMPUTED_VALUE"""),6.0)</f>
        <v>6</v>
      </c>
      <c r="N402" s="10"/>
      <c r="O402" s="10"/>
      <c r="P402" s="10"/>
      <c r="Q402" s="10"/>
      <c r="R402" s="10"/>
      <c r="S402" s="10"/>
      <c r="T402" s="10"/>
      <c r="U402" s="18" t="str">
        <f>IFERROR(__xludf.DUMMYFUNCTION("""COMPUTED_VALUE"""),"https://drive.google.com/open?id=1yByVKJ8ZjuBJ1_j2xfnrq8l530j503-M")</f>
        <v>https://drive.google.com/open?id=1yByVKJ8ZjuBJ1_j2xfnrq8l530j503-M</v>
      </c>
      <c r="V402" s="10"/>
      <c r="W402" s="10"/>
      <c r="X402" s="10"/>
      <c r="Y402" s="14" t="str">
        <f>IFERROR(__xludf.DUMMYFUNCTION("""COMPUTED_VALUE"""),"abdulquddous027@gmail.com")</f>
        <v>abdulquddous027@gmail.com</v>
      </c>
      <c r="AA402" s="324"/>
    </row>
    <row r="403" hidden="1">
      <c r="A403" s="9">
        <f>IFERROR(__xludf.DUMMYFUNCTION("""COMPUTED_VALUE"""),45864.61954917824)</f>
        <v>45864.61955</v>
      </c>
      <c r="B403" s="10" t="str">
        <f>IFERROR(__xludf.DUMMYFUNCTION("""COMPUTED_VALUE"""),"Faiq")</f>
        <v>Faiq</v>
      </c>
      <c r="C403" s="10" t="str">
        <f>IFERROR(__xludf.DUMMYFUNCTION("""COMPUTED_VALUE"""),"0370-3867605")</f>
        <v>0370-3867605</v>
      </c>
      <c r="D403" s="10" t="str">
        <f>IFERROR(__xludf.DUMMYFUNCTION("""COMPUTED_VALUE"""),"Jamia Masjid Kareem Khan Ahle Hadees Multan")</f>
        <v>Jamia Masjid Kareem Khan Ahle Hadees Multan</v>
      </c>
      <c r="E403" s="10" t="str">
        <f>IFERROR(__xludf.DUMMYFUNCTION("""COMPUTED_VALUE"""),"LIRQW")</f>
        <v>LIRQW</v>
      </c>
      <c r="F403" s="10">
        <f>IFERROR(__xludf.DUMMYFUNCTION("""COMPUTED_VALUE"""),83.0)</f>
        <v>83</v>
      </c>
      <c r="G403" s="10">
        <f>IFERROR(__xludf.DUMMYFUNCTION("""COMPUTED_VALUE"""),8.0)</f>
        <v>8</v>
      </c>
      <c r="H403" s="10">
        <f>IFERROR(__xludf.DUMMYFUNCTION("""COMPUTED_VALUE"""),7.0)</f>
        <v>7</v>
      </c>
      <c r="I403" s="10">
        <f>IFERROR(__xludf.DUMMYFUNCTION("""COMPUTED_VALUE"""),0.0)</f>
        <v>0</v>
      </c>
      <c r="J403" s="10"/>
      <c r="K403" s="10"/>
      <c r="L403" s="10"/>
      <c r="M403" s="10">
        <f>IFERROR(__xludf.DUMMYFUNCTION("""COMPUTED_VALUE"""),8.0)</f>
        <v>8</v>
      </c>
      <c r="N403" s="10"/>
      <c r="O403" s="10"/>
      <c r="P403" s="10"/>
      <c r="Q403" s="10"/>
      <c r="R403" s="10"/>
      <c r="S403" s="10"/>
      <c r="T403" s="10"/>
      <c r="U403" s="18" t="str">
        <f>IFERROR(__xludf.DUMMYFUNCTION("""COMPUTED_VALUE"""),"https://drive.google.com/open?id=16AA7fvX-DSLgZl2oyEXRj-AprcvRvtNk")</f>
        <v>https://drive.google.com/open?id=16AA7fvX-DSLgZl2oyEXRj-AprcvRvtNk</v>
      </c>
      <c r="V403" s="10"/>
      <c r="W403" s="10"/>
      <c r="X403" s="10"/>
      <c r="Y403" s="14" t="str">
        <f>IFERROR(__xludf.DUMMYFUNCTION("""COMPUTED_VALUE"""),"saifimtiaz@gmail.com")</f>
        <v>saifimtiaz@gmail.com</v>
      </c>
      <c r="AA403" s="324"/>
    </row>
    <row r="404" hidden="1">
      <c r="A404" s="9">
        <f>IFERROR(__xludf.DUMMYFUNCTION("""COMPUTED_VALUE"""),45870.14592084491)</f>
        <v>45870.14592</v>
      </c>
      <c r="B404" s="10" t="str">
        <f>IFERROR(__xludf.DUMMYFUNCTION("""COMPUTED_VALUE"""),"Sabar")</f>
        <v>Sabar</v>
      </c>
      <c r="C404" s="10">
        <f>IFERROR(__xludf.DUMMYFUNCTION("""COMPUTED_VALUE"""),3.067728872E9)</f>
        <v>3067728872</v>
      </c>
      <c r="D404" s="10" t="str">
        <f>IFERROR(__xludf.DUMMYFUNCTION("""COMPUTED_VALUE"""),"Jamia Masjid Muhdum Jahaniya Oh Shareef")</f>
        <v>Jamia Masjid Muhdum Jahaniya Oh Shareef</v>
      </c>
      <c r="E404" s="10" t="str">
        <f>IFERROR(__xludf.DUMMYFUNCTION("""COMPUTED_VALUE"""),"VNNPW")</f>
        <v>VNNPW</v>
      </c>
      <c r="F404" s="10">
        <f>IFERROR(__xludf.DUMMYFUNCTION("""COMPUTED_VALUE"""),458.0)</f>
        <v>458</v>
      </c>
      <c r="G404" s="10">
        <f>IFERROR(__xludf.DUMMYFUNCTION("""COMPUTED_VALUE"""),7.0)</f>
        <v>7</v>
      </c>
      <c r="H404" s="10">
        <f>IFERROR(__xludf.DUMMYFUNCTION("""COMPUTED_VALUE"""),8.0)</f>
        <v>8</v>
      </c>
      <c r="I404" s="10">
        <f>IFERROR(__xludf.DUMMYFUNCTION("""COMPUTED_VALUE"""),0.0)</f>
        <v>0</v>
      </c>
      <c r="J404" s="10"/>
      <c r="K404" s="10"/>
      <c r="L404" s="10"/>
      <c r="M404" s="10">
        <f>IFERROR(__xludf.DUMMYFUNCTION("""COMPUTED_VALUE"""),7.0)</f>
        <v>7</v>
      </c>
      <c r="N404" s="10"/>
      <c r="O404" s="10"/>
      <c r="P404" s="10"/>
      <c r="Q404" s="10"/>
      <c r="R404" s="10"/>
      <c r="S404" s="10"/>
      <c r="T404" s="10"/>
      <c r="U404" s="10" t="str">
        <f>IFERROR(__xludf.DUMMYFUNCTION("""COMPUTED_VALUE"""),"Recording nhe hai = saifullah ")</f>
        <v>Recording nhe hai = saifullah </v>
      </c>
      <c r="V404" s="10" t="str">
        <f>IFERROR(__xludf.DUMMYFUNCTION("""COMPUTED_VALUE"""),"he has done video recording = saifullah")</f>
        <v>he has done video recording = saifullah</v>
      </c>
      <c r="W404" s="10"/>
      <c r="X404" s="10"/>
      <c r="Y404" s="14" t="str">
        <f>IFERROR(__xludf.DUMMYFUNCTION("""COMPUTED_VALUE"""),"saifimtiaz@gmail.com")</f>
        <v>saifimtiaz@gmail.com</v>
      </c>
      <c r="AA404" s="324"/>
    </row>
    <row r="405" hidden="1">
      <c r="A405" s="9">
        <f>IFERROR(__xludf.DUMMYFUNCTION("""COMPUTED_VALUE"""),45870.17706552084)</f>
        <v>45870.17707</v>
      </c>
      <c r="B405" s="10" t="str">
        <f>IFERROR(__xludf.DUMMYFUNCTION("""COMPUTED_VALUE"""),"M.Amir")</f>
        <v>M.Amir</v>
      </c>
      <c r="C405" s="10" t="str">
        <f>IFERROR(__xludf.DUMMYFUNCTION("""COMPUTED_VALUE"""),"03099884405")</f>
        <v>03099884405</v>
      </c>
      <c r="D405" s="10" t="str">
        <f>IFERROR(__xludf.DUMMYFUNCTION("""COMPUTED_VALUE"""),"Jamia masjid sheakh Allah wasya machli Bazar bahawlpur")</f>
        <v>Jamia masjid sheakh Allah wasya machli Bazar bahawlpur</v>
      </c>
      <c r="E405" s="10" t="str">
        <f>IFERROR(__xludf.DUMMYFUNCTION("""COMPUTED_VALUE"""),"LRQVN")</f>
        <v>LRQVN</v>
      </c>
      <c r="F405" s="10">
        <f>IFERROR(__xludf.DUMMYFUNCTION("""COMPUTED_VALUE"""),148.0)</f>
        <v>148</v>
      </c>
      <c r="G405" s="10">
        <f>IFERROR(__xludf.DUMMYFUNCTION("""COMPUTED_VALUE"""),9.0)</f>
        <v>9</v>
      </c>
      <c r="H405" s="10">
        <f>IFERROR(__xludf.DUMMYFUNCTION("""COMPUTED_VALUE"""),8.0)</f>
        <v>8</v>
      </c>
      <c r="I405" s="10" t="str">
        <f>IFERROR(__xludf.DUMMYFUNCTION("""COMPUTED_VALUE"""),"01")</f>
        <v>01</v>
      </c>
      <c r="J405" s="10"/>
      <c r="K405" s="10"/>
      <c r="L405" s="10"/>
      <c r="M405" s="10">
        <f>IFERROR(__xludf.DUMMYFUNCTION("""COMPUTED_VALUE"""),10.0)</f>
        <v>10</v>
      </c>
      <c r="N405" s="10"/>
      <c r="O405" s="10"/>
      <c r="P405" s="10"/>
      <c r="Q405" s="10"/>
      <c r="R405" s="10"/>
      <c r="S405" s="10"/>
      <c r="T405" s="10"/>
      <c r="U405" s="18" t="str">
        <f>IFERROR(__xludf.DUMMYFUNCTION("""COMPUTED_VALUE"""),"https://drive.google.com/open?id=1Oaloj8PDBSBrXEXtjx39G4peAXvSlQgM")</f>
        <v>https://drive.google.com/open?id=1Oaloj8PDBSBrXEXtjx39G4peAXvSlQgM</v>
      </c>
      <c r="V405" s="10"/>
      <c r="W405" s="10"/>
      <c r="X405" s="10"/>
      <c r="Y405" s="14" t="str">
        <f>IFERROR(__xludf.DUMMYFUNCTION("""COMPUTED_VALUE"""),"amirakash6830@gmail.com")</f>
        <v>amirakash6830@gmail.com</v>
      </c>
      <c r="AA405" s="324"/>
    </row>
    <row r="406" hidden="1">
      <c r="A406" s="9">
        <f>IFERROR(__xludf.DUMMYFUNCTION("""COMPUTED_VALUE"""),45870.20517695602)</f>
        <v>45870.20518</v>
      </c>
      <c r="B406" s="10" t="str">
        <f>IFERROR(__xludf.DUMMYFUNCTION("""COMPUTED_VALUE"""),"Muhammad Furqan")</f>
        <v>Muhammad Furqan</v>
      </c>
      <c r="C406" s="10" t="str">
        <f>IFERROR(__xludf.DUMMYFUNCTION("""COMPUTED_VALUE"""),"03017909295")</f>
        <v>03017909295</v>
      </c>
      <c r="D406" s="10" t="str">
        <f>IFERROR(__xludf.DUMMYFUNCTION("""COMPUTED_VALUE"""),"Jamea masjid darbar sultan ahmad qataal jalalpur pirwala")</f>
        <v>Jamea masjid darbar sultan ahmad qataal jalalpur pirwala</v>
      </c>
      <c r="E406" s="10" t="str">
        <f>IFERROR(__xludf.DUMMYFUNCTION("""COMPUTED_VALUE"""),"NDSNQ")</f>
        <v>NDSNQ</v>
      </c>
      <c r="F406" s="10">
        <f>IFERROR(__xludf.DUMMYFUNCTION("""COMPUTED_VALUE"""),456.0)</f>
        <v>456</v>
      </c>
      <c r="G406" s="10">
        <f>IFERROR(__xludf.DUMMYFUNCTION("""COMPUTED_VALUE"""),8.0)</f>
        <v>8</v>
      </c>
      <c r="H406" s="10">
        <f>IFERROR(__xludf.DUMMYFUNCTION("""COMPUTED_VALUE"""),7.0)</f>
        <v>7</v>
      </c>
      <c r="I406" s="10">
        <f>IFERROR(__xludf.DUMMYFUNCTION("""COMPUTED_VALUE"""),3.0)</f>
        <v>3</v>
      </c>
      <c r="J406" s="10"/>
      <c r="K406" s="10"/>
      <c r="L406" s="10"/>
      <c r="M406" s="10">
        <f>IFERROR(__xludf.DUMMYFUNCTION("""COMPUTED_VALUE"""),9.0)</f>
        <v>9</v>
      </c>
      <c r="N406" s="10"/>
      <c r="O406" s="10"/>
      <c r="P406" s="10"/>
      <c r="Q406" s="10"/>
      <c r="R406" s="10"/>
      <c r="S406" s="10"/>
      <c r="T406" s="10"/>
      <c r="U406" s="18" t="str">
        <f>IFERROR(__xludf.DUMMYFUNCTION("""COMPUTED_VALUE"""),"https://drive.google.com/file/d/1dsbVN0AsTTOB1vDZ19VEZiTaw0msS0ut/view?usp=drive_link")</f>
        <v>https://drive.google.com/file/d/1dsbVN0AsTTOB1vDZ19VEZiTaw0msS0ut/view?usp=drive_link</v>
      </c>
      <c r="V406" s="10"/>
      <c r="W406" s="10"/>
      <c r="X406" s="10"/>
      <c r="Y406" s="14" t="str">
        <f>IFERROR(__xludf.DUMMYFUNCTION("""COMPUTED_VALUE"""),"mfurqanbhatti58@gmail.com")</f>
        <v>mfurqanbhatti58@gmail.com</v>
      </c>
      <c r="AA406" s="324"/>
    </row>
    <row r="407" hidden="1">
      <c r="A407" s="9">
        <f>IFERROR(__xludf.DUMMYFUNCTION("""COMPUTED_VALUE"""),45870.21229056713)</f>
        <v>45870.21229</v>
      </c>
      <c r="B407" s="10" t="str">
        <f>IFERROR(__xludf.DUMMYFUNCTION("""COMPUTED_VALUE"""),"M.Amir")</f>
        <v>M.Amir</v>
      </c>
      <c r="C407" s="10" t="str">
        <f>IFERROR(__xludf.DUMMYFUNCTION("""COMPUTED_VALUE"""),"03099884405")</f>
        <v>03099884405</v>
      </c>
      <c r="D407" s="10" t="str">
        <f>IFERROR(__xludf.DUMMYFUNCTION("""COMPUTED_VALUE"""),"Jamia masjid Sadiq Akbar machi hatta ")</f>
        <v>Jamia masjid Sadiq Akbar machi hatta </v>
      </c>
      <c r="E407" s="10" t="str">
        <f>IFERROR(__xludf.DUMMYFUNCTION("""COMPUTED_VALUE"""),"DFNMY")</f>
        <v>DFNMY</v>
      </c>
      <c r="F407" s="10">
        <f>IFERROR(__xludf.DUMMYFUNCTION("""COMPUTED_VALUE"""),446.0)</f>
        <v>446</v>
      </c>
      <c r="G407" s="10">
        <f>IFERROR(__xludf.DUMMYFUNCTION("""COMPUTED_VALUE"""),9.0)</f>
        <v>9</v>
      </c>
      <c r="H407" s="10">
        <f>IFERROR(__xludf.DUMMYFUNCTION("""COMPUTED_VALUE"""),9.0)</f>
        <v>9</v>
      </c>
      <c r="I407" s="10" t="str">
        <f>IFERROR(__xludf.DUMMYFUNCTION("""COMPUTED_VALUE"""),"01")</f>
        <v>01</v>
      </c>
      <c r="J407" s="10"/>
      <c r="K407" s="10"/>
      <c r="L407" s="10"/>
      <c r="M407" s="10">
        <f>IFERROR(__xludf.DUMMYFUNCTION("""COMPUTED_VALUE"""),10.0)</f>
        <v>10</v>
      </c>
      <c r="N407" s="10"/>
      <c r="O407" s="10"/>
      <c r="P407" s="10"/>
      <c r="Q407" s="10"/>
      <c r="R407" s="10"/>
      <c r="S407" s="10"/>
      <c r="T407" s="10"/>
      <c r="U407" s="18" t="str">
        <f>IFERROR(__xludf.DUMMYFUNCTION("""COMPUTED_VALUE"""),"https://drive.google.com/open?id=1FKnqxjgtv0HxEMRZ9maDZz77tQRuVAoP")</f>
        <v>https://drive.google.com/open?id=1FKnqxjgtv0HxEMRZ9maDZz77tQRuVAoP</v>
      </c>
      <c r="V407" s="10"/>
      <c r="W407" s="10"/>
      <c r="X407" s="10"/>
      <c r="Y407" s="14" t="str">
        <f>IFERROR(__xludf.DUMMYFUNCTION("""COMPUTED_VALUE"""),"amirakash6830@gmail.com")</f>
        <v>amirakash6830@gmail.com</v>
      </c>
      <c r="AA407" s="324"/>
    </row>
    <row r="408" hidden="1">
      <c r="A408" s="9">
        <f>IFERROR(__xludf.DUMMYFUNCTION("""COMPUTED_VALUE"""),45870.21396208333)</f>
        <v>45870.21396</v>
      </c>
      <c r="B408" s="10" t="str">
        <f>IFERROR(__xludf.DUMMYFUNCTION("""COMPUTED_VALUE"""),"Shahzad Bilal")</f>
        <v>Shahzad Bilal</v>
      </c>
      <c r="C408" s="10" t="str">
        <f>IFERROR(__xludf.DUMMYFUNCTION("""COMPUTED_VALUE"""),"03085398997")</f>
        <v>03085398997</v>
      </c>
      <c r="D408" s="10" t="str">
        <f>IFERROR(__xludf.DUMMYFUNCTION("""COMPUTED_VALUE"""),"Jamia masjid Lal")</f>
        <v>Jamia masjid Lal</v>
      </c>
      <c r="E408" s="10" t="str">
        <f>IFERROR(__xludf.DUMMYFUNCTION("""COMPUTED_VALUE"""),"SQNOT")</f>
        <v>SQNOT</v>
      </c>
      <c r="F408" s="10">
        <f>IFERROR(__xludf.DUMMYFUNCTION("""COMPUTED_VALUE"""),825.0)</f>
        <v>825</v>
      </c>
      <c r="G408" s="10">
        <f>IFERROR(__xludf.DUMMYFUNCTION("""COMPUTED_VALUE"""),9.0)</f>
        <v>9</v>
      </c>
      <c r="H408" s="10">
        <f>IFERROR(__xludf.DUMMYFUNCTION("""COMPUTED_VALUE"""),9.0)</f>
        <v>9</v>
      </c>
      <c r="I408" s="10">
        <f>IFERROR(__xludf.DUMMYFUNCTION("""COMPUTED_VALUE"""),3.0)</f>
        <v>3</v>
      </c>
      <c r="J408" s="10"/>
      <c r="K408" s="10"/>
      <c r="L408" s="10"/>
      <c r="M408" s="10">
        <f>IFERROR(__xludf.DUMMYFUNCTION("""COMPUTED_VALUE"""),10.0)</f>
        <v>10</v>
      </c>
      <c r="N408" s="10"/>
      <c r="O408" s="10"/>
      <c r="P408" s="10"/>
      <c r="Q408" s="10"/>
      <c r="R408" s="10"/>
      <c r="S408" s="10"/>
      <c r="T408" s="10"/>
      <c r="U408" s="18" t="str">
        <f>IFERROR(__xludf.DUMMYFUNCTION("""COMPUTED_VALUE"""),"https://drive.google.com/open?id=1yx1c4wIRewAKcggOeCALUUM2jVuFZhuo")</f>
        <v>https://drive.google.com/open?id=1yx1c4wIRewAKcggOeCALUUM2jVuFZhuo</v>
      </c>
      <c r="V408" s="10"/>
      <c r="W408" s="10"/>
      <c r="X408" s="10"/>
      <c r="Y408" s="14" t="str">
        <f>IFERROR(__xludf.DUMMYFUNCTION("""COMPUTED_VALUE"""),"multaniminivelogs@gmail.com")</f>
        <v>multaniminivelogs@gmail.com</v>
      </c>
      <c r="AA408" s="324"/>
    </row>
    <row r="409" hidden="1">
      <c r="A409" s="9">
        <f>IFERROR(__xludf.DUMMYFUNCTION("""COMPUTED_VALUE"""),45870.216827129625)</f>
        <v>45870.21683</v>
      </c>
      <c r="B409" s="10" t="str">
        <f>IFERROR(__xludf.DUMMYFUNCTION("""COMPUTED_VALUE"""),"Qurban ali anjum")</f>
        <v>Qurban ali anjum</v>
      </c>
      <c r="C409" s="10" t="str">
        <f>IFERROR(__xludf.DUMMYFUNCTION("""COMPUTED_VALUE"""),"03009162205")</f>
        <v>03009162205</v>
      </c>
      <c r="D409" s="10" t="str">
        <f>IFERROR(__xludf.DUMMYFUNCTION("""COMPUTED_VALUE"""),"Jamia Masjid Ghala Mandi Bahawalnagar")</f>
        <v>Jamia Masjid Ghala Mandi Bahawalnagar</v>
      </c>
      <c r="E409" s="10" t="str">
        <f>IFERROR(__xludf.DUMMYFUNCTION("""COMPUTED_VALUE"""),"YOKQU")</f>
        <v>YOKQU</v>
      </c>
      <c r="F409" s="10">
        <f>IFERROR(__xludf.DUMMYFUNCTION("""COMPUTED_VALUE"""),235.0)</f>
        <v>235</v>
      </c>
      <c r="G409" s="10">
        <f>IFERROR(__xludf.DUMMYFUNCTION("""COMPUTED_VALUE"""),9.0)</f>
        <v>9</v>
      </c>
      <c r="H409" s="10">
        <f>IFERROR(__xludf.DUMMYFUNCTION("""COMPUTED_VALUE"""),9.0)</f>
        <v>9</v>
      </c>
      <c r="I409" s="10">
        <f>IFERROR(__xludf.DUMMYFUNCTION("""COMPUTED_VALUE"""),1.0)</f>
        <v>1</v>
      </c>
      <c r="J409" s="10"/>
      <c r="K409" s="10"/>
      <c r="L409" s="10"/>
      <c r="M409" s="10">
        <f>IFERROR(__xludf.DUMMYFUNCTION("""COMPUTED_VALUE"""),10.0)</f>
        <v>10</v>
      </c>
      <c r="N409" s="10"/>
      <c r="O409" s="10"/>
      <c r="P409" s="10"/>
      <c r="Q409" s="10"/>
      <c r="R409" s="10"/>
      <c r="S409" s="10"/>
      <c r="T409" s="10"/>
      <c r="U409" s="18" t="str">
        <f>IFERROR(__xludf.DUMMYFUNCTION("""COMPUTED_VALUE"""),"https://drive.google.com/open?id=11pDKrEKlMDxziZ4orQ5QZ7D2YnE0qun_")</f>
        <v>https://drive.google.com/open?id=11pDKrEKlMDxziZ4orQ5QZ7D2YnE0qun_</v>
      </c>
      <c r="V409" s="10"/>
      <c r="W409" s="10"/>
      <c r="X409" s="10"/>
      <c r="Y409" s="14" t="str">
        <f>IFERROR(__xludf.DUMMYFUNCTION("""COMPUTED_VALUE"""),"qurbananjum65@gmail.com")</f>
        <v>qurbananjum65@gmail.com</v>
      </c>
      <c r="AA409" s="324"/>
    </row>
    <row r="410" hidden="1">
      <c r="A410" s="9">
        <f>IFERROR(__xludf.DUMMYFUNCTION("""COMPUTED_VALUE"""),45870.2181234375)</f>
        <v>45870.21812</v>
      </c>
      <c r="B410" s="10" t="str">
        <f>IFERROR(__xludf.DUMMYFUNCTION("""COMPUTED_VALUE"""),"M.Amir")</f>
        <v>M.Amir</v>
      </c>
      <c r="C410" s="10" t="str">
        <f>IFERROR(__xludf.DUMMYFUNCTION("""COMPUTED_VALUE"""),"03099884405")</f>
        <v>03099884405</v>
      </c>
      <c r="D410" s="10" t="str">
        <f>IFERROR(__xludf.DUMMYFUNCTION("""COMPUTED_VALUE"""),"Jamia masjid sheik Syed wali Fareed gate ")</f>
        <v>Jamia masjid sheik Syed wali Fareed gate </v>
      </c>
      <c r="E410" s="10" t="str">
        <f>IFERROR(__xludf.DUMMYFUNCTION("""COMPUTED_VALUE"""),"PGOLJ")</f>
        <v>PGOLJ</v>
      </c>
      <c r="F410" s="10">
        <f>IFERROR(__xludf.DUMMYFUNCTION("""COMPUTED_VALUE"""),407.0)</f>
        <v>407</v>
      </c>
      <c r="G410" s="10">
        <f>IFERROR(__xludf.DUMMYFUNCTION("""COMPUTED_VALUE"""),9.0)</f>
        <v>9</v>
      </c>
      <c r="H410" s="10">
        <f>IFERROR(__xludf.DUMMYFUNCTION("""COMPUTED_VALUE"""),8.0)</f>
        <v>8</v>
      </c>
      <c r="I410" s="10">
        <f>IFERROR(__xludf.DUMMYFUNCTION("""COMPUTED_VALUE"""),2.0)</f>
        <v>2</v>
      </c>
      <c r="J410" s="10"/>
      <c r="K410" s="10"/>
      <c r="L410" s="10"/>
      <c r="M410" s="10">
        <f>IFERROR(__xludf.DUMMYFUNCTION("""COMPUTED_VALUE"""),9.0)</f>
        <v>9</v>
      </c>
      <c r="N410" s="10"/>
      <c r="O410" s="10"/>
      <c r="P410" s="10"/>
      <c r="Q410" s="10"/>
      <c r="R410" s="10"/>
      <c r="S410" s="10"/>
      <c r="T410" s="10"/>
      <c r="U410" s="18" t="str">
        <f>IFERROR(__xludf.DUMMYFUNCTION("""COMPUTED_VALUE"""),"https://drive.google.com/open?id=1OQvb7Xa9CnYEA_TJo-zgs7_x2UuoTxlS")</f>
        <v>https://drive.google.com/open?id=1OQvb7Xa9CnYEA_TJo-zgs7_x2UuoTxlS</v>
      </c>
      <c r="V410" s="10"/>
      <c r="W410" s="10"/>
      <c r="X410" s="10"/>
      <c r="Y410" s="14" t="str">
        <f>IFERROR(__xludf.DUMMYFUNCTION("""COMPUTED_VALUE"""),"amirakash6830@gmail.com")</f>
        <v>amirakash6830@gmail.com</v>
      </c>
      <c r="AA410" s="324"/>
    </row>
    <row r="411" hidden="1">
      <c r="A411" s="9">
        <f>IFERROR(__xludf.DUMMYFUNCTION("""COMPUTED_VALUE"""),45870.22129509259)</f>
        <v>45870.2213</v>
      </c>
      <c r="B411" s="10" t="str">
        <f>IFERROR(__xludf.DUMMYFUNCTION("""COMPUTED_VALUE"""),"Muhammad rehan")</f>
        <v>Muhammad rehan</v>
      </c>
      <c r="C411" s="10" t="str">
        <f>IFERROR(__xludf.DUMMYFUNCTION("""COMPUTED_VALUE"""),"03414090005")</f>
        <v>03414090005</v>
      </c>
      <c r="D411" s="10" t="str">
        <f>IFERROR(__xludf.DUMMYFUNCTION("""COMPUTED_VALUE"""),"Jammia masjid maii sab")</f>
        <v>Jammia masjid maii sab</v>
      </c>
      <c r="E411" s="10" t="str">
        <f>IFERROR(__xludf.DUMMYFUNCTION("""COMPUTED_VALUE"""),"QQSMI")</f>
        <v>QQSMI</v>
      </c>
      <c r="F411" s="10">
        <f>IFERROR(__xludf.DUMMYFUNCTION("""COMPUTED_VALUE"""),215.0)</f>
        <v>215</v>
      </c>
      <c r="G411" s="10">
        <f>IFERROR(__xludf.DUMMYFUNCTION("""COMPUTED_VALUE"""),7.0)</f>
        <v>7</v>
      </c>
      <c r="H411" s="10">
        <f>IFERROR(__xludf.DUMMYFUNCTION("""COMPUTED_VALUE"""),5.0)</f>
        <v>5</v>
      </c>
      <c r="I411" s="10">
        <f>IFERROR(__xludf.DUMMYFUNCTION("""COMPUTED_VALUE"""),4.0)</f>
        <v>4</v>
      </c>
      <c r="J411" s="10"/>
      <c r="K411" s="10"/>
      <c r="L411" s="10"/>
      <c r="M411" s="10">
        <f>IFERROR(__xludf.DUMMYFUNCTION("""COMPUTED_VALUE"""),9.0)</f>
        <v>9</v>
      </c>
      <c r="N411" s="10"/>
      <c r="O411" s="10"/>
      <c r="P411" s="10"/>
      <c r="Q411" s="10"/>
      <c r="R411" s="10"/>
      <c r="S411" s="10"/>
      <c r="T411" s="10"/>
      <c r="U411" s="18" t="str">
        <f>IFERROR(__xludf.DUMMYFUNCTION("""COMPUTED_VALUE"""),"https://drive.google.com/open?id=1QlIX3s8jifcDW6p4L7gBLu39-XIzTqIt")</f>
        <v>https://drive.google.com/open?id=1QlIX3s8jifcDW6p4L7gBLu39-XIzTqIt</v>
      </c>
      <c r="V411" s="10"/>
      <c r="W411" s="10"/>
      <c r="X411" s="10"/>
      <c r="Y411" s="14" t="str">
        <f>IFERROR(__xludf.DUMMYFUNCTION("""COMPUTED_VALUE"""),"rehan000000009@gmail.com")</f>
        <v>rehan000000009@gmail.com</v>
      </c>
      <c r="AA411" s="324"/>
    </row>
    <row r="412" hidden="1">
      <c r="A412" s="9">
        <f>IFERROR(__xludf.DUMMYFUNCTION("""COMPUTED_VALUE"""),45870.22338108796)</f>
        <v>45870.22338</v>
      </c>
      <c r="B412" s="10" t="str">
        <f>IFERROR(__xludf.DUMMYFUNCTION("""COMPUTED_VALUE"""),"Ahsan Shahzad ")</f>
        <v>Ahsan Shahzad </v>
      </c>
      <c r="C412" s="10" t="str">
        <f>IFERROR(__xludf.DUMMYFUNCTION("""COMPUTED_VALUE"""),"03099804129")</f>
        <v>03099804129</v>
      </c>
      <c r="D412" s="10" t="str">
        <f>IFERROR(__xludf.DUMMYFUNCTION("""COMPUTED_VALUE"""),"Jamia Masjid Bostan Aziz Bahawalpur")</f>
        <v>Jamia Masjid Bostan Aziz Bahawalpur</v>
      </c>
      <c r="E412" s="10" t="str">
        <f>IFERROR(__xludf.DUMMYFUNCTION("""COMPUTED_VALUE"""),"RTHFH ")</f>
        <v>RTHFH </v>
      </c>
      <c r="F412" s="10">
        <f>IFERROR(__xludf.DUMMYFUNCTION("""COMPUTED_VALUE"""),407.0)</f>
        <v>407</v>
      </c>
      <c r="G412" s="10">
        <f>IFERROR(__xludf.DUMMYFUNCTION("""COMPUTED_VALUE"""),7.0)</f>
        <v>7</v>
      </c>
      <c r="H412" s="10">
        <f>IFERROR(__xludf.DUMMYFUNCTION("""COMPUTED_VALUE"""),7.0)</f>
        <v>7</v>
      </c>
      <c r="I412" s="10">
        <f>IFERROR(__xludf.DUMMYFUNCTION("""COMPUTED_VALUE"""),1.0)</f>
        <v>1</v>
      </c>
      <c r="J412" s="10"/>
      <c r="K412" s="10"/>
      <c r="L412" s="10"/>
      <c r="M412" s="10">
        <f>IFERROR(__xludf.DUMMYFUNCTION("""COMPUTED_VALUE"""),8.0)</f>
        <v>8</v>
      </c>
      <c r="N412" s="10"/>
      <c r="O412" s="10"/>
      <c r="P412" s="10"/>
      <c r="Q412" s="10"/>
      <c r="R412" s="10"/>
      <c r="S412" s="10"/>
      <c r="T412" s="10"/>
      <c r="U412" s="18" t="str">
        <f>IFERROR(__xludf.DUMMYFUNCTION("""COMPUTED_VALUE"""),"https://drive.google.com/open?id=1BGgoR5kTDOU_BUC3_FuSYDT9pUPify4g")</f>
        <v>https://drive.google.com/open?id=1BGgoR5kTDOU_BUC3_FuSYDT9pUPify4g</v>
      </c>
      <c r="V412" s="10"/>
      <c r="W412" s="10"/>
      <c r="X412" s="10"/>
      <c r="Y412" s="14" t="str">
        <f>IFERROR(__xludf.DUMMYFUNCTION("""COMPUTED_VALUE"""),"askhokhar1371@gmail.com")</f>
        <v>askhokhar1371@gmail.com</v>
      </c>
      <c r="AA412" s="324"/>
    </row>
    <row r="413" hidden="1">
      <c r="A413" s="9">
        <f>IFERROR(__xludf.DUMMYFUNCTION("""COMPUTED_VALUE"""),45870.227030787035)</f>
        <v>45870.22703</v>
      </c>
      <c r="B413" s="10" t="str">
        <f>IFERROR(__xludf.DUMMYFUNCTION("""COMPUTED_VALUE"""),"Muhammad Hamid Ali ")</f>
        <v>Muhammad Hamid Ali </v>
      </c>
      <c r="C413" s="10" t="str">
        <f>IFERROR(__xludf.DUMMYFUNCTION("""COMPUTED_VALUE"""),"03006923636")</f>
        <v>03006923636</v>
      </c>
      <c r="D413" s="10" t="str">
        <f>IFERROR(__xludf.DUMMYFUNCTION("""COMPUTED_VALUE"""),"جامع مسجد ملحقہ دربار حضرت بابا تاج الدین سرور سرکار شھید رحمۃ اللّٰہ علیہ ")</f>
        <v>جامع مسجد ملحقہ دربار حضرت بابا تاج الدین سرور سرکار شھید رحمۃ اللّٰہ علیہ </v>
      </c>
      <c r="E413" s="10" t="str">
        <f>IFERROR(__xludf.DUMMYFUNCTION("""COMPUTED_VALUE"""),"UVKDX ")</f>
        <v>UVKDX </v>
      </c>
      <c r="F413" s="10">
        <f>IFERROR(__xludf.DUMMYFUNCTION("""COMPUTED_VALUE"""),680.0)</f>
        <v>680</v>
      </c>
      <c r="G413" s="10">
        <f>IFERROR(__xludf.DUMMYFUNCTION("""COMPUTED_VALUE"""),8.0)</f>
        <v>8</v>
      </c>
      <c r="H413" s="10">
        <f>IFERROR(__xludf.DUMMYFUNCTION("""COMPUTED_VALUE"""),7.0)</f>
        <v>7</v>
      </c>
      <c r="I413" s="10">
        <f>IFERROR(__xludf.DUMMYFUNCTION("""COMPUTED_VALUE"""),2.0)</f>
        <v>2</v>
      </c>
      <c r="J413" s="10"/>
      <c r="K413" s="10"/>
      <c r="L413" s="10"/>
      <c r="M413" s="10">
        <f>IFERROR(__xludf.DUMMYFUNCTION("""COMPUTED_VALUE"""),8.0)</f>
        <v>8</v>
      </c>
      <c r="N413" s="10"/>
      <c r="O413" s="10"/>
      <c r="P413" s="10"/>
      <c r="Q413" s="10"/>
      <c r="R413" s="10"/>
      <c r="S413" s="10"/>
      <c r="T413" s="10"/>
      <c r="U413" s="18" t="str">
        <f>IFERROR(__xludf.DUMMYFUNCTION("""COMPUTED_VALUE"""),"https://drive.google.com/open?id=1rXmDEPREbD9E5sJh176fZA1PdYvctyWA")</f>
        <v>https://drive.google.com/open?id=1rXmDEPREbD9E5sJh176fZA1PdYvctyWA</v>
      </c>
      <c r="V413" s="10"/>
      <c r="W413" s="10"/>
      <c r="X413" s="10"/>
      <c r="Y413" s="14" t="str">
        <f>IFERROR(__xludf.DUMMYFUNCTION("""COMPUTED_VALUE"""),"hamidalisultani11@gmail.com")</f>
        <v>hamidalisultani11@gmail.com</v>
      </c>
      <c r="AA413" s="324"/>
    </row>
    <row r="414" hidden="1">
      <c r="A414" s="9">
        <f>IFERROR(__xludf.DUMMYFUNCTION("""COMPUTED_VALUE"""),45870.228445995366)</f>
        <v>45870.22845</v>
      </c>
      <c r="B414" s="10" t="str">
        <f>IFERROR(__xludf.DUMMYFUNCTION("""COMPUTED_VALUE"""),"Rao aftab")</f>
        <v>Rao aftab</v>
      </c>
      <c r="C414" s="10" t="str">
        <f>IFERROR(__xludf.DUMMYFUNCTION("""COMPUTED_VALUE"""),"03027410445")</f>
        <v>03027410445</v>
      </c>
      <c r="D414" s="10" t="str">
        <f>IFERROR(__xludf.DUMMYFUNCTION("""COMPUTED_VALUE"""),"Jamia masjid gul din")</f>
        <v>Jamia masjid gul din</v>
      </c>
      <c r="E414" s="10" t="str">
        <f>IFERROR(__xludf.DUMMYFUNCTION("""COMPUTED_VALUE"""),"LVYEA")</f>
        <v>LVYEA</v>
      </c>
      <c r="F414" s="10">
        <f>IFERROR(__xludf.DUMMYFUNCTION("""COMPUTED_VALUE"""),140.0)</f>
        <v>140</v>
      </c>
      <c r="G414" s="10">
        <f>IFERROR(__xludf.DUMMYFUNCTION("""COMPUTED_VALUE"""),10.0)</f>
        <v>10</v>
      </c>
      <c r="H414" s="10">
        <f>IFERROR(__xludf.DUMMYFUNCTION("""COMPUTED_VALUE"""),10.0)</f>
        <v>10</v>
      </c>
      <c r="I414" s="10">
        <f>IFERROR(__xludf.DUMMYFUNCTION("""COMPUTED_VALUE"""),0.0)</f>
        <v>0</v>
      </c>
      <c r="J414" s="10"/>
      <c r="K414" s="10"/>
      <c r="L414" s="10"/>
      <c r="M414" s="10">
        <f>IFERROR(__xludf.DUMMYFUNCTION("""COMPUTED_VALUE"""),10.0)</f>
        <v>10</v>
      </c>
      <c r="N414" s="10"/>
      <c r="O414" s="10"/>
      <c r="P414" s="10"/>
      <c r="Q414" s="10"/>
      <c r="R414" s="10"/>
      <c r="S414" s="10"/>
      <c r="T414" s="10"/>
      <c r="U414" s="18" t="str">
        <f>IFERROR(__xludf.DUMMYFUNCTION("""COMPUTED_VALUE"""),"https://drive.google.com/file/d/1Po29ThJkf5X4x-sIKKtQm75_fDIFKyUm/view?usp=drive_link")</f>
        <v>https://drive.google.com/file/d/1Po29ThJkf5X4x-sIKKtQm75_fDIFKyUm/view?usp=drive_link</v>
      </c>
      <c r="V414" s="10"/>
      <c r="W414" s="10"/>
      <c r="X414" s="10"/>
      <c r="Y414" s="14" t="str">
        <f>IFERROR(__xludf.DUMMYFUNCTION("""COMPUTED_VALUE"""),"rao.m.aftab@gmail.com")</f>
        <v>rao.m.aftab@gmail.com</v>
      </c>
      <c r="AA414" s="324"/>
    </row>
    <row r="415" hidden="1">
      <c r="A415" s="9">
        <f>IFERROR(__xludf.DUMMYFUNCTION("""COMPUTED_VALUE"""),45870.229562106484)</f>
        <v>45870.22956</v>
      </c>
      <c r="B415" s="10" t="str">
        <f>IFERROR(__xludf.DUMMYFUNCTION("""COMPUTED_VALUE"""),"Mubashir Aleem ")</f>
        <v>Mubashir Aleem </v>
      </c>
      <c r="C415" s="10" t="str">
        <f>IFERROR(__xludf.DUMMYFUNCTION("""COMPUTED_VALUE"""),"03355555543")</f>
        <v>03355555543</v>
      </c>
      <c r="D415" s="10" t="str">
        <f>IFERROR(__xludf.DUMMYFUNCTION("""COMPUTED_VALUE"""),"Jamia Masjid musa pak shaheed")</f>
        <v>Jamia Masjid musa pak shaheed</v>
      </c>
      <c r="E415" s="10" t="str">
        <f>IFERROR(__xludf.DUMMYFUNCTION("""COMPUTED_VALUE"""),"WGVNS")</f>
        <v>WGVNS</v>
      </c>
      <c r="F415" s="10">
        <f>IFERROR(__xludf.DUMMYFUNCTION("""COMPUTED_VALUE"""),270.0)</f>
        <v>270</v>
      </c>
      <c r="G415" s="10">
        <f>IFERROR(__xludf.DUMMYFUNCTION("""COMPUTED_VALUE"""),10.0)</f>
        <v>10</v>
      </c>
      <c r="H415" s="10">
        <f>IFERROR(__xludf.DUMMYFUNCTION("""COMPUTED_VALUE"""),10.0)</f>
        <v>10</v>
      </c>
      <c r="I415" s="10" t="str">
        <f>IFERROR(__xludf.DUMMYFUNCTION("""COMPUTED_VALUE"""),"No")</f>
        <v>No</v>
      </c>
      <c r="J415" s="10"/>
      <c r="K415" s="10"/>
      <c r="L415" s="10"/>
      <c r="M415" s="10">
        <f>IFERROR(__xludf.DUMMYFUNCTION("""COMPUTED_VALUE"""),10.0)</f>
        <v>10</v>
      </c>
      <c r="N415" s="10"/>
      <c r="O415" s="10"/>
      <c r="P415" s="10"/>
      <c r="Q415" s="10"/>
      <c r="R415" s="10"/>
      <c r="S415" s="10"/>
      <c r="T415" s="10"/>
      <c r="U415" s="18" t="str">
        <f>IFERROR(__xludf.DUMMYFUNCTION("""COMPUTED_VALUE"""),"https://drive.google.com/open?id=1m6r7-DfluG2sPOB-8vBjKKan_mLp45XX")</f>
        <v>https://drive.google.com/open?id=1m6r7-DfluG2sPOB-8vBjKKan_mLp45XX</v>
      </c>
      <c r="V415" s="10" t="str">
        <f>IFERROR(__xludf.DUMMYFUNCTION("""COMPUTED_VALUE"""),"No")</f>
        <v>No</v>
      </c>
      <c r="W415" s="10"/>
      <c r="X415" s="10"/>
      <c r="Y415" s="14" t="str">
        <f>IFERROR(__xludf.DUMMYFUNCTION("""COMPUTED_VALUE"""),"maleem699@gmail.com")</f>
        <v>maleem699@gmail.com</v>
      </c>
      <c r="AA415" s="324"/>
    </row>
    <row r="416" hidden="1">
      <c r="A416" s="9">
        <f>IFERROR(__xludf.DUMMYFUNCTION("""COMPUTED_VALUE"""),45870.23039895833)</f>
        <v>45870.2304</v>
      </c>
      <c r="B416" s="10" t="str">
        <f>IFERROR(__xludf.DUMMYFUNCTION("""COMPUTED_VALUE"""),"M. Asad shafique ")</f>
        <v>M. Asad shafique </v>
      </c>
      <c r="C416" s="10" t="str">
        <f>IFERROR(__xludf.DUMMYFUNCTION("""COMPUTED_VALUE"""),"03280905041")</f>
        <v>03280905041</v>
      </c>
      <c r="D416" s="10" t="str">
        <f>IFERROR(__xludf.DUMMYFUNCTION("""COMPUTED_VALUE"""),"Jamia masjid gul wali ")</f>
        <v>Jamia masjid gul wali </v>
      </c>
      <c r="E416" s="10" t="str">
        <f>IFERROR(__xludf.DUMMYFUNCTION("""COMPUTED_VALUE"""),"VBDPL")</f>
        <v>VBDPL</v>
      </c>
      <c r="F416" s="10">
        <f>IFERROR(__xludf.DUMMYFUNCTION("""COMPUTED_VALUE"""),120.0)</f>
        <v>120</v>
      </c>
      <c r="G416" s="10">
        <f>IFERROR(__xludf.DUMMYFUNCTION("""COMPUTED_VALUE"""),10.0)</f>
        <v>10</v>
      </c>
      <c r="H416" s="10">
        <f>IFERROR(__xludf.DUMMYFUNCTION("""COMPUTED_VALUE"""),9.0)</f>
        <v>9</v>
      </c>
      <c r="I416" s="10">
        <f>IFERROR(__xludf.DUMMYFUNCTION("""COMPUTED_VALUE"""),0.0)</f>
        <v>0</v>
      </c>
      <c r="J416" s="10"/>
      <c r="K416" s="10"/>
      <c r="L416" s="10"/>
      <c r="M416" s="10">
        <f>IFERROR(__xludf.DUMMYFUNCTION("""COMPUTED_VALUE"""),9.0)</f>
        <v>9</v>
      </c>
      <c r="N416" s="10"/>
      <c r="O416" s="10"/>
      <c r="P416" s="10"/>
      <c r="Q416" s="10"/>
      <c r="R416" s="10"/>
      <c r="S416" s="10"/>
      <c r="T416" s="10"/>
      <c r="U416" s="18" t="str">
        <f>IFERROR(__xludf.DUMMYFUNCTION("""COMPUTED_VALUE"""),"https://drive.google.com/open?id=13nscczjEh3RsYhALf5CY4i5-YbRthF9t")</f>
        <v>https://drive.google.com/open?id=13nscczjEh3RsYhALf5CY4i5-YbRthF9t</v>
      </c>
      <c r="V416" s="10" t="str">
        <f>IFERROR(__xludf.DUMMYFUNCTION("""COMPUTED_VALUE"""),"None ")</f>
        <v>None </v>
      </c>
      <c r="W416" s="10"/>
      <c r="X416" s="10"/>
      <c r="Y416" s="14" t="str">
        <f>IFERROR(__xludf.DUMMYFUNCTION("""COMPUTED_VALUE"""),"chahmad0262@gmail.com")</f>
        <v>chahmad0262@gmail.com</v>
      </c>
      <c r="AA416" s="324"/>
    </row>
    <row r="417" hidden="1">
      <c r="A417" s="9">
        <f>IFERROR(__xludf.DUMMYFUNCTION("""COMPUTED_VALUE"""),45870.23085902778)</f>
        <v>45870.23086</v>
      </c>
      <c r="B417" s="10" t="str">
        <f>IFERROR(__xludf.DUMMYFUNCTION("""COMPUTED_VALUE"""),"Hamza Arif")</f>
        <v>Hamza Arif</v>
      </c>
      <c r="C417" s="10" t="str">
        <f>IFERROR(__xludf.DUMMYFUNCTION("""COMPUTED_VALUE"""),"03072633573")</f>
        <v>03072633573</v>
      </c>
      <c r="D417" s="10" t="str">
        <f>IFERROR(__xludf.DUMMYFUNCTION("""COMPUTED_VALUE"""),"Jamia masjid Nizamat RYK")</f>
        <v>Jamia masjid Nizamat RYK</v>
      </c>
      <c r="E417" s="10" t="str">
        <f>IFERROR(__xludf.DUMMYFUNCTION("""COMPUTED_VALUE"""),"XXFOS")</f>
        <v>XXFOS</v>
      </c>
      <c r="F417" s="10">
        <f>IFERROR(__xludf.DUMMYFUNCTION("""COMPUTED_VALUE"""),995.0)</f>
        <v>995</v>
      </c>
      <c r="G417" s="10">
        <f>IFERROR(__xludf.DUMMYFUNCTION("""COMPUTED_VALUE"""),7.0)</f>
        <v>7</v>
      </c>
      <c r="H417" s="10">
        <f>IFERROR(__xludf.DUMMYFUNCTION("""COMPUTED_VALUE"""),9.0)</f>
        <v>9</v>
      </c>
      <c r="I417" s="10">
        <f>IFERROR(__xludf.DUMMYFUNCTION("""COMPUTED_VALUE"""),1.0)</f>
        <v>1</v>
      </c>
      <c r="J417" s="10"/>
      <c r="K417" s="10"/>
      <c r="L417" s="10"/>
      <c r="M417" s="10">
        <f>IFERROR(__xludf.DUMMYFUNCTION("""COMPUTED_VALUE"""),9.0)</f>
        <v>9</v>
      </c>
      <c r="N417" s="10"/>
      <c r="O417" s="10"/>
      <c r="P417" s="10"/>
      <c r="Q417" s="10"/>
      <c r="R417" s="10"/>
      <c r="S417" s="10"/>
      <c r="T417" s="10"/>
      <c r="U417" s="18" t="str">
        <f>IFERROR(__xludf.DUMMYFUNCTION("""COMPUTED_VALUE"""),"https://drive.google.com/open?id=1tnH_Wh92IUrdClWxqh9isYYl3CYJv6ua")</f>
        <v>https://drive.google.com/open?id=1tnH_Wh92IUrdClWxqh9isYYl3CYJv6ua</v>
      </c>
      <c r="V417" s="10" t="str">
        <f>IFERROR(__xludf.DUMMYFUNCTION("""COMPUTED_VALUE"""),"Nothing ")</f>
        <v>Nothing </v>
      </c>
      <c r="W417" s="10"/>
      <c r="X417" s="10"/>
      <c r="Y417" s="14" t="str">
        <f>IFERROR(__xludf.DUMMYFUNCTION("""COMPUTED_VALUE"""),"hamzadhillon18@gmail.com")</f>
        <v>hamzadhillon18@gmail.com</v>
      </c>
      <c r="AA417" s="324"/>
    </row>
    <row r="418" hidden="1">
      <c r="A418" s="9">
        <f>IFERROR(__xludf.DUMMYFUNCTION("""COMPUTED_VALUE"""),45870.235648263886)</f>
        <v>45870.23565</v>
      </c>
      <c r="B418" s="10" t="str">
        <f>IFERROR(__xludf.DUMMYFUNCTION("""COMPUTED_VALUE"""),"Muhammad Waseem abbas ")</f>
        <v>Muhammad Waseem abbas </v>
      </c>
      <c r="C418" s="10" t="str">
        <f>IFERROR(__xludf.DUMMYFUNCTION("""COMPUTED_VALUE"""),"03313211092")</f>
        <v>03313211092</v>
      </c>
      <c r="D418" s="10" t="str">
        <f>IFERROR(__xludf.DUMMYFUNCTION("""COMPUTED_VALUE"""),"Jamia masjid Azeem ul Deen daolat gate ")</f>
        <v>Jamia masjid Azeem ul Deen daolat gate </v>
      </c>
      <c r="E418" s="10" t="str">
        <f>IFERROR(__xludf.DUMMYFUNCTION("""COMPUTED_VALUE"""),"PXSPV")</f>
        <v>PXSPV</v>
      </c>
      <c r="F418" s="10">
        <f>IFERROR(__xludf.DUMMYFUNCTION("""COMPUTED_VALUE"""),38.0)</f>
        <v>38</v>
      </c>
      <c r="G418" s="10">
        <f>IFERROR(__xludf.DUMMYFUNCTION("""COMPUTED_VALUE"""),10.0)</f>
        <v>10</v>
      </c>
      <c r="H418" s="10">
        <f>IFERROR(__xludf.DUMMYFUNCTION("""COMPUTED_VALUE"""),10.0)</f>
        <v>10</v>
      </c>
      <c r="I418" s="10">
        <f>IFERROR(__xludf.DUMMYFUNCTION("""COMPUTED_VALUE"""),1.0)</f>
        <v>1</v>
      </c>
      <c r="J418" s="10"/>
      <c r="K418" s="10"/>
      <c r="L418" s="10"/>
      <c r="M418" s="10">
        <f>IFERROR(__xludf.DUMMYFUNCTION("""COMPUTED_VALUE"""),10.0)</f>
        <v>10</v>
      </c>
      <c r="N418" s="10"/>
      <c r="O418" s="10"/>
      <c r="P418" s="10"/>
      <c r="Q418" s="10"/>
      <c r="R418" s="10"/>
      <c r="S418" s="10"/>
      <c r="T418" s="10"/>
      <c r="U418" s="18" t="str">
        <f>IFERROR(__xludf.DUMMYFUNCTION("""COMPUTED_VALUE"""),"https://drive.google.com/open?id=1u5hQMY7Gfkk22UdgfiarPq1gKTgw7LAB")</f>
        <v>https://drive.google.com/open?id=1u5hQMY7Gfkk22UdgfiarPq1gKTgw7LAB</v>
      </c>
      <c r="V418" s="10"/>
      <c r="W418" s="10"/>
      <c r="X418" s="10"/>
      <c r="Y418" s="14" t="str">
        <f>IFERROR(__xludf.DUMMYFUNCTION("""COMPUTED_VALUE"""),"haiderwasem@gmail.com")</f>
        <v>haiderwasem@gmail.com</v>
      </c>
      <c r="AA418" s="324"/>
    </row>
    <row r="419" hidden="1">
      <c r="A419" s="9">
        <f>IFERROR(__xludf.DUMMYFUNCTION("""COMPUTED_VALUE"""),45870.238488229166)</f>
        <v>45870.23849</v>
      </c>
      <c r="B419" s="10" t="str">
        <f>IFERROR(__xludf.DUMMYFUNCTION("""COMPUTED_VALUE"""),"Amir manzoor ")</f>
        <v>Amir manzoor </v>
      </c>
      <c r="C419" s="10" t="str">
        <f>IFERROR(__xludf.DUMMYFUNCTION("""COMPUTED_VALUE"""),"03045969137")</f>
        <v>03045969137</v>
      </c>
      <c r="D419" s="10" t="str">
        <f>IFERROR(__xludf.DUMMYFUNCTION("""COMPUTED_VALUE"""),"Masjid Neel garan ")</f>
        <v>Masjid Neel garan </v>
      </c>
      <c r="E419" s="10" t="str">
        <f>IFERROR(__xludf.DUMMYFUNCTION("""COMPUTED_VALUE"""),"HJRMQ ")</f>
        <v>HJRMQ </v>
      </c>
      <c r="F419" s="10">
        <f>IFERROR(__xludf.DUMMYFUNCTION("""COMPUTED_VALUE"""),98.0)</f>
        <v>98</v>
      </c>
      <c r="G419" s="10">
        <f>IFERROR(__xludf.DUMMYFUNCTION("""COMPUTED_VALUE"""),8.0)</f>
        <v>8</v>
      </c>
      <c r="H419" s="10">
        <f>IFERROR(__xludf.DUMMYFUNCTION("""COMPUTED_VALUE"""),8.0)</f>
        <v>8</v>
      </c>
      <c r="I419" s="10">
        <f>IFERROR(__xludf.DUMMYFUNCTION("""COMPUTED_VALUE"""),2.0)</f>
        <v>2</v>
      </c>
      <c r="J419" s="10"/>
      <c r="K419" s="10"/>
      <c r="L419" s="10"/>
      <c r="M419" s="10">
        <f>IFERROR(__xludf.DUMMYFUNCTION("""COMPUTED_VALUE"""),8.0)</f>
        <v>8</v>
      </c>
      <c r="N419" s="10"/>
      <c r="O419" s="10"/>
      <c r="P419" s="10"/>
      <c r="Q419" s="10"/>
      <c r="R419" s="10"/>
      <c r="S419" s="10"/>
      <c r="T419" s="10"/>
      <c r="U419" s="18" t="str">
        <f>IFERROR(__xludf.DUMMYFUNCTION("""COMPUTED_VALUE"""),"https://drive.google.com/open?id=1lGJmeQfJhWJZGAlu-yGw8B7Xc7y1xNpa")</f>
        <v>https://drive.google.com/open?id=1lGJmeQfJhWJZGAlu-yGw8B7Xc7y1xNpa</v>
      </c>
      <c r="V419" s="10"/>
      <c r="W419" s="10"/>
      <c r="X419" s="10"/>
      <c r="Y419" s="14" t="str">
        <f>IFERROR(__xludf.DUMMYFUNCTION("""COMPUTED_VALUE"""),"am6060648@gmail.com")</f>
        <v>am6060648@gmail.com</v>
      </c>
      <c r="AA419" s="324"/>
    </row>
    <row r="420" hidden="1">
      <c r="A420" s="9">
        <f>IFERROR(__xludf.DUMMYFUNCTION("""COMPUTED_VALUE"""),45870.24126435185)</f>
        <v>45870.24126</v>
      </c>
      <c r="B420" s="10" t="str">
        <f>IFERROR(__xludf.DUMMYFUNCTION("""COMPUTED_VALUE"""),"M imran")</f>
        <v>M imran</v>
      </c>
      <c r="C420" s="10" t="str">
        <f>IFERROR(__xludf.DUMMYFUNCTION("""COMPUTED_VALUE"""),"03017561003")</f>
        <v>03017561003</v>
      </c>
      <c r="D420" s="10" t="str">
        <f>IFERROR(__xludf.DUMMYFUNCTION("""COMPUTED_VALUE"""),"Jamia masjid Kareem khan")</f>
        <v>Jamia masjid Kareem khan</v>
      </c>
      <c r="E420" s="10" t="str">
        <f>IFERROR(__xludf.DUMMYFUNCTION("""COMPUTED_VALUE"""),"LIRQW")</f>
        <v>LIRQW</v>
      </c>
      <c r="F420" s="10">
        <f>IFERROR(__xludf.DUMMYFUNCTION("""COMPUTED_VALUE"""),113.0)</f>
        <v>113</v>
      </c>
      <c r="G420" s="10">
        <f>IFERROR(__xludf.DUMMYFUNCTION("""COMPUTED_VALUE"""),8.0)</f>
        <v>8</v>
      </c>
      <c r="H420" s="10">
        <f>IFERROR(__xludf.DUMMYFUNCTION("""COMPUTED_VALUE"""),8.0)</f>
        <v>8</v>
      </c>
      <c r="I420" s="10">
        <f>IFERROR(__xludf.DUMMYFUNCTION("""COMPUTED_VALUE"""),0.0)</f>
        <v>0</v>
      </c>
      <c r="J420" s="10"/>
      <c r="K420" s="10"/>
      <c r="L420" s="10"/>
      <c r="M420" s="10">
        <f>IFERROR(__xludf.DUMMYFUNCTION("""COMPUTED_VALUE"""),10.0)</f>
        <v>10</v>
      </c>
      <c r="N420" s="10"/>
      <c r="O420" s="10"/>
      <c r="P420" s="10"/>
      <c r="Q420" s="10"/>
      <c r="R420" s="10"/>
      <c r="S420" s="10"/>
      <c r="T420" s="10"/>
      <c r="U420" s="18" t="str">
        <f>IFERROR(__xludf.DUMMYFUNCTION("""COMPUTED_VALUE"""),"https://drive.google.com/open?id=1ycGVqwwmojsx4OIXqMn8Pbwr8MqutQDb")</f>
        <v>https://drive.google.com/open?id=1ycGVqwwmojsx4OIXqMn8Pbwr8MqutQDb</v>
      </c>
      <c r="V420" s="10" t="str">
        <f>IFERROR(__xludf.DUMMYFUNCTION("""COMPUTED_VALUE"""),"Not inform qari sb about khutba today
Inform naib qari Hussain ")</f>
        <v>Not inform qari sb about khutba today
Inform naib qari Hussain </v>
      </c>
      <c r="W420" s="10"/>
      <c r="X420" s="10"/>
      <c r="Y420" s="14" t="str">
        <f>IFERROR(__xludf.DUMMYFUNCTION("""COMPUTED_VALUE"""),"i7561003@gmail.com")</f>
        <v>i7561003@gmail.com</v>
      </c>
      <c r="AA420" s="324"/>
    </row>
    <row r="421" hidden="1">
      <c r="A421" s="9">
        <f>IFERROR(__xludf.DUMMYFUNCTION("""COMPUTED_VALUE"""),45870.242042199076)</f>
        <v>45870.24204</v>
      </c>
      <c r="B421" s="10" t="str">
        <f>IFERROR(__xludf.DUMMYFUNCTION("""COMPUTED_VALUE"""),"Shoaib Ahmad ")</f>
        <v>Shoaib Ahmad </v>
      </c>
      <c r="C421" s="10">
        <f>IFERROR(__xludf.DUMMYFUNCTION("""COMPUTED_VALUE"""),3.006745467E9)</f>
        <v>3006745467</v>
      </c>
      <c r="D421" s="10" t="str">
        <f>IFERROR(__xludf.DUMMYFUNCTION("""COMPUTED_VALUE"""),"Jamia Masjid Goth Aalu Sadicabad ")</f>
        <v>Jamia Masjid Goth Aalu Sadicabad </v>
      </c>
      <c r="E421" s="10" t="str">
        <f>IFERROR(__xludf.DUMMYFUNCTION("""COMPUTED_VALUE"""),"TEBUN")</f>
        <v>TEBUN</v>
      </c>
      <c r="F421" s="10">
        <f>IFERROR(__xludf.DUMMYFUNCTION("""COMPUTED_VALUE"""),41.0)</f>
        <v>41</v>
      </c>
      <c r="G421" s="10">
        <f>IFERROR(__xludf.DUMMYFUNCTION("""COMPUTED_VALUE"""),5.0)</f>
        <v>5</v>
      </c>
      <c r="H421" s="10">
        <f>IFERROR(__xludf.DUMMYFUNCTION("""COMPUTED_VALUE"""),4.0)</f>
        <v>4</v>
      </c>
      <c r="I421" s="10">
        <f>IFERROR(__xludf.DUMMYFUNCTION("""COMPUTED_VALUE"""),3.0)</f>
        <v>3</v>
      </c>
      <c r="J421" s="10"/>
      <c r="K421" s="10"/>
      <c r="L421" s="10"/>
      <c r="M421" s="10">
        <f>IFERROR(__xludf.DUMMYFUNCTION("""COMPUTED_VALUE"""),6.0)</f>
        <v>6</v>
      </c>
      <c r="N421" s="10"/>
      <c r="O421" s="10"/>
      <c r="P421" s="10"/>
      <c r="Q421" s="10"/>
      <c r="R421" s="10"/>
      <c r="S421" s="10"/>
      <c r="T421" s="10"/>
      <c r="U421" s="18" t="str">
        <f>IFERROR(__xludf.DUMMYFUNCTION("""COMPUTED_VALUE"""),"https://drive.google.com/open?id=19JQUDrbSGyqikN9uzHI9n8oLKAwLC4A_")</f>
        <v>https://drive.google.com/open?id=19JQUDrbSGyqikN9uzHI9n8oLKAwLC4A_</v>
      </c>
      <c r="V421" s="10" t="str">
        <f>IFERROR(__xludf.DUMMYFUNCTION("""COMPUTED_VALUE"""),"Is Area mai Internet ka issue hai. Isi liye Data behjne ke liye main road pe jana parta hai")</f>
        <v>Is Area mai Internet ka issue hai. Isi liye Data behjne ke liye main road pe jana parta hai</v>
      </c>
      <c r="W421" s="10"/>
      <c r="X421" s="10"/>
      <c r="Y421" s="14" t="str">
        <f>IFERROR(__xludf.DUMMYFUNCTION("""COMPUTED_VALUE"""),"threealfa89@gmail.com")</f>
        <v>threealfa89@gmail.com</v>
      </c>
      <c r="AA421" s="324"/>
    </row>
    <row r="422" hidden="1">
      <c r="A422" s="9">
        <f>IFERROR(__xludf.DUMMYFUNCTION("""COMPUTED_VALUE"""),45870.24508979167)</f>
        <v>45870.24509</v>
      </c>
      <c r="B422" s="10" t="str">
        <f>IFERROR(__xludf.DUMMYFUNCTION("""COMPUTED_VALUE"""),"Muhammad Waseem ")</f>
        <v>Muhammad Waseem </v>
      </c>
      <c r="C422" s="10" t="str">
        <f>IFERROR(__xludf.DUMMYFUNCTION("""COMPUTED_VALUE"""),"03467041520")</f>
        <v>03467041520</v>
      </c>
      <c r="D422" s="10" t="str">
        <f>IFERROR(__xludf.DUMMYFUNCTION("""COMPUTED_VALUE"""),"Jamiya Masjid Peer Ismail wali ")</f>
        <v>Jamiya Masjid Peer Ismail wali </v>
      </c>
      <c r="E422" s="10" t="str">
        <f>IFERROR(__xludf.DUMMYFUNCTION("""COMPUTED_VALUE"""),"DYRJS ")</f>
        <v>DYRJS </v>
      </c>
      <c r="F422" s="10">
        <f>IFERROR(__xludf.DUMMYFUNCTION("""COMPUTED_VALUE"""),120.0)</f>
        <v>120</v>
      </c>
      <c r="G422" s="10">
        <f>IFERROR(__xludf.DUMMYFUNCTION("""COMPUTED_VALUE"""),8.0)</f>
        <v>8</v>
      </c>
      <c r="H422" s="10">
        <f>IFERROR(__xludf.DUMMYFUNCTION("""COMPUTED_VALUE"""),7.0)</f>
        <v>7</v>
      </c>
      <c r="I422" s="10">
        <f>IFERROR(__xludf.DUMMYFUNCTION("""COMPUTED_VALUE"""),2.0)</f>
        <v>2</v>
      </c>
      <c r="J422" s="10"/>
      <c r="K422" s="10"/>
      <c r="L422" s="10"/>
      <c r="M422" s="10">
        <f>IFERROR(__xludf.DUMMYFUNCTION("""COMPUTED_VALUE"""),9.0)</f>
        <v>9</v>
      </c>
      <c r="N422" s="10"/>
      <c r="O422" s="10"/>
      <c r="P422" s="10"/>
      <c r="Q422" s="10"/>
      <c r="R422" s="10"/>
      <c r="S422" s="10"/>
      <c r="T422" s="10"/>
      <c r="U422" s="18" t="str">
        <f>IFERROR(__xludf.DUMMYFUNCTION("""COMPUTED_VALUE"""),"https://drive.google.com/open?id=1rEN9OlRlAHpBerNvADTC5Vdq6QWfGvZo")</f>
        <v>https://drive.google.com/open?id=1rEN9OlRlAHpBerNvADTC5Vdq6QWfGvZo</v>
      </c>
      <c r="V422" s="10" t="str">
        <f>IFERROR(__xludf.DUMMYFUNCTION("""COMPUTED_VALUE"""),"No problem ")</f>
        <v>No problem </v>
      </c>
      <c r="W422" s="10"/>
      <c r="X422" s="10"/>
      <c r="Y422" s="14" t="str">
        <f>IFERROR(__xludf.DUMMYFUNCTION("""COMPUTED_VALUE"""),"wasirana1520@gmail.com")</f>
        <v>wasirana1520@gmail.com</v>
      </c>
      <c r="AA422" s="324"/>
    </row>
    <row r="423" hidden="1">
      <c r="A423" s="9">
        <f>IFERROR(__xludf.DUMMYFUNCTION("""COMPUTED_VALUE"""),45870.252719641205)</f>
        <v>45870.25272</v>
      </c>
      <c r="B423" s="10" t="str">
        <f>IFERROR(__xludf.DUMMYFUNCTION("""COMPUTED_VALUE"""),"M. Tariq")</f>
        <v>M. Tariq</v>
      </c>
      <c r="C423" s="10" t="str">
        <f>IFERROR(__xludf.DUMMYFUNCTION("""COMPUTED_VALUE"""),"03112643273")</f>
        <v>03112643273</v>
      </c>
      <c r="D423" s="10" t="str">
        <f>IFERROR(__xludf.DUMMYFUNCTION("""COMPUTED_VALUE"""),"Jamia masjid kocha gull Hassan shahi Bazar bwp")</f>
        <v>Jamia masjid kocha gull Hassan shahi Bazar bwp</v>
      </c>
      <c r="E423" s="10" t="str">
        <f>IFERROR(__xludf.DUMMYFUNCTION("""COMPUTED_VALUE"""),"REIMC")</f>
        <v>REIMC</v>
      </c>
      <c r="F423" s="10">
        <f>IFERROR(__xludf.DUMMYFUNCTION("""COMPUTED_VALUE"""),176.0)</f>
        <v>176</v>
      </c>
      <c r="G423" s="10">
        <f>IFERROR(__xludf.DUMMYFUNCTION("""COMPUTED_VALUE"""),9.0)</f>
        <v>9</v>
      </c>
      <c r="H423" s="10">
        <f>IFERROR(__xludf.DUMMYFUNCTION("""COMPUTED_VALUE"""),8.0)</f>
        <v>8</v>
      </c>
      <c r="I423" s="10">
        <f>IFERROR(__xludf.DUMMYFUNCTION("""COMPUTED_VALUE"""),1.0)</f>
        <v>1</v>
      </c>
      <c r="J423" s="10"/>
      <c r="K423" s="10"/>
      <c r="L423" s="10"/>
      <c r="M423" s="10">
        <f>IFERROR(__xludf.DUMMYFUNCTION("""COMPUTED_VALUE"""),10.0)</f>
        <v>10</v>
      </c>
      <c r="N423" s="10"/>
      <c r="O423" s="10"/>
      <c r="P423" s="10"/>
      <c r="Q423" s="10"/>
      <c r="R423" s="10"/>
      <c r="S423" s="10"/>
      <c r="T423" s="10"/>
      <c r="U423" s="18" t="str">
        <f>IFERROR(__xludf.DUMMYFUNCTION("""COMPUTED_VALUE"""),"https://drive.google.com/open?id=1MrjFtVcfLZ3JoajGU3Etyj459lE7KTmx")</f>
        <v>https://drive.google.com/open?id=1MrjFtVcfLZ3JoajGU3Etyj459lE7KTmx</v>
      </c>
      <c r="V423" s="10"/>
      <c r="W423" s="10"/>
      <c r="X423" s="10"/>
      <c r="Y423" s="14" t="str">
        <f>IFERROR(__xludf.DUMMYFUNCTION("""COMPUTED_VALUE"""),"panwartareq@gmail.com")</f>
        <v>panwartareq@gmail.com</v>
      </c>
      <c r="AA423" s="324"/>
    </row>
    <row r="424" hidden="1">
      <c r="A424" s="9">
        <f>IFERROR(__xludf.DUMMYFUNCTION("""COMPUTED_VALUE"""),45870.25740199074)</f>
        <v>45870.2574</v>
      </c>
      <c r="B424" s="10" t="str">
        <f>IFERROR(__xludf.DUMMYFUNCTION("""COMPUTED_VALUE"""),"M.usama Hanan")</f>
        <v>M.usama Hanan</v>
      </c>
      <c r="C424" s="10" t="str">
        <f>IFERROR(__xludf.DUMMYFUNCTION("""COMPUTED_VALUE"""),"03088678762")</f>
        <v>03088678762</v>
      </c>
      <c r="D424" s="10" t="str">
        <f>IFERROR(__xludf.DUMMYFUNCTION("""COMPUTED_VALUE"""),"Jamia Masjid sarai ghulam rasool")</f>
        <v>Jamia Masjid sarai ghulam rasool</v>
      </c>
      <c r="E424" s="10" t="str">
        <f>IFERROR(__xludf.DUMMYFUNCTION("""COMPUTED_VALUE"""),"JBEID")</f>
        <v>JBEID</v>
      </c>
      <c r="F424" s="10">
        <f>IFERROR(__xludf.DUMMYFUNCTION("""COMPUTED_VALUE"""),92.0)</f>
        <v>92</v>
      </c>
      <c r="G424" s="10">
        <f>IFERROR(__xludf.DUMMYFUNCTION("""COMPUTED_VALUE"""),6.0)</f>
        <v>6</v>
      </c>
      <c r="H424" s="10">
        <f>IFERROR(__xludf.DUMMYFUNCTION("""COMPUTED_VALUE"""),5.0)</f>
        <v>5</v>
      </c>
      <c r="I424" s="10">
        <f>IFERROR(__xludf.DUMMYFUNCTION("""COMPUTED_VALUE"""),12.0)</f>
        <v>12</v>
      </c>
      <c r="J424" s="10"/>
      <c r="K424" s="10"/>
      <c r="L424" s="10"/>
      <c r="M424" s="10">
        <f>IFERROR(__xludf.DUMMYFUNCTION("""COMPUTED_VALUE"""),9.0)</f>
        <v>9</v>
      </c>
      <c r="N424" s="10"/>
      <c r="O424" s="10"/>
      <c r="P424" s="10"/>
      <c r="Q424" s="10"/>
      <c r="R424" s="10"/>
      <c r="S424" s="10"/>
      <c r="T424" s="10"/>
      <c r="U424" s="18" t="str">
        <f>IFERROR(__xludf.DUMMYFUNCTION("""COMPUTED_VALUE"""),"https://drive.google.com/file/d/1FV_RVeUvO2ymlmKFEUEU6MF4piuM3MOd/view?usp=drive_link")</f>
        <v>https://drive.google.com/file/d/1FV_RVeUvO2ymlmKFEUEU6MF4piuM3MOd/view?usp=drive_link</v>
      </c>
      <c r="V424" s="10"/>
      <c r="W424" s="10"/>
      <c r="X424" s="10"/>
      <c r="Y424" s="14" t="str">
        <f>IFERROR(__xludf.DUMMYFUNCTION("""COMPUTED_VALUE"""),"hananusama064@gmail.com")</f>
        <v>hananusama064@gmail.com</v>
      </c>
      <c r="AA424" s="324"/>
    </row>
    <row r="425" hidden="1">
      <c r="A425" s="9">
        <f>IFERROR(__xludf.DUMMYFUNCTION("""COMPUTED_VALUE"""),45870.257647245366)</f>
        <v>45870.25765</v>
      </c>
      <c r="B425" s="10" t="str">
        <f>IFERROR(__xludf.DUMMYFUNCTION("""COMPUTED_VALUE"""),"Sheraz Abbas")</f>
        <v>Sheraz Abbas</v>
      </c>
      <c r="C425" s="10" t="str">
        <f>IFERROR(__xludf.DUMMYFUNCTION("""COMPUTED_VALUE"""),"03091519138")</f>
        <v>03091519138</v>
      </c>
      <c r="D425" s="10" t="str">
        <f>IFERROR(__xludf.DUMMYFUNCTION("""COMPUTED_VALUE"""),"وہاں نام نہہں لکھا گیا")</f>
        <v>وہاں نام نہہں لکھا گیا</v>
      </c>
      <c r="E425" s="10" t="str">
        <f>IFERROR(__xludf.DUMMYFUNCTION("""COMPUTED_VALUE"""),"NLHTW")</f>
        <v>NLHTW</v>
      </c>
      <c r="F425" s="10">
        <f>IFERROR(__xludf.DUMMYFUNCTION("""COMPUTED_VALUE"""),52.0)</f>
        <v>52</v>
      </c>
      <c r="G425" s="10">
        <f>IFERROR(__xludf.DUMMYFUNCTION("""COMPUTED_VALUE"""),9.0)</f>
        <v>9</v>
      </c>
      <c r="H425" s="10">
        <f>IFERROR(__xludf.DUMMYFUNCTION("""COMPUTED_VALUE"""),8.0)</f>
        <v>8</v>
      </c>
      <c r="I425" s="10" t="str">
        <f>IFERROR(__xludf.DUMMYFUNCTION("""COMPUTED_VALUE"""),"کچرا کا ڈھیر تو نہں تھا لیکن، تھوڑی تھوڑی گندگی تھی")</f>
        <v>کچرا کا ڈھیر تو نہں تھا لیکن، تھوڑی تھوڑی گندگی تھی</v>
      </c>
      <c r="J425" s="10"/>
      <c r="K425" s="10"/>
      <c r="L425" s="10"/>
      <c r="M425" s="10">
        <f>IFERROR(__xludf.DUMMYFUNCTION("""COMPUTED_VALUE"""),8.0)</f>
        <v>8</v>
      </c>
      <c r="N425" s="10"/>
      <c r="O425" s="10"/>
      <c r="P425" s="10"/>
      <c r="Q425" s="10"/>
      <c r="R425" s="10"/>
      <c r="S425" s="10"/>
      <c r="T425" s="10"/>
      <c r="U425" s="18" t="str">
        <f>IFERROR(__xludf.DUMMYFUNCTION("""COMPUTED_VALUE"""),"https://drive.google.com/open?id=1wH-mO-NKLsewVWTCohIwBAjPiSSL7Oem")</f>
        <v>https://drive.google.com/open?id=1wH-mO-NKLsewVWTCohIwBAjPiSSL7Oem</v>
      </c>
      <c r="V425" s="10" t="str">
        <f>IFERROR(__xludf.DUMMYFUNCTION("""COMPUTED_VALUE"""),"سپیکر کی کمی، ایک سپیکر ہے۔ جو کلیر اواز نہہں دیتا")</f>
        <v>سپیکر کی کمی، ایک سپیکر ہے۔ جو کلیر اواز نہہں دیتا</v>
      </c>
      <c r="W425" s="10"/>
      <c r="X425" s="10"/>
      <c r="Y425" s="14" t="str">
        <f>IFERROR(__xludf.DUMMYFUNCTION("""COMPUTED_VALUE"""),"sakhan122004@gmail.com")</f>
        <v>sakhan122004@gmail.com</v>
      </c>
      <c r="AA425" s="324"/>
    </row>
    <row r="426" hidden="1">
      <c r="A426" s="9">
        <f>IFERROR(__xludf.DUMMYFUNCTION("""COMPUTED_VALUE"""),45870.258017615735)</f>
        <v>45870.25802</v>
      </c>
      <c r="B426" s="10" t="str">
        <f>IFERROR(__xludf.DUMMYFUNCTION("""COMPUTED_VALUE"""),"سلیمان جاوید")</f>
        <v>سلیمان جاوید</v>
      </c>
      <c r="C426" s="10" t="str">
        <f>IFERROR(__xludf.DUMMYFUNCTION("""COMPUTED_VALUE"""),"03097851782")</f>
        <v>03097851782</v>
      </c>
      <c r="D426" s="10" t="str">
        <f>IFERROR(__xludf.DUMMYFUNCTION("""COMPUTED_VALUE"""),"قاضیاں والی مسجد")</f>
        <v>قاضیاں والی مسجد</v>
      </c>
      <c r="E426" s="10" t="str">
        <f>IFERROR(__xludf.DUMMYFUNCTION("""COMPUTED_VALUE"""),"XIINW ")</f>
        <v>XIINW </v>
      </c>
      <c r="F426" s="10">
        <f>IFERROR(__xludf.DUMMYFUNCTION("""COMPUTED_VALUE"""),157.0)</f>
        <v>157</v>
      </c>
      <c r="G426" s="10">
        <f>IFERROR(__xludf.DUMMYFUNCTION("""COMPUTED_VALUE"""),8.0)</f>
        <v>8</v>
      </c>
      <c r="H426" s="10">
        <f>IFERROR(__xludf.DUMMYFUNCTION("""COMPUTED_VALUE"""),5.0)</f>
        <v>5</v>
      </c>
      <c r="I426" s="10">
        <f>IFERROR(__xludf.DUMMYFUNCTION("""COMPUTED_VALUE"""),2.0)</f>
        <v>2</v>
      </c>
      <c r="J426" s="10"/>
      <c r="K426" s="10"/>
      <c r="L426" s="10"/>
      <c r="M426" s="10">
        <f>IFERROR(__xludf.DUMMYFUNCTION("""COMPUTED_VALUE"""),7.0)</f>
        <v>7</v>
      </c>
      <c r="N426" s="10"/>
      <c r="O426" s="10"/>
      <c r="P426" s="10"/>
      <c r="Q426" s="10"/>
      <c r="R426" s="10"/>
      <c r="S426" s="10"/>
      <c r="T426" s="10"/>
      <c r="U426" s="18" t="str">
        <f>IFERROR(__xludf.DUMMYFUNCTION("""COMPUTED_VALUE"""),"https://drive.google.com/open?id=1knmWj3_vqpqEYE4LGLdpMJ_KvfQkbGJ-")</f>
        <v>https://drive.google.com/open?id=1knmWj3_vqpqEYE4LGLdpMJ_KvfQkbGJ-</v>
      </c>
      <c r="V426" s="10" t="str">
        <f>IFERROR(__xludf.DUMMYFUNCTION("""COMPUTED_VALUE"""),"مسجد کے باہر صفائی کی ضرورت ہے ")</f>
        <v>مسجد کے باہر صفائی کی ضرورت ہے </v>
      </c>
      <c r="W426" s="10"/>
      <c r="X426" s="10"/>
      <c r="Y426" s="14" t="str">
        <f>IFERROR(__xludf.DUMMYFUNCTION("""COMPUTED_VALUE"""),"sulemanjaveed741@gmail.com")</f>
        <v>sulemanjaveed741@gmail.com</v>
      </c>
      <c r="AA426" s="324"/>
    </row>
    <row r="427" hidden="1">
      <c r="A427" s="9">
        <f>IFERROR(__xludf.DUMMYFUNCTION("""COMPUTED_VALUE"""),45870.25808240741)</f>
        <v>45870.25808</v>
      </c>
      <c r="B427" s="10" t="str">
        <f>IFERROR(__xludf.DUMMYFUNCTION("""COMPUTED_VALUE"""),"Muhammad Haris ")</f>
        <v>Muhammad Haris </v>
      </c>
      <c r="C427" s="10" t="str">
        <f>IFERROR(__xludf.DUMMYFUNCTION("""COMPUTED_VALUE"""),"03204565224")</f>
        <v>03204565224</v>
      </c>
      <c r="D427" s="10" t="str">
        <f>IFERROR(__xludf.DUMMYFUNCTION("""COMPUTED_VALUE"""),"Jamia Masjid Shah Shamas Qadri Lahore ")</f>
        <v>Jamia Masjid Shah Shamas Qadri Lahore </v>
      </c>
      <c r="E427" s="10" t="str">
        <f>IFERROR(__xludf.DUMMYFUNCTION("""COMPUTED_VALUE"""),"rhlwr")</f>
        <v>rhlwr</v>
      </c>
      <c r="F427" s="10">
        <f>IFERROR(__xludf.DUMMYFUNCTION("""COMPUTED_VALUE"""),155.0)</f>
        <v>155</v>
      </c>
      <c r="G427" s="10">
        <f>IFERROR(__xludf.DUMMYFUNCTION("""COMPUTED_VALUE"""),8.0)</f>
        <v>8</v>
      </c>
      <c r="H427" s="10">
        <f>IFERROR(__xludf.DUMMYFUNCTION("""COMPUTED_VALUE"""),8.0)</f>
        <v>8</v>
      </c>
      <c r="I427" s="10">
        <f>IFERROR(__xludf.DUMMYFUNCTION("""COMPUTED_VALUE"""),1.0)</f>
        <v>1</v>
      </c>
      <c r="J427" s="10"/>
      <c r="K427" s="10"/>
      <c r="L427" s="10"/>
      <c r="M427" s="10">
        <f>IFERROR(__xludf.DUMMYFUNCTION("""COMPUTED_VALUE"""),8.0)</f>
        <v>8</v>
      </c>
      <c r="N427" s="10"/>
      <c r="O427" s="10"/>
      <c r="P427" s="10"/>
      <c r="Q427" s="10"/>
      <c r="R427" s="10"/>
      <c r="S427" s="10"/>
      <c r="T427" s="10"/>
      <c r="U427" s="18" t="str">
        <f>IFERROR(__xludf.DUMMYFUNCTION("""COMPUTED_VALUE"""),"https://drive.google.com/open?id=1FTokLh63CMcpmK4WsTW0_WvMXBODsiM_")</f>
        <v>https://drive.google.com/open?id=1FTokLh63CMcpmK4WsTW0_WvMXBODsiM_</v>
      </c>
      <c r="V427" s="10"/>
      <c r="W427" s="10"/>
      <c r="X427" s="10"/>
      <c r="Y427" s="14" t="str">
        <f>IFERROR(__xludf.DUMMYFUNCTION("""COMPUTED_VALUE"""),"mianharisamjad284@gmail.com")</f>
        <v>mianharisamjad284@gmail.com</v>
      </c>
      <c r="AA427" s="325">
        <v>3.0</v>
      </c>
    </row>
    <row r="428" hidden="1">
      <c r="A428" s="9">
        <f>IFERROR(__xludf.DUMMYFUNCTION("""COMPUTED_VALUE"""),45870.258954675926)</f>
        <v>45870.25895</v>
      </c>
      <c r="B428" s="10" t="str">
        <f>IFERROR(__xludf.DUMMYFUNCTION("""COMPUTED_VALUE"""),"RIAZ HUSSAIN ")</f>
        <v>RIAZ HUSSAIN </v>
      </c>
      <c r="C428" s="10" t="str">
        <f>IFERROR(__xludf.DUMMYFUNCTION("""COMPUTED_VALUE"""),"03292924404")</f>
        <v>03292924404</v>
      </c>
      <c r="D428" s="10" t="str">
        <f>IFERROR(__xludf.DUMMYFUNCTION("""COMPUTED_VALUE"""),"Jamia Masjid Kumhar Mandi")</f>
        <v>Jamia Masjid Kumhar Mandi</v>
      </c>
      <c r="E428" s="10" t="str">
        <f>IFERROR(__xludf.DUMMYFUNCTION("""COMPUTED_VALUE"""),"HKCEB")</f>
        <v>HKCEB</v>
      </c>
      <c r="F428" s="10">
        <f>IFERROR(__xludf.DUMMYFUNCTION("""COMPUTED_VALUE"""),354.0)</f>
        <v>354</v>
      </c>
      <c r="G428" s="10">
        <f>IFERROR(__xludf.DUMMYFUNCTION("""COMPUTED_VALUE"""),9.0)</f>
        <v>9</v>
      </c>
      <c r="H428" s="10">
        <f>IFERROR(__xludf.DUMMYFUNCTION("""COMPUTED_VALUE"""),8.0)</f>
        <v>8</v>
      </c>
      <c r="I428" s="10">
        <f>IFERROR(__xludf.DUMMYFUNCTION("""COMPUTED_VALUE"""),1.0)</f>
        <v>1</v>
      </c>
      <c r="J428" s="10"/>
      <c r="K428" s="10"/>
      <c r="L428" s="10"/>
      <c r="M428" s="10">
        <f>IFERROR(__xludf.DUMMYFUNCTION("""COMPUTED_VALUE"""),9.0)</f>
        <v>9</v>
      </c>
      <c r="N428" s="10"/>
      <c r="O428" s="10"/>
      <c r="P428" s="10"/>
      <c r="Q428" s="10"/>
      <c r="R428" s="10"/>
      <c r="S428" s="10"/>
      <c r="T428" s="10"/>
      <c r="U428" s="18" t="str">
        <f>IFERROR(__xludf.DUMMYFUNCTION("""COMPUTED_VALUE"""),"https://drive.google.com/open?id=13Uq7OYaCK_xN9bbWSDInkLkP6MemgziU")</f>
        <v>https://drive.google.com/open?id=13Uq7OYaCK_xN9bbWSDInkLkP6MemgziU</v>
      </c>
      <c r="V428" s="10"/>
      <c r="W428" s="10"/>
      <c r="X428" s="10"/>
      <c r="Y428" s="14" t="str">
        <f>IFERROR(__xludf.DUMMYFUNCTION("""COMPUTED_VALUE"""),"shriazhussain141@gmail.com")</f>
        <v>shriazhussain141@gmail.com</v>
      </c>
      <c r="AA428" s="324"/>
    </row>
    <row r="429" hidden="1">
      <c r="A429" s="9">
        <f>IFERROR(__xludf.DUMMYFUNCTION("""COMPUTED_VALUE"""),45870.259784305556)</f>
        <v>45870.25978</v>
      </c>
      <c r="B429" s="10" t="str">
        <f>IFERROR(__xludf.DUMMYFUNCTION("""COMPUTED_VALUE"""),"Muneeb Ahmad")</f>
        <v>Muneeb Ahmad</v>
      </c>
      <c r="C429" s="10" t="str">
        <f>IFERROR(__xludf.DUMMYFUNCTION("""COMPUTED_VALUE"""),"03036505287")</f>
        <v>03036505287</v>
      </c>
      <c r="D429" s="10" t="str">
        <f>IFERROR(__xludf.DUMMYFUNCTION("""COMPUTED_VALUE"""),"Jamia Masjid Madina Bohar Gate")</f>
        <v>Jamia Masjid Madina Bohar Gate</v>
      </c>
      <c r="E429" s="10" t="str">
        <f>IFERROR(__xludf.DUMMYFUNCTION("""COMPUTED_VALUE"""),"UKYKE")</f>
        <v>UKYKE</v>
      </c>
      <c r="F429" s="10">
        <f>IFERROR(__xludf.DUMMYFUNCTION("""COMPUTED_VALUE"""),107.0)</f>
        <v>107</v>
      </c>
      <c r="G429" s="10">
        <f>IFERROR(__xludf.DUMMYFUNCTION("""COMPUTED_VALUE"""),6.0)</f>
        <v>6</v>
      </c>
      <c r="H429" s="10">
        <f>IFERROR(__xludf.DUMMYFUNCTION("""COMPUTED_VALUE"""),5.0)</f>
        <v>5</v>
      </c>
      <c r="I429" s="10">
        <f>IFERROR(__xludf.DUMMYFUNCTION("""COMPUTED_VALUE"""),0.0)</f>
        <v>0</v>
      </c>
      <c r="J429" s="10"/>
      <c r="K429" s="10"/>
      <c r="L429" s="10"/>
      <c r="M429" s="10">
        <f>IFERROR(__xludf.DUMMYFUNCTION("""COMPUTED_VALUE"""),8.0)</f>
        <v>8</v>
      </c>
      <c r="N429" s="10"/>
      <c r="O429" s="10"/>
      <c r="P429" s="10"/>
      <c r="Q429" s="10"/>
      <c r="R429" s="10"/>
      <c r="S429" s="10"/>
      <c r="T429" s="10"/>
      <c r="U429" s="18" t="str">
        <f>IFERROR(__xludf.DUMMYFUNCTION("""COMPUTED_VALUE"""),"https://drive.google.com/open?id=1Xbzmdsq3YYMRukQoYi9IyLEK07kK23lF")</f>
        <v>https://drive.google.com/open?id=1Xbzmdsq3YYMRukQoYi9IyLEK07kK23lF</v>
      </c>
      <c r="V429" s="10" t="str">
        <f>IFERROR(__xludf.DUMMYFUNCTION("""COMPUTED_VALUE"""),"No")</f>
        <v>No</v>
      </c>
      <c r="W429" s="10"/>
      <c r="X429" s="10"/>
      <c r="Y429" s="14" t="str">
        <f>IFERROR(__xludf.DUMMYFUNCTION("""COMPUTED_VALUE"""),"kmkhan@gmail.com")</f>
        <v>kmkhan@gmail.com</v>
      </c>
      <c r="AA429" s="324"/>
    </row>
    <row r="430" hidden="1">
      <c r="A430" s="9">
        <f>IFERROR(__xludf.DUMMYFUNCTION("""COMPUTED_VALUE"""),45870.26039107639)</f>
        <v>45870.26039</v>
      </c>
      <c r="B430" s="10" t="str">
        <f>IFERROR(__xludf.DUMMYFUNCTION("""COMPUTED_VALUE"""),"Muhammad Amin")</f>
        <v>Muhammad Amin</v>
      </c>
      <c r="C430" s="10" t="str">
        <f>IFERROR(__xludf.DUMMYFUNCTION("""COMPUTED_VALUE"""),"0300-7990842")</f>
        <v>0300-7990842</v>
      </c>
      <c r="D430" s="10" t="str">
        <f>IFERROR(__xludf.DUMMYFUNCTION("""COMPUTED_VALUE"""),"Jamia Masjid Kabotar Mandi Multan")</f>
        <v>Jamia Masjid Kabotar Mandi Multan</v>
      </c>
      <c r="E430" s="10" t="str">
        <f>IFERROR(__xludf.DUMMYFUNCTION("""COMPUTED_VALUE"""),"ULEIT")</f>
        <v>ULEIT</v>
      </c>
      <c r="F430" s="10">
        <f>IFERROR(__xludf.DUMMYFUNCTION("""COMPUTED_VALUE"""),179.0)</f>
        <v>179</v>
      </c>
      <c r="G430" s="10">
        <f>IFERROR(__xludf.DUMMYFUNCTION("""COMPUTED_VALUE"""),7.0)</f>
        <v>7</v>
      </c>
      <c r="H430" s="10">
        <f>IFERROR(__xludf.DUMMYFUNCTION("""COMPUTED_VALUE"""),7.0)</f>
        <v>7</v>
      </c>
      <c r="I430" s="10">
        <f>IFERROR(__xludf.DUMMYFUNCTION("""COMPUTED_VALUE"""),2.0)</f>
        <v>2</v>
      </c>
      <c r="J430" s="10"/>
      <c r="K430" s="10"/>
      <c r="L430" s="10"/>
      <c r="M430" s="10">
        <f>IFERROR(__xludf.DUMMYFUNCTION("""COMPUTED_VALUE"""),9.0)</f>
        <v>9</v>
      </c>
      <c r="N430" s="10"/>
      <c r="O430" s="10"/>
      <c r="P430" s="10"/>
      <c r="Q430" s="10"/>
      <c r="R430" s="10"/>
      <c r="S430" s="10"/>
      <c r="T430" s="10"/>
      <c r="U430" s="18" t="str">
        <f>IFERROR(__xludf.DUMMYFUNCTION("""COMPUTED_VALUE"""),"https://drive.google.com/open?id=1Hl5Ko2hq_zOjmcL2Ly_ISctdUaeAK13h")</f>
        <v>https://drive.google.com/open?id=1Hl5Ko2hq_zOjmcL2Ly_ISctdUaeAK13h</v>
      </c>
      <c r="V430" s="10"/>
      <c r="W430" s="10"/>
      <c r="X430" s="10"/>
      <c r="Y430" s="14" t="str">
        <f>IFERROR(__xludf.DUMMYFUNCTION("""COMPUTED_VALUE"""),"ameenmeo799@gmail.com")</f>
        <v>ameenmeo799@gmail.com</v>
      </c>
      <c r="AA430" s="324"/>
    </row>
    <row r="431" hidden="1">
      <c r="A431" s="9">
        <f>IFERROR(__xludf.DUMMYFUNCTION("""COMPUTED_VALUE"""),45870.261751087965)</f>
        <v>45870.26175</v>
      </c>
      <c r="B431" s="10" t="str">
        <f>IFERROR(__xludf.DUMMYFUNCTION("""COMPUTED_VALUE"""),"Bashir Hussain ")</f>
        <v>Bashir Hussain </v>
      </c>
      <c r="C431" s="10" t="str">
        <f>IFERROR(__xludf.DUMMYFUNCTION("""COMPUTED_VALUE"""),"03028762175")</f>
        <v>03028762175</v>
      </c>
      <c r="D431" s="10" t="str">
        <f>IFERROR(__xludf.DUMMYFUNCTION("""COMPUTED_VALUE"""),"Jame Masjid Anayetia Darbar Hazrat  Anaeyt Shah Bukhari")</f>
        <v>Jame Masjid Anayetia Darbar Hazrat  Anaeyt Shah Bukhari</v>
      </c>
      <c r="E431" s="10" t="str">
        <f>IFERROR(__xludf.DUMMYFUNCTION("""COMPUTED_VALUE"""),"GYDMP")</f>
        <v>GYDMP</v>
      </c>
      <c r="F431" s="10">
        <f>IFERROR(__xludf.DUMMYFUNCTION("""COMPUTED_VALUE"""),134.0)</f>
        <v>134</v>
      </c>
      <c r="G431" s="10">
        <f>IFERROR(__xludf.DUMMYFUNCTION("""COMPUTED_VALUE"""),8.0)</f>
        <v>8</v>
      </c>
      <c r="H431" s="10">
        <f>IFERROR(__xludf.DUMMYFUNCTION("""COMPUTED_VALUE"""),8.0)</f>
        <v>8</v>
      </c>
      <c r="I431" s="10">
        <f>IFERROR(__xludf.DUMMYFUNCTION("""COMPUTED_VALUE"""),2.0)</f>
        <v>2</v>
      </c>
      <c r="J431" s="10"/>
      <c r="K431" s="10"/>
      <c r="L431" s="10"/>
      <c r="M431" s="10">
        <f>IFERROR(__xludf.DUMMYFUNCTION("""COMPUTED_VALUE"""),9.0)</f>
        <v>9</v>
      </c>
      <c r="N431" s="10"/>
      <c r="O431" s="10"/>
      <c r="P431" s="10"/>
      <c r="Q431" s="10"/>
      <c r="R431" s="10"/>
      <c r="S431" s="10"/>
      <c r="T431" s="10"/>
      <c r="U431" s="18" t="str">
        <f>IFERROR(__xludf.DUMMYFUNCTION("""COMPUTED_VALUE"""),"https://drive.google.com/open?id=16aZUip6NRiOKVNZHuAWubZIgvlGQNxlG")</f>
        <v>https://drive.google.com/open?id=16aZUip6NRiOKVNZHuAWubZIgvlGQNxlG</v>
      </c>
      <c r="V431" s="10" t="str">
        <f>IFERROR(__xludf.DUMMYFUNCTION("""COMPUTED_VALUE"""),"Nothing ")</f>
        <v>Nothing </v>
      </c>
      <c r="W431" s="10"/>
      <c r="X431" s="10"/>
      <c r="Y431" s="14" t="str">
        <f>IFERROR(__xludf.DUMMYFUNCTION("""COMPUTED_VALUE"""),"bashir.dhatt@gmail.com")</f>
        <v>bashir.dhatt@gmail.com</v>
      </c>
      <c r="AA431" s="324"/>
    </row>
    <row r="432" hidden="1">
      <c r="A432" s="9">
        <f>IFERROR(__xludf.DUMMYFUNCTION("""COMPUTED_VALUE"""),45870.262849328705)</f>
        <v>45870.26285</v>
      </c>
      <c r="B432" s="10" t="str">
        <f>IFERROR(__xludf.DUMMYFUNCTION("""COMPUTED_VALUE"""),"Muhammad shehzad ")</f>
        <v>Muhammad shehzad </v>
      </c>
      <c r="C432" s="10" t="str">
        <f>IFERROR(__xludf.DUMMYFUNCTION("""COMPUTED_VALUE"""),"03058974589")</f>
        <v>03058974589</v>
      </c>
      <c r="D432" s="10" t="str">
        <f>IFERROR(__xludf.DUMMYFUNCTION("""COMPUTED_VALUE"""),"مرکزی جامع مسجد داؤد جہانیاں ")</f>
        <v>مرکزی جامع مسجد داؤد جہانیاں </v>
      </c>
      <c r="E432" s="10" t="str">
        <f>IFERROR(__xludf.DUMMYFUNCTION("""COMPUTED_VALUE"""),"USEPK")</f>
        <v>USEPK</v>
      </c>
      <c r="F432" s="10">
        <f>IFERROR(__xludf.DUMMYFUNCTION("""COMPUTED_VALUE"""),200.0)</f>
        <v>200</v>
      </c>
      <c r="G432" s="10">
        <f>IFERROR(__xludf.DUMMYFUNCTION("""COMPUTED_VALUE"""),9.0)</f>
        <v>9</v>
      </c>
      <c r="H432" s="10">
        <f>IFERROR(__xludf.DUMMYFUNCTION("""COMPUTED_VALUE"""),8.0)</f>
        <v>8</v>
      </c>
      <c r="I432" s="10">
        <f>IFERROR(__xludf.DUMMYFUNCTION("""COMPUTED_VALUE"""),2.0)</f>
        <v>2</v>
      </c>
      <c r="J432" s="10"/>
      <c r="K432" s="10"/>
      <c r="L432" s="10"/>
      <c r="M432" s="10">
        <f>IFERROR(__xludf.DUMMYFUNCTION("""COMPUTED_VALUE"""),8.0)</f>
        <v>8</v>
      </c>
      <c r="N432" s="10"/>
      <c r="O432" s="10"/>
      <c r="P432" s="10"/>
      <c r="Q432" s="10"/>
      <c r="R432" s="10"/>
      <c r="S432" s="10"/>
      <c r="T432" s="10"/>
      <c r="U432" s="18" t="str">
        <f>IFERROR(__xludf.DUMMYFUNCTION("""COMPUTED_VALUE"""),"https://drive.google.com/open?id=1do3-905idrdhmiXL9rGwNVXzhsY_qFuQ")</f>
        <v>https://drive.google.com/open?id=1do3-905idrdhmiXL9rGwNVXzhsY_qFuQ</v>
      </c>
      <c r="V432" s="10" t="str">
        <f>IFERROR(__xludf.DUMMYFUNCTION("""COMPUTED_VALUE"""),"Good ")</f>
        <v>Good </v>
      </c>
      <c r="W432" s="10"/>
      <c r="X432" s="10"/>
      <c r="Y432" s="14" t="str">
        <f>IFERROR(__xludf.DUMMYFUNCTION("""COMPUTED_VALUE"""),"malikshehzadshehzad747@gmail.com")</f>
        <v>malikshehzadshehzad747@gmail.com</v>
      </c>
      <c r="AA432" s="324"/>
    </row>
    <row r="433" hidden="1">
      <c r="A433" s="9">
        <f>IFERROR(__xludf.DUMMYFUNCTION("""COMPUTED_VALUE"""),45870.267287731476)</f>
        <v>45870.26729</v>
      </c>
      <c r="B433" s="10" t="str">
        <f>IFERROR(__xludf.DUMMYFUNCTION("""COMPUTED_VALUE"""),"Aamir Rashid ")</f>
        <v>Aamir Rashid </v>
      </c>
      <c r="C433" s="10">
        <f>IFERROR(__xludf.DUMMYFUNCTION("""COMPUTED_VALUE"""),3.017908088E9)</f>
        <v>3017908088</v>
      </c>
      <c r="D433" s="10" t="str">
        <f>IFERROR(__xludf.DUMMYFUNCTION("""COMPUTED_VALUE"""),"Jamia Masjid Darbar Mula Qaid Shah DGKhan ")</f>
        <v>Jamia Masjid Darbar Mula Qaid Shah DGKhan </v>
      </c>
      <c r="E433" s="10" t="str">
        <f>IFERROR(__xludf.DUMMYFUNCTION("""COMPUTED_VALUE"""),"VSRRF")</f>
        <v>VSRRF</v>
      </c>
      <c r="F433" s="10">
        <f>IFERROR(__xludf.DUMMYFUNCTION("""COMPUTED_VALUE"""),92.0)</f>
        <v>92</v>
      </c>
      <c r="G433" s="10">
        <f>IFERROR(__xludf.DUMMYFUNCTION("""COMPUTED_VALUE"""),9.0)</f>
        <v>9</v>
      </c>
      <c r="H433" s="10">
        <f>IFERROR(__xludf.DUMMYFUNCTION("""COMPUTED_VALUE"""),9.0)</f>
        <v>9</v>
      </c>
      <c r="I433" s="10">
        <f>IFERROR(__xludf.DUMMYFUNCTION("""COMPUTED_VALUE"""),1.0)</f>
        <v>1</v>
      </c>
      <c r="J433" s="10"/>
      <c r="K433" s="10"/>
      <c r="L433" s="10"/>
      <c r="M433" s="10">
        <f>IFERROR(__xludf.DUMMYFUNCTION("""COMPUTED_VALUE"""),4.0)</f>
        <v>4</v>
      </c>
      <c r="N433" s="10"/>
      <c r="O433" s="10"/>
      <c r="P433" s="10"/>
      <c r="Q433" s="10"/>
      <c r="R433" s="10"/>
      <c r="S433" s="10"/>
      <c r="T433" s="10"/>
      <c r="U433" s="18" t="str">
        <f>IFERROR(__xludf.DUMMYFUNCTION("""COMPUTED_VALUE"""),"https://drive.google.com/open?id=1DWT7E2f0B4cxejwO2t48p5CIDtNyOO1L")</f>
        <v>https://drive.google.com/open?id=1DWT7E2f0B4cxejwO2t48p5CIDtNyOO1L</v>
      </c>
      <c r="V433" s="10"/>
      <c r="W433" s="10"/>
      <c r="X433" s="10"/>
      <c r="Y433" s="14" t="str">
        <f>IFERROR(__xludf.DUMMYFUNCTION("""COMPUTED_VALUE"""),"aamirrashid007@gmail.com")</f>
        <v>aamirrashid007@gmail.com</v>
      </c>
      <c r="AA433" s="324"/>
    </row>
    <row r="434" hidden="1">
      <c r="A434" s="9">
        <f>IFERROR(__xludf.DUMMYFUNCTION("""COMPUTED_VALUE"""),45870.269029641204)</f>
        <v>45870.26903</v>
      </c>
      <c r="B434" s="10" t="str">
        <f>IFERROR(__xludf.DUMMYFUNCTION("""COMPUTED_VALUE"""),"Muhammad Tanveer ")</f>
        <v>Muhammad Tanveer </v>
      </c>
      <c r="C434" s="10" t="str">
        <f>IFERROR(__xludf.DUMMYFUNCTION("""COMPUTED_VALUE"""),"03077881232")</f>
        <v>03077881232</v>
      </c>
      <c r="D434" s="10" t="str">
        <f>IFERROR(__xludf.DUMMYFUNCTION("""COMPUTED_VALUE"""),"Jamia Masjid main bazar Hasilpure ")</f>
        <v>Jamia Masjid main bazar Hasilpure </v>
      </c>
      <c r="E434" s="10" t="str">
        <f>IFERROR(__xludf.DUMMYFUNCTION("""COMPUTED_VALUE"""),"NHXTI")</f>
        <v>NHXTI</v>
      </c>
      <c r="F434" s="10">
        <f>IFERROR(__xludf.DUMMYFUNCTION("""COMPUTED_VALUE"""),1180.0)</f>
        <v>1180</v>
      </c>
      <c r="G434" s="10">
        <f>IFERROR(__xludf.DUMMYFUNCTION("""COMPUTED_VALUE"""),7.0)</f>
        <v>7</v>
      </c>
      <c r="H434" s="10">
        <f>IFERROR(__xludf.DUMMYFUNCTION("""COMPUTED_VALUE"""),9.0)</f>
        <v>9</v>
      </c>
      <c r="I434" s="10">
        <f>IFERROR(__xludf.DUMMYFUNCTION("""COMPUTED_VALUE"""),1.0)</f>
        <v>1</v>
      </c>
      <c r="J434" s="10"/>
      <c r="K434" s="10"/>
      <c r="L434" s="10"/>
      <c r="M434" s="10">
        <f>IFERROR(__xludf.DUMMYFUNCTION("""COMPUTED_VALUE"""),9.0)</f>
        <v>9</v>
      </c>
      <c r="N434" s="10"/>
      <c r="O434" s="10"/>
      <c r="P434" s="10"/>
      <c r="Q434" s="10"/>
      <c r="R434" s="10"/>
      <c r="S434" s="10"/>
      <c r="T434" s="10"/>
      <c r="U434" s="18" t="str">
        <f>IFERROR(__xludf.DUMMYFUNCTION("""COMPUTED_VALUE"""),"https://drive.google.com/open?id=1NhZSTXuRq46Bx3LqzbhZSc1FPwJqyjbN")</f>
        <v>https://drive.google.com/open?id=1NhZSTXuRq46Bx3LqzbhZSc1FPwJqyjbN</v>
      </c>
      <c r="V434" s="10" t="str">
        <f>IFERROR(__xludf.DUMMYFUNCTION("""COMPUTED_VALUE"""),"No")</f>
        <v>No</v>
      </c>
      <c r="W434" s="10"/>
      <c r="X434" s="10"/>
      <c r="Y434" s="14" t="str">
        <f>IFERROR(__xludf.DUMMYFUNCTION("""COMPUTED_VALUE"""),"tanveertni3537@gmail.com")</f>
        <v>tanveertni3537@gmail.com</v>
      </c>
      <c r="AA434" s="324"/>
    </row>
    <row r="435" hidden="1">
      <c r="A435" s="9">
        <f>IFERROR(__xludf.DUMMYFUNCTION("""COMPUTED_VALUE"""),45870.26975959491)</f>
        <v>45870.26976</v>
      </c>
      <c r="B435" s="10" t="str">
        <f>IFERROR(__xludf.DUMMYFUNCTION("""COMPUTED_VALUE"""),"Ahsan Ahmad ")</f>
        <v>Ahsan Ahmad </v>
      </c>
      <c r="C435" s="10" t="str">
        <f>IFERROR(__xludf.DUMMYFUNCTION("""COMPUTED_VALUE"""),"03008776162")</f>
        <v>03008776162</v>
      </c>
      <c r="D435" s="10" t="str">
        <f>IFERROR(__xludf.DUMMYFUNCTION("""COMPUTED_VALUE"""),"Masjid Mistari Kamal din khan pur district rahim yar khan ")</f>
        <v>Masjid Mistari Kamal din khan pur district rahim yar khan </v>
      </c>
      <c r="E435" s="10" t="str">
        <f>IFERROR(__xludf.DUMMYFUNCTION("""COMPUTED_VALUE"""),"XATDF")</f>
        <v>XATDF</v>
      </c>
      <c r="F435" s="10">
        <f>IFERROR(__xludf.DUMMYFUNCTION("""COMPUTED_VALUE"""),173.0)</f>
        <v>173</v>
      </c>
      <c r="G435" s="10">
        <f>IFERROR(__xludf.DUMMYFUNCTION("""COMPUTED_VALUE"""),8.0)</f>
        <v>8</v>
      </c>
      <c r="H435" s="10">
        <f>IFERROR(__xludf.DUMMYFUNCTION("""COMPUTED_VALUE"""),8.0)</f>
        <v>8</v>
      </c>
      <c r="I435" s="10" t="str">
        <f>IFERROR(__xludf.DUMMYFUNCTION("""COMPUTED_VALUE"""),"No")</f>
        <v>No</v>
      </c>
      <c r="J435" s="10"/>
      <c r="K435" s="10"/>
      <c r="L435" s="10"/>
      <c r="M435" s="10">
        <f>IFERROR(__xludf.DUMMYFUNCTION("""COMPUTED_VALUE"""),9.0)</f>
        <v>9</v>
      </c>
      <c r="N435" s="10"/>
      <c r="O435" s="10"/>
      <c r="P435" s="10"/>
      <c r="Q435" s="10"/>
      <c r="R435" s="10"/>
      <c r="S435" s="10"/>
      <c r="T435" s="10"/>
      <c r="U435" s="18" t="str">
        <f>IFERROR(__xludf.DUMMYFUNCTION("""COMPUTED_VALUE"""),"https://drive.google.com/open?id=12ZSx-7ZCiEvcnZyDqURKNeDwAP_XQIx4")</f>
        <v>https://drive.google.com/open?id=12ZSx-7ZCiEvcnZyDqURKNeDwAP_XQIx4</v>
      </c>
      <c r="V435" s="10"/>
      <c r="W435" s="10"/>
      <c r="X435" s="10"/>
      <c r="Y435" s="14" t="str">
        <f>IFERROR(__xludf.DUMMYFUNCTION("""COMPUTED_VALUE"""),"ahsanahmadrao79@gmail.com")</f>
        <v>ahsanahmadrao79@gmail.com</v>
      </c>
      <c r="AA435" s="324"/>
    </row>
    <row r="436" hidden="1">
      <c r="A436" s="9">
        <f>IFERROR(__xludf.DUMMYFUNCTION("""COMPUTED_VALUE"""),45870.269874618054)</f>
        <v>45870.26987</v>
      </c>
      <c r="B436" s="10" t="str">
        <f>IFERROR(__xludf.DUMMYFUNCTION("""COMPUTED_VALUE"""),"Faizullah ")</f>
        <v>Faizullah </v>
      </c>
      <c r="C436" s="10" t="str">
        <f>IFERROR(__xludf.DUMMYFUNCTION("""COMPUTED_VALUE"""),"0315 6557465")</f>
        <v>0315 6557465</v>
      </c>
      <c r="D436" s="10" t="str">
        <f>IFERROR(__xludf.DUMMYFUNCTION("""COMPUTED_VALUE"""),"Jamia Masjid Abdulah Shah Bukhari Muzaffargarh")</f>
        <v>Jamia Masjid Abdulah Shah Bukhari Muzaffargarh</v>
      </c>
      <c r="E436" s="10" t="str">
        <f>IFERROR(__xludf.DUMMYFUNCTION("""COMPUTED_VALUE"""),"KEZGA")</f>
        <v>KEZGA</v>
      </c>
      <c r="F436" s="10">
        <f>IFERROR(__xludf.DUMMYFUNCTION("""COMPUTED_VALUE"""),307.0)</f>
        <v>307</v>
      </c>
      <c r="G436" s="10">
        <f>IFERROR(__xludf.DUMMYFUNCTION("""COMPUTED_VALUE"""),8.0)</f>
        <v>8</v>
      </c>
      <c r="H436" s="10">
        <f>IFERROR(__xludf.DUMMYFUNCTION("""COMPUTED_VALUE"""),7.0)</f>
        <v>7</v>
      </c>
      <c r="I436" s="10">
        <f>IFERROR(__xludf.DUMMYFUNCTION("""COMPUTED_VALUE"""),2.0)</f>
        <v>2</v>
      </c>
      <c r="J436" s="10"/>
      <c r="K436" s="10"/>
      <c r="L436" s="10"/>
      <c r="M436" s="10">
        <f>IFERROR(__xludf.DUMMYFUNCTION("""COMPUTED_VALUE"""),8.0)</f>
        <v>8</v>
      </c>
      <c r="N436" s="10"/>
      <c r="O436" s="10"/>
      <c r="P436" s="10"/>
      <c r="Q436" s="10"/>
      <c r="R436" s="10"/>
      <c r="S436" s="10"/>
      <c r="T436" s="10"/>
      <c r="U436" s="18" t="str">
        <f>IFERROR(__xludf.DUMMYFUNCTION("""COMPUTED_VALUE"""),"https://drive.google.com/open?id=1xAKKTHKNv99Gv8uNmN-8KK6F7xbwnG2R")</f>
        <v>https://drive.google.com/open?id=1xAKKTHKNv99Gv8uNmN-8KK6F7xbwnG2R</v>
      </c>
      <c r="V436" s="10" t="str">
        <f>IFERROR(__xludf.DUMMYFUNCTION("""COMPUTED_VALUE"""),"As time sahi rha good ")</f>
        <v>As time sahi rha good </v>
      </c>
      <c r="W436" s="10"/>
      <c r="X436" s="10"/>
      <c r="Y436" s="14" t="str">
        <f>IFERROR(__xludf.DUMMYFUNCTION("""COMPUTED_VALUE"""),"geotv666666@gmail.com")</f>
        <v>geotv666666@gmail.com</v>
      </c>
      <c r="AA436" s="324"/>
    </row>
    <row r="437" hidden="1">
      <c r="A437" s="9">
        <f>IFERROR(__xludf.DUMMYFUNCTION("""COMPUTED_VALUE"""),45870.27002945602)</f>
        <v>45870.27003</v>
      </c>
      <c r="B437" s="10" t="str">
        <f>IFERROR(__xludf.DUMMYFUNCTION("""COMPUTED_VALUE"""),"Muhammad Rizwan ")</f>
        <v>Muhammad Rizwan </v>
      </c>
      <c r="C437" s="10" t="str">
        <f>IFERROR(__xludf.DUMMYFUNCTION("""COMPUTED_VALUE"""),"03020878756")</f>
        <v>03020878756</v>
      </c>
      <c r="D437" s="10" t="str">
        <f>IFERROR(__xludf.DUMMYFUNCTION("""COMPUTED_VALUE"""),"Jamia masjid madni jhoke veenus")</f>
        <v>Jamia masjid madni jhoke veenus</v>
      </c>
      <c r="E437" s="10" t="str">
        <f>IFERROR(__xludf.DUMMYFUNCTION("""COMPUTED_VALUE"""),"ZRPYU")</f>
        <v>ZRPYU</v>
      </c>
      <c r="F437" s="10">
        <f>IFERROR(__xludf.DUMMYFUNCTION("""COMPUTED_VALUE"""),160.0)</f>
        <v>160</v>
      </c>
      <c r="G437" s="10">
        <f>IFERROR(__xludf.DUMMYFUNCTION("""COMPUTED_VALUE"""),8.0)</f>
        <v>8</v>
      </c>
      <c r="H437" s="10">
        <f>IFERROR(__xludf.DUMMYFUNCTION("""COMPUTED_VALUE"""),8.0)</f>
        <v>8</v>
      </c>
      <c r="I437" s="10">
        <f>IFERROR(__xludf.DUMMYFUNCTION("""COMPUTED_VALUE"""),5.0)</f>
        <v>5</v>
      </c>
      <c r="J437" s="10"/>
      <c r="K437" s="10"/>
      <c r="L437" s="10"/>
      <c r="M437" s="10">
        <f>IFERROR(__xludf.DUMMYFUNCTION("""COMPUTED_VALUE"""),10.0)</f>
        <v>10</v>
      </c>
      <c r="N437" s="10"/>
      <c r="O437" s="10"/>
      <c r="P437" s="10"/>
      <c r="Q437" s="10"/>
      <c r="R437" s="10"/>
      <c r="S437" s="10"/>
      <c r="T437" s="10"/>
      <c r="U437" s="18" t="str">
        <f>IFERROR(__xludf.DUMMYFUNCTION("""COMPUTED_VALUE"""),"https://drive.google.com/open?id=1nL0xIFws3x0g_UIWyKe_p3ibHZehc_LK")</f>
        <v>https://drive.google.com/open?id=1nL0xIFws3x0g_UIWyKe_p3ibHZehc_LK</v>
      </c>
      <c r="V437" s="10" t="str">
        <f>IFERROR(__xludf.DUMMYFUNCTION("""COMPUTED_VALUE"""),"N/A")</f>
        <v>N/A</v>
      </c>
      <c r="W437" s="10"/>
      <c r="X437" s="10"/>
      <c r="Y437" s="14" t="str">
        <f>IFERROR(__xludf.DUMMYFUNCTION("""COMPUTED_VALUE"""),"muhammadrizwankhanm276@gmail.com")</f>
        <v>muhammadrizwankhanm276@gmail.com</v>
      </c>
      <c r="AA437" s="324"/>
    </row>
    <row r="438" hidden="1">
      <c r="A438" s="9">
        <f>IFERROR(__xludf.DUMMYFUNCTION("""COMPUTED_VALUE"""),45870.27124289352)</f>
        <v>45870.27124</v>
      </c>
      <c r="B438" s="10" t="str">
        <f>IFERROR(__xludf.DUMMYFUNCTION("""COMPUTED_VALUE"""),"Muhammad Tahir ")</f>
        <v>Muhammad Tahir </v>
      </c>
      <c r="C438" s="10" t="str">
        <f>IFERROR(__xludf.DUMMYFUNCTION("""COMPUTED_VALUE"""),"03196224302")</f>
        <v>03196224302</v>
      </c>
      <c r="D438" s="10" t="str">
        <f>IFERROR(__xludf.DUMMYFUNCTION("""COMPUTED_VALUE"""),"Jamia Masjid Rangila Sha darbar Hasilpure ")</f>
        <v>Jamia Masjid Rangila Sha darbar Hasilpure </v>
      </c>
      <c r="E438" s="10" t="str">
        <f>IFERROR(__xludf.DUMMYFUNCTION("""COMPUTED_VALUE"""),"SJQHK")</f>
        <v>SJQHK</v>
      </c>
      <c r="F438" s="10">
        <f>IFERROR(__xludf.DUMMYFUNCTION("""COMPUTED_VALUE"""),780.0)</f>
        <v>780</v>
      </c>
      <c r="G438" s="10">
        <f>IFERROR(__xludf.DUMMYFUNCTION("""COMPUTED_VALUE"""),8.0)</f>
        <v>8</v>
      </c>
      <c r="H438" s="10">
        <f>IFERROR(__xludf.DUMMYFUNCTION("""COMPUTED_VALUE"""),7.0)</f>
        <v>7</v>
      </c>
      <c r="I438" s="10">
        <f>IFERROR(__xludf.DUMMYFUNCTION("""COMPUTED_VALUE"""),2.0)</f>
        <v>2</v>
      </c>
      <c r="J438" s="10"/>
      <c r="K438" s="10"/>
      <c r="L438" s="10"/>
      <c r="M438" s="10">
        <f>IFERROR(__xludf.DUMMYFUNCTION("""COMPUTED_VALUE"""),10.0)</f>
        <v>10</v>
      </c>
      <c r="N438" s="10"/>
      <c r="O438" s="10"/>
      <c r="P438" s="10"/>
      <c r="Q438" s="10"/>
      <c r="R438" s="10"/>
      <c r="S438" s="10"/>
      <c r="T438" s="10"/>
      <c r="U438" s="18" t="str">
        <f>IFERROR(__xludf.DUMMYFUNCTION("""COMPUTED_VALUE"""),"https://drive.google.com/open?id=1acH0lSOcwK58Q1LWxcNhIXX-7FO3Qd8Z")</f>
        <v>https://drive.google.com/open?id=1acH0lSOcwK58Q1LWxcNhIXX-7FO3Qd8Z</v>
      </c>
      <c r="V438" s="10" t="str">
        <f>IFERROR(__xludf.DUMMYFUNCTION("""COMPUTED_VALUE"""),"No")</f>
        <v>No</v>
      </c>
      <c r="W438" s="10"/>
      <c r="X438" s="10"/>
      <c r="Y438" s="14" t="str">
        <f>IFERROR(__xludf.DUMMYFUNCTION("""COMPUTED_VALUE"""),"tanveertni3537@gmail.com")</f>
        <v>tanveertni3537@gmail.com</v>
      </c>
      <c r="AA438" s="324"/>
    </row>
    <row r="439" hidden="1">
      <c r="A439" s="9">
        <f>IFERROR(__xludf.DUMMYFUNCTION("""COMPUTED_VALUE"""),45870.27156340278)</f>
        <v>45870.27156</v>
      </c>
      <c r="B439" s="10" t="str">
        <f>IFERROR(__xludf.DUMMYFUNCTION("""COMPUTED_VALUE"""),"Sajid Hussain ")</f>
        <v>Sajid Hussain </v>
      </c>
      <c r="C439" s="10" t="str">
        <f>IFERROR(__xludf.DUMMYFUNCTION("""COMPUTED_VALUE"""),"0302-8904114 ")</f>
        <v>0302-8904114 </v>
      </c>
      <c r="D439" s="10" t="str">
        <f>IFERROR(__xludf.DUMMYFUNCTION("""COMPUTED_VALUE"""),"Jamia masjid balochan wali khoni burj multan.")</f>
        <v>Jamia masjid balochan wali khoni burj multan.</v>
      </c>
      <c r="E439" s="10" t="str">
        <f>IFERROR(__xludf.DUMMYFUNCTION("""COMPUTED_VALUE"""),"ANROL")</f>
        <v>ANROL</v>
      </c>
      <c r="F439" s="10">
        <f>IFERROR(__xludf.DUMMYFUNCTION("""COMPUTED_VALUE"""),181.0)</f>
        <v>181</v>
      </c>
      <c r="G439" s="10">
        <f>IFERROR(__xludf.DUMMYFUNCTION("""COMPUTED_VALUE"""),9.0)</f>
        <v>9</v>
      </c>
      <c r="H439" s="10">
        <f>IFERROR(__xludf.DUMMYFUNCTION("""COMPUTED_VALUE"""),7.0)</f>
        <v>7</v>
      </c>
      <c r="I439" s="10">
        <f>IFERROR(__xludf.DUMMYFUNCTION("""COMPUTED_VALUE"""),1.0)</f>
        <v>1</v>
      </c>
      <c r="J439" s="10"/>
      <c r="K439" s="10"/>
      <c r="L439" s="10"/>
      <c r="M439" s="10">
        <f>IFERROR(__xludf.DUMMYFUNCTION("""COMPUTED_VALUE"""),9.0)</f>
        <v>9</v>
      </c>
      <c r="N439" s="10"/>
      <c r="O439" s="10"/>
      <c r="P439" s="10"/>
      <c r="Q439" s="10"/>
      <c r="R439" s="10"/>
      <c r="S439" s="10"/>
      <c r="T439" s="10"/>
      <c r="U439" s="18" t="str">
        <f>IFERROR(__xludf.DUMMYFUNCTION("""COMPUTED_VALUE"""),"https://drive.google.com/open?id=1-KwGMgrf4ybvfsoHHtOu87_3gxAeA3JE")</f>
        <v>https://drive.google.com/open?id=1-KwGMgrf4ybvfsoHHtOu87_3gxAeA3JE</v>
      </c>
      <c r="V439" s="10" t="str">
        <f>IFERROR(__xludf.DUMMYFUNCTION("""COMPUTED_VALUE"""),"No")</f>
        <v>No</v>
      </c>
      <c r="W439" s="10"/>
      <c r="X439" s="10"/>
      <c r="Y439" s="14" t="str">
        <f>IFERROR(__xludf.DUMMYFUNCTION("""COMPUTED_VALUE"""),"sajidhussain00860@gmail.com")</f>
        <v>sajidhussain00860@gmail.com</v>
      </c>
      <c r="AA439" s="324"/>
    </row>
    <row r="440" hidden="1">
      <c r="A440" s="9">
        <f>IFERROR(__xludf.DUMMYFUNCTION("""COMPUTED_VALUE"""),45870.2720927662)</f>
        <v>45870.27209</v>
      </c>
      <c r="B440" s="10" t="str">
        <f>IFERROR(__xludf.DUMMYFUNCTION("""COMPUTED_VALUE"""),"Fahad Adeel ")</f>
        <v>Fahad Adeel </v>
      </c>
      <c r="C440" s="10" t="str">
        <f>IFERROR(__xludf.DUMMYFUNCTION("""COMPUTED_VALUE"""),"03008396958")</f>
        <v>03008396958</v>
      </c>
      <c r="D440" s="10" t="str">
        <f>IFERROR(__xludf.DUMMYFUNCTION("""COMPUTED_VALUE"""),"Jamia Masjid Gaalah Mandi Khanewal ")</f>
        <v>Jamia Masjid Gaalah Mandi Khanewal </v>
      </c>
      <c r="E440" s="10" t="str">
        <f>IFERROR(__xludf.DUMMYFUNCTION("""COMPUTED_VALUE""")," RTFEZ")</f>
        <v> RTFEZ</v>
      </c>
      <c r="F440" s="10">
        <f>IFERROR(__xludf.DUMMYFUNCTION("""COMPUTED_VALUE"""),310.0)</f>
        <v>310</v>
      </c>
      <c r="G440" s="10">
        <f>IFERROR(__xludf.DUMMYFUNCTION("""COMPUTED_VALUE"""),2.0)</f>
        <v>2</v>
      </c>
      <c r="H440" s="10">
        <f>IFERROR(__xludf.DUMMYFUNCTION("""COMPUTED_VALUE"""),5.0)</f>
        <v>5</v>
      </c>
      <c r="I440" s="10">
        <f>IFERROR(__xludf.DUMMYFUNCTION("""COMPUTED_VALUE"""),10.0)</f>
        <v>10</v>
      </c>
      <c r="J440" s="10"/>
      <c r="K440" s="10"/>
      <c r="L440" s="10"/>
      <c r="M440" s="10">
        <f>IFERROR(__xludf.DUMMYFUNCTION("""COMPUTED_VALUE"""),5.0)</f>
        <v>5</v>
      </c>
      <c r="N440" s="10"/>
      <c r="O440" s="10"/>
      <c r="P440" s="10"/>
      <c r="Q440" s="10"/>
      <c r="R440" s="10"/>
      <c r="S440" s="10"/>
      <c r="T440" s="10"/>
      <c r="U440" s="18" t="str">
        <f>IFERROR(__xludf.DUMMYFUNCTION("""COMPUTED_VALUE"""),"https://drive.google.com/open?id=1a4OHAhulWq-7CbR1K6e5r7gXlnddRFLS")</f>
        <v>https://drive.google.com/open?id=1a4OHAhulWq-7CbR1K6e5r7gXlnddRFLS</v>
      </c>
      <c r="V440" s="10" t="str">
        <f>IFERROR(__xludf.DUMMYFUNCTION("""COMPUTED_VALUE"""),"Nothing ")</f>
        <v>Nothing </v>
      </c>
      <c r="W440" s="10"/>
      <c r="X440" s="10"/>
      <c r="Y440" s="14" t="str">
        <f>IFERROR(__xludf.DUMMYFUNCTION("""COMPUTED_VALUE"""),"fahadsheikh4340@gmail.com")</f>
        <v>fahadsheikh4340@gmail.com</v>
      </c>
      <c r="AA440" s="324"/>
    </row>
    <row r="441" hidden="1">
      <c r="A441" s="9">
        <f>IFERROR(__xludf.DUMMYFUNCTION("""COMPUTED_VALUE"""),45870.27540052083)</f>
        <v>45870.2754</v>
      </c>
      <c r="B441" s="10" t="str">
        <f>IFERROR(__xludf.DUMMYFUNCTION("""COMPUTED_VALUE"""),"Sajjadch")</f>
        <v>Sajjadch</v>
      </c>
      <c r="C441" s="10" t="str">
        <f>IFERROR(__xludf.DUMMYFUNCTION("""COMPUTED_VALUE"""),"+92 300 5377792")</f>
        <v>+92 300 5377792</v>
      </c>
      <c r="D441" s="10" t="str">
        <f>IFERROR(__xludf.DUMMYFUNCTION("""COMPUTED_VALUE"""),"Jamia Masjid Darbar Hazrat Mian Channu ")</f>
        <v>Jamia Masjid Darbar Hazrat Mian Channu </v>
      </c>
      <c r="E441" s="10" t="str">
        <f>IFERROR(__xludf.DUMMYFUNCTION("""COMPUTED_VALUE""")," XPYNM")</f>
        <v> XPYNM</v>
      </c>
      <c r="F441" s="10">
        <f>IFERROR(__xludf.DUMMYFUNCTION("""COMPUTED_VALUE"""),344.0)</f>
        <v>344</v>
      </c>
      <c r="G441" s="10">
        <f>IFERROR(__xludf.DUMMYFUNCTION("""COMPUTED_VALUE"""),8.0)</f>
        <v>8</v>
      </c>
      <c r="H441" s="10">
        <f>IFERROR(__xludf.DUMMYFUNCTION("""COMPUTED_VALUE"""),8.0)</f>
        <v>8</v>
      </c>
      <c r="I441" s="10">
        <f>IFERROR(__xludf.DUMMYFUNCTION("""COMPUTED_VALUE"""),4.0)</f>
        <v>4</v>
      </c>
      <c r="J441" s="10"/>
      <c r="K441" s="10"/>
      <c r="L441" s="10"/>
      <c r="M441" s="10">
        <f>IFERROR(__xludf.DUMMYFUNCTION("""COMPUTED_VALUE"""),8.0)</f>
        <v>8</v>
      </c>
      <c r="N441" s="10"/>
      <c r="O441" s="10"/>
      <c r="P441" s="10"/>
      <c r="Q441" s="10"/>
      <c r="R441" s="10"/>
      <c r="S441" s="10"/>
      <c r="T441" s="10"/>
      <c r="U441" s="18" t="str">
        <f>IFERROR(__xludf.DUMMYFUNCTION("""COMPUTED_VALUE"""),"https://drive.google.com/open?id=1VYZI9PJVaAfY8bj_Q0vyBhZFSEOFrxpc")</f>
        <v>https://drive.google.com/open?id=1VYZI9PJVaAfY8bj_Q0vyBhZFSEOFrxpc</v>
      </c>
      <c r="V441" s="10"/>
      <c r="W441" s="10"/>
      <c r="X441" s="10"/>
      <c r="Y441" s="14" t="str">
        <f>IFERROR(__xludf.DUMMYFUNCTION("""COMPUTED_VALUE"""),"sajjadch9215@gmail.com")</f>
        <v>sajjadch9215@gmail.com</v>
      </c>
      <c r="AA441" s="324"/>
    </row>
    <row r="442" hidden="1">
      <c r="A442" s="9">
        <f>IFERROR(__xludf.DUMMYFUNCTION("""COMPUTED_VALUE"""),45870.27919785879)</f>
        <v>45870.2792</v>
      </c>
      <c r="B442" s="10" t="str">
        <f>IFERROR(__xludf.DUMMYFUNCTION("""COMPUTED_VALUE"""),"Liaqat Hussain ")</f>
        <v>Liaqat Hussain </v>
      </c>
      <c r="C442" s="10" t="str">
        <f>IFERROR(__xludf.DUMMYFUNCTION("""COMPUTED_VALUE"""),"03026546166")</f>
        <v>03026546166</v>
      </c>
      <c r="D442" s="10" t="str">
        <f>IFERROR(__xludf.DUMMYFUNCTION("""COMPUTED_VALUE"""),"Masjid haqania Makhdoom Rashid ")</f>
        <v>Masjid haqania Makhdoom Rashid </v>
      </c>
      <c r="E442" s="10" t="str">
        <f>IFERROR(__xludf.DUMMYFUNCTION("""COMPUTED_VALUE"""),"CQXOG ")</f>
        <v>CQXOG </v>
      </c>
      <c r="F442" s="10">
        <f>IFERROR(__xludf.DUMMYFUNCTION("""COMPUTED_VALUE"""),361.0)</f>
        <v>361</v>
      </c>
      <c r="G442" s="10">
        <f>IFERROR(__xludf.DUMMYFUNCTION("""COMPUTED_VALUE"""),8.0)</f>
        <v>8</v>
      </c>
      <c r="H442" s="10">
        <f>IFERROR(__xludf.DUMMYFUNCTION("""COMPUTED_VALUE"""),4.0)</f>
        <v>4</v>
      </c>
      <c r="I442" s="10" t="str">
        <f>IFERROR(__xludf.DUMMYFUNCTION("""COMPUTED_VALUE"""),"099")</f>
        <v>099</v>
      </c>
      <c r="J442" s="10"/>
      <c r="K442" s="10"/>
      <c r="L442" s="10"/>
      <c r="M442" s="10">
        <f>IFERROR(__xludf.DUMMYFUNCTION("""COMPUTED_VALUE"""),9.0)</f>
        <v>9</v>
      </c>
      <c r="N442" s="10"/>
      <c r="O442" s="10"/>
      <c r="P442" s="10"/>
      <c r="Q442" s="10"/>
      <c r="R442" s="10"/>
      <c r="S442" s="10"/>
      <c r="T442" s="10"/>
      <c r="U442" s="18" t="str">
        <f>IFERROR(__xludf.DUMMYFUNCTION("""COMPUTED_VALUE"""),"https://drive.google.com/open?id=1UdccjkbqY5TBESJWTuEOI8OrWGmBr9mg")</f>
        <v>https://drive.google.com/open?id=1UdccjkbqY5TBESJWTuEOI8OrWGmBr9mg</v>
      </c>
      <c r="V442" s="10"/>
      <c r="W442" s="10"/>
      <c r="X442" s="10"/>
      <c r="Y442" s="14" t="str">
        <f>IFERROR(__xludf.DUMMYFUNCTION("""COMPUTED_VALUE"""),"liaqathussain6166@gmail.com")</f>
        <v>liaqathussain6166@gmail.com</v>
      </c>
      <c r="AA442" s="324"/>
    </row>
    <row r="443" hidden="1">
      <c r="A443" s="9">
        <f>IFERROR(__xludf.DUMMYFUNCTION("""COMPUTED_VALUE"""),45870.2802599537)</f>
        <v>45870.28026</v>
      </c>
      <c r="B443" s="10" t="str">
        <f>IFERROR(__xludf.DUMMYFUNCTION("""COMPUTED_VALUE"""),"Waseem")</f>
        <v>Waseem</v>
      </c>
      <c r="C443" s="10" t="str">
        <f>IFERROR(__xludf.DUMMYFUNCTION("""COMPUTED_VALUE"""),"03348396958")</f>
        <v>03348396958</v>
      </c>
      <c r="D443" s="10" t="str">
        <f>IFERROR(__xludf.DUMMYFUNCTION("""COMPUTED_VALUE"""),"Jamia Masjid Railway coloney Khanewal")</f>
        <v>Jamia Masjid Railway coloney Khanewal</v>
      </c>
      <c r="E443" s="10" t="str">
        <f>IFERROR(__xludf.DUMMYFUNCTION("""COMPUTED_VALUE"""),"EPJYX")</f>
        <v>EPJYX</v>
      </c>
      <c r="F443" s="10">
        <f>IFERROR(__xludf.DUMMYFUNCTION("""COMPUTED_VALUE"""),85.0)</f>
        <v>85</v>
      </c>
      <c r="G443" s="10">
        <f>IFERROR(__xludf.DUMMYFUNCTION("""COMPUTED_VALUE"""),3.0)</f>
        <v>3</v>
      </c>
      <c r="H443" s="10">
        <f>IFERROR(__xludf.DUMMYFUNCTION("""COMPUTED_VALUE"""),6.0)</f>
        <v>6</v>
      </c>
      <c r="I443" s="10">
        <f>IFERROR(__xludf.DUMMYFUNCTION("""COMPUTED_VALUE"""),4.0)</f>
        <v>4</v>
      </c>
      <c r="J443" s="10"/>
      <c r="K443" s="10"/>
      <c r="L443" s="10"/>
      <c r="M443" s="10">
        <f>IFERROR(__xludf.DUMMYFUNCTION("""COMPUTED_VALUE"""),4.0)</f>
        <v>4</v>
      </c>
      <c r="N443" s="10"/>
      <c r="O443" s="10"/>
      <c r="P443" s="10"/>
      <c r="Q443" s="10"/>
      <c r="R443" s="10"/>
      <c r="S443" s="10"/>
      <c r="T443" s="10"/>
      <c r="U443" s="18" t="str">
        <f>IFERROR(__xludf.DUMMYFUNCTION("""COMPUTED_VALUE"""),"https://drive.google.com/open?id=1Rt6hFElO5YcW-py3UzW1s5nd-1VeoWrF")</f>
        <v>https://drive.google.com/open?id=1Rt6hFElO5YcW-py3UzW1s5nd-1VeoWrF</v>
      </c>
      <c r="V443" s="10" t="str">
        <f>IFERROR(__xludf.DUMMYFUNCTION("""COMPUTED_VALUE"""),"we Need a Moazan For Azan.")</f>
        <v>we Need a Moazan For Azan.</v>
      </c>
      <c r="W443" s="10"/>
      <c r="X443" s="10"/>
      <c r="Y443" s="14" t="str">
        <f>IFERROR(__xludf.DUMMYFUNCTION("""COMPUTED_VALUE"""),"Fahadsheikh4340@gmail.com")</f>
        <v>Fahadsheikh4340@gmail.com</v>
      </c>
      <c r="AA443" s="324"/>
    </row>
    <row r="444" hidden="1">
      <c r="A444" s="9">
        <f>IFERROR(__xludf.DUMMYFUNCTION("""COMPUTED_VALUE"""),45870.280418194445)</f>
        <v>45870.28042</v>
      </c>
      <c r="B444" s="10" t="str">
        <f>IFERROR(__xludf.DUMMYFUNCTION("""COMPUTED_VALUE"""),"junaid")</f>
        <v>junaid</v>
      </c>
      <c r="C444" s="10" t="str">
        <f>IFERROR(__xludf.DUMMYFUNCTION("""COMPUTED_VALUE"""),"03422566208")</f>
        <v>03422566208</v>
      </c>
      <c r="D444" s="10" t="str">
        <f>IFERROR(__xludf.DUMMYFUNCTION("""COMPUTED_VALUE"""),"Jamia Masjid Block No. 3, DGKHAN ")</f>
        <v>Jamia Masjid Block No. 3, DGKHAN </v>
      </c>
      <c r="E444" s="10" t="str">
        <f>IFERROR(__xludf.DUMMYFUNCTION("""COMPUTED_VALUE"""),"VYZQV")</f>
        <v>VYZQV</v>
      </c>
      <c r="F444" s="10">
        <f>IFERROR(__xludf.DUMMYFUNCTION("""COMPUTED_VALUE"""),415.0)</f>
        <v>415</v>
      </c>
      <c r="G444" s="10">
        <f>IFERROR(__xludf.DUMMYFUNCTION("""COMPUTED_VALUE"""),9.0)</f>
        <v>9</v>
      </c>
      <c r="H444" s="10">
        <f>IFERROR(__xludf.DUMMYFUNCTION("""COMPUTED_VALUE"""),8.0)</f>
        <v>8</v>
      </c>
      <c r="I444" s="10">
        <f>IFERROR(__xludf.DUMMYFUNCTION("""COMPUTED_VALUE"""),2.0)</f>
        <v>2</v>
      </c>
      <c r="J444" s="10"/>
      <c r="K444" s="10"/>
      <c r="L444" s="10"/>
      <c r="M444" s="10">
        <f>IFERROR(__xludf.DUMMYFUNCTION("""COMPUTED_VALUE"""),3.0)</f>
        <v>3</v>
      </c>
      <c r="N444" s="10"/>
      <c r="O444" s="10"/>
      <c r="P444" s="10"/>
      <c r="Q444" s="10"/>
      <c r="R444" s="10"/>
      <c r="S444" s="10"/>
      <c r="T444" s="10"/>
      <c r="U444" s="18" t="str">
        <f>IFERROR(__xludf.DUMMYFUNCTION("""COMPUTED_VALUE"""),"https://drive.google.com/open?id=1Nm2q6gkGqPkkou3_KH9YVP0UUqbDck9T")</f>
        <v>https://drive.google.com/open?id=1Nm2q6gkGqPkkou3_KH9YVP0UUqbDck9T</v>
      </c>
      <c r="V444" s="10"/>
      <c r="W444" s="10"/>
      <c r="X444" s="10"/>
      <c r="Y444" s="14" t="str">
        <f>IFERROR(__xludf.DUMMYFUNCTION("""COMPUTED_VALUE"""),"junaidkhan4045840@gmail.com")</f>
        <v>junaidkhan4045840@gmail.com</v>
      </c>
      <c r="AA444" s="324"/>
    </row>
    <row r="445" hidden="1">
      <c r="A445" s="9">
        <f>IFERROR(__xludf.DUMMYFUNCTION("""COMPUTED_VALUE"""),45870.28617061343)</f>
        <v>45870.28617</v>
      </c>
      <c r="B445" s="10" t="str">
        <f>IFERROR(__xludf.DUMMYFUNCTION("""COMPUTED_VALUE"""),"Ahmad Ijaz")</f>
        <v>Ahmad Ijaz</v>
      </c>
      <c r="C445" s="10" t="str">
        <f>IFERROR(__xludf.DUMMYFUNCTION("""COMPUTED_VALUE"""),"03141638792")</f>
        <v>03141638792</v>
      </c>
      <c r="D445" s="10" t="str">
        <f>IFERROR(__xludf.DUMMYFUNCTION("""COMPUTED_VALUE"""),"Darbar Sahki Shah Habib Layyah ")</f>
        <v>Darbar Sahki Shah Habib Layyah </v>
      </c>
      <c r="E445" s="10" t="str">
        <f>IFERROR(__xludf.DUMMYFUNCTION("""COMPUTED_VALUE"""),"TJBAX")</f>
        <v>TJBAX</v>
      </c>
      <c r="F445" s="10">
        <f>IFERROR(__xludf.DUMMYFUNCTION("""COMPUTED_VALUE"""),105.0)</f>
        <v>105</v>
      </c>
      <c r="G445" s="10">
        <f>IFERROR(__xludf.DUMMYFUNCTION("""COMPUTED_VALUE"""),4.0)</f>
        <v>4</v>
      </c>
      <c r="H445" s="10">
        <f>IFERROR(__xludf.DUMMYFUNCTION("""COMPUTED_VALUE"""),4.0)</f>
        <v>4</v>
      </c>
      <c r="I445" s="10" t="str">
        <f>IFERROR(__xludf.DUMMYFUNCTION("""COMPUTED_VALUE"""),"5,6")</f>
        <v>5,6</v>
      </c>
      <c r="J445" s="10"/>
      <c r="K445" s="10"/>
      <c r="L445" s="10"/>
      <c r="M445" s="10">
        <f>IFERROR(__xludf.DUMMYFUNCTION("""COMPUTED_VALUE"""),6.0)</f>
        <v>6</v>
      </c>
      <c r="N445" s="10"/>
      <c r="O445" s="10"/>
      <c r="P445" s="10"/>
      <c r="Q445" s="10"/>
      <c r="R445" s="10"/>
      <c r="S445" s="10"/>
      <c r="T445" s="10"/>
      <c r="U445" s="18" t="str">
        <f>IFERROR(__xludf.DUMMYFUNCTION("""COMPUTED_VALUE"""),"https://drive.google.com/open?id=1wwntaRktUlPuANI2j2JOWTdyeOqboeCX")</f>
        <v>https://drive.google.com/open?id=1wwntaRktUlPuANI2j2JOWTdyeOqboeCX</v>
      </c>
      <c r="V445" s="10"/>
      <c r="W445" s="10"/>
      <c r="X445" s="10"/>
      <c r="Y445" s="14" t="str">
        <f>IFERROR(__xludf.DUMMYFUNCTION("""COMPUTED_VALUE"""),"qhmadikhan@gmail.com")</f>
        <v>qhmadikhan@gmail.com</v>
      </c>
      <c r="AA445" s="324"/>
    </row>
    <row r="446" hidden="1">
      <c r="A446" s="9">
        <f>IFERROR(__xludf.DUMMYFUNCTION("""COMPUTED_VALUE"""),45870.2878709838)</f>
        <v>45870.28787</v>
      </c>
      <c r="B446" s="10" t="str">
        <f>IFERROR(__xludf.DUMMYFUNCTION("""COMPUTED_VALUE"""),"Masroor karim ")</f>
        <v>Masroor karim </v>
      </c>
      <c r="C446" s="10" t="str">
        <f>IFERROR(__xludf.DUMMYFUNCTION("""COMPUTED_VALUE"""),"03051507669")</f>
        <v>03051507669</v>
      </c>
      <c r="D446" s="10" t="str">
        <f>IFERROR(__xludf.DUMMYFUNCTION("""COMPUTED_VALUE"""),"قدیمی جامعہ مسجد جنازہ گاہ نشاط روڈ لوہا مارکیٹ ملتان ")</f>
        <v>قدیمی جامعہ مسجد جنازہ گاہ نشاط روڈ لوہا مارکیٹ ملتان </v>
      </c>
      <c r="E446" s="10" t="str">
        <f>IFERROR(__xludf.DUMMYFUNCTION("""COMPUTED_VALUE"""),"WPXTS")</f>
        <v>WPXTS</v>
      </c>
      <c r="F446" s="10">
        <f>IFERROR(__xludf.DUMMYFUNCTION("""COMPUTED_VALUE"""),220.0)</f>
        <v>220</v>
      </c>
      <c r="G446" s="10">
        <f>IFERROR(__xludf.DUMMYFUNCTION("""COMPUTED_VALUE"""),5.0)</f>
        <v>5</v>
      </c>
      <c r="H446" s="10">
        <f>IFERROR(__xludf.DUMMYFUNCTION("""COMPUTED_VALUE"""),5.0)</f>
        <v>5</v>
      </c>
      <c r="I446" s="10">
        <f>IFERROR(__xludf.DUMMYFUNCTION("""COMPUTED_VALUE"""),2.0)</f>
        <v>2</v>
      </c>
      <c r="J446" s="10"/>
      <c r="K446" s="10"/>
      <c r="L446" s="10"/>
      <c r="M446" s="10">
        <f>IFERROR(__xludf.DUMMYFUNCTION("""COMPUTED_VALUE"""),8.0)</f>
        <v>8</v>
      </c>
      <c r="N446" s="10"/>
      <c r="O446" s="10"/>
      <c r="P446" s="10"/>
      <c r="Q446" s="10"/>
      <c r="R446" s="10"/>
      <c r="S446" s="10"/>
      <c r="T446" s="10"/>
      <c r="U446" s="10"/>
      <c r="V446" s="10"/>
      <c r="W446" s="10"/>
      <c r="X446" s="10"/>
      <c r="Y446" s="14" t="str">
        <f>IFERROR(__xludf.DUMMYFUNCTION("""COMPUTED_VALUE"""),"masroormalik669@gmail.com")</f>
        <v>masroormalik669@gmail.com</v>
      </c>
      <c r="AA446" s="324"/>
    </row>
    <row r="447" hidden="1">
      <c r="A447" s="9">
        <f>IFERROR(__xludf.DUMMYFUNCTION("""COMPUTED_VALUE"""),45870.29025795139)</f>
        <v>45870.29026</v>
      </c>
      <c r="B447" s="10" t="str">
        <f>IFERROR(__xludf.DUMMYFUNCTION("""COMPUTED_VALUE"""),"Muhammad Tahir ")</f>
        <v>Muhammad Tahir </v>
      </c>
      <c r="C447" s="10" t="str">
        <f>IFERROR(__xludf.DUMMYFUNCTION("""COMPUTED_VALUE"""),"03241553013")</f>
        <v>03241553013</v>
      </c>
      <c r="D447" s="10" t="str">
        <f>IFERROR(__xludf.DUMMYFUNCTION("""COMPUTED_VALUE"""),"Qadeemi Jamia Masjid Darkhana Wali ")</f>
        <v>Qadeemi Jamia Masjid Darkhana Wali </v>
      </c>
      <c r="E447" s="10" t="str">
        <f>IFERROR(__xludf.DUMMYFUNCTION("""COMPUTED_VALUE"""),"VQUBM")</f>
        <v>VQUBM</v>
      </c>
      <c r="F447" s="10">
        <f>IFERROR(__xludf.DUMMYFUNCTION("""COMPUTED_VALUE"""),72.0)</f>
        <v>72</v>
      </c>
      <c r="G447" s="10">
        <f>IFERROR(__xludf.DUMMYFUNCTION("""COMPUTED_VALUE"""),7.0)</f>
        <v>7</v>
      </c>
      <c r="H447" s="10">
        <f>IFERROR(__xludf.DUMMYFUNCTION("""COMPUTED_VALUE"""),7.0)</f>
        <v>7</v>
      </c>
      <c r="I447" s="10">
        <f>IFERROR(__xludf.DUMMYFUNCTION("""COMPUTED_VALUE"""),5.0)</f>
        <v>5</v>
      </c>
      <c r="J447" s="10"/>
      <c r="K447" s="10"/>
      <c r="L447" s="10"/>
      <c r="M447" s="10">
        <f>IFERROR(__xludf.DUMMYFUNCTION("""COMPUTED_VALUE"""),4.0)</f>
        <v>4</v>
      </c>
      <c r="N447" s="10"/>
      <c r="O447" s="10"/>
      <c r="P447" s="10"/>
      <c r="Q447" s="10"/>
      <c r="R447" s="10"/>
      <c r="S447" s="10"/>
      <c r="T447" s="10"/>
      <c r="U447" s="18" t="str">
        <f>IFERROR(__xludf.DUMMYFUNCTION("""COMPUTED_VALUE"""),"https://drive.google.com/open?id=1jy7Veuai2R5HdztGFBjj4V1ixFoxGh5b")</f>
        <v>https://drive.google.com/open?id=1jy7Veuai2R5HdztGFBjj4V1ixFoxGh5b</v>
      </c>
      <c r="V447" s="10" t="str">
        <f>IFERROR(__xludf.DUMMYFUNCTION("""COMPUTED_VALUE"""),"N/A")</f>
        <v>N/A</v>
      </c>
      <c r="W447" s="10"/>
      <c r="X447" s="10"/>
      <c r="Y447" s="14" t="str">
        <f>IFERROR(__xludf.DUMMYFUNCTION("""COMPUTED_VALUE"""),"tahirsultanofficial@gmail.com")</f>
        <v>tahirsultanofficial@gmail.com</v>
      </c>
      <c r="AA447" s="324"/>
    </row>
    <row r="448" hidden="1">
      <c r="A448" s="9">
        <f>IFERROR(__xludf.DUMMYFUNCTION("""COMPUTED_VALUE"""),45870.29099594908)</f>
        <v>45870.291</v>
      </c>
      <c r="B448" s="10" t="str">
        <f>IFERROR(__xludf.DUMMYFUNCTION("""COMPUTED_VALUE"""),"محمد عرفان اکرم")</f>
        <v>محمد عرفان اکرم</v>
      </c>
      <c r="C448" s="10" t="str">
        <f>IFERROR(__xludf.DUMMYFUNCTION("""COMPUTED_VALUE"""),"03065345047")</f>
        <v>03065345047</v>
      </c>
      <c r="D448" s="10" t="str">
        <f>IFERROR(__xludf.DUMMYFUNCTION("""COMPUTED_VALUE"""),"جامع مسجد ملا عبدالغفور والی، ملتان")</f>
        <v>جامع مسجد ملا عبدالغفور والی، ملتان</v>
      </c>
      <c r="E448" s="10" t="str">
        <f>IFERROR(__xludf.DUMMYFUNCTION("""COMPUTED_VALUE"""),"RNKSI")</f>
        <v>RNKSI</v>
      </c>
      <c r="F448" s="10">
        <f>IFERROR(__xludf.DUMMYFUNCTION("""COMPUTED_VALUE"""),98.0)</f>
        <v>98</v>
      </c>
      <c r="G448" s="10">
        <f>IFERROR(__xludf.DUMMYFUNCTION("""COMPUTED_VALUE"""),7.0)</f>
        <v>7</v>
      </c>
      <c r="H448" s="10">
        <f>IFERROR(__xludf.DUMMYFUNCTION("""COMPUTED_VALUE"""),7.0)</f>
        <v>7</v>
      </c>
      <c r="I448" s="10" t="str">
        <f>IFERROR(__xludf.DUMMYFUNCTION("""COMPUTED_VALUE"""),"ایک۔ ")</f>
        <v>ایک۔ </v>
      </c>
      <c r="J448" s="10"/>
      <c r="K448" s="10"/>
      <c r="L448" s="10"/>
      <c r="M448" s="10">
        <f>IFERROR(__xludf.DUMMYFUNCTION("""COMPUTED_VALUE"""),8.0)</f>
        <v>8</v>
      </c>
      <c r="N448" s="10"/>
      <c r="O448" s="10"/>
      <c r="P448" s="10"/>
      <c r="Q448" s="10"/>
      <c r="R448" s="10"/>
      <c r="S448" s="10"/>
      <c r="T448" s="10"/>
      <c r="U448" s="18" t="str">
        <f>IFERROR(__xludf.DUMMYFUNCTION("""COMPUTED_VALUE"""),"https://drive.google.com/open?id=1DVCVrOPkCdEVAysfAI1ncuEG74e0NV1c")</f>
        <v>https://drive.google.com/open?id=1DVCVrOPkCdEVAysfAI1ncuEG74e0NV1c</v>
      </c>
      <c r="V448" s="10" t="str">
        <f>IFERROR(__xludf.DUMMYFUNCTION("""COMPUTED_VALUE"""),"کوئی نہیں۔ ")</f>
        <v>کوئی نہیں۔ </v>
      </c>
      <c r="W448" s="10"/>
      <c r="X448" s="10"/>
      <c r="Y448" s="14" t="str">
        <f>IFERROR(__xludf.DUMMYFUNCTION("""COMPUTED_VALUE"""),"akramif472@gmail.com")</f>
        <v>akramif472@gmail.com</v>
      </c>
      <c r="AA448" s="324"/>
    </row>
    <row r="449" hidden="1">
      <c r="A449" s="9">
        <f>IFERROR(__xludf.DUMMYFUNCTION("""COMPUTED_VALUE"""),45870.29273818287)</f>
        <v>45870.29274</v>
      </c>
      <c r="B449" s="10" t="str">
        <f>IFERROR(__xludf.DUMMYFUNCTION("""COMPUTED_VALUE"""),"Masroor karim ")</f>
        <v>Masroor karim </v>
      </c>
      <c r="C449" s="10" t="str">
        <f>IFERROR(__xludf.DUMMYFUNCTION("""COMPUTED_VALUE"""),"03051507669")</f>
        <v>03051507669</v>
      </c>
      <c r="D449" s="10" t="str">
        <f>IFERROR(__xludf.DUMMYFUNCTION("""COMPUTED_VALUE"""),"قدیمی جامعہ مسجد جنازہ گاہ نشاط روڈ لوہا مارکیٹ ملتان ")</f>
        <v>قدیمی جامعہ مسجد جنازہ گاہ نشاط روڈ لوہا مارکیٹ ملتان </v>
      </c>
      <c r="E449" s="10" t="str">
        <f>IFERROR(__xludf.DUMMYFUNCTION("""COMPUTED_VALUE"""),"WPXTS")</f>
        <v>WPXTS</v>
      </c>
      <c r="F449" s="10">
        <f>IFERROR(__xludf.DUMMYFUNCTION("""COMPUTED_VALUE"""),220.0)</f>
        <v>220</v>
      </c>
      <c r="G449" s="10">
        <f>IFERROR(__xludf.DUMMYFUNCTION("""COMPUTED_VALUE"""),5.0)</f>
        <v>5</v>
      </c>
      <c r="H449" s="10">
        <f>IFERROR(__xludf.DUMMYFUNCTION("""COMPUTED_VALUE"""),5.0)</f>
        <v>5</v>
      </c>
      <c r="I449" s="10">
        <f>IFERROR(__xludf.DUMMYFUNCTION("""COMPUTED_VALUE"""),2.0)</f>
        <v>2</v>
      </c>
      <c r="J449" s="10"/>
      <c r="K449" s="10"/>
      <c r="L449" s="10"/>
      <c r="M449" s="10">
        <f>IFERROR(__xludf.DUMMYFUNCTION("""COMPUTED_VALUE"""),8.0)</f>
        <v>8</v>
      </c>
      <c r="N449" s="10"/>
      <c r="O449" s="10"/>
      <c r="P449" s="10"/>
      <c r="Q449" s="10"/>
      <c r="R449" s="10"/>
      <c r="S449" s="10"/>
      <c r="T449" s="10"/>
      <c r="U449" s="18" t="str">
        <f>IFERROR(__xludf.DUMMYFUNCTION("""COMPUTED_VALUE"""),"https://drive.google.com/open?id=10GOUazO8tGitVpnzP9jM1U6peRzuvOwi")</f>
        <v>https://drive.google.com/open?id=10GOUazO8tGitVpnzP9jM1U6peRzuvOwi</v>
      </c>
      <c r="V449" s="10" t="str">
        <f>IFERROR(__xludf.DUMMYFUNCTION("""COMPUTED_VALUE"""),"N/A")</f>
        <v>N/A</v>
      </c>
      <c r="W449" s="10"/>
      <c r="X449" s="10"/>
      <c r="Y449" s="14" t="str">
        <f>IFERROR(__xludf.DUMMYFUNCTION("""COMPUTED_VALUE"""),"masroormalik669@gmail.com")</f>
        <v>masroormalik669@gmail.com</v>
      </c>
      <c r="AA449" s="324"/>
    </row>
    <row r="450" hidden="1">
      <c r="A450" s="9">
        <f>IFERROR(__xludf.DUMMYFUNCTION("""COMPUTED_VALUE"""),45870.303665370375)</f>
        <v>45870.30367</v>
      </c>
      <c r="B450" s="10" t="str">
        <f>IFERROR(__xludf.DUMMYFUNCTION("""COMPUTED_VALUE"""),"Muhammad Shabbir ")</f>
        <v>Muhammad Shabbir </v>
      </c>
      <c r="C450" s="10" t="str">
        <f>IFERROR(__xludf.DUMMYFUNCTION("""COMPUTED_VALUE"""),"03009543049")</f>
        <v>03009543049</v>
      </c>
      <c r="D450" s="10" t="str">
        <f>IFERROR(__xludf.DUMMYFUNCTION("""COMPUTED_VALUE"""),"Dabar e Allia Shah Rukne Alam ")</f>
        <v>Dabar e Allia Shah Rukne Alam </v>
      </c>
      <c r="E450" s="10" t="str">
        <f>IFERROR(__xludf.DUMMYFUNCTION("""COMPUTED_VALUE"""),"YEIGP")</f>
        <v>YEIGP</v>
      </c>
      <c r="F450" s="10">
        <f>IFERROR(__xludf.DUMMYFUNCTION("""COMPUTED_VALUE"""),983.0)</f>
        <v>983</v>
      </c>
      <c r="G450" s="10">
        <f>IFERROR(__xludf.DUMMYFUNCTION("""COMPUTED_VALUE"""),10.0)</f>
        <v>10</v>
      </c>
      <c r="H450" s="10">
        <f>IFERROR(__xludf.DUMMYFUNCTION("""COMPUTED_VALUE"""),10.0)</f>
        <v>10</v>
      </c>
      <c r="I450" s="10">
        <f>IFERROR(__xludf.DUMMYFUNCTION("""COMPUTED_VALUE"""),0.0)</f>
        <v>0</v>
      </c>
      <c r="J450" s="10"/>
      <c r="K450" s="10"/>
      <c r="L450" s="10"/>
      <c r="M450" s="10">
        <f>IFERROR(__xludf.DUMMYFUNCTION("""COMPUTED_VALUE"""),10.0)</f>
        <v>10</v>
      </c>
      <c r="N450" s="10"/>
      <c r="O450" s="10"/>
      <c r="P450" s="10"/>
      <c r="Q450" s="10"/>
      <c r="R450" s="10"/>
      <c r="S450" s="10"/>
      <c r="T450" s="10"/>
      <c r="U450" s="18" t="str">
        <f>IFERROR(__xludf.DUMMYFUNCTION("""COMPUTED_VALUE"""),"https://drive.google.com/open?id=1qc0R40f2JKwB-mpWh4iocbEyXjx4ddI5")</f>
        <v>https://drive.google.com/open?id=1qc0R40f2JKwB-mpWh4iocbEyXjx4ddI5</v>
      </c>
      <c r="V450" s="10"/>
      <c r="W450" s="10"/>
      <c r="X450" s="10"/>
      <c r="Y450" s="14" t="str">
        <f>IFERROR(__xludf.DUMMYFUNCTION("""COMPUTED_VALUE"""),"shabbirmalik017@gmail.com")</f>
        <v>shabbirmalik017@gmail.com</v>
      </c>
      <c r="AA450" s="324"/>
    </row>
    <row r="451" hidden="1">
      <c r="A451" s="9">
        <f>IFERROR(__xludf.DUMMYFUNCTION("""COMPUTED_VALUE"""),45870.33002204861)</f>
        <v>45870.33002</v>
      </c>
      <c r="B451" s="10" t="str">
        <f>IFERROR(__xludf.DUMMYFUNCTION("""COMPUTED_VALUE"""),"Adeel")</f>
        <v>Adeel</v>
      </c>
      <c r="C451" s="10" t="str">
        <f>IFERROR(__xludf.DUMMYFUNCTION("""COMPUTED_VALUE"""),"03008396958")</f>
        <v>03008396958</v>
      </c>
      <c r="D451" s="10" t="str">
        <f>IFERROR(__xludf.DUMMYFUNCTION("""COMPUTED_VALUE"""),"Jamia masjid markazi Eid gah Khanewal")</f>
        <v>Jamia masjid markazi Eid gah Khanewal</v>
      </c>
      <c r="E451" s="10" t="str">
        <f>IFERROR(__xludf.DUMMYFUNCTION("""COMPUTED_VALUE"""),"FRMFU")</f>
        <v>FRMFU</v>
      </c>
      <c r="F451" s="10">
        <f>IFERROR(__xludf.DUMMYFUNCTION("""COMPUTED_VALUE"""),1125.0)</f>
        <v>1125</v>
      </c>
      <c r="G451" s="10">
        <f>IFERROR(__xludf.DUMMYFUNCTION("""COMPUTED_VALUE"""),4.0)</f>
        <v>4</v>
      </c>
      <c r="H451" s="10">
        <f>IFERROR(__xludf.DUMMYFUNCTION("""COMPUTED_VALUE"""),5.0)</f>
        <v>5</v>
      </c>
      <c r="I451" s="10">
        <f>IFERROR(__xludf.DUMMYFUNCTION("""COMPUTED_VALUE"""),5.0)</f>
        <v>5</v>
      </c>
      <c r="J451" s="10"/>
      <c r="K451" s="10"/>
      <c r="L451" s="10"/>
      <c r="M451" s="10">
        <f>IFERROR(__xludf.DUMMYFUNCTION("""COMPUTED_VALUE"""),9.0)</f>
        <v>9</v>
      </c>
      <c r="N451" s="10"/>
      <c r="O451" s="10"/>
      <c r="P451" s="10"/>
      <c r="Q451" s="10"/>
      <c r="R451" s="10"/>
      <c r="S451" s="10"/>
      <c r="T451" s="10"/>
      <c r="U451" s="18" t="str">
        <f>IFERROR(__xludf.DUMMYFUNCTION("""COMPUTED_VALUE"""),"https://drive.google.com/open?id=1QAfLTXF0KU5jDpyeh62qiFwU9yoYD4zF")</f>
        <v>https://drive.google.com/open?id=1QAfLTXF0KU5jDpyeh62qiFwU9yoYD4zF</v>
      </c>
      <c r="V451" s="10" t="str">
        <f>IFERROR(__xludf.DUMMYFUNCTION("""COMPUTED_VALUE"""),"First 27 Mints voice is valid .After 27 Mints  please ignore .because there is no way to collect mobile From speakers stand")</f>
        <v>First 27 Mints voice is valid .After 27 Mints  please ignore .because there is no way to collect mobile From speakers stand</v>
      </c>
      <c r="W451" s="10"/>
      <c r="X451" s="10"/>
      <c r="Y451" s="14" t="str">
        <f>IFERROR(__xludf.DUMMYFUNCTION("""COMPUTED_VALUE"""),"fahadsheikh4340@gmail.com")</f>
        <v>fahadsheikh4340@gmail.com</v>
      </c>
      <c r="AA451" s="324"/>
    </row>
    <row r="452" hidden="1">
      <c r="A452" s="9">
        <f>IFERROR(__xludf.DUMMYFUNCTION("""COMPUTED_VALUE"""),45870.33176252314)</f>
        <v>45870.33176</v>
      </c>
      <c r="B452" s="10" t="str">
        <f>IFERROR(__xludf.DUMMYFUNCTION("""COMPUTED_VALUE"""),"M Ibrar")</f>
        <v>M Ibrar</v>
      </c>
      <c r="C452" s="10" t="str">
        <f>IFERROR(__xludf.DUMMYFUNCTION("""COMPUTED_VALUE"""),"03057550824")</f>
        <v>03057550824</v>
      </c>
      <c r="D452" s="10" t="str">
        <f>IFERROR(__xludf.DUMMYFUNCTION("""COMPUTED_VALUE"""),"Jamie Masjid qasba murral Multan ")</f>
        <v>Jamie Masjid qasba murral Multan </v>
      </c>
      <c r="E452" s="10" t="str">
        <f>IFERROR(__xludf.DUMMYFUNCTION("""COMPUTED_VALUE"""),"JSPGW")</f>
        <v>JSPGW</v>
      </c>
      <c r="F452" s="10">
        <f>IFERROR(__xludf.DUMMYFUNCTION("""COMPUTED_VALUE"""),157.0)</f>
        <v>157</v>
      </c>
      <c r="G452" s="10">
        <f>IFERROR(__xludf.DUMMYFUNCTION("""COMPUTED_VALUE"""),5.0)</f>
        <v>5</v>
      </c>
      <c r="H452" s="10">
        <f>IFERROR(__xludf.DUMMYFUNCTION("""COMPUTED_VALUE"""),5.0)</f>
        <v>5</v>
      </c>
      <c r="I452" s="10">
        <f>IFERROR(__xludf.DUMMYFUNCTION("""COMPUTED_VALUE"""),7.0)</f>
        <v>7</v>
      </c>
      <c r="J452" s="10"/>
      <c r="K452" s="10"/>
      <c r="L452" s="10"/>
      <c r="M452" s="10">
        <f>IFERROR(__xludf.DUMMYFUNCTION("""COMPUTED_VALUE"""),7.0)</f>
        <v>7</v>
      </c>
      <c r="N452" s="10"/>
      <c r="O452" s="10"/>
      <c r="P452" s="10"/>
      <c r="Q452" s="10"/>
      <c r="R452" s="10"/>
      <c r="S452" s="10"/>
      <c r="T452" s="10"/>
      <c r="U452" s="18" t="str">
        <f>IFERROR(__xludf.DUMMYFUNCTION("""COMPUTED_VALUE"""),"https://drive.google.com/open?id=1CgQmpggBUFn05d7h84ZIvaEsf-E6VBIb")</f>
        <v>https://drive.google.com/open?id=1CgQmpggBUFn05d7h84ZIvaEsf-E6VBIb</v>
      </c>
      <c r="V452" s="10" t="str">
        <f>IFERROR(__xludf.DUMMYFUNCTION("""COMPUTED_VALUE"""),"No")</f>
        <v>No</v>
      </c>
      <c r="W452" s="10"/>
      <c r="X452" s="10"/>
      <c r="Y452" s="14" t="str">
        <f>IFERROR(__xludf.DUMMYFUNCTION("""COMPUTED_VALUE"""),"rameezibrar7@gmail.com")</f>
        <v>rameezibrar7@gmail.com</v>
      </c>
      <c r="AA452" s="324"/>
    </row>
    <row r="453" hidden="1">
      <c r="A453" s="9">
        <f>IFERROR(__xludf.DUMMYFUNCTION("""COMPUTED_VALUE"""),45870.33938337963)</f>
        <v>45870.33938</v>
      </c>
      <c r="B453" s="10" t="str">
        <f>IFERROR(__xludf.DUMMYFUNCTION("""COMPUTED_VALUE"""),"Muhammad Rizwan ")</f>
        <v>Muhammad Rizwan </v>
      </c>
      <c r="C453" s="10" t="str">
        <f>IFERROR(__xludf.DUMMYFUNCTION("""COMPUTED_VALUE"""),"03277204597")</f>
        <v>03277204597</v>
      </c>
      <c r="D453" s="10" t="str">
        <f>IFERROR(__xludf.DUMMYFUNCTION("""COMPUTED_VALUE"""),"Jamia Masjid Anayat Walayat Multan")</f>
        <v>Jamia Masjid Anayat Walayat Multan</v>
      </c>
      <c r="E453" s="10" t="str">
        <f>IFERROR(__xludf.DUMMYFUNCTION("""COMPUTED_VALUE"""),"MEEPX")</f>
        <v>MEEPX</v>
      </c>
      <c r="F453" s="10">
        <f>IFERROR(__xludf.DUMMYFUNCTION("""COMPUTED_VALUE"""),177.0)</f>
        <v>177</v>
      </c>
      <c r="G453" s="10">
        <f>IFERROR(__xludf.DUMMYFUNCTION("""COMPUTED_VALUE"""),7.0)</f>
        <v>7</v>
      </c>
      <c r="H453" s="10">
        <f>IFERROR(__xludf.DUMMYFUNCTION("""COMPUTED_VALUE"""),7.0)</f>
        <v>7</v>
      </c>
      <c r="I453" s="10">
        <f>IFERROR(__xludf.DUMMYFUNCTION("""COMPUTED_VALUE"""),3.0)</f>
        <v>3</v>
      </c>
      <c r="J453" s="10"/>
      <c r="K453" s="10"/>
      <c r="L453" s="10"/>
      <c r="M453" s="10">
        <f>IFERROR(__xludf.DUMMYFUNCTION("""COMPUTED_VALUE"""),9.0)</f>
        <v>9</v>
      </c>
      <c r="N453" s="10"/>
      <c r="O453" s="10"/>
      <c r="P453" s="10"/>
      <c r="Q453" s="10"/>
      <c r="R453" s="10"/>
      <c r="S453" s="10"/>
      <c r="T453" s="10"/>
      <c r="U453" s="18" t="str">
        <f>IFERROR(__xludf.DUMMYFUNCTION("""COMPUTED_VALUE"""),"https://drive.google.com/open?id=1EW3D1hQPuzI7WsL-9NmKzIQbNaEWh7gr")</f>
        <v>https://drive.google.com/open?id=1EW3D1hQPuzI7WsL-9NmKzIQbNaEWh7gr</v>
      </c>
      <c r="V453" s="10" t="str">
        <f>IFERROR(__xludf.DUMMYFUNCTION("""COMPUTED_VALUE"""),"N/A")</f>
        <v>N/A</v>
      </c>
      <c r="W453" s="10"/>
      <c r="X453" s="10"/>
      <c r="Y453" s="14" t="str">
        <f>IFERROR(__xludf.DUMMYFUNCTION("""COMPUTED_VALUE"""),"rizomrizwan508@gmail.com")</f>
        <v>rizomrizwan508@gmail.com</v>
      </c>
      <c r="AA453" s="324"/>
    </row>
    <row r="454" hidden="1">
      <c r="A454" s="9">
        <f>IFERROR(__xludf.DUMMYFUNCTION("""COMPUTED_VALUE"""),45870.35554862268)</f>
        <v>45870.35555</v>
      </c>
      <c r="B454" s="10" t="str">
        <f>IFERROR(__xludf.DUMMYFUNCTION("""COMPUTED_VALUE"""),"Abdul jabbar")</f>
        <v>Abdul jabbar</v>
      </c>
      <c r="C454" s="10" t="str">
        <f>IFERROR(__xludf.DUMMYFUNCTION("""COMPUTED_VALUE"""),"03366688476")</f>
        <v>03366688476</v>
      </c>
      <c r="D454" s="10" t="str">
        <f>IFERROR(__xludf.DUMMYFUNCTION("""COMPUTED_VALUE"""),"Jamia Masjid Haroonabad")</f>
        <v>Jamia Masjid Haroonabad</v>
      </c>
      <c r="E454" s="10" t="str">
        <f>IFERROR(__xludf.DUMMYFUNCTION("""COMPUTED_VALUE"""),"JYDRI")</f>
        <v>JYDRI</v>
      </c>
      <c r="F454" s="10">
        <f>IFERROR(__xludf.DUMMYFUNCTION("""COMPUTED_VALUE"""),220.0)</f>
        <v>220</v>
      </c>
      <c r="G454" s="10">
        <f>IFERROR(__xludf.DUMMYFUNCTION("""COMPUTED_VALUE"""),7.0)</f>
        <v>7</v>
      </c>
      <c r="H454" s="10">
        <f>IFERROR(__xludf.DUMMYFUNCTION("""COMPUTED_VALUE"""),7.0)</f>
        <v>7</v>
      </c>
      <c r="I454" s="10">
        <f>IFERROR(__xludf.DUMMYFUNCTION("""COMPUTED_VALUE"""),0.0)</f>
        <v>0</v>
      </c>
      <c r="J454" s="10"/>
      <c r="K454" s="10"/>
      <c r="L454" s="10"/>
      <c r="M454" s="10">
        <f>IFERROR(__xludf.DUMMYFUNCTION("""COMPUTED_VALUE"""),8.0)</f>
        <v>8</v>
      </c>
      <c r="N454" s="10"/>
      <c r="O454" s="10"/>
      <c r="P454" s="10"/>
      <c r="Q454" s="10"/>
      <c r="R454" s="10"/>
      <c r="S454" s="10"/>
      <c r="T454" s="10"/>
      <c r="U454" s="18" t="str">
        <f>IFERROR(__xludf.DUMMYFUNCTION("""COMPUTED_VALUE"""),"https://drive.google.com/open?id=1ntzhbyJ7wpu_vDB_WmZYfYhYINvf4h4K")</f>
        <v>https://drive.google.com/open?id=1ntzhbyJ7wpu_vDB_WmZYfYhYINvf4h4K</v>
      </c>
      <c r="V454" s="10" t="str">
        <f>IFERROR(__xludf.DUMMYFUNCTION("""COMPUTED_VALUE"""),"No")</f>
        <v>No</v>
      </c>
      <c r="W454" s="10"/>
      <c r="X454" s="10"/>
      <c r="Y454" s="14" t="str">
        <f>IFERROR(__xludf.DUMMYFUNCTION("""COMPUTED_VALUE"""),"muhammadjabbar647@gmail.com")</f>
        <v>muhammadjabbar647@gmail.com</v>
      </c>
      <c r="AA454" s="324"/>
    </row>
    <row r="455" hidden="1">
      <c r="A455" s="9">
        <f>IFERROR(__xludf.DUMMYFUNCTION("""COMPUTED_VALUE"""),45870.359629074075)</f>
        <v>45870.35963</v>
      </c>
      <c r="B455" s="10" t="str">
        <f>IFERROR(__xludf.DUMMYFUNCTION("""COMPUTED_VALUE"""),"Mubashir Aleem ")</f>
        <v>Mubashir Aleem </v>
      </c>
      <c r="C455" s="10" t="str">
        <f>IFERROR(__xludf.DUMMYFUNCTION("""COMPUTED_VALUE"""),"03355555543")</f>
        <v>03355555543</v>
      </c>
      <c r="D455" s="10" t="str">
        <f>IFERROR(__xludf.DUMMYFUNCTION("""COMPUTED_VALUE"""),"Jamia Masjid musa pak shaheed ")</f>
        <v>Jamia Masjid musa pak shaheed </v>
      </c>
      <c r="E455" s="10" t="str">
        <f>IFERROR(__xludf.DUMMYFUNCTION("""COMPUTED_VALUE"""),"WGVNS")</f>
        <v>WGVNS</v>
      </c>
      <c r="F455" s="10">
        <f>IFERROR(__xludf.DUMMYFUNCTION("""COMPUTED_VALUE"""),270.0)</f>
        <v>270</v>
      </c>
      <c r="G455" s="10">
        <f>IFERROR(__xludf.DUMMYFUNCTION("""COMPUTED_VALUE"""),10.0)</f>
        <v>10</v>
      </c>
      <c r="H455" s="10">
        <f>IFERROR(__xludf.DUMMYFUNCTION("""COMPUTED_VALUE"""),10.0)</f>
        <v>10</v>
      </c>
      <c r="I455" s="10" t="str">
        <f>IFERROR(__xludf.DUMMYFUNCTION("""COMPUTED_VALUE"""),"Nothing")</f>
        <v>Nothing</v>
      </c>
      <c r="J455" s="10"/>
      <c r="K455" s="10"/>
      <c r="L455" s="10"/>
      <c r="M455" s="10">
        <f>IFERROR(__xludf.DUMMYFUNCTION("""COMPUTED_VALUE"""),10.0)</f>
        <v>10</v>
      </c>
      <c r="N455" s="10"/>
      <c r="O455" s="10"/>
      <c r="P455" s="10"/>
      <c r="Q455" s="10"/>
      <c r="R455" s="10"/>
      <c r="S455" s="10"/>
      <c r="T455" s="10"/>
      <c r="U455" s="18" t="str">
        <f>IFERROR(__xludf.DUMMYFUNCTION("""COMPUTED_VALUE"""),"https://drive.google.com/open?id=155nhn_vvLjNQSGCKa8EeCetO4Cg6CZQ7")</f>
        <v>https://drive.google.com/open?id=155nhn_vvLjNQSGCKa8EeCetO4Cg6CZQ7</v>
      </c>
      <c r="V455" s="10" t="str">
        <f>IFERROR(__xludf.DUMMYFUNCTION("""COMPUTED_VALUE"""),"Nothing ")</f>
        <v>Nothing </v>
      </c>
      <c r="W455" s="10"/>
      <c r="X455" s="10"/>
      <c r="Y455" s="14" t="str">
        <f>IFERROR(__xludf.DUMMYFUNCTION("""COMPUTED_VALUE"""),"maleem699@gmail.com")</f>
        <v>maleem699@gmail.com</v>
      </c>
      <c r="AA455" s="324"/>
    </row>
    <row r="456" hidden="1">
      <c r="A456" s="9">
        <f>IFERROR(__xludf.DUMMYFUNCTION("""COMPUTED_VALUE"""),45870.38039883102)</f>
        <v>45870.3804</v>
      </c>
      <c r="B456" s="10" t="str">
        <f>IFERROR(__xludf.DUMMYFUNCTION("""COMPUTED_VALUE"""),"Muhammad waseem ")</f>
        <v>Muhammad waseem </v>
      </c>
      <c r="C456" s="10" t="str">
        <f>IFERROR(__xludf.DUMMYFUNCTION("""COMPUTED_VALUE"""),"03054641810")</f>
        <v>03054641810</v>
      </c>
      <c r="D456" s="10" t="str">
        <f>IFERROR(__xludf.DUMMYFUNCTION("""COMPUTED_VALUE"""),"Jamia Masjid minya Nawali Minchanabad")</f>
        <v>Jamia Masjid minya Nawali Minchanabad</v>
      </c>
      <c r="E456" s="10" t="str">
        <f>IFERROR(__xludf.DUMMYFUNCTION("""COMPUTED_VALUE"""),"PBYFM")</f>
        <v>PBYFM</v>
      </c>
      <c r="F456" s="10">
        <f>IFERROR(__xludf.DUMMYFUNCTION("""COMPUTED_VALUE"""),23.0)</f>
        <v>23</v>
      </c>
      <c r="G456" s="10">
        <f>IFERROR(__xludf.DUMMYFUNCTION("""COMPUTED_VALUE"""),3.0)</f>
        <v>3</v>
      </c>
      <c r="H456" s="10">
        <f>IFERROR(__xludf.DUMMYFUNCTION("""COMPUTED_VALUE"""),6.0)</f>
        <v>6</v>
      </c>
      <c r="I456" s="10">
        <f>IFERROR(__xludf.DUMMYFUNCTION("""COMPUTED_VALUE"""),3.0)</f>
        <v>3</v>
      </c>
      <c r="J456" s="10"/>
      <c r="K456" s="10"/>
      <c r="L456" s="10"/>
      <c r="M456" s="10">
        <f>IFERROR(__xludf.DUMMYFUNCTION("""COMPUTED_VALUE"""),10.0)</f>
        <v>10</v>
      </c>
      <c r="N456" s="10"/>
      <c r="O456" s="10"/>
      <c r="P456" s="10"/>
      <c r="Q456" s="10"/>
      <c r="R456" s="10"/>
      <c r="S456" s="10"/>
      <c r="T456" s="10"/>
      <c r="U456" s="18" t="str">
        <f>IFERROR(__xludf.DUMMYFUNCTION("""COMPUTED_VALUE"""),"https://drive.google.com/open?id=15tIUKTQiLoCli4kTe3SMVpCzzz5oU0b8")</f>
        <v>https://drive.google.com/open?id=15tIUKTQiLoCli4kTe3SMVpCzzz5oU0b8</v>
      </c>
      <c r="V456" s="10"/>
      <c r="W456" s="10"/>
      <c r="X456" s="10"/>
      <c r="Y456" s="14" t="str">
        <f>IFERROR(__xludf.DUMMYFUNCTION("""COMPUTED_VALUE"""),"chw116668@gmail.com")</f>
        <v>chw116668@gmail.com</v>
      </c>
      <c r="AA456" s="324"/>
    </row>
    <row r="457" hidden="1">
      <c r="A457" s="9">
        <f>IFERROR(__xludf.DUMMYFUNCTION("""COMPUTED_VALUE"""),45870.40835517361)</f>
        <v>45870.40836</v>
      </c>
      <c r="B457" s="10" t="str">
        <f>IFERROR(__xludf.DUMMYFUNCTION("""COMPUTED_VALUE"""),"Mazhar Abbas ")</f>
        <v>Mazhar Abbas </v>
      </c>
      <c r="C457" s="10" t="str">
        <f>IFERROR(__xludf.DUMMYFUNCTION("""COMPUTED_VALUE"""),"03076762856")</f>
        <v>03076762856</v>
      </c>
      <c r="D457" s="10" t="str">
        <f>IFERROR(__xludf.DUMMYFUNCTION("""COMPUTED_VALUE"""),"Jamia Masjid Shamsher Shah Safri ")</f>
        <v>Jamia Masjid Shamsher Shah Safri </v>
      </c>
      <c r="E457" s="10" t="str">
        <f>IFERROR(__xludf.DUMMYFUNCTION("""COMPUTED_VALUE"""),"ITYEP ")</f>
        <v>ITYEP </v>
      </c>
      <c r="F457" s="10">
        <f>IFERROR(__xludf.DUMMYFUNCTION("""COMPUTED_VALUE"""),105.0)</f>
        <v>105</v>
      </c>
      <c r="G457" s="10">
        <f>IFERROR(__xludf.DUMMYFUNCTION("""COMPUTED_VALUE"""),8.0)</f>
        <v>8</v>
      </c>
      <c r="H457" s="10">
        <f>IFERROR(__xludf.DUMMYFUNCTION("""COMPUTED_VALUE"""),8.0)</f>
        <v>8</v>
      </c>
      <c r="I457" s="10">
        <f>IFERROR(__xludf.DUMMYFUNCTION("""COMPUTED_VALUE"""),3.0)</f>
        <v>3</v>
      </c>
      <c r="J457" s="10"/>
      <c r="K457" s="10"/>
      <c r="L457" s="10"/>
      <c r="M457" s="10">
        <f>IFERROR(__xludf.DUMMYFUNCTION("""COMPUTED_VALUE"""),9.0)</f>
        <v>9</v>
      </c>
      <c r="N457" s="10"/>
      <c r="O457" s="10"/>
      <c r="P457" s="10"/>
      <c r="Q457" s="10"/>
      <c r="R457" s="10"/>
      <c r="S457" s="10"/>
      <c r="T457" s="10"/>
      <c r="U457" s="18" t="str">
        <f>IFERROR(__xludf.DUMMYFUNCTION("""COMPUTED_VALUE"""),"https://drive.google.com/open?id=15F7oQ_MP7wpO6rFb7HlNbHO_I7R0BfdS")</f>
        <v>https://drive.google.com/open?id=15F7oQ_MP7wpO6rFb7HlNbHO_I7R0BfdS</v>
      </c>
      <c r="V457" s="10"/>
      <c r="W457" s="10"/>
      <c r="X457" s="10"/>
      <c r="Y457" s="14" t="str">
        <f>IFERROR(__xludf.DUMMYFUNCTION("""COMPUTED_VALUE"""),"mazhardhatt@gmail.com")</f>
        <v>mazhardhatt@gmail.com</v>
      </c>
      <c r="AA457" s="324"/>
    </row>
    <row r="458" hidden="1">
      <c r="A458" s="9">
        <f>IFERROR(__xludf.DUMMYFUNCTION("""COMPUTED_VALUE"""),45870.418995671294)</f>
        <v>45870.419</v>
      </c>
      <c r="B458" s="10" t="str">
        <f>IFERROR(__xludf.DUMMYFUNCTION("""COMPUTED_VALUE"""),"Sajjad Hussain ")</f>
        <v>Sajjad Hussain </v>
      </c>
      <c r="C458" s="10" t="str">
        <f>IFERROR(__xludf.DUMMYFUNCTION("""COMPUTED_VALUE"""),"03013720843")</f>
        <v>03013720843</v>
      </c>
      <c r="D458" s="10" t="str">
        <f>IFERROR(__xludf.DUMMYFUNCTION("""COMPUTED_VALUE"""),"Jamia masjid ghawajagaan Multan ")</f>
        <v>Jamia masjid ghawajagaan Multan </v>
      </c>
      <c r="E458" s="10" t="str">
        <f>IFERROR(__xludf.DUMMYFUNCTION("""COMPUTED_VALUE"""),"CFHON ")</f>
        <v>CFHON </v>
      </c>
      <c r="F458" s="10">
        <f>IFERROR(__xludf.DUMMYFUNCTION("""COMPUTED_VALUE"""),40.0)</f>
        <v>40</v>
      </c>
      <c r="G458" s="10">
        <f>IFERROR(__xludf.DUMMYFUNCTION("""COMPUTED_VALUE"""),8.0)</f>
        <v>8</v>
      </c>
      <c r="H458" s="10">
        <f>IFERROR(__xludf.DUMMYFUNCTION("""COMPUTED_VALUE"""),3.0)</f>
        <v>3</v>
      </c>
      <c r="I458" s="10">
        <f>IFERROR(__xludf.DUMMYFUNCTION("""COMPUTED_VALUE"""),3.0)</f>
        <v>3</v>
      </c>
      <c r="J458" s="10"/>
      <c r="K458" s="10"/>
      <c r="L458" s="10"/>
      <c r="M458" s="10">
        <f>IFERROR(__xludf.DUMMYFUNCTION("""COMPUTED_VALUE"""),7.0)</f>
        <v>7</v>
      </c>
      <c r="N458" s="10"/>
      <c r="O458" s="10"/>
      <c r="P458" s="10"/>
      <c r="Q458" s="10"/>
      <c r="R458" s="10"/>
      <c r="S458" s="10"/>
      <c r="T458" s="10"/>
      <c r="U458" s="18" t="str">
        <f>IFERROR(__xludf.DUMMYFUNCTION("""COMPUTED_VALUE"""),"https://drive.google.com/open?id=1tsTFG873Y9i8lTX04KoKLbwJ3dvNjGwn")</f>
        <v>https://drive.google.com/open?id=1tsTFG873Y9i8lTX04KoKLbwJ3dvNjGwn</v>
      </c>
      <c r="V458" s="10"/>
      <c r="W458" s="10"/>
      <c r="X458" s="10"/>
      <c r="Y458" s="14" t="str">
        <f>IFERROR(__xludf.DUMMYFUNCTION("""COMPUTED_VALUE"""),"sajjadhussainh786@gmail.com")</f>
        <v>sajjadhussainh786@gmail.com</v>
      </c>
      <c r="AA458" s="324"/>
    </row>
    <row r="459" hidden="1">
      <c r="A459" s="9">
        <f>IFERROR(__xludf.DUMMYFUNCTION("""COMPUTED_VALUE"""),45870.43289125)</f>
        <v>45870.43289</v>
      </c>
      <c r="B459" s="10" t="str">
        <f>IFERROR(__xludf.DUMMYFUNCTION("""COMPUTED_VALUE"""),"Muhammad Sajid ")</f>
        <v>Muhammad Sajid </v>
      </c>
      <c r="C459" s="10" t="str">
        <f>IFERROR(__xludf.DUMMYFUNCTION("""COMPUTED_VALUE"""),"03009817016")</f>
        <v>03009817016</v>
      </c>
      <c r="D459" s="10" t="str">
        <f>IFERROR(__xludf.DUMMYFUNCTION("""COMPUTED_VALUE"""),"Jamia masjid phongran wali chowk Bazar multan ")</f>
        <v>Jamia masjid phongran wali chowk Bazar multan </v>
      </c>
      <c r="E459" s="10" t="str">
        <f>IFERROR(__xludf.DUMMYFUNCTION("""COMPUTED_VALUE"""),"VREAU")</f>
        <v>VREAU</v>
      </c>
      <c r="F459" s="10">
        <f>IFERROR(__xludf.DUMMYFUNCTION("""COMPUTED_VALUE"""),89.0)</f>
        <v>89</v>
      </c>
      <c r="G459" s="10">
        <f>IFERROR(__xludf.DUMMYFUNCTION("""COMPUTED_VALUE"""),7.0)</f>
        <v>7</v>
      </c>
      <c r="H459" s="10">
        <f>IFERROR(__xludf.DUMMYFUNCTION("""COMPUTED_VALUE"""),7.0)</f>
        <v>7</v>
      </c>
      <c r="I459" s="10">
        <f>IFERROR(__xludf.DUMMYFUNCTION("""COMPUTED_VALUE"""),2.0)</f>
        <v>2</v>
      </c>
      <c r="J459" s="10"/>
      <c r="K459" s="10"/>
      <c r="L459" s="10"/>
      <c r="M459" s="10">
        <f>IFERROR(__xludf.DUMMYFUNCTION("""COMPUTED_VALUE"""),8.0)</f>
        <v>8</v>
      </c>
      <c r="N459" s="10"/>
      <c r="O459" s="10"/>
      <c r="P459" s="10"/>
      <c r="Q459" s="10"/>
      <c r="R459" s="10"/>
      <c r="S459" s="10"/>
      <c r="T459" s="10"/>
      <c r="U459" s="18" t="str">
        <f>IFERROR(__xludf.DUMMYFUNCTION("""COMPUTED_VALUE"""),"https://drive.google.com/open?id=16mwG-Hh5V5nUdRQyyqnuS_d-b1Qm9y7d")</f>
        <v>https://drive.google.com/open?id=16mwG-Hh5V5nUdRQyyqnuS_d-b1Qm9y7d</v>
      </c>
      <c r="V459" s="10" t="str">
        <f>IFERROR(__xludf.DUMMYFUNCTION("""COMPUTED_VALUE"""),"No")</f>
        <v>No</v>
      </c>
      <c r="W459" s="10"/>
      <c r="X459" s="10"/>
      <c r="Y459" s="14" t="str">
        <f>IFERROR(__xludf.DUMMYFUNCTION("""COMPUTED_VALUE"""),"sajidshahzad88@gmail.com")</f>
        <v>sajidshahzad88@gmail.com</v>
      </c>
      <c r="AA459" s="324"/>
    </row>
    <row r="460" hidden="1">
      <c r="A460" s="9">
        <f>IFERROR(__xludf.DUMMYFUNCTION("""COMPUTED_VALUE"""),45870.43553876157)</f>
        <v>45870.43554</v>
      </c>
      <c r="B460" s="10" t="str">
        <f>IFERROR(__xludf.DUMMYFUNCTION("""COMPUTED_VALUE"""),"Muhammad Sajid ")</f>
        <v>Muhammad Sajid </v>
      </c>
      <c r="C460" s="10" t="str">
        <f>IFERROR(__xludf.DUMMYFUNCTION("""COMPUTED_VALUE"""),"03009817016")</f>
        <v>03009817016</v>
      </c>
      <c r="D460" s="10" t="str">
        <f>IFERROR(__xludf.DUMMYFUNCTION("""COMPUTED_VALUE"""),"Jamia masjid kale mandi multan ")</f>
        <v>Jamia masjid kale mandi multan </v>
      </c>
      <c r="E460" s="10" t="str">
        <f>IFERROR(__xludf.DUMMYFUNCTION("""COMPUTED_VALUE"""),"PFFES")</f>
        <v>PFFES</v>
      </c>
      <c r="F460" s="10">
        <f>IFERROR(__xludf.DUMMYFUNCTION("""COMPUTED_VALUE"""),127.0)</f>
        <v>127</v>
      </c>
      <c r="G460" s="10">
        <f>IFERROR(__xludf.DUMMYFUNCTION("""COMPUTED_VALUE"""),7.0)</f>
        <v>7</v>
      </c>
      <c r="H460" s="10">
        <f>IFERROR(__xludf.DUMMYFUNCTION("""COMPUTED_VALUE"""),8.0)</f>
        <v>8</v>
      </c>
      <c r="I460" s="10" t="str">
        <f>IFERROR(__xludf.DUMMYFUNCTION("""COMPUTED_VALUE"""),"Koi nahe")</f>
        <v>Koi nahe</v>
      </c>
      <c r="J460" s="10"/>
      <c r="K460" s="10"/>
      <c r="L460" s="10"/>
      <c r="M460" s="10">
        <f>IFERROR(__xludf.DUMMYFUNCTION("""COMPUTED_VALUE"""),8.0)</f>
        <v>8</v>
      </c>
      <c r="N460" s="10"/>
      <c r="O460" s="10"/>
      <c r="P460" s="10"/>
      <c r="Q460" s="10"/>
      <c r="R460" s="10"/>
      <c r="S460" s="10"/>
      <c r="T460" s="10"/>
      <c r="U460" s="18" t="str">
        <f>IFERROR(__xludf.DUMMYFUNCTION("""COMPUTED_VALUE"""),"https://drive.google.com/open?id=19aNYk3ZoPRDlcd-lYv5mb6SqwTNFdRZm")</f>
        <v>https://drive.google.com/open?id=19aNYk3ZoPRDlcd-lYv5mb6SqwTNFdRZm</v>
      </c>
      <c r="V460" s="10" t="str">
        <f>IFERROR(__xludf.DUMMYFUNCTION("""COMPUTED_VALUE"""),"Bahaudinzikria r,a darbar par salana urs tha jis waja se shaid namazi Kam thy")</f>
        <v>Bahaudinzikria r,a darbar par salana urs tha jis waja se shaid namazi Kam thy</v>
      </c>
      <c r="W460" s="10"/>
      <c r="X460" s="10"/>
      <c r="Y460" s="14" t="str">
        <f>IFERROR(__xludf.DUMMYFUNCTION("""COMPUTED_VALUE"""),"sajidshahzad88@gmail.com")</f>
        <v>sajidshahzad88@gmail.com</v>
      </c>
      <c r="AA460" s="324"/>
    </row>
    <row r="461" hidden="1">
      <c r="A461" s="9">
        <f>IFERROR(__xludf.DUMMYFUNCTION("""COMPUTED_VALUE"""),45870.45864982639)</f>
        <v>45870.45865</v>
      </c>
      <c r="B461" s="10" t="str">
        <f>IFERROR(__xludf.DUMMYFUNCTION("""COMPUTED_VALUE"""),"nazeer ahmed")</f>
        <v>nazeer ahmed</v>
      </c>
      <c r="C461" s="10" t="str">
        <f>IFERROR(__xludf.DUMMYFUNCTION("""COMPUTED_VALUE"""),"03083233466")</f>
        <v>03083233466</v>
      </c>
      <c r="D461" s="10" t="str">
        <f>IFERROR(__xludf.DUMMYFUNCTION("""COMPUTED_VALUE"""),"jama masjid baba sahab")</f>
        <v>jama masjid baba sahab</v>
      </c>
      <c r="E461" s="10" t="str">
        <f>IFERROR(__xludf.DUMMYFUNCTION("""COMPUTED_VALUE"""),"rjssu")</f>
        <v>rjssu</v>
      </c>
      <c r="F461" s="10">
        <f>IFERROR(__xludf.DUMMYFUNCTION("""COMPUTED_VALUE"""),170.0)</f>
        <v>170</v>
      </c>
      <c r="G461" s="10">
        <f>IFERROR(__xludf.DUMMYFUNCTION("""COMPUTED_VALUE"""),7.0)</f>
        <v>7</v>
      </c>
      <c r="H461" s="10">
        <f>IFERROR(__xludf.DUMMYFUNCTION("""COMPUTED_VALUE"""),8.0)</f>
        <v>8</v>
      </c>
      <c r="I461" s="10">
        <f>IFERROR(__xludf.DUMMYFUNCTION("""COMPUTED_VALUE"""),0.0)</f>
        <v>0</v>
      </c>
      <c r="J461" s="10"/>
      <c r="K461" s="10"/>
      <c r="L461" s="10"/>
      <c r="M461" s="10">
        <f>IFERROR(__xludf.DUMMYFUNCTION("""COMPUTED_VALUE"""),9.0)</f>
        <v>9</v>
      </c>
      <c r="N461" s="10"/>
      <c r="O461" s="10"/>
      <c r="P461" s="10"/>
      <c r="Q461" s="10"/>
      <c r="R461" s="10"/>
      <c r="S461" s="10"/>
      <c r="T461" s="10"/>
      <c r="U461" s="10" t="str">
        <f>IFERROR(__xludf.DUMMYFUNCTION("""COMPUTED_VALUE"""),"https://drive.google.com/open?id=1_HaecF5ybmvDSXoYfQDAt_E0UHdo3RjJ, https://drive.google.com/open?id=1M63dizCRW8Y1bml8aqRAX9aXvz_JrgrQ, https://drive.google.com/open?id=1mR8UZvl8Ybdw6Q1QWQAPtyKmiw9MxK_e, https://drive.google.com/open?id=1iRRNOYSHvsLR6DGxg"&amp;"xtAM7AXq-4BVCqs, https://drive.google.com/open?id=1UbSbg9BOV6RHDYyyFcKkSWXogXtf0piP")</f>
        <v>https://drive.google.com/open?id=1_HaecF5ybmvDSXoYfQDAt_E0UHdo3RjJ, https://drive.google.com/open?id=1M63dizCRW8Y1bml8aqRAX9aXvz_JrgrQ, https://drive.google.com/open?id=1mR8UZvl8Ybdw6Q1QWQAPtyKmiw9MxK_e, https://drive.google.com/open?id=1iRRNOYSHvsLR6DGxgxtAM7AXq-4BVCqs, https://drive.google.com/open?id=1UbSbg9BOV6RHDYyyFcKkSWXogXtf0piP</v>
      </c>
      <c r="V461" s="10"/>
      <c r="W461" s="10"/>
      <c r="X461" s="10"/>
      <c r="Y461" s="14" t="str">
        <f>IFERROR(__xludf.DUMMYFUNCTION("""COMPUTED_VALUE"""),"nazeer1k73@gmail.com")</f>
        <v>nazeer1k73@gmail.com</v>
      </c>
      <c r="AA461" s="324"/>
    </row>
    <row r="462" hidden="1">
      <c r="A462" s="9">
        <f>IFERROR(__xludf.DUMMYFUNCTION("""COMPUTED_VALUE"""),45870.47170465278)</f>
        <v>45870.4717</v>
      </c>
      <c r="B462" s="10" t="str">
        <f>IFERROR(__xludf.DUMMYFUNCTION("""COMPUTED_VALUE"""),"Masroor karim ")</f>
        <v>Masroor karim </v>
      </c>
      <c r="C462" s="10" t="str">
        <f>IFERROR(__xludf.DUMMYFUNCTION("""COMPUTED_VALUE"""),"03051507669")</f>
        <v>03051507669</v>
      </c>
      <c r="D462" s="10" t="str">
        <f>IFERROR(__xludf.DUMMYFUNCTION("""COMPUTED_VALUE"""),"قدیمی جامعہ مسجد جنازہ گاہ نشاط روڈ لوہا مارکیٹ ملتان ")</f>
        <v>قدیمی جامعہ مسجد جنازہ گاہ نشاط روڈ لوہا مارکیٹ ملتان </v>
      </c>
      <c r="E462" s="10" t="str">
        <f>IFERROR(__xludf.DUMMYFUNCTION("""COMPUTED_VALUE"""),"WPXTS")</f>
        <v>WPXTS</v>
      </c>
      <c r="F462" s="10">
        <f>IFERROR(__xludf.DUMMYFUNCTION("""COMPUTED_VALUE"""),220.0)</f>
        <v>220</v>
      </c>
      <c r="G462" s="10">
        <f>IFERROR(__xludf.DUMMYFUNCTION("""COMPUTED_VALUE"""),5.0)</f>
        <v>5</v>
      </c>
      <c r="H462" s="10">
        <f>IFERROR(__xludf.DUMMYFUNCTION("""COMPUTED_VALUE"""),6.0)</f>
        <v>6</v>
      </c>
      <c r="I462" s="10">
        <f>IFERROR(__xludf.DUMMYFUNCTION("""COMPUTED_VALUE"""),2.0)</f>
        <v>2</v>
      </c>
      <c r="J462" s="10"/>
      <c r="K462" s="10"/>
      <c r="L462" s="10"/>
      <c r="M462" s="10">
        <f>IFERROR(__xludf.DUMMYFUNCTION("""COMPUTED_VALUE"""),8.0)</f>
        <v>8</v>
      </c>
      <c r="N462" s="10"/>
      <c r="O462" s="10"/>
      <c r="P462" s="10"/>
      <c r="Q462" s="10"/>
      <c r="R462" s="10"/>
      <c r="S462" s="10"/>
      <c r="T462" s="10"/>
      <c r="U462" s="18" t="str">
        <f>IFERROR(__xludf.DUMMYFUNCTION("""COMPUTED_VALUE"""),"https://drive.google.com/open?id=1m_kGPxGqtLq7_aTlf6nvmjzVARfuhsA9")</f>
        <v>https://drive.google.com/open?id=1m_kGPxGqtLq7_aTlf6nvmjzVARfuhsA9</v>
      </c>
      <c r="V462" s="10" t="str">
        <f>IFERROR(__xludf.DUMMYFUNCTION("""COMPUTED_VALUE"""),"N/A")</f>
        <v>N/A</v>
      </c>
      <c r="W462" s="10"/>
      <c r="X462" s="10"/>
      <c r="Y462" s="14" t="str">
        <f>IFERROR(__xludf.DUMMYFUNCTION("""COMPUTED_VALUE"""),"masroormalik669@gmail.com")</f>
        <v>masroormalik669@gmail.com</v>
      </c>
      <c r="AA462" s="324"/>
    </row>
    <row r="463" hidden="1">
      <c r="A463" s="9">
        <f>IFERROR(__xludf.DUMMYFUNCTION("""COMPUTED_VALUE"""),45870.48298179398)</f>
        <v>45870.48298</v>
      </c>
      <c r="B463" s="10" t="str">
        <f>IFERROR(__xludf.DUMMYFUNCTION("""COMPUTED_VALUE"""),"خالد محمود")</f>
        <v>خالد محمود</v>
      </c>
      <c r="C463" s="10" t="str">
        <f>IFERROR(__xludf.DUMMYFUNCTION("""COMPUTED_VALUE"""),"03005249027")</f>
        <v>03005249027</v>
      </c>
      <c r="D463" s="10" t="str">
        <f>IFERROR(__xludf.DUMMYFUNCTION("""COMPUTED_VALUE"""),"مرکزی جامع مسجد چشتیاں ")</f>
        <v>مرکزی جامع مسجد چشتیاں </v>
      </c>
      <c r="E463" s="10" t="str">
        <f>IFERROR(__xludf.DUMMYFUNCTION("""COMPUTED_VALUE"""),"YBTBU")</f>
        <v>YBTBU</v>
      </c>
      <c r="F463" s="10">
        <f>IFERROR(__xludf.DUMMYFUNCTION("""COMPUTED_VALUE"""),874.0)</f>
        <v>874</v>
      </c>
      <c r="G463" s="10">
        <f>IFERROR(__xludf.DUMMYFUNCTION("""COMPUTED_VALUE"""),9.0)</f>
        <v>9</v>
      </c>
      <c r="H463" s="10">
        <f>IFERROR(__xludf.DUMMYFUNCTION("""COMPUTED_VALUE"""),7.0)</f>
        <v>7</v>
      </c>
      <c r="I463" s="10">
        <f>IFERROR(__xludf.DUMMYFUNCTION("""COMPUTED_VALUE"""),4.0)</f>
        <v>4</v>
      </c>
      <c r="J463" s="10"/>
      <c r="K463" s="10"/>
      <c r="L463" s="10"/>
      <c r="M463" s="10">
        <f>IFERROR(__xludf.DUMMYFUNCTION("""COMPUTED_VALUE"""),8.0)</f>
        <v>8</v>
      </c>
      <c r="N463" s="10"/>
      <c r="O463" s="10"/>
      <c r="P463" s="10"/>
      <c r="Q463" s="10"/>
      <c r="R463" s="10"/>
      <c r="S463" s="10"/>
      <c r="T463" s="10"/>
      <c r="U463" s="18" t="str">
        <f>IFERROR(__xludf.DUMMYFUNCTION("""COMPUTED_VALUE"""),"https://drive.google.com/open?id=1_oOgWOHRd0OsS0-DhUjwUN0tkYAQYlQy")</f>
        <v>https://drive.google.com/open?id=1_oOgWOHRd0OsS0-DhUjwUN0tkYAQYlQy</v>
      </c>
      <c r="V463" s="10"/>
      <c r="W463" s="10"/>
      <c r="X463" s="10"/>
      <c r="Y463" s="14" t="str">
        <f>IFERROR(__xludf.DUMMYFUNCTION("""COMPUTED_VALUE"""),"ayyankhalidctn@gmail.com")</f>
        <v>ayyankhalidctn@gmail.com</v>
      </c>
      <c r="AA463" s="324"/>
    </row>
    <row r="464" hidden="1">
      <c r="A464" s="9">
        <f>IFERROR(__xludf.DUMMYFUNCTION("""COMPUTED_VALUE"""),45870.51305891204)</f>
        <v>45870.51306</v>
      </c>
      <c r="B464" s="10" t="str">
        <f>IFERROR(__xludf.DUMMYFUNCTION("""COMPUTED_VALUE"""),"Syed sabeeh ul Rehman bukahri ")</f>
        <v>Syed sabeeh ul Rehman bukahri </v>
      </c>
      <c r="C464" s="10" t="str">
        <f>IFERROR(__xludf.DUMMYFUNCTION("""COMPUTED_VALUE"""),"03707446218")</f>
        <v>03707446218</v>
      </c>
      <c r="D464" s="10" t="str">
        <f>IFERROR(__xludf.DUMMYFUNCTION("""COMPUTED_VALUE"""),"Jamia Masjid Abdul wahab Shah ")</f>
        <v>Jamia Masjid Abdul wahab Shah </v>
      </c>
      <c r="E464" s="10" t="str">
        <f>IFERROR(__xludf.DUMMYFUNCTION("""COMPUTED_VALUE"""),"UXUMP")</f>
        <v>UXUMP</v>
      </c>
      <c r="F464" s="10">
        <f>IFERROR(__xludf.DUMMYFUNCTION("""COMPUTED_VALUE"""),230.0)</f>
        <v>230</v>
      </c>
      <c r="G464" s="10">
        <f>IFERROR(__xludf.DUMMYFUNCTION("""COMPUTED_VALUE"""),7.0)</f>
        <v>7</v>
      </c>
      <c r="H464" s="10">
        <f>IFERROR(__xludf.DUMMYFUNCTION("""COMPUTED_VALUE"""),9.0)</f>
        <v>9</v>
      </c>
      <c r="I464" s="10" t="str">
        <f>IFERROR(__xludf.DUMMYFUNCTION("""COMPUTED_VALUE"""),"Not sure ")</f>
        <v>Not sure </v>
      </c>
      <c r="J464" s="10"/>
      <c r="K464" s="10"/>
      <c r="L464" s="10"/>
      <c r="M464" s="10">
        <f>IFERROR(__xludf.DUMMYFUNCTION("""COMPUTED_VALUE"""),6.0)</f>
        <v>6</v>
      </c>
      <c r="N464" s="10"/>
      <c r="O464" s="10"/>
      <c r="P464" s="10"/>
      <c r="Q464" s="10"/>
      <c r="R464" s="10"/>
      <c r="S464" s="10"/>
      <c r="T464" s="10"/>
      <c r="U464" s="18" t="str">
        <f>IFERROR(__xludf.DUMMYFUNCTION("""COMPUTED_VALUE"""),"https://drive.google.com/open?id=1d4TzFp0LNeq2XR6E9PTyvBUdm-Ev2oRl")</f>
        <v>https://drive.google.com/open?id=1d4TzFp0LNeq2XR6E9PTyvBUdm-Ev2oRl</v>
      </c>
      <c r="V464" s="10"/>
      <c r="W464" s="10"/>
      <c r="X464" s="10"/>
      <c r="Y464" s="14" t="str">
        <f>IFERROR(__xludf.DUMMYFUNCTION("""COMPUTED_VALUE"""),"urehman154763@gmail.com")</f>
        <v>urehman154763@gmail.com</v>
      </c>
      <c r="AA464" s="324"/>
    </row>
    <row r="465" hidden="1">
      <c r="A465" s="9">
        <f>IFERROR(__xludf.DUMMYFUNCTION("""COMPUTED_VALUE"""),45870.55056746528)</f>
        <v>45870.55057</v>
      </c>
      <c r="B465" s="10" t="str">
        <f>IFERROR(__xludf.DUMMYFUNCTION("""COMPUTED_VALUE"""),"nazeer ahmed")</f>
        <v>nazeer ahmed</v>
      </c>
      <c r="C465" s="10" t="str">
        <f>IFERROR(__xludf.DUMMYFUNCTION("""COMPUTED_VALUE"""),"03083233466")</f>
        <v>03083233466</v>
      </c>
      <c r="D465" s="10" t="str">
        <f>IFERROR(__xludf.DUMMYFUNCTION("""COMPUTED_VALUE"""),"jama masjid baba sahab")</f>
        <v>jama masjid baba sahab</v>
      </c>
      <c r="E465" s="10" t="str">
        <f>IFERROR(__xludf.DUMMYFUNCTION("""COMPUTED_VALUE"""),"rjssu")</f>
        <v>rjssu</v>
      </c>
      <c r="F465" s="10">
        <f>IFERROR(__xludf.DUMMYFUNCTION("""COMPUTED_VALUE"""),180.0)</f>
        <v>180</v>
      </c>
      <c r="G465" s="10">
        <f>IFERROR(__xludf.DUMMYFUNCTION("""COMPUTED_VALUE"""),9.0)</f>
        <v>9</v>
      </c>
      <c r="H465" s="10">
        <f>IFERROR(__xludf.DUMMYFUNCTION("""COMPUTED_VALUE"""),8.0)</f>
        <v>8</v>
      </c>
      <c r="I465" s="10">
        <f>IFERROR(__xludf.DUMMYFUNCTION("""COMPUTED_VALUE"""),0.0)</f>
        <v>0</v>
      </c>
      <c r="J465" s="10"/>
      <c r="K465" s="10"/>
      <c r="L465" s="10"/>
      <c r="M465" s="10">
        <f>IFERROR(__xludf.DUMMYFUNCTION("""COMPUTED_VALUE"""),9.0)</f>
        <v>9</v>
      </c>
      <c r="N465" s="10"/>
      <c r="O465" s="10"/>
      <c r="P465" s="10"/>
      <c r="Q465" s="10"/>
      <c r="R465" s="10"/>
      <c r="S465" s="10"/>
      <c r="T465" s="10"/>
      <c r="U465" s="10" t="str">
        <f>IFERROR(__xludf.DUMMYFUNCTION("""COMPUTED_VALUE"""),"https://drive.google.com/file/d/1J-OftCHMfXVkUbrMX3-1706Zo9lD5p9N/view?usp=drive_link, https://drive.google.com/file/d/13Ld0tvDKCqrHRYLl-8hFpizx7MT66IHf/view?usp=drive_link")</f>
        <v>https://drive.google.com/file/d/1J-OftCHMfXVkUbrMX3-1706Zo9lD5p9N/view?usp=drive_link, https://drive.google.com/file/d/13Ld0tvDKCqrHRYLl-8hFpizx7MT66IHf/view?usp=drive_link</v>
      </c>
      <c r="V465" s="10"/>
      <c r="W465" s="10"/>
      <c r="X465" s="10"/>
      <c r="Y465" s="14" t="str">
        <f>IFERROR(__xludf.DUMMYFUNCTION("""COMPUTED_VALUE"""),"nazeer1k73@gmail.com")</f>
        <v>nazeer1k73@gmail.com</v>
      </c>
      <c r="AA465" s="324"/>
    </row>
    <row r="466" hidden="1">
      <c r="A466" s="9">
        <f>IFERROR(__xludf.DUMMYFUNCTION("""COMPUTED_VALUE"""),45870.631630185184)</f>
        <v>45870.63163</v>
      </c>
      <c r="B466" s="10" t="str">
        <f>IFERROR(__xludf.DUMMYFUNCTION("""COMPUTED_VALUE"""),"Muhammad Asif hanif")</f>
        <v>Muhammad Asif hanif</v>
      </c>
      <c r="C466" s="10" t="str">
        <f>IFERROR(__xludf.DUMMYFUNCTION("""COMPUTED_VALUE"""),"03007196255")</f>
        <v>03007196255</v>
      </c>
      <c r="D466" s="10" t="str">
        <f>IFERROR(__xludf.DUMMYFUNCTION("""COMPUTED_VALUE"""),"Jamia baqar Abad masjid")</f>
        <v>Jamia baqar Abad masjid</v>
      </c>
      <c r="E466" s="10" t="str">
        <f>IFERROR(__xludf.DUMMYFUNCTION("""COMPUTED_VALUE"""),"Akpfn")</f>
        <v>Akpfn</v>
      </c>
      <c r="F466" s="10">
        <f>IFERROR(__xludf.DUMMYFUNCTION("""COMPUTED_VALUE"""),825.0)</f>
        <v>825</v>
      </c>
      <c r="G466" s="10">
        <f>IFERROR(__xludf.DUMMYFUNCTION("""COMPUTED_VALUE"""),10.0)</f>
        <v>10</v>
      </c>
      <c r="H466" s="10">
        <f>IFERROR(__xludf.DUMMYFUNCTION("""COMPUTED_VALUE"""),10.0)</f>
        <v>10</v>
      </c>
      <c r="I466" s="10" t="str">
        <f>IFERROR(__xludf.DUMMYFUNCTION("""COMPUTED_VALUE"""),"NAHI koi nai tha ")</f>
        <v>NAHI koi nai tha </v>
      </c>
      <c r="J466" s="10"/>
      <c r="K466" s="10"/>
      <c r="L466" s="10"/>
      <c r="M466" s="10">
        <f>IFERROR(__xludf.DUMMYFUNCTION("""COMPUTED_VALUE"""),10.0)</f>
        <v>10</v>
      </c>
      <c r="N466" s="10"/>
      <c r="O466" s="10"/>
      <c r="P466" s="10"/>
      <c r="Q466" s="10"/>
      <c r="R466" s="10"/>
      <c r="S466" s="10"/>
      <c r="T466" s="10"/>
      <c r="U466" s="18" t="str">
        <f>IFERROR(__xludf.DUMMYFUNCTION("""COMPUTED_VALUE"""),"https://drive.google.com/open?id=17hwW80URiVXWllrI8VxoZlyjv88HPKZf")</f>
        <v>https://drive.google.com/open?id=17hwW80URiVXWllrI8VxoZlyjv88HPKZf</v>
      </c>
      <c r="V466" s="10"/>
      <c r="W466" s="10"/>
      <c r="X466" s="10"/>
      <c r="Y466" s="14" t="str">
        <f>IFERROR(__xludf.DUMMYFUNCTION("""COMPUTED_VALUE"""),"hasif3590@gmail.com")</f>
        <v>hasif3590@gmail.com</v>
      </c>
      <c r="AA466" s="324"/>
    </row>
    <row r="467" hidden="1">
      <c r="A467" s="9">
        <f>IFERROR(__xludf.DUMMYFUNCTION("""COMPUTED_VALUE"""),45871.0528809838)</f>
        <v>45871.05288</v>
      </c>
      <c r="B467" s="10" t="str">
        <f>IFERROR(__xludf.DUMMYFUNCTION("""COMPUTED_VALUE"""),"Sheraz Ali Faraz ")</f>
        <v>Sheraz Ali Faraz </v>
      </c>
      <c r="C467" s="10" t="str">
        <f>IFERROR(__xludf.DUMMYFUNCTION("""COMPUTED_VALUE"""),"03037724188")</f>
        <v>03037724188</v>
      </c>
      <c r="D467" s="10" t="str">
        <f>IFERROR(__xludf.DUMMYFUNCTION("""COMPUTED_VALUE"""),"Jamiah Masjid Gosha Nasheen Multan ")</f>
        <v>Jamiah Masjid Gosha Nasheen Multan </v>
      </c>
      <c r="E467" s="10" t="str">
        <f>IFERROR(__xludf.DUMMYFUNCTION("""COMPUTED_VALUE"""),"LHGFS ")</f>
        <v>LHGFS </v>
      </c>
      <c r="F467" s="10">
        <f>IFERROR(__xludf.DUMMYFUNCTION("""COMPUTED_VALUE"""),77.0)</f>
        <v>77</v>
      </c>
      <c r="G467" s="10">
        <f>IFERROR(__xludf.DUMMYFUNCTION("""COMPUTED_VALUE"""),8.0)</f>
        <v>8</v>
      </c>
      <c r="H467" s="10">
        <f>IFERROR(__xludf.DUMMYFUNCTION("""COMPUTED_VALUE"""),8.0)</f>
        <v>8</v>
      </c>
      <c r="I467" s="10">
        <f>IFERROR(__xludf.DUMMYFUNCTION("""COMPUTED_VALUE"""),2.0)</f>
        <v>2</v>
      </c>
      <c r="J467" s="10"/>
      <c r="K467" s="10"/>
      <c r="L467" s="10"/>
      <c r="M467" s="10">
        <f>IFERROR(__xludf.DUMMYFUNCTION("""COMPUTED_VALUE"""),6.0)</f>
        <v>6</v>
      </c>
      <c r="N467" s="10"/>
      <c r="O467" s="10"/>
      <c r="P467" s="10"/>
      <c r="Q467" s="10"/>
      <c r="R467" s="10"/>
      <c r="S467" s="10"/>
      <c r="T467" s="10"/>
      <c r="U467" s="18" t="str">
        <f>IFERROR(__xludf.DUMMYFUNCTION("""COMPUTED_VALUE"""),"https://drive.google.com/file/d/13ad0bpffyJtRGheASa3NGxEIiB3-zOPo/view?usp=drive_link")</f>
        <v>https://drive.google.com/file/d/13ad0bpffyJtRGheASa3NGxEIiB3-zOPo/view?usp=drive_link</v>
      </c>
      <c r="V467" s="10"/>
      <c r="W467" s="10"/>
      <c r="X467" s="10"/>
      <c r="Y467" s="14" t="str">
        <f>IFERROR(__xludf.DUMMYFUNCTION("""COMPUTED_VALUE"""),"sherazalifraz7788@gmail.com")</f>
        <v>sherazalifraz7788@gmail.com</v>
      </c>
      <c r="AA467" s="324"/>
    </row>
    <row r="468" hidden="1">
      <c r="A468" s="9">
        <f>IFERROR(__xludf.DUMMYFUNCTION("""COMPUTED_VALUE"""),45871.10353890047)</f>
        <v>45871.10354</v>
      </c>
      <c r="B468" s="10" t="str">
        <f>IFERROR(__xludf.DUMMYFUNCTION("""COMPUTED_VALUE"""),"Sheraz Ali Faraz ")</f>
        <v>Sheraz Ali Faraz </v>
      </c>
      <c r="C468" s="10" t="str">
        <f>IFERROR(__xludf.DUMMYFUNCTION("""COMPUTED_VALUE"""),"03037724188")</f>
        <v>03037724188</v>
      </c>
      <c r="D468" s="10" t="str">
        <f>IFERROR(__xludf.DUMMYFUNCTION("""COMPUTED_VALUE"""),"Jamiah Masjid Gosha Nasheen Multan ")</f>
        <v>Jamiah Masjid Gosha Nasheen Multan </v>
      </c>
      <c r="E468" s="10" t="str">
        <f>IFERROR(__xludf.DUMMYFUNCTION("""COMPUTED_VALUE"""),"LHGFS ")</f>
        <v>LHGFS </v>
      </c>
      <c r="F468" s="10">
        <f>IFERROR(__xludf.DUMMYFUNCTION("""COMPUTED_VALUE"""),77.0)</f>
        <v>77</v>
      </c>
      <c r="G468" s="10">
        <f>IFERROR(__xludf.DUMMYFUNCTION("""COMPUTED_VALUE"""),8.0)</f>
        <v>8</v>
      </c>
      <c r="H468" s="10">
        <f>IFERROR(__xludf.DUMMYFUNCTION("""COMPUTED_VALUE"""),8.0)</f>
        <v>8</v>
      </c>
      <c r="I468" s="10">
        <f>IFERROR(__xludf.DUMMYFUNCTION("""COMPUTED_VALUE"""),2.0)</f>
        <v>2</v>
      </c>
      <c r="J468" s="10"/>
      <c r="K468" s="10"/>
      <c r="L468" s="10"/>
      <c r="M468" s="10">
        <f>IFERROR(__xludf.DUMMYFUNCTION("""COMPUTED_VALUE"""),6.0)</f>
        <v>6</v>
      </c>
      <c r="N468" s="10"/>
      <c r="O468" s="10"/>
      <c r="P468" s="10"/>
      <c r="Q468" s="10"/>
      <c r="R468" s="10"/>
      <c r="S468" s="10"/>
      <c r="T468" s="10"/>
      <c r="U468" s="10"/>
      <c r="V468" s="10"/>
      <c r="W468" s="10"/>
      <c r="X468" s="10"/>
      <c r="Y468" s="14" t="str">
        <f>IFERROR(__xludf.DUMMYFUNCTION("""COMPUTED_VALUE"""),"sherazalifraz7788@gmail.com")</f>
        <v>sherazalifraz7788@gmail.com</v>
      </c>
      <c r="AA468" s="324"/>
    </row>
    <row r="469" hidden="1">
      <c r="A469" s="9">
        <f>IFERROR(__xludf.DUMMYFUNCTION("""COMPUTED_VALUE"""),45871.17695628472)</f>
        <v>45871.17696</v>
      </c>
      <c r="B469" s="10" t="str">
        <f>IFERROR(__xludf.DUMMYFUNCTION("""COMPUTED_VALUE"""),"ہزار خان ")</f>
        <v>ہزار خان </v>
      </c>
      <c r="C469" s="10" t="str">
        <f>IFERROR(__xludf.DUMMYFUNCTION("""COMPUTED_VALUE"""),"03201708927")</f>
        <v>03201708927</v>
      </c>
      <c r="D469" s="10" t="str">
        <f>IFERROR(__xludf.DUMMYFUNCTION("""COMPUTED_VALUE"""),"جامع مسجد قصاباں والی حرم گیٹ ملتان ")</f>
        <v>جامع مسجد قصاباں والی حرم گیٹ ملتان </v>
      </c>
      <c r="E469" s="10" t="str">
        <f>IFERROR(__xludf.DUMMYFUNCTION("""COMPUTED_VALUE"""),"QKGIH ")</f>
        <v>QKGIH </v>
      </c>
      <c r="F469" s="10">
        <f>IFERROR(__xludf.DUMMYFUNCTION("""COMPUTED_VALUE"""),76.0)</f>
        <v>76</v>
      </c>
      <c r="G469" s="10">
        <f>IFERROR(__xludf.DUMMYFUNCTION("""COMPUTED_VALUE"""),1.0)</f>
        <v>1</v>
      </c>
      <c r="H469" s="10">
        <f>IFERROR(__xludf.DUMMYFUNCTION("""COMPUTED_VALUE"""),9.0)</f>
        <v>9</v>
      </c>
      <c r="I469" s="10">
        <f>IFERROR(__xludf.DUMMYFUNCTION("""COMPUTED_VALUE"""),1.0)</f>
        <v>1</v>
      </c>
      <c r="J469" s="10"/>
      <c r="K469" s="10"/>
      <c r="L469" s="10"/>
      <c r="M469" s="10">
        <f>IFERROR(__xludf.DUMMYFUNCTION("""COMPUTED_VALUE"""),10.0)</f>
        <v>10</v>
      </c>
      <c r="N469" s="10"/>
      <c r="O469" s="10"/>
      <c r="P469" s="10"/>
      <c r="Q469" s="10"/>
      <c r="R469" s="10"/>
      <c r="S469" s="10"/>
      <c r="T469" s="10"/>
      <c r="U469" s="18" t="str">
        <f>IFERROR(__xludf.DUMMYFUNCTION("""COMPUTED_VALUE"""),"https://drive.google.com/file/d/1C7rFGU9hWlPEvS6XR9zV9fIbKAZcVAEx/view?usp=drive_link")</f>
        <v>https://drive.google.com/file/d/1C7rFGU9hWlPEvS6XR9zV9fIbKAZcVAEx/view?usp=drive_link</v>
      </c>
      <c r="V469" s="10" t="str">
        <f>IFERROR(__xludf.DUMMYFUNCTION("""COMPUTED_VALUE"""),"نہیں ")</f>
        <v>نہیں </v>
      </c>
      <c r="W469" s="10"/>
      <c r="X469" s="10"/>
      <c r="Y469" s="14" t="str">
        <f>IFERROR(__xludf.DUMMYFUNCTION("""COMPUTED_VALUE"""),"hazarkhan8657@gmail.com")</f>
        <v>hazarkhan8657@gmail.com</v>
      </c>
      <c r="AA469" s="324"/>
    </row>
    <row r="470" hidden="1">
      <c r="A470" s="9">
        <f>IFERROR(__xludf.DUMMYFUNCTION("""COMPUTED_VALUE"""),45871.28260046296)</f>
        <v>45871.2826</v>
      </c>
      <c r="B470" s="10" t="str">
        <f>IFERROR(__xludf.DUMMYFUNCTION("""COMPUTED_VALUE"""),"Muhammad Amir")</f>
        <v>Muhammad Amir</v>
      </c>
      <c r="C470" s="10" t="str">
        <f>IFERROR(__xludf.DUMMYFUNCTION("""COMPUTED_VALUE"""),"03027642630")</f>
        <v>03027642630</v>
      </c>
      <c r="D470" s="10" t="str">
        <f>IFERROR(__xludf.DUMMYFUNCTION("""COMPUTED_VALUE"""),"Jamia Masjid Ahl e Hadis Tahlianwali")</f>
        <v>Jamia Masjid Ahl e Hadis Tahlianwali</v>
      </c>
      <c r="E470" s="10" t="str">
        <f>IFERROR(__xludf.DUMMYFUNCTION("""COMPUTED_VALUE"""),"COCLQ")</f>
        <v>COCLQ</v>
      </c>
      <c r="F470" s="10">
        <f>IFERROR(__xludf.DUMMYFUNCTION("""COMPUTED_VALUE"""),175.0)</f>
        <v>175</v>
      </c>
      <c r="G470" s="10">
        <f>IFERROR(__xludf.DUMMYFUNCTION("""COMPUTED_VALUE"""),8.0)</f>
        <v>8</v>
      </c>
      <c r="H470" s="10">
        <f>IFERROR(__xludf.DUMMYFUNCTION("""COMPUTED_VALUE"""),8.0)</f>
        <v>8</v>
      </c>
      <c r="I470" s="10">
        <f>IFERROR(__xludf.DUMMYFUNCTION("""COMPUTED_VALUE"""),0.0)</f>
        <v>0</v>
      </c>
      <c r="J470" s="10"/>
      <c r="K470" s="10"/>
      <c r="L470" s="10"/>
      <c r="M470" s="10">
        <f>IFERROR(__xludf.DUMMYFUNCTION("""COMPUTED_VALUE"""),8.0)</f>
        <v>8</v>
      </c>
      <c r="N470" s="10"/>
      <c r="O470" s="10"/>
      <c r="P470" s="10"/>
      <c r="Q470" s="10"/>
      <c r="R470" s="10"/>
      <c r="S470" s="10"/>
      <c r="T470" s="10"/>
      <c r="U470" s="18" t="str">
        <f>IFERROR(__xludf.DUMMYFUNCTION("""COMPUTED_VALUE"""),"https://drive.google.com/open?id=1fN-zMnMvcFYlH4fbS5uhc30llQK7w_37")</f>
        <v>https://drive.google.com/open?id=1fN-zMnMvcFYlH4fbS5uhc30llQK7w_37</v>
      </c>
      <c r="V470" s="10"/>
      <c r="W470" s="10"/>
      <c r="X470" s="10"/>
      <c r="Y470" s="14" t="str">
        <f>IFERROR(__xludf.DUMMYFUNCTION("""COMPUTED_VALUE"""),"talhamian1986@gmail.com")</f>
        <v>talhamian1986@gmail.com</v>
      </c>
      <c r="AA470" s="324"/>
    </row>
    <row r="471" hidden="1">
      <c r="A471" s="9">
        <f>IFERROR(__xludf.DUMMYFUNCTION("""COMPUTED_VALUE"""),45871.28664737269)</f>
        <v>45871.28665</v>
      </c>
      <c r="B471" s="10" t="str">
        <f>IFERROR(__xludf.DUMMYFUNCTION("""COMPUTED_VALUE"""),"Muhammad Moeen")</f>
        <v>Muhammad Moeen</v>
      </c>
      <c r="C471" s="10" t="str">
        <f>IFERROR(__xludf.DUMMYFUNCTION("""COMPUTED_VALUE"""),"03018718247")</f>
        <v>03018718247</v>
      </c>
      <c r="D471" s="10" t="str">
        <f>IFERROR(__xludf.DUMMYFUNCTION("""COMPUTED_VALUE"""),"Jamia Masjid Syed Fzal ud Din Ladla")</f>
        <v>Jamia Masjid Syed Fzal ud Din Ladla</v>
      </c>
      <c r="E471" s="10" t="str">
        <f>IFERROR(__xludf.DUMMYFUNCTION("""COMPUTED_VALUE"""),"PZTQO")</f>
        <v>PZTQO</v>
      </c>
      <c r="F471" s="10">
        <f>IFERROR(__xludf.DUMMYFUNCTION("""COMPUTED_VALUE"""),160.0)</f>
        <v>160</v>
      </c>
      <c r="G471" s="10">
        <f>IFERROR(__xludf.DUMMYFUNCTION("""COMPUTED_VALUE"""),9.0)</f>
        <v>9</v>
      </c>
      <c r="H471" s="10">
        <f>IFERROR(__xludf.DUMMYFUNCTION("""COMPUTED_VALUE"""),9.0)</f>
        <v>9</v>
      </c>
      <c r="I471" s="10">
        <f>IFERROR(__xludf.DUMMYFUNCTION("""COMPUTED_VALUE"""),0.0)</f>
        <v>0</v>
      </c>
      <c r="J471" s="10"/>
      <c r="K471" s="10"/>
      <c r="L471" s="10"/>
      <c r="M471" s="10">
        <f>IFERROR(__xludf.DUMMYFUNCTION("""COMPUTED_VALUE"""),8.0)</f>
        <v>8</v>
      </c>
      <c r="N471" s="10"/>
      <c r="O471" s="10"/>
      <c r="P471" s="10"/>
      <c r="Q471" s="10"/>
      <c r="R471" s="10"/>
      <c r="S471" s="10"/>
      <c r="T471" s="10"/>
      <c r="U471" s="18" t="str">
        <f>IFERROR(__xludf.DUMMYFUNCTION("""COMPUTED_VALUE"""),"https://drive.google.com/open?id=1pHQCCs0PT2wBtpM1uC-21m7MZfgSbvqv")</f>
        <v>https://drive.google.com/open?id=1pHQCCs0PT2wBtpM1uC-21m7MZfgSbvqv</v>
      </c>
      <c r="V471" s="10"/>
      <c r="W471" s="10"/>
      <c r="X471" s="10"/>
      <c r="Y471" s="14" t="str">
        <f>IFERROR(__xludf.DUMMYFUNCTION("""COMPUTED_VALUE"""),"talhamian1986@gmail.com")</f>
        <v>talhamian1986@gmail.com</v>
      </c>
      <c r="AA471" s="324"/>
    </row>
    <row r="472" hidden="1">
      <c r="A472" s="9">
        <f>IFERROR(__xludf.DUMMYFUNCTION("""COMPUTED_VALUE"""),45871.30604109954)</f>
        <v>45871.30604</v>
      </c>
      <c r="B472" s="10" t="str">
        <f>IFERROR(__xludf.DUMMYFUNCTION("""COMPUTED_VALUE"""),"Muhammad Talha")</f>
        <v>Muhammad Talha</v>
      </c>
      <c r="C472" s="10" t="str">
        <f>IFERROR(__xludf.DUMMYFUNCTION("""COMPUTED_VALUE"""),"03092840538")</f>
        <v>03092840538</v>
      </c>
      <c r="D472" s="10" t="str">
        <f>IFERROR(__xludf.DUMMYFUNCTION("""COMPUTED_VALUE"""),"Jamia Masjid Hazrat Mehboob Subhani")</f>
        <v>Jamia Masjid Hazrat Mehboob Subhani</v>
      </c>
      <c r="E472" s="10" t="str">
        <f>IFERROR(__xludf.DUMMYFUNCTION("""COMPUTED_VALUE"""),"JOFFE")</f>
        <v>JOFFE</v>
      </c>
      <c r="F472" s="10">
        <f>IFERROR(__xludf.DUMMYFUNCTION("""COMPUTED_VALUE"""),470.0)</f>
        <v>470</v>
      </c>
      <c r="G472" s="10">
        <f>IFERROR(__xludf.DUMMYFUNCTION("""COMPUTED_VALUE"""),7.0)</f>
        <v>7</v>
      </c>
      <c r="H472" s="10">
        <f>IFERROR(__xludf.DUMMYFUNCTION("""COMPUTED_VALUE"""),7.0)</f>
        <v>7</v>
      </c>
      <c r="I472" s="10">
        <f>IFERROR(__xludf.DUMMYFUNCTION("""COMPUTED_VALUE"""),0.0)</f>
        <v>0</v>
      </c>
      <c r="J472" s="10"/>
      <c r="K472" s="10"/>
      <c r="L472" s="10"/>
      <c r="M472" s="10">
        <f>IFERROR(__xludf.DUMMYFUNCTION("""COMPUTED_VALUE"""),8.0)</f>
        <v>8</v>
      </c>
      <c r="N472" s="10"/>
      <c r="O472" s="10"/>
      <c r="P472" s="10"/>
      <c r="Q472" s="10"/>
      <c r="R472" s="10"/>
      <c r="S472" s="10"/>
      <c r="T472" s="10"/>
      <c r="U472" s="18" t="str">
        <f>IFERROR(__xludf.DUMMYFUNCTION("""COMPUTED_VALUE"""),"https://drive.google.com/open?id=1SNl5k-qa5Kkt2mkbm9z0F24pWaDi4nBF")</f>
        <v>https://drive.google.com/open?id=1SNl5k-qa5Kkt2mkbm9z0F24pWaDi4nBF</v>
      </c>
      <c r="V472" s="10"/>
      <c r="W472" s="10"/>
      <c r="X472" s="10"/>
      <c r="Y472" s="14" t="str">
        <f>IFERROR(__xludf.DUMMYFUNCTION("""COMPUTED_VALUE"""),"talhamian1986@gmail.com")</f>
        <v>talhamian1986@gmail.com</v>
      </c>
      <c r="AA472" s="324"/>
    </row>
    <row r="473" hidden="1">
      <c r="A473" s="9">
        <f>IFERROR(__xludf.DUMMYFUNCTION("""COMPUTED_VALUE"""),45871.31839655092)</f>
        <v>45871.3184</v>
      </c>
      <c r="B473" s="10" t="str">
        <f>IFERROR(__xludf.DUMMYFUNCTION("""COMPUTED_VALUE"""),"Muhammad Kamran")</f>
        <v>Muhammad Kamran</v>
      </c>
      <c r="C473" s="10" t="str">
        <f>IFERROR(__xludf.DUMMYFUNCTION("""COMPUTED_VALUE"""),"03003792127")</f>
        <v>03003792127</v>
      </c>
      <c r="D473" s="10" t="str">
        <f>IFERROR(__xludf.DUMMYFUNCTION("""COMPUTED_VALUE"""),"Jamia Masjid Makhdoom Jahanian")</f>
        <v>Jamia Masjid Makhdoom Jahanian</v>
      </c>
      <c r="E473" s="10" t="str">
        <f>IFERROR(__xludf.DUMMYFUNCTION("""COMPUTED_VALUE"""),"VNNPW")</f>
        <v>VNNPW</v>
      </c>
      <c r="F473" s="10">
        <f>IFERROR(__xludf.DUMMYFUNCTION("""COMPUTED_VALUE"""),425.0)</f>
        <v>425</v>
      </c>
      <c r="G473" s="10">
        <f>IFERROR(__xludf.DUMMYFUNCTION("""COMPUTED_VALUE"""),7.0)</f>
        <v>7</v>
      </c>
      <c r="H473" s="10">
        <f>IFERROR(__xludf.DUMMYFUNCTION("""COMPUTED_VALUE"""),7.0)</f>
        <v>7</v>
      </c>
      <c r="I473" s="10">
        <f>IFERROR(__xludf.DUMMYFUNCTION("""COMPUTED_VALUE"""),1.0)</f>
        <v>1</v>
      </c>
      <c r="J473" s="10"/>
      <c r="K473" s="10"/>
      <c r="L473" s="10"/>
      <c r="M473" s="10">
        <f>IFERROR(__xludf.DUMMYFUNCTION("""COMPUTED_VALUE"""),8.0)</f>
        <v>8</v>
      </c>
      <c r="N473" s="10"/>
      <c r="O473" s="10"/>
      <c r="P473" s="10"/>
      <c r="Q473" s="10"/>
      <c r="R473" s="10"/>
      <c r="S473" s="10"/>
      <c r="T473" s="10"/>
      <c r="U473" s="10" t="str">
        <f>IFERROR(__xludf.DUMMYFUNCTION("""COMPUTED_VALUE"""),"https://drive.google.com/open?id=1T4DKumeJ72uNjtw59Xdw7FL1A93jt4Tr, https://drive.google.com/open?id=1VV8d3MEfKI6vgfxy9jsBnSVp1KcVRDHa")</f>
        <v>https://drive.google.com/open?id=1T4DKumeJ72uNjtw59Xdw7FL1A93jt4Tr, https://drive.google.com/open?id=1VV8d3MEfKI6vgfxy9jsBnSVp1KcVRDHa</v>
      </c>
      <c r="V473" s="10"/>
      <c r="W473" s="10"/>
      <c r="X473" s="10"/>
      <c r="Y473" s="14" t="str">
        <f>IFERROR(__xludf.DUMMYFUNCTION("""COMPUTED_VALUE"""),"talhamian1986@gmail.com")</f>
        <v>talhamian1986@gmail.com</v>
      </c>
      <c r="AA473" s="324"/>
    </row>
    <row r="474" hidden="1">
      <c r="A474" s="9">
        <f>IFERROR(__xludf.DUMMYFUNCTION("""COMPUTED_VALUE"""),45871.32438851852)</f>
        <v>45871.32439</v>
      </c>
      <c r="B474" s="10" t="str">
        <f>IFERROR(__xludf.DUMMYFUNCTION("""COMPUTED_VALUE"""),"Muhammad Abdullah")</f>
        <v>Muhammad Abdullah</v>
      </c>
      <c r="C474" s="10" t="str">
        <f>IFERROR(__xludf.DUMMYFUNCTION("""COMPUTED_VALUE"""),"0305-5434673")</f>
        <v>0305-5434673</v>
      </c>
      <c r="D474" s="10" t="str">
        <f>IFERROR(__xludf.DUMMYFUNCTION("""COMPUTED_VALUE"""),"Jamia Masjid Sadiq Akbar High School Ahumdpur")</f>
        <v>Jamia Masjid Sadiq Akbar High School Ahumdpur</v>
      </c>
      <c r="E474" s="10" t="str">
        <f>IFERROR(__xludf.DUMMYFUNCTION("""COMPUTED_VALUE"""),"VEWIG")</f>
        <v>VEWIG</v>
      </c>
      <c r="F474" s="10">
        <f>IFERROR(__xludf.DUMMYFUNCTION("""COMPUTED_VALUE"""),460.0)</f>
        <v>460</v>
      </c>
      <c r="G474" s="10">
        <f>IFERROR(__xludf.DUMMYFUNCTION("""COMPUTED_VALUE"""),7.0)</f>
        <v>7</v>
      </c>
      <c r="H474" s="10">
        <f>IFERROR(__xludf.DUMMYFUNCTION("""COMPUTED_VALUE"""),7.0)</f>
        <v>7</v>
      </c>
      <c r="I474" s="10">
        <f>IFERROR(__xludf.DUMMYFUNCTION("""COMPUTED_VALUE"""),1.0)</f>
        <v>1</v>
      </c>
      <c r="J474" s="10"/>
      <c r="K474" s="10"/>
      <c r="L474" s="10"/>
      <c r="M474" s="10">
        <f>IFERROR(__xludf.DUMMYFUNCTION("""COMPUTED_VALUE"""),8.0)</f>
        <v>8</v>
      </c>
      <c r="N474" s="10"/>
      <c r="O474" s="10"/>
      <c r="P474" s="10"/>
      <c r="Q474" s="10"/>
      <c r="R474" s="10"/>
      <c r="S474" s="10"/>
      <c r="T474" s="10"/>
      <c r="U474" s="18" t="str">
        <f>IFERROR(__xludf.DUMMYFUNCTION("""COMPUTED_VALUE"""),"https://drive.google.com/open?id=1wVX1sQhc0yBBRv7EXcNm577FgPNxaWOb")</f>
        <v>https://drive.google.com/open?id=1wVX1sQhc0yBBRv7EXcNm577FgPNxaWOb</v>
      </c>
      <c r="V474" s="10"/>
      <c r="W474" s="10"/>
      <c r="X474" s="10"/>
      <c r="Y474" s="14" t="str">
        <f>IFERROR(__xludf.DUMMYFUNCTION("""COMPUTED_VALUE"""),"talhamian1986@gmail.com")</f>
        <v>talhamian1986@gmail.com</v>
      </c>
      <c r="AA474" s="324"/>
    </row>
    <row r="475" hidden="1">
      <c r="A475" s="9">
        <f>IFERROR(__xludf.DUMMYFUNCTION("""COMPUTED_VALUE"""),45877.18010391203)</f>
        <v>45877.1801</v>
      </c>
      <c r="B475" s="10" t="str">
        <f>IFERROR(__xludf.DUMMYFUNCTION("""COMPUTED_VALUE"""),"M.Amir")</f>
        <v>M.Amir</v>
      </c>
      <c r="C475" s="10" t="str">
        <f>IFERROR(__xludf.DUMMYFUNCTION("""COMPUTED_VALUE"""),"03099884405")</f>
        <v>03099884405</v>
      </c>
      <c r="D475" s="10" t="str">
        <f>IFERROR(__xludf.DUMMYFUNCTION("""COMPUTED_VALUE"""),"Jamia masjid sheikh Allah wasya machli Bazar bwp")</f>
        <v>Jamia masjid sheikh Allah wasya machli Bazar bwp</v>
      </c>
      <c r="E475" s="10" t="str">
        <f>IFERROR(__xludf.DUMMYFUNCTION("""COMPUTED_VALUE"""),"LRQVN")</f>
        <v>LRQVN</v>
      </c>
      <c r="F475" s="10">
        <f>IFERROR(__xludf.DUMMYFUNCTION("""COMPUTED_VALUE"""),137.0)</f>
        <v>137</v>
      </c>
      <c r="G475" s="10">
        <f>IFERROR(__xludf.DUMMYFUNCTION("""COMPUTED_VALUE"""),9.0)</f>
        <v>9</v>
      </c>
      <c r="H475" s="10">
        <f>IFERROR(__xludf.DUMMYFUNCTION("""COMPUTED_VALUE"""),9.0)</f>
        <v>9</v>
      </c>
      <c r="I475" s="10">
        <f>IFERROR(__xludf.DUMMYFUNCTION("""COMPUTED_VALUE"""),1.0)</f>
        <v>1</v>
      </c>
      <c r="J475" s="10"/>
      <c r="K475" s="10"/>
      <c r="L475" s="10"/>
      <c r="M475" s="10">
        <f>IFERROR(__xludf.DUMMYFUNCTION("""COMPUTED_VALUE"""),8.0)</f>
        <v>8</v>
      </c>
      <c r="N475" s="10"/>
      <c r="O475" s="10"/>
      <c r="P475" s="10"/>
      <c r="Q475" s="10"/>
      <c r="R475" s="10"/>
      <c r="S475" s="10"/>
      <c r="T475" s="10"/>
      <c r="U475" s="18" t="str">
        <f>IFERROR(__xludf.DUMMYFUNCTION("""COMPUTED_VALUE"""),"https://drive.google.com/open?id=1zOhfF0Auy6I_p_No7W3XPsD-IiOSQvAF")</f>
        <v>https://drive.google.com/open?id=1zOhfF0Auy6I_p_No7W3XPsD-IiOSQvAF</v>
      </c>
      <c r="V475" s="10"/>
      <c r="W475" s="10"/>
      <c r="X475" s="10"/>
      <c r="Y475" s="14" t="str">
        <f>IFERROR(__xludf.DUMMYFUNCTION("""COMPUTED_VALUE"""),"amirakash6830@gmail.com")</f>
        <v>amirakash6830@gmail.com</v>
      </c>
      <c r="AA475" s="324"/>
    </row>
    <row r="476" hidden="1">
      <c r="A476" s="9">
        <f>IFERROR(__xludf.DUMMYFUNCTION("""COMPUTED_VALUE"""),45877.192761921295)</f>
        <v>45877.19276</v>
      </c>
      <c r="B476" s="10" t="str">
        <f>IFERROR(__xludf.DUMMYFUNCTION("""COMPUTED_VALUE"""),"Shahzad Bilal ")</f>
        <v>Shahzad Bilal </v>
      </c>
      <c r="C476" s="10" t="str">
        <f>IFERROR(__xludf.DUMMYFUNCTION("""COMPUTED_VALUE"""),"03085398997")</f>
        <v>03085398997</v>
      </c>
      <c r="D476" s="10" t="str">
        <f>IFERROR(__xludf.DUMMYFUNCTION("""COMPUTED_VALUE"""),"Markazi Lal Jamia Masjid Multan Cannt ")</f>
        <v>Markazi Lal Jamia Masjid Multan Cannt </v>
      </c>
      <c r="E476" s="10" t="str">
        <f>IFERROR(__xludf.DUMMYFUNCTION("""COMPUTED_VALUE"""),"SQNOT ")</f>
        <v>SQNOT </v>
      </c>
      <c r="F476" s="10">
        <f>IFERROR(__xludf.DUMMYFUNCTION("""COMPUTED_VALUE"""),814.0)</f>
        <v>814</v>
      </c>
      <c r="G476" s="10">
        <f>IFERROR(__xludf.DUMMYFUNCTION("""COMPUTED_VALUE"""),7.0)</f>
        <v>7</v>
      </c>
      <c r="H476" s="10">
        <f>IFERROR(__xludf.DUMMYFUNCTION("""COMPUTED_VALUE"""),6.0)</f>
        <v>6</v>
      </c>
      <c r="I476" s="10">
        <f>IFERROR(__xludf.DUMMYFUNCTION("""COMPUTED_VALUE"""),6.0)</f>
        <v>6</v>
      </c>
      <c r="J476" s="10"/>
      <c r="K476" s="10"/>
      <c r="L476" s="10"/>
      <c r="M476" s="10">
        <f>IFERROR(__xludf.DUMMYFUNCTION("""COMPUTED_VALUE"""),10.0)</f>
        <v>10</v>
      </c>
      <c r="N476" s="10"/>
      <c r="O476" s="10"/>
      <c r="P476" s="10"/>
      <c r="Q476" s="10"/>
      <c r="R476" s="10"/>
      <c r="S476" s="10"/>
      <c r="T476" s="10"/>
      <c r="U476" s="18" t="str">
        <f>IFERROR(__xludf.DUMMYFUNCTION("""COMPUTED_VALUE"""),"https://drive.google.com/open?id=15SmFNcAfh4f1vlsBmy836yZrjyVh6_cs")</f>
        <v>https://drive.google.com/open?id=15SmFNcAfh4f1vlsBmy836yZrjyVh6_cs</v>
      </c>
      <c r="V476" s="10"/>
      <c r="W476" s="10"/>
      <c r="X476" s="10"/>
      <c r="Y476" s="14" t="str">
        <f>IFERROR(__xludf.DUMMYFUNCTION("""COMPUTED_VALUE"""),"multaniminivelogs@gmail.com")</f>
        <v>multaniminivelogs@gmail.com</v>
      </c>
      <c r="AA476" s="324"/>
    </row>
    <row r="477" hidden="1">
      <c r="A477" s="9">
        <f>IFERROR(__xludf.DUMMYFUNCTION("""COMPUTED_VALUE"""),45877.192893125)</f>
        <v>45877.19289</v>
      </c>
      <c r="B477" s="10" t="str">
        <f>IFERROR(__xludf.DUMMYFUNCTION("""COMPUTED_VALUE"""),"M.Amir")</f>
        <v>M.Amir</v>
      </c>
      <c r="C477" s="10" t="str">
        <f>IFERROR(__xludf.DUMMYFUNCTION("""COMPUTED_VALUE"""),"03099884405")</f>
        <v>03099884405</v>
      </c>
      <c r="D477" s="10" t="str">
        <f>IFERROR(__xludf.DUMMYFUNCTION("""COMPUTED_VALUE"""),"Jamia masjid Sadiq Akbar machi hatta bwp")</f>
        <v>Jamia masjid Sadiq Akbar machi hatta bwp</v>
      </c>
      <c r="E477" s="10" t="str">
        <f>IFERROR(__xludf.DUMMYFUNCTION("""COMPUTED_VALUE"""),"Dfnmy")</f>
        <v>Dfnmy</v>
      </c>
      <c r="F477" s="10">
        <f>IFERROR(__xludf.DUMMYFUNCTION("""COMPUTED_VALUE"""),433.0)</f>
        <v>433</v>
      </c>
      <c r="G477" s="10">
        <f>IFERROR(__xludf.DUMMYFUNCTION("""COMPUTED_VALUE"""),9.0)</f>
        <v>9</v>
      </c>
      <c r="H477" s="10">
        <f>IFERROR(__xludf.DUMMYFUNCTION("""COMPUTED_VALUE"""),8.0)</f>
        <v>8</v>
      </c>
      <c r="I477" s="10">
        <f>IFERROR(__xludf.DUMMYFUNCTION("""COMPUTED_VALUE"""),1.0)</f>
        <v>1</v>
      </c>
      <c r="J477" s="10"/>
      <c r="K477" s="10"/>
      <c r="L477" s="10"/>
      <c r="M477" s="10">
        <f>IFERROR(__xludf.DUMMYFUNCTION("""COMPUTED_VALUE"""),9.0)</f>
        <v>9</v>
      </c>
      <c r="N477" s="10"/>
      <c r="O477" s="10"/>
      <c r="P477" s="10"/>
      <c r="Q477" s="10"/>
      <c r="R477" s="10"/>
      <c r="S477" s="10"/>
      <c r="T477" s="10"/>
      <c r="U477" s="18" t="str">
        <f>IFERROR(__xludf.DUMMYFUNCTION("""COMPUTED_VALUE"""),"https://drive.google.com/open?id=1nBBFRwIg-ouO6ybRL7ON7eairPwPhhB_")</f>
        <v>https://drive.google.com/open?id=1nBBFRwIg-ouO6ybRL7ON7eairPwPhhB_</v>
      </c>
      <c r="V477" s="10"/>
      <c r="W477" s="10"/>
      <c r="X477" s="10"/>
      <c r="Y477" s="14" t="str">
        <f>IFERROR(__xludf.DUMMYFUNCTION("""COMPUTED_VALUE"""),"amirakash6830@gmail.com")</f>
        <v>amirakash6830@gmail.com</v>
      </c>
      <c r="AA477" s="324"/>
    </row>
    <row r="478" hidden="1">
      <c r="A478" s="9">
        <f>IFERROR(__xludf.DUMMYFUNCTION("""COMPUTED_VALUE"""),45877.21639163194)</f>
        <v>45877.21639</v>
      </c>
      <c r="B478" s="10" t="str">
        <f>IFERROR(__xludf.DUMMYFUNCTION("""COMPUTED_VALUE"""),"Muhammad Waqas ")</f>
        <v>Muhammad Waqas </v>
      </c>
      <c r="C478" s="10" t="str">
        <f>IFERROR(__xludf.DUMMYFUNCTION("""COMPUTED_VALUE"""),"03068216308")</f>
        <v>03068216308</v>
      </c>
      <c r="D478" s="10" t="str">
        <f>IFERROR(__xludf.DUMMYFUNCTION("""COMPUTED_VALUE"""),"Jamia Masjid Allah Daad Trust Jahaniya Khanewal ")</f>
        <v>Jamia Masjid Allah Daad Trust Jahaniya Khanewal </v>
      </c>
      <c r="E478" s="10" t="str">
        <f>IFERROR(__xludf.DUMMYFUNCTION("""COMPUTED_VALUE"""),"BGZLC")</f>
        <v>BGZLC</v>
      </c>
      <c r="F478" s="10">
        <f>IFERROR(__xludf.DUMMYFUNCTION("""COMPUTED_VALUE"""),303.0)</f>
        <v>303</v>
      </c>
      <c r="G478" s="10">
        <f>IFERROR(__xludf.DUMMYFUNCTION("""COMPUTED_VALUE"""),9.0)</f>
        <v>9</v>
      </c>
      <c r="H478" s="10">
        <f>IFERROR(__xludf.DUMMYFUNCTION("""COMPUTED_VALUE"""),9.0)</f>
        <v>9</v>
      </c>
      <c r="I478" s="10">
        <f>IFERROR(__xludf.DUMMYFUNCTION("""COMPUTED_VALUE"""),0.0)</f>
        <v>0</v>
      </c>
      <c r="J478" s="10"/>
      <c r="K478" s="10"/>
      <c r="L478" s="10"/>
      <c r="M478" s="10">
        <f>IFERROR(__xludf.DUMMYFUNCTION("""COMPUTED_VALUE"""),7.0)</f>
        <v>7</v>
      </c>
      <c r="N478" s="10"/>
      <c r="O478" s="10"/>
      <c r="P478" s="10"/>
      <c r="Q478" s="10"/>
      <c r="R478" s="10"/>
      <c r="S478" s="10"/>
      <c r="T478" s="10"/>
      <c r="U478" s="18" t="str">
        <f>IFERROR(__xludf.DUMMYFUNCTION("""COMPUTED_VALUE"""),"https://drive.google.com/open?id=1Y1CRWjzfPmkxIcmkODBUUdtDEN57mZRk")</f>
        <v>https://drive.google.com/open?id=1Y1CRWjzfPmkxIcmkODBUUdtDEN57mZRk</v>
      </c>
      <c r="V478" s="10"/>
      <c r="W478" s="10"/>
      <c r="X478" s="10"/>
      <c r="Y478" s="14" t="str">
        <f>IFERROR(__xludf.DUMMYFUNCTION("""COMPUTED_VALUE"""),"wm8216308@gmail.com")</f>
        <v>wm8216308@gmail.com</v>
      </c>
      <c r="AA478" s="324"/>
    </row>
    <row r="479" hidden="1">
      <c r="A479" s="9">
        <f>IFERROR(__xludf.DUMMYFUNCTION("""COMPUTED_VALUE"""),45877.22193105324)</f>
        <v>45877.22193</v>
      </c>
      <c r="B479" s="10" t="str">
        <f>IFERROR(__xludf.DUMMYFUNCTION("""COMPUTED_VALUE"""),"Atif Ali")</f>
        <v>Atif Ali</v>
      </c>
      <c r="C479" s="10" t="str">
        <f>IFERROR(__xludf.DUMMYFUNCTION("""COMPUTED_VALUE"""),"03290260531")</f>
        <v>03290260531</v>
      </c>
      <c r="D479" s="10" t="str">
        <f>IFERROR(__xludf.DUMMYFUNCTION("""COMPUTED_VALUE"""),"جامع مسجد انہار کالونی")</f>
        <v>جامع مسجد انہار کالونی</v>
      </c>
      <c r="E479" s="10" t="str">
        <f>IFERROR(__xludf.DUMMYFUNCTION("""COMPUTED_VALUE"""),"KFSQD")</f>
        <v>KFSQD</v>
      </c>
      <c r="F479" s="10">
        <f>IFERROR(__xludf.DUMMYFUNCTION("""COMPUTED_VALUE"""),203.0)</f>
        <v>203</v>
      </c>
      <c r="G479" s="10">
        <f>IFERROR(__xludf.DUMMYFUNCTION("""COMPUTED_VALUE"""),9.0)</f>
        <v>9</v>
      </c>
      <c r="H479" s="10">
        <f>IFERROR(__xludf.DUMMYFUNCTION("""COMPUTED_VALUE"""),8.0)</f>
        <v>8</v>
      </c>
      <c r="I479" s="10">
        <f>IFERROR(__xludf.DUMMYFUNCTION("""COMPUTED_VALUE"""),0.0)</f>
        <v>0</v>
      </c>
      <c r="J479" s="10"/>
      <c r="K479" s="10"/>
      <c r="L479" s="10"/>
      <c r="M479" s="10">
        <f>IFERROR(__xludf.DUMMYFUNCTION("""COMPUTED_VALUE"""),8.0)</f>
        <v>8</v>
      </c>
      <c r="N479" s="10"/>
      <c r="O479" s="10"/>
      <c r="P479" s="10"/>
      <c r="Q479" s="10"/>
      <c r="R479" s="10"/>
      <c r="S479" s="10"/>
      <c r="T479" s="10"/>
      <c r="U479" s="18" t="str">
        <f>IFERROR(__xludf.DUMMYFUNCTION("""COMPUTED_VALUE"""),"https://drive.google.com/open?id=18-Zo8ZTccbfrq8ycowpciAAuFWqcMuWD")</f>
        <v>https://drive.google.com/open?id=18-Zo8ZTccbfrq8ycowpciAAuFWqcMuWD</v>
      </c>
      <c r="V479" s="10"/>
      <c r="W479" s="10"/>
      <c r="X479" s="10"/>
      <c r="Y479" s="14" t="str">
        <f>IFERROR(__xludf.DUMMYFUNCTION("""COMPUTED_VALUE"""),"ali133atifjutt@gmail.com")</f>
        <v>ali133atifjutt@gmail.com</v>
      </c>
      <c r="AA479" s="324"/>
    </row>
    <row r="480" hidden="1">
      <c r="A480" s="9">
        <f>IFERROR(__xludf.DUMMYFUNCTION("""COMPUTED_VALUE"""),45877.228722581014)</f>
        <v>45877.22872</v>
      </c>
      <c r="B480" s="10" t="str">
        <f>IFERROR(__xludf.DUMMYFUNCTION("""COMPUTED_VALUE"""),"M.tariq")</f>
        <v>M.tariq</v>
      </c>
      <c r="C480" s="10" t="str">
        <f>IFERROR(__xludf.DUMMYFUNCTION("""COMPUTED_VALUE"""),"03114326273")</f>
        <v>03114326273</v>
      </c>
      <c r="D480" s="10" t="str">
        <f>IFERROR(__xludf.DUMMYFUNCTION("""COMPUTED_VALUE"""),"Jamia kocha gull Hassan shahi Bazar bwp ")</f>
        <v>Jamia kocha gull Hassan shahi Bazar bwp </v>
      </c>
      <c r="E480" s="10" t="str">
        <f>IFERROR(__xludf.DUMMYFUNCTION("""COMPUTED_VALUE"""),"REIMC")</f>
        <v>REIMC</v>
      </c>
      <c r="F480" s="10">
        <f>IFERROR(__xludf.DUMMYFUNCTION("""COMPUTED_VALUE"""),173.0)</f>
        <v>173</v>
      </c>
      <c r="G480" s="10">
        <f>IFERROR(__xludf.DUMMYFUNCTION("""COMPUTED_VALUE"""),8.0)</f>
        <v>8</v>
      </c>
      <c r="H480" s="10">
        <f>IFERROR(__xludf.DUMMYFUNCTION("""COMPUTED_VALUE"""),8.0)</f>
        <v>8</v>
      </c>
      <c r="I480" s="10">
        <f>IFERROR(__xludf.DUMMYFUNCTION("""COMPUTED_VALUE"""),1.0)</f>
        <v>1</v>
      </c>
      <c r="J480" s="10"/>
      <c r="K480" s="10"/>
      <c r="L480" s="10"/>
      <c r="M480" s="10">
        <f>IFERROR(__xludf.DUMMYFUNCTION("""COMPUTED_VALUE"""),9.0)</f>
        <v>9</v>
      </c>
      <c r="N480" s="10"/>
      <c r="O480" s="10"/>
      <c r="P480" s="10"/>
      <c r="Q480" s="10"/>
      <c r="R480" s="10"/>
      <c r="S480" s="10"/>
      <c r="T480" s="10"/>
      <c r="U480" s="18" t="str">
        <f>IFERROR(__xludf.DUMMYFUNCTION("""COMPUTED_VALUE"""),"https://drive.google.com/open?id=1wQiiB83hwbuWLGwyrcGyY0g1ZWw8rfIM")</f>
        <v>https://drive.google.com/open?id=1wQiiB83hwbuWLGwyrcGyY0g1ZWw8rfIM</v>
      </c>
      <c r="V480" s="10"/>
      <c r="W480" s="10"/>
      <c r="X480" s="10"/>
      <c r="Y480" s="14" t="str">
        <f>IFERROR(__xludf.DUMMYFUNCTION("""COMPUTED_VALUE"""),"panwartareq@gmail.com")</f>
        <v>panwartareq@gmail.com</v>
      </c>
      <c r="AA480" s="324"/>
    </row>
    <row r="481" hidden="1">
      <c r="A481" s="9">
        <f>IFERROR(__xludf.DUMMYFUNCTION("""COMPUTED_VALUE"""),45877.2292312037)</f>
        <v>45877.22923</v>
      </c>
      <c r="B481" s="10" t="str">
        <f>IFERROR(__xludf.DUMMYFUNCTION("""COMPUTED_VALUE"""),"M.usama Hanan")</f>
        <v>M.usama Hanan</v>
      </c>
      <c r="C481" s="10" t="str">
        <f>IFERROR(__xludf.DUMMYFUNCTION("""COMPUTED_VALUE"""),"03088678762")</f>
        <v>03088678762</v>
      </c>
      <c r="D481" s="10" t="str">
        <f>IFERROR(__xludf.DUMMYFUNCTION("""COMPUTED_VALUE"""),"Jamia jalal masjid gulgasht")</f>
        <v>Jamia jalal masjid gulgasht</v>
      </c>
      <c r="E481" s="10" t="str">
        <f>IFERROR(__xludf.DUMMYFUNCTION("""COMPUTED_VALUE"""),"Iprwe")</f>
        <v>Iprwe</v>
      </c>
      <c r="F481" s="10">
        <f>IFERROR(__xludf.DUMMYFUNCTION("""COMPUTED_VALUE"""),397.0)</f>
        <v>397</v>
      </c>
      <c r="G481" s="10">
        <f>IFERROR(__xludf.DUMMYFUNCTION("""COMPUTED_VALUE"""),5.0)</f>
        <v>5</v>
      </c>
      <c r="H481" s="10">
        <f>IFERROR(__xludf.DUMMYFUNCTION("""COMPUTED_VALUE"""),5.0)</f>
        <v>5</v>
      </c>
      <c r="I481" s="10">
        <f>IFERROR(__xludf.DUMMYFUNCTION("""COMPUTED_VALUE"""),14.0)</f>
        <v>14</v>
      </c>
      <c r="J481" s="10"/>
      <c r="K481" s="10"/>
      <c r="L481" s="10"/>
      <c r="M481" s="10">
        <f>IFERROR(__xludf.DUMMYFUNCTION("""COMPUTED_VALUE"""),9.0)</f>
        <v>9</v>
      </c>
      <c r="N481" s="10"/>
      <c r="O481" s="10"/>
      <c r="P481" s="10"/>
      <c r="Q481" s="10"/>
      <c r="R481" s="10"/>
      <c r="S481" s="10"/>
      <c r="T481" s="10"/>
      <c r="U481" s="18" t="str">
        <f>IFERROR(__xludf.DUMMYFUNCTION("""COMPUTED_VALUE"""),"https://drive.google.com/open?id=1NxyLi6GUihpo7YpBs0Vcugxq6Su0f4Pr")</f>
        <v>https://drive.google.com/open?id=1NxyLi6GUihpo7YpBs0Vcugxq6Su0f4Pr</v>
      </c>
      <c r="V481" s="10"/>
      <c r="W481" s="10"/>
      <c r="X481" s="10"/>
      <c r="Y481" s="14" t="str">
        <f>IFERROR(__xludf.DUMMYFUNCTION("""COMPUTED_VALUE"""),"hananusama064@gmail.com")</f>
        <v>hananusama064@gmail.com</v>
      </c>
      <c r="AA481" s="324"/>
    </row>
    <row r="482" hidden="1">
      <c r="A482" s="9">
        <f>IFERROR(__xludf.DUMMYFUNCTION("""COMPUTED_VALUE"""),45877.23193865741)</f>
        <v>45877.23194</v>
      </c>
      <c r="B482" s="10" t="str">
        <f>IFERROR(__xludf.DUMMYFUNCTION("""COMPUTED_VALUE"""),"ہزار خان ")</f>
        <v>ہزار خان </v>
      </c>
      <c r="C482" s="10" t="str">
        <f>IFERROR(__xludf.DUMMYFUNCTION("""COMPUTED_VALUE"""),"03201708927")</f>
        <v>03201708927</v>
      </c>
      <c r="D482" s="10" t="str">
        <f>IFERROR(__xludf.DUMMYFUNCTION("""COMPUTED_VALUE"""),"جامع قصاباں والی حرم گیٹ ملتان ")</f>
        <v>جامع قصاباں والی حرم گیٹ ملتان </v>
      </c>
      <c r="E482" s="10" t="str">
        <f>IFERROR(__xludf.DUMMYFUNCTION("""COMPUTED_VALUE"""),"QKGIH")</f>
        <v>QKGIH</v>
      </c>
      <c r="F482" s="10">
        <f>IFERROR(__xludf.DUMMYFUNCTION("""COMPUTED_VALUE"""),72.0)</f>
        <v>72</v>
      </c>
      <c r="G482" s="10">
        <f>IFERROR(__xludf.DUMMYFUNCTION("""COMPUTED_VALUE"""),7.0)</f>
        <v>7</v>
      </c>
      <c r="H482" s="10">
        <f>IFERROR(__xludf.DUMMYFUNCTION("""COMPUTED_VALUE"""),5.0)</f>
        <v>5</v>
      </c>
      <c r="I482" s="10">
        <f>IFERROR(__xludf.DUMMYFUNCTION("""COMPUTED_VALUE"""),1.0)</f>
        <v>1</v>
      </c>
      <c r="J482" s="10"/>
      <c r="K482" s="10"/>
      <c r="L482" s="10"/>
      <c r="M482" s="10">
        <f>IFERROR(__xludf.DUMMYFUNCTION("""COMPUTED_VALUE"""),4.0)</f>
        <v>4</v>
      </c>
      <c r="N482" s="10"/>
      <c r="O482" s="10"/>
      <c r="P482" s="10"/>
      <c r="Q482" s="10"/>
      <c r="R482" s="10"/>
      <c r="S482" s="10"/>
      <c r="T482" s="10"/>
      <c r="U482" s="18" t="str">
        <f>IFERROR(__xludf.DUMMYFUNCTION("""COMPUTED_VALUE"""),"https://drive.google.com/file/d/1gSvnvIM2cTneg16o31UuYs6W-MCxtk3X/view?usp=drive_link")</f>
        <v>https://drive.google.com/file/d/1gSvnvIM2cTneg16o31UuYs6W-MCxtk3X/view?usp=drive_link</v>
      </c>
      <c r="V482" s="10" t="str">
        <f>IFERROR(__xludf.DUMMYFUNCTION("""COMPUTED_VALUE"""),"ہاں مسجد کے لیٹرین وغیرہ کے دروازے بالکل نہیں ہیں نمازی متاثر ہیں  ")</f>
        <v>ہاں مسجد کے لیٹرین وغیرہ کے دروازے بالکل نہیں ہیں نمازی متاثر ہیں  </v>
      </c>
      <c r="W482" s="10"/>
      <c r="X482" s="10"/>
      <c r="Y482" s="14" t="str">
        <f>IFERROR(__xludf.DUMMYFUNCTION("""COMPUTED_VALUE"""),"hazarkhan8657@gmail.com")</f>
        <v>hazarkhan8657@gmail.com</v>
      </c>
      <c r="AA482" s="324"/>
    </row>
    <row r="483" hidden="1">
      <c r="A483" s="9">
        <f>IFERROR(__xludf.DUMMYFUNCTION("""COMPUTED_VALUE"""),45877.23203825232)</f>
        <v>45877.23204</v>
      </c>
      <c r="B483" s="10" t="str">
        <f>IFERROR(__xludf.DUMMYFUNCTION("""COMPUTED_VALUE"""),"Sheraz Abbas")</f>
        <v>Sheraz Abbas</v>
      </c>
      <c r="C483" s="10" t="str">
        <f>IFERROR(__xludf.DUMMYFUNCTION("""COMPUTED_VALUE"""),"03091519138")</f>
        <v>03091519138</v>
      </c>
      <c r="D483" s="10" t="str">
        <f>IFERROR(__xludf.DUMMYFUNCTION("""COMPUTED_VALUE"""),"Jamia Masjid Shah Shams")</f>
        <v>Jamia Masjid Shah Shams</v>
      </c>
      <c r="E483" s="10" t="str">
        <f>IFERROR(__xludf.DUMMYFUNCTION("""COMPUTED_VALUE"""),"NLHTW")</f>
        <v>NLHTW</v>
      </c>
      <c r="F483" s="10">
        <f>IFERROR(__xludf.DUMMYFUNCTION("""COMPUTED_VALUE"""),33.0)</f>
        <v>33</v>
      </c>
      <c r="G483" s="10">
        <f>IFERROR(__xludf.DUMMYFUNCTION("""COMPUTED_VALUE"""),9.0)</f>
        <v>9</v>
      </c>
      <c r="H483" s="10">
        <f>IFERROR(__xludf.DUMMYFUNCTION("""COMPUTED_VALUE"""),9.0)</f>
        <v>9</v>
      </c>
      <c r="I483" s="10">
        <f>IFERROR(__xludf.DUMMYFUNCTION("""COMPUTED_VALUE"""),1.0)</f>
        <v>1</v>
      </c>
      <c r="J483" s="10"/>
      <c r="K483" s="10"/>
      <c r="L483" s="10"/>
      <c r="M483" s="10">
        <f>IFERROR(__xludf.DUMMYFUNCTION("""COMPUTED_VALUE"""),7.0)</f>
        <v>7</v>
      </c>
      <c r="N483" s="10"/>
      <c r="O483" s="10"/>
      <c r="P483" s="10"/>
      <c r="Q483" s="10"/>
      <c r="R483" s="10"/>
      <c r="S483" s="10"/>
      <c r="T483" s="10"/>
      <c r="U483" s="18" t="str">
        <f>IFERROR(__xludf.DUMMYFUNCTION("""COMPUTED_VALUE"""),"https://drive.google.com/open?id=1uHTHs29eNy0fi3bqytqNCE4JiLNOZYQ3")</f>
        <v>https://drive.google.com/open?id=1uHTHs29eNy0fi3bqytqNCE4JiLNOZYQ3</v>
      </c>
      <c r="V483" s="10" t="str">
        <f>IFERROR(__xludf.DUMMYFUNCTION("""COMPUTED_VALUE"""),"Darbar ki entrance sy masjid tak, koi clean carpet nahi, nechy zameen bhot garm hoti ha chalna bhot deshwar hota ha, ")</f>
        <v>Darbar ki entrance sy masjid tak, koi clean carpet nahi, nechy zameen bhot garm hoti ha chalna bhot deshwar hota ha, </v>
      </c>
      <c r="W483" s="10"/>
      <c r="X483" s="10"/>
      <c r="Y483" s="14" t="str">
        <f>IFERROR(__xludf.DUMMYFUNCTION("""COMPUTED_VALUE"""),"sakhan122004@gmail.com")</f>
        <v>sakhan122004@gmail.com</v>
      </c>
      <c r="AA483" s="324"/>
    </row>
    <row r="484" hidden="1">
      <c r="A484" s="9">
        <f>IFERROR(__xludf.DUMMYFUNCTION("""COMPUTED_VALUE"""),45877.235705)</f>
        <v>45877.23571</v>
      </c>
      <c r="B484" s="10" t="str">
        <f>IFERROR(__xludf.DUMMYFUNCTION("""COMPUTED_VALUE"""),"Mubashir Aleem")</f>
        <v>Mubashir Aleem</v>
      </c>
      <c r="C484" s="10" t="str">
        <f>IFERROR(__xludf.DUMMYFUNCTION("""COMPUTED_VALUE"""),"03355555543")</f>
        <v>03355555543</v>
      </c>
      <c r="D484" s="10" t="str">
        <f>IFERROR(__xludf.DUMMYFUNCTION("""COMPUTED_VALUE"""),"Jamia Masjid Musa Pak Shaheed")</f>
        <v>Jamia Masjid Musa Pak Shaheed</v>
      </c>
      <c r="E484" s="10" t="str">
        <f>IFERROR(__xludf.DUMMYFUNCTION("""COMPUTED_VALUE"""),"WGVNS")</f>
        <v>WGVNS</v>
      </c>
      <c r="F484" s="10">
        <f>IFERROR(__xludf.DUMMYFUNCTION("""COMPUTED_VALUE"""),280.0)</f>
        <v>280</v>
      </c>
      <c r="G484" s="10">
        <f>IFERROR(__xludf.DUMMYFUNCTION("""COMPUTED_VALUE"""),10.0)</f>
        <v>10</v>
      </c>
      <c r="H484" s="10">
        <f>IFERROR(__xludf.DUMMYFUNCTION("""COMPUTED_VALUE"""),10.0)</f>
        <v>10</v>
      </c>
      <c r="I484" s="10" t="str">
        <f>IFERROR(__xludf.DUMMYFUNCTION("""COMPUTED_VALUE"""),"No")</f>
        <v>No</v>
      </c>
      <c r="J484" s="10"/>
      <c r="K484" s="10"/>
      <c r="L484" s="10"/>
      <c r="M484" s="10">
        <f>IFERROR(__xludf.DUMMYFUNCTION("""COMPUTED_VALUE"""),10.0)</f>
        <v>10</v>
      </c>
      <c r="N484" s="10"/>
      <c r="O484" s="10"/>
      <c r="P484" s="10"/>
      <c r="Q484" s="10"/>
      <c r="R484" s="10"/>
      <c r="S484" s="10"/>
      <c r="T484" s="10"/>
      <c r="U484" s="18" t="str">
        <f>IFERROR(__xludf.DUMMYFUNCTION("""COMPUTED_VALUE"""),"https://drive.google.com/open?id=1vZ8CeUqXh7N_cPX_wrzIdcsjqcTezD0C")</f>
        <v>https://drive.google.com/open?id=1vZ8CeUqXh7N_cPX_wrzIdcsjqcTezD0C</v>
      </c>
      <c r="V484" s="10" t="str">
        <f>IFERROR(__xludf.DUMMYFUNCTION("""COMPUTED_VALUE"""),"nothing")</f>
        <v>nothing</v>
      </c>
      <c r="W484" s="10"/>
      <c r="X484" s="10"/>
      <c r="Y484" s="14" t="str">
        <f>IFERROR(__xludf.DUMMYFUNCTION("""COMPUTED_VALUE"""),"maleem699@gmail.com")</f>
        <v>maleem699@gmail.com</v>
      </c>
      <c r="AA484" s="324"/>
    </row>
    <row r="485" hidden="1">
      <c r="A485" s="9">
        <f>IFERROR(__xludf.DUMMYFUNCTION("""COMPUTED_VALUE"""),45877.235733194444)</f>
        <v>45877.23573</v>
      </c>
      <c r="B485" s="10" t="str">
        <f>IFERROR(__xludf.DUMMYFUNCTION("""COMPUTED_VALUE"""),"Ahsan Ahmad ")</f>
        <v>Ahsan Ahmad </v>
      </c>
      <c r="C485" s="10" t="str">
        <f>IFERROR(__xludf.DUMMYFUNCTION("""COMPUTED_VALUE"""),"03008776162")</f>
        <v>03008776162</v>
      </c>
      <c r="D485" s="10" t="str">
        <f>IFERROR(__xludf.DUMMYFUNCTION("""COMPUTED_VALUE"""),"Masjid Mistari  Kamal din")</f>
        <v>Masjid Mistari  Kamal din</v>
      </c>
      <c r="E485" s="10" t="str">
        <f>IFERROR(__xludf.DUMMYFUNCTION("""COMPUTED_VALUE"""),"XATDF")</f>
        <v>XATDF</v>
      </c>
      <c r="F485" s="10">
        <f>IFERROR(__xludf.DUMMYFUNCTION("""COMPUTED_VALUE"""),177.0)</f>
        <v>177</v>
      </c>
      <c r="G485" s="10">
        <f>IFERROR(__xludf.DUMMYFUNCTION("""COMPUTED_VALUE"""),8.0)</f>
        <v>8</v>
      </c>
      <c r="H485" s="10">
        <f>IFERROR(__xludf.DUMMYFUNCTION("""COMPUTED_VALUE"""),8.0)</f>
        <v>8</v>
      </c>
      <c r="I485" s="10" t="str">
        <f>IFERROR(__xludf.DUMMYFUNCTION("""COMPUTED_VALUE"""),"No")</f>
        <v>No</v>
      </c>
      <c r="J485" s="10"/>
      <c r="K485" s="10"/>
      <c r="L485" s="10"/>
      <c r="M485" s="10">
        <f>IFERROR(__xludf.DUMMYFUNCTION("""COMPUTED_VALUE"""),8.0)</f>
        <v>8</v>
      </c>
      <c r="N485" s="10"/>
      <c r="O485" s="10"/>
      <c r="P485" s="10"/>
      <c r="Q485" s="10"/>
      <c r="R485" s="10"/>
      <c r="S485" s="10"/>
      <c r="T485" s="10"/>
      <c r="U485" s="18" t="str">
        <f>IFERROR(__xludf.DUMMYFUNCTION("""COMPUTED_VALUE"""),"https://drive.google.com/open?id=1rAs_Fm69m-J7cfS44NWc-VXHwtz9KKjc")</f>
        <v>https://drive.google.com/open?id=1rAs_Fm69m-J7cfS44NWc-VXHwtz9KKjc</v>
      </c>
      <c r="V485" s="10"/>
      <c r="W485" s="10"/>
      <c r="X485" s="10"/>
      <c r="Y485" s="14" t="str">
        <f>IFERROR(__xludf.DUMMYFUNCTION("""COMPUTED_VALUE"""),"ahsanahmadrao79@gmail.com")</f>
        <v>ahsanahmadrao79@gmail.com</v>
      </c>
      <c r="AA485" s="324"/>
    </row>
    <row r="486" hidden="1">
      <c r="A486" s="9">
        <f>IFERROR(__xludf.DUMMYFUNCTION("""COMPUTED_VALUE"""),45877.23685513889)</f>
        <v>45877.23686</v>
      </c>
      <c r="B486" s="10" t="str">
        <f>IFERROR(__xludf.DUMMYFUNCTION("""COMPUTED_VALUE"""),"Kaleemullah ")</f>
        <v>Kaleemullah </v>
      </c>
      <c r="C486" s="10" t="str">
        <f>IFERROR(__xludf.DUMMYFUNCTION("""COMPUTED_VALUE"""),"03032672573")</f>
        <v>03032672573</v>
      </c>
      <c r="D486" s="10" t="str">
        <f>IFERROR(__xludf.DUMMYFUNCTION("""COMPUTED_VALUE"""),"Jamia masjid Jagu wali")</f>
        <v>Jamia masjid Jagu wali</v>
      </c>
      <c r="E486" s="10" t="str">
        <f>IFERROR(__xludf.DUMMYFUNCTION("""COMPUTED_VALUE"""),"OJKHV")</f>
        <v>OJKHV</v>
      </c>
      <c r="F486" s="10">
        <f>IFERROR(__xludf.DUMMYFUNCTION("""COMPUTED_VALUE"""),433.0)</f>
        <v>433</v>
      </c>
      <c r="G486" s="10">
        <f>IFERROR(__xludf.DUMMYFUNCTION("""COMPUTED_VALUE"""),9.0)</f>
        <v>9</v>
      </c>
      <c r="H486" s="10">
        <f>IFERROR(__xludf.DUMMYFUNCTION("""COMPUTED_VALUE"""),8.0)</f>
        <v>8</v>
      </c>
      <c r="I486" s="10" t="str">
        <f>IFERROR(__xludf.DUMMYFUNCTION("""COMPUTED_VALUE"""),"01")</f>
        <v>01</v>
      </c>
      <c r="J486" s="10"/>
      <c r="K486" s="10"/>
      <c r="L486" s="10"/>
      <c r="M486" s="10">
        <f>IFERROR(__xludf.DUMMYFUNCTION("""COMPUTED_VALUE"""),9.0)</f>
        <v>9</v>
      </c>
      <c r="N486" s="10"/>
      <c r="O486" s="10"/>
      <c r="P486" s="10"/>
      <c r="Q486" s="10"/>
      <c r="R486" s="10"/>
      <c r="S486" s="10"/>
      <c r="T486" s="10"/>
      <c r="U486" s="18" t="str">
        <f>IFERROR(__xludf.DUMMYFUNCTION("""COMPUTED_VALUE"""),"https://drive.google.com/open?id=1R2EnIPGNi9N9X_W48lE-lUhSEPvDY5fo")</f>
        <v>https://drive.google.com/open?id=1R2EnIPGNi9N9X_W48lE-lUhSEPvDY5fo</v>
      </c>
      <c r="V486" s="10"/>
      <c r="W486" s="10"/>
      <c r="X486" s="10"/>
      <c r="Y486" s="14" t="str">
        <f>IFERROR(__xludf.DUMMYFUNCTION("""COMPUTED_VALUE"""),"ku566650@gmail.com")</f>
        <v>ku566650@gmail.com</v>
      </c>
      <c r="AA486" s="324"/>
    </row>
    <row r="487" hidden="1">
      <c r="A487" s="9">
        <f>IFERROR(__xludf.DUMMYFUNCTION("""COMPUTED_VALUE"""),45877.2377796875)</f>
        <v>45877.23778</v>
      </c>
      <c r="B487" s="10" t="str">
        <f>IFERROR(__xludf.DUMMYFUNCTION("""COMPUTED_VALUE"""),"Mubashir Aleem")</f>
        <v>Mubashir Aleem</v>
      </c>
      <c r="C487" s="10" t="str">
        <f>IFERROR(__xludf.DUMMYFUNCTION("""COMPUTED_VALUE"""),"03355555543")</f>
        <v>03355555543</v>
      </c>
      <c r="D487" s="10" t="str">
        <f>IFERROR(__xludf.DUMMYFUNCTION("""COMPUTED_VALUE"""),"Jamia masjid gull hassan")</f>
        <v>Jamia masjid gull hassan</v>
      </c>
      <c r="E487" s="10" t="str">
        <f>IFERROR(__xludf.DUMMYFUNCTION("""COMPUTED_VALUE"""),"FXLBT")</f>
        <v>FXLBT</v>
      </c>
      <c r="F487" s="10">
        <f>IFERROR(__xludf.DUMMYFUNCTION("""COMPUTED_VALUE"""),162.0)</f>
        <v>162</v>
      </c>
      <c r="G487" s="10">
        <f>IFERROR(__xludf.DUMMYFUNCTION("""COMPUTED_VALUE"""),9.0)</f>
        <v>9</v>
      </c>
      <c r="H487" s="10">
        <f>IFERROR(__xludf.DUMMYFUNCTION("""COMPUTED_VALUE"""),9.0)</f>
        <v>9</v>
      </c>
      <c r="I487" s="10" t="str">
        <f>IFERROR(__xludf.DUMMYFUNCTION("""COMPUTED_VALUE"""),"No")</f>
        <v>No</v>
      </c>
      <c r="J487" s="10"/>
      <c r="K487" s="10"/>
      <c r="L487" s="10"/>
      <c r="M487" s="10">
        <f>IFERROR(__xludf.DUMMYFUNCTION("""COMPUTED_VALUE"""),9.0)</f>
        <v>9</v>
      </c>
      <c r="N487" s="10"/>
      <c r="O487" s="10"/>
      <c r="P487" s="10"/>
      <c r="Q487" s="10"/>
      <c r="R487" s="10"/>
      <c r="S487" s="10"/>
      <c r="T487" s="10"/>
      <c r="U487" s="18" t="str">
        <f>IFERROR(__xludf.DUMMYFUNCTION("""COMPUTED_VALUE"""),"https://drive.google.com/open?id=1c-Id4PbD7woc6Ls4dyqBboaHvIyeAhOH")</f>
        <v>https://drive.google.com/open?id=1c-Id4PbD7woc6Ls4dyqBboaHvIyeAhOH</v>
      </c>
      <c r="V487" s="10" t="str">
        <f>IFERROR(__xludf.DUMMYFUNCTION("""COMPUTED_VALUE"""),"Nothing ")</f>
        <v>Nothing </v>
      </c>
      <c r="W487" s="10"/>
      <c r="X487" s="10"/>
      <c r="Y487" s="14" t="str">
        <f>IFERROR(__xludf.DUMMYFUNCTION("""COMPUTED_VALUE"""),"maleem699@gmail.com")</f>
        <v>maleem699@gmail.com</v>
      </c>
      <c r="AA487" s="324"/>
    </row>
    <row r="488" hidden="1">
      <c r="A488" s="9">
        <f>IFERROR(__xludf.DUMMYFUNCTION("""COMPUTED_VALUE"""),45877.23900646991)</f>
        <v>45877.23901</v>
      </c>
      <c r="B488" s="10" t="str">
        <f>IFERROR(__xludf.DUMMYFUNCTION("""COMPUTED_VALUE"""),"Hamza Arif ")</f>
        <v>Hamza Arif </v>
      </c>
      <c r="C488" s="10" t="str">
        <f>IFERROR(__xludf.DUMMYFUNCTION("""COMPUTED_VALUE"""),"03072633573")</f>
        <v>03072633573</v>
      </c>
      <c r="D488" s="10" t="str">
        <f>IFERROR(__xludf.DUMMYFUNCTION("""COMPUTED_VALUE"""),"Jamia masjid Nizamat")</f>
        <v>Jamia masjid Nizamat</v>
      </c>
      <c r="E488" s="10" t="str">
        <f>IFERROR(__xludf.DUMMYFUNCTION("""COMPUTED_VALUE"""),"XXFOS")</f>
        <v>XXFOS</v>
      </c>
      <c r="F488" s="10">
        <f>IFERROR(__xludf.DUMMYFUNCTION("""COMPUTED_VALUE"""),1015.0)</f>
        <v>1015</v>
      </c>
      <c r="G488" s="10">
        <f>IFERROR(__xludf.DUMMYFUNCTION("""COMPUTED_VALUE"""),8.0)</f>
        <v>8</v>
      </c>
      <c r="H488" s="10">
        <f>IFERROR(__xludf.DUMMYFUNCTION("""COMPUTED_VALUE"""),8.0)</f>
        <v>8</v>
      </c>
      <c r="I488" s="10">
        <f>IFERROR(__xludf.DUMMYFUNCTION("""COMPUTED_VALUE"""),0.0)</f>
        <v>0</v>
      </c>
      <c r="J488" s="10"/>
      <c r="K488" s="10"/>
      <c r="L488" s="10"/>
      <c r="M488" s="10">
        <f>IFERROR(__xludf.DUMMYFUNCTION("""COMPUTED_VALUE"""),8.0)</f>
        <v>8</v>
      </c>
      <c r="N488" s="10"/>
      <c r="O488" s="10"/>
      <c r="P488" s="10"/>
      <c r="Q488" s="10"/>
      <c r="R488" s="10"/>
      <c r="S488" s="10"/>
      <c r="T488" s="10"/>
      <c r="U488" s="18" t="str">
        <f>IFERROR(__xludf.DUMMYFUNCTION("""COMPUTED_VALUE"""),"https://drive.google.com/open?id=1gwZTfEdP4FHEG7TLZlF2xI1fJ84lQ5Ou")</f>
        <v>https://drive.google.com/open?id=1gwZTfEdP4FHEG7TLZlF2xI1fJ84lQ5Ou</v>
      </c>
      <c r="V488" s="10" t="str">
        <f>IFERROR(__xludf.DUMMYFUNCTION("""COMPUTED_VALUE"""),"Nothing Special ")</f>
        <v>Nothing Special </v>
      </c>
      <c r="W488" s="10"/>
      <c r="X488" s="10"/>
      <c r="Y488" s="14" t="str">
        <f>IFERROR(__xludf.DUMMYFUNCTION("""COMPUTED_VALUE"""),"hamzadhillon18@gmail.com")</f>
        <v>hamzadhillon18@gmail.com</v>
      </c>
      <c r="AA488" s="324"/>
    </row>
    <row r="489" hidden="1">
      <c r="A489" s="9">
        <f>IFERROR(__xludf.DUMMYFUNCTION("""COMPUTED_VALUE"""),45877.23983150463)</f>
        <v>45877.23983</v>
      </c>
      <c r="B489" s="10" t="str">
        <f>IFERROR(__xludf.DUMMYFUNCTION("""COMPUTED_VALUE"""),"Muhammad Shoaib ")</f>
        <v>Muhammad Shoaib </v>
      </c>
      <c r="C489" s="10" t="str">
        <f>IFERROR(__xludf.DUMMYFUNCTION("""COMPUTED_VALUE"""),"03002525196")</f>
        <v>03002525196</v>
      </c>
      <c r="D489" s="10" t="str">
        <f>IFERROR(__xludf.DUMMYFUNCTION("""COMPUTED_VALUE"""),"Jamia Masjid Kacha Khawa Khanewal")</f>
        <v>Jamia Masjid Kacha Khawa Khanewal</v>
      </c>
      <c r="E489" s="10" t="str">
        <f>IFERROR(__xludf.DUMMYFUNCTION("""COMPUTED_VALUE"""),"OTCCU")</f>
        <v>OTCCU</v>
      </c>
      <c r="F489" s="10">
        <f>IFERROR(__xludf.DUMMYFUNCTION("""COMPUTED_VALUE"""),20.0)</f>
        <v>20</v>
      </c>
      <c r="G489" s="10">
        <f>IFERROR(__xludf.DUMMYFUNCTION("""COMPUTED_VALUE"""),7.0)</f>
        <v>7</v>
      </c>
      <c r="H489" s="10">
        <f>IFERROR(__xludf.DUMMYFUNCTION("""COMPUTED_VALUE"""),5.0)</f>
        <v>5</v>
      </c>
      <c r="I489" s="10">
        <f>IFERROR(__xludf.DUMMYFUNCTION("""COMPUTED_VALUE"""),2.0)</f>
        <v>2</v>
      </c>
      <c r="J489" s="10"/>
      <c r="K489" s="10"/>
      <c r="L489" s="10"/>
      <c r="M489" s="10">
        <f>IFERROR(__xludf.DUMMYFUNCTION("""COMPUTED_VALUE"""),8.0)</f>
        <v>8</v>
      </c>
      <c r="N489" s="10"/>
      <c r="O489" s="10"/>
      <c r="P489" s="10"/>
      <c r="Q489" s="10"/>
      <c r="R489" s="10"/>
      <c r="S489" s="10"/>
      <c r="T489" s="10"/>
      <c r="U489" s="18" t="str">
        <f>IFERROR(__xludf.DUMMYFUNCTION("""COMPUTED_VALUE"""),"https://drive.google.com/open?id=1OS8ePGbsO0RRp43Dlk_Pvvnh2YpAgitT")</f>
        <v>https://drive.google.com/open?id=1OS8ePGbsO0RRp43Dlk_Pvvnh2YpAgitT</v>
      </c>
      <c r="V489" s="10" t="str">
        <f>IFERROR(__xludf.DUMMYFUNCTION("""COMPUTED_VALUE"""),"No ok ")</f>
        <v>No ok </v>
      </c>
      <c r="W489" s="10"/>
      <c r="X489" s="10"/>
      <c r="Y489" s="14" t="str">
        <f>IFERROR(__xludf.DUMMYFUNCTION("""COMPUTED_VALUE"""),"mshoaib1155@gmail.com")</f>
        <v>mshoaib1155@gmail.com</v>
      </c>
      <c r="AA489" s="324"/>
    </row>
    <row r="490" hidden="1">
      <c r="A490" s="9">
        <f>IFERROR(__xludf.DUMMYFUNCTION("""COMPUTED_VALUE"""),45877.24165297454)</f>
        <v>45877.24165</v>
      </c>
      <c r="B490" s="10" t="str">
        <f>IFERROR(__xludf.DUMMYFUNCTION("""COMPUTED_VALUE"""),"Amir manzoor ")</f>
        <v>Amir manzoor </v>
      </c>
      <c r="C490" s="10" t="str">
        <f>IFERROR(__xludf.DUMMYFUNCTION("""COMPUTED_VALUE"""),"03045969137")</f>
        <v>03045969137</v>
      </c>
      <c r="D490" s="10" t="str">
        <f>IFERROR(__xludf.DUMMYFUNCTION("""COMPUTED_VALUE"""),"Masjid Neel garan ")</f>
        <v>Masjid Neel garan </v>
      </c>
      <c r="E490" s="10" t="str">
        <f>IFERROR(__xludf.DUMMYFUNCTION("""COMPUTED_VALUE"""),"HJRMQ ")</f>
        <v>HJRMQ </v>
      </c>
      <c r="F490" s="10">
        <f>IFERROR(__xludf.DUMMYFUNCTION("""COMPUTED_VALUE"""),80.0)</f>
        <v>80</v>
      </c>
      <c r="G490" s="10">
        <f>IFERROR(__xludf.DUMMYFUNCTION("""COMPUTED_VALUE"""),5.0)</f>
        <v>5</v>
      </c>
      <c r="H490" s="10">
        <f>IFERROR(__xludf.DUMMYFUNCTION("""COMPUTED_VALUE"""),5.0)</f>
        <v>5</v>
      </c>
      <c r="I490" s="10">
        <f>IFERROR(__xludf.DUMMYFUNCTION("""COMPUTED_VALUE"""),3.0)</f>
        <v>3</v>
      </c>
      <c r="J490" s="10"/>
      <c r="K490" s="10"/>
      <c r="L490" s="10"/>
      <c r="M490" s="10">
        <f>IFERROR(__xludf.DUMMYFUNCTION("""COMPUTED_VALUE"""),7.0)</f>
        <v>7</v>
      </c>
      <c r="N490" s="10"/>
      <c r="O490" s="10"/>
      <c r="P490" s="10"/>
      <c r="Q490" s="10"/>
      <c r="R490" s="10"/>
      <c r="S490" s="10"/>
      <c r="T490" s="10"/>
      <c r="U490" s="18" t="str">
        <f>IFERROR(__xludf.DUMMYFUNCTION("""COMPUTED_VALUE"""),"https://drive.google.com/open?id=1o2PTNTkY2kG6TViI5fiVKOLpO8Zyrzq9")</f>
        <v>https://drive.google.com/open?id=1o2PTNTkY2kG6TViI5fiVKOLpO8Zyrzq9</v>
      </c>
      <c r="V490" s="10"/>
      <c r="W490" s="10"/>
      <c r="X490" s="10"/>
      <c r="Y490" s="14" t="str">
        <f>IFERROR(__xludf.DUMMYFUNCTION("""COMPUTED_VALUE"""),"am6060648@gmail.com")</f>
        <v>am6060648@gmail.com</v>
      </c>
      <c r="AA490" s="324"/>
    </row>
    <row r="491" hidden="1">
      <c r="A491" s="9">
        <f>IFERROR(__xludf.DUMMYFUNCTION("""COMPUTED_VALUE"""),45877.2450046875)</f>
        <v>45877.245</v>
      </c>
      <c r="B491" s="10" t="str">
        <f>IFERROR(__xludf.DUMMYFUNCTION("""COMPUTED_VALUE"""),"RIAZ HUSSAIN ")</f>
        <v>RIAZ HUSSAIN </v>
      </c>
      <c r="C491" s="10" t="str">
        <f>IFERROR(__xludf.DUMMYFUNCTION("""COMPUTED_VALUE"""),"03292924404")</f>
        <v>03292924404</v>
      </c>
      <c r="D491" s="10" t="str">
        <f>IFERROR(__xludf.DUMMYFUNCTION("""COMPUTED_VALUE"""),"JAMIA MASJID KUMHAR MANDI ")</f>
        <v>JAMIA MASJID KUMHAR MANDI </v>
      </c>
      <c r="E491" s="10" t="str">
        <f>IFERROR(__xludf.DUMMYFUNCTION("""COMPUTED_VALUE"""),"HKCEB")</f>
        <v>HKCEB</v>
      </c>
      <c r="F491" s="10">
        <f>IFERROR(__xludf.DUMMYFUNCTION("""COMPUTED_VALUE"""),321.0)</f>
        <v>321</v>
      </c>
      <c r="G491" s="10">
        <f>IFERROR(__xludf.DUMMYFUNCTION("""COMPUTED_VALUE"""),9.0)</f>
        <v>9</v>
      </c>
      <c r="H491" s="10">
        <f>IFERROR(__xludf.DUMMYFUNCTION("""COMPUTED_VALUE"""),9.0)</f>
        <v>9</v>
      </c>
      <c r="I491" s="10">
        <f>IFERROR(__xludf.DUMMYFUNCTION("""COMPUTED_VALUE"""),0.0)</f>
        <v>0</v>
      </c>
      <c r="J491" s="10"/>
      <c r="K491" s="10"/>
      <c r="L491" s="10"/>
      <c r="M491" s="10">
        <f>IFERROR(__xludf.DUMMYFUNCTION("""COMPUTED_VALUE"""),9.0)</f>
        <v>9</v>
      </c>
      <c r="N491" s="10"/>
      <c r="O491" s="10"/>
      <c r="P491" s="10"/>
      <c r="Q491" s="10"/>
      <c r="R491" s="10"/>
      <c r="S491" s="10"/>
      <c r="T491" s="10"/>
      <c r="U491" s="18" t="str">
        <f>IFERROR(__xludf.DUMMYFUNCTION("""COMPUTED_VALUE"""),"https://drive.google.com/open?id=1AMydLqNr_zUJSDCzC_s33gGFOzxbkTbT")</f>
        <v>https://drive.google.com/open?id=1AMydLqNr_zUJSDCzC_s33gGFOzxbkTbT</v>
      </c>
      <c r="V491" s="10"/>
      <c r="W491" s="10"/>
      <c r="X491" s="10"/>
      <c r="Y491" s="14" t="str">
        <f>IFERROR(__xludf.DUMMYFUNCTION("""COMPUTED_VALUE"""),"shriazhussain141@gmail.com")</f>
        <v>shriazhussain141@gmail.com</v>
      </c>
      <c r="AA491" s="324"/>
    </row>
    <row r="492" hidden="1">
      <c r="A492" s="9">
        <f>IFERROR(__xludf.DUMMYFUNCTION("""COMPUTED_VALUE"""),45877.24846190972)</f>
        <v>45877.24846</v>
      </c>
      <c r="B492" s="10" t="str">
        <f>IFERROR(__xludf.DUMMYFUNCTION("""COMPUTED_VALUE"""),"Imran Ali Khan")</f>
        <v>Imran Ali Khan</v>
      </c>
      <c r="C492" s="10" t="str">
        <f>IFERROR(__xludf.DUMMYFUNCTION("""COMPUTED_VALUE"""),"03056887716")</f>
        <v>03056887716</v>
      </c>
      <c r="D492" s="10" t="str">
        <f>IFERROR(__xludf.DUMMYFUNCTION("""COMPUTED_VALUE"""),"Jamia Masjid Madina Peple Wali Dehli gate")</f>
        <v>Jamia Masjid Madina Peple Wali Dehli gate</v>
      </c>
      <c r="E492" s="10" t="str">
        <f>IFERROR(__xludf.DUMMYFUNCTION("""COMPUTED_VALUE"""),"WPQFG")</f>
        <v>WPQFG</v>
      </c>
      <c r="F492" s="10">
        <f>IFERROR(__xludf.DUMMYFUNCTION("""COMPUTED_VALUE"""),80.0)</f>
        <v>80</v>
      </c>
      <c r="G492" s="10">
        <f>IFERROR(__xludf.DUMMYFUNCTION("""COMPUTED_VALUE"""),8.0)</f>
        <v>8</v>
      </c>
      <c r="H492" s="10">
        <f>IFERROR(__xludf.DUMMYFUNCTION("""COMPUTED_VALUE"""),6.0)</f>
        <v>6</v>
      </c>
      <c r="I492" s="10">
        <f>IFERROR(__xludf.DUMMYFUNCTION("""COMPUTED_VALUE"""),3.0)</f>
        <v>3</v>
      </c>
      <c r="J492" s="10"/>
      <c r="K492" s="10"/>
      <c r="L492" s="10"/>
      <c r="M492" s="10">
        <f>IFERROR(__xludf.DUMMYFUNCTION("""COMPUTED_VALUE"""),7.0)</f>
        <v>7</v>
      </c>
      <c r="N492" s="10"/>
      <c r="O492" s="10"/>
      <c r="P492" s="10"/>
      <c r="Q492" s="10"/>
      <c r="R492" s="10"/>
      <c r="S492" s="10"/>
      <c r="T492" s="10"/>
      <c r="U492" s="18" t="str">
        <f>IFERROR(__xludf.DUMMYFUNCTION("""COMPUTED_VALUE"""),"https://drive.google.com/open?id=1RRNq4iMZaC5nsydmLbi1QbDNETLnkJkf")</f>
        <v>https://drive.google.com/open?id=1RRNq4iMZaC5nsydmLbi1QbDNETLnkJkf</v>
      </c>
      <c r="V492" s="10"/>
      <c r="W492" s="10"/>
      <c r="X492" s="10"/>
      <c r="Y492" s="14" t="str">
        <f>IFERROR(__xludf.DUMMYFUNCTION("""COMPUTED_VALUE"""),"imranhaffari101@gmail.com")</f>
        <v>imranhaffari101@gmail.com</v>
      </c>
      <c r="AA492" s="324"/>
    </row>
    <row r="493" hidden="1">
      <c r="A493" s="9">
        <f>IFERROR(__xludf.DUMMYFUNCTION("""COMPUTED_VALUE"""),45877.250760625)</f>
        <v>45877.25076</v>
      </c>
      <c r="B493" s="10" t="str">
        <f>IFERROR(__xludf.DUMMYFUNCTION("""COMPUTED_VALUE"""),"Muhammad waseem ")</f>
        <v>Muhammad waseem </v>
      </c>
      <c r="C493" s="10" t="str">
        <f>IFERROR(__xludf.DUMMYFUNCTION("""COMPUTED_VALUE"""),"03054641810")</f>
        <v>03054641810</v>
      </c>
      <c r="D493" s="10" t="str">
        <f>IFERROR(__xludf.DUMMYFUNCTION("""COMPUTED_VALUE"""),"Jamia Masjid Gaalah Mandi bahawalnagar ")</f>
        <v>Jamia Masjid Gaalah Mandi bahawalnagar </v>
      </c>
      <c r="E493" s="10" t="str">
        <f>IFERROR(__xludf.DUMMYFUNCTION("""COMPUTED_VALUE"""),"YOKQU")</f>
        <v>YOKQU</v>
      </c>
      <c r="F493" s="10">
        <f>IFERROR(__xludf.DUMMYFUNCTION("""COMPUTED_VALUE"""),243.0)</f>
        <v>243</v>
      </c>
      <c r="G493" s="10">
        <f>IFERROR(__xludf.DUMMYFUNCTION("""COMPUTED_VALUE"""),9.0)</f>
        <v>9</v>
      </c>
      <c r="H493" s="10">
        <f>IFERROR(__xludf.DUMMYFUNCTION("""COMPUTED_VALUE"""),8.0)</f>
        <v>8</v>
      </c>
      <c r="I493" s="10">
        <f>IFERROR(__xludf.DUMMYFUNCTION("""COMPUTED_VALUE"""),0.0)</f>
        <v>0</v>
      </c>
      <c r="J493" s="10"/>
      <c r="K493" s="10"/>
      <c r="L493" s="10"/>
      <c r="M493" s="10">
        <f>IFERROR(__xludf.DUMMYFUNCTION("""COMPUTED_VALUE"""),10.0)</f>
        <v>10</v>
      </c>
      <c r="N493" s="10"/>
      <c r="O493" s="10"/>
      <c r="P493" s="10"/>
      <c r="Q493" s="10"/>
      <c r="R493" s="10"/>
      <c r="S493" s="10"/>
      <c r="T493" s="10"/>
      <c r="U493" s="18" t="str">
        <f>IFERROR(__xludf.DUMMYFUNCTION("""COMPUTED_VALUE"""),"https://drive.google.com/open?id=1siCQjI_ZVw1vPQ5hOX3ewmIpN21KaPG0")</f>
        <v>https://drive.google.com/open?id=1siCQjI_ZVw1vPQ5hOX3ewmIpN21KaPG0</v>
      </c>
      <c r="V493" s="10"/>
      <c r="W493" s="10"/>
      <c r="X493" s="10"/>
      <c r="Y493" s="14" t="str">
        <f>IFERROR(__xludf.DUMMYFUNCTION("""COMPUTED_VALUE"""),"chw116668@gmail.com")</f>
        <v>chw116668@gmail.com</v>
      </c>
      <c r="AA493" s="324"/>
    </row>
    <row r="494" hidden="1">
      <c r="A494" s="9">
        <f>IFERROR(__xludf.DUMMYFUNCTION("""COMPUTED_VALUE"""),45877.252139062504)</f>
        <v>45877.25214</v>
      </c>
      <c r="B494" s="10" t="str">
        <f>IFERROR(__xludf.DUMMYFUNCTION("""COMPUTED_VALUE"""),"Zafar Iqbal qamer")</f>
        <v>Zafar Iqbal qamer</v>
      </c>
      <c r="C494" s="10" t="str">
        <f>IFERROR(__xludf.DUMMYFUNCTION("""COMPUTED_VALUE"""),"0300635889")</f>
        <v>0300635889</v>
      </c>
      <c r="D494" s="10" t="str">
        <f>IFERROR(__xludf.DUMMYFUNCTION("""COMPUTED_VALUE"""),"Jamia masjid gull din colony")</f>
        <v>Jamia masjid gull din colony</v>
      </c>
      <c r="E494" s="10" t="str">
        <f>IFERROR(__xludf.DUMMYFUNCTION("""COMPUTED_VALUE"""),"LVYEA")</f>
        <v>LVYEA</v>
      </c>
      <c r="F494" s="10">
        <f>IFERROR(__xludf.DUMMYFUNCTION("""COMPUTED_VALUE"""),213.0)</f>
        <v>213</v>
      </c>
      <c r="G494" s="10">
        <f>IFERROR(__xludf.DUMMYFUNCTION("""COMPUTED_VALUE"""),8.0)</f>
        <v>8</v>
      </c>
      <c r="H494" s="10">
        <f>IFERROR(__xludf.DUMMYFUNCTION("""COMPUTED_VALUE"""),9.0)</f>
        <v>9</v>
      </c>
      <c r="I494" s="10">
        <f>IFERROR(__xludf.DUMMYFUNCTION("""COMPUTED_VALUE"""),0.0)</f>
        <v>0</v>
      </c>
      <c r="J494" s="10"/>
      <c r="K494" s="10"/>
      <c r="L494" s="10"/>
      <c r="M494" s="10">
        <f>IFERROR(__xludf.DUMMYFUNCTION("""COMPUTED_VALUE"""),8.0)</f>
        <v>8</v>
      </c>
      <c r="N494" s="10"/>
      <c r="O494" s="10"/>
      <c r="P494" s="10"/>
      <c r="Q494" s="10"/>
      <c r="R494" s="10"/>
      <c r="S494" s="10"/>
      <c r="T494" s="10"/>
      <c r="U494" s="18" t="str">
        <f>IFERROR(__xludf.DUMMYFUNCTION("""COMPUTED_VALUE"""),"https://drive.google.com/open?id=1ZDNee2EYCW62fyhlq8RRTruMj2ulPyIu")</f>
        <v>https://drive.google.com/open?id=1ZDNee2EYCW62fyhlq8RRTruMj2ulPyIu</v>
      </c>
      <c r="V494" s="10" t="str">
        <f>IFERROR(__xludf.DUMMYFUNCTION("""COMPUTED_VALUE"""),"No")</f>
        <v>No</v>
      </c>
      <c r="W494" s="10"/>
      <c r="X494" s="10"/>
      <c r="Y494" s="14" t="str">
        <f>IFERROR(__xludf.DUMMYFUNCTION("""COMPUTED_VALUE"""),"zafariqbalqamar456@gmail.com")</f>
        <v>zafariqbalqamar456@gmail.com</v>
      </c>
      <c r="AA494" s="324"/>
    </row>
    <row r="495" hidden="1">
      <c r="A495" s="9">
        <f>IFERROR(__xludf.DUMMYFUNCTION("""COMPUTED_VALUE"""),45877.25221364583)</f>
        <v>45877.25221</v>
      </c>
      <c r="B495" s="10" t="str">
        <f>IFERROR(__xludf.DUMMYFUNCTION("""COMPUTED_VALUE"""),"Faizullah ")</f>
        <v>Faizullah </v>
      </c>
      <c r="C495" s="10" t="str">
        <f>IFERROR(__xludf.DUMMYFUNCTION("""COMPUTED_VALUE"""),"0315 6557465")</f>
        <v>0315 6557465</v>
      </c>
      <c r="D495" s="10" t="str">
        <f>IFERROR(__xludf.DUMMYFUNCTION("""COMPUTED_VALUE"""),"Jamia Masjid Abdulah Shah Bukhari Muzaffargarh")</f>
        <v>Jamia Masjid Abdulah Shah Bukhari Muzaffargarh</v>
      </c>
      <c r="E495" s="10" t="str">
        <f>IFERROR(__xludf.DUMMYFUNCTION("""COMPUTED_VALUE"""),"KEZGA")</f>
        <v>KEZGA</v>
      </c>
      <c r="F495" s="10">
        <f>IFERROR(__xludf.DUMMYFUNCTION("""COMPUTED_VALUE"""),291.0)</f>
        <v>291</v>
      </c>
      <c r="G495" s="10">
        <f>IFERROR(__xludf.DUMMYFUNCTION("""COMPUTED_VALUE"""),7.0)</f>
        <v>7</v>
      </c>
      <c r="H495" s="10">
        <f>IFERROR(__xludf.DUMMYFUNCTION("""COMPUTED_VALUE"""),7.0)</f>
        <v>7</v>
      </c>
      <c r="I495" s="10">
        <f>IFERROR(__xludf.DUMMYFUNCTION("""COMPUTED_VALUE"""),3.0)</f>
        <v>3</v>
      </c>
      <c r="J495" s="10"/>
      <c r="K495" s="10"/>
      <c r="L495" s="10"/>
      <c r="M495" s="10">
        <f>IFERROR(__xludf.DUMMYFUNCTION("""COMPUTED_VALUE"""),8.0)</f>
        <v>8</v>
      </c>
      <c r="N495" s="10"/>
      <c r="O495" s="10"/>
      <c r="P495" s="10"/>
      <c r="Q495" s="10"/>
      <c r="R495" s="10"/>
      <c r="S495" s="10"/>
      <c r="T495" s="10"/>
      <c r="U495" s="18" t="str">
        <f>IFERROR(__xludf.DUMMYFUNCTION("""COMPUTED_VALUE"""),"https://drive.google.com/open?id=1Tg-dCJUIFeUn9AVvb04qI_6S6-ZRb6Y-")</f>
        <v>https://drive.google.com/open?id=1Tg-dCJUIFeUn9AVvb04qI_6S6-ZRb6Y-</v>
      </c>
      <c r="V495" s="10" t="str">
        <f>IFERROR(__xludf.DUMMYFUNCTION("""COMPUTED_VALUE"""),"Last time as sam impression good")</f>
        <v>Last time as sam impression good</v>
      </c>
      <c r="W495" s="10"/>
      <c r="X495" s="10"/>
      <c r="Y495" s="14" t="str">
        <f>IFERROR(__xludf.DUMMYFUNCTION("""COMPUTED_VALUE"""),"geotv666666@gmail.com")</f>
        <v>geotv666666@gmail.com</v>
      </c>
      <c r="AA495" s="324"/>
    </row>
    <row r="496" hidden="1">
      <c r="A496" s="9">
        <f>IFERROR(__xludf.DUMMYFUNCTION("""COMPUTED_VALUE"""),45877.25227878473)</f>
        <v>45877.25228</v>
      </c>
      <c r="B496" s="10" t="str">
        <f>IFERROR(__xludf.DUMMYFUNCTION("""COMPUTED_VALUE"""),"M. Asad shafique ")</f>
        <v>M. Asad shafique </v>
      </c>
      <c r="C496" s="10" t="str">
        <f>IFERROR(__xludf.DUMMYFUNCTION("""COMPUTED_VALUE"""),"03280905041")</f>
        <v>03280905041</v>
      </c>
      <c r="D496" s="10" t="str">
        <f>IFERROR(__xludf.DUMMYFUNCTION("""COMPUTED_VALUE"""),"Jamia masjid gul wali ")</f>
        <v>Jamia masjid gul wali </v>
      </c>
      <c r="E496" s="10" t="str">
        <f>IFERROR(__xludf.DUMMYFUNCTION("""COMPUTED_VALUE"""),"VBDPL")</f>
        <v>VBDPL</v>
      </c>
      <c r="F496" s="10">
        <f>IFERROR(__xludf.DUMMYFUNCTION("""COMPUTED_VALUE"""),123.0)</f>
        <v>123</v>
      </c>
      <c r="G496" s="10">
        <f>IFERROR(__xludf.DUMMYFUNCTION("""COMPUTED_VALUE"""),9.0)</f>
        <v>9</v>
      </c>
      <c r="H496" s="10">
        <f>IFERROR(__xludf.DUMMYFUNCTION("""COMPUTED_VALUE"""),10.0)</f>
        <v>10</v>
      </c>
      <c r="I496" s="10" t="str">
        <f>IFERROR(__xludf.DUMMYFUNCTION("""COMPUTED_VALUE"""),"No")</f>
        <v>No</v>
      </c>
      <c r="J496" s="10"/>
      <c r="K496" s="10"/>
      <c r="L496" s="10"/>
      <c r="M496" s="10">
        <f>IFERROR(__xludf.DUMMYFUNCTION("""COMPUTED_VALUE"""),9.0)</f>
        <v>9</v>
      </c>
      <c r="N496" s="10"/>
      <c r="O496" s="10"/>
      <c r="P496" s="10"/>
      <c r="Q496" s="10"/>
      <c r="R496" s="10"/>
      <c r="S496" s="10"/>
      <c r="T496" s="10"/>
      <c r="U496" s="18" t="str">
        <f>IFERROR(__xludf.DUMMYFUNCTION("""COMPUTED_VALUE"""),"https://drive.google.com/open?id=1Iaq6Vf2C8u6YhyfAnJbYC7JOgf33kfOz")</f>
        <v>https://drive.google.com/open?id=1Iaq6Vf2C8u6YhyfAnJbYC7JOgf33kfOz</v>
      </c>
      <c r="V496" s="10"/>
      <c r="W496" s="10"/>
      <c r="X496" s="10"/>
      <c r="Y496" s="14" t="str">
        <f>IFERROR(__xludf.DUMMYFUNCTION("""COMPUTED_VALUE"""),"asadchudhary6@gmail.com")</f>
        <v>asadchudhary6@gmail.com</v>
      </c>
      <c r="AA496" s="324"/>
    </row>
    <row r="497" hidden="1">
      <c r="A497" s="9">
        <f>IFERROR(__xludf.DUMMYFUNCTION("""COMPUTED_VALUE"""),45877.25450601852)</f>
        <v>45877.25451</v>
      </c>
      <c r="B497" s="10" t="str">
        <f>IFERROR(__xludf.DUMMYFUNCTION("""COMPUTED_VALUE"""),"Zafar Iqbal qamer")</f>
        <v>Zafar Iqbal qamer</v>
      </c>
      <c r="C497" s="10" t="str">
        <f>IFERROR(__xludf.DUMMYFUNCTION("""COMPUTED_VALUE"""),"03006357889")</f>
        <v>03006357889</v>
      </c>
      <c r="D497" s="10" t="str">
        <f>IFERROR(__xludf.DUMMYFUNCTION("""COMPUTED_VALUE"""),"Jamia masjid peer ashaq")</f>
        <v>Jamia masjid peer ashaq</v>
      </c>
      <c r="E497" s="10" t="str">
        <f>IFERROR(__xludf.DUMMYFUNCTION("""COMPUTED_VALUE"""),"ZYELN")</f>
        <v>ZYELN</v>
      </c>
      <c r="F497" s="10">
        <f>IFERROR(__xludf.DUMMYFUNCTION("""COMPUTED_VALUE"""),242.0)</f>
        <v>242</v>
      </c>
      <c r="G497" s="10">
        <f>IFERROR(__xludf.DUMMYFUNCTION("""COMPUTED_VALUE"""),8.0)</f>
        <v>8</v>
      </c>
      <c r="H497" s="10">
        <f>IFERROR(__xludf.DUMMYFUNCTION("""COMPUTED_VALUE"""),7.0)</f>
        <v>7</v>
      </c>
      <c r="I497" s="10">
        <f>IFERROR(__xludf.DUMMYFUNCTION("""COMPUTED_VALUE"""),0.0)</f>
        <v>0</v>
      </c>
      <c r="J497" s="10"/>
      <c r="K497" s="10"/>
      <c r="L497" s="10"/>
      <c r="M497" s="10">
        <f>IFERROR(__xludf.DUMMYFUNCTION("""COMPUTED_VALUE"""),1.0)</f>
        <v>1</v>
      </c>
      <c r="N497" s="10"/>
      <c r="O497" s="10"/>
      <c r="P497" s="10"/>
      <c r="Q497" s="10"/>
      <c r="R497" s="10"/>
      <c r="S497" s="10"/>
      <c r="T497" s="10"/>
      <c r="U497" s="18" t="str">
        <f>IFERROR(__xludf.DUMMYFUNCTION("""COMPUTED_VALUE"""),"https://drive.google.com/file/d/1juxUoQRw28lmnVvPy-17WoZcfpXXPcP5/view?usp=drive_link")</f>
        <v>https://drive.google.com/file/d/1juxUoQRw28lmnVvPy-17WoZcfpXXPcP5/view?usp=drive_link</v>
      </c>
      <c r="V497" s="10" t="str">
        <f>IFERROR(__xludf.DUMMYFUNCTION("""COMPUTED_VALUE"""),"e")</f>
        <v>e</v>
      </c>
      <c r="W497" s="10"/>
      <c r="X497" s="10"/>
      <c r="Y497" s="14" t="str">
        <f>IFERROR(__xludf.DUMMYFUNCTION("""COMPUTED_VALUE"""),"zafariqbalqamar456@gmail.com")</f>
        <v>zafariqbalqamar456@gmail.com</v>
      </c>
      <c r="AA497" s="324"/>
    </row>
    <row r="498" hidden="1">
      <c r="A498" s="9">
        <f>IFERROR(__xludf.DUMMYFUNCTION("""COMPUTED_VALUE"""),45877.257323530095)</f>
        <v>45877.25732</v>
      </c>
      <c r="B498" s="10" t="str">
        <f>IFERROR(__xludf.DUMMYFUNCTION("""COMPUTED_VALUE"""),"M.Amir")</f>
        <v>M.Amir</v>
      </c>
      <c r="C498" s="10" t="str">
        <f>IFERROR(__xludf.DUMMYFUNCTION("""COMPUTED_VALUE"""),"03099884405")</f>
        <v>03099884405</v>
      </c>
      <c r="D498" s="10" t="str">
        <f>IFERROR(__xludf.DUMMYFUNCTION("""COMPUTED_VALUE"""),"Jamia masjid sheikh Syed wali fareedgate")</f>
        <v>Jamia masjid sheikh Syed wali fareedgate</v>
      </c>
      <c r="E498" s="10" t="str">
        <f>IFERROR(__xludf.DUMMYFUNCTION("""COMPUTED_VALUE"""),"PGOLJ")</f>
        <v>PGOLJ</v>
      </c>
      <c r="F498" s="10">
        <f>IFERROR(__xludf.DUMMYFUNCTION("""COMPUTED_VALUE"""),416.0)</f>
        <v>416</v>
      </c>
      <c r="G498" s="10">
        <f>IFERROR(__xludf.DUMMYFUNCTION("""COMPUTED_VALUE"""),8.0)</f>
        <v>8</v>
      </c>
      <c r="H498" s="10">
        <f>IFERROR(__xludf.DUMMYFUNCTION("""COMPUTED_VALUE"""),9.0)</f>
        <v>9</v>
      </c>
      <c r="I498" s="10">
        <f>IFERROR(__xludf.DUMMYFUNCTION("""COMPUTED_VALUE"""),2.0)</f>
        <v>2</v>
      </c>
      <c r="J498" s="10"/>
      <c r="K498" s="10"/>
      <c r="L498" s="10"/>
      <c r="M498" s="10">
        <f>IFERROR(__xludf.DUMMYFUNCTION("""COMPUTED_VALUE"""),9.0)</f>
        <v>9</v>
      </c>
      <c r="N498" s="10"/>
      <c r="O498" s="10"/>
      <c r="P498" s="10"/>
      <c r="Q498" s="10"/>
      <c r="R498" s="10"/>
      <c r="S498" s="10"/>
      <c r="T498" s="10"/>
      <c r="U498" s="18" t="str">
        <f>IFERROR(__xludf.DUMMYFUNCTION("""COMPUTED_VALUE"""),"https://drive.google.com/open?id=19Q9LJiMqVjVkgQK5CD0eeZUw6tpWpmXs")</f>
        <v>https://drive.google.com/open?id=19Q9LJiMqVjVkgQK5CD0eeZUw6tpWpmXs</v>
      </c>
      <c r="V498" s="10"/>
      <c r="W498" s="10"/>
      <c r="X498" s="10"/>
      <c r="Y498" s="14" t="str">
        <f>IFERROR(__xludf.DUMMYFUNCTION("""COMPUTED_VALUE"""),"amirakash6830@gmail.com")</f>
        <v>amirakash6830@gmail.com</v>
      </c>
      <c r="AA498" s="324"/>
    </row>
    <row r="499" hidden="1">
      <c r="A499" s="9">
        <f>IFERROR(__xludf.DUMMYFUNCTION("""COMPUTED_VALUE"""),45877.25813584491)</f>
        <v>45877.25814</v>
      </c>
      <c r="B499" s="10" t="str">
        <f>IFERROR(__xludf.DUMMYFUNCTION("""COMPUTED_VALUE"""),"Fahad")</f>
        <v>Fahad</v>
      </c>
      <c r="C499" s="10" t="str">
        <f>IFERROR(__xludf.DUMMYFUNCTION("""COMPUTED_VALUE"""),"03008396958")</f>
        <v>03008396958</v>
      </c>
      <c r="D499" s="10" t="str">
        <f>IFERROR(__xludf.DUMMYFUNCTION("""COMPUTED_VALUE"""),"Jamia masjid markazi Eid gah khanewal")</f>
        <v>Jamia masjid markazi Eid gah khanewal</v>
      </c>
      <c r="E499" s="10" t="str">
        <f>IFERROR(__xludf.DUMMYFUNCTION("""COMPUTED_VALUE"""),"FRMFU")</f>
        <v>FRMFU</v>
      </c>
      <c r="F499" s="10">
        <f>IFERROR(__xludf.DUMMYFUNCTION("""COMPUTED_VALUE"""),1306.0)</f>
        <v>1306</v>
      </c>
      <c r="G499" s="10">
        <f>IFERROR(__xludf.DUMMYFUNCTION("""COMPUTED_VALUE"""),6.0)</f>
        <v>6</v>
      </c>
      <c r="H499" s="10">
        <f>IFERROR(__xludf.DUMMYFUNCTION("""COMPUTED_VALUE"""),4.0)</f>
        <v>4</v>
      </c>
      <c r="I499" s="10">
        <f>IFERROR(__xludf.DUMMYFUNCTION("""COMPUTED_VALUE"""),3.0)</f>
        <v>3</v>
      </c>
      <c r="J499" s="10"/>
      <c r="K499" s="10"/>
      <c r="L499" s="10"/>
      <c r="M499" s="10">
        <f>IFERROR(__xludf.DUMMYFUNCTION("""COMPUTED_VALUE"""),8.0)</f>
        <v>8</v>
      </c>
      <c r="N499" s="10"/>
      <c r="O499" s="10"/>
      <c r="P499" s="10"/>
      <c r="Q499" s="10"/>
      <c r="R499" s="10"/>
      <c r="S499" s="10"/>
      <c r="T499" s="10"/>
      <c r="U499" s="18" t="str">
        <f>IFERROR(__xludf.DUMMYFUNCTION("""COMPUTED_VALUE"""),"https://drive.google.com/open?id=1LUHJRYRPKsSO4jWZJxDWY1QgW-a4IrTI")</f>
        <v>https://drive.google.com/open?id=1LUHJRYRPKsSO4jWZJxDWY1QgW-a4IrTI</v>
      </c>
      <c r="V499" s="10" t="str">
        <f>IFERROR(__xludf.DUMMYFUNCTION("""COMPUTED_VALUE"""),"Nothing ")</f>
        <v>Nothing </v>
      </c>
      <c r="W499" s="10"/>
      <c r="X499" s="10"/>
      <c r="Y499" s="14" t="str">
        <f>IFERROR(__xludf.DUMMYFUNCTION("""COMPUTED_VALUE"""),"fahadsheikh4340@gmail.com")</f>
        <v>fahadsheikh4340@gmail.com</v>
      </c>
      <c r="AA499" s="324"/>
    </row>
    <row r="500" hidden="1">
      <c r="A500" s="9">
        <f>IFERROR(__xludf.DUMMYFUNCTION("""COMPUTED_VALUE"""),45877.25884679398)</f>
        <v>45877.25885</v>
      </c>
      <c r="B500" s="10" t="str">
        <f>IFERROR(__xludf.DUMMYFUNCTION("""COMPUTED_VALUE"""),"سلیمان")</f>
        <v>سلیمان</v>
      </c>
      <c r="C500" s="10" t="str">
        <f>IFERROR(__xludf.DUMMYFUNCTION("""COMPUTED_VALUE"""),"03097851782")</f>
        <v>03097851782</v>
      </c>
      <c r="D500" s="10" t="str">
        <f>IFERROR(__xludf.DUMMYFUNCTION("""COMPUTED_VALUE"""),"قاضیوں والی مسجد")</f>
        <v>قاضیوں والی مسجد</v>
      </c>
      <c r="E500" s="10" t="str">
        <f>IFERROR(__xludf.DUMMYFUNCTION("""COMPUTED_VALUE"""),"XIINW")</f>
        <v>XIINW</v>
      </c>
      <c r="F500" s="10">
        <f>IFERROR(__xludf.DUMMYFUNCTION("""COMPUTED_VALUE"""),187.0)</f>
        <v>187</v>
      </c>
      <c r="G500" s="10">
        <f>IFERROR(__xludf.DUMMYFUNCTION("""COMPUTED_VALUE"""),5.0)</f>
        <v>5</v>
      </c>
      <c r="H500" s="10">
        <f>IFERROR(__xludf.DUMMYFUNCTION("""COMPUTED_VALUE"""),6.0)</f>
        <v>6</v>
      </c>
      <c r="I500" s="10">
        <f>IFERROR(__xludf.DUMMYFUNCTION("""COMPUTED_VALUE"""),2.0)</f>
        <v>2</v>
      </c>
      <c r="J500" s="10"/>
      <c r="K500" s="10"/>
      <c r="L500" s="10"/>
      <c r="M500" s="10">
        <f>IFERROR(__xludf.DUMMYFUNCTION("""COMPUTED_VALUE"""),7.0)</f>
        <v>7</v>
      </c>
      <c r="N500" s="10"/>
      <c r="O500" s="10"/>
      <c r="P500" s="10"/>
      <c r="Q500" s="10"/>
      <c r="R500" s="10"/>
      <c r="S500" s="10"/>
      <c r="T500" s="10"/>
      <c r="U500" s="18" t="str">
        <f>IFERROR(__xludf.DUMMYFUNCTION("""COMPUTED_VALUE"""),"https://drive.google.com/open?id=1zZRK7j9e6_9PVHCHG0uE0i33kpO2_GBD")</f>
        <v>https://drive.google.com/open?id=1zZRK7j9e6_9PVHCHG0uE0i33kpO2_GBD</v>
      </c>
      <c r="V500" s="10" t="str">
        <f>IFERROR(__xludf.DUMMYFUNCTION("""COMPUTED_VALUE"""),"لوگوں کو شعور کی ضرورت ہے")</f>
        <v>لوگوں کو شعور کی ضرورت ہے</v>
      </c>
      <c r="W500" s="10"/>
      <c r="X500" s="10"/>
      <c r="Y500" s="14" t="str">
        <f>IFERROR(__xludf.DUMMYFUNCTION("""COMPUTED_VALUE"""),"sulemanjaveed741@gmail.com")</f>
        <v>sulemanjaveed741@gmail.com</v>
      </c>
      <c r="AA500" s="324"/>
    </row>
    <row r="501" hidden="1">
      <c r="A501" s="9">
        <f>IFERROR(__xludf.DUMMYFUNCTION("""COMPUTED_VALUE"""),45877.26040775463)</f>
        <v>45877.26041</v>
      </c>
      <c r="B501" s="10" t="str">
        <f>IFERROR(__xludf.DUMMYFUNCTION("""COMPUTED_VALUE"""),"Asimsabri ")</f>
        <v>Asimsabri </v>
      </c>
      <c r="C501" s="10" t="str">
        <f>IFERROR(__xludf.DUMMYFUNCTION("""COMPUTED_VALUE"""),"03006481909")</f>
        <v>03006481909</v>
      </c>
      <c r="D501" s="10" t="str">
        <f>IFERROR(__xludf.DUMMYFUNCTION("""COMPUTED_VALUE"""),"جامع مسجد محب فقیر")</f>
        <v>جامع مسجد محب فقیر</v>
      </c>
      <c r="E501" s="10" t="str">
        <f>IFERROR(__xludf.DUMMYFUNCTION("""COMPUTED_VALUE"""),"XALUJ")</f>
        <v>XALUJ</v>
      </c>
      <c r="F501" s="10">
        <f>IFERROR(__xludf.DUMMYFUNCTION("""COMPUTED_VALUE"""),920.0)</f>
        <v>920</v>
      </c>
      <c r="G501" s="10">
        <f>IFERROR(__xludf.DUMMYFUNCTION("""COMPUTED_VALUE"""),2.0)</f>
        <v>2</v>
      </c>
      <c r="H501" s="10">
        <f>IFERROR(__xludf.DUMMYFUNCTION("""COMPUTED_VALUE"""),2.0)</f>
        <v>2</v>
      </c>
      <c r="I501" s="10">
        <f>IFERROR(__xludf.DUMMYFUNCTION("""COMPUTED_VALUE"""),5.0)</f>
        <v>5</v>
      </c>
      <c r="J501" s="10"/>
      <c r="K501" s="10"/>
      <c r="L501" s="10"/>
      <c r="M501" s="10">
        <f>IFERROR(__xludf.DUMMYFUNCTION("""COMPUTED_VALUE"""),8.0)</f>
        <v>8</v>
      </c>
      <c r="N501" s="10"/>
      <c r="O501" s="10"/>
      <c r="P501" s="10"/>
      <c r="Q501" s="10"/>
      <c r="R501" s="10"/>
      <c r="S501" s="10"/>
      <c r="T501" s="10"/>
      <c r="U501" s="18" t="str">
        <f>IFERROR(__xludf.DUMMYFUNCTION("""COMPUTED_VALUE"""),"https://drive.google.com/open?id=1KsLZ6pml-TA3c5c8z5iG0i6p1IQ28liw")</f>
        <v>https://drive.google.com/open?id=1KsLZ6pml-TA3c5c8z5iG0i6p1IQ28liw</v>
      </c>
      <c r="V501" s="10"/>
      <c r="W501" s="10"/>
      <c r="X501" s="10"/>
      <c r="Y501" s="14" t="str">
        <f>IFERROR(__xludf.DUMMYFUNCTION("""COMPUTED_VALUE"""),"asimsabriasimsabri198126@gmail.com")</f>
        <v>asimsabriasimsabri198126@gmail.com</v>
      </c>
      <c r="AA501" s="324"/>
    </row>
    <row r="502" hidden="1">
      <c r="A502" s="9">
        <f>IFERROR(__xludf.DUMMYFUNCTION("""COMPUTED_VALUE"""),45877.26051420139)</f>
        <v>45877.26051</v>
      </c>
      <c r="B502" s="10" t="str">
        <f>IFERROR(__xludf.DUMMYFUNCTION("""COMPUTED_VALUE"""),"Sajjad Hussain ")</f>
        <v>Sajjad Hussain </v>
      </c>
      <c r="C502" s="10" t="str">
        <f>IFERROR(__xludf.DUMMYFUNCTION("""COMPUTED_VALUE"""),"03013720843")</f>
        <v>03013720843</v>
      </c>
      <c r="D502" s="10" t="str">
        <f>IFERROR(__xludf.DUMMYFUNCTION("""COMPUTED_VALUE"""),"Jamia masjid ghawajagaan Multan ")</f>
        <v>Jamia masjid ghawajagaan Multan </v>
      </c>
      <c r="E502" s="10" t="str">
        <f>IFERROR(__xludf.DUMMYFUNCTION("""COMPUTED_VALUE"""),"CFHON ")</f>
        <v>CFHON </v>
      </c>
      <c r="F502" s="10">
        <f>IFERROR(__xludf.DUMMYFUNCTION("""COMPUTED_VALUE"""),36.0)</f>
        <v>36</v>
      </c>
      <c r="G502" s="10">
        <f>IFERROR(__xludf.DUMMYFUNCTION("""COMPUTED_VALUE"""),9.0)</f>
        <v>9</v>
      </c>
      <c r="H502" s="10">
        <f>IFERROR(__xludf.DUMMYFUNCTION("""COMPUTED_VALUE"""),8.0)</f>
        <v>8</v>
      </c>
      <c r="I502" s="10">
        <f>IFERROR(__xludf.DUMMYFUNCTION("""COMPUTED_VALUE"""),1.0)</f>
        <v>1</v>
      </c>
      <c r="J502" s="10"/>
      <c r="K502" s="10"/>
      <c r="L502" s="10"/>
      <c r="M502" s="10">
        <f>IFERROR(__xludf.DUMMYFUNCTION("""COMPUTED_VALUE"""),9.0)</f>
        <v>9</v>
      </c>
      <c r="N502" s="10"/>
      <c r="O502" s="10"/>
      <c r="P502" s="10"/>
      <c r="Q502" s="10"/>
      <c r="R502" s="10"/>
      <c r="S502" s="10"/>
      <c r="T502" s="10"/>
      <c r="U502" s="18" t="str">
        <f>IFERROR(__xludf.DUMMYFUNCTION("""COMPUTED_VALUE"""),"https://drive.google.com/open?id=1kFCmwu8VZ24SI96e98BZA19PD80TYICc")</f>
        <v>https://drive.google.com/open?id=1kFCmwu8VZ24SI96e98BZA19PD80TYICc</v>
      </c>
      <c r="V502" s="10"/>
      <c r="W502" s="10"/>
      <c r="X502" s="10"/>
      <c r="Y502" s="14" t="str">
        <f>IFERROR(__xludf.DUMMYFUNCTION("""COMPUTED_VALUE"""),"sajjadhussainh786@gmail.com")</f>
        <v>sajjadhussainh786@gmail.com</v>
      </c>
      <c r="AA502" s="324"/>
    </row>
    <row r="503" hidden="1">
      <c r="A503" s="9">
        <f>IFERROR(__xludf.DUMMYFUNCTION("""COMPUTED_VALUE"""),45877.26300171296)</f>
        <v>45877.263</v>
      </c>
      <c r="B503" s="10" t="str">
        <f>IFERROR(__xludf.DUMMYFUNCTION("""COMPUTED_VALUE"""),"Muneeb Ahmad")</f>
        <v>Muneeb Ahmad</v>
      </c>
      <c r="C503" s="10" t="str">
        <f>IFERROR(__xludf.DUMMYFUNCTION("""COMPUTED_VALUE"""),"030365052878")</f>
        <v>030365052878</v>
      </c>
      <c r="D503" s="10" t="str">
        <f>IFERROR(__xludf.DUMMYFUNCTION("""COMPUTED_VALUE"""),"Jamia Masjid Madina Bohar Gate")</f>
        <v>Jamia Masjid Madina Bohar Gate</v>
      </c>
      <c r="E503" s="10" t="str">
        <f>IFERROR(__xludf.DUMMYFUNCTION("""COMPUTED_VALUE"""),"UKYKE")</f>
        <v>UKYKE</v>
      </c>
      <c r="F503" s="10">
        <f>IFERROR(__xludf.DUMMYFUNCTION("""COMPUTED_VALUE"""),116.0)</f>
        <v>116</v>
      </c>
      <c r="G503" s="10">
        <f>IFERROR(__xludf.DUMMYFUNCTION("""COMPUTED_VALUE"""),7.0)</f>
        <v>7</v>
      </c>
      <c r="H503" s="10">
        <f>IFERROR(__xludf.DUMMYFUNCTION("""COMPUTED_VALUE"""),5.0)</f>
        <v>5</v>
      </c>
      <c r="I503" s="10">
        <f>IFERROR(__xludf.DUMMYFUNCTION("""COMPUTED_VALUE"""),0.0)</f>
        <v>0</v>
      </c>
      <c r="J503" s="10"/>
      <c r="K503" s="10"/>
      <c r="L503" s="10"/>
      <c r="M503" s="10">
        <f>IFERROR(__xludf.DUMMYFUNCTION("""COMPUTED_VALUE"""),7.0)</f>
        <v>7</v>
      </c>
      <c r="N503" s="10"/>
      <c r="O503" s="10"/>
      <c r="P503" s="10"/>
      <c r="Q503" s="10"/>
      <c r="R503" s="10"/>
      <c r="S503" s="10"/>
      <c r="T503" s="10"/>
      <c r="U503" s="18" t="str">
        <f>IFERROR(__xludf.DUMMYFUNCTION("""COMPUTED_VALUE"""),"https://drive.google.com/open?id=1wp9rHwfpLOTbQrJVkVF1MBxpfO3wVn0_")</f>
        <v>https://drive.google.com/open?id=1wp9rHwfpLOTbQrJVkVF1MBxpfO3wVn0_</v>
      </c>
      <c r="V503" s="10" t="str">
        <f>IFERROR(__xludf.DUMMYFUNCTION("""COMPUTED_VALUE"""),"No")</f>
        <v>No</v>
      </c>
      <c r="W503" s="10"/>
      <c r="X503" s="10"/>
      <c r="Y503" s="14" t="str">
        <f>IFERROR(__xludf.DUMMYFUNCTION("""COMPUTED_VALUE"""),"kmkhan8747@gmail.com")</f>
        <v>kmkhan8747@gmail.com</v>
      </c>
      <c r="AA503" s="324"/>
    </row>
    <row r="504" hidden="1">
      <c r="A504" s="9">
        <f>IFERROR(__xludf.DUMMYFUNCTION("""COMPUTED_VALUE"""),45877.26366793981)</f>
        <v>45877.26367</v>
      </c>
      <c r="B504" s="10" t="str">
        <f>IFERROR(__xludf.DUMMYFUNCTION("""COMPUTED_VALUE"""),"محمد عرفان اکرم")</f>
        <v>محمد عرفان اکرم</v>
      </c>
      <c r="C504" s="10" t="str">
        <f>IFERROR(__xludf.DUMMYFUNCTION("""COMPUTED_VALUE"""),"03065345047")</f>
        <v>03065345047</v>
      </c>
      <c r="D504" s="10" t="str">
        <f>IFERROR(__xludf.DUMMYFUNCTION("""COMPUTED_VALUE"""),"جامع مسجد نواب علی محمد خان ملتان")</f>
        <v>جامع مسجد نواب علی محمد خان ملتان</v>
      </c>
      <c r="E504" s="10" t="str">
        <f>IFERROR(__xludf.DUMMYFUNCTION("""COMPUTED_VALUE"""),"DODAV")</f>
        <v>DODAV</v>
      </c>
      <c r="F504" s="10">
        <f>IFERROR(__xludf.DUMMYFUNCTION("""COMPUTED_VALUE"""),195.0)</f>
        <v>195</v>
      </c>
      <c r="G504" s="10">
        <f>IFERROR(__xludf.DUMMYFUNCTION("""COMPUTED_VALUE"""),7.0)</f>
        <v>7</v>
      </c>
      <c r="H504" s="10">
        <f>IFERROR(__xludf.DUMMYFUNCTION("""COMPUTED_VALUE"""),7.0)</f>
        <v>7</v>
      </c>
      <c r="I504" s="10">
        <f>IFERROR(__xludf.DUMMYFUNCTION("""COMPUTED_VALUE"""),2.0)</f>
        <v>2</v>
      </c>
      <c r="J504" s="10"/>
      <c r="K504" s="10"/>
      <c r="L504" s="10"/>
      <c r="M504" s="10">
        <f>IFERROR(__xludf.DUMMYFUNCTION("""COMPUTED_VALUE"""),8.0)</f>
        <v>8</v>
      </c>
      <c r="N504" s="10"/>
      <c r="O504" s="10"/>
      <c r="P504" s="10"/>
      <c r="Q504" s="10"/>
      <c r="R504" s="10"/>
      <c r="S504" s="10"/>
      <c r="T504" s="10"/>
      <c r="U504" s="18" t="str">
        <f>IFERROR(__xludf.DUMMYFUNCTION("""COMPUTED_VALUE"""),"https://drive.google.com/open?id=1znQ1e2xgIl-xER_YhHLktewaGgw-QQQR")</f>
        <v>https://drive.google.com/open?id=1znQ1e2xgIl-xER_YhHLktewaGgw-QQQR</v>
      </c>
      <c r="V504" s="10" t="str">
        <f>IFERROR(__xludf.DUMMYFUNCTION("""COMPUTED_VALUE"""),"جی نہیں۔ ")</f>
        <v>جی نہیں۔ </v>
      </c>
      <c r="W504" s="10"/>
      <c r="X504" s="10"/>
      <c r="Y504" s="14" t="str">
        <f>IFERROR(__xludf.DUMMYFUNCTION("""COMPUTED_VALUE"""),"akramif472@gmail.com")</f>
        <v>akramif472@gmail.com</v>
      </c>
      <c r="AA504" s="324"/>
    </row>
    <row r="505" hidden="1">
      <c r="A505" s="9">
        <f>IFERROR(__xludf.DUMMYFUNCTION("""COMPUTED_VALUE"""),45877.26372452546)</f>
        <v>45877.26372</v>
      </c>
      <c r="B505" s="10" t="str">
        <f>IFERROR(__xludf.DUMMYFUNCTION("""COMPUTED_VALUE"""),"Sarfraz")</f>
        <v>Sarfraz</v>
      </c>
      <c r="C505" s="10" t="str">
        <f>IFERROR(__xludf.DUMMYFUNCTION("""COMPUTED_VALUE"""),"03067387448")</f>
        <v>03067387448</v>
      </c>
      <c r="D505" s="10" t="str">
        <f>IFERROR(__xludf.DUMMYFUNCTION("""COMPUTED_VALUE"""),"Jamia masjid darabar khuja Khuda baksh khearpur")</f>
        <v>Jamia masjid darabar khuja Khuda baksh khearpur</v>
      </c>
      <c r="E505" s="10" t="str">
        <f>IFERROR(__xludf.DUMMYFUNCTION("""COMPUTED_VALUE"""),"XPPXX")</f>
        <v>XPPXX</v>
      </c>
      <c r="F505" s="10">
        <f>IFERROR(__xludf.DUMMYFUNCTION("""COMPUTED_VALUE"""),236.0)</f>
        <v>236</v>
      </c>
      <c r="G505" s="10">
        <f>IFERROR(__xludf.DUMMYFUNCTION("""COMPUTED_VALUE"""),9.0)</f>
        <v>9</v>
      </c>
      <c r="H505" s="10">
        <f>IFERROR(__xludf.DUMMYFUNCTION("""COMPUTED_VALUE"""),8.0)</f>
        <v>8</v>
      </c>
      <c r="I505" s="10">
        <f>IFERROR(__xludf.DUMMYFUNCTION("""COMPUTED_VALUE"""),1.0)</f>
        <v>1</v>
      </c>
      <c r="J505" s="10"/>
      <c r="K505" s="10"/>
      <c r="L505" s="10"/>
      <c r="M505" s="10">
        <f>IFERROR(__xludf.DUMMYFUNCTION("""COMPUTED_VALUE"""),9.0)</f>
        <v>9</v>
      </c>
      <c r="N505" s="10"/>
      <c r="O505" s="10"/>
      <c r="P505" s="10"/>
      <c r="Q505" s="10"/>
      <c r="R505" s="10"/>
      <c r="S505" s="10"/>
      <c r="T505" s="10"/>
      <c r="U505" s="18" t="str">
        <f>IFERROR(__xludf.DUMMYFUNCTION("""COMPUTED_VALUE"""),"https://drive.google.com/open?id=1rP02ptEknCupdOtJvc4-m2FgwwOh9u6V")</f>
        <v>https://drive.google.com/open?id=1rP02ptEknCupdOtJvc4-m2FgwwOh9u6V</v>
      </c>
      <c r="V505" s="10"/>
      <c r="W505" s="10"/>
      <c r="X505" s="10"/>
      <c r="Y505" s="14" t="str">
        <f>IFERROR(__xludf.DUMMYFUNCTION("""COMPUTED_VALUE"""),"amirakash6830@gmail.com")</f>
        <v>amirakash6830@gmail.com</v>
      </c>
      <c r="AA505" s="324"/>
    </row>
    <row r="506" hidden="1">
      <c r="A506" s="9">
        <f>IFERROR(__xludf.DUMMYFUNCTION("""COMPUTED_VALUE"""),45877.26406325231)</f>
        <v>45877.26406</v>
      </c>
      <c r="B506" s="10" t="str">
        <f>IFERROR(__xludf.DUMMYFUNCTION("""COMPUTED_VALUE"""),"Muhammad Tahir ")</f>
        <v>Muhammad Tahir </v>
      </c>
      <c r="C506" s="10" t="str">
        <f>IFERROR(__xludf.DUMMYFUNCTION("""COMPUTED_VALUE"""),"03241553013")</f>
        <v>03241553013</v>
      </c>
      <c r="D506" s="10" t="str">
        <f>IFERROR(__xludf.DUMMYFUNCTION("""COMPUTED_VALUE"""),"Qadeemi Jamia Masjid Darkhana Wali ")</f>
        <v>Qadeemi Jamia Masjid Darkhana Wali </v>
      </c>
      <c r="E506" s="10" t="str">
        <f>IFERROR(__xludf.DUMMYFUNCTION("""COMPUTED_VALUE"""),"VQUBM")</f>
        <v>VQUBM</v>
      </c>
      <c r="F506" s="10">
        <f>IFERROR(__xludf.DUMMYFUNCTION("""COMPUTED_VALUE"""),77.0)</f>
        <v>77</v>
      </c>
      <c r="G506" s="10">
        <f>IFERROR(__xludf.DUMMYFUNCTION("""COMPUTED_VALUE"""),8.0)</f>
        <v>8</v>
      </c>
      <c r="H506" s="10">
        <f>IFERROR(__xludf.DUMMYFUNCTION("""COMPUTED_VALUE"""),8.0)</f>
        <v>8</v>
      </c>
      <c r="I506" s="10">
        <f>IFERROR(__xludf.DUMMYFUNCTION("""COMPUTED_VALUE"""),3.0)</f>
        <v>3</v>
      </c>
      <c r="J506" s="10"/>
      <c r="K506" s="10"/>
      <c r="L506" s="10"/>
      <c r="M506" s="10">
        <f>IFERROR(__xludf.DUMMYFUNCTION("""COMPUTED_VALUE"""),9.0)</f>
        <v>9</v>
      </c>
      <c r="N506" s="10"/>
      <c r="O506" s="10"/>
      <c r="P506" s="10"/>
      <c r="Q506" s="10"/>
      <c r="R506" s="10"/>
      <c r="S506" s="10"/>
      <c r="T506" s="10"/>
      <c r="U506" s="18" t="str">
        <f>IFERROR(__xludf.DUMMYFUNCTION("""COMPUTED_VALUE"""),"https://drive.google.com/open?id=1LNNCHyg7wGWSZqLJ3_Bm40mtqgYCL1WJ")</f>
        <v>https://drive.google.com/open?id=1LNNCHyg7wGWSZqLJ3_Bm40mtqgYCL1WJ</v>
      </c>
      <c r="V506" s="10"/>
      <c r="W506" s="10"/>
      <c r="X506" s="10"/>
      <c r="Y506" s="14" t="str">
        <f>IFERROR(__xludf.DUMMYFUNCTION("""COMPUTED_VALUE"""),"tahirsultanofficial@gmail.com")</f>
        <v>tahirsultanofficial@gmail.com</v>
      </c>
      <c r="AA506" s="324"/>
    </row>
    <row r="507" hidden="1">
      <c r="A507" s="9">
        <f>IFERROR(__xludf.DUMMYFUNCTION("""COMPUTED_VALUE"""),45877.2644605324)</f>
        <v>45877.26446</v>
      </c>
      <c r="B507" s="10" t="str">
        <f>IFERROR(__xludf.DUMMYFUNCTION("""COMPUTED_VALUE"""),"Masroor karim ")</f>
        <v>Masroor karim </v>
      </c>
      <c r="C507" s="10" t="str">
        <f>IFERROR(__xludf.DUMMYFUNCTION("""COMPUTED_VALUE"""),"03051507669")</f>
        <v>03051507669</v>
      </c>
      <c r="D507" s="10" t="str">
        <f>IFERROR(__xludf.DUMMYFUNCTION("""COMPUTED_VALUE"""),"قدیمی جامعہ مسجد جنازہ گاہ نشاط روڈ لوہا مارکیٹ ملتان ")</f>
        <v>قدیمی جامعہ مسجد جنازہ گاہ نشاط روڈ لوہا مارکیٹ ملتان </v>
      </c>
      <c r="E507" s="10" t="str">
        <f>IFERROR(__xludf.DUMMYFUNCTION("""COMPUTED_VALUE"""),"WPXTS")</f>
        <v>WPXTS</v>
      </c>
      <c r="F507" s="10">
        <f>IFERROR(__xludf.DUMMYFUNCTION("""COMPUTED_VALUE"""),187.0)</f>
        <v>187</v>
      </c>
      <c r="G507" s="10">
        <f>IFERROR(__xludf.DUMMYFUNCTION("""COMPUTED_VALUE"""),5.0)</f>
        <v>5</v>
      </c>
      <c r="H507" s="10">
        <f>IFERROR(__xludf.DUMMYFUNCTION("""COMPUTED_VALUE"""),6.0)</f>
        <v>6</v>
      </c>
      <c r="I507" s="10">
        <f>IFERROR(__xludf.DUMMYFUNCTION("""COMPUTED_VALUE"""),3.0)</f>
        <v>3</v>
      </c>
      <c r="J507" s="10"/>
      <c r="K507" s="10"/>
      <c r="L507" s="10"/>
      <c r="M507" s="10">
        <f>IFERROR(__xludf.DUMMYFUNCTION("""COMPUTED_VALUE"""),7.0)</f>
        <v>7</v>
      </c>
      <c r="N507" s="10"/>
      <c r="O507" s="10"/>
      <c r="P507" s="10"/>
      <c r="Q507" s="10"/>
      <c r="R507" s="10"/>
      <c r="S507" s="10"/>
      <c r="T507" s="10"/>
      <c r="U507" s="18" t="str">
        <f>IFERROR(__xludf.DUMMYFUNCTION("""COMPUTED_VALUE"""),"https://drive.google.com/open?id=1JOzd3PM8Bd-tJJtFtyPP-tXymTrn2WUu")</f>
        <v>https://drive.google.com/open?id=1JOzd3PM8Bd-tJJtFtyPP-tXymTrn2WUu</v>
      </c>
      <c r="V507" s="10" t="str">
        <f>IFERROR(__xludf.DUMMYFUNCTION("""COMPUTED_VALUE"""),"N/A")</f>
        <v>N/A</v>
      </c>
      <c r="W507" s="10"/>
      <c r="X507" s="10"/>
      <c r="Y507" s="14" t="str">
        <f>IFERROR(__xludf.DUMMYFUNCTION("""COMPUTED_VALUE"""),"masroormalik669@gmail.com")</f>
        <v>masroormalik669@gmail.com</v>
      </c>
      <c r="AA507" s="324"/>
    </row>
    <row r="508" hidden="1">
      <c r="A508" s="9">
        <f>IFERROR(__xludf.DUMMYFUNCTION("""COMPUTED_VALUE"""),45877.26499247685)</f>
        <v>45877.26499</v>
      </c>
      <c r="B508" s="10" t="str">
        <f>IFERROR(__xludf.DUMMYFUNCTION("""COMPUTED_VALUE"""),"waseem Abbais")</f>
        <v>waseem Abbais</v>
      </c>
      <c r="C508" s="10" t="str">
        <f>IFERROR(__xludf.DUMMYFUNCTION("""COMPUTED_VALUE"""),"03348396958")</f>
        <v>03348396958</v>
      </c>
      <c r="D508" s="10" t="str">
        <f>IFERROR(__xludf.DUMMYFUNCTION("""COMPUTED_VALUE"""),"jamia masjid Railway colony khanewal")</f>
        <v>jamia masjid Railway colony khanewal</v>
      </c>
      <c r="E508" s="10" t="str">
        <f>IFERROR(__xludf.DUMMYFUNCTION("""COMPUTED_VALUE"""),"EPJYX")</f>
        <v>EPJYX</v>
      </c>
      <c r="F508" s="10">
        <f>IFERROR(__xludf.DUMMYFUNCTION("""COMPUTED_VALUE"""),81.0)</f>
        <v>81</v>
      </c>
      <c r="G508" s="10">
        <f>IFERROR(__xludf.DUMMYFUNCTION("""COMPUTED_VALUE"""),5.0)</f>
        <v>5</v>
      </c>
      <c r="H508" s="10">
        <f>IFERROR(__xludf.DUMMYFUNCTION("""COMPUTED_VALUE"""),4.0)</f>
        <v>4</v>
      </c>
      <c r="I508" s="10">
        <f>IFERROR(__xludf.DUMMYFUNCTION("""COMPUTED_VALUE"""),5.0)</f>
        <v>5</v>
      </c>
      <c r="J508" s="10"/>
      <c r="K508" s="10"/>
      <c r="L508" s="10"/>
      <c r="M508" s="10">
        <f>IFERROR(__xludf.DUMMYFUNCTION("""COMPUTED_VALUE"""),4.0)</f>
        <v>4</v>
      </c>
      <c r="N508" s="10"/>
      <c r="O508" s="10"/>
      <c r="P508" s="10"/>
      <c r="Q508" s="10"/>
      <c r="R508" s="10"/>
      <c r="S508" s="10"/>
      <c r="T508" s="10"/>
      <c r="U508" s="18" t="str">
        <f>IFERROR(__xludf.DUMMYFUNCTION("""COMPUTED_VALUE"""),"https://drive.google.com/open?id=1FvJwOfP77rH1PgSrdNxKrHnUrfaQvhNa")</f>
        <v>https://drive.google.com/open?id=1FvJwOfP77rH1PgSrdNxKrHnUrfaQvhNa</v>
      </c>
      <c r="V508" s="10" t="str">
        <f>IFERROR(__xludf.DUMMYFUNCTION("""COMPUTED_VALUE"""),"Nothing ")</f>
        <v>Nothing </v>
      </c>
      <c r="W508" s="10"/>
      <c r="X508" s="10"/>
      <c r="Y508" s="14" t="str">
        <f>IFERROR(__xludf.DUMMYFUNCTION("""COMPUTED_VALUE"""),"fahadsheikh4340@gmail.com")</f>
        <v>fahadsheikh4340@gmail.com</v>
      </c>
      <c r="AA508" s="324"/>
    </row>
    <row r="509" hidden="1">
      <c r="A509" s="9">
        <f>IFERROR(__xludf.DUMMYFUNCTION("""COMPUTED_VALUE"""),45877.26558021991)</f>
        <v>45877.26558</v>
      </c>
      <c r="B509" s="10" t="str">
        <f>IFERROR(__xludf.DUMMYFUNCTION("""COMPUTED_VALUE"""),"Shoaib Ahmad ")</f>
        <v>Shoaib Ahmad </v>
      </c>
      <c r="C509" s="10">
        <f>IFERROR(__xludf.DUMMYFUNCTION("""COMPUTED_VALUE"""),3.006745467E9)</f>
        <v>3006745467</v>
      </c>
      <c r="D509" s="10" t="str">
        <f>IFERROR(__xludf.DUMMYFUNCTION("""COMPUTED_VALUE"""),"Mosjid Goth Aalu Sadicabad ")</f>
        <v>Mosjid Goth Aalu Sadicabad </v>
      </c>
      <c r="E509" s="10" t="str">
        <f>IFERROR(__xludf.DUMMYFUNCTION("""COMPUTED_VALUE"""),"TEBUN")</f>
        <v>TEBUN</v>
      </c>
      <c r="F509" s="10" t="str">
        <f>IFERROR(__xludf.DUMMYFUNCTION("""COMPUTED_VALUE"""),"Sixty People ( 60)")</f>
        <v>Sixty People ( 60)</v>
      </c>
      <c r="G509" s="10">
        <f>IFERROR(__xludf.DUMMYFUNCTION("""COMPUTED_VALUE"""),7.0)</f>
        <v>7</v>
      </c>
      <c r="H509" s="10">
        <f>IFERROR(__xludf.DUMMYFUNCTION("""COMPUTED_VALUE"""),5.0)</f>
        <v>5</v>
      </c>
      <c r="I509" s="10">
        <f>IFERROR(__xludf.DUMMYFUNCTION("""COMPUTED_VALUE"""),4.0)</f>
        <v>4</v>
      </c>
      <c r="J509" s="10"/>
      <c r="K509" s="10"/>
      <c r="L509" s="10"/>
      <c r="M509" s="10">
        <f>IFERROR(__xludf.DUMMYFUNCTION("""COMPUTED_VALUE"""),8.0)</f>
        <v>8</v>
      </c>
      <c r="N509" s="10"/>
      <c r="O509" s="10"/>
      <c r="P509" s="10"/>
      <c r="Q509" s="10"/>
      <c r="R509" s="10"/>
      <c r="S509" s="10"/>
      <c r="T509" s="10"/>
      <c r="U509" s="18" t="str">
        <f>IFERROR(__xludf.DUMMYFUNCTION("""COMPUTED_VALUE"""),"https://drive.google.com/open?id=1iihWW11MhrZkqSLVlkRYurNoP33cKIbb")</f>
        <v>https://drive.google.com/open?id=1iihWW11MhrZkqSLVlkRYurNoP33cKIbb</v>
      </c>
      <c r="V509" s="10" t="str">
        <f>IFERROR(__xludf.DUMMYFUNCTION("""COMPUTED_VALUE"""),"Long Travelling to reach this mosque location ")</f>
        <v>Long Travelling to reach this mosque location </v>
      </c>
      <c r="W509" s="10"/>
      <c r="X509" s="10"/>
      <c r="Y509" s="14" t="str">
        <f>IFERROR(__xludf.DUMMYFUNCTION("""COMPUTED_VALUE"""),"threealfa89@gmail.com")</f>
        <v>threealfa89@gmail.com</v>
      </c>
      <c r="AA509" s="324"/>
    </row>
    <row r="510" hidden="1">
      <c r="A510" s="9">
        <f>IFERROR(__xludf.DUMMYFUNCTION("""COMPUTED_VALUE"""),45877.26655962963)</f>
        <v>45877.26656</v>
      </c>
      <c r="B510" s="10" t="str">
        <f>IFERROR(__xludf.DUMMYFUNCTION("""COMPUTED_VALUE"""),"Ahtsam ul hasan")</f>
        <v>Ahtsam ul hasan</v>
      </c>
      <c r="C510" s="10" t="str">
        <f>IFERROR(__xludf.DUMMYFUNCTION("""COMPUTED_VALUE"""),"03004970030")</f>
        <v>03004970030</v>
      </c>
      <c r="D510" s="10" t="str">
        <f>IFERROR(__xludf.DUMMYFUNCTION("""COMPUTED_VALUE"""),"Jamia masjid sakhi sultan check no 1bc")</f>
        <v>Jamia masjid sakhi sultan check no 1bc</v>
      </c>
      <c r="E510" s="10" t="str">
        <f>IFERROR(__xludf.DUMMYFUNCTION("""COMPUTED_VALUE"""),"MXMSK")</f>
        <v>MXMSK</v>
      </c>
      <c r="F510" s="10">
        <f>IFERROR(__xludf.DUMMYFUNCTION("""COMPUTED_VALUE"""),433.0)</f>
        <v>433</v>
      </c>
      <c r="G510" s="10">
        <f>IFERROR(__xludf.DUMMYFUNCTION("""COMPUTED_VALUE"""),8.0)</f>
        <v>8</v>
      </c>
      <c r="H510" s="10">
        <f>IFERROR(__xludf.DUMMYFUNCTION("""COMPUTED_VALUE"""),8.0)</f>
        <v>8</v>
      </c>
      <c r="I510" s="10">
        <f>IFERROR(__xludf.DUMMYFUNCTION("""COMPUTED_VALUE"""),2.0)</f>
        <v>2</v>
      </c>
      <c r="J510" s="10"/>
      <c r="K510" s="10"/>
      <c r="L510" s="10"/>
      <c r="M510" s="10">
        <f>IFERROR(__xludf.DUMMYFUNCTION("""COMPUTED_VALUE"""),9.0)</f>
        <v>9</v>
      </c>
      <c r="N510" s="10"/>
      <c r="O510" s="10"/>
      <c r="P510" s="10"/>
      <c r="Q510" s="10"/>
      <c r="R510" s="10"/>
      <c r="S510" s="10"/>
      <c r="T510" s="10"/>
      <c r="U510" s="18" t="str">
        <f>IFERROR(__xludf.DUMMYFUNCTION("""COMPUTED_VALUE"""),"https://drive.google.com/open?id=1VNGy8CkJ_dXqKg_yqTZSDKZ5Btt-H_30")</f>
        <v>https://drive.google.com/open?id=1VNGy8CkJ_dXqKg_yqTZSDKZ5Btt-H_30</v>
      </c>
      <c r="V510" s="10"/>
      <c r="W510" s="10"/>
      <c r="X510" s="10"/>
      <c r="Y510" s="14" t="str">
        <f>IFERROR(__xludf.DUMMYFUNCTION("""COMPUTED_VALUE"""),"amirakash6830@gmail.com")</f>
        <v>amirakash6830@gmail.com</v>
      </c>
      <c r="AA510" s="324"/>
    </row>
    <row r="511" hidden="1">
      <c r="A511" s="9">
        <f>IFERROR(__xludf.DUMMYFUNCTION("""COMPUTED_VALUE"""),45877.26725696759)</f>
        <v>45877.26726</v>
      </c>
      <c r="B511" s="10" t="str">
        <f>IFERROR(__xludf.DUMMYFUNCTION("""COMPUTED_VALUE"""),"Hanza afzal")</f>
        <v>Hanza afzal</v>
      </c>
      <c r="C511" s="10" t="str">
        <f>IFERROR(__xludf.DUMMYFUNCTION("""COMPUTED_VALUE"""),"03096069485")</f>
        <v>03096069485</v>
      </c>
      <c r="D511" s="10" t="str">
        <f>IFERROR(__xludf.DUMMYFUNCTION("""COMPUTED_VALUE"""),"jamia masjid peer mubarik ali shah")</f>
        <v>jamia masjid peer mubarik ali shah</v>
      </c>
      <c r="E511" s="10" t="str">
        <f>IFERROR(__xludf.DUMMYFUNCTION("""COMPUTED_VALUE"""),"DQMJV")</f>
        <v>DQMJV</v>
      </c>
      <c r="F511" s="10">
        <f>IFERROR(__xludf.DUMMYFUNCTION("""COMPUTED_VALUE"""),52.0)</f>
        <v>52</v>
      </c>
      <c r="G511" s="10">
        <f>IFERROR(__xludf.DUMMYFUNCTION("""COMPUTED_VALUE"""),9.0)</f>
        <v>9</v>
      </c>
      <c r="H511" s="10">
        <f>IFERROR(__xludf.DUMMYFUNCTION("""COMPUTED_VALUE"""),8.0)</f>
        <v>8</v>
      </c>
      <c r="I511" s="10" t="str">
        <f>IFERROR(__xludf.DUMMYFUNCTION("""COMPUTED_VALUE"""),"NO")</f>
        <v>NO</v>
      </c>
      <c r="J511" s="10"/>
      <c r="K511" s="10"/>
      <c r="L511" s="10"/>
      <c r="M511" s="10">
        <f>IFERROR(__xludf.DUMMYFUNCTION("""COMPUTED_VALUE"""),8.0)</f>
        <v>8</v>
      </c>
      <c r="N511" s="10"/>
      <c r="O511" s="10"/>
      <c r="P511" s="10"/>
      <c r="Q511" s="10"/>
      <c r="R511" s="10"/>
      <c r="S511" s="10"/>
      <c r="T511" s="10"/>
      <c r="U511" s="18" t="str">
        <f>IFERROR(__xludf.DUMMYFUNCTION("""COMPUTED_VALUE"""),"https://drive.google.com/open?id=1rszldnj_eFL2Cf_golXMqaI4HMFprd2j")</f>
        <v>https://drive.google.com/open?id=1rszldnj_eFL2Cf_golXMqaI4HMFprd2j</v>
      </c>
      <c r="V511" s="10"/>
      <c r="W511" s="10"/>
      <c r="X511" s="10"/>
      <c r="Y511" s="14" t="str">
        <f>IFERROR(__xludf.DUMMYFUNCTION("""COMPUTED_VALUE"""),"sufiyanahmad0787@gmail.com")</f>
        <v>sufiyanahmad0787@gmail.com</v>
      </c>
      <c r="AA511" s="324"/>
    </row>
    <row r="512" hidden="1">
      <c r="A512" s="9">
        <f>IFERROR(__xludf.DUMMYFUNCTION("""COMPUTED_VALUE"""),45877.267388437496)</f>
        <v>45877.26739</v>
      </c>
      <c r="B512" s="10" t="str">
        <f>IFERROR(__xludf.DUMMYFUNCTION("""COMPUTED_VALUE"""),"sohaib")</f>
        <v>sohaib</v>
      </c>
      <c r="C512" s="10" t="str">
        <f>IFERROR(__xludf.DUMMYFUNCTION("""COMPUTED_VALUE"""),"03177603116")</f>
        <v>03177603116</v>
      </c>
      <c r="D512" s="10" t="str">
        <f>IFERROR(__xludf.DUMMYFUNCTION("""COMPUTED_VALUE"""),"Jamia Masjid Gala Mandi khanewal ")</f>
        <v>Jamia Masjid Gala Mandi khanewal </v>
      </c>
      <c r="E512" s="10" t="str">
        <f>IFERROR(__xludf.DUMMYFUNCTION("""COMPUTED_VALUE"""),"RTFEZ")</f>
        <v>RTFEZ</v>
      </c>
      <c r="F512" s="10">
        <f>IFERROR(__xludf.DUMMYFUNCTION("""COMPUTED_VALUE"""),197.0)</f>
        <v>197</v>
      </c>
      <c r="G512" s="10">
        <f>IFERROR(__xludf.DUMMYFUNCTION("""COMPUTED_VALUE"""),5.0)</f>
        <v>5</v>
      </c>
      <c r="H512" s="10">
        <f>IFERROR(__xludf.DUMMYFUNCTION("""COMPUTED_VALUE"""),4.0)</f>
        <v>4</v>
      </c>
      <c r="I512" s="10">
        <f>IFERROR(__xludf.DUMMYFUNCTION("""COMPUTED_VALUE"""),11.0)</f>
        <v>11</v>
      </c>
      <c r="J512" s="10"/>
      <c r="K512" s="10"/>
      <c r="L512" s="10"/>
      <c r="M512" s="10">
        <f>IFERROR(__xludf.DUMMYFUNCTION("""COMPUTED_VALUE"""),4.0)</f>
        <v>4</v>
      </c>
      <c r="N512" s="10"/>
      <c r="O512" s="10"/>
      <c r="P512" s="10"/>
      <c r="Q512" s="10"/>
      <c r="R512" s="10"/>
      <c r="S512" s="10"/>
      <c r="T512" s="10"/>
      <c r="U512" s="18" t="str">
        <f>IFERROR(__xludf.DUMMYFUNCTION("""COMPUTED_VALUE"""),"https://drive.google.com/open?id=1Bwit0_2EYh9910gZeXvo-T_e5Yy_nE1-")</f>
        <v>https://drive.google.com/open?id=1Bwit0_2EYh9910gZeXvo-T_e5Yy_nE1-</v>
      </c>
      <c r="V512" s="10" t="str">
        <f>IFERROR(__xludf.DUMMYFUNCTION("""COMPUTED_VALUE"""),"Nothing ")</f>
        <v>Nothing </v>
      </c>
      <c r="W512" s="10"/>
      <c r="X512" s="10"/>
      <c r="Y512" s="14" t="str">
        <f>IFERROR(__xludf.DUMMYFUNCTION("""COMPUTED_VALUE"""),"fahadsheikh4340@gmail.com")</f>
        <v>fahadsheikh4340@gmail.com</v>
      </c>
      <c r="AA512" s="324"/>
    </row>
    <row r="513" hidden="1">
      <c r="A513" s="9">
        <f>IFERROR(__xludf.DUMMYFUNCTION("""COMPUTED_VALUE"""),45877.270117175925)</f>
        <v>45877.27012</v>
      </c>
      <c r="B513" s="10" t="str">
        <f>IFERROR(__xludf.DUMMYFUNCTION("""COMPUTED_VALUE"""),"Shahzad Akhtar ")</f>
        <v>Shahzad Akhtar </v>
      </c>
      <c r="C513" s="10" t="str">
        <f>IFERROR(__xludf.DUMMYFUNCTION("""COMPUTED_VALUE"""),"0300-6830260")</f>
        <v>0300-6830260</v>
      </c>
      <c r="D513" s="10" t="str">
        <f>IFERROR(__xludf.DUMMYFUNCTION("""COMPUTED_VALUE"""),"Muhkum Din Serani")</f>
        <v>Muhkum Din Serani</v>
      </c>
      <c r="E513" s="10" t="str">
        <f>IFERROR(__xludf.DUMMYFUNCTION("""COMPUTED_VALUE"""),"TKTXL")</f>
        <v>TKTXL</v>
      </c>
      <c r="F513" s="10" t="str">
        <f>IFERROR(__xludf.DUMMYFUNCTION("""COMPUTED_VALUE"""),"1000+")</f>
        <v>1000+</v>
      </c>
      <c r="G513" s="10">
        <f>IFERROR(__xludf.DUMMYFUNCTION("""COMPUTED_VALUE"""),10.0)</f>
        <v>10</v>
      </c>
      <c r="H513" s="10">
        <f>IFERROR(__xludf.DUMMYFUNCTION("""COMPUTED_VALUE"""),9.0)</f>
        <v>9</v>
      </c>
      <c r="I513" s="10">
        <f>IFERROR(__xludf.DUMMYFUNCTION("""COMPUTED_VALUE"""),0.0)</f>
        <v>0</v>
      </c>
      <c r="J513" s="10"/>
      <c r="K513" s="10"/>
      <c r="L513" s="10"/>
      <c r="M513" s="10">
        <f>IFERROR(__xludf.DUMMYFUNCTION("""COMPUTED_VALUE"""),9.0)</f>
        <v>9</v>
      </c>
      <c r="N513" s="10"/>
      <c r="O513" s="10"/>
      <c r="P513" s="10"/>
      <c r="Q513" s="10"/>
      <c r="R513" s="10"/>
      <c r="S513" s="10"/>
      <c r="T513" s="10"/>
      <c r="U513" s="18" t="str">
        <f>IFERROR(__xludf.DUMMYFUNCTION("""COMPUTED_VALUE"""),"https://drive.google.com/file/d/1VC-tCiX6kTke4BAPe7sXewChnf7b0Vs3/view?usp=drive_link")</f>
        <v>https://drive.google.com/file/d/1VC-tCiX6kTke4BAPe7sXewChnf7b0Vs3/view?usp=drive_link</v>
      </c>
      <c r="V513" s="10">
        <f>IFERROR(__xludf.DUMMYFUNCTION("""COMPUTED_VALUE"""),0.0)</f>
        <v>0</v>
      </c>
      <c r="W513" s="10"/>
      <c r="X513" s="10"/>
      <c r="Y513" s="14" t="str">
        <f>IFERROR(__xludf.DUMMYFUNCTION("""COMPUTED_VALUE"""),"khokhar3565@gmail.com")</f>
        <v>khokhar3565@gmail.com</v>
      </c>
      <c r="AA513" s="324"/>
    </row>
    <row r="514" hidden="1">
      <c r="A514" s="9">
        <f>IFERROR(__xludf.DUMMYFUNCTION("""COMPUTED_VALUE"""),45877.272826238426)</f>
        <v>45877.27283</v>
      </c>
      <c r="B514" s="10" t="str">
        <f>IFERROR(__xludf.DUMMYFUNCTION("""COMPUTED_VALUE"""),"Muhammad Asif Hanif ")</f>
        <v>Muhammad Asif Hanif </v>
      </c>
      <c r="C514" s="10" t="str">
        <f>IFERROR(__xludf.DUMMYFUNCTION("""COMPUTED_VALUE"""),"03007196255")</f>
        <v>03007196255</v>
      </c>
      <c r="D514" s="10" t="str">
        <f>IFERROR(__xludf.DUMMYFUNCTION("""COMPUTED_VALUE"""),"Jamia Masjid bakar abad Multan ")</f>
        <v>Jamia Masjid bakar abad Multan </v>
      </c>
      <c r="E514" s="10" t="str">
        <f>IFERROR(__xludf.DUMMYFUNCTION("""COMPUTED_VALUE"""),"AKPFN")</f>
        <v>AKPFN</v>
      </c>
      <c r="F514" s="10">
        <f>IFERROR(__xludf.DUMMYFUNCTION("""COMPUTED_VALUE"""),885.0)</f>
        <v>885</v>
      </c>
      <c r="G514" s="10">
        <f>IFERROR(__xludf.DUMMYFUNCTION("""COMPUTED_VALUE"""),10.0)</f>
        <v>10</v>
      </c>
      <c r="H514" s="10">
        <f>IFERROR(__xludf.DUMMYFUNCTION("""COMPUTED_VALUE"""),10.0)</f>
        <v>10</v>
      </c>
      <c r="I514" s="10" t="str">
        <f>IFERROR(__xludf.DUMMYFUNCTION("""COMPUTED_VALUE"""),"No")</f>
        <v>No</v>
      </c>
      <c r="J514" s="10"/>
      <c r="K514" s="10"/>
      <c r="L514" s="10"/>
      <c r="M514" s="10">
        <f>IFERROR(__xludf.DUMMYFUNCTION("""COMPUTED_VALUE"""),10.0)</f>
        <v>10</v>
      </c>
      <c r="N514" s="10"/>
      <c r="O514" s="10"/>
      <c r="P514" s="10"/>
      <c r="Q514" s="10"/>
      <c r="R514" s="10"/>
      <c r="S514" s="10"/>
      <c r="T514" s="10"/>
      <c r="U514" s="18" t="str">
        <f>IFERROR(__xludf.DUMMYFUNCTION("""COMPUTED_VALUE"""),"https://drive.google.com/open?id=1LPC4xmPcL7971R7UuYxwpjD95BHD6HF7")</f>
        <v>https://drive.google.com/open?id=1LPC4xmPcL7971R7UuYxwpjD95BHD6HF7</v>
      </c>
      <c r="V514" s="10"/>
      <c r="W514" s="10"/>
      <c r="X514" s="10"/>
      <c r="Y514" s="14" t="str">
        <f>IFERROR(__xludf.DUMMYFUNCTION("""COMPUTED_VALUE"""),"hasif3590@gmail.com")</f>
        <v>hasif3590@gmail.com</v>
      </c>
      <c r="AA514" s="324"/>
    </row>
    <row r="515" hidden="1">
      <c r="A515" s="9">
        <f>IFERROR(__xludf.DUMMYFUNCTION("""COMPUTED_VALUE"""),45877.27540109954)</f>
        <v>45877.2754</v>
      </c>
      <c r="B515" s="10" t="str">
        <f>IFERROR(__xludf.DUMMYFUNCTION("""COMPUTED_VALUE"""),"Liaqat Hussain ")</f>
        <v>Liaqat Hussain </v>
      </c>
      <c r="C515" s="10" t="str">
        <f>IFERROR(__xludf.DUMMYFUNCTION("""COMPUTED_VALUE"""),"03026546166")</f>
        <v>03026546166</v>
      </c>
      <c r="D515" s="10" t="str">
        <f>IFERROR(__xludf.DUMMYFUNCTION("""COMPUTED_VALUE"""),"Jamia Masjid Haqania Makhdoom Rashid ")</f>
        <v>Jamia Masjid Haqania Makhdoom Rashid </v>
      </c>
      <c r="E515" s="10" t="str">
        <f>IFERROR(__xludf.DUMMYFUNCTION("""COMPUTED_VALUE"""),"CQXOG ")</f>
        <v>CQXOG </v>
      </c>
      <c r="F515" s="10">
        <f>IFERROR(__xludf.DUMMYFUNCTION("""COMPUTED_VALUE"""),367.0)</f>
        <v>367</v>
      </c>
      <c r="G515" s="10">
        <f>IFERROR(__xludf.DUMMYFUNCTION("""COMPUTED_VALUE"""),9.0)</f>
        <v>9</v>
      </c>
      <c r="H515" s="10">
        <f>IFERROR(__xludf.DUMMYFUNCTION("""COMPUTED_VALUE"""),6.0)</f>
        <v>6</v>
      </c>
      <c r="I515" s="10" t="str">
        <f>IFERROR(__xludf.DUMMYFUNCTION("""COMPUTED_VALUE"""),"01")</f>
        <v>01</v>
      </c>
      <c r="J515" s="10"/>
      <c r="K515" s="10"/>
      <c r="L515" s="10"/>
      <c r="M515" s="10">
        <f>IFERROR(__xludf.DUMMYFUNCTION("""COMPUTED_VALUE"""),9.0)</f>
        <v>9</v>
      </c>
      <c r="N515" s="10"/>
      <c r="O515" s="10"/>
      <c r="P515" s="10"/>
      <c r="Q515" s="10"/>
      <c r="R515" s="10"/>
      <c r="S515" s="10"/>
      <c r="T515" s="10"/>
      <c r="U515" s="18" t="str">
        <f>IFERROR(__xludf.DUMMYFUNCTION("""COMPUTED_VALUE"""),"https://drive.google.com/open?id=1uQLEP8IK7EEf9B1oVr6UwhQa1qI_vbu6")</f>
        <v>https://drive.google.com/open?id=1uQLEP8IK7EEf9B1oVr6UwhQa1qI_vbu6</v>
      </c>
      <c r="V515" s="10"/>
      <c r="W515" s="10"/>
      <c r="X515" s="10"/>
      <c r="Y515" s="14" t="str">
        <f>IFERROR(__xludf.DUMMYFUNCTION("""COMPUTED_VALUE"""),"liaqathussain6166@gmail.com")</f>
        <v>liaqathussain6166@gmail.com</v>
      </c>
      <c r="AA515" s="324"/>
    </row>
    <row r="516" hidden="1">
      <c r="A516" s="9">
        <f>IFERROR(__xludf.DUMMYFUNCTION("""COMPUTED_VALUE"""),45877.27604149305)</f>
        <v>45877.27604</v>
      </c>
      <c r="B516" s="10" t="str">
        <f>IFERROR(__xludf.DUMMYFUNCTION("""COMPUTED_VALUE"""),"Qurban Ali Anjum")</f>
        <v>Qurban Ali Anjum</v>
      </c>
      <c r="C516" s="10" t="str">
        <f>IFERROR(__xludf.DUMMYFUNCTION("""COMPUTED_VALUE"""),"03009162205")</f>
        <v>03009162205</v>
      </c>
      <c r="D516" s="10" t="str">
        <f>IFERROR(__xludf.DUMMYFUNCTION("""COMPUTED_VALUE"""),"Jamia Masjid Munian Wali")</f>
        <v>Jamia Masjid Munian Wali</v>
      </c>
      <c r="E516" s="10" t="str">
        <f>IFERROR(__xludf.DUMMYFUNCTION("""COMPUTED_VALUE"""),"PBYFM")</f>
        <v>PBYFM</v>
      </c>
      <c r="F516" s="10">
        <f>IFERROR(__xludf.DUMMYFUNCTION("""COMPUTED_VALUE"""),34.0)</f>
        <v>34</v>
      </c>
      <c r="G516" s="10">
        <f>IFERROR(__xludf.DUMMYFUNCTION("""COMPUTED_VALUE"""),6.0)</f>
        <v>6</v>
      </c>
      <c r="H516" s="10">
        <f>IFERROR(__xludf.DUMMYFUNCTION("""COMPUTED_VALUE"""),5.0)</f>
        <v>5</v>
      </c>
      <c r="I516" s="10">
        <f>IFERROR(__xludf.DUMMYFUNCTION("""COMPUTED_VALUE"""),3.0)</f>
        <v>3</v>
      </c>
      <c r="J516" s="10"/>
      <c r="K516" s="10"/>
      <c r="L516" s="10"/>
      <c r="M516" s="10">
        <f>IFERROR(__xludf.DUMMYFUNCTION("""COMPUTED_VALUE"""),8.0)</f>
        <v>8</v>
      </c>
      <c r="N516" s="10"/>
      <c r="O516" s="10"/>
      <c r="P516" s="10"/>
      <c r="Q516" s="10"/>
      <c r="R516" s="10"/>
      <c r="S516" s="10"/>
      <c r="T516" s="10"/>
      <c r="U516" s="18" t="str">
        <f>IFERROR(__xludf.DUMMYFUNCTION("""COMPUTED_VALUE"""),"https://drive.google.com/open?id=1Q2POa9uJHL3CXD3FQw3-Cfoc3wraGDEr")</f>
        <v>https://drive.google.com/open?id=1Q2POa9uJHL3CXD3FQw3-Cfoc3wraGDEr</v>
      </c>
      <c r="V516" s="10"/>
      <c r="W516" s="10"/>
      <c r="X516" s="10"/>
      <c r="Y516" s="14" t="str">
        <f>IFERROR(__xludf.DUMMYFUNCTION("""COMPUTED_VALUE"""),"qurbananjum65@gmail.com")</f>
        <v>qurbananjum65@gmail.com</v>
      </c>
      <c r="AA516" s="324"/>
    </row>
    <row r="517" hidden="1">
      <c r="A517" s="9">
        <f>IFERROR(__xludf.DUMMYFUNCTION("""COMPUTED_VALUE"""),45877.27828945602)</f>
        <v>45877.27829</v>
      </c>
      <c r="B517" s="10" t="str">
        <f>IFERROR(__xludf.DUMMYFUNCTION("""COMPUTED_VALUE"""),"Sajid Hussain ")</f>
        <v>Sajid Hussain </v>
      </c>
      <c r="C517" s="10" t="str">
        <f>IFERROR(__xludf.DUMMYFUNCTION("""COMPUTED_VALUE"""),"0302-8904114 ")</f>
        <v>0302-8904114 </v>
      </c>
      <c r="D517" s="10" t="str">
        <f>IFERROR(__xludf.DUMMYFUNCTION("""COMPUTED_VALUE"""),"Jamia masjid balochan wali khoni burj multan ")</f>
        <v>Jamia masjid balochan wali khoni burj multan </v>
      </c>
      <c r="E517" s="10" t="str">
        <f>IFERROR(__xludf.DUMMYFUNCTION("""COMPUTED_VALUE"""),"ANROL ")</f>
        <v>ANROL </v>
      </c>
      <c r="F517" s="10">
        <f>IFERROR(__xludf.DUMMYFUNCTION("""COMPUTED_VALUE"""),175.0)</f>
        <v>175</v>
      </c>
      <c r="G517" s="10">
        <f>IFERROR(__xludf.DUMMYFUNCTION("""COMPUTED_VALUE"""),9.0)</f>
        <v>9</v>
      </c>
      <c r="H517" s="10">
        <f>IFERROR(__xludf.DUMMYFUNCTION("""COMPUTED_VALUE"""),7.0)</f>
        <v>7</v>
      </c>
      <c r="I517" s="10" t="str">
        <f>IFERROR(__xludf.DUMMYFUNCTION("""COMPUTED_VALUE"""),"02")</f>
        <v>02</v>
      </c>
      <c r="J517" s="10"/>
      <c r="K517" s="10"/>
      <c r="L517" s="10"/>
      <c r="M517" s="10">
        <f>IFERROR(__xludf.DUMMYFUNCTION("""COMPUTED_VALUE"""),9.0)</f>
        <v>9</v>
      </c>
      <c r="N517" s="10"/>
      <c r="O517" s="10"/>
      <c r="P517" s="10"/>
      <c r="Q517" s="10"/>
      <c r="R517" s="10"/>
      <c r="S517" s="10"/>
      <c r="T517" s="10"/>
      <c r="U517" s="18" t="str">
        <f>IFERROR(__xludf.DUMMYFUNCTION("""COMPUTED_VALUE"""),"https://drive.google.com/open?id=1hbfbr8uAzv0kgEjYmdRS5ErE931XIp7t")</f>
        <v>https://drive.google.com/open?id=1hbfbr8uAzv0kgEjYmdRS5ErE931XIp7t</v>
      </c>
      <c r="V517" s="10"/>
      <c r="W517" s="10"/>
      <c r="X517" s="10"/>
      <c r="Y517" s="14" t="str">
        <f>IFERROR(__xludf.DUMMYFUNCTION("""COMPUTED_VALUE"""),"sajidhussain00860@gmail.com")</f>
        <v>sajidhussain00860@gmail.com</v>
      </c>
      <c r="AA517" s="324"/>
    </row>
    <row r="518" hidden="1">
      <c r="A518" s="9">
        <f>IFERROR(__xludf.DUMMYFUNCTION("""COMPUTED_VALUE"""),45877.278920428245)</f>
        <v>45877.27892</v>
      </c>
      <c r="B518" s="10" t="str">
        <f>IFERROR(__xludf.DUMMYFUNCTION("""COMPUTED_VALUE"""),"Abdul Jabbar")</f>
        <v>Abdul Jabbar</v>
      </c>
      <c r="C518" s="10" t="str">
        <f>IFERROR(__xludf.DUMMYFUNCTION("""COMPUTED_VALUE"""),"03366688476")</f>
        <v>03366688476</v>
      </c>
      <c r="D518" s="10" t="str">
        <f>IFERROR(__xludf.DUMMYFUNCTION("""COMPUTED_VALUE"""),"Jamia Masjid Haroonabad ")</f>
        <v>Jamia Masjid Haroonabad </v>
      </c>
      <c r="E518" s="10" t="str">
        <f>IFERROR(__xludf.DUMMYFUNCTION("""COMPUTED_VALUE"""),"JYDRI")</f>
        <v>JYDRI</v>
      </c>
      <c r="F518" s="10">
        <f>IFERROR(__xludf.DUMMYFUNCTION("""COMPUTED_VALUE"""),480.0)</f>
        <v>480</v>
      </c>
      <c r="G518" s="10">
        <f>IFERROR(__xludf.DUMMYFUNCTION("""COMPUTED_VALUE"""),8.0)</f>
        <v>8</v>
      </c>
      <c r="H518" s="10">
        <f>IFERROR(__xludf.DUMMYFUNCTION("""COMPUTED_VALUE"""),8.0)</f>
        <v>8</v>
      </c>
      <c r="I518" s="10">
        <f>IFERROR(__xludf.DUMMYFUNCTION("""COMPUTED_VALUE"""),0.0)</f>
        <v>0</v>
      </c>
      <c r="J518" s="10"/>
      <c r="K518" s="10"/>
      <c r="L518" s="10"/>
      <c r="M518" s="10">
        <f>IFERROR(__xludf.DUMMYFUNCTION("""COMPUTED_VALUE"""),9.0)</f>
        <v>9</v>
      </c>
      <c r="N518" s="10"/>
      <c r="O518" s="10"/>
      <c r="P518" s="10"/>
      <c r="Q518" s="10"/>
      <c r="R518" s="10"/>
      <c r="S518" s="10"/>
      <c r="T518" s="10"/>
      <c r="U518" s="18" t="str">
        <f>IFERROR(__xludf.DUMMYFUNCTION("""COMPUTED_VALUE"""),"https://drive.google.com/open?id=1gFTxcTQVsmZpd9TeLhS2tOMPiTlRcZ_h")</f>
        <v>https://drive.google.com/open?id=1gFTxcTQVsmZpd9TeLhS2tOMPiTlRcZ_h</v>
      </c>
      <c r="V518" s="10"/>
      <c r="W518" s="10"/>
      <c r="X518" s="10"/>
      <c r="Y518" s="14" t="str">
        <f>IFERROR(__xludf.DUMMYFUNCTION("""COMPUTED_VALUE"""),"muhammadjabbar647@gmail.com")</f>
        <v>muhammadjabbar647@gmail.com</v>
      </c>
      <c r="AA518" s="324"/>
    </row>
    <row r="519" hidden="1">
      <c r="A519" s="9">
        <f>IFERROR(__xludf.DUMMYFUNCTION("""COMPUTED_VALUE"""),45877.279309502315)</f>
        <v>45877.27931</v>
      </c>
      <c r="B519" s="10" t="str">
        <f>IFERROR(__xludf.DUMMYFUNCTION("""COMPUTED_VALUE"""),"Sajjad ch")</f>
        <v>Sajjad ch</v>
      </c>
      <c r="C519" s="10" t="str">
        <f>IFERROR(__xludf.DUMMYFUNCTION("""COMPUTED_VALUE"""),"+92 300 5377792")</f>
        <v>+92 300 5377792</v>
      </c>
      <c r="D519" s="10" t="str">
        <f>IFERROR(__xludf.DUMMYFUNCTION("""COMPUTED_VALUE"""),"Jamia Masjid Darbar Hazrat Mian Channu ")</f>
        <v>Jamia Masjid Darbar Hazrat Mian Channu </v>
      </c>
      <c r="E519" s="10" t="str">
        <f>IFERROR(__xludf.DUMMYFUNCTION("""COMPUTED_VALUE""")," XPYNM")</f>
        <v> XPYNM</v>
      </c>
      <c r="F519" s="10">
        <f>IFERROR(__xludf.DUMMYFUNCTION("""COMPUTED_VALUE"""),326.0)</f>
        <v>326</v>
      </c>
      <c r="G519" s="10">
        <f>IFERROR(__xludf.DUMMYFUNCTION("""COMPUTED_VALUE"""),8.0)</f>
        <v>8</v>
      </c>
      <c r="H519" s="10">
        <f>IFERROR(__xludf.DUMMYFUNCTION("""COMPUTED_VALUE"""),8.0)</f>
        <v>8</v>
      </c>
      <c r="I519" s="10">
        <f>IFERROR(__xludf.DUMMYFUNCTION("""COMPUTED_VALUE"""),4.0)</f>
        <v>4</v>
      </c>
      <c r="J519" s="10"/>
      <c r="K519" s="10"/>
      <c r="L519" s="10"/>
      <c r="M519" s="10">
        <f>IFERROR(__xludf.DUMMYFUNCTION("""COMPUTED_VALUE"""),8.0)</f>
        <v>8</v>
      </c>
      <c r="N519" s="10"/>
      <c r="O519" s="10"/>
      <c r="P519" s="10"/>
      <c r="Q519" s="10"/>
      <c r="R519" s="10"/>
      <c r="S519" s="10"/>
      <c r="T519" s="10"/>
      <c r="U519" s="18" t="str">
        <f>IFERROR(__xludf.DUMMYFUNCTION("""COMPUTED_VALUE"""),"https://drive.google.com/open?id=1xX5McZbzV6RVaYoULfaXW_k1AW_eB-6q")</f>
        <v>https://drive.google.com/open?id=1xX5McZbzV6RVaYoULfaXW_k1AW_eB-6q</v>
      </c>
      <c r="V519" s="10"/>
      <c r="W519" s="10"/>
      <c r="X519" s="10"/>
      <c r="Y519" s="14" t="str">
        <f>IFERROR(__xludf.DUMMYFUNCTION("""COMPUTED_VALUE"""),"sajjadch9215@gmail.com")</f>
        <v>sajjadch9215@gmail.com</v>
      </c>
      <c r="AA519" s="324"/>
    </row>
    <row r="520" hidden="1">
      <c r="A520" s="9">
        <f>IFERROR(__xludf.DUMMYFUNCTION("""COMPUTED_VALUE"""),45877.279989965275)</f>
        <v>45877.27999</v>
      </c>
      <c r="B520" s="10" t="str">
        <f>IFERROR(__xludf.DUMMYFUNCTION("""COMPUTED_VALUE"""),"Ahsan Shahzad ")</f>
        <v>Ahsan Shahzad </v>
      </c>
      <c r="C520" s="10" t="str">
        <f>IFERROR(__xludf.DUMMYFUNCTION("""COMPUTED_VALUE"""),"03099804129")</f>
        <v>03099804129</v>
      </c>
      <c r="D520" s="10" t="str">
        <f>IFERROR(__xludf.DUMMYFUNCTION("""COMPUTED_VALUE"""),"Bostan aziz")</f>
        <v>Bostan aziz</v>
      </c>
      <c r="E520" s="10" t="str">
        <f>IFERROR(__xludf.DUMMYFUNCTION("""COMPUTED_VALUE"""),"RTHFH")</f>
        <v>RTHFH</v>
      </c>
      <c r="F520" s="10">
        <f>IFERROR(__xludf.DUMMYFUNCTION("""COMPUTED_VALUE"""),396.0)</f>
        <v>396</v>
      </c>
      <c r="G520" s="10">
        <f>IFERROR(__xludf.DUMMYFUNCTION("""COMPUTED_VALUE"""),9.0)</f>
        <v>9</v>
      </c>
      <c r="H520" s="10">
        <f>IFERROR(__xludf.DUMMYFUNCTION("""COMPUTED_VALUE"""),8.0)</f>
        <v>8</v>
      </c>
      <c r="I520" s="10">
        <f>IFERROR(__xludf.DUMMYFUNCTION("""COMPUTED_VALUE"""),1.0)</f>
        <v>1</v>
      </c>
      <c r="J520" s="10"/>
      <c r="K520" s="10"/>
      <c r="L520" s="10"/>
      <c r="M520" s="10">
        <f>IFERROR(__xludf.DUMMYFUNCTION("""COMPUTED_VALUE"""),8.0)</f>
        <v>8</v>
      </c>
      <c r="N520" s="10"/>
      <c r="O520" s="10"/>
      <c r="P520" s="10"/>
      <c r="Q520" s="10"/>
      <c r="R520" s="10"/>
      <c r="S520" s="10"/>
      <c r="T520" s="10"/>
      <c r="U520" s="18" t="str">
        <f>IFERROR(__xludf.DUMMYFUNCTION("""COMPUTED_VALUE"""),"https://drive.google.com/open?id=1sQ7YalYmmhaGPwsWzCPLXRCu2p8GYBUm")</f>
        <v>https://drive.google.com/open?id=1sQ7YalYmmhaGPwsWzCPLXRCu2p8GYBUm</v>
      </c>
      <c r="V520" s="10">
        <f>IFERROR(__xludf.DUMMYFUNCTION("""COMPUTED_VALUE"""),0.0)</f>
        <v>0</v>
      </c>
      <c r="W520" s="10"/>
      <c r="X520" s="10"/>
      <c r="Y520" s="14" t="str">
        <f>IFERROR(__xludf.DUMMYFUNCTION("""COMPUTED_VALUE"""),"askhokhar1371@gmail.com")</f>
        <v>askhokhar1371@gmail.com</v>
      </c>
      <c r="AA520" s="324"/>
    </row>
    <row r="521" hidden="1">
      <c r="A521" s="9">
        <f>IFERROR(__xludf.DUMMYFUNCTION("""COMPUTED_VALUE"""),45877.28297832176)</f>
        <v>45877.28298</v>
      </c>
      <c r="B521" s="10" t="str">
        <f>IFERROR(__xludf.DUMMYFUNCTION("""COMPUTED_VALUE"""),"Bashir Hussain ")</f>
        <v>Bashir Hussain </v>
      </c>
      <c r="C521" s="10" t="str">
        <f>IFERROR(__xludf.DUMMYFUNCTION("""COMPUTED_VALUE"""),"03028762175")</f>
        <v>03028762175</v>
      </c>
      <c r="D521" s="10" t="str">
        <f>IFERROR(__xludf.DUMMYFUNCTION("""COMPUTED_VALUE"""),"Jame Masjid Anaeytia Darbar Anaeyt Shah Bukhari")</f>
        <v>Jame Masjid Anaeytia Darbar Anaeyt Shah Bukhari</v>
      </c>
      <c r="E521" s="10" t="str">
        <f>IFERROR(__xludf.DUMMYFUNCTION("""COMPUTED_VALUE"""),"GYDMP")</f>
        <v>GYDMP</v>
      </c>
      <c r="F521" s="10">
        <f>IFERROR(__xludf.DUMMYFUNCTION("""COMPUTED_VALUE"""),140.0)</f>
        <v>140</v>
      </c>
      <c r="G521" s="10">
        <f>IFERROR(__xludf.DUMMYFUNCTION("""COMPUTED_VALUE"""),8.0)</f>
        <v>8</v>
      </c>
      <c r="H521" s="10">
        <f>IFERROR(__xludf.DUMMYFUNCTION("""COMPUTED_VALUE"""),7.0)</f>
        <v>7</v>
      </c>
      <c r="I521" s="10">
        <f>IFERROR(__xludf.DUMMYFUNCTION("""COMPUTED_VALUE"""),3.0)</f>
        <v>3</v>
      </c>
      <c r="J521" s="10"/>
      <c r="K521" s="10"/>
      <c r="L521" s="10"/>
      <c r="M521" s="10">
        <f>IFERROR(__xludf.DUMMYFUNCTION("""COMPUTED_VALUE"""),8.0)</f>
        <v>8</v>
      </c>
      <c r="N521" s="10"/>
      <c r="O521" s="10"/>
      <c r="P521" s="10"/>
      <c r="Q521" s="10"/>
      <c r="R521" s="10"/>
      <c r="S521" s="10"/>
      <c r="T521" s="10"/>
      <c r="U521" s="18" t="str">
        <f>IFERROR(__xludf.DUMMYFUNCTION("""COMPUTED_VALUE"""),"https://drive.google.com/open?id=1Z9W4gYDgHbe4RksdggyK1PA5luLIYFwS")</f>
        <v>https://drive.google.com/open?id=1Z9W4gYDgHbe4RksdggyK1PA5luLIYFwS</v>
      </c>
      <c r="V521" s="10"/>
      <c r="W521" s="10"/>
      <c r="X521" s="10"/>
      <c r="Y521" s="14" t="str">
        <f>IFERROR(__xludf.DUMMYFUNCTION("""COMPUTED_VALUE"""),"bashir.dhatt@gmail.com")</f>
        <v>bashir.dhatt@gmail.com</v>
      </c>
      <c r="AA521" s="324"/>
    </row>
    <row r="522" hidden="1">
      <c r="A522" s="9">
        <f>IFERROR(__xludf.DUMMYFUNCTION("""COMPUTED_VALUE"""),45877.28339971065)</f>
        <v>45877.2834</v>
      </c>
      <c r="B522" s="10" t="str">
        <f>IFERROR(__xludf.DUMMYFUNCTION("""COMPUTED_VALUE"""),"Mazhar Abbas ")</f>
        <v>Mazhar Abbas </v>
      </c>
      <c r="C522" s="10" t="str">
        <f>IFERROR(__xludf.DUMMYFUNCTION("""COMPUTED_VALUE"""),"03076762856")</f>
        <v>03076762856</v>
      </c>
      <c r="D522" s="10" t="str">
        <f>IFERROR(__xludf.DUMMYFUNCTION("""COMPUTED_VALUE"""),"Jamia Masjid Shamsher Shah Safri ")</f>
        <v>Jamia Masjid Shamsher Shah Safri </v>
      </c>
      <c r="E522" s="10" t="str">
        <f>IFERROR(__xludf.DUMMYFUNCTION("""COMPUTED_VALUE"""),"ITYEP ")</f>
        <v>ITYEP </v>
      </c>
      <c r="F522" s="10">
        <f>IFERROR(__xludf.DUMMYFUNCTION("""COMPUTED_VALUE"""),103.0)</f>
        <v>103</v>
      </c>
      <c r="G522" s="10">
        <f>IFERROR(__xludf.DUMMYFUNCTION("""COMPUTED_VALUE"""),9.0)</f>
        <v>9</v>
      </c>
      <c r="H522" s="10">
        <f>IFERROR(__xludf.DUMMYFUNCTION("""COMPUTED_VALUE"""),8.0)</f>
        <v>8</v>
      </c>
      <c r="I522" s="10">
        <f>IFERROR(__xludf.DUMMYFUNCTION("""COMPUTED_VALUE"""),3.0)</f>
        <v>3</v>
      </c>
      <c r="J522" s="10"/>
      <c r="K522" s="10"/>
      <c r="L522" s="10"/>
      <c r="M522" s="10">
        <f>IFERROR(__xludf.DUMMYFUNCTION("""COMPUTED_VALUE"""),10.0)</f>
        <v>10</v>
      </c>
      <c r="N522" s="10"/>
      <c r="O522" s="10"/>
      <c r="P522" s="10"/>
      <c r="Q522" s="10"/>
      <c r="R522" s="10"/>
      <c r="S522" s="10"/>
      <c r="T522" s="10"/>
      <c r="U522" s="18" t="str">
        <f>IFERROR(__xludf.DUMMYFUNCTION("""COMPUTED_VALUE"""),"https://drive.google.com/open?id=15Ue0rGx9gQTY_TsCJr0kySZ6PaUqj37g")</f>
        <v>https://drive.google.com/open?id=15Ue0rGx9gQTY_TsCJr0kySZ6PaUqj37g</v>
      </c>
      <c r="V522" s="10"/>
      <c r="W522" s="10"/>
      <c r="X522" s="10"/>
      <c r="Y522" s="14" t="str">
        <f>IFERROR(__xludf.DUMMYFUNCTION("""COMPUTED_VALUE"""),"mazhardhatt@gmail.com")</f>
        <v>mazhardhatt@gmail.com</v>
      </c>
      <c r="AA522" s="324"/>
    </row>
    <row r="523" hidden="1">
      <c r="A523" s="9">
        <f>IFERROR(__xludf.DUMMYFUNCTION("""COMPUTED_VALUE"""),45877.28403725695)</f>
        <v>45877.28404</v>
      </c>
      <c r="B523" s="10" t="str">
        <f>IFERROR(__xludf.DUMMYFUNCTION("""COMPUTED_VALUE"""),"Mubashairakhter@ gmail.com ")</f>
        <v>Mubashairakhter@ gmail.com </v>
      </c>
      <c r="C523" s="10" t="str">
        <f>IFERROR(__xludf.DUMMYFUNCTION("""COMPUTED_VALUE"""),"03009683779")</f>
        <v>03009683779</v>
      </c>
      <c r="D523" s="10" t="str">
        <f>IFERROR(__xludf.DUMMYFUNCTION("""COMPUTED_VALUE"""),"Al sadiq ")</f>
        <v>Al sadiq </v>
      </c>
      <c r="E523" s="10" t="str">
        <f>IFERROR(__xludf.DUMMYFUNCTION("""COMPUTED_VALUE"""),"XNHGF")</f>
        <v>XNHGF</v>
      </c>
      <c r="F523" s="10">
        <f>IFERROR(__xludf.DUMMYFUNCTION("""COMPUTED_VALUE"""),768.0)</f>
        <v>768</v>
      </c>
      <c r="G523" s="10">
        <f>IFERROR(__xludf.DUMMYFUNCTION("""COMPUTED_VALUE"""),4.0)</f>
        <v>4</v>
      </c>
      <c r="H523" s="10">
        <f>IFERROR(__xludf.DUMMYFUNCTION("""COMPUTED_VALUE"""),4.0)</f>
        <v>4</v>
      </c>
      <c r="I523" s="10">
        <f>IFERROR(__xludf.DUMMYFUNCTION("""COMPUTED_VALUE"""),5.0)</f>
        <v>5</v>
      </c>
      <c r="J523" s="10"/>
      <c r="K523" s="10"/>
      <c r="L523" s="10"/>
      <c r="M523" s="10">
        <f>IFERROR(__xludf.DUMMYFUNCTION("""COMPUTED_VALUE"""),4.0)</f>
        <v>4</v>
      </c>
      <c r="N523" s="10"/>
      <c r="O523" s="10"/>
      <c r="P523" s="10"/>
      <c r="Q523" s="10"/>
      <c r="R523" s="10"/>
      <c r="S523" s="10"/>
      <c r="T523" s="10"/>
      <c r="U523" s="18" t="str">
        <f>IFERROR(__xludf.DUMMYFUNCTION("""COMPUTED_VALUE"""),"https://drive.google.com/open?id=1-1uBV1JKCsVXGWQwDAoVV-KDSU5RLdv9")</f>
        <v>https://drive.google.com/open?id=1-1uBV1JKCsVXGWQwDAoVV-KDSU5RLdv9</v>
      </c>
      <c r="V523" s="10"/>
      <c r="W523" s="10"/>
      <c r="X523" s="10"/>
      <c r="Y523" s="14" t="str">
        <f>IFERROR(__xludf.DUMMYFUNCTION("""COMPUTED_VALUE"""),"mubashairakhter@gmail.com")</f>
        <v>mubashairakhter@gmail.com</v>
      </c>
      <c r="AA523" s="324"/>
    </row>
    <row r="524" hidden="1">
      <c r="A524" s="9">
        <f>IFERROR(__xludf.DUMMYFUNCTION("""COMPUTED_VALUE"""),45877.2851633449)</f>
        <v>45877.28516</v>
      </c>
      <c r="B524" s="10" t="str">
        <f>IFERROR(__xludf.DUMMYFUNCTION("""COMPUTED_VALUE"""),"Muhammad Amin")</f>
        <v>Muhammad Amin</v>
      </c>
      <c r="C524" s="10" t="str">
        <f>IFERROR(__xludf.DUMMYFUNCTION("""COMPUTED_VALUE"""),"03007990842")</f>
        <v>03007990842</v>
      </c>
      <c r="D524" s="10" t="str">
        <f>IFERROR(__xludf.DUMMYFUNCTION("""COMPUTED_VALUE"""),"Jamia Masjid kabotar Mandi Multan")</f>
        <v>Jamia Masjid kabotar Mandi Multan</v>
      </c>
      <c r="E524" s="10" t="str">
        <f>IFERROR(__xludf.DUMMYFUNCTION("""COMPUTED_VALUE"""),"ULEIT")</f>
        <v>ULEIT</v>
      </c>
      <c r="F524" s="10">
        <f>IFERROR(__xludf.DUMMYFUNCTION("""COMPUTED_VALUE"""),154.0)</f>
        <v>154</v>
      </c>
      <c r="G524" s="10">
        <f>IFERROR(__xludf.DUMMYFUNCTION("""COMPUTED_VALUE"""),8.0)</f>
        <v>8</v>
      </c>
      <c r="H524" s="10">
        <f>IFERROR(__xludf.DUMMYFUNCTION("""COMPUTED_VALUE"""),8.0)</f>
        <v>8</v>
      </c>
      <c r="I524" s="10">
        <f>IFERROR(__xludf.DUMMYFUNCTION("""COMPUTED_VALUE"""),1.0)</f>
        <v>1</v>
      </c>
      <c r="J524" s="10"/>
      <c r="K524" s="10"/>
      <c r="L524" s="10"/>
      <c r="M524" s="10">
        <f>IFERROR(__xludf.DUMMYFUNCTION("""COMPUTED_VALUE"""),8.0)</f>
        <v>8</v>
      </c>
      <c r="N524" s="10"/>
      <c r="O524" s="10"/>
      <c r="P524" s="10"/>
      <c r="Q524" s="10"/>
      <c r="R524" s="10"/>
      <c r="S524" s="10"/>
      <c r="T524" s="10"/>
      <c r="U524" s="18" t="str">
        <f>IFERROR(__xludf.DUMMYFUNCTION("""COMPUTED_VALUE"""),"https://drive.google.com/open?id=1LhxZ-9XbnFWRFUDsix_KLeS85UJbPH4s")</f>
        <v>https://drive.google.com/open?id=1LhxZ-9XbnFWRFUDsix_KLeS85UJbPH4s</v>
      </c>
      <c r="V524" s="10" t="str">
        <f>IFERROR(__xludf.DUMMYFUNCTION("""COMPUTED_VALUE"""),"N/A")</f>
        <v>N/A</v>
      </c>
      <c r="W524" s="10"/>
      <c r="X524" s="10"/>
      <c r="Y524" s="14" t="str">
        <f>IFERROR(__xludf.DUMMYFUNCTION("""COMPUTED_VALUE"""),"ameenmeo@gmail.com")</f>
        <v>ameenmeo@gmail.com</v>
      </c>
      <c r="AA524" s="324"/>
    </row>
    <row r="525" hidden="1">
      <c r="A525" s="9">
        <f>IFERROR(__xludf.DUMMYFUNCTION("""COMPUTED_VALUE"""),45877.29258891204)</f>
        <v>45877.29259</v>
      </c>
      <c r="B525" s="10" t="str">
        <f>IFERROR(__xludf.DUMMYFUNCTION("""COMPUTED_VALUE"""),"Muhammad rehan")</f>
        <v>Muhammad rehan</v>
      </c>
      <c r="C525" s="10" t="str">
        <f>IFERROR(__xludf.DUMMYFUNCTION("""COMPUTED_VALUE"""),"03414090005")</f>
        <v>03414090005</v>
      </c>
      <c r="D525" s="10" t="str">
        <f>IFERROR(__xludf.DUMMYFUNCTION("""COMPUTED_VALUE"""),"Jammia masjid maii sab")</f>
        <v>Jammia masjid maii sab</v>
      </c>
      <c r="E525" s="10" t="str">
        <f>IFERROR(__xludf.DUMMYFUNCTION("""COMPUTED_VALUE"""),"QQSMI")</f>
        <v>QQSMI</v>
      </c>
      <c r="F525" s="10">
        <f>IFERROR(__xludf.DUMMYFUNCTION("""COMPUTED_VALUE"""),204.0)</f>
        <v>204</v>
      </c>
      <c r="G525" s="10">
        <f>IFERROR(__xludf.DUMMYFUNCTION("""COMPUTED_VALUE"""),8.0)</f>
        <v>8</v>
      </c>
      <c r="H525" s="10">
        <f>IFERROR(__xludf.DUMMYFUNCTION("""COMPUTED_VALUE"""),9.0)</f>
        <v>9</v>
      </c>
      <c r="I525" s="10">
        <f>IFERROR(__xludf.DUMMYFUNCTION("""COMPUTED_VALUE"""),3.0)</f>
        <v>3</v>
      </c>
      <c r="J525" s="10"/>
      <c r="K525" s="10"/>
      <c r="L525" s="10"/>
      <c r="M525" s="10">
        <f>IFERROR(__xludf.DUMMYFUNCTION("""COMPUTED_VALUE"""),8.0)</f>
        <v>8</v>
      </c>
      <c r="N525" s="10"/>
      <c r="O525" s="10"/>
      <c r="P525" s="10"/>
      <c r="Q525" s="10"/>
      <c r="R525" s="10"/>
      <c r="S525" s="10"/>
      <c r="T525" s="10"/>
      <c r="U525" s="18" t="str">
        <f>IFERROR(__xludf.DUMMYFUNCTION("""COMPUTED_VALUE"""),"https://drive.google.com/open?id=19IY6j8Vv3B-D5PYOLcbtE9L81yiUH5BE")</f>
        <v>https://drive.google.com/open?id=19IY6j8Vv3B-D5PYOLcbtE9L81yiUH5BE</v>
      </c>
      <c r="V525" s="10"/>
      <c r="W525" s="10"/>
      <c r="X525" s="10"/>
      <c r="Y525" s="14" t="str">
        <f>IFERROR(__xludf.DUMMYFUNCTION("""COMPUTED_VALUE"""),"rehan00000000@gmail.com")</f>
        <v>rehan00000000@gmail.com</v>
      </c>
      <c r="AA525" s="324"/>
    </row>
    <row r="526" hidden="1">
      <c r="A526" s="9">
        <f>IFERROR(__xludf.DUMMYFUNCTION("""COMPUTED_VALUE"""),45877.293204629634)</f>
        <v>45877.2932</v>
      </c>
      <c r="B526" s="10" t="str">
        <f>IFERROR(__xludf.DUMMYFUNCTION("""COMPUTED_VALUE"""),"Amir malk")</f>
        <v>Amir malk</v>
      </c>
      <c r="C526" s="10" t="str">
        <f>IFERROR(__xludf.DUMMYFUNCTION("""COMPUTED_VALUE"""),"03009681066")</f>
        <v>03009681066</v>
      </c>
      <c r="D526" s="10" t="str">
        <f>IFERROR(__xludf.DUMMYFUNCTION("""COMPUTED_VALUE"""),"Al aqsa")</f>
        <v>Al aqsa</v>
      </c>
      <c r="E526" s="10" t="str">
        <f>IFERROR(__xludf.DUMMYFUNCTION("""COMPUTED_VALUE"""),"QWLFB")</f>
        <v>QWLFB</v>
      </c>
      <c r="F526" s="10">
        <f>IFERROR(__xludf.DUMMYFUNCTION("""COMPUTED_VALUE"""),137.0)</f>
        <v>137</v>
      </c>
      <c r="G526" s="10">
        <f>IFERROR(__xludf.DUMMYFUNCTION("""COMPUTED_VALUE"""),1.0)</f>
        <v>1</v>
      </c>
      <c r="H526" s="10">
        <f>IFERROR(__xludf.DUMMYFUNCTION("""COMPUTED_VALUE"""),4.0)</f>
        <v>4</v>
      </c>
      <c r="I526" s="10">
        <f>IFERROR(__xludf.DUMMYFUNCTION("""COMPUTED_VALUE"""),2.0)</f>
        <v>2</v>
      </c>
      <c r="J526" s="10"/>
      <c r="K526" s="10"/>
      <c r="L526" s="10"/>
      <c r="M526" s="10">
        <f>IFERROR(__xludf.DUMMYFUNCTION("""COMPUTED_VALUE"""),4.0)</f>
        <v>4</v>
      </c>
      <c r="N526" s="10"/>
      <c r="O526" s="10"/>
      <c r="P526" s="10"/>
      <c r="Q526" s="10"/>
      <c r="R526" s="10"/>
      <c r="S526" s="10"/>
      <c r="T526" s="10"/>
      <c r="U526" s="18" t="str">
        <f>IFERROR(__xludf.DUMMYFUNCTION("""COMPUTED_VALUE"""),"https://drive.google.com/open?id=1e53YyqXMkm-m6jZN6-Q7ShkxNdyJuYxq")</f>
        <v>https://drive.google.com/open?id=1e53YyqXMkm-m6jZN6-Q7ShkxNdyJuYxq</v>
      </c>
      <c r="V526" s="10"/>
      <c r="W526" s="10"/>
      <c r="X526" s="10"/>
      <c r="Y526" s="14" t="str">
        <f>IFERROR(__xludf.DUMMYFUNCTION("""COMPUTED_VALUE"""),"amirmalk2018@gmail.com")</f>
        <v>amirmalk2018@gmail.com</v>
      </c>
      <c r="AA526" s="324"/>
    </row>
    <row r="527" hidden="1">
      <c r="A527" s="9">
        <f>IFERROR(__xludf.DUMMYFUNCTION("""COMPUTED_VALUE"""),45877.293355625)</f>
        <v>45877.29336</v>
      </c>
      <c r="B527" s="10" t="str">
        <f>IFERROR(__xludf.DUMMYFUNCTION("""COMPUTED_VALUE"""),"Aamir Rashid ")</f>
        <v>Aamir Rashid </v>
      </c>
      <c r="C527" s="10">
        <f>IFERROR(__xludf.DUMMYFUNCTION("""COMPUTED_VALUE"""),3.017908088E9)</f>
        <v>3017908088</v>
      </c>
      <c r="D527" s="10" t="str">
        <f>IFERROR(__xludf.DUMMYFUNCTION("""COMPUTED_VALUE"""),"Jamia Masjid Darbar Mula Qaid Shah DGKhan ")</f>
        <v>Jamia Masjid Darbar Mula Qaid Shah DGKhan </v>
      </c>
      <c r="E527" s="10" t="str">
        <f>IFERROR(__xludf.DUMMYFUNCTION("""COMPUTED_VALUE"""),"VSRRF")</f>
        <v>VSRRF</v>
      </c>
      <c r="F527" s="10">
        <f>IFERROR(__xludf.DUMMYFUNCTION("""COMPUTED_VALUE"""),87.0)</f>
        <v>87</v>
      </c>
      <c r="G527" s="10">
        <f>IFERROR(__xludf.DUMMYFUNCTION("""COMPUTED_VALUE"""),9.0)</f>
        <v>9</v>
      </c>
      <c r="H527" s="10">
        <f>IFERROR(__xludf.DUMMYFUNCTION("""COMPUTED_VALUE"""),8.0)</f>
        <v>8</v>
      </c>
      <c r="I527" s="10">
        <f>IFERROR(__xludf.DUMMYFUNCTION("""COMPUTED_VALUE"""),1.0)</f>
        <v>1</v>
      </c>
      <c r="J527" s="10"/>
      <c r="K527" s="10"/>
      <c r="L527" s="10"/>
      <c r="M527" s="10">
        <f>IFERROR(__xludf.DUMMYFUNCTION("""COMPUTED_VALUE"""),3.0)</f>
        <v>3</v>
      </c>
      <c r="N527" s="10"/>
      <c r="O527" s="10"/>
      <c r="P527" s="10"/>
      <c r="Q527" s="10"/>
      <c r="R527" s="10"/>
      <c r="S527" s="10"/>
      <c r="T527" s="10"/>
      <c r="U527" s="18" t="str">
        <f>IFERROR(__xludf.DUMMYFUNCTION("""COMPUTED_VALUE"""),"https://drive.google.com/open?id=13mT83aVBzscmWOOEdW8vqtc5bw1FOhn9")</f>
        <v>https://drive.google.com/open?id=13mT83aVBzscmWOOEdW8vqtc5bw1FOhn9</v>
      </c>
      <c r="V527" s="10"/>
      <c r="W527" s="10"/>
      <c r="X527" s="10"/>
      <c r="Y527" s="14" t="str">
        <f>IFERROR(__xludf.DUMMYFUNCTION("""COMPUTED_VALUE"""),"aamirrashid007@gmail.com")</f>
        <v>aamirrashid007@gmail.com</v>
      </c>
      <c r="AA527" s="324"/>
    </row>
    <row r="528" hidden="1">
      <c r="A528" s="9">
        <f>IFERROR(__xludf.DUMMYFUNCTION("""COMPUTED_VALUE"""),45877.30345936342)</f>
        <v>45877.30346</v>
      </c>
      <c r="B528" s="10" t="str">
        <f>IFERROR(__xludf.DUMMYFUNCTION("""COMPUTED_VALUE"""),"محمد جنید ")</f>
        <v>محمد جنید </v>
      </c>
      <c r="C528" s="10" t="str">
        <f>IFERROR(__xludf.DUMMYFUNCTION("""COMPUTED_VALUE"""),"03422566208")</f>
        <v>03422566208</v>
      </c>
      <c r="D528" s="10" t="str">
        <f>IFERROR(__xludf.DUMMYFUNCTION("""COMPUTED_VALUE"""),"جامع مسجد بلاک نمبر 3")</f>
        <v>جامع مسجد بلاک نمبر 3</v>
      </c>
      <c r="E528" s="10" t="str">
        <f>IFERROR(__xludf.DUMMYFUNCTION("""COMPUTED_VALUE"""),"VYZQV")</f>
        <v>VYZQV</v>
      </c>
      <c r="F528" s="10">
        <f>IFERROR(__xludf.DUMMYFUNCTION("""COMPUTED_VALUE"""),394.0)</f>
        <v>394</v>
      </c>
      <c r="G528" s="10">
        <f>IFERROR(__xludf.DUMMYFUNCTION("""COMPUTED_VALUE"""),9.0)</f>
        <v>9</v>
      </c>
      <c r="H528" s="10">
        <f>IFERROR(__xludf.DUMMYFUNCTION("""COMPUTED_VALUE"""),9.0)</f>
        <v>9</v>
      </c>
      <c r="I528" s="10">
        <f>IFERROR(__xludf.DUMMYFUNCTION("""COMPUTED_VALUE"""),1.0)</f>
        <v>1</v>
      </c>
      <c r="J528" s="10"/>
      <c r="K528" s="10"/>
      <c r="L528" s="10"/>
      <c r="M528" s="10">
        <f>IFERROR(__xludf.DUMMYFUNCTION("""COMPUTED_VALUE"""),4.0)</f>
        <v>4</v>
      </c>
      <c r="N528" s="10"/>
      <c r="O528" s="10"/>
      <c r="P528" s="10"/>
      <c r="Q528" s="10"/>
      <c r="R528" s="10"/>
      <c r="S528" s="10"/>
      <c r="T528" s="10"/>
      <c r="U528" s="18" t="str">
        <f>IFERROR(__xludf.DUMMYFUNCTION("""COMPUTED_VALUE"""),"https://drive.google.com/open?id=13h-kEiRQJQifLpRrKlwEArdAogBSzokm")</f>
        <v>https://drive.google.com/open?id=13h-kEiRQJQifLpRrKlwEArdAogBSzokm</v>
      </c>
      <c r="V528" s="10"/>
      <c r="W528" s="10"/>
      <c r="X528" s="10"/>
      <c r="Y528" s="14" t="str">
        <f>IFERROR(__xludf.DUMMYFUNCTION("""COMPUTED_VALUE"""),"junaidkhan4045840@gmail.com")</f>
        <v>junaidkhan4045840@gmail.com</v>
      </c>
      <c r="AA528" s="324"/>
    </row>
    <row r="529" hidden="1">
      <c r="A529" s="9">
        <f>IFERROR(__xludf.DUMMYFUNCTION("""COMPUTED_VALUE"""),45877.30925324074)</f>
        <v>45877.30925</v>
      </c>
      <c r="B529" s="10" t="str">
        <f>IFERROR(__xludf.DUMMYFUNCTION("""COMPUTED_VALUE"""),"Muhammad imran")</f>
        <v>Muhammad imran</v>
      </c>
      <c r="C529" s="10" t="str">
        <f>IFERROR(__xludf.DUMMYFUNCTION("""COMPUTED_VALUE"""),"03006913636")</f>
        <v>03006913636</v>
      </c>
      <c r="D529" s="10" t="str">
        <f>IFERROR(__xludf.DUMMYFUNCTION("""COMPUTED_VALUE"""),"Jamia Masjid Khwaja Noor Mohammad Mahrvi ")</f>
        <v>Jamia Masjid Khwaja Noor Mohammad Mahrvi </v>
      </c>
      <c r="E529" s="10" t="str">
        <f>IFERROR(__xludf.DUMMYFUNCTION("""COMPUTED_VALUE"""),"HRSOG")</f>
        <v>HRSOG</v>
      </c>
      <c r="F529" s="10">
        <f>IFERROR(__xludf.DUMMYFUNCTION("""COMPUTED_VALUE"""),1749.0)</f>
        <v>1749</v>
      </c>
      <c r="G529" s="10">
        <f>IFERROR(__xludf.DUMMYFUNCTION("""COMPUTED_VALUE"""),8.0)</f>
        <v>8</v>
      </c>
      <c r="H529" s="10">
        <f>IFERROR(__xludf.DUMMYFUNCTION("""COMPUTED_VALUE"""),9.0)</f>
        <v>9</v>
      </c>
      <c r="I529" s="10">
        <f>IFERROR(__xludf.DUMMYFUNCTION("""COMPUTED_VALUE"""),2.0)</f>
        <v>2</v>
      </c>
      <c r="J529" s="10"/>
      <c r="K529" s="10"/>
      <c r="L529" s="10"/>
      <c r="M529" s="10">
        <f>IFERROR(__xludf.DUMMYFUNCTION("""COMPUTED_VALUE"""),10.0)</f>
        <v>10</v>
      </c>
      <c r="N529" s="10"/>
      <c r="O529" s="10"/>
      <c r="P529" s="10"/>
      <c r="Q529" s="10"/>
      <c r="R529" s="10"/>
      <c r="S529" s="10"/>
      <c r="T529" s="10"/>
      <c r="U529" s="18" t="str">
        <f>IFERROR(__xludf.DUMMYFUNCTION("""COMPUTED_VALUE"""),"https://drive.google.com/open?id=1wSkSScD5iq_pCrYYrKlmB_OsjxLaVBOh")</f>
        <v>https://drive.google.com/open?id=1wSkSScD5iq_pCrYYrKlmB_OsjxLaVBOh</v>
      </c>
      <c r="V529" s="10" t="str">
        <f>IFERROR(__xludf.DUMMYFUNCTION("""COMPUTED_VALUE"""),"NO")</f>
        <v>NO</v>
      </c>
      <c r="W529" s="10"/>
      <c r="X529" s="10"/>
      <c r="Y529" s="14" t="str">
        <f>IFERROR(__xludf.DUMMYFUNCTION("""COMPUTED_VALUE"""),"amir03016565258@gmail.com")</f>
        <v>amir03016565258@gmail.com</v>
      </c>
      <c r="AA529" s="324"/>
    </row>
    <row r="530" hidden="1">
      <c r="A530" s="9">
        <f>IFERROR(__xludf.DUMMYFUNCTION("""COMPUTED_VALUE"""),45877.31365247685)</f>
        <v>45877.31365</v>
      </c>
      <c r="B530" s="10" t="str">
        <f>IFERROR(__xludf.DUMMYFUNCTION("""COMPUTED_VALUE"""),"Arif Ali ")</f>
        <v>Arif Ali </v>
      </c>
      <c r="C530" s="10" t="str">
        <f>IFERROR(__xludf.DUMMYFUNCTION("""COMPUTED_VALUE"""),"03017495940")</f>
        <v>03017495940</v>
      </c>
      <c r="D530" s="10" t="str">
        <f>IFERROR(__xludf.DUMMYFUNCTION("""COMPUTED_VALUE"""),"Jammia masjid galla mandi khanpur")</f>
        <v>Jammia masjid galla mandi khanpur</v>
      </c>
      <c r="E530" s="10" t="str">
        <f>IFERROR(__xludf.DUMMYFUNCTION("""COMPUTED_VALUE"""),"EKXDH")</f>
        <v>EKXDH</v>
      </c>
      <c r="F530" s="10">
        <f>IFERROR(__xludf.DUMMYFUNCTION("""COMPUTED_VALUE"""),105.0)</f>
        <v>105</v>
      </c>
      <c r="G530" s="10">
        <f>IFERROR(__xludf.DUMMYFUNCTION("""COMPUTED_VALUE"""),10.0)</f>
        <v>10</v>
      </c>
      <c r="H530" s="10">
        <f>IFERROR(__xludf.DUMMYFUNCTION("""COMPUTED_VALUE"""),10.0)</f>
        <v>10</v>
      </c>
      <c r="I530" s="10">
        <f>IFERROR(__xludf.DUMMYFUNCTION("""COMPUTED_VALUE"""),0.0)</f>
        <v>0</v>
      </c>
      <c r="J530" s="10"/>
      <c r="K530" s="10"/>
      <c r="L530" s="10"/>
      <c r="M530" s="10">
        <f>IFERROR(__xludf.DUMMYFUNCTION("""COMPUTED_VALUE"""),10.0)</f>
        <v>10</v>
      </c>
      <c r="N530" s="10"/>
      <c r="O530" s="10"/>
      <c r="P530" s="10"/>
      <c r="Q530" s="10"/>
      <c r="R530" s="10"/>
      <c r="S530" s="10"/>
      <c r="T530" s="10"/>
      <c r="U530" s="18" t="str">
        <f>IFERROR(__xludf.DUMMYFUNCTION("""COMPUTED_VALUE"""),"https://drive.google.com/open?id=1PjtF5c3UIyl_r0ylmjkov0AiQlj5jn57")</f>
        <v>https://drive.google.com/open?id=1PjtF5c3UIyl_r0ylmjkov0AiQlj5jn57</v>
      </c>
      <c r="V530" s="10"/>
      <c r="W530" s="10"/>
      <c r="X530" s="10"/>
      <c r="Y530" s="14" t="str">
        <f>IFERROR(__xludf.DUMMYFUNCTION("""COMPUTED_VALUE"""),"arifislamian@gmail.com")</f>
        <v>arifislamian@gmail.com</v>
      </c>
      <c r="AA530" s="324"/>
    </row>
    <row r="531" hidden="1">
      <c r="A531" s="9">
        <f>IFERROR(__xludf.DUMMYFUNCTION("""COMPUTED_VALUE"""),45877.3146895949)</f>
        <v>45877.31469</v>
      </c>
      <c r="B531" s="10" t="str">
        <f>IFERROR(__xludf.DUMMYFUNCTION("""COMPUTED_VALUE"""),"Abdul quddous")</f>
        <v>Abdul quddous</v>
      </c>
      <c r="C531" s="10" t="str">
        <f>IFERROR(__xludf.DUMMYFUNCTION("""COMPUTED_VALUE"""),"03006164655")</f>
        <v>03006164655</v>
      </c>
      <c r="D531" s="10" t="str">
        <f>IFERROR(__xludf.DUMMYFUNCTION("""COMPUTED_VALUE"""),"Channer pir")</f>
        <v>Channer pir</v>
      </c>
      <c r="E531" s="10" t="str">
        <f>IFERROR(__xludf.DUMMYFUNCTION("""COMPUTED_VALUE"""),"DQKGK")</f>
        <v>DQKGK</v>
      </c>
      <c r="F531" s="10">
        <f>IFERROR(__xludf.DUMMYFUNCTION("""COMPUTED_VALUE"""),320.0)</f>
        <v>320</v>
      </c>
      <c r="G531" s="10">
        <f>IFERROR(__xludf.DUMMYFUNCTION("""COMPUTED_VALUE"""),7.0)</f>
        <v>7</v>
      </c>
      <c r="H531" s="10">
        <f>IFERROR(__xludf.DUMMYFUNCTION("""COMPUTED_VALUE"""),7.0)</f>
        <v>7</v>
      </c>
      <c r="I531" s="10">
        <f>IFERROR(__xludf.DUMMYFUNCTION("""COMPUTED_VALUE"""),2.0)</f>
        <v>2</v>
      </c>
      <c r="J531" s="10"/>
      <c r="K531" s="10"/>
      <c r="L531" s="10"/>
      <c r="M531" s="10">
        <f>IFERROR(__xludf.DUMMYFUNCTION("""COMPUTED_VALUE"""),8.0)</f>
        <v>8</v>
      </c>
      <c r="N531" s="10"/>
      <c r="O531" s="10"/>
      <c r="P531" s="10"/>
      <c r="Q531" s="10"/>
      <c r="R531" s="10"/>
      <c r="S531" s="10"/>
      <c r="T531" s="10"/>
      <c r="U531" s="18" t="str">
        <f>IFERROR(__xludf.DUMMYFUNCTION("""COMPUTED_VALUE"""),"https://drive.google.com/open?id=1SdSJZZ67XY4JelY_ZsS9ufUjylPw7YSU")</f>
        <v>https://drive.google.com/open?id=1SdSJZZ67XY4JelY_ZsS9ufUjylPw7YSU</v>
      </c>
      <c r="V531" s="10">
        <f>IFERROR(__xludf.DUMMYFUNCTION("""COMPUTED_VALUE"""),0.0)</f>
        <v>0</v>
      </c>
      <c r="W531" s="10"/>
      <c r="X531" s="10"/>
      <c r="Y531" s="14" t="str">
        <f>IFERROR(__xludf.DUMMYFUNCTION("""COMPUTED_VALUE"""),"abdulquddous027@gmail.com")</f>
        <v>abdulquddous027@gmail.com</v>
      </c>
      <c r="AA531" s="324"/>
    </row>
    <row r="532" hidden="1">
      <c r="A532" s="9">
        <f>IFERROR(__xludf.DUMMYFUNCTION("""COMPUTED_VALUE"""),45877.32400476852)</f>
        <v>45877.324</v>
      </c>
      <c r="B532" s="10" t="str">
        <f>IFERROR(__xludf.DUMMYFUNCTION("""COMPUTED_VALUE"""),"Muhammad Rizwan ")</f>
        <v>Muhammad Rizwan </v>
      </c>
      <c r="C532" s="10" t="str">
        <f>IFERROR(__xludf.DUMMYFUNCTION("""COMPUTED_VALUE"""),"03277204597")</f>
        <v>03277204597</v>
      </c>
      <c r="D532" s="10" t="str">
        <f>IFERROR(__xludf.DUMMYFUNCTION("""COMPUTED_VALUE"""),"Jamia masjid annayat welayat multan")</f>
        <v>Jamia masjid annayat welayat multan</v>
      </c>
      <c r="E532" s="10" t="str">
        <f>IFERROR(__xludf.DUMMYFUNCTION("""COMPUTED_VALUE"""),"Meepx")</f>
        <v>Meepx</v>
      </c>
      <c r="F532" s="10">
        <f>IFERROR(__xludf.DUMMYFUNCTION("""COMPUTED_VALUE"""),184.0)</f>
        <v>184</v>
      </c>
      <c r="G532" s="10">
        <f>IFERROR(__xludf.DUMMYFUNCTION("""COMPUTED_VALUE"""),8.0)</f>
        <v>8</v>
      </c>
      <c r="H532" s="10">
        <f>IFERROR(__xludf.DUMMYFUNCTION("""COMPUTED_VALUE"""),8.0)</f>
        <v>8</v>
      </c>
      <c r="I532" s="10">
        <f>IFERROR(__xludf.DUMMYFUNCTION("""COMPUTED_VALUE"""),3.0)</f>
        <v>3</v>
      </c>
      <c r="J532" s="10"/>
      <c r="K532" s="10"/>
      <c r="L532" s="10"/>
      <c r="M532" s="10">
        <f>IFERROR(__xludf.DUMMYFUNCTION("""COMPUTED_VALUE"""),9.0)</f>
        <v>9</v>
      </c>
      <c r="N532" s="10"/>
      <c r="O532" s="10"/>
      <c r="P532" s="10"/>
      <c r="Q532" s="10"/>
      <c r="R532" s="10"/>
      <c r="S532" s="10"/>
      <c r="T532" s="10"/>
      <c r="U532" s="18" t="str">
        <f>IFERROR(__xludf.DUMMYFUNCTION("""COMPUTED_VALUE"""),"https://drive.google.com/open?id=19ODzMtGVnbkuJ9Kd1bcGg3_e9NIKXml1")</f>
        <v>https://drive.google.com/open?id=19ODzMtGVnbkuJ9Kd1bcGg3_e9NIKXml1</v>
      </c>
      <c r="V532" s="10"/>
      <c r="W532" s="10"/>
      <c r="X532" s="10"/>
      <c r="Y532" s="14" t="str">
        <f>IFERROR(__xludf.DUMMYFUNCTION("""COMPUTED_VALUE"""),"rizomrizwan508@gmail.com")</f>
        <v>rizomrizwan508@gmail.com</v>
      </c>
      <c r="AA532" s="324"/>
    </row>
    <row r="533" hidden="1">
      <c r="A533" s="9">
        <f>IFERROR(__xludf.DUMMYFUNCTION("""COMPUTED_VALUE"""),45877.32448539352)</f>
        <v>45877.32449</v>
      </c>
      <c r="B533" s="10" t="str">
        <f>IFERROR(__xludf.DUMMYFUNCTION("""COMPUTED_VALUE"""),"Muhammad Shabbir ")</f>
        <v>Muhammad Shabbir </v>
      </c>
      <c r="C533" s="10" t="str">
        <f>IFERROR(__xludf.DUMMYFUNCTION("""COMPUTED_VALUE"""),"03009543049")</f>
        <v>03009543049</v>
      </c>
      <c r="D533" s="10" t="str">
        <f>IFERROR(__xludf.DUMMYFUNCTION("""COMPUTED_VALUE"""),"Masjid Darbar shah Rukne Alam ")</f>
        <v>Masjid Darbar shah Rukne Alam </v>
      </c>
      <c r="E533" s="10" t="str">
        <f>IFERROR(__xludf.DUMMYFUNCTION("""COMPUTED_VALUE"""),"YEIGP")</f>
        <v>YEIGP</v>
      </c>
      <c r="F533" s="10">
        <f>IFERROR(__xludf.DUMMYFUNCTION("""COMPUTED_VALUE"""),357.0)</f>
        <v>357</v>
      </c>
      <c r="G533" s="10">
        <f>IFERROR(__xludf.DUMMYFUNCTION("""COMPUTED_VALUE"""),10.0)</f>
        <v>10</v>
      </c>
      <c r="H533" s="10">
        <f>IFERROR(__xludf.DUMMYFUNCTION("""COMPUTED_VALUE"""),10.0)</f>
        <v>10</v>
      </c>
      <c r="I533" s="10">
        <f>IFERROR(__xludf.DUMMYFUNCTION("""COMPUTED_VALUE"""),0.0)</f>
        <v>0</v>
      </c>
      <c r="J533" s="10"/>
      <c r="K533" s="10"/>
      <c r="L533" s="10"/>
      <c r="M533" s="10">
        <f>IFERROR(__xludf.DUMMYFUNCTION("""COMPUTED_VALUE"""),10.0)</f>
        <v>10</v>
      </c>
      <c r="N533" s="10"/>
      <c r="O533" s="10"/>
      <c r="P533" s="10"/>
      <c r="Q533" s="10"/>
      <c r="R533" s="10"/>
      <c r="S533" s="10"/>
      <c r="T533" s="10"/>
      <c r="U533" s="18" t="str">
        <f>IFERROR(__xludf.DUMMYFUNCTION("""COMPUTED_VALUE"""),"https://drive.google.com/open?id=1wBYsd0ucYmOBADlFDofGXrNXGFUTa95U")</f>
        <v>https://drive.google.com/open?id=1wBYsd0ucYmOBADlFDofGXrNXGFUTa95U</v>
      </c>
      <c r="V533" s="10" t="str">
        <f>IFERROR(__xludf.DUMMYFUNCTION("""COMPUTED_VALUE"""),"No")</f>
        <v>No</v>
      </c>
      <c r="W533" s="10"/>
      <c r="X533" s="10"/>
      <c r="Y533" s="14" t="str">
        <f>IFERROR(__xludf.DUMMYFUNCTION("""COMPUTED_VALUE"""),"shabbirmalik017@gmail.com")</f>
        <v>shabbirmalik017@gmail.com</v>
      </c>
      <c r="AA533" s="324"/>
    </row>
    <row r="534" hidden="1">
      <c r="A534" s="9">
        <f>IFERROR(__xludf.DUMMYFUNCTION("""COMPUTED_VALUE"""),45877.33930759259)</f>
        <v>45877.33931</v>
      </c>
      <c r="B534" s="10" t="str">
        <f>IFERROR(__xludf.DUMMYFUNCTION("""COMPUTED_VALUE"""),"MArbaz ")</f>
        <v>MArbaz </v>
      </c>
      <c r="C534" s="10" t="str">
        <f>IFERROR(__xludf.DUMMYFUNCTION("""COMPUTED_VALUE"""),"03011445582")</f>
        <v>03011445582</v>
      </c>
      <c r="D534" s="10" t="str">
        <f>IFERROR(__xludf.DUMMYFUNCTION("""COMPUTED_VALUE"""),"Jamia masjid Hakeem Muhammad Yar wali bwp")</f>
        <v>Jamia masjid Hakeem Muhammad Yar wali bwp</v>
      </c>
      <c r="E534" s="10" t="str">
        <f>IFERROR(__xludf.DUMMYFUNCTION("""COMPUTED_VALUE"""),"RAKEI")</f>
        <v>RAKEI</v>
      </c>
      <c r="F534" s="10">
        <f>IFERROR(__xludf.DUMMYFUNCTION("""COMPUTED_VALUE"""),131.0)</f>
        <v>131</v>
      </c>
      <c r="G534" s="10">
        <f>IFERROR(__xludf.DUMMYFUNCTION("""COMPUTED_VALUE"""),9.0)</f>
        <v>9</v>
      </c>
      <c r="H534" s="10">
        <f>IFERROR(__xludf.DUMMYFUNCTION("""COMPUTED_VALUE"""),8.0)</f>
        <v>8</v>
      </c>
      <c r="I534" s="10">
        <f>IFERROR(__xludf.DUMMYFUNCTION("""COMPUTED_VALUE"""),1.0)</f>
        <v>1</v>
      </c>
      <c r="J534" s="10"/>
      <c r="K534" s="10"/>
      <c r="L534" s="10"/>
      <c r="M534" s="10">
        <f>IFERROR(__xludf.DUMMYFUNCTION("""COMPUTED_VALUE"""),9.0)</f>
        <v>9</v>
      </c>
      <c r="N534" s="10"/>
      <c r="O534" s="10"/>
      <c r="P534" s="10"/>
      <c r="Q534" s="10"/>
      <c r="R534" s="10"/>
      <c r="S534" s="10"/>
      <c r="T534" s="10"/>
      <c r="U534" s="18" t="str">
        <f>IFERROR(__xludf.DUMMYFUNCTION("""COMPUTED_VALUE"""),"https://drive.google.com/open?id=1KllaHJLq5wLYnowZlkir97T5t9eGv3eo")</f>
        <v>https://drive.google.com/open?id=1KllaHJLq5wLYnowZlkir97T5t9eGv3eo</v>
      </c>
      <c r="V534" s="10"/>
      <c r="W534" s="10"/>
      <c r="X534" s="10"/>
      <c r="Y534" s="14" t="str">
        <f>IFERROR(__xludf.DUMMYFUNCTION("""COMPUTED_VALUE"""),"amirakash6830@gmail.com")</f>
        <v>amirakash6830@gmail.com</v>
      </c>
      <c r="AA534" s="324"/>
    </row>
    <row r="535" hidden="1">
      <c r="A535" s="9">
        <f>IFERROR(__xludf.DUMMYFUNCTION("""COMPUTED_VALUE"""),45877.35170493055)</f>
        <v>45877.3517</v>
      </c>
      <c r="B535" s="10" t="str">
        <f>IFERROR(__xludf.DUMMYFUNCTION("""COMPUTED_VALUE"""),"Muhammad Rizwan ")</f>
        <v>Muhammad Rizwan </v>
      </c>
      <c r="C535" s="10" t="str">
        <f>IFERROR(__xludf.DUMMYFUNCTION("""COMPUTED_VALUE"""),"03020878756")</f>
        <v>03020878756</v>
      </c>
      <c r="D535" s="10" t="str">
        <f>IFERROR(__xludf.DUMMYFUNCTION("""COMPUTED_VALUE"""),"Jamia masjid madni jhoke veenus ")</f>
        <v>Jamia masjid madni jhoke veenus </v>
      </c>
      <c r="E535" s="10" t="str">
        <f>IFERROR(__xludf.DUMMYFUNCTION("""COMPUTED_VALUE"""),"ZRPYU")</f>
        <v>ZRPYU</v>
      </c>
      <c r="F535" s="10">
        <f>IFERROR(__xludf.DUMMYFUNCTION("""COMPUTED_VALUE"""),155.0)</f>
        <v>155</v>
      </c>
      <c r="G535" s="10">
        <f>IFERROR(__xludf.DUMMYFUNCTION("""COMPUTED_VALUE"""),8.0)</f>
        <v>8</v>
      </c>
      <c r="H535" s="10">
        <f>IFERROR(__xludf.DUMMYFUNCTION("""COMPUTED_VALUE"""),8.0)</f>
        <v>8</v>
      </c>
      <c r="I535" s="10" t="str">
        <f>IFERROR(__xludf.DUMMYFUNCTION("""COMPUTED_VALUE"""),"4-6")</f>
        <v>4-6</v>
      </c>
      <c r="J535" s="10"/>
      <c r="K535" s="10"/>
      <c r="L535" s="10"/>
      <c r="M535" s="10">
        <f>IFERROR(__xludf.DUMMYFUNCTION("""COMPUTED_VALUE"""),9.0)</f>
        <v>9</v>
      </c>
      <c r="N535" s="10"/>
      <c r="O535" s="10"/>
      <c r="P535" s="10"/>
      <c r="Q535" s="10"/>
      <c r="R535" s="10"/>
      <c r="S535" s="10"/>
      <c r="T535" s="10"/>
      <c r="U535" s="18" t="str">
        <f>IFERROR(__xludf.DUMMYFUNCTION("""COMPUTED_VALUE"""),"https://drive.google.com/open?id=1Ia9pPi2R4G9jywurD0-x1Ag3GFeKG9T6")</f>
        <v>https://drive.google.com/open?id=1Ia9pPi2R4G9jywurD0-x1Ag3GFeKG9T6</v>
      </c>
      <c r="V535" s="10" t="str">
        <f>IFERROR(__xludf.DUMMYFUNCTION("""COMPUTED_VALUE"""),"Nill")</f>
        <v>Nill</v>
      </c>
      <c r="W535" s="10"/>
      <c r="X535" s="10"/>
      <c r="Y535" s="14" t="str">
        <f>IFERROR(__xludf.DUMMYFUNCTION("""COMPUTED_VALUE"""),"muhammadrizwankhanm276@gmail.com")</f>
        <v>muhammadrizwankhanm276@gmail.com</v>
      </c>
      <c r="AA535" s="324"/>
    </row>
    <row r="536" hidden="1">
      <c r="A536" s="9">
        <f>IFERROR(__xludf.DUMMYFUNCTION("""COMPUTED_VALUE"""),45877.35219851852)</f>
        <v>45877.3522</v>
      </c>
      <c r="B536" s="10" t="str">
        <f>IFERROR(__xludf.DUMMYFUNCTION("""COMPUTED_VALUE"""),"Syed sabeeh ul Rehman bukahri ")</f>
        <v>Syed sabeeh ul Rehman bukahri </v>
      </c>
      <c r="C536" s="10" t="str">
        <f>IFERROR(__xludf.DUMMYFUNCTION("""COMPUTED_VALUE"""),"03707446218")</f>
        <v>03707446218</v>
      </c>
      <c r="D536" s="10" t="str">
        <f>IFERROR(__xludf.DUMMYFUNCTION("""COMPUTED_VALUE"""),"Masjid Abdul wahab Shah bukhari deera deen pnnah kot addu")</f>
        <v>Masjid Abdul wahab Shah bukhari deera deen pnnah kot addu</v>
      </c>
      <c r="E536" s="10" t="str">
        <f>IFERROR(__xludf.DUMMYFUNCTION("""COMPUTED_VALUE"""),"UXUMP ")</f>
        <v>UXUMP </v>
      </c>
      <c r="F536" s="10">
        <f>IFERROR(__xludf.DUMMYFUNCTION("""COMPUTED_VALUE"""),257.0)</f>
        <v>257</v>
      </c>
      <c r="G536" s="10">
        <f>IFERROR(__xludf.DUMMYFUNCTION("""COMPUTED_VALUE"""),9.0)</f>
        <v>9</v>
      </c>
      <c r="H536" s="10">
        <f>IFERROR(__xludf.DUMMYFUNCTION("""COMPUTED_VALUE"""),8.0)</f>
        <v>8</v>
      </c>
      <c r="I536" s="10">
        <f>IFERROR(__xludf.DUMMYFUNCTION("""COMPUTED_VALUE"""),0.0)</f>
        <v>0</v>
      </c>
      <c r="J536" s="10"/>
      <c r="K536" s="10"/>
      <c r="L536" s="10"/>
      <c r="M536" s="10">
        <f>IFERROR(__xludf.DUMMYFUNCTION("""COMPUTED_VALUE"""),8.0)</f>
        <v>8</v>
      </c>
      <c r="N536" s="10"/>
      <c r="O536" s="10"/>
      <c r="P536" s="10"/>
      <c r="Q536" s="10"/>
      <c r="R536" s="10"/>
      <c r="S536" s="10"/>
      <c r="T536" s="10"/>
      <c r="U536" s="18" t="str">
        <f>IFERROR(__xludf.DUMMYFUNCTION("""COMPUTED_VALUE"""),"https://drive.google.com/open?id=1AvM4Q2Zr7XFViSgl7k7BDiL-A1oiKad0")</f>
        <v>https://drive.google.com/open?id=1AvM4Q2Zr7XFViSgl7k7BDiL-A1oiKad0</v>
      </c>
      <c r="V536" s="10"/>
      <c r="W536" s="10"/>
      <c r="X536" s="10"/>
      <c r="Y536" s="14" t="str">
        <f>IFERROR(__xludf.DUMMYFUNCTION("""COMPUTED_VALUE"""),"urehman154763@gmail.com")</f>
        <v>urehman154763@gmail.com</v>
      </c>
      <c r="AA536" s="324"/>
    </row>
    <row r="537" hidden="1">
      <c r="A537" s="9">
        <f>IFERROR(__xludf.DUMMYFUNCTION("""COMPUTED_VALUE"""),45877.354127071754)</f>
        <v>45877.35413</v>
      </c>
      <c r="B537" s="10" t="str">
        <f>IFERROR(__xludf.DUMMYFUNCTION("""COMPUTED_VALUE"""),"Muhammad Tanveer ")</f>
        <v>Muhammad Tanveer </v>
      </c>
      <c r="C537" s="10" t="str">
        <f>IFERROR(__xludf.DUMMYFUNCTION("""COMPUTED_VALUE"""),"03077881232")</f>
        <v>03077881232</v>
      </c>
      <c r="D537" s="10" t="str">
        <f>IFERROR(__xludf.DUMMYFUNCTION("""COMPUTED_VALUE"""),"Jamia Masjid main bazar Hasilpure ")</f>
        <v>Jamia Masjid main bazar Hasilpure </v>
      </c>
      <c r="E537" s="10" t="str">
        <f>IFERROR(__xludf.DUMMYFUNCTION("""COMPUTED_VALUE"""),"NHXTI ")</f>
        <v>NHXTI </v>
      </c>
      <c r="F537" s="10">
        <f>IFERROR(__xludf.DUMMYFUNCTION("""COMPUTED_VALUE"""),1150.0)</f>
        <v>1150</v>
      </c>
      <c r="G537" s="10">
        <f>IFERROR(__xludf.DUMMYFUNCTION("""COMPUTED_VALUE"""),8.0)</f>
        <v>8</v>
      </c>
      <c r="H537" s="10">
        <f>IFERROR(__xludf.DUMMYFUNCTION("""COMPUTED_VALUE"""),8.0)</f>
        <v>8</v>
      </c>
      <c r="I537" s="10">
        <f>IFERROR(__xludf.DUMMYFUNCTION("""COMPUTED_VALUE"""),1.0)</f>
        <v>1</v>
      </c>
      <c r="J537" s="10"/>
      <c r="K537" s="10"/>
      <c r="L537" s="10"/>
      <c r="M537" s="10">
        <f>IFERROR(__xludf.DUMMYFUNCTION("""COMPUTED_VALUE"""),9.0)</f>
        <v>9</v>
      </c>
      <c r="N537" s="10"/>
      <c r="O537" s="10"/>
      <c r="P537" s="10"/>
      <c r="Q537" s="10"/>
      <c r="R537" s="10"/>
      <c r="S537" s="10"/>
      <c r="T537" s="10"/>
      <c r="U537" s="18" t="str">
        <f>IFERROR(__xludf.DUMMYFUNCTION("""COMPUTED_VALUE"""),"https://drive.google.com/open?id=1u3nN0AtGr78paZwK3LFij250cCAWlyx6")</f>
        <v>https://drive.google.com/open?id=1u3nN0AtGr78paZwK3LFij250cCAWlyx6</v>
      </c>
      <c r="V537" s="10"/>
      <c r="W537" s="10"/>
      <c r="X537" s="10"/>
      <c r="Y537" s="14" t="str">
        <f>IFERROR(__xludf.DUMMYFUNCTION("""COMPUTED_VALUE"""),"tanveertni3537@gmail.com")</f>
        <v>tanveertni3537@gmail.com</v>
      </c>
      <c r="AA537" s="324"/>
    </row>
    <row r="538" hidden="1">
      <c r="A538" s="9">
        <f>IFERROR(__xludf.DUMMYFUNCTION("""COMPUTED_VALUE"""),45877.35942129629)</f>
        <v>45877.35942</v>
      </c>
      <c r="B538" s="10" t="str">
        <f>IFERROR(__xludf.DUMMYFUNCTION("""COMPUTED_VALUE"""),"Syed Ali Hamza ")</f>
        <v>Syed Ali Hamza </v>
      </c>
      <c r="C538" s="10" t="str">
        <f>IFERROR(__xludf.DUMMYFUNCTION("""COMPUTED_VALUE"""),"03261635877")</f>
        <v>03261635877</v>
      </c>
      <c r="D538" s="10" t="str">
        <f>IFERROR(__xludf.DUMMYFUNCTION("""COMPUTED_VALUE"""),"Jamia Masjid Darbar Laal Ehsan")</f>
        <v>Jamia Masjid Darbar Laal Ehsan</v>
      </c>
      <c r="E538" s="10" t="str">
        <f>IFERROR(__xludf.DUMMYFUNCTION("""COMPUTED_VALUE"""),"LYOIX")</f>
        <v>LYOIX</v>
      </c>
      <c r="F538" s="10">
        <f>IFERROR(__xludf.DUMMYFUNCTION("""COMPUTED_VALUE"""),167.0)</f>
        <v>167</v>
      </c>
      <c r="G538" s="10">
        <f>IFERROR(__xludf.DUMMYFUNCTION("""COMPUTED_VALUE"""),10.0)</f>
        <v>10</v>
      </c>
      <c r="H538" s="10">
        <f>IFERROR(__xludf.DUMMYFUNCTION("""COMPUTED_VALUE"""),10.0)</f>
        <v>10</v>
      </c>
      <c r="I538" s="10" t="str">
        <f>IFERROR(__xludf.DUMMYFUNCTION("""COMPUTED_VALUE"""),"Nothing ")</f>
        <v>Nothing </v>
      </c>
      <c r="J538" s="10"/>
      <c r="K538" s="10"/>
      <c r="L538" s="10"/>
      <c r="M538" s="10">
        <f>IFERROR(__xludf.DUMMYFUNCTION("""COMPUTED_VALUE"""),8.0)</f>
        <v>8</v>
      </c>
      <c r="N538" s="10"/>
      <c r="O538" s="10"/>
      <c r="P538" s="10"/>
      <c r="Q538" s="10"/>
      <c r="R538" s="10"/>
      <c r="S538" s="10"/>
      <c r="T538" s="10"/>
      <c r="U538" s="18" t="str">
        <f>IFERROR(__xludf.DUMMYFUNCTION("""COMPUTED_VALUE"""),"https://drive.google.com/open?id=1D69LTpgbrajZvTEVdvjNzYX6ZpsmBm7h")</f>
        <v>https://drive.google.com/open?id=1D69LTpgbrajZvTEVdvjNzYX6ZpsmBm7h</v>
      </c>
      <c r="V538" s="10"/>
      <c r="W538" s="10"/>
      <c r="X538" s="10"/>
      <c r="Y538" s="14" t="str">
        <f>IFERROR(__xludf.DUMMYFUNCTION("""COMPUTED_VALUE"""),"alyhamza102@gmail.com")</f>
        <v>alyhamza102@gmail.com</v>
      </c>
      <c r="AA538" s="324"/>
    </row>
    <row r="539" hidden="1">
      <c r="A539" s="9">
        <f>IFERROR(__xludf.DUMMYFUNCTION("""COMPUTED_VALUE"""),45877.36332260417)</f>
        <v>45877.36332</v>
      </c>
      <c r="B539" s="10" t="str">
        <f>IFERROR(__xludf.DUMMYFUNCTION("""COMPUTED_VALUE"""),"Muhammad Tahir ")</f>
        <v>Muhammad Tahir </v>
      </c>
      <c r="C539" s="10" t="str">
        <f>IFERROR(__xludf.DUMMYFUNCTION("""COMPUTED_VALUE"""),"03196224302")</f>
        <v>03196224302</v>
      </c>
      <c r="D539" s="10" t="str">
        <f>IFERROR(__xludf.DUMMYFUNCTION("""COMPUTED_VALUE"""),"Jamia Masjid Rangila Sha darbar Hasilpure ")</f>
        <v>Jamia Masjid Rangila Sha darbar Hasilpure </v>
      </c>
      <c r="E539" s="10" t="str">
        <f>IFERROR(__xludf.DUMMYFUNCTION("""COMPUTED_VALUE"""),"SJQHK ")</f>
        <v>SJQHK </v>
      </c>
      <c r="F539" s="10">
        <f>IFERROR(__xludf.DUMMYFUNCTION("""COMPUTED_VALUE"""),945.0)</f>
        <v>945</v>
      </c>
      <c r="G539" s="10">
        <f>IFERROR(__xludf.DUMMYFUNCTION("""COMPUTED_VALUE"""),9.0)</f>
        <v>9</v>
      </c>
      <c r="H539" s="10">
        <f>IFERROR(__xludf.DUMMYFUNCTION("""COMPUTED_VALUE"""),9.0)</f>
        <v>9</v>
      </c>
      <c r="I539" s="10">
        <f>IFERROR(__xludf.DUMMYFUNCTION("""COMPUTED_VALUE"""),1.0)</f>
        <v>1</v>
      </c>
      <c r="J539" s="10"/>
      <c r="K539" s="10"/>
      <c r="L539" s="10"/>
      <c r="M539" s="10">
        <f>IFERROR(__xludf.DUMMYFUNCTION("""COMPUTED_VALUE"""),9.0)</f>
        <v>9</v>
      </c>
      <c r="N539" s="10"/>
      <c r="O539" s="10"/>
      <c r="P539" s="10"/>
      <c r="Q539" s="10"/>
      <c r="R539" s="10"/>
      <c r="S539" s="10"/>
      <c r="T539" s="10"/>
      <c r="U539" s="18" t="str">
        <f>IFERROR(__xludf.DUMMYFUNCTION("""COMPUTED_VALUE"""),"https://drive.google.com/open?id=1fisdnowTzl-9nz_HTYXB_JM8zFfzvP7t")</f>
        <v>https://drive.google.com/open?id=1fisdnowTzl-9nz_HTYXB_JM8zFfzvP7t</v>
      </c>
      <c r="V539" s="10"/>
      <c r="W539" s="10"/>
      <c r="X539" s="10"/>
      <c r="Y539" s="14" t="str">
        <f>IFERROR(__xludf.DUMMYFUNCTION("""COMPUTED_VALUE"""),"tanveertni3537@gmail.com")</f>
        <v>tanveertni3537@gmail.com</v>
      </c>
      <c r="AA539" s="324"/>
    </row>
    <row r="540" hidden="1">
      <c r="A540" s="9">
        <f>IFERROR(__xludf.DUMMYFUNCTION("""COMPUTED_VALUE"""),45877.397839212965)</f>
        <v>45877.39784</v>
      </c>
      <c r="B540" s="10" t="str">
        <f>IFERROR(__xludf.DUMMYFUNCTION("""COMPUTED_VALUE"""),"Khalid Mehmood")</f>
        <v>Khalid Mehmood</v>
      </c>
      <c r="C540" s="10" t="str">
        <f>IFERROR(__xludf.DUMMYFUNCTION("""COMPUTED_VALUE"""),"0300-5249027")</f>
        <v>0300-5249027</v>
      </c>
      <c r="D540" s="10" t="str">
        <f>IFERROR(__xludf.DUMMYFUNCTION("""COMPUTED_VALUE"""),"Jamia Masjid Markazi Chishtian")</f>
        <v>Jamia Masjid Markazi Chishtian</v>
      </c>
      <c r="E540" s="10" t="str">
        <f>IFERROR(__xludf.DUMMYFUNCTION("""COMPUTED_VALUE"""),"YBTBU")</f>
        <v>YBTBU</v>
      </c>
      <c r="F540" s="10">
        <f>IFERROR(__xludf.DUMMYFUNCTION("""COMPUTED_VALUE"""),814.0)</f>
        <v>814</v>
      </c>
      <c r="G540" s="10">
        <f>IFERROR(__xludf.DUMMYFUNCTION("""COMPUTED_VALUE"""),7.0)</f>
        <v>7</v>
      </c>
      <c r="H540" s="10">
        <f>IFERROR(__xludf.DUMMYFUNCTION("""COMPUTED_VALUE"""),8.0)</f>
        <v>8</v>
      </c>
      <c r="I540" s="10">
        <f>IFERROR(__xludf.DUMMYFUNCTION("""COMPUTED_VALUE"""),1.0)</f>
        <v>1</v>
      </c>
      <c r="J540" s="10"/>
      <c r="K540" s="10"/>
      <c r="L540" s="10"/>
      <c r="M540" s="10">
        <f>IFERROR(__xludf.DUMMYFUNCTION("""COMPUTED_VALUE"""),8.0)</f>
        <v>8</v>
      </c>
      <c r="N540" s="10"/>
      <c r="O540" s="10"/>
      <c r="P540" s="10"/>
      <c r="Q540" s="10"/>
      <c r="R540" s="10"/>
      <c r="S540" s="10"/>
      <c r="T540" s="10"/>
      <c r="U540" s="18" t="str">
        <f>IFERROR(__xludf.DUMMYFUNCTION("""COMPUTED_VALUE"""),"https://drive.google.com/open?id=1zZ_rYW-e3hyK-NKPrSocr06MIx_M-tan")</f>
        <v>https://drive.google.com/open?id=1zZ_rYW-e3hyK-NKPrSocr06MIx_M-tan</v>
      </c>
      <c r="V540" s="10"/>
      <c r="W540" s="10"/>
      <c r="X540" s="10"/>
      <c r="Y540" s="14" t="str">
        <f>IFERROR(__xludf.DUMMYFUNCTION("""COMPUTED_VALUE"""),"saifullah.cerp@gmail.com")</f>
        <v>saifullah.cerp@gmail.com</v>
      </c>
      <c r="AA540" s="324"/>
    </row>
    <row r="541" hidden="1">
      <c r="A541" s="9">
        <f>IFERROR(__xludf.DUMMYFUNCTION("""COMPUTED_VALUE"""),45877.40259572917)</f>
        <v>45877.4026</v>
      </c>
      <c r="B541" s="10" t="str">
        <f>IFERROR(__xludf.DUMMYFUNCTION("""COMPUTED_VALUE"""),"Muhammad Hamid Ali ")</f>
        <v>Muhammad Hamid Ali </v>
      </c>
      <c r="C541" s="10" t="str">
        <f>IFERROR(__xludf.DUMMYFUNCTION("""COMPUTED_VALUE"""),"03006923636")</f>
        <v>03006923636</v>
      </c>
      <c r="D541" s="10" t="str">
        <f>IFERROR(__xludf.DUMMYFUNCTION("""COMPUTED_VALUE"""),"جامعہ مسجد ملحقہ دربار حضرت بابا تاج الدین سرور سرکار رحمۃ اللّٰہ علیہ ")</f>
        <v>جامعہ مسجد ملحقہ دربار حضرت بابا تاج الدین سرور سرکار رحمۃ اللّٰہ علیہ </v>
      </c>
      <c r="E541" s="10" t="str">
        <f>IFERROR(__xludf.DUMMYFUNCTION("""COMPUTED_VALUE"""),"UVKDX ")</f>
        <v>UVKDX </v>
      </c>
      <c r="F541" s="10">
        <f>IFERROR(__xludf.DUMMYFUNCTION("""COMPUTED_VALUE"""),723.0)</f>
        <v>723</v>
      </c>
      <c r="G541" s="10">
        <f>IFERROR(__xludf.DUMMYFUNCTION("""COMPUTED_VALUE"""),8.0)</f>
        <v>8</v>
      </c>
      <c r="H541" s="10">
        <f>IFERROR(__xludf.DUMMYFUNCTION("""COMPUTED_VALUE"""),7.0)</f>
        <v>7</v>
      </c>
      <c r="I541" s="10">
        <f>IFERROR(__xludf.DUMMYFUNCTION("""COMPUTED_VALUE"""),2.0)</f>
        <v>2</v>
      </c>
      <c r="J541" s="10"/>
      <c r="K541" s="10"/>
      <c r="L541" s="10"/>
      <c r="M541" s="10">
        <f>IFERROR(__xludf.DUMMYFUNCTION("""COMPUTED_VALUE"""),8.0)</f>
        <v>8</v>
      </c>
      <c r="N541" s="10"/>
      <c r="O541" s="10"/>
      <c r="P541" s="10"/>
      <c r="Q541" s="10"/>
      <c r="R541" s="10"/>
      <c r="S541" s="10"/>
      <c r="T541" s="10"/>
      <c r="U541" s="18" t="str">
        <f>IFERROR(__xludf.DUMMYFUNCTION("""COMPUTED_VALUE"""),"https://drive.google.com/open?id=1QamI7P1lnMt6V4OcFtvqC34ma1KkTFoA")</f>
        <v>https://drive.google.com/open?id=1QamI7P1lnMt6V4OcFtvqC34ma1KkTFoA</v>
      </c>
      <c r="V541" s="10" t="str">
        <f>IFERROR(__xludf.DUMMYFUNCTION("""COMPUTED_VALUE"""),"No")</f>
        <v>No</v>
      </c>
      <c r="W541" s="10"/>
      <c r="X541" s="10"/>
      <c r="Y541" s="14" t="str">
        <f>IFERROR(__xludf.DUMMYFUNCTION("""COMPUTED_VALUE"""),"hamidalisultani11@gmail.com")</f>
        <v>hamidalisultani11@gmail.com</v>
      </c>
      <c r="AA541" s="324"/>
    </row>
    <row r="542" hidden="1">
      <c r="A542" s="9">
        <f>IFERROR(__xludf.DUMMYFUNCTION("""COMPUTED_VALUE"""),45877.42513684028)</f>
        <v>45877.42514</v>
      </c>
      <c r="B542" s="10" t="str">
        <f>IFERROR(__xludf.DUMMYFUNCTION("""COMPUTED_VALUE"""),"Muhammad Javed ")</f>
        <v>Muhammad Javed </v>
      </c>
      <c r="C542" s="10" t="str">
        <f>IFERROR(__xludf.DUMMYFUNCTION("""COMPUTED_VALUE"""),"03007354903")</f>
        <v>03007354903</v>
      </c>
      <c r="D542" s="10" t="str">
        <f>IFERROR(__xludf.DUMMYFUNCTION("""COMPUTED_VALUE"""),"Zain ullabidin")</f>
        <v>Zain ullabidin</v>
      </c>
      <c r="E542" s="10" t="str">
        <f>IFERROR(__xludf.DUMMYFUNCTION("""COMPUTED_VALUE"""),"CTOPI")</f>
        <v>CTOPI</v>
      </c>
      <c r="F542" s="10">
        <f>IFERROR(__xludf.DUMMYFUNCTION("""COMPUTED_VALUE"""),390.0)</f>
        <v>390</v>
      </c>
      <c r="G542" s="10">
        <f>IFERROR(__xludf.DUMMYFUNCTION("""COMPUTED_VALUE"""),7.0)</f>
        <v>7</v>
      </c>
      <c r="H542" s="10">
        <f>IFERROR(__xludf.DUMMYFUNCTION("""COMPUTED_VALUE"""),2.0)</f>
        <v>2</v>
      </c>
      <c r="I542" s="10">
        <f>IFERROR(__xludf.DUMMYFUNCTION("""COMPUTED_VALUE"""),0.0)</f>
        <v>0</v>
      </c>
      <c r="J542" s="10"/>
      <c r="K542" s="10"/>
      <c r="L542" s="10"/>
      <c r="M542" s="10">
        <f>IFERROR(__xludf.DUMMYFUNCTION("""COMPUTED_VALUE"""),3.0)</f>
        <v>3</v>
      </c>
      <c r="N542" s="10"/>
      <c r="O542" s="10"/>
      <c r="P542" s="10"/>
      <c r="Q542" s="10"/>
      <c r="R542" s="10"/>
      <c r="S542" s="10"/>
      <c r="T542" s="10"/>
      <c r="U542" s="18" t="str">
        <f>IFERROR(__xludf.DUMMYFUNCTION("""COMPUTED_VALUE"""),"https://drive.google.com/open?id=1Irp6_73Iyj6GJIYZ8nYigggzj56vc_cB")</f>
        <v>https://drive.google.com/open?id=1Irp6_73Iyj6GJIYZ8nYigggzj56vc_cB</v>
      </c>
      <c r="V542" s="10"/>
      <c r="W542" s="10"/>
      <c r="X542" s="10"/>
      <c r="Y542" s="14" t="str">
        <f>IFERROR(__xludf.DUMMYFUNCTION("""COMPUTED_VALUE"""),"malikjavaid250@gmail.com")</f>
        <v>malikjavaid250@gmail.com</v>
      </c>
      <c r="AA542" s="324"/>
    </row>
    <row r="543" hidden="1">
      <c r="A543" s="9">
        <f>IFERROR(__xludf.DUMMYFUNCTION("""COMPUTED_VALUE"""),45877.428249178236)</f>
        <v>45877.42825</v>
      </c>
      <c r="B543" s="10" t="str">
        <f>IFERROR(__xludf.DUMMYFUNCTION("""COMPUTED_VALUE"""),"nazeer ahmed")</f>
        <v>nazeer ahmed</v>
      </c>
      <c r="C543" s="10" t="str">
        <f>IFERROR(__xludf.DUMMYFUNCTION("""COMPUTED_VALUE"""),"03083233466")</f>
        <v>03083233466</v>
      </c>
      <c r="D543" s="10" t="str">
        <f>IFERROR(__xludf.DUMMYFUNCTION("""COMPUTED_VALUE"""),"jama masjid baba sahab")</f>
        <v>jama masjid baba sahab</v>
      </c>
      <c r="E543" s="10" t="str">
        <f>IFERROR(__xludf.DUMMYFUNCTION("""COMPUTED_VALUE"""),"rjssu")</f>
        <v>rjssu</v>
      </c>
      <c r="F543" s="10">
        <f>IFERROR(__xludf.DUMMYFUNCTION("""COMPUTED_VALUE"""),160.0)</f>
        <v>160</v>
      </c>
      <c r="G543" s="10">
        <f>IFERROR(__xludf.DUMMYFUNCTION("""COMPUTED_VALUE"""),8.0)</f>
        <v>8</v>
      </c>
      <c r="H543" s="10">
        <f>IFERROR(__xludf.DUMMYFUNCTION("""COMPUTED_VALUE"""),7.0)</f>
        <v>7</v>
      </c>
      <c r="I543" s="10">
        <f>IFERROR(__xludf.DUMMYFUNCTION("""COMPUTED_VALUE"""),0.0)</f>
        <v>0</v>
      </c>
      <c r="J543" s="10"/>
      <c r="K543" s="10"/>
      <c r="L543" s="10"/>
      <c r="M543" s="10">
        <f>IFERROR(__xludf.DUMMYFUNCTION("""COMPUTED_VALUE"""),8.0)</f>
        <v>8</v>
      </c>
      <c r="N543" s="10"/>
      <c r="O543" s="10"/>
      <c r="P543" s="10"/>
      <c r="Q543" s="10"/>
      <c r="R543" s="10"/>
      <c r="S543" s="10"/>
      <c r="T543" s="10"/>
      <c r="U543" s="10" t="str">
        <f>IFERROR(__xludf.DUMMYFUNCTION("""COMPUTED_VALUE"""),"https://drive.google.com/open?id=14_n3J14L6-QVkOGk4GcuS2EOW_BjSzwT, https://drive.google.com/open?id=1cEBFwPGVT8Mtmw2kz1jdEhmYQeJ3rhwA")</f>
        <v>https://drive.google.com/open?id=14_n3J14L6-QVkOGk4GcuS2EOW_BjSzwT, https://drive.google.com/open?id=1cEBFwPGVT8Mtmw2kz1jdEhmYQeJ3rhwA</v>
      </c>
      <c r="V543" s="10"/>
      <c r="W543" s="10"/>
      <c r="X543" s="10"/>
      <c r="Y543" s="14" t="str">
        <f>IFERROR(__xludf.DUMMYFUNCTION("""COMPUTED_VALUE"""),"nazeer1k73@gmail.com")</f>
        <v>nazeer1k73@gmail.com</v>
      </c>
      <c r="AA543" s="324"/>
    </row>
    <row r="544" hidden="1">
      <c r="A544" s="9">
        <f>IFERROR(__xludf.DUMMYFUNCTION("""COMPUTED_VALUE"""),45877.48977479167)</f>
        <v>45877.48977</v>
      </c>
      <c r="B544" s="10" t="str">
        <f>IFERROR(__xludf.DUMMYFUNCTION("""COMPUTED_VALUE"""),"Abdullah ")</f>
        <v>Abdullah </v>
      </c>
      <c r="C544" s="10" t="str">
        <f>IFERROR(__xludf.DUMMYFUNCTION("""COMPUTED_VALUE"""),"03336688470")</f>
        <v>03336688470</v>
      </c>
      <c r="D544" s="10" t="str">
        <f>IFERROR(__xludf.DUMMYFUNCTION("""COMPUTED_VALUE"""),"jamia masjid  Habib ullah shah bagdadi ")</f>
        <v>jamia masjid  Habib ullah shah bagdadi </v>
      </c>
      <c r="E544" s="10" t="str">
        <f>IFERROR(__xludf.DUMMYFUNCTION("""COMPUTED_VALUE"""),"DPAXP")</f>
        <v>DPAXP</v>
      </c>
      <c r="F544" s="10">
        <f>IFERROR(__xludf.DUMMYFUNCTION("""COMPUTED_VALUE"""),208.0)</f>
        <v>208</v>
      </c>
      <c r="G544" s="10">
        <f>IFERROR(__xludf.DUMMYFUNCTION("""COMPUTED_VALUE"""),4.0)</f>
        <v>4</v>
      </c>
      <c r="H544" s="10">
        <f>IFERROR(__xludf.DUMMYFUNCTION("""COMPUTED_VALUE"""),5.0)</f>
        <v>5</v>
      </c>
      <c r="I544" s="10">
        <f>IFERROR(__xludf.DUMMYFUNCTION("""COMPUTED_VALUE"""),6.0)</f>
        <v>6</v>
      </c>
      <c r="J544" s="10"/>
      <c r="K544" s="10"/>
      <c r="L544" s="10"/>
      <c r="M544" s="10">
        <f>IFERROR(__xludf.DUMMYFUNCTION("""COMPUTED_VALUE"""),8.0)</f>
        <v>8</v>
      </c>
      <c r="N544" s="10"/>
      <c r="O544" s="10"/>
      <c r="P544" s="10"/>
      <c r="Q544" s="10"/>
      <c r="R544" s="10"/>
      <c r="S544" s="10"/>
      <c r="T544" s="10"/>
      <c r="U544" s="18" t="str">
        <f>IFERROR(__xludf.DUMMYFUNCTION("""COMPUTED_VALUE"""),"https://drive.google.com/open?id=1nRm_UrW5uDxg5x9yV3OjCmxeqlLgRUyh")</f>
        <v>https://drive.google.com/open?id=1nRm_UrW5uDxg5x9yV3OjCmxeqlLgRUyh</v>
      </c>
      <c r="V544" s="10" t="str">
        <f>IFERROR(__xludf.DUMMYFUNCTION("""COMPUTED_VALUE"""),"Nothing ")</f>
        <v>Nothing </v>
      </c>
      <c r="W544" s="10"/>
      <c r="X544" s="10"/>
      <c r="Y544" s="14" t="str">
        <f>IFERROR(__xludf.DUMMYFUNCTION("""COMPUTED_VALUE"""),"fahadsheikh4340@gmail.com")</f>
        <v>fahadsheikh4340@gmail.com</v>
      </c>
      <c r="AA544" s="324"/>
    </row>
    <row r="545" hidden="1">
      <c r="A545" s="9">
        <f>IFERROR(__xludf.DUMMYFUNCTION("""COMPUTED_VALUE"""),45877.52428344908)</f>
        <v>45877.52428</v>
      </c>
      <c r="B545" s="10" t="str">
        <f>IFERROR(__xludf.DUMMYFUNCTION("""COMPUTED_VALUE"""),"خالد محمود")</f>
        <v>خالد محمود</v>
      </c>
      <c r="C545" s="10" t="str">
        <f>IFERROR(__xludf.DUMMYFUNCTION("""COMPUTED_VALUE"""),"03005249027")</f>
        <v>03005249027</v>
      </c>
      <c r="D545" s="10" t="str">
        <f>IFERROR(__xludf.DUMMYFUNCTION("""COMPUTED_VALUE"""),"مرکزی جامع مسجد چشتیاں")</f>
        <v>مرکزی جامع مسجد چشتیاں</v>
      </c>
      <c r="E545" s="10" t="str">
        <f>IFERROR(__xludf.DUMMYFUNCTION("""COMPUTED_VALUE"""),"YBTBU")</f>
        <v>YBTBU</v>
      </c>
      <c r="F545" s="10">
        <f>IFERROR(__xludf.DUMMYFUNCTION("""COMPUTED_VALUE"""),765.0)</f>
        <v>765</v>
      </c>
      <c r="G545" s="10">
        <f>IFERROR(__xludf.DUMMYFUNCTION("""COMPUTED_VALUE"""),9.0)</f>
        <v>9</v>
      </c>
      <c r="H545" s="10">
        <f>IFERROR(__xludf.DUMMYFUNCTION("""COMPUTED_VALUE"""),8.0)</f>
        <v>8</v>
      </c>
      <c r="I545" s="10">
        <f>IFERROR(__xludf.DUMMYFUNCTION("""COMPUTED_VALUE"""),3.0)</f>
        <v>3</v>
      </c>
      <c r="J545" s="10"/>
      <c r="K545" s="10"/>
      <c r="L545" s="10"/>
      <c r="M545" s="10">
        <f>IFERROR(__xludf.DUMMYFUNCTION("""COMPUTED_VALUE"""),9.0)</f>
        <v>9</v>
      </c>
      <c r="N545" s="10"/>
      <c r="O545" s="10"/>
      <c r="P545" s="10"/>
      <c r="Q545" s="10"/>
      <c r="R545" s="10"/>
      <c r="S545" s="10"/>
      <c r="T545" s="10"/>
      <c r="U545" s="18" t="str">
        <f>IFERROR(__xludf.DUMMYFUNCTION("""COMPUTED_VALUE"""),"https://drive.google.com/open?id=17Ka7gilPTwI_7ggO9bAIBJikFOVBZi26")</f>
        <v>https://drive.google.com/open?id=17Ka7gilPTwI_7ggO9bAIBJikFOVBZi26</v>
      </c>
      <c r="V545" s="10"/>
      <c r="W545" s="10"/>
      <c r="X545" s="10"/>
      <c r="Y545" s="14" t="str">
        <f>IFERROR(__xludf.DUMMYFUNCTION("""COMPUTED_VALUE"""),"ayyankhalidctn@gmail.com")</f>
        <v>ayyankhalidctn@gmail.com</v>
      </c>
      <c r="AA545" s="324"/>
    </row>
    <row r="546" hidden="1">
      <c r="A546" s="9">
        <f>IFERROR(__xludf.DUMMYFUNCTION("""COMPUTED_VALUE"""),45877.5272833912)</f>
        <v>45877.52728</v>
      </c>
      <c r="B546" s="10" t="str">
        <f>IFERROR(__xludf.DUMMYFUNCTION("""COMPUTED_VALUE"""),"wasim abbas")</f>
        <v>wasim abbas</v>
      </c>
      <c r="C546" s="10" t="str">
        <f>IFERROR(__xludf.DUMMYFUNCTION("""COMPUTED_VALUE"""),"03005249027")</f>
        <v>03005249027</v>
      </c>
      <c r="D546" s="10" t="str">
        <f>IFERROR(__xludf.DUMMYFUNCTION("""COMPUTED_VALUE"""),"Jamia Masjid Azeem Ul Din Dolat Gate Multan")</f>
        <v>Jamia Masjid Azeem Ul Din Dolat Gate Multan</v>
      </c>
      <c r="E546" s="10" t="str">
        <f>IFERROR(__xludf.DUMMYFUNCTION("""COMPUTED_VALUE"""),"PXSPV")</f>
        <v>PXSPV</v>
      </c>
      <c r="F546" s="10">
        <f>IFERROR(__xludf.DUMMYFUNCTION("""COMPUTED_VALUE"""),35.0)</f>
        <v>35</v>
      </c>
      <c r="G546" s="10">
        <f>IFERROR(__xludf.DUMMYFUNCTION("""COMPUTED_VALUE"""),8.0)</f>
        <v>8</v>
      </c>
      <c r="H546" s="10">
        <f>IFERROR(__xludf.DUMMYFUNCTION("""COMPUTED_VALUE"""),9.0)</f>
        <v>9</v>
      </c>
      <c r="I546" s="10">
        <f>IFERROR(__xludf.DUMMYFUNCTION("""COMPUTED_VALUE"""),0.0)</f>
        <v>0</v>
      </c>
      <c r="J546" s="10"/>
      <c r="K546" s="10"/>
      <c r="L546" s="10"/>
      <c r="M546" s="10">
        <f>IFERROR(__xludf.DUMMYFUNCTION("""COMPUTED_VALUE"""),8.0)</f>
        <v>8</v>
      </c>
      <c r="N546" s="10"/>
      <c r="O546" s="10"/>
      <c r="P546" s="10"/>
      <c r="Q546" s="10"/>
      <c r="R546" s="10"/>
      <c r="S546" s="10"/>
      <c r="T546" s="10"/>
      <c r="U546" s="18" t="str">
        <f>IFERROR(__xludf.DUMMYFUNCTION("""COMPUTED_VALUE"""),"https://drive.google.com/file/d/1VLXGY97C_NxEz_5oKnop6XDp0oXIxF6v/view?usp=drive_link")</f>
        <v>https://drive.google.com/file/d/1VLXGY97C_NxEz_5oKnop6XDp0oXIxF6v/view?usp=drive_link</v>
      </c>
      <c r="V546" s="10"/>
      <c r="W546" s="10"/>
      <c r="X546" s="10"/>
      <c r="Y546" s="14" t="str">
        <f>IFERROR(__xludf.DUMMYFUNCTION("""COMPUTED_VALUE"""),"ayyankhalidctn@gmail.com")</f>
        <v>ayyankhalidctn@gmail.com</v>
      </c>
      <c r="AA546" s="324"/>
    </row>
    <row r="547" hidden="1">
      <c r="A547" s="9">
        <f>IFERROR(__xludf.DUMMYFUNCTION("""COMPUTED_VALUE"""),45877.54599082176)</f>
        <v>45877.54599</v>
      </c>
      <c r="B547" s="10" t="str">
        <f>IFERROR(__xludf.DUMMYFUNCTION("""COMPUTED_VALUE"""),"M Ibrar ")</f>
        <v>M Ibrar </v>
      </c>
      <c r="C547" s="10" t="str">
        <f>IFERROR(__xludf.DUMMYFUNCTION("""COMPUTED_VALUE"""),"03057550824")</f>
        <v>03057550824</v>
      </c>
      <c r="D547" s="10" t="str">
        <f>IFERROR(__xludf.DUMMYFUNCTION("""COMPUTED_VALUE"""),"Jamia masjid qasba murral Multan ")</f>
        <v>Jamia masjid qasba murral Multan </v>
      </c>
      <c r="E547" s="10" t="str">
        <f>IFERROR(__xludf.DUMMYFUNCTION("""COMPUTED_VALUE"""),"JSPGW")</f>
        <v>JSPGW</v>
      </c>
      <c r="F547" s="10">
        <f>IFERROR(__xludf.DUMMYFUNCTION("""COMPUTED_VALUE"""),167.0)</f>
        <v>167</v>
      </c>
      <c r="G547" s="10">
        <f>IFERROR(__xludf.DUMMYFUNCTION("""COMPUTED_VALUE"""),4.0)</f>
        <v>4</v>
      </c>
      <c r="H547" s="10">
        <f>IFERROR(__xludf.DUMMYFUNCTION("""COMPUTED_VALUE"""),4.0)</f>
        <v>4</v>
      </c>
      <c r="I547" s="10">
        <f>IFERROR(__xludf.DUMMYFUNCTION("""COMPUTED_VALUE"""),9.0)</f>
        <v>9</v>
      </c>
      <c r="J547" s="10"/>
      <c r="K547" s="10"/>
      <c r="L547" s="10"/>
      <c r="M547" s="10">
        <f>IFERROR(__xludf.DUMMYFUNCTION("""COMPUTED_VALUE"""),8.0)</f>
        <v>8</v>
      </c>
      <c r="N547" s="10"/>
      <c r="O547" s="10"/>
      <c r="P547" s="10"/>
      <c r="Q547" s="10"/>
      <c r="R547" s="10"/>
      <c r="S547" s="10"/>
      <c r="T547" s="10"/>
      <c r="U547" s="18" t="str">
        <f>IFERROR(__xludf.DUMMYFUNCTION("""COMPUTED_VALUE"""),"https://drive.google.com/open?id=1DFnbat9h4RBHHJLX_kahBqvgCRoZ1MKB")</f>
        <v>https://drive.google.com/open?id=1DFnbat9h4RBHHJLX_kahBqvgCRoZ1MKB</v>
      </c>
      <c r="V547" s="10"/>
      <c r="W547" s="10"/>
      <c r="X547" s="10"/>
      <c r="Y547" s="14" t="str">
        <f>IFERROR(__xludf.DUMMYFUNCTION("""COMPUTED_VALUE"""),"rameezibrar7@gmail.com")</f>
        <v>rameezibrar7@gmail.com</v>
      </c>
      <c r="AA547" s="324"/>
    </row>
    <row r="548" hidden="1">
      <c r="A548" s="9">
        <f>IFERROR(__xludf.DUMMYFUNCTION("""COMPUTED_VALUE"""),45877.87121899305)</f>
        <v>45877.87122</v>
      </c>
      <c r="B548" s="10" t="str">
        <f>IFERROR(__xludf.DUMMYFUNCTION("""COMPUTED_VALUE"""),"Muhammad Sajid ")</f>
        <v>Muhammad Sajid </v>
      </c>
      <c r="C548" s="10" t="str">
        <f>IFERROR(__xludf.DUMMYFUNCTION("""COMPUTED_VALUE"""),"03009817016")</f>
        <v>03009817016</v>
      </c>
      <c r="D548" s="10" t="str">
        <f>IFERROR(__xludf.DUMMYFUNCTION("""COMPUTED_VALUE"""),"Jamia masjid kale mandi ")</f>
        <v>Jamia masjid kale mandi </v>
      </c>
      <c r="E548" s="10" t="str">
        <f>IFERROR(__xludf.DUMMYFUNCTION("""COMPUTED_VALUE"""),"PFFES")</f>
        <v>PFFES</v>
      </c>
      <c r="F548" s="10">
        <f>IFERROR(__xludf.DUMMYFUNCTION("""COMPUTED_VALUE"""),137.0)</f>
        <v>137</v>
      </c>
      <c r="G548" s="10">
        <f>IFERROR(__xludf.DUMMYFUNCTION("""COMPUTED_VALUE"""),8.0)</f>
        <v>8</v>
      </c>
      <c r="H548" s="10">
        <f>IFERROR(__xludf.DUMMYFUNCTION("""COMPUTED_VALUE"""),9.0)</f>
        <v>9</v>
      </c>
      <c r="I548" s="10">
        <f>IFERROR(__xludf.DUMMYFUNCTION("""COMPUTED_VALUE"""),1.0)</f>
        <v>1</v>
      </c>
      <c r="J548" s="10"/>
      <c r="K548" s="10"/>
      <c r="L548" s="10"/>
      <c r="M548" s="10">
        <f>IFERROR(__xludf.DUMMYFUNCTION("""COMPUTED_VALUE"""),8.0)</f>
        <v>8</v>
      </c>
      <c r="N548" s="10"/>
      <c r="O548" s="10"/>
      <c r="P548" s="10"/>
      <c r="Q548" s="10"/>
      <c r="R548" s="10"/>
      <c r="S548" s="10"/>
      <c r="T548" s="10"/>
      <c r="U548" s="18" t="str">
        <f>IFERROR(__xludf.DUMMYFUNCTION("""COMPUTED_VALUE"""),"https://drive.google.com/open?id=14uHKee9D5wQ_xZ5CVDHVfHU6HcOgEzEV")</f>
        <v>https://drive.google.com/open?id=14uHKee9D5wQ_xZ5CVDHVfHU6HcOgEzEV</v>
      </c>
      <c r="V548" s="10"/>
      <c r="W548" s="10"/>
      <c r="X548" s="10"/>
      <c r="Y548" s="14" t="str">
        <f>IFERROR(__xludf.DUMMYFUNCTION("""COMPUTED_VALUE"""),"sajidshahzad88@gmail.com")</f>
        <v>sajidshahzad88@gmail.com</v>
      </c>
      <c r="AA548" s="324"/>
    </row>
    <row r="549" hidden="1">
      <c r="A549" s="9">
        <f>IFERROR(__xludf.DUMMYFUNCTION("""COMPUTED_VALUE"""),45877.87624413194)</f>
        <v>45877.87624</v>
      </c>
      <c r="B549" s="10" t="str">
        <f>IFERROR(__xludf.DUMMYFUNCTION("""COMPUTED_VALUE"""),"Muhammad Sajid ")</f>
        <v>Muhammad Sajid </v>
      </c>
      <c r="C549" s="10" t="str">
        <f>IFERROR(__xludf.DUMMYFUNCTION("""COMPUTED_VALUE"""),"03009817016")</f>
        <v>03009817016</v>
      </c>
      <c r="D549" s="10" t="str">
        <f>IFERROR(__xludf.DUMMYFUNCTION("""COMPUTED_VALUE"""),"Jamia masjid phongran wali chowk Bazar ")</f>
        <v>Jamia masjid phongran wali chowk Bazar </v>
      </c>
      <c r="E549" s="10" t="str">
        <f>IFERROR(__xludf.DUMMYFUNCTION("""COMPUTED_VALUE"""),"VREAU")</f>
        <v>VREAU</v>
      </c>
      <c r="F549" s="10">
        <f>IFERROR(__xludf.DUMMYFUNCTION("""COMPUTED_VALUE"""),57.0)</f>
        <v>57</v>
      </c>
      <c r="G549" s="10">
        <f>IFERROR(__xludf.DUMMYFUNCTION("""COMPUTED_VALUE"""),7.0)</f>
        <v>7</v>
      </c>
      <c r="H549" s="10">
        <f>IFERROR(__xludf.DUMMYFUNCTION("""COMPUTED_VALUE"""),7.0)</f>
        <v>7</v>
      </c>
      <c r="I549" s="10">
        <f>IFERROR(__xludf.DUMMYFUNCTION("""COMPUTED_VALUE"""),3.0)</f>
        <v>3</v>
      </c>
      <c r="J549" s="10"/>
      <c r="K549" s="10"/>
      <c r="L549" s="10"/>
      <c r="M549" s="10">
        <f>IFERROR(__xludf.DUMMYFUNCTION("""COMPUTED_VALUE"""),8.0)</f>
        <v>8</v>
      </c>
      <c r="N549" s="10"/>
      <c r="O549" s="10"/>
      <c r="P549" s="10"/>
      <c r="Q549" s="10"/>
      <c r="R549" s="10"/>
      <c r="S549" s="10"/>
      <c r="T549" s="10"/>
      <c r="U549" s="18" t="str">
        <f>IFERROR(__xludf.DUMMYFUNCTION("""COMPUTED_VALUE"""),"https://drive.google.com/open?id=1tiAA17pFz5VV6GX6grByAdaZv33SozyJ")</f>
        <v>https://drive.google.com/open?id=1tiAA17pFz5VV6GX6grByAdaZv33SozyJ</v>
      </c>
      <c r="V549" s="10" t="str">
        <f>IFERROR(__xludf.DUMMYFUNCTION("""COMPUTED_VALUE"""),"No")</f>
        <v>No</v>
      </c>
      <c r="W549" s="10"/>
      <c r="X549" s="10"/>
      <c r="Y549" s="14" t="str">
        <f>IFERROR(__xludf.DUMMYFUNCTION("""COMPUTED_VALUE"""),"sajidshahzad88@gmail.com")</f>
        <v>sajidshahzad88@gmail.com</v>
      </c>
      <c r="AA549" s="324"/>
    </row>
    <row r="550" hidden="1">
      <c r="A550" s="9">
        <f>IFERROR(__xludf.DUMMYFUNCTION("""COMPUTED_VALUE"""),45878.188080023145)</f>
        <v>45878.18808</v>
      </c>
      <c r="B550" s="10" t="str">
        <f>IFERROR(__xludf.DUMMYFUNCTION("""COMPUTED_VALUE"""),"Muhammed waseem abbas ")</f>
        <v>Muhammed waseem abbas </v>
      </c>
      <c r="C550" s="10" t="str">
        <f>IFERROR(__xludf.DUMMYFUNCTION("""COMPUTED_VALUE"""),"03313211092")</f>
        <v>03313211092</v>
      </c>
      <c r="D550" s="10" t="str">
        <f>IFERROR(__xludf.DUMMYFUNCTION("""COMPUTED_VALUE"""),"Jamia masjid bahadeen zakria multan ")</f>
        <v>Jamia masjid bahadeen zakria multan </v>
      </c>
      <c r="E550" s="10" t="str">
        <f>IFERROR(__xludf.DUMMYFUNCTION("""COMPUTED_VALUE"""),"OQJMO")</f>
        <v>OQJMO</v>
      </c>
      <c r="F550" s="10">
        <f>IFERROR(__xludf.DUMMYFUNCTION("""COMPUTED_VALUE"""),85.0)</f>
        <v>85</v>
      </c>
      <c r="G550" s="10">
        <f>IFERROR(__xludf.DUMMYFUNCTION("""COMPUTED_VALUE"""),10.0)</f>
        <v>10</v>
      </c>
      <c r="H550" s="10">
        <f>IFERROR(__xludf.DUMMYFUNCTION("""COMPUTED_VALUE"""),10.0)</f>
        <v>10</v>
      </c>
      <c r="I550" s="10">
        <f>IFERROR(__xludf.DUMMYFUNCTION("""COMPUTED_VALUE"""),1.0)</f>
        <v>1</v>
      </c>
      <c r="J550" s="10"/>
      <c r="K550" s="10"/>
      <c r="L550" s="10"/>
      <c r="M550" s="10">
        <f>IFERROR(__xludf.DUMMYFUNCTION("""COMPUTED_VALUE"""),9.0)</f>
        <v>9</v>
      </c>
      <c r="N550" s="10"/>
      <c r="O550" s="10"/>
      <c r="P550" s="10"/>
      <c r="Q550" s="10"/>
      <c r="R550" s="10"/>
      <c r="S550" s="10"/>
      <c r="T550" s="10"/>
      <c r="U550" s="18" t="str">
        <f>IFERROR(__xludf.DUMMYFUNCTION("""COMPUTED_VALUE"""),"https://drive.google.com/open?id=1ROafTaKO9KVl480L_Tn6B1i07MSJTv20")</f>
        <v>https://drive.google.com/open?id=1ROafTaKO9KVl480L_Tn6B1i07MSJTv20</v>
      </c>
      <c r="V550" s="10"/>
      <c r="W550" s="10"/>
      <c r="X550" s="10"/>
      <c r="Y550" s="14" t="str">
        <f>IFERROR(__xludf.DUMMYFUNCTION("""COMPUTED_VALUE"""),"haiderwasem@gmail.com")</f>
        <v>haiderwasem@gmail.com</v>
      </c>
      <c r="AA550" s="324"/>
    </row>
    <row r="551" hidden="1">
      <c r="A551" s="9">
        <f>IFERROR(__xludf.DUMMYFUNCTION("""COMPUTED_VALUE"""),45878.46949971065)</f>
        <v>45878.4695</v>
      </c>
      <c r="B551" s="10" t="str">
        <f>IFERROR(__xludf.DUMMYFUNCTION("""COMPUTED_VALUE"""),"Dilawar Hussain")</f>
        <v>Dilawar Hussain</v>
      </c>
      <c r="C551" s="10" t="str">
        <f>IFERROR(__xludf.DUMMYFUNCTION("""COMPUTED_VALUE"""),"03346055136")</f>
        <v>03346055136</v>
      </c>
      <c r="D551" s="10" t="str">
        <f>IFERROR(__xludf.DUMMYFUNCTION("""COMPUTED_VALUE"""),"Darbar Hazarat Sakhi sarwar ")</f>
        <v>Darbar Hazarat Sakhi sarwar </v>
      </c>
      <c r="E551" s="10" t="str">
        <f>IFERROR(__xludf.DUMMYFUNCTION("""COMPUTED_VALUE"""),"JHZJG")</f>
        <v>JHZJG</v>
      </c>
      <c r="F551" s="10">
        <f>IFERROR(__xludf.DUMMYFUNCTION("""COMPUTED_VALUE"""),650.0)</f>
        <v>650</v>
      </c>
      <c r="G551" s="10">
        <f>IFERROR(__xludf.DUMMYFUNCTION("""COMPUTED_VALUE"""),4.0)</f>
        <v>4</v>
      </c>
      <c r="H551" s="10">
        <f>IFERROR(__xludf.DUMMYFUNCTION("""COMPUTED_VALUE"""),4.0)</f>
        <v>4</v>
      </c>
      <c r="I551" s="10">
        <f>IFERROR(__xludf.DUMMYFUNCTION("""COMPUTED_VALUE"""),10.0)</f>
        <v>10</v>
      </c>
      <c r="J551" s="10"/>
      <c r="K551" s="10"/>
      <c r="L551" s="10"/>
      <c r="M551" s="10">
        <f>IFERROR(__xludf.DUMMYFUNCTION("""COMPUTED_VALUE"""),7.0)</f>
        <v>7</v>
      </c>
      <c r="N551" s="10"/>
      <c r="O551" s="10"/>
      <c r="P551" s="10"/>
      <c r="Q551" s="10"/>
      <c r="R551" s="10"/>
      <c r="S551" s="10"/>
      <c r="T551" s="10"/>
      <c r="U551" s="18" t="str">
        <f>IFERROR(__xludf.DUMMYFUNCTION("""COMPUTED_VALUE"""),"https://drive.google.com/file/d/1EIMNx7wSIQN2DXBB46g59TN2msyrm9O9/view?usp=drive_link")</f>
        <v>https://drive.google.com/file/d/1EIMNx7wSIQN2DXBB46g59TN2msyrm9O9/view?usp=drive_link</v>
      </c>
      <c r="V551" s="10"/>
      <c r="W551" s="10"/>
      <c r="X551" s="10"/>
      <c r="Y551" s="14" t="str">
        <f>IFERROR(__xludf.DUMMYFUNCTION("""COMPUTED_VALUE"""),"meerdilawarhussainkhan@gmail.com")</f>
        <v>meerdilawarhussainkhan@gmail.com</v>
      </c>
      <c r="AA551" s="324"/>
    </row>
    <row r="552" hidden="1">
      <c r="A552" s="9">
        <f>IFERROR(__xludf.DUMMYFUNCTION("""COMPUTED_VALUE"""),45878.482161458334)</f>
        <v>45878.48216</v>
      </c>
      <c r="B552" s="10" t="str">
        <f>IFERROR(__xludf.DUMMYFUNCTION("""COMPUTED_VALUE"""),"Ahmad Ijaz")</f>
        <v>Ahmad Ijaz</v>
      </c>
      <c r="C552" s="10" t="str">
        <f>IFERROR(__xludf.DUMMYFUNCTION("""COMPUTED_VALUE"""),"03141638792")</f>
        <v>03141638792</v>
      </c>
      <c r="D552" s="10" t="str">
        <f>IFERROR(__xludf.DUMMYFUNCTION("""COMPUTED_VALUE"""),"Jamia Masjid Darbar Sahki Shah Habib ")</f>
        <v>Jamia Masjid Darbar Sahki Shah Habib </v>
      </c>
      <c r="E552" s="10" t="str">
        <f>IFERROR(__xludf.DUMMYFUNCTION("""COMPUTED_VALUE"""),"TJBAX ")</f>
        <v>TJBAX </v>
      </c>
      <c r="F552" s="10">
        <f>IFERROR(__xludf.DUMMYFUNCTION("""COMPUTED_VALUE"""),187.0)</f>
        <v>187</v>
      </c>
      <c r="G552" s="10">
        <f>IFERROR(__xludf.DUMMYFUNCTION("""COMPUTED_VALUE"""),9.0)</f>
        <v>9</v>
      </c>
      <c r="H552" s="10">
        <f>IFERROR(__xludf.DUMMYFUNCTION("""COMPUTED_VALUE"""),9.0)</f>
        <v>9</v>
      </c>
      <c r="I552" s="10" t="str">
        <f>IFERROR(__xludf.DUMMYFUNCTION("""COMPUTED_VALUE"""),"Nothing ")</f>
        <v>Nothing </v>
      </c>
      <c r="J552" s="10"/>
      <c r="K552" s="10"/>
      <c r="L552" s="10"/>
      <c r="M552" s="10">
        <f>IFERROR(__xludf.DUMMYFUNCTION("""COMPUTED_VALUE"""),10.0)</f>
        <v>10</v>
      </c>
      <c r="N552" s="10"/>
      <c r="O552" s="10"/>
      <c r="P552" s="10"/>
      <c r="Q552" s="10"/>
      <c r="R552" s="10"/>
      <c r="S552" s="10"/>
      <c r="T552" s="10"/>
      <c r="U552" s="18" t="str">
        <f>IFERROR(__xludf.DUMMYFUNCTION("""COMPUTED_VALUE"""),"https://drive.google.com/open?id=1J3FWBKpXp-r_o-LmGr4YKw6CfFGXllxr")</f>
        <v>https://drive.google.com/open?id=1J3FWBKpXp-r_o-LmGr4YKw6CfFGXllxr</v>
      </c>
      <c r="V552" s="10"/>
      <c r="W552" s="10"/>
      <c r="X552" s="10"/>
      <c r="Y552" s="14" t="str">
        <f>IFERROR(__xludf.DUMMYFUNCTION("""COMPUTED_VALUE"""),"qhmadikhan@gmail.com")</f>
        <v>qhmadikhan@gmail.com</v>
      </c>
      <c r="AA552" s="324"/>
    </row>
    <row r="553" hidden="1">
      <c r="A553" s="9">
        <f>IFERROR(__xludf.DUMMYFUNCTION("""COMPUTED_VALUE"""),45878.48562375)</f>
        <v>45878.48562</v>
      </c>
      <c r="B553" s="10" t="str">
        <f>IFERROR(__xludf.DUMMYFUNCTION("""COMPUTED_VALUE"""),"Sheraz Ali Faraz ")</f>
        <v>Sheraz Ali Faraz </v>
      </c>
      <c r="C553" s="10" t="str">
        <f>IFERROR(__xludf.DUMMYFUNCTION("""COMPUTED_VALUE"""),"03037724188")</f>
        <v>03037724188</v>
      </c>
      <c r="D553" s="10" t="str">
        <f>IFERROR(__xludf.DUMMYFUNCTION("""COMPUTED_VALUE"""),"Jammiah Masjid khunagran Wali Multan ")</f>
        <v>Jammiah Masjid khunagran Wali Multan </v>
      </c>
      <c r="E553" s="10" t="str">
        <f>IFERROR(__xludf.DUMMYFUNCTION("""COMPUTED_VALUE"""),"PGVOS ")</f>
        <v>PGVOS </v>
      </c>
      <c r="F553" s="10">
        <f>IFERROR(__xludf.DUMMYFUNCTION("""COMPUTED_VALUE"""),147.0)</f>
        <v>147</v>
      </c>
      <c r="G553" s="10">
        <f>IFERROR(__xludf.DUMMYFUNCTION("""COMPUTED_VALUE"""),8.0)</f>
        <v>8</v>
      </c>
      <c r="H553" s="10">
        <f>IFERROR(__xludf.DUMMYFUNCTION("""COMPUTED_VALUE"""),7.0)</f>
        <v>7</v>
      </c>
      <c r="I553" s="10">
        <f>IFERROR(__xludf.DUMMYFUNCTION("""COMPUTED_VALUE"""),3.0)</f>
        <v>3</v>
      </c>
      <c r="J553" s="10"/>
      <c r="K553" s="10"/>
      <c r="L553" s="10"/>
      <c r="M553" s="10">
        <f>IFERROR(__xludf.DUMMYFUNCTION("""COMPUTED_VALUE"""),7.0)</f>
        <v>7</v>
      </c>
      <c r="N553" s="10"/>
      <c r="O553" s="10"/>
      <c r="P553" s="10"/>
      <c r="Q553" s="10"/>
      <c r="R553" s="10"/>
      <c r="S553" s="10"/>
      <c r="T553" s="10"/>
      <c r="U553" s="18" t="str">
        <f>IFERROR(__xludf.DUMMYFUNCTION("""COMPUTED_VALUE"""),"https://drive.google.com/file/d/1pj5UTXzTztrspfpyJy9jPVVdzNiLpbpj/view?usp=drive_link")</f>
        <v>https://drive.google.com/file/d/1pj5UTXzTztrspfpyJy9jPVVdzNiLpbpj/view?usp=drive_link</v>
      </c>
      <c r="V553" s="10"/>
      <c r="W553" s="10"/>
      <c r="X553" s="10"/>
      <c r="Y553" s="14" t="str">
        <f>IFERROR(__xludf.DUMMYFUNCTION("""COMPUTED_VALUE"""),"sherazalifraz7788@gmail.com")</f>
        <v>sherazalifraz7788@gmail.com</v>
      </c>
      <c r="AA553" s="324"/>
    </row>
    <row r="554" hidden="1">
      <c r="A554" s="9">
        <f>IFERROR(__xludf.DUMMYFUNCTION("""COMPUTED_VALUE"""),45878.48792128472)</f>
        <v>45878.48792</v>
      </c>
      <c r="B554" s="10" t="str">
        <f>IFERROR(__xludf.DUMMYFUNCTION("""COMPUTED_VALUE"""),"Syed Zaryab Haider Bukhari ")</f>
        <v>Syed Zaryab Haider Bukhari </v>
      </c>
      <c r="C554" s="10" t="str">
        <f>IFERROR(__xludf.DUMMYFUNCTION("""COMPUTED_VALUE"""),"03060831631")</f>
        <v>03060831631</v>
      </c>
      <c r="D554" s="10" t="str">
        <f>IFERROR(__xludf.DUMMYFUNCTION("""COMPUTED_VALUE"""),"Jamia Masjid Darbar Muhammad Ali Rajan Shah Layyah ")</f>
        <v>Jamia Masjid Darbar Muhammad Ali Rajan Shah Layyah </v>
      </c>
      <c r="E554" s="10" t="str">
        <f>IFERROR(__xludf.DUMMYFUNCTION("""COMPUTED_VALUE"""),"APTDT")</f>
        <v>APTDT</v>
      </c>
      <c r="F554" s="10">
        <f>IFERROR(__xludf.DUMMYFUNCTION("""COMPUTED_VALUE"""),213.0)</f>
        <v>213</v>
      </c>
      <c r="G554" s="10">
        <f>IFERROR(__xludf.DUMMYFUNCTION("""COMPUTED_VALUE"""),8.0)</f>
        <v>8</v>
      </c>
      <c r="H554" s="10">
        <f>IFERROR(__xludf.DUMMYFUNCTION("""COMPUTED_VALUE"""),9.0)</f>
        <v>9</v>
      </c>
      <c r="I554" s="10" t="str">
        <f>IFERROR(__xludf.DUMMYFUNCTION("""COMPUTED_VALUE"""),"Zero")</f>
        <v>Zero</v>
      </c>
      <c r="J554" s="10"/>
      <c r="K554" s="10"/>
      <c r="L554" s="10"/>
      <c r="M554" s="10">
        <f>IFERROR(__xludf.DUMMYFUNCTION("""COMPUTED_VALUE"""),8.0)</f>
        <v>8</v>
      </c>
      <c r="N554" s="10"/>
      <c r="O554" s="10"/>
      <c r="P554" s="10"/>
      <c r="Q554" s="10"/>
      <c r="R554" s="10"/>
      <c r="S554" s="10"/>
      <c r="T554" s="10"/>
      <c r="U554" s="18" t="str">
        <f>IFERROR(__xludf.DUMMYFUNCTION("""COMPUTED_VALUE"""),"https://drive.google.com/open?id=1At97IzXZlLI42vGYNE7orwlAqPjzKIx_")</f>
        <v>https://drive.google.com/open?id=1At97IzXZlLI42vGYNE7orwlAqPjzKIx_</v>
      </c>
      <c r="V554" s="10"/>
      <c r="W554" s="10"/>
      <c r="X554" s="10"/>
      <c r="Y554" s="14" t="str">
        <f>IFERROR(__xludf.DUMMYFUNCTION("""COMPUTED_VALUE"""),"syedzaryab06@gmail.com")</f>
        <v>syedzaryab06@gmail.com</v>
      </c>
      <c r="AA554" s="324"/>
    </row>
    <row r="555" hidden="1">
      <c r="A555" s="9">
        <f>IFERROR(__xludf.DUMMYFUNCTION("""COMPUTED_VALUE"""),45879.174564479166)</f>
        <v>45879.17456</v>
      </c>
      <c r="B555" s="10" t="str">
        <f>IFERROR(__xludf.DUMMYFUNCTION("""COMPUTED_VALUE"""),"SajjadChoudhary ")</f>
        <v>SajjadChoudhary </v>
      </c>
      <c r="C555" s="10" t="str">
        <f>IFERROR(__xludf.DUMMYFUNCTION("""COMPUTED_VALUE"""),"03005377792")</f>
        <v>03005377792</v>
      </c>
      <c r="D555" s="10" t="str">
        <f>IFERROR(__xludf.DUMMYFUNCTION("""COMPUTED_VALUE"""),"Jamia masjid kacha kho , Khanewal ")</f>
        <v>Jamia masjid kacha kho , Khanewal </v>
      </c>
      <c r="E555" s="10" t="str">
        <f>IFERROR(__xludf.DUMMYFUNCTION("""COMPUTED_VALUE"""),"OTCCU ")</f>
        <v>OTCCU </v>
      </c>
      <c r="F555" s="10">
        <f>IFERROR(__xludf.DUMMYFUNCTION("""COMPUTED_VALUE"""),56.0)</f>
        <v>56</v>
      </c>
      <c r="G555" s="10">
        <f>IFERROR(__xludf.DUMMYFUNCTION("""COMPUTED_VALUE"""),5.0)</f>
        <v>5</v>
      </c>
      <c r="H555" s="10">
        <f>IFERROR(__xludf.DUMMYFUNCTION("""COMPUTED_VALUE"""),5.0)</f>
        <v>5</v>
      </c>
      <c r="I555" s="10">
        <f>IFERROR(__xludf.DUMMYFUNCTION("""COMPUTED_VALUE"""),5.0)</f>
        <v>5</v>
      </c>
      <c r="J555" s="10"/>
      <c r="K555" s="10"/>
      <c r="L555" s="10"/>
      <c r="M555" s="10">
        <f>IFERROR(__xludf.DUMMYFUNCTION("""COMPUTED_VALUE"""),7.0)</f>
        <v>7</v>
      </c>
      <c r="N555" s="10"/>
      <c r="O555" s="10"/>
      <c r="P555" s="10"/>
      <c r="Q555" s="10"/>
      <c r="R555" s="10"/>
      <c r="S555" s="10"/>
      <c r="T555" s="10"/>
      <c r="U555" s="18" t="str">
        <f>IFERROR(__xludf.DUMMYFUNCTION("""COMPUTED_VALUE"""),"https://drive.google.com/open?id=11Crq4t3RWNUtrn4UIKwYvNMjJZ2_HN8Z")</f>
        <v>https://drive.google.com/open?id=11Crq4t3RWNUtrn4UIKwYvNMjJZ2_HN8Z</v>
      </c>
      <c r="V555" s="10" t="str">
        <f>IFERROR(__xludf.DUMMYFUNCTION("""COMPUTED_VALUE"""),"Nil")</f>
        <v>Nil</v>
      </c>
      <c r="W555" s="10"/>
      <c r="X555" s="10"/>
      <c r="Y555" s="14" t="str">
        <f>IFERROR(__xludf.DUMMYFUNCTION("""COMPUTED_VALUE"""),"sajjadch9215@gmail.com")</f>
        <v>sajjadch9215@gmail.com</v>
      </c>
      <c r="AA555" s="324"/>
    </row>
    <row r="556" hidden="1">
      <c r="A556" s="9">
        <f>IFERROR(__xludf.DUMMYFUNCTION("""COMPUTED_VALUE"""),45879.45005866898)</f>
        <v>45879.45006</v>
      </c>
      <c r="B556" s="10" t="str">
        <f>IFERROR(__xludf.DUMMYFUNCTION("""COMPUTED_VALUE"""),"محمد عرفان اکرم")</f>
        <v>محمد عرفان اکرم</v>
      </c>
      <c r="C556" s="10" t="str">
        <f>IFERROR(__xludf.DUMMYFUNCTION("""COMPUTED_VALUE"""),"03065345047")</f>
        <v>03065345047</v>
      </c>
      <c r="D556" s="10" t="str">
        <f>IFERROR(__xludf.DUMMYFUNCTION("""COMPUTED_VALUE"""),"جامع مسجد سراجاں حسین آگاہی ملتان")</f>
        <v>جامع مسجد سراجاں حسین آگاہی ملتان</v>
      </c>
      <c r="E556" s="10" t="str">
        <f>IFERROR(__xludf.DUMMYFUNCTION("""COMPUTED_VALUE"""),"YNBEH")</f>
        <v>YNBEH</v>
      </c>
      <c r="F556" s="10">
        <f>IFERROR(__xludf.DUMMYFUNCTION("""COMPUTED_VALUE"""),255.0)</f>
        <v>255</v>
      </c>
      <c r="G556" s="10">
        <f>IFERROR(__xludf.DUMMYFUNCTION("""COMPUTED_VALUE"""),9.0)</f>
        <v>9</v>
      </c>
      <c r="H556" s="10">
        <f>IFERROR(__xludf.DUMMYFUNCTION("""COMPUTED_VALUE"""),9.0)</f>
        <v>9</v>
      </c>
      <c r="I556" s="10" t="str">
        <f>IFERROR(__xludf.DUMMYFUNCTION("""COMPUTED_VALUE"""),"کوئی نہیں")</f>
        <v>کوئی نہیں</v>
      </c>
      <c r="J556" s="10"/>
      <c r="K556" s="10"/>
      <c r="L556" s="10"/>
      <c r="M556" s="10">
        <f>IFERROR(__xludf.DUMMYFUNCTION("""COMPUTED_VALUE"""),8.0)</f>
        <v>8</v>
      </c>
      <c r="N556" s="10"/>
      <c r="O556" s="10"/>
      <c r="P556" s="10"/>
      <c r="Q556" s="10"/>
      <c r="R556" s="10"/>
      <c r="S556" s="10"/>
      <c r="T556" s="10"/>
      <c r="U556" s="18" t="str">
        <f>IFERROR(__xludf.DUMMYFUNCTION("""COMPUTED_VALUE"""),"https://drive.google.com/file/d/1Ug8VP292w5tvDKxeTjdSG1E-f2-uV_Em/view?usp=drive_link")</f>
        <v>https://drive.google.com/file/d/1Ug8VP292w5tvDKxeTjdSG1E-f2-uV_Em/view?usp=drive_link</v>
      </c>
      <c r="V556" s="10"/>
      <c r="W556" s="10"/>
      <c r="X556" s="10"/>
      <c r="Y556" s="14" t="str">
        <f>IFERROR(__xludf.DUMMYFUNCTION("""COMPUTED_VALUE"""),"akramif472@gmail.com")</f>
        <v>akramif472@gmail.com</v>
      </c>
      <c r="AA556" s="324"/>
    </row>
    <row r="557" hidden="1">
      <c r="A557" s="9">
        <f>IFERROR(__xludf.DUMMYFUNCTION("""COMPUTED_VALUE"""),45879.475055636576)</f>
        <v>45879.47506</v>
      </c>
      <c r="B557" s="10" t="str">
        <f>IFERROR(__xludf.DUMMYFUNCTION("""COMPUTED_VALUE"""),"Abdul Razaq")</f>
        <v>Abdul Razaq</v>
      </c>
      <c r="C557" s="10" t="str">
        <f>IFERROR(__xludf.DUMMYFUNCTION("""COMPUTED_VALUE"""),"03417785569")</f>
        <v>03417785569</v>
      </c>
      <c r="D557" s="10" t="str">
        <f>IFERROR(__xludf.DUMMYFUNCTION("""COMPUTED_VALUE"""),"Jamia Masjid Darbar Shah Sadar Din ")</f>
        <v>Jamia Masjid Darbar Shah Sadar Din </v>
      </c>
      <c r="E557" s="10" t="str">
        <f>IFERROR(__xludf.DUMMYFUNCTION("""COMPUTED_VALUE"""),"KCAXS")</f>
        <v>KCAXS</v>
      </c>
      <c r="F557" s="10">
        <f>IFERROR(__xludf.DUMMYFUNCTION("""COMPUTED_VALUE"""),587.0)</f>
        <v>587</v>
      </c>
      <c r="G557" s="10">
        <f>IFERROR(__xludf.DUMMYFUNCTION("""COMPUTED_VALUE"""),9.0)</f>
        <v>9</v>
      </c>
      <c r="H557" s="10">
        <f>IFERROR(__xludf.DUMMYFUNCTION("""COMPUTED_VALUE"""),7.0)</f>
        <v>7</v>
      </c>
      <c r="I557" s="10">
        <f>IFERROR(__xludf.DUMMYFUNCTION("""COMPUTED_VALUE"""),3.0)</f>
        <v>3</v>
      </c>
      <c r="J557" s="10"/>
      <c r="K557" s="10"/>
      <c r="L557" s="10"/>
      <c r="M557" s="10">
        <f>IFERROR(__xludf.DUMMYFUNCTION("""COMPUTED_VALUE"""),4.0)</f>
        <v>4</v>
      </c>
      <c r="N557" s="10"/>
      <c r="O557" s="10"/>
      <c r="P557" s="10"/>
      <c r="Q557" s="10"/>
      <c r="R557" s="10"/>
      <c r="S557" s="10"/>
      <c r="T557" s="10"/>
      <c r="U557" s="18" t="str">
        <f>IFERROR(__xludf.DUMMYFUNCTION("""COMPUTED_VALUE"""),"https://drive.google.com/file/d/1yXbJAKKhAQGPp3Ouwb_22z-2gufLiNcj/view?usp=drive_link")</f>
        <v>https://drive.google.com/file/d/1yXbJAKKhAQGPp3Ouwb_22z-2gufLiNcj/view?usp=drive_link</v>
      </c>
      <c r="V557" s="10"/>
      <c r="W557" s="10"/>
      <c r="X557" s="10"/>
      <c r="Y557" s="14" t="str">
        <f>IFERROR(__xludf.DUMMYFUNCTION("""COMPUTED_VALUE"""),"aamirrashid007@gmail.com")</f>
        <v>aamirrashid007@gmail.com</v>
      </c>
      <c r="AA557" s="324"/>
    </row>
    <row r="558" hidden="1">
      <c r="A558" s="9">
        <f>IFERROR(__xludf.DUMMYFUNCTION("""COMPUTED_VALUE"""),45879.600056689815)</f>
        <v>45879.60006</v>
      </c>
      <c r="B558" s="10" t="str">
        <f>IFERROR(__xludf.DUMMYFUNCTION("""COMPUTED_VALUE"""),"M.usama Hanan")</f>
        <v>M.usama Hanan</v>
      </c>
      <c r="C558" s="10" t="str">
        <f>IFERROR(__xludf.DUMMYFUNCTION("""COMPUTED_VALUE"""),"03088678762")</f>
        <v>03088678762</v>
      </c>
      <c r="D558" s="10" t="str">
        <f>IFERROR(__xludf.DUMMYFUNCTION("""COMPUTED_VALUE"""),"Jamia masjid sarai ghulam rasool ")</f>
        <v>Jamia masjid sarai ghulam rasool </v>
      </c>
      <c r="E558" s="10" t="str">
        <f>IFERROR(__xludf.DUMMYFUNCTION("""COMPUTED_VALUE"""),"Jbeid")</f>
        <v>Jbeid</v>
      </c>
      <c r="F558" s="10">
        <f>IFERROR(__xludf.DUMMYFUNCTION("""COMPUTED_VALUE"""),93.0)</f>
        <v>93</v>
      </c>
      <c r="G558" s="10">
        <f>IFERROR(__xludf.DUMMYFUNCTION("""COMPUTED_VALUE"""),6.0)</f>
        <v>6</v>
      </c>
      <c r="H558" s="10">
        <f>IFERROR(__xludf.DUMMYFUNCTION("""COMPUTED_VALUE"""),5.0)</f>
        <v>5</v>
      </c>
      <c r="I558" s="10">
        <f>IFERROR(__xludf.DUMMYFUNCTION("""COMPUTED_VALUE"""),6.0)</f>
        <v>6</v>
      </c>
      <c r="J558" s="10"/>
      <c r="K558" s="10"/>
      <c r="L558" s="10"/>
      <c r="M558" s="10">
        <f>IFERROR(__xludf.DUMMYFUNCTION("""COMPUTED_VALUE"""),9.0)</f>
        <v>9</v>
      </c>
      <c r="N558" s="10"/>
      <c r="O558" s="10"/>
      <c r="P558" s="10"/>
      <c r="Q558" s="10"/>
      <c r="R558" s="10"/>
      <c r="S558" s="10"/>
      <c r="T558" s="10"/>
      <c r="U558" s="18" t="str">
        <f>IFERROR(__xludf.DUMMYFUNCTION("""COMPUTED_VALUE"""),"https://drive.google.com/open?id=1OQqyFPKFkQm-4uXgDu_vd88fP98DrGIR")</f>
        <v>https://drive.google.com/open?id=1OQqyFPKFkQm-4uXgDu_vd88fP98DrGIR</v>
      </c>
      <c r="V558" s="10" t="str">
        <f>IFERROR(__xludf.DUMMYFUNCTION("""COMPUTED_VALUE"""),"Nothing ")</f>
        <v>Nothing </v>
      </c>
      <c r="W558" s="10"/>
      <c r="X558" s="10"/>
      <c r="Y558" s="14" t="str">
        <f>IFERROR(__xludf.DUMMYFUNCTION("""COMPUTED_VALUE"""),"hananusama064@gmail.com")</f>
        <v>hananusama064@gmail.com</v>
      </c>
      <c r="AA558" s="324"/>
    </row>
    <row r="559" hidden="1">
      <c r="A559" s="9">
        <f>IFERROR(__xludf.DUMMYFUNCTION("""COMPUTED_VALUE"""),45880.39918282407)</f>
        <v>45880.39918</v>
      </c>
      <c r="B559" s="10" t="str">
        <f>IFERROR(__xludf.DUMMYFUNCTION("""COMPUTED_VALUE"""),"Muhammad Abdullah ")</f>
        <v>Muhammad Abdullah </v>
      </c>
      <c r="C559" s="10" t="str">
        <f>IFERROR(__xludf.DUMMYFUNCTION("""COMPUTED_VALUE"""),"03457182181")</f>
        <v>03457182181</v>
      </c>
      <c r="D559" s="10" t="str">
        <f>IFERROR(__xludf.DUMMYFUNCTION("""COMPUTED_VALUE"""),"Jamia Masjid shahi Dera nawab sahib ")</f>
        <v>Jamia Masjid shahi Dera nawab sahib </v>
      </c>
      <c r="E559" s="10" t="str">
        <f>IFERROR(__xludf.DUMMYFUNCTION("""COMPUTED_VALUE"""),"NJKNI")</f>
        <v>NJKNI</v>
      </c>
      <c r="F559" s="10">
        <f>IFERROR(__xludf.DUMMYFUNCTION("""COMPUTED_VALUE"""),160.0)</f>
        <v>160</v>
      </c>
      <c r="G559" s="10">
        <f>IFERROR(__xludf.DUMMYFUNCTION("""COMPUTED_VALUE"""),7.0)</f>
        <v>7</v>
      </c>
      <c r="H559" s="10">
        <f>IFERROR(__xludf.DUMMYFUNCTION("""COMPUTED_VALUE"""),7.0)</f>
        <v>7</v>
      </c>
      <c r="I559" s="10">
        <f>IFERROR(__xludf.DUMMYFUNCTION("""COMPUTED_VALUE"""),1.0)</f>
        <v>1</v>
      </c>
      <c r="J559" s="10"/>
      <c r="K559" s="10"/>
      <c r="L559" s="10"/>
      <c r="M559" s="10">
        <f>IFERROR(__xludf.DUMMYFUNCTION("""COMPUTED_VALUE"""),8.0)</f>
        <v>8</v>
      </c>
      <c r="N559" s="10"/>
      <c r="O559" s="10"/>
      <c r="P559" s="10"/>
      <c r="Q559" s="10"/>
      <c r="R559" s="10"/>
      <c r="S559" s="10"/>
      <c r="T559" s="10"/>
      <c r="U559" s="18" t="str">
        <f>IFERROR(__xludf.DUMMYFUNCTION("""COMPUTED_VALUE"""),"https://drive.google.com/open?id=1sZJmcOYY4nIKzk_AKndftuJt9f9hk-TU")</f>
        <v>https://drive.google.com/open?id=1sZJmcOYY4nIKzk_AKndftuJt9f9hk-TU</v>
      </c>
      <c r="V559" s="10"/>
      <c r="W559" s="10"/>
      <c r="X559" s="10"/>
      <c r="Y559" s="14" t="str">
        <f>IFERROR(__xludf.DUMMYFUNCTION("""COMPUTED_VALUE"""),"malikabdullah181@gmail.com")</f>
        <v>malikabdullah181@gmail.com</v>
      </c>
      <c r="AA559" s="324"/>
    </row>
    <row r="560" hidden="1">
      <c r="A560" s="9">
        <f>IFERROR(__xludf.DUMMYFUNCTION("""COMPUTED_VALUE"""),45880.47105148148)</f>
        <v>45880.47105</v>
      </c>
      <c r="B560" s="10" t="str">
        <f>IFERROR(__xludf.DUMMYFUNCTION("""COMPUTED_VALUE"""),"Muhammad Abdullah ")</f>
        <v>Muhammad Abdullah </v>
      </c>
      <c r="C560" s="10" t="str">
        <f>IFERROR(__xludf.DUMMYFUNCTION("""COMPUTED_VALUE"""),"03457182181")</f>
        <v>03457182181</v>
      </c>
      <c r="D560" s="10" t="str">
        <f>IFERROR(__xludf.DUMMYFUNCTION("""COMPUTED_VALUE"""),"Jamia Masjid ahle Hadees tahliya wali ")</f>
        <v>Jamia Masjid ahle Hadees tahliya wali </v>
      </c>
      <c r="E560" s="10" t="str">
        <f>IFERROR(__xludf.DUMMYFUNCTION("""COMPUTED_VALUE"""),"COCLQ")</f>
        <v>COCLQ</v>
      </c>
      <c r="F560" s="10">
        <f>IFERROR(__xludf.DUMMYFUNCTION("""COMPUTED_VALUE"""),185.0)</f>
        <v>185</v>
      </c>
      <c r="G560" s="10">
        <f>IFERROR(__xludf.DUMMYFUNCTION("""COMPUTED_VALUE"""),7.0)</f>
        <v>7</v>
      </c>
      <c r="H560" s="10">
        <f>IFERROR(__xludf.DUMMYFUNCTION("""COMPUTED_VALUE"""),7.0)</f>
        <v>7</v>
      </c>
      <c r="I560" s="10">
        <f>IFERROR(__xludf.DUMMYFUNCTION("""COMPUTED_VALUE"""),1.0)</f>
        <v>1</v>
      </c>
      <c r="J560" s="10"/>
      <c r="K560" s="10"/>
      <c r="L560" s="10"/>
      <c r="M560" s="10">
        <f>IFERROR(__xludf.DUMMYFUNCTION("""COMPUTED_VALUE"""),8.0)</f>
        <v>8</v>
      </c>
      <c r="N560" s="10"/>
      <c r="O560" s="10"/>
      <c r="P560" s="10"/>
      <c r="Q560" s="10"/>
      <c r="R560" s="10"/>
      <c r="S560" s="10"/>
      <c r="T560" s="10"/>
      <c r="U560" s="18" t="str">
        <f>IFERROR(__xludf.DUMMYFUNCTION("""COMPUTED_VALUE"""),"https://drive.google.com/open?id=1FhmxW55ZhRZ1eulAU7eWLFybnayW9C8F")</f>
        <v>https://drive.google.com/open?id=1FhmxW55ZhRZ1eulAU7eWLFybnayW9C8F</v>
      </c>
      <c r="V560" s="10"/>
      <c r="W560" s="10"/>
      <c r="X560" s="10"/>
      <c r="Y560" s="14" t="str">
        <f>IFERROR(__xludf.DUMMYFUNCTION("""COMPUTED_VALUE"""),"malikabdullah181@gmail.com")</f>
        <v>malikabdullah181@gmail.com</v>
      </c>
      <c r="AA560" s="324"/>
    </row>
    <row r="561" hidden="1">
      <c r="A561" s="9">
        <f>IFERROR(__xludf.DUMMYFUNCTION("""COMPUTED_VALUE"""),45880.4725487963)</f>
        <v>45880.47255</v>
      </c>
      <c r="B561" s="10" t="str">
        <f>IFERROR(__xludf.DUMMYFUNCTION("""COMPUTED_VALUE"""),"Muhammad Abdullah ")</f>
        <v>Muhammad Abdullah </v>
      </c>
      <c r="C561" s="10" t="str">
        <f>IFERROR(__xludf.DUMMYFUNCTION("""COMPUTED_VALUE"""),"03457182181")</f>
        <v>03457182181</v>
      </c>
      <c r="D561" s="10" t="str">
        <f>IFERROR(__xludf.DUMMYFUNCTION("""COMPUTED_VALUE"""),"Jamia Masjid sadiqque Akbar high school ")</f>
        <v>Jamia Masjid sadiqque Akbar high school </v>
      </c>
      <c r="E561" s="10" t="str">
        <f>IFERROR(__xludf.DUMMYFUNCTION("""COMPUTED_VALUE"""),"VEWIG")</f>
        <v>VEWIG</v>
      </c>
      <c r="F561" s="10">
        <f>IFERROR(__xludf.DUMMYFUNCTION("""COMPUTED_VALUE"""),415.0)</f>
        <v>415</v>
      </c>
      <c r="G561" s="10">
        <f>IFERROR(__xludf.DUMMYFUNCTION("""COMPUTED_VALUE"""),8.0)</f>
        <v>8</v>
      </c>
      <c r="H561" s="10">
        <f>IFERROR(__xludf.DUMMYFUNCTION("""COMPUTED_VALUE"""),8.0)</f>
        <v>8</v>
      </c>
      <c r="I561" s="10">
        <f>IFERROR(__xludf.DUMMYFUNCTION("""COMPUTED_VALUE"""),1.0)</f>
        <v>1</v>
      </c>
      <c r="J561" s="10"/>
      <c r="K561" s="10"/>
      <c r="L561" s="10"/>
      <c r="M561" s="10">
        <f>IFERROR(__xludf.DUMMYFUNCTION("""COMPUTED_VALUE"""),8.0)</f>
        <v>8</v>
      </c>
      <c r="N561" s="10"/>
      <c r="O561" s="10"/>
      <c r="P561" s="10"/>
      <c r="Q561" s="10"/>
      <c r="R561" s="10"/>
      <c r="S561" s="10"/>
      <c r="T561" s="10"/>
      <c r="U561" s="18" t="str">
        <f>IFERROR(__xludf.DUMMYFUNCTION("""COMPUTED_VALUE"""),"https://drive.google.com/open?id=14HMRleqUVsK8K9E8HrhI_WpeU4IwtkV1")</f>
        <v>https://drive.google.com/open?id=14HMRleqUVsK8K9E8HrhI_WpeU4IwtkV1</v>
      </c>
      <c r="V561" s="10"/>
      <c r="W561" s="10"/>
      <c r="X561" s="10"/>
      <c r="Y561" s="14" t="str">
        <f>IFERROR(__xludf.DUMMYFUNCTION("""COMPUTED_VALUE"""),"malikabdullah181@gmail.com")</f>
        <v>malikabdullah181@gmail.com</v>
      </c>
      <c r="AA561" s="324"/>
    </row>
    <row r="562" hidden="1">
      <c r="A562" s="9">
        <f>IFERROR(__xludf.DUMMYFUNCTION("""COMPUTED_VALUE"""),45880.47423136574)</f>
        <v>45880.47423</v>
      </c>
      <c r="B562" s="10" t="str">
        <f>IFERROR(__xludf.DUMMYFUNCTION("""COMPUTED_VALUE"""),"Muhammad Abdullah ")</f>
        <v>Muhammad Abdullah </v>
      </c>
      <c r="C562" s="10" t="str">
        <f>IFERROR(__xludf.DUMMYFUNCTION("""COMPUTED_VALUE"""),"03457182181")</f>
        <v>03457182181</v>
      </c>
      <c r="D562" s="10" t="str">
        <f>IFERROR(__xludf.DUMMYFUNCTION("""COMPUTED_VALUE"""),"Jamia Masjid Hazrat Mehboob Subhani ")</f>
        <v>Jamia Masjid Hazrat Mehboob Subhani </v>
      </c>
      <c r="E562" s="10" t="str">
        <f>IFERROR(__xludf.DUMMYFUNCTION("""COMPUTED_VALUE"""),"JOFFE")</f>
        <v>JOFFE</v>
      </c>
      <c r="F562" s="10">
        <f>IFERROR(__xludf.DUMMYFUNCTION("""COMPUTED_VALUE"""),480.0)</f>
        <v>480</v>
      </c>
      <c r="G562" s="10">
        <f>IFERROR(__xludf.DUMMYFUNCTION("""COMPUTED_VALUE"""),7.0)</f>
        <v>7</v>
      </c>
      <c r="H562" s="10">
        <f>IFERROR(__xludf.DUMMYFUNCTION("""COMPUTED_VALUE"""),7.0)</f>
        <v>7</v>
      </c>
      <c r="I562" s="10">
        <f>IFERROR(__xludf.DUMMYFUNCTION("""COMPUTED_VALUE"""),1.0)</f>
        <v>1</v>
      </c>
      <c r="J562" s="10"/>
      <c r="K562" s="10"/>
      <c r="L562" s="10"/>
      <c r="M562" s="10">
        <f>IFERROR(__xludf.DUMMYFUNCTION("""COMPUTED_VALUE"""),8.0)</f>
        <v>8</v>
      </c>
      <c r="N562" s="10"/>
      <c r="O562" s="10"/>
      <c r="P562" s="10"/>
      <c r="Q562" s="10"/>
      <c r="R562" s="10"/>
      <c r="S562" s="10"/>
      <c r="T562" s="10"/>
      <c r="U562" s="10" t="str">
        <f>IFERROR(__xludf.DUMMYFUNCTION("""COMPUTED_VALUE"""),"https://drive.google.com/open?id=1jPcMH1wWgMRUzAf1Nd8SJKFoa2U_-r5Z, https://drive.google.com/open?id=1Lye4yDUpKlsk1ddLpVpXBzL7NbZusg0o")</f>
        <v>https://drive.google.com/open?id=1jPcMH1wWgMRUzAf1Nd8SJKFoa2U_-r5Z, https://drive.google.com/open?id=1Lye4yDUpKlsk1ddLpVpXBzL7NbZusg0o</v>
      </c>
      <c r="V562" s="10"/>
      <c r="W562" s="10"/>
      <c r="X562" s="10"/>
      <c r="Y562" s="14" t="str">
        <f>IFERROR(__xludf.DUMMYFUNCTION("""COMPUTED_VALUE"""),"malikabdullah181@gmail.com")</f>
        <v>malikabdullah181@gmail.com</v>
      </c>
      <c r="AA562" s="324"/>
    </row>
    <row r="563" hidden="1">
      <c r="A563" s="9">
        <f>IFERROR(__xludf.DUMMYFUNCTION("""COMPUTED_VALUE"""),45880.47559408565)</f>
        <v>45880.47559</v>
      </c>
      <c r="B563" s="10" t="str">
        <f>IFERROR(__xludf.DUMMYFUNCTION("""COMPUTED_VALUE"""),"Muhammad Abdullah ")</f>
        <v>Muhammad Abdullah </v>
      </c>
      <c r="C563" s="10" t="str">
        <f>IFERROR(__xludf.DUMMYFUNCTION("""COMPUTED_VALUE"""),"03457182181")</f>
        <v>03457182181</v>
      </c>
      <c r="D563" s="10" t="str">
        <f>IFERROR(__xludf.DUMMYFUNCTION("""COMPUTED_VALUE"""),"Jamia Masjid Hajaat Sharif Syed Fazaluddin Ladla ")</f>
        <v>Jamia Masjid Hajaat Sharif Syed Fazaluddin Ladla </v>
      </c>
      <c r="E563" s="10" t="str">
        <f>IFERROR(__xludf.DUMMYFUNCTION("""COMPUTED_VALUE"""),"PZTQO")</f>
        <v>PZTQO</v>
      </c>
      <c r="F563" s="10">
        <f>IFERROR(__xludf.DUMMYFUNCTION("""COMPUTED_VALUE"""),150.0)</f>
        <v>150</v>
      </c>
      <c r="G563" s="10">
        <f>IFERROR(__xludf.DUMMYFUNCTION("""COMPUTED_VALUE"""),8.0)</f>
        <v>8</v>
      </c>
      <c r="H563" s="10">
        <f>IFERROR(__xludf.DUMMYFUNCTION("""COMPUTED_VALUE"""),8.0)</f>
        <v>8</v>
      </c>
      <c r="I563" s="10">
        <f>IFERROR(__xludf.DUMMYFUNCTION("""COMPUTED_VALUE"""),1.0)</f>
        <v>1</v>
      </c>
      <c r="J563" s="10"/>
      <c r="K563" s="10"/>
      <c r="L563" s="10"/>
      <c r="M563" s="10">
        <f>IFERROR(__xludf.DUMMYFUNCTION("""COMPUTED_VALUE"""),8.0)</f>
        <v>8</v>
      </c>
      <c r="N563" s="10"/>
      <c r="O563" s="10"/>
      <c r="P563" s="10"/>
      <c r="Q563" s="10"/>
      <c r="R563" s="10"/>
      <c r="S563" s="10"/>
      <c r="T563" s="10"/>
      <c r="U563" s="18" t="str">
        <f>IFERROR(__xludf.DUMMYFUNCTION("""COMPUTED_VALUE"""),"https://drive.google.com/open?id=1lZdsIVi-gBi1yNWdyzleenIuGfrpGQHE")</f>
        <v>https://drive.google.com/open?id=1lZdsIVi-gBi1yNWdyzleenIuGfrpGQHE</v>
      </c>
      <c r="V563" s="10"/>
      <c r="W563" s="10"/>
      <c r="X563" s="10"/>
      <c r="Y563" s="14" t="str">
        <f>IFERROR(__xludf.DUMMYFUNCTION("""COMPUTED_VALUE"""),"malikabdullah181@gmail.com")</f>
        <v>malikabdullah181@gmail.com</v>
      </c>
      <c r="AA563" s="324"/>
    </row>
    <row r="564" hidden="1">
      <c r="A564" s="9">
        <f>IFERROR(__xludf.DUMMYFUNCTION("""COMPUTED_VALUE"""),45884.240039282406)</f>
        <v>45884.24004</v>
      </c>
      <c r="B564" s="10" t="str">
        <f>IFERROR(__xludf.DUMMYFUNCTION("""COMPUTED_VALUE"""),"Fahad")</f>
        <v>Fahad</v>
      </c>
      <c r="C564" s="10" t="str">
        <f>IFERROR(__xludf.DUMMYFUNCTION("""COMPUTED_VALUE"""),"03008396959")</f>
        <v>03008396959</v>
      </c>
      <c r="D564" s="10" t="str">
        <f>IFERROR(__xludf.DUMMYFUNCTION("""COMPUTED_VALUE"""),"Jamia Masjid Railway Coloney Khanewal")</f>
        <v>Jamia Masjid Railway Coloney Khanewal</v>
      </c>
      <c r="E564" s="10" t="str">
        <f>IFERROR(__xludf.DUMMYFUNCTION("""COMPUTED_VALUE"""),"EPJYX")</f>
        <v>EPJYX</v>
      </c>
      <c r="F564" s="10">
        <f>IFERROR(__xludf.DUMMYFUNCTION("""COMPUTED_VALUE"""),72.0)</f>
        <v>72</v>
      </c>
      <c r="G564" s="10">
        <f>IFERROR(__xludf.DUMMYFUNCTION("""COMPUTED_VALUE"""),4.0)</f>
        <v>4</v>
      </c>
      <c r="H564" s="10">
        <f>IFERROR(__xludf.DUMMYFUNCTION("""COMPUTED_VALUE"""),5.0)</f>
        <v>5</v>
      </c>
      <c r="I564" s="10">
        <f>IFERROR(__xludf.DUMMYFUNCTION("""COMPUTED_VALUE"""),6.0)</f>
        <v>6</v>
      </c>
      <c r="J564" s="10"/>
      <c r="K564" s="10"/>
      <c r="L564" s="10"/>
      <c r="M564" s="10">
        <f>IFERROR(__xludf.DUMMYFUNCTION("""COMPUTED_VALUE"""),4.0)</f>
        <v>4</v>
      </c>
      <c r="N564" s="10"/>
      <c r="O564" s="10"/>
      <c r="P564" s="10"/>
      <c r="Q564" s="10"/>
      <c r="R564" s="10"/>
      <c r="S564" s="10"/>
      <c r="T564" s="10"/>
      <c r="U564" s="18" t="str">
        <f>IFERROR(__xludf.DUMMYFUNCTION("""COMPUTED_VALUE"""),"https://drive.google.com/open?id=1YV3Pvh-fevYnc-s34iVnZ3OmmwkO7_H2")</f>
        <v>https://drive.google.com/open?id=1YV3Pvh-fevYnc-s34iVnZ3OmmwkO7_H2</v>
      </c>
      <c r="V564" s="10" t="str">
        <f>IFERROR(__xludf.DUMMYFUNCTION("""COMPUTED_VALUE"""),"Nothing ")</f>
        <v>Nothing </v>
      </c>
      <c r="W564" s="10"/>
      <c r="X564" s="10"/>
      <c r="Y564" s="14" t="str">
        <f>IFERROR(__xludf.DUMMYFUNCTION("""COMPUTED_VALUE"""),"fahadsheikh4340@gmail.com")</f>
        <v>fahadsheikh4340@gmail.com</v>
      </c>
      <c r="AA564" s="324"/>
    </row>
    <row r="565" hidden="1">
      <c r="A565" s="9">
        <f>IFERROR(__xludf.DUMMYFUNCTION("""COMPUTED_VALUE"""),45884.24517934027)</f>
        <v>45884.24518</v>
      </c>
      <c r="B565" s="10" t="str">
        <f>IFERROR(__xludf.DUMMYFUNCTION("""COMPUTED_VALUE"""),"M. Asad shafique ")</f>
        <v>M. Asad shafique </v>
      </c>
      <c r="C565" s="10" t="str">
        <f>IFERROR(__xludf.DUMMYFUNCTION("""COMPUTED_VALUE"""),"03280905041")</f>
        <v>03280905041</v>
      </c>
      <c r="D565" s="10" t="str">
        <f>IFERROR(__xludf.DUMMYFUNCTION("""COMPUTED_VALUE"""),"Jamia masjid gul wali ")</f>
        <v>Jamia masjid gul wali </v>
      </c>
      <c r="E565" s="10" t="str">
        <f>IFERROR(__xludf.DUMMYFUNCTION("""COMPUTED_VALUE"""),"VBDPL")</f>
        <v>VBDPL</v>
      </c>
      <c r="F565" s="10">
        <f>IFERROR(__xludf.DUMMYFUNCTION("""COMPUTED_VALUE"""),133.0)</f>
        <v>133</v>
      </c>
      <c r="G565" s="10">
        <f>IFERROR(__xludf.DUMMYFUNCTION("""COMPUTED_VALUE"""),9.0)</f>
        <v>9</v>
      </c>
      <c r="H565" s="10">
        <f>IFERROR(__xludf.DUMMYFUNCTION("""COMPUTED_VALUE"""),8.0)</f>
        <v>8</v>
      </c>
      <c r="I565" s="10" t="str">
        <f>IFERROR(__xludf.DUMMYFUNCTION("""COMPUTED_VALUE"""),"No")</f>
        <v>No</v>
      </c>
      <c r="J565" s="10"/>
      <c r="K565" s="10"/>
      <c r="L565" s="10"/>
      <c r="M565" s="10">
        <f>IFERROR(__xludf.DUMMYFUNCTION("""COMPUTED_VALUE"""),10.0)</f>
        <v>10</v>
      </c>
      <c r="N565" s="10"/>
      <c r="O565" s="10"/>
      <c r="P565" s="10"/>
      <c r="Q565" s="10"/>
      <c r="R565" s="10"/>
      <c r="S565" s="10"/>
      <c r="T565" s="10"/>
      <c r="U565" s="18" t="str">
        <f>IFERROR(__xludf.DUMMYFUNCTION("""COMPUTED_VALUE"""),"https://drive.google.com/open?id=1cO80Ph3-oq4RtW_uuCRozRpieKE4kd-l")</f>
        <v>https://drive.google.com/open?id=1cO80Ph3-oq4RtW_uuCRozRpieKE4kd-l</v>
      </c>
      <c r="V565" s="10"/>
      <c r="W565" s="10"/>
      <c r="X565" s="10"/>
      <c r="Y565" s="14" t="str">
        <f>IFERROR(__xludf.DUMMYFUNCTION("""COMPUTED_VALUE"""),"asadchudhary6@gmail.com")</f>
        <v>asadchudhary6@gmail.com</v>
      </c>
      <c r="AA565" s="324"/>
    </row>
    <row r="566" hidden="1">
      <c r="A566" s="9">
        <f>IFERROR(__xludf.DUMMYFUNCTION("""COMPUTED_VALUE"""),45884.26604210648)</f>
        <v>45884.26604</v>
      </c>
      <c r="B566" s="10" t="str">
        <f>IFERROR(__xludf.DUMMYFUNCTION("""COMPUTED_VALUE"""),"Muhammad Hamid Ali ")</f>
        <v>Muhammad Hamid Ali </v>
      </c>
      <c r="C566" s="10" t="str">
        <f>IFERROR(__xludf.DUMMYFUNCTION("""COMPUTED_VALUE"""),"03006923636")</f>
        <v>03006923636</v>
      </c>
      <c r="D566" s="10" t="str">
        <f>IFERROR(__xludf.DUMMYFUNCTION("""COMPUTED_VALUE"""),"ملحقہ دربار حضرت بابا تاج الدین سرور سرکار رحمۃ اللّٰہ علیہ ")</f>
        <v>ملحقہ دربار حضرت بابا تاج الدین سرور سرکار رحمۃ اللّٰہ علیہ </v>
      </c>
      <c r="E566" s="10" t="str">
        <f>IFERROR(__xludf.DUMMYFUNCTION("""COMPUTED_VALUE"""),"UVKDX ")</f>
        <v>UVKDX </v>
      </c>
      <c r="F566" s="10">
        <f>IFERROR(__xludf.DUMMYFUNCTION("""COMPUTED_VALUE"""),629.0)</f>
        <v>629</v>
      </c>
      <c r="G566" s="10">
        <f>IFERROR(__xludf.DUMMYFUNCTION("""COMPUTED_VALUE"""),9.0)</f>
        <v>9</v>
      </c>
      <c r="H566" s="10">
        <f>IFERROR(__xludf.DUMMYFUNCTION("""COMPUTED_VALUE"""),8.0)</f>
        <v>8</v>
      </c>
      <c r="I566" s="10">
        <f>IFERROR(__xludf.DUMMYFUNCTION("""COMPUTED_VALUE"""),1.0)</f>
        <v>1</v>
      </c>
      <c r="J566" s="10"/>
      <c r="K566" s="10"/>
      <c r="L566" s="10"/>
      <c r="M566" s="10">
        <f>IFERROR(__xludf.DUMMYFUNCTION("""COMPUTED_VALUE"""),8.0)</f>
        <v>8</v>
      </c>
      <c r="N566" s="10"/>
      <c r="O566" s="10"/>
      <c r="P566" s="10"/>
      <c r="Q566" s="10"/>
      <c r="R566" s="10"/>
      <c r="S566" s="10"/>
      <c r="T566" s="10"/>
      <c r="U566" s="18" t="str">
        <f>IFERROR(__xludf.DUMMYFUNCTION("""COMPUTED_VALUE"""),"https://drive.google.com/open?id=1k0hDPwa_cwn8s4n4On5LYy4RWb6jjlIb")</f>
        <v>https://drive.google.com/open?id=1k0hDPwa_cwn8s4n4On5LYy4RWb6jjlIb</v>
      </c>
      <c r="V566" s="10" t="str">
        <f>IFERROR(__xludf.DUMMYFUNCTION("""COMPUTED_VALUE"""),"No")</f>
        <v>No</v>
      </c>
      <c r="W566" s="10"/>
      <c r="X566" s="10"/>
      <c r="Y566" s="14" t="str">
        <f>IFERROR(__xludf.DUMMYFUNCTION("""COMPUTED_VALUE"""),"hamidalisultani11@gmail.com")</f>
        <v>hamidalisultani11@gmail.com</v>
      </c>
      <c r="AA566" s="324"/>
    </row>
    <row r="567" hidden="1">
      <c r="A567" s="9">
        <f>IFERROR(__xludf.DUMMYFUNCTION("""COMPUTED_VALUE"""),45884.30462271991)</f>
        <v>45884.30462</v>
      </c>
      <c r="B567" s="10" t="str">
        <f>IFERROR(__xludf.DUMMYFUNCTION("""COMPUTED_VALUE"""),"Muhammad Shabbir ")</f>
        <v>Muhammad Shabbir </v>
      </c>
      <c r="C567" s="10" t="str">
        <f>IFERROR(__xludf.DUMMYFUNCTION("""COMPUTED_VALUE"""),"03009543049")</f>
        <v>03009543049</v>
      </c>
      <c r="D567" s="10" t="str">
        <f>IFERROR(__xludf.DUMMYFUNCTION("""COMPUTED_VALUE"""),"Darbar e Alia Shah Rukne Alam masjid")</f>
        <v>Darbar e Alia Shah Rukne Alam masjid</v>
      </c>
      <c r="E567" s="10" t="str">
        <f>IFERROR(__xludf.DUMMYFUNCTION("""COMPUTED_VALUE"""),"YEIGP")</f>
        <v>YEIGP</v>
      </c>
      <c r="F567" s="10">
        <f>IFERROR(__xludf.DUMMYFUNCTION("""COMPUTED_VALUE"""),377.0)</f>
        <v>377</v>
      </c>
      <c r="G567" s="10">
        <f>IFERROR(__xludf.DUMMYFUNCTION("""COMPUTED_VALUE"""),10.0)</f>
        <v>10</v>
      </c>
      <c r="H567" s="10">
        <f>IFERROR(__xludf.DUMMYFUNCTION("""COMPUTED_VALUE"""),10.0)</f>
        <v>10</v>
      </c>
      <c r="I567" s="10">
        <f>IFERROR(__xludf.DUMMYFUNCTION("""COMPUTED_VALUE"""),0.0)</f>
        <v>0</v>
      </c>
      <c r="J567" s="10"/>
      <c r="K567" s="10"/>
      <c r="L567" s="10"/>
      <c r="M567" s="10">
        <f>IFERROR(__xludf.DUMMYFUNCTION("""COMPUTED_VALUE"""),10.0)</f>
        <v>10</v>
      </c>
      <c r="N567" s="10"/>
      <c r="O567" s="10"/>
      <c r="P567" s="10"/>
      <c r="Q567" s="10"/>
      <c r="R567" s="10"/>
      <c r="S567" s="10"/>
      <c r="T567" s="10"/>
      <c r="U567" s="18" t="str">
        <f>IFERROR(__xludf.DUMMYFUNCTION("""COMPUTED_VALUE"""),"https://drive.google.com/open?id=1xPuxIajfX6SaNF29BkGYOGCFWMg77yrc")</f>
        <v>https://drive.google.com/open?id=1xPuxIajfX6SaNF29BkGYOGCFWMg77yrc</v>
      </c>
      <c r="V567" s="10"/>
      <c r="W567" s="10"/>
      <c r="X567" s="10"/>
      <c r="Y567" s="14" t="str">
        <f>IFERROR(__xludf.DUMMYFUNCTION("""COMPUTED_VALUE"""),"shabbirmalik017@gmail.com")</f>
        <v>shabbirmalik017@gmail.com</v>
      </c>
      <c r="AA567" s="324"/>
    </row>
    <row r="568" hidden="1">
      <c r="A568" s="9">
        <f>IFERROR(__xludf.DUMMYFUNCTION("""COMPUTED_VALUE"""),45884.34308810185)</f>
        <v>45884.34309</v>
      </c>
      <c r="B568" s="10" t="str">
        <f>IFERROR(__xludf.DUMMYFUNCTION("""COMPUTED_VALUE"""),"Masroor karim ")</f>
        <v>Masroor karim </v>
      </c>
      <c r="C568" s="10" t="str">
        <f>IFERROR(__xludf.DUMMYFUNCTION("""COMPUTED_VALUE"""),"03051507669")</f>
        <v>03051507669</v>
      </c>
      <c r="D568" s="10" t="str">
        <f>IFERROR(__xludf.DUMMYFUNCTION("""COMPUTED_VALUE"""),"قدیمی جامعہ مسجد جنازہ گاہ نشاط روڈ لوہا مارکیٹ ملتان ")</f>
        <v>قدیمی جامعہ مسجد جنازہ گاہ نشاط روڈ لوہا مارکیٹ ملتان </v>
      </c>
      <c r="E568" s="10" t="str">
        <f>IFERROR(__xludf.DUMMYFUNCTION("""COMPUTED_VALUE"""),"WPXTS")</f>
        <v>WPXTS</v>
      </c>
      <c r="F568" s="10">
        <f>IFERROR(__xludf.DUMMYFUNCTION("""COMPUTED_VALUE"""),176.0)</f>
        <v>176</v>
      </c>
      <c r="G568" s="10">
        <f>IFERROR(__xludf.DUMMYFUNCTION("""COMPUTED_VALUE"""),6.0)</f>
        <v>6</v>
      </c>
      <c r="H568" s="10">
        <f>IFERROR(__xludf.DUMMYFUNCTION("""COMPUTED_VALUE"""),5.0)</f>
        <v>5</v>
      </c>
      <c r="I568" s="10">
        <f>IFERROR(__xludf.DUMMYFUNCTION("""COMPUTED_VALUE"""),3.0)</f>
        <v>3</v>
      </c>
      <c r="J568" s="10"/>
      <c r="K568" s="10"/>
      <c r="L568" s="10"/>
      <c r="M568" s="10">
        <f>IFERROR(__xludf.DUMMYFUNCTION("""COMPUTED_VALUE"""),7.0)</f>
        <v>7</v>
      </c>
      <c r="N568" s="10"/>
      <c r="O568" s="10"/>
      <c r="P568" s="10"/>
      <c r="Q568" s="10"/>
      <c r="R568" s="10"/>
      <c r="S568" s="10"/>
      <c r="T568" s="10"/>
      <c r="U568" s="18" t="str">
        <f>IFERROR(__xludf.DUMMYFUNCTION("""COMPUTED_VALUE"""),"https://drive.google.com/open?id=1xZzXf2li0ESfRV5jwlL9SZs2WodIYv8W")</f>
        <v>https://drive.google.com/open?id=1xZzXf2li0ESfRV5jwlL9SZs2WodIYv8W</v>
      </c>
      <c r="V568" s="10"/>
      <c r="W568" s="10"/>
      <c r="X568" s="10"/>
      <c r="Y568" s="14" t="str">
        <f>IFERROR(__xludf.DUMMYFUNCTION("""COMPUTED_VALUE"""),"masroormalik669@gmail.com")</f>
        <v>masroormalik669@gmail.com</v>
      </c>
      <c r="AA568" s="324"/>
    </row>
    <row r="569" hidden="1">
      <c r="A569" s="9">
        <f>IFERROR(__xludf.DUMMYFUNCTION("""COMPUTED_VALUE"""),45884.346418298606)</f>
        <v>45884.34642</v>
      </c>
      <c r="B569" s="10" t="str">
        <f>IFERROR(__xludf.DUMMYFUNCTION("""COMPUTED_VALUE"""),"Muhammad Rizwan ")</f>
        <v>Muhammad Rizwan </v>
      </c>
      <c r="C569" s="10" t="str">
        <f>IFERROR(__xludf.DUMMYFUNCTION("""COMPUTED_VALUE"""),"03277204597")</f>
        <v>03277204597</v>
      </c>
      <c r="D569" s="10" t="str">
        <f>IFERROR(__xludf.DUMMYFUNCTION("""COMPUTED_VALUE"""),"Jamia masjid annayat welayat multan ")</f>
        <v>Jamia masjid annayat welayat multan </v>
      </c>
      <c r="E569" s="10" t="str">
        <f>IFERROR(__xludf.DUMMYFUNCTION("""COMPUTED_VALUE"""),"Meepx")</f>
        <v>Meepx</v>
      </c>
      <c r="F569" s="10">
        <f>IFERROR(__xludf.DUMMYFUNCTION("""COMPUTED_VALUE"""),174.0)</f>
        <v>174</v>
      </c>
      <c r="G569" s="10">
        <f>IFERROR(__xludf.DUMMYFUNCTION("""COMPUTED_VALUE"""),7.0)</f>
        <v>7</v>
      </c>
      <c r="H569" s="10">
        <f>IFERROR(__xludf.DUMMYFUNCTION("""COMPUTED_VALUE"""),7.0)</f>
        <v>7</v>
      </c>
      <c r="I569" s="10">
        <f>IFERROR(__xludf.DUMMYFUNCTION("""COMPUTED_VALUE"""),4.0)</f>
        <v>4</v>
      </c>
      <c r="J569" s="10"/>
      <c r="K569" s="10"/>
      <c r="L569" s="10"/>
      <c r="M569" s="10">
        <f>IFERROR(__xludf.DUMMYFUNCTION("""COMPUTED_VALUE"""),9.0)</f>
        <v>9</v>
      </c>
      <c r="N569" s="10"/>
      <c r="O569" s="10"/>
      <c r="P569" s="10"/>
      <c r="Q569" s="10"/>
      <c r="R569" s="10"/>
      <c r="S569" s="10"/>
      <c r="T569" s="10"/>
      <c r="U569" s="18" t="str">
        <f>IFERROR(__xludf.DUMMYFUNCTION("""COMPUTED_VALUE"""),"https://drive.google.com/open?id=1qJ3BBvJRUqG5-iA7PLR6tUtrCr3JLsY8")</f>
        <v>https://drive.google.com/open?id=1qJ3BBvJRUqG5-iA7PLR6tUtrCr3JLsY8</v>
      </c>
      <c r="V569" s="10"/>
      <c r="W569" s="10"/>
      <c r="X569" s="10"/>
      <c r="Y569" s="14" t="str">
        <f>IFERROR(__xludf.DUMMYFUNCTION("""COMPUTED_VALUE"""),"rizomrizwan508@gmail.com")</f>
        <v>rizomrizwan508@gmail.com</v>
      </c>
      <c r="AA569" s="324"/>
    </row>
    <row r="570" hidden="1">
      <c r="A570" s="9">
        <f>IFERROR(__xludf.DUMMYFUNCTION("""COMPUTED_VALUE"""),45886.33375347222)</f>
        <v>45886.33375</v>
      </c>
      <c r="B570" s="10" t="str">
        <f>IFERROR(__xludf.DUMMYFUNCTION("""COMPUTED_VALUE"""),"Mazhar Abbas")</f>
        <v>Mazhar Abbas</v>
      </c>
      <c r="C570" s="10" t="str">
        <f>IFERROR(__xludf.DUMMYFUNCTION("""COMPUTED_VALUE"""),"03076762856")</f>
        <v>03076762856</v>
      </c>
      <c r="D570" s="10" t="str">
        <f>IFERROR(__xludf.DUMMYFUNCTION("""COMPUTED_VALUE"""),"Jame Masjid Shamsher Shah Safri")</f>
        <v>Jame Masjid Shamsher Shah Safri</v>
      </c>
      <c r="E570" s="10" t="str">
        <f>IFERROR(__xludf.DUMMYFUNCTION("""COMPUTED_VALUE"""),"ITYEP")</f>
        <v>ITYEP</v>
      </c>
      <c r="F570" s="10">
        <f>IFERROR(__xludf.DUMMYFUNCTION("""COMPUTED_VALUE"""),110.0)</f>
        <v>110</v>
      </c>
      <c r="G570" s="10">
        <f>IFERROR(__xludf.DUMMYFUNCTION("""COMPUTED_VALUE"""),8.0)</f>
        <v>8</v>
      </c>
      <c r="H570" s="10">
        <f>IFERROR(__xludf.DUMMYFUNCTION("""COMPUTED_VALUE"""),8.0)</f>
        <v>8</v>
      </c>
      <c r="I570" s="10">
        <f>IFERROR(__xludf.DUMMYFUNCTION("""COMPUTED_VALUE"""),3.0)</f>
        <v>3</v>
      </c>
      <c r="J570" s="10"/>
      <c r="K570" s="10"/>
      <c r="L570" s="10"/>
      <c r="M570" s="10">
        <f>IFERROR(__xludf.DUMMYFUNCTION("""COMPUTED_VALUE"""),9.0)</f>
        <v>9</v>
      </c>
      <c r="N570" s="10"/>
      <c r="O570" s="10"/>
      <c r="P570" s="10"/>
      <c r="Q570" s="10"/>
      <c r="R570" s="10"/>
      <c r="S570" s="10"/>
      <c r="T570" s="10"/>
      <c r="U570" s="10" t="str">
        <f>IFERROR(__xludf.DUMMYFUNCTION("""COMPUTED_VALUE"""),"https://drive.google.com/open?id=16GVdUv3R5lEmhDmikunQgnwn_iyL9Fmr, https://drive.google.com/open?id=1qg0Qj3QDAVmWwyoKGQyP6uf9hYj2IV1j")</f>
        <v>https://drive.google.com/open?id=16GVdUv3R5lEmhDmikunQgnwn_iyL9Fmr, https://drive.google.com/open?id=1qg0Qj3QDAVmWwyoKGQyP6uf9hYj2IV1j</v>
      </c>
      <c r="V570" s="10"/>
      <c r="W570" s="10"/>
      <c r="X570" s="10"/>
      <c r="Y570" s="14" t="str">
        <f>IFERROR(__xludf.DUMMYFUNCTION("""COMPUTED_VALUE"""),"mazhardhatt@gmail.com")</f>
        <v>mazhardhatt@gmail.com</v>
      </c>
      <c r="AA570" s="324"/>
    </row>
    <row r="571" hidden="1">
      <c r="A571" s="9">
        <f>IFERROR(__xludf.DUMMYFUNCTION("""COMPUTED_VALUE"""),45889.148776064816)</f>
        <v>45889.14878</v>
      </c>
      <c r="B571" s="10" t="str">
        <f>IFERROR(__xludf.DUMMYFUNCTION("""COMPUTED_VALUE"""),"Waseem abbas ")</f>
        <v>Waseem abbas </v>
      </c>
      <c r="C571" s="10" t="str">
        <f>IFERROR(__xludf.DUMMYFUNCTION("""COMPUTED_VALUE"""),"03313211092")</f>
        <v>03313211092</v>
      </c>
      <c r="D571" s="10" t="str">
        <f>IFERROR(__xludf.DUMMYFUNCTION("""COMPUTED_VALUE"""),"Jamia masjid bah ul Deen zakriya Multan ")</f>
        <v>Jamia masjid bah ul Deen zakriya Multan </v>
      </c>
      <c r="E571" s="10" t="str">
        <f>IFERROR(__xludf.DUMMYFUNCTION("""COMPUTED_VALUE"""),"OQJMO")</f>
        <v>OQJMO</v>
      </c>
      <c r="F571" s="10">
        <f>IFERROR(__xludf.DUMMYFUNCTION("""COMPUTED_VALUE"""),60.0)</f>
        <v>60</v>
      </c>
      <c r="G571" s="10">
        <f>IFERROR(__xludf.DUMMYFUNCTION("""COMPUTED_VALUE"""),10.0)</f>
        <v>10</v>
      </c>
      <c r="H571" s="10">
        <f>IFERROR(__xludf.DUMMYFUNCTION("""COMPUTED_VALUE"""),10.0)</f>
        <v>10</v>
      </c>
      <c r="I571" s="10">
        <f>IFERROR(__xludf.DUMMYFUNCTION("""COMPUTED_VALUE"""),1.0)</f>
        <v>1</v>
      </c>
      <c r="J571" s="10"/>
      <c r="K571" s="10"/>
      <c r="L571" s="10"/>
      <c r="M571" s="10">
        <f>IFERROR(__xludf.DUMMYFUNCTION("""COMPUTED_VALUE"""),10.0)</f>
        <v>10</v>
      </c>
      <c r="N571" s="10"/>
      <c r="O571" s="10"/>
      <c r="P571" s="10"/>
      <c r="Q571" s="10"/>
      <c r="R571" s="10"/>
      <c r="S571" s="10"/>
      <c r="T571" s="10"/>
      <c r="U571" s="18" t="str">
        <f>IFERROR(__xludf.DUMMYFUNCTION("""COMPUTED_VALUE"""),"https://drive.google.com/open?id=1OLFas_Bc9LmE3QsVowd30j4X04Rg-Ub8")</f>
        <v>https://drive.google.com/open?id=1OLFas_Bc9LmE3QsVowd30j4X04Rg-Ub8</v>
      </c>
      <c r="V571" s="10"/>
      <c r="W571" s="10"/>
      <c r="X571" s="10"/>
      <c r="Y571" s="14" t="str">
        <f>IFERROR(__xludf.DUMMYFUNCTION("""COMPUTED_VALUE"""),"haiderwasem@gmail.com")</f>
        <v>haiderwasem@gmail.com</v>
      </c>
      <c r="AA571" s="324"/>
    </row>
    <row r="572" hidden="1">
      <c r="A572" s="9">
        <f>IFERROR(__xludf.DUMMYFUNCTION("""COMPUTED_VALUE"""),45891.18894611111)</f>
        <v>45891.18895</v>
      </c>
      <c r="B572" s="10" t="str">
        <f>IFERROR(__xludf.DUMMYFUNCTION("""COMPUTED_VALUE"""),"محمد فرقان")</f>
        <v>محمد فرقان</v>
      </c>
      <c r="C572" s="10" t="str">
        <f>IFERROR(__xludf.DUMMYFUNCTION("""COMPUTED_VALUE"""),"03017909295")</f>
        <v>03017909295</v>
      </c>
      <c r="D572" s="10" t="str">
        <f>IFERROR(__xludf.DUMMYFUNCTION("""COMPUTED_VALUE"""),"جامع مسجد دربار سلطان احمد قتال")</f>
        <v>جامع مسجد دربار سلطان احمد قتال</v>
      </c>
      <c r="E572" s="10" t="str">
        <f>IFERROR(__xludf.DUMMYFUNCTION("""COMPUTED_VALUE"""),"NDSNQ")</f>
        <v>NDSNQ</v>
      </c>
      <c r="F572" s="10">
        <f>IFERROR(__xludf.DUMMYFUNCTION("""COMPUTED_VALUE"""),408.0)</f>
        <v>408</v>
      </c>
      <c r="G572" s="10">
        <f>IFERROR(__xludf.DUMMYFUNCTION("""COMPUTED_VALUE"""),8.0)</f>
        <v>8</v>
      </c>
      <c r="H572" s="10">
        <f>IFERROR(__xludf.DUMMYFUNCTION("""COMPUTED_VALUE"""),7.0)</f>
        <v>7</v>
      </c>
      <c r="I572" s="10">
        <f>IFERROR(__xludf.DUMMYFUNCTION("""COMPUTED_VALUE"""),3.0)</f>
        <v>3</v>
      </c>
      <c r="J572" s="10"/>
      <c r="K572" s="10"/>
      <c r="L572" s="10"/>
      <c r="M572" s="10">
        <f>IFERROR(__xludf.DUMMYFUNCTION("""COMPUTED_VALUE"""),9.0)</f>
        <v>9</v>
      </c>
      <c r="N572" s="10"/>
      <c r="O572" s="10"/>
      <c r="P572" s="10"/>
      <c r="Q572" s="10"/>
      <c r="R572" s="10"/>
      <c r="S572" s="10"/>
      <c r="T572" s="10"/>
      <c r="U572" s="18" t="str">
        <f>IFERROR(__xludf.DUMMYFUNCTION("""COMPUTED_VALUE"""),"https://drive.google.com/open?id=1GjvwbIO97dn8nPp898rRc4ki5bpnv73G")</f>
        <v>https://drive.google.com/open?id=1GjvwbIO97dn8nPp898rRc4ki5bpnv73G</v>
      </c>
      <c r="V572" s="10"/>
      <c r="W572" s="10"/>
      <c r="X572" s="10"/>
      <c r="Y572" s="14" t="str">
        <f>IFERROR(__xludf.DUMMYFUNCTION("""COMPUTED_VALUE"""),"bhattimazaan@gmail.com")</f>
        <v>bhattimazaan@gmail.com</v>
      </c>
      <c r="AA572" s="324"/>
    </row>
    <row r="573" hidden="1">
      <c r="A573" s="9">
        <f>IFERROR(__xludf.DUMMYFUNCTION("""COMPUTED_VALUE"""),45891.208170972226)</f>
        <v>45891.20817</v>
      </c>
      <c r="B573" s="10" t="str">
        <f>IFERROR(__xludf.DUMMYFUNCTION("""COMPUTED_VALUE"""),"Shoaib Ahmad ")</f>
        <v>Shoaib Ahmad </v>
      </c>
      <c r="C573" s="10" t="str">
        <f>IFERROR(__xludf.DUMMYFUNCTION("""COMPUTED_VALUE"""),"03006745467")</f>
        <v>03006745467</v>
      </c>
      <c r="D573" s="10" t="str">
        <f>IFERROR(__xludf.DUMMYFUNCTION("""COMPUTED_VALUE"""),"Markazi Jamia Mosjid Nizamat Rahim Yar khan ")</f>
        <v>Markazi Jamia Mosjid Nizamat Rahim Yar khan </v>
      </c>
      <c r="E573" s="10" t="str">
        <f>IFERROR(__xludf.DUMMYFUNCTION("""COMPUTED_VALUE"""),"XXFOS")</f>
        <v>XXFOS</v>
      </c>
      <c r="F573" s="10">
        <f>IFERROR(__xludf.DUMMYFUNCTION("""COMPUTED_VALUE"""),950.0)</f>
        <v>950</v>
      </c>
      <c r="G573" s="10">
        <f>IFERROR(__xludf.DUMMYFUNCTION("""COMPUTED_VALUE"""),7.0)</f>
        <v>7</v>
      </c>
      <c r="H573" s="10">
        <f>IFERROR(__xludf.DUMMYFUNCTION("""COMPUTED_VALUE"""),6.0)</f>
        <v>6</v>
      </c>
      <c r="I573" s="10" t="str">
        <f>IFERROR(__xludf.DUMMYFUNCTION("""COMPUTED_VALUE"""),"0 ( zero) ")</f>
        <v>0 ( zero) </v>
      </c>
      <c r="J573" s="10"/>
      <c r="K573" s="10"/>
      <c r="L573" s="10"/>
      <c r="M573" s="10">
        <f>IFERROR(__xludf.DUMMYFUNCTION("""COMPUTED_VALUE"""),8.0)</f>
        <v>8</v>
      </c>
      <c r="N573" s="10"/>
      <c r="O573" s="10"/>
      <c r="P573" s="10"/>
      <c r="Q573" s="10"/>
      <c r="R573" s="10"/>
      <c r="S573" s="10"/>
      <c r="T573" s="10"/>
      <c r="U573" s="18" t="str">
        <f>IFERROR(__xludf.DUMMYFUNCTION("""COMPUTED_VALUE"""),"https://drive.google.com/open?id=10BPn7hsPEazLCu1Scm1CRuUGQwOblalC")</f>
        <v>https://drive.google.com/open?id=10BPn7hsPEazLCu1Scm1CRuUGQwOblalC</v>
      </c>
      <c r="V573" s="10" t="str">
        <f>IFERROR(__xludf.DUMMYFUNCTION("""COMPUTED_VALUE"""),"Satisfied ")</f>
        <v>Satisfied </v>
      </c>
      <c r="W573" s="10"/>
      <c r="X573" s="10"/>
      <c r="Y573" s="14" t="str">
        <f>IFERROR(__xludf.DUMMYFUNCTION("""COMPUTED_VALUE"""),"threealfa89@gmail.com")</f>
        <v>threealfa89@gmail.com</v>
      </c>
      <c r="AA573" s="324"/>
    </row>
    <row r="574" hidden="1">
      <c r="A574" s="9">
        <f>IFERROR(__xludf.DUMMYFUNCTION("""COMPUTED_VALUE"""),45891.27384693287)</f>
        <v>45891.27385</v>
      </c>
      <c r="B574" s="10" t="str">
        <f>IFERROR(__xludf.DUMMYFUNCTION("""COMPUTED_VALUE"""),"Muhammad waseem ")</f>
        <v>Muhammad waseem </v>
      </c>
      <c r="C574" s="10" t="str">
        <f>IFERROR(__xludf.DUMMYFUNCTION("""COMPUTED_VALUE"""),"03054641810")</f>
        <v>03054641810</v>
      </c>
      <c r="D574" s="10" t="str">
        <f>IFERROR(__xludf.DUMMYFUNCTION("""COMPUTED_VALUE"""),"Jamia Masjid Minya Nawali Minchanabad ")</f>
        <v>Jamia Masjid Minya Nawali Minchanabad </v>
      </c>
      <c r="E574" s="10" t="str">
        <f>IFERROR(__xludf.DUMMYFUNCTION("""COMPUTED_VALUE"""),"PBYFM ")</f>
        <v>PBYFM </v>
      </c>
      <c r="F574" s="10">
        <f>IFERROR(__xludf.DUMMYFUNCTION("""COMPUTED_VALUE"""),32.0)</f>
        <v>32</v>
      </c>
      <c r="G574" s="10">
        <f>IFERROR(__xludf.DUMMYFUNCTION("""COMPUTED_VALUE"""),5.0)</f>
        <v>5</v>
      </c>
      <c r="H574" s="10">
        <f>IFERROR(__xludf.DUMMYFUNCTION("""COMPUTED_VALUE"""),4.0)</f>
        <v>4</v>
      </c>
      <c r="I574" s="10">
        <f>IFERROR(__xludf.DUMMYFUNCTION("""COMPUTED_VALUE"""),2.0)</f>
        <v>2</v>
      </c>
      <c r="J574" s="10"/>
      <c r="K574" s="10"/>
      <c r="L574" s="10"/>
      <c r="M574" s="10">
        <f>IFERROR(__xludf.DUMMYFUNCTION("""COMPUTED_VALUE"""),10.0)</f>
        <v>10</v>
      </c>
      <c r="N574" s="10"/>
      <c r="O574" s="10"/>
      <c r="P574" s="10"/>
      <c r="Q574" s="10"/>
      <c r="R574" s="10"/>
      <c r="S574" s="10"/>
      <c r="T574" s="10"/>
      <c r="U574" s="18" t="str">
        <f>IFERROR(__xludf.DUMMYFUNCTION("""COMPUTED_VALUE"""),"https://drive.google.com/open?id=1oJ0wpo3wSh176CUU_vawTn_oKT0RUxn5")</f>
        <v>https://drive.google.com/open?id=1oJ0wpo3wSh176CUU_vawTn_oKT0RUxn5</v>
      </c>
      <c r="V574" s="10"/>
      <c r="W574" s="10"/>
      <c r="X574" s="10"/>
      <c r="Y574" s="14" t="str">
        <f>IFERROR(__xludf.DUMMYFUNCTION("""COMPUTED_VALUE"""),"chw116668@gmail.com")</f>
        <v>chw116668@gmail.com</v>
      </c>
      <c r="AA574" s="324"/>
    </row>
    <row r="575" hidden="1">
      <c r="A575" s="9">
        <f>IFERROR(__xludf.DUMMYFUNCTION("""COMPUTED_VALUE"""),45891.395318020834)</f>
        <v>45891.39532</v>
      </c>
      <c r="B575" s="10" t="str">
        <f>IFERROR(__xludf.DUMMYFUNCTION("""COMPUTED_VALUE"""),"Muhammad Haris ")</f>
        <v>Muhammad Haris </v>
      </c>
      <c r="C575" s="10" t="str">
        <f>IFERROR(__xludf.DUMMYFUNCTION("""COMPUTED_VALUE"""),"03204565224")</f>
        <v>03204565224</v>
      </c>
      <c r="D575" s="10" t="str">
        <f>IFERROR(__xludf.DUMMYFUNCTION("""COMPUTED_VALUE"""),"Jamia Masjid Shah Shamas Qadri Lahore ")</f>
        <v>Jamia Masjid Shah Shamas Qadri Lahore </v>
      </c>
      <c r="E575" s="10" t="str">
        <f>IFERROR(__xludf.DUMMYFUNCTION("""COMPUTED_VALUE"""),"rhlwr ")</f>
        <v>rhlwr </v>
      </c>
      <c r="F575" s="10">
        <f>IFERROR(__xludf.DUMMYFUNCTION("""COMPUTED_VALUE"""),176.0)</f>
        <v>176</v>
      </c>
      <c r="G575" s="10">
        <f>IFERROR(__xludf.DUMMYFUNCTION("""COMPUTED_VALUE"""),9.0)</f>
        <v>9</v>
      </c>
      <c r="H575" s="10">
        <f>IFERROR(__xludf.DUMMYFUNCTION("""COMPUTED_VALUE"""),8.0)</f>
        <v>8</v>
      </c>
      <c r="I575" s="10">
        <f>IFERROR(__xludf.DUMMYFUNCTION("""COMPUTED_VALUE"""),1.0)</f>
        <v>1</v>
      </c>
      <c r="J575" s="10"/>
      <c r="K575" s="10"/>
      <c r="L575" s="10"/>
      <c r="M575" s="10">
        <f>IFERROR(__xludf.DUMMYFUNCTION("""COMPUTED_VALUE"""),9.0)</f>
        <v>9</v>
      </c>
      <c r="N575" s="10"/>
      <c r="O575" s="10"/>
      <c r="P575" s="10"/>
      <c r="Q575" s="10"/>
      <c r="R575" s="10"/>
      <c r="S575" s="10"/>
      <c r="T575" s="10"/>
      <c r="U575" s="18" t="str">
        <f>IFERROR(__xludf.DUMMYFUNCTION("""COMPUTED_VALUE"""),"https://drive.google.com/open?id=1_RDda9LwN5GN_fFSzELQZTCoumsbnjVj")</f>
        <v>https://drive.google.com/open?id=1_RDda9LwN5GN_fFSzELQZTCoumsbnjVj</v>
      </c>
      <c r="V575" s="10" t="str">
        <f>IFERROR(__xludf.DUMMYFUNCTION("""COMPUTED_VALUE"""),"No")</f>
        <v>No</v>
      </c>
      <c r="W575" s="10"/>
      <c r="X575" s="10"/>
      <c r="Y575" s="14" t="str">
        <f>IFERROR(__xludf.DUMMYFUNCTION("""COMPUTED_VALUE"""),"haris.cerp@gmail.com")</f>
        <v>haris.cerp@gmail.com</v>
      </c>
      <c r="AA575" s="325">
        <v>4.0</v>
      </c>
    </row>
    <row r="576" hidden="1">
      <c r="A576" s="9">
        <f>IFERROR(__xludf.DUMMYFUNCTION("""COMPUTED_VALUE"""),45891.40968285879)</f>
        <v>45891.40968</v>
      </c>
      <c r="B576" s="10" t="str">
        <f>IFERROR(__xludf.DUMMYFUNCTION("""COMPUTED_VALUE"""),"Sulaman")</f>
        <v>Sulaman</v>
      </c>
      <c r="C576" s="10" t="str">
        <f>IFERROR(__xludf.DUMMYFUNCTION("""COMPUTED_VALUE"""),"03126136070")</f>
        <v>03126136070</v>
      </c>
      <c r="D576" s="10" t="str">
        <f>IFERROR(__xludf.DUMMYFUNCTION("""COMPUTED_VALUE"""),"دربار جامع مسجد رشید جلال الدین")</f>
        <v>دربار جامع مسجد رشید جلال الدین</v>
      </c>
      <c r="E576" s="10" t="str">
        <f>IFERROR(__xludf.DUMMYFUNCTION("""COMPUTED_VALUE"""),"PNYZS")</f>
        <v>PNYZS</v>
      </c>
      <c r="F576" s="10">
        <f>IFERROR(__xludf.DUMMYFUNCTION("""COMPUTED_VALUE"""),250.0)</f>
        <v>250</v>
      </c>
      <c r="G576" s="10">
        <f>IFERROR(__xludf.DUMMYFUNCTION("""COMPUTED_VALUE"""),8.0)</f>
        <v>8</v>
      </c>
      <c r="H576" s="10">
        <f>IFERROR(__xludf.DUMMYFUNCTION("""COMPUTED_VALUE"""),8.0)</f>
        <v>8</v>
      </c>
      <c r="I576" s="10">
        <f>IFERROR(__xludf.DUMMYFUNCTION("""COMPUTED_VALUE"""),2.0)</f>
        <v>2</v>
      </c>
      <c r="J576" s="10"/>
      <c r="K576" s="10"/>
      <c r="L576" s="10"/>
      <c r="M576" s="10">
        <f>IFERROR(__xludf.DUMMYFUNCTION("""COMPUTED_VALUE"""),9.0)</f>
        <v>9</v>
      </c>
      <c r="N576" s="10"/>
      <c r="O576" s="10"/>
      <c r="P576" s="10"/>
      <c r="Q576" s="10"/>
      <c r="R576" s="10"/>
      <c r="S576" s="10"/>
      <c r="T576" s="10"/>
      <c r="U576" s="18" t="str">
        <f>IFERROR(__xludf.DUMMYFUNCTION("""COMPUTED_VALUE"""),"https://drive.google.com/open?id=1Wiuw73NtQv9217KU1Tuhlh9v0wmCFk-Z")</f>
        <v>https://drive.google.com/open?id=1Wiuw73NtQv9217KU1Tuhlh9v0wmCFk-Z</v>
      </c>
      <c r="V576" s="10"/>
      <c r="W576" s="10"/>
      <c r="X576" s="10"/>
      <c r="Y576" s="14" t="str">
        <f>IFERROR(__xludf.DUMMYFUNCTION("""COMPUTED_VALUE"""),"sulamanasghar69@gmail.com")</f>
        <v>sulamanasghar69@gmail.com</v>
      </c>
      <c r="AA576" s="324"/>
    </row>
    <row r="577" hidden="1">
      <c r="A577" s="9">
        <f>IFERROR(__xludf.DUMMYFUNCTION("""COMPUTED_VALUE"""),45891.45560357639)</f>
        <v>45891.4556</v>
      </c>
      <c r="B577" s="10" t="str">
        <f>IFERROR(__xludf.DUMMYFUNCTION("""COMPUTED_VALUE"""),"M.usama Hanan")</f>
        <v>M.usama Hanan</v>
      </c>
      <c r="C577" s="10" t="str">
        <f>IFERROR(__xludf.DUMMYFUNCTION("""COMPUTED_VALUE"""),"03088678762")</f>
        <v>03088678762</v>
      </c>
      <c r="D577" s="10" t="str">
        <f>IFERROR(__xludf.DUMMYFUNCTION("""COMPUTED_VALUE"""),"Jamia masjid mehdam Rasheed haqani")</f>
        <v>Jamia masjid mehdam Rasheed haqani</v>
      </c>
      <c r="E577" s="10" t="str">
        <f>IFERROR(__xludf.DUMMYFUNCTION("""COMPUTED_VALUE"""),"Cqxog")</f>
        <v>Cqxog</v>
      </c>
      <c r="F577" s="10">
        <f>IFERROR(__xludf.DUMMYFUNCTION("""COMPUTED_VALUE"""),377.0)</f>
        <v>377</v>
      </c>
      <c r="G577" s="10">
        <f>IFERROR(__xludf.DUMMYFUNCTION("""COMPUTED_VALUE"""),4.0)</f>
        <v>4</v>
      </c>
      <c r="H577" s="10">
        <f>IFERROR(__xludf.DUMMYFUNCTION("""COMPUTED_VALUE"""),6.0)</f>
        <v>6</v>
      </c>
      <c r="I577" s="10">
        <f>IFERROR(__xludf.DUMMYFUNCTION("""COMPUTED_VALUE"""),6.0)</f>
        <v>6</v>
      </c>
      <c r="J577" s="10"/>
      <c r="K577" s="10"/>
      <c r="L577" s="10"/>
      <c r="M577" s="10">
        <f>IFERROR(__xludf.DUMMYFUNCTION("""COMPUTED_VALUE"""),9.0)</f>
        <v>9</v>
      </c>
      <c r="N577" s="10"/>
      <c r="O577" s="10"/>
      <c r="P577" s="10"/>
      <c r="Q577" s="10"/>
      <c r="R577" s="10"/>
      <c r="S577" s="10"/>
      <c r="T577" s="10"/>
      <c r="U577" s="18" t="str">
        <f>IFERROR(__xludf.DUMMYFUNCTION("""COMPUTED_VALUE"""),"https://drive.google.com/open?id=1-uhUtPy87fg2mC9SS79LRk9Kxj9Z2pKn")</f>
        <v>https://drive.google.com/open?id=1-uhUtPy87fg2mC9SS79LRk9Kxj9Z2pKn</v>
      </c>
      <c r="V577" s="10"/>
      <c r="W577" s="10"/>
      <c r="X577" s="10"/>
      <c r="Y577" s="14" t="str">
        <f>IFERROR(__xludf.DUMMYFUNCTION("""COMPUTED_VALUE"""),"hananusama064@gmail.com")</f>
        <v>hananusama064@gmail.com</v>
      </c>
      <c r="AA577" s="324"/>
    </row>
    <row r="578" hidden="1">
      <c r="A578" s="9">
        <f>IFERROR(__xludf.DUMMYFUNCTION("""COMPUTED_VALUE"""),45892.06080152778)</f>
        <v>45892.0608</v>
      </c>
      <c r="B578" s="10" t="str">
        <f>IFERROR(__xludf.DUMMYFUNCTION("""COMPUTED_VALUE"""),"خالد محمود")</f>
        <v>خالد محمود</v>
      </c>
      <c r="C578" s="10" t="str">
        <f>IFERROR(__xludf.DUMMYFUNCTION("""COMPUTED_VALUE"""),"03005249027")</f>
        <v>03005249027</v>
      </c>
      <c r="D578" s="10" t="str">
        <f>IFERROR(__xludf.DUMMYFUNCTION("""COMPUTED_VALUE"""),"مرکزی جامع مسجد چشتیاں ")</f>
        <v>مرکزی جامع مسجد چشتیاں </v>
      </c>
      <c r="E578" s="10" t="str">
        <f>IFERROR(__xludf.DUMMYFUNCTION("""COMPUTED_VALUE"""),"YBTBU")</f>
        <v>YBTBU</v>
      </c>
      <c r="F578" s="10">
        <f>IFERROR(__xludf.DUMMYFUNCTION("""COMPUTED_VALUE"""),712.0)</f>
        <v>712</v>
      </c>
      <c r="G578" s="10">
        <f>IFERROR(__xludf.DUMMYFUNCTION("""COMPUTED_VALUE"""),8.0)</f>
        <v>8</v>
      </c>
      <c r="H578" s="10">
        <f>IFERROR(__xludf.DUMMYFUNCTION("""COMPUTED_VALUE"""),8.0)</f>
        <v>8</v>
      </c>
      <c r="I578" s="10">
        <f>IFERROR(__xludf.DUMMYFUNCTION("""COMPUTED_VALUE"""),4.0)</f>
        <v>4</v>
      </c>
      <c r="J578" s="10"/>
      <c r="K578" s="10"/>
      <c r="L578" s="10"/>
      <c r="M578" s="10">
        <f>IFERROR(__xludf.DUMMYFUNCTION("""COMPUTED_VALUE"""),8.0)</f>
        <v>8</v>
      </c>
      <c r="N578" s="10"/>
      <c r="O578" s="10"/>
      <c r="P578" s="10"/>
      <c r="Q578" s="10"/>
      <c r="R578" s="10"/>
      <c r="S578" s="10"/>
      <c r="T578" s="10"/>
      <c r="U578" s="18" t="str">
        <f>IFERROR(__xludf.DUMMYFUNCTION("""COMPUTED_VALUE"""),"https://drive.google.com/open?id=1MGnPk7qVfKgJ08qx4AJkVkXGIB_18sDT")</f>
        <v>https://drive.google.com/open?id=1MGnPk7qVfKgJ08qx4AJkVkXGIB_18sDT</v>
      </c>
      <c r="V578" s="10" t="str">
        <f>IFERROR(__xludf.DUMMYFUNCTION("""COMPUTED_VALUE"""),"No")</f>
        <v>No</v>
      </c>
      <c r="W578" s="10"/>
      <c r="X578" s="10"/>
      <c r="Y578" s="14" t="str">
        <f>IFERROR(__xludf.DUMMYFUNCTION("""COMPUTED_VALUE"""),"ayyankhalidctn@gmail.com")</f>
        <v>ayyankhalidctn@gmail.com</v>
      </c>
      <c r="AA578" s="324"/>
    </row>
    <row r="579" hidden="1">
      <c r="A579" s="9">
        <f>IFERROR(__xludf.DUMMYFUNCTION("""COMPUTED_VALUE"""),45898.49990859954)</f>
        <v>45898.49991</v>
      </c>
      <c r="B579" s="10" t="str">
        <f>IFERROR(__xludf.DUMMYFUNCTION("""COMPUTED_VALUE"""),"محمد فرقان")</f>
        <v>محمد فرقان</v>
      </c>
      <c r="C579" s="10" t="str">
        <f>IFERROR(__xludf.DUMMYFUNCTION("""COMPUTED_VALUE"""),"03017909295")</f>
        <v>03017909295</v>
      </c>
      <c r="D579" s="10" t="str">
        <f>IFERROR(__xludf.DUMMYFUNCTION("""COMPUTED_VALUE"""),"جامع مسجد دربار سلطان احمد قتال")</f>
        <v>جامع مسجد دربار سلطان احمد قتال</v>
      </c>
      <c r="E579" s="10" t="str">
        <f>IFERROR(__xludf.DUMMYFUNCTION("""COMPUTED_VALUE"""),"Ndsnq")</f>
        <v>Ndsnq</v>
      </c>
      <c r="F579" s="10">
        <f>IFERROR(__xludf.DUMMYFUNCTION("""COMPUTED_VALUE"""),400.0)</f>
        <v>400</v>
      </c>
      <c r="G579" s="10">
        <f>IFERROR(__xludf.DUMMYFUNCTION("""COMPUTED_VALUE"""),8.0)</f>
        <v>8</v>
      </c>
      <c r="H579" s="10">
        <f>IFERROR(__xludf.DUMMYFUNCTION("""COMPUTED_VALUE"""),7.0)</f>
        <v>7</v>
      </c>
      <c r="I579" s="10">
        <f>IFERROR(__xludf.DUMMYFUNCTION("""COMPUTED_VALUE"""),3.0)</f>
        <v>3</v>
      </c>
      <c r="J579" s="10"/>
      <c r="K579" s="10"/>
      <c r="L579" s="10"/>
      <c r="M579" s="10">
        <f>IFERROR(__xludf.DUMMYFUNCTION("""COMPUTED_VALUE"""),9.0)</f>
        <v>9</v>
      </c>
      <c r="N579" s="10"/>
      <c r="O579" s="10"/>
      <c r="P579" s="10"/>
      <c r="Q579" s="10"/>
      <c r="R579" s="10"/>
      <c r="S579" s="10"/>
      <c r="T579" s="10"/>
      <c r="U579" s="18" t="str">
        <f>IFERROR(__xludf.DUMMYFUNCTION("""COMPUTED_VALUE"""),"https://drive.google.com/file/d/1sU_uFjDftjCa6-HSG71OAUhWQqR7j47w/view?usp=drive_link")</f>
        <v>https://drive.google.com/file/d/1sU_uFjDftjCa6-HSG71OAUhWQqR7j47w/view?usp=drive_link</v>
      </c>
      <c r="V579" s="10"/>
      <c r="W579" s="10"/>
      <c r="X579" s="10"/>
      <c r="Y579" s="14" t="str">
        <f>IFERROR(__xludf.DUMMYFUNCTION("""COMPUTED_VALUE"""),"bhattimazaan@gmail.com")</f>
        <v>bhattimazaan@gmail.com</v>
      </c>
      <c r="AA579" s="324"/>
    </row>
    <row r="580" hidden="1">
      <c r="A580" s="9">
        <f>IFERROR(__xludf.DUMMYFUNCTION("""COMPUTED_VALUE"""),45899.2501466088)</f>
        <v>45899.25015</v>
      </c>
      <c r="B580" s="10" t="str">
        <f>IFERROR(__xludf.DUMMYFUNCTION("""COMPUTED_VALUE"""),"M.usama Hanan")</f>
        <v>M.usama Hanan</v>
      </c>
      <c r="C580" s="10" t="str">
        <f>IFERROR(__xludf.DUMMYFUNCTION("""COMPUTED_VALUE"""),"03088678762")</f>
        <v>03088678762</v>
      </c>
      <c r="D580" s="10" t="str">
        <f>IFERROR(__xludf.DUMMYFUNCTION("""COMPUTED_VALUE"""),"Jamia masjid mehdam Rasheed haqani ")</f>
        <v>Jamia masjid mehdam Rasheed haqani </v>
      </c>
      <c r="E580" s="10" t="str">
        <f>IFERROR(__xludf.DUMMYFUNCTION("""COMPUTED_VALUE"""),"Cqxog")</f>
        <v>Cqxog</v>
      </c>
      <c r="F580" s="10">
        <f>IFERROR(__xludf.DUMMYFUNCTION("""COMPUTED_VALUE"""),377.0)</f>
        <v>377</v>
      </c>
      <c r="G580" s="10">
        <f>IFERROR(__xludf.DUMMYFUNCTION("""COMPUTED_VALUE"""),4.0)</f>
        <v>4</v>
      </c>
      <c r="H580" s="10">
        <f>IFERROR(__xludf.DUMMYFUNCTION("""COMPUTED_VALUE"""),6.0)</f>
        <v>6</v>
      </c>
      <c r="I580" s="10">
        <f>IFERROR(__xludf.DUMMYFUNCTION("""COMPUTED_VALUE"""),6.0)</f>
        <v>6</v>
      </c>
      <c r="J580" s="10"/>
      <c r="K580" s="10"/>
      <c r="L580" s="10"/>
      <c r="M580" s="10">
        <f>IFERROR(__xludf.DUMMYFUNCTION("""COMPUTED_VALUE"""),9.0)</f>
        <v>9</v>
      </c>
      <c r="N580" s="10"/>
      <c r="O580" s="10"/>
      <c r="P580" s="10"/>
      <c r="Q580" s="10"/>
      <c r="R580" s="10"/>
      <c r="S580" s="10"/>
      <c r="T580" s="10"/>
      <c r="U580" s="18" t="str">
        <f>IFERROR(__xludf.DUMMYFUNCTION("""COMPUTED_VALUE"""),"https://drive.google.com/file/d/1KPX4jd5JH58Y6C6Sq6Ial_PPJSCvHxwy/view?usp=drive_link")</f>
        <v>https://drive.google.com/file/d/1KPX4jd5JH58Y6C6Sq6Ial_PPJSCvHxwy/view?usp=drive_link</v>
      </c>
      <c r="V580" s="10"/>
      <c r="W580" s="10"/>
      <c r="X580" s="10"/>
      <c r="Y580" s="14" t="str">
        <f>IFERROR(__xludf.DUMMYFUNCTION("""COMPUTED_VALUE"""),"hananusama064@gmail.com")</f>
        <v>hananusama064@gmail.com</v>
      </c>
      <c r="AA580" s="324"/>
    </row>
    <row r="581" hidden="1">
      <c r="A581" s="9">
        <f>IFERROR(__xludf.DUMMYFUNCTION("""COMPUTED_VALUE"""),45899.25571612269)</f>
        <v>45899.25572</v>
      </c>
      <c r="B581" s="10" t="str">
        <f>IFERROR(__xludf.DUMMYFUNCTION("""COMPUTED_VALUE"""),"M Rizwan")</f>
        <v>M Rizwan</v>
      </c>
      <c r="C581" s="10" t="str">
        <f>IFERROR(__xludf.DUMMYFUNCTION("""COMPUTED_VALUE"""),"03009485820")</f>
        <v>03009485820</v>
      </c>
      <c r="D581" s="10" t="str">
        <f>IFERROR(__xludf.DUMMYFUNCTION("""COMPUTED_VALUE"""),"Jamia Masjid Musa Pak Shaheed Multan")</f>
        <v>Jamia Masjid Musa Pak Shaheed Multan</v>
      </c>
      <c r="E581" s="10" t="str">
        <f>IFERROR(__xludf.DUMMYFUNCTION("""COMPUTED_VALUE"""),"WGVNS")</f>
        <v>WGVNS</v>
      </c>
      <c r="F581" s="10">
        <f>IFERROR(__xludf.DUMMYFUNCTION("""COMPUTED_VALUE"""),250.0)</f>
        <v>250</v>
      </c>
      <c r="G581" s="10">
        <f>IFERROR(__xludf.DUMMYFUNCTION("""COMPUTED_VALUE"""),9.0)</f>
        <v>9</v>
      </c>
      <c r="H581" s="10">
        <f>IFERROR(__xludf.DUMMYFUNCTION("""COMPUTED_VALUE"""),9.0)</f>
        <v>9</v>
      </c>
      <c r="I581" s="10">
        <f>IFERROR(__xludf.DUMMYFUNCTION("""COMPUTED_VALUE"""),0.0)</f>
        <v>0</v>
      </c>
      <c r="J581" s="10"/>
      <c r="K581" s="10"/>
      <c r="L581" s="10"/>
      <c r="M581" s="10">
        <f>IFERROR(__xludf.DUMMYFUNCTION("""COMPUTED_VALUE"""),10.0)</f>
        <v>10</v>
      </c>
      <c r="N581" s="10"/>
      <c r="O581" s="10"/>
      <c r="P581" s="10"/>
      <c r="Q581" s="10"/>
      <c r="R581" s="10"/>
      <c r="S581" s="10"/>
      <c r="T581" s="10"/>
      <c r="U581" s="10" t="str">
        <f>IFERROR(__xludf.DUMMYFUNCTION("""COMPUTED_VALUE"""),"The enumerator didn't reached in the mosque, so I contacted the Imam directly and did the rating.")</f>
        <v>The enumerator didn't reached in the mosque, so I contacted the Imam directly and did the rating.</v>
      </c>
      <c r="V581" s="10"/>
      <c r="W581" s="10"/>
      <c r="X581" s="10"/>
      <c r="Y581" s="14" t="str">
        <f>IFERROR(__xludf.DUMMYFUNCTION("""COMPUTED_VALUE"""),"mrizwangcu8@gmail.com")</f>
        <v>mrizwangcu8@gmail.com</v>
      </c>
      <c r="AA581" s="324"/>
    </row>
    <row r="582" hidden="1">
      <c r="A582" s="9">
        <f>IFERROR(__xludf.DUMMYFUNCTION("""COMPUTED_VALUE"""),45899.25848329861)</f>
        <v>45899.25848</v>
      </c>
      <c r="B582" s="10" t="str">
        <f>IFERROR(__xludf.DUMMYFUNCTION("""COMPUTED_VALUE"""),"M Rizwan")</f>
        <v>M Rizwan</v>
      </c>
      <c r="C582" s="10" t="str">
        <f>IFERROR(__xludf.DUMMYFUNCTION("""COMPUTED_VALUE"""),"03009485820")</f>
        <v>03009485820</v>
      </c>
      <c r="D582" s="10" t="str">
        <f>IFERROR(__xludf.DUMMYFUNCTION("""COMPUTED_VALUE"""),"Jamia Masjid Darkhan Wali Multan")</f>
        <v>Jamia Masjid Darkhan Wali Multan</v>
      </c>
      <c r="E582" s="10" t="str">
        <f>IFERROR(__xludf.DUMMYFUNCTION("""COMPUTED_VALUE"""),"vqubm")</f>
        <v>vqubm</v>
      </c>
      <c r="F582" s="10">
        <f>IFERROR(__xludf.DUMMYFUNCTION("""COMPUTED_VALUE"""),200.0)</f>
        <v>200</v>
      </c>
      <c r="G582" s="10">
        <f>IFERROR(__xludf.DUMMYFUNCTION("""COMPUTED_VALUE"""),10.0)</f>
        <v>10</v>
      </c>
      <c r="H582" s="10">
        <f>IFERROR(__xludf.DUMMYFUNCTION("""COMPUTED_VALUE"""),10.0)</f>
        <v>10</v>
      </c>
      <c r="I582" s="10">
        <f>IFERROR(__xludf.DUMMYFUNCTION("""COMPUTED_VALUE"""),0.0)</f>
        <v>0</v>
      </c>
      <c r="J582" s="10"/>
      <c r="K582" s="10"/>
      <c r="L582" s="10"/>
      <c r="M582" s="10">
        <f>IFERROR(__xludf.DUMMYFUNCTION("""COMPUTED_VALUE"""),10.0)</f>
        <v>10</v>
      </c>
      <c r="N582" s="10"/>
      <c r="O582" s="10"/>
      <c r="P582" s="10"/>
      <c r="Q582" s="10"/>
      <c r="R582" s="10"/>
      <c r="S582" s="10"/>
      <c r="T582" s="10"/>
      <c r="U582" s="10" t="str">
        <f>IFERROR(__xludf.DUMMYFUNCTION("""COMPUTED_VALUE"""),"The enumerator didn't reached in the mosque, so I contacted the Imam directly and did the rating.")</f>
        <v>The enumerator didn't reached in the mosque, so I contacted the Imam directly and did the rating.</v>
      </c>
      <c r="V582" s="10"/>
      <c r="W582" s="10"/>
      <c r="X582" s="10"/>
      <c r="Y582" s="14" t="str">
        <f>IFERROR(__xludf.DUMMYFUNCTION("""COMPUTED_VALUE"""),"mrizwangcu8@gmail.com")</f>
        <v>mrizwangcu8@gmail.com</v>
      </c>
      <c r="AA582" s="324"/>
    </row>
    <row r="583" hidden="1">
      <c r="A583" s="9">
        <f>IFERROR(__xludf.DUMMYFUNCTION("""COMPUTED_VALUE"""),45900.23651806713)</f>
        <v>45900.23652</v>
      </c>
      <c r="B583" s="10" t="str">
        <f>IFERROR(__xludf.DUMMYFUNCTION("""COMPUTED_VALUE"""),"Maaz Bin Saeed ")</f>
        <v>Maaz Bin Saeed </v>
      </c>
      <c r="C583" s="10" t="str">
        <f>IFERROR(__xludf.DUMMYFUNCTION("""COMPUTED_VALUE"""),"03075300083")</f>
        <v>03075300083</v>
      </c>
      <c r="D583" s="10" t="str">
        <f>IFERROR(__xludf.DUMMYFUNCTION("""COMPUTED_VALUE"""),"Jamia Masjid Darbar Rasheed Jalaal Ul Din مسجد کا نام")</f>
        <v>Jamia Masjid Darbar Rasheed Jalaal Ul Din مسجد کا نام</v>
      </c>
      <c r="E583" s="10" t="str">
        <f>IFERROR(__xludf.DUMMYFUNCTION("""COMPUTED_VALUE"""),"PNYZS")</f>
        <v>PNYZS</v>
      </c>
      <c r="F583" s="10">
        <f>IFERROR(__xludf.DUMMYFUNCTION("""COMPUTED_VALUE"""),246.0)</f>
        <v>246</v>
      </c>
      <c r="G583" s="10">
        <f>IFERROR(__xludf.DUMMYFUNCTION("""COMPUTED_VALUE"""),7.0)</f>
        <v>7</v>
      </c>
      <c r="H583" s="10">
        <f>IFERROR(__xludf.DUMMYFUNCTION("""COMPUTED_VALUE"""),5.0)</f>
        <v>5</v>
      </c>
      <c r="I583" s="10">
        <f>IFERROR(__xludf.DUMMYFUNCTION("""COMPUTED_VALUE"""),4.0)</f>
        <v>4</v>
      </c>
      <c r="J583" s="10"/>
      <c r="K583" s="10"/>
      <c r="L583" s="10"/>
      <c r="M583" s="10">
        <f>IFERROR(__xludf.DUMMYFUNCTION("""COMPUTED_VALUE"""),7.0)</f>
        <v>7</v>
      </c>
      <c r="N583" s="10"/>
      <c r="O583" s="10"/>
      <c r="P583" s="10"/>
      <c r="Q583" s="10"/>
      <c r="R583" s="10"/>
      <c r="S583" s="10"/>
      <c r="T583" s="10"/>
      <c r="U583" s="18" t="str">
        <f>IFERROR(__xludf.DUMMYFUNCTION("""COMPUTED_VALUE"""),"https://drive.google.com/file/d/1qSSeeEb2Ky9SkFsdMBK4kCEZH7OQhlx4/view?usp=drive_link")</f>
        <v>https://drive.google.com/file/d/1qSSeeEb2Ky9SkFsdMBK4kCEZH7OQhlx4/view?usp=drive_link</v>
      </c>
      <c r="V583" s="10"/>
      <c r="W583" s="10"/>
      <c r="X583" s="10"/>
      <c r="Y583" s="14" t="str">
        <f>IFERROR(__xludf.DUMMYFUNCTION("""COMPUTED_VALUE"""),"bemaazsaeed@gmail.com")</f>
        <v>bemaazsaeed@gmail.com</v>
      </c>
      <c r="AA583" s="324"/>
    </row>
    <row r="584" hidden="1">
      <c r="A584" s="9">
        <f>IFERROR(__xludf.DUMMYFUNCTION("""COMPUTED_VALUE"""),45919.215473599535)</f>
        <v>45919.21547</v>
      </c>
      <c r="B584" s="10" t="str">
        <f>IFERROR(__xludf.DUMMYFUNCTION("""COMPUTED_VALUE"""),"Naveed Khalid ")</f>
        <v>Naveed Khalid </v>
      </c>
      <c r="C584" s="10" t="str">
        <f>IFERROR(__xludf.DUMMYFUNCTION("""COMPUTED_VALUE"""),"03087944200")</f>
        <v>03087944200</v>
      </c>
      <c r="D584" s="10" t="str">
        <f>IFERROR(__xludf.DUMMYFUNCTION("""COMPUTED_VALUE"""),"Jamia masjid darbar Muhammad ghous")</f>
        <v>Jamia masjid darbar Muhammad ghous</v>
      </c>
      <c r="E584" s="10" t="str">
        <f>IFERROR(__xludf.DUMMYFUNCTION("""COMPUTED_VALUE"""),"VTGKG")</f>
        <v>VTGKG</v>
      </c>
      <c r="F584" s="10">
        <f>IFERROR(__xludf.DUMMYFUNCTION("""COMPUTED_VALUE"""),470.0)</f>
        <v>470</v>
      </c>
      <c r="G584" s="10">
        <f>IFERROR(__xludf.DUMMYFUNCTION("""COMPUTED_VALUE"""),6.0)</f>
        <v>6</v>
      </c>
      <c r="H584" s="10">
        <f>IFERROR(__xludf.DUMMYFUNCTION("""COMPUTED_VALUE"""),2.0)</f>
        <v>2</v>
      </c>
      <c r="I584" s="10">
        <f>IFERROR(__xludf.DUMMYFUNCTION("""COMPUTED_VALUE"""),4.0)</f>
        <v>4</v>
      </c>
      <c r="J584" s="10"/>
      <c r="K584" s="10"/>
      <c r="L584" s="10"/>
      <c r="M584" s="10">
        <f>IFERROR(__xludf.DUMMYFUNCTION("""COMPUTED_VALUE"""),10.0)</f>
        <v>10</v>
      </c>
      <c r="N584" s="10"/>
      <c r="O584" s="10"/>
      <c r="P584" s="10"/>
      <c r="Q584" s="10"/>
      <c r="R584" s="10"/>
      <c r="S584" s="10"/>
      <c r="T584" s="10"/>
      <c r="U584" s="18" t="str">
        <f>IFERROR(__xludf.DUMMYFUNCTION("""COMPUTED_VALUE"""),"https://drive.google.com/open?id=1q5LCraaTyUj30JQtNozSZuTnDYYrJS5F")</f>
        <v>https://drive.google.com/open?id=1q5LCraaTyUj30JQtNozSZuTnDYYrJS5F</v>
      </c>
      <c r="V584" s="10"/>
      <c r="W584" s="10"/>
      <c r="X584" s="10"/>
      <c r="Y584" s="14" t="str">
        <f>IFERROR(__xludf.DUMMYFUNCTION("""COMPUTED_VALUE"""),"rulesbreakers52@gmail.com")</f>
        <v>rulesbreakers52@gmail.com</v>
      </c>
      <c r="AA584" s="324"/>
    </row>
    <row r="585" hidden="1">
      <c r="A585" s="9">
        <f>IFERROR(__xludf.DUMMYFUNCTION("""COMPUTED_VALUE"""),45919.22276927083)</f>
        <v>45919.22277</v>
      </c>
      <c r="B585" s="10" t="str">
        <f>IFERROR(__xludf.DUMMYFUNCTION("""COMPUTED_VALUE"""),"Waseem Rehman ")</f>
        <v>Waseem Rehman </v>
      </c>
      <c r="C585" s="10" t="str">
        <f>IFERROR(__xludf.DUMMYFUNCTION("""COMPUTED_VALUE"""),"03005017007")</f>
        <v>03005017007</v>
      </c>
      <c r="D585" s="10" t="str">
        <f>IFERROR(__xludf.DUMMYFUNCTION("""COMPUTED_VALUE"""),"Jamia Masjid Sarwariya Islamia Muhammad Shah")</f>
        <v>Jamia Masjid Sarwariya Islamia Muhammad Shah</v>
      </c>
      <c r="E585" s="10" t="str">
        <f>IFERROR(__xludf.DUMMYFUNCTION("""COMPUTED_VALUE"""),"IOTAE")</f>
        <v>IOTAE</v>
      </c>
      <c r="F585" s="10">
        <f>IFERROR(__xludf.DUMMYFUNCTION("""COMPUTED_VALUE"""),29.0)</f>
        <v>29</v>
      </c>
      <c r="G585" s="10">
        <f>IFERROR(__xludf.DUMMYFUNCTION("""COMPUTED_VALUE"""),9.0)</f>
        <v>9</v>
      </c>
      <c r="H585" s="10">
        <f>IFERROR(__xludf.DUMMYFUNCTION("""COMPUTED_VALUE"""),9.0)</f>
        <v>9</v>
      </c>
      <c r="I585" s="10">
        <f>IFERROR(__xludf.DUMMYFUNCTION("""COMPUTED_VALUE"""),0.0)</f>
        <v>0</v>
      </c>
      <c r="J585" s="10"/>
      <c r="K585" s="10"/>
      <c r="L585" s="10"/>
      <c r="M585" s="10">
        <f>IFERROR(__xludf.DUMMYFUNCTION("""COMPUTED_VALUE"""),9.0)</f>
        <v>9</v>
      </c>
      <c r="N585" s="10"/>
      <c r="O585" s="10"/>
      <c r="P585" s="10"/>
      <c r="Q585" s="10"/>
      <c r="R585" s="10"/>
      <c r="S585" s="10"/>
      <c r="T585" s="10"/>
      <c r="U585" s="18" t="str">
        <f>IFERROR(__xludf.DUMMYFUNCTION("""COMPUTED_VALUE"""),"https://drive.google.com/open?id=1E7qcQWcI-PvvH9GkWtmdtX3bTKAwvacy")</f>
        <v>https://drive.google.com/open?id=1E7qcQWcI-PvvH9GkWtmdtX3bTKAwvacy</v>
      </c>
      <c r="V585" s="10"/>
      <c r="W585" s="10"/>
      <c r="X585" s="10"/>
      <c r="Y585" s="14" t="str">
        <f>IFERROR(__xludf.DUMMYFUNCTION("""COMPUTED_VALUE"""),"iwaseemrehman@gmail.com")</f>
        <v>iwaseemrehman@gmail.com</v>
      </c>
      <c r="AA585" s="324"/>
    </row>
    <row r="586" hidden="1">
      <c r="A586" s="9">
        <f>IFERROR(__xludf.DUMMYFUNCTION("""COMPUTED_VALUE"""),45919.224526273145)</f>
        <v>45919.22453</v>
      </c>
      <c r="B586" s="10" t="str">
        <f>IFERROR(__xludf.DUMMYFUNCTION("""COMPUTED_VALUE"""),"Arslan Hafeez ")</f>
        <v>Arslan Hafeez </v>
      </c>
      <c r="C586" s="10" t="str">
        <f>IFERROR(__xludf.DUMMYFUNCTION("""COMPUTED_VALUE"""),"03214883176")</f>
        <v>03214883176</v>
      </c>
      <c r="D586" s="10" t="str">
        <f>IFERROR(__xludf.DUMMYFUNCTION("""COMPUTED_VALUE"""),"Jamiha Masjad ghala mandi chichawatni ")</f>
        <v>Jamiha Masjad ghala mandi chichawatni </v>
      </c>
      <c r="E586" s="10" t="str">
        <f>IFERROR(__xludf.DUMMYFUNCTION("""COMPUTED_VALUE"""),"YTVOY")</f>
        <v>YTVOY</v>
      </c>
      <c r="F586" s="10">
        <f>IFERROR(__xludf.DUMMYFUNCTION("""COMPUTED_VALUE"""),242.0)</f>
        <v>242</v>
      </c>
      <c r="G586" s="10">
        <f>IFERROR(__xludf.DUMMYFUNCTION("""COMPUTED_VALUE"""),8.0)</f>
        <v>8</v>
      </c>
      <c r="H586" s="10">
        <f>IFERROR(__xludf.DUMMYFUNCTION("""COMPUTED_VALUE"""),8.0)</f>
        <v>8</v>
      </c>
      <c r="I586" s="10">
        <f>IFERROR(__xludf.DUMMYFUNCTION("""COMPUTED_VALUE"""),1.0)</f>
        <v>1</v>
      </c>
      <c r="J586" s="10"/>
      <c r="K586" s="10"/>
      <c r="L586" s="10"/>
      <c r="M586" s="10">
        <f>IFERROR(__xludf.DUMMYFUNCTION("""COMPUTED_VALUE"""),8.0)</f>
        <v>8</v>
      </c>
      <c r="N586" s="10"/>
      <c r="O586" s="10"/>
      <c r="P586" s="10"/>
      <c r="Q586" s="10"/>
      <c r="R586" s="10"/>
      <c r="S586" s="10"/>
      <c r="T586" s="10"/>
      <c r="U586" s="18" t="str">
        <f>IFERROR(__xludf.DUMMYFUNCTION("""COMPUTED_VALUE"""),"https://drive.google.com/file/d/1HVbSbF8xgE4_TxTkhEA69bPLbLgvibJb/view?usp=drive_link")</f>
        <v>https://drive.google.com/file/d/1HVbSbF8xgE4_TxTkhEA69bPLbLgvibJb/view?usp=drive_link</v>
      </c>
      <c r="V586" s="10" t="str">
        <f>IFERROR(__xludf.DUMMYFUNCTION("""COMPUTED_VALUE"""),"Nahi ")</f>
        <v>Nahi </v>
      </c>
      <c r="W586" s="10"/>
      <c r="X586" s="10"/>
      <c r="Y586" s="14" t="str">
        <f>IFERROR(__xludf.DUMMYFUNCTION("""COMPUTED_VALUE"""),"Arslanhafeez1818@gmail.com")</f>
        <v>Arslanhafeez1818@gmail.com</v>
      </c>
      <c r="AA586" s="324"/>
    </row>
    <row r="587" hidden="1">
      <c r="A587" s="9">
        <f>IFERROR(__xludf.DUMMYFUNCTION("""COMPUTED_VALUE"""),45919.232124699076)</f>
        <v>45919.23212</v>
      </c>
      <c r="B587" s="10" t="str">
        <f>IFERROR(__xludf.DUMMYFUNCTION("""COMPUTED_VALUE"""),"مجاہد امین ")</f>
        <v>مجاہد امین </v>
      </c>
      <c r="C587" s="10" t="str">
        <f>IFERROR(__xludf.DUMMYFUNCTION("""COMPUTED_VALUE"""),"0348-4724367")</f>
        <v>0348-4724367</v>
      </c>
      <c r="D587" s="10" t="str">
        <f>IFERROR(__xludf.DUMMYFUNCTION("""COMPUTED_VALUE"""),"جامع مسجد دربار حضرت سائیں لابھے شاہ، گوگیرہ ")</f>
        <v>جامع مسجد دربار حضرت سائیں لابھے شاہ، گوگیرہ </v>
      </c>
      <c r="E587" s="10" t="str">
        <f>IFERROR(__xludf.DUMMYFUNCTION("""COMPUTED_VALUE"""),"VPLSV")</f>
        <v>VPLSV</v>
      </c>
      <c r="F587" s="10">
        <f>IFERROR(__xludf.DUMMYFUNCTION("""COMPUTED_VALUE"""),320.0)</f>
        <v>320</v>
      </c>
      <c r="G587" s="10">
        <f>IFERROR(__xludf.DUMMYFUNCTION("""COMPUTED_VALUE"""),9.0)</f>
        <v>9</v>
      </c>
      <c r="H587" s="10">
        <f>IFERROR(__xludf.DUMMYFUNCTION("""COMPUTED_VALUE"""),6.0)</f>
        <v>6</v>
      </c>
      <c r="I587" s="10" t="str">
        <f>IFERROR(__xludf.DUMMYFUNCTION("""COMPUTED_VALUE"""),"کوئ نہیں ")</f>
        <v>کوئ نہیں </v>
      </c>
      <c r="J587" s="10"/>
      <c r="K587" s="10"/>
      <c r="L587" s="10"/>
      <c r="M587" s="10">
        <f>IFERROR(__xludf.DUMMYFUNCTION("""COMPUTED_VALUE"""),8.0)</f>
        <v>8</v>
      </c>
      <c r="N587" s="10"/>
      <c r="O587" s="10"/>
      <c r="P587" s="10"/>
      <c r="Q587" s="10"/>
      <c r="R587" s="10"/>
      <c r="S587" s="10"/>
      <c r="T587" s="10"/>
      <c r="U587" s="18" t="str">
        <f>IFERROR(__xludf.DUMMYFUNCTION("""COMPUTED_VALUE"""),"https://drive.google.com/open?id=16NfHoFKpIhQLrdiaA30xSjjfnmQk5WuR")</f>
        <v>https://drive.google.com/open?id=16NfHoFKpIhQLrdiaA30xSjjfnmQk5WuR</v>
      </c>
      <c r="V587" s="10" t="str">
        <f>IFERROR(__xludf.DUMMYFUNCTION("""COMPUTED_VALUE"""),"نہیں")</f>
        <v>نہیں</v>
      </c>
      <c r="W587" s="10"/>
      <c r="X587" s="10"/>
      <c r="Y587" s="14" t="str">
        <f>IFERROR(__xludf.DUMMYFUNCTION("""COMPUTED_VALUE"""),"mujahidamin636@gmail.com")</f>
        <v>mujahidamin636@gmail.com</v>
      </c>
      <c r="AA587" s="324"/>
    </row>
    <row r="588" hidden="1">
      <c r="A588" s="9">
        <f>IFERROR(__xludf.DUMMYFUNCTION("""COMPUTED_VALUE"""),45919.240612546295)</f>
        <v>45919.24061</v>
      </c>
      <c r="B588" s="10" t="str">
        <f>IFERROR(__xludf.DUMMYFUNCTION("""COMPUTED_VALUE"""),"Nadeem Akram Sahir")</f>
        <v>Nadeem Akram Sahir</v>
      </c>
      <c r="C588" s="10" t="str">
        <f>IFERROR(__xludf.DUMMYFUNCTION("""COMPUTED_VALUE"""),"03074993350")</f>
        <v>03074993350</v>
      </c>
      <c r="D588" s="10" t="str">
        <f>IFERROR(__xludf.DUMMYFUNCTION("""COMPUTED_VALUE"""),"FFPZC	Jamia Masjid Hanfiya C Block Okara	")</f>
        <v>FFPZC	Jamia Masjid Hanfiya C Block Okara	</v>
      </c>
      <c r="E588" s="10" t="str">
        <f>IFERROR(__xludf.DUMMYFUNCTION("""COMPUTED_VALUE"""),"FFPZC")</f>
        <v>FFPZC</v>
      </c>
      <c r="F588" s="10">
        <f>IFERROR(__xludf.DUMMYFUNCTION("""COMPUTED_VALUE"""),267.0)</f>
        <v>267</v>
      </c>
      <c r="G588" s="10">
        <f>IFERROR(__xludf.DUMMYFUNCTION("""COMPUTED_VALUE"""),10.0)</f>
        <v>10</v>
      </c>
      <c r="H588" s="10">
        <f>IFERROR(__xludf.DUMMYFUNCTION("""COMPUTED_VALUE"""),10.0)</f>
        <v>10</v>
      </c>
      <c r="I588" s="10">
        <f>IFERROR(__xludf.DUMMYFUNCTION("""COMPUTED_VALUE"""),0.0)</f>
        <v>0</v>
      </c>
      <c r="J588" s="10"/>
      <c r="K588" s="10"/>
      <c r="L588" s="10"/>
      <c r="M588" s="10">
        <f>IFERROR(__xludf.DUMMYFUNCTION("""COMPUTED_VALUE"""),10.0)</f>
        <v>10</v>
      </c>
      <c r="N588" s="10"/>
      <c r="O588" s="10"/>
      <c r="P588" s="10"/>
      <c r="Q588" s="10"/>
      <c r="R588" s="10"/>
      <c r="S588" s="10"/>
      <c r="T588" s="10"/>
      <c r="U588" s="18" t="str">
        <f>IFERROR(__xludf.DUMMYFUNCTION("""COMPUTED_VALUE"""),"https://drive.google.com/file/d/1n3i5B52SNoByY92z_GX7pD6py0pGv52M/view?usp=sharing")</f>
        <v>https://drive.google.com/file/d/1n3i5B52SNoByY92z_GX7pD6py0pGv52M/view?usp=sharing</v>
      </c>
      <c r="V588" s="10"/>
      <c r="W588" s="10"/>
      <c r="X588" s="10"/>
      <c r="Y588" s="14" t="str">
        <f>IFERROR(__xludf.DUMMYFUNCTION("""COMPUTED_VALUE"""),"nadeemakramsahir@gmail.com")</f>
        <v>nadeemakramsahir@gmail.com</v>
      </c>
      <c r="AA588" s="324"/>
    </row>
    <row r="589" hidden="1">
      <c r="A589" s="9">
        <f>IFERROR(__xludf.DUMMYFUNCTION("""COMPUTED_VALUE"""),45919.25056291667)</f>
        <v>45919.25056</v>
      </c>
      <c r="B589" s="10" t="str">
        <f>IFERROR(__xludf.DUMMYFUNCTION("""COMPUTED_VALUE"""),"QasimWaseem ")</f>
        <v>QasimWaseem </v>
      </c>
      <c r="C589" s="10" t="str">
        <f>IFERROR(__xludf.DUMMYFUNCTION("""COMPUTED_VALUE"""),"03219627514")</f>
        <v>03219627514</v>
      </c>
      <c r="D589" s="10" t="str">
        <f>IFERROR(__xludf.DUMMYFUNCTION("""COMPUTED_VALUE"""),"Jamia Masjid Eid gah Sahiwal ")</f>
        <v>Jamia Masjid Eid gah Sahiwal </v>
      </c>
      <c r="E589" s="10" t="str">
        <f>IFERROR(__xludf.DUMMYFUNCTION("""COMPUTED_VALUE"""),"BXYXM")</f>
        <v>BXYXM</v>
      </c>
      <c r="F589" s="10">
        <f>IFERROR(__xludf.DUMMYFUNCTION("""COMPUTED_VALUE"""),600.0)</f>
        <v>600</v>
      </c>
      <c r="G589" s="10">
        <f>IFERROR(__xludf.DUMMYFUNCTION("""COMPUTED_VALUE"""),6.0)</f>
        <v>6</v>
      </c>
      <c r="H589" s="10">
        <f>IFERROR(__xludf.DUMMYFUNCTION("""COMPUTED_VALUE"""),6.0)</f>
        <v>6</v>
      </c>
      <c r="I589" s="10" t="str">
        <f>IFERROR(__xludf.DUMMYFUNCTION("""COMPUTED_VALUE"""),"No")</f>
        <v>No</v>
      </c>
      <c r="J589" s="10"/>
      <c r="K589" s="10"/>
      <c r="L589" s="10"/>
      <c r="M589" s="10">
        <f>IFERROR(__xludf.DUMMYFUNCTION("""COMPUTED_VALUE"""),7.0)</f>
        <v>7</v>
      </c>
      <c r="N589" s="10"/>
      <c r="O589" s="10"/>
      <c r="P589" s="10"/>
      <c r="Q589" s="10"/>
      <c r="R589" s="10"/>
      <c r="S589" s="10"/>
      <c r="T589" s="10"/>
      <c r="U589" s="18" t="str">
        <f>IFERROR(__xludf.DUMMYFUNCTION("""COMPUTED_VALUE"""),"https://drive.google.com/file/d/1216Tn0ckwQv7SnJPE8bep8szzAgEae5n/view?usp=drive_link")</f>
        <v>https://drive.google.com/file/d/1216Tn0ckwQv7SnJPE8bep8szzAgEae5n/view?usp=drive_link</v>
      </c>
      <c r="V589" s="10"/>
      <c r="W589" s="10"/>
      <c r="X589" s="10"/>
      <c r="Y589" s="14" t="str">
        <f>IFERROR(__xludf.DUMMYFUNCTION("""COMPUTED_VALUE"""),"qasimwaseem222@gmail.com")</f>
        <v>qasimwaseem222@gmail.com</v>
      </c>
      <c r="AA589" s="324"/>
    </row>
    <row r="590" hidden="1">
      <c r="A590" s="9">
        <f>IFERROR(__xludf.DUMMYFUNCTION("""COMPUTED_VALUE"""),45919.25292092592)</f>
        <v>45919.25292</v>
      </c>
      <c r="B590" s="10" t="str">
        <f>IFERROR(__xludf.DUMMYFUNCTION("""COMPUTED_VALUE"""),"Abubakar ")</f>
        <v>Abubakar </v>
      </c>
      <c r="C590" s="10" t="str">
        <f>IFERROR(__xludf.DUMMYFUNCTION("""COMPUTED_VALUE"""),"03111204919")</f>
        <v>03111204919</v>
      </c>
      <c r="D590" s="10" t="str">
        <f>IFERROR(__xludf.DUMMYFUNCTION("""COMPUTED_VALUE"""),"Jamiya usmaneya ")</f>
        <v>Jamiya usmaneya </v>
      </c>
      <c r="E590" s="10" t="str">
        <f>IFERROR(__xludf.DUMMYFUNCTION("""COMPUTED_VALUE"""),"KGQJV")</f>
        <v>KGQJV</v>
      </c>
      <c r="F590" s="10">
        <f>IFERROR(__xludf.DUMMYFUNCTION("""COMPUTED_VALUE"""),820.0)</f>
        <v>820</v>
      </c>
      <c r="G590" s="10">
        <f>IFERROR(__xludf.DUMMYFUNCTION("""COMPUTED_VALUE"""),8.0)</f>
        <v>8</v>
      </c>
      <c r="H590" s="10">
        <f>IFERROR(__xludf.DUMMYFUNCTION("""COMPUTED_VALUE"""),8.0)</f>
        <v>8</v>
      </c>
      <c r="I590" s="10">
        <f>IFERROR(__xludf.DUMMYFUNCTION("""COMPUTED_VALUE"""),1.0)</f>
        <v>1</v>
      </c>
      <c r="J590" s="10"/>
      <c r="K590" s="10"/>
      <c r="L590" s="10"/>
      <c r="M590" s="10">
        <f>IFERROR(__xludf.DUMMYFUNCTION("""COMPUTED_VALUE"""),9.0)</f>
        <v>9</v>
      </c>
      <c r="N590" s="10"/>
      <c r="O590" s="10"/>
      <c r="P590" s="10"/>
      <c r="Q590" s="10"/>
      <c r="R590" s="10"/>
      <c r="S590" s="10"/>
      <c r="T590" s="10"/>
      <c r="U590" s="18" t="str">
        <f>IFERROR(__xludf.DUMMYFUNCTION("""COMPUTED_VALUE"""),"https://drive.google.com/open?id=15hAN9vrZgMc8TrNwiSCOfI3A30Q0Flsd")</f>
        <v>https://drive.google.com/open?id=15hAN9vrZgMc8TrNwiSCOfI3A30Q0Flsd</v>
      </c>
      <c r="V590" s="10"/>
      <c r="W590" s="10"/>
      <c r="X590" s="10"/>
      <c r="Y590" s="14" t="str">
        <f>IFERROR(__xludf.DUMMYFUNCTION("""COMPUTED_VALUE"""),"ab1995312@gmail.com")</f>
        <v>ab1995312@gmail.com</v>
      </c>
      <c r="AA590" s="324"/>
    </row>
    <row r="591" hidden="1">
      <c r="A591" s="9">
        <f>IFERROR(__xludf.DUMMYFUNCTION("""COMPUTED_VALUE"""),45919.253400625)</f>
        <v>45919.2534</v>
      </c>
      <c r="B591" s="10" t="str">
        <f>IFERROR(__xludf.DUMMYFUNCTION("""COMPUTED_VALUE"""),"Faisal Mushtaq ")</f>
        <v>Faisal Mushtaq </v>
      </c>
      <c r="C591" s="10" t="str">
        <f>IFERROR(__xludf.DUMMYFUNCTION("""COMPUTED_VALUE"""),"03186036329")</f>
        <v>03186036329</v>
      </c>
      <c r="D591" s="10" t="str">
        <f>IFERROR(__xludf.DUMMYFUNCTION("""COMPUTED_VALUE"""),"Ghosiya Rizwiya Markazi masjid Sadar Bazar Renala Kurd")</f>
        <v>Ghosiya Rizwiya Markazi masjid Sadar Bazar Renala Kurd</v>
      </c>
      <c r="E591" s="10" t="str">
        <f>IFERROR(__xludf.DUMMYFUNCTION("""COMPUTED_VALUE"""),"RUJKZ")</f>
        <v>RUJKZ</v>
      </c>
      <c r="F591" s="10">
        <f>IFERROR(__xludf.DUMMYFUNCTION("""COMPUTED_VALUE"""),1300.0)</f>
        <v>1300</v>
      </c>
      <c r="G591" s="10">
        <f>IFERROR(__xludf.DUMMYFUNCTION("""COMPUTED_VALUE"""),9.0)</f>
        <v>9</v>
      </c>
      <c r="H591" s="10">
        <f>IFERROR(__xludf.DUMMYFUNCTION("""COMPUTED_VALUE"""),7.0)</f>
        <v>7</v>
      </c>
      <c r="I591" s="10" t="str">
        <f>IFERROR(__xludf.DUMMYFUNCTION("""COMPUTED_VALUE"""),"Kachra nhi ha ")</f>
        <v>Kachra nhi ha </v>
      </c>
      <c r="J591" s="10"/>
      <c r="K591" s="10"/>
      <c r="L591" s="10"/>
      <c r="M591" s="10">
        <f>IFERROR(__xludf.DUMMYFUNCTION("""COMPUTED_VALUE"""),9.0)</f>
        <v>9</v>
      </c>
      <c r="N591" s="10"/>
      <c r="O591" s="10"/>
      <c r="P591" s="10"/>
      <c r="Q591" s="10"/>
      <c r="R591" s="10"/>
      <c r="S591" s="10"/>
      <c r="T591" s="10"/>
      <c r="U591" s="18" t="str">
        <f>IFERROR(__xludf.DUMMYFUNCTION("""COMPUTED_VALUE"""),"https://drive.google.com/open?id=13JAJq2irAbPB28YLIumJkUnO2iIaQlng")</f>
        <v>https://drive.google.com/open?id=13JAJq2irAbPB28YLIumJkUnO2iIaQlng</v>
      </c>
      <c r="V591" s="10"/>
      <c r="W591" s="10"/>
      <c r="X591" s="10"/>
      <c r="Y591" s="14" t="str">
        <f>IFERROR(__xludf.DUMMYFUNCTION("""COMPUTED_VALUE"""),"xtfaisalkhichi@gmail.com")</f>
        <v>xtfaisalkhichi@gmail.com</v>
      </c>
      <c r="AA591" s="324"/>
    </row>
    <row r="592" hidden="1">
      <c r="A592" s="9">
        <f>IFERROR(__xludf.DUMMYFUNCTION("""COMPUTED_VALUE"""),45919.25600969908)</f>
        <v>45919.25601</v>
      </c>
      <c r="B592" s="10" t="str">
        <f>IFERROR(__xludf.DUMMYFUNCTION("""COMPUTED_VALUE"""),"Numan Ali")</f>
        <v>Numan Ali</v>
      </c>
      <c r="C592" s="10" t="str">
        <f>IFERROR(__xludf.DUMMYFUNCTION("""COMPUTED_VALUE"""),"03008196197")</f>
        <v>03008196197</v>
      </c>
      <c r="D592" s="10" t="str">
        <f>IFERROR(__xludf.DUMMYFUNCTION("""COMPUTED_VALUE"""),"Jamia Masjid Gala Mandi")</f>
        <v>Jamia Masjid Gala Mandi</v>
      </c>
      <c r="E592" s="10" t="str">
        <f>IFERROR(__xludf.DUMMYFUNCTION("""COMPUTED_VALUE"""),"UOMYF")</f>
        <v>UOMYF</v>
      </c>
      <c r="F592" s="10">
        <f>IFERROR(__xludf.DUMMYFUNCTION("""COMPUTED_VALUE"""),90.0)</f>
        <v>90</v>
      </c>
      <c r="G592" s="10">
        <f>IFERROR(__xludf.DUMMYFUNCTION("""COMPUTED_VALUE"""),7.0)</f>
        <v>7</v>
      </c>
      <c r="H592" s="10">
        <f>IFERROR(__xludf.DUMMYFUNCTION("""COMPUTED_VALUE"""),8.0)</f>
        <v>8</v>
      </c>
      <c r="I592" s="10">
        <f>IFERROR(__xludf.DUMMYFUNCTION("""COMPUTED_VALUE"""),0.0)</f>
        <v>0</v>
      </c>
      <c r="J592" s="10"/>
      <c r="K592" s="10"/>
      <c r="L592" s="10"/>
      <c r="M592" s="10">
        <f>IFERROR(__xludf.DUMMYFUNCTION("""COMPUTED_VALUE"""),9.0)</f>
        <v>9</v>
      </c>
      <c r="N592" s="10"/>
      <c r="O592" s="10"/>
      <c r="P592" s="10"/>
      <c r="Q592" s="10"/>
      <c r="R592" s="10"/>
      <c r="S592" s="10"/>
      <c r="T592" s="10"/>
      <c r="U592" s="18" t="str">
        <f>IFERROR(__xludf.DUMMYFUNCTION("""COMPUTED_VALUE"""),"https://drive.google.com/open?id=1miYrjSb-EOPoYc6puary-rWRlm7zdb6F")</f>
        <v>https://drive.google.com/open?id=1miYrjSb-EOPoYc6puary-rWRlm7zdb6F</v>
      </c>
      <c r="V592" s="10"/>
      <c r="W592" s="10"/>
      <c r="X592" s="10"/>
      <c r="Y592" s="14" t="str">
        <f>IFERROR(__xludf.DUMMYFUNCTION("""COMPUTED_VALUE"""),"numanali8196@gmail.com")</f>
        <v>numanali8196@gmail.com</v>
      </c>
      <c r="AA592" s="324"/>
    </row>
    <row r="593" hidden="1">
      <c r="A593" s="9">
        <f>IFERROR(__xludf.DUMMYFUNCTION("""COMPUTED_VALUE"""),45919.26875765046)</f>
        <v>45919.26876</v>
      </c>
      <c r="B593" s="10" t="str">
        <f>IFERROR(__xludf.DUMMYFUNCTION("""COMPUTED_VALUE"""),"M yahya")</f>
        <v>M yahya</v>
      </c>
      <c r="C593" s="10" t="str">
        <f>IFERROR(__xludf.DUMMYFUNCTION("""COMPUTED_VALUE"""),"03027985144")</f>
        <v>03027985144</v>
      </c>
      <c r="D593" s="10" t="str">
        <f>IFERROR(__xludf.DUMMYFUNCTION("""COMPUTED_VALUE"""),"Jamia masjid Mohammaia ghousia")</f>
        <v>Jamia masjid Mohammaia ghousia</v>
      </c>
      <c r="E593" s="10" t="str">
        <f>IFERROR(__xludf.DUMMYFUNCTION("""COMPUTED_VALUE"""),"MIIDK")</f>
        <v>MIIDK</v>
      </c>
      <c r="F593" s="10">
        <f>IFERROR(__xludf.DUMMYFUNCTION("""COMPUTED_VALUE"""),550.0)</f>
        <v>550</v>
      </c>
      <c r="G593" s="10">
        <f>IFERROR(__xludf.DUMMYFUNCTION("""COMPUTED_VALUE"""),8.0)</f>
        <v>8</v>
      </c>
      <c r="H593" s="10">
        <f>IFERROR(__xludf.DUMMYFUNCTION("""COMPUTED_VALUE"""),8.0)</f>
        <v>8</v>
      </c>
      <c r="I593" s="10">
        <f>IFERROR(__xludf.DUMMYFUNCTION("""COMPUTED_VALUE"""),1.0)</f>
        <v>1</v>
      </c>
      <c r="J593" s="10"/>
      <c r="K593" s="10"/>
      <c r="L593" s="10"/>
      <c r="M593" s="10">
        <f>IFERROR(__xludf.DUMMYFUNCTION("""COMPUTED_VALUE"""),9.0)</f>
        <v>9</v>
      </c>
      <c r="N593" s="10"/>
      <c r="O593" s="10"/>
      <c r="P593" s="10"/>
      <c r="Q593" s="10"/>
      <c r="R593" s="10"/>
      <c r="S593" s="10"/>
      <c r="T593" s="10"/>
      <c r="U593" s="18" t="str">
        <f>IFERROR(__xludf.DUMMYFUNCTION("""COMPUTED_VALUE"""),"https://drive.google.com/file/d/1sMzStmlCWe-9fy6HH6WwbmRCKs8q4MWq/view?usp=drive_link")</f>
        <v>https://drive.google.com/file/d/1sMzStmlCWe-9fy6HH6WwbmRCKs8q4MWq/view?usp=drive_link</v>
      </c>
      <c r="V593" s="10"/>
      <c r="W593" s="10"/>
      <c r="X593" s="10"/>
      <c r="Y593" s="14" t="str">
        <f>IFERROR(__xludf.DUMMYFUNCTION("""COMPUTED_VALUE"""),"muhammadyahya@gmail.com")</f>
        <v>muhammadyahya@gmail.com</v>
      </c>
      <c r="AA593" s="324"/>
    </row>
    <row r="594" hidden="1">
      <c r="A594" s="9">
        <f>IFERROR(__xludf.DUMMYFUNCTION("""COMPUTED_VALUE"""),45919.282919097226)</f>
        <v>45919.28292</v>
      </c>
      <c r="B594" s="10" t="str">
        <f>IFERROR(__xludf.DUMMYFUNCTION("""COMPUTED_VALUE"""),"Rizwan Ali")</f>
        <v>Rizwan Ali</v>
      </c>
      <c r="C594" s="10" t="str">
        <f>IFERROR(__xludf.DUMMYFUNCTION("""COMPUTED_VALUE"""),"03430773443")</f>
        <v>03430773443</v>
      </c>
      <c r="D594" s="10" t="str">
        <f>IFERROR(__xludf.DUMMYFUNCTION("""COMPUTED_VALUE""")," noor ul masjid")</f>
        <v> noor ul masjid</v>
      </c>
      <c r="E594" s="10" t="str">
        <f>IFERROR(__xludf.DUMMYFUNCTION("""COMPUTED_VALUE"""),"IFVQA")</f>
        <v>IFVQA</v>
      </c>
      <c r="F594" s="10">
        <f>IFERROR(__xludf.DUMMYFUNCTION("""COMPUTED_VALUE"""),1300.0)</f>
        <v>1300</v>
      </c>
      <c r="G594" s="10">
        <f>IFERROR(__xludf.DUMMYFUNCTION("""COMPUTED_VALUE"""),9.0)</f>
        <v>9</v>
      </c>
      <c r="H594" s="10">
        <f>IFERROR(__xludf.DUMMYFUNCTION("""COMPUTED_VALUE"""),9.0)</f>
        <v>9</v>
      </c>
      <c r="I594" s="10">
        <f>IFERROR(__xludf.DUMMYFUNCTION("""COMPUTED_VALUE"""),0.0)</f>
        <v>0</v>
      </c>
      <c r="J594" s="10"/>
      <c r="K594" s="10"/>
      <c r="L594" s="10"/>
      <c r="M594" s="10">
        <f>IFERROR(__xludf.DUMMYFUNCTION("""COMPUTED_VALUE"""),9.0)</f>
        <v>9</v>
      </c>
      <c r="N594" s="10"/>
      <c r="O594" s="10"/>
      <c r="P594" s="10"/>
      <c r="Q594" s="10"/>
      <c r="R594" s="10"/>
      <c r="S594" s="10"/>
      <c r="T594" s="10"/>
      <c r="U594" s="18" t="str">
        <f>IFERROR(__xludf.DUMMYFUNCTION("""COMPUTED_VALUE"""),"https://drive.google.com/open?id=1Wt0Li33T5xKOtK0YMIHoUyY5VKqrSaOx")</f>
        <v>https://drive.google.com/open?id=1Wt0Li33T5xKOtK0YMIHoUyY5VKqrSaOx</v>
      </c>
      <c r="V594" s="10" t="str">
        <f>IFERROR(__xludf.DUMMYFUNCTION("""COMPUTED_VALUE"""),"No")</f>
        <v>No</v>
      </c>
      <c r="W594" s="10"/>
      <c r="X594" s="10"/>
      <c r="Y594" s="14" t="str">
        <f>IFERROR(__xludf.DUMMYFUNCTION("""COMPUTED_VALUE"""),"rizwanali6642@gmail.com")</f>
        <v>rizwanali6642@gmail.com</v>
      </c>
      <c r="AA594" s="324"/>
    </row>
    <row r="595" hidden="1">
      <c r="A595" s="9">
        <f>IFERROR(__xludf.DUMMYFUNCTION("""COMPUTED_VALUE"""),45919.28531320602)</f>
        <v>45919.28531</v>
      </c>
      <c r="B595" s="10" t="str">
        <f>IFERROR(__xludf.DUMMYFUNCTION("""COMPUTED_VALUE"""),"Nadeem basharat ")</f>
        <v>Nadeem basharat </v>
      </c>
      <c r="C595" s="10" t="str">
        <f>IFERROR(__xludf.DUMMYFUNCTION("""COMPUTED_VALUE"""),"03436535890")</f>
        <v>03436535890</v>
      </c>
      <c r="D595" s="10" t="str">
        <f>IFERROR(__xludf.DUMMYFUNCTION("""COMPUTED_VALUE"""),"Jamia masjid mulhalka gaggoo Mandi tahsil burewala district vaheri")</f>
        <v>Jamia masjid mulhalka gaggoo Mandi tahsil burewala district vaheri</v>
      </c>
      <c r="E595" s="10" t="str">
        <f>IFERROR(__xludf.DUMMYFUNCTION("""COMPUTED_VALUE"""),"QBVYB")</f>
        <v>QBVYB</v>
      </c>
      <c r="F595" s="10">
        <f>IFERROR(__xludf.DUMMYFUNCTION("""COMPUTED_VALUE"""),300.0)</f>
        <v>300</v>
      </c>
      <c r="G595" s="10">
        <f>IFERROR(__xludf.DUMMYFUNCTION("""COMPUTED_VALUE"""),10.0)</f>
        <v>10</v>
      </c>
      <c r="H595" s="10">
        <f>IFERROR(__xludf.DUMMYFUNCTION("""COMPUTED_VALUE"""),10.0)</f>
        <v>10</v>
      </c>
      <c r="I595" s="10" t="str">
        <f>IFERROR(__xludf.DUMMYFUNCTION("""COMPUTED_VALUE"""),"Nothing")</f>
        <v>Nothing</v>
      </c>
      <c r="J595" s="10"/>
      <c r="K595" s="10"/>
      <c r="L595" s="10"/>
      <c r="M595" s="10">
        <f>IFERROR(__xludf.DUMMYFUNCTION("""COMPUTED_VALUE"""),10.0)</f>
        <v>10</v>
      </c>
      <c r="N595" s="10"/>
      <c r="O595" s="10"/>
      <c r="P595" s="10"/>
      <c r="Q595" s="10"/>
      <c r="R595" s="10"/>
      <c r="S595" s="10"/>
      <c r="T595" s="10"/>
      <c r="U595" s="18" t="str">
        <f>IFERROR(__xludf.DUMMYFUNCTION("""COMPUTED_VALUE"""),"https://drive.google.com/open?id=1PVu7ny2eIW3TG-9Ta9GdOYsFSfiglO1H")</f>
        <v>https://drive.google.com/open?id=1PVu7ny2eIW3TG-9Ta9GdOYsFSfiglO1H</v>
      </c>
      <c r="V595" s="10" t="str">
        <f>IFERROR(__xludf.DUMMYFUNCTION("""COMPUTED_VALUE"""),"Nothing")</f>
        <v>Nothing</v>
      </c>
      <c r="W595" s="10"/>
      <c r="X595" s="10"/>
      <c r="Y595" s="14" t="str">
        <f>IFERROR(__xludf.DUMMYFUNCTION("""COMPUTED_VALUE"""),"nadeemjb241@gmail.com")</f>
        <v>nadeemjb241@gmail.com</v>
      </c>
      <c r="AA595" s="324"/>
    </row>
    <row r="596" hidden="1">
      <c r="A596" s="9">
        <f>IFERROR(__xludf.DUMMYFUNCTION("""COMPUTED_VALUE"""),45919.29692209491)</f>
        <v>45919.29692</v>
      </c>
      <c r="B596" s="10" t="str">
        <f>IFERROR(__xludf.DUMMYFUNCTION("""COMPUTED_VALUE"""),"Maqbool Ahmad ")</f>
        <v>Maqbool Ahmad </v>
      </c>
      <c r="C596" s="10" t="str">
        <f>IFERROR(__xludf.DUMMYFUNCTION("""COMPUTED_VALUE"""),"03007969774")</f>
        <v>03007969774</v>
      </c>
      <c r="D596" s="10" t="str">
        <f>IFERROR(__xludf.DUMMYFUNCTION("""COMPUTED_VALUE"""),"Jamia Masjid Hazrat baba Farid ud din gunj shakar")</f>
        <v>Jamia Masjid Hazrat baba Farid ud din gunj shakar</v>
      </c>
      <c r="E596" s="10" t="str">
        <f>IFERROR(__xludf.DUMMYFUNCTION("""COMPUTED_VALUE"""),"PAQQF")</f>
        <v>PAQQF</v>
      </c>
      <c r="F596" s="10">
        <f>IFERROR(__xludf.DUMMYFUNCTION("""COMPUTED_VALUE"""),3500.0)</f>
        <v>3500</v>
      </c>
      <c r="G596" s="10">
        <f>IFERROR(__xludf.DUMMYFUNCTION("""COMPUTED_VALUE"""),10.0)</f>
        <v>10</v>
      </c>
      <c r="H596" s="10">
        <f>IFERROR(__xludf.DUMMYFUNCTION("""COMPUTED_VALUE"""),7.0)</f>
        <v>7</v>
      </c>
      <c r="I596" s="10">
        <f>IFERROR(__xludf.DUMMYFUNCTION("""COMPUTED_VALUE"""),0.0)</f>
        <v>0</v>
      </c>
      <c r="J596" s="10"/>
      <c r="K596" s="10"/>
      <c r="L596" s="10"/>
      <c r="M596" s="10">
        <f>IFERROR(__xludf.DUMMYFUNCTION("""COMPUTED_VALUE"""),10.0)</f>
        <v>10</v>
      </c>
      <c r="N596" s="10"/>
      <c r="O596" s="10"/>
      <c r="P596" s="10"/>
      <c r="Q596" s="10"/>
      <c r="R596" s="10"/>
      <c r="S596" s="10"/>
      <c r="T596" s="10"/>
      <c r="U596" s="18" t="str">
        <f>IFERROR(__xludf.DUMMYFUNCTION("""COMPUTED_VALUE"""),"https://drive.google.com/open?id=1FJk0My7GeH9f_5JsuUj6TJp-ZD-JXNnT")</f>
        <v>https://drive.google.com/open?id=1FJk0My7GeH9f_5JsuUj6TJp-ZD-JXNnT</v>
      </c>
      <c r="V596" s="10" t="str">
        <f>IFERROR(__xludf.DUMMYFUNCTION("""COMPUTED_VALUE"""),"No")</f>
        <v>No</v>
      </c>
      <c r="W596" s="10"/>
      <c r="X596" s="10"/>
      <c r="Y596" s="14" t="str">
        <f>IFERROR(__xludf.DUMMYFUNCTION("""COMPUTED_VALUE"""),"maqboolahmadpk68@gmail.com")</f>
        <v>maqboolahmadpk68@gmail.com</v>
      </c>
      <c r="AA596" s="324"/>
    </row>
    <row r="597" hidden="1">
      <c r="A597" s="9">
        <f>IFERROR(__xludf.DUMMYFUNCTION("""COMPUTED_VALUE"""),45919.30527293982)</f>
        <v>45919.30527</v>
      </c>
      <c r="B597" s="10" t="str">
        <f>IFERROR(__xludf.DUMMYFUNCTION("""COMPUTED_VALUE"""),"Shahzad Ahmad ")</f>
        <v>Shahzad Ahmad </v>
      </c>
      <c r="C597" s="10" t="str">
        <f>IFERROR(__xludf.DUMMYFUNCTION("""COMPUTED_VALUE"""),"03001119795")</f>
        <v>03001119795</v>
      </c>
      <c r="D597" s="10" t="str">
        <f>IFERROR(__xludf.DUMMYFUNCTION("""COMPUTED_VALUE"""),"Masjid Aziz Makki ")</f>
        <v>Masjid Aziz Makki </v>
      </c>
      <c r="E597" s="10" t="str">
        <f>IFERROR(__xludf.DUMMYFUNCTION("""COMPUTED_VALUE"""),"EWWLQ")</f>
        <v>EWWLQ</v>
      </c>
      <c r="F597" s="10">
        <f>IFERROR(__xludf.DUMMYFUNCTION("""COMPUTED_VALUE"""),168.0)</f>
        <v>168</v>
      </c>
      <c r="G597" s="10">
        <f>IFERROR(__xludf.DUMMYFUNCTION("""COMPUTED_VALUE"""),3.0)</f>
        <v>3</v>
      </c>
      <c r="H597" s="10">
        <f>IFERROR(__xludf.DUMMYFUNCTION("""COMPUTED_VALUE"""),3.0)</f>
        <v>3</v>
      </c>
      <c r="I597" s="10">
        <f>IFERROR(__xludf.DUMMYFUNCTION("""COMPUTED_VALUE"""),4.0)</f>
        <v>4</v>
      </c>
      <c r="J597" s="10"/>
      <c r="K597" s="10"/>
      <c r="L597" s="10"/>
      <c r="M597" s="10">
        <f>IFERROR(__xludf.DUMMYFUNCTION("""COMPUTED_VALUE"""),7.0)</f>
        <v>7</v>
      </c>
      <c r="N597" s="10"/>
      <c r="O597" s="10"/>
      <c r="P597" s="10"/>
      <c r="Q597" s="10"/>
      <c r="R597" s="10"/>
      <c r="S597" s="10"/>
      <c r="T597" s="10"/>
      <c r="U597" s="18" t="str">
        <f>IFERROR(__xludf.DUMMYFUNCTION("""COMPUTED_VALUE"""),"https://drive.google.com/open?id=13Bpr32n24wJN2i_F6g_na5EAqcigmLhI")</f>
        <v>https://drive.google.com/open?id=13Bpr32n24wJN2i_F6g_na5EAqcigmLhI</v>
      </c>
      <c r="V597" s="10"/>
      <c r="W597" s="10"/>
      <c r="X597" s="10"/>
      <c r="Y597" s="14" t="str">
        <f>IFERROR(__xludf.DUMMYFUNCTION("""COMPUTED_VALUE"""),"ranashahzad7403@gmail.com")</f>
        <v>ranashahzad7403@gmail.com</v>
      </c>
      <c r="AA597" s="324"/>
    </row>
    <row r="598" hidden="1">
      <c r="A598" s="9">
        <f>IFERROR(__xludf.DUMMYFUNCTION("""COMPUTED_VALUE"""),45919.30543864583)</f>
        <v>45919.30544</v>
      </c>
      <c r="B598" s="10" t="str">
        <f>IFERROR(__xludf.DUMMYFUNCTION("""COMPUTED_VALUE"""),"Afzal shahzad")</f>
        <v>Afzal shahzad</v>
      </c>
      <c r="C598" s="10" t="str">
        <f>IFERROR(__xludf.DUMMYFUNCTION("""COMPUTED_VALUE"""),"O3054123220")</f>
        <v>O3054123220</v>
      </c>
      <c r="D598" s="10" t="str">
        <f>IFERROR(__xludf.DUMMYFUNCTION("""COMPUTED_VALUE"""),"Jamia Masjid Abdul kareem Pakpattan")</f>
        <v>Jamia Masjid Abdul kareem Pakpattan</v>
      </c>
      <c r="E598" s="10" t="str">
        <f>IFERROR(__xludf.DUMMYFUNCTION("""COMPUTED_VALUE"""),"OGDXP")</f>
        <v>OGDXP</v>
      </c>
      <c r="F598" s="10">
        <f>IFERROR(__xludf.DUMMYFUNCTION("""COMPUTED_VALUE"""),178.0)</f>
        <v>178</v>
      </c>
      <c r="G598" s="10">
        <f>IFERROR(__xludf.DUMMYFUNCTION("""COMPUTED_VALUE"""),3.0)</f>
        <v>3</v>
      </c>
      <c r="H598" s="10">
        <f>IFERROR(__xludf.DUMMYFUNCTION("""COMPUTED_VALUE"""),3.0)</f>
        <v>3</v>
      </c>
      <c r="I598" s="10">
        <f>IFERROR(__xludf.DUMMYFUNCTION("""COMPUTED_VALUE"""),4.0)</f>
        <v>4</v>
      </c>
      <c r="J598" s="10"/>
      <c r="K598" s="10"/>
      <c r="L598" s="10"/>
      <c r="M598" s="10">
        <f>IFERROR(__xludf.DUMMYFUNCTION("""COMPUTED_VALUE"""),10.0)</f>
        <v>10</v>
      </c>
      <c r="N598" s="10"/>
      <c r="O598" s="10"/>
      <c r="P598" s="10"/>
      <c r="Q598" s="10"/>
      <c r="R598" s="10"/>
      <c r="S598" s="10"/>
      <c r="T598" s="10"/>
      <c r="U598" s="18" t="str">
        <f>IFERROR(__xludf.DUMMYFUNCTION("""COMPUTED_VALUE"""),"https://drive.google.com/open?id=1OOof4LvqA7sQx6CnH7SdHErJrt3050GO")</f>
        <v>https://drive.google.com/open?id=1OOof4LvqA7sQx6CnH7SdHErJrt3050GO</v>
      </c>
      <c r="V598" s="10"/>
      <c r="W598" s="10"/>
      <c r="X598" s="10"/>
      <c r="Y598" s="14" t="str">
        <f>IFERROR(__xludf.DUMMYFUNCTION("""COMPUTED_VALUE"""),"shahzadmalik7521129@gmail.com")</f>
        <v>shahzadmalik7521129@gmail.com</v>
      </c>
      <c r="AA598" s="324"/>
    </row>
    <row r="599" hidden="1">
      <c r="A599" s="9">
        <f>IFERROR(__xludf.DUMMYFUNCTION("""COMPUTED_VALUE"""),45919.31237119213)</f>
        <v>45919.31237</v>
      </c>
      <c r="B599" s="10" t="str">
        <f>IFERROR(__xludf.DUMMYFUNCTION("""COMPUTED_VALUE"""),"Meeran Bakhah ")</f>
        <v>Meeran Bakhah </v>
      </c>
      <c r="C599" s="10" t="str">
        <f>IFERROR(__xludf.DUMMYFUNCTION("""COMPUTED_VALUE"""),"03146539545")</f>
        <v>03146539545</v>
      </c>
      <c r="D599" s="10" t="str">
        <f>IFERROR(__xludf.DUMMYFUNCTION("""COMPUTED_VALUE""")," FaizanMadina masjid madrasa jamia owaisia")</f>
        <v> FaizanMadina masjid madrasa jamia owaisia</v>
      </c>
      <c r="E599" s="10" t="str">
        <f>IFERROR(__xludf.DUMMYFUNCTION("""COMPUTED_VALUE"""),"NDPFG")</f>
        <v>NDPFG</v>
      </c>
      <c r="F599" s="10">
        <f>IFERROR(__xludf.DUMMYFUNCTION("""COMPUTED_VALUE"""),1500.0)</f>
        <v>1500</v>
      </c>
      <c r="G599" s="10">
        <f>IFERROR(__xludf.DUMMYFUNCTION("""COMPUTED_VALUE"""),10.0)</f>
        <v>10</v>
      </c>
      <c r="H599" s="10">
        <f>IFERROR(__xludf.DUMMYFUNCTION("""COMPUTED_VALUE"""),9.0)</f>
        <v>9</v>
      </c>
      <c r="I599" s="10">
        <f>IFERROR(__xludf.DUMMYFUNCTION("""COMPUTED_VALUE"""),0.0)</f>
        <v>0</v>
      </c>
      <c r="J599" s="10"/>
      <c r="K599" s="10"/>
      <c r="L599" s="10"/>
      <c r="M599" s="10">
        <f>IFERROR(__xludf.DUMMYFUNCTION("""COMPUTED_VALUE"""),10.0)</f>
        <v>10</v>
      </c>
      <c r="N599" s="10"/>
      <c r="O599" s="10"/>
      <c r="P599" s="10"/>
      <c r="Q599" s="10"/>
      <c r="R599" s="10"/>
      <c r="S599" s="10"/>
      <c r="T599" s="10"/>
      <c r="U599" s="18" t="str">
        <f>IFERROR(__xludf.DUMMYFUNCTION("""COMPUTED_VALUE"""),"https://drive.google.com/open?id=19993VUvlHyJI9yv-6gcdoPTqN_fjIslg")</f>
        <v>https://drive.google.com/open?id=19993VUvlHyJI9yv-6gcdoPTqN_fjIslg</v>
      </c>
      <c r="V599" s="10"/>
      <c r="W599" s="10"/>
      <c r="X599" s="10"/>
      <c r="Y599" s="14" t="str">
        <f>IFERROR(__xludf.DUMMYFUNCTION("""COMPUTED_VALUE"""),"meeranbakash@gmail.com")</f>
        <v>meeranbakash@gmail.com</v>
      </c>
      <c r="AA599" s="324"/>
    </row>
    <row r="600" hidden="1">
      <c r="A600" s="9">
        <f>IFERROR(__xludf.DUMMYFUNCTION("""COMPUTED_VALUE"""),45919.32261496528)</f>
        <v>45919.32261</v>
      </c>
      <c r="B600" s="10" t="str">
        <f>IFERROR(__xludf.DUMMYFUNCTION("""COMPUTED_VALUE"""),"Ali hassan")</f>
        <v>Ali hassan</v>
      </c>
      <c r="C600" s="10" t="str">
        <f>IFERROR(__xludf.DUMMYFUNCTION("""COMPUTED_VALUE"""),"03107494117")</f>
        <v>03107494117</v>
      </c>
      <c r="D600" s="10" t="str">
        <f>IFERROR(__xludf.DUMMYFUNCTION("""COMPUTED_VALUE"""),"Jamia masjid ghallah mandi")</f>
        <v>Jamia masjid ghallah mandi</v>
      </c>
      <c r="E600" s="10" t="str">
        <f>IFERROR(__xludf.DUMMYFUNCTION("""COMPUTED_VALUE"""),"USAOU")</f>
        <v>USAOU</v>
      </c>
      <c r="F600" s="10">
        <f>IFERROR(__xludf.DUMMYFUNCTION("""COMPUTED_VALUE"""),380.0)</f>
        <v>380</v>
      </c>
      <c r="G600" s="10">
        <f>IFERROR(__xludf.DUMMYFUNCTION("""COMPUTED_VALUE"""),6.0)</f>
        <v>6</v>
      </c>
      <c r="H600" s="10">
        <f>IFERROR(__xludf.DUMMYFUNCTION("""COMPUTED_VALUE"""),5.0)</f>
        <v>5</v>
      </c>
      <c r="I600" s="10" t="str">
        <f>IFERROR(__xludf.DUMMYFUNCTION("""COMPUTED_VALUE"""),"Yes")</f>
        <v>Yes</v>
      </c>
      <c r="J600" s="10"/>
      <c r="K600" s="10"/>
      <c r="L600" s="10"/>
      <c r="M600" s="10">
        <f>IFERROR(__xludf.DUMMYFUNCTION("""COMPUTED_VALUE"""),8.0)</f>
        <v>8</v>
      </c>
      <c r="N600" s="10"/>
      <c r="O600" s="10"/>
      <c r="P600" s="10"/>
      <c r="Q600" s="10"/>
      <c r="R600" s="10"/>
      <c r="S600" s="10"/>
      <c r="T600" s="10"/>
      <c r="U600" s="18" t="str">
        <f>IFERROR(__xludf.DUMMYFUNCTION("""COMPUTED_VALUE"""),"https://drive.google.com/file/d/1uppktk-1XqyyomF3NM-x64YqwuvXB7jd/view?usp=drive_link")</f>
        <v>https://drive.google.com/file/d/1uppktk-1XqyyomF3NM-x64YqwuvXB7jd/view?usp=drive_link</v>
      </c>
      <c r="V600" s="10" t="str">
        <f>IFERROR(__xludf.DUMMYFUNCTION("""COMPUTED_VALUE"""),"No")</f>
        <v>No</v>
      </c>
      <c r="W600" s="10"/>
      <c r="X600" s="10"/>
      <c r="Y600" s="14" t="str">
        <f>IFERROR(__xludf.DUMMYFUNCTION("""COMPUTED_VALUE"""),"user3107784965048@gmail.com")</f>
        <v>user3107784965048@gmail.com</v>
      </c>
      <c r="AA600" s="324"/>
    </row>
    <row r="601" hidden="1">
      <c r="A601" s="9">
        <f>IFERROR(__xludf.DUMMYFUNCTION("""COMPUTED_VALUE"""),45919.335415231486)</f>
        <v>45919.33542</v>
      </c>
      <c r="B601" s="10" t="str">
        <f>IFERROR(__xludf.DUMMYFUNCTION("""COMPUTED_VALUE"""),"Abdul wahab")</f>
        <v>Abdul wahab</v>
      </c>
      <c r="C601" s="10" t="str">
        <f>IFERROR(__xludf.DUMMYFUNCTION("""COMPUTED_VALUE"""),"03023915410")</f>
        <v>03023915410</v>
      </c>
      <c r="D601" s="10" t="str">
        <f>IFERROR(__xludf.DUMMYFUNCTION("""COMPUTED_VALUE"""),"Jamia masjid sohnairy gol chakar")</f>
        <v>Jamia masjid sohnairy gol chakar</v>
      </c>
      <c r="E601" s="10" t="str">
        <f>IFERROR(__xludf.DUMMYFUNCTION("""COMPUTED_VALUE"""),"GTJBD")</f>
        <v>GTJBD</v>
      </c>
      <c r="F601" s="10">
        <f>IFERROR(__xludf.DUMMYFUNCTION("""COMPUTED_VALUE"""),3000.0)</f>
        <v>3000</v>
      </c>
      <c r="G601" s="10">
        <f>IFERROR(__xludf.DUMMYFUNCTION("""COMPUTED_VALUE"""),9.0)</f>
        <v>9</v>
      </c>
      <c r="H601" s="10">
        <f>IFERROR(__xludf.DUMMYFUNCTION("""COMPUTED_VALUE"""),9.0)</f>
        <v>9</v>
      </c>
      <c r="I601" s="10">
        <f>IFERROR(__xludf.DUMMYFUNCTION("""COMPUTED_VALUE"""),1.0)</f>
        <v>1</v>
      </c>
      <c r="J601" s="10"/>
      <c r="K601" s="10"/>
      <c r="L601" s="10"/>
      <c r="M601" s="10">
        <f>IFERROR(__xludf.DUMMYFUNCTION("""COMPUTED_VALUE"""),9.0)</f>
        <v>9</v>
      </c>
      <c r="N601" s="10"/>
      <c r="O601" s="10"/>
      <c r="P601" s="10"/>
      <c r="Q601" s="10"/>
      <c r="R601" s="10"/>
      <c r="S601" s="10"/>
      <c r="T601" s="10"/>
      <c r="U601" s="18" t="str">
        <f>IFERROR(__xludf.DUMMYFUNCTION("""COMPUTED_VALUE"""),"https://drive.google.com/open?id=1GuLVHpTNdTmWoG_XZXTqmLUsfwvuDckb")</f>
        <v>https://drive.google.com/open?id=1GuLVHpTNdTmWoG_XZXTqmLUsfwvuDckb</v>
      </c>
      <c r="V601" s="10"/>
      <c r="W601" s="10"/>
      <c r="X601" s="10"/>
      <c r="Y601" s="14" t="str">
        <f>IFERROR(__xludf.DUMMYFUNCTION("""COMPUTED_VALUE"""),"zahidassher@gmail.com")</f>
        <v>zahidassher@gmail.com</v>
      </c>
      <c r="AA601" s="324"/>
    </row>
    <row r="602" hidden="1">
      <c r="A602" s="9">
        <f>IFERROR(__xludf.DUMMYFUNCTION("""COMPUTED_VALUE"""),45919.35759681713)</f>
        <v>45919.3576</v>
      </c>
      <c r="B602" s="10" t="str">
        <f>IFERROR(__xludf.DUMMYFUNCTION("""COMPUTED_VALUE"""),"MUHAMMED TAHIR KHAN ")</f>
        <v>MUHAMMED TAHIR KHAN </v>
      </c>
      <c r="C602" s="10" t="str">
        <f>IFERROR(__xludf.DUMMYFUNCTION("""COMPUTED_VALUE"""),"03470617767")</f>
        <v>03470617767</v>
      </c>
      <c r="D602" s="10" t="str">
        <f>IFERROR(__xludf.DUMMYFUNCTION("""COMPUTED_VALUE"""),"Jamia masjid chila Gah shair shah wali")</f>
        <v>Jamia masjid chila Gah shair shah wali</v>
      </c>
      <c r="E602" s="10" t="str">
        <f>IFERROR(__xludf.DUMMYFUNCTION("""COMPUTED_VALUE"""),"IBTRF")</f>
        <v>IBTRF</v>
      </c>
      <c r="F602" s="10">
        <f>IFERROR(__xludf.DUMMYFUNCTION("""COMPUTED_VALUE"""),550.0)</f>
        <v>550</v>
      </c>
      <c r="G602" s="10">
        <f>IFERROR(__xludf.DUMMYFUNCTION("""COMPUTED_VALUE"""),2.0)</f>
        <v>2</v>
      </c>
      <c r="H602" s="10">
        <f>IFERROR(__xludf.DUMMYFUNCTION("""COMPUTED_VALUE"""),2.0)</f>
        <v>2</v>
      </c>
      <c r="I602" s="10">
        <f>IFERROR(__xludf.DUMMYFUNCTION("""COMPUTED_VALUE"""),2.0)</f>
        <v>2</v>
      </c>
      <c r="J602" s="10"/>
      <c r="K602" s="10"/>
      <c r="L602" s="10"/>
      <c r="M602" s="10">
        <f>IFERROR(__xludf.DUMMYFUNCTION("""COMPUTED_VALUE"""),10.0)</f>
        <v>10</v>
      </c>
      <c r="N602" s="10"/>
      <c r="O602" s="10"/>
      <c r="P602" s="10"/>
      <c r="Q602" s="10"/>
      <c r="R602" s="10"/>
      <c r="S602" s="10"/>
      <c r="T602" s="10"/>
      <c r="U602" s="18" t="str">
        <f>IFERROR(__xludf.DUMMYFUNCTION("""COMPUTED_VALUE"""),"https://drive.google.com/file/d/1MyeVG7yAekK_Wv7ZkwfpzeDzZAn5bEa1/view?usp=sharing")</f>
        <v>https://drive.google.com/file/d/1MyeVG7yAekK_Wv7ZkwfpzeDzZAn5bEa1/view?usp=sharing</v>
      </c>
      <c r="V602" s="10" t="str">
        <f>IFERROR(__xludf.DUMMYFUNCTION("""COMPUTED_VALUE"""),"No")</f>
        <v>No</v>
      </c>
      <c r="W602" s="10"/>
      <c r="X602" s="10"/>
      <c r="Y602" s="14" t="str">
        <f>IFERROR(__xludf.DUMMYFUNCTION("""COMPUTED_VALUE"""),"mtahirkhan1122@gmail.com")</f>
        <v>mtahirkhan1122@gmail.com</v>
      </c>
      <c r="AA602" s="324"/>
    </row>
    <row r="603" hidden="1">
      <c r="A603" s="9">
        <f>IFERROR(__xludf.DUMMYFUNCTION("""COMPUTED_VALUE"""),45919.40997443287)</f>
        <v>45919.40997</v>
      </c>
      <c r="B603" s="10" t="str">
        <f>IFERROR(__xludf.DUMMYFUNCTION("""COMPUTED_VALUE"""),"Khalid Farooq ")</f>
        <v>Khalid Farooq </v>
      </c>
      <c r="C603" s="10" t="str">
        <f>IFERROR(__xludf.DUMMYFUNCTION("""COMPUTED_VALUE"""),"03009473484")</f>
        <v>03009473484</v>
      </c>
      <c r="D603" s="10" t="str">
        <f>IFERROR(__xludf.DUMMYFUNCTION("""COMPUTED_VALUE"""),"Jamia masjid c block arifwala ")</f>
        <v>Jamia masjid c block arifwala </v>
      </c>
      <c r="E603" s="10" t="str">
        <f>IFERROR(__xludf.DUMMYFUNCTION("""COMPUTED_VALUE"""),"EARRA")</f>
        <v>EARRA</v>
      </c>
      <c r="F603" s="10">
        <f>IFERROR(__xludf.DUMMYFUNCTION("""COMPUTED_VALUE"""),860.0)</f>
        <v>860</v>
      </c>
      <c r="G603" s="10">
        <f>IFERROR(__xludf.DUMMYFUNCTION("""COMPUTED_VALUE"""),8.0)</f>
        <v>8</v>
      </c>
      <c r="H603" s="10">
        <f>IFERROR(__xludf.DUMMYFUNCTION("""COMPUTED_VALUE"""),9.0)</f>
        <v>9</v>
      </c>
      <c r="I603" s="10">
        <f>IFERROR(__xludf.DUMMYFUNCTION("""COMPUTED_VALUE"""),0.0)</f>
        <v>0</v>
      </c>
      <c r="J603" s="10"/>
      <c r="K603" s="10"/>
      <c r="L603" s="10"/>
      <c r="M603" s="10">
        <f>IFERROR(__xludf.DUMMYFUNCTION("""COMPUTED_VALUE"""),7.0)</f>
        <v>7</v>
      </c>
      <c r="N603" s="10"/>
      <c r="O603" s="10"/>
      <c r="P603" s="10"/>
      <c r="Q603" s="10"/>
      <c r="R603" s="10"/>
      <c r="S603" s="10"/>
      <c r="T603" s="10"/>
      <c r="U603" s="18" t="str">
        <f>IFERROR(__xludf.DUMMYFUNCTION("""COMPUTED_VALUE"""),"https://drive.google.com/open?id=1ChNjzZZd0p-PRGWM_uiNVY2bn8530bYS")</f>
        <v>https://drive.google.com/open?id=1ChNjzZZd0p-PRGWM_uiNVY2bn8530bYS</v>
      </c>
      <c r="V603" s="10"/>
      <c r="W603" s="10"/>
      <c r="X603" s="10"/>
      <c r="Y603" s="14" t="str">
        <f>IFERROR(__xludf.DUMMYFUNCTION("""COMPUTED_VALUE"""),"khalidfarooqbhatti@gmail.com")</f>
        <v>khalidfarooqbhatti@gmail.com</v>
      </c>
      <c r="AA603" s="324"/>
    </row>
    <row r="604" hidden="1">
      <c r="A604" s="9">
        <f>IFERROR(__xludf.DUMMYFUNCTION("""COMPUTED_VALUE"""),45919.420779340275)</f>
        <v>45919.42078</v>
      </c>
      <c r="B604" s="10" t="str">
        <f>IFERROR(__xludf.DUMMYFUNCTION("""COMPUTED_VALUE"""),"Khadam Hussain ")</f>
        <v>Khadam Hussain </v>
      </c>
      <c r="C604" s="10" t="str">
        <f>IFERROR(__xludf.DUMMYFUNCTION("""COMPUTED_VALUE"""),"03120064803")</f>
        <v>03120064803</v>
      </c>
      <c r="D604" s="10" t="str">
        <f>IFERROR(__xludf.DUMMYFUNCTION("""COMPUTED_VALUE"""),"Jamia masjid gaalah mandi pakpattan ")</f>
        <v>Jamia masjid gaalah mandi pakpattan </v>
      </c>
      <c r="E604" s="10" t="str">
        <f>IFERROR(__xludf.DUMMYFUNCTION("""COMPUTED_VALUE"""),"LPJZI")</f>
        <v>LPJZI</v>
      </c>
      <c r="F604" s="10">
        <f>IFERROR(__xludf.DUMMYFUNCTION("""COMPUTED_VALUE"""),200.0)</f>
        <v>200</v>
      </c>
      <c r="G604" s="10">
        <f>IFERROR(__xludf.DUMMYFUNCTION("""COMPUTED_VALUE"""),10.0)</f>
        <v>10</v>
      </c>
      <c r="H604" s="10">
        <f>IFERROR(__xludf.DUMMYFUNCTION("""COMPUTED_VALUE"""),10.0)</f>
        <v>10</v>
      </c>
      <c r="I604" s="10">
        <f>IFERROR(__xludf.DUMMYFUNCTION("""COMPUTED_VALUE"""),1.0)</f>
        <v>1</v>
      </c>
      <c r="J604" s="10"/>
      <c r="K604" s="10"/>
      <c r="L604" s="10"/>
      <c r="M604" s="10">
        <f>IFERROR(__xludf.DUMMYFUNCTION("""COMPUTED_VALUE"""),10.0)</f>
        <v>10</v>
      </c>
      <c r="N604" s="10"/>
      <c r="O604" s="10"/>
      <c r="P604" s="10"/>
      <c r="Q604" s="10"/>
      <c r="R604" s="10"/>
      <c r="S604" s="10"/>
      <c r="T604" s="10"/>
      <c r="U604" s="10" t="str">
        <f>IFERROR(__xludf.DUMMYFUNCTION("""COMPUTED_VALUE"""),"https://drive.google.com/file/d/1eK4UVfykVQc-rxo6ea4Y0PqUO_mLRmUV/view?usp=drive_link, https://drive.google.com/file/d/14PotOtdZp5GpFUdKtlNbPA80MnUwEVv4/view?usp=drive_link")</f>
        <v>https://drive.google.com/file/d/1eK4UVfykVQc-rxo6ea4Y0PqUO_mLRmUV/view?usp=drive_link, https://drive.google.com/file/d/14PotOtdZp5GpFUdKtlNbPA80MnUwEVv4/view?usp=drive_link</v>
      </c>
      <c r="V604" s="10"/>
      <c r="W604" s="10"/>
      <c r="X604" s="10"/>
      <c r="Y604" s="14" t="str">
        <f>IFERROR(__xludf.DUMMYFUNCTION("""COMPUTED_VALUE"""),"khadamzaman918@gmail.com")</f>
        <v>khadamzaman918@gmail.com</v>
      </c>
      <c r="AA604" s="324"/>
    </row>
    <row r="605" hidden="1">
      <c r="A605" s="9">
        <f>IFERROR(__xludf.DUMMYFUNCTION("""COMPUTED_VALUE"""),45919.425350590274)</f>
        <v>45919.42535</v>
      </c>
      <c r="B605" s="10" t="str">
        <f>IFERROR(__xludf.DUMMYFUNCTION("""COMPUTED_VALUE"""),"Adnan hussain ")</f>
        <v>Adnan hussain </v>
      </c>
      <c r="C605" s="10" t="str">
        <f>IFERROR(__xludf.DUMMYFUNCTION("""COMPUTED_VALUE"""),"03088062094")</f>
        <v>03088062094</v>
      </c>
      <c r="D605" s="10" t="str">
        <f>IFERROR(__xludf.DUMMYFUNCTION("""COMPUTED_VALUE"""),"Jamia masjid c block arifwala ")</f>
        <v>Jamia masjid c block arifwala </v>
      </c>
      <c r="E605" s="10" t="str">
        <f>IFERROR(__xludf.DUMMYFUNCTION("""COMPUTED_VALUE"""),"FSJBU")</f>
        <v>FSJBU</v>
      </c>
      <c r="F605" s="10">
        <f>IFERROR(__xludf.DUMMYFUNCTION("""COMPUTED_VALUE"""),609.0)</f>
        <v>609</v>
      </c>
      <c r="G605" s="10">
        <f>IFERROR(__xludf.DUMMYFUNCTION("""COMPUTED_VALUE"""),9.0)</f>
        <v>9</v>
      </c>
      <c r="H605" s="10">
        <f>IFERROR(__xludf.DUMMYFUNCTION("""COMPUTED_VALUE"""),8.0)</f>
        <v>8</v>
      </c>
      <c r="I605" s="10">
        <f>IFERROR(__xludf.DUMMYFUNCTION("""COMPUTED_VALUE"""),0.0)</f>
        <v>0</v>
      </c>
      <c r="J605" s="10"/>
      <c r="K605" s="10"/>
      <c r="L605" s="10"/>
      <c r="M605" s="10">
        <f>IFERROR(__xludf.DUMMYFUNCTION("""COMPUTED_VALUE"""),8.0)</f>
        <v>8</v>
      </c>
      <c r="N605" s="10"/>
      <c r="O605" s="10"/>
      <c r="P605" s="10"/>
      <c r="Q605" s="10"/>
      <c r="R605" s="10"/>
      <c r="S605" s="10"/>
      <c r="T605" s="10"/>
      <c r="U605" s="18" t="str">
        <f>IFERROR(__xludf.DUMMYFUNCTION("""COMPUTED_VALUE"""),"https://drive.google.com/open?id=1WLp1Rxr2FQZ0X5QOW12hqmxtmSEAZDfn")</f>
        <v>https://drive.google.com/open?id=1WLp1Rxr2FQZ0X5QOW12hqmxtmSEAZDfn</v>
      </c>
      <c r="V605" s="10"/>
      <c r="W605" s="10"/>
      <c r="X605" s="10"/>
      <c r="Y605" s="14" t="str">
        <f>IFERROR(__xludf.DUMMYFUNCTION("""COMPUTED_VALUE"""),"khalidfarooqbhatti@gmail.com")</f>
        <v>khalidfarooqbhatti@gmail.com</v>
      </c>
      <c r="AA605" s="324"/>
    </row>
    <row r="606" hidden="1">
      <c r="A606" s="9">
        <f>IFERROR(__xludf.DUMMYFUNCTION("""COMPUTED_VALUE"""),45919.42625438658)</f>
        <v>45919.42625</v>
      </c>
      <c r="B606" s="10" t="str">
        <f>IFERROR(__xludf.DUMMYFUNCTION("""COMPUTED_VALUE"""),"Fakhar zaman")</f>
        <v>Fakhar zaman</v>
      </c>
      <c r="C606" s="10" t="str">
        <f>IFERROR(__xludf.DUMMYFUNCTION("""COMPUTED_VALUE"""),"03078567405")</f>
        <v>03078567405</v>
      </c>
      <c r="D606" s="10" t="str">
        <f>IFERROR(__xludf.DUMMYFUNCTION("""COMPUTED_VALUE"""),"Jamia masjid badar ul din eshaq pakpattan")</f>
        <v>Jamia masjid badar ul din eshaq pakpattan</v>
      </c>
      <c r="E606" s="10" t="str">
        <f>IFERROR(__xludf.DUMMYFUNCTION("""COMPUTED_VALUE"""),"PTTHF")</f>
        <v>PTTHF</v>
      </c>
      <c r="F606" s="10">
        <f>IFERROR(__xludf.DUMMYFUNCTION("""COMPUTED_VALUE"""),100.0)</f>
        <v>100</v>
      </c>
      <c r="G606" s="10">
        <f>IFERROR(__xludf.DUMMYFUNCTION("""COMPUTED_VALUE"""),10.0)</f>
        <v>10</v>
      </c>
      <c r="H606" s="10">
        <f>IFERROR(__xludf.DUMMYFUNCTION("""COMPUTED_VALUE"""),10.0)</f>
        <v>10</v>
      </c>
      <c r="I606" s="10">
        <f>IFERROR(__xludf.DUMMYFUNCTION("""COMPUTED_VALUE"""),0.0)</f>
        <v>0</v>
      </c>
      <c r="J606" s="10"/>
      <c r="K606" s="10"/>
      <c r="L606" s="10"/>
      <c r="M606" s="10">
        <f>IFERROR(__xludf.DUMMYFUNCTION("""COMPUTED_VALUE"""),10.0)</f>
        <v>10</v>
      </c>
      <c r="N606" s="10"/>
      <c r="O606" s="10"/>
      <c r="P606" s="10"/>
      <c r="Q606" s="10"/>
      <c r="R606" s="10"/>
      <c r="S606" s="10"/>
      <c r="T606" s="10"/>
      <c r="U606" s="18" t="str">
        <f>IFERROR(__xludf.DUMMYFUNCTION("""COMPUTED_VALUE"""),"https://drive.google.com/file/d/1YB7_IUEtCaswuBGC_Ofn-jijH_gw0O6M/view?usp=drive_link")</f>
        <v>https://drive.google.com/file/d/1YB7_IUEtCaswuBGC_Ofn-jijH_gw0O6M/view?usp=drive_link</v>
      </c>
      <c r="V606" s="10"/>
      <c r="W606" s="10"/>
      <c r="X606" s="10"/>
      <c r="Y606" s="14" t="str">
        <f>IFERROR(__xludf.DUMMYFUNCTION("""COMPUTED_VALUE"""),"fakharzaman20170@gmail.com")</f>
        <v>fakharzaman20170@gmail.com</v>
      </c>
      <c r="AA606" s="324"/>
    </row>
    <row r="607" hidden="1">
      <c r="A607" s="9">
        <f>IFERROR(__xludf.DUMMYFUNCTION("""COMPUTED_VALUE"""),45919.896082708336)</f>
        <v>45919.89608</v>
      </c>
      <c r="B607" s="10" t="str">
        <f>IFERROR(__xludf.DUMMYFUNCTION("""COMPUTED_VALUE"""),"Muhammad Saud Faisal ")</f>
        <v>Muhammad Saud Faisal </v>
      </c>
      <c r="C607" s="10" t="str">
        <f>IFERROR(__xludf.DUMMYFUNCTION("""COMPUTED_VALUE"""),"03007737670")</f>
        <v>03007737670</v>
      </c>
      <c r="D607" s="10" t="str">
        <f>IFERROR(__xludf.DUMMYFUNCTION("""COMPUTED_VALUE"""),"Jamia masjid Fatah shah bukhari")</f>
        <v>Jamia masjid Fatah shah bukhari</v>
      </c>
      <c r="E607" s="10" t="str">
        <f>IFERROR(__xludf.DUMMYFUNCTION("""COMPUTED_VALUE"""),"XKTYP")</f>
        <v>XKTYP</v>
      </c>
      <c r="F607" s="10">
        <f>IFERROR(__xludf.DUMMYFUNCTION("""COMPUTED_VALUE"""),380.0)</f>
        <v>380</v>
      </c>
      <c r="G607" s="10">
        <f>IFERROR(__xludf.DUMMYFUNCTION("""COMPUTED_VALUE"""),9.0)</f>
        <v>9</v>
      </c>
      <c r="H607" s="10">
        <f>IFERROR(__xludf.DUMMYFUNCTION("""COMPUTED_VALUE"""),8.0)</f>
        <v>8</v>
      </c>
      <c r="I607" s="10">
        <f>IFERROR(__xludf.DUMMYFUNCTION("""COMPUTED_VALUE"""),1.0)</f>
        <v>1</v>
      </c>
      <c r="J607" s="10"/>
      <c r="K607" s="10"/>
      <c r="L607" s="10"/>
      <c r="M607" s="10">
        <f>IFERROR(__xludf.DUMMYFUNCTION("""COMPUTED_VALUE"""),10.0)</f>
        <v>10</v>
      </c>
      <c r="N607" s="10"/>
      <c r="O607" s="10"/>
      <c r="P607" s="10"/>
      <c r="Q607" s="10"/>
      <c r="R607" s="10"/>
      <c r="S607" s="10"/>
      <c r="T607" s="10"/>
      <c r="U607" s="18" t="str">
        <f>IFERROR(__xludf.DUMMYFUNCTION("""COMPUTED_VALUE"""),"https://drive.google.com/open?id=1FSeiTAcFeILAi1Om9fRmzBNojrE0Xx8-")</f>
        <v>https://drive.google.com/open?id=1FSeiTAcFeILAi1Om9fRmzBNojrE0Xx8-</v>
      </c>
      <c r="V607" s="10"/>
      <c r="W607" s="10"/>
      <c r="X607" s="10"/>
      <c r="Y607" s="14" t="str">
        <f>IFERROR(__xludf.DUMMYFUNCTION("""COMPUTED_VALUE"""),"msaudfaisal09@gmail.com")</f>
        <v>msaudfaisal09@gmail.com</v>
      </c>
      <c r="AA607" s="324"/>
    </row>
    <row r="608" hidden="1">
      <c r="A608" s="9">
        <f>IFERROR(__xludf.DUMMYFUNCTION("""COMPUTED_VALUE"""),45920.03288734954)</f>
        <v>45920.03289</v>
      </c>
      <c r="B608" s="10" t="str">
        <f>IFERROR(__xludf.DUMMYFUNCTION("""COMPUTED_VALUE"""),"Hafiz muhammad faiz bukhsh")</f>
        <v>Hafiz muhammad faiz bukhsh</v>
      </c>
      <c r="C608" s="10" t="str">
        <f>IFERROR(__xludf.DUMMYFUNCTION("""COMPUTED_VALUE"""),"03068750115")</f>
        <v>03068750115</v>
      </c>
      <c r="D608" s="10" t="str">
        <f>IFERROR(__xludf.DUMMYFUNCTION("""COMPUTED_VALUE"""),"Jamia masjid syed muhammad panah ")</f>
        <v>Jamia masjid syed muhammad panah </v>
      </c>
      <c r="E608" s="10" t="str">
        <f>IFERROR(__xludf.DUMMYFUNCTION("""COMPUTED_VALUE"""),"HHWJL")</f>
        <v>HHWJL</v>
      </c>
      <c r="F608" s="10">
        <f>IFERROR(__xludf.DUMMYFUNCTION("""COMPUTED_VALUE"""),345.0)</f>
        <v>345</v>
      </c>
      <c r="G608" s="10">
        <f>IFERROR(__xludf.DUMMYFUNCTION("""COMPUTED_VALUE"""),6.0)</f>
        <v>6</v>
      </c>
      <c r="H608" s="10">
        <f>IFERROR(__xludf.DUMMYFUNCTION("""COMPUTED_VALUE"""),5.0)</f>
        <v>5</v>
      </c>
      <c r="I608" s="10">
        <f>IFERROR(__xludf.DUMMYFUNCTION("""COMPUTED_VALUE"""),3.0)</f>
        <v>3</v>
      </c>
      <c r="J608" s="10"/>
      <c r="K608" s="10"/>
      <c r="L608" s="10"/>
      <c r="M608" s="10">
        <f>IFERROR(__xludf.DUMMYFUNCTION("""COMPUTED_VALUE"""),7.0)</f>
        <v>7</v>
      </c>
      <c r="N608" s="10"/>
      <c r="O608" s="10"/>
      <c r="P608" s="10"/>
      <c r="Q608" s="10"/>
      <c r="R608" s="10"/>
      <c r="S608" s="10"/>
      <c r="T608" s="10"/>
      <c r="U608" s="18" t="str">
        <f>IFERROR(__xludf.DUMMYFUNCTION("""COMPUTED_VALUE"""),"https://drive.google.com/file/d/1JNhPcqL5ODn7ISyxcVTe80UNm14cSMSr/view?usp=drive_link")</f>
        <v>https://drive.google.com/file/d/1JNhPcqL5ODn7ISyxcVTe80UNm14cSMSr/view?usp=drive_link</v>
      </c>
      <c r="V608" s="10"/>
      <c r="W608" s="10"/>
      <c r="X608" s="10"/>
      <c r="Y608" s="14" t="str">
        <f>IFERROR(__xludf.DUMMYFUNCTION("""COMPUTED_VALUE"""),"faiz25022@gmail.com")</f>
        <v>faiz25022@gmail.com</v>
      </c>
      <c r="AA608" s="324"/>
    </row>
    <row r="609" hidden="1">
      <c r="A609" s="9">
        <f>IFERROR(__xludf.DUMMYFUNCTION("""COMPUTED_VALUE"""),45920.33422103009)</f>
        <v>45920.33422</v>
      </c>
      <c r="B609" s="10" t="str">
        <f>IFERROR(__xludf.DUMMYFUNCTION("""COMPUTED_VALUE"""),"Rizwan Ali")</f>
        <v>Rizwan Ali</v>
      </c>
      <c r="C609" s="10" t="str">
        <f>IFERROR(__xludf.DUMMYFUNCTION("""COMPUTED_VALUE"""),"03430773443")</f>
        <v>03430773443</v>
      </c>
      <c r="D609" s="10" t="str">
        <f>IFERROR(__xludf.DUMMYFUNCTION("""COMPUTED_VALUE"""),"Noor Ul Masjid")</f>
        <v>Noor Ul Masjid</v>
      </c>
      <c r="E609" s="10" t="str">
        <f>IFERROR(__xludf.DUMMYFUNCTION("""COMPUTED_VALUE"""),"IFVQA")</f>
        <v>IFVQA</v>
      </c>
      <c r="F609" s="10">
        <f>IFERROR(__xludf.DUMMYFUNCTION("""COMPUTED_VALUE"""),1300.0)</f>
        <v>1300</v>
      </c>
      <c r="G609" s="10">
        <f>IFERROR(__xludf.DUMMYFUNCTION("""COMPUTED_VALUE"""),9.0)</f>
        <v>9</v>
      </c>
      <c r="H609" s="10">
        <f>IFERROR(__xludf.DUMMYFUNCTION("""COMPUTED_VALUE"""),9.0)</f>
        <v>9</v>
      </c>
      <c r="I609" s="10">
        <f>IFERROR(__xludf.DUMMYFUNCTION("""COMPUTED_VALUE"""),0.0)</f>
        <v>0</v>
      </c>
      <c r="J609" s="10"/>
      <c r="K609" s="10"/>
      <c r="L609" s="10"/>
      <c r="M609" s="10">
        <f>IFERROR(__xludf.DUMMYFUNCTION("""COMPUTED_VALUE"""),9.0)</f>
        <v>9</v>
      </c>
      <c r="N609" s="10"/>
      <c r="O609" s="10"/>
      <c r="P609" s="10"/>
      <c r="Q609" s="10"/>
      <c r="R609" s="10"/>
      <c r="S609" s="10"/>
      <c r="T609" s="10"/>
      <c r="U609" s="18" t="str">
        <f>IFERROR(__xludf.DUMMYFUNCTION("""COMPUTED_VALUE"""),"https://drive.google.com/open?id=1onz1V_9XhR9UPFWTZxPlbWdysMdaJkQC")</f>
        <v>https://drive.google.com/open?id=1onz1V_9XhR9UPFWTZxPlbWdysMdaJkQC</v>
      </c>
      <c r="V609" s="10" t="str">
        <f>IFERROR(__xludf.DUMMYFUNCTION("""COMPUTED_VALUE"""),"No")</f>
        <v>No</v>
      </c>
      <c r="W609" s="10"/>
      <c r="X609" s="10"/>
      <c r="Y609" s="14" t="str">
        <f>IFERROR(__xludf.DUMMYFUNCTION("""COMPUTED_VALUE"""),"rizwanali6642@gmail.com")</f>
        <v>rizwanali6642@gmail.com</v>
      </c>
      <c r="AA609" s="324"/>
    </row>
    <row r="610" hidden="1">
      <c r="A610" s="9">
        <f>IFERROR(__xludf.DUMMYFUNCTION("""COMPUTED_VALUE"""),45926.20453149306)</f>
        <v>45926.20453</v>
      </c>
      <c r="B610" s="10" t="str">
        <f>IFERROR(__xludf.DUMMYFUNCTION("""COMPUTED_VALUE"""),"Hafiz muhammad faiz bukhsh")</f>
        <v>Hafiz muhammad faiz bukhsh</v>
      </c>
      <c r="C610" s="10" t="str">
        <f>IFERROR(__xludf.DUMMYFUNCTION("""COMPUTED_VALUE"""),"03068750115")</f>
        <v>03068750115</v>
      </c>
      <c r="D610" s="10" t="str">
        <f>IFERROR(__xludf.DUMMYFUNCTION("""COMPUTED_VALUE"""),"Jamia masjid syed muhammad panah")</f>
        <v>Jamia masjid syed muhammad panah</v>
      </c>
      <c r="E610" s="10" t="str">
        <f>IFERROR(__xludf.DUMMYFUNCTION("""COMPUTED_VALUE"""),"HHWJL")</f>
        <v>HHWJL</v>
      </c>
      <c r="F610" s="10">
        <f>IFERROR(__xludf.DUMMYFUNCTION("""COMPUTED_VALUE"""),375.0)</f>
        <v>375</v>
      </c>
      <c r="G610" s="10">
        <f>IFERROR(__xludf.DUMMYFUNCTION("""COMPUTED_VALUE"""),6.0)</f>
        <v>6</v>
      </c>
      <c r="H610" s="10">
        <f>IFERROR(__xludf.DUMMYFUNCTION("""COMPUTED_VALUE"""),6.0)</f>
        <v>6</v>
      </c>
      <c r="I610" s="10">
        <f>IFERROR(__xludf.DUMMYFUNCTION("""COMPUTED_VALUE"""),3.0)</f>
        <v>3</v>
      </c>
      <c r="J610" s="10"/>
      <c r="K610" s="10"/>
      <c r="L610" s="10"/>
      <c r="M610" s="10">
        <f>IFERROR(__xludf.DUMMYFUNCTION("""COMPUTED_VALUE"""),7.0)</f>
        <v>7</v>
      </c>
      <c r="N610" s="10"/>
      <c r="O610" s="10"/>
      <c r="P610" s="10"/>
      <c r="Q610" s="10"/>
      <c r="R610" s="10"/>
      <c r="S610" s="10"/>
      <c r="T610" s="10"/>
      <c r="U610" s="18" t="str">
        <f>IFERROR(__xludf.DUMMYFUNCTION("""COMPUTED_VALUE"""),"https://drive.google.com/file/d/17a7ps4AC4y59fduyOYFPzeR6ntjix-8u/view?usp=drive_link")</f>
        <v>https://drive.google.com/file/d/17a7ps4AC4y59fduyOYFPzeR6ntjix-8u/view?usp=drive_link</v>
      </c>
      <c r="V610" s="10" t="str">
        <f>IFERROR(__xludf.DUMMYFUNCTION("""COMPUTED_VALUE"""),"Ni")</f>
        <v>Ni</v>
      </c>
      <c r="W610" s="10"/>
      <c r="X610" s="10"/>
      <c r="Y610" s="14" t="str">
        <f>IFERROR(__xludf.DUMMYFUNCTION("""COMPUTED_VALUE"""),"faiz25022@gmail.com")</f>
        <v>faiz25022@gmail.com</v>
      </c>
      <c r="AA610" s="324"/>
    </row>
    <row r="611" hidden="1">
      <c r="A611" s="9">
        <f>IFERROR(__xludf.DUMMYFUNCTION("""COMPUTED_VALUE"""),45926.21706653935)</f>
        <v>45926.21707</v>
      </c>
      <c r="B611" s="10" t="str">
        <f>IFERROR(__xludf.DUMMYFUNCTION("""COMPUTED_VALUE"""),"Waseem Rehman")</f>
        <v>Waseem Rehman</v>
      </c>
      <c r="C611" s="10" t="str">
        <f>IFERROR(__xludf.DUMMYFUNCTION("""COMPUTED_VALUE"""),"03005017007")</f>
        <v>03005017007</v>
      </c>
      <c r="D611" s="10" t="str">
        <f>IFERROR(__xludf.DUMMYFUNCTION("""COMPUTED_VALUE"""),"Jamia Masjid Sarwariya")</f>
        <v>Jamia Masjid Sarwariya</v>
      </c>
      <c r="E611" s="10" t="str">
        <f>IFERROR(__xludf.DUMMYFUNCTION("""COMPUTED_VALUE"""),"IOTAE")</f>
        <v>IOTAE</v>
      </c>
      <c r="F611" s="10">
        <f>IFERROR(__xludf.DUMMYFUNCTION("""COMPUTED_VALUE"""),42.0)</f>
        <v>42</v>
      </c>
      <c r="G611" s="10">
        <f>IFERROR(__xludf.DUMMYFUNCTION("""COMPUTED_VALUE"""),9.0)</f>
        <v>9</v>
      </c>
      <c r="H611" s="10">
        <f>IFERROR(__xludf.DUMMYFUNCTION("""COMPUTED_VALUE"""),9.0)</f>
        <v>9</v>
      </c>
      <c r="I611" s="10">
        <f>IFERROR(__xludf.DUMMYFUNCTION("""COMPUTED_VALUE"""),0.0)</f>
        <v>0</v>
      </c>
      <c r="J611" s="10"/>
      <c r="K611" s="10"/>
      <c r="L611" s="10"/>
      <c r="M611" s="10">
        <f>IFERROR(__xludf.DUMMYFUNCTION("""COMPUTED_VALUE"""),9.0)</f>
        <v>9</v>
      </c>
      <c r="N611" s="10"/>
      <c r="O611" s="10"/>
      <c r="P611" s="10"/>
      <c r="Q611" s="10"/>
      <c r="R611" s="10"/>
      <c r="S611" s="10"/>
      <c r="T611" s="10"/>
      <c r="U611" s="18" t="str">
        <f>IFERROR(__xludf.DUMMYFUNCTION("""COMPUTED_VALUE"""),"https://drive.google.com/open?id=1MIYOQXIDEoS8STU6BjLKo8XE5WiiCN8W")</f>
        <v>https://drive.google.com/open?id=1MIYOQXIDEoS8STU6BjLKo8XE5WiiCN8W</v>
      </c>
      <c r="V611" s="10"/>
      <c r="W611" s="10"/>
      <c r="X611" s="10"/>
      <c r="Y611" s="14" t="str">
        <f>IFERROR(__xludf.DUMMYFUNCTION("""COMPUTED_VALUE"""),"iwaseemrehman@gmail.com")</f>
        <v>iwaseemrehman@gmail.com</v>
      </c>
      <c r="AA611" s="324"/>
    </row>
    <row r="612" hidden="1">
      <c r="A612" s="9">
        <f>IFERROR(__xludf.DUMMYFUNCTION("""COMPUTED_VALUE"""),45926.21941399305)</f>
        <v>45926.21941</v>
      </c>
      <c r="B612" s="10" t="str">
        <f>IFERROR(__xludf.DUMMYFUNCTION("""COMPUTED_VALUE"""),"Naveed Khalid ")</f>
        <v>Naveed Khalid </v>
      </c>
      <c r="C612" s="10" t="str">
        <f>IFERROR(__xludf.DUMMYFUNCTION("""COMPUTED_VALUE"""),"03087944200")</f>
        <v>03087944200</v>
      </c>
      <c r="D612" s="10" t="str">
        <f>IFERROR(__xludf.DUMMYFUNCTION("""COMPUTED_VALUE"""),"Darbar Muhammad Ghous Bala Peer Okara	")</f>
        <v>Darbar Muhammad Ghous Bala Peer Okara	</v>
      </c>
      <c r="E612" s="10" t="str">
        <f>IFERROR(__xludf.DUMMYFUNCTION("""COMPUTED_VALUE""")," VTGKG")</f>
        <v> VTGKG</v>
      </c>
      <c r="F612" s="10">
        <f>IFERROR(__xludf.DUMMYFUNCTION("""COMPUTED_VALUE"""),620.0)</f>
        <v>620</v>
      </c>
      <c r="G612" s="10">
        <f>IFERROR(__xludf.DUMMYFUNCTION("""COMPUTED_VALUE"""),3.0)</f>
        <v>3</v>
      </c>
      <c r="H612" s="10">
        <f>IFERROR(__xludf.DUMMYFUNCTION("""COMPUTED_VALUE"""),3.0)</f>
        <v>3</v>
      </c>
      <c r="I612" s="10">
        <f>IFERROR(__xludf.DUMMYFUNCTION("""COMPUTED_VALUE"""),4.0)</f>
        <v>4</v>
      </c>
      <c r="J612" s="10"/>
      <c r="K612" s="10"/>
      <c r="L612" s="10"/>
      <c r="M612" s="10">
        <f>IFERROR(__xludf.DUMMYFUNCTION("""COMPUTED_VALUE"""),10.0)</f>
        <v>10</v>
      </c>
      <c r="N612" s="10"/>
      <c r="O612" s="10"/>
      <c r="P612" s="10"/>
      <c r="Q612" s="10"/>
      <c r="R612" s="10"/>
      <c r="S612" s="10"/>
      <c r="T612" s="10"/>
      <c r="U612" s="18" t="str">
        <f>IFERROR(__xludf.DUMMYFUNCTION("""COMPUTED_VALUE"""),"https://drive.google.com/open?id=118l2jUHbafIJXeLWdZBdSKGFHi3niFTv")</f>
        <v>https://drive.google.com/open?id=118l2jUHbafIJXeLWdZBdSKGFHi3niFTv</v>
      </c>
      <c r="V612" s="10"/>
      <c r="W612" s="10"/>
      <c r="X612" s="10"/>
      <c r="Y612" s="14" t="str">
        <f>IFERROR(__xludf.DUMMYFUNCTION("""COMPUTED_VALUE"""),"rulesbreakers52@gmail.com")</f>
        <v>rulesbreakers52@gmail.com</v>
      </c>
      <c r="AA612" s="324"/>
    </row>
    <row r="613" hidden="1">
      <c r="A613" s="9">
        <f>IFERROR(__xludf.DUMMYFUNCTION("""COMPUTED_VALUE"""),45926.22180423611)</f>
        <v>45926.2218</v>
      </c>
      <c r="B613" s="10" t="str">
        <f>IFERROR(__xludf.DUMMYFUNCTION("""COMPUTED_VALUE"""),"Arslan hafeez")</f>
        <v>Arslan hafeez</v>
      </c>
      <c r="C613" s="10" t="str">
        <f>IFERROR(__xludf.DUMMYFUNCTION("""COMPUTED_VALUE"""),"03214883176")</f>
        <v>03214883176</v>
      </c>
      <c r="D613" s="10" t="str">
        <f>IFERROR(__xludf.DUMMYFUNCTION("""COMPUTED_VALUE"""),"Jamiha Masjad ghala mandi ")</f>
        <v>Jamiha Masjad ghala mandi </v>
      </c>
      <c r="E613" s="10" t="str">
        <f>IFERROR(__xludf.DUMMYFUNCTION("""COMPUTED_VALUE"""),"YTVOY")</f>
        <v>YTVOY</v>
      </c>
      <c r="F613" s="10">
        <f>IFERROR(__xludf.DUMMYFUNCTION("""COMPUTED_VALUE"""),228.0)</f>
        <v>228</v>
      </c>
      <c r="G613" s="10">
        <f>IFERROR(__xludf.DUMMYFUNCTION("""COMPUTED_VALUE"""),8.0)</f>
        <v>8</v>
      </c>
      <c r="H613" s="10">
        <f>IFERROR(__xludf.DUMMYFUNCTION("""COMPUTED_VALUE"""),8.0)</f>
        <v>8</v>
      </c>
      <c r="I613" s="10">
        <f>IFERROR(__xludf.DUMMYFUNCTION("""COMPUTED_VALUE"""),1.0)</f>
        <v>1</v>
      </c>
      <c r="J613" s="10"/>
      <c r="K613" s="10"/>
      <c r="L613" s="10"/>
      <c r="M613" s="10">
        <f>IFERROR(__xludf.DUMMYFUNCTION("""COMPUTED_VALUE"""),7.0)</f>
        <v>7</v>
      </c>
      <c r="N613" s="10"/>
      <c r="O613" s="10"/>
      <c r="P613" s="10"/>
      <c r="Q613" s="10"/>
      <c r="R613" s="10"/>
      <c r="S613" s="10"/>
      <c r="T613" s="10"/>
      <c r="U613" s="10"/>
      <c r="V613" s="10"/>
      <c r="W613" s="10"/>
      <c r="X613" s="10"/>
      <c r="Y613" s="14" t="str">
        <f>IFERROR(__xludf.DUMMYFUNCTION("""COMPUTED_VALUE"""),"Arslanhafeez1811@gmail.com")</f>
        <v>Arslanhafeez1811@gmail.com</v>
      </c>
      <c r="AA613" s="324"/>
    </row>
    <row r="614" hidden="1">
      <c r="A614" s="9">
        <f>IFERROR(__xludf.DUMMYFUNCTION("""COMPUTED_VALUE"""),45926.23993784722)</f>
        <v>45926.23994</v>
      </c>
      <c r="B614" s="10" t="str">
        <f>IFERROR(__xludf.DUMMYFUNCTION("""COMPUTED_VALUE"""),"Numan Ali")</f>
        <v>Numan Ali</v>
      </c>
      <c r="C614" s="10" t="str">
        <f>IFERROR(__xludf.DUMMYFUNCTION("""COMPUTED_VALUE"""),"03008196197")</f>
        <v>03008196197</v>
      </c>
      <c r="D614" s="10" t="str">
        <f>IFERROR(__xludf.DUMMYFUNCTION("""COMPUTED_VALUE"""),"Jamia Masjid Gala Mandi")</f>
        <v>Jamia Masjid Gala Mandi</v>
      </c>
      <c r="E614" s="10" t="str">
        <f>IFERROR(__xludf.DUMMYFUNCTION("""COMPUTED_VALUE"""),"UOMYF")</f>
        <v>UOMYF</v>
      </c>
      <c r="F614" s="10">
        <f>IFERROR(__xludf.DUMMYFUNCTION("""COMPUTED_VALUE"""),103.0)</f>
        <v>103</v>
      </c>
      <c r="G614" s="10">
        <f>IFERROR(__xludf.DUMMYFUNCTION("""COMPUTED_VALUE"""),8.0)</f>
        <v>8</v>
      </c>
      <c r="H614" s="10">
        <f>IFERROR(__xludf.DUMMYFUNCTION("""COMPUTED_VALUE"""),8.0)</f>
        <v>8</v>
      </c>
      <c r="I614" s="10">
        <f>IFERROR(__xludf.DUMMYFUNCTION("""COMPUTED_VALUE"""),0.0)</f>
        <v>0</v>
      </c>
      <c r="J614" s="10"/>
      <c r="K614" s="10"/>
      <c r="L614" s="10"/>
      <c r="M614" s="10">
        <f>IFERROR(__xludf.DUMMYFUNCTION("""COMPUTED_VALUE"""),9.0)</f>
        <v>9</v>
      </c>
      <c r="N614" s="10"/>
      <c r="O614" s="10"/>
      <c r="P614" s="10"/>
      <c r="Q614" s="10"/>
      <c r="R614" s="10"/>
      <c r="S614" s="10"/>
      <c r="T614" s="10"/>
      <c r="U614" s="18" t="str">
        <f>IFERROR(__xludf.DUMMYFUNCTION("""COMPUTED_VALUE"""),"https://drive.google.com/open?id=1eywB1eJtSerINvas357eIFgVd9XEXPXl")</f>
        <v>https://drive.google.com/open?id=1eywB1eJtSerINvas357eIFgVd9XEXPXl</v>
      </c>
      <c r="V614" s="10" t="str">
        <f>IFERROR(__xludf.DUMMYFUNCTION("""COMPUTED_VALUE"""),"No")</f>
        <v>No</v>
      </c>
      <c r="W614" s="10"/>
      <c r="X614" s="10"/>
      <c r="Y614" s="14" t="str">
        <f>IFERROR(__xludf.DUMMYFUNCTION("""COMPUTED_VALUE"""),"numanali8196@gmail.com")</f>
        <v>numanali8196@gmail.com</v>
      </c>
      <c r="AA614" s="324"/>
    </row>
    <row r="615" hidden="1">
      <c r="A615" s="9">
        <f>IFERROR(__xludf.DUMMYFUNCTION("""COMPUTED_VALUE"""),45926.241894942126)</f>
        <v>45926.24189</v>
      </c>
      <c r="B615" s="10" t="str">
        <f>IFERROR(__xludf.DUMMYFUNCTION("""COMPUTED_VALUE"""),"Abubakar ")</f>
        <v>Abubakar </v>
      </c>
      <c r="C615" s="10" t="str">
        <f>IFERROR(__xludf.DUMMYFUNCTION("""COMPUTED_VALUE"""),"03111204919")</f>
        <v>03111204919</v>
      </c>
      <c r="D615" s="10" t="str">
        <f>IFERROR(__xludf.DUMMYFUNCTION("""COMPUTED_VALUE"""),"Jameya masjid usmaneya")</f>
        <v>Jameya masjid usmaneya</v>
      </c>
      <c r="E615" s="10" t="str">
        <f>IFERROR(__xludf.DUMMYFUNCTION("""COMPUTED_VALUE"""),"KGQJV")</f>
        <v>KGQJV</v>
      </c>
      <c r="F615" s="10">
        <f>IFERROR(__xludf.DUMMYFUNCTION("""COMPUTED_VALUE"""),820.0)</f>
        <v>820</v>
      </c>
      <c r="G615" s="10">
        <f>IFERROR(__xludf.DUMMYFUNCTION("""COMPUTED_VALUE"""),9.0)</f>
        <v>9</v>
      </c>
      <c r="H615" s="10">
        <f>IFERROR(__xludf.DUMMYFUNCTION("""COMPUTED_VALUE"""),9.0)</f>
        <v>9</v>
      </c>
      <c r="I615" s="10">
        <f>IFERROR(__xludf.DUMMYFUNCTION("""COMPUTED_VALUE"""),1.0)</f>
        <v>1</v>
      </c>
      <c r="J615" s="10"/>
      <c r="K615" s="10"/>
      <c r="L615" s="10"/>
      <c r="M615" s="10">
        <f>IFERROR(__xludf.DUMMYFUNCTION("""COMPUTED_VALUE"""),9.0)</f>
        <v>9</v>
      </c>
      <c r="N615" s="10"/>
      <c r="O615" s="10"/>
      <c r="P615" s="10"/>
      <c r="Q615" s="10"/>
      <c r="R615" s="10"/>
      <c r="S615" s="10"/>
      <c r="T615" s="10"/>
      <c r="U615" s="18" t="str">
        <f>IFERROR(__xludf.DUMMYFUNCTION("""COMPUTED_VALUE"""),"https://drive.google.com/open?id=1a31tJwKxsBS14gqd82Obqwz8TS6WqhkA")</f>
        <v>https://drive.google.com/open?id=1a31tJwKxsBS14gqd82Obqwz8TS6WqhkA</v>
      </c>
      <c r="V615" s="10"/>
      <c r="W615" s="10"/>
      <c r="X615" s="10"/>
      <c r="Y615" s="14" t="str">
        <f>IFERROR(__xludf.DUMMYFUNCTION("""COMPUTED_VALUE"""),"ab1995312@gmail.com")</f>
        <v>ab1995312@gmail.com</v>
      </c>
      <c r="AA615" s="324"/>
    </row>
    <row r="616" hidden="1">
      <c r="A616" s="9">
        <f>IFERROR(__xludf.DUMMYFUNCTION("""COMPUTED_VALUE"""),45926.247869513885)</f>
        <v>45926.24787</v>
      </c>
      <c r="B616" s="10" t="str">
        <f>IFERROR(__xludf.DUMMYFUNCTION("""COMPUTED_VALUE"""),"FaisalMushtaq")</f>
        <v>FaisalMushtaq</v>
      </c>
      <c r="C616" s="10" t="str">
        <f>IFERROR(__xludf.DUMMYFUNCTION("""COMPUTED_VALUE"""),"03186036229")</f>
        <v>03186036229</v>
      </c>
      <c r="D616" s="10" t="str">
        <f>IFERROR(__xludf.DUMMYFUNCTION("""COMPUTED_VALUE"""),"Markazi ghosiyan rizwiya sadar bazar Renala kurd")</f>
        <v>Markazi ghosiyan rizwiya sadar bazar Renala kurd</v>
      </c>
      <c r="E616" s="10" t="str">
        <f>IFERROR(__xludf.DUMMYFUNCTION("""COMPUTED_VALUE"""),"RUJKZ")</f>
        <v>RUJKZ</v>
      </c>
      <c r="F616" s="10">
        <f>IFERROR(__xludf.DUMMYFUNCTION("""COMPUTED_VALUE"""),1053.0)</f>
        <v>1053</v>
      </c>
      <c r="G616" s="10">
        <f>IFERROR(__xludf.DUMMYFUNCTION("""COMPUTED_VALUE"""),10.0)</f>
        <v>10</v>
      </c>
      <c r="H616" s="10">
        <f>IFERROR(__xludf.DUMMYFUNCTION("""COMPUTED_VALUE"""),10.0)</f>
        <v>10</v>
      </c>
      <c r="I616" s="10" t="str">
        <f>IFERROR(__xludf.DUMMYFUNCTION("""COMPUTED_VALUE"""),"Koi b nhi ha")</f>
        <v>Koi b nhi ha</v>
      </c>
      <c r="J616" s="10"/>
      <c r="K616" s="10"/>
      <c r="L616" s="10"/>
      <c r="M616" s="10">
        <f>IFERROR(__xludf.DUMMYFUNCTION("""COMPUTED_VALUE"""),10.0)</f>
        <v>10</v>
      </c>
      <c r="N616" s="10"/>
      <c r="O616" s="10"/>
      <c r="P616" s="10"/>
      <c r="Q616" s="10"/>
      <c r="R616" s="10"/>
      <c r="S616" s="10"/>
      <c r="T616" s="10"/>
      <c r="U616" s="18" t="str">
        <f>IFERROR(__xludf.DUMMYFUNCTION("""COMPUTED_VALUE"""),"https://drive.google.com/open?id=1T6gbWMk8FrG4sawH2b0io118FLKhAKPp")</f>
        <v>https://drive.google.com/open?id=1T6gbWMk8FrG4sawH2b0io118FLKhAKPp</v>
      </c>
      <c r="V616" s="10"/>
      <c r="W616" s="10"/>
      <c r="X616" s="10"/>
      <c r="Y616" s="14" t="str">
        <f>IFERROR(__xludf.DUMMYFUNCTION("""COMPUTED_VALUE"""),"xtfaisalkhichi@gmail.com")</f>
        <v>xtfaisalkhichi@gmail.com</v>
      </c>
      <c r="AA616" s="324"/>
    </row>
    <row r="617" hidden="1">
      <c r="A617" s="9">
        <f>IFERROR(__xludf.DUMMYFUNCTION("""COMPUTED_VALUE"""),45926.252160902775)</f>
        <v>45926.25216</v>
      </c>
      <c r="B617" s="10" t="str">
        <f>IFERROR(__xludf.DUMMYFUNCTION("""COMPUTED_VALUE"""),"QasimWaseem ")</f>
        <v>QasimWaseem </v>
      </c>
      <c r="C617" s="10" t="str">
        <f>IFERROR(__xludf.DUMMYFUNCTION("""COMPUTED_VALUE"""),"03219627514")</f>
        <v>03219627514</v>
      </c>
      <c r="D617" s="10" t="str">
        <f>IFERROR(__xludf.DUMMYFUNCTION("""COMPUTED_VALUE"""),"Jammia Masjid Eid gah ")</f>
        <v>Jammia Masjid Eid gah </v>
      </c>
      <c r="E617" s="10" t="str">
        <f>IFERROR(__xludf.DUMMYFUNCTION("""COMPUTED_VALUE"""),"BXYXM ")</f>
        <v>BXYXM </v>
      </c>
      <c r="F617" s="10">
        <f>IFERROR(__xludf.DUMMYFUNCTION("""COMPUTED_VALUE"""),500.0)</f>
        <v>500</v>
      </c>
      <c r="G617" s="10">
        <f>IFERROR(__xludf.DUMMYFUNCTION("""COMPUTED_VALUE"""),6.0)</f>
        <v>6</v>
      </c>
      <c r="H617" s="10">
        <f>IFERROR(__xludf.DUMMYFUNCTION("""COMPUTED_VALUE"""),5.0)</f>
        <v>5</v>
      </c>
      <c r="I617" s="10" t="str">
        <f>IFERROR(__xludf.DUMMYFUNCTION("""COMPUTED_VALUE"""),"No")</f>
        <v>No</v>
      </c>
      <c r="J617" s="10"/>
      <c r="K617" s="10"/>
      <c r="L617" s="10"/>
      <c r="M617" s="10">
        <f>IFERROR(__xludf.DUMMYFUNCTION("""COMPUTED_VALUE"""),6.0)</f>
        <v>6</v>
      </c>
      <c r="N617" s="10"/>
      <c r="O617" s="10"/>
      <c r="P617" s="10"/>
      <c r="Q617" s="10"/>
      <c r="R617" s="10"/>
      <c r="S617" s="10"/>
      <c r="T617" s="10"/>
      <c r="U617" s="10"/>
      <c r="V617" s="10"/>
      <c r="W617" s="10"/>
      <c r="X617" s="10"/>
      <c r="Y617" s="14" t="str">
        <f>IFERROR(__xludf.DUMMYFUNCTION("""COMPUTED_VALUE"""),"qasimwaseem222@gmail.com")</f>
        <v>qasimwaseem222@gmail.com</v>
      </c>
      <c r="AA617" s="324"/>
    </row>
    <row r="618" hidden="1">
      <c r="A618" s="9">
        <f>IFERROR(__xludf.DUMMYFUNCTION("""COMPUTED_VALUE"""),45926.25934872685)</f>
        <v>45926.25935</v>
      </c>
      <c r="B618" s="10" t="str">
        <f>IFERROR(__xludf.DUMMYFUNCTION("""COMPUTED_VALUE"""),"Maqbool Ahmad")</f>
        <v>Maqbool Ahmad</v>
      </c>
      <c r="C618" s="10" t="str">
        <f>IFERROR(__xludf.DUMMYFUNCTION("""COMPUTED_VALUE"""),"03007969774")</f>
        <v>03007969774</v>
      </c>
      <c r="D618" s="10" t="str">
        <f>IFERROR(__xludf.DUMMYFUNCTION("""COMPUTED_VALUE"""),"Jamia Masjid Hazrat Baba Farid Gung e shakar Pakpattan ")</f>
        <v>Jamia Masjid Hazrat Baba Farid Gung e shakar Pakpattan </v>
      </c>
      <c r="E618" s="10" t="str">
        <f>IFERROR(__xludf.DUMMYFUNCTION("""COMPUTED_VALUE"""),"PAQQF")</f>
        <v>PAQQF</v>
      </c>
      <c r="F618" s="10">
        <f>IFERROR(__xludf.DUMMYFUNCTION("""COMPUTED_VALUE"""),4500.0)</f>
        <v>4500</v>
      </c>
      <c r="G618" s="10">
        <f>IFERROR(__xludf.DUMMYFUNCTION("""COMPUTED_VALUE"""),10.0)</f>
        <v>10</v>
      </c>
      <c r="H618" s="10">
        <f>IFERROR(__xludf.DUMMYFUNCTION("""COMPUTED_VALUE"""),9.0)</f>
        <v>9</v>
      </c>
      <c r="I618" s="10">
        <f>IFERROR(__xludf.DUMMYFUNCTION("""COMPUTED_VALUE"""),0.0)</f>
        <v>0</v>
      </c>
      <c r="J618" s="10"/>
      <c r="K618" s="10"/>
      <c r="L618" s="10"/>
      <c r="M618" s="10">
        <f>IFERROR(__xludf.DUMMYFUNCTION("""COMPUTED_VALUE"""),9.0)</f>
        <v>9</v>
      </c>
      <c r="N618" s="10"/>
      <c r="O618" s="10"/>
      <c r="P618" s="10"/>
      <c r="Q618" s="10"/>
      <c r="R618" s="10"/>
      <c r="S618" s="10"/>
      <c r="T618" s="10"/>
      <c r="U618" s="18" t="str">
        <f>IFERROR(__xludf.DUMMYFUNCTION("""COMPUTED_VALUE"""),"https://drive.google.com/open?id=1TArINuI0SMFqtvswnIvWDQWe52Uw0tbb")</f>
        <v>https://drive.google.com/open?id=1TArINuI0SMFqtvswnIvWDQWe52Uw0tbb</v>
      </c>
      <c r="V618" s="10" t="str">
        <f>IFERROR(__xludf.DUMMYFUNCTION("""COMPUTED_VALUE"""),"No ")</f>
        <v>No </v>
      </c>
      <c r="W618" s="10"/>
      <c r="X618" s="10"/>
      <c r="Y618" s="14" t="str">
        <f>IFERROR(__xludf.DUMMYFUNCTION("""COMPUTED_VALUE"""),"maqboolahmadpk68@gmail.com")</f>
        <v>maqboolahmadpk68@gmail.com</v>
      </c>
      <c r="AA618" s="324"/>
    </row>
    <row r="619" hidden="1">
      <c r="A619" s="9">
        <f>IFERROR(__xludf.DUMMYFUNCTION("""COMPUTED_VALUE"""),45926.28370777778)</f>
        <v>45926.28371</v>
      </c>
      <c r="B619" s="10" t="str">
        <f>IFERROR(__xludf.DUMMYFUNCTION("""COMPUTED_VALUE"""),"Afzal shahzad")</f>
        <v>Afzal shahzad</v>
      </c>
      <c r="C619" s="10" t="str">
        <f>IFERROR(__xludf.DUMMYFUNCTION("""COMPUTED_VALUE"""),"03054123220")</f>
        <v>03054123220</v>
      </c>
      <c r="D619" s="10" t="str">
        <f>IFERROR(__xludf.DUMMYFUNCTION("""COMPUTED_VALUE"""),"Jamia Masjid Abdul kareem Pakpattan")</f>
        <v>Jamia Masjid Abdul kareem Pakpattan</v>
      </c>
      <c r="E619" s="10" t="str">
        <f>IFERROR(__xludf.DUMMYFUNCTION("""COMPUTED_VALUE"""),"OGDXP")</f>
        <v>OGDXP</v>
      </c>
      <c r="F619" s="10">
        <f>IFERROR(__xludf.DUMMYFUNCTION("""COMPUTED_VALUE"""),160.0)</f>
        <v>160</v>
      </c>
      <c r="G619" s="10">
        <f>IFERROR(__xludf.DUMMYFUNCTION("""COMPUTED_VALUE"""),5.0)</f>
        <v>5</v>
      </c>
      <c r="H619" s="10">
        <f>IFERROR(__xludf.DUMMYFUNCTION("""COMPUTED_VALUE"""),3.0)</f>
        <v>3</v>
      </c>
      <c r="I619" s="10">
        <f>IFERROR(__xludf.DUMMYFUNCTION("""COMPUTED_VALUE"""),3.0)</f>
        <v>3</v>
      </c>
      <c r="J619" s="10"/>
      <c r="K619" s="10"/>
      <c r="L619" s="10"/>
      <c r="M619" s="10">
        <f>IFERROR(__xludf.DUMMYFUNCTION("""COMPUTED_VALUE"""),8.0)</f>
        <v>8</v>
      </c>
      <c r="N619" s="10"/>
      <c r="O619" s="10"/>
      <c r="P619" s="10"/>
      <c r="Q619" s="10"/>
      <c r="R619" s="10"/>
      <c r="S619" s="10"/>
      <c r="T619" s="10"/>
      <c r="U619" s="18" t="str">
        <f>IFERROR(__xludf.DUMMYFUNCTION("""COMPUTED_VALUE"""),"https://drive.google.com/file/d/1YX6G6v0tZyu_3ZNJbtaGxTQyWluW5XNX/view")</f>
        <v>https://drive.google.com/file/d/1YX6G6v0tZyu_3ZNJbtaGxTQyWluW5XNX/view</v>
      </c>
      <c r="V619" s="10"/>
      <c r="W619" s="10"/>
      <c r="X619" s="10"/>
      <c r="Y619" s="14" t="str">
        <f>IFERROR(__xludf.DUMMYFUNCTION("""COMPUTED_VALUE"""),"shahzadmalik7521129@gmail.com")</f>
        <v>shahzadmalik7521129@gmail.com</v>
      </c>
      <c r="AA619" s="324"/>
    </row>
    <row r="620" hidden="1">
      <c r="A620" s="9">
        <f>IFERROR(__xludf.DUMMYFUNCTION("""COMPUTED_VALUE"""),45926.28656877315)</f>
        <v>45926.28657</v>
      </c>
      <c r="B620" s="10" t="str">
        <f>IFERROR(__xludf.DUMMYFUNCTION("""COMPUTED_VALUE"""),"Shahzad Ahmad ")</f>
        <v>Shahzad Ahmad </v>
      </c>
      <c r="C620" s="10" t="str">
        <f>IFERROR(__xludf.DUMMYFUNCTION("""COMPUTED_VALUE"""),"03001119795")</f>
        <v>03001119795</v>
      </c>
      <c r="D620" s="10" t="str">
        <f>IFERROR(__xludf.DUMMYFUNCTION("""COMPUTED_VALUE"""),"Jamia Masjid Aziz Makki, Pakpattan sharif ")</f>
        <v>Jamia Masjid Aziz Makki, Pakpattan sharif </v>
      </c>
      <c r="E620" s="10" t="str">
        <f>IFERROR(__xludf.DUMMYFUNCTION("""COMPUTED_VALUE"""),"EWWLQ")</f>
        <v>EWWLQ</v>
      </c>
      <c r="F620" s="10">
        <f>IFERROR(__xludf.DUMMYFUNCTION("""COMPUTED_VALUE"""),120.0)</f>
        <v>120</v>
      </c>
      <c r="G620" s="10">
        <f>IFERROR(__xludf.DUMMYFUNCTION("""COMPUTED_VALUE"""),4.0)</f>
        <v>4</v>
      </c>
      <c r="H620" s="10">
        <f>IFERROR(__xludf.DUMMYFUNCTION("""COMPUTED_VALUE"""),3.0)</f>
        <v>3</v>
      </c>
      <c r="I620" s="10">
        <f>IFERROR(__xludf.DUMMYFUNCTION("""COMPUTED_VALUE"""),3.0)</f>
        <v>3</v>
      </c>
      <c r="J620" s="10"/>
      <c r="K620" s="10"/>
      <c r="L620" s="10"/>
      <c r="M620" s="10">
        <f>IFERROR(__xludf.DUMMYFUNCTION("""COMPUTED_VALUE"""),8.0)</f>
        <v>8</v>
      </c>
      <c r="N620" s="10"/>
      <c r="O620" s="10"/>
      <c r="P620" s="10"/>
      <c r="Q620" s="10"/>
      <c r="R620" s="10"/>
      <c r="S620" s="10"/>
      <c r="T620" s="10"/>
      <c r="U620" s="18" t="str">
        <f>IFERROR(__xludf.DUMMYFUNCTION("""COMPUTED_VALUE"""),"https://drive.google.com/open?id=1Yj6CwlwA4e5gEUtAntbaX7KDgbpcKvxD")</f>
        <v>https://drive.google.com/open?id=1Yj6CwlwA4e5gEUtAntbaX7KDgbpcKvxD</v>
      </c>
      <c r="V620" s="10"/>
      <c r="W620" s="10"/>
      <c r="X620" s="10"/>
      <c r="Y620" s="14" t="str">
        <f>IFERROR(__xludf.DUMMYFUNCTION("""COMPUTED_VALUE"""),"ranashahzad7403@gmail.com")</f>
        <v>ranashahzad7403@gmail.com</v>
      </c>
      <c r="AA620" s="324"/>
    </row>
    <row r="621" hidden="1">
      <c r="A621" s="9">
        <f>IFERROR(__xludf.DUMMYFUNCTION("""COMPUTED_VALUE"""),45926.28932938658)</f>
        <v>45926.28933</v>
      </c>
      <c r="B621" s="10" t="str">
        <f>IFERROR(__xludf.DUMMYFUNCTION("""COMPUTED_VALUE"""),"Mubashir")</f>
        <v>Mubashir</v>
      </c>
      <c r="C621" s="10" t="str">
        <f>IFERROR(__xludf.DUMMYFUNCTION("""COMPUTED_VALUE"""),"03029027400")</f>
        <v>03029027400</v>
      </c>
      <c r="D621" s="10" t="str">
        <f>IFERROR(__xludf.DUMMYFUNCTION("""COMPUTED_VALUE"""),"جامعہ مسجد حنفیہ ")</f>
        <v>جامعہ مسجد حنفیہ </v>
      </c>
      <c r="E621" s="10" t="str">
        <f>IFERROR(__xludf.DUMMYFUNCTION("""COMPUTED_VALUE"""),"MJOUE")</f>
        <v>MJOUE</v>
      </c>
      <c r="F621" s="10">
        <f>IFERROR(__xludf.DUMMYFUNCTION("""COMPUTED_VALUE"""),260.0)</f>
        <v>260</v>
      </c>
      <c r="G621" s="10">
        <f>IFERROR(__xludf.DUMMYFUNCTION("""COMPUTED_VALUE"""),8.0)</f>
        <v>8</v>
      </c>
      <c r="H621" s="10">
        <f>IFERROR(__xludf.DUMMYFUNCTION("""COMPUTED_VALUE"""),7.0)</f>
        <v>7</v>
      </c>
      <c r="I621" s="10">
        <f>IFERROR(__xludf.DUMMYFUNCTION("""COMPUTED_VALUE"""),0.0)</f>
        <v>0</v>
      </c>
      <c r="J621" s="10"/>
      <c r="K621" s="10"/>
      <c r="L621" s="10"/>
      <c r="M621" s="10">
        <f>IFERROR(__xludf.DUMMYFUNCTION("""COMPUTED_VALUE"""),9.0)</f>
        <v>9</v>
      </c>
      <c r="N621" s="10"/>
      <c r="O621" s="10"/>
      <c r="P621" s="10"/>
      <c r="Q621" s="10"/>
      <c r="R621" s="10"/>
      <c r="S621" s="10"/>
      <c r="T621" s="10"/>
      <c r="U621" s="18" t="str">
        <f>IFERROR(__xludf.DUMMYFUNCTION("""COMPUTED_VALUE"""),"https://drive.google.com/open?id=1IOSb4pbqhDAFlRtpZwsaCW2UJ63pXdxD")</f>
        <v>https://drive.google.com/open?id=1IOSb4pbqhDAFlRtpZwsaCW2UJ63pXdxD</v>
      </c>
      <c r="V621" s="10"/>
      <c r="W621" s="10"/>
      <c r="X621" s="10"/>
      <c r="Y621" s="14" t="str">
        <f>IFERROR(__xludf.DUMMYFUNCTION("""COMPUTED_VALUE"""),"rajamubashar381@gmail.com")</f>
        <v>rajamubashar381@gmail.com</v>
      </c>
      <c r="AA621" s="324"/>
    </row>
    <row r="622" hidden="1">
      <c r="A622" s="9">
        <f>IFERROR(__xludf.DUMMYFUNCTION("""COMPUTED_VALUE"""),45926.29068070602)</f>
        <v>45926.29068</v>
      </c>
      <c r="B622" s="10" t="str">
        <f>IFERROR(__xludf.DUMMYFUNCTION("""COMPUTED_VALUE"""),"Abdul wahab ")</f>
        <v>Abdul wahab </v>
      </c>
      <c r="C622" s="10" t="str">
        <f>IFERROR(__xludf.DUMMYFUNCTION("""COMPUTED_VALUE"""),"03023915410")</f>
        <v>03023915410</v>
      </c>
      <c r="D622" s="10" t="str">
        <f>IFERROR(__xludf.DUMMYFUNCTION("""COMPUTED_VALUE"""),"Jamia masjid Mohammaia ghousia ")</f>
        <v>Jamia masjid Mohammaia ghousia </v>
      </c>
      <c r="E622" s="10" t="str">
        <f>IFERROR(__xludf.DUMMYFUNCTION("""COMPUTED_VALUE"""),"MIIDK ")</f>
        <v>MIIDK </v>
      </c>
      <c r="F622" s="10">
        <f>IFERROR(__xludf.DUMMYFUNCTION("""COMPUTED_VALUE"""),550.0)</f>
        <v>550</v>
      </c>
      <c r="G622" s="10">
        <f>IFERROR(__xludf.DUMMYFUNCTION("""COMPUTED_VALUE"""),8.0)</f>
        <v>8</v>
      </c>
      <c r="H622" s="10">
        <f>IFERROR(__xludf.DUMMYFUNCTION("""COMPUTED_VALUE"""),8.0)</f>
        <v>8</v>
      </c>
      <c r="I622" s="10">
        <f>IFERROR(__xludf.DUMMYFUNCTION("""COMPUTED_VALUE"""),0.0)</f>
        <v>0</v>
      </c>
      <c r="J622" s="10"/>
      <c r="K622" s="10"/>
      <c r="L622" s="10"/>
      <c r="M622" s="10">
        <f>IFERROR(__xludf.DUMMYFUNCTION("""COMPUTED_VALUE"""),9.0)</f>
        <v>9</v>
      </c>
      <c r="N622" s="10"/>
      <c r="O622" s="10"/>
      <c r="P622" s="10"/>
      <c r="Q622" s="10"/>
      <c r="R622" s="10"/>
      <c r="S622" s="10"/>
      <c r="T622" s="10"/>
      <c r="U622" s="10"/>
      <c r="V622" s="10" t="str">
        <f>IFERROR(__xludf.DUMMYFUNCTION("""COMPUTED_VALUE"""),"No")</f>
        <v>No</v>
      </c>
      <c r="W622" s="10"/>
      <c r="X622" s="10"/>
      <c r="Y622" s="14" t="str">
        <f>IFERROR(__xludf.DUMMYFUNCTION("""COMPUTED_VALUE"""),"zahidasehar91@gmail.com")</f>
        <v>zahidasehar91@gmail.com</v>
      </c>
      <c r="AA622" s="324"/>
    </row>
    <row r="623" hidden="1">
      <c r="A623" s="9">
        <f>IFERROR(__xludf.DUMMYFUNCTION("""COMPUTED_VALUE"""),45926.293362094904)</f>
        <v>45926.29336</v>
      </c>
      <c r="B623" s="10" t="str">
        <f>IFERROR(__xludf.DUMMYFUNCTION("""COMPUTED_VALUE"""),"Muhammad yahya")</f>
        <v>Muhammad yahya</v>
      </c>
      <c r="C623" s="10" t="str">
        <f>IFERROR(__xludf.DUMMYFUNCTION("""COMPUTED_VALUE"""),"03027985144")</f>
        <v>03027985144</v>
      </c>
      <c r="D623" s="10" t="str">
        <f>IFERROR(__xludf.DUMMYFUNCTION("""COMPUTED_VALUE"""),"Jamia masjid sunehri gol chakar")</f>
        <v>Jamia masjid sunehri gol chakar</v>
      </c>
      <c r="E623" s="10" t="str">
        <f>IFERROR(__xludf.DUMMYFUNCTION("""COMPUTED_VALUE"""),"GTJBD")</f>
        <v>GTJBD</v>
      </c>
      <c r="F623" s="10">
        <f>IFERROR(__xludf.DUMMYFUNCTION("""COMPUTED_VALUE"""),3000.0)</f>
        <v>3000</v>
      </c>
      <c r="G623" s="10">
        <f>IFERROR(__xludf.DUMMYFUNCTION("""COMPUTED_VALUE"""),8.0)</f>
        <v>8</v>
      </c>
      <c r="H623" s="10">
        <f>IFERROR(__xludf.DUMMYFUNCTION("""COMPUTED_VALUE"""),8.0)</f>
        <v>8</v>
      </c>
      <c r="I623" s="10">
        <f>IFERROR(__xludf.DUMMYFUNCTION("""COMPUTED_VALUE"""),1.0)</f>
        <v>1</v>
      </c>
      <c r="J623" s="10"/>
      <c r="K623" s="10"/>
      <c r="L623" s="10"/>
      <c r="M623" s="10">
        <f>IFERROR(__xludf.DUMMYFUNCTION("""COMPUTED_VALUE"""),9.0)</f>
        <v>9</v>
      </c>
      <c r="N623" s="10"/>
      <c r="O623" s="10"/>
      <c r="P623" s="10"/>
      <c r="Q623" s="10"/>
      <c r="R623" s="10"/>
      <c r="S623" s="10"/>
      <c r="T623" s="10"/>
      <c r="U623" s="18" t="str">
        <f>IFERROR(__xludf.DUMMYFUNCTION("""COMPUTED_VALUE"""),"https://drive.google.com/open?id=16dn2o3l0Gv1jMXhCjtY3Yw9z6YvNVTAG")</f>
        <v>https://drive.google.com/open?id=16dn2o3l0Gv1jMXhCjtY3Yw9z6YvNVTAG</v>
      </c>
      <c r="V623" s="10" t="str">
        <f>IFERROR(__xludf.DUMMYFUNCTION("""COMPUTED_VALUE"""),"No")</f>
        <v>No</v>
      </c>
      <c r="W623" s="10"/>
      <c r="X623" s="10"/>
      <c r="Y623" s="14" t="str">
        <f>IFERROR(__xludf.DUMMYFUNCTION("""COMPUTED_VALUE"""),"muhammadyahya131@gmail.com")</f>
        <v>muhammadyahya131@gmail.com</v>
      </c>
      <c r="AA623" s="324"/>
    </row>
    <row r="624" hidden="1">
      <c r="A624" s="9">
        <f>IFERROR(__xludf.DUMMYFUNCTION("""COMPUTED_VALUE"""),45926.30049324074)</f>
        <v>45926.30049</v>
      </c>
      <c r="B624" s="10" t="str">
        <f>IFERROR(__xludf.DUMMYFUNCTION("""COMPUTED_VALUE"""),"Meeran Bakhah ")</f>
        <v>Meeran Bakhah </v>
      </c>
      <c r="C624" s="10" t="str">
        <f>IFERROR(__xludf.DUMMYFUNCTION("""COMPUTED_VALUE"""),"03146539545")</f>
        <v>03146539545</v>
      </c>
      <c r="D624" s="10" t="str">
        <f>IFERROR(__xludf.DUMMYFUNCTION("""COMPUTED_VALUE"""),"Faizan e Madina masjid madrasa jamia owaisi")</f>
        <v>Faizan e Madina masjid madrasa jamia owaisi</v>
      </c>
      <c r="E624" s="10" t="str">
        <f>IFERROR(__xludf.DUMMYFUNCTION("""COMPUTED_VALUE"""),"NDPFG ")</f>
        <v>NDPFG </v>
      </c>
      <c r="F624" s="10">
        <f>IFERROR(__xludf.DUMMYFUNCTION("""COMPUTED_VALUE"""),1600.0)</f>
        <v>1600</v>
      </c>
      <c r="G624" s="10">
        <f>IFERROR(__xludf.DUMMYFUNCTION("""COMPUTED_VALUE"""),10.0)</f>
        <v>10</v>
      </c>
      <c r="H624" s="10">
        <f>IFERROR(__xludf.DUMMYFUNCTION("""COMPUTED_VALUE"""),9.0)</f>
        <v>9</v>
      </c>
      <c r="I624" s="10">
        <f>IFERROR(__xludf.DUMMYFUNCTION("""COMPUTED_VALUE"""),0.0)</f>
        <v>0</v>
      </c>
      <c r="J624" s="10"/>
      <c r="K624" s="10"/>
      <c r="L624" s="10"/>
      <c r="M624" s="10">
        <f>IFERROR(__xludf.DUMMYFUNCTION("""COMPUTED_VALUE"""),10.0)</f>
        <v>10</v>
      </c>
      <c r="N624" s="10"/>
      <c r="O624" s="10"/>
      <c r="P624" s="10"/>
      <c r="Q624" s="10"/>
      <c r="R624" s="10"/>
      <c r="S624" s="10"/>
      <c r="T624" s="10"/>
      <c r="U624" s="18" t="str">
        <f>IFERROR(__xludf.DUMMYFUNCTION("""COMPUTED_VALUE"""),"https://drive.google.com/open?id=1GPqrFrCPdA36_VK1o3m1mXL9wdsWRfos")</f>
        <v>https://drive.google.com/open?id=1GPqrFrCPdA36_VK1o3m1mXL9wdsWRfos</v>
      </c>
      <c r="V624" s="10"/>
      <c r="W624" s="10"/>
      <c r="X624" s="10"/>
      <c r="Y624" s="14" t="str">
        <f>IFERROR(__xludf.DUMMYFUNCTION("""COMPUTED_VALUE"""),"meeranbakash@gmail.com")</f>
        <v>meeranbakash@gmail.com</v>
      </c>
      <c r="AA624" s="324"/>
    </row>
    <row r="625" hidden="1">
      <c r="A625" s="9">
        <f>IFERROR(__xludf.DUMMYFUNCTION("""COMPUTED_VALUE"""),45926.30897892361)</f>
        <v>45926.30898</v>
      </c>
      <c r="B625" s="10" t="str">
        <f>IFERROR(__xludf.DUMMYFUNCTION("""COMPUTED_VALUE"""),"Muhammad Tanveer Tabassum")</f>
        <v>Muhammad Tanveer Tabassum</v>
      </c>
      <c r="C625" s="10" t="str">
        <f>IFERROR(__xludf.DUMMYFUNCTION("""COMPUTED_VALUE"""),"03017931655")</f>
        <v>03017931655</v>
      </c>
      <c r="D625" s="10" t="str">
        <f>IFERROR(__xludf.DUMMYFUNCTION("""COMPUTED_VALUE"""),"Jamia Masjid Gala Mandi Burewala")</f>
        <v>Jamia Masjid Gala Mandi Burewala</v>
      </c>
      <c r="E625" s="10" t="str">
        <f>IFERROR(__xludf.DUMMYFUNCTION("""COMPUTED_VALUE"""),"LNPQP")</f>
        <v>LNPQP</v>
      </c>
      <c r="F625" s="10">
        <f>IFERROR(__xludf.DUMMYFUNCTION("""COMPUTED_VALUE"""),595.0)</f>
        <v>595</v>
      </c>
      <c r="G625" s="10">
        <f>IFERROR(__xludf.DUMMYFUNCTION("""COMPUTED_VALUE"""),9.0)</f>
        <v>9</v>
      </c>
      <c r="H625" s="10">
        <f>IFERROR(__xludf.DUMMYFUNCTION("""COMPUTED_VALUE"""),9.0)</f>
        <v>9</v>
      </c>
      <c r="I625" s="10">
        <f>IFERROR(__xludf.DUMMYFUNCTION("""COMPUTED_VALUE"""),0.0)</f>
        <v>0</v>
      </c>
      <c r="J625" s="10"/>
      <c r="K625" s="10"/>
      <c r="L625" s="10"/>
      <c r="M625" s="10">
        <f>IFERROR(__xludf.DUMMYFUNCTION("""COMPUTED_VALUE"""),9.0)</f>
        <v>9</v>
      </c>
      <c r="N625" s="10"/>
      <c r="O625" s="10"/>
      <c r="P625" s="10"/>
      <c r="Q625" s="10"/>
      <c r="R625" s="10"/>
      <c r="S625" s="10"/>
      <c r="T625" s="10"/>
      <c r="U625" s="18" t="str">
        <f>IFERROR(__xludf.DUMMYFUNCTION("""COMPUTED_VALUE"""),"https://drive.google.com/open?id=1rS_h8jGS9QvkZpiVwS-OZZTtygDCVeFW")</f>
        <v>https://drive.google.com/open?id=1rS_h8jGS9QvkZpiVwS-OZZTtygDCVeFW</v>
      </c>
      <c r="V625" s="10" t="str">
        <f>IFERROR(__xludf.DUMMYFUNCTION("""COMPUTED_VALUE"""),"NA")</f>
        <v>NA</v>
      </c>
      <c r="W625" s="10"/>
      <c r="X625" s="10"/>
      <c r="Y625" s="14" t="str">
        <f>IFERROR(__xludf.DUMMYFUNCTION("""COMPUTED_VALUE"""),"tanveer.jee41@gmail.com")</f>
        <v>tanveer.jee41@gmail.com</v>
      </c>
      <c r="AA625" s="324"/>
    </row>
    <row r="626" hidden="1">
      <c r="A626" s="9">
        <f>IFERROR(__xludf.DUMMYFUNCTION("""COMPUTED_VALUE"""),45926.309168865744)</f>
        <v>45926.30917</v>
      </c>
      <c r="B626" s="10" t="str">
        <f>IFERROR(__xludf.DUMMYFUNCTION("""COMPUTED_VALUE"""),"Ali hassan")</f>
        <v>Ali hassan</v>
      </c>
      <c r="C626" s="10" t="str">
        <f>IFERROR(__xludf.DUMMYFUNCTION("""COMPUTED_VALUE"""),"03107494117")</f>
        <v>03107494117</v>
      </c>
      <c r="D626" s="10" t="str">
        <f>IFERROR(__xludf.DUMMYFUNCTION("""COMPUTED_VALUE"""),"Jamia masjid ghalla mandi sahiwal")</f>
        <v>Jamia masjid ghalla mandi sahiwal</v>
      </c>
      <c r="E626" s="10" t="str">
        <f>IFERROR(__xludf.DUMMYFUNCTION("""COMPUTED_VALUE"""),"USAOU")</f>
        <v>USAOU</v>
      </c>
      <c r="F626" s="10">
        <f>IFERROR(__xludf.DUMMYFUNCTION("""COMPUTED_VALUE"""),380.0)</f>
        <v>380</v>
      </c>
      <c r="G626" s="10">
        <f>IFERROR(__xludf.DUMMYFUNCTION("""COMPUTED_VALUE"""),5.0)</f>
        <v>5</v>
      </c>
      <c r="H626" s="10">
        <f>IFERROR(__xludf.DUMMYFUNCTION("""COMPUTED_VALUE"""),5.0)</f>
        <v>5</v>
      </c>
      <c r="I626" s="10">
        <f>IFERROR(__xludf.DUMMYFUNCTION("""COMPUTED_VALUE"""),5.0)</f>
        <v>5</v>
      </c>
      <c r="J626" s="10"/>
      <c r="K626" s="10"/>
      <c r="L626" s="10"/>
      <c r="M626" s="10">
        <f>IFERROR(__xludf.DUMMYFUNCTION("""COMPUTED_VALUE"""),8.0)</f>
        <v>8</v>
      </c>
      <c r="N626" s="10"/>
      <c r="O626" s="10"/>
      <c r="P626" s="10"/>
      <c r="Q626" s="10"/>
      <c r="R626" s="10"/>
      <c r="S626" s="10"/>
      <c r="T626" s="10"/>
      <c r="U626" s="10"/>
      <c r="V626" s="10"/>
      <c r="W626" s="10"/>
      <c r="X626" s="10"/>
      <c r="Y626" s="14" t="str">
        <f>IFERROR(__xludf.DUMMYFUNCTION("""COMPUTED_VALUE"""),"user3107784965048@gmail.com")</f>
        <v>user3107784965048@gmail.com</v>
      </c>
      <c r="AA626" s="324"/>
    </row>
    <row r="627" hidden="1">
      <c r="A627" s="9">
        <f>IFERROR(__xludf.DUMMYFUNCTION("""COMPUTED_VALUE"""),45926.31326895833)</f>
        <v>45926.31327</v>
      </c>
      <c r="B627" s="10" t="str">
        <f>IFERROR(__xludf.DUMMYFUNCTION("""COMPUTED_VALUE"""),"Muhammad Tanveer Tabasum")</f>
        <v>Muhammad Tanveer Tabasum</v>
      </c>
      <c r="C627" s="10" t="str">
        <f>IFERROR(__xludf.DUMMYFUNCTION("""COMPUTED_VALUE"""),"03017931655")</f>
        <v>03017931655</v>
      </c>
      <c r="D627" s="10" t="str">
        <f>IFERROR(__xludf.DUMMYFUNCTION("""COMPUTED_VALUE"""),"Jamia Masjid D Block Burewala")</f>
        <v>Jamia Masjid D Block Burewala</v>
      </c>
      <c r="E627" s="10" t="str">
        <f>IFERROR(__xludf.DUMMYFUNCTION("""COMPUTED_VALUE"""),"MFVFC")</f>
        <v>MFVFC</v>
      </c>
      <c r="F627" s="10">
        <f>IFERROR(__xludf.DUMMYFUNCTION("""COMPUTED_VALUE"""),436.0)</f>
        <v>436</v>
      </c>
      <c r="G627" s="10">
        <f>IFERROR(__xludf.DUMMYFUNCTION("""COMPUTED_VALUE"""),10.0)</f>
        <v>10</v>
      </c>
      <c r="H627" s="10">
        <f>IFERROR(__xludf.DUMMYFUNCTION("""COMPUTED_VALUE"""),10.0)</f>
        <v>10</v>
      </c>
      <c r="I627" s="10">
        <f>IFERROR(__xludf.DUMMYFUNCTION("""COMPUTED_VALUE"""),0.0)</f>
        <v>0</v>
      </c>
      <c r="J627" s="10"/>
      <c r="K627" s="10"/>
      <c r="L627" s="10"/>
      <c r="M627" s="10">
        <f>IFERROR(__xludf.DUMMYFUNCTION("""COMPUTED_VALUE"""),10.0)</f>
        <v>10</v>
      </c>
      <c r="N627" s="10"/>
      <c r="O627" s="10"/>
      <c r="P627" s="10"/>
      <c r="Q627" s="10"/>
      <c r="R627" s="10"/>
      <c r="S627" s="10"/>
      <c r="T627" s="10"/>
      <c r="U627" s="18" t="str">
        <f>IFERROR(__xludf.DUMMYFUNCTION("""COMPUTED_VALUE"""),"https://drive.google.com/file/d/1UuQaYpuN4ExUPwDqHrrA4qYIUQNBPTmy/view?usp=drive_link")</f>
        <v>https://drive.google.com/file/d/1UuQaYpuN4ExUPwDqHrrA4qYIUQNBPTmy/view?usp=drive_link</v>
      </c>
      <c r="V627" s="10" t="str">
        <f>IFERROR(__xludf.DUMMYFUNCTION("""COMPUTED_VALUE"""),"NA")</f>
        <v>NA</v>
      </c>
      <c r="W627" s="10"/>
      <c r="X627" s="10"/>
      <c r="Y627" s="14" t="str">
        <f>IFERROR(__xludf.DUMMYFUNCTION("""COMPUTED_VALUE"""),"tanveer.jee41@gmail.com")</f>
        <v>tanveer.jee41@gmail.com</v>
      </c>
      <c r="AA627" s="324"/>
    </row>
    <row r="628" hidden="1">
      <c r="A628" s="9">
        <f>IFERROR(__xludf.DUMMYFUNCTION("""COMPUTED_VALUE"""),45926.369931168985)</f>
        <v>45926.36993</v>
      </c>
      <c r="B628" s="10" t="str">
        <f>IFERROR(__xludf.DUMMYFUNCTION("""COMPUTED_VALUE"""),"Fakhar Zaman")</f>
        <v>Fakhar Zaman</v>
      </c>
      <c r="C628" s="10" t="str">
        <f>IFERROR(__xludf.DUMMYFUNCTION("""COMPUTED_VALUE"""),"03078567405")</f>
        <v>03078567405</v>
      </c>
      <c r="D628" s="10" t="str">
        <f>IFERROR(__xludf.DUMMYFUNCTION("""COMPUTED_VALUE"""),"Jamiya Masjid badru deen ishaq pakpattan")</f>
        <v>Jamiya Masjid badru deen ishaq pakpattan</v>
      </c>
      <c r="E628" s="10" t="str">
        <f>IFERROR(__xludf.DUMMYFUNCTION("""COMPUTED_VALUE"""),"PTTHF")</f>
        <v>PTTHF</v>
      </c>
      <c r="F628" s="10">
        <f>IFERROR(__xludf.DUMMYFUNCTION("""COMPUTED_VALUE"""),150.0)</f>
        <v>150</v>
      </c>
      <c r="G628" s="10">
        <f>IFERROR(__xludf.DUMMYFUNCTION("""COMPUTED_VALUE"""),10.0)</f>
        <v>10</v>
      </c>
      <c r="H628" s="10">
        <f>IFERROR(__xludf.DUMMYFUNCTION("""COMPUTED_VALUE"""),10.0)</f>
        <v>10</v>
      </c>
      <c r="I628" s="10">
        <f>IFERROR(__xludf.DUMMYFUNCTION("""COMPUTED_VALUE"""),0.0)</f>
        <v>0</v>
      </c>
      <c r="J628" s="10"/>
      <c r="K628" s="10"/>
      <c r="L628" s="10"/>
      <c r="M628" s="10">
        <f>IFERROR(__xludf.DUMMYFUNCTION("""COMPUTED_VALUE"""),10.0)</f>
        <v>10</v>
      </c>
      <c r="N628" s="10"/>
      <c r="O628" s="10"/>
      <c r="P628" s="10"/>
      <c r="Q628" s="10"/>
      <c r="R628" s="10"/>
      <c r="S628" s="10"/>
      <c r="T628" s="10"/>
      <c r="U628" s="18" t="str">
        <f>IFERROR(__xludf.DUMMYFUNCTION("""COMPUTED_VALUE"""),"https://drive.google.com/open?id=17UlGlaDRjD5Me87x1fS949b3yFFnMUBi")</f>
        <v>https://drive.google.com/open?id=17UlGlaDRjD5Me87x1fS949b3yFFnMUBi</v>
      </c>
      <c r="V628" s="10"/>
      <c r="W628" s="10"/>
      <c r="X628" s="10"/>
      <c r="Y628" s="14" t="str">
        <f>IFERROR(__xludf.DUMMYFUNCTION("""COMPUTED_VALUE"""),"javeedkingaz787@gmail.com")</f>
        <v>javeedkingaz787@gmail.com</v>
      </c>
      <c r="AA628" s="324"/>
    </row>
    <row r="629" hidden="1">
      <c r="A629" s="9">
        <f>IFERROR(__xludf.DUMMYFUNCTION("""COMPUTED_VALUE"""),45926.388283831024)</f>
        <v>45926.38828</v>
      </c>
      <c r="B629" s="10" t="str">
        <f>IFERROR(__xludf.DUMMYFUNCTION("""COMPUTED_VALUE"""),"Khadam Hussain")</f>
        <v>Khadam Hussain</v>
      </c>
      <c r="C629" s="10" t="str">
        <f>IFERROR(__xludf.DUMMYFUNCTION("""COMPUTED_VALUE"""),"03120064803")</f>
        <v>03120064803</v>
      </c>
      <c r="D629" s="10" t="str">
        <f>IFERROR(__xludf.DUMMYFUNCTION("""COMPUTED_VALUE"""),"Jamiya Masjid gala mandi pakpattan")</f>
        <v>Jamiya Masjid gala mandi pakpattan</v>
      </c>
      <c r="E629" s="10" t="str">
        <f>IFERROR(__xludf.DUMMYFUNCTION("""COMPUTED_VALUE"""),"LPJZI")</f>
        <v>LPJZI</v>
      </c>
      <c r="F629" s="10">
        <f>IFERROR(__xludf.DUMMYFUNCTION("""COMPUTED_VALUE"""),500.0)</f>
        <v>500</v>
      </c>
      <c r="G629" s="10">
        <f>IFERROR(__xludf.DUMMYFUNCTION("""COMPUTED_VALUE"""),10.0)</f>
        <v>10</v>
      </c>
      <c r="H629" s="10">
        <f>IFERROR(__xludf.DUMMYFUNCTION("""COMPUTED_VALUE"""),10.0)</f>
        <v>10</v>
      </c>
      <c r="I629" s="10">
        <f>IFERROR(__xludf.DUMMYFUNCTION("""COMPUTED_VALUE"""),0.0)</f>
        <v>0</v>
      </c>
      <c r="J629" s="10"/>
      <c r="K629" s="10"/>
      <c r="L629" s="10"/>
      <c r="M629" s="10">
        <f>IFERROR(__xludf.DUMMYFUNCTION("""COMPUTED_VALUE"""),10.0)</f>
        <v>10</v>
      </c>
      <c r="N629" s="10"/>
      <c r="O629" s="10"/>
      <c r="P629" s="10"/>
      <c r="Q629" s="10"/>
      <c r="R629" s="10"/>
      <c r="S629" s="10"/>
      <c r="T629" s="10"/>
      <c r="U629" s="18" t="str">
        <f>IFERROR(__xludf.DUMMYFUNCTION("""COMPUTED_VALUE"""),"https://drive.google.com/open?id=1-Tfi7-f5g7kYveGGKf3rQaBZydpAkntL")</f>
        <v>https://drive.google.com/open?id=1-Tfi7-f5g7kYveGGKf3rQaBZydpAkntL</v>
      </c>
      <c r="V629" s="10"/>
      <c r="W629" s="10"/>
      <c r="X629" s="10"/>
      <c r="Y629" s="14" t="str">
        <f>IFERROR(__xludf.DUMMYFUNCTION("""COMPUTED_VALUE"""),"javeedkingaz787@gmail.com")</f>
        <v>javeedkingaz787@gmail.com</v>
      </c>
      <c r="AA629" s="324"/>
    </row>
    <row r="630" hidden="1">
      <c r="A630" s="9">
        <f>IFERROR(__xludf.DUMMYFUNCTION("""COMPUTED_VALUE"""),45926.43674682871)</f>
        <v>45926.43675</v>
      </c>
      <c r="B630" s="10" t="str">
        <f>IFERROR(__xludf.DUMMYFUNCTION("""COMPUTED_VALUE"""),"Adnan hussain")</f>
        <v>Adnan hussain</v>
      </c>
      <c r="C630" s="10" t="str">
        <f>IFERROR(__xludf.DUMMYFUNCTION("""COMPUTED_VALUE"""),"03088062094")</f>
        <v>03088062094</v>
      </c>
      <c r="D630" s="10" t="str">
        <f>IFERROR(__xludf.DUMMYFUNCTION("""COMPUTED_VALUE"""),"Jamia masjid c block ")</f>
        <v>Jamia masjid c block </v>
      </c>
      <c r="E630" s="10" t="str">
        <f>IFERROR(__xludf.DUMMYFUNCTION("""COMPUTED_VALUE"""),"FSJBU")</f>
        <v>FSJBU</v>
      </c>
      <c r="F630" s="10">
        <f>IFERROR(__xludf.DUMMYFUNCTION("""COMPUTED_VALUE"""),634.0)</f>
        <v>634</v>
      </c>
      <c r="G630" s="10">
        <f>IFERROR(__xludf.DUMMYFUNCTION("""COMPUTED_VALUE"""),9.0)</f>
        <v>9</v>
      </c>
      <c r="H630" s="10">
        <f>IFERROR(__xludf.DUMMYFUNCTION("""COMPUTED_VALUE"""),9.0)</f>
        <v>9</v>
      </c>
      <c r="I630" s="10">
        <f>IFERROR(__xludf.DUMMYFUNCTION("""COMPUTED_VALUE"""),0.0)</f>
        <v>0</v>
      </c>
      <c r="J630" s="10"/>
      <c r="K630" s="10"/>
      <c r="L630" s="10"/>
      <c r="M630" s="10">
        <f>IFERROR(__xludf.DUMMYFUNCTION("""COMPUTED_VALUE"""),8.0)</f>
        <v>8</v>
      </c>
      <c r="N630" s="10"/>
      <c r="O630" s="10"/>
      <c r="P630" s="10"/>
      <c r="Q630" s="10"/>
      <c r="R630" s="10"/>
      <c r="S630" s="10"/>
      <c r="T630" s="10"/>
      <c r="U630" s="18" t="str">
        <f>IFERROR(__xludf.DUMMYFUNCTION("""COMPUTED_VALUE"""),"https://drive.google.com/open?id=19E5NRKzcmtunhLyaNFzM7k8Jd9Az9Xe7")</f>
        <v>https://drive.google.com/open?id=19E5NRKzcmtunhLyaNFzM7k8Jd9Az9Xe7</v>
      </c>
      <c r="V630" s="10"/>
      <c r="W630" s="10"/>
      <c r="X630" s="10"/>
      <c r="Y630" s="14" t="str">
        <f>IFERROR(__xludf.DUMMYFUNCTION("""COMPUTED_VALUE"""),"khalidfarooqbhatti@gmail.com")</f>
        <v>khalidfarooqbhatti@gmail.com</v>
      </c>
      <c r="AA630" s="324"/>
    </row>
    <row r="631" hidden="1">
      <c r="A631" s="9">
        <f>IFERROR(__xludf.DUMMYFUNCTION("""COMPUTED_VALUE"""),45926.4423553125)</f>
        <v>45926.44236</v>
      </c>
      <c r="B631" s="10" t="str">
        <f>IFERROR(__xludf.DUMMYFUNCTION("""COMPUTED_VALUE"""),"Khalid Farooq ")</f>
        <v>Khalid Farooq </v>
      </c>
      <c r="C631" s="10" t="str">
        <f>IFERROR(__xludf.DUMMYFUNCTION("""COMPUTED_VALUE"""),"03009473484")</f>
        <v>03009473484</v>
      </c>
      <c r="D631" s="10" t="str">
        <f>IFERROR(__xludf.DUMMYFUNCTION("""COMPUTED_VALUE"""),"Jamia masjid ghala mandi arifwala ")</f>
        <v>Jamia masjid ghala mandi arifwala </v>
      </c>
      <c r="E631" s="10" t="str">
        <f>IFERROR(__xludf.DUMMYFUNCTION("""COMPUTED_VALUE"""),"EARRA")</f>
        <v>EARRA</v>
      </c>
      <c r="F631" s="10">
        <f>IFERROR(__xludf.DUMMYFUNCTION("""COMPUTED_VALUE"""),888.0)</f>
        <v>888</v>
      </c>
      <c r="G631" s="10">
        <f>IFERROR(__xludf.DUMMYFUNCTION("""COMPUTED_VALUE"""),8.0)</f>
        <v>8</v>
      </c>
      <c r="H631" s="10">
        <f>IFERROR(__xludf.DUMMYFUNCTION("""COMPUTED_VALUE"""),8.0)</f>
        <v>8</v>
      </c>
      <c r="I631" s="10">
        <f>IFERROR(__xludf.DUMMYFUNCTION("""COMPUTED_VALUE"""),0.0)</f>
        <v>0</v>
      </c>
      <c r="J631" s="10"/>
      <c r="K631" s="10"/>
      <c r="L631" s="10"/>
      <c r="M631" s="10">
        <f>IFERROR(__xludf.DUMMYFUNCTION("""COMPUTED_VALUE"""),9.0)</f>
        <v>9</v>
      </c>
      <c r="N631" s="10"/>
      <c r="O631" s="10"/>
      <c r="P631" s="10"/>
      <c r="Q631" s="10"/>
      <c r="R631" s="10"/>
      <c r="S631" s="10"/>
      <c r="T631" s="10"/>
      <c r="U631" s="18" t="str">
        <f>IFERROR(__xludf.DUMMYFUNCTION("""COMPUTED_VALUE"""),"https://drive.google.com/open?id=18jUjv7tN6s4q-nPf-T1A7zb-Nj1Eh_7J")</f>
        <v>https://drive.google.com/open?id=18jUjv7tN6s4q-nPf-T1A7zb-Nj1Eh_7J</v>
      </c>
      <c r="V631" s="10"/>
      <c r="W631" s="10"/>
      <c r="X631" s="10"/>
      <c r="Y631" s="14" t="str">
        <f>IFERROR(__xludf.DUMMYFUNCTION("""COMPUTED_VALUE"""),"khalidfarooqbhatti@gmail.com")</f>
        <v>khalidfarooqbhatti@gmail.com</v>
      </c>
      <c r="AA631" s="324"/>
    </row>
    <row r="632" hidden="1">
      <c r="A632" s="9">
        <f>IFERROR(__xludf.DUMMYFUNCTION("""COMPUTED_VALUE"""),45927.397810208335)</f>
        <v>45927.39781</v>
      </c>
      <c r="B632" s="10" t="str">
        <f>IFERROR(__xludf.DUMMYFUNCTION("""COMPUTED_VALUE"""),"M Tahir khan")</f>
        <v>M Tahir khan</v>
      </c>
      <c r="C632" s="10" t="str">
        <f>IFERROR(__xludf.DUMMYFUNCTION("""COMPUTED_VALUE"""),"03470616777")</f>
        <v>03470616777</v>
      </c>
      <c r="D632" s="10" t="str">
        <f>IFERROR(__xludf.DUMMYFUNCTION("""COMPUTED_VALUE"""),"Jamia masjid chilla gah")</f>
        <v>Jamia masjid chilla gah</v>
      </c>
      <c r="E632" s="10" t="str">
        <f>IFERROR(__xludf.DUMMYFUNCTION("""COMPUTED_VALUE"""),"IBTRF")</f>
        <v>IBTRF</v>
      </c>
      <c r="F632" s="10">
        <f>IFERROR(__xludf.DUMMYFUNCTION("""COMPUTED_VALUE"""),550.0)</f>
        <v>550</v>
      </c>
      <c r="G632" s="10">
        <f>IFERROR(__xludf.DUMMYFUNCTION("""COMPUTED_VALUE"""),9.0)</f>
        <v>9</v>
      </c>
      <c r="H632" s="10">
        <f>IFERROR(__xludf.DUMMYFUNCTION("""COMPUTED_VALUE"""),9.0)</f>
        <v>9</v>
      </c>
      <c r="I632" s="10">
        <f>IFERROR(__xludf.DUMMYFUNCTION("""COMPUTED_VALUE"""),0.0)</f>
        <v>0</v>
      </c>
      <c r="J632" s="10"/>
      <c r="K632" s="10"/>
      <c r="L632" s="10"/>
      <c r="M632" s="10">
        <f>IFERROR(__xludf.DUMMYFUNCTION("""COMPUTED_VALUE"""),8.0)</f>
        <v>8</v>
      </c>
      <c r="N632" s="10"/>
      <c r="O632" s="10"/>
      <c r="P632" s="10"/>
      <c r="Q632" s="10"/>
      <c r="R632" s="10"/>
      <c r="S632" s="10"/>
      <c r="T632" s="10"/>
      <c r="U632" s="18" t="str">
        <f>IFERROR(__xludf.DUMMYFUNCTION("""COMPUTED_VALUE"""),"https://drive.google.com/file/d/1jbV-U_JloAEs1D9Mijyo8UVFzoZYSVdm/view?usp=drive_link")</f>
        <v>https://drive.google.com/file/d/1jbV-U_JloAEs1D9Mijyo8UVFzoZYSVdm/view?usp=drive_link</v>
      </c>
      <c r="V632" s="10"/>
      <c r="W632" s="10"/>
      <c r="X632" s="10"/>
      <c r="Y632" s="14" t="str">
        <f>IFERROR(__xludf.DUMMYFUNCTION("""COMPUTED_VALUE"""),"Mtahirkhan1122@gmail.com")</f>
        <v>Mtahirkhan1122@gmail.com</v>
      </c>
      <c r="AA632" s="324"/>
    </row>
    <row r="633" hidden="1">
      <c r="A633" s="9">
        <f>IFERROR(__xludf.DUMMYFUNCTION("""COMPUTED_VALUE"""),45927.64794048612)</f>
        <v>45927.64794</v>
      </c>
      <c r="B633" s="10" t="str">
        <f>IFERROR(__xludf.DUMMYFUNCTION("""COMPUTED_VALUE"""),"Muhammad Zeeshan ")</f>
        <v>Muhammad Zeeshan </v>
      </c>
      <c r="C633" s="10" t="str">
        <f>IFERROR(__xludf.DUMMYFUNCTION("""COMPUTED_VALUE"""),"03234486723")</f>
        <v>03234486723</v>
      </c>
      <c r="D633" s="10" t="str">
        <f>IFERROR(__xludf.DUMMYFUNCTION("""COMPUTED_VALUE"""),"Jamia Masjid Darbar Dawood Jahanian")</f>
        <v>Jamia Masjid Darbar Dawood Jahanian</v>
      </c>
      <c r="E633" s="10" t="str">
        <f>IFERROR(__xludf.DUMMYFUNCTION("""COMPUTED_VALUE"""),"usepk")</f>
        <v>usepk</v>
      </c>
      <c r="F633" s="10">
        <f>IFERROR(__xludf.DUMMYFUNCTION("""COMPUTED_VALUE"""),213.0)</f>
        <v>213</v>
      </c>
      <c r="G633" s="10">
        <f>IFERROR(__xludf.DUMMYFUNCTION("""COMPUTED_VALUE"""),9.0)</f>
        <v>9</v>
      </c>
      <c r="H633" s="10">
        <f>IFERROR(__xludf.DUMMYFUNCTION("""COMPUTED_VALUE"""),8.0)</f>
        <v>8</v>
      </c>
      <c r="I633" s="10">
        <f>IFERROR(__xludf.DUMMYFUNCTION("""COMPUTED_VALUE"""),1.0)</f>
        <v>1</v>
      </c>
      <c r="J633" s="10"/>
      <c r="K633" s="10"/>
      <c r="L633" s="10"/>
      <c r="M633" s="10">
        <f>IFERROR(__xludf.DUMMYFUNCTION("""COMPUTED_VALUE"""),8.0)</f>
        <v>8</v>
      </c>
      <c r="N633" s="10"/>
      <c r="O633" s="10"/>
      <c r="P633" s="10"/>
      <c r="Q633" s="10"/>
      <c r="R633" s="10"/>
      <c r="S633" s="10"/>
      <c r="T633" s="10"/>
      <c r="U633" s="18" t="str">
        <f>IFERROR(__xludf.DUMMYFUNCTION("""COMPUTED_VALUE"""),"https://drive.google.com/file/d/1ri0O2OMVQbUz965sm2mrk0cNNNAoEMFF/view?usp=drive_link")</f>
        <v>https://drive.google.com/file/d/1ri0O2OMVQbUz965sm2mrk0cNNNAoEMFF/view?usp=drive_link</v>
      </c>
      <c r="V633" s="10"/>
      <c r="W633" s="10"/>
      <c r="X633" s="10"/>
      <c r="Y633" s="14" t="str">
        <f>IFERROR(__xludf.DUMMYFUNCTION("""COMPUTED_VALUE"""),"Za4486723@gmail.com")</f>
        <v>Za4486723@gmail.com</v>
      </c>
      <c r="AA633" s="324"/>
    </row>
    <row r="634" hidden="1">
      <c r="A634" s="9">
        <f>IFERROR(__xludf.DUMMYFUNCTION("""COMPUTED_VALUE"""),45927.68492609954)</f>
        <v>45927.68493</v>
      </c>
      <c r="B634" s="10" t="str">
        <f>IFERROR(__xludf.DUMMYFUNCTION("""COMPUTED_VALUE"""),"Muhammad Asad")</f>
        <v>Muhammad Asad</v>
      </c>
      <c r="C634" s="10" t="str">
        <f>IFERROR(__xludf.DUMMYFUNCTION("""COMPUTED_VALUE"""),"03230010051")</f>
        <v>03230010051</v>
      </c>
      <c r="D634" s="10" t="str">
        <f>IFERROR(__xludf.DUMMYFUNCTION("""COMPUTED_VALUE"""),"Jamia Masjid Naale Wali lodhran")</f>
        <v>Jamia Masjid Naale Wali lodhran</v>
      </c>
      <c r="E634" s="10" t="str">
        <f>IFERROR(__xludf.DUMMYFUNCTION("""COMPUTED_VALUE"""),"xdbpy")</f>
        <v>xdbpy</v>
      </c>
      <c r="F634" s="10">
        <f>IFERROR(__xludf.DUMMYFUNCTION("""COMPUTED_VALUE"""),354.0)</f>
        <v>354</v>
      </c>
      <c r="G634" s="10">
        <f>IFERROR(__xludf.DUMMYFUNCTION("""COMPUTED_VALUE"""),8.0)</f>
        <v>8</v>
      </c>
      <c r="H634" s="10">
        <f>IFERROR(__xludf.DUMMYFUNCTION("""COMPUTED_VALUE"""),8.0)</f>
        <v>8</v>
      </c>
      <c r="I634" s="10">
        <f>IFERROR(__xludf.DUMMYFUNCTION("""COMPUTED_VALUE"""),0.0)</f>
        <v>0</v>
      </c>
      <c r="J634" s="10"/>
      <c r="K634" s="10"/>
      <c r="L634" s="10"/>
      <c r="M634" s="10">
        <f>IFERROR(__xludf.DUMMYFUNCTION("""COMPUTED_VALUE"""),9.0)</f>
        <v>9</v>
      </c>
      <c r="N634" s="10"/>
      <c r="O634" s="10"/>
      <c r="P634" s="10"/>
      <c r="Q634" s="10"/>
      <c r="R634" s="10"/>
      <c r="S634" s="10"/>
      <c r="T634" s="10"/>
      <c r="U634" s="18" t="str">
        <f>IFERROR(__xludf.DUMMYFUNCTION("""COMPUTED_VALUE"""),"https://drive.google.com/file/d/1qz4KYU-5zhQWWnRjXDZLHOw33w4Ff3EY/view?usp=drive_link")</f>
        <v>https://drive.google.com/file/d/1qz4KYU-5zhQWWnRjXDZLHOw33w4Ff3EY/view?usp=drive_link</v>
      </c>
      <c r="V634" s="10"/>
      <c r="W634" s="10"/>
      <c r="X634" s="10"/>
      <c r="Y634" s="14" t="str">
        <f>IFERROR(__xludf.DUMMYFUNCTION("""COMPUTED_VALUE"""),"asadaliali790@gmail.com")</f>
        <v>asadaliali790@gmail.com</v>
      </c>
      <c r="AA634" s="324"/>
    </row>
    <row r="635" hidden="1">
      <c r="A635" s="9">
        <f>IFERROR(__xludf.DUMMYFUNCTION("""COMPUTED_VALUE"""),45927.6872399537)</f>
        <v>45927.68724</v>
      </c>
      <c r="B635" s="10" t="str">
        <f>IFERROR(__xludf.DUMMYFUNCTION("""COMPUTED_VALUE"""),"Muhammad Tayyab")</f>
        <v>Muhammad Tayyab</v>
      </c>
      <c r="C635" s="10" t="str">
        <f>IFERROR(__xludf.DUMMYFUNCTION("""COMPUTED_VALUE"""),"03240015848")</f>
        <v>03240015848</v>
      </c>
      <c r="D635" s="10" t="str">
        <f>IFERROR(__xludf.DUMMYFUNCTION("""COMPUTED_VALUE"""),"Jamia masjid peer Ismail multan")</f>
        <v>Jamia masjid peer Ismail multan</v>
      </c>
      <c r="E635" s="10" t="str">
        <f>IFERROR(__xludf.DUMMYFUNCTION("""COMPUTED_VALUE"""),"dyrjs")</f>
        <v>dyrjs</v>
      </c>
      <c r="F635" s="10">
        <f>IFERROR(__xludf.DUMMYFUNCTION("""COMPUTED_VALUE"""),103.0)</f>
        <v>103</v>
      </c>
      <c r="G635" s="10">
        <f>IFERROR(__xludf.DUMMYFUNCTION("""COMPUTED_VALUE"""),9.0)</f>
        <v>9</v>
      </c>
      <c r="H635" s="10">
        <f>IFERROR(__xludf.DUMMYFUNCTION("""COMPUTED_VALUE"""),9.0)</f>
        <v>9</v>
      </c>
      <c r="I635" s="10">
        <f>IFERROR(__xludf.DUMMYFUNCTION("""COMPUTED_VALUE"""),0.0)</f>
        <v>0</v>
      </c>
      <c r="J635" s="10"/>
      <c r="K635" s="10"/>
      <c r="L635" s="10"/>
      <c r="M635" s="10">
        <f>IFERROR(__xludf.DUMMYFUNCTION("""COMPUTED_VALUE"""),9.0)</f>
        <v>9</v>
      </c>
      <c r="N635" s="10"/>
      <c r="O635" s="10"/>
      <c r="P635" s="10"/>
      <c r="Q635" s="10"/>
      <c r="R635" s="10"/>
      <c r="S635" s="10"/>
      <c r="T635" s="10"/>
      <c r="U635" s="18" t="str">
        <f>IFERROR(__xludf.DUMMYFUNCTION("""COMPUTED_VALUE"""),"https://drive.google.com/file/d/1qceikWHiVkh7nPlraytyLGH1mGcU-941/view?usp=drive_link")</f>
        <v>https://drive.google.com/file/d/1qceikWHiVkh7nPlraytyLGH1mGcU-941/view?usp=drive_link</v>
      </c>
      <c r="V635" s="10"/>
      <c r="W635" s="10"/>
      <c r="X635" s="10"/>
      <c r="Y635" s="14" t="str">
        <f>IFERROR(__xludf.DUMMYFUNCTION("""COMPUTED_VALUE"""),"tayyabsubhani64@gmail.com")</f>
        <v>tayyabsubhani64@gmail.com</v>
      </c>
      <c r="AA635" s="324"/>
    </row>
    <row r="636" hidden="1">
      <c r="A636" s="9">
        <f>IFERROR(__xludf.DUMMYFUNCTION("""COMPUTED_VALUE"""),45928.23609521991)</f>
        <v>45928.2361</v>
      </c>
      <c r="B636" s="10" t="str">
        <f>IFERROR(__xludf.DUMMYFUNCTION("""COMPUTED_VALUE"""),"Maqbool Ahmad ")</f>
        <v>Maqbool Ahmad </v>
      </c>
      <c r="C636" s="10" t="str">
        <f>IFERROR(__xludf.DUMMYFUNCTION("""COMPUTED_VALUE"""),"03007969774")</f>
        <v>03007969774</v>
      </c>
      <c r="D636" s="10" t="str">
        <f>IFERROR(__xludf.DUMMYFUNCTION("""COMPUTED_VALUE"""),"Jamia Masjid Hazrat Baba Farid Gung e shakar ")</f>
        <v>Jamia Masjid Hazrat Baba Farid Gung e shakar </v>
      </c>
      <c r="E636" s="10" t="str">
        <f>IFERROR(__xludf.DUMMYFUNCTION("""COMPUTED_VALUE"""),"PAQQF")</f>
        <v>PAQQF</v>
      </c>
      <c r="F636" s="10">
        <f>IFERROR(__xludf.DUMMYFUNCTION("""COMPUTED_VALUE"""),4500.0)</f>
        <v>4500</v>
      </c>
      <c r="G636" s="10">
        <f>IFERROR(__xludf.DUMMYFUNCTION("""COMPUTED_VALUE"""),10.0)</f>
        <v>10</v>
      </c>
      <c r="H636" s="10">
        <f>IFERROR(__xludf.DUMMYFUNCTION("""COMPUTED_VALUE"""),10.0)</f>
        <v>10</v>
      </c>
      <c r="I636" s="10">
        <f>IFERROR(__xludf.DUMMYFUNCTION("""COMPUTED_VALUE"""),0.0)</f>
        <v>0</v>
      </c>
      <c r="J636" s="10"/>
      <c r="K636" s="10"/>
      <c r="L636" s="10"/>
      <c r="M636" s="10">
        <f>IFERROR(__xludf.DUMMYFUNCTION("""COMPUTED_VALUE"""),9.0)</f>
        <v>9</v>
      </c>
      <c r="N636" s="10"/>
      <c r="O636" s="10"/>
      <c r="P636" s="10"/>
      <c r="Q636" s="10"/>
      <c r="R636" s="10"/>
      <c r="S636" s="10"/>
      <c r="T636" s="10"/>
      <c r="U636" s="18" t="str">
        <f>IFERROR(__xludf.DUMMYFUNCTION("""COMPUTED_VALUE"""),"https://drive.google.com/open?id=1FynWDazRSqFfzejdlSyePThfKeXVmkNI")</f>
        <v>https://drive.google.com/open?id=1FynWDazRSqFfzejdlSyePThfKeXVmkNI</v>
      </c>
      <c r="V636" s="10" t="str">
        <f>IFERROR(__xludf.DUMMYFUNCTION("""COMPUTED_VALUE"""),"No")</f>
        <v>No</v>
      </c>
      <c r="W636" s="10"/>
      <c r="X636" s="10"/>
      <c r="Y636" s="14" t="str">
        <f>IFERROR(__xludf.DUMMYFUNCTION("""COMPUTED_VALUE"""),"maqboolahmadpk68@gmail.com")</f>
        <v>maqboolahmadpk68@gmail.com</v>
      </c>
      <c r="AA636" s="324"/>
    </row>
    <row r="637" hidden="1">
      <c r="A637" s="9">
        <f>IFERROR(__xludf.DUMMYFUNCTION("""COMPUTED_VALUE"""),45928.25027846065)</f>
        <v>45928.25028</v>
      </c>
      <c r="B637" s="10" t="str">
        <f>IFERROR(__xludf.DUMMYFUNCTION("""COMPUTED_VALUE"""),"Muhammad Haris ")</f>
        <v>Muhammad Haris </v>
      </c>
      <c r="C637" s="10" t="str">
        <f>IFERROR(__xludf.DUMMYFUNCTION("""COMPUTED_VALUE"""),"03204565224")</f>
        <v>03204565224</v>
      </c>
      <c r="D637" s="10" t="str">
        <f>IFERROR(__xludf.DUMMYFUNCTION("""COMPUTED_VALUE""")," Jamia Masjid Shah Shamas Qadri Lahore ")</f>
        <v> Jamia Masjid Shah Shamas Qadri Lahore </v>
      </c>
      <c r="E637" s="10" t="str">
        <f>IFERROR(__xludf.DUMMYFUNCTION("""COMPUTED_VALUE"""),"rhlwr")</f>
        <v>rhlwr</v>
      </c>
      <c r="F637" s="10">
        <f>IFERROR(__xludf.DUMMYFUNCTION("""COMPUTED_VALUE"""),178.0)</f>
        <v>178</v>
      </c>
      <c r="G637" s="10">
        <f>IFERROR(__xludf.DUMMYFUNCTION("""COMPUTED_VALUE"""),8.0)</f>
        <v>8</v>
      </c>
      <c r="H637" s="10">
        <f>IFERROR(__xludf.DUMMYFUNCTION("""COMPUTED_VALUE"""),9.0)</f>
        <v>9</v>
      </c>
      <c r="I637" s="10">
        <f>IFERROR(__xludf.DUMMYFUNCTION("""COMPUTED_VALUE"""),0.0)</f>
        <v>0</v>
      </c>
      <c r="J637" s="10"/>
      <c r="K637" s="10"/>
      <c r="L637" s="10"/>
      <c r="M637" s="10">
        <f>IFERROR(__xludf.DUMMYFUNCTION("""COMPUTED_VALUE"""),9.0)</f>
        <v>9</v>
      </c>
      <c r="N637" s="10"/>
      <c r="O637" s="10"/>
      <c r="P637" s="10"/>
      <c r="Q637" s="10"/>
      <c r="R637" s="10"/>
      <c r="S637" s="10"/>
      <c r="T637" s="10"/>
      <c r="U637" s="18" t="str">
        <f>IFERROR(__xludf.DUMMYFUNCTION("""COMPUTED_VALUE"""),"https://drive.google.com/open?id=1GTaYN_65bVCDWhUJDME9Wn8tgzBSjyJq")</f>
        <v>https://drive.google.com/open?id=1GTaYN_65bVCDWhUJDME9Wn8tgzBSjyJq</v>
      </c>
      <c r="V637" s="10"/>
      <c r="W637" s="10"/>
      <c r="X637" s="10"/>
      <c r="Y637" s="14" t="str">
        <f>IFERROR(__xludf.DUMMYFUNCTION("""COMPUTED_VALUE"""),"haris.cerp@gmail.com")</f>
        <v>haris.cerp@gmail.com</v>
      </c>
      <c r="AA637" s="325">
        <v>5.0</v>
      </c>
    </row>
    <row r="638" hidden="1">
      <c r="A638" s="9">
        <f>IFERROR(__xludf.DUMMYFUNCTION("""COMPUTED_VALUE"""),45928.25166496528)</f>
        <v>45928.25166</v>
      </c>
      <c r="B638" s="10" t="str">
        <f>IFERROR(__xludf.DUMMYFUNCTION("""COMPUTED_VALUE"""),"Muhammad Haris ")</f>
        <v>Muhammad Haris </v>
      </c>
      <c r="C638" s="10" t="str">
        <f>IFERROR(__xludf.DUMMYFUNCTION("""COMPUTED_VALUE"""),"03204565224")</f>
        <v>03204565224</v>
      </c>
      <c r="D638" s="10" t="str">
        <f>IFERROR(__xludf.DUMMYFUNCTION("""COMPUTED_VALUE"""),"Jamia Masjid Shah Shamas Qadri Lahore ")</f>
        <v>Jamia Masjid Shah Shamas Qadri Lahore </v>
      </c>
      <c r="E638" s="10" t="str">
        <f>IFERROR(__xludf.DUMMYFUNCTION("""COMPUTED_VALUE"""),"rhlwr ")</f>
        <v>rhlwr </v>
      </c>
      <c r="F638" s="10">
        <f>IFERROR(__xludf.DUMMYFUNCTION("""COMPUTED_VALUE"""),189.0)</f>
        <v>189</v>
      </c>
      <c r="G638" s="10">
        <f>IFERROR(__xludf.DUMMYFUNCTION("""COMPUTED_VALUE"""),9.0)</f>
        <v>9</v>
      </c>
      <c r="H638" s="10">
        <f>IFERROR(__xludf.DUMMYFUNCTION("""COMPUTED_VALUE"""),8.0)</f>
        <v>8</v>
      </c>
      <c r="I638" s="10">
        <f>IFERROR(__xludf.DUMMYFUNCTION("""COMPUTED_VALUE"""),0.0)</f>
        <v>0</v>
      </c>
      <c r="J638" s="10"/>
      <c r="K638" s="10"/>
      <c r="L638" s="10"/>
      <c r="M638" s="10">
        <f>IFERROR(__xludf.DUMMYFUNCTION("""COMPUTED_VALUE"""),9.0)</f>
        <v>9</v>
      </c>
      <c r="N638" s="10"/>
      <c r="O638" s="10"/>
      <c r="P638" s="10"/>
      <c r="Q638" s="10"/>
      <c r="R638" s="10"/>
      <c r="S638" s="10"/>
      <c r="T638" s="10"/>
      <c r="U638" s="18" t="str">
        <f>IFERROR(__xludf.DUMMYFUNCTION("""COMPUTED_VALUE"""),"https://drive.google.com/open?id=12IxK8T9AF9e8TWnOEiBRV-tlSXgDhC-E")</f>
        <v>https://drive.google.com/open?id=12IxK8T9AF9e8TWnOEiBRV-tlSXgDhC-E</v>
      </c>
      <c r="V638" s="10"/>
      <c r="W638" s="10"/>
      <c r="X638" s="10"/>
      <c r="Y638" s="14" t="str">
        <f>IFERROR(__xludf.DUMMYFUNCTION("""COMPUTED_VALUE"""),"haris.cerp@gmail.com")</f>
        <v>haris.cerp@gmail.com</v>
      </c>
      <c r="AA638" s="325">
        <v>6.0</v>
      </c>
    </row>
    <row r="639" hidden="1">
      <c r="A639" s="9">
        <f>IFERROR(__xludf.DUMMYFUNCTION("""COMPUTED_VALUE"""),45929.08618525463)</f>
        <v>45929.08619</v>
      </c>
      <c r="B639" s="10" t="str">
        <f>IFERROR(__xludf.DUMMYFUNCTION("""COMPUTED_VALUE"""),"Muhammad Afzaal")</f>
        <v>Muhammad Afzaal</v>
      </c>
      <c r="C639" s="10" t="str">
        <f>IFERROR(__xludf.DUMMYFUNCTION("""COMPUTED_VALUE"""),"03366999407")</f>
        <v>03366999407</v>
      </c>
      <c r="D639" s="10" t="str">
        <f>IFERROR(__xludf.DUMMYFUNCTION("""COMPUTED_VALUE"""),"Madina Masjid")</f>
        <v>Madina Masjid</v>
      </c>
      <c r="E639" s="10" t="str">
        <f>IFERROR(__xludf.DUMMYFUNCTION("""COMPUTED_VALUE"""),"QBVYB")</f>
        <v>QBVYB</v>
      </c>
      <c r="F639" s="10">
        <f>IFERROR(__xludf.DUMMYFUNCTION("""COMPUTED_VALUE"""),159.0)</f>
        <v>159</v>
      </c>
      <c r="G639" s="10">
        <f>IFERROR(__xludf.DUMMYFUNCTION("""COMPUTED_VALUE"""),5.0)</f>
        <v>5</v>
      </c>
      <c r="H639" s="10">
        <f>IFERROR(__xludf.DUMMYFUNCTION("""COMPUTED_VALUE"""),0.0)</f>
        <v>0</v>
      </c>
      <c r="I639" s="10">
        <f>IFERROR(__xludf.DUMMYFUNCTION("""COMPUTED_VALUE"""),4.0)</f>
        <v>4</v>
      </c>
      <c r="J639" s="10"/>
      <c r="K639" s="10"/>
      <c r="L639" s="10"/>
      <c r="M639" s="10">
        <f>IFERROR(__xludf.DUMMYFUNCTION("""COMPUTED_VALUE"""),10.0)</f>
        <v>10</v>
      </c>
      <c r="N639" s="10"/>
      <c r="O639" s="10"/>
      <c r="P639" s="10"/>
      <c r="Q639" s="10"/>
      <c r="R639" s="10"/>
      <c r="S639" s="10"/>
      <c r="T639" s="10"/>
      <c r="U639" s="18" t="str">
        <f>IFERROR(__xludf.DUMMYFUNCTION("""COMPUTED_VALUE"""),"https://drive.google.com/open?id=1TINbeKBAAfJdau_v8soIe4Lxvn6Pphi4")</f>
        <v>https://drive.google.com/open?id=1TINbeKBAAfJdau_v8soIe4Lxvn6Pphi4</v>
      </c>
      <c r="V639" s="10"/>
      <c r="W639" s="10"/>
      <c r="X639" s="10"/>
      <c r="Y639" s="14" t="str">
        <f>IFERROR(__xludf.DUMMYFUNCTION("""COMPUTED_VALUE"""),"afzaalsagar217@gmail.com")</f>
        <v>afzaalsagar217@gmail.com</v>
      </c>
      <c r="AA639" s="324"/>
    </row>
    <row r="640" hidden="1">
      <c r="A640" s="9">
        <f>IFERROR(__xludf.DUMMYFUNCTION("""COMPUTED_VALUE"""),45933.18271212963)</f>
        <v>45933.18271</v>
      </c>
      <c r="B640" s="10" t="str">
        <f>IFERROR(__xludf.DUMMYFUNCTION("""COMPUTED_VALUE"""),"Nadeem Akram Sahir")</f>
        <v>Nadeem Akram Sahir</v>
      </c>
      <c r="C640" s="10" t="str">
        <f>IFERROR(__xludf.DUMMYFUNCTION("""COMPUTED_VALUE"""),"03074993350")</f>
        <v>03074993350</v>
      </c>
      <c r="D640" s="10" t="str">
        <f>IFERROR(__xludf.DUMMYFUNCTION("""COMPUTED_VALUE"""),"	Jamia Masjid Hanfiya C Block Okara	")</f>
        <v>	Jamia Masjid Hanfiya C Block Okara	</v>
      </c>
      <c r="E640" s="10" t="str">
        <f>IFERROR(__xludf.DUMMYFUNCTION("""COMPUTED_VALUE"""),"FFPZC	")</f>
        <v>FFPZC	</v>
      </c>
      <c r="F640" s="10">
        <f>IFERROR(__xludf.DUMMYFUNCTION("""COMPUTED_VALUE"""),447.0)</f>
        <v>447</v>
      </c>
      <c r="G640" s="10">
        <f>IFERROR(__xludf.DUMMYFUNCTION("""COMPUTED_VALUE"""),10.0)</f>
        <v>10</v>
      </c>
      <c r="H640" s="10">
        <f>IFERROR(__xludf.DUMMYFUNCTION("""COMPUTED_VALUE"""),10.0)</f>
        <v>10</v>
      </c>
      <c r="I640" s="10">
        <f>IFERROR(__xludf.DUMMYFUNCTION("""COMPUTED_VALUE"""),0.0)</f>
        <v>0</v>
      </c>
      <c r="J640" s="10"/>
      <c r="K640" s="10"/>
      <c r="L640" s="10"/>
      <c r="M640" s="10">
        <f>IFERROR(__xludf.DUMMYFUNCTION("""COMPUTED_VALUE"""),10.0)</f>
        <v>10</v>
      </c>
      <c r="N640" s="10"/>
      <c r="O640" s="10"/>
      <c r="P640" s="10"/>
      <c r="Q640" s="10"/>
      <c r="R640" s="10"/>
      <c r="S640" s="10"/>
      <c r="T640" s="10"/>
      <c r="U640" s="18" t="str">
        <f>IFERROR(__xludf.DUMMYFUNCTION("""COMPUTED_VALUE"""),"https://drive.google.com/file/d/1-p5u1E9O2jxjY8tLRL76eiE-cjkEId4h/view?usp=drive_link")</f>
        <v>https://drive.google.com/file/d/1-p5u1E9O2jxjY8tLRL76eiE-cjkEId4h/view?usp=drive_link</v>
      </c>
      <c r="V640" s="10"/>
      <c r="W640" s="10"/>
      <c r="X640" s="10"/>
      <c r="Y640" s="14" t="str">
        <f>IFERROR(__xludf.DUMMYFUNCTION("""COMPUTED_VALUE"""),"nadeemakramsahir@gmail.com")</f>
        <v>nadeemakramsahir@gmail.com</v>
      </c>
      <c r="AA640" s="324"/>
    </row>
    <row r="641" hidden="1">
      <c r="A641" s="9">
        <f>IFERROR(__xludf.DUMMYFUNCTION("""COMPUTED_VALUE"""),45933.22402854166)</f>
        <v>45933.22403</v>
      </c>
      <c r="B641" s="10" t="str">
        <f>IFERROR(__xludf.DUMMYFUNCTION("""COMPUTED_VALUE"""),"Mujahid Amin ")</f>
        <v>Mujahid Amin </v>
      </c>
      <c r="C641" s="10" t="str">
        <f>IFERROR(__xludf.DUMMYFUNCTION("""COMPUTED_VALUE"""),"03484724367")</f>
        <v>03484724367</v>
      </c>
      <c r="D641" s="10" t="str">
        <f>IFERROR(__xludf.DUMMYFUNCTION("""COMPUTED_VALUE"""),"جامع مسجد دربار حضرت بابا لابھے شاہ سرکار ")</f>
        <v>جامع مسجد دربار حضرت بابا لابھے شاہ سرکار </v>
      </c>
      <c r="E641" s="10" t="str">
        <f>IFERROR(__xludf.DUMMYFUNCTION("""COMPUTED_VALUE"""),"VPLSV")</f>
        <v>VPLSV</v>
      </c>
      <c r="F641" s="10" t="str">
        <f>IFERROR(__xludf.DUMMYFUNCTION("""COMPUTED_VALUE"""),"230-250")</f>
        <v>230-250</v>
      </c>
      <c r="G641" s="10">
        <f>IFERROR(__xludf.DUMMYFUNCTION("""COMPUTED_VALUE"""),8.0)</f>
        <v>8</v>
      </c>
      <c r="H641" s="10">
        <f>IFERROR(__xludf.DUMMYFUNCTION("""COMPUTED_VALUE"""),7.0)</f>
        <v>7</v>
      </c>
      <c r="I641" s="10" t="str">
        <f>IFERROR(__xludf.DUMMYFUNCTION("""COMPUTED_VALUE"""),"No")</f>
        <v>No</v>
      </c>
      <c r="J641" s="10"/>
      <c r="K641" s="10"/>
      <c r="L641" s="10"/>
      <c r="M641" s="10">
        <f>IFERROR(__xludf.DUMMYFUNCTION("""COMPUTED_VALUE"""),6.0)</f>
        <v>6</v>
      </c>
      <c r="N641" s="10"/>
      <c r="O641" s="10"/>
      <c r="P641" s="10"/>
      <c r="Q641" s="10"/>
      <c r="R641" s="10"/>
      <c r="S641" s="10"/>
      <c r="T641" s="10"/>
      <c r="U641" s="18" t="str">
        <f>IFERROR(__xludf.DUMMYFUNCTION("""COMPUTED_VALUE"""),"https://drive.google.com/open?id=1vFCIZGI8MLcFUZv-GZRv7m7gPI6gS5am")</f>
        <v>https://drive.google.com/open?id=1vFCIZGI8MLcFUZv-GZRv7m7gPI6gS5am</v>
      </c>
      <c r="V641" s="10" t="str">
        <f>IFERROR(__xludf.DUMMYFUNCTION("""COMPUTED_VALUE"""),"مسجد میں امام مسجد کی اشد ضرورت ہے ۔ ہر جمعے پر کہیں سے عالم دین بلانا پڑتا ہے۔ ان کی اپیل ہے کہ ہمیں کوئی امام مسجد مہیا کیا جائے")</f>
        <v>مسجد میں امام مسجد کی اشد ضرورت ہے ۔ ہر جمعے پر کہیں سے عالم دین بلانا پڑتا ہے۔ ان کی اپیل ہے کہ ہمیں کوئی امام مسجد مہیا کیا جائے</v>
      </c>
      <c r="W641" s="10"/>
      <c r="X641" s="10"/>
      <c r="Y641" s="14" t="str">
        <f>IFERROR(__xludf.DUMMYFUNCTION("""COMPUTED_VALUE"""),"mujahidamin636@gmail.com")</f>
        <v>mujahidamin636@gmail.com</v>
      </c>
      <c r="AA641" s="324"/>
    </row>
    <row r="642" hidden="1">
      <c r="A642" s="9">
        <f>IFERROR(__xludf.DUMMYFUNCTION("""COMPUTED_VALUE"""),45933.237424293984)</f>
        <v>45933.23742</v>
      </c>
      <c r="B642" s="10" t="str">
        <f>IFERROR(__xludf.DUMMYFUNCTION("""COMPUTED_VALUE"""),"Maqbool Ahmad ")</f>
        <v>Maqbool Ahmad </v>
      </c>
      <c r="C642" s="10" t="str">
        <f>IFERROR(__xludf.DUMMYFUNCTION("""COMPUTED_VALUE"""),"03007969774")</f>
        <v>03007969774</v>
      </c>
      <c r="D642" s="10" t="str">
        <f>IFERROR(__xludf.DUMMYFUNCTION("""COMPUTED_VALUE"""),"Masjid Hazrat baba Farid ud din Masood gunj shakar ")</f>
        <v>Masjid Hazrat baba Farid ud din Masood gunj shakar </v>
      </c>
      <c r="E642" s="10" t="str">
        <f>IFERROR(__xludf.DUMMYFUNCTION("""COMPUTED_VALUE"""),"PAQQF")</f>
        <v>PAQQF</v>
      </c>
      <c r="F642" s="10">
        <f>IFERROR(__xludf.DUMMYFUNCTION("""COMPUTED_VALUE"""),5500.0)</f>
        <v>5500</v>
      </c>
      <c r="G642" s="10">
        <f>IFERROR(__xludf.DUMMYFUNCTION("""COMPUTED_VALUE"""),9.0)</f>
        <v>9</v>
      </c>
      <c r="H642" s="10">
        <f>IFERROR(__xludf.DUMMYFUNCTION("""COMPUTED_VALUE"""),10.0)</f>
        <v>10</v>
      </c>
      <c r="I642" s="10">
        <f>IFERROR(__xludf.DUMMYFUNCTION("""COMPUTED_VALUE"""),0.0)</f>
        <v>0</v>
      </c>
      <c r="J642" s="10"/>
      <c r="K642" s="10"/>
      <c r="L642" s="10"/>
      <c r="M642" s="10">
        <f>IFERROR(__xludf.DUMMYFUNCTION("""COMPUTED_VALUE"""),9.0)</f>
        <v>9</v>
      </c>
      <c r="N642" s="10"/>
      <c r="O642" s="10"/>
      <c r="P642" s="10"/>
      <c r="Q642" s="10"/>
      <c r="R642" s="10"/>
      <c r="S642" s="10"/>
      <c r="T642" s="10"/>
      <c r="U642" s="18" t="str">
        <f>IFERROR(__xludf.DUMMYFUNCTION("""COMPUTED_VALUE"""),"https://drive.google.com/open?id=1hn-T7UgMCQb7DBSVSekJ070Wy4dvnNkQ")</f>
        <v>https://drive.google.com/open?id=1hn-T7UgMCQb7DBSVSekJ070Wy4dvnNkQ</v>
      </c>
      <c r="V642" s="10" t="str">
        <f>IFERROR(__xludf.DUMMYFUNCTION("""COMPUTED_VALUE"""),"No")</f>
        <v>No</v>
      </c>
      <c r="W642" s="10"/>
      <c r="X642" s="10"/>
      <c r="Y642" s="14" t="str">
        <f>IFERROR(__xludf.DUMMYFUNCTION("""COMPUTED_VALUE"""),"maqboolahmadpk68@gmail.com")</f>
        <v>maqboolahmadpk68@gmail.com</v>
      </c>
      <c r="AA642" s="324"/>
    </row>
    <row r="643" hidden="1">
      <c r="A643" s="9">
        <f>IFERROR(__xludf.DUMMYFUNCTION("""COMPUTED_VALUE"""),45933.241231990745)</f>
        <v>45933.24123</v>
      </c>
      <c r="B643" s="10" t="str">
        <f>IFERROR(__xludf.DUMMYFUNCTION("""COMPUTED_VALUE"""),"Abubakar ")</f>
        <v>Abubakar </v>
      </c>
      <c r="C643" s="10" t="str">
        <f>IFERROR(__xludf.DUMMYFUNCTION("""COMPUTED_VALUE"""),"03111204919")</f>
        <v>03111204919</v>
      </c>
      <c r="D643" s="10" t="str">
        <f>IFERROR(__xludf.DUMMYFUNCTION("""COMPUTED_VALUE"""),"Jamiya masjid usmaneya ")</f>
        <v>Jamiya masjid usmaneya </v>
      </c>
      <c r="E643" s="10" t="str">
        <f>IFERROR(__xludf.DUMMYFUNCTION("""COMPUTED_VALUE"""),"KGQJV")</f>
        <v>KGQJV</v>
      </c>
      <c r="F643" s="10">
        <f>IFERROR(__xludf.DUMMYFUNCTION("""COMPUTED_VALUE"""),800.0)</f>
        <v>800</v>
      </c>
      <c r="G643" s="10">
        <f>IFERROR(__xludf.DUMMYFUNCTION("""COMPUTED_VALUE"""),8.0)</f>
        <v>8</v>
      </c>
      <c r="H643" s="10">
        <f>IFERROR(__xludf.DUMMYFUNCTION("""COMPUTED_VALUE"""),8.0)</f>
        <v>8</v>
      </c>
      <c r="I643" s="10">
        <f>IFERROR(__xludf.DUMMYFUNCTION("""COMPUTED_VALUE"""),1.0)</f>
        <v>1</v>
      </c>
      <c r="J643" s="10"/>
      <c r="K643" s="10"/>
      <c r="L643" s="10"/>
      <c r="M643" s="10">
        <f>IFERROR(__xludf.DUMMYFUNCTION("""COMPUTED_VALUE"""),8.0)</f>
        <v>8</v>
      </c>
      <c r="N643" s="10"/>
      <c r="O643" s="10"/>
      <c r="P643" s="10"/>
      <c r="Q643" s="10"/>
      <c r="R643" s="10"/>
      <c r="S643" s="10"/>
      <c r="T643" s="10"/>
      <c r="U643" s="18" t="str">
        <f>IFERROR(__xludf.DUMMYFUNCTION("""COMPUTED_VALUE"""),"https://drive.google.com/open?id=1vd5uP5Ltq2nSBS_OURlH8Ut3edvUtlk7")</f>
        <v>https://drive.google.com/open?id=1vd5uP5Ltq2nSBS_OURlH8Ut3edvUtlk7</v>
      </c>
      <c r="V643" s="10" t="str">
        <f>IFERROR(__xludf.DUMMYFUNCTION("""COMPUTED_VALUE"""),"No")</f>
        <v>No</v>
      </c>
      <c r="W643" s="10"/>
      <c r="X643" s="10"/>
      <c r="Y643" s="14" t="str">
        <f>IFERROR(__xludf.DUMMYFUNCTION("""COMPUTED_VALUE"""),"ab1995312@gmail.com")</f>
        <v>ab1995312@gmail.com</v>
      </c>
      <c r="AA643" s="324"/>
    </row>
    <row r="644" hidden="1">
      <c r="A644" s="9">
        <f>IFERROR(__xludf.DUMMYFUNCTION("""COMPUTED_VALUE"""),45933.24414541667)</f>
        <v>45933.24415</v>
      </c>
      <c r="B644" s="10" t="str">
        <f>IFERROR(__xludf.DUMMYFUNCTION("""COMPUTED_VALUE"""),"Faisal Mushtaq ")</f>
        <v>Faisal Mushtaq </v>
      </c>
      <c r="C644" s="10" t="str">
        <f>IFERROR(__xludf.DUMMYFUNCTION("""COMPUTED_VALUE"""),"03186036229")</f>
        <v>03186036229</v>
      </c>
      <c r="D644" s="10" t="str">
        <f>IFERROR(__xludf.DUMMYFUNCTION("""COMPUTED_VALUE"""),"Markazi Ghosiya Rizwiya Sadar Bazar Renala Kurd")</f>
        <v>Markazi Ghosiya Rizwiya Sadar Bazar Renala Kurd</v>
      </c>
      <c r="E644" s="10" t="str">
        <f>IFERROR(__xludf.DUMMYFUNCTION("""COMPUTED_VALUE"""),"RUJKZ")</f>
        <v>RUJKZ</v>
      </c>
      <c r="F644" s="10">
        <f>IFERROR(__xludf.DUMMYFUNCTION("""COMPUTED_VALUE"""),1154.0)</f>
        <v>1154</v>
      </c>
      <c r="G644" s="10">
        <f>IFERROR(__xludf.DUMMYFUNCTION("""COMPUTED_VALUE"""),10.0)</f>
        <v>10</v>
      </c>
      <c r="H644" s="10">
        <f>IFERROR(__xludf.DUMMYFUNCTION("""COMPUTED_VALUE"""),9.0)</f>
        <v>9</v>
      </c>
      <c r="I644" s="10" t="str">
        <f>IFERROR(__xludf.DUMMYFUNCTION("""COMPUTED_VALUE"""),"Koi b nhi")</f>
        <v>Koi b nhi</v>
      </c>
      <c r="J644" s="10"/>
      <c r="K644" s="10"/>
      <c r="L644" s="10"/>
      <c r="M644" s="10">
        <f>IFERROR(__xludf.DUMMYFUNCTION("""COMPUTED_VALUE"""),8.0)</f>
        <v>8</v>
      </c>
      <c r="N644" s="10"/>
      <c r="O644" s="10"/>
      <c r="P644" s="10"/>
      <c r="Q644" s="10"/>
      <c r="R644" s="10"/>
      <c r="S644" s="10"/>
      <c r="T644" s="10"/>
      <c r="U644" s="18" t="str">
        <f>IFERROR(__xludf.DUMMYFUNCTION("""COMPUTED_VALUE"""),"https://drive.google.com/open?id=1hkMgxkUMh1kMCUZf8022yuVgzaw_OZGl")</f>
        <v>https://drive.google.com/open?id=1hkMgxkUMh1kMCUZf8022yuVgzaw_OZGl</v>
      </c>
      <c r="V644" s="10"/>
      <c r="W644" s="10"/>
      <c r="X644" s="10"/>
      <c r="Y644" s="14" t="str">
        <f>IFERROR(__xludf.DUMMYFUNCTION("""COMPUTED_VALUE"""),"xtfaisalkhichi@gmail.com")</f>
        <v>xtfaisalkhichi@gmail.com</v>
      </c>
      <c r="AA644" s="324"/>
    </row>
    <row r="645" hidden="1">
      <c r="A645" s="9">
        <f>IFERROR(__xludf.DUMMYFUNCTION("""COMPUTED_VALUE"""),45933.24414541667)</f>
        <v>45933.24415</v>
      </c>
      <c r="B645" s="10" t="str">
        <f>IFERROR(__xludf.DUMMYFUNCTION("""COMPUTED_VALUE"""),"Abdul wahab ")</f>
        <v>Abdul wahab </v>
      </c>
      <c r="C645" s="10" t="str">
        <f>IFERROR(__xludf.DUMMYFUNCTION("""COMPUTED_VALUE"""),"03023915410")</f>
        <v>03023915410</v>
      </c>
      <c r="D645" s="10" t="str">
        <f>IFERROR(__xludf.DUMMYFUNCTION("""COMPUTED_VALUE"""),"Jamia masjid Mohammaia ghousia ")</f>
        <v>Jamia masjid Mohammaia ghousia </v>
      </c>
      <c r="E645" s="10" t="str">
        <f>IFERROR(__xludf.DUMMYFUNCTION("""COMPUTED_VALUE"""),"MIIDK ")</f>
        <v>MIIDK </v>
      </c>
      <c r="F645" s="10">
        <f>IFERROR(__xludf.DUMMYFUNCTION("""COMPUTED_VALUE"""),550.0)</f>
        <v>550</v>
      </c>
      <c r="G645" s="10">
        <f>IFERROR(__xludf.DUMMYFUNCTION("""COMPUTED_VALUE"""),8.0)</f>
        <v>8</v>
      </c>
      <c r="H645" s="10">
        <f>IFERROR(__xludf.DUMMYFUNCTION("""COMPUTED_VALUE"""),8.0)</f>
        <v>8</v>
      </c>
      <c r="I645" s="10">
        <f>IFERROR(__xludf.DUMMYFUNCTION("""COMPUTED_VALUE"""),0.0)</f>
        <v>0</v>
      </c>
      <c r="J645" s="10"/>
      <c r="K645" s="10"/>
      <c r="L645" s="10"/>
      <c r="M645" s="10">
        <f>IFERROR(__xludf.DUMMYFUNCTION("""COMPUTED_VALUE"""),9.0)</f>
        <v>9</v>
      </c>
      <c r="N645" s="10"/>
      <c r="O645" s="10"/>
      <c r="P645" s="10"/>
      <c r="Q645" s="10"/>
      <c r="R645" s="10"/>
      <c r="S645" s="10"/>
      <c r="T645" s="10"/>
      <c r="U645" s="18" t="str">
        <f>IFERROR(__xludf.DUMMYFUNCTION("""COMPUTED_VALUE"""),"https://drive.google.com/file/d/180os61bYtf5qw8YU68Q3kJXM2YIVHvIC/view?usp=drive_link")</f>
        <v>https://drive.google.com/file/d/180os61bYtf5qw8YU68Q3kJXM2YIVHvIC/view?usp=drive_link</v>
      </c>
      <c r="V645" s="10" t="str">
        <f>IFERROR(__xludf.DUMMYFUNCTION("""COMPUTED_VALUE"""),"No")</f>
        <v>No</v>
      </c>
      <c r="W645" s="10"/>
      <c r="X645" s="10"/>
      <c r="Y645" s="14" t="str">
        <f>IFERROR(__xludf.DUMMYFUNCTION("""COMPUTED_VALUE"""),"zahidasehar91@gmail.com")</f>
        <v>zahidasehar91@gmail.com</v>
      </c>
      <c r="AA645" s="324"/>
    </row>
    <row r="646" hidden="1">
      <c r="A646" s="9">
        <f>IFERROR(__xludf.DUMMYFUNCTION("""COMPUTED_VALUE"""),45933.25291538195)</f>
        <v>45933.25292</v>
      </c>
      <c r="B646" s="10" t="str">
        <f>IFERROR(__xludf.DUMMYFUNCTION("""COMPUTED_VALUE"""),"Numan Ali")</f>
        <v>Numan Ali</v>
      </c>
      <c r="C646" s="10" t="str">
        <f>IFERROR(__xludf.DUMMYFUNCTION("""COMPUTED_VALUE"""),"03008196197")</f>
        <v>03008196197</v>
      </c>
      <c r="D646" s="10" t="str">
        <f>IFERROR(__xludf.DUMMYFUNCTION("""COMPUTED_VALUE"""),"Jamia Masjid Gala Mandi")</f>
        <v>Jamia Masjid Gala Mandi</v>
      </c>
      <c r="E646" s="10" t="str">
        <f>IFERROR(__xludf.DUMMYFUNCTION("""COMPUTED_VALUE"""),"UOMYF")</f>
        <v>UOMYF</v>
      </c>
      <c r="F646" s="10">
        <f>IFERROR(__xludf.DUMMYFUNCTION("""COMPUTED_VALUE"""),125.0)</f>
        <v>125</v>
      </c>
      <c r="G646" s="10">
        <f>IFERROR(__xludf.DUMMYFUNCTION("""COMPUTED_VALUE"""),9.0)</f>
        <v>9</v>
      </c>
      <c r="H646" s="10">
        <f>IFERROR(__xludf.DUMMYFUNCTION("""COMPUTED_VALUE"""),9.0)</f>
        <v>9</v>
      </c>
      <c r="I646" s="10">
        <f>IFERROR(__xludf.DUMMYFUNCTION("""COMPUTED_VALUE"""),0.0)</f>
        <v>0</v>
      </c>
      <c r="J646" s="10"/>
      <c r="K646" s="10"/>
      <c r="L646" s="10"/>
      <c r="M646" s="10">
        <f>IFERROR(__xludf.DUMMYFUNCTION("""COMPUTED_VALUE"""),8.0)</f>
        <v>8</v>
      </c>
      <c r="N646" s="10"/>
      <c r="O646" s="10"/>
      <c r="P646" s="10"/>
      <c r="Q646" s="10"/>
      <c r="R646" s="10"/>
      <c r="S646" s="10"/>
      <c r="T646" s="10"/>
      <c r="U646" s="18" t="str">
        <f>IFERROR(__xludf.DUMMYFUNCTION("""COMPUTED_VALUE"""),"https://drive.google.com/open?id=1tFGfAliW01rbc5LI8Mu47qmtOOTHvQJp")</f>
        <v>https://drive.google.com/open?id=1tFGfAliW01rbc5LI8Mu47qmtOOTHvQJp</v>
      </c>
      <c r="V646" s="10"/>
      <c r="W646" s="10"/>
      <c r="X646" s="10"/>
      <c r="Y646" s="14" t="str">
        <f>IFERROR(__xludf.DUMMYFUNCTION("""COMPUTED_VALUE"""),"numanali8196@gmail.com")</f>
        <v>numanali8196@gmail.com</v>
      </c>
      <c r="AA646" s="324"/>
    </row>
    <row r="647" hidden="1">
      <c r="A647" s="9">
        <f>IFERROR(__xludf.DUMMYFUNCTION("""COMPUTED_VALUE"""),45933.259781064815)</f>
        <v>45933.25978</v>
      </c>
      <c r="B647" s="10" t="str">
        <f>IFERROR(__xludf.DUMMYFUNCTION("""COMPUTED_VALUE"""),"Waseem Rehman")</f>
        <v>Waseem Rehman</v>
      </c>
      <c r="C647" s="10" t="str">
        <f>IFERROR(__xludf.DUMMYFUNCTION("""COMPUTED_VALUE"""),"03005017007")</f>
        <v>03005017007</v>
      </c>
      <c r="D647" s="10" t="str">
        <f>IFERROR(__xludf.DUMMYFUNCTION("""COMPUTED_VALUE"""),"Jamia Masjid Sarwariya Muhammad Shah ")</f>
        <v>Jamia Masjid Sarwariya Muhammad Shah </v>
      </c>
      <c r="E647" s="10" t="str">
        <f>IFERROR(__xludf.DUMMYFUNCTION("""COMPUTED_VALUE"""),"IOTAE")</f>
        <v>IOTAE</v>
      </c>
      <c r="F647" s="10">
        <f>IFERROR(__xludf.DUMMYFUNCTION("""COMPUTED_VALUE"""),32.0)</f>
        <v>32</v>
      </c>
      <c r="G647" s="10">
        <f>IFERROR(__xludf.DUMMYFUNCTION("""COMPUTED_VALUE"""),9.0)</f>
        <v>9</v>
      </c>
      <c r="H647" s="10">
        <f>IFERROR(__xludf.DUMMYFUNCTION("""COMPUTED_VALUE"""),8.0)</f>
        <v>8</v>
      </c>
      <c r="I647" s="10">
        <f>IFERROR(__xludf.DUMMYFUNCTION("""COMPUTED_VALUE"""),0.0)</f>
        <v>0</v>
      </c>
      <c r="J647" s="10"/>
      <c r="K647" s="10"/>
      <c r="L647" s="10"/>
      <c r="M647" s="10">
        <f>IFERROR(__xludf.DUMMYFUNCTION("""COMPUTED_VALUE"""),9.0)</f>
        <v>9</v>
      </c>
      <c r="N647" s="10"/>
      <c r="O647" s="10"/>
      <c r="P647" s="10"/>
      <c r="Q647" s="10"/>
      <c r="R647" s="10"/>
      <c r="S647" s="10"/>
      <c r="T647" s="10"/>
      <c r="U647" s="18" t="str">
        <f>IFERROR(__xludf.DUMMYFUNCTION("""COMPUTED_VALUE"""),"https://drive.google.com/open?id=1EK_rMaFOYia6dZE0_XoS6hbs_Yvyzw5w")</f>
        <v>https://drive.google.com/open?id=1EK_rMaFOYia6dZE0_XoS6hbs_Yvyzw5w</v>
      </c>
      <c r="V647" s="10"/>
      <c r="W647" s="10"/>
      <c r="X647" s="10"/>
      <c r="Y647" s="14" t="str">
        <f>IFERROR(__xludf.DUMMYFUNCTION("""COMPUTED_VALUE"""),"iwaseemrehman@gmail.com")</f>
        <v>iwaseemrehman@gmail.com</v>
      </c>
      <c r="AA647" s="324"/>
    </row>
    <row r="648" hidden="1">
      <c r="A648" s="9">
        <f>IFERROR(__xludf.DUMMYFUNCTION("""COMPUTED_VALUE"""),45933.26429741898)</f>
        <v>45933.2643</v>
      </c>
      <c r="B648" s="10" t="str">
        <f>IFERROR(__xludf.DUMMYFUNCTION("""COMPUTED_VALUE"""),"Muhammad Haris ")</f>
        <v>Muhammad Haris </v>
      </c>
      <c r="C648" s="10" t="str">
        <f>IFERROR(__xludf.DUMMYFUNCTION("""COMPUTED_VALUE"""),"03204565224")</f>
        <v>03204565224</v>
      </c>
      <c r="D648" s="10" t="str">
        <f>IFERROR(__xludf.DUMMYFUNCTION("""COMPUTED_VALUE"""),"Jamia Masjid Shah Shamas Qadri Lahore ")</f>
        <v>Jamia Masjid Shah Shamas Qadri Lahore </v>
      </c>
      <c r="E648" s="10" t="str">
        <f>IFERROR(__xludf.DUMMYFUNCTION("""COMPUTED_VALUE"""),"rhlwr")</f>
        <v>rhlwr</v>
      </c>
      <c r="F648" s="10">
        <f>IFERROR(__xludf.DUMMYFUNCTION("""COMPUTED_VALUE"""),197.0)</f>
        <v>197</v>
      </c>
      <c r="G648" s="10">
        <f>IFERROR(__xludf.DUMMYFUNCTION("""COMPUTED_VALUE"""),9.0)</f>
        <v>9</v>
      </c>
      <c r="H648" s="10">
        <f>IFERROR(__xludf.DUMMYFUNCTION("""COMPUTED_VALUE"""),8.0)</f>
        <v>8</v>
      </c>
      <c r="I648" s="10">
        <f>IFERROR(__xludf.DUMMYFUNCTION("""COMPUTED_VALUE"""),1.0)</f>
        <v>1</v>
      </c>
      <c r="J648" s="10"/>
      <c r="K648" s="10"/>
      <c r="L648" s="10"/>
      <c r="M648" s="10">
        <f>IFERROR(__xludf.DUMMYFUNCTION("""COMPUTED_VALUE"""),9.0)</f>
        <v>9</v>
      </c>
      <c r="N648" s="10"/>
      <c r="O648" s="10"/>
      <c r="P648" s="10"/>
      <c r="Q648" s="10"/>
      <c r="R648" s="10"/>
      <c r="S648" s="10"/>
      <c r="T648" s="10"/>
      <c r="U648" s="18" t="str">
        <f>IFERROR(__xludf.DUMMYFUNCTION("""COMPUTED_VALUE"""),"https://drive.google.com/file/d/1kPvH4kH-PKjz0K4Z7h-elz8A6hacHGkV/view?usp=drive_link")</f>
        <v>https://drive.google.com/file/d/1kPvH4kH-PKjz0K4Z7h-elz8A6hacHGkV/view?usp=drive_link</v>
      </c>
      <c r="V648" s="10"/>
      <c r="W648" s="10"/>
      <c r="X648" s="10"/>
      <c r="Y648" s="14" t="str">
        <f>IFERROR(__xludf.DUMMYFUNCTION("""COMPUTED_VALUE"""),"haris.cerp@gmail.com")</f>
        <v>haris.cerp@gmail.com</v>
      </c>
      <c r="AA648" s="324"/>
    </row>
    <row r="649" hidden="1">
      <c r="A649" s="9">
        <f>IFERROR(__xludf.DUMMYFUNCTION("""COMPUTED_VALUE"""),45933.264421597225)</f>
        <v>45933.26442</v>
      </c>
      <c r="B649" s="10" t="str">
        <f>IFERROR(__xludf.DUMMYFUNCTION("""COMPUTED_VALUE"""),"Shahzad Ahmad ")</f>
        <v>Shahzad Ahmad </v>
      </c>
      <c r="C649" s="10" t="str">
        <f>IFERROR(__xludf.DUMMYFUNCTION("""COMPUTED_VALUE"""),"0300-1119795")</f>
        <v>0300-1119795</v>
      </c>
      <c r="D649" s="10" t="str">
        <f>IFERROR(__xludf.DUMMYFUNCTION("""COMPUTED_VALUE"""),"Jamia Masjid Aziz Makki Pakpattan ")</f>
        <v>Jamia Masjid Aziz Makki Pakpattan </v>
      </c>
      <c r="E649" s="10" t="str">
        <f>IFERROR(__xludf.DUMMYFUNCTION("""COMPUTED_VALUE"""),"EWWLQ")</f>
        <v>EWWLQ</v>
      </c>
      <c r="F649" s="10">
        <f>IFERROR(__xludf.DUMMYFUNCTION("""COMPUTED_VALUE"""),145.0)</f>
        <v>145</v>
      </c>
      <c r="G649" s="10">
        <f>IFERROR(__xludf.DUMMYFUNCTION("""COMPUTED_VALUE"""),4.0)</f>
        <v>4</v>
      </c>
      <c r="H649" s="10">
        <f>IFERROR(__xludf.DUMMYFUNCTION("""COMPUTED_VALUE"""),4.0)</f>
        <v>4</v>
      </c>
      <c r="I649" s="10" t="str">
        <f>IFERROR(__xludf.DUMMYFUNCTION("""COMPUTED_VALUE"""),"Qarbastan ki safai nhe hwi")</f>
        <v>Qarbastan ki safai nhe hwi</v>
      </c>
      <c r="J649" s="10"/>
      <c r="K649" s="10"/>
      <c r="L649" s="10"/>
      <c r="M649" s="10">
        <f>IFERROR(__xludf.DUMMYFUNCTION("""COMPUTED_VALUE"""),7.0)</f>
        <v>7</v>
      </c>
      <c r="N649" s="10"/>
      <c r="O649" s="10"/>
      <c r="P649" s="10"/>
      <c r="Q649" s="10"/>
      <c r="R649" s="10"/>
      <c r="S649" s="10"/>
      <c r="T649" s="10"/>
      <c r="U649" s="18" t="str">
        <f>IFERROR(__xludf.DUMMYFUNCTION("""COMPUTED_VALUE"""),"https://drive.google.com/open?id=11OmtAcjh8LVZzxe4cGAimb4Vbvo78zef")</f>
        <v>https://drive.google.com/open?id=11OmtAcjh8LVZzxe4cGAimb4Vbvo78zef</v>
      </c>
      <c r="V649" s="10"/>
      <c r="W649" s="10"/>
      <c r="X649" s="10"/>
      <c r="Y649" s="14" t="str">
        <f>IFERROR(__xludf.DUMMYFUNCTION("""COMPUTED_VALUE"""),"ranashahzad7403@gmail.com")</f>
        <v>ranashahzad7403@gmail.com</v>
      </c>
      <c r="AA649" s="324"/>
    </row>
    <row r="650" hidden="1">
      <c r="A650" s="9">
        <f>IFERROR(__xludf.DUMMYFUNCTION("""COMPUTED_VALUE"""),45933.26488425926)</f>
        <v>45933.26488</v>
      </c>
      <c r="B650" s="10" t="str">
        <f>IFERROR(__xludf.DUMMYFUNCTION("""COMPUTED_VALUE"""),"Arslan hafeez")</f>
        <v>Arslan hafeez</v>
      </c>
      <c r="C650" s="10" t="str">
        <f>IFERROR(__xludf.DUMMYFUNCTION("""COMPUTED_VALUE"""),"03214883176")</f>
        <v>03214883176</v>
      </c>
      <c r="D650" s="10" t="str">
        <f>IFERROR(__xludf.DUMMYFUNCTION("""COMPUTED_VALUE"""),"Jamiha Masjad ghala mandi ")</f>
        <v>Jamiha Masjad ghala mandi </v>
      </c>
      <c r="E650" s="10" t="str">
        <f>IFERROR(__xludf.DUMMYFUNCTION("""COMPUTED_VALUE"""),"YTVOY")</f>
        <v>YTVOY</v>
      </c>
      <c r="F650" s="10">
        <f>IFERROR(__xludf.DUMMYFUNCTION("""COMPUTED_VALUE"""),228.0)</f>
        <v>228</v>
      </c>
      <c r="G650" s="10">
        <f>IFERROR(__xludf.DUMMYFUNCTION("""COMPUTED_VALUE"""),8.0)</f>
        <v>8</v>
      </c>
      <c r="H650" s="10">
        <f>IFERROR(__xludf.DUMMYFUNCTION("""COMPUTED_VALUE"""),8.0)</f>
        <v>8</v>
      </c>
      <c r="I650" s="10">
        <f>IFERROR(__xludf.DUMMYFUNCTION("""COMPUTED_VALUE"""),1.0)</f>
        <v>1</v>
      </c>
      <c r="J650" s="10"/>
      <c r="K650" s="10"/>
      <c r="L650" s="10"/>
      <c r="M650" s="10">
        <f>IFERROR(__xludf.DUMMYFUNCTION("""COMPUTED_VALUE"""),7.0)</f>
        <v>7</v>
      </c>
      <c r="N650" s="10"/>
      <c r="O650" s="10"/>
      <c r="P650" s="10"/>
      <c r="Q650" s="10"/>
      <c r="R650" s="10"/>
      <c r="S650" s="10"/>
      <c r="T650" s="10"/>
      <c r="U650" s="18" t="str">
        <f>IFERROR(__xludf.DUMMYFUNCTION("""COMPUTED_VALUE"""),"https://drive.google.com/file/d/1sdmFoveod6WmmeLc9S_lQkkoNPff0YxW/view?usp=drive_link")</f>
        <v>https://drive.google.com/file/d/1sdmFoveod6WmmeLc9S_lQkkoNPff0YxW/view?usp=drive_link</v>
      </c>
      <c r="V650" s="10"/>
      <c r="W650" s="10"/>
      <c r="X650" s="10"/>
      <c r="Y650" s="14" t="str">
        <f>IFERROR(__xludf.DUMMYFUNCTION("""COMPUTED_VALUE"""),"Arslanhafeez1811@gmail.com")</f>
        <v>Arslanhafeez1811@gmail.com</v>
      </c>
      <c r="AA650" s="324"/>
    </row>
    <row r="651" hidden="1">
      <c r="A651" s="9">
        <f>IFERROR(__xludf.DUMMYFUNCTION("""COMPUTED_VALUE"""),45933.289368067126)</f>
        <v>45933.28937</v>
      </c>
      <c r="B651" s="10" t="str">
        <f>IFERROR(__xludf.DUMMYFUNCTION("""COMPUTED_VALUE"""),"Tanveer Tabassum")</f>
        <v>Tanveer Tabassum</v>
      </c>
      <c r="C651" s="10" t="str">
        <f>IFERROR(__xludf.DUMMYFUNCTION("""COMPUTED_VALUE"""),"03017931655")</f>
        <v>03017931655</v>
      </c>
      <c r="D651" s="10" t="str">
        <f>IFERROR(__xludf.DUMMYFUNCTION("""COMPUTED_VALUE"""),"Jamia Masjid D Block Burewala")</f>
        <v>Jamia Masjid D Block Burewala</v>
      </c>
      <c r="E651" s="10" t="str">
        <f>IFERROR(__xludf.DUMMYFUNCTION("""COMPUTED_VALUE"""),"MFVFC")</f>
        <v>MFVFC</v>
      </c>
      <c r="F651" s="10">
        <f>IFERROR(__xludf.DUMMYFUNCTION("""COMPUTED_VALUE"""),495.0)</f>
        <v>495</v>
      </c>
      <c r="G651" s="10">
        <f>IFERROR(__xludf.DUMMYFUNCTION("""COMPUTED_VALUE"""),10.0)</f>
        <v>10</v>
      </c>
      <c r="H651" s="10">
        <f>IFERROR(__xludf.DUMMYFUNCTION("""COMPUTED_VALUE"""),10.0)</f>
        <v>10</v>
      </c>
      <c r="I651" s="10">
        <f>IFERROR(__xludf.DUMMYFUNCTION("""COMPUTED_VALUE"""),0.0)</f>
        <v>0</v>
      </c>
      <c r="J651" s="10"/>
      <c r="K651" s="10"/>
      <c r="L651" s="10"/>
      <c r="M651" s="10">
        <f>IFERROR(__xludf.DUMMYFUNCTION("""COMPUTED_VALUE"""),10.0)</f>
        <v>10</v>
      </c>
      <c r="N651" s="10"/>
      <c r="O651" s="10"/>
      <c r="P651" s="10"/>
      <c r="Q651" s="10"/>
      <c r="R651" s="10"/>
      <c r="S651" s="10"/>
      <c r="T651" s="10"/>
      <c r="U651" s="18" t="str">
        <f>IFERROR(__xludf.DUMMYFUNCTION("""COMPUTED_VALUE"""),"https://drive.google.com/file/d/1JWbJ_rarte4w03mBu6Nk7OkRvvUF0KVT/view?usp=drive_link")</f>
        <v>https://drive.google.com/file/d/1JWbJ_rarte4w03mBu6Nk7OkRvvUF0KVT/view?usp=drive_link</v>
      </c>
      <c r="V651" s="10" t="str">
        <f>IFERROR(__xludf.DUMMYFUNCTION("""COMPUTED_VALUE"""),"NA")</f>
        <v>NA</v>
      </c>
      <c r="W651" s="10"/>
      <c r="X651" s="10"/>
      <c r="Y651" s="14" t="str">
        <f>IFERROR(__xludf.DUMMYFUNCTION("""COMPUTED_VALUE"""),"tanveer.jee41@gmail.com")</f>
        <v>tanveer.jee41@gmail.com</v>
      </c>
      <c r="AA651" s="324"/>
    </row>
    <row r="652" hidden="1">
      <c r="A652" s="9">
        <f>IFERROR(__xludf.DUMMYFUNCTION("""COMPUTED_VALUE"""),45933.29514598379)</f>
        <v>45933.29515</v>
      </c>
      <c r="B652" s="10" t="str">
        <f>IFERROR(__xludf.DUMMYFUNCTION("""COMPUTED_VALUE"""),"tanveer tabassum")</f>
        <v>tanveer tabassum</v>
      </c>
      <c r="C652" s="10" t="str">
        <f>IFERROR(__xludf.DUMMYFUNCTION("""COMPUTED_VALUE"""),"03017931655")</f>
        <v>03017931655</v>
      </c>
      <c r="D652" s="10" t="str">
        <f>IFERROR(__xludf.DUMMYFUNCTION("""COMPUTED_VALUE"""),"jamia masjid gala mandi burewala")</f>
        <v>jamia masjid gala mandi burewala</v>
      </c>
      <c r="E652" s="10" t="str">
        <f>IFERROR(__xludf.DUMMYFUNCTION("""COMPUTED_VALUE"""),"lnpqp")</f>
        <v>lnpqp</v>
      </c>
      <c r="F652" s="10">
        <f>IFERROR(__xludf.DUMMYFUNCTION("""COMPUTED_VALUE"""),987.0)</f>
        <v>987</v>
      </c>
      <c r="G652" s="10">
        <f>IFERROR(__xludf.DUMMYFUNCTION("""COMPUTED_VALUE"""),10.0)</f>
        <v>10</v>
      </c>
      <c r="H652" s="10">
        <f>IFERROR(__xludf.DUMMYFUNCTION("""COMPUTED_VALUE"""),10.0)</f>
        <v>10</v>
      </c>
      <c r="I652" s="10">
        <f>IFERROR(__xludf.DUMMYFUNCTION("""COMPUTED_VALUE"""),0.0)</f>
        <v>0</v>
      </c>
      <c r="J652" s="10"/>
      <c r="K652" s="10"/>
      <c r="L652" s="10"/>
      <c r="M652" s="10">
        <f>IFERROR(__xludf.DUMMYFUNCTION("""COMPUTED_VALUE"""),10.0)</f>
        <v>10</v>
      </c>
      <c r="N652" s="10"/>
      <c r="O652" s="10"/>
      <c r="P652" s="10"/>
      <c r="Q652" s="10"/>
      <c r="R652" s="10"/>
      <c r="S652" s="10"/>
      <c r="T652" s="10"/>
      <c r="U652" s="18" t="str">
        <f>IFERROR(__xludf.DUMMYFUNCTION("""COMPUTED_VALUE"""),"https://drive.google.com/open?id=1L8FLYwtT4JykIVINIVUZose4ujJCIs0C")</f>
        <v>https://drive.google.com/open?id=1L8FLYwtT4JykIVINIVUZose4ujJCIs0C</v>
      </c>
      <c r="V652" s="10" t="str">
        <f>IFERROR(__xludf.DUMMYFUNCTION("""COMPUTED_VALUE"""),"NA")</f>
        <v>NA</v>
      </c>
      <c r="W652" s="10"/>
      <c r="X652" s="10"/>
      <c r="Y652" s="14" t="str">
        <f>IFERROR(__xludf.DUMMYFUNCTION("""COMPUTED_VALUE"""),"tanveer.jee41@gmail.com")</f>
        <v>tanveer.jee41@gmail.com</v>
      </c>
      <c r="AA652" s="324"/>
    </row>
    <row r="653" hidden="1">
      <c r="A653" s="9">
        <f>IFERROR(__xludf.DUMMYFUNCTION("""COMPUTED_VALUE"""),45933.29584490741)</f>
        <v>45933.29584</v>
      </c>
      <c r="B653" s="10" t="str">
        <f>IFERROR(__xludf.DUMMYFUNCTION("""COMPUTED_VALUE"""),"Ali hassan")</f>
        <v>Ali hassan</v>
      </c>
      <c r="C653" s="10" t="str">
        <f>IFERROR(__xludf.DUMMYFUNCTION("""COMPUTED_VALUE"""),"03107494117")</f>
        <v>03107494117</v>
      </c>
      <c r="D653" s="10" t="str">
        <f>IFERROR(__xludf.DUMMYFUNCTION("""COMPUTED_VALUE"""),"Jamia masjid ghalla mandi sahiwal")</f>
        <v>Jamia masjid ghalla mandi sahiwal</v>
      </c>
      <c r="E653" s="10" t="str">
        <f>IFERROR(__xludf.DUMMYFUNCTION("""COMPUTED_VALUE"""),"USAOU")</f>
        <v>USAOU</v>
      </c>
      <c r="F653" s="10">
        <f>IFERROR(__xludf.DUMMYFUNCTION("""COMPUTED_VALUE"""),380.0)</f>
        <v>380</v>
      </c>
      <c r="G653" s="10">
        <f>IFERROR(__xludf.DUMMYFUNCTION("""COMPUTED_VALUE"""),5.0)</f>
        <v>5</v>
      </c>
      <c r="H653" s="10">
        <f>IFERROR(__xludf.DUMMYFUNCTION("""COMPUTED_VALUE"""),5.0)</f>
        <v>5</v>
      </c>
      <c r="I653" s="10">
        <f>IFERROR(__xludf.DUMMYFUNCTION("""COMPUTED_VALUE"""),5.0)</f>
        <v>5</v>
      </c>
      <c r="J653" s="10"/>
      <c r="K653" s="10"/>
      <c r="L653" s="10"/>
      <c r="M653" s="10">
        <f>IFERROR(__xludf.DUMMYFUNCTION("""COMPUTED_VALUE"""),8.0)</f>
        <v>8</v>
      </c>
      <c r="N653" s="10"/>
      <c r="O653" s="10"/>
      <c r="P653" s="10"/>
      <c r="Q653" s="10"/>
      <c r="R653" s="10"/>
      <c r="S653" s="10"/>
      <c r="T653" s="10"/>
      <c r="U653" s="18" t="str">
        <f>IFERROR(__xludf.DUMMYFUNCTION("""COMPUTED_VALUE"""),"https://drive.google.com/file/d/1TGstwvHQM1UaFxwp--tEbCiyzteYNGhI/view?usp=drive_link")</f>
        <v>https://drive.google.com/file/d/1TGstwvHQM1UaFxwp--tEbCiyzteYNGhI/view?usp=drive_link</v>
      </c>
      <c r="V653" s="10"/>
      <c r="W653" s="10"/>
      <c r="X653" s="10"/>
      <c r="Y653" s="14" t="str">
        <f>IFERROR(__xludf.DUMMYFUNCTION("""COMPUTED_VALUE"""),"user3107784965048@gmail.com")</f>
        <v>user3107784965048@gmail.com</v>
      </c>
      <c r="AA653" s="324"/>
    </row>
    <row r="654" hidden="1">
      <c r="A654" s="9">
        <f>IFERROR(__xludf.DUMMYFUNCTION("""COMPUTED_VALUE"""),45933.29984252315)</f>
        <v>45933.29984</v>
      </c>
      <c r="B654" s="10" t="str">
        <f>IFERROR(__xludf.DUMMYFUNCTION("""COMPUTED_VALUE"""),"Naveed Khalid ")</f>
        <v>Naveed Khalid </v>
      </c>
      <c r="C654" s="10" t="str">
        <f>IFERROR(__xludf.DUMMYFUNCTION("""COMPUTED_VALUE"""),"03087944200")</f>
        <v>03087944200</v>
      </c>
      <c r="D654" s="10" t="str">
        <f>IFERROR(__xludf.DUMMYFUNCTION("""COMPUTED_VALUE"""),"Jamia masjid darbar Muhammad ghous bala peer ")</f>
        <v>Jamia masjid darbar Muhammad ghous bala peer </v>
      </c>
      <c r="E654" s="10" t="str">
        <f>IFERROR(__xludf.DUMMYFUNCTION("""COMPUTED_VALUE"""),"VTGKG")</f>
        <v>VTGKG</v>
      </c>
      <c r="F654" s="10">
        <f>IFERROR(__xludf.DUMMYFUNCTION("""COMPUTED_VALUE"""),620.0)</f>
        <v>620</v>
      </c>
      <c r="G654" s="10">
        <f>IFERROR(__xludf.DUMMYFUNCTION("""COMPUTED_VALUE"""),3.0)</f>
        <v>3</v>
      </c>
      <c r="H654" s="10">
        <f>IFERROR(__xludf.DUMMYFUNCTION("""COMPUTED_VALUE"""),4.0)</f>
        <v>4</v>
      </c>
      <c r="I654" s="10">
        <f>IFERROR(__xludf.DUMMYFUNCTION("""COMPUTED_VALUE"""),4.0)</f>
        <v>4</v>
      </c>
      <c r="J654" s="10"/>
      <c r="K654" s="10"/>
      <c r="L654" s="10"/>
      <c r="M654" s="10">
        <f>IFERROR(__xludf.DUMMYFUNCTION("""COMPUTED_VALUE"""),10.0)</f>
        <v>10</v>
      </c>
      <c r="N654" s="10"/>
      <c r="O654" s="10"/>
      <c r="P654" s="10"/>
      <c r="Q654" s="10"/>
      <c r="R654" s="10"/>
      <c r="S654" s="10"/>
      <c r="T654" s="10"/>
      <c r="U654" s="18" t="str">
        <f>IFERROR(__xludf.DUMMYFUNCTION("""COMPUTED_VALUE"""),"https://drive.google.com/open?id=1dVhiLRbE8kj7gG6ZrtxtZPrFJQW7z7CK")</f>
        <v>https://drive.google.com/open?id=1dVhiLRbE8kj7gG6ZrtxtZPrFJQW7z7CK</v>
      </c>
      <c r="V654" s="10"/>
      <c r="W654" s="10"/>
      <c r="X654" s="10"/>
      <c r="Y654" s="14" t="str">
        <f>IFERROR(__xludf.DUMMYFUNCTION("""COMPUTED_VALUE"""),"rulesbreakers52@gmail.com")</f>
        <v>rulesbreakers52@gmail.com</v>
      </c>
      <c r="AA654" s="324"/>
    </row>
    <row r="655" hidden="1">
      <c r="A655" s="9">
        <f>IFERROR(__xludf.DUMMYFUNCTION("""COMPUTED_VALUE"""),45933.30983699074)</f>
        <v>45933.30984</v>
      </c>
      <c r="B655" s="10" t="str">
        <f>IFERROR(__xludf.DUMMYFUNCTION("""COMPUTED_VALUE"""),"Muhammad yahya ")</f>
        <v>Muhammad yahya </v>
      </c>
      <c r="C655" s="10" t="str">
        <f>IFERROR(__xludf.DUMMYFUNCTION("""COMPUTED_VALUE"""),"03027985144")</f>
        <v>03027985144</v>
      </c>
      <c r="D655" s="10" t="str">
        <f>IFERROR(__xludf.DUMMYFUNCTION("""COMPUTED_VALUE"""),"Jamia masjid sohnari gol chakar ")</f>
        <v>Jamia masjid sohnari gol chakar </v>
      </c>
      <c r="E655" s="10" t="str">
        <f>IFERROR(__xludf.DUMMYFUNCTION("""COMPUTED_VALUE"""),"GTJBD")</f>
        <v>GTJBD</v>
      </c>
      <c r="F655" s="10">
        <f>IFERROR(__xludf.DUMMYFUNCTION("""COMPUTED_VALUE"""),3000.0)</f>
        <v>3000</v>
      </c>
      <c r="G655" s="10">
        <f>IFERROR(__xludf.DUMMYFUNCTION("""COMPUTED_VALUE"""),8.0)</f>
        <v>8</v>
      </c>
      <c r="H655" s="10">
        <f>IFERROR(__xludf.DUMMYFUNCTION("""COMPUTED_VALUE"""),8.0)</f>
        <v>8</v>
      </c>
      <c r="I655" s="10">
        <f>IFERROR(__xludf.DUMMYFUNCTION("""COMPUTED_VALUE"""),1.0)</f>
        <v>1</v>
      </c>
      <c r="J655" s="10"/>
      <c r="K655" s="10"/>
      <c r="L655" s="10"/>
      <c r="M655" s="10">
        <f>IFERROR(__xludf.DUMMYFUNCTION("""COMPUTED_VALUE"""),9.0)</f>
        <v>9</v>
      </c>
      <c r="N655" s="10"/>
      <c r="O655" s="10"/>
      <c r="P655" s="10"/>
      <c r="Q655" s="10"/>
      <c r="R655" s="10"/>
      <c r="S655" s="10"/>
      <c r="T655" s="10"/>
      <c r="U655" s="18" t="str">
        <f>IFERROR(__xludf.DUMMYFUNCTION("""COMPUTED_VALUE"""),"https://drive.google.com/open?id=1m9trDQ2cln7oGVlvz1IfKqixlikoZkL3")</f>
        <v>https://drive.google.com/open?id=1m9trDQ2cln7oGVlvz1IfKqixlikoZkL3</v>
      </c>
      <c r="V655" s="10" t="str">
        <f>IFERROR(__xludf.DUMMYFUNCTION("""COMPUTED_VALUE"""),"No")</f>
        <v>No</v>
      </c>
      <c r="W655" s="10"/>
      <c r="X655" s="10"/>
      <c r="Y655" s="14" t="str">
        <f>IFERROR(__xludf.DUMMYFUNCTION("""COMPUTED_VALUE"""),"muhammadyahya@gmail.com")</f>
        <v>muhammadyahya@gmail.com</v>
      </c>
      <c r="AA655" s="324"/>
    </row>
    <row r="656" hidden="1">
      <c r="A656" s="9">
        <f>IFERROR(__xludf.DUMMYFUNCTION("""COMPUTED_VALUE"""),45933.31730630787)</f>
        <v>45933.31731</v>
      </c>
      <c r="B656" s="10" t="str">
        <f>IFERROR(__xludf.DUMMYFUNCTION("""COMPUTED_VALUE"""),"Khalid Farooq ")</f>
        <v>Khalid Farooq </v>
      </c>
      <c r="C656" s="10" t="str">
        <f>IFERROR(__xludf.DUMMYFUNCTION("""COMPUTED_VALUE"""),"03009473484")</f>
        <v>03009473484</v>
      </c>
      <c r="D656" s="10" t="str">
        <f>IFERROR(__xludf.DUMMYFUNCTION("""COMPUTED_VALUE"""),"Jamia masjid ghala mundi arifwala ")</f>
        <v>Jamia masjid ghala mundi arifwala </v>
      </c>
      <c r="E656" s="10" t="str">
        <f>IFERROR(__xludf.DUMMYFUNCTION("""COMPUTED_VALUE"""),"EARRA ")</f>
        <v>EARRA </v>
      </c>
      <c r="F656" s="10">
        <f>IFERROR(__xludf.DUMMYFUNCTION("""COMPUTED_VALUE"""),860.0)</f>
        <v>860</v>
      </c>
      <c r="G656" s="10">
        <f>IFERROR(__xludf.DUMMYFUNCTION("""COMPUTED_VALUE"""),9.0)</f>
        <v>9</v>
      </c>
      <c r="H656" s="10">
        <f>IFERROR(__xludf.DUMMYFUNCTION("""COMPUTED_VALUE"""),9.0)</f>
        <v>9</v>
      </c>
      <c r="I656" s="10">
        <f>IFERROR(__xludf.DUMMYFUNCTION("""COMPUTED_VALUE"""),0.0)</f>
        <v>0</v>
      </c>
      <c r="J656" s="10"/>
      <c r="K656" s="10"/>
      <c r="L656" s="10"/>
      <c r="M656" s="10">
        <f>IFERROR(__xludf.DUMMYFUNCTION("""COMPUTED_VALUE"""),8.0)</f>
        <v>8</v>
      </c>
      <c r="N656" s="10"/>
      <c r="O656" s="10"/>
      <c r="P656" s="10"/>
      <c r="Q656" s="10"/>
      <c r="R656" s="10"/>
      <c r="S656" s="10"/>
      <c r="T656" s="10"/>
      <c r="U656" s="18" t="str">
        <f>IFERROR(__xludf.DUMMYFUNCTION("""COMPUTED_VALUE"""),"https://drive.google.com/open?id=1spRqtGz4oKwDnKrN3anLsU8Q7ejRMEY2")</f>
        <v>https://drive.google.com/open?id=1spRqtGz4oKwDnKrN3anLsU8Q7ejRMEY2</v>
      </c>
      <c r="V656" s="10" t="str">
        <f>IFERROR(__xludf.DUMMYFUNCTION("""COMPUTED_VALUE"""),"No")</f>
        <v>No</v>
      </c>
      <c r="W656" s="10"/>
      <c r="X656" s="10"/>
      <c r="Y656" s="14" t="str">
        <f>IFERROR(__xludf.DUMMYFUNCTION("""COMPUTED_VALUE"""),"khalidfarooqbhatti@gmail.com")</f>
        <v>khalidfarooqbhatti@gmail.com</v>
      </c>
      <c r="AA656" s="324"/>
    </row>
    <row r="657" hidden="1">
      <c r="A657" s="9">
        <f>IFERROR(__xludf.DUMMYFUNCTION("""COMPUTED_VALUE"""),45933.33295321759)</f>
        <v>45933.33295</v>
      </c>
      <c r="B657" s="10" t="str">
        <f>IFERROR(__xludf.DUMMYFUNCTION("""COMPUTED_VALUE"""),"QasimWaseem ")</f>
        <v>QasimWaseem </v>
      </c>
      <c r="C657" s="10" t="str">
        <f>IFERROR(__xludf.DUMMYFUNCTION("""COMPUTED_VALUE"""),"03219627514")</f>
        <v>03219627514</v>
      </c>
      <c r="D657" s="10" t="str">
        <f>IFERROR(__xludf.DUMMYFUNCTION("""COMPUTED_VALUE"""),"Jamia Masjid Abdul Kareem")</f>
        <v>Jamia Masjid Abdul Kareem</v>
      </c>
      <c r="E657" s="10" t="str">
        <f>IFERROR(__xludf.DUMMYFUNCTION("""COMPUTED_VALUE"""),"OGDXP")</f>
        <v>OGDXP</v>
      </c>
      <c r="F657" s="10">
        <f>IFERROR(__xludf.DUMMYFUNCTION("""COMPUTED_VALUE"""),350.0)</f>
        <v>350</v>
      </c>
      <c r="G657" s="10">
        <f>IFERROR(__xludf.DUMMYFUNCTION("""COMPUTED_VALUE"""),6.0)</f>
        <v>6</v>
      </c>
      <c r="H657" s="10">
        <f>IFERROR(__xludf.DUMMYFUNCTION("""COMPUTED_VALUE"""),6.0)</f>
        <v>6</v>
      </c>
      <c r="I657" s="10">
        <f>IFERROR(__xludf.DUMMYFUNCTION("""COMPUTED_VALUE"""),2.0)</f>
        <v>2</v>
      </c>
      <c r="J657" s="10"/>
      <c r="K657" s="10"/>
      <c r="L657" s="10"/>
      <c r="M657" s="10">
        <f>IFERROR(__xludf.DUMMYFUNCTION("""COMPUTED_VALUE"""),7.0)</f>
        <v>7</v>
      </c>
      <c r="N657" s="10"/>
      <c r="O657" s="10"/>
      <c r="P657" s="10"/>
      <c r="Q657" s="10"/>
      <c r="R657" s="10"/>
      <c r="S657" s="10"/>
      <c r="T657" s="10"/>
      <c r="U657" s="18" t="str">
        <f>IFERROR(__xludf.DUMMYFUNCTION("""COMPUTED_VALUE"""),"https://drive.google.com/open?id=18gNKlcgsiUvUnxx2fioN3HBbs5hElBSt")</f>
        <v>https://drive.google.com/open?id=18gNKlcgsiUvUnxx2fioN3HBbs5hElBSt</v>
      </c>
      <c r="V657" s="10" t="str">
        <f>IFERROR(__xludf.DUMMYFUNCTION("""COMPUTED_VALUE"""),"No")</f>
        <v>No</v>
      </c>
      <c r="W657" s="10"/>
      <c r="X657" s="10"/>
      <c r="Y657" s="14" t="str">
        <f>IFERROR(__xludf.DUMMYFUNCTION("""COMPUTED_VALUE"""),"qasimwaseem222@gmail.com")</f>
        <v>qasimwaseem222@gmail.com</v>
      </c>
      <c r="AA657" s="324"/>
    </row>
    <row r="658" hidden="1">
      <c r="A658" s="9">
        <f>IFERROR(__xludf.DUMMYFUNCTION("""COMPUTED_VALUE"""),45933.34856997685)</f>
        <v>45933.34857</v>
      </c>
      <c r="B658" s="10" t="str">
        <f>IFERROR(__xludf.DUMMYFUNCTION("""COMPUTED_VALUE"""),"Muhammed Zeeshan")</f>
        <v>Muhammed Zeeshan</v>
      </c>
      <c r="C658" s="10" t="str">
        <f>IFERROR(__xludf.DUMMYFUNCTION("""COMPUTED_VALUE"""),"03234486723")</f>
        <v>03234486723</v>
      </c>
      <c r="D658" s="10" t="str">
        <f>IFERROR(__xludf.DUMMYFUNCTION("""COMPUTED_VALUE"""),"Jamia Masjid Darbar Dawood Jahaniya")</f>
        <v>Jamia Masjid Darbar Dawood Jahaniya</v>
      </c>
      <c r="E658" s="10" t="str">
        <f>IFERROR(__xludf.DUMMYFUNCTION("""COMPUTED_VALUE"""),"usepk")</f>
        <v>usepk</v>
      </c>
      <c r="F658" s="10">
        <f>IFERROR(__xludf.DUMMYFUNCTION("""COMPUTED_VALUE"""),214.0)</f>
        <v>214</v>
      </c>
      <c r="G658" s="10">
        <f>IFERROR(__xludf.DUMMYFUNCTION("""COMPUTED_VALUE"""),9.0)</f>
        <v>9</v>
      </c>
      <c r="H658" s="10">
        <f>IFERROR(__xludf.DUMMYFUNCTION("""COMPUTED_VALUE"""),9.0)</f>
        <v>9</v>
      </c>
      <c r="I658" s="10">
        <f>IFERROR(__xludf.DUMMYFUNCTION("""COMPUTED_VALUE"""),0.0)</f>
        <v>0</v>
      </c>
      <c r="J658" s="10"/>
      <c r="K658" s="10"/>
      <c r="L658" s="10"/>
      <c r="M658" s="10">
        <f>IFERROR(__xludf.DUMMYFUNCTION("""COMPUTED_VALUE"""),9.0)</f>
        <v>9</v>
      </c>
      <c r="N658" s="10"/>
      <c r="O658" s="10"/>
      <c r="P658" s="10"/>
      <c r="Q658" s="10"/>
      <c r="R658" s="10"/>
      <c r="S658" s="10"/>
      <c r="T658" s="10"/>
      <c r="U658" s="18" t="str">
        <f>IFERROR(__xludf.DUMMYFUNCTION("""COMPUTED_VALUE"""),"https://drive.google.com/file/d/1jTPOACXlXuK4zAiM05k3hggjt9vpSaWV/view?usp=drive_link")</f>
        <v>https://drive.google.com/file/d/1jTPOACXlXuK4zAiM05k3hggjt9vpSaWV/view?usp=drive_link</v>
      </c>
      <c r="V658" s="10"/>
      <c r="W658" s="10"/>
      <c r="X658" s="10"/>
      <c r="Y658" s="14" t="str">
        <f>IFERROR(__xludf.DUMMYFUNCTION("""COMPUTED_VALUE"""),"arminato88@gmail.com")</f>
        <v>arminato88@gmail.com</v>
      </c>
      <c r="AA658" s="324"/>
    </row>
    <row r="659" hidden="1">
      <c r="A659" s="9">
        <f>IFERROR(__xludf.DUMMYFUNCTION("""COMPUTED_VALUE"""),45933.3896409375)</f>
        <v>45933.38964</v>
      </c>
      <c r="B659" s="10" t="str">
        <f>IFERROR(__xludf.DUMMYFUNCTION("""COMPUTED_VALUE"""),"Fakhar Zaman")</f>
        <v>Fakhar Zaman</v>
      </c>
      <c r="C659" s="10" t="str">
        <f>IFERROR(__xludf.DUMMYFUNCTION("""COMPUTED_VALUE"""),"03078567405")</f>
        <v>03078567405</v>
      </c>
      <c r="D659" s="10" t="str">
        <f>IFERROR(__xludf.DUMMYFUNCTION("""COMPUTED_VALUE"""),"jamiya Masjid badru deen Ishaq pakpattan")</f>
        <v>jamiya Masjid badru deen Ishaq pakpattan</v>
      </c>
      <c r="E659" s="10" t="str">
        <f>IFERROR(__xludf.DUMMYFUNCTION("""COMPUTED_VALUE"""),"PTTHF")</f>
        <v>PTTHF</v>
      </c>
      <c r="F659" s="10">
        <f>IFERROR(__xludf.DUMMYFUNCTION("""COMPUTED_VALUE"""),100.0)</f>
        <v>100</v>
      </c>
      <c r="G659" s="10">
        <f>IFERROR(__xludf.DUMMYFUNCTION("""COMPUTED_VALUE"""),10.0)</f>
        <v>10</v>
      </c>
      <c r="H659" s="10">
        <f>IFERROR(__xludf.DUMMYFUNCTION("""COMPUTED_VALUE"""),10.0)</f>
        <v>10</v>
      </c>
      <c r="I659" s="10">
        <f>IFERROR(__xludf.DUMMYFUNCTION("""COMPUTED_VALUE"""),1.0)</f>
        <v>1</v>
      </c>
      <c r="J659" s="10"/>
      <c r="K659" s="10"/>
      <c r="L659" s="10"/>
      <c r="M659" s="10">
        <f>IFERROR(__xludf.DUMMYFUNCTION("""COMPUTED_VALUE"""),10.0)</f>
        <v>10</v>
      </c>
      <c r="N659" s="10"/>
      <c r="O659" s="10"/>
      <c r="P659" s="10"/>
      <c r="Q659" s="10"/>
      <c r="R659" s="10"/>
      <c r="S659" s="10"/>
      <c r="T659" s="10"/>
      <c r="U659" s="18" t="str">
        <f>IFERROR(__xludf.DUMMYFUNCTION("""COMPUTED_VALUE"""),"https://drive.google.com/open?id=1e8JXtMafRFd9CJPIr-PWoxFzNv_o-Q7z")</f>
        <v>https://drive.google.com/open?id=1e8JXtMafRFd9CJPIr-PWoxFzNv_o-Q7z</v>
      </c>
      <c r="V659" s="10"/>
      <c r="W659" s="10"/>
      <c r="X659" s="10"/>
      <c r="Y659" s="14" t="str">
        <f>IFERROR(__xludf.DUMMYFUNCTION("""COMPUTED_VALUE"""),"fakharzaman20170@gmail.com")</f>
        <v>fakharzaman20170@gmail.com</v>
      </c>
      <c r="AA659" s="324"/>
    </row>
    <row r="660" hidden="1">
      <c r="A660" s="9">
        <f>IFERROR(__xludf.DUMMYFUNCTION("""COMPUTED_VALUE"""),45933.405565775465)</f>
        <v>45933.40557</v>
      </c>
      <c r="B660" s="10" t="str">
        <f>IFERROR(__xludf.DUMMYFUNCTION("""COMPUTED_VALUE"""),"Khadam Hussain")</f>
        <v>Khadam Hussain</v>
      </c>
      <c r="C660" s="10" t="str">
        <f>IFERROR(__xludf.DUMMYFUNCTION("""COMPUTED_VALUE"""),"03120064803")</f>
        <v>03120064803</v>
      </c>
      <c r="D660" s="10" t="str">
        <f>IFERROR(__xludf.DUMMYFUNCTION("""COMPUTED_VALUE"""),"Jamiya masjid gala mandi pakpattan")</f>
        <v>Jamiya masjid gala mandi pakpattan</v>
      </c>
      <c r="E660" s="10" t="str">
        <f>IFERROR(__xludf.DUMMYFUNCTION("""COMPUTED_VALUE"""),"LPJZI")</f>
        <v>LPJZI</v>
      </c>
      <c r="F660" s="10">
        <f>IFERROR(__xludf.DUMMYFUNCTION("""COMPUTED_VALUE"""),400.0)</f>
        <v>400</v>
      </c>
      <c r="G660" s="10">
        <f>IFERROR(__xludf.DUMMYFUNCTION("""COMPUTED_VALUE"""),10.0)</f>
        <v>10</v>
      </c>
      <c r="H660" s="10">
        <f>IFERROR(__xludf.DUMMYFUNCTION("""COMPUTED_VALUE"""),10.0)</f>
        <v>10</v>
      </c>
      <c r="I660" s="10">
        <f>IFERROR(__xludf.DUMMYFUNCTION("""COMPUTED_VALUE"""),0.0)</f>
        <v>0</v>
      </c>
      <c r="J660" s="10"/>
      <c r="K660" s="10"/>
      <c r="L660" s="10"/>
      <c r="M660" s="10">
        <f>IFERROR(__xludf.DUMMYFUNCTION("""COMPUTED_VALUE"""),10.0)</f>
        <v>10</v>
      </c>
      <c r="N660" s="10"/>
      <c r="O660" s="10"/>
      <c r="P660" s="10"/>
      <c r="Q660" s="10"/>
      <c r="R660" s="10"/>
      <c r="S660" s="10"/>
      <c r="T660" s="10"/>
      <c r="U660" s="18" t="str">
        <f>IFERROR(__xludf.DUMMYFUNCTION("""COMPUTED_VALUE"""),"https://drive.google.com/open?id=1bvPs8CF4EPObp9lNs_zHfSqof3XTihnX")</f>
        <v>https://drive.google.com/open?id=1bvPs8CF4EPObp9lNs_zHfSqof3XTihnX</v>
      </c>
      <c r="V660" s="10"/>
      <c r="W660" s="10"/>
      <c r="X660" s="10"/>
      <c r="Y660" s="14" t="str">
        <f>IFERROR(__xludf.DUMMYFUNCTION("""COMPUTED_VALUE"""),"fakharzaman20170@gmail.com")</f>
        <v>fakharzaman20170@gmail.com</v>
      </c>
      <c r="AA660" s="324"/>
    </row>
    <row r="661" hidden="1">
      <c r="A661" s="9">
        <f>IFERROR(__xludf.DUMMYFUNCTION("""COMPUTED_VALUE"""),45933.40626157408)</f>
        <v>45933.40626</v>
      </c>
      <c r="B661" s="10" t="str">
        <f>IFERROR(__xludf.DUMMYFUNCTION("""COMPUTED_VALUE"""),"QasimWaseem ")</f>
        <v>QasimWaseem </v>
      </c>
      <c r="C661" s="10" t="str">
        <f>IFERROR(__xludf.DUMMYFUNCTION("""COMPUTED_VALUE"""),"03219627514")</f>
        <v>03219627514</v>
      </c>
      <c r="D661" s="10" t="str">
        <f>IFERROR(__xludf.DUMMYFUNCTION("""COMPUTED_VALUE"""),"Jammia Masjid Eid gah ")</f>
        <v>Jammia Masjid Eid gah </v>
      </c>
      <c r="E661" s="10" t="str">
        <f>IFERROR(__xludf.DUMMYFUNCTION("""COMPUTED_VALUE"""),"BXYXM ")</f>
        <v>BXYXM </v>
      </c>
      <c r="F661" s="10">
        <f>IFERROR(__xludf.DUMMYFUNCTION("""COMPUTED_VALUE"""),500.0)</f>
        <v>500</v>
      </c>
      <c r="G661" s="10">
        <f>IFERROR(__xludf.DUMMYFUNCTION("""COMPUTED_VALUE"""),6.0)</f>
        <v>6</v>
      </c>
      <c r="H661" s="10">
        <f>IFERROR(__xludf.DUMMYFUNCTION("""COMPUTED_VALUE"""),5.0)</f>
        <v>5</v>
      </c>
      <c r="I661" s="10" t="str">
        <f>IFERROR(__xludf.DUMMYFUNCTION("""COMPUTED_VALUE"""),"No")</f>
        <v>No</v>
      </c>
      <c r="J661" s="10"/>
      <c r="K661" s="10"/>
      <c r="L661" s="10"/>
      <c r="M661" s="10">
        <f>IFERROR(__xludf.DUMMYFUNCTION("""COMPUTED_VALUE"""),6.0)</f>
        <v>6</v>
      </c>
      <c r="N661" s="10"/>
      <c r="O661" s="10"/>
      <c r="P661" s="10"/>
      <c r="Q661" s="10"/>
      <c r="R661" s="10"/>
      <c r="S661" s="10"/>
      <c r="T661" s="10"/>
      <c r="U661" s="18" t="str">
        <f>IFERROR(__xludf.DUMMYFUNCTION("""COMPUTED_VALUE"""),"https://drive.google.com/file/d/1PC9t-b3j7TVVhRGQHyOoS97Y4rJRRhDr/view?usp=drive_link")</f>
        <v>https://drive.google.com/file/d/1PC9t-b3j7TVVhRGQHyOoS97Y4rJRRhDr/view?usp=drive_link</v>
      </c>
      <c r="V661" s="10"/>
      <c r="W661" s="10"/>
      <c r="X661" s="10"/>
      <c r="Y661" s="14" t="str">
        <f>IFERROR(__xludf.DUMMYFUNCTION("""COMPUTED_VALUE"""),"qasimwaseem222@gmail.com")</f>
        <v>qasimwaseem222@gmail.com</v>
      </c>
      <c r="AA661" s="324"/>
    </row>
    <row r="662" hidden="1">
      <c r="A662" s="9">
        <f>IFERROR(__xludf.DUMMYFUNCTION("""COMPUTED_VALUE"""),45933.42703935185)</f>
        <v>45933.42704</v>
      </c>
      <c r="B662" s="10" t="str">
        <f>IFERROR(__xludf.DUMMYFUNCTION("""COMPUTED_VALUE"""),"Hafiz muhammad faiz bukhsh")</f>
        <v>Hafiz muhammad faiz bukhsh</v>
      </c>
      <c r="C662" s="10" t="str">
        <f>IFERROR(__xludf.DUMMYFUNCTION("""COMPUTED_VALUE"""),"03068750115")</f>
        <v>03068750115</v>
      </c>
      <c r="D662" s="10" t="str">
        <f>IFERROR(__xludf.DUMMYFUNCTION("""COMPUTED_VALUE"""),"Jamia masjid syed muhammad panah")</f>
        <v>Jamia masjid syed muhammad panah</v>
      </c>
      <c r="E662" s="10" t="str">
        <f>IFERROR(__xludf.DUMMYFUNCTION("""COMPUTED_VALUE"""),"HHWJL")</f>
        <v>HHWJL</v>
      </c>
      <c r="F662" s="10">
        <f>IFERROR(__xludf.DUMMYFUNCTION("""COMPUTED_VALUE"""),395.0)</f>
        <v>395</v>
      </c>
      <c r="G662" s="10">
        <f>IFERROR(__xludf.DUMMYFUNCTION("""COMPUTED_VALUE"""),6.0)</f>
        <v>6</v>
      </c>
      <c r="H662" s="10">
        <f>IFERROR(__xludf.DUMMYFUNCTION("""COMPUTED_VALUE"""),5.0)</f>
        <v>5</v>
      </c>
      <c r="I662" s="10">
        <f>IFERROR(__xludf.DUMMYFUNCTION("""COMPUTED_VALUE"""),2.0)</f>
        <v>2</v>
      </c>
      <c r="J662" s="10"/>
      <c r="K662" s="10"/>
      <c r="L662" s="10"/>
      <c r="M662" s="10">
        <f>IFERROR(__xludf.DUMMYFUNCTION("""COMPUTED_VALUE"""),6.0)</f>
        <v>6</v>
      </c>
      <c r="N662" s="10"/>
      <c r="O662" s="10"/>
      <c r="P662" s="10"/>
      <c r="Q662" s="10"/>
      <c r="R662" s="10"/>
      <c r="S662" s="10"/>
      <c r="T662" s="10"/>
      <c r="U662" s="18" t="str">
        <f>IFERROR(__xludf.DUMMYFUNCTION("""COMPUTED_VALUE"""),"https://drive.google.com/file/d/1LA370gMA7iVg_stKChDlmOWj9JSZ5Ymj/view?usp=drive_link")</f>
        <v>https://drive.google.com/file/d/1LA370gMA7iVg_stKChDlmOWj9JSZ5Ymj/view?usp=drive_link</v>
      </c>
      <c r="V662" s="10" t="str">
        <f>IFERROR(__xludf.DUMMYFUNCTION("""COMPUTED_VALUE"""),"Ni")</f>
        <v>Ni</v>
      </c>
      <c r="W662" s="10"/>
      <c r="X662" s="10"/>
      <c r="Y662" s="14" t="str">
        <f>IFERROR(__xludf.DUMMYFUNCTION("""COMPUTED_VALUE"""),"faiz25022@gamil.com")</f>
        <v>faiz25022@gamil.com</v>
      </c>
      <c r="AA662" s="324"/>
    </row>
    <row r="663" hidden="1">
      <c r="A663" s="9">
        <f>IFERROR(__xludf.DUMMYFUNCTION("""COMPUTED_VALUE"""),45933.461357928245)</f>
        <v>45933.46136</v>
      </c>
      <c r="B663" s="10" t="str">
        <f>IFERROR(__xludf.DUMMYFUNCTION("""COMPUTED_VALUE"""),"Adnan hussain ")</f>
        <v>Adnan hussain </v>
      </c>
      <c r="C663" s="10" t="str">
        <f>IFERROR(__xludf.DUMMYFUNCTION("""COMPUTED_VALUE"""),"03088062094")</f>
        <v>03088062094</v>
      </c>
      <c r="D663" s="10" t="str">
        <f>IFERROR(__xludf.DUMMYFUNCTION("""COMPUTED_VALUE"""),"Jamia masjid c block arifwala ")</f>
        <v>Jamia masjid c block arifwala </v>
      </c>
      <c r="E663" s="10" t="str">
        <f>IFERROR(__xludf.DUMMYFUNCTION("""COMPUTED_VALUE"""),"FSJBU")</f>
        <v>FSJBU</v>
      </c>
      <c r="F663" s="10">
        <f>IFERROR(__xludf.DUMMYFUNCTION("""COMPUTED_VALUE"""),600.0)</f>
        <v>600</v>
      </c>
      <c r="G663" s="10">
        <f>IFERROR(__xludf.DUMMYFUNCTION("""COMPUTED_VALUE"""),9.0)</f>
        <v>9</v>
      </c>
      <c r="H663" s="10">
        <f>IFERROR(__xludf.DUMMYFUNCTION("""COMPUTED_VALUE"""),8.0)</f>
        <v>8</v>
      </c>
      <c r="I663" s="10">
        <f>IFERROR(__xludf.DUMMYFUNCTION("""COMPUTED_VALUE"""),0.0)</f>
        <v>0</v>
      </c>
      <c r="J663" s="10"/>
      <c r="K663" s="10"/>
      <c r="L663" s="10"/>
      <c r="M663" s="10">
        <f>IFERROR(__xludf.DUMMYFUNCTION("""COMPUTED_VALUE"""),9.0)</f>
        <v>9</v>
      </c>
      <c r="N663" s="10"/>
      <c r="O663" s="10"/>
      <c r="P663" s="10"/>
      <c r="Q663" s="10"/>
      <c r="R663" s="10"/>
      <c r="S663" s="10"/>
      <c r="T663" s="10"/>
      <c r="U663" s="18" t="str">
        <f>IFERROR(__xludf.DUMMYFUNCTION("""COMPUTED_VALUE"""),"https://drive.google.com/open?id=1HRSsQOoaFKIKuc3pLqG7u-NJgtyL9FB2")</f>
        <v>https://drive.google.com/open?id=1HRSsQOoaFKIKuc3pLqG7u-NJgtyL9FB2</v>
      </c>
      <c r="V663" s="10" t="str">
        <f>IFERROR(__xludf.DUMMYFUNCTION("""COMPUTED_VALUE"""),"No")</f>
        <v>No</v>
      </c>
      <c r="W663" s="10"/>
      <c r="X663" s="10"/>
      <c r="Y663" s="14" t="str">
        <f>IFERROR(__xludf.DUMMYFUNCTION("""COMPUTED_VALUE"""),"khalidfarooqbhatti@gmail.com")</f>
        <v>khalidfarooqbhatti@gmail.com</v>
      </c>
      <c r="AA663" s="324"/>
    </row>
    <row r="664" hidden="1">
      <c r="A664" s="9">
        <f>IFERROR(__xludf.DUMMYFUNCTION("""COMPUTED_VALUE"""),45933.49193413195)</f>
        <v>45933.49193</v>
      </c>
      <c r="B664" s="10" t="str">
        <f>IFERROR(__xludf.DUMMYFUNCTION("""COMPUTED_VALUE"""),"Rizwan Ali")</f>
        <v>Rizwan Ali</v>
      </c>
      <c r="C664" s="10" t="str">
        <f>IFERROR(__xludf.DUMMYFUNCTION("""COMPUTED_VALUE"""),"03430773443")</f>
        <v>03430773443</v>
      </c>
      <c r="D664" s="10" t="str">
        <f>IFERROR(__xludf.DUMMYFUNCTION("""COMPUTED_VALUE"""),"Noorul masjid")</f>
        <v>Noorul masjid</v>
      </c>
      <c r="E664" s="10" t="str">
        <f>IFERROR(__xludf.DUMMYFUNCTION("""COMPUTED_VALUE"""),"IFVQA")</f>
        <v>IFVQA</v>
      </c>
      <c r="F664" s="10">
        <f>IFERROR(__xludf.DUMMYFUNCTION("""COMPUTED_VALUE"""),1400.0)</f>
        <v>1400</v>
      </c>
      <c r="G664" s="10">
        <f>IFERROR(__xludf.DUMMYFUNCTION("""COMPUTED_VALUE"""),9.0)</f>
        <v>9</v>
      </c>
      <c r="H664" s="10">
        <f>IFERROR(__xludf.DUMMYFUNCTION("""COMPUTED_VALUE"""),9.0)</f>
        <v>9</v>
      </c>
      <c r="I664" s="10">
        <f>IFERROR(__xludf.DUMMYFUNCTION("""COMPUTED_VALUE"""),0.0)</f>
        <v>0</v>
      </c>
      <c r="J664" s="10"/>
      <c r="K664" s="10"/>
      <c r="L664" s="10"/>
      <c r="M664" s="10">
        <f>IFERROR(__xludf.DUMMYFUNCTION("""COMPUTED_VALUE"""),9.0)</f>
        <v>9</v>
      </c>
      <c r="N664" s="10"/>
      <c r="O664" s="10"/>
      <c r="P664" s="10"/>
      <c r="Q664" s="10"/>
      <c r="R664" s="10"/>
      <c r="S664" s="10"/>
      <c r="T664" s="10"/>
      <c r="U664" s="18" t="str">
        <f>IFERROR(__xludf.DUMMYFUNCTION("""COMPUTED_VALUE"""),"https://drive.google.com/file/d/1q5fGIBPN4Ub6QFnlkfsJLexcm5nL_TR0/view?usp=drive_link")</f>
        <v>https://drive.google.com/file/d/1q5fGIBPN4Ub6QFnlkfsJLexcm5nL_TR0/view?usp=drive_link</v>
      </c>
      <c r="V664" s="10"/>
      <c r="W664" s="10"/>
      <c r="X664" s="10"/>
      <c r="Y664" s="14" t="str">
        <f>IFERROR(__xludf.DUMMYFUNCTION("""COMPUTED_VALUE"""),"rizwanali6642@gmail.com")</f>
        <v>rizwanali6642@gmail.com</v>
      </c>
      <c r="AA664" s="324"/>
    </row>
    <row r="665" hidden="1">
      <c r="A665" s="9">
        <f>IFERROR(__xludf.DUMMYFUNCTION("""COMPUTED_VALUE"""),45934.40420351852)</f>
        <v>45934.4042</v>
      </c>
      <c r="B665" s="10" t="str">
        <f>IFERROR(__xludf.DUMMYFUNCTION("""COMPUTED_VALUE"""),"Muhammad Asad")</f>
        <v>Muhammad Asad</v>
      </c>
      <c r="C665" s="10" t="str">
        <f>IFERROR(__xludf.DUMMYFUNCTION("""COMPUTED_VALUE"""),"03230010051")</f>
        <v>03230010051</v>
      </c>
      <c r="D665" s="10" t="str">
        <f>IFERROR(__xludf.DUMMYFUNCTION("""COMPUTED_VALUE"""),"Jamia Masjid Naale wali lodhran ")</f>
        <v>Jamia Masjid Naale wali lodhran </v>
      </c>
      <c r="E665" s="10" t="str">
        <f>IFERROR(__xludf.DUMMYFUNCTION("""COMPUTED_VALUE"""),"xdbpy")</f>
        <v>xdbpy</v>
      </c>
      <c r="F665" s="10">
        <f>IFERROR(__xludf.DUMMYFUNCTION("""COMPUTED_VALUE"""),178.0)</f>
        <v>178</v>
      </c>
      <c r="G665" s="10">
        <f>IFERROR(__xludf.DUMMYFUNCTION("""COMPUTED_VALUE"""),8.0)</f>
        <v>8</v>
      </c>
      <c r="H665" s="10">
        <f>IFERROR(__xludf.DUMMYFUNCTION("""COMPUTED_VALUE"""),8.0)</f>
        <v>8</v>
      </c>
      <c r="I665" s="10">
        <f>IFERROR(__xludf.DUMMYFUNCTION("""COMPUTED_VALUE"""),2.0)</f>
        <v>2</v>
      </c>
      <c r="J665" s="10"/>
      <c r="K665" s="10"/>
      <c r="L665" s="10"/>
      <c r="M665" s="10">
        <f>IFERROR(__xludf.DUMMYFUNCTION("""COMPUTED_VALUE"""),8.0)</f>
        <v>8</v>
      </c>
      <c r="N665" s="10"/>
      <c r="O665" s="10"/>
      <c r="P665" s="10"/>
      <c r="Q665" s="10"/>
      <c r="R665" s="10"/>
      <c r="S665" s="10"/>
      <c r="T665" s="10"/>
      <c r="U665" s="18" t="str">
        <f>IFERROR(__xludf.DUMMYFUNCTION("""COMPUTED_VALUE"""),"https://drive.google.com/file/d/18s2h4NgOiFnFuYjwz5LGaBI9ffe5vSfb/view?usp=drive_link")</f>
        <v>https://drive.google.com/file/d/18s2h4NgOiFnFuYjwz5LGaBI9ffe5vSfb/view?usp=drive_link</v>
      </c>
      <c r="V665" s="10"/>
      <c r="W665" s="10"/>
      <c r="X665" s="10"/>
      <c r="Y665" s="14" t="str">
        <f>IFERROR(__xludf.DUMMYFUNCTION("""COMPUTED_VALUE"""),"meharnalayen705@gmail.com")</f>
        <v>meharnalayen705@gmail.com</v>
      </c>
      <c r="AA665" s="324"/>
    </row>
    <row r="666" hidden="1">
      <c r="A666" s="9">
        <f>IFERROR(__xludf.DUMMYFUNCTION("""COMPUTED_VALUE"""),45935.05720386574)</f>
        <v>45935.0572</v>
      </c>
      <c r="B666" s="10" t="str">
        <f>IFERROR(__xludf.DUMMYFUNCTION("""COMPUTED_VALUE"""),"Meeran Bakhah ")</f>
        <v>Meeran Bakhah </v>
      </c>
      <c r="C666" s="10" t="str">
        <f>IFERROR(__xludf.DUMMYFUNCTION("""COMPUTED_VALUE"""),"03007737670")</f>
        <v>03007737670</v>
      </c>
      <c r="D666" s="10" t="str">
        <f>IFERROR(__xludf.DUMMYFUNCTION("""COMPUTED_VALUE"""),"Jamia masjid Fateh shah bukhari")</f>
        <v>Jamia masjid Fateh shah bukhari</v>
      </c>
      <c r="E666" s="10" t="str">
        <f>IFERROR(__xludf.DUMMYFUNCTION("""COMPUTED_VALUE"""),"XKTYP")</f>
        <v>XKTYP</v>
      </c>
      <c r="F666" s="10">
        <f>IFERROR(__xludf.DUMMYFUNCTION("""COMPUTED_VALUE"""),400.0)</f>
        <v>400</v>
      </c>
      <c r="G666" s="10">
        <f>IFERROR(__xludf.DUMMYFUNCTION("""COMPUTED_VALUE"""),10.0)</f>
        <v>10</v>
      </c>
      <c r="H666" s="10">
        <f>IFERROR(__xludf.DUMMYFUNCTION("""COMPUTED_VALUE"""),9.0)</f>
        <v>9</v>
      </c>
      <c r="I666" s="10">
        <f>IFERROR(__xludf.DUMMYFUNCTION("""COMPUTED_VALUE"""),0.0)</f>
        <v>0</v>
      </c>
      <c r="J666" s="10"/>
      <c r="K666" s="10"/>
      <c r="L666" s="10"/>
      <c r="M666" s="10">
        <f>IFERROR(__xludf.DUMMYFUNCTION("""COMPUTED_VALUE"""),10.0)</f>
        <v>10</v>
      </c>
      <c r="N666" s="10"/>
      <c r="O666" s="10"/>
      <c r="P666" s="10"/>
      <c r="Q666" s="10"/>
      <c r="R666" s="10"/>
      <c r="S666" s="10"/>
      <c r="T666" s="10"/>
      <c r="U666" s="18" t="str">
        <f>IFERROR(__xludf.DUMMYFUNCTION("""COMPUTED_VALUE"""),"https://drive.google.com/open?id=1Wx3JnfT_w2Atl1YQHbRzPI4BR0l_U-7d")</f>
        <v>https://drive.google.com/open?id=1Wx3JnfT_w2Atl1YQHbRzPI4BR0l_U-7d</v>
      </c>
      <c r="V666" s="10"/>
      <c r="W666" s="10"/>
      <c r="X666" s="10"/>
      <c r="Y666" s="14" t="str">
        <f>IFERROR(__xludf.DUMMYFUNCTION("""COMPUTED_VALUE"""),"meeranbakash@gmail.com")</f>
        <v>meeranbakash@gmail.com</v>
      </c>
      <c r="AA666" s="324"/>
    </row>
    <row r="667" hidden="1">
      <c r="A667" s="9">
        <f>IFERROR(__xludf.DUMMYFUNCTION("""COMPUTED_VALUE"""),45935.20720887731)</f>
        <v>45935.20721</v>
      </c>
      <c r="B667" s="10" t="str">
        <f>IFERROR(__xludf.DUMMYFUNCTION("""COMPUTED_VALUE"""),"Mubashir ")</f>
        <v>Mubashir </v>
      </c>
      <c r="C667" s="10" t="str">
        <f>IFERROR(__xludf.DUMMYFUNCTION("""COMPUTED_VALUE"""),"03029027400")</f>
        <v>03029027400</v>
      </c>
      <c r="D667" s="10" t="str">
        <f>IFERROR(__xludf.DUMMYFUNCTION("""COMPUTED_VALUE"""),"Jamia masjid sheikh fazal")</f>
        <v>Jamia masjid sheikh fazal</v>
      </c>
      <c r="E667" s="10" t="str">
        <f>IFERROR(__xludf.DUMMYFUNCTION("""COMPUTED_VALUE"""),"MJOUE")</f>
        <v>MJOUE</v>
      </c>
      <c r="F667" s="10">
        <f>IFERROR(__xludf.DUMMYFUNCTION("""COMPUTED_VALUE"""),160.0)</f>
        <v>160</v>
      </c>
      <c r="G667" s="10">
        <f>IFERROR(__xludf.DUMMYFUNCTION("""COMPUTED_VALUE"""),8.0)</f>
        <v>8</v>
      </c>
      <c r="H667" s="10">
        <f>IFERROR(__xludf.DUMMYFUNCTION("""COMPUTED_VALUE"""),9.0)</f>
        <v>9</v>
      </c>
      <c r="I667" s="10">
        <f>IFERROR(__xludf.DUMMYFUNCTION("""COMPUTED_VALUE"""),0.0)</f>
        <v>0</v>
      </c>
      <c r="J667" s="10"/>
      <c r="K667" s="10"/>
      <c r="L667" s="10"/>
      <c r="M667" s="10">
        <f>IFERROR(__xludf.DUMMYFUNCTION("""COMPUTED_VALUE"""),9.0)</f>
        <v>9</v>
      </c>
      <c r="N667" s="10"/>
      <c r="O667" s="10"/>
      <c r="P667" s="10"/>
      <c r="Q667" s="10"/>
      <c r="R667" s="10"/>
      <c r="S667" s="10"/>
      <c r="T667" s="10"/>
      <c r="U667" s="18" t="str">
        <f>IFERROR(__xludf.DUMMYFUNCTION("""COMPUTED_VALUE"""),"https://drive.google.com/open?id=1jjsBawf8yhaXgOGO1w3znowMIk9FPTGm")</f>
        <v>https://drive.google.com/open?id=1jjsBawf8yhaXgOGO1w3znowMIk9FPTGm</v>
      </c>
      <c r="V667" s="10"/>
      <c r="W667" s="10"/>
      <c r="X667" s="10"/>
      <c r="Y667" s="14" t="str">
        <f>IFERROR(__xludf.DUMMYFUNCTION("""COMPUTED_VALUE"""),"rajamubashar381@gmail.com")</f>
        <v>rajamubashar381@gmail.com</v>
      </c>
      <c r="AA667" s="324"/>
    </row>
    <row r="668" hidden="1">
      <c r="A668" s="9">
        <f>IFERROR(__xludf.DUMMYFUNCTION("""COMPUTED_VALUE"""),45935.28971827547)</f>
        <v>45935.28972</v>
      </c>
      <c r="B668" s="10" t="str">
        <f>IFERROR(__xludf.DUMMYFUNCTION("""COMPUTED_VALUE"""),"Muhammed Tayyab")</f>
        <v>Muhammed Tayyab</v>
      </c>
      <c r="C668" s="10" t="str">
        <f>IFERROR(__xludf.DUMMYFUNCTION("""COMPUTED_VALUE"""),"03240015848")</f>
        <v>03240015848</v>
      </c>
      <c r="D668" s="10" t="str">
        <f>IFERROR(__xludf.DUMMYFUNCTION("""COMPUTED_VALUE"""),"Jamia masjid peer ismail multan")</f>
        <v>Jamia masjid peer ismail multan</v>
      </c>
      <c r="E668" s="10" t="str">
        <f>IFERROR(__xludf.DUMMYFUNCTION("""COMPUTED_VALUE"""),"dyrjs")</f>
        <v>dyrjs</v>
      </c>
      <c r="F668" s="10">
        <f>IFERROR(__xludf.DUMMYFUNCTION("""COMPUTED_VALUE"""),198.0)</f>
        <v>198</v>
      </c>
      <c r="G668" s="10">
        <f>IFERROR(__xludf.DUMMYFUNCTION("""COMPUTED_VALUE"""),9.0)</f>
        <v>9</v>
      </c>
      <c r="H668" s="10">
        <f>IFERROR(__xludf.DUMMYFUNCTION("""COMPUTED_VALUE"""),9.0)</f>
        <v>9</v>
      </c>
      <c r="I668" s="10">
        <f>IFERROR(__xludf.DUMMYFUNCTION("""COMPUTED_VALUE"""),0.0)</f>
        <v>0</v>
      </c>
      <c r="J668" s="10"/>
      <c r="K668" s="10"/>
      <c r="L668" s="10"/>
      <c r="M668" s="10">
        <f>IFERROR(__xludf.DUMMYFUNCTION("""COMPUTED_VALUE"""),9.0)</f>
        <v>9</v>
      </c>
      <c r="N668" s="10"/>
      <c r="O668" s="10"/>
      <c r="P668" s="10"/>
      <c r="Q668" s="10"/>
      <c r="R668" s="10"/>
      <c r="S668" s="10"/>
      <c r="T668" s="10"/>
      <c r="U668" s="18" t="str">
        <f>IFERROR(__xludf.DUMMYFUNCTION("""COMPUTED_VALUE"""),"https://drive.google.com/file/d/1vVMDf1ys3OhW--U0r1HPLBa_5CIj1VU8/view?usp=drive_link")</f>
        <v>https://drive.google.com/file/d/1vVMDf1ys3OhW--U0r1HPLBa_5CIj1VU8/view?usp=drive_link</v>
      </c>
      <c r="V668" s="10"/>
      <c r="W668" s="10"/>
      <c r="X668" s="10"/>
      <c r="Y668" s="14" t="str">
        <f>IFERROR(__xludf.DUMMYFUNCTION("""COMPUTED_VALUE"""),"ayesh.imran78@gmail.com")</f>
        <v>ayesh.imran78@gmail.com</v>
      </c>
      <c r="AA668" s="324"/>
    </row>
    <row r="669" hidden="1">
      <c r="A669" s="9">
        <f>IFERROR(__xludf.DUMMYFUNCTION("""COMPUTED_VALUE"""),45935.52901827546)</f>
        <v>45935.52902</v>
      </c>
      <c r="B669" s="10" t="str">
        <f>IFERROR(__xludf.DUMMYFUNCTION("""COMPUTED_VALUE"""),"Said Faisal")</f>
        <v>Said Faisal</v>
      </c>
      <c r="C669" s="10" t="str">
        <f>IFERROR(__xludf.DUMMYFUNCTION("""COMPUTED_VALUE"""),"03007737670")</f>
        <v>03007737670</v>
      </c>
      <c r="D669" s="10" t="str">
        <f>IFERROR(__xludf.DUMMYFUNCTION("""COMPUTED_VALUE"""),"Jamia masjid Fateh  shah bukhari")</f>
        <v>Jamia masjid Fateh  shah bukhari</v>
      </c>
      <c r="E669" s="10" t="str">
        <f>IFERROR(__xludf.DUMMYFUNCTION("""COMPUTED_VALUE"""),"NDPFG ")</f>
        <v>NDPFG </v>
      </c>
      <c r="F669" s="10">
        <f>IFERROR(__xludf.DUMMYFUNCTION("""COMPUTED_VALUE"""),400.0)</f>
        <v>400</v>
      </c>
      <c r="G669" s="10">
        <f>IFERROR(__xludf.DUMMYFUNCTION("""COMPUTED_VALUE"""),10.0)</f>
        <v>10</v>
      </c>
      <c r="H669" s="10">
        <f>IFERROR(__xludf.DUMMYFUNCTION("""COMPUTED_VALUE"""),9.0)</f>
        <v>9</v>
      </c>
      <c r="I669" s="10">
        <f>IFERROR(__xludf.DUMMYFUNCTION("""COMPUTED_VALUE"""),0.0)</f>
        <v>0</v>
      </c>
      <c r="J669" s="10"/>
      <c r="K669" s="10"/>
      <c r="L669" s="10"/>
      <c r="M669" s="10">
        <f>IFERROR(__xludf.DUMMYFUNCTION("""COMPUTED_VALUE"""),10.0)</f>
        <v>10</v>
      </c>
      <c r="N669" s="10"/>
      <c r="O669" s="10"/>
      <c r="P669" s="10"/>
      <c r="Q669" s="10"/>
      <c r="R669" s="10"/>
      <c r="S669" s="10"/>
      <c r="T669" s="10"/>
      <c r="U669" s="18" t="str">
        <f>IFERROR(__xludf.DUMMYFUNCTION("""COMPUTED_VALUE"""),"https://drive.google.com/open?id=1ihbnX0FChZEEy4mVq8FVO8X9z5cLGX8G")</f>
        <v>https://drive.google.com/open?id=1ihbnX0FChZEEy4mVq8FVO8X9z5cLGX8G</v>
      </c>
      <c r="V669" s="10"/>
      <c r="W669" s="10"/>
      <c r="X669" s="10"/>
      <c r="Y669" s="14" t="str">
        <f>IFERROR(__xludf.DUMMYFUNCTION("""COMPUTED_VALUE"""),"saudfaisal09@gmail.com")</f>
        <v>saudfaisal09@gmail.com</v>
      </c>
      <c r="AA669" s="324"/>
    </row>
    <row r="670" hidden="1">
      <c r="A670" s="9">
        <f>IFERROR(__xludf.DUMMYFUNCTION("""COMPUTED_VALUE"""),45936.21708671296)</f>
        <v>45936.21709</v>
      </c>
      <c r="B670" s="10" t="str">
        <f>IFERROR(__xludf.DUMMYFUNCTION("""COMPUTED_VALUE"""),"Tahir khan")</f>
        <v>Tahir khan</v>
      </c>
      <c r="C670" s="10" t="str">
        <f>IFERROR(__xludf.DUMMYFUNCTION("""COMPUTED_VALUE"""),"03470617767")</f>
        <v>03470617767</v>
      </c>
      <c r="D670" s="10" t="str">
        <f>IFERROR(__xludf.DUMMYFUNCTION("""COMPUTED_VALUE"""),"Chila gha shair shah wali")</f>
        <v>Chila gha shair shah wali</v>
      </c>
      <c r="E670" s="10" t="str">
        <f>IFERROR(__xludf.DUMMYFUNCTION("""COMPUTED_VALUE"""),"IBTRF")</f>
        <v>IBTRF</v>
      </c>
      <c r="F670" s="10">
        <f>IFERROR(__xludf.DUMMYFUNCTION("""COMPUTED_VALUE"""),550.0)</f>
        <v>550</v>
      </c>
      <c r="G670" s="10">
        <f>IFERROR(__xludf.DUMMYFUNCTION("""COMPUTED_VALUE"""),10.0)</f>
        <v>10</v>
      </c>
      <c r="H670" s="10">
        <f>IFERROR(__xludf.DUMMYFUNCTION("""COMPUTED_VALUE"""),10.0)</f>
        <v>10</v>
      </c>
      <c r="I670" s="10">
        <f>IFERROR(__xludf.DUMMYFUNCTION("""COMPUTED_VALUE"""),2.0)</f>
        <v>2</v>
      </c>
      <c r="J670" s="10"/>
      <c r="K670" s="10"/>
      <c r="L670" s="10"/>
      <c r="M670" s="10">
        <f>IFERROR(__xludf.DUMMYFUNCTION("""COMPUTED_VALUE"""),10.0)</f>
        <v>10</v>
      </c>
      <c r="N670" s="10"/>
      <c r="O670" s="10"/>
      <c r="P670" s="10"/>
      <c r="Q670" s="10"/>
      <c r="R670" s="10"/>
      <c r="S670" s="10"/>
      <c r="T670" s="10"/>
      <c r="U670" s="18" t="str">
        <f>IFERROR(__xludf.DUMMYFUNCTION("""COMPUTED_VALUE"""),"https://drive.google.com/file/d/1O5BgxIC_pJtrOa32O6U_NYGapHjhZIjO/view?usp=drive_link")</f>
        <v>https://drive.google.com/file/d/1O5BgxIC_pJtrOa32O6U_NYGapHjhZIjO/view?usp=drive_link</v>
      </c>
      <c r="V670" s="10" t="str">
        <f>IFERROR(__xludf.DUMMYFUNCTION("""COMPUTED_VALUE"""),"Ni")</f>
        <v>Ni</v>
      </c>
      <c r="W670" s="10"/>
      <c r="X670" s="10"/>
      <c r="Y670" s="14" t="str">
        <f>IFERROR(__xludf.DUMMYFUNCTION("""COMPUTED_VALUE"""),"Mtahirkhan1122@gmail.com")</f>
        <v>Mtahirkhan1122@gmail.com</v>
      </c>
      <c r="AA670" s="324"/>
    </row>
    <row r="671" hidden="1">
      <c r="A671" s="9">
        <f>IFERROR(__xludf.DUMMYFUNCTION("""COMPUTED_VALUE"""),45938.24302199074)</f>
        <v>45938.24302</v>
      </c>
      <c r="B671" s="10" t="str">
        <f>IFERROR(__xludf.DUMMYFUNCTION("""COMPUTED_VALUE"""),"Meeran Bakhah ")</f>
        <v>Meeran Bakhah </v>
      </c>
      <c r="C671" s="10" t="str">
        <f>IFERROR(__xludf.DUMMYFUNCTION("""COMPUTED_VALUE"""),"03146539545")</f>
        <v>03146539545</v>
      </c>
      <c r="D671" s="10" t="str">
        <f>IFERROR(__xludf.DUMMYFUNCTION("""COMPUTED_VALUE"""),"Jamia masjid Fateh shah bukhari")</f>
        <v>Jamia masjid Fateh shah bukhari</v>
      </c>
      <c r="E671" s="10" t="str">
        <f>IFERROR(__xludf.DUMMYFUNCTION("""COMPUTED_VALUE"""),"XKTYP")</f>
        <v>XKTYP</v>
      </c>
      <c r="F671" s="10">
        <f>IFERROR(__xludf.DUMMYFUNCTION("""COMPUTED_VALUE"""),450.0)</f>
        <v>450</v>
      </c>
      <c r="G671" s="10">
        <f>IFERROR(__xludf.DUMMYFUNCTION("""COMPUTED_VALUE"""),9.0)</f>
        <v>9</v>
      </c>
      <c r="H671" s="10">
        <f>IFERROR(__xludf.DUMMYFUNCTION("""COMPUTED_VALUE"""),10.0)</f>
        <v>10</v>
      </c>
      <c r="I671" s="10">
        <f>IFERROR(__xludf.DUMMYFUNCTION("""COMPUTED_VALUE"""),0.0)</f>
        <v>0</v>
      </c>
      <c r="J671" s="10"/>
      <c r="K671" s="10"/>
      <c r="L671" s="10"/>
      <c r="M671" s="10">
        <f>IFERROR(__xludf.DUMMYFUNCTION("""COMPUTED_VALUE"""),10.0)</f>
        <v>10</v>
      </c>
      <c r="N671" s="10"/>
      <c r="O671" s="10"/>
      <c r="P671" s="10"/>
      <c r="Q671" s="10"/>
      <c r="R671" s="10"/>
      <c r="S671" s="10"/>
      <c r="T671" s="10"/>
      <c r="U671" s="18" t="str">
        <f>IFERROR(__xludf.DUMMYFUNCTION("""COMPUTED_VALUE"""),"https://drive.google.com/open?id=1Sqnjg21D-ufacSNIbkhOwMiLuHF7cIuf")</f>
        <v>https://drive.google.com/open?id=1Sqnjg21D-ufacSNIbkhOwMiLuHF7cIuf</v>
      </c>
      <c r="V671" s="10"/>
      <c r="W671" s="10"/>
      <c r="X671" s="10"/>
      <c r="Y671" s="14" t="str">
        <f>IFERROR(__xludf.DUMMYFUNCTION("""COMPUTED_VALUE"""),"meeranbakash@gmail.com")</f>
        <v>meeranbakash@gmail.com</v>
      </c>
      <c r="AA671" s="324"/>
    </row>
    <row r="672" hidden="1">
      <c r="A672" s="9">
        <f>IFERROR(__xludf.DUMMYFUNCTION("""COMPUTED_VALUE"""),45940.203581828704)</f>
        <v>45940.20358</v>
      </c>
      <c r="B672" s="10" t="str">
        <f>IFERROR(__xludf.DUMMYFUNCTION("""COMPUTED_VALUE"""),"Khalid Farooq ")</f>
        <v>Khalid Farooq </v>
      </c>
      <c r="C672" s="10" t="str">
        <f>IFERROR(__xludf.DUMMYFUNCTION("""COMPUTED_VALUE"""),"03009473484")</f>
        <v>03009473484</v>
      </c>
      <c r="D672" s="10" t="str">
        <f>IFERROR(__xludf.DUMMYFUNCTION("""COMPUTED_VALUE"""),"Jamia masjid ghala mandi arifwala ")</f>
        <v>Jamia masjid ghala mandi arifwala </v>
      </c>
      <c r="E672" s="10" t="str">
        <f>IFERROR(__xludf.DUMMYFUNCTION("""COMPUTED_VALUE"""),"EARRA")</f>
        <v>EARRA</v>
      </c>
      <c r="F672" s="10">
        <f>IFERROR(__xludf.DUMMYFUNCTION("""COMPUTED_VALUE"""),955.0)</f>
        <v>955</v>
      </c>
      <c r="G672" s="10">
        <f>IFERROR(__xludf.DUMMYFUNCTION("""COMPUTED_VALUE"""),6.0)</f>
        <v>6</v>
      </c>
      <c r="H672" s="10">
        <f>IFERROR(__xludf.DUMMYFUNCTION("""COMPUTED_VALUE"""),6.0)</f>
        <v>6</v>
      </c>
      <c r="I672" s="10">
        <f>IFERROR(__xludf.DUMMYFUNCTION("""COMPUTED_VALUE"""),1.0)</f>
        <v>1</v>
      </c>
      <c r="J672" s="10"/>
      <c r="K672" s="10"/>
      <c r="L672" s="10"/>
      <c r="M672" s="10">
        <f>IFERROR(__xludf.DUMMYFUNCTION("""COMPUTED_VALUE"""),8.0)</f>
        <v>8</v>
      </c>
      <c r="N672" s="10"/>
      <c r="O672" s="10"/>
      <c r="P672" s="10"/>
      <c r="Q672" s="10"/>
      <c r="R672" s="10"/>
      <c r="S672" s="10"/>
      <c r="T672" s="10"/>
      <c r="U672" s="18" t="str">
        <f>IFERROR(__xludf.DUMMYFUNCTION("""COMPUTED_VALUE"""),"https://drive.google.com/open?id=1oE4K6_3zm-7r4uEevQGQpIAjsCamBPJp")</f>
        <v>https://drive.google.com/open?id=1oE4K6_3zm-7r4uEevQGQpIAjsCamBPJp</v>
      </c>
      <c r="V672" s="10" t="str">
        <f>IFERROR(__xludf.DUMMYFUNCTION("""COMPUTED_VALUE"""),"No")</f>
        <v>No</v>
      </c>
      <c r="W672" s="10"/>
      <c r="X672" s="10"/>
      <c r="Y672" s="14" t="str">
        <f>IFERROR(__xludf.DUMMYFUNCTION("""COMPUTED_VALUE"""),"khalidfarooqbhatti@gmail.com")</f>
        <v>khalidfarooqbhatti@gmail.com</v>
      </c>
      <c r="AA672" s="324"/>
    </row>
    <row r="673" hidden="1">
      <c r="A673" s="9">
        <f>IFERROR(__xludf.DUMMYFUNCTION("""COMPUTED_VALUE"""),45940.238821736115)</f>
        <v>45940.23882</v>
      </c>
      <c r="B673" s="10" t="str">
        <f>IFERROR(__xludf.DUMMYFUNCTION("""COMPUTED_VALUE"""),"Abubakar ")</f>
        <v>Abubakar </v>
      </c>
      <c r="C673" s="10" t="str">
        <f>IFERROR(__xludf.DUMMYFUNCTION("""COMPUTED_VALUE"""),"03111204919")</f>
        <v>03111204919</v>
      </c>
      <c r="D673" s="10" t="str">
        <f>IFERROR(__xludf.DUMMYFUNCTION("""COMPUTED_VALUE"""),"Jamiya masjid usmaneya ")</f>
        <v>Jamiya masjid usmaneya </v>
      </c>
      <c r="E673" s="10" t="str">
        <f>IFERROR(__xludf.DUMMYFUNCTION("""COMPUTED_VALUE"""),"KGQJV")</f>
        <v>KGQJV</v>
      </c>
      <c r="F673" s="10">
        <f>IFERROR(__xludf.DUMMYFUNCTION("""COMPUTED_VALUE"""),900.0)</f>
        <v>900</v>
      </c>
      <c r="G673" s="10">
        <f>IFERROR(__xludf.DUMMYFUNCTION("""COMPUTED_VALUE"""),9.0)</f>
        <v>9</v>
      </c>
      <c r="H673" s="10">
        <f>IFERROR(__xludf.DUMMYFUNCTION("""COMPUTED_VALUE"""),9.0)</f>
        <v>9</v>
      </c>
      <c r="I673" s="10">
        <f>IFERROR(__xludf.DUMMYFUNCTION("""COMPUTED_VALUE"""),1.0)</f>
        <v>1</v>
      </c>
      <c r="J673" s="10"/>
      <c r="K673" s="10"/>
      <c r="L673" s="10"/>
      <c r="M673" s="10">
        <f>IFERROR(__xludf.DUMMYFUNCTION("""COMPUTED_VALUE"""),9.0)</f>
        <v>9</v>
      </c>
      <c r="N673" s="10"/>
      <c r="O673" s="10"/>
      <c r="P673" s="10"/>
      <c r="Q673" s="10"/>
      <c r="R673" s="10"/>
      <c r="S673" s="10"/>
      <c r="T673" s="10"/>
      <c r="U673" s="18" t="str">
        <f>IFERROR(__xludf.DUMMYFUNCTION("""COMPUTED_VALUE"""),"https://drive.google.com/open?id=1Zgc0ZE2Cg11V6qlrgTn746WOIeKhfN95")</f>
        <v>https://drive.google.com/open?id=1Zgc0ZE2Cg11V6qlrgTn746WOIeKhfN95</v>
      </c>
      <c r="V673" s="10"/>
      <c r="W673" s="10"/>
      <c r="X673" s="10"/>
      <c r="Y673" s="14" t="str">
        <f>IFERROR(__xludf.DUMMYFUNCTION("""COMPUTED_VALUE"""),"ab1995312@gmail.com")</f>
        <v>ab1995312@gmail.com</v>
      </c>
      <c r="AA673" s="324"/>
    </row>
    <row r="674" hidden="1">
      <c r="A674" s="9">
        <f>IFERROR(__xludf.DUMMYFUNCTION("""COMPUTED_VALUE"""),45940.25895880787)</f>
        <v>45940.25896</v>
      </c>
      <c r="B674" s="10" t="str">
        <f>IFERROR(__xludf.DUMMYFUNCTION("""COMPUTED_VALUE"""),"Naveed Khalid ")</f>
        <v>Naveed Khalid </v>
      </c>
      <c r="C674" s="10" t="str">
        <f>IFERROR(__xludf.DUMMYFUNCTION("""COMPUTED_VALUE"""),"03087944200")</f>
        <v>03087944200</v>
      </c>
      <c r="D674" s="10" t="str">
        <f>IFERROR(__xludf.DUMMYFUNCTION("""COMPUTED_VALUE"""),"Jamia Masjid Darbar Muhammad Ghous Bala Peer ")</f>
        <v>Jamia Masjid Darbar Muhammad Ghous Bala Peer </v>
      </c>
      <c r="E674" s="10" t="str">
        <f>IFERROR(__xludf.DUMMYFUNCTION("""COMPUTED_VALUE"""),"VTGKG")</f>
        <v>VTGKG</v>
      </c>
      <c r="F674" s="10">
        <f>IFERROR(__xludf.DUMMYFUNCTION("""COMPUTED_VALUE"""),580.0)</f>
        <v>580</v>
      </c>
      <c r="G674" s="10">
        <f>IFERROR(__xludf.DUMMYFUNCTION("""COMPUTED_VALUE"""),5.0)</f>
        <v>5</v>
      </c>
      <c r="H674" s="10">
        <f>IFERROR(__xludf.DUMMYFUNCTION("""COMPUTED_VALUE"""),5.0)</f>
        <v>5</v>
      </c>
      <c r="I674" s="10">
        <f>IFERROR(__xludf.DUMMYFUNCTION("""COMPUTED_VALUE"""),2.0)</f>
        <v>2</v>
      </c>
      <c r="J674" s="10"/>
      <c r="K674" s="10"/>
      <c r="L674" s="10"/>
      <c r="M674" s="10">
        <f>IFERROR(__xludf.DUMMYFUNCTION("""COMPUTED_VALUE"""),10.0)</f>
        <v>10</v>
      </c>
      <c r="N674" s="10"/>
      <c r="O674" s="10"/>
      <c r="P674" s="10"/>
      <c r="Q674" s="10"/>
      <c r="R674" s="10"/>
      <c r="S674" s="10"/>
      <c r="T674" s="10"/>
      <c r="U674" s="18" t="str">
        <f>IFERROR(__xludf.DUMMYFUNCTION("""COMPUTED_VALUE"""),"https://drive.google.com/open?id=1JMg9lRzAm5YVaso8L6jYuFwhptvNL3lu")</f>
        <v>https://drive.google.com/open?id=1JMg9lRzAm5YVaso8L6jYuFwhptvNL3lu</v>
      </c>
      <c r="V674" s="10"/>
      <c r="W674" s="10"/>
      <c r="X674" s="10"/>
      <c r="Y674" s="14" t="str">
        <f>IFERROR(__xludf.DUMMYFUNCTION("""COMPUTED_VALUE"""),"rulesbreakers52@gmail.com")</f>
        <v>rulesbreakers52@gmail.com</v>
      </c>
      <c r="AA674" s="324"/>
    </row>
    <row r="675" hidden="1">
      <c r="A675" s="9">
        <f>IFERROR(__xludf.DUMMYFUNCTION("""COMPUTED_VALUE"""),45940.26026270833)</f>
        <v>45940.26026</v>
      </c>
      <c r="B675" s="10" t="str">
        <f>IFERROR(__xludf.DUMMYFUNCTION("""COMPUTED_VALUE"""),"Waseem Rehman")</f>
        <v>Waseem Rehman</v>
      </c>
      <c r="C675" s="10" t="str">
        <f>IFERROR(__xludf.DUMMYFUNCTION("""COMPUTED_VALUE"""),"03005017007")</f>
        <v>03005017007</v>
      </c>
      <c r="D675" s="10" t="str">
        <f>IFERROR(__xludf.DUMMYFUNCTION("""COMPUTED_VALUE"""),"Jamia Masjid Ghalla Mandi Vehari")</f>
        <v>Jamia Masjid Ghalla Mandi Vehari</v>
      </c>
      <c r="E675" s="10" t="str">
        <f>IFERROR(__xludf.DUMMYFUNCTION("""COMPUTED_VALUE"""),"UOMYF")</f>
        <v>UOMYF</v>
      </c>
      <c r="F675" s="10">
        <f>IFERROR(__xludf.DUMMYFUNCTION("""COMPUTED_VALUE"""),91.0)</f>
        <v>91</v>
      </c>
      <c r="G675" s="10">
        <f>IFERROR(__xludf.DUMMYFUNCTION("""COMPUTED_VALUE"""),9.0)</f>
        <v>9</v>
      </c>
      <c r="H675" s="10">
        <f>IFERROR(__xludf.DUMMYFUNCTION("""COMPUTED_VALUE"""),9.0)</f>
        <v>9</v>
      </c>
      <c r="I675" s="10">
        <f>IFERROR(__xludf.DUMMYFUNCTION("""COMPUTED_VALUE"""),0.0)</f>
        <v>0</v>
      </c>
      <c r="J675" s="10"/>
      <c r="K675" s="10"/>
      <c r="L675" s="10"/>
      <c r="M675" s="10">
        <f>IFERROR(__xludf.DUMMYFUNCTION("""COMPUTED_VALUE"""),9.0)</f>
        <v>9</v>
      </c>
      <c r="N675" s="10"/>
      <c r="O675" s="10"/>
      <c r="P675" s="10"/>
      <c r="Q675" s="10"/>
      <c r="R675" s="10"/>
      <c r="S675" s="10"/>
      <c r="T675" s="10"/>
      <c r="U675" s="18" t="str">
        <f>IFERROR(__xludf.DUMMYFUNCTION("""COMPUTED_VALUE"""),"https://drive.google.com/open?id=1ex0biaIDXceSOrhr5n7aA2m_jYFqVe9A")</f>
        <v>https://drive.google.com/open?id=1ex0biaIDXceSOrhr5n7aA2m_jYFqVe9A</v>
      </c>
      <c r="V675" s="10"/>
      <c r="W675" s="10"/>
      <c r="X675" s="10"/>
      <c r="Y675" s="14" t="str">
        <f>IFERROR(__xludf.DUMMYFUNCTION("""COMPUTED_VALUE"""),"iwaseemrehman@gmail.com")</f>
        <v>iwaseemrehman@gmail.com</v>
      </c>
      <c r="AA675" s="324"/>
    </row>
    <row r="676" hidden="1">
      <c r="A676" s="9">
        <f>IFERROR(__xludf.DUMMYFUNCTION("""COMPUTED_VALUE"""),45940.28097474537)</f>
        <v>45940.28097</v>
      </c>
      <c r="B676" s="10" t="str">
        <f>IFERROR(__xludf.DUMMYFUNCTION("""COMPUTED_VALUE"""),"Faisal Mushtaq ")</f>
        <v>Faisal Mushtaq </v>
      </c>
      <c r="C676" s="10" t="str">
        <f>IFERROR(__xludf.DUMMYFUNCTION("""COMPUTED_VALUE"""),"03186036229")</f>
        <v>03186036229</v>
      </c>
      <c r="D676" s="10" t="str">
        <f>IFERROR(__xludf.DUMMYFUNCTION("""COMPUTED_VALUE"""),"Markazi Jamia Rizwiya sadar bazar renala kutd")</f>
        <v>Markazi Jamia Rizwiya sadar bazar renala kutd</v>
      </c>
      <c r="E676" s="10" t="str">
        <f>IFERROR(__xludf.DUMMYFUNCTION("""COMPUTED_VALUE"""),"RUJKZ")</f>
        <v>RUJKZ</v>
      </c>
      <c r="F676" s="10">
        <f>IFERROR(__xludf.DUMMYFUNCTION("""COMPUTED_VALUE"""),1124.0)</f>
        <v>1124</v>
      </c>
      <c r="G676" s="10">
        <f>IFERROR(__xludf.DUMMYFUNCTION("""COMPUTED_VALUE"""),10.0)</f>
        <v>10</v>
      </c>
      <c r="H676" s="10">
        <f>IFERROR(__xludf.DUMMYFUNCTION("""COMPUTED_VALUE"""),10.0)</f>
        <v>10</v>
      </c>
      <c r="I676" s="10" t="str">
        <f>IFERROR(__xludf.DUMMYFUNCTION("""COMPUTED_VALUE"""),"Nhi")</f>
        <v>Nhi</v>
      </c>
      <c r="J676" s="10"/>
      <c r="K676" s="10"/>
      <c r="L676" s="10"/>
      <c r="M676" s="10">
        <f>IFERROR(__xludf.DUMMYFUNCTION("""COMPUTED_VALUE"""),10.0)</f>
        <v>10</v>
      </c>
      <c r="N676" s="10"/>
      <c r="O676" s="10"/>
      <c r="P676" s="10"/>
      <c r="Q676" s="10"/>
      <c r="R676" s="10"/>
      <c r="S676" s="10"/>
      <c r="T676" s="10"/>
      <c r="U676" s="18" t="str">
        <f>IFERROR(__xludf.DUMMYFUNCTION("""COMPUTED_VALUE"""),"https://drive.google.com/open?id=1E0wrc94a_ME2m16PYXvVVdCUQHofI9rd")</f>
        <v>https://drive.google.com/open?id=1E0wrc94a_ME2m16PYXvVVdCUQHofI9rd</v>
      </c>
      <c r="V676" s="10"/>
      <c r="W676" s="10"/>
      <c r="X676" s="10"/>
      <c r="Y676" s="14" t="str">
        <f>IFERROR(__xludf.DUMMYFUNCTION("""COMPUTED_VALUE"""),"xtfaisalkhichi@gmail.com")</f>
        <v>xtfaisalkhichi@gmail.com</v>
      </c>
      <c r="AA676" s="324"/>
    </row>
    <row r="677" hidden="1">
      <c r="A677" s="9">
        <f>IFERROR(__xludf.DUMMYFUNCTION("""COMPUTED_VALUE"""),45940.28398936342)</f>
        <v>45940.28399</v>
      </c>
      <c r="B677" s="10" t="str">
        <f>IFERROR(__xludf.DUMMYFUNCTION("""COMPUTED_VALUE"""),"tanveer tabassum")</f>
        <v>tanveer tabassum</v>
      </c>
      <c r="C677" s="10" t="str">
        <f>IFERROR(__xludf.DUMMYFUNCTION("""COMPUTED_VALUE"""),"03017931655")</f>
        <v>03017931655</v>
      </c>
      <c r="D677" s="10" t="str">
        <f>IFERROR(__xludf.DUMMYFUNCTION("""COMPUTED_VALUE"""),"jamia masjid gala mandi burewala")</f>
        <v>jamia masjid gala mandi burewala</v>
      </c>
      <c r="E677" s="10" t="str">
        <f>IFERROR(__xludf.DUMMYFUNCTION("""COMPUTED_VALUE"""),"lnpqp")</f>
        <v>lnpqp</v>
      </c>
      <c r="F677" s="10">
        <f>IFERROR(__xludf.DUMMYFUNCTION("""COMPUTED_VALUE"""),752.0)</f>
        <v>752</v>
      </c>
      <c r="G677" s="10">
        <f>IFERROR(__xludf.DUMMYFUNCTION("""COMPUTED_VALUE"""),9.0)</f>
        <v>9</v>
      </c>
      <c r="H677" s="10">
        <f>IFERROR(__xludf.DUMMYFUNCTION("""COMPUTED_VALUE"""),9.0)</f>
        <v>9</v>
      </c>
      <c r="I677" s="10">
        <f>IFERROR(__xludf.DUMMYFUNCTION("""COMPUTED_VALUE"""),0.0)</f>
        <v>0</v>
      </c>
      <c r="J677" s="10"/>
      <c r="K677" s="10"/>
      <c r="L677" s="10"/>
      <c r="M677" s="10">
        <f>IFERROR(__xludf.DUMMYFUNCTION("""COMPUTED_VALUE"""),10.0)</f>
        <v>10</v>
      </c>
      <c r="N677" s="10"/>
      <c r="O677" s="10"/>
      <c r="P677" s="10"/>
      <c r="Q677" s="10"/>
      <c r="R677" s="10"/>
      <c r="S677" s="10"/>
      <c r="T677" s="10"/>
      <c r="U677" s="18" t="str">
        <f>IFERROR(__xludf.DUMMYFUNCTION("""COMPUTED_VALUE"""),"https://drive.google.com/open?id=1hpzauI11nctOtA-Rvi8qDzw04s6GtSqV")</f>
        <v>https://drive.google.com/open?id=1hpzauI11nctOtA-Rvi8qDzw04s6GtSqV</v>
      </c>
      <c r="V677" s="10" t="str">
        <f>IFERROR(__xludf.DUMMYFUNCTION("""COMPUTED_VALUE"""),"NA")</f>
        <v>NA</v>
      </c>
      <c r="W677" s="10"/>
      <c r="X677" s="10"/>
      <c r="Y677" s="14" t="str">
        <f>IFERROR(__xludf.DUMMYFUNCTION("""COMPUTED_VALUE"""),"tanveer.jee41@gmail.com")</f>
        <v>tanveer.jee41@gmail.com</v>
      </c>
      <c r="AA677" s="324"/>
    </row>
    <row r="678" hidden="1">
      <c r="A678" s="9">
        <f>IFERROR(__xludf.DUMMYFUNCTION("""COMPUTED_VALUE"""),45940.285727546296)</f>
        <v>45940.28573</v>
      </c>
      <c r="B678" s="10" t="str">
        <f>IFERROR(__xludf.DUMMYFUNCTION("""COMPUTED_VALUE"""),"Tanveer Tabassum")</f>
        <v>Tanveer Tabassum</v>
      </c>
      <c r="C678" s="10" t="str">
        <f>IFERROR(__xludf.DUMMYFUNCTION("""COMPUTED_VALUE"""),"03017931655")</f>
        <v>03017931655</v>
      </c>
      <c r="D678" s="10" t="str">
        <f>IFERROR(__xludf.DUMMYFUNCTION("""COMPUTED_VALUE"""),"Jamia Masjid D Block Burewala")</f>
        <v>Jamia Masjid D Block Burewala</v>
      </c>
      <c r="E678" s="10" t="str">
        <f>IFERROR(__xludf.DUMMYFUNCTION("""COMPUTED_VALUE"""),"mfvfc")</f>
        <v>mfvfc</v>
      </c>
      <c r="F678" s="10">
        <f>IFERROR(__xludf.DUMMYFUNCTION("""COMPUTED_VALUE"""),467.0)</f>
        <v>467</v>
      </c>
      <c r="G678" s="10">
        <f>IFERROR(__xludf.DUMMYFUNCTION("""COMPUTED_VALUE"""),10.0)</f>
        <v>10</v>
      </c>
      <c r="H678" s="10">
        <f>IFERROR(__xludf.DUMMYFUNCTION("""COMPUTED_VALUE"""),10.0)</f>
        <v>10</v>
      </c>
      <c r="I678" s="10">
        <f>IFERROR(__xludf.DUMMYFUNCTION("""COMPUTED_VALUE"""),0.0)</f>
        <v>0</v>
      </c>
      <c r="J678" s="10"/>
      <c r="K678" s="10"/>
      <c r="L678" s="10"/>
      <c r="M678" s="10">
        <f>IFERROR(__xludf.DUMMYFUNCTION("""COMPUTED_VALUE"""),10.0)</f>
        <v>10</v>
      </c>
      <c r="N678" s="10"/>
      <c r="O678" s="10"/>
      <c r="P678" s="10"/>
      <c r="Q678" s="10"/>
      <c r="R678" s="10"/>
      <c r="S678" s="10"/>
      <c r="T678" s="10"/>
      <c r="U678" s="18" t="str">
        <f>IFERROR(__xludf.DUMMYFUNCTION("""COMPUTED_VALUE"""),"https://drive.google.com/file/d/1au-leyrh634SGEzFJPeyedOJRQENalEf/view?usp=drive_link")</f>
        <v>https://drive.google.com/file/d/1au-leyrh634SGEzFJPeyedOJRQENalEf/view?usp=drive_link</v>
      </c>
      <c r="V678" s="10" t="str">
        <f>IFERROR(__xludf.DUMMYFUNCTION("""COMPUTED_VALUE"""),"na")</f>
        <v>na</v>
      </c>
      <c r="W678" s="10"/>
      <c r="X678" s="10"/>
      <c r="Y678" s="14" t="str">
        <f>IFERROR(__xludf.DUMMYFUNCTION("""COMPUTED_VALUE"""),"tanveer.jee41@gmail.com")</f>
        <v>tanveer.jee41@gmail.com</v>
      </c>
      <c r="AA678" s="324"/>
    </row>
    <row r="679" hidden="1">
      <c r="A679" s="9">
        <f>IFERROR(__xludf.DUMMYFUNCTION("""COMPUTED_VALUE"""),45940.350924756945)</f>
        <v>45940.35092</v>
      </c>
      <c r="B679" s="10" t="str">
        <f>IFERROR(__xludf.DUMMYFUNCTION("""COMPUTED_VALUE"""),"Nadeen Akram Sahir ")</f>
        <v>Nadeen Akram Sahir </v>
      </c>
      <c r="C679" s="10" t="str">
        <f>IFERROR(__xludf.DUMMYFUNCTION("""COMPUTED_VALUE"""),"03074993350")</f>
        <v>03074993350</v>
      </c>
      <c r="D679" s="10" t="str">
        <f>IFERROR(__xludf.DUMMYFUNCTION("""COMPUTED_VALUE"""),"FFPZC	Jamia Masjid Hanfiya C Block")</f>
        <v>FFPZC	Jamia Masjid Hanfiya C Block</v>
      </c>
      <c r="E679" s="10" t="str">
        <f>IFERROR(__xludf.DUMMYFUNCTION("""COMPUTED_VALUE"""),"FFPZC	")</f>
        <v>FFPZC	</v>
      </c>
      <c r="F679" s="10">
        <f>IFERROR(__xludf.DUMMYFUNCTION("""COMPUTED_VALUE"""),475.0)</f>
        <v>475</v>
      </c>
      <c r="G679" s="10">
        <f>IFERROR(__xludf.DUMMYFUNCTION("""COMPUTED_VALUE"""),10.0)</f>
        <v>10</v>
      </c>
      <c r="H679" s="10">
        <f>IFERROR(__xludf.DUMMYFUNCTION("""COMPUTED_VALUE"""),10.0)</f>
        <v>10</v>
      </c>
      <c r="I679" s="10">
        <f>IFERROR(__xludf.DUMMYFUNCTION("""COMPUTED_VALUE"""),10.0)</f>
        <v>10</v>
      </c>
      <c r="J679" s="10"/>
      <c r="K679" s="10"/>
      <c r="L679" s="10"/>
      <c r="M679" s="10">
        <f>IFERROR(__xludf.DUMMYFUNCTION("""COMPUTED_VALUE"""),10.0)</f>
        <v>10</v>
      </c>
      <c r="N679" s="10"/>
      <c r="O679" s="10"/>
      <c r="P679" s="10"/>
      <c r="Q679" s="10"/>
      <c r="R679" s="10"/>
      <c r="S679" s="10"/>
      <c r="T679" s="10"/>
      <c r="U679" s="10"/>
      <c r="V679" s="10"/>
      <c r="W679" s="10"/>
      <c r="X679" s="10"/>
      <c r="Y679" s="14" t="str">
        <f>IFERROR(__xludf.DUMMYFUNCTION("""COMPUTED_VALUE"""),"nadeemakramsahir@gmail.com")</f>
        <v>nadeemakramsahir@gmail.com</v>
      </c>
      <c r="AA679" s="324"/>
    </row>
    <row r="680" hidden="1">
      <c r="A680" s="9">
        <f>IFERROR(__xludf.DUMMYFUNCTION("""COMPUTED_VALUE"""),45940.72233664352)</f>
        <v>45940.72234</v>
      </c>
      <c r="B680" s="10" t="str">
        <f>IFERROR(__xludf.DUMMYFUNCTION("""COMPUTED_VALUE"""),"Muhammad Zeeshan ")</f>
        <v>Muhammad Zeeshan </v>
      </c>
      <c r="C680" s="10" t="str">
        <f>IFERROR(__xludf.DUMMYFUNCTION("""COMPUTED_VALUE"""),"03234486723")</f>
        <v>03234486723</v>
      </c>
      <c r="D680" s="10" t="str">
        <f>IFERROR(__xludf.DUMMYFUNCTION("""COMPUTED_VALUE"""),"jamia masjid darbar dawood jahanian ")</f>
        <v>jamia masjid darbar dawood jahanian </v>
      </c>
      <c r="E680" s="10" t="str">
        <f>IFERROR(__xludf.DUMMYFUNCTION("""COMPUTED_VALUE"""),"usepk ")</f>
        <v>usepk </v>
      </c>
      <c r="F680" s="10">
        <f>IFERROR(__xludf.DUMMYFUNCTION("""COMPUTED_VALUE"""),186.0)</f>
        <v>186</v>
      </c>
      <c r="G680" s="10">
        <f>IFERROR(__xludf.DUMMYFUNCTION("""COMPUTED_VALUE"""),9.0)</f>
        <v>9</v>
      </c>
      <c r="H680" s="10">
        <f>IFERROR(__xludf.DUMMYFUNCTION("""COMPUTED_VALUE"""),8.0)</f>
        <v>8</v>
      </c>
      <c r="I680" s="10">
        <f>IFERROR(__xludf.DUMMYFUNCTION("""COMPUTED_VALUE"""),1.0)</f>
        <v>1</v>
      </c>
      <c r="J680" s="10"/>
      <c r="K680" s="10"/>
      <c r="L680" s="10"/>
      <c r="M680" s="10">
        <f>IFERROR(__xludf.DUMMYFUNCTION("""COMPUTED_VALUE"""),9.0)</f>
        <v>9</v>
      </c>
      <c r="N680" s="10"/>
      <c r="O680" s="10"/>
      <c r="P680" s="10"/>
      <c r="Q680" s="10"/>
      <c r="R680" s="10"/>
      <c r="S680" s="10"/>
      <c r="T680" s="10"/>
      <c r="U680" s="18" t="str">
        <f>IFERROR(__xludf.DUMMYFUNCTION("""COMPUTED_VALUE"""),"https://drive.google.com/file/d/1AhreUI34Gi6VNEnBBrkSiqY6Cj9lL67I/view?usp=drive_link")</f>
        <v>https://drive.google.com/file/d/1AhreUI34Gi6VNEnBBrkSiqY6Cj9lL67I/view?usp=drive_link</v>
      </c>
      <c r="V680" s="10"/>
      <c r="W680" s="10"/>
      <c r="X680" s="10"/>
      <c r="Y680" s="14" t="str">
        <f>IFERROR(__xludf.DUMMYFUNCTION("""COMPUTED_VALUE"""),"shalamar579@gmail.com")</f>
        <v>shalamar579@gmail.com</v>
      </c>
      <c r="AA680" s="324"/>
    </row>
    <row r="681" hidden="1">
      <c r="A681" s="9">
        <f>IFERROR(__xludf.DUMMYFUNCTION("""COMPUTED_VALUE"""),45940.72670180556)</f>
        <v>45940.7267</v>
      </c>
      <c r="B681" s="10" t="str">
        <f>IFERROR(__xludf.DUMMYFUNCTION("""COMPUTED_VALUE"""),"Muhammad Asad")</f>
        <v>Muhammad Asad</v>
      </c>
      <c r="C681" s="10" t="str">
        <f>IFERROR(__xludf.DUMMYFUNCTION("""COMPUTED_VALUE"""),"03230010051")</f>
        <v>03230010051</v>
      </c>
      <c r="D681" s="10" t="str">
        <f>IFERROR(__xludf.DUMMYFUNCTION("""COMPUTED_VALUE"""),"Jamia Masjid Naale wali lodhran ")</f>
        <v>Jamia Masjid Naale wali lodhran </v>
      </c>
      <c r="E681" s="10" t="str">
        <f>IFERROR(__xludf.DUMMYFUNCTION("""COMPUTED_VALUE"""),"xdbpy")</f>
        <v>xdbpy</v>
      </c>
      <c r="F681" s="10">
        <f>IFERROR(__xludf.DUMMYFUNCTION("""COMPUTED_VALUE"""),197.0)</f>
        <v>197</v>
      </c>
      <c r="G681" s="10">
        <f>IFERROR(__xludf.DUMMYFUNCTION("""COMPUTED_VALUE"""),9.0)</f>
        <v>9</v>
      </c>
      <c r="H681" s="10">
        <f>IFERROR(__xludf.DUMMYFUNCTION("""COMPUTED_VALUE"""),9.0)</f>
        <v>9</v>
      </c>
      <c r="I681" s="10">
        <f>IFERROR(__xludf.DUMMYFUNCTION("""COMPUTED_VALUE"""),0.0)</f>
        <v>0</v>
      </c>
      <c r="J681" s="10"/>
      <c r="K681" s="10"/>
      <c r="L681" s="10"/>
      <c r="M681" s="10">
        <f>IFERROR(__xludf.DUMMYFUNCTION("""COMPUTED_VALUE"""),8.0)</f>
        <v>8</v>
      </c>
      <c r="N681" s="10"/>
      <c r="O681" s="10"/>
      <c r="P681" s="10"/>
      <c r="Q681" s="10"/>
      <c r="R681" s="10"/>
      <c r="S681" s="10"/>
      <c r="T681" s="10"/>
      <c r="U681" s="18" t="str">
        <f>IFERROR(__xludf.DUMMYFUNCTION("""COMPUTED_VALUE"""),"https://drive.google.com/open?id=1yMOM5bIcCrrO04Mm7-3foEIvooYfHgLf")</f>
        <v>https://drive.google.com/open?id=1yMOM5bIcCrrO04Mm7-3foEIvooYfHgLf</v>
      </c>
      <c r="V681" s="10"/>
      <c r="W681" s="10"/>
      <c r="X681" s="10"/>
      <c r="Y681" s="14" t="str">
        <f>IFERROR(__xludf.DUMMYFUNCTION("""COMPUTED_VALUE"""),"shahbazhamza01@gmail.com")</f>
        <v>shahbazhamza01@gmail.com</v>
      </c>
      <c r="AA681" s="324"/>
    </row>
    <row r="682" hidden="1">
      <c r="A682" s="9">
        <f>IFERROR(__xludf.DUMMYFUNCTION("""COMPUTED_VALUE"""),45941.03143366898)</f>
        <v>45941.03143</v>
      </c>
      <c r="B682" s="10" t="str">
        <f>IFERROR(__xludf.DUMMYFUNCTION("""COMPUTED_VALUE"""),"Qasim Wasim")</f>
        <v>Qasim Wasim</v>
      </c>
      <c r="C682" s="10" t="str">
        <f>IFERROR(__xludf.DUMMYFUNCTION("""COMPUTED_VALUE"""),"03219627514")</f>
        <v>03219627514</v>
      </c>
      <c r="D682" s="10" t="str">
        <f>IFERROR(__xludf.DUMMYFUNCTION("""COMPUTED_VALUE"""),"Jamia masjid Abdul kareem")</f>
        <v>Jamia masjid Abdul kareem</v>
      </c>
      <c r="E682" s="10" t="str">
        <f>IFERROR(__xludf.DUMMYFUNCTION("""COMPUTED_VALUE"""),"OGDXP")</f>
        <v>OGDXP</v>
      </c>
      <c r="F682" s="10">
        <f>IFERROR(__xludf.DUMMYFUNCTION("""COMPUTED_VALUE"""),370.0)</f>
        <v>370</v>
      </c>
      <c r="G682" s="10">
        <f>IFERROR(__xludf.DUMMYFUNCTION("""COMPUTED_VALUE"""),8.0)</f>
        <v>8</v>
      </c>
      <c r="H682" s="10">
        <f>IFERROR(__xludf.DUMMYFUNCTION("""COMPUTED_VALUE"""),8.0)</f>
        <v>8</v>
      </c>
      <c r="I682" s="10">
        <f>IFERROR(__xludf.DUMMYFUNCTION("""COMPUTED_VALUE"""),1.0)</f>
        <v>1</v>
      </c>
      <c r="J682" s="10"/>
      <c r="K682" s="10"/>
      <c r="L682" s="10"/>
      <c r="M682" s="10">
        <f>IFERROR(__xludf.DUMMYFUNCTION("""COMPUTED_VALUE"""),7.0)</f>
        <v>7</v>
      </c>
      <c r="N682" s="10"/>
      <c r="O682" s="10"/>
      <c r="P682" s="10"/>
      <c r="Q682" s="10"/>
      <c r="R682" s="10"/>
      <c r="S682" s="10"/>
      <c r="T682" s="10"/>
      <c r="U682" s="18" t="str">
        <f>IFERROR(__xludf.DUMMYFUNCTION("""COMPUTED_VALUE"""),"https://drive.google.com/open?id=1UuBuRYDmuYOAc-eiGBtf1S6gvSdrYTuQ")</f>
        <v>https://drive.google.com/open?id=1UuBuRYDmuYOAc-eiGBtf1S6gvSdrYTuQ</v>
      </c>
      <c r="V682" s="10"/>
      <c r="W682" s="10"/>
      <c r="X682" s="10"/>
      <c r="Y682" s="14" t="str">
        <f>IFERROR(__xludf.DUMMYFUNCTION("""COMPUTED_VALUE"""),"mrizwangcu8@gmail.com")</f>
        <v>mrizwangcu8@gmail.com</v>
      </c>
      <c r="AA682" s="324"/>
    </row>
    <row r="683" hidden="1">
      <c r="A683" s="9">
        <f>IFERROR(__xludf.DUMMYFUNCTION("""COMPUTED_VALUE"""),45941.037427511576)</f>
        <v>45941.03743</v>
      </c>
      <c r="B683" s="10" t="str">
        <f>IFERROR(__xludf.DUMMYFUNCTION("""COMPUTED_VALUE"""),"Shahzad Ahmad")</f>
        <v>Shahzad Ahmad</v>
      </c>
      <c r="C683" s="10" t="str">
        <f>IFERROR(__xludf.DUMMYFUNCTION("""COMPUTED_VALUE"""),"03001119795")</f>
        <v>03001119795</v>
      </c>
      <c r="D683" s="10" t="str">
        <f>IFERROR(__xludf.DUMMYFUNCTION("""COMPUTED_VALUE"""),"Aziz Maki masjid")</f>
        <v>Aziz Maki masjid</v>
      </c>
      <c r="E683" s="10" t="str">
        <f>IFERROR(__xludf.DUMMYFUNCTION("""COMPUTED_VALUE"""),"Ewwlq")</f>
        <v>Ewwlq</v>
      </c>
      <c r="F683" s="10">
        <f>IFERROR(__xludf.DUMMYFUNCTION("""COMPUTED_VALUE"""),175.0)</f>
        <v>175</v>
      </c>
      <c r="G683" s="10">
        <f>IFERROR(__xludf.DUMMYFUNCTION("""COMPUTED_VALUE"""),5.0)</f>
        <v>5</v>
      </c>
      <c r="H683" s="10">
        <f>IFERROR(__xludf.DUMMYFUNCTION("""COMPUTED_VALUE"""),4.0)</f>
        <v>4</v>
      </c>
      <c r="I683" s="10">
        <f>IFERROR(__xludf.DUMMYFUNCTION("""COMPUTED_VALUE"""),4.0)</f>
        <v>4</v>
      </c>
      <c r="J683" s="10"/>
      <c r="K683" s="10"/>
      <c r="L683" s="10"/>
      <c r="M683" s="10">
        <f>IFERROR(__xludf.DUMMYFUNCTION("""COMPUTED_VALUE"""),6.0)</f>
        <v>6</v>
      </c>
      <c r="N683" s="10"/>
      <c r="O683" s="10"/>
      <c r="P683" s="10"/>
      <c r="Q683" s="10"/>
      <c r="R683" s="10"/>
      <c r="S683" s="10"/>
      <c r="T683" s="10"/>
      <c r="U683" s="18" t="str">
        <f>IFERROR(__xludf.DUMMYFUNCTION("""COMPUTED_VALUE"""),"https://drive.google.com/open?id=1l1jV4LJhHfwwBj4_2U7eWna5G3KwgKqT")</f>
        <v>https://drive.google.com/open?id=1l1jV4LJhHfwwBj4_2U7eWna5G3KwgKqT</v>
      </c>
      <c r="V683" s="10"/>
      <c r="W683" s="10"/>
      <c r="X683" s="10"/>
      <c r="Y683" s="14" t="str">
        <f>IFERROR(__xludf.DUMMYFUNCTION("""COMPUTED_VALUE"""),"ranashahzad7403@gmail.com")</f>
        <v>ranashahzad7403@gmail.com</v>
      </c>
      <c r="AA683" s="324"/>
    </row>
    <row r="684" hidden="1">
      <c r="A684" s="9">
        <f>IFERROR(__xludf.DUMMYFUNCTION("""COMPUTED_VALUE"""),45941.038547118056)</f>
        <v>45941.03855</v>
      </c>
      <c r="B684" s="10" t="str">
        <f>IFERROR(__xludf.DUMMYFUNCTION("""COMPUTED_VALUE"""),"Khadim Hussain")</f>
        <v>Khadim Hussain</v>
      </c>
      <c r="C684" s="10" t="str">
        <f>IFERROR(__xludf.DUMMYFUNCTION("""COMPUTED_VALUE"""),"03120064803")</f>
        <v>03120064803</v>
      </c>
      <c r="D684" s="10" t="str">
        <f>IFERROR(__xludf.DUMMYFUNCTION("""COMPUTED_VALUE"""),"Jamia masjid gallah mandi pakpatan")</f>
        <v>Jamia masjid gallah mandi pakpatan</v>
      </c>
      <c r="E684" s="10" t="str">
        <f>IFERROR(__xludf.DUMMYFUNCTION("""COMPUTED_VALUE"""),"Lpjzi")</f>
        <v>Lpjzi</v>
      </c>
      <c r="F684" s="10">
        <f>IFERROR(__xludf.DUMMYFUNCTION("""COMPUTED_VALUE"""),210.0)</f>
        <v>210</v>
      </c>
      <c r="G684" s="10">
        <f>IFERROR(__xludf.DUMMYFUNCTION("""COMPUTED_VALUE"""),10.0)</f>
        <v>10</v>
      </c>
      <c r="H684" s="10">
        <f>IFERROR(__xludf.DUMMYFUNCTION("""COMPUTED_VALUE"""),9.0)</f>
        <v>9</v>
      </c>
      <c r="I684" s="10">
        <f>IFERROR(__xludf.DUMMYFUNCTION("""COMPUTED_VALUE"""),0.0)</f>
        <v>0</v>
      </c>
      <c r="J684" s="10"/>
      <c r="K684" s="10"/>
      <c r="L684" s="10"/>
      <c r="M684" s="10">
        <f>IFERROR(__xludf.DUMMYFUNCTION("""COMPUTED_VALUE"""),10.0)</f>
        <v>10</v>
      </c>
      <c r="N684" s="10"/>
      <c r="O684" s="10"/>
      <c r="P684" s="10"/>
      <c r="Q684" s="10"/>
      <c r="R684" s="10"/>
      <c r="S684" s="10"/>
      <c r="T684" s="10"/>
      <c r="U684" s="10"/>
      <c r="V684" s="10"/>
      <c r="W684" s="10"/>
      <c r="X684" s="10"/>
      <c r="Y684" s="14" t="str">
        <f>IFERROR(__xludf.DUMMYFUNCTION("""COMPUTED_VALUE"""),"khadamzaman918@gmail.com")</f>
        <v>khadamzaman918@gmail.com</v>
      </c>
      <c r="AA684" s="324"/>
    </row>
    <row r="685" hidden="1">
      <c r="A685" s="9">
        <f>IFERROR(__xludf.DUMMYFUNCTION("""COMPUTED_VALUE"""),45943.416153819446)</f>
        <v>45943.41615</v>
      </c>
      <c r="B685" s="10" t="str">
        <f>IFERROR(__xludf.DUMMYFUNCTION("""COMPUTED_VALUE"""),"Muhammed Tayyab")</f>
        <v>Muhammed Tayyab</v>
      </c>
      <c r="C685" s="10" t="str">
        <f>IFERROR(__xludf.DUMMYFUNCTION("""COMPUTED_VALUE"""),"03240015848")</f>
        <v>03240015848</v>
      </c>
      <c r="D685" s="10" t="str">
        <f>IFERROR(__xludf.DUMMYFUNCTION("""COMPUTED_VALUE"""),"Jamia Masjid Peer Ismail Multan")</f>
        <v>Jamia Masjid Peer Ismail Multan</v>
      </c>
      <c r="E685" s="10" t="str">
        <f>IFERROR(__xludf.DUMMYFUNCTION("""COMPUTED_VALUE"""),"dyrjs")</f>
        <v>dyrjs</v>
      </c>
      <c r="F685" s="10">
        <f>IFERROR(__xludf.DUMMYFUNCTION("""COMPUTED_VALUE"""),182.0)</f>
        <v>182</v>
      </c>
      <c r="G685" s="10">
        <f>IFERROR(__xludf.DUMMYFUNCTION("""COMPUTED_VALUE"""),8.0)</f>
        <v>8</v>
      </c>
      <c r="H685" s="10">
        <f>IFERROR(__xludf.DUMMYFUNCTION("""COMPUTED_VALUE"""),8.0)</f>
        <v>8</v>
      </c>
      <c r="I685" s="10">
        <f>IFERROR(__xludf.DUMMYFUNCTION("""COMPUTED_VALUE"""),2.0)</f>
        <v>2</v>
      </c>
      <c r="J685" s="10"/>
      <c r="K685" s="10"/>
      <c r="L685" s="10"/>
      <c r="M685" s="10">
        <f>IFERROR(__xludf.DUMMYFUNCTION("""COMPUTED_VALUE"""),9.0)</f>
        <v>9</v>
      </c>
      <c r="N685" s="10"/>
      <c r="O685" s="10"/>
      <c r="P685" s="10"/>
      <c r="Q685" s="10"/>
      <c r="R685" s="10"/>
      <c r="S685" s="10"/>
      <c r="T685" s="10"/>
      <c r="U685" s="18" t="str">
        <f>IFERROR(__xludf.DUMMYFUNCTION("""COMPUTED_VALUE"""),"https://drive.google.com/open?id=18NYo9DAwcnJJJpSgyi-4qULba-ujphE_")</f>
        <v>https://drive.google.com/open?id=18NYo9DAwcnJJJpSgyi-4qULba-ujphE_</v>
      </c>
      <c r="V685" s="10"/>
      <c r="W685" s="10"/>
      <c r="X685" s="10"/>
      <c r="Y685" s="14" t="str">
        <f>IFERROR(__xludf.DUMMYFUNCTION("""COMPUTED_VALUE"""),"nuhail.ahmad1@gmail.com")</f>
        <v>nuhail.ahmad1@gmail.com</v>
      </c>
      <c r="AA685" s="324"/>
    </row>
    <row r="686" hidden="1">
      <c r="A686" s="9">
        <f>IFERROR(__xludf.DUMMYFUNCTION("""COMPUTED_VALUE"""),45947.21899325232)</f>
        <v>45947.21899</v>
      </c>
      <c r="B686" s="10" t="str">
        <f>IFERROR(__xludf.DUMMYFUNCTION("""COMPUTED_VALUE"""),"Taha Abdullah khan")</f>
        <v>Taha Abdullah khan</v>
      </c>
      <c r="C686" s="10" t="str">
        <f>IFERROR(__xludf.DUMMYFUNCTION("""COMPUTED_VALUE"""),"03497062330")</f>
        <v>03497062330</v>
      </c>
      <c r="D686" s="10" t="str">
        <f>IFERROR(__xludf.DUMMYFUNCTION("""COMPUTED_VALUE"""),"جامع مسجد حاجی محمد دین")</f>
        <v>جامع مسجد حاجی محمد دین</v>
      </c>
      <c r="E686" s="10" t="str">
        <f>IFERROR(__xludf.DUMMYFUNCTION("""COMPUTED_VALUE"""),"estsn")</f>
        <v>estsn</v>
      </c>
      <c r="F686" s="10">
        <f>IFERROR(__xludf.DUMMYFUNCTION("""COMPUTED_VALUE"""),103.0)</f>
        <v>103</v>
      </c>
      <c r="G686" s="10">
        <f>IFERROR(__xludf.DUMMYFUNCTION("""COMPUTED_VALUE"""),7.0)</f>
        <v>7</v>
      </c>
      <c r="H686" s="10">
        <f>IFERROR(__xludf.DUMMYFUNCTION("""COMPUTED_VALUE"""),5.0)</f>
        <v>5</v>
      </c>
      <c r="I686" s="10">
        <f>IFERROR(__xludf.DUMMYFUNCTION("""COMPUTED_VALUE"""),1.0)</f>
        <v>1</v>
      </c>
      <c r="J686" s="10"/>
      <c r="K686" s="10"/>
      <c r="L686" s="10"/>
      <c r="M686" s="10">
        <f>IFERROR(__xludf.DUMMYFUNCTION("""COMPUTED_VALUE"""),6.0)</f>
        <v>6</v>
      </c>
      <c r="N686" s="10"/>
      <c r="O686" s="10"/>
      <c r="P686" s="10"/>
      <c r="Q686" s="10"/>
      <c r="R686" s="10"/>
      <c r="S686" s="10"/>
      <c r="T686" s="10"/>
      <c r="U686" s="18" t="str">
        <f>IFERROR(__xludf.DUMMYFUNCTION("""COMPUTED_VALUE"""),"https://drive.google.com/open?id=1Nqh7DacU98DB9pCZqwnOC7f21wzsvJHq")</f>
        <v>https://drive.google.com/open?id=1Nqh7DacU98DB9pCZqwnOC7f21wzsvJHq</v>
      </c>
      <c r="V686" s="10" t="str">
        <f>IFERROR(__xludf.DUMMYFUNCTION("""COMPUTED_VALUE"""),"Nil")</f>
        <v>Nil</v>
      </c>
      <c r="W686" s="10"/>
      <c r="X686" s="10"/>
      <c r="Y686" s="14" t="str">
        <f>IFERROR(__xludf.DUMMYFUNCTION("""COMPUTED_VALUE"""),"tkrock321@gmail.com")</f>
        <v>tkrock321@gmail.com</v>
      </c>
      <c r="AA686" s="324"/>
    </row>
    <row r="687" hidden="1">
      <c r="A687" s="9">
        <f>IFERROR(__xludf.DUMMYFUNCTION("""COMPUTED_VALUE"""),45947.22983545139)</f>
        <v>45947.22984</v>
      </c>
      <c r="B687" s="10" t="str">
        <f>IFERROR(__xludf.DUMMYFUNCTION("""COMPUTED_VALUE"""),"Rab Nawaz ")</f>
        <v>Rab Nawaz </v>
      </c>
      <c r="C687" s="10" t="str">
        <f>IFERROR(__xludf.DUMMYFUNCTION("""COMPUTED_VALUE"""),"03458119266")</f>
        <v>03458119266</v>
      </c>
      <c r="D687" s="10" t="str">
        <f>IFERROR(__xludf.DUMMYFUNCTION("""COMPUTED_VALUE"""),"Jamia Masjid Qazyian Wali Jhang")</f>
        <v>Jamia Masjid Qazyian Wali Jhang</v>
      </c>
      <c r="E687" s="10" t="str">
        <f>IFERROR(__xludf.DUMMYFUNCTION("""COMPUTED_VALUE"""),"Vemox")</f>
        <v>Vemox</v>
      </c>
      <c r="F687" s="10">
        <f>IFERROR(__xludf.DUMMYFUNCTION("""COMPUTED_VALUE"""),188.0)</f>
        <v>188</v>
      </c>
      <c r="G687" s="10">
        <f>IFERROR(__xludf.DUMMYFUNCTION("""COMPUTED_VALUE"""),8.0)</f>
        <v>8</v>
      </c>
      <c r="H687" s="10">
        <f>IFERROR(__xludf.DUMMYFUNCTION("""COMPUTED_VALUE"""),6.0)</f>
        <v>6</v>
      </c>
      <c r="I687" s="10" t="str">
        <f>IFERROR(__xludf.DUMMYFUNCTION("""COMPUTED_VALUE"""),"Zero")</f>
        <v>Zero</v>
      </c>
      <c r="J687" s="10"/>
      <c r="K687" s="10"/>
      <c r="L687" s="10"/>
      <c r="M687" s="10">
        <f>IFERROR(__xludf.DUMMYFUNCTION("""COMPUTED_VALUE"""),6.0)</f>
        <v>6</v>
      </c>
      <c r="N687" s="10"/>
      <c r="O687" s="10"/>
      <c r="P687" s="10"/>
      <c r="Q687" s="10"/>
      <c r="R687" s="10"/>
      <c r="S687" s="10"/>
      <c r="T687" s="10"/>
      <c r="U687" s="18" t="str">
        <f>IFERROR(__xludf.DUMMYFUNCTION("""COMPUTED_VALUE"""),"https://drive.google.com/open?id=1bcaAlTHfp-H5uo5Yo_SDrHoBDtN9o6oA")</f>
        <v>https://drive.google.com/open?id=1bcaAlTHfp-H5uo5Yo_SDrHoBDtN9o6oA</v>
      </c>
      <c r="V687" s="10" t="str">
        <f>IFERROR(__xludf.DUMMYFUNCTION("""COMPUTED_VALUE"""),"Mosque name was not written at the entrance point.")</f>
        <v>Mosque name was not written at the entrance point.</v>
      </c>
      <c r="W687" s="10"/>
      <c r="X687" s="10"/>
      <c r="Y687" s="14" t="str">
        <f>IFERROR(__xludf.DUMMYFUNCTION("""COMPUTED_VALUE"""),"bhatti.rabnawaz@gmail.com")</f>
        <v>bhatti.rabnawaz@gmail.com</v>
      </c>
      <c r="AA687" s="324"/>
    </row>
    <row r="688" hidden="1">
      <c r="A688" s="9">
        <f>IFERROR(__xludf.DUMMYFUNCTION("""COMPUTED_VALUE"""),45947.233071574075)</f>
        <v>45947.23307</v>
      </c>
      <c r="B688" s="10" t="str">
        <f>IFERROR(__xludf.DUMMYFUNCTION("""COMPUTED_VALUE"""),"Shwaiz Sheraz ")</f>
        <v>Shwaiz Sheraz </v>
      </c>
      <c r="C688" s="10" t="str">
        <f>IFERROR(__xludf.DUMMYFUNCTION("""COMPUTED_VALUE"""),"03471544349")</f>
        <v>03471544349</v>
      </c>
      <c r="D688" s="10" t="str">
        <f>IFERROR(__xludf.DUMMYFUNCTION("""COMPUTED_VALUE"""),"جامعہ مسجد نور شہید روڈ جھنگ صدر")</f>
        <v>جامعہ مسجد نور شہید روڈ جھنگ صدر</v>
      </c>
      <c r="E688" s="10" t="str">
        <f>IFERROR(__xludf.DUMMYFUNCTION("""COMPUTED_VALUE"""),"fpyze")</f>
        <v>fpyze</v>
      </c>
      <c r="F688" s="10">
        <f>IFERROR(__xludf.DUMMYFUNCTION("""COMPUTED_VALUE"""),950.0)</f>
        <v>950</v>
      </c>
      <c r="G688" s="10">
        <f>IFERROR(__xludf.DUMMYFUNCTION("""COMPUTED_VALUE"""),9.0)</f>
        <v>9</v>
      </c>
      <c r="H688" s="10">
        <f>IFERROR(__xludf.DUMMYFUNCTION("""COMPUTED_VALUE"""),9.0)</f>
        <v>9</v>
      </c>
      <c r="I688" s="10">
        <f>IFERROR(__xludf.DUMMYFUNCTION("""COMPUTED_VALUE"""),0.0)</f>
        <v>0</v>
      </c>
      <c r="J688" s="10"/>
      <c r="K688" s="10"/>
      <c r="L688" s="10"/>
      <c r="M688" s="10">
        <f>IFERROR(__xludf.DUMMYFUNCTION("""COMPUTED_VALUE"""),7.0)</f>
        <v>7</v>
      </c>
      <c r="N688" s="10"/>
      <c r="O688" s="10"/>
      <c r="P688" s="10"/>
      <c r="Q688" s="10"/>
      <c r="R688" s="10"/>
      <c r="S688" s="10"/>
      <c r="T688" s="10"/>
      <c r="U688" s="18" t="str">
        <f>IFERROR(__xludf.DUMMYFUNCTION("""COMPUTED_VALUE"""),"https://drive.google.com/open?id=1iUK_r7VprmT2Nsw35dZahVMwkb4aWzc-")</f>
        <v>https://drive.google.com/open?id=1iUK_r7VprmT2Nsw35dZahVMwkb4aWzc-</v>
      </c>
      <c r="V688" s="10" t="str">
        <f>IFERROR(__xludf.DUMMYFUNCTION("""COMPUTED_VALUE"""),"No")</f>
        <v>No</v>
      </c>
      <c r="W688" s="10"/>
      <c r="X688" s="10"/>
      <c r="Y688" s="14" t="str">
        <f>IFERROR(__xludf.DUMMYFUNCTION("""COMPUTED_VALUE"""),"shwaiz.sheraz@gmail.com")</f>
        <v>shwaiz.sheraz@gmail.com</v>
      </c>
      <c r="AA688" s="324"/>
    </row>
    <row r="689" hidden="1">
      <c r="A689" s="9">
        <f>IFERROR(__xludf.DUMMYFUNCTION("""COMPUTED_VALUE"""),45947.238618958334)</f>
        <v>45947.23862</v>
      </c>
      <c r="B689" s="10" t="str">
        <f>IFERROR(__xludf.DUMMYFUNCTION("""COMPUTED_VALUE"""),"Zain Sajjad ")</f>
        <v>Zain Sajjad </v>
      </c>
      <c r="C689" s="10">
        <f>IFERROR(__xludf.DUMMYFUNCTION("""COMPUTED_VALUE"""),3.044801331E9)</f>
        <v>3044801331</v>
      </c>
      <c r="D689" s="10" t="str">
        <f>IFERROR(__xludf.DUMMYFUNCTION("""COMPUTED_VALUE"""),"Jamia Masjid Tehseel wali khachari ")</f>
        <v>Jamia Masjid Tehseel wali khachari </v>
      </c>
      <c r="E689" s="10" t="str">
        <f>IFERROR(__xludf.DUMMYFUNCTION("""COMPUTED_VALUE"""),"Pjygt")</f>
        <v>Pjygt</v>
      </c>
      <c r="F689" s="10">
        <f>IFERROR(__xludf.DUMMYFUNCTION("""COMPUTED_VALUE"""),500.0)</f>
        <v>500</v>
      </c>
      <c r="G689" s="10">
        <f>IFERROR(__xludf.DUMMYFUNCTION("""COMPUTED_VALUE"""),9.0)</f>
        <v>9</v>
      </c>
      <c r="H689" s="10">
        <f>IFERROR(__xludf.DUMMYFUNCTION("""COMPUTED_VALUE"""),8.0)</f>
        <v>8</v>
      </c>
      <c r="I689" s="10">
        <f>IFERROR(__xludf.DUMMYFUNCTION("""COMPUTED_VALUE"""),20.0)</f>
        <v>20</v>
      </c>
      <c r="J689" s="10"/>
      <c r="K689" s="10"/>
      <c r="L689" s="10"/>
      <c r="M689" s="10">
        <f>IFERROR(__xludf.DUMMYFUNCTION("""COMPUTED_VALUE"""),5.0)</f>
        <v>5</v>
      </c>
      <c r="N689" s="10"/>
      <c r="O689" s="10"/>
      <c r="P689" s="10"/>
      <c r="Q689" s="10"/>
      <c r="R689" s="10"/>
      <c r="S689" s="10"/>
      <c r="T689" s="10"/>
      <c r="U689" s="10" t="str">
        <f>IFERROR(__xludf.DUMMYFUNCTION("""COMPUTED_VALUE"""),"https://drive.google.com/open?id=1LGCJaOqx10LqAxFPY1Nnw0MU3fdb1_iT, https://drive.google.com/open?id=1nDIZEhSS-yGowwHl12W3aGnpjDQ5T_mm")</f>
        <v>https://drive.google.com/open?id=1LGCJaOqx10LqAxFPY1Nnw0MU3fdb1_iT, https://drive.google.com/open?id=1nDIZEhSS-yGowwHl12W3aGnpjDQ5T_mm</v>
      </c>
      <c r="V689" s="10"/>
      <c r="W689" s="10"/>
      <c r="X689" s="10"/>
      <c r="Y689" s="14" t="str">
        <f>IFERROR(__xludf.DUMMYFUNCTION("""COMPUTED_VALUE"""),"zain.chandio881@gmail.com")</f>
        <v>zain.chandio881@gmail.com</v>
      </c>
      <c r="AA689" s="324"/>
    </row>
    <row r="690" hidden="1">
      <c r="A690" s="9">
        <f>IFERROR(__xludf.DUMMYFUNCTION("""COMPUTED_VALUE"""),45947.24097409722)</f>
        <v>45947.24097</v>
      </c>
      <c r="B690" s="10" t="str">
        <f>IFERROR(__xludf.DUMMYFUNCTION("""COMPUTED_VALUE"""),"M.rizwan")</f>
        <v>M.rizwan</v>
      </c>
      <c r="C690" s="10" t="str">
        <f>IFERROR(__xludf.DUMMYFUNCTION("""COMPUTED_VALUE"""),"03084373512")</f>
        <v>03084373512</v>
      </c>
      <c r="D690" s="10" t="str">
        <f>IFERROR(__xludf.DUMMYFUNCTION("""COMPUTED_VALUE"""),"Nolakh hazari shahkot ")</f>
        <v>Nolakh hazari shahkot </v>
      </c>
      <c r="E690" s="10" t="str">
        <f>IFERROR(__xludf.DUMMYFUNCTION("""COMPUTED_VALUE"""),"epwte")</f>
        <v>epwte</v>
      </c>
      <c r="F690" s="10">
        <f>IFERROR(__xludf.DUMMYFUNCTION("""COMPUTED_VALUE"""),270.0)</f>
        <v>270</v>
      </c>
      <c r="G690" s="10">
        <f>IFERROR(__xludf.DUMMYFUNCTION("""COMPUTED_VALUE"""),5.0)</f>
        <v>5</v>
      </c>
      <c r="H690" s="10">
        <f>IFERROR(__xludf.DUMMYFUNCTION("""COMPUTED_VALUE"""),4.0)</f>
        <v>4</v>
      </c>
      <c r="I690" s="10">
        <f>IFERROR(__xludf.DUMMYFUNCTION("""COMPUTED_VALUE"""),0.0)</f>
        <v>0</v>
      </c>
      <c r="J690" s="10"/>
      <c r="K690" s="10"/>
      <c r="L690" s="10"/>
      <c r="M690" s="10">
        <f>IFERROR(__xludf.DUMMYFUNCTION("""COMPUTED_VALUE"""),9.0)</f>
        <v>9</v>
      </c>
      <c r="N690" s="10"/>
      <c r="O690" s="10"/>
      <c r="P690" s="10"/>
      <c r="Q690" s="10"/>
      <c r="R690" s="10"/>
      <c r="S690" s="10"/>
      <c r="T690" s="10"/>
      <c r="U690" s="18" t="str">
        <f>IFERROR(__xludf.DUMMYFUNCTION("""COMPUTED_VALUE"""),"https://drive.google.com/open?id=1tiLmgzLiiI7-6P5MPm5CuiROv4HqkmqU")</f>
        <v>https://drive.google.com/open?id=1tiLmgzLiiI7-6P5MPm5CuiROv4HqkmqU</v>
      </c>
      <c r="V690" s="10" t="str">
        <f>IFERROR(__xludf.DUMMYFUNCTION("""COMPUTED_VALUE"""),"People are noted me due to current circumstances ")</f>
        <v>People are noted me due to current circumstances </v>
      </c>
      <c r="W690" s="10"/>
      <c r="X690" s="10"/>
      <c r="Y690" s="14" t="str">
        <f>IFERROR(__xludf.DUMMYFUNCTION("""COMPUTED_VALUE"""),"mrizwanrasheed666@gmail.com")</f>
        <v>mrizwanrasheed666@gmail.com</v>
      </c>
      <c r="AA690" s="324"/>
    </row>
    <row r="691" hidden="1">
      <c r="A691" s="9">
        <f>IFERROR(__xludf.DUMMYFUNCTION("""COMPUTED_VALUE"""),45947.25131954861)</f>
        <v>45947.25132</v>
      </c>
      <c r="B691" s="10" t="str">
        <f>IFERROR(__xludf.DUMMYFUNCTION("""COMPUTED_VALUE"""),"Ali Ahsan")</f>
        <v>Ali Ahsan</v>
      </c>
      <c r="C691" s="10" t="str">
        <f>IFERROR(__xludf.DUMMYFUNCTION("""COMPUTED_VALUE"""),"03217827078")</f>
        <v>03217827078</v>
      </c>
      <c r="D691" s="10" t="str">
        <f>IFERROR(__xludf.DUMMYFUNCTION("""COMPUTED_VALUE"""),"Jamia Masjid Gole Karyana Karkhana bazar Faisalabad ")</f>
        <v>Jamia Masjid Gole Karyana Karkhana bazar Faisalabad </v>
      </c>
      <c r="E691" s="10" t="str">
        <f>IFERROR(__xludf.DUMMYFUNCTION("""COMPUTED_VALUE"""),"XLEMR")</f>
        <v>XLEMR</v>
      </c>
      <c r="F691" s="10">
        <f>IFERROR(__xludf.DUMMYFUNCTION("""COMPUTED_VALUE"""),331.0)</f>
        <v>331</v>
      </c>
      <c r="G691" s="10">
        <f>IFERROR(__xludf.DUMMYFUNCTION("""COMPUTED_VALUE"""),8.0)</f>
        <v>8</v>
      </c>
      <c r="H691" s="10">
        <f>IFERROR(__xludf.DUMMYFUNCTION("""COMPUTED_VALUE"""),9.0)</f>
        <v>9</v>
      </c>
      <c r="I691" s="10" t="str">
        <f>IFERROR(__xludf.DUMMYFUNCTION("""COMPUTED_VALUE"""),"No")</f>
        <v>No</v>
      </c>
      <c r="J691" s="10"/>
      <c r="K691" s="10"/>
      <c r="L691" s="10"/>
      <c r="M691" s="10">
        <f>IFERROR(__xludf.DUMMYFUNCTION("""COMPUTED_VALUE"""),10.0)</f>
        <v>10</v>
      </c>
      <c r="N691" s="10"/>
      <c r="O691" s="10"/>
      <c r="P691" s="10"/>
      <c r="Q691" s="10"/>
      <c r="R691" s="10"/>
      <c r="S691" s="10"/>
      <c r="T691" s="10"/>
      <c r="U691" s="18" t="str">
        <f>IFERROR(__xludf.DUMMYFUNCTION("""COMPUTED_VALUE"""),"https://drive.google.com/file/d/1iRk9Nc77EyNwcJuNQH2HBBxLzRAYynVz/view?usp=drive_link")</f>
        <v>https://drive.google.com/file/d/1iRk9Nc77EyNwcJuNQH2HBBxLzRAYynVz/view?usp=drive_link</v>
      </c>
      <c r="V691" s="10"/>
      <c r="W691" s="10"/>
      <c r="X691" s="10"/>
      <c r="Y691" s="14" t="str">
        <f>IFERROR(__xludf.DUMMYFUNCTION("""COMPUTED_VALUE"""),"inspirepharma440@gmail.com")</f>
        <v>inspirepharma440@gmail.com</v>
      </c>
      <c r="AA691" s="324"/>
    </row>
    <row r="692" hidden="1">
      <c r="A692" s="9">
        <f>IFERROR(__xludf.DUMMYFUNCTION("""COMPUTED_VALUE"""),45947.25376836806)</f>
        <v>45947.25377</v>
      </c>
      <c r="B692" s="10" t="str">
        <f>IFERROR(__xludf.DUMMYFUNCTION("""COMPUTED_VALUE"""),"Naveed Khalid ")</f>
        <v>Naveed Khalid </v>
      </c>
      <c r="C692" s="10" t="str">
        <f>IFERROR(__xludf.DUMMYFUNCTION("""COMPUTED_VALUE"""),"03087944200")</f>
        <v>03087944200</v>
      </c>
      <c r="D692" s="10" t="str">
        <f>IFERROR(__xludf.DUMMYFUNCTION("""COMPUTED_VALUE"""),"Jamia Masjid Darbar Muhammad Ghous Bala Peer ")</f>
        <v>Jamia Masjid Darbar Muhammad Ghous Bala Peer </v>
      </c>
      <c r="E692" s="10" t="str">
        <f>IFERROR(__xludf.DUMMYFUNCTION("""COMPUTED_VALUE"""),"VTGKG ")</f>
        <v>VTGKG </v>
      </c>
      <c r="F692" s="10">
        <f>IFERROR(__xludf.DUMMYFUNCTION("""COMPUTED_VALUE"""),520.0)</f>
        <v>520</v>
      </c>
      <c r="G692" s="10">
        <f>IFERROR(__xludf.DUMMYFUNCTION("""COMPUTED_VALUE"""),5.0)</f>
        <v>5</v>
      </c>
      <c r="H692" s="10">
        <f>IFERROR(__xludf.DUMMYFUNCTION("""COMPUTED_VALUE"""),5.0)</f>
        <v>5</v>
      </c>
      <c r="I692" s="10">
        <f>IFERROR(__xludf.DUMMYFUNCTION("""COMPUTED_VALUE"""),2.0)</f>
        <v>2</v>
      </c>
      <c r="J692" s="10"/>
      <c r="K692" s="10"/>
      <c r="L692" s="10"/>
      <c r="M692" s="10">
        <f>IFERROR(__xludf.DUMMYFUNCTION("""COMPUTED_VALUE"""),10.0)</f>
        <v>10</v>
      </c>
      <c r="N692" s="10"/>
      <c r="O692" s="10"/>
      <c r="P692" s="10"/>
      <c r="Q692" s="10"/>
      <c r="R692" s="10"/>
      <c r="S692" s="10"/>
      <c r="T692" s="10"/>
      <c r="U692" s="18" t="str">
        <f>IFERROR(__xludf.DUMMYFUNCTION("""COMPUTED_VALUE"""),"https://drive.google.com/open?id=1GHWflDBXwAqucmS1pjN3cpBlC0-e6NIo")</f>
        <v>https://drive.google.com/open?id=1GHWflDBXwAqucmS1pjN3cpBlC0-e6NIo</v>
      </c>
      <c r="V692" s="10"/>
      <c r="W692" s="10"/>
      <c r="X692" s="10"/>
      <c r="Y692" s="14" t="str">
        <f>IFERROR(__xludf.DUMMYFUNCTION("""COMPUTED_VALUE"""),"rulesbreakers52@gmail.com")</f>
        <v>rulesbreakers52@gmail.com</v>
      </c>
      <c r="AA692" s="324"/>
    </row>
    <row r="693" hidden="1">
      <c r="A693" s="9">
        <f>IFERROR(__xludf.DUMMYFUNCTION("""COMPUTED_VALUE"""),45947.25474203704)</f>
        <v>45947.25474</v>
      </c>
      <c r="B693" s="10" t="str">
        <f>IFERROR(__xludf.DUMMYFUNCTION("""COMPUTED_VALUE"""),"Mohsin raza")</f>
        <v>Mohsin raza</v>
      </c>
      <c r="C693" s="10" t="str">
        <f>IFERROR(__xludf.DUMMYFUNCTION("""COMPUTED_VALUE"""),"03014497860")</f>
        <v>03014497860</v>
      </c>
      <c r="D693" s="10" t="str">
        <f>IFERROR(__xludf.DUMMYFUNCTION("""COMPUTED_VALUE"""),"Lari adda shahkot")</f>
        <v>Lari adda shahkot</v>
      </c>
      <c r="E693" s="10" t="str">
        <f>IFERROR(__xludf.DUMMYFUNCTION("""COMPUTED_VALUE"""),"fjupe")</f>
        <v>fjupe</v>
      </c>
      <c r="F693" s="10">
        <f>IFERROR(__xludf.DUMMYFUNCTION("""COMPUTED_VALUE"""),76.0)</f>
        <v>76</v>
      </c>
      <c r="G693" s="10">
        <f>IFERROR(__xludf.DUMMYFUNCTION("""COMPUTED_VALUE"""),5.0)</f>
        <v>5</v>
      </c>
      <c r="H693" s="10">
        <f>IFERROR(__xludf.DUMMYFUNCTION("""COMPUTED_VALUE"""),3.0)</f>
        <v>3</v>
      </c>
      <c r="I693" s="10" t="str">
        <f>IFERROR(__xludf.DUMMYFUNCTION("""COMPUTED_VALUE"""),"No")</f>
        <v>No</v>
      </c>
      <c r="J693" s="10"/>
      <c r="K693" s="10"/>
      <c r="L693" s="10"/>
      <c r="M693" s="10">
        <f>IFERROR(__xludf.DUMMYFUNCTION("""COMPUTED_VALUE"""),6.0)</f>
        <v>6</v>
      </c>
      <c r="N693" s="10"/>
      <c r="O693" s="10"/>
      <c r="P693" s="10"/>
      <c r="Q693" s="10"/>
      <c r="R693" s="10"/>
      <c r="S693" s="10"/>
      <c r="T693" s="10"/>
      <c r="U693" s="18" t="str">
        <f>IFERROR(__xludf.DUMMYFUNCTION("""COMPUTED_VALUE"""),"https://drive.google.com/open?id=1B107z-E5O0O3iC0Op9oXWor0S0kTtzMg")</f>
        <v>https://drive.google.com/open?id=1B107z-E5O0O3iC0Op9oXWor0S0kTtzMg</v>
      </c>
      <c r="V693" s="10" t="str">
        <f>IFERROR(__xludf.DUMMYFUNCTION("""COMPUTED_VALUE"""),"People  noted  me")</f>
        <v>People  noted  me</v>
      </c>
      <c r="W693" s="10"/>
      <c r="X693" s="10"/>
      <c r="Y693" s="14" t="str">
        <f>IFERROR(__xludf.DUMMYFUNCTION("""COMPUTED_VALUE"""),"mohsinraza668877@gmail.com")</f>
        <v>mohsinraza668877@gmail.com</v>
      </c>
      <c r="AA693" s="324"/>
    </row>
    <row r="694" hidden="1">
      <c r="A694" s="9">
        <f>IFERROR(__xludf.DUMMYFUNCTION("""COMPUTED_VALUE"""),45947.2554987037)</f>
        <v>45947.2555</v>
      </c>
      <c r="B694" s="10" t="str">
        <f>IFERROR(__xludf.DUMMYFUNCTION("""COMPUTED_VALUE"""),"Muhammad Sohail")</f>
        <v>Muhammad Sohail</v>
      </c>
      <c r="C694" s="10" t="str">
        <f>IFERROR(__xludf.DUMMYFUNCTION("""COMPUTED_VALUE"""),"03003786086")</f>
        <v>03003786086</v>
      </c>
      <c r="D694" s="10" t="str">
        <f>IFERROR(__xludf.DUMMYFUNCTION("""COMPUTED_VALUE"""),"جامعہ مسجد اسلام پورہ دھوبی گھاٹ فیصل آباد")</f>
        <v>جامعہ مسجد اسلام پورہ دھوبی گھاٹ فیصل آباد</v>
      </c>
      <c r="E694" s="10" t="str">
        <f>IFERROR(__xludf.DUMMYFUNCTION("""COMPUTED_VALUE"""),"cfcvk")</f>
        <v>cfcvk</v>
      </c>
      <c r="F694" s="10">
        <f>IFERROR(__xludf.DUMMYFUNCTION("""COMPUTED_VALUE"""),300.0)</f>
        <v>300</v>
      </c>
      <c r="G694" s="10">
        <f>IFERROR(__xludf.DUMMYFUNCTION("""COMPUTED_VALUE"""),9.0)</f>
        <v>9</v>
      </c>
      <c r="H694" s="10">
        <f>IFERROR(__xludf.DUMMYFUNCTION("""COMPUTED_VALUE"""),10.0)</f>
        <v>10</v>
      </c>
      <c r="I694" s="10">
        <f>IFERROR(__xludf.DUMMYFUNCTION("""COMPUTED_VALUE"""),0.0)</f>
        <v>0</v>
      </c>
      <c r="J694" s="10"/>
      <c r="K694" s="10"/>
      <c r="L694" s="10"/>
      <c r="M694" s="10">
        <f>IFERROR(__xludf.DUMMYFUNCTION("""COMPUTED_VALUE"""),9.0)</f>
        <v>9</v>
      </c>
      <c r="N694" s="10"/>
      <c r="O694" s="10"/>
      <c r="P694" s="10"/>
      <c r="Q694" s="10"/>
      <c r="R694" s="10"/>
      <c r="S694" s="10"/>
      <c r="T694" s="10"/>
      <c r="U694" s="18" t="str">
        <f>IFERROR(__xludf.DUMMYFUNCTION("""COMPUTED_VALUE"""),"https://drive.google.com/open?id=1Xq1j1Ytpli2fTIa39s-7-heBYfL9SitN")</f>
        <v>https://drive.google.com/open?id=1Xq1j1Ytpli2fTIa39s-7-heBYfL9SitN</v>
      </c>
      <c r="V694" s="10"/>
      <c r="W694" s="10"/>
      <c r="X694" s="10"/>
      <c r="Y694" s="14" t="str">
        <f>IFERROR(__xludf.DUMMYFUNCTION("""COMPUTED_VALUE"""),"shaheenabbasxxx@gmail.com")</f>
        <v>shaheenabbasxxx@gmail.com</v>
      </c>
      <c r="AA694" s="324"/>
    </row>
    <row r="695" hidden="1">
      <c r="A695" s="9">
        <f>IFERROR(__xludf.DUMMYFUNCTION("""COMPUTED_VALUE"""),45947.25752185185)</f>
        <v>45947.25752</v>
      </c>
      <c r="B695" s="10" t="str">
        <f>IFERROR(__xludf.DUMMYFUNCTION("""COMPUTED_VALUE"""),"Shahid Fareed ")</f>
        <v>Shahid Fareed </v>
      </c>
      <c r="C695" s="10" t="str">
        <f>IFERROR(__xludf.DUMMYFUNCTION("""COMPUTED_VALUE"""),"03054323435")</f>
        <v>03054323435</v>
      </c>
      <c r="D695" s="10" t="str">
        <f>IFERROR(__xludf.DUMMYFUNCTION("""COMPUTED_VALUE"""),"Jamea Masjid Eid Ghah Modal town B faisalabad ")</f>
        <v>Jamea Masjid Eid Ghah Modal town B faisalabad </v>
      </c>
      <c r="E695" s="10" t="str">
        <f>IFERROR(__xludf.DUMMYFUNCTION("""COMPUTED_VALUE"""),"Vldwg")</f>
        <v>Vldwg</v>
      </c>
      <c r="F695" s="10">
        <f>IFERROR(__xludf.DUMMYFUNCTION("""COMPUTED_VALUE"""),328.0)</f>
        <v>328</v>
      </c>
      <c r="G695" s="10">
        <f>IFERROR(__xludf.DUMMYFUNCTION("""COMPUTED_VALUE"""),8.0)</f>
        <v>8</v>
      </c>
      <c r="H695" s="10">
        <f>IFERROR(__xludf.DUMMYFUNCTION("""COMPUTED_VALUE"""),8.0)</f>
        <v>8</v>
      </c>
      <c r="I695" s="10" t="str">
        <f>IFERROR(__xludf.DUMMYFUNCTION("""COMPUTED_VALUE"""),"No trash")</f>
        <v>No trash</v>
      </c>
      <c r="J695" s="10"/>
      <c r="K695" s="10"/>
      <c r="L695" s="10"/>
      <c r="M695" s="10">
        <f>IFERROR(__xludf.DUMMYFUNCTION("""COMPUTED_VALUE"""),9.0)</f>
        <v>9</v>
      </c>
      <c r="N695" s="10"/>
      <c r="O695" s="10"/>
      <c r="P695" s="10"/>
      <c r="Q695" s="10"/>
      <c r="R695" s="10"/>
      <c r="S695" s="10"/>
      <c r="T695" s="10"/>
      <c r="U695" s="18" t="str">
        <f>IFERROR(__xludf.DUMMYFUNCTION("""COMPUTED_VALUE"""),"https://drive.google.com/open?id=10eL9BLDjUnnRMI9GBhTnQkBoYyDd433g")</f>
        <v>https://drive.google.com/open?id=10eL9BLDjUnnRMI9GBhTnQkBoYyDd433g</v>
      </c>
      <c r="V695" s="10" t="str">
        <f>IFERROR(__xludf.DUMMYFUNCTION("""COMPUTED_VALUE"""),"Imaam sab ny cooperate nai kiya")</f>
        <v>Imaam sab ny cooperate nai kiya</v>
      </c>
      <c r="W695" s="10"/>
      <c r="X695" s="10"/>
      <c r="Y695" s="14" t="str">
        <f>IFERROR(__xludf.DUMMYFUNCTION("""COMPUTED_VALUE"""),"shahidfareed622@gmail.com")</f>
        <v>shahidfareed622@gmail.com</v>
      </c>
      <c r="AA695" s="324"/>
    </row>
    <row r="696" hidden="1">
      <c r="A696" s="9">
        <f>IFERROR(__xludf.DUMMYFUNCTION("""COMPUTED_VALUE"""),45947.26067340278)</f>
        <v>45947.26067</v>
      </c>
      <c r="B696" s="10" t="str">
        <f>IFERROR(__xludf.DUMMYFUNCTION("""COMPUTED_VALUE"""),"Abubakar ")</f>
        <v>Abubakar </v>
      </c>
      <c r="C696" s="10" t="str">
        <f>IFERROR(__xludf.DUMMYFUNCTION("""COMPUTED_VALUE"""),"03111204919")</f>
        <v>03111204919</v>
      </c>
      <c r="D696" s="10" t="str">
        <f>IFERROR(__xludf.DUMMYFUNCTION("""COMPUTED_VALUE"""),"Jamiya masjid usmaneya ")</f>
        <v>Jamiya masjid usmaneya </v>
      </c>
      <c r="E696" s="10" t="str">
        <f>IFERROR(__xludf.DUMMYFUNCTION("""COMPUTED_VALUE"""),"KGQJV")</f>
        <v>KGQJV</v>
      </c>
      <c r="F696" s="10">
        <f>IFERROR(__xludf.DUMMYFUNCTION("""COMPUTED_VALUE"""),800.0)</f>
        <v>800</v>
      </c>
      <c r="G696" s="10">
        <f>IFERROR(__xludf.DUMMYFUNCTION("""COMPUTED_VALUE"""),8.0)</f>
        <v>8</v>
      </c>
      <c r="H696" s="10">
        <f>IFERROR(__xludf.DUMMYFUNCTION("""COMPUTED_VALUE"""),8.0)</f>
        <v>8</v>
      </c>
      <c r="I696" s="10">
        <f>IFERROR(__xludf.DUMMYFUNCTION("""COMPUTED_VALUE"""),1.0)</f>
        <v>1</v>
      </c>
      <c r="J696" s="10"/>
      <c r="K696" s="10"/>
      <c r="L696" s="10"/>
      <c r="M696" s="10">
        <f>IFERROR(__xludf.DUMMYFUNCTION("""COMPUTED_VALUE"""),8.0)</f>
        <v>8</v>
      </c>
      <c r="N696" s="10"/>
      <c r="O696" s="10"/>
      <c r="P696" s="10"/>
      <c r="Q696" s="10"/>
      <c r="R696" s="10"/>
      <c r="S696" s="10"/>
      <c r="T696" s="10"/>
      <c r="U696" s="18" t="str">
        <f>IFERROR(__xludf.DUMMYFUNCTION("""COMPUTED_VALUE"""),"https://drive.google.com/file/d/1tULFWmFTTPpDFujlycatQJ_bMC727KL3/view?usp=drive_link")</f>
        <v>https://drive.google.com/file/d/1tULFWmFTTPpDFujlycatQJ_bMC727KL3/view?usp=drive_link</v>
      </c>
      <c r="V696" s="10"/>
      <c r="W696" s="10"/>
      <c r="X696" s="10"/>
      <c r="Y696" s="14" t="str">
        <f>IFERROR(__xludf.DUMMYFUNCTION("""COMPUTED_VALUE"""),"ab1995312@gmail.com")</f>
        <v>ab1995312@gmail.com</v>
      </c>
      <c r="AA696" s="324"/>
    </row>
    <row r="697" hidden="1">
      <c r="A697" s="9">
        <f>IFERROR(__xludf.DUMMYFUNCTION("""COMPUTED_VALUE"""),45947.267479918984)</f>
        <v>45947.26748</v>
      </c>
      <c r="B697" s="10" t="str">
        <f>IFERROR(__xludf.DUMMYFUNCTION("""COMPUTED_VALUE"""),"Khurshid Qaiser")</f>
        <v>Khurshid Qaiser</v>
      </c>
      <c r="C697" s="10" t="str">
        <f>IFERROR(__xludf.DUMMYFUNCTION("""COMPUTED_VALUE"""),"03338163551")</f>
        <v>03338163551</v>
      </c>
      <c r="D697" s="10" t="str">
        <f>IFERROR(__xludf.DUMMYFUNCTION("""COMPUTED_VALUE"""),"Markazi Jamia Masjid rahmania Sargodha road Faisalab")</f>
        <v>Markazi Jamia Masjid rahmania Sargodha road Faisalab</v>
      </c>
      <c r="E697" s="10" t="str">
        <f>IFERROR(__xludf.DUMMYFUNCTION("""COMPUTED_VALUE"""),"r d z l q")</f>
        <v>r d z l q</v>
      </c>
      <c r="F697" s="10">
        <f>IFERROR(__xludf.DUMMYFUNCTION("""COMPUTED_VALUE"""),325.0)</f>
        <v>325</v>
      </c>
      <c r="G697" s="10">
        <f>IFERROR(__xludf.DUMMYFUNCTION("""COMPUTED_VALUE"""),10.0)</f>
        <v>10</v>
      </c>
      <c r="H697" s="10">
        <f>IFERROR(__xludf.DUMMYFUNCTION("""COMPUTED_VALUE"""),10.0)</f>
        <v>10</v>
      </c>
      <c r="I697" s="10" t="str">
        <f>IFERROR(__xludf.DUMMYFUNCTION("""COMPUTED_VALUE"""),"0 (Zero)")</f>
        <v>0 (Zero)</v>
      </c>
      <c r="J697" s="10"/>
      <c r="K697" s="10"/>
      <c r="L697" s="10"/>
      <c r="M697" s="10">
        <f>IFERROR(__xludf.DUMMYFUNCTION("""COMPUTED_VALUE"""),10.0)</f>
        <v>10</v>
      </c>
      <c r="N697" s="10"/>
      <c r="O697" s="10"/>
      <c r="P697" s="10"/>
      <c r="Q697" s="10"/>
      <c r="R697" s="10"/>
      <c r="S697" s="10"/>
      <c r="T697" s="10"/>
      <c r="U697" s="18" t="str">
        <f>IFERROR(__xludf.DUMMYFUNCTION("""COMPUTED_VALUE"""),"https://drive.google.com/open?id=1maulPJVK7K42GmFqe9Aa1NJMxxgFWJNB")</f>
        <v>https://drive.google.com/open?id=1maulPJVK7K42GmFqe9Aa1NJMxxgFWJNB</v>
      </c>
      <c r="V697" s="10"/>
      <c r="W697" s="10"/>
      <c r="X697" s="10"/>
      <c r="Y697" s="14" t="str">
        <f>IFERROR(__xludf.DUMMYFUNCTION("""COMPUTED_VALUE"""),"khurshidqaisaer1@gmail.com")</f>
        <v>khurshidqaisaer1@gmail.com</v>
      </c>
      <c r="AA697" s="324"/>
    </row>
    <row r="698" hidden="1">
      <c r="A698" s="9">
        <f>IFERROR(__xludf.DUMMYFUNCTION("""COMPUTED_VALUE"""),45947.27120560185)</f>
        <v>45947.27121</v>
      </c>
      <c r="B698" s="10" t="str">
        <f>IFERROR(__xludf.DUMMYFUNCTION("""COMPUTED_VALUE"""),"شاہ رخ")</f>
        <v>شاہ رخ</v>
      </c>
      <c r="C698" s="10" t="str">
        <f>IFERROR(__xludf.DUMMYFUNCTION("""COMPUTED_VALUE"""),"03137787277")</f>
        <v>03137787277</v>
      </c>
      <c r="D698" s="10" t="str">
        <f>IFERROR(__xludf.DUMMYFUNCTION("""COMPUTED_VALUE"""),"جامع مسجد فیصل آباد (کچہری بازار)")</f>
        <v>جامع مسجد فیصل آباد (کچہری بازار)</v>
      </c>
      <c r="E698" s="10" t="str">
        <f>IFERROR(__xludf.DUMMYFUNCTION("""COMPUTED_VALUE"""),"kocqj")</f>
        <v>kocqj</v>
      </c>
      <c r="F698" s="10">
        <f>IFERROR(__xludf.DUMMYFUNCTION("""COMPUTED_VALUE"""),153.0)</f>
        <v>153</v>
      </c>
      <c r="G698" s="10">
        <f>IFERROR(__xludf.DUMMYFUNCTION("""COMPUTED_VALUE"""),7.0)</f>
        <v>7</v>
      </c>
      <c r="H698" s="10">
        <f>IFERROR(__xludf.DUMMYFUNCTION("""COMPUTED_VALUE"""),9.0)</f>
        <v>9</v>
      </c>
      <c r="I698" s="10">
        <f>IFERROR(__xludf.DUMMYFUNCTION("""COMPUTED_VALUE"""),2.0)</f>
        <v>2</v>
      </c>
      <c r="J698" s="10"/>
      <c r="K698" s="10"/>
      <c r="L698" s="10"/>
      <c r="M698" s="10">
        <f>IFERROR(__xludf.DUMMYFUNCTION("""COMPUTED_VALUE"""),8.0)</f>
        <v>8</v>
      </c>
      <c r="N698" s="10"/>
      <c r="O698" s="10"/>
      <c r="P698" s="10"/>
      <c r="Q698" s="10"/>
      <c r="R698" s="10"/>
      <c r="S698" s="10"/>
      <c r="T698" s="10"/>
      <c r="U698" s="18" t="str">
        <f>IFERROR(__xludf.DUMMYFUNCTION("""COMPUTED_VALUE"""),"https://drive.google.com/open?id=145i-Ix-yiAnHgk4d2m329yGIRhQbOcth")</f>
        <v>https://drive.google.com/open?id=145i-Ix-yiAnHgk4d2m329yGIRhQbOcth</v>
      </c>
      <c r="V698" s="10"/>
      <c r="W698" s="10"/>
      <c r="X698" s="10"/>
      <c r="Y698" s="14" t="str">
        <f>IFERROR(__xludf.DUMMYFUNCTION("""COMPUTED_VALUE"""),"shahrukhrana25022004@gmail.com")</f>
        <v>shahrukhrana25022004@gmail.com</v>
      </c>
      <c r="AA698" s="324"/>
    </row>
    <row r="699" hidden="1">
      <c r="A699" s="9">
        <f>IFERROR(__xludf.DUMMYFUNCTION("""COMPUTED_VALUE"""),45947.27299648148)</f>
        <v>45947.273</v>
      </c>
      <c r="B699" s="10" t="str">
        <f>IFERROR(__xludf.DUMMYFUNCTION("""COMPUTED_VALUE"""),"Khurshid Qaiser")</f>
        <v>Khurshid Qaiser</v>
      </c>
      <c r="C699" s="10" t="str">
        <f>IFERROR(__xludf.DUMMYFUNCTION("""COMPUTED_VALUE"""),"03338163551")</f>
        <v>03338163551</v>
      </c>
      <c r="D699" s="10" t="str">
        <f>IFERROR(__xludf.DUMMYFUNCTION("""COMPUTED_VALUE"""),"Markazi Jamia Masjid Rahmania Sargodha road Faisalabad")</f>
        <v>Markazi Jamia Masjid Rahmania Sargodha road Faisalabad</v>
      </c>
      <c r="E699" s="10" t="str">
        <f>IFERROR(__xludf.DUMMYFUNCTION("""COMPUTED_VALUE"""),"rdzla")</f>
        <v>rdzla</v>
      </c>
      <c r="F699" s="10">
        <f>IFERROR(__xludf.DUMMYFUNCTION("""COMPUTED_VALUE"""),325.0)</f>
        <v>325</v>
      </c>
      <c r="G699" s="10">
        <f>IFERROR(__xludf.DUMMYFUNCTION("""COMPUTED_VALUE"""),10.0)</f>
        <v>10</v>
      </c>
      <c r="H699" s="10">
        <f>IFERROR(__xludf.DUMMYFUNCTION("""COMPUTED_VALUE"""),10.0)</f>
        <v>10</v>
      </c>
      <c r="I699" s="10" t="str">
        <f>IFERROR(__xludf.DUMMYFUNCTION("""COMPUTED_VALUE"""),"0(zero)")</f>
        <v>0(zero)</v>
      </c>
      <c r="J699" s="10"/>
      <c r="K699" s="10"/>
      <c r="L699" s="10"/>
      <c r="M699" s="10">
        <f>IFERROR(__xludf.DUMMYFUNCTION("""COMPUTED_VALUE"""),10.0)</f>
        <v>10</v>
      </c>
      <c r="N699" s="10"/>
      <c r="O699" s="10"/>
      <c r="P699" s="10"/>
      <c r="Q699" s="10"/>
      <c r="R699" s="10"/>
      <c r="S699" s="10"/>
      <c r="T699" s="10"/>
      <c r="U699" s="18" t="str">
        <f>IFERROR(__xludf.DUMMYFUNCTION("""COMPUTED_VALUE"""),"https://drive.google.com/open?id=1-D-FnePHNt9tH8UGZP4xBzhrccDfDXuc")</f>
        <v>https://drive.google.com/open?id=1-D-FnePHNt9tH8UGZP4xBzhrccDfDXuc</v>
      </c>
      <c r="V699" s="10"/>
      <c r="W699" s="10"/>
      <c r="X699" s="10"/>
      <c r="Y699" s="14" t="str">
        <f>IFERROR(__xludf.DUMMYFUNCTION("""COMPUTED_VALUE"""),"khurshidqaiser1@gmail.com")</f>
        <v>khurshidqaiser1@gmail.com</v>
      </c>
      <c r="AA699" s="324"/>
    </row>
    <row r="700" hidden="1">
      <c r="A700" s="9">
        <f>IFERROR(__xludf.DUMMYFUNCTION("""COMPUTED_VALUE"""),45947.27318842593)</f>
        <v>45947.27319</v>
      </c>
      <c r="B700" s="10" t="str">
        <f>IFERROR(__xludf.DUMMYFUNCTION("""COMPUTED_VALUE"""),"Altaf Hussain ")</f>
        <v>Altaf Hussain </v>
      </c>
      <c r="C700" s="10" t="str">
        <f>IFERROR(__xludf.DUMMYFUNCTION("""COMPUTED_VALUE"""),"03453933260")</f>
        <v>03453933260</v>
      </c>
      <c r="D700" s="10" t="str">
        <f>IFERROR(__xludf.DUMMYFUNCTION("""COMPUTED_VALUE"""),"Jamia masjid taleem ul Quran")</f>
        <v>Jamia masjid taleem ul Quran</v>
      </c>
      <c r="E700" s="10" t="str">
        <f>IFERROR(__xludf.DUMMYFUNCTION("""COMPUTED_VALUE"""),"yxvut")</f>
        <v>yxvut</v>
      </c>
      <c r="F700" s="10">
        <f>IFERROR(__xludf.DUMMYFUNCTION("""COMPUTED_VALUE"""),188.0)</f>
        <v>188</v>
      </c>
      <c r="G700" s="10">
        <f>IFERROR(__xludf.DUMMYFUNCTION("""COMPUTED_VALUE"""),7.0)</f>
        <v>7</v>
      </c>
      <c r="H700" s="10">
        <f>IFERROR(__xludf.DUMMYFUNCTION("""COMPUTED_VALUE"""),6.0)</f>
        <v>6</v>
      </c>
      <c r="I700" s="10">
        <f>IFERROR(__xludf.DUMMYFUNCTION("""COMPUTED_VALUE"""),8.0)</f>
        <v>8</v>
      </c>
      <c r="J700" s="10"/>
      <c r="K700" s="10"/>
      <c r="L700" s="10"/>
      <c r="M700" s="10">
        <f>IFERROR(__xludf.DUMMYFUNCTION("""COMPUTED_VALUE"""),9.0)</f>
        <v>9</v>
      </c>
      <c r="N700" s="10"/>
      <c r="O700" s="10"/>
      <c r="P700" s="10"/>
      <c r="Q700" s="10"/>
      <c r="R700" s="10"/>
      <c r="S700" s="10"/>
      <c r="T700" s="10"/>
      <c r="U700" s="18" t="str">
        <f>IFERROR(__xludf.DUMMYFUNCTION("""COMPUTED_VALUE"""),"https://drive.google.com/open?id=1FY6GDt92ayknXR_Eh-SbBNBLZZBn88Kx")</f>
        <v>https://drive.google.com/open?id=1FY6GDt92ayknXR_Eh-SbBNBLZZBn88Kx</v>
      </c>
      <c r="V700" s="10"/>
      <c r="W700" s="10"/>
      <c r="X700" s="10"/>
      <c r="Y700" s="14" t="str">
        <f>IFERROR(__xludf.DUMMYFUNCTION("""COMPUTED_VALUE"""),"altafhussainchannar260@gmail.com")</f>
        <v>altafhussainchannar260@gmail.com</v>
      </c>
      <c r="AA700" s="324"/>
    </row>
    <row r="701" hidden="1">
      <c r="A701" s="9">
        <f>IFERROR(__xludf.DUMMYFUNCTION("""COMPUTED_VALUE"""),45947.278458761575)</f>
        <v>45947.27846</v>
      </c>
      <c r="B701" s="10" t="str">
        <f>IFERROR(__xludf.DUMMYFUNCTION("""COMPUTED_VALUE"""),"Hassan majeed ")</f>
        <v>Hassan majeed </v>
      </c>
      <c r="C701" s="10" t="str">
        <f>IFERROR(__xludf.DUMMYFUNCTION("""COMPUTED_VALUE"""),"03490434721")</f>
        <v>03490434721</v>
      </c>
      <c r="D701" s="10" t="str">
        <f>IFERROR(__xludf.DUMMYFUNCTION("""COMPUTED_VALUE"""),"Jamia mashed hanfia gazi abad")</f>
        <v>Jamia mashed hanfia gazi abad</v>
      </c>
      <c r="E701" s="10" t="str">
        <f>IFERROR(__xludf.DUMMYFUNCTION("""COMPUTED_VALUE"""),"ldkri")</f>
        <v>ldkri</v>
      </c>
      <c r="F701" s="10">
        <f>IFERROR(__xludf.DUMMYFUNCTION("""COMPUTED_VALUE"""),400.0)</f>
        <v>400</v>
      </c>
      <c r="G701" s="10">
        <f>IFERROR(__xludf.DUMMYFUNCTION("""COMPUTED_VALUE"""),10.0)</f>
        <v>10</v>
      </c>
      <c r="H701" s="10">
        <f>IFERROR(__xludf.DUMMYFUNCTION("""COMPUTED_VALUE"""),10.0)</f>
        <v>10</v>
      </c>
      <c r="I701" s="10" t="str">
        <f>IFERROR(__xludf.DUMMYFUNCTION("""COMPUTED_VALUE"""),"No")</f>
        <v>No</v>
      </c>
      <c r="J701" s="10"/>
      <c r="K701" s="10"/>
      <c r="L701" s="10"/>
      <c r="M701" s="10">
        <f>IFERROR(__xludf.DUMMYFUNCTION("""COMPUTED_VALUE"""),9.0)</f>
        <v>9</v>
      </c>
      <c r="N701" s="10"/>
      <c r="O701" s="10"/>
      <c r="P701" s="10"/>
      <c r="Q701" s="10"/>
      <c r="R701" s="10"/>
      <c r="S701" s="10"/>
      <c r="T701" s="10"/>
      <c r="U701" s="18" t="str">
        <f>IFERROR(__xludf.DUMMYFUNCTION("""COMPUTED_VALUE"""),"https://drive.google.com/open?id=1ZIlX4en9T4nALUztN0040LVjoPZc40-B")</f>
        <v>https://drive.google.com/open?id=1ZIlX4en9T4nALUztN0040LVjoPZc40-B</v>
      </c>
      <c r="V701" s="10"/>
      <c r="W701" s="10"/>
      <c r="X701" s="10"/>
      <c r="Y701" s="14" t="str">
        <f>IFERROR(__xludf.DUMMYFUNCTION("""COMPUTED_VALUE"""),"ranahassan798081@gmail.com")</f>
        <v>ranahassan798081@gmail.com</v>
      </c>
      <c r="AA701" s="324"/>
    </row>
    <row r="702" hidden="1">
      <c r="A702" s="9">
        <f>IFERROR(__xludf.DUMMYFUNCTION("""COMPUTED_VALUE"""),45947.28015958333)</f>
        <v>45947.28016</v>
      </c>
      <c r="B702" s="10" t="str">
        <f>IFERROR(__xludf.DUMMYFUNCTION("""COMPUTED_VALUE"""),"Nadeem Mirza ")</f>
        <v>Nadeem Mirza </v>
      </c>
      <c r="C702" s="10" t="str">
        <f>IFERROR(__xludf.DUMMYFUNCTION("""COMPUTED_VALUE"""),"03006623984")</f>
        <v>03006623984</v>
      </c>
      <c r="D702" s="10" t="str">
        <f>IFERROR(__xludf.DUMMYFUNCTION("""COMPUTED_VALUE"""),"Jamia Masjid Firdous Noor shah wali")</f>
        <v>Jamia Masjid Firdous Noor shah wali</v>
      </c>
      <c r="E702" s="10" t="str">
        <f>IFERROR(__xludf.DUMMYFUNCTION("""COMPUTED_VALUE"""),"Kyzwa")</f>
        <v>Kyzwa</v>
      </c>
      <c r="F702" s="10">
        <f>IFERROR(__xludf.DUMMYFUNCTION("""COMPUTED_VALUE"""),410.0)</f>
        <v>410</v>
      </c>
      <c r="G702" s="10">
        <f>IFERROR(__xludf.DUMMYFUNCTION("""COMPUTED_VALUE"""),9.0)</f>
        <v>9</v>
      </c>
      <c r="H702" s="10">
        <f>IFERROR(__xludf.DUMMYFUNCTION("""COMPUTED_VALUE"""),9.0)</f>
        <v>9</v>
      </c>
      <c r="I702" s="10">
        <f>IFERROR(__xludf.DUMMYFUNCTION("""COMPUTED_VALUE"""),0.0)</f>
        <v>0</v>
      </c>
      <c r="J702" s="10"/>
      <c r="K702" s="10"/>
      <c r="L702" s="10"/>
      <c r="M702" s="10">
        <f>IFERROR(__xludf.DUMMYFUNCTION("""COMPUTED_VALUE"""),8.0)</f>
        <v>8</v>
      </c>
      <c r="N702" s="10"/>
      <c r="O702" s="10"/>
      <c r="P702" s="10"/>
      <c r="Q702" s="10"/>
      <c r="R702" s="10"/>
      <c r="S702" s="10"/>
      <c r="T702" s="10"/>
      <c r="U702" s="18" t="str">
        <f>IFERROR(__xludf.DUMMYFUNCTION("""COMPUTED_VALUE"""),"https://drive.google.com/open?id=1Cp-2nEtIzFFGKqIxPJQvGOXowwl_Z7bu")</f>
        <v>https://drive.google.com/open?id=1Cp-2nEtIzFFGKqIxPJQvGOXowwl_Z7bu</v>
      </c>
      <c r="V702" s="10" t="str">
        <f>IFERROR(__xludf.DUMMYFUNCTION("""COMPUTED_VALUE"""),"Jumma speech delivered by another Imam. Govt. Has deputed them on another place. He delivered khutba on Women,s Rights.")</f>
        <v>Jumma speech delivered by another Imam. Govt. Has deputed them on another place. He delivered khutba on Women,s Rights.</v>
      </c>
      <c r="W702" s="10"/>
      <c r="X702" s="10"/>
      <c r="Y702" s="14" t="str">
        <f>IFERROR(__xludf.DUMMYFUNCTION("""COMPUTED_VALUE"""),"nadeem_mirza73@hotmail.com")</f>
        <v>nadeem_mirza73@hotmail.com</v>
      </c>
      <c r="AA702" s="324"/>
    </row>
    <row r="703" hidden="1">
      <c r="A703" s="9">
        <f>IFERROR(__xludf.DUMMYFUNCTION("""COMPUTED_VALUE"""),45947.289260694444)</f>
        <v>45947.28926</v>
      </c>
      <c r="B703" s="10" t="str">
        <f>IFERROR(__xludf.DUMMYFUNCTION("""COMPUTED_VALUE"""),"Muhammad Naveed ")</f>
        <v>Muhammad Naveed </v>
      </c>
      <c r="C703" s="10">
        <f>IFERROR(__xludf.DUMMYFUNCTION("""COMPUTED_VALUE"""),3.453811243E9)</f>
        <v>3453811243</v>
      </c>
      <c r="D703" s="10" t="str">
        <f>IFERROR(__xludf.DUMMYFUNCTION("""COMPUTED_VALUE"""),"Jamia masjid Baba rang Ali srkar ")</f>
        <v>Jamia masjid Baba rang Ali srkar </v>
      </c>
      <c r="E703" s="10" t="str">
        <f>IFERROR(__xludf.DUMMYFUNCTION("""COMPUTED_VALUE"""),"Xjphu")</f>
        <v>Xjphu</v>
      </c>
      <c r="F703" s="10">
        <f>IFERROR(__xludf.DUMMYFUNCTION("""COMPUTED_VALUE"""),400.0)</f>
        <v>400</v>
      </c>
      <c r="G703" s="10">
        <f>IFERROR(__xludf.DUMMYFUNCTION("""COMPUTED_VALUE"""),7.0)</f>
        <v>7</v>
      </c>
      <c r="H703" s="10">
        <f>IFERROR(__xludf.DUMMYFUNCTION("""COMPUTED_VALUE"""),6.0)</f>
        <v>6</v>
      </c>
      <c r="I703" s="10" t="str">
        <f>IFERROR(__xludf.DUMMYFUNCTION("""COMPUTED_VALUE"""),"Koi nih ")</f>
        <v>Koi nih </v>
      </c>
      <c r="J703" s="10"/>
      <c r="K703" s="10"/>
      <c r="L703" s="10"/>
      <c r="M703" s="10">
        <f>IFERROR(__xludf.DUMMYFUNCTION("""COMPUTED_VALUE"""),8.0)</f>
        <v>8</v>
      </c>
      <c r="N703" s="10"/>
      <c r="O703" s="10"/>
      <c r="P703" s="10"/>
      <c r="Q703" s="10"/>
      <c r="R703" s="10"/>
      <c r="S703" s="10"/>
      <c r="T703" s="10"/>
      <c r="U703" s="18" t="str">
        <f>IFERROR(__xludf.DUMMYFUNCTION("""COMPUTED_VALUE"""),"https://drive.google.com/open?id=15EUwebYKkY3v-i_rXJeIzgfZ6mwGrEXK")</f>
        <v>https://drive.google.com/open?id=15EUwebYKkY3v-i_rXJeIzgfZ6mwGrEXK</v>
      </c>
      <c r="V703" s="10"/>
      <c r="W703" s="10"/>
      <c r="X703" s="10"/>
      <c r="Y703" s="14" t="str">
        <f>IFERROR(__xludf.DUMMYFUNCTION("""COMPUTED_VALUE"""),"mn2486050@gmail.com")</f>
        <v>mn2486050@gmail.com</v>
      </c>
      <c r="AA703" s="324"/>
    </row>
    <row r="704" hidden="1">
      <c r="A704" s="9">
        <f>IFERROR(__xludf.DUMMYFUNCTION("""COMPUTED_VALUE"""),45947.29332491898)</f>
        <v>45947.29332</v>
      </c>
      <c r="B704" s="10" t="str">
        <f>IFERROR(__xludf.DUMMYFUNCTION("""COMPUTED_VALUE"""),"حسان قاسم")</f>
        <v>حسان قاسم</v>
      </c>
      <c r="C704" s="10" t="str">
        <f>IFERROR(__xludf.DUMMYFUNCTION("""COMPUTED_VALUE"""),"03008830402")</f>
        <v>03008830402</v>
      </c>
      <c r="D704" s="10" t="str">
        <f>IFERROR(__xludf.DUMMYFUNCTION("""COMPUTED_VALUE"""),"مرکزی جامع مسجد ایثار القاسمی رض شہید گڑھ مہاراجہ جھنگ")</f>
        <v>مرکزی جامع مسجد ایثار القاسمی رض شہید گڑھ مہاراجہ جھنگ</v>
      </c>
      <c r="E704" s="10" t="str">
        <f>IFERROR(__xludf.DUMMYFUNCTION("""COMPUTED_VALUE"""),"glpfo")</f>
        <v>glpfo</v>
      </c>
      <c r="F704" s="10">
        <f>IFERROR(__xludf.DUMMYFUNCTION("""COMPUTED_VALUE"""),327.0)</f>
        <v>327</v>
      </c>
      <c r="G704" s="10">
        <f>IFERROR(__xludf.DUMMYFUNCTION("""COMPUTED_VALUE"""),7.0)</f>
        <v>7</v>
      </c>
      <c r="H704" s="10">
        <f>IFERROR(__xludf.DUMMYFUNCTION("""COMPUTED_VALUE"""),7.0)</f>
        <v>7</v>
      </c>
      <c r="I704" s="10">
        <f>IFERROR(__xludf.DUMMYFUNCTION("""COMPUTED_VALUE"""),3.0)</f>
        <v>3</v>
      </c>
      <c r="J704" s="10"/>
      <c r="K704" s="10"/>
      <c r="L704" s="10"/>
      <c r="M704" s="10">
        <f>IFERROR(__xludf.DUMMYFUNCTION("""COMPUTED_VALUE"""),8.0)</f>
        <v>8</v>
      </c>
      <c r="N704" s="10"/>
      <c r="O704" s="10"/>
      <c r="P704" s="10"/>
      <c r="Q704" s="10"/>
      <c r="R704" s="10"/>
      <c r="S704" s="10"/>
      <c r="T704" s="10"/>
      <c r="U704" s="18" t="str">
        <f>IFERROR(__xludf.DUMMYFUNCTION("""COMPUTED_VALUE"""),"https://drive.google.com/open?id=1tnhz0Ct7zGQ3TxGG7ohJc0KTD5EXfNNv")</f>
        <v>https://drive.google.com/open?id=1tnhz0Ct7zGQ3TxGG7ohJc0KTD5EXfNNv</v>
      </c>
      <c r="V704" s="10" t="str">
        <f>IFERROR(__xludf.DUMMYFUNCTION("""COMPUTED_VALUE"""),"وہاں کے لوگ بہت اچھے ہیں مسجد اور محلے میں گندگی کے ڈھیر نہی ہیں بس تھوڑے ریپر وغیرہ نظر آئے ہیں")</f>
        <v>وہاں کے لوگ بہت اچھے ہیں مسجد اور محلے میں گندگی کے ڈھیر نہی ہیں بس تھوڑے ریپر وغیرہ نظر آئے ہیں</v>
      </c>
      <c r="W704" s="10"/>
      <c r="X704" s="10"/>
      <c r="Y704" s="14" t="str">
        <f>IFERROR(__xludf.DUMMYFUNCTION("""COMPUTED_VALUE"""),"hassaanqasim72@gmail.com")</f>
        <v>hassaanqasim72@gmail.com</v>
      </c>
      <c r="AA704" s="324"/>
    </row>
    <row r="705" hidden="1">
      <c r="A705" s="9">
        <f>IFERROR(__xludf.DUMMYFUNCTION("""COMPUTED_VALUE"""),45947.29607398148)</f>
        <v>45947.29607</v>
      </c>
      <c r="B705" s="10" t="str">
        <f>IFERROR(__xludf.DUMMYFUNCTION("""COMPUTED_VALUE"""),"حسان قاسم ")</f>
        <v>حسان قاسم </v>
      </c>
      <c r="C705" s="10" t="str">
        <f>IFERROR(__xludf.DUMMYFUNCTION("""COMPUTED_VALUE"""),"03008830402")</f>
        <v>03008830402</v>
      </c>
      <c r="D705" s="10" t="str">
        <f>IFERROR(__xludf.DUMMYFUNCTION("""COMPUTED_VALUE"""),"مرکزی جامع مسجد ایثار القاسمی شہید گڑھ مہاراجہ جھنگ")</f>
        <v>مرکزی جامع مسجد ایثار القاسمی شہید گڑھ مہاراجہ جھنگ</v>
      </c>
      <c r="E705" s="10" t="str">
        <f>IFERROR(__xludf.DUMMYFUNCTION("""COMPUTED_VALUE"""),"glpfo")</f>
        <v>glpfo</v>
      </c>
      <c r="F705" s="10">
        <f>IFERROR(__xludf.DUMMYFUNCTION("""COMPUTED_VALUE"""),327.0)</f>
        <v>327</v>
      </c>
      <c r="G705" s="10">
        <f>IFERROR(__xludf.DUMMYFUNCTION("""COMPUTED_VALUE"""),7.0)</f>
        <v>7</v>
      </c>
      <c r="H705" s="10">
        <f>IFERROR(__xludf.DUMMYFUNCTION("""COMPUTED_VALUE"""),7.0)</f>
        <v>7</v>
      </c>
      <c r="I705" s="10">
        <f>IFERROR(__xludf.DUMMYFUNCTION("""COMPUTED_VALUE"""),3.0)</f>
        <v>3</v>
      </c>
      <c r="J705" s="10"/>
      <c r="K705" s="10"/>
      <c r="L705" s="10"/>
      <c r="M705" s="10">
        <f>IFERROR(__xludf.DUMMYFUNCTION("""COMPUTED_VALUE"""),8.0)</f>
        <v>8</v>
      </c>
      <c r="N705" s="10"/>
      <c r="O705" s="10"/>
      <c r="P705" s="10"/>
      <c r="Q705" s="10"/>
      <c r="R705" s="10"/>
      <c r="S705" s="10"/>
      <c r="T705" s="10"/>
      <c r="U705" s="18" t="str">
        <f>IFERROR(__xludf.DUMMYFUNCTION("""COMPUTED_VALUE"""),"https://drive.google.com/open?id=1JTTSgo_uATpl1ZaA3YVnGc1GKUlcbsam")</f>
        <v>https://drive.google.com/open?id=1JTTSgo_uATpl1ZaA3YVnGc1GKUlcbsam</v>
      </c>
      <c r="V705" s="10"/>
      <c r="W705" s="10"/>
      <c r="X705" s="10"/>
      <c r="Y705" s="14" t="str">
        <f>IFERROR(__xludf.DUMMYFUNCTION("""COMPUTED_VALUE"""),"hassaanqasim72@gmail.com")</f>
        <v>hassaanqasim72@gmail.com</v>
      </c>
      <c r="AA705" s="324"/>
    </row>
    <row r="706" hidden="1">
      <c r="A706" s="9">
        <f>IFERROR(__xludf.DUMMYFUNCTION("""COMPUTED_VALUE"""),45947.29749606481)</f>
        <v>45947.2975</v>
      </c>
      <c r="B706" s="10" t="str">
        <f>IFERROR(__xludf.DUMMYFUNCTION("""COMPUTED_VALUE"""),"Waseem Rehman")</f>
        <v>Waseem Rehman</v>
      </c>
      <c r="C706" s="10" t="str">
        <f>IFERROR(__xludf.DUMMYFUNCTION("""COMPUTED_VALUE"""),"03005017007")</f>
        <v>03005017007</v>
      </c>
      <c r="D706" s="10" t="str">
        <f>IFERROR(__xludf.DUMMYFUNCTION("""COMPUTED_VALUE"""),"Jamia Masjid Ghalla Mandi Vehari")</f>
        <v>Jamia Masjid Ghalla Mandi Vehari</v>
      </c>
      <c r="E706" s="10" t="str">
        <f>IFERROR(__xludf.DUMMYFUNCTION("""COMPUTED_VALUE"""),"UOMYF")</f>
        <v>UOMYF</v>
      </c>
      <c r="F706" s="10">
        <f>IFERROR(__xludf.DUMMYFUNCTION("""COMPUTED_VALUE"""),98.0)</f>
        <v>98</v>
      </c>
      <c r="G706" s="10">
        <f>IFERROR(__xludf.DUMMYFUNCTION("""COMPUTED_VALUE"""),10.0)</f>
        <v>10</v>
      </c>
      <c r="H706" s="10">
        <f>IFERROR(__xludf.DUMMYFUNCTION("""COMPUTED_VALUE"""),9.0)</f>
        <v>9</v>
      </c>
      <c r="I706" s="10">
        <f>IFERROR(__xludf.DUMMYFUNCTION("""COMPUTED_VALUE"""),0.0)</f>
        <v>0</v>
      </c>
      <c r="J706" s="10"/>
      <c r="K706" s="10"/>
      <c r="L706" s="10"/>
      <c r="M706" s="10">
        <f>IFERROR(__xludf.DUMMYFUNCTION("""COMPUTED_VALUE"""),10.0)</f>
        <v>10</v>
      </c>
      <c r="N706" s="10"/>
      <c r="O706" s="10"/>
      <c r="P706" s="10"/>
      <c r="Q706" s="10"/>
      <c r="R706" s="10"/>
      <c r="S706" s="10"/>
      <c r="T706" s="10"/>
      <c r="U706" s="18" t="str">
        <f>IFERROR(__xludf.DUMMYFUNCTION("""COMPUTED_VALUE"""),"https://drive.google.com/open?id=1oIrik32h80TOYgO1-38ex_xiRN84cj6G")</f>
        <v>https://drive.google.com/open?id=1oIrik32h80TOYgO1-38ex_xiRN84cj6G</v>
      </c>
      <c r="V706" s="10"/>
      <c r="W706" s="10"/>
      <c r="X706" s="10"/>
      <c r="Y706" s="14" t="str">
        <f>IFERROR(__xludf.DUMMYFUNCTION("""COMPUTED_VALUE"""),"iwaseemrehman@gmail.com")</f>
        <v>iwaseemrehman@gmail.com</v>
      </c>
      <c r="AA706" s="324"/>
    </row>
    <row r="707" hidden="1">
      <c r="A707" s="9">
        <f>IFERROR(__xludf.DUMMYFUNCTION("""COMPUTED_VALUE"""),45947.30640427083)</f>
        <v>45947.3064</v>
      </c>
      <c r="B707" s="10" t="str">
        <f>IFERROR(__xludf.DUMMYFUNCTION("""COMPUTED_VALUE"""),"Ali  Haider ")</f>
        <v>Ali  Haider </v>
      </c>
      <c r="C707" s="10" t="str">
        <f>IFERROR(__xludf.DUMMYFUNCTION("""COMPUTED_VALUE"""),"03450138028")</f>
        <v>03450138028</v>
      </c>
      <c r="D707" s="10" t="str">
        <f>IFERROR(__xludf.DUMMYFUNCTION("""COMPUTED_VALUE"""),"مرکزی جامعہ مسجد")</f>
        <v>مرکزی جامعہ مسجد</v>
      </c>
      <c r="E707" s="10" t="str">
        <f>IFERROR(__xludf.DUMMYFUNCTION("""COMPUTED_VALUE"""),"gghzz")</f>
        <v>gghzz</v>
      </c>
      <c r="F707" s="10">
        <f>IFERROR(__xludf.DUMMYFUNCTION("""COMPUTED_VALUE"""),270.0)</f>
        <v>270</v>
      </c>
      <c r="G707" s="10">
        <f>IFERROR(__xludf.DUMMYFUNCTION("""COMPUTED_VALUE"""),9.0)</f>
        <v>9</v>
      </c>
      <c r="H707" s="10">
        <f>IFERROR(__xludf.DUMMYFUNCTION("""COMPUTED_VALUE"""),9.0)</f>
        <v>9</v>
      </c>
      <c r="I707" s="10">
        <f>IFERROR(__xludf.DUMMYFUNCTION("""COMPUTED_VALUE"""),0.0)</f>
        <v>0</v>
      </c>
      <c r="J707" s="10"/>
      <c r="K707" s="10"/>
      <c r="L707" s="10"/>
      <c r="M707" s="10">
        <f>IFERROR(__xludf.DUMMYFUNCTION("""COMPUTED_VALUE"""),9.0)</f>
        <v>9</v>
      </c>
      <c r="N707" s="10"/>
      <c r="O707" s="10"/>
      <c r="P707" s="10"/>
      <c r="Q707" s="10"/>
      <c r="R707" s="10"/>
      <c r="S707" s="10"/>
      <c r="T707" s="10"/>
      <c r="U707" s="10" t="str">
        <f>IFERROR(__xludf.DUMMYFUNCTION("""COMPUTED_VALUE"""),"https://drive.google.com/open?id=1WduIGGYeaa8ZGISrAZGexsJZcrRz0PjM, https://drive.google.com/open?id=1mf30Gz0f-JeH_xxQEt5qR4Ibw7dh2oTn")</f>
        <v>https://drive.google.com/open?id=1WduIGGYeaa8ZGISrAZGexsJZcrRz0PjM, https://drive.google.com/open?id=1mf30Gz0f-JeH_xxQEt5qR4Ibw7dh2oTn</v>
      </c>
      <c r="V707" s="10"/>
      <c r="W707" s="10"/>
      <c r="X707" s="10"/>
      <c r="Y707" s="14" t="str">
        <f>IFERROR(__xludf.DUMMYFUNCTION("""COMPUTED_VALUE"""),"chalihaidersahu028@gmail.com")</f>
        <v>chalihaidersahu028@gmail.com</v>
      </c>
      <c r="AA707" s="324"/>
    </row>
    <row r="708" hidden="1">
      <c r="A708" s="9">
        <f>IFERROR(__xludf.DUMMYFUNCTION("""COMPUTED_VALUE"""),45947.35600994213)</f>
        <v>45947.35601</v>
      </c>
      <c r="B708" s="10" t="str">
        <f>IFERROR(__xludf.DUMMYFUNCTION("""COMPUTED_VALUE"""),"Hassan Tariq ")</f>
        <v>Hassan Tariq </v>
      </c>
      <c r="C708" s="10" t="str">
        <f>IFERROR(__xludf.DUMMYFUNCTION("""COMPUTED_VALUE"""),"03465742477")</f>
        <v>03465742477</v>
      </c>
      <c r="D708" s="10" t="str">
        <f>IFERROR(__xludf.DUMMYFUNCTION("""COMPUTED_VALUE"""),"Jamia Masjid madni samnabad Faisalabad ")</f>
        <v>Jamia Masjid madni samnabad Faisalabad </v>
      </c>
      <c r="E708" s="10" t="str">
        <f>IFERROR(__xludf.DUMMYFUNCTION("""COMPUTED_VALUE"""),"rwyui")</f>
        <v>rwyui</v>
      </c>
      <c r="F708" s="10">
        <f>IFERROR(__xludf.DUMMYFUNCTION("""COMPUTED_VALUE"""),500.0)</f>
        <v>500</v>
      </c>
      <c r="G708" s="10">
        <f>IFERROR(__xludf.DUMMYFUNCTION("""COMPUTED_VALUE"""),7.0)</f>
        <v>7</v>
      </c>
      <c r="H708" s="10">
        <f>IFERROR(__xludf.DUMMYFUNCTION("""COMPUTED_VALUE"""),6.0)</f>
        <v>6</v>
      </c>
      <c r="I708" s="10">
        <f>IFERROR(__xludf.DUMMYFUNCTION("""COMPUTED_VALUE"""),30.0)</f>
        <v>30</v>
      </c>
      <c r="J708" s="10"/>
      <c r="K708" s="10"/>
      <c r="L708" s="10"/>
      <c r="M708" s="10">
        <f>IFERROR(__xludf.DUMMYFUNCTION("""COMPUTED_VALUE"""),8.0)</f>
        <v>8</v>
      </c>
      <c r="N708" s="10"/>
      <c r="O708" s="10"/>
      <c r="P708" s="10"/>
      <c r="Q708" s="10"/>
      <c r="R708" s="10"/>
      <c r="S708" s="10"/>
      <c r="T708" s="10"/>
      <c r="U708" s="18" t="str">
        <f>IFERROR(__xludf.DUMMYFUNCTION("""COMPUTED_VALUE"""),"https://drive.google.com/open?id=1PbDMYc8teiwDqab_qE-ULfvZoGAdbVBg")</f>
        <v>https://drive.google.com/open?id=1PbDMYc8teiwDqab_qE-ULfvZoGAdbVBg</v>
      </c>
      <c r="V708" s="10"/>
      <c r="W708" s="10"/>
      <c r="X708" s="10"/>
      <c r="Y708" s="14" t="str">
        <f>IFERROR(__xludf.DUMMYFUNCTION("""COMPUTED_VALUE"""),"hassaantariq477@gmail.com")</f>
        <v>hassaantariq477@gmail.com</v>
      </c>
      <c r="AA708" s="324"/>
    </row>
    <row r="709" hidden="1">
      <c r="A709" s="9">
        <f>IFERROR(__xludf.DUMMYFUNCTION("""COMPUTED_VALUE"""),45947.3920844213)</f>
        <v>45947.39208</v>
      </c>
      <c r="B709" s="10" t="str">
        <f>IFERROR(__xludf.DUMMYFUNCTION("""COMPUTED_VALUE"""),"Shoaib Ahmed ")</f>
        <v>Shoaib Ahmed </v>
      </c>
      <c r="C709" s="10" t="str">
        <f>IFERROR(__xludf.DUMMYFUNCTION("""COMPUTED_VALUE"""),"03216526034")</f>
        <v>03216526034</v>
      </c>
      <c r="D709" s="10" t="str">
        <f>IFERROR(__xludf.DUMMYFUNCTION("""COMPUTED_VALUE"""),"جامع مسجد لسوڑی شاہ  جھنگ بازار فیصل آباد")</f>
        <v>جامع مسجد لسوڑی شاہ  جھنگ بازار فیصل آباد</v>
      </c>
      <c r="E709" s="10" t="str">
        <f>IFERROR(__xludf.DUMMYFUNCTION("""COMPUTED_VALUE"""),"Tiius")</f>
        <v>Tiius</v>
      </c>
      <c r="F709" s="10">
        <f>IFERROR(__xludf.DUMMYFUNCTION("""COMPUTED_VALUE"""),147.0)</f>
        <v>147</v>
      </c>
      <c r="G709" s="10">
        <f>IFERROR(__xludf.DUMMYFUNCTION("""COMPUTED_VALUE"""),9.0)</f>
        <v>9</v>
      </c>
      <c r="H709" s="10">
        <f>IFERROR(__xludf.DUMMYFUNCTION("""COMPUTED_VALUE"""),8.0)</f>
        <v>8</v>
      </c>
      <c r="I709" s="10">
        <f>IFERROR(__xludf.DUMMYFUNCTION("""COMPUTED_VALUE"""),0.0)</f>
        <v>0</v>
      </c>
      <c r="J709" s="10"/>
      <c r="K709" s="10"/>
      <c r="L709" s="10"/>
      <c r="M709" s="10">
        <f>IFERROR(__xludf.DUMMYFUNCTION("""COMPUTED_VALUE"""),8.0)</f>
        <v>8</v>
      </c>
      <c r="N709" s="10"/>
      <c r="O709" s="10"/>
      <c r="P709" s="10"/>
      <c r="Q709" s="10"/>
      <c r="R709" s="10"/>
      <c r="S709" s="10"/>
      <c r="T709" s="10"/>
      <c r="U709" s="18" t="str">
        <f>IFERROR(__xludf.DUMMYFUNCTION("""COMPUTED_VALUE"""),"https://drive.google.com/open?id=1Xpy9ahnNry9iYtN39fHlgrM10sX9OfvD")</f>
        <v>https://drive.google.com/open?id=1Xpy9ahnNry9iYtN39fHlgrM10sX9OfvD</v>
      </c>
      <c r="V709" s="10"/>
      <c r="W709" s="10"/>
      <c r="X709" s="10"/>
      <c r="Y709" s="14" t="str">
        <f>IFERROR(__xludf.DUMMYFUNCTION("""COMPUTED_VALUE"""),"shoaibfoji27@gmail.com")</f>
        <v>shoaibfoji27@gmail.com</v>
      </c>
      <c r="AA709" s="324"/>
    </row>
    <row r="710" hidden="1">
      <c r="A710" s="9">
        <f>IFERROR(__xludf.DUMMYFUNCTION("""COMPUTED_VALUE"""),45947.42332741898)</f>
        <v>45947.42333</v>
      </c>
      <c r="B710" s="10" t="str">
        <f>IFERROR(__xludf.DUMMYFUNCTION("""COMPUTED_VALUE"""),"Naveed Khalid ")</f>
        <v>Naveed Khalid </v>
      </c>
      <c r="C710" s="10" t="str">
        <f>IFERROR(__xludf.DUMMYFUNCTION("""COMPUTED_VALUE"""),"03087944200")</f>
        <v>03087944200</v>
      </c>
      <c r="D710" s="10" t="str">
        <f>IFERROR(__xludf.DUMMYFUNCTION("""COMPUTED_VALUE"""),"Jamia Masjid Darbar Muhammad Ghous Bala Peer ")</f>
        <v>Jamia Masjid Darbar Muhammad Ghous Bala Peer </v>
      </c>
      <c r="E710" s="10" t="str">
        <f>IFERROR(__xludf.DUMMYFUNCTION("""COMPUTED_VALUE"""),"VTGKG ")</f>
        <v>VTGKG </v>
      </c>
      <c r="F710" s="10">
        <f>IFERROR(__xludf.DUMMYFUNCTION("""COMPUTED_VALUE"""),520.0)</f>
        <v>520</v>
      </c>
      <c r="G710" s="10">
        <f>IFERROR(__xludf.DUMMYFUNCTION("""COMPUTED_VALUE"""),5.0)</f>
        <v>5</v>
      </c>
      <c r="H710" s="10">
        <f>IFERROR(__xludf.DUMMYFUNCTION("""COMPUTED_VALUE"""),5.0)</f>
        <v>5</v>
      </c>
      <c r="I710" s="10">
        <f>IFERROR(__xludf.DUMMYFUNCTION("""COMPUTED_VALUE"""),2.0)</f>
        <v>2</v>
      </c>
      <c r="J710" s="10"/>
      <c r="K710" s="10"/>
      <c r="L710" s="10"/>
      <c r="M710" s="10">
        <f>IFERROR(__xludf.DUMMYFUNCTION("""COMPUTED_VALUE"""),10.0)</f>
        <v>10</v>
      </c>
      <c r="N710" s="10"/>
      <c r="O710" s="10"/>
      <c r="P710" s="10"/>
      <c r="Q710" s="10"/>
      <c r="R710" s="10"/>
      <c r="S710" s="10"/>
      <c r="T710" s="10"/>
      <c r="U710" s="18" t="str">
        <f>IFERROR(__xludf.DUMMYFUNCTION("""COMPUTED_VALUE"""),"https://drive.google.com/open?id=1x-qqBRvSJOJtXL66juGwfougZOwJDqD7")</f>
        <v>https://drive.google.com/open?id=1x-qqBRvSJOJtXL66juGwfougZOwJDqD7</v>
      </c>
      <c r="V710" s="10"/>
      <c r="W710" s="10"/>
      <c r="X710" s="10"/>
      <c r="Y710" s="14" t="str">
        <f>IFERROR(__xludf.DUMMYFUNCTION("""COMPUTED_VALUE"""),"rulesbreakers52@gmail.com")</f>
        <v>rulesbreakers52@gmail.com</v>
      </c>
      <c r="AA710" s="324"/>
    </row>
    <row r="711" hidden="1">
      <c r="A711" s="9">
        <f>IFERROR(__xludf.DUMMYFUNCTION("""COMPUTED_VALUE"""),45947.42509386574)</f>
        <v>45947.42509</v>
      </c>
      <c r="B711" s="10" t="str">
        <f>IFERROR(__xludf.DUMMYFUNCTION("""COMPUTED_VALUE"""),"Faisal Mushtaq ")</f>
        <v>Faisal Mushtaq </v>
      </c>
      <c r="C711" s="10" t="str">
        <f>IFERROR(__xludf.DUMMYFUNCTION("""COMPUTED_VALUE"""),"03186036229")</f>
        <v>03186036229</v>
      </c>
      <c r="D711" s="10" t="str">
        <f>IFERROR(__xludf.DUMMYFUNCTION("""COMPUTED_VALUE"""),"Jamia makarzi masjid sadar bazar Renala kurd ")</f>
        <v>Jamia makarzi masjid sadar bazar Renala kurd </v>
      </c>
      <c r="E711" s="10" t="str">
        <f>IFERROR(__xludf.DUMMYFUNCTION("""COMPUTED_VALUE"""),"RUJKZ")</f>
        <v>RUJKZ</v>
      </c>
      <c r="F711" s="10">
        <f>IFERROR(__xludf.DUMMYFUNCTION("""COMPUTED_VALUE"""),1300.0)</f>
        <v>1300</v>
      </c>
      <c r="G711" s="10">
        <f>IFERROR(__xludf.DUMMYFUNCTION("""COMPUTED_VALUE"""),10.0)</f>
        <v>10</v>
      </c>
      <c r="H711" s="10">
        <f>IFERROR(__xludf.DUMMYFUNCTION("""COMPUTED_VALUE"""),9.0)</f>
        <v>9</v>
      </c>
      <c r="I711" s="10" t="str">
        <f>IFERROR(__xludf.DUMMYFUNCTION("""COMPUTED_VALUE"""),"Koi b nhi")</f>
        <v>Koi b nhi</v>
      </c>
      <c r="J711" s="10"/>
      <c r="K711" s="10"/>
      <c r="L711" s="10"/>
      <c r="M711" s="10">
        <f>IFERROR(__xludf.DUMMYFUNCTION("""COMPUTED_VALUE"""),9.0)</f>
        <v>9</v>
      </c>
      <c r="N711" s="10"/>
      <c r="O711" s="10"/>
      <c r="P711" s="10"/>
      <c r="Q711" s="10"/>
      <c r="R711" s="10"/>
      <c r="S711" s="10"/>
      <c r="T711" s="10"/>
      <c r="U711" s="18" t="str">
        <f>IFERROR(__xludf.DUMMYFUNCTION("""COMPUTED_VALUE"""),"https://drive.google.com/file/d/1LBlDxrdCVi_H7uCjecLKgnNNAjNcI-kg/view?usp=drive_link")</f>
        <v>https://drive.google.com/file/d/1LBlDxrdCVi_H7uCjecLKgnNNAjNcI-kg/view?usp=drive_link</v>
      </c>
      <c r="V711" s="10"/>
      <c r="W711" s="10"/>
      <c r="X711" s="10"/>
      <c r="Y711" s="14" t="str">
        <f>IFERROR(__xludf.DUMMYFUNCTION("""COMPUTED_VALUE"""),"xtfaisalkhichi@gmail.com")</f>
        <v>xtfaisalkhichi@gmail.com</v>
      </c>
      <c r="AA711" s="324"/>
    </row>
    <row r="712" hidden="1">
      <c r="A712" s="9">
        <f>IFERROR(__xludf.DUMMYFUNCTION("""COMPUTED_VALUE"""),45947.43021917824)</f>
        <v>45947.43022</v>
      </c>
      <c r="B712" s="10" t="str">
        <f>IFERROR(__xludf.DUMMYFUNCTION("""COMPUTED_VALUE"""),"tanveer tabassum")</f>
        <v>tanveer tabassum</v>
      </c>
      <c r="C712" s="10" t="str">
        <f>IFERROR(__xludf.DUMMYFUNCTION("""COMPUTED_VALUE"""),"03017931655")</f>
        <v>03017931655</v>
      </c>
      <c r="D712" s="10" t="str">
        <f>IFERROR(__xludf.DUMMYFUNCTION("""COMPUTED_VALUE"""),"jamia masjid gala mandi burewala")</f>
        <v>jamia masjid gala mandi burewala</v>
      </c>
      <c r="E712" s="10" t="str">
        <f>IFERROR(__xludf.DUMMYFUNCTION("""COMPUTED_VALUE"""),"lnpqp")</f>
        <v>lnpqp</v>
      </c>
      <c r="F712" s="10">
        <f>IFERROR(__xludf.DUMMYFUNCTION("""COMPUTED_VALUE"""),595.0)</f>
        <v>595</v>
      </c>
      <c r="G712" s="10">
        <f>IFERROR(__xludf.DUMMYFUNCTION("""COMPUTED_VALUE"""),10.0)</f>
        <v>10</v>
      </c>
      <c r="H712" s="10">
        <f>IFERROR(__xludf.DUMMYFUNCTION("""COMPUTED_VALUE"""),10.0)</f>
        <v>10</v>
      </c>
      <c r="I712" s="10">
        <f>IFERROR(__xludf.DUMMYFUNCTION("""COMPUTED_VALUE"""),0.0)</f>
        <v>0</v>
      </c>
      <c r="J712" s="10"/>
      <c r="K712" s="10"/>
      <c r="L712" s="10"/>
      <c r="M712" s="10">
        <f>IFERROR(__xludf.DUMMYFUNCTION("""COMPUTED_VALUE"""),10.0)</f>
        <v>10</v>
      </c>
      <c r="N712" s="10"/>
      <c r="O712" s="10"/>
      <c r="P712" s="10"/>
      <c r="Q712" s="10"/>
      <c r="R712" s="10"/>
      <c r="S712" s="10"/>
      <c r="T712" s="10"/>
      <c r="U712" s="18" t="str">
        <f>IFERROR(__xludf.DUMMYFUNCTION("""COMPUTED_VALUE"""),"https://drive.google.com/open?id=1jVS6FHhHzctc3kz0sNoBHtHQnmgp7LUg")</f>
        <v>https://drive.google.com/open?id=1jVS6FHhHzctc3kz0sNoBHtHQnmgp7LUg</v>
      </c>
      <c r="V712" s="10" t="str">
        <f>IFERROR(__xludf.DUMMYFUNCTION("""COMPUTED_VALUE"""),"NA")</f>
        <v>NA</v>
      </c>
      <c r="W712" s="10"/>
      <c r="X712" s="10"/>
      <c r="Y712" s="14" t="str">
        <f>IFERROR(__xludf.DUMMYFUNCTION("""COMPUTED_VALUE"""),"tanveer.jee41@gmail.com")</f>
        <v>tanveer.jee41@gmail.com</v>
      </c>
      <c r="AA712" s="324"/>
    </row>
    <row r="713" hidden="1">
      <c r="A713" s="9">
        <f>IFERROR(__xludf.DUMMYFUNCTION("""COMPUTED_VALUE"""),45947.43271900463)</f>
        <v>45947.43272</v>
      </c>
      <c r="B713" s="10" t="str">
        <f>IFERROR(__xludf.DUMMYFUNCTION("""COMPUTED_VALUE"""),"Muhammad shahzad ")</f>
        <v>Muhammad shahzad </v>
      </c>
      <c r="C713" s="10" t="str">
        <f>IFERROR(__xludf.DUMMYFUNCTION("""COMPUTED_VALUE"""),"03336079153")</f>
        <v>03336079153</v>
      </c>
      <c r="D713" s="10" t="str">
        <f>IFERROR(__xludf.DUMMYFUNCTION("""COMPUTED_VALUE"""),"Jamia Masjid 273 Rai Chak Faisalabad")</f>
        <v>Jamia Masjid 273 Rai Chak Faisalabad</v>
      </c>
      <c r="E713" s="10" t="str">
        <f>IFERROR(__xludf.DUMMYFUNCTION("""COMPUTED_VALUE"""),"kamrb")</f>
        <v>kamrb</v>
      </c>
      <c r="F713" s="10">
        <f>IFERROR(__xludf.DUMMYFUNCTION("""COMPUTED_VALUE"""),120.0)</f>
        <v>120</v>
      </c>
      <c r="G713" s="10">
        <f>IFERROR(__xludf.DUMMYFUNCTION("""COMPUTED_VALUE"""),9.0)</f>
        <v>9</v>
      </c>
      <c r="H713" s="10">
        <f>IFERROR(__xludf.DUMMYFUNCTION("""COMPUTED_VALUE"""),9.0)</f>
        <v>9</v>
      </c>
      <c r="I713" s="10">
        <f>IFERROR(__xludf.DUMMYFUNCTION("""COMPUTED_VALUE"""),1.0)</f>
        <v>1</v>
      </c>
      <c r="J713" s="10"/>
      <c r="K713" s="10"/>
      <c r="L713" s="10"/>
      <c r="M713" s="10">
        <f>IFERROR(__xludf.DUMMYFUNCTION("""COMPUTED_VALUE"""),7.0)</f>
        <v>7</v>
      </c>
      <c r="N713" s="10"/>
      <c r="O713" s="10"/>
      <c r="P713" s="10"/>
      <c r="Q713" s="10"/>
      <c r="R713" s="10"/>
      <c r="S713" s="10"/>
      <c r="T713" s="10"/>
      <c r="U713" s="18" t="str">
        <f>IFERROR(__xludf.DUMMYFUNCTION("""COMPUTED_VALUE"""),"https://drive.google.com/open?id=1p_0RVBiU53rS_MQQrzLqTt7g7cA3e0oH")</f>
        <v>https://drive.google.com/open?id=1p_0RVBiU53rS_MQQrzLqTt7g7cA3e0oH</v>
      </c>
      <c r="V713" s="10" t="str">
        <f>IFERROR(__xludf.DUMMYFUNCTION("""COMPUTED_VALUE"""),"no")</f>
        <v>no</v>
      </c>
      <c r="W713" s="10"/>
      <c r="X713" s="10"/>
      <c r="Y713" s="14" t="str">
        <f>IFERROR(__xludf.DUMMYFUNCTION("""COMPUTED_VALUE"""),"rana.shahzad8896@gmail.com")</f>
        <v>rana.shahzad8896@gmail.com</v>
      </c>
      <c r="AA713" s="324"/>
    </row>
    <row r="714" hidden="1">
      <c r="A714" s="9">
        <f>IFERROR(__xludf.DUMMYFUNCTION("""COMPUTED_VALUE"""),45947.43783633102)</f>
        <v>45947.43784</v>
      </c>
      <c r="B714" s="10" t="str">
        <f>IFERROR(__xludf.DUMMYFUNCTION("""COMPUTED_VALUE"""),"Muhammad Awais")</f>
        <v>Muhammad Awais</v>
      </c>
      <c r="C714" s="10" t="str">
        <f>IFERROR(__xludf.DUMMYFUNCTION("""COMPUTED_VALUE"""),"03007618817")</f>
        <v>03007618817</v>
      </c>
      <c r="D714" s="10" t="str">
        <f>IFERROR(__xludf.DUMMYFUNCTION("""COMPUTED_VALUE"""),"Jamia Masjid Gulzar e Madina Old Ghala Mandi Ameen Pur Bazar Faisalabad")</f>
        <v>Jamia Masjid Gulzar e Madina Old Ghala Mandi Ameen Pur Bazar Faisalabad</v>
      </c>
      <c r="E714" s="10" t="str">
        <f>IFERROR(__xludf.DUMMYFUNCTION("""COMPUTED_VALUE"""),"Dkwam")</f>
        <v>Dkwam</v>
      </c>
      <c r="F714" s="10">
        <f>IFERROR(__xludf.DUMMYFUNCTION("""COMPUTED_VALUE"""),319.0)</f>
        <v>319</v>
      </c>
      <c r="G714" s="10">
        <f>IFERROR(__xludf.DUMMYFUNCTION("""COMPUTED_VALUE"""),7.0)</f>
        <v>7</v>
      </c>
      <c r="H714" s="10">
        <f>IFERROR(__xludf.DUMMYFUNCTION("""COMPUTED_VALUE"""),8.0)</f>
        <v>8</v>
      </c>
      <c r="I714" s="10">
        <f>IFERROR(__xludf.DUMMYFUNCTION("""COMPUTED_VALUE"""),1.0)</f>
        <v>1</v>
      </c>
      <c r="J714" s="10"/>
      <c r="K714" s="10"/>
      <c r="L714" s="10"/>
      <c r="M714" s="10">
        <f>IFERROR(__xludf.DUMMYFUNCTION("""COMPUTED_VALUE"""),6.0)</f>
        <v>6</v>
      </c>
      <c r="N714" s="10"/>
      <c r="O714" s="10"/>
      <c r="P714" s="10"/>
      <c r="Q714" s="10"/>
      <c r="R714" s="10"/>
      <c r="S714" s="10"/>
      <c r="T714" s="10"/>
      <c r="U714" s="18" t="str">
        <f>IFERROR(__xludf.DUMMYFUNCTION("""COMPUTED_VALUE"""),"https://drive.google.com/open?id=1ur7G3AUkNdnrOZFzwEYR3N_uPWwlF6xE")</f>
        <v>https://drive.google.com/open?id=1ur7G3AUkNdnrOZFzwEYR3N_uPWwlF6xE</v>
      </c>
      <c r="V714" s="10" t="str">
        <f>IFERROR(__xludf.DUMMYFUNCTION("""COMPUTED_VALUE"""),"No")</f>
        <v>No</v>
      </c>
      <c r="W714" s="10"/>
      <c r="X714" s="10"/>
      <c r="Y714" s="14" t="str">
        <f>IFERROR(__xludf.DUMMYFUNCTION("""COMPUTED_VALUE"""),"awaisarfani92@gmail.com")</f>
        <v>awaisarfani92@gmail.com</v>
      </c>
      <c r="AA714" s="324"/>
    </row>
    <row r="715" hidden="1">
      <c r="A715" s="9">
        <f>IFERROR(__xludf.DUMMYFUNCTION("""COMPUTED_VALUE"""),45947.490255069446)</f>
        <v>45947.49026</v>
      </c>
      <c r="B715" s="10" t="str">
        <f>IFERROR(__xludf.DUMMYFUNCTION("""COMPUTED_VALUE"""),"Hassan majeed ")</f>
        <v>Hassan majeed </v>
      </c>
      <c r="C715" s="10" t="str">
        <f>IFERROR(__xludf.DUMMYFUNCTION("""COMPUTED_VALUE"""),"03490434721")</f>
        <v>03490434721</v>
      </c>
      <c r="D715" s="10" t="str">
        <f>IFERROR(__xludf.DUMMYFUNCTION("""COMPUTED_VALUE"""),"Jamia masjed hanfia gazi abad ")</f>
        <v>Jamia masjed hanfia gazi abad </v>
      </c>
      <c r="E715" s="10">
        <f>IFERROR(__xludf.DUMMYFUNCTION("""COMPUTED_VALUE"""),400.0)</f>
        <v>400</v>
      </c>
      <c r="F715" s="10">
        <f>IFERROR(__xludf.DUMMYFUNCTION("""COMPUTED_VALUE"""),400.0)</f>
        <v>400</v>
      </c>
      <c r="G715" s="10">
        <f>IFERROR(__xludf.DUMMYFUNCTION("""COMPUTED_VALUE"""),9.0)</f>
        <v>9</v>
      </c>
      <c r="H715" s="10">
        <f>IFERROR(__xludf.DUMMYFUNCTION("""COMPUTED_VALUE"""),8.0)</f>
        <v>8</v>
      </c>
      <c r="I715" s="10">
        <f>IFERROR(__xludf.DUMMYFUNCTION("""COMPUTED_VALUE"""),8.0)</f>
        <v>8</v>
      </c>
      <c r="J715" s="10"/>
      <c r="K715" s="10"/>
      <c r="L715" s="10"/>
      <c r="M715" s="10">
        <f>IFERROR(__xludf.DUMMYFUNCTION("""COMPUTED_VALUE"""),9.0)</f>
        <v>9</v>
      </c>
      <c r="N715" s="10"/>
      <c r="O715" s="10"/>
      <c r="P715" s="10"/>
      <c r="Q715" s="10"/>
      <c r="R715" s="10"/>
      <c r="S715" s="10"/>
      <c r="T715" s="10"/>
      <c r="U715" s="18" t="str">
        <f>IFERROR(__xludf.DUMMYFUNCTION("""COMPUTED_VALUE"""),"https://drive.google.com/open?id=1V_LSOBJeZ_fdGDkudEpfCD5-vYwOxY7y")</f>
        <v>https://drive.google.com/open?id=1V_LSOBJeZ_fdGDkudEpfCD5-vYwOxY7y</v>
      </c>
      <c r="V715" s="10" t="str">
        <f>IFERROR(__xludf.DUMMYFUNCTION("""COMPUTED_VALUE"""),"No")</f>
        <v>No</v>
      </c>
      <c r="W715" s="10"/>
      <c r="X715" s="10"/>
      <c r="Y715" s="14" t="str">
        <f>IFERROR(__xludf.DUMMYFUNCTION("""COMPUTED_VALUE"""),"ranahassan798081@gmail.com")</f>
        <v>ranahassan798081@gmail.com</v>
      </c>
      <c r="AA715" s="324"/>
    </row>
    <row r="716" hidden="1">
      <c r="A716" s="9">
        <f>IFERROR(__xludf.DUMMYFUNCTION("""COMPUTED_VALUE"""),45947.49269909722)</f>
        <v>45947.4927</v>
      </c>
      <c r="B716" s="10" t="str">
        <f>IFERROR(__xludf.DUMMYFUNCTION("""COMPUTED_VALUE"""),"Hassan majeed ")</f>
        <v>Hassan majeed </v>
      </c>
      <c r="C716" s="10" t="str">
        <f>IFERROR(__xludf.DUMMYFUNCTION("""COMPUTED_VALUE"""),"03490434721")</f>
        <v>03490434721</v>
      </c>
      <c r="D716" s="10" t="str">
        <f>IFERROR(__xludf.DUMMYFUNCTION("""COMPUTED_VALUE"""),"Jamia masjed hanfia gazi abad ")</f>
        <v>Jamia masjed hanfia gazi abad </v>
      </c>
      <c r="E716" s="10" t="str">
        <f>IFERROR(__xludf.DUMMYFUNCTION("""COMPUTED_VALUE"""),"ldkri")</f>
        <v>ldkri</v>
      </c>
      <c r="F716" s="10">
        <f>IFERROR(__xludf.DUMMYFUNCTION("""COMPUTED_VALUE"""),400.0)</f>
        <v>400</v>
      </c>
      <c r="G716" s="10">
        <f>IFERROR(__xludf.DUMMYFUNCTION("""COMPUTED_VALUE"""),10.0)</f>
        <v>10</v>
      </c>
      <c r="H716" s="10">
        <f>IFERROR(__xludf.DUMMYFUNCTION("""COMPUTED_VALUE"""),9.0)</f>
        <v>9</v>
      </c>
      <c r="I716" s="10">
        <f>IFERROR(__xludf.DUMMYFUNCTION("""COMPUTED_VALUE"""),9.0)</f>
        <v>9</v>
      </c>
      <c r="J716" s="10"/>
      <c r="K716" s="10"/>
      <c r="L716" s="10"/>
      <c r="M716" s="10">
        <f>IFERROR(__xludf.DUMMYFUNCTION("""COMPUTED_VALUE"""),9.0)</f>
        <v>9</v>
      </c>
      <c r="N716" s="10"/>
      <c r="O716" s="10"/>
      <c r="P716" s="10"/>
      <c r="Q716" s="10"/>
      <c r="R716" s="10"/>
      <c r="S716" s="10"/>
      <c r="T716" s="10"/>
      <c r="U716" s="18" t="str">
        <f>IFERROR(__xludf.DUMMYFUNCTION("""COMPUTED_VALUE"""),"https://drive.google.com/open?id=1RxUAjGmtSdWchOXttpcYhs3jBGKT23bu")</f>
        <v>https://drive.google.com/open?id=1RxUAjGmtSdWchOXttpcYhs3jBGKT23bu</v>
      </c>
      <c r="V716" s="10" t="str">
        <f>IFERROR(__xludf.DUMMYFUNCTION("""COMPUTED_VALUE"""),"No")</f>
        <v>No</v>
      </c>
      <c r="W716" s="10"/>
      <c r="X716" s="10"/>
      <c r="Y716" s="14" t="str">
        <f>IFERROR(__xludf.DUMMYFUNCTION("""COMPUTED_VALUE"""),"ranahassan798081@gmail.com")</f>
        <v>ranahassan798081@gmail.com</v>
      </c>
      <c r="AA716" s="324"/>
    </row>
    <row r="717" hidden="1">
      <c r="A717" s="9">
        <f>IFERROR(__xludf.DUMMYFUNCTION("""COMPUTED_VALUE"""),45947.50003549768)</f>
        <v>45947.50004</v>
      </c>
      <c r="B717" s="10" t="str">
        <f>IFERROR(__xludf.DUMMYFUNCTION("""COMPUTED_VALUE"""),"Hassan majeed ")</f>
        <v>Hassan majeed </v>
      </c>
      <c r="C717" s="10" t="str">
        <f>IFERROR(__xludf.DUMMYFUNCTION("""COMPUTED_VALUE"""),"03490434721")</f>
        <v>03490434721</v>
      </c>
      <c r="D717" s="10" t="str">
        <f>IFERROR(__xludf.DUMMYFUNCTION("""COMPUTED_VALUE"""),"Jamia masjed hanfia gazi abad ")</f>
        <v>Jamia masjed hanfia gazi abad </v>
      </c>
      <c r="E717" s="10" t="str">
        <f>IFERROR(__xludf.DUMMYFUNCTION("""COMPUTED_VALUE"""),"Idkri")</f>
        <v>Idkri</v>
      </c>
      <c r="F717" s="10">
        <f>IFERROR(__xludf.DUMMYFUNCTION("""COMPUTED_VALUE"""),400.0)</f>
        <v>400</v>
      </c>
      <c r="G717" s="10">
        <f>IFERROR(__xludf.DUMMYFUNCTION("""COMPUTED_VALUE"""),9.0)</f>
        <v>9</v>
      </c>
      <c r="H717" s="10">
        <f>IFERROR(__xludf.DUMMYFUNCTION("""COMPUTED_VALUE"""),9.0)</f>
        <v>9</v>
      </c>
      <c r="I717" s="10">
        <f>IFERROR(__xludf.DUMMYFUNCTION("""COMPUTED_VALUE"""),9.0)</f>
        <v>9</v>
      </c>
      <c r="J717" s="10"/>
      <c r="K717" s="10"/>
      <c r="L717" s="10"/>
      <c r="M717" s="10">
        <f>IFERROR(__xludf.DUMMYFUNCTION("""COMPUTED_VALUE"""),9.0)</f>
        <v>9</v>
      </c>
      <c r="N717" s="10"/>
      <c r="O717" s="10"/>
      <c r="P717" s="10"/>
      <c r="Q717" s="10"/>
      <c r="R717" s="10"/>
      <c r="S717" s="10"/>
      <c r="T717" s="10"/>
      <c r="U717" s="18" t="str">
        <f>IFERROR(__xludf.DUMMYFUNCTION("""COMPUTED_VALUE"""),"https://drive.google.com/open?id=1YvmmrzAHjoWCA2r-FEt261kt7pdvwcG1")</f>
        <v>https://drive.google.com/open?id=1YvmmrzAHjoWCA2r-FEt261kt7pdvwcG1</v>
      </c>
      <c r="V717" s="10" t="str">
        <f>IFERROR(__xludf.DUMMYFUNCTION("""COMPUTED_VALUE"""),"No")</f>
        <v>No</v>
      </c>
      <c r="W717" s="10"/>
      <c r="X717" s="10"/>
      <c r="Y717" s="14" t="str">
        <f>IFERROR(__xludf.DUMMYFUNCTION("""COMPUTED_VALUE"""),"ranahassan798081@gmail.com")</f>
        <v>ranahassan798081@gmail.com</v>
      </c>
      <c r="AA717" s="324"/>
    </row>
    <row r="718" hidden="1">
      <c r="A718" s="9">
        <f>IFERROR(__xludf.DUMMYFUNCTION("""COMPUTED_VALUE"""),45947.556089895836)</f>
        <v>45947.55609</v>
      </c>
      <c r="B718" s="10" t="str">
        <f>IFERROR(__xludf.DUMMYFUNCTION("""COMPUTED_VALUE"""),"Tanveer Tabassum")</f>
        <v>Tanveer Tabassum</v>
      </c>
      <c r="C718" s="10" t="str">
        <f>IFERROR(__xludf.DUMMYFUNCTION("""COMPUTED_VALUE"""),"03017931655")</f>
        <v>03017931655</v>
      </c>
      <c r="D718" s="10" t="str">
        <f>IFERROR(__xludf.DUMMYFUNCTION("""COMPUTED_VALUE"""),"jamia masjid d block burewala")</f>
        <v>jamia masjid d block burewala</v>
      </c>
      <c r="E718" s="10" t="str">
        <f>IFERROR(__xludf.DUMMYFUNCTION("""COMPUTED_VALUE"""),"mfvfc")</f>
        <v>mfvfc</v>
      </c>
      <c r="F718" s="10">
        <f>IFERROR(__xludf.DUMMYFUNCTION("""COMPUTED_VALUE"""),465.0)</f>
        <v>465</v>
      </c>
      <c r="G718" s="10">
        <f>IFERROR(__xludf.DUMMYFUNCTION("""COMPUTED_VALUE"""),10.0)</f>
        <v>10</v>
      </c>
      <c r="H718" s="10">
        <f>IFERROR(__xludf.DUMMYFUNCTION("""COMPUTED_VALUE"""),10.0)</f>
        <v>10</v>
      </c>
      <c r="I718" s="10">
        <f>IFERROR(__xludf.DUMMYFUNCTION("""COMPUTED_VALUE"""),0.0)</f>
        <v>0</v>
      </c>
      <c r="J718" s="10"/>
      <c r="K718" s="10"/>
      <c r="L718" s="10"/>
      <c r="M718" s="10">
        <f>IFERROR(__xludf.DUMMYFUNCTION("""COMPUTED_VALUE"""),10.0)</f>
        <v>10</v>
      </c>
      <c r="N718" s="10"/>
      <c r="O718" s="10"/>
      <c r="P718" s="10"/>
      <c r="Q718" s="10"/>
      <c r="R718" s="10"/>
      <c r="S718" s="10"/>
      <c r="T718" s="10"/>
      <c r="U718" s="18" t="str">
        <f>IFERROR(__xludf.DUMMYFUNCTION("""COMPUTED_VALUE"""),"https://drive.google.com/file/d/1B6iDBVXHfclK4kZ4Ja1_y_3Q9adEwU4Y/view?usp=drive_link")</f>
        <v>https://drive.google.com/file/d/1B6iDBVXHfclK4kZ4Ja1_y_3Q9adEwU4Y/view?usp=drive_link</v>
      </c>
      <c r="V718" s="10" t="str">
        <f>IFERROR(__xludf.DUMMYFUNCTION("""COMPUTED_VALUE"""),"NA")</f>
        <v>NA</v>
      </c>
      <c r="W718" s="10"/>
      <c r="X718" s="10"/>
      <c r="Y718" s="14" t="str">
        <f>IFERROR(__xludf.DUMMYFUNCTION("""COMPUTED_VALUE"""),"tanveer.jee41@gmail.com")</f>
        <v>tanveer.jee41@gmail.com</v>
      </c>
      <c r="AA718" s="324"/>
    </row>
    <row r="719" hidden="1">
      <c r="A719" s="9">
        <f>IFERROR(__xludf.DUMMYFUNCTION("""COMPUTED_VALUE"""),45947.80738425926)</f>
        <v>45947.80738</v>
      </c>
      <c r="B719" s="10" t="str">
        <f>IFERROR(__xludf.DUMMYFUNCTION("""COMPUTED_VALUE"""),"Sarfraz Ahmad ")</f>
        <v>Sarfraz Ahmad </v>
      </c>
      <c r="C719" s="10" t="str">
        <f>IFERROR(__xludf.DUMMYFUNCTION("""COMPUTED_VALUE"""),"03017698350")</f>
        <v>03017698350</v>
      </c>
      <c r="D719" s="10" t="str">
        <f>IFERROR(__xludf.DUMMYFUNCTION("""COMPUTED_VALUE"""),"Jamia masjid haji Muhammad dean shorkot cuntt")</f>
        <v>Jamia masjid haji Muhammad dean shorkot cuntt</v>
      </c>
      <c r="E719" s="10" t="str">
        <f>IFERROR(__xludf.DUMMYFUNCTION("""COMPUTED_VALUE"""),"lsqfy")</f>
        <v>lsqfy</v>
      </c>
      <c r="F719" s="10">
        <f>IFERROR(__xludf.DUMMYFUNCTION("""COMPUTED_VALUE"""),200.0)</f>
        <v>200</v>
      </c>
      <c r="G719" s="10">
        <f>IFERROR(__xludf.DUMMYFUNCTION("""COMPUTED_VALUE"""),10.0)</f>
        <v>10</v>
      </c>
      <c r="H719" s="10">
        <f>IFERROR(__xludf.DUMMYFUNCTION("""COMPUTED_VALUE"""),10.0)</f>
        <v>10</v>
      </c>
      <c r="I719" s="10">
        <f>IFERROR(__xludf.DUMMYFUNCTION("""COMPUTED_VALUE"""),0.0)</f>
        <v>0</v>
      </c>
      <c r="J719" s="10"/>
      <c r="K719" s="10"/>
      <c r="L719" s="10"/>
      <c r="M719" s="10">
        <f>IFERROR(__xludf.DUMMYFUNCTION("""COMPUTED_VALUE"""),10.0)</f>
        <v>10</v>
      </c>
      <c r="N719" s="10"/>
      <c r="O719" s="10"/>
      <c r="P719" s="10"/>
      <c r="Q719" s="10"/>
      <c r="R719" s="10"/>
      <c r="S719" s="10"/>
      <c r="T719" s="10"/>
      <c r="U719" s="18" t="str">
        <f>IFERROR(__xludf.DUMMYFUNCTION("""COMPUTED_VALUE"""),"https://drive.google.com/file/d/1R0BO1xlOMqSmGQ1zLaGHMjYIht53K3TA/view?usp=drive_link")</f>
        <v>https://drive.google.com/file/d/1R0BO1xlOMqSmGQ1zLaGHMjYIht53K3TA/view?usp=drive_link</v>
      </c>
      <c r="V719" s="10" t="str">
        <f>IFERROR(__xludf.DUMMYFUNCTION("""COMPUTED_VALUE"""),"No")</f>
        <v>No</v>
      </c>
      <c r="W719" s="10"/>
      <c r="X719" s="10"/>
      <c r="Y719" s="14" t="str">
        <f>IFERROR(__xludf.DUMMYFUNCTION("""COMPUTED_VALUE"""),"drsarfrazahmed644@gmail.com")</f>
        <v>drsarfrazahmed644@gmail.com</v>
      </c>
      <c r="AA719" s="324"/>
    </row>
    <row r="720" hidden="1">
      <c r="A720" s="9">
        <f>IFERROR(__xludf.DUMMYFUNCTION("""COMPUTED_VALUE"""),45947.81988265047)</f>
        <v>45947.81988</v>
      </c>
      <c r="B720" s="10" t="str">
        <f>IFERROR(__xludf.DUMMYFUNCTION("""COMPUTED_VALUE"""),"Khalid Farooq ")</f>
        <v>Khalid Farooq </v>
      </c>
      <c r="C720" s="10" t="str">
        <f>IFERROR(__xludf.DUMMYFUNCTION("""COMPUTED_VALUE"""),"03009473484")</f>
        <v>03009473484</v>
      </c>
      <c r="D720" s="10" t="str">
        <f>IFERROR(__xludf.DUMMYFUNCTION("""COMPUTED_VALUE"""),"Jamia masjid ghala mundi arifwala ")</f>
        <v>Jamia masjid ghala mundi arifwala </v>
      </c>
      <c r="E720" s="10" t="str">
        <f>IFERROR(__xludf.DUMMYFUNCTION("""COMPUTED_VALUE"""),"EARRA")</f>
        <v>EARRA</v>
      </c>
      <c r="F720" s="10">
        <f>IFERROR(__xludf.DUMMYFUNCTION("""COMPUTED_VALUE"""),860.0)</f>
        <v>860</v>
      </c>
      <c r="G720" s="10">
        <f>IFERROR(__xludf.DUMMYFUNCTION("""COMPUTED_VALUE"""),7.0)</f>
        <v>7</v>
      </c>
      <c r="H720" s="10">
        <f>IFERROR(__xludf.DUMMYFUNCTION("""COMPUTED_VALUE"""),9.0)</f>
        <v>9</v>
      </c>
      <c r="I720" s="10">
        <f>IFERROR(__xludf.DUMMYFUNCTION("""COMPUTED_VALUE"""),0.0)</f>
        <v>0</v>
      </c>
      <c r="J720" s="10"/>
      <c r="K720" s="10"/>
      <c r="L720" s="10"/>
      <c r="M720" s="10">
        <f>IFERROR(__xludf.DUMMYFUNCTION("""COMPUTED_VALUE"""),8.0)</f>
        <v>8</v>
      </c>
      <c r="N720" s="10"/>
      <c r="O720" s="10"/>
      <c r="P720" s="10"/>
      <c r="Q720" s="10"/>
      <c r="R720" s="10"/>
      <c r="S720" s="10"/>
      <c r="T720" s="10"/>
      <c r="U720" s="18" t="str">
        <f>IFERROR(__xludf.DUMMYFUNCTION("""COMPUTED_VALUE"""),"https://drive.google.com/open?id=16RGgBqzhBMNLMzchnfmHh4m5vZmzZ2cV")</f>
        <v>https://drive.google.com/open?id=16RGgBqzhBMNLMzchnfmHh4m5vZmzZ2cV</v>
      </c>
      <c r="V720" s="10" t="str">
        <f>IFERROR(__xludf.DUMMYFUNCTION("""COMPUTED_VALUE"""),"No")</f>
        <v>No</v>
      </c>
      <c r="W720" s="10"/>
      <c r="X720" s="10"/>
      <c r="Y720" s="14" t="str">
        <f>IFERROR(__xludf.DUMMYFUNCTION("""COMPUTED_VALUE"""),"khalidfarooqbhatti@gmail.com")</f>
        <v>khalidfarooqbhatti@gmail.com</v>
      </c>
      <c r="AA720" s="324"/>
    </row>
    <row r="721" hidden="1">
      <c r="A721" s="9">
        <f>IFERROR(__xludf.DUMMYFUNCTION("""COMPUTED_VALUE"""),45948.0501421875)</f>
        <v>45948.05014</v>
      </c>
      <c r="B721" s="10" t="str">
        <f>IFERROR(__xludf.DUMMYFUNCTION("""COMPUTED_VALUE"""),"Sarfraz Ahmad ")</f>
        <v>Sarfraz Ahmad </v>
      </c>
      <c r="C721" s="10" t="str">
        <f>IFERROR(__xludf.DUMMYFUNCTION("""COMPUTED_VALUE"""),"03017698350")</f>
        <v>03017698350</v>
      </c>
      <c r="D721" s="10" t="str">
        <f>IFERROR(__xludf.DUMMYFUNCTION("""COMPUTED_VALUE"""),"Jamia masjad Darbar shah Sadiq nehang ")</f>
        <v>Jamia masjad Darbar shah Sadiq nehang </v>
      </c>
      <c r="E721" s="10" t="str">
        <f>IFERROR(__xludf.DUMMYFUNCTION("""COMPUTED_VALUE"""),"vigse")</f>
        <v>vigse</v>
      </c>
      <c r="F721" s="10">
        <f>IFERROR(__xludf.DUMMYFUNCTION("""COMPUTED_VALUE"""),100.0)</f>
        <v>100</v>
      </c>
      <c r="G721" s="10">
        <f>IFERROR(__xludf.DUMMYFUNCTION("""COMPUTED_VALUE"""),10.0)</f>
        <v>10</v>
      </c>
      <c r="H721" s="10">
        <f>IFERROR(__xludf.DUMMYFUNCTION("""COMPUTED_VALUE"""),10.0)</f>
        <v>10</v>
      </c>
      <c r="I721" s="10">
        <f>IFERROR(__xludf.DUMMYFUNCTION("""COMPUTED_VALUE"""),0.0)</f>
        <v>0</v>
      </c>
      <c r="J721" s="10"/>
      <c r="K721" s="10"/>
      <c r="L721" s="10"/>
      <c r="M721" s="10">
        <f>IFERROR(__xludf.DUMMYFUNCTION("""COMPUTED_VALUE"""),10.0)</f>
        <v>10</v>
      </c>
      <c r="N721" s="10"/>
      <c r="O721" s="10"/>
      <c r="P721" s="10"/>
      <c r="Q721" s="10"/>
      <c r="R721" s="10"/>
      <c r="S721" s="10"/>
      <c r="T721" s="10"/>
      <c r="U721" s="18" t="str">
        <f>IFERROR(__xludf.DUMMYFUNCTION("""COMPUTED_VALUE"""),"https://drive.google.com/file/d/1oT0cImZf1_OywQopwLvOcXEJT5FSpON6/view?usp=drive_link")</f>
        <v>https://drive.google.com/file/d/1oT0cImZf1_OywQopwLvOcXEJT5FSpON6/view?usp=drive_link</v>
      </c>
      <c r="V721" s="10"/>
      <c r="W721" s="10"/>
      <c r="X721" s="10"/>
      <c r="Y721" s="14" t="str">
        <f>IFERROR(__xludf.DUMMYFUNCTION("""COMPUTED_VALUE"""),"drsarfrazahmed644@gmail.com")</f>
        <v>drsarfrazahmed644@gmail.com</v>
      </c>
      <c r="AA721" s="324"/>
    </row>
    <row r="722" hidden="1">
      <c r="A722" s="9">
        <f>IFERROR(__xludf.DUMMYFUNCTION("""COMPUTED_VALUE"""),45948.17148082176)</f>
        <v>45948.17148</v>
      </c>
      <c r="B722" s="10" t="str">
        <f>IFERROR(__xludf.DUMMYFUNCTION("""COMPUTED_VALUE"""),"Afzal saeed ")</f>
        <v>Afzal saeed </v>
      </c>
      <c r="C722" s="10" t="str">
        <f>IFERROR(__xludf.DUMMYFUNCTION("""COMPUTED_VALUE"""),"0306 9874123 ")</f>
        <v>0306 9874123 </v>
      </c>
      <c r="D722" s="10" t="str">
        <f>IFERROR(__xludf.DUMMYFUNCTION("""COMPUTED_VALUE"""),"Jamiya ghousi rizveimasjid faisalabad ")</f>
        <v>Jamiya ghousi rizveimasjid faisalabad </v>
      </c>
      <c r="E722" s="10" t="str">
        <f>IFERROR(__xludf.DUMMYFUNCTION("""COMPUTED_VALUE"""),"mxebb")</f>
        <v>mxebb</v>
      </c>
      <c r="F722" s="10">
        <f>IFERROR(__xludf.DUMMYFUNCTION("""COMPUTED_VALUE"""),114.0)</f>
        <v>114</v>
      </c>
      <c r="G722" s="10">
        <f>IFERROR(__xludf.DUMMYFUNCTION("""COMPUTED_VALUE"""),5.0)</f>
        <v>5</v>
      </c>
      <c r="H722" s="10">
        <f>IFERROR(__xludf.DUMMYFUNCTION("""COMPUTED_VALUE"""),5.0)</f>
        <v>5</v>
      </c>
      <c r="I722" s="10">
        <f>IFERROR(__xludf.DUMMYFUNCTION("""COMPUTED_VALUE"""),1.0)</f>
        <v>1</v>
      </c>
      <c r="J722" s="10"/>
      <c r="K722" s="10"/>
      <c r="L722" s="10"/>
      <c r="M722" s="10">
        <f>IFERROR(__xludf.DUMMYFUNCTION("""COMPUTED_VALUE"""),8.0)</f>
        <v>8</v>
      </c>
      <c r="N722" s="10"/>
      <c r="O722" s="10"/>
      <c r="P722" s="10"/>
      <c r="Q722" s="10"/>
      <c r="R722" s="10"/>
      <c r="S722" s="10"/>
      <c r="T722" s="10"/>
      <c r="U722" s="18" t="str">
        <f>IFERROR(__xludf.DUMMYFUNCTION("""COMPUTED_VALUE"""),"https://drive.google.com/open?id=1lO9lMOApREQcUv65YSDtWMYhG8XnVI0x")</f>
        <v>https://drive.google.com/open?id=1lO9lMOApREQcUv65YSDtWMYhG8XnVI0x</v>
      </c>
      <c r="V722" s="10"/>
      <c r="W722" s="10"/>
      <c r="X722" s="10"/>
      <c r="Y722" s="14" t="str">
        <f>IFERROR(__xludf.DUMMYFUNCTION("""COMPUTED_VALUE"""),"afzalsaeed804@gmail.com")</f>
        <v>afzalsaeed804@gmail.com</v>
      </c>
      <c r="AA722" s="324"/>
    </row>
    <row r="723" hidden="1">
      <c r="A723" s="9">
        <f>IFERROR(__xludf.DUMMYFUNCTION("""COMPUTED_VALUE"""),45949.082543136574)</f>
        <v>45949.08254</v>
      </c>
      <c r="B723" s="10" t="str">
        <f>IFERROR(__xludf.DUMMYFUNCTION("""COMPUTED_VALUE"""),"Sajjad Ali")</f>
        <v>Sajjad Ali</v>
      </c>
      <c r="C723" s="10" t="str">
        <f>IFERROR(__xludf.DUMMYFUNCTION("""COMPUTED_VALUE"""),"03707600590")</f>
        <v>03707600590</v>
      </c>
      <c r="D723" s="10" t="str">
        <f>IFERROR(__xludf.DUMMYFUNCTION("""COMPUTED_VALUE"""),"Jamia Masjid markzi Rizwai Sangla Hill")</f>
        <v>Jamia Masjid markzi Rizwai Sangla Hill</v>
      </c>
      <c r="E723" s="10" t="str">
        <f>IFERROR(__xludf.DUMMYFUNCTION("""COMPUTED_VALUE"""),"vmmfc")</f>
        <v>vmmfc</v>
      </c>
      <c r="F723" s="10">
        <f>IFERROR(__xludf.DUMMYFUNCTION("""COMPUTED_VALUE"""),750.0)</f>
        <v>750</v>
      </c>
      <c r="G723" s="10">
        <f>IFERROR(__xludf.DUMMYFUNCTION("""COMPUTED_VALUE"""),9.0)</f>
        <v>9</v>
      </c>
      <c r="H723" s="10">
        <f>IFERROR(__xludf.DUMMYFUNCTION("""COMPUTED_VALUE"""),8.0)</f>
        <v>8</v>
      </c>
      <c r="I723" s="10" t="str">
        <f>IFERROR(__xludf.DUMMYFUNCTION("""COMPUTED_VALUE"""),"Light pieces of garbage plastic bags etc")</f>
        <v>Light pieces of garbage plastic bags etc</v>
      </c>
      <c r="J723" s="10"/>
      <c r="K723" s="10"/>
      <c r="L723" s="10"/>
      <c r="M723" s="10">
        <f>IFERROR(__xludf.DUMMYFUNCTION("""COMPUTED_VALUE"""),9.0)</f>
        <v>9</v>
      </c>
      <c r="N723" s="10"/>
      <c r="O723" s="10"/>
      <c r="P723" s="10"/>
      <c r="Q723" s="10"/>
      <c r="R723" s="10"/>
      <c r="S723" s="10"/>
      <c r="T723" s="10"/>
      <c r="U723" s="18" t="str">
        <f>IFERROR(__xludf.DUMMYFUNCTION("""COMPUTED_VALUE"""),"https://drive.google.com/open?id=1vQMlqxPX2gStCNxeuS_OrR678ELDHI_v")</f>
        <v>https://drive.google.com/open?id=1vQMlqxPX2gStCNxeuS_OrR678ELDHI_v</v>
      </c>
      <c r="V723" s="10" t="str">
        <f>IFERROR(__xludf.DUMMYFUNCTION("""COMPUTED_VALUE"""),"No worries")</f>
        <v>No worries</v>
      </c>
      <c r="W723" s="10"/>
      <c r="X723" s="10"/>
      <c r="Y723" s="14" t="str">
        <f>IFERROR(__xludf.DUMMYFUNCTION("""COMPUTED_VALUE"""),"sajjad.ali.04242@gmail.com")</f>
        <v>sajjad.ali.04242@gmail.com</v>
      </c>
      <c r="AA723" s="324"/>
    </row>
    <row r="724" hidden="1">
      <c r="A724" s="9">
        <f>IFERROR(__xludf.DUMMYFUNCTION("""COMPUTED_VALUE"""),45949.456822569446)</f>
        <v>45949.45682</v>
      </c>
      <c r="B724" s="10" t="str">
        <f>IFERROR(__xludf.DUMMYFUNCTION("""COMPUTED_VALUE"""),"Sarfraz Ahmad ")</f>
        <v>Sarfraz Ahmad </v>
      </c>
      <c r="C724" s="10" t="str">
        <f>IFERROR(__xludf.DUMMYFUNCTION("""COMPUTED_VALUE"""),"03017698350")</f>
        <v>03017698350</v>
      </c>
      <c r="D724" s="10" t="str">
        <f>IFERROR(__xludf.DUMMYFUNCTION("""COMPUTED_VALUE"""),"Jamia masjad muhammdiya waqaf yaseenii ")</f>
        <v>Jamia masjad muhammdiya waqaf yaseenii </v>
      </c>
      <c r="E724" s="10" t="str">
        <f>IFERROR(__xludf.DUMMYFUNCTION("""COMPUTED_VALUE"""),"shksd")</f>
        <v>shksd</v>
      </c>
      <c r="F724" s="10">
        <f>IFERROR(__xludf.DUMMYFUNCTION("""COMPUTED_VALUE"""),150.0)</f>
        <v>150</v>
      </c>
      <c r="G724" s="10">
        <f>IFERROR(__xludf.DUMMYFUNCTION("""COMPUTED_VALUE"""),10.0)</f>
        <v>10</v>
      </c>
      <c r="H724" s="10">
        <f>IFERROR(__xludf.DUMMYFUNCTION("""COMPUTED_VALUE"""),9.0)</f>
        <v>9</v>
      </c>
      <c r="I724" s="10">
        <f>IFERROR(__xludf.DUMMYFUNCTION("""COMPUTED_VALUE"""),1.0)</f>
        <v>1</v>
      </c>
      <c r="J724" s="10"/>
      <c r="K724" s="10"/>
      <c r="L724" s="10"/>
      <c r="M724" s="10">
        <f>IFERROR(__xludf.DUMMYFUNCTION("""COMPUTED_VALUE"""),10.0)</f>
        <v>10</v>
      </c>
      <c r="N724" s="10"/>
      <c r="O724" s="10"/>
      <c r="P724" s="10"/>
      <c r="Q724" s="10"/>
      <c r="R724" s="10"/>
      <c r="S724" s="10"/>
      <c r="T724" s="10"/>
      <c r="U724" s="18" t="str">
        <f>IFERROR(__xludf.DUMMYFUNCTION("""COMPUTED_VALUE"""),"https://drive.google.com/file/d/1Douae81TShvI4JuIKV0kSI5IKf8TzCVV/view?usp=drive_link")</f>
        <v>https://drive.google.com/file/d/1Douae81TShvI4JuIKV0kSI5IKf8TzCVV/view?usp=drive_link</v>
      </c>
      <c r="V724" s="10"/>
      <c r="W724" s="10"/>
      <c r="X724" s="10"/>
      <c r="Y724" s="14" t="str">
        <f>IFERROR(__xludf.DUMMYFUNCTION("""COMPUTED_VALUE"""),"drsarfrazahmed644@gmail.com")</f>
        <v>drsarfrazahmed644@gmail.com</v>
      </c>
      <c r="AA724" s="324"/>
    </row>
    <row r="725" hidden="1">
      <c r="A725" s="9">
        <f>IFERROR(__xludf.DUMMYFUNCTION("""COMPUTED_VALUE"""),45953.92492148148)</f>
        <v>45953.92492</v>
      </c>
      <c r="B725" s="10" t="str">
        <f>IFERROR(__xludf.DUMMYFUNCTION("""COMPUTED_VALUE"""),"Muhammad issa")</f>
        <v>Muhammad issa</v>
      </c>
      <c r="C725" s="10" t="str">
        <f>IFERROR(__xludf.DUMMYFUNCTION("""COMPUTED_VALUE"""),"03468475526")</f>
        <v>03468475526</v>
      </c>
      <c r="D725" s="10" t="str">
        <f>IFERROR(__xludf.DUMMYFUNCTION("""COMPUTED_VALUE"""),"Jamia Masjid Darbar Nathu Shah Sharazi")</f>
        <v>Jamia Masjid Darbar Nathu Shah Sharazi</v>
      </c>
      <c r="E725" s="10" t="str">
        <f>IFERROR(__xludf.DUMMYFUNCTION("""COMPUTED_VALUE"""),"rymqe")</f>
        <v>rymqe</v>
      </c>
      <c r="F725" s="10">
        <f>IFERROR(__xludf.DUMMYFUNCTION("""COMPUTED_VALUE"""),60.0)</f>
        <v>60</v>
      </c>
      <c r="G725" s="10">
        <f>IFERROR(__xludf.DUMMYFUNCTION("""COMPUTED_VALUE"""),7.0)</f>
        <v>7</v>
      </c>
      <c r="H725" s="10">
        <f>IFERROR(__xludf.DUMMYFUNCTION("""COMPUTED_VALUE"""),7.0)</f>
        <v>7</v>
      </c>
      <c r="I725" s="10">
        <f>IFERROR(__xludf.DUMMYFUNCTION("""COMPUTED_VALUE"""),1.0)</f>
        <v>1</v>
      </c>
      <c r="J725" s="10"/>
      <c r="K725" s="10"/>
      <c r="L725" s="10"/>
      <c r="M725" s="10">
        <f>IFERROR(__xludf.DUMMYFUNCTION("""COMPUTED_VALUE"""),7.0)</f>
        <v>7</v>
      </c>
      <c r="N725" s="10"/>
      <c r="O725" s="10"/>
      <c r="P725" s="10"/>
      <c r="Q725" s="10"/>
      <c r="R725" s="10"/>
      <c r="S725" s="10"/>
      <c r="T725" s="10"/>
      <c r="U725" s="18" t="str">
        <f>IFERROR(__xludf.DUMMYFUNCTION("""COMPUTED_VALUE"""),"https://drive.google.com/open?id=19OhTfI2od_QNtl4sI7uklaPksrrSYHau")</f>
        <v>https://drive.google.com/open?id=19OhTfI2od_QNtl4sI7uklaPksrrSYHau</v>
      </c>
      <c r="V725" s="10"/>
      <c r="W725" s="10"/>
      <c r="X725" s="10"/>
      <c r="Y725" s="14" t="str">
        <f>IFERROR(__xludf.DUMMYFUNCTION("""COMPUTED_VALUE"""),"Muhammad.issa40@gmail.com")</f>
        <v>Muhammad.issa40@gmail.com</v>
      </c>
      <c r="AA725" s="324"/>
    </row>
    <row r="726" hidden="1">
      <c r="A726" s="9">
        <f>IFERROR(__xludf.DUMMYFUNCTION("""COMPUTED_VALUE"""),45954.20778024306)</f>
        <v>45954.20778</v>
      </c>
      <c r="B726" s="10" t="str">
        <f>IFERROR(__xludf.DUMMYFUNCTION("""COMPUTED_VALUE"""),"Rab Nawaz ")</f>
        <v>Rab Nawaz </v>
      </c>
      <c r="C726" s="10" t="str">
        <f>IFERROR(__xludf.DUMMYFUNCTION("""COMPUTED_VALUE"""),"03458119266")</f>
        <v>03458119266</v>
      </c>
      <c r="D726" s="10" t="str">
        <f>IFERROR(__xludf.DUMMYFUNCTION("""COMPUTED_VALUE"""),"Name at entrance is not available but inside was written. Qazyian wali Masjid Jhang.")</f>
        <v>Name at entrance is not available but inside was written. Qazyian wali Masjid Jhang.</v>
      </c>
      <c r="E726" s="10" t="str">
        <f>IFERROR(__xludf.DUMMYFUNCTION("""COMPUTED_VALUE"""),"Vemox")</f>
        <v>Vemox</v>
      </c>
      <c r="F726" s="10">
        <f>IFERROR(__xludf.DUMMYFUNCTION("""COMPUTED_VALUE"""),207.0)</f>
        <v>207</v>
      </c>
      <c r="G726" s="10">
        <f>IFERROR(__xludf.DUMMYFUNCTION("""COMPUTED_VALUE"""),8.0)</f>
        <v>8</v>
      </c>
      <c r="H726" s="10">
        <f>IFERROR(__xludf.DUMMYFUNCTION("""COMPUTED_VALUE"""),8.0)</f>
        <v>8</v>
      </c>
      <c r="I726" s="10" t="str">
        <f>IFERROR(__xludf.DUMMYFUNCTION("""COMPUTED_VALUE"""),"Zero")</f>
        <v>Zero</v>
      </c>
      <c r="J726" s="10"/>
      <c r="K726" s="10"/>
      <c r="L726" s="10"/>
      <c r="M726" s="10">
        <f>IFERROR(__xludf.DUMMYFUNCTION("""COMPUTED_VALUE"""),8.0)</f>
        <v>8</v>
      </c>
      <c r="N726" s="10"/>
      <c r="O726" s="10"/>
      <c r="P726" s="10"/>
      <c r="Q726" s="10"/>
      <c r="R726" s="10"/>
      <c r="S726" s="10"/>
      <c r="T726" s="10"/>
      <c r="U726" s="18" t="str">
        <f>IFERROR(__xludf.DUMMYFUNCTION("""COMPUTED_VALUE"""),"https://drive.google.com/open?id=16NOAjjnIhEepRKdVPYyV0xNLJq_ryRsu")</f>
        <v>https://drive.google.com/open?id=16NOAjjnIhEepRKdVPYyV0xNLJq_ryRsu</v>
      </c>
      <c r="V726" s="10" t="str">
        <f>IFERROR(__xludf.DUMMYFUNCTION("""COMPUTED_VALUE"""),"Last time sermon was delivered by someone else. Today,s Qari Name was Abdul Hakeem.")</f>
        <v>Last time sermon was delivered by someone else. Today,s Qari Name was Abdul Hakeem.</v>
      </c>
      <c r="W726" s="10"/>
      <c r="X726" s="10"/>
      <c r="Y726" s="14" t="str">
        <f>IFERROR(__xludf.DUMMYFUNCTION("""COMPUTED_VALUE"""),"bhatti.rabnawaz@gmail.com")</f>
        <v>bhatti.rabnawaz@gmail.com</v>
      </c>
      <c r="AA726" s="324"/>
    </row>
    <row r="727" hidden="1">
      <c r="A727" s="9">
        <f>IFERROR(__xludf.DUMMYFUNCTION("""COMPUTED_VALUE"""),45954.210655138886)</f>
        <v>45954.21066</v>
      </c>
      <c r="B727" s="10" t="str">
        <f>IFERROR(__xludf.DUMMYFUNCTION("""COMPUTED_VALUE"""),"علی حیدر ")</f>
        <v>علی حیدر </v>
      </c>
      <c r="C727" s="10" t="str">
        <f>IFERROR(__xludf.DUMMYFUNCTION("""COMPUTED_VALUE"""),"03450138028")</f>
        <v>03450138028</v>
      </c>
      <c r="D727" s="10" t="str">
        <f>IFERROR(__xludf.DUMMYFUNCTION("""COMPUTED_VALUE"""),"مرکزی جامع مسجد ")</f>
        <v>مرکزی جامع مسجد </v>
      </c>
      <c r="E727" s="10" t="str">
        <f>IFERROR(__xludf.DUMMYFUNCTION("""COMPUTED_VALUE""")," gghzz")</f>
        <v> gghzz</v>
      </c>
      <c r="F727" s="10">
        <f>IFERROR(__xludf.DUMMYFUNCTION("""COMPUTED_VALUE"""),270.0)</f>
        <v>270</v>
      </c>
      <c r="G727" s="10">
        <f>IFERROR(__xludf.DUMMYFUNCTION("""COMPUTED_VALUE"""),9.0)</f>
        <v>9</v>
      </c>
      <c r="H727" s="10">
        <f>IFERROR(__xludf.DUMMYFUNCTION("""COMPUTED_VALUE"""),9.0)</f>
        <v>9</v>
      </c>
      <c r="I727" s="10">
        <f>IFERROR(__xludf.DUMMYFUNCTION("""COMPUTED_VALUE"""),0.0)</f>
        <v>0</v>
      </c>
      <c r="J727" s="10"/>
      <c r="K727" s="10"/>
      <c r="L727" s="10"/>
      <c r="M727" s="10">
        <f>IFERROR(__xludf.DUMMYFUNCTION("""COMPUTED_VALUE"""),9.0)</f>
        <v>9</v>
      </c>
      <c r="N727" s="10"/>
      <c r="O727" s="10"/>
      <c r="P727" s="10"/>
      <c r="Q727" s="10"/>
      <c r="R727" s="10"/>
      <c r="S727" s="10"/>
      <c r="T727" s="10"/>
      <c r="U727" s="18" t="str">
        <f>IFERROR(__xludf.DUMMYFUNCTION("""COMPUTED_VALUE"""),"https://drive.google.com/open?id=1-jRAmCgBhCa0Of_AgULb4A0ZusOvd6fw")</f>
        <v>https://drive.google.com/open?id=1-jRAmCgBhCa0Of_AgULb4A0ZusOvd6fw</v>
      </c>
      <c r="V727" s="10"/>
      <c r="W727" s="10"/>
      <c r="X727" s="10"/>
      <c r="Y727" s="14" t="str">
        <f>IFERROR(__xludf.DUMMYFUNCTION("""COMPUTED_VALUE"""),"chalihaidersahu028@gmail.com")</f>
        <v>chalihaidersahu028@gmail.com</v>
      </c>
      <c r="AA727" s="324"/>
    </row>
    <row r="728" hidden="1">
      <c r="A728" s="9">
        <f>IFERROR(__xludf.DUMMYFUNCTION("""COMPUTED_VALUE"""),45954.213408194446)</f>
        <v>45954.21341</v>
      </c>
      <c r="B728" s="10" t="str">
        <f>IFERROR(__xludf.DUMMYFUNCTION("""COMPUTED_VALUE"""),"Muhammad Sohail ")</f>
        <v>Muhammad Sohail </v>
      </c>
      <c r="C728" s="10" t="str">
        <f>IFERROR(__xludf.DUMMYFUNCTION("""COMPUTED_VALUE"""),"03003786086")</f>
        <v>03003786086</v>
      </c>
      <c r="D728" s="10" t="str">
        <f>IFERROR(__xludf.DUMMYFUNCTION("""COMPUTED_VALUE"""),"Jamia Mosque Islam pura Dhobigat ")</f>
        <v>Jamia Mosque Islam pura Dhobigat </v>
      </c>
      <c r="E728" s="10" t="str">
        <f>IFERROR(__xludf.DUMMYFUNCTION("""COMPUTED_VALUE"""),"Cfcvk ")</f>
        <v>Cfcvk </v>
      </c>
      <c r="F728" s="10">
        <f>IFERROR(__xludf.DUMMYFUNCTION("""COMPUTED_VALUE"""),300.0)</f>
        <v>300</v>
      </c>
      <c r="G728" s="10">
        <f>IFERROR(__xludf.DUMMYFUNCTION("""COMPUTED_VALUE"""),9.0)</f>
        <v>9</v>
      </c>
      <c r="H728" s="10">
        <f>IFERROR(__xludf.DUMMYFUNCTION("""COMPUTED_VALUE"""),9.0)</f>
        <v>9</v>
      </c>
      <c r="I728" s="10">
        <f>IFERROR(__xludf.DUMMYFUNCTION("""COMPUTED_VALUE"""),0.0)</f>
        <v>0</v>
      </c>
      <c r="J728" s="10"/>
      <c r="K728" s="10"/>
      <c r="L728" s="10"/>
      <c r="M728" s="10">
        <f>IFERROR(__xludf.DUMMYFUNCTION("""COMPUTED_VALUE"""),9.0)</f>
        <v>9</v>
      </c>
      <c r="N728" s="10"/>
      <c r="O728" s="10"/>
      <c r="P728" s="10"/>
      <c r="Q728" s="10"/>
      <c r="R728" s="10"/>
      <c r="S728" s="10"/>
      <c r="T728" s="10"/>
      <c r="U728" s="18" t="str">
        <f>IFERROR(__xludf.DUMMYFUNCTION("""COMPUTED_VALUE"""),"https://drive.google.com/open?id=1kiZWwHSqt7Ja-etEkI50KTllh_B2wbmj")</f>
        <v>https://drive.google.com/open?id=1kiZWwHSqt7Ja-etEkI50KTllh_B2wbmj</v>
      </c>
      <c r="V728" s="10"/>
      <c r="W728" s="10"/>
      <c r="X728" s="10"/>
      <c r="Y728" s="14" t="str">
        <f>IFERROR(__xludf.DUMMYFUNCTION("""COMPUTED_VALUE"""),"shaheenabbasxxx@gmail.com")</f>
        <v>shaheenabbasxxx@gmail.com</v>
      </c>
      <c r="AA728" s="324"/>
    </row>
    <row r="729" hidden="1">
      <c r="A729" s="9">
        <f>IFERROR(__xludf.DUMMYFUNCTION("""COMPUTED_VALUE"""),45954.21776655092)</f>
        <v>45954.21777</v>
      </c>
      <c r="B729" s="10" t="str">
        <f>IFERROR(__xludf.DUMMYFUNCTION("""COMPUTED_VALUE"""),"Shoaib Ahmed ")</f>
        <v>Shoaib Ahmed </v>
      </c>
      <c r="C729" s="10" t="str">
        <f>IFERROR(__xludf.DUMMYFUNCTION("""COMPUTED_VALUE"""),"03216526034")</f>
        <v>03216526034</v>
      </c>
      <c r="D729" s="10" t="str">
        <f>IFERROR(__xludf.DUMMYFUNCTION("""COMPUTED_VALUE""")," جامع مسجد لسوڑی شاہ  جھنگ بازار فیصل آباد")</f>
        <v> جامع مسجد لسوڑی شاہ  جھنگ بازار فیصل آباد</v>
      </c>
      <c r="E729" s="10" t="str">
        <f>IFERROR(__xludf.DUMMYFUNCTION("""COMPUTED_VALUE"""),"Tiius")</f>
        <v>Tiius</v>
      </c>
      <c r="F729" s="10">
        <f>IFERROR(__xludf.DUMMYFUNCTION("""COMPUTED_VALUE"""),152.0)</f>
        <v>152</v>
      </c>
      <c r="G729" s="10">
        <f>IFERROR(__xludf.DUMMYFUNCTION("""COMPUTED_VALUE"""),9.0)</f>
        <v>9</v>
      </c>
      <c r="H729" s="10">
        <f>IFERROR(__xludf.DUMMYFUNCTION("""COMPUTED_VALUE"""),9.0)</f>
        <v>9</v>
      </c>
      <c r="I729" s="10">
        <f>IFERROR(__xludf.DUMMYFUNCTION("""COMPUTED_VALUE"""),0.0)</f>
        <v>0</v>
      </c>
      <c r="J729" s="10"/>
      <c r="K729" s="10"/>
      <c r="L729" s="10"/>
      <c r="M729" s="10">
        <f>IFERROR(__xludf.DUMMYFUNCTION("""COMPUTED_VALUE"""),9.0)</f>
        <v>9</v>
      </c>
      <c r="N729" s="10"/>
      <c r="O729" s="10"/>
      <c r="P729" s="10"/>
      <c r="Q729" s="10"/>
      <c r="R729" s="10"/>
      <c r="S729" s="10"/>
      <c r="T729" s="10"/>
      <c r="U729" s="18" t="str">
        <f>IFERROR(__xludf.DUMMYFUNCTION("""COMPUTED_VALUE"""),"https://drive.google.com/open?id=1Zp-t6WFjmcXlP7NRgwxU4VTofucKjbLl")</f>
        <v>https://drive.google.com/open?id=1Zp-t6WFjmcXlP7NRgwxU4VTofucKjbLl</v>
      </c>
      <c r="V729" s="10" t="str">
        <f>IFERROR(__xludf.DUMMYFUNCTION("""COMPUTED_VALUE"""),"Thank you ")</f>
        <v>Thank you </v>
      </c>
      <c r="W729" s="10"/>
      <c r="X729" s="10"/>
      <c r="Y729" s="14" t="str">
        <f>IFERROR(__xludf.DUMMYFUNCTION("""COMPUTED_VALUE"""),"shoaibfoji27@gmail.com")</f>
        <v>shoaibfoji27@gmail.com</v>
      </c>
      <c r="AA729" s="324"/>
    </row>
    <row r="730" hidden="1">
      <c r="A730" s="9">
        <f>IFERROR(__xludf.DUMMYFUNCTION("""COMPUTED_VALUE"""),45954.23380394676)</f>
        <v>45954.2338</v>
      </c>
      <c r="B730" s="10" t="str">
        <f>IFERROR(__xludf.DUMMYFUNCTION("""COMPUTED_VALUE"""),"Altaf Hussain ")</f>
        <v>Altaf Hussain </v>
      </c>
      <c r="C730" s="10" t="str">
        <f>IFERROR(__xludf.DUMMYFUNCTION("""COMPUTED_VALUE"""),"03453933260")</f>
        <v>03453933260</v>
      </c>
      <c r="D730" s="10" t="str">
        <f>IFERROR(__xludf.DUMMYFUNCTION("""COMPUTED_VALUE"""),"Jamia masjid talimul Quran gojra")</f>
        <v>Jamia masjid talimul Quran gojra</v>
      </c>
      <c r="E730" s="10" t="str">
        <f>IFERROR(__xludf.DUMMYFUNCTION("""COMPUTED_VALUE"""),"yxvut ")</f>
        <v>yxvut </v>
      </c>
      <c r="F730" s="10">
        <f>IFERROR(__xludf.DUMMYFUNCTION("""COMPUTED_VALUE"""),160.0)</f>
        <v>160</v>
      </c>
      <c r="G730" s="10">
        <f>IFERROR(__xludf.DUMMYFUNCTION("""COMPUTED_VALUE"""),8.0)</f>
        <v>8</v>
      </c>
      <c r="H730" s="10">
        <f>IFERROR(__xludf.DUMMYFUNCTION("""COMPUTED_VALUE"""),9.0)</f>
        <v>9</v>
      </c>
      <c r="I730" s="10" t="str">
        <f>IFERROR(__xludf.DUMMYFUNCTION("""COMPUTED_VALUE"""),"Nil")</f>
        <v>Nil</v>
      </c>
      <c r="J730" s="10"/>
      <c r="K730" s="10"/>
      <c r="L730" s="10"/>
      <c r="M730" s="10">
        <f>IFERROR(__xludf.DUMMYFUNCTION("""COMPUTED_VALUE"""),9.0)</f>
        <v>9</v>
      </c>
      <c r="N730" s="10"/>
      <c r="O730" s="10"/>
      <c r="P730" s="10"/>
      <c r="Q730" s="10"/>
      <c r="R730" s="10"/>
      <c r="S730" s="10"/>
      <c r="T730" s="10"/>
      <c r="U730" s="18" t="str">
        <f>IFERROR(__xludf.DUMMYFUNCTION("""COMPUTED_VALUE"""),"https://drive.google.com/open?id=1d04jcHdPJ2Liu6f-6wz9Zu_w8J6ZHzgK")</f>
        <v>https://drive.google.com/open?id=1d04jcHdPJ2Liu6f-6wz9Zu_w8J6ZHzgK</v>
      </c>
      <c r="V730" s="10" t="str">
        <f>IFERROR(__xludf.DUMMYFUNCTION("""COMPUTED_VALUE"""),"حافظ صاحب کی طبیعت ناساز ہونے کی وجہ سے اج کا خطبہ مختصر اور ادارے کی طرف سے دیے گئے بیان سے ہٹ کے تھا اگلا جمعہ انشاء اللہ ادارے کے ٹاپک پہ بیان کریں گے")</f>
        <v>حافظ صاحب کی طبیعت ناساز ہونے کی وجہ سے اج کا خطبہ مختصر اور ادارے کی طرف سے دیے گئے بیان سے ہٹ کے تھا اگلا جمعہ انشاء اللہ ادارے کے ٹاپک پہ بیان کریں گے</v>
      </c>
      <c r="W730" s="10"/>
      <c r="X730" s="10"/>
      <c r="Y730" s="14" t="str">
        <f>IFERROR(__xludf.DUMMYFUNCTION("""COMPUTED_VALUE"""),"altafhussainchannar260@gmail.com")</f>
        <v>altafhussainchannar260@gmail.com</v>
      </c>
      <c r="AA730" s="324"/>
    </row>
    <row r="731" hidden="1">
      <c r="A731" s="9">
        <f>IFERROR(__xludf.DUMMYFUNCTION("""COMPUTED_VALUE"""),45954.23396253472)</f>
        <v>45954.23396</v>
      </c>
      <c r="B731" s="10" t="str">
        <f>IFERROR(__xludf.DUMMYFUNCTION("""COMPUTED_VALUE"""),"Mohsin Raza ")</f>
        <v>Mohsin Raza </v>
      </c>
      <c r="C731" s="10" t="str">
        <f>IFERROR(__xludf.DUMMYFUNCTION("""COMPUTED_VALUE"""),"03014497860")</f>
        <v>03014497860</v>
      </c>
      <c r="D731" s="10" t="str">
        <f>IFERROR(__xludf.DUMMYFUNCTION("""COMPUTED_VALUE"""),"Lariadda shahkot ")</f>
        <v>Lariadda shahkot </v>
      </c>
      <c r="E731" s="10" t="str">
        <f>IFERROR(__xludf.DUMMYFUNCTION("""COMPUTED_VALUE"""),"fjupe")</f>
        <v>fjupe</v>
      </c>
      <c r="F731" s="10">
        <f>IFERROR(__xludf.DUMMYFUNCTION("""COMPUTED_VALUE"""),76.0)</f>
        <v>76</v>
      </c>
      <c r="G731" s="10">
        <f>IFERROR(__xludf.DUMMYFUNCTION("""COMPUTED_VALUE"""),7.0)</f>
        <v>7</v>
      </c>
      <c r="H731" s="10">
        <f>IFERROR(__xludf.DUMMYFUNCTION("""COMPUTED_VALUE"""),6.0)</f>
        <v>6</v>
      </c>
      <c r="I731" s="10">
        <f>IFERROR(__xludf.DUMMYFUNCTION("""COMPUTED_VALUE"""),0.0)</f>
        <v>0</v>
      </c>
      <c r="J731" s="10"/>
      <c r="K731" s="10"/>
      <c r="L731" s="10"/>
      <c r="M731" s="10">
        <f>IFERROR(__xludf.DUMMYFUNCTION("""COMPUTED_VALUE"""),6.0)</f>
        <v>6</v>
      </c>
      <c r="N731" s="10"/>
      <c r="O731" s="10"/>
      <c r="P731" s="10"/>
      <c r="Q731" s="10"/>
      <c r="R731" s="10"/>
      <c r="S731" s="10"/>
      <c r="T731" s="10"/>
      <c r="U731" s="18" t="str">
        <f>IFERROR(__xludf.DUMMYFUNCTION("""COMPUTED_VALUE"""),"https://drive.google.com/open?id=1_GFmfKlZqChoNr4o0hCPAaXmEuCamMnZ")</f>
        <v>https://drive.google.com/open?id=1_GFmfKlZqChoNr4o0hCPAaXmEuCamMnZ</v>
      </c>
      <c r="V731" s="10" t="str">
        <f>IFERROR(__xludf.DUMMYFUNCTION("""COMPUTED_VALUE"""),"People noted me ")</f>
        <v>People noted me </v>
      </c>
      <c r="W731" s="10"/>
      <c r="X731" s="10"/>
      <c r="Y731" s="14" t="str">
        <f>IFERROR(__xludf.DUMMYFUNCTION("""COMPUTED_VALUE"""),"mohsinraza668877@gmail.com")</f>
        <v>mohsinraza668877@gmail.com</v>
      </c>
      <c r="AA731" s="324"/>
    </row>
    <row r="732" hidden="1">
      <c r="A732" s="9">
        <f>IFERROR(__xludf.DUMMYFUNCTION("""COMPUTED_VALUE"""),45954.234169097224)</f>
        <v>45954.23417</v>
      </c>
      <c r="B732" s="10" t="str">
        <f>IFERROR(__xludf.DUMMYFUNCTION("""COMPUTED_VALUE"""),"Ali Imran")</f>
        <v>Ali Imran</v>
      </c>
      <c r="C732" s="10" t="str">
        <f>IFERROR(__xludf.DUMMYFUNCTION("""COMPUTED_VALUE"""),"03336524177")</f>
        <v>03336524177</v>
      </c>
      <c r="D732" s="10" t="str">
        <f>IFERROR(__xludf.DUMMYFUNCTION("""COMPUTED_VALUE"""),"Jamia Masjid Noor tariqabad Faisalabad")</f>
        <v>Jamia Masjid Noor tariqabad Faisalabad</v>
      </c>
      <c r="E732" s="10" t="str">
        <f>IFERROR(__xludf.DUMMYFUNCTION("""COMPUTED_VALUE"""),"TBTHQ")</f>
        <v>TBTHQ</v>
      </c>
      <c r="F732" s="10">
        <f>IFERROR(__xludf.DUMMYFUNCTION("""COMPUTED_VALUE"""),215.0)</f>
        <v>215</v>
      </c>
      <c r="G732" s="10">
        <f>IFERROR(__xludf.DUMMYFUNCTION("""COMPUTED_VALUE"""),10.0)</f>
        <v>10</v>
      </c>
      <c r="H732" s="10">
        <f>IFERROR(__xludf.DUMMYFUNCTION("""COMPUTED_VALUE"""),10.0)</f>
        <v>10</v>
      </c>
      <c r="I732" s="10">
        <f>IFERROR(__xludf.DUMMYFUNCTION("""COMPUTED_VALUE"""),0.0)</f>
        <v>0</v>
      </c>
      <c r="J732" s="10"/>
      <c r="K732" s="10"/>
      <c r="L732" s="10"/>
      <c r="M732" s="10">
        <f>IFERROR(__xludf.DUMMYFUNCTION("""COMPUTED_VALUE"""),9.0)</f>
        <v>9</v>
      </c>
      <c r="N732" s="10"/>
      <c r="O732" s="10"/>
      <c r="P732" s="10"/>
      <c r="Q732" s="10"/>
      <c r="R732" s="10"/>
      <c r="S732" s="10"/>
      <c r="T732" s="10"/>
      <c r="U732" s="18" t="str">
        <f>IFERROR(__xludf.DUMMYFUNCTION("""COMPUTED_VALUE"""),"https://drive.google.com/file/d/114BW4A8YcPMJ9AJ9pgQhZ_zygtPf1zT0/view?usp=drive_link")</f>
        <v>https://drive.google.com/file/d/114BW4A8YcPMJ9AJ9pgQhZ_zygtPf1zT0/view?usp=drive_link</v>
      </c>
      <c r="V732" s="10" t="str">
        <f>IFERROR(__xludf.DUMMYFUNCTION("""COMPUTED_VALUE"""),"Server not responding to Audio file")</f>
        <v>Server not responding to Audio file</v>
      </c>
      <c r="W732" s="10"/>
      <c r="X732" s="10"/>
      <c r="Y732" s="14" t="str">
        <f>IFERROR(__xludf.DUMMYFUNCTION("""COMPUTED_VALUE"""),"aliimran609@gmail.com")</f>
        <v>aliimran609@gmail.com</v>
      </c>
      <c r="AA732" s="324"/>
    </row>
    <row r="733" hidden="1">
      <c r="A733" s="9">
        <f>IFERROR(__xludf.DUMMYFUNCTION("""COMPUTED_VALUE"""),45954.23510077546)</f>
        <v>45954.2351</v>
      </c>
      <c r="B733" s="10" t="str">
        <f>IFERROR(__xludf.DUMMYFUNCTION("""COMPUTED_VALUE"""),"Taha Abdullah khan ")</f>
        <v>Taha Abdullah khan </v>
      </c>
      <c r="C733" s="10" t="str">
        <f>IFERROR(__xludf.DUMMYFUNCTION("""COMPUTED_VALUE"""),"03497062330")</f>
        <v>03497062330</v>
      </c>
      <c r="D733" s="10" t="str">
        <f>IFERROR(__xludf.DUMMYFUNCTION("""COMPUTED_VALUE"""),"جامع مسجد حاجی محمد دین ")</f>
        <v>جامع مسجد حاجی محمد دین </v>
      </c>
      <c r="E733" s="10" t="str">
        <f>IFERROR(__xludf.DUMMYFUNCTION("""COMPUTED_VALUE"""),"estsn")</f>
        <v>estsn</v>
      </c>
      <c r="F733" s="10">
        <f>IFERROR(__xludf.DUMMYFUNCTION("""COMPUTED_VALUE"""),121.0)</f>
        <v>121</v>
      </c>
      <c r="G733" s="10">
        <f>IFERROR(__xludf.DUMMYFUNCTION("""COMPUTED_VALUE"""),7.0)</f>
        <v>7</v>
      </c>
      <c r="H733" s="10">
        <f>IFERROR(__xludf.DUMMYFUNCTION("""COMPUTED_VALUE"""),5.0)</f>
        <v>5</v>
      </c>
      <c r="I733" s="10">
        <f>IFERROR(__xludf.DUMMYFUNCTION("""COMPUTED_VALUE"""),1.0)</f>
        <v>1</v>
      </c>
      <c r="J733" s="10"/>
      <c r="K733" s="10"/>
      <c r="L733" s="10"/>
      <c r="M733" s="10">
        <f>IFERROR(__xludf.DUMMYFUNCTION("""COMPUTED_VALUE"""),8.0)</f>
        <v>8</v>
      </c>
      <c r="N733" s="10"/>
      <c r="O733" s="10"/>
      <c r="P733" s="10"/>
      <c r="Q733" s="10"/>
      <c r="R733" s="10"/>
      <c r="S733" s="10"/>
      <c r="T733" s="10"/>
      <c r="U733" s="10"/>
      <c r="V733" s="10"/>
      <c r="W733" s="10"/>
      <c r="X733" s="10"/>
      <c r="Y733" s="14" t="str">
        <f>IFERROR(__xludf.DUMMYFUNCTION("""COMPUTED_VALUE"""),"tkrock321@gmail.com")</f>
        <v>tkrock321@gmail.com</v>
      </c>
      <c r="AA733" s="324"/>
    </row>
    <row r="734" hidden="1">
      <c r="A734" s="9">
        <f>IFERROR(__xludf.DUMMYFUNCTION("""COMPUTED_VALUE"""),45954.235569930555)</f>
        <v>45954.23557</v>
      </c>
      <c r="B734" s="10" t="str">
        <f>IFERROR(__xludf.DUMMYFUNCTION("""COMPUTED_VALUE"""),"Abubakar ")</f>
        <v>Abubakar </v>
      </c>
      <c r="C734" s="10" t="str">
        <f>IFERROR(__xludf.DUMMYFUNCTION("""COMPUTED_VALUE"""),"03111204919")</f>
        <v>03111204919</v>
      </c>
      <c r="D734" s="10" t="str">
        <f>IFERROR(__xludf.DUMMYFUNCTION("""COMPUTED_VALUE"""),"Jamiya masjid usmaneya ")</f>
        <v>Jamiya masjid usmaneya </v>
      </c>
      <c r="E734" s="10" t="str">
        <f>IFERROR(__xludf.DUMMYFUNCTION("""COMPUTED_VALUE"""),"KGQJV")</f>
        <v>KGQJV</v>
      </c>
      <c r="F734" s="10">
        <f>IFERROR(__xludf.DUMMYFUNCTION("""COMPUTED_VALUE"""),820.0)</f>
        <v>820</v>
      </c>
      <c r="G734" s="10">
        <f>IFERROR(__xludf.DUMMYFUNCTION("""COMPUTED_VALUE"""),9.0)</f>
        <v>9</v>
      </c>
      <c r="H734" s="10">
        <f>IFERROR(__xludf.DUMMYFUNCTION("""COMPUTED_VALUE"""),9.0)</f>
        <v>9</v>
      </c>
      <c r="I734" s="10">
        <f>IFERROR(__xludf.DUMMYFUNCTION("""COMPUTED_VALUE"""),1.0)</f>
        <v>1</v>
      </c>
      <c r="J734" s="10"/>
      <c r="K734" s="10"/>
      <c r="L734" s="10"/>
      <c r="M734" s="10">
        <f>IFERROR(__xludf.DUMMYFUNCTION("""COMPUTED_VALUE"""),9.0)</f>
        <v>9</v>
      </c>
      <c r="N734" s="10"/>
      <c r="O734" s="10"/>
      <c r="P734" s="10"/>
      <c r="Q734" s="10"/>
      <c r="R734" s="10"/>
      <c r="S734" s="10"/>
      <c r="T734" s="10"/>
      <c r="U734" s="18" t="str">
        <f>IFERROR(__xludf.DUMMYFUNCTION("""COMPUTED_VALUE"""),"https://drive.google.com/open?id=12DqR8s7rQdVH8tYl9WOiW4M_Lkx9ofdQ")</f>
        <v>https://drive.google.com/open?id=12DqR8s7rQdVH8tYl9WOiW4M_Lkx9ofdQ</v>
      </c>
      <c r="V734" s="10"/>
      <c r="W734" s="10"/>
      <c r="X734" s="10"/>
      <c r="Y734" s="14" t="str">
        <f>IFERROR(__xludf.DUMMYFUNCTION("""COMPUTED_VALUE"""),"ab1995312@gmail.com")</f>
        <v>ab1995312@gmail.com</v>
      </c>
      <c r="AA734" s="324"/>
    </row>
    <row r="735" hidden="1">
      <c r="A735" s="9">
        <f>IFERROR(__xludf.DUMMYFUNCTION("""COMPUTED_VALUE"""),45954.23710568287)</f>
        <v>45954.23711</v>
      </c>
      <c r="B735" s="10" t="str">
        <f>IFERROR(__xludf.DUMMYFUNCTION("""COMPUTED_VALUE"""),"Shwaiz Sheraz ")</f>
        <v>Shwaiz Sheraz </v>
      </c>
      <c r="C735" s="10" t="str">
        <f>IFERROR(__xludf.DUMMYFUNCTION("""COMPUTED_VALUE"""),"03471544349")</f>
        <v>03471544349</v>
      </c>
      <c r="D735" s="10" t="str">
        <f>IFERROR(__xludf.DUMMYFUNCTION("""COMPUTED_VALUE"""),"جامعہ مسجد نور شہید روڈ جھنگ صدر ")</f>
        <v>جامعہ مسجد نور شہید روڈ جھنگ صدر </v>
      </c>
      <c r="E735" s="10" t="str">
        <f>IFERROR(__xludf.DUMMYFUNCTION("""COMPUTED_VALUE"""),"fpyze")</f>
        <v>fpyze</v>
      </c>
      <c r="F735" s="10">
        <f>IFERROR(__xludf.DUMMYFUNCTION("""COMPUTED_VALUE"""),950.0)</f>
        <v>950</v>
      </c>
      <c r="G735" s="10">
        <f>IFERROR(__xludf.DUMMYFUNCTION("""COMPUTED_VALUE"""),10.0)</f>
        <v>10</v>
      </c>
      <c r="H735" s="10">
        <f>IFERROR(__xludf.DUMMYFUNCTION("""COMPUTED_VALUE"""),10.0)</f>
        <v>10</v>
      </c>
      <c r="I735" s="10">
        <f>IFERROR(__xludf.DUMMYFUNCTION("""COMPUTED_VALUE"""),0.0)</f>
        <v>0</v>
      </c>
      <c r="J735" s="10"/>
      <c r="K735" s="10"/>
      <c r="L735" s="10"/>
      <c r="M735" s="10">
        <f>IFERROR(__xludf.DUMMYFUNCTION("""COMPUTED_VALUE"""),9.0)</f>
        <v>9</v>
      </c>
      <c r="N735" s="10"/>
      <c r="O735" s="10"/>
      <c r="P735" s="10"/>
      <c r="Q735" s="10"/>
      <c r="R735" s="10"/>
      <c r="S735" s="10"/>
      <c r="T735" s="10"/>
      <c r="U735" s="18" t="str">
        <f>IFERROR(__xludf.DUMMYFUNCTION("""COMPUTED_VALUE"""),"https://drive.google.com/open?id=10DCuhKOlX8lMFzs401ZClowoV2e_z1ZY")</f>
        <v>https://drive.google.com/open?id=10DCuhKOlX8lMFzs401ZClowoV2e_z1ZY</v>
      </c>
      <c r="V735" s="10" t="str">
        <f>IFERROR(__xludf.DUMMYFUNCTION("""COMPUTED_VALUE"""),"Nope ")</f>
        <v>Nope </v>
      </c>
      <c r="W735" s="10"/>
      <c r="X735" s="10"/>
      <c r="Y735" s="14" t="str">
        <f>IFERROR(__xludf.DUMMYFUNCTION("""COMPUTED_VALUE"""),"shwaiz.sheraz@gmail.com")</f>
        <v>shwaiz.sheraz@gmail.com</v>
      </c>
      <c r="AA735" s="324"/>
    </row>
    <row r="736" hidden="1">
      <c r="A736" s="9">
        <f>IFERROR(__xludf.DUMMYFUNCTION("""COMPUTED_VALUE"""),45954.237154560185)</f>
        <v>45954.23715</v>
      </c>
      <c r="B736" s="10" t="str">
        <f>IFERROR(__xludf.DUMMYFUNCTION("""COMPUTED_VALUE"""),"Afzal saeed ")</f>
        <v>Afzal saeed </v>
      </c>
      <c r="C736" s="10" t="str">
        <f>IFERROR(__xludf.DUMMYFUNCTION("""COMPUTED_VALUE"""),"0306 9874123 ")</f>
        <v>0306 9874123 </v>
      </c>
      <c r="D736" s="10" t="str">
        <f>IFERROR(__xludf.DUMMYFUNCTION("""COMPUTED_VALUE"""),"Jamia ghusi razwi masjid")</f>
        <v>Jamia ghusi razwi masjid</v>
      </c>
      <c r="E736" s="10" t="str">
        <f>IFERROR(__xludf.DUMMYFUNCTION("""COMPUTED_VALUE"""),"mxebb")</f>
        <v>mxebb</v>
      </c>
      <c r="F736" s="10">
        <f>IFERROR(__xludf.DUMMYFUNCTION("""COMPUTED_VALUE"""),125.0)</f>
        <v>125</v>
      </c>
      <c r="G736" s="10">
        <f>IFERROR(__xludf.DUMMYFUNCTION("""COMPUTED_VALUE"""),7.0)</f>
        <v>7</v>
      </c>
      <c r="H736" s="10">
        <f>IFERROR(__xludf.DUMMYFUNCTION("""COMPUTED_VALUE"""),6.0)</f>
        <v>6</v>
      </c>
      <c r="I736" s="10">
        <f>IFERROR(__xludf.DUMMYFUNCTION("""COMPUTED_VALUE"""),1.0)</f>
        <v>1</v>
      </c>
      <c r="J736" s="10"/>
      <c r="K736" s="10"/>
      <c r="L736" s="10"/>
      <c r="M736" s="10">
        <f>IFERROR(__xludf.DUMMYFUNCTION("""COMPUTED_VALUE"""),9.0)</f>
        <v>9</v>
      </c>
      <c r="N736" s="10"/>
      <c r="O736" s="10"/>
      <c r="P736" s="10"/>
      <c r="Q736" s="10"/>
      <c r="R736" s="10"/>
      <c r="S736" s="10"/>
      <c r="T736" s="10"/>
      <c r="U736" s="18" t="str">
        <f>IFERROR(__xludf.DUMMYFUNCTION("""COMPUTED_VALUE"""),"https://drive.google.com/open?id=1XLSWZFgoVv755WqT-6z2U_rNbOx9r2xj")</f>
        <v>https://drive.google.com/open?id=1XLSWZFgoVv755WqT-6z2U_rNbOx9r2xj</v>
      </c>
      <c r="V736" s="10"/>
      <c r="W736" s="10"/>
      <c r="X736" s="10"/>
      <c r="Y736" s="14" t="str">
        <f>IFERROR(__xludf.DUMMYFUNCTION("""COMPUTED_VALUE"""),"afzalsaeed804@gmail.com")</f>
        <v>afzalsaeed804@gmail.com</v>
      </c>
      <c r="AA736" s="324"/>
    </row>
    <row r="737" hidden="1">
      <c r="A737" s="9">
        <f>IFERROR(__xludf.DUMMYFUNCTION("""COMPUTED_VALUE"""),45954.239041504625)</f>
        <v>45954.23904</v>
      </c>
      <c r="B737" s="10" t="str">
        <f>IFERROR(__xludf.DUMMYFUNCTION("""COMPUTED_VALUE"""),"Zain Sajjad ")</f>
        <v>Zain Sajjad </v>
      </c>
      <c r="C737" s="10" t="str">
        <f>IFERROR(__xludf.DUMMYFUNCTION("""COMPUTED_VALUE"""),"03044801331")</f>
        <v>03044801331</v>
      </c>
      <c r="D737" s="10" t="str">
        <f>IFERROR(__xludf.DUMMYFUNCTION("""COMPUTED_VALUE"""),"Jamia Masjid Tehseel wali khachari bazar ")</f>
        <v>Jamia Masjid Tehseel wali khachari bazar </v>
      </c>
      <c r="E737" s="10" t="str">
        <f>IFERROR(__xludf.DUMMYFUNCTION("""COMPUTED_VALUE"""),"pjygt")</f>
        <v>pjygt</v>
      </c>
      <c r="F737" s="10">
        <f>IFERROR(__xludf.DUMMYFUNCTION("""COMPUTED_VALUE"""),400.0)</f>
        <v>400</v>
      </c>
      <c r="G737" s="10">
        <f>IFERROR(__xludf.DUMMYFUNCTION("""COMPUTED_VALUE"""),8.0)</f>
        <v>8</v>
      </c>
      <c r="H737" s="10">
        <f>IFERROR(__xludf.DUMMYFUNCTION("""COMPUTED_VALUE"""),9.0)</f>
        <v>9</v>
      </c>
      <c r="I737" s="10">
        <f>IFERROR(__xludf.DUMMYFUNCTION("""COMPUTED_VALUE"""),40.0)</f>
        <v>40</v>
      </c>
      <c r="J737" s="10"/>
      <c r="K737" s="10"/>
      <c r="L737" s="10"/>
      <c r="M737" s="10">
        <f>IFERROR(__xludf.DUMMYFUNCTION("""COMPUTED_VALUE"""),8.0)</f>
        <v>8</v>
      </c>
      <c r="N737" s="10"/>
      <c r="O737" s="10"/>
      <c r="P737" s="10"/>
      <c r="Q737" s="10"/>
      <c r="R737" s="10"/>
      <c r="S737" s="10"/>
      <c r="T737" s="10"/>
      <c r="U737" s="18" t="str">
        <f>IFERROR(__xludf.DUMMYFUNCTION("""COMPUTED_VALUE"""),"https://drive.google.com/file/d/133oQ8z1fxU-8dP_IvdYxpmyTsBQzn8Re/view?usp=drive_link")</f>
        <v>https://drive.google.com/file/d/133oQ8z1fxU-8dP_IvdYxpmyTsBQzn8Re/view?usp=drive_link</v>
      </c>
      <c r="V737" s="10" t="str">
        <f>IFERROR(__xludf.DUMMYFUNCTION("""COMPUTED_VALUE"""),"Nii")</f>
        <v>Nii</v>
      </c>
      <c r="W737" s="10"/>
      <c r="X737" s="10"/>
      <c r="Y737" s="14" t="str">
        <f>IFERROR(__xludf.DUMMYFUNCTION("""COMPUTED_VALUE"""),"zain.chandio881@gmail.com")</f>
        <v>zain.chandio881@gmail.com</v>
      </c>
      <c r="AA737" s="324"/>
    </row>
    <row r="738" hidden="1">
      <c r="A738" s="9">
        <f>IFERROR(__xludf.DUMMYFUNCTION("""COMPUTED_VALUE"""),45954.25457740741)</f>
        <v>45954.25458</v>
      </c>
      <c r="B738" s="10" t="str">
        <f>IFERROR(__xludf.DUMMYFUNCTION("""COMPUTED_VALUE"""),"Sajjad Ali")</f>
        <v>Sajjad Ali</v>
      </c>
      <c r="C738" s="10" t="str">
        <f>IFERROR(__xludf.DUMMYFUNCTION("""COMPUTED_VALUE"""),"03707600590")</f>
        <v>03707600590</v>
      </c>
      <c r="D738" s="10" t="str">
        <f>IFERROR(__xludf.DUMMYFUNCTION("""COMPUTED_VALUE"""),"Markzi Rizvi jamia masjid")</f>
        <v>Markzi Rizvi jamia masjid</v>
      </c>
      <c r="E738" s="10" t="str">
        <f>IFERROR(__xludf.DUMMYFUNCTION("""COMPUTED_VALUE"""),"VmmFc")</f>
        <v>VmmFc</v>
      </c>
      <c r="F738" s="10">
        <f>IFERROR(__xludf.DUMMYFUNCTION("""COMPUTED_VALUE"""),700.0)</f>
        <v>700</v>
      </c>
      <c r="G738" s="10">
        <f>IFERROR(__xludf.DUMMYFUNCTION("""COMPUTED_VALUE"""),8.0)</f>
        <v>8</v>
      </c>
      <c r="H738" s="10">
        <f>IFERROR(__xludf.DUMMYFUNCTION("""COMPUTED_VALUE"""),9.0)</f>
        <v>9</v>
      </c>
      <c r="I738" s="10">
        <f>IFERROR(__xludf.DUMMYFUNCTION("""COMPUTED_VALUE"""),0.0)</f>
        <v>0</v>
      </c>
      <c r="J738" s="10"/>
      <c r="K738" s="10"/>
      <c r="L738" s="10"/>
      <c r="M738" s="10">
        <f>IFERROR(__xludf.DUMMYFUNCTION("""COMPUTED_VALUE"""),9.0)</f>
        <v>9</v>
      </c>
      <c r="N738" s="10"/>
      <c r="O738" s="10"/>
      <c r="P738" s="10"/>
      <c r="Q738" s="10"/>
      <c r="R738" s="10"/>
      <c r="S738" s="10"/>
      <c r="T738" s="10"/>
      <c r="U738" s="18" t="str">
        <f>IFERROR(__xludf.DUMMYFUNCTION("""COMPUTED_VALUE"""),"https://drive.google.com/open?id=1E4coFNTzraeg1pdkKKtHcvyZDBULsRz2")</f>
        <v>https://drive.google.com/open?id=1E4coFNTzraeg1pdkKKtHcvyZDBULsRz2</v>
      </c>
      <c r="V738" s="10" t="str">
        <f>IFERROR(__xludf.DUMMYFUNCTION("""COMPUTED_VALUE"""),"Na")</f>
        <v>Na</v>
      </c>
      <c r="W738" s="10"/>
      <c r="X738" s="10"/>
      <c r="Y738" s="14" t="str">
        <f>IFERROR(__xludf.DUMMYFUNCTION("""COMPUTED_VALUE"""),"sajjad.ali.04242@gmail.com")</f>
        <v>sajjad.ali.04242@gmail.com</v>
      </c>
      <c r="AA738" s="324"/>
    </row>
    <row r="739" hidden="1">
      <c r="A739" s="9">
        <f>IFERROR(__xludf.DUMMYFUNCTION("""COMPUTED_VALUE"""),45954.262886400466)</f>
        <v>45954.26289</v>
      </c>
      <c r="B739" s="10" t="str">
        <f>IFERROR(__xludf.DUMMYFUNCTION("""COMPUTED_VALUE"""),"Nadeem Mirza ")</f>
        <v>Nadeem Mirza </v>
      </c>
      <c r="C739" s="10" t="str">
        <f>IFERROR(__xludf.DUMMYFUNCTION("""COMPUTED_VALUE"""),"03006623984")</f>
        <v>03006623984</v>
      </c>
      <c r="D739" s="10" t="str">
        <f>IFERROR(__xludf.DUMMYFUNCTION("""COMPUTED_VALUE"""),"Jamia Masjid Firdous Darbar Hazrat Syed Baba Noor Shah Wali ")</f>
        <v>Jamia Masjid Firdous Darbar Hazrat Syed Baba Noor Shah Wali </v>
      </c>
      <c r="E739" s="10" t="str">
        <f>IFERROR(__xludf.DUMMYFUNCTION("""COMPUTED_VALUE"""),"KYZWA ")</f>
        <v>KYZWA </v>
      </c>
      <c r="F739" s="10">
        <f>IFERROR(__xludf.DUMMYFUNCTION("""COMPUTED_VALUE"""),383.0)</f>
        <v>383</v>
      </c>
      <c r="G739" s="10">
        <f>IFERROR(__xludf.DUMMYFUNCTION("""COMPUTED_VALUE"""),9.0)</f>
        <v>9</v>
      </c>
      <c r="H739" s="10">
        <f>IFERROR(__xludf.DUMMYFUNCTION("""COMPUTED_VALUE"""),9.0)</f>
        <v>9</v>
      </c>
      <c r="I739" s="10">
        <f>IFERROR(__xludf.DUMMYFUNCTION("""COMPUTED_VALUE"""),0.0)</f>
        <v>0</v>
      </c>
      <c r="J739" s="10"/>
      <c r="K739" s="10"/>
      <c r="L739" s="10"/>
      <c r="M739" s="10">
        <f>IFERROR(__xludf.DUMMYFUNCTION("""COMPUTED_VALUE"""),7.0)</f>
        <v>7</v>
      </c>
      <c r="N739" s="10"/>
      <c r="O739" s="10"/>
      <c r="P739" s="10"/>
      <c r="Q739" s="10"/>
      <c r="R739" s="10"/>
      <c r="S739" s="10"/>
      <c r="T739" s="10"/>
      <c r="U739" s="18" t="str">
        <f>IFERROR(__xludf.DUMMYFUNCTION("""COMPUTED_VALUE"""),"https://drive.google.com/open?id=19IUVk73DMgCmgCo35NmVp_lkfUypzc3u")</f>
        <v>https://drive.google.com/open?id=19IUVk73DMgCmgCo35NmVp_lkfUypzc3u</v>
      </c>
      <c r="V739" s="10" t="str">
        <f>IFERROR(__xludf.DUMMYFUNCTION("""COMPUTED_VALUE"""),"Ok
")</f>
        <v>Ok
</v>
      </c>
      <c r="W739" s="10"/>
      <c r="X739" s="10"/>
      <c r="Y739" s="14" t="str">
        <f>IFERROR(__xludf.DUMMYFUNCTION("""COMPUTED_VALUE"""),"nadeem_mirza73@hotmail.com")</f>
        <v>nadeem_mirza73@hotmail.com</v>
      </c>
      <c r="AA739" s="324"/>
    </row>
    <row r="740" hidden="1">
      <c r="A740" s="9">
        <f>IFERROR(__xludf.DUMMYFUNCTION("""COMPUTED_VALUE"""),45954.26812064815)</f>
        <v>45954.26812</v>
      </c>
      <c r="B740" s="10" t="str">
        <f>IFERROR(__xludf.DUMMYFUNCTION("""COMPUTED_VALUE"""),"Ali Ahsan")</f>
        <v>Ali Ahsan</v>
      </c>
      <c r="C740" s="10" t="str">
        <f>IFERROR(__xludf.DUMMYFUNCTION("""COMPUTED_VALUE"""),"03217827078")</f>
        <v>03217827078</v>
      </c>
      <c r="D740" s="10" t="str">
        <f>IFERROR(__xludf.DUMMYFUNCTION("""COMPUTED_VALUE"""),"Jamia Masjid Gole Karyana Karkhana Bazar ")</f>
        <v>Jamia Masjid Gole Karyana Karkhana Bazar </v>
      </c>
      <c r="E740" s="10" t="str">
        <f>IFERROR(__xludf.DUMMYFUNCTION("""COMPUTED_VALUE"""),"xlemr")</f>
        <v>xlemr</v>
      </c>
      <c r="F740" s="10">
        <f>IFERROR(__xludf.DUMMYFUNCTION("""COMPUTED_VALUE"""),339.0)</f>
        <v>339</v>
      </c>
      <c r="G740" s="10">
        <f>IFERROR(__xludf.DUMMYFUNCTION("""COMPUTED_VALUE"""),9.0)</f>
        <v>9</v>
      </c>
      <c r="H740" s="10">
        <f>IFERROR(__xludf.DUMMYFUNCTION("""COMPUTED_VALUE"""),8.0)</f>
        <v>8</v>
      </c>
      <c r="I740" s="10" t="str">
        <f>IFERROR(__xludf.DUMMYFUNCTION("""COMPUTED_VALUE"""),"Nothing")</f>
        <v>Nothing</v>
      </c>
      <c r="J740" s="10"/>
      <c r="K740" s="10"/>
      <c r="L740" s="10"/>
      <c r="M740" s="10">
        <f>IFERROR(__xludf.DUMMYFUNCTION("""COMPUTED_VALUE"""),10.0)</f>
        <v>10</v>
      </c>
      <c r="N740" s="10"/>
      <c r="O740" s="10"/>
      <c r="P740" s="10"/>
      <c r="Q740" s="10"/>
      <c r="R740" s="10"/>
      <c r="S740" s="10"/>
      <c r="T740" s="10"/>
      <c r="U740" s="18" t="str">
        <f>IFERROR(__xludf.DUMMYFUNCTION("""COMPUTED_VALUE"""),"https://drive.google.com/open?id=1RrdTRtQECP4z9OQpeYj1bJYRqRz_7T7T")</f>
        <v>https://drive.google.com/open?id=1RrdTRtQECP4z9OQpeYj1bJYRqRz_7T7T</v>
      </c>
      <c r="V740" s="10"/>
      <c r="W740" s="10"/>
      <c r="X740" s="10"/>
      <c r="Y740" s="14" t="str">
        <f>IFERROR(__xludf.DUMMYFUNCTION("""COMPUTED_VALUE"""),"inspirepharma440@gmail.com")</f>
        <v>inspirepharma440@gmail.com</v>
      </c>
      <c r="AA740" s="324"/>
    </row>
    <row r="741" hidden="1">
      <c r="A741" s="9">
        <f>IFERROR(__xludf.DUMMYFUNCTION("""COMPUTED_VALUE"""),45954.26880913194)</f>
        <v>45954.26881</v>
      </c>
      <c r="B741" s="10" t="str">
        <f>IFERROR(__xludf.DUMMYFUNCTION("""COMPUTED_VALUE"""),"Shahid Fareed ")</f>
        <v>Shahid Fareed </v>
      </c>
      <c r="C741" s="10" t="str">
        <f>IFERROR(__xludf.DUMMYFUNCTION("""COMPUTED_VALUE"""),"03054323435")</f>
        <v>03054323435</v>
      </c>
      <c r="D741" s="10" t="str">
        <f>IFERROR(__xludf.DUMMYFUNCTION("""COMPUTED_VALUE"""),"Jamea Masjid Eid Ghah Modal town B faisalabad ")</f>
        <v>Jamea Masjid Eid Ghah Modal town B faisalabad </v>
      </c>
      <c r="E741" s="10" t="str">
        <f>IFERROR(__xludf.DUMMYFUNCTION("""COMPUTED_VALUE"""),"Vldwg")</f>
        <v>Vldwg</v>
      </c>
      <c r="F741" s="10">
        <f>IFERROR(__xludf.DUMMYFUNCTION("""COMPUTED_VALUE"""),315.0)</f>
        <v>315</v>
      </c>
      <c r="G741" s="10">
        <f>IFERROR(__xludf.DUMMYFUNCTION("""COMPUTED_VALUE"""),9.0)</f>
        <v>9</v>
      </c>
      <c r="H741" s="10">
        <f>IFERROR(__xludf.DUMMYFUNCTION("""COMPUTED_VALUE"""),9.0)</f>
        <v>9</v>
      </c>
      <c r="I741" s="10" t="str">
        <f>IFERROR(__xludf.DUMMYFUNCTION("""COMPUTED_VALUE"""),"No trash heaps")</f>
        <v>No trash heaps</v>
      </c>
      <c r="J741" s="10"/>
      <c r="K741" s="10"/>
      <c r="L741" s="10"/>
      <c r="M741" s="10">
        <f>IFERROR(__xludf.DUMMYFUNCTION("""COMPUTED_VALUE"""),10.0)</f>
        <v>10</v>
      </c>
      <c r="N741" s="10"/>
      <c r="O741" s="10"/>
      <c r="P741" s="10"/>
      <c r="Q741" s="10"/>
      <c r="R741" s="10"/>
      <c r="S741" s="10"/>
      <c r="T741" s="10"/>
      <c r="U741" s="18" t="str">
        <f>IFERROR(__xludf.DUMMYFUNCTION("""COMPUTED_VALUE"""),"https://drive.google.com/open?id=1KKmL4cJlVxxCnEKhiYKji4SjLbmXY_Qe")</f>
        <v>https://drive.google.com/open?id=1KKmL4cJlVxxCnEKhiYKji4SjLbmXY_Qe</v>
      </c>
      <c r="V741" s="10" t="str">
        <f>IFERROR(__xludf.DUMMYFUNCTION("""COMPUTED_VALUE"""),"Picture not allowed in masjid area")</f>
        <v>Picture not allowed in masjid area</v>
      </c>
      <c r="W741" s="10"/>
      <c r="X741" s="10"/>
      <c r="Y741" s="14" t="str">
        <f>IFERROR(__xludf.DUMMYFUNCTION("""COMPUTED_VALUE"""),"shahidfareed622@gmail.com")</f>
        <v>shahidfareed622@gmail.com</v>
      </c>
      <c r="AA741" s="324"/>
    </row>
    <row r="742" hidden="1">
      <c r="A742" s="9">
        <f>IFERROR(__xludf.DUMMYFUNCTION("""COMPUTED_VALUE"""),45954.27430347222)</f>
        <v>45954.2743</v>
      </c>
      <c r="B742" s="10" t="str">
        <f>IFERROR(__xludf.DUMMYFUNCTION("""COMPUTED_VALUE"""),"حسان قاسم")</f>
        <v>حسان قاسم</v>
      </c>
      <c r="C742" s="10" t="str">
        <f>IFERROR(__xludf.DUMMYFUNCTION("""COMPUTED_VALUE"""),"03008830402")</f>
        <v>03008830402</v>
      </c>
      <c r="D742" s="10" t="str">
        <f>IFERROR(__xludf.DUMMYFUNCTION("""COMPUTED_VALUE"""),"مرکزی جامع مسجد ایثار القاسمی شہید رح گڑھ مہاراجہ جھنگ")</f>
        <v>مرکزی جامع مسجد ایثار القاسمی شہید رح گڑھ مہاراجہ جھنگ</v>
      </c>
      <c r="E742" s="10" t="str">
        <f>IFERROR(__xludf.DUMMYFUNCTION("""COMPUTED_VALUE"""),"glpfo")</f>
        <v>glpfo</v>
      </c>
      <c r="F742" s="10">
        <f>IFERROR(__xludf.DUMMYFUNCTION("""COMPUTED_VALUE"""),308.0)</f>
        <v>308</v>
      </c>
      <c r="G742" s="10">
        <f>IFERROR(__xludf.DUMMYFUNCTION("""COMPUTED_VALUE"""),6.0)</f>
        <v>6</v>
      </c>
      <c r="H742" s="10">
        <f>IFERROR(__xludf.DUMMYFUNCTION("""COMPUTED_VALUE"""),6.0)</f>
        <v>6</v>
      </c>
      <c r="I742" s="10">
        <f>IFERROR(__xludf.DUMMYFUNCTION("""COMPUTED_VALUE"""),2.0)</f>
        <v>2</v>
      </c>
      <c r="J742" s="10"/>
      <c r="K742" s="10"/>
      <c r="L742" s="10"/>
      <c r="M742" s="10">
        <f>IFERROR(__xludf.DUMMYFUNCTION("""COMPUTED_VALUE"""),7.0)</f>
        <v>7</v>
      </c>
      <c r="N742" s="10"/>
      <c r="O742" s="10"/>
      <c r="P742" s="10"/>
      <c r="Q742" s="10"/>
      <c r="R742" s="10"/>
      <c r="S742" s="10"/>
      <c r="T742" s="10"/>
      <c r="U742" s="18" t="str">
        <f>IFERROR(__xludf.DUMMYFUNCTION("""COMPUTED_VALUE"""),"https://drive.google.com/open?id=1TUfuEDHk705NOtNk9YU9eVXPKeysJ36r")</f>
        <v>https://drive.google.com/open?id=1TUfuEDHk705NOtNk9YU9eVXPKeysJ36r</v>
      </c>
      <c r="V742" s="10"/>
      <c r="W742" s="10"/>
      <c r="X742" s="10"/>
      <c r="Y742" s="14" t="str">
        <f>IFERROR(__xludf.DUMMYFUNCTION("""COMPUTED_VALUE"""),"hassaanqasim72@gmail.com")</f>
        <v>hassaanqasim72@gmail.com</v>
      </c>
      <c r="AA742" s="324"/>
    </row>
    <row r="743" hidden="1">
      <c r="A743" s="9">
        <f>IFERROR(__xludf.DUMMYFUNCTION("""COMPUTED_VALUE"""),45954.27882065972)</f>
        <v>45954.27882</v>
      </c>
      <c r="B743" s="10" t="str">
        <f>IFERROR(__xludf.DUMMYFUNCTION("""COMPUTED_VALUE"""),"Khurshid Qaiser")</f>
        <v>Khurshid Qaiser</v>
      </c>
      <c r="C743" s="10" t="str">
        <f>IFERROR(__xludf.DUMMYFUNCTION("""COMPUTED_VALUE"""),"03338163551")</f>
        <v>03338163551</v>
      </c>
      <c r="D743" s="10" t="str">
        <f>IFERROR(__xludf.DUMMYFUNCTION("""COMPUTED_VALUE"""),"Markazi  Jamia Masjid Rahmania Sargodha Road Faisalabad")</f>
        <v>Markazi  Jamia Masjid Rahmania Sargodha Road Faisalabad</v>
      </c>
      <c r="E743" s="10" t="str">
        <f>IFERROR(__xludf.DUMMYFUNCTION("""COMPUTED_VALUE"""),"rdzla")</f>
        <v>rdzla</v>
      </c>
      <c r="F743" s="10">
        <f>IFERROR(__xludf.DUMMYFUNCTION("""COMPUTED_VALUE"""),331.0)</f>
        <v>331</v>
      </c>
      <c r="G743" s="10">
        <f>IFERROR(__xludf.DUMMYFUNCTION("""COMPUTED_VALUE"""),10.0)</f>
        <v>10</v>
      </c>
      <c r="H743" s="10">
        <f>IFERROR(__xludf.DUMMYFUNCTION("""COMPUTED_VALUE"""),10.0)</f>
        <v>10</v>
      </c>
      <c r="I743" s="10" t="str">
        <f>IFERROR(__xludf.DUMMYFUNCTION("""COMPUTED_VALUE"""),"0 (zero)")</f>
        <v>0 (zero)</v>
      </c>
      <c r="J743" s="10"/>
      <c r="K743" s="10"/>
      <c r="L743" s="10"/>
      <c r="M743" s="10">
        <f>IFERROR(__xludf.DUMMYFUNCTION("""COMPUTED_VALUE"""),10.0)</f>
        <v>10</v>
      </c>
      <c r="N743" s="10"/>
      <c r="O743" s="10"/>
      <c r="P743" s="10"/>
      <c r="Q743" s="10"/>
      <c r="R743" s="10"/>
      <c r="S743" s="10"/>
      <c r="T743" s="10"/>
      <c r="U743" s="18" t="str">
        <f>IFERROR(__xludf.DUMMYFUNCTION("""COMPUTED_VALUE"""),"https://drive.google.com/open?id=199ErTQu1fWFuc9xzjredrCZrtQVtTIRX")</f>
        <v>https://drive.google.com/open?id=199ErTQu1fWFuc9xzjredrCZrtQVtTIRX</v>
      </c>
      <c r="V743" s="10"/>
      <c r="W743" s="10"/>
      <c r="X743" s="10"/>
      <c r="Y743" s="14" t="str">
        <f>IFERROR(__xludf.DUMMYFUNCTION("""COMPUTED_VALUE"""),"khurshidqaiser1@gmail.com")</f>
        <v>khurshidqaiser1@gmail.com</v>
      </c>
      <c r="AA743" s="324"/>
    </row>
    <row r="744" hidden="1">
      <c r="A744" s="9">
        <f>IFERROR(__xludf.DUMMYFUNCTION("""COMPUTED_VALUE"""),45954.28979520833)</f>
        <v>45954.2898</v>
      </c>
      <c r="B744" s="10" t="str">
        <f>IFERROR(__xludf.DUMMYFUNCTION("""COMPUTED_VALUE"""),"شاہ رخ")</f>
        <v>شاہ رخ</v>
      </c>
      <c r="C744" s="10" t="str">
        <f>IFERROR(__xludf.DUMMYFUNCTION("""COMPUTED_VALUE"""),"03137787277")</f>
        <v>03137787277</v>
      </c>
      <c r="D744" s="10" t="str">
        <f>IFERROR(__xludf.DUMMYFUNCTION("""COMPUTED_VALUE"""),"مرکزی جامع مسجد فیصل آباد (کچہری بازار)")</f>
        <v>مرکزی جامع مسجد فیصل آباد (کچہری بازار)</v>
      </c>
      <c r="E744" s="10" t="str">
        <f>IFERROR(__xludf.DUMMYFUNCTION("""COMPUTED_VALUE"""),"kocqj")</f>
        <v>kocqj</v>
      </c>
      <c r="F744" s="10">
        <f>IFERROR(__xludf.DUMMYFUNCTION("""COMPUTED_VALUE"""),300.0)</f>
        <v>300</v>
      </c>
      <c r="G744" s="10">
        <f>IFERROR(__xludf.DUMMYFUNCTION("""COMPUTED_VALUE"""),7.0)</f>
        <v>7</v>
      </c>
      <c r="H744" s="10">
        <f>IFERROR(__xludf.DUMMYFUNCTION("""COMPUTED_VALUE"""),8.0)</f>
        <v>8</v>
      </c>
      <c r="I744" s="10">
        <f>IFERROR(__xludf.DUMMYFUNCTION("""COMPUTED_VALUE"""),2.0)</f>
        <v>2</v>
      </c>
      <c r="J744" s="10"/>
      <c r="K744" s="10"/>
      <c r="L744" s="10"/>
      <c r="M744" s="10">
        <f>IFERROR(__xludf.DUMMYFUNCTION("""COMPUTED_VALUE"""),9.0)</f>
        <v>9</v>
      </c>
      <c r="N744" s="10"/>
      <c r="O744" s="10"/>
      <c r="P744" s="10"/>
      <c r="Q744" s="10"/>
      <c r="R744" s="10"/>
      <c r="S744" s="10"/>
      <c r="T744" s="10"/>
      <c r="U744" s="18" t="str">
        <f>IFERROR(__xludf.DUMMYFUNCTION("""COMPUTED_VALUE"""),"https://drive.google.com/open?id=1s2RlGNytu_BuRaI3UD6ePm-dvbT9kmiU")</f>
        <v>https://drive.google.com/open?id=1s2RlGNytu_BuRaI3UD6ePm-dvbT9kmiU</v>
      </c>
      <c r="V744" s="10" t="str">
        <f>IFERROR(__xludf.DUMMYFUNCTION("""COMPUTED_VALUE"""),"نہیں")</f>
        <v>نہیں</v>
      </c>
      <c r="W744" s="10"/>
      <c r="X744" s="10"/>
      <c r="Y744" s="14" t="str">
        <f>IFERROR(__xludf.DUMMYFUNCTION("""COMPUTED_VALUE"""),"shahrukh25022004@gmail.com")</f>
        <v>shahrukh25022004@gmail.com</v>
      </c>
      <c r="AA744" s="324"/>
    </row>
    <row r="745" hidden="1">
      <c r="A745" s="9">
        <f>IFERROR(__xludf.DUMMYFUNCTION("""COMPUTED_VALUE"""),45954.33004393519)</f>
        <v>45954.33004</v>
      </c>
      <c r="B745" s="10" t="str">
        <f>IFERROR(__xludf.DUMMYFUNCTION("""COMPUTED_VALUE"""),"Muhammad Naveed ")</f>
        <v>Muhammad Naveed </v>
      </c>
      <c r="C745" s="10">
        <f>IFERROR(__xludf.DUMMYFUNCTION("""COMPUTED_VALUE"""),3.453811243E9)</f>
        <v>3453811243</v>
      </c>
      <c r="D745" s="10" t="str">
        <f>IFERROR(__xludf.DUMMYFUNCTION("""COMPUTED_VALUE"""),"Baba rang Ali srkar faisalabad ")</f>
        <v>Baba rang Ali srkar faisalabad </v>
      </c>
      <c r="E745" s="10" t="str">
        <f>IFERROR(__xludf.DUMMYFUNCTION("""COMPUTED_VALUE"""),"Xjphu ")</f>
        <v>Xjphu </v>
      </c>
      <c r="F745" s="10">
        <f>IFERROR(__xludf.DUMMYFUNCTION("""COMPUTED_VALUE"""),400.0)</f>
        <v>400</v>
      </c>
      <c r="G745" s="10">
        <f>IFERROR(__xludf.DUMMYFUNCTION("""COMPUTED_VALUE"""),8.0)</f>
        <v>8</v>
      </c>
      <c r="H745" s="10">
        <f>IFERROR(__xludf.DUMMYFUNCTION("""COMPUTED_VALUE"""),7.0)</f>
        <v>7</v>
      </c>
      <c r="I745" s="10" t="str">
        <f>IFERROR(__xludf.DUMMYFUNCTION("""COMPUTED_VALUE"""),"Nih the")</f>
        <v>Nih the</v>
      </c>
      <c r="J745" s="10"/>
      <c r="K745" s="10"/>
      <c r="L745" s="10"/>
      <c r="M745" s="10">
        <f>IFERROR(__xludf.DUMMYFUNCTION("""COMPUTED_VALUE"""),9.0)</f>
        <v>9</v>
      </c>
      <c r="N745" s="10"/>
      <c r="O745" s="10"/>
      <c r="P745" s="10"/>
      <c r="Q745" s="10"/>
      <c r="R745" s="10"/>
      <c r="S745" s="10"/>
      <c r="T745" s="10"/>
      <c r="U745" s="18" t="str">
        <f>IFERROR(__xludf.DUMMYFUNCTION("""COMPUTED_VALUE"""),"https://drive.google.com/open?id=1iIM_FeVONNv74TYGlmcFnNfATcfpVqWC")</f>
        <v>https://drive.google.com/open?id=1iIM_FeVONNv74TYGlmcFnNfATcfpVqWC</v>
      </c>
      <c r="V745" s="10"/>
      <c r="W745" s="10"/>
      <c r="X745" s="10"/>
      <c r="Y745" s="14" t="str">
        <f>IFERROR(__xludf.DUMMYFUNCTION("""COMPUTED_VALUE"""),"mn2486050@gmail.com")</f>
        <v>mn2486050@gmail.com</v>
      </c>
      <c r="AA745" s="324"/>
    </row>
    <row r="746" hidden="1">
      <c r="A746" s="9">
        <f>IFERROR(__xludf.DUMMYFUNCTION("""COMPUTED_VALUE"""),45954.33054304398)</f>
        <v>45954.33054</v>
      </c>
      <c r="B746" s="10" t="str">
        <f>IFERROR(__xludf.DUMMYFUNCTION("""COMPUTED_VALUE"""),"Tanveer ")</f>
        <v>Tanveer </v>
      </c>
      <c r="C746" s="10" t="str">
        <f>IFERROR(__xludf.DUMMYFUNCTION("""COMPUTED_VALUE"""),"03017931655")</f>
        <v>03017931655</v>
      </c>
      <c r="D746" s="10" t="str">
        <f>IFERROR(__xludf.DUMMYFUNCTION("""COMPUTED_VALUE"""),"jamia masjid gala mandi burewala")</f>
        <v>jamia masjid gala mandi burewala</v>
      </c>
      <c r="E746" s="10" t="str">
        <f>IFERROR(__xludf.DUMMYFUNCTION("""COMPUTED_VALUE"""),"lnpqp")</f>
        <v>lnpqp</v>
      </c>
      <c r="F746" s="10">
        <f>IFERROR(__xludf.DUMMYFUNCTION("""COMPUTED_VALUE"""),755.0)</f>
        <v>755</v>
      </c>
      <c r="G746" s="10">
        <f>IFERROR(__xludf.DUMMYFUNCTION("""COMPUTED_VALUE"""),10.0)</f>
        <v>10</v>
      </c>
      <c r="H746" s="10">
        <f>IFERROR(__xludf.DUMMYFUNCTION("""COMPUTED_VALUE"""),10.0)</f>
        <v>10</v>
      </c>
      <c r="I746" s="10">
        <f>IFERROR(__xludf.DUMMYFUNCTION("""COMPUTED_VALUE"""),0.0)</f>
        <v>0</v>
      </c>
      <c r="J746" s="10"/>
      <c r="K746" s="10"/>
      <c r="L746" s="10"/>
      <c r="M746" s="10">
        <f>IFERROR(__xludf.DUMMYFUNCTION("""COMPUTED_VALUE"""),10.0)</f>
        <v>10</v>
      </c>
      <c r="N746" s="10"/>
      <c r="O746" s="10"/>
      <c r="P746" s="10"/>
      <c r="Q746" s="10"/>
      <c r="R746" s="10"/>
      <c r="S746" s="10"/>
      <c r="T746" s="10"/>
      <c r="U746" s="18" t="str">
        <f>IFERROR(__xludf.DUMMYFUNCTION("""COMPUTED_VALUE"""),"https://drive.google.com/open?id=1xtraBZjdlq_WYNJN8H1eoBwQGs3YOI82")</f>
        <v>https://drive.google.com/open?id=1xtraBZjdlq_WYNJN8H1eoBwQGs3YOI82</v>
      </c>
      <c r="V746" s="10"/>
      <c r="W746" s="10"/>
      <c r="X746" s="10"/>
      <c r="Y746" s="14" t="str">
        <f>IFERROR(__xludf.DUMMYFUNCTION("""COMPUTED_VALUE"""),"tanveer.jee41@gmail.com")</f>
        <v>tanveer.jee41@gmail.com</v>
      </c>
      <c r="AA746" s="324"/>
    </row>
    <row r="747" hidden="1">
      <c r="A747" s="9">
        <f>IFERROR(__xludf.DUMMYFUNCTION("""COMPUTED_VALUE"""),45954.334993055556)</f>
        <v>45954.33499</v>
      </c>
      <c r="B747" s="10" t="str">
        <f>IFERROR(__xludf.DUMMYFUNCTION("""COMPUTED_VALUE"""),"muhammad shazad")</f>
        <v>muhammad shazad</v>
      </c>
      <c r="C747" s="10" t="str">
        <f>IFERROR(__xludf.DUMMYFUNCTION("""COMPUTED_VALUE"""),"03336079153")</f>
        <v>03336079153</v>
      </c>
      <c r="D747" s="10" t="str">
        <f>IFERROR(__xludf.DUMMYFUNCTION("""COMPUTED_VALUE"""),"Jamia Masjid 273 Rai Chak Faisalabad")</f>
        <v>Jamia Masjid 273 Rai Chak Faisalabad</v>
      </c>
      <c r="E747" s="10" t="str">
        <f>IFERROR(__xludf.DUMMYFUNCTION("""COMPUTED_VALUE"""),"kamrb")</f>
        <v>kamrb</v>
      </c>
      <c r="F747" s="10">
        <f>IFERROR(__xludf.DUMMYFUNCTION("""COMPUTED_VALUE"""),125.0)</f>
        <v>125</v>
      </c>
      <c r="G747" s="10">
        <f>IFERROR(__xludf.DUMMYFUNCTION("""COMPUTED_VALUE"""),9.0)</f>
        <v>9</v>
      </c>
      <c r="H747" s="10">
        <f>IFERROR(__xludf.DUMMYFUNCTION("""COMPUTED_VALUE"""),5.0)</f>
        <v>5</v>
      </c>
      <c r="I747" s="10">
        <f>IFERROR(__xludf.DUMMYFUNCTION("""COMPUTED_VALUE"""),1.0)</f>
        <v>1</v>
      </c>
      <c r="J747" s="10"/>
      <c r="K747" s="10"/>
      <c r="L747" s="10"/>
      <c r="M747" s="10">
        <f>IFERROR(__xludf.DUMMYFUNCTION("""COMPUTED_VALUE"""),7.0)</f>
        <v>7</v>
      </c>
      <c r="N747" s="10"/>
      <c r="O747" s="10"/>
      <c r="P747" s="10"/>
      <c r="Q747" s="10"/>
      <c r="R747" s="10"/>
      <c r="S747" s="10"/>
      <c r="T747" s="10"/>
      <c r="U747" s="18" t="str">
        <f>IFERROR(__xludf.DUMMYFUNCTION("""COMPUTED_VALUE"""),"https://drive.google.com/open?id=145i-Ix-yiAnHgk4d2m329yGIRhQbOcth")</f>
        <v>https://drive.google.com/open?id=145i-Ix-yiAnHgk4d2m329yGIRhQbOcth</v>
      </c>
      <c r="V747" s="10" t="str">
        <f>IFERROR(__xludf.DUMMYFUNCTION("""COMPUTED_VALUE"""),"no")</f>
        <v>no</v>
      </c>
      <c r="W747" s="10"/>
      <c r="X747" s="10"/>
      <c r="Y747" s="14" t="str">
        <f>IFERROR(__xludf.DUMMYFUNCTION("""COMPUTED_VALUE"""),"rana.shahzad8896@gmail.com")</f>
        <v>rana.shahzad8896@gmail.com</v>
      </c>
      <c r="AA747" s="324"/>
    </row>
    <row r="748" hidden="1">
      <c r="A748" s="9">
        <f>IFERROR(__xludf.DUMMYFUNCTION("""COMPUTED_VALUE"""),45954.402309074074)</f>
        <v>45954.40231</v>
      </c>
      <c r="B748" s="10" t="str">
        <f>IFERROR(__xludf.DUMMYFUNCTION("""COMPUTED_VALUE"""),"Hassan majeed ")</f>
        <v>Hassan majeed </v>
      </c>
      <c r="C748" s="10" t="str">
        <f>IFERROR(__xludf.DUMMYFUNCTION("""COMPUTED_VALUE"""),"03490434721")</f>
        <v>03490434721</v>
      </c>
      <c r="D748" s="10" t="str">
        <f>IFERROR(__xludf.DUMMYFUNCTION("""COMPUTED_VALUE"""),"Jamia masjed hanfia gazi abad ")</f>
        <v>Jamia masjed hanfia gazi abad </v>
      </c>
      <c r="E748" s="10" t="str">
        <f>IFERROR(__xludf.DUMMYFUNCTION("""COMPUTED_VALUE"""),"ldkri")</f>
        <v>ldkri</v>
      </c>
      <c r="F748" s="10">
        <f>IFERROR(__xludf.DUMMYFUNCTION("""COMPUTED_VALUE"""),500.0)</f>
        <v>500</v>
      </c>
      <c r="G748" s="10">
        <f>IFERROR(__xludf.DUMMYFUNCTION("""COMPUTED_VALUE"""),9.0)</f>
        <v>9</v>
      </c>
      <c r="H748" s="10">
        <f>IFERROR(__xludf.DUMMYFUNCTION("""COMPUTED_VALUE"""),9.0)</f>
        <v>9</v>
      </c>
      <c r="I748" s="10" t="str">
        <f>IFERROR(__xludf.DUMMYFUNCTION("""COMPUTED_VALUE"""),"No")</f>
        <v>No</v>
      </c>
      <c r="J748" s="10"/>
      <c r="K748" s="10"/>
      <c r="L748" s="10"/>
      <c r="M748" s="10">
        <f>IFERROR(__xludf.DUMMYFUNCTION("""COMPUTED_VALUE"""),9.0)</f>
        <v>9</v>
      </c>
      <c r="N748" s="10"/>
      <c r="O748" s="10"/>
      <c r="P748" s="10"/>
      <c r="Q748" s="10"/>
      <c r="R748" s="10"/>
      <c r="S748" s="10"/>
      <c r="T748" s="10"/>
      <c r="U748" s="10"/>
      <c r="V748" s="10" t="str">
        <f>IFERROR(__xludf.DUMMYFUNCTION("""COMPUTED_VALUE"""),"No")</f>
        <v>No</v>
      </c>
      <c r="W748" s="10"/>
      <c r="X748" s="10"/>
      <c r="Y748" s="14" t="str">
        <f>IFERROR(__xludf.DUMMYFUNCTION("""COMPUTED_VALUE"""),"ranahassan798081@gmail.com")</f>
        <v>ranahassan798081@gmail.com</v>
      </c>
      <c r="AA748" s="324"/>
    </row>
    <row r="749" hidden="1">
      <c r="A749" s="9">
        <f>IFERROR(__xludf.DUMMYFUNCTION("""COMPUTED_VALUE"""),45954.42963480324)</f>
        <v>45954.42963</v>
      </c>
      <c r="B749" s="10" t="str">
        <f>IFERROR(__xludf.DUMMYFUNCTION("""COMPUTED_VALUE"""),"محمّد اویس ")</f>
        <v>محمّد اویس </v>
      </c>
      <c r="C749" s="10" t="str">
        <f>IFERROR(__xludf.DUMMYFUNCTION("""COMPUTED_VALUE"""),"03007618817")</f>
        <v>03007618817</v>
      </c>
      <c r="D749" s="10" t="str">
        <f>IFERROR(__xludf.DUMMYFUNCTION("""COMPUTED_VALUE"""),"جامع مسجد گلزار مدینہ غالہ منڈی امین پور بازار")</f>
        <v>جامع مسجد گلزار مدینہ غالہ منڈی امین پور بازار</v>
      </c>
      <c r="E749" s="10" t="str">
        <f>IFERROR(__xludf.DUMMYFUNCTION("""COMPUTED_VALUE"""),"Dkwam")</f>
        <v>Dkwam</v>
      </c>
      <c r="F749" s="10">
        <f>IFERROR(__xludf.DUMMYFUNCTION("""COMPUTED_VALUE"""),261.0)</f>
        <v>261</v>
      </c>
      <c r="G749" s="10">
        <f>IFERROR(__xludf.DUMMYFUNCTION("""COMPUTED_VALUE"""),9.0)</f>
        <v>9</v>
      </c>
      <c r="H749" s="10">
        <f>IFERROR(__xludf.DUMMYFUNCTION("""COMPUTED_VALUE"""),9.0)</f>
        <v>9</v>
      </c>
      <c r="I749" s="10" t="str">
        <f>IFERROR(__xludf.DUMMYFUNCTION("""COMPUTED_VALUE"""),"کوئی بی نہیں ")</f>
        <v>کوئی بی نہیں </v>
      </c>
      <c r="J749" s="10"/>
      <c r="K749" s="10"/>
      <c r="L749" s="10"/>
      <c r="M749" s="10">
        <f>IFERROR(__xludf.DUMMYFUNCTION("""COMPUTED_VALUE"""),9.0)</f>
        <v>9</v>
      </c>
      <c r="N749" s="10"/>
      <c r="O749" s="10"/>
      <c r="P749" s="10"/>
      <c r="Q749" s="10"/>
      <c r="R749" s="10"/>
      <c r="S749" s="10"/>
      <c r="T749" s="10"/>
      <c r="U749" s="18" t="str">
        <f>IFERROR(__xludf.DUMMYFUNCTION("""COMPUTED_VALUE"""),"https://drive.google.com/open?id=1XYvwuRh26LZfVIC9VBpKxGQ0r0u8-uLq")</f>
        <v>https://drive.google.com/open?id=1XYvwuRh26LZfVIC9VBpKxGQ0r0u8-uLq</v>
      </c>
      <c r="V749" s="10" t="str">
        <f>IFERROR(__xludf.DUMMYFUNCTION("""COMPUTED_VALUE"""),"شکریہ")</f>
        <v>شکریہ</v>
      </c>
      <c r="W749" s="10"/>
      <c r="X749" s="10"/>
      <c r="Y749" s="14" t="str">
        <f>IFERROR(__xludf.DUMMYFUNCTION("""COMPUTED_VALUE"""),"awaisarfani92@gmail.com")</f>
        <v>awaisarfani92@gmail.com</v>
      </c>
      <c r="AA749" s="324"/>
    </row>
    <row r="750" hidden="1">
      <c r="A750" s="9">
        <f>IFERROR(__xludf.DUMMYFUNCTION("""COMPUTED_VALUE"""),45954.47707976852)</f>
        <v>45954.47708</v>
      </c>
      <c r="B750" s="10" t="str">
        <f>IFERROR(__xludf.DUMMYFUNCTION("""COMPUTED_VALUE"""),"Hassan Tariq ")</f>
        <v>Hassan Tariq </v>
      </c>
      <c r="C750" s="10" t="str">
        <f>IFERROR(__xludf.DUMMYFUNCTION("""COMPUTED_VALUE"""),"03465742477")</f>
        <v>03465742477</v>
      </c>
      <c r="D750" s="10" t="str">
        <f>IFERROR(__xludf.DUMMYFUNCTION("""COMPUTED_VALUE"""),"Jamia Masjid Madni samnabad Faisalabad ")</f>
        <v>Jamia Masjid Madni samnabad Faisalabad </v>
      </c>
      <c r="E750" s="10" t="str">
        <f>IFERROR(__xludf.DUMMYFUNCTION("""COMPUTED_VALUE"""),"rwyui")</f>
        <v>rwyui</v>
      </c>
      <c r="F750" s="10">
        <f>IFERROR(__xludf.DUMMYFUNCTION("""COMPUTED_VALUE"""),550.0)</f>
        <v>550</v>
      </c>
      <c r="G750" s="10">
        <f>IFERROR(__xludf.DUMMYFUNCTION("""COMPUTED_VALUE"""),1.0)</f>
        <v>1</v>
      </c>
      <c r="H750" s="10">
        <f>IFERROR(__xludf.DUMMYFUNCTION("""COMPUTED_VALUE"""),7.0)</f>
        <v>7</v>
      </c>
      <c r="I750" s="10">
        <f>IFERROR(__xludf.DUMMYFUNCTION("""COMPUTED_VALUE"""),5.0)</f>
        <v>5</v>
      </c>
      <c r="J750" s="10"/>
      <c r="K750" s="10"/>
      <c r="L750" s="10"/>
      <c r="M750" s="10">
        <f>IFERROR(__xludf.DUMMYFUNCTION("""COMPUTED_VALUE"""),5.0)</f>
        <v>5</v>
      </c>
      <c r="N750" s="10"/>
      <c r="O750" s="10"/>
      <c r="P750" s="10"/>
      <c r="Q750" s="10"/>
      <c r="R750" s="10"/>
      <c r="S750" s="10"/>
      <c r="T750" s="10"/>
      <c r="U750" s="18" t="str">
        <f>IFERROR(__xludf.DUMMYFUNCTION("""COMPUTED_VALUE"""),"https://drive.google.com/open?id=1SPQizj7jxtLanLXCPF2VGNYqsdlTOmzc")</f>
        <v>https://drive.google.com/open?id=1SPQizj7jxtLanLXCPF2VGNYqsdlTOmzc</v>
      </c>
      <c r="V750" s="10"/>
      <c r="W750" s="10"/>
      <c r="X750" s="10"/>
      <c r="Y750" s="14" t="str">
        <f>IFERROR(__xludf.DUMMYFUNCTION("""COMPUTED_VALUE"""),"hassaantariq477@gmail.com")</f>
        <v>hassaantariq477@gmail.com</v>
      </c>
      <c r="AA750" s="324"/>
    </row>
    <row r="751" hidden="1">
      <c r="A751" s="9">
        <f>IFERROR(__xludf.DUMMYFUNCTION("""COMPUTED_VALUE"""),45954.48686366898)</f>
        <v>45954.48686</v>
      </c>
      <c r="B751" s="10" t="str">
        <f>IFERROR(__xludf.DUMMYFUNCTION("""COMPUTED_VALUE"""),"Muhammad issa")</f>
        <v>Muhammad issa</v>
      </c>
      <c r="C751" s="10" t="str">
        <f>IFERROR(__xludf.DUMMYFUNCTION("""COMPUTED_VALUE"""),"03468475526")</f>
        <v>03468475526</v>
      </c>
      <c r="D751" s="10" t="str">
        <f>IFERROR(__xludf.DUMMYFUNCTION("""COMPUTED_VALUE"""),"Jamia masjid darbar nathu shah sharazi")</f>
        <v>Jamia masjid darbar nathu shah sharazi</v>
      </c>
      <c r="E751" s="10" t="str">
        <f>IFERROR(__xludf.DUMMYFUNCTION("""COMPUTED_VALUE"""),"rymqe")</f>
        <v>rymqe</v>
      </c>
      <c r="F751" s="10">
        <f>IFERROR(__xludf.DUMMYFUNCTION("""COMPUTED_VALUE"""),63.0)</f>
        <v>63</v>
      </c>
      <c r="G751" s="10">
        <f>IFERROR(__xludf.DUMMYFUNCTION("""COMPUTED_VALUE"""),9.0)</f>
        <v>9</v>
      </c>
      <c r="H751" s="10">
        <f>IFERROR(__xludf.DUMMYFUNCTION("""COMPUTED_VALUE"""),7.0)</f>
        <v>7</v>
      </c>
      <c r="I751" s="10">
        <f>IFERROR(__xludf.DUMMYFUNCTION("""COMPUTED_VALUE"""),2.0)</f>
        <v>2</v>
      </c>
      <c r="J751" s="10"/>
      <c r="K751" s="10"/>
      <c r="L751" s="10"/>
      <c r="M751" s="10">
        <f>IFERROR(__xludf.DUMMYFUNCTION("""COMPUTED_VALUE"""),9.0)</f>
        <v>9</v>
      </c>
      <c r="N751" s="10"/>
      <c r="O751" s="10"/>
      <c r="P751" s="10"/>
      <c r="Q751" s="10"/>
      <c r="R751" s="10"/>
      <c r="S751" s="10"/>
      <c r="T751" s="10"/>
      <c r="U751" s="18" t="str">
        <f>IFERROR(__xludf.DUMMYFUNCTION("""COMPUTED_VALUE"""),"https://drive.google.com/open?id=16SRQnbs9dBfsyU1H_cGKsc-_STn7mgbA")</f>
        <v>https://drive.google.com/open?id=16SRQnbs9dBfsyU1H_cGKsc-_STn7mgbA</v>
      </c>
      <c r="V751" s="10"/>
      <c r="W751" s="10"/>
      <c r="X751" s="10"/>
      <c r="Y751" s="14" t="str">
        <f>IFERROR(__xludf.DUMMYFUNCTION("""COMPUTED_VALUE"""),"Muhammad.issa40@gmail.com")</f>
        <v>Muhammad.issa40@gmail.com</v>
      </c>
      <c r="AA751" s="324"/>
    </row>
    <row r="752" hidden="1">
      <c r="A752" s="9">
        <f>IFERROR(__xludf.DUMMYFUNCTION("""COMPUTED_VALUE"""),45954.50290472222)</f>
        <v>45954.5029</v>
      </c>
      <c r="B752" s="10" t="str">
        <f>IFERROR(__xludf.DUMMYFUNCTION("""COMPUTED_VALUE"""),"Muhammad Rizwan ")</f>
        <v>Muhammad Rizwan </v>
      </c>
      <c r="C752" s="10" t="str">
        <f>IFERROR(__xludf.DUMMYFUNCTION("""COMPUTED_VALUE"""),"03084373512")</f>
        <v>03084373512</v>
      </c>
      <c r="D752" s="10" t="str">
        <f>IFERROR(__xludf.DUMMYFUNCTION("""COMPUTED_VALUE"""),"Nolakh hazari shahkot ")</f>
        <v>Nolakh hazari shahkot </v>
      </c>
      <c r="E752" s="10" t="str">
        <f>IFERROR(__xludf.DUMMYFUNCTION("""COMPUTED_VALUE"""),"epwte")</f>
        <v>epwte</v>
      </c>
      <c r="F752" s="10">
        <f>IFERROR(__xludf.DUMMYFUNCTION("""COMPUTED_VALUE"""),290.0)</f>
        <v>290</v>
      </c>
      <c r="G752" s="10">
        <f>IFERROR(__xludf.DUMMYFUNCTION("""COMPUTED_VALUE"""),5.0)</f>
        <v>5</v>
      </c>
      <c r="H752" s="10">
        <f>IFERROR(__xludf.DUMMYFUNCTION("""COMPUTED_VALUE"""),3.0)</f>
        <v>3</v>
      </c>
      <c r="I752" s="10">
        <f>IFERROR(__xludf.DUMMYFUNCTION("""COMPUTED_VALUE"""),0.0)</f>
        <v>0</v>
      </c>
      <c r="J752" s="10"/>
      <c r="K752" s="10"/>
      <c r="L752" s="10"/>
      <c r="M752" s="10">
        <f>IFERROR(__xludf.DUMMYFUNCTION("""COMPUTED_VALUE"""),7.0)</f>
        <v>7</v>
      </c>
      <c r="N752" s="10"/>
      <c r="O752" s="10"/>
      <c r="P752" s="10"/>
      <c r="Q752" s="10"/>
      <c r="R752" s="10"/>
      <c r="S752" s="10"/>
      <c r="T752" s="10"/>
      <c r="U752" s="18" t="str">
        <f>IFERROR(__xludf.DUMMYFUNCTION("""COMPUTED_VALUE"""),"https://drive.google.com/open?id=1X6ooIAeEh5MgvM0sMLiTf9bXEpqOo4Fh")</f>
        <v>https://drive.google.com/open?id=1X6ooIAeEh5MgvM0sMLiTf9bXEpqOo4Fh</v>
      </c>
      <c r="V752" s="10" t="str">
        <f>IFERROR(__xludf.DUMMYFUNCTION("""COMPUTED_VALUE"""),"No")</f>
        <v>No</v>
      </c>
      <c r="W752" s="10"/>
      <c r="X752" s="10"/>
      <c r="Y752" s="14" t="str">
        <f>IFERROR(__xludf.DUMMYFUNCTION("""COMPUTED_VALUE"""),"mrizwanrasheed666@gmail.com")</f>
        <v>mrizwanrasheed666@gmail.com</v>
      </c>
      <c r="AA752" s="324"/>
    </row>
    <row r="753" hidden="1">
      <c r="A753" s="9">
        <f>IFERROR(__xludf.DUMMYFUNCTION("""COMPUTED_VALUE"""),45954.608701087964)</f>
        <v>45954.6087</v>
      </c>
      <c r="B753" s="10" t="str">
        <f>IFERROR(__xludf.DUMMYFUNCTION("""COMPUTED_VALUE"""),"Faisal Mushtaq ")</f>
        <v>Faisal Mushtaq </v>
      </c>
      <c r="C753" s="10" t="str">
        <f>IFERROR(__xludf.DUMMYFUNCTION("""COMPUTED_VALUE"""),"03186036229")</f>
        <v>03186036229</v>
      </c>
      <c r="D753" s="10" t="str">
        <f>IFERROR(__xludf.DUMMYFUNCTION("""COMPUTED_VALUE"""),"Jamia markazi masjid renala kurd sadar bazar")</f>
        <v>Jamia markazi masjid renala kurd sadar bazar</v>
      </c>
      <c r="E753" s="10" t="str">
        <f>IFERROR(__xludf.DUMMYFUNCTION("""COMPUTED_VALUE"""),"RUJKZ")</f>
        <v>RUJKZ</v>
      </c>
      <c r="F753" s="10">
        <f>IFERROR(__xludf.DUMMYFUNCTION("""COMPUTED_VALUE"""),1100.0)</f>
        <v>1100</v>
      </c>
      <c r="G753" s="10">
        <f>IFERROR(__xludf.DUMMYFUNCTION("""COMPUTED_VALUE"""),10.0)</f>
        <v>10</v>
      </c>
      <c r="H753" s="10">
        <f>IFERROR(__xludf.DUMMYFUNCTION("""COMPUTED_VALUE"""),10.0)</f>
        <v>10</v>
      </c>
      <c r="I753" s="10" t="str">
        <f>IFERROR(__xludf.DUMMYFUNCTION("""COMPUTED_VALUE"""),"Koi b nhi")</f>
        <v>Koi b nhi</v>
      </c>
      <c r="J753" s="10"/>
      <c r="K753" s="10"/>
      <c r="L753" s="10"/>
      <c r="M753" s="10">
        <f>IFERROR(__xludf.DUMMYFUNCTION("""COMPUTED_VALUE"""),6.0)</f>
        <v>6</v>
      </c>
      <c r="N753" s="10"/>
      <c r="O753" s="10"/>
      <c r="P753" s="10"/>
      <c r="Q753" s="10"/>
      <c r="R753" s="10"/>
      <c r="S753" s="10"/>
      <c r="T753" s="10"/>
      <c r="U753" s="18" t="str">
        <f>IFERROR(__xludf.DUMMYFUNCTION("""COMPUTED_VALUE"""),"https://drive.google.com/open?id=19Es9R0QsOEiPvydzUqRRfJaG7DYiX7pf")</f>
        <v>https://drive.google.com/open?id=19Es9R0QsOEiPvydzUqRRfJaG7DYiX7pf</v>
      </c>
      <c r="V753" s="10"/>
      <c r="W753" s="10"/>
      <c r="X753" s="10"/>
      <c r="Y753" s="14" t="str">
        <f>IFERROR(__xludf.DUMMYFUNCTION("""COMPUTED_VALUE"""),"xtfaisalkhichi@gmail.com")</f>
        <v>xtfaisalkhichi@gmail.com</v>
      </c>
      <c r="AA753" s="324"/>
    </row>
    <row r="754" hidden="1">
      <c r="A754" s="9">
        <f>IFERROR(__xludf.DUMMYFUNCTION("""COMPUTED_VALUE"""),45955.17411849537)</f>
        <v>45955.17412</v>
      </c>
      <c r="B754" s="10" t="str">
        <f>IFERROR(__xludf.DUMMYFUNCTION("""COMPUTED_VALUE"""),"Muhammad Amir ")</f>
        <v>Muhammad Amir </v>
      </c>
      <c r="C754" s="10" t="str">
        <f>IFERROR(__xludf.DUMMYFUNCTION("""COMPUTED_VALUE"""),"03243788100")</f>
        <v>03243788100</v>
      </c>
      <c r="D754" s="10" t="str">
        <f>IFERROR(__xludf.DUMMYFUNCTION("""COMPUTED_VALUE"""),"Jamia Masjid Bukhari Shah alyass park ")</f>
        <v>Jamia Masjid Bukhari Shah alyass park </v>
      </c>
      <c r="E754" s="10" t="str">
        <f>IFERROR(__xludf.DUMMYFUNCTION("""COMPUTED_VALUE"""),"odqlq")</f>
        <v>odqlq</v>
      </c>
      <c r="F754" s="10">
        <f>IFERROR(__xludf.DUMMYFUNCTION("""COMPUTED_VALUE"""),300.0)</f>
        <v>300</v>
      </c>
      <c r="G754" s="10">
        <f>IFERROR(__xludf.DUMMYFUNCTION("""COMPUTED_VALUE"""),8.0)</f>
        <v>8</v>
      </c>
      <c r="H754" s="10">
        <f>IFERROR(__xludf.DUMMYFUNCTION("""COMPUTED_VALUE"""),10.0)</f>
        <v>10</v>
      </c>
      <c r="I754" s="10">
        <f>IFERROR(__xludf.DUMMYFUNCTION("""COMPUTED_VALUE"""),1.0)</f>
        <v>1</v>
      </c>
      <c r="J754" s="10"/>
      <c r="K754" s="10"/>
      <c r="L754" s="10"/>
      <c r="M754" s="10">
        <f>IFERROR(__xludf.DUMMYFUNCTION("""COMPUTED_VALUE"""),7.0)</f>
        <v>7</v>
      </c>
      <c r="N754" s="10"/>
      <c r="O754" s="10"/>
      <c r="P754" s="10"/>
      <c r="Q754" s="10"/>
      <c r="R754" s="10"/>
      <c r="S754" s="10"/>
      <c r="T754" s="10"/>
      <c r="U754" s="18" t="str">
        <f>IFERROR(__xludf.DUMMYFUNCTION("""COMPUTED_VALUE"""),"https://drive.google.com/file/d/1D7TyJnbey3gWuvkRgGas3p6MxiQpJIY4/view?usp=drive_link")</f>
        <v>https://drive.google.com/file/d/1D7TyJnbey3gWuvkRgGas3p6MxiQpJIY4/view?usp=drive_link</v>
      </c>
      <c r="V754" s="10" t="str">
        <f>IFERROR(__xludf.DUMMYFUNCTION("""COMPUTED_VALUE"""),"کوئی نہیں ")</f>
        <v>کوئی نہیں </v>
      </c>
      <c r="W754" s="10"/>
      <c r="X754" s="10"/>
      <c r="Y754" s="14" t="str">
        <f>IFERROR(__xludf.DUMMYFUNCTION("""COMPUTED_VALUE"""),"muhammadamir70jb@gmail.com")</f>
        <v>muhammadamir70jb@gmail.com</v>
      </c>
      <c r="AA754" s="324"/>
    </row>
    <row r="755" hidden="1">
      <c r="A755" s="9">
        <f>IFERROR(__xludf.DUMMYFUNCTION("""COMPUTED_VALUE"""),45955.368388194445)</f>
        <v>45955.36839</v>
      </c>
      <c r="B755" s="10" t="str">
        <f>IFERROR(__xludf.DUMMYFUNCTION("""COMPUTED_VALUE"""),"Sarfraz Ahmad ")</f>
        <v>Sarfraz Ahmad </v>
      </c>
      <c r="C755" s="10" t="str">
        <f>IFERROR(__xludf.DUMMYFUNCTION("""COMPUTED_VALUE"""),"03017698350")</f>
        <v>03017698350</v>
      </c>
      <c r="D755" s="10" t="str">
        <f>IFERROR(__xludf.DUMMYFUNCTION("""COMPUTED_VALUE"""),"ShKsd jamia masjad Muhammadia waqaf yaseeni kot Laal waryam Wala ")</f>
        <v>ShKsd jamia masjad Muhammadia waqaf yaseeni kot Laal waryam Wala </v>
      </c>
      <c r="E755" s="10" t="str">
        <f>IFERROR(__xludf.DUMMYFUNCTION("""COMPUTED_VALUE"""),"ShKsd ")</f>
        <v>ShKsd </v>
      </c>
      <c r="F755" s="10">
        <f>IFERROR(__xludf.DUMMYFUNCTION("""COMPUTED_VALUE"""),200.0)</f>
        <v>200</v>
      </c>
      <c r="G755" s="10">
        <f>IFERROR(__xludf.DUMMYFUNCTION("""COMPUTED_VALUE"""),10.0)</f>
        <v>10</v>
      </c>
      <c r="H755" s="10">
        <f>IFERROR(__xludf.DUMMYFUNCTION("""COMPUTED_VALUE"""),10.0)</f>
        <v>10</v>
      </c>
      <c r="I755" s="10">
        <f>IFERROR(__xludf.DUMMYFUNCTION("""COMPUTED_VALUE"""),0.0)</f>
        <v>0</v>
      </c>
      <c r="J755" s="10"/>
      <c r="K755" s="10"/>
      <c r="L755" s="10"/>
      <c r="M755" s="10">
        <f>IFERROR(__xludf.DUMMYFUNCTION("""COMPUTED_VALUE"""),10.0)</f>
        <v>10</v>
      </c>
      <c r="N755" s="10"/>
      <c r="O755" s="10"/>
      <c r="P755" s="10"/>
      <c r="Q755" s="10"/>
      <c r="R755" s="10"/>
      <c r="S755" s="10"/>
      <c r="T755" s="10"/>
      <c r="U755" s="10"/>
      <c r="V755" s="10" t="str">
        <f>IFERROR(__xludf.DUMMYFUNCTION("""COMPUTED_VALUE"""),"No")</f>
        <v>No</v>
      </c>
      <c r="W755" s="10"/>
      <c r="X755" s="10"/>
      <c r="Y755" s="14" t="str">
        <f>IFERROR(__xludf.DUMMYFUNCTION("""COMPUTED_VALUE"""),"drsarfrazahmed644@gmail.com")</f>
        <v>drsarfrazahmed644@gmail.com</v>
      </c>
      <c r="AA755" s="324"/>
    </row>
    <row r="756" hidden="1">
      <c r="A756" s="9">
        <f>IFERROR(__xludf.DUMMYFUNCTION("""COMPUTED_VALUE"""),45955.372319490736)</f>
        <v>45955.37232</v>
      </c>
      <c r="B756" s="10" t="str">
        <f>IFERROR(__xludf.DUMMYFUNCTION("""COMPUTED_VALUE"""),"Sarfraz Ahmad ")</f>
        <v>Sarfraz Ahmad </v>
      </c>
      <c r="C756" s="10" t="str">
        <f>IFERROR(__xludf.DUMMYFUNCTION("""COMPUTED_VALUE"""),"03017698350")</f>
        <v>03017698350</v>
      </c>
      <c r="D756" s="10" t="str">
        <f>IFERROR(__xludf.DUMMYFUNCTION("""COMPUTED_VALUE"""),"Jamia masjid darbar shah saddiq nehang shorkot ")</f>
        <v>Jamia masjid darbar shah saddiq nehang shorkot </v>
      </c>
      <c r="E756" s="10" t="str">
        <f>IFERROR(__xludf.DUMMYFUNCTION("""COMPUTED_VALUE"""),"vigse")</f>
        <v>vigse</v>
      </c>
      <c r="F756" s="10">
        <f>IFERROR(__xludf.DUMMYFUNCTION("""COMPUTED_VALUE"""),200.0)</f>
        <v>200</v>
      </c>
      <c r="G756" s="10">
        <f>IFERROR(__xludf.DUMMYFUNCTION("""COMPUTED_VALUE"""),10.0)</f>
        <v>10</v>
      </c>
      <c r="H756" s="10">
        <f>IFERROR(__xludf.DUMMYFUNCTION("""COMPUTED_VALUE"""),10.0)</f>
        <v>10</v>
      </c>
      <c r="I756" s="10">
        <f>IFERROR(__xludf.DUMMYFUNCTION("""COMPUTED_VALUE"""),0.0)</f>
        <v>0</v>
      </c>
      <c r="J756" s="10"/>
      <c r="K756" s="10"/>
      <c r="L756" s="10"/>
      <c r="M756" s="10">
        <f>IFERROR(__xludf.DUMMYFUNCTION("""COMPUTED_VALUE"""),10.0)</f>
        <v>10</v>
      </c>
      <c r="N756" s="10"/>
      <c r="O756" s="10"/>
      <c r="P756" s="10"/>
      <c r="Q756" s="10"/>
      <c r="R756" s="10"/>
      <c r="S756" s="10"/>
      <c r="T756" s="10"/>
      <c r="U756" s="18" t="str">
        <f>IFERROR(__xludf.DUMMYFUNCTION("""COMPUTED_VALUE"""),"https://drive.google.com/open?id=1GXuRdplhCdPqwq5d6YDyZLqomlMnQnO9")</f>
        <v>https://drive.google.com/open?id=1GXuRdplhCdPqwq5d6YDyZLqomlMnQnO9</v>
      </c>
      <c r="V756" s="10" t="str">
        <f>IFERROR(__xludf.DUMMYFUNCTION("""COMPUTED_VALUE"""),"No")</f>
        <v>No</v>
      </c>
      <c r="W756" s="10"/>
      <c r="X756" s="10"/>
      <c r="Y756" s="14" t="str">
        <f>IFERROR(__xludf.DUMMYFUNCTION("""COMPUTED_VALUE"""),"drsarfrazahmed644@gmail.com")</f>
        <v>drsarfrazahmed644@gmail.com</v>
      </c>
      <c r="AA756" s="324"/>
    </row>
    <row r="757" hidden="1">
      <c r="A757" s="9">
        <f>IFERROR(__xludf.DUMMYFUNCTION("""COMPUTED_VALUE"""),45955.48043815972)</f>
        <v>45955.48044</v>
      </c>
      <c r="B757" s="10" t="str">
        <f>IFERROR(__xludf.DUMMYFUNCTION("""COMPUTED_VALUE"""),"Abdullah khan")</f>
        <v>Abdullah khan</v>
      </c>
      <c r="C757" s="10" t="str">
        <f>IFERROR(__xludf.DUMMYFUNCTION("""COMPUTED_VALUE"""),"+923217603363")</f>
        <v>+923217603363</v>
      </c>
      <c r="D757" s="10" t="str">
        <f>IFERROR(__xludf.DUMMYFUNCTION("""COMPUTED_VALUE"""),"Jamia Masjid Mula Abdul Gafurur Multan")</f>
        <v>Jamia Masjid Mula Abdul Gafurur Multan</v>
      </c>
      <c r="E757" s="10" t="str">
        <f>IFERROR(__xludf.DUMMYFUNCTION("""COMPUTED_VALUE"""),"rnksi")</f>
        <v>rnksi</v>
      </c>
      <c r="F757" s="10">
        <f>IFERROR(__xludf.DUMMYFUNCTION("""COMPUTED_VALUE"""),274.0)</f>
        <v>274</v>
      </c>
      <c r="G757" s="10">
        <f>IFERROR(__xludf.DUMMYFUNCTION("""COMPUTED_VALUE"""),9.0)</f>
        <v>9</v>
      </c>
      <c r="H757" s="10">
        <f>IFERROR(__xludf.DUMMYFUNCTION("""COMPUTED_VALUE"""),8.0)</f>
        <v>8</v>
      </c>
      <c r="I757" s="10">
        <f>IFERROR(__xludf.DUMMYFUNCTION("""COMPUTED_VALUE"""),1.0)</f>
        <v>1</v>
      </c>
      <c r="J757" s="10"/>
      <c r="K757" s="10"/>
      <c r="L757" s="10"/>
      <c r="M757" s="10">
        <f>IFERROR(__xludf.DUMMYFUNCTION("""COMPUTED_VALUE"""),9.0)</f>
        <v>9</v>
      </c>
      <c r="N757" s="10"/>
      <c r="O757" s="10"/>
      <c r="P757" s="10"/>
      <c r="Q757" s="10"/>
      <c r="R757" s="10"/>
      <c r="S757" s="10"/>
      <c r="T757" s="10"/>
      <c r="U757" s="18" t="str">
        <f>IFERROR(__xludf.DUMMYFUNCTION("""COMPUTED_VALUE"""),"https://drive.google.com/open?id=1BMMzZh49S3bJIZliUjcOVOTaUEtdLtPG")</f>
        <v>https://drive.google.com/open?id=1BMMzZh49S3bJIZliUjcOVOTaUEtdLtPG</v>
      </c>
      <c r="V757" s="10"/>
      <c r="W757" s="10"/>
      <c r="X757" s="10"/>
      <c r="Y757" s="14" t="str">
        <f>IFERROR(__xludf.DUMMYFUNCTION("""COMPUTED_VALUE"""),"haris.cerp@gmail.com")</f>
        <v>haris.cerp@gmail.com</v>
      </c>
      <c r="AA757" s="324"/>
    </row>
    <row r="758" hidden="1">
      <c r="A758" s="9">
        <f>IFERROR(__xludf.DUMMYFUNCTION("""COMPUTED_VALUE"""),45955.48534400463)</f>
        <v>45955.48534</v>
      </c>
      <c r="B758" s="10" t="str">
        <f>IFERROR(__xludf.DUMMYFUNCTION("""COMPUTED_VALUE"""),"Abeel ")</f>
        <v>Abeel </v>
      </c>
      <c r="C758" s="10" t="str">
        <f>IFERROR(__xludf.DUMMYFUNCTION("""COMPUTED_VALUE"""),"+923213010900")</f>
        <v>+923213010900</v>
      </c>
      <c r="D758" s="10" t="str">
        <f>IFERROR(__xludf.DUMMYFUNCTION("""COMPUTED_VALUE"""),"Jamia Masjid Kareem Khan Ahle Hadees Multan")</f>
        <v>Jamia Masjid Kareem Khan Ahle Hadees Multan</v>
      </c>
      <c r="E758" s="10" t="str">
        <f>IFERROR(__xludf.DUMMYFUNCTION("""COMPUTED_VALUE"""),"lirqw")</f>
        <v>lirqw</v>
      </c>
      <c r="F758" s="10">
        <f>IFERROR(__xludf.DUMMYFUNCTION("""COMPUTED_VALUE"""),112.0)</f>
        <v>112</v>
      </c>
      <c r="G758" s="10">
        <f>IFERROR(__xludf.DUMMYFUNCTION("""COMPUTED_VALUE"""),9.0)</f>
        <v>9</v>
      </c>
      <c r="H758" s="10">
        <f>IFERROR(__xludf.DUMMYFUNCTION("""COMPUTED_VALUE"""),9.0)</f>
        <v>9</v>
      </c>
      <c r="I758" s="10">
        <f>IFERROR(__xludf.DUMMYFUNCTION("""COMPUTED_VALUE"""),0.0)</f>
        <v>0</v>
      </c>
      <c r="J758" s="10"/>
      <c r="K758" s="10"/>
      <c r="L758" s="10"/>
      <c r="M758" s="10">
        <f>IFERROR(__xludf.DUMMYFUNCTION("""COMPUTED_VALUE"""),8.0)</f>
        <v>8</v>
      </c>
      <c r="N758" s="10"/>
      <c r="O758" s="10"/>
      <c r="P758" s="10"/>
      <c r="Q758" s="10"/>
      <c r="R758" s="10"/>
      <c r="S758" s="10"/>
      <c r="T758" s="10"/>
      <c r="U758" s="18" t="str">
        <f>IFERROR(__xludf.DUMMYFUNCTION("""COMPUTED_VALUE"""),"https://drive.google.com/open?id=1gSj-S8ajvaIjtVHJUfs2HESZEtng-cR_")</f>
        <v>https://drive.google.com/open?id=1gSj-S8ajvaIjtVHJUfs2HESZEtng-cR_</v>
      </c>
      <c r="V758" s="10"/>
      <c r="W758" s="10"/>
      <c r="X758" s="10"/>
      <c r="Y758" s="14" t="str">
        <f>IFERROR(__xludf.DUMMYFUNCTION("""COMPUTED_VALUE"""),"haris.cerp@gmail.com")</f>
        <v>haris.cerp@gmail.com</v>
      </c>
      <c r="AA758" s="324"/>
    </row>
    <row r="759" hidden="1">
      <c r="A759" s="9">
        <f>IFERROR(__xludf.DUMMYFUNCTION("""COMPUTED_VALUE"""),45956.36602961806)</f>
        <v>45956.36603</v>
      </c>
      <c r="B759" s="10" t="str">
        <f>IFERROR(__xludf.DUMMYFUNCTION("""COMPUTED_VALUE"""),"ALI Asghar Khan Niazi")</f>
        <v>ALI Asghar Khan Niazi</v>
      </c>
      <c r="C759" s="10" t="str">
        <f>IFERROR(__xludf.DUMMYFUNCTION("""COMPUTED_VALUE"""),"03007600161")</f>
        <v>03007600161</v>
      </c>
      <c r="D759" s="10" t="str">
        <f>IFERROR(__xludf.DUMMYFUNCTION("""COMPUTED_VALUE"""),"Jamia Masjid chistiya Mkuuana ")</f>
        <v>Jamia Masjid chistiya Mkuuana </v>
      </c>
      <c r="E759" s="10" t="str">
        <f>IFERROR(__xludf.DUMMYFUNCTION("""COMPUTED_VALUE"""),"cegdy")</f>
        <v>cegdy</v>
      </c>
      <c r="F759" s="10">
        <f>IFERROR(__xludf.DUMMYFUNCTION("""COMPUTED_VALUE"""),350.0)</f>
        <v>350</v>
      </c>
      <c r="G759" s="10">
        <f>IFERROR(__xludf.DUMMYFUNCTION("""COMPUTED_VALUE"""),8.0)</f>
        <v>8</v>
      </c>
      <c r="H759" s="10">
        <f>IFERROR(__xludf.DUMMYFUNCTION("""COMPUTED_VALUE"""),7.0)</f>
        <v>7</v>
      </c>
      <c r="I759" s="10">
        <f>IFERROR(__xludf.DUMMYFUNCTION("""COMPUTED_VALUE"""),1.0)</f>
        <v>1</v>
      </c>
      <c r="J759" s="10"/>
      <c r="K759" s="10"/>
      <c r="L759" s="10"/>
      <c r="M759" s="10">
        <f>IFERROR(__xludf.DUMMYFUNCTION("""COMPUTED_VALUE"""),8.0)</f>
        <v>8</v>
      </c>
      <c r="N759" s="10"/>
      <c r="O759" s="10"/>
      <c r="P759" s="10"/>
      <c r="Q759" s="10"/>
      <c r="R759" s="10"/>
      <c r="S759" s="10"/>
      <c r="T759" s="10"/>
      <c r="U759" s="18" t="str">
        <f>IFERROR(__xludf.DUMMYFUNCTION("""COMPUTED_VALUE"""),"https://drive.google.com/file/d/1Nk9Hjyb4j6QuLLf9MYw2OTkjmVfgjudm/view?usp=drive_link")</f>
        <v>https://drive.google.com/file/d/1Nk9Hjyb4j6QuLLf9MYw2OTkjmVfgjudm/view?usp=drive_link</v>
      </c>
      <c r="V759" s="10"/>
      <c r="W759" s="10"/>
      <c r="X759" s="10"/>
      <c r="Y759" s="14" t="str">
        <f>IFERROR(__xludf.DUMMYFUNCTION("""COMPUTED_VALUE"""),"ali.asghar.soc@gamil.com")</f>
        <v>ali.asghar.soc@gamil.com</v>
      </c>
      <c r="AA759" s="324"/>
    </row>
    <row r="760" hidden="1">
      <c r="A760" s="9">
        <f>IFERROR(__xludf.DUMMYFUNCTION("""COMPUTED_VALUE"""),45958.36820789352)</f>
        <v>45958.36821</v>
      </c>
      <c r="B760" s="10" t="str">
        <f>IFERROR(__xludf.DUMMYFUNCTION("""COMPUTED_VALUE"""),"Muhammad Tariq")</f>
        <v>Muhammad Tariq</v>
      </c>
      <c r="C760" s="10" t="str">
        <f>IFERROR(__xludf.DUMMYFUNCTION("""COMPUTED_VALUE"""),"0301-6540273")</f>
        <v>0301-6540273</v>
      </c>
      <c r="D760" s="10" t="str">
        <f>IFERROR(__xludf.DUMMYFUNCTION("""COMPUTED_VALUE"""),"Jamia Masjid Amenia Ameen Abaad Samanbad Faisalabad")</f>
        <v>Jamia Masjid Amenia Ameen Abaad Samanbad Faisalabad</v>
      </c>
      <c r="E760" s="10" t="str">
        <f>IFERROR(__xludf.DUMMYFUNCTION("""COMPUTED_VALUE"""),"btuip")</f>
        <v>btuip</v>
      </c>
      <c r="F760" s="10">
        <f>IFERROR(__xludf.DUMMYFUNCTION("""COMPUTED_VALUE"""),234.0)</f>
        <v>234</v>
      </c>
      <c r="G760" s="10">
        <f>IFERROR(__xludf.DUMMYFUNCTION("""COMPUTED_VALUE"""),9.0)</f>
        <v>9</v>
      </c>
      <c r="H760" s="10">
        <f>IFERROR(__xludf.DUMMYFUNCTION("""COMPUTED_VALUE"""),8.0)</f>
        <v>8</v>
      </c>
      <c r="I760" s="10">
        <f>IFERROR(__xludf.DUMMYFUNCTION("""COMPUTED_VALUE"""),1.0)</f>
        <v>1</v>
      </c>
      <c r="J760" s="10"/>
      <c r="K760" s="10"/>
      <c r="L760" s="10"/>
      <c r="M760" s="10">
        <f>IFERROR(__xludf.DUMMYFUNCTION("""COMPUTED_VALUE"""),9.0)</f>
        <v>9</v>
      </c>
      <c r="N760" s="10"/>
      <c r="O760" s="10"/>
      <c r="P760" s="10"/>
      <c r="Q760" s="10"/>
      <c r="R760" s="10"/>
      <c r="S760" s="10"/>
      <c r="T760" s="10"/>
      <c r="U760" s="18" t="str">
        <f>IFERROR(__xludf.DUMMYFUNCTION("""COMPUTED_VALUE"""),"https://drive.google.com/open?id=1BoizWdDB6ed4Yz9TEoJqklEavoA8I9h2")</f>
        <v>https://drive.google.com/open?id=1BoizWdDB6ed4Yz9TEoJqklEavoA8I9h2</v>
      </c>
      <c r="V760" s="10"/>
      <c r="W760" s="10"/>
      <c r="X760" s="10"/>
      <c r="Y760" s="14" t="str">
        <f>IFERROR(__xludf.DUMMYFUNCTION("""COMPUTED_VALUE"""),"haris.cerp@gmail.com")</f>
        <v>haris.cerp@gmail.com</v>
      </c>
      <c r="AA760" s="324"/>
    </row>
    <row r="761" hidden="1">
      <c r="A761" s="9">
        <f>IFERROR(__xludf.DUMMYFUNCTION("""COMPUTED_VALUE"""),45961.19732173611)</f>
        <v>45961.19732</v>
      </c>
      <c r="B761" s="10" t="str">
        <f>IFERROR(__xludf.DUMMYFUNCTION("""COMPUTED_VALUE"""),"Shoaib Ahmed ")</f>
        <v>Shoaib Ahmed </v>
      </c>
      <c r="C761" s="10" t="str">
        <f>IFERROR(__xludf.DUMMYFUNCTION("""COMPUTED_VALUE"""),"03216526034")</f>
        <v>03216526034</v>
      </c>
      <c r="D761" s="10" t="str">
        <f>IFERROR(__xludf.DUMMYFUNCTION("""COMPUTED_VALUE"""),"  جامع مسجد لسوڑی شاہ  جھنگ بازار فیصل آباد")</f>
        <v>  جامع مسجد لسوڑی شاہ  جھنگ بازار فیصل آباد</v>
      </c>
      <c r="E761" s="10" t="str">
        <f>IFERROR(__xludf.DUMMYFUNCTION("""COMPUTED_VALUE"""),"Tiius")</f>
        <v>Tiius</v>
      </c>
      <c r="F761" s="10">
        <f>IFERROR(__xludf.DUMMYFUNCTION("""COMPUTED_VALUE"""),145.0)</f>
        <v>145</v>
      </c>
      <c r="G761" s="10">
        <f>IFERROR(__xludf.DUMMYFUNCTION("""COMPUTED_VALUE"""),9.0)</f>
        <v>9</v>
      </c>
      <c r="H761" s="10">
        <f>IFERROR(__xludf.DUMMYFUNCTION("""COMPUTED_VALUE"""),9.0)</f>
        <v>9</v>
      </c>
      <c r="I761" s="10">
        <f>IFERROR(__xludf.DUMMYFUNCTION("""COMPUTED_VALUE"""),0.0)</f>
        <v>0</v>
      </c>
      <c r="J761" s="10"/>
      <c r="K761" s="10"/>
      <c r="L761" s="10"/>
      <c r="M761" s="10">
        <f>IFERROR(__xludf.DUMMYFUNCTION("""COMPUTED_VALUE"""),9.0)</f>
        <v>9</v>
      </c>
      <c r="N761" s="10"/>
      <c r="O761" s="10"/>
      <c r="P761" s="10"/>
      <c r="Q761" s="10"/>
      <c r="R761" s="10"/>
      <c r="S761" s="10"/>
      <c r="T761" s="10"/>
      <c r="U761" s="18" t="str">
        <f>IFERROR(__xludf.DUMMYFUNCTION("""COMPUTED_VALUE"""),"https://drive.google.com/open?id=1EPgdI6JPanFpdJ5uOhFTBwDljRpT0q_k")</f>
        <v>https://drive.google.com/open?id=1EPgdI6JPanFpdJ5uOhFTBwDljRpT0q_k</v>
      </c>
      <c r="V761" s="10" t="str">
        <f>IFERROR(__xludf.DUMMYFUNCTION("""COMPUTED_VALUE"""),"Thank you ")</f>
        <v>Thank you </v>
      </c>
      <c r="W761" s="10"/>
      <c r="X761" s="10"/>
      <c r="Y761" s="14" t="str">
        <f>IFERROR(__xludf.DUMMYFUNCTION("""COMPUTED_VALUE"""),"shoaibfoji27@gmail.com")</f>
        <v>shoaibfoji27@gmail.com</v>
      </c>
      <c r="AA761" s="324"/>
    </row>
    <row r="762" hidden="1">
      <c r="A762" s="9">
        <f>IFERROR(__xludf.DUMMYFUNCTION("""COMPUTED_VALUE"""),45961.208059282406)</f>
        <v>45961.20806</v>
      </c>
      <c r="B762" s="10" t="str">
        <f>IFERROR(__xludf.DUMMYFUNCTION("""COMPUTED_VALUE"""),"Muhammad Sohail ")</f>
        <v>Muhammad Sohail </v>
      </c>
      <c r="C762" s="10" t="str">
        <f>IFERROR(__xludf.DUMMYFUNCTION("""COMPUTED_VALUE"""),"03003786086")</f>
        <v>03003786086</v>
      </c>
      <c r="D762" s="10" t="str">
        <f>IFERROR(__xludf.DUMMYFUNCTION("""COMPUTED_VALUE"""),"Jamia Masjid Islam pura Dhobigat ")</f>
        <v>Jamia Masjid Islam pura Dhobigat </v>
      </c>
      <c r="E762" s="10" t="str">
        <f>IFERROR(__xludf.DUMMYFUNCTION("""COMPUTED_VALUE"""),"Cfcvk ")</f>
        <v>Cfcvk </v>
      </c>
      <c r="F762" s="10">
        <f>IFERROR(__xludf.DUMMYFUNCTION("""COMPUTED_VALUE"""),400.0)</f>
        <v>400</v>
      </c>
      <c r="G762" s="10">
        <f>IFERROR(__xludf.DUMMYFUNCTION("""COMPUTED_VALUE"""),9.0)</f>
        <v>9</v>
      </c>
      <c r="H762" s="10">
        <f>IFERROR(__xludf.DUMMYFUNCTION("""COMPUTED_VALUE"""),9.0)</f>
        <v>9</v>
      </c>
      <c r="I762" s="10" t="str">
        <f>IFERROR(__xludf.DUMMYFUNCTION("""COMPUTED_VALUE"""),"No")</f>
        <v>No</v>
      </c>
      <c r="J762" s="10"/>
      <c r="K762" s="10"/>
      <c r="L762" s="10"/>
      <c r="M762" s="10">
        <f>IFERROR(__xludf.DUMMYFUNCTION("""COMPUTED_VALUE"""),9.0)</f>
        <v>9</v>
      </c>
      <c r="N762" s="10"/>
      <c r="O762" s="10"/>
      <c r="P762" s="10"/>
      <c r="Q762" s="10"/>
      <c r="R762" s="10"/>
      <c r="S762" s="10"/>
      <c r="T762" s="10"/>
      <c r="U762" s="18" t="str">
        <f>IFERROR(__xludf.DUMMYFUNCTION("""COMPUTED_VALUE"""),"https://drive.google.com/open?id=1Sj8y3T-uwDyjBVyTZwaRSdGqu_hAlkgl")</f>
        <v>https://drive.google.com/open?id=1Sj8y3T-uwDyjBVyTZwaRSdGqu_hAlkgl</v>
      </c>
      <c r="V762" s="10"/>
      <c r="W762" s="10"/>
      <c r="X762" s="10"/>
      <c r="Y762" s="14" t="str">
        <f>IFERROR(__xludf.DUMMYFUNCTION("""COMPUTED_VALUE"""),"shaheenabbasxxx@gmail.com")</f>
        <v>shaheenabbasxxx@gmail.com</v>
      </c>
      <c r="AA762" s="324"/>
    </row>
    <row r="763" hidden="1">
      <c r="A763" s="9">
        <f>IFERROR(__xludf.DUMMYFUNCTION("""COMPUTED_VALUE"""),45961.21443136574)</f>
        <v>45961.21443</v>
      </c>
      <c r="B763" s="10" t="str">
        <f>IFERROR(__xludf.DUMMYFUNCTION("""COMPUTED_VALUE"""),"Altaf Hussain ")</f>
        <v>Altaf Hussain </v>
      </c>
      <c r="C763" s="10" t="str">
        <f>IFERROR(__xludf.DUMMYFUNCTION("""COMPUTED_VALUE"""),"03453933260")</f>
        <v>03453933260</v>
      </c>
      <c r="D763" s="10" t="str">
        <f>IFERROR(__xludf.DUMMYFUNCTION("""COMPUTED_VALUE"""),"Jama masjid talimal Quran ")</f>
        <v>Jama masjid talimal Quran </v>
      </c>
      <c r="E763" s="10" t="str">
        <f>IFERROR(__xludf.DUMMYFUNCTION("""COMPUTED_VALUE"""),"yxvut ")</f>
        <v>yxvut </v>
      </c>
      <c r="F763" s="10">
        <f>IFERROR(__xludf.DUMMYFUNCTION("""COMPUTED_VALUE"""),190.0)</f>
        <v>190</v>
      </c>
      <c r="G763" s="10">
        <f>IFERROR(__xludf.DUMMYFUNCTION("""COMPUTED_VALUE"""),10.0)</f>
        <v>10</v>
      </c>
      <c r="H763" s="10">
        <f>IFERROR(__xludf.DUMMYFUNCTION("""COMPUTED_VALUE"""),9.0)</f>
        <v>9</v>
      </c>
      <c r="I763" s="10" t="str">
        <f>IFERROR(__xludf.DUMMYFUNCTION("""COMPUTED_VALUE"""),"Nil")</f>
        <v>Nil</v>
      </c>
      <c r="J763" s="10"/>
      <c r="K763" s="10"/>
      <c r="L763" s="10"/>
      <c r="M763" s="10">
        <f>IFERROR(__xludf.DUMMYFUNCTION("""COMPUTED_VALUE"""),9.0)</f>
        <v>9</v>
      </c>
      <c r="N763" s="10"/>
      <c r="O763" s="10"/>
      <c r="P763" s="10"/>
      <c r="Q763" s="10"/>
      <c r="R763" s="10"/>
      <c r="S763" s="10"/>
      <c r="T763" s="10"/>
      <c r="U763" s="18" t="str">
        <f>IFERROR(__xludf.DUMMYFUNCTION("""COMPUTED_VALUE"""),"https://drive.google.com/open?id=1KXD2kPZA2X5qnuMMIWfZkinOFZLsxEk0")</f>
        <v>https://drive.google.com/open?id=1KXD2kPZA2X5qnuMMIWfZkinOFZLsxEk0</v>
      </c>
      <c r="V763" s="10"/>
      <c r="W763" s="10"/>
      <c r="X763" s="10"/>
      <c r="Y763" s="14" t="str">
        <f>IFERROR(__xludf.DUMMYFUNCTION("""COMPUTED_VALUE"""),"altafhussainchannar260@gmail.com")</f>
        <v>altafhussainchannar260@gmail.com</v>
      </c>
      <c r="AA763" s="324"/>
    </row>
    <row r="764" hidden="1">
      <c r="A764" s="9">
        <f>IFERROR(__xludf.DUMMYFUNCTION("""COMPUTED_VALUE"""),45961.22619931713)</f>
        <v>45961.2262</v>
      </c>
      <c r="B764" s="10" t="str">
        <f>IFERROR(__xludf.DUMMYFUNCTION("""COMPUTED_VALUE"""),"Taha Abdullah khan ")</f>
        <v>Taha Abdullah khan </v>
      </c>
      <c r="C764" s="10" t="str">
        <f>IFERROR(__xludf.DUMMYFUNCTION("""COMPUTED_VALUE"""),"03497062330")</f>
        <v>03497062330</v>
      </c>
      <c r="D764" s="10" t="str">
        <f>IFERROR(__xludf.DUMMYFUNCTION("""COMPUTED_VALUE""")," جامع مسجد حاجی محمد دین ")</f>
        <v> جامع مسجد حاجی محمد دین </v>
      </c>
      <c r="E764" s="10" t="str">
        <f>IFERROR(__xludf.DUMMYFUNCTION("""COMPUTED_VALUE"""),"estsn")</f>
        <v>estsn</v>
      </c>
      <c r="F764" s="10">
        <f>IFERROR(__xludf.DUMMYFUNCTION("""COMPUTED_VALUE"""),117.0)</f>
        <v>117</v>
      </c>
      <c r="G764" s="10">
        <f>IFERROR(__xludf.DUMMYFUNCTION("""COMPUTED_VALUE"""),6.0)</f>
        <v>6</v>
      </c>
      <c r="H764" s="10">
        <f>IFERROR(__xludf.DUMMYFUNCTION("""COMPUTED_VALUE"""),5.0)</f>
        <v>5</v>
      </c>
      <c r="I764" s="10">
        <f>IFERROR(__xludf.DUMMYFUNCTION("""COMPUTED_VALUE"""),1.0)</f>
        <v>1</v>
      </c>
      <c r="J764" s="10"/>
      <c r="K764" s="10"/>
      <c r="L764" s="10"/>
      <c r="M764" s="10">
        <f>IFERROR(__xludf.DUMMYFUNCTION("""COMPUTED_VALUE"""),7.0)</f>
        <v>7</v>
      </c>
      <c r="N764" s="10"/>
      <c r="O764" s="10"/>
      <c r="P764" s="10"/>
      <c r="Q764" s="10"/>
      <c r="R764" s="10"/>
      <c r="S764" s="10"/>
      <c r="T764" s="10"/>
      <c r="U764" s="18" t="str">
        <f>IFERROR(__xludf.DUMMYFUNCTION("""COMPUTED_VALUE"""),"https://drive.google.com/open?id=1EVf6wzahny6oJY_aHT_iHrJzQ0Ws-5H3")</f>
        <v>https://drive.google.com/open?id=1EVf6wzahny6oJY_aHT_iHrJzQ0Ws-5H3</v>
      </c>
      <c r="V764" s="10"/>
      <c r="W764" s="10"/>
      <c r="X764" s="10"/>
      <c r="Y764" s="14" t="str">
        <f>IFERROR(__xludf.DUMMYFUNCTION("""COMPUTED_VALUE"""),"tkrock321@gmail.com")</f>
        <v>tkrock321@gmail.com</v>
      </c>
      <c r="AA764" s="324"/>
    </row>
    <row r="765" hidden="1">
      <c r="A765" s="9">
        <f>IFERROR(__xludf.DUMMYFUNCTION("""COMPUTED_VALUE"""),45961.226447905094)</f>
        <v>45961.22645</v>
      </c>
      <c r="B765" s="10" t="str">
        <f>IFERROR(__xludf.DUMMYFUNCTION("""COMPUTED_VALUE"""),"Shahid Fareed ")</f>
        <v>Shahid Fareed </v>
      </c>
      <c r="C765" s="10" t="str">
        <f>IFERROR(__xludf.DUMMYFUNCTION("""COMPUTED_VALUE"""),"03054323435")</f>
        <v>03054323435</v>
      </c>
      <c r="D765" s="10" t="str">
        <f>IFERROR(__xludf.DUMMYFUNCTION("""COMPUTED_VALUE"""),"Jamea Masjid Eid Ghah Modal town B faisalabad ")</f>
        <v>Jamea Masjid Eid Ghah Modal town B faisalabad </v>
      </c>
      <c r="E765" s="10" t="str">
        <f>IFERROR(__xludf.DUMMYFUNCTION("""COMPUTED_VALUE"""),"Vldwg")</f>
        <v>Vldwg</v>
      </c>
      <c r="F765" s="10">
        <f>IFERROR(__xludf.DUMMYFUNCTION("""COMPUTED_VALUE"""),265.0)</f>
        <v>265</v>
      </c>
      <c r="G765" s="10">
        <f>IFERROR(__xludf.DUMMYFUNCTION("""COMPUTED_VALUE"""),9.0)</f>
        <v>9</v>
      </c>
      <c r="H765" s="10">
        <f>IFERROR(__xludf.DUMMYFUNCTION("""COMPUTED_VALUE"""),9.0)</f>
        <v>9</v>
      </c>
      <c r="I765" s="10" t="str">
        <f>IFERROR(__xludf.DUMMYFUNCTION("""COMPUTED_VALUE"""),"2 small trash heaps ")</f>
        <v>2 small trash heaps </v>
      </c>
      <c r="J765" s="10"/>
      <c r="K765" s="10"/>
      <c r="L765" s="10"/>
      <c r="M765" s="10">
        <f>IFERROR(__xludf.DUMMYFUNCTION("""COMPUTED_VALUE"""),10.0)</f>
        <v>10</v>
      </c>
      <c r="N765" s="10"/>
      <c r="O765" s="10"/>
      <c r="P765" s="10"/>
      <c r="Q765" s="10"/>
      <c r="R765" s="10"/>
      <c r="S765" s="10"/>
      <c r="T765" s="10"/>
      <c r="U765" s="18" t="str">
        <f>IFERROR(__xludf.DUMMYFUNCTION("""COMPUTED_VALUE"""),"https://drive.google.com/open?id=19WsU144hjcMqUTXejfJJom9sgZfRp-Xg")</f>
        <v>https://drive.google.com/open?id=19WsU144hjcMqUTXejfJJom9sgZfRp-Xg</v>
      </c>
      <c r="V765" s="10"/>
      <c r="W765" s="10"/>
      <c r="X765" s="10"/>
      <c r="Y765" s="14" t="str">
        <f>IFERROR(__xludf.DUMMYFUNCTION("""COMPUTED_VALUE"""),"shahidfareed622@gmail.com")</f>
        <v>shahidfareed622@gmail.com</v>
      </c>
      <c r="AA765" s="324"/>
    </row>
    <row r="766" hidden="1">
      <c r="A766" s="9">
        <f>IFERROR(__xludf.DUMMYFUNCTION("""COMPUTED_VALUE"""),45961.23762675926)</f>
        <v>45961.23763</v>
      </c>
      <c r="B766" s="10" t="str">
        <f>IFERROR(__xludf.DUMMYFUNCTION("""COMPUTED_VALUE"""),"Zain Sajjad ")</f>
        <v>Zain Sajjad </v>
      </c>
      <c r="C766" s="10" t="str">
        <f>IFERROR(__xludf.DUMMYFUNCTION("""COMPUTED_VALUE"""),"03044801331")</f>
        <v>03044801331</v>
      </c>
      <c r="D766" s="10" t="str">
        <f>IFERROR(__xludf.DUMMYFUNCTION("""COMPUTED_VALUE"""),"Jamia Masjid Tehsil wali kahchari ")</f>
        <v>Jamia Masjid Tehsil wali kahchari </v>
      </c>
      <c r="E766" s="10" t="str">
        <f>IFERROR(__xludf.DUMMYFUNCTION("""COMPUTED_VALUE"""),"pjygt")</f>
        <v>pjygt</v>
      </c>
      <c r="F766" s="10">
        <f>IFERROR(__xludf.DUMMYFUNCTION("""COMPUTED_VALUE"""),400.0)</f>
        <v>400</v>
      </c>
      <c r="G766" s="10">
        <f>IFERROR(__xludf.DUMMYFUNCTION("""COMPUTED_VALUE"""),8.0)</f>
        <v>8</v>
      </c>
      <c r="H766" s="10">
        <f>IFERROR(__xludf.DUMMYFUNCTION("""COMPUTED_VALUE"""),8.0)</f>
        <v>8</v>
      </c>
      <c r="I766" s="10">
        <f>IFERROR(__xludf.DUMMYFUNCTION("""COMPUTED_VALUE"""),30.0)</f>
        <v>30</v>
      </c>
      <c r="J766" s="10"/>
      <c r="K766" s="10"/>
      <c r="L766" s="10"/>
      <c r="M766" s="10">
        <f>IFERROR(__xludf.DUMMYFUNCTION("""COMPUTED_VALUE"""),9.0)</f>
        <v>9</v>
      </c>
      <c r="N766" s="10"/>
      <c r="O766" s="10"/>
      <c r="P766" s="10"/>
      <c r="Q766" s="10"/>
      <c r="R766" s="10"/>
      <c r="S766" s="10"/>
      <c r="T766" s="10"/>
      <c r="U766" s="18" t="str">
        <f>IFERROR(__xludf.DUMMYFUNCTION("""COMPUTED_VALUE"""),"https://drive.google.com/open?id=1J2ZusZtgacxd6XtnYnPLdYWxslJI238R")</f>
        <v>https://drive.google.com/open?id=1J2ZusZtgacxd6XtnYnPLdYWxslJI238R</v>
      </c>
      <c r="V766" s="10" t="str">
        <f>IFERROR(__xludf.DUMMYFUNCTION("""COMPUTED_VALUE"""),"No")</f>
        <v>No</v>
      </c>
      <c r="W766" s="10"/>
      <c r="X766" s="10"/>
      <c r="Y766" s="14" t="str">
        <f>IFERROR(__xludf.DUMMYFUNCTION("""COMPUTED_VALUE"""),"zain.chandio881@gmail.com")</f>
        <v>zain.chandio881@gmail.com</v>
      </c>
      <c r="AA766" s="324"/>
    </row>
    <row r="767" hidden="1">
      <c r="A767" s="9">
        <f>IFERROR(__xludf.DUMMYFUNCTION("""COMPUTED_VALUE"""),45961.23956799768)</f>
        <v>45961.23957</v>
      </c>
      <c r="B767" s="10" t="str">
        <f>IFERROR(__xludf.DUMMYFUNCTION("""COMPUTED_VALUE"""),"شاہ رخ")</f>
        <v>شاہ رخ</v>
      </c>
      <c r="C767" s="10" t="str">
        <f>IFERROR(__xludf.DUMMYFUNCTION("""COMPUTED_VALUE"""),"03137787277")</f>
        <v>03137787277</v>
      </c>
      <c r="D767" s="10" t="str">
        <f>IFERROR(__xludf.DUMMYFUNCTION("""COMPUTED_VALUE"""),"مرکزی جامع مسجد فیصل آباد (کچہری بازار)")</f>
        <v>مرکزی جامع مسجد فیصل آباد (کچہری بازار)</v>
      </c>
      <c r="E767" s="10" t="str">
        <f>IFERROR(__xludf.DUMMYFUNCTION("""COMPUTED_VALUE"""),"kocqj")</f>
        <v>kocqj</v>
      </c>
      <c r="F767" s="10">
        <f>IFERROR(__xludf.DUMMYFUNCTION("""COMPUTED_VALUE"""),346.0)</f>
        <v>346</v>
      </c>
      <c r="G767" s="10">
        <f>IFERROR(__xludf.DUMMYFUNCTION("""COMPUTED_VALUE"""),8.0)</f>
        <v>8</v>
      </c>
      <c r="H767" s="10">
        <f>IFERROR(__xludf.DUMMYFUNCTION("""COMPUTED_VALUE"""),10.0)</f>
        <v>10</v>
      </c>
      <c r="I767" s="10">
        <f>IFERROR(__xludf.DUMMYFUNCTION("""COMPUTED_VALUE"""),0.0)</f>
        <v>0</v>
      </c>
      <c r="J767" s="10"/>
      <c r="K767" s="10"/>
      <c r="L767" s="10"/>
      <c r="M767" s="10">
        <f>IFERROR(__xludf.DUMMYFUNCTION("""COMPUTED_VALUE"""),9.0)</f>
        <v>9</v>
      </c>
      <c r="N767" s="10"/>
      <c r="O767" s="10"/>
      <c r="P767" s="10"/>
      <c r="Q767" s="10"/>
      <c r="R767" s="10"/>
      <c r="S767" s="10"/>
      <c r="T767" s="10"/>
      <c r="U767" s="18" t="str">
        <f>IFERROR(__xludf.DUMMYFUNCTION("""COMPUTED_VALUE"""),"https://drive.google.com/open?id=1jExpUkJLnVh_6qRanqCQi6HUkRlMglJm")</f>
        <v>https://drive.google.com/open?id=1jExpUkJLnVh_6qRanqCQi6HUkRlMglJm</v>
      </c>
      <c r="V767" s="10"/>
      <c r="W767" s="10"/>
      <c r="X767" s="10"/>
      <c r="Y767" s="14" t="str">
        <f>IFERROR(__xludf.DUMMYFUNCTION("""COMPUTED_VALUE"""),"shahrukh25022004@gmail.com")</f>
        <v>shahrukh25022004@gmail.com</v>
      </c>
      <c r="AA767" s="324"/>
    </row>
    <row r="768" hidden="1">
      <c r="A768" s="9">
        <f>IFERROR(__xludf.DUMMYFUNCTION("""COMPUTED_VALUE"""),45961.24190466435)</f>
        <v>45961.2419</v>
      </c>
      <c r="B768" s="10" t="str">
        <f>IFERROR(__xludf.DUMMYFUNCTION("""COMPUTED_VALUE"""),"Hassan majeed ")</f>
        <v>Hassan majeed </v>
      </c>
      <c r="C768" s="10" t="str">
        <f>IFERROR(__xludf.DUMMYFUNCTION("""COMPUTED_VALUE"""),"03490434721")</f>
        <v>03490434721</v>
      </c>
      <c r="D768" s="10" t="str">
        <f>IFERROR(__xludf.DUMMYFUNCTION("""COMPUTED_VALUE"""),"Jamia masjed hanfia gazi abad ")</f>
        <v>Jamia masjed hanfia gazi abad </v>
      </c>
      <c r="E768" s="10" t="str">
        <f>IFERROR(__xludf.DUMMYFUNCTION("""COMPUTED_VALUE"""),"ldkri")</f>
        <v>ldkri</v>
      </c>
      <c r="F768" s="10">
        <f>IFERROR(__xludf.DUMMYFUNCTION("""COMPUTED_VALUE"""),600.0)</f>
        <v>600</v>
      </c>
      <c r="G768" s="10">
        <f>IFERROR(__xludf.DUMMYFUNCTION("""COMPUTED_VALUE"""),9.0)</f>
        <v>9</v>
      </c>
      <c r="H768" s="10">
        <f>IFERROR(__xludf.DUMMYFUNCTION("""COMPUTED_VALUE"""),9.0)</f>
        <v>9</v>
      </c>
      <c r="I768" s="10" t="str">
        <f>IFERROR(__xludf.DUMMYFUNCTION("""COMPUTED_VALUE"""),"No")</f>
        <v>No</v>
      </c>
      <c r="J768" s="10"/>
      <c r="K768" s="10"/>
      <c r="L768" s="10"/>
      <c r="M768" s="10">
        <f>IFERROR(__xludf.DUMMYFUNCTION("""COMPUTED_VALUE"""),9.0)</f>
        <v>9</v>
      </c>
      <c r="N768" s="10"/>
      <c r="O768" s="10"/>
      <c r="P768" s="10"/>
      <c r="Q768" s="10"/>
      <c r="R768" s="10"/>
      <c r="S768" s="10"/>
      <c r="T768" s="10"/>
      <c r="U768" s="18" t="str">
        <f>IFERROR(__xludf.DUMMYFUNCTION("""COMPUTED_VALUE"""),"https://drive.google.com/open?id=1WusFET-mteuteLSG7_sLPHbx6-1djx2m")</f>
        <v>https://drive.google.com/open?id=1WusFET-mteuteLSG7_sLPHbx6-1djx2m</v>
      </c>
      <c r="V768" s="10" t="str">
        <f>IFERROR(__xludf.DUMMYFUNCTION("""COMPUTED_VALUE"""),"No")</f>
        <v>No</v>
      </c>
      <c r="W768" s="10"/>
      <c r="X768" s="10"/>
      <c r="Y768" s="14" t="str">
        <f>IFERROR(__xludf.DUMMYFUNCTION("""COMPUTED_VALUE"""),"ranahassan798081@gmail.com")</f>
        <v>ranahassan798081@gmail.com</v>
      </c>
      <c r="AA768" s="324"/>
    </row>
    <row r="769" hidden="1">
      <c r="A769" s="9">
        <f>IFERROR(__xludf.DUMMYFUNCTION("""COMPUTED_VALUE"""),45961.24325922454)</f>
        <v>45961.24326</v>
      </c>
      <c r="B769" s="10" t="str">
        <f>IFERROR(__xludf.DUMMYFUNCTION("""COMPUTED_VALUE"""),"Abdullah Zahid ")</f>
        <v>Abdullah Zahid </v>
      </c>
      <c r="C769" s="10" t="str">
        <f>IFERROR(__xludf.DUMMYFUNCTION("""COMPUTED_VALUE"""),"03263355553")</f>
        <v>03263355553</v>
      </c>
      <c r="D769" s="10" t="str">
        <f>IFERROR(__xludf.DUMMYFUNCTION("""COMPUTED_VALUE"""),"Madni masjid samanabad ")</f>
        <v>Madni masjid samanabad </v>
      </c>
      <c r="E769" s="10" t="str">
        <f>IFERROR(__xludf.DUMMYFUNCTION("""COMPUTED_VALUE"""),"rwyui")</f>
        <v>rwyui</v>
      </c>
      <c r="F769" s="10">
        <f>IFERROR(__xludf.DUMMYFUNCTION("""COMPUTED_VALUE"""),600.0)</f>
        <v>600</v>
      </c>
      <c r="G769" s="10">
        <f>IFERROR(__xludf.DUMMYFUNCTION("""COMPUTED_VALUE"""),9.0)</f>
        <v>9</v>
      </c>
      <c r="H769" s="10">
        <f>IFERROR(__xludf.DUMMYFUNCTION("""COMPUTED_VALUE"""),7.0)</f>
        <v>7</v>
      </c>
      <c r="I769" s="10">
        <f>IFERROR(__xludf.DUMMYFUNCTION("""COMPUTED_VALUE"""),2.0)</f>
        <v>2</v>
      </c>
      <c r="J769" s="10"/>
      <c r="K769" s="10"/>
      <c r="L769" s="10"/>
      <c r="M769" s="10">
        <f>IFERROR(__xludf.DUMMYFUNCTION("""COMPUTED_VALUE"""),10.0)</f>
        <v>10</v>
      </c>
      <c r="N769" s="10"/>
      <c r="O769" s="10"/>
      <c r="P769" s="10"/>
      <c r="Q769" s="10"/>
      <c r="R769" s="10"/>
      <c r="S769" s="10"/>
      <c r="T769" s="10"/>
      <c r="U769" s="18" t="str">
        <f>IFERROR(__xludf.DUMMYFUNCTION("""COMPUTED_VALUE"""),"https://drive.google.com/open?id=1dEdHtTNYeuUU7D0vbwPZtQXS0x6MBQAb")</f>
        <v>https://drive.google.com/open?id=1dEdHtTNYeuUU7D0vbwPZtQXS0x6MBQAb</v>
      </c>
      <c r="V769" s="10"/>
      <c r="W769" s="10"/>
      <c r="X769" s="10"/>
      <c r="Y769" s="14" t="str">
        <f>IFERROR(__xludf.DUMMYFUNCTION("""COMPUTED_VALUE"""),"abdullahzahid0343@gmail.com")</f>
        <v>abdullahzahid0343@gmail.com</v>
      </c>
      <c r="AA769" s="324"/>
    </row>
    <row r="770" hidden="1">
      <c r="A770" s="9">
        <f>IFERROR(__xludf.DUMMYFUNCTION("""COMPUTED_VALUE"""),45961.24332902778)</f>
        <v>45961.24333</v>
      </c>
      <c r="B770" s="10" t="str">
        <f>IFERROR(__xludf.DUMMYFUNCTION("""COMPUTED_VALUE"""),"Hassan majeed ")</f>
        <v>Hassan majeed </v>
      </c>
      <c r="C770" s="10" t="str">
        <f>IFERROR(__xludf.DUMMYFUNCTION("""COMPUTED_VALUE"""),"03490434721")</f>
        <v>03490434721</v>
      </c>
      <c r="D770" s="10" t="str">
        <f>IFERROR(__xludf.DUMMYFUNCTION("""COMPUTED_VALUE"""),"Jamia masjed hanfia gazi abad ")</f>
        <v>Jamia masjed hanfia gazi abad </v>
      </c>
      <c r="E770" s="10" t="str">
        <f>IFERROR(__xludf.DUMMYFUNCTION("""COMPUTED_VALUE"""),"ldkri")</f>
        <v>ldkri</v>
      </c>
      <c r="F770" s="10">
        <f>IFERROR(__xludf.DUMMYFUNCTION("""COMPUTED_VALUE"""),600.0)</f>
        <v>600</v>
      </c>
      <c r="G770" s="10">
        <f>IFERROR(__xludf.DUMMYFUNCTION("""COMPUTED_VALUE"""),9.0)</f>
        <v>9</v>
      </c>
      <c r="H770" s="10">
        <f>IFERROR(__xludf.DUMMYFUNCTION("""COMPUTED_VALUE"""),9.0)</f>
        <v>9</v>
      </c>
      <c r="I770" s="10" t="str">
        <f>IFERROR(__xludf.DUMMYFUNCTION("""COMPUTED_VALUE"""),"Ni ha")</f>
        <v>Ni ha</v>
      </c>
      <c r="J770" s="10"/>
      <c r="K770" s="10"/>
      <c r="L770" s="10"/>
      <c r="M770" s="10">
        <f>IFERROR(__xludf.DUMMYFUNCTION("""COMPUTED_VALUE"""),9.0)</f>
        <v>9</v>
      </c>
      <c r="N770" s="10"/>
      <c r="O770" s="10"/>
      <c r="P770" s="10"/>
      <c r="Q770" s="10"/>
      <c r="R770" s="10"/>
      <c r="S770" s="10"/>
      <c r="T770" s="10"/>
      <c r="U770" s="18" t="str">
        <f>IFERROR(__xludf.DUMMYFUNCTION("""COMPUTED_VALUE"""),"https://drive.google.com/open?id=1ukFdoZtnnKaet31DIkdN3HC6fIxU00v3")</f>
        <v>https://drive.google.com/open?id=1ukFdoZtnnKaet31DIkdN3HC6fIxU00v3</v>
      </c>
      <c r="V770" s="10" t="str">
        <f>IFERROR(__xludf.DUMMYFUNCTION("""COMPUTED_VALUE"""),"No")</f>
        <v>No</v>
      </c>
      <c r="W770" s="10"/>
      <c r="X770" s="10"/>
      <c r="Y770" s="14" t="str">
        <f>IFERROR(__xludf.DUMMYFUNCTION("""COMPUTED_VALUE"""),"ranahassan798081@gmail.com")</f>
        <v>ranahassan798081@gmail.com</v>
      </c>
      <c r="AA770" s="324"/>
    </row>
    <row r="771" hidden="1">
      <c r="A771" s="9">
        <f>IFERROR(__xludf.DUMMYFUNCTION("""COMPUTED_VALUE"""),45961.24485971065)</f>
        <v>45961.24486</v>
      </c>
      <c r="B771" s="10" t="str">
        <f>IFERROR(__xludf.DUMMYFUNCTION("""COMPUTED_VALUE"""),"Afzal saeed ")</f>
        <v>Afzal saeed </v>
      </c>
      <c r="C771" s="10" t="str">
        <f>IFERROR(__xludf.DUMMYFUNCTION("""COMPUTED_VALUE"""),"0306 9874123 ")</f>
        <v>0306 9874123 </v>
      </c>
      <c r="D771" s="10" t="str">
        <f>IFERROR(__xludf.DUMMYFUNCTION("""COMPUTED_VALUE"""),"Jamia ghusi razwai masjid")</f>
        <v>Jamia ghusi razwai masjid</v>
      </c>
      <c r="E771" s="10" t="str">
        <f>IFERROR(__xludf.DUMMYFUNCTION("""COMPUTED_VALUE"""),"mxebb")</f>
        <v>mxebb</v>
      </c>
      <c r="F771" s="10">
        <f>IFERROR(__xludf.DUMMYFUNCTION("""COMPUTED_VALUE"""),126.0)</f>
        <v>126</v>
      </c>
      <c r="G771" s="10">
        <f>IFERROR(__xludf.DUMMYFUNCTION("""COMPUTED_VALUE"""),6.0)</f>
        <v>6</v>
      </c>
      <c r="H771" s="10">
        <f>IFERROR(__xludf.DUMMYFUNCTION("""COMPUTED_VALUE"""),7.0)</f>
        <v>7</v>
      </c>
      <c r="I771" s="10">
        <f>IFERROR(__xludf.DUMMYFUNCTION("""COMPUTED_VALUE"""),1.0)</f>
        <v>1</v>
      </c>
      <c r="J771" s="10"/>
      <c r="K771" s="10"/>
      <c r="L771" s="10"/>
      <c r="M771" s="10">
        <f>IFERROR(__xludf.DUMMYFUNCTION("""COMPUTED_VALUE"""),8.0)</f>
        <v>8</v>
      </c>
      <c r="N771" s="10"/>
      <c r="O771" s="10"/>
      <c r="P771" s="10"/>
      <c r="Q771" s="10"/>
      <c r="R771" s="10"/>
      <c r="S771" s="10"/>
      <c r="T771" s="10"/>
      <c r="U771" s="18" t="str">
        <f>IFERROR(__xludf.DUMMYFUNCTION("""COMPUTED_VALUE"""),"https://drive.google.com/open?id=16opNfCyWSZ7eYagh8AfH-ZMP6sUGA2g9")</f>
        <v>https://drive.google.com/open?id=16opNfCyWSZ7eYagh8AfH-ZMP6sUGA2g9</v>
      </c>
      <c r="V771" s="10" t="str">
        <f>IFERROR(__xludf.DUMMYFUNCTION("""COMPUTED_VALUE"""),"Ok")</f>
        <v>Ok</v>
      </c>
      <c r="W771" s="10"/>
      <c r="X771" s="10"/>
      <c r="Y771" s="14" t="str">
        <f>IFERROR(__xludf.DUMMYFUNCTION("""COMPUTED_VALUE"""),"afzalsaeed804@gmail.com")</f>
        <v>afzalsaeed804@gmail.com</v>
      </c>
      <c r="AA771" s="324"/>
    </row>
    <row r="772" hidden="1">
      <c r="A772" s="9">
        <f>IFERROR(__xludf.DUMMYFUNCTION("""COMPUTED_VALUE"""),45961.25271428241)</f>
        <v>45961.25271</v>
      </c>
      <c r="B772" s="10" t="str">
        <f>IFERROR(__xludf.DUMMYFUNCTION("""COMPUTED_VALUE"""),"M.Rizwan")</f>
        <v>M.Rizwan</v>
      </c>
      <c r="C772" s="10" t="str">
        <f>IFERROR(__xludf.DUMMYFUNCTION("""COMPUTED_VALUE"""),"03084373512")</f>
        <v>03084373512</v>
      </c>
      <c r="D772" s="10" t="str">
        <f>IFERROR(__xludf.DUMMYFUNCTION("""COMPUTED_VALUE"""),"Nolakh hazari")</f>
        <v>Nolakh hazari</v>
      </c>
      <c r="E772" s="10" t="str">
        <f>IFERROR(__xludf.DUMMYFUNCTION("""COMPUTED_VALUE"""),"epwte")</f>
        <v>epwte</v>
      </c>
      <c r="F772" s="10">
        <f>IFERROR(__xludf.DUMMYFUNCTION("""COMPUTED_VALUE"""),320.0)</f>
        <v>320</v>
      </c>
      <c r="G772" s="10">
        <f>IFERROR(__xludf.DUMMYFUNCTION("""COMPUTED_VALUE"""),5.0)</f>
        <v>5</v>
      </c>
      <c r="H772" s="10">
        <f>IFERROR(__xludf.DUMMYFUNCTION("""COMPUTED_VALUE"""),5.0)</f>
        <v>5</v>
      </c>
      <c r="I772" s="10">
        <f>IFERROR(__xludf.DUMMYFUNCTION("""COMPUTED_VALUE"""),0.0)</f>
        <v>0</v>
      </c>
      <c r="J772" s="10"/>
      <c r="K772" s="10"/>
      <c r="L772" s="10"/>
      <c r="M772" s="10">
        <f>IFERROR(__xludf.DUMMYFUNCTION("""COMPUTED_VALUE"""),7.0)</f>
        <v>7</v>
      </c>
      <c r="N772" s="10"/>
      <c r="O772" s="10"/>
      <c r="P772" s="10"/>
      <c r="Q772" s="10"/>
      <c r="R772" s="10"/>
      <c r="S772" s="10"/>
      <c r="T772" s="10"/>
      <c r="U772" s="18" t="str">
        <f>IFERROR(__xludf.DUMMYFUNCTION("""COMPUTED_VALUE"""),"https://drive.google.com/open?id=1Ur2EEoMU1LZEMfkQmv1Up4RhpheYvWeE")</f>
        <v>https://drive.google.com/open?id=1Ur2EEoMU1LZEMfkQmv1Up4RhpheYvWeE</v>
      </c>
      <c r="V772" s="10" t="str">
        <f>IFERROR(__xludf.DUMMYFUNCTION("""COMPUTED_VALUE"""),"No")</f>
        <v>No</v>
      </c>
      <c r="W772" s="10"/>
      <c r="X772" s="10"/>
      <c r="Y772" s="14" t="str">
        <f>IFERROR(__xludf.DUMMYFUNCTION("""COMPUTED_VALUE"""),"mrizwanrasheed666@gmail.com")</f>
        <v>mrizwanrasheed666@gmail.com</v>
      </c>
      <c r="AA772" s="324"/>
    </row>
    <row r="773" hidden="1">
      <c r="A773" s="9">
        <f>IFERROR(__xludf.DUMMYFUNCTION("""COMPUTED_VALUE"""),45961.256425625004)</f>
        <v>45961.25643</v>
      </c>
      <c r="B773" s="10" t="str">
        <f>IFERROR(__xludf.DUMMYFUNCTION("""COMPUTED_VALUE"""),"M.Rizwan")</f>
        <v>M.Rizwan</v>
      </c>
      <c r="C773" s="10" t="str">
        <f>IFERROR(__xludf.DUMMYFUNCTION("""COMPUTED_VALUE"""),"03084373512")</f>
        <v>03084373512</v>
      </c>
      <c r="D773" s="10" t="str">
        <f>IFERROR(__xludf.DUMMYFUNCTION("""COMPUTED_VALUE"""),"Lari adda shahkot")</f>
        <v>Lari adda shahkot</v>
      </c>
      <c r="E773" s="10" t="str">
        <f>IFERROR(__xludf.DUMMYFUNCTION("""COMPUTED_VALUE"""),"fjupe")</f>
        <v>fjupe</v>
      </c>
      <c r="F773" s="10">
        <f>IFERROR(__xludf.DUMMYFUNCTION("""COMPUTED_VALUE"""),220.0)</f>
        <v>220</v>
      </c>
      <c r="G773" s="10">
        <f>IFERROR(__xludf.DUMMYFUNCTION("""COMPUTED_VALUE"""),4.0)</f>
        <v>4</v>
      </c>
      <c r="H773" s="10">
        <f>IFERROR(__xludf.DUMMYFUNCTION("""COMPUTED_VALUE"""),4.0)</f>
        <v>4</v>
      </c>
      <c r="I773" s="10">
        <f>IFERROR(__xludf.DUMMYFUNCTION("""COMPUTED_VALUE"""),0.0)</f>
        <v>0</v>
      </c>
      <c r="J773" s="10"/>
      <c r="K773" s="10"/>
      <c r="L773" s="10"/>
      <c r="M773" s="10">
        <f>IFERROR(__xludf.DUMMYFUNCTION("""COMPUTED_VALUE"""),5.0)</f>
        <v>5</v>
      </c>
      <c r="N773" s="10"/>
      <c r="O773" s="10"/>
      <c r="P773" s="10"/>
      <c r="Q773" s="10"/>
      <c r="R773" s="10"/>
      <c r="S773" s="10"/>
      <c r="T773" s="10"/>
      <c r="U773" s="18" t="str">
        <f>IFERROR(__xludf.DUMMYFUNCTION("""COMPUTED_VALUE"""),"https://drive.google.com/open?id=16z5OyHIsNWmHF8sCFj9A7P_JQtNQNtw7")</f>
        <v>https://drive.google.com/open?id=16z5OyHIsNWmHF8sCFj9A7P_JQtNQNtw7</v>
      </c>
      <c r="V773" s="10" t="str">
        <f>IFERROR(__xludf.DUMMYFUNCTION("""COMPUTED_VALUE"""),"No")</f>
        <v>No</v>
      </c>
      <c r="W773" s="10"/>
      <c r="X773" s="10"/>
      <c r="Y773" s="14" t="str">
        <f>IFERROR(__xludf.DUMMYFUNCTION("""COMPUTED_VALUE"""),"mrizwanrasheed666@gmail.com")</f>
        <v>mrizwanrasheed666@gmail.com</v>
      </c>
      <c r="AA773" s="324"/>
    </row>
    <row r="774" hidden="1">
      <c r="A774" s="9">
        <f>IFERROR(__xludf.DUMMYFUNCTION("""COMPUTED_VALUE"""),45961.260883738425)</f>
        <v>45961.26088</v>
      </c>
      <c r="B774" s="10" t="str">
        <f>IFERROR(__xludf.DUMMYFUNCTION("""COMPUTED_VALUE"""),"Khurshid Qaiser")</f>
        <v>Khurshid Qaiser</v>
      </c>
      <c r="C774" s="10" t="str">
        <f>IFERROR(__xludf.DUMMYFUNCTION("""COMPUTED_VALUE"""),"03338163551")</f>
        <v>03338163551</v>
      </c>
      <c r="D774" s="10" t="str">
        <f>IFERROR(__xludf.DUMMYFUNCTION("""COMPUTED_VALUE"""),"Markazi Jamia Masjid Rahmania Ali Town Sargodha Road Faisalabad")</f>
        <v>Markazi Jamia Masjid Rahmania Ali Town Sargodha Road Faisalabad</v>
      </c>
      <c r="E774" s="10" t="str">
        <f>IFERROR(__xludf.DUMMYFUNCTION("""COMPUTED_VALUE"""),"rdzla")</f>
        <v>rdzla</v>
      </c>
      <c r="F774" s="10">
        <f>IFERROR(__xludf.DUMMYFUNCTION("""COMPUTED_VALUE"""),317.0)</f>
        <v>317</v>
      </c>
      <c r="G774" s="10">
        <f>IFERROR(__xludf.DUMMYFUNCTION("""COMPUTED_VALUE"""),10.0)</f>
        <v>10</v>
      </c>
      <c r="H774" s="10">
        <f>IFERROR(__xludf.DUMMYFUNCTION("""COMPUTED_VALUE"""),10.0)</f>
        <v>10</v>
      </c>
      <c r="I774" s="10" t="str">
        <f>IFERROR(__xludf.DUMMYFUNCTION("""COMPUTED_VALUE"""),"0( zero)")</f>
        <v>0( zero)</v>
      </c>
      <c r="J774" s="10"/>
      <c r="K774" s="10"/>
      <c r="L774" s="10"/>
      <c r="M774" s="10">
        <f>IFERROR(__xludf.DUMMYFUNCTION("""COMPUTED_VALUE"""),10.0)</f>
        <v>10</v>
      </c>
      <c r="N774" s="10"/>
      <c r="O774" s="10"/>
      <c r="P774" s="10"/>
      <c r="Q774" s="10"/>
      <c r="R774" s="10"/>
      <c r="S774" s="10"/>
      <c r="T774" s="10"/>
      <c r="U774" s="18" t="str">
        <f>IFERROR(__xludf.DUMMYFUNCTION("""COMPUTED_VALUE"""),"https://drive.google.com/open?id=19sEILeTZzb5KijYV8Fhruw8s_1NmD0sg")</f>
        <v>https://drive.google.com/open?id=19sEILeTZzb5KijYV8Fhruw8s_1NmD0sg</v>
      </c>
      <c r="V774" s="10"/>
      <c r="W774" s="10"/>
      <c r="X774" s="10"/>
      <c r="Y774" s="14" t="str">
        <f>IFERROR(__xludf.DUMMYFUNCTION("""COMPUTED_VALUE"""),"khurshidqaiser1@gmail.com")</f>
        <v>khurshidqaiser1@gmail.com</v>
      </c>
      <c r="AA774" s="324"/>
    </row>
    <row r="775" hidden="1">
      <c r="A775" s="9">
        <f>IFERROR(__xludf.DUMMYFUNCTION("""COMPUTED_VALUE"""),45961.262290162034)</f>
        <v>45961.26229</v>
      </c>
      <c r="B775" s="10" t="str">
        <f>IFERROR(__xludf.DUMMYFUNCTION("""COMPUTED_VALUE"""),"Nadeem Mirza ")</f>
        <v>Nadeem Mirza </v>
      </c>
      <c r="C775" s="10" t="str">
        <f>IFERROR(__xludf.DUMMYFUNCTION("""COMPUTED_VALUE"""),"03006623984")</f>
        <v>03006623984</v>
      </c>
      <c r="D775" s="10" t="str">
        <f>IFERROR(__xludf.DUMMYFUNCTION("""COMPUTED_VALUE"""),"Jamia Masjid Jhall khanwana Faisalabad ")</f>
        <v>Jamia Masjid Jhall khanwana Faisalabad </v>
      </c>
      <c r="E775" s="10" t="str">
        <f>IFERROR(__xludf.DUMMYFUNCTION("""COMPUTED_VALUE"""),"DMVYD")</f>
        <v>DMVYD</v>
      </c>
      <c r="F775" s="10">
        <f>IFERROR(__xludf.DUMMYFUNCTION("""COMPUTED_VALUE"""),565.0)</f>
        <v>565</v>
      </c>
      <c r="G775" s="10">
        <f>IFERROR(__xludf.DUMMYFUNCTION("""COMPUTED_VALUE"""),9.0)</f>
        <v>9</v>
      </c>
      <c r="H775" s="10">
        <f>IFERROR(__xludf.DUMMYFUNCTION("""COMPUTED_VALUE"""),9.0)</f>
        <v>9</v>
      </c>
      <c r="I775" s="10">
        <f>IFERROR(__xludf.DUMMYFUNCTION("""COMPUTED_VALUE"""),0.0)</f>
        <v>0</v>
      </c>
      <c r="J775" s="10"/>
      <c r="K775" s="10"/>
      <c r="L775" s="10"/>
      <c r="M775" s="10">
        <f>IFERROR(__xludf.DUMMYFUNCTION("""COMPUTED_VALUE"""),8.0)</f>
        <v>8</v>
      </c>
      <c r="N775" s="10"/>
      <c r="O775" s="10"/>
      <c r="P775" s="10"/>
      <c r="Q775" s="10"/>
      <c r="R775" s="10"/>
      <c r="S775" s="10"/>
      <c r="T775" s="10"/>
      <c r="U775" s="18" t="str">
        <f>IFERROR(__xludf.DUMMYFUNCTION("""COMPUTED_VALUE"""),"https://drive.google.com/open?id=17WfHnkIqZVz6KGA15lJonQ85nscAy2Is")</f>
        <v>https://drive.google.com/open?id=17WfHnkIqZVz6KGA15lJonQ85nscAy2Is</v>
      </c>
      <c r="V775" s="10" t="str">
        <f>IFERROR(__xludf.DUMMYFUNCTION("""COMPUTED_VALUE"""),"Only 10%(60-70) Namazi per present at the time of Urdu Khutba. Remaining  came after Urdu Khutba.")</f>
        <v>Only 10%(60-70) Namazi per present at the time of Urdu Khutba. Remaining  came after Urdu Khutba.</v>
      </c>
      <c r="W775" s="10"/>
      <c r="X775" s="10"/>
      <c r="Y775" s="14" t="str">
        <f>IFERROR(__xludf.DUMMYFUNCTION("""COMPUTED_VALUE"""),"nadeem_mirza73@hotmail.com")</f>
        <v>nadeem_mirza73@hotmail.com</v>
      </c>
      <c r="AA775" s="324"/>
    </row>
    <row r="776" hidden="1">
      <c r="A776" s="9">
        <f>IFERROR(__xludf.DUMMYFUNCTION("""COMPUTED_VALUE"""),45961.265139421295)</f>
        <v>45961.26514</v>
      </c>
      <c r="B776" s="10" t="str">
        <f>IFERROR(__xludf.DUMMYFUNCTION("""COMPUTED_VALUE"""),"Muhammad Naveed ")</f>
        <v>Muhammad Naveed </v>
      </c>
      <c r="C776" s="10">
        <f>IFERROR(__xludf.DUMMYFUNCTION("""COMPUTED_VALUE"""),3.453811243E9)</f>
        <v>3453811243</v>
      </c>
      <c r="D776" s="10" t="str">
        <f>IFERROR(__xludf.DUMMYFUNCTION("""COMPUTED_VALUE"""),"Jamiah masjid Baba rang Ali srkar ")</f>
        <v>Jamiah masjid Baba rang Ali srkar </v>
      </c>
      <c r="E776" s="10" t="str">
        <f>IFERROR(__xludf.DUMMYFUNCTION("""COMPUTED_VALUE"""),"Xjphu ")</f>
        <v>Xjphu </v>
      </c>
      <c r="F776" s="10">
        <f>IFERROR(__xludf.DUMMYFUNCTION("""COMPUTED_VALUE"""),400.0)</f>
        <v>400</v>
      </c>
      <c r="G776" s="10">
        <f>IFERROR(__xludf.DUMMYFUNCTION("""COMPUTED_VALUE"""),8.0)</f>
        <v>8</v>
      </c>
      <c r="H776" s="10">
        <f>IFERROR(__xludf.DUMMYFUNCTION("""COMPUTED_VALUE"""),7.0)</f>
        <v>7</v>
      </c>
      <c r="I776" s="10">
        <f>IFERROR(__xludf.DUMMYFUNCTION("""COMPUTED_VALUE"""),5.0)</f>
        <v>5</v>
      </c>
      <c r="J776" s="10"/>
      <c r="K776" s="10"/>
      <c r="L776" s="10"/>
      <c r="M776" s="10">
        <f>IFERROR(__xludf.DUMMYFUNCTION("""COMPUTED_VALUE"""),8.0)</f>
        <v>8</v>
      </c>
      <c r="N776" s="10"/>
      <c r="O776" s="10"/>
      <c r="P776" s="10"/>
      <c r="Q776" s="10"/>
      <c r="R776" s="10"/>
      <c r="S776" s="10"/>
      <c r="T776" s="10"/>
      <c r="U776" s="18" t="str">
        <f>IFERROR(__xludf.DUMMYFUNCTION("""COMPUTED_VALUE"""),"https://drive.google.com/open?id=1ka8sAa--E7jXaVdQAnSa8i86N4t0ZRT_")</f>
        <v>https://drive.google.com/open?id=1ka8sAa--E7jXaVdQAnSa8i86N4t0ZRT_</v>
      </c>
      <c r="V776" s="10" t="str">
        <f>IFERROR(__xludf.DUMMYFUNCTION("""COMPUTED_VALUE"""),"نہیں ")</f>
        <v>نہیں </v>
      </c>
      <c r="W776" s="10"/>
      <c r="X776" s="10"/>
      <c r="Y776" s="14" t="str">
        <f>IFERROR(__xludf.DUMMYFUNCTION("""COMPUTED_VALUE"""),"mn2486050@gmail.com")</f>
        <v>mn2486050@gmail.com</v>
      </c>
      <c r="AA776" s="324"/>
    </row>
    <row r="777" hidden="1">
      <c r="A777" s="9">
        <f>IFERROR(__xludf.DUMMYFUNCTION("""COMPUTED_VALUE"""),45961.274738622684)</f>
        <v>45961.27474</v>
      </c>
      <c r="B777" s="10" t="str">
        <f>IFERROR(__xludf.DUMMYFUNCTION("""COMPUTED_VALUE"""),"علی شاذل شاہ")</f>
        <v>علی شاذل شاہ</v>
      </c>
      <c r="C777" s="10" t="str">
        <f>IFERROR(__xludf.DUMMYFUNCTION("""COMPUTED_VALUE"""),"03116552040")</f>
        <v>03116552040</v>
      </c>
      <c r="D777" s="10" t="str">
        <f>IFERROR(__xludf.DUMMYFUNCTION("""COMPUTED_VALUE"""),"مرکزی جامع مسجد ایثار القاسمی شہید گڑھ مہاراجہ")</f>
        <v>مرکزی جامع مسجد ایثار القاسمی شہید گڑھ مہاراجہ</v>
      </c>
      <c r="E777" s="10" t="str">
        <f>IFERROR(__xludf.DUMMYFUNCTION("""COMPUTED_VALUE"""),"glpfo")</f>
        <v>glpfo</v>
      </c>
      <c r="F777" s="10">
        <f>IFERROR(__xludf.DUMMYFUNCTION("""COMPUTED_VALUE"""),335.0)</f>
        <v>335</v>
      </c>
      <c r="G777" s="10">
        <f>IFERROR(__xludf.DUMMYFUNCTION("""COMPUTED_VALUE"""),7.0)</f>
        <v>7</v>
      </c>
      <c r="H777" s="10">
        <f>IFERROR(__xludf.DUMMYFUNCTION("""COMPUTED_VALUE"""),7.0)</f>
        <v>7</v>
      </c>
      <c r="I777" s="10">
        <f>IFERROR(__xludf.DUMMYFUNCTION("""COMPUTED_VALUE"""),3.0)</f>
        <v>3</v>
      </c>
      <c r="J777" s="10"/>
      <c r="K777" s="10"/>
      <c r="L777" s="10"/>
      <c r="M777" s="10">
        <f>IFERROR(__xludf.DUMMYFUNCTION("""COMPUTED_VALUE"""),8.0)</f>
        <v>8</v>
      </c>
      <c r="N777" s="10"/>
      <c r="O777" s="10"/>
      <c r="P777" s="10"/>
      <c r="Q777" s="10"/>
      <c r="R777" s="10"/>
      <c r="S777" s="10"/>
      <c r="T777" s="10"/>
      <c r="U777" s="18" t="str">
        <f>IFERROR(__xludf.DUMMYFUNCTION("""COMPUTED_VALUE"""),"https://drive.google.com/open?id=1H6nrH3U1WdomE-qzXlpPtZrS-OgL1u3y")</f>
        <v>https://drive.google.com/open?id=1H6nrH3U1WdomE-qzXlpPtZrS-OgL1u3y</v>
      </c>
      <c r="V777" s="10"/>
      <c r="W777" s="10"/>
      <c r="X777" s="10"/>
      <c r="Y777" s="14" t="str">
        <f>IFERROR(__xludf.DUMMYFUNCTION("""COMPUTED_VALUE"""),"alishazil013@gmail.com")</f>
        <v>alishazil013@gmail.com</v>
      </c>
      <c r="AA777" s="324"/>
    </row>
    <row r="778" hidden="1">
      <c r="A778" s="9">
        <f>IFERROR(__xludf.DUMMYFUNCTION("""COMPUTED_VALUE"""),45961.27722094908)</f>
        <v>45961.27722</v>
      </c>
      <c r="B778" s="10" t="str">
        <f>IFERROR(__xludf.DUMMYFUNCTION("""COMPUTED_VALUE"""),"Hassan tariq")</f>
        <v>Hassan tariq</v>
      </c>
      <c r="C778" s="10" t="str">
        <f>IFERROR(__xludf.DUMMYFUNCTION("""COMPUTED_VALUE"""),"03465742477")</f>
        <v>03465742477</v>
      </c>
      <c r="D778" s="10" t="str">
        <f>IFERROR(__xludf.DUMMYFUNCTION("""COMPUTED_VALUE"""),"Jamia Masjid Madni samnabad Faisalabad")</f>
        <v>Jamia Masjid Madni samnabad Faisalabad</v>
      </c>
      <c r="E778" s="10" t="str">
        <f>IFERROR(__xludf.DUMMYFUNCTION("""COMPUTED_VALUE"""),"rwyui")</f>
        <v>rwyui</v>
      </c>
      <c r="F778" s="10">
        <f>IFERROR(__xludf.DUMMYFUNCTION("""COMPUTED_VALUE"""),500.0)</f>
        <v>500</v>
      </c>
      <c r="G778" s="10">
        <f>IFERROR(__xludf.DUMMYFUNCTION("""COMPUTED_VALUE"""),8.0)</f>
        <v>8</v>
      </c>
      <c r="H778" s="10">
        <f>IFERROR(__xludf.DUMMYFUNCTION("""COMPUTED_VALUE"""),8.0)</f>
        <v>8</v>
      </c>
      <c r="I778" s="10" t="str">
        <f>IFERROR(__xludf.DUMMYFUNCTION("""COMPUTED_VALUE"""),"Nahi ")</f>
        <v>Nahi </v>
      </c>
      <c r="J778" s="10"/>
      <c r="K778" s="10"/>
      <c r="L778" s="10"/>
      <c r="M778" s="10">
        <f>IFERROR(__xludf.DUMMYFUNCTION("""COMPUTED_VALUE"""),10.0)</f>
        <v>10</v>
      </c>
      <c r="N778" s="10"/>
      <c r="O778" s="10"/>
      <c r="P778" s="10"/>
      <c r="Q778" s="10"/>
      <c r="R778" s="10"/>
      <c r="S778" s="10"/>
      <c r="T778" s="10"/>
      <c r="U778" s="18" t="str">
        <f>IFERROR(__xludf.DUMMYFUNCTION("""COMPUTED_VALUE"""),"https://drive.google.com/open?id=1BIferD9J_-kwwXxgtSxmdYvZ8LuGTCUx")</f>
        <v>https://drive.google.com/open?id=1BIferD9J_-kwwXxgtSxmdYvZ8LuGTCUx</v>
      </c>
      <c r="V778" s="10"/>
      <c r="W778" s="10"/>
      <c r="X778" s="10"/>
      <c r="Y778" s="14" t="str">
        <f>IFERROR(__xludf.DUMMYFUNCTION("""COMPUTED_VALUE"""),"hassaantariq477@gmail.com")</f>
        <v>hassaantariq477@gmail.com</v>
      </c>
      <c r="AA778" s="324"/>
    </row>
    <row r="779" hidden="1">
      <c r="A779" s="9">
        <f>IFERROR(__xludf.DUMMYFUNCTION("""COMPUTED_VALUE"""),45961.30043903935)</f>
        <v>45961.30044</v>
      </c>
      <c r="B779" s="10" t="str">
        <f>IFERROR(__xludf.DUMMYFUNCTION("""COMPUTED_VALUE"""),"Ali Ahsan")</f>
        <v>Ali Ahsan</v>
      </c>
      <c r="C779" s="10" t="str">
        <f>IFERROR(__xludf.DUMMYFUNCTION("""COMPUTED_VALUE"""),"03217827078")</f>
        <v>03217827078</v>
      </c>
      <c r="D779" s="10" t="str">
        <f>IFERROR(__xludf.DUMMYFUNCTION("""COMPUTED_VALUE"""),"Jamia Masjid Gole Karyana karkhana bazar Faisalabad ")</f>
        <v>Jamia Masjid Gole Karyana karkhana bazar Faisalabad </v>
      </c>
      <c r="E779" s="10" t="str">
        <f>IFERROR(__xludf.DUMMYFUNCTION("""COMPUTED_VALUE"""),"xlemr")</f>
        <v>xlemr</v>
      </c>
      <c r="F779" s="10">
        <f>IFERROR(__xludf.DUMMYFUNCTION("""COMPUTED_VALUE"""),335.0)</f>
        <v>335</v>
      </c>
      <c r="G779" s="10">
        <f>IFERROR(__xludf.DUMMYFUNCTION("""COMPUTED_VALUE"""),10.0)</f>
        <v>10</v>
      </c>
      <c r="H779" s="10">
        <f>IFERROR(__xludf.DUMMYFUNCTION("""COMPUTED_VALUE"""),9.0)</f>
        <v>9</v>
      </c>
      <c r="I779" s="10" t="str">
        <f>IFERROR(__xludf.DUMMYFUNCTION("""COMPUTED_VALUE"""),"Nothing ")</f>
        <v>Nothing </v>
      </c>
      <c r="J779" s="10"/>
      <c r="K779" s="10"/>
      <c r="L779" s="10"/>
      <c r="M779" s="10">
        <f>IFERROR(__xludf.DUMMYFUNCTION("""COMPUTED_VALUE"""),10.0)</f>
        <v>10</v>
      </c>
      <c r="N779" s="10"/>
      <c r="O779" s="10"/>
      <c r="P779" s="10"/>
      <c r="Q779" s="10"/>
      <c r="R779" s="10"/>
      <c r="S779" s="10"/>
      <c r="T779" s="10"/>
      <c r="U779" s="18" t="str">
        <f>IFERROR(__xludf.DUMMYFUNCTION("""COMPUTED_VALUE"""),"https://drive.google.com/open?id=1mz30i3UYButpdhkHMiC7isO0I_q8cXix")</f>
        <v>https://drive.google.com/open?id=1mz30i3UYButpdhkHMiC7isO0I_q8cXix</v>
      </c>
      <c r="V779" s="10" t="str">
        <f>IFERROR(__xludf.DUMMYFUNCTION("""COMPUTED_VALUE"""),"Nothing ")</f>
        <v>Nothing </v>
      </c>
      <c r="W779" s="10"/>
      <c r="X779" s="10"/>
      <c r="Y779" s="14" t="str">
        <f>IFERROR(__xludf.DUMMYFUNCTION("""COMPUTED_VALUE"""),"inspirepharma440@gmail.com")</f>
        <v>inspirepharma440@gmail.com</v>
      </c>
      <c r="AA779" s="324"/>
    </row>
    <row r="780" hidden="1">
      <c r="A780" s="9">
        <f>IFERROR(__xludf.DUMMYFUNCTION("""COMPUTED_VALUE"""),45961.30667315972)</f>
        <v>45961.30667</v>
      </c>
      <c r="B780" s="10" t="str">
        <f>IFERROR(__xludf.DUMMYFUNCTION("""COMPUTED_VALUE"""),"محمّد اویس ")</f>
        <v>محمّد اویس </v>
      </c>
      <c r="C780" s="10" t="str">
        <f>IFERROR(__xludf.DUMMYFUNCTION("""COMPUTED_VALUE"""),"03007618817")</f>
        <v>03007618817</v>
      </c>
      <c r="D780" s="10" t="str">
        <f>IFERROR(__xludf.DUMMYFUNCTION("""COMPUTED_VALUE"""),"جا میع مسجد گلزار مدینہ غلہ منڈی امین پور بازار فیصل آباد")</f>
        <v>جا میع مسجد گلزار مدینہ غلہ منڈی امین پور بازار فیصل آباد</v>
      </c>
      <c r="E780" s="10" t="str">
        <f>IFERROR(__xludf.DUMMYFUNCTION("""COMPUTED_VALUE"""),"Dkwam")</f>
        <v>Dkwam</v>
      </c>
      <c r="F780" s="10">
        <f>IFERROR(__xludf.DUMMYFUNCTION("""COMPUTED_VALUE"""),255.0)</f>
        <v>255</v>
      </c>
      <c r="G780" s="10">
        <f>IFERROR(__xludf.DUMMYFUNCTION("""COMPUTED_VALUE"""),9.0)</f>
        <v>9</v>
      </c>
      <c r="H780" s="10">
        <f>IFERROR(__xludf.DUMMYFUNCTION("""COMPUTED_VALUE"""),9.0)</f>
        <v>9</v>
      </c>
      <c r="I780" s="10" t="str">
        <f>IFERROR(__xludf.DUMMYFUNCTION("""COMPUTED_VALUE"""),"کوئی نہیں ")</f>
        <v>کوئی نہیں </v>
      </c>
      <c r="J780" s="10"/>
      <c r="K780" s="10"/>
      <c r="L780" s="10"/>
      <c r="M780" s="10">
        <f>IFERROR(__xludf.DUMMYFUNCTION("""COMPUTED_VALUE"""),9.0)</f>
        <v>9</v>
      </c>
      <c r="N780" s="10"/>
      <c r="O780" s="10"/>
      <c r="P780" s="10"/>
      <c r="Q780" s="10"/>
      <c r="R780" s="10"/>
      <c r="S780" s="10"/>
      <c r="T780" s="10"/>
      <c r="U780" s="18" t="str">
        <f>IFERROR(__xludf.DUMMYFUNCTION("""COMPUTED_VALUE"""),"https://drive.google.com/open?id=1C1DgZiEGwT6hUMaJT4M9Eqx7bvN2Wgrk")</f>
        <v>https://drive.google.com/open?id=1C1DgZiEGwT6hUMaJT4M9Eqx7bvN2Wgrk</v>
      </c>
      <c r="V780" s="10" t="str">
        <f>IFERROR(__xludf.DUMMYFUNCTION("""COMPUTED_VALUE"""),"نہیں ")</f>
        <v>نہیں </v>
      </c>
      <c r="W780" s="10"/>
      <c r="X780" s="10"/>
      <c r="Y780" s="14" t="str">
        <f>IFERROR(__xludf.DUMMYFUNCTION("""COMPUTED_VALUE"""),"awaisarfani92@gmail.com")</f>
        <v>awaisarfani92@gmail.com</v>
      </c>
      <c r="AA780" s="324"/>
    </row>
    <row r="781" hidden="1">
      <c r="A781" s="9">
        <f>IFERROR(__xludf.DUMMYFUNCTION("""COMPUTED_VALUE"""),45961.33486097222)</f>
        <v>45961.33486</v>
      </c>
      <c r="B781" s="10" t="str">
        <f>IFERROR(__xludf.DUMMYFUNCTION("""COMPUTED_VALUE"""),"Shwaiz Sheraz ")</f>
        <v>Shwaiz Sheraz </v>
      </c>
      <c r="C781" s="10" t="str">
        <f>IFERROR(__xludf.DUMMYFUNCTION("""COMPUTED_VALUE"""),"03471544349")</f>
        <v>03471544349</v>
      </c>
      <c r="D781" s="10" t="str">
        <f>IFERROR(__xludf.DUMMYFUNCTION("""COMPUTED_VALUE"""),"جامعہ مسجد نور شہید روڈ جھنگ صدر ")</f>
        <v>جامعہ مسجد نور شہید روڈ جھنگ صدر </v>
      </c>
      <c r="E781" s="10" t="str">
        <f>IFERROR(__xludf.DUMMYFUNCTION("""COMPUTED_VALUE"""),"Fpyze ")</f>
        <v>Fpyze </v>
      </c>
      <c r="F781" s="10">
        <f>IFERROR(__xludf.DUMMYFUNCTION("""COMPUTED_VALUE"""),925.0)</f>
        <v>925</v>
      </c>
      <c r="G781" s="10">
        <f>IFERROR(__xludf.DUMMYFUNCTION("""COMPUTED_VALUE"""),9.0)</f>
        <v>9</v>
      </c>
      <c r="H781" s="10">
        <f>IFERROR(__xludf.DUMMYFUNCTION("""COMPUTED_VALUE"""),9.0)</f>
        <v>9</v>
      </c>
      <c r="I781" s="10">
        <f>IFERROR(__xludf.DUMMYFUNCTION("""COMPUTED_VALUE"""),0.0)</f>
        <v>0</v>
      </c>
      <c r="J781" s="10"/>
      <c r="K781" s="10"/>
      <c r="L781" s="10"/>
      <c r="M781" s="10">
        <f>IFERROR(__xludf.DUMMYFUNCTION("""COMPUTED_VALUE"""),8.0)</f>
        <v>8</v>
      </c>
      <c r="N781" s="10"/>
      <c r="O781" s="10"/>
      <c r="P781" s="10"/>
      <c r="Q781" s="10"/>
      <c r="R781" s="10"/>
      <c r="S781" s="10"/>
      <c r="T781" s="10"/>
      <c r="U781" s="18" t="str">
        <f>IFERROR(__xludf.DUMMYFUNCTION("""COMPUTED_VALUE"""),"https://drive.google.com/open?id=19fc1xVtceCCBDylW7Rv3-UmiGsX9T_kH")</f>
        <v>https://drive.google.com/open?id=19fc1xVtceCCBDylW7Rv3-UmiGsX9T_kH</v>
      </c>
      <c r="V781" s="10" t="str">
        <f>IFERROR(__xludf.DUMMYFUNCTION("""COMPUTED_VALUE"""),"No")</f>
        <v>No</v>
      </c>
      <c r="W781" s="10"/>
      <c r="X781" s="10"/>
      <c r="Y781" s="14" t="str">
        <f>IFERROR(__xludf.DUMMYFUNCTION("""COMPUTED_VALUE"""),"shwaiz.sheraz@gmail.com")</f>
        <v>shwaiz.sheraz@gmail.com</v>
      </c>
      <c r="AA781" s="324"/>
    </row>
    <row r="782" hidden="1">
      <c r="A782" s="9">
        <f>IFERROR(__xludf.DUMMYFUNCTION("""COMPUTED_VALUE"""),45961.39764054398)</f>
        <v>45961.39764</v>
      </c>
      <c r="B782" s="10" t="str">
        <f>IFERROR(__xludf.DUMMYFUNCTION("""COMPUTED_VALUE"""),"Sarfraz Ahmad ")</f>
        <v>Sarfraz Ahmad </v>
      </c>
      <c r="C782" s="10" t="str">
        <f>IFERROR(__xludf.DUMMYFUNCTION("""COMPUTED_VALUE"""),"03017698350")</f>
        <v>03017698350</v>
      </c>
      <c r="D782" s="10" t="str">
        <f>IFERROR(__xludf.DUMMYFUNCTION("""COMPUTED_VALUE"""),"Jamia masjid haji Muhammad dean shorkot cuntt")</f>
        <v>Jamia masjid haji Muhammad dean shorkot cuntt</v>
      </c>
      <c r="E782" s="10" t="str">
        <f>IFERROR(__xludf.DUMMYFUNCTION("""COMPUTED_VALUE"""),"Jamia")</f>
        <v>Jamia</v>
      </c>
      <c r="F782" s="10">
        <f>IFERROR(__xludf.DUMMYFUNCTION("""COMPUTED_VALUE"""),200.0)</f>
        <v>200</v>
      </c>
      <c r="G782" s="10">
        <f>IFERROR(__xludf.DUMMYFUNCTION("""COMPUTED_VALUE"""),10.0)</f>
        <v>10</v>
      </c>
      <c r="H782" s="10">
        <f>IFERROR(__xludf.DUMMYFUNCTION("""COMPUTED_VALUE"""),10.0)</f>
        <v>10</v>
      </c>
      <c r="I782" s="10">
        <f>IFERROR(__xludf.DUMMYFUNCTION("""COMPUTED_VALUE"""),0.0)</f>
        <v>0</v>
      </c>
      <c r="J782" s="10"/>
      <c r="K782" s="10"/>
      <c r="L782" s="10"/>
      <c r="M782" s="10">
        <f>IFERROR(__xludf.DUMMYFUNCTION("""COMPUTED_VALUE"""),10.0)</f>
        <v>10</v>
      </c>
      <c r="N782" s="10"/>
      <c r="O782" s="10"/>
      <c r="P782" s="10"/>
      <c r="Q782" s="10"/>
      <c r="R782" s="10"/>
      <c r="S782" s="10"/>
      <c r="T782" s="10"/>
      <c r="U782" s="10"/>
      <c r="V782" s="10" t="str">
        <f>IFERROR(__xludf.DUMMYFUNCTION("""COMPUTED_VALUE"""),"No")</f>
        <v>No</v>
      </c>
      <c r="W782" s="10"/>
      <c r="X782" s="10"/>
      <c r="Y782" s="14" t="str">
        <f>IFERROR(__xludf.DUMMYFUNCTION("""COMPUTED_VALUE"""),"drsarfrazahmed644@gmail.com")</f>
        <v>drsarfrazahmed644@gmail.com</v>
      </c>
      <c r="AA782" s="324"/>
    </row>
    <row r="783" hidden="1">
      <c r="A783" s="9">
        <f>IFERROR(__xludf.DUMMYFUNCTION("""COMPUTED_VALUE"""),45962.2184146875)</f>
        <v>45962.21841</v>
      </c>
      <c r="B783" s="10" t="str">
        <f>IFERROR(__xludf.DUMMYFUNCTION("""COMPUTED_VALUE"""),"Ali Imran")</f>
        <v>Ali Imran</v>
      </c>
      <c r="C783" s="10" t="str">
        <f>IFERROR(__xludf.DUMMYFUNCTION("""COMPUTED_VALUE"""),"03336524177")</f>
        <v>03336524177</v>
      </c>
      <c r="D783" s="10" t="str">
        <f>IFERROR(__xludf.DUMMYFUNCTION("""COMPUTED_VALUE"""),"Jamia Masjid Noor")</f>
        <v>Jamia Masjid Noor</v>
      </c>
      <c r="E783" s="10" t="str">
        <f>IFERROR(__xludf.DUMMYFUNCTION("""COMPUTED_VALUE"""),"tbthq")</f>
        <v>tbthq</v>
      </c>
      <c r="F783" s="10">
        <f>IFERROR(__xludf.DUMMYFUNCTION("""COMPUTED_VALUE"""),268.0)</f>
        <v>268</v>
      </c>
      <c r="G783" s="10">
        <f>IFERROR(__xludf.DUMMYFUNCTION("""COMPUTED_VALUE"""),10.0)</f>
        <v>10</v>
      </c>
      <c r="H783" s="10">
        <f>IFERROR(__xludf.DUMMYFUNCTION("""COMPUTED_VALUE"""),9.0)</f>
        <v>9</v>
      </c>
      <c r="I783" s="10">
        <f>IFERROR(__xludf.DUMMYFUNCTION("""COMPUTED_VALUE"""),0.0)</f>
        <v>0</v>
      </c>
      <c r="J783" s="10"/>
      <c r="K783" s="10"/>
      <c r="L783" s="10"/>
      <c r="M783" s="10">
        <f>IFERROR(__xludf.DUMMYFUNCTION("""COMPUTED_VALUE"""),8.0)</f>
        <v>8</v>
      </c>
      <c r="N783" s="10"/>
      <c r="O783" s="10"/>
      <c r="P783" s="10"/>
      <c r="Q783" s="10"/>
      <c r="R783" s="10"/>
      <c r="S783" s="10"/>
      <c r="T783" s="10"/>
      <c r="U783" s="18" t="str">
        <f>IFERROR(__xludf.DUMMYFUNCTION("""COMPUTED_VALUE"""),"https://drive.google.com/file/d/1idlxTbhVOH2PYsu_Qu6xggdMA9I7HDnl/view?usp=drive_link")</f>
        <v>https://drive.google.com/file/d/1idlxTbhVOH2PYsu_Qu6xggdMA9I7HDnl/view?usp=drive_link</v>
      </c>
      <c r="V783" s="10" t="str">
        <f>IFERROR(__xludf.DUMMYFUNCTION("""COMPUTED_VALUE"""),"Today also server not uploading 13MB recording")</f>
        <v>Today also server not uploading 13MB recording</v>
      </c>
      <c r="W783" s="10"/>
      <c r="X783" s="10"/>
      <c r="Y783" s="14" t="str">
        <f>IFERROR(__xludf.DUMMYFUNCTION("""COMPUTED_VALUE"""),"aliimran609@gmail.com")</f>
        <v>aliimran609@gmail.com</v>
      </c>
      <c r="AA783" s="324"/>
    </row>
    <row r="784" hidden="1">
      <c r="A784" s="9">
        <f>IFERROR(__xludf.DUMMYFUNCTION("""COMPUTED_VALUE"""),45962.22416087963)</f>
        <v>45962.22416</v>
      </c>
      <c r="B784" s="10" t="str">
        <f>IFERROR(__xludf.DUMMYFUNCTION("""COMPUTED_VALUE"""),"Sajjad Ali ")</f>
        <v>Sajjad Ali </v>
      </c>
      <c r="C784" s="10" t="str">
        <f>IFERROR(__xludf.DUMMYFUNCTION("""COMPUTED_VALUE"""),"03707600590")</f>
        <v>03707600590</v>
      </c>
      <c r="D784" s="10" t="str">
        <f>IFERROR(__xludf.DUMMYFUNCTION("""COMPUTED_VALUE"""),"Markzi Rizvi jamia masjid ")</f>
        <v>Markzi Rizvi jamia masjid </v>
      </c>
      <c r="E784" s="10" t="str">
        <f>IFERROR(__xludf.DUMMYFUNCTION("""COMPUTED_VALUE"""),"Vmmfc ")</f>
        <v>Vmmfc </v>
      </c>
      <c r="F784" s="10">
        <f>IFERROR(__xludf.DUMMYFUNCTION("""COMPUTED_VALUE"""),700.0)</f>
        <v>700</v>
      </c>
      <c r="G784" s="10">
        <f>IFERROR(__xludf.DUMMYFUNCTION("""COMPUTED_VALUE"""),9.0)</f>
        <v>9</v>
      </c>
      <c r="H784" s="10">
        <f>IFERROR(__xludf.DUMMYFUNCTION("""COMPUTED_VALUE"""),9.0)</f>
        <v>9</v>
      </c>
      <c r="I784" s="10" t="str">
        <f>IFERROR(__xludf.DUMMYFUNCTION("""COMPUTED_VALUE"""),"No")</f>
        <v>No</v>
      </c>
      <c r="J784" s="10"/>
      <c r="K784" s="10"/>
      <c r="L784" s="10"/>
      <c r="M784" s="10">
        <f>IFERROR(__xludf.DUMMYFUNCTION("""COMPUTED_VALUE"""),9.0)</f>
        <v>9</v>
      </c>
      <c r="N784" s="10"/>
      <c r="O784" s="10"/>
      <c r="P784" s="10"/>
      <c r="Q784" s="10"/>
      <c r="R784" s="10"/>
      <c r="S784" s="10"/>
      <c r="T784" s="10"/>
      <c r="U784" s="18" t="str">
        <f>IFERROR(__xludf.DUMMYFUNCTION("""COMPUTED_VALUE"""),"https://drive.google.com/open?id=1-V_rAs2k2TMpKdc11sJPw78KboDJdJ6O")</f>
        <v>https://drive.google.com/open?id=1-V_rAs2k2TMpKdc11sJPw78KboDJdJ6O</v>
      </c>
      <c r="V784" s="10" t="str">
        <f>IFERROR(__xludf.DUMMYFUNCTION("""COMPUTED_VALUE"""),"No")</f>
        <v>No</v>
      </c>
      <c r="W784" s="10"/>
      <c r="X784" s="10"/>
      <c r="Y784" s="14" t="str">
        <f>IFERROR(__xludf.DUMMYFUNCTION("""COMPUTED_VALUE"""),"sajjad.ali.04242@gmail.com")</f>
        <v>sajjad.ali.04242@gmail.com</v>
      </c>
      <c r="AA784" s="324"/>
    </row>
    <row r="785" hidden="1">
      <c r="A785" s="9">
        <f>IFERROR(__xludf.DUMMYFUNCTION("""COMPUTED_VALUE"""),45962.2323756713)</f>
        <v>45962.23238</v>
      </c>
      <c r="B785" s="10" t="str">
        <f>IFERROR(__xludf.DUMMYFUNCTION("""COMPUTED_VALUE"""),"Ali Imran")</f>
        <v>Ali Imran</v>
      </c>
      <c r="C785" s="10" t="str">
        <f>IFERROR(__xludf.DUMMYFUNCTION("""COMPUTED_VALUE"""),"03336524177")</f>
        <v>03336524177</v>
      </c>
      <c r="D785" s="10" t="str">
        <f>IFERROR(__xludf.DUMMYFUNCTION("""COMPUTED_VALUE"""),"JamiaMasjid Noor Tariq Abad Faisalabad")</f>
        <v>JamiaMasjid Noor Tariq Abad Faisalabad</v>
      </c>
      <c r="E785" s="10" t="str">
        <f>IFERROR(__xludf.DUMMYFUNCTION("""COMPUTED_VALUE"""),"TBTHQ")</f>
        <v>TBTHQ</v>
      </c>
      <c r="F785" s="10">
        <f>IFERROR(__xludf.DUMMYFUNCTION("""COMPUTED_VALUE"""),268.0)</f>
        <v>268</v>
      </c>
      <c r="G785" s="10">
        <f>IFERROR(__xludf.DUMMYFUNCTION("""COMPUTED_VALUE"""),10.0)</f>
        <v>10</v>
      </c>
      <c r="H785" s="10">
        <f>IFERROR(__xludf.DUMMYFUNCTION("""COMPUTED_VALUE"""),9.0)</f>
        <v>9</v>
      </c>
      <c r="I785" s="10">
        <f>IFERROR(__xludf.DUMMYFUNCTION("""COMPUTED_VALUE"""),0.0)</f>
        <v>0</v>
      </c>
      <c r="J785" s="10"/>
      <c r="K785" s="10"/>
      <c r="L785" s="10"/>
      <c r="M785" s="10">
        <f>IFERROR(__xludf.DUMMYFUNCTION("""COMPUTED_VALUE"""),8.0)</f>
        <v>8</v>
      </c>
      <c r="N785" s="10"/>
      <c r="O785" s="10"/>
      <c r="P785" s="10"/>
      <c r="Q785" s="10"/>
      <c r="R785" s="10"/>
      <c r="S785" s="10"/>
      <c r="T785" s="10"/>
      <c r="U785" s="10"/>
      <c r="V785" s="10" t="str">
        <f>IFERROR(__xludf.DUMMYFUNCTION("""COMPUTED_VALUE"""),"Today server still not uploading 13 mb audio file ")</f>
        <v>Today server still not uploading 13 mb audio file </v>
      </c>
      <c r="W785" s="10"/>
      <c r="X785" s="10"/>
      <c r="Y785" s="14" t="str">
        <f>IFERROR(__xludf.DUMMYFUNCTION("""COMPUTED_VALUE"""),"aliimran609@gmail.com")</f>
        <v>aliimran609@gmail.com</v>
      </c>
      <c r="AA785" s="324"/>
    </row>
    <row r="786" hidden="1">
      <c r="A786" s="9">
        <f>IFERROR(__xludf.DUMMYFUNCTION("""COMPUTED_VALUE"""),45962.41459163194)</f>
        <v>45962.41459</v>
      </c>
      <c r="B786" s="10" t="str">
        <f>IFERROR(__xludf.DUMMYFUNCTION("""COMPUTED_VALUE"""),"Shamshair ")</f>
        <v>Shamshair </v>
      </c>
      <c r="C786" s="10" t="str">
        <f>IFERROR(__xludf.DUMMYFUNCTION("""COMPUTED_VALUE"""),"03249486182")</f>
        <v>03249486182</v>
      </c>
      <c r="D786" s="10" t="str">
        <f>IFERROR(__xludf.DUMMYFUNCTION("""COMPUTED_VALUE"""),"Jamia Masjid Mula Abdul Gafurur Multan")</f>
        <v>Jamia Masjid Mula Abdul Gafurur Multan</v>
      </c>
      <c r="E786" s="10" t="str">
        <f>IFERROR(__xludf.DUMMYFUNCTION("""COMPUTED_VALUE"""),"rnksi")</f>
        <v>rnksi</v>
      </c>
      <c r="F786" s="10">
        <f>IFERROR(__xludf.DUMMYFUNCTION("""COMPUTED_VALUE"""),217.0)</f>
        <v>217</v>
      </c>
      <c r="G786" s="10">
        <f>IFERROR(__xludf.DUMMYFUNCTION("""COMPUTED_VALUE"""),9.0)</f>
        <v>9</v>
      </c>
      <c r="H786" s="10">
        <f>IFERROR(__xludf.DUMMYFUNCTION("""COMPUTED_VALUE"""),8.0)</f>
        <v>8</v>
      </c>
      <c r="I786" s="10">
        <f>IFERROR(__xludf.DUMMYFUNCTION("""COMPUTED_VALUE"""),1.0)</f>
        <v>1</v>
      </c>
      <c r="J786" s="10"/>
      <c r="K786" s="10"/>
      <c r="L786" s="10"/>
      <c r="M786" s="10">
        <f>IFERROR(__xludf.DUMMYFUNCTION("""COMPUTED_VALUE"""),8.0)</f>
        <v>8</v>
      </c>
      <c r="N786" s="10"/>
      <c r="O786" s="10"/>
      <c r="P786" s="10"/>
      <c r="Q786" s="10"/>
      <c r="R786" s="10"/>
      <c r="S786" s="10"/>
      <c r="T786" s="10"/>
      <c r="U786" s="18" t="str">
        <f>IFERROR(__xludf.DUMMYFUNCTION("""COMPUTED_VALUE"""),"https://drive.google.com/open?id=1ovrq8DzDN5-WvTdr6hU9WvcbbKDX7AwI")</f>
        <v>https://drive.google.com/open?id=1ovrq8DzDN5-WvTdr6hU9WvcbbKDX7AwI</v>
      </c>
      <c r="V786" s="10"/>
      <c r="W786" s="10"/>
      <c r="X786" s="10"/>
      <c r="Y786" s="14" t="str">
        <f>IFERROR(__xludf.DUMMYFUNCTION("""COMPUTED_VALUE"""),"haris.cerp@gmail.com")</f>
        <v>haris.cerp@gmail.com</v>
      </c>
      <c r="AA786" s="324"/>
    </row>
    <row r="787" hidden="1">
      <c r="A787" s="9">
        <f>IFERROR(__xludf.DUMMYFUNCTION("""COMPUTED_VALUE"""),45965.56702295139)</f>
        <v>45965.56702</v>
      </c>
      <c r="B787" s="10" t="str">
        <f>IFERROR(__xludf.DUMMYFUNCTION("""COMPUTED_VALUE"""),"Shahbaz")</f>
        <v>Shahbaz</v>
      </c>
      <c r="C787" s="10" t="str">
        <f>IFERROR(__xludf.DUMMYFUNCTION("""COMPUTED_VALUE"""),"03121618564")</f>
        <v>03121618564</v>
      </c>
      <c r="D787" s="10" t="str">
        <f>IFERROR(__xludf.DUMMYFUNCTION("""COMPUTED_VALUE"""),"Jamia Masjid Gosha Nasheen Multan")</f>
        <v>Jamia Masjid Gosha Nasheen Multan</v>
      </c>
      <c r="E787" s="10" t="str">
        <f>IFERROR(__xludf.DUMMYFUNCTION("""COMPUTED_VALUE"""),"lhgfs")</f>
        <v>lhgfs</v>
      </c>
      <c r="F787" s="10">
        <f>IFERROR(__xludf.DUMMYFUNCTION("""COMPUTED_VALUE"""),75.0)</f>
        <v>75</v>
      </c>
      <c r="G787" s="10">
        <f>IFERROR(__xludf.DUMMYFUNCTION("""COMPUTED_VALUE"""),9.0)</f>
        <v>9</v>
      </c>
      <c r="H787" s="10">
        <f>IFERROR(__xludf.DUMMYFUNCTION("""COMPUTED_VALUE"""),9.0)</f>
        <v>9</v>
      </c>
      <c r="I787" s="10">
        <f>IFERROR(__xludf.DUMMYFUNCTION("""COMPUTED_VALUE"""),0.0)</f>
        <v>0</v>
      </c>
      <c r="J787" s="10"/>
      <c r="K787" s="10"/>
      <c r="L787" s="10"/>
      <c r="M787" s="10">
        <f>IFERROR(__xludf.DUMMYFUNCTION("""COMPUTED_VALUE"""),9.0)</f>
        <v>9</v>
      </c>
      <c r="N787" s="10"/>
      <c r="O787" s="10"/>
      <c r="P787" s="10"/>
      <c r="Q787" s="10"/>
      <c r="R787" s="10"/>
      <c r="S787" s="10"/>
      <c r="T787" s="10"/>
      <c r="U787" s="18" t="str">
        <f>IFERROR(__xludf.DUMMYFUNCTION("""COMPUTED_VALUE"""),"https://drive.google.com/open?id=1xYexj4GEVEjoBHH2ruexteFQmessDa79")</f>
        <v>https://drive.google.com/open?id=1xYexj4GEVEjoBHH2ruexteFQmessDa79</v>
      </c>
      <c r="V787" s="10"/>
      <c r="W787" s="10"/>
      <c r="X787" s="10"/>
      <c r="Y787" s="14" t="str">
        <f>IFERROR(__xludf.DUMMYFUNCTION("""COMPUTED_VALUE"""),"haris.cerp@gmail.com")</f>
        <v>haris.cerp@gmail.com</v>
      </c>
      <c r="AA787" s="324"/>
    </row>
    <row r="788" hidden="1">
      <c r="A788" s="9">
        <f>IFERROR(__xludf.DUMMYFUNCTION("""COMPUTED_VALUE"""),45965.57543902777)</f>
        <v>45965.57544</v>
      </c>
      <c r="B788" s="10" t="str">
        <f>IFERROR(__xludf.DUMMYFUNCTION("""COMPUTED_VALUE"""),"ALi Asghar Khan Niazi ")</f>
        <v>ALi Asghar Khan Niazi </v>
      </c>
      <c r="C788" s="10" t="str">
        <f>IFERROR(__xludf.DUMMYFUNCTION("""COMPUTED_VALUE"""),"03007600161")</f>
        <v>03007600161</v>
      </c>
      <c r="D788" s="10" t="str">
        <f>IFERROR(__xludf.DUMMYFUNCTION("""COMPUTED_VALUE"""),"Jamia masjid chistiya mk")</f>
        <v>Jamia masjid chistiya mk</v>
      </c>
      <c r="E788" s="10" t="str">
        <f>IFERROR(__xludf.DUMMYFUNCTION("""COMPUTED_VALUE"""),"cegdy")</f>
        <v>cegdy</v>
      </c>
      <c r="F788" s="10">
        <f>IFERROR(__xludf.DUMMYFUNCTION("""COMPUTED_VALUE"""),234.0)</f>
        <v>234</v>
      </c>
      <c r="G788" s="10">
        <f>IFERROR(__xludf.DUMMYFUNCTION("""COMPUTED_VALUE"""),8.0)</f>
        <v>8</v>
      </c>
      <c r="H788" s="10">
        <f>IFERROR(__xludf.DUMMYFUNCTION("""COMPUTED_VALUE"""),7.0)</f>
        <v>7</v>
      </c>
      <c r="I788" s="10">
        <f>IFERROR(__xludf.DUMMYFUNCTION("""COMPUTED_VALUE"""),1.0)</f>
        <v>1</v>
      </c>
      <c r="J788" s="10"/>
      <c r="K788" s="10"/>
      <c r="L788" s="10"/>
      <c r="M788" s="10">
        <f>IFERROR(__xludf.DUMMYFUNCTION("""COMPUTED_VALUE"""),8.0)</f>
        <v>8</v>
      </c>
      <c r="N788" s="10"/>
      <c r="O788" s="10"/>
      <c r="P788" s="10"/>
      <c r="Q788" s="10"/>
      <c r="R788" s="10"/>
      <c r="S788" s="10"/>
      <c r="T788" s="10"/>
      <c r="U788" s="18" t="str">
        <f>IFERROR(__xludf.DUMMYFUNCTION("""COMPUTED_VALUE"""),"https://drive.google.com/file/d/1cDijVK65A_xPZLYUX5hTQlhZIS4t-jWl/view?usp=drive_link")</f>
        <v>https://drive.google.com/file/d/1cDijVK65A_xPZLYUX5hTQlhZIS4t-jWl/view?usp=drive_link</v>
      </c>
      <c r="V788" s="10"/>
      <c r="W788" s="10"/>
      <c r="X788" s="10"/>
      <c r="Y788" s="14" t="str">
        <f>IFERROR(__xludf.DUMMYFUNCTION("""COMPUTED_VALUE"""),"ali.asghar.soc@gmail.com")</f>
        <v>ali.asghar.soc@gmail.com</v>
      </c>
      <c r="AA788" s="324"/>
    </row>
    <row r="789" hidden="1">
      <c r="A789" s="9">
        <f>IFERROR(__xludf.DUMMYFUNCTION("""COMPUTED_VALUE"""),45965.62468601852)</f>
        <v>45965.62469</v>
      </c>
      <c r="B789" s="10" t="str">
        <f>IFERROR(__xludf.DUMMYFUNCTION("""COMPUTED_VALUE"""),"Tariq Mehmoob")</f>
        <v>Tariq Mehmoob</v>
      </c>
      <c r="C789" s="10" t="str">
        <f>IFERROR(__xludf.DUMMYFUNCTION("""COMPUTED_VALUE"""),"03486868206")</f>
        <v>03486868206</v>
      </c>
      <c r="D789" s="10" t="str">
        <f>IFERROR(__xludf.DUMMYFUNCTION("""COMPUTED_VALUE"""),"Jamia Masjid Amenia Ameen Abaad Samanbad Faisalabad")</f>
        <v>Jamia Masjid Amenia Ameen Abaad Samanbad Faisalabad</v>
      </c>
      <c r="E789" s="10" t="str">
        <f>IFERROR(__xludf.DUMMYFUNCTION("""COMPUTED_VALUE"""),"btuip")</f>
        <v>btuip</v>
      </c>
      <c r="F789" s="10">
        <f>IFERROR(__xludf.DUMMYFUNCTION("""COMPUTED_VALUE"""),194.0)</f>
        <v>194</v>
      </c>
      <c r="G789" s="10">
        <f>IFERROR(__xludf.DUMMYFUNCTION("""COMPUTED_VALUE"""),9.0)</f>
        <v>9</v>
      </c>
      <c r="H789" s="10">
        <f>IFERROR(__xludf.DUMMYFUNCTION("""COMPUTED_VALUE"""),8.0)</f>
        <v>8</v>
      </c>
      <c r="I789" s="10">
        <f>IFERROR(__xludf.DUMMYFUNCTION("""COMPUTED_VALUE"""),1.0)</f>
        <v>1</v>
      </c>
      <c r="J789" s="10"/>
      <c r="K789" s="10"/>
      <c r="L789" s="10"/>
      <c r="M789" s="10">
        <f>IFERROR(__xludf.DUMMYFUNCTION("""COMPUTED_VALUE"""),9.0)</f>
        <v>9</v>
      </c>
      <c r="N789" s="10"/>
      <c r="O789" s="10"/>
      <c r="P789" s="10"/>
      <c r="Q789" s="10"/>
      <c r="R789" s="10"/>
      <c r="S789" s="10"/>
      <c r="T789" s="10"/>
      <c r="U789" s="18" t="str">
        <f>IFERROR(__xludf.DUMMYFUNCTION("""COMPUTED_VALUE"""),"https://drive.google.com/file/d/1-npo6AAiYQznTuaih-louUamKkLsTsAt/view?usp=sharing")</f>
        <v>https://drive.google.com/file/d/1-npo6AAiYQznTuaih-louUamKkLsTsAt/view?usp=sharing</v>
      </c>
      <c r="V789" s="10"/>
      <c r="W789" s="10"/>
      <c r="X789" s="10"/>
      <c r="Y789" s="14" t="str">
        <f>IFERROR(__xludf.DUMMYFUNCTION("""COMPUTED_VALUE"""),"haris.cerp@gmail.com")</f>
        <v>haris.cerp@gmail.com</v>
      </c>
      <c r="AA789" s="324"/>
    </row>
    <row r="790" hidden="1">
      <c r="A790" s="9">
        <f>IFERROR(__xludf.DUMMYFUNCTION("""COMPUTED_VALUE"""),45968.17845922454)</f>
        <v>45968.17846</v>
      </c>
      <c r="B790" s="10" t="str">
        <f>IFERROR(__xludf.DUMMYFUNCTION("""COMPUTED_VALUE"""),"Altaf Hussain ")</f>
        <v>Altaf Hussain </v>
      </c>
      <c r="C790" s="10" t="str">
        <f>IFERROR(__xludf.DUMMYFUNCTION("""COMPUTED_VALUE"""),"03453933260")</f>
        <v>03453933260</v>
      </c>
      <c r="D790" s="10" t="str">
        <f>IFERROR(__xludf.DUMMYFUNCTION("""COMPUTED_VALUE"""),"Jamia masjid talimul Quran ")</f>
        <v>Jamia masjid talimul Quran </v>
      </c>
      <c r="E790" s="10" t="str">
        <f>IFERROR(__xludf.DUMMYFUNCTION("""COMPUTED_VALUE"""),"Yxvut")</f>
        <v>Yxvut</v>
      </c>
      <c r="F790" s="10">
        <f>IFERROR(__xludf.DUMMYFUNCTION("""COMPUTED_VALUE"""),210.0)</f>
        <v>210</v>
      </c>
      <c r="G790" s="10">
        <f>IFERROR(__xludf.DUMMYFUNCTION("""COMPUTED_VALUE"""),10.0)</f>
        <v>10</v>
      </c>
      <c r="H790" s="10">
        <f>IFERROR(__xludf.DUMMYFUNCTION("""COMPUTED_VALUE"""),7.0)</f>
        <v>7</v>
      </c>
      <c r="I790" s="10" t="str">
        <f>IFERROR(__xludf.DUMMYFUNCTION("""COMPUTED_VALUE"""),"Nil")</f>
        <v>Nil</v>
      </c>
      <c r="J790" s="10"/>
      <c r="K790" s="10"/>
      <c r="L790" s="10"/>
      <c r="M790" s="10">
        <f>IFERROR(__xludf.DUMMYFUNCTION("""COMPUTED_VALUE"""),10.0)</f>
        <v>10</v>
      </c>
      <c r="N790" s="10"/>
      <c r="O790" s="10"/>
      <c r="P790" s="10"/>
      <c r="Q790" s="10"/>
      <c r="R790" s="10"/>
      <c r="S790" s="10"/>
      <c r="T790" s="10"/>
      <c r="U790" s="18" t="str">
        <f>IFERROR(__xludf.DUMMYFUNCTION("""COMPUTED_VALUE"""),"https://drive.google.com/open?id=1HI19nLKFTjsLFKX9pRLS2HeyNqCiKZW2")</f>
        <v>https://drive.google.com/open?id=1HI19nLKFTjsLFKX9pRLS2HeyNqCiKZW2</v>
      </c>
      <c r="V790" s="10"/>
      <c r="W790" s="10"/>
      <c r="X790" s="10"/>
      <c r="Y790" s="14" t="str">
        <f>IFERROR(__xludf.DUMMYFUNCTION("""COMPUTED_VALUE"""),"altafhussainchannar260@gmail.com")</f>
        <v>altafhussainchannar260@gmail.com</v>
      </c>
      <c r="AA790" s="324"/>
    </row>
    <row r="791" hidden="1">
      <c r="A791" s="9">
        <f>IFERROR(__xludf.DUMMYFUNCTION("""COMPUTED_VALUE"""),45968.190559097224)</f>
        <v>45968.19056</v>
      </c>
      <c r="B791" s="10" t="str">
        <f>IFERROR(__xludf.DUMMYFUNCTION("""COMPUTED_VALUE"""),"Shahid Fareed Anwar ")</f>
        <v>Shahid Fareed Anwar </v>
      </c>
      <c r="C791" s="10" t="str">
        <f>IFERROR(__xludf.DUMMYFUNCTION("""COMPUTED_VALUE"""),"03054323435")</f>
        <v>03054323435</v>
      </c>
      <c r="D791" s="10" t="str">
        <f>IFERROR(__xludf.DUMMYFUNCTION("""COMPUTED_VALUE"""),"Jamea Masjid Eid Ghah Modal town B faisalabad ")</f>
        <v>Jamea Masjid Eid Ghah Modal town B faisalabad </v>
      </c>
      <c r="E791" s="10" t="str">
        <f>IFERROR(__xludf.DUMMYFUNCTION("""COMPUTED_VALUE"""),"vldwg")</f>
        <v>vldwg</v>
      </c>
      <c r="F791" s="10">
        <f>IFERROR(__xludf.DUMMYFUNCTION("""COMPUTED_VALUE"""),300.0)</f>
        <v>300</v>
      </c>
      <c r="G791" s="10">
        <f>IFERROR(__xludf.DUMMYFUNCTION("""COMPUTED_VALUE"""),7.0)</f>
        <v>7</v>
      </c>
      <c r="H791" s="10">
        <f>IFERROR(__xludf.DUMMYFUNCTION("""COMPUTED_VALUE"""),8.0)</f>
        <v>8</v>
      </c>
      <c r="I791" s="10" t="str">
        <f>IFERROR(__xludf.DUMMYFUNCTION("""COMPUTED_VALUE"""),"No Trash heaps ")</f>
        <v>No Trash heaps </v>
      </c>
      <c r="J791" s="10"/>
      <c r="K791" s="10"/>
      <c r="L791" s="10"/>
      <c r="M791" s="10">
        <f>IFERROR(__xludf.DUMMYFUNCTION("""COMPUTED_VALUE"""),10.0)</f>
        <v>10</v>
      </c>
      <c r="N791" s="10"/>
      <c r="O791" s="10"/>
      <c r="P791" s="10"/>
      <c r="Q791" s="10"/>
      <c r="R791" s="10"/>
      <c r="S791" s="10"/>
      <c r="T791" s="10"/>
      <c r="U791" s="18" t="str">
        <f>IFERROR(__xludf.DUMMYFUNCTION("""COMPUTED_VALUE"""),"https://drive.google.com/open?id=1RKXL1YcRjGzTD2UEpq0lysV3F59RVsrP")</f>
        <v>https://drive.google.com/open?id=1RKXL1YcRjGzTD2UEpq0lysV3F59RVsrP</v>
      </c>
      <c r="V791" s="10" t="str">
        <f>IFERROR(__xludf.DUMMYFUNCTION("""COMPUTED_VALUE"""),"Picture ki ijazat nai thi")</f>
        <v>Picture ki ijazat nai thi</v>
      </c>
      <c r="W791" s="10"/>
      <c r="X791" s="10"/>
      <c r="Y791" s="14" t="str">
        <f>IFERROR(__xludf.DUMMYFUNCTION("""COMPUTED_VALUE"""),"shahidfareed622@gmail.com")</f>
        <v>shahidfareed622@gmail.com</v>
      </c>
      <c r="AA791" s="324"/>
    </row>
    <row r="792" hidden="1">
      <c r="A792" s="9">
        <f>IFERROR(__xludf.DUMMYFUNCTION("""COMPUTED_VALUE"""),45968.19930420139)</f>
        <v>45968.1993</v>
      </c>
      <c r="B792" s="10" t="str">
        <f>IFERROR(__xludf.DUMMYFUNCTION("""COMPUTED_VALUE"""),"Khurshid Qaiser")</f>
        <v>Khurshid Qaiser</v>
      </c>
      <c r="C792" s="10" t="str">
        <f>IFERROR(__xludf.DUMMYFUNCTION("""COMPUTED_VALUE"""),"03338163551")</f>
        <v>03338163551</v>
      </c>
      <c r="D792" s="10" t="str">
        <f>IFERROR(__xludf.DUMMYFUNCTION("""COMPUTED_VALUE"""),"Markazi Jamia  Masjid Rahmania Ali Town Sargodha Road  Faisalabad")</f>
        <v>Markazi Jamia  Masjid Rahmania Ali Town Sargodha Road  Faisalabad</v>
      </c>
      <c r="E792" s="10" t="str">
        <f>IFERROR(__xludf.DUMMYFUNCTION("""COMPUTED_VALUE"""),"rdzla")</f>
        <v>rdzla</v>
      </c>
      <c r="F792" s="10">
        <f>IFERROR(__xludf.DUMMYFUNCTION("""COMPUTED_VALUE"""),311.0)</f>
        <v>311</v>
      </c>
      <c r="G792" s="10">
        <f>IFERROR(__xludf.DUMMYFUNCTION("""COMPUTED_VALUE"""),10.0)</f>
        <v>10</v>
      </c>
      <c r="H792" s="10">
        <f>IFERROR(__xludf.DUMMYFUNCTION("""COMPUTED_VALUE"""),10.0)</f>
        <v>10</v>
      </c>
      <c r="I792" s="10" t="str">
        <f>IFERROR(__xludf.DUMMYFUNCTION("""COMPUTED_VALUE"""),"0( zero)")</f>
        <v>0( zero)</v>
      </c>
      <c r="J792" s="10"/>
      <c r="K792" s="10"/>
      <c r="L792" s="10"/>
      <c r="M792" s="10">
        <f>IFERROR(__xludf.DUMMYFUNCTION("""COMPUTED_VALUE"""),10.0)</f>
        <v>10</v>
      </c>
      <c r="N792" s="10"/>
      <c r="O792" s="10"/>
      <c r="P792" s="10"/>
      <c r="Q792" s="10"/>
      <c r="R792" s="10"/>
      <c r="S792" s="10"/>
      <c r="T792" s="10"/>
      <c r="U792" s="18" t="str">
        <f>IFERROR(__xludf.DUMMYFUNCTION("""COMPUTED_VALUE"""),"https://drive.google.com/open?id=1mhYcDWYube3Yrme-9KL9wq1gH0aYckey")</f>
        <v>https://drive.google.com/open?id=1mhYcDWYube3Yrme-9KL9wq1gH0aYckey</v>
      </c>
      <c r="V792" s="10"/>
      <c r="W792" s="10"/>
      <c r="X792" s="10"/>
      <c r="Y792" s="14" t="str">
        <f>IFERROR(__xludf.DUMMYFUNCTION("""COMPUTED_VALUE"""),"khurshidqaiser1@gmail.con")</f>
        <v>khurshidqaiser1@gmail.con</v>
      </c>
      <c r="AA792" s="324"/>
    </row>
    <row r="793" hidden="1">
      <c r="A793" s="9">
        <f>IFERROR(__xludf.DUMMYFUNCTION("""COMPUTED_VALUE"""),45968.20408946759)</f>
        <v>45968.20409</v>
      </c>
      <c r="B793" s="10" t="str">
        <f>IFERROR(__xludf.DUMMYFUNCTION("""COMPUTED_VALUE"""),"Ali Imran")</f>
        <v>Ali Imran</v>
      </c>
      <c r="C793" s="10" t="str">
        <f>IFERROR(__xludf.DUMMYFUNCTION("""COMPUTED_VALUE"""),"03336524177")</f>
        <v>03336524177</v>
      </c>
      <c r="D793" s="10" t="str">
        <f>IFERROR(__xludf.DUMMYFUNCTION("""COMPUTED_VALUE"""),"JAmia Masjid Noor Tarq Abad faisalabad")</f>
        <v>JAmia Masjid Noor Tarq Abad faisalabad</v>
      </c>
      <c r="E793" s="10" t="str">
        <f>IFERROR(__xludf.DUMMYFUNCTION("""COMPUTED_VALUE"""),"TBTHQ")</f>
        <v>TBTHQ</v>
      </c>
      <c r="F793" s="10">
        <f>IFERROR(__xludf.DUMMYFUNCTION("""COMPUTED_VALUE"""),251.0)</f>
        <v>251</v>
      </c>
      <c r="G793" s="10">
        <f>IFERROR(__xludf.DUMMYFUNCTION("""COMPUTED_VALUE"""),10.0)</f>
        <v>10</v>
      </c>
      <c r="H793" s="10">
        <f>IFERROR(__xludf.DUMMYFUNCTION("""COMPUTED_VALUE"""),9.0)</f>
        <v>9</v>
      </c>
      <c r="I793" s="10">
        <f>IFERROR(__xludf.DUMMYFUNCTION("""COMPUTED_VALUE"""),0.0)</f>
        <v>0</v>
      </c>
      <c r="J793" s="10"/>
      <c r="K793" s="10"/>
      <c r="L793" s="10"/>
      <c r="M793" s="10">
        <f>IFERROR(__xludf.DUMMYFUNCTION("""COMPUTED_VALUE"""),10.0)</f>
        <v>10</v>
      </c>
      <c r="N793" s="10"/>
      <c r="O793" s="10"/>
      <c r="P793" s="10"/>
      <c r="Q793" s="10"/>
      <c r="R793" s="10"/>
      <c r="S793" s="10"/>
      <c r="T793" s="10"/>
      <c r="U793" s="18" t="str">
        <f>IFERROR(__xludf.DUMMYFUNCTION("""COMPUTED_VALUE"""),"https://drive.google.com/open?id=1oFx0B6TjxpD-B3_M2PDrbt6lTt6myRrB")</f>
        <v>https://drive.google.com/open?id=1oFx0B6TjxpD-B3_M2PDrbt6lTt6myRrB</v>
      </c>
      <c r="V793" s="10" t="str">
        <f>IFERROR(__xludf.DUMMYFUNCTION("""COMPUTED_VALUE"""),"No")</f>
        <v>No</v>
      </c>
      <c r="W793" s="10"/>
      <c r="X793" s="10"/>
      <c r="Y793" s="14" t="str">
        <f>IFERROR(__xludf.DUMMYFUNCTION("""COMPUTED_VALUE"""),"aliimran609@gmail.com")</f>
        <v>aliimran609@gmail.com</v>
      </c>
      <c r="AA793" s="324"/>
    </row>
    <row r="794" hidden="1">
      <c r="A794" s="9">
        <f>IFERROR(__xludf.DUMMYFUNCTION("""COMPUTED_VALUE"""),45968.23159717592)</f>
        <v>45968.2316</v>
      </c>
      <c r="B794" s="10" t="str">
        <f>IFERROR(__xludf.DUMMYFUNCTION("""COMPUTED_VALUE"""),"Hassan Tariq ")</f>
        <v>Hassan Tariq </v>
      </c>
      <c r="C794" s="10" t="str">
        <f>IFERROR(__xludf.DUMMYFUNCTION("""COMPUTED_VALUE"""),"03465742477")</f>
        <v>03465742477</v>
      </c>
      <c r="D794" s="10" t="str">
        <f>IFERROR(__xludf.DUMMYFUNCTION("""COMPUTED_VALUE"""),"Jamia Masjid Madni samnabad Faisalabad ")</f>
        <v>Jamia Masjid Madni samnabad Faisalabad </v>
      </c>
      <c r="E794" s="10" t="str">
        <f>IFERROR(__xludf.DUMMYFUNCTION("""COMPUTED_VALUE"""),"rwyui")</f>
        <v>rwyui</v>
      </c>
      <c r="F794" s="10">
        <f>IFERROR(__xludf.DUMMYFUNCTION("""COMPUTED_VALUE"""),500.0)</f>
        <v>500</v>
      </c>
      <c r="G794" s="10">
        <f>IFERROR(__xludf.DUMMYFUNCTION("""COMPUTED_VALUE"""),4.0)</f>
        <v>4</v>
      </c>
      <c r="H794" s="10">
        <f>IFERROR(__xludf.DUMMYFUNCTION("""COMPUTED_VALUE"""),5.0)</f>
        <v>5</v>
      </c>
      <c r="I794" s="10">
        <f>IFERROR(__xludf.DUMMYFUNCTION("""COMPUTED_VALUE"""),6.0)</f>
        <v>6</v>
      </c>
      <c r="J794" s="10"/>
      <c r="K794" s="10"/>
      <c r="L794" s="10"/>
      <c r="M794" s="10">
        <f>IFERROR(__xludf.DUMMYFUNCTION("""COMPUTED_VALUE"""),5.0)</f>
        <v>5</v>
      </c>
      <c r="N794" s="10"/>
      <c r="O794" s="10"/>
      <c r="P794" s="10"/>
      <c r="Q794" s="10"/>
      <c r="R794" s="10"/>
      <c r="S794" s="10"/>
      <c r="T794" s="10"/>
      <c r="U794" s="18" t="str">
        <f>IFERROR(__xludf.DUMMYFUNCTION("""COMPUTED_VALUE"""),"https://drive.google.com/open?id=1x_EafIOmz5Osb1q61F2i-oRPLnqhfIrF")</f>
        <v>https://drive.google.com/open?id=1x_EafIOmz5Osb1q61F2i-oRPLnqhfIrF</v>
      </c>
      <c r="V794" s="10"/>
      <c r="W794" s="10"/>
      <c r="X794" s="10"/>
      <c r="Y794" s="14" t="str">
        <f>IFERROR(__xludf.DUMMYFUNCTION("""COMPUTED_VALUE"""),"hassaantariq477@gmail.com")</f>
        <v>hassaantariq477@gmail.com</v>
      </c>
      <c r="AA794" s="324"/>
    </row>
    <row r="795" hidden="1">
      <c r="A795" s="9">
        <f>IFERROR(__xludf.DUMMYFUNCTION("""COMPUTED_VALUE"""),45968.23731439815)</f>
        <v>45968.23731</v>
      </c>
      <c r="B795" s="10" t="str">
        <f>IFERROR(__xludf.DUMMYFUNCTION("""COMPUTED_VALUE"""),"Nadeem Mirza ")</f>
        <v>Nadeem Mirza </v>
      </c>
      <c r="C795" s="10" t="str">
        <f>IFERROR(__xludf.DUMMYFUNCTION("""COMPUTED_VALUE"""),"03006623984")</f>
        <v>03006623984</v>
      </c>
      <c r="D795" s="10" t="str">
        <f>IFERROR(__xludf.DUMMYFUNCTION("""COMPUTED_VALUE"""),"Jamia Masjid Darbar Noor Shah Wali Faisalabad ")</f>
        <v>Jamia Masjid Darbar Noor Shah Wali Faisalabad </v>
      </c>
      <c r="E795" s="10" t="str">
        <f>IFERROR(__xludf.DUMMYFUNCTION("""COMPUTED_VALUE"""),"KYZWA ")</f>
        <v>KYZWA </v>
      </c>
      <c r="F795" s="10">
        <f>IFERROR(__xludf.DUMMYFUNCTION("""COMPUTED_VALUE"""),372.0)</f>
        <v>372</v>
      </c>
      <c r="G795" s="10">
        <f>IFERROR(__xludf.DUMMYFUNCTION("""COMPUTED_VALUE"""),9.0)</f>
        <v>9</v>
      </c>
      <c r="H795" s="10">
        <f>IFERROR(__xludf.DUMMYFUNCTION("""COMPUTED_VALUE"""),9.0)</f>
        <v>9</v>
      </c>
      <c r="I795" s="10">
        <f>IFERROR(__xludf.DUMMYFUNCTION("""COMPUTED_VALUE"""),0.0)</f>
        <v>0</v>
      </c>
      <c r="J795" s="10"/>
      <c r="K795" s="10"/>
      <c r="L795" s="10"/>
      <c r="M795" s="10">
        <f>IFERROR(__xludf.DUMMYFUNCTION("""COMPUTED_VALUE"""),8.0)</f>
        <v>8</v>
      </c>
      <c r="N795" s="10"/>
      <c r="O795" s="10"/>
      <c r="P795" s="10"/>
      <c r="Q795" s="10"/>
      <c r="R795" s="10"/>
      <c r="S795" s="10"/>
      <c r="T795" s="10"/>
      <c r="U795" s="18" t="str">
        <f>IFERROR(__xludf.DUMMYFUNCTION("""COMPUTED_VALUE"""),"https://drive.google.com/open?id=1yr05UGe8hraU4Y6y2F4ReMgmL6veXGJ8")</f>
        <v>https://drive.google.com/open?id=1yr05UGe8hraU4Y6y2F4ReMgmL6veXGJ8</v>
      </c>
      <c r="V795" s="10"/>
      <c r="W795" s="10"/>
      <c r="X795" s="10"/>
      <c r="Y795" s="14" t="str">
        <f>IFERROR(__xludf.DUMMYFUNCTION("""COMPUTED_VALUE"""),"nadeem_mirza73@hotmail.com")</f>
        <v>nadeem_mirza73@hotmail.com</v>
      </c>
      <c r="AA795" s="324"/>
    </row>
    <row r="796" hidden="1">
      <c r="A796" s="9">
        <f>IFERROR(__xludf.DUMMYFUNCTION("""COMPUTED_VALUE"""),45968.26018777778)</f>
        <v>45968.26019</v>
      </c>
      <c r="B796" s="10" t="str">
        <f>IFERROR(__xludf.DUMMYFUNCTION("""COMPUTED_VALUE"""),"Muhammad Awais")</f>
        <v>Muhammad Awais</v>
      </c>
      <c r="C796" s="10" t="str">
        <f>IFERROR(__xludf.DUMMYFUNCTION("""COMPUTED_VALUE"""),"03007618817")</f>
        <v>03007618817</v>
      </c>
      <c r="D796" s="10" t="str">
        <f>IFERROR(__xludf.DUMMYFUNCTION("""COMPUTED_VALUE"""),"جامعہ مسجد گلزار مدینہ غالہ منڈی امین پور بازار")</f>
        <v>جامعہ مسجد گلزار مدینہ غالہ منڈی امین پور بازار</v>
      </c>
      <c r="E796" s="10" t="str">
        <f>IFERROR(__xludf.DUMMYFUNCTION("""COMPUTED_VALUE"""),"Dkwam")</f>
        <v>Dkwam</v>
      </c>
      <c r="F796" s="10">
        <f>IFERROR(__xludf.DUMMYFUNCTION("""COMPUTED_VALUE"""),278.0)</f>
        <v>278</v>
      </c>
      <c r="G796" s="10">
        <f>IFERROR(__xludf.DUMMYFUNCTION("""COMPUTED_VALUE"""),9.0)</f>
        <v>9</v>
      </c>
      <c r="H796" s="10">
        <f>IFERROR(__xludf.DUMMYFUNCTION("""COMPUTED_VALUE"""),9.0)</f>
        <v>9</v>
      </c>
      <c r="I796" s="10" t="str">
        <f>IFERROR(__xludf.DUMMYFUNCTION("""COMPUTED_VALUE"""),"کوئی نہیں ")</f>
        <v>کوئی نہیں </v>
      </c>
      <c r="J796" s="10"/>
      <c r="K796" s="10"/>
      <c r="L796" s="10"/>
      <c r="M796" s="10">
        <f>IFERROR(__xludf.DUMMYFUNCTION("""COMPUTED_VALUE"""),9.0)</f>
        <v>9</v>
      </c>
      <c r="N796" s="10"/>
      <c r="O796" s="10"/>
      <c r="P796" s="10"/>
      <c r="Q796" s="10"/>
      <c r="R796" s="10"/>
      <c r="S796" s="10"/>
      <c r="T796" s="10"/>
      <c r="U796" s="18" t="str">
        <f>IFERROR(__xludf.DUMMYFUNCTION("""COMPUTED_VALUE"""),"https://drive.google.com/open?id=1HVneWpebzcpx-hkem7Cm6BUqxPH3WX2g")</f>
        <v>https://drive.google.com/open?id=1HVneWpebzcpx-hkem7Cm6BUqxPH3WX2g</v>
      </c>
      <c r="V796" s="10" t="str">
        <f>IFERROR(__xludf.DUMMYFUNCTION("""COMPUTED_VALUE"""),"کوئی نہیں ")</f>
        <v>کوئی نہیں </v>
      </c>
      <c r="W796" s="10"/>
      <c r="X796" s="10"/>
      <c r="Y796" s="14" t="str">
        <f>IFERROR(__xludf.DUMMYFUNCTION("""COMPUTED_VALUE"""),"awaisarfani92@gmail.com")</f>
        <v>awaisarfani92@gmail.com</v>
      </c>
      <c r="AA796" s="324"/>
    </row>
    <row r="797" hidden="1">
      <c r="A797" s="9">
        <f>IFERROR(__xludf.DUMMYFUNCTION("""COMPUTED_VALUE"""),45968.27086837963)</f>
        <v>45968.27087</v>
      </c>
      <c r="B797" s="10" t="str">
        <f>IFERROR(__xludf.DUMMYFUNCTION("""COMPUTED_VALUE"""),"Ali shazil")</f>
        <v>Ali shazil</v>
      </c>
      <c r="C797" s="10" t="str">
        <f>IFERROR(__xludf.DUMMYFUNCTION("""COMPUTED_VALUE"""),"03116552040")</f>
        <v>03116552040</v>
      </c>
      <c r="D797" s="10" t="str">
        <f>IFERROR(__xludf.DUMMYFUNCTION("""COMPUTED_VALUE"""),"جامع مسجد دربار شاہ صادق نہنگ شورکوٹ")</f>
        <v>جامع مسجد دربار شاہ صادق نہنگ شورکوٹ</v>
      </c>
      <c r="E797" s="10" t="str">
        <f>IFERROR(__xludf.DUMMYFUNCTION("""COMPUTED_VALUE"""),"vigse")</f>
        <v>vigse</v>
      </c>
      <c r="F797" s="10">
        <f>IFERROR(__xludf.DUMMYFUNCTION("""COMPUTED_VALUE"""),380.0)</f>
        <v>380</v>
      </c>
      <c r="G797" s="10">
        <f>IFERROR(__xludf.DUMMYFUNCTION("""COMPUTED_VALUE"""),4.0)</f>
        <v>4</v>
      </c>
      <c r="H797" s="10">
        <f>IFERROR(__xludf.DUMMYFUNCTION("""COMPUTED_VALUE"""),3.0)</f>
        <v>3</v>
      </c>
      <c r="I797" s="10">
        <f>IFERROR(__xludf.DUMMYFUNCTION("""COMPUTED_VALUE"""),10.0)</f>
        <v>10</v>
      </c>
      <c r="J797" s="10"/>
      <c r="K797" s="10"/>
      <c r="L797" s="10"/>
      <c r="M797" s="10">
        <f>IFERROR(__xludf.DUMMYFUNCTION("""COMPUTED_VALUE"""),5.0)</f>
        <v>5</v>
      </c>
      <c r="N797" s="10"/>
      <c r="O797" s="10"/>
      <c r="P797" s="10"/>
      <c r="Q797" s="10"/>
      <c r="R797" s="10"/>
      <c r="S797" s="10"/>
      <c r="T797" s="10"/>
      <c r="U797" s="18" t="str">
        <f>IFERROR(__xludf.DUMMYFUNCTION("""COMPUTED_VALUE"""),"https://drive.google.com/open?id=1NB3X5eb9_yLJcjOT3f3c8lH9MgtwXuhm")</f>
        <v>https://drive.google.com/open?id=1NB3X5eb9_yLJcjOT3f3c8lH9MgtwXuhm</v>
      </c>
      <c r="V797" s="10"/>
      <c r="W797" s="10"/>
      <c r="X797" s="10"/>
      <c r="Y797" s="14" t="str">
        <f>IFERROR(__xludf.DUMMYFUNCTION("""COMPUTED_VALUE"""),"alishazil013@gmail.com")</f>
        <v>alishazil013@gmail.com</v>
      </c>
      <c r="AA797" s="324"/>
    </row>
    <row r="798" hidden="1">
      <c r="A798" s="9">
        <f>IFERROR(__xludf.DUMMYFUNCTION("""COMPUTED_VALUE"""),45968.288007407406)</f>
        <v>45968.28801</v>
      </c>
      <c r="B798" s="10" t="str">
        <f>IFERROR(__xludf.DUMMYFUNCTION("""COMPUTED_VALUE"""),"Zain Sajjad ")</f>
        <v>Zain Sajjad </v>
      </c>
      <c r="C798" s="10" t="str">
        <f>IFERROR(__xludf.DUMMYFUNCTION("""COMPUTED_VALUE"""),"03044801331")</f>
        <v>03044801331</v>
      </c>
      <c r="D798" s="10" t="str">
        <f>IFERROR(__xludf.DUMMYFUNCTION("""COMPUTED_VALUE"""),"Jamia Masjid Qasmiya rehmy Shah Faisalabad ")</f>
        <v>Jamia Masjid Qasmiya rehmy Shah Faisalabad </v>
      </c>
      <c r="E798" s="10" t="str">
        <f>IFERROR(__xludf.DUMMYFUNCTION("""COMPUTED_VALUE"""),"cmwps")</f>
        <v>cmwps</v>
      </c>
      <c r="F798" s="10">
        <f>IFERROR(__xludf.DUMMYFUNCTION("""COMPUTED_VALUE"""),290.0)</f>
        <v>290</v>
      </c>
      <c r="G798" s="10">
        <f>IFERROR(__xludf.DUMMYFUNCTION("""COMPUTED_VALUE"""),10.0)</f>
        <v>10</v>
      </c>
      <c r="H798" s="10">
        <f>IFERROR(__xludf.DUMMYFUNCTION("""COMPUTED_VALUE"""),9.0)</f>
        <v>9</v>
      </c>
      <c r="I798" s="10">
        <f>IFERROR(__xludf.DUMMYFUNCTION("""COMPUTED_VALUE"""),0.0)</f>
        <v>0</v>
      </c>
      <c r="J798" s="10"/>
      <c r="K798" s="10"/>
      <c r="L798" s="10"/>
      <c r="M798" s="10">
        <f>IFERROR(__xludf.DUMMYFUNCTION("""COMPUTED_VALUE"""),9.0)</f>
        <v>9</v>
      </c>
      <c r="N798" s="10"/>
      <c r="O798" s="10"/>
      <c r="P798" s="10"/>
      <c r="Q798" s="10"/>
      <c r="R798" s="10"/>
      <c r="S798" s="10"/>
      <c r="T798" s="10"/>
      <c r="U798" s="18" t="str">
        <f>IFERROR(__xludf.DUMMYFUNCTION("""COMPUTED_VALUE"""),"https://drive.google.com/file/d/1QsvKqokUrIftbGCEMIt1zg_srLOzGdji/view?usp=drive_link")</f>
        <v>https://drive.google.com/file/d/1QsvKqokUrIftbGCEMIt1zg_srLOzGdji/view?usp=drive_link</v>
      </c>
      <c r="V798" s="10"/>
      <c r="W798" s="10"/>
      <c r="X798" s="10"/>
      <c r="Y798" s="14" t="str">
        <f>IFERROR(__xludf.DUMMYFUNCTION("""COMPUTED_VALUE"""),"haris.cerp@gmail.com")</f>
        <v>haris.cerp@gmail.com</v>
      </c>
      <c r="AA798" s="324"/>
    </row>
    <row r="799" hidden="1">
      <c r="A799" s="9">
        <f>IFERROR(__xludf.DUMMYFUNCTION("""COMPUTED_VALUE"""),45968.36213982639)</f>
        <v>45968.36214</v>
      </c>
      <c r="B799" s="10" t="str">
        <f>IFERROR(__xludf.DUMMYFUNCTION("""COMPUTED_VALUE"""),"Muhammad shahazad")</f>
        <v>Muhammad shahazad</v>
      </c>
      <c r="C799" s="10" t="str">
        <f>IFERROR(__xludf.DUMMYFUNCTION("""COMPUTED_VALUE"""),"03336079153")</f>
        <v>03336079153</v>
      </c>
      <c r="D799" s="10" t="str">
        <f>IFERROR(__xludf.DUMMYFUNCTION("""COMPUTED_VALUE"""),"Jamia Masjid 273 Rai Chak Faisalabad")</f>
        <v>Jamia Masjid 273 Rai Chak Faisalabad</v>
      </c>
      <c r="E799" s="10" t="str">
        <f>IFERROR(__xludf.DUMMYFUNCTION("""COMPUTED_VALUE"""),"kamrb")</f>
        <v>kamrb</v>
      </c>
      <c r="F799" s="10">
        <f>IFERROR(__xludf.DUMMYFUNCTION("""COMPUTED_VALUE"""),105.0)</f>
        <v>105</v>
      </c>
      <c r="G799" s="10">
        <f>IFERROR(__xludf.DUMMYFUNCTION("""COMPUTED_VALUE"""),9.0)</f>
        <v>9</v>
      </c>
      <c r="H799" s="10">
        <f>IFERROR(__xludf.DUMMYFUNCTION("""COMPUTED_VALUE"""),8.0)</f>
        <v>8</v>
      </c>
      <c r="I799" s="10">
        <f>IFERROR(__xludf.DUMMYFUNCTION("""COMPUTED_VALUE"""),1.0)</f>
        <v>1</v>
      </c>
      <c r="J799" s="10"/>
      <c r="K799" s="10"/>
      <c r="L799" s="10"/>
      <c r="M799" s="10">
        <f>IFERROR(__xludf.DUMMYFUNCTION("""COMPUTED_VALUE"""),9.0)</f>
        <v>9</v>
      </c>
      <c r="N799" s="10"/>
      <c r="O799" s="10"/>
      <c r="P799" s="10"/>
      <c r="Q799" s="10"/>
      <c r="R799" s="10"/>
      <c r="S799" s="10"/>
      <c r="T799" s="10"/>
      <c r="U799" s="18" t="str">
        <f>IFERROR(__xludf.DUMMYFUNCTION("""COMPUTED_VALUE"""),"https://drive.google.com/open?id=1fn0VGDI3qughAzPemV5Yw6_8FJBX0ppd")</f>
        <v>https://drive.google.com/open?id=1fn0VGDI3qughAzPemV5Yw6_8FJBX0ppd</v>
      </c>
      <c r="V799" s="10" t="str">
        <f>IFERROR(__xludf.DUMMYFUNCTION("""COMPUTED_VALUE"""),"No")</f>
        <v>No</v>
      </c>
      <c r="W799" s="10"/>
      <c r="X799" s="10"/>
      <c r="Y799" s="14" t="str">
        <f>IFERROR(__xludf.DUMMYFUNCTION("""COMPUTED_VALUE"""),"rana.shahzad8896@gmail.com")</f>
        <v>rana.shahzad8896@gmail.com</v>
      </c>
      <c r="AA799" s="324"/>
    </row>
    <row r="800" hidden="1">
      <c r="A800" s="9">
        <f>IFERROR(__xludf.DUMMYFUNCTION("""COMPUTED_VALUE"""),45968.36929287037)</f>
        <v>45968.36929</v>
      </c>
      <c r="B800" s="10" t="str">
        <f>IFERROR(__xludf.DUMMYFUNCTION("""COMPUTED_VALUE"""),"Rizwan ")</f>
        <v>Rizwan </v>
      </c>
      <c r="C800" s="10" t="str">
        <f>IFERROR(__xludf.DUMMYFUNCTION("""COMPUTED_VALUE"""),"03084373512")</f>
        <v>03084373512</v>
      </c>
      <c r="D800" s="10" t="str">
        <f>IFERROR(__xludf.DUMMYFUNCTION("""COMPUTED_VALUE"""),"Nolakh hazari ")</f>
        <v>Nolakh hazari </v>
      </c>
      <c r="E800" s="10" t="str">
        <f>IFERROR(__xludf.DUMMYFUNCTION("""COMPUTED_VALUE"""),"epwte")</f>
        <v>epwte</v>
      </c>
      <c r="F800" s="10">
        <f>IFERROR(__xludf.DUMMYFUNCTION("""COMPUTED_VALUE"""),220.0)</f>
        <v>220</v>
      </c>
      <c r="G800" s="10">
        <f>IFERROR(__xludf.DUMMYFUNCTION("""COMPUTED_VALUE"""),4.0)</f>
        <v>4</v>
      </c>
      <c r="H800" s="10">
        <f>IFERROR(__xludf.DUMMYFUNCTION("""COMPUTED_VALUE"""),5.0)</f>
        <v>5</v>
      </c>
      <c r="I800" s="10">
        <f>IFERROR(__xludf.DUMMYFUNCTION("""COMPUTED_VALUE"""),0.0)</f>
        <v>0</v>
      </c>
      <c r="J800" s="10"/>
      <c r="K800" s="10"/>
      <c r="L800" s="10"/>
      <c r="M800" s="10">
        <f>IFERROR(__xludf.DUMMYFUNCTION("""COMPUTED_VALUE"""),8.0)</f>
        <v>8</v>
      </c>
      <c r="N800" s="10"/>
      <c r="O800" s="10"/>
      <c r="P800" s="10"/>
      <c r="Q800" s="10"/>
      <c r="R800" s="10"/>
      <c r="S800" s="10"/>
      <c r="T800" s="10"/>
      <c r="U800" s="18" t="str">
        <f>IFERROR(__xludf.DUMMYFUNCTION("""COMPUTED_VALUE"""),"https://drive.google.com/open?id=1Ug1DEMCHECXTgr2q-lS0C_CIoXFxo17o")</f>
        <v>https://drive.google.com/open?id=1Ug1DEMCHECXTgr2q-lS0C_CIoXFxo17o</v>
      </c>
      <c r="V800" s="10" t="str">
        <f>IFERROR(__xludf.DUMMYFUNCTION("""COMPUTED_VALUE"""),"No")</f>
        <v>No</v>
      </c>
      <c r="W800" s="10"/>
      <c r="X800" s="10"/>
      <c r="Y800" s="14" t="str">
        <f>IFERROR(__xludf.DUMMYFUNCTION("""COMPUTED_VALUE"""),"mrizwanrasheed666@gmail.com")</f>
        <v>mrizwanrasheed666@gmail.com</v>
      </c>
      <c r="AA800" s="324"/>
    </row>
    <row r="801" hidden="1">
      <c r="A801" s="9">
        <f>IFERROR(__xludf.DUMMYFUNCTION("""COMPUTED_VALUE"""),45968.88213302083)</f>
        <v>45968.88213</v>
      </c>
      <c r="B801" s="10" t="str">
        <f>IFERROR(__xludf.DUMMYFUNCTION("""COMPUTED_VALUE"""),"Sarfraz ahmad")</f>
        <v>Sarfraz ahmad</v>
      </c>
      <c r="C801" s="10" t="str">
        <f>IFERROR(__xludf.DUMMYFUNCTION("""COMPUTED_VALUE"""),"03017698350")</f>
        <v>03017698350</v>
      </c>
      <c r="D801" s="10" t="str">
        <f>IFERROR(__xludf.DUMMYFUNCTION("""COMPUTED_VALUE"""),"Jamia masjad haji Muhammad Dain Shorkot cuntt")</f>
        <v>Jamia masjad haji Muhammad Dain Shorkot cuntt</v>
      </c>
      <c r="E801" s="10" t="str">
        <f>IFERROR(__xludf.DUMMYFUNCTION("""COMPUTED_VALUE"""),"lsqfy")</f>
        <v>lsqfy</v>
      </c>
      <c r="F801" s="10">
        <f>IFERROR(__xludf.DUMMYFUNCTION("""COMPUTED_VALUE"""),150.0)</f>
        <v>150</v>
      </c>
      <c r="G801" s="10">
        <f>IFERROR(__xludf.DUMMYFUNCTION("""COMPUTED_VALUE"""),7.0)</f>
        <v>7</v>
      </c>
      <c r="H801" s="10">
        <f>IFERROR(__xludf.DUMMYFUNCTION("""COMPUTED_VALUE"""),8.0)</f>
        <v>8</v>
      </c>
      <c r="I801" s="10">
        <f>IFERROR(__xludf.DUMMYFUNCTION("""COMPUTED_VALUE"""),0.0)</f>
        <v>0</v>
      </c>
      <c r="J801" s="10"/>
      <c r="K801" s="10"/>
      <c r="L801" s="10"/>
      <c r="M801" s="10">
        <f>IFERROR(__xludf.DUMMYFUNCTION("""COMPUTED_VALUE"""),9.0)</f>
        <v>9</v>
      </c>
      <c r="N801" s="10"/>
      <c r="O801" s="10"/>
      <c r="P801" s="10"/>
      <c r="Q801" s="10"/>
      <c r="R801" s="10"/>
      <c r="S801" s="10"/>
      <c r="T801" s="10"/>
      <c r="U801" s="10"/>
      <c r="V801" s="10" t="str">
        <f>IFERROR(__xludf.DUMMYFUNCTION("""COMPUTED_VALUE"""),"No")</f>
        <v>No</v>
      </c>
      <c r="W801" s="10"/>
      <c r="X801" s="10"/>
      <c r="Y801" s="14" t="str">
        <f>IFERROR(__xludf.DUMMYFUNCTION("""COMPUTED_VALUE"""),"bashirawais990@gmail.com")</f>
        <v>bashirawais990@gmail.com</v>
      </c>
      <c r="AA801" s="324"/>
    </row>
    <row r="802" hidden="1">
      <c r="A802" s="9">
        <f>IFERROR(__xludf.DUMMYFUNCTION("""COMPUTED_VALUE"""),45969.03689142361)</f>
        <v>45969.03689</v>
      </c>
      <c r="B802" s="10" t="str">
        <f>IFERROR(__xludf.DUMMYFUNCTION("""COMPUTED_VALUE"""),"Tariq Mahmood ")</f>
        <v>Tariq Mahmood </v>
      </c>
      <c r="C802" s="10" t="str">
        <f>IFERROR(__xludf.DUMMYFUNCTION("""COMPUTED_VALUE"""),"03486868206")</f>
        <v>03486868206</v>
      </c>
      <c r="D802" s="10" t="str">
        <f>IFERROR(__xludf.DUMMYFUNCTION("""COMPUTED_VALUE"""),"Masjid Amina Samnaabad ")</f>
        <v>Masjid Amina Samnaabad </v>
      </c>
      <c r="E802" s="10" t="str">
        <f>IFERROR(__xludf.DUMMYFUNCTION("""COMPUTED_VALUE"""),"Btuip")</f>
        <v>Btuip</v>
      </c>
      <c r="F802" s="10">
        <f>IFERROR(__xludf.DUMMYFUNCTION("""COMPUTED_VALUE"""),300.0)</f>
        <v>300</v>
      </c>
      <c r="G802" s="10">
        <f>IFERROR(__xludf.DUMMYFUNCTION("""COMPUTED_VALUE"""),10.0)</f>
        <v>10</v>
      </c>
      <c r="H802" s="10">
        <f>IFERROR(__xludf.DUMMYFUNCTION("""COMPUTED_VALUE"""),10.0)</f>
        <v>10</v>
      </c>
      <c r="I802" s="10">
        <f>IFERROR(__xludf.DUMMYFUNCTION("""COMPUTED_VALUE"""),8.0)</f>
        <v>8</v>
      </c>
      <c r="J802" s="10"/>
      <c r="K802" s="10"/>
      <c r="L802" s="10"/>
      <c r="M802" s="10">
        <f>IFERROR(__xludf.DUMMYFUNCTION("""COMPUTED_VALUE"""),10.0)</f>
        <v>10</v>
      </c>
      <c r="N802" s="10"/>
      <c r="O802" s="10"/>
      <c r="P802" s="10"/>
      <c r="Q802" s="10"/>
      <c r="R802" s="10"/>
      <c r="S802" s="10"/>
      <c r="T802" s="10"/>
      <c r="U802" s="18" t="str">
        <f>IFERROR(__xludf.DUMMYFUNCTION("""COMPUTED_VALUE"""),"https://drive.google.com/file/d/1DJ7R2gc9L4Fl5BTkKC_XAZLhGQhMJPKD/view?usp=drive_link")</f>
        <v>https://drive.google.com/file/d/1DJ7R2gc9L4Fl5BTkKC_XAZLhGQhMJPKD/view?usp=drive_link</v>
      </c>
      <c r="V802" s="10" t="str">
        <f>IFERROR(__xludf.DUMMYFUNCTION("""COMPUTED_VALUE"""),"No")</f>
        <v>No</v>
      </c>
      <c r="W802" s="10"/>
      <c r="X802" s="10"/>
      <c r="Y802" s="14" t="str">
        <f>IFERROR(__xludf.DUMMYFUNCTION("""COMPUTED_VALUE"""),"tariqjutt2354@gmail.com")</f>
        <v>tariqjutt2354@gmail.com</v>
      </c>
      <c r="AA802" s="324"/>
    </row>
    <row r="803" hidden="1">
      <c r="A803" s="9">
        <f>IFERROR(__xludf.DUMMYFUNCTION("""COMPUTED_VALUE"""),45969.13167673611)</f>
        <v>45969.13168</v>
      </c>
      <c r="B803" s="10" t="str">
        <f>IFERROR(__xludf.DUMMYFUNCTION("""COMPUTED_VALUE"""),"Hassan majeed ")</f>
        <v>Hassan majeed </v>
      </c>
      <c r="C803" s="10" t="str">
        <f>IFERROR(__xludf.DUMMYFUNCTION("""COMPUTED_VALUE"""),"03490434721")</f>
        <v>03490434721</v>
      </c>
      <c r="D803" s="10" t="str">
        <f>IFERROR(__xludf.DUMMYFUNCTION("""COMPUTED_VALUE"""),"Jamia masjed mula abdul gafurur multan")</f>
        <v>Jamia masjed mula abdul gafurur multan</v>
      </c>
      <c r="E803" s="10" t="str">
        <f>IFERROR(__xludf.DUMMYFUNCTION("""COMPUTED_VALUE"""),"Rnksi")</f>
        <v>Rnksi</v>
      </c>
      <c r="F803" s="10">
        <f>IFERROR(__xludf.DUMMYFUNCTION("""COMPUTED_VALUE"""),400.0)</f>
        <v>400</v>
      </c>
      <c r="G803" s="10">
        <f>IFERROR(__xludf.DUMMYFUNCTION("""COMPUTED_VALUE"""),9.0)</f>
        <v>9</v>
      </c>
      <c r="H803" s="10">
        <f>IFERROR(__xludf.DUMMYFUNCTION("""COMPUTED_VALUE"""),9.0)</f>
        <v>9</v>
      </c>
      <c r="I803" s="10" t="str">
        <f>IFERROR(__xludf.DUMMYFUNCTION("""COMPUTED_VALUE"""),"No")</f>
        <v>No</v>
      </c>
      <c r="J803" s="10"/>
      <c r="K803" s="10"/>
      <c r="L803" s="10"/>
      <c r="M803" s="10">
        <f>IFERROR(__xludf.DUMMYFUNCTION("""COMPUTED_VALUE"""),9.0)</f>
        <v>9</v>
      </c>
      <c r="N803" s="10"/>
      <c r="O803" s="10"/>
      <c r="P803" s="10"/>
      <c r="Q803" s="10"/>
      <c r="R803" s="10"/>
      <c r="S803" s="10"/>
      <c r="T803" s="10"/>
      <c r="U803" s="18" t="str">
        <f>IFERROR(__xludf.DUMMYFUNCTION("""COMPUTED_VALUE"""),"https://drive.google.com/open?id=1jZWJctXyqV8o3St54FlZdxb-TZKBR4yT")</f>
        <v>https://drive.google.com/open?id=1jZWJctXyqV8o3St54FlZdxb-TZKBR4yT</v>
      </c>
      <c r="V803" s="10" t="str">
        <f>IFERROR(__xludf.DUMMYFUNCTION("""COMPUTED_VALUE"""),"Nhi")</f>
        <v>Nhi</v>
      </c>
      <c r="W803" s="10"/>
      <c r="X803" s="10"/>
      <c r="Y803" s="14" t="str">
        <f>IFERROR(__xludf.DUMMYFUNCTION("""COMPUTED_VALUE"""),"ranahassan798081@gmail.com")</f>
        <v>ranahassan798081@gmail.com</v>
      </c>
      <c r="AA803" s="324"/>
    </row>
    <row r="804" hidden="1">
      <c r="A804" s="9">
        <f>IFERROR(__xludf.DUMMYFUNCTION("""COMPUTED_VALUE"""),45969.31407532407)</f>
        <v>45969.31408</v>
      </c>
      <c r="B804" s="10" t="str">
        <f>IFERROR(__xludf.DUMMYFUNCTION("""COMPUTED_VALUE"""),"Zubair ")</f>
        <v>Zubair </v>
      </c>
      <c r="C804" s="10" t="str">
        <f>IFERROR(__xludf.DUMMYFUNCTION("""COMPUTED_VALUE"""),"03421618219")</f>
        <v>03421618219</v>
      </c>
      <c r="D804" s="10" t="str">
        <f>IFERROR(__xludf.DUMMYFUNCTION("""COMPUTED_VALUE"""),"jamia masjid gosha nashen multan")</f>
        <v>jamia masjid gosha nashen multan</v>
      </c>
      <c r="E804" s="10" t="str">
        <f>IFERROR(__xludf.DUMMYFUNCTION("""COMPUTED_VALUE"""),"lhgfs")</f>
        <v>lhgfs</v>
      </c>
      <c r="F804" s="10">
        <f>IFERROR(__xludf.DUMMYFUNCTION("""COMPUTED_VALUE"""),118.0)</f>
        <v>118</v>
      </c>
      <c r="G804" s="10">
        <f>IFERROR(__xludf.DUMMYFUNCTION("""COMPUTED_VALUE"""),9.0)</f>
        <v>9</v>
      </c>
      <c r="H804" s="10">
        <f>IFERROR(__xludf.DUMMYFUNCTION("""COMPUTED_VALUE"""),9.0)</f>
        <v>9</v>
      </c>
      <c r="I804" s="10">
        <f>IFERROR(__xludf.DUMMYFUNCTION("""COMPUTED_VALUE"""),0.0)</f>
        <v>0</v>
      </c>
      <c r="J804" s="10"/>
      <c r="K804" s="10"/>
      <c r="L804" s="10"/>
      <c r="M804" s="10">
        <f>IFERROR(__xludf.DUMMYFUNCTION("""COMPUTED_VALUE"""),8.0)</f>
        <v>8</v>
      </c>
      <c r="N804" s="10"/>
      <c r="O804" s="10"/>
      <c r="P804" s="10"/>
      <c r="Q804" s="10"/>
      <c r="R804" s="10"/>
      <c r="S804" s="10"/>
      <c r="T804" s="10"/>
      <c r="U804" s="18" t="str">
        <f>IFERROR(__xludf.DUMMYFUNCTION("""COMPUTED_VALUE"""),"https://drive.google.com/open?id=1H8g1J147q3-eg546GDU07AFRtcrID0Yh")</f>
        <v>https://drive.google.com/open?id=1H8g1J147q3-eg546GDU07AFRtcrID0Yh</v>
      </c>
      <c r="V804" s="10"/>
      <c r="W804" s="10"/>
      <c r="X804" s="10"/>
      <c r="Y804" s="14" t="str">
        <f>IFERROR(__xludf.DUMMYFUNCTION("""COMPUTED_VALUE"""),"haris.cerp@gmail.com")</f>
        <v>haris.cerp@gmail.com</v>
      </c>
      <c r="AA804" s="324"/>
    </row>
    <row r="805" hidden="1">
      <c r="A805" s="9">
        <f>IFERROR(__xludf.DUMMYFUNCTION("""COMPUTED_VALUE"""),45971.817837083334)</f>
        <v>45971.81784</v>
      </c>
      <c r="B805" s="10" t="str">
        <f>IFERROR(__xludf.DUMMYFUNCTION("""COMPUTED_VALUE"""),"Safdar Ali")</f>
        <v>Safdar Ali</v>
      </c>
      <c r="C805" s="10" t="str">
        <f>IFERROR(__xludf.DUMMYFUNCTION("""COMPUTED_VALUE"""),"03121664859")</f>
        <v>03121664859</v>
      </c>
      <c r="D805" s="10" t="str">
        <f>IFERROR(__xludf.DUMMYFUNCTION("""COMPUTED_VALUE"""),"Jamia Masjid Kareem Khan Ahle Hadees Multan")</f>
        <v>Jamia Masjid Kareem Khan Ahle Hadees Multan</v>
      </c>
      <c r="E805" s="10" t="str">
        <f>IFERROR(__xludf.DUMMYFUNCTION("""COMPUTED_VALUE"""),"lirqw")</f>
        <v>lirqw</v>
      </c>
      <c r="F805" s="10">
        <f>IFERROR(__xludf.DUMMYFUNCTION("""COMPUTED_VALUE"""),106.0)</f>
        <v>106</v>
      </c>
      <c r="G805" s="10">
        <f>IFERROR(__xludf.DUMMYFUNCTION("""COMPUTED_VALUE"""),9.0)</f>
        <v>9</v>
      </c>
      <c r="H805" s="10">
        <f>IFERROR(__xludf.DUMMYFUNCTION("""COMPUTED_VALUE"""),8.0)</f>
        <v>8</v>
      </c>
      <c r="I805" s="10">
        <f>IFERROR(__xludf.DUMMYFUNCTION("""COMPUTED_VALUE"""),1.0)</f>
        <v>1</v>
      </c>
      <c r="J805" s="10"/>
      <c r="K805" s="10"/>
      <c r="L805" s="10"/>
      <c r="M805" s="10">
        <f>IFERROR(__xludf.DUMMYFUNCTION("""COMPUTED_VALUE"""),8.0)</f>
        <v>8</v>
      </c>
      <c r="N805" s="10"/>
      <c r="O805" s="10"/>
      <c r="P805" s="10"/>
      <c r="Q805" s="10"/>
      <c r="R805" s="10"/>
      <c r="S805" s="10"/>
      <c r="T805" s="10"/>
      <c r="U805" s="18" t="str">
        <f>IFERROR(__xludf.DUMMYFUNCTION("""COMPUTED_VALUE"""),"https://drive.google.com/open?id=1dE0FR58RFaOhSOACHTwwpSDjixZ5eGU2")</f>
        <v>https://drive.google.com/open?id=1dE0FR58RFaOhSOACHTwwpSDjixZ5eGU2</v>
      </c>
      <c r="V805" s="10"/>
      <c r="W805" s="10"/>
      <c r="X805" s="10"/>
      <c r="Y805" s="14" t="str">
        <f>IFERROR(__xludf.DUMMYFUNCTION("""COMPUTED_VALUE"""),"haris.cerp@gmail.com")</f>
        <v>haris.cerp@gmail.com</v>
      </c>
      <c r="AA805" s="324"/>
    </row>
    <row r="806" hidden="1">
      <c r="A806" s="9">
        <f>IFERROR(__xludf.DUMMYFUNCTION("""COMPUTED_VALUE"""),45975.21345668982)</f>
        <v>45975.21346</v>
      </c>
      <c r="B806" s="10" t="str">
        <f>IFERROR(__xludf.DUMMYFUNCTION("""COMPUTED_VALUE"""),"Nadeem Mirza ")</f>
        <v>Nadeem Mirza </v>
      </c>
      <c r="C806" s="10" t="str">
        <f>IFERROR(__xludf.DUMMYFUNCTION("""COMPUTED_VALUE"""),"03006623984")</f>
        <v>03006623984</v>
      </c>
      <c r="D806" s="10" t="str">
        <f>IFERROR(__xludf.DUMMYFUNCTION("""COMPUTED_VALUE"""),"Jamia Masjid Jhall khanwana Faisalabad ")</f>
        <v>Jamia Masjid Jhall khanwana Faisalabad </v>
      </c>
      <c r="E806" s="10" t="str">
        <f>IFERROR(__xludf.DUMMYFUNCTION("""COMPUTED_VALUE"""),"DMVYD")</f>
        <v>DMVYD</v>
      </c>
      <c r="F806" s="10">
        <f>IFERROR(__xludf.DUMMYFUNCTION("""COMPUTED_VALUE"""),542.0)</f>
        <v>542</v>
      </c>
      <c r="G806" s="10">
        <f>IFERROR(__xludf.DUMMYFUNCTION("""COMPUTED_VALUE"""),9.0)</f>
        <v>9</v>
      </c>
      <c r="H806" s="10">
        <f>IFERROR(__xludf.DUMMYFUNCTION("""COMPUTED_VALUE"""),8.0)</f>
        <v>8</v>
      </c>
      <c r="I806" s="10">
        <f>IFERROR(__xludf.DUMMYFUNCTION("""COMPUTED_VALUE"""),0.0)</f>
        <v>0</v>
      </c>
      <c r="J806" s="10"/>
      <c r="K806" s="10"/>
      <c r="L806" s="10"/>
      <c r="M806" s="10">
        <f>IFERROR(__xludf.DUMMYFUNCTION("""COMPUTED_VALUE"""),7.0)</f>
        <v>7</v>
      </c>
      <c r="N806" s="10"/>
      <c r="O806" s="10"/>
      <c r="P806" s="10"/>
      <c r="Q806" s="10"/>
      <c r="R806" s="10"/>
      <c r="S806" s="10"/>
      <c r="T806" s="10"/>
      <c r="U806" s="18" t="str">
        <f>IFERROR(__xludf.DUMMYFUNCTION("""COMPUTED_VALUE"""),"https://drive.google.com/open?id=1_G2BOr_j0joRtBd5RNLKSfYtaVe8ocKG")</f>
        <v>https://drive.google.com/open?id=1_G2BOr_j0joRtBd5RNLKSfYtaVe8ocKG</v>
      </c>
      <c r="V806" s="10"/>
      <c r="W806" s="10"/>
      <c r="X806" s="10"/>
      <c r="Y806" s="14" t="str">
        <f>IFERROR(__xludf.DUMMYFUNCTION("""COMPUTED_VALUE"""),"nadeem_mirza73@hotmail.com")</f>
        <v>nadeem_mirza73@hotmail.com</v>
      </c>
      <c r="AA806" s="324"/>
    </row>
    <row r="807" hidden="1">
      <c r="A807" s="9">
        <f>IFERROR(__xludf.DUMMYFUNCTION("""COMPUTED_VALUE"""),45975.562215972226)</f>
        <v>45975.56222</v>
      </c>
      <c r="B807" s="10" t="str">
        <f>IFERROR(__xludf.DUMMYFUNCTION("""COMPUTED_VALUE"""),"محمّد اویس ")</f>
        <v>محمّد اویس </v>
      </c>
      <c r="C807" s="10" t="str">
        <f>IFERROR(__xludf.DUMMYFUNCTION("""COMPUTED_VALUE"""),"03007618817")</f>
        <v>03007618817</v>
      </c>
      <c r="D807" s="10" t="str">
        <f>IFERROR(__xludf.DUMMYFUNCTION("""COMPUTED_VALUE"""),"جامعیے مسجد گلزار اے مدینہ غلا منڈی امین پور بازار فیصل آباد ")</f>
        <v>جامعیے مسجد گلزار اے مدینہ غلا منڈی امین پور بازار فیصل آباد </v>
      </c>
      <c r="E807" s="10" t="str">
        <f>IFERROR(__xludf.DUMMYFUNCTION("""COMPUTED_VALUE"""),"Dkwam")</f>
        <v>Dkwam</v>
      </c>
      <c r="F807" s="10">
        <f>IFERROR(__xludf.DUMMYFUNCTION("""COMPUTED_VALUE"""),287.0)</f>
        <v>287</v>
      </c>
      <c r="G807" s="10">
        <f>IFERROR(__xludf.DUMMYFUNCTION("""COMPUTED_VALUE"""),9.0)</f>
        <v>9</v>
      </c>
      <c r="H807" s="10">
        <f>IFERROR(__xludf.DUMMYFUNCTION("""COMPUTED_VALUE"""),9.0)</f>
        <v>9</v>
      </c>
      <c r="I807" s="10" t="str">
        <f>IFERROR(__xludf.DUMMYFUNCTION("""COMPUTED_VALUE"""),"کوئی نہیں ")</f>
        <v>کوئی نہیں </v>
      </c>
      <c r="J807" s="10"/>
      <c r="K807" s="10"/>
      <c r="L807" s="10"/>
      <c r="M807" s="10">
        <f>IFERROR(__xludf.DUMMYFUNCTION("""COMPUTED_VALUE"""),9.0)</f>
        <v>9</v>
      </c>
      <c r="N807" s="10"/>
      <c r="O807" s="10"/>
      <c r="P807" s="10"/>
      <c r="Q807" s="10"/>
      <c r="R807" s="10"/>
      <c r="S807" s="10"/>
      <c r="T807" s="10"/>
      <c r="U807" s="18" t="str">
        <f>IFERROR(__xludf.DUMMYFUNCTION("""COMPUTED_VALUE"""),"https://drive.google.com/open?id=1Z76kVxHs2OZEszdt9g0k05dluBIYTFHN")</f>
        <v>https://drive.google.com/open?id=1Z76kVxHs2OZEszdt9g0k05dluBIYTFHN</v>
      </c>
      <c r="V807" s="10" t="str">
        <f>IFERROR(__xludf.DUMMYFUNCTION("""COMPUTED_VALUE"""),"نہیں ")</f>
        <v>نہیں </v>
      </c>
      <c r="W807" s="10"/>
      <c r="X807" s="10"/>
      <c r="Y807" s="14" t="str">
        <f>IFERROR(__xludf.DUMMYFUNCTION("""COMPUTED_VALUE"""),"awaisarfani92@gmail.com")</f>
        <v>awaisarfani92@gmail.com</v>
      </c>
      <c r="AA807" s="324"/>
    </row>
    <row r="808" hidden="1">
      <c r="A808" s="9">
        <f>IFERROR(__xludf.DUMMYFUNCTION("""COMPUTED_VALUE"""),45975.56632084491)</f>
        <v>45975.56632</v>
      </c>
      <c r="B808" s="10" t="str">
        <f>IFERROR(__xludf.DUMMYFUNCTION("""COMPUTED_VALUE"""),"ALi Asghar Khan Niazi ")</f>
        <v>ALi Asghar Khan Niazi </v>
      </c>
      <c r="C808" s="10" t="str">
        <f>IFERROR(__xludf.DUMMYFUNCTION("""COMPUTED_VALUE"""),"03007600161")</f>
        <v>03007600161</v>
      </c>
      <c r="D808" s="10" t="str">
        <f>IFERROR(__xludf.DUMMYFUNCTION("""COMPUTED_VALUE"""),"Jamia masjid chistiya ")</f>
        <v>Jamia masjid chistiya </v>
      </c>
      <c r="E808" s="10" t="str">
        <f>IFERROR(__xludf.DUMMYFUNCTION("""COMPUTED_VALUE"""),"cegdy")</f>
        <v>cegdy</v>
      </c>
      <c r="F808" s="10">
        <f>IFERROR(__xludf.DUMMYFUNCTION("""COMPUTED_VALUE"""),243.0)</f>
        <v>243</v>
      </c>
      <c r="G808" s="10">
        <f>IFERROR(__xludf.DUMMYFUNCTION("""COMPUTED_VALUE"""),6.0)</f>
        <v>6</v>
      </c>
      <c r="H808" s="10">
        <f>IFERROR(__xludf.DUMMYFUNCTION("""COMPUTED_VALUE"""),7.0)</f>
        <v>7</v>
      </c>
      <c r="I808" s="10">
        <f>IFERROR(__xludf.DUMMYFUNCTION("""COMPUTED_VALUE"""),2.0)</f>
        <v>2</v>
      </c>
      <c r="J808" s="10"/>
      <c r="K808" s="10"/>
      <c r="L808" s="10"/>
      <c r="M808" s="10">
        <f>IFERROR(__xludf.DUMMYFUNCTION("""COMPUTED_VALUE"""),8.0)</f>
        <v>8</v>
      </c>
      <c r="N808" s="10"/>
      <c r="O808" s="10"/>
      <c r="P808" s="10"/>
      <c r="Q808" s="10"/>
      <c r="R808" s="10"/>
      <c r="S808" s="10"/>
      <c r="T808" s="10"/>
      <c r="U808" s="18" t="str">
        <f>IFERROR(__xludf.DUMMYFUNCTION("""COMPUTED_VALUE"""),"https://drive.google.com/file/d/11lRW_1ATkn76ogR1azGRSE0utj-xuwri/view?usp=drive_link")</f>
        <v>https://drive.google.com/file/d/11lRW_1ATkn76ogR1azGRSE0utj-xuwri/view?usp=drive_link</v>
      </c>
      <c r="V808" s="10"/>
      <c r="W808" s="10"/>
      <c r="X808" s="10"/>
      <c r="Y808" s="14" t="str">
        <f>IFERROR(__xludf.DUMMYFUNCTION("""COMPUTED_VALUE"""),"ali.asghar.soc@gmail.com")</f>
        <v>ali.asghar.soc@gmail.com</v>
      </c>
      <c r="AA808" s="324"/>
    </row>
    <row r="809" hidden="1">
      <c r="A809" s="9">
        <f>IFERROR(__xludf.DUMMYFUNCTION("""COMPUTED_VALUE"""),45975.573347453705)</f>
        <v>45975.57335</v>
      </c>
      <c r="B809" s="10" t="str">
        <f>IFERROR(__xludf.DUMMYFUNCTION("""COMPUTED_VALUE"""),"Hassan Tariq ")</f>
        <v>Hassan Tariq </v>
      </c>
      <c r="C809" s="10" t="str">
        <f>IFERROR(__xludf.DUMMYFUNCTION("""COMPUTED_VALUE"""),"03465742477")</f>
        <v>03465742477</v>
      </c>
      <c r="D809" s="10" t="str">
        <f>IFERROR(__xludf.DUMMYFUNCTION("""COMPUTED_VALUE"""),"Jamia Masjid Madni samnabad Faisalabad ")</f>
        <v>Jamia Masjid Madni samnabad Faisalabad </v>
      </c>
      <c r="E809" s="10" t="str">
        <f>IFERROR(__xludf.DUMMYFUNCTION("""COMPUTED_VALUE"""),"rwyui")</f>
        <v>rwyui</v>
      </c>
      <c r="F809" s="10">
        <f>IFERROR(__xludf.DUMMYFUNCTION("""COMPUTED_VALUE"""),500.0)</f>
        <v>500</v>
      </c>
      <c r="G809" s="10">
        <f>IFERROR(__xludf.DUMMYFUNCTION("""COMPUTED_VALUE"""),7.0)</f>
        <v>7</v>
      </c>
      <c r="H809" s="10">
        <f>IFERROR(__xludf.DUMMYFUNCTION("""COMPUTED_VALUE"""),7.0)</f>
        <v>7</v>
      </c>
      <c r="I809" s="10">
        <f>IFERROR(__xludf.DUMMYFUNCTION("""COMPUTED_VALUE"""),7.0)</f>
        <v>7</v>
      </c>
      <c r="J809" s="10"/>
      <c r="K809" s="10"/>
      <c r="L809" s="10"/>
      <c r="M809" s="10">
        <f>IFERROR(__xludf.DUMMYFUNCTION("""COMPUTED_VALUE"""),7.0)</f>
        <v>7</v>
      </c>
      <c r="N809" s="10"/>
      <c r="O809" s="10"/>
      <c r="P809" s="10"/>
      <c r="Q809" s="10"/>
      <c r="R809" s="10"/>
      <c r="S809" s="10"/>
      <c r="T809" s="10"/>
      <c r="U809" s="18" t="str">
        <f>IFERROR(__xludf.DUMMYFUNCTION("""COMPUTED_VALUE"""),"https://drive.google.com/open?id=18q_zFNfDzo2wLLW34d5Wa9VePL1IZRYh")</f>
        <v>https://drive.google.com/open?id=18q_zFNfDzo2wLLW34d5Wa9VePL1IZRYh</v>
      </c>
      <c r="V809" s="10"/>
      <c r="W809" s="10"/>
      <c r="X809" s="10"/>
      <c r="Y809" s="14" t="str">
        <f>IFERROR(__xludf.DUMMYFUNCTION("""COMPUTED_VALUE"""),"hassaantariq477@gmail.com")</f>
        <v>hassaantariq477@gmail.com</v>
      </c>
      <c r="AA809" s="324"/>
    </row>
    <row r="810" hidden="1">
      <c r="A810" s="9">
        <f>IFERROR(__xludf.DUMMYFUNCTION("""COMPUTED_VALUE"""),45975.66373726852)</f>
        <v>45975.66374</v>
      </c>
      <c r="B810" s="10" t="str">
        <f>IFERROR(__xludf.DUMMYFUNCTION("""COMPUTED_VALUE"""),"Sarfraz Ahmad ")</f>
        <v>Sarfraz Ahmad </v>
      </c>
      <c r="C810" s="10" t="str">
        <f>IFERROR(__xludf.DUMMYFUNCTION("""COMPUTED_VALUE"""),"03017698350")</f>
        <v>03017698350</v>
      </c>
      <c r="D810" s="10" t="str">
        <f>IFERROR(__xludf.DUMMYFUNCTION("""COMPUTED_VALUE"""),"Jima misjid Muhammadia mudrisa waqaf yaseeni kot laal")</f>
        <v>Jima misjid Muhammadia mudrisa waqaf yaseeni kot laal</v>
      </c>
      <c r="E810" s="10" t="str">
        <f>IFERROR(__xludf.DUMMYFUNCTION("""COMPUTED_VALUE"""),"shksd")</f>
        <v>shksd</v>
      </c>
      <c r="F810" s="10">
        <f>IFERROR(__xludf.DUMMYFUNCTION("""COMPUTED_VALUE"""),100.0)</f>
        <v>100</v>
      </c>
      <c r="G810" s="10">
        <f>IFERROR(__xludf.DUMMYFUNCTION("""COMPUTED_VALUE"""),9.0)</f>
        <v>9</v>
      </c>
      <c r="H810" s="10">
        <f>IFERROR(__xludf.DUMMYFUNCTION("""COMPUTED_VALUE"""),8.0)</f>
        <v>8</v>
      </c>
      <c r="I810" s="10">
        <f>IFERROR(__xludf.DUMMYFUNCTION("""COMPUTED_VALUE"""),0.0)</f>
        <v>0</v>
      </c>
      <c r="J810" s="10"/>
      <c r="K810" s="10"/>
      <c r="L810" s="10"/>
      <c r="M810" s="10">
        <f>IFERROR(__xludf.DUMMYFUNCTION("""COMPUTED_VALUE"""),9.0)</f>
        <v>9</v>
      </c>
      <c r="N810" s="10"/>
      <c r="O810" s="10"/>
      <c r="P810" s="10"/>
      <c r="Q810" s="10"/>
      <c r="R810" s="10"/>
      <c r="S810" s="10"/>
      <c r="T810" s="10"/>
      <c r="U810" s="18" t="str">
        <f>IFERROR(__xludf.DUMMYFUNCTION("""COMPUTED_VALUE"""),"https://drive.google.com/file/d/1W6Fq1gT8EL_yNDJAEh9jU1sRtAu9Qz4l/view?usp=sharing")</f>
        <v>https://drive.google.com/file/d/1W6Fq1gT8EL_yNDJAEh9jU1sRtAu9Qz4l/view?usp=sharing</v>
      </c>
      <c r="V810" s="10" t="str">
        <f>IFERROR(__xludf.DUMMYFUNCTION("""COMPUTED_VALUE"""),"No")</f>
        <v>No</v>
      </c>
      <c r="W810" s="10"/>
      <c r="X810" s="10"/>
      <c r="Y810" s="14" t="str">
        <f>IFERROR(__xludf.DUMMYFUNCTION("""COMPUTED_VALUE"""),"malikabby55@gmail.com")</f>
        <v>malikabby55@gmail.com</v>
      </c>
      <c r="AA810" s="324"/>
    </row>
    <row r="811" hidden="1">
      <c r="A811" s="9">
        <f>IFERROR(__xludf.DUMMYFUNCTION("""COMPUTED_VALUE"""),45975.673035671294)</f>
        <v>45975.67304</v>
      </c>
      <c r="B811" s="10" t="str">
        <f>IFERROR(__xludf.DUMMYFUNCTION("""COMPUTED_VALUE"""),"Sarfraz Ahmad ")</f>
        <v>Sarfraz Ahmad </v>
      </c>
      <c r="C811" s="10" t="str">
        <f>IFERROR(__xludf.DUMMYFUNCTION("""COMPUTED_VALUE"""),"03017698350")</f>
        <v>03017698350</v>
      </c>
      <c r="D811" s="10" t="str">
        <f>IFERROR(__xludf.DUMMYFUNCTION("""COMPUTED_VALUE"""),"Jamia masjid hanfia haji Muhammad daen shorkot cuntt")</f>
        <v>Jamia masjid hanfia haji Muhammad daen shorkot cuntt</v>
      </c>
      <c r="E811" s="10" t="str">
        <f>IFERROR(__xludf.DUMMYFUNCTION("""COMPUTED_VALUE"""),"lsqfy")</f>
        <v>lsqfy</v>
      </c>
      <c r="F811" s="10">
        <f>IFERROR(__xludf.DUMMYFUNCTION("""COMPUTED_VALUE"""),150.0)</f>
        <v>150</v>
      </c>
      <c r="G811" s="10">
        <f>IFERROR(__xludf.DUMMYFUNCTION("""COMPUTED_VALUE"""),8.0)</f>
        <v>8</v>
      </c>
      <c r="H811" s="10">
        <f>IFERROR(__xludf.DUMMYFUNCTION("""COMPUTED_VALUE"""),10.0)</f>
        <v>10</v>
      </c>
      <c r="I811" s="10">
        <f>IFERROR(__xludf.DUMMYFUNCTION("""COMPUTED_VALUE"""),1.0)</f>
        <v>1</v>
      </c>
      <c r="J811" s="10"/>
      <c r="K811" s="10"/>
      <c r="L811" s="10"/>
      <c r="M811" s="10">
        <f>IFERROR(__xludf.DUMMYFUNCTION("""COMPUTED_VALUE"""),9.0)</f>
        <v>9</v>
      </c>
      <c r="N811" s="10"/>
      <c r="O811" s="10"/>
      <c r="P811" s="10"/>
      <c r="Q811" s="10"/>
      <c r="R811" s="10"/>
      <c r="S811" s="10"/>
      <c r="T811" s="10"/>
      <c r="U811" s="18" t="str">
        <f>IFERROR(__xludf.DUMMYFUNCTION("""COMPUTED_VALUE"""),"https://drive.google.com/file/d/17MpiAK21toXFxuGnekJWmvCx2-XR4gN8/view?usp=drive_link")</f>
        <v>https://drive.google.com/file/d/17MpiAK21toXFxuGnekJWmvCx2-XR4gN8/view?usp=drive_link</v>
      </c>
      <c r="V811" s="10" t="str">
        <f>IFERROR(__xludf.DUMMYFUNCTION("""COMPUTED_VALUE"""),"No")</f>
        <v>No</v>
      </c>
      <c r="W811" s="10"/>
      <c r="X811" s="10"/>
      <c r="Y811" s="14" t="str">
        <f>IFERROR(__xludf.DUMMYFUNCTION("""COMPUTED_VALUE"""),"malikabby55@gmail.com")</f>
        <v>malikabby55@gmail.com</v>
      </c>
      <c r="AA811" s="324"/>
    </row>
    <row r="812" hidden="1">
      <c r="A812" s="9">
        <f>IFERROR(__xludf.DUMMYFUNCTION("""COMPUTED_VALUE"""),45976.00374972222)</f>
        <v>45976.00375</v>
      </c>
      <c r="B812" s="10" t="str">
        <f>IFERROR(__xludf.DUMMYFUNCTION("""COMPUTED_VALUE"""),"Muhammad Amir")</f>
        <v>Muhammad Amir</v>
      </c>
      <c r="C812" s="10" t="str">
        <f>IFERROR(__xludf.DUMMYFUNCTION("""COMPUTED_VALUE"""),"03243788100")</f>
        <v>03243788100</v>
      </c>
      <c r="D812" s="10" t="str">
        <f>IFERROR(__xludf.DUMMYFUNCTION("""COMPUTED_VALUE"""),"Jamia Masjid Bukhari Shah alyass park ")</f>
        <v>Jamia Masjid Bukhari Shah alyass park </v>
      </c>
      <c r="E812" s="10" t="str">
        <f>IFERROR(__xludf.DUMMYFUNCTION("""COMPUTED_VALUE"""),"odqlq")</f>
        <v>odqlq</v>
      </c>
      <c r="F812" s="10">
        <f>IFERROR(__xludf.DUMMYFUNCTION("""COMPUTED_VALUE"""),290.0)</f>
        <v>290</v>
      </c>
      <c r="G812" s="10">
        <f>IFERROR(__xludf.DUMMYFUNCTION("""COMPUTED_VALUE"""),9.0)</f>
        <v>9</v>
      </c>
      <c r="H812" s="10">
        <f>IFERROR(__xludf.DUMMYFUNCTION("""COMPUTED_VALUE"""),8.0)</f>
        <v>8</v>
      </c>
      <c r="I812" s="10">
        <f>IFERROR(__xludf.DUMMYFUNCTION("""COMPUTED_VALUE"""),1.0)</f>
        <v>1</v>
      </c>
      <c r="J812" s="10"/>
      <c r="K812" s="10"/>
      <c r="L812" s="10"/>
      <c r="M812" s="10">
        <f>IFERROR(__xludf.DUMMYFUNCTION("""COMPUTED_VALUE"""),9.0)</f>
        <v>9</v>
      </c>
      <c r="N812" s="10"/>
      <c r="O812" s="10"/>
      <c r="P812" s="10"/>
      <c r="Q812" s="10"/>
      <c r="R812" s="10"/>
      <c r="S812" s="10"/>
      <c r="T812" s="10"/>
      <c r="U812" s="18" t="str">
        <f>IFERROR(__xludf.DUMMYFUNCTION("""COMPUTED_VALUE"""),"https://drive.google.com/open?id=1g9rBWih_6ZGmZoZHk3_BaYjP5wYYbjTt")</f>
        <v>https://drive.google.com/open?id=1g9rBWih_6ZGmZoZHk3_BaYjP5wYYbjTt</v>
      </c>
      <c r="V812" s="10"/>
      <c r="W812" s="10"/>
      <c r="X812" s="10"/>
      <c r="Y812" s="14" t="str">
        <f>IFERROR(__xludf.DUMMYFUNCTION("""COMPUTED_VALUE"""),"haris.cerp@gmail.com")</f>
        <v>haris.cerp@gmail.com</v>
      </c>
      <c r="AA812" s="324"/>
    </row>
    <row r="813" hidden="1">
      <c r="A813" s="9">
        <f>IFERROR(__xludf.DUMMYFUNCTION("""COMPUTED_VALUE"""),45976.33453302083)</f>
        <v>45976.33453</v>
      </c>
      <c r="B813" s="10" t="str">
        <f>IFERROR(__xludf.DUMMYFUNCTION("""COMPUTED_VALUE"""),"Yousaf ")</f>
        <v>Yousaf </v>
      </c>
      <c r="C813" s="10" t="str">
        <f>IFERROR(__xludf.DUMMYFUNCTION("""COMPUTED_VALUE"""),"03284651684")</f>
        <v>03284651684</v>
      </c>
      <c r="D813" s="10" t="str">
        <f>IFERROR(__xludf.DUMMYFUNCTION("""COMPUTED_VALUE"""),"Jamia Masjid Kareem Khan Ahle Hadees Multan")</f>
        <v>Jamia Masjid Kareem Khan Ahle Hadees Multan</v>
      </c>
      <c r="E813" s="10" t="str">
        <f>IFERROR(__xludf.DUMMYFUNCTION("""COMPUTED_VALUE"""),"lirqw")</f>
        <v>lirqw</v>
      </c>
      <c r="F813" s="10">
        <f>IFERROR(__xludf.DUMMYFUNCTION("""COMPUTED_VALUE"""),115.0)</f>
        <v>115</v>
      </c>
      <c r="G813" s="10">
        <f>IFERROR(__xludf.DUMMYFUNCTION("""COMPUTED_VALUE"""),8.0)</f>
        <v>8</v>
      </c>
      <c r="H813" s="10">
        <f>IFERROR(__xludf.DUMMYFUNCTION("""COMPUTED_VALUE"""),8.0)</f>
        <v>8</v>
      </c>
      <c r="I813" s="10">
        <f>IFERROR(__xludf.DUMMYFUNCTION("""COMPUTED_VALUE"""),2.0)</f>
        <v>2</v>
      </c>
      <c r="J813" s="10"/>
      <c r="K813" s="10"/>
      <c r="L813" s="10"/>
      <c r="M813" s="10">
        <f>IFERROR(__xludf.DUMMYFUNCTION("""COMPUTED_VALUE"""),8.0)</f>
        <v>8</v>
      </c>
      <c r="N813" s="10"/>
      <c r="O813" s="10"/>
      <c r="P813" s="10"/>
      <c r="Q813" s="10"/>
      <c r="R813" s="10"/>
      <c r="S813" s="10"/>
      <c r="T813" s="10"/>
      <c r="U813" s="18" t="str">
        <f>IFERROR(__xludf.DUMMYFUNCTION("""COMPUTED_VALUE"""),"https://drive.google.com/open?id=1V_VpvKPICEFeoqkwesEDxi4jxFi7pYHf")</f>
        <v>https://drive.google.com/open?id=1V_VpvKPICEFeoqkwesEDxi4jxFi7pYHf</v>
      </c>
      <c r="V813" s="10"/>
      <c r="W813" s="10"/>
      <c r="X813" s="10"/>
      <c r="Y813" s="14" t="str">
        <f>IFERROR(__xludf.DUMMYFUNCTION("""COMPUTED_VALUE"""),"haris.cerp@gmail.com")</f>
        <v>haris.cerp@gmail.com</v>
      </c>
      <c r="AA813" s="324"/>
    </row>
    <row r="814" hidden="1">
      <c r="A814" s="9">
        <f>IFERROR(__xludf.DUMMYFUNCTION("""COMPUTED_VALUE"""),45982.188813368055)</f>
        <v>45982.18881</v>
      </c>
      <c r="B814" s="10" t="str">
        <f>IFERROR(__xludf.DUMMYFUNCTION("""COMPUTED_VALUE"""),"Nadeem Mirza ")</f>
        <v>Nadeem Mirza </v>
      </c>
      <c r="C814" s="10" t="str">
        <f>IFERROR(__xludf.DUMMYFUNCTION("""COMPUTED_VALUE"""),"03006623984")</f>
        <v>03006623984</v>
      </c>
      <c r="D814" s="10" t="str">
        <f>IFERROR(__xludf.DUMMYFUNCTION("""COMPUTED_VALUE"""),"Jamia Masjid Jhall khanuana Faisalabad ")</f>
        <v>Jamia Masjid Jhall khanuana Faisalabad </v>
      </c>
      <c r="E814" s="10" t="str">
        <f>IFERROR(__xludf.DUMMYFUNCTION("""COMPUTED_VALUE"""),"dmvyd")</f>
        <v>dmvyd</v>
      </c>
      <c r="F814" s="10">
        <f>IFERROR(__xludf.DUMMYFUNCTION("""COMPUTED_VALUE"""),562.0)</f>
        <v>562</v>
      </c>
      <c r="G814" s="10">
        <f>IFERROR(__xludf.DUMMYFUNCTION("""COMPUTED_VALUE"""),9.0)</f>
        <v>9</v>
      </c>
      <c r="H814" s="10">
        <f>IFERROR(__xludf.DUMMYFUNCTION("""COMPUTED_VALUE"""),8.0)</f>
        <v>8</v>
      </c>
      <c r="I814" s="10">
        <f>IFERROR(__xludf.DUMMYFUNCTION("""COMPUTED_VALUE"""),0.0)</f>
        <v>0</v>
      </c>
      <c r="J814" s="10"/>
      <c r="K814" s="10"/>
      <c r="L814" s="10"/>
      <c r="M814" s="10">
        <f>IFERROR(__xludf.DUMMYFUNCTION("""COMPUTED_VALUE"""),8.0)</f>
        <v>8</v>
      </c>
      <c r="N814" s="10"/>
      <c r="O814" s="10"/>
      <c r="P814" s="10"/>
      <c r="Q814" s="10"/>
      <c r="R814" s="10"/>
      <c r="S814" s="10"/>
      <c r="T814" s="10"/>
      <c r="U814" s="18" t="str">
        <f>IFERROR(__xludf.DUMMYFUNCTION("""COMPUTED_VALUE"""),"https://drive.google.com/open?id=13CH1I76Dk4gkdAaNtcavStv_XaBszo7f")</f>
        <v>https://drive.google.com/open?id=13CH1I76Dk4gkdAaNtcavStv_XaBszo7f</v>
      </c>
      <c r="V814" s="10"/>
      <c r="W814" s="10"/>
      <c r="X814" s="10"/>
      <c r="Y814" s="14" t="str">
        <f>IFERROR(__xludf.DUMMYFUNCTION("""COMPUTED_VALUE"""),"nadeem_mirza73@hotmail.com")</f>
        <v>nadeem_mirza73@hotmail.com</v>
      </c>
      <c r="AA814" s="324"/>
    </row>
    <row r="815" hidden="1">
      <c r="A815" s="9">
        <f>IFERROR(__xludf.DUMMYFUNCTION("""COMPUTED_VALUE"""),45982.1890963426)</f>
        <v>45982.1891</v>
      </c>
      <c r="B815" s="10" t="str">
        <f>IFERROR(__xludf.DUMMYFUNCTION("""COMPUTED_VALUE"""),"Zain Sajjad ")</f>
        <v>Zain Sajjad </v>
      </c>
      <c r="C815" s="10" t="str">
        <f>IFERROR(__xludf.DUMMYFUNCTION("""COMPUTED_VALUE"""),"03044801331")</f>
        <v>03044801331</v>
      </c>
      <c r="D815" s="10" t="str">
        <f>IFERROR(__xludf.DUMMYFUNCTION("""COMPUTED_VALUE"""),"Jamia Masjid Qasmiya rehmy Shah Faisalabad ")</f>
        <v>Jamia Masjid Qasmiya rehmy Shah Faisalabad </v>
      </c>
      <c r="E815" s="10" t="str">
        <f>IFERROR(__xludf.DUMMYFUNCTION("""COMPUTED_VALUE"""),"cmwps")</f>
        <v>cmwps</v>
      </c>
      <c r="F815" s="10">
        <f>IFERROR(__xludf.DUMMYFUNCTION("""COMPUTED_VALUE"""),300.0)</f>
        <v>300</v>
      </c>
      <c r="G815" s="10">
        <f>IFERROR(__xludf.DUMMYFUNCTION("""COMPUTED_VALUE"""),8.0)</f>
        <v>8</v>
      </c>
      <c r="H815" s="10">
        <f>IFERROR(__xludf.DUMMYFUNCTION("""COMPUTED_VALUE"""),9.0)</f>
        <v>9</v>
      </c>
      <c r="I815" s="10">
        <f>IFERROR(__xludf.DUMMYFUNCTION("""COMPUTED_VALUE"""),20.0)</f>
        <v>20</v>
      </c>
      <c r="J815" s="10"/>
      <c r="K815" s="10"/>
      <c r="L815" s="10"/>
      <c r="M815" s="10">
        <f>IFERROR(__xludf.DUMMYFUNCTION("""COMPUTED_VALUE"""),9.0)</f>
        <v>9</v>
      </c>
      <c r="N815" s="10"/>
      <c r="O815" s="10"/>
      <c r="P815" s="10"/>
      <c r="Q815" s="10"/>
      <c r="R815" s="10"/>
      <c r="S815" s="10"/>
      <c r="T815" s="10"/>
      <c r="U815" s="18" t="str">
        <f>IFERROR(__xludf.DUMMYFUNCTION("""COMPUTED_VALUE"""),"https://drive.google.com/open?id=1WzmlfwQD5_F67APyEpZjlpEi81-mgTPb")</f>
        <v>https://drive.google.com/open?id=1WzmlfwQD5_F67APyEpZjlpEi81-mgTPb</v>
      </c>
      <c r="V815" s="10" t="str">
        <f>IFERROR(__xludf.DUMMYFUNCTION("""COMPUTED_VALUE"""),"No")</f>
        <v>No</v>
      </c>
      <c r="W815" s="10"/>
      <c r="X815" s="10"/>
      <c r="Y815" s="14" t="str">
        <f>IFERROR(__xludf.DUMMYFUNCTION("""COMPUTED_VALUE"""),"zain.chandio881@gmail.com")</f>
        <v>zain.chandio881@gmail.com</v>
      </c>
      <c r="AA815" s="324"/>
    </row>
    <row r="816" hidden="1">
      <c r="A816" s="9">
        <f>IFERROR(__xludf.DUMMYFUNCTION("""COMPUTED_VALUE"""),45982.350619467594)</f>
        <v>45982.35062</v>
      </c>
      <c r="B816" s="10" t="str">
        <f>IFERROR(__xludf.DUMMYFUNCTION("""COMPUTED_VALUE"""),"M.rizwan")</f>
        <v>M.rizwan</v>
      </c>
      <c r="C816" s="10" t="str">
        <f>IFERROR(__xludf.DUMMYFUNCTION("""COMPUTED_VALUE"""),"03084373512")</f>
        <v>03084373512</v>
      </c>
      <c r="D816" s="10" t="str">
        <f>IFERROR(__xludf.DUMMYFUNCTION("""COMPUTED_VALUE"""),"Nolakh hazari ")</f>
        <v>Nolakh hazari </v>
      </c>
      <c r="E816" s="10" t="str">
        <f>IFERROR(__xludf.DUMMYFUNCTION("""COMPUTED_VALUE"""),"epwte")</f>
        <v>epwte</v>
      </c>
      <c r="F816" s="10">
        <f>IFERROR(__xludf.DUMMYFUNCTION("""COMPUTED_VALUE"""),330.0)</f>
        <v>330</v>
      </c>
      <c r="G816" s="10">
        <f>IFERROR(__xludf.DUMMYFUNCTION("""COMPUTED_VALUE"""),5.0)</f>
        <v>5</v>
      </c>
      <c r="H816" s="10">
        <f>IFERROR(__xludf.DUMMYFUNCTION("""COMPUTED_VALUE"""),5.0)</f>
        <v>5</v>
      </c>
      <c r="I816" s="10">
        <f>IFERROR(__xludf.DUMMYFUNCTION("""COMPUTED_VALUE"""),0.0)</f>
        <v>0</v>
      </c>
      <c r="J816" s="10"/>
      <c r="K816" s="10"/>
      <c r="L816" s="10"/>
      <c r="M816" s="10">
        <f>IFERROR(__xludf.DUMMYFUNCTION("""COMPUTED_VALUE"""),8.0)</f>
        <v>8</v>
      </c>
      <c r="N816" s="10"/>
      <c r="O816" s="10"/>
      <c r="P816" s="10"/>
      <c r="Q816" s="10"/>
      <c r="R816" s="10"/>
      <c r="S816" s="10"/>
      <c r="T816" s="10"/>
      <c r="U816" s="18" t="str">
        <f>IFERROR(__xludf.DUMMYFUNCTION("""COMPUTED_VALUE"""),"https://drive.google.com/open?id=15DITqmF9OhvKqCgczyGpa49fcizweio5")</f>
        <v>https://drive.google.com/open?id=15DITqmF9OhvKqCgczyGpa49fcizweio5</v>
      </c>
      <c r="V816" s="10" t="str">
        <f>IFERROR(__xludf.DUMMYFUNCTION("""COMPUTED_VALUE"""),"No")</f>
        <v>No</v>
      </c>
      <c r="W816" s="10"/>
      <c r="X816" s="10"/>
      <c r="Y816" s="14" t="str">
        <f>IFERROR(__xludf.DUMMYFUNCTION("""COMPUTED_VALUE"""),"mrizwanrasheed666@gmail.com")</f>
        <v>mrizwanrasheed666@gmail.com</v>
      </c>
      <c r="AA816" s="324"/>
    </row>
    <row r="817" hidden="1">
      <c r="A817" s="9">
        <f>IFERROR(__xludf.DUMMYFUNCTION("""COMPUTED_VALUE"""),45984.00228369213)</f>
        <v>45984.00228</v>
      </c>
      <c r="B817" s="10" t="str">
        <f>IFERROR(__xludf.DUMMYFUNCTION("""COMPUTED_VALUE"""),"Ali Asghar Khan Niazi ")</f>
        <v>Ali Asghar Khan Niazi </v>
      </c>
      <c r="C817" s="10" t="str">
        <f>IFERROR(__xludf.DUMMYFUNCTION("""COMPUTED_VALUE"""),"03007600161")</f>
        <v>03007600161</v>
      </c>
      <c r="D817" s="10" t="str">
        <f>IFERROR(__xludf.DUMMYFUNCTION("""COMPUTED_VALUE"""),"Jamia masjid chistiya Mkuuana ")</f>
        <v>Jamia masjid chistiya Mkuuana </v>
      </c>
      <c r="E817" s="10" t="str">
        <f>IFERROR(__xludf.DUMMYFUNCTION("""COMPUTED_VALUE"""),"cegdy")</f>
        <v>cegdy</v>
      </c>
      <c r="F817" s="10">
        <f>IFERROR(__xludf.DUMMYFUNCTION("""COMPUTED_VALUE"""),310.0)</f>
        <v>310</v>
      </c>
      <c r="G817" s="10">
        <f>IFERROR(__xludf.DUMMYFUNCTION("""COMPUTED_VALUE"""),6.0)</f>
        <v>6</v>
      </c>
      <c r="H817" s="10">
        <f>IFERROR(__xludf.DUMMYFUNCTION("""COMPUTED_VALUE"""),6.0)</f>
        <v>6</v>
      </c>
      <c r="I817" s="10">
        <f>IFERROR(__xludf.DUMMYFUNCTION("""COMPUTED_VALUE"""),4.0)</f>
        <v>4</v>
      </c>
      <c r="J817" s="10"/>
      <c r="K817" s="10"/>
      <c r="L817" s="10"/>
      <c r="M817" s="10">
        <f>IFERROR(__xludf.DUMMYFUNCTION("""COMPUTED_VALUE"""),8.0)</f>
        <v>8</v>
      </c>
      <c r="N817" s="10"/>
      <c r="O817" s="10"/>
      <c r="P817" s="10"/>
      <c r="Q817" s="10"/>
      <c r="R817" s="10"/>
      <c r="S817" s="10"/>
      <c r="T817" s="10"/>
      <c r="U817" s="18" t="str">
        <f>IFERROR(__xludf.DUMMYFUNCTION("""COMPUTED_VALUE"""),"https://drive.google.com/file/d/1EPNimrfPHkYHG8bxIK1MbkL26CPlEFPg/view?usp=drive_link")</f>
        <v>https://drive.google.com/file/d/1EPNimrfPHkYHG8bxIK1MbkL26CPlEFPg/view?usp=drive_link</v>
      </c>
      <c r="V817" s="10"/>
      <c r="W817" s="10"/>
      <c r="X817" s="10"/>
      <c r="Y817" s="14" t="str">
        <f>IFERROR(__xludf.DUMMYFUNCTION("""COMPUTED_VALUE"""),"ali.asghar.soc@gmail.com")</f>
        <v>ali.asghar.soc@gmail.com</v>
      </c>
      <c r="AA817" s="324"/>
    </row>
    <row r="818" hidden="1">
      <c r="A818" s="9">
        <f>IFERROR(__xludf.DUMMYFUNCTION("""COMPUTED_VALUE"""),45984.29169712963)</f>
        <v>45984.2917</v>
      </c>
      <c r="B818" s="10" t="str">
        <f>IFERROR(__xludf.DUMMYFUNCTION("""COMPUTED_VALUE"""),"Sheraz Ali Faraz ")</f>
        <v>Sheraz Ali Faraz </v>
      </c>
      <c r="C818" s="10" t="str">
        <f>IFERROR(__xludf.DUMMYFUNCTION("""COMPUTED_VALUE"""),"03037724188")</f>
        <v>03037724188</v>
      </c>
      <c r="D818" s="10" t="str">
        <f>IFERROR(__xludf.DUMMYFUNCTION("""COMPUTED_VALUE"""),"Jamia Masjid Gosha Nasheen Multan")</f>
        <v>Jamia Masjid Gosha Nasheen Multan</v>
      </c>
      <c r="E818" s="10" t="str">
        <f>IFERROR(__xludf.DUMMYFUNCTION("""COMPUTED_VALUE"""),"lhgfs")</f>
        <v>lhgfs</v>
      </c>
      <c r="F818" s="10">
        <f>IFERROR(__xludf.DUMMYFUNCTION("""COMPUTED_VALUE"""),95.0)</f>
        <v>95</v>
      </c>
      <c r="G818" s="10">
        <f>IFERROR(__xludf.DUMMYFUNCTION("""COMPUTED_VALUE"""),9.0)</f>
        <v>9</v>
      </c>
      <c r="H818" s="10">
        <f>IFERROR(__xludf.DUMMYFUNCTION("""COMPUTED_VALUE"""),9.0)</f>
        <v>9</v>
      </c>
      <c r="I818" s="10">
        <f>IFERROR(__xludf.DUMMYFUNCTION("""COMPUTED_VALUE"""),0.0)</f>
        <v>0</v>
      </c>
      <c r="J818" s="10"/>
      <c r="K818" s="10"/>
      <c r="L818" s="10"/>
      <c r="M818" s="10">
        <f>IFERROR(__xludf.DUMMYFUNCTION("""COMPUTED_VALUE"""),9.0)</f>
        <v>9</v>
      </c>
      <c r="N818" s="10"/>
      <c r="O818" s="10"/>
      <c r="P818" s="10"/>
      <c r="Q818" s="10"/>
      <c r="R818" s="10"/>
      <c r="S818" s="10"/>
      <c r="T818" s="10"/>
      <c r="U818" s="18" t="str">
        <f>IFERROR(__xludf.DUMMYFUNCTION("""COMPUTED_VALUE"""),"https://drive.google.com/open?id=1ceFI9JA7Z3xfJfLG2aB-e7y_Kcu2sSDr")</f>
        <v>https://drive.google.com/open?id=1ceFI9JA7Z3xfJfLG2aB-e7y_Kcu2sSDr</v>
      </c>
      <c r="V818" s="10"/>
      <c r="W818" s="10"/>
      <c r="X818" s="10"/>
      <c r="Y818" s="14" t="str">
        <f>IFERROR(__xludf.DUMMYFUNCTION("""COMPUTED_VALUE"""),"haris.cerp@gmail.com")</f>
        <v>haris.cerp@gmail.com</v>
      </c>
      <c r="AA818" s="324"/>
    </row>
    <row r="819" hidden="1">
      <c r="A819" s="9">
        <f>IFERROR(__xludf.DUMMYFUNCTION("""COMPUTED_VALUE"""),45989.238434189814)</f>
        <v>45989.23843</v>
      </c>
      <c r="B819" s="10" t="str">
        <f>IFERROR(__xludf.DUMMYFUNCTION("""COMPUTED_VALUE"""),"Nadeem Mirza ")</f>
        <v>Nadeem Mirza </v>
      </c>
      <c r="C819" s="10" t="str">
        <f>IFERROR(__xludf.DUMMYFUNCTION("""COMPUTED_VALUE"""),"03006623984")</f>
        <v>03006623984</v>
      </c>
      <c r="D819" s="10" t="str">
        <f>IFERROR(__xludf.DUMMYFUNCTION("""COMPUTED_VALUE"""),"Jamia Masjid Jhall khanuana Faisalabad ")</f>
        <v>Jamia Masjid Jhall khanuana Faisalabad </v>
      </c>
      <c r="E819" s="10" t="str">
        <f>IFERROR(__xludf.DUMMYFUNCTION("""COMPUTED_VALUE"""),"DMVYD")</f>
        <v>DMVYD</v>
      </c>
      <c r="F819" s="10">
        <f>IFERROR(__xludf.DUMMYFUNCTION("""COMPUTED_VALUE"""),578.0)</f>
        <v>578</v>
      </c>
      <c r="G819" s="10">
        <f>IFERROR(__xludf.DUMMYFUNCTION("""COMPUTED_VALUE"""),8.0)</f>
        <v>8</v>
      </c>
      <c r="H819" s="10">
        <f>IFERROR(__xludf.DUMMYFUNCTION("""COMPUTED_VALUE"""),9.0)</f>
        <v>9</v>
      </c>
      <c r="I819" s="10">
        <f>IFERROR(__xludf.DUMMYFUNCTION("""COMPUTED_VALUE"""),0.0)</f>
        <v>0</v>
      </c>
      <c r="J819" s="10"/>
      <c r="K819" s="10"/>
      <c r="L819" s="10"/>
      <c r="M819" s="10">
        <f>IFERROR(__xludf.DUMMYFUNCTION("""COMPUTED_VALUE"""),7.0)</f>
        <v>7</v>
      </c>
      <c r="N819" s="10"/>
      <c r="O819" s="10"/>
      <c r="P819" s="10"/>
      <c r="Q819" s="10"/>
      <c r="R819" s="10"/>
      <c r="S819" s="10"/>
      <c r="T819" s="10"/>
      <c r="U819" s="18" t="str">
        <f>IFERROR(__xludf.DUMMYFUNCTION("""COMPUTED_VALUE"""),"https://drive.google.com/open?id=1NR-kcIAr831XCxGTtmtWbiczlsPv-zg8")</f>
        <v>https://drive.google.com/open?id=1NR-kcIAr831XCxGTtmtWbiczlsPv-zg8</v>
      </c>
      <c r="V819" s="10" t="str">
        <f>IFERROR(__xludf.DUMMYFUNCTION("""COMPUTED_VALUE"""),"Sermon topic was Hazrat Abu Bakar Sadique R.A")</f>
        <v>Sermon topic was Hazrat Abu Bakar Sadique R.A</v>
      </c>
      <c r="W819" s="10"/>
      <c r="X819" s="10"/>
      <c r="Y819" s="14" t="str">
        <f>IFERROR(__xludf.DUMMYFUNCTION("""COMPUTED_VALUE"""),"nadeem_mirza73@hotmail.com")</f>
        <v>nadeem_mirza73@hotmail.com</v>
      </c>
      <c r="AA819" s="324"/>
    </row>
    <row r="820" hidden="1">
      <c r="A820" s="9">
        <f>IFERROR(__xludf.DUMMYFUNCTION("""COMPUTED_VALUE"""),45992.41655956018)</f>
        <v>45992.41656</v>
      </c>
      <c r="B820" s="10" t="str">
        <f>IFERROR(__xludf.DUMMYFUNCTION("""COMPUTED_VALUE"""),"Zain Sajjad ")</f>
        <v>Zain Sajjad </v>
      </c>
      <c r="C820" s="10" t="str">
        <f>IFERROR(__xludf.DUMMYFUNCTION("""COMPUTED_VALUE"""),"03044801331")</f>
        <v>03044801331</v>
      </c>
      <c r="D820" s="10" t="str">
        <f>IFERROR(__xludf.DUMMYFUNCTION("""COMPUTED_VALUE"""),"Jamia Masjid Qasmiya rehmy Shah")</f>
        <v>Jamia Masjid Qasmiya rehmy Shah</v>
      </c>
      <c r="E820" s="10" t="str">
        <f>IFERROR(__xludf.DUMMYFUNCTION("""COMPUTED_VALUE"""),"cmwps")</f>
        <v>cmwps</v>
      </c>
      <c r="F820" s="10">
        <f>IFERROR(__xludf.DUMMYFUNCTION("""COMPUTED_VALUE"""),284.0)</f>
        <v>284</v>
      </c>
      <c r="G820" s="10">
        <f>IFERROR(__xludf.DUMMYFUNCTION("""COMPUTED_VALUE"""),9.0)</f>
        <v>9</v>
      </c>
      <c r="H820" s="10">
        <f>IFERROR(__xludf.DUMMYFUNCTION("""COMPUTED_VALUE"""),9.0)</f>
        <v>9</v>
      </c>
      <c r="I820" s="10">
        <f>IFERROR(__xludf.DUMMYFUNCTION("""COMPUTED_VALUE"""),0.0)</f>
        <v>0</v>
      </c>
      <c r="J820" s="10"/>
      <c r="K820" s="10"/>
      <c r="L820" s="10"/>
      <c r="M820" s="10">
        <f>IFERROR(__xludf.DUMMYFUNCTION("""COMPUTED_VALUE"""),9.0)</f>
        <v>9</v>
      </c>
      <c r="N820" s="10"/>
      <c r="O820" s="10"/>
      <c r="P820" s="10"/>
      <c r="Q820" s="10"/>
      <c r="R820" s="10"/>
      <c r="S820" s="10"/>
      <c r="T820" s="10"/>
      <c r="U820" s="18" t="str">
        <f>IFERROR(__xludf.DUMMYFUNCTION("""COMPUTED_VALUE"""),"https://drive.google.com/open?id=17oA0Ovsigo0oEoQVRlgHaLhgcHLPdsJ-")</f>
        <v>https://drive.google.com/open?id=17oA0Ovsigo0oEoQVRlgHaLhgcHLPdsJ-</v>
      </c>
      <c r="V820" s="10"/>
      <c r="W820" s="10"/>
      <c r="X820" s="10"/>
      <c r="Y820" s="14" t="str">
        <f>IFERROR(__xludf.DUMMYFUNCTION("""COMPUTED_VALUE"""),"haris.cerp@gmail.com")</f>
        <v>haris.cerp@gmail.com</v>
      </c>
      <c r="AA820" s="324"/>
    </row>
    <row r="821">
      <c r="A821" s="9">
        <f>IFERROR(__xludf.DUMMYFUNCTION("""COMPUTED_VALUE"""),46006.23904577547)</f>
        <v>46006.23905</v>
      </c>
      <c r="B821" s="10" t="str">
        <f>IFERROR(__xludf.DUMMYFUNCTION("""COMPUTED_VALUE"""),"Rehmat Ali")</f>
        <v>Rehmat Ali</v>
      </c>
      <c r="C821" s="10" t="str">
        <f>IFERROR(__xludf.DUMMYFUNCTION("""COMPUTED_VALUE"""),"03176143982")</f>
        <v>03176143982</v>
      </c>
      <c r="D821" s="10" t="str">
        <f>IFERROR(__xludf.DUMMYFUNCTION("""COMPUTED_VALUE"""),"Jamia Masjid Nattu shah farazi ")</f>
        <v>Jamia Masjid Nattu shah farazi </v>
      </c>
      <c r="E821" s="10" t="str">
        <f>IFERROR(__xludf.DUMMYFUNCTION("""COMPUTED_VALUE"""),"rymqe")</f>
        <v>rymqe</v>
      </c>
      <c r="F821" s="10">
        <f>IFERROR(__xludf.DUMMYFUNCTION("""COMPUTED_VALUE"""),70.0)</f>
        <v>70</v>
      </c>
      <c r="G821" s="10">
        <f>IFERROR(__xludf.DUMMYFUNCTION("""COMPUTED_VALUE"""),9.0)</f>
        <v>9</v>
      </c>
      <c r="H821" s="10">
        <f>IFERROR(__xludf.DUMMYFUNCTION("""COMPUTED_VALUE"""),8.0)</f>
        <v>8</v>
      </c>
      <c r="I821" s="10">
        <f>IFERROR(__xludf.DUMMYFUNCTION("""COMPUTED_VALUE"""),1.0)</f>
        <v>1</v>
      </c>
      <c r="J821" s="10"/>
      <c r="K821" s="10"/>
      <c r="L821" s="10"/>
      <c r="M821" s="10">
        <f>IFERROR(__xludf.DUMMYFUNCTION("""COMPUTED_VALUE"""),8.0)</f>
        <v>8</v>
      </c>
      <c r="N821" s="10"/>
      <c r="O821" s="10"/>
      <c r="P821" s="10"/>
      <c r="Q821" s="10"/>
      <c r="R821" s="10"/>
      <c r="S821" s="10"/>
      <c r="T821" s="10"/>
      <c r="U821" s="18" t="str">
        <f>IFERROR(__xludf.DUMMYFUNCTION("""COMPUTED_VALUE"""),"https://drive.google.com/file/d/1jG_JmOwaYhO4lbZa9ZQZJVR6ekudgzAQ/view?usp=drive_link")</f>
        <v>https://drive.google.com/file/d/1jG_JmOwaYhO4lbZa9ZQZJVR6ekudgzAQ/view?usp=drive_link</v>
      </c>
      <c r="V821" s="10"/>
      <c r="W821" s="10"/>
      <c r="X821" s="10"/>
      <c r="Y821" s="14" t="str">
        <f>IFERROR(__xludf.DUMMYFUNCTION("""COMPUTED_VALUE"""),"haris.cerp@gmail.com")</f>
        <v>haris.cerp@gmail.com</v>
      </c>
      <c r="AA821" s="324"/>
    </row>
    <row r="822">
      <c r="A822" s="9">
        <f>IFERROR(__xludf.DUMMYFUNCTION("""COMPUTED_VALUE"""),46010.15847112269)</f>
        <v>46010.15847</v>
      </c>
      <c r="B822" s="10" t="str">
        <f>IFERROR(__xludf.DUMMYFUNCTION("""COMPUTED_VALUE"""),"Gulraiz khan ")</f>
        <v>Gulraiz khan </v>
      </c>
      <c r="C822" s="10" t="str">
        <f>IFERROR(__xludf.DUMMYFUNCTION("""COMPUTED_VALUE"""),"03088148872")</f>
        <v>03088148872</v>
      </c>
      <c r="D822" s="10" t="str">
        <f>IFERROR(__xludf.DUMMYFUNCTION("""COMPUTED_VALUE"""),"Jamia Masjid Darbar Shah Di Nahlian")</f>
        <v>Jamia Masjid Darbar Shah Di Nahlian</v>
      </c>
      <c r="E822" s="10" t="str">
        <f>IFERROR(__xludf.DUMMYFUNCTION("""COMPUTED_VALUE"""),"wohmy")</f>
        <v>wohmy</v>
      </c>
      <c r="F822" s="10">
        <f>IFERROR(__xludf.DUMMYFUNCTION("""COMPUTED_VALUE"""),232.0)</f>
        <v>232</v>
      </c>
      <c r="G822" s="10">
        <f>IFERROR(__xludf.DUMMYFUNCTION("""COMPUTED_VALUE"""),9.0)</f>
        <v>9</v>
      </c>
      <c r="H822" s="10">
        <f>IFERROR(__xludf.DUMMYFUNCTION("""COMPUTED_VALUE"""),8.0)</f>
        <v>8</v>
      </c>
      <c r="I822" s="10">
        <f>IFERROR(__xludf.DUMMYFUNCTION("""COMPUTED_VALUE"""),1.0)</f>
        <v>1</v>
      </c>
      <c r="J822" s="10"/>
      <c r="K822" s="10"/>
      <c r="L822" s="10"/>
      <c r="M822" s="10">
        <f>IFERROR(__xludf.DUMMYFUNCTION("""COMPUTED_VALUE"""),9.0)</f>
        <v>9</v>
      </c>
      <c r="N822" s="10"/>
      <c r="O822" s="10"/>
      <c r="P822" s="10"/>
      <c r="Q822" s="10"/>
      <c r="R822" s="10"/>
      <c r="S822" s="10"/>
      <c r="T822" s="10"/>
      <c r="U822" s="18" t="str">
        <f>IFERROR(__xludf.DUMMYFUNCTION("""COMPUTED_VALUE"""),"https://drive.google.com/open?id=1FxVsIK3WuQVrTdP6s9HaR4GZ287SNjn8")</f>
        <v>https://drive.google.com/open?id=1FxVsIK3WuQVrTdP6s9HaR4GZ287SNjn8</v>
      </c>
      <c r="V822" s="10" t="str">
        <f>IFERROR(__xludf.DUMMYFUNCTION("""COMPUTED_VALUE"""),"Koi nhi")</f>
        <v>Koi nhi</v>
      </c>
      <c r="W822" s="10"/>
      <c r="X822" s="10"/>
      <c r="Y822" s="14" t="str">
        <f>IFERROR(__xludf.DUMMYFUNCTION("""COMPUTED_VALUE"""),"gulraizkh0an299@gmail.com")</f>
        <v>gulraizkh0an299@gmail.com</v>
      </c>
      <c r="AA822" s="324"/>
    </row>
    <row r="823">
      <c r="A823" s="9">
        <f>IFERROR(__xludf.DUMMYFUNCTION("""COMPUTED_VALUE"""),46010.16568289352)</f>
        <v>46010.16568</v>
      </c>
      <c r="B823" s="10" t="str">
        <f>IFERROR(__xludf.DUMMYFUNCTION("""COMPUTED_VALUE"""),"Touseeq ")</f>
        <v>Touseeq </v>
      </c>
      <c r="C823" s="10" t="str">
        <f>IFERROR(__xludf.DUMMYFUNCTION("""COMPUTED_VALUE"""),"03315563595")</f>
        <v>03315563595</v>
      </c>
      <c r="D823" s="10" t="str">
        <f>IFERROR(__xludf.DUMMYFUNCTION("""COMPUTED_VALUE"""),"opiuv	Jamia Masjid Darbar Peer Abdul Ghani op	")</f>
        <v>opiuv	Jamia Masjid Darbar Peer Abdul Ghani op	</v>
      </c>
      <c r="E823" s="10" t="str">
        <f>IFERROR(__xludf.DUMMYFUNCTION("""COMPUTED_VALUE"""),"opiuv")</f>
        <v>opiuv</v>
      </c>
      <c r="F823" s="10">
        <f>IFERROR(__xludf.DUMMYFUNCTION("""COMPUTED_VALUE"""),290.0)</f>
        <v>290</v>
      </c>
      <c r="G823" s="10">
        <f>IFERROR(__xludf.DUMMYFUNCTION("""COMPUTED_VALUE"""),2.0)</f>
        <v>2</v>
      </c>
      <c r="H823" s="10">
        <f>IFERROR(__xludf.DUMMYFUNCTION("""COMPUTED_VALUE"""),8.0)</f>
        <v>8</v>
      </c>
      <c r="I823" s="10">
        <f>IFERROR(__xludf.DUMMYFUNCTION("""COMPUTED_VALUE"""),1.0)</f>
        <v>1</v>
      </c>
      <c r="J823" s="10"/>
      <c r="K823" s="10"/>
      <c r="L823" s="10"/>
      <c r="M823" s="10">
        <f>IFERROR(__xludf.DUMMYFUNCTION("""COMPUTED_VALUE"""),8.0)</f>
        <v>8</v>
      </c>
      <c r="N823" s="10"/>
      <c r="O823" s="10"/>
      <c r="P823" s="10"/>
      <c r="Q823" s="10"/>
      <c r="R823" s="10"/>
      <c r="S823" s="10"/>
      <c r="T823" s="10"/>
      <c r="U823" s="18" t="str">
        <f>IFERROR(__xludf.DUMMYFUNCTION("""COMPUTED_VALUE"""),"https://drive.google.com/open?id=1nXW-JLuepYUsud5NTO7cmQJaCL62_IKJ")</f>
        <v>https://drive.google.com/open?id=1nXW-JLuepYUsud5NTO7cmQJaCL62_IKJ</v>
      </c>
      <c r="V823" s="10"/>
      <c r="W823" s="10"/>
      <c r="X823" s="10"/>
      <c r="Y823" s="14" t="str">
        <f>IFERROR(__xludf.DUMMYFUNCTION("""COMPUTED_VALUE"""),"aryankhan3315563595@gmail.com")</f>
        <v>aryankhan3315563595@gmail.com</v>
      </c>
      <c r="AA823" s="324"/>
    </row>
    <row r="824">
      <c r="A824" s="9">
        <f>IFERROR(__xludf.DUMMYFUNCTION("""COMPUTED_VALUE"""),46010.1957625463)</f>
        <v>46010.19576</v>
      </c>
      <c r="B824" s="10" t="str">
        <f>IFERROR(__xludf.DUMMYFUNCTION("""COMPUTED_VALUE"""),"Saddam")</f>
        <v>Saddam</v>
      </c>
      <c r="C824" s="10">
        <f>IFERROR(__xludf.DUMMYFUNCTION("""COMPUTED_VALUE"""),3.080008833E9)</f>
        <v>3080008833</v>
      </c>
      <c r="D824" s="10" t="str">
        <f>IFERROR(__xludf.DUMMYFUNCTION("""COMPUTED_VALUE"""),"Daud shah Hakani")</f>
        <v>Daud shah Hakani</v>
      </c>
      <c r="E824" s="10" t="str">
        <f>IFERROR(__xludf.DUMMYFUNCTION("""COMPUTED_VALUE"""),"lnsdx")</f>
        <v>lnsdx</v>
      </c>
      <c r="F824" s="10">
        <f>IFERROR(__xludf.DUMMYFUNCTION("""COMPUTED_VALUE"""),70.0)</f>
        <v>70</v>
      </c>
      <c r="G824" s="10">
        <f>IFERROR(__xludf.DUMMYFUNCTION("""COMPUTED_VALUE"""),7.0)</f>
        <v>7</v>
      </c>
      <c r="H824" s="10">
        <f>IFERROR(__xludf.DUMMYFUNCTION("""COMPUTED_VALUE"""),5.0)</f>
        <v>5</v>
      </c>
      <c r="I824" s="10">
        <f>IFERROR(__xludf.DUMMYFUNCTION("""COMPUTED_VALUE"""),1.0)</f>
        <v>1</v>
      </c>
      <c r="J824" s="10"/>
      <c r="K824" s="10"/>
      <c r="L824" s="10"/>
      <c r="M824" s="10">
        <f>IFERROR(__xludf.DUMMYFUNCTION("""COMPUTED_VALUE"""),4.0)</f>
        <v>4</v>
      </c>
      <c r="N824" s="10"/>
      <c r="O824" s="10"/>
      <c r="P824" s="10"/>
      <c r="Q824" s="10"/>
      <c r="R824" s="10"/>
      <c r="S824" s="10"/>
      <c r="T824" s="10"/>
      <c r="U824" s="18" t="str">
        <f>IFERROR(__xludf.DUMMYFUNCTION("""COMPUTED_VALUE"""),"https://drive.google.com/open?id=1Spah6AOG003Cq-resxicmrUXD_nIz_PZ")</f>
        <v>https://drive.google.com/open?id=1Spah6AOG003Cq-resxicmrUXD_nIz_PZ</v>
      </c>
      <c r="V824" s="10"/>
      <c r="W824" s="10"/>
      <c r="X824" s="10"/>
      <c r="Y824" s="14" t="str">
        <f>IFERROR(__xludf.DUMMYFUNCTION("""COMPUTED_VALUE"""),"saddamwazir55@gmail.com")</f>
        <v>saddamwazir55@gmail.com</v>
      </c>
      <c r="AA824" s="324"/>
    </row>
    <row r="825">
      <c r="A825" s="9">
        <f>IFERROR(__xludf.DUMMYFUNCTION("""COMPUTED_VALUE"""),46010.20311195602)</f>
        <v>46010.20311</v>
      </c>
      <c r="B825" s="10" t="str">
        <f>IFERROR(__xludf.DUMMYFUNCTION("""COMPUTED_VALUE"""),"Asad Mumtaz ")</f>
        <v>Asad Mumtaz </v>
      </c>
      <c r="C825" s="10" t="str">
        <f>IFERROR(__xludf.DUMMYFUNCTION("""COMPUTED_VALUE"""),"03165641906")</f>
        <v>03165641906</v>
      </c>
      <c r="D825" s="10" t="str">
        <f>IFERROR(__xludf.DUMMYFUNCTION("""COMPUTED_VALUE"""),"Masjid syeden#2 rewalpind ")</f>
        <v>Masjid syeden#2 rewalpind </v>
      </c>
      <c r="E825" s="10" t="str">
        <f>IFERROR(__xludf.DUMMYFUNCTION("""COMPUTED_VALUE"""),"Egckn")</f>
        <v>Egckn</v>
      </c>
      <c r="F825" s="10">
        <f>IFERROR(__xludf.DUMMYFUNCTION("""COMPUTED_VALUE"""),371.0)</f>
        <v>371</v>
      </c>
      <c r="G825" s="10">
        <f>IFERROR(__xludf.DUMMYFUNCTION("""COMPUTED_VALUE"""),7.0)</f>
        <v>7</v>
      </c>
      <c r="H825" s="10">
        <f>IFERROR(__xludf.DUMMYFUNCTION("""COMPUTED_VALUE"""),8.0)</f>
        <v>8</v>
      </c>
      <c r="I825" s="10">
        <f>IFERROR(__xludf.DUMMYFUNCTION("""COMPUTED_VALUE"""),33.0)</f>
        <v>33</v>
      </c>
      <c r="J825" s="10"/>
      <c r="K825" s="10"/>
      <c r="L825" s="10"/>
      <c r="M825" s="10">
        <f>IFERROR(__xludf.DUMMYFUNCTION("""COMPUTED_VALUE"""),9.0)</f>
        <v>9</v>
      </c>
      <c r="N825" s="10"/>
      <c r="O825" s="10"/>
      <c r="P825" s="10"/>
      <c r="Q825" s="10"/>
      <c r="R825" s="10"/>
      <c r="S825" s="10"/>
      <c r="T825" s="10"/>
      <c r="U825" s="18" t="str">
        <f>IFERROR(__xludf.DUMMYFUNCTION("""COMPUTED_VALUE"""),"https://drive.google.com/file/d/1MZ_Z84aZf3xbsLa-fDhLaZTJQFW-Qpqw/view?usp=drive_link")</f>
        <v>https://drive.google.com/file/d/1MZ_Z84aZf3xbsLa-fDhLaZTJQFW-Qpqw/view?usp=drive_link</v>
      </c>
      <c r="V825" s="10" t="str">
        <f>IFERROR(__xludf.DUMMYFUNCTION("""COMPUTED_VALUE"""),"Masjid ki left side par aik naala hay jhu buhat ganda hay aur masjid kay peechay aik kabristaan hay jhu gandha hay ")</f>
        <v>Masjid ki left side par aik naala hay jhu buhat ganda hay aur masjid kay peechay aik kabristaan hay jhu gandha hay </v>
      </c>
      <c r="W825" s="10"/>
      <c r="X825" s="10"/>
      <c r="Y825" s="14" t="str">
        <f>IFERROR(__xludf.DUMMYFUNCTION("""COMPUTED_VALUE"""),"ak6313854@gmail.com")</f>
        <v>ak6313854@gmail.com</v>
      </c>
      <c r="AA825" s="324"/>
    </row>
    <row r="826">
      <c r="A826" s="9">
        <f>IFERROR(__xludf.DUMMYFUNCTION("""COMPUTED_VALUE"""),46010.2156790625)</f>
        <v>46010.21568</v>
      </c>
      <c r="B826" s="10" t="str">
        <f>IFERROR(__xludf.DUMMYFUNCTION("""COMPUTED_VALUE"""),"Aftab Ahmed ")</f>
        <v>Aftab Ahmed </v>
      </c>
      <c r="C826" s="10" t="str">
        <f>IFERROR(__xludf.DUMMYFUNCTION("""COMPUTED_VALUE"""),"03135200400")</f>
        <v>03135200400</v>
      </c>
      <c r="D826" s="10" t="str">
        <f>IFERROR(__xludf.DUMMYFUNCTION("""COMPUTED_VALUE"""),"Jamia masjid darbar Aliya Syed ghor Ali shah")</f>
        <v>Jamia masjid darbar Aliya Syed ghor Ali shah</v>
      </c>
      <c r="E826" s="10" t="str">
        <f>IFERROR(__xludf.DUMMYFUNCTION("""COMPUTED_VALUE"""),"omcbn")</f>
        <v>omcbn</v>
      </c>
      <c r="F826" s="10">
        <f>IFERROR(__xludf.DUMMYFUNCTION("""COMPUTED_VALUE"""),347.0)</f>
        <v>347</v>
      </c>
      <c r="G826" s="10">
        <f>IFERROR(__xludf.DUMMYFUNCTION("""COMPUTED_VALUE"""),9.0)</f>
        <v>9</v>
      </c>
      <c r="H826" s="10">
        <f>IFERROR(__xludf.DUMMYFUNCTION("""COMPUTED_VALUE"""),7.0)</f>
        <v>7</v>
      </c>
      <c r="I826" s="10">
        <f>IFERROR(__xludf.DUMMYFUNCTION("""COMPUTED_VALUE"""),1.0)</f>
        <v>1</v>
      </c>
      <c r="J826" s="10"/>
      <c r="K826" s="10"/>
      <c r="L826" s="10"/>
      <c r="M826" s="10">
        <f>IFERROR(__xludf.DUMMYFUNCTION("""COMPUTED_VALUE"""),9.0)</f>
        <v>9</v>
      </c>
      <c r="N826" s="10"/>
      <c r="O826" s="10"/>
      <c r="P826" s="10"/>
      <c r="Q826" s="10"/>
      <c r="R826" s="10"/>
      <c r="S826" s="10"/>
      <c r="T826" s="10"/>
      <c r="U826" s="18" t="str">
        <f>IFERROR(__xludf.DUMMYFUNCTION("""COMPUTED_VALUE"""),"https://drive.google.com/open?id=18V-Ps_Z7TU4u23zdYz00Liy_dmmAn_YU")</f>
        <v>https://drive.google.com/open?id=18V-Ps_Z7TU4u23zdYz00Liy_dmmAn_YU</v>
      </c>
      <c r="V826" s="10" t="str">
        <f>IFERROR(__xludf.DUMMYFUNCTION("""COMPUTED_VALUE"""),"All ok")</f>
        <v>All ok</v>
      </c>
      <c r="W826" s="10"/>
      <c r="X826" s="10"/>
      <c r="Y826" s="14" t="str">
        <f>IFERROR(__xludf.DUMMYFUNCTION("""COMPUTED_VALUE"""),"aftabahmed080@gmail.com")</f>
        <v>aftabahmed080@gmail.com</v>
      </c>
      <c r="AA826" s="324"/>
    </row>
    <row r="827">
      <c r="A827" s="9">
        <f>IFERROR(__xludf.DUMMYFUNCTION("""COMPUTED_VALUE"""),46010.220459062504)</f>
        <v>46010.22046</v>
      </c>
      <c r="B827" s="10" t="str">
        <f>IFERROR(__xludf.DUMMYFUNCTION("""COMPUTED_VALUE"""),"Adnan yousaf")</f>
        <v>Adnan yousaf</v>
      </c>
      <c r="C827" s="10" t="str">
        <f>IFERROR(__xludf.DUMMYFUNCTION("""COMPUTED_VALUE"""),"03335119780")</f>
        <v>03335119780</v>
      </c>
      <c r="D827" s="10" t="str">
        <f>IFERROR(__xludf.DUMMYFUNCTION("""COMPUTED_VALUE"""),"Jamia masjid Al Habib baba quma khan ")</f>
        <v>Jamia masjid Al Habib baba quma khan </v>
      </c>
      <c r="E827" s="10" t="str">
        <f>IFERROR(__xludf.DUMMYFUNCTION("""COMPUTED_VALUE"""),"gakov")</f>
        <v>gakov</v>
      </c>
      <c r="F827" s="10">
        <f>IFERROR(__xludf.DUMMYFUNCTION("""COMPUTED_VALUE"""),244.0)</f>
        <v>244</v>
      </c>
      <c r="G827" s="10">
        <f>IFERROR(__xludf.DUMMYFUNCTION("""COMPUTED_VALUE"""),7.0)</f>
        <v>7</v>
      </c>
      <c r="H827" s="10">
        <f>IFERROR(__xludf.DUMMYFUNCTION("""COMPUTED_VALUE"""),6.0)</f>
        <v>6</v>
      </c>
      <c r="I827" s="10">
        <f>IFERROR(__xludf.DUMMYFUNCTION("""COMPUTED_VALUE"""),1.0)</f>
        <v>1</v>
      </c>
      <c r="J827" s="10"/>
      <c r="K827" s="10"/>
      <c r="L827" s="10"/>
      <c r="M827" s="10">
        <f>IFERROR(__xludf.DUMMYFUNCTION("""COMPUTED_VALUE"""),8.0)</f>
        <v>8</v>
      </c>
      <c r="N827" s="10"/>
      <c r="O827" s="10"/>
      <c r="P827" s="10"/>
      <c r="Q827" s="10"/>
      <c r="R827" s="10"/>
      <c r="S827" s="10"/>
      <c r="T827" s="10"/>
      <c r="U827" s="18" t="str">
        <f>IFERROR(__xludf.DUMMYFUNCTION("""COMPUTED_VALUE"""),"https://drive.google.com/file/d/1VCRe17H2SHVYCbmH8ER2mpE2GHcOENQ6/view?usp=drive_link")</f>
        <v>https://drive.google.com/file/d/1VCRe17H2SHVYCbmH8ER2mpE2GHcOENQ6/view?usp=drive_link</v>
      </c>
      <c r="V827" s="10" t="str">
        <f>IFERROR(__xludf.DUMMYFUNCTION("""COMPUTED_VALUE"""),"All ok")</f>
        <v>All ok</v>
      </c>
      <c r="W827" s="10"/>
      <c r="X827" s="10"/>
      <c r="Y827" s="14" t="str">
        <f>IFERROR(__xludf.DUMMYFUNCTION("""COMPUTED_VALUE"""),"madnan6868@gmail.com")</f>
        <v>madnan6868@gmail.com</v>
      </c>
      <c r="AA827" s="324"/>
    </row>
    <row r="828">
      <c r="A828" s="9">
        <f>IFERROR(__xludf.DUMMYFUNCTION("""COMPUTED_VALUE"""),46010.23097733797)</f>
        <v>46010.23098</v>
      </c>
      <c r="B828" s="10" t="str">
        <f>IFERROR(__xludf.DUMMYFUNCTION("""COMPUTED_VALUE"""),"Mudassar Iqbal ")</f>
        <v>Mudassar Iqbal </v>
      </c>
      <c r="C828" s="10" t="str">
        <f>IFERROR(__xludf.DUMMYFUNCTION("""COMPUTED_VALUE"""),"03344907010")</f>
        <v>03344907010</v>
      </c>
      <c r="D828" s="10" t="str">
        <f>IFERROR(__xludf.DUMMYFUNCTION("""COMPUTED_VALUE"""),"Markazi Jamia Masjid Hanfia Rawalpindi ")</f>
        <v>Markazi Jamia Masjid Hanfia Rawalpindi </v>
      </c>
      <c r="E828" s="10" t="str">
        <f>IFERROR(__xludf.DUMMYFUNCTION("""COMPUTED_VALUE"""),"tgzpv")</f>
        <v>tgzpv</v>
      </c>
      <c r="F828" s="10">
        <f>IFERROR(__xludf.DUMMYFUNCTION("""COMPUTED_VALUE"""),950.0)</f>
        <v>950</v>
      </c>
      <c r="G828" s="10">
        <f>IFERROR(__xludf.DUMMYFUNCTION("""COMPUTED_VALUE"""),8.0)</f>
        <v>8</v>
      </c>
      <c r="H828" s="10">
        <f>IFERROR(__xludf.DUMMYFUNCTION("""COMPUTED_VALUE"""),8.0)</f>
        <v>8</v>
      </c>
      <c r="I828" s="10">
        <f>IFERROR(__xludf.DUMMYFUNCTION("""COMPUTED_VALUE"""),3.0)</f>
        <v>3</v>
      </c>
      <c r="J828" s="10"/>
      <c r="K828" s="10"/>
      <c r="L828" s="10"/>
      <c r="M828" s="10">
        <f>IFERROR(__xludf.DUMMYFUNCTION("""COMPUTED_VALUE"""),7.0)</f>
        <v>7</v>
      </c>
      <c r="N828" s="10"/>
      <c r="O828" s="10"/>
      <c r="P828" s="10"/>
      <c r="Q828" s="10"/>
      <c r="R828" s="10"/>
      <c r="S828" s="10"/>
      <c r="T828" s="10"/>
      <c r="U828" s="18" t="str">
        <f>IFERROR(__xludf.DUMMYFUNCTION("""COMPUTED_VALUE"""),"https://drive.google.com/file/d/1EKX5M69jJ9ExSE2b0Xae4e1Ku1jNZwsZ/view?usp=drive_link")</f>
        <v>https://drive.google.com/file/d/1EKX5M69jJ9ExSE2b0Xae4e1Ku1jNZwsZ/view?usp=drive_link</v>
      </c>
      <c r="V828" s="10" t="str">
        <f>IFERROR(__xludf.DUMMYFUNCTION("""COMPUTED_VALUE"""),"Nothing ")</f>
        <v>Nothing </v>
      </c>
      <c r="W828" s="10"/>
      <c r="X828" s="10"/>
      <c r="Y828" s="14" t="str">
        <f>IFERROR(__xludf.DUMMYFUNCTION("""COMPUTED_VALUE"""),"balochmudassar44@gmail.com")</f>
        <v>balochmudassar44@gmail.com</v>
      </c>
      <c r="AA828" s="324"/>
    </row>
    <row r="829">
      <c r="A829" s="9">
        <f>IFERROR(__xludf.DUMMYFUNCTION("""COMPUTED_VALUE"""),46010.24371185185)</f>
        <v>46010.24371</v>
      </c>
      <c r="B829" s="10" t="str">
        <f>IFERROR(__xludf.DUMMYFUNCTION("""COMPUTED_VALUE"""),"Shahzaib Attari")</f>
        <v>Shahzaib Attari</v>
      </c>
      <c r="C829" s="10" t="str">
        <f>IFERROR(__xludf.DUMMYFUNCTION("""COMPUTED_VALUE"""),"03105875099")</f>
        <v>03105875099</v>
      </c>
      <c r="D829" s="10" t="str">
        <f>IFERROR(__xludf.DUMMYFUNCTION("""COMPUTED_VALUE"""),"Jamia Masjid Muree barori chaklala scheme 3 Rawalpindi ")</f>
        <v>Jamia Masjid Muree barori chaklala scheme 3 Rawalpindi </v>
      </c>
      <c r="E829" s="10" t="str">
        <f>IFERROR(__xludf.DUMMYFUNCTION("""COMPUTED_VALUE"""),"Cxyup")</f>
        <v>Cxyup</v>
      </c>
      <c r="F829" s="10">
        <f>IFERROR(__xludf.DUMMYFUNCTION("""COMPUTED_VALUE"""),200.0)</f>
        <v>200</v>
      </c>
      <c r="G829" s="10">
        <f>IFERROR(__xludf.DUMMYFUNCTION("""COMPUTED_VALUE"""),10.0)</f>
        <v>10</v>
      </c>
      <c r="H829" s="10">
        <f>IFERROR(__xludf.DUMMYFUNCTION("""COMPUTED_VALUE"""),10.0)</f>
        <v>10</v>
      </c>
      <c r="I829" s="10">
        <f>IFERROR(__xludf.DUMMYFUNCTION("""COMPUTED_VALUE"""),0.0)</f>
        <v>0</v>
      </c>
      <c r="J829" s="10"/>
      <c r="K829" s="10"/>
      <c r="L829" s="10"/>
      <c r="M829" s="10">
        <f>IFERROR(__xludf.DUMMYFUNCTION("""COMPUTED_VALUE"""),9.0)</f>
        <v>9</v>
      </c>
      <c r="N829" s="10"/>
      <c r="O829" s="10"/>
      <c r="P829" s="10"/>
      <c r="Q829" s="10"/>
      <c r="R829" s="10"/>
      <c r="S829" s="10"/>
      <c r="T829" s="10"/>
      <c r="U829" s="18" t="str">
        <f>IFERROR(__xludf.DUMMYFUNCTION("""COMPUTED_VALUE"""),"https://drive.google.com/open?id=1MXIOdDelU_XncLihTWGxT2tMp33RZgP6")</f>
        <v>https://drive.google.com/open?id=1MXIOdDelU_XncLihTWGxT2tMp33RZgP6</v>
      </c>
      <c r="V829" s="10" t="str">
        <f>IFERROR(__xludf.DUMMYFUNCTION("""COMPUTED_VALUE"""),"جمعہ کی نماز اپنے مقررہ ٹائم پہ نہیں ہوئی تھی بلکہ 1:50 پہ ہوئی تھی جمعہ کی نماز کا مقرر وقت 1:35 تھا")</f>
        <v>جمعہ کی نماز اپنے مقررہ ٹائم پہ نہیں ہوئی تھی بلکہ 1:50 پہ ہوئی تھی جمعہ کی نماز کا مقرر وقت 1:35 تھا</v>
      </c>
      <c r="W829" s="10"/>
      <c r="X829" s="10"/>
      <c r="Y829" s="14" t="str">
        <f>IFERROR(__xludf.DUMMYFUNCTION("""COMPUTED_VALUE"""),"shahzaib58750999@gmail.com")</f>
        <v>shahzaib58750999@gmail.com</v>
      </c>
      <c r="AA829" s="324"/>
    </row>
    <row r="830">
      <c r="A830" s="9">
        <f>IFERROR(__xludf.DUMMYFUNCTION("""COMPUTED_VALUE"""),46010.25822761574)</f>
        <v>46010.25823</v>
      </c>
      <c r="B830" s="10" t="str">
        <f>IFERROR(__xludf.DUMMYFUNCTION("""COMPUTED_VALUE"""),"Shahzaib Attari ")</f>
        <v>Shahzaib Attari </v>
      </c>
      <c r="C830" s="10" t="str">
        <f>IFERROR(__xludf.DUMMYFUNCTION("""COMPUTED_VALUE"""),"03105875099")</f>
        <v>03105875099</v>
      </c>
      <c r="D830" s="10" t="str">
        <f>IFERROR(__xludf.DUMMYFUNCTION("""COMPUTED_VALUE"""),"Jamia Masjid ganj mandi Rawalpindi")</f>
        <v>Jamia Masjid ganj mandi Rawalpindi</v>
      </c>
      <c r="E830" s="10" t="str">
        <f>IFERROR(__xludf.DUMMYFUNCTION("""COMPUTED_VALUE"""),"silss")</f>
        <v>silss</v>
      </c>
      <c r="F830" s="10">
        <f>IFERROR(__xludf.DUMMYFUNCTION("""COMPUTED_VALUE"""),500.0)</f>
        <v>500</v>
      </c>
      <c r="G830" s="10">
        <f>IFERROR(__xludf.DUMMYFUNCTION("""COMPUTED_VALUE"""),3.0)</f>
        <v>3</v>
      </c>
      <c r="H830" s="10">
        <f>IFERROR(__xludf.DUMMYFUNCTION("""COMPUTED_VALUE"""),3.0)</f>
        <v>3</v>
      </c>
      <c r="I830" s="10">
        <f>IFERROR(__xludf.DUMMYFUNCTION("""COMPUTED_VALUE"""),3.0)</f>
        <v>3</v>
      </c>
      <c r="J830" s="10"/>
      <c r="K830" s="10"/>
      <c r="L830" s="10"/>
      <c r="M830" s="10">
        <f>IFERROR(__xludf.DUMMYFUNCTION("""COMPUTED_VALUE"""),9.0)</f>
        <v>9</v>
      </c>
      <c r="N830" s="10"/>
      <c r="O830" s="10"/>
      <c r="P830" s="10"/>
      <c r="Q830" s="10"/>
      <c r="R830" s="10"/>
      <c r="S830" s="10"/>
      <c r="T830" s="10"/>
      <c r="U830" s="18" t="str">
        <f>IFERROR(__xludf.DUMMYFUNCTION("""COMPUTED_VALUE"""),"https://drive.google.com/open?id=1osr6nZH-i4_ppnO0XKS75mcOqxeS4E4M")</f>
        <v>https://drive.google.com/open?id=1osr6nZH-i4_ppnO0XKS75mcOqxeS4E4M</v>
      </c>
      <c r="V830" s="10"/>
      <c r="W830" s="10"/>
      <c r="X830" s="10"/>
      <c r="Y830" s="14" t="str">
        <f>IFERROR(__xludf.DUMMYFUNCTION("""COMPUTED_VALUE"""),"shahzaib58750999@gmail.com")</f>
        <v>shahzaib58750999@gmail.com</v>
      </c>
      <c r="AA830" s="324"/>
    </row>
    <row r="831">
      <c r="A831" s="9">
        <f>IFERROR(__xludf.DUMMYFUNCTION("""COMPUTED_VALUE"""),46010.287086412034)</f>
        <v>46010.28709</v>
      </c>
      <c r="B831" s="10" t="str">
        <f>IFERROR(__xludf.DUMMYFUNCTION("""COMPUTED_VALUE"""),"Muhammad Ehsan Anwer")</f>
        <v>Muhammad Ehsan Anwer</v>
      </c>
      <c r="C831" s="10" t="str">
        <f>IFERROR(__xludf.DUMMYFUNCTION("""COMPUTED_VALUE"""),"03055863729")</f>
        <v>03055863729</v>
      </c>
      <c r="D831" s="10" t="str">
        <f>IFERROR(__xludf.DUMMYFUNCTION("""COMPUTED_VALUE"""),"Masjid Main Haji Sab Bagga Sher")</f>
        <v>Masjid Main Haji Sab Bagga Sher</v>
      </c>
      <c r="E831" s="10" t="str">
        <f>IFERROR(__xludf.DUMMYFUNCTION("""COMPUTED_VALUE"""),"Vzblw")</f>
        <v>Vzblw</v>
      </c>
      <c r="F831" s="10">
        <f>IFERROR(__xludf.DUMMYFUNCTION("""COMPUTED_VALUE"""),254.0)</f>
        <v>254</v>
      </c>
      <c r="G831" s="10">
        <f>IFERROR(__xludf.DUMMYFUNCTION("""COMPUTED_VALUE"""),8.0)</f>
        <v>8</v>
      </c>
      <c r="H831" s="10">
        <f>IFERROR(__xludf.DUMMYFUNCTION("""COMPUTED_VALUE"""),5.0)</f>
        <v>5</v>
      </c>
      <c r="I831" s="10">
        <f>IFERROR(__xludf.DUMMYFUNCTION("""COMPUTED_VALUE"""),2.0)</f>
        <v>2</v>
      </c>
      <c r="J831" s="10"/>
      <c r="K831" s="10"/>
      <c r="L831" s="10"/>
      <c r="M831" s="10">
        <f>IFERROR(__xludf.DUMMYFUNCTION("""COMPUTED_VALUE"""),9.0)</f>
        <v>9</v>
      </c>
      <c r="N831" s="10"/>
      <c r="O831" s="10"/>
      <c r="P831" s="10"/>
      <c r="Q831" s="10"/>
      <c r="R831" s="10"/>
      <c r="S831" s="10"/>
      <c r="T831" s="10"/>
      <c r="U831" s="18" t="str">
        <f>IFERROR(__xludf.DUMMYFUNCTION("""COMPUTED_VALUE"""),"https://drive.google.com/open?id=1VgVTf0Out9MmejVaMXZNDPSlf0AwYuex")</f>
        <v>https://drive.google.com/open?id=1VgVTf0Out9MmejVaMXZNDPSlf0AwYuex</v>
      </c>
      <c r="V831" s="10"/>
      <c r="W831" s="10"/>
      <c r="X831" s="10"/>
      <c r="Y831" s="14" t="str">
        <f>IFERROR(__xludf.DUMMYFUNCTION("""COMPUTED_VALUE"""),"malikehsan4772@gmail.com")</f>
        <v>malikehsan4772@gmail.com</v>
      </c>
      <c r="AA831" s="324"/>
    </row>
    <row r="832">
      <c r="A832" s="9">
        <f>IFERROR(__xludf.DUMMYFUNCTION("""COMPUTED_VALUE"""),46010.29863619213)</f>
        <v>46010.29864</v>
      </c>
      <c r="B832" s="10" t="str">
        <f>IFERROR(__xludf.DUMMYFUNCTION("""COMPUTED_VALUE"""),"Muhammad Junaid khan ")</f>
        <v>Muhammad Junaid khan </v>
      </c>
      <c r="C832" s="10" t="str">
        <f>IFERROR(__xludf.DUMMYFUNCTION("""COMPUTED_VALUE"""),"03304798598")</f>
        <v>03304798598</v>
      </c>
      <c r="D832" s="10" t="str">
        <f>IFERROR(__xludf.DUMMYFUNCTION("""COMPUTED_VALUE"""),"JAMIA MASJID SABZY MANDY MOTI BAZAR RAWALPINDI ")</f>
        <v>JAMIA MASJID SABZY MANDY MOTI BAZAR RAWALPINDI </v>
      </c>
      <c r="E832" s="10" t="str">
        <f>IFERROR(__xludf.DUMMYFUNCTION("""COMPUTED_VALUE"""),"Cvcqu")</f>
        <v>Cvcqu</v>
      </c>
      <c r="F832" s="10">
        <f>IFERROR(__xludf.DUMMYFUNCTION("""COMPUTED_VALUE"""),850.0)</f>
        <v>850</v>
      </c>
      <c r="G832" s="10">
        <f>IFERROR(__xludf.DUMMYFUNCTION("""COMPUTED_VALUE"""),8.0)</f>
        <v>8</v>
      </c>
      <c r="H832" s="10">
        <f>IFERROR(__xludf.DUMMYFUNCTION("""COMPUTED_VALUE"""),8.0)</f>
        <v>8</v>
      </c>
      <c r="I832" s="10">
        <f>IFERROR(__xludf.DUMMYFUNCTION("""COMPUTED_VALUE"""),1.0)</f>
        <v>1</v>
      </c>
      <c r="J832" s="10"/>
      <c r="K832" s="10"/>
      <c r="L832" s="10"/>
      <c r="M832" s="10">
        <f>IFERROR(__xludf.DUMMYFUNCTION("""COMPUTED_VALUE"""),10.0)</f>
        <v>10</v>
      </c>
      <c r="N832" s="10"/>
      <c r="O832" s="10"/>
      <c r="P832" s="10"/>
      <c r="Q832" s="10"/>
      <c r="R832" s="10"/>
      <c r="S832" s="10"/>
      <c r="T832" s="10"/>
      <c r="U832" s="18" t="str">
        <f>IFERROR(__xludf.DUMMYFUNCTION("""COMPUTED_VALUE"""),"https://drive.google.com/open?id=1zd06YbSxqBI3eCdFsND5qDeoQ3iKaNxp")</f>
        <v>https://drive.google.com/open?id=1zd06YbSxqBI3eCdFsND5qDeoQ3iKaNxp</v>
      </c>
      <c r="V832" s="10"/>
      <c r="W832" s="10"/>
      <c r="X832" s="10"/>
      <c r="Y832" s="14" t="str">
        <f>IFERROR(__xludf.DUMMYFUNCTION("""COMPUTED_VALUE"""),"junaidkhanorakzai03@gmail.com")</f>
        <v>junaidkhanorakzai03@gmail.com</v>
      </c>
      <c r="AA832" s="324"/>
    </row>
    <row r="833">
      <c r="A833" s="9">
        <f>IFERROR(__xludf.DUMMYFUNCTION("""COMPUTED_VALUE"""),46010.31363834491)</f>
        <v>46010.31364</v>
      </c>
      <c r="B833" s="10" t="str">
        <f>IFERROR(__xludf.DUMMYFUNCTION("""COMPUTED_VALUE"""),"Khaleeq abbasi")</f>
        <v>Khaleeq abbasi</v>
      </c>
      <c r="C833" s="10" t="str">
        <f>IFERROR(__xludf.DUMMYFUNCTION("""COMPUTED_VALUE"""),"03425309047")</f>
        <v>03425309047</v>
      </c>
      <c r="D833" s="10" t="str">
        <f>IFERROR(__xludf.DUMMYFUNCTION("""COMPUTED_VALUE"""),"Darl ullom jamia abbasia jamia masjid sadeeq akabar")</f>
        <v>Darl ullom jamia abbasia jamia masjid sadeeq akabar</v>
      </c>
      <c r="E833" s="10" t="str">
        <f>IFERROR(__xludf.DUMMYFUNCTION("""COMPUTED_VALUE"""),"fkwyh")</f>
        <v>fkwyh</v>
      </c>
      <c r="F833" s="10">
        <f>IFERROR(__xludf.DUMMYFUNCTION("""COMPUTED_VALUE"""),950.0)</f>
        <v>950</v>
      </c>
      <c r="G833" s="10">
        <f>IFERROR(__xludf.DUMMYFUNCTION("""COMPUTED_VALUE"""),9.0)</f>
        <v>9</v>
      </c>
      <c r="H833" s="10">
        <f>IFERROR(__xludf.DUMMYFUNCTION("""COMPUTED_VALUE"""),9.0)</f>
        <v>9</v>
      </c>
      <c r="I833" s="10">
        <f>IFERROR(__xludf.DUMMYFUNCTION("""COMPUTED_VALUE"""),0.0)</f>
        <v>0</v>
      </c>
      <c r="J833" s="10"/>
      <c r="K833" s="10"/>
      <c r="L833" s="10"/>
      <c r="M833" s="10">
        <f>IFERROR(__xludf.DUMMYFUNCTION("""COMPUTED_VALUE"""),7.0)</f>
        <v>7</v>
      </c>
      <c r="N833" s="10"/>
      <c r="O833" s="10"/>
      <c r="P833" s="10"/>
      <c r="Q833" s="10"/>
      <c r="R833" s="10"/>
      <c r="S833" s="10"/>
      <c r="T833" s="10"/>
      <c r="U833" s="18" t="str">
        <f>IFERROR(__xludf.DUMMYFUNCTION("""COMPUTED_VALUE"""),"https://drive.google.com/open?id=1n8hg6ZqKvkCYJrPY8EZQvcx13SsCU0Sz")</f>
        <v>https://drive.google.com/open?id=1n8hg6ZqKvkCYJrPY8EZQvcx13SsCU0Sz</v>
      </c>
      <c r="V833" s="10"/>
      <c r="W833" s="10"/>
      <c r="X833" s="10"/>
      <c r="Y833" s="14" t="str">
        <f>IFERROR(__xludf.DUMMYFUNCTION("""COMPUTED_VALUE"""),"khaleeqabbasi377@gmail.com")</f>
        <v>khaleeqabbasi377@gmail.com</v>
      </c>
      <c r="AA833" s="324"/>
    </row>
    <row r="834">
      <c r="A834" s="9">
        <f>IFERROR(__xludf.DUMMYFUNCTION("""COMPUTED_VALUE"""),46010.37157695602)</f>
        <v>46010.37158</v>
      </c>
      <c r="B834" s="10" t="str">
        <f>IFERROR(__xludf.DUMMYFUNCTION("""COMPUTED_VALUE"""),"Abdul rehman")</f>
        <v>Abdul rehman</v>
      </c>
      <c r="C834" s="10" t="str">
        <f>IFERROR(__xludf.DUMMYFUNCTION("""COMPUTED_VALUE"""),"03049821471")</f>
        <v>03049821471</v>
      </c>
      <c r="D834" s="10" t="str">
        <f>IFERROR(__xludf.DUMMYFUNCTION("""COMPUTED_VALUE"""),"Jamia masjid gul siraj")</f>
        <v>Jamia masjid gul siraj</v>
      </c>
      <c r="E834" s="10" t="str">
        <f>IFERROR(__xludf.DUMMYFUNCTION("""COMPUTED_VALUE"""),"Czbuv")</f>
        <v>Czbuv</v>
      </c>
      <c r="F834" s="10">
        <f>IFERROR(__xludf.DUMMYFUNCTION("""COMPUTED_VALUE"""),203.0)</f>
        <v>203</v>
      </c>
      <c r="G834" s="10">
        <f>IFERROR(__xludf.DUMMYFUNCTION("""COMPUTED_VALUE"""),9.0)</f>
        <v>9</v>
      </c>
      <c r="H834" s="10">
        <f>IFERROR(__xludf.DUMMYFUNCTION("""COMPUTED_VALUE"""),9.0)</f>
        <v>9</v>
      </c>
      <c r="I834" s="10">
        <f>IFERROR(__xludf.DUMMYFUNCTION("""COMPUTED_VALUE"""),0.0)</f>
        <v>0</v>
      </c>
      <c r="J834" s="10"/>
      <c r="K834" s="10"/>
      <c r="L834" s="10"/>
      <c r="M834" s="10">
        <f>IFERROR(__xludf.DUMMYFUNCTION("""COMPUTED_VALUE"""),9.0)</f>
        <v>9</v>
      </c>
      <c r="N834" s="10"/>
      <c r="O834" s="10"/>
      <c r="P834" s="10"/>
      <c r="Q834" s="10"/>
      <c r="R834" s="10"/>
      <c r="S834" s="10"/>
      <c r="T834" s="10"/>
      <c r="U834" s="18" t="str">
        <f>IFERROR(__xludf.DUMMYFUNCTION("""COMPUTED_VALUE"""),"https://drive.google.com/open?id=1fjvZ0cqhYIRN7u_To7B4VGAy4VLIYpd4")</f>
        <v>https://drive.google.com/open?id=1fjvZ0cqhYIRN7u_To7B4VGAy4VLIYpd4</v>
      </c>
      <c r="V834" s="10"/>
      <c r="W834" s="10"/>
      <c r="X834" s="10"/>
      <c r="Y834" s="14" t="str">
        <f>IFERROR(__xludf.DUMMYFUNCTION("""COMPUTED_VALUE"""),"muneer4441986@gmail.com")</f>
        <v>muneer4441986@gmail.com</v>
      </c>
      <c r="AA834" s="324"/>
    </row>
    <row r="835">
      <c r="A835" s="9">
        <f>IFERROR(__xludf.DUMMYFUNCTION("""COMPUTED_VALUE"""),46010.41175915509)</f>
        <v>46010.41176</v>
      </c>
      <c r="B835" s="10" t="str">
        <f>IFERROR(__xludf.DUMMYFUNCTION("""COMPUTED_VALUE"""),"Naseer Ahmed ")</f>
        <v>Naseer Ahmed </v>
      </c>
      <c r="C835" s="10" t="str">
        <f>IFERROR(__xludf.DUMMYFUNCTION("""COMPUTED_VALUE"""),"03157681452")</f>
        <v>03157681452</v>
      </c>
      <c r="D835" s="10" t="str">
        <f>IFERROR(__xludf.DUMMYFUNCTION("""COMPUTED_VALUE"""),"Jamia Masjid King Mandi Rawalpindi( jamia masjid asar UL wali)")</f>
        <v>Jamia Masjid King Mandi Rawalpindi( jamia masjid asar UL wali)</v>
      </c>
      <c r="E835" s="10" t="str">
        <f>IFERROR(__xludf.DUMMYFUNCTION("""COMPUTED_VALUE"""),"thjdr")</f>
        <v>thjdr</v>
      </c>
      <c r="F835" s="10">
        <f>IFERROR(__xludf.DUMMYFUNCTION("""COMPUTED_VALUE"""),350.0)</f>
        <v>350</v>
      </c>
      <c r="G835" s="10">
        <f>IFERROR(__xludf.DUMMYFUNCTION("""COMPUTED_VALUE"""),8.0)</f>
        <v>8</v>
      </c>
      <c r="H835" s="10">
        <f>IFERROR(__xludf.DUMMYFUNCTION("""COMPUTED_VALUE"""),8.0)</f>
        <v>8</v>
      </c>
      <c r="I835" s="10">
        <f>IFERROR(__xludf.DUMMYFUNCTION("""COMPUTED_VALUE"""),1.0)</f>
        <v>1</v>
      </c>
      <c r="J835" s="10"/>
      <c r="K835" s="10"/>
      <c r="L835" s="10"/>
      <c r="M835" s="10">
        <f>IFERROR(__xludf.DUMMYFUNCTION("""COMPUTED_VALUE"""),9.0)</f>
        <v>9</v>
      </c>
      <c r="N835" s="10"/>
      <c r="O835" s="10"/>
      <c r="P835" s="10"/>
      <c r="Q835" s="10"/>
      <c r="R835" s="10"/>
      <c r="S835" s="10"/>
      <c r="T835" s="10"/>
      <c r="U835" s="18" t="str">
        <f>IFERROR(__xludf.DUMMYFUNCTION("""COMPUTED_VALUE"""),"https://drive.google.com/open?id=1xLdP4MshKdr8V5WL6KkopeC25VNwsQcp")</f>
        <v>https://drive.google.com/open?id=1xLdP4MshKdr8V5WL6KkopeC25VNwsQcp</v>
      </c>
      <c r="V835" s="10" t="str">
        <f>IFERROR(__xludf.DUMMYFUNCTION("""COMPUTED_VALUE"""),"Nil ")</f>
        <v>Nil </v>
      </c>
      <c r="W835" s="10"/>
      <c r="X835" s="10"/>
      <c r="Y835" s="14" t="str">
        <f>IFERROR(__xludf.DUMMYFUNCTION("""COMPUTED_VALUE"""),"nasgull786@gmail.com")</f>
        <v>nasgull786@gmail.com</v>
      </c>
      <c r="AA835" s="324"/>
    </row>
    <row r="836">
      <c r="A836" s="9">
        <f>IFERROR(__xludf.DUMMYFUNCTION("""COMPUTED_VALUE"""),46010.4174421412)</f>
        <v>46010.41744</v>
      </c>
      <c r="B836" s="10" t="str">
        <f>IFERROR(__xludf.DUMMYFUNCTION("""COMPUTED_VALUE"""),"Hanan")</f>
        <v>Hanan</v>
      </c>
      <c r="C836" s="10" t="str">
        <f>IFERROR(__xludf.DUMMYFUNCTION("""COMPUTED_VALUE"""),"03157681452")</f>
        <v>03157681452</v>
      </c>
      <c r="D836" s="10" t="str">
        <f>IFERROR(__xludf.DUMMYFUNCTION("""COMPUTED_VALUE"""),"Jamia Masjid Madina Kabari Bazar Rawalpindi")</f>
        <v>Jamia Masjid Madina Kabari Bazar Rawalpindi</v>
      </c>
      <c r="E836" s="10" t="str">
        <f>IFERROR(__xludf.DUMMYFUNCTION("""COMPUTED_VALUE"""),"izzpy")</f>
        <v>izzpy</v>
      </c>
      <c r="F836" s="10">
        <f>IFERROR(__xludf.DUMMYFUNCTION("""COMPUTED_VALUE"""),380.0)</f>
        <v>380</v>
      </c>
      <c r="G836" s="10">
        <f>IFERROR(__xludf.DUMMYFUNCTION("""COMPUTED_VALUE"""),9.0)</f>
        <v>9</v>
      </c>
      <c r="H836" s="10">
        <f>IFERROR(__xludf.DUMMYFUNCTION("""COMPUTED_VALUE"""),9.0)</f>
        <v>9</v>
      </c>
      <c r="I836" s="10">
        <f>IFERROR(__xludf.DUMMYFUNCTION("""COMPUTED_VALUE"""),1.0)</f>
        <v>1</v>
      </c>
      <c r="J836" s="10"/>
      <c r="K836" s="10"/>
      <c r="L836" s="10"/>
      <c r="M836" s="10">
        <f>IFERROR(__xludf.DUMMYFUNCTION("""COMPUTED_VALUE"""),10.0)</f>
        <v>10</v>
      </c>
      <c r="N836" s="10"/>
      <c r="O836" s="10"/>
      <c r="P836" s="10"/>
      <c r="Q836" s="10"/>
      <c r="R836" s="10"/>
      <c r="S836" s="10"/>
      <c r="T836" s="10"/>
      <c r="U836" s="18" t="str">
        <f>IFERROR(__xludf.DUMMYFUNCTION("""COMPUTED_VALUE"""),"https://drive.google.com/open?id=1_2MmJ2TBo6BksD59MevNlObM_IOSRdrp")</f>
        <v>https://drive.google.com/open?id=1_2MmJ2TBo6BksD59MevNlObM_IOSRdrp</v>
      </c>
      <c r="V836" s="10" t="str">
        <f>IFERROR(__xludf.DUMMYFUNCTION("""COMPUTED_VALUE"""),"Nil ")</f>
        <v>Nil </v>
      </c>
      <c r="W836" s="10"/>
      <c r="X836" s="10"/>
      <c r="Y836" s="14" t="str">
        <f>IFERROR(__xludf.DUMMYFUNCTION("""COMPUTED_VALUE"""),"nasgull786@gmail.com")</f>
        <v>nasgull786@gmail.com</v>
      </c>
      <c r="AA836" s="324"/>
    </row>
    <row r="837">
      <c r="A837" s="9">
        <f>IFERROR(__xludf.DUMMYFUNCTION("""COMPUTED_VALUE"""),46010.42130751157)</f>
        <v>46010.42131</v>
      </c>
      <c r="B837" s="10" t="str">
        <f>IFERROR(__xludf.DUMMYFUNCTION("""COMPUTED_VALUE"""),"Wahab ")</f>
        <v>Wahab </v>
      </c>
      <c r="C837" s="10" t="str">
        <f>IFERROR(__xludf.DUMMYFUNCTION("""COMPUTED_VALUE"""),"03157681452")</f>
        <v>03157681452</v>
      </c>
      <c r="D837" s="10" t="str">
        <f>IFERROR(__xludf.DUMMYFUNCTION("""COMPUTED_VALUE"""),"Jamia Masjid Akbari Mohanpura")</f>
        <v>Jamia Masjid Akbari Mohanpura</v>
      </c>
      <c r="E837" s="10" t="str">
        <f>IFERROR(__xludf.DUMMYFUNCTION("""COMPUTED_VALUE"""),"gdglp")</f>
        <v>gdglp</v>
      </c>
      <c r="F837" s="10">
        <f>IFERROR(__xludf.DUMMYFUNCTION("""COMPUTED_VALUE"""),410.0)</f>
        <v>410</v>
      </c>
      <c r="G837" s="10">
        <f>IFERROR(__xludf.DUMMYFUNCTION("""COMPUTED_VALUE"""),7.0)</f>
        <v>7</v>
      </c>
      <c r="H837" s="10">
        <f>IFERROR(__xludf.DUMMYFUNCTION("""COMPUTED_VALUE"""),7.0)</f>
        <v>7</v>
      </c>
      <c r="I837" s="10">
        <f>IFERROR(__xludf.DUMMYFUNCTION("""COMPUTED_VALUE"""),2.0)</f>
        <v>2</v>
      </c>
      <c r="J837" s="10"/>
      <c r="K837" s="10"/>
      <c r="L837" s="10"/>
      <c r="M837" s="10">
        <f>IFERROR(__xludf.DUMMYFUNCTION("""COMPUTED_VALUE"""),8.0)</f>
        <v>8</v>
      </c>
      <c r="N837" s="10"/>
      <c r="O837" s="10"/>
      <c r="P837" s="10"/>
      <c r="Q837" s="10"/>
      <c r="R837" s="10"/>
      <c r="S837" s="10"/>
      <c r="T837" s="10"/>
      <c r="U837" s="18" t="str">
        <f>IFERROR(__xludf.DUMMYFUNCTION("""COMPUTED_VALUE"""),"https://drive.google.com/open?id=1vs86z4urY34PTu4OGMbJN0_TNZAnPECk")</f>
        <v>https://drive.google.com/open?id=1vs86z4urY34PTu4OGMbJN0_TNZAnPECk</v>
      </c>
      <c r="V837" s="10" t="str">
        <f>IFERROR(__xludf.DUMMYFUNCTION("""COMPUTED_VALUE"""),"Nil ")</f>
        <v>Nil </v>
      </c>
      <c r="W837" s="10"/>
      <c r="X837" s="10"/>
      <c r="Y837" s="14" t="str">
        <f>IFERROR(__xludf.DUMMYFUNCTION("""COMPUTED_VALUE"""),"nasgull786@gmail.com")</f>
        <v>nasgull786@gmail.com</v>
      </c>
      <c r="AA837" s="324"/>
    </row>
    <row r="838">
      <c r="A838" s="9">
        <f>IFERROR(__xludf.DUMMYFUNCTION("""COMPUTED_VALUE"""),46017.15339378473)</f>
        <v>46017.15339</v>
      </c>
      <c r="B838" s="10" t="str">
        <f>IFERROR(__xludf.DUMMYFUNCTION("""COMPUTED_VALUE"""),"Muhammad Junaid khan ")</f>
        <v>Muhammad Junaid khan </v>
      </c>
      <c r="C838" s="10" t="str">
        <f>IFERROR(__xludf.DUMMYFUNCTION("""COMPUTED_VALUE"""),"03304798598")</f>
        <v>03304798598</v>
      </c>
      <c r="D838" s="10" t="str">
        <f>IFERROR(__xludf.DUMMYFUNCTION("""COMPUTED_VALUE"""),"JAMIA MASJID SABZY MANDY MOTI BAZAR RAWALPINDI ")</f>
        <v>JAMIA MASJID SABZY MANDY MOTI BAZAR RAWALPINDI </v>
      </c>
      <c r="E838" s="10" t="str">
        <f>IFERROR(__xludf.DUMMYFUNCTION("""COMPUTED_VALUE"""),"Cvcqu")</f>
        <v>Cvcqu</v>
      </c>
      <c r="F838" s="10">
        <f>IFERROR(__xludf.DUMMYFUNCTION("""COMPUTED_VALUE"""),850.0)</f>
        <v>850</v>
      </c>
      <c r="G838" s="10">
        <f>IFERROR(__xludf.DUMMYFUNCTION("""COMPUTED_VALUE"""),8.0)</f>
        <v>8</v>
      </c>
      <c r="H838" s="10">
        <f>IFERROR(__xludf.DUMMYFUNCTION("""COMPUTED_VALUE"""),8.0)</f>
        <v>8</v>
      </c>
      <c r="I838" s="10">
        <f>IFERROR(__xludf.DUMMYFUNCTION("""COMPUTED_VALUE"""),0.0)</f>
        <v>0</v>
      </c>
      <c r="J838" s="10"/>
      <c r="K838" s="10"/>
      <c r="L838" s="10"/>
      <c r="M838" s="10">
        <f>IFERROR(__xludf.DUMMYFUNCTION("""COMPUTED_VALUE"""),10.0)</f>
        <v>10</v>
      </c>
      <c r="N838" s="10"/>
      <c r="O838" s="10"/>
      <c r="P838" s="10"/>
      <c r="Q838" s="10"/>
      <c r="R838" s="10"/>
      <c r="S838" s="10"/>
      <c r="T838" s="10"/>
      <c r="U838" s="18" t="str">
        <f>IFERROR(__xludf.DUMMYFUNCTION("""COMPUTED_VALUE"""),"https://drive.google.com/open?id=1plLqCZnzbpu7rmtmJsZyrIte0EAA7Iv0")</f>
        <v>https://drive.google.com/open?id=1plLqCZnzbpu7rmtmJsZyrIte0EAA7Iv0</v>
      </c>
      <c r="V838" s="10" t="str">
        <f>IFERROR(__xludf.DUMMYFUNCTION("""COMPUTED_VALUE"""),"Nhi alhamdolillah koi parishani nhi hue or koi izafi maloomat nhi ha ")</f>
        <v>Nhi alhamdolillah koi parishani nhi hue or koi izafi maloomat nhi ha </v>
      </c>
      <c r="W838" s="10"/>
      <c r="X838" s="10"/>
      <c r="Y838" s="14" t="str">
        <f>IFERROR(__xludf.DUMMYFUNCTION("""COMPUTED_VALUE"""),"junaidkhanorakzai03@gmail.com")</f>
        <v>junaidkhanorakzai03@gmail.com</v>
      </c>
      <c r="AA838" s="324"/>
    </row>
    <row r="839">
      <c r="A839" s="9">
        <f>IFERROR(__xludf.DUMMYFUNCTION("""COMPUTED_VALUE"""),46017.154838773145)</f>
        <v>46017.15484</v>
      </c>
      <c r="B839" s="10" t="str">
        <f>IFERROR(__xludf.DUMMYFUNCTION("""COMPUTED_VALUE"""),"Shahzaib waheed")</f>
        <v>Shahzaib waheed</v>
      </c>
      <c r="C839" s="10" t="str">
        <f>IFERROR(__xludf.DUMMYFUNCTION("""COMPUTED_VALUE"""),"03175702106")</f>
        <v>03175702106</v>
      </c>
      <c r="D839" s="10" t="str">
        <f>IFERROR(__xludf.DUMMYFUNCTION("""COMPUTED_VALUE"""),"Jamia masjid gawal Mandi Rawalpindi ")</f>
        <v>Jamia masjid gawal Mandi Rawalpindi </v>
      </c>
      <c r="E839" s="10" t="str">
        <f>IFERROR(__xludf.DUMMYFUNCTION("""COMPUTED_VALUE"""),"Bbyok")</f>
        <v>Bbyok</v>
      </c>
      <c r="F839" s="10">
        <f>IFERROR(__xludf.DUMMYFUNCTION("""COMPUTED_VALUE"""),805.0)</f>
        <v>805</v>
      </c>
      <c r="G839" s="10">
        <f>IFERROR(__xludf.DUMMYFUNCTION("""COMPUTED_VALUE"""),8.0)</f>
        <v>8</v>
      </c>
      <c r="H839" s="10">
        <f>IFERROR(__xludf.DUMMYFUNCTION("""COMPUTED_VALUE"""),8.0)</f>
        <v>8</v>
      </c>
      <c r="I839" s="10">
        <f>IFERROR(__xludf.DUMMYFUNCTION("""COMPUTED_VALUE"""),0.0)</f>
        <v>0</v>
      </c>
      <c r="J839" s="10"/>
      <c r="K839" s="10"/>
      <c r="L839" s="10"/>
      <c r="M839" s="10">
        <f>IFERROR(__xludf.DUMMYFUNCTION("""COMPUTED_VALUE"""),9.0)</f>
        <v>9</v>
      </c>
      <c r="N839" s="10"/>
      <c r="O839" s="10"/>
      <c r="P839" s="10"/>
      <c r="Q839" s="10"/>
      <c r="R839" s="10"/>
      <c r="S839" s="10"/>
      <c r="T839" s="10"/>
      <c r="U839" s="18" t="str">
        <f>IFERROR(__xludf.DUMMYFUNCTION("""COMPUTED_VALUE"""),"https://drive.google.com/open?id=15y9Yyz7X9noodOnSRt0RbwUyCKGpleWl")</f>
        <v>https://drive.google.com/open?id=15y9Yyz7X9noodOnSRt0RbwUyCKGpleWl</v>
      </c>
      <c r="V839" s="10" t="str">
        <f>IFERROR(__xludf.DUMMYFUNCTION("""COMPUTED_VALUE"""),"نالہ لئی پر کچرا جلایا جاتا ہے جس کی وجہ سے تمام محلّہ اور مسجد میں سانس لینا مشکل ہو جاتا ہے امام صاحب کی درخواست پر یہ نوٹ تحریر کیا ہے تاکہ اوپر مینیجمنٹ تک یہ بات پہنچائی  سکے۔")</f>
        <v>نالہ لئی پر کچرا جلایا جاتا ہے جس کی وجہ سے تمام محلّہ اور مسجد میں سانس لینا مشکل ہو جاتا ہے امام صاحب کی درخواست پر یہ نوٹ تحریر کیا ہے تاکہ اوپر مینیجمنٹ تک یہ بات پہنچائی  سکے۔</v>
      </c>
      <c r="W839" s="10"/>
      <c r="X839" s="10"/>
      <c r="Y839" s="14" t="str">
        <f>IFERROR(__xludf.DUMMYFUNCTION("""COMPUTED_VALUE"""),"shahzaibwaheed5@gmail.com")</f>
        <v>shahzaibwaheed5@gmail.com</v>
      </c>
      <c r="AA839" s="324"/>
    </row>
    <row r="840">
      <c r="A840" s="9">
        <f>IFERROR(__xludf.DUMMYFUNCTION("""COMPUTED_VALUE"""),46017.167749155094)</f>
        <v>46017.16775</v>
      </c>
      <c r="B840" s="10" t="str">
        <f>IFERROR(__xludf.DUMMYFUNCTION("""COMPUTED_VALUE"""),"Khaleeq abbasi")</f>
        <v>Khaleeq abbasi</v>
      </c>
      <c r="C840" s="10" t="str">
        <f>IFERROR(__xludf.DUMMYFUNCTION("""COMPUTED_VALUE"""),"03425309047")</f>
        <v>03425309047</v>
      </c>
      <c r="D840" s="10" t="str">
        <f>IFERROR(__xludf.DUMMYFUNCTION("""COMPUTED_VALUE"""),"Darol uloom jamia Abbasia jamia masjid sadiq akbar")</f>
        <v>Darol uloom jamia Abbasia jamia masjid sadiq akbar</v>
      </c>
      <c r="E840" s="10" t="str">
        <f>IFERROR(__xludf.DUMMYFUNCTION("""COMPUTED_VALUE"""),"Fkwyh")</f>
        <v>Fkwyh</v>
      </c>
      <c r="F840" s="10">
        <f>IFERROR(__xludf.DUMMYFUNCTION("""COMPUTED_VALUE"""),1000.0)</f>
        <v>1000</v>
      </c>
      <c r="G840" s="10">
        <f>IFERROR(__xludf.DUMMYFUNCTION("""COMPUTED_VALUE"""),10.0)</f>
        <v>10</v>
      </c>
      <c r="H840" s="10">
        <f>IFERROR(__xludf.DUMMYFUNCTION("""COMPUTED_VALUE"""),10.0)</f>
        <v>10</v>
      </c>
      <c r="I840" s="10">
        <f>IFERROR(__xludf.DUMMYFUNCTION("""COMPUTED_VALUE"""),0.0)</f>
        <v>0</v>
      </c>
      <c r="J840" s="10"/>
      <c r="K840" s="10"/>
      <c r="L840" s="10"/>
      <c r="M840" s="10">
        <f>IFERROR(__xludf.DUMMYFUNCTION("""COMPUTED_VALUE"""),10.0)</f>
        <v>10</v>
      </c>
      <c r="N840" s="10"/>
      <c r="O840" s="10"/>
      <c r="P840" s="10"/>
      <c r="Q840" s="10"/>
      <c r="R840" s="10"/>
      <c r="S840" s="10"/>
      <c r="T840" s="10"/>
      <c r="U840" s="18" t="str">
        <f>IFERROR(__xludf.DUMMYFUNCTION("""COMPUTED_VALUE"""),"https://drive.google.com/open?id=1YX9YAZlVjT5kD-XF43YajsXIv846eWgK")</f>
        <v>https://drive.google.com/open?id=1YX9YAZlVjT5kD-XF43YajsXIv846eWgK</v>
      </c>
      <c r="V840" s="10" t="str">
        <f>IFERROR(__xludf.DUMMYFUNCTION("""COMPUTED_VALUE"""),"Masjid ke 3 Hall hy bary or oper chat pay be namazi hy or bhair be pictures sirf Hall ke e lay saka O.. 1000 ke qareeb namazi hy jo me ne saaf ke hisab se lagay hy.. Jazakallah")</f>
        <v>Masjid ke 3 Hall hy bary or oper chat pay be namazi hy or bhair be pictures sirf Hall ke e lay saka O.. 1000 ke qareeb namazi hy jo me ne saaf ke hisab se lagay hy.. Jazakallah</v>
      </c>
      <c r="W840" s="10"/>
      <c r="X840" s="10"/>
      <c r="Y840" s="14" t="str">
        <f>IFERROR(__xludf.DUMMYFUNCTION("""COMPUTED_VALUE"""),"khaleeqabbasi377@gmail.com")</f>
        <v>khaleeqabbasi377@gmail.com</v>
      </c>
      <c r="AA840" s="324"/>
    </row>
    <row r="841">
      <c r="A841" s="9">
        <f>IFERROR(__xludf.DUMMYFUNCTION("""COMPUTED_VALUE"""),46017.18205280093)</f>
        <v>46017.18205</v>
      </c>
      <c r="B841" s="10" t="str">
        <f>IFERROR(__xludf.DUMMYFUNCTION("""COMPUTED_VALUE"""),"Asad Mumtaz ")</f>
        <v>Asad Mumtaz </v>
      </c>
      <c r="C841" s="10" t="str">
        <f>IFERROR(__xludf.DUMMYFUNCTION("""COMPUTED_VALUE"""),"03165641906")</f>
        <v>03165641906</v>
      </c>
      <c r="D841" s="10" t="str">
        <f>IFERROR(__xludf.DUMMYFUNCTION("""COMPUTED_VALUE"""),"Jamila masjid syedan #2 Rawalpindi ")</f>
        <v>Jamila masjid syedan #2 Rawalpindi </v>
      </c>
      <c r="E841" s="10" t="str">
        <f>IFERROR(__xludf.DUMMYFUNCTION("""COMPUTED_VALUE"""),"Egckn ")</f>
        <v>Egckn </v>
      </c>
      <c r="F841" s="10">
        <f>IFERROR(__xludf.DUMMYFUNCTION("""COMPUTED_VALUE"""),367.0)</f>
        <v>367</v>
      </c>
      <c r="G841" s="10">
        <f>IFERROR(__xludf.DUMMYFUNCTION("""COMPUTED_VALUE"""),7.0)</f>
        <v>7</v>
      </c>
      <c r="H841" s="10">
        <f>IFERROR(__xludf.DUMMYFUNCTION("""COMPUTED_VALUE"""),7.0)</f>
        <v>7</v>
      </c>
      <c r="I841" s="10">
        <f>IFERROR(__xludf.DUMMYFUNCTION("""COMPUTED_VALUE"""),73.0)</f>
        <v>73</v>
      </c>
      <c r="J841" s="10"/>
      <c r="K841" s="10"/>
      <c r="L841" s="10"/>
      <c r="M841" s="10">
        <f>IFERROR(__xludf.DUMMYFUNCTION("""COMPUTED_VALUE"""),9.0)</f>
        <v>9</v>
      </c>
      <c r="N841" s="10"/>
      <c r="O841" s="10"/>
      <c r="P841" s="10"/>
      <c r="Q841" s="10"/>
      <c r="R841" s="10"/>
      <c r="S841" s="10"/>
      <c r="T841" s="10"/>
      <c r="U841" s="10"/>
      <c r="V841" s="10"/>
      <c r="W841" s="10"/>
      <c r="X841" s="10"/>
      <c r="Y841" s="14" t="str">
        <f>IFERROR(__xludf.DUMMYFUNCTION("""COMPUTED_VALUE"""),"ak6313854@gmail.com")</f>
        <v>ak6313854@gmail.com</v>
      </c>
      <c r="AA841" s="324"/>
    </row>
    <row r="842">
      <c r="A842" s="9">
        <f>IFERROR(__xludf.DUMMYFUNCTION("""COMPUTED_VALUE"""),46017.20629332176)</f>
        <v>46017.20629</v>
      </c>
      <c r="B842" s="10" t="str">
        <f>IFERROR(__xludf.DUMMYFUNCTION("""COMPUTED_VALUE"""),"Imran Haider ")</f>
        <v>Imran Haider </v>
      </c>
      <c r="C842" s="10" t="str">
        <f>IFERROR(__xludf.DUMMYFUNCTION("""COMPUTED_VALUE"""),"03405995157")</f>
        <v>03405995157</v>
      </c>
      <c r="D842" s="10" t="str">
        <f>IFERROR(__xludf.DUMMYFUNCTION("""COMPUTED_VALUE"""),"Jamia masjid jamun wali , Rawalpindi ")</f>
        <v>Jamia masjid jamun wali , Rawalpindi </v>
      </c>
      <c r="E842" s="10" t="str">
        <f>IFERROR(__xludf.DUMMYFUNCTION("""COMPUTED_VALUE"""),"Podyo")</f>
        <v>Podyo</v>
      </c>
      <c r="F842" s="10">
        <f>IFERROR(__xludf.DUMMYFUNCTION("""COMPUTED_VALUE"""),147.0)</f>
        <v>147</v>
      </c>
      <c r="G842" s="10">
        <f>IFERROR(__xludf.DUMMYFUNCTION("""COMPUTED_VALUE"""),4.0)</f>
        <v>4</v>
      </c>
      <c r="H842" s="10">
        <f>IFERROR(__xludf.DUMMYFUNCTION("""COMPUTED_VALUE"""),5.0)</f>
        <v>5</v>
      </c>
      <c r="I842" s="10" t="str">
        <f>IFERROR(__xludf.DUMMYFUNCTION("""COMPUTED_VALUE"""),"2 ... Masjid k bilkul opposite 2 points py kharcha para tha ")</f>
        <v>2 ... Masjid k bilkul opposite 2 points py kharcha para tha </v>
      </c>
      <c r="J842" s="10"/>
      <c r="K842" s="10"/>
      <c r="L842" s="10"/>
      <c r="M842" s="10">
        <f>IFERROR(__xludf.DUMMYFUNCTION("""COMPUTED_VALUE"""),5.0)</f>
        <v>5</v>
      </c>
      <c r="N842" s="10"/>
      <c r="O842" s="10"/>
      <c r="P842" s="10"/>
      <c r="Q842" s="10"/>
      <c r="R842" s="10"/>
      <c r="S842" s="10"/>
      <c r="T842" s="10"/>
      <c r="U842" s="18" t="str">
        <f>IFERROR(__xludf.DUMMYFUNCTION("""COMPUTED_VALUE"""),"https://drive.google.com/open?id=1J6fG3gIRmm3qCl6AvqptOmI5AWMGQobI")</f>
        <v>https://drive.google.com/open?id=1J6fG3gIRmm3qCl6AvqptOmI5AWMGQobI</v>
      </c>
      <c r="V842" s="10"/>
      <c r="W842" s="10"/>
      <c r="X842" s="10"/>
      <c r="Y842" s="14" t="str">
        <f>IFERROR(__xludf.DUMMYFUNCTION("""COMPUTED_VALUE"""),"imhaider30@gmail.com")</f>
        <v>imhaider30@gmail.com</v>
      </c>
      <c r="AA842" s="324"/>
    </row>
    <row r="843">
      <c r="A843" s="9">
        <f>IFERROR(__xludf.DUMMYFUNCTION("""COMPUTED_VALUE"""),46017.215802384264)</f>
        <v>46017.2158</v>
      </c>
      <c r="B843" s="10" t="str">
        <f>IFERROR(__xludf.DUMMYFUNCTION("""COMPUTED_VALUE"""),"Aftab Ahmed ")</f>
        <v>Aftab Ahmed </v>
      </c>
      <c r="C843" s="10" t="str">
        <f>IFERROR(__xludf.DUMMYFUNCTION("""COMPUTED_VALUE"""),"03135200400")</f>
        <v>03135200400</v>
      </c>
      <c r="D843" s="10" t="str">
        <f>IFERROR(__xludf.DUMMYFUNCTION("""COMPUTED_VALUE"""),"Jamia masjid Al Habib baba quma khan ")</f>
        <v>Jamia masjid Al Habib baba quma khan </v>
      </c>
      <c r="E843" s="10" t="str">
        <f>IFERROR(__xludf.DUMMYFUNCTION("""COMPUTED_VALUE"""),"gakov")</f>
        <v>gakov</v>
      </c>
      <c r="F843" s="10">
        <f>IFERROR(__xludf.DUMMYFUNCTION("""COMPUTED_VALUE"""),317.0)</f>
        <v>317</v>
      </c>
      <c r="G843" s="10">
        <f>IFERROR(__xludf.DUMMYFUNCTION("""COMPUTED_VALUE"""),8.0)</f>
        <v>8</v>
      </c>
      <c r="H843" s="10">
        <f>IFERROR(__xludf.DUMMYFUNCTION("""COMPUTED_VALUE"""),8.0)</f>
        <v>8</v>
      </c>
      <c r="I843" s="10">
        <f>IFERROR(__xludf.DUMMYFUNCTION("""COMPUTED_VALUE"""),1.0)</f>
        <v>1</v>
      </c>
      <c r="J843" s="10"/>
      <c r="K843" s="10"/>
      <c r="L843" s="10"/>
      <c r="M843" s="10">
        <f>IFERROR(__xludf.DUMMYFUNCTION("""COMPUTED_VALUE"""),9.0)</f>
        <v>9</v>
      </c>
      <c r="N843" s="10"/>
      <c r="O843" s="10"/>
      <c r="P843" s="10"/>
      <c r="Q843" s="10"/>
      <c r="R843" s="10"/>
      <c r="S843" s="10"/>
      <c r="T843" s="10"/>
      <c r="U843" s="10"/>
      <c r="V843" s="10" t="str">
        <f>IFERROR(__xludf.DUMMYFUNCTION("""COMPUTED_VALUE"""),"All ok")</f>
        <v>All ok</v>
      </c>
      <c r="W843" s="10"/>
      <c r="X843" s="10"/>
      <c r="Y843" s="14" t="str">
        <f>IFERROR(__xludf.DUMMYFUNCTION("""COMPUTED_VALUE"""),"aftabahmed080@gmail.com")</f>
        <v>aftabahmed080@gmail.com</v>
      </c>
      <c r="AA843" s="324"/>
    </row>
    <row r="844">
      <c r="A844" s="9">
        <f>IFERROR(__xludf.DUMMYFUNCTION("""COMPUTED_VALUE"""),46017.217902233795)</f>
        <v>46017.2179</v>
      </c>
      <c r="B844" s="10" t="str">
        <f>IFERROR(__xludf.DUMMYFUNCTION("""COMPUTED_VALUE"""),"Gulraiz Khan ")</f>
        <v>Gulraiz Khan </v>
      </c>
      <c r="C844" s="10" t="str">
        <f>IFERROR(__xludf.DUMMYFUNCTION("""COMPUTED_VALUE"""),"03088148872")</f>
        <v>03088148872</v>
      </c>
      <c r="D844" s="10" t="str">
        <f>IFERROR(__xludf.DUMMYFUNCTION("""COMPUTED_VALUE"""),"Jamia Masjid darbar baba jhar sarkar")</f>
        <v>Jamia Masjid darbar baba jhar sarkar</v>
      </c>
      <c r="E844" s="10" t="str">
        <f>IFERROR(__xludf.DUMMYFUNCTION("""COMPUTED_VALUE"""),"glrtm")</f>
        <v>glrtm</v>
      </c>
      <c r="F844" s="10">
        <f>IFERROR(__xludf.DUMMYFUNCTION("""COMPUTED_VALUE"""),150.0)</f>
        <v>150</v>
      </c>
      <c r="G844" s="10">
        <f>IFERROR(__xludf.DUMMYFUNCTION("""COMPUTED_VALUE"""),8.0)</f>
        <v>8</v>
      </c>
      <c r="H844" s="10">
        <f>IFERROR(__xludf.DUMMYFUNCTION("""COMPUTED_VALUE"""),9.0)</f>
        <v>9</v>
      </c>
      <c r="I844" s="10">
        <f>IFERROR(__xludf.DUMMYFUNCTION("""COMPUTED_VALUE"""),0.0)</f>
        <v>0</v>
      </c>
      <c r="J844" s="10"/>
      <c r="K844" s="10"/>
      <c r="L844" s="10"/>
      <c r="M844" s="10">
        <f>IFERROR(__xludf.DUMMYFUNCTION("""COMPUTED_VALUE"""),9.0)</f>
        <v>9</v>
      </c>
      <c r="N844" s="10"/>
      <c r="O844" s="10"/>
      <c r="P844" s="10"/>
      <c r="Q844" s="10"/>
      <c r="R844" s="10"/>
      <c r="S844" s="10"/>
      <c r="T844" s="10"/>
      <c r="U844" s="18" t="str">
        <f>IFERROR(__xludf.DUMMYFUNCTION("""COMPUTED_VALUE"""),"https://drive.google.com/open?id=1KjcvlgCaIPTFHA2lvvJhFuOmmN_5c8yX")</f>
        <v>https://drive.google.com/open?id=1KjcvlgCaIPTFHA2lvvJhFuOmmN_5c8yX</v>
      </c>
      <c r="V844" s="10" t="str">
        <f>IFERROR(__xludf.DUMMYFUNCTION("""COMPUTED_VALUE"""),"Koi nhi")</f>
        <v>Koi nhi</v>
      </c>
      <c r="W844" s="10"/>
      <c r="X844" s="10"/>
      <c r="Y844" s="14" t="str">
        <f>IFERROR(__xludf.DUMMYFUNCTION("""COMPUTED_VALUE"""),"gulraizkhan299@gmail.com")</f>
        <v>gulraizkhan299@gmail.com</v>
      </c>
      <c r="AA844" s="324"/>
    </row>
    <row r="845">
      <c r="A845" s="9">
        <f>IFERROR(__xludf.DUMMYFUNCTION("""COMPUTED_VALUE"""),46017.23014046296)</f>
        <v>46017.23014</v>
      </c>
      <c r="B845" s="10" t="str">
        <f>IFERROR(__xludf.DUMMYFUNCTION("""COMPUTED_VALUE"""),"Waqar Ahmed")</f>
        <v>Waqar Ahmed</v>
      </c>
      <c r="C845" s="10" t="str">
        <f>IFERROR(__xludf.DUMMYFUNCTION("""COMPUTED_VALUE"""),"03345244952")</f>
        <v>03345244952</v>
      </c>
      <c r="D845" s="10" t="str">
        <f>IFERROR(__xludf.DUMMYFUNCTION("""COMPUTED_VALUE"""),"Jamia masid darbar Aliya syed ghor ali shah")</f>
        <v>Jamia masid darbar Aliya syed ghor ali shah</v>
      </c>
      <c r="E845" s="10" t="str">
        <f>IFERROR(__xludf.DUMMYFUNCTION("""COMPUTED_VALUE"""),"omcbn")</f>
        <v>omcbn</v>
      </c>
      <c r="F845" s="10">
        <f>IFERROR(__xludf.DUMMYFUNCTION("""COMPUTED_VALUE"""),403.0)</f>
        <v>403</v>
      </c>
      <c r="G845" s="10">
        <f>IFERROR(__xludf.DUMMYFUNCTION("""COMPUTED_VALUE"""),8.0)</f>
        <v>8</v>
      </c>
      <c r="H845" s="10">
        <f>IFERROR(__xludf.DUMMYFUNCTION("""COMPUTED_VALUE"""),7.0)</f>
        <v>7</v>
      </c>
      <c r="I845" s="10">
        <f>IFERROR(__xludf.DUMMYFUNCTION("""COMPUTED_VALUE"""),1.0)</f>
        <v>1</v>
      </c>
      <c r="J845" s="10"/>
      <c r="K845" s="10"/>
      <c r="L845" s="10"/>
      <c r="M845" s="10">
        <f>IFERROR(__xludf.DUMMYFUNCTION("""COMPUTED_VALUE"""),8.0)</f>
        <v>8</v>
      </c>
      <c r="N845" s="10"/>
      <c r="O845" s="10"/>
      <c r="P845" s="10"/>
      <c r="Q845" s="10"/>
      <c r="R845" s="10"/>
      <c r="S845" s="10"/>
      <c r="T845" s="10"/>
      <c r="U845" s="18" t="str">
        <f>IFERROR(__xludf.DUMMYFUNCTION("""COMPUTED_VALUE"""),"https://drive.google.com/open?id=1qgIICVzh1Y8mNORr4QUgzzuMnYiVBBi1")</f>
        <v>https://drive.google.com/open?id=1qgIICVzh1Y8mNORr4QUgzzuMnYiVBBi1</v>
      </c>
      <c r="V845" s="10" t="str">
        <f>IFERROR(__xludf.DUMMYFUNCTION("""COMPUTED_VALUE"""),"All ok")</f>
        <v>All ok</v>
      </c>
      <c r="W845" s="10"/>
      <c r="X845" s="10"/>
      <c r="Y845" s="14" t="str">
        <f>IFERROR(__xludf.DUMMYFUNCTION("""COMPUTED_VALUE"""),"waqaryousaf044@gmail.com")</f>
        <v>waqaryousaf044@gmail.com</v>
      </c>
      <c r="AA845" s="324"/>
    </row>
    <row r="846">
      <c r="A846" s="9">
        <f>IFERROR(__xludf.DUMMYFUNCTION("""COMPUTED_VALUE"""),46017.23430002315)</f>
        <v>46017.2343</v>
      </c>
      <c r="B846" s="10" t="str">
        <f>IFERROR(__xludf.DUMMYFUNCTION("""COMPUTED_VALUE"""),"Shahzaib Attari ")</f>
        <v>Shahzaib Attari </v>
      </c>
      <c r="C846" s="10" t="str">
        <f>IFERROR(__xludf.DUMMYFUNCTION("""COMPUTED_VALUE"""),"03105875099")</f>
        <v>03105875099</v>
      </c>
      <c r="D846" s="10" t="str">
        <f>IFERROR(__xludf.DUMMYFUNCTION("""COMPUTED_VALUE"""),"Jamia Masjid Ghunj Mandi Rawalpindi ")</f>
        <v>Jamia Masjid Ghunj Mandi Rawalpindi </v>
      </c>
      <c r="E846" s="10" t="str">
        <f>IFERROR(__xludf.DUMMYFUNCTION("""COMPUTED_VALUE"""),"silss")</f>
        <v>silss</v>
      </c>
      <c r="F846" s="10">
        <f>IFERROR(__xludf.DUMMYFUNCTION("""COMPUTED_VALUE"""),511.0)</f>
        <v>511</v>
      </c>
      <c r="G846" s="10">
        <f>IFERROR(__xludf.DUMMYFUNCTION("""COMPUTED_VALUE"""),2.0)</f>
        <v>2</v>
      </c>
      <c r="H846" s="10">
        <f>IFERROR(__xludf.DUMMYFUNCTION("""COMPUTED_VALUE"""),2.0)</f>
        <v>2</v>
      </c>
      <c r="I846" s="10">
        <f>IFERROR(__xludf.DUMMYFUNCTION("""COMPUTED_VALUE"""),4.0)</f>
        <v>4</v>
      </c>
      <c r="J846" s="10"/>
      <c r="K846" s="10"/>
      <c r="L846" s="10"/>
      <c r="M846" s="10">
        <f>IFERROR(__xludf.DUMMYFUNCTION("""COMPUTED_VALUE"""),9.0)</f>
        <v>9</v>
      </c>
      <c r="N846" s="10"/>
      <c r="O846" s="10"/>
      <c r="P846" s="10"/>
      <c r="Q846" s="10"/>
      <c r="R846" s="10"/>
      <c r="S846" s="10"/>
      <c r="T846" s="10"/>
      <c r="U846" s="18" t="str">
        <f>IFERROR(__xludf.DUMMYFUNCTION("""COMPUTED_VALUE"""),"https://drive.google.com/open?id=11MXI7wcAI2t2sLFelu3QsNP7_tb7oU-L")</f>
        <v>https://drive.google.com/open?id=11MXI7wcAI2t2sLFelu3QsNP7_tb7oU-L</v>
      </c>
      <c r="V846" s="10"/>
      <c r="W846" s="10"/>
      <c r="X846" s="10"/>
      <c r="Y846" s="14" t="str">
        <f>IFERROR(__xludf.DUMMYFUNCTION("""COMPUTED_VALUE"""),"shahzaib58750999@gmail.com")</f>
        <v>shahzaib58750999@gmail.com</v>
      </c>
      <c r="AA846" s="324"/>
    </row>
    <row r="847">
      <c r="A847" s="9">
        <f>IFERROR(__xludf.DUMMYFUNCTION("""COMPUTED_VALUE"""),46017.31397229167)</f>
        <v>46017.31397</v>
      </c>
      <c r="B847" s="10" t="str">
        <f>IFERROR(__xludf.DUMMYFUNCTION("""COMPUTED_VALUE"""),"Shani")</f>
        <v>Shani</v>
      </c>
      <c r="C847" s="10" t="str">
        <f>IFERROR(__xludf.DUMMYFUNCTION("""COMPUTED_VALUE"""),"03125796355")</f>
        <v>03125796355</v>
      </c>
      <c r="D847" s="10" t="str">
        <f>IFERROR(__xludf.DUMMYFUNCTION("""COMPUTED_VALUE"""),"Jamia Masjid Darbar Peer Abdul Ghani Rawalpindi")</f>
        <v>Jamia Masjid Darbar Peer Abdul Ghani Rawalpindi</v>
      </c>
      <c r="E847" s="10" t="str">
        <f>IFERROR(__xludf.DUMMYFUNCTION("""COMPUTED_VALUE"""),"opiuv")</f>
        <v>opiuv</v>
      </c>
      <c r="F847" s="10">
        <f>IFERROR(__xludf.DUMMYFUNCTION("""COMPUTED_VALUE"""),290.0)</f>
        <v>290</v>
      </c>
      <c r="G847" s="10">
        <f>IFERROR(__xludf.DUMMYFUNCTION("""COMPUTED_VALUE"""),7.0)</f>
        <v>7</v>
      </c>
      <c r="H847" s="10">
        <f>IFERROR(__xludf.DUMMYFUNCTION("""COMPUTED_VALUE"""),8.0)</f>
        <v>8</v>
      </c>
      <c r="I847" s="10">
        <f>IFERROR(__xludf.DUMMYFUNCTION("""COMPUTED_VALUE"""),7.0)</f>
        <v>7</v>
      </c>
      <c r="J847" s="10"/>
      <c r="K847" s="10"/>
      <c r="L847" s="10"/>
      <c r="M847" s="10">
        <f>IFERROR(__xludf.DUMMYFUNCTION("""COMPUTED_VALUE"""),8.0)</f>
        <v>8</v>
      </c>
      <c r="N847" s="10"/>
      <c r="O847" s="10"/>
      <c r="P847" s="10"/>
      <c r="Q847" s="10"/>
      <c r="R847" s="10"/>
      <c r="S847" s="10"/>
      <c r="T847" s="10"/>
      <c r="U847" s="18" t="str">
        <f>IFERROR(__xludf.DUMMYFUNCTION("""COMPUTED_VALUE"""),"https://drive.google.com/open?id=1bIvUW8bIlFzGEGl06gL5bivx4eLLqnj7")</f>
        <v>https://drive.google.com/open?id=1bIvUW8bIlFzGEGl06gL5bivx4eLLqnj7</v>
      </c>
      <c r="V847" s="10" t="str">
        <f>IFERROR(__xludf.DUMMYFUNCTION("""COMPUTED_VALUE"""),"Nai")</f>
        <v>Nai</v>
      </c>
      <c r="W847" s="10"/>
      <c r="X847" s="10"/>
      <c r="Y847" s="14" t="str">
        <f>IFERROR(__xludf.DUMMYFUNCTION("""COMPUTED_VALUE"""),"touseeqk6@gmail.com")</f>
        <v>touseeqk6@gmail.com</v>
      </c>
      <c r="AA847" s="324"/>
    </row>
    <row r="848">
      <c r="A848" s="9">
        <f>IFERROR(__xludf.DUMMYFUNCTION("""COMPUTED_VALUE"""),46017.317287673606)</f>
        <v>46017.31729</v>
      </c>
      <c r="B848" s="10" t="str">
        <f>IFERROR(__xludf.DUMMYFUNCTION("""COMPUTED_VALUE"""),"Muhammad Ehsan Anwer ")</f>
        <v>Muhammad Ehsan Anwer </v>
      </c>
      <c r="C848" s="10" t="str">
        <f>IFERROR(__xludf.DUMMYFUNCTION("""COMPUTED_VALUE"""),"03055863729")</f>
        <v>03055863729</v>
      </c>
      <c r="D848" s="10" t="str">
        <f>IFERROR(__xludf.DUMMYFUNCTION("""COMPUTED_VALUE"""),"Masjid Main Haji Sab Bagga Sher ")</f>
        <v>Masjid Main Haji Sab Bagga Sher </v>
      </c>
      <c r="E848" s="10" t="str">
        <f>IFERROR(__xludf.DUMMYFUNCTION("""COMPUTED_VALUE"""),"Vzblw ")</f>
        <v>Vzblw </v>
      </c>
      <c r="F848" s="10">
        <f>IFERROR(__xludf.DUMMYFUNCTION("""COMPUTED_VALUE"""),327.0)</f>
        <v>327</v>
      </c>
      <c r="G848" s="10">
        <f>IFERROR(__xludf.DUMMYFUNCTION("""COMPUTED_VALUE"""),9.0)</f>
        <v>9</v>
      </c>
      <c r="H848" s="10">
        <f>IFERROR(__xludf.DUMMYFUNCTION("""COMPUTED_VALUE"""),8.0)</f>
        <v>8</v>
      </c>
      <c r="I848" s="10">
        <f>IFERROR(__xludf.DUMMYFUNCTION("""COMPUTED_VALUE"""),1.0)</f>
        <v>1</v>
      </c>
      <c r="J848" s="10"/>
      <c r="K848" s="10"/>
      <c r="L848" s="10"/>
      <c r="M848" s="10">
        <f>IFERROR(__xludf.DUMMYFUNCTION("""COMPUTED_VALUE"""),9.0)</f>
        <v>9</v>
      </c>
      <c r="N848" s="10"/>
      <c r="O848" s="10"/>
      <c r="P848" s="10"/>
      <c r="Q848" s="10"/>
      <c r="R848" s="10"/>
      <c r="S848" s="10"/>
      <c r="T848" s="10"/>
      <c r="U848" s="18" t="str">
        <f>IFERROR(__xludf.DUMMYFUNCTION("""COMPUTED_VALUE"""),"https://drive.google.com/open?id=12F-8rEeJuhN1Mh3pXEoLJkRse8cfn9Bp")</f>
        <v>https://drive.google.com/open?id=12F-8rEeJuhN1Mh3pXEoLJkRse8cfn9Bp</v>
      </c>
      <c r="V848" s="10"/>
      <c r="W848" s="10"/>
      <c r="X848" s="10"/>
      <c r="Y848" s="14" t="str">
        <f>IFERROR(__xludf.DUMMYFUNCTION("""COMPUTED_VALUE"""),"malikehsan4772@gmail.com")</f>
        <v>malikehsan4772@gmail.com</v>
      </c>
      <c r="AA848" s="324"/>
    </row>
    <row r="849">
      <c r="A849" s="9">
        <f>IFERROR(__xludf.DUMMYFUNCTION("""COMPUTED_VALUE"""),46017.40471717593)</f>
        <v>46017.40472</v>
      </c>
      <c r="B849" s="10" t="str">
        <f>IFERROR(__xludf.DUMMYFUNCTION("""COMPUTED_VALUE"""),"Saddam")</f>
        <v>Saddam</v>
      </c>
      <c r="C849" s="10">
        <f>IFERROR(__xludf.DUMMYFUNCTION("""COMPUTED_VALUE"""),3.080008833E9)</f>
        <v>3080008833</v>
      </c>
      <c r="D849" s="10" t="str">
        <f>IFERROR(__xludf.DUMMYFUNCTION("""COMPUTED_VALUE"""),"Daud Shah Hakani")</f>
        <v>Daud Shah Hakani</v>
      </c>
      <c r="E849" s="10" t="str">
        <f>IFERROR(__xludf.DUMMYFUNCTION("""COMPUTED_VALUE"""),"lnsdx")</f>
        <v>lnsdx</v>
      </c>
      <c r="F849" s="10">
        <f>IFERROR(__xludf.DUMMYFUNCTION("""COMPUTED_VALUE"""),83.0)</f>
        <v>83</v>
      </c>
      <c r="G849" s="10">
        <f>IFERROR(__xludf.DUMMYFUNCTION("""COMPUTED_VALUE"""),7.0)</f>
        <v>7</v>
      </c>
      <c r="H849" s="10">
        <f>IFERROR(__xludf.DUMMYFUNCTION("""COMPUTED_VALUE"""),6.0)</f>
        <v>6</v>
      </c>
      <c r="I849" s="10">
        <f>IFERROR(__xludf.DUMMYFUNCTION("""COMPUTED_VALUE"""),0.0)</f>
        <v>0</v>
      </c>
      <c r="J849" s="10"/>
      <c r="K849" s="10"/>
      <c r="L849" s="10"/>
      <c r="M849" s="10">
        <f>IFERROR(__xludf.DUMMYFUNCTION("""COMPUTED_VALUE"""),5.0)</f>
        <v>5</v>
      </c>
      <c r="N849" s="10"/>
      <c r="O849" s="10"/>
      <c r="P849" s="10"/>
      <c r="Q849" s="10"/>
      <c r="R849" s="10"/>
      <c r="S849" s="10"/>
      <c r="T849" s="10"/>
      <c r="U849" s="18" t="str">
        <f>IFERROR(__xludf.DUMMYFUNCTION("""COMPUTED_VALUE"""),"https://drive.google.com/open?id=1ir7VW0TVFE0hK1eFnVo1jIPbZ271RpJF")</f>
        <v>https://drive.google.com/open?id=1ir7VW0TVFE0hK1eFnVo1jIPbZ271RpJF</v>
      </c>
      <c r="V849" s="10" t="str">
        <f>IFERROR(__xludf.DUMMYFUNCTION("""COMPUTED_VALUE"""),"NA")</f>
        <v>NA</v>
      </c>
      <c r="W849" s="10"/>
      <c r="X849" s="10"/>
      <c r="Y849" s="14" t="str">
        <f>IFERROR(__xludf.DUMMYFUNCTION("""COMPUTED_VALUE"""),"saddamwazir55@gmail.com")</f>
        <v>saddamwazir55@gmail.com</v>
      </c>
      <c r="AA849" s="324"/>
    </row>
    <row r="850">
      <c r="A850" s="9">
        <f>IFERROR(__xludf.DUMMYFUNCTION("""COMPUTED_VALUE"""),46017.45974446759)</f>
        <v>46017.45974</v>
      </c>
      <c r="B850" s="10" t="str">
        <f>IFERROR(__xludf.DUMMYFUNCTION("""COMPUTED_VALUE"""),"Shahzaib ")</f>
        <v>Shahzaib </v>
      </c>
      <c r="C850" s="10" t="str">
        <f>IFERROR(__xludf.DUMMYFUNCTION("""COMPUTED_VALUE"""),"03105875099")</f>
        <v>03105875099</v>
      </c>
      <c r="D850" s="10" t="str">
        <f>IFERROR(__xludf.DUMMYFUNCTION("""COMPUTED_VALUE"""),"Jamia Masjid Muree barori chaklala scheme 3 ")</f>
        <v>Jamia Masjid Muree barori chaklala scheme 3 </v>
      </c>
      <c r="E850" s="10" t="str">
        <f>IFERROR(__xludf.DUMMYFUNCTION("""COMPUTED_VALUE"""),"CXYUP")</f>
        <v>CXYUP</v>
      </c>
      <c r="F850" s="10">
        <f>IFERROR(__xludf.DUMMYFUNCTION("""COMPUTED_VALUE"""),130.0)</f>
        <v>130</v>
      </c>
      <c r="G850" s="10">
        <f>IFERROR(__xludf.DUMMYFUNCTION("""COMPUTED_VALUE"""),10.0)</f>
        <v>10</v>
      </c>
      <c r="H850" s="10">
        <f>IFERROR(__xludf.DUMMYFUNCTION("""COMPUTED_VALUE"""),10.0)</f>
        <v>10</v>
      </c>
      <c r="I850" s="10">
        <f>IFERROR(__xludf.DUMMYFUNCTION("""COMPUTED_VALUE"""),0.0)</f>
        <v>0</v>
      </c>
      <c r="J850" s="10"/>
      <c r="K850" s="10"/>
      <c r="L850" s="10"/>
      <c r="M850" s="10">
        <f>IFERROR(__xludf.DUMMYFUNCTION("""COMPUTED_VALUE"""),10.0)</f>
        <v>10</v>
      </c>
      <c r="N850" s="10"/>
      <c r="O850" s="10"/>
      <c r="P850" s="10"/>
      <c r="Q850" s="10"/>
      <c r="R850" s="10"/>
      <c r="S850" s="10"/>
      <c r="T850" s="10"/>
      <c r="U850" s="18" t="str">
        <f>IFERROR(__xludf.DUMMYFUNCTION("""COMPUTED_VALUE"""),"https://drive.google.com/open?id=1Z3t6L3czbUuLnPXKlogBPpOEo0gR0bJ5")</f>
        <v>https://drive.google.com/open?id=1Z3t6L3czbUuLnPXKlogBPpOEo0gR0bJ5</v>
      </c>
      <c r="V850" s="10" t="str">
        <f>IFERROR(__xludf.DUMMYFUNCTION("""COMPUTED_VALUE"""),"جامعہ مسجد مری بروری چکلالہ سکیم تھری راولپنڈی اس مسجد میں اردو خطبہ اج نہیں دیا گیا اس کی وجہ سعودی وزراء کا  وزٹ تھا جس کی وجہ سے روٹ لگا دیا گیا اور نماز جمعہ کا ٹائم نکل گیا کسی بھی شخص کو جامع مسجد مری بروری ارمی ہاؤس میں داخل نہیں ہونے دیا جا رہا تھ"&amp;"ا جس کی وجہ سے مولانا قاری عرفان صاحب دو بجے مسجد میں پہنچے اور انہوں نے صرف عرابک خطبہ دیا اور نماز جمعہ پڑھائی ")</f>
        <v>جامعہ مسجد مری بروری چکلالہ سکیم تھری راولپنڈی اس مسجد میں اردو خطبہ اج نہیں دیا گیا اس کی وجہ سعودی وزراء کا  وزٹ تھا جس کی وجہ سے روٹ لگا دیا گیا اور نماز جمعہ کا ٹائم نکل گیا کسی بھی شخص کو جامع مسجد مری بروری ارمی ہاؤس میں داخل نہیں ہونے دیا جا رہا تھا جس کی وجہ سے مولانا قاری عرفان صاحب دو بجے مسجد میں پہنچے اور انہوں نے صرف عرابک خطبہ دیا اور نماز جمعہ پڑھائی </v>
      </c>
      <c r="W850" s="10"/>
      <c r="X850" s="10"/>
      <c r="Y850" s="14" t="str">
        <f>IFERROR(__xludf.DUMMYFUNCTION("""COMPUTED_VALUE"""),"shahzaib58750999@gmail.com")</f>
        <v>shahzaib58750999@gmail.com</v>
      </c>
      <c r="AA850" s="324"/>
    </row>
    <row r="851">
      <c r="A851" s="9">
        <f>IFERROR(__xludf.DUMMYFUNCTION("""COMPUTED_VALUE"""),46017.496990740736)</f>
        <v>46017.49699</v>
      </c>
      <c r="B851" s="10" t="str">
        <f>IFERROR(__xludf.DUMMYFUNCTION("""COMPUTED_VALUE"""),"Muhammad Kashif ")</f>
        <v>Muhammad Kashif </v>
      </c>
      <c r="C851" s="10" t="str">
        <f>IFERROR(__xludf.DUMMYFUNCTION("""COMPUTED_VALUE"""),"03215042836")</f>
        <v>03215042836</v>
      </c>
      <c r="D851" s="10" t="str">
        <f>IFERROR(__xludf.DUMMYFUNCTION("""COMPUTED_VALUE"""),"Jamia masjid raja bzaar ")</f>
        <v>Jamia masjid raja bzaar </v>
      </c>
      <c r="E851" s="10" t="str">
        <f>IFERROR(__xludf.DUMMYFUNCTION("""COMPUTED_VALUE"""),"Tgzpv")</f>
        <v>Tgzpv</v>
      </c>
      <c r="F851" s="10">
        <f>IFERROR(__xludf.DUMMYFUNCTION("""COMPUTED_VALUE"""),300.0)</f>
        <v>300</v>
      </c>
      <c r="G851" s="10">
        <f>IFERROR(__xludf.DUMMYFUNCTION("""COMPUTED_VALUE"""),8.0)</f>
        <v>8</v>
      </c>
      <c r="H851" s="10">
        <f>IFERROR(__xludf.DUMMYFUNCTION("""COMPUTED_VALUE"""),6.0)</f>
        <v>6</v>
      </c>
      <c r="I851" s="10">
        <f>IFERROR(__xludf.DUMMYFUNCTION("""COMPUTED_VALUE"""),2.0)</f>
        <v>2</v>
      </c>
      <c r="J851" s="10"/>
      <c r="K851" s="10"/>
      <c r="L851" s="10"/>
      <c r="M851" s="10">
        <f>IFERROR(__xludf.DUMMYFUNCTION("""COMPUTED_VALUE"""),8.0)</f>
        <v>8</v>
      </c>
      <c r="N851" s="10"/>
      <c r="O851" s="10"/>
      <c r="P851" s="10"/>
      <c r="Q851" s="10"/>
      <c r="R851" s="10"/>
      <c r="S851" s="10"/>
      <c r="T851" s="10"/>
      <c r="U851" s="10"/>
      <c r="V851" s="10"/>
      <c r="W851" s="10"/>
      <c r="X851" s="10"/>
      <c r="Y851" s="14" t="str">
        <f>IFERROR(__xludf.DUMMYFUNCTION("""COMPUTED_VALUE"""),"kashisardar306@gmail.com")</f>
        <v>kashisardar306@gmail.com</v>
      </c>
      <c r="AA851" s="324"/>
    </row>
    <row r="852">
      <c r="A852" s="9">
        <f>IFERROR(__xludf.DUMMYFUNCTION("""COMPUTED_VALUE"""),46018.10230728009)</f>
        <v>46018.10231</v>
      </c>
      <c r="B852" s="10" t="str">
        <f>IFERROR(__xludf.DUMMYFUNCTION("""COMPUTED_VALUE"""),"Naseer Ahmed")</f>
        <v>Naseer Ahmed</v>
      </c>
      <c r="C852" s="10" t="str">
        <f>IFERROR(__xludf.DUMMYFUNCTION("""COMPUTED_VALUE"""),"03157681452")</f>
        <v>03157681452</v>
      </c>
      <c r="D852" s="10" t="str">
        <f>IFERROR(__xludf.DUMMYFUNCTION("""COMPUTED_VALUE"""),"Jamia Masjid King Mandi Rawalpindi")</f>
        <v>Jamia Masjid King Mandi Rawalpindi</v>
      </c>
      <c r="E852" s="10" t="str">
        <f>IFERROR(__xludf.DUMMYFUNCTION("""COMPUTED_VALUE"""),"thjdr")</f>
        <v>thjdr</v>
      </c>
      <c r="F852" s="10">
        <f>IFERROR(__xludf.DUMMYFUNCTION("""COMPUTED_VALUE"""),360.0)</f>
        <v>360</v>
      </c>
      <c r="G852" s="10">
        <f>IFERROR(__xludf.DUMMYFUNCTION("""COMPUTED_VALUE"""),8.0)</f>
        <v>8</v>
      </c>
      <c r="H852" s="10">
        <f>IFERROR(__xludf.DUMMYFUNCTION("""COMPUTED_VALUE"""),8.0)</f>
        <v>8</v>
      </c>
      <c r="I852" s="10">
        <f>IFERROR(__xludf.DUMMYFUNCTION("""COMPUTED_VALUE"""),1.0)</f>
        <v>1</v>
      </c>
      <c r="J852" s="10"/>
      <c r="K852" s="10"/>
      <c r="L852" s="10"/>
      <c r="M852" s="10">
        <f>IFERROR(__xludf.DUMMYFUNCTION("""COMPUTED_VALUE"""),8.0)</f>
        <v>8</v>
      </c>
      <c r="N852" s="10"/>
      <c r="O852" s="10"/>
      <c r="P852" s="10"/>
      <c r="Q852" s="10"/>
      <c r="R852" s="10"/>
      <c r="S852" s="10"/>
      <c r="T852" s="10"/>
      <c r="U852" s="18" t="str">
        <f>IFERROR(__xludf.DUMMYFUNCTION("""COMPUTED_VALUE"""),"https://drive.google.com/open?id=1lpOfspmvDnVNEPJ-EdLHI4yyXL8m-j9F")</f>
        <v>https://drive.google.com/open?id=1lpOfspmvDnVNEPJ-EdLHI4yyXL8m-j9F</v>
      </c>
      <c r="V852" s="10" t="str">
        <f>IFERROR(__xludf.DUMMYFUNCTION("""COMPUTED_VALUE"""),"Nil")</f>
        <v>Nil</v>
      </c>
      <c r="W852" s="10"/>
      <c r="X852" s="10"/>
      <c r="Y852" s="14" t="str">
        <f>IFERROR(__xludf.DUMMYFUNCTION("""COMPUTED_VALUE"""),"nasgull786@gmail.com")</f>
        <v>nasgull786@gmail.com</v>
      </c>
      <c r="AA852" s="324"/>
    </row>
    <row r="853">
      <c r="A853" s="9">
        <f>IFERROR(__xludf.DUMMYFUNCTION("""COMPUTED_VALUE"""),46018.11278409722)</f>
        <v>46018.11278</v>
      </c>
      <c r="B853" s="10" t="str">
        <f>IFERROR(__xludf.DUMMYFUNCTION("""COMPUTED_VALUE"""),"Wahab")</f>
        <v>Wahab</v>
      </c>
      <c r="C853" s="10" t="str">
        <f>IFERROR(__xludf.DUMMYFUNCTION("""COMPUTED_VALUE"""),"03157681452")</f>
        <v>03157681452</v>
      </c>
      <c r="D853" s="10" t="str">
        <f>IFERROR(__xludf.DUMMYFUNCTION("""COMPUTED_VALUE"""),"Jamia Masjid Akbari Mohanpura")</f>
        <v>Jamia Masjid Akbari Mohanpura</v>
      </c>
      <c r="E853" s="10" t="str">
        <f>IFERROR(__xludf.DUMMYFUNCTION("""COMPUTED_VALUE"""),"gdglp")</f>
        <v>gdglp</v>
      </c>
      <c r="F853" s="10">
        <f>IFERROR(__xludf.DUMMYFUNCTION("""COMPUTED_VALUE"""),430.0)</f>
        <v>430</v>
      </c>
      <c r="G853" s="10">
        <f>IFERROR(__xludf.DUMMYFUNCTION("""COMPUTED_VALUE"""),9.0)</f>
        <v>9</v>
      </c>
      <c r="H853" s="10">
        <f>IFERROR(__xludf.DUMMYFUNCTION("""COMPUTED_VALUE"""),9.0)</f>
        <v>9</v>
      </c>
      <c r="I853" s="10">
        <f>IFERROR(__xludf.DUMMYFUNCTION("""COMPUTED_VALUE"""),2.0)</f>
        <v>2</v>
      </c>
      <c r="J853" s="10"/>
      <c r="K853" s="10"/>
      <c r="L853" s="10"/>
      <c r="M853" s="10">
        <f>IFERROR(__xludf.DUMMYFUNCTION("""COMPUTED_VALUE"""),9.0)</f>
        <v>9</v>
      </c>
      <c r="N853" s="10"/>
      <c r="O853" s="10"/>
      <c r="P853" s="10"/>
      <c r="Q853" s="10"/>
      <c r="R853" s="10"/>
      <c r="S853" s="10"/>
      <c r="T853" s="10"/>
      <c r="U853" s="18" t="str">
        <f>IFERROR(__xludf.DUMMYFUNCTION("""COMPUTED_VALUE"""),"https://drive.google.com/open?id=1mEkK_Ir8cnyw7RXLUzWMloSu6ZgPWqK8")</f>
        <v>https://drive.google.com/open?id=1mEkK_Ir8cnyw7RXLUzWMloSu6ZgPWqK8</v>
      </c>
      <c r="V853" s="10" t="str">
        <f>IFERROR(__xludf.DUMMYFUNCTION("""COMPUTED_VALUE"""),"Nil")</f>
        <v>Nil</v>
      </c>
      <c r="W853" s="10"/>
      <c r="X853" s="10"/>
      <c r="Y853" s="14" t="str">
        <f>IFERROR(__xludf.DUMMYFUNCTION("""COMPUTED_VALUE"""),"nasgull786@gmail.com")</f>
        <v>nasgull786@gmail.com</v>
      </c>
      <c r="AA853" s="324"/>
    </row>
    <row r="854">
      <c r="A854" s="9">
        <f>IFERROR(__xludf.DUMMYFUNCTION("""COMPUTED_VALUE"""),46018.12251252314)</f>
        <v>46018.12251</v>
      </c>
      <c r="B854" s="10" t="str">
        <f>IFERROR(__xludf.DUMMYFUNCTION("""COMPUTED_VALUE"""),"Hanan")</f>
        <v>Hanan</v>
      </c>
      <c r="C854" s="10" t="str">
        <f>IFERROR(__xludf.DUMMYFUNCTION("""COMPUTED_VALUE"""),"03157681452")</f>
        <v>03157681452</v>
      </c>
      <c r="D854" s="10" t="str">
        <f>IFERROR(__xludf.DUMMYFUNCTION("""COMPUTED_VALUE"""),"Jamia Masjid Madina Kabari Bazar Rawalpindi")</f>
        <v>Jamia Masjid Madina Kabari Bazar Rawalpindi</v>
      </c>
      <c r="E854" s="10" t="str">
        <f>IFERROR(__xludf.DUMMYFUNCTION("""COMPUTED_VALUE"""),"izzpy")</f>
        <v>izzpy</v>
      </c>
      <c r="F854" s="10">
        <f>IFERROR(__xludf.DUMMYFUNCTION("""COMPUTED_VALUE"""),410.0)</f>
        <v>410</v>
      </c>
      <c r="G854" s="10">
        <f>IFERROR(__xludf.DUMMYFUNCTION("""COMPUTED_VALUE"""),9.0)</f>
        <v>9</v>
      </c>
      <c r="H854" s="10">
        <f>IFERROR(__xludf.DUMMYFUNCTION("""COMPUTED_VALUE"""),9.0)</f>
        <v>9</v>
      </c>
      <c r="I854" s="10">
        <f>IFERROR(__xludf.DUMMYFUNCTION("""COMPUTED_VALUE"""),1.0)</f>
        <v>1</v>
      </c>
      <c r="J854" s="10"/>
      <c r="K854" s="10"/>
      <c r="L854" s="10"/>
      <c r="M854" s="10">
        <f>IFERROR(__xludf.DUMMYFUNCTION("""COMPUTED_VALUE"""),9.0)</f>
        <v>9</v>
      </c>
      <c r="N854" s="10"/>
      <c r="O854" s="10"/>
      <c r="P854" s="10"/>
      <c r="Q854" s="10"/>
      <c r="R854" s="10"/>
      <c r="S854" s="10"/>
      <c r="T854" s="10"/>
      <c r="U854" s="18" t="str">
        <f>IFERROR(__xludf.DUMMYFUNCTION("""COMPUTED_VALUE"""),"https://drive.google.com/open?id=1TIT9tWwYtTeVl2cw8SlQz0SDVnzkq-dk")</f>
        <v>https://drive.google.com/open?id=1TIT9tWwYtTeVl2cw8SlQz0SDVnzkq-dk</v>
      </c>
      <c r="V854" s="10" t="str">
        <f>IFERROR(__xludf.DUMMYFUNCTION("""COMPUTED_VALUE"""),"Nil")</f>
        <v>Nil</v>
      </c>
      <c r="W854" s="10"/>
      <c r="X854" s="10"/>
      <c r="Y854" s="14" t="str">
        <f>IFERROR(__xludf.DUMMYFUNCTION("""COMPUTED_VALUE"""),"nasgull786@gmail.com")</f>
        <v>nasgull786@gmail.com</v>
      </c>
      <c r="AA854" s="324"/>
    </row>
    <row r="855">
      <c r="A855" s="9">
        <f>IFERROR(__xludf.DUMMYFUNCTION("""COMPUTED_VALUE"""),46018.32667086806)</f>
        <v>46018.32667</v>
      </c>
      <c r="B855" s="10" t="str">
        <f>IFERROR(__xludf.DUMMYFUNCTION("""COMPUTED_VALUE"""),"Shahzaib waheed")</f>
        <v>Shahzaib waheed</v>
      </c>
      <c r="C855" s="10" t="str">
        <f>IFERROR(__xludf.DUMMYFUNCTION("""COMPUTED_VALUE"""),"03175702106")</f>
        <v>03175702106</v>
      </c>
      <c r="D855" s="10" t="str">
        <f>IFERROR(__xludf.DUMMYFUNCTION("""COMPUTED_VALUE"""),"Jamia masjid gawal Mandi Rawalpindi ")</f>
        <v>Jamia masjid gawal Mandi Rawalpindi </v>
      </c>
      <c r="E855" s="10" t="str">
        <f>IFERROR(__xludf.DUMMYFUNCTION("""COMPUTED_VALUE"""),"Bbyok")</f>
        <v>Bbyok</v>
      </c>
      <c r="F855" s="10">
        <f>IFERROR(__xludf.DUMMYFUNCTION("""COMPUTED_VALUE"""),850.0)</f>
        <v>850</v>
      </c>
      <c r="G855" s="10">
        <f>IFERROR(__xludf.DUMMYFUNCTION("""COMPUTED_VALUE"""),9.0)</f>
        <v>9</v>
      </c>
      <c r="H855" s="10">
        <f>IFERROR(__xludf.DUMMYFUNCTION("""COMPUTED_VALUE"""),9.0)</f>
        <v>9</v>
      </c>
      <c r="I855" s="10">
        <f>IFERROR(__xludf.DUMMYFUNCTION("""COMPUTED_VALUE"""),1.0)</f>
        <v>1</v>
      </c>
      <c r="J855" s="10"/>
      <c r="K855" s="10"/>
      <c r="L855" s="10"/>
      <c r="M855" s="10">
        <f>IFERROR(__xludf.DUMMYFUNCTION("""COMPUTED_VALUE"""),9.0)</f>
        <v>9</v>
      </c>
      <c r="N855" s="10"/>
      <c r="O855" s="10"/>
      <c r="P855" s="10"/>
      <c r="Q855" s="10"/>
      <c r="R855" s="10"/>
      <c r="S855" s="10"/>
      <c r="T855" s="10"/>
      <c r="U855" s="18" t="str">
        <f>IFERROR(__xludf.DUMMYFUNCTION("""COMPUTED_VALUE"""),"https://drive.google.com/open?id=1AKQCC3NS3Af9fxS3kC4RpkUFAuRrbIEm")</f>
        <v>https://drive.google.com/open?id=1AKQCC3NS3Af9fxS3kC4RpkUFAuRrbIEm</v>
      </c>
      <c r="V855" s="10" t="str">
        <f>IFERROR(__xludf.DUMMYFUNCTION("""COMPUTED_VALUE"""),"First week jamia masjid gawal mandi")</f>
        <v>First week jamia masjid gawal mandi</v>
      </c>
      <c r="W855" s="10"/>
      <c r="X855" s="10"/>
      <c r="Y855" s="14" t="str">
        <f>IFERROR(__xludf.DUMMYFUNCTION("""COMPUTED_VALUE"""),"shahzaibwaheed@hotmail.com")</f>
        <v>shahzaibwaheed@hotmail.com</v>
      </c>
      <c r="AA855" s="324"/>
    </row>
    <row r="856">
      <c r="A856" s="9">
        <f>IFERROR(__xludf.DUMMYFUNCTION("""COMPUTED_VALUE"""),46019.90399993055)</f>
        <v>46019.904</v>
      </c>
      <c r="B856" s="10" t="str">
        <f>IFERROR(__xludf.DUMMYFUNCTION("""COMPUTED_VALUE"""),"Atif Aslam")</f>
        <v>Atif Aslam</v>
      </c>
      <c r="C856" s="10" t="str">
        <f>IFERROR(__xludf.DUMMYFUNCTION("""COMPUTED_VALUE"""),"03435926281")</f>
        <v>03435926281</v>
      </c>
      <c r="D856" s="10" t="str">
        <f>IFERROR(__xludf.DUMMYFUNCTION("""COMPUTED_VALUE"""),"Jamia Masjid Phoolon Wali Rawalpindi")</f>
        <v>Jamia Masjid Phoolon Wali Rawalpindi</v>
      </c>
      <c r="E856" s="10" t="str">
        <f>IFERROR(__xludf.DUMMYFUNCTION("""COMPUTED_VALUE"""),"Fozkx")</f>
        <v>Fozkx</v>
      </c>
      <c r="F856" s="10">
        <f>IFERROR(__xludf.DUMMYFUNCTION("""COMPUTED_VALUE"""),204.0)</f>
        <v>204</v>
      </c>
      <c r="G856" s="10">
        <f>IFERROR(__xludf.DUMMYFUNCTION("""COMPUTED_VALUE"""),10.0)</f>
        <v>10</v>
      </c>
      <c r="H856" s="10">
        <f>IFERROR(__xludf.DUMMYFUNCTION("""COMPUTED_VALUE"""),9.0)</f>
        <v>9</v>
      </c>
      <c r="I856" s="10" t="str">
        <f>IFERROR(__xludf.DUMMYFUNCTION("""COMPUTED_VALUE"""),"Koi b nai")</f>
        <v>Koi b nai</v>
      </c>
      <c r="J856" s="10"/>
      <c r="K856" s="10"/>
      <c r="L856" s="10"/>
      <c r="M856" s="10">
        <f>IFERROR(__xludf.DUMMYFUNCTION("""COMPUTED_VALUE"""),10.0)</f>
        <v>10</v>
      </c>
      <c r="N856" s="10"/>
      <c r="O856" s="10"/>
      <c r="P856" s="10"/>
      <c r="Q856" s="10"/>
      <c r="R856" s="10"/>
      <c r="S856" s="10"/>
      <c r="T856" s="10"/>
      <c r="U856" s="18" t="str">
        <f>IFERROR(__xludf.DUMMYFUNCTION("""COMPUTED_VALUE"""),"https://drive.google.com/file/d/1pundOj6UUNwpdkYsbiON6VuzWr3wFvaa/view?usp=drive_link")</f>
        <v>https://drive.google.com/file/d/1pundOj6UUNwpdkYsbiON6VuzWr3wFvaa/view?usp=drive_link</v>
      </c>
      <c r="V856" s="10" t="str">
        <f>IFERROR(__xludf.DUMMYFUNCTION("""COMPUTED_VALUE"""),"Good Response")</f>
        <v>Good Response</v>
      </c>
      <c r="W856" s="10"/>
      <c r="X856" s="10"/>
      <c r="Y856" s="14" t="str">
        <f>IFERROR(__xludf.DUMMYFUNCTION("""COMPUTED_VALUE"""),"aatifmiraj@gmail.com")</f>
        <v>aatifmiraj@gmail.com</v>
      </c>
      <c r="AA856" s="324"/>
    </row>
    <row r="857">
      <c r="A857" s="9">
        <f>IFERROR(__xludf.DUMMYFUNCTION("""COMPUTED_VALUE"""),46020.36643248843)</f>
        <v>46020.36643</v>
      </c>
      <c r="B857" s="10" t="str">
        <f>IFERROR(__xludf.DUMMYFUNCTION("""COMPUTED_VALUE"""),"Khurshid ")</f>
        <v>Khurshid </v>
      </c>
      <c r="C857" s="10" t="str">
        <f>IFERROR(__xludf.DUMMYFUNCTION("""COMPUTED_VALUE"""),"03128461318")</f>
        <v>03128461318</v>
      </c>
      <c r="D857" s="10" t="str">
        <f>IFERROR(__xludf.DUMMYFUNCTION("""COMPUTED_VALUE"""),"Jamia Masjid Syed Emam Ali Shah Sangala")</f>
        <v>Jamia Masjid Syed Emam Ali Shah Sangala</v>
      </c>
      <c r="E857" s="10" t="str">
        <f>IFERROR(__xludf.DUMMYFUNCTION("""COMPUTED_VALUE"""),"fboor")</f>
        <v>fboor</v>
      </c>
      <c r="F857" s="10">
        <f>IFERROR(__xludf.DUMMYFUNCTION("""COMPUTED_VALUE"""),129.0)</f>
        <v>129</v>
      </c>
      <c r="G857" s="10">
        <f>IFERROR(__xludf.DUMMYFUNCTION("""COMPUTED_VALUE"""),9.0)</f>
        <v>9</v>
      </c>
      <c r="H857" s="10">
        <f>IFERROR(__xludf.DUMMYFUNCTION("""COMPUTED_VALUE"""),9.0)</f>
        <v>9</v>
      </c>
      <c r="I857" s="10">
        <f>IFERROR(__xludf.DUMMYFUNCTION("""COMPUTED_VALUE"""),0.0)</f>
        <v>0</v>
      </c>
      <c r="J857" s="10"/>
      <c r="K857" s="10"/>
      <c r="L857" s="10"/>
      <c r="M857" s="10">
        <f>IFERROR(__xludf.DUMMYFUNCTION("""COMPUTED_VALUE"""),8.0)</f>
        <v>8</v>
      </c>
      <c r="N857" s="10"/>
      <c r="O857" s="10"/>
      <c r="P857" s="10"/>
      <c r="Q857" s="10"/>
      <c r="R857" s="10"/>
      <c r="S857" s="10"/>
      <c r="T857" s="10"/>
      <c r="U857" s="18" t="str">
        <f>IFERROR(__xludf.DUMMYFUNCTION("""COMPUTED_VALUE"""),"https://drive.google.com/open?id=10x_dPfpFSvkQhuO0VCGv4lzNQAsIjs4e")</f>
        <v>https://drive.google.com/open?id=10x_dPfpFSvkQhuO0VCGv4lzNQAsIjs4e</v>
      </c>
      <c r="V857" s="10"/>
      <c r="W857" s="10"/>
      <c r="X857" s="10"/>
      <c r="Y857" s="14" t="str">
        <f>IFERROR(__xludf.DUMMYFUNCTION("""COMPUTED_VALUE"""),"haris.cerp@gmail.com")</f>
        <v>haris.cerp@gmail.com</v>
      </c>
      <c r="AA857" s="324"/>
    </row>
    <row r="858">
      <c r="A858" s="9">
        <f>IFERROR(__xludf.DUMMYFUNCTION("""COMPUTED_VALUE"""),46020.37308847222)</f>
        <v>46020.37309</v>
      </c>
      <c r="B858" s="10" t="str">
        <f>IFERROR(__xludf.DUMMYFUNCTION("""COMPUTED_VALUE"""),"Hamza bhatti ")</f>
        <v>Hamza bhatti </v>
      </c>
      <c r="C858" s="10" t="str">
        <f>IFERROR(__xludf.DUMMYFUNCTION("""COMPUTED_VALUE"""),"03428464215")</f>
        <v>03428464215</v>
      </c>
      <c r="D858" s="10" t="str">
        <f>IFERROR(__xludf.DUMMYFUNCTION("""COMPUTED_VALUE"""),"Jamia Masjid Ghala Mandi Gojara")</f>
        <v>Jamia Masjid Ghala Mandi Gojara</v>
      </c>
      <c r="E858" s="10" t="str">
        <f>IFERROR(__xludf.DUMMYFUNCTION("""COMPUTED_VALUE"""),"rtcpq")</f>
        <v>rtcpq</v>
      </c>
      <c r="F858" s="10">
        <f>IFERROR(__xludf.DUMMYFUNCTION("""COMPUTED_VALUE"""),144.0)</f>
        <v>144</v>
      </c>
      <c r="G858" s="10">
        <f>IFERROR(__xludf.DUMMYFUNCTION("""COMPUTED_VALUE"""),9.0)</f>
        <v>9</v>
      </c>
      <c r="H858" s="10">
        <f>IFERROR(__xludf.DUMMYFUNCTION("""COMPUTED_VALUE"""),8.0)</f>
        <v>8</v>
      </c>
      <c r="I858" s="10">
        <f>IFERROR(__xludf.DUMMYFUNCTION("""COMPUTED_VALUE"""),1.0)</f>
        <v>1</v>
      </c>
      <c r="J858" s="10"/>
      <c r="K858" s="10"/>
      <c r="L858" s="10"/>
      <c r="M858" s="10">
        <f>IFERROR(__xludf.DUMMYFUNCTION("""COMPUTED_VALUE"""),8.0)</f>
        <v>8</v>
      </c>
      <c r="N858" s="10"/>
      <c r="O858" s="10"/>
      <c r="P858" s="10"/>
      <c r="Q858" s="10"/>
      <c r="R858" s="10"/>
      <c r="S858" s="10"/>
      <c r="T858" s="10"/>
      <c r="U858" s="18" t="str">
        <f>IFERROR(__xludf.DUMMYFUNCTION("""COMPUTED_VALUE"""),"https://drive.google.com/open?id=1ccUZoQjNWDvJ110267M1jVmF4Byv-Goq")</f>
        <v>https://drive.google.com/open?id=1ccUZoQjNWDvJ110267M1jVmF4Byv-Goq</v>
      </c>
      <c r="V858" s="10"/>
      <c r="W858" s="10"/>
      <c r="X858" s="10"/>
      <c r="Y858" s="14" t="str">
        <f>IFERROR(__xludf.DUMMYFUNCTION("""COMPUTED_VALUE"""),"haris.cerp@gmail.com")</f>
        <v>haris.cerp@gmail.com</v>
      </c>
      <c r="AA858" s="324"/>
    </row>
    <row r="859">
      <c r="A859" s="9">
        <f>IFERROR(__xludf.DUMMYFUNCTION("""COMPUTED_VALUE"""),46024.14513133102)</f>
        <v>46024.14513</v>
      </c>
      <c r="B859" s="10" t="str">
        <f>IFERROR(__xludf.DUMMYFUNCTION("""COMPUTED_VALUE"""),"Gulraiz Khan ")</f>
        <v>Gulraiz Khan </v>
      </c>
      <c r="C859" s="10" t="str">
        <f>IFERROR(__xludf.DUMMYFUNCTION("""COMPUTED_VALUE"""),"03088148872")</f>
        <v>03088148872</v>
      </c>
      <c r="D859" s="10" t="str">
        <f>IFERROR(__xludf.DUMMYFUNCTION("""COMPUTED_VALUE"""),"Jamia Masjid Darbar Shah Di Nahlian")</f>
        <v>Jamia Masjid Darbar Shah Di Nahlian</v>
      </c>
      <c r="E859" s="10" t="str">
        <f>IFERROR(__xludf.DUMMYFUNCTION("""COMPUTED_VALUE"""),"wohmy")</f>
        <v>wohmy</v>
      </c>
      <c r="F859" s="10">
        <f>IFERROR(__xludf.DUMMYFUNCTION("""COMPUTED_VALUE"""),200.0)</f>
        <v>200</v>
      </c>
      <c r="G859" s="10">
        <f>IFERROR(__xludf.DUMMYFUNCTION("""COMPUTED_VALUE"""),9.0)</f>
        <v>9</v>
      </c>
      <c r="H859" s="10">
        <f>IFERROR(__xludf.DUMMYFUNCTION("""COMPUTED_VALUE"""),9.0)</f>
        <v>9</v>
      </c>
      <c r="I859" s="10">
        <f>IFERROR(__xludf.DUMMYFUNCTION("""COMPUTED_VALUE"""),1.0)</f>
        <v>1</v>
      </c>
      <c r="J859" s="10"/>
      <c r="K859" s="10"/>
      <c r="L859" s="10"/>
      <c r="M859" s="10">
        <f>IFERROR(__xludf.DUMMYFUNCTION("""COMPUTED_VALUE"""),8.0)</f>
        <v>8</v>
      </c>
      <c r="N859" s="10"/>
      <c r="O859" s="10"/>
      <c r="P859" s="10"/>
      <c r="Q859" s="10"/>
      <c r="R859" s="10"/>
      <c r="S859" s="10"/>
      <c r="T859" s="10"/>
      <c r="U859" s="18" t="str">
        <f>IFERROR(__xludf.DUMMYFUNCTION("""COMPUTED_VALUE"""),"https://drive.google.com/open?id=12qGoXQmRuElMKshM0apa2CIaoiYNmHoW")</f>
        <v>https://drive.google.com/open?id=12qGoXQmRuElMKshM0apa2CIaoiYNmHoW</v>
      </c>
      <c r="V859" s="10" t="str">
        <f>IFERROR(__xludf.DUMMYFUNCTION("""COMPUTED_VALUE"""),"Koi nhi")</f>
        <v>Koi nhi</v>
      </c>
      <c r="W859" s="10"/>
      <c r="X859" s="10"/>
      <c r="Y859" s="14" t="str">
        <f>IFERROR(__xludf.DUMMYFUNCTION("""COMPUTED_VALUE"""),"gulraizkhan299@gmail.com")</f>
        <v>gulraizkhan299@gmail.com</v>
      </c>
      <c r="AA859" s="324"/>
    </row>
    <row r="860">
      <c r="A860" s="9">
        <f>IFERROR(__xludf.DUMMYFUNCTION("""COMPUTED_VALUE"""),46024.15795328704)</f>
        <v>46024.15795</v>
      </c>
      <c r="B860" s="10" t="str">
        <f>IFERROR(__xludf.DUMMYFUNCTION("""COMPUTED_VALUE"""),"Shani")</f>
        <v>Shani</v>
      </c>
      <c r="C860" s="10" t="str">
        <f>IFERROR(__xludf.DUMMYFUNCTION("""COMPUTED_VALUE"""),"03125797355")</f>
        <v>03125797355</v>
      </c>
      <c r="D860" s="10" t="str">
        <f>IFERROR(__xludf.DUMMYFUNCTION("""COMPUTED_VALUE"""),"Jamia Masjid Darbar Peer Abdul Ghani")</f>
        <v>Jamia Masjid Darbar Peer Abdul Ghani</v>
      </c>
      <c r="E860" s="10" t="str">
        <f>IFERROR(__xludf.DUMMYFUNCTION("""COMPUTED_VALUE"""),"opiuv 	")</f>
        <v>opiuv 	</v>
      </c>
      <c r="F860" s="10">
        <f>IFERROR(__xludf.DUMMYFUNCTION("""COMPUTED_VALUE"""),260.0)</f>
        <v>260</v>
      </c>
      <c r="G860" s="10">
        <f>IFERROR(__xludf.DUMMYFUNCTION("""COMPUTED_VALUE"""),9.0)</f>
        <v>9</v>
      </c>
      <c r="H860" s="10">
        <f>IFERROR(__xludf.DUMMYFUNCTION("""COMPUTED_VALUE"""),8.0)</f>
        <v>8</v>
      </c>
      <c r="I860" s="10">
        <f>IFERROR(__xludf.DUMMYFUNCTION("""COMPUTED_VALUE"""),1.0)</f>
        <v>1</v>
      </c>
      <c r="J860" s="10"/>
      <c r="K860" s="10"/>
      <c r="L860" s="10"/>
      <c r="M860" s="10">
        <f>IFERROR(__xludf.DUMMYFUNCTION("""COMPUTED_VALUE"""),8.0)</f>
        <v>8</v>
      </c>
      <c r="N860" s="10"/>
      <c r="O860" s="10"/>
      <c r="P860" s="10"/>
      <c r="Q860" s="10"/>
      <c r="R860" s="10"/>
      <c r="S860" s="10"/>
      <c r="T860" s="10"/>
      <c r="U860" s="18" t="str">
        <f>IFERROR(__xludf.DUMMYFUNCTION("""COMPUTED_VALUE"""),"https://drive.google.com/open?id=1YMV8hyCWrFbWcKHOn82SmALkGmSjFIG6")</f>
        <v>https://drive.google.com/open?id=1YMV8hyCWrFbWcKHOn82SmALkGmSjFIG6</v>
      </c>
      <c r="V860" s="10" t="str">
        <f>IFERROR(__xludf.DUMMYFUNCTION("""COMPUTED_VALUE"""),"Koi ni")</f>
        <v>Koi ni</v>
      </c>
      <c r="W860" s="10"/>
      <c r="X860" s="10"/>
      <c r="Y860" s="14" t="str">
        <f>IFERROR(__xludf.DUMMYFUNCTION("""COMPUTED_VALUE"""),"touseeqk6@gmail.com")</f>
        <v>touseeqk6@gmail.com</v>
      </c>
      <c r="AA860" s="324"/>
    </row>
    <row r="861">
      <c r="A861" s="9">
        <f>IFERROR(__xludf.DUMMYFUNCTION("""COMPUTED_VALUE"""),46024.166969618054)</f>
        <v>46024.16697</v>
      </c>
      <c r="B861" s="10" t="str">
        <f>IFERROR(__xludf.DUMMYFUNCTION("""COMPUTED_VALUE"""),"Khaleeq abbasi")</f>
        <v>Khaleeq abbasi</v>
      </c>
      <c r="C861" s="10" t="str">
        <f>IFERROR(__xludf.DUMMYFUNCTION("""COMPUTED_VALUE"""),"03425309047")</f>
        <v>03425309047</v>
      </c>
      <c r="D861" s="10" t="str">
        <f>IFERROR(__xludf.DUMMYFUNCTION("""COMPUTED_VALUE"""),"Darol oloom jamia abbasia jamia masjid sadiq akbar")</f>
        <v>Darol oloom jamia abbasia jamia masjid sadiq akbar</v>
      </c>
      <c r="E861" s="10" t="str">
        <f>IFERROR(__xludf.DUMMYFUNCTION("""COMPUTED_VALUE"""),"fkwyh")</f>
        <v>fkwyh</v>
      </c>
      <c r="F861" s="10">
        <f>IFERROR(__xludf.DUMMYFUNCTION("""COMPUTED_VALUE"""),1250.0)</f>
        <v>1250</v>
      </c>
      <c r="G861" s="10">
        <f>IFERROR(__xludf.DUMMYFUNCTION("""COMPUTED_VALUE"""),10.0)</f>
        <v>10</v>
      </c>
      <c r="H861" s="10">
        <f>IFERROR(__xludf.DUMMYFUNCTION("""COMPUTED_VALUE"""),10.0)</f>
        <v>10</v>
      </c>
      <c r="I861" s="10">
        <f>IFERROR(__xludf.DUMMYFUNCTION("""COMPUTED_VALUE"""),0.0)</f>
        <v>0</v>
      </c>
      <c r="J861" s="10"/>
      <c r="K861" s="10"/>
      <c r="L861" s="10"/>
      <c r="M861" s="10">
        <f>IFERROR(__xludf.DUMMYFUNCTION("""COMPUTED_VALUE"""),8.0)</f>
        <v>8</v>
      </c>
      <c r="N861" s="10"/>
      <c r="O861" s="10"/>
      <c r="P861" s="10"/>
      <c r="Q861" s="10"/>
      <c r="R861" s="10"/>
      <c r="S861" s="10"/>
      <c r="T861" s="10"/>
      <c r="U861" s="18" t="str">
        <f>IFERROR(__xludf.DUMMYFUNCTION("""COMPUTED_VALUE"""),"https://drive.google.com/open?id=1PMUK7AKNp6tZg-dPc3VmH_wr-2Qyl_M2")</f>
        <v>https://drive.google.com/open?id=1PMUK7AKNp6tZg-dPc3VmH_wr-2Qyl_M2</v>
      </c>
      <c r="V861" s="10"/>
      <c r="W861" s="10"/>
      <c r="X861" s="10"/>
      <c r="Y861" s="14" t="str">
        <f>IFERROR(__xludf.DUMMYFUNCTION("""COMPUTED_VALUE"""),"khaleeqabbasi377@gmail.com")</f>
        <v>khaleeqabbasi377@gmail.com</v>
      </c>
      <c r="AA861" s="324"/>
    </row>
    <row r="862">
      <c r="A862" s="9">
        <f>IFERROR(__xludf.DUMMYFUNCTION("""COMPUTED_VALUE"""),46024.20007679398)</f>
        <v>46024.20008</v>
      </c>
      <c r="B862" s="10" t="str">
        <f>IFERROR(__xludf.DUMMYFUNCTION("""COMPUTED_VALUE"""),"Muhammad Junaid khan ")</f>
        <v>Muhammad Junaid khan </v>
      </c>
      <c r="C862" s="10" t="str">
        <f>IFERROR(__xludf.DUMMYFUNCTION("""COMPUTED_VALUE"""),"03304798598")</f>
        <v>03304798598</v>
      </c>
      <c r="D862" s="10" t="str">
        <f>IFERROR(__xludf.DUMMYFUNCTION("""COMPUTED_VALUE"""),"JAMIA MASJID SABZY MANDY MOTI BAZAR RAWALPINDI ")</f>
        <v>JAMIA MASJID SABZY MANDY MOTI BAZAR RAWALPINDI </v>
      </c>
      <c r="E862" s="10" t="str">
        <f>IFERROR(__xludf.DUMMYFUNCTION("""COMPUTED_VALUE"""),"Cvcqu")</f>
        <v>Cvcqu</v>
      </c>
      <c r="F862" s="10">
        <f>IFERROR(__xludf.DUMMYFUNCTION("""COMPUTED_VALUE"""),920.0)</f>
        <v>920</v>
      </c>
      <c r="G862" s="10">
        <f>IFERROR(__xludf.DUMMYFUNCTION("""COMPUTED_VALUE"""),8.0)</f>
        <v>8</v>
      </c>
      <c r="H862" s="10">
        <f>IFERROR(__xludf.DUMMYFUNCTION("""COMPUTED_VALUE"""),8.0)</f>
        <v>8</v>
      </c>
      <c r="I862" s="10">
        <f>IFERROR(__xludf.DUMMYFUNCTION("""COMPUTED_VALUE"""),2.0)</f>
        <v>2</v>
      </c>
      <c r="J862" s="10"/>
      <c r="K862" s="10"/>
      <c r="L862" s="10"/>
      <c r="M862" s="10">
        <f>IFERROR(__xludf.DUMMYFUNCTION("""COMPUTED_VALUE"""),10.0)</f>
        <v>10</v>
      </c>
      <c r="N862" s="10"/>
      <c r="O862" s="10"/>
      <c r="P862" s="10"/>
      <c r="Q862" s="10"/>
      <c r="R862" s="10"/>
      <c r="S862" s="10"/>
      <c r="T862" s="10"/>
      <c r="U862" s="18" t="str">
        <f>IFERROR(__xludf.DUMMYFUNCTION("""COMPUTED_VALUE"""),"https://drive.google.com/open?id=1UovsYMBHlgJKcEYwiQqIe59cGtp6hNRJ")</f>
        <v>https://drive.google.com/open?id=1UovsYMBHlgJKcEYwiQqIe59cGtp6hNRJ</v>
      </c>
      <c r="V862" s="10"/>
      <c r="W862" s="10"/>
      <c r="X862" s="10"/>
      <c r="Y862" s="14" t="str">
        <f>IFERROR(__xludf.DUMMYFUNCTION("""COMPUTED_VALUE"""),"junaidkhanorakzai03@gmail.com")</f>
        <v>junaidkhanorakzai03@gmail.com</v>
      </c>
      <c r="AA862" s="324"/>
    </row>
    <row r="863">
      <c r="A863" s="9">
        <f>IFERROR(__xludf.DUMMYFUNCTION("""COMPUTED_VALUE"""),46024.25337478009)</f>
        <v>46024.25337</v>
      </c>
      <c r="B863" s="10" t="str">
        <f>IFERROR(__xludf.DUMMYFUNCTION("""COMPUTED_VALUE"""),"Shahzaib Attari ")</f>
        <v>Shahzaib Attari </v>
      </c>
      <c r="C863" s="10" t="str">
        <f>IFERROR(__xludf.DUMMYFUNCTION("""COMPUTED_VALUE"""),"03105875099")</f>
        <v>03105875099</v>
      </c>
      <c r="D863" s="10" t="str">
        <f>IFERROR(__xludf.DUMMYFUNCTION("""COMPUTED_VALUE"""),"Jamia Masjid Muree barori chaklala scheme 3 Rawalpindi ")</f>
        <v>Jamia Masjid Muree barori chaklala scheme 3 Rawalpindi </v>
      </c>
      <c r="E863" s="10" t="str">
        <f>IFERROR(__xludf.DUMMYFUNCTION("""COMPUTED_VALUE"""),"cxyup")</f>
        <v>cxyup</v>
      </c>
      <c r="F863" s="10">
        <f>IFERROR(__xludf.DUMMYFUNCTION("""COMPUTED_VALUE"""),178.0)</f>
        <v>178</v>
      </c>
      <c r="G863" s="10">
        <f>IFERROR(__xludf.DUMMYFUNCTION("""COMPUTED_VALUE"""),10.0)</f>
        <v>10</v>
      </c>
      <c r="H863" s="10">
        <f>IFERROR(__xludf.DUMMYFUNCTION("""COMPUTED_VALUE"""),10.0)</f>
        <v>10</v>
      </c>
      <c r="I863" s="10">
        <f>IFERROR(__xludf.DUMMYFUNCTION("""COMPUTED_VALUE"""),0.0)</f>
        <v>0</v>
      </c>
      <c r="J863" s="10"/>
      <c r="K863" s="10"/>
      <c r="L863" s="10"/>
      <c r="M863" s="10">
        <f>IFERROR(__xludf.DUMMYFUNCTION("""COMPUTED_VALUE"""),10.0)</f>
        <v>10</v>
      </c>
      <c r="N863" s="10"/>
      <c r="O863" s="10"/>
      <c r="P863" s="10"/>
      <c r="Q863" s="10"/>
      <c r="R863" s="10"/>
      <c r="S863" s="10"/>
      <c r="T863" s="10"/>
      <c r="U863" s="18" t="str">
        <f>IFERROR(__xludf.DUMMYFUNCTION("""COMPUTED_VALUE"""),"https://drive.google.com/open?id=1JdEXIgXFrU__zGFN6oY7eJ1eE8oVBUV0")</f>
        <v>https://drive.google.com/open?id=1JdEXIgXFrU__zGFN6oY7eJ1eE8oVBUV0</v>
      </c>
      <c r="V863" s="10" t="str">
        <f>IFERROR(__xludf.DUMMYFUNCTION("""COMPUTED_VALUE"""),"No")</f>
        <v>No</v>
      </c>
      <c r="W863" s="10"/>
      <c r="X863" s="10"/>
      <c r="Y863" s="14" t="str">
        <f>IFERROR(__xludf.DUMMYFUNCTION("""COMPUTED_VALUE"""),"shahzaib58750999@gmail.com")</f>
        <v>shahzaib58750999@gmail.com</v>
      </c>
      <c r="AA863" s="324"/>
    </row>
    <row r="864">
      <c r="A864" s="9">
        <f>IFERROR(__xludf.DUMMYFUNCTION("""COMPUTED_VALUE"""),46024.25824542824)</f>
        <v>46024.25825</v>
      </c>
      <c r="B864" s="10" t="str">
        <f>IFERROR(__xludf.DUMMYFUNCTION("""COMPUTED_VALUE"""),"Waqar Ahmed")</f>
        <v>Waqar Ahmed</v>
      </c>
      <c r="C864" s="10" t="str">
        <f>IFERROR(__xludf.DUMMYFUNCTION("""COMPUTED_VALUE"""),"03345244952")</f>
        <v>03345244952</v>
      </c>
      <c r="D864" s="10" t="str">
        <f>IFERROR(__xludf.DUMMYFUNCTION("""COMPUTED_VALUE"""),"Jamia masjid darbar aliya syed ghor ali shah")</f>
        <v>Jamia masjid darbar aliya syed ghor ali shah</v>
      </c>
      <c r="E864" s="10" t="str">
        <f>IFERROR(__xludf.DUMMYFUNCTION("""COMPUTED_VALUE"""),"omcbn")</f>
        <v>omcbn</v>
      </c>
      <c r="F864" s="10">
        <f>IFERROR(__xludf.DUMMYFUNCTION("""COMPUTED_VALUE"""),389.0)</f>
        <v>389</v>
      </c>
      <c r="G864" s="10">
        <f>IFERROR(__xludf.DUMMYFUNCTION("""COMPUTED_VALUE"""),8.0)</f>
        <v>8</v>
      </c>
      <c r="H864" s="10">
        <f>IFERROR(__xludf.DUMMYFUNCTION("""COMPUTED_VALUE"""),8.0)</f>
        <v>8</v>
      </c>
      <c r="I864" s="10">
        <f>IFERROR(__xludf.DUMMYFUNCTION("""COMPUTED_VALUE"""),1.0)</f>
        <v>1</v>
      </c>
      <c r="J864" s="10"/>
      <c r="K864" s="10"/>
      <c r="L864" s="10"/>
      <c r="M864" s="10">
        <f>IFERROR(__xludf.DUMMYFUNCTION("""COMPUTED_VALUE"""),8.0)</f>
        <v>8</v>
      </c>
      <c r="N864" s="10"/>
      <c r="O864" s="10"/>
      <c r="P864" s="10"/>
      <c r="Q864" s="10"/>
      <c r="R864" s="10"/>
      <c r="S864" s="10"/>
      <c r="T864" s="10"/>
      <c r="U864" s="18" t="str">
        <f>IFERROR(__xludf.DUMMYFUNCTION("""COMPUTED_VALUE"""),"https://drive.google.com/open?id=19_ZIbDGKNcu1vlsQb965SvbAoiTw1gEJ")</f>
        <v>https://drive.google.com/open?id=19_ZIbDGKNcu1vlsQb965SvbAoiTw1gEJ</v>
      </c>
      <c r="V864" s="10" t="str">
        <f>IFERROR(__xludf.DUMMYFUNCTION("""COMPUTED_VALUE"""),"All ok")</f>
        <v>All ok</v>
      </c>
      <c r="W864" s="10"/>
      <c r="X864" s="10"/>
      <c r="Y864" s="14" t="str">
        <f>IFERROR(__xludf.DUMMYFUNCTION("""COMPUTED_VALUE"""),"waqaryousaf044@gmail.com")</f>
        <v>waqaryousaf044@gmail.com</v>
      </c>
      <c r="AA864" s="324"/>
    </row>
    <row r="865">
      <c r="A865" s="9">
        <f>IFERROR(__xludf.DUMMYFUNCTION("""COMPUTED_VALUE"""),46024.264562638884)</f>
        <v>46024.26456</v>
      </c>
      <c r="B865" s="10" t="str">
        <f>IFERROR(__xludf.DUMMYFUNCTION("""COMPUTED_VALUE"""),"Shahzaib Attari ")</f>
        <v>Shahzaib Attari </v>
      </c>
      <c r="C865" s="10" t="str">
        <f>IFERROR(__xludf.DUMMYFUNCTION("""COMPUTED_VALUE"""),"03105875099")</f>
        <v>03105875099</v>
      </c>
      <c r="D865" s="10" t="str">
        <f>IFERROR(__xludf.DUMMYFUNCTION("""COMPUTED_VALUE"""),"Jamia Masjid Ghunj Mandi Rawalpindi ")</f>
        <v>Jamia Masjid Ghunj Mandi Rawalpindi </v>
      </c>
      <c r="E865" s="10" t="str">
        <f>IFERROR(__xludf.DUMMYFUNCTION("""COMPUTED_VALUE"""),"Silss")</f>
        <v>Silss</v>
      </c>
      <c r="F865" s="10">
        <f>IFERROR(__xludf.DUMMYFUNCTION("""COMPUTED_VALUE"""),503.0)</f>
        <v>503</v>
      </c>
      <c r="G865" s="10">
        <f>IFERROR(__xludf.DUMMYFUNCTION("""COMPUTED_VALUE"""),2.0)</f>
        <v>2</v>
      </c>
      <c r="H865" s="10">
        <f>IFERROR(__xludf.DUMMYFUNCTION("""COMPUTED_VALUE"""),2.0)</f>
        <v>2</v>
      </c>
      <c r="I865" s="10">
        <f>IFERROR(__xludf.DUMMYFUNCTION("""COMPUTED_VALUE"""),3.0)</f>
        <v>3</v>
      </c>
      <c r="J865" s="10"/>
      <c r="K865" s="10"/>
      <c r="L865" s="10"/>
      <c r="M865" s="10">
        <f>IFERROR(__xludf.DUMMYFUNCTION("""COMPUTED_VALUE"""),9.0)</f>
        <v>9</v>
      </c>
      <c r="N865" s="10"/>
      <c r="O865" s="10"/>
      <c r="P865" s="10"/>
      <c r="Q865" s="10"/>
      <c r="R865" s="10"/>
      <c r="S865" s="10"/>
      <c r="T865" s="10"/>
      <c r="U865" s="18" t="str">
        <f>IFERROR(__xludf.DUMMYFUNCTION("""COMPUTED_VALUE"""),"https://drive.google.com/open?id=1vKKdXewFz9a9WHE3naglr1ExEod5F4PD")</f>
        <v>https://drive.google.com/open?id=1vKKdXewFz9a9WHE3naglr1ExEod5F4PD</v>
      </c>
      <c r="V865" s="10" t="str">
        <f>IFERROR(__xludf.DUMMYFUNCTION("""COMPUTED_VALUE"""),"No")</f>
        <v>No</v>
      </c>
      <c r="W865" s="10"/>
      <c r="X865" s="10"/>
      <c r="Y865" s="14" t="str">
        <f>IFERROR(__xludf.DUMMYFUNCTION("""COMPUTED_VALUE"""),"shahzaib58750999@gmail.com")</f>
        <v>shahzaib58750999@gmail.com</v>
      </c>
      <c r="AA865" s="324"/>
    </row>
    <row r="866">
      <c r="A866" s="9">
        <f>IFERROR(__xludf.DUMMYFUNCTION("""COMPUTED_VALUE"""),46024.33348825232)</f>
        <v>46024.33349</v>
      </c>
      <c r="B866" s="10" t="str">
        <f>IFERROR(__xludf.DUMMYFUNCTION("""COMPUTED_VALUE"""),"Aftab Ahmed")</f>
        <v>Aftab Ahmed</v>
      </c>
      <c r="C866" s="10" t="str">
        <f>IFERROR(__xludf.DUMMYFUNCTION("""COMPUTED_VALUE"""),"03135200400")</f>
        <v>03135200400</v>
      </c>
      <c r="D866" s="10" t="str">
        <f>IFERROR(__xludf.DUMMYFUNCTION("""COMPUTED_VALUE"""),"Jamia masjid al habib baba quma khan")</f>
        <v>Jamia masjid al habib baba quma khan</v>
      </c>
      <c r="E866" s="10" t="str">
        <f>IFERROR(__xludf.DUMMYFUNCTION("""COMPUTED_VALUE"""),"gakov")</f>
        <v>gakov</v>
      </c>
      <c r="F866" s="10">
        <f>IFERROR(__xludf.DUMMYFUNCTION("""COMPUTED_VALUE"""),343.0)</f>
        <v>343</v>
      </c>
      <c r="G866" s="10">
        <f>IFERROR(__xludf.DUMMYFUNCTION("""COMPUTED_VALUE"""),9.0)</f>
        <v>9</v>
      </c>
      <c r="H866" s="10">
        <f>IFERROR(__xludf.DUMMYFUNCTION("""COMPUTED_VALUE"""),8.0)</f>
        <v>8</v>
      </c>
      <c r="I866" s="10">
        <f>IFERROR(__xludf.DUMMYFUNCTION("""COMPUTED_VALUE"""),1.0)</f>
        <v>1</v>
      </c>
      <c r="J866" s="10"/>
      <c r="K866" s="10"/>
      <c r="L866" s="10"/>
      <c r="M866" s="10">
        <f>IFERROR(__xludf.DUMMYFUNCTION("""COMPUTED_VALUE"""),9.0)</f>
        <v>9</v>
      </c>
      <c r="N866" s="10"/>
      <c r="O866" s="10"/>
      <c r="P866" s="10"/>
      <c r="Q866" s="10"/>
      <c r="R866" s="10"/>
      <c r="S866" s="10"/>
      <c r="T866" s="10"/>
      <c r="U866" s="18" t="str">
        <f>IFERROR(__xludf.DUMMYFUNCTION("""COMPUTED_VALUE"""),"https://drive.google.com/open?id=1mkq0bbc_3ppmz3Qu9Opzbvs6nuk_pKxG")</f>
        <v>https://drive.google.com/open?id=1mkq0bbc_3ppmz3Qu9Opzbvs6nuk_pKxG</v>
      </c>
      <c r="V866" s="10" t="str">
        <f>IFERROR(__xludf.DUMMYFUNCTION("""COMPUTED_VALUE"""),"All ok")</f>
        <v>All ok</v>
      </c>
      <c r="W866" s="10"/>
      <c r="X866" s="10"/>
      <c r="Y866" s="14" t="str">
        <f>IFERROR(__xludf.DUMMYFUNCTION("""COMPUTED_VALUE"""),"aftabahmed080@gmail.com")</f>
        <v>aftabahmed080@gmail.com</v>
      </c>
      <c r="AA866" s="324"/>
    </row>
    <row r="867">
      <c r="A867" s="9">
        <f>IFERROR(__xludf.DUMMYFUNCTION("""COMPUTED_VALUE"""),46024.35531989583)</f>
        <v>46024.35532</v>
      </c>
      <c r="B867" s="10" t="str">
        <f>IFERROR(__xludf.DUMMYFUNCTION("""COMPUTED_VALUE"""),"Saddam")</f>
        <v>Saddam</v>
      </c>
      <c r="C867" s="10">
        <f>IFERROR(__xludf.DUMMYFUNCTION("""COMPUTED_VALUE"""),3.080008833E9)</f>
        <v>3080008833</v>
      </c>
      <c r="D867" s="10" t="str">
        <f>IFERROR(__xludf.DUMMYFUNCTION("""COMPUTED_VALUE"""),"Daud Shah Hakani")</f>
        <v>Daud Shah Hakani</v>
      </c>
      <c r="E867" s="10" t="str">
        <f>IFERROR(__xludf.DUMMYFUNCTION("""COMPUTED_VALUE"""),"lnsdx")</f>
        <v>lnsdx</v>
      </c>
      <c r="F867" s="10">
        <f>IFERROR(__xludf.DUMMYFUNCTION("""COMPUTED_VALUE"""),60.0)</f>
        <v>60</v>
      </c>
      <c r="G867" s="10">
        <f>IFERROR(__xludf.DUMMYFUNCTION("""COMPUTED_VALUE"""),6.0)</f>
        <v>6</v>
      </c>
      <c r="H867" s="10">
        <f>IFERROR(__xludf.DUMMYFUNCTION("""COMPUTED_VALUE"""),7.0)</f>
        <v>7</v>
      </c>
      <c r="I867" s="10">
        <f>IFERROR(__xludf.DUMMYFUNCTION("""COMPUTED_VALUE"""),0.0)</f>
        <v>0</v>
      </c>
      <c r="J867" s="10"/>
      <c r="K867" s="10"/>
      <c r="L867" s="10"/>
      <c r="M867" s="10">
        <f>IFERROR(__xludf.DUMMYFUNCTION("""COMPUTED_VALUE"""),5.0)</f>
        <v>5</v>
      </c>
      <c r="N867" s="10"/>
      <c r="O867" s="10"/>
      <c r="P867" s="10"/>
      <c r="Q867" s="10"/>
      <c r="R867" s="10"/>
      <c r="S867" s="10"/>
      <c r="T867" s="10"/>
      <c r="U867" s="18" t="str">
        <f>IFERROR(__xludf.DUMMYFUNCTION("""COMPUTED_VALUE"""),"https://drive.google.com/open?id=1ah3Iv73iy3YCHmGFFt2Dhm142kdkjb-W")</f>
        <v>https://drive.google.com/open?id=1ah3Iv73iy3YCHmGFFt2Dhm142kdkjb-W</v>
      </c>
      <c r="V867" s="10" t="str">
        <f>IFERROR(__xludf.DUMMYFUNCTION("""COMPUTED_VALUE"""),"NA")</f>
        <v>NA</v>
      </c>
      <c r="W867" s="10"/>
      <c r="X867" s="10"/>
      <c r="Y867" s="14" t="str">
        <f>IFERROR(__xludf.DUMMYFUNCTION("""COMPUTED_VALUE"""),"saddamwazir55@gmail.com")</f>
        <v>saddamwazir55@gmail.com</v>
      </c>
      <c r="AA867" s="324"/>
    </row>
    <row r="868">
      <c r="A868" s="9">
        <f>IFERROR(__xludf.DUMMYFUNCTION("""COMPUTED_VALUE"""),46024.54078041667)</f>
        <v>46024.54078</v>
      </c>
      <c r="B868" s="10" t="str">
        <f>IFERROR(__xludf.DUMMYFUNCTION("""COMPUTED_VALUE"""),"shahzaib waheed")</f>
        <v>shahzaib waheed</v>
      </c>
      <c r="C868" s="10" t="str">
        <f>IFERROR(__xludf.DUMMYFUNCTION("""COMPUTED_VALUE"""),"03175702106")</f>
        <v>03175702106</v>
      </c>
      <c r="D868" s="10" t="str">
        <f>IFERROR(__xludf.DUMMYFUNCTION("""COMPUTED_VALUE"""),"jamia masjid jaman wali ")</f>
        <v>jamia masjid jaman wali </v>
      </c>
      <c r="E868" s="10" t="str">
        <f>IFERROR(__xludf.DUMMYFUNCTION("""COMPUTED_VALUE"""),"podyo")</f>
        <v>podyo</v>
      </c>
      <c r="F868" s="10">
        <f>IFERROR(__xludf.DUMMYFUNCTION("""COMPUTED_VALUE"""),160.0)</f>
        <v>160</v>
      </c>
      <c r="G868" s="10">
        <f>IFERROR(__xludf.DUMMYFUNCTION("""COMPUTED_VALUE"""),5.0)</f>
        <v>5</v>
      </c>
      <c r="H868" s="10">
        <f>IFERROR(__xludf.DUMMYFUNCTION("""COMPUTED_VALUE"""),5.0)</f>
        <v>5</v>
      </c>
      <c r="I868" s="10">
        <f>IFERROR(__xludf.DUMMYFUNCTION("""COMPUTED_VALUE"""),1.0)</f>
        <v>1</v>
      </c>
      <c r="J868" s="10"/>
      <c r="K868" s="10"/>
      <c r="L868" s="10"/>
      <c r="M868" s="10">
        <f>IFERROR(__xludf.DUMMYFUNCTION("""COMPUTED_VALUE"""),5.0)</f>
        <v>5</v>
      </c>
      <c r="N868" s="10"/>
      <c r="O868" s="10"/>
      <c r="P868" s="10"/>
      <c r="Q868" s="10"/>
      <c r="R868" s="10"/>
      <c r="S868" s="10"/>
      <c r="T868" s="10"/>
      <c r="U868" s="18" t="str">
        <f>IFERROR(__xludf.DUMMYFUNCTION("""COMPUTED_VALUE"""),"https://drive.google.com/open?id=1_Ryykao8pERo_wYqli_47VZ9YG-6ado4")</f>
        <v>https://drive.google.com/open?id=1_Ryykao8pERo_wYqli_47VZ9YG-6ado4</v>
      </c>
      <c r="V868" s="10" t="str">
        <f>IFERROR(__xludf.DUMMYFUNCTION("""COMPUTED_VALUE"""),"no")</f>
        <v>no</v>
      </c>
      <c r="W868" s="10"/>
      <c r="X868" s="10"/>
      <c r="Y868" s="14" t="str">
        <f>IFERROR(__xludf.DUMMYFUNCTION("""COMPUTED_VALUE"""),"shahzaibwaheed@hotmail.com")</f>
        <v>shahzaibwaheed@hotmail.com</v>
      </c>
      <c r="AA868" s="324"/>
    </row>
    <row r="869">
      <c r="A869" s="9">
        <f>IFERROR(__xludf.DUMMYFUNCTION("""COMPUTED_VALUE"""),46024.5438196412)</f>
        <v>46024.54382</v>
      </c>
      <c r="B869" s="10" t="str">
        <f>IFERROR(__xludf.DUMMYFUNCTION("""COMPUTED_VALUE"""),"shahzaib waheed")</f>
        <v>shahzaib waheed</v>
      </c>
      <c r="C869" s="10" t="str">
        <f>IFERROR(__xludf.DUMMYFUNCTION("""COMPUTED_VALUE"""),"03175702106")</f>
        <v>03175702106</v>
      </c>
      <c r="D869" s="10" t="str">
        <f>IFERROR(__xludf.DUMMYFUNCTION("""COMPUTED_VALUE"""),"Jamia masjid gawal mandi Rawalpindi ")</f>
        <v>Jamia masjid gawal mandi Rawalpindi </v>
      </c>
      <c r="E869" s="10" t="str">
        <f>IFERROR(__xludf.DUMMYFUNCTION("""COMPUTED_VALUE"""),"bbyok")</f>
        <v>bbyok</v>
      </c>
      <c r="F869" s="10">
        <f>IFERROR(__xludf.DUMMYFUNCTION("""COMPUTED_VALUE"""),840.0)</f>
        <v>840</v>
      </c>
      <c r="G869" s="10">
        <f>IFERROR(__xludf.DUMMYFUNCTION("""COMPUTED_VALUE"""),8.0)</f>
        <v>8</v>
      </c>
      <c r="H869" s="10">
        <f>IFERROR(__xludf.DUMMYFUNCTION("""COMPUTED_VALUE"""),8.0)</f>
        <v>8</v>
      </c>
      <c r="I869" s="10">
        <f>IFERROR(__xludf.DUMMYFUNCTION("""COMPUTED_VALUE"""),0.0)</f>
        <v>0</v>
      </c>
      <c r="J869" s="10"/>
      <c r="K869" s="10"/>
      <c r="L869" s="10"/>
      <c r="M869" s="10">
        <f>IFERROR(__xludf.DUMMYFUNCTION("""COMPUTED_VALUE"""),8.0)</f>
        <v>8</v>
      </c>
      <c r="N869" s="10"/>
      <c r="O869" s="10"/>
      <c r="P869" s="10"/>
      <c r="Q869" s="10"/>
      <c r="R869" s="10"/>
      <c r="S869" s="10"/>
      <c r="T869" s="10"/>
      <c r="U869" s="18" t="str">
        <f>IFERROR(__xludf.DUMMYFUNCTION("""COMPUTED_VALUE"""),"https://drive.google.com/open?id=1kXROIxE8m3sJPaLI7WdbrAfK-aoUzCRd")</f>
        <v>https://drive.google.com/open?id=1kXROIxE8m3sJPaLI7WdbrAfK-aoUzCRd</v>
      </c>
      <c r="V869" s="10" t="str">
        <f>IFERROR(__xludf.DUMMYFUNCTION("""COMPUTED_VALUE"""),"nO")</f>
        <v>nO</v>
      </c>
      <c r="W869" s="10"/>
      <c r="X869" s="10"/>
      <c r="Y869" s="14" t="str">
        <f>IFERROR(__xludf.DUMMYFUNCTION("""COMPUTED_VALUE"""),"shahzaibwaheed@hotmail.com")</f>
        <v>shahzaibwaheed@hotmail.com</v>
      </c>
      <c r="AA869" s="324"/>
    </row>
    <row r="870">
      <c r="A870" s="9">
        <f>IFERROR(__xludf.DUMMYFUNCTION("""COMPUTED_VALUE"""),46024.712803807866)</f>
        <v>46024.7128</v>
      </c>
      <c r="B870" s="10" t="str">
        <f>IFERROR(__xludf.DUMMYFUNCTION("""COMPUTED_VALUE"""),"Naseer Ahmed")</f>
        <v>Naseer Ahmed</v>
      </c>
      <c r="C870" s="10" t="str">
        <f>IFERROR(__xludf.DUMMYFUNCTION("""COMPUTED_VALUE"""),"03157681452")</f>
        <v>03157681452</v>
      </c>
      <c r="D870" s="10" t="str">
        <f>IFERROR(__xludf.DUMMYFUNCTION("""COMPUTED_VALUE"""),"Jamia Masjid King Mandi Rawalpindi")</f>
        <v>Jamia Masjid King Mandi Rawalpindi</v>
      </c>
      <c r="E870" s="10" t="str">
        <f>IFERROR(__xludf.DUMMYFUNCTION("""COMPUTED_VALUE"""),"thjdr")</f>
        <v>thjdr</v>
      </c>
      <c r="F870" s="10">
        <f>IFERROR(__xludf.DUMMYFUNCTION("""COMPUTED_VALUE"""),350.0)</f>
        <v>350</v>
      </c>
      <c r="G870" s="10">
        <f>IFERROR(__xludf.DUMMYFUNCTION("""COMPUTED_VALUE"""),8.0)</f>
        <v>8</v>
      </c>
      <c r="H870" s="10">
        <f>IFERROR(__xludf.DUMMYFUNCTION("""COMPUTED_VALUE"""),8.0)</f>
        <v>8</v>
      </c>
      <c r="I870" s="10">
        <f>IFERROR(__xludf.DUMMYFUNCTION("""COMPUTED_VALUE"""),1.0)</f>
        <v>1</v>
      </c>
      <c r="J870" s="10"/>
      <c r="K870" s="10"/>
      <c r="L870" s="10"/>
      <c r="M870" s="10">
        <f>IFERROR(__xludf.DUMMYFUNCTION("""COMPUTED_VALUE"""),8.0)</f>
        <v>8</v>
      </c>
      <c r="N870" s="10"/>
      <c r="O870" s="10"/>
      <c r="P870" s="10"/>
      <c r="Q870" s="10"/>
      <c r="R870" s="10"/>
      <c r="S870" s="10"/>
      <c r="T870" s="10"/>
      <c r="U870" s="18" t="str">
        <f>IFERROR(__xludf.DUMMYFUNCTION("""COMPUTED_VALUE"""),"https://drive.google.com/open?id=10kAK90Y7dnJArVgo-HdJtRikbCV-rVMG")</f>
        <v>https://drive.google.com/open?id=10kAK90Y7dnJArVgo-HdJtRikbCV-rVMG</v>
      </c>
      <c r="V870" s="10" t="str">
        <f>IFERROR(__xludf.DUMMYFUNCTION("""COMPUTED_VALUE"""),"Molana sahib ne kaha k wo paper se dekh k taqreer ni kr saktay ye bat audio bayan ma b mojood ha")</f>
        <v>Molana sahib ne kaha k wo paper se dekh k taqreer ni kr saktay ye bat audio bayan ma b mojood ha</v>
      </c>
      <c r="W870" s="10"/>
      <c r="X870" s="10"/>
      <c r="Y870" s="14" t="str">
        <f>IFERROR(__xludf.DUMMYFUNCTION("""COMPUTED_VALUE"""),"nasgull786@gmail.com")</f>
        <v>nasgull786@gmail.com</v>
      </c>
      <c r="AA870" s="324"/>
    </row>
    <row r="871">
      <c r="A871" s="9">
        <f>IFERROR(__xludf.DUMMYFUNCTION("""COMPUTED_VALUE"""),46024.72390376157)</f>
        <v>46024.7239</v>
      </c>
      <c r="B871" s="10" t="str">
        <f>IFERROR(__xludf.DUMMYFUNCTION("""COMPUTED_VALUE"""),"Wahab")</f>
        <v>Wahab</v>
      </c>
      <c r="C871" s="10" t="str">
        <f>IFERROR(__xludf.DUMMYFUNCTION("""COMPUTED_VALUE"""),"03157681452")</f>
        <v>03157681452</v>
      </c>
      <c r="D871" s="10" t="str">
        <f>IFERROR(__xludf.DUMMYFUNCTION("""COMPUTED_VALUE"""),"Jamia Masjid Akbari Mohanpura")</f>
        <v>Jamia Masjid Akbari Mohanpura</v>
      </c>
      <c r="E871" s="10" t="str">
        <f>IFERROR(__xludf.DUMMYFUNCTION("""COMPUTED_VALUE"""),"gdglp")</f>
        <v>gdglp</v>
      </c>
      <c r="F871" s="10">
        <f>IFERROR(__xludf.DUMMYFUNCTION("""COMPUTED_VALUE"""),415.0)</f>
        <v>415</v>
      </c>
      <c r="G871" s="10">
        <f>IFERROR(__xludf.DUMMYFUNCTION("""COMPUTED_VALUE"""),9.0)</f>
        <v>9</v>
      </c>
      <c r="H871" s="10">
        <f>IFERROR(__xludf.DUMMYFUNCTION("""COMPUTED_VALUE"""),9.0)</f>
        <v>9</v>
      </c>
      <c r="I871" s="10">
        <f>IFERROR(__xludf.DUMMYFUNCTION("""COMPUTED_VALUE"""),2.0)</f>
        <v>2</v>
      </c>
      <c r="J871" s="10"/>
      <c r="K871" s="10"/>
      <c r="L871" s="10"/>
      <c r="M871" s="10">
        <f>IFERROR(__xludf.DUMMYFUNCTION("""COMPUTED_VALUE"""),9.0)</f>
        <v>9</v>
      </c>
      <c r="N871" s="10"/>
      <c r="O871" s="10"/>
      <c r="P871" s="10"/>
      <c r="Q871" s="10"/>
      <c r="R871" s="10"/>
      <c r="S871" s="10"/>
      <c r="T871" s="10"/>
      <c r="U871" s="18" t="str">
        <f>IFERROR(__xludf.DUMMYFUNCTION("""COMPUTED_VALUE"""),"https://drive.google.com/open?id=1n5zOzWBI1KL6UJ2ZzNK4lq8izfSnviuG")</f>
        <v>https://drive.google.com/open?id=1n5zOzWBI1KL6UJ2ZzNK4lq8izfSnviuG</v>
      </c>
      <c r="V871" s="10" t="str">
        <f>IFERROR(__xludf.DUMMYFUNCTION("""COMPUTED_VALUE"""),"Nil")</f>
        <v>Nil</v>
      </c>
      <c r="W871" s="10"/>
      <c r="X871" s="10"/>
      <c r="Y871" s="14" t="str">
        <f>IFERROR(__xludf.DUMMYFUNCTION("""COMPUTED_VALUE"""),"nasgull786@gmail.com")</f>
        <v>nasgull786@gmail.com</v>
      </c>
      <c r="AA871" s="324"/>
    </row>
    <row r="872">
      <c r="A872" s="9">
        <f>IFERROR(__xludf.DUMMYFUNCTION("""COMPUTED_VALUE"""),46024.73276064815)</f>
        <v>46024.73276</v>
      </c>
      <c r="B872" s="10" t="str">
        <f>IFERROR(__xludf.DUMMYFUNCTION("""COMPUTED_VALUE"""),"Hanan")</f>
        <v>Hanan</v>
      </c>
      <c r="C872" s="10" t="str">
        <f>IFERROR(__xludf.DUMMYFUNCTION("""COMPUTED_VALUE"""),"03157681452")</f>
        <v>03157681452</v>
      </c>
      <c r="D872" s="10" t="str">
        <f>IFERROR(__xludf.DUMMYFUNCTION("""COMPUTED_VALUE"""),"Jamia Masjid Madina Kabari Bazar Rawalpindi")</f>
        <v>Jamia Masjid Madina Kabari Bazar Rawalpindi</v>
      </c>
      <c r="E872" s="10" t="str">
        <f>IFERROR(__xludf.DUMMYFUNCTION("""COMPUTED_VALUE"""),"izzpy")</f>
        <v>izzpy</v>
      </c>
      <c r="F872" s="10">
        <f>IFERROR(__xludf.DUMMYFUNCTION("""COMPUTED_VALUE"""),420.0)</f>
        <v>420</v>
      </c>
      <c r="G872" s="10">
        <f>IFERROR(__xludf.DUMMYFUNCTION("""COMPUTED_VALUE"""),9.0)</f>
        <v>9</v>
      </c>
      <c r="H872" s="10">
        <f>IFERROR(__xludf.DUMMYFUNCTION("""COMPUTED_VALUE"""),9.0)</f>
        <v>9</v>
      </c>
      <c r="I872" s="10">
        <f>IFERROR(__xludf.DUMMYFUNCTION("""COMPUTED_VALUE"""),1.0)</f>
        <v>1</v>
      </c>
      <c r="J872" s="10"/>
      <c r="K872" s="10"/>
      <c r="L872" s="10"/>
      <c r="M872" s="10">
        <f>IFERROR(__xludf.DUMMYFUNCTION("""COMPUTED_VALUE"""),9.0)</f>
        <v>9</v>
      </c>
      <c r="N872" s="10"/>
      <c r="O872" s="10"/>
      <c r="P872" s="10"/>
      <c r="Q872" s="10"/>
      <c r="R872" s="10"/>
      <c r="S872" s="10"/>
      <c r="T872" s="10"/>
      <c r="U872" s="18" t="str">
        <f>IFERROR(__xludf.DUMMYFUNCTION("""COMPUTED_VALUE"""),"https://drive.google.com/open?id=1B2P-s4TNj6_uxIbqzCymsyoJ_ZDnHVji")</f>
        <v>https://drive.google.com/open?id=1B2P-s4TNj6_uxIbqzCymsyoJ_ZDnHVji</v>
      </c>
      <c r="V872" s="10" t="str">
        <f>IFERROR(__xludf.DUMMYFUNCTION("""COMPUTED_VALUE"""),"Molana sahib ne kaha k hm se 2 juma maa recording ki baat hui thi ")</f>
        <v>Molana sahib ne kaha k hm se 2 juma maa recording ki baat hui thi </v>
      </c>
      <c r="W872" s="10"/>
      <c r="X872" s="10"/>
      <c r="Y872" s="14" t="str">
        <f>IFERROR(__xludf.DUMMYFUNCTION("""COMPUTED_VALUE"""),"nasgull786@gmail.com")</f>
        <v>nasgull786@gmail.com</v>
      </c>
      <c r="AA872" s="324"/>
    </row>
    <row r="873">
      <c r="A873" s="9">
        <f>IFERROR(__xludf.DUMMYFUNCTION("""COMPUTED_VALUE"""),46025.071840324075)</f>
        <v>46025.07184</v>
      </c>
      <c r="B873" s="10" t="str">
        <f>IFERROR(__xludf.DUMMYFUNCTION("""COMPUTED_VALUE"""),"Atif Aslam")</f>
        <v>Atif Aslam</v>
      </c>
      <c r="C873" s="10" t="str">
        <f>IFERROR(__xludf.DUMMYFUNCTION("""COMPUTED_VALUE"""),"03435926281")</f>
        <v>03435926281</v>
      </c>
      <c r="D873" s="10" t="str">
        <f>IFERROR(__xludf.DUMMYFUNCTION("""COMPUTED_VALUE"""),"Jamia masjid Pholon wali")</f>
        <v>Jamia masjid Pholon wali</v>
      </c>
      <c r="E873" s="10" t="str">
        <f>IFERROR(__xludf.DUMMYFUNCTION("""COMPUTED_VALUE"""),"Fozkx")</f>
        <v>Fozkx</v>
      </c>
      <c r="F873" s="10">
        <f>IFERROR(__xludf.DUMMYFUNCTION("""COMPUTED_VALUE"""),220.0)</f>
        <v>220</v>
      </c>
      <c r="G873" s="10">
        <f>IFERROR(__xludf.DUMMYFUNCTION("""COMPUTED_VALUE"""),9.0)</f>
        <v>9</v>
      </c>
      <c r="H873" s="10">
        <f>IFERROR(__xludf.DUMMYFUNCTION("""COMPUTED_VALUE"""),9.0)</f>
        <v>9</v>
      </c>
      <c r="I873" s="10">
        <f>IFERROR(__xludf.DUMMYFUNCTION("""COMPUTED_VALUE"""),0.0)</f>
        <v>0</v>
      </c>
      <c r="J873" s="10"/>
      <c r="K873" s="10"/>
      <c r="L873" s="10"/>
      <c r="M873" s="10">
        <f>IFERROR(__xludf.DUMMYFUNCTION("""COMPUTED_VALUE"""),9.0)</f>
        <v>9</v>
      </c>
      <c r="N873" s="10"/>
      <c r="O873" s="10"/>
      <c r="P873" s="10"/>
      <c r="Q873" s="10"/>
      <c r="R873" s="10"/>
      <c r="S873" s="10"/>
      <c r="T873" s="10"/>
      <c r="U873" s="18" t="str">
        <f>IFERROR(__xludf.DUMMYFUNCTION("""COMPUTED_VALUE"""),"https://drive.google.com/open?id=1z9HqgELKXlxHd4O5p-mOkG99utvo5B1S")</f>
        <v>https://drive.google.com/open?id=1z9HqgELKXlxHd4O5p-mOkG99utvo5B1S</v>
      </c>
      <c r="V873" s="10"/>
      <c r="W873" s="10"/>
      <c r="X873" s="10"/>
      <c r="Y873" s="14" t="str">
        <f>IFERROR(__xludf.DUMMYFUNCTION("""COMPUTED_VALUE"""),"aatifmiraj@gmail.com")</f>
        <v>aatifmiraj@gmail.com</v>
      </c>
      <c r="AA873" s="324"/>
    </row>
    <row r="874">
      <c r="A874" s="9">
        <f>IFERROR(__xludf.DUMMYFUNCTION("""COMPUTED_VALUE"""),46025.08184435185)</f>
        <v>46025.08184</v>
      </c>
      <c r="B874" s="10" t="str">
        <f>IFERROR(__xludf.DUMMYFUNCTION("""COMPUTED_VALUE"""),"Asad Mumtaz ")</f>
        <v>Asad Mumtaz </v>
      </c>
      <c r="C874" s="10" t="str">
        <f>IFERROR(__xludf.DUMMYFUNCTION("""COMPUTED_VALUE"""),"03165641906")</f>
        <v>03165641906</v>
      </c>
      <c r="D874" s="10" t="str">
        <f>IFERROR(__xludf.DUMMYFUNCTION("""COMPUTED_VALUE"""),"Masjid syedan #2 Rewalpind ")</f>
        <v>Masjid syedan #2 Rewalpind </v>
      </c>
      <c r="E874" s="10" t="str">
        <f>IFERROR(__xludf.DUMMYFUNCTION("""COMPUTED_VALUE"""),"Egckn ")</f>
        <v>Egckn </v>
      </c>
      <c r="F874" s="10">
        <f>IFERROR(__xludf.DUMMYFUNCTION("""COMPUTED_VALUE"""),366.0)</f>
        <v>366</v>
      </c>
      <c r="G874" s="10">
        <f>IFERROR(__xludf.DUMMYFUNCTION("""COMPUTED_VALUE"""),7.0)</f>
        <v>7</v>
      </c>
      <c r="H874" s="10">
        <f>IFERROR(__xludf.DUMMYFUNCTION("""COMPUTED_VALUE"""),7.0)</f>
        <v>7</v>
      </c>
      <c r="I874" s="10">
        <f>IFERROR(__xludf.DUMMYFUNCTION("""COMPUTED_VALUE"""),44.0)</f>
        <v>44</v>
      </c>
      <c r="J874" s="10"/>
      <c r="K874" s="10"/>
      <c r="L874" s="10"/>
      <c r="M874" s="10">
        <f>IFERROR(__xludf.DUMMYFUNCTION("""COMPUTED_VALUE"""),9.0)</f>
        <v>9</v>
      </c>
      <c r="N874" s="10"/>
      <c r="O874" s="10"/>
      <c r="P874" s="10"/>
      <c r="Q874" s="10"/>
      <c r="R874" s="10"/>
      <c r="S874" s="10"/>
      <c r="T874" s="10"/>
      <c r="U874" s="18" t="str">
        <f>IFERROR(__xludf.DUMMYFUNCTION("""COMPUTED_VALUE"""),"https://drive.google.com/file/d/1D0ibfXVtfHnlulSjEmR2ksMF7DjaC0rB/view?usp=drive_link")</f>
        <v>https://drive.google.com/file/d/1D0ibfXVtfHnlulSjEmR2ksMF7DjaC0rB/view?usp=drive_link</v>
      </c>
      <c r="V874" s="10"/>
      <c r="W874" s="10"/>
      <c r="X874" s="10"/>
      <c r="Y874" s="14" t="str">
        <f>IFERROR(__xludf.DUMMYFUNCTION("""COMPUTED_VALUE"""),"ak6313854@gmail.com")</f>
        <v>ak6313854@gmail.com</v>
      </c>
      <c r="AA874" s="324"/>
    </row>
    <row r="875">
      <c r="A875" s="9">
        <f>IFERROR(__xludf.DUMMYFUNCTION("""COMPUTED_VALUE"""),46025.08211668981)</f>
        <v>46025.08212</v>
      </c>
      <c r="B875" s="10" t="str">
        <f>IFERROR(__xludf.DUMMYFUNCTION("""COMPUTED_VALUE"""),"Muhammad Ehsan Anwer ")</f>
        <v>Muhammad Ehsan Anwer </v>
      </c>
      <c r="C875" s="10" t="str">
        <f>IFERROR(__xludf.DUMMYFUNCTION("""COMPUTED_VALUE"""),"03055863729")</f>
        <v>03055863729</v>
      </c>
      <c r="D875" s="10" t="str">
        <f>IFERROR(__xludf.DUMMYFUNCTION("""COMPUTED_VALUE"""),"Masjid Main Haji Sab Bagga Sher ")</f>
        <v>Masjid Main Haji Sab Bagga Sher </v>
      </c>
      <c r="E875" s="10" t="str">
        <f>IFERROR(__xludf.DUMMYFUNCTION("""COMPUTED_VALUE"""),"Vzblw ")</f>
        <v>Vzblw </v>
      </c>
      <c r="F875" s="10">
        <f>IFERROR(__xludf.DUMMYFUNCTION("""COMPUTED_VALUE"""),297.0)</f>
        <v>297</v>
      </c>
      <c r="G875" s="10">
        <f>IFERROR(__xludf.DUMMYFUNCTION("""COMPUTED_VALUE"""),9.0)</f>
        <v>9</v>
      </c>
      <c r="H875" s="10">
        <f>IFERROR(__xludf.DUMMYFUNCTION("""COMPUTED_VALUE"""),9.0)</f>
        <v>9</v>
      </c>
      <c r="I875" s="10">
        <f>IFERROR(__xludf.DUMMYFUNCTION("""COMPUTED_VALUE"""),1.0)</f>
        <v>1</v>
      </c>
      <c r="J875" s="10"/>
      <c r="K875" s="10"/>
      <c r="L875" s="10"/>
      <c r="M875" s="10">
        <f>IFERROR(__xludf.DUMMYFUNCTION("""COMPUTED_VALUE"""),9.0)</f>
        <v>9</v>
      </c>
      <c r="N875" s="10"/>
      <c r="O875" s="10"/>
      <c r="P875" s="10"/>
      <c r="Q875" s="10"/>
      <c r="R875" s="10"/>
      <c r="S875" s="10"/>
      <c r="T875" s="10"/>
      <c r="U875" s="18" t="str">
        <f>IFERROR(__xludf.DUMMYFUNCTION("""COMPUTED_VALUE"""),"https://drive.google.com/open?id=12lhxmer7KP_xXouBVbgPESXDdqDuUQtL")</f>
        <v>https://drive.google.com/open?id=12lhxmer7KP_xXouBVbgPESXDdqDuUQtL</v>
      </c>
      <c r="V875" s="10"/>
      <c r="W875" s="10"/>
      <c r="X875" s="10"/>
      <c r="Y875" s="14" t="str">
        <f>IFERROR(__xludf.DUMMYFUNCTION("""COMPUTED_VALUE"""),"malikehsan4772@gmail.com")</f>
        <v>malikehsan4772@gmail.com</v>
      </c>
      <c r="AA875" s="324"/>
    </row>
    <row r="876">
      <c r="A876" s="9">
        <f>IFERROR(__xludf.DUMMYFUNCTION("""COMPUTED_VALUE"""),46025.27664931713)</f>
        <v>46025.27665</v>
      </c>
      <c r="B876" s="10" t="str">
        <f>IFERROR(__xludf.DUMMYFUNCTION("""COMPUTED_VALUE"""),"Mudassar Iqbal")</f>
        <v>Mudassar Iqbal</v>
      </c>
      <c r="C876" s="10" t="str">
        <f>IFERROR(__xludf.DUMMYFUNCTION("""COMPUTED_VALUE"""),"03344907010")</f>
        <v>03344907010</v>
      </c>
      <c r="D876" s="10" t="str">
        <f>IFERROR(__xludf.DUMMYFUNCTION("""COMPUTED_VALUE"""),"Jamia Masjid Gul Siraj")</f>
        <v>Jamia Masjid Gul Siraj</v>
      </c>
      <c r="E876" s="10" t="str">
        <f>IFERROR(__xludf.DUMMYFUNCTION("""COMPUTED_VALUE"""),"czbuv")</f>
        <v>czbuv</v>
      </c>
      <c r="F876" s="10">
        <f>IFERROR(__xludf.DUMMYFUNCTION("""COMPUTED_VALUE"""),280.0)</f>
        <v>280</v>
      </c>
      <c r="G876" s="10">
        <f>IFERROR(__xludf.DUMMYFUNCTION("""COMPUTED_VALUE"""),9.0)</f>
        <v>9</v>
      </c>
      <c r="H876" s="10">
        <f>IFERROR(__xludf.DUMMYFUNCTION("""COMPUTED_VALUE"""),9.0)</f>
        <v>9</v>
      </c>
      <c r="I876" s="10">
        <f>IFERROR(__xludf.DUMMYFUNCTION("""COMPUTED_VALUE"""),0.0)</f>
        <v>0</v>
      </c>
      <c r="J876" s="10"/>
      <c r="K876" s="10"/>
      <c r="L876" s="10"/>
      <c r="M876" s="10">
        <f>IFERROR(__xludf.DUMMYFUNCTION("""COMPUTED_VALUE"""),9.0)</f>
        <v>9</v>
      </c>
      <c r="N876" s="10"/>
      <c r="O876" s="10"/>
      <c r="P876" s="10"/>
      <c r="Q876" s="10"/>
      <c r="R876" s="10"/>
      <c r="S876" s="10"/>
      <c r="T876" s="10"/>
      <c r="U876" s="18" t="str">
        <f>IFERROR(__xludf.DUMMYFUNCTION("""COMPUTED_VALUE"""),"https://drive.google.com/file/d/1OlDYluBtYh4T9sl41og2SHimwqI1sNrN/view?usp=drive_link")</f>
        <v>https://drive.google.com/file/d/1OlDYluBtYh4T9sl41og2SHimwqI1sNrN/view?usp=drive_link</v>
      </c>
      <c r="V876" s="10" t="str">
        <f>IFERROR(__xludf.DUMMYFUNCTION("""COMPUTED_VALUE"""),"No ")</f>
        <v>No </v>
      </c>
      <c r="W876" s="10"/>
      <c r="X876" s="10"/>
      <c r="Y876" s="14" t="str">
        <f>IFERROR(__xludf.DUMMYFUNCTION("""COMPUTED_VALUE"""),"balochmudassar44@gmail.com")</f>
        <v>balochmudassar44@gmail.com</v>
      </c>
      <c r="AA876" s="324"/>
    </row>
    <row r="877">
      <c r="A877" s="9">
        <f>IFERROR(__xludf.DUMMYFUNCTION("""COMPUTED_VALUE"""),46025.79957506944)</f>
        <v>46025.79958</v>
      </c>
      <c r="B877" s="10" t="str">
        <f>IFERROR(__xludf.DUMMYFUNCTION("""COMPUTED_VALUE"""),"Khurshid ")</f>
        <v>Khurshid </v>
      </c>
      <c r="C877" s="10" t="str">
        <f>IFERROR(__xludf.DUMMYFUNCTION("""COMPUTED_VALUE"""),"03128461318")</f>
        <v>03128461318</v>
      </c>
      <c r="D877" s="10" t="str">
        <f>IFERROR(__xludf.DUMMYFUNCTION("""COMPUTED_VALUE"""),"Jamia Masjid Syed Emam Ali Shah Sangala")</f>
        <v>Jamia Masjid Syed Emam Ali Shah Sangala</v>
      </c>
      <c r="E877" s="10" t="str">
        <f>IFERROR(__xludf.DUMMYFUNCTION("""COMPUTED_VALUE"""),"fboor")</f>
        <v>fboor</v>
      </c>
      <c r="F877" s="10">
        <f>IFERROR(__xludf.DUMMYFUNCTION("""COMPUTED_VALUE"""),139.0)</f>
        <v>139</v>
      </c>
      <c r="G877" s="10">
        <f>IFERROR(__xludf.DUMMYFUNCTION("""COMPUTED_VALUE"""),9.0)</f>
        <v>9</v>
      </c>
      <c r="H877" s="10">
        <f>IFERROR(__xludf.DUMMYFUNCTION("""COMPUTED_VALUE"""),9.0)</f>
        <v>9</v>
      </c>
      <c r="I877" s="10">
        <f>IFERROR(__xludf.DUMMYFUNCTION("""COMPUTED_VALUE"""),0.0)</f>
        <v>0</v>
      </c>
      <c r="J877" s="10"/>
      <c r="K877" s="10"/>
      <c r="L877" s="10"/>
      <c r="M877" s="10">
        <f>IFERROR(__xludf.DUMMYFUNCTION("""COMPUTED_VALUE"""),9.0)</f>
        <v>9</v>
      </c>
      <c r="N877" s="10"/>
      <c r="O877" s="10"/>
      <c r="P877" s="10"/>
      <c r="Q877" s="10"/>
      <c r="R877" s="10"/>
      <c r="S877" s="10"/>
      <c r="T877" s="10"/>
      <c r="U877" s="18" t="str">
        <f>IFERROR(__xludf.DUMMYFUNCTION("""COMPUTED_VALUE"""),"https://drive.google.com/open?id=1mfthkfVmJ1A9PfvEf2353ARiJwZB6Pld")</f>
        <v>https://drive.google.com/open?id=1mfthkfVmJ1A9PfvEf2353ARiJwZB6Pld</v>
      </c>
      <c r="V877" s="10"/>
      <c r="W877" s="10"/>
      <c r="X877" s="10"/>
      <c r="Y877" s="14" t="str">
        <f>IFERROR(__xludf.DUMMYFUNCTION("""COMPUTED_VALUE"""),"haris.cerp@gmail.com")</f>
        <v>haris.cerp@gmail.com</v>
      </c>
      <c r="AA877" s="324"/>
    </row>
    <row r="878">
      <c r="A878" s="9">
        <f>IFERROR(__xludf.DUMMYFUNCTION("""COMPUTED_VALUE"""),46025.80132085648)</f>
        <v>46025.80132</v>
      </c>
      <c r="B878" s="10" t="str">
        <f>IFERROR(__xludf.DUMMYFUNCTION("""COMPUTED_VALUE"""),"Hamza bhatti 		")</f>
        <v>Hamza bhatti 		</v>
      </c>
      <c r="C878" s="10" t="str">
        <f>IFERROR(__xludf.DUMMYFUNCTION("""COMPUTED_VALUE"""),"03428464215")</f>
        <v>03428464215</v>
      </c>
      <c r="D878" s="10" t="str">
        <f>IFERROR(__xludf.DUMMYFUNCTION("""COMPUTED_VALUE"""),"Jamia Masjid Ghala Mandi Gojara	")</f>
        <v>Jamia Masjid Ghala Mandi Gojara	</v>
      </c>
      <c r="E878" s="10" t="str">
        <f>IFERROR(__xludf.DUMMYFUNCTION("""COMPUTED_VALUE"""),"rtcpq")</f>
        <v>rtcpq</v>
      </c>
      <c r="F878" s="10">
        <f>IFERROR(__xludf.DUMMYFUNCTION("""COMPUTED_VALUE"""),133.0)</f>
        <v>133</v>
      </c>
      <c r="G878" s="10">
        <f>IFERROR(__xludf.DUMMYFUNCTION("""COMPUTED_VALUE"""),9.0)</f>
        <v>9</v>
      </c>
      <c r="H878" s="10">
        <f>IFERROR(__xludf.DUMMYFUNCTION("""COMPUTED_VALUE"""),8.0)</f>
        <v>8</v>
      </c>
      <c r="I878" s="10">
        <f>IFERROR(__xludf.DUMMYFUNCTION("""COMPUTED_VALUE"""),1.0)</f>
        <v>1</v>
      </c>
      <c r="J878" s="10"/>
      <c r="K878" s="10"/>
      <c r="L878" s="10"/>
      <c r="M878" s="10">
        <f>IFERROR(__xludf.DUMMYFUNCTION("""COMPUTED_VALUE"""),9.0)</f>
        <v>9</v>
      </c>
      <c r="N878" s="10"/>
      <c r="O878" s="10"/>
      <c r="P878" s="10"/>
      <c r="Q878" s="10"/>
      <c r="R878" s="10"/>
      <c r="S878" s="10"/>
      <c r="T878" s="10"/>
      <c r="U878" s="18" t="str">
        <f>IFERROR(__xludf.DUMMYFUNCTION("""COMPUTED_VALUE"""),"https://drive.google.com/open?id=13P3mZcXp_bTe35EjJruf0bXSHeZ13nu8")</f>
        <v>https://drive.google.com/open?id=13P3mZcXp_bTe35EjJruf0bXSHeZ13nu8</v>
      </c>
      <c r="V878" s="10"/>
      <c r="W878" s="10"/>
      <c r="X878" s="10"/>
      <c r="Y878" s="14" t="str">
        <f>IFERROR(__xludf.DUMMYFUNCTION("""COMPUTED_VALUE"""),"haris.cerp@gmail.com")</f>
        <v>haris.cerp@gmail.com</v>
      </c>
      <c r="AA878" s="324"/>
    </row>
    <row r="879">
      <c r="A879" s="9">
        <f>IFERROR(__xludf.DUMMYFUNCTION("""COMPUTED_VALUE"""),46028.07078603009)</f>
        <v>46028.07079</v>
      </c>
      <c r="B879" s="10" t="str">
        <f>IFERROR(__xludf.DUMMYFUNCTION("""COMPUTED_VALUE"""),"Atif")</f>
        <v>Atif</v>
      </c>
      <c r="C879" s="10" t="str">
        <f>IFERROR(__xludf.DUMMYFUNCTION("""COMPUTED_VALUE"""),"03435926281")</f>
        <v>03435926281</v>
      </c>
      <c r="D879" s="10" t="str">
        <f>IFERROR(__xludf.DUMMYFUNCTION("""COMPUTED_VALUE"""),"Markazi Jamia Masjid Rawalpindi")</f>
        <v>Markazi Jamia Masjid Rawalpindi</v>
      </c>
      <c r="E879" s="10" t="str">
        <f>IFERROR(__xludf.DUMMYFUNCTION("""COMPUTED_VALUE"""),"tgzpv")</f>
        <v>tgzpv</v>
      </c>
      <c r="F879" s="10">
        <f>IFERROR(__xludf.DUMMYFUNCTION("""COMPUTED_VALUE"""),310.0)</f>
        <v>310</v>
      </c>
      <c r="G879" s="10">
        <f>IFERROR(__xludf.DUMMYFUNCTION("""COMPUTED_VALUE"""),9.0)</f>
        <v>9</v>
      </c>
      <c r="H879" s="10">
        <f>IFERROR(__xludf.DUMMYFUNCTION("""COMPUTED_VALUE"""),9.0)</f>
        <v>9</v>
      </c>
      <c r="I879" s="10">
        <f>IFERROR(__xludf.DUMMYFUNCTION("""COMPUTED_VALUE"""),0.0)</f>
        <v>0</v>
      </c>
      <c r="J879" s="10"/>
      <c r="K879" s="10"/>
      <c r="L879" s="10"/>
      <c r="M879" s="10">
        <f>IFERROR(__xludf.DUMMYFUNCTION("""COMPUTED_VALUE"""),9.0)</f>
        <v>9</v>
      </c>
      <c r="N879" s="10"/>
      <c r="O879" s="10"/>
      <c r="P879" s="10"/>
      <c r="Q879" s="10"/>
      <c r="R879" s="10"/>
      <c r="S879" s="10"/>
      <c r="T879" s="10"/>
      <c r="U879" s="18" t="str">
        <f>IFERROR(__xludf.DUMMYFUNCTION("""COMPUTED_VALUE"""),"https://drive.google.com/open?id=1ANmPf84hlKdrk0akGA91901vOx5rpqb1")</f>
        <v>https://drive.google.com/open?id=1ANmPf84hlKdrk0akGA91901vOx5rpqb1</v>
      </c>
      <c r="V879" s="10"/>
      <c r="W879" s="10"/>
      <c r="X879" s="10"/>
      <c r="Y879" s="14" t="str">
        <f>IFERROR(__xludf.DUMMYFUNCTION("""COMPUTED_VALUE"""),"aatifmiraj@gmail.com")</f>
        <v>aatifmiraj@gmail.com</v>
      </c>
      <c r="AA879" s="324"/>
    </row>
    <row r="880">
      <c r="A880" s="9">
        <f>IFERROR(__xludf.DUMMYFUNCTION("""COMPUTED_VALUE"""),46031.17839421296)</f>
        <v>46031.17839</v>
      </c>
      <c r="B880" s="10" t="str">
        <f>IFERROR(__xludf.DUMMYFUNCTION("""COMPUTED_VALUE"""),"Saddam Hussain")</f>
        <v>Saddam Hussain</v>
      </c>
      <c r="C880" s="10">
        <f>IFERROR(__xludf.DUMMYFUNCTION("""COMPUTED_VALUE"""),3.080008833E9)</f>
        <v>3080008833</v>
      </c>
      <c r="D880" s="10" t="str">
        <f>IFERROR(__xludf.DUMMYFUNCTION("""COMPUTED_VALUE"""),"Daud Shah Hakani")</f>
        <v>Daud Shah Hakani</v>
      </c>
      <c r="E880" s="10" t="str">
        <f>IFERROR(__xludf.DUMMYFUNCTION("""COMPUTED_VALUE"""),"lnsdx")</f>
        <v>lnsdx</v>
      </c>
      <c r="F880" s="10">
        <f>IFERROR(__xludf.DUMMYFUNCTION("""COMPUTED_VALUE"""),70.0)</f>
        <v>70</v>
      </c>
      <c r="G880" s="10">
        <f>IFERROR(__xludf.DUMMYFUNCTION("""COMPUTED_VALUE"""),4.0)</f>
        <v>4</v>
      </c>
      <c r="H880" s="10">
        <f>IFERROR(__xludf.DUMMYFUNCTION("""COMPUTED_VALUE"""),6.0)</f>
        <v>6</v>
      </c>
      <c r="I880" s="10">
        <f>IFERROR(__xludf.DUMMYFUNCTION("""COMPUTED_VALUE"""),0.0)</f>
        <v>0</v>
      </c>
      <c r="J880" s="10"/>
      <c r="K880" s="10"/>
      <c r="L880" s="10"/>
      <c r="M880" s="10">
        <f>IFERROR(__xludf.DUMMYFUNCTION("""COMPUTED_VALUE"""),5.0)</f>
        <v>5</v>
      </c>
      <c r="N880" s="10"/>
      <c r="O880" s="10"/>
      <c r="P880" s="10"/>
      <c r="Q880" s="10"/>
      <c r="R880" s="10"/>
      <c r="S880" s="10"/>
      <c r="T880" s="10"/>
      <c r="U880" s="18" t="str">
        <f>IFERROR(__xludf.DUMMYFUNCTION("""COMPUTED_VALUE"""),"https://drive.google.com/open?id=1-ehshSu9RgBZJN3X1pcRd7dtsTo4ageE")</f>
        <v>https://drive.google.com/open?id=1-ehshSu9RgBZJN3X1pcRd7dtsTo4ageE</v>
      </c>
      <c r="V880" s="10" t="str">
        <f>IFERROR(__xludf.DUMMYFUNCTION("""COMPUTED_VALUE"""),"Na")</f>
        <v>Na</v>
      </c>
      <c r="W880" s="10"/>
      <c r="X880" s="10"/>
      <c r="Y880" s="14" t="str">
        <f>IFERROR(__xludf.DUMMYFUNCTION("""COMPUTED_VALUE"""),"saddamwazir55@gmail.com")</f>
        <v>saddamwazir55@gmail.com</v>
      </c>
      <c r="AA880" s="324"/>
    </row>
    <row r="881">
      <c r="A881" s="9">
        <f>IFERROR(__xludf.DUMMYFUNCTION("""COMPUTED_VALUE"""),46031.18434403936)</f>
        <v>46031.18434</v>
      </c>
      <c r="B881" s="10" t="str">
        <f>IFERROR(__xludf.DUMMYFUNCTION("""COMPUTED_VALUE"""),"Shahzaib Waheed")</f>
        <v>Shahzaib Waheed</v>
      </c>
      <c r="C881" s="10" t="str">
        <f>IFERROR(__xludf.DUMMYFUNCTION("""COMPUTED_VALUE"""),"03175702106")</f>
        <v>03175702106</v>
      </c>
      <c r="D881" s="10" t="str">
        <f>IFERROR(__xludf.DUMMYFUNCTION("""COMPUTED_VALUE"""),"jamia masjid jamun wali Rwp")</f>
        <v>jamia masjid jamun wali Rwp</v>
      </c>
      <c r="E881" s="10" t="str">
        <f>IFERROR(__xludf.DUMMYFUNCTION("""COMPUTED_VALUE"""),"podyo")</f>
        <v>podyo</v>
      </c>
      <c r="F881" s="10">
        <f>IFERROR(__xludf.DUMMYFUNCTION("""COMPUTED_VALUE"""),119.0)</f>
        <v>119</v>
      </c>
      <c r="G881" s="10">
        <f>IFERROR(__xludf.DUMMYFUNCTION("""COMPUTED_VALUE"""),5.0)</f>
        <v>5</v>
      </c>
      <c r="H881" s="10">
        <f>IFERROR(__xludf.DUMMYFUNCTION("""COMPUTED_VALUE"""),5.0)</f>
        <v>5</v>
      </c>
      <c r="I881" s="10">
        <f>IFERROR(__xludf.DUMMYFUNCTION("""COMPUTED_VALUE"""),1.0)</f>
        <v>1</v>
      </c>
      <c r="J881" s="10"/>
      <c r="K881" s="10"/>
      <c r="L881" s="10"/>
      <c r="M881" s="10">
        <f>IFERROR(__xludf.DUMMYFUNCTION("""COMPUTED_VALUE"""),7.0)</f>
        <v>7</v>
      </c>
      <c r="N881" s="10"/>
      <c r="O881" s="10"/>
      <c r="P881" s="10"/>
      <c r="Q881" s="10"/>
      <c r="R881" s="10"/>
      <c r="S881" s="10"/>
      <c r="T881" s="10"/>
      <c r="U881" s="18" t="str">
        <f>IFERROR(__xludf.DUMMYFUNCTION("""COMPUTED_VALUE"""),"https://drive.google.com/open?id=1oK5t-VQ1Q_zGT0rq6XThVHtb5Zz0utJt")</f>
        <v>https://drive.google.com/open?id=1oK5t-VQ1Q_zGT0rq6XThVHtb5Zz0utJt</v>
      </c>
      <c r="V881" s="10" t="str">
        <f>IFERROR(__xludf.DUMMYFUNCTION("""COMPUTED_VALUE"""),"nil")</f>
        <v>nil</v>
      </c>
      <c r="W881" s="10"/>
      <c r="X881" s="10"/>
      <c r="Y881" s="14" t="str">
        <f>IFERROR(__xludf.DUMMYFUNCTION("""COMPUTED_VALUE"""),"shahzaibwaheed@hotmail.com")</f>
        <v>shahzaibwaheed@hotmail.com</v>
      </c>
      <c r="AA881" s="324"/>
    </row>
    <row r="882">
      <c r="A882" s="9">
        <f>IFERROR(__xludf.DUMMYFUNCTION("""COMPUTED_VALUE"""),46031.291952037034)</f>
        <v>46031.29195</v>
      </c>
      <c r="B882" s="10" t="str">
        <f>IFERROR(__xludf.DUMMYFUNCTION("""COMPUTED_VALUE"""),"Muhammad Junaid khan ")</f>
        <v>Muhammad Junaid khan </v>
      </c>
      <c r="C882" s="10" t="str">
        <f>IFERROR(__xludf.DUMMYFUNCTION("""COMPUTED_VALUE"""),"03304798598")</f>
        <v>03304798598</v>
      </c>
      <c r="D882" s="10" t="str">
        <f>IFERROR(__xludf.DUMMYFUNCTION("""COMPUTED_VALUE"""),"JAMIA MASJID SABZY MANDY MOTI BAZAR RAWALPINDI ")</f>
        <v>JAMIA MASJID SABZY MANDY MOTI BAZAR RAWALPINDI </v>
      </c>
      <c r="E882" s="10" t="str">
        <f>IFERROR(__xludf.DUMMYFUNCTION("""COMPUTED_VALUE"""),"Cvcqu")</f>
        <v>Cvcqu</v>
      </c>
      <c r="F882" s="10">
        <f>IFERROR(__xludf.DUMMYFUNCTION("""COMPUTED_VALUE"""),930.0)</f>
        <v>930</v>
      </c>
      <c r="G882" s="10">
        <f>IFERROR(__xludf.DUMMYFUNCTION("""COMPUTED_VALUE"""),8.0)</f>
        <v>8</v>
      </c>
      <c r="H882" s="10">
        <f>IFERROR(__xludf.DUMMYFUNCTION("""COMPUTED_VALUE"""),8.0)</f>
        <v>8</v>
      </c>
      <c r="I882" s="10">
        <f>IFERROR(__xludf.DUMMYFUNCTION("""COMPUTED_VALUE"""),0.0)</f>
        <v>0</v>
      </c>
      <c r="J882" s="10"/>
      <c r="K882" s="10"/>
      <c r="L882" s="10"/>
      <c r="M882" s="10">
        <f>IFERROR(__xludf.DUMMYFUNCTION("""COMPUTED_VALUE"""),10.0)</f>
        <v>10</v>
      </c>
      <c r="N882" s="10"/>
      <c r="O882" s="10"/>
      <c r="P882" s="10"/>
      <c r="Q882" s="10"/>
      <c r="R882" s="10"/>
      <c r="S882" s="10"/>
      <c r="T882" s="10"/>
      <c r="U882" s="18" t="str">
        <f>IFERROR(__xludf.DUMMYFUNCTION("""COMPUTED_VALUE"""),"https://drive.google.com/open?id=13vfFCwm-WTp61r5JWZcCc7E-tp6aQwOA")</f>
        <v>https://drive.google.com/open?id=13vfFCwm-WTp61r5JWZcCc7E-tp6aQwOA</v>
      </c>
      <c r="V882" s="10"/>
      <c r="W882" s="10"/>
      <c r="X882" s="10"/>
      <c r="Y882" s="14" t="str">
        <f>IFERROR(__xludf.DUMMYFUNCTION("""COMPUTED_VALUE"""),"junaidkhanorakzai03@gmail.com")</f>
        <v>junaidkhanorakzai03@gmail.com</v>
      </c>
      <c r="AA882" s="324"/>
    </row>
    <row r="883">
      <c r="A883" s="9">
        <f>IFERROR(__xludf.DUMMYFUNCTION("""COMPUTED_VALUE"""),46031.41042571759)</f>
        <v>46031.41043</v>
      </c>
      <c r="B883" s="10" t="str">
        <f>IFERROR(__xludf.DUMMYFUNCTION("""COMPUTED_VALUE"""),"Shahzaib Attari ")</f>
        <v>Shahzaib Attari </v>
      </c>
      <c r="C883" s="10" t="str">
        <f>IFERROR(__xludf.DUMMYFUNCTION("""COMPUTED_VALUE"""),"03105875099")</f>
        <v>03105875099</v>
      </c>
      <c r="D883" s="10" t="str">
        <f>IFERROR(__xludf.DUMMYFUNCTION("""COMPUTED_VALUE"""),"Jamai Masjid Muree barori chaklala scheme 3 Rawalpindi ")</f>
        <v>Jamai Masjid Muree barori chaklala scheme 3 Rawalpindi </v>
      </c>
      <c r="E883" s="10" t="str">
        <f>IFERROR(__xludf.DUMMYFUNCTION("""COMPUTED_VALUE"""),"cxyup")</f>
        <v>cxyup</v>
      </c>
      <c r="F883" s="10">
        <f>IFERROR(__xludf.DUMMYFUNCTION("""COMPUTED_VALUE"""),185.0)</f>
        <v>185</v>
      </c>
      <c r="G883" s="10">
        <f>IFERROR(__xludf.DUMMYFUNCTION("""COMPUTED_VALUE"""),10.0)</f>
        <v>10</v>
      </c>
      <c r="H883" s="10">
        <f>IFERROR(__xludf.DUMMYFUNCTION("""COMPUTED_VALUE"""),10.0)</f>
        <v>10</v>
      </c>
      <c r="I883" s="10">
        <f>IFERROR(__xludf.DUMMYFUNCTION("""COMPUTED_VALUE"""),0.0)</f>
        <v>0</v>
      </c>
      <c r="J883" s="10"/>
      <c r="K883" s="10"/>
      <c r="L883" s="10"/>
      <c r="M883" s="10">
        <f>IFERROR(__xludf.DUMMYFUNCTION("""COMPUTED_VALUE"""),10.0)</f>
        <v>10</v>
      </c>
      <c r="N883" s="10"/>
      <c r="O883" s="10"/>
      <c r="P883" s="10"/>
      <c r="Q883" s="10"/>
      <c r="R883" s="10"/>
      <c r="S883" s="10"/>
      <c r="T883" s="10"/>
      <c r="U883" s="18" t="str">
        <f>IFERROR(__xludf.DUMMYFUNCTION("""COMPUTED_VALUE"""),"https://drive.google.com/open?id=1Roy4pTEev7cXjW8K5fubJ2AQBbG-jOhc")</f>
        <v>https://drive.google.com/open?id=1Roy4pTEev7cXjW8K5fubJ2AQBbG-jOhc</v>
      </c>
      <c r="V883" s="10"/>
      <c r="W883" s="10"/>
      <c r="X883" s="10"/>
      <c r="Y883" s="14" t="str">
        <f>IFERROR(__xludf.DUMMYFUNCTION("""COMPUTED_VALUE"""),"shahzaib58750999@gmail.com")</f>
        <v>shahzaib58750999@gmail.com</v>
      </c>
      <c r="AA883" s="324"/>
    </row>
    <row r="884">
      <c r="A884" s="9">
        <f>IFERROR(__xludf.DUMMYFUNCTION("""COMPUTED_VALUE"""),46032.01824101852)</f>
        <v>46032.01824</v>
      </c>
      <c r="B884" s="10" t="str">
        <f>IFERROR(__xludf.DUMMYFUNCTION("""COMPUTED_VALUE"""),"Mudassar Iqbal")</f>
        <v>Mudassar Iqbal</v>
      </c>
      <c r="C884" s="10" t="str">
        <f>IFERROR(__xludf.DUMMYFUNCTION("""COMPUTED_VALUE"""),"03344907010")</f>
        <v>03344907010</v>
      </c>
      <c r="D884" s="10" t="str">
        <f>IFERROR(__xludf.DUMMYFUNCTION("""COMPUTED_VALUE"""),"Jamia Masjid Gulsiraj")</f>
        <v>Jamia Masjid Gulsiraj</v>
      </c>
      <c r="E884" s="10" t="str">
        <f>IFERROR(__xludf.DUMMYFUNCTION("""COMPUTED_VALUE"""),"czbuv")</f>
        <v>czbuv</v>
      </c>
      <c r="F884" s="10">
        <f>IFERROR(__xludf.DUMMYFUNCTION("""COMPUTED_VALUE"""),300.0)</f>
        <v>300</v>
      </c>
      <c r="G884" s="10">
        <f>IFERROR(__xludf.DUMMYFUNCTION("""COMPUTED_VALUE"""),8.0)</f>
        <v>8</v>
      </c>
      <c r="H884" s="10">
        <f>IFERROR(__xludf.DUMMYFUNCTION("""COMPUTED_VALUE"""),8.0)</f>
        <v>8</v>
      </c>
      <c r="I884" s="10" t="str">
        <f>IFERROR(__xludf.DUMMYFUNCTION("""COMPUTED_VALUE"""),"01")</f>
        <v>01</v>
      </c>
      <c r="J884" s="10"/>
      <c r="K884" s="10"/>
      <c r="L884" s="10"/>
      <c r="M884" s="10">
        <f>IFERROR(__xludf.DUMMYFUNCTION("""COMPUTED_VALUE"""),9.0)</f>
        <v>9</v>
      </c>
      <c r="N884" s="10"/>
      <c r="O884" s="10"/>
      <c r="P884" s="10"/>
      <c r="Q884" s="10"/>
      <c r="R884" s="10"/>
      <c r="S884" s="10"/>
      <c r="T884" s="10"/>
      <c r="U884" s="18" t="str">
        <f>IFERROR(__xludf.DUMMYFUNCTION("""COMPUTED_VALUE"""),"https://drive.google.com/file/d/1ualuQiMREzy9cKENaZck5azPo9nZ9TWB/view?usp=drive_link")</f>
        <v>https://drive.google.com/file/d/1ualuQiMREzy9cKENaZck5azPo9nZ9TWB/view?usp=drive_link</v>
      </c>
      <c r="V884" s="10" t="str">
        <f>IFERROR(__xludf.DUMMYFUNCTION("""COMPUTED_VALUE"""),"No")</f>
        <v>No</v>
      </c>
      <c r="W884" s="10"/>
      <c r="X884" s="10"/>
      <c r="Y884" s="14" t="str">
        <f>IFERROR(__xludf.DUMMYFUNCTION("""COMPUTED_VALUE"""),"balochmudassar44@gmail.com")</f>
        <v>balochmudassar44@gmail.com</v>
      </c>
      <c r="AA884" s="324"/>
    </row>
    <row r="885">
      <c r="A885" s="9">
        <f>IFERROR(__xludf.DUMMYFUNCTION("""COMPUTED_VALUE"""),46032.44823008102)</f>
        <v>46032.44823</v>
      </c>
      <c r="B885" s="10" t="str">
        <f>IFERROR(__xludf.DUMMYFUNCTION("""COMPUTED_VALUE"""),"Atif Miraj")</f>
        <v>Atif Miraj</v>
      </c>
      <c r="C885" s="10" t="str">
        <f>IFERROR(__xludf.DUMMYFUNCTION("""COMPUTED_VALUE"""),"03435926281")</f>
        <v>03435926281</v>
      </c>
      <c r="D885" s="10" t="str">
        <f>IFERROR(__xludf.DUMMYFUNCTION("""COMPUTED_VALUE"""),"Jamia Masjid Phoolon Wali Rawalpindi")</f>
        <v>Jamia Masjid Phoolon Wali Rawalpindi</v>
      </c>
      <c r="E885" s="10" t="str">
        <f>IFERROR(__xludf.DUMMYFUNCTION("""COMPUTED_VALUE"""),"Fozkx")</f>
        <v>Fozkx</v>
      </c>
      <c r="F885" s="10">
        <f>IFERROR(__xludf.DUMMYFUNCTION("""COMPUTED_VALUE"""),340.0)</f>
        <v>340</v>
      </c>
      <c r="G885" s="10">
        <f>IFERROR(__xludf.DUMMYFUNCTION("""COMPUTED_VALUE"""),7.0)</f>
        <v>7</v>
      </c>
      <c r="H885" s="10">
        <f>IFERROR(__xludf.DUMMYFUNCTION("""COMPUTED_VALUE"""),10.0)</f>
        <v>10</v>
      </c>
      <c r="I885" s="10" t="str">
        <f>IFERROR(__xludf.DUMMYFUNCTION("""COMPUTED_VALUE"""),"Nothing Special")</f>
        <v>Nothing Special</v>
      </c>
      <c r="J885" s="10"/>
      <c r="K885" s="10"/>
      <c r="L885" s="10"/>
      <c r="M885" s="10">
        <f>IFERROR(__xludf.DUMMYFUNCTION("""COMPUTED_VALUE"""),10.0)</f>
        <v>10</v>
      </c>
      <c r="N885" s="10"/>
      <c r="O885" s="10"/>
      <c r="P885" s="10"/>
      <c r="Q885" s="10"/>
      <c r="R885" s="10"/>
      <c r="S885" s="10"/>
      <c r="T885" s="10"/>
      <c r="U885" s="18" t="str">
        <f>IFERROR(__xludf.DUMMYFUNCTION("""COMPUTED_VALUE"""),"https://drive.google.com/file/d/1ddnxGakt09V-l3IxdqXvmbUjHT1toX4S/view?usp=drive_link")</f>
        <v>https://drive.google.com/file/d/1ddnxGakt09V-l3IxdqXvmbUjHT1toX4S/view?usp=drive_link</v>
      </c>
      <c r="V885" s="10"/>
      <c r="W885" s="10"/>
      <c r="X885" s="10"/>
      <c r="Y885" s="14" t="str">
        <f>IFERROR(__xludf.DUMMYFUNCTION("""COMPUTED_VALUE"""),"aatifmiraj@gmail.com")</f>
        <v>aatifmiraj@gmail.com</v>
      </c>
      <c r="AA885" s="324"/>
    </row>
    <row r="886">
      <c r="A886" s="9">
        <f>IFERROR(__xludf.DUMMYFUNCTION("""COMPUTED_VALUE"""),46032.52002505787)</f>
        <v>46032.52003</v>
      </c>
      <c r="B886" s="10" t="str">
        <f>IFERROR(__xludf.DUMMYFUNCTION("""COMPUTED_VALUE"""),"Hamza bhatti	")</f>
        <v>Hamza bhatti	</v>
      </c>
      <c r="C886" s="10" t="str">
        <f>IFERROR(__xludf.DUMMYFUNCTION("""COMPUTED_VALUE"""),"03428464215")</f>
        <v>03428464215</v>
      </c>
      <c r="D886" s="10" t="str">
        <f>IFERROR(__xludf.DUMMYFUNCTION("""COMPUTED_VALUE"""),"Jamia Masjid Ghala Mandi Gojara")</f>
        <v>Jamia Masjid Ghala Mandi Gojara</v>
      </c>
      <c r="E886" s="10" t="str">
        <f>IFERROR(__xludf.DUMMYFUNCTION("""COMPUTED_VALUE"""),"rtcpq")</f>
        <v>rtcpq</v>
      </c>
      <c r="F886" s="10">
        <f>IFERROR(__xludf.DUMMYFUNCTION("""COMPUTED_VALUE"""),147.0)</f>
        <v>147</v>
      </c>
      <c r="G886" s="10">
        <f>IFERROR(__xludf.DUMMYFUNCTION("""COMPUTED_VALUE"""),9.0)</f>
        <v>9</v>
      </c>
      <c r="H886" s="10">
        <f>IFERROR(__xludf.DUMMYFUNCTION("""COMPUTED_VALUE"""),9.0)</f>
        <v>9</v>
      </c>
      <c r="I886" s="10">
        <f>IFERROR(__xludf.DUMMYFUNCTION("""COMPUTED_VALUE"""),0.0)</f>
        <v>0</v>
      </c>
      <c r="J886" s="10"/>
      <c r="K886" s="10"/>
      <c r="L886" s="10"/>
      <c r="M886" s="10">
        <f>IFERROR(__xludf.DUMMYFUNCTION("""COMPUTED_VALUE"""),9.0)</f>
        <v>9</v>
      </c>
      <c r="N886" s="10"/>
      <c r="O886" s="10"/>
      <c r="P886" s="10"/>
      <c r="Q886" s="10"/>
      <c r="R886" s="10"/>
      <c r="S886" s="10"/>
      <c r="T886" s="10"/>
      <c r="U886" s="18" t="str">
        <f>IFERROR(__xludf.DUMMYFUNCTION("""COMPUTED_VALUE"""),"https://drive.google.com/open?id=1-JQCOT7nkg9WjmOzM4x1iO_dvzTc7bB0")</f>
        <v>https://drive.google.com/open?id=1-JQCOT7nkg9WjmOzM4x1iO_dvzTc7bB0</v>
      </c>
      <c r="V886" s="10"/>
      <c r="W886" s="10"/>
      <c r="X886" s="10"/>
      <c r="Y886" s="14" t="str">
        <f>IFERROR(__xludf.DUMMYFUNCTION("""COMPUTED_VALUE"""),"haris.cerp@gmail.com")</f>
        <v>haris.cerp@gmail.com</v>
      </c>
      <c r="AA886" s="324"/>
    </row>
    <row r="887">
      <c r="A887" s="9">
        <f>IFERROR(__xludf.DUMMYFUNCTION("""COMPUTED_VALUE"""),46038.16088668982)</f>
        <v>46038.16089</v>
      </c>
      <c r="B887" s="10" t="str">
        <f>IFERROR(__xludf.DUMMYFUNCTION("""COMPUTED_VALUE"""),"Khaleeq abbasi")</f>
        <v>Khaleeq abbasi</v>
      </c>
      <c r="C887" s="10" t="str">
        <f>IFERROR(__xludf.DUMMYFUNCTION("""COMPUTED_VALUE"""),"03425309047")</f>
        <v>03425309047</v>
      </c>
      <c r="D887" s="10" t="str">
        <f>IFERROR(__xludf.DUMMYFUNCTION("""COMPUTED_VALUE"""),"Jamia masjid sadiq akbar")</f>
        <v>Jamia masjid sadiq akbar</v>
      </c>
      <c r="E887" s="10" t="str">
        <f>IFERROR(__xludf.DUMMYFUNCTION("""COMPUTED_VALUE"""),"fkwyh")</f>
        <v>fkwyh</v>
      </c>
      <c r="F887" s="10">
        <f>IFERROR(__xludf.DUMMYFUNCTION("""COMPUTED_VALUE"""),1200.0)</f>
        <v>1200</v>
      </c>
      <c r="G887" s="10">
        <f>IFERROR(__xludf.DUMMYFUNCTION("""COMPUTED_VALUE"""),10.0)</f>
        <v>10</v>
      </c>
      <c r="H887" s="10">
        <f>IFERROR(__xludf.DUMMYFUNCTION("""COMPUTED_VALUE"""),10.0)</f>
        <v>10</v>
      </c>
      <c r="I887" s="10">
        <f>IFERROR(__xludf.DUMMYFUNCTION("""COMPUTED_VALUE"""),0.0)</f>
        <v>0</v>
      </c>
      <c r="J887" s="10"/>
      <c r="K887" s="10"/>
      <c r="L887" s="10"/>
      <c r="M887" s="10">
        <f>IFERROR(__xludf.DUMMYFUNCTION("""COMPUTED_VALUE"""),9.0)</f>
        <v>9</v>
      </c>
      <c r="N887" s="10"/>
      <c r="O887" s="10"/>
      <c r="P887" s="10"/>
      <c r="Q887" s="10"/>
      <c r="R887" s="10"/>
      <c r="S887" s="10"/>
      <c r="T887" s="10"/>
      <c r="U887" s="18" t="str">
        <f>IFERROR(__xludf.DUMMYFUNCTION("""COMPUTED_VALUE"""),"https://drive.google.com/open?id=1bC83J-lrPIs2VMfscxnjmm6MQ74b_5AW")</f>
        <v>https://drive.google.com/open?id=1bC83J-lrPIs2VMfscxnjmm6MQ74b_5AW</v>
      </c>
      <c r="V887" s="10"/>
      <c r="W887" s="10"/>
      <c r="X887" s="10"/>
      <c r="Y887" s="14" t="str">
        <f>IFERROR(__xludf.DUMMYFUNCTION("""COMPUTED_VALUE"""),"khaleeqabbasi377@gmail.com")</f>
        <v>khaleeqabbasi377@gmail.com</v>
      </c>
      <c r="AA887" s="324"/>
    </row>
    <row r="888">
      <c r="A888" s="9">
        <f>IFERROR(__xludf.DUMMYFUNCTION("""COMPUTED_VALUE"""),46038.259516527774)</f>
        <v>46038.25952</v>
      </c>
      <c r="B888" s="10" t="str">
        <f>IFERROR(__xludf.DUMMYFUNCTION("""COMPUTED_VALUE"""),"GULRAIZ KHAN ")</f>
        <v>GULRAIZ KHAN </v>
      </c>
      <c r="C888" s="10" t="str">
        <f>IFERROR(__xludf.DUMMYFUNCTION("""COMPUTED_VALUE"""),"03088148872")</f>
        <v>03088148872</v>
      </c>
      <c r="D888" s="10" t="str">
        <f>IFERROR(__xludf.DUMMYFUNCTION("""COMPUTED_VALUE"""),"JAMIA MASJID DARBAR BABA  JHAR  SARKAR CHAKLALA")</f>
        <v>JAMIA MASJID DARBAR BABA  JHAR  SARKAR CHAKLALA</v>
      </c>
      <c r="E888" s="10" t="str">
        <f>IFERROR(__xludf.DUMMYFUNCTION("""COMPUTED_VALUE"""),"glrtm")</f>
        <v>glrtm</v>
      </c>
      <c r="F888" s="10">
        <f>IFERROR(__xludf.DUMMYFUNCTION("""COMPUTED_VALUE"""),170.0)</f>
        <v>170</v>
      </c>
      <c r="G888" s="10">
        <f>IFERROR(__xludf.DUMMYFUNCTION("""COMPUTED_VALUE"""),9.0)</f>
        <v>9</v>
      </c>
      <c r="H888" s="10">
        <f>IFERROR(__xludf.DUMMYFUNCTION("""COMPUTED_VALUE"""),9.0)</f>
        <v>9</v>
      </c>
      <c r="I888" s="10">
        <f>IFERROR(__xludf.DUMMYFUNCTION("""COMPUTED_VALUE"""),0.0)</f>
        <v>0</v>
      </c>
      <c r="J888" s="10"/>
      <c r="K888" s="10"/>
      <c r="L888" s="10"/>
      <c r="M888" s="10">
        <f>IFERROR(__xludf.DUMMYFUNCTION("""COMPUTED_VALUE"""),9.0)</f>
        <v>9</v>
      </c>
      <c r="N888" s="10"/>
      <c r="O888" s="10"/>
      <c r="P888" s="10"/>
      <c r="Q888" s="10"/>
      <c r="R888" s="10"/>
      <c r="S888" s="10"/>
      <c r="T888" s="10"/>
      <c r="U888" s="18" t="str">
        <f>IFERROR(__xludf.DUMMYFUNCTION("""COMPUTED_VALUE"""),"https://drive.google.com/open?id=17jv7_20CoICMJkmaPWKKneIq6ZbhUZdi")</f>
        <v>https://drive.google.com/open?id=17jv7_20CoICMJkmaPWKKneIq6ZbhUZdi</v>
      </c>
      <c r="V888" s="10" t="str">
        <f>IFERROR(__xludf.DUMMYFUNCTION("""COMPUTED_VALUE"""),"Nothing ")</f>
        <v>Nothing </v>
      </c>
      <c r="W888" s="10"/>
      <c r="X888" s="10"/>
      <c r="Y888" s="14" t="str">
        <f>IFERROR(__xludf.DUMMYFUNCTION("""COMPUTED_VALUE"""),"gulraizkhan299@gmail.com")</f>
        <v>gulraizkhan299@gmail.com</v>
      </c>
      <c r="AA888" s="324"/>
    </row>
    <row r="889">
      <c r="A889" s="9">
        <f>IFERROR(__xludf.DUMMYFUNCTION("""COMPUTED_VALUE"""),46039.06654097222)</f>
        <v>46039.06654</v>
      </c>
      <c r="B889" s="10" t="str">
        <f>IFERROR(__xludf.DUMMYFUNCTION("""COMPUTED_VALUE"""),"Naseer Ahmed")</f>
        <v>Naseer Ahmed</v>
      </c>
      <c r="C889" s="10" t="str">
        <f>IFERROR(__xludf.DUMMYFUNCTION("""COMPUTED_VALUE"""),"03157681452")</f>
        <v>03157681452</v>
      </c>
      <c r="D889" s="10" t="str">
        <f>IFERROR(__xludf.DUMMYFUNCTION("""COMPUTED_VALUE"""),"Jamia Masjid King Mandi Rawalpindi")</f>
        <v>Jamia Masjid King Mandi Rawalpindi</v>
      </c>
      <c r="E889" s="10" t="str">
        <f>IFERROR(__xludf.DUMMYFUNCTION("""COMPUTED_VALUE"""),"thjdr")</f>
        <v>thjdr</v>
      </c>
      <c r="F889" s="10">
        <f>IFERROR(__xludf.DUMMYFUNCTION("""COMPUTED_VALUE"""),350.0)</f>
        <v>350</v>
      </c>
      <c r="G889" s="10">
        <f>IFERROR(__xludf.DUMMYFUNCTION("""COMPUTED_VALUE"""),8.0)</f>
        <v>8</v>
      </c>
      <c r="H889" s="10">
        <f>IFERROR(__xludf.DUMMYFUNCTION("""COMPUTED_VALUE"""),8.0)</f>
        <v>8</v>
      </c>
      <c r="I889" s="10">
        <f>IFERROR(__xludf.DUMMYFUNCTION("""COMPUTED_VALUE"""),1.0)</f>
        <v>1</v>
      </c>
      <c r="J889" s="10"/>
      <c r="K889" s="10"/>
      <c r="L889" s="10"/>
      <c r="M889" s="10">
        <f>IFERROR(__xludf.DUMMYFUNCTION("""COMPUTED_VALUE"""),8.0)</f>
        <v>8</v>
      </c>
      <c r="N889" s="10"/>
      <c r="O889" s="10"/>
      <c r="P889" s="10"/>
      <c r="Q889" s="10"/>
      <c r="R889" s="10"/>
      <c r="S889" s="10"/>
      <c r="T889" s="10"/>
      <c r="U889" s="18" t="str">
        <f>IFERROR(__xludf.DUMMYFUNCTION("""COMPUTED_VALUE"""),"https://drive.google.com/open?id=1ZdzwHAZmZfKrGuU4MbSs35kRnG-zE4XQ")</f>
        <v>https://drive.google.com/open?id=1ZdzwHAZmZfKrGuU4MbSs35kRnG-zE4XQ</v>
      </c>
      <c r="V889" s="10" t="str">
        <f>IFERROR(__xludf.DUMMYFUNCTION("""COMPUTED_VALUE"""),"Nil ")</f>
        <v>Nil </v>
      </c>
      <c r="W889" s="10"/>
      <c r="X889" s="10"/>
      <c r="Y889" s="14" t="str">
        <f>IFERROR(__xludf.DUMMYFUNCTION("""COMPUTED_VALUE"""),"nasgull786@gmail.com")</f>
        <v>nasgull786@gmail.com</v>
      </c>
      <c r="AA889" s="324"/>
    </row>
    <row r="890">
      <c r="A890" s="9">
        <f>IFERROR(__xludf.DUMMYFUNCTION("""COMPUTED_VALUE"""),46039.29183688658)</f>
        <v>46039.29184</v>
      </c>
      <c r="B890" s="10" t="str">
        <f>IFERROR(__xludf.DUMMYFUNCTION("""COMPUTED_VALUE"""),"Shahzaib Attari")</f>
        <v>Shahzaib Attari</v>
      </c>
      <c r="C890" s="10" t="str">
        <f>IFERROR(__xludf.DUMMYFUNCTION("""COMPUTED_VALUE"""),"03105875099")</f>
        <v>03105875099</v>
      </c>
      <c r="D890" s="10" t="str">
        <f>IFERROR(__xludf.DUMMYFUNCTION("""COMPUTED_VALUE"""),"Jamia Masjid Muree barori chaklala scheme 3 Rawalpindi ")</f>
        <v>Jamia Masjid Muree barori chaklala scheme 3 Rawalpindi </v>
      </c>
      <c r="E890" s="10" t="str">
        <f>IFERROR(__xludf.DUMMYFUNCTION("""COMPUTED_VALUE"""),"cxyup")</f>
        <v>cxyup</v>
      </c>
      <c r="F890" s="10">
        <f>IFERROR(__xludf.DUMMYFUNCTION("""COMPUTED_VALUE"""),185.0)</f>
        <v>185</v>
      </c>
      <c r="G890" s="10">
        <f>IFERROR(__xludf.DUMMYFUNCTION("""COMPUTED_VALUE"""),10.0)</f>
        <v>10</v>
      </c>
      <c r="H890" s="10">
        <f>IFERROR(__xludf.DUMMYFUNCTION("""COMPUTED_VALUE"""),9.0)</f>
        <v>9</v>
      </c>
      <c r="I890" s="10">
        <f>IFERROR(__xludf.DUMMYFUNCTION("""COMPUTED_VALUE"""),0.0)</f>
        <v>0</v>
      </c>
      <c r="J890" s="10"/>
      <c r="K890" s="10"/>
      <c r="L890" s="10"/>
      <c r="M890" s="10">
        <f>IFERROR(__xludf.DUMMYFUNCTION("""COMPUTED_VALUE"""),9.0)</f>
        <v>9</v>
      </c>
      <c r="N890" s="10"/>
      <c r="O890" s="10"/>
      <c r="P890" s="10"/>
      <c r="Q890" s="10"/>
      <c r="R890" s="10"/>
      <c r="S890" s="10"/>
      <c r="T890" s="10"/>
      <c r="U890" s="18" t="str">
        <f>IFERROR(__xludf.DUMMYFUNCTION("""COMPUTED_VALUE"""),"https://drive.google.com/open?id=1v8y8HYdB44iYkA4zq7YXTsf5Fewlh6SH")</f>
        <v>https://drive.google.com/open?id=1v8y8HYdB44iYkA4zq7YXTsf5Fewlh6SH</v>
      </c>
      <c r="V890" s="10" t="str">
        <f>IFERROR(__xludf.DUMMYFUNCTION("""COMPUTED_VALUE"""),"No")</f>
        <v>No</v>
      </c>
      <c r="W890" s="10"/>
      <c r="X890" s="10"/>
      <c r="Y890" s="14" t="str">
        <f>IFERROR(__xludf.DUMMYFUNCTION("""COMPUTED_VALUE"""),"shahzaib58750999@gmail.com")</f>
        <v>shahzaib58750999@gmail.com</v>
      </c>
      <c r="AA890" s="324"/>
    </row>
    <row r="891">
      <c r="A891" s="9">
        <f>IFERROR(__xludf.DUMMYFUNCTION("""COMPUTED_VALUE"""),46040.08557466435)</f>
        <v>46040.08557</v>
      </c>
      <c r="B891" s="10" t="str">
        <f>IFERROR(__xludf.DUMMYFUNCTION("""COMPUTED_VALUE"""),"Abdul Rehman")</f>
        <v>Abdul Rehman</v>
      </c>
      <c r="C891" s="10" t="str">
        <f>IFERROR(__xludf.DUMMYFUNCTION("""COMPUTED_VALUE"""),"03049821471")</f>
        <v>03049821471</v>
      </c>
      <c r="D891" s="10" t="str">
        <f>IFERROR(__xludf.DUMMYFUNCTION("""COMPUTED_VALUE"""),"Jamia Masjid Sabzi Mandi Rawalpindi")</f>
        <v>Jamia Masjid Sabzi Mandi Rawalpindi</v>
      </c>
      <c r="E891" s="10" t="str">
        <f>IFERROR(__xludf.DUMMYFUNCTION("""COMPUTED_VALUE"""),"cvcqu")</f>
        <v>cvcqu</v>
      </c>
      <c r="F891" s="10">
        <f>IFERROR(__xludf.DUMMYFUNCTION("""COMPUTED_VALUE"""),795.0)</f>
        <v>795</v>
      </c>
      <c r="G891" s="10">
        <f>IFERROR(__xludf.DUMMYFUNCTION("""COMPUTED_VALUE"""),8.0)</f>
        <v>8</v>
      </c>
      <c r="H891" s="10">
        <f>IFERROR(__xludf.DUMMYFUNCTION("""COMPUTED_VALUE"""),9.0)</f>
        <v>9</v>
      </c>
      <c r="I891" s="10">
        <f>IFERROR(__xludf.DUMMYFUNCTION("""COMPUTED_VALUE"""),0.0)</f>
        <v>0</v>
      </c>
      <c r="J891" s="10"/>
      <c r="K891" s="10"/>
      <c r="L891" s="10"/>
      <c r="M891" s="10">
        <f>IFERROR(__xludf.DUMMYFUNCTION("""COMPUTED_VALUE"""),8.0)</f>
        <v>8</v>
      </c>
      <c r="N891" s="10"/>
      <c r="O891" s="10"/>
      <c r="P891" s="10"/>
      <c r="Q891" s="10"/>
      <c r="R891" s="10"/>
      <c r="S891" s="10"/>
      <c r="T891" s="10"/>
      <c r="U891" s="18" t="str">
        <f>IFERROR(__xludf.DUMMYFUNCTION("""COMPUTED_VALUE"""),"https://drive.google.com/open?id=1h7OjBdm5FxmocwRlv_xt1-4QP72Hc1D8")</f>
        <v>https://drive.google.com/open?id=1h7OjBdm5FxmocwRlv_xt1-4QP72Hc1D8</v>
      </c>
      <c r="V891" s="10"/>
      <c r="W891" s="10"/>
      <c r="X891" s="10"/>
      <c r="Y891" s="14" t="str">
        <f>IFERROR(__xludf.DUMMYFUNCTION("""COMPUTED_VALUE"""),"muneer4441986@gmail.com")</f>
        <v>muneer4441986@gmail.com</v>
      </c>
      <c r="AA891" s="324"/>
    </row>
    <row r="892">
      <c r="A892" s="9">
        <f>IFERROR(__xludf.DUMMYFUNCTION("""COMPUTED_VALUE"""),46045.18135175926)</f>
        <v>46045.18135</v>
      </c>
      <c r="B892" s="10" t="str">
        <f>IFERROR(__xludf.DUMMYFUNCTION("""COMPUTED_VALUE"""),"Khaleeq Abbasi")</f>
        <v>Khaleeq Abbasi</v>
      </c>
      <c r="C892" s="10" t="str">
        <f>IFERROR(__xludf.DUMMYFUNCTION("""COMPUTED_VALUE"""),"03425309047")</f>
        <v>03425309047</v>
      </c>
      <c r="D892" s="10" t="str">
        <f>IFERROR(__xludf.DUMMYFUNCTION("""COMPUTED_VALUE"""),"Jamia masjid sadeeq akbar")</f>
        <v>Jamia masjid sadeeq akbar</v>
      </c>
      <c r="E892" s="10" t="str">
        <f>IFERROR(__xludf.DUMMYFUNCTION("""COMPUTED_VALUE"""),"fkwyh")</f>
        <v>fkwyh</v>
      </c>
      <c r="F892" s="10">
        <f>IFERROR(__xludf.DUMMYFUNCTION("""COMPUTED_VALUE"""),1200.0)</f>
        <v>1200</v>
      </c>
      <c r="G892" s="10">
        <f>IFERROR(__xludf.DUMMYFUNCTION("""COMPUTED_VALUE"""),10.0)</f>
        <v>10</v>
      </c>
      <c r="H892" s="10">
        <f>IFERROR(__xludf.DUMMYFUNCTION("""COMPUTED_VALUE"""),10.0)</f>
        <v>10</v>
      </c>
      <c r="I892" s="10">
        <f>IFERROR(__xludf.DUMMYFUNCTION("""COMPUTED_VALUE"""),0.0)</f>
        <v>0</v>
      </c>
      <c r="J892" s="10"/>
      <c r="K892" s="10"/>
      <c r="L892" s="10"/>
      <c r="M892" s="10">
        <f>IFERROR(__xludf.DUMMYFUNCTION("""COMPUTED_VALUE"""),9.0)</f>
        <v>9</v>
      </c>
      <c r="N892" s="10"/>
      <c r="O892" s="10"/>
      <c r="P892" s="10"/>
      <c r="Q892" s="10"/>
      <c r="R892" s="10"/>
      <c r="S892" s="10"/>
      <c r="T892" s="10"/>
      <c r="U892" s="18" t="str">
        <f>IFERROR(__xludf.DUMMYFUNCTION("""COMPUTED_VALUE"""),"https://drive.google.com/open?id=1ujBl5JG5WvS0M_xAxwFnBTcimuEZgflB")</f>
        <v>https://drive.google.com/open?id=1ujBl5JG5WvS0M_xAxwFnBTcimuEZgflB</v>
      </c>
      <c r="V892" s="10"/>
      <c r="W892" s="10"/>
      <c r="X892" s="10"/>
      <c r="Y892" s="14" t="str">
        <f>IFERROR(__xludf.DUMMYFUNCTION("""COMPUTED_VALUE"""),"khaleeqabbasi377@gmail.com")</f>
        <v>khaleeqabbasi377@gmail.com</v>
      </c>
      <c r="AA892" s="324"/>
    </row>
    <row r="893">
      <c r="A893" s="9">
        <f>IFERROR(__xludf.DUMMYFUNCTION("""COMPUTED_VALUE"""),46045.255171805555)</f>
        <v>46045.25517</v>
      </c>
      <c r="B893" s="10" t="str">
        <f>IFERROR(__xludf.DUMMYFUNCTION("""COMPUTED_VALUE"""),"Muhammad Junaid khan ")</f>
        <v>Muhammad Junaid khan </v>
      </c>
      <c r="C893" s="10" t="str">
        <f>IFERROR(__xludf.DUMMYFUNCTION("""COMPUTED_VALUE"""),"03304798598")</f>
        <v>03304798598</v>
      </c>
      <c r="D893" s="10" t="str">
        <f>IFERROR(__xludf.DUMMYFUNCTION("""COMPUTED_VALUE"""),"JAMIA MASJID SABZY MANDY MOTI BAZAR RAWALPINDI ")</f>
        <v>JAMIA MASJID SABZY MANDY MOTI BAZAR RAWALPINDI </v>
      </c>
      <c r="E893" s="10" t="str">
        <f>IFERROR(__xludf.DUMMYFUNCTION("""COMPUTED_VALUE"""),"Cvcqu")</f>
        <v>Cvcqu</v>
      </c>
      <c r="F893" s="10">
        <f>IFERROR(__xludf.DUMMYFUNCTION("""COMPUTED_VALUE"""),940.0)</f>
        <v>940</v>
      </c>
      <c r="G893" s="10">
        <f>IFERROR(__xludf.DUMMYFUNCTION("""COMPUTED_VALUE"""),8.0)</f>
        <v>8</v>
      </c>
      <c r="H893" s="10">
        <f>IFERROR(__xludf.DUMMYFUNCTION("""COMPUTED_VALUE"""),8.0)</f>
        <v>8</v>
      </c>
      <c r="I893" s="10">
        <f>IFERROR(__xludf.DUMMYFUNCTION("""COMPUTED_VALUE"""),1.0)</f>
        <v>1</v>
      </c>
      <c r="J893" s="10"/>
      <c r="K893" s="10"/>
      <c r="L893" s="10"/>
      <c r="M893" s="10">
        <f>IFERROR(__xludf.DUMMYFUNCTION("""COMPUTED_VALUE"""),10.0)</f>
        <v>10</v>
      </c>
      <c r="N893" s="10"/>
      <c r="O893" s="10"/>
      <c r="P893" s="10"/>
      <c r="Q893" s="10"/>
      <c r="R893" s="10"/>
      <c r="S893" s="10"/>
      <c r="T893" s="10"/>
      <c r="U893" s="18" t="str">
        <f>IFERROR(__xludf.DUMMYFUNCTION("""COMPUTED_VALUE"""),"https://drive.google.com/open?id=1273k9pS3xKtAOc1NUfi3WNs-92ZKh2EH")</f>
        <v>https://drive.google.com/open?id=1273k9pS3xKtAOc1NUfi3WNs-92ZKh2EH</v>
      </c>
      <c r="V893" s="10"/>
      <c r="W893" s="10"/>
      <c r="X893" s="10"/>
      <c r="Y893" s="14" t="str">
        <f>IFERROR(__xludf.DUMMYFUNCTION("""COMPUTED_VALUE"""),"junaidkhanorakzai03@gmail.com")</f>
        <v>junaidkhanorakzai03@gmail.com</v>
      </c>
      <c r="AA893" s="324"/>
    </row>
    <row r="894">
      <c r="A894" s="9">
        <f>IFERROR(__xludf.DUMMYFUNCTION("""COMPUTED_VALUE"""),46046.06577592593)</f>
        <v>46046.06578</v>
      </c>
      <c r="B894" s="10" t="str">
        <f>IFERROR(__xludf.DUMMYFUNCTION("""COMPUTED_VALUE"""),"Atif Miraj")</f>
        <v>Atif Miraj</v>
      </c>
      <c r="C894" s="10" t="str">
        <f>IFERROR(__xludf.DUMMYFUNCTION("""COMPUTED_VALUE"""),"03435926281")</f>
        <v>03435926281</v>
      </c>
      <c r="D894" s="10" t="str">
        <f>IFERROR(__xludf.DUMMYFUNCTION("""COMPUTED_VALUE"""),"Jamia Masjid Phoolon Wali Rawalpindi")</f>
        <v>Jamia Masjid Phoolon Wali Rawalpindi</v>
      </c>
      <c r="E894" s="10" t="str">
        <f>IFERROR(__xludf.DUMMYFUNCTION("""COMPUTED_VALUE"""),"Fozkx")</f>
        <v>Fozkx</v>
      </c>
      <c r="F894" s="10">
        <f>IFERROR(__xludf.DUMMYFUNCTION("""COMPUTED_VALUE"""),450.0)</f>
        <v>450</v>
      </c>
      <c r="G894" s="10">
        <f>IFERROR(__xludf.DUMMYFUNCTION("""COMPUTED_VALUE"""),10.0)</f>
        <v>10</v>
      </c>
      <c r="H894" s="10">
        <f>IFERROR(__xludf.DUMMYFUNCTION("""COMPUTED_VALUE"""),8.0)</f>
        <v>8</v>
      </c>
      <c r="I894" s="10" t="str">
        <f>IFERROR(__xludf.DUMMYFUNCTION("""COMPUTED_VALUE"""),"No clear All is ok")</f>
        <v>No clear All is ok</v>
      </c>
      <c r="J894" s="10"/>
      <c r="K894" s="10"/>
      <c r="L894" s="10"/>
      <c r="M894" s="10">
        <f>IFERROR(__xludf.DUMMYFUNCTION("""COMPUTED_VALUE"""),10.0)</f>
        <v>10</v>
      </c>
      <c r="N894" s="10"/>
      <c r="O894" s="10"/>
      <c r="P894" s="10"/>
      <c r="Q894" s="10"/>
      <c r="R894" s="10"/>
      <c r="S894" s="10"/>
      <c r="T894" s="10"/>
      <c r="U894" s="18" t="str">
        <f>IFERROR(__xludf.DUMMYFUNCTION("""COMPUTED_VALUE"""),"https://drive.google.com/file/d/1w49sOIEXV4E7pH-LzM_O6-IrDywqJ5Ve/view?usp=drive_link")</f>
        <v>https://drive.google.com/file/d/1w49sOIEXV4E7pH-LzM_O6-IrDywqJ5Ve/view?usp=drive_link</v>
      </c>
      <c r="V894" s="10" t="str">
        <f>IFERROR(__xludf.DUMMYFUNCTION("""COMPUTED_VALUE"""),"All is ok")</f>
        <v>All is ok</v>
      </c>
      <c r="W894" s="10"/>
      <c r="X894" s="10"/>
      <c r="Y894" s="14" t="str">
        <f>IFERROR(__xludf.DUMMYFUNCTION("""COMPUTED_VALUE"""),"aatifmiraj@gmail.com")</f>
        <v>aatifmiraj@gmail.com</v>
      </c>
      <c r="AA894" s="324"/>
    </row>
    <row r="895">
      <c r="A895" s="9">
        <f>IFERROR(__xludf.DUMMYFUNCTION("""COMPUTED_VALUE"""),46046.09250424769)</f>
        <v>46046.0925</v>
      </c>
      <c r="B895" s="10" t="str">
        <f>IFERROR(__xludf.DUMMYFUNCTION("""COMPUTED_VALUE"""),"Arif sultan ")</f>
        <v>Arif sultan </v>
      </c>
      <c r="C895" s="10" t="str">
        <f>IFERROR(__xludf.DUMMYFUNCTION("""COMPUTED_VALUE"""),"03121684316")</f>
        <v>03121684316</v>
      </c>
      <c r="D895" s="10" t="str">
        <f>IFERROR(__xludf.DUMMYFUNCTION("""COMPUTED_VALUE"""),"Jamia Masjid Syed Eman Ali Shah Sangala ")</f>
        <v>Jamia Masjid Syed Eman Ali Shah Sangala </v>
      </c>
      <c r="E895" s="10" t="str">
        <f>IFERROR(__xludf.DUMMYFUNCTION("""COMPUTED_VALUE"""),"fboor")</f>
        <v>fboor</v>
      </c>
      <c r="F895" s="10">
        <f>IFERROR(__xludf.DUMMYFUNCTION("""COMPUTED_VALUE"""),128.0)</f>
        <v>128</v>
      </c>
      <c r="G895" s="10">
        <f>IFERROR(__xludf.DUMMYFUNCTION("""COMPUTED_VALUE"""),9.0)</f>
        <v>9</v>
      </c>
      <c r="H895" s="10">
        <f>IFERROR(__xludf.DUMMYFUNCTION("""COMPUTED_VALUE"""),9.0)</f>
        <v>9</v>
      </c>
      <c r="I895" s="10">
        <f>IFERROR(__xludf.DUMMYFUNCTION("""COMPUTED_VALUE"""),1.0)</f>
        <v>1</v>
      </c>
      <c r="J895" s="10"/>
      <c r="K895" s="10"/>
      <c r="L895" s="10"/>
      <c r="M895" s="10">
        <f>IFERROR(__xludf.DUMMYFUNCTION("""COMPUTED_VALUE"""),9.0)</f>
        <v>9</v>
      </c>
      <c r="N895" s="10"/>
      <c r="O895" s="10"/>
      <c r="P895" s="10"/>
      <c r="Q895" s="10"/>
      <c r="R895" s="10"/>
      <c r="S895" s="10"/>
      <c r="T895" s="10"/>
      <c r="U895" s="18" t="str">
        <f>IFERROR(__xludf.DUMMYFUNCTION("""COMPUTED_VALUE"""),"https://drive.google.com/open?id=1ETgZaVrtEM7wJ0GbEvTBIwRswtfMCJI0")</f>
        <v>https://drive.google.com/open?id=1ETgZaVrtEM7wJ0GbEvTBIwRswtfMCJI0</v>
      </c>
      <c r="V895" s="10"/>
      <c r="W895" s="10"/>
      <c r="X895" s="10"/>
      <c r="Y895" s="14" t="str">
        <f>IFERROR(__xludf.DUMMYFUNCTION("""COMPUTED_VALUE"""),"haris.cerp@gmail.com")</f>
        <v>haris.cerp@gmail.com</v>
      </c>
      <c r="AA895" s="324"/>
    </row>
    <row r="896">
      <c r="A896" s="9">
        <f>IFERROR(__xludf.DUMMYFUNCTION("""COMPUTED_VALUE"""),46053.107385138894)</f>
        <v>46053.10739</v>
      </c>
      <c r="B896" s="10" t="str">
        <f>IFERROR(__xludf.DUMMYFUNCTION("""COMPUTED_VALUE"""),"Subhan ")</f>
        <v>Subhan </v>
      </c>
      <c r="C896" s="10" t="str">
        <f>IFERROR(__xludf.DUMMYFUNCTION("""COMPUTED_VALUE"""),"03154867266")</f>
        <v>03154867266</v>
      </c>
      <c r="D896" s="10" t="str">
        <f>IFERROR(__xludf.DUMMYFUNCTION("""COMPUTED_VALUE"""),"Jamia Masjid Darbar Baba Jahaar chaklala Rawalpindi ")</f>
        <v>Jamia Masjid Darbar Baba Jahaar chaklala Rawalpindi </v>
      </c>
      <c r="E896" s="10" t="str">
        <f>IFERROR(__xludf.DUMMYFUNCTION("""COMPUTED_VALUE"""),"GLRTM")</f>
        <v>GLRTM</v>
      </c>
      <c r="F896" s="10">
        <f>IFERROR(__xludf.DUMMYFUNCTION("""COMPUTED_VALUE"""),124.0)</f>
        <v>124</v>
      </c>
      <c r="G896" s="10">
        <f>IFERROR(__xludf.DUMMYFUNCTION("""COMPUTED_VALUE"""),9.0)</f>
        <v>9</v>
      </c>
      <c r="H896" s="10">
        <f>IFERROR(__xludf.DUMMYFUNCTION("""COMPUTED_VALUE"""),8.0)</f>
        <v>8</v>
      </c>
      <c r="I896" s="10">
        <f>IFERROR(__xludf.DUMMYFUNCTION("""COMPUTED_VALUE"""),1.0)</f>
        <v>1</v>
      </c>
      <c r="J896" s="10"/>
      <c r="K896" s="10"/>
      <c r="L896" s="10"/>
      <c r="M896" s="10">
        <f>IFERROR(__xludf.DUMMYFUNCTION("""COMPUTED_VALUE"""),9.0)</f>
        <v>9</v>
      </c>
      <c r="N896" s="10"/>
      <c r="O896" s="10"/>
      <c r="P896" s="10"/>
      <c r="Q896" s="10"/>
      <c r="R896" s="10"/>
      <c r="S896" s="10"/>
      <c r="T896" s="10"/>
      <c r="U896" s="18" t="str">
        <f>IFERROR(__xludf.DUMMYFUNCTION("""COMPUTED_VALUE"""),"https://drive.google.com/open?id=1kYppkRWR7lJMCRKXg-PzWpAQVNo78wkq")</f>
        <v>https://drive.google.com/open?id=1kYppkRWR7lJMCRKXg-PzWpAQVNo78wkq</v>
      </c>
      <c r="V896" s="10"/>
      <c r="W896" s="10"/>
      <c r="X896" s="10"/>
      <c r="Y896" s="14" t="str">
        <f>IFERROR(__xludf.DUMMYFUNCTION("""COMPUTED_VALUE"""),"haris.cerp@gmail.com")</f>
        <v>haris.cerp@gmail.com</v>
      </c>
      <c r="AA896" s="324"/>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4"/>
      <c r="AA897" s="324"/>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4"/>
      <c r="AA898" s="324"/>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4"/>
      <c r="AA899" s="324"/>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4"/>
      <c r="AA900" s="324"/>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4"/>
      <c r="AA901" s="324"/>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4"/>
      <c r="AA902" s="324"/>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4"/>
      <c r="AA903" s="324"/>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4"/>
      <c r="AA904" s="324"/>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4"/>
      <c r="AA905" s="324"/>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4"/>
      <c r="AA906" s="324"/>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4"/>
      <c r="AA907" s="324"/>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4"/>
      <c r="AA908" s="324"/>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4"/>
      <c r="AA909" s="324"/>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4"/>
      <c r="AA910" s="324"/>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4"/>
      <c r="AA911" s="324"/>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4"/>
      <c r="AA912" s="324"/>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4"/>
      <c r="AA913" s="324"/>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4"/>
      <c r="AA914" s="324"/>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4"/>
      <c r="AA915" s="324"/>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4"/>
      <c r="AA916" s="324"/>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4"/>
      <c r="AA917" s="324"/>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4"/>
      <c r="AA918" s="324"/>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4"/>
      <c r="AA919" s="324"/>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4"/>
      <c r="AA920" s="324"/>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4"/>
      <c r="AA921" s="324"/>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4"/>
      <c r="AA922" s="324"/>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4"/>
      <c r="AA923" s="324"/>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4"/>
      <c r="AA924" s="324"/>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4"/>
      <c r="AA925" s="324"/>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4"/>
      <c r="AA926" s="324"/>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4"/>
      <c r="AA927" s="324"/>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4"/>
      <c r="AA928" s="324"/>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4"/>
      <c r="AA929" s="324"/>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4"/>
      <c r="AA930" s="324"/>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4"/>
      <c r="AA931" s="324"/>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4"/>
      <c r="AA932" s="324"/>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4"/>
      <c r="AA933" s="324"/>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4"/>
      <c r="AA934" s="324"/>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4"/>
      <c r="AA935" s="324"/>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4"/>
      <c r="AA936" s="324"/>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4"/>
      <c r="AA937" s="324"/>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4"/>
      <c r="AA938" s="324"/>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4"/>
      <c r="AA939" s="324"/>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4"/>
      <c r="AA940" s="324"/>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4"/>
      <c r="AA941" s="324"/>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4"/>
      <c r="AA942" s="324"/>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4"/>
      <c r="AA943" s="324"/>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4"/>
      <c r="AA944" s="324"/>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4"/>
      <c r="AA945" s="324"/>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4"/>
      <c r="AA946" s="324"/>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4"/>
      <c r="AA947" s="324"/>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4"/>
      <c r="AA948" s="324"/>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4"/>
      <c r="AA949" s="324"/>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4"/>
      <c r="AA950" s="324"/>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4"/>
      <c r="AA951" s="324"/>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4"/>
      <c r="AA952" s="324"/>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4"/>
      <c r="AA953" s="324"/>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4"/>
      <c r="AA954" s="324"/>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4"/>
      <c r="AA955" s="324"/>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4"/>
      <c r="AA956" s="324"/>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4"/>
      <c r="AA957" s="324"/>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4"/>
      <c r="AA958" s="324"/>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4"/>
      <c r="AA959" s="324"/>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4"/>
      <c r="AA960" s="324"/>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4"/>
      <c r="AA961" s="324"/>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4"/>
      <c r="AA962" s="324"/>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4"/>
      <c r="AA963" s="324"/>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4"/>
      <c r="AA964" s="324"/>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4"/>
      <c r="AA965" s="324"/>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4"/>
      <c r="AA966" s="324"/>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4"/>
      <c r="AA967" s="324"/>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4"/>
      <c r="AA968" s="324"/>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4"/>
      <c r="AA969" s="324"/>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4"/>
      <c r="AA970" s="324"/>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4"/>
      <c r="AA971" s="324"/>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4"/>
      <c r="AA972" s="324"/>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4"/>
      <c r="AA973" s="324"/>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4"/>
      <c r="AA974" s="324"/>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4"/>
      <c r="AA975" s="324"/>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4"/>
      <c r="AA976" s="324"/>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4"/>
      <c r="AA977" s="324"/>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4"/>
      <c r="AA978" s="324"/>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4"/>
      <c r="AA979" s="324"/>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4"/>
      <c r="AA980" s="324"/>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4"/>
      <c r="AA981" s="324"/>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4"/>
      <c r="AA982" s="324"/>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4"/>
      <c r="AA983" s="324"/>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4"/>
      <c r="AA984" s="324"/>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4"/>
      <c r="AA985" s="324"/>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4"/>
      <c r="AA986" s="324"/>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4"/>
      <c r="AA987" s="324"/>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4"/>
      <c r="AA988" s="324"/>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4"/>
      <c r="AA989" s="324"/>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4"/>
      <c r="AA990" s="324"/>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4"/>
      <c r="AA991" s="324"/>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4"/>
      <c r="AA992" s="324"/>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4"/>
      <c r="AA993" s="324"/>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4"/>
      <c r="AA994" s="324"/>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4"/>
      <c r="AA995" s="324"/>
    </row>
    <row r="996">
      <c r="Y996" s="14"/>
      <c r="AA996" s="324"/>
    </row>
    <row r="997">
      <c r="Y997" s="14"/>
      <c r="AA997" s="324"/>
    </row>
    <row r="998">
      <c r="Y998" s="14"/>
      <c r="AA998" s="324"/>
    </row>
    <row r="999">
      <c r="Y999" s="14"/>
      <c r="AA999" s="324"/>
    </row>
    <row r="1000">
      <c r="Y1000" s="14"/>
      <c r="AA1000" s="324"/>
    </row>
  </sheetData>
  <autoFilter ref="$A$1:$Y$820">
    <filterColumn colId="4">
      <filters>
        <filter val="Ogwwf"/>
        <filter val="Dkded"/>
        <filter val="wvmxf"/>
        <filter val="Meepx"/>
        <filter val="Iprwe"/>
        <filter val="PIPXB"/>
        <filter val="Ewwlq"/>
        <filter val="Fpyze"/>
        <filter val="EBSPQ"/>
        <filter val="KYZWA"/>
        <filter val="rnksi"/>
        <filter val="Zjbwk"/>
        <filter val="vqubm"/>
        <filter val="Ekvzq"/>
        <filter val="lhgfs"/>
        <filter val="Zqlfc"/>
        <filter val="xdhvt"/>
        <filter val="GXKKX"/>
        <filter val="Rnksi"/>
        <filter val="Qecjr"/>
        <filter val="Lpjzi"/>
        <filter val="rjssu"/>
        <filter val="pcboq"/>
        <filter val="pjygt"/>
        <filter val="cwfim"/>
        <filter val="CCXYI"/>
        <filter val="Ccxyi"/>
        <filter val="Uiodj"/>
        <filter val="Cqxog"/>
        <filter val="Yxvut"/>
        <filter val="Sxnpd"/>
        <filter val="AOVKO"/>
        <filter val="HNZOG"/>
        <filter val="jiuks"/>
        <filter val="SHCUY"/>
        <filter val="Palog"/>
        <filter val="John"/>
        <filter val="vldwg"/>
        <filter val="Cfcvk"/>
        <filter val="pmxox"/>
        <filter val="Gqomo"/>
        <filter val="XPYNM"/>
        <filter val="Wfyxg"/>
        <filter val="KMBBM"/>
        <filter val="KLYSR"/>
        <filter val="VmmFc"/>
        <filter val="dyrjs"/>
        <filter val="mfvfc"/>
        <filter val="Ohbdv"/>
        <filter val="Dfnmy"/>
        <filter val="lirqw"/>
        <filter val="Vmmfc"/>
        <filter val="usepk"/>
        <filter val="Akpfn"/>
        <filter val="PWWFR"/>
        <filter val="dmvyd"/>
        <filter val="Btuip"/>
        <filter val="vncjq"/>
        <filter val="klysr"/>
        <filter val="Pgpqm"/>
        <filter val="QLXFF"/>
        <filter val="ShKsd"/>
        <filter val="cnztw"/>
        <filter val="Ndsnq"/>
        <filter val="xlemr"/>
        <filter val="Moorq"/>
        <filter val="wywfr"/>
        <filter val="Jbeid"/>
        <filter val="WPQFG"/>
        <filter val="xdbpy"/>
        <filter val="yhrds"/>
        <filter val="JBEID"/>
        <filter val="tbthq"/>
        <filter val="lnpqp"/>
        <filter val="Cnztw"/>
        <filter val="Zmbiv"/>
        <filter val="ltsen"/>
        <filter val="tnjaz"/>
      </filters>
    </filterColumn>
  </autoFilter>
  <hyperlinks>
    <hyperlink r:id="rId1" ref="S2"/>
    <hyperlink r:id="rId2" ref="T2"/>
    <hyperlink r:id="rId3" ref="S3"/>
    <hyperlink r:id="rId4" ref="T3"/>
    <hyperlink r:id="rId5" ref="U3"/>
    <hyperlink r:id="rId6" ref="S4"/>
    <hyperlink r:id="rId7" ref="T4"/>
    <hyperlink r:id="rId8" ref="U4"/>
    <hyperlink r:id="rId9" ref="S5"/>
    <hyperlink r:id="rId10" ref="T5"/>
    <hyperlink r:id="rId11" ref="U5"/>
    <hyperlink r:id="rId12" ref="S7"/>
    <hyperlink r:id="rId13" ref="U7"/>
    <hyperlink r:id="rId14" ref="S8"/>
    <hyperlink r:id="rId15" ref="T8"/>
    <hyperlink r:id="rId16" ref="U8"/>
    <hyperlink r:id="rId17" ref="S9"/>
    <hyperlink r:id="rId18" ref="T9"/>
    <hyperlink r:id="rId19" ref="U9"/>
    <hyperlink r:id="rId20" ref="S10"/>
    <hyperlink r:id="rId21" ref="T10"/>
    <hyperlink r:id="rId22" ref="U10"/>
    <hyperlink r:id="rId23" ref="S11"/>
    <hyperlink r:id="rId24" ref="T11"/>
    <hyperlink r:id="rId25" ref="U11"/>
    <hyperlink r:id="rId26" ref="S12"/>
    <hyperlink r:id="rId27" ref="T12"/>
    <hyperlink r:id="rId28" ref="U12"/>
    <hyperlink r:id="rId29" ref="S13"/>
    <hyperlink r:id="rId30" ref="T13"/>
    <hyperlink r:id="rId31" ref="U13"/>
    <hyperlink r:id="rId32" ref="S15"/>
    <hyperlink r:id="rId33" ref="T15"/>
    <hyperlink r:id="rId34" ref="U15"/>
    <hyperlink r:id="rId35" ref="S16"/>
    <hyperlink r:id="rId36" ref="T16"/>
    <hyperlink r:id="rId37" ref="U16"/>
    <hyperlink r:id="rId38" ref="S17"/>
    <hyperlink r:id="rId39" ref="U17"/>
    <hyperlink r:id="rId40" ref="U18"/>
    <hyperlink r:id="rId41" ref="S19"/>
    <hyperlink r:id="rId42" ref="T19"/>
    <hyperlink r:id="rId43" ref="U19"/>
    <hyperlink r:id="rId44" ref="S20"/>
    <hyperlink r:id="rId45" ref="T20"/>
    <hyperlink r:id="rId46" ref="U20"/>
    <hyperlink r:id="rId47" ref="S21"/>
    <hyperlink r:id="rId48" ref="T21"/>
    <hyperlink r:id="rId49" ref="U21"/>
    <hyperlink r:id="rId50" ref="U22"/>
    <hyperlink r:id="rId51" ref="S23"/>
    <hyperlink r:id="rId52" ref="U23"/>
    <hyperlink r:id="rId53" ref="S24"/>
    <hyperlink r:id="rId54" ref="T24"/>
    <hyperlink r:id="rId55" ref="U24"/>
    <hyperlink r:id="rId56" ref="S25"/>
    <hyperlink r:id="rId57" ref="T25"/>
    <hyperlink r:id="rId58" ref="U25"/>
    <hyperlink r:id="rId59" ref="S26"/>
    <hyperlink r:id="rId60" ref="T26"/>
    <hyperlink r:id="rId61" ref="U26"/>
    <hyperlink r:id="rId62" ref="S27"/>
    <hyperlink r:id="rId63" ref="T27"/>
    <hyperlink r:id="rId64" ref="U27"/>
    <hyperlink r:id="rId65" ref="S28"/>
    <hyperlink r:id="rId66" ref="T28"/>
    <hyperlink r:id="rId67" ref="U28"/>
    <hyperlink r:id="rId68" ref="S29"/>
    <hyperlink r:id="rId69" ref="T29"/>
    <hyperlink r:id="rId70" ref="U29"/>
    <hyperlink r:id="rId71" ref="S30"/>
    <hyperlink r:id="rId72" ref="T30"/>
    <hyperlink r:id="rId73" ref="U30"/>
    <hyperlink r:id="rId74" ref="S31"/>
    <hyperlink r:id="rId75" ref="T31"/>
    <hyperlink r:id="rId76" ref="U31"/>
    <hyperlink r:id="rId77" ref="S32"/>
    <hyperlink r:id="rId78" ref="T32"/>
    <hyperlink r:id="rId79" ref="U32"/>
    <hyperlink r:id="rId80" ref="S33"/>
    <hyperlink r:id="rId81" ref="T33"/>
    <hyperlink r:id="rId82" ref="S34"/>
    <hyperlink r:id="rId83" ref="U34"/>
    <hyperlink r:id="rId84" ref="S35"/>
    <hyperlink r:id="rId85" ref="T35"/>
    <hyperlink r:id="rId86" ref="U35"/>
    <hyperlink r:id="rId87" ref="S36"/>
    <hyperlink r:id="rId88" ref="T36"/>
    <hyperlink r:id="rId89" ref="U36"/>
    <hyperlink r:id="rId90" ref="S37"/>
    <hyperlink r:id="rId91" ref="T37"/>
    <hyperlink r:id="rId92" ref="U37"/>
    <hyperlink r:id="rId93" ref="S38"/>
    <hyperlink r:id="rId94" ref="T38"/>
    <hyperlink r:id="rId95" ref="U38"/>
    <hyperlink r:id="rId96" ref="S39"/>
    <hyperlink r:id="rId97" ref="T39"/>
    <hyperlink r:id="rId98" ref="U39"/>
    <hyperlink r:id="rId99" ref="S40"/>
    <hyperlink r:id="rId100" ref="T40"/>
    <hyperlink r:id="rId101" ref="U40"/>
    <hyperlink r:id="rId102" ref="S41"/>
    <hyperlink r:id="rId103" ref="T41"/>
    <hyperlink r:id="rId104" ref="U41"/>
    <hyperlink r:id="rId105" ref="S42"/>
    <hyperlink r:id="rId106" ref="U42"/>
    <hyperlink r:id="rId107" ref="S43"/>
    <hyperlink r:id="rId108" ref="T43"/>
    <hyperlink r:id="rId109" ref="U43"/>
    <hyperlink r:id="rId110" ref="U44"/>
    <hyperlink r:id="rId111" ref="S45"/>
    <hyperlink r:id="rId112" ref="T45"/>
    <hyperlink r:id="rId113" ref="U45"/>
    <hyperlink r:id="rId114" ref="S46"/>
    <hyperlink r:id="rId115" ref="T46"/>
    <hyperlink r:id="rId116" ref="U46"/>
    <hyperlink r:id="rId117" ref="S47"/>
    <hyperlink r:id="rId118" ref="T47"/>
    <hyperlink r:id="rId119" ref="U47"/>
    <hyperlink r:id="rId120" ref="S48"/>
    <hyperlink r:id="rId121" ref="T48"/>
    <hyperlink r:id="rId122" ref="U48"/>
    <hyperlink r:id="rId123" ref="S49"/>
    <hyperlink r:id="rId124" ref="T49"/>
    <hyperlink r:id="rId125" ref="U49"/>
    <hyperlink r:id="rId126" ref="S50"/>
    <hyperlink r:id="rId127" ref="T50"/>
    <hyperlink r:id="rId128" ref="U50"/>
    <hyperlink r:id="rId129" ref="U51"/>
    <hyperlink r:id="rId130" ref="U52"/>
    <hyperlink r:id="rId131" ref="S53"/>
    <hyperlink r:id="rId132" ref="T53"/>
    <hyperlink r:id="rId133" ref="U53"/>
    <hyperlink r:id="rId134" ref="S54"/>
    <hyperlink r:id="rId135" ref="T54"/>
    <hyperlink r:id="rId136" ref="U54"/>
    <hyperlink r:id="rId137" ref="U55"/>
    <hyperlink r:id="rId138" ref="S56"/>
    <hyperlink r:id="rId139" ref="T56"/>
    <hyperlink r:id="rId140" ref="U56"/>
    <hyperlink r:id="rId141" ref="S57"/>
    <hyperlink r:id="rId142" ref="T57"/>
    <hyperlink r:id="rId143" ref="U57"/>
    <hyperlink r:id="rId144" ref="U58"/>
    <hyperlink r:id="rId145" ref="S59"/>
    <hyperlink r:id="rId146" ref="T59"/>
    <hyperlink r:id="rId147" ref="U59"/>
    <hyperlink r:id="rId148" ref="U60"/>
    <hyperlink r:id="rId149" ref="U61"/>
    <hyperlink r:id="rId150" ref="S62"/>
    <hyperlink r:id="rId151" ref="T62"/>
    <hyperlink r:id="rId152" ref="U62"/>
    <hyperlink r:id="rId153" ref="S63"/>
    <hyperlink r:id="rId154" ref="T63"/>
    <hyperlink r:id="rId155" ref="U63"/>
    <hyperlink r:id="rId156" ref="S64"/>
    <hyperlink r:id="rId157" ref="T64"/>
    <hyperlink r:id="rId158" ref="U64"/>
    <hyperlink r:id="rId159" ref="S65"/>
    <hyperlink r:id="rId160" ref="T65"/>
    <hyperlink r:id="rId161" ref="U65"/>
    <hyperlink r:id="rId162" ref="S66"/>
    <hyperlink r:id="rId163" ref="T66"/>
    <hyperlink r:id="rId164" ref="U66"/>
    <hyperlink r:id="rId165" ref="S67"/>
    <hyperlink r:id="rId166" ref="T67"/>
    <hyperlink r:id="rId167" ref="U67"/>
    <hyperlink r:id="rId168" ref="S68"/>
    <hyperlink r:id="rId169" ref="T68"/>
    <hyperlink r:id="rId170" ref="S69"/>
    <hyperlink r:id="rId171" ref="U69"/>
    <hyperlink r:id="rId172" ref="S70"/>
    <hyperlink r:id="rId173" ref="T70"/>
    <hyperlink r:id="rId174" ref="U70"/>
    <hyperlink r:id="rId175" ref="U71"/>
    <hyperlink r:id="rId176" ref="S72"/>
    <hyperlink r:id="rId177" ref="T72"/>
    <hyperlink r:id="rId178" ref="U72"/>
    <hyperlink r:id="rId179" ref="S73"/>
    <hyperlink r:id="rId180" ref="T73"/>
    <hyperlink r:id="rId181" ref="U73"/>
    <hyperlink r:id="rId182" ref="S74"/>
    <hyperlink r:id="rId183" ref="T74"/>
    <hyperlink r:id="rId184" ref="U74"/>
    <hyperlink r:id="rId185" ref="S75"/>
    <hyperlink r:id="rId186" ref="U75"/>
    <hyperlink r:id="rId187" ref="S76"/>
    <hyperlink r:id="rId188" ref="T76"/>
    <hyperlink r:id="rId189" ref="U76"/>
    <hyperlink r:id="rId190" ref="U77"/>
    <hyperlink r:id="rId191" ref="S78"/>
    <hyperlink r:id="rId192" ref="T78"/>
    <hyperlink r:id="rId193" ref="U78"/>
    <hyperlink r:id="rId194" ref="S79"/>
    <hyperlink r:id="rId195" ref="T79"/>
    <hyperlink r:id="rId196" ref="U79"/>
    <hyperlink r:id="rId197" ref="U80"/>
    <hyperlink r:id="rId198" ref="S81"/>
    <hyperlink r:id="rId199" ref="T81"/>
    <hyperlink r:id="rId200" ref="U81"/>
    <hyperlink r:id="rId201" ref="S82"/>
    <hyperlink r:id="rId202" ref="T82"/>
    <hyperlink r:id="rId203" ref="U82"/>
    <hyperlink r:id="rId204" ref="S83"/>
    <hyperlink r:id="rId205" ref="T83"/>
    <hyperlink r:id="rId206" ref="U83"/>
    <hyperlink r:id="rId207" ref="S84"/>
    <hyperlink r:id="rId208" ref="T84"/>
    <hyperlink r:id="rId209" ref="U84"/>
    <hyperlink r:id="rId210" ref="S85"/>
    <hyperlink r:id="rId211" ref="T85"/>
    <hyperlink r:id="rId212" ref="U85"/>
    <hyperlink r:id="rId213" ref="S86"/>
    <hyperlink r:id="rId214" ref="T86"/>
    <hyperlink r:id="rId215" ref="U86"/>
    <hyperlink r:id="rId216" ref="S87"/>
    <hyperlink r:id="rId217" ref="T87"/>
    <hyperlink r:id="rId218" ref="U87"/>
    <hyperlink r:id="rId219" ref="S88"/>
    <hyperlink r:id="rId220" ref="T88"/>
    <hyperlink r:id="rId221" ref="U88"/>
    <hyperlink r:id="rId222" ref="S89"/>
    <hyperlink r:id="rId223" ref="T89"/>
    <hyperlink r:id="rId224" ref="U89"/>
    <hyperlink r:id="rId225" ref="S91"/>
    <hyperlink r:id="rId226" ref="T91"/>
    <hyperlink r:id="rId227" ref="U91"/>
    <hyperlink r:id="rId228" ref="S92"/>
    <hyperlink r:id="rId229" ref="T92"/>
    <hyperlink r:id="rId230" ref="U92"/>
    <hyperlink r:id="rId231" ref="S93"/>
    <hyperlink r:id="rId232" ref="T93"/>
    <hyperlink r:id="rId233" ref="U93"/>
    <hyperlink r:id="rId234" ref="S94"/>
    <hyperlink r:id="rId235" ref="U94"/>
    <hyperlink r:id="rId236" ref="S95"/>
    <hyperlink r:id="rId237" ref="T95"/>
    <hyperlink r:id="rId238" ref="U95"/>
    <hyperlink r:id="rId239" ref="S96"/>
    <hyperlink r:id="rId240" ref="T96"/>
    <hyperlink r:id="rId241" ref="U96"/>
    <hyperlink r:id="rId242" ref="S97"/>
    <hyperlink r:id="rId243" ref="T97"/>
    <hyperlink r:id="rId244" ref="U97"/>
    <hyperlink r:id="rId245" ref="S98"/>
    <hyperlink r:id="rId246" ref="T98"/>
    <hyperlink r:id="rId247" ref="U98"/>
    <hyperlink r:id="rId248" ref="S99"/>
    <hyperlink r:id="rId249" ref="T99"/>
    <hyperlink r:id="rId250" ref="U99"/>
    <hyperlink r:id="rId251" ref="S100"/>
    <hyperlink r:id="rId252" ref="T100"/>
    <hyperlink r:id="rId253" ref="U100"/>
    <hyperlink r:id="rId254" ref="S101"/>
    <hyperlink r:id="rId255" ref="T101"/>
    <hyperlink r:id="rId256" ref="U101"/>
    <hyperlink r:id="rId257" ref="S102"/>
    <hyperlink r:id="rId258" ref="T102"/>
    <hyperlink r:id="rId259" ref="U102"/>
    <hyperlink r:id="rId260" ref="S103"/>
    <hyperlink r:id="rId261" ref="T103"/>
    <hyperlink r:id="rId262" ref="U103"/>
    <hyperlink r:id="rId263" ref="U104"/>
    <hyperlink r:id="rId264" ref="U105"/>
    <hyperlink r:id="rId265" ref="T106"/>
    <hyperlink r:id="rId266" ref="U106"/>
    <hyperlink r:id="rId267" ref="T107"/>
    <hyperlink r:id="rId268" ref="U107"/>
    <hyperlink r:id="rId269" ref="S108"/>
    <hyperlink r:id="rId270" ref="T108"/>
    <hyperlink r:id="rId271" ref="U108"/>
    <hyperlink r:id="rId272" ref="S110"/>
    <hyperlink r:id="rId273" ref="T110"/>
    <hyperlink r:id="rId274" ref="U110"/>
    <hyperlink r:id="rId275" ref="S111"/>
    <hyperlink r:id="rId276" ref="T111"/>
    <hyperlink r:id="rId277" ref="U111"/>
    <hyperlink r:id="rId278" ref="S112"/>
    <hyperlink r:id="rId279" ref="T112"/>
    <hyperlink r:id="rId280" ref="U112"/>
    <hyperlink r:id="rId281" ref="S113"/>
    <hyperlink r:id="rId282" ref="T113"/>
    <hyperlink r:id="rId283" ref="U113"/>
    <hyperlink r:id="rId284" ref="T114"/>
    <hyperlink r:id="rId285" ref="U114"/>
    <hyperlink r:id="rId286" ref="S115"/>
    <hyperlink r:id="rId287" ref="T115"/>
    <hyperlink r:id="rId288" ref="U115"/>
    <hyperlink r:id="rId289" ref="S116"/>
    <hyperlink r:id="rId290" ref="T116"/>
    <hyperlink r:id="rId291" ref="U116"/>
    <hyperlink r:id="rId292" ref="S117"/>
    <hyperlink r:id="rId293" ref="T117"/>
    <hyperlink r:id="rId294" ref="U117"/>
    <hyperlink r:id="rId295" ref="S118"/>
    <hyperlink r:id="rId296" ref="T118"/>
    <hyperlink r:id="rId297" ref="U118"/>
    <hyperlink r:id="rId298" ref="S119"/>
    <hyperlink r:id="rId299" ref="T119"/>
    <hyperlink r:id="rId300" ref="U119"/>
    <hyperlink r:id="rId301" ref="S120"/>
    <hyperlink r:id="rId302" ref="T120"/>
    <hyperlink r:id="rId303" ref="U120"/>
    <hyperlink r:id="rId304" ref="S121"/>
    <hyperlink r:id="rId305" ref="T121"/>
    <hyperlink r:id="rId306" ref="U121"/>
    <hyperlink r:id="rId307" ref="S122"/>
    <hyperlink r:id="rId308" ref="T122"/>
    <hyperlink r:id="rId309" ref="U122"/>
    <hyperlink r:id="rId310" ref="S123"/>
    <hyperlink r:id="rId311" ref="T123"/>
    <hyperlink r:id="rId312" ref="U123"/>
    <hyperlink r:id="rId313" ref="S124"/>
    <hyperlink r:id="rId314" ref="T124"/>
    <hyperlink r:id="rId315" ref="U124"/>
    <hyperlink r:id="rId316" ref="S125"/>
    <hyperlink r:id="rId317" ref="T125"/>
    <hyperlink r:id="rId318" ref="U125"/>
    <hyperlink r:id="rId319" ref="U126"/>
    <hyperlink r:id="rId320" ref="S127"/>
    <hyperlink r:id="rId321" ref="T127"/>
    <hyperlink r:id="rId322" ref="U127"/>
    <hyperlink r:id="rId323" ref="S128"/>
    <hyperlink r:id="rId324" ref="T128"/>
    <hyperlink r:id="rId325" ref="U128"/>
    <hyperlink r:id="rId326" ref="S129"/>
    <hyperlink r:id="rId327" ref="T129"/>
    <hyperlink r:id="rId328" ref="U129"/>
    <hyperlink r:id="rId329" ref="S130"/>
    <hyperlink r:id="rId330" ref="T130"/>
    <hyperlink r:id="rId331" ref="U130"/>
    <hyperlink r:id="rId332" ref="S131"/>
    <hyperlink r:id="rId333" ref="T131"/>
    <hyperlink r:id="rId334" ref="U131"/>
    <hyperlink r:id="rId335" ref="S132"/>
    <hyperlink r:id="rId336" ref="U132"/>
    <hyperlink r:id="rId337" ref="S133"/>
    <hyperlink r:id="rId338" ref="T133"/>
    <hyperlink r:id="rId339" ref="U133"/>
    <hyperlink r:id="rId340" ref="S134"/>
    <hyperlink r:id="rId341" ref="T134"/>
    <hyperlink r:id="rId342" ref="U134"/>
    <hyperlink r:id="rId343" ref="S135"/>
    <hyperlink r:id="rId344" ref="T135"/>
    <hyperlink r:id="rId345" ref="S136"/>
    <hyperlink r:id="rId346" ref="T136"/>
    <hyperlink r:id="rId347" ref="U136"/>
    <hyperlink r:id="rId348" ref="T137"/>
    <hyperlink r:id="rId349" ref="U137"/>
    <hyperlink r:id="rId350" ref="S138"/>
    <hyperlink r:id="rId351" ref="T138"/>
    <hyperlink r:id="rId352" ref="U138"/>
    <hyperlink r:id="rId353" ref="S139"/>
    <hyperlink r:id="rId354" ref="T139"/>
    <hyperlink r:id="rId355" ref="U139"/>
    <hyperlink r:id="rId356" ref="T140"/>
    <hyperlink r:id="rId357" ref="U140"/>
    <hyperlink r:id="rId358" ref="S141"/>
    <hyperlink r:id="rId359" ref="T141"/>
    <hyperlink r:id="rId360" ref="U141"/>
    <hyperlink r:id="rId361" ref="S142"/>
    <hyperlink r:id="rId362" ref="T142"/>
    <hyperlink r:id="rId363" ref="U142"/>
    <hyperlink r:id="rId364" ref="S143"/>
    <hyperlink r:id="rId365" ref="T143"/>
    <hyperlink r:id="rId366" ref="U143"/>
    <hyperlink r:id="rId367" ref="U144"/>
    <hyperlink r:id="rId368" ref="S145"/>
    <hyperlink r:id="rId369" ref="T145"/>
    <hyperlink r:id="rId370" ref="U145"/>
    <hyperlink r:id="rId371" ref="S146"/>
    <hyperlink r:id="rId372" ref="U146"/>
    <hyperlink r:id="rId373" ref="U147"/>
    <hyperlink r:id="rId374" ref="U148"/>
    <hyperlink r:id="rId375" ref="S149"/>
    <hyperlink r:id="rId376" ref="T149"/>
    <hyperlink r:id="rId377" ref="U149"/>
    <hyperlink r:id="rId378" ref="S150"/>
    <hyperlink r:id="rId379" ref="T150"/>
    <hyperlink r:id="rId380" ref="U150"/>
    <hyperlink r:id="rId381" ref="S151"/>
    <hyperlink r:id="rId382" ref="T151"/>
    <hyperlink r:id="rId383" ref="U151"/>
    <hyperlink r:id="rId384" ref="U152"/>
    <hyperlink r:id="rId385" ref="S153"/>
    <hyperlink r:id="rId386" ref="T153"/>
    <hyperlink r:id="rId387" ref="U153"/>
    <hyperlink r:id="rId388" ref="S154"/>
    <hyperlink r:id="rId389" ref="T154"/>
    <hyperlink r:id="rId390" ref="U154"/>
    <hyperlink r:id="rId391" ref="S155"/>
    <hyperlink r:id="rId392" ref="T155"/>
    <hyperlink r:id="rId393" ref="U155"/>
    <hyperlink r:id="rId394" ref="S156"/>
    <hyperlink r:id="rId395" ref="T156"/>
    <hyperlink r:id="rId396" ref="U156"/>
    <hyperlink r:id="rId397" ref="S157"/>
    <hyperlink r:id="rId398" ref="T157"/>
    <hyperlink r:id="rId399" ref="U157"/>
    <hyperlink r:id="rId400" ref="S158"/>
    <hyperlink r:id="rId401" ref="T158"/>
    <hyperlink r:id="rId402" ref="U158"/>
    <hyperlink r:id="rId403" ref="S159"/>
    <hyperlink r:id="rId404" ref="T159"/>
    <hyperlink r:id="rId405" ref="U159"/>
    <hyperlink r:id="rId406" ref="S160"/>
    <hyperlink r:id="rId407" ref="T160"/>
    <hyperlink r:id="rId408" ref="U160"/>
    <hyperlink r:id="rId409" ref="S161"/>
    <hyperlink r:id="rId410" ref="T161"/>
    <hyperlink r:id="rId411" ref="U161"/>
    <hyperlink r:id="rId412" ref="S163"/>
    <hyperlink r:id="rId413" ref="T163"/>
    <hyperlink r:id="rId414" ref="U163"/>
    <hyperlink r:id="rId415" ref="S164"/>
    <hyperlink r:id="rId416" ref="T164"/>
    <hyperlink r:id="rId417" ref="U164"/>
    <hyperlink r:id="rId418" ref="S165"/>
    <hyperlink r:id="rId419" ref="T165"/>
    <hyperlink r:id="rId420" ref="U165"/>
    <hyperlink r:id="rId421" ref="S166"/>
    <hyperlink r:id="rId422" ref="T166"/>
    <hyperlink r:id="rId423" ref="U166"/>
    <hyperlink r:id="rId424" ref="S167"/>
    <hyperlink r:id="rId425" ref="U167"/>
    <hyperlink r:id="rId426" ref="S168"/>
    <hyperlink r:id="rId427" ref="U168"/>
    <hyperlink r:id="rId428" ref="S169"/>
    <hyperlink r:id="rId429" ref="T169"/>
    <hyperlink r:id="rId430" ref="U169"/>
    <hyperlink r:id="rId431" ref="S170"/>
    <hyperlink r:id="rId432" ref="T170"/>
    <hyperlink r:id="rId433" ref="U170"/>
    <hyperlink r:id="rId434" ref="S171"/>
    <hyperlink r:id="rId435" ref="T171"/>
    <hyperlink r:id="rId436" ref="U171"/>
    <hyperlink r:id="rId437" ref="S173"/>
    <hyperlink r:id="rId438" ref="T173"/>
    <hyperlink r:id="rId439" ref="U173"/>
    <hyperlink r:id="rId440" ref="S174"/>
    <hyperlink r:id="rId441" ref="T174"/>
    <hyperlink r:id="rId442" ref="U174"/>
    <hyperlink r:id="rId443" ref="S175"/>
    <hyperlink r:id="rId444" ref="T175"/>
    <hyperlink r:id="rId445" ref="U175"/>
    <hyperlink r:id="rId446" ref="S176"/>
    <hyperlink r:id="rId447" ref="T176"/>
    <hyperlink r:id="rId448" ref="U176"/>
    <hyperlink r:id="rId449" ref="S177"/>
    <hyperlink r:id="rId450" ref="T177"/>
    <hyperlink r:id="rId451" ref="U177"/>
    <hyperlink r:id="rId452" ref="S178"/>
    <hyperlink r:id="rId453" ref="T178"/>
    <hyperlink r:id="rId454" ref="U178"/>
    <hyperlink r:id="rId455" ref="U179"/>
    <hyperlink r:id="rId456" ref="S180"/>
    <hyperlink r:id="rId457" ref="U180"/>
    <hyperlink r:id="rId458" ref="S181"/>
    <hyperlink r:id="rId459" ref="T181"/>
    <hyperlink r:id="rId460" ref="U181"/>
    <hyperlink r:id="rId461" ref="S182"/>
    <hyperlink r:id="rId462" ref="T182"/>
    <hyperlink r:id="rId463" ref="U182"/>
    <hyperlink r:id="rId464" ref="S183"/>
    <hyperlink r:id="rId465" ref="T183"/>
    <hyperlink r:id="rId466" ref="U183"/>
    <hyperlink r:id="rId467" ref="S184"/>
    <hyperlink r:id="rId468" ref="T184"/>
    <hyperlink r:id="rId469" ref="U184"/>
    <hyperlink r:id="rId470" ref="S185"/>
    <hyperlink r:id="rId471" ref="T185"/>
    <hyperlink r:id="rId472" ref="U185"/>
    <hyperlink r:id="rId473" ref="S186"/>
    <hyperlink r:id="rId474" ref="T186"/>
    <hyperlink r:id="rId475" ref="U186"/>
    <hyperlink r:id="rId476" ref="S187"/>
    <hyperlink r:id="rId477" ref="T187"/>
    <hyperlink r:id="rId478" ref="U187"/>
    <hyperlink r:id="rId479" ref="T188"/>
    <hyperlink r:id="rId480" ref="U188"/>
    <hyperlink r:id="rId481" ref="S189"/>
    <hyperlink r:id="rId482" ref="T189"/>
    <hyperlink r:id="rId483" ref="U189"/>
    <hyperlink r:id="rId484" ref="S190"/>
    <hyperlink r:id="rId485" ref="T190"/>
    <hyperlink r:id="rId486" ref="U190"/>
    <hyperlink r:id="rId487" ref="S191"/>
    <hyperlink r:id="rId488" ref="T191"/>
    <hyperlink r:id="rId489" ref="U191"/>
    <hyperlink r:id="rId490" ref="S192"/>
    <hyperlink r:id="rId491" ref="T192"/>
    <hyperlink r:id="rId492" ref="U192"/>
    <hyperlink r:id="rId493" ref="S193"/>
    <hyperlink r:id="rId494" ref="T193"/>
    <hyperlink r:id="rId495" ref="S194"/>
    <hyperlink r:id="rId496" ref="T194"/>
    <hyperlink r:id="rId497" ref="U194"/>
    <hyperlink r:id="rId498" ref="S195"/>
    <hyperlink r:id="rId499" ref="T195"/>
    <hyperlink r:id="rId500" ref="U195"/>
    <hyperlink r:id="rId501" ref="S196"/>
    <hyperlink r:id="rId502" ref="T196"/>
    <hyperlink r:id="rId503" ref="U196"/>
    <hyperlink r:id="rId504" ref="S197"/>
    <hyperlink r:id="rId505" ref="T197"/>
    <hyperlink r:id="rId506" ref="U197"/>
    <hyperlink r:id="rId507" ref="S198"/>
    <hyperlink r:id="rId508" ref="T198"/>
    <hyperlink r:id="rId509" ref="U198"/>
    <hyperlink r:id="rId510" ref="S199"/>
    <hyperlink r:id="rId511" ref="T199"/>
    <hyperlink r:id="rId512" ref="U199"/>
    <hyperlink r:id="rId513" ref="S200"/>
    <hyperlink r:id="rId514" ref="T200"/>
    <hyperlink r:id="rId515" ref="U200"/>
    <hyperlink r:id="rId516" ref="S201"/>
    <hyperlink r:id="rId517" ref="T201"/>
    <hyperlink r:id="rId518" ref="U201"/>
    <hyperlink r:id="rId519" ref="U202"/>
    <hyperlink r:id="rId520" ref="S203"/>
    <hyperlink r:id="rId521" ref="T203"/>
    <hyperlink r:id="rId522" ref="U203"/>
    <hyperlink r:id="rId523" ref="S204"/>
    <hyperlink r:id="rId524" ref="T204"/>
    <hyperlink r:id="rId525" ref="U204"/>
    <hyperlink r:id="rId526" ref="S205"/>
    <hyperlink r:id="rId527" ref="T205"/>
    <hyperlink r:id="rId528" ref="U205"/>
    <hyperlink r:id="rId529" ref="S206"/>
    <hyperlink r:id="rId530" ref="T206"/>
    <hyperlink r:id="rId531" ref="U206"/>
    <hyperlink r:id="rId532" ref="S207"/>
    <hyperlink r:id="rId533" ref="T207"/>
    <hyperlink r:id="rId534" ref="U207"/>
    <hyperlink r:id="rId535" ref="S208"/>
    <hyperlink r:id="rId536" ref="T208"/>
    <hyperlink r:id="rId537" ref="U208"/>
    <hyperlink r:id="rId538" ref="U209"/>
    <hyperlink r:id="rId539" ref="S210"/>
    <hyperlink r:id="rId540" ref="T210"/>
    <hyperlink r:id="rId541" ref="U210"/>
    <hyperlink r:id="rId542" ref="S211"/>
    <hyperlink r:id="rId543" ref="T211"/>
    <hyperlink r:id="rId544" ref="U211"/>
    <hyperlink r:id="rId545" ref="S212"/>
    <hyperlink r:id="rId546" ref="T212"/>
    <hyperlink r:id="rId547" ref="U212"/>
    <hyperlink r:id="rId548" ref="S213"/>
    <hyperlink r:id="rId549" ref="T213"/>
    <hyperlink r:id="rId550" ref="U213"/>
    <hyperlink r:id="rId551" ref="S214"/>
    <hyperlink r:id="rId552" ref="T214"/>
    <hyperlink r:id="rId553" ref="U214"/>
    <hyperlink r:id="rId554" ref="S216"/>
    <hyperlink r:id="rId555" ref="T216"/>
    <hyperlink r:id="rId556" ref="U216"/>
    <hyperlink r:id="rId557" ref="S217"/>
    <hyperlink r:id="rId558" ref="T217"/>
    <hyperlink r:id="rId559" ref="U217"/>
    <hyperlink r:id="rId560" ref="S218"/>
    <hyperlink r:id="rId561" ref="T218"/>
    <hyperlink r:id="rId562" ref="S219"/>
    <hyperlink r:id="rId563" ref="T219"/>
    <hyperlink r:id="rId564" ref="U219"/>
    <hyperlink r:id="rId565" ref="S220"/>
    <hyperlink r:id="rId566" ref="T220"/>
    <hyperlink r:id="rId567" ref="U220"/>
    <hyperlink r:id="rId568" ref="S221"/>
    <hyperlink r:id="rId569" ref="T221"/>
    <hyperlink r:id="rId570" ref="U221"/>
    <hyperlink r:id="rId571" ref="S222"/>
    <hyperlink r:id="rId572" ref="T222"/>
    <hyperlink r:id="rId573" ref="U222"/>
    <hyperlink r:id="rId574" ref="S223"/>
    <hyperlink r:id="rId575" ref="U223"/>
    <hyperlink r:id="rId576" ref="S224"/>
    <hyperlink r:id="rId577" ref="T224"/>
    <hyperlink r:id="rId578" ref="U224"/>
    <hyperlink r:id="rId579" ref="S225"/>
    <hyperlink r:id="rId580" ref="T225"/>
    <hyperlink r:id="rId581" ref="U225"/>
    <hyperlink r:id="rId582" ref="S226"/>
    <hyperlink r:id="rId583" ref="T226"/>
    <hyperlink r:id="rId584" ref="U226"/>
    <hyperlink r:id="rId585" ref="S227"/>
    <hyperlink r:id="rId586" ref="T227"/>
    <hyperlink r:id="rId587" ref="U227"/>
    <hyperlink r:id="rId588" ref="S228"/>
    <hyperlink r:id="rId589" ref="T228"/>
    <hyperlink r:id="rId590" ref="U228"/>
    <hyperlink r:id="rId591" ref="U229"/>
    <hyperlink r:id="rId592" ref="S230"/>
    <hyperlink r:id="rId593" ref="T230"/>
    <hyperlink r:id="rId594" ref="U230"/>
    <hyperlink r:id="rId595" ref="S231"/>
    <hyperlink r:id="rId596" ref="T231"/>
    <hyperlink r:id="rId597" ref="U231"/>
    <hyperlink r:id="rId598" ref="S232"/>
    <hyperlink r:id="rId599" ref="T232"/>
    <hyperlink r:id="rId600" ref="U232"/>
    <hyperlink r:id="rId601" ref="S233"/>
    <hyperlink r:id="rId602" ref="T233"/>
    <hyperlink r:id="rId603" ref="U233"/>
    <hyperlink r:id="rId604" ref="S234"/>
    <hyperlink r:id="rId605" ref="T234"/>
    <hyperlink r:id="rId606" ref="U234"/>
    <hyperlink r:id="rId607" ref="S235"/>
    <hyperlink r:id="rId608" ref="T235"/>
    <hyperlink r:id="rId609" ref="U235"/>
    <hyperlink r:id="rId610" ref="S236"/>
    <hyperlink r:id="rId611" ref="T236"/>
    <hyperlink r:id="rId612" ref="U236"/>
    <hyperlink r:id="rId613" ref="U237"/>
    <hyperlink r:id="rId614" ref="S238"/>
    <hyperlink r:id="rId615" ref="T238"/>
    <hyperlink r:id="rId616" ref="U238"/>
    <hyperlink r:id="rId617" ref="S239"/>
    <hyperlink r:id="rId618" ref="T239"/>
    <hyperlink r:id="rId619" ref="U239"/>
    <hyperlink r:id="rId620" ref="S240"/>
    <hyperlink r:id="rId621" ref="T240"/>
    <hyperlink r:id="rId622" ref="U240"/>
    <hyperlink r:id="rId623" ref="S241"/>
    <hyperlink r:id="rId624" ref="T241"/>
    <hyperlink r:id="rId625" ref="U241"/>
    <hyperlink r:id="rId626" ref="S242"/>
    <hyperlink r:id="rId627" ref="T242"/>
    <hyperlink r:id="rId628" ref="U242"/>
    <hyperlink r:id="rId629" ref="U243"/>
    <hyperlink r:id="rId630" ref="T244"/>
    <hyperlink r:id="rId631" ref="U244"/>
    <hyperlink r:id="rId632" ref="S245"/>
    <hyperlink r:id="rId633" ref="T245"/>
    <hyperlink r:id="rId634" ref="U245"/>
    <hyperlink r:id="rId635" ref="S246"/>
    <hyperlink r:id="rId636" ref="T246"/>
    <hyperlink r:id="rId637" ref="U246"/>
    <hyperlink r:id="rId638" ref="U247"/>
    <hyperlink r:id="rId639" ref="S248"/>
    <hyperlink r:id="rId640" ref="T248"/>
    <hyperlink r:id="rId641" ref="U248"/>
    <hyperlink r:id="rId642" ref="S249"/>
    <hyperlink r:id="rId643" ref="T249"/>
    <hyperlink r:id="rId644" ref="U249"/>
    <hyperlink r:id="rId645" ref="S250"/>
    <hyperlink r:id="rId646" ref="T250"/>
    <hyperlink r:id="rId647" ref="U250"/>
    <hyperlink r:id="rId648" ref="S251"/>
    <hyperlink r:id="rId649" ref="T251"/>
    <hyperlink r:id="rId650" ref="U251"/>
    <hyperlink r:id="rId651" ref="U252"/>
    <hyperlink r:id="rId652" ref="S253"/>
    <hyperlink r:id="rId653" ref="T253"/>
    <hyperlink r:id="rId654" ref="U253"/>
    <hyperlink r:id="rId655" ref="S254"/>
    <hyperlink r:id="rId656" ref="T254"/>
    <hyperlink r:id="rId657" ref="U254"/>
    <hyperlink r:id="rId658" ref="S255"/>
    <hyperlink r:id="rId659" ref="T255"/>
    <hyperlink r:id="rId660" ref="U255"/>
    <hyperlink r:id="rId661" ref="S256"/>
    <hyperlink r:id="rId662" ref="T256"/>
    <hyperlink r:id="rId663" ref="U256"/>
    <hyperlink r:id="rId664" ref="S257"/>
    <hyperlink r:id="rId665" ref="T257"/>
    <hyperlink r:id="rId666" ref="U257"/>
    <hyperlink r:id="rId667" ref="S258"/>
    <hyperlink r:id="rId668" ref="T258"/>
    <hyperlink r:id="rId669" ref="U258"/>
    <hyperlink r:id="rId670" ref="S259"/>
    <hyperlink r:id="rId671" ref="T259"/>
    <hyperlink r:id="rId672" ref="U259"/>
    <hyperlink r:id="rId673" ref="S260"/>
    <hyperlink r:id="rId674" ref="T260"/>
    <hyperlink r:id="rId675" ref="U260"/>
    <hyperlink r:id="rId676" ref="S261"/>
    <hyperlink r:id="rId677" ref="T261"/>
    <hyperlink r:id="rId678" ref="U261"/>
    <hyperlink r:id="rId679" ref="S262"/>
    <hyperlink r:id="rId680" ref="T262"/>
    <hyperlink r:id="rId681" ref="U262"/>
    <hyperlink r:id="rId682" ref="S263"/>
    <hyperlink r:id="rId683" ref="T263"/>
    <hyperlink r:id="rId684" ref="U263"/>
    <hyperlink r:id="rId685" ref="S264"/>
    <hyperlink r:id="rId686" ref="T264"/>
    <hyperlink r:id="rId687" ref="U264"/>
    <hyperlink r:id="rId688" ref="S265"/>
    <hyperlink r:id="rId689" ref="T265"/>
    <hyperlink r:id="rId690" ref="U265"/>
    <hyperlink r:id="rId691" ref="S266"/>
    <hyperlink r:id="rId692" ref="T266"/>
    <hyperlink r:id="rId693" ref="U266"/>
    <hyperlink r:id="rId694" ref="S267"/>
    <hyperlink r:id="rId695" ref="T267"/>
    <hyperlink r:id="rId696" ref="U267"/>
    <hyperlink r:id="rId697" ref="S268"/>
    <hyperlink r:id="rId698" ref="T268"/>
    <hyperlink r:id="rId699" ref="U268"/>
    <hyperlink r:id="rId700" ref="S269"/>
    <hyperlink r:id="rId701" ref="T269"/>
    <hyperlink r:id="rId702" ref="U269"/>
    <hyperlink r:id="rId703" ref="U270"/>
    <hyperlink r:id="rId704" ref="S271"/>
    <hyperlink r:id="rId705" ref="T271"/>
    <hyperlink r:id="rId706" ref="U271"/>
    <hyperlink r:id="rId707" ref="T272"/>
    <hyperlink r:id="rId708" ref="U272"/>
    <hyperlink r:id="rId709" ref="S273"/>
    <hyperlink r:id="rId710" ref="T273"/>
    <hyperlink r:id="rId711" ref="U273"/>
    <hyperlink r:id="rId712" ref="S274"/>
    <hyperlink r:id="rId713" ref="T274"/>
    <hyperlink r:id="rId714" ref="S275"/>
    <hyperlink r:id="rId715" ref="T275"/>
    <hyperlink r:id="rId716" ref="U275"/>
    <hyperlink r:id="rId717" ref="S276"/>
    <hyperlink r:id="rId718" ref="T276"/>
    <hyperlink r:id="rId719" ref="U276"/>
    <hyperlink r:id="rId720" ref="S277"/>
    <hyperlink r:id="rId721" ref="T277"/>
    <hyperlink r:id="rId722" ref="U277"/>
    <hyperlink r:id="rId723" ref="T278"/>
    <hyperlink r:id="rId724" ref="U278"/>
    <hyperlink r:id="rId725" ref="S279"/>
    <hyperlink r:id="rId726" ref="T279"/>
    <hyperlink r:id="rId727" ref="U279"/>
    <hyperlink r:id="rId728" ref="U280"/>
    <hyperlink r:id="rId729" ref="U281"/>
    <hyperlink r:id="rId730" ref="U282"/>
    <hyperlink r:id="rId731" ref="U283"/>
    <hyperlink r:id="rId732" ref="U284"/>
    <hyperlink r:id="rId733" ref="U285"/>
    <hyperlink r:id="rId734" ref="U287"/>
    <hyperlink r:id="rId735" ref="U288"/>
    <hyperlink r:id="rId736" ref="U289"/>
    <hyperlink r:id="rId737" ref="U290"/>
    <hyperlink r:id="rId738" ref="U291"/>
    <hyperlink r:id="rId739" ref="U292"/>
    <hyperlink r:id="rId740" ref="U293"/>
    <hyperlink r:id="rId741" ref="U294"/>
    <hyperlink r:id="rId742" ref="U295"/>
    <hyperlink r:id="rId743" ref="U296"/>
    <hyperlink r:id="rId744" ref="U297"/>
    <hyperlink r:id="rId745" ref="U298"/>
    <hyperlink r:id="rId746" ref="U299"/>
    <hyperlink r:id="rId747" ref="U300"/>
    <hyperlink r:id="rId748" ref="U301"/>
    <hyperlink r:id="rId749" ref="U302"/>
    <hyperlink r:id="rId750" ref="U303"/>
    <hyperlink r:id="rId751" ref="U304"/>
    <hyperlink r:id="rId752" ref="U305"/>
    <hyperlink r:id="rId753" ref="U306"/>
    <hyperlink r:id="rId754" ref="U308"/>
    <hyperlink r:id="rId755" ref="U309"/>
    <hyperlink r:id="rId756" ref="U310"/>
    <hyperlink r:id="rId757" ref="U311"/>
    <hyperlink r:id="rId758" ref="U312"/>
    <hyperlink r:id="rId759" ref="U313"/>
    <hyperlink r:id="rId760" ref="U314"/>
    <hyperlink r:id="rId761" ref="U315"/>
    <hyperlink r:id="rId762" ref="U317"/>
    <hyperlink r:id="rId763" ref="U318"/>
    <hyperlink r:id="rId764" ref="U319"/>
    <hyperlink r:id="rId765" ref="U320"/>
    <hyperlink r:id="rId766" ref="U321"/>
    <hyperlink r:id="rId767" ref="U322"/>
    <hyperlink r:id="rId768" ref="U323"/>
    <hyperlink r:id="rId769" ref="U324"/>
    <hyperlink r:id="rId770" ref="U325"/>
    <hyperlink r:id="rId771" ref="U326"/>
    <hyperlink r:id="rId772" ref="U327"/>
    <hyperlink r:id="rId773" ref="U328"/>
    <hyperlink r:id="rId774" ref="U329"/>
    <hyperlink r:id="rId775" ref="U330"/>
    <hyperlink r:id="rId776" ref="U332"/>
    <hyperlink r:id="rId777" ref="U333"/>
    <hyperlink r:id="rId778" ref="U334"/>
    <hyperlink r:id="rId779" ref="U335"/>
    <hyperlink r:id="rId780" ref="U336"/>
    <hyperlink r:id="rId781" ref="U337"/>
    <hyperlink r:id="rId782" ref="U338"/>
    <hyperlink r:id="rId783" ref="U339"/>
    <hyperlink r:id="rId784" ref="U340"/>
    <hyperlink r:id="rId785" ref="U341"/>
    <hyperlink r:id="rId786" ref="U342"/>
    <hyperlink r:id="rId787" ref="U343"/>
    <hyperlink r:id="rId788" ref="U344"/>
    <hyperlink r:id="rId789" ref="U345"/>
    <hyperlink r:id="rId790" ref="U346"/>
    <hyperlink r:id="rId791" ref="U348"/>
    <hyperlink r:id="rId792" ref="U349"/>
    <hyperlink r:id="rId793" ref="U350"/>
    <hyperlink r:id="rId794" ref="U351"/>
    <hyperlink r:id="rId795" ref="U352"/>
    <hyperlink r:id="rId796" ref="U353"/>
    <hyperlink r:id="rId797" ref="U354"/>
    <hyperlink r:id="rId798" ref="U355"/>
    <hyperlink r:id="rId799" ref="U356"/>
    <hyperlink r:id="rId800" ref="U357"/>
    <hyperlink r:id="rId801" ref="U358"/>
    <hyperlink r:id="rId802" ref="U359"/>
    <hyperlink r:id="rId803" ref="U360"/>
    <hyperlink r:id="rId804" ref="U362"/>
    <hyperlink r:id="rId805" ref="U363"/>
    <hyperlink r:id="rId806" ref="U364"/>
    <hyperlink r:id="rId807" ref="U365"/>
    <hyperlink r:id="rId808" ref="U366"/>
    <hyperlink r:id="rId809" ref="U367"/>
    <hyperlink r:id="rId810" ref="U368"/>
    <hyperlink r:id="rId811" ref="U369"/>
    <hyperlink r:id="rId812" ref="U370"/>
    <hyperlink r:id="rId813" ref="U371"/>
    <hyperlink r:id="rId814" ref="U372"/>
    <hyperlink r:id="rId815" ref="U373"/>
    <hyperlink r:id="rId816" ref="U374"/>
    <hyperlink r:id="rId817" ref="U376"/>
    <hyperlink r:id="rId818" ref="U377"/>
    <hyperlink r:id="rId819" ref="U378"/>
    <hyperlink r:id="rId820" ref="U379"/>
    <hyperlink r:id="rId821" ref="U380"/>
    <hyperlink r:id="rId822" ref="U381"/>
    <hyperlink r:id="rId823" ref="U382"/>
    <hyperlink r:id="rId824" ref="U383"/>
    <hyperlink r:id="rId825" ref="U384"/>
    <hyperlink r:id="rId826" ref="U386"/>
    <hyperlink r:id="rId827" ref="U387"/>
    <hyperlink r:id="rId828" ref="U388"/>
    <hyperlink r:id="rId829" ref="U389"/>
    <hyperlink r:id="rId830" ref="U390"/>
    <hyperlink r:id="rId831" ref="U391"/>
    <hyperlink r:id="rId832" ref="U392"/>
    <hyperlink r:id="rId833" ref="U393"/>
    <hyperlink r:id="rId834" ref="U394"/>
    <hyperlink r:id="rId835" ref="U395"/>
    <hyperlink r:id="rId836" ref="U396"/>
    <hyperlink r:id="rId837" ref="U397"/>
    <hyperlink r:id="rId838" ref="U399"/>
    <hyperlink r:id="rId839" ref="U400"/>
    <hyperlink r:id="rId840" ref="U401"/>
    <hyperlink r:id="rId841" ref="U402"/>
    <hyperlink r:id="rId842" ref="U403"/>
    <hyperlink r:id="rId843" ref="U405"/>
    <hyperlink r:id="rId844" ref="U406"/>
    <hyperlink r:id="rId845" ref="U407"/>
    <hyperlink r:id="rId846" ref="U408"/>
    <hyperlink r:id="rId847" ref="U409"/>
    <hyperlink r:id="rId848" ref="U410"/>
    <hyperlink r:id="rId849" ref="U411"/>
    <hyperlink r:id="rId850" ref="U412"/>
    <hyperlink r:id="rId851" ref="U413"/>
    <hyperlink r:id="rId852" ref="U414"/>
    <hyperlink r:id="rId853" ref="U415"/>
    <hyperlink r:id="rId854" ref="U416"/>
    <hyperlink r:id="rId855" ref="U417"/>
    <hyperlink r:id="rId856" ref="U418"/>
    <hyperlink r:id="rId857" ref="U419"/>
    <hyperlink r:id="rId858" ref="U420"/>
    <hyperlink r:id="rId859" ref="U421"/>
    <hyperlink r:id="rId860" ref="U422"/>
    <hyperlink r:id="rId861" ref="U423"/>
    <hyperlink r:id="rId862" ref="U424"/>
    <hyperlink r:id="rId863" ref="U425"/>
    <hyperlink r:id="rId864" ref="U426"/>
    <hyperlink r:id="rId865" ref="U427"/>
    <hyperlink r:id="rId866" ref="U428"/>
    <hyperlink r:id="rId867" ref="U429"/>
    <hyperlink r:id="rId868" ref="U430"/>
    <hyperlink r:id="rId869" ref="U431"/>
    <hyperlink r:id="rId870" ref="U432"/>
    <hyperlink r:id="rId871" ref="U433"/>
    <hyperlink r:id="rId872" ref="U434"/>
    <hyperlink r:id="rId873" ref="U435"/>
    <hyperlink r:id="rId874" ref="U436"/>
    <hyperlink r:id="rId875" ref="U437"/>
    <hyperlink r:id="rId876" ref="U438"/>
    <hyperlink r:id="rId877" ref="U439"/>
    <hyperlink r:id="rId878" ref="U440"/>
    <hyperlink r:id="rId879" ref="U441"/>
    <hyperlink r:id="rId880" ref="U442"/>
    <hyperlink r:id="rId881" ref="U443"/>
    <hyperlink r:id="rId882" ref="U444"/>
    <hyperlink r:id="rId883" ref="U445"/>
    <hyperlink r:id="rId884" ref="U447"/>
    <hyperlink r:id="rId885" ref="U448"/>
    <hyperlink r:id="rId886" ref="U449"/>
    <hyperlink r:id="rId887" ref="U450"/>
    <hyperlink r:id="rId888" ref="U451"/>
    <hyperlink r:id="rId889" ref="U452"/>
    <hyperlink r:id="rId890" ref="U453"/>
    <hyperlink r:id="rId891" ref="U454"/>
    <hyperlink r:id="rId892" ref="U455"/>
    <hyperlink r:id="rId893" ref="U456"/>
    <hyperlink r:id="rId894" ref="U457"/>
    <hyperlink r:id="rId895" ref="U458"/>
    <hyperlink r:id="rId896" ref="U459"/>
    <hyperlink r:id="rId897" ref="U460"/>
    <hyperlink r:id="rId898" ref="U462"/>
    <hyperlink r:id="rId899" ref="U463"/>
    <hyperlink r:id="rId900" ref="U464"/>
    <hyperlink r:id="rId901" ref="U466"/>
    <hyperlink r:id="rId902" ref="U467"/>
    <hyperlink r:id="rId903" ref="U469"/>
    <hyperlink r:id="rId904" ref="U470"/>
    <hyperlink r:id="rId905" ref="U471"/>
    <hyperlink r:id="rId906" ref="U472"/>
    <hyperlink r:id="rId907" ref="U474"/>
    <hyperlink r:id="rId908" ref="U475"/>
    <hyperlink r:id="rId909" ref="U476"/>
    <hyperlink r:id="rId910" ref="U477"/>
    <hyperlink r:id="rId911" ref="U478"/>
    <hyperlink r:id="rId912" ref="U479"/>
    <hyperlink r:id="rId913" ref="U480"/>
    <hyperlink r:id="rId914" ref="U481"/>
    <hyperlink r:id="rId915" ref="U482"/>
    <hyperlink r:id="rId916" ref="U483"/>
    <hyperlink r:id="rId917" ref="U484"/>
    <hyperlink r:id="rId918" ref="U485"/>
    <hyperlink r:id="rId919" ref="U486"/>
    <hyperlink r:id="rId920" ref="U487"/>
    <hyperlink r:id="rId921" ref="U488"/>
    <hyperlink r:id="rId922" ref="U489"/>
    <hyperlink r:id="rId923" ref="U490"/>
    <hyperlink r:id="rId924" ref="U491"/>
    <hyperlink r:id="rId925" ref="U492"/>
    <hyperlink r:id="rId926" ref="U493"/>
    <hyperlink r:id="rId927" ref="U494"/>
    <hyperlink r:id="rId928" ref="U495"/>
    <hyperlink r:id="rId929" ref="U496"/>
    <hyperlink r:id="rId930" ref="U497"/>
    <hyperlink r:id="rId931" ref="U498"/>
    <hyperlink r:id="rId932" ref="U499"/>
    <hyperlink r:id="rId933" ref="U500"/>
    <hyperlink r:id="rId934" ref="U501"/>
    <hyperlink r:id="rId935" ref="U502"/>
    <hyperlink r:id="rId936" ref="U503"/>
    <hyperlink r:id="rId937" ref="U504"/>
    <hyperlink r:id="rId938" ref="U505"/>
    <hyperlink r:id="rId939" ref="U506"/>
    <hyperlink r:id="rId940" ref="U507"/>
    <hyperlink r:id="rId941" ref="U508"/>
    <hyperlink r:id="rId942" ref="U509"/>
    <hyperlink r:id="rId943" ref="U510"/>
    <hyperlink r:id="rId944" ref="U511"/>
    <hyperlink r:id="rId945" ref="U512"/>
    <hyperlink r:id="rId946" ref="U513"/>
    <hyperlink r:id="rId947" ref="U514"/>
    <hyperlink r:id="rId948" ref="U515"/>
    <hyperlink r:id="rId949" ref="U516"/>
    <hyperlink r:id="rId950" ref="U517"/>
    <hyperlink r:id="rId951" ref="U518"/>
    <hyperlink r:id="rId952" ref="U519"/>
    <hyperlink r:id="rId953" ref="U520"/>
    <hyperlink r:id="rId954" ref="U521"/>
    <hyperlink r:id="rId955" ref="U522"/>
    <hyperlink r:id="rId956" ref="U523"/>
    <hyperlink r:id="rId957" ref="U524"/>
    <hyperlink r:id="rId958" ref="U525"/>
    <hyperlink r:id="rId959" ref="U526"/>
    <hyperlink r:id="rId960" ref="U527"/>
    <hyperlink r:id="rId961" ref="U528"/>
    <hyperlink r:id="rId962" ref="U529"/>
    <hyperlink r:id="rId963" ref="U530"/>
    <hyperlink r:id="rId964" ref="U531"/>
    <hyperlink r:id="rId965" ref="U532"/>
    <hyperlink r:id="rId966" ref="U533"/>
    <hyperlink r:id="rId967" ref="U534"/>
    <hyperlink r:id="rId968" ref="U535"/>
    <hyperlink r:id="rId969" ref="U536"/>
    <hyperlink r:id="rId970" ref="U537"/>
    <hyperlink r:id="rId971" ref="U538"/>
    <hyperlink r:id="rId972" ref="U539"/>
    <hyperlink r:id="rId973" ref="U540"/>
    <hyperlink r:id="rId974" ref="U541"/>
    <hyperlink r:id="rId975" ref="U542"/>
    <hyperlink r:id="rId976" ref="U544"/>
    <hyperlink r:id="rId977" ref="U545"/>
    <hyperlink r:id="rId978" ref="U546"/>
    <hyperlink r:id="rId979" ref="U547"/>
    <hyperlink r:id="rId980" ref="U548"/>
    <hyperlink r:id="rId981" ref="U549"/>
    <hyperlink r:id="rId982" ref="U550"/>
    <hyperlink r:id="rId983" ref="U551"/>
    <hyperlink r:id="rId984" ref="U552"/>
    <hyperlink r:id="rId985" ref="U553"/>
    <hyperlink r:id="rId986" ref="U554"/>
    <hyperlink r:id="rId987" ref="U555"/>
    <hyperlink r:id="rId988" ref="U556"/>
    <hyperlink r:id="rId989" ref="U557"/>
    <hyperlink r:id="rId990" ref="U558"/>
    <hyperlink r:id="rId991" ref="U559"/>
    <hyperlink r:id="rId992" ref="U560"/>
    <hyperlink r:id="rId993" ref="U561"/>
    <hyperlink r:id="rId994" ref="U563"/>
    <hyperlink r:id="rId995" ref="U564"/>
    <hyperlink r:id="rId996" ref="U565"/>
    <hyperlink r:id="rId997" ref="U566"/>
    <hyperlink r:id="rId998" ref="U567"/>
    <hyperlink r:id="rId999" ref="U568"/>
    <hyperlink r:id="rId1000" ref="U569"/>
    <hyperlink r:id="rId1001" ref="U571"/>
    <hyperlink r:id="rId1002" ref="U572"/>
    <hyperlink r:id="rId1003" ref="U573"/>
    <hyperlink r:id="rId1004" ref="U574"/>
    <hyperlink r:id="rId1005" ref="U575"/>
    <hyperlink r:id="rId1006" ref="U576"/>
    <hyperlink r:id="rId1007" ref="U577"/>
    <hyperlink r:id="rId1008" ref="U578"/>
    <hyperlink r:id="rId1009" ref="U579"/>
    <hyperlink r:id="rId1010" ref="U580"/>
    <hyperlink r:id="rId1011" ref="U583"/>
    <hyperlink r:id="rId1012" ref="U584"/>
    <hyperlink r:id="rId1013" ref="U585"/>
    <hyperlink r:id="rId1014" ref="U586"/>
    <hyperlink r:id="rId1015" ref="U587"/>
    <hyperlink r:id="rId1016" ref="U588"/>
    <hyperlink r:id="rId1017" ref="U589"/>
    <hyperlink r:id="rId1018" ref="U590"/>
    <hyperlink r:id="rId1019" ref="U591"/>
    <hyperlink r:id="rId1020" ref="U592"/>
    <hyperlink r:id="rId1021" ref="U593"/>
    <hyperlink r:id="rId1022" ref="U594"/>
    <hyperlink r:id="rId1023" ref="U595"/>
    <hyperlink r:id="rId1024" ref="U596"/>
    <hyperlink r:id="rId1025" ref="U597"/>
    <hyperlink r:id="rId1026" ref="U598"/>
    <hyperlink r:id="rId1027" ref="U599"/>
    <hyperlink r:id="rId1028" ref="U600"/>
    <hyperlink r:id="rId1029" ref="U601"/>
    <hyperlink r:id="rId1030" ref="U602"/>
    <hyperlink r:id="rId1031" ref="U603"/>
    <hyperlink r:id="rId1032" ref="U605"/>
    <hyperlink r:id="rId1033" ref="U606"/>
    <hyperlink r:id="rId1034" ref="U607"/>
    <hyperlink r:id="rId1035" ref="U608"/>
    <hyperlink r:id="rId1036" ref="U609"/>
    <hyperlink r:id="rId1037" ref="U610"/>
    <hyperlink r:id="rId1038" ref="U611"/>
    <hyperlink r:id="rId1039" ref="U612"/>
    <hyperlink r:id="rId1040" ref="U614"/>
    <hyperlink r:id="rId1041" ref="U615"/>
    <hyperlink r:id="rId1042" ref="U616"/>
    <hyperlink r:id="rId1043" ref="U618"/>
    <hyperlink r:id="rId1044" ref="U619"/>
    <hyperlink r:id="rId1045" ref="U620"/>
    <hyperlink r:id="rId1046" ref="U621"/>
    <hyperlink r:id="rId1047" ref="U623"/>
    <hyperlink r:id="rId1048" ref="U624"/>
    <hyperlink r:id="rId1049" ref="U625"/>
    <hyperlink r:id="rId1050" ref="U627"/>
    <hyperlink r:id="rId1051" ref="U628"/>
    <hyperlink r:id="rId1052" ref="U629"/>
    <hyperlink r:id="rId1053" ref="U630"/>
    <hyperlink r:id="rId1054" ref="U631"/>
    <hyperlink r:id="rId1055" ref="U632"/>
    <hyperlink r:id="rId1056" ref="U633"/>
    <hyperlink r:id="rId1057" ref="U634"/>
    <hyperlink r:id="rId1058" ref="U635"/>
    <hyperlink r:id="rId1059" ref="U636"/>
    <hyperlink r:id="rId1060" ref="U637"/>
    <hyperlink r:id="rId1061" ref="U638"/>
    <hyperlink r:id="rId1062" ref="U639"/>
    <hyperlink r:id="rId1063" ref="U640"/>
    <hyperlink r:id="rId1064" ref="U641"/>
    <hyperlink r:id="rId1065" ref="U642"/>
    <hyperlink r:id="rId1066" ref="U643"/>
    <hyperlink r:id="rId1067" ref="U644"/>
    <hyperlink r:id="rId1068" ref="U645"/>
    <hyperlink r:id="rId1069" ref="U646"/>
    <hyperlink r:id="rId1070" ref="U647"/>
    <hyperlink r:id="rId1071" ref="U648"/>
    <hyperlink r:id="rId1072" ref="U649"/>
    <hyperlink r:id="rId1073" ref="U650"/>
    <hyperlink r:id="rId1074" ref="U651"/>
    <hyperlink r:id="rId1075" ref="U652"/>
    <hyperlink r:id="rId1076" ref="U653"/>
    <hyperlink r:id="rId1077" ref="U654"/>
    <hyperlink r:id="rId1078" ref="U655"/>
    <hyperlink r:id="rId1079" ref="U656"/>
    <hyperlink r:id="rId1080" ref="U657"/>
    <hyperlink r:id="rId1081" ref="U658"/>
    <hyperlink r:id="rId1082" ref="U659"/>
    <hyperlink r:id="rId1083" ref="U660"/>
    <hyperlink r:id="rId1084" ref="U661"/>
    <hyperlink r:id="rId1085" ref="U662"/>
    <hyperlink r:id="rId1086" ref="U663"/>
    <hyperlink r:id="rId1087" ref="U664"/>
    <hyperlink r:id="rId1088" ref="U665"/>
    <hyperlink r:id="rId1089" ref="U666"/>
    <hyperlink r:id="rId1090" ref="U667"/>
    <hyperlink r:id="rId1091" ref="U668"/>
    <hyperlink r:id="rId1092" ref="U669"/>
    <hyperlink r:id="rId1093" ref="U670"/>
    <hyperlink r:id="rId1094" ref="U671"/>
    <hyperlink r:id="rId1095" ref="U672"/>
    <hyperlink r:id="rId1096" ref="U673"/>
    <hyperlink r:id="rId1097" ref="U674"/>
    <hyperlink r:id="rId1098" ref="U675"/>
    <hyperlink r:id="rId1099" ref="U676"/>
    <hyperlink r:id="rId1100" ref="U677"/>
    <hyperlink r:id="rId1101" ref="U678"/>
    <hyperlink r:id="rId1102" ref="U680"/>
    <hyperlink r:id="rId1103" ref="U681"/>
    <hyperlink r:id="rId1104" ref="U682"/>
    <hyperlink r:id="rId1105" ref="U683"/>
    <hyperlink r:id="rId1106" ref="U685"/>
    <hyperlink r:id="rId1107" ref="U686"/>
    <hyperlink r:id="rId1108" ref="U687"/>
    <hyperlink r:id="rId1109" ref="U688"/>
    <hyperlink r:id="rId1110" ref="U690"/>
    <hyperlink r:id="rId1111" ref="U691"/>
    <hyperlink r:id="rId1112" ref="U692"/>
    <hyperlink r:id="rId1113" ref="U693"/>
    <hyperlink r:id="rId1114" ref="U694"/>
    <hyperlink r:id="rId1115" ref="U695"/>
    <hyperlink r:id="rId1116" ref="U696"/>
    <hyperlink r:id="rId1117" ref="U697"/>
    <hyperlink r:id="rId1118" ref="U698"/>
    <hyperlink r:id="rId1119" ref="U699"/>
    <hyperlink r:id="rId1120" ref="U700"/>
    <hyperlink r:id="rId1121" ref="U701"/>
    <hyperlink r:id="rId1122" ref="U702"/>
    <hyperlink r:id="rId1123" ref="U703"/>
    <hyperlink r:id="rId1124" ref="U704"/>
    <hyperlink r:id="rId1125" ref="U705"/>
    <hyperlink r:id="rId1126" ref="U706"/>
    <hyperlink r:id="rId1127" ref="U708"/>
    <hyperlink r:id="rId1128" ref="U709"/>
    <hyperlink r:id="rId1129" ref="U710"/>
    <hyperlink r:id="rId1130" ref="U711"/>
    <hyperlink r:id="rId1131" ref="U712"/>
    <hyperlink r:id="rId1132" ref="U713"/>
    <hyperlink r:id="rId1133" ref="U714"/>
    <hyperlink r:id="rId1134" ref="U715"/>
    <hyperlink r:id="rId1135" ref="U716"/>
    <hyperlink r:id="rId1136" ref="U717"/>
    <hyperlink r:id="rId1137" ref="U718"/>
    <hyperlink r:id="rId1138" ref="U719"/>
    <hyperlink r:id="rId1139" ref="U720"/>
    <hyperlink r:id="rId1140" ref="U721"/>
    <hyperlink r:id="rId1141" ref="U722"/>
    <hyperlink r:id="rId1142" ref="U723"/>
    <hyperlink r:id="rId1143" ref="U724"/>
    <hyperlink r:id="rId1144" ref="U725"/>
    <hyperlink r:id="rId1145" ref="U726"/>
    <hyperlink r:id="rId1146" ref="U727"/>
    <hyperlink r:id="rId1147" ref="U728"/>
    <hyperlink r:id="rId1148" ref="U729"/>
    <hyperlink r:id="rId1149" ref="U730"/>
    <hyperlink r:id="rId1150" ref="U731"/>
    <hyperlink r:id="rId1151" ref="U732"/>
    <hyperlink r:id="rId1152" ref="U734"/>
    <hyperlink r:id="rId1153" ref="U735"/>
    <hyperlink r:id="rId1154" ref="U736"/>
    <hyperlink r:id="rId1155" ref="U737"/>
    <hyperlink r:id="rId1156" ref="U738"/>
    <hyperlink r:id="rId1157" ref="U739"/>
    <hyperlink r:id="rId1158" ref="U740"/>
    <hyperlink r:id="rId1159" ref="U741"/>
    <hyperlink r:id="rId1160" ref="U742"/>
    <hyperlink r:id="rId1161" ref="U743"/>
    <hyperlink r:id="rId1162" ref="U744"/>
    <hyperlink r:id="rId1163" ref="U745"/>
    <hyperlink r:id="rId1164" ref="U746"/>
    <hyperlink r:id="rId1165" ref="U747"/>
    <hyperlink r:id="rId1166" ref="U749"/>
    <hyperlink r:id="rId1167" ref="U750"/>
    <hyperlink r:id="rId1168" ref="U751"/>
    <hyperlink r:id="rId1169" ref="U752"/>
    <hyperlink r:id="rId1170" ref="U753"/>
    <hyperlink r:id="rId1171" ref="U754"/>
    <hyperlink r:id="rId1172" ref="U756"/>
    <hyperlink r:id="rId1173" ref="U757"/>
    <hyperlink r:id="rId1174" ref="U758"/>
    <hyperlink r:id="rId1175" ref="U759"/>
    <hyperlink r:id="rId1176" ref="U760"/>
    <hyperlink r:id="rId1177" ref="U761"/>
    <hyperlink r:id="rId1178" ref="U762"/>
    <hyperlink r:id="rId1179" ref="U763"/>
    <hyperlink r:id="rId1180" ref="U764"/>
    <hyperlink r:id="rId1181" ref="U765"/>
    <hyperlink r:id="rId1182" ref="U766"/>
    <hyperlink r:id="rId1183" ref="U767"/>
    <hyperlink r:id="rId1184" ref="U768"/>
    <hyperlink r:id="rId1185" ref="U769"/>
    <hyperlink r:id="rId1186" ref="U770"/>
    <hyperlink r:id="rId1187" ref="U771"/>
    <hyperlink r:id="rId1188" ref="U772"/>
    <hyperlink r:id="rId1189" ref="U773"/>
    <hyperlink r:id="rId1190" ref="U774"/>
    <hyperlink r:id="rId1191" ref="U775"/>
    <hyperlink r:id="rId1192" ref="U776"/>
    <hyperlink r:id="rId1193" ref="U777"/>
    <hyperlink r:id="rId1194" ref="U778"/>
    <hyperlink r:id="rId1195" ref="U779"/>
    <hyperlink r:id="rId1196" ref="U780"/>
    <hyperlink r:id="rId1197" ref="U781"/>
    <hyperlink r:id="rId1198" ref="U783"/>
    <hyperlink r:id="rId1199" ref="U784"/>
    <hyperlink r:id="rId1200" ref="U786"/>
    <hyperlink r:id="rId1201" ref="U787"/>
    <hyperlink r:id="rId1202" ref="U788"/>
    <hyperlink r:id="rId1203" ref="U789"/>
    <hyperlink r:id="rId1204" ref="U790"/>
    <hyperlink r:id="rId1205" ref="U791"/>
    <hyperlink r:id="rId1206" ref="U792"/>
    <hyperlink r:id="rId1207" ref="U793"/>
    <hyperlink r:id="rId1208" ref="U794"/>
    <hyperlink r:id="rId1209" ref="U795"/>
    <hyperlink r:id="rId1210" ref="U796"/>
    <hyperlink r:id="rId1211" ref="U797"/>
    <hyperlink r:id="rId1212" ref="U798"/>
    <hyperlink r:id="rId1213" ref="U799"/>
    <hyperlink r:id="rId1214" ref="U800"/>
    <hyperlink r:id="rId1215" ref="U802"/>
    <hyperlink r:id="rId1216" ref="U803"/>
    <hyperlink r:id="rId1217" ref="U804"/>
    <hyperlink r:id="rId1218" ref="U805"/>
    <hyperlink r:id="rId1219" ref="U806"/>
    <hyperlink r:id="rId1220" ref="U807"/>
    <hyperlink r:id="rId1221" ref="U808"/>
    <hyperlink r:id="rId1222" ref="U809"/>
    <hyperlink r:id="rId1223" ref="U810"/>
    <hyperlink r:id="rId1224" ref="U811"/>
    <hyperlink r:id="rId1225" ref="U812"/>
    <hyperlink r:id="rId1226" ref="U813"/>
    <hyperlink r:id="rId1227" ref="U814"/>
    <hyperlink r:id="rId1228" ref="U815"/>
    <hyperlink r:id="rId1229" ref="U816"/>
    <hyperlink r:id="rId1230" ref="U817"/>
    <hyperlink r:id="rId1231" ref="U818"/>
    <hyperlink r:id="rId1232" ref="U819"/>
    <hyperlink r:id="rId1233" ref="U820"/>
    <hyperlink r:id="rId1234" ref="U821"/>
    <hyperlink r:id="rId1235" ref="U822"/>
    <hyperlink r:id="rId1236" ref="U823"/>
    <hyperlink r:id="rId1237" ref="U824"/>
    <hyperlink r:id="rId1238" ref="U825"/>
    <hyperlink r:id="rId1239" ref="U826"/>
    <hyperlink r:id="rId1240" ref="U827"/>
    <hyperlink r:id="rId1241" ref="U828"/>
    <hyperlink r:id="rId1242" ref="U829"/>
    <hyperlink r:id="rId1243" ref="U830"/>
    <hyperlink r:id="rId1244" ref="U831"/>
    <hyperlink r:id="rId1245" ref="U832"/>
    <hyperlink r:id="rId1246" ref="U833"/>
    <hyperlink r:id="rId1247" ref="U834"/>
    <hyperlink r:id="rId1248" ref="U835"/>
    <hyperlink r:id="rId1249" ref="U836"/>
    <hyperlink r:id="rId1250" ref="U837"/>
    <hyperlink r:id="rId1251" ref="U838"/>
    <hyperlink r:id="rId1252" ref="U839"/>
    <hyperlink r:id="rId1253" ref="U840"/>
    <hyperlink r:id="rId1254" ref="U842"/>
    <hyperlink r:id="rId1255" ref="U844"/>
    <hyperlink r:id="rId1256" ref="U845"/>
    <hyperlink r:id="rId1257" ref="U846"/>
    <hyperlink r:id="rId1258" ref="U847"/>
    <hyperlink r:id="rId1259" ref="U848"/>
    <hyperlink r:id="rId1260" ref="U849"/>
    <hyperlink r:id="rId1261" ref="U850"/>
    <hyperlink r:id="rId1262" ref="U852"/>
    <hyperlink r:id="rId1263" ref="U853"/>
    <hyperlink r:id="rId1264" ref="U854"/>
    <hyperlink r:id="rId1265" ref="U855"/>
    <hyperlink r:id="rId1266" ref="U856"/>
    <hyperlink r:id="rId1267" ref="U857"/>
    <hyperlink r:id="rId1268" ref="U858"/>
    <hyperlink r:id="rId1269" ref="U859"/>
    <hyperlink r:id="rId1270" ref="U860"/>
    <hyperlink r:id="rId1271" ref="U861"/>
    <hyperlink r:id="rId1272" ref="U862"/>
    <hyperlink r:id="rId1273" ref="U863"/>
    <hyperlink r:id="rId1274" ref="U864"/>
    <hyperlink r:id="rId1275" ref="U865"/>
    <hyperlink r:id="rId1276" ref="U866"/>
    <hyperlink r:id="rId1277" ref="U867"/>
    <hyperlink r:id="rId1278" ref="U868"/>
    <hyperlink r:id="rId1279" ref="U869"/>
    <hyperlink r:id="rId1280" ref="U870"/>
    <hyperlink r:id="rId1281" ref="U871"/>
    <hyperlink r:id="rId1282" ref="U872"/>
    <hyperlink r:id="rId1283" ref="U873"/>
    <hyperlink r:id="rId1284" ref="U874"/>
    <hyperlink r:id="rId1285" ref="U875"/>
    <hyperlink r:id="rId1286" ref="U876"/>
    <hyperlink r:id="rId1287" ref="U877"/>
    <hyperlink r:id="rId1288" ref="U878"/>
    <hyperlink r:id="rId1289" ref="U879"/>
    <hyperlink r:id="rId1290" ref="U880"/>
    <hyperlink r:id="rId1291" ref="U881"/>
    <hyperlink r:id="rId1292" ref="U882"/>
    <hyperlink r:id="rId1293" ref="U883"/>
    <hyperlink r:id="rId1294" ref="U884"/>
    <hyperlink r:id="rId1295" ref="U885"/>
    <hyperlink r:id="rId1296" ref="U886"/>
    <hyperlink r:id="rId1297" ref="U887"/>
    <hyperlink r:id="rId1298" ref="U888"/>
    <hyperlink r:id="rId1299" ref="U889"/>
    <hyperlink r:id="rId1300" ref="U890"/>
    <hyperlink r:id="rId1301" ref="U891"/>
    <hyperlink r:id="rId1302" ref="U892"/>
    <hyperlink r:id="rId1303" ref="U893"/>
    <hyperlink r:id="rId1304" ref="U894"/>
    <hyperlink r:id="rId1305" ref="U895"/>
    <hyperlink r:id="rId1306" ref="U896"/>
  </hyperlinks>
  <drawing r:id="rId130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7" t="str">
        <f>IFERROR(__xludf.DUMMYFUNCTION("IMPORTRANGE(""https://docs.google.com/spreadsheets/d/1aSOrU4PTpuBZqfitKaH1Rfww6-YOiNCKoBpPl8XBHaw/edit"",""Sheet3!A1:E4000"")"),"zone")</f>
        <v>zone</v>
      </c>
      <c r="B1" s="10" t="str">
        <f>IFERROR(__xludf.DUMMYFUNCTION("""COMPUTED_VALUE"""),"mosque_id")</f>
        <v>mosque_id</v>
      </c>
      <c r="C1" s="10" t="str">
        <f>IFERROR(__xludf.DUMMYFUNCTION("""COMPUTED_VALUE"""),"mosquename")</f>
        <v>mosquename</v>
      </c>
      <c r="D1" s="10" t="str">
        <f>IFERROR(__xludf.DUMMYFUNCTION("""COMPUTED_VALUE"""),"date")</f>
        <v>date</v>
      </c>
      <c r="E1" s="10" t="str">
        <f>IFERROR(__xludf.DUMMYFUNCTION("""COMPUTED_VALUE"""),"treatment_name")</f>
        <v>treatment_name</v>
      </c>
      <c r="F1" s="327" t="str">
        <f>IFERROR(__xludf.DUMMYFUNCTION("IMPORTRANGE(""https://docs.google.com/spreadsheets/d/1aSOrU4PTpuBZqfitKaH1Rfww6-YOiNCKoBpPl8XBHaw/edit"",""Sheet3!A1:A4000"")"),"zone")</f>
        <v>zone</v>
      </c>
      <c r="AB1" s="328" t="s">
        <v>1274</v>
      </c>
      <c r="AC1" s="329" t="s">
        <v>401</v>
      </c>
    </row>
    <row r="2">
      <c r="A2" s="10" t="str">
        <f>IFERROR(__xludf.DUMMYFUNCTION("""COMPUTED_VALUE"""),"Bahawalpur")</f>
        <v>Bahawalpur</v>
      </c>
      <c r="B2" s="10" t="str">
        <f>IFERROR(__xludf.DUMMYFUNCTION("""COMPUTED_VALUE"""),"dfnmy")</f>
        <v>dfnmy</v>
      </c>
      <c r="C2" s="10" t="str">
        <f>IFERROR(__xludf.DUMMYFUNCTION("""COMPUTED_VALUE"""),"Jamia Masjid Sadiq Akbar Machi Hatta Bhawalpur")</f>
        <v>Jamia Masjid Sadiq Akbar Machi Hatta Bhawalpur</v>
      </c>
      <c r="D2" s="10" t="str">
        <f>IFERROR(__xludf.DUMMYFUNCTION("""COMPUTED_VALUE"""),"11/15/24 4:19")</f>
        <v>11/15/24 4:19</v>
      </c>
      <c r="E2" s="10" t="str">
        <f>IFERROR(__xludf.DUMMYFUNCTION("""COMPUTED_VALUE"""),"Community Secular No Info Share")</f>
        <v>Community Secular No Info Share</v>
      </c>
      <c r="F2" s="10" t="str">
        <f>IFERROR(__xludf.DUMMYFUNCTION("""COMPUTED_VALUE"""),"Bahawalpur")</f>
        <v>Bahawalpur</v>
      </c>
      <c r="AB2" s="328" t="s">
        <v>4501</v>
      </c>
      <c r="AC2" s="329" t="s">
        <v>401</v>
      </c>
    </row>
    <row r="3">
      <c r="A3" s="10" t="str">
        <f>IFERROR(__xludf.DUMMYFUNCTION("""COMPUTED_VALUE"""),"Bahawalpur")</f>
        <v>Bahawalpur</v>
      </c>
      <c r="B3" s="10" t="str">
        <f>IFERROR(__xludf.DUMMYFUNCTION("""COMPUTED_VALUE"""),"qwlfb")</f>
        <v>qwlfb</v>
      </c>
      <c r="C3" s="10" t="str">
        <f>IFERROR(__xludf.DUMMYFUNCTION("""COMPUTED_VALUE"""),"Jamia Masjid Aqsa Bhawalpur")</f>
        <v>Jamia Masjid Aqsa Bhawalpur</v>
      </c>
      <c r="D3" s="10" t="str">
        <f>IFERROR(__xludf.DUMMYFUNCTION("""COMPUTED_VALUE"""),"11/15/24 4:32")</f>
        <v>11/15/24 4:32</v>
      </c>
      <c r="E3" s="10" t="str">
        <f>IFERROR(__xludf.DUMMYFUNCTION("""COMPUTED_VALUE"""),"Control")</f>
        <v>Control</v>
      </c>
      <c r="F3" s="10" t="str">
        <f>IFERROR(__xludf.DUMMYFUNCTION("""COMPUTED_VALUE"""),"Bahawalpur")</f>
        <v>Bahawalpur</v>
      </c>
      <c r="AB3" s="328" t="s">
        <v>1339</v>
      </c>
      <c r="AC3" s="329" t="s">
        <v>401</v>
      </c>
    </row>
    <row r="4">
      <c r="A4" s="10" t="str">
        <f>IFERROR(__xludf.DUMMYFUNCTION("""COMPUTED_VALUE"""),"Bahawalpur")</f>
        <v>Bahawalpur</v>
      </c>
      <c r="B4" s="10" t="str">
        <f>IFERROR(__xludf.DUMMYFUNCTION("""COMPUTED_VALUE"""),"sjqhk")</f>
        <v>sjqhk</v>
      </c>
      <c r="C4" s="10" t="str">
        <f>IFERROR(__xludf.DUMMYFUNCTION("""COMPUTED_VALUE"""),"Jamia Masjid Shah Rangila Hasalpur")</f>
        <v>Jamia Masjid Shah Rangila Hasalpur</v>
      </c>
      <c r="D4" s="10" t="str">
        <f>IFERROR(__xludf.DUMMYFUNCTION("""COMPUTED_VALUE"""),"11/15/24 4:38")</f>
        <v>11/15/24 4:38</v>
      </c>
      <c r="E4" s="10" t="str">
        <f>IFERROR(__xludf.DUMMYFUNCTION("""COMPUTED_VALUE"""),"Control")</f>
        <v>Control</v>
      </c>
      <c r="F4" s="10" t="str">
        <f>IFERROR(__xludf.DUMMYFUNCTION("""COMPUTED_VALUE"""),"Bahawalpur")</f>
        <v>Bahawalpur</v>
      </c>
      <c r="AB4" s="328" t="s">
        <v>4503</v>
      </c>
      <c r="AC4" s="329" t="s">
        <v>401</v>
      </c>
    </row>
    <row r="5">
      <c r="A5" s="10" t="str">
        <f>IFERROR(__xludf.DUMMYFUNCTION("""COMPUTED_VALUE"""),"Bahawalpur")</f>
        <v>Bahawalpur</v>
      </c>
      <c r="B5" s="10" t="str">
        <f>IFERROR(__xludf.DUMMYFUNCTION("""COMPUTED_VALUE"""),"xnhgf")</f>
        <v>xnhgf</v>
      </c>
      <c r="C5" s="10" t="str">
        <f>IFERROR(__xludf.DUMMYFUNCTION("""COMPUTED_VALUE"""),"Jamia Masjid Alsadiq Bhawalpur")</f>
        <v>Jamia Masjid Alsadiq Bhawalpur</v>
      </c>
      <c r="D5" s="10" t="str">
        <f>IFERROR(__xludf.DUMMYFUNCTION("""COMPUTED_VALUE"""),"11/15/24 4:46")</f>
        <v>11/15/24 4:46</v>
      </c>
      <c r="E5" s="10" t="str">
        <f>IFERROR(__xludf.DUMMYFUNCTION("""COMPUTED_VALUE"""),"Control")</f>
        <v>Control</v>
      </c>
      <c r="F5" s="10" t="str">
        <f>IFERROR(__xludf.DUMMYFUNCTION("""COMPUTED_VALUE"""),"Bahawalpur")</f>
        <v>Bahawalpur</v>
      </c>
      <c r="AB5" s="328" t="s">
        <v>1314</v>
      </c>
      <c r="AC5" s="329" t="s">
        <v>401</v>
      </c>
    </row>
    <row r="6">
      <c r="A6" s="10" t="str">
        <f>IFERROR(__xludf.DUMMYFUNCTION("""COMPUTED_VALUE"""),"Bahawalpur")</f>
        <v>Bahawalpur</v>
      </c>
      <c r="B6" s="10" t="str">
        <f>IFERROR(__xludf.DUMMYFUNCTION("""COMPUTED_VALUE"""),"nhxti")</f>
        <v>nhxti</v>
      </c>
      <c r="C6" s="10" t="str">
        <f>IFERROR(__xludf.DUMMYFUNCTION("""COMPUTED_VALUE"""),"Jamia Masjid Hasalpur")</f>
        <v>Jamia Masjid Hasalpur</v>
      </c>
      <c r="D6" s="10" t="str">
        <f>IFERROR(__xludf.DUMMYFUNCTION("""COMPUTED_VALUE"""),"11/15/24 5:01")</f>
        <v>11/15/24 5:01</v>
      </c>
      <c r="E6" s="10" t="str">
        <f>IFERROR(__xludf.DUMMYFUNCTION("""COMPUTED_VALUE"""),"Control")</f>
        <v>Control</v>
      </c>
      <c r="F6" s="10" t="str">
        <f>IFERROR(__xludf.DUMMYFUNCTION("""COMPUTED_VALUE"""),"Bahawalpur")</f>
        <v>Bahawalpur</v>
      </c>
      <c r="AB6" s="328" t="s">
        <v>4505</v>
      </c>
      <c r="AC6" s="329" t="s">
        <v>401</v>
      </c>
    </row>
    <row r="7">
      <c r="A7" s="10" t="str">
        <f>IFERROR(__xludf.DUMMYFUNCTION("""COMPUTED_VALUE"""),"Bahawalpur")</f>
        <v>Bahawalpur</v>
      </c>
      <c r="B7" s="10" t="str">
        <f>IFERROR(__xludf.DUMMYFUNCTION("""COMPUTED_VALUE"""),"reimc")</f>
        <v>reimc</v>
      </c>
      <c r="C7" s="10" t="str">
        <f>IFERROR(__xludf.DUMMYFUNCTION("""COMPUTED_VALUE"""),"Jamia Masjid Kocha Gul Hassan Shahe Bazar")</f>
        <v>Jamia Masjid Kocha Gul Hassan Shahe Bazar</v>
      </c>
      <c r="D7" s="10" t="str">
        <f>IFERROR(__xludf.DUMMYFUNCTION("""COMPUTED_VALUE"""),"11/15/24 5:10")</f>
        <v>11/15/24 5:10</v>
      </c>
      <c r="E7" s="10" t="str">
        <f>IFERROR(__xludf.DUMMYFUNCTION("""COMPUTED_VALUE"""),"Community Religious No Info Share")</f>
        <v>Community Religious No Info Share</v>
      </c>
      <c r="F7" s="10" t="str">
        <f>IFERROR(__xludf.DUMMYFUNCTION("""COMPUTED_VALUE"""),"Bahawalpur")</f>
        <v>Bahawalpur</v>
      </c>
      <c r="AB7" s="328" t="s">
        <v>1368</v>
      </c>
      <c r="AC7" s="329" t="s">
        <v>401</v>
      </c>
    </row>
    <row r="8">
      <c r="A8" s="10" t="str">
        <f>IFERROR(__xludf.DUMMYFUNCTION("""COMPUTED_VALUE"""),"Bahawalpur")</f>
        <v>Bahawalpur</v>
      </c>
      <c r="B8" s="10" t="str">
        <f>IFERROR(__xludf.DUMMYFUNCTION("""COMPUTED_VALUE"""),"vewig")</f>
        <v>vewig</v>
      </c>
      <c r="C8" s="10" t="str">
        <f>IFERROR(__xludf.DUMMYFUNCTION("""COMPUTED_VALUE"""),"Jamia Masjid Sadiq Akbar High School Ahumdpur")</f>
        <v>Jamia Masjid Sadiq Akbar High School Ahumdpur</v>
      </c>
      <c r="D8" s="10" t="str">
        <f>IFERROR(__xludf.DUMMYFUNCTION("""COMPUTED_VALUE"""),"11/15/24 5:38")</f>
        <v>11/15/24 5:38</v>
      </c>
      <c r="E8" s="10" t="str">
        <f>IFERROR(__xludf.DUMMYFUNCTION("""COMPUTED_VALUE"""),"Community Secular No Info Share")</f>
        <v>Community Secular No Info Share</v>
      </c>
      <c r="F8" s="10" t="str">
        <f>IFERROR(__xludf.DUMMYFUNCTION("""COMPUTED_VALUE"""),"Bahawalpur")</f>
        <v>Bahawalpur</v>
      </c>
      <c r="AB8" s="328" t="s">
        <v>1186</v>
      </c>
      <c r="AC8" s="329" t="s">
        <v>401</v>
      </c>
    </row>
    <row r="9">
      <c r="A9" s="10" t="str">
        <f>IFERROR(__xludf.DUMMYFUNCTION("""COMPUTED_VALUE"""),"Bahawalpur")</f>
        <v>Bahawalpur</v>
      </c>
      <c r="B9" s="10" t="str">
        <f>IFERROR(__xludf.DUMMYFUNCTION("""COMPUTED_VALUE"""),"tktxl")</f>
        <v>tktxl</v>
      </c>
      <c r="C9" s="10" t="str">
        <f>IFERROR(__xludf.DUMMYFUNCTION("""COMPUTED_VALUE"""),"Jamia Masjid Muhkum Ul Din Seerani Khangha Khangha")</f>
        <v>Jamia Masjid Muhkum Ul Din Seerani Khangha Khangha</v>
      </c>
      <c r="D9" s="10" t="str">
        <f>IFERROR(__xludf.DUMMYFUNCTION("""COMPUTED_VALUE"""),"11/15/24 5:48")</f>
        <v>11/15/24 5:48</v>
      </c>
      <c r="E9" s="10" t="str">
        <f>IFERROR(__xludf.DUMMYFUNCTION("""COMPUTED_VALUE"""),"Control")</f>
        <v>Control</v>
      </c>
      <c r="F9" s="10" t="str">
        <f>IFERROR(__xludf.DUMMYFUNCTION("""COMPUTED_VALUE"""),"Bahawalpur")</f>
        <v>Bahawalpur</v>
      </c>
      <c r="AB9" s="328" t="s">
        <v>1123</v>
      </c>
      <c r="AC9" s="329" t="s">
        <v>401</v>
      </c>
    </row>
    <row r="10">
      <c r="A10" s="10" t="str">
        <f>IFERROR(__xludf.DUMMYFUNCTION("""COMPUTED_VALUE"""),"Bahawalpur")</f>
        <v>Bahawalpur</v>
      </c>
      <c r="B10" s="10" t="str">
        <f>IFERROR(__xludf.DUMMYFUNCTION("""COMPUTED_VALUE"""),"xppxx")</f>
        <v>xppxx</v>
      </c>
      <c r="C10" s="10" t="str">
        <f>IFERROR(__xludf.DUMMYFUNCTION("""COMPUTED_VALUE"""),"Jamia Masjid Darbar Khawaja Khuda Bhakas Kharpure")</f>
        <v>Jamia Masjid Darbar Khawaja Khuda Bhakas Kharpure</v>
      </c>
      <c r="D10" s="10" t="str">
        <f>IFERROR(__xludf.DUMMYFUNCTION("""COMPUTED_VALUE"""),"11/15/24 5:51")</f>
        <v>11/15/24 5:51</v>
      </c>
      <c r="E10" s="10" t="str">
        <f>IFERROR(__xludf.DUMMYFUNCTION("""COMPUTED_VALUE"""),"Control")</f>
        <v>Control</v>
      </c>
      <c r="F10" s="10" t="str">
        <f>IFERROR(__xludf.DUMMYFUNCTION("""COMPUTED_VALUE"""),"Bahawalpur")</f>
        <v>Bahawalpur</v>
      </c>
      <c r="AB10" s="328" t="s">
        <v>1485</v>
      </c>
      <c r="AC10" s="329" t="s">
        <v>401</v>
      </c>
    </row>
    <row r="11">
      <c r="A11" s="10" t="str">
        <f>IFERROR(__xludf.DUMMYFUNCTION("""COMPUTED_VALUE"""),"Bahawalpur")</f>
        <v>Bahawalpur</v>
      </c>
      <c r="B11" s="10" t="str">
        <f>IFERROR(__xludf.DUMMYFUNCTION("""COMPUTED_VALUE"""),"coclq")</f>
        <v>coclq</v>
      </c>
      <c r="C11" s="10" t="str">
        <f>IFERROR(__xludf.DUMMYFUNCTION("""COMPUTED_VALUE"""),"Jamia Masjid Ahle Hadess Na Haliyanawali Ahumd Pur Sharqiya")</f>
        <v>Jamia Masjid Ahle Hadess Na Haliyanawali Ahumd Pur Sharqiya</v>
      </c>
      <c r="D11" s="10" t="str">
        <f>IFERROR(__xludf.DUMMYFUNCTION("""COMPUTED_VALUE"""),"11/15/24 6:15")</f>
        <v>11/15/24 6:15</v>
      </c>
      <c r="E11" s="10" t="str">
        <f>IFERROR(__xludf.DUMMYFUNCTION("""COMPUTED_VALUE"""),"Community Religious Info Share")</f>
        <v>Community Religious Info Share</v>
      </c>
      <c r="F11" s="10" t="str">
        <f>IFERROR(__xludf.DUMMYFUNCTION("""COMPUTED_VALUE"""),"Bahawalpur")</f>
        <v>Bahawalpur</v>
      </c>
      <c r="AB11" s="328" t="s">
        <v>1328</v>
      </c>
      <c r="AC11" s="329" t="s">
        <v>401</v>
      </c>
    </row>
    <row r="12">
      <c r="A12" s="10" t="str">
        <f>IFERROR(__xludf.DUMMYFUNCTION("""COMPUTED_VALUE"""),"Bahawalpur")</f>
        <v>Bahawalpur</v>
      </c>
      <c r="B12" s="10" t="str">
        <f>IFERROR(__xludf.DUMMYFUNCTION("""COMPUTED_VALUE"""),"mxmsk")</f>
        <v>mxmsk</v>
      </c>
      <c r="C12" s="10" t="str">
        <f>IFERROR(__xludf.DUMMYFUNCTION("""COMPUTED_VALUE"""),"Jamia Masjid Sakhi Sultan Ahmad Shah Chak 1-BC")</f>
        <v>Jamia Masjid Sakhi Sultan Ahmad Shah Chak 1-BC</v>
      </c>
      <c r="D12" s="10" t="str">
        <f>IFERROR(__xludf.DUMMYFUNCTION("""COMPUTED_VALUE"""),"11/15/24 6:51")</f>
        <v>11/15/24 6:51</v>
      </c>
      <c r="E12" s="10" t="str">
        <f>IFERROR(__xludf.DUMMYFUNCTION("""COMPUTED_VALUE"""),"Control")</f>
        <v>Control</v>
      </c>
      <c r="F12" s="10" t="str">
        <f>IFERROR(__xludf.DUMMYFUNCTION("""COMPUTED_VALUE"""),"Bahawalpur")</f>
        <v>Bahawalpur</v>
      </c>
      <c r="AB12" s="328" t="s">
        <v>1624</v>
      </c>
      <c r="AC12" s="329" t="s">
        <v>401</v>
      </c>
    </row>
    <row r="13">
      <c r="A13" s="10" t="str">
        <f>IFERROR(__xludf.DUMMYFUNCTION("""COMPUTED_VALUE"""),"Bahawalpur")</f>
        <v>Bahawalpur</v>
      </c>
      <c r="B13" s="10" t="str">
        <f>IFERROR(__xludf.DUMMYFUNCTION("""COMPUTED_VALUE"""),"PGOLJ")</f>
        <v>PGOLJ</v>
      </c>
      <c r="C13" s="10" t="str">
        <f>IFERROR(__xludf.DUMMYFUNCTION("""COMPUTED_VALUE"""),"Jamia Masjid Sheikh Muhammad Syed Wali Fareed Gate")</f>
        <v>Jamia Masjid Sheikh Muhammad Syed Wali Fareed Gate</v>
      </c>
      <c r="D13" s="10" t="str">
        <f>IFERROR(__xludf.DUMMYFUNCTION("""COMPUTED_VALUE"""),"11/15/24 7:01")</f>
        <v>11/15/24 7:01</v>
      </c>
      <c r="E13" s="10" t="str">
        <f>IFERROR(__xludf.DUMMYFUNCTION("""COMPUTED_VALUE"""),"Women Religious Info Share")</f>
        <v>Women Religious Info Share</v>
      </c>
      <c r="F13" s="10" t="str">
        <f>IFERROR(__xludf.DUMMYFUNCTION("""COMPUTED_VALUE"""),"Bahawalpur")</f>
        <v>Bahawalpur</v>
      </c>
      <c r="AB13" s="328" t="s">
        <v>1650</v>
      </c>
      <c r="AC13" s="329" t="s">
        <v>401</v>
      </c>
    </row>
    <row r="14">
      <c r="A14" s="10" t="str">
        <f>IFERROR(__xludf.DUMMYFUNCTION("""COMPUTED_VALUE"""),"Bahawalpur")</f>
        <v>Bahawalpur</v>
      </c>
      <c r="B14" s="10" t="str">
        <f>IFERROR(__xludf.DUMMYFUNCTION("""COMPUTED_VALUE"""),"njkni")</f>
        <v>njkni</v>
      </c>
      <c r="C14" s="10" t="str">
        <f>IFERROR(__xludf.DUMMYFUNCTION("""COMPUTED_VALUE"""),"Jamia Masjid Shahe Dera Nawab Shahab")</f>
        <v>Jamia Masjid Shahe Dera Nawab Shahab</v>
      </c>
      <c r="D14" s="10" t="str">
        <f>IFERROR(__xludf.DUMMYFUNCTION("""COMPUTED_VALUE"""),"11/15/24 8:22")</f>
        <v>11/15/24 8:22</v>
      </c>
      <c r="E14" s="10" t="str">
        <f>IFERROR(__xludf.DUMMYFUNCTION("""COMPUTED_VALUE"""),"Control")</f>
        <v>Control</v>
      </c>
      <c r="F14" s="10" t="str">
        <f>IFERROR(__xludf.DUMMYFUNCTION("""COMPUTED_VALUE"""),"Bahawalpur")</f>
        <v>Bahawalpur</v>
      </c>
      <c r="AB14" s="328" t="s">
        <v>1608</v>
      </c>
      <c r="AC14" s="329" t="s">
        <v>401</v>
      </c>
    </row>
    <row r="15">
      <c r="A15" s="10" t="str">
        <f>IFERROR(__xludf.DUMMYFUNCTION("""COMPUTED_VALUE"""),"Bahawalpur")</f>
        <v>Bahawalpur</v>
      </c>
      <c r="B15" s="10" t="str">
        <f>IFERROR(__xludf.DUMMYFUNCTION("""COMPUTED_VALUE"""),"pnyzs")</f>
        <v>pnyzs</v>
      </c>
      <c r="C15" s="10" t="str">
        <f>IFERROR(__xludf.DUMMYFUNCTION("""COMPUTED_VALUE"""),"Jamia Masjid Darbar Rasheed Jalaal Ul Din")</f>
        <v>Jamia Masjid Darbar Rasheed Jalaal Ul Din</v>
      </c>
      <c r="D15" s="10" t="str">
        <f>IFERROR(__xludf.DUMMYFUNCTION("""COMPUTED_VALUE"""),"11/15/24 9:27")</f>
        <v>11/15/24 9:27</v>
      </c>
      <c r="E15" s="10" t="str">
        <f>IFERROR(__xludf.DUMMYFUNCTION("""COMPUTED_VALUE"""),"Women Secular Info Share")</f>
        <v>Women Secular Info Share</v>
      </c>
      <c r="F15" s="10" t="str">
        <f>IFERROR(__xludf.DUMMYFUNCTION("""COMPUTED_VALUE"""),"Bahawalpur")</f>
        <v>Bahawalpur</v>
      </c>
      <c r="AB15" s="328" t="s">
        <v>1373</v>
      </c>
      <c r="AC15" s="329" t="s">
        <v>401</v>
      </c>
    </row>
    <row r="16">
      <c r="A16" s="10" t="str">
        <f>IFERROR(__xludf.DUMMYFUNCTION("""COMPUTED_VALUE"""),"Bahawalpur")</f>
        <v>Bahawalpur</v>
      </c>
      <c r="B16" s="10" t="str">
        <f>IFERROR(__xludf.DUMMYFUNCTION("""COMPUTED_VALUE"""),"rakei")</f>
        <v>rakei</v>
      </c>
      <c r="C16" s="10" t="str">
        <f>IFERROR(__xludf.DUMMYFUNCTION("""COMPUTED_VALUE"""),"Jamia Masjid Hakeem Muhammad Yar Wali Bhawalpur")</f>
        <v>Jamia Masjid Hakeem Muhammad Yar Wali Bhawalpur</v>
      </c>
      <c r="D16" s="10" t="str">
        <f>IFERROR(__xludf.DUMMYFUNCTION("""COMPUTED_VALUE"""),"11/15/24 10:29")</f>
        <v>11/15/24 10:29</v>
      </c>
      <c r="E16" s="10" t="str">
        <f>IFERROR(__xludf.DUMMYFUNCTION("""COMPUTED_VALUE"""),"Control")</f>
        <v>Control</v>
      </c>
      <c r="F16" s="10" t="str">
        <f>IFERROR(__xludf.DUMMYFUNCTION("""COMPUTED_VALUE"""),"Bahawalpur")</f>
        <v>Bahawalpur</v>
      </c>
      <c r="AB16" s="328" t="s">
        <v>1298</v>
      </c>
      <c r="AC16" s="329" t="s">
        <v>401</v>
      </c>
    </row>
    <row r="17">
      <c r="A17" s="10" t="str">
        <f>IFERROR(__xludf.DUMMYFUNCTION("""COMPUTED_VALUE"""),"Bahawalpur")</f>
        <v>Bahawalpur</v>
      </c>
      <c r="B17" s="10" t="str">
        <f>IFERROR(__xludf.DUMMYFUNCTION("""COMPUTED_VALUE"""),"dqkgk")</f>
        <v>dqkgk</v>
      </c>
      <c r="C17" s="10" t="str">
        <f>IFERROR(__xludf.DUMMYFUNCTION("""COMPUTED_VALUE"""),"Jamia Masjid Chanan Peer Sarkar Cholistan")</f>
        <v>Jamia Masjid Chanan Peer Sarkar Cholistan</v>
      </c>
      <c r="D17" s="10" t="str">
        <f>IFERROR(__xludf.DUMMYFUNCTION("""COMPUTED_VALUE"""),"11/15/24 10:47")</f>
        <v>11/15/24 10:47</v>
      </c>
      <c r="E17" s="10" t="str">
        <f>IFERROR(__xludf.DUMMYFUNCTION("""COMPUTED_VALUE"""),"Control")</f>
        <v>Control</v>
      </c>
      <c r="F17" s="10" t="str">
        <f>IFERROR(__xludf.DUMMYFUNCTION("""COMPUTED_VALUE"""),"Bahawalpur")</f>
        <v>Bahawalpur</v>
      </c>
      <c r="AB17" s="328" t="s">
        <v>1155</v>
      </c>
      <c r="AC17" s="329" t="s">
        <v>401</v>
      </c>
    </row>
    <row r="18">
      <c r="A18" s="10" t="str">
        <f>IFERROR(__xludf.DUMMYFUNCTION("""COMPUTED_VALUE"""),"Bahawalpur")</f>
        <v>Bahawalpur</v>
      </c>
      <c r="B18" s="10" t="str">
        <f>IFERROR(__xludf.DUMMYFUNCTION("""COMPUTED_VALUE"""),"VNNPW")</f>
        <v>VNNPW</v>
      </c>
      <c r="C18" s="10" t="str">
        <f>IFERROR(__xludf.DUMMYFUNCTION("""COMPUTED_VALUE"""),"Jamia Masjid Muhdum Jahaniya Oh Shareef")</f>
        <v>Jamia Masjid Muhdum Jahaniya Oh Shareef</v>
      </c>
      <c r="D18" s="10" t="str">
        <f>IFERROR(__xludf.DUMMYFUNCTION("""COMPUTED_VALUE"""),"11/16/24 2:34")</f>
        <v>11/16/24 2:34</v>
      </c>
      <c r="E18" s="10" t="str">
        <f>IFERROR(__xludf.DUMMYFUNCTION("""COMPUTED_VALUE"""),"Community Secular Info Share")</f>
        <v>Community Secular Info Share</v>
      </c>
      <c r="F18" s="10" t="str">
        <f>IFERROR(__xludf.DUMMYFUNCTION("""COMPUTED_VALUE"""),"Bahawalpur")</f>
        <v>Bahawalpur</v>
      </c>
      <c r="AB18" s="328" t="s">
        <v>1134</v>
      </c>
      <c r="AC18" s="329" t="s">
        <v>401</v>
      </c>
    </row>
    <row r="19">
      <c r="A19" s="10" t="str">
        <f>IFERROR(__xludf.DUMMYFUNCTION("""COMPUTED_VALUE"""),"Bahawalpur")</f>
        <v>Bahawalpur</v>
      </c>
      <c r="B19" s="10" t="str">
        <f>IFERROR(__xludf.DUMMYFUNCTION("""COMPUTED_VALUE"""),"joffe")</f>
        <v>joffe</v>
      </c>
      <c r="C19" s="10" t="str">
        <f>IFERROR(__xludf.DUMMYFUNCTION("""COMPUTED_VALUE"""),"Jamia Masjid Mehboob Subhani Oh Shareef")</f>
        <v>Jamia Masjid Mehboob Subhani Oh Shareef</v>
      </c>
      <c r="D19" s="10" t="str">
        <f>IFERROR(__xludf.DUMMYFUNCTION("""COMPUTED_VALUE"""),"11/16/24 2:36")</f>
        <v>11/16/24 2:36</v>
      </c>
      <c r="E19" s="10" t="str">
        <f>IFERROR(__xludf.DUMMYFUNCTION("""COMPUTED_VALUE"""),"Community Secular Info Share")</f>
        <v>Community Secular Info Share</v>
      </c>
      <c r="F19" s="10" t="str">
        <f>IFERROR(__xludf.DUMMYFUNCTION("""COMPUTED_VALUE"""),"Bahawalpur")</f>
        <v>Bahawalpur</v>
      </c>
      <c r="AB19" s="328" t="s">
        <v>1635</v>
      </c>
      <c r="AC19" s="329" t="s">
        <v>401</v>
      </c>
    </row>
    <row r="20">
      <c r="A20" s="10" t="str">
        <f>IFERROR(__xludf.DUMMYFUNCTION("""COMPUTED_VALUE"""),"Bahawalpur")</f>
        <v>Bahawalpur</v>
      </c>
      <c r="B20" s="10" t="str">
        <f>IFERROR(__xludf.DUMMYFUNCTION("""COMPUTED_VALUE"""),"pztqo")</f>
        <v>pztqo</v>
      </c>
      <c r="C20" s="10" t="str">
        <f>IFERROR(__xludf.DUMMYFUNCTION("""COMPUTED_VALUE"""),"Jamia Masjid Darbar Fazal Ul Din Laadala Och Shareef")</f>
        <v>Jamia Masjid Darbar Fazal Ul Din Laadala Och Shareef</v>
      </c>
      <c r="D20" s="10" t="str">
        <f>IFERROR(__xludf.DUMMYFUNCTION("""COMPUTED_VALUE"""),"11/16/24 2:48")</f>
        <v>11/16/24 2:48</v>
      </c>
      <c r="E20" s="10" t="str">
        <f>IFERROR(__xludf.DUMMYFUNCTION("""COMPUTED_VALUE"""),"Women Secular Info Share")</f>
        <v>Women Secular Info Share</v>
      </c>
      <c r="F20" s="10" t="str">
        <f>IFERROR(__xludf.DUMMYFUNCTION("""COMPUTED_VALUE"""),"Bahawalpur")</f>
        <v>Bahawalpur</v>
      </c>
      <c r="AB20" s="328" t="s">
        <v>1480</v>
      </c>
      <c r="AC20" s="329" t="s">
        <v>401</v>
      </c>
    </row>
    <row r="21">
      <c r="A21" s="10" t="str">
        <f>IFERROR(__xludf.DUMMYFUNCTION("""COMPUTED_VALUE"""),"Bahawalpur")</f>
        <v>Bahawalpur</v>
      </c>
      <c r="B21" s="10" t="str">
        <f>IFERROR(__xludf.DUMMYFUNCTION("""COMPUTED_VALUE"""),"lrqvn")</f>
        <v>lrqvn</v>
      </c>
      <c r="C21" s="10" t="str">
        <f>IFERROR(__xludf.DUMMYFUNCTION("""COMPUTED_VALUE"""),"Jamia Masjid Shiekh Allah Wasaya Machli Bazar")</f>
        <v>Jamia Masjid Shiekh Allah Wasaya Machli Bazar</v>
      </c>
      <c r="D21" s="10" t="str">
        <f>IFERROR(__xludf.DUMMYFUNCTION("""COMPUTED_VALUE"""),"11/22/24 3:43")</f>
        <v>11/22/24 3:43</v>
      </c>
      <c r="E21" s="10" t="str">
        <f>IFERROR(__xludf.DUMMYFUNCTION("""COMPUTED_VALUE"""),"Community Religious No Info Share")</f>
        <v>Community Religious No Info Share</v>
      </c>
      <c r="F21" s="10" t="str">
        <f>IFERROR(__xludf.DUMMYFUNCTION("""COMPUTED_VALUE"""),"Bahawalpur")</f>
        <v>Bahawalpur</v>
      </c>
      <c r="AB21" s="328" t="s">
        <v>1360</v>
      </c>
      <c r="AC21" s="329" t="s">
        <v>401</v>
      </c>
    </row>
    <row r="22">
      <c r="A22" s="10" t="str">
        <f>IFERROR(__xludf.DUMMYFUNCTION("""COMPUTED_VALUE"""),"Bahawalpur")</f>
        <v>Bahawalpur</v>
      </c>
      <c r="B22" s="10" t="str">
        <f>IFERROR(__xludf.DUMMYFUNCTION("""COMPUTED_VALUE"""),"rthfh")</f>
        <v>rthfh</v>
      </c>
      <c r="C22" s="10" t="str">
        <f>IFERROR(__xludf.DUMMYFUNCTION("""COMPUTED_VALUE"""),"Jamia Masjid Bostan Aziz Bahawalpur")</f>
        <v>Jamia Masjid Bostan Aziz Bahawalpur</v>
      </c>
      <c r="D22" s="10" t="str">
        <f>IFERROR(__xludf.DUMMYFUNCTION("""COMPUTED_VALUE"""),"11/25/24 10:49")</f>
        <v>11/25/24 10:49</v>
      </c>
      <c r="E22" s="10" t="str">
        <f>IFERROR(__xludf.DUMMYFUNCTION("""COMPUTED_VALUE"""),"Community Religious No Info Share")</f>
        <v>Community Religious No Info Share</v>
      </c>
      <c r="F22" s="10" t="str">
        <f>IFERROR(__xludf.DUMMYFUNCTION("""COMPUTED_VALUE"""),"Bahawalpur")</f>
        <v>Bahawalpur</v>
      </c>
      <c r="AB22" s="328" t="s">
        <v>4518</v>
      </c>
      <c r="AC22" s="329" t="s">
        <v>401</v>
      </c>
    </row>
    <row r="23">
      <c r="A23" s="10" t="str">
        <f>IFERROR(__xludf.DUMMYFUNCTION("""COMPUTED_VALUE"""),"Burewala")</f>
        <v>Burewala</v>
      </c>
      <c r="B23" s="10" t="str">
        <f>IFERROR(__xludf.DUMMYFUNCTION("""COMPUTED_VALUE"""),"iotae")</f>
        <v>iotae</v>
      </c>
      <c r="C23" s="10" t="str">
        <f>IFERROR(__xludf.DUMMYFUNCTION("""COMPUTED_VALUE"""),"Jamia Masjid Sarwarya Muhammad Shah Melsi")</f>
        <v>Jamia Masjid Sarwarya Muhammad Shah Melsi</v>
      </c>
      <c r="D23" s="330">
        <f>IFERROR(__xludf.DUMMYFUNCTION("""COMPUTED_VALUE"""),45515.19027777778)</f>
        <v>45515.19028</v>
      </c>
      <c r="E23" s="10" t="str">
        <f>IFERROR(__xludf.DUMMYFUNCTION("""COMPUTED_VALUE"""),"Women Religious No Info Share")</f>
        <v>Women Religious No Info Share</v>
      </c>
      <c r="F23" s="10" t="str">
        <f>IFERROR(__xludf.DUMMYFUNCTION("""COMPUTED_VALUE"""),"Burewala")</f>
        <v>Burewala</v>
      </c>
      <c r="AB23" s="328" t="s">
        <v>4519</v>
      </c>
      <c r="AC23" s="329" t="s">
        <v>401</v>
      </c>
    </row>
    <row r="24">
      <c r="A24" s="10" t="str">
        <f>IFERROR(__xludf.DUMMYFUNCTION("""COMPUTED_VALUE"""),"Burewala")</f>
        <v>Burewala</v>
      </c>
      <c r="B24" s="10" t="str">
        <f>IFERROR(__xludf.DUMMYFUNCTION("""COMPUTED_VALUE"""),"uomyf")</f>
        <v>uomyf</v>
      </c>
      <c r="C24" s="10" t="str">
        <f>IFERROR(__xludf.DUMMYFUNCTION("""COMPUTED_VALUE"""),"Jamia Masjid Gaalah Mandi Vehari")</f>
        <v>Jamia Masjid Gaalah Mandi Vehari</v>
      </c>
      <c r="D24" s="330">
        <f>IFERROR(__xludf.DUMMYFUNCTION("""COMPUTED_VALUE"""),45515.19930555556)</f>
        <v>45515.19931</v>
      </c>
      <c r="E24" s="10" t="str">
        <f>IFERROR(__xludf.DUMMYFUNCTION("""COMPUTED_VALUE"""),"Women Religious No Info Share")</f>
        <v>Women Religious No Info Share</v>
      </c>
      <c r="F24" s="10" t="str">
        <f>IFERROR(__xludf.DUMMYFUNCTION("""COMPUTED_VALUE"""),"Burewala")</f>
        <v>Burewala</v>
      </c>
      <c r="AB24" s="328" t="s">
        <v>1248</v>
      </c>
      <c r="AC24" s="329" t="s">
        <v>401</v>
      </c>
    </row>
    <row r="25">
      <c r="A25" s="10" t="str">
        <f>IFERROR(__xludf.DUMMYFUNCTION("""COMPUTED_VALUE"""),"Burewala")</f>
        <v>Burewala</v>
      </c>
      <c r="B25" s="10" t="str">
        <f>IFERROR(__xludf.DUMMYFUNCTION("""COMPUTED_VALUE"""),"ndpfg")</f>
        <v>ndpfg</v>
      </c>
      <c r="C25" s="10" t="str">
        <f>IFERROR(__xludf.DUMMYFUNCTION("""COMPUTED_VALUE"""),"Jamia Masjid Awis Darbar Dawaan Chawali Mushad Burewala")</f>
        <v>Jamia Masjid Awis Darbar Dawaan Chawali Mushad Burewala</v>
      </c>
      <c r="D25" s="330">
        <f>IFERROR(__xludf.DUMMYFUNCTION("""COMPUTED_VALUE"""),45515.20763888889)</f>
        <v>45515.20764</v>
      </c>
      <c r="E25" s="10" t="str">
        <f>IFERROR(__xludf.DUMMYFUNCTION("""COMPUTED_VALUE"""),"Control")</f>
        <v>Control</v>
      </c>
      <c r="F25" s="10" t="str">
        <f>IFERROR(__xludf.DUMMYFUNCTION("""COMPUTED_VALUE"""),"Burewala")</f>
        <v>Burewala</v>
      </c>
      <c r="AB25" s="328" t="s">
        <v>1352</v>
      </c>
      <c r="AC25" s="329" t="s">
        <v>401</v>
      </c>
    </row>
    <row r="26">
      <c r="A26" s="10" t="str">
        <f>IFERROR(__xludf.DUMMYFUNCTION("""COMPUTED_VALUE"""),"Burewala")</f>
        <v>Burewala</v>
      </c>
      <c r="B26" s="10" t="str">
        <f>IFERROR(__xludf.DUMMYFUNCTION("""COMPUTED_VALUE"""),"lnpqp")</f>
        <v>lnpqp</v>
      </c>
      <c r="C26" s="10" t="str">
        <f>IFERROR(__xludf.DUMMYFUNCTION("""COMPUTED_VALUE"""),"Jamia Masjid Gaalah Mandi Burewala")</f>
        <v>Jamia Masjid Gaalah Mandi Burewala</v>
      </c>
      <c r="D26" s="330">
        <f>IFERROR(__xludf.DUMMYFUNCTION("""COMPUTED_VALUE"""),45515.23263888889)</f>
        <v>45515.23264</v>
      </c>
      <c r="E26" s="10" t="str">
        <f>IFERROR(__xludf.DUMMYFUNCTION("""COMPUTED_VALUE"""),"Community Secular Info Share")</f>
        <v>Community Secular Info Share</v>
      </c>
      <c r="F26" s="10" t="str">
        <f>IFERROR(__xludf.DUMMYFUNCTION("""COMPUTED_VALUE"""),"Burewala")</f>
        <v>Burewala</v>
      </c>
      <c r="AB26" s="328" t="s">
        <v>2311</v>
      </c>
      <c r="AC26" s="329" t="s">
        <v>401</v>
      </c>
    </row>
    <row r="27">
      <c r="A27" s="10" t="str">
        <f>IFERROR(__xludf.DUMMYFUNCTION("""COMPUTED_VALUE"""),"Burewala")</f>
        <v>Burewala</v>
      </c>
      <c r="B27" s="10" t="str">
        <f>IFERROR(__xludf.DUMMYFUNCTION("""COMPUTED_VALUE"""),"xktyp")</f>
        <v>xktyp</v>
      </c>
      <c r="C27" s="10" t="str">
        <f>IFERROR(__xludf.DUMMYFUNCTION("""COMPUTED_VALUE"""),"Jamia Masjid Fatah Shah Bukhari Burewala")</f>
        <v>Jamia Masjid Fatah Shah Bukhari Burewala</v>
      </c>
      <c r="D27" s="330">
        <f>IFERROR(__xludf.DUMMYFUNCTION("""COMPUTED_VALUE"""),45515.268055555556)</f>
        <v>45515.26806</v>
      </c>
      <c r="E27" s="10" t="str">
        <f>IFERROR(__xludf.DUMMYFUNCTION("""COMPUTED_VALUE"""),"Women Secular No Info Share")</f>
        <v>Women Secular No Info Share</v>
      </c>
      <c r="F27" s="10" t="str">
        <f>IFERROR(__xludf.DUMMYFUNCTION("""COMPUTED_VALUE"""),"Burewala")</f>
        <v>Burewala</v>
      </c>
      <c r="AB27" s="328" t="s">
        <v>1809</v>
      </c>
      <c r="AC27" s="329" t="s">
        <v>401</v>
      </c>
    </row>
    <row r="28">
      <c r="A28" s="10" t="str">
        <f>IFERROR(__xludf.DUMMYFUNCTION("""COMPUTED_VALUE"""),"Burewala")</f>
        <v>Burewala</v>
      </c>
      <c r="B28" s="10" t="str">
        <f>IFERROR(__xludf.DUMMYFUNCTION("""COMPUTED_VALUE"""),"mjoue")</f>
        <v>mjoue</v>
      </c>
      <c r="C28" s="10" t="str">
        <f>IFERROR(__xludf.DUMMYFUNCTION("""COMPUTED_VALUE"""),"Jamia Masjid Shiekh Fasal Burewala")</f>
        <v>Jamia Masjid Shiekh Fasal Burewala</v>
      </c>
      <c r="D28" s="330">
        <f>IFERROR(__xludf.DUMMYFUNCTION("""COMPUTED_VALUE"""),45515.271527777775)</f>
        <v>45515.27153</v>
      </c>
      <c r="E28" s="10" t="str">
        <f>IFERROR(__xludf.DUMMYFUNCTION("""COMPUTED_VALUE"""),"Control")</f>
        <v>Control</v>
      </c>
      <c r="F28" s="10" t="str">
        <f>IFERROR(__xludf.DUMMYFUNCTION("""COMPUTED_VALUE"""),"Burewala")</f>
        <v>Burewala</v>
      </c>
      <c r="AB28" s="328" t="s">
        <v>1346</v>
      </c>
      <c r="AC28" s="329" t="s">
        <v>401</v>
      </c>
    </row>
    <row r="29">
      <c r="A29" s="10" t="str">
        <f>IFERROR(__xludf.DUMMYFUNCTION("""COMPUTED_VALUE"""),"Burewala")</f>
        <v>Burewala</v>
      </c>
      <c r="B29" s="10" t="str">
        <f>IFERROR(__xludf.DUMMYFUNCTION("""COMPUTED_VALUE"""),"qbvyb")</f>
        <v>qbvyb</v>
      </c>
      <c r="C29" s="10" t="str">
        <f>IFERROR(__xludf.DUMMYFUNCTION("""COMPUTED_VALUE"""),"Jamia Masjid Mulhalka Kuko Mandi Burewala")</f>
        <v>Jamia Masjid Mulhalka Kuko Mandi Burewala</v>
      </c>
      <c r="D29" s="330">
        <f>IFERROR(__xludf.DUMMYFUNCTION("""COMPUTED_VALUE"""),45515.29583333333)</f>
        <v>45515.29583</v>
      </c>
      <c r="E29" s="10" t="str">
        <f>IFERROR(__xludf.DUMMYFUNCTION("""COMPUTED_VALUE"""),"Control")</f>
        <v>Control</v>
      </c>
      <c r="F29" s="10" t="str">
        <f>IFERROR(__xludf.DUMMYFUNCTION("""COMPUTED_VALUE"""),"Burewala")</f>
        <v>Burewala</v>
      </c>
    </row>
    <row r="30">
      <c r="A30" s="10" t="str">
        <f>IFERROR(__xludf.DUMMYFUNCTION("""COMPUTED_VALUE"""),"Burewala")</f>
        <v>Burewala</v>
      </c>
      <c r="B30" s="10" t="str">
        <f>IFERROR(__xludf.DUMMYFUNCTION("""COMPUTED_VALUE"""),"mfvfc")</f>
        <v>mfvfc</v>
      </c>
      <c r="C30" s="10" t="str">
        <f>IFERROR(__xludf.DUMMYFUNCTION("""COMPUTED_VALUE"""),"Jamia Masjid D Block Burewala")</f>
        <v>Jamia Masjid D Block Burewala</v>
      </c>
      <c r="D30" s="10" t="str">
        <f>IFERROR(__xludf.DUMMYFUNCTION("""COMPUTED_VALUE"""),"11/15/24 4:51")</f>
        <v>11/15/24 4:51</v>
      </c>
      <c r="E30" s="10" t="str">
        <f>IFERROR(__xludf.DUMMYFUNCTION("""COMPUTED_VALUE"""),"Community Secular No Info Share")</f>
        <v>Community Secular No Info Share</v>
      </c>
      <c r="F30" s="10" t="str">
        <f>IFERROR(__xludf.DUMMYFUNCTION("""COMPUTED_VALUE"""),"Burewala")</f>
        <v>Burewala</v>
      </c>
    </row>
    <row r="31">
      <c r="A31" s="10" t="str">
        <f>IFERROR(__xludf.DUMMYFUNCTION("""COMPUTED_VALUE"""),"Chishtian")</f>
        <v>Chishtian</v>
      </c>
      <c r="B31" s="10" t="str">
        <f>IFERROR(__xludf.DUMMYFUNCTION("""COMPUTED_VALUE"""),"yokqu")</f>
        <v>yokqu</v>
      </c>
      <c r="C31" s="10" t="str">
        <f>IFERROR(__xludf.DUMMYFUNCTION("""COMPUTED_VALUE"""),"Jamia Masjid Gaalah Mandi Bahawal Nagar")</f>
        <v>Jamia Masjid Gaalah Mandi Bahawal Nagar</v>
      </c>
      <c r="D31" s="10" t="str">
        <f>IFERROR(__xludf.DUMMYFUNCTION("""COMPUTED_VALUE"""),"11/15/24 4:31")</f>
        <v>11/15/24 4:31</v>
      </c>
      <c r="E31" s="10" t="str">
        <f>IFERROR(__xludf.DUMMYFUNCTION("""COMPUTED_VALUE"""),"Women Secular Info Share")</f>
        <v>Women Secular Info Share</v>
      </c>
      <c r="F31" s="10" t="str">
        <f>IFERROR(__xludf.DUMMYFUNCTION("""COMPUTED_VALUE"""),"Chishtian")</f>
        <v>Chishtian</v>
      </c>
    </row>
    <row r="32">
      <c r="A32" s="10" t="str">
        <f>IFERROR(__xludf.DUMMYFUNCTION("""COMPUTED_VALUE"""),"Chishtian")</f>
        <v>Chishtian</v>
      </c>
      <c r="B32" s="10" t="str">
        <f>IFERROR(__xludf.DUMMYFUNCTION("""COMPUTED_VALUE"""),"ybtbu")</f>
        <v>ybtbu</v>
      </c>
      <c r="C32" s="10" t="str">
        <f>IFERROR(__xludf.DUMMYFUNCTION("""COMPUTED_VALUE"""),"Jamia Masjid Markazi Chishtian")</f>
        <v>Jamia Masjid Markazi Chishtian</v>
      </c>
      <c r="D32" s="10" t="str">
        <f>IFERROR(__xludf.DUMMYFUNCTION("""COMPUTED_VALUE"""),"11/15/24 4:55")</f>
        <v>11/15/24 4:55</v>
      </c>
      <c r="E32" s="10" t="str">
        <f>IFERROR(__xludf.DUMMYFUNCTION("""COMPUTED_VALUE"""),"Community Religious Info Share")</f>
        <v>Community Religious Info Share</v>
      </c>
      <c r="F32" s="10" t="str">
        <f>IFERROR(__xludf.DUMMYFUNCTION("""COMPUTED_VALUE"""),"Chishtian")</f>
        <v>Chishtian</v>
      </c>
    </row>
    <row r="33">
      <c r="A33" s="10" t="str">
        <f>IFERROR(__xludf.DUMMYFUNCTION("""COMPUTED_VALUE"""),"Chishtian")</f>
        <v>Chishtian</v>
      </c>
      <c r="B33" s="10" t="str">
        <f>IFERROR(__xludf.DUMMYFUNCTION("""COMPUTED_VALUE"""),"jydri")</f>
        <v>jydri</v>
      </c>
      <c r="C33" s="10" t="str">
        <f>IFERROR(__xludf.DUMMYFUNCTION("""COMPUTED_VALUE"""),"Jamia Masjid Haronabad Bahawal Nagar")</f>
        <v>Jamia Masjid Haronabad Bahawal Nagar</v>
      </c>
      <c r="D33" s="10" t="str">
        <f>IFERROR(__xludf.DUMMYFUNCTION("""COMPUTED_VALUE"""),"11/15/24 5:03")</f>
        <v>11/15/24 5:03</v>
      </c>
      <c r="E33" s="10" t="str">
        <f>IFERROR(__xludf.DUMMYFUNCTION("""COMPUTED_VALUE"""),"Women Secular Info Share")</f>
        <v>Women Secular Info Share</v>
      </c>
      <c r="F33" s="10" t="str">
        <f>IFERROR(__xludf.DUMMYFUNCTION("""COMPUTED_VALUE"""),"Chishtian")</f>
        <v>Chishtian</v>
      </c>
    </row>
    <row r="34">
      <c r="A34" s="10" t="str">
        <f>IFERROR(__xludf.DUMMYFUNCTION("""COMPUTED_VALUE"""),"Chishtian")</f>
        <v>Chishtian</v>
      </c>
      <c r="B34" s="10" t="str">
        <f>IFERROR(__xludf.DUMMYFUNCTION("""COMPUTED_VALUE"""),"hrsog")</f>
        <v>hrsog</v>
      </c>
      <c r="C34" s="10" t="str">
        <f>IFERROR(__xludf.DUMMYFUNCTION("""COMPUTED_VALUE"""),"Jamia Masjid Darbar Khawaja Noor Muhammad Maharwi")</f>
        <v>Jamia Masjid Darbar Khawaja Noor Muhammad Maharwi</v>
      </c>
      <c r="D34" s="10" t="str">
        <f>IFERROR(__xludf.DUMMYFUNCTION("""COMPUTED_VALUE"""),"11/15/24 5:25")</f>
        <v>11/15/24 5:25</v>
      </c>
      <c r="E34" s="10" t="str">
        <f>IFERROR(__xludf.DUMMYFUNCTION("""COMPUTED_VALUE"""),"Control")</f>
        <v>Control</v>
      </c>
      <c r="F34" s="10" t="str">
        <f>IFERROR(__xludf.DUMMYFUNCTION("""COMPUTED_VALUE"""),"Chishtian")</f>
        <v>Chishtian</v>
      </c>
    </row>
    <row r="35">
      <c r="A35" s="10" t="str">
        <f>IFERROR(__xludf.DUMMYFUNCTION("""COMPUTED_VALUE"""),"Chishtian")</f>
        <v>Chishtian</v>
      </c>
      <c r="B35" s="10" t="str">
        <f>IFERROR(__xludf.DUMMYFUNCTION("""COMPUTED_VALUE"""),"uvkdx")</f>
        <v>uvkdx</v>
      </c>
      <c r="C35" s="10" t="str">
        <f>IFERROR(__xludf.DUMMYFUNCTION("""COMPUTED_VALUE"""),"Jamia Masjid Baba Taj Ul Din Sarwar Chasti")</f>
        <v>Jamia Masjid Baba Taj Ul Din Sarwar Chasti</v>
      </c>
      <c r="D35" s="10" t="str">
        <f>IFERROR(__xludf.DUMMYFUNCTION("""COMPUTED_VALUE"""),"11/15/24 6:36")</f>
        <v>11/15/24 6:36</v>
      </c>
      <c r="E35" s="10" t="str">
        <f>IFERROR(__xludf.DUMMYFUNCTION("""COMPUTED_VALUE"""),"Women Secular No Info Share")</f>
        <v>Women Secular No Info Share</v>
      </c>
      <c r="F35" s="10" t="str">
        <f>IFERROR(__xludf.DUMMYFUNCTION("""COMPUTED_VALUE"""),"Chishtian")</f>
        <v>Chishtian</v>
      </c>
    </row>
    <row r="36">
      <c r="A36" s="10" t="str">
        <f>IFERROR(__xludf.DUMMYFUNCTION("""COMPUTED_VALUE"""),"Chishtian")</f>
        <v>Chishtian</v>
      </c>
      <c r="B36" s="10" t="str">
        <f>IFERROR(__xludf.DUMMYFUNCTION("""COMPUTED_VALUE"""),"pbyfm")</f>
        <v>pbyfm</v>
      </c>
      <c r="C36" s="10" t="str">
        <f>IFERROR(__xludf.DUMMYFUNCTION("""COMPUTED_VALUE"""),"Jamia Masjid Minya Nawali Minchanabad")</f>
        <v>Jamia Masjid Minya Nawali Minchanabad</v>
      </c>
      <c r="D36" s="10" t="str">
        <f>IFERROR(__xludf.DUMMYFUNCTION("""COMPUTED_VALUE"""),"11/15/24 6:38")</f>
        <v>11/15/24 6:38</v>
      </c>
      <c r="E36" s="10" t="str">
        <f>IFERROR(__xludf.DUMMYFUNCTION("""COMPUTED_VALUE"""),"Community Religious Info Share")</f>
        <v>Community Religious Info Share</v>
      </c>
      <c r="F36" s="10" t="str">
        <f>IFERROR(__xludf.DUMMYFUNCTION("""COMPUTED_VALUE"""),"Chishtian")</f>
        <v>Chishtian</v>
      </c>
    </row>
    <row r="37">
      <c r="A37" s="10" t="str">
        <f>IFERROR(__xludf.DUMMYFUNCTION("""COMPUTED_VALUE"""),"DG Khan")</f>
        <v>DG Khan</v>
      </c>
      <c r="B37" s="10" t="str">
        <f>IFERROR(__xludf.DUMMYFUNCTION("""COMPUTED_VALUE"""),"kcaxs")</f>
        <v>kcaxs</v>
      </c>
      <c r="C37" s="10" t="str">
        <f>IFERROR(__xludf.DUMMYFUNCTION("""COMPUTED_VALUE"""),"Jamia Masjid Shah Sadar Ul Din Dera Ghazi Khan")</f>
        <v>Jamia Masjid Shah Sadar Ul Din Dera Ghazi Khan</v>
      </c>
      <c r="D37" s="330">
        <f>IFERROR(__xludf.DUMMYFUNCTION("""COMPUTED_VALUE"""),45515.20277777778)</f>
        <v>45515.20278</v>
      </c>
      <c r="E37" s="10" t="str">
        <f>IFERROR(__xludf.DUMMYFUNCTION("""COMPUTED_VALUE"""),"Control")</f>
        <v>Control</v>
      </c>
      <c r="F37" s="10" t="str">
        <f>IFERROR(__xludf.DUMMYFUNCTION("""COMPUTED_VALUE"""),"DG Khan")</f>
        <v>DG Khan</v>
      </c>
    </row>
    <row r="38">
      <c r="A38" s="10" t="str">
        <f>IFERROR(__xludf.DUMMYFUNCTION("""COMPUTED_VALUE"""),"DG Khan")</f>
        <v>DG Khan</v>
      </c>
      <c r="B38" s="10" t="str">
        <f>IFERROR(__xludf.DUMMYFUNCTION("""COMPUTED_VALUE"""),"jhzjg")</f>
        <v>jhzjg</v>
      </c>
      <c r="C38" s="10" t="str">
        <f>IFERROR(__xludf.DUMMYFUNCTION("""COMPUTED_VALUE"""),"Jamia Masjid Darbar Hazrat Saki Sarwar Dera Ghazi Khan")</f>
        <v>Jamia Masjid Darbar Hazrat Saki Sarwar Dera Ghazi Khan</v>
      </c>
      <c r="D38" s="330">
        <f>IFERROR(__xludf.DUMMYFUNCTION("""COMPUTED_VALUE"""),45515.21805555555)</f>
        <v>45515.21806</v>
      </c>
      <c r="E38" s="10" t="str">
        <f>IFERROR(__xludf.DUMMYFUNCTION("""COMPUTED_VALUE"""),"Control")</f>
        <v>Control</v>
      </c>
      <c r="F38" s="10" t="str">
        <f>IFERROR(__xludf.DUMMYFUNCTION("""COMPUTED_VALUE"""),"DG Khan")</f>
        <v>DG Khan</v>
      </c>
    </row>
    <row r="39">
      <c r="A39" s="10" t="str">
        <f>IFERROR(__xludf.DUMMYFUNCTION("""COMPUTED_VALUE"""),"DG Khan")</f>
        <v>DG Khan</v>
      </c>
      <c r="B39" s="10" t="str">
        <f>IFERROR(__xludf.DUMMYFUNCTION("""COMPUTED_VALUE"""),"vyzqv")</f>
        <v>vyzqv</v>
      </c>
      <c r="C39" s="10" t="str">
        <f>IFERROR(__xludf.DUMMYFUNCTION("""COMPUTED_VALUE"""),"Jamia Masjid Block # 3 Dera Ghazi Khan")</f>
        <v>Jamia Masjid Block # 3 Dera Ghazi Khan</v>
      </c>
      <c r="D39" s="330">
        <f>IFERROR(__xludf.DUMMYFUNCTION("""COMPUTED_VALUE"""),45515.34930555556)</f>
        <v>45515.34931</v>
      </c>
      <c r="E39" s="10" t="str">
        <f>IFERROR(__xludf.DUMMYFUNCTION("""COMPUTED_VALUE"""),"Community Religious No Info Share")</f>
        <v>Community Religious No Info Share</v>
      </c>
      <c r="F39" s="10" t="str">
        <f>IFERROR(__xludf.DUMMYFUNCTION("""COMPUTED_VALUE"""),"DG Khan")</f>
        <v>DG Khan</v>
      </c>
    </row>
    <row r="40">
      <c r="A40" s="10" t="str">
        <f>IFERROR(__xludf.DUMMYFUNCTION("""COMPUTED_VALUE"""),"DG Khan")</f>
        <v>DG Khan</v>
      </c>
      <c r="B40" s="10" t="str">
        <f>IFERROR(__xludf.DUMMYFUNCTION("""COMPUTED_VALUE"""),"vsrrf")</f>
        <v>vsrrf</v>
      </c>
      <c r="C40" s="10" t="str">
        <f>IFERROR(__xludf.DUMMYFUNCTION("""COMPUTED_VALUE"""),"Jamia Masjid Darbar Malah Quaid Shah Dera Ghazi Khan")</f>
        <v>Jamia Masjid Darbar Malah Quaid Shah Dera Ghazi Khan</v>
      </c>
      <c r="D40" s="330">
        <f>IFERROR(__xludf.DUMMYFUNCTION("""COMPUTED_VALUE"""),45515.38333333333)</f>
        <v>45515.38333</v>
      </c>
      <c r="E40" s="10" t="str">
        <f>IFERROR(__xludf.DUMMYFUNCTION("""COMPUTED_VALUE"""),"Community Religious No Info Share")</f>
        <v>Community Religious No Info Share</v>
      </c>
      <c r="F40" s="10" t="str">
        <f>IFERROR(__xludf.DUMMYFUNCTION("""COMPUTED_VALUE"""),"DG Khan")</f>
        <v>DG Khan</v>
      </c>
    </row>
    <row r="41">
      <c r="A41" s="10" t="str">
        <f>IFERROR(__xludf.DUMMYFUNCTION("""COMPUTED_VALUE"""),"Faisalabad")</f>
        <v>Faisalabad</v>
      </c>
      <c r="B41" s="10" t="str">
        <f>IFERROR(__xludf.DUMMYFUNCTION("""COMPUTED_VALUE"""),"tiius")</f>
        <v>tiius</v>
      </c>
      <c r="C41" s="10" t="str">
        <f>IFERROR(__xludf.DUMMYFUNCTION("""COMPUTED_VALUE"""),"Jamia Masjid Darbar Lasuri Shah Faisalabad")</f>
        <v>Jamia Masjid Darbar Lasuri Shah Faisalabad</v>
      </c>
      <c r="D41" s="330">
        <f>IFERROR(__xludf.DUMMYFUNCTION("""COMPUTED_VALUE"""),45392.220138888886)</f>
        <v>45392.22014</v>
      </c>
      <c r="E41" s="10" t="str">
        <f>IFERROR(__xludf.DUMMYFUNCTION("""COMPUTED_VALUE"""),"Women Religious No Info Share")</f>
        <v>Women Religious No Info Share</v>
      </c>
      <c r="F41" s="10" t="str">
        <f>IFERROR(__xludf.DUMMYFUNCTION("""COMPUTED_VALUE"""),"Faisalabad")</f>
        <v>Faisalabad</v>
      </c>
    </row>
    <row r="42">
      <c r="A42" s="10" t="str">
        <f>IFERROR(__xludf.DUMMYFUNCTION("""COMPUTED_VALUE"""),"Faisalabad")</f>
        <v>Faisalabad</v>
      </c>
      <c r="B42" s="10" t="str">
        <f>IFERROR(__xludf.DUMMYFUNCTION("""COMPUTED_VALUE"""),"kocqj")</f>
        <v>kocqj</v>
      </c>
      <c r="C42" s="10" t="str">
        <f>IFERROR(__xludf.DUMMYFUNCTION("""COMPUTED_VALUE"""),"Jamia Masjid Kalah Kachari Bazar Faisalabad")</f>
        <v>Jamia Masjid Kalah Kachari Bazar Faisalabad</v>
      </c>
      <c r="D42" s="330">
        <f>IFERROR(__xludf.DUMMYFUNCTION("""COMPUTED_VALUE"""),45392.22638888889)</f>
        <v>45392.22639</v>
      </c>
      <c r="E42" s="10" t="str">
        <f>IFERROR(__xludf.DUMMYFUNCTION("""COMPUTED_VALUE"""),"Control")</f>
        <v>Control</v>
      </c>
      <c r="F42" s="10" t="str">
        <f>IFERROR(__xludf.DUMMYFUNCTION("""COMPUTED_VALUE"""),"Faisalabad")</f>
        <v>Faisalabad</v>
      </c>
    </row>
    <row r="43">
      <c r="A43" s="10" t="str">
        <f>IFERROR(__xludf.DUMMYFUNCTION("""COMPUTED_VALUE"""),"Faisalabad")</f>
        <v>Faisalabad</v>
      </c>
      <c r="B43" s="10" t="str">
        <f>IFERROR(__xludf.DUMMYFUNCTION("""COMPUTED_VALUE"""),"xlemr")</f>
        <v>xlemr</v>
      </c>
      <c r="C43" s="10" t="str">
        <f>IFERROR(__xludf.DUMMYFUNCTION("""COMPUTED_VALUE"""),"Jamia Masjid Gool Karyana Karkhana Bazar Faisalabad")</f>
        <v>Jamia Masjid Gool Karyana Karkhana Bazar Faisalabad</v>
      </c>
      <c r="D43" s="330">
        <f>IFERROR(__xludf.DUMMYFUNCTION("""COMPUTED_VALUE"""),45392.23611111111)</f>
        <v>45392.23611</v>
      </c>
      <c r="E43" s="10" t="str">
        <f>IFERROR(__xludf.DUMMYFUNCTION("""COMPUTED_VALUE"""),"Control")</f>
        <v>Control</v>
      </c>
      <c r="F43" s="10" t="str">
        <f>IFERROR(__xludf.DUMMYFUNCTION("""COMPUTED_VALUE"""),"Faisalabad")</f>
        <v>Faisalabad</v>
      </c>
    </row>
    <row r="44">
      <c r="A44" s="10" t="str">
        <f>IFERROR(__xludf.DUMMYFUNCTION("""COMPUTED_VALUE"""),"Faisalabad")</f>
        <v>Faisalabad</v>
      </c>
      <c r="B44" s="10" t="str">
        <f>IFERROR(__xludf.DUMMYFUNCTION("""COMPUTED_VALUE"""),"ldkri")</f>
        <v>ldkri</v>
      </c>
      <c r="C44" s="10" t="str">
        <f>IFERROR(__xludf.DUMMYFUNCTION("""COMPUTED_VALUE"""),"Jamia Masjid Hanfiya Ghazi Abad Faisalabad")</f>
        <v>Jamia Masjid Hanfiya Ghazi Abad Faisalabad</v>
      </c>
      <c r="D44" s="330">
        <f>IFERROR(__xludf.DUMMYFUNCTION("""COMPUTED_VALUE"""),45392.23888888889)</f>
        <v>45392.23889</v>
      </c>
      <c r="E44" s="10" t="str">
        <f>IFERROR(__xludf.DUMMYFUNCTION("""COMPUTED_VALUE"""),"Control")</f>
        <v>Control</v>
      </c>
      <c r="F44" s="10" t="str">
        <f>IFERROR(__xludf.DUMMYFUNCTION("""COMPUTED_VALUE"""),"Faisalabad")</f>
        <v>Faisalabad</v>
      </c>
    </row>
    <row r="45">
      <c r="A45" s="10" t="str">
        <f>IFERROR(__xludf.DUMMYFUNCTION("""COMPUTED_VALUE"""),"Faisalabad")</f>
        <v>Faisalabad</v>
      </c>
      <c r="B45" s="10" t="str">
        <f>IFERROR(__xludf.DUMMYFUNCTION("""COMPUTED_VALUE"""),"pjygt")</f>
        <v>pjygt</v>
      </c>
      <c r="C45" s="10" t="str">
        <f>IFERROR(__xludf.DUMMYFUNCTION("""COMPUTED_VALUE"""),"Jamia Masjid Tehseel Wali Kachari Bazar Faisalabad")</f>
        <v>Jamia Masjid Tehseel Wali Kachari Bazar Faisalabad</v>
      </c>
      <c r="D45" s="330">
        <f>IFERROR(__xludf.DUMMYFUNCTION("""COMPUTED_VALUE"""),45392.248611111114)</f>
        <v>45392.24861</v>
      </c>
      <c r="E45" s="10" t="str">
        <f>IFERROR(__xludf.DUMMYFUNCTION("""COMPUTED_VALUE"""),"Women Religious No Info Share")</f>
        <v>Women Religious No Info Share</v>
      </c>
      <c r="F45" s="10" t="str">
        <f>IFERROR(__xludf.DUMMYFUNCTION("""COMPUTED_VALUE"""),"Faisalabad")</f>
        <v>Faisalabad</v>
      </c>
    </row>
    <row r="46">
      <c r="A46" s="10" t="str">
        <f>IFERROR(__xludf.DUMMYFUNCTION("""COMPUTED_VALUE"""),"Faisalabad")</f>
        <v>Faisalabad</v>
      </c>
      <c r="B46" s="10" t="str">
        <f>IFERROR(__xludf.DUMMYFUNCTION("""COMPUTED_VALUE"""),"dmvyd")</f>
        <v>dmvyd</v>
      </c>
      <c r="C46" s="10" t="str">
        <f>IFERROR(__xludf.DUMMYFUNCTION("""COMPUTED_VALUE"""),"Jamia Masjid Jhaal Khanuwana Faisalabad")</f>
        <v>Jamia Masjid Jhaal Khanuwana Faisalabad</v>
      </c>
      <c r="D46" s="330">
        <f>IFERROR(__xludf.DUMMYFUNCTION("""COMPUTED_VALUE"""),45392.25347222222)</f>
        <v>45392.25347</v>
      </c>
      <c r="E46" s="10" t="str">
        <f>IFERROR(__xludf.DUMMYFUNCTION("""COMPUTED_VALUE"""),"Women Secular No Info Share")</f>
        <v>Women Secular No Info Share</v>
      </c>
      <c r="F46" s="10" t="str">
        <f>IFERROR(__xludf.DUMMYFUNCTION("""COMPUTED_VALUE"""),"Faisalabad")</f>
        <v>Faisalabad</v>
      </c>
    </row>
    <row r="47">
      <c r="A47" s="10" t="str">
        <f>IFERROR(__xludf.DUMMYFUNCTION("""COMPUTED_VALUE"""),"Faisalabad")</f>
        <v>Faisalabad</v>
      </c>
      <c r="B47" s="10" t="str">
        <f>IFERROR(__xludf.DUMMYFUNCTION("""COMPUTED_VALUE"""),"rwyui")</f>
        <v>rwyui</v>
      </c>
      <c r="C47" s="10" t="str">
        <f>IFERROR(__xludf.DUMMYFUNCTION("""COMPUTED_VALUE"""),"Jamia Masjid Madini Samnabad Faisalabad")</f>
        <v>Jamia Masjid Madini Samnabad Faisalabad</v>
      </c>
      <c r="D47" s="330">
        <f>IFERROR(__xludf.DUMMYFUNCTION("""COMPUTED_VALUE"""),45392.25902777778)</f>
        <v>45392.25903</v>
      </c>
      <c r="E47" s="10" t="str">
        <f>IFERROR(__xludf.DUMMYFUNCTION("""COMPUTED_VALUE"""),"Women Secular No Info Share")</f>
        <v>Women Secular No Info Share</v>
      </c>
      <c r="F47" s="10" t="str">
        <f>IFERROR(__xludf.DUMMYFUNCTION("""COMPUTED_VALUE"""),"Faisalabad")</f>
        <v>Faisalabad</v>
      </c>
    </row>
    <row r="48">
      <c r="A48" s="10" t="str">
        <f>IFERROR(__xludf.DUMMYFUNCTION("""COMPUTED_VALUE"""),"Faisalabad")</f>
        <v>Faisalabad</v>
      </c>
      <c r="B48" s="10" t="str">
        <f>IFERROR(__xludf.DUMMYFUNCTION("""COMPUTED_VALUE"""),"btuip")</f>
        <v>btuip</v>
      </c>
      <c r="C48" s="10" t="str">
        <f>IFERROR(__xludf.DUMMYFUNCTION("""COMPUTED_VALUE"""),"Jamia Masjid Amenia Ameen Abaad Samanbad Faisalabad")</f>
        <v>Jamia Masjid Amenia Ameen Abaad Samanbad Faisalabad</v>
      </c>
      <c r="D48" s="330">
        <f>IFERROR(__xludf.DUMMYFUNCTION("""COMPUTED_VALUE"""),45392.260416666664)</f>
        <v>45392.26042</v>
      </c>
      <c r="E48" s="10" t="str">
        <f>IFERROR(__xludf.DUMMYFUNCTION("""COMPUTED_VALUE"""),"Community Religious Info Share")</f>
        <v>Community Religious Info Share</v>
      </c>
      <c r="F48" s="10" t="str">
        <f>IFERROR(__xludf.DUMMYFUNCTION("""COMPUTED_VALUE"""),"Faisalabad")</f>
        <v>Faisalabad</v>
      </c>
    </row>
    <row r="49">
      <c r="A49" s="10" t="str">
        <f>IFERROR(__xludf.DUMMYFUNCTION("""COMPUTED_VALUE"""),"Faisalabad")</f>
        <v>Faisalabad</v>
      </c>
      <c r="B49" s="10" t="str">
        <f>IFERROR(__xludf.DUMMYFUNCTION("""COMPUTED_VALUE"""),"mxebb")</f>
        <v>mxebb</v>
      </c>
      <c r="C49" s="10" t="str">
        <f>IFERROR(__xludf.DUMMYFUNCTION("""COMPUTED_VALUE"""),"Jamia Masjid Hanfiya Gujra Basti Faisalabad")</f>
        <v>Jamia Masjid Hanfiya Gujra Basti Faisalabad</v>
      </c>
      <c r="D49" s="330">
        <f>IFERROR(__xludf.DUMMYFUNCTION("""COMPUTED_VALUE"""),45392.26736111111)</f>
        <v>45392.26736</v>
      </c>
      <c r="E49" s="10" t="str">
        <f>IFERROR(__xludf.DUMMYFUNCTION("""COMPUTED_VALUE"""),"Community Secular Info Share")</f>
        <v>Community Secular Info Share</v>
      </c>
      <c r="F49" s="10" t="str">
        <f>IFERROR(__xludf.DUMMYFUNCTION("""COMPUTED_VALUE"""),"Faisalabad")</f>
        <v>Faisalabad</v>
      </c>
    </row>
    <row r="50">
      <c r="A50" s="10" t="str">
        <f>IFERROR(__xludf.DUMMYFUNCTION("""COMPUTED_VALUE"""),"Faisalabad")</f>
        <v>Faisalabad</v>
      </c>
      <c r="B50" s="10" t="str">
        <f>IFERROR(__xludf.DUMMYFUNCTION("""COMPUTED_VALUE"""),"dkwam")</f>
        <v>dkwam</v>
      </c>
      <c r="C50" s="10" t="str">
        <f>IFERROR(__xludf.DUMMYFUNCTION("""COMPUTED_VALUE"""),"Jamia Masjid Gulzar Madina Gala Mandi Ameem Pura")</f>
        <v>Jamia Masjid Gulzar Madina Gala Mandi Ameem Pura</v>
      </c>
      <c r="D50" s="330">
        <f>IFERROR(__xludf.DUMMYFUNCTION("""COMPUTED_VALUE"""),45392.302777777775)</f>
        <v>45392.30278</v>
      </c>
      <c r="E50" s="10" t="str">
        <f>IFERROR(__xludf.DUMMYFUNCTION("""COMPUTED_VALUE"""),"Women Religious No Info Share")</f>
        <v>Women Religious No Info Share</v>
      </c>
      <c r="F50" s="10" t="str">
        <f>IFERROR(__xludf.DUMMYFUNCTION("""COMPUTED_VALUE"""),"Faisalabad")</f>
        <v>Faisalabad</v>
      </c>
    </row>
    <row r="51">
      <c r="A51" s="10" t="str">
        <f>IFERROR(__xludf.DUMMYFUNCTION("""COMPUTED_VALUE"""),"Faisalabad")</f>
        <v>Faisalabad</v>
      </c>
      <c r="B51" s="10" t="str">
        <f>IFERROR(__xludf.DUMMYFUNCTION("""COMPUTED_VALUE"""),"cegdy")</f>
        <v>cegdy</v>
      </c>
      <c r="C51" s="10" t="str">
        <f>IFERROR(__xludf.DUMMYFUNCTION("""COMPUTED_VALUE"""),"Jamia Masjid Muhammadiya Chastiya Makwana Faisalabad")</f>
        <v>Jamia Masjid Muhammadiya Chastiya Makwana Faisalabad</v>
      </c>
      <c r="D51" s="330">
        <f>IFERROR(__xludf.DUMMYFUNCTION("""COMPUTED_VALUE"""),45392.37708333333)</f>
        <v>45392.37708</v>
      </c>
      <c r="E51" s="10" t="str">
        <f>IFERROR(__xludf.DUMMYFUNCTION("""COMPUTED_VALUE"""),"Community Secular No Info Share")</f>
        <v>Community Secular No Info Share</v>
      </c>
      <c r="F51" s="10" t="str">
        <f>IFERROR(__xludf.DUMMYFUNCTION("""COMPUTED_VALUE"""),"Faisalabad")</f>
        <v>Faisalabad</v>
      </c>
    </row>
    <row r="52">
      <c r="A52" s="10" t="str">
        <f>IFERROR(__xludf.DUMMYFUNCTION("""COMPUTED_VALUE"""),"Faisalabad")</f>
        <v>Faisalabad</v>
      </c>
      <c r="B52" s="10" t="str">
        <f>IFERROR(__xludf.DUMMYFUNCTION("""COMPUTED_VALUE"""),"cfcvk")</f>
        <v>cfcvk</v>
      </c>
      <c r="C52" s="10" t="str">
        <f>IFERROR(__xludf.DUMMYFUNCTION("""COMPUTED_VALUE"""),"Jamia Masjid Islam Pura Dhobi Ghaat Faisalabad")</f>
        <v>Jamia Masjid Islam Pura Dhobi Ghaat Faisalabad</v>
      </c>
      <c r="D52" s="330">
        <f>IFERROR(__xludf.DUMMYFUNCTION("""COMPUTED_VALUE"""),45392.40069444444)</f>
        <v>45392.40069</v>
      </c>
      <c r="E52" s="10" t="str">
        <f>IFERROR(__xludf.DUMMYFUNCTION("""COMPUTED_VALUE"""),"Community Secular No Info Share")</f>
        <v>Community Secular No Info Share</v>
      </c>
      <c r="F52" s="10" t="str">
        <f>IFERROR(__xludf.DUMMYFUNCTION("""COMPUTED_VALUE"""),"Faisalabad")</f>
        <v>Faisalabad</v>
      </c>
    </row>
    <row r="53">
      <c r="A53" s="10" t="str">
        <f>IFERROR(__xludf.DUMMYFUNCTION("""COMPUTED_VALUE"""),"Faisalabad")</f>
        <v>Faisalabad</v>
      </c>
      <c r="B53" s="10" t="str">
        <f>IFERROR(__xludf.DUMMYFUNCTION("""COMPUTED_VALUE"""),"odqlq")</f>
        <v>odqlq</v>
      </c>
      <c r="C53" s="10" t="str">
        <f>IFERROR(__xludf.DUMMYFUNCTION("""COMPUTED_VALUE"""),"Jamia Masjid Bukhari Shah Alyaas Park Faisalabad")</f>
        <v>Jamia Masjid Bukhari Shah Alyaas Park Faisalabad</v>
      </c>
      <c r="D53" s="330">
        <f>IFERROR(__xludf.DUMMYFUNCTION("""COMPUTED_VALUE"""),45392.45347222222)</f>
        <v>45392.45347</v>
      </c>
      <c r="E53" s="10" t="str">
        <f>IFERROR(__xludf.DUMMYFUNCTION("""COMPUTED_VALUE"""),"Control")</f>
        <v>Control</v>
      </c>
      <c r="F53" s="10" t="str">
        <f>IFERROR(__xludf.DUMMYFUNCTION("""COMPUTED_VALUE"""),"Faisalabad")</f>
        <v>Faisalabad</v>
      </c>
    </row>
    <row r="54">
      <c r="A54" s="10" t="str">
        <f>IFERROR(__xludf.DUMMYFUNCTION("""COMPUTED_VALUE"""),"Faisalabad")</f>
        <v>Faisalabad</v>
      </c>
      <c r="B54" s="10" t="str">
        <f>IFERROR(__xludf.DUMMYFUNCTION("""COMPUTED_VALUE"""),"tbthq")</f>
        <v>tbthq</v>
      </c>
      <c r="C54" s="10" t="str">
        <f>IFERROR(__xludf.DUMMYFUNCTION("""COMPUTED_VALUE"""),"Jamia Masjid Noor Tariqbaad")</f>
        <v>Jamia Masjid Noor Tariqbaad</v>
      </c>
      <c r="D54" s="330">
        <f>IFERROR(__xludf.DUMMYFUNCTION("""COMPUTED_VALUE"""),45392.464583333334)</f>
        <v>45392.46458</v>
      </c>
      <c r="E54" s="10" t="str">
        <f>IFERROR(__xludf.DUMMYFUNCTION("""COMPUTED_VALUE"""),"Community Secular No Info Share")</f>
        <v>Community Secular No Info Share</v>
      </c>
      <c r="F54" s="10" t="str">
        <f>IFERROR(__xludf.DUMMYFUNCTION("""COMPUTED_VALUE"""),"Faisalabad")</f>
        <v>Faisalabad</v>
      </c>
    </row>
    <row r="55">
      <c r="A55" s="10" t="str">
        <f>IFERROR(__xludf.DUMMYFUNCTION("""COMPUTED_VALUE"""),"Faisalabad")</f>
        <v>Faisalabad</v>
      </c>
      <c r="B55" s="10" t="str">
        <f>IFERROR(__xludf.DUMMYFUNCTION("""COMPUTED_VALUE"""),"estsn")</f>
        <v>estsn</v>
      </c>
      <c r="C55" s="10" t="str">
        <f>IFERROR(__xludf.DUMMYFUNCTION("""COMPUTED_VALUE"""),"Jamia Masjid Haji Muhammad Din 125 Jharawala")</f>
        <v>Jamia Masjid Haji Muhammad Din 125 Jharawala</v>
      </c>
      <c r="D55" s="330">
        <f>IFERROR(__xludf.DUMMYFUNCTION("""COMPUTED_VALUE"""),45392.4875)</f>
        <v>45392.4875</v>
      </c>
      <c r="E55" s="10" t="str">
        <f>IFERROR(__xludf.DUMMYFUNCTION("""COMPUTED_VALUE"""),"Control")</f>
        <v>Control</v>
      </c>
      <c r="F55" s="10" t="str">
        <f>IFERROR(__xludf.DUMMYFUNCTION("""COMPUTED_VALUE"""),"Faisalabad")</f>
        <v>Faisalabad</v>
      </c>
    </row>
    <row r="56">
      <c r="A56" s="10" t="str">
        <f>IFERROR(__xludf.DUMMYFUNCTION("""COMPUTED_VALUE"""),"Faisalabad")</f>
        <v>Faisalabad</v>
      </c>
      <c r="B56" s="10" t="str">
        <f>IFERROR(__xludf.DUMMYFUNCTION("""COMPUTED_VALUE"""),"vldwg")</f>
        <v>vldwg</v>
      </c>
      <c r="C56" s="10" t="str">
        <f>IFERROR(__xludf.DUMMYFUNCTION("""COMPUTED_VALUE"""),"Jamia Masjid Eid Ghah Madal Town B Faisalabad")</f>
        <v>Jamia Masjid Eid Ghah Madal Town B Faisalabad</v>
      </c>
      <c r="D56" s="330">
        <f>IFERROR(__xludf.DUMMYFUNCTION("""COMPUTED_VALUE"""),45422.07013888889)</f>
        <v>45422.07014</v>
      </c>
      <c r="E56" s="10" t="str">
        <f>IFERROR(__xludf.DUMMYFUNCTION("""COMPUTED_VALUE"""),"Women Religious Info Share")</f>
        <v>Women Religious Info Share</v>
      </c>
      <c r="F56" s="10" t="str">
        <f>IFERROR(__xludf.DUMMYFUNCTION("""COMPUTED_VALUE"""),"Faisalabad")</f>
        <v>Faisalabad</v>
      </c>
    </row>
    <row r="57">
      <c r="A57" s="10" t="str">
        <f>IFERROR(__xludf.DUMMYFUNCTION("""COMPUTED_VALUE"""),"Faisalabad")</f>
        <v>Faisalabad</v>
      </c>
      <c r="B57" s="10" t="str">
        <f>IFERROR(__xludf.DUMMYFUNCTION("""COMPUTED_VALUE"""),"gghzz")</f>
        <v>gghzz</v>
      </c>
      <c r="C57" s="10" t="str">
        <f>IFERROR(__xludf.DUMMYFUNCTION("""COMPUTED_VALUE"""),"Jamia Masjid Markazi Toba Tak Sing")</f>
        <v>Jamia Masjid Markazi Toba Tak Sing</v>
      </c>
      <c r="D57" s="10" t="str">
        <f>IFERROR(__xludf.DUMMYFUNCTION("""COMPUTED_VALUE"""),"10/25/24 5:01")</f>
        <v>10/25/24 5:01</v>
      </c>
      <c r="E57" s="10" t="str">
        <f>IFERROR(__xludf.DUMMYFUNCTION("""COMPUTED_VALUE"""),"Control")</f>
        <v>Control</v>
      </c>
      <c r="F57" s="10" t="str">
        <f>IFERROR(__xludf.DUMMYFUNCTION("""COMPUTED_VALUE"""),"Faisalabad")</f>
        <v>Faisalabad</v>
      </c>
    </row>
    <row r="58">
      <c r="A58" s="10" t="str">
        <f>IFERROR(__xludf.DUMMYFUNCTION("""COMPUTED_VALUE"""),"Faisalabad")</f>
        <v>Faisalabad</v>
      </c>
      <c r="B58" s="10" t="str">
        <f>IFERROR(__xludf.DUMMYFUNCTION("""COMPUTED_VALUE"""),"rtcpq")</f>
        <v>rtcpq</v>
      </c>
      <c r="C58" s="10" t="str">
        <f>IFERROR(__xludf.DUMMYFUNCTION("""COMPUTED_VALUE"""),"Jamia Masjid Ghala Mandi Gojara")</f>
        <v>Jamia Masjid Ghala Mandi Gojara</v>
      </c>
      <c r="D58" s="10" t="str">
        <f>IFERROR(__xludf.DUMMYFUNCTION("""COMPUTED_VALUE"""),"10/25/24 5:53")</f>
        <v>10/25/24 5:53</v>
      </c>
      <c r="E58" s="10" t="str">
        <f>IFERROR(__xludf.DUMMYFUNCTION("""COMPUTED_VALUE"""),"Community Religious Info Share")</f>
        <v>Community Religious Info Share</v>
      </c>
      <c r="F58" s="10" t="str">
        <f>IFERROR(__xludf.DUMMYFUNCTION("""COMPUTED_VALUE"""),"Faisalabad")</f>
        <v>Faisalabad</v>
      </c>
    </row>
    <row r="59">
      <c r="A59" s="10" t="str">
        <f>IFERROR(__xludf.DUMMYFUNCTION("""COMPUTED_VALUE"""),"Faisalabad")</f>
        <v>Faisalabad</v>
      </c>
      <c r="B59" s="10" t="str">
        <f>IFERROR(__xludf.DUMMYFUNCTION("""COMPUTED_VALUE"""),"kyzwa")</f>
        <v>kyzwa</v>
      </c>
      <c r="C59" s="10" t="str">
        <f>IFERROR(__xludf.DUMMYFUNCTION("""COMPUTED_VALUE"""),"Jamia Masjid Darbar Noor Shah Wali Faisalabad")</f>
        <v>Jamia Masjid Darbar Noor Shah Wali Faisalabad</v>
      </c>
      <c r="D59" s="10" t="str">
        <f>IFERROR(__xludf.DUMMYFUNCTION("""COMPUTED_VALUE"""),"10/25/24 6:10")</f>
        <v>10/25/24 6:10</v>
      </c>
      <c r="E59" s="10" t="str">
        <f>IFERROR(__xludf.DUMMYFUNCTION("""COMPUTED_VALUE"""),"Women Secular No Info Share")</f>
        <v>Women Secular No Info Share</v>
      </c>
      <c r="F59" s="10" t="str">
        <f>IFERROR(__xludf.DUMMYFUNCTION("""COMPUTED_VALUE"""),"Faisalabad")</f>
        <v>Faisalabad</v>
      </c>
    </row>
    <row r="60">
      <c r="A60" s="10" t="str">
        <f>IFERROR(__xludf.DUMMYFUNCTION("""COMPUTED_VALUE"""),"Faisalabad")</f>
        <v>Faisalabad</v>
      </c>
      <c r="B60" s="10" t="str">
        <f>IFERROR(__xludf.DUMMYFUNCTION("""COMPUTED_VALUE"""),"rdzla")</f>
        <v>rdzla</v>
      </c>
      <c r="C60" s="10" t="str">
        <f>IFERROR(__xludf.DUMMYFUNCTION("""COMPUTED_VALUE"""),"Jamia Masjid Rehmaniya Ali Town Sargodha Road Faisalabad")</f>
        <v>Jamia Masjid Rehmaniya Ali Town Sargodha Road Faisalabad</v>
      </c>
      <c r="D60" s="10" t="str">
        <f>IFERROR(__xludf.DUMMYFUNCTION("""COMPUTED_VALUE"""),"10/25/24 7:44")</f>
        <v>10/25/24 7:44</v>
      </c>
      <c r="E60" s="10" t="str">
        <f>IFERROR(__xludf.DUMMYFUNCTION("""COMPUTED_VALUE"""),"Community Religious No Info Share")</f>
        <v>Community Religious No Info Share</v>
      </c>
      <c r="F60" s="10" t="str">
        <f>IFERROR(__xludf.DUMMYFUNCTION("""COMPUTED_VALUE"""),"Faisalabad")</f>
        <v>Faisalabad</v>
      </c>
    </row>
    <row r="61">
      <c r="A61" s="10" t="str">
        <f>IFERROR(__xludf.DUMMYFUNCTION("""COMPUTED_VALUE"""),"Faisalabad")</f>
        <v>Faisalabad</v>
      </c>
      <c r="B61" s="10" t="str">
        <f>IFERROR(__xludf.DUMMYFUNCTION("""COMPUTED_VALUE"""),"cmwps")</f>
        <v>cmwps</v>
      </c>
      <c r="C61" s="10" t="str">
        <f>IFERROR(__xludf.DUMMYFUNCTION("""COMPUTED_VALUE"""),"Jamia Masjid Qasimiya Rehmy Shah Faisalabad")</f>
        <v>Jamia Masjid Qasimiya Rehmy Shah Faisalabad</v>
      </c>
      <c r="D61" s="10" t="str">
        <f>IFERROR(__xludf.DUMMYFUNCTION("""COMPUTED_VALUE"""),"10/25/24 7:52")</f>
        <v>10/25/24 7:52</v>
      </c>
      <c r="E61" s="10" t="str">
        <f>IFERROR(__xludf.DUMMYFUNCTION("""COMPUTED_VALUE"""),"Women Secular No Info Share")</f>
        <v>Women Secular No Info Share</v>
      </c>
      <c r="F61" s="10" t="str">
        <f>IFERROR(__xludf.DUMMYFUNCTION("""COMPUTED_VALUE"""),"Faisalabad")</f>
        <v>Faisalabad</v>
      </c>
    </row>
    <row r="62">
      <c r="A62" s="10" t="str">
        <f>IFERROR(__xludf.DUMMYFUNCTION("""COMPUTED_VALUE"""),"Faisalabad")</f>
        <v>Faisalabad</v>
      </c>
      <c r="B62" s="10" t="str">
        <f>IFERROR(__xludf.DUMMYFUNCTION("""COMPUTED_VALUE"""),"rymqe")</f>
        <v>rymqe</v>
      </c>
      <c r="C62" s="10" t="str">
        <f>IFERROR(__xludf.DUMMYFUNCTION("""COMPUTED_VALUE"""),"Jamia Masjid Darbar Nathu Shah Sharazi Faisalabad")</f>
        <v>Jamia Masjid Darbar Nathu Shah Sharazi Faisalabad</v>
      </c>
      <c r="D62" s="10" t="str">
        <f>IFERROR(__xludf.DUMMYFUNCTION("""COMPUTED_VALUE"""),"10/25/24 8:09")</f>
        <v>10/25/24 8:09</v>
      </c>
      <c r="E62" s="10" t="str">
        <f>IFERROR(__xludf.DUMMYFUNCTION("""COMPUTED_VALUE"""),"Community Religious No Info Share")</f>
        <v>Community Religious No Info Share</v>
      </c>
      <c r="F62" s="10" t="str">
        <f>IFERROR(__xludf.DUMMYFUNCTION("""COMPUTED_VALUE"""),"Faisalabad")</f>
        <v>Faisalabad</v>
      </c>
    </row>
    <row r="63">
      <c r="A63" s="10" t="str">
        <f>IFERROR(__xludf.DUMMYFUNCTION("""COMPUTED_VALUE"""),"Faisalabad")</f>
        <v>Faisalabad</v>
      </c>
      <c r="B63" s="10" t="str">
        <f>IFERROR(__xludf.DUMMYFUNCTION("""COMPUTED_VALUE"""),"xjphu")</f>
        <v>xjphu</v>
      </c>
      <c r="C63" s="10" t="str">
        <f>IFERROR(__xludf.DUMMYFUNCTION("""COMPUTED_VALUE"""),"Jamia Masjid Darbar Rung Ali Sarkar Faisalabad")</f>
        <v>Jamia Masjid Darbar Rung Ali Sarkar Faisalabad</v>
      </c>
      <c r="D63" s="10" t="str">
        <f>IFERROR(__xludf.DUMMYFUNCTION("""COMPUTED_VALUE"""),"10/26/24 3:25")</f>
        <v>10/26/24 3:25</v>
      </c>
      <c r="E63" s="10" t="str">
        <f>IFERROR(__xludf.DUMMYFUNCTION("""COMPUTED_VALUE"""),"Women Secular Info Share")</f>
        <v>Women Secular Info Share</v>
      </c>
      <c r="F63" s="10" t="str">
        <f>IFERROR(__xludf.DUMMYFUNCTION("""COMPUTED_VALUE"""),"Faisalabad")</f>
        <v>Faisalabad</v>
      </c>
    </row>
    <row r="64">
      <c r="A64" s="10" t="str">
        <f>IFERROR(__xludf.DUMMYFUNCTION("""COMPUTED_VALUE"""),"Faisalabad")</f>
        <v>Faisalabad</v>
      </c>
      <c r="B64" s="10" t="str">
        <f>IFERROR(__xludf.DUMMYFUNCTION("""COMPUTED_VALUE"""),"yxvut")</f>
        <v>yxvut</v>
      </c>
      <c r="C64" s="10" t="str">
        <f>IFERROR(__xludf.DUMMYFUNCTION("""COMPUTED_VALUE"""),"Jamia Masjid Taleem Ul Quran Gojara")</f>
        <v>Jamia Masjid Taleem Ul Quran Gojara</v>
      </c>
      <c r="D64" s="330">
        <f>IFERROR(__xludf.DUMMYFUNCTION("""COMPUTED_VALUE"""),45302.21319444444)</f>
        <v>45302.21319</v>
      </c>
      <c r="E64" s="10" t="str">
        <f>IFERROR(__xludf.DUMMYFUNCTION("""COMPUTED_VALUE"""),"Women Secular No Info Share")</f>
        <v>Women Secular No Info Share</v>
      </c>
      <c r="F64" s="10" t="str">
        <f>IFERROR(__xludf.DUMMYFUNCTION("""COMPUTED_VALUE"""),"Faisalabad")</f>
        <v>Faisalabad</v>
      </c>
    </row>
    <row r="65">
      <c r="A65" s="10" t="str">
        <f>IFERROR(__xludf.DUMMYFUNCTION("""COMPUTED_VALUE"""),"Faisalabad")</f>
        <v>Faisalabad</v>
      </c>
      <c r="B65" s="10" t="str">
        <f>IFERROR(__xludf.DUMMYFUNCTION("""COMPUTED_VALUE"""),"kamrb")</f>
        <v>kamrb</v>
      </c>
      <c r="C65" s="10" t="str">
        <f>IFERROR(__xludf.DUMMYFUNCTION("""COMPUTED_VALUE"""),"Jamia Masjid 273 Rai Chak Faisalabad")</f>
        <v>Jamia Masjid 273 Rai Chak Faisalabad</v>
      </c>
      <c r="D65" s="330">
        <f>IFERROR(__xludf.DUMMYFUNCTION("""COMPUTED_VALUE"""),45302.25902777778)</f>
        <v>45302.25903</v>
      </c>
      <c r="E65" s="10" t="str">
        <f>IFERROR(__xludf.DUMMYFUNCTION("""COMPUTED_VALUE"""),"Control")</f>
        <v>Control</v>
      </c>
      <c r="F65" s="10" t="str">
        <f>IFERROR(__xludf.DUMMYFUNCTION("""COMPUTED_VALUE"""),"Faisalabad")</f>
        <v>Faisalabad</v>
      </c>
    </row>
    <row r="66">
      <c r="A66" s="10" t="str">
        <f>IFERROR(__xludf.DUMMYFUNCTION("""COMPUTED_VALUE"""),"Faisalabad")</f>
        <v>Faisalabad</v>
      </c>
      <c r="B66" s="10" t="str">
        <f>IFERROR(__xludf.DUMMYFUNCTION("""COMPUTED_VALUE"""),"ulfco")</f>
        <v>ulfco</v>
      </c>
      <c r="C66" s="10" t="str">
        <f>IFERROR(__xludf.DUMMYFUNCTION("""COMPUTED_VALUE"""),"Jamia Masjid Muhammadiya Qasim Bazar Faisalabad")</f>
        <v>Jamia Masjid Muhammadiya Qasim Bazar Faisalabad</v>
      </c>
      <c r="D66" s="330">
        <f>IFERROR(__xludf.DUMMYFUNCTION("""COMPUTED_VALUE"""),45484.03194444445)</f>
        <v>45484.03194</v>
      </c>
      <c r="E66" s="10" t="str">
        <f>IFERROR(__xludf.DUMMYFUNCTION("""COMPUTED_VALUE"""),"Women Religious No Info Share")</f>
        <v>Women Religious No Info Share</v>
      </c>
      <c r="F66" s="10" t="str">
        <f>IFERROR(__xludf.DUMMYFUNCTION("""COMPUTED_VALUE"""),"Faisalabad")</f>
        <v>Faisalabad</v>
      </c>
    </row>
    <row r="67">
      <c r="A67" s="10" t="str">
        <f>IFERROR(__xludf.DUMMYFUNCTION("""COMPUTED_VALUE"""),"Gujrat")</f>
        <v>Gujrat</v>
      </c>
      <c r="B67" s="10" t="str">
        <f>IFERROR(__xludf.DUMMYFUNCTION("""COMPUTED_VALUE"""),"eckcl")</f>
        <v>eckcl</v>
      </c>
      <c r="C67" s="10" t="str">
        <f>IFERROR(__xludf.DUMMYFUNCTION("""COMPUTED_VALUE"""),"Jamia Masjid Shah Hussain Gujrat")</f>
        <v>Jamia Masjid Shah Hussain Gujrat</v>
      </c>
      <c r="D67" s="330">
        <f>IFERROR(__xludf.DUMMYFUNCTION("""COMPUTED_VALUE"""),45455.188888888886)</f>
        <v>45455.18889</v>
      </c>
      <c r="E67" s="10" t="str">
        <f>IFERROR(__xludf.DUMMYFUNCTION("""COMPUTED_VALUE"""),"Community Religious Info Share")</f>
        <v>Community Religious Info Share</v>
      </c>
      <c r="F67" s="10" t="str">
        <f>IFERROR(__xludf.DUMMYFUNCTION("""COMPUTED_VALUE"""),"Gujrat")</f>
        <v>Gujrat</v>
      </c>
    </row>
    <row r="68">
      <c r="A68" s="10" t="str">
        <f>IFERROR(__xludf.DUMMYFUNCTION("""COMPUTED_VALUE"""),"Gujrat")</f>
        <v>Gujrat</v>
      </c>
      <c r="B68" s="10" t="str">
        <f>IFERROR(__xludf.DUMMYFUNCTION("""COMPUTED_VALUE"""),"zmbiv")</f>
        <v>zmbiv</v>
      </c>
      <c r="C68" s="10" t="str">
        <f>IFERROR(__xludf.DUMMYFUNCTION("""COMPUTED_VALUE"""),"Jamia Masjid Ale Sunnat Main Bazar Malakwaal")</f>
        <v>Jamia Masjid Ale Sunnat Main Bazar Malakwaal</v>
      </c>
      <c r="D68" s="330">
        <f>IFERROR(__xludf.DUMMYFUNCTION("""COMPUTED_VALUE"""),45455.20138888889)</f>
        <v>45455.20139</v>
      </c>
      <c r="E68" s="10" t="str">
        <f>IFERROR(__xludf.DUMMYFUNCTION("""COMPUTED_VALUE"""),"Community Secular Info Share")</f>
        <v>Community Secular Info Share</v>
      </c>
      <c r="F68" s="10" t="str">
        <f>IFERROR(__xludf.DUMMYFUNCTION("""COMPUTED_VALUE"""),"Gujrat")</f>
        <v>Gujrat</v>
      </c>
    </row>
    <row r="69">
      <c r="A69" s="10" t="str">
        <f>IFERROR(__xludf.DUMMYFUNCTION("""COMPUTED_VALUE"""),"Gujrat")</f>
        <v>Gujrat</v>
      </c>
      <c r="B69" s="10" t="str">
        <f>IFERROR(__xludf.DUMMYFUNCTION("""COMPUTED_VALUE"""),"sxnpd")</f>
        <v>sxnpd</v>
      </c>
      <c r="C69" s="10" t="str">
        <f>IFERROR(__xludf.DUMMYFUNCTION("""COMPUTED_VALUE"""),"Jamia Masjid Darbar Sain Karam Elahe Gujrat")</f>
        <v>Jamia Masjid Darbar Sain Karam Elahe Gujrat</v>
      </c>
      <c r="D69" s="330">
        <f>IFERROR(__xludf.DUMMYFUNCTION("""COMPUTED_VALUE"""),45455.20208333333)</f>
        <v>45455.20208</v>
      </c>
      <c r="E69" s="10" t="str">
        <f>IFERROR(__xludf.DUMMYFUNCTION("""COMPUTED_VALUE"""),"Community Secular Info Share")</f>
        <v>Community Secular Info Share</v>
      </c>
      <c r="F69" s="10" t="str">
        <f>IFERROR(__xludf.DUMMYFUNCTION("""COMPUTED_VALUE"""),"Gujrat")</f>
        <v>Gujrat</v>
      </c>
    </row>
    <row r="70">
      <c r="A70" s="10" t="str">
        <f>IFERROR(__xludf.DUMMYFUNCTION("""COMPUTED_VALUE"""),"Gujrat")</f>
        <v>Gujrat</v>
      </c>
      <c r="B70" s="10" t="str">
        <f>IFERROR(__xludf.DUMMYFUNCTION("""COMPUTED_VALUE"""),"qvdjf")</f>
        <v>qvdjf</v>
      </c>
      <c r="C70" s="10" t="str">
        <f>IFERROR(__xludf.DUMMYFUNCTION("""COMPUTED_VALUE"""),"Jamia Masjid Haji Muhammad Din Gujrat")</f>
        <v>Jamia Masjid Haji Muhammad Din Gujrat</v>
      </c>
      <c r="D70" s="330">
        <f>IFERROR(__xludf.DUMMYFUNCTION("""COMPUTED_VALUE"""),45455.20486111111)</f>
        <v>45455.20486</v>
      </c>
      <c r="E70" s="10" t="str">
        <f>IFERROR(__xludf.DUMMYFUNCTION("""COMPUTED_VALUE"""),"Control")</f>
        <v>Control</v>
      </c>
      <c r="F70" s="10" t="str">
        <f>IFERROR(__xludf.DUMMYFUNCTION("""COMPUTED_VALUE"""),"Gujrat")</f>
        <v>Gujrat</v>
      </c>
    </row>
    <row r="71">
      <c r="A71" s="10" t="str">
        <f>IFERROR(__xludf.DUMMYFUNCTION("""COMPUTED_VALUE"""),"Gujrat")</f>
        <v>Gujrat</v>
      </c>
      <c r="B71" s="10" t="str">
        <f>IFERROR(__xludf.DUMMYFUNCTION("""COMPUTED_VALUE"""),"xyhje")</f>
        <v>xyhje</v>
      </c>
      <c r="C71" s="10" t="str">
        <f>IFERROR(__xludf.DUMMYFUNCTION("""COMPUTED_VALUE"""),"Jamia Masjid Ghousia Chowk Pakistan Gujrat")</f>
        <v>Jamia Masjid Ghousia Chowk Pakistan Gujrat</v>
      </c>
      <c r="D71" s="330">
        <f>IFERROR(__xludf.DUMMYFUNCTION("""COMPUTED_VALUE"""),45455.22222222222)</f>
        <v>45455.22222</v>
      </c>
      <c r="E71" s="10" t="str">
        <f>IFERROR(__xludf.DUMMYFUNCTION("""COMPUTED_VALUE"""),"Women Secular No Info Share")</f>
        <v>Women Secular No Info Share</v>
      </c>
      <c r="F71" s="10" t="str">
        <f>IFERROR(__xludf.DUMMYFUNCTION("""COMPUTED_VALUE"""),"Gujrat")</f>
        <v>Gujrat</v>
      </c>
    </row>
    <row r="72">
      <c r="A72" s="10" t="str">
        <f>IFERROR(__xludf.DUMMYFUNCTION("""COMPUTED_VALUE"""),"Gujrat")</f>
        <v>Gujrat</v>
      </c>
      <c r="B72" s="10" t="str">
        <f>IFERROR(__xludf.DUMMYFUNCTION("""COMPUTED_VALUE"""),"cnztw")</f>
        <v>cnztw</v>
      </c>
      <c r="C72" s="10" t="str">
        <f>IFERROR(__xludf.DUMMYFUNCTION("""COMPUTED_VALUE"""),"Jamia Masjid Darbar Shah Jahangir Gujrat")</f>
        <v>Jamia Masjid Darbar Shah Jahangir Gujrat</v>
      </c>
      <c r="D72" s="330">
        <f>IFERROR(__xludf.DUMMYFUNCTION("""COMPUTED_VALUE"""),45455.26180555556)</f>
        <v>45455.26181</v>
      </c>
      <c r="E72" s="10" t="str">
        <f>IFERROR(__xludf.DUMMYFUNCTION("""COMPUTED_VALUE"""),"Community Religious Info Share")</f>
        <v>Community Religious Info Share</v>
      </c>
      <c r="F72" s="10" t="str">
        <f>IFERROR(__xludf.DUMMYFUNCTION("""COMPUTED_VALUE"""),"Gujrat")</f>
        <v>Gujrat</v>
      </c>
    </row>
    <row r="73">
      <c r="A73" s="10" t="str">
        <f>IFERROR(__xludf.DUMMYFUNCTION("""COMPUTED_VALUE"""),"Gujrat")</f>
        <v>Gujrat</v>
      </c>
      <c r="B73" s="10" t="str">
        <f>IFERROR(__xludf.DUMMYFUNCTION("""COMPUTED_VALUE"""),"pgpqm")</f>
        <v>pgpqm</v>
      </c>
      <c r="C73" s="10" t="str">
        <f>IFERROR(__xludf.DUMMYFUNCTION("""COMPUTED_VALUE"""),"Jamia Masjid Darbar Shiekh Ahmad Wali Gujrat")</f>
        <v>Jamia Masjid Darbar Shiekh Ahmad Wali Gujrat</v>
      </c>
      <c r="D73" s="330">
        <f>IFERROR(__xludf.DUMMYFUNCTION("""COMPUTED_VALUE"""),45455.263194444444)</f>
        <v>45455.26319</v>
      </c>
      <c r="E73" s="10" t="str">
        <f>IFERROR(__xludf.DUMMYFUNCTION("""COMPUTED_VALUE"""),"Community Secular No Info Share")</f>
        <v>Community Secular No Info Share</v>
      </c>
      <c r="F73" s="10" t="str">
        <f>IFERROR(__xludf.DUMMYFUNCTION("""COMPUTED_VALUE"""),"Gujrat")</f>
        <v>Gujrat</v>
      </c>
    </row>
    <row r="74">
      <c r="A74" s="10" t="str">
        <f>IFERROR(__xludf.DUMMYFUNCTION("""COMPUTED_VALUE"""),"Gujrat")</f>
        <v>Gujrat</v>
      </c>
      <c r="B74" s="10" t="str">
        <f>IFERROR(__xludf.DUMMYFUNCTION("""COMPUTED_VALUE"""),"ipmee")</f>
        <v>ipmee</v>
      </c>
      <c r="C74" s="10" t="str">
        <f>IFERROR(__xludf.DUMMYFUNCTION("""COMPUTED_VALUE"""),"Jamia Masjid Mandi Bhaludin")</f>
        <v>Jamia Masjid Mandi Bhaludin</v>
      </c>
      <c r="D74" s="330">
        <f>IFERROR(__xludf.DUMMYFUNCTION("""COMPUTED_VALUE"""),45455.3625)</f>
        <v>45455.3625</v>
      </c>
      <c r="E74" s="10" t="str">
        <f>IFERROR(__xludf.DUMMYFUNCTION("""COMPUTED_VALUE"""),"Control")</f>
        <v>Control</v>
      </c>
      <c r="F74" s="10" t="str">
        <f>IFERROR(__xludf.DUMMYFUNCTION("""COMPUTED_VALUE"""),"Gujrat")</f>
        <v>Gujrat</v>
      </c>
    </row>
    <row r="75">
      <c r="A75" s="10" t="str">
        <f>IFERROR(__xludf.DUMMYFUNCTION("""COMPUTED_VALUE"""),"Gujrat")</f>
        <v>Gujrat</v>
      </c>
      <c r="B75" s="10" t="str">
        <f>IFERROR(__xludf.DUMMYFUNCTION("""COMPUTED_VALUE"""),"homvr")</f>
        <v>homvr</v>
      </c>
      <c r="C75" s="10" t="str">
        <f>IFERROR(__xludf.DUMMYFUNCTION("""COMPUTED_VALUE"""),"Jamia Masjid Dars Jhulana Mandi Bahauddin")</f>
        <v>Jamia Masjid Dars Jhulana Mandi Bahauddin</v>
      </c>
      <c r="D75" s="330">
        <f>IFERROR(__xludf.DUMMYFUNCTION("""COMPUTED_VALUE"""),45455.368055555555)</f>
        <v>45455.36806</v>
      </c>
      <c r="E75" s="10" t="str">
        <f>IFERROR(__xludf.DUMMYFUNCTION("""COMPUTED_VALUE"""),"Community Religious Info Share")</f>
        <v>Community Religious Info Share</v>
      </c>
      <c r="F75" s="10" t="str">
        <f>IFERROR(__xludf.DUMMYFUNCTION("""COMPUTED_VALUE"""),"Gujrat")</f>
        <v>Gujrat</v>
      </c>
    </row>
    <row r="76">
      <c r="A76" s="10" t="str">
        <f>IFERROR(__xludf.DUMMYFUNCTION("""COMPUTED_VALUE"""),"Gujrat")</f>
        <v>Gujrat</v>
      </c>
      <c r="B76" s="10" t="str">
        <f>IFERROR(__xludf.DUMMYFUNCTION("""COMPUTED_VALUE"""),"wrtan")</f>
        <v>wrtan</v>
      </c>
      <c r="C76" s="10" t="str">
        <f>IFERROR(__xludf.DUMMYFUNCTION("""COMPUTED_VALUE"""),"Jamia Masjid Darbar Nagy Shah Gujrat")</f>
        <v>Jamia Masjid Darbar Nagy Shah Gujrat</v>
      </c>
      <c r="D76" s="330">
        <f>IFERROR(__xludf.DUMMYFUNCTION("""COMPUTED_VALUE"""),45455.38055555556)</f>
        <v>45455.38056</v>
      </c>
      <c r="E76" s="10" t="str">
        <f>IFERROR(__xludf.DUMMYFUNCTION("""COMPUTED_VALUE"""),"Control")</f>
        <v>Control</v>
      </c>
      <c r="F76" s="10" t="str">
        <f>IFERROR(__xludf.DUMMYFUNCTION("""COMPUTED_VALUE"""),"Gujrat")</f>
        <v>Gujrat</v>
      </c>
    </row>
    <row r="77">
      <c r="A77" s="10" t="str">
        <f>IFERROR(__xludf.DUMMYFUNCTION("""COMPUTED_VALUE"""),"Gujrat")</f>
        <v>Gujrat</v>
      </c>
      <c r="B77" s="10" t="str">
        <f>IFERROR(__xludf.DUMMYFUNCTION("""COMPUTED_VALUE"""),"kmbbm")</f>
        <v>kmbbm</v>
      </c>
      <c r="C77" s="10" t="str">
        <f>IFERROR(__xludf.DUMMYFUNCTION("""COMPUTED_VALUE"""),"Jamia Masjid Darbr Muhri Shareef Gujrat")</f>
        <v>Jamia Masjid Darbr Muhri Shareef Gujrat</v>
      </c>
      <c r="D77" s="330">
        <f>IFERROR(__xludf.DUMMYFUNCTION("""COMPUTED_VALUE"""),45455.40833333333)</f>
        <v>45455.40833</v>
      </c>
      <c r="E77" s="10" t="str">
        <f>IFERROR(__xludf.DUMMYFUNCTION("""COMPUTED_VALUE"""),"Control")</f>
        <v>Control</v>
      </c>
      <c r="F77" s="10" t="str">
        <f>IFERROR(__xludf.DUMMYFUNCTION("""COMPUTED_VALUE"""),"Gujrat")</f>
        <v>Gujrat</v>
      </c>
    </row>
    <row r="78">
      <c r="A78" s="10" t="str">
        <f>IFERROR(__xludf.DUMMYFUNCTION("""COMPUTED_VALUE"""),"Gujrat")</f>
        <v>Gujrat</v>
      </c>
      <c r="B78" s="10" t="str">
        <f>IFERROR(__xludf.DUMMYFUNCTION("""COMPUTED_VALUE"""),"qaqid")</f>
        <v>qaqid</v>
      </c>
      <c r="C78" s="10" t="str">
        <f>IFERROR(__xludf.DUMMYFUNCTION("""COMPUTED_VALUE"""),"Jamia Masjid Darbar Shah Dhola Gujrat")</f>
        <v>Jamia Masjid Darbar Shah Dhola Gujrat</v>
      </c>
      <c r="D78" s="330">
        <f>IFERROR(__xludf.DUMMYFUNCTION("""COMPUTED_VALUE"""),45485.27361111111)</f>
        <v>45485.27361</v>
      </c>
      <c r="E78" s="10" t="str">
        <f>IFERROR(__xludf.DUMMYFUNCTION("""COMPUTED_VALUE"""),"Control")</f>
        <v>Control</v>
      </c>
      <c r="F78" s="10" t="str">
        <f>IFERROR(__xludf.DUMMYFUNCTION("""COMPUTED_VALUE"""),"Gujrat")</f>
        <v>Gujrat</v>
      </c>
    </row>
    <row r="79">
      <c r="A79" s="10" t="str">
        <f>IFERROR(__xludf.DUMMYFUNCTION("""COMPUTED_VALUE"""),"Gujrawala")</f>
        <v>Gujrawala</v>
      </c>
      <c r="B79" s="10" t="str">
        <f>IFERROR(__xludf.DUMMYFUNCTION("""COMPUTED_VALUE"""),"sphkk")</f>
        <v>sphkk</v>
      </c>
      <c r="C79" s="10" t="str">
        <f>IFERROR(__xludf.DUMMYFUNCTION("""COMPUTED_VALUE"""),"Jamia Masjid Unchee Lahori Gate")</f>
        <v>Jamia Masjid Unchee Lahori Gate</v>
      </c>
      <c r="D79" s="330">
        <f>IFERROR(__xludf.DUMMYFUNCTION("""COMPUTED_VALUE"""),45455.12708333333)</f>
        <v>45455.12708</v>
      </c>
      <c r="E79" s="10" t="str">
        <f>IFERROR(__xludf.DUMMYFUNCTION("""COMPUTED_VALUE"""),"Control")</f>
        <v>Control</v>
      </c>
      <c r="F79" s="10" t="str">
        <f>IFERROR(__xludf.DUMMYFUNCTION("""COMPUTED_VALUE"""),"Gujrawala")</f>
        <v>Gujrawala</v>
      </c>
    </row>
    <row r="80">
      <c r="A80" s="10" t="str">
        <f>IFERROR(__xludf.DUMMYFUNCTION("""COMPUTED_VALUE"""),"Gujrawala")</f>
        <v>Gujrawala</v>
      </c>
      <c r="B80" s="10" t="str">
        <f>IFERROR(__xludf.DUMMYFUNCTION("""COMPUTED_VALUE"""),"aovko")</f>
        <v>aovko</v>
      </c>
      <c r="C80" s="10" t="str">
        <f>IFERROR(__xludf.DUMMYFUNCTION("""COMPUTED_VALUE"""),"Jamia Masjid Darbar Gulaab Shah Rasool Langar")</f>
        <v>Jamia Masjid Darbar Gulaab Shah Rasool Langar</v>
      </c>
      <c r="D80" s="330">
        <f>IFERROR(__xludf.DUMMYFUNCTION("""COMPUTED_VALUE"""),45455.19652777778)</f>
        <v>45455.19653</v>
      </c>
      <c r="E80" s="10" t="str">
        <f>IFERROR(__xludf.DUMMYFUNCTION("""COMPUTED_VALUE"""),"Control")</f>
        <v>Control</v>
      </c>
      <c r="F80" s="10" t="str">
        <f>IFERROR(__xludf.DUMMYFUNCTION("""COMPUTED_VALUE"""),"Gujrawala")</f>
        <v>Gujrawala</v>
      </c>
    </row>
    <row r="81">
      <c r="A81" s="10" t="str">
        <f>IFERROR(__xludf.DUMMYFUNCTION("""COMPUTED_VALUE"""),"Gujrawala")</f>
        <v>Gujrawala</v>
      </c>
      <c r="B81" s="10" t="str">
        <f>IFERROR(__xludf.DUMMYFUNCTION("""COMPUTED_VALUE"""),"ougeg")</f>
        <v>ougeg</v>
      </c>
      <c r="C81" s="10" t="str">
        <f>IFERROR(__xludf.DUMMYFUNCTION("""COMPUTED_VALUE"""),"Jamia Masjid Darbar Bari Shah Rehman")</f>
        <v>Jamia Masjid Darbar Bari Shah Rehman</v>
      </c>
      <c r="D81" s="330">
        <f>IFERROR(__xludf.DUMMYFUNCTION("""COMPUTED_VALUE"""),45455.200694444444)</f>
        <v>45455.20069</v>
      </c>
      <c r="E81" s="10" t="str">
        <f>IFERROR(__xludf.DUMMYFUNCTION("""COMPUTED_VALUE"""),"Control")</f>
        <v>Control</v>
      </c>
      <c r="F81" s="10" t="str">
        <f>IFERROR(__xludf.DUMMYFUNCTION("""COMPUTED_VALUE"""),"Gujrawala")</f>
        <v>Gujrawala</v>
      </c>
    </row>
    <row r="82">
      <c r="A82" s="10" t="str">
        <f>IFERROR(__xludf.DUMMYFUNCTION("""COMPUTED_VALUE"""),"Gujrawala")</f>
        <v>Gujrawala</v>
      </c>
      <c r="B82" s="10" t="str">
        <f>IFERROR(__xludf.DUMMYFUNCTION("""COMPUTED_VALUE"""),"ccxyi")</f>
        <v>ccxyi</v>
      </c>
      <c r="C82" s="10" t="str">
        <f>IFERROR(__xludf.DUMMYFUNCTION("""COMPUTED_VALUE"""),"Jamia Masjid Molvi Muhammd Hussain Urdu Bazar")</f>
        <v>Jamia Masjid Molvi Muhammd Hussain Urdu Bazar</v>
      </c>
      <c r="D82" s="330">
        <f>IFERROR(__xludf.DUMMYFUNCTION("""COMPUTED_VALUE"""),45455.20486111111)</f>
        <v>45455.20486</v>
      </c>
      <c r="E82" s="10" t="str">
        <f>IFERROR(__xludf.DUMMYFUNCTION("""COMPUTED_VALUE"""),"Women Secular No Info Share")</f>
        <v>Women Secular No Info Share</v>
      </c>
      <c r="F82" s="10" t="str">
        <f>IFERROR(__xludf.DUMMYFUNCTION("""COMPUTED_VALUE"""),"Gujrawala")</f>
        <v>Gujrawala</v>
      </c>
    </row>
    <row r="83">
      <c r="A83" s="10" t="str">
        <f>IFERROR(__xludf.DUMMYFUNCTION("""COMPUTED_VALUE"""),"Gujrawala")</f>
        <v>Gujrawala</v>
      </c>
      <c r="B83" s="10" t="str">
        <f>IFERROR(__xludf.DUMMYFUNCTION("""COMPUTED_VALUE"""),"bwxoo")</f>
        <v>bwxoo</v>
      </c>
      <c r="C83" s="10" t="str">
        <f>IFERROR(__xludf.DUMMYFUNCTION("""COMPUTED_VALUE"""),"Jamia Masjid Qudsia Rizwaiya Civil Line Gujranwala")</f>
        <v>Jamia Masjid Qudsia Rizwaiya Civil Line Gujranwala</v>
      </c>
      <c r="D83" s="330">
        <f>IFERROR(__xludf.DUMMYFUNCTION("""COMPUTED_VALUE"""),45455.20763888889)</f>
        <v>45455.20764</v>
      </c>
      <c r="E83" s="10" t="str">
        <f>IFERROR(__xludf.DUMMYFUNCTION("""COMPUTED_VALUE"""),"Women Secular Info Share")</f>
        <v>Women Secular Info Share</v>
      </c>
      <c r="F83" s="10" t="str">
        <f>IFERROR(__xludf.DUMMYFUNCTION("""COMPUTED_VALUE"""),"Gujrawala")</f>
        <v>Gujrawala</v>
      </c>
    </row>
    <row r="84">
      <c r="A84" s="10" t="str">
        <f>IFERROR(__xludf.DUMMYFUNCTION("""COMPUTED_VALUE"""),"Gujrawala")</f>
        <v>Gujrawala</v>
      </c>
      <c r="B84" s="10" t="str">
        <f>IFERROR(__xludf.DUMMYFUNCTION("""COMPUTED_VALUE"""),"cvxrs")</f>
        <v>cvxrs</v>
      </c>
      <c r="C84" s="10" t="str">
        <f>IFERROR(__xludf.DUMMYFUNCTION("""COMPUTED_VALUE"""),"Jamia Masjid Chila Gah Sakhi Sarwar Dhoonikal")</f>
        <v>Jamia Masjid Chila Gah Sakhi Sarwar Dhoonikal</v>
      </c>
      <c r="D84" s="330">
        <f>IFERROR(__xludf.DUMMYFUNCTION("""COMPUTED_VALUE"""),45455.209027777775)</f>
        <v>45455.20903</v>
      </c>
      <c r="E84" s="10" t="str">
        <f>IFERROR(__xludf.DUMMYFUNCTION("""COMPUTED_VALUE"""),"Control")</f>
        <v>Control</v>
      </c>
      <c r="F84" s="10" t="str">
        <f>IFERROR(__xludf.DUMMYFUNCTION("""COMPUTED_VALUE"""),"Gujrawala")</f>
        <v>Gujrawala</v>
      </c>
    </row>
    <row r="85">
      <c r="A85" s="10" t="str">
        <f>IFERROR(__xludf.DUMMYFUNCTION("""COMPUTED_VALUE"""),"Gujrawala")</f>
        <v>Gujrawala</v>
      </c>
      <c r="B85" s="10" t="str">
        <f>IFERROR(__xludf.DUMMYFUNCTION("""COMPUTED_VALUE"""),"viexi")</f>
        <v>viexi</v>
      </c>
      <c r="C85" s="10" t="str">
        <f>IFERROR(__xludf.DUMMYFUNCTION("""COMPUTED_VALUE"""),"Jamia Masjid Miya Rehman Hafizabad")</f>
        <v>Jamia Masjid Miya Rehman Hafizabad</v>
      </c>
      <c r="D85" s="10" t="str">
        <f>IFERROR(__xludf.DUMMYFUNCTION("""COMPUTED_VALUE"""),"12/13/24 14:30")</f>
        <v>12/13/24 14:30</v>
      </c>
      <c r="E85" s="10" t="str">
        <f>IFERROR(__xludf.DUMMYFUNCTION("""COMPUTED_VALUE"""),"Women Secular No Info Share")</f>
        <v>Women Secular No Info Share</v>
      </c>
      <c r="F85" s="10" t="str">
        <f>IFERROR(__xludf.DUMMYFUNCTION("""COMPUTED_VALUE"""),"Gujrawala")</f>
        <v>Gujrawala</v>
      </c>
    </row>
    <row r="86">
      <c r="A86" s="10" t="str">
        <f>IFERROR(__xludf.DUMMYFUNCTION("""COMPUTED_VALUE"""),"Gujrawala")</f>
        <v>Gujrawala</v>
      </c>
      <c r="B86" s="10" t="str">
        <f>IFERROR(__xludf.DUMMYFUNCTION("""COMPUTED_VALUE"""),"bjlnr")</f>
        <v>bjlnr</v>
      </c>
      <c r="C86" s="10" t="str">
        <f>IFERROR(__xludf.DUMMYFUNCTION("""COMPUTED_VALUE"""),"Jamia Masjid Darbar Boty Shah Hafizabad")</f>
        <v>Jamia Masjid Darbar Boty Shah Hafizabad</v>
      </c>
      <c r="D86" s="10" t="str">
        <f>IFERROR(__xludf.DUMMYFUNCTION("""COMPUTED_VALUE"""),"12/13/24 16:10")</f>
        <v>12/13/24 16:10</v>
      </c>
      <c r="E86" s="10" t="str">
        <f>IFERROR(__xludf.DUMMYFUNCTION("""COMPUTED_VALUE"""),"Women Religious Info Share")</f>
        <v>Women Religious Info Share</v>
      </c>
      <c r="F86" s="10" t="str">
        <f>IFERROR(__xludf.DUMMYFUNCTION("""COMPUTED_VALUE"""),"Gujrawala")</f>
        <v>Gujrawala</v>
      </c>
    </row>
    <row r="87">
      <c r="A87" s="10" t="str">
        <f>IFERROR(__xludf.DUMMYFUNCTION("""COMPUTED_VALUE"""),"Gujrawala")</f>
        <v>Gujrawala</v>
      </c>
      <c r="B87" s="10" t="str">
        <f>IFERROR(__xludf.DUMMYFUNCTION("""COMPUTED_VALUE"""),"zrxri")</f>
        <v>zrxri</v>
      </c>
      <c r="C87" s="10" t="str">
        <f>IFERROR(__xludf.DUMMYFUNCTION("""COMPUTED_VALUE"""),"Jamia Masjid Farookiya Chowk Pondanwala Gujranwala")</f>
        <v>Jamia Masjid Farookiya Chowk Pondanwala Gujranwala</v>
      </c>
      <c r="D87" s="10" t="str">
        <f>IFERROR(__xludf.DUMMYFUNCTION("""COMPUTED_VALUE"""),"12/20/24 18:45")</f>
        <v>12/20/24 18:45</v>
      </c>
      <c r="E87" s="10" t="str">
        <f>IFERROR(__xludf.DUMMYFUNCTION("""COMPUTED_VALUE"""),"Community Religious Info Share")</f>
        <v>Community Religious Info Share</v>
      </c>
      <c r="F87" s="10" t="str">
        <f>IFERROR(__xludf.DUMMYFUNCTION("""COMPUTED_VALUE"""),"Gujrawala")</f>
        <v>Gujrawala</v>
      </c>
    </row>
    <row r="88">
      <c r="A88" s="10" t="str">
        <f>IFERROR(__xludf.DUMMYFUNCTION("""COMPUTED_VALUE"""),"Jhang")</f>
        <v>Jhang</v>
      </c>
      <c r="B88" s="10" t="str">
        <f>IFERROR(__xludf.DUMMYFUNCTION("""COMPUTED_VALUE"""),"vemox")</f>
        <v>vemox</v>
      </c>
      <c r="C88" s="10" t="str">
        <f>IFERROR(__xludf.DUMMYFUNCTION("""COMPUTED_VALUE"""),"Jamia Masjid Qaziya Nawali Jhang")</f>
        <v>Jamia Masjid Qaziya Nawali Jhang</v>
      </c>
      <c r="D88" s="10" t="str">
        <f>IFERROR(__xludf.DUMMYFUNCTION("""COMPUTED_VALUE"""),"10/18/24 4:41")</f>
        <v>10/18/24 4:41</v>
      </c>
      <c r="E88" s="10" t="str">
        <f>IFERROR(__xludf.DUMMYFUNCTION("""COMPUTED_VALUE"""),"Control")</f>
        <v>Control</v>
      </c>
      <c r="F88" s="10" t="str">
        <f>IFERROR(__xludf.DUMMYFUNCTION("""COMPUTED_VALUE"""),"Jhang")</f>
        <v>Jhang</v>
      </c>
    </row>
    <row r="89">
      <c r="A89" s="10" t="str">
        <f>IFERROR(__xludf.DUMMYFUNCTION("""COMPUTED_VALUE"""),"Jhang")</f>
        <v>Jhang</v>
      </c>
      <c r="B89" s="10" t="str">
        <f>IFERROR(__xludf.DUMMYFUNCTION("""COMPUTED_VALUE"""),"fpyze")</f>
        <v>fpyze</v>
      </c>
      <c r="C89" s="10" t="str">
        <f>IFERROR(__xludf.DUMMYFUNCTION("""COMPUTED_VALUE"""),"Jamia Masjid Noor Shaheed Road Jhang")</f>
        <v>Jamia Masjid Noor Shaheed Road Jhang</v>
      </c>
      <c r="D89" s="10" t="str">
        <f>IFERROR(__xludf.DUMMYFUNCTION("""COMPUTED_VALUE"""),"10/18/24 5:20")</f>
        <v>10/18/24 5:20</v>
      </c>
      <c r="E89" s="10" t="str">
        <f>IFERROR(__xludf.DUMMYFUNCTION("""COMPUTED_VALUE"""),"Community Religious No Info Share")</f>
        <v>Community Religious No Info Share</v>
      </c>
      <c r="F89" s="10" t="str">
        <f>IFERROR(__xludf.DUMMYFUNCTION("""COMPUTED_VALUE"""),"Jhang")</f>
        <v>Jhang</v>
      </c>
    </row>
    <row r="90">
      <c r="A90" s="10" t="str">
        <f>IFERROR(__xludf.DUMMYFUNCTION("""COMPUTED_VALUE"""),"Jhang")</f>
        <v>Jhang</v>
      </c>
      <c r="B90" s="10" t="str">
        <f>IFERROR(__xludf.DUMMYFUNCTION("""COMPUTED_VALUE"""),"vigse")</f>
        <v>vigse</v>
      </c>
      <c r="C90" s="10" t="str">
        <f>IFERROR(__xludf.DUMMYFUNCTION("""COMPUTED_VALUE"""),"Jamia Masjid Darbar Shah Sadaq Nehnang Shorkot")</f>
        <v>Jamia Masjid Darbar Shah Sadaq Nehnang Shorkot</v>
      </c>
      <c r="D90" s="10" t="str">
        <f>IFERROR(__xludf.DUMMYFUNCTION("""COMPUTED_VALUE"""),"10/18/24 5:29")</f>
        <v>10/18/24 5:29</v>
      </c>
      <c r="E90" s="10" t="str">
        <f>IFERROR(__xludf.DUMMYFUNCTION("""COMPUTED_VALUE"""),"Women Religious No Info Share")</f>
        <v>Women Religious No Info Share</v>
      </c>
      <c r="F90" s="10" t="str">
        <f>IFERROR(__xludf.DUMMYFUNCTION("""COMPUTED_VALUE"""),"Jhang")</f>
        <v>Jhang</v>
      </c>
    </row>
    <row r="91">
      <c r="A91" s="10" t="str">
        <f>IFERROR(__xludf.DUMMYFUNCTION("""COMPUTED_VALUE"""),"Jhang")</f>
        <v>Jhang</v>
      </c>
      <c r="B91" s="10" t="str">
        <f>IFERROR(__xludf.DUMMYFUNCTION("""COMPUTED_VALUE"""),"glpfo")</f>
        <v>glpfo</v>
      </c>
      <c r="C91" s="10" t="str">
        <f>IFERROR(__xludf.DUMMYFUNCTION("""COMPUTED_VALUE"""),"Jamia Masjid Ahle Sunnat Wal Jamaat Garh Maharaja Ahumedpur Sial")</f>
        <v>Jamia Masjid Ahle Sunnat Wal Jamaat Garh Maharaja Ahumedpur Sial</v>
      </c>
      <c r="D91" s="10" t="str">
        <f>IFERROR(__xludf.DUMMYFUNCTION("""COMPUTED_VALUE"""),"10/18/24 6:17")</f>
        <v>10/18/24 6:17</v>
      </c>
      <c r="E91" s="10" t="str">
        <f>IFERROR(__xludf.DUMMYFUNCTION("""COMPUTED_VALUE"""),"Women Secular Info Share")</f>
        <v>Women Secular Info Share</v>
      </c>
      <c r="F91" s="10" t="str">
        <f>IFERROR(__xludf.DUMMYFUNCTION("""COMPUTED_VALUE"""),"Jhang")</f>
        <v>Jhang</v>
      </c>
    </row>
    <row r="92">
      <c r="A92" s="10" t="str">
        <f>IFERROR(__xludf.DUMMYFUNCTION("""COMPUTED_VALUE"""),"Jhang")</f>
        <v>Jhang</v>
      </c>
      <c r="B92" s="10" t="str">
        <f>IFERROR(__xludf.DUMMYFUNCTION("""COMPUTED_VALUE"""),"shksd")</f>
        <v>shksd</v>
      </c>
      <c r="C92" s="10" t="str">
        <f>IFERROR(__xludf.DUMMYFUNCTION("""COMPUTED_VALUE"""),"Jamia Masjid Muhammadiya Waqaf Yaseeni Kot Laal Wariyaam Jhang")</f>
        <v>Jamia Masjid Muhammadiya Waqaf Yaseeni Kot Laal Wariyaam Jhang</v>
      </c>
      <c r="D92" s="10" t="str">
        <f>IFERROR(__xludf.DUMMYFUNCTION("""COMPUTED_VALUE"""),"10/18/24 7:09")</f>
        <v>10/18/24 7:09</v>
      </c>
      <c r="E92" s="10" t="str">
        <f>IFERROR(__xludf.DUMMYFUNCTION("""COMPUTED_VALUE"""),"Control")</f>
        <v>Control</v>
      </c>
      <c r="F92" s="10" t="str">
        <f>IFERROR(__xludf.DUMMYFUNCTION("""COMPUTED_VALUE"""),"Jhang")</f>
        <v>Jhang</v>
      </c>
    </row>
    <row r="93">
      <c r="A93" s="10" t="str">
        <f>IFERROR(__xludf.DUMMYFUNCTION("""COMPUTED_VALUE"""),"Jhang")</f>
        <v>Jhang</v>
      </c>
      <c r="B93" s="10" t="str">
        <f>IFERROR(__xludf.DUMMYFUNCTION("""COMPUTED_VALUE"""),"lsqfy")</f>
        <v>lsqfy</v>
      </c>
      <c r="C93" s="10" t="str">
        <f>IFERROR(__xludf.DUMMYFUNCTION("""COMPUTED_VALUE"""),"Jamia Masjid Haji Muhammad Din Shorkot Cant")</f>
        <v>Jamia Masjid Haji Muhammad Din Shorkot Cant</v>
      </c>
      <c r="D93" s="10" t="str">
        <f>IFERROR(__xludf.DUMMYFUNCTION("""COMPUTED_VALUE"""),"10/18/24 10:00")</f>
        <v>10/18/24 10:00</v>
      </c>
      <c r="E93" s="10" t="str">
        <f>IFERROR(__xludf.DUMMYFUNCTION("""COMPUTED_VALUE"""),"Control")</f>
        <v>Control</v>
      </c>
      <c r="F93" s="10" t="str">
        <f>IFERROR(__xludf.DUMMYFUNCTION("""COMPUTED_VALUE"""),"Jhang")</f>
        <v>Jhang</v>
      </c>
    </row>
    <row r="94">
      <c r="A94" s="10" t="str">
        <f>IFERROR(__xludf.DUMMYFUNCTION("""COMPUTED_VALUE"""),"Jhelum")</f>
        <v>Jhelum</v>
      </c>
      <c r="B94" s="10" t="str">
        <f>IFERROR(__xludf.DUMMYFUNCTION("""COMPUTED_VALUE"""),"uvnai")</f>
        <v>uvnai</v>
      </c>
      <c r="C94" s="10" t="str">
        <f>IFERROR(__xludf.DUMMYFUNCTION("""COMPUTED_VALUE"""),"Jamia Masjid afghan Jhelum")</f>
        <v>Jamia Masjid afghan Jhelum</v>
      </c>
      <c r="D94" s="330">
        <f>IFERROR(__xludf.DUMMYFUNCTION("""COMPUTED_VALUE"""),45455.2125)</f>
        <v>45455.2125</v>
      </c>
      <c r="E94" s="10" t="str">
        <f>IFERROR(__xludf.DUMMYFUNCTION("""COMPUTED_VALUE"""),"Women Secular Info Share")</f>
        <v>Women Secular Info Share</v>
      </c>
      <c r="F94" s="10" t="str">
        <f>IFERROR(__xludf.DUMMYFUNCTION("""COMPUTED_VALUE"""),"Jhelum")</f>
        <v>Jhelum</v>
      </c>
    </row>
    <row r="95">
      <c r="A95" s="10" t="str">
        <f>IFERROR(__xludf.DUMMYFUNCTION("""COMPUTED_VALUE"""),"Jhelum")</f>
        <v>Jhelum</v>
      </c>
      <c r="B95" s="10" t="str">
        <f>IFERROR(__xludf.DUMMYFUNCTION("""COMPUTED_VALUE"""),"pxolr")</f>
        <v>pxolr</v>
      </c>
      <c r="C95" s="10" t="str">
        <f>IFERROR(__xludf.DUMMYFUNCTION("""COMPUTED_VALUE"""),"Jamia masjid Hafiz Noor Jhelum")</f>
        <v>Jamia masjid Hafiz Noor Jhelum</v>
      </c>
      <c r="D95" s="330">
        <f>IFERROR(__xludf.DUMMYFUNCTION("""COMPUTED_VALUE"""),45455.22083333333)</f>
        <v>45455.22083</v>
      </c>
      <c r="E95" s="10" t="str">
        <f>IFERROR(__xludf.DUMMYFUNCTION("""COMPUTED_VALUE"""),"Control")</f>
        <v>Control</v>
      </c>
      <c r="F95" s="10" t="str">
        <f>IFERROR(__xludf.DUMMYFUNCTION("""COMPUTED_VALUE"""),"Jhelum")</f>
        <v>Jhelum</v>
      </c>
    </row>
    <row r="96">
      <c r="A96" s="10" t="str">
        <f>IFERROR(__xludf.DUMMYFUNCTION("""COMPUTED_VALUE"""),"Jhelum")</f>
        <v>Jhelum</v>
      </c>
      <c r="B96" s="10" t="str">
        <f>IFERROR(__xludf.DUMMYFUNCTION("""COMPUTED_VALUE"""),"pipxb")</f>
        <v>pipxb</v>
      </c>
      <c r="C96" s="10" t="str">
        <f>IFERROR(__xludf.DUMMYFUNCTION("""COMPUTED_VALUE"""),"Jamia masjid syaden shah shahrazi chakwal")</f>
        <v>Jamia masjid syaden shah shahrazi chakwal</v>
      </c>
      <c r="D96" s="10" t="str">
        <f>IFERROR(__xludf.DUMMYFUNCTION("""COMPUTED_VALUE"""),"12/27/24 15:45")</f>
        <v>12/27/24 15:45</v>
      </c>
      <c r="E96" s="10" t="str">
        <f>IFERROR(__xludf.DUMMYFUNCTION("""COMPUTED_VALUE"""),"Control")</f>
        <v>Control</v>
      </c>
      <c r="F96" s="10" t="str">
        <f>IFERROR(__xludf.DUMMYFUNCTION("""COMPUTED_VALUE"""),"Jhelum")</f>
        <v>Jhelum</v>
      </c>
    </row>
    <row r="97">
      <c r="A97" s="10" t="str">
        <f>IFERROR(__xludf.DUMMYFUNCTION("""COMPUTED_VALUE"""),"Jhelum")</f>
        <v>Jhelum</v>
      </c>
      <c r="B97" s="10" t="str">
        <f>IFERROR(__xludf.DUMMYFUNCTION("""COMPUTED_VALUE"""),"hxszb")</f>
        <v>hxszb</v>
      </c>
      <c r="C97" s="10" t="str">
        <f>IFERROR(__xludf.DUMMYFUNCTION("""COMPUTED_VALUE"""),"Jamia Masjid Eid gah Tala gang chakwal")</f>
        <v>Jamia Masjid Eid gah Tala gang chakwal</v>
      </c>
      <c r="D97" s="10" t="str">
        <f>IFERROR(__xludf.DUMMYFUNCTION("""COMPUTED_VALUE"""),"12/28/24 10:47")</f>
        <v>12/28/24 10:47</v>
      </c>
      <c r="E97" s="10" t="str">
        <f>IFERROR(__xludf.DUMMYFUNCTION("""COMPUTED_VALUE"""),"Control")</f>
        <v>Control</v>
      </c>
      <c r="F97" s="10" t="str">
        <f>IFERROR(__xludf.DUMMYFUNCTION("""COMPUTED_VALUE"""),"Jhelum")</f>
        <v>Jhelum</v>
      </c>
    </row>
    <row r="98">
      <c r="A98" s="10" t="str">
        <f>IFERROR(__xludf.DUMMYFUNCTION("""COMPUTED_VALUE"""),"Khanewal")</f>
        <v>Khanewal</v>
      </c>
      <c r="B98" s="10" t="str">
        <f>IFERROR(__xludf.DUMMYFUNCTION("""COMPUTED_VALUE"""),"dpaxp")</f>
        <v>dpaxp</v>
      </c>
      <c r="C98" s="10" t="str">
        <f>IFERROR(__xludf.DUMMYFUNCTION("""COMPUTED_VALUE"""),"Jamia Masjid Habib Allah Shah Baghdadi Khanewal")</f>
        <v>Jamia Masjid Habib Allah Shah Baghdadi Khanewal</v>
      </c>
      <c r="D98" s="330">
        <f>IFERROR(__xludf.DUMMYFUNCTION("""COMPUTED_VALUE"""),45515.17083333333)</f>
        <v>45515.17083</v>
      </c>
      <c r="E98" s="10" t="str">
        <f>IFERROR(__xludf.DUMMYFUNCTION("""COMPUTED_VALUE"""),"Control")</f>
        <v>Control</v>
      </c>
      <c r="F98" s="10" t="str">
        <f>IFERROR(__xludf.DUMMYFUNCTION("""COMPUTED_VALUE"""),"Khanewal")</f>
        <v>Khanewal</v>
      </c>
    </row>
    <row r="99">
      <c r="A99" s="10" t="str">
        <f>IFERROR(__xludf.DUMMYFUNCTION("""COMPUTED_VALUE"""),"Khanewal")</f>
        <v>Khanewal</v>
      </c>
      <c r="B99" s="10" t="str">
        <f>IFERROR(__xludf.DUMMYFUNCTION("""COMPUTED_VALUE"""),"bgzlc")</f>
        <v>bgzlc</v>
      </c>
      <c r="C99" s="10" t="str">
        <f>IFERROR(__xludf.DUMMYFUNCTION("""COMPUTED_VALUE"""),"Jamia Masjid Allah Daad Trust Jahaniya Khanewal")</f>
        <v>Jamia Masjid Allah Daad Trust Jahaniya Khanewal</v>
      </c>
      <c r="D99" s="330">
        <f>IFERROR(__xludf.DUMMYFUNCTION("""COMPUTED_VALUE"""),45515.183333333334)</f>
        <v>45515.18333</v>
      </c>
      <c r="E99" s="10" t="str">
        <f>IFERROR(__xludf.DUMMYFUNCTION("""COMPUTED_VALUE"""),"Control")</f>
        <v>Control</v>
      </c>
      <c r="F99" s="10" t="str">
        <f>IFERROR(__xludf.DUMMYFUNCTION("""COMPUTED_VALUE"""),"Khanewal")</f>
        <v>Khanewal</v>
      </c>
    </row>
    <row r="100">
      <c r="A100" s="10" t="str">
        <f>IFERROR(__xludf.DUMMYFUNCTION("""COMPUTED_VALUE"""),"Khanewal")</f>
        <v>Khanewal</v>
      </c>
      <c r="B100" s="10" t="str">
        <f>IFERROR(__xludf.DUMMYFUNCTION("""COMPUTED_VALUE"""),"frmfu")</f>
        <v>frmfu</v>
      </c>
      <c r="C100" s="10" t="str">
        <f>IFERROR(__xludf.DUMMYFUNCTION("""COMPUTED_VALUE"""),"Jamia Masjid Markazi Eid Gah Khanewal")</f>
        <v>Jamia Masjid Markazi Eid Gah Khanewal</v>
      </c>
      <c r="D100" s="330">
        <f>IFERROR(__xludf.DUMMYFUNCTION("""COMPUTED_VALUE"""),45515.19513888889)</f>
        <v>45515.19514</v>
      </c>
      <c r="E100" s="10" t="str">
        <f>IFERROR(__xludf.DUMMYFUNCTION("""COMPUTED_VALUE"""),"Women Secular Info Share")</f>
        <v>Women Secular Info Share</v>
      </c>
      <c r="F100" s="10" t="str">
        <f>IFERROR(__xludf.DUMMYFUNCTION("""COMPUTED_VALUE"""),"Khanewal")</f>
        <v>Khanewal</v>
      </c>
    </row>
    <row r="101">
      <c r="A101" s="10" t="str">
        <f>IFERROR(__xludf.DUMMYFUNCTION("""COMPUTED_VALUE"""),"Khanewal")</f>
        <v>Khanewal</v>
      </c>
      <c r="B101" s="10" t="str">
        <f>IFERROR(__xludf.DUMMYFUNCTION("""COMPUTED_VALUE"""),"rtfez")</f>
        <v>rtfez</v>
      </c>
      <c r="C101" s="10" t="str">
        <f>IFERROR(__xludf.DUMMYFUNCTION("""COMPUTED_VALUE"""),"Jamia Masjid Gaalah Mandi Khanewal")</f>
        <v>Jamia Masjid Gaalah Mandi Khanewal</v>
      </c>
      <c r="D101" s="330">
        <f>IFERROR(__xludf.DUMMYFUNCTION("""COMPUTED_VALUE"""),45515.21875)</f>
        <v>45515.21875</v>
      </c>
      <c r="E101" s="10" t="str">
        <f>IFERROR(__xludf.DUMMYFUNCTION("""COMPUTED_VALUE"""),"Women Secular Info Share")</f>
        <v>Women Secular Info Share</v>
      </c>
      <c r="F101" s="10" t="str">
        <f>IFERROR(__xludf.DUMMYFUNCTION("""COMPUTED_VALUE"""),"Khanewal")</f>
        <v>Khanewal</v>
      </c>
    </row>
    <row r="102">
      <c r="A102" s="10" t="str">
        <f>IFERROR(__xludf.DUMMYFUNCTION("""COMPUTED_VALUE"""),"Khanewal")</f>
        <v>Khanewal</v>
      </c>
      <c r="B102" s="10" t="str">
        <f>IFERROR(__xludf.DUMMYFUNCTION("""COMPUTED_VALUE"""),"epjyx")</f>
        <v>epjyx</v>
      </c>
      <c r="C102" s="10" t="str">
        <f>IFERROR(__xludf.DUMMYFUNCTION("""COMPUTED_VALUE"""),"Jamia Masjid Railway Coloney Khanewal")</f>
        <v>Jamia Masjid Railway Coloney Khanewal</v>
      </c>
      <c r="D102" s="330">
        <f>IFERROR(__xludf.DUMMYFUNCTION("""COMPUTED_VALUE"""),45515.22083333333)</f>
        <v>45515.22083</v>
      </c>
      <c r="E102" s="10" t="str">
        <f>IFERROR(__xludf.DUMMYFUNCTION("""COMPUTED_VALUE"""),"Community Religious Info Share")</f>
        <v>Community Religious Info Share</v>
      </c>
      <c r="F102" s="10" t="str">
        <f>IFERROR(__xludf.DUMMYFUNCTION("""COMPUTED_VALUE"""),"Khanewal")</f>
        <v>Khanewal</v>
      </c>
    </row>
    <row r="103">
      <c r="A103" s="10" t="str">
        <f>IFERROR(__xludf.DUMMYFUNCTION("""COMPUTED_VALUE"""),"Khanewal")</f>
        <v>Khanewal</v>
      </c>
      <c r="B103" s="10" t="str">
        <f>IFERROR(__xludf.DUMMYFUNCTION("""COMPUTED_VALUE"""),"usepk")</f>
        <v>usepk</v>
      </c>
      <c r="C103" s="10" t="str">
        <f>IFERROR(__xludf.DUMMYFUNCTION("""COMPUTED_VALUE"""),"Jamia Masjid Darbar Dawood Jahanian")</f>
        <v>Jamia Masjid Darbar Dawood Jahanian</v>
      </c>
      <c r="D103" s="330">
        <f>IFERROR(__xludf.DUMMYFUNCTION("""COMPUTED_VALUE"""),45515.24791666667)</f>
        <v>45515.24792</v>
      </c>
      <c r="E103" s="10" t="str">
        <f>IFERROR(__xludf.DUMMYFUNCTION("""COMPUTED_VALUE"""),"Women Secular No Info Share")</f>
        <v>Women Secular No Info Share</v>
      </c>
      <c r="F103" s="10" t="str">
        <f>IFERROR(__xludf.DUMMYFUNCTION("""COMPUTED_VALUE"""),"Khanewal")</f>
        <v>Khanewal</v>
      </c>
    </row>
    <row r="104">
      <c r="A104" s="10" t="str">
        <f>IFERROR(__xludf.DUMMYFUNCTION("""COMPUTED_VALUE"""),"Khanewal")</f>
        <v>Khanewal</v>
      </c>
      <c r="B104" s="10" t="str">
        <f>IFERROR(__xludf.DUMMYFUNCTION("""COMPUTED_VALUE"""),"xpynm")</f>
        <v>xpynm</v>
      </c>
      <c r="C104" s="10" t="str">
        <f>IFERROR(__xludf.DUMMYFUNCTION("""COMPUTED_VALUE"""),"Jamia Masjid Darbar Hazrat Mian Channu")</f>
        <v>Jamia Masjid Darbar Hazrat Mian Channu</v>
      </c>
      <c r="D104" s="330">
        <f>IFERROR(__xludf.DUMMYFUNCTION("""COMPUTED_VALUE"""),45515.26180555556)</f>
        <v>45515.26181</v>
      </c>
      <c r="E104" s="10" t="str">
        <f>IFERROR(__xludf.DUMMYFUNCTION("""COMPUTED_VALUE"""),"Community Religious No Info Share")</f>
        <v>Community Religious No Info Share</v>
      </c>
      <c r="F104" s="10" t="str">
        <f>IFERROR(__xludf.DUMMYFUNCTION("""COMPUTED_VALUE"""),"Khanewal")</f>
        <v>Khanewal</v>
      </c>
    </row>
    <row r="105">
      <c r="A105" s="10" t="str">
        <f>IFERROR(__xludf.DUMMYFUNCTION("""COMPUTED_VALUE"""),"Khanewal")</f>
        <v>Khanewal</v>
      </c>
      <c r="B105" s="10" t="str">
        <f>IFERROR(__xludf.DUMMYFUNCTION("""COMPUTED_VALUE"""),"otccu")</f>
        <v>otccu</v>
      </c>
      <c r="C105" s="10" t="str">
        <f>IFERROR(__xludf.DUMMYFUNCTION("""COMPUTED_VALUE"""),"Jamia Masjid Kacha Khawa Khanewal")</f>
        <v>Jamia Masjid Kacha Khawa Khanewal</v>
      </c>
      <c r="D105" s="330">
        <f>IFERROR(__xludf.DUMMYFUNCTION("""COMPUTED_VALUE"""),45515.37152777778)</f>
        <v>45515.37153</v>
      </c>
      <c r="E105" s="10" t="str">
        <f>IFERROR(__xludf.DUMMYFUNCTION("""COMPUTED_VALUE"""),"Control")</f>
        <v>Control</v>
      </c>
      <c r="F105" s="10" t="str">
        <f>IFERROR(__xludf.DUMMYFUNCTION("""COMPUTED_VALUE"""),"Khanewal")</f>
        <v>Khanewal</v>
      </c>
    </row>
    <row r="106">
      <c r="A106" s="10" t="str">
        <f>IFERROR(__xludf.DUMMYFUNCTION("""COMPUTED_VALUE"""),"Khanewal")</f>
        <v>Khanewal</v>
      </c>
      <c r="B106" s="10" t="str">
        <f>IFERROR(__xludf.DUMMYFUNCTION("""COMPUTED_VALUE"""),"xdbpy")</f>
        <v>xdbpy</v>
      </c>
      <c r="C106" s="10" t="str">
        <f>IFERROR(__xludf.DUMMYFUNCTION("""COMPUTED_VALUE"""),"Jamia Masjid Naale Wali Lodhran")</f>
        <v>Jamia Masjid Naale Wali Lodhran</v>
      </c>
      <c r="D106" s="330">
        <f>IFERROR(__xludf.DUMMYFUNCTION("""COMPUTED_VALUE"""),45515.38333333333)</f>
        <v>45515.38333</v>
      </c>
      <c r="E106" s="10" t="str">
        <f>IFERROR(__xludf.DUMMYFUNCTION("""COMPUTED_VALUE"""),"Women Religious Info Share")</f>
        <v>Women Religious Info Share</v>
      </c>
      <c r="F106" s="10" t="str">
        <f>IFERROR(__xludf.DUMMYFUNCTION("""COMPUTED_VALUE"""),"Khanewal")</f>
        <v>Khanewal</v>
      </c>
    </row>
    <row r="107">
      <c r="A107" s="10" t="str">
        <f>IFERROR(__xludf.DUMMYFUNCTION("""COMPUTED_VALUE"""),"Khanewal")</f>
        <v>Khanewal</v>
      </c>
      <c r="B107" s="10" t="str">
        <f>IFERROR(__xludf.DUMMYFUNCTION("""COMPUTED_VALUE"""),"xiinw")</f>
        <v>xiinw</v>
      </c>
      <c r="C107" s="10" t="str">
        <f>IFERROR(__xludf.DUMMYFUNCTION("""COMPUTED_VALUE"""),"Jamia Masjid Qazia Nawali Kehror Pakka")</f>
        <v>Jamia Masjid Qazia Nawali Kehror Pakka</v>
      </c>
      <c r="D107" s="330">
        <f>IFERROR(__xludf.DUMMYFUNCTION("""COMPUTED_VALUE"""),45515.441666666666)</f>
        <v>45515.44167</v>
      </c>
      <c r="E107" s="10" t="str">
        <f>IFERROR(__xludf.DUMMYFUNCTION("""COMPUTED_VALUE"""),"Community Secular Info Share")</f>
        <v>Community Secular Info Share</v>
      </c>
      <c r="F107" s="10" t="str">
        <f>IFERROR(__xludf.DUMMYFUNCTION("""COMPUTED_VALUE"""),"Khanewal")</f>
        <v>Khanewal</v>
      </c>
    </row>
    <row r="108">
      <c r="A108" s="10" t="str">
        <f>IFERROR(__xludf.DUMMYFUNCTION("""COMPUTED_VALUE"""),"Khushab")</f>
        <v>Khushab</v>
      </c>
      <c r="B108" s="10" t="str">
        <f>IFERROR(__xludf.DUMMYFUNCTION("""COMPUTED_VALUE"""),"gxkkx")</f>
        <v>gxkkx</v>
      </c>
      <c r="C108" s="10" t="str">
        <f>IFERROR(__xludf.DUMMYFUNCTION("""COMPUTED_VALUE"""),"Jamia Masjid Darbar Badshah Khushab")</f>
        <v>Jamia Masjid Darbar Badshah Khushab</v>
      </c>
      <c r="D108" s="330">
        <f>IFERROR(__xludf.DUMMYFUNCTION("""COMPUTED_VALUE"""),45392.23402777778)</f>
        <v>45392.23403</v>
      </c>
      <c r="E108" s="10" t="str">
        <f>IFERROR(__xludf.DUMMYFUNCTION("""COMPUTED_VALUE"""),"Community Religious Info Share")</f>
        <v>Community Religious Info Share</v>
      </c>
      <c r="F108" s="10" t="str">
        <f>IFERROR(__xludf.DUMMYFUNCTION("""COMPUTED_VALUE"""),"Khushab")</f>
        <v>Khushab</v>
      </c>
    </row>
    <row r="109">
      <c r="A109" s="10" t="str">
        <f>IFERROR(__xludf.DUMMYFUNCTION("""COMPUTED_VALUE"""),"Khushab")</f>
        <v>Khushab</v>
      </c>
      <c r="B109" s="10" t="str">
        <f>IFERROR(__xludf.DUMMYFUNCTION("""COMPUTED_VALUE"""),"bjngp")</f>
        <v>bjngp</v>
      </c>
      <c r="C109" s="10" t="str">
        <f>IFERROR(__xludf.DUMMYFUNCTION("""COMPUTED_VALUE"""),"Jamia Masjid Gulzar Madina Dariya Khan Bhakar")</f>
        <v>Jamia Masjid Gulzar Madina Dariya Khan Bhakar</v>
      </c>
      <c r="D109" s="330">
        <f>IFERROR(__xludf.DUMMYFUNCTION("""COMPUTED_VALUE"""),45392.243055555555)</f>
        <v>45392.24306</v>
      </c>
      <c r="E109" s="10" t="str">
        <f>IFERROR(__xludf.DUMMYFUNCTION("""COMPUTED_VALUE"""),"Control")</f>
        <v>Control</v>
      </c>
      <c r="F109" s="10" t="str">
        <f>IFERROR(__xludf.DUMMYFUNCTION("""COMPUTED_VALUE"""),"Khushab")</f>
        <v>Khushab</v>
      </c>
    </row>
    <row r="110">
      <c r="A110" s="10" t="str">
        <f>IFERROR(__xludf.DUMMYFUNCTION("""COMPUTED_VALUE"""),"Khushab")</f>
        <v>Khushab</v>
      </c>
      <c r="B110" s="10" t="str">
        <f>IFERROR(__xludf.DUMMYFUNCTION("""COMPUTED_VALUE"""),"osgnp")</f>
        <v>osgnp</v>
      </c>
      <c r="C110" s="10" t="str">
        <f>IFERROR(__xludf.DUMMYFUNCTION("""COMPUTED_VALUE"""),"Jamia Masjid Main Bazar Khushab")</f>
        <v>Jamia Masjid Main Bazar Khushab</v>
      </c>
      <c r="D110" s="330">
        <f>IFERROR(__xludf.DUMMYFUNCTION("""COMPUTED_VALUE"""),45392.270833333336)</f>
        <v>45392.27083</v>
      </c>
      <c r="E110" s="10" t="str">
        <f>IFERROR(__xludf.DUMMYFUNCTION("""COMPUTED_VALUE"""),"Control")</f>
        <v>Control</v>
      </c>
      <c r="F110" s="10" t="str">
        <f>IFERROR(__xludf.DUMMYFUNCTION("""COMPUTED_VALUE"""),"Khushab")</f>
        <v>Khushab</v>
      </c>
    </row>
    <row r="111">
      <c r="A111" s="10" t="str">
        <f>IFERROR(__xludf.DUMMYFUNCTION("""COMPUTED_VALUE"""),"Khushab")</f>
        <v>Khushab</v>
      </c>
      <c r="B111" s="10" t="str">
        <f>IFERROR(__xludf.DUMMYFUNCTION("""COMPUTED_VALUE"""),"jiuks")</f>
        <v>jiuks</v>
      </c>
      <c r="C111" s="10" t="str">
        <f>IFERROR(__xludf.DUMMYFUNCTION("""COMPUTED_VALUE"""),"Jamia Masjid Syed Noor Pur Thal")</f>
        <v>Jamia Masjid Syed Noor Pur Thal</v>
      </c>
      <c r="D111" s="330">
        <f>IFERROR(__xludf.DUMMYFUNCTION("""COMPUTED_VALUE"""),45392.294444444444)</f>
        <v>45392.29444</v>
      </c>
      <c r="E111" s="10" t="str">
        <f>IFERROR(__xludf.DUMMYFUNCTION("""COMPUTED_VALUE"""),"Control")</f>
        <v>Control</v>
      </c>
      <c r="F111" s="10" t="str">
        <f>IFERROR(__xludf.DUMMYFUNCTION("""COMPUTED_VALUE"""),"Khushab")</f>
        <v>Khushab</v>
      </c>
    </row>
    <row r="112">
      <c r="A112" s="10" t="str">
        <f>IFERROR(__xludf.DUMMYFUNCTION("""COMPUTED_VALUE"""),"Lahore")</f>
        <v>Lahore</v>
      </c>
      <c r="B112" s="10" t="str">
        <f>IFERROR(__xludf.DUMMYFUNCTION("""COMPUTED_VALUE"""),"zbrwj")</f>
        <v>zbrwj</v>
      </c>
      <c r="C112" s="10" t="str">
        <f>IFERROR(__xludf.DUMMYFUNCTION("""COMPUTED_VALUE"""),"Jamia Masjid Allah Joya Aabkaari Road Lahore")</f>
        <v>Jamia Masjid Allah Joya Aabkaari Road Lahore</v>
      </c>
      <c r="D112" s="10" t="str">
        <f>IFERROR(__xludf.DUMMYFUNCTION("""COMPUTED_VALUE"""),"9/20/24 5:37")</f>
        <v>9/20/24 5:37</v>
      </c>
      <c r="E112" s="10" t="str">
        <f>IFERROR(__xludf.DUMMYFUNCTION("""COMPUTED_VALUE"""),"Community Religious No Info Share")</f>
        <v>Community Religious No Info Share</v>
      </c>
      <c r="F112" s="10" t="str">
        <f>IFERROR(__xludf.DUMMYFUNCTION("""COMPUTED_VALUE"""),"Lahore")</f>
        <v>Lahore</v>
      </c>
    </row>
    <row r="113">
      <c r="A113" s="10" t="str">
        <f>IFERROR(__xludf.DUMMYFUNCTION("""COMPUTED_VALUE"""),"Lahore")</f>
        <v>Lahore</v>
      </c>
      <c r="B113" s="10" t="str">
        <f>IFERROR(__xludf.DUMMYFUNCTION("""COMPUTED_VALUE"""),"kgtfe")</f>
        <v>kgtfe</v>
      </c>
      <c r="C113" s="10" t="str">
        <f>IFERROR(__xludf.DUMMYFUNCTION("""COMPUTED_VALUE"""),"Jamia Masjid Laal Shah Alam Market Lahore")</f>
        <v>Jamia Masjid Laal Shah Alam Market Lahore</v>
      </c>
      <c r="D113" s="10" t="str">
        <f>IFERROR(__xludf.DUMMYFUNCTION("""COMPUTED_VALUE"""),"9/20/24 5:43")</f>
        <v>9/20/24 5:43</v>
      </c>
      <c r="E113" s="10" t="str">
        <f>IFERROR(__xludf.DUMMYFUNCTION("""COMPUTED_VALUE"""),"Control")</f>
        <v>Control</v>
      </c>
      <c r="F113" s="10" t="str">
        <f>IFERROR(__xludf.DUMMYFUNCTION("""COMPUTED_VALUE"""),"Lahore")</f>
        <v>Lahore</v>
      </c>
    </row>
    <row r="114">
      <c r="A114" s="10" t="str">
        <f>IFERROR(__xludf.DUMMYFUNCTION("""COMPUTED_VALUE"""),"Lahore")</f>
        <v>Lahore</v>
      </c>
      <c r="B114" s="10" t="str">
        <f>IFERROR(__xludf.DUMMYFUNCTION("""COMPUTED_VALUE"""),"hswif")</f>
        <v>hswif</v>
      </c>
      <c r="C114" s="10" t="str">
        <f>IFERROR(__xludf.DUMMYFUNCTION("""COMPUTED_VALUE"""),"Jamia Masjid Barkat Bibi Lahore")</f>
        <v>Jamia Masjid Barkat Bibi Lahore</v>
      </c>
      <c r="D114" s="10" t="str">
        <f>IFERROR(__xludf.DUMMYFUNCTION("""COMPUTED_VALUE"""),"9/20/24 5:46")</f>
        <v>9/20/24 5:46</v>
      </c>
      <c r="E114" s="10" t="str">
        <f>IFERROR(__xludf.DUMMYFUNCTION("""COMPUTED_VALUE"""),"Women Religious No Info Share")</f>
        <v>Women Religious No Info Share</v>
      </c>
      <c r="F114" s="10" t="str">
        <f>IFERROR(__xludf.DUMMYFUNCTION("""COMPUTED_VALUE"""),"Lahore")</f>
        <v>Lahore</v>
      </c>
    </row>
    <row r="115">
      <c r="A115" s="10" t="str">
        <f>IFERROR(__xludf.DUMMYFUNCTION("""COMPUTED_VALUE"""),"Lahore")</f>
        <v>Lahore</v>
      </c>
      <c r="B115" s="10" t="str">
        <f>IFERROR(__xludf.DUMMYFUNCTION("""COMPUTED_VALUE"""),"telou")</f>
        <v>telou</v>
      </c>
      <c r="C115" s="10" t="str">
        <f>IFERROR(__xludf.DUMMYFUNCTION("""COMPUTED_VALUE"""),"Jamia Masjid Peshawari Neela Gumbat Lahore")</f>
        <v>Jamia Masjid Peshawari Neela Gumbat Lahore</v>
      </c>
      <c r="D115" s="10" t="str">
        <f>IFERROR(__xludf.DUMMYFUNCTION("""COMPUTED_VALUE"""),"9/20/24 5:51")</f>
        <v>9/20/24 5:51</v>
      </c>
      <c r="E115" s="10" t="str">
        <f>IFERROR(__xludf.DUMMYFUNCTION("""COMPUTED_VALUE"""),"Women Religious No Info Share")</f>
        <v>Women Religious No Info Share</v>
      </c>
      <c r="F115" s="10" t="str">
        <f>IFERROR(__xludf.DUMMYFUNCTION("""COMPUTED_VALUE"""),"Lahore")</f>
        <v>Lahore</v>
      </c>
    </row>
    <row r="116">
      <c r="A116" s="10" t="str">
        <f>IFERROR(__xludf.DUMMYFUNCTION("""COMPUTED_VALUE"""),"Lahore")</f>
        <v>Lahore</v>
      </c>
      <c r="B116" s="10" t="str">
        <f>IFERROR(__xludf.DUMMYFUNCTION("""COMPUTED_VALUE"""),"kkrvm")</f>
        <v>kkrvm</v>
      </c>
      <c r="C116" s="10" t="str">
        <f>IFERROR(__xludf.DUMMYFUNCTION("""COMPUTED_VALUE"""),"Jamia Masjid Neevin Bhati Gate Lahore")</f>
        <v>Jamia Masjid Neevin Bhati Gate Lahore</v>
      </c>
      <c r="D116" s="10" t="str">
        <f>IFERROR(__xludf.DUMMYFUNCTION("""COMPUTED_VALUE"""),"9/20/24 6:03")</f>
        <v>9/20/24 6:03</v>
      </c>
      <c r="E116" s="10" t="str">
        <f>IFERROR(__xludf.DUMMYFUNCTION("""COMPUTED_VALUE"""),"Community Secular No Info Share")</f>
        <v>Community Secular No Info Share</v>
      </c>
      <c r="F116" s="10" t="str">
        <f>IFERROR(__xludf.DUMMYFUNCTION("""COMPUTED_VALUE"""),"Lahore")</f>
        <v>Lahore</v>
      </c>
    </row>
    <row r="117">
      <c r="A117" s="10" t="str">
        <f>IFERROR(__xludf.DUMMYFUNCTION("""COMPUTED_VALUE"""),"Lahore")</f>
        <v>Lahore</v>
      </c>
      <c r="B117" s="10" t="str">
        <f>IFERROR(__xludf.DUMMYFUNCTION("""COMPUTED_VALUE"""),"oiyzt")</f>
        <v>oiyzt</v>
      </c>
      <c r="C117" s="10" t="str">
        <f>IFERROR(__xludf.DUMMYFUNCTION("""COMPUTED_VALUE"""),"Jamia Masjid Abdul Ghani Lahore")</f>
        <v>Jamia Masjid Abdul Ghani Lahore</v>
      </c>
      <c r="D117" s="10" t="str">
        <f>IFERROR(__xludf.DUMMYFUNCTION("""COMPUTED_VALUE"""),"9/20/24 6:13")</f>
        <v>9/20/24 6:13</v>
      </c>
      <c r="E117" s="10" t="str">
        <f>IFERROR(__xludf.DUMMYFUNCTION("""COMPUTED_VALUE"""),"Community Religious No Info Share")</f>
        <v>Community Religious No Info Share</v>
      </c>
      <c r="F117" s="10" t="str">
        <f>IFERROR(__xludf.DUMMYFUNCTION("""COMPUTED_VALUE"""),"Lahore")</f>
        <v>Lahore</v>
      </c>
    </row>
    <row r="118">
      <c r="A118" s="10" t="str">
        <f>IFERROR(__xludf.DUMMYFUNCTION("""COMPUTED_VALUE"""),"Lahore")</f>
        <v>Lahore</v>
      </c>
      <c r="B118" s="10" t="str">
        <f>IFERROR(__xludf.DUMMYFUNCTION("""COMPUTED_VALUE"""),"gnvlx")</f>
        <v>gnvlx</v>
      </c>
      <c r="C118" s="10" t="str">
        <f>IFERROR(__xludf.DUMMYFUNCTION("""COMPUTED_VALUE"""),"Jamia Masjid Shaleha Ghumbo Mochi Gate Lahore")</f>
        <v>Jamia Masjid Shaleha Ghumbo Mochi Gate Lahore</v>
      </c>
      <c r="D118" s="10" t="str">
        <f>IFERROR(__xludf.DUMMYFUNCTION("""COMPUTED_VALUE"""),"9/20/24 6:19")</f>
        <v>9/20/24 6:19</v>
      </c>
      <c r="E118" s="10" t="str">
        <f>IFERROR(__xludf.DUMMYFUNCTION("""COMPUTED_VALUE"""),"Women Religious No Info Share")</f>
        <v>Women Religious No Info Share</v>
      </c>
      <c r="F118" s="10" t="str">
        <f>IFERROR(__xludf.DUMMYFUNCTION("""COMPUTED_VALUE"""),"Lahore")</f>
        <v>Lahore</v>
      </c>
    </row>
    <row r="119">
      <c r="A119" s="10" t="str">
        <f>IFERROR(__xludf.DUMMYFUNCTION("""COMPUTED_VALUE"""),"Lahore")</f>
        <v>Lahore</v>
      </c>
      <c r="B119" s="10" t="str">
        <f>IFERROR(__xludf.DUMMYFUNCTION("""COMPUTED_VALUE"""),"oonhe")</f>
        <v>oonhe</v>
      </c>
      <c r="C119" s="10" t="str">
        <f>IFERROR(__xludf.DUMMYFUNCTION("""COMPUTED_VALUE"""),"Jamia Masjid Bhohaar Wali Lohari Gate Lahore")</f>
        <v>Jamia Masjid Bhohaar Wali Lohari Gate Lahore</v>
      </c>
      <c r="D119" s="10" t="str">
        <f>IFERROR(__xludf.DUMMYFUNCTION("""COMPUTED_VALUE"""),"9/20/24 6:21")</f>
        <v>9/20/24 6:21</v>
      </c>
      <c r="E119" s="10" t="str">
        <f>IFERROR(__xludf.DUMMYFUNCTION("""COMPUTED_VALUE"""),"Community Secular Info Share")</f>
        <v>Community Secular Info Share</v>
      </c>
      <c r="F119" s="10" t="str">
        <f>IFERROR(__xludf.DUMMYFUNCTION("""COMPUTED_VALUE"""),"Lahore")</f>
        <v>Lahore</v>
      </c>
    </row>
    <row r="120">
      <c r="A120" s="10" t="str">
        <f>IFERROR(__xludf.DUMMYFUNCTION("""COMPUTED_VALUE"""),"Lahore")</f>
        <v>Lahore</v>
      </c>
      <c r="B120" s="10" t="str">
        <f>IFERROR(__xludf.DUMMYFUNCTION("""COMPUTED_VALUE"""),"kpwne")</f>
        <v>kpwne</v>
      </c>
      <c r="C120" s="10" t="str">
        <f>IFERROR(__xludf.DUMMYFUNCTION("""COMPUTED_VALUE"""),"Jamia Masjid Mian Karaam Bakhs Pani Wala Talaab Lahore")</f>
        <v>Jamia Masjid Mian Karaam Bakhs Pani Wala Talaab Lahore</v>
      </c>
      <c r="D120" s="10" t="str">
        <f>IFERROR(__xludf.DUMMYFUNCTION("""COMPUTED_VALUE"""),"9/20/24 6:24")</f>
        <v>9/20/24 6:24</v>
      </c>
      <c r="E120" s="10" t="str">
        <f>IFERROR(__xludf.DUMMYFUNCTION("""COMPUTED_VALUE"""),"Control")</f>
        <v>Control</v>
      </c>
      <c r="F120" s="10" t="str">
        <f>IFERROR(__xludf.DUMMYFUNCTION("""COMPUTED_VALUE"""),"Lahore")</f>
        <v>Lahore</v>
      </c>
    </row>
    <row r="121">
      <c r="A121" s="10" t="str">
        <f>IFERROR(__xludf.DUMMYFUNCTION("""COMPUTED_VALUE"""),"Lahore")</f>
        <v>Lahore</v>
      </c>
      <c r="B121" s="10" t="str">
        <f>IFERROR(__xludf.DUMMYFUNCTION("""COMPUTED_VALUE"""),"kscal")</f>
        <v>kscal</v>
      </c>
      <c r="C121" s="10" t="str">
        <f>IFERROR(__xludf.DUMMYFUNCTION("""COMPUTED_VALUE"""),"Jamia Masjid Noor Din Pepal Wehra Lahore")</f>
        <v>Jamia Masjid Noor Din Pepal Wehra Lahore</v>
      </c>
      <c r="D121" s="10" t="str">
        <f>IFERROR(__xludf.DUMMYFUNCTION("""COMPUTED_VALUE"""),"9/20/24 6:29")</f>
        <v>9/20/24 6:29</v>
      </c>
      <c r="E121" s="10" t="str">
        <f>IFERROR(__xludf.DUMMYFUNCTION("""COMPUTED_VALUE"""),"Control")</f>
        <v>Control</v>
      </c>
      <c r="F121" s="10" t="str">
        <f>IFERROR(__xludf.DUMMYFUNCTION("""COMPUTED_VALUE"""),"Lahore")</f>
        <v>Lahore</v>
      </c>
    </row>
    <row r="122">
      <c r="A122" s="10" t="str">
        <f>IFERROR(__xludf.DUMMYFUNCTION("""COMPUTED_VALUE"""),"Lahore")</f>
        <v>Lahore</v>
      </c>
      <c r="B122" s="10" t="str">
        <f>IFERROR(__xludf.DUMMYFUNCTION("""COMPUTED_VALUE"""),"piujl")</f>
        <v>piujl</v>
      </c>
      <c r="C122" s="10" t="str">
        <f>IFERROR(__xludf.DUMMYFUNCTION("""COMPUTED_VALUE"""),"Jamia Masjid Noor Emaan Wali Kashmri Bazar Lahore")</f>
        <v>Jamia Masjid Noor Emaan Wali Kashmri Bazar Lahore</v>
      </c>
      <c r="D122" s="10" t="str">
        <f>IFERROR(__xludf.DUMMYFUNCTION("""COMPUTED_VALUE"""),"9/20/24 6:29")</f>
        <v>9/20/24 6:29</v>
      </c>
      <c r="E122" s="10" t="str">
        <f>IFERROR(__xludf.DUMMYFUNCTION("""COMPUTED_VALUE"""),"Women Religious No Info Share")</f>
        <v>Women Religious No Info Share</v>
      </c>
      <c r="F122" s="10" t="str">
        <f>IFERROR(__xludf.DUMMYFUNCTION("""COMPUTED_VALUE"""),"Lahore")</f>
        <v>Lahore</v>
      </c>
    </row>
    <row r="123">
      <c r="A123" s="10" t="str">
        <f>IFERROR(__xludf.DUMMYFUNCTION("""COMPUTED_VALUE"""),"Lahore")</f>
        <v>Lahore</v>
      </c>
      <c r="B123" s="10" t="str">
        <f>IFERROR(__xludf.DUMMYFUNCTION("""COMPUTED_VALUE"""),"eiuou")</f>
        <v>eiuou</v>
      </c>
      <c r="C123" s="10" t="str">
        <f>IFERROR(__xludf.DUMMYFUNCTION("""COMPUTED_VALUE"""),"Jamia Masjid Chila Gah Tabha Fareed Lahore")</f>
        <v>Jamia Masjid Chila Gah Tabha Fareed Lahore</v>
      </c>
      <c r="D123" s="10" t="str">
        <f>IFERROR(__xludf.DUMMYFUNCTION("""COMPUTED_VALUE"""),"9/20/24 6:34")</f>
        <v>9/20/24 6:34</v>
      </c>
      <c r="E123" s="10" t="str">
        <f>IFERROR(__xludf.DUMMYFUNCTION("""COMPUTED_VALUE"""),"Control")</f>
        <v>Control</v>
      </c>
      <c r="F123" s="10" t="str">
        <f>IFERROR(__xludf.DUMMYFUNCTION("""COMPUTED_VALUE"""),"Lahore")</f>
        <v>Lahore</v>
      </c>
    </row>
    <row r="124">
      <c r="A124" s="10" t="str">
        <f>IFERROR(__xludf.DUMMYFUNCTION("""COMPUTED_VALUE"""),"Lahore")</f>
        <v>Lahore</v>
      </c>
      <c r="B124" s="10" t="str">
        <f>IFERROR(__xludf.DUMMYFUNCTION("""COMPUTED_VALUE"""),"hhhnd")</f>
        <v>hhhnd</v>
      </c>
      <c r="C124" s="10" t="str">
        <f>IFERROR(__xludf.DUMMYFUNCTION("""COMPUTED_VALUE"""),"Jamia Masjid Unchee Laal Kuh Mochi Darwaza Lahore")</f>
        <v>Jamia Masjid Unchee Laal Kuh Mochi Darwaza Lahore</v>
      </c>
      <c r="D124" s="10" t="str">
        <f>IFERROR(__xludf.DUMMYFUNCTION("""COMPUTED_VALUE"""),"9/20/24 6:46")</f>
        <v>9/20/24 6:46</v>
      </c>
      <c r="E124" s="10" t="str">
        <f>IFERROR(__xludf.DUMMYFUNCTION("""COMPUTED_VALUE"""),"Women Religious No Info Share")</f>
        <v>Women Religious No Info Share</v>
      </c>
      <c r="F124" s="10" t="str">
        <f>IFERROR(__xludf.DUMMYFUNCTION("""COMPUTED_VALUE"""),"Lahore")</f>
        <v>Lahore</v>
      </c>
    </row>
    <row r="125">
      <c r="A125" s="10" t="str">
        <f>IFERROR(__xludf.DUMMYFUNCTION("""COMPUTED_VALUE"""),"Lahore")</f>
        <v>Lahore</v>
      </c>
      <c r="B125" s="10" t="str">
        <f>IFERROR(__xludf.DUMMYFUNCTION("""COMPUTED_VALUE"""),"tnrvg")</f>
        <v>tnrvg</v>
      </c>
      <c r="C125" s="10" t="str">
        <f>IFERROR(__xludf.DUMMYFUNCTION("""COMPUTED_VALUE"""),"Jamia Masjid Hanfiya Takiya Saduwah Lahore")</f>
        <v>Jamia Masjid Hanfiya Takiya Saduwah Lahore</v>
      </c>
      <c r="D125" s="10" t="str">
        <f>IFERROR(__xludf.DUMMYFUNCTION("""COMPUTED_VALUE"""),"9/20/24 6:51")</f>
        <v>9/20/24 6:51</v>
      </c>
      <c r="E125" s="10" t="str">
        <f>IFERROR(__xludf.DUMMYFUNCTION("""COMPUTED_VALUE"""),"Community Religious No Info Share")</f>
        <v>Community Religious No Info Share</v>
      </c>
      <c r="F125" s="10" t="str">
        <f>IFERROR(__xludf.DUMMYFUNCTION("""COMPUTED_VALUE"""),"Lahore")</f>
        <v>Lahore</v>
      </c>
    </row>
    <row r="126">
      <c r="A126" s="10" t="str">
        <f>IFERROR(__xludf.DUMMYFUNCTION("""COMPUTED_VALUE"""),"Lahore")</f>
        <v>Lahore</v>
      </c>
      <c r="B126" s="10" t="str">
        <f>IFERROR(__xludf.DUMMYFUNCTION("""COMPUTED_VALUE"""),"fitmr")</f>
        <v>fitmr</v>
      </c>
      <c r="C126" s="10" t="str">
        <f>IFERROR(__xludf.DUMMYFUNCTION("""COMPUTED_VALUE"""),"Jamia Masjid Taxsali Gate Lahore")</f>
        <v>Jamia Masjid Taxsali Gate Lahore</v>
      </c>
      <c r="D126" s="10" t="str">
        <f>IFERROR(__xludf.DUMMYFUNCTION("""COMPUTED_VALUE"""),"9/20/24 6:59")</f>
        <v>9/20/24 6:59</v>
      </c>
      <c r="E126" s="10" t="str">
        <f>IFERROR(__xludf.DUMMYFUNCTION("""COMPUTED_VALUE"""),"Community Religious No Info Share")</f>
        <v>Community Religious No Info Share</v>
      </c>
      <c r="F126" s="10" t="str">
        <f>IFERROR(__xludf.DUMMYFUNCTION("""COMPUTED_VALUE"""),"Lahore")</f>
        <v>Lahore</v>
      </c>
    </row>
    <row r="127">
      <c r="A127" s="10" t="str">
        <f>IFERROR(__xludf.DUMMYFUNCTION("""COMPUTED_VALUE"""),"Lahore")</f>
        <v>Lahore</v>
      </c>
      <c r="B127" s="10" t="str">
        <f>IFERROR(__xludf.DUMMYFUNCTION("""COMPUTED_VALUE"""),"ucpvp")</f>
        <v>ucpvp</v>
      </c>
      <c r="C127" s="10" t="str">
        <f>IFERROR(__xludf.DUMMYFUNCTION("""COMPUTED_VALUE"""),"Jamia Masjid Maki New Anarkali Lahore")</f>
        <v>Jamia Masjid Maki New Anarkali Lahore</v>
      </c>
      <c r="D127" s="10" t="str">
        <f>IFERROR(__xludf.DUMMYFUNCTION("""COMPUTED_VALUE"""),"9/20/24 7:05")</f>
        <v>9/20/24 7:05</v>
      </c>
      <c r="E127" s="10" t="str">
        <f>IFERROR(__xludf.DUMMYFUNCTION("""COMPUTED_VALUE"""),"Community Secular No Info Share")</f>
        <v>Community Secular No Info Share</v>
      </c>
      <c r="F127" s="10" t="str">
        <f>IFERROR(__xludf.DUMMYFUNCTION("""COMPUTED_VALUE"""),"Lahore")</f>
        <v>Lahore</v>
      </c>
    </row>
    <row r="128">
      <c r="A128" s="10" t="str">
        <f>IFERROR(__xludf.DUMMYFUNCTION("""COMPUTED_VALUE"""),"Lahore")</f>
        <v>Lahore</v>
      </c>
      <c r="B128" s="10" t="str">
        <f>IFERROR(__xludf.DUMMYFUNCTION("""COMPUTED_VALUE"""),"ztlcn")</f>
        <v>ztlcn</v>
      </c>
      <c r="C128" s="10" t="str">
        <f>IFERROR(__xludf.DUMMYFUNCTION("""COMPUTED_VALUE"""),"Jamia Masjid Takiya Puter Nagha Lahore")</f>
        <v>Jamia Masjid Takiya Puter Nagha Lahore</v>
      </c>
      <c r="D128" s="10" t="str">
        <f>IFERROR(__xludf.DUMMYFUNCTION("""COMPUTED_VALUE"""),"9/20/24 7:33")</f>
        <v>9/20/24 7:33</v>
      </c>
      <c r="E128" s="10" t="str">
        <f>IFERROR(__xludf.DUMMYFUNCTION("""COMPUTED_VALUE"""),"Women Secular No Info Share")</f>
        <v>Women Secular No Info Share</v>
      </c>
      <c r="F128" s="10" t="str">
        <f>IFERROR(__xludf.DUMMYFUNCTION("""COMPUTED_VALUE"""),"Lahore")</f>
        <v>Lahore</v>
      </c>
    </row>
    <row r="129">
      <c r="A129" s="10" t="str">
        <f>IFERROR(__xludf.DUMMYFUNCTION("""COMPUTED_VALUE"""),"Lahore")</f>
        <v>Lahore</v>
      </c>
      <c r="B129" s="10" t="str">
        <f>IFERROR(__xludf.DUMMYFUNCTION("""COMPUTED_VALUE"""),"gtfgm")</f>
        <v>gtfgm</v>
      </c>
      <c r="C129" s="10" t="str">
        <f>IFERROR(__xludf.DUMMYFUNCTION("""COMPUTED_VALUE"""),"Jamia Masjid Sheer Shah Wali Lahore")</f>
        <v>Jamia Masjid Sheer Shah Wali Lahore</v>
      </c>
      <c r="D129" s="10" t="str">
        <f>IFERROR(__xludf.DUMMYFUNCTION("""COMPUTED_VALUE"""),"9/20/24 7:40")</f>
        <v>9/20/24 7:40</v>
      </c>
      <c r="E129" s="10" t="str">
        <f>IFERROR(__xludf.DUMMYFUNCTION("""COMPUTED_VALUE"""),"Control")</f>
        <v>Control</v>
      </c>
      <c r="F129" s="10" t="str">
        <f>IFERROR(__xludf.DUMMYFUNCTION("""COMPUTED_VALUE"""),"Lahore")</f>
        <v>Lahore</v>
      </c>
    </row>
    <row r="130">
      <c r="A130" s="10" t="str">
        <f>IFERROR(__xludf.DUMMYFUNCTION("""COMPUTED_VALUE"""),"Lahore")</f>
        <v>Lahore</v>
      </c>
      <c r="B130" s="10" t="str">
        <f>IFERROR(__xludf.DUMMYFUNCTION("""COMPUTED_VALUE"""),"qkvvj")</f>
        <v>qkvvj</v>
      </c>
      <c r="C130" s="10" t="str">
        <f>IFERROR(__xludf.DUMMYFUNCTION("""COMPUTED_VALUE"""),"Jamia Masjid Bazaad Hata Lahore")</f>
        <v>Jamia Masjid Bazaad Hata Lahore</v>
      </c>
      <c r="D130" s="10" t="str">
        <f>IFERROR(__xludf.DUMMYFUNCTION("""COMPUTED_VALUE"""),"9/20/24 8:04")</f>
        <v>9/20/24 8:04</v>
      </c>
      <c r="E130" s="10" t="str">
        <f>IFERROR(__xludf.DUMMYFUNCTION("""COMPUTED_VALUE"""),"Women Secular Info Share")</f>
        <v>Women Secular Info Share</v>
      </c>
      <c r="F130" s="10" t="str">
        <f>IFERROR(__xludf.DUMMYFUNCTION("""COMPUTED_VALUE"""),"Lahore")</f>
        <v>Lahore</v>
      </c>
    </row>
    <row r="131">
      <c r="A131" s="10" t="str">
        <f>IFERROR(__xludf.DUMMYFUNCTION("""COMPUTED_VALUE"""),"Lahore")</f>
        <v>Lahore</v>
      </c>
      <c r="B131" s="10" t="str">
        <f>IFERROR(__xludf.DUMMYFUNCTION("""COMPUTED_VALUE"""),"umifn")</f>
        <v>umifn</v>
      </c>
      <c r="C131" s="10" t="str">
        <f>IFERROR(__xludf.DUMMYFUNCTION("""COMPUTED_VALUE"""),"Jamia Masjid Takiya Kabotar Shah Lahore")</f>
        <v>Jamia Masjid Takiya Kabotar Shah Lahore</v>
      </c>
      <c r="D131" s="10" t="str">
        <f>IFERROR(__xludf.DUMMYFUNCTION("""COMPUTED_VALUE"""),"9/20/24 8:14")</f>
        <v>9/20/24 8:14</v>
      </c>
      <c r="E131" s="10" t="str">
        <f>IFERROR(__xludf.DUMMYFUNCTION("""COMPUTED_VALUE"""),"Control")</f>
        <v>Control</v>
      </c>
      <c r="F131" s="10" t="str">
        <f>IFERROR(__xludf.DUMMYFUNCTION("""COMPUTED_VALUE"""),"Lahore")</f>
        <v>Lahore</v>
      </c>
    </row>
    <row r="132">
      <c r="A132" s="10" t="str">
        <f>IFERROR(__xludf.DUMMYFUNCTION("""COMPUTED_VALUE"""),"Lahore")</f>
        <v>Lahore</v>
      </c>
      <c r="B132" s="10" t="str">
        <f>IFERROR(__xludf.DUMMYFUNCTION("""COMPUTED_VALUE"""),"rzccc")</f>
        <v>rzccc</v>
      </c>
      <c r="C132" s="10" t="str">
        <f>IFERROR(__xludf.DUMMYFUNCTION("""COMPUTED_VALUE"""),"Jamia Masjid Darbar Shah Muhammad Ghost Lahore")</f>
        <v>Jamia Masjid Darbar Shah Muhammad Ghost Lahore</v>
      </c>
      <c r="D132" s="10" t="str">
        <f>IFERROR(__xludf.DUMMYFUNCTION("""COMPUTED_VALUE"""),"9/20/24 8:42")</f>
        <v>9/20/24 8:42</v>
      </c>
      <c r="E132" s="10" t="str">
        <f>IFERROR(__xludf.DUMMYFUNCTION("""COMPUTED_VALUE"""),"Control")</f>
        <v>Control</v>
      </c>
      <c r="F132" s="10" t="str">
        <f>IFERROR(__xludf.DUMMYFUNCTION("""COMPUTED_VALUE"""),"Lahore")</f>
        <v>Lahore</v>
      </c>
    </row>
    <row r="133">
      <c r="A133" s="10" t="str">
        <f>IFERROR(__xludf.DUMMYFUNCTION("""COMPUTED_VALUE"""),"Lahore")</f>
        <v>Lahore</v>
      </c>
      <c r="B133" s="10" t="str">
        <f>IFERROR(__xludf.DUMMYFUNCTION("""COMPUTED_VALUE"""),"vxoxs")</f>
        <v>vxoxs</v>
      </c>
      <c r="C133" s="10" t="str">
        <f>IFERROR(__xludf.DUMMYFUNCTION("""COMPUTED_VALUE"""),"Jamia Masjid Hanfiya Ghosia Shoe Market Lahore")</f>
        <v>Jamia Masjid Hanfiya Ghosia Shoe Market Lahore</v>
      </c>
      <c r="D133" s="10" t="str">
        <f>IFERROR(__xludf.DUMMYFUNCTION("""COMPUTED_VALUE"""),"9/20/24 9:57")</f>
        <v>9/20/24 9:57</v>
      </c>
      <c r="E133" s="10" t="str">
        <f>IFERROR(__xludf.DUMMYFUNCTION("""COMPUTED_VALUE"""),"Women Secular Info Share")</f>
        <v>Women Secular Info Share</v>
      </c>
      <c r="F133" s="10" t="str">
        <f>IFERROR(__xludf.DUMMYFUNCTION("""COMPUTED_VALUE"""),"Lahore")</f>
        <v>Lahore</v>
      </c>
    </row>
    <row r="134">
      <c r="A134" s="10" t="str">
        <f>IFERROR(__xludf.DUMMYFUNCTION("""COMPUTED_VALUE"""),"Lahore")</f>
        <v>Lahore</v>
      </c>
      <c r="B134" s="10" t="str">
        <f>IFERROR(__xludf.DUMMYFUNCTION("""COMPUTED_VALUE"""),"wbail")</f>
        <v>wbail</v>
      </c>
      <c r="C134" s="10" t="str">
        <f>IFERROR(__xludf.DUMMYFUNCTION("""COMPUTED_VALUE"""),"Jamia Masjid Takiya Ujagar Shah Lahore")</f>
        <v>Jamia Masjid Takiya Ujagar Shah Lahore</v>
      </c>
      <c r="D134" s="10" t="str">
        <f>IFERROR(__xludf.DUMMYFUNCTION("""COMPUTED_VALUE"""),"9/27/24 5:09")</f>
        <v>9/27/24 5:09</v>
      </c>
      <c r="E134" s="10" t="str">
        <f>IFERROR(__xludf.DUMMYFUNCTION("""COMPUTED_VALUE"""),"Control")</f>
        <v>Control</v>
      </c>
      <c r="F134" s="10" t="str">
        <f>IFERROR(__xludf.DUMMYFUNCTION("""COMPUTED_VALUE"""),"Lahore")</f>
        <v>Lahore</v>
      </c>
    </row>
    <row r="135">
      <c r="A135" s="10" t="str">
        <f>IFERROR(__xludf.DUMMYFUNCTION("""COMPUTED_VALUE"""),"Lahore")</f>
        <v>Lahore</v>
      </c>
      <c r="B135" s="10" t="str">
        <f>IFERROR(__xludf.DUMMYFUNCTION("""COMPUTED_VALUE"""),"wzjkx")</f>
        <v>wzjkx</v>
      </c>
      <c r="C135" s="10" t="str">
        <f>IFERROR(__xludf.DUMMYFUNCTION("""COMPUTED_VALUE"""),"Jamia Masjid Shah Jamal Lahore")</f>
        <v>Jamia Masjid Shah Jamal Lahore</v>
      </c>
      <c r="D135" s="10" t="str">
        <f>IFERROR(__xludf.DUMMYFUNCTION("""COMPUTED_VALUE"""),"9/27/24 5:18")</f>
        <v>9/27/24 5:18</v>
      </c>
      <c r="E135" s="10" t="str">
        <f>IFERROR(__xludf.DUMMYFUNCTION("""COMPUTED_VALUE"""),"Control")</f>
        <v>Control</v>
      </c>
      <c r="F135" s="10" t="str">
        <f>IFERROR(__xludf.DUMMYFUNCTION("""COMPUTED_VALUE"""),"Lahore")</f>
        <v>Lahore</v>
      </c>
    </row>
    <row r="136">
      <c r="A136" s="10" t="str">
        <f>IFERROR(__xludf.DUMMYFUNCTION("""COMPUTED_VALUE"""),"Lahore")</f>
        <v>Lahore</v>
      </c>
      <c r="B136" s="10" t="str">
        <f>IFERROR(__xludf.DUMMYFUNCTION("""COMPUTED_VALUE"""),"emotn")</f>
        <v>emotn</v>
      </c>
      <c r="C136" s="10" t="str">
        <f>IFERROR(__xludf.DUMMYFUNCTION("""COMPUTED_VALUE"""),"Jamia Masjid Musafir Khana Ghari Shah Lahore")</f>
        <v>Jamia Masjid Musafir Khana Ghari Shah Lahore</v>
      </c>
      <c r="D136" s="10" t="str">
        <f>IFERROR(__xludf.DUMMYFUNCTION("""COMPUTED_VALUE"""),"9/27/24 5:25")</f>
        <v>9/27/24 5:25</v>
      </c>
      <c r="E136" s="10" t="str">
        <f>IFERROR(__xludf.DUMMYFUNCTION("""COMPUTED_VALUE"""),"Women Religious Info Share")</f>
        <v>Women Religious Info Share</v>
      </c>
      <c r="F136" s="10" t="str">
        <f>IFERROR(__xludf.DUMMYFUNCTION("""COMPUTED_VALUE"""),"Lahore")</f>
        <v>Lahore</v>
      </c>
    </row>
    <row r="137">
      <c r="A137" s="10" t="str">
        <f>IFERROR(__xludf.DUMMYFUNCTION("""COMPUTED_VALUE"""),"Lahore")</f>
        <v>Lahore</v>
      </c>
      <c r="B137" s="10" t="str">
        <f>IFERROR(__xludf.DUMMYFUNCTION("""COMPUTED_VALUE"""),"jeztx")</f>
        <v>jeztx</v>
      </c>
      <c r="C137" s="10" t="str">
        <f>IFERROR(__xludf.DUMMYFUNCTION("""COMPUTED_VALUE"""),"Jamia Masjid Darbar Peer Hadi Rehnuma Lahore")</f>
        <v>Jamia Masjid Darbar Peer Hadi Rehnuma Lahore</v>
      </c>
      <c r="D137" s="10" t="str">
        <f>IFERROR(__xludf.DUMMYFUNCTION("""COMPUTED_VALUE"""),"9/27/24 5:26")</f>
        <v>9/27/24 5:26</v>
      </c>
      <c r="E137" s="10" t="str">
        <f>IFERROR(__xludf.DUMMYFUNCTION("""COMPUTED_VALUE"""),"Women Religious No Info Share")</f>
        <v>Women Religious No Info Share</v>
      </c>
      <c r="F137" s="10" t="str">
        <f>IFERROR(__xludf.DUMMYFUNCTION("""COMPUTED_VALUE"""),"Lahore")</f>
        <v>Lahore</v>
      </c>
    </row>
    <row r="138">
      <c r="A138" s="10" t="str">
        <f>IFERROR(__xludf.DUMMYFUNCTION("""COMPUTED_VALUE"""),"Lahore")</f>
        <v>Lahore</v>
      </c>
      <c r="B138" s="10" t="str">
        <f>IFERROR(__xludf.DUMMYFUNCTION("""COMPUTED_VALUE"""),"gsdas")</f>
        <v>gsdas</v>
      </c>
      <c r="C138" s="10" t="str">
        <f>IFERROR(__xludf.DUMMYFUNCTION("""COMPUTED_VALUE"""),"Jamia Masjid Takiya Lehri Shah Lahore")</f>
        <v>Jamia Masjid Takiya Lehri Shah Lahore</v>
      </c>
      <c r="D138" s="10" t="str">
        <f>IFERROR(__xludf.DUMMYFUNCTION("""COMPUTED_VALUE"""),"9/27/24 5:30")</f>
        <v>9/27/24 5:30</v>
      </c>
      <c r="E138" s="10" t="str">
        <f>IFERROR(__xludf.DUMMYFUNCTION("""COMPUTED_VALUE"""),"Women Religious No Info Share")</f>
        <v>Women Religious No Info Share</v>
      </c>
      <c r="F138" s="10" t="str">
        <f>IFERROR(__xludf.DUMMYFUNCTION("""COMPUTED_VALUE"""),"Lahore")</f>
        <v>Lahore</v>
      </c>
    </row>
    <row r="139">
      <c r="A139" s="10" t="str">
        <f>IFERROR(__xludf.DUMMYFUNCTION("""COMPUTED_VALUE"""),"Lahore")</f>
        <v>Lahore</v>
      </c>
      <c r="B139" s="10" t="str">
        <f>IFERROR(__xludf.DUMMYFUNCTION("""COMPUTED_VALUE"""),"cqafr")</f>
        <v>cqafr</v>
      </c>
      <c r="C139" s="10" t="str">
        <f>IFERROR(__xludf.DUMMYFUNCTION("""COMPUTED_VALUE"""),"Jamia Masjid Johri Shah Bandagi Lahore")</f>
        <v>Jamia Masjid Johri Shah Bandagi Lahore</v>
      </c>
      <c r="D139" s="10" t="str">
        <f>IFERROR(__xludf.DUMMYFUNCTION("""COMPUTED_VALUE"""),"9/27/24 5:40")</f>
        <v>9/27/24 5:40</v>
      </c>
      <c r="E139" s="10" t="str">
        <f>IFERROR(__xludf.DUMMYFUNCTION("""COMPUTED_VALUE"""),"Community Secular No Info Share")</f>
        <v>Community Secular No Info Share</v>
      </c>
      <c r="F139" s="10" t="str">
        <f>IFERROR(__xludf.DUMMYFUNCTION("""COMPUTED_VALUE"""),"Lahore")</f>
        <v>Lahore</v>
      </c>
    </row>
    <row r="140">
      <c r="A140" s="10" t="str">
        <f>IFERROR(__xludf.DUMMYFUNCTION("""COMPUTED_VALUE"""),"Lahore")</f>
        <v>Lahore</v>
      </c>
      <c r="B140" s="10" t="str">
        <f>IFERROR(__xludf.DUMMYFUNCTION("""COMPUTED_VALUE"""),"ipdnb")</f>
        <v>ipdnb</v>
      </c>
      <c r="C140" s="10" t="str">
        <f>IFERROR(__xludf.DUMMYFUNCTION("""COMPUTED_VALUE"""),"Jamia Masjid Darbr Shah Ghadah Lahore")</f>
        <v>Jamia Masjid Darbr Shah Ghadah Lahore</v>
      </c>
      <c r="D140" s="10" t="str">
        <f>IFERROR(__xludf.DUMMYFUNCTION("""COMPUTED_VALUE"""),"9/27/24 5:41")</f>
        <v>9/27/24 5:41</v>
      </c>
      <c r="E140" s="10" t="str">
        <f>IFERROR(__xludf.DUMMYFUNCTION("""COMPUTED_VALUE"""),"Community Religious Info Share")</f>
        <v>Community Religious Info Share</v>
      </c>
      <c r="F140" s="10" t="str">
        <f>IFERROR(__xludf.DUMMYFUNCTION("""COMPUTED_VALUE"""),"Lahore")</f>
        <v>Lahore</v>
      </c>
    </row>
    <row r="141">
      <c r="A141" s="10" t="str">
        <f>IFERROR(__xludf.DUMMYFUNCTION("""COMPUTED_VALUE"""),"Lahore")</f>
        <v>Lahore</v>
      </c>
      <c r="B141" s="10" t="str">
        <f>IFERROR(__xludf.DUMMYFUNCTION("""COMPUTED_VALUE"""),"ljvby")</f>
        <v>ljvby</v>
      </c>
      <c r="C141" s="10" t="str">
        <f>IFERROR(__xludf.DUMMYFUNCTION("""COMPUTED_VALUE"""),"Jamia Masjid Darbar Musa Ranjani Lahore")</f>
        <v>Jamia Masjid Darbar Musa Ranjani Lahore</v>
      </c>
      <c r="D141" s="10" t="str">
        <f>IFERROR(__xludf.DUMMYFUNCTION("""COMPUTED_VALUE"""),"9/27/24 5:42")</f>
        <v>9/27/24 5:42</v>
      </c>
      <c r="E141" s="10" t="str">
        <f>IFERROR(__xludf.DUMMYFUNCTION("""COMPUTED_VALUE"""),"Community Religious No Info Share")</f>
        <v>Community Religious No Info Share</v>
      </c>
      <c r="F141" s="10" t="str">
        <f>IFERROR(__xludf.DUMMYFUNCTION("""COMPUTED_VALUE"""),"Lahore")</f>
        <v>Lahore</v>
      </c>
    </row>
    <row r="142">
      <c r="A142" s="10" t="str">
        <f>IFERROR(__xludf.DUMMYFUNCTION("""COMPUTED_VALUE"""),"Lahore")</f>
        <v>Lahore</v>
      </c>
      <c r="B142" s="10" t="str">
        <f>IFERROR(__xludf.DUMMYFUNCTION("""COMPUTED_VALUE"""),"slyiw")</f>
        <v>slyiw</v>
      </c>
      <c r="C142" s="10" t="str">
        <f>IFERROR(__xludf.DUMMYFUNCTION("""COMPUTED_VALUE"""),"Jamia Masjid Main Bazar Kahchu Pura Lahore")</f>
        <v>Jamia Masjid Main Bazar Kahchu Pura Lahore</v>
      </c>
      <c r="D142" s="10" t="str">
        <f>IFERROR(__xludf.DUMMYFUNCTION("""COMPUTED_VALUE"""),"9/27/24 5:43")</f>
        <v>9/27/24 5:43</v>
      </c>
      <c r="E142" s="10" t="str">
        <f>IFERROR(__xludf.DUMMYFUNCTION("""COMPUTED_VALUE"""),"Women Religious Info Share")</f>
        <v>Women Religious Info Share</v>
      </c>
      <c r="F142" s="10" t="str">
        <f>IFERROR(__xludf.DUMMYFUNCTION("""COMPUTED_VALUE"""),"Lahore")</f>
        <v>Lahore</v>
      </c>
    </row>
    <row r="143">
      <c r="A143" s="10" t="str">
        <f>IFERROR(__xludf.DUMMYFUNCTION("""COMPUTED_VALUE"""),"Lahore")</f>
        <v>Lahore</v>
      </c>
      <c r="B143" s="10" t="str">
        <f>IFERROR(__xludf.DUMMYFUNCTION("""COMPUTED_VALUE"""),"avbgy")</f>
        <v>avbgy</v>
      </c>
      <c r="C143" s="10" t="str">
        <f>IFERROR(__xludf.DUMMYFUNCTION("""COMPUTED_VALUE"""),"Jamia Masjid Bilal Mesri Shah Lahore")</f>
        <v>Jamia Masjid Bilal Mesri Shah Lahore</v>
      </c>
      <c r="D143" s="10" t="str">
        <f>IFERROR(__xludf.DUMMYFUNCTION("""COMPUTED_VALUE"""),"9/27/24 5:49")</f>
        <v>9/27/24 5:49</v>
      </c>
      <c r="E143" s="10" t="str">
        <f>IFERROR(__xludf.DUMMYFUNCTION("""COMPUTED_VALUE"""),"Community Religious Info Share")</f>
        <v>Community Religious Info Share</v>
      </c>
      <c r="F143" s="10" t="str">
        <f>IFERROR(__xludf.DUMMYFUNCTION("""COMPUTED_VALUE"""),"Lahore")</f>
        <v>Lahore</v>
      </c>
    </row>
    <row r="144">
      <c r="A144" s="10" t="str">
        <f>IFERROR(__xludf.DUMMYFUNCTION("""COMPUTED_VALUE"""),"Lahore")</f>
        <v>Lahore</v>
      </c>
      <c r="B144" s="10" t="str">
        <f>IFERROR(__xludf.DUMMYFUNCTION("""COMPUTED_VALUE"""),"mfrop")</f>
        <v>mfrop</v>
      </c>
      <c r="C144" s="10" t="str">
        <f>IFERROR(__xludf.DUMMYFUNCTION("""COMPUTED_VALUE"""),"Jamia Masjid Hanfiya Farookia Khrishan Nagar Lahore")</f>
        <v>Jamia Masjid Hanfiya Farookia Khrishan Nagar Lahore</v>
      </c>
      <c r="D144" s="10" t="str">
        <f>IFERROR(__xludf.DUMMYFUNCTION("""COMPUTED_VALUE"""),"9/27/24 6:01")</f>
        <v>9/27/24 6:01</v>
      </c>
      <c r="E144" s="10" t="str">
        <f>IFERROR(__xludf.DUMMYFUNCTION("""COMPUTED_VALUE"""),"Control")</f>
        <v>Control</v>
      </c>
      <c r="F144" s="10" t="str">
        <f>IFERROR(__xludf.DUMMYFUNCTION("""COMPUTED_VALUE"""),"Lahore")</f>
        <v>Lahore</v>
      </c>
    </row>
    <row r="145">
      <c r="A145" s="10" t="str">
        <f>IFERROR(__xludf.DUMMYFUNCTION("""COMPUTED_VALUE"""),"Lahore")</f>
        <v>Lahore</v>
      </c>
      <c r="B145" s="10" t="str">
        <f>IFERROR(__xludf.DUMMYFUNCTION("""COMPUTED_VALUE"""),"pwwfr")</f>
        <v>pwwfr</v>
      </c>
      <c r="C145" s="10" t="str">
        <f>IFERROR(__xludf.DUMMYFUNCTION("""COMPUTED_VALUE"""),"Jamia Masjid Aali Nooh Coat Lahore")</f>
        <v>Jamia Masjid Aali Nooh Coat Lahore</v>
      </c>
      <c r="D145" s="10" t="str">
        <f>IFERROR(__xludf.DUMMYFUNCTION("""COMPUTED_VALUE"""),"9/27/24 6:03")</f>
        <v>9/27/24 6:03</v>
      </c>
      <c r="E145" s="10" t="str">
        <f>IFERROR(__xludf.DUMMYFUNCTION("""COMPUTED_VALUE"""),"Community Religious No Info Share")</f>
        <v>Community Religious No Info Share</v>
      </c>
      <c r="F145" s="10" t="str">
        <f>IFERROR(__xludf.DUMMYFUNCTION("""COMPUTED_VALUE"""),"Lahore")</f>
        <v>Lahore</v>
      </c>
    </row>
    <row r="146">
      <c r="A146" s="10" t="str">
        <f>IFERROR(__xludf.DUMMYFUNCTION("""COMPUTED_VALUE"""),"Lahore")</f>
        <v>Lahore</v>
      </c>
      <c r="B146" s="10" t="str">
        <f>IFERROR(__xludf.DUMMYFUNCTION("""COMPUTED_VALUE"""),"ogwwf")</f>
        <v>ogwwf</v>
      </c>
      <c r="C146" s="10" t="str">
        <f>IFERROR(__xludf.DUMMYFUNCTION("""COMPUTED_VALUE"""),"Jamia Masjid Hanfiya Muslim Ganj Kahchu Pura Lahore")</f>
        <v>Jamia Masjid Hanfiya Muslim Ganj Kahchu Pura Lahore</v>
      </c>
      <c r="D146" s="10" t="str">
        <f>IFERROR(__xludf.DUMMYFUNCTION("""COMPUTED_VALUE"""),"9/27/24 6:03")</f>
        <v>9/27/24 6:03</v>
      </c>
      <c r="E146" s="10" t="str">
        <f>IFERROR(__xludf.DUMMYFUNCTION("""COMPUTED_VALUE"""),"Women Secular Info Share")</f>
        <v>Women Secular Info Share</v>
      </c>
      <c r="F146" s="10" t="str">
        <f>IFERROR(__xludf.DUMMYFUNCTION("""COMPUTED_VALUE"""),"Lahore")</f>
        <v>Lahore</v>
      </c>
    </row>
    <row r="147">
      <c r="A147" s="10" t="str">
        <f>IFERROR(__xludf.DUMMYFUNCTION("""COMPUTED_VALUE"""),"Lahore")</f>
        <v>Lahore</v>
      </c>
      <c r="B147" s="10" t="str">
        <f>IFERROR(__xludf.DUMMYFUNCTION("""COMPUTED_VALUE"""),"lcwok")</f>
        <v>lcwok</v>
      </c>
      <c r="C147" s="10" t="str">
        <f>IFERROR(__xludf.DUMMYFUNCTION("""COMPUTED_VALUE"""),"Jamia Masjid Madina Township Lahore")</f>
        <v>Jamia Masjid Madina Township Lahore</v>
      </c>
      <c r="D147" s="10" t="str">
        <f>IFERROR(__xludf.DUMMYFUNCTION("""COMPUTED_VALUE"""),"9/27/24 6:04")</f>
        <v>9/27/24 6:04</v>
      </c>
      <c r="E147" s="10" t="str">
        <f>IFERROR(__xludf.DUMMYFUNCTION("""COMPUTED_VALUE"""),"Control")</f>
        <v>Control</v>
      </c>
      <c r="F147" s="10" t="str">
        <f>IFERROR(__xludf.DUMMYFUNCTION("""COMPUTED_VALUE"""),"Lahore")</f>
        <v>Lahore</v>
      </c>
    </row>
    <row r="148">
      <c r="A148" s="10" t="str">
        <f>IFERROR(__xludf.DUMMYFUNCTION("""COMPUTED_VALUE"""),"Lahore")</f>
        <v>Lahore</v>
      </c>
      <c r="B148" s="10" t="str">
        <f>IFERROR(__xludf.DUMMYFUNCTION("""COMPUTED_VALUE"""),"xmebi")</f>
        <v>xmebi</v>
      </c>
      <c r="C148" s="10" t="str">
        <f>IFERROR(__xludf.DUMMYFUNCTION("""COMPUTED_VALUE"""),"Jamia Masjid Molve Taaaj Deen Lahore")</f>
        <v>Jamia Masjid Molve Taaaj Deen Lahore</v>
      </c>
      <c r="D148" s="10" t="str">
        <f>IFERROR(__xludf.DUMMYFUNCTION("""COMPUTED_VALUE"""),"9/27/24 6:28")</f>
        <v>9/27/24 6:28</v>
      </c>
      <c r="E148" s="10" t="str">
        <f>IFERROR(__xludf.DUMMYFUNCTION("""COMPUTED_VALUE"""),"Control")</f>
        <v>Control</v>
      </c>
      <c r="F148" s="10" t="str">
        <f>IFERROR(__xludf.DUMMYFUNCTION("""COMPUTED_VALUE"""),"Lahore")</f>
        <v>Lahore</v>
      </c>
    </row>
    <row r="149">
      <c r="A149" s="10" t="str">
        <f>IFERROR(__xludf.DUMMYFUNCTION("""COMPUTED_VALUE"""),"Lahore")</f>
        <v>Lahore</v>
      </c>
      <c r="B149" s="10" t="str">
        <f>IFERROR(__xludf.DUMMYFUNCTION("""COMPUTED_VALUE"""),"jypnp")</f>
        <v>jypnp</v>
      </c>
      <c r="C149" s="10" t="str">
        <f>IFERROR(__xludf.DUMMYFUNCTION("""COMPUTED_VALUE"""),"Jamia Masjid Shiekh Sikandar Lahore")</f>
        <v>Jamia Masjid Shiekh Sikandar Lahore</v>
      </c>
      <c r="D149" s="10" t="str">
        <f>IFERROR(__xludf.DUMMYFUNCTION("""COMPUTED_VALUE"""),"9/27/24 6:34")</f>
        <v>9/27/24 6:34</v>
      </c>
      <c r="E149" s="10" t="str">
        <f>IFERROR(__xludf.DUMMYFUNCTION("""COMPUTED_VALUE"""),"Women Secular Info Share")</f>
        <v>Women Secular Info Share</v>
      </c>
      <c r="F149" s="10" t="str">
        <f>IFERROR(__xludf.DUMMYFUNCTION("""COMPUTED_VALUE"""),"Lahore")</f>
        <v>Lahore</v>
      </c>
    </row>
    <row r="150">
      <c r="A150" s="10" t="str">
        <f>IFERROR(__xludf.DUMMYFUNCTION("""COMPUTED_VALUE"""),"Lahore")</f>
        <v>Lahore</v>
      </c>
      <c r="B150" s="10" t="str">
        <f>IFERROR(__xludf.DUMMYFUNCTION("""COMPUTED_VALUE"""),"vmezu")</f>
        <v>vmezu</v>
      </c>
      <c r="C150" s="10" t="str">
        <f>IFERROR(__xludf.DUMMYFUNCTION("""COMPUTED_VALUE"""),"Jamia Masjid Walton Lahore")</f>
        <v>Jamia Masjid Walton Lahore</v>
      </c>
      <c r="D150" s="10" t="str">
        <f>IFERROR(__xludf.DUMMYFUNCTION("""COMPUTED_VALUE"""),"9/27/24 6:38")</f>
        <v>9/27/24 6:38</v>
      </c>
      <c r="E150" s="10" t="str">
        <f>IFERROR(__xludf.DUMMYFUNCTION("""COMPUTED_VALUE"""),"Community Secular No Info Share")</f>
        <v>Community Secular No Info Share</v>
      </c>
      <c r="F150" s="10" t="str">
        <f>IFERROR(__xludf.DUMMYFUNCTION("""COMPUTED_VALUE"""),"Lahore")</f>
        <v>Lahore</v>
      </c>
    </row>
    <row r="151">
      <c r="A151" s="10" t="str">
        <f>IFERROR(__xludf.DUMMYFUNCTION("""COMPUTED_VALUE"""),"Lahore")</f>
        <v>Lahore</v>
      </c>
      <c r="B151" s="10" t="str">
        <f>IFERROR(__xludf.DUMMYFUNCTION("""COMPUTED_VALUE"""),"wfyxg")</f>
        <v>wfyxg</v>
      </c>
      <c r="C151" s="10" t="str">
        <f>IFERROR(__xludf.DUMMYFUNCTION("""COMPUTED_VALUE"""),"Jamia Masjid Takiya Hazoori Shah Lahore")</f>
        <v>Jamia Masjid Takiya Hazoori Shah Lahore</v>
      </c>
      <c r="D151" s="10" t="str">
        <f>IFERROR(__xludf.DUMMYFUNCTION("""COMPUTED_VALUE"""),"9/27/24 6:46")</f>
        <v>9/27/24 6:46</v>
      </c>
      <c r="E151" s="10" t="str">
        <f>IFERROR(__xludf.DUMMYFUNCTION("""COMPUTED_VALUE"""),"Control")</f>
        <v>Control</v>
      </c>
      <c r="F151" s="10" t="str">
        <f>IFERROR(__xludf.DUMMYFUNCTION("""COMPUTED_VALUE"""),"Lahore")</f>
        <v>Lahore</v>
      </c>
    </row>
    <row r="152">
      <c r="A152" s="10" t="str">
        <f>IFERROR(__xludf.DUMMYFUNCTION("""COMPUTED_VALUE"""),"Lahore")</f>
        <v>Lahore</v>
      </c>
      <c r="B152" s="10" t="str">
        <f>IFERROR(__xludf.DUMMYFUNCTION("""COMPUTED_VALUE"""),"rhlwr")</f>
        <v>rhlwr</v>
      </c>
      <c r="C152" s="10" t="str">
        <f>IFERROR(__xludf.DUMMYFUNCTION("""COMPUTED_VALUE"""),"Jamia Masjid Shah Shams Qadari Lahore")</f>
        <v>Jamia Masjid Shah Shams Qadari Lahore</v>
      </c>
      <c r="D152" s="10" t="str">
        <f>IFERROR(__xludf.DUMMYFUNCTION("""COMPUTED_VALUE"""),"9/27/24 6:53")</f>
        <v>9/27/24 6:53</v>
      </c>
      <c r="E152" s="10" t="str">
        <f>IFERROR(__xludf.DUMMYFUNCTION("""COMPUTED_VALUE"""),"Women Religious Info Share")</f>
        <v>Women Religious Info Share</v>
      </c>
      <c r="F152" s="10" t="str">
        <f>IFERROR(__xludf.DUMMYFUNCTION("""COMPUTED_VALUE"""),"Lahore")</f>
        <v>Lahore</v>
      </c>
    </row>
    <row r="153">
      <c r="A153" s="10" t="str">
        <f>IFERROR(__xludf.DUMMYFUNCTION("""COMPUTED_VALUE"""),"Lahore")</f>
        <v>Lahore</v>
      </c>
      <c r="B153" s="10" t="str">
        <f>IFERROR(__xludf.DUMMYFUNCTION("""COMPUTED_VALUE"""),"xdhvt")</f>
        <v>xdhvt</v>
      </c>
      <c r="C153" s="10" t="str">
        <f>IFERROR(__xludf.DUMMYFUNCTION("""COMPUTED_VALUE"""),"Jamia Masjid Australia Lahore")</f>
        <v>Jamia Masjid Australia Lahore</v>
      </c>
      <c r="D153" s="10" t="str">
        <f>IFERROR(__xludf.DUMMYFUNCTION("""COMPUTED_VALUE"""),"9/27/24 6:54")</f>
        <v>9/27/24 6:54</v>
      </c>
      <c r="E153" s="10" t="str">
        <f>IFERROR(__xludf.DUMMYFUNCTION("""COMPUTED_VALUE"""),"Community Religious Info Share")</f>
        <v>Community Religious Info Share</v>
      </c>
      <c r="F153" s="10" t="str">
        <f>IFERROR(__xludf.DUMMYFUNCTION("""COMPUTED_VALUE"""),"Lahore")</f>
        <v>Lahore</v>
      </c>
    </row>
    <row r="154">
      <c r="A154" s="10" t="str">
        <f>IFERROR(__xludf.DUMMYFUNCTION("""COMPUTED_VALUE"""),"Lahore")</f>
        <v>Lahore</v>
      </c>
      <c r="B154" s="10" t="str">
        <f>IFERROR(__xludf.DUMMYFUNCTION("""COMPUTED_VALUE"""),"fjkfw")</f>
        <v>fjkfw</v>
      </c>
      <c r="C154" s="10" t="str">
        <f>IFERROR(__xludf.DUMMYFUNCTION("""COMPUTED_VALUE"""),"Jamia Masjid Shah Ali Rungareez Lahore")</f>
        <v>Jamia Masjid Shah Ali Rungareez Lahore</v>
      </c>
      <c r="D154" s="10" t="str">
        <f>IFERROR(__xludf.DUMMYFUNCTION("""COMPUTED_VALUE"""),"9/27/24 7:04")</f>
        <v>9/27/24 7:04</v>
      </c>
      <c r="E154" s="10" t="str">
        <f>IFERROR(__xludf.DUMMYFUNCTION("""COMPUTED_VALUE"""),"Community Secular Info Share")</f>
        <v>Community Secular Info Share</v>
      </c>
      <c r="F154" s="10" t="str">
        <f>IFERROR(__xludf.DUMMYFUNCTION("""COMPUTED_VALUE"""),"Lahore")</f>
        <v>Lahore</v>
      </c>
    </row>
    <row r="155">
      <c r="A155" s="10" t="str">
        <f>IFERROR(__xludf.DUMMYFUNCTION("""COMPUTED_VALUE"""),"Lahore")</f>
        <v>Lahore</v>
      </c>
      <c r="B155" s="10" t="str">
        <f>IFERROR(__xludf.DUMMYFUNCTION("""COMPUTED_VALUE"""),"ekvzq")</f>
        <v>ekvzq</v>
      </c>
      <c r="C155" s="10" t="str">
        <f>IFERROR(__xludf.DUMMYFUNCTION("""COMPUTED_VALUE"""),"Jamia Masjid Ghangaara Nawali Lahore")</f>
        <v>Jamia Masjid Ghangaara Nawali Lahore</v>
      </c>
      <c r="D155" s="10" t="str">
        <f>IFERROR(__xludf.DUMMYFUNCTION("""COMPUTED_VALUE"""),"9/27/24 7:04")</f>
        <v>9/27/24 7:04</v>
      </c>
      <c r="E155" s="10" t="str">
        <f>IFERROR(__xludf.DUMMYFUNCTION("""COMPUTED_VALUE"""),"Women Religious Info Share")</f>
        <v>Women Religious Info Share</v>
      </c>
      <c r="F155" s="10" t="str">
        <f>IFERROR(__xludf.DUMMYFUNCTION("""COMPUTED_VALUE"""),"Lahore")</f>
        <v>Lahore</v>
      </c>
    </row>
    <row r="156">
      <c r="A156" s="10" t="str">
        <f>IFERROR(__xludf.DUMMYFUNCTION("""COMPUTED_VALUE"""),"Lahore")</f>
        <v>Lahore</v>
      </c>
      <c r="B156" s="10" t="str">
        <f>IFERROR(__xludf.DUMMYFUNCTION("""COMPUTED_VALUE"""),"moorq")</f>
        <v>moorq</v>
      </c>
      <c r="C156" s="10" t="str">
        <f>IFERROR(__xludf.DUMMYFUNCTION("""COMPUTED_VALUE"""),"Jamia Masjid Takiya Abdul Wahaab Lahore")</f>
        <v>Jamia Masjid Takiya Abdul Wahaab Lahore</v>
      </c>
      <c r="D156" s="10" t="str">
        <f>IFERROR(__xludf.DUMMYFUNCTION("""COMPUTED_VALUE"""),"9/27/24 7:05")</f>
        <v>9/27/24 7:05</v>
      </c>
      <c r="E156" s="10" t="str">
        <f>IFERROR(__xludf.DUMMYFUNCTION("""COMPUTED_VALUE"""),"Control")</f>
        <v>Control</v>
      </c>
      <c r="F156" s="10" t="str">
        <f>IFERROR(__xludf.DUMMYFUNCTION("""COMPUTED_VALUE"""),"Lahore")</f>
        <v>Lahore</v>
      </c>
    </row>
    <row r="157">
      <c r="A157" s="10" t="str">
        <f>IFERROR(__xludf.DUMMYFUNCTION("""COMPUTED_VALUE"""),"Lahore")</f>
        <v>Lahore</v>
      </c>
      <c r="B157" s="10" t="str">
        <f>IFERROR(__xludf.DUMMYFUNCTION("""COMPUTED_VALUE"""),"wywfr")</f>
        <v>wywfr</v>
      </c>
      <c r="C157" s="10" t="str">
        <f>IFERROR(__xludf.DUMMYFUNCTION("""COMPUTED_VALUE"""),"Jamia Masjid Chowk Dalkara Lahore")</f>
        <v>Jamia Masjid Chowk Dalkara Lahore</v>
      </c>
      <c r="D157" s="10" t="str">
        <f>IFERROR(__xludf.DUMMYFUNCTION("""COMPUTED_VALUE"""),"9/27/24 7:07")</f>
        <v>9/27/24 7:07</v>
      </c>
      <c r="E157" s="10" t="str">
        <f>IFERROR(__xludf.DUMMYFUNCTION("""COMPUTED_VALUE"""),"Women Secular Info Share")</f>
        <v>Women Secular Info Share</v>
      </c>
      <c r="F157" s="10" t="str">
        <f>IFERROR(__xludf.DUMMYFUNCTION("""COMPUTED_VALUE"""),"Lahore")</f>
        <v>Lahore</v>
      </c>
    </row>
    <row r="158">
      <c r="A158" s="10" t="str">
        <f>IFERROR(__xludf.DUMMYFUNCTION("""COMPUTED_VALUE"""),"Lahore")</f>
        <v>Lahore</v>
      </c>
      <c r="B158" s="10" t="str">
        <f>IFERROR(__xludf.DUMMYFUNCTION("""COMPUTED_VALUE"""),"pmeqo")</f>
        <v>pmeqo</v>
      </c>
      <c r="C158" s="10" t="str">
        <f>IFERROR(__xludf.DUMMYFUNCTION("""COMPUTED_VALUE"""),"Jamia Masjid Darbar Shah Chiraag Lahore")</f>
        <v>Jamia Masjid Darbar Shah Chiraag Lahore</v>
      </c>
      <c r="D158" s="10" t="str">
        <f>IFERROR(__xludf.DUMMYFUNCTION("""COMPUTED_VALUE"""),"9/27/24 8:07")</f>
        <v>9/27/24 8:07</v>
      </c>
      <c r="E158" s="10" t="str">
        <f>IFERROR(__xludf.DUMMYFUNCTION("""COMPUTED_VALUE"""),"Control")</f>
        <v>Control</v>
      </c>
      <c r="F158" s="10" t="str">
        <f>IFERROR(__xludf.DUMMYFUNCTION("""COMPUTED_VALUE"""),"Lahore")</f>
        <v>Lahore</v>
      </c>
    </row>
    <row r="159">
      <c r="A159" s="10" t="str">
        <f>IFERROR(__xludf.DUMMYFUNCTION("""COMPUTED_VALUE"""),"Lahore")</f>
        <v>Lahore</v>
      </c>
      <c r="B159" s="10" t="str">
        <f>IFERROR(__xludf.DUMMYFUNCTION("""COMPUTED_VALUE"""),"njkhf")</f>
        <v>njkhf</v>
      </c>
      <c r="C159" s="10" t="str">
        <f>IFERROR(__xludf.DUMMYFUNCTION("""COMPUTED_VALUE"""),"Jamia Masjid Rasool Shaheya Landa Bazar Lahore")</f>
        <v>Jamia Masjid Rasool Shaheya Landa Bazar Lahore</v>
      </c>
      <c r="D159" s="10" t="str">
        <f>IFERROR(__xludf.DUMMYFUNCTION("""COMPUTED_VALUE"""),"9/27/24 8:24")</f>
        <v>9/27/24 8:24</v>
      </c>
      <c r="E159" s="10" t="str">
        <f>IFERROR(__xludf.DUMMYFUNCTION("""COMPUTED_VALUE"""),"Control")</f>
        <v>Control</v>
      </c>
      <c r="F159" s="10" t="str">
        <f>IFERROR(__xludf.DUMMYFUNCTION("""COMPUTED_VALUE"""),"Lahore")</f>
        <v>Lahore</v>
      </c>
    </row>
    <row r="160">
      <c r="A160" s="10" t="str">
        <f>IFERROR(__xludf.DUMMYFUNCTION("""COMPUTED_VALUE"""),"Lahore")</f>
        <v>Lahore</v>
      </c>
      <c r="B160" s="10" t="str">
        <f>IFERROR(__xludf.DUMMYFUNCTION("""COMPUTED_VALUE"""),"hbroz")</f>
        <v>hbroz</v>
      </c>
      <c r="C160" s="10" t="str">
        <f>IFERROR(__xludf.DUMMYFUNCTION("""COMPUTED_VALUE"""),"Jamia Masjid Hanfiya Peer Hakum Shah Lahore")</f>
        <v>Jamia Masjid Hanfiya Peer Hakum Shah Lahore</v>
      </c>
      <c r="D160" s="10" t="str">
        <f>IFERROR(__xludf.DUMMYFUNCTION("""COMPUTED_VALUE"""),"9/27/24 8:58")</f>
        <v>9/27/24 8:58</v>
      </c>
      <c r="E160" s="10" t="str">
        <f>IFERROR(__xludf.DUMMYFUNCTION("""COMPUTED_VALUE"""),"Control")</f>
        <v>Control</v>
      </c>
      <c r="F160" s="10" t="str">
        <f>IFERROR(__xludf.DUMMYFUNCTION("""COMPUTED_VALUE"""),"Lahore")</f>
        <v>Lahore</v>
      </c>
    </row>
    <row r="161">
      <c r="A161" s="10" t="str">
        <f>IFERROR(__xludf.DUMMYFUNCTION("""COMPUTED_VALUE"""),"Lahore")</f>
        <v>Lahore</v>
      </c>
      <c r="B161" s="10" t="str">
        <f>IFERROR(__xludf.DUMMYFUNCTION("""COMPUTED_VALUE"""),"zqlfc")</f>
        <v>zqlfc</v>
      </c>
      <c r="C161" s="10" t="str">
        <f>IFERROR(__xludf.DUMMYFUNCTION("""COMPUTED_VALUE"""),"Jamia Masjid Muslim Luhari Gate Lahore")</f>
        <v>Jamia Masjid Muslim Luhari Gate Lahore</v>
      </c>
      <c r="D161" s="10" t="str">
        <f>IFERROR(__xludf.DUMMYFUNCTION("""COMPUTED_VALUE"""),"9/27/24 9:30")</f>
        <v>9/27/24 9:30</v>
      </c>
      <c r="E161" s="10" t="str">
        <f>IFERROR(__xludf.DUMMYFUNCTION("""COMPUTED_VALUE"""),"Control")</f>
        <v>Control</v>
      </c>
      <c r="F161" s="10" t="str">
        <f>IFERROR(__xludf.DUMMYFUNCTION("""COMPUTED_VALUE"""),"Lahore")</f>
        <v>Lahore</v>
      </c>
    </row>
    <row r="162">
      <c r="A162" s="10" t="str">
        <f>IFERROR(__xludf.DUMMYFUNCTION("""COMPUTED_VALUE"""),"Lahore")</f>
        <v>Lahore</v>
      </c>
      <c r="B162" s="10" t="str">
        <f>IFERROR(__xludf.DUMMYFUNCTION("""COMPUTED_VALUE"""),"ptnjj")</f>
        <v>ptnjj</v>
      </c>
      <c r="C162" s="10" t="str">
        <f>IFERROR(__xludf.DUMMYFUNCTION("""COMPUTED_VALUE"""),"Jamia Masjid Gamti Bazar Lahore")</f>
        <v>Jamia Masjid Gamti Bazar Lahore</v>
      </c>
      <c r="D162" s="10" t="str">
        <f>IFERROR(__xludf.DUMMYFUNCTION("""COMPUTED_VALUE"""),"9/27/24 9:52")</f>
        <v>9/27/24 9:52</v>
      </c>
      <c r="E162" s="10" t="str">
        <f>IFERROR(__xludf.DUMMYFUNCTION("""COMPUTED_VALUE"""),"Control")</f>
        <v>Control</v>
      </c>
      <c r="F162" s="10" t="str">
        <f>IFERROR(__xludf.DUMMYFUNCTION("""COMPUTED_VALUE"""),"Lahore")</f>
        <v>Lahore</v>
      </c>
    </row>
    <row r="163">
      <c r="A163" s="10" t="str">
        <f>IFERROR(__xludf.DUMMYFUNCTION("""COMPUTED_VALUE"""),"Lahore")</f>
        <v>Lahore</v>
      </c>
      <c r="B163" s="10" t="str">
        <f>IFERROR(__xludf.DUMMYFUNCTION("""COMPUTED_VALUE"""),"vtoiy")</f>
        <v>vtoiy</v>
      </c>
      <c r="C163" s="10" t="str">
        <f>IFERROR(__xludf.DUMMYFUNCTION("""COMPUTED_VALUE"""),"Jamia Masjid Takiya Sain Sardaara Lahore")</f>
        <v>Jamia Masjid Takiya Sain Sardaara Lahore</v>
      </c>
      <c r="D163" s="10" t="str">
        <f>IFERROR(__xludf.DUMMYFUNCTION("""COMPUTED_VALUE"""),"9/27/24 9:59")</f>
        <v>9/27/24 9:59</v>
      </c>
      <c r="E163" s="10" t="str">
        <f>IFERROR(__xludf.DUMMYFUNCTION("""COMPUTED_VALUE"""),"Community Religious Info Share")</f>
        <v>Community Religious Info Share</v>
      </c>
      <c r="F163" s="10" t="str">
        <f>IFERROR(__xludf.DUMMYFUNCTION("""COMPUTED_VALUE"""),"Lahore")</f>
        <v>Lahore</v>
      </c>
    </row>
    <row r="164">
      <c r="A164" s="10" t="str">
        <f>IFERROR(__xludf.DUMMYFUNCTION("""COMPUTED_VALUE"""),"Lahore")</f>
        <v>Lahore</v>
      </c>
      <c r="B164" s="10" t="str">
        <f>IFERROR(__xludf.DUMMYFUNCTION("""COMPUTED_VALUE"""),"bpozt")</f>
        <v>bpozt</v>
      </c>
      <c r="C164" s="10" t="str">
        <f>IFERROR(__xludf.DUMMYFUNCTION("""COMPUTED_VALUE"""),"Jamia Masjid Madina Purani Anarkali Lahore")</f>
        <v>Jamia Masjid Madina Purani Anarkali Lahore</v>
      </c>
      <c r="D164" s="330">
        <f>IFERROR(__xludf.DUMMYFUNCTION("""COMPUTED_VALUE"""),45392.21319444444)</f>
        <v>45392.21319</v>
      </c>
      <c r="E164" s="10" t="str">
        <f>IFERROR(__xludf.DUMMYFUNCTION("""COMPUTED_VALUE"""),"Community Religious No Info Share")</f>
        <v>Community Religious No Info Share</v>
      </c>
      <c r="F164" s="10" t="str">
        <f>IFERROR(__xludf.DUMMYFUNCTION("""COMPUTED_VALUE"""),"Lahore")</f>
        <v>Lahore</v>
      </c>
    </row>
    <row r="165">
      <c r="A165" s="10" t="str">
        <f>IFERROR(__xludf.DUMMYFUNCTION("""COMPUTED_VALUE"""),"Lahore")</f>
        <v>Lahore</v>
      </c>
      <c r="B165" s="10" t="str">
        <f>IFERROR(__xludf.DUMMYFUNCTION("""COMPUTED_VALUE"""),"gqomo")</f>
        <v>gqomo</v>
      </c>
      <c r="C165" s="10" t="str">
        <f>IFERROR(__xludf.DUMMYFUNCTION("""COMPUTED_VALUE"""),"Jamia Masjid Abu Bakar Sadiq Jalu Moor Lahore")</f>
        <v>Jamia Masjid Abu Bakar Sadiq Jalu Moor Lahore</v>
      </c>
      <c r="D165" s="330">
        <f>IFERROR(__xludf.DUMMYFUNCTION("""COMPUTED_VALUE"""),45392.214583333334)</f>
        <v>45392.21458</v>
      </c>
      <c r="E165" s="10" t="str">
        <f>IFERROR(__xludf.DUMMYFUNCTION("""COMPUTED_VALUE"""),"Women Religious No Info Share")</f>
        <v>Women Religious No Info Share</v>
      </c>
      <c r="F165" s="10" t="str">
        <f>IFERROR(__xludf.DUMMYFUNCTION("""COMPUTED_VALUE"""),"Lahore")</f>
        <v>Lahore</v>
      </c>
    </row>
    <row r="166">
      <c r="A166" s="10" t="str">
        <f>IFERROR(__xludf.DUMMYFUNCTION("""COMPUTED_VALUE"""),"Lahore")</f>
        <v>Lahore</v>
      </c>
      <c r="B166" s="10" t="str">
        <f>IFERROR(__xludf.DUMMYFUNCTION("""COMPUTED_VALUE"""),"fevmy")</f>
        <v>fevmy</v>
      </c>
      <c r="C166" s="10" t="str">
        <f>IFERROR(__xludf.DUMMYFUNCTION("""COMPUTED_VALUE"""),"Jamia Masjid Darbar Ismail Shah Bukhari Lahore")</f>
        <v>Jamia Masjid Darbar Ismail Shah Bukhari Lahore</v>
      </c>
      <c r="D166" s="330">
        <f>IFERROR(__xludf.DUMMYFUNCTION("""COMPUTED_VALUE"""),45392.22638888889)</f>
        <v>45392.22639</v>
      </c>
      <c r="E166" s="10" t="str">
        <f>IFERROR(__xludf.DUMMYFUNCTION("""COMPUTED_VALUE"""),"Community Secular Info Share")</f>
        <v>Community Secular Info Share</v>
      </c>
      <c r="F166" s="10" t="str">
        <f>IFERROR(__xludf.DUMMYFUNCTION("""COMPUTED_VALUE"""),"Lahore")</f>
        <v>Lahore</v>
      </c>
    </row>
    <row r="167">
      <c r="A167" s="10" t="str">
        <f>IFERROR(__xludf.DUMMYFUNCTION("""COMPUTED_VALUE"""),"Lahore")</f>
        <v>Lahore</v>
      </c>
      <c r="B167" s="10" t="str">
        <f>IFERROR(__xludf.DUMMYFUNCTION("""COMPUTED_VALUE"""),"yhrds")</f>
        <v>yhrds</v>
      </c>
      <c r="C167" s="10" t="str">
        <f>IFERROR(__xludf.DUMMYFUNCTION("""COMPUTED_VALUE"""),"Jamia Masjid Darbar Meer Hussain Rangani Lahore")</f>
        <v>Jamia Masjid Darbar Meer Hussain Rangani Lahore</v>
      </c>
      <c r="D167" s="330">
        <f>IFERROR(__xludf.DUMMYFUNCTION("""COMPUTED_VALUE"""),45392.243055555555)</f>
        <v>45392.24306</v>
      </c>
      <c r="E167" s="10" t="str">
        <f>IFERROR(__xludf.DUMMYFUNCTION("""COMPUTED_VALUE"""),"Community Religious Info Share")</f>
        <v>Community Religious Info Share</v>
      </c>
      <c r="F167" s="10" t="str">
        <f>IFERROR(__xludf.DUMMYFUNCTION("""COMPUTED_VALUE"""),"Lahore")</f>
        <v>Lahore</v>
      </c>
    </row>
    <row r="168">
      <c r="A168" s="10" t="str">
        <f>IFERROR(__xludf.DUMMYFUNCTION("""COMPUTED_VALUE"""),"Lahore")</f>
        <v>Lahore</v>
      </c>
      <c r="B168" s="10" t="str">
        <f>IFERROR(__xludf.DUMMYFUNCTION("""COMPUTED_VALUE"""),"lwumj")</f>
        <v>lwumj</v>
      </c>
      <c r="C168" s="10" t="str">
        <f>IFERROR(__xludf.DUMMYFUNCTION("""COMPUTED_VALUE"""),"Jamia Masjid Neela Gumbat Lahore")</f>
        <v>Jamia Masjid Neela Gumbat Lahore</v>
      </c>
      <c r="D168" s="330">
        <f>IFERROR(__xludf.DUMMYFUNCTION("""COMPUTED_VALUE"""),45392.25347222222)</f>
        <v>45392.25347</v>
      </c>
      <c r="E168" s="10" t="str">
        <f>IFERROR(__xludf.DUMMYFUNCTION("""COMPUTED_VALUE"""),"Control")</f>
        <v>Control</v>
      </c>
      <c r="F168" s="10" t="str">
        <f>IFERROR(__xludf.DUMMYFUNCTION("""COMPUTED_VALUE"""),"Lahore")</f>
        <v>Lahore</v>
      </c>
    </row>
    <row r="169">
      <c r="A169" s="10" t="str">
        <f>IFERROR(__xludf.DUMMYFUNCTION("""COMPUTED_VALUE"""),"Lahore")</f>
        <v>Lahore</v>
      </c>
      <c r="B169" s="10" t="str">
        <f>IFERROR(__xludf.DUMMYFUNCTION("""COMPUTED_VALUE"""),"zhcjl")</f>
        <v>zhcjl</v>
      </c>
      <c r="C169" s="10" t="str">
        <f>IFERROR(__xludf.DUMMYFUNCTION("""COMPUTED_VALUE"""),"Jamia Masjid Esha Shahab Lahore")</f>
        <v>Jamia Masjid Esha Shahab Lahore</v>
      </c>
      <c r="D169" s="330">
        <f>IFERROR(__xludf.DUMMYFUNCTION("""COMPUTED_VALUE"""),45392.26458333333)</f>
        <v>45392.26458</v>
      </c>
      <c r="E169" s="10" t="str">
        <f>IFERROR(__xludf.DUMMYFUNCTION("""COMPUTED_VALUE"""),"Community Secular Info Share")</f>
        <v>Community Secular Info Share</v>
      </c>
      <c r="F169" s="10" t="str">
        <f>IFERROR(__xludf.DUMMYFUNCTION("""COMPUTED_VALUE"""),"Lahore")</f>
        <v>Lahore</v>
      </c>
    </row>
    <row r="170">
      <c r="A170" s="10" t="str">
        <f>IFERROR(__xludf.DUMMYFUNCTION("""COMPUTED_VALUE"""),"Lahore")</f>
        <v>Lahore</v>
      </c>
      <c r="B170" s="10" t="str">
        <f>IFERROR(__xludf.DUMMYFUNCTION("""COMPUTED_VALUE"""),"dwebz")</f>
        <v>dwebz</v>
      </c>
      <c r="C170" s="10" t="str">
        <f>IFERROR(__xludf.DUMMYFUNCTION("""COMPUTED_VALUE"""),"Jamia Masjid Hamam Wali Sotar Mandi Lahore")</f>
        <v>Jamia Masjid Hamam Wali Sotar Mandi Lahore</v>
      </c>
      <c r="D170" s="330">
        <f>IFERROR(__xludf.DUMMYFUNCTION("""COMPUTED_VALUE"""),45392.26527777778)</f>
        <v>45392.26528</v>
      </c>
      <c r="E170" s="10" t="str">
        <f>IFERROR(__xludf.DUMMYFUNCTION("""COMPUTED_VALUE"""),"Community Religious Info Share")</f>
        <v>Community Religious Info Share</v>
      </c>
      <c r="F170" s="10" t="str">
        <f>IFERROR(__xludf.DUMMYFUNCTION("""COMPUTED_VALUE"""),"Lahore")</f>
        <v>Lahore</v>
      </c>
    </row>
    <row r="171">
      <c r="A171" s="10" t="str">
        <f>IFERROR(__xludf.DUMMYFUNCTION("""COMPUTED_VALUE"""),"Lahore")</f>
        <v>Lahore</v>
      </c>
      <c r="B171" s="10" t="str">
        <f>IFERROR(__xludf.DUMMYFUNCTION("""COMPUTED_VALUE"""),"qecjr")</f>
        <v>qecjr</v>
      </c>
      <c r="C171" s="10" t="str">
        <f>IFERROR(__xludf.DUMMYFUNCTION("""COMPUTED_VALUE"""),"Darbar Hazrat Gohar peer Shah")</f>
        <v>Darbar Hazrat Gohar peer Shah</v>
      </c>
      <c r="D171" s="330">
        <f>IFERROR(__xludf.DUMMYFUNCTION("""COMPUTED_VALUE"""),45392.26875)</f>
        <v>45392.26875</v>
      </c>
      <c r="E171" s="10" t="str">
        <f>IFERROR(__xludf.DUMMYFUNCTION("""COMPUTED_VALUE"""),"Control")</f>
        <v>Control</v>
      </c>
      <c r="F171" s="10" t="str">
        <f>IFERROR(__xludf.DUMMYFUNCTION("""COMPUTED_VALUE"""),"Lahore")</f>
        <v>Lahore</v>
      </c>
    </row>
    <row r="172">
      <c r="A172" s="10" t="str">
        <f>IFERROR(__xludf.DUMMYFUNCTION("""COMPUTED_VALUE"""),"Lahore")</f>
        <v>Lahore</v>
      </c>
      <c r="B172" s="10" t="str">
        <f>IFERROR(__xludf.DUMMYFUNCTION("""COMPUTED_VALUE"""),"hkeci")</f>
        <v>hkeci</v>
      </c>
      <c r="C172" s="10" t="str">
        <f>IFERROR(__xludf.DUMMYFUNCTION("""COMPUTED_VALUE"""),"Jamia Mosjid Noorani Qasaban Wali")</f>
        <v>Jamia Mosjid Noorani Qasaban Wali</v>
      </c>
      <c r="D172" s="330">
        <f>IFERROR(__xludf.DUMMYFUNCTION("""COMPUTED_VALUE"""),45392.2875)</f>
        <v>45392.2875</v>
      </c>
      <c r="E172" s="10" t="str">
        <f>IFERROR(__xludf.DUMMYFUNCTION("""COMPUTED_VALUE"""),"Women Religious Info Share")</f>
        <v>Women Religious Info Share</v>
      </c>
      <c r="F172" s="10" t="str">
        <f>IFERROR(__xludf.DUMMYFUNCTION("""COMPUTED_VALUE"""),"Lahore")</f>
        <v>Lahore</v>
      </c>
    </row>
    <row r="173">
      <c r="A173" s="10" t="str">
        <f>IFERROR(__xludf.DUMMYFUNCTION("""COMPUTED_VALUE"""),"Lahore")</f>
        <v>Lahore</v>
      </c>
      <c r="B173" s="10" t="str">
        <f>IFERROR(__xludf.DUMMYFUNCTION("""COMPUTED_VALUE"""),"cwfim")</f>
        <v>cwfim</v>
      </c>
      <c r="C173" s="10" t="str">
        <f>IFERROR(__xludf.DUMMYFUNCTION("""COMPUTED_VALUE"""),"Jamia Masjid Hanifya Ghosia Scheme # 2 Lahore")</f>
        <v>Jamia Masjid Hanifya Ghosia Scheme # 2 Lahore</v>
      </c>
      <c r="D173" s="330">
        <f>IFERROR(__xludf.DUMMYFUNCTION("""COMPUTED_VALUE"""),45392.29722222222)</f>
        <v>45392.29722</v>
      </c>
      <c r="E173" s="10" t="str">
        <f>IFERROR(__xludf.DUMMYFUNCTION("""COMPUTED_VALUE"""),"Community Secular No Info Share")</f>
        <v>Community Secular No Info Share</v>
      </c>
      <c r="F173" s="10" t="str">
        <f>IFERROR(__xludf.DUMMYFUNCTION("""COMPUTED_VALUE"""),"Lahore")</f>
        <v>Lahore</v>
      </c>
    </row>
    <row r="174">
      <c r="A174" s="10" t="str">
        <f>IFERROR(__xludf.DUMMYFUNCTION("""COMPUTED_VALUE"""),"Lahore")</f>
        <v>Lahore</v>
      </c>
      <c r="B174" s="10" t="str">
        <f>IFERROR(__xludf.DUMMYFUNCTION("""COMPUTED_VALUE"""),"dxome")</f>
        <v>dxome</v>
      </c>
      <c r="C174" s="10" t="str">
        <f>IFERROR(__xludf.DUMMYFUNCTION("""COMPUTED_VALUE"""),"Jamia Masjid Bedian Road Lahore")</f>
        <v>Jamia Masjid Bedian Road Lahore</v>
      </c>
      <c r="D174" s="330">
        <f>IFERROR(__xludf.DUMMYFUNCTION("""COMPUTED_VALUE"""),45392.302083333336)</f>
        <v>45392.30208</v>
      </c>
      <c r="E174" s="10" t="str">
        <f>IFERROR(__xludf.DUMMYFUNCTION("""COMPUTED_VALUE"""),"Community Secular Info Share")</f>
        <v>Community Secular Info Share</v>
      </c>
      <c r="F174" s="10" t="str">
        <f>IFERROR(__xludf.DUMMYFUNCTION("""COMPUTED_VALUE"""),"Lahore")</f>
        <v>Lahore</v>
      </c>
    </row>
    <row r="175">
      <c r="A175" s="10" t="str">
        <f>IFERROR(__xludf.DUMMYFUNCTION("""COMPUTED_VALUE"""),"Lahore")</f>
        <v>Lahore</v>
      </c>
      <c r="B175" s="10" t="str">
        <f>IFERROR(__xludf.DUMMYFUNCTION("""COMPUTED_VALUE"""),"ieyaf")</f>
        <v>ieyaf</v>
      </c>
      <c r="C175" s="10" t="str">
        <f>IFERROR(__xludf.DUMMYFUNCTION("""COMPUTED_VALUE"""),"Jamia Masjid Dehli Muslim Lahore")</f>
        <v>Jamia Masjid Dehli Muslim Lahore</v>
      </c>
      <c r="D175" s="330">
        <f>IFERROR(__xludf.DUMMYFUNCTION("""COMPUTED_VALUE"""),45606.236805555556)</f>
        <v>45606.23681</v>
      </c>
      <c r="E175" s="10" t="str">
        <f>IFERROR(__xludf.DUMMYFUNCTION("""COMPUTED_VALUE"""),"Women Religious Info Share")</f>
        <v>Women Religious Info Share</v>
      </c>
      <c r="F175" s="10" t="str">
        <f>IFERROR(__xludf.DUMMYFUNCTION("""COMPUTED_VALUE"""),"Lahore")</f>
        <v>Lahore</v>
      </c>
    </row>
    <row r="176">
      <c r="A176" s="10" t="str">
        <f>IFERROR(__xludf.DUMMYFUNCTION("""COMPUTED_VALUE"""),"Lahore")</f>
        <v>Lahore</v>
      </c>
      <c r="B176" s="10" t="str">
        <f>IFERROR(__xludf.DUMMYFUNCTION("""COMPUTED_VALUE"""),"buvya")</f>
        <v>buvya</v>
      </c>
      <c r="C176" s="10" t="str">
        <f>IFERROR(__xludf.DUMMYFUNCTION("""COMPUTED_VALUE"""),"Jamia Masjid Takiya Peer Hassan Shah Wali Lahore")</f>
        <v>Jamia Masjid Takiya Peer Hassan Shah Wali Lahore</v>
      </c>
      <c r="D176" s="330">
        <f>IFERROR(__xludf.DUMMYFUNCTION("""COMPUTED_VALUE"""),45606.25277777778)</f>
        <v>45606.25278</v>
      </c>
      <c r="E176" s="10" t="str">
        <f>IFERROR(__xludf.DUMMYFUNCTION("""COMPUTED_VALUE"""),"Community Religious Info Share")</f>
        <v>Community Religious Info Share</v>
      </c>
      <c r="F176" s="10" t="str">
        <f>IFERROR(__xludf.DUMMYFUNCTION("""COMPUTED_VALUE"""),"Lahore")</f>
        <v>Lahore</v>
      </c>
    </row>
    <row r="177">
      <c r="A177" s="10" t="str">
        <f>IFERROR(__xludf.DUMMYFUNCTION("""COMPUTED_VALUE"""),"Lahore")</f>
        <v>Lahore</v>
      </c>
      <c r="B177" s="10" t="str">
        <f>IFERROR(__xludf.DUMMYFUNCTION("""COMPUTED_VALUE"""),"tnjaz")</f>
        <v>tnjaz</v>
      </c>
      <c r="C177" s="10" t="str">
        <f>IFERROR(__xludf.DUMMYFUNCTION("""COMPUTED_VALUE"""),"Jamia Masjid Noor Eman Wali Kashmir Bazar Lahore")</f>
        <v>Jamia Masjid Noor Eman Wali Kashmir Bazar Lahore</v>
      </c>
      <c r="D177" s="330">
        <f>IFERROR(__xludf.DUMMYFUNCTION("""COMPUTED_VALUE"""),45606.254166666666)</f>
        <v>45606.25417</v>
      </c>
      <c r="E177" s="10" t="str">
        <f>IFERROR(__xludf.DUMMYFUNCTION("""COMPUTED_VALUE"""),"Women Religious No Info Share")</f>
        <v>Women Religious No Info Share</v>
      </c>
      <c r="F177" s="10" t="str">
        <f>IFERROR(__xludf.DUMMYFUNCTION("""COMPUTED_VALUE"""),"Lahore")</f>
        <v>Lahore</v>
      </c>
    </row>
    <row r="178">
      <c r="A178" s="10" t="str">
        <f>IFERROR(__xludf.DUMMYFUNCTION("""COMPUTED_VALUE"""),"Lahore")</f>
        <v>Lahore</v>
      </c>
      <c r="B178" s="10" t="str">
        <f>IFERROR(__xludf.DUMMYFUNCTION("""COMPUTED_VALUE"""),"shcuy")</f>
        <v>shcuy</v>
      </c>
      <c r="C178" s="10" t="str">
        <f>IFERROR(__xludf.DUMMYFUNCTION("""COMPUTED_VALUE"""),"Jamia Masjid Bibi Pak Daman Lahore")</f>
        <v>Jamia Masjid Bibi Pak Daman Lahore</v>
      </c>
      <c r="D178" s="330">
        <f>IFERROR(__xludf.DUMMYFUNCTION("""COMPUTED_VALUE"""),45606.26736111111)</f>
        <v>45606.26736</v>
      </c>
      <c r="E178" s="10" t="str">
        <f>IFERROR(__xludf.DUMMYFUNCTION("""COMPUTED_VALUE"""),"Control")</f>
        <v>Control</v>
      </c>
      <c r="F178" s="10" t="str">
        <f>IFERROR(__xludf.DUMMYFUNCTION("""COMPUTED_VALUE"""),"Lahore")</f>
        <v>Lahore</v>
      </c>
    </row>
    <row r="179">
      <c r="A179" s="10" t="str">
        <f>IFERROR(__xludf.DUMMYFUNCTION("""COMPUTED_VALUE"""),"Lahore")</f>
        <v>Lahore</v>
      </c>
      <c r="B179" s="10" t="str">
        <f>IFERROR(__xludf.DUMMYFUNCTION("""COMPUTED_VALUE"""),"klysr")</f>
        <v>klysr</v>
      </c>
      <c r="C179" s="10" t="str">
        <f>IFERROR(__xludf.DUMMYFUNCTION("""COMPUTED_VALUE"""),"Jamia Masjid Darbar Madu Laal Hussain Lahore")</f>
        <v>Jamia Masjid Darbar Madu Laal Hussain Lahore</v>
      </c>
      <c r="D179" s="330">
        <f>IFERROR(__xludf.DUMMYFUNCTION("""COMPUTED_VALUE"""),45606.290972222225)</f>
        <v>45606.29097</v>
      </c>
      <c r="E179" s="10" t="str">
        <f>IFERROR(__xludf.DUMMYFUNCTION("""COMPUTED_VALUE"""),"Women Secular Info Share")</f>
        <v>Women Secular Info Share</v>
      </c>
      <c r="F179" s="10" t="str">
        <f>IFERROR(__xludf.DUMMYFUNCTION("""COMPUTED_VALUE"""),"Lahore")</f>
        <v>Lahore</v>
      </c>
    </row>
    <row r="180">
      <c r="A180" s="10" t="str">
        <f>IFERROR(__xludf.DUMMYFUNCTION("""COMPUTED_VALUE"""),"Lahore")</f>
        <v>Lahore</v>
      </c>
      <c r="B180" s="10" t="str">
        <f>IFERROR(__xludf.DUMMYFUNCTION("""COMPUTED_VALUE"""),"xuynq")</f>
        <v>xuynq</v>
      </c>
      <c r="C180" s="10" t="str">
        <f>IFERROR(__xludf.DUMMYFUNCTION("""COMPUTED_VALUE"""),"Jamia Masjid Ghosia Masti Gate Lahore")</f>
        <v>Jamia Masjid Ghosia Masti Gate Lahore</v>
      </c>
      <c r="D180" s="10" t="str">
        <f>IFERROR(__xludf.DUMMYFUNCTION("""COMPUTED_VALUE"""),"10/18/24 5:44")</f>
        <v>10/18/24 5:44</v>
      </c>
      <c r="E180" s="10" t="str">
        <f>IFERROR(__xludf.DUMMYFUNCTION("""COMPUTED_VALUE"""),"Control")</f>
        <v>Control</v>
      </c>
      <c r="F180" s="10" t="str">
        <f>IFERROR(__xludf.DUMMYFUNCTION("""COMPUTED_VALUE"""),"Lahore")</f>
        <v>Lahore</v>
      </c>
    </row>
    <row r="181">
      <c r="A181" s="10" t="str">
        <f>IFERROR(__xludf.DUMMYFUNCTION("""COMPUTED_VALUE"""),"Lahore")</f>
        <v>Lahore</v>
      </c>
      <c r="B181" s="10" t="str">
        <f>IFERROR(__xludf.DUMMYFUNCTION("""COMPUTED_VALUE"""),"xqvon")</f>
        <v>xqvon</v>
      </c>
      <c r="C181" s="10" t="str">
        <f>IFERROR(__xludf.DUMMYFUNCTION("""COMPUTED_VALUE"""),"Jamia Masjid Qurban Ali Shah Lahore / Darbar hazrat Qurban Ali shah")</f>
        <v>Jamia Masjid Qurban Ali Shah Lahore / Darbar hazrat Qurban Ali shah</v>
      </c>
      <c r="D181" s="10" t="str">
        <f>IFERROR(__xludf.DUMMYFUNCTION("""COMPUTED_VALUE"""),"10/31/24 7:15")</f>
        <v>10/31/24 7:15</v>
      </c>
      <c r="E181" s="10" t="str">
        <f>IFERROR(__xludf.DUMMYFUNCTION("""COMPUTED_VALUE"""),"Control")</f>
        <v>Control</v>
      </c>
      <c r="F181" s="10" t="str">
        <f>IFERROR(__xludf.DUMMYFUNCTION("""COMPUTED_VALUE"""),"Lahore")</f>
        <v>Lahore</v>
      </c>
    </row>
    <row r="182">
      <c r="A182" s="10" t="str">
        <f>IFERROR(__xludf.DUMMYFUNCTION("""COMPUTED_VALUE"""),"Lahore")</f>
        <v>Lahore</v>
      </c>
      <c r="B182" s="10" t="str">
        <f>IFERROR(__xludf.DUMMYFUNCTION("""COMPUTED_VALUE"""),"wvmxf")</f>
        <v>wvmxf</v>
      </c>
      <c r="C182" s="10" t="str">
        <f>IFERROR(__xludf.DUMMYFUNCTION("""COMPUTED_VALUE"""),"Jamia Masjid Hanifia Railway Road Gawaal Mandi Lahore")</f>
        <v>Jamia Masjid Hanifia Railway Road Gawaal Mandi Lahore</v>
      </c>
      <c r="D182" s="10" t="str">
        <f>IFERROR(__xludf.DUMMYFUNCTION("""COMPUTED_VALUE"""),"12/28/24 20:14")</f>
        <v>12/28/24 20:14</v>
      </c>
      <c r="E182" s="10" t="str">
        <f>IFERROR(__xludf.DUMMYFUNCTION("""COMPUTED_VALUE"""),"Community Religious No Info Share")</f>
        <v>Community Religious No Info Share</v>
      </c>
      <c r="F182" s="10" t="str">
        <f>IFERROR(__xludf.DUMMYFUNCTION("""COMPUTED_VALUE"""),"Lahore")</f>
        <v>Lahore</v>
      </c>
    </row>
    <row r="183">
      <c r="A183" s="10" t="str">
        <f>IFERROR(__xludf.DUMMYFUNCTION("""COMPUTED_VALUE"""),"Multan")</f>
        <v>Multan</v>
      </c>
      <c r="B183" s="10" t="str">
        <f>IFERROR(__xludf.DUMMYFUNCTION("""COMPUTED_VALUE"""),"dodav")</f>
        <v>dodav</v>
      </c>
      <c r="C183" s="10" t="str">
        <f>IFERROR(__xludf.DUMMYFUNCTION("""COMPUTED_VALUE"""),"Jamia Masjid Nawab Ali Muhammad Khan Multan")</f>
        <v>Jamia Masjid Nawab Ali Muhammad Khan Multan</v>
      </c>
      <c r="D183" s="330">
        <f>IFERROR(__xludf.DUMMYFUNCTION("""COMPUTED_VALUE"""),45484.75277777778)</f>
        <v>45484.75278</v>
      </c>
      <c r="E183" s="10" t="str">
        <f>IFERROR(__xludf.DUMMYFUNCTION("""COMPUTED_VALUE"""),"Control")</f>
        <v>Control</v>
      </c>
      <c r="F183" s="10" t="str">
        <f>IFERROR(__xludf.DUMMYFUNCTION("""COMPUTED_VALUE"""),"Multan")</f>
        <v>Multan</v>
      </c>
    </row>
    <row r="184">
      <c r="A184" s="10" t="str">
        <f>IFERROR(__xludf.DUMMYFUNCTION("""COMPUTED_VALUE"""),"Multan")</f>
        <v>Multan</v>
      </c>
      <c r="B184" s="10" t="str">
        <f>IFERROR(__xludf.DUMMYFUNCTION("""COMPUTED_VALUE"""),"ctopi")</f>
        <v>ctopi</v>
      </c>
      <c r="C184" s="10" t="str">
        <f>IFERROR(__xludf.DUMMYFUNCTION("""COMPUTED_VALUE"""),"Jamia Masjid Zain Ul Abdain Multan")</f>
        <v>Jamia Masjid Zain Ul Abdain Multan</v>
      </c>
      <c r="D184" s="330">
        <f>IFERROR(__xludf.DUMMYFUNCTION("""COMPUTED_VALUE"""),45515.13125)</f>
        <v>45515.13125</v>
      </c>
      <c r="E184" s="10" t="str">
        <f>IFERROR(__xludf.DUMMYFUNCTION("""COMPUTED_VALUE"""),"Control")</f>
        <v>Control</v>
      </c>
      <c r="F184" s="10" t="str">
        <f>IFERROR(__xludf.DUMMYFUNCTION("""COMPUTED_VALUE"""),"Multan")</f>
        <v>Multan</v>
      </c>
    </row>
    <row r="185">
      <c r="A185" s="10" t="str">
        <f>IFERROR(__xludf.DUMMYFUNCTION("""COMPUTED_VALUE"""),"Multan")</f>
        <v>Multan</v>
      </c>
      <c r="B185" s="10" t="str">
        <f>IFERROR(__xludf.DUMMYFUNCTION("""COMPUTED_VALUE"""),"zyeln")</f>
        <v>zyeln</v>
      </c>
      <c r="C185" s="10" t="str">
        <f>IFERROR(__xludf.DUMMYFUNCTION("""COMPUTED_VALUE"""),"Jamia Masjid Peer Ashaq Khawani Burj Multan")</f>
        <v>Jamia Masjid Peer Ashaq Khawani Burj Multan</v>
      </c>
      <c r="D185" s="330">
        <f>IFERROR(__xludf.DUMMYFUNCTION("""COMPUTED_VALUE"""),45515.15347222222)</f>
        <v>45515.15347</v>
      </c>
      <c r="E185" s="10" t="str">
        <f>IFERROR(__xludf.DUMMYFUNCTION("""COMPUTED_VALUE"""),"Control")</f>
        <v>Control</v>
      </c>
      <c r="F185" s="10" t="str">
        <f>IFERROR(__xludf.DUMMYFUNCTION("""COMPUTED_VALUE"""),"Multan")</f>
        <v>Multan</v>
      </c>
    </row>
    <row r="186">
      <c r="A186" s="10" t="str">
        <f>IFERROR(__xludf.DUMMYFUNCTION("""COMPUTED_VALUE"""),"Multan")</f>
        <v>Multan</v>
      </c>
      <c r="B186" s="10" t="str">
        <f>IFERROR(__xludf.DUMMYFUNCTION("""COMPUTED_VALUE"""),"vqubm")</f>
        <v>vqubm</v>
      </c>
      <c r="C186" s="10" t="str">
        <f>IFERROR(__xludf.DUMMYFUNCTION("""COMPUTED_VALUE"""),"Jamia Masjid DarkhanWali Multan")</f>
        <v>Jamia Masjid DarkhanWali Multan</v>
      </c>
      <c r="D186" s="330">
        <f>IFERROR(__xludf.DUMMYFUNCTION("""COMPUTED_VALUE"""),45515.175)</f>
        <v>45515.175</v>
      </c>
      <c r="E186" s="10" t="str">
        <f>IFERROR(__xludf.DUMMYFUNCTION("""COMPUTED_VALUE"""),"Women Secular No Info Share")</f>
        <v>Women Secular No Info Share</v>
      </c>
      <c r="F186" s="10" t="str">
        <f>IFERROR(__xludf.DUMMYFUNCTION("""COMPUTED_VALUE"""),"Multan")</f>
        <v>Multan</v>
      </c>
    </row>
    <row r="187">
      <c r="A187" s="10" t="str">
        <f>IFERROR(__xludf.DUMMYFUNCTION("""COMPUTED_VALUE"""),"Multan")</f>
        <v>Multan</v>
      </c>
      <c r="B187" s="10" t="str">
        <f>IFERROR(__xludf.DUMMYFUNCTION("""COMPUTED_VALUE"""),"iprwe")</f>
        <v>iprwe</v>
      </c>
      <c r="C187" s="10" t="str">
        <f>IFERROR(__xludf.DUMMYFUNCTION("""COMPUTED_VALUE"""),"Jamia Masjid Jalal Gilghast Coloney Multan")</f>
        <v>Jamia Masjid Jalal Gilghast Coloney Multan</v>
      </c>
      <c r="D187" s="330">
        <f>IFERROR(__xludf.DUMMYFUNCTION("""COMPUTED_VALUE"""),45515.19236111111)</f>
        <v>45515.19236</v>
      </c>
      <c r="E187" s="10" t="str">
        <f>IFERROR(__xludf.DUMMYFUNCTION("""COMPUTED_VALUE"""),"Control")</f>
        <v>Control</v>
      </c>
      <c r="F187" s="10" t="str">
        <f>IFERROR(__xludf.DUMMYFUNCTION("""COMPUTED_VALUE"""),"Multan")</f>
        <v>Multan</v>
      </c>
    </row>
    <row r="188">
      <c r="A188" s="10" t="str">
        <f>IFERROR(__xludf.DUMMYFUNCTION("""COMPUTED_VALUE"""),"Multan")</f>
        <v>Multan</v>
      </c>
      <c r="B188" s="10" t="str">
        <f>IFERROR(__xludf.DUMMYFUNCTION("""COMPUTED_VALUE"""),"hjrmq")</f>
        <v>hjrmq</v>
      </c>
      <c r="C188" s="10" t="str">
        <f>IFERROR(__xludf.DUMMYFUNCTION("""COMPUTED_VALUE"""),"Jamia Masjid Neel Garan Multan")</f>
        <v>Jamia Masjid Neel Garan Multan</v>
      </c>
      <c r="D188" s="330">
        <f>IFERROR(__xludf.DUMMYFUNCTION("""COMPUTED_VALUE"""),45515.19652777778)</f>
        <v>45515.19653</v>
      </c>
      <c r="E188" s="10" t="str">
        <f>IFERROR(__xludf.DUMMYFUNCTION("""COMPUTED_VALUE"""),"Community Religious Info Share")</f>
        <v>Community Religious Info Share</v>
      </c>
      <c r="F188" s="10" t="str">
        <f>IFERROR(__xludf.DUMMYFUNCTION("""COMPUTED_VALUE"""),"Multan")</f>
        <v>Multan</v>
      </c>
    </row>
    <row r="189">
      <c r="A189" s="10" t="str">
        <f>IFERROR(__xludf.DUMMYFUNCTION("""COMPUTED_VALUE"""),"Multan")</f>
        <v>Multan</v>
      </c>
      <c r="B189" s="10" t="str">
        <f>IFERROR(__xludf.DUMMYFUNCTION("""COMPUTED_VALUE"""),"ndsnq")</f>
        <v>ndsnq</v>
      </c>
      <c r="C189" s="10" t="str">
        <f>IFERROR(__xludf.DUMMYFUNCTION("""COMPUTED_VALUE"""),"Jamia Masjid Darbar Sultan Ahmad Qataal Jalaal Pur Peer Wala Multan")</f>
        <v>Jamia Masjid Darbar Sultan Ahmad Qataal Jalaal Pur Peer Wala Multan</v>
      </c>
      <c r="D189" s="330">
        <f>IFERROR(__xludf.DUMMYFUNCTION("""COMPUTED_VALUE"""),45515.197222222225)</f>
        <v>45515.19722</v>
      </c>
      <c r="E189" s="10" t="str">
        <f>IFERROR(__xludf.DUMMYFUNCTION("""COMPUTED_VALUE"""),"Community Religious Info Share")</f>
        <v>Community Religious Info Share</v>
      </c>
      <c r="F189" s="10" t="str">
        <f>IFERROR(__xludf.DUMMYFUNCTION("""COMPUTED_VALUE"""),"Multan")</f>
        <v>Multan</v>
      </c>
    </row>
    <row r="190">
      <c r="A190" s="10" t="str">
        <f>IFERROR(__xludf.DUMMYFUNCTION("""COMPUTED_VALUE"""),"Multan")</f>
        <v>Multan</v>
      </c>
      <c r="B190" s="10" t="str">
        <f>IFERROR(__xludf.DUMMYFUNCTION("""COMPUTED_VALUE"""),"dyrjs")</f>
        <v>dyrjs</v>
      </c>
      <c r="C190" s="10" t="str">
        <f>IFERROR(__xludf.DUMMYFUNCTION("""COMPUTED_VALUE"""),"Jamia Masjid Peer Ismail Multan")</f>
        <v>Jamia Masjid Peer Ismail Multan</v>
      </c>
      <c r="D190" s="330">
        <f>IFERROR(__xludf.DUMMYFUNCTION("""COMPUTED_VALUE"""),45515.197916666664)</f>
        <v>45515.19792</v>
      </c>
      <c r="E190" s="10" t="str">
        <f>IFERROR(__xludf.DUMMYFUNCTION("""COMPUTED_VALUE"""),"Community Secular Info Share")</f>
        <v>Community Secular Info Share</v>
      </c>
      <c r="F190" s="10" t="str">
        <f>IFERROR(__xludf.DUMMYFUNCTION("""COMPUTED_VALUE"""),"Multan")</f>
        <v>Multan</v>
      </c>
    </row>
    <row r="191">
      <c r="A191" s="10" t="str">
        <f>IFERROR(__xludf.DUMMYFUNCTION("""COMPUTED_VALUE"""),"Multan")</f>
        <v>Multan</v>
      </c>
      <c r="B191" s="10" t="str">
        <f>IFERROR(__xludf.DUMMYFUNCTION("""COMPUTED_VALUE"""),"cfhon")</f>
        <v>cfhon</v>
      </c>
      <c r="C191" s="10" t="str">
        <f>IFERROR(__xludf.DUMMYFUNCTION("""COMPUTED_VALUE"""),"Jamia Masjid Ghawajagaan Multan")</f>
        <v>Jamia Masjid Ghawajagaan Multan</v>
      </c>
      <c r="D191" s="330">
        <f>IFERROR(__xludf.DUMMYFUNCTION("""COMPUTED_VALUE"""),45515.20138888889)</f>
        <v>45515.20139</v>
      </c>
      <c r="E191" s="10" t="str">
        <f>IFERROR(__xludf.DUMMYFUNCTION("""COMPUTED_VALUE"""),"Women Secular Info Share")</f>
        <v>Women Secular Info Share</v>
      </c>
      <c r="F191" s="10" t="str">
        <f>IFERROR(__xludf.DUMMYFUNCTION("""COMPUTED_VALUE"""),"Multan")</f>
        <v>Multan</v>
      </c>
    </row>
    <row r="192">
      <c r="A192" s="10" t="str">
        <f>IFERROR(__xludf.DUMMYFUNCTION("""COMPUTED_VALUE"""),"Multan")</f>
        <v>Multan</v>
      </c>
      <c r="B192" s="10" t="str">
        <f>IFERROR(__xludf.DUMMYFUNCTION("""COMPUTED_VALUE"""),"dqmjv")</f>
        <v>dqmjv</v>
      </c>
      <c r="C192" s="10" t="str">
        <f>IFERROR(__xludf.DUMMYFUNCTION("""COMPUTED_VALUE"""),"Jamia Masjid Peer Mubarak Ali Shah Multan")</f>
        <v>Jamia Masjid Peer Mubarak Ali Shah Multan</v>
      </c>
      <c r="D192" s="330">
        <f>IFERROR(__xludf.DUMMYFUNCTION("""COMPUTED_VALUE"""),45515.20347222222)</f>
        <v>45515.20347</v>
      </c>
      <c r="E192" s="10" t="str">
        <f>IFERROR(__xludf.DUMMYFUNCTION("""COMPUTED_VALUE"""),"Control")</f>
        <v>Control</v>
      </c>
      <c r="F192" s="10" t="str">
        <f>IFERROR(__xludf.DUMMYFUNCTION("""COMPUTED_VALUE"""),"Multan")</f>
        <v>Multan</v>
      </c>
    </row>
    <row r="193">
      <c r="A193" s="10" t="str">
        <f>IFERROR(__xludf.DUMMYFUNCTION("""COMPUTED_VALUE"""),"Multan")</f>
        <v>Multan</v>
      </c>
      <c r="B193" s="10" t="str">
        <f>IFERROR(__xludf.DUMMYFUNCTION("""COMPUTED_VALUE"""),"lirqw")</f>
        <v>lirqw</v>
      </c>
      <c r="C193" s="10" t="str">
        <f>IFERROR(__xludf.DUMMYFUNCTION("""COMPUTED_VALUE"""),"Jamia Masjid Kareem Khan Ahle Hadees Multan")</f>
        <v>Jamia Masjid Kareem Khan Ahle Hadees Multan</v>
      </c>
      <c r="D193" s="330">
        <f>IFERROR(__xludf.DUMMYFUNCTION("""COMPUTED_VALUE"""),45515.21875)</f>
        <v>45515.21875</v>
      </c>
      <c r="E193" s="10" t="str">
        <f>IFERROR(__xludf.DUMMYFUNCTION("""COMPUTED_VALUE"""),"Community Religious No Info Share")</f>
        <v>Community Religious No Info Share</v>
      </c>
      <c r="F193" s="10" t="str">
        <f>IFERROR(__xludf.DUMMYFUNCTION("""COMPUTED_VALUE"""),"Multan")</f>
        <v>Multan</v>
      </c>
    </row>
    <row r="194">
      <c r="A194" s="10" t="str">
        <f>IFERROR(__xludf.DUMMYFUNCTION("""COMPUTED_VALUE"""),"Multan")</f>
        <v>Multan</v>
      </c>
      <c r="B194" s="10" t="str">
        <f>IFERROR(__xludf.DUMMYFUNCTION("""COMPUTED_VALUE"""),"sqnot")</f>
        <v>sqnot</v>
      </c>
      <c r="C194" s="10" t="str">
        <f>IFERROR(__xludf.DUMMYFUNCTION("""COMPUTED_VALUE"""),"Jamia Masjid Multan Cantt Multan")</f>
        <v>Jamia Masjid Multan Cantt Multan</v>
      </c>
      <c r="D194" s="330">
        <f>IFERROR(__xludf.DUMMYFUNCTION("""COMPUTED_VALUE"""),45515.222916666666)</f>
        <v>45515.22292</v>
      </c>
      <c r="E194" s="10" t="str">
        <f>IFERROR(__xludf.DUMMYFUNCTION("""COMPUTED_VALUE"""),"Control")</f>
        <v>Control</v>
      </c>
      <c r="F194" s="10" t="str">
        <f>IFERROR(__xludf.DUMMYFUNCTION("""COMPUTED_VALUE"""),"Multan")</f>
        <v>Multan</v>
      </c>
    </row>
    <row r="195">
      <c r="A195" s="10" t="str">
        <f>IFERROR(__xludf.DUMMYFUNCTION("""COMPUTED_VALUE"""),"Multan")</f>
        <v>Multan</v>
      </c>
      <c r="B195" s="10" t="str">
        <f>IFERROR(__xludf.DUMMYFUNCTION("""COMPUTED_VALUE"""),"CQXOG")</f>
        <v>CQXOG</v>
      </c>
      <c r="C195" s="10" t="str">
        <f>IFERROR(__xludf.DUMMYFUNCTION("""COMPUTED_VALUE"""),"Jamia Masjid Mehdum Rasheed Haqani Multan")</f>
        <v>Jamia Masjid Mehdum Rasheed Haqani Multan</v>
      </c>
      <c r="D195" s="330">
        <f>IFERROR(__xludf.DUMMYFUNCTION("""COMPUTED_VALUE"""),45515.222916666666)</f>
        <v>45515.22292</v>
      </c>
      <c r="E195" s="10" t="str">
        <f>IFERROR(__xludf.DUMMYFUNCTION("""COMPUTED_VALUE"""),"Community Secular Info Share")</f>
        <v>Community Secular Info Share</v>
      </c>
      <c r="F195" s="10" t="str">
        <f>IFERROR(__xludf.DUMMYFUNCTION("""COMPUTED_VALUE"""),"Multan")</f>
        <v>Multan</v>
      </c>
    </row>
    <row r="196">
      <c r="A196" s="10" t="str">
        <f>IFERROR(__xludf.DUMMYFUNCTION("""COMPUTED_VALUE"""),"Multan")</f>
        <v>Multan</v>
      </c>
      <c r="B196" s="10" t="str">
        <f>IFERROR(__xludf.DUMMYFUNCTION("""COMPUTED_VALUE"""),"uleit")</f>
        <v>uleit</v>
      </c>
      <c r="C196" s="10" t="str">
        <f>IFERROR(__xludf.DUMMYFUNCTION("""COMPUTED_VALUE"""),"Jamia Masjid Kabotar Mandi Multan")</f>
        <v>Jamia Masjid Kabotar Mandi Multan</v>
      </c>
      <c r="D196" s="330">
        <f>IFERROR(__xludf.DUMMYFUNCTION("""COMPUTED_VALUE"""),45515.22638888889)</f>
        <v>45515.22639</v>
      </c>
      <c r="E196" s="10" t="str">
        <f>IFERROR(__xludf.DUMMYFUNCTION("""COMPUTED_VALUE"""),"Community Secular No Info Share")</f>
        <v>Community Secular No Info Share</v>
      </c>
      <c r="F196" s="10" t="str">
        <f>IFERROR(__xludf.DUMMYFUNCTION("""COMPUTED_VALUE"""),"Multan")</f>
        <v>Multan</v>
      </c>
    </row>
    <row r="197">
      <c r="A197" s="10" t="str">
        <f>IFERROR(__xludf.DUMMYFUNCTION("""COMPUTED_VALUE"""),"Multan")</f>
        <v>Multan</v>
      </c>
      <c r="B197" s="10" t="str">
        <f>IFERROR(__xludf.DUMMYFUNCTION("""COMPUTED_VALUE"""),"wpxts")</f>
        <v>wpxts</v>
      </c>
      <c r="C197" s="10" t="str">
        <f>IFERROR(__xludf.DUMMYFUNCTION("""COMPUTED_VALUE"""),"Jamia Masjid Jahnaaz Gha Multan")</f>
        <v>Jamia Masjid Jahnaaz Gha Multan</v>
      </c>
      <c r="D197" s="330">
        <f>IFERROR(__xludf.DUMMYFUNCTION("""COMPUTED_VALUE"""),45515.22777777778)</f>
        <v>45515.22778</v>
      </c>
      <c r="E197" s="10" t="str">
        <f>IFERROR(__xludf.DUMMYFUNCTION("""COMPUTED_VALUE"""),"Women Religious Info Share")</f>
        <v>Women Religious Info Share</v>
      </c>
      <c r="F197" s="10" t="str">
        <f>IFERROR(__xludf.DUMMYFUNCTION("""COMPUTED_VALUE"""),"Multan")</f>
        <v>Multan</v>
      </c>
    </row>
    <row r="198">
      <c r="A198" s="10" t="str">
        <f>IFERROR(__xludf.DUMMYFUNCTION("""COMPUTED_VALUE"""),"Multan")</f>
        <v>Multan</v>
      </c>
      <c r="B198" s="10" t="str">
        <f>IFERROR(__xludf.DUMMYFUNCTION("""COMPUTED_VALUE"""),"zrpyu")</f>
        <v>zrpyu</v>
      </c>
      <c r="C198" s="10" t="str">
        <f>IFERROR(__xludf.DUMMYFUNCTION("""COMPUTED_VALUE"""),"Jamia Masjid Jhok Veenus Multan")</f>
        <v>Jamia Masjid Jhok Veenus Multan</v>
      </c>
      <c r="D198" s="330">
        <f>IFERROR(__xludf.DUMMYFUNCTION("""COMPUTED_VALUE"""),45515.228472222225)</f>
        <v>45515.22847</v>
      </c>
      <c r="E198" s="10" t="str">
        <f>IFERROR(__xludf.DUMMYFUNCTION("""COMPUTED_VALUE"""),"Community Secular Info Share")</f>
        <v>Community Secular Info Share</v>
      </c>
      <c r="F198" s="10" t="str">
        <f>IFERROR(__xludf.DUMMYFUNCTION("""COMPUTED_VALUE"""),"Multan")</f>
        <v>Multan</v>
      </c>
    </row>
    <row r="199">
      <c r="A199" s="10" t="str">
        <f>IFERROR(__xludf.DUMMYFUNCTION("""COMPUTED_VALUE"""),"Multan")</f>
        <v>Multan</v>
      </c>
      <c r="B199" s="10" t="str">
        <f>IFERROR(__xludf.DUMMYFUNCTION("""COMPUTED_VALUE"""),"fxlbt")</f>
        <v>fxlbt</v>
      </c>
      <c r="C199" s="10" t="str">
        <f>IFERROR(__xludf.DUMMYFUNCTION("""COMPUTED_VALUE"""),"Jamia Masjid Gul Hassan Shahnawah Multan")</f>
        <v>Jamia Masjid Gul Hassan Shahnawah Multan</v>
      </c>
      <c r="D199" s="330">
        <f>IFERROR(__xludf.DUMMYFUNCTION("""COMPUTED_VALUE"""),45515.228472222225)</f>
        <v>45515.22847</v>
      </c>
      <c r="E199" s="10" t="str">
        <f>IFERROR(__xludf.DUMMYFUNCTION("""COMPUTED_VALUE"""),"Control")</f>
        <v>Control</v>
      </c>
      <c r="F199" s="10" t="str">
        <f>IFERROR(__xludf.DUMMYFUNCTION("""COMPUTED_VALUE"""),"Multan")</f>
        <v>Multan</v>
      </c>
    </row>
    <row r="200">
      <c r="A200" s="10" t="str">
        <f>IFERROR(__xludf.DUMMYFUNCTION("""COMPUTED_VALUE"""),"Multan")</f>
        <v>Multan</v>
      </c>
      <c r="B200" s="10" t="str">
        <f>IFERROR(__xludf.DUMMYFUNCTION("""COMPUTED_VALUE"""),"hkceb")</f>
        <v>hkceb</v>
      </c>
      <c r="C200" s="10" t="str">
        <f>IFERROR(__xludf.DUMMYFUNCTION("""COMPUTED_VALUE"""),"Jamia Masjid Kumhaar Mandi Multan")</f>
        <v>Jamia Masjid Kumhaar Mandi Multan</v>
      </c>
      <c r="D200" s="330">
        <f>IFERROR(__xludf.DUMMYFUNCTION("""COMPUTED_VALUE"""),45515.23819444444)</f>
        <v>45515.23819</v>
      </c>
      <c r="E200" s="10" t="str">
        <f>IFERROR(__xludf.DUMMYFUNCTION("""COMPUTED_VALUE"""),"Women Secular No Info Share")</f>
        <v>Women Secular No Info Share</v>
      </c>
      <c r="F200" s="10" t="str">
        <f>IFERROR(__xludf.DUMMYFUNCTION("""COMPUTED_VALUE"""),"Multan")</f>
        <v>Multan</v>
      </c>
    </row>
    <row r="201">
      <c r="A201" s="10" t="str">
        <f>IFERROR(__xludf.DUMMYFUNCTION("""COMPUTED_VALUE"""),"Multan")</f>
        <v>Multan</v>
      </c>
      <c r="B201" s="10" t="str">
        <f>IFERROR(__xludf.DUMMYFUNCTION("""COMPUTED_VALUE"""),"nlhtw")</f>
        <v>nlhtw</v>
      </c>
      <c r="C201" s="10" t="str">
        <f>IFERROR(__xludf.DUMMYFUNCTION("""COMPUTED_VALUE"""),"Jamia Masjid Shah Shams ( Barlevri ) Multan")</f>
        <v>Jamia Masjid Shah Shams ( Barlevri ) Multan</v>
      </c>
      <c r="D201" s="330">
        <f>IFERROR(__xludf.DUMMYFUNCTION("""COMPUTED_VALUE"""),45515.239583333336)</f>
        <v>45515.23958</v>
      </c>
      <c r="E201" s="10" t="str">
        <f>IFERROR(__xludf.DUMMYFUNCTION("""COMPUTED_VALUE"""),"Community Secular No Info Share")</f>
        <v>Community Secular No Info Share</v>
      </c>
      <c r="F201" s="10" t="str">
        <f>IFERROR(__xludf.DUMMYFUNCTION("""COMPUTED_VALUE"""),"Multan")</f>
        <v>Multan</v>
      </c>
    </row>
    <row r="202">
      <c r="A202" s="10" t="str">
        <f>IFERROR(__xludf.DUMMYFUNCTION("""COMPUTED_VALUE"""),"Multan")</f>
        <v>Multan</v>
      </c>
      <c r="B202" s="10" t="str">
        <f>IFERROR(__xludf.DUMMYFUNCTION("""COMPUTED_VALUE"""),"pgvos")</f>
        <v>pgvos</v>
      </c>
      <c r="C202" s="10" t="str">
        <f>IFERROR(__xludf.DUMMYFUNCTION("""COMPUTED_VALUE"""),"Jamia Masjid Khunagran wali Multan")</f>
        <v>Jamia Masjid Khunagran wali Multan</v>
      </c>
      <c r="D202" s="330">
        <f>IFERROR(__xludf.DUMMYFUNCTION("""COMPUTED_VALUE"""),45515.24444444444)</f>
        <v>45515.24444</v>
      </c>
      <c r="E202" s="10" t="str">
        <f>IFERROR(__xludf.DUMMYFUNCTION("""COMPUTED_VALUE"""),"Control")</f>
        <v>Control</v>
      </c>
      <c r="F202" s="10" t="str">
        <f>IFERROR(__xludf.DUMMYFUNCTION("""COMPUTED_VALUE"""),"Multan")</f>
        <v>Multan</v>
      </c>
    </row>
    <row r="203">
      <c r="A203" s="10" t="str">
        <f>IFERROR(__xludf.DUMMYFUNCTION("""COMPUTED_VALUE"""),"Multan")</f>
        <v>Multan</v>
      </c>
      <c r="B203" s="10" t="str">
        <f>IFERROR(__xludf.DUMMYFUNCTION("""COMPUTED_VALUE"""),"wgvns")</f>
        <v>wgvns</v>
      </c>
      <c r="C203" s="10" t="str">
        <f>IFERROR(__xludf.DUMMYFUNCTION("""COMPUTED_VALUE"""),"Jamia Masjid Musa Pak Shaheed Multan")</f>
        <v>Jamia Masjid Musa Pak Shaheed Multan</v>
      </c>
      <c r="D203" s="330">
        <f>IFERROR(__xludf.DUMMYFUNCTION("""COMPUTED_VALUE"""),45515.24513888889)</f>
        <v>45515.24514</v>
      </c>
      <c r="E203" s="10" t="str">
        <f>IFERROR(__xludf.DUMMYFUNCTION("""COMPUTED_VALUE"""),"Women Religious Info Share")</f>
        <v>Women Religious Info Share</v>
      </c>
      <c r="F203" s="10" t="str">
        <f>IFERROR(__xludf.DUMMYFUNCTION("""COMPUTED_VALUE"""),"Multan")</f>
        <v>Multan</v>
      </c>
    </row>
    <row r="204">
      <c r="A204" s="10" t="str">
        <f>IFERROR(__xludf.DUMMYFUNCTION("""COMPUTED_VALUE"""),"Multan")</f>
        <v>Multan</v>
      </c>
      <c r="B204" s="10" t="str">
        <f>IFERROR(__xludf.DUMMYFUNCTION("""COMPUTED_VALUE"""),"ukyke")</f>
        <v>ukyke</v>
      </c>
      <c r="C204" s="10" t="str">
        <f>IFERROR(__xludf.DUMMYFUNCTION("""COMPUTED_VALUE"""),"Jamia Masjid Madina Bohar Gate Multan")</f>
        <v>Jamia Masjid Madina Bohar Gate Multan</v>
      </c>
      <c r="D204" s="330">
        <f>IFERROR(__xludf.DUMMYFUNCTION("""COMPUTED_VALUE"""),45515.248611111114)</f>
        <v>45515.24861</v>
      </c>
      <c r="E204" s="10" t="str">
        <f>IFERROR(__xludf.DUMMYFUNCTION("""COMPUTED_VALUE"""),"Women Secular No Info Share")</f>
        <v>Women Secular No Info Share</v>
      </c>
      <c r="F204" s="10" t="str">
        <f>IFERROR(__xludf.DUMMYFUNCTION("""COMPUTED_VALUE"""),"Multan")</f>
        <v>Multan</v>
      </c>
    </row>
    <row r="205">
      <c r="A205" s="10" t="str">
        <f>IFERROR(__xludf.DUMMYFUNCTION("""COMPUTED_VALUE"""),"Multan")</f>
        <v>Multan</v>
      </c>
      <c r="B205" s="10" t="str">
        <f>IFERROR(__xludf.DUMMYFUNCTION("""COMPUTED_VALUE"""),"rnksi")</f>
        <v>rnksi</v>
      </c>
      <c r="C205" s="10" t="str">
        <f>IFERROR(__xludf.DUMMYFUNCTION("""COMPUTED_VALUE"""),"Jamia Masjid Mula Abdul Gafurur Multan")</f>
        <v>Jamia Masjid Mula Abdul Gafurur Multan</v>
      </c>
      <c r="D205" s="330">
        <f>IFERROR(__xludf.DUMMYFUNCTION("""COMPUTED_VALUE"""),45515.25069444445)</f>
        <v>45515.25069</v>
      </c>
      <c r="E205" s="10" t="str">
        <f>IFERROR(__xludf.DUMMYFUNCTION("""COMPUTED_VALUE"""),"Community Secular No Info Share")</f>
        <v>Community Secular No Info Share</v>
      </c>
      <c r="F205" s="10" t="str">
        <f>IFERROR(__xludf.DUMMYFUNCTION("""COMPUTED_VALUE"""),"Multan")</f>
        <v>Multan</v>
      </c>
    </row>
    <row r="206">
      <c r="A206" s="10" t="str">
        <f>IFERROR(__xludf.DUMMYFUNCTION("""COMPUTED_VALUE"""),"Multan")</f>
        <v>Multan</v>
      </c>
      <c r="B206" s="10" t="str">
        <f>IFERROR(__xludf.DUMMYFUNCTION("""COMPUTED_VALUE"""),"meepx")</f>
        <v>meepx</v>
      </c>
      <c r="C206" s="10" t="str">
        <f>IFERROR(__xludf.DUMMYFUNCTION("""COMPUTED_VALUE"""),"Jamia Masjid Anayat Walayat Multan")</f>
        <v>Jamia Masjid Anayat Walayat Multan</v>
      </c>
      <c r="D206" s="330">
        <f>IFERROR(__xludf.DUMMYFUNCTION("""COMPUTED_VALUE"""),45515.25277777778)</f>
        <v>45515.25278</v>
      </c>
      <c r="E206" s="10" t="str">
        <f>IFERROR(__xludf.DUMMYFUNCTION("""COMPUTED_VALUE"""),"Women Religious Info Share")</f>
        <v>Women Religious Info Share</v>
      </c>
      <c r="F206" s="10" t="str">
        <f>IFERROR(__xludf.DUMMYFUNCTION("""COMPUTED_VALUE"""),"Multan")</f>
        <v>Multan</v>
      </c>
    </row>
    <row r="207">
      <c r="A207" s="10" t="str">
        <f>IFERROR(__xludf.DUMMYFUNCTION("""COMPUTED_VALUE"""),"Multan")</f>
        <v>Multan</v>
      </c>
      <c r="B207" s="10" t="str">
        <f>IFERROR(__xludf.DUMMYFUNCTION("""COMPUTED_VALUE"""),"vbdpl")</f>
        <v>vbdpl</v>
      </c>
      <c r="C207" s="10" t="str">
        <f>IFERROR(__xludf.DUMMYFUNCTION("""COMPUTED_VALUE"""),"Jamia Masjid Gul Wali Haram Gate Multan")</f>
        <v>Jamia Masjid Gul Wali Haram Gate Multan</v>
      </c>
      <c r="D207" s="330">
        <f>IFERROR(__xludf.DUMMYFUNCTION("""COMPUTED_VALUE"""),45515.25763888889)</f>
        <v>45515.25764</v>
      </c>
      <c r="E207" s="10" t="str">
        <f>IFERROR(__xludf.DUMMYFUNCTION("""COMPUTED_VALUE"""),"Community Religious No Info Share")</f>
        <v>Community Religious No Info Share</v>
      </c>
      <c r="F207" s="10" t="str">
        <f>IFERROR(__xludf.DUMMYFUNCTION("""COMPUTED_VALUE"""),"Multan")</f>
        <v>Multan</v>
      </c>
    </row>
    <row r="208">
      <c r="A208" s="10" t="str">
        <f>IFERROR(__xludf.DUMMYFUNCTION("""COMPUTED_VALUE"""),"Multan")</f>
        <v>Multan</v>
      </c>
      <c r="B208" s="10" t="str">
        <f>IFERROR(__xludf.DUMMYFUNCTION("""COMPUTED_VALUE"""),"oqjmo")</f>
        <v>oqjmo</v>
      </c>
      <c r="C208" s="10" t="str">
        <f>IFERROR(__xludf.DUMMYFUNCTION("""COMPUTED_VALUE"""),"Jamia Masjid Baha Ul Din Zikriya Multan")</f>
        <v>Jamia Masjid Baha Ul Din Zikriya Multan</v>
      </c>
      <c r="D208" s="330">
        <f>IFERROR(__xludf.DUMMYFUNCTION("""COMPUTED_VALUE"""),45515.259722222225)</f>
        <v>45515.25972</v>
      </c>
      <c r="E208" s="10" t="str">
        <f>IFERROR(__xludf.DUMMYFUNCTION("""COMPUTED_VALUE"""),"Women Religious No Info Share")</f>
        <v>Women Religious No Info Share</v>
      </c>
      <c r="F208" s="10" t="str">
        <f>IFERROR(__xludf.DUMMYFUNCTION("""COMPUTED_VALUE"""),"Multan")</f>
        <v>Multan</v>
      </c>
    </row>
    <row r="209">
      <c r="A209" s="10" t="str">
        <f>IFERROR(__xludf.DUMMYFUNCTION("""COMPUTED_VALUE"""),"Multan")</f>
        <v>Multan</v>
      </c>
      <c r="B209" s="10" t="str">
        <f>IFERROR(__xludf.DUMMYFUNCTION("""COMPUTED_VALUE"""),"lhgfs")</f>
        <v>lhgfs</v>
      </c>
      <c r="C209" s="10" t="str">
        <f>IFERROR(__xludf.DUMMYFUNCTION("""COMPUTED_VALUE"""),"Jamia Masjid Gosha Nasheen Multan")</f>
        <v>Jamia Masjid Gosha Nasheen Multan</v>
      </c>
      <c r="D209" s="330">
        <f>IFERROR(__xludf.DUMMYFUNCTION("""COMPUTED_VALUE"""),45515.26180555556)</f>
        <v>45515.26181</v>
      </c>
      <c r="E209" s="10" t="str">
        <f>IFERROR(__xludf.DUMMYFUNCTION("""COMPUTED_VALUE"""),"Community Secular Info Share")</f>
        <v>Community Secular Info Share</v>
      </c>
      <c r="F209" s="10" t="str">
        <f>IFERROR(__xludf.DUMMYFUNCTION("""COMPUTED_VALUE"""),"Multan")</f>
        <v>Multan</v>
      </c>
    </row>
    <row r="210">
      <c r="A210" s="10" t="str">
        <f>IFERROR(__xludf.DUMMYFUNCTION("""COMPUTED_VALUE"""),"Multan")</f>
        <v>Multan</v>
      </c>
      <c r="B210" s="10" t="str">
        <f>IFERROR(__xludf.DUMMYFUNCTION("""COMPUTED_VALUE"""),"jbeid")</f>
        <v>jbeid</v>
      </c>
      <c r="C210" s="10" t="str">
        <f>IFERROR(__xludf.DUMMYFUNCTION("""COMPUTED_VALUE"""),"Jamia Masjid Sarai Ghulam Rasool Multan")</f>
        <v>Jamia Masjid Sarai Ghulam Rasool Multan</v>
      </c>
      <c r="D210" s="330">
        <f>IFERROR(__xludf.DUMMYFUNCTION("""COMPUTED_VALUE"""),45515.263194444444)</f>
        <v>45515.26319</v>
      </c>
      <c r="E210" s="10" t="str">
        <f>IFERROR(__xludf.DUMMYFUNCTION("""COMPUTED_VALUE"""),"Women Religious Info Share")</f>
        <v>Women Religious Info Share</v>
      </c>
      <c r="F210" s="10" t="str">
        <f>IFERROR(__xludf.DUMMYFUNCTION("""COMPUTED_VALUE"""),"Multan")</f>
        <v>Multan</v>
      </c>
    </row>
    <row r="211">
      <c r="A211" s="10" t="str">
        <f>IFERROR(__xludf.DUMMYFUNCTION("""COMPUTED_VALUE"""),"Multan")</f>
        <v>Multan</v>
      </c>
      <c r="B211" s="10" t="str">
        <f>IFERROR(__xludf.DUMMYFUNCTION("""COMPUTED_VALUE"""),"pffes")</f>
        <v>pffes</v>
      </c>
      <c r="C211" s="10" t="str">
        <f>IFERROR(__xludf.DUMMYFUNCTION("""COMPUTED_VALUE"""),"Jamia Masjid Kale Mandi Multan")</f>
        <v>Jamia Masjid Kale Mandi Multan</v>
      </c>
      <c r="D211" s="330">
        <f>IFERROR(__xludf.DUMMYFUNCTION("""COMPUTED_VALUE"""),45515.274305555555)</f>
        <v>45515.27431</v>
      </c>
      <c r="E211" s="10" t="str">
        <f>IFERROR(__xludf.DUMMYFUNCTION("""COMPUTED_VALUE"""),"Community Secular Info Share")</f>
        <v>Community Secular Info Share</v>
      </c>
      <c r="F211" s="10" t="str">
        <f>IFERROR(__xludf.DUMMYFUNCTION("""COMPUTED_VALUE"""),"Multan")</f>
        <v>Multan</v>
      </c>
    </row>
    <row r="212">
      <c r="A212" s="10" t="str">
        <f>IFERROR(__xludf.DUMMYFUNCTION("""COMPUTED_VALUE"""),"Multan")</f>
        <v>Multan</v>
      </c>
      <c r="B212" s="10" t="str">
        <f>IFERROR(__xludf.DUMMYFUNCTION("""COMPUTED_VALUE"""),"wpqfg")</f>
        <v>wpqfg</v>
      </c>
      <c r="C212" s="10" t="str">
        <f>IFERROR(__xludf.DUMMYFUNCTION("""COMPUTED_VALUE"""),"Jamia Masjid Madina Pepal Wali Multan")</f>
        <v>Jamia Masjid Madina Pepal Wali Multan</v>
      </c>
      <c r="D212" s="330">
        <f>IFERROR(__xludf.DUMMYFUNCTION("""COMPUTED_VALUE"""),45515.27638888889)</f>
        <v>45515.27639</v>
      </c>
      <c r="E212" s="10" t="str">
        <f>IFERROR(__xludf.DUMMYFUNCTION("""COMPUTED_VALUE"""),"Control")</f>
        <v>Control</v>
      </c>
      <c r="F212" s="10" t="str">
        <f>IFERROR(__xludf.DUMMYFUNCTION("""COMPUTED_VALUE"""),"Multan")</f>
        <v>Multan</v>
      </c>
    </row>
    <row r="213">
      <c r="A213" s="10" t="str">
        <f>IFERROR(__xludf.DUMMYFUNCTION("""COMPUTED_VALUE"""),"Multan")</f>
        <v>Multan</v>
      </c>
      <c r="B213" s="10" t="str">
        <f>IFERROR(__xludf.DUMMYFUNCTION("""COMPUTED_VALUE"""),"akpfn")</f>
        <v>akpfn</v>
      </c>
      <c r="C213" s="10" t="str">
        <f>IFERROR(__xludf.DUMMYFUNCTION("""COMPUTED_VALUE"""),"Jamia Masjid Bakar Abad Multan")</f>
        <v>Jamia Masjid Bakar Abad Multan</v>
      </c>
      <c r="D213" s="330">
        <f>IFERROR(__xludf.DUMMYFUNCTION("""COMPUTED_VALUE"""),45515.28055555555)</f>
        <v>45515.28056</v>
      </c>
      <c r="E213" s="10" t="str">
        <f>IFERROR(__xludf.DUMMYFUNCTION("""COMPUTED_VALUE"""),"Women Secular No Info Share")</f>
        <v>Women Secular No Info Share</v>
      </c>
      <c r="F213" s="10" t="str">
        <f>IFERROR(__xludf.DUMMYFUNCTION("""COMPUTED_VALUE"""),"Multan")</f>
        <v>Multan</v>
      </c>
    </row>
    <row r="214">
      <c r="A214" s="10" t="str">
        <f>IFERROR(__xludf.DUMMYFUNCTION("""COMPUTED_VALUE"""),"Multan")</f>
        <v>Multan</v>
      </c>
      <c r="B214" s="10" t="str">
        <f>IFERROR(__xludf.DUMMYFUNCTION("""COMPUTED_VALUE"""),"vreau")</f>
        <v>vreau</v>
      </c>
      <c r="C214" s="10" t="str">
        <f>IFERROR(__xludf.DUMMYFUNCTION("""COMPUTED_VALUE"""),"Jamia Masjid Phonagra Nawali Multan")</f>
        <v>Jamia Masjid Phonagra Nawali Multan</v>
      </c>
      <c r="D214" s="330">
        <f>IFERROR(__xludf.DUMMYFUNCTION("""COMPUTED_VALUE"""),45515.28402777778)</f>
        <v>45515.28403</v>
      </c>
      <c r="E214" s="10" t="str">
        <f>IFERROR(__xludf.DUMMYFUNCTION("""COMPUTED_VALUE"""),"Women Secular No Info Share")</f>
        <v>Women Secular No Info Share</v>
      </c>
      <c r="F214" s="10" t="str">
        <f>IFERROR(__xludf.DUMMYFUNCTION("""COMPUTED_VALUE"""),"Multan")</f>
        <v>Multan</v>
      </c>
    </row>
    <row r="215">
      <c r="A215" s="10" t="str">
        <f>IFERROR(__xludf.DUMMYFUNCTION("""COMPUTED_VALUE"""),"Multan")</f>
        <v>Multan</v>
      </c>
      <c r="B215" s="10" t="str">
        <f>IFERROR(__xludf.DUMMYFUNCTION("""COMPUTED_VALUE"""),"PXSPV")</f>
        <v>PXSPV</v>
      </c>
      <c r="C215" s="10" t="str">
        <f>IFERROR(__xludf.DUMMYFUNCTION("""COMPUTED_VALUE"""),"Jamia Masjid Azeem Ul Din Dolat Gate Multan")</f>
        <v>Jamia Masjid Azeem Ul Din Dolat Gate Multan</v>
      </c>
      <c r="D215" s="330">
        <f>IFERROR(__xludf.DUMMYFUNCTION("""COMPUTED_VALUE"""),45515.32361111111)</f>
        <v>45515.32361</v>
      </c>
      <c r="E215" s="10" t="str">
        <f>IFERROR(__xludf.DUMMYFUNCTION("""COMPUTED_VALUE"""),"Community Secular No Info Share")</f>
        <v>Community Secular No Info Share</v>
      </c>
      <c r="F215" s="10" t="str">
        <f>IFERROR(__xludf.DUMMYFUNCTION("""COMPUTED_VALUE"""),"Multan")</f>
        <v>Multan</v>
      </c>
    </row>
    <row r="216">
      <c r="A216" s="10" t="str">
        <f>IFERROR(__xludf.DUMMYFUNCTION("""COMPUTED_VALUE"""),"Multan")</f>
        <v>Multan</v>
      </c>
      <c r="B216" s="10" t="str">
        <f>IFERROR(__xludf.DUMMYFUNCTION("""COMPUTED_VALUE"""),"lvyea")</f>
        <v>lvyea</v>
      </c>
      <c r="C216" s="10" t="str">
        <f>IFERROR(__xludf.DUMMYFUNCTION("""COMPUTED_VALUE"""),"Jamia Masjid Gul Din Coloney Nawah City Multan")</f>
        <v>Jamia Masjid Gul Din Coloney Nawah City Multan</v>
      </c>
      <c r="D216" s="330">
        <f>IFERROR(__xludf.DUMMYFUNCTION("""COMPUTED_VALUE"""),45515.325)</f>
        <v>45515.325</v>
      </c>
      <c r="E216" s="10" t="str">
        <f>IFERROR(__xludf.DUMMYFUNCTION("""COMPUTED_VALUE"""),"Community Secular No Info Share")</f>
        <v>Community Secular No Info Share</v>
      </c>
      <c r="F216" s="10" t="str">
        <f>IFERROR(__xludf.DUMMYFUNCTION("""COMPUTED_VALUE"""),"Multan")</f>
        <v>Multan</v>
      </c>
    </row>
    <row r="217">
      <c r="A217" s="10" t="str">
        <f>IFERROR(__xludf.DUMMYFUNCTION("""COMPUTED_VALUE"""),"Multan")</f>
        <v>Multan</v>
      </c>
      <c r="B217" s="10" t="str">
        <f>IFERROR(__xludf.DUMMYFUNCTION("""COMPUTED_VALUE"""),"ojkhv")</f>
        <v>ojkhv</v>
      </c>
      <c r="C217" s="10" t="str">
        <f>IFERROR(__xludf.DUMMYFUNCTION("""COMPUTED_VALUE"""),"Jamia Masjid Jagu Wali Jalaal Pur Peer Wala Multan")</f>
        <v>Jamia Masjid Jagu Wali Jalaal Pur Peer Wala Multan</v>
      </c>
      <c r="D217" s="330">
        <f>IFERROR(__xludf.DUMMYFUNCTION("""COMPUTED_VALUE"""),45515.41111111111)</f>
        <v>45515.41111</v>
      </c>
      <c r="E217" s="10" t="str">
        <f>IFERROR(__xludf.DUMMYFUNCTION("""COMPUTED_VALUE"""),"Control")</f>
        <v>Control</v>
      </c>
      <c r="F217" s="10" t="str">
        <f>IFERROR(__xludf.DUMMYFUNCTION("""COMPUTED_VALUE"""),"Multan")</f>
        <v>Multan</v>
      </c>
    </row>
    <row r="218">
      <c r="A218" s="10" t="str">
        <f>IFERROR(__xludf.DUMMYFUNCTION("""COMPUTED_VALUE"""),"Multan")</f>
        <v>Multan</v>
      </c>
      <c r="B218" s="10" t="str">
        <f>IFERROR(__xludf.DUMMYFUNCTION("""COMPUTED_VALUE"""),"jspgw")</f>
        <v>jspgw</v>
      </c>
      <c r="C218" s="10" t="str">
        <f>IFERROR(__xludf.DUMMYFUNCTION("""COMPUTED_VALUE"""),"Jamia Masjid Qasba Mural Multan")</f>
        <v>Jamia Masjid Qasba Mural Multan</v>
      </c>
      <c r="D218" s="330">
        <f>IFERROR(__xludf.DUMMYFUNCTION("""COMPUTED_VALUE"""),45515.424305555556)</f>
        <v>45515.42431</v>
      </c>
      <c r="E218" s="10" t="str">
        <f>IFERROR(__xludf.DUMMYFUNCTION("""COMPUTED_VALUE"""),"Women Religious Info Share")</f>
        <v>Women Religious Info Share</v>
      </c>
      <c r="F218" s="10" t="str">
        <f>IFERROR(__xludf.DUMMYFUNCTION("""COMPUTED_VALUE"""),"Multan")</f>
        <v>Multan</v>
      </c>
    </row>
    <row r="219">
      <c r="A219" s="10" t="str">
        <f>IFERROR(__xludf.DUMMYFUNCTION("""COMPUTED_VALUE"""),"Multan")</f>
        <v>Multan</v>
      </c>
      <c r="B219" s="10" t="str">
        <f>IFERROR(__xludf.DUMMYFUNCTION("""COMPUTED_VALUE"""),"ynbeh")</f>
        <v>ynbeh</v>
      </c>
      <c r="C219" s="10" t="str">
        <f>IFERROR(__xludf.DUMMYFUNCTION("""COMPUTED_VALUE"""),"Jamia Masjid Sirajaan Wali Hussain Agahi Multan")</f>
        <v>Jamia Masjid Sirajaan Wali Hussain Agahi Multan</v>
      </c>
      <c r="D219" s="10" t="str">
        <f>IFERROR(__xludf.DUMMYFUNCTION("""COMPUTED_VALUE"""),"11/15/24 4:22")</f>
        <v>11/15/24 4:22</v>
      </c>
      <c r="E219" s="10" t="str">
        <f>IFERROR(__xludf.DUMMYFUNCTION("""COMPUTED_VALUE"""),"Control")</f>
        <v>Control</v>
      </c>
      <c r="F219" s="10" t="str">
        <f>IFERROR(__xludf.DUMMYFUNCTION("""COMPUTED_VALUE"""),"Multan")</f>
        <v>Multan</v>
      </c>
    </row>
    <row r="220">
      <c r="A220" s="10" t="str">
        <f>IFERROR(__xludf.DUMMYFUNCTION("""COMPUTED_VALUE"""),"Multan")</f>
        <v>Multan</v>
      </c>
      <c r="B220" s="10" t="str">
        <f>IFERROR(__xludf.DUMMYFUNCTION("""COMPUTED_VALUE"""),"yeigp")</f>
        <v>yeigp</v>
      </c>
      <c r="C220" s="10" t="str">
        <f>IFERROR(__xludf.DUMMYFUNCTION("""COMPUTED_VALUE"""),"Jamia Masjid Shah Rukan Alam Multan")</f>
        <v>Jamia Masjid Shah Rukan Alam Multan</v>
      </c>
      <c r="D220" s="10" t="str">
        <f>IFERROR(__xludf.DUMMYFUNCTION("""COMPUTED_VALUE"""),"11/15/24 5:31")</f>
        <v>11/15/24 5:31</v>
      </c>
      <c r="E220" s="10" t="str">
        <f>IFERROR(__xludf.DUMMYFUNCTION("""COMPUTED_VALUE"""),"Community Religious Info Share")</f>
        <v>Community Religious Info Share</v>
      </c>
      <c r="F220" s="10" t="str">
        <f>IFERROR(__xludf.DUMMYFUNCTION("""COMPUTED_VALUE"""),"Multan")</f>
        <v>Multan</v>
      </c>
    </row>
    <row r="221">
      <c r="A221" s="10" t="str">
        <f>IFERROR(__xludf.DUMMYFUNCTION("""COMPUTED_VALUE"""),"Multan")</f>
        <v>Multan</v>
      </c>
      <c r="B221" s="10" t="str">
        <f>IFERROR(__xludf.DUMMYFUNCTION("""COMPUTED_VALUE"""),"anrol")</f>
        <v>anrol</v>
      </c>
      <c r="C221" s="10" t="str">
        <f>IFERROR(__xludf.DUMMYFUNCTION("""COMPUTED_VALUE"""),"Jamia Masjid Balochaan Wali Multan")</f>
        <v>Jamia Masjid Balochaan Wali Multan</v>
      </c>
      <c r="D221" s="10" t="str">
        <f>IFERROR(__xludf.DUMMYFUNCTION("""COMPUTED_VALUE"""),"11/22/24 5:48")</f>
        <v>11/22/24 5:48</v>
      </c>
      <c r="E221" s="10" t="str">
        <f>IFERROR(__xludf.DUMMYFUNCTION("""COMPUTED_VALUE"""),"Women Religious Info Share")</f>
        <v>Women Religious Info Share</v>
      </c>
      <c r="F221" s="10" t="str">
        <f>IFERROR(__xludf.DUMMYFUNCTION("""COMPUTED_VALUE"""),"Multan")</f>
        <v>Multan</v>
      </c>
    </row>
    <row r="222">
      <c r="A222" s="10" t="str">
        <f>IFERROR(__xludf.DUMMYFUNCTION("""COMPUTED_VALUE"""),"Multan")</f>
        <v>Multan</v>
      </c>
      <c r="B222" s="10" t="str">
        <f>IFERROR(__xludf.DUMMYFUNCTION("""COMPUTED_VALUE"""),"qkgih")</f>
        <v>qkgih</v>
      </c>
      <c r="C222" s="10" t="str">
        <f>IFERROR(__xludf.DUMMYFUNCTION("""COMPUTED_VALUE"""),"Jamia Masjid Qasabaan Wali Multan")</f>
        <v>Jamia Masjid Qasabaan Wali Multan</v>
      </c>
      <c r="D222" s="330">
        <f>IFERROR(__xludf.DUMMYFUNCTION("""COMPUTED_VALUE"""),45303.07361111111)</f>
        <v>45303.07361</v>
      </c>
      <c r="E222" s="10" t="str">
        <f>IFERROR(__xludf.DUMMYFUNCTION("""COMPUTED_VALUE"""),"Women Secular Info Share")</f>
        <v>Women Secular Info Share</v>
      </c>
      <c r="F222" s="10" t="str">
        <f>IFERROR(__xludf.DUMMYFUNCTION("""COMPUTED_VALUE"""),"Multan")</f>
        <v>Multan</v>
      </c>
    </row>
    <row r="223">
      <c r="A223" s="10" t="str">
        <f>IFERROR(__xludf.DUMMYFUNCTION("""COMPUTED_VALUE"""),"Muzaffargarh")</f>
        <v>Muzaffargarh</v>
      </c>
      <c r="B223" s="10" t="str">
        <f>IFERROR(__xludf.DUMMYFUNCTION("""COMPUTED_VALUE"""),"kezga")</f>
        <v>kezga</v>
      </c>
      <c r="C223" s="10" t="str">
        <f>IFERROR(__xludf.DUMMYFUNCTION("""COMPUTED_VALUE"""),"Jamia Masjid Abdulah Shah Bukhari Muzaffargarh")</f>
        <v>Jamia Masjid Abdulah Shah Bukhari Muzaffargarh</v>
      </c>
      <c r="D223" s="330">
        <f>IFERROR(__xludf.DUMMYFUNCTION("""COMPUTED_VALUE"""),45515.1625)</f>
        <v>45515.1625</v>
      </c>
      <c r="E223" s="10" t="str">
        <f>IFERROR(__xludf.DUMMYFUNCTION("""COMPUTED_VALUE"""),"Women Religious Info Share")</f>
        <v>Women Religious Info Share</v>
      </c>
      <c r="F223" s="10" t="str">
        <f>IFERROR(__xludf.DUMMYFUNCTION("""COMPUTED_VALUE"""),"Muzaffargarh")</f>
        <v>Muzaffargarh</v>
      </c>
    </row>
    <row r="224">
      <c r="A224" s="10" t="str">
        <f>IFERROR(__xludf.DUMMYFUNCTION("""COMPUTED_VALUE"""),"Muzaffargarh")</f>
        <v>Muzaffargarh</v>
      </c>
      <c r="B224" s="10" t="str">
        <f>IFERROR(__xludf.DUMMYFUNCTION("""COMPUTED_VALUE"""),"lyoix")</f>
        <v>lyoix</v>
      </c>
      <c r="C224" s="10" t="str">
        <f>IFERROR(__xludf.DUMMYFUNCTION("""COMPUTED_VALUE"""),"Jamia Masjid Darbar Laal Ehsan (Ahle Sunnat )")</f>
        <v>Jamia Masjid Darbar Laal Ehsan (Ahle Sunnat )</v>
      </c>
      <c r="D224" s="330">
        <f>IFERROR(__xludf.DUMMYFUNCTION("""COMPUTED_VALUE"""),45515.22777777778)</f>
        <v>45515.22778</v>
      </c>
      <c r="E224" s="10" t="str">
        <f>IFERROR(__xludf.DUMMYFUNCTION("""COMPUTED_VALUE"""),"Control")</f>
        <v>Control</v>
      </c>
      <c r="F224" s="10" t="str">
        <f>IFERROR(__xludf.DUMMYFUNCTION("""COMPUTED_VALUE"""),"Muzaffargarh")</f>
        <v>Muzaffargarh</v>
      </c>
    </row>
    <row r="225">
      <c r="A225" s="10" t="str">
        <f>IFERROR(__xludf.DUMMYFUNCTION("""COMPUTED_VALUE"""),"Muzaffargarh")</f>
        <v>Muzaffargarh</v>
      </c>
      <c r="B225" s="10" t="str">
        <f>IFERROR(__xludf.DUMMYFUNCTION("""COMPUTED_VALUE"""),"aptdt")</f>
        <v>aptdt</v>
      </c>
      <c r="C225" s="10" t="str">
        <f>IFERROR(__xludf.DUMMYFUNCTION("""COMPUTED_VALUE"""),"Jamia Masjid Darbar Muhammad Ali Rajan Shah Layyah")</f>
        <v>Jamia Masjid Darbar Muhammad Ali Rajan Shah Layyah</v>
      </c>
      <c r="D225" s="330">
        <f>IFERROR(__xludf.DUMMYFUNCTION("""COMPUTED_VALUE"""),45515.24652777778)</f>
        <v>45515.24653</v>
      </c>
      <c r="E225" s="10" t="str">
        <f>IFERROR(__xludf.DUMMYFUNCTION("""COMPUTED_VALUE"""),"Control")</f>
        <v>Control</v>
      </c>
      <c r="F225" s="10" t="str">
        <f>IFERROR(__xludf.DUMMYFUNCTION("""COMPUTED_VALUE"""),"Muzaffargarh")</f>
        <v>Muzaffargarh</v>
      </c>
    </row>
    <row r="226">
      <c r="A226" s="10" t="str">
        <f>IFERROR(__xludf.DUMMYFUNCTION("""COMPUTED_VALUE"""),"Muzaffargarh")</f>
        <v>Muzaffargarh</v>
      </c>
      <c r="B226" s="10" t="str">
        <f>IFERROR(__xludf.DUMMYFUNCTION("""COMPUTED_VALUE"""),"gydmp")</f>
        <v>gydmp</v>
      </c>
      <c r="C226" s="10" t="str">
        <f>IFERROR(__xludf.DUMMYFUNCTION("""COMPUTED_VALUE"""),"Jamia Masjid Anayat Shah Bhukari Layyah")</f>
        <v>Jamia Masjid Anayat Shah Bhukari Layyah</v>
      </c>
      <c r="D226" s="330">
        <f>IFERROR(__xludf.DUMMYFUNCTION("""COMPUTED_VALUE"""),45515.27222222222)</f>
        <v>45515.27222</v>
      </c>
      <c r="E226" s="10" t="str">
        <f>IFERROR(__xludf.DUMMYFUNCTION("""COMPUTED_VALUE"""),"Women Religious No Info Share")</f>
        <v>Women Religious No Info Share</v>
      </c>
      <c r="F226" s="10" t="str">
        <f>IFERROR(__xludf.DUMMYFUNCTION("""COMPUTED_VALUE"""),"Muzaffargarh")</f>
        <v>Muzaffargarh</v>
      </c>
    </row>
    <row r="227">
      <c r="A227" s="10" t="str">
        <f>IFERROR(__xludf.DUMMYFUNCTION("""COMPUTED_VALUE"""),"Muzaffargarh")</f>
        <v>Muzaffargarh</v>
      </c>
      <c r="B227" s="10" t="str">
        <f>IFERROR(__xludf.DUMMYFUNCTION("""COMPUTED_VALUE"""),"ityep")</f>
        <v>ityep</v>
      </c>
      <c r="C227" s="10" t="str">
        <f>IFERROR(__xludf.DUMMYFUNCTION("""COMPUTED_VALUE"""),"Jamia Masjid Darbar Shamsher Shah Safri Layyah")</f>
        <v>Jamia Masjid Darbar Shamsher Shah Safri Layyah</v>
      </c>
      <c r="D227" s="330">
        <f>IFERROR(__xludf.DUMMYFUNCTION("""COMPUTED_VALUE"""),45515.40138888889)</f>
        <v>45515.40139</v>
      </c>
      <c r="E227" s="10" t="str">
        <f>IFERROR(__xludf.DUMMYFUNCTION("""COMPUTED_VALUE"""),"Women Secular No Info Share")</f>
        <v>Women Secular No Info Share</v>
      </c>
      <c r="F227" s="10" t="str">
        <f>IFERROR(__xludf.DUMMYFUNCTION("""COMPUTED_VALUE"""),"Muzaffargarh")</f>
        <v>Muzaffargarh</v>
      </c>
    </row>
    <row r="228">
      <c r="A228" s="10" t="str">
        <f>IFERROR(__xludf.DUMMYFUNCTION("""COMPUTED_VALUE"""),"Muzaffargarh")</f>
        <v>Muzaffargarh</v>
      </c>
      <c r="B228" s="10" t="str">
        <f>IFERROR(__xludf.DUMMYFUNCTION("""COMPUTED_VALUE"""),"tjbax")</f>
        <v>tjbax</v>
      </c>
      <c r="C228" s="10" t="str">
        <f>IFERROR(__xludf.DUMMYFUNCTION("""COMPUTED_VALUE"""),"Jamia Masjid Darbar Saki Shah Habib Layyah")</f>
        <v>Jamia Masjid Darbar Saki Shah Habib Layyah</v>
      </c>
      <c r="D228" s="330">
        <f>IFERROR(__xludf.DUMMYFUNCTION("""COMPUTED_VALUE"""),45515.669444444444)</f>
        <v>45515.66944</v>
      </c>
      <c r="E228" s="10" t="str">
        <f>IFERROR(__xludf.DUMMYFUNCTION("""COMPUTED_VALUE"""),"Women Secular No Info Share")</f>
        <v>Women Secular No Info Share</v>
      </c>
      <c r="F228" s="10" t="str">
        <f>IFERROR(__xludf.DUMMYFUNCTION("""COMPUTED_VALUE"""),"Muzaffargarh")</f>
        <v>Muzaffargarh</v>
      </c>
    </row>
    <row r="229">
      <c r="A229" s="10" t="str">
        <f>IFERROR(__xludf.DUMMYFUNCTION("""COMPUTED_VALUE"""),"Muzaffargarh")</f>
        <v>Muzaffargarh</v>
      </c>
      <c r="B229" s="10" t="str">
        <f>IFERROR(__xludf.DUMMYFUNCTION("""COMPUTED_VALUE"""),"uxump")</f>
        <v>uxump</v>
      </c>
      <c r="C229" s="10" t="str">
        <f>IFERROR(__xludf.DUMMYFUNCTION("""COMPUTED_VALUE"""),"Jamia Masjid Darbar Abdul Wahaab Shah Bukhari Dera Deen Pnah, Kot Addu")</f>
        <v>Jamia Masjid Darbar Abdul Wahaab Shah Bukhari Dera Deen Pnah, Kot Addu</v>
      </c>
      <c r="D229" s="330">
        <f>IFERROR(__xludf.DUMMYFUNCTION("""COMPUTED_VALUE"""),45515.683333333334)</f>
        <v>45515.68333</v>
      </c>
      <c r="E229" s="10" t="str">
        <f>IFERROR(__xludf.DUMMYFUNCTION("""COMPUTED_VALUE"""),"Community Secular No Info Share")</f>
        <v>Community Secular No Info Share</v>
      </c>
      <c r="F229" s="10" t="str">
        <f>IFERROR(__xludf.DUMMYFUNCTION("""COMPUTED_VALUE"""),"Muzaffargarh")</f>
        <v>Muzaffargarh</v>
      </c>
    </row>
    <row r="230">
      <c r="A230" s="10" t="str">
        <f>IFERROR(__xludf.DUMMYFUNCTION("""COMPUTED_VALUE"""),"Muzaffargarh")</f>
        <v>Muzaffargarh</v>
      </c>
      <c r="B230" s="10" t="str">
        <f>IFERROR(__xludf.DUMMYFUNCTION("""COMPUTED_VALUE"""),"xaluj")</f>
        <v>xaluj</v>
      </c>
      <c r="C230" s="10" t="str">
        <f>IFERROR(__xludf.DUMMYFUNCTION("""COMPUTED_VALUE"""),"Jamia Masjid Darbar Mehab Faqeer Ali Muzaffargarh")</f>
        <v>Jamia Masjid Darbar Mehab Faqeer Ali Muzaffargarh</v>
      </c>
      <c r="D230" s="10" t="str">
        <f>IFERROR(__xludf.DUMMYFUNCTION("""COMPUTED_VALUE"""),"11/15/24 5:10")</f>
        <v>11/15/24 5:10</v>
      </c>
      <c r="E230" s="10" t="str">
        <f>IFERROR(__xludf.DUMMYFUNCTION("""COMPUTED_VALUE"""),"Control")</f>
        <v>Control</v>
      </c>
      <c r="F230" s="10" t="str">
        <f>IFERROR(__xludf.DUMMYFUNCTION("""COMPUTED_VALUE"""),"Muzaffargarh")</f>
        <v>Muzaffargarh</v>
      </c>
    </row>
    <row r="231">
      <c r="A231" s="10" t="str">
        <f>IFERROR(__xludf.DUMMYFUNCTION("""COMPUTED_VALUE"""),"Okara")</f>
        <v>Okara</v>
      </c>
      <c r="B231" s="10" t="str">
        <f>IFERROR(__xludf.DUMMYFUNCTION("""COMPUTED_VALUE"""),"ffpzc")</f>
        <v>ffpzc</v>
      </c>
      <c r="C231" s="10" t="str">
        <f>IFERROR(__xludf.DUMMYFUNCTION("""COMPUTED_VALUE"""),"Jamia Masjid Hanfiya C Block Okara")</f>
        <v>Jamia Masjid Hanfiya C Block Okara</v>
      </c>
      <c r="D231" s="330">
        <f>IFERROR(__xludf.DUMMYFUNCTION("""COMPUTED_VALUE"""),45455.17152777778)</f>
        <v>45455.17153</v>
      </c>
      <c r="E231" s="10" t="str">
        <f>IFERROR(__xludf.DUMMYFUNCTION("""COMPUTED_VALUE"""),"Control")</f>
        <v>Control</v>
      </c>
      <c r="F231" s="10" t="str">
        <f>IFERROR(__xludf.DUMMYFUNCTION("""COMPUTED_VALUE"""),"Okara")</f>
        <v>Okara</v>
      </c>
    </row>
    <row r="232">
      <c r="A232" s="10" t="str">
        <f>IFERROR(__xludf.DUMMYFUNCTION("""COMPUTED_VALUE"""),"Okara")</f>
        <v>Okara</v>
      </c>
      <c r="B232" s="10" t="str">
        <f>IFERROR(__xludf.DUMMYFUNCTION("""COMPUTED_VALUE"""),"kgqjv")</f>
        <v>kgqjv</v>
      </c>
      <c r="C232" s="10" t="str">
        <f>IFERROR(__xludf.DUMMYFUNCTION("""COMPUTED_VALUE"""),"Jamia Masjid Usmanai Gol Chowk Okara")</f>
        <v>Jamia Masjid Usmanai Gol Chowk Okara</v>
      </c>
      <c r="D232" s="330">
        <f>IFERROR(__xludf.DUMMYFUNCTION("""COMPUTED_VALUE"""),45455.177083333336)</f>
        <v>45455.17708</v>
      </c>
      <c r="E232" s="10" t="str">
        <f>IFERROR(__xludf.DUMMYFUNCTION("""COMPUTED_VALUE"""),"Community Religious No Info Share")</f>
        <v>Community Religious No Info Share</v>
      </c>
      <c r="F232" s="10" t="str">
        <f>IFERROR(__xludf.DUMMYFUNCTION("""COMPUTED_VALUE"""),"Okara")</f>
        <v>Okara</v>
      </c>
    </row>
    <row r="233">
      <c r="A233" s="10" t="str">
        <f>IFERROR(__xludf.DUMMYFUNCTION("""COMPUTED_VALUE"""),"Okara")</f>
        <v>Okara</v>
      </c>
      <c r="B233" s="10" t="str">
        <f>IFERROR(__xludf.DUMMYFUNCTION("""COMPUTED_VALUE"""),"rujkz")</f>
        <v>rujkz</v>
      </c>
      <c r="C233" s="10" t="str">
        <f>IFERROR(__xludf.DUMMYFUNCTION("""COMPUTED_VALUE"""),"Jamia Masjid Renalah Khurda Okara")</f>
        <v>Jamia Masjid Renalah Khurda Okara</v>
      </c>
      <c r="D233" s="330">
        <f>IFERROR(__xludf.DUMMYFUNCTION("""COMPUTED_VALUE"""),45455.21041666667)</f>
        <v>45455.21042</v>
      </c>
      <c r="E233" s="10" t="str">
        <f>IFERROR(__xludf.DUMMYFUNCTION("""COMPUTED_VALUE"""),"Women Religious Info Share")</f>
        <v>Women Religious Info Share</v>
      </c>
      <c r="F233" s="10" t="str">
        <f>IFERROR(__xludf.DUMMYFUNCTION("""COMPUTED_VALUE"""),"Okara")</f>
        <v>Okara</v>
      </c>
    </row>
    <row r="234">
      <c r="A234" s="10" t="str">
        <f>IFERROR(__xludf.DUMMYFUNCTION("""COMPUTED_VALUE"""),"Okara")</f>
        <v>Okara</v>
      </c>
      <c r="B234" s="10" t="str">
        <f>IFERROR(__xludf.DUMMYFUNCTION("""COMPUTED_VALUE"""),"vtgkg")</f>
        <v>vtgkg</v>
      </c>
      <c r="C234" s="10" t="str">
        <f>IFERROR(__xludf.DUMMYFUNCTION("""COMPUTED_VALUE"""),"Jamia Masjid Darbar Muhammad Ghous Bala Peer Okara")</f>
        <v>Jamia Masjid Darbar Muhammad Ghous Bala Peer Okara</v>
      </c>
      <c r="D234" s="330">
        <f>IFERROR(__xludf.DUMMYFUNCTION("""COMPUTED_VALUE"""),45455.214583333334)</f>
        <v>45455.21458</v>
      </c>
      <c r="E234" s="10" t="str">
        <f>IFERROR(__xludf.DUMMYFUNCTION("""COMPUTED_VALUE"""),"Women Secular Info Share")</f>
        <v>Women Secular Info Share</v>
      </c>
      <c r="F234" s="10" t="str">
        <f>IFERROR(__xludf.DUMMYFUNCTION("""COMPUTED_VALUE"""),"Okara")</f>
        <v>Okara</v>
      </c>
    </row>
    <row r="235">
      <c r="A235" s="10" t="str">
        <f>IFERROR(__xludf.DUMMYFUNCTION("""COMPUTED_VALUE"""),"Okara")</f>
        <v>Okara</v>
      </c>
      <c r="B235" s="10" t="str">
        <f>IFERROR(__xludf.DUMMYFUNCTION("""COMPUTED_VALUE"""),"vplsv")</f>
        <v>vplsv</v>
      </c>
      <c r="C235" s="10" t="str">
        <f>IFERROR(__xludf.DUMMYFUNCTION("""COMPUTED_VALUE"""),"Jamia Masjid Lahbey Shah Ghogera Okara")</f>
        <v>Jamia Masjid Lahbey Shah Ghogera Okara</v>
      </c>
      <c r="D235" s="330">
        <f>IFERROR(__xludf.DUMMYFUNCTION("""COMPUTED_VALUE"""),45455.22708333333)</f>
        <v>45455.22708</v>
      </c>
      <c r="E235" s="10" t="str">
        <f>IFERROR(__xludf.DUMMYFUNCTION("""COMPUTED_VALUE"""),"Control")</f>
        <v>Control</v>
      </c>
      <c r="F235" s="10" t="str">
        <f>IFERROR(__xludf.DUMMYFUNCTION("""COMPUTED_VALUE"""),"Okara")</f>
        <v>Okara</v>
      </c>
    </row>
    <row r="236">
      <c r="A236" s="10" t="str">
        <f>IFERROR(__xludf.DUMMYFUNCTION("""COMPUTED_VALUE"""),"Pakpattan")</f>
        <v>Pakpattan</v>
      </c>
      <c r="B236" s="10" t="str">
        <f>IFERROR(__xludf.DUMMYFUNCTION("""COMPUTED_VALUE"""),"fsjbu")</f>
        <v>fsjbu</v>
      </c>
      <c r="C236" s="10" t="str">
        <f>IFERROR(__xludf.DUMMYFUNCTION("""COMPUTED_VALUE"""),"Jamia Masjid C Block Arifwala")</f>
        <v>Jamia Masjid C Block Arifwala</v>
      </c>
      <c r="D236" s="330">
        <f>IFERROR(__xludf.DUMMYFUNCTION("""COMPUTED_VALUE"""),45455.270833333336)</f>
        <v>45455.27083</v>
      </c>
      <c r="E236" s="10" t="str">
        <f>IFERROR(__xludf.DUMMYFUNCTION("""COMPUTED_VALUE"""),"Community Secular No Info Share")</f>
        <v>Community Secular No Info Share</v>
      </c>
      <c r="F236" s="10" t="str">
        <f>IFERROR(__xludf.DUMMYFUNCTION("""COMPUTED_VALUE"""),"Pakpattan")</f>
        <v>Pakpattan</v>
      </c>
    </row>
    <row r="237">
      <c r="A237" s="10" t="str">
        <f>IFERROR(__xludf.DUMMYFUNCTION("""COMPUTED_VALUE"""),"Pakpattan")</f>
        <v>Pakpattan</v>
      </c>
      <c r="B237" s="10" t="str">
        <f>IFERROR(__xludf.DUMMYFUNCTION("""COMPUTED_VALUE"""),"ogdxp")</f>
        <v>ogdxp</v>
      </c>
      <c r="C237" s="10" t="str">
        <f>IFERROR(__xludf.DUMMYFUNCTION("""COMPUTED_VALUE"""),"Jamia Masjid Abdul Kareem Pakpattan")</f>
        <v>Jamia Masjid Abdul Kareem Pakpattan</v>
      </c>
      <c r="D237" s="330">
        <f>IFERROR(__xludf.DUMMYFUNCTION("""COMPUTED_VALUE"""),45455.30763888889)</f>
        <v>45455.30764</v>
      </c>
      <c r="E237" s="10" t="str">
        <f>IFERROR(__xludf.DUMMYFUNCTION("""COMPUTED_VALUE"""),"Women Secular No Info Share")</f>
        <v>Women Secular No Info Share</v>
      </c>
      <c r="F237" s="10" t="str">
        <f>IFERROR(__xludf.DUMMYFUNCTION("""COMPUTED_VALUE"""),"Pakpattan")</f>
        <v>Pakpattan</v>
      </c>
    </row>
    <row r="238">
      <c r="A238" s="10" t="str">
        <f>IFERROR(__xludf.DUMMYFUNCTION("""COMPUTED_VALUE"""),"Pakpattan")</f>
        <v>Pakpattan</v>
      </c>
      <c r="B238" s="10" t="str">
        <f>IFERROR(__xludf.DUMMYFUNCTION("""COMPUTED_VALUE"""),"ewwlq")</f>
        <v>ewwlq</v>
      </c>
      <c r="C238" s="10" t="str">
        <f>IFERROR(__xludf.DUMMYFUNCTION("""COMPUTED_VALUE"""),"Jamia Masjid Aziz Makki Pakpattan")</f>
        <v>Jamia Masjid Aziz Makki Pakpattan</v>
      </c>
      <c r="D238" s="330">
        <f>IFERROR(__xludf.DUMMYFUNCTION("""COMPUTED_VALUE"""),45455.3125)</f>
        <v>45455.3125</v>
      </c>
      <c r="E238" s="10" t="str">
        <f>IFERROR(__xludf.DUMMYFUNCTION("""COMPUTED_VALUE"""),"Women Religious No Info Share")</f>
        <v>Women Religious No Info Share</v>
      </c>
      <c r="F238" s="10" t="str">
        <f>IFERROR(__xludf.DUMMYFUNCTION("""COMPUTED_VALUE"""),"Pakpattan")</f>
        <v>Pakpattan</v>
      </c>
    </row>
    <row r="239">
      <c r="A239" s="10" t="str">
        <f>IFERROR(__xludf.DUMMYFUNCTION("""COMPUTED_VALUE"""),"Pakpattan")</f>
        <v>Pakpattan</v>
      </c>
      <c r="B239" s="10" t="str">
        <f>IFERROR(__xludf.DUMMYFUNCTION("""COMPUTED_VALUE"""),"lpjzi")</f>
        <v>lpjzi</v>
      </c>
      <c r="C239" s="10" t="str">
        <f>IFERROR(__xludf.DUMMYFUNCTION("""COMPUTED_VALUE"""),"Jamia Masjid Gaalah Mandi Pakpattan")</f>
        <v>Jamia Masjid Gaalah Mandi Pakpattan</v>
      </c>
      <c r="D239" s="330">
        <f>IFERROR(__xludf.DUMMYFUNCTION("""COMPUTED_VALUE"""),45455.325694444444)</f>
        <v>45455.32569</v>
      </c>
      <c r="E239" s="10" t="str">
        <f>IFERROR(__xludf.DUMMYFUNCTION("""COMPUTED_VALUE"""),"Community Secular Info Share")</f>
        <v>Community Secular Info Share</v>
      </c>
      <c r="F239" s="10" t="str">
        <f>IFERROR(__xludf.DUMMYFUNCTION("""COMPUTED_VALUE"""),"Pakpattan")</f>
        <v>Pakpattan</v>
      </c>
    </row>
    <row r="240">
      <c r="A240" s="10" t="str">
        <f>IFERROR(__xludf.DUMMYFUNCTION("""COMPUTED_VALUE"""),"Pakpattan")</f>
        <v>Pakpattan</v>
      </c>
      <c r="B240" s="10" t="str">
        <f>IFERROR(__xludf.DUMMYFUNCTION("""COMPUTED_VALUE"""),"ptthf")</f>
        <v>ptthf</v>
      </c>
      <c r="C240" s="10" t="str">
        <f>IFERROR(__xludf.DUMMYFUNCTION("""COMPUTED_VALUE"""),"Jamia Masjid Badar Ul Din Eshaq Pakpattan")</f>
        <v>Jamia Masjid Badar Ul Din Eshaq Pakpattan</v>
      </c>
      <c r="D240" s="330">
        <f>IFERROR(__xludf.DUMMYFUNCTION("""COMPUTED_VALUE"""),45455.45347222222)</f>
        <v>45455.45347</v>
      </c>
      <c r="E240" s="10" t="str">
        <f>IFERROR(__xludf.DUMMYFUNCTION("""COMPUTED_VALUE"""),"Community Secular No Info Share")</f>
        <v>Community Secular No Info Share</v>
      </c>
      <c r="F240" s="10" t="str">
        <f>IFERROR(__xludf.DUMMYFUNCTION("""COMPUTED_VALUE"""),"Pakpattan")</f>
        <v>Pakpattan</v>
      </c>
    </row>
    <row r="241">
      <c r="A241" s="10" t="str">
        <f>IFERROR(__xludf.DUMMYFUNCTION("""COMPUTED_VALUE"""),"Pakpattan")</f>
        <v>Pakpattan</v>
      </c>
      <c r="B241" s="10" t="str">
        <f>IFERROR(__xludf.DUMMYFUNCTION("""COMPUTED_VALUE"""),"paqqf")</f>
        <v>paqqf</v>
      </c>
      <c r="C241" s="10" t="str">
        <f>IFERROR(__xludf.DUMMYFUNCTION("""COMPUTED_VALUE"""),"Jamia Masjid Darbar Baba Fareed Ul Din Pakpattan")</f>
        <v>Jamia Masjid Darbar Baba Fareed Ul Din Pakpattan</v>
      </c>
      <c r="D241" s="330">
        <f>IFERROR(__xludf.DUMMYFUNCTION("""COMPUTED_VALUE"""),45485.089583333334)</f>
        <v>45485.08958</v>
      </c>
      <c r="E241" s="10" t="str">
        <f>IFERROR(__xludf.DUMMYFUNCTION("""COMPUTED_VALUE"""),"Women Religious Info Share")</f>
        <v>Women Religious Info Share</v>
      </c>
      <c r="F241" s="10" t="str">
        <f>IFERROR(__xludf.DUMMYFUNCTION("""COMPUTED_VALUE"""),"Pakpattan")</f>
        <v>Pakpattan</v>
      </c>
    </row>
    <row r="242">
      <c r="A242" s="10" t="str">
        <f>IFERROR(__xludf.DUMMYFUNCTION("""COMPUTED_VALUE"""),"Rahim Yar Khan")</f>
        <v>Rahim Yar Khan</v>
      </c>
      <c r="B242" s="10" t="str">
        <f>IFERROR(__xludf.DUMMYFUNCTION("""COMPUTED_VALUE"""),"tebun")</f>
        <v>tebun</v>
      </c>
      <c r="C242" s="10" t="str">
        <f>IFERROR(__xludf.DUMMYFUNCTION("""COMPUTED_VALUE"""),"Jamia Masjid Goth Aalu Sadiqabaad")</f>
        <v>Jamia Masjid Goth Aalu Sadiqabaad</v>
      </c>
      <c r="D242" s="10" t="str">
        <f>IFERROR(__xludf.DUMMYFUNCTION("""COMPUTED_VALUE"""),"11/15/24 4:28")</f>
        <v>11/15/24 4:28</v>
      </c>
      <c r="E242" s="10" t="str">
        <f>IFERROR(__xludf.DUMMYFUNCTION("""COMPUTED_VALUE"""),"Women Religious No Info Share")</f>
        <v>Women Religious No Info Share</v>
      </c>
      <c r="F242" s="10" t="str">
        <f>IFERROR(__xludf.DUMMYFUNCTION("""COMPUTED_VALUE"""),"Rahim Yar Khan")</f>
        <v>Rahim Yar Khan</v>
      </c>
    </row>
    <row r="243">
      <c r="A243" s="10" t="str">
        <f>IFERROR(__xludf.DUMMYFUNCTION("""COMPUTED_VALUE"""),"Rahim Yar Khan")</f>
        <v>Rahim Yar Khan</v>
      </c>
      <c r="B243" s="10" t="str">
        <f>IFERROR(__xludf.DUMMYFUNCTION("""COMPUTED_VALUE"""),"xxfos")</f>
        <v>xxfos</v>
      </c>
      <c r="C243" s="10" t="str">
        <f>IFERROR(__xludf.DUMMYFUNCTION("""COMPUTED_VALUE"""),"Jamia Masjid Nazamat / Nazamat market Railway Road Rahim Yar Khan")</f>
        <v>Jamia Masjid Nazamat / Nazamat market Railway Road Rahim Yar Khan</v>
      </c>
      <c r="D243" s="10" t="str">
        <f>IFERROR(__xludf.DUMMYFUNCTION("""COMPUTED_VALUE"""),"11/15/24 4:46")</f>
        <v>11/15/24 4:46</v>
      </c>
      <c r="E243" s="10" t="str">
        <f>IFERROR(__xludf.DUMMYFUNCTION("""COMPUTED_VALUE"""),"Community Religious No Info Share")</f>
        <v>Community Religious No Info Share</v>
      </c>
      <c r="F243" s="10" t="str">
        <f>IFERROR(__xludf.DUMMYFUNCTION("""COMPUTED_VALUE"""),"Rahim Yar Khan")</f>
        <v>Rahim Yar Khan</v>
      </c>
    </row>
    <row r="244">
      <c r="A244" s="10" t="str">
        <f>IFERROR(__xludf.DUMMYFUNCTION("""COMPUTED_VALUE"""),"Rahim Yar Khan")</f>
        <v>Rahim Yar Khan</v>
      </c>
      <c r="B244" s="10" t="str">
        <f>IFERROR(__xludf.DUMMYFUNCTION("""COMPUTED_VALUE"""),"kfsqd")</f>
        <v>kfsqd</v>
      </c>
      <c r="C244" s="10" t="str">
        <f>IFERROR(__xludf.DUMMYFUNCTION("""COMPUTED_VALUE"""),"Jamia Masjid uthaar Anhaar Coloney Rahim Yar Khan")</f>
        <v>Jamia Masjid uthaar Anhaar Coloney Rahim Yar Khan</v>
      </c>
      <c r="D244" s="10" t="str">
        <f>IFERROR(__xludf.DUMMYFUNCTION("""COMPUTED_VALUE"""),"11/15/24 4:49")</f>
        <v>11/15/24 4:49</v>
      </c>
      <c r="E244" s="10" t="str">
        <f>IFERROR(__xludf.DUMMYFUNCTION("""COMPUTED_VALUE"""),"Control")</f>
        <v>Control</v>
      </c>
      <c r="F244" s="10" t="str">
        <f>IFERROR(__xludf.DUMMYFUNCTION("""COMPUTED_VALUE"""),"Rahim Yar Khan")</f>
        <v>Rahim Yar Khan</v>
      </c>
    </row>
    <row r="245">
      <c r="A245" s="10" t="str">
        <f>IFERROR(__xludf.DUMMYFUNCTION("""COMPUTED_VALUE"""),"Rawalpindi")</f>
        <v>Rawalpindi</v>
      </c>
      <c r="B245" s="10" t="str">
        <f>IFERROR(__xludf.DUMMYFUNCTION("""COMPUTED_VALUE"""),"opiuv")</f>
        <v>opiuv</v>
      </c>
      <c r="C245" s="10" t="str">
        <f>IFERROR(__xludf.DUMMYFUNCTION("""COMPUTED_VALUE"""),"Jamia Masjid Darbar Peer Abdul Ghani Rawalpindi")</f>
        <v>Jamia Masjid Darbar Peer Abdul Ghani Rawalpindi</v>
      </c>
      <c r="D245" s="10" t="str">
        <f>IFERROR(__xludf.DUMMYFUNCTION("""COMPUTED_VALUE"""),"12/13/24 6:27")</f>
        <v>12/13/24 6:27</v>
      </c>
      <c r="E245" s="10" t="str">
        <f>IFERROR(__xludf.DUMMYFUNCTION("""COMPUTED_VALUE"""),"Women Secular Info Share")</f>
        <v>Women Secular Info Share</v>
      </c>
      <c r="F245" s="10" t="str">
        <f>IFERROR(__xludf.DUMMYFUNCTION("""COMPUTED_VALUE"""),"Rawalpindi")</f>
        <v>Rawalpindi</v>
      </c>
    </row>
    <row r="246">
      <c r="A246" s="10" t="str">
        <f>IFERROR(__xludf.DUMMYFUNCTION("""COMPUTED_VALUE"""),"Rawalpindi")</f>
        <v>Rawalpindi</v>
      </c>
      <c r="B246" s="10" t="str">
        <f>IFERROR(__xludf.DUMMYFUNCTION("""COMPUTED_VALUE"""),"omcbn")</f>
        <v>omcbn</v>
      </c>
      <c r="C246" s="10" t="str">
        <f>IFERROR(__xludf.DUMMYFUNCTION("""COMPUTED_VALUE"""),"Jamia Masjid Darbar Gohar Ali Shah Bakarmandi")</f>
        <v>Jamia Masjid Darbar Gohar Ali Shah Bakarmandi</v>
      </c>
      <c r="D246" s="10" t="str">
        <f>IFERROR(__xludf.DUMMYFUNCTION("""COMPUTED_VALUE"""),"12/13/24 13:57")</f>
        <v>12/13/24 13:57</v>
      </c>
      <c r="E246" s="10" t="str">
        <f>IFERROR(__xludf.DUMMYFUNCTION("""COMPUTED_VALUE"""),"Women Secular No Info Share")</f>
        <v>Women Secular No Info Share</v>
      </c>
      <c r="F246" s="10" t="str">
        <f>IFERROR(__xludf.DUMMYFUNCTION("""COMPUTED_VALUE"""),"Rawalpindi")</f>
        <v>Rawalpindi</v>
      </c>
    </row>
    <row r="247">
      <c r="A247" s="10" t="str">
        <f>IFERROR(__xludf.DUMMYFUNCTION("""COMPUTED_VALUE"""),"Rawalpindi")</f>
        <v>Rawalpindi</v>
      </c>
      <c r="B247" s="10" t="str">
        <f>IFERROR(__xludf.DUMMYFUNCTION("""COMPUTED_VALUE"""),"gdglp")</f>
        <v>gdglp</v>
      </c>
      <c r="C247" s="10" t="str">
        <f>IFERROR(__xludf.DUMMYFUNCTION("""COMPUTED_VALUE"""),"Jamia Masjid Akbari Mohanpura")</f>
        <v>Jamia Masjid Akbari Mohanpura</v>
      </c>
      <c r="D247" s="10" t="str">
        <f>IFERROR(__xludf.DUMMYFUNCTION("""COMPUTED_VALUE"""),"12/13/24 14:00")</f>
        <v>12/13/24 14:00</v>
      </c>
      <c r="E247" s="10" t="str">
        <f>IFERROR(__xludf.DUMMYFUNCTION("""COMPUTED_VALUE"""),"Community Secular Info Share")</f>
        <v>Community Secular Info Share</v>
      </c>
      <c r="F247" s="10" t="str">
        <f>IFERROR(__xludf.DUMMYFUNCTION("""COMPUTED_VALUE"""),"Rawalpindi")</f>
        <v>Rawalpindi</v>
      </c>
    </row>
    <row r="248">
      <c r="A248" s="10" t="str">
        <f>IFERROR(__xludf.DUMMYFUNCTION("""COMPUTED_VALUE"""),"Rawalpindi")</f>
        <v>Rawalpindi</v>
      </c>
      <c r="B248" s="10" t="str">
        <f>IFERROR(__xludf.DUMMYFUNCTION("""COMPUTED_VALUE"""),"lnsdx")</f>
        <v>lnsdx</v>
      </c>
      <c r="C248" s="10" t="str">
        <f>IFERROR(__xludf.DUMMYFUNCTION("""COMPUTED_VALUE"""),"Jamia Mosjid Daud Shah hakani")</f>
        <v>Jamia Mosjid Daud Shah hakani</v>
      </c>
      <c r="D248" s="10" t="str">
        <f>IFERROR(__xludf.DUMMYFUNCTION("""COMPUTED_VALUE"""),"12/13/24 14:03")</f>
        <v>12/13/24 14:03</v>
      </c>
      <c r="E248" s="10" t="str">
        <f>IFERROR(__xludf.DUMMYFUNCTION("""COMPUTED_VALUE"""),"Community Religious Info Share")</f>
        <v>Community Religious Info Share</v>
      </c>
      <c r="F248" s="10" t="str">
        <f>IFERROR(__xludf.DUMMYFUNCTION("""COMPUTED_VALUE"""),"Rawalpindi")</f>
        <v>Rawalpindi</v>
      </c>
    </row>
    <row r="249">
      <c r="A249" s="10" t="str">
        <f>IFERROR(__xludf.DUMMYFUNCTION("""COMPUTED_VALUE"""),"Rawalpindi")</f>
        <v>Rawalpindi</v>
      </c>
      <c r="B249" s="10" t="str">
        <f>IFERROR(__xludf.DUMMYFUNCTION("""COMPUTED_VALUE"""),"gakov")</f>
        <v>gakov</v>
      </c>
      <c r="C249" s="10" t="str">
        <f>IFERROR(__xludf.DUMMYFUNCTION("""COMPUTED_VALUE"""),"Masjid Baba Ghulam Badshah Rawalpindi")</f>
        <v>Masjid Baba Ghulam Badshah Rawalpindi</v>
      </c>
      <c r="D249" s="10" t="str">
        <f>IFERROR(__xludf.DUMMYFUNCTION("""COMPUTED_VALUE"""),"12/13/24 14:04")</f>
        <v>12/13/24 14:04</v>
      </c>
      <c r="E249" s="10" t="str">
        <f>IFERROR(__xludf.DUMMYFUNCTION("""COMPUTED_VALUE"""),"Control")</f>
        <v>Control</v>
      </c>
      <c r="F249" s="10" t="str">
        <f>IFERROR(__xludf.DUMMYFUNCTION("""COMPUTED_VALUE"""),"Rawalpindi")</f>
        <v>Rawalpindi</v>
      </c>
    </row>
    <row r="250">
      <c r="A250" s="10" t="str">
        <f>IFERROR(__xludf.DUMMYFUNCTION("""COMPUTED_VALUE"""),"Rawalpindi")</f>
        <v>Rawalpindi</v>
      </c>
      <c r="B250" s="10" t="str">
        <f>IFERROR(__xludf.DUMMYFUNCTION("""COMPUTED_VALUE"""),"czbuv")</f>
        <v>czbuv</v>
      </c>
      <c r="C250" s="10" t="str">
        <f>IFERROR(__xludf.DUMMYFUNCTION("""COMPUTED_VALUE"""),"Jamia Masjid Gul Saraaj Rawalpindi")</f>
        <v>Jamia Masjid Gul Saraaj Rawalpindi</v>
      </c>
      <c r="D250" s="10" t="str">
        <f>IFERROR(__xludf.DUMMYFUNCTION("""COMPUTED_VALUE"""),"12/13/24 14:23")</f>
        <v>12/13/24 14:23</v>
      </c>
      <c r="E250" s="10" t="str">
        <f>IFERROR(__xludf.DUMMYFUNCTION("""COMPUTED_VALUE"""),"Women Religious No Info Share")</f>
        <v>Women Religious No Info Share</v>
      </c>
      <c r="F250" s="10" t="str">
        <f>IFERROR(__xludf.DUMMYFUNCTION("""COMPUTED_VALUE"""),"Rawalpindi")</f>
        <v>Rawalpindi</v>
      </c>
    </row>
    <row r="251">
      <c r="A251" s="10" t="str">
        <f>IFERROR(__xludf.DUMMYFUNCTION("""COMPUTED_VALUE"""),"Rawalpindi")</f>
        <v>Rawalpindi</v>
      </c>
      <c r="B251" s="10" t="str">
        <f>IFERROR(__xludf.DUMMYFUNCTION("""COMPUTED_VALUE"""),"silss")</f>
        <v>silss</v>
      </c>
      <c r="C251" s="10" t="str">
        <f>IFERROR(__xludf.DUMMYFUNCTION("""COMPUTED_VALUE"""),"Jamia Masjid Gunj Mandi Rawalpindi")</f>
        <v>Jamia Masjid Gunj Mandi Rawalpindi</v>
      </c>
      <c r="D251" s="10" t="str">
        <f>IFERROR(__xludf.DUMMYFUNCTION("""COMPUTED_VALUE"""),"12/13/24 14:27")</f>
        <v>12/13/24 14:27</v>
      </c>
      <c r="E251" s="10" t="str">
        <f>IFERROR(__xludf.DUMMYFUNCTION("""COMPUTED_VALUE"""),"Community Religious Info Share")</f>
        <v>Community Religious Info Share</v>
      </c>
      <c r="F251" s="10" t="str">
        <f>IFERROR(__xludf.DUMMYFUNCTION("""COMPUTED_VALUE"""),"Rawalpindi")</f>
        <v>Rawalpindi</v>
      </c>
    </row>
    <row r="252">
      <c r="A252" s="10" t="str">
        <f>IFERROR(__xludf.DUMMYFUNCTION("""COMPUTED_VALUE"""),"Rawalpindi")</f>
        <v>Rawalpindi</v>
      </c>
      <c r="B252" s="10" t="str">
        <f>IFERROR(__xludf.DUMMYFUNCTION("""COMPUTED_VALUE"""),"glrtm")</f>
        <v>glrtm</v>
      </c>
      <c r="C252" s="10" t="str">
        <f>IFERROR(__xludf.DUMMYFUNCTION("""COMPUTED_VALUE"""),"Jamia Masjid Darbar Baba Jahaar Chaklala Rawalpindi")</f>
        <v>Jamia Masjid Darbar Baba Jahaar Chaklala Rawalpindi</v>
      </c>
      <c r="D252" s="10" t="str">
        <f>IFERROR(__xludf.DUMMYFUNCTION("""COMPUTED_VALUE"""),"12/13/24 14:28")</f>
        <v>12/13/24 14:28</v>
      </c>
      <c r="E252" s="10" t="str">
        <f>IFERROR(__xludf.DUMMYFUNCTION("""COMPUTED_VALUE"""),"Community Secular No Info Share")</f>
        <v>Community Secular No Info Share</v>
      </c>
      <c r="F252" s="10" t="str">
        <f>IFERROR(__xludf.DUMMYFUNCTION("""COMPUTED_VALUE"""),"Rawalpindi")</f>
        <v>Rawalpindi</v>
      </c>
    </row>
    <row r="253">
      <c r="A253" s="10" t="str">
        <f>IFERROR(__xludf.DUMMYFUNCTION("""COMPUTED_VALUE"""),"Rawalpindi")</f>
        <v>Rawalpindi</v>
      </c>
      <c r="B253" s="10" t="str">
        <f>IFERROR(__xludf.DUMMYFUNCTION("""COMPUTED_VALUE"""),"podyo")</f>
        <v>podyo</v>
      </c>
      <c r="C253" s="10" t="str">
        <f>IFERROR(__xludf.DUMMYFUNCTION("""COMPUTED_VALUE"""),"Jamia Masjid Jamun Wali Rawalpindi")</f>
        <v>Jamia Masjid Jamun Wali Rawalpindi</v>
      </c>
      <c r="D253" s="10" t="str">
        <f>IFERROR(__xludf.DUMMYFUNCTION("""COMPUTED_VALUE"""),"12/13/24 14:34")</f>
        <v>12/13/24 14:34</v>
      </c>
      <c r="E253" s="10" t="str">
        <f>IFERROR(__xludf.DUMMYFUNCTION("""COMPUTED_VALUE"""),"Women Religious No Info Share")</f>
        <v>Women Religious No Info Share</v>
      </c>
      <c r="F253" s="10" t="str">
        <f>IFERROR(__xludf.DUMMYFUNCTION("""COMPUTED_VALUE"""),"Rawalpindi")</f>
        <v>Rawalpindi</v>
      </c>
    </row>
    <row r="254">
      <c r="A254" s="10" t="str">
        <f>IFERROR(__xludf.DUMMYFUNCTION("""COMPUTED_VALUE"""),"Rawalpindi")</f>
        <v>Rawalpindi</v>
      </c>
      <c r="B254" s="10" t="str">
        <f>IFERROR(__xludf.DUMMYFUNCTION("""COMPUTED_VALUE"""),"fozkx")</f>
        <v>fozkx</v>
      </c>
      <c r="C254" s="10" t="str">
        <f>IFERROR(__xludf.DUMMYFUNCTION("""COMPUTED_VALUE"""),"Jamia Masjid Pholo Wali Rawalpindi")</f>
        <v>Jamia Masjid Pholo Wali Rawalpindi</v>
      </c>
      <c r="D254" s="10" t="str">
        <f>IFERROR(__xludf.DUMMYFUNCTION("""COMPUTED_VALUE"""),"12/13/24 14:39")</f>
        <v>12/13/24 14:39</v>
      </c>
      <c r="E254" s="10" t="str">
        <f>IFERROR(__xludf.DUMMYFUNCTION("""COMPUTED_VALUE"""),"Women Religious No Info Share")</f>
        <v>Women Religious No Info Share</v>
      </c>
      <c r="F254" s="10" t="str">
        <f>IFERROR(__xludf.DUMMYFUNCTION("""COMPUTED_VALUE"""),"Rawalpindi")</f>
        <v>Rawalpindi</v>
      </c>
    </row>
    <row r="255">
      <c r="A255" s="10" t="str">
        <f>IFERROR(__xludf.DUMMYFUNCTION("""COMPUTED_VALUE"""),"Rawalpindi")</f>
        <v>Rawalpindi</v>
      </c>
      <c r="B255" s="10" t="str">
        <f>IFERROR(__xludf.DUMMYFUNCTION("""COMPUTED_VALUE"""),"egckn")</f>
        <v>egckn</v>
      </c>
      <c r="C255" s="10" t="str">
        <f>IFERROR(__xludf.DUMMYFUNCTION("""COMPUTED_VALUE"""),"Jamia Masjid Syedan #2 Rawalpindi")</f>
        <v>Jamia Masjid Syedan #2 Rawalpindi</v>
      </c>
      <c r="D255" s="10" t="str">
        <f>IFERROR(__xludf.DUMMYFUNCTION("""COMPUTED_VALUE"""),"12/13/24 14:52")</f>
        <v>12/13/24 14:52</v>
      </c>
      <c r="E255" s="10" t="str">
        <f>IFERROR(__xludf.DUMMYFUNCTION("""COMPUTED_VALUE"""),"Control")</f>
        <v>Control</v>
      </c>
      <c r="F255" s="10" t="str">
        <f>IFERROR(__xludf.DUMMYFUNCTION("""COMPUTED_VALUE"""),"Rawalpindi")</f>
        <v>Rawalpindi</v>
      </c>
    </row>
    <row r="256">
      <c r="A256" s="10" t="str">
        <f>IFERROR(__xludf.DUMMYFUNCTION("""COMPUTED_VALUE"""),"Rawalpindi")</f>
        <v>Rawalpindi</v>
      </c>
      <c r="B256" s="10" t="str">
        <f>IFERROR(__xludf.DUMMYFUNCTION("""COMPUTED_VALUE"""),"thjdr")</f>
        <v>thjdr</v>
      </c>
      <c r="C256" s="10" t="str">
        <f>IFERROR(__xludf.DUMMYFUNCTION("""COMPUTED_VALUE"""),"Jamia Masjid King Mandi Rawalpindi")</f>
        <v>Jamia Masjid King Mandi Rawalpindi</v>
      </c>
      <c r="D256" s="10" t="str">
        <f>IFERROR(__xludf.DUMMYFUNCTION("""COMPUTED_VALUE"""),"12/13/24 14:57")</f>
        <v>12/13/24 14:57</v>
      </c>
      <c r="E256" s="10" t="str">
        <f>IFERROR(__xludf.DUMMYFUNCTION("""COMPUTED_VALUE"""),"Women Religious No Info Share")</f>
        <v>Women Religious No Info Share</v>
      </c>
      <c r="F256" s="10" t="str">
        <f>IFERROR(__xludf.DUMMYFUNCTION("""COMPUTED_VALUE"""),"Rawalpindi")</f>
        <v>Rawalpindi</v>
      </c>
    </row>
    <row r="257">
      <c r="A257" s="10" t="str">
        <f>IFERROR(__xludf.DUMMYFUNCTION("""COMPUTED_VALUE"""),"Rawalpindi")</f>
        <v>Rawalpindi</v>
      </c>
      <c r="B257" s="10" t="str">
        <f>IFERROR(__xludf.DUMMYFUNCTION("""COMPUTED_VALUE"""),"wohmy")</f>
        <v>wohmy</v>
      </c>
      <c r="C257" s="10" t="str">
        <f>IFERROR(__xludf.DUMMYFUNCTION("""COMPUTED_VALUE"""),"Jamia Masjid Darbar Shah Di Nahlian")</f>
        <v>Jamia Masjid Darbar Shah Di Nahlian</v>
      </c>
      <c r="D257" s="10" t="str">
        <f>IFERROR(__xludf.DUMMYFUNCTION("""COMPUTED_VALUE"""),"12/13/24 15:00")</f>
        <v>12/13/24 15:00</v>
      </c>
      <c r="E257" s="10" t="str">
        <f>IFERROR(__xludf.DUMMYFUNCTION("""COMPUTED_VALUE"""),"Control")</f>
        <v>Control</v>
      </c>
      <c r="F257" s="10" t="str">
        <f>IFERROR(__xludf.DUMMYFUNCTION("""COMPUTED_VALUE"""),"Rawalpindi")</f>
        <v>Rawalpindi</v>
      </c>
    </row>
    <row r="258">
      <c r="A258" s="10" t="str">
        <f>IFERROR(__xludf.DUMMYFUNCTION("""COMPUTED_VALUE"""),"Rawalpindi")</f>
        <v>Rawalpindi</v>
      </c>
      <c r="B258" s="10" t="str">
        <f>IFERROR(__xludf.DUMMYFUNCTION("""COMPUTED_VALUE"""),"tgzpv")</f>
        <v>tgzpv</v>
      </c>
      <c r="C258" s="10" t="str">
        <f>IFERROR(__xludf.DUMMYFUNCTION("""COMPUTED_VALUE"""),"Markazi Jamia Masjid Rawalpindi")</f>
        <v>Markazi Jamia Masjid Rawalpindi</v>
      </c>
      <c r="D258" s="10" t="str">
        <f>IFERROR(__xludf.DUMMYFUNCTION("""COMPUTED_VALUE"""),"12/13/24 15:09")</f>
        <v>12/13/24 15:09</v>
      </c>
      <c r="E258" s="10" t="str">
        <f>IFERROR(__xludf.DUMMYFUNCTION("""COMPUTED_VALUE"""),"Control")</f>
        <v>Control</v>
      </c>
      <c r="F258" s="10" t="str">
        <f>IFERROR(__xludf.DUMMYFUNCTION("""COMPUTED_VALUE"""),"Rawalpindi")</f>
        <v>Rawalpindi</v>
      </c>
    </row>
    <row r="259">
      <c r="A259" s="10" t="str">
        <f>IFERROR(__xludf.DUMMYFUNCTION("""COMPUTED_VALUE"""),"Rawalpindi")</f>
        <v>Rawalpindi</v>
      </c>
      <c r="B259" s="10" t="str">
        <f>IFERROR(__xludf.DUMMYFUNCTION("""COMPUTED_VALUE"""),"bbyok")</f>
        <v>bbyok</v>
      </c>
      <c r="C259" s="10" t="str">
        <f>IFERROR(__xludf.DUMMYFUNCTION("""COMPUTED_VALUE"""),"Jamia Masjid Gawaal Mandi Rawalpindi")</f>
        <v>Jamia Masjid Gawaal Mandi Rawalpindi</v>
      </c>
      <c r="D259" s="10" t="str">
        <f>IFERROR(__xludf.DUMMYFUNCTION("""COMPUTED_VALUE"""),"12/13/24 15:15")</f>
        <v>12/13/24 15:15</v>
      </c>
      <c r="E259" s="10" t="str">
        <f>IFERROR(__xludf.DUMMYFUNCTION("""COMPUTED_VALUE"""),"Women Secular Info Share")</f>
        <v>Women Secular Info Share</v>
      </c>
      <c r="F259" s="10" t="str">
        <f>IFERROR(__xludf.DUMMYFUNCTION("""COMPUTED_VALUE"""),"Rawalpindi")</f>
        <v>Rawalpindi</v>
      </c>
    </row>
    <row r="260">
      <c r="A260" s="10" t="str">
        <f>IFERROR(__xludf.DUMMYFUNCTION("""COMPUTED_VALUE"""),"Rawalpindi")</f>
        <v>Rawalpindi</v>
      </c>
      <c r="B260" s="10" t="str">
        <f>IFERROR(__xludf.DUMMYFUNCTION("""COMPUTED_VALUE"""),"izzpy")</f>
        <v>izzpy</v>
      </c>
      <c r="C260" s="10" t="str">
        <f>IFERROR(__xludf.DUMMYFUNCTION("""COMPUTED_VALUE"""),"Jamia Masjid Madina Kabari Bazar Rawalpindi")</f>
        <v>Jamia Masjid Madina Kabari Bazar Rawalpindi</v>
      </c>
      <c r="D260" s="10" t="str">
        <f>IFERROR(__xludf.DUMMYFUNCTION("""COMPUTED_VALUE"""),"12/13/24 15:31")</f>
        <v>12/13/24 15:31</v>
      </c>
      <c r="E260" s="10" t="str">
        <f>IFERROR(__xludf.DUMMYFUNCTION("""COMPUTED_VALUE"""),"Women Religious No Info Share")</f>
        <v>Women Religious No Info Share</v>
      </c>
      <c r="F260" s="10" t="str">
        <f>IFERROR(__xludf.DUMMYFUNCTION("""COMPUTED_VALUE"""),"Rawalpindi")</f>
        <v>Rawalpindi</v>
      </c>
    </row>
    <row r="261">
      <c r="A261" s="10" t="str">
        <f>IFERROR(__xludf.DUMMYFUNCTION("""COMPUTED_VALUE"""),"Rawalpindi")</f>
        <v>Rawalpindi</v>
      </c>
      <c r="B261" s="10" t="str">
        <f>IFERROR(__xludf.DUMMYFUNCTION("""COMPUTED_VALUE"""),"cvcqu")</f>
        <v>cvcqu</v>
      </c>
      <c r="C261" s="10" t="str">
        <f>IFERROR(__xludf.DUMMYFUNCTION("""COMPUTED_VALUE"""),"Jamia Masjid Sabzi Mandi Rawalpindi")</f>
        <v>Jamia Masjid Sabzi Mandi Rawalpindi</v>
      </c>
      <c r="D261" s="10" t="str">
        <f>IFERROR(__xludf.DUMMYFUNCTION("""COMPUTED_VALUE"""),"12/13/24 17:27")</f>
        <v>12/13/24 17:27</v>
      </c>
      <c r="E261" s="10" t="str">
        <f>IFERROR(__xludf.DUMMYFUNCTION("""COMPUTED_VALUE"""),"Community Religious Info Share")</f>
        <v>Community Religious Info Share</v>
      </c>
      <c r="F261" s="10" t="str">
        <f>IFERROR(__xludf.DUMMYFUNCTION("""COMPUTED_VALUE"""),"Rawalpindi")</f>
        <v>Rawalpindi</v>
      </c>
    </row>
    <row r="262">
      <c r="A262" s="10" t="str">
        <f>IFERROR(__xludf.DUMMYFUNCTION("""COMPUTED_VALUE"""),"Rawalpindi")</f>
        <v>Rawalpindi</v>
      </c>
      <c r="B262" s="10" t="str">
        <f>IFERROR(__xludf.DUMMYFUNCTION("""COMPUTED_VALUE"""),"cxyup")</f>
        <v>cxyup</v>
      </c>
      <c r="C262" s="10" t="str">
        <f>IFERROR(__xludf.DUMMYFUNCTION("""COMPUTED_VALUE"""),"Jamia Masjid Murre Barori Rawalpindi")</f>
        <v>Jamia Masjid Murre Barori Rawalpindi</v>
      </c>
      <c r="D262" s="10" t="str">
        <f>IFERROR(__xludf.DUMMYFUNCTION("""COMPUTED_VALUE"""),"12/20/24 14:46")</f>
        <v>12/20/24 14:46</v>
      </c>
      <c r="E262" s="10" t="str">
        <f>IFERROR(__xludf.DUMMYFUNCTION("""COMPUTED_VALUE"""),"Women Secular Info Share")</f>
        <v>Women Secular Info Share</v>
      </c>
      <c r="F262" s="10" t="str">
        <f>IFERROR(__xludf.DUMMYFUNCTION("""COMPUTED_VALUE"""),"Rawalpindi")</f>
        <v>Rawalpindi</v>
      </c>
    </row>
    <row r="263">
      <c r="A263" s="10" t="str">
        <f>IFERROR(__xludf.DUMMYFUNCTION("""COMPUTED_VALUE"""),"Rawalpindi")</f>
        <v>Rawalpindi</v>
      </c>
      <c r="B263" s="10" t="str">
        <f>IFERROR(__xludf.DUMMYFUNCTION("""COMPUTED_VALUE"""),"fkwyh")</f>
        <v>fkwyh</v>
      </c>
      <c r="C263" s="10" t="str">
        <f>IFERROR(__xludf.DUMMYFUNCTION("""COMPUTED_VALUE"""),"Jamia Masjid Sadique-E-Akbar The Mall Muree")</f>
        <v>Jamia Masjid Sadique-E-Akbar The Mall Muree</v>
      </c>
      <c r="D263" s="10" t="str">
        <f>IFERROR(__xludf.DUMMYFUNCTION("""COMPUTED_VALUE"""),"12/20/24 15:48")</f>
        <v>12/20/24 15:48</v>
      </c>
      <c r="E263" s="10" t="str">
        <f>IFERROR(__xludf.DUMMYFUNCTION("""COMPUTED_VALUE"""),"Community Secular No Info Share")</f>
        <v>Community Secular No Info Share</v>
      </c>
      <c r="F263" s="10" t="str">
        <f>IFERROR(__xludf.DUMMYFUNCTION("""COMPUTED_VALUE"""),"Rawalpindi")</f>
        <v>Rawalpindi</v>
      </c>
    </row>
    <row r="264">
      <c r="A264" s="10" t="str">
        <f>IFERROR(__xludf.DUMMYFUNCTION("""COMPUTED_VALUE"""),"Rawalpindi")</f>
        <v>Rawalpindi</v>
      </c>
      <c r="B264" s="10" t="str">
        <f>IFERROR(__xludf.DUMMYFUNCTION("""COMPUTED_VALUE"""),"vzblw")</f>
        <v>vzblw</v>
      </c>
      <c r="C264" s="10" t="str">
        <f>IFERROR(__xludf.DUMMYFUNCTION("""COMPUTED_VALUE"""),"Jamia Masjid Bhaga Sher Dargali Rawalpindi")</f>
        <v>Jamia Masjid Bhaga Sher Dargali Rawalpindi</v>
      </c>
      <c r="D264" s="10" t="str">
        <f>IFERROR(__xludf.DUMMYFUNCTION("""COMPUTED_VALUE"""),"12/20/24 16:44")</f>
        <v>12/20/24 16:44</v>
      </c>
      <c r="E264" s="10" t="str">
        <f>IFERROR(__xludf.DUMMYFUNCTION("""COMPUTED_VALUE"""),"Community Religious Info Share")</f>
        <v>Community Religious Info Share</v>
      </c>
      <c r="F264" s="10" t="str">
        <f>IFERROR(__xludf.DUMMYFUNCTION("""COMPUTED_VALUE"""),"Rawalpindi")</f>
        <v>Rawalpindi</v>
      </c>
    </row>
    <row r="265">
      <c r="A265" s="10" t="str">
        <f>IFERROR(__xludf.DUMMYFUNCTION("""COMPUTED_VALUE"""),"Sahiwal")</f>
        <v>Sahiwal</v>
      </c>
      <c r="B265" s="10" t="str">
        <f>IFERROR(__xludf.DUMMYFUNCTION("""COMPUTED_VALUE"""),"miidk")</f>
        <v>miidk</v>
      </c>
      <c r="C265" s="10" t="str">
        <f>IFERROR(__xludf.DUMMYFUNCTION("""COMPUTED_VALUE"""),"Jamia Masjid Taliyah Nawali Shahiwal")</f>
        <v>Jamia Masjid Taliyah Nawali Shahiwal</v>
      </c>
      <c r="D265" s="330">
        <f>IFERROR(__xludf.DUMMYFUNCTION("""COMPUTED_VALUE"""),45455.17986111111)</f>
        <v>45455.17986</v>
      </c>
      <c r="E265" s="10" t="str">
        <f>IFERROR(__xludf.DUMMYFUNCTION("""COMPUTED_VALUE"""),"Control")</f>
        <v>Control</v>
      </c>
      <c r="F265" s="10" t="str">
        <f>IFERROR(__xludf.DUMMYFUNCTION("""COMPUTED_VALUE"""),"Sahiwal")</f>
        <v>Sahiwal</v>
      </c>
    </row>
    <row r="266">
      <c r="A266" s="10" t="str">
        <f>IFERROR(__xludf.DUMMYFUNCTION("""COMPUTED_VALUE"""),"Sahiwal")</f>
        <v>Sahiwal</v>
      </c>
      <c r="B266" s="10" t="str">
        <f>IFERROR(__xludf.DUMMYFUNCTION("""COMPUTED_VALUE"""),"ytvoy")</f>
        <v>ytvoy</v>
      </c>
      <c r="C266" s="10" t="str">
        <f>IFERROR(__xludf.DUMMYFUNCTION("""COMPUTED_VALUE"""),"Jamia Masjid Gaalah Mandi Chichawatni")</f>
        <v>Jamia Masjid Gaalah Mandi Chichawatni</v>
      </c>
      <c r="D266" s="330">
        <f>IFERROR(__xludf.DUMMYFUNCTION("""COMPUTED_VALUE"""),45455.21666666667)</f>
        <v>45455.21667</v>
      </c>
      <c r="E266" s="10" t="str">
        <f>IFERROR(__xludf.DUMMYFUNCTION("""COMPUTED_VALUE"""),"Control")</f>
        <v>Control</v>
      </c>
      <c r="F266" s="10" t="str">
        <f>IFERROR(__xludf.DUMMYFUNCTION("""COMPUTED_VALUE"""),"Sahiwal")</f>
        <v>Sahiwal</v>
      </c>
    </row>
    <row r="267">
      <c r="A267" s="10" t="str">
        <f>IFERROR(__xludf.DUMMYFUNCTION("""COMPUTED_VALUE"""),"Sahiwal")</f>
        <v>Sahiwal</v>
      </c>
      <c r="B267" s="10" t="str">
        <f>IFERROR(__xludf.DUMMYFUNCTION("""COMPUTED_VALUE"""),"usaou")</f>
        <v>usaou</v>
      </c>
      <c r="C267" s="10" t="str">
        <f>IFERROR(__xludf.DUMMYFUNCTION("""COMPUTED_VALUE"""),"Jamia Masjid Gaalah Mandi Shahiwal")</f>
        <v>Jamia Masjid Gaalah Mandi Shahiwal</v>
      </c>
      <c r="D267" s="330">
        <f>IFERROR(__xludf.DUMMYFUNCTION("""COMPUTED_VALUE"""),45455.22777777778)</f>
        <v>45455.22778</v>
      </c>
      <c r="E267" s="10" t="str">
        <f>IFERROR(__xludf.DUMMYFUNCTION("""COMPUTED_VALUE"""),"Control")</f>
        <v>Control</v>
      </c>
      <c r="F267" s="10" t="str">
        <f>IFERROR(__xludf.DUMMYFUNCTION("""COMPUTED_VALUE"""),"Sahiwal")</f>
        <v>Sahiwal</v>
      </c>
    </row>
    <row r="268">
      <c r="A268" s="10" t="str">
        <f>IFERROR(__xludf.DUMMYFUNCTION("""COMPUTED_VALUE"""),"Sahiwal")</f>
        <v>Sahiwal</v>
      </c>
      <c r="B268" s="10" t="str">
        <f>IFERROR(__xludf.DUMMYFUNCTION("""COMPUTED_VALUE"""),"bxyxm")</f>
        <v>bxyxm</v>
      </c>
      <c r="C268" s="10" t="str">
        <f>IFERROR(__xludf.DUMMYFUNCTION("""COMPUTED_VALUE"""),"Jamia Masjid Eid Gah Shahiwal")</f>
        <v>Jamia Masjid Eid Gah Shahiwal</v>
      </c>
      <c r="D268" s="330">
        <f>IFERROR(__xludf.DUMMYFUNCTION("""COMPUTED_VALUE"""),45455.239583333336)</f>
        <v>45455.23958</v>
      </c>
      <c r="E268" s="10" t="str">
        <f>IFERROR(__xludf.DUMMYFUNCTION("""COMPUTED_VALUE"""),"Control")</f>
        <v>Control</v>
      </c>
      <c r="F268" s="10" t="str">
        <f>IFERROR(__xludf.DUMMYFUNCTION("""COMPUTED_VALUE"""),"Sahiwal")</f>
        <v>Sahiwal</v>
      </c>
    </row>
    <row r="269">
      <c r="A269" s="10" t="str">
        <f>IFERROR(__xludf.DUMMYFUNCTION("""COMPUTED_VALUE"""),"Sahiwal")</f>
        <v>Sahiwal</v>
      </c>
      <c r="B269" s="10" t="str">
        <f>IFERROR(__xludf.DUMMYFUNCTION("""COMPUTED_VALUE"""),"gtjbd")</f>
        <v>gtjbd</v>
      </c>
      <c r="C269" s="10" t="str">
        <f>IFERROR(__xludf.DUMMYFUNCTION("""COMPUTED_VALUE"""),"Jamia Masjid Sunhari Gol Chowk Sahiwal")</f>
        <v>Jamia Masjid Sunhari Gol Chowk Sahiwal</v>
      </c>
      <c r="D269" s="330">
        <f>IFERROR(__xludf.DUMMYFUNCTION("""COMPUTED_VALUE"""),45455.24722222222)</f>
        <v>45455.24722</v>
      </c>
      <c r="E269" s="10" t="str">
        <f>IFERROR(__xludf.DUMMYFUNCTION("""COMPUTED_VALUE"""),"Women Religious Info Share")</f>
        <v>Women Religious Info Share</v>
      </c>
      <c r="F269" s="10" t="str">
        <f>IFERROR(__xludf.DUMMYFUNCTION("""COMPUTED_VALUE"""),"Sahiwal")</f>
        <v>Sahiwal</v>
      </c>
    </row>
    <row r="270">
      <c r="A270" s="10" t="str">
        <f>IFERROR(__xludf.DUMMYFUNCTION("""COMPUTED_VALUE"""),"Sahiwal")</f>
        <v>Sahiwal</v>
      </c>
      <c r="B270" s="10" t="str">
        <f>IFERROR(__xludf.DUMMYFUNCTION("""COMPUTED_VALUE"""),"ibtrf")</f>
        <v>ibtrf</v>
      </c>
      <c r="C270" s="10" t="str">
        <f>IFERROR(__xludf.DUMMYFUNCTION("""COMPUTED_VALUE"""),"Jamia Masjid Chila Gha Sheer Shah Wali")</f>
        <v>Jamia Masjid Chila Gha Sheer Shah Wali</v>
      </c>
      <c r="D270" s="330">
        <f>IFERROR(__xludf.DUMMYFUNCTION("""COMPUTED_VALUE"""),45455.24722222222)</f>
        <v>45455.24722</v>
      </c>
      <c r="E270" s="10" t="str">
        <f>IFERROR(__xludf.DUMMYFUNCTION("""COMPUTED_VALUE"""),"Women Religious Info Share")</f>
        <v>Women Religious Info Share</v>
      </c>
      <c r="F270" s="10" t="str">
        <f>IFERROR(__xludf.DUMMYFUNCTION("""COMPUTED_VALUE"""),"Sahiwal")</f>
        <v>Sahiwal</v>
      </c>
    </row>
    <row r="271">
      <c r="A271" s="10" t="str">
        <f>IFERROR(__xludf.DUMMYFUNCTION("""COMPUTED_VALUE"""),"Sahiwal")</f>
        <v>Sahiwal</v>
      </c>
      <c r="B271" s="10" t="str">
        <f>IFERROR(__xludf.DUMMYFUNCTION("""COMPUTED_VALUE"""),"ifvqa")</f>
        <v>ifvqa</v>
      </c>
      <c r="C271" s="10" t="str">
        <f>IFERROR(__xludf.DUMMYFUNCTION("""COMPUTED_VALUE"""),"Jamia Masjid Noor Almasjid Chichawatni")</f>
        <v>Jamia Masjid Noor Almasjid Chichawatni</v>
      </c>
      <c r="D271" s="330">
        <f>IFERROR(__xludf.DUMMYFUNCTION("""COMPUTED_VALUE"""),45455.28680555556)</f>
        <v>45455.28681</v>
      </c>
      <c r="E271" s="10" t="str">
        <f>IFERROR(__xludf.DUMMYFUNCTION("""COMPUTED_VALUE"""),"Control")</f>
        <v>Control</v>
      </c>
      <c r="F271" s="10" t="str">
        <f>IFERROR(__xludf.DUMMYFUNCTION("""COMPUTED_VALUE"""),"Sahiwal")</f>
        <v>Sahiwal</v>
      </c>
    </row>
    <row r="272">
      <c r="A272" s="10" t="str">
        <f>IFERROR(__xludf.DUMMYFUNCTION("""COMPUTED_VALUE"""),"Sahiwal")</f>
        <v>Sahiwal</v>
      </c>
      <c r="B272" s="10" t="str">
        <f>IFERROR(__xludf.DUMMYFUNCTION("""COMPUTED_VALUE"""),"hhwjl")</f>
        <v>hhwjl</v>
      </c>
      <c r="C272" s="10" t="str">
        <f>IFERROR(__xludf.DUMMYFUNCTION("""COMPUTED_VALUE"""),"Jamia Masjid Panha Kambeer Shahiwal")</f>
        <v>Jamia Masjid Panha Kambeer Shahiwal</v>
      </c>
      <c r="D272" s="330">
        <f>IFERROR(__xludf.DUMMYFUNCTION("""COMPUTED_VALUE"""),45455.29027777778)</f>
        <v>45455.29028</v>
      </c>
      <c r="E272" s="10" t="str">
        <f>IFERROR(__xludf.DUMMYFUNCTION("""COMPUTED_VALUE"""),"Community Religious Info Share")</f>
        <v>Community Religious Info Share</v>
      </c>
      <c r="F272" s="10" t="str">
        <f>IFERROR(__xludf.DUMMYFUNCTION("""COMPUTED_VALUE"""),"Sahiwal")</f>
        <v>Sahiwal</v>
      </c>
    </row>
    <row r="273">
      <c r="A273" s="10" t="str">
        <f>IFERROR(__xludf.DUMMYFUNCTION("""COMPUTED_VALUE"""),"Sailkot")</f>
        <v>Sailkot</v>
      </c>
      <c r="B273" s="10" t="str">
        <f>IFERROR(__xludf.DUMMYFUNCTION("""COMPUTED_VALUE"""),"qlxff")</f>
        <v>qlxff</v>
      </c>
      <c r="C273" s="10" t="str">
        <f>IFERROR(__xludf.DUMMYFUNCTION("""COMPUTED_VALUE"""),"Jamia Masjid Darbar Qutab Shah Wali Narowaal")</f>
        <v>Jamia Masjid Darbar Qutab Shah Wali Narowaal</v>
      </c>
      <c r="D273" s="330">
        <f>IFERROR(__xludf.DUMMYFUNCTION("""COMPUTED_VALUE"""),45455.19097222222)</f>
        <v>45455.19097</v>
      </c>
      <c r="E273" s="10" t="str">
        <f>IFERROR(__xludf.DUMMYFUNCTION("""COMPUTED_VALUE"""),"Women Secular No Info Share")</f>
        <v>Women Secular No Info Share</v>
      </c>
      <c r="F273" s="10" t="str">
        <f>IFERROR(__xludf.DUMMYFUNCTION("""COMPUTED_VALUE"""),"Sailkot")</f>
        <v>Sailkot</v>
      </c>
    </row>
    <row r="274">
      <c r="A274" s="10" t="str">
        <f>IFERROR(__xludf.DUMMYFUNCTION("""COMPUTED_VALUE"""),"Sailkot")</f>
        <v>Sailkot</v>
      </c>
      <c r="B274" s="10" t="str">
        <f>IFERROR(__xludf.DUMMYFUNCTION("""COMPUTED_VALUE"""),"ohbdv")</f>
        <v>ohbdv</v>
      </c>
      <c r="C274" s="10" t="str">
        <f>IFERROR(__xludf.DUMMYFUNCTION("""COMPUTED_VALUE"""),"Jamia Masjid Noor Shakarghar")</f>
        <v>Jamia Masjid Noor Shakarghar</v>
      </c>
      <c r="D274" s="330">
        <f>IFERROR(__xludf.DUMMYFUNCTION("""COMPUTED_VALUE"""),45455.23611111111)</f>
        <v>45455.23611</v>
      </c>
      <c r="E274" s="10" t="str">
        <f>IFERROR(__xludf.DUMMYFUNCTION("""COMPUTED_VALUE"""),"Women Secular No Info Share")</f>
        <v>Women Secular No Info Share</v>
      </c>
      <c r="F274" s="10" t="str">
        <f>IFERROR(__xludf.DUMMYFUNCTION("""COMPUTED_VALUE"""),"Sailkot")</f>
        <v>Sailkot</v>
      </c>
    </row>
    <row r="275">
      <c r="A275" s="10" t="str">
        <f>IFERROR(__xludf.DUMMYFUNCTION("""COMPUTED_VALUE"""),"Sailkot")</f>
        <v>Sailkot</v>
      </c>
      <c r="B275" s="10" t="str">
        <f>IFERROR(__xludf.DUMMYFUNCTION("""COMPUTED_VALUE"""),"oiuji")</f>
        <v>oiuji</v>
      </c>
      <c r="C275" s="10" t="str">
        <f>IFERROR(__xludf.DUMMYFUNCTION("""COMPUTED_VALUE"""),"Jamia Masjid Darbar Chila Ga Kangna Peera Hamal Pura")</f>
        <v>Jamia Masjid Darbar Chila Ga Kangna Peera Hamal Pura</v>
      </c>
      <c r="D275" s="330">
        <f>IFERROR(__xludf.DUMMYFUNCTION("""COMPUTED_VALUE"""),45455.243055555555)</f>
        <v>45455.24306</v>
      </c>
      <c r="E275" s="10" t="str">
        <f>IFERROR(__xludf.DUMMYFUNCTION("""COMPUTED_VALUE"""),"Community Religious No Info Share")</f>
        <v>Community Religious No Info Share</v>
      </c>
      <c r="F275" s="10" t="str">
        <f>IFERROR(__xludf.DUMMYFUNCTION("""COMPUTED_VALUE"""),"Sailkot")</f>
        <v>Sailkot</v>
      </c>
    </row>
    <row r="276">
      <c r="A276" s="10" t="str">
        <f>IFERROR(__xludf.DUMMYFUNCTION("""COMPUTED_VALUE"""),"Sailkot")</f>
        <v>Sailkot</v>
      </c>
      <c r="B276" s="10" t="str">
        <f>IFERROR(__xludf.DUMMYFUNCTION("""COMPUTED_VALUE"""),"dgohd")</f>
        <v>dgohd</v>
      </c>
      <c r="C276" s="10" t="str">
        <f>IFERROR(__xludf.DUMMYFUNCTION("""COMPUTED_VALUE"""),"Jamia Masjid Darbar Abdul Salam Chisti Shakarghar")</f>
        <v>Jamia Masjid Darbar Abdul Salam Chisti Shakarghar</v>
      </c>
      <c r="D276" s="330">
        <f>IFERROR(__xludf.DUMMYFUNCTION("""COMPUTED_VALUE"""),45455.25555555556)</f>
        <v>45455.25556</v>
      </c>
      <c r="E276" s="10" t="str">
        <f>IFERROR(__xludf.DUMMYFUNCTION("""COMPUTED_VALUE"""),"Women Secular Info Share")</f>
        <v>Women Secular Info Share</v>
      </c>
      <c r="F276" s="10" t="str">
        <f>IFERROR(__xludf.DUMMYFUNCTION("""COMPUTED_VALUE"""),"Sailkot")</f>
        <v>Sailkot</v>
      </c>
    </row>
    <row r="277">
      <c r="A277" s="10" t="str">
        <f>IFERROR(__xludf.DUMMYFUNCTION("""COMPUTED_VALUE"""),"Sailkot")</f>
        <v>Sailkot</v>
      </c>
      <c r="B277" s="10" t="str">
        <f>IFERROR(__xludf.DUMMYFUNCTION("""COMPUTED_VALUE"""),"aknhz")</f>
        <v>aknhz</v>
      </c>
      <c r="C277" s="10" t="str">
        <f>IFERROR(__xludf.DUMMYFUNCTION("""COMPUTED_VALUE"""),"Jamia Masjid Darbar Eman Ali Alhaq Sailkot")</f>
        <v>Jamia Masjid Darbar Eman Ali Alhaq Sailkot</v>
      </c>
      <c r="D277" s="330">
        <f>IFERROR(__xludf.DUMMYFUNCTION("""COMPUTED_VALUE"""),45455.26944444444)</f>
        <v>45455.26944</v>
      </c>
      <c r="E277" s="10" t="str">
        <f>IFERROR(__xludf.DUMMYFUNCTION("""COMPUTED_VALUE"""),"Control")</f>
        <v>Control</v>
      </c>
      <c r="F277" s="10" t="str">
        <f>IFERROR(__xludf.DUMMYFUNCTION("""COMPUTED_VALUE"""),"Sailkot")</f>
        <v>Sailkot</v>
      </c>
    </row>
    <row r="278">
      <c r="A278" s="10" t="str">
        <f>IFERROR(__xludf.DUMMYFUNCTION("""COMPUTED_VALUE"""),"Sailkot")</f>
        <v>Sailkot</v>
      </c>
      <c r="B278" s="10" t="str">
        <f>IFERROR(__xludf.DUMMYFUNCTION("""COMPUTED_VALUE"""),"oyfuj")</f>
        <v>oyfuj</v>
      </c>
      <c r="C278" s="10" t="str">
        <f>IFERROR(__xludf.DUMMYFUNCTION("""COMPUTED_VALUE"""),"Jamia Masjid Unchee PansaRiya Sailkot")</f>
        <v>Jamia Masjid Unchee PansaRiya Sailkot</v>
      </c>
      <c r="D278" s="10" t="str">
        <f>IFERROR(__xludf.DUMMYFUNCTION("""COMPUTED_VALUE"""),"12/13/24 14:37")</f>
        <v>12/13/24 14:37</v>
      </c>
      <c r="E278" s="10" t="str">
        <f>IFERROR(__xludf.DUMMYFUNCTION("""COMPUTED_VALUE"""),"Control")</f>
        <v>Control</v>
      </c>
      <c r="F278" s="10" t="str">
        <f>IFERROR(__xludf.DUMMYFUNCTION("""COMPUTED_VALUE"""),"Sailkot")</f>
        <v>Sailkot</v>
      </c>
    </row>
    <row r="279">
      <c r="A279" s="10" t="str">
        <f>IFERROR(__xludf.DUMMYFUNCTION("""COMPUTED_VALUE"""),"Sailkot")</f>
        <v>Sailkot</v>
      </c>
      <c r="B279" s="10" t="str">
        <f>IFERROR(__xludf.DUMMYFUNCTION("""COMPUTED_VALUE"""),"dkded")</f>
        <v>dkded</v>
      </c>
      <c r="C279" s="10" t="str">
        <f>IFERROR(__xludf.DUMMYFUNCTION("""COMPUTED_VALUE"""),"Jamia Masjid Darbar Peer Milah Reheem Pura Kachian, Tehsil &amp; District Sialkot")</f>
        <v>Jamia Masjid Darbar Peer Milah Reheem Pura Kachian, Tehsil &amp; District Sialkot</v>
      </c>
      <c r="D279" s="10" t="str">
        <f>IFERROR(__xludf.DUMMYFUNCTION("""COMPUTED_VALUE"""),"12/27/24 17:08")</f>
        <v>12/27/24 17:08</v>
      </c>
      <c r="E279" s="10" t="str">
        <f>IFERROR(__xludf.DUMMYFUNCTION("""COMPUTED_VALUE"""),"Community Secular No Info Share")</f>
        <v>Community Secular No Info Share</v>
      </c>
      <c r="F279" s="10" t="str">
        <f>IFERROR(__xludf.DUMMYFUNCTION("""COMPUTED_VALUE"""),"Sailkot")</f>
        <v>Sailkot</v>
      </c>
    </row>
    <row r="280">
      <c r="A280" s="10" t="str">
        <f>IFERROR(__xludf.DUMMYFUNCTION("""COMPUTED_VALUE"""),"Sailkot")</f>
        <v>Sailkot</v>
      </c>
      <c r="B280" s="10" t="str">
        <f>IFERROR(__xludf.DUMMYFUNCTION("""COMPUTED_VALUE"""),"pcboq")</f>
        <v>pcboq</v>
      </c>
      <c r="C280" s="10" t="str">
        <f>IFERROR(__xludf.DUMMYFUNCTION("""COMPUTED_VALUE"""),"Jamia Masjid Safdariya Rangupura Sailkot")</f>
        <v>Jamia Masjid Safdariya Rangupura Sailkot</v>
      </c>
      <c r="D280" s="10" t="str">
        <f>IFERROR(__xludf.DUMMYFUNCTION("""COMPUTED_VALUE"""),"12/27/24 17:34")</f>
        <v>12/27/24 17:34</v>
      </c>
      <c r="E280" s="10" t="str">
        <f>IFERROR(__xludf.DUMMYFUNCTION("""COMPUTED_VALUE"""),"Women Secular No Info Share")</f>
        <v>Women Secular No Info Share</v>
      </c>
      <c r="F280" s="10" t="str">
        <f>IFERROR(__xludf.DUMMYFUNCTION("""COMPUTED_VALUE"""),"Sailkot")</f>
        <v>Sailkot</v>
      </c>
    </row>
    <row r="281">
      <c r="A281" s="10" t="str">
        <f>IFERROR(__xludf.DUMMYFUNCTION("""COMPUTED_VALUE"""),"Sargodha")</f>
        <v>Sargodha</v>
      </c>
      <c r="B281" s="10" t="str">
        <f>IFERROR(__xludf.DUMMYFUNCTION("""COMPUTED_VALUE"""),"ebspq")</f>
        <v>ebspq</v>
      </c>
      <c r="C281" s="10" t="str">
        <f>IFERROR(__xludf.DUMMYFUNCTION("""COMPUTED_VALUE"""),"Jamia Masjid Galah Mandi Sargodha")</f>
        <v>Jamia Masjid Galah Mandi Sargodha</v>
      </c>
      <c r="D281" s="330">
        <f>IFERROR(__xludf.DUMMYFUNCTION("""COMPUTED_VALUE"""),45392.20694444444)</f>
        <v>45392.20694</v>
      </c>
      <c r="E281" s="10" t="str">
        <f>IFERROR(__xludf.DUMMYFUNCTION("""COMPUTED_VALUE"""),"Women Religious Info Share")</f>
        <v>Women Religious Info Share</v>
      </c>
      <c r="F281" s="10" t="str">
        <f>IFERROR(__xludf.DUMMYFUNCTION("""COMPUTED_VALUE"""),"Sargodha")</f>
        <v>Sargodha</v>
      </c>
    </row>
    <row r="282">
      <c r="A282" s="10" t="str">
        <f>IFERROR(__xludf.DUMMYFUNCTION("""COMPUTED_VALUE"""),"Sargodha")</f>
        <v>Sargodha</v>
      </c>
      <c r="B282" s="10" t="str">
        <f>IFERROR(__xludf.DUMMYFUNCTION("""COMPUTED_VALUE"""),"hhmbl")</f>
        <v>hhmbl</v>
      </c>
      <c r="C282" s="10" t="str">
        <f>IFERROR(__xludf.DUMMYFUNCTION("""COMPUTED_VALUE"""),"Jamia Masjid Galah Mandi Bhalwal")</f>
        <v>Jamia Masjid Galah Mandi Bhalwal</v>
      </c>
      <c r="D282" s="330">
        <f>IFERROR(__xludf.DUMMYFUNCTION("""COMPUTED_VALUE"""),45392.214583333334)</f>
        <v>45392.21458</v>
      </c>
      <c r="E282" s="10" t="str">
        <f>IFERROR(__xludf.DUMMYFUNCTION("""COMPUTED_VALUE"""),"Women Religious Info Share")</f>
        <v>Women Religious Info Share</v>
      </c>
      <c r="F282" s="10" t="str">
        <f>IFERROR(__xludf.DUMMYFUNCTION("""COMPUTED_VALUE"""),"Sargodha")</f>
        <v>Sargodha</v>
      </c>
    </row>
    <row r="283">
      <c r="A283" s="10" t="str">
        <f>IFERROR(__xludf.DUMMYFUNCTION("""COMPUTED_VALUE"""),"Sargodha")</f>
        <v>Sargodha</v>
      </c>
      <c r="B283" s="10" t="str">
        <f>IFERROR(__xludf.DUMMYFUNCTION("""COMPUTED_VALUE"""),"uiodj")</f>
        <v>uiodj</v>
      </c>
      <c r="C283" s="10" t="str">
        <f>IFERROR(__xludf.DUMMYFUNCTION("""COMPUTED_VALUE"""),"Jamia Masjid Zia Muzam Abaad Kot Mumin")</f>
        <v>Jamia Masjid Zia Muzam Abaad Kot Mumin</v>
      </c>
      <c r="D283" s="330">
        <f>IFERROR(__xludf.DUMMYFUNCTION("""COMPUTED_VALUE"""),45392.24166666667)</f>
        <v>45392.24167</v>
      </c>
      <c r="E283" s="10" t="str">
        <f>IFERROR(__xludf.DUMMYFUNCTION("""COMPUTED_VALUE"""),"Community Secular Info Share")</f>
        <v>Community Secular Info Share</v>
      </c>
      <c r="F283" s="10" t="str">
        <f>IFERROR(__xludf.DUMMYFUNCTION("""COMPUTED_VALUE"""),"Sargodha")</f>
        <v>Sargodha</v>
      </c>
    </row>
    <row r="284">
      <c r="A284" s="10" t="str">
        <f>IFERROR(__xludf.DUMMYFUNCTION("""COMPUTED_VALUE"""),"Sargodha")</f>
        <v>Sargodha</v>
      </c>
      <c r="B284" s="10" t="str">
        <f>IFERROR(__xludf.DUMMYFUNCTION("""COMPUTED_VALUE"""),"pmxox")</f>
        <v>pmxox</v>
      </c>
      <c r="C284" s="10" t="str">
        <f>IFERROR(__xludf.DUMMYFUNCTION("""COMPUTED_VALUE"""),"Jamia Masjid Block # 1 Sargodha")</f>
        <v>Jamia Masjid Block # 1 Sargodha</v>
      </c>
      <c r="D284" s="330">
        <f>IFERROR(__xludf.DUMMYFUNCTION("""COMPUTED_VALUE"""),45392.25)</f>
        <v>45392.25</v>
      </c>
      <c r="E284" s="10" t="str">
        <f>IFERROR(__xludf.DUMMYFUNCTION("""COMPUTED_VALUE"""),"Women Secular No Info Share")</f>
        <v>Women Secular No Info Share</v>
      </c>
      <c r="F284" s="10" t="str">
        <f>IFERROR(__xludf.DUMMYFUNCTION("""COMPUTED_VALUE"""),"Sargodha")</f>
        <v>Sargodha</v>
      </c>
    </row>
    <row r="285">
      <c r="A285" s="10" t="str">
        <f>IFERROR(__xludf.DUMMYFUNCTION("""COMPUTED_VALUE"""),"Sargodha")</f>
        <v>Sargodha</v>
      </c>
      <c r="B285" s="10" t="str">
        <f>IFERROR(__xludf.DUMMYFUNCTION("""COMPUTED_VALUE"""),"qpstq")</f>
        <v>qpstq</v>
      </c>
      <c r="C285" s="10" t="str">
        <f>IFERROR(__xludf.DUMMYFUNCTION("""COMPUTED_VALUE"""),"Jamia Masjid Gulzar Madina 43 Shamali Lari Adah")</f>
        <v>Jamia Masjid Gulzar Madina 43 Shamali Lari Adah</v>
      </c>
      <c r="D285" s="330">
        <f>IFERROR(__xludf.DUMMYFUNCTION("""COMPUTED_VALUE"""),45392.26944444444)</f>
        <v>45392.26944</v>
      </c>
      <c r="E285" s="10" t="str">
        <f>IFERROR(__xludf.DUMMYFUNCTION("""COMPUTED_VALUE"""),"Community Secular Info Share")</f>
        <v>Community Secular Info Share</v>
      </c>
      <c r="F285" s="10" t="str">
        <f>IFERROR(__xludf.DUMMYFUNCTION("""COMPUTED_VALUE"""),"Sargodha")</f>
        <v>Sargodha</v>
      </c>
    </row>
    <row r="286">
      <c r="A286" s="10" t="str">
        <f>IFERROR(__xludf.DUMMYFUNCTION("""COMPUTED_VALUE"""),"Sargodha")</f>
        <v>Sargodha</v>
      </c>
      <c r="B286" s="10" t="str">
        <f>IFERROR(__xludf.DUMMYFUNCTION("""COMPUTED_VALUE"""),"obntr")</f>
        <v>obntr</v>
      </c>
      <c r="C286" s="10" t="str">
        <f>IFERROR(__xludf.DUMMYFUNCTION("""COMPUTED_VALUE"""),"Jamia Masjid Main Bazar Bhahwal")</f>
        <v>Jamia Masjid Main Bazar Bhahwal</v>
      </c>
      <c r="D286" s="330">
        <f>IFERROR(__xludf.DUMMYFUNCTION("""COMPUTED_VALUE"""),45392.288194444445)</f>
        <v>45392.28819</v>
      </c>
      <c r="E286" s="10" t="str">
        <f>IFERROR(__xludf.DUMMYFUNCTION("""COMPUTED_VALUE"""),"Community Secular Info Share")</f>
        <v>Community Secular Info Share</v>
      </c>
      <c r="F286" s="10" t="str">
        <f>IFERROR(__xludf.DUMMYFUNCTION("""COMPUTED_VALUE"""),"Sargodha")</f>
        <v>Sargodha</v>
      </c>
    </row>
    <row r="287">
      <c r="A287" s="10" t="str">
        <f>IFERROR(__xludf.DUMMYFUNCTION("""COMPUTED_VALUE"""),"Sargodha")</f>
        <v>Sargodha</v>
      </c>
      <c r="B287" s="10" t="str">
        <f>IFERROR(__xludf.DUMMYFUNCTION("""COMPUTED_VALUE"""),"lmdfn")</f>
        <v>lmdfn</v>
      </c>
      <c r="C287" s="10" t="str">
        <f>IFERROR(__xludf.DUMMYFUNCTION("""COMPUTED_VALUE"""),"Jamia Masjid Company Bhaag Sargodha")</f>
        <v>Jamia Masjid Company Bhaag Sargodha</v>
      </c>
      <c r="D287" s="330">
        <f>IFERROR(__xludf.DUMMYFUNCTION("""COMPUTED_VALUE"""),45392.31041666667)</f>
        <v>45392.31042</v>
      </c>
      <c r="E287" s="10" t="str">
        <f>IFERROR(__xludf.DUMMYFUNCTION("""COMPUTED_VALUE"""),"Control")</f>
        <v>Control</v>
      </c>
      <c r="F287" s="10" t="str">
        <f>IFERROR(__xludf.DUMMYFUNCTION("""COMPUTED_VALUE"""),"Sargodha")</f>
        <v>Sargodha</v>
      </c>
    </row>
    <row r="288">
      <c r="A288" s="10" t="str">
        <f>IFERROR(__xludf.DUMMYFUNCTION("""COMPUTED_VALUE"""),"Sargodha")</f>
        <v>Sargodha</v>
      </c>
      <c r="B288" s="10" t="str">
        <f>IFERROR(__xludf.DUMMYFUNCTION("""COMPUTED_VALUE"""),"vncjq")</f>
        <v>vncjq</v>
      </c>
      <c r="C288" s="10" t="str">
        <f>IFERROR(__xludf.DUMMYFUNCTION("""COMPUTED_VALUE"""),"Jamia Masjid Satellite Town")</f>
        <v>Jamia Masjid Satellite Town</v>
      </c>
      <c r="D288" s="330">
        <f>IFERROR(__xludf.DUMMYFUNCTION("""COMPUTED_VALUE"""),45606.23541666667)</f>
        <v>45606.23542</v>
      </c>
      <c r="E288" s="10" t="str">
        <f>IFERROR(__xludf.DUMMYFUNCTION("""COMPUTED_VALUE"""),"Community Religious No Info Share")</f>
        <v>Community Religious No Info Share</v>
      </c>
      <c r="F288" s="10" t="str">
        <f>IFERROR(__xludf.DUMMYFUNCTION("""COMPUTED_VALUE"""),"Sargodha")</f>
        <v>Sargodha</v>
      </c>
    </row>
    <row r="289">
      <c r="A289" s="10" t="str">
        <f>IFERROR(__xludf.DUMMYFUNCTION("""COMPUTED_VALUE"""),"Sargodha")</f>
        <v>Sargodha</v>
      </c>
      <c r="B289" s="10" t="str">
        <f>IFERROR(__xludf.DUMMYFUNCTION("""COMPUTED_VALUE"""),"wwwqh")</f>
        <v>wwwqh</v>
      </c>
      <c r="C289" s="10" t="str">
        <f>IFERROR(__xludf.DUMMYFUNCTION("""COMPUTED_VALUE"""),"Jamia Masjid Sakhi Suleman Noori Hazuri")</f>
        <v>Jamia Masjid Sakhi Suleman Noori Hazuri</v>
      </c>
      <c r="D289" s="10" t="str">
        <f>IFERROR(__xludf.DUMMYFUNCTION("""COMPUTED_VALUE"""),"10/19/24 11:56")</f>
        <v>10/19/24 11:56</v>
      </c>
      <c r="E289" s="10" t="str">
        <f>IFERROR(__xludf.DUMMYFUNCTION("""COMPUTED_VALUE"""),"Control")</f>
        <v>Control</v>
      </c>
      <c r="F289" s="10" t="str">
        <f>IFERROR(__xludf.DUMMYFUNCTION("""COMPUTED_VALUE"""),"Sargodha")</f>
        <v>Sargodha</v>
      </c>
    </row>
    <row r="290">
      <c r="A290" s="10" t="str">
        <f>IFERROR(__xludf.DUMMYFUNCTION("""COMPUTED_VALUE"""),"Sargodha")</f>
        <v>Sargodha</v>
      </c>
      <c r="B290" s="10" t="str">
        <f>IFERROR(__xludf.DUMMYFUNCTION("""COMPUTED_VALUE"""),"vyrme")</f>
        <v>vyrme</v>
      </c>
      <c r="C290" s="10" t="str">
        <f>IFERROR(__xludf.DUMMYFUNCTION("""COMPUTED_VALUE"""),"Jamia Masjid Chakwali Darwaza Behra")</f>
        <v>Jamia Masjid Chakwali Darwaza Behra</v>
      </c>
      <c r="D290" s="10" t="str">
        <f>IFERROR(__xludf.DUMMYFUNCTION("""COMPUTED_VALUE"""),"10/19/24 12:07")</f>
        <v>10/19/24 12:07</v>
      </c>
      <c r="E290" s="10" t="str">
        <f>IFERROR(__xludf.DUMMYFUNCTION("""COMPUTED_VALUE"""),"Control")</f>
        <v>Control</v>
      </c>
      <c r="F290" s="10" t="str">
        <f>IFERROR(__xludf.DUMMYFUNCTION("""COMPUTED_VALUE"""),"Sargodha")</f>
        <v>Sargodha</v>
      </c>
    </row>
    <row r="291">
      <c r="A291" s="10" t="str">
        <f>IFERROR(__xludf.DUMMYFUNCTION("""COMPUTED_VALUE"""),"Sargodha")</f>
        <v>Sargodha</v>
      </c>
      <c r="B291" s="10" t="str">
        <f>IFERROR(__xludf.DUMMYFUNCTION("""COMPUTED_VALUE"""),"jtmur")</f>
        <v>jtmur</v>
      </c>
      <c r="C291" s="10" t="str">
        <f>IFERROR(__xludf.DUMMYFUNCTION("""COMPUTED_VALUE"""),"Jamia Masjid Phalarwaan Sargodha")</f>
        <v>Jamia Masjid Phalarwaan Sargodha</v>
      </c>
      <c r="D291" s="10" t="str">
        <f>IFERROR(__xludf.DUMMYFUNCTION("""COMPUTED_VALUE"""),"10/20/24 17:45")</f>
        <v>10/20/24 17:45</v>
      </c>
      <c r="E291" s="10" t="str">
        <f>IFERROR(__xludf.DUMMYFUNCTION("""COMPUTED_VALUE"""),"Control")</f>
        <v>Control</v>
      </c>
      <c r="F291" s="10" t="str">
        <f>IFERROR(__xludf.DUMMYFUNCTION("""COMPUTED_VALUE"""),"Sargodha")</f>
        <v>Sargodha</v>
      </c>
    </row>
    <row r="292">
      <c r="A292" s="10" t="str">
        <f>IFERROR(__xludf.DUMMYFUNCTION("""COMPUTED_VALUE"""),"Sargodha")</f>
        <v>Sargodha</v>
      </c>
      <c r="B292" s="10" t="str">
        <f>IFERROR(__xludf.DUMMYFUNCTION("""COMPUTED_VALUE"""),"palog")</f>
        <v>palog</v>
      </c>
      <c r="C292" s="10" t="str">
        <f>IFERROR(__xludf.DUMMYFUNCTION("""COMPUTED_VALUE"""),"Jamia Masjid Ashrafia Gol Chowk Sargodha")</f>
        <v>Jamia Masjid Ashrafia Gol Chowk Sargodha</v>
      </c>
      <c r="D292" s="330">
        <f>IFERROR(__xludf.DUMMYFUNCTION("""COMPUTED_VALUE"""),45302.26944444444)</f>
        <v>45302.26944</v>
      </c>
      <c r="E292" s="10" t="str">
        <f>IFERROR(__xludf.DUMMYFUNCTION("""COMPUTED_VALUE"""),"Women Religious No Info Share")</f>
        <v>Women Religious No Info Share</v>
      </c>
      <c r="F292" s="10" t="str">
        <f>IFERROR(__xludf.DUMMYFUNCTION("""COMPUTED_VALUE"""),"Sargodha")</f>
        <v>Sargodha</v>
      </c>
    </row>
    <row r="293">
      <c r="A293" s="10" t="str">
        <f>IFERROR(__xludf.DUMMYFUNCTION("""COMPUTED_VALUE"""),"Sargodha")</f>
        <v>Sargodha</v>
      </c>
      <c r="B293" s="10" t="str">
        <f>IFERROR(__xludf.DUMMYFUNCTION("""COMPUTED_VALUE"""),"ltsen")</f>
        <v>ltsen</v>
      </c>
      <c r="C293" s="10" t="str">
        <f>IFERROR(__xludf.DUMMYFUNCTION("""COMPUTED_VALUE"""),"Shahe Masjid Chiniot")</f>
        <v>Shahe Masjid Chiniot</v>
      </c>
      <c r="D293" s="330">
        <f>IFERROR(__xludf.DUMMYFUNCTION("""COMPUTED_VALUE"""),45515.17847222222)</f>
        <v>45515.17847</v>
      </c>
      <c r="E293" s="10" t="str">
        <f>IFERROR(__xludf.DUMMYFUNCTION("""COMPUTED_VALUE"""),"Community Religious No Info Share")</f>
        <v>Community Religious No Info Share</v>
      </c>
      <c r="F293" s="10" t="str">
        <f>IFERROR(__xludf.DUMMYFUNCTION("""COMPUTED_VALUE"""),"Sargodha")</f>
        <v>Sargodha</v>
      </c>
    </row>
    <row r="294">
      <c r="A294" s="10" t="str">
        <f>IFERROR(__xludf.DUMMYFUNCTION("""COMPUTED_VALUE"""),"Shahkot")</f>
        <v>Shahkot</v>
      </c>
      <c r="B294" s="10" t="str">
        <f>IFERROR(__xludf.DUMMYFUNCTION("""COMPUTED_VALUE"""),"epwte")</f>
        <v>epwte</v>
      </c>
      <c r="C294" s="10" t="str">
        <f>IFERROR(__xludf.DUMMYFUNCTION("""COMPUTED_VALUE"""),"Jamia Masjid Darbar Nolakha Hazari Shahkot")</f>
        <v>Jamia Masjid Darbar Nolakha Hazari Shahkot</v>
      </c>
      <c r="D294" s="330">
        <f>IFERROR(__xludf.DUMMYFUNCTION("""COMPUTED_VALUE"""),45392.21944444445)</f>
        <v>45392.21944</v>
      </c>
      <c r="E294" s="10" t="str">
        <f>IFERROR(__xludf.DUMMYFUNCTION("""COMPUTED_VALUE"""),"Women Religious Info Share")</f>
        <v>Women Religious Info Share</v>
      </c>
      <c r="F294" s="10" t="str">
        <f>IFERROR(__xludf.DUMMYFUNCTION("""COMPUTED_VALUE"""),"Shahkot")</f>
        <v>Shahkot</v>
      </c>
    </row>
    <row r="295">
      <c r="A295" s="10" t="str">
        <f>IFERROR(__xludf.DUMMYFUNCTION("""COMPUTED_VALUE"""),"Shahkot")</f>
        <v>Shahkot</v>
      </c>
      <c r="B295" s="10" t="str">
        <f>IFERROR(__xludf.DUMMYFUNCTION("""COMPUTED_VALUE"""),"fjupe")</f>
        <v>fjupe</v>
      </c>
      <c r="C295" s="10" t="str">
        <f>IFERROR(__xludf.DUMMYFUNCTION("""COMPUTED_VALUE"""),"Jamia Masjid Laari Adda Shahkot")</f>
        <v>Jamia Masjid Laari Adda Shahkot</v>
      </c>
      <c r="D295" s="330">
        <f>IFERROR(__xludf.DUMMYFUNCTION("""COMPUTED_VALUE"""),45392.31875)</f>
        <v>45392.31875</v>
      </c>
      <c r="E295" s="10" t="str">
        <f>IFERROR(__xludf.DUMMYFUNCTION("""COMPUTED_VALUE"""),"Community Secular Info Share")</f>
        <v>Community Secular Info Share</v>
      </c>
      <c r="F295" s="10" t="str">
        <f>IFERROR(__xludf.DUMMYFUNCTION("""COMPUTED_VALUE"""),"Shahkot")</f>
        <v>Shahkot</v>
      </c>
    </row>
    <row r="296">
      <c r="A296" s="10" t="str">
        <f>IFERROR(__xludf.DUMMYFUNCTION("""COMPUTED_VALUE"""),"Shahkot")</f>
        <v>Shahkot</v>
      </c>
      <c r="B296" s="10" t="str">
        <f>IFERROR(__xludf.DUMMYFUNCTION("""COMPUTED_VALUE"""),"vmmfc")</f>
        <v>vmmfc</v>
      </c>
      <c r="C296" s="10" t="str">
        <f>IFERROR(__xludf.DUMMYFUNCTION("""COMPUTED_VALUE"""),"Jamia Masjid Markazi Rizwi Sangala Hill")</f>
        <v>Jamia Masjid Markazi Rizwi Sangala Hill</v>
      </c>
      <c r="D296" s="10" t="str">
        <f>IFERROR(__xludf.DUMMYFUNCTION("""COMPUTED_VALUE"""),"10/18/24 6:52")</f>
        <v>10/18/24 6:52</v>
      </c>
      <c r="E296" s="10" t="str">
        <f>IFERROR(__xludf.DUMMYFUNCTION("""COMPUTED_VALUE"""),"Community Secular Info Share")</f>
        <v>Community Secular Info Share</v>
      </c>
      <c r="F296" s="10" t="str">
        <f>IFERROR(__xludf.DUMMYFUNCTION("""COMPUTED_VALUE"""),"Shahkot")</f>
        <v>Shahkot</v>
      </c>
    </row>
    <row r="297">
      <c r="A297" s="10" t="str">
        <f>IFERROR(__xludf.DUMMYFUNCTION("""COMPUTED_VALUE"""),"Shahkot")</f>
        <v>Shahkot</v>
      </c>
      <c r="B297" s="10" t="str">
        <f>IFERROR(__xludf.DUMMYFUNCTION("""COMPUTED_VALUE"""),"fboor")</f>
        <v>fboor</v>
      </c>
      <c r="C297" s="10" t="str">
        <f>IFERROR(__xludf.DUMMYFUNCTION("""COMPUTED_VALUE"""),"Jamia Masjid Syed Emam Ali Shah Sangala")</f>
        <v>Jamia Masjid Syed Emam Ali Shah Sangala</v>
      </c>
      <c r="D297" s="10" t="str">
        <f>IFERROR(__xludf.DUMMYFUNCTION("""COMPUTED_VALUE"""),"10/18/24 6:54")</f>
        <v>10/18/24 6:54</v>
      </c>
      <c r="E297" s="10" t="str">
        <f>IFERROR(__xludf.DUMMYFUNCTION("""COMPUTED_VALUE"""),"Women Secular Info Share")</f>
        <v>Women Secular Info Share</v>
      </c>
      <c r="F297" s="10" t="str">
        <f>IFERROR(__xludf.DUMMYFUNCTION("""COMPUTED_VALUE"""),"Shahkot")</f>
        <v>Shahkot</v>
      </c>
    </row>
    <row r="298">
      <c r="A298" s="10" t="str">
        <f>IFERROR(__xludf.DUMMYFUNCTION("""COMPUTED_VALUE"""),"Shiekhupura")</f>
        <v>Shiekhupura</v>
      </c>
      <c r="B298" s="10" t="str">
        <f>IFERROR(__xludf.DUMMYFUNCTION("""COMPUTED_VALUE"""),"cklbk")</f>
        <v>cklbk</v>
      </c>
      <c r="C298" s="10" t="str">
        <f>IFERROR(__xludf.DUMMYFUNCTION("""COMPUTED_VALUE"""),"Jamia Masjid Qalander Shah Shiekhupura")</f>
        <v>Jamia Masjid Qalander Shah Shiekhupura</v>
      </c>
      <c r="D298" s="330">
        <f>IFERROR(__xludf.DUMMYFUNCTION("""COMPUTED_VALUE"""),45635.96527777778)</f>
        <v>45635.96528</v>
      </c>
      <c r="E298" s="10" t="str">
        <f>IFERROR(__xludf.DUMMYFUNCTION("""COMPUTED_VALUE"""),"Community Secular No Info Share")</f>
        <v>Community Secular No Info Share</v>
      </c>
      <c r="F298" s="10" t="str">
        <f>IFERROR(__xludf.DUMMYFUNCTION("""COMPUTED_VALUE"""),"Shiekhupura")</f>
        <v>Shiekhupura</v>
      </c>
    </row>
    <row r="299">
      <c r="A299" s="10" t="str">
        <f>IFERROR(__xludf.DUMMYFUNCTION("""COMPUTED_VALUE"""),"Shiekhupura")</f>
        <v>Shiekhupura</v>
      </c>
      <c r="B299" s="10" t="str">
        <f>IFERROR(__xludf.DUMMYFUNCTION("""COMPUTED_VALUE"""),"ingwh")</f>
        <v>ingwh</v>
      </c>
      <c r="C299" s="10" t="str">
        <f>IFERROR(__xludf.DUMMYFUNCTION("""COMPUTED_VALUE"""),"Jamia Masjid Railway Road Shiekhupura")</f>
        <v>Jamia Masjid Railway Road Shiekhupura</v>
      </c>
      <c r="D299" s="10" t="str">
        <f>IFERROR(__xludf.DUMMYFUNCTION("""COMPUTED_VALUE"""),"9/13/24 5:06")</f>
        <v>9/13/24 5:06</v>
      </c>
      <c r="E299" s="10" t="str">
        <f>IFERROR(__xludf.DUMMYFUNCTION("""COMPUTED_VALUE"""),"Community Secular No Info Share")</f>
        <v>Community Secular No Info Share</v>
      </c>
      <c r="F299" s="10" t="str">
        <f>IFERROR(__xludf.DUMMYFUNCTION("""COMPUTED_VALUE"""),"Shiekhupura")</f>
        <v>Shiekhupura</v>
      </c>
    </row>
    <row r="300">
      <c r="A300" s="10" t="str">
        <f>IFERROR(__xludf.DUMMYFUNCTION("""COMPUTED_VALUE"""),"Shiekhupura")</f>
        <v>Shiekhupura</v>
      </c>
      <c r="B300" s="10" t="str">
        <f>IFERROR(__xludf.DUMMYFUNCTION("""COMPUTED_VALUE"""),"dszhx")</f>
        <v>dszhx</v>
      </c>
      <c r="C300" s="10" t="str">
        <f>IFERROR(__xludf.DUMMYFUNCTION("""COMPUTED_VALUE"""),"Jamia Masjid Kachari Shiekhupura")</f>
        <v>Jamia Masjid Kachari Shiekhupura</v>
      </c>
      <c r="D300" s="10" t="str">
        <f>IFERROR(__xludf.DUMMYFUNCTION("""COMPUTED_VALUE"""),"9/13/24 5:22")</f>
        <v>9/13/24 5:22</v>
      </c>
      <c r="E300" s="10" t="str">
        <f>IFERROR(__xludf.DUMMYFUNCTION("""COMPUTED_VALUE"""),"Community Secular Info Share")</f>
        <v>Community Secular Info Share</v>
      </c>
      <c r="F300" s="10" t="str">
        <f>IFERROR(__xludf.DUMMYFUNCTION("""COMPUTED_VALUE"""),"Shiekhupura")</f>
        <v>Shiekhupura</v>
      </c>
    </row>
    <row r="301">
      <c r="A301" s="10" t="str">
        <f>IFERROR(__xludf.DUMMYFUNCTION("""COMPUTED_VALUE"""),"Shiekhupura")</f>
        <v>Shiekhupura</v>
      </c>
      <c r="B301" s="10" t="str">
        <f>IFERROR(__xludf.DUMMYFUNCTION("""COMPUTED_VALUE"""),"hnzog")</f>
        <v>hnzog</v>
      </c>
      <c r="C301" s="10" t="str">
        <f>IFERROR(__xludf.DUMMYFUNCTION("""COMPUTED_VALUE"""),"Jamia Masjid Mirza Ourkaan Shiekhupura")</f>
        <v>Jamia Masjid Mirza Ourkaan Shiekhupura</v>
      </c>
      <c r="D301" s="10" t="str">
        <f>IFERROR(__xludf.DUMMYFUNCTION("""COMPUTED_VALUE"""),"9/13/24 5:38")</f>
        <v>9/13/24 5:38</v>
      </c>
      <c r="E301" s="10" t="str">
        <f>IFERROR(__xludf.DUMMYFUNCTION("""COMPUTED_VALUE"""),"Control")</f>
        <v>Control</v>
      </c>
      <c r="F301" s="10" t="str">
        <f>IFERROR(__xludf.DUMMYFUNCTION("""COMPUTED_VALUE"""),"Shiekhupura")</f>
        <v>Shiekhupura</v>
      </c>
    </row>
    <row r="302">
      <c r="A302" s="10" t="str">
        <f>IFERROR(__xludf.DUMMYFUNCTION("""COMPUTED_VALUE"""),"Shiekhupura")</f>
        <v>Shiekhupura</v>
      </c>
      <c r="B302" s="10" t="str">
        <f>IFERROR(__xludf.DUMMYFUNCTION("""COMPUTED_VALUE"""),"zjbwk")</f>
        <v>zjbwk</v>
      </c>
      <c r="C302" s="10" t="str">
        <f>IFERROR(__xludf.DUMMYFUNCTION("""COMPUTED_VALUE"""),"Jamia Masjid Masa Dewaan Shiekhupura")</f>
        <v>Jamia Masjid Masa Dewaan Shiekhupura</v>
      </c>
      <c r="D302" s="10" t="str">
        <f>IFERROR(__xludf.DUMMYFUNCTION("""COMPUTED_VALUE"""),"9/13/24 5:39")</f>
        <v>9/13/24 5:39</v>
      </c>
      <c r="E302" s="10" t="str">
        <f>IFERROR(__xludf.DUMMYFUNCTION("""COMPUTED_VALUE"""),"Control")</f>
        <v>Control</v>
      </c>
      <c r="F302" s="10" t="str">
        <f>IFERROR(__xludf.DUMMYFUNCTION("""COMPUTED_VALUE"""),"Shiekhupura")</f>
        <v>Shiekhupura</v>
      </c>
    </row>
    <row r="303">
      <c r="A303" s="10" t="str">
        <f>IFERROR(__xludf.DUMMYFUNCTION("""COMPUTED_VALUE"""),"Shiekhupura")</f>
        <v>Shiekhupura</v>
      </c>
      <c r="B303" s="10" t="str">
        <f>IFERROR(__xludf.DUMMYFUNCTION("""COMPUTED_VALUE"""),"xbfuu")</f>
        <v>xbfuu</v>
      </c>
      <c r="C303" s="10" t="str">
        <f>IFERROR(__xludf.DUMMYFUNCTION("""COMPUTED_VALUE"""),"Jamia Masjid Syeda Muridke Shiekhupura")</f>
        <v>Jamia Masjid Syeda Muridke Shiekhupura</v>
      </c>
      <c r="D303" s="10" t="str">
        <f>IFERROR(__xludf.DUMMYFUNCTION("""COMPUTED_VALUE"""),"9/13/24 5:54")</f>
        <v>9/13/24 5:54</v>
      </c>
      <c r="E303" s="10" t="str">
        <f>IFERROR(__xludf.DUMMYFUNCTION("""COMPUTED_VALUE"""),"Community Religious No Info Share")</f>
        <v>Community Religious No Info Share</v>
      </c>
      <c r="F303" s="10" t="str">
        <f>IFERROR(__xludf.DUMMYFUNCTION("""COMPUTED_VALUE"""),"Shiekhupura")</f>
        <v>Shiekhupura</v>
      </c>
    </row>
    <row r="304">
      <c r="A304" s="10" t="str">
        <f>IFERROR(__xludf.DUMMYFUNCTION("""COMPUTED_VALUE"""),"Shiekhupura")</f>
        <v>Shiekhupura</v>
      </c>
      <c r="B304" s="10" t="str">
        <f>IFERROR(__xludf.DUMMYFUNCTION("""COMPUTED_VALUE"""),"upuvs")</f>
        <v>upuvs</v>
      </c>
      <c r="C304" s="10" t="str">
        <f>IFERROR(__xludf.DUMMYFUNCTION("""COMPUTED_VALUE"""),"Jamia Masjid Amaam Bargha Kala Kachari Shiekhupura")</f>
        <v>Jamia Masjid Amaam Bargha Kala Kachari Shiekhupura</v>
      </c>
      <c r="D304" s="10" t="str">
        <f>IFERROR(__xludf.DUMMYFUNCTION("""COMPUTED_VALUE"""),"9/13/24 5:56")</f>
        <v>9/13/24 5:56</v>
      </c>
      <c r="E304" s="10" t="str">
        <f>IFERROR(__xludf.DUMMYFUNCTION("""COMPUTED_VALUE"""),"Community Religious No Info Share")</f>
        <v>Community Religious No Info Share</v>
      </c>
      <c r="F304" s="10" t="str">
        <f>IFERROR(__xludf.DUMMYFUNCTION("""COMPUTED_VALUE"""),"Shiekhupura")</f>
        <v>Shiekhupura</v>
      </c>
    </row>
    <row r="305">
      <c r="A305" s="10" t="str">
        <f>IFERROR(__xludf.DUMMYFUNCTION("""COMPUTED_VALUE"""),"Shiekhupura")</f>
        <v>Shiekhupura</v>
      </c>
      <c r="B305" s="10" t="str">
        <f>IFERROR(__xludf.DUMMYFUNCTION("""COMPUTED_VALUE"""),"garuu")</f>
        <v>garuu</v>
      </c>
      <c r="C305" s="10" t="str">
        <f>IFERROR(__xludf.DUMMYFUNCTION("""COMPUTED_VALUE"""),"Jamia Masjid Farooka Abaad Shiekhupura")</f>
        <v>Jamia Masjid Farooka Abaad Shiekhupura</v>
      </c>
      <c r="D305" s="10" t="str">
        <f>IFERROR(__xludf.DUMMYFUNCTION("""COMPUTED_VALUE"""),"9/13/24 6:48")</f>
        <v>9/13/24 6:48</v>
      </c>
      <c r="E305" s="10" t="str">
        <f>IFERROR(__xludf.DUMMYFUNCTION("""COMPUTED_VALUE"""),"Women Secular No Info Share")</f>
        <v>Women Secular No Info Share</v>
      </c>
      <c r="F305" s="10" t="str">
        <f>IFERROR(__xludf.DUMMYFUNCTION("""COMPUTED_VALUE"""),"Shiekhupura")</f>
        <v>Shiekhupura</v>
      </c>
    </row>
    <row r="306">
      <c r="A306" s="10" t="str">
        <f>IFERROR(__xludf.DUMMYFUNCTION("""COMPUTED_VALUE"""),"khanpur")</f>
        <v>khanpur</v>
      </c>
      <c r="B306" s="10" t="str">
        <f>IFERROR(__xludf.DUMMYFUNCTION("""COMPUTED_VALUE"""),"xatdf")</f>
        <v>xatdf</v>
      </c>
      <c r="C306" s="10" t="str">
        <f>IFERROR(__xludf.DUMMYFUNCTION("""COMPUTED_VALUE"""),"Jamia Masjid Mastari Kamal Din Khanpur")</f>
        <v>Jamia Masjid Mastari Kamal Din Khanpur</v>
      </c>
      <c r="D306" s="10" t="str">
        <f>IFERROR(__xludf.DUMMYFUNCTION("""COMPUTED_VALUE"""),"11/15/24 5:42")</f>
        <v>11/15/24 5:42</v>
      </c>
      <c r="E306" s="10" t="str">
        <f>IFERROR(__xludf.DUMMYFUNCTION("""COMPUTED_VALUE"""),"Community Secular Info Share")</f>
        <v>Community Secular Info Share</v>
      </c>
      <c r="F306" s="10" t="str">
        <f>IFERROR(__xludf.DUMMYFUNCTION("""COMPUTED_VALUE"""),"khanpur")</f>
        <v>khanpur</v>
      </c>
    </row>
    <row r="307">
      <c r="A307" s="10" t="str">
        <f>IFERROR(__xludf.DUMMYFUNCTION("""COMPUTED_VALUE"""),"khanpur")</f>
        <v>khanpur</v>
      </c>
      <c r="B307" s="10" t="str">
        <f>IFERROR(__xludf.DUMMYFUNCTION("""COMPUTED_VALUE"""),"rjssu")</f>
        <v>rjssu</v>
      </c>
      <c r="C307" s="10" t="str">
        <f>IFERROR(__xludf.DUMMYFUNCTION("""COMPUTED_VALUE"""),"Jamia Masjid Baba Shahab")</f>
        <v>Jamia Masjid Baba Shahab</v>
      </c>
      <c r="D307" s="10" t="str">
        <f>IFERROR(__xludf.DUMMYFUNCTION("""COMPUTED_VALUE"""),"11/15/24 6:01")</f>
        <v>11/15/24 6:01</v>
      </c>
      <c r="E307" s="10" t="str">
        <f>IFERROR(__xludf.DUMMYFUNCTION("""COMPUTED_VALUE"""),"Women Religious Info Share")</f>
        <v>Women Religious Info Share</v>
      </c>
      <c r="F307" s="10" t="str">
        <f>IFERROR(__xludf.DUMMYFUNCTION("""COMPUTED_VALUE"""),"khanpur")</f>
        <v>khanpur</v>
      </c>
    </row>
    <row r="308">
      <c r="A308" s="10" t="str">
        <f>IFERROR(__xludf.DUMMYFUNCTION("""COMPUTED_VALUE"""),"khanpur")</f>
        <v>khanpur</v>
      </c>
      <c r="B308" s="10" t="str">
        <f>IFERROR(__xludf.DUMMYFUNCTION("""COMPUTED_VALUE"""),"ekxdh")</f>
        <v>ekxdh</v>
      </c>
      <c r="C308" s="10" t="str">
        <f>IFERROR(__xludf.DUMMYFUNCTION("""COMPUTED_VALUE"""),"Jamia Masjid Galah Mandi Khanpur")</f>
        <v>Jamia Masjid Galah Mandi Khanpur</v>
      </c>
      <c r="D308" s="10" t="str">
        <f>IFERROR(__xludf.DUMMYFUNCTION("""COMPUTED_VALUE"""),"11/15/24 6:33")</f>
        <v>11/15/24 6:33</v>
      </c>
      <c r="E308" s="10" t="str">
        <f>IFERROR(__xludf.DUMMYFUNCTION("""COMPUTED_VALUE"""),"Control")</f>
        <v>Control</v>
      </c>
      <c r="F308" s="10" t="str">
        <f>IFERROR(__xludf.DUMMYFUNCTION("""COMPUTED_VALUE"""),"khanpur")</f>
        <v>khanpur</v>
      </c>
    </row>
    <row r="309">
      <c r="A309" s="10" t="str">
        <f>IFERROR(__xludf.DUMMYFUNCTION("""COMPUTED_VALUE"""),"khanpur")</f>
        <v>khanpur</v>
      </c>
      <c r="B309" s="10" t="str">
        <f>IFERROR(__xludf.DUMMYFUNCTION("""COMPUTED_VALUE"""),"qqsmi")</f>
        <v>qqsmi</v>
      </c>
      <c r="C309" s="10" t="str">
        <f>IFERROR(__xludf.DUMMYFUNCTION("""COMPUTED_VALUE"""),"Jamia Masjid Mai Shahab Khanpur")</f>
        <v>Jamia Masjid Mai Shahab Khanpur</v>
      </c>
      <c r="D309" s="10" t="str">
        <f>IFERROR(__xludf.DUMMYFUNCTION("""COMPUTED_VALUE"""),"11/15/24 8:18")</f>
        <v>11/15/24 8:18</v>
      </c>
      <c r="E309" s="10" t="str">
        <f>IFERROR(__xludf.DUMMYFUNCTION("""COMPUTED_VALUE"""),"Women Secular Info Share")</f>
        <v>Women Secular Info Share</v>
      </c>
      <c r="F309" s="10" t="str">
        <f>IFERROR(__xludf.DUMMYFUNCTION("""COMPUTED_VALUE"""),"khanpur")</f>
        <v>khanpur</v>
      </c>
    </row>
    <row r="310">
      <c r="A310" s="10" t="str">
        <f>IFERROR(__xludf.DUMMYFUNCTION("""COMPUTED_VALUE"""),"Pakpattan")</f>
        <v>Pakpattan</v>
      </c>
      <c r="B310" s="10" t="str">
        <f>IFERROR(__xludf.DUMMYFUNCTION("""COMPUTED_VALUE"""),"earra")</f>
        <v>earra</v>
      </c>
      <c r="C310" s="10" t="str">
        <f>IFERROR(__xludf.DUMMYFUNCTION("""COMPUTED_VALUE"""),"Jamia Masjid Galah Mandi Arifwala")</f>
        <v>Jamia Masjid Galah Mandi Arifwala</v>
      </c>
      <c r="D310" s="330">
        <f>IFERROR(__xludf.DUMMYFUNCTION("""COMPUTED_VALUE"""),45455.20208333333)</f>
        <v>45455.20208</v>
      </c>
      <c r="E310" s="10" t="str">
        <f>IFERROR(__xludf.DUMMYFUNCTION("""COMPUTED_VALUE"""),"Women Religious Info Share")</f>
        <v>Women Religious Info Share</v>
      </c>
      <c r="F310" s="10" t="str">
        <f>IFERROR(__xludf.DUMMYFUNCTION("""COMPUTED_VALUE"""),"Pakpattan")</f>
        <v>Pakpattan</v>
      </c>
    </row>
    <row r="311">
      <c r="A311" s="10"/>
      <c r="B311" s="10"/>
      <c r="C311" s="10"/>
      <c r="D311" s="10"/>
      <c r="E311" s="10"/>
      <c r="F311" s="10"/>
    </row>
    <row r="312">
      <c r="A312" s="10"/>
      <c r="B312" s="10"/>
      <c r="C312" s="10"/>
      <c r="D312" s="10"/>
      <c r="E312" s="10"/>
      <c r="F312" s="10"/>
    </row>
    <row r="313">
      <c r="A313" s="10"/>
      <c r="B313" s="10"/>
      <c r="C313" s="10"/>
      <c r="D313" s="10"/>
      <c r="E313" s="10"/>
      <c r="F313" s="10"/>
    </row>
    <row r="314">
      <c r="A314" s="10"/>
      <c r="B314" s="10"/>
      <c r="C314" s="10"/>
      <c r="D314" s="10"/>
      <c r="E314" s="10"/>
      <c r="F314" s="10"/>
    </row>
    <row r="315">
      <c r="A315" s="10"/>
      <c r="B315" s="10"/>
      <c r="C315" s="10"/>
      <c r="D315" s="10"/>
      <c r="E315" s="10"/>
      <c r="F315" s="10"/>
    </row>
    <row r="316">
      <c r="A316" s="10"/>
      <c r="B316" s="10"/>
      <c r="C316" s="10"/>
      <c r="D316" s="10"/>
      <c r="E316" s="10"/>
      <c r="F316" s="10"/>
    </row>
    <row r="317">
      <c r="A317" s="10"/>
      <c r="B317" s="10"/>
      <c r="C317" s="10"/>
      <c r="D317" s="10"/>
      <c r="E317" s="10"/>
      <c r="F317" s="10"/>
    </row>
    <row r="318">
      <c r="A318" s="10"/>
      <c r="B318" s="10"/>
      <c r="C318" s="10"/>
      <c r="D318" s="10"/>
      <c r="E318" s="10"/>
      <c r="F318" s="10"/>
    </row>
    <row r="319">
      <c r="A319" s="10"/>
      <c r="B319" s="10"/>
      <c r="C319" s="10"/>
      <c r="D319" s="10"/>
      <c r="E319" s="10"/>
      <c r="F319" s="10"/>
    </row>
    <row r="320">
      <c r="A320" s="10"/>
      <c r="B320" s="10"/>
      <c r="C320" s="10"/>
      <c r="D320" s="10"/>
      <c r="E320" s="10"/>
      <c r="F320" s="10"/>
    </row>
    <row r="321">
      <c r="A321" s="10"/>
      <c r="B321" s="10"/>
      <c r="C321" s="10"/>
      <c r="D321" s="10"/>
      <c r="E321" s="10"/>
      <c r="F321" s="10"/>
    </row>
    <row r="322">
      <c r="A322" s="10"/>
      <c r="B322" s="10"/>
      <c r="C322" s="10"/>
      <c r="D322" s="10"/>
      <c r="E322" s="10"/>
      <c r="F322" s="10"/>
    </row>
    <row r="323">
      <c r="A323" s="10"/>
      <c r="B323" s="10"/>
      <c r="C323" s="10"/>
      <c r="D323" s="10"/>
      <c r="E323" s="10"/>
      <c r="F323" s="10"/>
    </row>
    <row r="324">
      <c r="A324" s="10"/>
      <c r="B324" s="10"/>
      <c r="C324" s="10"/>
      <c r="D324" s="10"/>
      <c r="E324" s="10"/>
      <c r="F324" s="10"/>
    </row>
    <row r="325">
      <c r="A325" s="10"/>
      <c r="B325" s="10"/>
      <c r="C325" s="10"/>
      <c r="D325" s="10"/>
      <c r="E325" s="10"/>
      <c r="F325" s="10"/>
    </row>
    <row r="326">
      <c r="A326" s="10"/>
      <c r="B326" s="10"/>
      <c r="C326" s="10"/>
      <c r="D326" s="10"/>
      <c r="E326" s="10"/>
      <c r="F326" s="10"/>
    </row>
    <row r="327">
      <c r="A327" s="10"/>
      <c r="B327" s="10"/>
      <c r="C327" s="10"/>
      <c r="D327" s="10"/>
      <c r="E327" s="10"/>
      <c r="F327" s="10"/>
    </row>
    <row r="328">
      <c r="A328" s="10"/>
      <c r="B328" s="10"/>
      <c r="C328" s="10"/>
      <c r="D328" s="10"/>
      <c r="E328" s="10"/>
      <c r="F328" s="10"/>
    </row>
    <row r="329">
      <c r="A329" s="10"/>
      <c r="B329" s="10"/>
      <c r="C329" s="10"/>
      <c r="D329" s="10"/>
      <c r="E329" s="10"/>
      <c r="F329" s="10"/>
    </row>
    <row r="330">
      <c r="A330" s="10"/>
      <c r="B330" s="10"/>
      <c r="C330" s="10"/>
      <c r="D330" s="10"/>
      <c r="E330" s="10"/>
      <c r="F330" s="10"/>
    </row>
    <row r="331">
      <c r="A331" s="10"/>
      <c r="B331" s="10"/>
      <c r="C331" s="10"/>
      <c r="D331" s="10"/>
      <c r="E331" s="10"/>
      <c r="F331" s="10"/>
    </row>
    <row r="332">
      <c r="A332" s="10"/>
      <c r="B332" s="10"/>
      <c r="C332" s="10"/>
      <c r="D332" s="10"/>
      <c r="E332" s="10"/>
      <c r="F332" s="10"/>
    </row>
    <row r="333">
      <c r="A333" s="10"/>
      <c r="B333" s="10"/>
      <c r="C333" s="10"/>
      <c r="D333" s="10"/>
      <c r="E333" s="10"/>
      <c r="F333" s="10"/>
    </row>
    <row r="334">
      <c r="A334" s="10"/>
      <c r="B334" s="10"/>
      <c r="C334" s="10"/>
      <c r="D334" s="10"/>
      <c r="E334" s="10"/>
      <c r="F334" s="10"/>
    </row>
    <row r="335">
      <c r="A335" s="10"/>
      <c r="B335" s="10"/>
      <c r="C335" s="10"/>
      <c r="D335" s="10"/>
      <c r="E335" s="10"/>
      <c r="F335" s="10"/>
    </row>
    <row r="336">
      <c r="A336" s="10"/>
      <c r="B336" s="10"/>
      <c r="C336" s="10"/>
      <c r="D336" s="10"/>
      <c r="E336" s="10"/>
      <c r="F336" s="10"/>
    </row>
    <row r="337">
      <c r="A337" s="10"/>
      <c r="B337" s="10"/>
      <c r="C337" s="10"/>
      <c r="D337" s="10"/>
      <c r="E337" s="10"/>
      <c r="F337" s="10"/>
    </row>
    <row r="338">
      <c r="A338" s="10"/>
      <c r="B338" s="10"/>
      <c r="C338" s="10"/>
      <c r="D338" s="10"/>
      <c r="E338" s="10"/>
      <c r="F338" s="10"/>
    </row>
    <row r="339">
      <c r="A339" s="10"/>
      <c r="B339" s="10"/>
      <c r="C339" s="10"/>
      <c r="D339" s="10"/>
      <c r="E339" s="10"/>
      <c r="F339" s="10"/>
    </row>
    <row r="340">
      <c r="A340" s="10"/>
      <c r="B340" s="10"/>
      <c r="C340" s="10"/>
      <c r="D340" s="10"/>
      <c r="E340" s="10"/>
      <c r="F340" s="10"/>
    </row>
    <row r="341">
      <c r="A341" s="10"/>
      <c r="B341" s="10"/>
      <c r="C341" s="10"/>
      <c r="D341" s="10"/>
      <c r="E341" s="10"/>
      <c r="F341" s="10"/>
    </row>
    <row r="342">
      <c r="A342" s="10"/>
      <c r="B342" s="10"/>
      <c r="C342" s="10"/>
      <c r="D342" s="10"/>
      <c r="E342" s="10"/>
      <c r="F342" s="10"/>
    </row>
    <row r="343">
      <c r="A343" s="10"/>
      <c r="B343" s="10"/>
      <c r="C343" s="10"/>
      <c r="D343" s="10"/>
      <c r="E343" s="10"/>
      <c r="F343" s="10"/>
    </row>
    <row r="344">
      <c r="A344" s="10"/>
      <c r="B344" s="10"/>
      <c r="C344" s="10"/>
      <c r="D344" s="10"/>
      <c r="E344" s="10"/>
      <c r="F344" s="10"/>
    </row>
    <row r="345">
      <c r="A345" s="10"/>
      <c r="B345" s="10"/>
      <c r="C345" s="10"/>
      <c r="D345" s="10"/>
      <c r="E345" s="10"/>
      <c r="F345" s="10"/>
    </row>
    <row r="346">
      <c r="A346" s="10"/>
      <c r="B346" s="10"/>
      <c r="C346" s="10"/>
      <c r="D346" s="10"/>
      <c r="E346" s="10"/>
      <c r="F346" s="10"/>
    </row>
    <row r="347">
      <c r="A347" s="10"/>
      <c r="B347" s="10"/>
      <c r="C347" s="10"/>
      <c r="D347" s="10"/>
      <c r="E347" s="10"/>
      <c r="F347" s="10"/>
    </row>
    <row r="348">
      <c r="A348" s="10"/>
      <c r="B348" s="10"/>
      <c r="C348" s="10"/>
      <c r="D348" s="10"/>
      <c r="E348" s="10"/>
      <c r="F348" s="10"/>
    </row>
    <row r="349">
      <c r="A349" s="10"/>
      <c r="B349" s="10"/>
      <c r="C349" s="10"/>
      <c r="D349" s="10"/>
      <c r="E349" s="10"/>
      <c r="F349" s="10"/>
    </row>
    <row r="350">
      <c r="A350" s="10"/>
      <c r="B350" s="10"/>
      <c r="C350" s="10"/>
      <c r="D350" s="10"/>
      <c r="E350" s="10"/>
      <c r="F350" s="10"/>
    </row>
    <row r="351">
      <c r="A351" s="10"/>
      <c r="B351" s="10"/>
      <c r="C351" s="10"/>
      <c r="D351" s="10"/>
      <c r="E351" s="10"/>
      <c r="F351" s="10"/>
    </row>
    <row r="352">
      <c r="A352" s="10"/>
      <c r="B352" s="10"/>
      <c r="C352" s="10"/>
      <c r="D352" s="10"/>
      <c r="E352" s="10"/>
      <c r="F352" s="10"/>
    </row>
    <row r="353">
      <c r="A353" s="10"/>
      <c r="B353" s="10"/>
      <c r="C353" s="10"/>
      <c r="D353" s="10"/>
      <c r="E353" s="10"/>
      <c r="F353" s="10"/>
    </row>
    <row r="354">
      <c r="A354" s="10"/>
      <c r="B354" s="10"/>
      <c r="C354" s="10"/>
      <c r="D354" s="10"/>
      <c r="E354" s="10"/>
      <c r="F354" s="10"/>
    </row>
    <row r="355">
      <c r="A355" s="10"/>
      <c r="B355" s="10"/>
      <c r="C355" s="10"/>
      <c r="D355" s="10"/>
      <c r="E355" s="10"/>
      <c r="F355" s="10"/>
    </row>
    <row r="356">
      <c r="A356" s="10"/>
      <c r="B356" s="10"/>
      <c r="C356" s="10"/>
      <c r="D356" s="10"/>
      <c r="E356" s="10"/>
      <c r="F356" s="10"/>
    </row>
    <row r="357">
      <c r="A357" s="10"/>
      <c r="B357" s="10"/>
      <c r="C357" s="10"/>
      <c r="D357" s="10"/>
      <c r="E357" s="10"/>
      <c r="F357" s="10"/>
    </row>
    <row r="358">
      <c r="A358" s="10"/>
      <c r="B358" s="10"/>
      <c r="C358" s="10"/>
      <c r="D358" s="10"/>
      <c r="E358" s="10"/>
      <c r="F358" s="10"/>
    </row>
    <row r="359">
      <c r="A359" s="10"/>
      <c r="B359" s="10"/>
      <c r="C359" s="10"/>
      <c r="D359" s="10"/>
      <c r="E359" s="10"/>
      <c r="F359" s="10"/>
    </row>
    <row r="360">
      <c r="A360" s="10"/>
      <c r="B360" s="10"/>
      <c r="C360" s="10"/>
      <c r="D360" s="10"/>
      <c r="E360" s="10"/>
      <c r="F360" s="10"/>
    </row>
    <row r="361">
      <c r="A361" s="10"/>
      <c r="B361" s="10"/>
      <c r="C361" s="10"/>
      <c r="D361" s="10"/>
      <c r="E361" s="10"/>
      <c r="F361" s="10"/>
    </row>
    <row r="362">
      <c r="A362" s="10"/>
      <c r="B362" s="10"/>
      <c r="C362" s="10"/>
      <c r="D362" s="10"/>
      <c r="E362" s="10"/>
      <c r="F362" s="10"/>
    </row>
    <row r="363">
      <c r="A363" s="10"/>
      <c r="B363" s="10"/>
      <c r="C363" s="10"/>
      <c r="D363" s="10"/>
      <c r="E363" s="10"/>
      <c r="F363" s="10"/>
    </row>
    <row r="364">
      <c r="A364" s="10"/>
      <c r="B364" s="10"/>
      <c r="C364" s="10"/>
      <c r="D364" s="10"/>
      <c r="E364" s="10"/>
      <c r="F364" s="10"/>
    </row>
    <row r="365">
      <c r="A365" s="10"/>
      <c r="B365" s="10"/>
      <c r="C365" s="10"/>
      <c r="D365" s="10"/>
      <c r="E365" s="10"/>
      <c r="F365" s="10"/>
    </row>
    <row r="366">
      <c r="A366" s="10"/>
      <c r="B366" s="10"/>
      <c r="C366" s="10"/>
      <c r="D366" s="10"/>
      <c r="E366" s="10"/>
      <c r="F366" s="10"/>
    </row>
    <row r="367">
      <c r="A367" s="10"/>
      <c r="B367" s="10"/>
      <c r="C367" s="10"/>
      <c r="D367" s="10"/>
      <c r="E367" s="10"/>
      <c r="F367" s="10"/>
    </row>
    <row r="368">
      <c r="A368" s="10"/>
      <c r="B368" s="10"/>
      <c r="C368" s="10"/>
      <c r="D368" s="10"/>
      <c r="E368" s="10"/>
      <c r="F368" s="10"/>
    </row>
    <row r="369">
      <c r="A369" s="10"/>
      <c r="B369" s="10"/>
      <c r="C369" s="10"/>
      <c r="D369" s="10"/>
      <c r="E369" s="10"/>
      <c r="F369" s="10"/>
    </row>
    <row r="370">
      <c r="A370" s="10"/>
      <c r="B370" s="10"/>
      <c r="C370" s="10"/>
      <c r="D370" s="10"/>
      <c r="E370" s="10"/>
      <c r="F370" s="10"/>
    </row>
    <row r="371">
      <c r="A371" s="10"/>
      <c r="B371" s="10"/>
      <c r="C371" s="10"/>
      <c r="D371" s="10"/>
      <c r="E371" s="10"/>
      <c r="F371" s="10"/>
    </row>
    <row r="372">
      <c r="A372" s="10"/>
      <c r="B372" s="10"/>
      <c r="C372" s="10"/>
      <c r="D372" s="10"/>
      <c r="E372" s="10"/>
      <c r="F372" s="10"/>
    </row>
    <row r="373">
      <c r="A373" s="10"/>
      <c r="B373" s="10"/>
      <c r="C373" s="10"/>
      <c r="D373" s="10"/>
      <c r="E373" s="10"/>
      <c r="F373" s="10"/>
    </row>
    <row r="374">
      <c r="A374" s="10"/>
      <c r="B374" s="10"/>
      <c r="C374" s="10"/>
      <c r="D374" s="10"/>
      <c r="E374" s="10"/>
      <c r="F374" s="10"/>
    </row>
    <row r="375">
      <c r="A375" s="10"/>
      <c r="B375" s="10"/>
      <c r="C375" s="10"/>
      <c r="D375" s="10"/>
      <c r="E375" s="10"/>
      <c r="F375" s="10"/>
    </row>
    <row r="376">
      <c r="A376" s="10"/>
      <c r="B376" s="10"/>
      <c r="C376" s="10"/>
      <c r="D376" s="10"/>
      <c r="E376" s="10"/>
      <c r="F376" s="10"/>
    </row>
    <row r="377">
      <c r="A377" s="10"/>
      <c r="B377" s="10"/>
      <c r="C377" s="10"/>
      <c r="D377" s="10"/>
      <c r="E377" s="10"/>
      <c r="F377" s="10"/>
    </row>
    <row r="378">
      <c r="A378" s="10"/>
      <c r="B378" s="10"/>
      <c r="C378" s="10"/>
      <c r="D378" s="10"/>
      <c r="E378" s="10"/>
      <c r="F378" s="10"/>
    </row>
    <row r="379">
      <c r="A379" s="10"/>
      <c r="B379" s="10"/>
      <c r="C379" s="10"/>
      <c r="D379" s="10"/>
      <c r="E379" s="10"/>
      <c r="F379" s="10"/>
    </row>
    <row r="380">
      <c r="A380" s="10"/>
      <c r="B380" s="10"/>
      <c r="C380" s="10"/>
      <c r="D380" s="10"/>
      <c r="E380" s="10"/>
      <c r="F380" s="10"/>
    </row>
    <row r="381">
      <c r="A381" s="10"/>
      <c r="B381" s="10"/>
      <c r="C381" s="10"/>
      <c r="D381" s="10"/>
      <c r="E381" s="10"/>
      <c r="F381" s="10"/>
    </row>
    <row r="382">
      <c r="A382" s="10"/>
      <c r="B382" s="10"/>
      <c r="C382" s="10"/>
      <c r="D382" s="10"/>
      <c r="E382" s="10"/>
      <c r="F382" s="10"/>
    </row>
    <row r="383">
      <c r="A383" s="10"/>
      <c r="B383" s="10"/>
      <c r="C383" s="10"/>
      <c r="D383" s="10"/>
      <c r="E383" s="10"/>
      <c r="F383" s="10"/>
    </row>
    <row r="384">
      <c r="A384" s="10"/>
      <c r="B384" s="10"/>
      <c r="C384" s="10"/>
      <c r="D384" s="10"/>
      <c r="E384" s="10"/>
      <c r="F384" s="10"/>
    </row>
    <row r="385">
      <c r="A385" s="10"/>
      <c r="B385" s="10"/>
      <c r="C385" s="10"/>
      <c r="D385" s="10"/>
      <c r="E385" s="10"/>
      <c r="F385" s="10"/>
    </row>
    <row r="386">
      <c r="A386" s="10"/>
      <c r="B386" s="10"/>
      <c r="C386" s="10"/>
      <c r="D386" s="10"/>
      <c r="E386" s="10"/>
      <c r="F386" s="10"/>
    </row>
    <row r="387">
      <c r="A387" s="10"/>
      <c r="B387" s="10"/>
      <c r="C387" s="10"/>
      <c r="D387" s="10"/>
      <c r="E387" s="10"/>
      <c r="F387" s="10"/>
    </row>
    <row r="388">
      <c r="A388" s="10"/>
      <c r="B388" s="10"/>
      <c r="C388" s="10"/>
      <c r="D388" s="10"/>
      <c r="E388" s="10"/>
      <c r="F388" s="10"/>
    </row>
    <row r="389">
      <c r="A389" s="10"/>
      <c r="B389" s="10"/>
      <c r="C389" s="10"/>
      <c r="D389" s="10"/>
      <c r="E389" s="10"/>
      <c r="F389" s="10"/>
    </row>
    <row r="390">
      <c r="A390" s="10"/>
      <c r="B390" s="10"/>
      <c r="C390" s="10"/>
      <c r="D390" s="10"/>
      <c r="E390" s="10"/>
      <c r="F390" s="10"/>
    </row>
    <row r="391">
      <c r="A391" s="10"/>
      <c r="B391" s="10"/>
      <c r="C391" s="10"/>
      <c r="D391" s="10"/>
      <c r="E391" s="10"/>
      <c r="F391" s="10"/>
    </row>
    <row r="392">
      <c r="A392" s="10"/>
      <c r="B392" s="10"/>
      <c r="C392" s="10"/>
      <c r="D392" s="10"/>
      <c r="E392" s="10"/>
      <c r="F392" s="10"/>
    </row>
    <row r="393">
      <c r="A393" s="10"/>
      <c r="B393" s="10"/>
      <c r="C393" s="10"/>
      <c r="D393" s="10"/>
      <c r="E393" s="10"/>
      <c r="F393" s="10"/>
    </row>
    <row r="394">
      <c r="A394" s="10"/>
      <c r="B394" s="10"/>
      <c r="C394" s="10"/>
      <c r="D394" s="10"/>
      <c r="E394" s="10"/>
      <c r="F394" s="10"/>
    </row>
    <row r="395">
      <c r="A395" s="10"/>
      <c r="B395" s="10"/>
      <c r="C395" s="10"/>
      <c r="D395" s="10"/>
      <c r="E395" s="10"/>
      <c r="F395" s="10"/>
    </row>
    <row r="396">
      <c r="A396" s="10"/>
      <c r="B396" s="10"/>
      <c r="C396" s="10"/>
      <c r="D396" s="10"/>
      <c r="E396" s="10"/>
      <c r="F396" s="10"/>
    </row>
    <row r="397">
      <c r="A397" s="10"/>
      <c r="B397" s="10"/>
      <c r="C397" s="10"/>
      <c r="D397" s="10"/>
      <c r="E397" s="10"/>
      <c r="F397" s="10"/>
    </row>
    <row r="398">
      <c r="A398" s="10"/>
      <c r="B398" s="10"/>
      <c r="C398" s="10"/>
      <c r="D398" s="10"/>
      <c r="E398" s="10"/>
      <c r="F398" s="10"/>
    </row>
    <row r="399">
      <c r="A399" s="10"/>
      <c r="B399" s="10"/>
      <c r="C399" s="10"/>
      <c r="D399" s="10"/>
      <c r="E399" s="10"/>
      <c r="F399" s="10"/>
    </row>
    <row r="400">
      <c r="A400" s="10"/>
      <c r="B400" s="10"/>
      <c r="C400" s="10"/>
      <c r="D400" s="10"/>
      <c r="E400" s="10"/>
      <c r="F400" s="10"/>
    </row>
    <row r="401">
      <c r="A401" s="10"/>
      <c r="B401" s="10"/>
      <c r="C401" s="10"/>
      <c r="D401" s="10"/>
      <c r="E401" s="10"/>
      <c r="F401" s="10"/>
    </row>
    <row r="402">
      <c r="A402" s="10"/>
      <c r="B402" s="10"/>
      <c r="C402" s="10"/>
      <c r="D402" s="10"/>
      <c r="E402" s="10"/>
      <c r="F402" s="10"/>
    </row>
    <row r="403">
      <c r="A403" s="10"/>
      <c r="B403" s="10"/>
      <c r="C403" s="10"/>
      <c r="D403" s="10"/>
      <c r="E403" s="10"/>
      <c r="F403" s="10"/>
    </row>
    <row r="404">
      <c r="A404" s="10"/>
      <c r="B404" s="10"/>
      <c r="C404" s="10"/>
      <c r="D404" s="10"/>
      <c r="E404" s="10"/>
      <c r="F404" s="10"/>
    </row>
    <row r="405">
      <c r="A405" s="10"/>
      <c r="B405" s="10"/>
      <c r="C405" s="10"/>
      <c r="D405" s="10"/>
      <c r="E405" s="10"/>
      <c r="F405" s="10"/>
    </row>
    <row r="406">
      <c r="A406" s="10"/>
      <c r="B406" s="10"/>
      <c r="C406" s="10"/>
      <c r="D406" s="10"/>
      <c r="E406" s="10"/>
      <c r="F406" s="10"/>
    </row>
    <row r="407">
      <c r="A407" s="10"/>
      <c r="B407" s="10"/>
      <c r="C407" s="10"/>
      <c r="D407" s="10"/>
      <c r="E407" s="10"/>
      <c r="F407" s="10"/>
    </row>
    <row r="408">
      <c r="A408" s="10"/>
      <c r="B408" s="10"/>
      <c r="C408" s="10"/>
      <c r="D408" s="10"/>
      <c r="E408" s="10"/>
      <c r="F408" s="10"/>
    </row>
    <row r="409">
      <c r="A409" s="10"/>
      <c r="B409" s="10"/>
      <c r="C409" s="10"/>
      <c r="D409" s="10"/>
      <c r="E409" s="10"/>
      <c r="F409" s="10"/>
    </row>
    <row r="410">
      <c r="A410" s="10"/>
      <c r="B410" s="10"/>
      <c r="C410" s="10"/>
      <c r="D410" s="10"/>
      <c r="E410" s="10"/>
      <c r="F410" s="10"/>
    </row>
    <row r="411">
      <c r="A411" s="10"/>
      <c r="B411" s="10"/>
      <c r="C411" s="10"/>
      <c r="D411" s="10"/>
      <c r="E411" s="10"/>
      <c r="F411" s="10"/>
    </row>
    <row r="412">
      <c r="A412" s="10"/>
      <c r="B412" s="10"/>
      <c r="C412" s="10"/>
      <c r="D412" s="10"/>
      <c r="E412" s="10"/>
      <c r="F412" s="10"/>
    </row>
    <row r="413">
      <c r="A413" s="10"/>
      <c r="B413" s="10"/>
      <c r="C413" s="10"/>
      <c r="D413" s="10"/>
      <c r="E413" s="10"/>
      <c r="F413" s="10"/>
    </row>
    <row r="414">
      <c r="A414" s="10"/>
      <c r="B414" s="10"/>
      <c r="C414" s="10"/>
      <c r="D414" s="10"/>
      <c r="E414" s="10"/>
      <c r="F414" s="10"/>
    </row>
    <row r="415">
      <c r="A415" s="10"/>
      <c r="B415" s="10"/>
      <c r="C415" s="10"/>
      <c r="D415" s="10"/>
      <c r="E415" s="10"/>
      <c r="F415" s="10"/>
    </row>
    <row r="416">
      <c r="A416" s="10"/>
      <c r="B416" s="10"/>
      <c r="C416" s="10"/>
      <c r="D416" s="10"/>
      <c r="E416" s="10"/>
      <c r="F416" s="10"/>
    </row>
    <row r="417">
      <c r="A417" s="10"/>
      <c r="B417" s="10"/>
      <c r="C417" s="10"/>
      <c r="D417" s="10"/>
      <c r="E417" s="10"/>
      <c r="F417" s="10"/>
    </row>
    <row r="418">
      <c r="A418" s="10"/>
      <c r="B418" s="10"/>
      <c r="C418" s="10"/>
      <c r="D418" s="10"/>
      <c r="E418" s="10"/>
      <c r="F418" s="10"/>
    </row>
    <row r="419">
      <c r="A419" s="10"/>
      <c r="B419" s="10"/>
      <c r="C419" s="10"/>
      <c r="D419" s="10"/>
      <c r="E419" s="10"/>
      <c r="F419" s="10"/>
    </row>
    <row r="420">
      <c r="A420" s="10"/>
      <c r="B420" s="10"/>
      <c r="C420" s="10"/>
      <c r="D420" s="10"/>
      <c r="E420" s="10"/>
      <c r="F420" s="10"/>
    </row>
    <row r="421">
      <c r="A421" s="10"/>
      <c r="B421" s="10"/>
      <c r="C421" s="10"/>
      <c r="D421" s="10"/>
      <c r="E421" s="10"/>
      <c r="F421" s="10"/>
    </row>
    <row r="422">
      <c r="A422" s="10"/>
      <c r="B422" s="10"/>
      <c r="C422" s="10"/>
      <c r="D422" s="10"/>
      <c r="E422" s="10"/>
      <c r="F422" s="10"/>
    </row>
    <row r="423">
      <c r="A423" s="10"/>
      <c r="B423" s="10"/>
      <c r="C423" s="10"/>
      <c r="D423" s="10"/>
      <c r="E423" s="10"/>
      <c r="F423" s="10"/>
    </row>
    <row r="424">
      <c r="A424" s="10"/>
      <c r="B424" s="10"/>
      <c r="C424" s="10"/>
      <c r="D424" s="10"/>
      <c r="E424" s="10"/>
      <c r="F424" s="10"/>
    </row>
    <row r="425">
      <c r="A425" s="10"/>
      <c r="B425" s="10"/>
      <c r="C425" s="10"/>
      <c r="D425" s="10"/>
      <c r="E425" s="10"/>
      <c r="F425" s="10"/>
    </row>
    <row r="426">
      <c r="A426" s="10"/>
      <c r="B426" s="10"/>
      <c r="C426" s="10"/>
      <c r="D426" s="10"/>
      <c r="E426" s="10"/>
      <c r="F426" s="10"/>
    </row>
    <row r="427">
      <c r="A427" s="10"/>
      <c r="B427" s="10"/>
      <c r="C427" s="10"/>
      <c r="D427" s="10"/>
      <c r="E427" s="10"/>
      <c r="F427" s="10"/>
    </row>
    <row r="428">
      <c r="A428" s="10"/>
      <c r="B428" s="10"/>
      <c r="C428" s="10"/>
      <c r="D428" s="10"/>
      <c r="E428" s="10"/>
      <c r="F428" s="10"/>
    </row>
    <row r="429">
      <c r="A429" s="10"/>
      <c r="B429" s="10"/>
      <c r="C429" s="10"/>
      <c r="D429" s="10"/>
      <c r="E429" s="10"/>
      <c r="F429" s="10"/>
    </row>
    <row r="430">
      <c r="A430" s="10"/>
      <c r="B430" s="10"/>
      <c r="C430" s="10"/>
      <c r="D430" s="10"/>
      <c r="E430" s="10"/>
      <c r="F430" s="10"/>
    </row>
    <row r="431">
      <c r="A431" s="10"/>
      <c r="B431" s="10"/>
      <c r="C431" s="10"/>
      <c r="D431" s="10"/>
      <c r="E431" s="10"/>
      <c r="F431" s="10"/>
    </row>
    <row r="432">
      <c r="A432" s="10"/>
      <c r="B432" s="10"/>
      <c r="C432" s="10"/>
      <c r="D432" s="10"/>
      <c r="E432" s="10"/>
      <c r="F432" s="10"/>
    </row>
    <row r="433">
      <c r="A433" s="10"/>
      <c r="B433" s="10"/>
      <c r="C433" s="10"/>
      <c r="D433" s="10"/>
      <c r="E433" s="10"/>
      <c r="F433" s="10"/>
    </row>
    <row r="434">
      <c r="A434" s="10"/>
      <c r="B434" s="10"/>
      <c r="C434" s="10"/>
      <c r="D434" s="10"/>
      <c r="E434" s="10"/>
      <c r="F434" s="10"/>
    </row>
    <row r="435">
      <c r="A435" s="10"/>
      <c r="B435" s="10"/>
      <c r="C435" s="10"/>
      <c r="D435" s="10"/>
      <c r="E435" s="10"/>
      <c r="F435" s="10"/>
    </row>
    <row r="436">
      <c r="A436" s="10"/>
      <c r="B436" s="10"/>
      <c r="C436" s="10"/>
      <c r="D436" s="10"/>
      <c r="E436" s="10"/>
      <c r="F436" s="10"/>
    </row>
    <row r="437">
      <c r="A437" s="10"/>
      <c r="B437" s="10"/>
      <c r="C437" s="10"/>
      <c r="D437" s="10"/>
      <c r="E437" s="10"/>
      <c r="F437" s="10"/>
    </row>
    <row r="438">
      <c r="A438" s="10"/>
      <c r="B438" s="10"/>
      <c r="C438" s="10"/>
      <c r="D438" s="10"/>
      <c r="E438" s="10"/>
      <c r="F438" s="10"/>
    </row>
    <row r="439">
      <c r="A439" s="10"/>
      <c r="B439" s="10"/>
      <c r="C439" s="10"/>
      <c r="D439" s="10"/>
      <c r="E439" s="10"/>
      <c r="F439" s="10"/>
    </row>
    <row r="440">
      <c r="A440" s="10"/>
      <c r="B440" s="10"/>
      <c r="C440" s="10"/>
      <c r="D440" s="10"/>
      <c r="E440" s="10"/>
      <c r="F440" s="10"/>
    </row>
    <row r="441">
      <c r="A441" s="10"/>
      <c r="B441" s="10"/>
      <c r="C441" s="10"/>
      <c r="D441" s="10"/>
      <c r="E441" s="10"/>
      <c r="F441" s="10"/>
    </row>
    <row r="442">
      <c r="A442" s="10"/>
      <c r="B442" s="10"/>
      <c r="C442" s="10"/>
      <c r="D442" s="10"/>
      <c r="E442" s="10"/>
      <c r="F442" s="10"/>
    </row>
    <row r="443">
      <c r="A443" s="10"/>
      <c r="B443" s="10"/>
      <c r="C443" s="10"/>
      <c r="D443" s="10"/>
      <c r="E443" s="10"/>
      <c r="F443" s="10"/>
    </row>
    <row r="444">
      <c r="A444" s="10"/>
      <c r="B444" s="10"/>
      <c r="C444" s="10"/>
      <c r="D444" s="10"/>
      <c r="E444" s="10"/>
      <c r="F444" s="10"/>
    </row>
    <row r="445">
      <c r="A445" s="10"/>
      <c r="B445" s="10"/>
      <c r="C445" s="10"/>
      <c r="D445" s="10"/>
      <c r="E445" s="10"/>
      <c r="F445" s="10"/>
    </row>
    <row r="446">
      <c r="A446" s="10"/>
      <c r="B446" s="10"/>
      <c r="C446" s="10"/>
      <c r="D446" s="10"/>
      <c r="E446" s="10"/>
      <c r="F446" s="10"/>
    </row>
    <row r="447">
      <c r="A447" s="10"/>
      <c r="B447" s="10"/>
      <c r="C447" s="10"/>
      <c r="D447" s="10"/>
      <c r="E447" s="10"/>
      <c r="F447" s="10"/>
    </row>
    <row r="448">
      <c r="A448" s="10"/>
      <c r="B448" s="10"/>
      <c r="C448" s="10"/>
      <c r="D448" s="10"/>
      <c r="E448" s="10"/>
      <c r="F448" s="10"/>
    </row>
    <row r="449">
      <c r="A449" s="10"/>
      <c r="B449" s="10"/>
      <c r="C449" s="10"/>
      <c r="D449" s="10"/>
      <c r="E449" s="10"/>
      <c r="F449" s="10"/>
    </row>
    <row r="450">
      <c r="A450" s="10"/>
      <c r="B450" s="10"/>
      <c r="C450" s="10"/>
      <c r="D450" s="10"/>
      <c r="E450" s="10"/>
      <c r="F450" s="10"/>
    </row>
    <row r="451">
      <c r="A451" s="10"/>
      <c r="B451" s="10"/>
      <c r="C451" s="10"/>
      <c r="D451" s="10"/>
      <c r="E451" s="10"/>
      <c r="F451" s="10"/>
    </row>
    <row r="452">
      <c r="A452" s="10"/>
      <c r="B452" s="10"/>
      <c r="C452" s="10"/>
      <c r="D452" s="10"/>
      <c r="E452" s="10"/>
      <c r="F452" s="10"/>
    </row>
    <row r="453">
      <c r="A453" s="10"/>
      <c r="B453" s="10"/>
      <c r="C453" s="10"/>
      <c r="D453" s="10"/>
      <c r="E453" s="10"/>
      <c r="F453" s="10"/>
    </row>
    <row r="454">
      <c r="A454" s="10"/>
      <c r="B454" s="10"/>
      <c r="C454" s="10"/>
      <c r="D454" s="10"/>
      <c r="E454" s="10"/>
      <c r="F454" s="10"/>
    </row>
    <row r="455">
      <c r="A455" s="10"/>
      <c r="B455" s="10"/>
      <c r="C455" s="10"/>
      <c r="D455" s="10"/>
      <c r="E455" s="10"/>
      <c r="F455" s="10"/>
    </row>
    <row r="456">
      <c r="A456" s="10"/>
      <c r="B456" s="10"/>
      <c r="C456" s="10"/>
      <c r="D456" s="10"/>
      <c r="E456" s="10"/>
      <c r="F456" s="10"/>
    </row>
    <row r="457">
      <c r="A457" s="10"/>
      <c r="B457" s="10"/>
      <c r="C457" s="10"/>
      <c r="D457" s="10"/>
      <c r="E457" s="10"/>
      <c r="F457" s="10"/>
    </row>
    <row r="458">
      <c r="A458" s="10"/>
      <c r="B458" s="10"/>
      <c r="C458" s="10"/>
      <c r="D458" s="10"/>
      <c r="E458" s="10"/>
      <c r="F458" s="10"/>
    </row>
    <row r="459">
      <c r="A459" s="10"/>
      <c r="B459" s="10"/>
      <c r="C459" s="10"/>
      <c r="D459" s="10"/>
      <c r="E459" s="10"/>
      <c r="F459" s="10"/>
    </row>
    <row r="460">
      <c r="A460" s="10"/>
      <c r="B460" s="10"/>
      <c r="C460" s="10"/>
      <c r="D460" s="10"/>
      <c r="E460" s="10"/>
      <c r="F460" s="10"/>
    </row>
    <row r="461">
      <c r="A461" s="10"/>
      <c r="B461" s="10"/>
      <c r="C461" s="10"/>
      <c r="D461" s="10"/>
      <c r="E461" s="10"/>
      <c r="F461" s="10"/>
    </row>
    <row r="462">
      <c r="A462" s="10"/>
      <c r="B462" s="10"/>
      <c r="C462" s="10"/>
      <c r="D462" s="10"/>
      <c r="E462" s="10"/>
      <c r="F462" s="10"/>
    </row>
    <row r="463">
      <c r="A463" s="10"/>
      <c r="B463" s="10"/>
      <c r="C463" s="10"/>
      <c r="D463" s="10"/>
      <c r="E463" s="10"/>
      <c r="F463" s="10"/>
    </row>
    <row r="464">
      <c r="A464" s="10"/>
      <c r="B464" s="10"/>
      <c r="C464" s="10"/>
      <c r="D464" s="10"/>
      <c r="E464" s="10"/>
      <c r="F464" s="10"/>
    </row>
    <row r="465">
      <c r="A465" s="10"/>
      <c r="B465" s="10"/>
      <c r="C465" s="10"/>
      <c r="D465" s="10"/>
      <c r="E465" s="10"/>
      <c r="F465" s="10"/>
    </row>
    <row r="466">
      <c r="A466" s="10"/>
      <c r="B466" s="10"/>
      <c r="C466" s="10"/>
      <c r="D466" s="10"/>
      <c r="E466" s="10"/>
      <c r="F466" s="10"/>
    </row>
    <row r="467">
      <c r="A467" s="10"/>
      <c r="B467" s="10"/>
      <c r="C467" s="10"/>
      <c r="D467" s="10"/>
      <c r="E467" s="10"/>
      <c r="F467" s="10"/>
    </row>
    <row r="468">
      <c r="A468" s="10"/>
      <c r="B468" s="10"/>
      <c r="C468" s="10"/>
      <c r="D468" s="10"/>
      <c r="E468" s="10"/>
      <c r="F468" s="10"/>
    </row>
    <row r="469">
      <c r="A469" s="10"/>
      <c r="B469" s="10"/>
      <c r="C469" s="10"/>
      <c r="D469" s="10"/>
      <c r="E469" s="10"/>
      <c r="F469" s="10"/>
    </row>
    <row r="470">
      <c r="A470" s="10"/>
      <c r="B470" s="10"/>
      <c r="C470" s="10"/>
      <c r="D470" s="10"/>
      <c r="E470" s="10"/>
      <c r="F470" s="10"/>
    </row>
    <row r="471">
      <c r="A471" s="10"/>
      <c r="B471" s="10"/>
      <c r="C471" s="10"/>
      <c r="D471" s="10"/>
      <c r="E471" s="10"/>
      <c r="F471" s="10"/>
    </row>
    <row r="472">
      <c r="A472" s="10"/>
      <c r="B472" s="10"/>
      <c r="C472" s="10"/>
      <c r="D472" s="10"/>
      <c r="E472" s="10"/>
      <c r="F472" s="10"/>
    </row>
    <row r="473">
      <c r="A473" s="10"/>
      <c r="B473" s="10"/>
      <c r="C473" s="10"/>
      <c r="D473" s="10"/>
      <c r="E473" s="10"/>
      <c r="F473" s="10"/>
    </row>
    <row r="474">
      <c r="A474" s="10"/>
      <c r="B474" s="10"/>
      <c r="C474" s="10"/>
      <c r="D474" s="10"/>
      <c r="E474" s="10"/>
      <c r="F474" s="10"/>
    </row>
    <row r="475">
      <c r="A475" s="10"/>
      <c r="B475" s="10"/>
      <c r="C475" s="10"/>
      <c r="D475" s="10"/>
      <c r="E475" s="10"/>
      <c r="F475" s="10"/>
    </row>
    <row r="476">
      <c r="A476" s="10"/>
      <c r="B476" s="10"/>
      <c r="C476" s="10"/>
      <c r="D476" s="10"/>
      <c r="E476" s="10"/>
      <c r="F476" s="10"/>
    </row>
    <row r="477">
      <c r="A477" s="10"/>
      <c r="B477" s="10"/>
      <c r="C477" s="10"/>
      <c r="D477" s="10"/>
      <c r="E477" s="10"/>
      <c r="F477" s="10"/>
    </row>
    <row r="478">
      <c r="A478" s="10"/>
      <c r="B478" s="10"/>
      <c r="C478" s="10"/>
      <c r="D478" s="10"/>
      <c r="E478" s="10"/>
      <c r="F478" s="10"/>
    </row>
    <row r="479">
      <c r="A479" s="10"/>
      <c r="B479" s="10"/>
      <c r="C479" s="10"/>
      <c r="D479" s="10"/>
      <c r="E479" s="10"/>
      <c r="F479" s="10"/>
    </row>
    <row r="480">
      <c r="A480" s="10"/>
      <c r="B480" s="10"/>
      <c r="C480" s="10"/>
      <c r="D480" s="10"/>
      <c r="E480" s="10"/>
      <c r="F480" s="10"/>
    </row>
    <row r="481">
      <c r="A481" s="10"/>
      <c r="B481" s="10"/>
      <c r="C481" s="10"/>
      <c r="D481" s="10"/>
      <c r="E481" s="10"/>
      <c r="F481" s="10"/>
    </row>
    <row r="482">
      <c r="A482" s="10"/>
      <c r="B482" s="10"/>
      <c r="C482" s="10"/>
      <c r="D482" s="10"/>
      <c r="E482" s="10"/>
      <c r="F482" s="10"/>
    </row>
    <row r="483">
      <c r="A483" s="10"/>
      <c r="B483" s="10"/>
      <c r="C483" s="10"/>
      <c r="D483" s="10"/>
      <c r="E483" s="10"/>
      <c r="F483" s="10"/>
    </row>
    <row r="484">
      <c r="A484" s="10"/>
      <c r="B484" s="10"/>
      <c r="C484" s="10"/>
      <c r="D484" s="10"/>
      <c r="E484" s="10"/>
      <c r="F484" s="10"/>
    </row>
    <row r="485">
      <c r="A485" s="10"/>
      <c r="B485" s="10"/>
      <c r="C485" s="10"/>
      <c r="D485" s="10"/>
      <c r="E485" s="10"/>
      <c r="F485" s="10"/>
    </row>
    <row r="486">
      <c r="A486" s="10"/>
      <c r="B486" s="10"/>
      <c r="C486" s="10"/>
      <c r="D486" s="10"/>
      <c r="E486" s="10"/>
      <c r="F486" s="10"/>
    </row>
    <row r="487">
      <c r="A487" s="10"/>
      <c r="B487" s="10"/>
      <c r="C487" s="10"/>
      <c r="D487" s="10"/>
      <c r="E487" s="10"/>
      <c r="F487" s="10"/>
    </row>
    <row r="488">
      <c r="A488" s="10"/>
      <c r="B488" s="10"/>
      <c r="C488" s="10"/>
      <c r="D488" s="10"/>
      <c r="E488" s="10"/>
      <c r="F488" s="10"/>
    </row>
    <row r="489">
      <c r="A489" s="10"/>
      <c r="B489" s="10"/>
      <c r="C489" s="10"/>
      <c r="D489" s="10"/>
      <c r="E489" s="10"/>
      <c r="F489" s="10"/>
    </row>
    <row r="490">
      <c r="A490" s="10"/>
      <c r="B490" s="10"/>
      <c r="C490" s="10"/>
      <c r="D490" s="10"/>
      <c r="E490" s="10"/>
      <c r="F490" s="10"/>
    </row>
    <row r="491">
      <c r="A491" s="10"/>
      <c r="B491" s="10"/>
      <c r="C491" s="10"/>
      <c r="D491" s="10"/>
      <c r="E491" s="10"/>
      <c r="F491" s="10"/>
    </row>
    <row r="492">
      <c r="A492" s="10"/>
      <c r="B492" s="10"/>
      <c r="C492" s="10"/>
      <c r="D492" s="10"/>
      <c r="E492" s="10"/>
      <c r="F492" s="10"/>
    </row>
    <row r="493">
      <c r="A493" s="10"/>
      <c r="B493" s="10"/>
      <c r="C493" s="10"/>
      <c r="D493" s="10"/>
      <c r="E493" s="10"/>
      <c r="F493" s="10"/>
    </row>
    <row r="494">
      <c r="A494" s="10"/>
      <c r="B494" s="10"/>
      <c r="C494" s="10"/>
      <c r="D494" s="10"/>
      <c r="E494" s="10"/>
      <c r="F494" s="10"/>
    </row>
    <row r="495">
      <c r="A495" s="10"/>
      <c r="B495" s="10"/>
      <c r="C495" s="10"/>
      <c r="D495" s="10"/>
      <c r="E495" s="10"/>
      <c r="F495" s="10"/>
    </row>
    <row r="496">
      <c r="A496" s="10"/>
      <c r="B496" s="10"/>
      <c r="C496" s="10"/>
      <c r="D496" s="10"/>
      <c r="E496" s="10"/>
      <c r="F496" s="10"/>
    </row>
    <row r="497">
      <c r="A497" s="10"/>
      <c r="B497" s="10"/>
      <c r="C497" s="10"/>
      <c r="D497" s="10"/>
      <c r="E497" s="10"/>
      <c r="F497" s="10"/>
    </row>
    <row r="498">
      <c r="A498" s="10"/>
      <c r="B498" s="10"/>
      <c r="C498" s="10"/>
      <c r="D498" s="10"/>
      <c r="E498" s="10"/>
      <c r="F498" s="10"/>
    </row>
    <row r="499">
      <c r="A499" s="10"/>
      <c r="B499" s="10"/>
      <c r="C499" s="10"/>
      <c r="D499" s="10"/>
      <c r="E499" s="10"/>
      <c r="F499" s="10"/>
    </row>
    <row r="500">
      <c r="A500" s="10"/>
      <c r="B500" s="10"/>
      <c r="C500" s="10"/>
      <c r="D500" s="10"/>
      <c r="E500" s="10"/>
      <c r="F500" s="10"/>
    </row>
    <row r="501">
      <c r="A501" s="10"/>
      <c r="B501" s="10"/>
      <c r="C501" s="10"/>
      <c r="D501" s="10"/>
      <c r="E501" s="10"/>
      <c r="F501" s="10"/>
    </row>
    <row r="502">
      <c r="A502" s="10"/>
      <c r="B502" s="10"/>
      <c r="C502" s="10"/>
      <c r="D502" s="10"/>
      <c r="E502" s="10"/>
      <c r="F502" s="10"/>
    </row>
    <row r="503">
      <c r="A503" s="10"/>
      <c r="B503" s="10"/>
      <c r="C503" s="10"/>
      <c r="D503" s="10"/>
      <c r="E503" s="10"/>
      <c r="F503" s="10"/>
    </row>
    <row r="504">
      <c r="A504" s="10"/>
      <c r="B504" s="10"/>
      <c r="C504" s="10"/>
      <c r="D504" s="10"/>
      <c r="E504" s="10"/>
      <c r="F504" s="10"/>
    </row>
    <row r="505">
      <c r="A505" s="10"/>
      <c r="B505" s="10"/>
      <c r="C505" s="10"/>
      <c r="D505" s="10"/>
      <c r="E505" s="10"/>
      <c r="F505" s="10"/>
    </row>
    <row r="506">
      <c r="A506" s="10"/>
      <c r="B506" s="10"/>
      <c r="C506" s="10"/>
      <c r="D506" s="10"/>
      <c r="E506" s="10"/>
      <c r="F506" s="10"/>
    </row>
    <row r="507">
      <c r="A507" s="10"/>
      <c r="B507" s="10"/>
      <c r="C507" s="10"/>
      <c r="D507" s="10"/>
      <c r="E507" s="10"/>
      <c r="F507" s="10"/>
    </row>
    <row r="508">
      <c r="A508" s="10"/>
      <c r="B508" s="10"/>
      <c r="C508" s="10"/>
      <c r="D508" s="10"/>
      <c r="E508" s="10"/>
      <c r="F508" s="10"/>
    </row>
    <row r="509">
      <c r="A509" s="10"/>
      <c r="B509" s="10"/>
      <c r="C509" s="10"/>
      <c r="D509" s="10"/>
      <c r="E509" s="10"/>
      <c r="F509" s="10"/>
    </row>
    <row r="510">
      <c r="A510" s="10"/>
      <c r="B510" s="10"/>
      <c r="C510" s="10"/>
      <c r="D510" s="10"/>
      <c r="E510" s="10"/>
      <c r="F510" s="10"/>
    </row>
    <row r="511">
      <c r="A511" s="10"/>
      <c r="B511" s="10"/>
      <c r="C511" s="10"/>
      <c r="D511" s="10"/>
      <c r="E511" s="10"/>
      <c r="F511" s="10"/>
    </row>
    <row r="512">
      <c r="A512" s="10"/>
      <c r="B512" s="10"/>
      <c r="C512" s="10"/>
      <c r="D512" s="10"/>
      <c r="E512" s="10"/>
      <c r="F512" s="10"/>
    </row>
    <row r="513">
      <c r="A513" s="10"/>
      <c r="B513" s="10"/>
      <c r="C513" s="10"/>
      <c r="D513" s="10"/>
      <c r="E513" s="10"/>
      <c r="F513" s="10"/>
    </row>
    <row r="514">
      <c r="A514" s="10"/>
      <c r="B514" s="10"/>
      <c r="C514" s="10"/>
      <c r="D514" s="10"/>
      <c r="E514" s="10"/>
      <c r="F514" s="10"/>
    </row>
    <row r="515">
      <c r="A515" s="10"/>
      <c r="B515" s="10"/>
      <c r="C515" s="10"/>
      <c r="D515" s="10"/>
      <c r="E515" s="10"/>
      <c r="F515" s="10"/>
    </row>
    <row r="516">
      <c r="A516" s="10"/>
      <c r="B516" s="10"/>
      <c r="C516" s="10"/>
      <c r="D516" s="10"/>
      <c r="E516" s="10"/>
      <c r="F516" s="10"/>
    </row>
    <row r="517">
      <c r="A517" s="10"/>
      <c r="B517" s="10"/>
      <c r="C517" s="10"/>
      <c r="D517" s="10"/>
      <c r="E517" s="10"/>
      <c r="F517" s="10"/>
    </row>
    <row r="518">
      <c r="A518" s="10"/>
      <c r="B518" s="10"/>
      <c r="C518" s="10"/>
      <c r="D518" s="10"/>
      <c r="E518" s="10"/>
      <c r="F518" s="10"/>
    </row>
    <row r="519">
      <c r="A519" s="10"/>
      <c r="B519" s="10"/>
      <c r="C519" s="10"/>
      <c r="D519" s="10"/>
      <c r="E519" s="10"/>
      <c r="F519" s="10"/>
    </row>
    <row r="520">
      <c r="A520" s="10"/>
      <c r="B520" s="10"/>
      <c r="C520" s="10"/>
      <c r="D520" s="10"/>
      <c r="E520" s="10"/>
      <c r="F520" s="10"/>
    </row>
    <row r="521">
      <c r="A521" s="10"/>
      <c r="B521" s="10"/>
      <c r="C521" s="10"/>
      <c r="D521" s="10"/>
      <c r="E521" s="10"/>
      <c r="F521" s="10"/>
    </row>
    <row r="522">
      <c r="A522" s="10"/>
      <c r="B522" s="10"/>
      <c r="C522" s="10"/>
      <c r="D522" s="10"/>
      <c r="E522" s="10"/>
      <c r="F522" s="10"/>
    </row>
    <row r="523">
      <c r="A523" s="10"/>
      <c r="B523" s="10"/>
      <c r="C523" s="10"/>
      <c r="D523" s="10"/>
      <c r="E523" s="10"/>
      <c r="F523" s="10"/>
    </row>
    <row r="524">
      <c r="A524" s="10"/>
      <c r="B524" s="10"/>
      <c r="C524" s="10"/>
      <c r="D524" s="10"/>
      <c r="E524" s="10"/>
      <c r="F524" s="10"/>
    </row>
    <row r="525">
      <c r="A525" s="10"/>
      <c r="B525" s="10"/>
      <c r="C525" s="10"/>
      <c r="D525" s="10"/>
      <c r="E525" s="10"/>
      <c r="F525" s="10"/>
    </row>
    <row r="526">
      <c r="A526" s="10"/>
      <c r="B526" s="10"/>
      <c r="C526" s="10"/>
      <c r="D526" s="10"/>
      <c r="E526" s="10"/>
      <c r="F526" s="10"/>
    </row>
    <row r="527">
      <c r="A527" s="10"/>
      <c r="B527" s="10"/>
      <c r="C527" s="10"/>
      <c r="D527" s="10"/>
      <c r="E527" s="10"/>
      <c r="F527" s="10"/>
    </row>
    <row r="528">
      <c r="A528" s="10"/>
      <c r="B528" s="10"/>
      <c r="C528" s="10"/>
      <c r="D528" s="10"/>
      <c r="E528" s="10"/>
      <c r="F528" s="10"/>
    </row>
    <row r="529">
      <c r="A529" s="10"/>
      <c r="B529" s="10"/>
      <c r="C529" s="10"/>
      <c r="D529" s="10"/>
      <c r="E529" s="10"/>
      <c r="F529" s="10"/>
    </row>
    <row r="530">
      <c r="A530" s="10"/>
      <c r="B530" s="10"/>
      <c r="C530" s="10"/>
      <c r="D530" s="10"/>
      <c r="E530" s="10"/>
      <c r="F530" s="10"/>
    </row>
    <row r="531">
      <c r="A531" s="10"/>
      <c r="B531" s="10"/>
      <c r="C531" s="10"/>
      <c r="D531" s="10"/>
      <c r="E531" s="10"/>
      <c r="F531" s="10"/>
    </row>
    <row r="532">
      <c r="A532" s="10"/>
      <c r="B532" s="10"/>
      <c r="C532" s="10"/>
      <c r="D532" s="10"/>
      <c r="E532" s="10"/>
      <c r="F532" s="10"/>
    </row>
    <row r="533">
      <c r="A533" s="10"/>
      <c r="B533" s="10"/>
      <c r="C533" s="10"/>
      <c r="D533" s="10"/>
      <c r="E533" s="10"/>
      <c r="F533" s="10"/>
    </row>
    <row r="534">
      <c r="A534" s="10"/>
      <c r="B534" s="10"/>
      <c r="C534" s="10"/>
      <c r="D534" s="10"/>
      <c r="E534" s="10"/>
      <c r="F534" s="10"/>
    </row>
    <row r="535">
      <c r="A535" s="10"/>
      <c r="B535" s="10"/>
      <c r="C535" s="10"/>
      <c r="D535" s="10"/>
      <c r="E535" s="10"/>
      <c r="F535" s="10"/>
    </row>
    <row r="536">
      <c r="A536" s="10"/>
      <c r="B536" s="10"/>
      <c r="C536" s="10"/>
      <c r="D536" s="10"/>
      <c r="E536" s="10"/>
      <c r="F536" s="10"/>
    </row>
    <row r="537">
      <c r="A537" s="10"/>
      <c r="B537" s="10"/>
      <c r="C537" s="10"/>
      <c r="D537" s="10"/>
      <c r="E537" s="10"/>
      <c r="F537" s="10"/>
    </row>
    <row r="538">
      <c r="A538" s="10"/>
      <c r="B538" s="10"/>
      <c r="C538" s="10"/>
      <c r="D538" s="10"/>
      <c r="E538" s="10"/>
      <c r="F538" s="10"/>
    </row>
    <row r="539">
      <c r="A539" s="10"/>
      <c r="B539" s="10"/>
      <c r="C539" s="10"/>
      <c r="D539" s="10"/>
      <c r="E539" s="10"/>
      <c r="F539" s="10"/>
    </row>
    <row r="540">
      <c r="A540" s="10"/>
      <c r="B540" s="10"/>
      <c r="C540" s="10"/>
      <c r="D540" s="10"/>
      <c r="E540" s="10"/>
      <c r="F540" s="10"/>
    </row>
    <row r="541">
      <c r="A541" s="10"/>
      <c r="B541" s="10"/>
      <c r="C541" s="10"/>
      <c r="D541" s="10"/>
      <c r="E541" s="10"/>
      <c r="F541" s="10"/>
    </row>
    <row r="542">
      <c r="A542" s="10"/>
      <c r="B542" s="10"/>
      <c r="C542" s="10"/>
      <c r="D542" s="10"/>
      <c r="E542" s="10"/>
      <c r="F542" s="10"/>
    </row>
    <row r="543">
      <c r="A543" s="10"/>
      <c r="B543" s="10"/>
      <c r="C543" s="10"/>
      <c r="D543" s="10"/>
      <c r="E543" s="10"/>
      <c r="F543" s="10"/>
    </row>
    <row r="544">
      <c r="A544" s="10"/>
      <c r="B544" s="10"/>
      <c r="C544" s="10"/>
      <c r="D544" s="10"/>
      <c r="E544" s="10"/>
      <c r="F544" s="10"/>
    </row>
    <row r="545">
      <c r="A545" s="10"/>
      <c r="B545" s="10"/>
      <c r="C545" s="10"/>
      <c r="D545" s="10"/>
      <c r="E545" s="10"/>
      <c r="F545" s="10"/>
    </row>
    <row r="546">
      <c r="A546" s="10"/>
      <c r="B546" s="10"/>
      <c r="C546" s="10"/>
      <c r="D546" s="10"/>
      <c r="E546" s="10"/>
      <c r="F546" s="10"/>
    </row>
    <row r="547">
      <c r="A547" s="10"/>
      <c r="B547" s="10"/>
      <c r="C547" s="10"/>
      <c r="D547" s="10"/>
      <c r="E547" s="10"/>
      <c r="F547" s="10"/>
    </row>
    <row r="548">
      <c r="A548" s="10"/>
      <c r="B548" s="10"/>
      <c r="C548" s="10"/>
      <c r="D548" s="10"/>
      <c r="E548" s="10"/>
      <c r="F548" s="10"/>
    </row>
    <row r="549">
      <c r="A549" s="10"/>
      <c r="B549" s="10"/>
      <c r="C549" s="10"/>
      <c r="D549" s="10"/>
      <c r="E549" s="10"/>
      <c r="F549" s="10"/>
    </row>
    <row r="550">
      <c r="A550" s="10"/>
      <c r="B550" s="10"/>
      <c r="C550" s="10"/>
      <c r="D550" s="10"/>
      <c r="E550" s="10"/>
      <c r="F550" s="10"/>
    </row>
    <row r="551">
      <c r="A551" s="10"/>
      <c r="B551" s="10"/>
      <c r="C551" s="10"/>
      <c r="D551" s="10"/>
      <c r="E551" s="10"/>
      <c r="F551" s="10"/>
    </row>
    <row r="552">
      <c r="A552" s="10"/>
      <c r="B552" s="10"/>
      <c r="C552" s="10"/>
      <c r="D552" s="10"/>
      <c r="E552" s="10"/>
      <c r="F552" s="10"/>
    </row>
    <row r="553">
      <c r="A553" s="10"/>
      <c r="B553" s="10"/>
      <c r="C553" s="10"/>
      <c r="D553" s="10"/>
      <c r="E553" s="10"/>
      <c r="F553" s="10"/>
    </row>
    <row r="554">
      <c r="A554" s="10"/>
      <c r="B554" s="10"/>
      <c r="C554" s="10"/>
      <c r="D554" s="10"/>
      <c r="E554" s="10"/>
      <c r="F554" s="10"/>
    </row>
    <row r="555">
      <c r="A555" s="10"/>
      <c r="B555" s="10"/>
      <c r="C555" s="10"/>
      <c r="D555" s="10"/>
      <c r="E555" s="10"/>
      <c r="F555" s="10"/>
    </row>
    <row r="556">
      <c r="A556" s="10"/>
      <c r="B556" s="10"/>
      <c r="C556" s="10"/>
      <c r="D556" s="10"/>
      <c r="E556" s="10"/>
      <c r="F556" s="10"/>
    </row>
    <row r="557">
      <c r="A557" s="10"/>
      <c r="B557" s="10"/>
      <c r="C557" s="10"/>
      <c r="D557" s="10"/>
      <c r="E557" s="10"/>
      <c r="F557" s="10"/>
    </row>
    <row r="558">
      <c r="A558" s="10"/>
      <c r="B558" s="10"/>
      <c r="C558" s="10"/>
      <c r="D558" s="10"/>
      <c r="E558" s="10"/>
      <c r="F558" s="10"/>
    </row>
    <row r="559">
      <c r="A559" s="10"/>
      <c r="B559" s="10"/>
      <c r="C559" s="10"/>
      <c r="D559" s="10"/>
      <c r="E559" s="10"/>
      <c r="F559" s="10"/>
    </row>
    <row r="560">
      <c r="A560" s="10"/>
      <c r="B560" s="10"/>
      <c r="C560" s="10"/>
      <c r="D560" s="10"/>
      <c r="E560" s="10"/>
      <c r="F560" s="10"/>
    </row>
    <row r="561">
      <c r="A561" s="10"/>
      <c r="B561" s="10"/>
      <c r="C561" s="10"/>
      <c r="D561" s="10"/>
      <c r="E561" s="10"/>
      <c r="F561" s="10"/>
    </row>
    <row r="562">
      <c r="A562" s="10"/>
      <c r="B562" s="10"/>
      <c r="C562" s="10"/>
      <c r="D562" s="10"/>
      <c r="E562" s="10"/>
      <c r="F562" s="10"/>
    </row>
    <row r="563">
      <c r="A563" s="10"/>
      <c r="B563" s="10"/>
      <c r="C563" s="10"/>
      <c r="D563" s="10"/>
      <c r="E563" s="10"/>
      <c r="F563" s="10"/>
    </row>
    <row r="564">
      <c r="A564" s="10"/>
      <c r="B564" s="10"/>
      <c r="C564" s="10"/>
      <c r="D564" s="10"/>
      <c r="E564" s="10"/>
      <c r="F564" s="10"/>
    </row>
    <row r="565">
      <c r="A565" s="10"/>
      <c r="B565" s="10"/>
      <c r="C565" s="10"/>
      <c r="D565" s="10"/>
      <c r="E565" s="10"/>
      <c r="F565" s="10"/>
    </row>
    <row r="566">
      <c r="A566" s="10"/>
      <c r="B566" s="10"/>
      <c r="C566" s="10"/>
      <c r="D566" s="10"/>
      <c r="E566" s="10"/>
      <c r="F566" s="10"/>
    </row>
    <row r="567">
      <c r="A567" s="10"/>
      <c r="B567" s="10"/>
      <c r="C567" s="10"/>
      <c r="D567" s="10"/>
      <c r="E567" s="10"/>
      <c r="F567" s="10"/>
    </row>
    <row r="568">
      <c r="A568" s="10"/>
      <c r="B568" s="10"/>
      <c r="C568" s="10"/>
      <c r="D568" s="10"/>
      <c r="E568" s="10"/>
      <c r="F568" s="10"/>
    </row>
    <row r="569">
      <c r="A569" s="10"/>
      <c r="B569" s="10"/>
      <c r="C569" s="10"/>
      <c r="D569" s="10"/>
      <c r="E569" s="10"/>
      <c r="F569" s="10"/>
    </row>
    <row r="570">
      <c r="A570" s="10"/>
      <c r="B570" s="10"/>
      <c r="C570" s="10"/>
      <c r="D570" s="10"/>
      <c r="E570" s="10"/>
      <c r="F570" s="10"/>
    </row>
    <row r="571">
      <c r="A571" s="10"/>
      <c r="B571" s="10"/>
      <c r="C571" s="10"/>
      <c r="D571" s="10"/>
      <c r="E571" s="10"/>
      <c r="F571" s="10"/>
    </row>
    <row r="572">
      <c r="A572" s="10"/>
      <c r="B572" s="10"/>
      <c r="C572" s="10"/>
      <c r="D572" s="10"/>
      <c r="E572" s="10"/>
      <c r="F572" s="10"/>
    </row>
    <row r="573">
      <c r="A573" s="10"/>
      <c r="B573" s="10"/>
      <c r="C573" s="10"/>
      <c r="D573" s="10"/>
      <c r="E573" s="10"/>
      <c r="F573" s="10"/>
    </row>
    <row r="574">
      <c r="A574" s="10"/>
      <c r="B574" s="10"/>
      <c r="C574" s="10"/>
      <c r="D574" s="10"/>
      <c r="E574" s="10"/>
      <c r="F574" s="10"/>
    </row>
    <row r="575">
      <c r="A575" s="10"/>
      <c r="B575" s="10"/>
      <c r="C575" s="10"/>
      <c r="D575" s="10"/>
      <c r="E575" s="10"/>
      <c r="F575" s="10"/>
    </row>
    <row r="576">
      <c r="A576" s="10"/>
      <c r="B576" s="10"/>
      <c r="C576" s="10"/>
      <c r="D576" s="10"/>
      <c r="E576" s="10"/>
      <c r="F576" s="10"/>
    </row>
    <row r="577">
      <c r="A577" s="10"/>
      <c r="B577" s="10"/>
      <c r="C577" s="10"/>
      <c r="D577" s="10"/>
      <c r="E577" s="10"/>
      <c r="F577" s="10"/>
    </row>
    <row r="578">
      <c r="A578" s="10"/>
      <c r="B578" s="10"/>
      <c r="C578" s="10"/>
      <c r="D578" s="10"/>
      <c r="E578" s="10"/>
      <c r="F578" s="10"/>
    </row>
    <row r="579">
      <c r="A579" s="10"/>
      <c r="B579" s="10"/>
      <c r="C579" s="10"/>
      <c r="D579" s="10"/>
      <c r="E579" s="10"/>
      <c r="F579" s="10"/>
    </row>
    <row r="580">
      <c r="A580" s="10"/>
      <c r="B580" s="10"/>
      <c r="C580" s="10"/>
      <c r="D580" s="10"/>
      <c r="E580" s="10"/>
      <c r="F580" s="10"/>
    </row>
    <row r="581">
      <c r="A581" s="10"/>
      <c r="B581" s="10"/>
      <c r="C581" s="10"/>
      <c r="D581" s="10"/>
      <c r="E581" s="10"/>
      <c r="F581" s="10"/>
    </row>
    <row r="582">
      <c r="A582" s="10"/>
      <c r="B582" s="10"/>
      <c r="C582" s="10"/>
      <c r="D582" s="10"/>
      <c r="E582" s="10"/>
      <c r="F582" s="10"/>
    </row>
    <row r="583">
      <c r="A583" s="10"/>
      <c r="B583" s="10"/>
      <c r="C583" s="10"/>
      <c r="D583" s="10"/>
      <c r="E583" s="10"/>
      <c r="F583" s="10"/>
    </row>
    <row r="584">
      <c r="A584" s="10"/>
      <c r="B584" s="10"/>
      <c r="C584" s="10"/>
      <c r="D584" s="10"/>
      <c r="E584" s="10"/>
      <c r="F584" s="10"/>
    </row>
    <row r="585">
      <c r="A585" s="10"/>
      <c r="B585" s="10"/>
      <c r="C585" s="10"/>
      <c r="D585" s="10"/>
      <c r="E585" s="10"/>
      <c r="F585" s="10"/>
    </row>
    <row r="586">
      <c r="A586" s="10"/>
      <c r="B586" s="10"/>
      <c r="C586" s="10"/>
      <c r="D586" s="10"/>
      <c r="E586" s="10"/>
      <c r="F586" s="10"/>
    </row>
    <row r="587">
      <c r="A587" s="10"/>
      <c r="B587" s="10"/>
      <c r="C587" s="10"/>
      <c r="D587" s="10"/>
      <c r="E587" s="10"/>
      <c r="F587" s="10"/>
    </row>
    <row r="588">
      <c r="A588" s="10"/>
      <c r="B588" s="10"/>
      <c r="C588" s="10"/>
      <c r="D588" s="10"/>
      <c r="E588" s="10"/>
      <c r="F588" s="10"/>
    </row>
    <row r="589">
      <c r="A589" s="10"/>
      <c r="B589" s="10"/>
      <c r="C589" s="10"/>
      <c r="D589" s="10"/>
      <c r="E589" s="10"/>
      <c r="F589" s="10"/>
    </row>
    <row r="590">
      <c r="A590" s="10"/>
      <c r="B590" s="10"/>
      <c r="C590" s="10"/>
      <c r="D590" s="10"/>
      <c r="E590" s="10"/>
      <c r="F590" s="10"/>
    </row>
    <row r="591">
      <c r="A591" s="10"/>
      <c r="B591" s="10"/>
      <c r="C591" s="10"/>
      <c r="D591" s="10"/>
      <c r="E591" s="10"/>
      <c r="F591" s="10"/>
    </row>
    <row r="592">
      <c r="A592" s="10"/>
      <c r="B592" s="10"/>
      <c r="C592" s="10"/>
      <c r="D592" s="10"/>
      <c r="E592" s="10"/>
      <c r="F592" s="10"/>
    </row>
    <row r="593">
      <c r="A593" s="10"/>
      <c r="B593" s="10"/>
      <c r="C593" s="10"/>
      <c r="D593" s="10"/>
      <c r="E593" s="10"/>
      <c r="F593" s="10"/>
    </row>
    <row r="594">
      <c r="A594" s="10"/>
      <c r="B594" s="10"/>
      <c r="C594" s="10"/>
      <c r="D594" s="10"/>
      <c r="E594" s="10"/>
      <c r="F594" s="10"/>
    </row>
    <row r="595">
      <c r="A595" s="10"/>
      <c r="B595" s="10"/>
      <c r="C595" s="10"/>
      <c r="D595" s="10"/>
      <c r="E595" s="10"/>
      <c r="F595" s="10"/>
    </row>
    <row r="596">
      <c r="A596" s="10"/>
      <c r="B596" s="10"/>
      <c r="C596" s="10"/>
      <c r="D596" s="10"/>
      <c r="E596" s="10"/>
      <c r="F596" s="10"/>
    </row>
    <row r="597">
      <c r="A597" s="10"/>
      <c r="B597" s="10"/>
      <c r="C597" s="10"/>
      <c r="D597" s="10"/>
      <c r="E597" s="10"/>
      <c r="F597" s="10"/>
    </row>
    <row r="598">
      <c r="A598" s="10"/>
      <c r="B598" s="10"/>
      <c r="C598" s="10"/>
      <c r="D598" s="10"/>
      <c r="E598" s="10"/>
      <c r="F598" s="10"/>
    </row>
    <row r="599">
      <c r="A599" s="10"/>
      <c r="B599" s="10"/>
      <c r="C599" s="10"/>
      <c r="D599" s="10"/>
      <c r="E599" s="10"/>
      <c r="F599" s="10"/>
    </row>
    <row r="600">
      <c r="A600" s="10"/>
      <c r="B600" s="10"/>
      <c r="C600" s="10"/>
      <c r="D600" s="10"/>
      <c r="E600" s="10"/>
      <c r="F600" s="10"/>
    </row>
    <row r="601">
      <c r="A601" s="10"/>
      <c r="B601" s="10"/>
      <c r="C601" s="10"/>
      <c r="D601" s="10"/>
      <c r="E601" s="10"/>
      <c r="F601" s="10"/>
    </row>
    <row r="602">
      <c r="A602" s="10"/>
      <c r="B602" s="10"/>
      <c r="C602" s="10"/>
      <c r="D602" s="10"/>
      <c r="E602" s="10"/>
      <c r="F602" s="10"/>
    </row>
    <row r="603">
      <c r="A603" s="10"/>
      <c r="B603" s="10"/>
      <c r="C603" s="10"/>
      <c r="D603" s="10"/>
      <c r="E603" s="10"/>
      <c r="F603" s="10"/>
    </row>
    <row r="604">
      <c r="A604" s="10"/>
      <c r="B604" s="10"/>
      <c r="C604" s="10"/>
      <c r="D604" s="10"/>
      <c r="E604" s="10"/>
      <c r="F604" s="10"/>
    </row>
    <row r="605">
      <c r="A605" s="10"/>
      <c r="B605" s="10"/>
      <c r="C605" s="10"/>
      <c r="D605" s="10"/>
      <c r="E605" s="10"/>
      <c r="F605" s="10"/>
    </row>
    <row r="606">
      <c r="A606" s="10"/>
      <c r="B606" s="10"/>
      <c r="C606" s="10"/>
      <c r="D606" s="10"/>
      <c r="E606" s="10"/>
      <c r="F606" s="10"/>
    </row>
    <row r="607">
      <c r="A607" s="10"/>
      <c r="B607" s="10"/>
      <c r="C607" s="10"/>
      <c r="D607" s="10"/>
      <c r="E607" s="10"/>
      <c r="F607" s="10"/>
    </row>
    <row r="608">
      <c r="A608" s="10"/>
      <c r="B608" s="10"/>
      <c r="C608" s="10"/>
      <c r="D608" s="10"/>
      <c r="E608" s="10"/>
      <c r="F608" s="10"/>
    </row>
    <row r="609">
      <c r="A609" s="10"/>
      <c r="B609" s="10"/>
      <c r="C609" s="10"/>
      <c r="D609" s="10"/>
      <c r="E609" s="10"/>
      <c r="F609" s="10"/>
    </row>
    <row r="610">
      <c r="A610" s="10"/>
      <c r="B610" s="10"/>
      <c r="C610" s="10"/>
      <c r="D610" s="10"/>
      <c r="E610" s="10"/>
      <c r="F610" s="10"/>
    </row>
    <row r="611">
      <c r="A611" s="10"/>
      <c r="B611" s="10"/>
      <c r="C611" s="10"/>
      <c r="D611" s="10"/>
      <c r="E611" s="10"/>
      <c r="F611" s="10"/>
    </row>
    <row r="612">
      <c r="A612" s="10"/>
      <c r="B612" s="10"/>
      <c r="C612" s="10"/>
      <c r="D612" s="10"/>
      <c r="E612" s="10"/>
      <c r="F612" s="10"/>
    </row>
    <row r="613">
      <c r="A613" s="10"/>
      <c r="B613" s="10"/>
      <c r="C613" s="10"/>
      <c r="D613" s="10"/>
      <c r="E613" s="10"/>
      <c r="F613" s="10"/>
    </row>
    <row r="614">
      <c r="A614" s="10"/>
      <c r="B614" s="10"/>
      <c r="C614" s="10"/>
      <c r="D614" s="10"/>
      <c r="E614" s="10"/>
      <c r="F614" s="10"/>
    </row>
    <row r="615">
      <c r="A615" s="10"/>
      <c r="B615" s="10"/>
      <c r="C615" s="10"/>
      <c r="D615" s="10"/>
      <c r="E615" s="10"/>
      <c r="F615" s="10"/>
    </row>
    <row r="616">
      <c r="A616" s="10"/>
      <c r="B616" s="10"/>
      <c r="C616" s="10"/>
      <c r="D616" s="10"/>
      <c r="E616" s="10"/>
      <c r="F616" s="10"/>
    </row>
    <row r="617">
      <c r="A617" s="10"/>
      <c r="B617" s="10"/>
      <c r="C617" s="10"/>
      <c r="D617" s="10"/>
      <c r="E617" s="10"/>
      <c r="F617" s="10"/>
    </row>
    <row r="618">
      <c r="A618" s="10"/>
      <c r="B618" s="10"/>
      <c r="C618" s="10"/>
      <c r="D618" s="10"/>
      <c r="E618" s="10"/>
      <c r="F618" s="10"/>
    </row>
    <row r="619">
      <c r="A619" s="10"/>
      <c r="B619" s="10"/>
      <c r="C619" s="10"/>
      <c r="D619" s="10"/>
      <c r="E619" s="10"/>
      <c r="F619" s="10"/>
    </row>
    <row r="620">
      <c r="A620" s="10"/>
      <c r="B620" s="10"/>
      <c r="C620" s="10"/>
      <c r="D620" s="10"/>
      <c r="E620" s="10"/>
      <c r="F620" s="10"/>
    </row>
    <row r="621">
      <c r="A621" s="10"/>
      <c r="B621" s="10"/>
      <c r="C621" s="10"/>
      <c r="D621" s="10"/>
      <c r="E621" s="10"/>
      <c r="F621" s="10"/>
    </row>
    <row r="622">
      <c r="A622" s="10"/>
      <c r="B622" s="10"/>
      <c r="C622" s="10"/>
      <c r="D622" s="10"/>
      <c r="E622" s="10"/>
      <c r="F622" s="10"/>
    </row>
    <row r="623">
      <c r="A623" s="10"/>
      <c r="B623" s="10"/>
      <c r="C623" s="10"/>
      <c r="D623" s="10"/>
      <c r="E623" s="10"/>
      <c r="F623" s="10"/>
    </row>
    <row r="624">
      <c r="A624" s="10"/>
      <c r="B624" s="10"/>
      <c r="C624" s="10"/>
      <c r="D624" s="10"/>
      <c r="E624" s="10"/>
      <c r="F624" s="10"/>
    </row>
    <row r="625">
      <c r="A625" s="10"/>
      <c r="B625" s="10"/>
      <c r="C625" s="10"/>
      <c r="D625" s="10"/>
      <c r="E625" s="10"/>
      <c r="F625" s="10"/>
    </row>
    <row r="626">
      <c r="A626" s="10"/>
      <c r="B626" s="10"/>
      <c r="C626" s="10"/>
      <c r="D626" s="10"/>
      <c r="E626" s="10"/>
      <c r="F626" s="10"/>
    </row>
    <row r="627">
      <c r="A627" s="10"/>
      <c r="B627" s="10"/>
      <c r="C627" s="10"/>
      <c r="D627" s="10"/>
      <c r="E627" s="10"/>
      <c r="F627" s="10"/>
    </row>
    <row r="628">
      <c r="A628" s="10"/>
      <c r="B628" s="10"/>
      <c r="C628" s="10"/>
      <c r="D628" s="10"/>
      <c r="E628" s="10"/>
      <c r="F628" s="10"/>
    </row>
    <row r="629">
      <c r="A629" s="10"/>
      <c r="B629" s="10"/>
      <c r="C629" s="10"/>
      <c r="D629" s="10"/>
      <c r="E629" s="10"/>
      <c r="F629" s="10"/>
    </row>
    <row r="630">
      <c r="A630" s="10"/>
      <c r="B630" s="10"/>
      <c r="C630" s="10"/>
      <c r="D630" s="10"/>
      <c r="E630" s="10"/>
      <c r="F630" s="10"/>
    </row>
    <row r="631">
      <c r="A631" s="10"/>
      <c r="B631" s="10"/>
      <c r="C631" s="10"/>
      <c r="D631" s="10"/>
      <c r="E631" s="10"/>
      <c r="F631" s="10"/>
    </row>
    <row r="632">
      <c r="A632" s="10"/>
      <c r="B632" s="10"/>
      <c r="C632" s="10"/>
      <c r="D632" s="10"/>
      <c r="E632" s="10"/>
      <c r="F632" s="10"/>
    </row>
    <row r="633">
      <c r="A633" s="10"/>
      <c r="B633" s="10"/>
      <c r="C633" s="10"/>
      <c r="D633" s="10"/>
      <c r="E633" s="10"/>
      <c r="F633" s="10"/>
    </row>
    <row r="634">
      <c r="A634" s="10"/>
      <c r="B634" s="10"/>
      <c r="C634" s="10"/>
      <c r="D634" s="10"/>
      <c r="E634" s="10"/>
      <c r="F634" s="10"/>
    </row>
    <row r="635">
      <c r="A635" s="10"/>
      <c r="B635" s="10"/>
      <c r="C635" s="10"/>
      <c r="D635" s="10"/>
      <c r="E635" s="10"/>
      <c r="F635" s="10"/>
    </row>
    <row r="636">
      <c r="A636" s="10"/>
      <c r="B636" s="10"/>
      <c r="C636" s="10"/>
      <c r="D636" s="10"/>
      <c r="E636" s="10"/>
      <c r="F636" s="10"/>
    </row>
    <row r="637">
      <c r="A637" s="10"/>
      <c r="B637" s="10"/>
      <c r="C637" s="10"/>
      <c r="D637" s="10"/>
      <c r="E637" s="10"/>
      <c r="F637" s="10"/>
    </row>
    <row r="638">
      <c r="A638" s="10"/>
      <c r="B638" s="10"/>
      <c r="C638" s="10"/>
      <c r="D638" s="10"/>
      <c r="E638" s="10"/>
      <c r="F638" s="10"/>
    </row>
    <row r="639">
      <c r="A639" s="10"/>
      <c r="B639" s="10"/>
      <c r="C639" s="10"/>
      <c r="D639" s="10"/>
      <c r="E639" s="10"/>
      <c r="F639" s="10"/>
    </row>
    <row r="640">
      <c r="A640" s="10"/>
      <c r="B640" s="10"/>
      <c r="C640" s="10"/>
      <c r="D640" s="10"/>
      <c r="E640" s="10"/>
      <c r="F640" s="10"/>
    </row>
    <row r="641">
      <c r="A641" s="10"/>
      <c r="B641" s="10"/>
      <c r="C641" s="10"/>
      <c r="D641" s="10"/>
      <c r="E641" s="10"/>
      <c r="F641" s="10"/>
    </row>
    <row r="642">
      <c r="A642" s="10"/>
      <c r="B642" s="10"/>
      <c r="C642" s="10"/>
      <c r="D642" s="10"/>
      <c r="E642" s="10"/>
      <c r="F642" s="10"/>
    </row>
    <row r="643">
      <c r="A643" s="10"/>
      <c r="B643" s="10"/>
      <c r="C643" s="10"/>
      <c r="D643" s="10"/>
      <c r="E643" s="10"/>
      <c r="F643" s="10"/>
    </row>
    <row r="644">
      <c r="A644" s="10"/>
      <c r="B644" s="10"/>
      <c r="C644" s="10"/>
      <c r="D644" s="10"/>
      <c r="E644" s="10"/>
      <c r="F644" s="10"/>
    </row>
    <row r="645">
      <c r="A645" s="10"/>
      <c r="B645" s="10"/>
      <c r="C645" s="10"/>
      <c r="D645" s="10"/>
      <c r="E645" s="10"/>
      <c r="F645" s="10"/>
    </row>
    <row r="646">
      <c r="A646" s="10"/>
      <c r="B646" s="10"/>
      <c r="C646" s="10"/>
      <c r="D646" s="10"/>
      <c r="E646" s="10"/>
      <c r="F646" s="10"/>
    </row>
    <row r="647">
      <c r="A647" s="10"/>
      <c r="B647" s="10"/>
      <c r="C647" s="10"/>
      <c r="D647" s="10"/>
      <c r="E647" s="10"/>
      <c r="F647" s="10"/>
    </row>
    <row r="648">
      <c r="A648" s="10"/>
      <c r="B648" s="10"/>
      <c r="C648" s="10"/>
      <c r="D648" s="10"/>
      <c r="E648" s="10"/>
      <c r="F648" s="10"/>
    </row>
    <row r="649">
      <c r="A649" s="10"/>
      <c r="B649" s="10"/>
      <c r="C649" s="10"/>
      <c r="D649" s="10"/>
      <c r="E649" s="10"/>
      <c r="F649" s="10"/>
    </row>
    <row r="650">
      <c r="A650" s="10"/>
      <c r="B650" s="10"/>
      <c r="C650" s="10"/>
      <c r="D650" s="10"/>
      <c r="E650" s="10"/>
      <c r="F650" s="10"/>
    </row>
    <row r="651">
      <c r="A651" s="10"/>
      <c r="B651" s="10"/>
      <c r="C651" s="10"/>
      <c r="D651" s="10"/>
      <c r="E651" s="10"/>
      <c r="F651" s="10"/>
    </row>
    <row r="652">
      <c r="A652" s="10"/>
      <c r="B652" s="10"/>
      <c r="C652" s="10"/>
      <c r="D652" s="10"/>
      <c r="E652" s="10"/>
      <c r="F652" s="10"/>
    </row>
    <row r="653">
      <c r="A653" s="10"/>
      <c r="B653" s="10"/>
      <c r="C653" s="10"/>
      <c r="D653" s="10"/>
      <c r="E653" s="10"/>
      <c r="F653" s="10"/>
    </row>
    <row r="654">
      <c r="A654" s="10"/>
      <c r="B654" s="10"/>
      <c r="C654" s="10"/>
      <c r="D654" s="10"/>
      <c r="E654" s="10"/>
      <c r="F654" s="10"/>
    </row>
    <row r="655">
      <c r="A655" s="10"/>
      <c r="B655" s="10"/>
      <c r="C655" s="10"/>
      <c r="D655" s="10"/>
      <c r="E655" s="10"/>
      <c r="F655" s="10"/>
    </row>
    <row r="656">
      <c r="A656" s="10"/>
      <c r="B656" s="10"/>
      <c r="C656" s="10"/>
      <c r="D656" s="10"/>
      <c r="E656" s="10"/>
      <c r="F656" s="10"/>
    </row>
    <row r="657">
      <c r="A657" s="10"/>
      <c r="B657" s="10"/>
      <c r="C657" s="10"/>
      <c r="D657" s="10"/>
      <c r="E657" s="10"/>
      <c r="F657" s="10"/>
    </row>
    <row r="658">
      <c r="A658" s="10"/>
      <c r="B658" s="10"/>
      <c r="C658" s="10"/>
      <c r="D658" s="10"/>
      <c r="E658" s="10"/>
      <c r="F658" s="10"/>
    </row>
    <row r="659">
      <c r="A659" s="10"/>
      <c r="B659" s="10"/>
      <c r="C659" s="10"/>
      <c r="D659" s="10"/>
      <c r="E659" s="10"/>
      <c r="F659" s="10"/>
    </row>
    <row r="660">
      <c r="A660" s="10"/>
      <c r="B660" s="10"/>
      <c r="C660" s="10"/>
      <c r="D660" s="10"/>
      <c r="E660" s="10"/>
      <c r="F660" s="10"/>
    </row>
    <row r="661">
      <c r="A661" s="10"/>
      <c r="B661" s="10"/>
      <c r="C661" s="10"/>
      <c r="D661" s="10"/>
      <c r="E661" s="10"/>
      <c r="F661" s="10"/>
    </row>
    <row r="662">
      <c r="A662" s="10"/>
      <c r="B662" s="10"/>
      <c r="C662" s="10"/>
      <c r="D662" s="10"/>
      <c r="E662" s="10"/>
      <c r="F662" s="10"/>
    </row>
    <row r="663">
      <c r="A663" s="10"/>
      <c r="B663" s="10"/>
      <c r="C663" s="10"/>
      <c r="D663" s="10"/>
      <c r="E663" s="10"/>
      <c r="F663" s="10"/>
    </row>
    <row r="664">
      <c r="A664" s="10"/>
      <c r="B664" s="10"/>
      <c r="C664" s="10"/>
      <c r="D664" s="10"/>
      <c r="E664" s="10"/>
      <c r="F664" s="10"/>
    </row>
    <row r="665">
      <c r="A665" s="10"/>
      <c r="B665" s="10"/>
      <c r="C665" s="10"/>
      <c r="D665" s="10"/>
      <c r="E665" s="10"/>
      <c r="F665" s="10"/>
    </row>
    <row r="666">
      <c r="A666" s="10"/>
      <c r="B666" s="10"/>
      <c r="C666" s="10"/>
      <c r="D666" s="10"/>
      <c r="E666" s="10"/>
      <c r="F666" s="10"/>
    </row>
    <row r="667">
      <c r="A667" s="10"/>
      <c r="B667" s="10"/>
      <c r="C667" s="10"/>
      <c r="D667" s="10"/>
      <c r="E667" s="10"/>
      <c r="F667" s="10"/>
    </row>
    <row r="668">
      <c r="A668" s="10"/>
      <c r="B668" s="10"/>
      <c r="C668" s="10"/>
      <c r="D668" s="10"/>
      <c r="E668" s="10"/>
      <c r="F668" s="10"/>
    </row>
    <row r="669">
      <c r="A669" s="10"/>
      <c r="B669" s="10"/>
      <c r="C669" s="10"/>
      <c r="D669" s="10"/>
      <c r="E669" s="10"/>
      <c r="F669" s="10"/>
    </row>
    <row r="670">
      <c r="A670" s="10"/>
      <c r="B670" s="10"/>
      <c r="C670" s="10"/>
      <c r="D670" s="10"/>
      <c r="E670" s="10"/>
      <c r="F670" s="10"/>
    </row>
    <row r="671">
      <c r="A671" s="10"/>
      <c r="B671" s="10"/>
      <c r="C671" s="10"/>
      <c r="D671" s="10"/>
      <c r="E671" s="10"/>
      <c r="F671" s="10"/>
    </row>
    <row r="672">
      <c r="A672" s="10"/>
      <c r="B672" s="10"/>
      <c r="C672" s="10"/>
      <c r="D672" s="10"/>
      <c r="E672" s="10"/>
      <c r="F672" s="10"/>
    </row>
    <row r="673">
      <c r="A673" s="10"/>
      <c r="B673" s="10"/>
      <c r="C673" s="10"/>
      <c r="D673" s="10"/>
      <c r="E673" s="10"/>
      <c r="F673" s="10"/>
    </row>
    <row r="674">
      <c r="A674" s="10"/>
      <c r="B674" s="10"/>
      <c r="C674" s="10"/>
      <c r="D674" s="10"/>
      <c r="E674" s="10"/>
      <c r="F674" s="10"/>
    </row>
    <row r="675">
      <c r="A675" s="10"/>
      <c r="B675" s="10"/>
      <c r="C675" s="10"/>
      <c r="D675" s="10"/>
      <c r="E675" s="10"/>
      <c r="F675" s="10"/>
    </row>
    <row r="676">
      <c r="A676" s="10"/>
      <c r="B676" s="10"/>
      <c r="C676" s="10"/>
      <c r="D676" s="10"/>
      <c r="E676" s="10"/>
      <c r="F676" s="10"/>
    </row>
    <row r="677">
      <c r="A677" s="10"/>
      <c r="B677" s="10"/>
      <c r="C677" s="10"/>
      <c r="D677" s="10"/>
      <c r="E677" s="10"/>
      <c r="F677" s="10"/>
    </row>
    <row r="678">
      <c r="A678" s="10"/>
      <c r="B678" s="10"/>
      <c r="C678" s="10"/>
      <c r="D678" s="10"/>
      <c r="E678" s="10"/>
      <c r="F678" s="10"/>
    </row>
    <row r="679">
      <c r="A679" s="10"/>
      <c r="B679" s="10"/>
      <c r="C679" s="10"/>
      <c r="D679" s="10"/>
      <c r="E679" s="10"/>
      <c r="F679" s="10"/>
    </row>
    <row r="680">
      <c r="A680" s="10"/>
      <c r="B680" s="10"/>
      <c r="C680" s="10"/>
      <c r="D680" s="10"/>
      <c r="E680" s="10"/>
      <c r="F680" s="10"/>
    </row>
    <row r="681">
      <c r="A681" s="10"/>
      <c r="B681" s="10"/>
      <c r="C681" s="10"/>
      <c r="D681" s="10"/>
      <c r="E681" s="10"/>
      <c r="F681" s="10"/>
    </row>
    <row r="682">
      <c r="A682" s="10"/>
      <c r="B682" s="10"/>
      <c r="C682" s="10"/>
      <c r="D682" s="10"/>
      <c r="E682" s="10"/>
      <c r="F682" s="10"/>
    </row>
    <row r="683">
      <c r="A683" s="10"/>
      <c r="B683" s="10"/>
      <c r="C683" s="10"/>
      <c r="D683" s="10"/>
      <c r="E683" s="10"/>
      <c r="F683" s="10"/>
    </row>
    <row r="684">
      <c r="A684" s="10"/>
      <c r="B684" s="10"/>
      <c r="C684" s="10"/>
      <c r="D684" s="10"/>
      <c r="E684" s="10"/>
      <c r="F684" s="10"/>
    </row>
    <row r="685">
      <c r="A685" s="10"/>
      <c r="B685" s="10"/>
      <c r="C685" s="10"/>
      <c r="D685" s="10"/>
      <c r="E685" s="10"/>
      <c r="F685" s="10"/>
    </row>
    <row r="686">
      <c r="A686" s="10"/>
      <c r="B686" s="10"/>
      <c r="C686" s="10"/>
      <c r="D686" s="10"/>
      <c r="E686" s="10"/>
      <c r="F686" s="10"/>
    </row>
    <row r="687">
      <c r="A687" s="10"/>
      <c r="B687" s="10"/>
      <c r="C687" s="10"/>
      <c r="D687" s="10"/>
      <c r="E687" s="10"/>
      <c r="F687" s="10"/>
    </row>
    <row r="688">
      <c r="A688" s="10"/>
      <c r="B688" s="10"/>
      <c r="C688" s="10"/>
      <c r="D688" s="10"/>
      <c r="E688" s="10"/>
      <c r="F688" s="10"/>
    </row>
    <row r="689">
      <c r="A689" s="10"/>
      <c r="B689" s="10"/>
      <c r="C689" s="10"/>
      <c r="D689" s="10"/>
      <c r="E689" s="10"/>
      <c r="F689" s="10"/>
    </row>
    <row r="690">
      <c r="A690" s="10"/>
      <c r="B690" s="10"/>
      <c r="C690" s="10"/>
      <c r="D690" s="10"/>
      <c r="E690" s="10"/>
      <c r="F690" s="10"/>
    </row>
    <row r="691">
      <c r="A691" s="10"/>
      <c r="B691" s="10"/>
      <c r="C691" s="10"/>
      <c r="D691" s="10"/>
      <c r="E691" s="10"/>
      <c r="F691" s="10"/>
    </row>
    <row r="692">
      <c r="A692" s="10"/>
      <c r="B692" s="10"/>
      <c r="C692" s="10"/>
      <c r="D692" s="10"/>
      <c r="E692" s="10"/>
      <c r="F692" s="10"/>
    </row>
    <row r="693">
      <c r="A693" s="10"/>
      <c r="B693" s="10"/>
      <c r="C693" s="10"/>
      <c r="D693" s="10"/>
      <c r="E693" s="10"/>
      <c r="F693" s="10"/>
    </row>
    <row r="694">
      <c r="A694" s="10"/>
      <c r="B694" s="10"/>
      <c r="C694" s="10"/>
      <c r="D694" s="10"/>
      <c r="E694" s="10"/>
      <c r="F694" s="10"/>
    </row>
    <row r="695">
      <c r="A695" s="10"/>
      <c r="B695" s="10"/>
      <c r="C695" s="10"/>
      <c r="D695" s="10"/>
      <c r="E695" s="10"/>
      <c r="F695" s="10"/>
    </row>
    <row r="696">
      <c r="A696" s="10"/>
      <c r="B696" s="10"/>
      <c r="C696" s="10"/>
      <c r="D696" s="10"/>
      <c r="E696" s="10"/>
      <c r="F696" s="10"/>
    </row>
    <row r="697">
      <c r="A697" s="10"/>
      <c r="B697" s="10"/>
      <c r="C697" s="10"/>
      <c r="D697" s="10"/>
      <c r="E697" s="10"/>
      <c r="F697" s="10"/>
    </row>
    <row r="698">
      <c r="A698" s="10"/>
      <c r="B698" s="10"/>
      <c r="C698" s="10"/>
      <c r="D698" s="10"/>
      <c r="E698" s="10"/>
      <c r="F698" s="10"/>
    </row>
    <row r="699">
      <c r="A699" s="10"/>
      <c r="B699" s="10"/>
      <c r="C699" s="10"/>
      <c r="D699" s="10"/>
      <c r="E699" s="10"/>
      <c r="F699" s="10"/>
    </row>
    <row r="700">
      <c r="A700" s="10"/>
      <c r="B700" s="10"/>
      <c r="C700" s="10"/>
      <c r="D700" s="10"/>
      <c r="E700" s="10"/>
      <c r="F700" s="10"/>
    </row>
    <row r="701">
      <c r="A701" s="10"/>
      <c r="B701" s="10"/>
      <c r="C701" s="10"/>
      <c r="D701" s="10"/>
      <c r="E701" s="10"/>
      <c r="F701" s="10"/>
    </row>
    <row r="702">
      <c r="A702" s="10"/>
      <c r="B702" s="10"/>
      <c r="C702" s="10"/>
      <c r="D702" s="10"/>
      <c r="E702" s="10"/>
      <c r="F702" s="10"/>
    </row>
    <row r="703">
      <c r="A703" s="10"/>
      <c r="B703" s="10"/>
      <c r="C703" s="10"/>
      <c r="D703" s="10"/>
      <c r="E703" s="10"/>
      <c r="F703" s="10"/>
    </row>
    <row r="704">
      <c r="A704" s="10"/>
      <c r="B704" s="10"/>
      <c r="C704" s="10"/>
      <c r="D704" s="10"/>
      <c r="E704" s="10"/>
      <c r="F704" s="10"/>
    </row>
    <row r="705">
      <c r="A705" s="10"/>
      <c r="B705" s="10"/>
      <c r="C705" s="10"/>
      <c r="D705" s="10"/>
      <c r="E705" s="10"/>
      <c r="F705" s="10"/>
    </row>
    <row r="706">
      <c r="A706" s="10"/>
      <c r="B706" s="10"/>
      <c r="C706" s="10"/>
      <c r="D706" s="10"/>
      <c r="E706" s="10"/>
      <c r="F706" s="10"/>
    </row>
    <row r="707">
      <c r="A707" s="10"/>
      <c r="B707" s="10"/>
      <c r="C707" s="10"/>
      <c r="D707" s="10"/>
      <c r="E707" s="10"/>
      <c r="F707" s="10"/>
    </row>
    <row r="708">
      <c r="A708" s="10"/>
      <c r="B708" s="10"/>
      <c r="C708" s="10"/>
      <c r="D708" s="10"/>
      <c r="E708" s="10"/>
      <c r="F708" s="10"/>
    </row>
    <row r="709">
      <c r="A709" s="10"/>
      <c r="B709" s="10"/>
      <c r="C709" s="10"/>
      <c r="D709" s="10"/>
      <c r="E709" s="10"/>
      <c r="F709" s="10"/>
    </row>
    <row r="710">
      <c r="A710" s="10"/>
      <c r="B710" s="10"/>
      <c r="C710" s="10"/>
      <c r="D710" s="10"/>
      <c r="E710" s="10"/>
      <c r="F710" s="10"/>
    </row>
    <row r="711">
      <c r="A711" s="10"/>
      <c r="B711" s="10"/>
      <c r="C711" s="10"/>
      <c r="D711" s="10"/>
      <c r="E711" s="10"/>
      <c r="F711" s="10"/>
    </row>
    <row r="712">
      <c r="A712" s="10"/>
      <c r="B712" s="10"/>
      <c r="C712" s="10"/>
      <c r="D712" s="10"/>
      <c r="E712" s="10"/>
      <c r="F712" s="10"/>
    </row>
    <row r="713">
      <c r="A713" s="10"/>
      <c r="B713" s="10"/>
      <c r="C713" s="10"/>
      <c r="D713" s="10"/>
      <c r="E713" s="10"/>
      <c r="F713" s="10"/>
    </row>
    <row r="714">
      <c r="A714" s="10"/>
      <c r="B714" s="10"/>
      <c r="C714" s="10"/>
      <c r="D714" s="10"/>
      <c r="E714" s="10"/>
      <c r="F714" s="10"/>
    </row>
    <row r="715">
      <c r="A715" s="10"/>
      <c r="B715" s="10"/>
      <c r="C715" s="10"/>
      <c r="D715" s="10"/>
      <c r="E715" s="10"/>
      <c r="F715" s="10"/>
    </row>
    <row r="716">
      <c r="A716" s="10"/>
      <c r="B716" s="10"/>
      <c r="C716" s="10"/>
      <c r="D716" s="10"/>
      <c r="E716" s="10"/>
      <c r="F716" s="10"/>
    </row>
    <row r="717">
      <c r="A717" s="10"/>
      <c r="B717" s="10"/>
      <c r="C717" s="10"/>
      <c r="D717" s="10"/>
      <c r="E717" s="10"/>
      <c r="F717" s="10"/>
    </row>
    <row r="718">
      <c r="A718" s="10"/>
      <c r="B718" s="10"/>
      <c r="C718" s="10"/>
      <c r="D718" s="10"/>
      <c r="E718" s="10"/>
      <c r="F718" s="10"/>
    </row>
    <row r="719">
      <c r="A719" s="10"/>
      <c r="B719" s="10"/>
      <c r="C719" s="10"/>
      <c r="D719" s="10"/>
      <c r="E719" s="10"/>
      <c r="F719" s="10"/>
    </row>
    <row r="720">
      <c r="A720" s="10"/>
      <c r="B720" s="10"/>
      <c r="C720" s="10"/>
      <c r="D720" s="10"/>
      <c r="E720" s="10"/>
      <c r="F720" s="10"/>
    </row>
    <row r="721">
      <c r="A721" s="10"/>
      <c r="B721" s="10"/>
      <c r="C721" s="10"/>
      <c r="D721" s="10"/>
      <c r="E721" s="10"/>
      <c r="F721" s="10"/>
    </row>
    <row r="722">
      <c r="A722" s="10"/>
      <c r="B722" s="10"/>
      <c r="C722" s="10"/>
      <c r="D722" s="10"/>
      <c r="E722" s="10"/>
      <c r="F722" s="10"/>
    </row>
    <row r="723">
      <c r="A723" s="10"/>
      <c r="B723" s="10"/>
      <c r="C723" s="10"/>
      <c r="D723" s="10"/>
      <c r="E723" s="10"/>
      <c r="F723" s="10"/>
    </row>
    <row r="724">
      <c r="A724" s="10"/>
      <c r="B724" s="10"/>
      <c r="C724" s="10"/>
      <c r="D724" s="10"/>
      <c r="E724" s="10"/>
      <c r="F724" s="10"/>
    </row>
    <row r="725">
      <c r="A725" s="10"/>
      <c r="B725" s="10"/>
      <c r="C725" s="10"/>
      <c r="D725" s="10"/>
      <c r="E725" s="10"/>
      <c r="F725" s="10"/>
    </row>
    <row r="726">
      <c r="A726" s="10"/>
      <c r="B726" s="10"/>
      <c r="C726" s="10"/>
      <c r="D726" s="10"/>
      <c r="E726" s="10"/>
      <c r="F726" s="10"/>
    </row>
    <row r="727">
      <c r="A727" s="10"/>
      <c r="B727" s="10"/>
      <c r="C727" s="10"/>
      <c r="D727" s="10"/>
      <c r="E727" s="10"/>
      <c r="F727" s="10"/>
    </row>
    <row r="728">
      <c r="A728" s="10"/>
      <c r="B728" s="10"/>
      <c r="C728" s="10"/>
      <c r="D728" s="10"/>
      <c r="E728" s="10"/>
      <c r="F728" s="10"/>
    </row>
    <row r="729">
      <c r="A729" s="10"/>
      <c r="B729" s="10"/>
      <c r="C729" s="10"/>
      <c r="D729" s="10"/>
      <c r="E729" s="10"/>
      <c r="F729" s="10"/>
    </row>
    <row r="730">
      <c r="A730" s="10"/>
      <c r="B730" s="10"/>
      <c r="C730" s="10"/>
      <c r="D730" s="10"/>
      <c r="E730" s="10"/>
      <c r="F730" s="10"/>
    </row>
    <row r="731">
      <c r="A731" s="10"/>
      <c r="B731" s="10"/>
      <c r="C731" s="10"/>
      <c r="D731" s="10"/>
      <c r="E731" s="10"/>
      <c r="F731" s="10"/>
    </row>
    <row r="732">
      <c r="A732" s="10"/>
      <c r="B732" s="10"/>
      <c r="C732" s="10"/>
      <c r="D732" s="10"/>
      <c r="E732" s="10"/>
      <c r="F732" s="10"/>
    </row>
    <row r="733">
      <c r="A733" s="10"/>
      <c r="B733" s="10"/>
      <c r="C733" s="10"/>
      <c r="D733" s="10"/>
      <c r="E733" s="10"/>
      <c r="F733" s="10"/>
    </row>
    <row r="734">
      <c r="A734" s="10"/>
      <c r="B734" s="10"/>
      <c r="C734" s="10"/>
      <c r="D734" s="10"/>
      <c r="E734" s="10"/>
      <c r="F734" s="10"/>
    </row>
    <row r="735">
      <c r="A735" s="10"/>
      <c r="B735" s="10"/>
      <c r="C735" s="10"/>
      <c r="D735" s="10"/>
      <c r="E735" s="10"/>
      <c r="F735" s="10"/>
    </row>
    <row r="736">
      <c r="A736" s="10"/>
      <c r="B736" s="10"/>
      <c r="C736" s="10"/>
      <c r="D736" s="10"/>
      <c r="E736" s="10"/>
      <c r="F736" s="10"/>
    </row>
    <row r="737">
      <c r="A737" s="10"/>
      <c r="B737" s="10"/>
      <c r="C737" s="10"/>
      <c r="D737" s="10"/>
      <c r="E737" s="10"/>
      <c r="F737" s="10"/>
    </row>
    <row r="738">
      <c r="A738" s="10"/>
      <c r="B738" s="10"/>
      <c r="C738" s="10"/>
      <c r="D738" s="10"/>
      <c r="E738" s="10"/>
      <c r="F738" s="10"/>
    </row>
    <row r="739">
      <c r="A739" s="10"/>
      <c r="B739" s="10"/>
      <c r="C739" s="10"/>
      <c r="D739" s="10"/>
      <c r="E739" s="10"/>
      <c r="F739" s="10"/>
    </row>
    <row r="740">
      <c r="A740" s="10"/>
      <c r="B740" s="10"/>
      <c r="C740" s="10"/>
      <c r="D740" s="10"/>
      <c r="E740" s="10"/>
      <c r="F740" s="10"/>
    </row>
    <row r="741">
      <c r="A741" s="10"/>
      <c r="B741" s="10"/>
      <c r="C741" s="10"/>
      <c r="D741" s="10"/>
      <c r="E741" s="10"/>
      <c r="F741" s="10"/>
    </row>
    <row r="742">
      <c r="A742" s="10"/>
      <c r="B742" s="10"/>
      <c r="C742" s="10"/>
      <c r="D742" s="10"/>
      <c r="E742" s="10"/>
      <c r="F742" s="10"/>
    </row>
    <row r="743">
      <c r="A743" s="10"/>
      <c r="B743" s="10"/>
      <c r="C743" s="10"/>
      <c r="D743" s="10"/>
      <c r="E743" s="10"/>
      <c r="F743" s="10"/>
    </row>
    <row r="744">
      <c r="A744" s="10"/>
      <c r="B744" s="10"/>
      <c r="C744" s="10"/>
      <c r="D744" s="10"/>
      <c r="E744" s="10"/>
      <c r="F744" s="10"/>
    </row>
    <row r="745">
      <c r="A745" s="10"/>
      <c r="B745" s="10"/>
      <c r="C745" s="10"/>
      <c r="D745" s="10"/>
      <c r="E745" s="10"/>
      <c r="F745" s="10"/>
    </row>
    <row r="746">
      <c r="A746" s="10"/>
      <c r="B746" s="10"/>
      <c r="C746" s="10"/>
      <c r="D746" s="10"/>
      <c r="E746" s="10"/>
      <c r="F746" s="10"/>
    </row>
    <row r="747">
      <c r="A747" s="10"/>
      <c r="B747" s="10"/>
      <c r="C747" s="10"/>
      <c r="D747" s="10"/>
      <c r="E747" s="10"/>
      <c r="F747" s="10"/>
    </row>
    <row r="748">
      <c r="A748" s="10"/>
      <c r="B748" s="10"/>
      <c r="C748" s="10"/>
      <c r="D748" s="10"/>
      <c r="E748" s="10"/>
      <c r="F748" s="10"/>
    </row>
    <row r="749">
      <c r="A749" s="10"/>
      <c r="B749" s="10"/>
      <c r="C749" s="10"/>
      <c r="D749" s="10"/>
      <c r="E749" s="10"/>
      <c r="F749" s="10"/>
    </row>
    <row r="750">
      <c r="A750" s="10"/>
      <c r="B750" s="10"/>
      <c r="C750" s="10"/>
      <c r="D750" s="10"/>
      <c r="E750" s="10"/>
      <c r="F750" s="10"/>
    </row>
    <row r="751">
      <c r="A751" s="10"/>
      <c r="B751" s="10"/>
      <c r="C751" s="10"/>
      <c r="D751" s="10"/>
      <c r="E751" s="10"/>
      <c r="F751" s="10"/>
    </row>
    <row r="752">
      <c r="A752" s="10"/>
      <c r="B752" s="10"/>
      <c r="C752" s="10"/>
      <c r="D752" s="10"/>
      <c r="E752" s="10"/>
      <c r="F752" s="10"/>
    </row>
    <row r="753">
      <c r="A753" s="10"/>
      <c r="B753" s="10"/>
      <c r="C753" s="10"/>
      <c r="D753" s="10"/>
      <c r="E753" s="10"/>
      <c r="F753" s="10"/>
    </row>
    <row r="754">
      <c r="A754" s="10"/>
      <c r="B754" s="10"/>
      <c r="C754" s="10"/>
      <c r="D754" s="10"/>
      <c r="E754" s="10"/>
      <c r="F754" s="10"/>
    </row>
    <row r="755">
      <c r="A755" s="10"/>
      <c r="B755" s="10"/>
      <c r="C755" s="10"/>
      <c r="D755" s="10"/>
      <c r="E755" s="10"/>
      <c r="F755" s="10"/>
    </row>
    <row r="756">
      <c r="A756" s="10"/>
      <c r="B756" s="10"/>
      <c r="C756" s="10"/>
      <c r="D756" s="10"/>
      <c r="E756" s="10"/>
      <c r="F756" s="10"/>
    </row>
    <row r="757">
      <c r="A757" s="10"/>
      <c r="B757" s="10"/>
      <c r="C757" s="10"/>
      <c r="D757" s="10"/>
      <c r="E757" s="10"/>
      <c r="F757" s="10"/>
    </row>
    <row r="758">
      <c r="A758" s="10"/>
      <c r="B758" s="10"/>
      <c r="C758" s="10"/>
      <c r="D758" s="10"/>
      <c r="E758" s="10"/>
      <c r="F758" s="10"/>
    </row>
    <row r="759">
      <c r="A759" s="10"/>
      <c r="B759" s="10"/>
      <c r="C759" s="10"/>
      <c r="D759" s="10"/>
      <c r="E759" s="10"/>
      <c r="F759" s="10"/>
    </row>
    <row r="760">
      <c r="A760" s="10"/>
      <c r="B760" s="10"/>
      <c r="C760" s="10"/>
      <c r="D760" s="10"/>
      <c r="E760" s="10"/>
      <c r="F760" s="10"/>
    </row>
    <row r="761">
      <c r="A761" s="10"/>
      <c r="B761" s="10"/>
      <c r="C761" s="10"/>
      <c r="D761" s="10"/>
      <c r="E761" s="10"/>
      <c r="F761" s="10"/>
    </row>
    <row r="762">
      <c r="A762" s="10"/>
      <c r="B762" s="10"/>
      <c r="C762" s="10"/>
      <c r="D762" s="10"/>
      <c r="E762" s="10"/>
      <c r="F762" s="10"/>
    </row>
    <row r="763">
      <c r="A763" s="10"/>
      <c r="B763" s="10"/>
      <c r="C763" s="10"/>
      <c r="D763" s="10"/>
      <c r="E763" s="10"/>
      <c r="F763" s="10"/>
    </row>
    <row r="764">
      <c r="A764" s="10"/>
      <c r="B764" s="10"/>
      <c r="C764" s="10"/>
      <c r="D764" s="10"/>
      <c r="E764" s="10"/>
      <c r="F764" s="10"/>
    </row>
    <row r="765">
      <c r="A765" s="10"/>
      <c r="B765" s="10"/>
      <c r="C765" s="10"/>
      <c r="D765" s="10"/>
      <c r="E765" s="10"/>
      <c r="F765" s="10"/>
    </row>
    <row r="766">
      <c r="A766" s="10"/>
      <c r="B766" s="10"/>
      <c r="C766" s="10"/>
      <c r="D766" s="10"/>
      <c r="E766" s="10"/>
      <c r="F766" s="10"/>
    </row>
    <row r="767">
      <c r="A767" s="10"/>
      <c r="B767" s="10"/>
      <c r="C767" s="10"/>
      <c r="D767" s="10"/>
      <c r="E767" s="10"/>
      <c r="F767" s="10"/>
    </row>
    <row r="768">
      <c r="A768" s="10"/>
      <c r="B768" s="10"/>
      <c r="C768" s="10"/>
      <c r="D768" s="10"/>
      <c r="E768" s="10"/>
      <c r="F768" s="10"/>
    </row>
    <row r="769">
      <c r="A769" s="10"/>
      <c r="B769" s="10"/>
      <c r="C769" s="10"/>
      <c r="D769" s="10"/>
      <c r="E769" s="10"/>
      <c r="F769" s="10"/>
    </row>
    <row r="770">
      <c r="A770" s="10"/>
      <c r="B770" s="10"/>
      <c r="C770" s="10"/>
      <c r="D770" s="10"/>
      <c r="E770" s="10"/>
      <c r="F770" s="10"/>
    </row>
    <row r="771">
      <c r="A771" s="10"/>
      <c r="B771" s="10"/>
      <c r="C771" s="10"/>
      <c r="D771" s="10"/>
      <c r="E771" s="10"/>
      <c r="F771" s="10"/>
    </row>
    <row r="772">
      <c r="A772" s="10"/>
      <c r="B772" s="10"/>
      <c r="C772" s="10"/>
      <c r="D772" s="10"/>
      <c r="E772" s="10"/>
      <c r="F772" s="10"/>
    </row>
    <row r="773">
      <c r="A773" s="10"/>
      <c r="B773" s="10"/>
      <c r="C773" s="10"/>
      <c r="D773" s="10"/>
      <c r="E773" s="10"/>
      <c r="F773" s="10"/>
    </row>
    <row r="774">
      <c r="A774" s="10"/>
      <c r="B774" s="10"/>
      <c r="C774" s="10"/>
      <c r="D774" s="10"/>
      <c r="E774" s="10"/>
      <c r="F774" s="10"/>
    </row>
    <row r="775">
      <c r="A775" s="10"/>
      <c r="B775" s="10"/>
      <c r="C775" s="10"/>
      <c r="D775" s="10"/>
      <c r="E775" s="10"/>
      <c r="F775" s="10"/>
    </row>
    <row r="776">
      <c r="A776" s="10"/>
      <c r="B776" s="10"/>
      <c r="C776" s="10"/>
      <c r="D776" s="10"/>
      <c r="E776" s="10"/>
      <c r="F776" s="10"/>
    </row>
    <row r="777">
      <c r="A777" s="10"/>
      <c r="B777" s="10"/>
      <c r="C777" s="10"/>
      <c r="D777" s="10"/>
      <c r="E777" s="10"/>
      <c r="F777" s="10"/>
    </row>
    <row r="778">
      <c r="A778" s="10"/>
      <c r="B778" s="10"/>
      <c r="C778" s="10"/>
      <c r="D778" s="10"/>
      <c r="E778" s="10"/>
      <c r="F778" s="10"/>
    </row>
    <row r="779">
      <c r="A779" s="10"/>
      <c r="B779" s="10"/>
      <c r="C779" s="10"/>
      <c r="D779" s="10"/>
      <c r="E779" s="10"/>
      <c r="F779" s="10"/>
    </row>
    <row r="780">
      <c r="A780" s="10"/>
      <c r="B780" s="10"/>
      <c r="C780" s="10"/>
      <c r="D780" s="10"/>
      <c r="E780" s="10"/>
      <c r="F780" s="10"/>
    </row>
    <row r="781">
      <c r="A781" s="10"/>
      <c r="B781" s="10"/>
      <c r="C781" s="10"/>
      <c r="D781" s="10"/>
      <c r="E781" s="10"/>
      <c r="F781" s="10"/>
    </row>
    <row r="782">
      <c r="A782" s="10"/>
      <c r="B782" s="10"/>
      <c r="C782" s="10"/>
      <c r="D782" s="10"/>
      <c r="E782" s="10"/>
      <c r="F782" s="10"/>
    </row>
    <row r="783">
      <c r="A783" s="10"/>
      <c r="B783" s="10"/>
      <c r="C783" s="10"/>
      <c r="D783" s="10"/>
      <c r="E783" s="10"/>
      <c r="F783" s="10"/>
    </row>
    <row r="784">
      <c r="A784" s="10"/>
      <c r="B784" s="10"/>
      <c r="C784" s="10"/>
      <c r="D784" s="10"/>
      <c r="E784" s="10"/>
      <c r="F784" s="10"/>
    </row>
    <row r="785">
      <c r="A785" s="10"/>
      <c r="B785" s="10"/>
      <c r="C785" s="10"/>
      <c r="D785" s="10"/>
      <c r="E785" s="10"/>
      <c r="F785" s="10"/>
    </row>
    <row r="786">
      <c r="A786" s="10"/>
      <c r="B786" s="10"/>
      <c r="C786" s="10"/>
      <c r="D786" s="10"/>
      <c r="E786" s="10"/>
      <c r="F786" s="10"/>
    </row>
    <row r="787">
      <c r="A787" s="10"/>
      <c r="B787" s="10"/>
      <c r="C787" s="10"/>
      <c r="D787" s="10"/>
      <c r="E787" s="10"/>
      <c r="F787" s="10"/>
    </row>
    <row r="788">
      <c r="A788" s="10"/>
      <c r="B788" s="10"/>
      <c r="C788" s="10"/>
      <c r="D788" s="10"/>
      <c r="E788" s="10"/>
      <c r="F788" s="10"/>
    </row>
    <row r="789">
      <c r="A789" s="10"/>
      <c r="B789" s="10"/>
      <c r="C789" s="10"/>
      <c r="D789" s="10"/>
      <c r="E789" s="10"/>
      <c r="F789" s="10"/>
    </row>
    <row r="790">
      <c r="A790" s="10"/>
      <c r="B790" s="10"/>
      <c r="C790" s="10"/>
      <c r="D790" s="10"/>
      <c r="E790" s="10"/>
      <c r="F790" s="10"/>
    </row>
    <row r="791">
      <c r="A791" s="10"/>
      <c r="B791" s="10"/>
      <c r="C791" s="10"/>
      <c r="D791" s="10"/>
      <c r="E791" s="10"/>
      <c r="F791" s="10"/>
    </row>
    <row r="792">
      <c r="A792" s="10"/>
      <c r="B792" s="10"/>
      <c r="C792" s="10"/>
      <c r="D792" s="10"/>
      <c r="E792" s="10"/>
      <c r="F792" s="10"/>
    </row>
    <row r="793">
      <c r="A793" s="10"/>
      <c r="B793" s="10"/>
      <c r="C793" s="10"/>
      <c r="D793" s="10"/>
      <c r="E793" s="10"/>
      <c r="F793" s="10"/>
    </row>
    <row r="794">
      <c r="A794" s="10"/>
      <c r="B794" s="10"/>
      <c r="C794" s="10"/>
      <c r="D794" s="10"/>
      <c r="E794" s="10"/>
      <c r="F794" s="10"/>
    </row>
    <row r="795">
      <c r="A795" s="10"/>
      <c r="B795" s="10"/>
      <c r="C795" s="10"/>
      <c r="D795" s="10"/>
      <c r="E795" s="10"/>
      <c r="F795" s="10"/>
    </row>
    <row r="796">
      <c r="A796" s="10"/>
      <c r="B796" s="10"/>
      <c r="C796" s="10"/>
      <c r="D796" s="10"/>
      <c r="E796" s="10"/>
      <c r="F796" s="10"/>
    </row>
    <row r="797">
      <c r="A797" s="10"/>
      <c r="B797" s="10"/>
      <c r="C797" s="10"/>
      <c r="D797" s="10"/>
      <c r="E797" s="10"/>
      <c r="F797" s="10"/>
    </row>
    <row r="798">
      <c r="A798" s="10"/>
      <c r="B798" s="10"/>
      <c r="C798" s="10"/>
      <c r="D798" s="10"/>
      <c r="E798" s="10"/>
      <c r="F798" s="10"/>
    </row>
    <row r="799">
      <c r="A799" s="10"/>
      <c r="B799" s="10"/>
      <c r="C799" s="10"/>
      <c r="D799" s="10"/>
      <c r="E799" s="10"/>
      <c r="F799" s="10"/>
    </row>
    <row r="800">
      <c r="A800" s="10"/>
      <c r="B800" s="10"/>
      <c r="C800" s="10"/>
      <c r="D800" s="10"/>
      <c r="E800" s="10"/>
      <c r="F800" s="10"/>
    </row>
    <row r="801">
      <c r="A801" s="10"/>
      <c r="B801" s="10"/>
      <c r="C801" s="10"/>
      <c r="D801" s="10"/>
      <c r="E801" s="10"/>
      <c r="F801" s="10"/>
    </row>
    <row r="802">
      <c r="A802" s="10"/>
      <c r="B802" s="10"/>
      <c r="C802" s="10"/>
      <c r="D802" s="10"/>
      <c r="E802" s="10"/>
      <c r="F802" s="10"/>
    </row>
    <row r="803">
      <c r="A803" s="10"/>
      <c r="B803" s="10"/>
      <c r="C803" s="10"/>
      <c r="D803" s="10"/>
      <c r="E803" s="10"/>
      <c r="F803" s="10"/>
    </row>
    <row r="804">
      <c r="A804" s="10"/>
      <c r="B804" s="10"/>
      <c r="C804" s="10"/>
      <c r="D804" s="10"/>
      <c r="E804" s="10"/>
      <c r="F804" s="10"/>
    </row>
    <row r="805">
      <c r="A805" s="10"/>
      <c r="B805" s="10"/>
      <c r="C805" s="10"/>
      <c r="D805" s="10"/>
      <c r="E805" s="10"/>
      <c r="F805" s="10"/>
    </row>
    <row r="806">
      <c r="A806" s="10"/>
      <c r="B806" s="10"/>
      <c r="C806" s="10"/>
      <c r="D806" s="10"/>
      <c r="E806" s="10"/>
      <c r="F806" s="10"/>
    </row>
    <row r="807">
      <c r="A807" s="10"/>
      <c r="B807" s="10"/>
      <c r="C807" s="10"/>
      <c r="D807" s="10"/>
      <c r="E807" s="10"/>
      <c r="F807" s="10"/>
    </row>
    <row r="808">
      <c r="A808" s="10"/>
      <c r="B808" s="10"/>
      <c r="C808" s="10"/>
      <c r="D808" s="10"/>
      <c r="E808" s="10"/>
      <c r="F808" s="10"/>
    </row>
    <row r="809">
      <c r="A809" s="10"/>
      <c r="B809" s="10"/>
      <c r="C809" s="10"/>
      <c r="D809" s="10"/>
      <c r="E809" s="10"/>
      <c r="F809" s="10"/>
    </row>
    <row r="810">
      <c r="A810" s="10"/>
      <c r="B810" s="10"/>
      <c r="C810" s="10"/>
      <c r="D810" s="10"/>
      <c r="E810" s="10"/>
      <c r="F810" s="10"/>
    </row>
    <row r="811">
      <c r="A811" s="10"/>
      <c r="B811" s="10"/>
      <c r="C811" s="10"/>
      <c r="D811" s="10"/>
      <c r="E811" s="10"/>
      <c r="F811" s="10"/>
    </row>
    <row r="812">
      <c r="A812" s="10"/>
      <c r="B812" s="10"/>
      <c r="C812" s="10"/>
      <c r="D812" s="10"/>
      <c r="E812" s="10"/>
      <c r="F812" s="10"/>
    </row>
    <row r="813">
      <c r="A813" s="10"/>
      <c r="B813" s="10"/>
      <c r="C813" s="10"/>
      <c r="D813" s="10"/>
      <c r="E813" s="10"/>
      <c r="F813" s="10"/>
    </row>
    <row r="814">
      <c r="A814" s="10"/>
      <c r="B814" s="10"/>
      <c r="C814" s="10"/>
      <c r="D814" s="10"/>
      <c r="E814" s="10"/>
      <c r="F814" s="10"/>
    </row>
    <row r="815">
      <c r="A815" s="10"/>
      <c r="B815" s="10"/>
      <c r="C815" s="10"/>
      <c r="D815" s="10"/>
      <c r="E815" s="10"/>
      <c r="F815" s="10"/>
    </row>
    <row r="816">
      <c r="A816" s="10"/>
      <c r="B816" s="10"/>
      <c r="C816" s="10"/>
      <c r="D816" s="10"/>
      <c r="E816" s="10"/>
      <c r="F816" s="10"/>
    </row>
    <row r="817">
      <c r="A817" s="10"/>
      <c r="B817" s="10"/>
      <c r="C817" s="10"/>
      <c r="D817" s="10"/>
      <c r="E817" s="10"/>
      <c r="F817" s="10"/>
    </row>
    <row r="818">
      <c r="A818" s="10"/>
      <c r="B818" s="10"/>
      <c r="C818" s="10"/>
      <c r="D818" s="10"/>
      <c r="E818" s="10"/>
      <c r="F818" s="10"/>
    </row>
    <row r="819">
      <c r="A819" s="10"/>
      <c r="B819" s="10"/>
      <c r="C819" s="10"/>
      <c r="D819" s="10"/>
      <c r="E819" s="10"/>
      <c r="F819" s="10"/>
    </row>
    <row r="820">
      <c r="A820" s="10"/>
      <c r="B820" s="10"/>
      <c r="C820" s="10"/>
      <c r="D820" s="10"/>
      <c r="E820" s="10"/>
      <c r="F820" s="10"/>
    </row>
    <row r="821">
      <c r="A821" s="10"/>
      <c r="B821" s="10"/>
      <c r="C821" s="10"/>
      <c r="D821" s="10"/>
      <c r="E821" s="10"/>
      <c r="F821" s="10"/>
    </row>
    <row r="822">
      <c r="A822" s="10"/>
      <c r="B822" s="10"/>
      <c r="C822" s="10"/>
      <c r="D822" s="10"/>
      <c r="E822" s="10"/>
      <c r="F822" s="10"/>
    </row>
    <row r="823">
      <c r="A823" s="10"/>
      <c r="B823" s="10"/>
      <c r="C823" s="10"/>
      <c r="D823" s="10"/>
      <c r="E823" s="10"/>
      <c r="F823" s="10"/>
    </row>
    <row r="824">
      <c r="A824" s="10"/>
      <c r="B824" s="10"/>
      <c r="C824" s="10"/>
      <c r="D824" s="10"/>
      <c r="E824" s="10"/>
      <c r="F824" s="10"/>
    </row>
    <row r="825">
      <c r="A825" s="10"/>
      <c r="B825" s="10"/>
      <c r="C825" s="10"/>
      <c r="D825" s="10"/>
      <c r="E825" s="10"/>
      <c r="F825" s="10"/>
    </row>
    <row r="826">
      <c r="A826" s="10"/>
      <c r="B826" s="10"/>
      <c r="C826" s="10"/>
      <c r="D826" s="10"/>
      <c r="E826" s="10"/>
      <c r="F826" s="10"/>
    </row>
    <row r="827">
      <c r="A827" s="10"/>
      <c r="B827" s="10"/>
      <c r="C827" s="10"/>
      <c r="D827" s="10"/>
      <c r="E827" s="10"/>
      <c r="F827" s="10"/>
    </row>
    <row r="828">
      <c r="A828" s="10"/>
      <c r="B828" s="10"/>
      <c r="C828" s="10"/>
      <c r="D828" s="10"/>
      <c r="E828" s="10"/>
      <c r="F828" s="10"/>
    </row>
    <row r="829">
      <c r="A829" s="10"/>
      <c r="B829" s="10"/>
      <c r="C829" s="10"/>
      <c r="D829" s="10"/>
      <c r="E829" s="10"/>
      <c r="F829" s="10"/>
    </row>
    <row r="830">
      <c r="A830" s="10"/>
      <c r="B830" s="10"/>
      <c r="C830" s="10"/>
      <c r="D830" s="10"/>
      <c r="E830" s="10"/>
      <c r="F830" s="10"/>
    </row>
    <row r="831">
      <c r="A831" s="10"/>
      <c r="B831" s="10"/>
      <c r="C831" s="10"/>
      <c r="D831" s="10"/>
      <c r="E831" s="10"/>
      <c r="F831" s="10"/>
    </row>
    <row r="832">
      <c r="A832" s="10"/>
      <c r="B832" s="10"/>
      <c r="C832" s="10"/>
      <c r="D832" s="10"/>
      <c r="E832" s="10"/>
      <c r="F832" s="10"/>
    </row>
    <row r="833">
      <c r="A833" s="10"/>
      <c r="B833" s="10"/>
      <c r="C833" s="10"/>
      <c r="D833" s="10"/>
      <c r="E833" s="10"/>
      <c r="F833" s="10"/>
    </row>
    <row r="834">
      <c r="A834" s="10"/>
      <c r="B834" s="10"/>
      <c r="C834" s="10"/>
      <c r="D834" s="10"/>
      <c r="E834" s="10"/>
      <c r="F834" s="10"/>
    </row>
    <row r="835">
      <c r="A835" s="10"/>
      <c r="B835" s="10"/>
      <c r="C835" s="10"/>
      <c r="D835" s="10"/>
      <c r="E835" s="10"/>
      <c r="F835" s="10"/>
    </row>
    <row r="836">
      <c r="A836" s="10"/>
      <c r="B836" s="10"/>
      <c r="C836" s="10"/>
      <c r="D836" s="10"/>
      <c r="E836" s="10"/>
      <c r="F836" s="10"/>
    </row>
    <row r="837">
      <c r="A837" s="10"/>
      <c r="B837" s="10"/>
      <c r="C837" s="10"/>
      <c r="D837" s="10"/>
      <c r="E837" s="10"/>
      <c r="F837" s="10"/>
    </row>
    <row r="838">
      <c r="A838" s="10"/>
      <c r="B838" s="10"/>
      <c r="C838" s="10"/>
      <c r="D838" s="10"/>
      <c r="E838" s="10"/>
      <c r="F838" s="10"/>
    </row>
    <row r="839">
      <c r="A839" s="10"/>
      <c r="B839" s="10"/>
      <c r="C839" s="10"/>
      <c r="D839" s="10"/>
      <c r="E839" s="10"/>
      <c r="F839" s="10"/>
    </row>
    <row r="840">
      <c r="A840" s="10"/>
      <c r="B840" s="10"/>
      <c r="C840" s="10"/>
      <c r="D840" s="10"/>
      <c r="E840" s="10"/>
      <c r="F840" s="10"/>
    </row>
    <row r="841">
      <c r="A841" s="10"/>
      <c r="B841" s="10"/>
      <c r="C841" s="10"/>
      <c r="D841" s="10"/>
      <c r="E841" s="10"/>
      <c r="F841" s="10"/>
    </row>
    <row r="842">
      <c r="A842" s="10"/>
      <c r="B842" s="10"/>
      <c r="C842" s="10"/>
      <c r="D842" s="10"/>
      <c r="E842" s="10"/>
      <c r="F842" s="10"/>
    </row>
    <row r="843">
      <c r="A843" s="10"/>
      <c r="B843" s="10"/>
      <c r="C843" s="10"/>
      <c r="D843" s="10"/>
      <c r="E843" s="10"/>
      <c r="F843" s="10"/>
    </row>
    <row r="844">
      <c r="A844" s="10"/>
      <c r="B844" s="10"/>
      <c r="C844" s="10"/>
      <c r="D844" s="10"/>
      <c r="E844" s="10"/>
      <c r="F844" s="10"/>
    </row>
    <row r="845">
      <c r="A845" s="10"/>
      <c r="B845" s="10"/>
      <c r="C845" s="10"/>
      <c r="D845" s="10"/>
      <c r="E845" s="10"/>
      <c r="F845" s="10"/>
    </row>
    <row r="846">
      <c r="A846" s="10"/>
      <c r="B846" s="10"/>
      <c r="C846" s="10"/>
      <c r="D846" s="10"/>
      <c r="E846" s="10"/>
      <c r="F846" s="10"/>
    </row>
    <row r="847">
      <c r="A847" s="10"/>
      <c r="B847" s="10"/>
      <c r="C847" s="10"/>
      <c r="D847" s="10"/>
      <c r="E847" s="10"/>
      <c r="F847" s="10"/>
    </row>
    <row r="848">
      <c r="A848" s="10"/>
      <c r="B848" s="10"/>
      <c r="C848" s="10"/>
      <c r="D848" s="10"/>
      <c r="E848" s="10"/>
      <c r="F848" s="10"/>
    </row>
    <row r="849">
      <c r="A849" s="10"/>
      <c r="B849" s="10"/>
      <c r="C849" s="10"/>
      <c r="D849" s="10"/>
      <c r="E849" s="10"/>
      <c r="F849" s="10"/>
    </row>
    <row r="850">
      <c r="A850" s="10"/>
      <c r="B850" s="10"/>
      <c r="C850" s="10"/>
      <c r="D850" s="10"/>
      <c r="E850" s="10"/>
      <c r="F850" s="10"/>
    </row>
    <row r="851">
      <c r="A851" s="10"/>
      <c r="B851" s="10"/>
      <c r="C851" s="10"/>
      <c r="D851" s="10"/>
      <c r="E851" s="10"/>
      <c r="F851" s="10"/>
    </row>
    <row r="852">
      <c r="A852" s="10"/>
      <c r="B852" s="10"/>
      <c r="C852" s="10"/>
      <c r="D852" s="10"/>
      <c r="E852" s="10"/>
      <c r="F852" s="10"/>
    </row>
    <row r="853">
      <c r="A853" s="10"/>
      <c r="B853" s="10"/>
      <c r="C853" s="10"/>
      <c r="D853" s="10"/>
      <c r="E853" s="10"/>
      <c r="F853" s="10"/>
    </row>
    <row r="854">
      <c r="A854" s="10"/>
      <c r="B854" s="10"/>
      <c r="C854" s="10"/>
      <c r="D854" s="10"/>
      <c r="E854" s="10"/>
      <c r="F854" s="10"/>
    </row>
    <row r="855">
      <c r="A855" s="10"/>
      <c r="B855" s="10"/>
      <c r="C855" s="10"/>
      <c r="D855" s="10"/>
      <c r="E855" s="10"/>
      <c r="F855" s="10"/>
    </row>
    <row r="856">
      <c r="A856" s="10"/>
      <c r="B856" s="10"/>
      <c r="C856" s="10"/>
      <c r="D856" s="10"/>
      <c r="E856" s="10"/>
      <c r="F856" s="10"/>
    </row>
    <row r="857">
      <c r="A857" s="10"/>
      <c r="B857" s="10"/>
      <c r="C857" s="10"/>
      <c r="D857" s="10"/>
      <c r="E857" s="10"/>
      <c r="F857" s="10"/>
    </row>
    <row r="858">
      <c r="A858" s="10"/>
      <c r="B858" s="10"/>
      <c r="C858" s="10"/>
      <c r="D858" s="10"/>
      <c r="E858" s="10"/>
      <c r="F858" s="10"/>
    </row>
    <row r="859">
      <c r="A859" s="10"/>
      <c r="B859" s="10"/>
      <c r="C859" s="10"/>
      <c r="D859" s="10"/>
      <c r="E859" s="10"/>
      <c r="F859" s="10"/>
    </row>
    <row r="860">
      <c r="A860" s="10"/>
      <c r="B860" s="10"/>
      <c r="C860" s="10"/>
      <c r="D860" s="10"/>
      <c r="E860" s="10"/>
      <c r="F860" s="10"/>
    </row>
    <row r="861">
      <c r="A861" s="10"/>
      <c r="B861" s="10"/>
      <c r="C861" s="10"/>
      <c r="D861" s="10"/>
      <c r="E861" s="10"/>
      <c r="F861" s="10"/>
    </row>
    <row r="862">
      <c r="A862" s="10"/>
      <c r="B862" s="10"/>
      <c r="C862" s="10"/>
      <c r="D862" s="10"/>
      <c r="E862" s="10"/>
      <c r="F862" s="10"/>
    </row>
    <row r="863">
      <c r="A863" s="10"/>
      <c r="B863" s="10"/>
      <c r="C863" s="10"/>
      <c r="D863" s="10"/>
      <c r="E863" s="10"/>
      <c r="F863" s="10"/>
    </row>
    <row r="864">
      <c r="A864" s="10"/>
      <c r="B864" s="10"/>
      <c r="C864" s="10"/>
      <c r="D864" s="10"/>
      <c r="E864" s="10"/>
      <c r="F864" s="10"/>
    </row>
    <row r="865">
      <c r="A865" s="10"/>
      <c r="B865" s="10"/>
      <c r="C865" s="10"/>
      <c r="D865" s="10"/>
      <c r="E865" s="10"/>
      <c r="F865" s="10"/>
    </row>
    <row r="866">
      <c r="A866" s="10"/>
      <c r="B866" s="10"/>
      <c r="C866" s="10"/>
      <c r="D866" s="10"/>
      <c r="E866" s="10"/>
      <c r="F866" s="10"/>
    </row>
    <row r="867">
      <c r="A867" s="10"/>
      <c r="B867" s="10"/>
      <c r="C867" s="10"/>
      <c r="D867" s="10"/>
      <c r="E867" s="10"/>
      <c r="F867" s="10"/>
    </row>
    <row r="868">
      <c r="A868" s="10"/>
      <c r="B868" s="10"/>
      <c r="C868" s="10"/>
      <c r="D868" s="10"/>
      <c r="E868" s="10"/>
      <c r="F868" s="10"/>
    </row>
    <row r="869">
      <c r="A869" s="10"/>
      <c r="B869" s="10"/>
      <c r="C869" s="10"/>
      <c r="D869" s="10"/>
      <c r="E869" s="10"/>
      <c r="F869" s="10"/>
    </row>
    <row r="870">
      <c r="A870" s="10"/>
      <c r="B870" s="10"/>
      <c r="C870" s="10"/>
      <c r="D870" s="10"/>
      <c r="E870" s="10"/>
      <c r="F870" s="10"/>
    </row>
    <row r="871">
      <c r="A871" s="10"/>
      <c r="B871" s="10"/>
      <c r="C871" s="10"/>
      <c r="D871" s="10"/>
      <c r="E871" s="10"/>
      <c r="F871" s="10"/>
    </row>
    <row r="872">
      <c r="A872" s="10"/>
      <c r="B872" s="10"/>
      <c r="C872" s="10"/>
      <c r="D872" s="10"/>
      <c r="E872" s="10"/>
      <c r="F872" s="10"/>
    </row>
    <row r="873">
      <c r="A873" s="10"/>
      <c r="B873" s="10"/>
      <c r="C873" s="10"/>
      <c r="D873" s="10"/>
      <c r="E873" s="10"/>
      <c r="F873" s="10"/>
    </row>
    <row r="874">
      <c r="A874" s="10"/>
      <c r="B874" s="10"/>
      <c r="C874" s="10"/>
      <c r="D874" s="10"/>
      <c r="E874" s="10"/>
      <c r="F874" s="10"/>
    </row>
    <row r="875">
      <c r="A875" s="10"/>
      <c r="B875" s="10"/>
      <c r="C875" s="10"/>
      <c r="D875" s="10"/>
      <c r="E875" s="10"/>
      <c r="F875" s="10"/>
    </row>
    <row r="876">
      <c r="A876" s="10"/>
      <c r="B876" s="10"/>
      <c r="C876" s="10"/>
      <c r="D876" s="10"/>
      <c r="E876" s="10"/>
      <c r="F876" s="10"/>
    </row>
    <row r="877">
      <c r="A877" s="10"/>
      <c r="B877" s="10"/>
      <c r="C877" s="10"/>
      <c r="D877" s="10"/>
      <c r="E877" s="10"/>
      <c r="F877" s="10"/>
    </row>
    <row r="878">
      <c r="A878" s="10"/>
      <c r="B878" s="10"/>
      <c r="C878" s="10"/>
      <c r="D878" s="10"/>
      <c r="E878" s="10"/>
      <c r="F878" s="10"/>
    </row>
    <row r="879">
      <c r="A879" s="10"/>
      <c r="B879" s="10"/>
      <c r="C879" s="10"/>
      <c r="D879" s="10"/>
      <c r="E879" s="10"/>
      <c r="F879" s="10"/>
    </row>
    <row r="880">
      <c r="A880" s="10"/>
      <c r="B880" s="10"/>
      <c r="C880" s="10"/>
      <c r="D880" s="10"/>
      <c r="E880" s="10"/>
      <c r="F880" s="10"/>
    </row>
    <row r="881">
      <c r="A881" s="10"/>
      <c r="B881" s="10"/>
      <c r="C881" s="10"/>
      <c r="D881" s="10"/>
      <c r="E881" s="10"/>
      <c r="F881" s="10"/>
    </row>
    <row r="882">
      <c r="A882" s="10"/>
      <c r="B882" s="10"/>
      <c r="C882" s="10"/>
      <c r="D882" s="10"/>
      <c r="E882" s="10"/>
      <c r="F882" s="10"/>
    </row>
    <row r="883">
      <c r="A883" s="10"/>
      <c r="B883" s="10"/>
      <c r="C883" s="10"/>
      <c r="D883" s="10"/>
      <c r="E883" s="10"/>
      <c r="F883" s="10"/>
    </row>
    <row r="884">
      <c r="A884" s="10"/>
      <c r="B884" s="10"/>
      <c r="C884" s="10"/>
      <c r="D884" s="10"/>
      <c r="E884" s="10"/>
      <c r="F884" s="10"/>
    </row>
    <row r="885">
      <c r="A885" s="10"/>
      <c r="B885" s="10"/>
      <c r="C885" s="10"/>
      <c r="D885" s="10"/>
      <c r="E885" s="10"/>
      <c r="F885" s="10"/>
    </row>
    <row r="886">
      <c r="A886" s="10"/>
      <c r="B886" s="10"/>
      <c r="C886" s="10"/>
      <c r="D886" s="10"/>
      <c r="E886" s="10"/>
      <c r="F886" s="10"/>
    </row>
    <row r="887">
      <c r="A887" s="10"/>
      <c r="B887" s="10"/>
      <c r="C887" s="10"/>
      <c r="D887" s="10"/>
      <c r="E887" s="10"/>
      <c r="F887" s="10"/>
    </row>
    <row r="888">
      <c r="A888" s="10"/>
      <c r="B888" s="10"/>
      <c r="C888" s="10"/>
      <c r="D888" s="10"/>
      <c r="E888" s="10"/>
      <c r="F888" s="10"/>
    </row>
    <row r="889">
      <c r="A889" s="10"/>
      <c r="B889" s="10"/>
      <c r="C889" s="10"/>
      <c r="D889" s="10"/>
      <c r="E889" s="10"/>
      <c r="F889" s="10"/>
    </row>
    <row r="890">
      <c r="A890" s="10"/>
      <c r="B890" s="10"/>
      <c r="C890" s="10"/>
      <c r="D890" s="10"/>
      <c r="E890" s="10"/>
      <c r="F890" s="10"/>
    </row>
    <row r="891">
      <c r="A891" s="10"/>
      <c r="B891" s="10"/>
      <c r="C891" s="10"/>
      <c r="D891" s="10"/>
      <c r="E891" s="10"/>
      <c r="F891" s="10"/>
    </row>
    <row r="892">
      <c r="A892" s="10"/>
      <c r="B892" s="10"/>
      <c r="C892" s="10"/>
      <c r="D892" s="10"/>
      <c r="E892" s="10"/>
      <c r="F892" s="10"/>
    </row>
    <row r="893">
      <c r="A893" s="10"/>
      <c r="B893" s="10"/>
      <c r="C893" s="10"/>
      <c r="D893" s="10"/>
      <c r="E893" s="10"/>
      <c r="F893" s="10"/>
    </row>
    <row r="894">
      <c r="A894" s="10"/>
      <c r="B894" s="10"/>
      <c r="C894" s="10"/>
      <c r="D894" s="10"/>
      <c r="E894" s="10"/>
      <c r="F894" s="10"/>
    </row>
    <row r="895">
      <c r="A895" s="10"/>
      <c r="B895" s="10"/>
      <c r="C895" s="10"/>
      <c r="D895" s="10"/>
      <c r="E895" s="10"/>
      <c r="F895" s="10"/>
    </row>
    <row r="896">
      <c r="A896" s="10"/>
      <c r="B896" s="10"/>
      <c r="C896" s="10"/>
      <c r="D896" s="10"/>
      <c r="E896" s="10"/>
      <c r="F896" s="10"/>
    </row>
    <row r="897">
      <c r="A897" s="10"/>
      <c r="B897" s="10"/>
      <c r="C897" s="10"/>
      <c r="D897" s="10"/>
      <c r="E897" s="10"/>
      <c r="F897" s="10"/>
    </row>
    <row r="898">
      <c r="A898" s="10"/>
      <c r="B898" s="10"/>
      <c r="C898" s="10"/>
      <c r="D898" s="10"/>
      <c r="E898" s="10"/>
      <c r="F898" s="10"/>
    </row>
    <row r="899">
      <c r="A899" s="10"/>
      <c r="B899" s="10"/>
      <c r="C899" s="10"/>
      <c r="D899" s="10"/>
      <c r="E899" s="10"/>
      <c r="F899" s="10"/>
    </row>
    <row r="900">
      <c r="A900" s="10"/>
      <c r="B900" s="10"/>
      <c r="C900" s="10"/>
      <c r="D900" s="10"/>
      <c r="E900" s="10"/>
      <c r="F900" s="10"/>
    </row>
    <row r="901">
      <c r="A901" s="10"/>
      <c r="B901" s="10"/>
      <c r="C901" s="10"/>
      <c r="D901" s="10"/>
      <c r="E901" s="10"/>
      <c r="F901" s="10"/>
    </row>
    <row r="902">
      <c r="A902" s="10"/>
      <c r="B902" s="10"/>
      <c r="C902" s="10"/>
      <c r="D902" s="10"/>
      <c r="E902" s="10"/>
      <c r="F902" s="10"/>
    </row>
    <row r="903">
      <c r="A903" s="10"/>
      <c r="B903" s="10"/>
      <c r="C903" s="10"/>
      <c r="D903" s="10"/>
      <c r="E903" s="10"/>
      <c r="F903" s="10"/>
    </row>
    <row r="904">
      <c r="A904" s="10"/>
      <c r="B904" s="10"/>
      <c r="C904" s="10"/>
      <c r="D904" s="10"/>
      <c r="E904" s="10"/>
      <c r="F904" s="10"/>
    </row>
    <row r="905">
      <c r="A905" s="10"/>
      <c r="B905" s="10"/>
      <c r="C905" s="10"/>
      <c r="D905" s="10"/>
      <c r="E905" s="10"/>
      <c r="F905" s="10"/>
    </row>
    <row r="906">
      <c r="A906" s="10"/>
      <c r="B906" s="10"/>
      <c r="C906" s="10"/>
      <c r="D906" s="10"/>
      <c r="E906" s="10"/>
      <c r="F906" s="10"/>
    </row>
    <row r="907">
      <c r="A907" s="10"/>
      <c r="B907" s="10"/>
      <c r="C907" s="10"/>
      <c r="D907" s="10"/>
      <c r="E907" s="10"/>
      <c r="F907" s="10"/>
    </row>
    <row r="908">
      <c r="A908" s="10"/>
      <c r="B908" s="10"/>
      <c r="C908" s="10"/>
      <c r="D908" s="10"/>
      <c r="E908" s="10"/>
      <c r="F908" s="10"/>
    </row>
    <row r="909">
      <c r="A909" s="10"/>
      <c r="B909" s="10"/>
      <c r="C909" s="10"/>
      <c r="D909" s="10"/>
      <c r="E909" s="10"/>
      <c r="F909" s="10"/>
    </row>
    <row r="910">
      <c r="A910" s="10"/>
      <c r="B910" s="10"/>
      <c r="C910" s="10"/>
      <c r="D910" s="10"/>
      <c r="E910" s="10"/>
      <c r="F910" s="10"/>
    </row>
    <row r="911">
      <c r="A911" s="10"/>
      <c r="B911" s="10"/>
      <c r="C911" s="10"/>
      <c r="D911" s="10"/>
      <c r="E911" s="10"/>
      <c r="F911" s="10"/>
    </row>
    <row r="912">
      <c r="A912" s="10"/>
      <c r="B912" s="10"/>
      <c r="C912" s="10"/>
      <c r="D912" s="10"/>
      <c r="E912" s="10"/>
      <c r="F912" s="10"/>
    </row>
    <row r="913">
      <c r="A913" s="10"/>
      <c r="B913" s="10"/>
      <c r="C913" s="10"/>
      <c r="D913" s="10"/>
      <c r="E913" s="10"/>
      <c r="F913" s="10"/>
    </row>
    <row r="914">
      <c r="A914" s="10"/>
      <c r="B914" s="10"/>
      <c r="C914" s="10"/>
      <c r="D914" s="10"/>
      <c r="E914" s="10"/>
      <c r="F914" s="10"/>
    </row>
    <row r="915">
      <c r="A915" s="10"/>
      <c r="B915" s="10"/>
      <c r="C915" s="10"/>
      <c r="D915" s="10"/>
      <c r="E915" s="10"/>
      <c r="F915" s="10"/>
    </row>
    <row r="916">
      <c r="A916" s="10"/>
      <c r="B916" s="10"/>
      <c r="C916" s="10"/>
      <c r="D916" s="10"/>
      <c r="E916" s="10"/>
      <c r="F916" s="10"/>
    </row>
    <row r="917">
      <c r="A917" s="10"/>
      <c r="B917" s="10"/>
      <c r="C917" s="10"/>
      <c r="D917" s="10"/>
      <c r="E917" s="10"/>
      <c r="F917" s="10"/>
    </row>
    <row r="918">
      <c r="A918" s="10"/>
      <c r="B918" s="10"/>
      <c r="C918" s="10"/>
      <c r="D918" s="10"/>
      <c r="E918" s="10"/>
      <c r="F918" s="10"/>
    </row>
    <row r="919">
      <c r="A919" s="10"/>
      <c r="B919" s="10"/>
      <c r="C919" s="10"/>
      <c r="D919" s="10"/>
      <c r="E919" s="10"/>
      <c r="F919" s="10"/>
    </row>
    <row r="920">
      <c r="A920" s="10"/>
      <c r="B920" s="10"/>
      <c r="C920" s="10"/>
      <c r="D920" s="10"/>
      <c r="E920" s="10"/>
      <c r="F920" s="10"/>
    </row>
    <row r="921">
      <c r="A921" s="10"/>
      <c r="B921" s="10"/>
      <c r="C921" s="10"/>
      <c r="D921" s="10"/>
      <c r="E921" s="10"/>
      <c r="F921" s="10"/>
    </row>
    <row r="922">
      <c r="A922" s="10"/>
      <c r="B922" s="10"/>
      <c r="C922" s="10"/>
      <c r="D922" s="10"/>
      <c r="E922" s="10"/>
      <c r="F922" s="10"/>
    </row>
    <row r="923">
      <c r="A923" s="10"/>
      <c r="B923" s="10"/>
      <c r="C923" s="10"/>
      <c r="D923" s="10"/>
      <c r="E923" s="10"/>
      <c r="F923" s="10"/>
    </row>
    <row r="924">
      <c r="A924" s="10"/>
      <c r="B924" s="10"/>
      <c r="C924" s="10"/>
      <c r="D924" s="10"/>
      <c r="E924" s="10"/>
      <c r="F924" s="10"/>
    </row>
    <row r="925">
      <c r="A925" s="10"/>
      <c r="B925" s="10"/>
      <c r="C925" s="10"/>
      <c r="D925" s="10"/>
      <c r="E925" s="10"/>
      <c r="F925" s="10"/>
    </row>
    <row r="926">
      <c r="A926" s="10"/>
      <c r="B926" s="10"/>
      <c r="C926" s="10"/>
      <c r="D926" s="10"/>
      <c r="E926" s="10"/>
      <c r="F926" s="10"/>
    </row>
    <row r="927">
      <c r="A927" s="10"/>
      <c r="B927" s="10"/>
      <c r="C927" s="10"/>
      <c r="D927" s="10"/>
      <c r="E927" s="10"/>
      <c r="F927" s="10"/>
    </row>
    <row r="928">
      <c r="A928" s="10"/>
      <c r="B928" s="10"/>
      <c r="C928" s="10"/>
      <c r="D928" s="10"/>
      <c r="E928" s="10"/>
      <c r="F928" s="10"/>
    </row>
    <row r="929">
      <c r="A929" s="10"/>
      <c r="B929" s="10"/>
      <c r="C929" s="10"/>
      <c r="D929" s="10"/>
      <c r="E929" s="10"/>
      <c r="F929" s="10"/>
    </row>
    <row r="930">
      <c r="A930" s="10"/>
      <c r="B930" s="10"/>
      <c r="C930" s="10"/>
      <c r="D930" s="10"/>
      <c r="E930" s="10"/>
      <c r="F930" s="10"/>
    </row>
    <row r="931">
      <c r="A931" s="10"/>
      <c r="B931" s="10"/>
      <c r="C931" s="10"/>
      <c r="D931" s="10"/>
      <c r="E931" s="10"/>
      <c r="F931" s="10"/>
    </row>
    <row r="932">
      <c r="A932" s="10"/>
      <c r="B932" s="10"/>
      <c r="C932" s="10"/>
      <c r="D932" s="10"/>
      <c r="E932" s="10"/>
      <c r="F932" s="10"/>
    </row>
    <row r="933">
      <c r="A933" s="10"/>
      <c r="B933" s="10"/>
      <c r="C933" s="10"/>
      <c r="D933" s="10"/>
      <c r="E933" s="10"/>
      <c r="F933" s="10"/>
    </row>
    <row r="934">
      <c r="A934" s="10"/>
      <c r="B934" s="10"/>
      <c r="C934" s="10"/>
      <c r="D934" s="10"/>
      <c r="E934" s="10"/>
      <c r="F934" s="10"/>
    </row>
    <row r="935">
      <c r="A935" s="10"/>
      <c r="B935" s="10"/>
      <c r="C935" s="10"/>
      <c r="D935" s="10"/>
      <c r="E935" s="10"/>
      <c r="F935" s="10"/>
    </row>
    <row r="936">
      <c r="A936" s="10"/>
      <c r="B936" s="10"/>
      <c r="C936" s="10"/>
      <c r="D936" s="10"/>
      <c r="E936" s="10"/>
      <c r="F936" s="10"/>
    </row>
    <row r="937">
      <c r="A937" s="10"/>
      <c r="B937" s="10"/>
      <c r="C937" s="10"/>
      <c r="D937" s="10"/>
      <c r="E937" s="10"/>
      <c r="F937" s="10"/>
    </row>
    <row r="938">
      <c r="A938" s="10"/>
      <c r="B938" s="10"/>
      <c r="C938" s="10"/>
      <c r="D938" s="10"/>
      <c r="E938" s="10"/>
      <c r="F938" s="10"/>
    </row>
    <row r="939">
      <c r="A939" s="10"/>
      <c r="B939" s="10"/>
      <c r="C939" s="10"/>
      <c r="D939" s="10"/>
      <c r="E939" s="10"/>
      <c r="F939" s="10"/>
    </row>
    <row r="940">
      <c r="A940" s="10"/>
      <c r="B940" s="10"/>
      <c r="C940" s="10"/>
      <c r="D940" s="10"/>
      <c r="E940" s="10"/>
      <c r="F940" s="10"/>
    </row>
    <row r="941">
      <c r="A941" s="10"/>
      <c r="B941" s="10"/>
      <c r="C941" s="10"/>
      <c r="D941" s="10"/>
      <c r="E941" s="10"/>
      <c r="F941" s="10"/>
    </row>
    <row r="942">
      <c r="A942" s="10"/>
      <c r="B942" s="10"/>
      <c r="C942" s="10"/>
      <c r="D942" s="10"/>
      <c r="E942" s="10"/>
      <c r="F942" s="10"/>
    </row>
    <row r="943">
      <c r="A943" s="10"/>
      <c r="B943" s="10"/>
      <c r="C943" s="10"/>
      <c r="D943" s="10"/>
      <c r="E943" s="10"/>
      <c r="F943" s="10"/>
    </row>
    <row r="944">
      <c r="A944" s="10"/>
      <c r="B944" s="10"/>
      <c r="C944" s="10"/>
      <c r="D944" s="10"/>
      <c r="E944" s="10"/>
      <c r="F944" s="10"/>
    </row>
    <row r="945">
      <c r="A945" s="10"/>
      <c r="B945" s="10"/>
      <c r="C945" s="10"/>
      <c r="D945" s="10"/>
      <c r="E945" s="10"/>
      <c r="F945" s="10"/>
    </row>
    <row r="946">
      <c r="A946" s="10"/>
      <c r="B946" s="10"/>
      <c r="C946" s="10"/>
      <c r="D946" s="10"/>
      <c r="E946" s="10"/>
      <c r="F946" s="10"/>
    </row>
    <row r="947">
      <c r="A947" s="10"/>
      <c r="B947" s="10"/>
      <c r="C947" s="10"/>
      <c r="D947" s="10"/>
      <c r="E947" s="10"/>
      <c r="F947" s="10"/>
    </row>
    <row r="948">
      <c r="A948" s="10"/>
      <c r="B948" s="10"/>
      <c r="C948" s="10"/>
      <c r="D948" s="10"/>
      <c r="E948" s="10"/>
      <c r="F948" s="10"/>
    </row>
    <row r="949">
      <c r="A949" s="10"/>
      <c r="B949" s="10"/>
      <c r="C949" s="10"/>
      <c r="D949" s="10"/>
      <c r="E949" s="10"/>
      <c r="F949" s="10"/>
    </row>
    <row r="950">
      <c r="A950" s="10"/>
      <c r="B950" s="10"/>
      <c r="C950" s="10"/>
      <c r="D950" s="10"/>
      <c r="E950" s="10"/>
      <c r="F950" s="10"/>
    </row>
    <row r="951">
      <c r="A951" s="10"/>
      <c r="B951" s="10"/>
      <c r="C951" s="10"/>
      <c r="D951" s="10"/>
      <c r="E951" s="10"/>
      <c r="F951" s="10"/>
    </row>
    <row r="952">
      <c r="A952" s="10"/>
      <c r="B952" s="10"/>
      <c r="C952" s="10"/>
      <c r="D952" s="10"/>
      <c r="E952" s="10"/>
      <c r="F952" s="10"/>
    </row>
    <row r="953">
      <c r="A953" s="10"/>
      <c r="B953" s="10"/>
      <c r="C953" s="10"/>
      <c r="D953" s="10"/>
      <c r="E953" s="10"/>
      <c r="F953" s="10"/>
    </row>
    <row r="954">
      <c r="A954" s="10"/>
      <c r="B954" s="10"/>
      <c r="C954" s="10"/>
      <c r="D954" s="10"/>
      <c r="E954" s="10"/>
      <c r="F954" s="10"/>
    </row>
    <row r="955">
      <c r="A955" s="10"/>
      <c r="B955" s="10"/>
      <c r="C955" s="10"/>
      <c r="D955" s="10"/>
      <c r="E955" s="10"/>
      <c r="F955" s="10"/>
    </row>
    <row r="956">
      <c r="A956" s="10"/>
      <c r="B956" s="10"/>
      <c r="C956" s="10"/>
      <c r="D956" s="10"/>
      <c r="E956" s="10"/>
      <c r="F956" s="10"/>
    </row>
    <row r="957">
      <c r="A957" s="10"/>
      <c r="B957" s="10"/>
      <c r="C957" s="10"/>
      <c r="D957" s="10"/>
      <c r="E957" s="10"/>
      <c r="F957" s="10"/>
    </row>
    <row r="958">
      <c r="A958" s="10"/>
      <c r="B958" s="10"/>
      <c r="C958" s="10"/>
      <c r="D958" s="10"/>
      <c r="E958" s="10"/>
      <c r="F958" s="10"/>
    </row>
    <row r="959">
      <c r="A959" s="10"/>
      <c r="B959" s="10"/>
      <c r="C959" s="10"/>
      <c r="D959" s="10"/>
      <c r="E959" s="10"/>
      <c r="F959" s="10"/>
    </row>
    <row r="960">
      <c r="A960" s="10"/>
      <c r="B960" s="10"/>
      <c r="C960" s="10"/>
      <c r="D960" s="10"/>
      <c r="E960" s="10"/>
      <c r="F960" s="10"/>
    </row>
    <row r="961">
      <c r="A961" s="10"/>
      <c r="B961" s="10"/>
      <c r="C961" s="10"/>
      <c r="D961" s="10"/>
      <c r="E961" s="10"/>
      <c r="F961" s="10"/>
    </row>
    <row r="962">
      <c r="A962" s="10"/>
      <c r="B962" s="10"/>
      <c r="C962" s="10"/>
      <c r="D962" s="10"/>
      <c r="E962" s="10"/>
      <c r="F962" s="10"/>
    </row>
    <row r="963">
      <c r="A963" s="10"/>
      <c r="B963" s="10"/>
      <c r="C963" s="10"/>
      <c r="D963" s="10"/>
      <c r="E963" s="10"/>
      <c r="F963" s="10"/>
    </row>
    <row r="964">
      <c r="A964" s="10"/>
      <c r="B964" s="10"/>
      <c r="C964" s="10"/>
      <c r="D964" s="10"/>
      <c r="E964" s="10"/>
      <c r="F964" s="10"/>
    </row>
    <row r="965">
      <c r="A965" s="10"/>
      <c r="B965" s="10"/>
      <c r="C965" s="10"/>
      <c r="D965" s="10"/>
      <c r="E965" s="10"/>
      <c r="F965" s="10"/>
    </row>
    <row r="966">
      <c r="A966" s="10"/>
      <c r="B966" s="10"/>
      <c r="C966" s="10"/>
      <c r="D966" s="10"/>
      <c r="E966" s="10"/>
      <c r="F966" s="10"/>
    </row>
    <row r="967">
      <c r="A967" s="10"/>
      <c r="B967" s="10"/>
      <c r="C967" s="10"/>
      <c r="D967" s="10"/>
      <c r="E967" s="10"/>
      <c r="F967" s="10"/>
    </row>
    <row r="968">
      <c r="A968" s="10"/>
      <c r="B968" s="10"/>
      <c r="C968" s="10"/>
      <c r="D968" s="10"/>
      <c r="E968" s="10"/>
      <c r="F968" s="10"/>
    </row>
    <row r="969">
      <c r="A969" s="10"/>
      <c r="B969" s="10"/>
      <c r="C969" s="10"/>
      <c r="D969" s="10"/>
      <c r="E969" s="10"/>
      <c r="F969" s="10"/>
    </row>
    <row r="970">
      <c r="A970" s="10"/>
      <c r="B970" s="10"/>
      <c r="C970" s="10"/>
      <c r="D970" s="10"/>
      <c r="E970" s="10"/>
      <c r="F970" s="10"/>
    </row>
    <row r="971">
      <c r="A971" s="10"/>
      <c r="B971" s="10"/>
      <c r="C971" s="10"/>
      <c r="D971" s="10"/>
      <c r="E971" s="10"/>
      <c r="F971" s="10"/>
    </row>
    <row r="972">
      <c r="A972" s="10"/>
      <c r="B972" s="10"/>
      <c r="C972" s="10"/>
      <c r="D972" s="10"/>
      <c r="E972" s="10"/>
      <c r="F972" s="10"/>
    </row>
    <row r="973">
      <c r="A973" s="10"/>
      <c r="B973" s="10"/>
      <c r="C973" s="10"/>
      <c r="D973" s="10"/>
      <c r="E973" s="10"/>
      <c r="F973" s="10"/>
    </row>
    <row r="974">
      <c r="A974" s="10"/>
      <c r="B974" s="10"/>
      <c r="C974" s="10"/>
      <c r="D974" s="10"/>
      <c r="E974" s="10"/>
      <c r="F974" s="10"/>
    </row>
    <row r="975">
      <c r="A975" s="10"/>
      <c r="B975" s="10"/>
      <c r="C975" s="10"/>
      <c r="D975" s="10"/>
      <c r="E975" s="10"/>
      <c r="F975" s="10"/>
    </row>
    <row r="976">
      <c r="A976" s="10"/>
      <c r="B976" s="10"/>
      <c r="C976" s="10"/>
      <c r="D976" s="10"/>
      <c r="E976" s="10"/>
      <c r="F976" s="10"/>
    </row>
    <row r="977">
      <c r="A977" s="10"/>
      <c r="B977" s="10"/>
      <c r="C977" s="10"/>
      <c r="D977" s="10"/>
      <c r="E977" s="10"/>
      <c r="F977" s="10"/>
    </row>
    <row r="978">
      <c r="A978" s="10"/>
      <c r="B978" s="10"/>
      <c r="C978" s="10"/>
      <c r="D978" s="10"/>
      <c r="E978" s="10"/>
      <c r="F978" s="10"/>
    </row>
    <row r="979">
      <c r="A979" s="10"/>
      <c r="B979" s="10"/>
      <c r="C979" s="10"/>
      <c r="D979" s="10"/>
      <c r="E979" s="10"/>
      <c r="F979" s="10"/>
    </row>
    <row r="980">
      <c r="A980" s="10"/>
      <c r="B980" s="10"/>
      <c r="C980" s="10"/>
      <c r="D980" s="10"/>
      <c r="E980" s="10"/>
      <c r="F980" s="10"/>
    </row>
    <row r="981">
      <c r="A981" s="10"/>
      <c r="B981" s="10"/>
      <c r="C981" s="10"/>
      <c r="D981" s="10"/>
      <c r="E981" s="10"/>
      <c r="F981" s="10"/>
    </row>
    <row r="982">
      <c r="A982" s="10"/>
      <c r="B982" s="10"/>
      <c r="C982" s="10"/>
      <c r="D982" s="10"/>
      <c r="E982" s="10"/>
      <c r="F982" s="10"/>
    </row>
    <row r="983">
      <c r="A983" s="10"/>
      <c r="B983" s="10"/>
      <c r="C983" s="10"/>
      <c r="D983" s="10"/>
      <c r="E983" s="10"/>
      <c r="F983" s="10"/>
    </row>
    <row r="984">
      <c r="A984" s="10"/>
      <c r="B984" s="10"/>
      <c r="C984" s="10"/>
      <c r="D984" s="10"/>
      <c r="E984" s="10"/>
      <c r="F984" s="10"/>
    </row>
    <row r="985">
      <c r="A985" s="10"/>
      <c r="B985" s="10"/>
      <c r="C985" s="10"/>
      <c r="D985" s="10"/>
      <c r="E985" s="10"/>
      <c r="F985" s="10"/>
    </row>
    <row r="986">
      <c r="A986" s="10"/>
      <c r="B986" s="10"/>
      <c r="C986" s="10"/>
      <c r="D986" s="10"/>
      <c r="E986" s="10"/>
      <c r="F986" s="10"/>
    </row>
    <row r="987">
      <c r="A987" s="10"/>
      <c r="B987" s="10"/>
      <c r="C987" s="10"/>
      <c r="D987" s="10"/>
      <c r="E987" s="10"/>
      <c r="F987" s="10"/>
    </row>
    <row r="988">
      <c r="A988" s="10"/>
      <c r="B988" s="10"/>
      <c r="C988" s="10"/>
      <c r="D988" s="10"/>
      <c r="E988" s="10"/>
      <c r="F988" s="10"/>
    </row>
    <row r="989">
      <c r="A989" s="10"/>
      <c r="B989" s="10"/>
      <c r="C989" s="10"/>
      <c r="D989" s="10"/>
      <c r="E989" s="10"/>
      <c r="F989" s="10"/>
    </row>
    <row r="990">
      <c r="A990" s="10"/>
      <c r="B990" s="10"/>
      <c r="C990" s="10"/>
      <c r="D990" s="10"/>
      <c r="E990" s="10"/>
      <c r="F990" s="10"/>
    </row>
    <row r="991">
      <c r="A991" s="10"/>
      <c r="B991" s="10"/>
      <c r="C991" s="10"/>
      <c r="D991" s="10"/>
      <c r="E991" s="10"/>
      <c r="F991" s="10"/>
    </row>
    <row r="992">
      <c r="A992" s="10"/>
      <c r="B992" s="10"/>
      <c r="C992" s="10"/>
      <c r="D992" s="10"/>
      <c r="E992" s="10"/>
      <c r="F992" s="10"/>
    </row>
    <row r="993">
      <c r="A993" s="10"/>
      <c r="B993" s="10"/>
      <c r="C993" s="10"/>
      <c r="D993" s="10"/>
      <c r="E993" s="10"/>
      <c r="F993" s="10"/>
    </row>
    <row r="994">
      <c r="A994" s="10"/>
      <c r="B994" s="10"/>
      <c r="C994" s="10"/>
      <c r="D994" s="10"/>
      <c r="E994" s="10"/>
      <c r="F994"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88"/>
    <col customWidth="1" min="4" max="4" width="16.5"/>
    <col customWidth="1" min="5" max="5" width="22.88"/>
    <col customWidth="1" min="6" max="6" width="41.88"/>
    <col customWidth="1" min="7" max="7" width="18.75"/>
    <col customWidth="1" min="10" max="10" width="18.88"/>
    <col customWidth="1" min="12" max="12" width="18.75"/>
  </cols>
  <sheetData>
    <row r="1">
      <c r="A1" s="331" t="s">
        <v>4474</v>
      </c>
      <c r="B1" s="332" t="s">
        <v>4763</v>
      </c>
      <c r="C1" s="278" t="s">
        <v>4768</v>
      </c>
      <c r="D1" s="278" t="s">
        <v>4769</v>
      </c>
      <c r="E1" s="333" t="s">
        <v>4768</v>
      </c>
      <c r="F1" s="334" t="s">
        <v>4769</v>
      </c>
      <c r="G1" s="334" t="s">
        <v>4770</v>
      </c>
      <c r="H1" s="230"/>
      <c r="I1" s="230"/>
      <c r="J1" s="335" t="s">
        <v>4768</v>
      </c>
      <c r="K1" s="336" t="s">
        <v>4769</v>
      </c>
      <c r="L1" s="336" t="s">
        <v>4770</v>
      </c>
      <c r="M1" s="230"/>
      <c r="N1" s="230"/>
      <c r="O1" s="230"/>
      <c r="P1" s="230"/>
      <c r="Q1" s="230"/>
      <c r="R1" s="230"/>
      <c r="S1" s="230"/>
      <c r="T1" s="230"/>
      <c r="U1" s="230"/>
      <c r="V1" s="230"/>
      <c r="W1" s="230"/>
      <c r="X1" s="230"/>
      <c r="Y1" s="230"/>
      <c r="Z1" s="230"/>
    </row>
    <row r="2">
      <c r="A2" s="337" t="str">
        <f>IFERROR(__xludf.DUMMYFUNCTION("VLOOKUP($B2,IMPORTRANGE(""https://docs.google.com/spreadsheets/d/1VNXDITjs75AcgdBSW27oL1VZH31udDprJSsBcE5xlp4/edit?gid=1551188038#gid=1551188038"", ""Sheet9!$B:$E""),2,false)"),"Lahore")</f>
        <v>Lahore</v>
      </c>
      <c r="B2" s="338" t="s">
        <v>1274</v>
      </c>
      <c r="C2" s="284">
        <f>IFERROR(__xludf.DUMMYFUNCTION("IFERROR(
  INDEX(
    FILTER(
      IMPORTRANGE(""1Cxrhp3-_-HS7v9uuqQliiIfrmMP4VaFoDNDWyUFy2J8/edit?gid=0#gid=0"",""Sheet1!AE:AE""),
      IMPORTRANGE(""1Cxrhp3-_-HS7v9uuqQliiIfrmMP4VaFoDNDWyUFy2J8/edit?gid=0#gid=0"",""Sheet1!K:K"")=$B2
    ),
    1
  ),
"&amp;"  ""Not Found""
)"),1930.0)</f>
        <v>1930</v>
      </c>
      <c r="D2" s="284" t="str">
        <f>IFERROR(__xludf.DUMMYFUNCTION("IFERROR(
  INDEX(
    FILTER(
      IMPORTRANGE(""1Cxrhp3-_-HS7v9uuqQliiIfrmMP4VaFoDNDWyUFy2J8/edit?gid=0#gid=0"",""Sheet1!AG:AG""),
      IMPORTRANGE(""1Cxrhp3-_-HS7v9uuqQliiIfrmMP4VaFoDNDWyUFy2J8/edit?gid=0#gid=0"",""Sheet1!K:K"")=$B2
    ),
    1
  ),
"&amp;"  ""Not Found""
)"),"")</f>
        <v/>
      </c>
      <c r="E2" s="284" t="str">
        <f>IFERROR(__xludf.DUMMYFUNCTION("IFERROR(
  INDEX(
    FILTER(
      IMPORTRANGE(""1kOrIKZmJfNUkgOVP3sI9BPjaaPA0_a4636oymQxTXg8/edit?gid=609491371#gid=609491371"",""Form responses 1!J:J""),
      IMPORTRANGE(""1kOrIKZmJfNUkgOVP3sI9BPjaaPA0_a4636oymQxTXg8/edit?gid=609491371#gid=609491371"&amp;""",""Form responses 1!F:F"")=$B2
    ),
    1
  ),
  ""Not Found""
)"),"Not Found")</f>
        <v>Not Found</v>
      </c>
      <c r="F2" s="284" t="str">
        <f>IFERROR(__xludf.DUMMYFUNCTION("IFERROR(
  INDEX(
    FILTER(
      IMPORTRANGE(""1kOrIKZmJfNUkgOVP3sI9BPjaaPA0_a4636oymQxTXg8/edit?gid=609491371#gid=609491371"",""Form responses 1!L:L""),
      IMPORTRANGE(""1kOrIKZmJfNUkgOVP3sI9BPjaaPA0_a4636oymQxTXg8/edit?gid=609491371#gid=609491371"&amp;""",""Form responses 1!F:F"")=$B2
    ),
    1
  ),
  ""Not Found""
)"),"Not Found")</f>
        <v>Not Found</v>
      </c>
      <c r="G2" s="284"/>
      <c r="H2" s="230"/>
      <c r="I2" s="230">
        <v>1930.0</v>
      </c>
      <c r="J2" s="339">
        <f>IFERROR(__xludf.DUMMYFUNCTION("IFERROR(
  INDEX(
    FILTER(
      IMPORTRANGE(""1Cxrhp3-_-HS7v9uuqQliiIfrmMP4VaFoDNDWyUFy2J8/edit?gid=0#gid=0"",""Sheet1!AE:AE""),
      IMPORTRANGE(""1Cxrhp3-_-HS7v9uuqQliiIfrmMP4VaFoDNDWyUFy2J8/edit?gid=0#gid=0"",""Sheet1!K:K"")=$B2
    ),
    1
  ),
"&amp;"  ""Not Found""
)"),1930.0)</f>
        <v>1930</v>
      </c>
      <c r="K2" s="340"/>
      <c r="L2" s="340"/>
      <c r="M2" s="230"/>
      <c r="N2" s="230"/>
      <c r="O2" s="230"/>
      <c r="P2" s="230"/>
      <c r="Q2" s="230"/>
      <c r="R2" s="230"/>
      <c r="S2" s="230"/>
      <c r="T2" s="230"/>
      <c r="U2" s="230"/>
      <c r="V2" s="230"/>
      <c r="W2" s="230"/>
      <c r="X2" s="230"/>
      <c r="Y2" s="230"/>
      <c r="Z2" s="230"/>
    </row>
    <row r="3">
      <c r="A3" s="337" t="str">
        <f>IFERROR(__xludf.DUMMYFUNCTION("VLOOKUP($B3,IMPORTRANGE(""https://docs.google.com/spreadsheets/d/1VNXDITjs75AcgdBSW27oL1VZH31udDprJSsBcE5xlp4/edit?gid=1551188038#gid=1551188038"", ""Sheet9!$B:$E""),2,false)"),"Lahore")</f>
        <v>Lahore</v>
      </c>
      <c r="B3" s="338" t="s">
        <v>4501</v>
      </c>
      <c r="C3" s="284">
        <f>IFERROR(__xludf.DUMMYFUNCTION("IFERROR(
  INDEX(
    FILTER(
      IMPORTRANGE(""1Cxrhp3-_-HS7v9uuqQliiIfrmMP4VaFoDNDWyUFy2J8/edit?gid=0#gid=0"",""Sheet1!AE:AE""),
      IMPORTRANGE(""1Cxrhp3-_-HS7v9uuqQliiIfrmMP4VaFoDNDWyUFy2J8/edit?gid=0#gid=0"",""Sheet1!K:K"")=$B3
    ),
    1
  ),
"&amp;"  ""Not Found""
)"),1971.0)</f>
        <v>1971</v>
      </c>
      <c r="D3" s="284" t="str">
        <f>IFERROR(__xludf.DUMMYFUNCTION("IFERROR(
  INDEX(
    FILTER(
      IMPORTRANGE(""1Cxrhp3-_-HS7v9uuqQliiIfrmMP4VaFoDNDWyUFy2J8/edit?gid=0#gid=0"",""Sheet1!AG:AG""),
      IMPORTRANGE(""1Cxrhp3-_-HS7v9uuqQliiIfrmMP4VaFoDNDWyUFy2J8/edit?gid=0#gid=0"",""Sheet1!K:K"")=$B3
    ),
    1
  ),
"&amp;"  ""Not Found""
)"),"")</f>
        <v/>
      </c>
      <c r="E3" s="284" t="str">
        <f>IFERROR(__xludf.DUMMYFUNCTION("IFERROR(
  INDEX(
    FILTER(
      IMPORTRANGE(""1kOrIKZmJfNUkgOVP3sI9BPjaaPA0_a4636oymQxTXg8/edit?gid=609491371#gid=609491371"",""Form responses 1!J:J""),
      IMPORTRANGE(""1kOrIKZmJfNUkgOVP3sI9BPjaaPA0_a4636oymQxTXg8/edit?gid=609491371#gid=609491371"&amp;""",""Form responses 1!F:F"")=$B3
    ),
    1
  ),
  ""Not Found""
)"),"Not Found")</f>
        <v>Not Found</v>
      </c>
      <c r="F3" s="284" t="str">
        <f>IFERROR(__xludf.DUMMYFUNCTION("IFERROR(
  INDEX(
    FILTER(
      IMPORTRANGE(""1kOrIKZmJfNUkgOVP3sI9BPjaaPA0_a4636oymQxTXg8/edit?gid=609491371#gid=609491371"",""Form responses 1!L:L""),
      IMPORTRANGE(""1kOrIKZmJfNUkgOVP3sI9BPjaaPA0_a4636oymQxTXg8/edit?gid=609491371#gid=609491371"&amp;""",""Form responses 1!F:F"")=$B3
    ),
    1
  ),
  ""Not Found""
)"),"Not Found")</f>
        <v>Not Found</v>
      </c>
      <c r="G3" s="284"/>
      <c r="H3" s="230"/>
      <c r="I3" s="230">
        <v>1971.0</v>
      </c>
      <c r="J3" s="339">
        <f>IFERROR(__xludf.DUMMYFUNCTION("IFERROR(
  INDEX(
    FILTER(
      IMPORTRANGE(""1Cxrhp3-_-HS7v9uuqQliiIfrmMP4VaFoDNDWyUFy2J8/edit?gid=0#gid=0"",""Sheet1!AE:AE""),
      IMPORTRANGE(""1Cxrhp3-_-HS7v9uuqQliiIfrmMP4VaFoDNDWyUFy2J8/edit?gid=0#gid=0"",""Sheet1!K:K"")=$B3
    ),
    1
  ),
"&amp;"  ""Not Found""
)"),1971.0)</f>
        <v>1971</v>
      </c>
      <c r="K3" s="340"/>
      <c r="L3" s="340"/>
      <c r="M3" s="230"/>
      <c r="N3" s="230"/>
      <c r="O3" s="230"/>
      <c r="P3" s="230"/>
      <c r="Q3" s="230"/>
      <c r="R3" s="230"/>
      <c r="S3" s="230"/>
      <c r="T3" s="230"/>
      <c r="U3" s="230"/>
      <c r="V3" s="230"/>
      <c r="W3" s="230"/>
      <c r="X3" s="230"/>
      <c r="Y3" s="230"/>
      <c r="Z3" s="230"/>
    </row>
    <row r="4">
      <c r="A4" s="337" t="str">
        <f>IFERROR(__xludf.DUMMYFUNCTION("VLOOKUP($B4,IMPORTRANGE(""https://docs.google.com/spreadsheets/d/1VNXDITjs75AcgdBSW27oL1VZH31udDprJSsBcE5xlp4/edit?gid=1551188038#gid=1551188038"", ""Sheet9!$B:$E""),2,false)"),"Lahore")</f>
        <v>Lahore</v>
      </c>
      <c r="B4" s="338" t="s">
        <v>1339</v>
      </c>
      <c r="C4" s="284">
        <f>IFERROR(__xludf.DUMMYFUNCTION("IFERROR(
  INDEX(
    FILTER(
      IMPORTRANGE(""1Cxrhp3-_-HS7v9uuqQliiIfrmMP4VaFoDNDWyUFy2J8/edit?gid=0#gid=0"",""Sheet1!AE:AE""),
      IMPORTRANGE(""1Cxrhp3-_-HS7v9uuqQliiIfrmMP4VaFoDNDWyUFy2J8/edit?gid=0#gid=0"",""Sheet1!K:K"")=$B4
    ),
    1
  ),
"&amp;"  ""Not Found""
)"),1955.0)</f>
        <v>1955</v>
      </c>
      <c r="D4" s="284" t="str">
        <f>IFERROR(__xludf.DUMMYFUNCTION("IFERROR(
  INDEX(
    FILTER(
      IMPORTRANGE(""1Cxrhp3-_-HS7v9uuqQliiIfrmMP4VaFoDNDWyUFy2J8/edit?gid=0#gid=0"",""Sheet1!AG:AG""),
      IMPORTRANGE(""1Cxrhp3-_-HS7v9uuqQliiIfrmMP4VaFoDNDWyUFy2J8/edit?gid=0#gid=0"",""Sheet1!K:K"")=$B4
    ),
    1
  ),
"&amp;"  ""Not Found""
)"),"")</f>
        <v/>
      </c>
      <c r="E4" s="284" t="str">
        <f>IFERROR(__xludf.DUMMYFUNCTION("IFERROR(
  INDEX(
    FILTER(
      IMPORTRANGE(""1kOrIKZmJfNUkgOVP3sI9BPjaaPA0_a4636oymQxTXg8/edit?gid=609491371#gid=609491371"",""Form responses 1!J:J""),
      IMPORTRANGE(""1kOrIKZmJfNUkgOVP3sI9BPjaaPA0_a4636oymQxTXg8/edit?gid=609491371#gid=609491371"&amp;""",""Form responses 1!F:F"")=$B4
    ),
    1
  ),
  ""Not Found""
)"),"Not Found")</f>
        <v>Not Found</v>
      </c>
      <c r="F4" s="284" t="str">
        <f>IFERROR(__xludf.DUMMYFUNCTION("IFERROR(
  INDEX(
    FILTER(
      IMPORTRANGE(""1kOrIKZmJfNUkgOVP3sI9BPjaaPA0_a4636oymQxTXg8/edit?gid=609491371#gid=609491371"",""Form responses 1!L:L""),
      IMPORTRANGE(""1kOrIKZmJfNUkgOVP3sI9BPjaaPA0_a4636oymQxTXg8/edit?gid=609491371#gid=609491371"&amp;""",""Form responses 1!F:F"")=$B4
    ),
    1
  ),
  ""Not Found""
)"),"Not Found")</f>
        <v>Not Found</v>
      </c>
      <c r="G4" s="284"/>
      <c r="H4" s="230"/>
      <c r="I4" s="230">
        <v>1955.0</v>
      </c>
      <c r="J4" s="339">
        <f>IFERROR(__xludf.DUMMYFUNCTION("IFERROR(
  INDEX(
    FILTER(
      IMPORTRANGE(""1Cxrhp3-_-HS7v9uuqQliiIfrmMP4VaFoDNDWyUFy2J8/edit?gid=0#gid=0"",""Sheet1!AE:AE""),
      IMPORTRANGE(""1Cxrhp3-_-HS7v9uuqQliiIfrmMP4VaFoDNDWyUFy2J8/edit?gid=0#gid=0"",""Sheet1!K:K"")=$B4
    ),
    1
  ),
"&amp;"  ""Not Found""
)"),1955.0)</f>
        <v>1955</v>
      </c>
      <c r="K4" s="340"/>
      <c r="L4" s="340"/>
      <c r="M4" s="230"/>
      <c r="N4" s="230"/>
      <c r="O4" s="230"/>
      <c r="P4" s="230"/>
      <c r="Q4" s="230"/>
      <c r="R4" s="230"/>
      <c r="S4" s="230"/>
      <c r="T4" s="230"/>
      <c r="U4" s="230"/>
      <c r="V4" s="230"/>
      <c r="W4" s="230"/>
      <c r="X4" s="230"/>
      <c r="Y4" s="230"/>
      <c r="Z4" s="230"/>
    </row>
    <row r="5">
      <c r="A5" s="337" t="str">
        <f>IFERROR(__xludf.DUMMYFUNCTION("VLOOKUP($B5,IMPORTRANGE(""https://docs.google.com/spreadsheets/d/1VNXDITjs75AcgdBSW27oL1VZH31udDprJSsBcE5xlp4/edit?gid=1551188038#gid=1551188038"", ""Sheet9!$B:$E""),2,false)"),"Lahore")</f>
        <v>Lahore</v>
      </c>
      <c r="B5" s="338" t="s">
        <v>4503</v>
      </c>
      <c r="C5" s="284">
        <f>IFERROR(__xludf.DUMMYFUNCTION("IFERROR(
  INDEX(
    FILTER(
      IMPORTRANGE(""1Cxrhp3-_-HS7v9uuqQliiIfrmMP4VaFoDNDWyUFy2J8/edit?gid=0#gid=0"",""Sheet1!AE:AE""),
      IMPORTRANGE(""1Cxrhp3-_-HS7v9uuqQliiIfrmMP4VaFoDNDWyUFy2J8/edit?gid=0#gid=0"",""Sheet1!K:K"")=$B5
    ),
    1
  ),
"&amp;"  ""Not Found""
)"),1951.0)</f>
        <v>1951</v>
      </c>
      <c r="D5" s="284" t="str">
        <f>IFERROR(__xludf.DUMMYFUNCTION("IFERROR(
  INDEX(
    FILTER(
      IMPORTRANGE(""1Cxrhp3-_-HS7v9uuqQliiIfrmMP4VaFoDNDWyUFy2J8/edit?gid=0#gid=0"",""Sheet1!AG:AG""),
      IMPORTRANGE(""1Cxrhp3-_-HS7v9uuqQliiIfrmMP4VaFoDNDWyUFy2J8/edit?gid=0#gid=0"",""Sheet1!K:K"")=$B5
    ),
    1
  ),
"&amp;"  ""Not Found""
)"),"")</f>
        <v/>
      </c>
      <c r="E5" s="284" t="str">
        <f>IFERROR(__xludf.DUMMYFUNCTION("IFERROR(
  INDEX(
    FILTER(
      IMPORTRANGE(""1kOrIKZmJfNUkgOVP3sI9BPjaaPA0_a4636oymQxTXg8/edit?gid=609491371#gid=609491371"",""Form responses 1!J:J""),
      IMPORTRANGE(""1kOrIKZmJfNUkgOVP3sI9BPjaaPA0_a4636oymQxTXg8/edit?gid=609491371#gid=609491371"&amp;""",""Form responses 1!F:F"")=$B5
    ),
    1
  ),
  ""Not Found""
)"),"Not Found")</f>
        <v>Not Found</v>
      </c>
      <c r="F5" s="284" t="str">
        <f>IFERROR(__xludf.DUMMYFUNCTION("IFERROR(
  INDEX(
    FILTER(
      IMPORTRANGE(""1kOrIKZmJfNUkgOVP3sI9BPjaaPA0_a4636oymQxTXg8/edit?gid=609491371#gid=609491371"",""Form responses 1!L:L""),
      IMPORTRANGE(""1kOrIKZmJfNUkgOVP3sI9BPjaaPA0_a4636oymQxTXg8/edit?gid=609491371#gid=609491371"&amp;""",""Form responses 1!F:F"")=$B5
    ),
    1
  ),
  ""Not Found""
)"),"Not Found")</f>
        <v>Not Found</v>
      </c>
      <c r="G5" s="284"/>
      <c r="H5" s="230"/>
      <c r="I5" s="230">
        <v>1951.0</v>
      </c>
      <c r="J5" s="339">
        <f>IFERROR(__xludf.DUMMYFUNCTION("IFERROR(
  INDEX(
    FILTER(
      IMPORTRANGE(""1Cxrhp3-_-HS7v9uuqQliiIfrmMP4VaFoDNDWyUFy2J8/edit?gid=0#gid=0"",""Sheet1!AE:AE""),
      IMPORTRANGE(""1Cxrhp3-_-HS7v9uuqQliiIfrmMP4VaFoDNDWyUFy2J8/edit?gid=0#gid=0"",""Sheet1!K:K"")=$B5
    ),
    1
  ),
"&amp;"  ""Not Found""
)"),1951.0)</f>
        <v>1951</v>
      </c>
      <c r="K5" s="340"/>
      <c r="L5" s="340"/>
      <c r="M5" s="230"/>
      <c r="N5" s="230"/>
      <c r="O5" s="230"/>
      <c r="P5" s="230"/>
      <c r="Q5" s="230"/>
      <c r="R5" s="230"/>
      <c r="S5" s="230"/>
      <c r="T5" s="230"/>
      <c r="U5" s="230"/>
      <c r="V5" s="230"/>
      <c r="W5" s="230"/>
      <c r="X5" s="230"/>
      <c r="Y5" s="230"/>
      <c r="Z5" s="230"/>
    </row>
    <row r="6">
      <c r="A6" s="337" t="str">
        <f>IFERROR(__xludf.DUMMYFUNCTION("VLOOKUP($B6,IMPORTRANGE(""https://docs.google.com/spreadsheets/d/1VNXDITjs75AcgdBSW27oL1VZH31udDprJSsBcE5xlp4/edit?gid=1551188038#gid=1551188038"", ""Sheet9!$B:$E""),2,false)"),"Lahore")</f>
        <v>Lahore</v>
      </c>
      <c r="B6" s="338" t="s">
        <v>1314</v>
      </c>
      <c r="C6" s="284">
        <f>IFERROR(__xludf.DUMMYFUNCTION("IFERROR(
  INDEX(
    FILTER(
      IMPORTRANGE(""1Cxrhp3-_-HS7v9uuqQliiIfrmMP4VaFoDNDWyUFy2J8/edit?gid=0#gid=0"",""Sheet1!AE:AE""),
      IMPORTRANGE(""1Cxrhp3-_-HS7v9uuqQliiIfrmMP4VaFoDNDWyUFy2J8/edit?gid=0#gid=0"",""Sheet1!K:K"")=$B6
    ),
    1
  ),
"&amp;"  ""Not Found""
)"),1940.0)</f>
        <v>1940</v>
      </c>
      <c r="D6" s="284" t="str">
        <f>IFERROR(__xludf.DUMMYFUNCTION("IFERROR(
  INDEX(
    FILTER(
      IMPORTRANGE(""1Cxrhp3-_-HS7v9uuqQliiIfrmMP4VaFoDNDWyUFy2J8/edit?gid=0#gid=0"",""Sheet1!AG:AG""),
      IMPORTRANGE(""1Cxrhp3-_-HS7v9uuqQliiIfrmMP4VaFoDNDWyUFy2J8/edit?gid=0#gid=0"",""Sheet1!K:K"")=$B6
    ),
    1
  ),
"&amp;"  ""Not Found""
)"),"")</f>
        <v/>
      </c>
      <c r="E6" s="284" t="str">
        <f>IFERROR(__xludf.DUMMYFUNCTION("IFERROR(
  INDEX(
    FILTER(
      IMPORTRANGE(""1kOrIKZmJfNUkgOVP3sI9BPjaaPA0_a4636oymQxTXg8/edit?gid=609491371#gid=609491371"",""Form responses 1!J:J""),
      IMPORTRANGE(""1kOrIKZmJfNUkgOVP3sI9BPjaaPA0_a4636oymQxTXg8/edit?gid=609491371#gid=609491371"&amp;""",""Form responses 1!F:F"")=$B6
    ),
    1
  ),
  ""Not Found""
)"),"Not Found")</f>
        <v>Not Found</v>
      </c>
      <c r="F6" s="284" t="str">
        <f>IFERROR(__xludf.DUMMYFUNCTION("IFERROR(
  INDEX(
    FILTER(
      IMPORTRANGE(""1kOrIKZmJfNUkgOVP3sI9BPjaaPA0_a4636oymQxTXg8/edit?gid=609491371#gid=609491371"",""Form responses 1!L:L""),
      IMPORTRANGE(""1kOrIKZmJfNUkgOVP3sI9BPjaaPA0_a4636oymQxTXg8/edit?gid=609491371#gid=609491371"&amp;""",""Form responses 1!F:F"")=$B6
    ),
    1
  ),
  ""Not Found""
)"),"Not Found")</f>
        <v>Not Found</v>
      </c>
      <c r="G6" s="284"/>
      <c r="H6" s="230"/>
      <c r="I6" s="230">
        <v>1940.0</v>
      </c>
      <c r="J6" s="339">
        <f>IFERROR(__xludf.DUMMYFUNCTION("IFERROR(
  INDEX(
    FILTER(
      IMPORTRANGE(""1Cxrhp3-_-HS7v9uuqQliiIfrmMP4VaFoDNDWyUFy2J8/edit?gid=0#gid=0"",""Sheet1!AE:AE""),
      IMPORTRANGE(""1Cxrhp3-_-HS7v9uuqQliiIfrmMP4VaFoDNDWyUFy2J8/edit?gid=0#gid=0"",""Sheet1!K:K"")=$B6
    ),
    1
  ),
"&amp;"  ""Not Found""
)"),1940.0)</f>
        <v>1940</v>
      </c>
      <c r="K6" s="340"/>
      <c r="L6" s="340"/>
      <c r="M6" s="230"/>
      <c r="N6" s="230"/>
      <c r="O6" s="230"/>
      <c r="P6" s="230"/>
      <c r="Q6" s="230"/>
      <c r="R6" s="230"/>
      <c r="S6" s="230"/>
      <c r="T6" s="230"/>
      <c r="U6" s="230"/>
      <c r="V6" s="230"/>
      <c r="W6" s="230"/>
      <c r="X6" s="230"/>
      <c r="Y6" s="230"/>
      <c r="Z6" s="230"/>
    </row>
    <row r="7">
      <c r="A7" s="337" t="str">
        <f>IFERROR(__xludf.DUMMYFUNCTION("VLOOKUP($B7,IMPORTRANGE(""https://docs.google.com/spreadsheets/d/1VNXDITjs75AcgdBSW27oL1VZH31udDprJSsBcE5xlp4/edit?gid=1551188038#gid=1551188038"", ""Sheet9!$B:$E""),2,false)"),"Lahore")</f>
        <v>Lahore</v>
      </c>
      <c r="B7" s="338" t="s">
        <v>4505</v>
      </c>
      <c r="C7" s="284" t="str">
        <f>IFERROR(__xludf.DUMMYFUNCTION("IFERROR(
  INDEX(
    FILTER(
      IMPORTRANGE(""1Cxrhp3-_-HS7v9uuqQliiIfrmMP4VaFoDNDWyUFy2J8/edit?gid=0#gid=0"",""Sheet1!AE:AE""),
      IMPORTRANGE(""1Cxrhp3-_-HS7v9uuqQliiIfrmMP4VaFoDNDWyUFy2J8/edit?gid=0#gid=0"",""Sheet1!K:K"")=$B7
    ),
    1
  ),
"&amp;"  ""Not Found""
)"),"")</f>
        <v/>
      </c>
      <c r="D7" s="284" t="str">
        <f>IFERROR(__xludf.DUMMYFUNCTION("IFERROR(
  INDEX(
    FILTER(
      IMPORTRANGE(""1Cxrhp3-_-HS7v9uuqQliiIfrmMP4VaFoDNDWyUFy2J8/edit?gid=0#gid=0"",""Sheet1!AG:AG""),
      IMPORTRANGE(""1Cxrhp3-_-HS7v9uuqQliiIfrmMP4VaFoDNDWyUFy2J8/edit?gid=0#gid=0"",""Sheet1!K:K"")=$B7
    ),
    1
  ),
"&amp;"  ""Not Found""
)"),"")</f>
        <v/>
      </c>
      <c r="E7" s="284" t="str">
        <f>IFERROR(__xludf.DUMMYFUNCTION("IFERROR(
  INDEX(
    FILTER(
      IMPORTRANGE(""1kOrIKZmJfNUkgOVP3sI9BPjaaPA0_a4636oymQxTXg8/edit?gid=609491371#gid=609491371"",""Form responses 1!J:J""),
      IMPORTRANGE(""1kOrIKZmJfNUkgOVP3sI9BPjaaPA0_a4636oymQxTXg8/edit?gid=609491371#gid=609491371"&amp;""",""Form responses 1!F:F"")=$B7
    ),
    1
  ),
  ""Not Found""
)"),"Not Found")</f>
        <v>Not Found</v>
      </c>
      <c r="F7" s="284" t="str">
        <f>IFERROR(__xludf.DUMMYFUNCTION("IFERROR(
  INDEX(
    FILTER(
      IMPORTRANGE(""1kOrIKZmJfNUkgOVP3sI9BPjaaPA0_a4636oymQxTXg8/edit?gid=609491371#gid=609491371"",""Form responses 1!L:L""),
      IMPORTRANGE(""1kOrIKZmJfNUkgOVP3sI9BPjaaPA0_a4636oymQxTXg8/edit?gid=609491371#gid=609491371"&amp;""",""Form responses 1!F:F"")=$B7
    ),
    1
  ),
  ""Not Found""
)"),"Not Found")</f>
        <v>Not Found</v>
      </c>
      <c r="G7" s="284"/>
      <c r="H7" s="230"/>
      <c r="I7" s="230"/>
      <c r="J7" s="339" t="str">
        <f>IFERROR(__xludf.DUMMYFUNCTION("IFERROR(
  INDEX(
    FILTER(
      IMPORTRANGE(""1Cxrhp3-_-HS7v9uuqQliiIfrmMP4VaFoDNDWyUFy2J8/edit?gid=0#gid=0"",""Sheet1!AE:AE""),
      IMPORTRANGE(""1Cxrhp3-_-HS7v9uuqQliiIfrmMP4VaFoDNDWyUFy2J8/edit?gid=0#gid=0"",""Sheet1!K:K"")=$B7
    ),
    1
  ),
"&amp;"  ""Not Found""
)"),"")</f>
        <v/>
      </c>
      <c r="K7" s="340"/>
      <c r="L7" s="340"/>
      <c r="M7" s="230"/>
      <c r="N7" s="230"/>
      <c r="O7" s="230"/>
      <c r="P7" s="230"/>
      <c r="Q7" s="230"/>
      <c r="R7" s="230"/>
      <c r="S7" s="230"/>
      <c r="T7" s="230"/>
      <c r="U7" s="230"/>
      <c r="V7" s="230"/>
      <c r="W7" s="230"/>
      <c r="X7" s="230"/>
      <c r="Y7" s="230"/>
      <c r="Z7" s="230"/>
    </row>
    <row r="8">
      <c r="A8" s="337" t="str">
        <f>IFERROR(__xludf.DUMMYFUNCTION("VLOOKUP($B8,IMPORTRANGE(""https://docs.google.com/spreadsheets/d/1VNXDITjs75AcgdBSW27oL1VZH31udDprJSsBcE5xlp4/edit?gid=1551188038#gid=1551188038"", ""Sheet9!$B:$E""),2,false)"),"Lahore")</f>
        <v>Lahore</v>
      </c>
      <c r="B8" s="338" t="s">
        <v>1368</v>
      </c>
      <c r="C8" s="284">
        <f>IFERROR(__xludf.DUMMYFUNCTION("IFERROR(
  INDEX(
    FILTER(
      IMPORTRANGE(""1Cxrhp3-_-HS7v9uuqQliiIfrmMP4VaFoDNDWyUFy2J8/edit?gid=0#gid=0"",""Sheet1!AE:AE""),
      IMPORTRANGE(""1Cxrhp3-_-HS7v9uuqQliiIfrmMP4VaFoDNDWyUFy2J8/edit?gid=0#gid=0"",""Sheet1!K:K"")=$B8
    ),
    1
  ),
"&amp;"  ""Not Found""
)"),1945.0)</f>
        <v>1945</v>
      </c>
      <c r="D8" s="284" t="str">
        <f>IFERROR(__xludf.DUMMYFUNCTION("IFERROR(
  INDEX(
    FILTER(
      IMPORTRANGE(""1Cxrhp3-_-HS7v9uuqQliiIfrmMP4VaFoDNDWyUFy2J8/edit?gid=0#gid=0"",""Sheet1!AG:AG""),
      IMPORTRANGE(""1Cxrhp3-_-HS7v9uuqQliiIfrmMP4VaFoDNDWyUFy2J8/edit?gid=0#gid=0"",""Sheet1!K:K"")=$B8
    ),
    1
  ),
"&amp;"  ""Not Found""
)"),"")</f>
        <v/>
      </c>
      <c r="E8" s="284" t="str">
        <f>IFERROR(__xludf.DUMMYFUNCTION("IFERROR(
  INDEX(
    FILTER(
      IMPORTRANGE(""1kOrIKZmJfNUkgOVP3sI9BPjaaPA0_a4636oymQxTXg8/edit?gid=609491371#gid=609491371"",""Form responses 1!J:J""),
      IMPORTRANGE(""1kOrIKZmJfNUkgOVP3sI9BPjaaPA0_a4636oymQxTXg8/edit?gid=609491371#gid=609491371"&amp;""",""Form responses 1!F:F"")=$B8
    ),
    1
  ),
  ""Not Found""
)"),"Not Found")</f>
        <v>Not Found</v>
      </c>
      <c r="F8" s="284" t="str">
        <f>IFERROR(__xludf.DUMMYFUNCTION("IFERROR(
  INDEX(
    FILTER(
      IMPORTRANGE(""1kOrIKZmJfNUkgOVP3sI9BPjaaPA0_a4636oymQxTXg8/edit?gid=609491371#gid=609491371"",""Form responses 1!L:L""),
      IMPORTRANGE(""1kOrIKZmJfNUkgOVP3sI9BPjaaPA0_a4636oymQxTXg8/edit?gid=609491371#gid=609491371"&amp;""",""Form responses 1!F:F"")=$B8
    ),
    1
  ),
  ""Not Found""
)"),"Not Found")</f>
        <v>Not Found</v>
      </c>
      <c r="G8" s="284"/>
      <c r="H8" s="230"/>
      <c r="I8" s="230">
        <v>1945.0</v>
      </c>
      <c r="J8" s="339">
        <f>IFERROR(__xludf.DUMMYFUNCTION("IFERROR(
  INDEX(
    FILTER(
      IMPORTRANGE(""1Cxrhp3-_-HS7v9uuqQliiIfrmMP4VaFoDNDWyUFy2J8/edit?gid=0#gid=0"",""Sheet1!AE:AE""),
      IMPORTRANGE(""1Cxrhp3-_-HS7v9uuqQliiIfrmMP4VaFoDNDWyUFy2J8/edit?gid=0#gid=0"",""Sheet1!K:K"")=$B8
    ),
    1
  ),
"&amp;"  ""Not Found""
)"),1945.0)</f>
        <v>1945</v>
      </c>
      <c r="K8" s="340"/>
      <c r="L8" s="340"/>
      <c r="M8" s="230"/>
      <c r="N8" s="230"/>
      <c r="O8" s="230"/>
      <c r="P8" s="230"/>
      <c r="Q8" s="230"/>
      <c r="R8" s="230"/>
      <c r="S8" s="230"/>
      <c r="T8" s="230"/>
      <c r="U8" s="230"/>
      <c r="V8" s="230"/>
      <c r="W8" s="230"/>
      <c r="X8" s="230"/>
      <c r="Y8" s="230"/>
      <c r="Z8" s="230"/>
    </row>
    <row r="9">
      <c r="A9" s="337" t="str">
        <f>IFERROR(__xludf.DUMMYFUNCTION("VLOOKUP($B9,IMPORTRANGE(""https://docs.google.com/spreadsheets/d/1VNXDITjs75AcgdBSW27oL1VZH31udDprJSsBcE5xlp4/edit?gid=1551188038#gid=1551188038"", ""Sheet9!$B:$E""),2,false)"),"Lahore")</f>
        <v>Lahore</v>
      </c>
      <c r="B9" s="338" t="s">
        <v>1186</v>
      </c>
      <c r="C9" s="284">
        <f>IFERROR(__xludf.DUMMYFUNCTION("IFERROR(
  INDEX(
    FILTER(
      IMPORTRANGE(""1Cxrhp3-_-HS7v9uuqQliiIfrmMP4VaFoDNDWyUFy2J8/edit?gid=0#gid=0"",""Sheet1!AE:AE""),
      IMPORTRANGE(""1Cxrhp3-_-HS7v9uuqQliiIfrmMP4VaFoDNDWyUFy2J8/edit?gid=0#gid=0"",""Sheet1!K:K"")=$B9
    ),
    1
  ),
"&amp;"  ""Not Found""
)"),1900.0)</f>
        <v>1900</v>
      </c>
      <c r="D9" s="284" t="str">
        <f>IFERROR(__xludf.DUMMYFUNCTION("IFERROR(
  INDEX(
    FILTER(
      IMPORTRANGE(""1Cxrhp3-_-HS7v9uuqQliiIfrmMP4VaFoDNDWyUFy2J8/edit?gid=0#gid=0"",""Sheet1!AG:AG""),
      IMPORTRANGE(""1Cxrhp3-_-HS7v9uuqQliiIfrmMP4VaFoDNDWyUFy2J8/edit?gid=0#gid=0"",""Sheet1!K:K"")=$B9
    ),
    1
  ),
"&amp;"  ""Not Found""
)"),"")</f>
        <v/>
      </c>
      <c r="E9" s="284" t="str">
        <f>IFERROR(__xludf.DUMMYFUNCTION("IFERROR(
  INDEX(
    FILTER(
      IMPORTRANGE(""1kOrIKZmJfNUkgOVP3sI9BPjaaPA0_a4636oymQxTXg8/edit?gid=609491371#gid=609491371"",""Form responses 1!J:J""),
      IMPORTRANGE(""1kOrIKZmJfNUkgOVP3sI9BPjaaPA0_a4636oymQxTXg8/edit?gid=609491371#gid=609491371"&amp;""",""Form responses 1!F:F"")=$B9
    ),
    1
  ),
  ""Not Found""
)"),"Not Found")</f>
        <v>Not Found</v>
      </c>
      <c r="F9" s="284" t="str">
        <f>IFERROR(__xludf.DUMMYFUNCTION("IFERROR(
  INDEX(
    FILTER(
      IMPORTRANGE(""1kOrIKZmJfNUkgOVP3sI9BPjaaPA0_a4636oymQxTXg8/edit?gid=609491371#gid=609491371"",""Form responses 1!L:L""),
      IMPORTRANGE(""1kOrIKZmJfNUkgOVP3sI9BPjaaPA0_a4636oymQxTXg8/edit?gid=609491371#gid=609491371"&amp;""",""Form responses 1!F:F"")=$B9
    ),
    1
  ),
  ""Not Found""
)"),"Not Found")</f>
        <v>Not Found</v>
      </c>
      <c r="G9" s="284"/>
      <c r="H9" s="230"/>
      <c r="I9" s="230">
        <v>1900.0</v>
      </c>
      <c r="J9" s="339">
        <f>IFERROR(__xludf.DUMMYFUNCTION("IFERROR(
  INDEX(
    FILTER(
      IMPORTRANGE(""1Cxrhp3-_-HS7v9uuqQliiIfrmMP4VaFoDNDWyUFy2J8/edit?gid=0#gid=0"",""Sheet1!AE:AE""),
      IMPORTRANGE(""1Cxrhp3-_-HS7v9uuqQliiIfrmMP4VaFoDNDWyUFy2J8/edit?gid=0#gid=0"",""Sheet1!K:K"")=$B9
    ),
    1
  ),
"&amp;"  ""Not Found""
)"),1900.0)</f>
        <v>1900</v>
      </c>
      <c r="K9" s="340"/>
      <c r="L9" s="340"/>
      <c r="M9" s="230"/>
      <c r="N9" s="230"/>
      <c r="O9" s="230"/>
      <c r="P9" s="230"/>
      <c r="Q9" s="230"/>
      <c r="R9" s="230"/>
      <c r="S9" s="230"/>
      <c r="T9" s="230"/>
      <c r="U9" s="230"/>
      <c r="V9" s="230"/>
      <c r="W9" s="230"/>
      <c r="X9" s="230"/>
      <c r="Y9" s="230"/>
      <c r="Z9" s="230"/>
    </row>
    <row r="10">
      <c r="A10" s="337" t="str">
        <f>IFERROR(__xludf.DUMMYFUNCTION("VLOOKUP($B10,IMPORTRANGE(""https://docs.google.com/spreadsheets/d/1VNXDITjs75AcgdBSW27oL1VZH31udDprJSsBcE5xlp4/edit?gid=1551188038#gid=1551188038"", ""Sheet9!$B:$E""),2,false)"),"Lahore")</f>
        <v>Lahore</v>
      </c>
      <c r="B10" s="338" t="s">
        <v>1320</v>
      </c>
      <c r="C10" s="284" t="str">
        <f>IFERROR(__xludf.DUMMYFUNCTION("IFERROR(
  INDEX(
    FILTER(
      IMPORTRANGE(""1Cxrhp3-_-HS7v9uuqQliiIfrmMP4VaFoDNDWyUFy2J8/edit?gid=0#gid=0"",""Sheet1!AE:AE""),
      IMPORTRANGE(""1Cxrhp3-_-HS7v9uuqQliiIfrmMP4VaFoDNDWyUFy2J8/edit?gid=0#gid=0"",""Sheet1!K:K"")=$B10
    ),
    1
  ),"&amp;"
  ""Not Found""
)"),"")</f>
        <v/>
      </c>
      <c r="D10" s="284" t="str">
        <f>IFERROR(__xludf.DUMMYFUNCTION("IFERROR(
  INDEX(
    FILTER(
      IMPORTRANGE(""1Cxrhp3-_-HS7v9uuqQliiIfrmMP4VaFoDNDWyUFy2J8/edit?gid=0#gid=0"",""Sheet1!AG:AG""),
      IMPORTRANGE(""1Cxrhp3-_-HS7v9uuqQliiIfrmMP4VaFoDNDWyUFy2J8/edit?gid=0#gid=0"",""Sheet1!K:K"")=$B10
    ),
    1
  ),"&amp;"
  ""Not Found""
)"),"")</f>
        <v/>
      </c>
      <c r="E10" s="284" t="str">
        <f>IFERROR(__xludf.DUMMYFUNCTION("IFERROR(
  INDEX(
    FILTER(
      IMPORTRANGE(""1kOrIKZmJfNUkgOVP3sI9BPjaaPA0_a4636oymQxTXg8/edit?gid=609491371#gid=609491371"",""Form responses 1!J:J""),
      IMPORTRANGE(""1kOrIKZmJfNUkgOVP3sI9BPjaaPA0_a4636oymQxTXg8/edit?gid=609491371#gid=609491371"&amp;""",""Form responses 1!F:F"")=$B10
    ),
    1
  ),
  ""Not Found""
)"),"Not Found")</f>
        <v>Not Found</v>
      </c>
      <c r="F10" s="284" t="str">
        <f>IFERROR(__xludf.DUMMYFUNCTION("IFERROR(
  INDEX(
    FILTER(
      IMPORTRANGE(""1kOrIKZmJfNUkgOVP3sI9BPjaaPA0_a4636oymQxTXg8/edit?gid=609491371#gid=609491371"",""Form responses 1!L:L""),
      IMPORTRANGE(""1kOrIKZmJfNUkgOVP3sI9BPjaaPA0_a4636oymQxTXg8/edit?gid=609491371#gid=609491371"&amp;""",""Form responses 1!F:F"")=$B10
    ),
    1
  ),
  ""Not Found""
)"),"Not Found")</f>
        <v>Not Found</v>
      </c>
      <c r="G10" s="284"/>
      <c r="H10" s="230"/>
      <c r="I10" s="230"/>
      <c r="J10" s="339" t="str">
        <f>IFERROR(__xludf.DUMMYFUNCTION("IFERROR(
  INDEX(
    FILTER(
      IMPORTRANGE(""1Cxrhp3-_-HS7v9uuqQliiIfrmMP4VaFoDNDWyUFy2J8/edit?gid=0#gid=0"",""Sheet1!AE:AE""),
      IMPORTRANGE(""1Cxrhp3-_-HS7v9uuqQliiIfrmMP4VaFoDNDWyUFy2J8/edit?gid=0#gid=0"",""Sheet1!K:K"")=$B10
    ),
    1
  ),"&amp;"
  ""Not Found""
)"),"")</f>
        <v/>
      </c>
      <c r="K10" s="340"/>
      <c r="L10" s="340"/>
      <c r="M10" s="230"/>
      <c r="N10" s="230"/>
      <c r="O10" s="230"/>
      <c r="P10" s="230"/>
      <c r="Q10" s="230"/>
      <c r="R10" s="230"/>
      <c r="S10" s="230"/>
      <c r="T10" s="230"/>
      <c r="U10" s="230"/>
      <c r="V10" s="230"/>
      <c r="W10" s="230"/>
      <c r="X10" s="230"/>
      <c r="Y10" s="230"/>
      <c r="Z10" s="230"/>
    </row>
    <row r="11">
      <c r="A11" s="337" t="str">
        <f>IFERROR(__xludf.DUMMYFUNCTION("VLOOKUP($B11,IMPORTRANGE(""https://docs.google.com/spreadsheets/d/1VNXDITjs75AcgdBSW27oL1VZH31udDprJSsBcE5xlp4/edit?gid=1551188038#gid=1551188038"", ""Sheet9!$B:$E""),2,false)"),"Lahore")</f>
        <v>Lahore</v>
      </c>
      <c r="B11" s="338" t="s">
        <v>1123</v>
      </c>
      <c r="C11" s="284">
        <f>IFERROR(__xludf.DUMMYFUNCTION("IFERROR(
  INDEX(
    FILTER(
      IMPORTRANGE(""1Cxrhp3-_-HS7v9uuqQliiIfrmMP4VaFoDNDWyUFy2J8/edit?gid=0#gid=0"",""Sheet1!AE:AE""),
      IMPORTRANGE(""1Cxrhp3-_-HS7v9uuqQliiIfrmMP4VaFoDNDWyUFy2J8/edit?gid=0#gid=0"",""Sheet1!K:K"")=$B11
    ),
    1
  ),"&amp;"
  ""Not Found""
)"),1950.0)</f>
        <v>1950</v>
      </c>
      <c r="D11" s="284" t="str">
        <f>IFERROR(__xludf.DUMMYFUNCTION("IFERROR(
  INDEX(
    FILTER(
      IMPORTRANGE(""1Cxrhp3-_-HS7v9uuqQliiIfrmMP4VaFoDNDWyUFy2J8/edit?gid=0#gid=0"",""Sheet1!AG:AG""),
      IMPORTRANGE(""1Cxrhp3-_-HS7v9uuqQliiIfrmMP4VaFoDNDWyUFy2J8/edit?gid=0#gid=0"",""Sheet1!K:K"")=$B11
    ),
    1
  ),"&amp;"
  ""Not Found""
)"),"Takiya Hazoori Shah ")</f>
        <v>Takiya Hazoori Shah </v>
      </c>
      <c r="E11" s="284" t="str">
        <f>IFERROR(__xludf.DUMMYFUNCTION("IFERROR(
  INDEX(
    FILTER(
      IMPORTRANGE(""1kOrIKZmJfNUkgOVP3sI9BPjaaPA0_a4636oymQxTXg8/edit?gid=609491371#gid=609491371"",""Form responses 1!J:J""),
      IMPORTRANGE(""1kOrIKZmJfNUkgOVP3sI9BPjaaPA0_a4636oymQxTXg8/edit?gid=609491371#gid=609491371"&amp;""",""Form responses 1!F:F"")=$B11
    ),
    1
  ),
  ""Not Found""
)"),"Not Found")</f>
        <v>Not Found</v>
      </c>
      <c r="F11" s="284" t="str">
        <f>IFERROR(__xludf.DUMMYFUNCTION("IFERROR(
  INDEX(
    FILTER(
      IMPORTRANGE(""1kOrIKZmJfNUkgOVP3sI9BPjaaPA0_a4636oymQxTXg8/edit?gid=609491371#gid=609491371"",""Form responses 1!L:L""),
      IMPORTRANGE(""1kOrIKZmJfNUkgOVP3sI9BPjaaPA0_a4636oymQxTXg8/edit?gid=609491371#gid=609491371"&amp;""",""Form responses 1!F:F"")=$B11
    ),
    1
  ),
  ""Not Found""
)"),"Not Found")</f>
        <v>Not Found</v>
      </c>
      <c r="G11" s="284"/>
      <c r="H11" s="230"/>
      <c r="I11" s="230">
        <v>1950.0</v>
      </c>
      <c r="J11" s="339">
        <f>IFERROR(__xludf.DUMMYFUNCTION("IFERROR(
  INDEX(
    FILTER(
      IMPORTRANGE(""1Cxrhp3-_-HS7v9uuqQliiIfrmMP4VaFoDNDWyUFy2J8/edit?gid=0#gid=0"",""Sheet1!AE:AE""),
      IMPORTRANGE(""1Cxrhp3-_-HS7v9uuqQliiIfrmMP4VaFoDNDWyUFy2J8/edit?gid=0#gid=0"",""Sheet1!K:K"")=$B11
    ),
    1
  ),"&amp;"
  ""Not Found""
)"),1950.0)</f>
        <v>1950</v>
      </c>
      <c r="K11" s="340"/>
      <c r="L11" s="340"/>
      <c r="M11" s="230"/>
      <c r="N11" s="230"/>
      <c r="O11" s="230"/>
      <c r="P11" s="230"/>
      <c r="Q11" s="230"/>
      <c r="R11" s="230"/>
      <c r="S11" s="230"/>
      <c r="T11" s="230"/>
      <c r="U11" s="230"/>
      <c r="V11" s="230"/>
      <c r="W11" s="230"/>
      <c r="X11" s="230"/>
      <c r="Y11" s="230"/>
      <c r="Z11" s="230"/>
    </row>
    <row r="12">
      <c r="A12" s="337" t="str">
        <f>IFERROR(__xludf.DUMMYFUNCTION("VLOOKUP($B12,IMPORTRANGE(""https://docs.google.com/spreadsheets/d/1VNXDITjs75AcgdBSW27oL1VZH31udDprJSsBcE5xlp4/edit?gid=1551188038#gid=1551188038"", ""Sheet9!$B:$E""),2,false)"),"Lahore")</f>
        <v>Lahore</v>
      </c>
      <c r="B12" s="338" t="s">
        <v>670</v>
      </c>
      <c r="C12" s="284" t="str">
        <f>IFERROR(__xludf.DUMMYFUNCTION("IFERROR(
  INDEX(
    FILTER(
      IMPORTRANGE(""1Cxrhp3-_-HS7v9uuqQliiIfrmMP4VaFoDNDWyUFy2J8/edit?gid=0#gid=0"",""Sheet1!AE:AE""),
      IMPORTRANGE(""1Cxrhp3-_-HS7v9uuqQliiIfrmMP4VaFoDNDWyUFy2J8/edit?gid=0#gid=0"",""Sheet1!K:K"")=$B12
    ),
    1
  ),"&amp;"
  ""Not Found""
)"),"Not Found")</f>
        <v>Not Found</v>
      </c>
      <c r="D12" s="284"/>
      <c r="E12" s="284" t="str">
        <f>IFERROR(__xludf.DUMMYFUNCTION("IFERROR(
  INDEX(
    FILTER(
      IMPORTRANGE(""1kOrIKZmJfNUkgOVP3sI9BPjaaPA0_a4636oymQxTXg8/edit?gid=609491371#gid=609491371"",""Form responses 1!J:J""),
      IMPORTRANGE(""1kOrIKZmJfNUkgOVP3sI9BPjaaPA0_a4636oymQxTXg8/edit?gid=609491371#gid=609491371"&amp;""",""Form responses 1!F:F"")=$B12
    ),
    1
  ),
  ""Not Found""
)"),"Not Found")</f>
        <v>Not Found</v>
      </c>
      <c r="F12" s="284" t="str">
        <f>IFERROR(__xludf.DUMMYFUNCTION("IFERROR(
  INDEX(
    FILTER(
      IMPORTRANGE(""1kOrIKZmJfNUkgOVP3sI9BPjaaPA0_a4636oymQxTXg8/edit?gid=609491371#gid=609491371"",""Form responses 1!L:L""),
      IMPORTRANGE(""1kOrIKZmJfNUkgOVP3sI9BPjaaPA0_a4636oymQxTXg8/edit?gid=609491371#gid=609491371"&amp;""",""Form responses 1!F:F"")=$B12
    ),
    1
  ),
  ""Not Found""
)"),"Not Found")</f>
        <v>Not Found</v>
      </c>
      <c r="G12" s="284"/>
      <c r="H12" s="230"/>
      <c r="I12" s="230"/>
      <c r="J12" s="339" t="str">
        <f>IFERROR(__xludf.DUMMYFUNCTION("IFERROR(
  INDEX(
    FILTER(
      IMPORTRANGE(""1Cxrhp3-_-HS7v9uuqQliiIfrmMP4VaFoDNDWyUFy2J8/edit?gid=0#gid=0"",""Sheet1!AE:AE""),
      IMPORTRANGE(""1Cxrhp3-_-HS7v9uuqQliiIfrmMP4VaFoDNDWyUFy2J8/edit?gid=0#gid=0"",""Sheet1!K:K"")=$B12
    ),
    1
  ),"&amp;"
  ""Not Found""
)"),"Not Found")</f>
        <v>Not Found</v>
      </c>
      <c r="K12" s="340"/>
      <c r="L12" s="340"/>
      <c r="M12" s="230"/>
      <c r="N12" s="230"/>
      <c r="O12" s="230"/>
      <c r="P12" s="230"/>
      <c r="Q12" s="230"/>
      <c r="R12" s="230"/>
      <c r="S12" s="230"/>
      <c r="T12" s="230"/>
      <c r="U12" s="230"/>
      <c r="V12" s="230"/>
      <c r="W12" s="230"/>
      <c r="X12" s="230"/>
      <c r="Y12" s="230"/>
      <c r="Z12" s="230"/>
    </row>
    <row r="13">
      <c r="A13" s="337" t="str">
        <f>IFERROR(__xludf.DUMMYFUNCTION("VLOOKUP($B13,IMPORTRANGE(""https://docs.google.com/spreadsheets/d/1VNXDITjs75AcgdBSW27oL1VZH31udDprJSsBcE5xlp4/edit?gid=1551188038#gid=1551188038"", ""Sheet9!$B:$E""),2,false)"),"Lahore")</f>
        <v>Lahore</v>
      </c>
      <c r="B13" s="338" t="s">
        <v>1680</v>
      </c>
      <c r="C13" s="284" t="str">
        <f>IFERROR(__xludf.DUMMYFUNCTION("IFERROR(
  INDEX(
    FILTER(
      IMPORTRANGE(""1Cxrhp3-_-HS7v9uuqQliiIfrmMP4VaFoDNDWyUFy2J8/edit?gid=0#gid=0"",""Sheet1!AE:AE""),
      IMPORTRANGE(""1Cxrhp3-_-HS7v9uuqQliiIfrmMP4VaFoDNDWyUFy2J8/edit?gid=0#gid=0"",""Sheet1!K:K"")=$B13
    ),
    1
  ),"&amp;"
  ""Not Found""
)"),"Not Found")</f>
        <v>Not Found</v>
      </c>
      <c r="D13" s="284"/>
      <c r="E13" s="284" t="str">
        <f>IFERROR(__xludf.DUMMYFUNCTION("IFERROR(
  INDEX(
    FILTER(
      IMPORTRANGE(""1kOrIKZmJfNUkgOVP3sI9BPjaaPA0_a4636oymQxTXg8/edit?gid=609491371#gid=609491371"",""Form responses 1!J:J""),
      IMPORTRANGE(""1kOrIKZmJfNUkgOVP3sI9BPjaaPA0_a4636oymQxTXg8/edit?gid=609491371#gid=609491371"&amp;""",""Form responses 1!F:F"")=$B13
    ),
    1
  ),
  ""Not Found""
)"),"Not Found")</f>
        <v>Not Found</v>
      </c>
      <c r="F13" s="284" t="str">
        <f>IFERROR(__xludf.DUMMYFUNCTION("IFERROR(
  INDEX(
    FILTER(
      IMPORTRANGE(""1kOrIKZmJfNUkgOVP3sI9BPjaaPA0_a4636oymQxTXg8/edit?gid=609491371#gid=609491371"",""Form responses 1!L:L""),
      IMPORTRANGE(""1kOrIKZmJfNUkgOVP3sI9BPjaaPA0_a4636oymQxTXg8/edit?gid=609491371#gid=609491371"&amp;""",""Form responses 1!F:F"")=$B13
    ),
    1
  ),
  ""Not Found""
)"),"Not Found")</f>
        <v>Not Found</v>
      </c>
      <c r="G13" s="284"/>
      <c r="H13" s="230"/>
      <c r="I13" s="230"/>
      <c r="J13" s="339" t="str">
        <f>IFERROR(__xludf.DUMMYFUNCTION("IFERROR(
  INDEX(
    FILTER(
      IMPORTRANGE(""1Cxrhp3-_-HS7v9uuqQliiIfrmMP4VaFoDNDWyUFy2J8/edit?gid=0#gid=0"",""Sheet1!AE:AE""),
      IMPORTRANGE(""1Cxrhp3-_-HS7v9uuqQliiIfrmMP4VaFoDNDWyUFy2J8/edit?gid=0#gid=0"",""Sheet1!K:K"")=$B13
    ),
    1
  ),"&amp;"
  ""Not Found""
)"),"Not Found")</f>
        <v>Not Found</v>
      </c>
      <c r="K13" s="340"/>
      <c r="L13" s="340"/>
      <c r="M13" s="230"/>
      <c r="N13" s="230"/>
      <c r="O13" s="230"/>
      <c r="P13" s="230"/>
      <c r="Q13" s="230"/>
      <c r="R13" s="230"/>
      <c r="S13" s="230"/>
      <c r="T13" s="230"/>
      <c r="U13" s="230"/>
      <c r="V13" s="230"/>
      <c r="W13" s="230"/>
      <c r="X13" s="230"/>
      <c r="Y13" s="230"/>
      <c r="Z13" s="230"/>
    </row>
    <row r="14">
      <c r="A14" s="337" t="str">
        <f>IFERROR(__xludf.DUMMYFUNCTION("VLOOKUP($B14,IMPORTRANGE(""https://docs.google.com/spreadsheets/d/1VNXDITjs75AcgdBSW27oL1VZH31udDprJSsBcE5xlp4/edit?gid=1551188038#gid=1551188038"", ""Sheet9!$B:$E""),2,false)"),"Lahore")</f>
        <v>Lahore</v>
      </c>
      <c r="B14" s="338" t="s">
        <v>1147</v>
      </c>
      <c r="C14" s="284">
        <f>IFERROR(__xludf.DUMMYFUNCTION("IFERROR(
  INDEX(
    FILTER(
      IMPORTRANGE(""1Cxrhp3-_-HS7v9uuqQliiIfrmMP4VaFoDNDWyUFy2J8/edit?gid=0#gid=0"",""Sheet1!AE:AE""),
      IMPORTRANGE(""1Cxrhp3-_-HS7v9uuqQliiIfrmMP4VaFoDNDWyUFy2J8/edit?gid=0#gid=0"",""Sheet1!K:K"")=$B14
    ),
    1
  ),"&amp;"
  ""Not Found""
)"),1890.0)</f>
        <v>1890</v>
      </c>
      <c r="D14" s="284" t="str">
        <f>IFERROR(__xludf.DUMMYFUNCTION("IFERROR(
  INDEX(
    FILTER(
      IMPORTRANGE(""1Cxrhp3-_-HS7v9uuqQliiIfrmMP4VaFoDNDWyUFy2J8/edit?gid=0#gid=0"",""Sheet1!AG:AG""),
      IMPORTRANGE(""1Cxrhp3-_-HS7v9uuqQliiIfrmMP4VaFoDNDWyUFy2J8/edit?gid=0#gid=0"",""Sheet1!K:K"")=$B14
    ),
    1
  ),"&amp;"
  ""Not Found""
)"),"Shah Ali rangrez")</f>
        <v>Shah Ali rangrez</v>
      </c>
      <c r="E14" s="284" t="str">
        <f>IFERROR(__xludf.DUMMYFUNCTION("IFERROR(
  INDEX(
    FILTER(
      IMPORTRANGE(""1kOrIKZmJfNUkgOVP3sI9BPjaaPA0_a4636oymQxTXg8/edit?gid=609491371#gid=609491371"",""Form responses 1!J:J""),
      IMPORTRANGE(""1kOrIKZmJfNUkgOVP3sI9BPjaaPA0_a4636oymQxTXg8/edit?gid=609491371#gid=609491371"&amp;""",""Form responses 1!F:F"")=$B14
    ),
    1
  ),
  ""Not Found""
)"),"Not Found")</f>
        <v>Not Found</v>
      </c>
      <c r="F14" s="284" t="str">
        <f>IFERROR(__xludf.DUMMYFUNCTION("IFERROR(
  INDEX(
    FILTER(
      IMPORTRANGE(""1kOrIKZmJfNUkgOVP3sI9BPjaaPA0_a4636oymQxTXg8/edit?gid=609491371#gid=609491371"",""Form responses 1!L:L""),
      IMPORTRANGE(""1kOrIKZmJfNUkgOVP3sI9BPjaaPA0_a4636oymQxTXg8/edit?gid=609491371#gid=609491371"&amp;""",""Form responses 1!F:F"")=$B14
    ),
    1
  ),
  ""Not Found""
)"),"Not Found")</f>
        <v>Not Found</v>
      </c>
      <c r="G14" s="284"/>
      <c r="H14" s="230"/>
      <c r="I14" s="230">
        <v>1890.0</v>
      </c>
      <c r="J14" s="339">
        <f>IFERROR(__xludf.DUMMYFUNCTION("IFERROR(
  INDEX(
    FILTER(
      IMPORTRANGE(""1Cxrhp3-_-HS7v9uuqQliiIfrmMP4VaFoDNDWyUFy2J8/edit?gid=0#gid=0"",""Sheet1!AE:AE""),
      IMPORTRANGE(""1Cxrhp3-_-HS7v9uuqQliiIfrmMP4VaFoDNDWyUFy2J8/edit?gid=0#gid=0"",""Sheet1!K:K"")=$B14
    ),
    1
  ),"&amp;"
  ""Not Found""
)"),1890.0)</f>
        <v>1890</v>
      </c>
      <c r="K14" s="340"/>
      <c r="L14" s="340"/>
      <c r="M14" s="230"/>
      <c r="N14" s="230"/>
      <c r="O14" s="230"/>
      <c r="P14" s="230"/>
      <c r="Q14" s="230"/>
      <c r="R14" s="230"/>
      <c r="S14" s="230"/>
      <c r="T14" s="230"/>
      <c r="U14" s="230"/>
      <c r="V14" s="230"/>
      <c r="W14" s="230"/>
      <c r="X14" s="230"/>
      <c r="Y14" s="230"/>
      <c r="Z14" s="230"/>
    </row>
    <row r="15">
      <c r="A15" s="337" t="str">
        <f>IFERROR(__xludf.DUMMYFUNCTION("VLOOKUP($B15,IMPORTRANGE(""https://docs.google.com/spreadsheets/d/1VNXDITjs75AcgdBSW27oL1VZH31udDprJSsBcE5xlp4/edit?gid=1551188038#gid=1551188038"", ""Sheet9!$B:$E""),2,false)"),"Lahore")</f>
        <v>Lahore</v>
      </c>
      <c r="B15" s="338" t="s">
        <v>1485</v>
      </c>
      <c r="C15" s="284">
        <f>IFERROR(__xludf.DUMMYFUNCTION("IFERROR(
  INDEX(
    FILTER(
      IMPORTRANGE(""1Cxrhp3-_-HS7v9uuqQliiIfrmMP4VaFoDNDWyUFy2J8/edit?gid=0#gid=0"",""Sheet1!AE:AE""),
      IMPORTRANGE(""1Cxrhp3-_-HS7v9uuqQliiIfrmMP4VaFoDNDWyUFy2J8/edit?gid=0#gid=0"",""Sheet1!K:K"")=$B15
    ),
    1
  ),"&amp;"
  ""Not Found""
)"),1890.0)</f>
        <v>1890</v>
      </c>
      <c r="D15" s="284" t="str">
        <f>IFERROR(__xludf.DUMMYFUNCTION("IFERROR(
  INDEX(
    FILTER(
      IMPORTRANGE(""1Cxrhp3-_-HS7v9uuqQliiIfrmMP4VaFoDNDWyUFy2J8/edit?gid=0#gid=0"",""Sheet1!AG:AG""),
      IMPORTRANGE(""1Cxrhp3-_-HS7v9uuqQliiIfrmMP4VaFoDNDWyUFy2J8/edit?gid=0#gid=0"",""Sheet1!K:K"")=$B15
    ),
    1
  ),"&amp;"
  ""Not Found""
)"),"")</f>
        <v/>
      </c>
      <c r="E15" s="284" t="str">
        <f>IFERROR(__xludf.DUMMYFUNCTION("IFERROR(
  INDEX(
    FILTER(
      IMPORTRANGE(""1kOrIKZmJfNUkgOVP3sI9BPjaaPA0_a4636oymQxTXg8/edit?gid=609491371#gid=609491371"",""Form responses 1!J:J""),
      IMPORTRANGE(""1kOrIKZmJfNUkgOVP3sI9BPjaaPA0_a4636oymQxTXg8/edit?gid=609491371#gid=609491371"&amp;""",""Form responses 1!F:F"")=$B15
    ),
    1
  ),
  ""Not Found""
)"),"Not Found")</f>
        <v>Not Found</v>
      </c>
      <c r="F15" s="284" t="str">
        <f>IFERROR(__xludf.DUMMYFUNCTION("IFERROR(
  INDEX(
    FILTER(
      IMPORTRANGE(""1kOrIKZmJfNUkgOVP3sI9BPjaaPA0_a4636oymQxTXg8/edit?gid=609491371#gid=609491371"",""Form responses 1!L:L""),
      IMPORTRANGE(""1kOrIKZmJfNUkgOVP3sI9BPjaaPA0_a4636oymQxTXg8/edit?gid=609491371#gid=609491371"&amp;""",""Form responses 1!F:F"")=$B15
    ),
    1
  ),
  ""Not Found""
)"),"Not Found")</f>
        <v>Not Found</v>
      </c>
      <c r="G15" s="284"/>
      <c r="H15" s="230"/>
      <c r="I15" s="230">
        <v>1890.0</v>
      </c>
      <c r="J15" s="339">
        <f>IFERROR(__xludf.DUMMYFUNCTION("IFERROR(
  INDEX(
    FILTER(
      IMPORTRANGE(""1Cxrhp3-_-HS7v9uuqQliiIfrmMP4VaFoDNDWyUFy2J8/edit?gid=0#gid=0"",""Sheet1!AE:AE""),
      IMPORTRANGE(""1Cxrhp3-_-HS7v9uuqQliiIfrmMP4VaFoDNDWyUFy2J8/edit?gid=0#gid=0"",""Sheet1!K:K"")=$B15
    ),
    1
  ),"&amp;"
  ""Not Found""
)"),1890.0)</f>
        <v>1890</v>
      </c>
      <c r="K15" s="340"/>
      <c r="L15" s="340"/>
      <c r="M15" s="230"/>
      <c r="N15" s="230"/>
      <c r="O15" s="230"/>
      <c r="P15" s="230"/>
      <c r="Q15" s="230"/>
      <c r="R15" s="230"/>
      <c r="S15" s="230"/>
      <c r="T15" s="230"/>
      <c r="U15" s="230"/>
      <c r="V15" s="230"/>
      <c r="W15" s="230"/>
      <c r="X15" s="230"/>
      <c r="Y15" s="230"/>
      <c r="Z15" s="230"/>
    </row>
    <row r="16">
      <c r="A16" s="337" t="str">
        <f>IFERROR(__xludf.DUMMYFUNCTION("VLOOKUP($B16,IMPORTRANGE(""https://docs.google.com/spreadsheets/d/1VNXDITjs75AcgdBSW27oL1VZH31udDprJSsBcE5xlp4/edit?gid=1551188038#gid=1551188038"", ""Sheet9!$B:$E""),2,false)"),"Lahore")</f>
        <v>Lahore</v>
      </c>
      <c r="B16" s="338" t="s">
        <v>1328</v>
      </c>
      <c r="C16" s="284">
        <f>IFERROR(__xludf.DUMMYFUNCTION("IFERROR(
  INDEX(
    FILTER(
      IMPORTRANGE(""1Cxrhp3-_-HS7v9uuqQliiIfrmMP4VaFoDNDWyUFy2J8/edit?gid=0#gid=0"",""Sheet1!AE:AE""),
      IMPORTRANGE(""1Cxrhp3-_-HS7v9uuqQliiIfrmMP4VaFoDNDWyUFy2J8/edit?gid=0#gid=0"",""Sheet1!K:K"")=$B16
    ),
    1
  ),"&amp;"
  ""Not Found""
)"),1920.0)</f>
        <v>1920</v>
      </c>
      <c r="D16" s="284" t="str">
        <f>IFERROR(__xludf.DUMMYFUNCTION("IFERROR(
  INDEX(
    FILTER(
      IMPORTRANGE(""1Cxrhp3-_-HS7v9uuqQliiIfrmMP4VaFoDNDWyUFy2J8/edit?gid=0#gid=0"",""Sheet1!AG:AG""),
      IMPORTRANGE(""1Cxrhp3-_-HS7v9uuqQliiIfrmMP4VaFoDNDWyUFy2J8/edit?gid=0#gid=0"",""Sheet1!K:K"")=$B16
    ),
    1
  ),"&amp;"
  ""Not Found""
)"),"")</f>
        <v/>
      </c>
      <c r="E16" s="284" t="str">
        <f>IFERROR(__xludf.DUMMYFUNCTION("IFERROR(
  INDEX(
    FILTER(
      IMPORTRANGE(""1kOrIKZmJfNUkgOVP3sI9BPjaaPA0_a4636oymQxTXg8/edit?gid=609491371#gid=609491371"",""Form responses 1!J:J""),
      IMPORTRANGE(""1kOrIKZmJfNUkgOVP3sI9BPjaaPA0_a4636oymQxTXg8/edit?gid=609491371#gid=609491371"&amp;""",""Form responses 1!F:F"")=$B16
    ),
    1
  ),
  ""Not Found""
)"),"Not Found")</f>
        <v>Not Found</v>
      </c>
      <c r="F16" s="284" t="str">
        <f>IFERROR(__xludf.DUMMYFUNCTION("IFERROR(
  INDEX(
    FILTER(
      IMPORTRANGE(""1kOrIKZmJfNUkgOVP3sI9BPjaaPA0_a4636oymQxTXg8/edit?gid=609491371#gid=609491371"",""Form responses 1!L:L""),
      IMPORTRANGE(""1kOrIKZmJfNUkgOVP3sI9BPjaaPA0_a4636oymQxTXg8/edit?gid=609491371#gid=609491371"&amp;""",""Form responses 1!F:F"")=$B16
    ),
    1
  ),
  ""Not Found""
)"),"Not Found")</f>
        <v>Not Found</v>
      </c>
      <c r="G16" s="284"/>
      <c r="H16" s="230"/>
      <c r="I16" s="230">
        <v>1920.0</v>
      </c>
      <c r="J16" s="339">
        <f>IFERROR(__xludf.DUMMYFUNCTION("IFERROR(
  INDEX(
    FILTER(
      IMPORTRANGE(""1Cxrhp3-_-HS7v9uuqQliiIfrmMP4VaFoDNDWyUFy2J8/edit?gid=0#gid=0"",""Sheet1!AE:AE""),
      IMPORTRANGE(""1Cxrhp3-_-HS7v9uuqQliiIfrmMP4VaFoDNDWyUFy2J8/edit?gid=0#gid=0"",""Sheet1!K:K"")=$B16
    ),
    1
  ),"&amp;"
  ""Not Found""
)"),1920.0)</f>
        <v>1920</v>
      </c>
      <c r="K16" s="340"/>
      <c r="L16" s="340"/>
      <c r="M16" s="230"/>
      <c r="N16" s="230"/>
      <c r="O16" s="230"/>
      <c r="P16" s="230"/>
      <c r="Q16" s="230"/>
      <c r="R16" s="230"/>
      <c r="S16" s="230"/>
      <c r="T16" s="230"/>
      <c r="U16" s="230"/>
      <c r="V16" s="230"/>
      <c r="W16" s="230"/>
      <c r="X16" s="230"/>
      <c r="Y16" s="230"/>
      <c r="Z16" s="230"/>
    </row>
    <row r="17">
      <c r="A17" s="337" t="str">
        <f>IFERROR(__xludf.DUMMYFUNCTION("VLOOKUP($B17,IMPORTRANGE(""https://docs.google.com/spreadsheets/d/1VNXDITjs75AcgdBSW27oL1VZH31udDprJSsBcE5xlp4/edit?gid=1551188038#gid=1551188038"", ""Sheet9!$B:$E""),2,false)"),"Lahore")</f>
        <v>Lahore</v>
      </c>
      <c r="B17" s="338" t="s">
        <v>1499</v>
      </c>
      <c r="C17" s="284">
        <f>IFERROR(__xludf.DUMMYFUNCTION("IFERROR(
  INDEX(
    FILTER(
      IMPORTRANGE(""1Cxrhp3-_-HS7v9uuqQliiIfrmMP4VaFoDNDWyUFy2J8/edit?gid=0#gid=0"",""Sheet1!AE:AE""),
      IMPORTRANGE(""1Cxrhp3-_-HS7v9uuqQliiIfrmMP4VaFoDNDWyUFy2J8/edit?gid=0#gid=0"",""Sheet1!K:K"")=$B17
    ),
    1
  ),"&amp;"
  ""Not Found""
)"),1974.0)</f>
        <v>1974</v>
      </c>
      <c r="D17" s="284" t="str">
        <f>IFERROR(__xludf.DUMMYFUNCTION("IFERROR(
  INDEX(
    FILTER(
      IMPORTRANGE(""1Cxrhp3-_-HS7v9uuqQliiIfrmMP4VaFoDNDWyUFy2J8/edit?gid=0#gid=0"",""Sheet1!AG:AG""),
      IMPORTRANGE(""1Cxrhp3-_-HS7v9uuqQliiIfrmMP4VaFoDNDWyUFy2J8/edit?gid=0#gid=0"",""Sheet1!K:K"")=$B17
    ),
    1
  ),"&amp;"
  ""Not Found""
)"),"")</f>
        <v/>
      </c>
      <c r="E17" s="284" t="str">
        <f>IFERROR(__xludf.DUMMYFUNCTION("IFERROR(
  INDEX(
    FILTER(
      IMPORTRANGE(""1kOrIKZmJfNUkgOVP3sI9BPjaaPA0_a4636oymQxTXg8/edit?gid=609491371#gid=609491371"",""Form responses 1!J:J""),
      IMPORTRANGE(""1kOrIKZmJfNUkgOVP3sI9BPjaaPA0_a4636oymQxTXg8/edit?gid=609491371#gid=609491371"&amp;""",""Form responses 1!F:F"")=$B17
    ),
    1
  ),
  ""Not Found""
)"),"Not Found")</f>
        <v>Not Found</v>
      </c>
      <c r="F17" s="284" t="str">
        <f>IFERROR(__xludf.DUMMYFUNCTION("IFERROR(
  INDEX(
    FILTER(
      IMPORTRANGE(""1kOrIKZmJfNUkgOVP3sI9BPjaaPA0_a4636oymQxTXg8/edit?gid=609491371#gid=609491371"",""Form responses 1!L:L""),
      IMPORTRANGE(""1kOrIKZmJfNUkgOVP3sI9BPjaaPA0_a4636oymQxTXg8/edit?gid=609491371#gid=609491371"&amp;""",""Form responses 1!F:F"")=$B17
    ),
    1
  ),
  ""Not Found""
)"),"Not Found")</f>
        <v>Not Found</v>
      </c>
      <c r="G17" s="284"/>
      <c r="H17" s="230"/>
      <c r="I17" s="230">
        <v>1974.0</v>
      </c>
      <c r="J17" s="339">
        <f>IFERROR(__xludf.DUMMYFUNCTION("IFERROR(
  INDEX(
    FILTER(
      IMPORTRANGE(""1Cxrhp3-_-HS7v9uuqQliiIfrmMP4VaFoDNDWyUFy2J8/edit?gid=0#gid=0"",""Sheet1!AE:AE""),
      IMPORTRANGE(""1Cxrhp3-_-HS7v9uuqQliiIfrmMP4VaFoDNDWyUFy2J8/edit?gid=0#gid=0"",""Sheet1!K:K"")=$B17
    ),
    1
  ),"&amp;"
  ""Not Found""
)"),1974.0)</f>
        <v>1974</v>
      </c>
      <c r="K17" s="340"/>
      <c r="L17" s="340"/>
      <c r="M17" s="230"/>
      <c r="N17" s="230"/>
      <c r="O17" s="230"/>
      <c r="P17" s="230"/>
      <c r="Q17" s="230"/>
      <c r="R17" s="230"/>
      <c r="S17" s="230"/>
      <c r="T17" s="230"/>
      <c r="U17" s="230"/>
      <c r="V17" s="230"/>
      <c r="W17" s="230"/>
      <c r="X17" s="230"/>
      <c r="Y17" s="230"/>
      <c r="Z17" s="230"/>
    </row>
    <row r="18">
      <c r="A18" s="337" t="str">
        <f>IFERROR(__xludf.DUMMYFUNCTION("VLOOKUP($B18,IMPORTRANGE(""https://docs.google.com/spreadsheets/d/1VNXDITjs75AcgdBSW27oL1VZH31udDprJSsBcE5xlp4/edit?gid=1551188038#gid=1551188038"", ""Sheet9!$B:$E""),2,false)"),"Lahore")</f>
        <v>Lahore</v>
      </c>
      <c r="B18" s="338" t="s">
        <v>1624</v>
      </c>
      <c r="C18" s="284">
        <f>IFERROR(__xludf.DUMMYFUNCTION("IFERROR(
  INDEX(
    FILTER(
      IMPORTRANGE(""1Cxrhp3-_-HS7v9uuqQliiIfrmMP4VaFoDNDWyUFy2J8/edit?gid=0#gid=0"",""Sheet1!AE:AE""),
      IMPORTRANGE(""1Cxrhp3-_-HS7v9uuqQliiIfrmMP4VaFoDNDWyUFy2J8/edit?gid=0#gid=0"",""Sheet1!K:K"")=$B18
    ),
    1
  ),"&amp;"
  ""Not Found""
)"),1995.0)</f>
        <v>1995</v>
      </c>
      <c r="D18" s="284" t="str">
        <f>IFERROR(__xludf.DUMMYFUNCTION("IFERROR(
  INDEX(
    FILTER(
      IMPORTRANGE(""1Cxrhp3-_-HS7v9uuqQliiIfrmMP4VaFoDNDWyUFy2J8/edit?gid=0#gid=0"",""Sheet1!AG:AG""),
      IMPORTRANGE(""1Cxrhp3-_-HS7v9uuqQliiIfrmMP4VaFoDNDWyUFy2J8/edit?gid=0#gid=0"",""Sheet1!K:K"")=$B18
    ),
    1
  ),"&amp;"
  ""Not Found""
)"),"Shah Chiraag ")</f>
        <v>Shah Chiraag </v>
      </c>
      <c r="E18" s="284" t="str">
        <f>IFERROR(__xludf.DUMMYFUNCTION("IFERROR(
  INDEX(
    FILTER(
      IMPORTRANGE(""1kOrIKZmJfNUkgOVP3sI9BPjaaPA0_a4636oymQxTXg8/edit?gid=609491371#gid=609491371"",""Form responses 1!J:J""),
      IMPORTRANGE(""1kOrIKZmJfNUkgOVP3sI9BPjaaPA0_a4636oymQxTXg8/edit?gid=609491371#gid=609491371"&amp;""",""Form responses 1!F:F"")=$B18
    ),
    1
  ),
  ""Not Found""
)"),"Not Found")</f>
        <v>Not Found</v>
      </c>
      <c r="F18" s="284" t="str">
        <f>IFERROR(__xludf.DUMMYFUNCTION("IFERROR(
  INDEX(
    FILTER(
      IMPORTRANGE(""1kOrIKZmJfNUkgOVP3sI9BPjaaPA0_a4636oymQxTXg8/edit?gid=609491371#gid=609491371"",""Form responses 1!L:L""),
      IMPORTRANGE(""1kOrIKZmJfNUkgOVP3sI9BPjaaPA0_a4636oymQxTXg8/edit?gid=609491371#gid=609491371"&amp;""",""Form responses 1!F:F"")=$B18
    ),
    1
  ),
  ""Not Found""
)"),"Not Found")</f>
        <v>Not Found</v>
      </c>
      <c r="G18" s="284"/>
      <c r="H18" s="230"/>
      <c r="I18" s="230">
        <v>1995.0</v>
      </c>
      <c r="J18" s="339">
        <f>IFERROR(__xludf.DUMMYFUNCTION("IFERROR(
  INDEX(
    FILTER(
      IMPORTRANGE(""1Cxrhp3-_-HS7v9uuqQliiIfrmMP4VaFoDNDWyUFy2J8/edit?gid=0#gid=0"",""Sheet1!AE:AE""),
      IMPORTRANGE(""1Cxrhp3-_-HS7v9uuqQliiIfrmMP4VaFoDNDWyUFy2J8/edit?gid=0#gid=0"",""Sheet1!K:K"")=$B18
    ),
    1
  ),"&amp;"
  ""Not Found""
)"),1995.0)</f>
        <v>1995</v>
      </c>
      <c r="K18" s="340"/>
      <c r="L18" s="340"/>
      <c r="M18" s="230"/>
      <c r="N18" s="230"/>
      <c r="O18" s="230"/>
      <c r="P18" s="230"/>
      <c r="Q18" s="230"/>
      <c r="R18" s="230"/>
      <c r="S18" s="230"/>
      <c r="T18" s="230"/>
      <c r="U18" s="230"/>
      <c r="V18" s="230"/>
      <c r="W18" s="230"/>
      <c r="X18" s="230"/>
      <c r="Y18" s="230"/>
      <c r="Z18" s="230"/>
    </row>
    <row r="19">
      <c r="A19" s="337" t="str">
        <f>IFERROR(__xludf.DUMMYFUNCTION("VLOOKUP($B19,IMPORTRANGE(""https://docs.google.com/spreadsheets/d/1VNXDITjs75AcgdBSW27oL1VZH31udDprJSsBcE5xlp4/edit?gid=1551188038#gid=1551188038"", ""Sheet9!$B:$E""),2,false)"),"Lahore")</f>
        <v>Lahore</v>
      </c>
      <c r="B19" s="338" t="s">
        <v>1650</v>
      </c>
      <c r="C19" s="284">
        <f>IFERROR(__xludf.DUMMYFUNCTION("IFERROR(
  INDEX(
    FILTER(
      IMPORTRANGE(""1Cxrhp3-_-HS7v9uuqQliiIfrmMP4VaFoDNDWyUFy2J8/edit?gid=0#gid=0"",""Sheet1!AE:AE""),
      IMPORTRANGE(""1Cxrhp3-_-HS7v9uuqQliiIfrmMP4VaFoDNDWyUFy2J8/edit?gid=0#gid=0"",""Sheet1!K:K"")=$B19
    ),
    1
  ),"&amp;"
  ""Not Found""
)"),1900.0)</f>
        <v>1900</v>
      </c>
      <c r="D19" s="284" t="str">
        <f>IFERROR(__xludf.DUMMYFUNCTION("IFERROR(
  INDEX(
    FILTER(
      IMPORTRANGE(""1Cxrhp3-_-HS7v9uuqQliiIfrmMP4VaFoDNDWyUFy2J8/edit?gid=0#gid=0"",""Sheet1!AG:AG""),
      IMPORTRANGE(""1Cxrhp3-_-HS7v9uuqQliiIfrmMP4VaFoDNDWyUFy2J8/edit?gid=0#gid=0"",""Sheet1!K:K"")=$B19
    ),
    1
  ),"&amp;"
  ""Not Found""
)"),"")</f>
        <v/>
      </c>
      <c r="E19" s="284" t="str">
        <f>IFERROR(__xludf.DUMMYFUNCTION("IFERROR(
  INDEX(
    FILTER(
      IMPORTRANGE(""1kOrIKZmJfNUkgOVP3sI9BPjaaPA0_a4636oymQxTXg8/edit?gid=609491371#gid=609491371"",""Form responses 1!J:J""),
      IMPORTRANGE(""1kOrIKZmJfNUkgOVP3sI9BPjaaPA0_a4636oymQxTXg8/edit?gid=609491371#gid=609491371"&amp;""",""Form responses 1!F:F"")=$B19
    ),
    1
  ),
  ""Not Found""
)"),"Not Found")</f>
        <v>Not Found</v>
      </c>
      <c r="F19" s="284" t="str">
        <f>IFERROR(__xludf.DUMMYFUNCTION("IFERROR(
  INDEX(
    FILTER(
      IMPORTRANGE(""1kOrIKZmJfNUkgOVP3sI9BPjaaPA0_a4636oymQxTXg8/edit?gid=609491371#gid=609491371"",""Form responses 1!L:L""),
      IMPORTRANGE(""1kOrIKZmJfNUkgOVP3sI9BPjaaPA0_a4636oymQxTXg8/edit?gid=609491371#gid=609491371"&amp;""",""Form responses 1!F:F"")=$B19
    ),
    1
  ),
  ""Not Found""
)"),"Not Found")</f>
        <v>Not Found</v>
      </c>
      <c r="G19" s="284"/>
      <c r="H19" s="230"/>
      <c r="I19" s="230">
        <v>1900.0</v>
      </c>
      <c r="J19" s="339">
        <f>IFERROR(__xludf.DUMMYFUNCTION("IFERROR(
  INDEX(
    FILTER(
      IMPORTRANGE(""1Cxrhp3-_-HS7v9uuqQliiIfrmMP4VaFoDNDWyUFy2J8/edit?gid=0#gid=0"",""Sheet1!AE:AE""),
      IMPORTRANGE(""1Cxrhp3-_-HS7v9uuqQliiIfrmMP4VaFoDNDWyUFy2J8/edit?gid=0#gid=0"",""Sheet1!K:K"")=$B19
    ),
    1
  ),"&amp;"
  ""Not Found""
)"),1900.0)</f>
        <v>1900</v>
      </c>
      <c r="K19" s="340"/>
      <c r="L19" s="340"/>
      <c r="M19" s="230"/>
      <c r="N19" s="230"/>
      <c r="O19" s="230"/>
      <c r="P19" s="230"/>
      <c r="Q19" s="230"/>
      <c r="R19" s="230"/>
      <c r="S19" s="230"/>
      <c r="T19" s="230"/>
      <c r="U19" s="230"/>
      <c r="V19" s="230"/>
      <c r="W19" s="230"/>
      <c r="X19" s="230"/>
      <c r="Y19" s="230"/>
      <c r="Z19" s="230"/>
    </row>
    <row r="20">
      <c r="A20" s="337" t="str">
        <f>IFERROR(__xludf.DUMMYFUNCTION("VLOOKUP($B20,IMPORTRANGE(""https://docs.google.com/spreadsheets/d/1VNXDITjs75AcgdBSW27oL1VZH31udDprJSsBcE5xlp4/edit?gid=1551188038#gid=1551188038"", ""Sheet9!$B:$E""),2,false)"),"Lahore")</f>
        <v>Lahore</v>
      </c>
      <c r="B20" s="338" t="s">
        <v>1608</v>
      </c>
      <c r="C20" s="284">
        <f>IFERROR(__xludf.DUMMYFUNCTION("IFERROR(
  INDEX(
    FILTER(
      IMPORTRANGE(""1Cxrhp3-_-HS7v9uuqQliiIfrmMP4VaFoDNDWyUFy2J8/edit?gid=0#gid=0"",""Sheet1!AE:AE""),
      IMPORTRANGE(""1Cxrhp3-_-HS7v9uuqQliiIfrmMP4VaFoDNDWyUFy2J8/edit?gid=0#gid=0"",""Sheet1!K:K"")=$B20
    ),
    1
  ),"&amp;"
  ""Not Found""
)"),1956.0)</f>
        <v>1956</v>
      </c>
      <c r="D20" s="284" t="str">
        <f>IFERROR(__xludf.DUMMYFUNCTION("IFERROR(
  INDEX(
    FILTER(
      IMPORTRANGE(""1Cxrhp3-_-HS7v9uuqQliiIfrmMP4VaFoDNDWyUFy2J8/edit?gid=0#gid=0"",""Sheet1!AG:AG""),
      IMPORTRANGE(""1Cxrhp3-_-HS7v9uuqQliiIfrmMP4VaFoDNDWyUFy2J8/edit?gid=0#gid=0"",""Sheet1!K:K"")=$B20
    ),
    1
  ),"&amp;"
  ""Not Found""
)"),"Peer Hakum shah ")</f>
        <v>Peer Hakum shah </v>
      </c>
      <c r="E20" s="284" t="str">
        <f>IFERROR(__xludf.DUMMYFUNCTION("IFERROR(
  INDEX(
    FILTER(
      IMPORTRANGE(""1kOrIKZmJfNUkgOVP3sI9BPjaaPA0_a4636oymQxTXg8/edit?gid=609491371#gid=609491371"",""Form responses 1!J:J""),
      IMPORTRANGE(""1kOrIKZmJfNUkgOVP3sI9BPjaaPA0_a4636oymQxTXg8/edit?gid=609491371#gid=609491371"&amp;""",""Form responses 1!F:F"")=$B20
    ),
    1
  ),
  ""Not Found""
)"),"Not Found")</f>
        <v>Not Found</v>
      </c>
      <c r="F20" s="284" t="str">
        <f>IFERROR(__xludf.DUMMYFUNCTION("IFERROR(
  INDEX(
    FILTER(
      IMPORTRANGE(""1kOrIKZmJfNUkgOVP3sI9BPjaaPA0_a4636oymQxTXg8/edit?gid=609491371#gid=609491371"",""Form responses 1!L:L""),
      IMPORTRANGE(""1kOrIKZmJfNUkgOVP3sI9BPjaaPA0_a4636oymQxTXg8/edit?gid=609491371#gid=609491371"&amp;""",""Form responses 1!F:F"")=$B20
    ),
    1
  ),
  ""Not Found""
)"),"Not Found")</f>
        <v>Not Found</v>
      </c>
      <c r="G20" s="284"/>
      <c r="H20" s="230"/>
      <c r="I20" s="230">
        <v>1956.0</v>
      </c>
      <c r="J20" s="339">
        <f>IFERROR(__xludf.DUMMYFUNCTION("IFERROR(
  INDEX(
    FILTER(
      IMPORTRANGE(""1Cxrhp3-_-HS7v9uuqQliiIfrmMP4VaFoDNDWyUFy2J8/edit?gid=0#gid=0"",""Sheet1!AE:AE""),
      IMPORTRANGE(""1Cxrhp3-_-HS7v9uuqQliiIfrmMP4VaFoDNDWyUFy2J8/edit?gid=0#gid=0"",""Sheet1!K:K"")=$B20
    ),
    1
  ),"&amp;"
  ""Not Found""
)"),1956.0)</f>
        <v>1956</v>
      </c>
      <c r="K20" s="340"/>
      <c r="L20" s="340"/>
      <c r="M20" s="230"/>
      <c r="N20" s="230"/>
      <c r="O20" s="230"/>
      <c r="P20" s="230"/>
      <c r="Q20" s="230"/>
      <c r="R20" s="230"/>
      <c r="S20" s="230"/>
      <c r="T20" s="230"/>
      <c r="U20" s="230"/>
      <c r="V20" s="230"/>
      <c r="W20" s="230"/>
      <c r="X20" s="230"/>
      <c r="Y20" s="230"/>
      <c r="Z20" s="230"/>
    </row>
    <row r="21">
      <c r="A21" s="337" t="str">
        <f>IFERROR(__xludf.DUMMYFUNCTION("VLOOKUP($B21,IMPORTRANGE(""https://docs.google.com/spreadsheets/d/1VNXDITjs75AcgdBSW27oL1VZH31udDprJSsBcE5xlp4/edit?gid=1551188038#gid=1551188038"", ""Sheet9!$B:$E""),2,false)"),"Lahore")</f>
        <v>Lahore</v>
      </c>
      <c r="B21" s="338" t="s">
        <v>1373</v>
      </c>
      <c r="C21" s="284" t="str">
        <f>IFERROR(__xludf.DUMMYFUNCTION("IFERROR(
  INDEX(
    FILTER(
      IMPORTRANGE(""1Cxrhp3-_-HS7v9uuqQliiIfrmMP4VaFoDNDWyUFy2J8/edit?gid=0#gid=0"",""Sheet1!AE:AE""),
      IMPORTRANGE(""1Cxrhp3-_-HS7v9uuqQliiIfrmMP4VaFoDNDWyUFy2J8/edit?gid=0#gid=0"",""Sheet1!K:K"")=$B21
    ),
    1
  ),"&amp;"
  ""Not Found""
)"),"Not Found")</f>
        <v>Not Found</v>
      </c>
      <c r="D21" s="284"/>
      <c r="E21" s="284" t="str">
        <f>IFERROR(__xludf.DUMMYFUNCTION("IFERROR(
  INDEX(
    FILTER(
      IMPORTRANGE(""1kOrIKZmJfNUkgOVP3sI9BPjaaPA0_a4636oymQxTXg8/edit?gid=609491371#gid=609491371"",""Form responses 1!J:J""),
      IMPORTRANGE(""1kOrIKZmJfNUkgOVP3sI9BPjaaPA0_a4636oymQxTXg8/edit?gid=609491371#gid=609491371"&amp;""",""Form responses 1!F:F"")=$B21
    ),
    1
  ),
  ""Not Found""
)"),"Not Found")</f>
        <v>Not Found</v>
      </c>
      <c r="F21" s="284" t="str">
        <f>IFERROR(__xludf.DUMMYFUNCTION("IFERROR(
  INDEX(
    FILTER(
      IMPORTRANGE(""1kOrIKZmJfNUkgOVP3sI9BPjaaPA0_a4636oymQxTXg8/edit?gid=609491371#gid=609491371"",""Form responses 1!L:L""),
      IMPORTRANGE(""1kOrIKZmJfNUkgOVP3sI9BPjaaPA0_a4636oymQxTXg8/edit?gid=609491371#gid=609491371"&amp;""",""Form responses 1!F:F"")=$B21
    ),
    1
  ),
  ""Not Found""
)"),"Not Found")</f>
        <v>Not Found</v>
      </c>
      <c r="G21" s="284"/>
      <c r="H21" s="230"/>
      <c r="I21" s="230"/>
      <c r="J21" s="339" t="str">
        <f>IFERROR(__xludf.DUMMYFUNCTION("IFERROR(
  INDEX(
    FILTER(
      IMPORTRANGE(""1Cxrhp3-_-HS7v9uuqQliiIfrmMP4VaFoDNDWyUFy2J8/edit?gid=0#gid=0"",""Sheet1!AE:AE""),
      IMPORTRANGE(""1Cxrhp3-_-HS7v9uuqQliiIfrmMP4VaFoDNDWyUFy2J8/edit?gid=0#gid=0"",""Sheet1!K:K"")=$B21
    ),
    1
  ),"&amp;"
  ""Not Found""
)"),"Not Found")</f>
        <v>Not Found</v>
      </c>
      <c r="K21" s="340"/>
      <c r="L21" s="340"/>
      <c r="M21" s="230"/>
      <c r="N21" s="230"/>
      <c r="O21" s="230"/>
      <c r="P21" s="230"/>
      <c r="Q21" s="230"/>
      <c r="R21" s="230"/>
      <c r="S21" s="230"/>
      <c r="T21" s="230"/>
      <c r="U21" s="230"/>
      <c r="V21" s="230"/>
      <c r="W21" s="230"/>
      <c r="X21" s="230"/>
      <c r="Y21" s="230"/>
      <c r="Z21" s="230"/>
    </row>
    <row r="22">
      <c r="A22" s="337" t="str">
        <f>IFERROR(__xludf.DUMMYFUNCTION("VLOOKUP($B22,IMPORTRANGE(""https://docs.google.com/spreadsheets/d/1VNXDITjs75AcgdBSW27oL1VZH31udDprJSsBcE5xlp4/edit?gid=1551188038#gid=1551188038"", ""Sheet9!$B:$E""),2,false)"),"Lahore")</f>
        <v>Lahore</v>
      </c>
      <c r="B22" s="338" t="s">
        <v>1298</v>
      </c>
      <c r="C22" s="284">
        <f>IFERROR(__xludf.DUMMYFUNCTION("IFERROR(
  INDEX(
    FILTER(
      IMPORTRANGE(""1Cxrhp3-_-HS7v9uuqQliiIfrmMP4VaFoDNDWyUFy2J8/edit?gid=0#gid=0"",""Sheet1!AE:AE""),
      IMPORTRANGE(""1Cxrhp3-_-HS7v9uuqQliiIfrmMP4VaFoDNDWyUFy2J8/edit?gid=0#gid=0"",""Sheet1!K:K"")=$B22
    ),
    1
  ),"&amp;"
  ""Not Found""
)"),2010.0)</f>
        <v>2010</v>
      </c>
      <c r="D22" s="284" t="str">
        <f>IFERROR(__xludf.DUMMYFUNCTION("IFERROR(
  INDEX(
    FILTER(
      IMPORTRANGE(""1Cxrhp3-_-HS7v9uuqQliiIfrmMP4VaFoDNDWyUFy2J8/edit?gid=0#gid=0"",""Sheet1!AG:AG""),
      IMPORTRANGE(""1Cxrhp3-_-HS7v9uuqQliiIfrmMP4VaFoDNDWyUFy2J8/edit?gid=0#gid=0"",""Sheet1!K:K"")=$B22
    ),
    1
  ),"&amp;"
  ""Not Found""
)"),"")</f>
        <v/>
      </c>
      <c r="E22" s="284" t="str">
        <f>IFERROR(__xludf.DUMMYFUNCTION("IFERROR(
  INDEX(
    FILTER(
      IMPORTRANGE(""1kOrIKZmJfNUkgOVP3sI9BPjaaPA0_a4636oymQxTXg8/edit?gid=609491371#gid=609491371"",""Form responses 1!J:J""),
      IMPORTRANGE(""1kOrIKZmJfNUkgOVP3sI9BPjaaPA0_a4636oymQxTXg8/edit?gid=609491371#gid=609491371"&amp;""",""Form responses 1!F:F"")=$B22
    ),
    1
  ),
  ""Not Found""
)"),"Not Found")</f>
        <v>Not Found</v>
      </c>
      <c r="F22" s="284" t="str">
        <f>IFERROR(__xludf.DUMMYFUNCTION("IFERROR(
  INDEX(
    FILTER(
      IMPORTRANGE(""1kOrIKZmJfNUkgOVP3sI9BPjaaPA0_a4636oymQxTXg8/edit?gid=609491371#gid=609491371"",""Form responses 1!L:L""),
      IMPORTRANGE(""1kOrIKZmJfNUkgOVP3sI9BPjaaPA0_a4636oymQxTXg8/edit?gid=609491371#gid=609491371"&amp;""",""Form responses 1!F:F"")=$B22
    ),
    1
  ),
  ""Not Found""
)"),"Not Found")</f>
        <v>Not Found</v>
      </c>
      <c r="G22" s="284"/>
      <c r="H22" s="230"/>
      <c r="I22" s="230">
        <v>2010.0</v>
      </c>
      <c r="J22" s="339">
        <f>IFERROR(__xludf.DUMMYFUNCTION("IFERROR(
  INDEX(
    FILTER(
      IMPORTRANGE(""1Cxrhp3-_-HS7v9uuqQliiIfrmMP4VaFoDNDWyUFy2J8/edit?gid=0#gid=0"",""Sheet1!AE:AE""),
      IMPORTRANGE(""1Cxrhp3-_-HS7v9uuqQliiIfrmMP4VaFoDNDWyUFy2J8/edit?gid=0#gid=0"",""Sheet1!K:K"")=$B22
    ),
    1
  ),"&amp;"
  ""Not Found""
)"),2010.0)</f>
        <v>2010</v>
      </c>
      <c r="K22" s="340"/>
      <c r="L22" s="340"/>
      <c r="M22" s="230"/>
      <c r="N22" s="230"/>
      <c r="O22" s="230"/>
      <c r="P22" s="230"/>
      <c r="Q22" s="230"/>
      <c r="R22" s="230"/>
      <c r="S22" s="230"/>
      <c r="T22" s="230"/>
      <c r="U22" s="230"/>
      <c r="V22" s="230"/>
      <c r="W22" s="230"/>
      <c r="X22" s="230"/>
      <c r="Y22" s="230"/>
      <c r="Z22" s="230"/>
    </row>
    <row r="23">
      <c r="A23" s="337" t="str">
        <f>IFERROR(__xludf.DUMMYFUNCTION("VLOOKUP($B23,IMPORTRANGE(""https://docs.google.com/spreadsheets/d/1VNXDITjs75AcgdBSW27oL1VZH31udDprJSsBcE5xlp4/edit?gid=1551188038#gid=1551188038"", ""Sheet9!$B:$E""),2,false)"),"Lahore")</f>
        <v>Lahore</v>
      </c>
      <c r="B23" s="338" t="s">
        <v>1155</v>
      </c>
      <c r="C23" s="284">
        <f>IFERROR(__xludf.DUMMYFUNCTION("IFERROR(
  INDEX(
    FILTER(
      IMPORTRANGE(""1Cxrhp3-_-HS7v9uuqQliiIfrmMP4VaFoDNDWyUFy2J8/edit?gid=0#gid=0"",""Sheet1!AE:AE""),
      IMPORTRANGE(""1Cxrhp3-_-HS7v9uuqQliiIfrmMP4VaFoDNDWyUFy2J8/edit?gid=0#gid=0"",""Sheet1!K:K"")=$B23
    ),
    1
  ),"&amp;"
  ""Not Found""
)"),1950.0)</f>
        <v>1950</v>
      </c>
      <c r="D23" s="284" t="str">
        <f>IFERROR(__xludf.DUMMYFUNCTION("IFERROR(
  INDEX(
    FILTER(
      IMPORTRANGE(""1Cxrhp3-_-HS7v9uuqQliiIfrmMP4VaFoDNDWyUFy2J8/edit?gid=0#gid=0"",""Sheet1!AG:AG""),
      IMPORTRANGE(""1Cxrhp3-_-HS7v9uuqQliiIfrmMP4VaFoDNDWyUFy2J8/edit?gid=0#gid=0"",""Sheet1!K:K"")=$B23
    ),
    1
  ),"&amp;"
  ""Not Found""
)"),"Takiya Sain Sardaara Darbar ")</f>
        <v>Takiya Sain Sardaara Darbar </v>
      </c>
      <c r="E23" s="284" t="str">
        <f>IFERROR(__xludf.DUMMYFUNCTION("IFERROR(
  INDEX(
    FILTER(
      IMPORTRANGE(""1kOrIKZmJfNUkgOVP3sI9BPjaaPA0_a4636oymQxTXg8/edit?gid=609491371#gid=609491371"",""Form responses 1!J:J""),
      IMPORTRANGE(""1kOrIKZmJfNUkgOVP3sI9BPjaaPA0_a4636oymQxTXg8/edit?gid=609491371#gid=609491371"&amp;""",""Form responses 1!F:F"")=$B23
    ),
    1
  ),
  ""Not Found""
)"),"Not Found")</f>
        <v>Not Found</v>
      </c>
      <c r="F23" s="284" t="str">
        <f>IFERROR(__xludf.DUMMYFUNCTION("IFERROR(
  INDEX(
    FILTER(
      IMPORTRANGE(""1kOrIKZmJfNUkgOVP3sI9BPjaaPA0_a4636oymQxTXg8/edit?gid=609491371#gid=609491371"",""Form responses 1!L:L""),
      IMPORTRANGE(""1kOrIKZmJfNUkgOVP3sI9BPjaaPA0_a4636oymQxTXg8/edit?gid=609491371#gid=609491371"&amp;""",""Form responses 1!F:F"")=$B23
    ),
    1
  ),
  ""Not Found""
)"),"Not Found")</f>
        <v>Not Found</v>
      </c>
      <c r="G23" s="284"/>
      <c r="H23" s="230"/>
      <c r="I23" s="230">
        <v>1950.0</v>
      </c>
      <c r="J23" s="339">
        <f>IFERROR(__xludf.DUMMYFUNCTION("IFERROR(
  INDEX(
    FILTER(
      IMPORTRANGE(""1Cxrhp3-_-HS7v9uuqQliiIfrmMP4VaFoDNDWyUFy2J8/edit?gid=0#gid=0"",""Sheet1!AE:AE""),
      IMPORTRANGE(""1Cxrhp3-_-HS7v9uuqQliiIfrmMP4VaFoDNDWyUFy2J8/edit?gid=0#gid=0"",""Sheet1!K:K"")=$B23
    ),
    1
  ),"&amp;"
  ""Not Found""
)"),1950.0)</f>
        <v>1950</v>
      </c>
      <c r="K23" s="340"/>
      <c r="L23" s="340"/>
      <c r="M23" s="230"/>
      <c r="N23" s="230"/>
      <c r="O23" s="230"/>
      <c r="P23" s="230"/>
      <c r="Q23" s="230"/>
      <c r="R23" s="230"/>
      <c r="S23" s="230"/>
      <c r="T23" s="230"/>
      <c r="U23" s="230"/>
      <c r="V23" s="230"/>
      <c r="W23" s="230"/>
      <c r="X23" s="230"/>
      <c r="Y23" s="230"/>
      <c r="Z23" s="230"/>
    </row>
    <row r="24">
      <c r="A24" s="337" t="str">
        <f>IFERROR(__xludf.DUMMYFUNCTION("VLOOKUP($B24,IMPORTRANGE(""https://docs.google.com/spreadsheets/d/1VNXDITjs75AcgdBSW27oL1VZH31udDprJSsBcE5xlp4/edit?gid=1551188038#gid=1551188038"", ""Sheet9!$B:$E""),2,false)"),"Lahore")</f>
        <v>Lahore</v>
      </c>
      <c r="B24" s="338" t="s">
        <v>1572</v>
      </c>
      <c r="C24" s="284">
        <f>IFERROR(__xludf.DUMMYFUNCTION("IFERROR(
  INDEX(
    FILTER(
      IMPORTRANGE(""1Cxrhp3-_-HS7v9uuqQliiIfrmMP4VaFoDNDWyUFy2J8/edit?gid=0#gid=0"",""Sheet1!AE:AE""),
      IMPORTRANGE(""1Cxrhp3-_-HS7v9uuqQliiIfrmMP4VaFoDNDWyUFy2J8/edit?gid=0#gid=0"",""Sheet1!K:K"")=$B24
    ),
    1
  ),"&amp;"
  ""Not Found""
)"),2012.0)</f>
        <v>2012</v>
      </c>
      <c r="D24" s="284" t="str">
        <f>IFERROR(__xludf.DUMMYFUNCTION("IFERROR(
  INDEX(
    FILTER(
      IMPORTRANGE(""1Cxrhp3-_-HS7v9uuqQliiIfrmMP4VaFoDNDWyUFy2J8/edit?gid=0#gid=0"",""Sheet1!AG:AG""),
      IMPORTRANGE(""1Cxrhp3-_-HS7v9uuqQliiIfrmMP4VaFoDNDWyUFy2J8/edit?gid=0#gid=0"",""Sheet1!K:K"")=$B24
    ),
    1
  ),"&amp;"
  ""Not Found""
)"),"")</f>
        <v/>
      </c>
      <c r="E24" s="284" t="str">
        <f>IFERROR(__xludf.DUMMYFUNCTION("IFERROR(
  INDEX(
    FILTER(
      IMPORTRANGE(""1kOrIKZmJfNUkgOVP3sI9BPjaaPA0_a4636oymQxTXg8/edit?gid=609491371#gid=609491371"",""Form responses 1!J:J""),
      IMPORTRANGE(""1kOrIKZmJfNUkgOVP3sI9BPjaaPA0_a4636oymQxTXg8/edit?gid=609491371#gid=609491371"&amp;""",""Form responses 1!F:F"")=$B24
    ),
    1
  ),
  ""Not Found""
)"),"Not Found")</f>
        <v>Not Found</v>
      </c>
      <c r="F24" s="284" t="str">
        <f>IFERROR(__xludf.DUMMYFUNCTION("IFERROR(
  INDEX(
    FILTER(
      IMPORTRANGE(""1kOrIKZmJfNUkgOVP3sI9BPjaaPA0_a4636oymQxTXg8/edit?gid=609491371#gid=609491371"",""Form responses 1!L:L""),
      IMPORTRANGE(""1kOrIKZmJfNUkgOVP3sI9BPjaaPA0_a4636oymQxTXg8/edit?gid=609491371#gid=609491371"&amp;""",""Form responses 1!F:F"")=$B24
    ),
    1
  ),
  ""Not Found""
)"),"Not Found")</f>
        <v>Not Found</v>
      </c>
      <c r="G24" s="284"/>
      <c r="H24" s="230"/>
      <c r="I24" s="230">
        <v>2012.0</v>
      </c>
      <c r="J24" s="339">
        <f>IFERROR(__xludf.DUMMYFUNCTION("IFERROR(
  INDEX(
    FILTER(
      IMPORTRANGE(""1Cxrhp3-_-HS7v9uuqQliiIfrmMP4VaFoDNDWyUFy2J8/edit?gid=0#gid=0"",""Sheet1!AE:AE""),
      IMPORTRANGE(""1Cxrhp3-_-HS7v9uuqQliiIfrmMP4VaFoDNDWyUFy2J8/edit?gid=0#gid=0"",""Sheet1!K:K"")=$B24
    ),
    1
  ),"&amp;"
  ""Not Found""
)"),2012.0)</f>
        <v>2012</v>
      </c>
      <c r="K24" s="340"/>
      <c r="L24" s="340"/>
      <c r="M24" s="230"/>
      <c r="N24" s="230"/>
      <c r="O24" s="230"/>
      <c r="P24" s="230"/>
      <c r="Q24" s="230"/>
      <c r="R24" s="230"/>
      <c r="S24" s="230"/>
      <c r="T24" s="230"/>
      <c r="U24" s="230"/>
      <c r="V24" s="230"/>
      <c r="W24" s="230"/>
      <c r="X24" s="230"/>
      <c r="Y24" s="230"/>
      <c r="Z24" s="230"/>
    </row>
    <row r="25">
      <c r="A25" s="337" t="str">
        <f>IFERROR(__xludf.DUMMYFUNCTION("VLOOKUP($B25,IMPORTRANGE(""https://docs.google.com/spreadsheets/d/1VNXDITjs75AcgdBSW27oL1VZH31udDprJSsBcE5xlp4/edit?gid=1551188038#gid=1551188038"", ""Sheet9!$B:$E""),2,false)"),"Lahore")</f>
        <v>Lahore</v>
      </c>
      <c r="B25" s="338" t="s">
        <v>1134</v>
      </c>
      <c r="C25" s="284">
        <f>IFERROR(__xludf.DUMMYFUNCTION("IFERROR(
  INDEX(
    FILTER(
      IMPORTRANGE(""1Cxrhp3-_-HS7v9uuqQliiIfrmMP4VaFoDNDWyUFy2J8/edit?gid=0#gid=0"",""Sheet1!AE:AE""),
      IMPORTRANGE(""1Cxrhp3-_-HS7v9uuqQliiIfrmMP4VaFoDNDWyUFy2J8/edit?gid=0#gid=0"",""Sheet1!K:K"")=$B25
    ),
    1
  ),"&amp;"
  ""Not Found""
)"),1940.0)</f>
        <v>1940</v>
      </c>
      <c r="D25" s="284" t="str">
        <f>IFERROR(__xludf.DUMMYFUNCTION("IFERROR(
  INDEX(
    FILTER(
      IMPORTRANGE(""1Cxrhp3-_-HS7v9uuqQliiIfrmMP4VaFoDNDWyUFy2J8/edit?gid=0#gid=0"",""Sheet1!AG:AG""),
      IMPORTRANGE(""1Cxrhp3-_-HS7v9uuqQliiIfrmMP4VaFoDNDWyUFy2J8/edit?gid=0#gid=0"",""Sheet1!K:K"")=$B25
    ),
    1
  ),"&amp;"
  ""Not Found""
)"),"")</f>
        <v/>
      </c>
      <c r="E25" s="284" t="str">
        <f>IFERROR(__xludf.DUMMYFUNCTION("IFERROR(
  INDEX(
    FILTER(
      IMPORTRANGE(""1kOrIKZmJfNUkgOVP3sI9BPjaaPA0_a4636oymQxTXg8/edit?gid=609491371#gid=609491371"",""Form responses 1!J:J""),
      IMPORTRANGE(""1kOrIKZmJfNUkgOVP3sI9BPjaaPA0_a4636oymQxTXg8/edit?gid=609491371#gid=609491371"&amp;""",""Form responses 1!F:F"")=$B25
    ),
    1
  ),
  ""Not Found""
)"),"Not Found")</f>
        <v>Not Found</v>
      </c>
      <c r="F25" s="284" t="str">
        <f>IFERROR(__xludf.DUMMYFUNCTION("IFERROR(
  INDEX(
    FILTER(
      IMPORTRANGE(""1kOrIKZmJfNUkgOVP3sI9BPjaaPA0_a4636oymQxTXg8/edit?gid=609491371#gid=609491371"",""Form responses 1!L:L""),
      IMPORTRANGE(""1kOrIKZmJfNUkgOVP3sI9BPjaaPA0_a4636oymQxTXg8/edit?gid=609491371#gid=609491371"&amp;""",""Form responses 1!F:F"")=$B25
    ),
    1
  ),
  ""Not Found""
)"),"Not Found")</f>
        <v>Not Found</v>
      </c>
      <c r="G25" s="284"/>
      <c r="H25" s="230"/>
      <c r="I25" s="230">
        <v>1940.0</v>
      </c>
      <c r="J25" s="339">
        <f>IFERROR(__xludf.DUMMYFUNCTION("IFERROR(
  INDEX(
    FILTER(
      IMPORTRANGE(""1Cxrhp3-_-HS7v9uuqQliiIfrmMP4VaFoDNDWyUFy2J8/edit?gid=0#gid=0"",""Sheet1!AE:AE""),
      IMPORTRANGE(""1Cxrhp3-_-HS7v9uuqQliiIfrmMP4VaFoDNDWyUFy2J8/edit?gid=0#gid=0"",""Sheet1!K:K"")=$B25
    ),
    1
  ),"&amp;"
  ""Not Found""
)"),1940.0)</f>
        <v>1940</v>
      </c>
      <c r="K25" s="340"/>
      <c r="L25" s="340"/>
      <c r="M25" s="230"/>
      <c r="N25" s="230"/>
      <c r="O25" s="230"/>
      <c r="P25" s="230"/>
      <c r="Q25" s="230"/>
      <c r="R25" s="230"/>
      <c r="S25" s="230"/>
      <c r="T25" s="230"/>
      <c r="U25" s="230"/>
      <c r="V25" s="230"/>
      <c r="W25" s="230"/>
      <c r="X25" s="230"/>
      <c r="Y25" s="230"/>
      <c r="Z25" s="230"/>
    </row>
    <row r="26">
      <c r="A26" s="337" t="str">
        <f>IFERROR(__xludf.DUMMYFUNCTION("VLOOKUP($B26,IMPORTRANGE(""https://docs.google.com/spreadsheets/d/1VNXDITjs75AcgdBSW27oL1VZH31udDprJSsBcE5xlp4/edit?gid=1551188038#gid=1551188038"", ""Sheet9!$B:$E""),2,false)"),"Lahore")</f>
        <v>Lahore</v>
      </c>
      <c r="B26" s="338" t="s">
        <v>1900</v>
      </c>
      <c r="C26" s="284" t="str">
        <f>IFERROR(__xludf.DUMMYFUNCTION("IFERROR(
  INDEX(
    FILTER(
      IMPORTRANGE(""1Cxrhp3-_-HS7v9uuqQliiIfrmMP4VaFoDNDWyUFy2J8/edit?gid=0#gid=0"",""Sheet1!AE:AE""),
      IMPORTRANGE(""1Cxrhp3-_-HS7v9uuqQliiIfrmMP4VaFoDNDWyUFy2J8/edit?gid=0#gid=0"",""Sheet1!K:K"")=$B26
    ),
    1
  ),"&amp;"
  ""Not Found""
)"),"Not Found")</f>
        <v>Not Found</v>
      </c>
      <c r="D26" s="284"/>
      <c r="E26" s="284" t="str">
        <f>IFERROR(__xludf.DUMMYFUNCTION("IFERROR(
  INDEX(
    FILTER(
      IMPORTRANGE(""1kOrIKZmJfNUkgOVP3sI9BPjaaPA0_a4636oymQxTXg8/edit?gid=609491371#gid=609491371"",""Form responses 1!J:J""),
      IMPORTRANGE(""1kOrIKZmJfNUkgOVP3sI9BPjaaPA0_a4636oymQxTXg8/edit?gid=609491371#gid=609491371"&amp;""",""Form responses 1!F:F"")=$B26
    ),
    1
  ),
  ""Not Found""
)"),"Not Found")</f>
        <v>Not Found</v>
      </c>
      <c r="F26" s="284" t="str">
        <f>IFERROR(__xludf.DUMMYFUNCTION("IFERROR(
  INDEX(
    FILTER(
      IMPORTRANGE(""1kOrIKZmJfNUkgOVP3sI9BPjaaPA0_a4636oymQxTXg8/edit?gid=609491371#gid=609491371"",""Form responses 1!L:L""),
      IMPORTRANGE(""1kOrIKZmJfNUkgOVP3sI9BPjaaPA0_a4636oymQxTXg8/edit?gid=609491371#gid=609491371"&amp;""",""Form responses 1!F:F"")=$B26
    ),
    1
  ),
  ""Not Found""
)"),"Not Found")</f>
        <v>Not Found</v>
      </c>
      <c r="G26" s="284"/>
      <c r="H26" s="230"/>
      <c r="I26" s="230"/>
      <c r="J26" s="339" t="str">
        <f>IFERROR(__xludf.DUMMYFUNCTION("IFERROR(
  INDEX(
    FILTER(
      IMPORTRANGE(""1Cxrhp3-_-HS7v9uuqQliiIfrmMP4VaFoDNDWyUFy2J8/edit?gid=0#gid=0"",""Sheet1!AE:AE""),
      IMPORTRANGE(""1Cxrhp3-_-HS7v9uuqQliiIfrmMP4VaFoDNDWyUFy2J8/edit?gid=0#gid=0"",""Sheet1!K:K"")=$B26
    ),
    1
  ),"&amp;"
  ""Not Found""
)"),"Not Found")</f>
        <v>Not Found</v>
      </c>
      <c r="K26" s="340"/>
      <c r="L26" s="340"/>
      <c r="M26" s="230"/>
      <c r="N26" s="230"/>
      <c r="O26" s="230"/>
      <c r="P26" s="230"/>
      <c r="Q26" s="230"/>
      <c r="R26" s="230"/>
      <c r="S26" s="230"/>
      <c r="T26" s="230"/>
      <c r="U26" s="230"/>
      <c r="V26" s="230"/>
      <c r="W26" s="230"/>
      <c r="X26" s="230"/>
      <c r="Y26" s="230"/>
      <c r="Z26" s="230"/>
    </row>
    <row r="27">
      <c r="A27" s="337" t="str">
        <f>IFERROR(__xludf.DUMMYFUNCTION("VLOOKUP($B27,IMPORTRANGE(""https://docs.google.com/spreadsheets/d/1VNXDITjs75AcgdBSW27oL1VZH31udDprJSsBcE5xlp4/edit?gid=1551188038#gid=1551188038"", ""Sheet9!$B:$E""),2,false)"),"Lahore")</f>
        <v>Lahore</v>
      </c>
      <c r="B27" s="338" t="s">
        <v>1635</v>
      </c>
      <c r="C27" s="284">
        <f>IFERROR(__xludf.DUMMYFUNCTION("IFERROR(
  INDEX(
    FILTER(
      IMPORTRANGE(""1Cxrhp3-_-HS7v9uuqQliiIfrmMP4VaFoDNDWyUFy2J8/edit?gid=0#gid=0"",""Sheet1!AE:AE""),
      IMPORTRANGE(""1Cxrhp3-_-HS7v9uuqQliiIfrmMP4VaFoDNDWyUFy2J8/edit?gid=0#gid=0"",""Sheet1!K:K"")=$B27
    ),
    1
  ),"&amp;"
  ""Not Found""
)"),1970.0)</f>
        <v>1970</v>
      </c>
      <c r="D27" s="284" t="str">
        <f>IFERROR(__xludf.DUMMYFUNCTION("IFERROR(
  INDEX(
    FILTER(
      IMPORTRANGE(""1Cxrhp3-_-HS7v9uuqQliiIfrmMP4VaFoDNDWyUFy2J8/edit?gid=0#gid=0"",""Sheet1!AG:AG""),
      IMPORTRANGE(""1Cxrhp3-_-HS7v9uuqQliiIfrmMP4VaFoDNDWyUFy2J8/edit?gid=0#gid=0"",""Sheet1!K:K"")=$B27
    ),
    1
  ),"&amp;"
  ""Not Found""
)"),"")</f>
        <v/>
      </c>
      <c r="E27" s="284" t="str">
        <f>IFERROR(__xludf.DUMMYFUNCTION("IFERROR(
  INDEX(
    FILTER(
      IMPORTRANGE(""1kOrIKZmJfNUkgOVP3sI9BPjaaPA0_a4636oymQxTXg8/edit?gid=609491371#gid=609491371"",""Form responses 1!J:J""),
      IMPORTRANGE(""1kOrIKZmJfNUkgOVP3sI9BPjaaPA0_a4636oymQxTXg8/edit?gid=609491371#gid=609491371"&amp;""",""Form responses 1!F:F"")=$B27
    ),
    1
  ),
  ""Not Found""
)"),"Not Found")</f>
        <v>Not Found</v>
      </c>
      <c r="F27" s="284" t="str">
        <f>IFERROR(__xludf.DUMMYFUNCTION("IFERROR(
  INDEX(
    FILTER(
      IMPORTRANGE(""1kOrIKZmJfNUkgOVP3sI9BPjaaPA0_a4636oymQxTXg8/edit?gid=609491371#gid=609491371"",""Form responses 1!L:L""),
      IMPORTRANGE(""1kOrIKZmJfNUkgOVP3sI9BPjaaPA0_a4636oymQxTXg8/edit?gid=609491371#gid=609491371"&amp;""",""Form responses 1!F:F"")=$B27
    ),
    1
  ),
  ""Not Found""
)"),"Not Found")</f>
        <v>Not Found</v>
      </c>
      <c r="G27" s="284"/>
      <c r="H27" s="230"/>
      <c r="I27" s="230">
        <v>1970.0</v>
      </c>
      <c r="J27" s="339">
        <f>IFERROR(__xludf.DUMMYFUNCTION("IFERROR(
  INDEX(
    FILTER(
      IMPORTRANGE(""1Cxrhp3-_-HS7v9uuqQliiIfrmMP4VaFoDNDWyUFy2J8/edit?gid=0#gid=0"",""Sheet1!AE:AE""),
      IMPORTRANGE(""1Cxrhp3-_-HS7v9uuqQliiIfrmMP4VaFoDNDWyUFy2J8/edit?gid=0#gid=0"",""Sheet1!K:K"")=$B27
    ),
    1
  ),"&amp;"
  ""Not Found""
)"),1970.0)</f>
        <v>1970</v>
      </c>
      <c r="K27" s="340"/>
      <c r="L27" s="340"/>
      <c r="M27" s="230"/>
      <c r="N27" s="230"/>
      <c r="O27" s="230"/>
      <c r="P27" s="230"/>
      <c r="Q27" s="230"/>
      <c r="R27" s="230"/>
      <c r="S27" s="230"/>
      <c r="T27" s="230"/>
      <c r="U27" s="230"/>
      <c r="V27" s="230"/>
      <c r="W27" s="230"/>
      <c r="X27" s="230"/>
      <c r="Y27" s="230"/>
      <c r="Z27" s="230"/>
    </row>
    <row r="28">
      <c r="A28" s="337" t="str">
        <f>IFERROR(__xludf.DUMMYFUNCTION("VLOOKUP($B28,IMPORTRANGE(""https://docs.google.com/spreadsheets/d/1VNXDITjs75AcgdBSW27oL1VZH31udDprJSsBcE5xlp4/edit?gid=1551188038#gid=1551188038"", ""Sheet9!$B:$E""),2,false)"),"Lahore")</f>
        <v>Lahore</v>
      </c>
      <c r="B28" s="338" t="s">
        <v>2055</v>
      </c>
      <c r="C28" s="284" t="str">
        <f>IFERROR(__xludf.DUMMYFUNCTION("IFERROR(
  INDEX(
    FILTER(
      IMPORTRANGE(""1Cxrhp3-_-HS7v9uuqQliiIfrmMP4VaFoDNDWyUFy2J8/edit?gid=0#gid=0"",""Sheet1!AE:AE""),
      IMPORTRANGE(""1Cxrhp3-_-HS7v9uuqQliiIfrmMP4VaFoDNDWyUFy2J8/edit?gid=0#gid=0"",""Sheet1!K:K"")=$B28
    ),
    1
  ),"&amp;"
  ""Not Found""
)"),"Not Found")</f>
        <v>Not Found</v>
      </c>
      <c r="D28" s="284"/>
      <c r="E28" s="284" t="str">
        <f>IFERROR(__xludf.DUMMYFUNCTION("IFERROR(
  INDEX(
    FILTER(
      IMPORTRANGE(""1kOrIKZmJfNUkgOVP3sI9BPjaaPA0_a4636oymQxTXg8/edit?gid=609491371#gid=609491371"",""Form responses 1!J:J""),
      IMPORTRANGE(""1kOrIKZmJfNUkgOVP3sI9BPjaaPA0_a4636oymQxTXg8/edit?gid=609491371#gid=609491371"&amp;""",""Form responses 1!F:F"")=$B28
    ),
    1
  ),
  ""Not Found""
)"),"Not Found")</f>
        <v>Not Found</v>
      </c>
      <c r="F28" s="284" t="str">
        <f>IFERROR(__xludf.DUMMYFUNCTION("IFERROR(
  INDEX(
    FILTER(
      IMPORTRANGE(""1kOrIKZmJfNUkgOVP3sI9BPjaaPA0_a4636oymQxTXg8/edit?gid=609491371#gid=609491371"",""Form responses 1!L:L""),
      IMPORTRANGE(""1kOrIKZmJfNUkgOVP3sI9BPjaaPA0_a4636oymQxTXg8/edit?gid=609491371#gid=609491371"&amp;""",""Form responses 1!F:F"")=$B28
    ),
    1
  ),
  ""Not Found""
)"),"Not Found")</f>
        <v>Not Found</v>
      </c>
      <c r="G28" s="284"/>
      <c r="H28" s="230"/>
      <c r="I28" s="230"/>
      <c r="J28" s="339" t="str">
        <f>IFERROR(__xludf.DUMMYFUNCTION("IFERROR(
  INDEX(
    FILTER(
      IMPORTRANGE(""1Cxrhp3-_-HS7v9uuqQliiIfrmMP4VaFoDNDWyUFy2J8/edit?gid=0#gid=0"",""Sheet1!AE:AE""),
      IMPORTRANGE(""1Cxrhp3-_-HS7v9uuqQliiIfrmMP4VaFoDNDWyUFy2J8/edit?gid=0#gid=0"",""Sheet1!K:K"")=$B28
    ),
    1
  ),"&amp;"
  ""Not Found""
)"),"Not Found")</f>
        <v>Not Found</v>
      </c>
      <c r="K28" s="340"/>
      <c r="L28" s="340"/>
      <c r="M28" s="230"/>
      <c r="N28" s="230"/>
      <c r="O28" s="230"/>
      <c r="P28" s="230"/>
      <c r="Q28" s="230"/>
      <c r="R28" s="230"/>
      <c r="S28" s="230"/>
      <c r="T28" s="230"/>
      <c r="U28" s="230"/>
      <c r="V28" s="230"/>
      <c r="W28" s="230"/>
      <c r="X28" s="230"/>
      <c r="Y28" s="230"/>
      <c r="Z28" s="230"/>
    </row>
    <row r="29">
      <c r="A29" s="337" t="str">
        <f>IFERROR(__xludf.DUMMYFUNCTION("VLOOKUP($B29,IMPORTRANGE(""https://docs.google.com/spreadsheets/d/1VNXDITjs75AcgdBSW27oL1VZH31udDprJSsBcE5xlp4/edit?gid=1551188038#gid=1551188038"", ""Sheet9!$B:$E""),2,false)"),"Lahore")</f>
        <v>Lahore</v>
      </c>
      <c r="B29" s="338" t="s">
        <v>1480</v>
      </c>
      <c r="C29" s="284">
        <f>IFERROR(__xludf.DUMMYFUNCTION("IFERROR(
  INDEX(
    FILTER(
      IMPORTRANGE(""1Cxrhp3-_-HS7v9uuqQliiIfrmMP4VaFoDNDWyUFy2J8/edit?gid=0#gid=0"",""Sheet1!AE:AE""),
      IMPORTRANGE(""1Cxrhp3-_-HS7v9uuqQliiIfrmMP4VaFoDNDWyUFy2J8/edit?gid=0#gid=0"",""Sheet1!K:K"")=$B29
    ),
    1
  ),"&amp;"
  ""Not Found""
)"),1940.0)</f>
        <v>1940</v>
      </c>
      <c r="D29" s="284" t="str">
        <f>IFERROR(__xludf.DUMMYFUNCTION("IFERROR(
  INDEX(
    FILTER(
      IMPORTRANGE(""1Cxrhp3-_-HS7v9uuqQliiIfrmMP4VaFoDNDWyUFy2J8/edit?gid=0#gid=0"",""Sheet1!AG:AG""),
      IMPORTRANGE(""1Cxrhp3-_-HS7v9uuqQliiIfrmMP4VaFoDNDWyUFy2J8/edit?gid=0#gid=0"",""Sheet1!K:K"")=$B29
    ),
    1
  ),"&amp;"
  ""Not Found""
)"),"")</f>
        <v/>
      </c>
      <c r="E29" s="284" t="str">
        <f>IFERROR(__xludf.DUMMYFUNCTION("IFERROR(
  INDEX(
    FILTER(
      IMPORTRANGE(""1kOrIKZmJfNUkgOVP3sI9BPjaaPA0_a4636oymQxTXg8/edit?gid=609491371#gid=609491371"",""Form responses 1!J:J""),
      IMPORTRANGE(""1kOrIKZmJfNUkgOVP3sI9BPjaaPA0_a4636oymQxTXg8/edit?gid=609491371#gid=609491371"&amp;""",""Form responses 1!F:F"")=$B29
    ),
    1
  ),
  ""Not Found""
)"),"Not Found")</f>
        <v>Not Found</v>
      </c>
      <c r="F29" s="284" t="str">
        <f>IFERROR(__xludf.DUMMYFUNCTION("IFERROR(
  INDEX(
    FILTER(
      IMPORTRANGE(""1kOrIKZmJfNUkgOVP3sI9BPjaaPA0_a4636oymQxTXg8/edit?gid=609491371#gid=609491371"",""Form responses 1!L:L""),
      IMPORTRANGE(""1kOrIKZmJfNUkgOVP3sI9BPjaaPA0_a4636oymQxTXg8/edit?gid=609491371#gid=609491371"&amp;""",""Form responses 1!F:F"")=$B29
    ),
    1
  ),
  ""Not Found""
)"),"Not Found")</f>
        <v>Not Found</v>
      </c>
      <c r="G29" s="284"/>
      <c r="H29" s="230"/>
      <c r="I29" s="230">
        <v>1940.0</v>
      </c>
      <c r="J29" s="339">
        <f>IFERROR(__xludf.DUMMYFUNCTION("IFERROR(
  INDEX(
    FILTER(
      IMPORTRANGE(""1Cxrhp3-_-HS7v9uuqQliiIfrmMP4VaFoDNDWyUFy2J8/edit?gid=0#gid=0"",""Sheet1!AE:AE""),
      IMPORTRANGE(""1Cxrhp3-_-HS7v9uuqQliiIfrmMP4VaFoDNDWyUFy2J8/edit?gid=0#gid=0"",""Sheet1!K:K"")=$B29
    ),
    1
  ),"&amp;"
  ""Not Found""
)"),1940.0)</f>
        <v>1940</v>
      </c>
      <c r="K29" s="340"/>
      <c r="L29" s="340"/>
      <c r="M29" s="230"/>
      <c r="N29" s="230"/>
      <c r="O29" s="230"/>
      <c r="P29" s="230"/>
      <c r="Q29" s="230"/>
      <c r="R29" s="230"/>
      <c r="S29" s="230"/>
      <c r="T29" s="230"/>
      <c r="U29" s="230"/>
      <c r="V29" s="230"/>
      <c r="W29" s="230"/>
      <c r="X29" s="230"/>
      <c r="Y29" s="230"/>
      <c r="Z29" s="230"/>
    </row>
    <row r="30">
      <c r="A30" s="337" t="str">
        <f>IFERROR(__xludf.DUMMYFUNCTION("VLOOKUP($B30,IMPORTRANGE(""https://docs.google.com/spreadsheets/d/1VNXDITjs75AcgdBSW27oL1VZH31udDprJSsBcE5xlp4/edit?gid=1551188038#gid=1551188038"", ""Sheet9!$B:$E""),2,false)"),"Lahore")</f>
        <v>Lahore</v>
      </c>
      <c r="B30" s="338" t="s">
        <v>1360</v>
      </c>
      <c r="C30" s="284">
        <f>IFERROR(__xludf.DUMMYFUNCTION("IFERROR(
  INDEX(
    FILTER(
      IMPORTRANGE(""1Cxrhp3-_-HS7v9uuqQliiIfrmMP4VaFoDNDWyUFy2J8/edit?gid=0#gid=0"",""Sheet1!AE:AE""),
      IMPORTRANGE(""1Cxrhp3-_-HS7v9uuqQliiIfrmMP4VaFoDNDWyUFy2J8/edit?gid=0#gid=0"",""Sheet1!K:K"")=$B30
    ),
    1
  ),"&amp;"
  ""Not Found""
)"),1980.0)</f>
        <v>1980</v>
      </c>
      <c r="D30" s="284" t="str">
        <f>IFERROR(__xludf.DUMMYFUNCTION("IFERROR(
  INDEX(
    FILTER(
      IMPORTRANGE(""1Cxrhp3-_-HS7v9uuqQliiIfrmMP4VaFoDNDWyUFy2J8/edit?gid=0#gid=0"",""Sheet1!AG:AG""),
      IMPORTRANGE(""1Cxrhp3-_-HS7v9uuqQliiIfrmMP4VaFoDNDWyUFy2J8/edit?gid=0#gid=0"",""Sheet1!K:K"")=$B30
    ),
    1
  ),"&amp;"
  ""Not Found""
)"),"Hazrat Gohar Peer Shah")</f>
        <v>Hazrat Gohar Peer Shah</v>
      </c>
      <c r="E30" s="284" t="str">
        <f>IFERROR(__xludf.DUMMYFUNCTION("IFERROR(
  INDEX(
    FILTER(
      IMPORTRANGE(""1kOrIKZmJfNUkgOVP3sI9BPjaaPA0_a4636oymQxTXg8/edit?gid=609491371#gid=609491371"",""Form responses 1!J:J""),
      IMPORTRANGE(""1kOrIKZmJfNUkgOVP3sI9BPjaaPA0_a4636oymQxTXg8/edit?gid=609491371#gid=609491371"&amp;""",""Form responses 1!F:F"")=$B30
    ),
    1
  ),
  ""Not Found""
)"),"Not Found")</f>
        <v>Not Found</v>
      </c>
      <c r="F30" s="284" t="str">
        <f>IFERROR(__xludf.DUMMYFUNCTION("IFERROR(
  INDEX(
    FILTER(
      IMPORTRANGE(""1kOrIKZmJfNUkgOVP3sI9BPjaaPA0_a4636oymQxTXg8/edit?gid=609491371#gid=609491371"",""Form responses 1!L:L""),
      IMPORTRANGE(""1kOrIKZmJfNUkgOVP3sI9BPjaaPA0_a4636oymQxTXg8/edit?gid=609491371#gid=609491371"&amp;""",""Form responses 1!F:F"")=$B30
    ),
    1
  ),
  ""Not Found""
)"),"Not Found")</f>
        <v>Not Found</v>
      </c>
      <c r="G30" s="284"/>
      <c r="H30" s="230"/>
      <c r="I30" s="230">
        <v>1980.0</v>
      </c>
      <c r="J30" s="339">
        <f>IFERROR(__xludf.DUMMYFUNCTION("IFERROR(
  INDEX(
    FILTER(
      IMPORTRANGE(""1Cxrhp3-_-HS7v9uuqQliiIfrmMP4VaFoDNDWyUFy2J8/edit?gid=0#gid=0"",""Sheet1!AE:AE""),
      IMPORTRANGE(""1Cxrhp3-_-HS7v9uuqQliiIfrmMP4VaFoDNDWyUFy2J8/edit?gid=0#gid=0"",""Sheet1!K:K"")=$B30
    ),
    1
  ),"&amp;"
  ""Not Found""
)"),1980.0)</f>
        <v>1980</v>
      </c>
      <c r="K30" s="340"/>
      <c r="L30" s="340"/>
      <c r="M30" s="230"/>
      <c r="N30" s="230"/>
      <c r="O30" s="230"/>
      <c r="P30" s="230"/>
      <c r="Q30" s="230"/>
      <c r="R30" s="230"/>
      <c r="S30" s="230"/>
      <c r="T30" s="230"/>
      <c r="U30" s="230"/>
      <c r="V30" s="230"/>
      <c r="W30" s="230"/>
      <c r="X30" s="230"/>
      <c r="Y30" s="230"/>
      <c r="Z30" s="230"/>
    </row>
    <row r="31">
      <c r="A31" s="337" t="str">
        <f>IFERROR(__xludf.DUMMYFUNCTION("VLOOKUP($B31,IMPORTRANGE(""https://docs.google.com/spreadsheets/d/1VNXDITjs75AcgdBSW27oL1VZH31udDprJSsBcE5xlp4/edit?gid=1551188038#gid=1551188038"", ""Sheet9!$B:$E""),2,false)"),"Lahore")</f>
        <v>Lahore</v>
      </c>
      <c r="B31" s="338" t="s">
        <v>4518</v>
      </c>
      <c r="C31" s="284">
        <f>IFERROR(__xludf.DUMMYFUNCTION("IFERROR(
  INDEX(
    FILTER(
      IMPORTRANGE(""1Cxrhp3-_-HS7v9uuqQliiIfrmMP4VaFoDNDWyUFy2J8/edit?gid=0#gid=0"",""Sheet1!AE:AE""),
      IMPORTRANGE(""1Cxrhp3-_-HS7v9uuqQliiIfrmMP4VaFoDNDWyUFy2J8/edit?gid=0#gid=0"",""Sheet1!K:K"")=$B31
    ),
    1
  ),"&amp;"
  ""Not Found""
)"),1957.0)</f>
        <v>1957</v>
      </c>
      <c r="D31" s="284" t="str">
        <f>IFERROR(__xludf.DUMMYFUNCTION("IFERROR(
  INDEX(
    FILTER(
      IMPORTRANGE(""1Cxrhp3-_-HS7v9uuqQliiIfrmMP4VaFoDNDWyUFy2J8/edit?gid=0#gid=0"",""Sheet1!AG:AG""),
      IMPORTRANGE(""1Cxrhp3-_-HS7v9uuqQliiIfrmMP4VaFoDNDWyUFy2J8/edit?gid=0#gid=0"",""Sheet1!K:K"")=$B31
    ),
    1
  ),"&amp;"
  ""Not Found""
)"),"")</f>
        <v/>
      </c>
      <c r="E31" s="284" t="str">
        <f>IFERROR(__xludf.DUMMYFUNCTION("IFERROR(
  INDEX(
    FILTER(
      IMPORTRANGE(""1kOrIKZmJfNUkgOVP3sI9BPjaaPA0_a4636oymQxTXg8/edit?gid=609491371#gid=609491371"",""Form responses 1!J:J""),
      IMPORTRANGE(""1kOrIKZmJfNUkgOVP3sI9BPjaaPA0_a4636oymQxTXg8/edit?gid=609491371#gid=609491371"&amp;""",""Form responses 1!F:F"")=$B31
    ),
    1
  ),
  ""Not Found""
)"),"Not Found")</f>
        <v>Not Found</v>
      </c>
      <c r="F31" s="284" t="str">
        <f>IFERROR(__xludf.DUMMYFUNCTION("IFERROR(
  INDEX(
    FILTER(
      IMPORTRANGE(""1kOrIKZmJfNUkgOVP3sI9BPjaaPA0_a4636oymQxTXg8/edit?gid=609491371#gid=609491371"",""Form responses 1!L:L""),
      IMPORTRANGE(""1kOrIKZmJfNUkgOVP3sI9BPjaaPA0_a4636oymQxTXg8/edit?gid=609491371#gid=609491371"&amp;""",""Form responses 1!F:F"")=$B31
    ),
    1
  ),
  ""Not Found""
)"),"Not Found")</f>
        <v>Not Found</v>
      </c>
      <c r="G31" s="284"/>
      <c r="H31" s="230"/>
      <c r="I31" s="230">
        <v>1957.0</v>
      </c>
      <c r="J31" s="339">
        <f>IFERROR(__xludf.DUMMYFUNCTION("IFERROR(
  INDEX(
    FILTER(
      IMPORTRANGE(""1Cxrhp3-_-HS7v9uuqQliiIfrmMP4VaFoDNDWyUFy2J8/edit?gid=0#gid=0"",""Sheet1!AE:AE""),
      IMPORTRANGE(""1Cxrhp3-_-HS7v9uuqQliiIfrmMP4VaFoDNDWyUFy2J8/edit?gid=0#gid=0"",""Sheet1!K:K"")=$B31
    ),
    1
  ),"&amp;"
  ""Not Found""
)"),1957.0)</f>
        <v>1957</v>
      </c>
      <c r="K31" s="340"/>
      <c r="L31" s="340"/>
      <c r="M31" s="230"/>
      <c r="N31" s="230"/>
      <c r="O31" s="230"/>
      <c r="P31" s="230"/>
      <c r="Q31" s="230"/>
      <c r="R31" s="230"/>
      <c r="S31" s="230"/>
      <c r="T31" s="230"/>
      <c r="U31" s="230"/>
      <c r="V31" s="230"/>
      <c r="W31" s="230"/>
      <c r="X31" s="230"/>
      <c r="Y31" s="230"/>
      <c r="Z31" s="230"/>
    </row>
    <row r="32">
      <c r="A32" s="337" t="str">
        <f>IFERROR(__xludf.DUMMYFUNCTION("VLOOKUP($B32,IMPORTRANGE(""https://docs.google.com/spreadsheets/d/1VNXDITjs75AcgdBSW27oL1VZH31udDprJSsBcE5xlp4/edit?gid=1551188038#gid=1551188038"", ""Sheet9!$B:$E""),2,false)"),"Lahore")</f>
        <v>Lahore</v>
      </c>
      <c r="B32" s="338" t="s">
        <v>1541</v>
      </c>
      <c r="C32" s="284">
        <f>IFERROR(__xludf.DUMMYFUNCTION("IFERROR(
  INDEX(
    FILTER(
      IMPORTRANGE(""1Cxrhp3-_-HS7v9uuqQliiIfrmMP4VaFoDNDWyUFy2J8/edit?gid=0#gid=0"",""Sheet1!AE:AE""),
      IMPORTRANGE(""1Cxrhp3-_-HS7v9uuqQliiIfrmMP4VaFoDNDWyUFy2J8/edit?gid=0#gid=0"",""Sheet1!K:K"")=$B32
    ),
    1
  ),"&amp;"
  ""Not Found""
)"),1995.0)</f>
        <v>1995</v>
      </c>
      <c r="D32" s="284" t="str">
        <f>IFERROR(__xludf.DUMMYFUNCTION("IFERROR(
  INDEX(
    FILTER(
      IMPORTRANGE(""1Cxrhp3-_-HS7v9uuqQliiIfrmMP4VaFoDNDWyUFy2J8/edit?gid=0#gid=0"",""Sheet1!AG:AG""),
      IMPORTRANGE(""1Cxrhp3-_-HS7v9uuqQliiIfrmMP4VaFoDNDWyUFy2J8/edit?gid=0#gid=0"",""Sheet1!K:K"")=$B32
    ),
    1
  ),"&amp;"
  ""Not Found""
)"),"")</f>
        <v/>
      </c>
      <c r="E32" s="284" t="str">
        <f>IFERROR(__xludf.DUMMYFUNCTION("IFERROR(
  INDEX(
    FILTER(
      IMPORTRANGE(""1kOrIKZmJfNUkgOVP3sI9BPjaaPA0_a4636oymQxTXg8/edit?gid=609491371#gid=609491371"",""Form responses 1!J:J""),
      IMPORTRANGE(""1kOrIKZmJfNUkgOVP3sI9BPjaaPA0_a4636oymQxTXg8/edit?gid=609491371#gid=609491371"&amp;""",""Form responses 1!F:F"")=$B32
    ),
    1
  ),
  ""Not Found""
)"),"Not Found")</f>
        <v>Not Found</v>
      </c>
      <c r="F32" s="284" t="str">
        <f>IFERROR(__xludf.DUMMYFUNCTION("IFERROR(
  INDEX(
    FILTER(
      IMPORTRANGE(""1kOrIKZmJfNUkgOVP3sI9BPjaaPA0_a4636oymQxTXg8/edit?gid=609491371#gid=609491371"",""Form responses 1!L:L""),
      IMPORTRANGE(""1kOrIKZmJfNUkgOVP3sI9BPjaaPA0_a4636oymQxTXg8/edit?gid=609491371#gid=609491371"&amp;""",""Form responses 1!F:F"")=$B32
    ),
    1
  ),
  ""Not Found""
)"),"Not Found")</f>
        <v>Not Found</v>
      </c>
      <c r="G32" s="284"/>
      <c r="H32" s="230"/>
      <c r="I32" s="230">
        <v>1995.0</v>
      </c>
      <c r="J32" s="339">
        <f>IFERROR(__xludf.DUMMYFUNCTION("IFERROR(
  INDEX(
    FILTER(
      IMPORTRANGE(""1Cxrhp3-_-HS7v9uuqQliiIfrmMP4VaFoDNDWyUFy2J8/edit?gid=0#gid=0"",""Sheet1!AE:AE""),
      IMPORTRANGE(""1Cxrhp3-_-HS7v9uuqQliiIfrmMP4VaFoDNDWyUFy2J8/edit?gid=0#gid=0"",""Sheet1!K:K"")=$B32
    ),
    1
  ),"&amp;"
  ""Not Found""
)"),1995.0)</f>
        <v>1995</v>
      </c>
      <c r="K32" s="340"/>
      <c r="L32" s="340"/>
      <c r="M32" s="230"/>
      <c r="N32" s="230"/>
      <c r="O32" s="230"/>
      <c r="P32" s="230"/>
      <c r="Q32" s="230"/>
      <c r="R32" s="230"/>
      <c r="S32" s="230"/>
      <c r="T32" s="230"/>
      <c r="U32" s="230"/>
      <c r="V32" s="230"/>
      <c r="W32" s="230"/>
      <c r="X32" s="230"/>
      <c r="Y32" s="230"/>
      <c r="Z32" s="230"/>
    </row>
    <row r="33">
      <c r="A33" s="337" t="str">
        <f>IFERROR(__xludf.DUMMYFUNCTION("VLOOKUP($B33,IMPORTRANGE(""https://docs.google.com/spreadsheets/d/1VNXDITjs75AcgdBSW27oL1VZH31udDprJSsBcE5xlp4/edit?gid=1551188038#gid=1551188038"", ""Sheet9!$B:$E""),2,false)"),"Lahore")</f>
        <v>Lahore</v>
      </c>
      <c r="B33" s="338" t="s">
        <v>1211</v>
      </c>
      <c r="C33" s="284">
        <f>IFERROR(__xludf.DUMMYFUNCTION("IFERROR(
  INDEX(
    FILTER(
      IMPORTRANGE(""1Cxrhp3-_-HS7v9uuqQliiIfrmMP4VaFoDNDWyUFy2J8/edit?gid=0#gid=0"",""Sheet1!AE:AE""),
      IMPORTRANGE(""1Cxrhp3-_-HS7v9uuqQliiIfrmMP4VaFoDNDWyUFy2J8/edit?gid=0#gid=0"",""Sheet1!K:K"")=$B33
    ),
    1
  ),"&amp;"
  ""Not Found""
)"),1965.0)</f>
        <v>1965</v>
      </c>
      <c r="D33" s="284" t="str">
        <f>IFERROR(__xludf.DUMMYFUNCTION("IFERROR(
  INDEX(
    FILTER(
      IMPORTRANGE(""1Cxrhp3-_-HS7v9uuqQliiIfrmMP4VaFoDNDWyUFy2J8/edit?gid=0#gid=0"",""Sheet1!AG:AG""),
      IMPORTRANGE(""1Cxrhp3-_-HS7v9uuqQliiIfrmMP4VaFoDNDWyUFy2J8/edit?gid=0#gid=0"",""Sheet1!K:K"")=$B33
    ),
    1
  ),"&amp;"
  ""Not Found""
)"),"")</f>
        <v/>
      </c>
      <c r="E33" s="284" t="str">
        <f>IFERROR(__xludf.DUMMYFUNCTION("IFERROR(
  INDEX(
    FILTER(
      IMPORTRANGE(""1kOrIKZmJfNUkgOVP3sI9BPjaaPA0_a4636oymQxTXg8/edit?gid=609491371#gid=609491371"",""Form responses 1!J:J""),
      IMPORTRANGE(""1kOrIKZmJfNUkgOVP3sI9BPjaaPA0_a4636oymQxTXg8/edit?gid=609491371#gid=609491371"&amp;""",""Form responses 1!F:F"")=$B33
    ),
    1
  ),
  ""Not Found""
)"),"Not Found")</f>
        <v>Not Found</v>
      </c>
      <c r="F33" s="284" t="str">
        <f>IFERROR(__xludf.DUMMYFUNCTION("IFERROR(
  INDEX(
    FILTER(
      IMPORTRANGE(""1kOrIKZmJfNUkgOVP3sI9BPjaaPA0_a4636oymQxTXg8/edit?gid=609491371#gid=609491371"",""Form responses 1!L:L""),
      IMPORTRANGE(""1kOrIKZmJfNUkgOVP3sI9BPjaaPA0_a4636oymQxTXg8/edit?gid=609491371#gid=609491371"&amp;""",""Form responses 1!F:F"")=$B33
    ),
    1
  ),
  ""Not Found""
)"),"Not Found")</f>
        <v>Not Found</v>
      </c>
      <c r="G33" s="284"/>
      <c r="H33" s="230"/>
      <c r="I33" s="230">
        <v>1965.0</v>
      </c>
      <c r="J33" s="339">
        <f>IFERROR(__xludf.DUMMYFUNCTION("IFERROR(
  INDEX(
    FILTER(
      IMPORTRANGE(""1Cxrhp3-_-HS7v9uuqQliiIfrmMP4VaFoDNDWyUFy2J8/edit?gid=0#gid=0"",""Sheet1!AE:AE""),
      IMPORTRANGE(""1Cxrhp3-_-HS7v9uuqQliiIfrmMP4VaFoDNDWyUFy2J8/edit?gid=0#gid=0"",""Sheet1!K:K"")=$B33
    ),
    1
  ),"&amp;"
  ""Not Found""
)"),1965.0)</f>
        <v>1965</v>
      </c>
      <c r="K33" s="340"/>
      <c r="L33" s="340"/>
      <c r="M33" s="230"/>
      <c r="N33" s="230"/>
      <c r="O33" s="230"/>
      <c r="P33" s="230"/>
      <c r="Q33" s="230"/>
      <c r="R33" s="230"/>
      <c r="S33" s="230"/>
      <c r="T33" s="230"/>
      <c r="U33" s="230"/>
      <c r="V33" s="230"/>
      <c r="W33" s="230"/>
      <c r="X33" s="230"/>
      <c r="Y33" s="230"/>
      <c r="Z33" s="230"/>
    </row>
    <row r="34">
      <c r="A34" s="337" t="str">
        <f>IFERROR(__xludf.DUMMYFUNCTION("VLOOKUP($B34,IMPORTRANGE(""https://docs.google.com/spreadsheets/d/1VNXDITjs75AcgdBSW27oL1VZH31udDprJSsBcE5xlp4/edit?gid=1551188038#gid=1551188038"", ""Sheet9!$B:$E""),2,false)"),"Lahore")</f>
        <v>Lahore</v>
      </c>
      <c r="B34" s="338" t="s">
        <v>4519</v>
      </c>
      <c r="C34" s="284">
        <f>IFERROR(__xludf.DUMMYFUNCTION("IFERROR(
  INDEX(
    FILTER(
      IMPORTRANGE(""1Cxrhp3-_-HS7v9uuqQliiIfrmMP4VaFoDNDWyUFy2J8/edit?gid=0#gid=0"",""Sheet1!AE:AE""),
      IMPORTRANGE(""1Cxrhp3-_-HS7v9uuqQliiIfrmMP4VaFoDNDWyUFy2J8/edit?gid=0#gid=0"",""Sheet1!K:K"")=$B34
    ),
    1
  ),"&amp;"
  ""Not Found""
)"),1960.0)</f>
        <v>1960</v>
      </c>
      <c r="D34" s="284" t="str">
        <f>IFERROR(__xludf.DUMMYFUNCTION("IFERROR(
  INDEX(
    FILTER(
      IMPORTRANGE(""1Cxrhp3-_-HS7v9uuqQliiIfrmMP4VaFoDNDWyUFy2J8/edit?gid=0#gid=0"",""Sheet1!AG:AG""),
      IMPORTRANGE(""1Cxrhp3-_-HS7v9uuqQliiIfrmMP4VaFoDNDWyUFy2J8/edit?gid=0#gid=0"",""Sheet1!K:K"")=$B34
    ),
    1
  ),"&amp;"
  ""Not Found""
)"),"")</f>
        <v/>
      </c>
      <c r="E34" s="284" t="str">
        <f>IFERROR(__xludf.DUMMYFUNCTION("IFERROR(
  INDEX(
    FILTER(
      IMPORTRANGE(""1kOrIKZmJfNUkgOVP3sI9BPjaaPA0_a4636oymQxTXg8/edit?gid=609491371#gid=609491371"",""Form responses 1!J:J""),
      IMPORTRANGE(""1kOrIKZmJfNUkgOVP3sI9BPjaaPA0_a4636oymQxTXg8/edit?gid=609491371#gid=609491371"&amp;""",""Form responses 1!F:F"")=$B34
    ),
    1
  ),
  ""Not Found""
)"),"Not Found")</f>
        <v>Not Found</v>
      </c>
      <c r="F34" s="284" t="str">
        <f>IFERROR(__xludf.DUMMYFUNCTION("IFERROR(
  INDEX(
    FILTER(
      IMPORTRANGE(""1kOrIKZmJfNUkgOVP3sI9BPjaaPA0_a4636oymQxTXg8/edit?gid=609491371#gid=609491371"",""Form responses 1!L:L""),
      IMPORTRANGE(""1kOrIKZmJfNUkgOVP3sI9BPjaaPA0_a4636oymQxTXg8/edit?gid=609491371#gid=609491371"&amp;""",""Form responses 1!F:F"")=$B34
    ),
    1
  ),
  ""Not Found""
)"),"Not Found")</f>
        <v>Not Found</v>
      </c>
      <c r="G34" s="284"/>
      <c r="H34" s="230"/>
      <c r="I34" s="230">
        <v>1960.0</v>
      </c>
      <c r="J34" s="339">
        <f>IFERROR(__xludf.DUMMYFUNCTION("IFERROR(
  INDEX(
    FILTER(
      IMPORTRANGE(""1Cxrhp3-_-HS7v9uuqQliiIfrmMP4VaFoDNDWyUFy2J8/edit?gid=0#gid=0"",""Sheet1!AE:AE""),
      IMPORTRANGE(""1Cxrhp3-_-HS7v9uuqQliiIfrmMP4VaFoDNDWyUFy2J8/edit?gid=0#gid=0"",""Sheet1!K:K"")=$B34
    ),
    1
  ),"&amp;"
  ""Not Found""
)"),1960.0)</f>
        <v>1960</v>
      </c>
      <c r="K34" s="340"/>
      <c r="L34" s="340"/>
      <c r="M34" s="230"/>
      <c r="N34" s="230"/>
      <c r="O34" s="230"/>
      <c r="P34" s="230"/>
      <c r="Q34" s="230"/>
      <c r="R34" s="230"/>
      <c r="S34" s="230"/>
      <c r="T34" s="230"/>
      <c r="U34" s="230"/>
      <c r="V34" s="230"/>
      <c r="W34" s="230"/>
      <c r="X34" s="230"/>
      <c r="Y34" s="230"/>
      <c r="Z34" s="230"/>
    </row>
    <row r="35">
      <c r="A35" s="337" t="str">
        <f>IFERROR(__xludf.DUMMYFUNCTION("VLOOKUP($B35,IMPORTRANGE(""https://docs.google.com/spreadsheets/d/1VNXDITjs75AcgdBSW27oL1VZH31udDprJSsBcE5xlp4/edit?gid=1551188038#gid=1551188038"", ""Sheet9!$B:$E""),2,false)"),"Lahore")</f>
        <v>Lahore</v>
      </c>
      <c r="B35" s="338" t="s">
        <v>1248</v>
      </c>
      <c r="C35" s="284">
        <f>IFERROR(__xludf.DUMMYFUNCTION("IFERROR(
  INDEX(
    FILTER(
      IMPORTRANGE(""1Cxrhp3-_-HS7v9uuqQliiIfrmMP4VaFoDNDWyUFy2J8/edit?gid=0#gid=0"",""Sheet1!AE:AE""),
      IMPORTRANGE(""1Cxrhp3-_-HS7v9uuqQliiIfrmMP4VaFoDNDWyUFy2J8/edit?gid=0#gid=0"",""Sheet1!K:K"")=$B35
    ),
    1
  ),"&amp;"
  ""Not Found""
)"),1991.0)</f>
        <v>1991</v>
      </c>
      <c r="D35" s="284" t="str">
        <f>IFERROR(__xludf.DUMMYFUNCTION("IFERROR(
  INDEX(
    FILTER(
      IMPORTRANGE(""1Cxrhp3-_-HS7v9uuqQliiIfrmMP4VaFoDNDWyUFy2J8/edit?gid=0#gid=0"",""Sheet1!AG:AG""),
      IMPORTRANGE(""1Cxrhp3-_-HS7v9uuqQliiIfrmMP4VaFoDNDWyUFy2J8/edit?gid=0#gid=0"",""Sheet1!K:K"")=$B35
    ),
    1
  ),"&amp;"
  ""Not Found""
)"),"Darbar Takiya peer Hassan shah wali ")</f>
        <v>Darbar Takiya peer Hassan shah wali </v>
      </c>
      <c r="E35" s="284" t="str">
        <f>IFERROR(__xludf.DUMMYFUNCTION("IFERROR(
  INDEX(
    FILTER(
      IMPORTRANGE(""1kOrIKZmJfNUkgOVP3sI9BPjaaPA0_a4636oymQxTXg8/edit?gid=609491371#gid=609491371"",""Form responses 1!J:J""),
      IMPORTRANGE(""1kOrIKZmJfNUkgOVP3sI9BPjaaPA0_a4636oymQxTXg8/edit?gid=609491371#gid=609491371"&amp;""",""Form responses 1!F:F"")=$B35
    ),
    1
  ),
  ""Not Found""
)"),"Not Found")</f>
        <v>Not Found</v>
      </c>
      <c r="F35" s="284" t="str">
        <f>IFERROR(__xludf.DUMMYFUNCTION("IFERROR(
  INDEX(
    FILTER(
      IMPORTRANGE(""1kOrIKZmJfNUkgOVP3sI9BPjaaPA0_a4636oymQxTXg8/edit?gid=609491371#gid=609491371"",""Form responses 1!L:L""),
      IMPORTRANGE(""1kOrIKZmJfNUkgOVP3sI9BPjaaPA0_a4636oymQxTXg8/edit?gid=609491371#gid=609491371"&amp;""",""Form responses 1!F:F"")=$B35
    ),
    1
  ),
  ""Not Found""
)"),"Not Found")</f>
        <v>Not Found</v>
      </c>
      <c r="G35" s="284"/>
      <c r="H35" s="230"/>
      <c r="I35" s="230">
        <v>1991.0</v>
      </c>
      <c r="J35" s="339">
        <f>IFERROR(__xludf.DUMMYFUNCTION("IFERROR(
  INDEX(
    FILTER(
      IMPORTRANGE(""1Cxrhp3-_-HS7v9uuqQliiIfrmMP4VaFoDNDWyUFy2J8/edit?gid=0#gid=0"",""Sheet1!AE:AE""),
      IMPORTRANGE(""1Cxrhp3-_-HS7v9uuqQliiIfrmMP4VaFoDNDWyUFy2J8/edit?gid=0#gid=0"",""Sheet1!K:K"")=$B35
    ),
    1
  ),"&amp;"
  ""Not Found""
)"),1991.0)</f>
        <v>1991</v>
      </c>
      <c r="K35" s="340"/>
      <c r="L35" s="340"/>
      <c r="M35" s="230"/>
      <c r="N35" s="230"/>
      <c r="O35" s="230"/>
      <c r="P35" s="230"/>
      <c r="Q35" s="230"/>
      <c r="R35" s="230"/>
      <c r="S35" s="230"/>
      <c r="T35" s="230"/>
      <c r="U35" s="230"/>
      <c r="V35" s="230"/>
      <c r="W35" s="230"/>
      <c r="X35" s="230"/>
      <c r="Y35" s="230"/>
      <c r="Z35" s="230"/>
    </row>
    <row r="36">
      <c r="A36" s="337" t="str">
        <f>IFERROR(__xludf.DUMMYFUNCTION("VLOOKUP($B36,IMPORTRANGE(""https://docs.google.com/spreadsheets/d/1VNXDITjs75AcgdBSW27oL1VZH31udDprJSsBcE5xlp4/edit?gid=1551188038#gid=1551188038"", ""Sheet9!$B:$E""),2,false)"),"Lahore")</f>
        <v>Lahore</v>
      </c>
      <c r="B36" s="338" t="s">
        <v>2559</v>
      </c>
      <c r="C36" s="284">
        <f>IFERROR(__xludf.DUMMYFUNCTION("IFERROR(
  INDEX(
    FILTER(
      IMPORTRANGE(""1Cxrhp3-_-HS7v9uuqQliiIfrmMP4VaFoDNDWyUFy2J8/edit?gid=0#gid=0"",""Sheet1!AE:AE""),
      IMPORTRANGE(""1Cxrhp3-_-HS7v9uuqQliiIfrmMP4VaFoDNDWyUFy2J8/edit?gid=0#gid=0"",""Sheet1!K:K"")=$B36
    ),
    1
  ),"&amp;"
  ""Not Found""
)"),1970.0)</f>
        <v>1970</v>
      </c>
      <c r="D36" s="284" t="str">
        <f>IFERROR(__xludf.DUMMYFUNCTION("IFERROR(
  INDEX(
    FILTER(
      IMPORTRANGE(""1Cxrhp3-_-HS7v9uuqQliiIfrmMP4VaFoDNDWyUFy2J8/edit?gid=0#gid=0"",""Sheet1!AG:AG""),
      IMPORTRANGE(""1Cxrhp3-_-HS7v9uuqQliiIfrmMP4VaFoDNDWyUFy2J8/edit?gid=0#gid=0"",""Sheet1!K:K"")=$B36
    ),
    1
  ),"&amp;"
  ""Not Found""
)"),"")</f>
        <v/>
      </c>
      <c r="E36" s="284" t="str">
        <f>IFERROR(__xludf.DUMMYFUNCTION("IFERROR(
  INDEX(
    FILTER(
      IMPORTRANGE(""1kOrIKZmJfNUkgOVP3sI9BPjaaPA0_a4636oymQxTXg8/edit?gid=609491371#gid=609491371"",""Form responses 1!J:J""),
      IMPORTRANGE(""1kOrIKZmJfNUkgOVP3sI9BPjaaPA0_a4636oymQxTXg8/edit?gid=609491371#gid=609491371"&amp;""",""Form responses 1!F:F"")=$B36
    ),
    1
  ),
  ""Not Found""
)"),"Not Found")</f>
        <v>Not Found</v>
      </c>
      <c r="F36" s="284" t="str">
        <f>IFERROR(__xludf.DUMMYFUNCTION("IFERROR(
  INDEX(
    FILTER(
      IMPORTRANGE(""1kOrIKZmJfNUkgOVP3sI9BPjaaPA0_a4636oymQxTXg8/edit?gid=609491371#gid=609491371"",""Form responses 1!L:L""),
      IMPORTRANGE(""1kOrIKZmJfNUkgOVP3sI9BPjaaPA0_a4636oymQxTXg8/edit?gid=609491371#gid=609491371"&amp;""",""Form responses 1!F:F"")=$B36
    ),
    1
  ),
  ""Not Found""
)"),"Not Found")</f>
        <v>Not Found</v>
      </c>
      <c r="G36" s="284"/>
      <c r="H36" s="230"/>
      <c r="I36" s="230">
        <v>1970.0</v>
      </c>
      <c r="J36" s="339">
        <f>IFERROR(__xludf.DUMMYFUNCTION("IFERROR(
  INDEX(
    FILTER(
      IMPORTRANGE(""1Cxrhp3-_-HS7v9uuqQliiIfrmMP4VaFoDNDWyUFy2J8/edit?gid=0#gid=0"",""Sheet1!AE:AE""),
      IMPORTRANGE(""1Cxrhp3-_-HS7v9uuqQliiIfrmMP4VaFoDNDWyUFy2J8/edit?gid=0#gid=0"",""Sheet1!K:K"")=$B36
    ),
    1
  ),"&amp;"
  ""Not Found""
)"),1970.0)</f>
        <v>1970</v>
      </c>
      <c r="K36" s="340"/>
      <c r="L36" s="340"/>
      <c r="M36" s="230"/>
      <c r="N36" s="230"/>
      <c r="O36" s="230"/>
      <c r="P36" s="230"/>
      <c r="Q36" s="230"/>
      <c r="R36" s="230"/>
      <c r="S36" s="230"/>
      <c r="T36" s="230"/>
      <c r="U36" s="230"/>
      <c r="V36" s="230"/>
      <c r="W36" s="230"/>
      <c r="X36" s="230"/>
      <c r="Y36" s="230"/>
      <c r="Z36" s="230"/>
    </row>
    <row r="37">
      <c r="A37" s="337" t="str">
        <f>IFERROR(__xludf.DUMMYFUNCTION("VLOOKUP($B37,IMPORTRANGE(""https://docs.google.com/spreadsheets/d/1VNXDITjs75AcgdBSW27oL1VZH31udDprJSsBcE5xlp4/edit?gid=1551188038#gid=1551188038"", ""Sheet9!$B:$E""),2,false)"),"Lahore")</f>
        <v>Lahore</v>
      </c>
      <c r="B37" s="338" t="s">
        <v>1352</v>
      </c>
      <c r="C37" s="284" t="str">
        <f>IFERROR(__xludf.DUMMYFUNCTION("IFERROR(
  INDEX(
    FILTER(
      IMPORTRANGE(""1Cxrhp3-_-HS7v9uuqQliiIfrmMP4VaFoDNDWyUFy2J8/edit?gid=0#gid=0"",""Sheet1!AE:AE""),
      IMPORTRANGE(""1Cxrhp3-_-HS7v9uuqQliiIfrmMP4VaFoDNDWyUFy2J8/edit?gid=0#gid=0"",""Sheet1!K:K"")=$B37
    ),
    1
  ),"&amp;"
  ""Not Found""
)"),"")</f>
        <v/>
      </c>
      <c r="D37" s="284" t="str">
        <f>IFERROR(__xludf.DUMMYFUNCTION("IFERROR(
  INDEX(
    FILTER(
      IMPORTRANGE(""1Cxrhp3-_-HS7v9uuqQliiIfrmMP4VaFoDNDWyUFy2J8/edit?gid=0#gid=0"",""Sheet1!AG:AG""),
      IMPORTRANGE(""1Cxrhp3-_-HS7v9uuqQliiIfrmMP4VaFoDNDWyUFy2J8/edit?gid=0#gid=0"",""Sheet1!K:K"")=$B37
    ),
    1
  ),"&amp;"
  ""Not Found""
)"),"")</f>
        <v/>
      </c>
      <c r="E37" s="284" t="str">
        <f>IFERROR(__xludf.DUMMYFUNCTION("IFERROR(
  INDEX(
    FILTER(
      IMPORTRANGE(""1kOrIKZmJfNUkgOVP3sI9BPjaaPA0_a4636oymQxTXg8/edit?gid=609491371#gid=609491371"",""Form responses 1!J:J""),
      IMPORTRANGE(""1kOrIKZmJfNUkgOVP3sI9BPjaaPA0_a4636oymQxTXg8/edit?gid=609491371#gid=609491371"&amp;""",""Form responses 1!F:F"")=$B37
    ),
    1
  ),
  ""Not Found""
)"),"Not Found")</f>
        <v>Not Found</v>
      </c>
      <c r="F37" s="284" t="str">
        <f>IFERROR(__xludf.DUMMYFUNCTION("IFERROR(
  INDEX(
    FILTER(
      IMPORTRANGE(""1kOrIKZmJfNUkgOVP3sI9BPjaaPA0_a4636oymQxTXg8/edit?gid=609491371#gid=609491371"",""Form responses 1!L:L""),
      IMPORTRANGE(""1kOrIKZmJfNUkgOVP3sI9BPjaaPA0_a4636oymQxTXg8/edit?gid=609491371#gid=609491371"&amp;""",""Form responses 1!F:F"")=$B37
    ),
    1
  ),
  ""Not Found""
)"),"Not Found")</f>
        <v>Not Found</v>
      </c>
      <c r="G37" s="284"/>
      <c r="H37" s="230"/>
      <c r="I37" s="230"/>
      <c r="J37" s="339" t="str">
        <f>IFERROR(__xludf.DUMMYFUNCTION("IFERROR(
  INDEX(
    FILTER(
      IMPORTRANGE(""1Cxrhp3-_-HS7v9uuqQliiIfrmMP4VaFoDNDWyUFy2J8/edit?gid=0#gid=0"",""Sheet1!AE:AE""),
      IMPORTRANGE(""1Cxrhp3-_-HS7v9uuqQliiIfrmMP4VaFoDNDWyUFy2J8/edit?gid=0#gid=0"",""Sheet1!K:K"")=$B37
    ),
    1
  ),"&amp;"
  ""Not Found""
)"),"")</f>
        <v/>
      </c>
      <c r="K37" s="340"/>
      <c r="L37" s="340"/>
      <c r="M37" s="230"/>
      <c r="N37" s="230"/>
      <c r="O37" s="230"/>
      <c r="P37" s="230"/>
      <c r="Q37" s="230"/>
      <c r="R37" s="230"/>
      <c r="S37" s="230"/>
      <c r="T37" s="230"/>
      <c r="U37" s="230"/>
      <c r="V37" s="230"/>
      <c r="W37" s="230"/>
      <c r="X37" s="230"/>
      <c r="Y37" s="230"/>
      <c r="Z37" s="230"/>
    </row>
    <row r="38">
      <c r="A38" s="337" t="str">
        <f>IFERROR(__xludf.DUMMYFUNCTION("VLOOKUP($B38,IMPORTRANGE(""https://docs.google.com/spreadsheets/d/1VNXDITjs75AcgdBSW27oL1VZH31udDprJSsBcE5xlp4/edit?gid=1551188038#gid=1551188038"", ""Sheet9!$B:$E""),2,false)"),"Lahore")</f>
        <v>Lahore</v>
      </c>
      <c r="B38" s="338" t="s">
        <v>2311</v>
      </c>
      <c r="C38" s="284">
        <f>IFERROR(__xludf.DUMMYFUNCTION("IFERROR(
  INDEX(
    FILTER(
      IMPORTRANGE(""1Cxrhp3-_-HS7v9uuqQliiIfrmMP4VaFoDNDWyUFy2J8/edit?gid=0#gid=0"",""Sheet1!AE:AE""),
      IMPORTRANGE(""1Cxrhp3-_-HS7v9uuqQliiIfrmMP4VaFoDNDWyUFy2J8/edit?gid=0#gid=0"",""Sheet1!K:K"")=$B38
    ),
    1
  ),"&amp;"
  ""Not Found""
)"),2012.0)</f>
        <v>2012</v>
      </c>
      <c r="D38" s="284" t="str">
        <f>IFERROR(__xludf.DUMMYFUNCTION("IFERROR(
  INDEX(
    FILTER(
      IMPORTRANGE(""1Cxrhp3-_-HS7v9uuqQliiIfrmMP4VaFoDNDWyUFy2J8/edit?gid=0#gid=0"",""Sheet1!AG:AG""),
      IMPORTRANGE(""1Cxrhp3-_-HS7v9uuqQliiIfrmMP4VaFoDNDWyUFy2J8/edit?gid=0#gid=0"",""Sheet1!K:K"")=$B38
    ),
    1
  ),"&amp;"
  ""Not Found""
)"),"Madoh Laal Hussain ")</f>
        <v>Madoh Laal Hussain </v>
      </c>
      <c r="E38" s="284" t="str">
        <f>IFERROR(__xludf.DUMMYFUNCTION("IFERROR(
  INDEX(
    FILTER(
      IMPORTRANGE(""1kOrIKZmJfNUkgOVP3sI9BPjaaPA0_a4636oymQxTXg8/edit?gid=609491371#gid=609491371"",""Form responses 1!J:J""),
      IMPORTRANGE(""1kOrIKZmJfNUkgOVP3sI9BPjaaPA0_a4636oymQxTXg8/edit?gid=609491371#gid=609491371"&amp;""",""Form responses 1!F:F"")=$B38
    ),
    1
  ),
  ""Not Found""
)"),"Not Found")</f>
        <v>Not Found</v>
      </c>
      <c r="F38" s="284" t="str">
        <f>IFERROR(__xludf.DUMMYFUNCTION("IFERROR(
  INDEX(
    FILTER(
      IMPORTRANGE(""1kOrIKZmJfNUkgOVP3sI9BPjaaPA0_a4636oymQxTXg8/edit?gid=609491371#gid=609491371"",""Form responses 1!L:L""),
      IMPORTRANGE(""1kOrIKZmJfNUkgOVP3sI9BPjaaPA0_a4636oymQxTXg8/edit?gid=609491371#gid=609491371"&amp;""",""Form responses 1!F:F"")=$B38
    ),
    1
  ),
  ""Not Found""
)"),"Not Found")</f>
        <v>Not Found</v>
      </c>
      <c r="G38" s="284"/>
      <c r="H38" s="230"/>
      <c r="I38" s="230">
        <v>2012.0</v>
      </c>
      <c r="J38" s="339">
        <f>IFERROR(__xludf.DUMMYFUNCTION("IFERROR(
  INDEX(
    FILTER(
      IMPORTRANGE(""1Cxrhp3-_-HS7v9uuqQliiIfrmMP4VaFoDNDWyUFy2J8/edit?gid=0#gid=0"",""Sheet1!AE:AE""),
      IMPORTRANGE(""1Cxrhp3-_-HS7v9uuqQliiIfrmMP4VaFoDNDWyUFy2J8/edit?gid=0#gid=0"",""Sheet1!K:K"")=$B38
    ),
    1
  ),"&amp;"
  ""Not Found""
)"),2012.0)</f>
        <v>2012</v>
      </c>
      <c r="K38" s="340"/>
      <c r="L38" s="340"/>
      <c r="M38" s="230"/>
      <c r="N38" s="230"/>
      <c r="O38" s="230"/>
      <c r="P38" s="230"/>
      <c r="Q38" s="230"/>
      <c r="R38" s="230"/>
      <c r="S38" s="230"/>
      <c r="T38" s="230"/>
      <c r="U38" s="230"/>
      <c r="V38" s="230"/>
      <c r="W38" s="230"/>
      <c r="X38" s="230"/>
      <c r="Y38" s="230"/>
      <c r="Z38" s="230"/>
    </row>
    <row r="39">
      <c r="A39" s="337" t="str">
        <f>IFERROR(__xludf.DUMMYFUNCTION("VLOOKUP($B39,IMPORTRANGE(""https://docs.google.com/spreadsheets/d/1VNXDITjs75AcgdBSW27oL1VZH31udDprJSsBcE5xlp4/edit?gid=1551188038#gid=1551188038"", ""Sheet9!$B:$E""),2,false)"),"Lahore")</f>
        <v>Lahore</v>
      </c>
      <c r="B39" s="338" t="s">
        <v>1809</v>
      </c>
      <c r="C39" s="284">
        <f>IFERROR(__xludf.DUMMYFUNCTION("IFERROR(
  INDEX(
    FILTER(
      IMPORTRANGE(""1Cxrhp3-_-HS7v9uuqQliiIfrmMP4VaFoDNDWyUFy2J8/edit?gid=0#gid=0"",""Sheet1!AE:AE""),
      IMPORTRANGE(""1Cxrhp3-_-HS7v9uuqQliiIfrmMP4VaFoDNDWyUFy2J8/edit?gid=0#gid=0"",""Sheet1!K:K"")=$B39
    ),
    1
  ),"&amp;"
  ""Not Found""
)"),1930.0)</f>
        <v>1930</v>
      </c>
      <c r="D39" s="284" t="str">
        <f>IFERROR(__xludf.DUMMYFUNCTION("IFERROR(
  INDEX(
    FILTER(
      IMPORTRANGE(""1Cxrhp3-_-HS7v9uuqQliiIfrmMP4VaFoDNDWyUFy2J8/edit?gid=0#gid=0"",""Sheet1!AG:AG""),
      IMPORTRANGE(""1Cxrhp3-_-HS7v9uuqQliiIfrmMP4VaFoDNDWyUFy2J8/edit?gid=0#gid=0"",""Sheet1!K:K"")=$B39
    ),
    1
  ),"&amp;"
  ""Not Found""
)"),"")</f>
        <v/>
      </c>
      <c r="E39" s="284" t="str">
        <f>IFERROR(__xludf.DUMMYFUNCTION("IFERROR(
  INDEX(
    FILTER(
      IMPORTRANGE(""1kOrIKZmJfNUkgOVP3sI9BPjaaPA0_a4636oymQxTXg8/edit?gid=609491371#gid=609491371"",""Form responses 1!J:J""),
      IMPORTRANGE(""1kOrIKZmJfNUkgOVP3sI9BPjaaPA0_a4636oymQxTXg8/edit?gid=609491371#gid=609491371"&amp;""",""Form responses 1!F:F"")=$B39
    ),
    1
  ),
  ""Not Found""
)"),"Not Found")</f>
        <v>Not Found</v>
      </c>
      <c r="F39" s="284" t="str">
        <f>IFERROR(__xludf.DUMMYFUNCTION("IFERROR(
  INDEX(
    FILTER(
      IMPORTRANGE(""1kOrIKZmJfNUkgOVP3sI9BPjaaPA0_a4636oymQxTXg8/edit?gid=609491371#gid=609491371"",""Form responses 1!L:L""),
      IMPORTRANGE(""1kOrIKZmJfNUkgOVP3sI9BPjaaPA0_a4636oymQxTXg8/edit?gid=609491371#gid=609491371"&amp;""",""Form responses 1!F:F"")=$B39
    ),
    1
  ),
  ""Not Found""
)"),"Not Found")</f>
        <v>Not Found</v>
      </c>
      <c r="G39" s="284"/>
      <c r="H39" s="230"/>
      <c r="I39" s="230">
        <v>1930.0</v>
      </c>
      <c r="J39" s="339">
        <f>IFERROR(__xludf.DUMMYFUNCTION("IFERROR(
  INDEX(
    FILTER(
      IMPORTRANGE(""1Cxrhp3-_-HS7v9uuqQliiIfrmMP4VaFoDNDWyUFy2J8/edit?gid=0#gid=0"",""Sheet1!AE:AE""),
      IMPORTRANGE(""1Cxrhp3-_-HS7v9uuqQliiIfrmMP4VaFoDNDWyUFy2J8/edit?gid=0#gid=0"",""Sheet1!K:K"")=$B39
    ),
    1
  ),"&amp;"
  ""Not Found""
)"),1930.0)</f>
        <v>1930</v>
      </c>
      <c r="K39" s="340"/>
      <c r="L39" s="340"/>
      <c r="M39" s="230"/>
      <c r="N39" s="230"/>
      <c r="O39" s="230"/>
      <c r="P39" s="230"/>
      <c r="Q39" s="230"/>
      <c r="R39" s="230"/>
      <c r="S39" s="230"/>
      <c r="T39" s="230"/>
      <c r="U39" s="230"/>
      <c r="V39" s="230"/>
      <c r="W39" s="230"/>
      <c r="X39" s="230"/>
      <c r="Y39" s="230"/>
      <c r="Z39" s="230"/>
    </row>
    <row r="40">
      <c r="A40" s="337" t="str">
        <f>IFERROR(__xludf.DUMMYFUNCTION("VLOOKUP($B40,IMPORTRANGE(""https://docs.google.com/spreadsheets/d/1VNXDITjs75AcgdBSW27oL1VZH31udDprJSsBcE5xlp4/edit?gid=1551188038#gid=1551188038"", ""Sheet9!$B:$E""),2,false)"),"Lahore")</f>
        <v>Lahore</v>
      </c>
      <c r="B40" s="338" t="s">
        <v>1346</v>
      </c>
      <c r="C40" s="284">
        <f>IFERROR(__xludf.DUMMYFUNCTION("IFERROR(
  INDEX(
    FILTER(
      IMPORTRANGE(""1Cxrhp3-_-HS7v9uuqQliiIfrmMP4VaFoDNDWyUFy2J8/edit?gid=0#gid=0"",""Sheet1!AE:AE""),
      IMPORTRANGE(""1Cxrhp3-_-HS7v9uuqQliiIfrmMP4VaFoDNDWyUFy2J8/edit?gid=0#gid=0"",""Sheet1!K:K"")=$B40
    ),
    1
  ),"&amp;"
  ""Not Found""
)"),1940.0)</f>
        <v>1940</v>
      </c>
      <c r="D40" s="284" t="str">
        <f>IFERROR(__xludf.DUMMYFUNCTION("IFERROR(
  INDEX(
    FILTER(
      IMPORTRANGE(""1Cxrhp3-_-HS7v9uuqQliiIfrmMP4VaFoDNDWyUFy2J8/edit?gid=0#gid=0"",""Sheet1!AG:AG""),
      IMPORTRANGE(""1Cxrhp3-_-HS7v9uuqQliiIfrmMP4VaFoDNDWyUFy2J8/edit?gid=0#gid=0"",""Sheet1!K:K"")=$B40
    ),
    1
  ),"&amp;"
  ""Not Found""
)"),"Qurban Ali shah ")</f>
        <v>Qurban Ali shah </v>
      </c>
      <c r="E40" s="284" t="str">
        <f>IFERROR(__xludf.DUMMYFUNCTION("IFERROR(
  INDEX(
    FILTER(
      IMPORTRANGE(""1kOrIKZmJfNUkgOVP3sI9BPjaaPA0_a4636oymQxTXg8/edit?gid=609491371#gid=609491371"",""Form responses 1!J:J""),
      IMPORTRANGE(""1kOrIKZmJfNUkgOVP3sI9BPjaaPA0_a4636oymQxTXg8/edit?gid=609491371#gid=609491371"&amp;""",""Form responses 1!F:F"")=$B40
    ),
    1
  ),
  ""Not Found""
)"),"Not Found")</f>
        <v>Not Found</v>
      </c>
      <c r="F40" s="284" t="str">
        <f>IFERROR(__xludf.DUMMYFUNCTION("IFERROR(
  INDEX(
    FILTER(
      IMPORTRANGE(""1kOrIKZmJfNUkgOVP3sI9BPjaaPA0_a4636oymQxTXg8/edit?gid=609491371#gid=609491371"",""Form responses 1!L:L""),
      IMPORTRANGE(""1kOrIKZmJfNUkgOVP3sI9BPjaaPA0_a4636oymQxTXg8/edit?gid=609491371#gid=609491371"&amp;""",""Form responses 1!F:F"")=$B40
    ),
    1
  ),
  ""Not Found""
)"),"Not Found")</f>
        <v>Not Found</v>
      </c>
      <c r="G40" s="284"/>
      <c r="H40" s="230"/>
      <c r="I40" s="230">
        <v>1940.0</v>
      </c>
      <c r="J40" s="339">
        <f>IFERROR(__xludf.DUMMYFUNCTION("IFERROR(
  INDEX(
    FILTER(
      IMPORTRANGE(""1Cxrhp3-_-HS7v9uuqQliiIfrmMP4VaFoDNDWyUFy2J8/edit?gid=0#gid=0"",""Sheet1!AE:AE""),
      IMPORTRANGE(""1Cxrhp3-_-HS7v9uuqQliiIfrmMP4VaFoDNDWyUFy2J8/edit?gid=0#gid=0"",""Sheet1!K:K"")=$B40
    ),
    1
  ),"&amp;"
  ""Not Found""
)"),1940.0)</f>
        <v>1940</v>
      </c>
      <c r="K40" s="340"/>
      <c r="L40" s="340"/>
      <c r="M40" s="230"/>
      <c r="N40" s="230"/>
      <c r="O40" s="230"/>
      <c r="P40" s="230"/>
      <c r="Q40" s="230"/>
      <c r="R40" s="230"/>
      <c r="S40" s="230"/>
      <c r="T40" s="230"/>
      <c r="U40" s="230"/>
      <c r="V40" s="230"/>
      <c r="W40" s="230"/>
      <c r="X40" s="230"/>
      <c r="Y40" s="230"/>
      <c r="Z40" s="230"/>
    </row>
    <row r="41">
      <c r="A41" s="337" t="str">
        <f>IFERROR(__xludf.DUMMYFUNCTION("VLOOKUP($B41,IMPORTRANGE(""https://docs.google.com/spreadsheets/d/1VNXDITjs75AcgdBSW27oL1VZH31udDprJSsBcE5xlp4/edit?gid=1551188038#gid=1551188038"", ""Sheet9!$B:$E""),2,false)"),"Lahore")</f>
        <v>Lahore</v>
      </c>
      <c r="B41" s="338" t="s">
        <v>1461</v>
      </c>
      <c r="C41" s="284">
        <f>IFERROR(__xludf.DUMMYFUNCTION("IFERROR(
  INDEX(
    FILTER(
      IMPORTRANGE(""1Cxrhp3-_-HS7v9uuqQliiIfrmMP4VaFoDNDWyUFy2J8/edit?gid=0#gid=0"",""Sheet1!AE:AE""),
      IMPORTRANGE(""1Cxrhp3-_-HS7v9uuqQliiIfrmMP4VaFoDNDWyUFy2J8/edit?gid=0#gid=0"",""Sheet1!K:K"")=$B41
    ),
    1
  ),"&amp;"
  ""Not Found""
)"),1900.0)</f>
        <v>1900</v>
      </c>
      <c r="D41" s="284" t="str">
        <f>IFERROR(__xludf.DUMMYFUNCTION("IFERROR(
  INDEX(
    FILTER(
      IMPORTRANGE(""1Cxrhp3-_-HS7v9uuqQliiIfrmMP4VaFoDNDWyUFy2J8/edit?gid=0#gid=0"",""Sheet1!AG:AG""),
      IMPORTRANGE(""1Cxrhp3-_-HS7v9uuqQliiIfrmMP4VaFoDNDWyUFy2J8/edit?gid=0#gid=0"",""Sheet1!K:K"")=$B41
    ),
    1
  ),"&amp;"
  ""Not Found""
)"),"")</f>
        <v/>
      </c>
      <c r="E41" s="284" t="str">
        <f>IFERROR(__xludf.DUMMYFUNCTION("IFERROR(
  INDEX(
    FILTER(
      IMPORTRANGE(""1kOrIKZmJfNUkgOVP3sI9BPjaaPA0_a4636oymQxTXg8/edit?gid=609491371#gid=609491371"",""Form responses 1!J:J""),
      IMPORTRANGE(""1kOrIKZmJfNUkgOVP3sI9BPjaaPA0_a4636oymQxTXg8/edit?gid=609491371#gid=609491371"&amp;""",""Form responses 1!F:F"")=$B41
    ),
    1
  ),
  ""Not Found""
)"),"Not Found")</f>
        <v>Not Found</v>
      </c>
      <c r="F41" s="284" t="str">
        <f>IFERROR(__xludf.DUMMYFUNCTION("IFERROR(
  INDEX(
    FILTER(
      IMPORTRANGE(""1kOrIKZmJfNUkgOVP3sI9BPjaaPA0_a4636oymQxTXg8/edit?gid=609491371#gid=609491371"",""Form responses 1!L:L""),
      IMPORTRANGE(""1kOrIKZmJfNUkgOVP3sI9BPjaaPA0_a4636oymQxTXg8/edit?gid=609491371#gid=609491371"&amp;""",""Form responses 1!F:F"")=$B41
    ),
    1
  ),
  ""Not Found""
)"),"Not Found")</f>
        <v>Not Found</v>
      </c>
      <c r="G41" s="284"/>
      <c r="H41" s="230"/>
      <c r="I41" s="230">
        <v>1900.0</v>
      </c>
      <c r="J41" s="339">
        <f>IFERROR(__xludf.DUMMYFUNCTION("IFERROR(
  INDEX(
    FILTER(
      IMPORTRANGE(""1Cxrhp3-_-HS7v9uuqQliiIfrmMP4VaFoDNDWyUFy2J8/edit?gid=0#gid=0"",""Sheet1!AE:AE""),
      IMPORTRANGE(""1Cxrhp3-_-HS7v9uuqQliiIfrmMP4VaFoDNDWyUFy2J8/edit?gid=0#gid=0"",""Sheet1!K:K"")=$B41
    ),
    1
  ),"&amp;"
  ""Not Found""
)"),1900.0)</f>
        <v>1900</v>
      </c>
      <c r="K41" s="340"/>
      <c r="L41" s="340"/>
      <c r="M41" s="230"/>
      <c r="N41" s="230"/>
      <c r="O41" s="230"/>
      <c r="P41" s="230"/>
      <c r="Q41" s="230"/>
      <c r="R41" s="230"/>
      <c r="S41" s="230"/>
      <c r="T41" s="230"/>
      <c r="U41" s="230"/>
      <c r="V41" s="230"/>
      <c r="W41" s="230"/>
      <c r="X41" s="230"/>
      <c r="Y41" s="230"/>
      <c r="Z41" s="230"/>
    </row>
    <row r="42">
      <c r="A42" s="337" t="str">
        <f>IFERROR(__xludf.DUMMYFUNCTION("VLOOKUP($B42,IMPORTRANGE(""https://docs.google.com/spreadsheets/d/1VNXDITjs75AcgdBSW27oL1VZH31udDprJSsBcE5xlp4/edit?gid=1551188038#gid=1551188038"", ""Sheet9!$B:$E""),2,false)"),"Lahore")</f>
        <v>Lahore</v>
      </c>
      <c r="B42" s="341" t="s">
        <v>4522</v>
      </c>
      <c r="C42" s="284">
        <f>IFERROR(__xludf.DUMMYFUNCTION("IFERROR(
  INDEX(
    FILTER(
      IMPORTRANGE(""1Cxrhp3-_-HS7v9uuqQliiIfrmMP4VaFoDNDWyUFy2J8/edit?gid=0#gid=0"",""Sheet1!AE:AE""),
      IMPORTRANGE(""1Cxrhp3-_-HS7v9uuqQliiIfrmMP4VaFoDNDWyUFy2J8/edit?gid=0#gid=0"",""Sheet1!K:K"")=$B42
    ),
    1
  ),"&amp;"
  ""Not Found""
)"),1920.0)</f>
        <v>1920</v>
      </c>
      <c r="D42" s="284" t="str">
        <f>IFERROR(__xludf.DUMMYFUNCTION("IFERROR(
  INDEX(
    FILTER(
      IMPORTRANGE(""1Cxrhp3-_-HS7v9uuqQliiIfrmMP4VaFoDNDWyUFy2J8/edit?gid=0#gid=0"",""Sheet1!AG:AG""),
      IMPORTRANGE(""1Cxrhp3-_-HS7v9uuqQliiIfrmMP4VaFoDNDWyUFy2J8/edit?gid=0#gid=0"",""Sheet1!K:K"")=$B42
    ),
    1
  ),"&amp;"
  ""Not Found""
)"),"")</f>
        <v/>
      </c>
      <c r="E42" s="284" t="str">
        <f>IFERROR(__xludf.DUMMYFUNCTION("IFERROR(
  INDEX(
    FILTER(
      IMPORTRANGE(""1kOrIKZmJfNUkgOVP3sI9BPjaaPA0_a4636oymQxTXg8/edit?gid=609491371#gid=609491371"",""Form responses 1!J:J""),
      IMPORTRANGE(""1kOrIKZmJfNUkgOVP3sI9BPjaaPA0_a4636oymQxTXg8/edit?gid=609491371#gid=609491371"&amp;""",""Form responses 1!F:F"")=$B42
    ),
    1
  ),
  ""Not Found""
)"),"Not Found")</f>
        <v>Not Found</v>
      </c>
      <c r="F42" s="284" t="str">
        <f>IFERROR(__xludf.DUMMYFUNCTION("IFERROR(
  INDEX(
    FILTER(
      IMPORTRANGE(""1kOrIKZmJfNUkgOVP3sI9BPjaaPA0_a4636oymQxTXg8/edit?gid=609491371#gid=609491371"",""Form responses 1!L:L""),
      IMPORTRANGE(""1kOrIKZmJfNUkgOVP3sI9BPjaaPA0_a4636oymQxTXg8/edit?gid=609491371#gid=609491371"&amp;""",""Form responses 1!F:F"")=$B42
    ),
    1
  ),
  ""Not Found""
)"),"Not Found")</f>
        <v>Not Found</v>
      </c>
      <c r="G42" s="284"/>
      <c r="H42" s="230"/>
      <c r="I42" s="230">
        <v>1920.0</v>
      </c>
      <c r="J42" s="339">
        <f>IFERROR(__xludf.DUMMYFUNCTION("IFERROR(
  INDEX(
    FILTER(
      IMPORTRANGE(""1Cxrhp3-_-HS7v9uuqQliiIfrmMP4VaFoDNDWyUFy2J8/edit?gid=0#gid=0"",""Sheet1!AE:AE""),
      IMPORTRANGE(""1Cxrhp3-_-HS7v9uuqQliiIfrmMP4VaFoDNDWyUFy2J8/edit?gid=0#gid=0"",""Sheet1!K:K"")=$B42
    ),
    1
  ),"&amp;"
  ""Not Found""
)"),1920.0)</f>
        <v>1920</v>
      </c>
      <c r="K42" s="340"/>
      <c r="L42" s="340"/>
      <c r="M42" s="230"/>
      <c r="N42" s="230"/>
      <c r="O42" s="230"/>
      <c r="P42" s="230"/>
      <c r="Q42" s="230"/>
      <c r="R42" s="230"/>
      <c r="S42" s="230"/>
      <c r="T42" s="230"/>
      <c r="U42" s="230"/>
      <c r="V42" s="230"/>
      <c r="W42" s="230"/>
      <c r="X42" s="230"/>
      <c r="Y42" s="230"/>
      <c r="Z42" s="230"/>
    </row>
    <row r="43">
      <c r="A43" s="337" t="str">
        <f>IFERROR(__xludf.DUMMYFUNCTION("VLOOKUP($B43,IMPORTRANGE(""https://docs.google.com/spreadsheets/d/1VNXDITjs75AcgdBSW27oL1VZH31udDprJSsBcE5xlp4/edit?gid=1551188038#gid=1551188038"", ""Sheet9!$B:$E""),2,false)"),"Lahore")</f>
        <v>Lahore</v>
      </c>
      <c r="B43" s="338" t="s">
        <v>4524</v>
      </c>
      <c r="C43" s="284">
        <f>IFERROR(__xludf.DUMMYFUNCTION("IFERROR(
  INDEX(
    FILTER(
      IMPORTRANGE(""1Cxrhp3-_-HS7v9uuqQliiIfrmMP4VaFoDNDWyUFy2J8/edit?gid=0#gid=0"",""Sheet1!AE:AE""),
      IMPORTRANGE(""1Cxrhp3-_-HS7v9uuqQliiIfrmMP4VaFoDNDWyUFy2J8/edit?gid=0#gid=0"",""Sheet1!K:K"")=$B43
    ),
    1
  ),"&amp;"
  ""Not Found""
)"),1925.0)</f>
        <v>1925</v>
      </c>
      <c r="D43" s="284" t="str">
        <f>IFERROR(__xludf.DUMMYFUNCTION("IFERROR(
  INDEX(
    FILTER(
      IMPORTRANGE(""1Cxrhp3-_-HS7v9uuqQliiIfrmMP4VaFoDNDWyUFy2J8/edit?gid=0#gid=0"",""Sheet1!AG:AG""),
      IMPORTRANGE(""1Cxrhp3-_-HS7v9uuqQliiIfrmMP4VaFoDNDWyUFy2J8/edit?gid=0#gid=0"",""Sheet1!K:K"")=$B43
    ),
    1
  ),"&amp;"
  ""Not Found""
)"),"")</f>
        <v/>
      </c>
      <c r="E43" s="284" t="str">
        <f>IFERROR(__xludf.DUMMYFUNCTION("IFERROR(
  INDEX(
    FILTER(
      IMPORTRANGE(""1kOrIKZmJfNUkgOVP3sI9BPjaaPA0_a4636oymQxTXg8/edit?gid=609491371#gid=609491371"",""Form responses 1!J:J""),
      IMPORTRANGE(""1kOrIKZmJfNUkgOVP3sI9BPjaaPA0_a4636oymQxTXg8/edit?gid=609491371#gid=609491371"&amp;""",""Form responses 1!F:F"")=$B43
    ),
    1
  ),
  ""Not Found""
)"),"Not Found")</f>
        <v>Not Found</v>
      </c>
      <c r="F43" s="284" t="str">
        <f>IFERROR(__xludf.DUMMYFUNCTION("IFERROR(
  INDEX(
    FILTER(
      IMPORTRANGE(""1kOrIKZmJfNUkgOVP3sI9BPjaaPA0_a4636oymQxTXg8/edit?gid=609491371#gid=609491371"",""Form responses 1!L:L""),
      IMPORTRANGE(""1kOrIKZmJfNUkgOVP3sI9BPjaaPA0_a4636oymQxTXg8/edit?gid=609491371#gid=609491371"&amp;""",""Form responses 1!F:F"")=$B43
    ),
    1
  ),
  ""Not Found""
)"),"Not Found")</f>
        <v>Not Found</v>
      </c>
      <c r="G43" s="284"/>
      <c r="H43" s="230"/>
      <c r="I43" s="230">
        <v>1925.0</v>
      </c>
      <c r="J43" s="339">
        <f>IFERROR(__xludf.DUMMYFUNCTION("IFERROR(
  INDEX(
    FILTER(
      IMPORTRANGE(""1Cxrhp3-_-HS7v9uuqQliiIfrmMP4VaFoDNDWyUFy2J8/edit?gid=0#gid=0"",""Sheet1!AE:AE""),
      IMPORTRANGE(""1Cxrhp3-_-HS7v9uuqQliiIfrmMP4VaFoDNDWyUFy2J8/edit?gid=0#gid=0"",""Sheet1!K:K"")=$B43
    ),
    1
  ),"&amp;"
  ""Not Found""
)"),1925.0)</f>
        <v>1925</v>
      </c>
      <c r="K43" s="340"/>
      <c r="L43" s="340"/>
      <c r="M43" s="230"/>
      <c r="N43" s="230"/>
      <c r="O43" s="230"/>
      <c r="P43" s="230"/>
      <c r="Q43" s="230"/>
      <c r="R43" s="230"/>
      <c r="S43" s="230"/>
      <c r="T43" s="230"/>
      <c r="U43" s="230"/>
      <c r="V43" s="230"/>
      <c r="W43" s="230"/>
      <c r="X43" s="230"/>
      <c r="Y43" s="230"/>
      <c r="Z43" s="230"/>
    </row>
    <row r="44">
      <c r="A44" s="337" t="str">
        <f>IFERROR(__xludf.DUMMYFUNCTION("VLOOKUP($B44,IMPORTRANGE(""https://docs.google.com/spreadsheets/d/1VNXDITjs75AcgdBSW27oL1VZH31udDprJSsBcE5xlp4/edit?gid=1551188038#gid=1551188038"", ""Sheet9!$B:$E""),2,false)"),"Lahore")</f>
        <v>Lahore</v>
      </c>
      <c r="B44" s="338" t="s">
        <v>4526</v>
      </c>
      <c r="C44" s="284">
        <f>IFERROR(__xludf.DUMMYFUNCTION("IFERROR(
  INDEX(
    FILTER(
      IMPORTRANGE(""1Cxrhp3-_-HS7v9uuqQliiIfrmMP4VaFoDNDWyUFy2J8/edit?gid=0#gid=0"",""Sheet1!AE:AE""),
      IMPORTRANGE(""1Cxrhp3-_-HS7v9uuqQliiIfrmMP4VaFoDNDWyUFy2J8/edit?gid=0#gid=0"",""Sheet1!K:K"")=$B44
    ),
    1
  ),"&amp;"
  ""Not Found""
)"),1980.0)</f>
        <v>1980</v>
      </c>
      <c r="D44" s="284" t="str">
        <f>IFERROR(__xludf.DUMMYFUNCTION("IFERROR(
  INDEX(
    FILTER(
      IMPORTRANGE(""1Cxrhp3-_-HS7v9uuqQliiIfrmMP4VaFoDNDWyUFy2J8/edit?gid=0#gid=0"",""Sheet1!AG:AG""),
      IMPORTRANGE(""1Cxrhp3-_-HS7v9uuqQliiIfrmMP4VaFoDNDWyUFy2J8/edit?gid=0#gid=0"",""Sheet1!K:K"")=$B44
    ),
    1
  ),"&amp;"
  ""Not Found""
)"),"")</f>
        <v/>
      </c>
      <c r="E44" s="284" t="str">
        <f>IFERROR(__xludf.DUMMYFUNCTION("IFERROR(
  INDEX(
    FILTER(
      IMPORTRANGE(""1kOrIKZmJfNUkgOVP3sI9BPjaaPA0_a4636oymQxTXg8/edit?gid=609491371#gid=609491371"",""Form responses 1!J:J""),
      IMPORTRANGE(""1kOrIKZmJfNUkgOVP3sI9BPjaaPA0_a4636oymQxTXg8/edit?gid=609491371#gid=609491371"&amp;""",""Form responses 1!F:F"")=$B44
    ),
    1
  ),
  ""Not Found""
)"),"Not Found")</f>
        <v>Not Found</v>
      </c>
      <c r="F44" s="284" t="str">
        <f>IFERROR(__xludf.DUMMYFUNCTION("IFERROR(
  INDEX(
    FILTER(
      IMPORTRANGE(""1kOrIKZmJfNUkgOVP3sI9BPjaaPA0_a4636oymQxTXg8/edit?gid=609491371#gid=609491371"",""Form responses 1!L:L""),
      IMPORTRANGE(""1kOrIKZmJfNUkgOVP3sI9BPjaaPA0_a4636oymQxTXg8/edit?gid=609491371#gid=609491371"&amp;""",""Form responses 1!F:F"")=$B44
    ),
    1
  ),
  ""Not Found""
)"),"Not Found")</f>
        <v>Not Found</v>
      </c>
      <c r="G44" s="284"/>
      <c r="H44" s="230"/>
      <c r="I44" s="230">
        <v>1980.0</v>
      </c>
      <c r="J44" s="339">
        <f>IFERROR(__xludf.DUMMYFUNCTION("IFERROR(
  INDEX(
    FILTER(
      IMPORTRANGE(""1Cxrhp3-_-HS7v9uuqQliiIfrmMP4VaFoDNDWyUFy2J8/edit?gid=0#gid=0"",""Sheet1!AE:AE""),
      IMPORTRANGE(""1Cxrhp3-_-HS7v9uuqQliiIfrmMP4VaFoDNDWyUFy2J8/edit?gid=0#gid=0"",""Sheet1!K:K"")=$B44
    ),
    1
  ),"&amp;"
  ""Not Found""
)"),1980.0)</f>
        <v>1980</v>
      </c>
      <c r="K44" s="340"/>
      <c r="L44" s="340"/>
      <c r="M44" s="230"/>
      <c r="N44" s="230"/>
      <c r="O44" s="230"/>
      <c r="P44" s="230"/>
      <c r="Q44" s="230"/>
      <c r="R44" s="230"/>
      <c r="S44" s="230"/>
      <c r="T44" s="230"/>
      <c r="U44" s="230"/>
      <c r="V44" s="230"/>
      <c r="W44" s="230"/>
      <c r="X44" s="230"/>
      <c r="Y44" s="230"/>
      <c r="Z44" s="230"/>
    </row>
    <row r="45">
      <c r="A45" s="337" t="str">
        <f>IFERROR(__xludf.DUMMYFUNCTION("VLOOKUP($B45,IMPORTRANGE(""https://docs.google.com/spreadsheets/d/1VNXDITjs75AcgdBSW27oL1VZH31udDprJSsBcE5xlp4/edit?gid=1551188038#gid=1551188038"", ""Sheet9!$B:$E""),2,false)"),"Lahore")</f>
        <v>Lahore</v>
      </c>
      <c r="B45" s="338" t="s">
        <v>4527</v>
      </c>
      <c r="C45" s="284">
        <f>IFERROR(__xludf.DUMMYFUNCTION("IFERROR(
  INDEX(
    FILTER(
      IMPORTRANGE(""1Cxrhp3-_-HS7v9uuqQliiIfrmMP4VaFoDNDWyUFy2J8/edit?gid=0#gid=0"",""Sheet1!AE:AE""),
      IMPORTRANGE(""1Cxrhp3-_-HS7v9uuqQliiIfrmMP4VaFoDNDWyUFy2J8/edit?gid=0#gid=0"",""Sheet1!K:K"")=$B45
    ),
    1
  ),"&amp;"
  ""Not Found""
)"),1925.0)</f>
        <v>1925</v>
      </c>
      <c r="D45" s="284" t="str">
        <f>IFERROR(__xludf.DUMMYFUNCTION("IFERROR(
  INDEX(
    FILTER(
      IMPORTRANGE(""1Cxrhp3-_-HS7v9uuqQliiIfrmMP4VaFoDNDWyUFy2J8/edit?gid=0#gid=0"",""Sheet1!AG:AG""),
      IMPORTRANGE(""1Cxrhp3-_-HS7v9uuqQliiIfrmMP4VaFoDNDWyUFy2J8/edit?gid=0#gid=0"",""Sheet1!K:K"")=$B45
    ),
    1
  ),"&amp;"
  ""Not Found""
)"),"")</f>
        <v/>
      </c>
      <c r="E45" s="284" t="str">
        <f>IFERROR(__xludf.DUMMYFUNCTION("IFERROR(
  INDEX(
    FILTER(
      IMPORTRANGE(""1kOrIKZmJfNUkgOVP3sI9BPjaaPA0_a4636oymQxTXg8/edit?gid=609491371#gid=609491371"",""Form responses 1!J:J""),
      IMPORTRANGE(""1kOrIKZmJfNUkgOVP3sI9BPjaaPA0_a4636oymQxTXg8/edit?gid=609491371#gid=609491371"&amp;""",""Form responses 1!F:F"")=$B45
    ),
    1
  ),
  ""Not Found""
)"),"Not Found")</f>
        <v>Not Found</v>
      </c>
      <c r="F45" s="284" t="str">
        <f>IFERROR(__xludf.DUMMYFUNCTION("IFERROR(
  INDEX(
    FILTER(
      IMPORTRANGE(""1kOrIKZmJfNUkgOVP3sI9BPjaaPA0_a4636oymQxTXg8/edit?gid=609491371#gid=609491371"",""Form responses 1!L:L""),
      IMPORTRANGE(""1kOrIKZmJfNUkgOVP3sI9BPjaaPA0_a4636oymQxTXg8/edit?gid=609491371#gid=609491371"&amp;""",""Form responses 1!F:F"")=$B45
    ),
    1
  ),
  ""Not Found""
)"),"Not Found")</f>
        <v>Not Found</v>
      </c>
      <c r="G45" s="284"/>
      <c r="H45" s="230"/>
      <c r="I45" s="230">
        <v>1925.0</v>
      </c>
      <c r="J45" s="339">
        <f>IFERROR(__xludf.DUMMYFUNCTION("IFERROR(
  INDEX(
    FILTER(
      IMPORTRANGE(""1Cxrhp3-_-HS7v9uuqQliiIfrmMP4VaFoDNDWyUFy2J8/edit?gid=0#gid=0"",""Sheet1!AE:AE""),
      IMPORTRANGE(""1Cxrhp3-_-HS7v9uuqQliiIfrmMP4VaFoDNDWyUFy2J8/edit?gid=0#gid=0"",""Sheet1!K:K"")=$B45
    ),
    1
  ),"&amp;"
  ""Not Found""
)"),1925.0)</f>
        <v>1925</v>
      </c>
      <c r="K45" s="340"/>
      <c r="L45" s="340"/>
      <c r="M45" s="230"/>
      <c r="N45" s="230"/>
      <c r="O45" s="230"/>
      <c r="P45" s="230"/>
      <c r="Q45" s="230"/>
      <c r="R45" s="230"/>
      <c r="S45" s="230"/>
      <c r="T45" s="230"/>
      <c r="U45" s="230"/>
      <c r="V45" s="230"/>
      <c r="W45" s="230"/>
      <c r="X45" s="230"/>
      <c r="Y45" s="230"/>
      <c r="Z45" s="230"/>
    </row>
    <row r="46">
      <c r="A46" s="337" t="str">
        <f>IFERROR(__xludf.DUMMYFUNCTION("VLOOKUP($B46,IMPORTRANGE(""https://docs.google.com/spreadsheets/d/1VNXDITjs75AcgdBSW27oL1VZH31udDprJSsBcE5xlp4/edit?gid=1551188038#gid=1551188038"", ""Sheet9!$B:$E""),2,false)"),"Lahore")</f>
        <v>Lahore</v>
      </c>
      <c r="B46" s="342" t="s">
        <v>4528</v>
      </c>
      <c r="C46" s="284">
        <f>IFERROR(__xludf.DUMMYFUNCTION("IFERROR(
  INDEX(
    FILTER(
      IMPORTRANGE(""1Cxrhp3-_-HS7v9uuqQliiIfrmMP4VaFoDNDWyUFy2J8/edit?gid=0#gid=0"",""Sheet1!AE:AE""),
      IMPORTRANGE(""1Cxrhp3-_-HS7v9uuqQliiIfrmMP4VaFoDNDWyUFy2J8/edit?gid=0#gid=0"",""Sheet1!K:K"")=$B46
    ),
    1
  ),"&amp;"
  ""Not Found""
)"),1930.0)</f>
        <v>1930</v>
      </c>
      <c r="D46" s="284" t="str">
        <f>IFERROR(__xludf.DUMMYFUNCTION("IFERROR(
  INDEX(
    FILTER(
      IMPORTRANGE(""1Cxrhp3-_-HS7v9uuqQliiIfrmMP4VaFoDNDWyUFy2J8/edit?gid=0#gid=0"",""Sheet1!AG:AG""),
      IMPORTRANGE(""1Cxrhp3-_-HS7v9uuqQliiIfrmMP4VaFoDNDWyUFy2J8/edit?gid=0#gid=0"",""Sheet1!K:K"")=$B46
    ),
    1
  ),"&amp;"
  ""Not Found""
)"),"")</f>
        <v/>
      </c>
      <c r="E46" s="284" t="str">
        <f>IFERROR(__xludf.DUMMYFUNCTION("IFERROR(
  INDEX(
    FILTER(
      IMPORTRANGE(""1kOrIKZmJfNUkgOVP3sI9BPjaaPA0_a4636oymQxTXg8/edit?gid=609491371#gid=609491371"",""Form responses 1!J:J""),
      IMPORTRANGE(""1kOrIKZmJfNUkgOVP3sI9BPjaaPA0_a4636oymQxTXg8/edit?gid=609491371#gid=609491371"&amp;""",""Form responses 1!F:F"")=$B46
    ),
    1
  ),
  ""Not Found""
)"),"Not Found")</f>
        <v>Not Found</v>
      </c>
      <c r="F46" s="284" t="str">
        <f>IFERROR(__xludf.DUMMYFUNCTION("IFERROR(
  INDEX(
    FILTER(
      IMPORTRANGE(""1kOrIKZmJfNUkgOVP3sI9BPjaaPA0_a4636oymQxTXg8/edit?gid=609491371#gid=609491371"",""Form responses 1!L:L""),
      IMPORTRANGE(""1kOrIKZmJfNUkgOVP3sI9BPjaaPA0_a4636oymQxTXg8/edit?gid=609491371#gid=609491371"&amp;""",""Form responses 1!F:F"")=$B46
    ),
    1
  ),
  ""Not Found""
)"),"Not Found")</f>
        <v>Not Found</v>
      </c>
      <c r="G46" s="284"/>
      <c r="H46" s="230"/>
      <c r="I46" s="230">
        <v>1930.0</v>
      </c>
      <c r="J46" s="339">
        <f>IFERROR(__xludf.DUMMYFUNCTION("IFERROR(
  INDEX(
    FILTER(
      IMPORTRANGE(""1Cxrhp3-_-HS7v9uuqQliiIfrmMP4VaFoDNDWyUFy2J8/edit?gid=0#gid=0"",""Sheet1!AE:AE""),
      IMPORTRANGE(""1Cxrhp3-_-HS7v9uuqQliiIfrmMP4VaFoDNDWyUFy2J8/edit?gid=0#gid=0"",""Sheet1!K:K"")=$B46
    ),
    1
  ),"&amp;"
  ""Not Found""
)"),1930.0)</f>
        <v>1930</v>
      </c>
      <c r="K46" s="340"/>
      <c r="L46" s="340"/>
      <c r="M46" s="230"/>
      <c r="N46" s="230"/>
      <c r="O46" s="230"/>
      <c r="P46" s="230"/>
      <c r="Q46" s="230"/>
      <c r="R46" s="230"/>
      <c r="S46" s="230"/>
      <c r="T46" s="230"/>
      <c r="U46" s="230"/>
      <c r="V46" s="230"/>
      <c r="W46" s="230"/>
      <c r="X46" s="230"/>
      <c r="Y46" s="230"/>
      <c r="Z46" s="230"/>
    </row>
    <row r="47">
      <c r="A47" s="337" t="str">
        <f>IFERROR(__xludf.DUMMYFUNCTION("VLOOKUP($B47,IMPORTRANGE(""https://docs.google.com/spreadsheets/d/1VNXDITjs75AcgdBSW27oL1VZH31udDprJSsBcE5xlp4/edit?gid=1551188038#gid=1551188038"", ""Sheet9!$B:$E""),2,false)"),"Lahore")</f>
        <v>Lahore</v>
      </c>
      <c r="B47" s="338" t="s">
        <v>4530</v>
      </c>
      <c r="C47" s="284">
        <f>IFERROR(__xludf.DUMMYFUNCTION("IFERROR(
  INDEX(
    FILTER(
      IMPORTRANGE(""1Cxrhp3-_-HS7v9uuqQliiIfrmMP4VaFoDNDWyUFy2J8/edit?gid=0#gid=0"",""Sheet1!AE:AE""),
      IMPORTRANGE(""1Cxrhp3-_-HS7v9uuqQliiIfrmMP4VaFoDNDWyUFy2J8/edit?gid=0#gid=0"",""Sheet1!K:K"")=$B47
    ),
    1
  ),"&amp;"
  ""Not Found""
)"),1960.0)</f>
        <v>1960</v>
      </c>
      <c r="D47" s="284" t="str">
        <f>IFERROR(__xludf.DUMMYFUNCTION("IFERROR(
  INDEX(
    FILTER(
      IMPORTRANGE(""1Cxrhp3-_-HS7v9uuqQliiIfrmMP4VaFoDNDWyUFy2J8/edit?gid=0#gid=0"",""Sheet1!AG:AG""),
      IMPORTRANGE(""1Cxrhp3-_-HS7v9uuqQliiIfrmMP4VaFoDNDWyUFy2J8/edit?gid=0#gid=0"",""Sheet1!K:K"")=$B47
    ),
    1
  ),"&amp;"
  ""Not Found""
)"),"Shah Abdul Ghani")</f>
        <v>Shah Abdul Ghani</v>
      </c>
      <c r="E47" s="284" t="str">
        <f>IFERROR(__xludf.DUMMYFUNCTION("IFERROR(
  INDEX(
    FILTER(
      IMPORTRANGE(""1kOrIKZmJfNUkgOVP3sI9BPjaaPA0_a4636oymQxTXg8/edit?gid=609491371#gid=609491371"",""Form responses 1!J:J""),
      IMPORTRANGE(""1kOrIKZmJfNUkgOVP3sI9BPjaaPA0_a4636oymQxTXg8/edit?gid=609491371#gid=609491371"&amp;""",""Form responses 1!F:F"")=$B47
    ),
    1
  ),
  ""Not Found""
)"),"Not Found")</f>
        <v>Not Found</v>
      </c>
      <c r="F47" s="284" t="str">
        <f>IFERROR(__xludf.DUMMYFUNCTION("IFERROR(
  INDEX(
    FILTER(
      IMPORTRANGE(""1kOrIKZmJfNUkgOVP3sI9BPjaaPA0_a4636oymQxTXg8/edit?gid=609491371#gid=609491371"",""Form responses 1!L:L""),
      IMPORTRANGE(""1kOrIKZmJfNUkgOVP3sI9BPjaaPA0_a4636oymQxTXg8/edit?gid=609491371#gid=609491371"&amp;""",""Form responses 1!F:F"")=$B47
    ),
    1
  ),
  ""Not Found""
)"),"Not Found")</f>
        <v>Not Found</v>
      </c>
      <c r="G47" s="284"/>
      <c r="H47" s="230"/>
      <c r="I47" s="230">
        <v>1960.0</v>
      </c>
      <c r="J47" s="339">
        <f>IFERROR(__xludf.DUMMYFUNCTION("IFERROR(
  INDEX(
    FILTER(
      IMPORTRANGE(""1Cxrhp3-_-HS7v9uuqQliiIfrmMP4VaFoDNDWyUFy2J8/edit?gid=0#gid=0"",""Sheet1!AE:AE""),
      IMPORTRANGE(""1Cxrhp3-_-HS7v9uuqQliiIfrmMP4VaFoDNDWyUFy2J8/edit?gid=0#gid=0"",""Sheet1!K:K"")=$B47
    ),
    1
  ),"&amp;"
  ""Not Found""
)"),1960.0)</f>
        <v>1960</v>
      </c>
      <c r="K47" s="340"/>
      <c r="L47" s="340"/>
      <c r="M47" s="230"/>
      <c r="N47" s="230"/>
      <c r="O47" s="230"/>
      <c r="P47" s="230"/>
      <c r="Q47" s="230"/>
      <c r="R47" s="230"/>
      <c r="S47" s="230"/>
      <c r="T47" s="230"/>
      <c r="U47" s="230"/>
      <c r="V47" s="230"/>
      <c r="W47" s="230"/>
      <c r="X47" s="230"/>
      <c r="Y47" s="230"/>
      <c r="Z47" s="230"/>
    </row>
    <row r="48">
      <c r="A48" s="337" t="str">
        <f>IFERROR(__xludf.DUMMYFUNCTION("VLOOKUP($B48,IMPORTRANGE(""https://docs.google.com/spreadsheets/d/1VNXDITjs75AcgdBSW27oL1VZH31udDprJSsBcE5xlp4/edit?gid=1551188038#gid=1551188038"", ""Sheet9!$B:$E""),2,false)"),"Lahore")</f>
        <v>Lahore</v>
      </c>
      <c r="B48" s="338" t="s">
        <v>3058</v>
      </c>
      <c r="C48" s="284" t="str">
        <f>IFERROR(__xludf.DUMMYFUNCTION("IFERROR(
  INDEX(
    FILTER(
      IMPORTRANGE(""1Cxrhp3-_-HS7v9uuqQliiIfrmMP4VaFoDNDWyUFy2J8/edit?gid=0#gid=0"",""Sheet1!AE:AE""),
      IMPORTRANGE(""1Cxrhp3-_-HS7v9uuqQliiIfrmMP4VaFoDNDWyUFy2J8/edit?gid=0#gid=0"",""Sheet1!K:K"")=$B48
    ),
    1
  ),"&amp;"
  ""Not Found""
)"),"Not Found")</f>
        <v>Not Found</v>
      </c>
      <c r="D48" s="284"/>
      <c r="E48" s="284" t="str">
        <f>IFERROR(__xludf.DUMMYFUNCTION("IFERROR(
  INDEX(
    FILTER(
      IMPORTRANGE(""1kOrIKZmJfNUkgOVP3sI9BPjaaPA0_a4636oymQxTXg8/edit?gid=609491371#gid=609491371"",""Form responses 1!J:J""),
      IMPORTRANGE(""1kOrIKZmJfNUkgOVP3sI9BPjaaPA0_a4636oymQxTXg8/edit?gid=609491371#gid=609491371"&amp;""",""Form responses 1!F:F"")=$B48
    ),
    1
  ),
  ""Not Found""
)"),"Not Found")</f>
        <v>Not Found</v>
      </c>
      <c r="F48" s="284" t="str">
        <f>IFERROR(__xludf.DUMMYFUNCTION("IFERROR(
  INDEX(
    FILTER(
      IMPORTRANGE(""1kOrIKZmJfNUkgOVP3sI9BPjaaPA0_a4636oymQxTXg8/edit?gid=609491371#gid=609491371"",""Form responses 1!L:L""),
      IMPORTRANGE(""1kOrIKZmJfNUkgOVP3sI9BPjaaPA0_a4636oymQxTXg8/edit?gid=609491371#gid=609491371"&amp;""",""Form responses 1!F:F"")=$B48
    ),
    1
  ),
  ""Not Found""
)"),"Not Found")</f>
        <v>Not Found</v>
      </c>
      <c r="G48" s="284"/>
      <c r="H48" s="230"/>
      <c r="I48" s="230"/>
      <c r="J48" s="339" t="str">
        <f>IFERROR(__xludf.DUMMYFUNCTION("IFERROR(
  INDEX(
    FILTER(
      IMPORTRANGE(""1Cxrhp3-_-HS7v9uuqQliiIfrmMP4VaFoDNDWyUFy2J8/edit?gid=0#gid=0"",""Sheet1!AE:AE""),
      IMPORTRANGE(""1Cxrhp3-_-HS7v9uuqQliiIfrmMP4VaFoDNDWyUFy2J8/edit?gid=0#gid=0"",""Sheet1!K:K"")=$B48
    ),
    1
  ),"&amp;"
  ""Not Found""
)"),"Not Found")</f>
        <v>Not Found</v>
      </c>
      <c r="K48" s="340"/>
      <c r="L48" s="340"/>
      <c r="M48" s="230"/>
      <c r="N48" s="230"/>
      <c r="O48" s="230"/>
      <c r="P48" s="230"/>
      <c r="Q48" s="230"/>
      <c r="R48" s="230"/>
      <c r="S48" s="230"/>
      <c r="T48" s="230"/>
      <c r="U48" s="230"/>
      <c r="V48" s="230"/>
      <c r="W48" s="230"/>
      <c r="X48" s="230"/>
      <c r="Y48" s="230"/>
      <c r="Z48" s="230"/>
    </row>
    <row r="49">
      <c r="A49" s="337" t="str">
        <f>IFERROR(__xludf.DUMMYFUNCTION("VLOOKUP($B49,IMPORTRANGE(""https://docs.google.com/spreadsheets/d/1VNXDITjs75AcgdBSW27oL1VZH31udDprJSsBcE5xlp4/edit?gid=1551188038#gid=1551188038"", ""Sheet9!$B:$E""),2,false)"),"Lahore")</f>
        <v>Lahore</v>
      </c>
      <c r="B49" s="338" t="s">
        <v>3050</v>
      </c>
      <c r="C49" s="284">
        <f>IFERROR(__xludf.DUMMYFUNCTION("IFERROR(
  INDEX(
    FILTER(
      IMPORTRANGE(""1Cxrhp3-_-HS7v9uuqQliiIfrmMP4VaFoDNDWyUFy2J8/edit?gid=0#gid=0"",""Sheet1!AE:AE""),
      IMPORTRANGE(""1Cxrhp3-_-HS7v9uuqQliiIfrmMP4VaFoDNDWyUFy2J8/edit?gid=0#gid=0"",""Sheet1!K:K"")=$B49
    ),
    1
  ),"&amp;"
  ""Not Found""
)"),2002.0)</f>
        <v>2002</v>
      </c>
      <c r="D49" s="284" t="str">
        <f>IFERROR(__xludf.DUMMYFUNCTION("IFERROR(
  INDEX(
    FILTER(
      IMPORTRANGE(""1Cxrhp3-_-HS7v9uuqQliiIfrmMP4VaFoDNDWyUFy2J8/edit?gid=0#gid=0"",""Sheet1!AG:AG""),
      IMPORTRANGE(""1Cxrhp3-_-HS7v9uuqQliiIfrmMP4VaFoDNDWyUFy2J8/edit?gid=0#gid=0"",""Sheet1!K:K"")=$B49
    ),
    1
  ),"&amp;"
  ""Not Found""
)"),"")</f>
        <v/>
      </c>
      <c r="E49" s="284" t="str">
        <f>IFERROR(__xludf.DUMMYFUNCTION("IFERROR(
  INDEX(
    FILTER(
      IMPORTRANGE(""1kOrIKZmJfNUkgOVP3sI9BPjaaPA0_a4636oymQxTXg8/edit?gid=609491371#gid=609491371"",""Form responses 1!J:J""),
      IMPORTRANGE(""1kOrIKZmJfNUkgOVP3sI9BPjaaPA0_a4636oymQxTXg8/edit?gid=609491371#gid=609491371"&amp;""",""Form responses 1!F:F"")=$B49
    ),
    1
  ),
  ""Not Found""
)"),"Not Found")</f>
        <v>Not Found</v>
      </c>
      <c r="F49" s="284" t="str">
        <f>IFERROR(__xludf.DUMMYFUNCTION("IFERROR(
  INDEX(
    FILTER(
      IMPORTRANGE(""1kOrIKZmJfNUkgOVP3sI9BPjaaPA0_a4636oymQxTXg8/edit?gid=609491371#gid=609491371"",""Form responses 1!L:L""),
      IMPORTRANGE(""1kOrIKZmJfNUkgOVP3sI9BPjaaPA0_a4636oymQxTXg8/edit?gid=609491371#gid=609491371"&amp;""",""Form responses 1!F:F"")=$B49
    ),
    1
  ),
  ""Not Found""
)"),"Not Found")</f>
        <v>Not Found</v>
      </c>
      <c r="G49" s="284"/>
      <c r="H49" s="230"/>
      <c r="I49" s="230">
        <v>2002.0</v>
      </c>
      <c r="J49" s="339">
        <f>IFERROR(__xludf.DUMMYFUNCTION("IFERROR(
  INDEX(
    FILTER(
      IMPORTRANGE(""1Cxrhp3-_-HS7v9uuqQliiIfrmMP4VaFoDNDWyUFy2J8/edit?gid=0#gid=0"",""Sheet1!AE:AE""),
      IMPORTRANGE(""1Cxrhp3-_-HS7v9uuqQliiIfrmMP4VaFoDNDWyUFy2J8/edit?gid=0#gid=0"",""Sheet1!K:K"")=$B49
    ),
    1
  ),"&amp;"
  ""Not Found""
)"),2002.0)</f>
        <v>2002</v>
      </c>
      <c r="K49" s="340"/>
      <c r="L49" s="340"/>
      <c r="M49" s="230"/>
      <c r="N49" s="230"/>
      <c r="O49" s="230"/>
      <c r="P49" s="230"/>
      <c r="Q49" s="230"/>
      <c r="R49" s="230"/>
      <c r="S49" s="230"/>
      <c r="T49" s="230"/>
      <c r="U49" s="230"/>
      <c r="V49" s="230"/>
      <c r="W49" s="230"/>
      <c r="X49" s="230"/>
      <c r="Y49" s="230"/>
      <c r="Z49" s="230"/>
    </row>
    <row r="50">
      <c r="A50" s="337" t="str">
        <f>IFERROR(__xludf.DUMMYFUNCTION("VLOOKUP($B50,IMPORTRANGE(""https://docs.google.com/spreadsheets/d/1VNXDITjs75AcgdBSW27oL1VZH31udDprJSsBcE5xlp4/edit?gid=1551188038#gid=1551188038"", ""Sheet9!$B:$E""),2,false)"),"Lahore")</f>
        <v>Lahore</v>
      </c>
      <c r="B50" s="338" t="s">
        <v>1132</v>
      </c>
      <c r="C50" s="284">
        <f>IFERROR(__xludf.DUMMYFUNCTION("IFERROR(
  INDEX(
    FILTER(
      IMPORTRANGE(""1Cxrhp3-_-HS7v9uuqQliiIfrmMP4VaFoDNDWyUFy2J8/edit?gid=0#gid=0"",""Sheet1!AE:AE""),
      IMPORTRANGE(""1Cxrhp3-_-HS7v9uuqQliiIfrmMP4VaFoDNDWyUFy2J8/edit?gid=0#gid=0"",""Sheet1!K:K"")=$B50
    ),
    1
  ),"&amp;"
  ""Not Found""
)"),1940.0)</f>
        <v>1940</v>
      </c>
      <c r="D50" s="284" t="str">
        <f>IFERROR(__xludf.DUMMYFUNCTION("IFERROR(
  INDEX(
    FILTER(
      IMPORTRANGE(""1Cxrhp3-_-HS7v9uuqQliiIfrmMP4VaFoDNDWyUFy2J8/edit?gid=0#gid=0"",""Sheet1!AG:AG""),
      IMPORTRANGE(""1Cxrhp3-_-HS7v9uuqQliiIfrmMP4VaFoDNDWyUFy2J8/edit?gid=0#gid=0"",""Sheet1!K:K"")=$B50
    ),
    1
  ),"&amp;"
  ""Not Found""
)"),"")</f>
        <v/>
      </c>
      <c r="E50" s="284" t="str">
        <f>IFERROR(__xludf.DUMMYFUNCTION("IFERROR(
  INDEX(
    FILTER(
      IMPORTRANGE(""1kOrIKZmJfNUkgOVP3sI9BPjaaPA0_a4636oymQxTXg8/edit?gid=609491371#gid=609491371"",""Form responses 1!J:J""),
      IMPORTRANGE(""1kOrIKZmJfNUkgOVP3sI9BPjaaPA0_a4636oymQxTXg8/edit?gid=609491371#gid=609491371"&amp;""",""Form responses 1!F:F"")=$B50
    ),
    1
  ),
  ""Not Found""
)"),"Not Found")</f>
        <v>Not Found</v>
      </c>
      <c r="F50" s="284" t="str">
        <f>IFERROR(__xludf.DUMMYFUNCTION("IFERROR(
  INDEX(
    FILTER(
      IMPORTRANGE(""1kOrIKZmJfNUkgOVP3sI9BPjaaPA0_a4636oymQxTXg8/edit?gid=609491371#gid=609491371"",""Form responses 1!L:L""),
      IMPORTRANGE(""1kOrIKZmJfNUkgOVP3sI9BPjaaPA0_a4636oymQxTXg8/edit?gid=609491371#gid=609491371"&amp;""",""Form responses 1!F:F"")=$B50
    ),
    1
  ),
  ""Not Found""
)"),"Not Found")</f>
        <v>Not Found</v>
      </c>
      <c r="G50" s="284"/>
      <c r="H50" s="230"/>
      <c r="I50" s="230">
        <v>1940.0</v>
      </c>
      <c r="J50" s="339">
        <f>IFERROR(__xludf.DUMMYFUNCTION("IFERROR(
  INDEX(
    FILTER(
      IMPORTRANGE(""1Cxrhp3-_-HS7v9uuqQliiIfrmMP4VaFoDNDWyUFy2J8/edit?gid=0#gid=0"",""Sheet1!AE:AE""),
      IMPORTRANGE(""1Cxrhp3-_-HS7v9uuqQliiIfrmMP4VaFoDNDWyUFy2J8/edit?gid=0#gid=0"",""Sheet1!K:K"")=$B50
    ),
    1
  ),"&amp;"
  ""Not Found""
)"),1940.0)</f>
        <v>1940</v>
      </c>
      <c r="K50" s="340"/>
      <c r="L50" s="340"/>
      <c r="M50" s="230"/>
      <c r="N50" s="230"/>
      <c r="O50" s="230"/>
      <c r="P50" s="230"/>
      <c r="Q50" s="230"/>
      <c r="R50" s="230"/>
      <c r="S50" s="230"/>
      <c r="T50" s="230"/>
      <c r="U50" s="230"/>
      <c r="V50" s="230"/>
      <c r="W50" s="230"/>
      <c r="X50" s="230"/>
      <c r="Y50" s="230"/>
      <c r="Z50" s="230"/>
    </row>
    <row r="51">
      <c r="A51" s="337" t="str">
        <f>IFERROR(__xludf.DUMMYFUNCTION("VLOOKUP($B51,IMPORTRANGE(""https://docs.google.com/spreadsheets/d/1VNXDITjs75AcgdBSW27oL1VZH31udDprJSsBcE5xlp4/edit?gid=1551188038#gid=1551188038"", ""Sheet9!$B:$E""),2,false)"),"Lahore")</f>
        <v>Lahore</v>
      </c>
      <c r="B51" s="338" t="s">
        <v>3304</v>
      </c>
      <c r="C51" s="284">
        <f>IFERROR(__xludf.DUMMYFUNCTION("IFERROR(
  INDEX(
    FILTER(
      IMPORTRANGE(""1Cxrhp3-_-HS7v9uuqQliiIfrmMP4VaFoDNDWyUFy2J8/edit?gid=0#gid=0"",""Sheet1!AE:AE""),
      IMPORTRANGE(""1Cxrhp3-_-HS7v9uuqQliiIfrmMP4VaFoDNDWyUFy2J8/edit?gid=0#gid=0"",""Sheet1!K:K"")=$B51
    ),
    1
  ),"&amp;"
  ""Not Found""
)"),2020.0)</f>
        <v>2020</v>
      </c>
      <c r="D51" s="284" t="str">
        <f>IFERROR(__xludf.DUMMYFUNCTION("IFERROR(
  INDEX(
    FILTER(
      IMPORTRANGE(""1Cxrhp3-_-HS7v9uuqQliiIfrmMP4VaFoDNDWyUFy2J8/edit?gid=0#gid=0"",""Sheet1!AG:AG""),
      IMPORTRANGE(""1Cxrhp3-_-HS7v9uuqQliiIfrmMP4VaFoDNDWyUFy2J8/edit?gid=0#gid=0"",""Sheet1!K:K"")=$B51
    ),
    1
  ),"&amp;"
  ""Not Found""
)"),"")</f>
        <v/>
      </c>
      <c r="E51" s="284" t="str">
        <f>IFERROR(__xludf.DUMMYFUNCTION("IFERROR(
  INDEX(
    FILTER(
      IMPORTRANGE(""1kOrIKZmJfNUkgOVP3sI9BPjaaPA0_a4636oymQxTXg8/edit?gid=609491371#gid=609491371"",""Form responses 1!J:J""),
      IMPORTRANGE(""1kOrIKZmJfNUkgOVP3sI9BPjaaPA0_a4636oymQxTXg8/edit?gid=609491371#gid=609491371"&amp;""",""Form responses 1!F:F"")=$B51
    ),
    1
  ),
  ""Not Found""
)"),"Not Found")</f>
        <v>Not Found</v>
      </c>
      <c r="F51" s="284" t="str">
        <f>IFERROR(__xludf.DUMMYFUNCTION("IFERROR(
  INDEX(
    FILTER(
      IMPORTRANGE(""1kOrIKZmJfNUkgOVP3sI9BPjaaPA0_a4636oymQxTXg8/edit?gid=609491371#gid=609491371"",""Form responses 1!L:L""),
      IMPORTRANGE(""1kOrIKZmJfNUkgOVP3sI9BPjaaPA0_a4636oymQxTXg8/edit?gid=609491371#gid=609491371"&amp;""",""Form responses 1!F:F"")=$B51
    ),
    1
  ),
  ""Not Found""
)"),"Not Found")</f>
        <v>Not Found</v>
      </c>
      <c r="G51" s="284"/>
      <c r="H51" s="230"/>
      <c r="I51" s="230">
        <v>2020.0</v>
      </c>
      <c r="J51" s="339">
        <f>IFERROR(__xludf.DUMMYFUNCTION("IFERROR(
  INDEX(
    FILTER(
      IMPORTRANGE(""1Cxrhp3-_-HS7v9uuqQliiIfrmMP4VaFoDNDWyUFy2J8/edit?gid=0#gid=0"",""Sheet1!AE:AE""),
      IMPORTRANGE(""1Cxrhp3-_-HS7v9uuqQliiIfrmMP4VaFoDNDWyUFy2J8/edit?gid=0#gid=0"",""Sheet1!K:K"")=$B51
    ),
    1
  ),"&amp;"
  ""Not Found""
)"),2020.0)</f>
        <v>2020</v>
      </c>
      <c r="K51" s="340"/>
      <c r="L51" s="340"/>
      <c r="M51" s="230"/>
      <c r="N51" s="230"/>
      <c r="O51" s="230"/>
      <c r="P51" s="230"/>
      <c r="Q51" s="230"/>
      <c r="R51" s="230"/>
      <c r="S51" s="230"/>
      <c r="T51" s="230"/>
      <c r="U51" s="230"/>
      <c r="V51" s="230"/>
      <c r="W51" s="230"/>
      <c r="X51" s="230"/>
      <c r="Y51" s="230"/>
      <c r="Z51" s="230"/>
    </row>
    <row r="52">
      <c r="A52" s="337" t="str">
        <f>IFERROR(__xludf.DUMMYFUNCTION("VLOOKUP($B52,IMPORTRANGE(""https://docs.google.com/spreadsheets/d/1VNXDITjs75AcgdBSW27oL1VZH31udDprJSsBcE5xlp4/edit?gid=1551188038#gid=1551188038"", ""Sheet9!$B:$E""),2,false)"),"Lahore")</f>
        <v>Lahore</v>
      </c>
      <c r="B52" s="338" t="s">
        <v>4533</v>
      </c>
      <c r="C52" s="284" t="str">
        <f>IFERROR(__xludf.DUMMYFUNCTION("IFERROR(
  INDEX(
    FILTER(
      IMPORTRANGE(""1Cxrhp3-_-HS7v9uuqQliiIfrmMP4VaFoDNDWyUFy2J8/edit?gid=0#gid=0"",""Sheet1!AE:AE""),
      IMPORTRANGE(""1Cxrhp3-_-HS7v9uuqQliiIfrmMP4VaFoDNDWyUFy2J8/edit?gid=0#gid=0"",""Sheet1!K:K"")=$B52
    ),
    1
  ),"&amp;"
  ""Not Found""
)"),"Not Found")</f>
        <v>Not Found</v>
      </c>
      <c r="D52" s="284"/>
      <c r="E52" s="284" t="str">
        <f>IFERROR(__xludf.DUMMYFUNCTION("IFERROR(
  INDEX(
    FILTER(
      IMPORTRANGE(""1kOrIKZmJfNUkgOVP3sI9BPjaaPA0_a4636oymQxTXg8/edit?gid=609491371#gid=609491371"",""Form responses 1!J:J""),
      IMPORTRANGE(""1kOrIKZmJfNUkgOVP3sI9BPjaaPA0_a4636oymQxTXg8/edit?gid=609491371#gid=609491371"&amp;""",""Form responses 1!F:F"")=$B52
    ),
    1
  ),
  ""Not Found""
)"),"Not Found")</f>
        <v>Not Found</v>
      </c>
      <c r="F52" s="284" t="str">
        <f>IFERROR(__xludf.DUMMYFUNCTION("IFERROR(
  INDEX(
    FILTER(
      IMPORTRANGE(""1kOrIKZmJfNUkgOVP3sI9BPjaaPA0_a4636oymQxTXg8/edit?gid=609491371#gid=609491371"",""Form responses 1!L:L""),
      IMPORTRANGE(""1kOrIKZmJfNUkgOVP3sI9BPjaaPA0_a4636oymQxTXg8/edit?gid=609491371#gid=609491371"&amp;""",""Form responses 1!F:F"")=$B52
    ),
    1
  ),
  ""Not Found""
)"),"Not Found")</f>
        <v>Not Found</v>
      </c>
      <c r="G52" s="284"/>
      <c r="H52" s="230"/>
      <c r="I52" s="230"/>
      <c r="J52" s="339" t="str">
        <f>IFERROR(__xludf.DUMMYFUNCTION("IFERROR(
  INDEX(
    FILTER(
      IMPORTRANGE(""1Cxrhp3-_-HS7v9uuqQliiIfrmMP4VaFoDNDWyUFy2J8/edit?gid=0#gid=0"",""Sheet1!AE:AE""),
      IMPORTRANGE(""1Cxrhp3-_-HS7v9uuqQliiIfrmMP4VaFoDNDWyUFy2J8/edit?gid=0#gid=0"",""Sheet1!K:K"")=$B52
    ),
    1
  ),"&amp;"
  ""Not Found""
)"),"Not Found")</f>
        <v>Not Found</v>
      </c>
      <c r="K52" s="340"/>
      <c r="L52" s="340"/>
      <c r="M52" s="230"/>
      <c r="N52" s="230"/>
      <c r="O52" s="230"/>
      <c r="P52" s="230"/>
      <c r="Q52" s="230"/>
      <c r="R52" s="230"/>
      <c r="S52" s="230"/>
      <c r="T52" s="230"/>
      <c r="U52" s="230"/>
      <c r="V52" s="230"/>
      <c r="W52" s="230"/>
      <c r="X52" s="230"/>
      <c r="Y52" s="230"/>
      <c r="Z52" s="230"/>
    </row>
    <row r="53">
      <c r="A53" s="337" t="str">
        <f>IFERROR(__xludf.DUMMYFUNCTION("VLOOKUP($B53,IMPORTRANGE(""https://docs.google.com/spreadsheets/d/1VNXDITjs75AcgdBSW27oL1VZH31udDprJSsBcE5xlp4/edit?gid=1551188038#gid=1551188038"", ""Sheet9!$B:$E""),2,false)"),"Lahore")</f>
        <v>Lahore</v>
      </c>
      <c r="B53" s="338" t="s">
        <v>2810</v>
      </c>
      <c r="C53" s="284" t="str">
        <f>IFERROR(__xludf.DUMMYFUNCTION("IFERROR(
  INDEX(
    FILTER(
      IMPORTRANGE(""1Cxrhp3-_-HS7v9uuqQliiIfrmMP4VaFoDNDWyUFy2J8/edit?gid=0#gid=0"",""Sheet1!AE:AE""),
      IMPORTRANGE(""1Cxrhp3-_-HS7v9uuqQliiIfrmMP4VaFoDNDWyUFy2J8/edit?gid=0#gid=0"",""Sheet1!K:K"")=$B53
    ),
    1
  ),"&amp;"
  ""Not Found""
)"),"")</f>
        <v/>
      </c>
      <c r="D53" s="284" t="str">
        <f>IFERROR(__xludf.DUMMYFUNCTION("IFERROR(
  INDEX(
    FILTER(
      IMPORTRANGE(""1Cxrhp3-_-HS7v9uuqQliiIfrmMP4VaFoDNDWyUFy2J8/edit?gid=0#gid=0"",""Sheet1!AG:AG""),
      IMPORTRANGE(""1Cxrhp3-_-HS7v9uuqQliiIfrmMP4VaFoDNDWyUFy2J8/edit?gid=0#gid=0"",""Sheet1!K:K"")=$B53
    ),
    1
  ),"&amp;"
  ""Not Found""
)"),"")</f>
        <v/>
      </c>
      <c r="E53" s="284" t="str">
        <f>IFERROR(__xludf.DUMMYFUNCTION("IFERROR(
  INDEX(
    FILTER(
      IMPORTRANGE(""1kOrIKZmJfNUkgOVP3sI9BPjaaPA0_a4636oymQxTXg8/edit?gid=609491371#gid=609491371"",""Form responses 1!J:J""),
      IMPORTRANGE(""1kOrIKZmJfNUkgOVP3sI9BPjaaPA0_a4636oymQxTXg8/edit?gid=609491371#gid=609491371"&amp;""",""Form responses 1!F:F"")=$B53
    ),
    1
  ),
  ""Not Found""
)"),"Not Found")</f>
        <v>Not Found</v>
      </c>
      <c r="F53" s="284" t="str">
        <f>IFERROR(__xludf.DUMMYFUNCTION("IFERROR(
  INDEX(
    FILTER(
      IMPORTRANGE(""1kOrIKZmJfNUkgOVP3sI9BPjaaPA0_a4636oymQxTXg8/edit?gid=609491371#gid=609491371"",""Form responses 1!L:L""),
      IMPORTRANGE(""1kOrIKZmJfNUkgOVP3sI9BPjaaPA0_a4636oymQxTXg8/edit?gid=609491371#gid=609491371"&amp;""",""Form responses 1!F:F"")=$B53
    ),
    1
  ),
  ""Not Found""
)"),"Not Found")</f>
        <v>Not Found</v>
      </c>
      <c r="G53" s="284"/>
      <c r="H53" s="230"/>
      <c r="I53" s="230"/>
      <c r="J53" s="339" t="str">
        <f>IFERROR(__xludf.DUMMYFUNCTION("IFERROR(
  INDEX(
    FILTER(
      IMPORTRANGE(""1Cxrhp3-_-HS7v9uuqQliiIfrmMP4VaFoDNDWyUFy2J8/edit?gid=0#gid=0"",""Sheet1!AE:AE""),
      IMPORTRANGE(""1Cxrhp3-_-HS7v9uuqQliiIfrmMP4VaFoDNDWyUFy2J8/edit?gid=0#gid=0"",""Sheet1!K:K"")=$B53
    ),
    1
  ),"&amp;"
  ""Not Found""
)"),"")</f>
        <v/>
      </c>
      <c r="K53" s="340"/>
      <c r="L53" s="340"/>
      <c r="M53" s="230"/>
      <c r="N53" s="230"/>
      <c r="O53" s="230"/>
      <c r="P53" s="230"/>
      <c r="Q53" s="230"/>
      <c r="R53" s="230"/>
      <c r="S53" s="230"/>
      <c r="T53" s="230"/>
      <c r="U53" s="230"/>
      <c r="V53" s="230"/>
      <c r="W53" s="230"/>
      <c r="X53" s="230"/>
      <c r="Y53" s="230"/>
      <c r="Z53" s="230"/>
    </row>
    <row r="54">
      <c r="A54" s="337" t="str">
        <f>IFERROR(__xludf.DUMMYFUNCTION("VLOOKUP($B54,IMPORTRANGE(""https://docs.google.com/spreadsheets/d/1VNXDITjs75AcgdBSW27oL1VZH31udDprJSsBcE5xlp4/edit?gid=1551188038#gid=1551188038"", ""Sheet9!$B:$E""),2,false)"),"Lahore")</f>
        <v>Lahore</v>
      </c>
      <c r="B54" s="338" t="s">
        <v>3168</v>
      </c>
      <c r="C54" s="284">
        <f>IFERROR(__xludf.DUMMYFUNCTION("IFERROR(
  INDEX(
    FILTER(
      IMPORTRANGE(""1Cxrhp3-_-HS7v9uuqQliiIfrmMP4VaFoDNDWyUFy2J8/edit?gid=0#gid=0"",""Sheet1!AE:AE""),
      IMPORTRANGE(""1Cxrhp3-_-HS7v9uuqQliiIfrmMP4VaFoDNDWyUFy2J8/edit?gid=0#gid=0"",""Sheet1!K:K"")=$B54
    ),
    1
  ),"&amp;"
  ""Not Found""
)"),1970.0)</f>
        <v>1970</v>
      </c>
      <c r="D54" s="284" t="str">
        <f>IFERROR(__xludf.DUMMYFUNCTION("IFERROR(
  INDEX(
    FILTER(
      IMPORTRANGE(""1Cxrhp3-_-HS7v9uuqQliiIfrmMP4VaFoDNDWyUFy2J8/edit?gid=0#gid=0"",""Sheet1!AG:AG""),
      IMPORTRANGE(""1Cxrhp3-_-HS7v9uuqQliiIfrmMP4VaFoDNDWyUFy2J8/edit?gid=0#gid=0"",""Sheet1!K:K"")=$B54
    ),
    1
  ),"&amp;"
  ""Not Found""
)"),"")</f>
        <v/>
      </c>
      <c r="E54" s="284" t="str">
        <f>IFERROR(__xludf.DUMMYFUNCTION("IFERROR(
  INDEX(
    FILTER(
      IMPORTRANGE(""1kOrIKZmJfNUkgOVP3sI9BPjaaPA0_a4636oymQxTXg8/edit?gid=609491371#gid=609491371"",""Form responses 1!J:J""),
      IMPORTRANGE(""1kOrIKZmJfNUkgOVP3sI9BPjaaPA0_a4636oymQxTXg8/edit?gid=609491371#gid=609491371"&amp;""",""Form responses 1!F:F"")=$B54
    ),
    1
  ),
  ""Not Found""
)"),"Not Found")</f>
        <v>Not Found</v>
      </c>
      <c r="F54" s="284" t="str">
        <f>IFERROR(__xludf.DUMMYFUNCTION("IFERROR(
  INDEX(
    FILTER(
      IMPORTRANGE(""1kOrIKZmJfNUkgOVP3sI9BPjaaPA0_a4636oymQxTXg8/edit?gid=609491371#gid=609491371"",""Form responses 1!L:L""),
      IMPORTRANGE(""1kOrIKZmJfNUkgOVP3sI9BPjaaPA0_a4636oymQxTXg8/edit?gid=609491371#gid=609491371"&amp;""",""Form responses 1!F:F"")=$B54
    ),
    1
  ),
  ""Not Found""
)"),"Not Found")</f>
        <v>Not Found</v>
      </c>
      <c r="G54" s="284"/>
      <c r="H54" s="230"/>
      <c r="I54" s="230">
        <v>1970.0</v>
      </c>
      <c r="J54" s="339">
        <f>IFERROR(__xludf.DUMMYFUNCTION("IFERROR(
  INDEX(
    FILTER(
      IMPORTRANGE(""1Cxrhp3-_-HS7v9uuqQliiIfrmMP4VaFoDNDWyUFy2J8/edit?gid=0#gid=0"",""Sheet1!AE:AE""),
      IMPORTRANGE(""1Cxrhp3-_-HS7v9uuqQliiIfrmMP4VaFoDNDWyUFy2J8/edit?gid=0#gid=0"",""Sheet1!K:K"")=$B54
    ),
    1
  ),"&amp;"
  ""Not Found""
)"),1970.0)</f>
        <v>1970</v>
      </c>
      <c r="K54" s="340"/>
      <c r="L54" s="340"/>
      <c r="M54" s="230"/>
      <c r="N54" s="230"/>
      <c r="O54" s="230"/>
      <c r="P54" s="230"/>
      <c r="Q54" s="230"/>
      <c r="R54" s="230"/>
      <c r="S54" s="230"/>
      <c r="T54" s="230"/>
      <c r="U54" s="230"/>
      <c r="V54" s="230"/>
      <c r="W54" s="230"/>
      <c r="X54" s="230"/>
      <c r="Y54" s="230"/>
      <c r="Z54" s="230"/>
    </row>
    <row r="55">
      <c r="A55" s="337" t="str">
        <f>IFERROR(__xludf.DUMMYFUNCTION("VLOOKUP($B55,IMPORTRANGE(""https://docs.google.com/spreadsheets/d/1VNXDITjs75AcgdBSW27oL1VZH31udDprJSsBcE5xlp4/edit?gid=1551188038#gid=1551188038"", ""Sheet9!$B:$E""),2,false)"),"Lahore")</f>
        <v>Lahore</v>
      </c>
      <c r="B55" s="338" t="s">
        <v>4534</v>
      </c>
      <c r="C55" s="284">
        <f>IFERROR(__xludf.DUMMYFUNCTION("IFERROR(
  INDEX(
    FILTER(
      IMPORTRANGE(""1Cxrhp3-_-HS7v9uuqQliiIfrmMP4VaFoDNDWyUFy2J8/edit?gid=0#gid=0"",""Sheet1!AE:AE""),
      IMPORTRANGE(""1Cxrhp3-_-HS7v9uuqQliiIfrmMP4VaFoDNDWyUFy2J8/edit?gid=0#gid=0"",""Sheet1!K:K"")=$B55
    ),
    1
  ),"&amp;"
  ""Not Found""
)"),1955.0)</f>
        <v>1955</v>
      </c>
      <c r="D55" s="284" t="str">
        <f>IFERROR(__xludf.DUMMYFUNCTION("IFERROR(
  INDEX(
    FILTER(
      IMPORTRANGE(""1Cxrhp3-_-HS7v9uuqQliiIfrmMP4VaFoDNDWyUFy2J8/edit?gid=0#gid=0"",""Sheet1!AG:AG""),
      IMPORTRANGE(""1Cxrhp3-_-HS7v9uuqQliiIfrmMP4VaFoDNDWyUFy2J8/edit?gid=0#gid=0"",""Sheet1!K:K"")=$B55
    ),
    1
  ),"&amp;"
  ""Not Found""
)"),"")</f>
        <v/>
      </c>
      <c r="E55" s="284" t="str">
        <f>IFERROR(__xludf.DUMMYFUNCTION("IFERROR(
  INDEX(
    FILTER(
      IMPORTRANGE(""1kOrIKZmJfNUkgOVP3sI9BPjaaPA0_a4636oymQxTXg8/edit?gid=609491371#gid=609491371"",""Form responses 1!J:J""),
      IMPORTRANGE(""1kOrIKZmJfNUkgOVP3sI9BPjaaPA0_a4636oymQxTXg8/edit?gid=609491371#gid=609491371"&amp;""",""Form responses 1!F:F"")=$B55
    ),
    1
  ),
  ""Not Found""
)"),"Not Found")</f>
        <v>Not Found</v>
      </c>
      <c r="F55" s="284" t="str">
        <f>IFERROR(__xludf.DUMMYFUNCTION("IFERROR(
  INDEX(
    FILTER(
      IMPORTRANGE(""1kOrIKZmJfNUkgOVP3sI9BPjaaPA0_a4636oymQxTXg8/edit?gid=609491371#gid=609491371"",""Form responses 1!L:L""),
      IMPORTRANGE(""1kOrIKZmJfNUkgOVP3sI9BPjaaPA0_a4636oymQxTXg8/edit?gid=609491371#gid=609491371"&amp;""",""Form responses 1!F:F"")=$B55
    ),
    1
  ),
  ""Not Found""
)"),"Not Found")</f>
        <v>Not Found</v>
      </c>
      <c r="G55" s="284"/>
      <c r="H55" s="230"/>
      <c r="I55" s="230">
        <v>1955.0</v>
      </c>
      <c r="J55" s="339">
        <f>IFERROR(__xludf.DUMMYFUNCTION("IFERROR(
  INDEX(
    FILTER(
      IMPORTRANGE(""1Cxrhp3-_-HS7v9uuqQliiIfrmMP4VaFoDNDWyUFy2J8/edit?gid=0#gid=0"",""Sheet1!AE:AE""),
      IMPORTRANGE(""1Cxrhp3-_-HS7v9uuqQliiIfrmMP4VaFoDNDWyUFy2J8/edit?gid=0#gid=0"",""Sheet1!K:K"")=$B55
    ),
    1
  ),"&amp;"
  ""Not Found""
)"),1955.0)</f>
        <v>1955</v>
      </c>
      <c r="K55" s="340"/>
      <c r="L55" s="340"/>
      <c r="M55" s="230"/>
      <c r="N55" s="230"/>
      <c r="O55" s="230"/>
      <c r="P55" s="230"/>
      <c r="Q55" s="230"/>
      <c r="R55" s="230"/>
      <c r="S55" s="230"/>
      <c r="T55" s="230"/>
      <c r="U55" s="230"/>
      <c r="V55" s="230"/>
      <c r="W55" s="230"/>
      <c r="X55" s="230"/>
      <c r="Y55" s="230"/>
      <c r="Z55" s="230"/>
    </row>
    <row r="56">
      <c r="A56" s="337" t="str">
        <f>IFERROR(__xludf.DUMMYFUNCTION("VLOOKUP($B56,IMPORTRANGE(""https://docs.google.com/spreadsheets/d/1VNXDITjs75AcgdBSW27oL1VZH31udDprJSsBcE5xlp4/edit?gid=1551188038#gid=1551188038"", ""Sheet9!$B:$E""),2,false)"),"Lahore")</f>
        <v>Lahore</v>
      </c>
      <c r="B56" s="338" t="s">
        <v>4535</v>
      </c>
      <c r="C56" s="284">
        <f>IFERROR(__xludf.DUMMYFUNCTION("IFERROR(
  INDEX(
    FILTER(
      IMPORTRANGE(""1Cxrhp3-_-HS7v9uuqQliiIfrmMP4VaFoDNDWyUFy2J8/edit?gid=0#gid=0"",""Sheet1!AE:AE""),
      IMPORTRANGE(""1Cxrhp3-_-HS7v9uuqQliiIfrmMP4VaFoDNDWyUFy2J8/edit?gid=0#gid=0"",""Sheet1!K:K"")=$B56
    ),
    1
  ),"&amp;"
  ""Not Found""
)"),1870.0)</f>
        <v>1870</v>
      </c>
      <c r="D56" s="284" t="str">
        <f>IFERROR(__xludf.DUMMYFUNCTION("IFERROR(
  INDEX(
    FILTER(
      IMPORTRANGE(""1Cxrhp3-_-HS7v9uuqQliiIfrmMP4VaFoDNDWyUFy2J8/edit?gid=0#gid=0"",""Sheet1!AG:AG""),
      IMPORTRANGE(""1Cxrhp3-_-HS7v9uuqQliiIfrmMP4VaFoDNDWyUFy2J8/edit?gid=0#gid=0"",""Sheet1!K:K"")=$B56
    ),
    1
  ),"&amp;"
  ""Not Found""
)"),"")</f>
        <v/>
      </c>
      <c r="E56" s="284" t="str">
        <f>IFERROR(__xludf.DUMMYFUNCTION("IFERROR(
  INDEX(
    FILTER(
      IMPORTRANGE(""1kOrIKZmJfNUkgOVP3sI9BPjaaPA0_a4636oymQxTXg8/edit?gid=609491371#gid=609491371"",""Form responses 1!J:J""),
      IMPORTRANGE(""1kOrIKZmJfNUkgOVP3sI9BPjaaPA0_a4636oymQxTXg8/edit?gid=609491371#gid=609491371"&amp;""",""Form responses 1!F:F"")=$B56
    ),
    1
  ),
  ""Not Found""
)"),"Not Found")</f>
        <v>Not Found</v>
      </c>
      <c r="F56" s="284" t="str">
        <f>IFERROR(__xludf.DUMMYFUNCTION("IFERROR(
  INDEX(
    FILTER(
      IMPORTRANGE(""1kOrIKZmJfNUkgOVP3sI9BPjaaPA0_a4636oymQxTXg8/edit?gid=609491371#gid=609491371"",""Form responses 1!L:L""),
      IMPORTRANGE(""1kOrIKZmJfNUkgOVP3sI9BPjaaPA0_a4636oymQxTXg8/edit?gid=609491371#gid=609491371"&amp;""",""Form responses 1!F:F"")=$B56
    ),
    1
  ),
  ""Not Found""
)"),"Not Found")</f>
        <v>Not Found</v>
      </c>
      <c r="G56" s="284"/>
      <c r="H56" s="230"/>
      <c r="I56" s="230">
        <v>1870.0</v>
      </c>
      <c r="J56" s="339">
        <f>IFERROR(__xludf.DUMMYFUNCTION("IFERROR(
  INDEX(
    FILTER(
      IMPORTRANGE(""1Cxrhp3-_-HS7v9uuqQliiIfrmMP4VaFoDNDWyUFy2J8/edit?gid=0#gid=0"",""Sheet1!AE:AE""),
      IMPORTRANGE(""1Cxrhp3-_-HS7v9uuqQliiIfrmMP4VaFoDNDWyUFy2J8/edit?gid=0#gid=0"",""Sheet1!K:K"")=$B56
    ),
    1
  ),"&amp;"
  ""Not Found""
)"),1870.0)</f>
        <v>1870</v>
      </c>
      <c r="K56" s="340"/>
      <c r="L56" s="340"/>
      <c r="M56" s="230"/>
      <c r="N56" s="230"/>
      <c r="O56" s="230"/>
      <c r="P56" s="230"/>
      <c r="Q56" s="230"/>
      <c r="R56" s="230"/>
      <c r="S56" s="230"/>
      <c r="T56" s="230"/>
      <c r="U56" s="230"/>
      <c r="V56" s="230"/>
      <c r="W56" s="230"/>
      <c r="X56" s="230"/>
      <c r="Y56" s="230"/>
      <c r="Z56" s="230"/>
    </row>
    <row r="57">
      <c r="A57" s="337" t="str">
        <f>IFERROR(__xludf.DUMMYFUNCTION("VLOOKUP($B57,IMPORTRANGE(""https://docs.google.com/spreadsheets/d/1VNXDITjs75AcgdBSW27oL1VZH31udDprJSsBcE5xlp4/edit?gid=1551188038#gid=1551188038"", ""Sheet9!$B:$E""),2,false)"),"Lahore")</f>
        <v>Lahore</v>
      </c>
      <c r="B57" s="338" t="s">
        <v>4536</v>
      </c>
      <c r="C57" s="284">
        <f>IFERROR(__xludf.DUMMYFUNCTION("IFERROR(
  INDEX(
    FILTER(
      IMPORTRANGE(""1Cxrhp3-_-HS7v9uuqQliiIfrmMP4VaFoDNDWyUFy2J8/edit?gid=0#gid=0"",""Sheet1!AE:AE""),
      IMPORTRANGE(""1Cxrhp3-_-HS7v9uuqQliiIfrmMP4VaFoDNDWyUFy2J8/edit?gid=0#gid=0"",""Sheet1!K:K"")=$B57
    ),
    1
  ),"&amp;"
  ""Not Found""
)"),1962.0)</f>
        <v>1962</v>
      </c>
      <c r="D57" s="284" t="str">
        <f>IFERROR(__xludf.DUMMYFUNCTION("IFERROR(
  INDEX(
    FILTER(
      IMPORTRANGE(""1Cxrhp3-_-HS7v9uuqQliiIfrmMP4VaFoDNDWyUFy2J8/edit?gid=0#gid=0"",""Sheet1!AG:AG""),
      IMPORTRANGE(""1Cxrhp3-_-HS7v9uuqQliiIfrmMP4VaFoDNDWyUFy2J8/edit?gid=0#gid=0"",""Sheet1!K:K"")=$B57
    ),
    1
  ),"&amp;"
  ""Not Found""
)"),"")</f>
        <v/>
      </c>
      <c r="E57" s="284" t="str">
        <f>IFERROR(__xludf.DUMMYFUNCTION("IFERROR(
  INDEX(
    FILTER(
      IMPORTRANGE(""1kOrIKZmJfNUkgOVP3sI9BPjaaPA0_a4636oymQxTXg8/edit?gid=609491371#gid=609491371"",""Form responses 1!J:J""),
      IMPORTRANGE(""1kOrIKZmJfNUkgOVP3sI9BPjaaPA0_a4636oymQxTXg8/edit?gid=609491371#gid=609491371"&amp;""",""Form responses 1!F:F"")=$B57
    ),
    1
  ),
  ""Not Found""
)"),"Not Found")</f>
        <v>Not Found</v>
      </c>
      <c r="F57" s="284" t="str">
        <f>IFERROR(__xludf.DUMMYFUNCTION("IFERROR(
  INDEX(
    FILTER(
      IMPORTRANGE(""1kOrIKZmJfNUkgOVP3sI9BPjaaPA0_a4636oymQxTXg8/edit?gid=609491371#gid=609491371"",""Form responses 1!L:L""),
      IMPORTRANGE(""1kOrIKZmJfNUkgOVP3sI9BPjaaPA0_a4636oymQxTXg8/edit?gid=609491371#gid=609491371"&amp;""",""Form responses 1!F:F"")=$B57
    ),
    1
  ),
  ""Not Found""
)"),"Not Found")</f>
        <v>Not Found</v>
      </c>
      <c r="G57" s="284"/>
      <c r="H57" s="230"/>
      <c r="I57" s="230">
        <v>1962.0</v>
      </c>
      <c r="J57" s="339">
        <f>IFERROR(__xludf.DUMMYFUNCTION("IFERROR(
  INDEX(
    FILTER(
      IMPORTRANGE(""1Cxrhp3-_-HS7v9uuqQliiIfrmMP4VaFoDNDWyUFy2J8/edit?gid=0#gid=0"",""Sheet1!AE:AE""),
      IMPORTRANGE(""1Cxrhp3-_-HS7v9uuqQliiIfrmMP4VaFoDNDWyUFy2J8/edit?gid=0#gid=0"",""Sheet1!K:K"")=$B57
    ),
    1
  ),"&amp;"
  ""Not Found""
)"),1962.0)</f>
        <v>1962</v>
      </c>
      <c r="K57" s="340"/>
      <c r="L57" s="340"/>
      <c r="M57" s="230"/>
      <c r="N57" s="230"/>
      <c r="O57" s="230"/>
      <c r="P57" s="230"/>
      <c r="Q57" s="230"/>
      <c r="R57" s="230"/>
      <c r="S57" s="230"/>
      <c r="T57" s="230"/>
      <c r="U57" s="230"/>
      <c r="V57" s="230"/>
      <c r="W57" s="230"/>
      <c r="X57" s="230"/>
      <c r="Y57" s="230"/>
      <c r="Z57" s="230"/>
    </row>
    <row r="58">
      <c r="A58" s="337" t="str">
        <f>IFERROR(__xludf.DUMMYFUNCTION("VLOOKUP($B58,IMPORTRANGE(""https://docs.google.com/spreadsheets/d/1VNXDITjs75AcgdBSW27oL1VZH31udDprJSsBcE5xlp4/edit?gid=1551188038#gid=1551188038"", ""Sheet9!$B:$E""),2,false)"),"Lahore")</f>
        <v>Lahore</v>
      </c>
      <c r="B58" s="338" t="s">
        <v>4538</v>
      </c>
      <c r="C58" s="284">
        <f>IFERROR(__xludf.DUMMYFUNCTION("IFERROR(
  INDEX(
    FILTER(
      IMPORTRANGE(""1Cxrhp3-_-HS7v9uuqQliiIfrmMP4VaFoDNDWyUFy2J8/edit?gid=0#gid=0"",""Sheet1!AE:AE""),
      IMPORTRANGE(""1Cxrhp3-_-HS7v9uuqQliiIfrmMP4VaFoDNDWyUFy2J8/edit?gid=0#gid=0"",""Sheet1!K:K"")=$B58
    ),
    1
  ),"&amp;"
  ""Not Found""
)"),1945.0)</f>
        <v>1945</v>
      </c>
      <c r="D58" s="284" t="str">
        <f>IFERROR(__xludf.DUMMYFUNCTION("IFERROR(
  INDEX(
    FILTER(
      IMPORTRANGE(""1Cxrhp3-_-HS7v9uuqQliiIfrmMP4VaFoDNDWyUFy2J8/edit?gid=0#gid=0"",""Sheet1!AG:AG""),
      IMPORTRANGE(""1Cxrhp3-_-HS7v9uuqQliiIfrmMP4VaFoDNDWyUFy2J8/edit?gid=0#gid=0"",""Sheet1!K:K"")=$B58
    ),
    1
  ),"&amp;"
  ""Not Found""
)"),"")</f>
        <v/>
      </c>
      <c r="E58" s="284" t="str">
        <f>IFERROR(__xludf.DUMMYFUNCTION("IFERROR(
  INDEX(
    FILTER(
      IMPORTRANGE(""1kOrIKZmJfNUkgOVP3sI9BPjaaPA0_a4636oymQxTXg8/edit?gid=609491371#gid=609491371"",""Form responses 1!J:J""),
      IMPORTRANGE(""1kOrIKZmJfNUkgOVP3sI9BPjaaPA0_a4636oymQxTXg8/edit?gid=609491371#gid=609491371"&amp;""",""Form responses 1!F:F"")=$B58
    ),
    1
  ),
  ""Not Found""
)"),"Not Found")</f>
        <v>Not Found</v>
      </c>
      <c r="F58" s="284" t="str">
        <f>IFERROR(__xludf.DUMMYFUNCTION("IFERROR(
  INDEX(
    FILTER(
      IMPORTRANGE(""1kOrIKZmJfNUkgOVP3sI9BPjaaPA0_a4636oymQxTXg8/edit?gid=609491371#gid=609491371"",""Form responses 1!L:L""),
      IMPORTRANGE(""1kOrIKZmJfNUkgOVP3sI9BPjaaPA0_a4636oymQxTXg8/edit?gid=609491371#gid=609491371"&amp;""",""Form responses 1!F:F"")=$B58
    ),
    1
  ),
  ""Not Found""
)"),"Not Found")</f>
        <v>Not Found</v>
      </c>
      <c r="G58" s="284"/>
      <c r="H58" s="230"/>
      <c r="I58" s="230">
        <v>1945.0</v>
      </c>
      <c r="J58" s="339">
        <f>IFERROR(__xludf.DUMMYFUNCTION("IFERROR(
  INDEX(
    FILTER(
      IMPORTRANGE(""1Cxrhp3-_-HS7v9uuqQliiIfrmMP4VaFoDNDWyUFy2J8/edit?gid=0#gid=0"",""Sheet1!AE:AE""),
      IMPORTRANGE(""1Cxrhp3-_-HS7v9uuqQliiIfrmMP4VaFoDNDWyUFy2J8/edit?gid=0#gid=0"",""Sheet1!K:K"")=$B58
    ),
    1
  ),"&amp;"
  ""Not Found""
)"),1945.0)</f>
        <v>1945</v>
      </c>
      <c r="K58" s="340"/>
      <c r="L58" s="340"/>
      <c r="M58" s="230"/>
      <c r="N58" s="230"/>
      <c r="O58" s="230"/>
      <c r="P58" s="230"/>
      <c r="Q58" s="230"/>
      <c r="R58" s="230"/>
      <c r="S58" s="230"/>
      <c r="T58" s="230"/>
      <c r="U58" s="230"/>
      <c r="V58" s="230"/>
      <c r="W58" s="230"/>
      <c r="X58" s="230"/>
      <c r="Y58" s="230"/>
      <c r="Z58" s="230"/>
    </row>
    <row r="59">
      <c r="A59" s="337" t="str">
        <f>IFERROR(__xludf.DUMMYFUNCTION("VLOOKUP($B59,IMPORTRANGE(""https://docs.google.com/spreadsheets/d/1VNXDITjs75AcgdBSW27oL1VZH31udDprJSsBcE5xlp4/edit?gid=1551188038#gid=1551188038"", ""Sheet9!$B:$E""),2,false)"),"Lahore")</f>
        <v>Lahore</v>
      </c>
      <c r="B59" s="338" t="s">
        <v>3201</v>
      </c>
      <c r="C59" s="284">
        <f>IFERROR(__xludf.DUMMYFUNCTION("IFERROR(
  INDEX(
    FILTER(
      IMPORTRANGE(""1Cxrhp3-_-HS7v9uuqQliiIfrmMP4VaFoDNDWyUFy2J8/edit?gid=0#gid=0"",""Sheet1!AE:AE""),
      IMPORTRANGE(""1Cxrhp3-_-HS7v9uuqQliiIfrmMP4VaFoDNDWyUFy2J8/edit?gid=0#gid=0"",""Sheet1!K:K"")=$B59
    ),
    1
  ),"&amp;"
  ""Not Found""
)"),1850.0)</f>
        <v>1850</v>
      </c>
      <c r="D59" s="284" t="str">
        <f>IFERROR(__xludf.DUMMYFUNCTION("IFERROR(
  INDEX(
    FILTER(
      IMPORTRANGE(""1Cxrhp3-_-HS7v9uuqQliiIfrmMP4VaFoDNDWyUFy2J8/edit?gid=0#gid=0"",""Sheet1!AG:AG""),
      IMPORTRANGE(""1Cxrhp3-_-HS7v9uuqQliiIfrmMP4VaFoDNDWyUFy2J8/edit?gid=0#gid=0"",""Sheet1!K:K"")=$B59
    ),
    1
  ),"&amp;"
  ""Not Found""
)"),"Sheer shah wali darbaar")</f>
        <v>Sheer shah wali darbaar</v>
      </c>
      <c r="E59" s="284" t="str">
        <f>IFERROR(__xludf.DUMMYFUNCTION("IFERROR(
  INDEX(
    FILTER(
      IMPORTRANGE(""1kOrIKZmJfNUkgOVP3sI9BPjaaPA0_a4636oymQxTXg8/edit?gid=609491371#gid=609491371"",""Form responses 1!J:J""),
      IMPORTRANGE(""1kOrIKZmJfNUkgOVP3sI9BPjaaPA0_a4636oymQxTXg8/edit?gid=609491371#gid=609491371"&amp;""",""Form responses 1!F:F"")=$B59
    ),
    1
  ),
  ""Not Found""
)"),"Not Found")</f>
        <v>Not Found</v>
      </c>
      <c r="F59" s="284" t="str">
        <f>IFERROR(__xludf.DUMMYFUNCTION("IFERROR(
  INDEX(
    FILTER(
      IMPORTRANGE(""1kOrIKZmJfNUkgOVP3sI9BPjaaPA0_a4636oymQxTXg8/edit?gid=609491371#gid=609491371"",""Form responses 1!L:L""),
      IMPORTRANGE(""1kOrIKZmJfNUkgOVP3sI9BPjaaPA0_a4636oymQxTXg8/edit?gid=609491371#gid=609491371"&amp;""",""Form responses 1!F:F"")=$B59
    ),
    1
  ),
  ""Not Found""
)"),"Not Found")</f>
        <v>Not Found</v>
      </c>
      <c r="G59" s="284"/>
      <c r="H59" s="230"/>
      <c r="I59" s="230">
        <v>1850.0</v>
      </c>
      <c r="J59" s="339">
        <f>IFERROR(__xludf.DUMMYFUNCTION("IFERROR(
  INDEX(
    FILTER(
      IMPORTRANGE(""1Cxrhp3-_-HS7v9uuqQliiIfrmMP4VaFoDNDWyUFy2J8/edit?gid=0#gid=0"",""Sheet1!AE:AE""),
      IMPORTRANGE(""1Cxrhp3-_-HS7v9uuqQliiIfrmMP4VaFoDNDWyUFy2J8/edit?gid=0#gid=0"",""Sheet1!K:K"")=$B59
    ),
    1
  ),"&amp;"
  ""Not Found""
)"),1850.0)</f>
        <v>1850</v>
      </c>
      <c r="K59" s="340"/>
      <c r="L59" s="340"/>
      <c r="M59" s="230"/>
      <c r="N59" s="230"/>
      <c r="O59" s="230"/>
      <c r="P59" s="230"/>
      <c r="Q59" s="230"/>
      <c r="R59" s="230"/>
      <c r="S59" s="230"/>
      <c r="T59" s="230"/>
      <c r="U59" s="230"/>
      <c r="V59" s="230"/>
      <c r="W59" s="230"/>
      <c r="X59" s="230"/>
      <c r="Y59" s="230"/>
      <c r="Z59" s="230"/>
    </row>
    <row r="60">
      <c r="A60" s="337" t="str">
        <f>IFERROR(__xludf.DUMMYFUNCTION("VLOOKUP($B60,IMPORTRANGE(""https://docs.google.com/spreadsheets/d/1VNXDITjs75AcgdBSW27oL1VZH31udDprJSsBcE5xlp4/edit?gid=1551188038#gid=1551188038"", ""Sheet9!$B:$E""),2,false)"),"Lahore")</f>
        <v>Lahore</v>
      </c>
      <c r="B60" s="338" t="s">
        <v>3472</v>
      </c>
      <c r="C60" s="284">
        <f>IFERROR(__xludf.DUMMYFUNCTION("IFERROR(
  INDEX(
    FILTER(
      IMPORTRANGE(""1Cxrhp3-_-HS7v9uuqQliiIfrmMP4VaFoDNDWyUFy2J8/edit?gid=0#gid=0"",""Sheet1!AE:AE""),
      IMPORTRANGE(""1Cxrhp3-_-HS7v9uuqQliiIfrmMP4VaFoDNDWyUFy2J8/edit?gid=0#gid=0"",""Sheet1!K:K"")=$B60
    ),
    1
  ),"&amp;"
  ""Not Found""
)"),1997.0)</f>
        <v>1997</v>
      </c>
      <c r="D60" s="284" t="str">
        <f>IFERROR(__xludf.DUMMYFUNCTION("IFERROR(
  INDEX(
    FILTER(
      IMPORTRANGE(""1Cxrhp3-_-HS7v9uuqQliiIfrmMP4VaFoDNDWyUFy2J8/edit?gid=0#gid=0"",""Sheet1!AG:AG""),
      IMPORTRANGE(""1Cxrhp3-_-HS7v9uuqQliiIfrmMP4VaFoDNDWyUFy2J8/edit?gid=0#gid=0"",""Sheet1!K:K"")=$B60
    ),
    1
  ),"&amp;"
  ""Not Found""
)"),"")</f>
        <v/>
      </c>
      <c r="E60" s="284" t="str">
        <f>IFERROR(__xludf.DUMMYFUNCTION("IFERROR(
  INDEX(
    FILTER(
      IMPORTRANGE(""1kOrIKZmJfNUkgOVP3sI9BPjaaPA0_a4636oymQxTXg8/edit?gid=609491371#gid=609491371"",""Form responses 1!J:J""),
      IMPORTRANGE(""1kOrIKZmJfNUkgOVP3sI9BPjaaPA0_a4636oymQxTXg8/edit?gid=609491371#gid=609491371"&amp;""",""Form responses 1!F:F"")=$B60
    ),
    1
  ),
  ""Not Found""
)"),"Not Found")</f>
        <v>Not Found</v>
      </c>
      <c r="F60" s="284" t="str">
        <f>IFERROR(__xludf.DUMMYFUNCTION("IFERROR(
  INDEX(
    FILTER(
      IMPORTRANGE(""1kOrIKZmJfNUkgOVP3sI9BPjaaPA0_a4636oymQxTXg8/edit?gid=609491371#gid=609491371"",""Form responses 1!L:L""),
      IMPORTRANGE(""1kOrIKZmJfNUkgOVP3sI9BPjaaPA0_a4636oymQxTXg8/edit?gid=609491371#gid=609491371"&amp;""",""Form responses 1!F:F"")=$B60
    ),
    1
  ),
  ""Not Found""
)"),"Not Found")</f>
        <v>Not Found</v>
      </c>
      <c r="G60" s="284"/>
      <c r="H60" s="230"/>
      <c r="I60" s="230">
        <v>1997.0</v>
      </c>
      <c r="J60" s="339">
        <f>IFERROR(__xludf.DUMMYFUNCTION("IFERROR(
  INDEX(
    FILTER(
      IMPORTRANGE(""1Cxrhp3-_-HS7v9uuqQliiIfrmMP4VaFoDNDWyUFy2J8/edit?gid=0#gid=0"",""Sheet1!AE:AE""),
      IMPORTRANGE(""1Cxrhp3-_-HS7v9uuqQliiIfrmMP4VaFoDNDWyUFy2J8/edit?gid=0#gid=0"",""Sheet1!K:K"")=$B60
    ),
    1
  ),"&amp;"
  ""Not Found""
)"),1997.0)</f>
        <v>1997</v>
      </c>
      <c r="K60" s="340"/>
      <c r="L60" s="340"/>
      <c r="M60" s="230"/>
      <c r="N60" s="230"/>
      <c r="O60" s="230"/>
      <c r="P60" s="230"/>
      <c r="Q60" s="230"/>
      <c r="R60" s="230"/>
      <c r="S60" s="230"/>
      <c r="T60" s="230"/>
      <c r="U60" s="230"/>
      <c r="V60" s="230"/>
      <c r="W60" s="230"/>
      <c r="X60" s="230"/>
      <c r="Y60" s="230"/>
      <c r="Z60" s="230"/>
    </row>
    <row r="61">
      <c r="A61" s="337" t="str">
        <f>IFERROR(__xludf.DUMMYFUNCTION("VLOOKUP($B61,IMPORTRANGE(""https://docs.google.com/spreadsheets/d/1VNXDITjs75AcgdBSW27oL1VZH31udDprJSsBcE5xlp4/edit?gid=1551188038#gid=1551188038"", ""Sheet9!$B:$E""),2,false)"),"Lahore")</f>
        <v>Lahore</v>
      </c>
      <c r="B61" s="338" t="s">
        <v>2916</v>
      </c>
      <c r="C61" s="284">
        <f>IFERROR(__xludf.DUMMYFUNCTION("IFERROR(
  INDEX(
    FILTER(
      IMPORTRANGE(""1Cxrhp3-_-HS7v9uuqQliiIfrmMP4VaFoDNDWyUFy2J8/edit?gid=0#gid=0"",""Sheet1!AE:AE""),
      IMPORTRANGE(""1Cxrhp3-_-HS7v9uuqQliiIfrmMP4VaFoDNDWyUFy2J8/edit?gid=0#gid=0"",""Sheet1!K:K"")=$B61
    ),
    1
  ),"&amp;"
  ""Not Found""
)"),0.0)</f>
        <v>0</v>
      </c>
      <c r="D61" s="284" t="str">
        <f>IFERROR(__xludf.DUMMYFUNCTION("IFERROR(
  INDEX(
    FILTER(
      IMPORTRANGE(""1Cxrhp3-_-HS7v9uuqQliiIfrmMP4VaFoDNDWyUFy2J8/edit?gid=0#gid=0"",""Sheet1!AG:AG""),
      IMPORTRANGE(""1Cxrhp3-_-HS7v9uuqQliiIfrmMP4VaFoDNDWyUFy2J8/edit?gid=0#gid=0"",""Sheet1!K:K"")=$B61
    ),
    1
  ),"&amp;"
  ""Not Found""
)"),"")</f>
        <v/>
      </c>
      <c r="E61" s="284" t="str">
        <f>IFERROR(__xludf.DUMMYFUNCTION("IFERROR(
  INDEX(
    FILTER(
      IMPORTRANGE(""1kOrIKZmJfNUkgOVP3sI9BPjaaPA0_a4636oymQxTXg8/edit?gid=609491371#gid=609491371"",""Form responses 1!J:J""),
      IMPORTRANGE(""1kOrIKZmJfNUkgOVP3sI9BPjaaPA0_a4636oymQxTXg8/edit?gid=609491371#gid=609491371"&amp;""",""Form responses 1!F:F"")=$B61
    ),
    1
  ),
  ""Not Found""
)"),"Not Found")</f>
        <v>Not Found</v>
      </c>
      <c r="F61" s="284" t="str">
        <f>IFERROR(__xludf.DUMMYFUNCTION("IFERROR(
  INDEX(
    FILTER(
      IMPORTRANGE(""1kOrIKZmJfNUkgOVP3sI9BPjaaPA0_a4636oymQxTXg8/edit?gid=609491371#gid=609491371"",""Form responses 1!L:L""),
      IMPORTRANGE(""1kOrIKZmJfNUkgOVP3sI9BPjaaPA0_a4636oymQxTXg8/edit?gid=609491371#gid=609491371"&amp;""",""Form responses 1!F:F"")=$B61
    ),
    1
  ),
  ""Not Found""
)"),"Not Found")</f>
        <v>Not Found</v>
      </c>
      <c r="G61" s="284"/>
      <c r="H61" s="230"/>
      <c r="I61" s="230"/>
      <c r="J61" s="339">
        <f>IFERROR(__xludf.DUMMYFUNCTION("IFERROR(
  INDEX(
    FILTER(
      IMPORTRANGE(""1Cxrhp3-_-HS7v9uuqQliiIfrmMP4VaFoDNDWyUFy2J8/edit?gid=0#gid=0"",""Sheet1!AE:AE""),
      IMPORTRANGE(""1Cxrhp3-_-HS7v9uuqQliiIfrmMP4VaFoDNDWyUFy2J8/edit?gid=0#gid=0"",""Sheet1!K:K"")=$B61
    ),
    1
  ),"&amp;"
  ""Not Found""
)"),0.0)</f>
        <v>0</v>
      </c>
      <c r="K61" s="340"/>
      <c r="L61" s="340"/>
      <c r="M61" s="230"/>
      <c r="N61" s="230"/>
      <c r="O61" s="230"/>
      <c r="P61" s="230"/>
      <c r="Q61" s="230"/>
      <c r="R61" s="230"/>
      <c r="S61" s="230"/>
      <c r="T61" s="230"/>
      <c r="U61" s="230"/>
      <c r="V61" s="230"/>
      <c r="W61" s="230"/>
      <c r="X61" s="230"/>
      <c r="Y61" s="230"/>
      <c r="Z61" s="230"/>
    </row>
    <row r="62">
      <c r="A62" s="337" t="str">
        <f>IFERROR(__xludf.DUMMYFUNCTION("VLOOKUP($B62,IMPORTRANGE(""https://docs.google.com/spreadsheets/d/1VNXDITjs75AcgdBSW27oL1VZH31udDprJSsBcE5xlp4/edit?gid=1551188038#gid=1551188038"", ""Sheet9!$B:$E""),2,false)"),"Lahore")</f>
        <v>Lahore</v>
      </c>
      <c r="B62" s="338" t="s">
        <v>3086</v>
      </c>
      <c r="C62" s="284">
        <f>IFERROR(__xludf.DUMMYFUNCTION("IFERROR(
  INDEX(
    FILTER(
      IMPORTRANGE(""1Cxrhp3-_-HS7v9uuqQliiIfrmMP4VaFoDNDWyUFy2J8/edit?gid=0#gid=0"",""Sheet1!AE:AE""),
      IMPORTRANGE(""1Cxrhp3-_-HS7v9uuqQliiIfrmMP4VaFoDNDWyUFy2J8/edit?gid=0#gid=0"",""Sheet1!K:K"")=$B62
    ),
    1
  ),"&amp;"
  ""Not Found""
)"),1940.0)</f>
        <v>1940</v>
      </c>
      <c r="D62" s="284" t="str">
        <f>IFERROR(__xludf.DUMMYFUNCTION("IFERROR(
  INDEX(
    FILTER(
      IMPORTRANGE(""1Cxrhp3-_-HS7v9uuqQliiIfrmMP4VaFoDNDWyUFy2J8/edit?gid=0#gid=0"",""Sheet1!AG:AG""),
      IMPORTRANGE(""1Cxrhp3-_-HS7v9uuqQliiIfrmMP4VaFoDNDWyUFy2J8/edit?gid=0#gid=0"",""Sheet1!K:K"")=$B62
    ),
    1
  ),"&amp;"
  ""Not Found""
)"),"Syed shah Muhammad ghous")</f>
        <v>Syed shah Muhammad ghous</v>
      </c>
      <c r="E62" s="284" t="str">
        <f>IFERROR(__xludf.DUMMYFUNCTION("IFERROR(
  INDEX(
    FILTER(
      IMPORTRANGE(""1kOrIKZmJfNUkgOVP3sI9BPjaaPA0_a4636oymQxTXg8/edit?gid=609491371#gid=609491371"",""Form responses 1!J:J""),
      IMPORTRANGE(""1kOrIKZmJfNUkgOVP3sI9BPjaaPA0_a4636oymQxTXg8/edit?gid=609491371#gid=609491371"&amp;""",""Form responses 1!F:F"")=$B62
    ),
    1
  ),
  ""Not Found""
)"),"Not Found")</f>
        <v>Not Found</v>
      </c>
      <c r="F62" s="284" t="str">
        <f>IFERROR(__xludf.DUMMYFUNCTION("IFERROR(
  INDEX(
    FILTER(
      IMPORTRANGE(""1kOrIKZmJfNUkgOVP3sI9BPjaaPA0_a4636oymQxTXg8/edit?gid=609491371#gid=609491371"",""Form responses 1!L:L""),
      IMPORTRANGE(""1kOrIKZmJfNUkgOVP3sI9BPjaaPA0_a4636oymQxTXg8/edit?gid=609491371#gid=609491371"&amp;""",""Form responses 1!F:F"")=$B62
    ),
    1
  ),
  ""Not Found""
)"),"Not Found")</f>
        <v>Not Found</v>
      </c>
      <c r="G62" s="284"/>
      <c r="H62" s="230"/>
      <c r="I62" s="230">
        <v>1940.0</v>
      </c>
      <c r="J62" s="339">
        <f>IFERROR(__xludf.DUMMYFUNCTION("IFERROR(
  INDEX(
    FILTER(
      IMPORTRANGE(""1Cxrhp3-_-HS7v9uuqQliiIfrmMP4VaFoDNDWyUFy2J8/edit?gid=0#gid=0"",""Sheet1!AE:AE""),
      IMPORTRANGE(""1Cxrhp3-_-HS7v9uuqQliiIfrmMP4VaFoDNDWyUFy2J8/edit?gid=0#gid=0"",""Sheet1!K:K"")=$B62
    ),
    1
  ),"&amp;"
  ""Not Found""
)"),1940.0)</f>
        <v>1940</v>
      </c>
      <c r="K62" s="340"/>
      <c r="L62" s="340"/>
      <c r="M62" s="230"/>
      <c r="N62" s="230"/>
      <c r="O62" s="230"/>
      <c r="P62" s="230"/>
      <c r="Q62" s="230"/>
      <c r="R62" s="230"/>
      <c r="S62" s="230"/>
      <c r="T62" s="230"/>
      <c r="U62" s="230"/>
      <c r="V62" s="230"/>
      <c r="W62" s="230"/>
      <c r="X62" s="230"/>
      <c r="Y62" s="230"/>
      <c r="Z62" s="230"/>
    </row>
    <row r="63">
      <c r="A63" s="337" t="str">
        <f>IFERROR(__xludf.DUMMYFUNCTION("VLOOKUP($B63,IMPORTRANGE(""https://docs.google.com/spreadsheets/d/1VNXDITjs75AcgdBSW27oL1VZH31udDprJSsBcE5xlp4/edit?gid=1551188038#gid=1551188038"", ""Sheet9!$B:$E""),2,false)"),"Lahore")</f>
        <v>Lahore</v>
      </c>
      <c r="B63" s="338" t="s">
        <v>4539</v>
      </c>
      <c r="C63" s="284">
        <f>IFERROR(__xludf.DUMMYFUNCTION("IFERROR(
  INDEX(
    FILTER(
      IMPORTRANGE(""1Cxrhp3-_-HS7v9uuqQliiIfrmMP4VaFoDNDWyUFy2J8/edit?gid=0#gid=0"",""Sheet1!AE:AE""),
      IMPORTRANGE(""1Cxrhp3-_-HS7v9uuqQliiIfrmMP4VaFoDNDWyUFy2J8/edit?gid=0#gid=0"",""Sheet1!K:K"")=$B63
    ),
    1
  ),"&amp;"
  ""Not Found""
)"),1977.0)</f>
        <v>1977</v>
      </c>
      <c r="D63" s="284" t="str">
        <f>IFERROR(__xludf.DUMMYFUNCTION("IFERROR(
  INDEX(
    FILTER(
      IMPORTRANGE(""1Cxrhp3-_-HS7v9uuqQliiIfrmMP4VaFoDNDWyUFy2J8/edit?gid=0#gid=0"",""Sheet1!AG:AG""),
      IMPORTRANGE(""1Cxrhp3-_-HS7v9uuqQliiIfrmMP4VaFoDNDWyUFy2J8/edit?gid=0#gid=0"",""Sheet1!K:K"")=$B63
    ),
    1
  ),"&amp;"
  ""Not Found""
)"),"")</f>
        <v/>
      </c>
      <c r="E63" s="284" t="str">
        <f>IFERROR(__xludf.DUMMYFUNCTION("IFERROR(
  INDEX(
    FILTER(
      IMPORTRANGE(""1kOrIKZmJfNUkgOVP3sI9BPjaaPA0_a4636oymQxTXg8/edit?gid=609491371#gid=609491371"",""Form responses 1!J:J""),
      IMPORTRANGE(""1kOrIKZmJfNUkgOVP3sI9BPjaaPA0_a4636oymQxTXg8/edit?gid=609491371#gid=609491371"&amp;""",""Form responses 1!F:F"")=$B63
    ),
    1
  ),
  ""Not Found""
)"),"Not Found")</f>
        <v>Not Found</v>
      </c>
      <c r="F63" s="284" t="str">
        <f>IFERROR(__xludf.DUMMYFUNCTION("IFERROR(
  INDEX(
    FILTER(
      IMPORTRANGE(""1kOrIKZmJfNUkgOVP3sI9BPjaaPA0_a4636oymQxTXg8/edit?gid=609491371#gid=609491371"",""Form responses 1!L:L""),
      IMPORTRANGE(""1kOrIKZmJfNUkgOVP3sI9BPjaaPA0_a4636oymQxTXg8/edit?gid=609491371#gid=609491371"&amp;""",""Form responses 1!F:F"")=$B63
    ),
    1
  ),
  ""Not Found""
)"),"Not Found")</f>
        <v>Not Found</v>
      </c>
      <c r="G63" s="284"/>
      <c r="H63" s="230"/>
      <c r="I63" s="230">
        <v>1977.0</v>
      </c>
      <c r="J63" s="339">
        <f>IFERROR(__xludf.DUMMYFUNCTION("IFERROR(
  INDEX(
    FILTER(
      IMPORTRANGE(""1Cxrhp3-_-HS7v9uuqQliiIfrmMP4VaFoDNDWyUFy2J8/edit?gid=0#gid=0"",""Sheet1!AE:AE""),
      IMPORTRANGE(""1Cxrhp3-_-HS7v9uuqQliiIfrmMP4VaFoDNDWyUFy2J8/edit?gid=0#gid=0"",""Sheet1!K:K"")=$B63
    ),
    1
  ),"&amp;"
  ""Not Found""
)"),1977.0)</f>
        <v>1977</v>
      </c>
      <c r="K63" s="340"/>
      <c r="L63" s="340"/>
      <c r="M63" s="230"/>
      <c r="N63" s="230"/>
      <c r="O63" s="230"/>
      <c r="P63" s="230"/>
      <c r="Q63" s="230"/>
      <c r="R63" s="230"/>
      <c r="S63" s="230"/>
      <c r="T63" s="230"/>
      <c r="U63" s="230"/>
      <c r="V63" s="230"/>
      <c r="W63" s="230"/>
      <c r="X63" s="230"/>
      <c r="Y63" s="230"/>
      <c r="Z63" s="230"/>
    </row>
    <row r="64">
      <c r="A64" s="337" t="str">
        <f>IFERROR(__xludf.DUMMYFUNCTION("VLOOKUP($B64,IMPORTRANGE(""https://docs.google.com/spreadsheets/d/1VNXDITjs75AcgdBSW27oL1VZH31udDprJSsBcE5xlp4/edit?gid=1551188038#gid=1551188038"", ""Sheet9!$B:$E""),2,false)"),"Lahore")</f>
        <v>Lahore</v>
      </c>
      <c r="B64" s="338" t="s">
        <v>4540</v>
      </c>
      <c r="C64" s="284">
        <f>IFERROR(__xludf.DUMMYFUNCTION("IFERROR(
  INDEX(
    FILTER(
      IMPORTRANGE(""1Cxrhp3-_-HS7v9uuqQliiIfrmMP4VaFoDNDWyUFy2J8/edit?gid=0#gid=0"",""Sheet1!AE:AE""),
      IMPORTRANGE(""1Cxrhp3-_-HS7v9uuqQliiIfrmMP4VaFoDNDWyUFy2J8/edit?gid=0#gid=0"",""Sheet1!K:K"")=$B64
    ),
    1
  ),"&amp;"
  ""Not Found""
)"),1990.0)</f>
        <v>1990</v>
      </c>
      <c r="D64" s="284" t="str">
        <f>IFERROR(__xludf.DUMMYFUNCTION("IFERROR(
  INDEX(
    FILTER(
      IMPORTRANGE(""1Cxrhp3-_-HS7v9uuqQliiIfrmMP4VaFoDNDWyUFy2J8/edit?gid=0#gid=0"",""Sheet1!AG:AG""),
      IMPORTRANGE(""1Cxrhp3-_-HS7v9uuqQliiIfrmMP4VaFoDNDWyUFy2J8/edit?gid=0#gid=0"",""Sheet1!K:K"")=$B64
    ),
    1
  ),"&amp;"
  ""Not Found""
)"),"")</f>
        <v/>
      </c>
      <c r="E64" s="284" t="str">
        <f>IFERROR(__xludf.DUMMYFUNCTION("IFERROR(
  INDEX(
    FILTER(
      IMPORTRANGE(""1kOrIKZmJfNUkgOVP3sI9BPjaaPA0_a4636oymQxTXg8/edit?gid=609491371#gid=609491371"",""Form responses 1!J:J""),
      IMPORTRANGE(""1kOrIKZmJfNUkgOVP3sI9BPjaaPA0_a4636oymQxTXg8/edit?gid=609491371#gid=609491371"&amp;""",""Form responses 1!F:F"")=$B64
    ),
    1
  ),
  ""Not Found""
)"),"Not Found")</f>
        <v>Not Found</v>
      </c>
      <c r="F64" s="284" t="str">
        <f>IFERROR(__xludf.DUMMYFUNCTION("IFERROR(
  INDEX(
    FILTER(
      IMPORTRANGE(""1kOrIKZmJfNUkgOVP3sI9BPjaaPA0_a4636oymQxTXg8/edit?gid=609491371#gid=609491371"",""Form responses 1!L:L""),
      IMPORTRANGE(""1kOrIKZmJfNUkgOVP3sI9BPjaaPA0_a4636oymQxTXg8/edit?gid=609491371#gid=609491371"&amp;""",""Form responses 1!F:F"")=$B64
    ),
    1
  ),
  ""Not Found""
)"),"Not Found")</f>
        <v>Not Found</v>
      </c>
      <c r="G64" s="284"/>
      <c r="H64" s="230"/>
      <c r="I64" s="230">
        <v>1990.0</v>
      </c>
      <c r="J64" s="339">
        <f>IFERROR(__xludf.DUMMYFUNCTION("IFERROR(
  INDEX(
    FILTER(
      IMPORTRANGE(""1Cxrhp3-_-HS7v9uuqQliiIfrmMP4VaFoDNDWyUFy2J8/edit?gid=0#gid=0"",""Sheet1!AE:AE""),
      IMPORTRANGE(""1Cxrhp3-_-HS7v9uuqQliiIfrmMP4VaFoDNDWyUFy2J8/edit?gid=0#gid=0"",""Sheet1!K:K"")=$B64
    ),
    1
  ),"&amp;"
  ""Not Found""
)"),1990.0)</f>
        <v>1990</v>
      </c>
      <c r="K64" s="340"/>
      <c r="L64" s="340"/>
      <c r="M64" s="230"/>
      <c r="N64" s="230"/>
      <c r="O64" s="230"/>
      <c r="P64" s="230"/>
      <c r="Q64" s="230"/>
      <c r="R64" s="230"/>
      <c r="S64" s="230"/>
      <c r="T64" s="230"/>
      <c r="U64" s="230"/>
      <c r="V64" s="230"/>
      <c r="W64" s="230"/>
      <c r="X64" s="230"/>
      <c r="Y64" s="230"/>
      <c r="Z64" s="230"/>
    </row>
    <row r="65">
      <c r="A65" s="337" t="str">
        <f>IFERROR(__xludf.DUMMYFUNCTION("VLOOKUP($B65,IMPORTRANGE(""https://docs.google.com/spreadsheets/d/1VNXDITjs75AcgdBSW27oL1VZH31udDprJSsBcE5xlp4/edit?gid=1551188038#gid=1551188038"", ""Sheet9!$B:$E""),2,false)"),"Lahore")</f>
        <v>Lahore</v>
      </c>
      <c r="B65" s="338" t="s">
        <v>3241</v>
      </c>
      <c r="C65" s="284">
        <f>IFERROR(__xludf.DUMMYFUNCTION("IFERROR(
  INDEX(
    FILTER(
      IMPORTRANGE(""1Cxrhp3-_-HS7v9uuqQliiIfrmMP4VaFoDNDWyUFy2J8/edit?gid=0#gid=0"",""Sheet1!AE:AE""),
      IMPORTRANGE(""1Cxrhp3-_-HS7v9uuqQliiIfrmMP4VaFoDNDWyUFy2J8/edit?gid=0#gid=0"",""Sheet1!K:K"")=$B65
    ),
    1
  ),"&amp;"
  ""Not Found""
)"),1925.0)</f>
        <v>1925</v>
      </c>
      <c r="D65" s="284" t="str">
        <f>IFERROR(__xludf.DUMMYFUNCTION("IFERROR(
  INDEX(
    FILTER(
      IMPORTRANGE(""1Cxrhp3-_-HS7v9uuqQliiIfrmMP4VaFoDNDWyUFy2J8/edit?gid=0#gid=0"",""Sheet1!AG:AG""),
      IMPORTRANGE(""1Cxrhp3-_-HS7v9uuqQliiIfrmMP4VaFoDNDWyUFy2J8/edit?gid=0#gid=0"",""Sheet1!K:K"")=$B65
    ),
    1
  ),"&amp;"
  ""Not Found""
)"),"Darbar shah Jamal")</f>
        <v>Darbar shah Jamal</v>
      </c>
      <c r="E65" s="284" t="str">
        <f>IFERROR(__xludf.DUMMYFUNCTION("IFERROR(
  INDEX(
    FILTER(
      IMPORTRANGE(""1kOrIKZmJfNUkgOVP3sI9BPjaaPA0_a4636oymQxTXg8/edit?gid=609491371#gid=609491371"",""Form responses 1!J:J""),
      IMPORTRANGE(""1kOrIKZmJfNUkgOVP3sI9BPjaaPA0_a4636oymQxTXg8/edit?gid=609491371#gid=609491371"&amp;""",""Form responses 1!F:F"")=$B65
    ),
    1
  ),
  ""Not Found""
)"),"Not Found")</f>
        <v>Not Found</v>
      </c>
      <c r="F65" s="284" t="str">
        <f>IFERROR(__xludf.DUMMYFUNCTION("IFERROR(
  INDEX(
    FILTER(
      IMPORTRANGE(""1kOrIKZmJfNUkgOVP3sI9BPjaaPA0_a4636oymQxTXg8/edit?gid=609491371#gid=609491371"",""Form responses 1!L:L""),
      IMPORTRANGE(""1kOrIKZmJfNUkgOVP3sI9BPjaaPA0_a4636oymQxTXg8/edit?gid=609491371#gid=609491371"&amp;""",""Form responses 1!F:F"")=$B65
    ),
    1
  ),
  ""Not Found""
)"),"Not Found")</f>
        <v>Not Found</v>
      </c>
      <c r="G65" s="284"/>
      <c r="H65" s="230"/>
      <c r="I65" s="230">
        <v>1925.0</v>
      </c>
      <c r="J65" s="339">
        <f>IFERROR(__xludf.DUMMYFUNCTION("IFERROR(
  INDEX(
    FILTER(
      IMPORTRANGE(""1Cxrhp3-_-HS7v9uuqQliiIfrmMP4VaFoDNDWyUFy2J8/edit?gid=0#gid=0"",""Sheet1!AE:AE""),
      IMPORTRANGE(""1Cxrhp3-_-HS7v9uuqQliiIfrmMP4VaFoDNDWyUFy2J8/edit?gid=0#gid=0"",""Sheet1!K:K"")=$B65
    ),
    1
  ),"&amp;"
  ""Not Found""
)"),1925.0)</f>
        <v>1925</v>
      </c>
      <c r="K65" s="340"/>
      <c r="L65" s="340"/>
      <c r="M65" s="230"/>
      <c r="N65" s="230"/>
      <c r="O65" s="230"/>
      <c r="P65" s="230"/>
      <c r="Q65" s="230"/>
      <c r="R65" s="230"/>
      <c r="S65" s="230"/>
      <c r="T65" s="230"/>
      <c r="U65" s="230"/>
      <c r="V65" s="230"/>
      <c r="W65" s="230"/>
      <c r="X65" s="230"/>
      <c r="Y65" s="230"/>
      <c r="Z65" s="230"/>
    </row>
    <row r="66">
      <c r="A66" s="337" t="str">
        <f>IFERROR(__xludf.DUMMYFUNCTION("VLOOKUP($B66,IMPORTRANGE(""https://docs.google.com/spreadsheets/d/1VNXDITjs75AcgdBSW27oL1VZH31udDprJSsBcE5xlp4/edit?gid=1551188038#gid=1551188038"", ""Sheet9!$B:$E""),2,false)"),"Lahore")</f>
        <v>Lahore</v>
      </c>
      <c r="B66" s="338" t="s">
        <v>2885</v>
      </c>
      <c r="C66" s="284">
        <f>IFERROR(__xludf.DUMMYFUNCTION("IFERROR(
  INDEX(
    FILTER(
      IMPORTRANGE(""1Cxrhp3-_-HS7v9uuqQliiIfrmMP4VaFoDNDWyUFy2J8/edit?gid=0#gid=0"",""Sheet1!AE:AE""),
      IMPORTRANGE(""1Cxrhp3-_-HS7v9uuqQliiIfrmMP4VaFoDNDWyUFy2J8/edit?gid=0#gid=0"",""Sheet1!K:K"")=$B66
    ),
    1
  ),"&amp;"
  ""Not Found""
)"),1955.0)</f>
        <v>1955</v>
      </c>
      <c r="D66" s="284" t="str">
        <f>IFERROR(__xludf.DUMMYFUNCTION("IFERROR(
  INDEX(
    FILTER(
      IMPORTRANGE(""1Cxrhp3-_-HS7v9uuqQliiIfrmMP4VaFoDNDWyUFy2J8/edit?gid=0#gid=0"",""Sheet1!AG:AG""),
      IMPORTRANGE(""1Cxrhp3-_-HS7v9uuqQliiIfrmMP4VaFoDNDWyUFy2J8/edit?gid=0#gid=0"",""Sheet1!K:K"")=$B66
    ),
    1
  ),"&amp;"
  ""Not Found""
)"),"Baba Musafir Shah")</f>
        <v>Baba Musafir Shah</v>
      </c>
      <c r="E66" s="284" t="str">
        <f>IFERROR(__xludf.DUMMYFUNCTION("IFERROR(
  INDEX(
    FILTER(
      IMPORTRANGE(""1kOrIKZmJfNUkgOVP3sI9BPjaaPA0_a4636oymQxTXg8/edit?gid=609491371#gid=609491371"",""Form responses 1!J:J""),
      IMPORTRANGE(""1kOrIKZmJfNUkgOVP3sI9BPjaaPA0_a4636oymQxTXg8/edit?gid=609491371#gid=609491371"&amp;""",""Form responses 1!F:F"")=$B66
    ),
    1
  ),
  ""Not Found""
)"),"Not Found")</f>
        <v>Not Found</v>
      </c>
      <c r="F66" s="284" t="str">
        <f>IFERROR(__xludf.DUMMYFUNCTION("IFERROR(
  INDEX(
    FILTER(
      IMPORTRANGE(""1kOrIKZmJfNUkgOVP3sI9BPjaaPA0_a4636oymQxTXg8/edit?gid=609491371#gid=609491371"",""Form responses 1!L:L""),
      IMPORTRANGE(""1kOrIKZmJfNUkgOVP3sI9BPjaaPA0_a4636oymQxTXg8/edit?gid=609491371#gid=609491371"&amp;""",""Form responses 1!F:F"")=$B66
    ),
    1
  ),
  ""Not Found""
)"),"Not Found")</f>
        <v>Not Found</v>
      </c>
      <c r="G66" s="284"/>
      <c r="H66" s="230"/>
      <c r="I66" s="230">
        <v>1955.0</v>
      </c>
      <c r="J66" s="339">
        <f>IFERROR(__xludf.DUMMYFUNCTION("IFERROR(
  INDEX(
    FILTER(
      IMPORTRANGE(""1Cxrhp3-_-HS7v9uuqQliiIfrmMP4VaFoDNDWyUFy2J8/edit?gid=0#gid=0"",""Sheet1!AE:AE""),
      IMPORTRANGE(""1Cxrhp3-_-HS7v9uuqQliiIfrmMP4VaFoDNDWyUFy2J8/edit?gid=0#gid=0"",""Sheet1!K:K"")=$B66
    ),
    1
  ),"&amp;"
  ""Not Found""
)"),1955.0)</f>
        <v>1955</v>
      </c>
      <c r="K66" s="340"/>
      <c r="L66" s="340"/>
      <c r="M66" s="230"/>
      <c r="N66" s="230"/>
      <c r="O66" s="230"/>
      <c r="P66" s="230"/>
      <c r="Q66" s="230"/>
      <c r="R66" s="230"/>
      <c r="S66" s="230"/>
      <c r="T66" s="230"/>
      <c r="U66" s="230"/>
      <c r="V66" s="230"/>
      <c r="W66" s="230"/>
      <c r="X66" s="230"/>
      <c r="Y66" s="230"/>
      <c r="Z66" s="230"/>
    </row>
    <row r="67">
      <c r="A67" s="337" t="str">
        <f>IFERROR(__xludf.DUMMYFUNCTION("VLOOKUP($B67,IMPORTRANGE(""https://docs.google.com/spreadsheets/d/1VNXDITjs75AcgdBSW27oL1VZH31udDprJSsBcE5xlp4/edit?gid=1551188038#gid=1551188038"", ""Sheet9!$B:$E""),2,false)"),"Lahore")</f>
        <v>Lahore</v>
      </c>
      <c r="B67" s="338" t="s">
        <v>4543</v>
      </c>
      <c r="C67" s="284">
        <f>IFERROR(__xludf.DUMMYFUNCTION("IFERROR(
  INDEX(
    FILTER(
      IMPORTRANGE(""1Cxrhp3-_-HS7v9uuqQliiIfrmMP4VaFoDNDWyUFy2J8/edit?gid=0#gid=0"",""Sheet1!AE:AE""),
      IMPORTRANGE(""1Cxrhp3-_-HS7v9uuqQliiIfrmMP4VaFoDNDWyUFy2J8/edit?gid=0#gid=0"",""Sheet1!K:K"")=$B67
    ),
    1
  ),"&amp;"
  ""Not Found""
)"),1967.0)</f>
        <v>1967</v>
      </c>
      <c r="D67" s="284" t="str">
        <f>IFERROR(__xludf.DUMMYFUNCTION("IFERROR(
  INDEX(
    FILTER(
      IMPORTRANGE(""1Cxrhp3-_-HS7v9uuqQliiIfrmMP4VaFoDNDWyUFy2J8/edit?gid=0#gid=0"",""Sheet1!AG:AG""),
      IMPORTRANGE(""1Cxrhp3-_-HS7v9uuqQliiIfrmMP4VaFoDNDWyUFy2J8/edit?gid=0#gid=0"",""Sheet1!K:K"")=$B67
    ),
    1
  ),"&amp;"
  ""Not Found""
)"),"Han g")</f>
        <v>Han g</v>
      </c>
      <c r="E67" s="284" t="str">
        <f>IFERROR(__xludf.DUMMYFUNCTION("IFERROR(
  INDEX(
    FILTER(
      IMPORTRANGE(""1kOrIKZmJfNUkgOVP3sI9BPjaaPA0_a4636oymQxTXg8/edit?gid=609491371#gid=609491371"",""Form responses 1!J:J""),
      IMPORTRANGE(""1kOrIKZmJfNUkgOVP3sI9BPjaaPA0_a4636oymQxTXg8/edit?gid=609491371#gid=609491371"&amp;""",""Form responses 1!F:F"")=$B67
    ),
    1
  ),
  ""Not Found""
)"),"Not Found")</f>
        <v>Not Found</v>
      </c>
      <c r="F67" s="284" t="str">
        <f>IFERROR(__xludf.DUMMYFUNCTION("IFERROR(
  INDEX(
    FILTER(
      IMPORTRANGE(""1kOrIKZmJfNUkgOVP3sI9BPjaaPA0_a4636oymQxTXg8/edit?gid=609491371#gid=609491371"",""Form responses 1!L:L""),
      IMPORTRANGE(""1kOrIKZmJfNUkgOVP3sI9BPjaaPA0_a4636oymQxTXg8/edit?gid=609491371#gid=609491371"&amp;""",""Form responses 1!F:F"")=$B67
    ),
    1
  ),
  ""Not Found""
)"),"Not Found")</f>
        <v>Not Found</v>
      </c>
      <c r="G67" s="284"/>
      <c r="H67" s="230"/>
      <c r="I67" s="230">
        <v>1967.0</v>
      </c>
      <c r="J67" s="339">
        <f>IFERROR(__xludf.DUMMYFUNCTION("IFERROR(
  INDEX(
    FILTER(
      IMPORTRANGE(""1Cxrhp3-_-HS7v9uuqQliiIfrmMP4VaFoDNDWyUFy2J8/edit?gid=0#gid=0"",""Sheet1!AE:AE""),
      IMPORTRANGE(""1Cxrhp3-_-HS7v9uuqQliiIfrmMP4VaFoDNDWyUFy2J8/edit?gid=0#gid=0"",""Sheet1!K:K"")=$B67
    ),
    1
  ),"&amp;"
  ""Not Found""
)"),1967.0)</f>
        <v>1967</v>
      </c>
      <c r="K67" s="340"/>
      <c r="L67" s="340"/>
      <c r="M67" s="230"/>
      <c r="N67" s="230"/>
      <c r="O67" s="230"/>
      <c r="P67" s="230"/>
      <c r="Q67" s="230"/>
      <c r="R67" s="230"/>
      <c r="S67" s="230"/>
      <c r="T67" s="230"/>
      <c r="U67" s="230"/>
      <c r="V67" s="230"/>
      <c r="W67" s="230"/>
      <c r="X67" s="230"/>
      <c r="Y67" s="230"/>
      <c r="Z67" s="230"/>
    </row>
    <row r="68">
      <c r="A68" s="337" t="str">
        <f>IFERROR(__xludf.DUMMYFUNCTION("VLOOKUP($B68,IMPORTRANGE(""https://docs.google.com/spreadsheets/d/1VNXDITjs75AcgdBSW27oL1VZH31udDprJSsBcE5xlp4/edit?gid=1551188038#gid=1551188038"", ""Sheet9!$B:$E""),2,false)"),"Lahore")</f>
        <v>Lahore</v>
      </c>
      <c r="B68" s="342" t="s">
        <v>4544</v>
      </c>
      <c r="C68" s="284" t="str">
        <f>IFERROR(__xludf.DUMMYFUNCTION("IFERROR(
  INDEX(
    FILTER(
      IMPORTRANGE(""1Cxrhp3-_-HS7v9uuqQliiIfrmMP4VaFoDNDWyUFy2J8/edit?gid=0#gid=0"",""Sheet1!AE:AE""),
      IMPORTRANGE(""1Cxrhp3-_-HS7v9uuqQliiIfrmMP4VaFoDNDWyUFy2J8/edit?gid=0#gid=0"",""Sheet1!K:K"")=$B68
    ),
    1
  ),"&amp;"
  ""Not Found""
)"),"Not Found")</f>
        <v>Not Found</v>
      </c>
      <c r="D68" s="284"/>
      <c r="E68" s="284" t="str">
        <f>IFERROR(__xludf.DUMMYFUNCTION("IFERROR(
  INDEX(
    FILTER(
      IMPORTRANGE(""1kOrIKZmJfNUkgOVP3sI9BPjaaPA0_a4636oymQxTXg8/edit?gid=609491371#gid=609491371"",""Form responses 1!J:J""),
      IMPORTRANGE(""1kOrIKZmJfNUkgOVP3sI9BPjaaPA0_a4636oymQxTXg8/edit?gid=609491371#gid=609491371"&amp;""",""Form responses 1!F:F"")=$B68
    ),
    1
  ),
  ""Not Found""
)"),"Not Found")</f>
        <v>Not Found</v>
      </c>
      <c r="F68" s="284" t="str">
        <f>IFERROR(__xludf.DUMMYFUNCTION("IFERROR(
  INDEX(
    FILTER(
      IMPORTRANGE(""1kOrIKZmJfNUkgOVP3sI9BPjaaPA0_a4636oymQxTXg8/edit?gid=609491371#gid=609491371"",""Form responses 1!L:L""),
      IMPORTRANGE(""1kOrIKZmJfNUkgOVP3sI9BPjaaPA0_a4636oymQxTXg8/edit?gid=609491371#gid=609491371"&amp;""",""Form responses 1!F:F"")=$B68
    ),
    1
  ),
  ""Not Found""
)"),"Not Found")</f>
        <v>Not Found</v>
      </c>
      <c r="G68" s="284"/>
      <c r="H68" s="230"/>
      <c r="I68" s="230"/>
      <c r="J68" s="339" t="str">
        <f>IFERROR(__xludf.DUMMYFUNCTION("IFERROR(
  INDEX(
    FILTER(
      IMPORTRANGE(""1Cxrhp3-_-HS7v9uuqQliiIfrmMP4VaFoDNDWyUFy2J8/edit?gid=0#gid=0"",""Sheet1!AE:AE""),
      IMPORTRANGE(""1Cxrhp3-_-HS7v9uuqQliiIfrmMP4VaFoDNDWyUFy2J8/edit?gid=0#gid=0"",""Sheet1!K:K"")=$B68
    ),
    1
  ),"&amp;"
  ""Not Found""
)"),"Not Found")</f>
        <v>Not Found</v>
      </c>
      <c r="K68" s="340"/>
      <c r="L68" s="340"/>
      <c r="M68" s="230"/>
      <c r="N68" s="230"/>
      <c r="O68" s="230"/>
      <c r="P68" s="230"/>
      <c r="Q68" s="230"/>
      <c r="R68" s="230"/>
      <c r="S68" s="230"/>
      <c r="T68" s="230"/>
      <c r="U68" s="230"/>
      <c r="V68" s="230"/>
      <c r="W68" s="230"/>
      <c r="X68" s="230"/>
      <c r="Y68" s="230"/>
      <c r="Z68" s="230"/>
    </row>
    <row r="69">
      <c r="A69" s="337" t="str">
        <f>IFERROR(__xludf.DUMMYFUNCTION("VLOOKUP($B69,IMPORTRANGE(""https://docs.google.com/spreadsheets/d/1VNXDITjs75AcgdBSW27oL1VZH31udDprJSsBcE5xlp4/edit?gid=1551188038#gid=1551188038"", ""Sheet9!$B:$E""),2,false)"),"Lahore")</f>
        <v>Lahore</v>
      </c>
      <c r="B69" s="338" t="s">
        <v>3021</v>
      </c>
      <c r="C69" s="284">
        <f>IFERROR(__xludf.DUMMYFUNCTION("IFERROR(
  INDEX(
    FILTER(
      IMPORTRANGE(""1Cxrhp3-_-HS7v9uuqQliiIfrmMP4VaFoDNDWyUFy2J8/edit?gid=0#gid=0"",""Sheet1!AE:AE""),
      IMPORTRANGE(""1Cxrhp3-_-HS7v9uuqQliiIfrmMP4VaFoDNDWyUFy2J8/edit?gid=0#gid=0"",""Sheet1!K:K"")=$B69
    ),
    1
  ),"&amp;"
  ""Not Found""
)"),1905.0)</f>
        <v>1905</v>
      </c>
      <c r="D69" s="284" t="str">
        <f>IFERROR(__xludf.DUMMYFUNCTION("IFERROR(
  INDEX(
    FILTER(
      IMPORTRANGE(""1Cxrhp3-_-HS7v9uuqQliiIfrmMP4VaFoDNDWyUFy2J8/edit?gid=0#gid=0"",""Sheet1!AG:AG""),
      IMPORTRANGE(""1Cxrhp3-_-HS7v9uuqQliiIfrmMP4VaFoDNDWyUFy2J8/edit?gid=0#gid=0"",""Sheet1!K:K"")=$B69
    ),
    1
  ),"&amp;"
  ""Not Found""
)"),"Darbar Johri Shah bndagi")</f>
        <v>Darbar Johri Shah bndagi</v>
      </c>
      <c r="E69" s="284" t="str">
        <f>IFERROR(__xludf.DUMMYFUNCTION("IFERROR(
  INDEX(
    FILTER(
      IMPORTRANGE(""1kOrIKZmJfNUkgOVP3sI9BPjaaPA0_a4636oymQxTXg8/edit?gid=609491371#gid=609491371"",""Form responses 1!J:J""),
      IMPORTRANGE(""1kOrIKZmJfNUkgOVP3sI9BPjaaPA0_a4636oymQxTXg8/edit?gid=609491371#gid=609491371"&amp;""",""Form responses 1!F:F"")=$B69
    ),
    1
  ),
  ""Not Found""
)"),"Not Found")</f>
        <v>Not Found</v>
      </c>
      <c r="F69" s="284" t="str">
        <f>IFERROR(__xludf.DUMMYFUNCTION("IFERROR(
  INDEX(
    FILTER(
      IMPORTRANGE(""1kOrIKZmJfNUkgOVP3sI9BPjaaPA0_a4636oymQxTXg8/edit?gid=609491371#gid=609491371"",""Form responses 1!L:L""),
      IMPORTRANGE(""1kOrIKZmJfNUkgOVP3sI9BPjaaPA0_a4636oymQxTXg8/edit?gid=609491371#gid=609491371"&amp;""",""Form responses 1!F:F"")=$B69
    ),
    1
  ),
  ""Not Found""
)"),"Not Found")</f>
        <v>Not Found</v>
      </c>
      <c r="G69" s="284"/>
      <c r="H69" s="230"/>
      <c r="I69" s="230">
        <v>1905.0</v>
      </c>
      <c r="J69" s="339">
        <f>IFERROR(__xludf.DUMMYFUNCTION("IFERROR(
  INDEX(
    FILTER(
      IMPORTRANGE(""1Cxrhp3-_-HS7v9uuqQliiIfrmMP4VaFoDNDWyUFy2J8/edit?gid=0#gid=0"",""Sheet1!AE:AE""),
      IMPORTRANGE(""1Cxrhp3-_-HS7v9uuqQliiIfrmMP4VaFoDNDWyUFy2J8/edit?gid=0#gid=0"",""Sheet1!K:K"")=$B69
    ),
    1
  ),"&amp;"
  ""Not Found""
)"),1905.0)</f>
        <v>1905</v>
      </c>
      <c r="K69" s="340"/>
      <c r="L69" s="340"/>
      <c r="M69" s="230"/>
      <c r="N69" s="230"/>
      <c r="O69" s="230"/>
      <c r="P69" s="230"/>
      <c r="Q69" s="230"/>
      <c r="R69" s="230"/>
      <c r="S69" s="230"/>
      <c r="T69" s="230"/>
      <c r="U69" s="230"/>
      <c r="V69" s="230"/>
      <c r="W69" s="230"/>
      <c r="X69" s="230"/>
      <c r="Y69" s="230"/>
      <c r="Z69" s="230"/>
    </row>
    <row r="70">
      <c r="A70" s="337" t="str">
        <f>IFERROR(__xludf.DUMMYFUNCTION("VLOOKUP($B70,IMPORTRANGE(""https://docs.google.com/spreadsheets/d/1VNXDITjs75AcgdBSW27oL1VZH31udDprJSsBcE5xlp4/edit?gid=1551188038#gid=1551188038"", ""Sheet9!$B:$E""),2,false)"),"Lahore")</f>
        <v>Lahore</v>
      </c>
      <c r="B70" s="338" t="s">
        <v>3072</v>
      </c>
      <c r="C70" s="284">
        <f>IFERROR(__xludf.DUMMYFUNCTION("IFERROR(
  INDEX(
    FILTER(
      IMPORTRANGE(""1Cxrhp3-_-HS7v9uuqQliiIfrmMP4VaFoDNDWyUFy2J8/edit?gid=0#gid=0"",""Sheet1!AE:AE""),
      IMPORTRANGE(""1Cxrhp3-_-HS7v9uuqQliiIfrmMP4VaFoDNDWyUFy2J8/edit?gid=0#gid=0"",""Sheet1!K:K"")=$B70
    ),
    1
  ),"&amp;"
  ""Not Found""
)"),1930.0)</f>
        <v>1930</v>
      </c>
      <c r="D70" s="284" t="str">
        <f>IFERROR(__xludf.DUMMYFUNCTION("IFERROR(
  INDEX(
    FILTER(
      IMPORTRANGE(""1Cxrhp3-_-HS7v9uuqQliiIfrmMP4VaFoDNDWyUFy2J8/edit?gid=0#gid=0"",""Sheet1!AG:AG""),
      IMPORTRANGE(""1Cxrhp3-_-HS7v9uuqQliiIfrmMP4VaFoDNDWyUFy2J8/edit?gid=0#gid=0"",""Sheet1!K:K"")=$B70
    ),
    1
  ),"&amp;"
  ""Not Found""
)"),"Darbar shah Ghadah")</f>
        <v>Darbar shah Ghadah</v>
      </c>
      <c r="E70" s="284" t="str">
        <f>IFERROR(__xludf.DUMMYFUNCTION("IFERROR(
  INDEX(
    FILTER(
      IMPORTRANGE(""1kOrIKZmJfNUkgOVP3sI9BPjaaPA0_a4636oymQxTXg8/edit?gid=609491371#gid=609491371"",""Form responses 1!J:J""),
      IMPORTRANGE(""1kOrIKZmJfNUkgOVP3sI9BPjaaPA0_a4636oymQxTXg8/edit?gid=609491371#gid=609491371"&amp;""",""Form responses 1!F:F"")=$B70
    ),
    1
  ),
  ""Not Found""
)"),"Not Found")</f>
        <v>Not Found</v>
      </c>
      <c r="F70" s="284" t="str">
        <f>IFERROR(__xludf.DUMMYFUNCTION("IFERROR(
  INDEX(
    FILTER(
      IMPORTRANGE(""1kOrIKZmJfNUkgOVP3sI9BPjaaPA0_a4636oymQxTXg8/edit?gid=609491371#gid=609491371"",""Form responses 1!L:L""),
      IMPORTRANGE(""1kOrIKZmJfNUkgOVP3sI9BPjaaPA0_a4636oymQxTXg8/edit?gid=609491371#gid=609491371"&amp;""",""Form responses 1!F:F"")=$B70
    ),
    1
  ),
  ""Not Found""
)"),"Not Found")</f>
        <v>Not Found</v>
      </c>
      <c r="G70" s="284"/>
      <c r="H70" s="230"/>
      <c r="I70" s="230">
        <v>1930.0</v>
      </c>
      <c r="J70" s="339">
        <f>IFERROR(__xludf.DUMMYFUNCTION("IFERROR(
  INDEX(
    FILTER(
      IMPORTRANGE(""1Cxrhp3-_-HS7v9uuqQliiIfrmMP4VaFoDNDWyUFy2J8/edit?gid=0#gid=0"",""Sheet1!AE:AE""),
      IMPORTRANGE(""1Cxrhp3-_-HS7v9uuqQliiIfrmMP4VaFoDNDWyUFy2J8/edit?gid=0#gid=0"",""Sheet1!K:K"")=$B70
    ),
    1
  ),"&amp;"
  ""Not Found""
)"),1930.0)</f>
        <v>1930</v>
      </c>
      <c r="K70" s="340"/>
      <c r="L70" s="340"/>
      <c r="M70" s="230"/>
      <c r="N70" s="230"/>
      <c r="O70" s="230"/>
      <c r="P70" s="230"/>
      <c r="Q70" s="230"/>
      <c r="R70" s="230"/>
      <c r="S70" s="230"/>
      <c r="T70" s="230"/>
      <c r="U70" s="230"/>
      <c r="V70" s="230"/>
      <c r="W70" s="230"/>
      <c r="X70" s="230"/>
      <c r="Y70" s="230"/>
      <c r="Z70" s="230"/>
    </row>
    <row r="71">
      <c r="A71" s="337" t="str">
        <f>IFERROR(__xludf.DUMMYFUNCTION("VLOOKUP($B71,IMPORTRANGE(""https://docs.google.com/spreadsheets/d/1VNXDITjs75AcgdBSW27oL1VZH31udDprJSsBcE5xlp4/edit?gid=1551188038#gid=1551188038"", ""Sheet9!$B:$E""),2,false)"),"Lahore")</f>
        <v>Lahore</v>
      </c>
      <c r="B71" s="338" t="s">
        <v>2899</v>
      </c>
      <c r="C71" s="284">
        <f>IFERROR(__xludf.DUMMYFUNCTION("IFERROR(
  INDEX(
    FILTER(
      IMPORTRANGE(""1Cxrhp3-_-HS7v9uuqQliiIfrmMP4VaFoDNDWyUFy2J8/edit?gid=0#gid=0"",""Sheet1!AE:AE""),
      IMPORTRANGE(""1Cxrhp3-_-HS7v9uuqQliiIfrmMP4VaFoDNDWyUFy2J8/edit?gid=0#gid=0"",""Sheet1!K:K"")=$B71
    ),
    1
  ),"&amp;"
  ""Not Found""
)"),1975.0)</f>
        <v>1975</v>
      </c>
      <c r="D71" s="284" t="str">
        <f>IFERROR(__xludf.DUMMYFUNCTION("IFERROR(
  INDEX(
    FILTER(
      IMPORTRANGE(""1Cxrhp3-_-HS7v9uuqQliiIfrmMP4VaFoDNDWyUFy2J8/edit?gid=0#gid=0"",""Sheet1!AG:AG""),
      IMPORTRANGE(""1Cxrhp3-_-HS7v9uuqQliiIfrmMP4VaFoDNDWyUFy2J8/edit?gid=0#gid=0"",""Sheet1!K:K"")=$B71
    ),
    1
  ),"&amp;"
  ""Not Found""
)"),"Syed Musa Zanjani ")</f>
        <v>Syed Musa Zanjani </v>
      </c>
      <c r="E71" s="284" t="str">
        <f>IFERROR(__xludf.DUMMYFUNCTION("IFERROR(
  INDEX(
    FILTER(
      IMPORTRANGE(""1kOrIKZmJfNUkgOVP3sI9BPjaaPA0_a4636oymQxTXg8/edit?gid=609491371#gid=609491371"",""Form responses 1!J:J""),
      IMPORTRANGE(""1kOrIKZmJfNUkgOVP3sI9BPjaaPA0_a4636oymQxTXg8/edit?gid=609491371#gid=609491371"&amp;""",""Form responses 1!F:F"")=$B71
    ),
    1
  ),
  ""Not Found""
)"),"Not Found")</f>
        <v>Not Found</v>
      </c>
      <c r="F71" s="284" t="str">
        <f>IFERROR(__xludf.DUMMYFUNCTION("IFERROR(
  INDEX(
    FILTER(
      IMPORTRANGE(""1kOrIKZmJfNUkgOVP3sI9BPjaaPA0_a4636oymQxTXg8/edit?gid=609491371#gid=609491371"",""Form responses 1!L:L""),
      IMPORTRANGE(""1kOrIKZmJfNUkgOVP3sI9BPjaaPA0_a4636oymQxTXg8/edit?gid=609491371#gid=609491371"&amp;""",""Form responses 1!F:F"")=$B71
    ),
    1
  ),
  ""Not Found""
)"),"Not Found")</f>
        <v>Not Found</v>
      </c>
      <c r="G71" s="284"/>
      <c r="H71" s="230"/>
      <c r="I71" s="230">
        <v>1975.0</v>
      </c>
      <c r="J71" s="339">
        <f>IFERROR(__xludf.DUMMYFUNCTION("IFERROR(
  INDEX(
    FILTER(
      IMPORTRANGE(""1Cxrhp3-_-HS7v9uuqQliiIfrmMP4VaFoDNDWyUFy2J8/edit?gid=0#gid=0"",""Sheet1!AE:AE""),
      IMPORTRANGE(""1Cxrhp3-_-HS7v9uuqQliiIfrmMP4VaFoDNDWyUFy2J8/edit?gid=0#gid=0"",""Sheet1!K:K"")=$B71
    ),
    1
  ),"&amp;"
  ""Not Found""
)"),1975.0)</f>
        <v>1975</v>
      </c>
      <c r="K71" s="340"/>
      <c r="L71" s="340"/>
      <c r="M71" s="230"/>
      <c r="N71" s="230"/>
      <c r="O71" s="230"/>
      <c r="P71" s="230"/>
      <c r="Q71" s="230"/>
      <c r="R71" s="230"/>
      <c r="S71" s="230"/>
      <c r="T71" s="230"/>
      <c r="U71" s="230"/>
      <c r="V71" s="230"/>
      <c r="W71" s="230"/>
      <c r="X71" s="230"/>
      <c r="Y71" s="230"/>
      <c r="Z71" s="230"/>
    </row>
    <row r="72">
      <c r="A72" s="337" t="str">
        <f>IFERROR(__xludf.DUMMYFUNCTION("VLOOKUP($B72,IMPORTRANGE(""https://docs.google.com/spreadsheets/d/1VNXDITjs75AcgdBSW27oL1VZH31udDprJSsBcE5xlp4/edit?gid=1551188038#gid=1551188038"", ""Sheet9!$B:$E""),2,false)"),"Lahore")</f>
        <v>Lahore</v>
      </c>
      <c r="B72" s="338" t="s">
        <v>1306</v>
      </c>
      <c r="C72" s="284">
        <f>IFERROR(__xludf.DUMMYFUNCTION("IFERROR(
  INDEX(
    FILTER(
      IMPORTRANGE(""1Cxrhp3-_-HS7v9uuqQliiIfrmMP4VaFoDNDWyUFy2J8/edit?gid=0#gid=0"",""Sheet1!AE:AE""),
      IMPORTRANGE(""1Cxrhp3-_-HS7v9uuqQliiIfrmMP4VaFoDNDWyUFy2J8/edit?gid=0#gid=0"",""Sheet1!K:K"")=$B72
    ),
    1
  ),"&amp;"
  ""Not Found""
)"),1968.0)</f>
        <v>1968</v>
      </c>
      <c r="D72" s="284" t="str">
        <f>IFERROR(__xludf.DUMMYFUNCTION("IFERROR(
  INDEX(
    FILTER(
      IMPORTRANGE(""1Cxrhp3-_-HS7v9uuqQliiIfrmMP4VaFoDNDWyUFy2J8/edit?gid=0#gid=0"",""Sheet1!AG:AG""),
      IMPORTRANGE(""1Cxrhp3-_-HS7v9uuqQliiIfrmMP4VaFoDNDWyUFy2J8/edit?gid=0#gid=0"",""Sheet1!K:K"")=$B72
    ),
    1
  ),"&amp;"
  ""Not Found""
)"),"Ismail shah bukhari")</f>
        <v>Ismail shah bukhari</v>
      </c>
      <c r="E72" s="284" t="str">
        <f>IFERROR(__xludf.DUMMYFUNCTION("IFERROR(
  INDEX(
    FILTER(
      IMPORTRANGE(""1kOrIKZmJfNUkgOVP3sI9BPjaaPA0_a4636oymQxTXg8/edit?gid=609491371#gid=609491371"",""Form responses 1!J:J""),
      IMPORTRANGE(""1kOrIKZmJfNUkgOVP3sI9BPjaaPA0_a4636oymQxTXg8/edit?gid=609491371#gid=609491371"&amp;""",""Form responses 1!F:F"")=$B72
    ),
    1
  ),
  ""Not Found""
)"),"Not Found")</f>
        <v>Not Found</v>
      </c>
      <c r="F72" s="284" t="str">
        <f>IFERROR(__xludf.DUMMYFUNCTION("IFERROR(
  INDEX(
    FILTER(
      IMPORTRANGE(""1kOrIKZmJfNUkgOVP3sI9BPjaaPA0_a4636oymQxTXg8/edit?gid=609491371#gid=609491371"",""Form responses 1!L:L""),
      IMPORTRANGE(""1kOrIKZmJfNUkgOVP3sI9BPjaaPA0_a4636oymQxTXg8/edit?gid=609491371#gid=609491371"&amp;""",""Form responses 1!F:F"")=$B72
    ),
    1
  ),
  ""Not Found""
)"),"Not Found")</f>
        <v>Not Found</v>
      </c>
      <c r="G72" s="284"/>
      <c r="H72" s="230"/>
      <c r="I72" s="230">
        <v>1968.0</v>
      </c>
      <c r="J72" s="339">
        <f>IFERROR(__xludf.DUMMYFUNCTION("IFERROR(
  INDEX(
    FILTER(
      IMPORTRANGE(""1Cxrhp3-_-HS7v9uuqQliiIfrmMP4VaFoDNDWyUFy2J8/edit?gid=0#gid=0"",""Sheet1!AE:AE""),
      IMPORTRANGE(""1Cxrhp3-_-HS7v9uuqQliiIfrmMP4VaFoDNDWyUFy2J8/edit?gid=0#gid=0"",""Sheet1!K:K"")=$B72
    ),
    1
  ),"&amp;"
  ""Not Found""
)"),1968.0)</f>
        <v>1968</v>
      </c>
      <c r="K72" s="340"/>
      <c r="L72" s="340"/>
      <c r="M72" s="230"/>
      <c r="N72" s="230"/>
      <c r="O72" s="230"/>
      <c r="P72" s="230"/>
      <c r="Q72" s="230"/>
      <c r="R72" s="230"/>
      <c r="S72" s="230"/>
      <c r="T72" s="230"/>
      <c r="U72" s="230"/>
      <c r="V72" s="230"/>
      <c r="W72" s="230"/>
      <c r="X72" s="230"/>
      <c r="Y72" s="230"/>
      <c r="Z72" s="230"/>
    </row>
    <row r="73">
      <c r="A73" s="337" t="str">
        <f>IFERROR(__xludf.DUMMYFUNCTION("VLOOKUP($B73,IMPORTRANGE(""https://docs.google.com/spreadsheets/d/1VNXDITjs75AcgdBSW27oL1VZH31udDprJSsBcE5xlp4/edit?gid=1551188038#gid=1551188038"", ""Sheet9!$B:$E""),2,false)"),"Gujrawala")</f>
        <v>Gujrawala</v>
      </c>
      <c r="B73" s="338" t="s">
        <v>2477</v>
      </c>
      <c r="C73" s="284" t="str">
        <f>IFERROR(__xludf.DUMMYFUNCTION("IFERROR(
  INDEX(
    FILTER(
      IMPORTRANGE(""1Cxrhp3-_-HS7v9uuqQliiIfrmMP4VaFoDNDWyUFy2J8/edit?gid=0#gid=0"",""Sheet1!AE:AE""),
      IMPORTRANGE(""1Cxrhp3-_-HS7v9uuqQliiIfrmMP4VaFoDNDWyUFy2J8/edit?gid=0#gid=0"",""Sheet1!K:K"")=$B73
    ),
    1
  ),"&amp;"
  ""Not Found""
)"),"Not Found")</f>
        <v>Not Found</v>
      </c>
      <c r="D73" s="284"/>
      <c r="E73" s="284" t="str">
        <f>IFERROR(__xludf.DUMMYFUNCTION("IFERROR(
  INDEX(
    FILTER(
      IMPORTRANGE(""1kOrIKZmJfNUkgOVP3sI9BPjaaPA0_a4636oymQxTXg8/edit?gid=609491371#gid=609491371"",""Form responses 1!J:J""),
      IMPORTRANGE(""1kOrIKZmJfNUkgOVP3sI9BPjaaPA0_a4636oymQxTXg8/edit?gid=609491371#gid=609491371"&amp;""",""Form responses 1!F:F"")=$B73
    ),
    1
  ),
  ""Not Found""
)"),"Not Found")</f>
        <v>Not Found</v>
      </c>
      <c r="F73" s="284" t="str">
        <f>IFERROR(__xludf.DUMMYFUNCTION("IFERROR(
  INDEX(
    FILTER(
      IMPORTRANGE(""1kOrIKZmJfNUkgOVP3sI9BPjaaPA0_a4636oymQxTXg8/edit?gid=609491371#gid=609491371"",""Form responses 1!L:L""),
      IMPORTRANGE(""1kOrIKZmJfNUkgOVP3sI9BPjaaPA0_a4636oymQxTXg8/edit?gid=609491371#gid=609491371"&amp;""",""Form responses 1!F:F"")=$B73
    ),
    1
  ),
  ""Not Found""
)"),"Not Found")</f>
        <v>Not Found</v>
      </c>
      <c r="G73" s="284"/>
      <c r="H73" s="230"/>
      <c r="I73" s="230"/>
      <c r="J73" s="339" t="str">
        <f>IFERROR(__xludf.DUMMYFUNCTION("IFERROR(
  INDEX(
    FILTER(
      IMPORTRANGE(""1Cxrhp3-_-HS7v9uuqQliiIfrmMP4VaFoDNDWyUFy2J8/edit?gid=0#gid=0"",""Sheet1!AE:AE""),
      IMPORTRANGE(""1Cxrhp3-_-HS7v9uuqQliiIfrmMP4VaFoDNDWyUFy2J8/edit?gid=0#gid=0"",""Sheet1!K:K"")=$B73
    ),
    1
  ),"&amp;"
  ""Not Found""
)"),"Not Found")</f>
        <v>Not Found</v>
      </c>
      <c r="K73" s="340"/>
      <c r="L73" s="340"/>
      <c r="M73" s="230"/>
      <c r="N73" s="230"/>
      <c r="O73" s="230"/>
      <c r="P73" s="230"/>
      <c r="Q73" s="230"/>
      <c r="R73" s="230"/>
      <c r="S73" s="230"/>
      <c r="T73" s="230"/>
      <c r="U73" s="230"/>
      <c r="V73" s="230"/>
      <c r="W73" s="230"/>
      <c r="X73" s="230"/>
      <c r="Y73" s="230"/>
      <c r="Z73" s="230"/>
    </row>
    <row r="74">
      <c r="A74" s="337" t="str">
        <f>IFERROR(__xludf.DUMMYFUNCTION("VLOOKUP($B74,IMPORTRANGE(""https://docs.google.com/spreadsheets/d/1VNXDITjs75AcgdBSW27oL1VZH31udDprJSsBcE5xlp4/edit?gid=1551188038#gid=1551188038"", ""Sheet9!$B:$E""),2,false)"),"Gujrawala")</f>
        <v>Gujrawala</v>
      </c>
      <c r="B74" s="338" t="s">
        <v>2471</v>
      </c>
      <c r="C74" s="284" t="str">
        <f>IFERROR(__xludf.DUMMYFUNCTION("IFERROR(
  INDEX(
    FILTER(
      IMPORTRANGE(""1Cxrhp3-_-HS7v9uuqQliiIfrmMP4VaFoDNDWyUFy2J8/edit?gid=0#gid=0"",""Sheet1!AE:AE""),
      IMPORTRANGE(""1Cxrhp3-_-HS7v9uuqQliiIfrmMP4VaFoDNDWyUFy2J8/edit?gid=0#gid=0"",""Sheet1!K:K"")=$B74
    ),
    1
  ),"&amp;"
  ""Not Found""
)"),"Not Found")</f>
        <v>Not Found</v>
      </c>
      <c r="D74" s="284"/>
      <c r="E74" s="284" t="str">
        <f>IFERROR(__xludf.DUMMYFUNCTION("IFERROR(
  INDEX(
    FILTER(
      IMPORTRANGE(""1kOrIKZmJfNUkgOVP3sI9BPjaaPA0_a4636oymQxTXg8/edit?gid=609491371#gid=609491371"",""Form responses 1!J:J""),
      IMPORTRANGE(""1kOrIKZmJfNUkgOVP3sI9BPjaaPA0_a4636oymQxTXg8/edit?gid=609491371#gid=609491371"&amp;""",""Form responses 1!F:F"")=$B74
    ),
    1
  ),
  ""Not Found""
)"),"Not Found")</f>
        <v>Not Found</v>
      </c>
      <c r="F74" s="284" t="str">
        <f>IFERROR(__xludf.DUMMYFUNCTION("IFERROR(
  INDEX(
    FILTER(
      IMPORTRANGE(""1kOrIKZmJfNUkgOVP3sI9BPjaaPA0_a4636oymQxTXg8/edit?gid=609491371#gid=609491371"",""Form responses 1!L:L""),
      IMPORTRANGE(""1kOrIKZmJfNUkgOVP3sI9BPjaaPA0_a4636oymQxTXg8/edit?gid=609491371#gid=609491371"&amp;""",""Form responses 1!F:F"")=$B74
    ),
    1
  ),
  ""Not Found""
)"),"Not Found")</f>
        <v>Not Found</v>
      </c>
      <c r="G74" s="284"/>
      <c r="H74" s="230"/>
      <c r="I74" s="230"/>
      <c r="J74" s="339" t="str">
        <f>IFERROR(__xludf.DUMMYFUNCTION("IFERROR(
  INDEX(
    FILTER(
      IMPORTRANGE(""1Cxrhp3-_-HS7v9uuqQliiIfrmMP4VaFoDNDWyUFy2J8/edit?gid=0#gid=0"",""Sheet1!AE:AE""),
      IMPORTRANGE(""1Cxrhp3-_-HS7v9uuqQliiIfrmMP4VaFoDNDWyUFy2J8/edit?gid=0#gid=0"",""Sheet1!K:K"")=$B74
    ),
    1
  ),"&amp;"
  ""Not Found""
)"),"Not Found")</f>
        <v>Not Found</v>
      </c>
      <c r="K74" s="340"/>
      <c r="L74" s="340"/>
      <c r="M74" s="230"/>
      <c r="N74" s="230"/>
      <c r="O74" s="230"/>
      <c r="P74" s="230"/>
      <c r="Q74" s="230"/>
      <c r="R74" s="230"/>
      <c r="S74" s="230"/>
      <c r="T74" s="230"/>
      <c r="U74" s="230"/>
      <c r="V74" s="230"/>
      <c r="W74" s="230"/>
      <c r="X74" s="230"/>
      <c r="Y74" s="230"/>
      <c r="Z74" s="230"/>
    </row>
    <row r="75">
      <c r="A75" s="337" t="str">
        <f>IFERROR(__xludf.DUMMYFUNCTION("VLOOKUP($B75,IMPORTRANGE(""https://docs.google.com/spreadsheets/d/1VNXDITjs75AcgdBSW27oL1VZH31udDprJSsBcE5xlp4/edit?gid=1551188038#gid=1551188038"", ""Sheet9!$B:$E""),2,false)"),"Gujrawala")</f>
        <v>Gujrawala</v>
      </c>
      <c r="B75" s="338" t="s">
        <v>2154</v>
      </c>
      <c r="C75" s="284" t="str">
        <f>IFERROR(__xludf.DUMMYFUNCTION("IFERROR(
  INDEX(
    FILTER(
      IMPORTRANGE(""1Cxrhp3-_-HS7v9uuqQliiIfrmMP4VaFoDNDWyUFy2J8/edit?gid=0#gid=0"",""Sheet1!AE:AE""),
      IMPORTRANGE(""1Cxrhp3-_-HS7v9uuqQliiIfrmMP4VaFoDNDWyUFy2J8/edit?gid=0#gid=0"",""Sheet1!K:K"")=$B75
    ),
    1
  ),"&amp;"
  ""Not Found""
)"),"Not Found")</f>
        <v>Not Found</v>
      </c>
      <c r="D75" s="284"/>
      <c r="E75" s="284" t="str">
        <f>IFERROR(__xludf.DUMMYFUNCTION("IFERROR(
  INDEX(
    FILTER(
      IMPORTRANGE(""1kOrIKZmJfNUkgOVP3sI9BPjaaPA0_a4636oymQxTXg8/edit?gid=609491371#gid=609491371"",""Form responses 1!J:J""),
      IMPORTRANGE(""1kOrIKZmJfNUkgOVP3sI9BPjaaPA0_a4636oymQxTXg8/edit?gid=609491371#gid=609491371"&amp;""",""Form responses 1!F:F"")=$B75
    ),
    1
  ),
  ""Not Found""
)"),"Not Found")</f>
        <v>Not Found</v>
      </c>
      <c r="F75" s="284" t="str">
        <f>IFERROR(__xludf.DUMMYFUNCTION("IFERROR(
  INDEX(
    FILTER(
      IMPORTRANGE(""1kOrIKZmJfNUkgOVP3sI9BPjaaPA0_a4636oymQxTXg8/edit?gid=609491371#gid=609491371"",""Form responses 1!L:L""),
      IMPORTRANGE(""1kOrIKZmJfNUkgOVP3sI9BPjaaPA0_a4636oymQxTXg8/edit?gid=609491371#gid=609491371"&amp;""",""Form responses 1!F:F"")=$B75
    ),
    1
  ),
  ""Not Found""
)"),"Not Found")</f>
        <v>Not Found</v>
      </c>
      <c r="G75" s="284"/>
      <c r="H75" s="230"/>
      <c r="I75" s="230"/>
      <c r="J75" s="339" t="str">
        <f>IFERROR(__xludf.DUMMYFUNCTION("IFERROR(
  INDEX(
    FILTER(
      IMPORTRANGE(""1Cxrhp3-_-HS7v9uuqQliiIfrmMP4VaFoDNDWyUFy2J8/edit?gid=0#gid=0"",""Sheet1!AE:AE""),
      IMPORTRANGE(""1Cxrhp3-_-HS7v9uuqQliiIfrmMP4VaFoDNDWyUFy2J8/edit?gid=0#gid=0"",""Sheet1!K:K"")=$B75
    ),
    1
  ),"&amp;"
  ""Not Found""
)"),"Not Found")</f>
        <v>Not Found</v>
      </c>
      <c r="K75" s="340"/>
      <c r="L75" s="340"/>
      <c r="M75" s="230"/>
      <c r="N75" s="230"/>
      <c r="O75" s="230"/>
      <c r="P75" s="230"/>
      <c r="Q75" s="230"/>
      <c r="R75" s="230"/>
      <c r="S75" s="230"/>
      <c r="T75" s="230"/>
      <c r="U75" s="230"/>
      <c r="V75" s="230"/>
      <c r="W75" s="230"/>
      <c r="X75" s="230"/>
      <c r="Y75" s="230"/>
      <c r="Z75" s="230"/>
    </row>
    <row r="76">
      <c r="A76" s="337" t="str">
        <f>IFERROR(__xludf.DUMMYFUNCTION("VLOOKUP($B76,IMPORTRANGE(""https://docs.google.com/spreadsheets/d/1VNXDITjs75AcgdBSW27oL1VZH31udDprJSsBcE5xlp4/edit?gid=1551188038#gid=1551188038"", ""Sheet9!$B:$E""),2,false)"),"Gujrawala")</f>
        <v>Gujrawala</v>
      </c>
      <c r="B76" s="338" t="s">
        <v>2100</v>
      </c>
      <c r="C76" s="284" t="str">
        <f>IFERROR(__xludf.DUMMYFUNCTION("IFERROR(
  INDEX(
    FILTER(
      IMPORTRANGE(""1Cxrhp3-_-HS7v9uuqQliiIfrmMP4VaFoDNDWyUFy2J8/edit?gid=0#gid=0"",""Sheet1!AE:AE""),
      IMPORTRANGE(""1Cxrhp3-_-HS7v9uuqQliiIfrmMP4VaFoDNDWyUFy2J8/edit?gid=0#gid=0"",""Sheet1!K:K"")=$B76
    ),
    1
  ),"&amp;"
  ""Not Found""
)"),"Not Found")</f>
        <v>Not Found</v>
      </c>
      <c r="D76" s="284"/>
      <c r="E76" s="284" t="str">
        <f>IFERROR(__xludf.DUMMYFUNCTION("IFERROR(
  INDEX(
    FILTER(
      IMPORTRANGE(""1kOrIKZmJfNUkgOVP3sI9BPjaaPA0_a4636oymQxTXg8/edit?gid=609491371#gid=609491371"",""Form responses 1!J:J""),
      IMPORTRANGE(""1kOrIKZmJfNUkgOVP3sI9BPjaaPA0_a4636oymQxTXg8/edit?gid=609491371#gid=609491371"&amp;""",""Form responses 1!F:F"")=$B76
    ),
    1
  ),
  ""Not Found""
)"),"Not Found")</f>
        <v>Not Found</v>
      </c>
      <c r="F76" s="284" t="str">
        <f>IFERROR(__xludf.DUMMYFUNCTION("IFERROR(
  INDEX(
    FILTER(
      IMPORTRANGE(""1kOrIKZmJfNUkgOVP3sI9BPjaaPA0_a4636oymQxTXg8/edit?gid=609491371#gid=609491371"",""Form responses 1!L:L""),
      IMPORTRANGE(""1kOrIKZmJfNUkgOVP3sI9BPjaaPA0_a4636oymQxTXg8/edit?gid=609491371#gid=609491371"&amp;""",""Form responses 1!F:F"")=$B76
    ),
    1
  ),
  ""Not Found""
)"),"Not Found")</f>
        <v>Not Found</v>
      </c>
      <c r="G76" s="284"/>
      <c r="H76" s="230"/>
      <c r="I76" s="230"/>
      <c r="J76" s="339" t="str">
        <f>IFERROR(__xludf.DUMMYFUNCTION("IFERROR(
  INDEX(
    FILTER(
      IMPORTRANGE(""1Cxrhp3-_-HS7v9uuqQliiIfrmMP4VaFoDNDWyUFy2J8/edit?gid=0#gid=0"",""Sheet1!AE:AE""),
      IMPORTRANGE(""1Cxrhp3-_-HS7v9uuqQliiIfrmMP4VaFoDNDWyUFy2J8/edit?gid=0#gid=0"",""Sheet1!K:K"")=$B76
    ),
    1
  ),"&amp;"
  ""Not Found""
)"),"Not Found")</f>
        <v>Not Found</v>
      </c>
      <c r="K76" s="340"/>
      <c r="L76" s="340"/>
      <c r="M76" s="230"/>
      <c r="N76" s="230"/>
      <c r="O76" s="230"/>
      <c r="P76" s="230"/>
      <c r="Q76" s="230"/>
      <c r="R76" s="230"/>
      <c r="S76" s="230"/>
      <c r="T76" s="230"/>
      <c r="U76" s="230"/>
      <c r="V76" s="230"/>
      <c r="W76" s="230"/>
      <c r="X76" s="230"/>
      <c r="Y76" s="230"/>
      <c r="Z76" s="230"/>
    </row>
    <row r="77">
      <c r="A77" s="337" t="str">
        <f>IFERROR(__xludf.DUMMYFUNCTION("VLOOKUP($B77,IMPORTRANGE(""https://docs.google.com/spreadsheets/d/1VNXDITjs75AcgdBSW27oL1VZH31udDprJSsBcE5xlp4/edit?gid=1551188038#gid=1551188038"", ""Sheet9!$B:$E""),2,false)"),"Gujrawala")</f>
        <v>Gujrawala</v>
      </c>
      <c r="B77" s="338" t="s">
        <v>1817</v>
      </c>
      <c r="C77" s="284">
        <f>IFERROR(__xludf.DUMMYFUNCTION("IFERROR(
  INDEX(
    FILTER(
      IMPORTRANGE(""1Cxrhp3-_-HS7v9uuqQliiIfrmMP4VaFoDNDWyUFy2J8/edit?gid=0#gid=0"",""Sheet1!AE:AE""),
      IMPORTRANGE(""1Cxrhp3-_-HS7v9uuqQliiIfrmMP4VaFoDNDWyUFy2J8/edit?gid=0#gid=0"",""Sheet1!K:K"")=$B77
    ),
    1
  ),"&amp;"
  ""Not Found""
)"),1965.0)</f>
        <v>1965</v>
      </c>
      <c r="D77" s="284" t="str">
        <f>IFERROR(__xludf.DUMMYFUNCTION("IFERROR(
  INDEX(
    FILTER(
      IMPORTRANGE(""1Cxrhp3-_-HS7v9uuqQliiIfrmMP4VaFoDNDWyUFy2J8/edit?gid=0#gid=0"",""Sheet1!AG:AG""),
      IMPORTRANGE(""1Cxrhp3-_-HS7v9uuqQliiIfrmMP4VaFoDNDWyUFy2J8/edit?gid=0#gid=0"",""Sheet1!K:K"")=$B77
    ),
    1
  ),"&amp;"
  ""Not Found""
)"),"")</f>
        <v/>
      </c>
      <c r="E77" s="284" t="str">
        <f>IFERROR(__xludf.DUMMYFUNCTION("IFERROR(
  INDEX(
    FILTER(
      IMPORTRANGE(""1kOrIKZmJfNUkgOVP3sI9BPjaaPA0_a4636oymQxTXg8/edit?gid=609491371#gid=609491371"",""Form responses 1!J:J""),
      IMPORTRANGE(""1kOrIKZmJfNUkgOVP3sI9BPjaaPA0_a4636oymQxTXg8/edit?gid=609491371#gid=609491371"&amp;""",""Form responses 1!F:F"")=$B77
    ),
    1
  ),
  ""Not Found""
)"),"Not Found")</f>
        <v>Not Found</v>
      </c>
      <c r="F77" s="284" t="str">
        <f>IFERROR(__xludf.DUMMYFUNCTION("IFERROR(
  INDEX(
    FILTER(
      IMPORTRANGE(""1kOrIKZmJfNUkgOVP3sI9BPjaaPA0_a4636oymQxTXg8/edit?gid=609491371#gid=609491371"",""Form responses 1!L:L""),
      IMPORTRANGE(""1kOrIKZmJfNUkgOVP3sI9BPjaaPA0_a4636oymQxTXg8/edit?gid=609491371#gid=609491371"&amp;""",""Form responses 1!F:F"")=$B77
    ),
    1
  ),
  ""Not Found""
)"),"Not Found")</f>
        <v>Not Found</v>
      </c>
      <c r="G77" s="284"/>
      <c r="H77" s="230"/>
      <c r="I77" s="230">
        <v>1965.0</v>
      </c>
      <c r="J77" s="339">
        <f>IFERROR(__xludf.DUMMYFUNCTION("IFERROR(
  INDEX(
    FILTER(
      IMPORTRANGE(""1Cxrhp3-_-HS7v9uuqQliiIfrmMP4VaFoDNDWyUFy2J8/edit?gid=0#gid=0"",""Sheet1!AE:AE""),
      IMPORTRANGE(""1Cxrhp3-_-HS7v9uuqQliiIfrmMP4VaFoDNDWyUFy2J8/edit?gid=0#gid=0"",""Sheet1!K:K"")=$B77
    ),
    1
  ),"&amp;"
  ""Not Found""
)"),1965.0)</f>
        <v>1965</v>
      </c>
      <c r="K77" s="340"/>
      <c r="L77" s="340"/>
      <c r="M77" s="230"/>
      <c r="N77" s="230"/>
      <c r="O77" s="230"/>
      <c r="P77" s="230"/>
      <c r="Q77" s="230"/>
      <c r="R77" s="230"/>
      <c r="S77" s="230"/>
      <c r="T77" s="230"/>
      <c r="U77" s="230"/>
      <c r="V77" s="230"/>
      <c r="W77" s="230"/>
      <c r="X77" s="230"/>
      <c r="Y77" s="230"/>
      <c r="Z77" s="230"/>
    </row>
    <row r="78">
      <c r="A78" s="337" t="str">
        <f>IFERROR(__xludf.DUMMYFUNCTION("VLOOKUP($B78,IMPORTRANGE(""https://docs.google.com/spreadsheets/d/1VNXDITjs75AcgdBSW27oL1VZH31udDprJSsBcE5xlp4/edit?gid=1551188038#gid=1551188038"", ""Sheet9!$B:$E""),2,false)"),"Gujrawala")</f>
        <v>Gujrawala</v>
      </c>
      <c r="B78" s="338" t="s">
        <v>2084</v>
      </c>
      <c r="C78" s="284">
        <f>IFERROR(__xludf.DUMMYFUNCTION("IFERROR(
  INDEX(
    FILTER(
      IMPORTRANGE(""1Cxrhp3-_-HS7v9uuqQliiIfrmMP4VaFoDNDWyUFy2J8/edit?gid=0#gid=0"",""Sheet1!AE:AE""),
      IMPORTRANGE(""1Cxrhp3-_-HS7v9uuqQliiIfrmMP4VaFoDNDWyUFy2J8/edit?gid=0#gid=0"",""Sheet1!K:K"")=$B78
    ),
    1
  ),"&amp;"
  ""Not Found""
)"),1950.0)</f>
        <v>1950</v>
      </c>
      <c r="D78" s="284" t="str">
        <f>IFERROR(__xludf.DUMMYFUNCTION("IFERROR(
  INDEX(
    FILTER(
      IMPORTRANGE(""1Cxrhp3-_-HS7v9uuqQliiIfrmMP4VaFoDNDWyUFy2J8/edit?gid=0#gid=0"",""Sheet1!AG:AG""),
      IMPORTRANGE(""1Cxrhp3-_-HS7v9uuqQliiIfrmMP4VaFoDNDWyUFy2J8/edit?gid=0#gid=0"",""Sheet1!K:K"")=$B78
    ),
    1
  ),"&amp;"
  ""Not Found""
)"),"")</f>
        <v/>
      </c>
      <c r="E78" s="284" t="str">
        <f>IFERROR(__xludf.DUMMYFUNCTION("IFERROR(
  INDEX(
    FILTER(
      IMPORTRANGE(""1kOrIKZmJfNUkgOVP3sI9BPjaaPA0_a4636oymQxTXg8/edit?gid=609491371#gid=609491371"",""Form responses 1!J:J""),
      IMPORTRANGE(""1kOrIKZmJfNUkgOVP3sI9BPjaaPA0_a4636oymQxTXg8/edit?gid=609491371#gid=609491371"&amp;""",""Form responses 1!F:F"")=$B78
    ),
    1
  ),
  ""Not Found""
)"),"Not Found")</f>
        <v>Not Found</v>
      </c>
      <c r="F78" s="284" t="str">
        <f>IFERROR(__xludf.DUMMYFUNCTION("IFERROR(
  INDEX(
    FILTER(
      IMPORTRANGE(""1kOrIKZmJfNUkgOVP3sI9BPjaaPA0_a4636oymQxTXg8/edit?gid=609491371#gid=609491371"",""Form responses 1!L:L""),
      IMPORTRANGE(""1kOrIKZmJfNUkgOVP3sI9BPjaaPA0_a4636oymQxTXg8/edit?gid=609491371#gid=609491371"&amp;""",""Form responses 1!F:F"")=$B78
    ),
    1
  ),
  ""Not Found""
)"),"Not Found")</f>
        <v>Not Found</v>
      </c>
      <c r="G78" s="284"/>
      <c r="H78" s="230"/>
      <c r="I78" s="230">
        <v>1950.0</v>
      </c>
      <c r="J78" s="339">
        <f>IFERROR(__xludf.DUMMYFUNCTION("IFERROR(
  INDEX(
    FILTER(
      IMPORTRANGE(""1Cxrhp3-_-HS7v9uuqQliiIfrmMP4VaFoDNDWyUFy2J8/edit?gid=0#gid=0"",""Sheet1!AE:AE""),
      IMPORTRANGE(""1Cxrhp3-_-HS7v9uuqQliiIfrmMP4VaFoDNDWyUFy2J8/edit?gid=0#gid=0"",""Sheet1!K:K"")=$B78
    ),
    1
  ),"&amp;"
  ""Not Found""
)"),1950.0)</f>
        <v>1950</v>
      </c>
      <c r="K78" s="340"/>
      <c r="L78" s="340"/>
      <c r="M78" s="230"/>
      <c r="N78" s="230"/>
      <c r="O78" s="230"/>
      <c r="P78" s="230"/>
      <c r="Q78" s="230"/>
      <c r="R78" s="230"/>
      <c r="S78" s="230"/>
      <c r="T78" s="230"/>
      <c r="U78" s="230"/>
      <c r="V78" s="230"/>
      <c r="W78" s="230"/>
      <c r="X78" s="230"/>
      <c r="Y78" s="230"/>
      <c r="Z78" s="230"/>
    </row>
    <row r="79">
      <c r="A79" s="337" t="str">
        <f>IFERROR(__xludf.DUMMYFUNCTION("VLOOKUP($B79,IMPORTRANGE(""https://docs.google.com/spreadsheets/d/1VNXDITjs75AcgdBSW27oL1VZH31udDprJSsBcE5xlp4/edit?gid=1551188038#gid=1551188038"", ""Sheet9!$B:$E""),2,false)"),"Gujrawala")</f>
        <v>Gujrawala</v>
      </c>
      <c r="B79" s="338" t="s">
        <v>2463</v>
      </c>
      <c r="C79" s="284">
        <f>IFERROR(__xludf.DUMMYFUNCTION("IFERROR(
  INDEX(
    FILTER(
      IMPORTRANGE(""1Cxrhp3-_-HS7v9uuqQliiIfrmMP4VaFoDNDWyUFy2J8/edit?gid=0#gid=0"",""Sheet1!AE:AE""),
      IMPORTRANGE(""1Cxrhp3-_-HS7v9uuqQliiIfrmMP4VaFoDNDWyUFy2J8/edit?gid=0#gid=0"",""Sheet1!K:K"")=$B79
    ),
    1
  ),"&amp;"
  ""Not Found""
)"),1995.0)</f>
        <v>1995</v>
      </c>
      <c r="D79" s="284" t="str">
        <f>IFERROR(__xludf.DUMMYFUNCTION("IFERROR(
  INDEX(
    FILTER(
      IMPORTRANGE(""1Cxrhp3-_-HS7v9uuqQliiIfrmMP4VaFoDNDWyUFy2J8/edit?gid=0#gid=0"",""Sheet1!AG:AG""),
      IMPORTRANGE(""1Cxrhp3-_-HS7v9uuqQliiIfrmMP4VaFoDNDWyUFy2J8/edit?gid=0#gid=0"",""Sheet1!K:K"")=$B79
    ),
    1
  ),"&amp;"
  ""Not Found""
)"),"BABA BOTY SHAH")</f>
        <v>BABA BOTY SHAH</v>
      </c>
      <c r="E79" s="284" t="str">
        <f>IFERROR(__xludf.DUMMYFUNCTION("IFERROR(
  INDEX(
    FILTER(
      IMPORTRANGE(""1kOrIKZmJfNUkgOVP3sI9BPjaaPA0_a4636oymQxTXg8/edit?gid=609491371#gid=609491371"",""Form responses 1!J:J""),
      IMPORTRANGE(""1kOrIKZmJfNUkgOVP3sI9BPjaaPA0_a4636oymQxTXg8/edit?gid=609491371#gid=609491371"&amp;""",""Form responses 1!F:F"")=$B79
    ),
    1
  ),
  ""Not Found""
)"),"Not Found")</f>
        <v>Not Found</v>
      </c>
      <c r="F79" s="284" t="str">
        <f>IFERROR(__xludf.DUMMYFUNCTION("IFERROR(
  INDEX(
    FILTER(
      IMPORTRANGE(""1kOrIKZmJfNUkgOVP3sI9BPjaaPA0_a4636oymQxTXg8/edit?gid=609491371#gid=609491371"",""Form responses 1!L:L""),
      IMPORTRANGE(""1kOrIKZmJfNUkgOVP3sI9BPjaaPA0_a4636oymQxTXg8/edit?gid=609491371#gid=609491371"&amp;""",""Form responses 1!F:F"")=$B79
    ),
    1
  ),
  ""Not Found""
)"),"Not Found")</f>
        <v>Not Found</v>
      </c>
      <c r="G79" s="284"/>
      <c r="H79" s="230"/>
      <c r="I79" s="230">
        <v>1995.0</v>
      </c>
      <c r="J79" s="339">
        <f>IFERROR(__xludf.DUMMYFUNCTION("IFERROR(
  INDEX(
    FILTER(
      IMPORTRANGE(""1Cxrhp3-_-HS7v9uuqQliiIfrmMP4VaFoDNDWyUFy2J8/edit?gid=0#gid=0"",""Sheet1!AE:AE""),
      IMPORTRANGE(""1Cxrhp3-_-HS7v9uuqQliiIfrmMP4VaFoDNDWyUFy2J8/edit?gid=0#gid=0"",""Sheet1!K:K"")=$B79
    ),
    1
  ),"&amp;"
  ""Not Found""
)"),1995.0)</f>
        <v>1995</v>
      </c>
      <c r="K79" s="340"/>
      <c r="L79" s="340"/>
      <c r="M79" s="230"/>
      <c r="N79" s="230"/>
      <c r="O79" s="230"/>
      <c r="P79" s="230"/>
      <c r="Q79" s="230"/>
      <c r="R79" s="230"/>
      <c r="S79" s="230"/>
      <c r="T79" s="230"/>
      <c r="U79" s="230"/>
      <c r="V79" s="230"/>
      <c r="W79" s="230"/>
      <c r="X79" s="230"/>
      <c r="Y79" s="230"/>
      <c r="Z79" s="230"/>
    </row>
    <row r="80">
      <c r="A80" s="337" t="str">
        <f>IFERROR(__xludf.DUMMYFUNCTION("VLOOKUP($B80,IMPORTRANGE(""https://docs.google.com/spreadsheets/d/1VNXDITjs75AcgdBSW27oL1VZH31udDprJSsBcE5xlp4/edit?gid=1551188038#gid=1551188038"", ""Sheet9!$B:$E""),2,false)"),"Gujrawala")</f>
        <v>Gujrawala</v>
      </c>
      <c r="B80" s="338" t="s">
        <v>2765</v>
      </c>
      <c r="C80" s="284">
        <f>IFERROR(__xludf.DUMMYFUNCTION("IFERROR(
  INDEX(
    FILTER(
      IMPORTRANGE(""1Cxrhp3-_-HS7v9uuqQliiIfrmMP4VaFoDNDWyUFy2J8/edit?gid=0#gid=0"",""Sheet1!AE:AE""),
      IMPORTRANGE(""1Cxrhp3-_-HS7v9uuqQliiIfrmMP4VaFoDNDWyUFy2J8/edit?gid=0#gid=0"",""Sheet1!K:K"")=$B80
    ),
    1
  ),"&amp;"
  ""Not Found""
)"),1930.0)</f>
        <v>1930</v>
      </c>
      <c r="D80" s="284" t="str">
        <f>IFERROR(__xludf.DUMMYFUNCTION("IFERROR(
  INDEX(
    FILTER(
      IMPORTRANGE(""1Cxrhp3-_-HS7v9uuqQliiIfrmMP4VaFoDNDWyUFy2J8/edit?gid=0#gid=0"",""Sheet1!AG:AG""),
      IMPORTRANGE(""1Cxrhp3-_-HS7v9uuqQliiIfrmMP4VaFoDNDWyUFy2J8/edit?gid=0#gid=0"",""Sheet1!K:K"")=$B80
    ),
    1
  ),"&amp;"
  ""Not Found""
)"),"SAYYED SAJJAD ALI AL MAROOF BABA GHULAAB SHAH")</f>
        <v>SAYYED SAJJAD ALI AL MAROOF BABA GHULAAB SHAH</v>
      </c>
      <c r="E80" s="284" t="str">
        <f>IFERROR(__xludf.DUMMYFUNCTION("IFERROR(
  INDEX(
    FILTER(
      IMPORTRANGE(""1kOrIKZmJfNUkgOVP3sI9BPjaaPA0_a4636oymQxTXg8/edit?gid=609491371#gid=609491371"",""Form responses 1!J:J""),
      IMPORTRANGE(""1kOrIKZmJfNUkgOVP3sI9BPjaaPA0_a4636oymQxTXg8/edit?gid=609491371#gid=609491371"&amp;""",""Form responses 1!F:F"")=$B80
    ),
    1
  ),
  ""Not Found""
)"),"Not Found")</f>
        <v>Not Found</v>
      </c>
      <c r="F80" s="284" t="str">
        <f>IFERROR(__xludf.DUMMYFUNCTION("IFERROR(
  INDEX(
    FILTER(
      IMPORTRANGE(""1kOrIKZmJfNUkgOVP3sI9BPjaaPA0_a4636oymQxTXg8/edit?gid=609491371#gid=609491371"",""Form responses 1!L:L""),
      IMPORTRANGE(""1kOrIKZmJfNUkgOVP3sI9BPjaaPA0_a4636oymQxTXg8/edit?gid=609491371#gid=609491371"&amp;""",""Form responses 1!F:F"")=$B80
    ),
    1
  ),
  ""Not Found""
)"),"Not Found")</f>
        <v>Not Found</v>
      </c>
      <c r="G80" s="284"/>
      <c r="H80" s="230"/>
      <c r="I80" s="230">
        <v>1930.0</v>
      </c>
      <c r="J80" s="339">
        <f>IFERROR(__xludf.DUMMYFUNCTION("IFERROR(
  INDEX(
    FILTER(
      IMPORTRANGE(""1Cxrhp3-_-HS7v9uuqQliiIfrmMP4VaFoDNDWyUFy2J8/edit?gid=0#gid=0"",""Sheet1!AE:AE""),
      IMPORTRANGE(""1Cxrhp3-_-HS7v9uuqQliiIfrmMP4VaFoDNDWyUFy2J8/edit?gid=0#gid=0"",""Sheet1!K:K"")=$B80
    ),
    1
  ),"&amp;"
  ""Not Found""
)"),1930.0)</f>
        <v>1930</v>
      </c>
      <c r="K80" s="340"/>
      <c r="L80" s="340"/>
      <c r="M80" s="230"/>
      <c r="N80" s="230"/>
      <c r="O80" s="230"/>
      <c r="P80" s="230"/>
      <c r="Q80" s="230"/>
      <c r="R80" s="230"/>
      <c r="S80" s="230"/>
      <c r="T80" s="230"/>
      <c r="U80" s="230"/>
      <c r="V80" s="230"/>
      <c r="W80" s="230"/>
      <c r="X80" s="230"/>
      <c r="Y80" s="230"/>
      <c r="Z80" s="230"/>
    </row>
    <row r="81">
      <c r="A81" s="337" t="str">
        <f>IFERROR(__xludf.DUMMYFUNCTION("VLOOKUP($B81,IMPORTRANGE(""https://docs.google.com/spreadsheets/d/1VNXDITjs75AcgdBSW27oL1VZH31udDprJSsBcE5xlp4/edit?gid=1551188038#gid=1551188038"", ""Sheet9!$B:$E""),2,false)"),"Gujrawala")</f>
        <v>Gujrawala</v>
      </c>
      <c r="B81" s="338" t="s">
        <v>2119</v>
      </c>
      <c r="C81" s="284">
        <f>IFERROR(__xludf.DUMMYFUNCTION("IFERROR(
  INDEX(
    FILTER(
      IMPORTRANGE(""1Cxrhp3-_-HS7v9uuqQliiIfrmMP4VaFoDNDWyUFy2J8/edit?gid=0#gid=0"",""Sheet1!AE:AE""),
      IMPORTRANGE(""1Cxrhp3-_-HS7v9uuqQliiIfrmMP4VaFoDNDWyUFy2J8/edit?gid=0#gid=0"",""Sheet1!K:K"")=$B81
    ),
    1
  ),"&amp;"
  ""Not Found""
)"),1945.0)</f>
        <v>1945</v>
      </c>
      <c r="D81" s="284" t="str">
        <f>IFERROR(__xludf.DUMMYFUNCTION("IFERROR(
  INDEX(
    FILTER(
      IMPORTRANGE(""1Cxrhp3-_-HS7v9uuqQliiIfrmMP4VaFoDNDWyUFy2J8/edit?gid=0#gid=0"",""Sheet1!AG:AG""),
      IMPORTRANGE(""1Cxrhp3-_-HS7v9uuqQliiIfrmMP4VaFoDNDWyUFy2J8/edit?gid=0#gid=0"",""Sheet1!K:K"")=$B81
    ),
    1
  ),"&amp;"
  ""Not Found""
)"),"SHAH ABDUL REHMAN AL MAROOF BHIRI SHAH REHMAN ")</f>
        <v>SHAH ABDUL REHMAN AL MAROOF BHIRI SHAH REHMAN </v>
      </c>
      <c r="E81" s="284" t="str">
        <f>IFERROR(__xludf.DUMMYFUNCTION("IFERROR(
  INDEX(
    FILTER(
      IMPORTRANGE(""1kOrIKZmJfNUkgOVP3sI9BPjaaPA0_a4636oymQxTXg8/edit?gid=609491371#gid=609491371"",""Form responses 1!J:J""),
      IMPORTRANGE(""1kOrIKZmJfNUkgOVP3sI9BPjaaPA0_a4636oymQxTXg8/edit?gid=609491371#gid=609491371"&amp;""",""Form responses 1!F:F"")=$B81
    ),
    1
  ),
  ""Not Found""
)"),"Not Found")</f>
        <v>Not Found</v>
      </c>
      <c r="F81" s="284" t="str">
        <f>IFERROR(__xludf.DUMMYFUNCTION("IFERROR(
  INDEX(
    FILTER(
      IMPORTRANGE(""1kOrIKZmJfNUkgOVP3sI9BPjaaPA0_a4636oymQxTXg8/edit?gid=609491371#gid=609491371"",""Form responses 1!L:L""),
      IMPORTRANGE(""1kOrIKZmJfNUkgOVP3sI9BPjaaPA0_a4636oymQxTXg8/edit?gid=609491371#gid=609491371"&amp;""",""Form responses 1!F:F"")=$B81
    ),
    1
  ),
  ""Not Found""
)"),"Not Found")</f>
        <v>Not Found</v>
      </c>
      <c r="G81" s="284"/>
      <c r="H81" s="230"/>
      <c r="I81" s="230">
        <v>1945.0</v>
      </c>
      <c r="J81" s="339">
        <f>IFERROR(__xludf.DUMMYFUNCTION("IFERROR(
  INDEX(
    FILTER(
      IMPORTRANGE(""1Cxrhp3-_-HS7v9uuqQliiIfrmMP4VaFoDNDWyUFy2J8/edit?gid=0#gid=0"",""Sheet1!AE:AE""),
      IMPORTRANGE(""1Cxrhp3-_-HS7v9uuqQliiIfrmMP4VaFoDNDWyUFy2J8/edit?gid=0#gid=0"",""Sheet1!K:K"")=$B81
    ),
    1
  ),"&amp;"
  ""Not Found""
)"),1945.0)</f>
        <v>1945</v>
      </c>
      <c r="K81" s="340"/>
      <c r="L81" s="340"/>
      <c r="M81" s="230"/>
      <c r="N81" s="230"/>
      <c r="O81" s="230"/>
      <c r="P81" s="230"/>
      <c r="Q81" s="230"/>
      <c r="R81" s="230"/>
      <c r="S81" s="230"/>
      <c r="T81" s="230"/>
      <c r="U81" s="230"/>
      <c r="V81" s="230"/>
      <c r="W81" s="230"/>
      <c r="X81" s="230"/>
      <c r="Y81" s="230"/>
      <c r="Z81" s="230"/>
    </row>
    <row r="82">
      <c r="A82" s="337" t="str">
        <f>IFERROR(__xludf.DUMMYFUNCTION("VLOOKUP($B82,IMPORTRANGE(""https://docs.google.com/spreadsheets/d/1VNXDITjs75AcgdBSW27oL1VZH31udDprJSsBcE5xlp4/edit?gid=1551188038#gid=1551188038"", ""Sheet9!$B:$E""),2,false)"),"Jhelum")</f>
        <v>Jhelum</v>
      </c>
      <c r="B82" s="338" t="s">
        <v>1885</v>
      </c>
      <c r="C82" s="284">
        <f>IFERROR(__xludf.DUMMYFUNCTION("IFERROR(
  INDEX(
    FILTER(
      IMPORTRANGE(""1Cxrhp3-_-HS7v9uuqQliiIfrmMP4VaFoDNDWyUFy2J8/edit?gid=0#gid=0"",""Sheet1!AE:AE""),
      IMPORTRANGE(""1Cxrhp3-_-HS7v9uuqQliiIfrmMP4VaFoDNDWyUFy2J8/edit?gid=0#gid=0"",""Sheet1!K:K"")=$B82
    ),
    1
  ),"&amp;"
  ""Not Found""
)"),1970.0)</f>
        <v>1970</v>
      </c>
      <c r="D82" s="284" t="str">
        <f>IFERROR(__xludf.DUMMYFUNCTION("IFERROR(
  INDEX(
    FILTER(
      IMPORTRANGE(""1Cxrhp3-_-HS7v9uuqQliiIfrmMP4VaFoDNDWyUFy2J8/edit?gid=0#gid=0"",""Sheet1!AG:AG""),
      IMPORTRANGE(""1Cxrhp3-_-HS7v9uuqQliiIfrmMP4VaFoDNDWyUFy2J8/edit?gid=0#gid=0"",""Sheet1!K:K"")=$B82
    ),
    1
  ),"&amp;"
  ""Not Found""
)"),"")</f>
        <v/>
      </c>
      <c r="E82" s="284" t="str">
        <f>IFERROR(__xludf.DUMMYFUNCTION("IFERROR(
  INDEX(
    FILTER(
      IMPORTRANGE(""1kOrIKZmJfNUkgOVP3sI9BPjaaPA0_a4636oymQxTXg8/edit?gid=609491371#gid=609491371"",""Form responses 1!J:J""),
      IMPORTRANGE(""1kOrIKZmJfNUkgOVP3sI9BPjaaPA0_a4636oymQxTXg8/edit?gid=609491371#gid=609491371"&amp;""",""Form responses 1!F:F"")=$B82
    ),
    1
  ),
  ""Not Found""
)"),"Not Found")</f>
        <v>Not Found</v>
      </c>
      <c r="F82" s="284" t="str">
        <f>IFERROR(__xludf.DUMMYFUNCTION("IFERROR(
  INDEX(
    FILTER(
      IMPORTRANGE(""1kOrIKZmJfNUkgOVP3sI9BPjaaPA0_a4636oymQxTXg8/edit?gid=609491371#gid=609491371"",""Form responses 1!L:L""),
      IMPORTRANGE(""1kOrIKZmJfNUkgOVP3sI9BPjaaPA0_a4636oymQxTXg8/edit?gid=609491371#gid=609491371"&amp;""",""Form responses 1!F:F"")=$B82
    ),
    1
  ),
  ""Not Found""
)"),"Not Found")</f>
        <v>Not Found</v>
      </c>
      <c r="G82" s="284"/>
      <c r="H82" s="230"/>
      <c r="I82" s="230">
        <v>1970.0</v>
      </c>
      <c r="J82" s="339">
        <f>IFERROR(__xludf.DUMMYFUNCTION("IFERROR(
  INDEX(
    FILTER(
      IMPORTRANGE(""1Cxrhp3-_-HS7v9uuqQliiIfrmMP4VaFoDNDWyUFy2J8/edit?gid=0#gid=0"",""Sheet1!AE:AE""),
      IMPORTRANGE(""1Cxrhp3-_-HS7v9uuqQliiIfrmMP4VaFoDNDWyUFy2J8/edit?gid=0#gid=0"",""Sheet1!K:K"")=$B82
    ),
    1
  ),"&amp;"
  ""Not Found""
)"),1970.0)</f>
        <v>1970</v>
      </c>
      <c r="K82" s="340"/>
      <c r="L82" s="340"/>
      <c r="M82" s="230"/>
      <c r="N82" s="230"/>
      <c r="O82" s="230"/>
      <c r="P82" s="230"/>
      <c r="Q82" s="230"/>
      <c r="R82" s="230"/>
      <c r="S82" s="230"/>
      <c r="T82" s="230"/>
      <c r="U82" s="230"/>
      <c r="V82" s="230"/>
      <c r="W82" s="230"/>
      <c r="X82" s="230"/>
      <c r="Y82" s="230"/>
      <c r="Z82" s="230"/>
    </row>
    <row r="83">
      <c r="A83" s="337" t="str">
        <f>IFERROR(__xludf.DUMMYFUNCTION("VLOOKUP($B83,IMPORTRANGE(""https://docs.google.com/spreadsheets/d/1VNXDITjs75AcgdBSW27oL1VZH31udDprJSsBcE5xlp4/edit?gid=1551188038#gid=1551188038"", ""Sheet9!$B:$E""),2,false)"),"Jhelum")</f>
        <v>Jhelum</v>
      </c>
      <c r="B83" s="338" t="s">
        <v>2273</v>
      </c>
      <c r="C83" s="284">
        <f>IFERROR(__xludf.DUMMYFUNCTION("IFERROR(
  INDEX(
    FILTER(
      IMPORTRANGE(""1Cxrhp3-_-HS7v9uuqQliiIfrmMP4VaFoDNDWyUFy2J8/edit?gid=0#gid=0"",""Sheet1!AE:AE""),
      IMPORTRANGE(""1Cxrhp3-_-HS7v9uuqQliiIfrmMP4VaFoDNDWyUFy2J8/edit?gid=0#gid=0"",""Sheet1!K:K"")=$B83
    ),
    1
  ),"&amp;"
  ""Not Found""
)"),1892.0)</f>
        <v>1892</v>
      </c>
      <c r="D83" s="284" t="str">
        <f>IFERROR(__xludf.DUMMYFUNCTION("IFERROR(
  INDEX(
    FILTER(
      IMPORTRANGE(""1Cxrhp3-_-HS7v9uuqQliiIfrmMP4VaFoDNDWyUFy2J8/edit?gid=0#gid=0"",""Sheet1!AG:AG""),
      IMPORTRANGE(""1Cxrhp3-_-HS7v9uuqQliiIfrmMP4VaFoDNDWyUFy2J8/edit?gid=0#gid=0"",""Sheet1!K:K"")=$B83
    ),
    1
  ),"&amp;"
  ""Not Found""
)"),"Hazrat Baba Din Muhammad Afghani")</f>
        <v>Hazrat Baba Din Muhammad Afghani</v>
      </c>
      <c r="E83" s="284" t="str">
        <f>IFERROR(__xludf.DUMMYFUNCTION("IFERROR(
  INDEX(
    FILTER(
      IMPORTRANGE(""1kOrIKZmJfNUkgOVP3sI9BPjaaPA0_a4636oymQxTXg8/edit?gid=609491371#gid=609491371"",""Form responses 1!J:J""),
      IMPORTRANGE(""1kOrIKZmJfNUkgOVP3sI9BPjaaPA0_a4636oymQxTXg8/edit?gid=609491371#gid=609491371"&amp;""",""Form responses 1!F:F"")=$B83
    ),
    1
  ),
  ""Not Found""
)"),"Not Found")</f>
        <v>Not Found</v>
      </c>
      <c r="F83" s="284" t="str">
        <f>IFERROR(__xludf.DUMMYFUNCTION("IFERROR(
  INDEX(
    FILTER(
      IMPORTRANGE(""1kOrIKZmJfNUkgOVP3sI9BPjaaPA0_a4636oymQxTXg8/edit?gid=609491371#gid=609491371"",""Form responses 1!L:L""),
      IMPORTRANGE(""1kOrIKZmJfNUkgOVP3sI9BPjaaPA0_a4636oymQxTXg8/edit?gid=609491371#gid=609491371"&amp;""",""Form responses 1!F:F"")=$B83
    ),
    1
  ),
  ""Not Found""
)"),"Not Found")</f>
        <v>Not Found</v>
      </c>
      <c r="G83" s="284"/>
      <c r="H83" s="230"/>
      <c r="I83" s="230">
        <v>1892.0</v>
      </c>
      <c r="J83" s="339">
        <f>IFERROR(__xludf.DUMMYFUNCTION("IFERROR(
  INDEX(
    FILTER(
      IMPORTRANGE(""1Cxrhp3-_-HS7v9uuqQliiIfrmMP4VaFoDNDWyUFy2J8/edit?gid=0#gid=0"",""Sheet1!AE:AE""),
      IMPORTRANGE(""1Cxrhp3-_-HS7v9uuqQliiIfrmMP4VaFoDNDWyUFy2J8/edit?gid=0#gid=0"",""Sheet1!K:K"")=$B83
    ),
    1
  ),"&amp;"
  ""Not Found""
)"),1892.0)</f>
        <v>1892</v>
      </c>
      <c r="K83" s="340"/>
      <c r="L83" s="340"/>
      <c r="M83" s="230"/>
      <c r="N83" s="230"/>
      <c r="O83" s="230"/>
      <c r="P83" s="230"/>
      <c r="Q83" s="230"/>
      <c r="R83" s="230"/>
      <c r="S83" s="230"/>
      <c r="T83" s="230"/>
      <c r="U83" s="230"/>
      <c r="V83" s="230"/>
      <c r="W83" s="230"/>
      <c r="X83" s="230"/>
      <c r="Y83" s="230"/>
      <c r="Z83" s="230"/>
    </row>
    <row r="84">
      <c r="A84" s="337" t="str">
        <f>IFERROR(__xludf.DUMMYFUNCTION("VLOOKUP($B84,IMPORTRANGE(""https://docs.google.com/spreadsheets/d/1VNXDITjs75AcgdBSW27oL1VZH31udDprJSsBcE5xlp4/edit?gid=1551188038#gid=1551188038"", ""Sheet9!$B:$E""),2,false)"),"Jhelum")</f>
        <v>Jhelum</v>
      </c>
      <c r="B84" s="338" t="s">
        <v>2544</v>
      </c>
      <c r="C84" s="284">
        <f>IFERROR(__xludf.DUMMYFUNCTION("IFERROR(
  INDEX(
    FILTER(
      IMPORTRANGE(""1Cxrhp3-_-HS7v9uuqQliiIfrmMP4VaFoDNDWyUFy2J8/edit?gid=0#gid=0"",""Sheet1!AE:AE""),
      IMPORTRANGE(""1Cxrhp3-_-HS7v9uuqQliiIfrmMP4VaFoDNDWyUFy2J8/edit?gid=0#gid=0"",""Sheet1!K:K"")=$B84
    ),
    1
  ),"&amp;"
  ""Not Found""
)"),2007.0)</f>
        <v>2007</v>
      </c>
      <c r="D84" s="284" t="str">
        <f>IFERROR(__xludf.DUMMYFUNCTION("IFERROR(
  INDEX(
    FILTER(
      IMPORTRANGE(""1Cxrhp3-_-HS7v9uuqQliiIfrmMP4VaFoDNDWyUFy2J8/edit?gid=0#gid=0"",""Sheet1!AG:AG""),
      IMPORTRANGE(""1Cxrhp3-_-HS7v9uuqQliiIfrmMP4VaFoDNDWyUFy2J8/edit?gid=0#gid=0"",""Sheet1!K:K"")=$B84
    ),
    1
  ),"&amp;"
  ""Not Found""
)"),"")</f>
        <v/>
      </c>
      <c r="E84" s="284" t="str">
        <f>IFERROR(__xludf.DUMMYFUNCTION("IFERROR(
  INDEX(
    FILTER(
      IMPORTRANGE(""1kOrIKZmJfNUkgOVP3sI9BPjaaPA0_a4636oymQxTXg8/edit?gid=609491371#gid=609491371"",""Form responses 1!J:J""),
      IMPORTRANGE(""1kOrIKZmJfNUkgOVP3sI9BPjaaPA0_a4636oymQxTXg8/edit?gid=609491371#gid=609491371"&amp;""",""Form responses 1!F:F"")=$B84
    ),
    1
  ),
  ""Not Found""
)"),"Not Found")</f>
        <v>Not Found</v>
      </c>
      <c r="F84" s="284" t="str">
        <f>IFERROR(__xludf.DUMMYFUNCTION("IFERROR(
  INDEX(
    FILTER(
      IMPORTRANGE(""1kOrIKZmJfNUkgOVP3sI9BPjaaPA0_a4636oymQxTXg8/edit?gid=609491371#gid=609491371"",""Form responses 1!L:L""),
      IMPORTRANGE(""1kOrIKZmJfNUkgOVP3sI9BPjaaPA0_a4636oymQxTXg8/edit?gid=609491371#gid=609491371"&amp;""",""Form responses 1!F:F"")=$B84
    ),
    1
  ),
  ""Not Found""
)"),"Not Found")</f>
        <v>Not Found</v>
      </c>
      <c r="G84" s="284"/>
      <c r="H84" s="230"/>
      <c r="I84" s="230">
        <v>2007.0</v>
      </c>
      <c r="J84" s="339">
        <f>IFERROR(__xludf.DUMMYFUNCTION("IFERROR(
  INDEX(
    FILTER(
      IMPORTRANGE(""1Cxrhp3-_-HS7v9uuqQliiIfrmMP4VaFoDNDWyUFy2J8/edit?gid=0#gid=0"",""Sheet1!AE:AE""),
      IMPORTRANGE(""1Cxrhp3-_-HS7v9uuqQliiIfrmMP4VaFoDNDWyUFy2J8/edit?gid=0#gid=0"",""Sheet1!K:K"")=$B84
    ),
    1
  ),"&amp;"
  ""Not Found""
)"),2007.0)</f>
        <v>2007</v>
      </c>
      <c r="K84" s="340"/>
      <c r="L84" s="340"/>
      <c r="M84" s="230"/>
      <c r="N84" s="230"/>
      <c r="O84" s="230"/>
      <c r="P84" s="230"/>
      <c r="Q84" s="230"/>
      <c r="R84" s="230"/>
      <c r="S84" s="230"/>
      <c r="T84" s="230"/>
      <c r="U84" s="230"/>
      <c r="V84" s="230"/>
      <c r="W84" s="230"/>
      <c r="X84" s="230"/>
      <c r="Y84" s="230"/>
      <c r="Z84" s="230"/>
    </row>
    <row r="85">
      <c r="A85" s="337" t="str">
        <f>IFERROR(__xludf.DUMMYFUNCTION("VLOOKUP($B85,IMPORTRANGE(""https://docs.google.com/spreadsheets/d/1VNXDITjs75AcgdBSW27oL1VZH31udDprJSsBcE5xlp4/edit?gid=1551188038#gid=1551188038"", ""Sheet9!$B:$E""),2,false)"),"Jhelum")</f>
        <v>Jhelum</v>
      </c>
      <c r="B85" s="338" t="s">
        <v>2551</v>
      </c>
      <c r="C85" s="284">
        <f>IFERROR(__xludf.DUMMYFUNCTION("IFERROR(
  INDEX(
    FILTER(
      IMPORTRANGE(""1Cxrhp3-_-HS7v9uuqQliiIfrmMP4VaFoDNDWyUFy2J8/edit?gid=0#gid=0"",""Sheet1!AE:AE""),
      IMPORTRANGE(""1Cxrhp3-_-HS7v9uuqQliiIfrmMP4VaFoDNDWyUFy2J8/edit?gid=0#gid=0"",""Sheet1!K:K"")=$B85
    ),
    1
  ),"&amp;"
  ""Not Found""
)"),1950.0)</f>
        <v>1950</v>
      </c>
      <c r="D85" s="284" t="str">
        <f>IFERROR(__xludf.DUMMYFUNCTION("IFERROR(
  INDEX(
    FILTER(
      IMPORTRANGE(""1Cxrhp3-_-HS7v9uuqQliiIfrmMP4VaFoDNDWyUFy2J8/edit?gid=0#gid=0"",""Sheet1!AG:AG""),
      IMPORTRANGE(""1Cxrhp3-_-HS7v9uuqQliiIfrmMP4VaFoDNDWyUFy2J8/edit?gid=0#gid=0"",""Sheet1!K:K"")=$B85
    ),
    1
  ),"&amp;"
  ""Not Found""
)"),"")</f>
        <v/>
      </c>
      <c r="E85" s="284" t="str">
        <f>IFERROR(__xludf.DUMMYFUNCTION("IFERROR(
  INDEX(
    FILTER(
      IMPORTRANGE(""1kOrIKZmJfNUkgOVP3sI9BPjaaPA0_a4636oymQxTXg8/edit?gid=609491371#gid=609491371"",""Form responses 1!J:J""),
      IMPORTRANGE(""1kOrIKZmJfNUkgOVP3sI9BPjaaPA0_a4636oymQxTXg8/edit?gid=609491371#gid=609491371"&amp;""",""Form responses 1!F:F"")=$B85
    ),
    1
  ),
  ""Not Found""
)"),"Not Found")</f>
        <v>Not Found</v>
      </c>
      <c r="F85" s="284" t="str">
        <f>IFERROR(__xludf.DUMMYFUNCTION("IFERROR(
  INDEX(
    FILTER(
      IMPORTRANGE(""1kOrIKZmJfNUkgOVP3sI9BPjaaPA0_a4636oymQxTXg8/edit?gid=609491371#gid=609491371"",""Form responses 1!L:L""),
      IMPORTRANGE(""1kOrIKZmJfNUkgOVP3sI9BPjaaPA0_a4636oymQxTXg8/edit?gid=609491371#gid=609491371"&amp;""",""Form responses 1!F:F"")=$B85
    ),
    1
  ),
  ""Not Found""
)"),"Not Found")</f>
        <v>Not Found</v>
      </c>
      <c r="G85" s="284"/>
      <c r="H85" s="230"/>
      <c r="I85" s="230">
        <v>1950.0</v>
      </c>
      <c r="J85" s="339">
        <f>IFERROR(__xludf.DUMMYFUNCTION("IFERROR(
  INDEX(
    FILTER(
      IMPORTRANGE(""1Cxrhp3-_-HS7v9uuqQliiIfrmMP4VaFoDNDWyUFy2J8/edit?gid=0#gid=0"",""Sheet1!AE:AE""),
      IMPORTRANGE(""1Cxrhp3-_-HS7v9uuqQliiIfrmMP4VaFoDNDWyUFy2J8/edit?gid=0#gid=0"",""Sheet1!K:K"")=$B85
    ),
    1
  ),"&amp;"
  ""Not Found""
)"),1950.0)</f>
        <v>1950</v>
      </c>
      <c r="K85" s="340"/>
      <c r="L85" s="340"/>
      <c r="M85" s="230"/>
      <c r="N85" s="230"/>
      <c r="O85" s="230"/>
      <c r="P85" s="230"/>
      <c r="Q85" s="230"/>
      <c r="R85" s="230"/>
      <c r="S85" s="230"/>
      <c r="T85" s="230"/>
      <c r="U85" s="230"/>
      <c r="V85" s="230"/>
      <c r="W85" s="230"/>
      <c r="X85" s="230"/>
      <c r="Y85" s="230"/>
      <c r="Z85" s="230"/>
    </row>
    <row r="86">
      <c r="A86" s="337" t="str">
        <f>IFERROR(__xludf.DUMMYFUNCTION("VLOOKUP($B86,IMPORTRANGE(""https://docs.google.com/spreadsheets/d/1VNXDITjs75AcgdBSW27oL1VZH31udDprJSsBcE5xlp4/edit?gid=1551188038#gid=1551188038"", ""Sheet9!$B:$E""),2,false)"),"Gujrat")</f>
        <v>Gujrat</v>
      </c>
      <c r="B86" s="338" t="s">
        <v>2203</v>
      </c>
      <c r="C86" s="284">
        <f>IFERROR(__xludf.DUMMYFUNCTION("IFERROR(
  INDEX(
    FILTER(
      IMPORTRANGE(""1Cxrhp3-_-HS7v9uuqQliiIfrmMP4VaFoDNDWyUFy2J8/edit?gid=0#gid=0"",""Sheet1!AE:AE""),
      IMPORTRANGE(""1Cxrhp3-_-HS7v9uuqQliiIfrmMP4VaFoDNDWyUFy2J8/edit?gid=0#gid=0"",""Sheet1!K:K"")=$B86
    ),
    1
  ),"&amp;"
  ""Not Found""
)"),0.0)</f>
        <v>0</v>
      </c>
      <c r="D86" s="284" t="str">
        <f>IFERROR(__xludf.DUMMYFUNCTION("IFERROR(
  INDEX(
    FILTER(
      IMPORTRANGE(""1Cxrhp3-_-HS7v9uuqQliiIfrmMP4VaFoDNDWyUFy2J8/edit?gid=0#gid=0"",""Sheet1!AG:AG""),
      IMPORTRANGE(""1Cxrhp3-_-HS7v9uuqQliiIfrmMP4VaFoDNDWyUFy2J8/edit?gid=0#gid=0"",""Sheet1!K:K"")=$B86
    ),
    1
  ),"&amp;"
  ""Not Found""
)"),"")</f>
        <v/>
      </c>
      <c r="E86" s="284" t="str">
        <f>IFERROR(__xludf.DUMMYFUNCTION("IFERROR(
  INDEX(
    FILTER(
      IMPORTRANGE(""1kOrIKZmJfNUkgOVP3sI9BPjaaPA0_a4636oymQxTXg8/edit?gid=609491371#gid=609491371"",""Form responses 1!J:J""),
      IMPORTRANGE(""1kOrIKZmJfNUkgOVP3sI9BPjaaPA0_a4636oymQxTXg8/edit?gid=609491371#gid=609491371"&amp;""",""Form responses 1!F:F"")=$B86
    ),
    1
  ),
  ""Not Found""
)"),"Not Found")</f>
        <v>Not Found</v>
      </c>
      <c r="F86" s="284" t="str">
        <f>IFERROR(__xludf.DUMMYFUNCTION("IFERROR(
  INDEX(
    FILTER(
      IMPORTRANGE(""1kOrIKZmJfNUkgOVP3sI9BPjaaPA0_a4636oymQxTXg8/edit?gid=609491371#gid=609491371"",""Form responses 1!L:L""),
      IMPORTRANGE(""1kOrIKZmJfNUkgOVP3sI9BPjaaPA0_a4636oymQxTXg8/edit?gid=609491371#gid=609491371"&amp;""",""Form responses 1!F:F"")=$B86
    ),
    1
  ),
  ""Not Found""
)"),"Not Found")</f>
        <v>Not Found</v>
      </c>
      <c r="G86" s="284"/>
      <c r="H86" s="230"/>
      <c r="I86" s="230"/>
      <c r="J86" s="339">
        <f>IFERROR(__xludf.DUMMYFUNCTION("IFERROR(
  INDEX(
    FILTER(
      IMPORTRANGE(""1Cxrhp3-_-HS7v9uuqQliiIfrmMP4VaFoDNDWyUFy2J8/edit?gid=0#gid=0"",""Sheet1!AE:AE""),
      IMPORTRANGE(""1Cxrhp3-_-HS7v9uuqQliiIfrmMP4VaFoDNDWyUFy2J8/edit?gid=0#gid=0"",""Sheet1!K:K"")=$B86
    ),
    1
  ),"&amp;"
  ""Not Found""
)"),0.0)</f>
        <v>0</v>
      </c>
      <c r="K86" s="340"/>
      <c r="L86" s="340"/>
      <c r="M86" s="230"/>
      <c r="N86" s="230"/>
      <c r="O86" s="230"/>
      <c r="P86" s="230"/>
      <c r="Q86" s="230"/>
      <c r="R86" s="230"/>
      <c r="S86" s="230"/>
      <c r="T86" s="230"/>
      <c r="U86" s="230"/>
      <c r="V86" s="230"/>
      <c r="W86" s="230"/>
      <c r="X86" s="230"/>
      <c r="Y86" s="230"/>
      <c r="Z86" s="230"/>
    </row>
    <row r="87">
      <c r="A87" s="337" t="str">
        <f>IFERROR(__xludf.DUMMYFUNCTION("VLOOKUP($B87,IMPORTRANGE(""https://docs.google.com/spreadsheets/d/1VNXDITjs75AcgdBSW27oL1VZH31udDprJSsBcE5xlp4/edit?gid=1551188038#gid=1551188038"", ""Sheet9!$B:$E""),2,false)"),"Gujrat")</f>
        <v>Gujrat</v>
      </c>
      <c r="B87" s="338" t="s">
        <v>2167</v>
      </c>
      <c r="C87" s="284">
        <f>IFERROR(__xludf.DUMMYFUNCTION("IFERROR(
  INDEX(
    FILTER(
      IMPORTRANGE(""1Cxrhp3-_-HS7v9uuqQliiIfrmMP4VaFoDNDWyUFy2J8/edit?gid=0#gid=0"",""Sheet1!AE:AE""),
      IMPORTRANGE(""1Cxrhp3-_-HS7v9uuqQliiIfrmMP4VaFoDNDWyUFy2J8/edit?gid=0#gid=0"",""Sheet1!K:K"")=$B87
    ),
    1
  ),"&amp;"
  ""Not Found""
)"),1850.0)</f>
        <v>1850</v>
      </c>
      <c r="D87" s="284" t="str">
        <f>IFERROR(__xludf.DUMMYFUNCTION("IFERROR(
  INDEX(
    FILTER(
      IMPORTRANGE(""1Cxrhp3-_-HS7v9uuqQliiIfrmMP4VaFoDNDWyUFy2J8/edit?gid=0#gid=0"",""Sheet1!AG:AG""),
      IMPORTRANGE(""1Cxrhp3-_-HS7v9uuqQliiIfrmMP4VaFoDNDWyUFy2J8/edit?gid=0#gid=0"",""Sheet1!K:K"")=$B87
    ),
    1
  ),"&amp;"
  ""Not Found""
)"),"حضرت شاہ جہانگیر ")</f>
        <v>حضرت شاہ جہانگیر </v>
      </c>
      <c r="E87" s="284" t="str">
        <f>IFERROR(__xludf.DUMMYFUNCTION("IFERROR(
  INDEX(
    FILTER(
      IMPORTRANGE(""1kOrIKZmJfNUkgOVP3sI9BPjaaPA0_a4636oymQxTXg8/edit?gid=609491371#gid=609491371"",""Form responses 1!J:J""),
      IMPORTRANGE(""1kOrIKZmJfNUkgOVP3sI9BPjaaPA0_a4636oymQxTXg8/edit?gid=609491371#gid=609491371"&amp;""",""Form responses 1!F:F"")=$B87
    ),
    1
  ),
  ""Not Found""
)"),"Not Found")</f>
        <v>Not Found</v>
      </c>
      <c r="F87" s="284" t="str">
        <f>IFERROR(__xludf.DUMMYFUNCTION("IFERROR(
  INDEX(
    FILTER(
      IMPORTRANGE(""1kOrIKZmJfNUkgOVP3sI9BPjaaPA0_a4636oymQxTXg8/edit?gid=609491371#gid=609491371"",""Form responses 1!L:L""),
      IMPORTRANGE(""1kOrIKZmJfNUkgOVP3sI9BPjaaPA0_a4636oymQxTXg8/edit?gid=609491371#gid=609491371"&amp;""",""Form responses 1!F:F"")=$B87
    ),
    1
  ),
  ""Not Found""
)"),"Not Found")</f>
        <v>Not Found</v>
      </c>
      <c r="G87" s="284"/>
      <c r="H87" s="230"/>
      <c r="I87" s="230">
        <v>1850.0</v>
      </c>
      <c r="J87" s="339">
        <f>IFERROR(__xludf.DUMMYFUNCTION("IFERROR(
  INDEX(
    FILTER(
      IMPORTRANGE(""1Cxrhp3-_-HS7v9uuqQliiIfrmMP4VaFoDNDWyUFy2J8/edit?gid=0#gid=0"",""Sheet1!AE:AE""),
      IMPORTRANGE(""1Cxrhp3-_-HS7v9uuqQliiIfrmMP4VaFoDNDWyUFy2J8/edit?gid=0#gid=0"",""Sheet1!K:K"")=$B87
    ),
    1
  ),"&amp;"
  ""Not Found""
)"),1850.0)</f>
        <v>1850</v>
      </c>
      <c r="K87" s="340"/>
      <c r="L87" s="340"/>
      <c r="M87" s="230"/>
      <c r="N87" s="230"/>
      <c r="O87" s="230"/>
      <c r="P87" s="230"/>
      <c r="Q87" s="230"/>
      <c r="R87" s="230"/>
      <c r="S87" s="230"/>
      <c r="T87" s="230"/>
      <c r="U87" s="230"/>
      <c r="V87" s="230"/>
      <c r="W87" s="230"/>
      <c r="X87" s="230"/>
      <c r="Y87" s="230"/>
      <c r="Z87" s="230"/>
    </row>
    <row r="88">
      <c r="A88" s="337" t="str">
        <f>IFERROR(__xludf.DUMMYFUNCTION("VLOOKUP($B88,IMPORTRANGE(""https://docs.google.com/spreadsheets/d/1VNXDITjs75AcgdBSW27oL1VZH31udDprJSsBcE5xlp4/edit?gid=1551188038#gid=1551188038"", ""Sheet9!$B:$E""),2,false)"),"Gujrat")</f>
        <v>Gujrat</v>
      </c>
      <c r="B88" s="338" t="s">
        <v>4553</v>
      </c>
      <c r="C88" s="284">
        <f>IFERROR(__xludf.DUMMYFUNCTION("IFERROR(
  INDEX(
    FILTER(
      IMPORTRANGE(""1Cxrhp3-_-HS7v9uuqQliiIfrmMP4VaFoDNDWyUFy2J8/edit?gid=0#gid=0"",""Sheet1!AE:AE""),
      IMPORTRANGE(""1Cxrhp3-_-HS7v9uuqQliiIfrmMP4VaFoDNDWyUFy2J8/edit?gid=0#gid=0"",""Sheet1!K:K"")=$B88
    ),
    1
  ),"&amp;"
  ""Not Found""
)"),1960.0)</f>
        <v>1960</v>
      </c>
      <c r="D88" s="284" t="str">
        <f>IFERROR(__xludf.DUMMYFUNCTION("IFERROR(
  INDEX(
    FILTER(
      IMPORTRANGE(""1Cxrhp3-_-HS7v9uuqQliiIfrmMP4VaFoDNDWyUFy2J8/edit?gid=0#gid=0"",""Sheet1!AG:AG""),
      IMPORTRANGE(""1Cxrhp3-_-HS7v9uuqQliiIfrmMP4VaFoDNDWyUFy2J8/edit?gid=0#gid=0"",""Sheet1!K:K"")=$B88
    ),
    1
  ),"&amp;"
  ""Not Found""
)"),"Peer Husain shah")</f>
        <v>Peer Husain shah</v>
      </c>
      <c r="E88" s="284" t="str">
        <f>IFERROR(__xludf.DUMMYFUNCTION("IFERROR(
  INDEX(
    FILTER(
      IMPORTRANGE(""1kOrIKZmJfNUkgOVP3sI9BPjaaPA0_a4636oymQxTXg8/edit?gid=609491371#gid=609491371"",""Form responses 1!J:J""),
      IMPORTRANGE(""1kOrIKZmJfNUkgOVP3sI9BPjaaPA0_a4636oymQxTXg8/edit?gid=609491371#gid=609491371"&amp;""",""Form responses 1!F:F"")=$B88
    ),
    1
  ),
  ""Not Found""
)"),"Not Found")</f>
        <v>Not Found</v>
      </c>
      <c r="F88" s="284" t="str">
        <f>IFERROR(__xludf.DUMMYFUNCTION("IFERROR(
  INDEX(
    FILTER(
      IMPORTRANGE(""1kOrIKZmJfNUkgOVP3sI9BPjaaPA0_a4636oymQxTXg8/edit?gid=609491371#gid=609491371"",""Form responses 1!L:L""),
      IMPORTRANGE(""1kOrIKZmJfNUkgOVP3sI9BPjaaPA0_a4636oymQxTXg8/edit?gid=609491371#gid=609491371"&amp;""",""Form responses 1!F:F"")=$B88
    ),
    1
  ),
  ""Not Found""
)"),"Not Found")</f>
        <v>Not Found</v>
      </c>
      <c r="G88" s="284"/>
      <c r="H88" s="230"/>
      <c r="I88" s="230">
        <v>1960.0</v>
      </c>
      <c r="J88" s="339">
        <f>IFERROR(__xludf.DUMMYFUNCTION("IFERROR(
  INDEX(
    FILTER(
      IMPORTRANGE(""1Cxrhp3-_-HS7v9uuqQliiIfrmMP4VaFoDNDWyUFy2J8/edit?gid=0#gid=0"",""Sheet1!AE:AE""),
      IMPORTRANGE(""1Cxrhp3-_-HS7v9uuqQliiIfrmMP4VaFoDNDWyUFy2J8/edit?gid=0#gid=0"",""Sheet1!K:K"")=$B88
    ),
    1
  ),"&amp;"
  ""Not Found""
)"),1960.0)</f>
        <v>1960</v>
      </c>
      <c r="K88" s="340"/>
      <c r="L88" s="340"/>
      <c r="M88" s="230"/>
      <c r="N88" s="230"/>
      <c r="O88" s="230"/>
      <c r="P88" s="230"/>
      <c r="Q88" s="230"/>
      <c r="R88" s="230"/>
      <c r="S88" s="230"/>
      <c r="T88" s="230"/>
      <c r="U88" s="230"/>
      <c r="V88" s="230"/>
      <c r="W88" s="230"/>
      <c r="X88" s="230"/>
      <c r="Y88" s="230"/>
      <c r="Z88" s="230"/>
    </row>
    <row r="89">
      <c r="A89" s="337" t="str">
        <f>IFERROR(__xludf.DUMMYFUNCTION("VLOOKUP($B89,IMPORTRANGE(""https://docs.google.com/spreadsheets/d/1VNXDITjs75AcgdBSW27oL1VZH31udDprJSsBcE5xlp4/edit?gid=1551188038#gid=1551188038"", ""Sheet9!$B:$E""),2,false)"),"Gujrat")</f>
        <v>Gujrat</v>
      </c>
      <c r="B89" s="338" t="s">
        <v>1784</v>
      </c>
      <c r="C89" s="284" t="str">
        <f>IFERROR(__xludf.DUMMYFUNCTION("IFERROR(
  INDEX(
    FILTER(
      IMPORTRANGE(""1Cxrhp3-_-HS7v9uuqQliiIfrmMP4VaFoDNDWyUFy2J8/edit?gid=0#gid=0"",""Sheet1!AE:AE""),
      IMPORTRANGE(""1Cxrhp3-_-HS7v9uuqQliiIfrmMP4VaFoDNDWyUFy2J8/edit?gid=0#gid=0"",""Sheet1!K:K"")=$B89
    ),
    1
  ),"&amp;"
  ""Not Found""
)"),"Not Found")</f>
        <v>Not Found</v>
      </c>
      <c r="D89" s="284"/>
      <c r="E89" s="284" t="str">
        <f>IFERROR(__xludf.DUMMYFUNCTION("IFERROR(
  INDEX(
    FILTER(
      IMPORTRANGE(""1kOrIKZmJfNUkgOVP3sI9BPjaaPA0_a4636oymQxTXg8/edit?gid=609491371#gid=609491371"",""Form responses 1!J:J""),
      IMPORTRANGE(""1kOrIKZmJfNUkgOVP3sI9BPjaaPA0_a4636oymQxTXg8/edit?gid=609491371#gid=609491371"&amp;""",""Form responses 1!F:F"")=$B89
    ),
    1
  ),
  ""Not Found""
)"),"Not Found")</f>
        <v>Not Found</v>
      </c>
      <c r="F89" s="284" t="str">
        <f>IFERROR(__xludf.DUMMYFUNCTION("IFERROR(
  INDEX(
    FILTER(
      IMPORTRANGE(""1kOrIKZmJfNUkgOVP3sI9BPjaaPA0_a4636oymQxTXg8/edit?gid=609491371#gid=609491371"",""Form responses 1!L:L""),
      IMPORTRANGE(""1kOrIKZmJfNUkgOVP3sI9BPjaaPA0_a4636oymQxTXg8/edit?gid=609491371#gid=609491371"&amp;""",""Form responses 1!F:F"")=$B89
    ),
    1
  ),
  ""Not Found""
)"),"Not Found")</f>
        <v>Not Found</v>
      </c>
      <c r="G89" s="284"/>
      <c r="H89" s="230"/>
      <c r="I89" s="230"/>
      <c r="J89" s="339" t="str">
        <f>IFERROR(__xludf.DUMMYFUNCTION("IFERROR(
  INDEX(
    FILTER(
      IMPORTRANGE(""1Cxrhp3-_-HS7v9uuqQliiIfrmMP4VaFoDNDWyUFy2J8/edit?gid=0#gid=0"",""Sheet1!AE:AE""),
      IMPORTRANGE(""1Cxrhp3-_-HS7v9uuqQliiIfrmMP4VaFoDNDWyUFy2J8/edit?gid=0#gid=0"",""Sheet1!K:K"")=$B89
    ),
    1
  ),"&amp;"
  ""Not Found""
)"),"Not Found")</f>
        <v>Not Found</v>
      </c>
      <c r="K89" s="340"/>
      <c r="L89" s="340"/>
      <c r="M89" s="230"/>
      <c r="N89" s="230"/>
      <c r="O89" s="230"/>
      <c r="P89" s="230"/>
      <c r="Q89" s="230"/>
      <c r="R89" s="230"/>
      <c r="S89" s="230"/>
      <c r="T89" s="230"/>
      <c r="U89" s="230"/>
      <c r="V89" s="230"/>
      <c r="W89" s="230"/>
      <c r="X89" s="230"/>
      <c r="Y89" s="230"/>
      <c r="Z89" s="230"/>
    </row>
    <row r="90">
      <c r="A90" s="337" t="str">
        <f>IFERROR(__xludf.DUMMYFUNCTION("VLOOKUP($B90,IMPORTRANGE(""https://docs.google.com/spreadsheets/d/1VNXDITjs75AcgdBSW27oL1VZH31udDprJSsBcE5xlp4/edit?gid=1551188038#gid=1551188038"", ""Sheet9!$B:$E""),2,false)"),"Gujrat")</f>
        <v>Gujrat</v>
      </c>
      <c r="B90" s="338" t="s">
        <v>1825</v>
      </c>
      <c r="C90" s="284" t="str">
        <f>IFERROR(__xludf.DUMMYFUNCTION("IFERROR(
  INDEX(
    FILTER(
      IMPORTRANGE(""1Cxrhp3-_-HS7v9uuqQliiIfrmMP4VaFoDNDWyUFy2J8/edit?gid=0#gid=0"",""Sheet1!AE:AE""),
      IMPORTRANGE(""1Cxrhp3-_-HS7v9uuqQliiIfrmMP4VaFoDNDWyUFy2J8/edit?gid=0#gid=0"",""Sheet1!K:K"")=$B90
    ),
    1
  ),"&amp;"
  ""Not Found""
)"),"Not Found")</f>
        <v>Not Found</v>
      </c>
      <c r="D90" s="284"/>
      <c r="E90" s="284" t="str">
        <f>IFERROR(__xludf.DUMMYFUNCTION("IFERROR(
  INDEX(
    FILTER(
      IMPORTRANGE(""1kOrIKZmJfNUkgOVP3sI9BPjaaPA0_a4636oymQxTXg8/edit?gid=609491371#gid=609491371"",""Form responses 1!J:J""),
      IMPORTRANGE(""1kOrIKZmJfNUkgOVP3sI9BPjaaPA0_a4636oymQxTXg8/edit?gid=609491371#gid=609491371"&amp;""",""Form responses 1!F:F"")=$B90
    ),
    1
  ),
  ""Not Found""
)"),"Not Found")</f>
        <v>Not Found</v>
      </c>
      <c r="F90" s="284" t="str">
        <f>IFERROR(__xludf.DUMMYFUNCTION("IFERROR(
  INDEX(
    FILTER(
      IMPORTRANGE(""1kOrIKZmJfNUkgOVP3sI9BPjaaPA0_a4636oymQxTXg8/edit?gid=609491371#gid=609491371"",""Form responses 1!L:L""),
      IMPORTRANGE(""1kOrIKZmJfNUkgOVP3sI9BPjaaPA0_a4636oymQxTXg8/edit?gid=609491371#gid=609491371"&amp;""",""Form responses 1!F:F"")=$B90
    ),
    1
  ),
  ""Not Found""
)"),"Not Found")</f>
        <v>Not Found</v>
      </c>
      <c r="G90" s="284"/>
      <c r="H90" s="230"/>
      <c r="I90" s="230"/>
      <c r="J90" s="339" t="str">
        <f>IFERROR(__xludf.DUMMYFUNCTION("IFERROR(
  INDEX(
    FILTER(
      IMPORTRANGE(""1Cxrhp3-_-HS7v9uuqQliiIfrmMP4VaFoDNDWyUFy2J8/edit?gid=0#gid=0"",""Sheet1!AE:AE""),
      IMPORTRANGE(""1Cxrhp3-_-HS7v9uuqQliiIfrmMP4VaFoDNDWyUFy2J8/edit?gid=0#gid=0"",""Sheet1!K:K"")=$B90
    ),
    1
  ),"&amp;"
  ""Not Found""
)"),"Not Found")</f>
        <v>Not Found</v>
      </c>
      <c r="K90" s="340"/>
      <c r="L90" s="340"/>
      <c r="M90" s="230"/>
      <c r="N90" s="230"/>
      <c r="O90" s="230"/>
      <c r="P90" s="230"/>
      <c r="Q90" s="230"/>
      <c r="R90" s="230"/>
      <c r="S90" s="230"/>
      <c r="T90" s="230"/>
      <c r="U90" s="230"/>
      <c r="V90" s="230"/>
      <c r="W90" s="230"/>
      <c r="X90" s="230"/>
      <c r="Y90" s="230"/>
      <c r="Z90" s="230"/>
    </row>
    <row r="91">
      <c r="A91" s="337" t="str">
        <f>IFERROR(__xludf.DUMMYFUNCTION("VLOOKUP($B91,IMPORTRANGE(""https://docs.google.com/spreadsheets/d/1VNXDITjs75AcgdBSW27oL1VZH31udDprJSsBcE5xlp4/edit?gid=1551188038#gid=1551188038"", ""Sheet9!$B:$E""),2,false)"),"Gujrat")</f>
        <v>Gujrat</v>
      </c>
      <c r="B91" s="338" t="s">
        <v>2265</v>
      </c>
      <c r="C91" s="284" t="str">
        <f>IFERROR(__xludf.DUMMYFUNCTION("IFERROR(
  INDEX(
    FILTER(
      IMPORTRANGE(""1Cxrhp3-_-HS7v9uuqQliiIfrmMP4VaFoDNDWyUFy2J8/edit?gid=0#gid=0"",""Sheet1!AE:AE""),
      IMPORTRANGE(""1Cxrhp3-_-HS7v9uuqQliiIfrmMP4VaFoDNDWyUFy2J8/edit?gid=0#gid=0"",""Sheet1!K:K"")=$B91
    ),
    1
  ),"&amp;"
  ""Not Found""
)"),"Not Found")</f>
        <v>Not Found</v>
      </c>
      <c r="D91" s="284"/>
      <c r="E91" s="284" t="str">
        <f>IFERROR(__xludf.DUMMYFUNCTION("IFERROR(
  INDEX(
    FILTER(
      IMPORTRANGE(""1kOrIKZmJfNUkgOVP3sI9BPjaaPA0_a4636oymQxTXg8/edit?gid=609491371#gid=609491371"",""Form responses 1!J:J""),
      IMPORTRANGE(""1kOrIKZmJfNUkgOVP3sI9BPjaaPA0_a4636oymQxTXg8/edit?gid=609491371#gid=609491371"&amp;""",""Form responses 1!F:F"")=$B91
    ),
    1
  ),
  ""Not Found""
)"),"Not Found")</f>
        <v>Not Found</v>
      </c>
      <c r="F91" s="284" t="str">
        <f>IFERROR(__xludf.DUMMYFUNCTION("IFERROR(
  INDEX(
    FILTER(
      IMPORTRANGE(""1kOrIKZmJfNUkgOVP3sI9BPjaaPA0_a4636oymQxTXg8/edit?gid=609491371#gid=609491371"",""Form responses 1!L:L""),
      IMPORTRANGE(""1kOrIKZmJfNUkgOVP3sI9BPjaaPA0_a4636oymQxTXg8/edit?gid=609491371#gid=609491371"&amp;""",""Form responses 1!F:F"")=$B91
    ),
    1
  ),
  ""Not Found""
)"),"Not Found")</f>
        <v>Not Found</v>
      </c>
      <c r="G91" s="284"/>
      <c r="H91" s="230"/>
      <c r="I91" s="230"/>
      <c r="J91" s="339" t="str">
        <f>IFERROR(__xludf.DUMMYFUNCTION("IFERROR(
  INDEX(
    FILTER(
      IMPORTRANGE(""1Cxrhp3-_-HS7v9uuqQliiIfrmMP4VaFoDNDWyUFy2J8/edit?gid=0#gid=0"",""Sheet1!AE:AE""),
      IMPORTRANGE(""1Cxrhp3-_-HS7v9uuqQliiIfrmMP4VaFoDNDWyUFy2J8/edit?gid=0#gid=0"",""Sheet1!K:K"")=$B91
    ),
    1
  ),"&amp;"
  ""Not Found""
)"),"Not Found")</f>
        <v>Not Found</v>
      </c>
      <c r="K91" s="340"/>
      <c r="L91" s="340"/>
      <c r="M91" s="230"/>
      <c r="N91" s="230"/>
      <c r="O91" s="230"/>
      <c r="P91" s="230"/>
      <c r="Q91" s="230"/>
      <c r="R91" s="230"/>
      <c r="S91" s="230"/>
      <c r="T91" s="230"/>
      <c r="U91" s="230"/>
      <c r="V91" s="230"/>
      <c r="W91" s="230"/>
      <c r="X91" s="230"/>
      <c r="Y91" s="230"/>
      <c r="Z91" s="230"/>
    </row>
    <row r="92">
      <c r="A92" s="337" t="str">
        <f>IFERROR(__xludf.DUMMYFUNCTION("VLOOKUP($B92,IMPORTRANGE(""https://docs.google.com/spreadsheets/d/1VNXDITjs75AcgdBSW27oL1VZH31udDprJSsBcE5xlp4/edit?gid=1551188038#gid=1551188038"", ""Sheet9!$B:$E""),2,false)"),"Gujrat")</f>
        <v>Gujrat</v>
      </c>
      <c r="B92" s="338" t="s">
        <v>1670</v>
      </c>
      <c r="C92" s="284">
        <f>IFERROR(__xludf.DUMMYFUNCTION("IFERROR(
  INDEX(
    FILTER(
      IMPORTRANGE(""1Cxrhp3-_-HS7v9uuqQliiIfrmMP4VaFoDNDWyUFy2J8/edit?gid=0#gid=0"",""Sheet1!AE:AE""),
      IMPORTRANGE(""1Cxrhp3-_-HS7v9uuqQliiIfrmMP4VaFoDNDWyUFy2J8/edit?gid=0#gid=0"",""Sheet1!K:K"")=$B92
    ),
    1
  ),"&amp;"
  ""Not Found""
)"),2000.0)</f>
        <v>2000</v>
      </c>
      <c r="D92" s="284" t="str">
        <f>IFERROR(__xludf.DUMMYFUNCTION("IFERROR(
  INDEX(
    FILTER(
      IMPORTRANGE(""1Cxrhp3-_-HS7v9uuqQliiIfrmMP4VaFoDNDWyUFy2J8/edit?gid=0#gid=0"",""Sheet1!AG:AG""),
      IMPORTRANGE(""1Cxrhp3-_-HS7v9uuqQliiIfrmMP4VaFoDNDWyUFy2J8/edit?gid=0#gid=0"",""Sheet1!K:K"")=$B92
    ),
    1
  ),"&amp;"
  ""Not Found""
)"),"سائیں کرم الہی سرکار")</f>
        <v>سائیں کرم الہی سرکار</v>
      </c>
      <c r="E92" s="284" t="str">
        <f>IFERROR(__xludf.DUMMYFUNCTION("IFERROR(
  INDEX(
    FILTER(
      IMPORTRANGE(""1kOrIKZmJfNUkgOVP3sI9BPjaaPA0_a4636oymQxTXg8/edit?gid=609491371#gid=609491371"",""Form responses 1!J:J""),
      IMPORTRANGE(""1kOrIKZmJfNUkgOVP3sI9BPjaaPA0_a4636oymQxTXg8/edit?gid=609491371#gid=609491371"&amp;""",""Form responses 1!F:F"")=$B92
    ),
    1
  ),
  ""Not Found""
)"),"Not Found")</f>
        <v>Not Found</v>
      </c>
      <c r="F92" s="284" t="str">
        <f>IFERROR(__xludf.DUMMYFUNCTION("IFERROR(
  INDEX(
    FILTER(
      IMPORTRANGE(""1kOrIKZmJfNUkgOVP3sI9BPjaaPA0_a4636oymQxTXg8/edit?gid=609491371#gid=609491371"",""Form responses 1!L:L""),
      IMPORTRANGE(""1kOrIKZmJfNUkgOVP3sI9BPjaaPA0_a4636oymQxTXg8/edit?gid=609491371#gid=609491371"&amp;""",""Form responses 1!F:F"")=$B92
    ),
    1
  ),
  ""Not Found""
)"),"Not Found")</f>
        <v>Not Found</v>
      </c>
      <c r="G92" s="284"/>
      <c r="H92" s="230"/>
      <c r="I92" s="230">
        <v>2000.0</v>
      </c>
      <c r="J92" s="339">
        <f>IFERROR(__xludf.DUMMYFUNCTION("IFERROR(
  INDEX(
    FILTER(
      IMPORTRANGE(""1Cxrhp3-_-HS7v9uuqQliiIfrmMP4VaFoDNDWyUFy2J8/edit?gid=0#gid=0"",""Sheet1!AE:AE""),
      IMPORTRANGE(""1Cxrhp3-_-HS7v9uuqQliiIfrmMP4VaFoDNDWyUFy2J8/edit?gid=0#gid=0"",""Sheet1!K:K"")=$B92
    ),
    1
  ),"&amp;"
  ""Not Found""
)"),2000.0)</f>
        <v>2000</v>
      </c>
      <c r="K92" s="340"/>
      <c r="L92" s="340"/>
      <c r="M92" s="230"/>
      <c r="N92" s="230"/>
      <c r="O92" s="230"/>
      <c r="P92" s="230"/>
      <c r="Q92" s="230"/>
      <c r="R92" s="230"/>
      <c r="S92" s="230"/>
      <c r="T92" s="230"/>
      <c r="U92" s="230"/>
      <c r="V92" s="230"/>
      <c r="W92" s="230"/>
      <c r="X92" s="230"/>
      <c r="Y92" s="230"/>
      <c r="Z92" s="230"/>
    </row>
    <row r="93">
      <c r="A93" s="337" t="str">
        <f>IFERROR(__xludf.DUMMYFUNCTION("VLOOKUP($B93,IMPORTRANGE(""https://docs.google.com/spreadsheets/d/1VNXDITjs75AcgdBSW27oL1VZH31udDprJSsBcE5xlp4/edit?gid=1551188038#gid=1551188038"", ""Sheet9!$B:$E""),2,false)"),"Gujrat")</f>
        <v>Gujrat</v>
      </c>
      <c r="B93" s="338" t="s">
        <v>2731</v>
      </c>
      <c r="C93" s="284">
        <f>IFERROR(__xludf.DUMMYFUNCTION("IFERROR(
  INDEX(
    FILTER(
      IMPORTRANGE(""1Cxrhp3-_-HS7v9uuqQliiIfrmMP4VaFoDNDWyUFy2J8/edit?gid=0#gid=0"",""Sheet1!AE:AE""),
      IMPORTRANGE(""1Cxrhp3-_-HS7v9uuqQliiIfrmMP4VaFoDNDWyUFy2J8/edit?gid=0#gid=0"",""Sheet1!K:K"")=$B93
    ),
    1
  ),"&amp;"
  ""Not Found""
)"),1892.0)</f>
        <v>1892</v>
      </c>
      <c r="D93" s="284" t="str">
        <f>IFERROR(__xludf.DUMMYFUNCTION("IFERROR(
  INDEX(
    FILTER(
      IMPORTRANGE(""1Cxrhp3-_-HS7v9uuqQliiIfrmMP4VaFoDNDWyUFy2J8/edit?gid=0#gid=0"",""Sheet1!AG:AG""),
      IMPORTRANGE(""1Cxrhp3-_-HS7v9uuqQliiIfrmMP4VaFoDNDWyUFy2J8/edit?gid=0#gid=0"",""Sheet1!K:K"")=$B93
    ),
    1
  ),"&amp;"
  ""Not Found""
)"),"Hazrat Kabeer ud Din Daryai")</f>
        <v>Hazrat Kabeer ud Din Daryai</v>
      </c>
      <c r="E93" s="284" t="str">
        <f>IFERROR(__xludf.DUMMYFUNCTION("IFERROR(
  INDEX(
    FILTER(
      IMPORTRANGE(""1kOrIKZmJfNUkgOVP3sI9BPjaaPA0_a4636oymQxTXg8/edit?gid=609491371#gid=609491371"",""Form responses 1!J:J""),
      IMPORTRANGE(""1kOrIKZmJfNUkgOVP3sI9BPjaaPA0_a4636oymQxTXg8/edit?gid=609491371#gid=609491371"&amp;""",""Form responses 1!F:F"")=$B93
    ),
    1
  ),
  ""Not Found""
)"),"Not Found")</f>
        <v>Not Found</v>
      </c>
      <c r="F93" s="284" t="str">
        <f>IFERROR(__xludf.DUMMYFUNCTION("IFERROR(
  INDEX(
    FILTER(
      IMPORTRANGE(""1kOrIKZmJfNUkgOVP3sI9BPjaaPA0_a4636oymQxTXg8/edit?gid=609491371#gid=609491371"",""Form responses 1!L:L""),
      IMPORTRANGE(""1kOrIKZmJfNUkgOVP3sI9BPjaaPA0_a4636oymQxTXg8/edit?gid=609491371#gid=609491371"&amp;""",""Form responses 1!F:F"")=$B93
    ),
    1
  ),
  ""Not Found""
)"),"Not Found")</f>
        <v>Not Found</v>
      </c>
      <c r="G93" s="284"/>
      <c r="H93" s="230"/>
      <c r="I93" s="230">
        <v>1892.0</v>
      </c>
      <c r="J93" s="339">
        <f>IFERROR(__xludf.DUMMYFUNCTION("IFERROR(
  INDEX(
    FILTER(
      IMPORTRANGE(""1Cxrhp3-_-HS7v9uuqQliiIfrmMP4VaFoDNDWyUFy2J8/edit?gid=0#gid=0"",""Sheet1!AE:AE""),
      IMPORTRANGE(""1Cxrhp3-_-HS7v9uuqQliiIfrmMP4VaFoDNDWyUFy2J8/edit?gid=0#gid=0"",""Sheet1!K:K"")=$B93
    ),
    1
  ),"&amp;"
  ""Not Found""
)"),1892.0)</f>
        <v>1892</v>
      </c>
      <c r="K93" s="340"/>
      <c r="L93" s="340"/>
      <c r="M93" s="230"/>
      <c r="N93" s="230"/>
      <c r="O93" s="230"/>
      <c r="P93" s="230"/>
      <c r="Q93" s="230"/>
      <c r="R93" s="230"/>
      <c r="S93" s="230"/>
      <c r="T93" s="230"/>
      <c r="U93" s="230"/>
      <c r="V93" s="230"/>
      <c r="W93" s="230"/>
      <c r="X93" s="230"/>
      <c r="Y93" s="230"/>
      <c r="Z93" s="230"/>
    </row>
    <row r="94">
      <c r="A94" s="337" t="str">
        <f>IFERROR(__xludf.DUMMYFUNCTION("VLOOKUP($B94,IMPORTRANGE(""https://docs.google.com/spreadsheets/d/1VNXDITjs75AcgdBSW27oL1VZH31udDprJSsBcE5xlp4/edit?gid=1551188038#gid=1551188038"", ""Sheet9!$B:$E""),2,false)"),"Gujrat")</f>
        <v>Gujrat</v>
      </c>
      <c r="B94" s="338" t="s">
        <v>2531</v>
      </c>
      <c r="C94" s="284">
        <f>IFERROR(__xludf.DUMMYFUNCTION("IFERROR(
  INDEX(
    FILTER(
      IMPORTRANGE(""1Cxrhp3-_-HS7v9uuqQliiIfrmMP4VaFoDNDWyUFy2J8/edit?gid=0#gid=0"",""Sheet1!AE:AE""),
      IMPORTRANGE(""1Cxrhp3-_-HS7v9uuqQliiIfrmMP4VaFoDNDWyUFy2J8/edit?gid=0#gid=0"",""Sheet1!K:K"")=$B94
    ),
    1
  ),"&amp;"
  ""Not Found""
)"),1934.0)</f>
        <v>1934</v>
      </c>
      <c r="D94" s="284" t="str">
        <f>IFERROR(__xludf.DUMMYFUNCTION("IFERROR(
  INDEX(
    FILTER(
      IMPORTRANGE(""1Cxrhp3-_-HS7v9uuqQliiIfrmMP4VaFoDNDWyUFy2J8/edit?gid=0#gid=0"",""Sheet1!AG:AG""),
      IMPORTRANGE(""1Cxrhp3-_-HS7v9uuqQliiIfrmMP4VaFoDNDWyUFy2J8/edit?gid=0#gid=0"",""Sheet1!K:K"")=$B94
    ),
    1
  ),"&amp;"
  ""Not Found""
)"),"Haji Muhammad din ")</f>
        <v>Haji Muhammad din </v>
      </c>
      <c r="E94" s="284" t="str">
        <f>IFERROR(__xludf.DUMMYFUNCTION("IFERROR(
  INDEX(
    FILTER(
      IMPORTRANGE(""1kOrIKZmJfNUkgOVP3sI9BPjaaPA0_a4636oymQxTXg8/edit?gid=609491371#gid=609491371"",""Form responses 1!J:J""),
      IMPORTRANGE(""1kOrIKZmJfNUkgOVP3sI9BPjaaPA0_a4636oymQxTXg8/edit?gid=609491371#gid=609491371"&amp;""",""Form responses 1!F:F"")=$B94
    ),
    1
  ),
  ""Not Found""
)"),"Not Found")</f>
        <v>Not Found</v>
      </c>
      <c r="F94" s="284" t="str">
        <f>IFERROR(__xludf.DUMMYFUNCTION("IFERROR(
  INDEX(
    FILTER(
      IMPORTRANGE(""1kOrIKZmJfNUkgOVP3sI9BPjaaPA0_a4636oymQxTXg8/edit?gid=609491371#gid=609491371"",""Form responses 1!L:L""),
      IMPORTRANGE(""1kOrIKZmJfNUkgOVP3sI9BPjaaPA0_a4636oymQxTXg8/edit?gid=609491371#gid=609491371"&amp;""",""Form responses 1!F:F"")=$B94
    ),
    1
  ),
  ""Not Found""
)"),"Not Found")</f>
        <v>Not Found</v>
      </c>
      <c r="G94" s="284"/>
      <c r="H94" s="230"/>
      <c r="I94" s="230">
        <v>1934.0</v>
      </c>
      <c r="J94" s="339">
        <f>IFERROR(__xludf.DUMMYFUNCTION("IFERROR(
  INDEX(
    FILTER(
      IMPORTRANGE(""1Cxrhp3-_-HS7v9uuqQliiIfrmMP4VaFoDNDWyUFy2J8/edit?gid=0#gid=0"",""Sheet1!AE:AE""),
      IMPORTRANGE(""1Cxrhp3-_-HS7v9uuqQliiIfrmMP4VaFoDNDWyUFy2J8/edit?gid=0#gid=0"",""Sheet1!K:K"")=$B94
    ),
    1
  ),"&amp;"
  ""Not Found""
)"),1934.0)</f>
        <v>1934</v>
      </c>
      <c r="K94" s="340"/>
      <c r="L94" s="340"/>
      <c r="M94" s="230"/>
      <c r="N94" s="230"/>
      <c r="O94" s="230"/>
      <c r="P94" s="230"/>
      <c r="Q94" s="230"/>
      <c r="R94" s="230"/>
      <c r="S94" s="230"/>
      <c r="T94" s="230"/>
      <c r="U94" s="230"/>
      <c r="V94" s="230"/>
      <c r="W94" s="230"/>
      <c r="X94" s="230"/>
      <c r="Y94" s="230"/>
      <c r="Z94" s="230"/>
    </row>
    <row r="95">
      <c r="A95" s="337" t="str">
        <f>IFERROR(__xludf.DUMMYFUNCTION("VLOOKUP($B95,IMPORTRANGE(""https://docs.google.com/spreadsheets/d/1VNXDITjs75AcgdBSW27oL1VZH31udDprJSsBcE5xlp4/edit?gid=1551188038#gid=1551188038"", ""Sheet9!$B:$E""),2,false)"),"Gujrat")</f>
        <v>Gujrat</v>
      </c>
      <c r="B95" s="342" t="s">
        <v>1978</v>
      </c>
      <c r="C95" s="284" t="str">
        <f>IFERROR(__xludf.DUMMYFUNCTION("IFERROR(
  INDEX(
    FILTER(
      IMPORTRANGE(""1Cxrhp3-_-HS7v9uuqQliiIfrmMP4VaFoDNDWyUFy2J8/edit?gid=0#gid=0"",""Sheet1!AE:AE""),
      IMPORTRANGE(""1Cxrhp3-_-HS7v9uuqQliiIfrmMP4VaFoDNDWyUFy2J8/edit?gid=0#gid=0"",""Sheet1!K:K"")=$B95
    ),
    1
  ),"&amp;"
  ""Not Found""
)"),"Not Found")</f>
        <v>Not Found</v>
      </c>
      <c r="D95" s="284"/>
      <c r="E95" s="284" t="str">
        <f>IFERROR(__xludf.DUMMYFUNCTION("IFERROR(
  INDEX(
    FILTER(
      IMPORTRANGE(""1kOrIKZmJfNUkgOVP3sI9BPjaaPA0_a4636oymQxTXg8/edit?gid=609491371#gid=609491371"",""Form responses 1!J:J""),
      IMPORTRANGE(""1kOrIKZmJfNUkgOVP3sI9BPjaaPA0_a4636oymQxTXg8/edit?gid=609491371#gid=609491371"&amp;""",""Form responses 1!F:F"")=$B95
    ),
    1
  ),
  ""Not Found""
)"),"Not Found")</f>
        <v>Not Found</v>
      </c>
      <c r="F95" s="284" t="str">
        <f>IFERROR(__xludf.DUMMYFUNCTION("IFERROR(
  INDEX(
    FILTER(
      IMPORTRANGE(""1kOrIKZmJfNUkgOVP3sI9BPjaaPA0_a4636oymQxTXg8/edit?gid=609491371#gid=609491371"",""Form responses 1!L:L""),
      IMPORTRANGE(""1kOrIKZmJfNUkgOVP3sI9BPjaaPA0_a4636oymQxTXg8/edit?gid=609491371#gid=609491371"&amp;""",""Form responses 1!F:F"")=$B95
    ),
    1
  ),
  ""Not Found""
)"),"Not Found")</f>
        <v>Not Found</v>
      </c>
      <c r="G95" s="284"/>
      <c r="H95" s="230"/>
      <c r="I95" s="230"/>
      <c r="J95" s="339" t="str">
        <f>IFERROR(__xludf.DUMMYFUNCTION("IFERROR(
  INDEX(
    FILTER(
      IMPORTRANGE(""1Cxrhp3-_-HS7v9uuqQliiIfrmMP4VaFoDNDWyUFy2J8/edit?gid=0#gid=0"",""Sheet1!AE:AE""),
      IMPORTRANGE(""1Cxrhp3-_-HS7v9uuqQliiIfrmMP4VaFoDNDWyUFy2J8/edit?gid=0#gid=0"",""Sheet1!K:K"")=$B95
    ),
    1
  ),"&amp;"
  ""Not Found""
)"),"Not Found")</f>
        <v>Not Found</v>
      </c>
      <c r="K95" s="340"/>
      <c r="L95" s="340"/>
      <c r="M95" s="230"/>
      <c r="N95" s="230"/>
      <c r="O95" s="230"/>
      <c r="P95" s="230"/>
      <c r="Q95" s="230"/>
      <c r="R95" s="230"/>
      <c r="S95" s="230"/>
      <c r="T95" s="230"/>
      <c r="U95" s="230"/>
      <c r="V95" s="230"/>
      <c r="W95" s="230"/>
      <c r="X95" s="230"/>
      <c r="Y95" s="230"/>
      <c r="Z95" s="230"/>
    </row>
    <row r="96">
      <c r="A96" s="337" t="str">
        <f>IFERROR(__xludf.DUMMYFUNCTION("VLOOKUP($B96,IMPORTRANGE(""https://docs.google.com/spreadsheets/d/1VNXDITjs75AcgdBSW27oL1VZH31udDprJSsBcE5xlp4/edit?gid=1551188038#gid=1551188038"", ""Sheet9!$B:$E""),2,false)"),"Gujrat")</f>
        <v>Gujrat</v>
      </c>
      <c r="B96" s="338" t="s">
        <v>1954</v>
      </c>
      <c r="C96" s="284">
        <f>IFERROR(__xludf.DUMMYFUNCTION("IFERROR(
  INDEX(
    FILTER(
      IMPORTRANGE(""1Cxrhp3-_-HS7v9uuqQliiIfrmMP4VaFoDNDWyUFy2J8/edit?gid=0#gid=0"",""Sheet1!AE:AE""),
      IMPORTRANGE(""1Cxrhp3-_-HS7v9uuqQliiIfrmMP4VaFoDNDWyUFy2J8/edit?gid=0#gid=0"",""Sheet1!K:K"")=$B96
    ),
    1
  ),"&amp;"
  ""Not Found""
)"),1933.0)</f>
        <v>1933</v>
      </c>
      <c r="D96" s="284" t="str">
        <f>IFERROR(__xludf.DUMMYFUNCTION("IFERROR(
  INDEX(
    FILTER(
      IMPORTRANGE(""1Cxrhp3-_-HS7v9uuqQliiIfrmMP4VaFoDNDWyUFy2J8/edit?gid=0#gid=0"",""Sheet1!AG:AG""),
      IMPORTRANGE(""1Cxrhp3-_-HS7v9uuqQliiIfrmMP4VaFoDNDWyUFy2J8/edit?gid=0#gid=0"",""Sheet1!K:K"")=$B96
    ),
    1
  ),"&amp;"
  ""Not Found""
)"),"")</f>
        <v/>
      </c>
      <c r="E96" s="284" t="str">
        <f>IFERROR(__xludf.DUMMYFUNCTION("IFERROR(
  INDEX(
    FILTER(
      IMPORTRANGE(""1kOrIKZmJfNUkgOVP3sI9BPjaaPA0_a4636oymQxTXg8/edit?gid=609491371#gid=609491371"",""Form responses 1!J:J""),
      IMPORTRANGE(""1kOrIKZmJfNUkgOVP3sI9BPjaaPA0_a4636oymQxTXg8/edit?gid=609491371#gid=609491371"&amp;""",""Form responses 1!F:F"")=$B96
    ),
    1
  ),
  ""Not Found""
)"),"Not Found")</f>
        <v>Not Found</v>
      </c>
      <c r="F96" s="284" t="str">
        <f>IFERROR(__xludf.DUMMYFUNCTION("IFERROR(
  INDEX(
    FILTER(
      IMPORTRANGE(""1kOrIKZmJfNUkgOVP3sI9BPjaaPA0_a4636oymQxTXg8/edit?gid=609491371#gid=609491371"",""Form responses 1!L:L""),
      IMPORTRANGE(""1kOrIKZmJfNUkgOVP3sI9BPjaaPA0_a4636oymQxTXg8/edit?gid=609491371#gid=609491371"&amp;""",""Form responses 1!F:F"")=$B96
    ),
    1
  ),
  ""Not Found""
)"),"Not Found")</f>
        <v>Not Found</v>
      </c>
      <c r="G96" s="284"/>
      <c r="H96" s="230"/>
      <c r="I96" s="230">
        <v>1933.0</v>
      </c>
      <c r="J96" s="339">
        <f>IFERROR(__xludf.DUMMYFUNCTION("IFERROR(
  INDEX(
    FILTER(
      IMPORTRANGE(""1Cxrhp3-_-HS7v9uuqQliiIfrmMP4VaFoDNDWyUFy2J8/edit?gid=0#gid=0"",""Sheet1!AE:AE""),
      IMPORTRANGE(""1Cxrhp3-_-HS7v9uuqQliiIfrmMP4VaFoDNDWyUFy2J8/edit?gid=0#gid=0"",""Sheet1!K:K"")=$B96
    ),
    1
  ),"&amp;"
  ""Not Found""
)"),1933.0)</f>
        <v>1933</v>
      </c>
      <c r="K96" s="340"/>
      <c r="L96" s="340"/>
      <c r="M96" s="230"/>
      <c r="N96" s="230"/>
      <c r="O96" s="230"/>
      <c r="P96" s="230"/>
      <c r="Q96" s="230"/>
      <c r="R96" s="230"/>
      <c r="S96" s="230"/>
      <c r="T96" s="230"/>
      <c r="U96" s="230"/>
      <c r="V96" s="230"/>
      <c r="W96" s="230"/>
      <c r="X96" s="230"/>
      <c r="Y96" s="230"/>
      <c r="Z96" s="230"/>
    </row>
    <row r="97">
      <c r="A97" s="337" t="str">
        <f>IFERROR(__xludf.DUMMYFUNCTION("VLOOKUP($B97,IMPORTRANGE(""https://docs.google.com/spreadsheets/d/1VNXDITjs75AcgdBSW27oL1VZH31udDprJSsBcE5xlp4/edit?gid=1551188038#gid=1551188038"", ""Sheet9!$B:$E""),2,false)"),"Gujrat")</f>
        <v>Gujrat</v>
      </c>
      <c r="B97" s="338" t="s">
        <v>1793</v>
      </c>
      <c r="C97" s="284">
        <f>IFERROR(__xludf.DUMMYFUNCTION("IFERROR(
  INDEX(
    FILTER(
      IMPORTRANGE(""1Cxrhp3-_-HS7v9uuqQliiIfrmMP4VaFoDNDWyUFy2J8/edit?gid=0#gid=0"",""Sheet1!AE:AE""),
      IMPORTRANGE(""1Cxrhp3-_-HS7v9uuqQliiIfrmMP4VaFoDNDWyUFy2J8/edit?gid=0#gid=0"",""Sheet1!K:K"")=$B97
    ),
    1
  ),"&amp;"
  ""Not Found""
)"),1995.0)</f>
        <v>1995</v>
      </c>
      <c r="D97" s="284" t="str">
        <f>IFERROR(__xludf.DUMMYFUNCTION("IFERROR(
  INDEX(
    FILTER(
      IMPORTRANGE(""1Cxrhp3-_-HS7v9uuqQliiIfrmMP4VaFoDNDWyUFy2J8/edit?gid=0#gid=0"",""Sheet1!AG:AG""),
      IMPORTRANGE(""1Cxrhp3-_-HS7v9uuqQliiIfrmMP4VaFoDNDWyUFy2J8/edit?gid=0#gid=0"",""Sheet1!K:K"")=$B97
    ),
    1
  ),"&amp;"
  ""Not Found""
)"),"")</f>
        <v/>
      </c>
      <c r="E97" s="284" t="str">
        <f>IFERROR(__xludf.DUMMYFUNCTION("IFERROR(
  INDEX(
    FILTER(
      IMPORTRANGE(""1kOrIKZmJfNUkgOVP3sI9BPjaaPA0_a4636oymQxTXg8/edit?gid=609491371#gid=609491371"",""Form responses 1!J:J""),
      IMPORTRANGE(""1kOrIKZmJfNUkgOVP3sI9BPjaaPA0_a4636oymQxTXg8/edit?gid=609491371#gid=609491371"&amp;""",""Form responses 1!F:F"")=$B97
    ),
    1
  ),
  ""Not Found""
)"),"Not Found")</f>
        <v>Not Found</v>
      </c>
      <c r="F97" s="284" t="str">
        <f>IFERROR(__xludf.DUMMYFUNCTION("IFERROR(
  INDEX(
    FILTER(
      IMPORTRANGE(""1kOrIKZmJfNUkgOVP3sI9BPjaaPA0_a4636oymQxTXg8/edit?gid=609491371#gid=609491371"",""Form responses 1!L:L""),
      IMPORTRANGE(""1kOrIKZmJfNUkgOVP3sI9BPjaaPA0_a4636oymQxTXg8/edit?gid=609491371#gid=609491371"&amp;""",""Form responses 1!F:F"")=$B97
    ),
    1
  ),
  ""Not Found""
)"),"Not Found")</f>
        <v>Not Found</v>
      </c>
      <c r="G97" s="284"/>
      <c r="H97" s="230"/>
      <c r="I97" s="230">
        <v>1995.0</v>
      </c>
      <c r="J97" s="339">
        <f>IFERROR(__xludf.DUMMYFUNCTION("IFERROR(
  INDEX(
    FILTER(
      IMPORTRANGE(""1Cxrhp3-_-HS7v9uuqQliiIfrmMP4VaFoDNDWyUFy2J8/edit?gid=0#gid=0"",""Sheet1!AE:AE""),
      IMPORTRANGE(""1Cxrhp3-_-HS7v9uuqQliiIfrmMP4VaFoDNDWyUFy2J8/edit?gid=0#gid=0"",""Sheet1!K:K"")=$B97
    ),
    1
  ),"&amp;"
  ""Not Found""
)"),1995.0)</f>
        <v>1995</v>
      </c>
      <c r="K97" s="340"/>
      <c r="L97" s="340"/>
      <c r="M97" s="230"/>
      <c r="N97" s="230"/>
      <c r="O97" s="230"/>
      <c r="P97" s="230"/>
      <c r="Q97" s="230"/>
      <c r="R97" s="230"/>
      <c r="S97" s="230"/>
      <c r="T97" s="230"/>
      <c r="U97" s="230"/>
      <c r="V97" s="230"/>
      <c r="W97" s="230"/>
      <c r="X97" s="230"/>
      <c r="Y97" s="230"/>
      <c r="Z97" s="230"/>
    </row>
    <row r="98">
      <c r="A98" s="337" t="str">
        <f>IFERROR(__xludf.DUMMYFUNCTION("VLOOKUP($B98,IMPORTRANGE(""https://docs.google.com/spreadsheets/d/1VNXDITjs75AcgdBSW27oL1VZH31udDprJSsBcE5xlp4/edit?gid=1551188038#gid=1551188038"", ""Sheet9!$B:$E""),2,false)"),"Saikot")</f>
        <v>Saikot</v>
      </c>
      <c r="B98" s="338" t="s">
        <v>4557</v>
      </c>
      <c r="C98" s="284" t="str">
        <f>IFERROR(__xludf.DUMMYFUNCTION("IFERROR(
  INDEX(
    FILTER(
      IMPORTRANGE(""1Cxrhp3-_-HS7v9uuqQliiIfrmMP4VaFoDNDWyUFy2J8/edit?gid=0#gid=0"",""Sheet1!AE:AE""),
      IMPORTRANGE(""1Cxrhp3-_-HS7v9uuqQliiIfrmMP4VaFoDNDWyUFy2J8/edit?gid=0#gid=0"",""Sheet1!K:K"")=$B98
    ),
    1
  ),"&amp;"
  ""Not Found""
)"),"Not Found")</f>
        <v>Not Found</v>
      </c>
      <c r="D98" s="284"/>
      <c r="E98" s="284" t="str">
        <f>IFERROR(__xludf.DUMMYFUNCTION("IFERROR(
  INDEX(
    FILTER(
      IMPORTRANGE(""1kOrIKZmJfNUkgOVP3sI9BPjaaPA0_a4636oymQxTXg8/edit?gid=609491371#gid=609491371"",""Form responses 1!J:J""),
      IMPORTRANGE(""1kOrIKZmJfNUkgOVP3sI9BPjaaPA0_a4636oymQxTXg8/edit?gid=609491371#gid=609491371"&amp;""",""Form responses 1!F:F"")=$B98
    ),
    1
  ),
  ""Not Found""
)"),"Not Found")</f>
        <v>Not Found</v>
      </c>
      <c r="F98" s="284" t="str">
        <f>IFERROR(__xludf.DUMMYFUNCTION("IFERROR(
  INDEX(
    FILTER(
      IMPORTRANGE(""1kOrIKZmJfNUkgOVP3sI9BPjaaPA0_a4636oymQxTXg8/edit?gid=609491371#gid=609491371"",""Form responses 1!L:L""),
      IMPORTRANGE(""1kOrIKZmJfNUkgOVP3sI9BPjaaPA0_a4636oymQxTXg8/edit?gid=609491371#gid=609491371"&amp;""",""Form responses 1!F:F"")=$B98
    ),
    1
  ),
  ""Not Found""
)"),"Not Found")</f>
        <v>Not Found</v>
      </c>
      <c r="G98" s="284"/>
      <c r="H98" s="230"/>
      <c r="I98" s="230"/>
      <c r="J98" s="339" t="str">
        <f>IFERROR(__xludf.DUMMYFUNCTION("IFERROR(
  INDEX(
    FILTER(
      IMPORTRANGE(""1Cxrhp3-_-HS7v9uuqQliiIfrmMP4VaFoDNDWyUFy2J8/edit?gid=0#gid=0"",""Sheet1!AE:AE""),
      IMPORTRANGE(""1Cxrhp3-_-HS7v9uuqQliiIfrmMP4VaFoDNDWyUFy2J8/edit?gid=0#gid=0"",""Sheet1!K:K"")=$B98
    ),
    1
  ),"&amp;"
  ""Not Found""
)"),"Not Found")</f>
        <v>Not Found</v>
      </c>
      <c r="K98" s="340"/>
      <c r="L98" s="340"/>
      <c r="M98" s="230"/>
      <c r="N98" s="230"/>
      <c r="O98" s="230"/>
      <c r="P98" s="230"/>
      <c r="Q98" s="230"/>
      <c r="R98" s="230"/>
      <c r="S98" s="230"/>
      <c r="T98" s="230"/>
      <c r="U98" s="230"/>
      <c r="V98" s="230"/>
      <c r="W98" s="230"/>
      <c r="X98" s="230"/>
      <c r="Y98" s="230"/>
      <c r="Z98" s="230"/>
    </row>
    <row r="99">
      <c r="A99" s="337" t="str">
        <f>IFERROR(__xludf.DUMMYFUNCTION("VLOOKUP($B99,IMPORTRANGE(""https://docs.google.com/spreadsheets/d/1VNXDITjs75AcgdBSW27oL1VZH31udDprJSsBcE5xlp4/edit?gid=1551188038#gid=1551188038"", ""Sheet9!$B:$E""),2,false)"),"Saikot")</f>
        <v>Saikot</v>
      </c>
      <c r="B99" s="338" t="s">
        <v>4559</v>
      </c>
      <c r="C99" s="284" t="str">
        <f>IFERROR(__xludf.DUMMYFUNCTION("IFERROR(
  INDEX(
    FILTER(
      IMPORTRANGE(""1Cxrhp3-_-HS7v9uuqQliiIfrmMP4VaFoDNDWyUFy2J8/edit?gid=0#gid=0"",""Sheet1!AE:AE""),
      IMPORTRANGE(""1Cxrhp3-_-HS7v9uuqQliiIfrmMP4VaFoDNDWyUFy2J8/edit?gid=0#gid=0"",""Sheet1!K:K"")=$B99
    ),
    1
  ),"&amp;"
  ""Not Found""
)"),"Not Found")</f>
        <v>Not Found</v>
      </c>
      <c r="D99" s="284"/>
      <c r="E99" s="284" t="str">
        <f>IFERROR(__xludf.DUMMYFUNCTION("IFERROR(
  INDEX(
    FILTER(
      IMPORTRANGE(""1kOrIKZmJfNUkgOVP3sI9BPjaaPA0_a4636oymQxTXg8/edit?gid=609491371#gid=609491371"",""Form responses 1!J:J""),
      IMPORTRANGE(""1kOrIKZmJfNUkgOVP3sI9BPjaaPA0_a4636oymQxTXg8/edit?gid=609491371#gid=609491371"&amp;""",""Form responses 1!F:F"")=$B99
    ),
    1
  ),
  ""Not Found""
)"),"Not Found")</f>
        <v>Not Found</v>
      </c>
      <c r="F99" s="284" t="str">
        <f>IFERROR(__xludf.DUMMYFUNCTION("IFERROR(
  INDEX(
    FILTER(
      IMPORTRANGE(""1kOrIKZmJfNUkgOVP3sI9BPjaaPA0_a4636oymQxTXg8/edit?gid=609491371#gid=609491371"",""Form responses 1!L:L""),
      IMPORTRANGE(""1kOrIKZmJfNUkgOVP3sI9BPjaaPA0_a4636oymQxTXg8/edit?gid=609491371#gid=609491371"&amp;""",""Form responses 1!F:F"")=$B99
    ),
    1
  ),
  ""Not Found""
)"),"Not Found")</f>
        <v>Not Found</v>
      </c>
      <c r="G99" s="284"/>
      <c r="H99" s="230"/>
      <c r="I99" s="230"/>
      <c r="J99" s="339" t="str">
        <f>IFERROR(__xludf.DUMMYFUNCTION("IFERROR(
  INDEX(
    FILTER(
      IMPORTRANGE(""1Cxrhp3-_-HS7v9uuqQliiIfrmMP4VaFoDNDWyUFy2J8/edit?gid=0#gid=0"",""Sheet1!AE:AE""),
      IMPORTRANGE(""1Cxrhp3-_-HS7v9uuqQliiIfrmMP4VaFoDNDWyUFy2J8/edit?gid=0#gid=0"",""Sheet1!K:K"")=$B99
    ),
    1
  ),"&amp;"
  ""Not Found""
)"),"Not Found")</f>
        <v>Not Found</v>
      </c>
      <c r="K99" s="340"/>
      <c r="L99" s="340"/>
      <c r="M99" s="230"/>
      <c r="N99" s="230"/>
      <c r="O99" s="230"/>
      <c r="P99" s="230"/>
      <c r="Q99" s="230"/>
      <c r="R99" s="230"/>
      <c r="S99" s="230"/>
      <c r="T99" s="230"/>
      <c r="U99" s="230"/>
      <c r="V99" s="230"/>
      <c r="W99" s="230"/>
      <c r="X99" s="230"/>
      <c r="Y99" s="230"/>
      <c r="Z99" s="230"/>
    </row>
    <row r="100">
      <c r="A100" s="337" t="str">
        <f>IFERROR(__xludf.DUMMYFUNCTION("VLOOKUP($B100,IMPORTRANGE(""https://docs.google.com/spreadsheets/d/1VNXDITjs75AcgdBSW27oL1VZH31udDprJSsBcE5xlp4/edit?gid=1551188038#gid=1551188038"", ""Sheet9!$B:$E""),2,false)"),"Saikot")</f>
        <v>Saikot</v>
      </c>
      <c r="B100" s="338" t="s">
        <v>4560</v>
      </c>
      <c r="C100" s="284" t="str">
        <f>IFERROR(__xludf.DUMMYFUNCTION("IFERROR(
  INDEX(
    FILTER(
      IMPORTRANGE(""1Cxrhp3-_-HS7v9uuqQliiIfrmMP4VaFoDNDWyUFy2J8/edit?gid=0#gid=0"",""Sheet1!AE:AE""),
      IMPORTRANGE(""1Cxrhp3-_-HS7v9uuqQliiIfrmMP4VaFoDNDWyUFy2J8/edit?gid=0#gid=0"",""Sheet1!K:K"")=$B100
    ),
    1
  )"&amp;",
  ""Not Found""
)"),"Not Found")</f>
        <v>Not Found</v>
      </c>
      <c r="D100" s="284"/>
      <c r="E100" s="284" t="str">
        <f>IFERROR(__xludf.DUMMYFUNCTION("IFERROR(
  INDEX(
    FILTER(
      IMPORTRANGE(""1kOrIKZmJfNUkgOVP3sI9BPjaaPA0_a4636oymQxTXg8/edit?gid=609491371#gid=609491371"",""Form responses 1!J:J""),
      IMPORTRANGE(""1kOrIKZmJfNUkgOVP3sI9BPjaaPA0_a4636oymQxTXg8/edit?gid=609491371#gid=609491371"&amp;""",""Form responses 1!F:F"")=$B100
    ),
    1
  ),
  ""Not Found""
)"),"Not Found")</f>
        <v>Not Found</v>
      </c>
      <c r="F100" s="284" t="str">
        <f>IFERROR(__xludf.DUMMYFUNCTION("IFERROR(
  INDEX(
    FILTER(
      IMPORTRANGE(""1kOrIKZmJfNUkgOVP3sI9BPjaaPA0_a4636oymQxTXg8/edit?gid=609491371#gid=609491371"",""Form responses 1!L:L""),
      IMPORTRANGE(""1kOrIKZmJfNUkgOVP3sI9BPjaaPA0_a4636oymQxTXg8/edit?gid=609491371#gid=609491371"&amp;""",""Form responses 1!F:F"")=$B100
    ),
    1
  ),
  ""Not Found""
)"),"Not Found")</f>
        <v>Not Found</v>
      </c>
      <c r="G100" s="284"/>
      <c r="H100" s="230"/>
      <c r="I100" s="230"/>
      <c r="J100" s="339" t="str">
        <f>IFERROR(__xludf.DUMMYFUNCTION("IFERROR(
  INDEX(
    FILTER(
      IMPORTRANGE(""1Cxrhp3-_-HS7v9uuqQliiIfrmMP4VaFoDNDWyUFy2J8/edit?gid=0#gid=0"",""Sheet1!AE:AE""),
      IMPORTRANGE(""1Cxrhp3-_-HS7v9uuqQliiIfrmMP4VaFoDNDWyUFy2J8/edit?gid=0#gid=0"",""Sheet1!K:K"")=$B100
    ),
    1
  )"&amp;",
  ""Not Found""
)"),"Not Found")</f>
        <v>Not Found</v>
      </c>
      <c r="K100" s="340"/>
      <c r="L100" s="340"/>
      <c r="M100" s="230"/>
      <c r="N100" s="230"/>
      <c r="O100" s="230"/>
      <c r="P100" s="230"/>
      <c r="Q100" s="230"/>
      <c r="R100" s="230"/>
      <c r="S100" s="230"/>
      <c r="T100" s="230"/>
      <c r="U100" s="230"/>
      <c r="V100" s="230"/>
      <c r="W100" s="230"/>
      <c r="X100" s="230"/>
      <c r="Y100" s="230"/>
      <c r="Z100" s="230"/>
    </row>
    <row r="101">
      <c r="A101" s="337" t="str">
        <f>IFERROR(__xludf.DUMMYFUNCTION("VLOOKUP($B101,IMPORTRANGE(""https://docs.google.com/spreadsheets/d/1VNXDITjs75AcgdBSW27oL1VZH31udDprJSsBcE5xlp4/edit?gid=1551188038#gid=1551188038"", ""Sheet9!$B:$E""),2,false)"),"Saikot")</f>
        <v>Saikot</v>
      </c>
      <c r="B101" s="338" t="s">
        <v>4561</v>
      </c>
      <c r="C101" s="284">
        <f>IFERROR(__xludf.DUMMYFUNCTION("IFERROR(
  INDEX(
    FILTER(
      IMPORTRANGE(""1Cxrhp3-_-HS7v9uuqQliiIfrmMP4VaFoDNDWyUFy2J8/edit?gid=0#gid=0"",""Sheet1!AE:AE""),
      IMPORTRANGE(""1Cxrhp3-_-HS7v9uuqQliiIfrmMP4VaFoDNDWyUFy2J8/edit?gid=0#gid=0"",""Sheet1!K:K"")=$B101
    ),
    1
  )"&amp;",
  ""Not Found""
)"),1994.0)</f>
        <v>1994</v>
      </c>
      <c r="D101" s="284" t="str">
        <f>IFERROR(__xludf.DUMMYFUNCTION("IFERROR(
  INDEX(
    FILTER(
      IMPORTRANGE(""1Cxrhp3-_-HS7v9uuqQliiIfrmMP4VaFoDNDWyUFy2J8/edit?gid=0#gid=0"",""Sheet1!AG:AG""),
      IMPORTRANGE(""1Cxrhp3-_-HS7v9uuqQliiIfrmMP4VaFoDNDWyUFy2J8/edit?gid=0#gid=0"",""Sheet1!K:K"")=$B101
    ),
    1
  )"&amp;",
  ""Not Found""
)"),"")</f>
        <v/>
      </c>
      <c r="E101" s="284" t="str">
        <f>IFERROR(__xludf.DUMMYFUNCTION("IFERROR(
  INDEX(
    FILTER(
      IMPORTRANGE(""1kOrIKZmJfNUkgOVP3sI9BPjaaPA0_a4636oymQxTXg8/edit?gid=609491371#gid=609491371"",""Form responses 1!J:J""),
      IMPORTRANGE(""1kOrIKZmJfNUkgOVP3sI9BPjaaPA0_a4636oymQxTXg8/edit?gid=609491371#gid=609491371"&amp;""",""Form responses 1!F:F"")=$B101
    ),
    1
  ),
  ""Not Found""
)"),"Not Found")</f>
        <v>Not Found</v>
      </c>
      <c r="F101" s="284" t="str">
        <f>IFERROR(__xludf.DUMMYFUNCTION("IFERROR(
  INDEX(
    FILTER(
      IMPORTRANGE(""1kOrIKZmJfNUkgOVP3sI9BPjaaPA0_a4636oymQxTXg8/edit?gid=609491371#gid=609491371"",""Form responses 1!L:L""),
      IMPORTRANGE(""1kOrIKZmJfNUkgOVP3sI9BPjaaPA0_a4636oymQxTXg8/edit?gid=609491371#gid=609491371"&amp;""",""Form responses 1!F:F"")=$B101
    ),
    1
  ),
  ""Not Found""
)"),"Not Found")</f>
        <v>Not Found</v>
      </c>
      <c r="G101" s="284"/>
      <c r="H101" s="230"/>
      <c r="I101" s="230">
        <v>1994.0</v>
      </c>
      <c r="J101" s="339">
        <f>IFERROR(__xludf.DUMMYFUNCTION("IFERROR(
  INDEX(
    FILTER(
      IMPORTRANGE(""1Cxrhp3-_-HS7v9uuqQliiIfrmMP4VaFoDNDWyUFy2J8/edit?gid=0#gid=0"",""Sheet1!AE:AE""),
      IMPORTRANGE(""1Cxrhp3-_-HS7v9uuqQliiIfrmMP4VaFoDNDWyUFy2J8/edit?gid=0#gid=0"",""Sheet1!K:K"")=$B101
    ),
    1
  )"&amp;",
  ""Not Found""
)"),1994.0)</f>
        <v>1994</v>
      </c>
      <c r="K101" s="340"/>
      <c r="L101" s="340"/>
      <c r="M101" s="230"/>
      <c r="N101" s="230"/>
      <c r="O101" s="230"/>
      <c r="P101" s="230"/>
      <c r="Q101" s="230"/>
      <c r="R101" s="230"/>
      <c r="S101" s="230"/>
      <c r="T101" s="230"/>
      <c r="U101" s="230"/>
      <c r="V101" s="230"/>
      <c r="W101" s="230"/>
      <c r="X101" s="230"/>
      <c r="Y101" s="230"/>
      <c r="Z101" s="230"/>
    </row>
    <row r="102">
      <c r="A102" s="337" t="str">
        <f>IFERROR(__xludf.DUMMYFUNCTION("VLOOKUP($B102,IMPORTRANGE(""https://docs.google.com/spreadsheets/d/1VNXDITjs75AcgdBSW27oL1VZH31udDprJSsBcE5xlp4/edit?gid=1551188038#gid=1551188038"", ""Sheet9!$B:$E""),2,false)"),"Saikot")</f>
        <v>Saikot</v>
      </c>
      <c r="B102" s="338" t="s">
        <v>4562</v>
      </c>
      <c r="C102" s="284">
        <f>IFERROR(__xludf.DUMMYFUNCTION("IFERROR(
  INDEX(
    FILTER(
      IMPORTRANGE(""1Cxrhp3-_-HS7v9uuqQliiIfrmMP4VaFoDNDWyUFy2J8/edit?gid=0#gid=0"",""Sheet1!AE:AE""),
      IMPORTRANGE(""1Cxrhp3-_-HS7v9uuqQliiIfrmMP4VaFoDNDWyUFy2J8/edit?gid=0#gid=0"",""Sheet1!K:K"")=$B102
    ),
    1
  )"&amp;",
  ""Not Found""
)"),2005.0)</f>
        <v>2005</v>
      </c>
      <c r="D102" s="284" t="str">
        <f>IFERROR(__xludf.DUMMYFUNCTION("IFERROR(
  INDEX(
    FILTER(
      IMPORTRANGE(""1Cxrhp3-_-HS7v9uuqQliiIfrmMP4VaFoDNDWyUFy2J8/edit?gid=0#gid=0"",""Sheet1!AG:AG""),
      IMPORTRANGE(""1Cxrhp3-_-HS7v9uuqQliiIfrmMP4VaFoDNDWyUFy2J8/edit?gid=0#gid=0"",""Sheet1!K:K"")=$B102
    ),
    1
  )"&amp;",
  ""Not Found""
)"),"Peer malah")</f>
        <v>Peer malah</v>
      </c>
      <c r="E102" s="284" t="str">
        <f>IFERROR(__xludf.DUMMYFUNCTION("IFERROR(
  INDEX(
    FILTER(
      IMPORTRANGE(""1kOrIKZmJfNUkgOVP3sI9BPjaaPA0_a4636oymQxTXg8/edit?gid=609491371#gid=609491371"",""Form responses 1!J:J""),
      IMPORTRANGE(""1kOrIKZmJfNUkgOVP3sI9BPjaaPA0_a4636oymQxTXg8/edit?gid=609491371#gid=609491371"&amp;""",""Form responses 1!F:F"")=$B102
    ),
    1
  ),
  ""Not Found""
)"),"Not Found")</f>
        <v>Not Found</v>
      </c>
      <c r="F102" s="284" t="str">
        <f>IFERROR(__xludf.DUMMYFUNCTION("IFERROR(
  INDEX(
    FILTER(
      IMPORTRANGE(""1kOrIKZmJfNUkgOVP3sI9BPjaaPA0_a4636oymQxTXg8/edit?gid=609491371#gid=609491371"",""Form responses 1!L:L""),
      IMPORTRANGE(""1kOrIKZmJfNUkgOVP3sI9BPjaaPA0_a4636oymQxTXg8/edit?gid=609491371#gid=609491371"&amp;""",""Form responses 1!F:F"")=$B102
    ),
    1
  ),
  ""Not Found""
)"),"Not Found")</f>
        <v>Not Found</v>
      </c>
      <c r="G102" s="284"/>
      <c r="H102" s="230"/>
      <c r="I102" s="230">
        <v>2005.0</v>
      </c>
      <c r="J102" s="339">
        <f>IFERROR(__xludf.DUMMYFUNCTION("IFERROR(
  INDEX(
    FILTER(
      IMPORTRANGE(""1Cxrhp3-_-HS7v9uuqQliiIfrmMP4VaFoDNDWyUFy2J8/edit?gid=0#gid=0"",""Sheet1!AE:AE""),
      IMPORTRANGE(""1Cxrhp3-_-HS7v9uuqQliiIfrmMP4VaFoDNDWyUFy2J8/edit?gid=0#gid=0"",""Sheet1!K:K"")=$B102
    ),
    1
  )"&amp;",
  ""Not Found""
)"),2005.0)</f>
        <v>2005</v>
      </c>
      <c r="K102" s="340"/>
      <c r="L102" s="340"/>
      <c r="M102" s="230"/>
      <c r="N102" s="230"/>
      <c r="O102" s="230"/>
      <c r="P102" s="230"/>
      <c r="Q102" s="230"/>
      <c r="R102" s="230"/>
      <c r="S102" s="230"/>
      <c r="T102" s="230"/>
      <c r="U102" s="230"/>
      <c r="V102" s="230"/>
      <c r="W102" s="230"/>
      <c r="X102" s="230"/>
      <c r="Y102" s="230"/>
      <c r="Z102" s="230"/>
    </row>
    <row r="103">
      <c r="A103" s="337" t="str">
        <f>IFERROR(__xludf.DUMMYFUNCTION("VLOOKUP($B103,IMPORTRANGE(""https://docs.google.com/spreadsheets/d/1VNXDITjs75AcgdBSW27oL1VZH31udDprJSsBcE5xlp4/edit?gid=1551188038#gid=1551188038"", ""Sheet9!$B:$E""),2,false)"),"Saikot")</f>
        <v>Saikot</v>
      </c>
      <c r="B103" s="338" t="s">
        <v>1969</v>
      </c>
      <c r="C103" s="284">
        <f>IFERROR(__xludf.DUMMYFUNCTION("IFERROR(
  INDEX(
    FILTER(
      IMPORTRANGE(""1Cxrhp3-_-HS7v9uuqQliiIfrmMP4VaFoDNDWyUFy2J8/edit?gid=0#gid=0"",""Sheet1!AE:AE""),
      IMPORTRANGE(""1Cxrhp3-_-HS7v9uuqQliiIfrmMP4VaFoDNDWyUFy2J8/edit?gid=0#gid=0"",""Sheet1!K:K"")=$B103
    ),
    1
  )"&amp;",
  ""Not Found""
)"),2002.0)</f>
        <v>2002</v>
      </c>
      <c r="D103" s="284" t="str">
        <f>IFERROR(__xludf.DUMMYFUNCTION("IFERROR(
  INDEX(
    FILTER(
      IMPORTRANGE(""1Cxrhp3-_-HS7v9uuqQliiIfrmMP4VaFoDNDWyUFy2J8/edit?gid=0#gid=0"",""Sheet1!AG:AG""),
      IMPORTRANGE(""1Cxrhp3-_-HS7v9uuqQliiIfrmMP4VaFoDNDWyUFy2J8/edit?gid=0#gid=0"",""Sheet1!K:K"")=$B103
    ),
    1
  )"&amp;",
  ""Not Found""
)"),"Peer Abdul slam chishti")</f>
        <v>Peer Abdul slam chishti</v>
      </c>
      <c r="E103" s="284" t="str">
        <f>IFERROR(__xludf.DUMMYFUNCTION("IFERROR(
  INDEX(
    FILTER(
      IMPORTRANGE(""1kOrIKZmJfNUkgOVP3sI9BPjaaPA0_a4636oymQxTXg8/edit?gid=609491371#gid=609491371"",""Form responses 1!J:J""),
      IMPORTRANGE(""1kOrIKZmJfNUkgOVP3sI9BPjaaPA0_a4636oymQxTXg8/edit?gid=609491371#gid=609491371"&amp;""",""Form responses 1!F:F"")=$B103
    ),
    1
  ),
  ""Not Found""
)"),"Not Found")</f>
        <v>Not Found</v>
      </c>
      <c r="F103" s="284" t="str">
        <f>IFERROR(__xludf.DUMMYFUNCTION("IFERROR(
  INDEX(
    FILTER(
      IMPORTRANGE(""1kOrIKZmJfNUkgOVP3sI9BPjaaPA0_a4636oymQxTXg8/edit?gid=609491371#gid=609491371"",""Form responses 1!L:L""),
      IMPORTRANGE(""1kOrIKZmJfNUkgOVP3sI9BPjaaPA0_a4636oymQxTXg8/edit?gid=609491371#gid=609491371"&amp;""",""Form responses 1!F:F"")=$B103
    ),
    1
  ),
  ""Not Found""
)"),"Not Found")</f>
        <v>Not Found</v>
      </c>
      <c r="G103" s="284"/>
      <c r="H103" s="230"/>
      <c r="I103" s="230">
        <v>2002.0</v>
      </c>
      <c r="J103" s="339">
        <f>IFERROR(__xludf.DUMMYFUNCTION("IFERROR(
  INDEX(
    FILTER(
      IMPORTRANGE(""1Cxrhp3-_-HS7v9uuqQliiIfrmMP4VaFoDNDWyUFy2J8/edit?gid=0#gid=0"",""Sheet1!AE:AE""),
      IMPORTRANGE(""1Cxrhp3-_-HS7v9uuqQliiIfrmMP4VaFoDNDWyUFy2J8/edit?gid=0#gid=0"",""Sheet1!K:K"")=$B103
    ),
    1
  )"&amp;",
  ""Not Found""
)"),2002.0)</f>
        <v>2002</v>
      </c>
      <c r="K103" s="340"/>
      <c r="L103" s="340"/>
      <c r="M103" s="230"/>
      <c r="N103" s="230"/>
      <c r="O103" s="230"/>
      <c r="P103" s="230"/>
      <c r="Q103" s="230"/>
      <c r="R103" s="230"/>
      <c r="S103" s="230"/>
      <c r="T103" s="230"/>
      <c r="U103" s="230"/>
      <c r="V103" s="230"/>
      <c r="W103" s="230"/>
      <c r="X103" s="230"/>
      <c r="Y103" s="230"/>
      <c r="Z103" s="230"/>
    </row>
    <row r="104">
      <c r="A104" s="337" t="str">
        <f>IFERROR(__xludf.DUMMYFUNCTION("VLOOKUP($B104,IMPORTRANGE(""https://docs.google.com/spreadsheets/d/1VNXDITjs75AcgdBSW27oL1VZH31udDprJSsBcE5xlp4/edit?gid=1551188038#gid=1551188038"", ""Sheet9!$B:$E""),2,false)"),"Saikot")</f>
        <v>Saikot</v>
      </c>
      <c r="B104" s="338" t="s">
        <v>2092</v>
      </c>
      <c r="C104" s="284">
        <f>IFERROR(__xludf.DUMMYFUNCTION("IFERROR(
  INDEX(
    FILTER(
      IMPORTRANGE(""1Cxrhp3-_-HS7v9uuqQliiIfrmMP4VaFoDNDWyUFy2J8/edit?gid=0#gid=0"",""Sheet1!AE:AE""),
      IMPORTRANGE(""1Cxrhp3-_-HS7v9uuqQliiIfrmMP4VaFoDNDWyUFy2J8/edit?gid=0#gid=0"",""Sheet1!K:K"")=$B104
    ),
    1
  )"&amp;",
  ""Not Found""
)"),1965.0)</f>
        <v>1965</v>
      </c>
      <c r="D104" s="284" t="str">
        <f>IFERROR(__xludf.DUMMYFUNCTION("IFERROR(
  INDEX(
    FILTER(
      IMPORTRANGE(""1Cxrhp3-_-HS7v9uuqQliiIfrmMP4VaFoDNDWyUFy2J8/edit?gid=0#gid=0"",""Sheet1!AG:AG""),
      IMPORTRANGE(""1Cxrhp3-_-HS7v9uuqQliiIfrmMP4VaFoDNDWyUFy2J8/edit?gid=0#gid=0"",""Sheet1!K:K"")=$B104
    ),
    1
  )"&amp;",
  ""Not Found""
)"),"")</f>
        <v/>
      </c>
      <c r="E104" s="284" t="str">
        <f>IFERROR(__xludf.DUMMYFUNCTION("IFERROR(
  INDEX(
    FILTER(
      IMPORTRANGE(""1kOrIKZmJfNUkgOVP3sI9BPjaaPA0_a4636oymQxTXg8/edit?gid=609491371#gid=609491371"",""Form responses 1!J:J""),
      IMPORTRANGE(""1kOrIKZmJfNUkgOVP3sI9BPjaaPA0_a4636oymQxTXg8/edit?gid=609491371#gid=609491371"&amp;""",""Form responses 1!F:F"")=$B104
    ),
    1
  ),
  ""Not Found""
)"),"Not Found")</f>
        <v>Not Found</v>
      </c>
      <c r="F104" s="284" t="str">
        <f>IFERROR(__xludf.DUMMYFUNCTION("IFERROR(
  INDEX(
    FILTER(
      IMPORTRANGE(""1kOrIKZmJfNUkgOVP3sI9BPjaaPA0_a4636oymQxTXg8/edit?gid=609491371#gid=609491371"",""Form responses 1!L:L""),
      IMPORTRANGE(""1kOrIKZmJfNUkgOVP3sI9BPjaaPA0_a4636oymQxTXg8/edit?gid=609491371#gid=609491371"&amp;""",""Form responses 1!F:F"")=$B104
    ),
    1
  ),
  ""Not Found""
)"),"Not Found")</f>
        <v>Not Found</v>
      </c>
      <c r="G104" s="284"/>
      <c r="H104" s="230"/>
      <c r="I104" s="230">
        <v>1965.0</v>
      </c>
      <c r="J104" s="339">
        <f>IFERROR(__xludf.DUMMYFUNCTION("IFERROR(
  INDEX(
    FILTER(
      IMPORTRANGE(""1Cxrhp3-_-HS7v9uuqQliiIfrmMP4VaFoDNDWyUFy2J8/edit?gid=0#gid=0"",""Sheet1!AE:AE""),
      IMPORTRANGE(""1Cxrhp3-_-HS7v9uuqQliiIfrmMP4VaFoDNDWyUFy2J8/edit?gid=0#gid=0"",""Sheet1!K:K"")=$B104
    ),
    1
  )"&amp;",
  ""Not Found""
)"),1965.0)</f>
        <v>1965</v>
      </c>
      <c r="K104" s="340"/>
      <c r="L104" s="340"/>
      <c r="M104" s="230"/>
      <c r="N104" s="230"/>
      <c r="O104" s="230"/>
      <c r="P104" s="230"/>
      <c r="Q104" s="230"/>
      <c r="R104" s="230"/>
      <c r="S104" s="230"/>
      <c r="T104" s="230"/>
      <c r="U104" s="230"/>
      <c r="V104" s="230"/>
      <c r="W104" s="230"/>
      <c r="X104" s="230"/>
      <c r="Y104" s="230"/>
      <c r="Z104" s="230"/>
    </row>
    <row r="105">
      <c r="A105" s="337" t="str">
        <f>IFERROR(__xludf.DUMMYFUNCTION("VLOOKUP($B105,IMPORTRANGE(""https://docs.google.com/spreadsheets/d/1VNXDITjs75AcgdBSW27oL1VZH31udDprJSsBcE5xlp4/edit?gid=1551188038#gid=1551188038"", ""Sheet9!$B:$E""),2,false)"),"Saikot")</f>
        <v>Saikot</v>
      </c>
      <c r="B105" s="338" t="s">
        <v>2537</v>
      </c>
      <c r="C105" s="284" t="str">
        <f>IFERROR(__xludf.DUMMYFUNCTION("IFERROR(
  INDEX(
    FILTER(
      IMPORTRANGE(""1Cxrhp3-_-HS7v9uuqQliiIfrmMP4VaFoDNDWyUFy2J8/edit?gid=0#gid=0"",""Sheet1!AE:AE""),
      IMPORTRANGE(""1Cxrhp3-_-HS7v9uuqQliiIfrmMP4VaFoDNDWyUFy2J8/edit?gid=0#gid=0"",""Sheet1!K:K"")=$B105
    ),
    1
  )"&amp;",
  ""Not Found""
)"),"Not Found")</f>
        <v>Not Found</v>
      </c>
      <c r="D105" s="284"/>
      <c r="E105" s="284" t="str">
        <f>IFERROR(__xludf.DUMMYFUNCTION("IFERROR(
  INDEX(
    FILTER(
      IMPORTRANGE(""1kOrIKZmJfNUkgOVP3sI9BPjaaPA0_a4636oymQxTXg8/edit?gid=609491371#gid=609491371"",""Form responses 1!J:J""),
      IMPORTRANGE(""1kOrIKZmJfNUkgOVP3sI9BPjaaPA0_a4636oymQxTXg8/edit?gid=609491371#gid=609491371"&amp;""",""Form responses 1!F:F"")=$B105
    ),
    1
  ),
  ""Not Found""
)"),"Not Found")</f>
        <v>Not Found</v>
      </c>
      <c r="F105" s="284" t="str">
        <f>IFERROR(__xludf.DUMMYFUNCTION("IFERROR(
  INDEX(
    FILTER(
      IMPORTRANGE(""1kOrIKZmJfNUkgOVP3sI9BPjaaPA0_a4636oymQxTXg8/edit?gid=609491371#gid=609491371"",""Form responses 1!L:L""),
      IMPORTRANGE(""1kOrIKZmJfNUkgOVP3sI9BPjaaPA0_a4636oymQxTXg8/edit?gid=609491371#gid=609491371"&amp;""",""Form responses 1!F:F"")=$B105
    ),
    1
  ),
  ""Not Found""
)"),"Not Found")</f>
        <v>Not Found</v>
      </c>
      <c r="G105" s="284"/>
      <c r="H105" s="230"/>
      <c r="I105" s="230"/>
      <c r="J105" s="339" t="str">
        <f>IFERROR(__xludf.DUMMYFUNCTION("IFERROR(
  INDEX(
    FILTER(
      IMPORTRANGE(""1Cxrhp3-_-HS7v9uuqQliiIfrmMP4VaFoDNDWyUFy2J8/edit?gid=0#gid=0"",""Sheet1!AE:AE""),
      IMPORTRANGE(""1Cxrhp3-_-HS7v9uuqQliiIfrmMP4VaFoDNDWyUFy2J8/edit?gid=0#gid=0"",""Sheet1!K:K"")=$B105
    ),
    1
  )"&amp;",
  ""Not Found""
)"),"Not Found")</f>
        <v>Not Found</v>
      </c>
      <c r="K105" s="340"/>
      <c r="L105" s="340"/>
      <c r="M105" s="230"/>
      <c r="N105" s="230"/>
      <c r="O105" s="230"/>
      <c r="P105" s="230"/>
      <c r="Q105" s="230"/>
      <c r="R105" s="230"/>
      <c r="S105" s="230"/>
      <c r="T105" s="230"/>
      <c r="U105" s="230"/>
      <c r="V105" s="230"/>
      <c r="W105" s="230"/>
      <c r="X105" s="230"/>
      <c r="Y105" s="230"/>
      <c r="Z105" s="230"/>
    </row>
    <row r="106">
      <c r="A106" s="337" t="str">
        <f>IFERROR(__xludf.DUMMYFUNCTION("VLOOKUP($B106,IMPORTRANGE(""https://docs.google.com/spreadsheets/d/1VNXDITjs75AcgdBSW27oL1VZH31udDprJSsBcE5xlp4/edit?gid=1551188038#gid=1551188038"", ""Sheet9!$B:$E""),2,false)"),"Shiekhpura")</f>
        <v>Shiekhpura</v>
      </c>
      <c r="B106" s="338" t="s">
        <v>1491</v>
      </c>
      <c r="C106" s="284">
        <f>IFERROR(__xludf.DUMMYFUNCTION("IFERROR(
  INDEX(
    FILTER(
      IMPORTRANGE(""1Cxrhp3-_-HS7v9uuqQliiIfrmMP4VaFoDNDWyUFy2J8/edit?gid=0#gid=0"",""Sheet1!AE:AE""),
      IMPORTRANGE(""1Cxrhp3-_-HS7v9uuqQliiIfrmMP4VaFoDNDWyUFy2J8/edit?gid=0#gid=0"",""Sheet1!K:K"")=$B106
    ),
    1
  )"&amp;",
  ""Not Found""
)"),1956.0)</f>
        <v>1956</v>
      </c>
      <c r="D106" s="284" t="str">
        <f>IFERROR(__xludf.DUMMYFUNCTION("IFERROR(
  INDEX(
    FILTER(
      IMPORTRANGE(""1Cxrhp3-_-HS7v9uuqQliiIfrmMP4VaFoDNDWyUFy2J8/edit?gid=0#gid=0"",""Sheet1!AG:AG""),
      IMPORTRANGE(""1Cxrhp3-_-HS7v9uuqQliiIfrmMP4VaFoDNDWyUFy2J8/edit?gid=0#gid=0"",""Sheet1!K:K"")=$B106
    ),
    1
  )"&amp;",
  ""Not Found""
)"),"")</f>
        <v/>
      </c>
      <c r="E106" s="284" t="str">
        <f>IFERROR(__xludf.DUMMYFUNCTION("IFERROR(
  INDEX(
    FILTER(
      IMPORTRANGE(""1kOrIKZmJfNUkgOVP3sI9BPjaaPA0_a4636oymQxTXg8/edit?gid=609491371#gid=609491371"",""Form responses 1!J:J""),
      IMPORTRANGE(""1kOrIKZmJfNUkgOVP3sI9BPjaaPA0_a4636oymQxTXg8/edit?gid=609491371#gid=609491371"&amp;""",""Form responses 1!F:F"")=$B106
    ),
    1
  ),
  ""Not Found""
)"),"Not Found")</f>
        <v>Not Found</v>
      </c>
      <c r="F106" s="284" t="str">
        <f>IFERROR(__xludf.DUMMYFUNCTION("IFERROR(
  INDEX(
    FILTER(
      IMPORTRANGE(""1kOrIKZmJfNUkgOVP3sI9BPjaaPA0_a4636oymQxTXg8/edit?gid=609491371#gid=609491371"",""Form responses 1!L:L""),
      IMPORTRANGE(""1kOrIKZmJfNUkgOVP3sI9BPjaaPA0_a4636oymQxTXg8/edit?gid=609491371#gid=609491371"&amp;""",""Form responses 1!F:F"")=$B106
    ),
    1
  ),
  ""Not Found""
)"),"Not Found")</f>
        <v>Not Found</v>
      </c>
      <c r="G106" s="284"/>
      <c r="H106" s="230"/>
      <c r="I106" s="230">
        <v>1956.0</v>
      </c>
      <c r="J106" s="339">
        <f>IFERROR(__xludf.DUMMYFUNCTION("IFERROR(
  INDEX(
    FILTER(
      IMPORTRANGE(""1Cxrhp3-_-HS7v9uuqQliiIfrmMP4VaFoDNDWyUFy2J8/edit?gid=0#gid=0"",""Sheet1!AE:AE""),
      IMPORTRANGE(""1Cxrhp3-_-HS7v9uuqQliiIfrmMP4VaFoDNDWyUFy2J8/edit?gid=0#gid=0"",""Sheet1!K:K"")=$B106
    ),
    1
  )"&amp;",
  ""Not Found""
)"),1956.0)</f>
        <v>1956</v>
      </c>
      <c r="K106" s="340"/>
      <c r="L106" s="340"/>
      <c r="M106" s="230"/>
      <c r="N106" s="230"/>
      <c r="O106" s="230"/>
      <c r="P106" s="230"/>
      <c r="Q106" s="230"/>
      <c r="R106" s="230"/>
      <c r="S106" s="230"/>
      <c r="T106" s="230"/>
      <c r="U106" s="230"/>
      <c r="V106" s="230"/>
      <c r="W106" s="230"/>
      <c r="X106" s="230"/>
      <c r="Y106" s="230"/>
      <c r="Z106" s="230"/>
    </row>
    <row r="107">
      <c r="A107" s="337" t="str">
        <f>IFERROR(__xludf.DUMMYFUNCTION("VLOOKUP($B107,IMPORTRANGE(""https://docs.google.com/spreadsheets/d/1VNXDITjs75AcgdBSW27oL1VZH31udDprJSsBcE5xlp4/edit?gid=1551188038#gid=1551188038"", ""Sheet9!$B:$E""),2,false)"),"Shiekhpura")</f>
        <v>Shiekhpura</v>
      </c>
      <c r="B107" s="338" t="s">
        <v>2015</v>
      </c>
      <c r="C107" s="284">
        <f>IFERROR(__xludf.DUMMYFUNCTION("IFERROR(
  INDEX(
    FILTER(
      IMPORTRANGE(""1Cxrhp3-_-HS7v9uuqQliiIfrmMP4VaFoDNDWyUFy2J8/edit?gid=0#gid=0"",""Sheet1!AE:AE""),
      IMPORTRANGE(""1Cxrhp3-_-HS7v9uuqQliiIfrmMP4VaFoDNDWyUFy2J8/edit?gid=0#gid=0"",""Sheet1!K:K"")=$B107
    ),
    1
  )"&amp;",
  ""Not Found""
)"),1980.0)</f>
        <v>1980</v>
      </c>
      <c r="D107" s="284" t="str">
        <f>IFERROR(__xludf.DUMMYFUNCTION("IFERROR(
  INDEX(
    FILTER(
      IMPORTRANGE(""1Cxrhp3-_-HS7v9uuqQliiIfrmMP4VaFoDNDWyUFy2J8/edit?gid=0#gid=0"",""Sheet1!AG:AG""),
      IMPORTRANGE(""1Cxrhp3-_-HS7v9uuqQliiIfrmMP4VaFoDNDWyUFy2J8/edit?gid=0#gid=0"",""Sheet1!K:K"")=$B107
    ),
    1
  )"&amp;",
  ""Not Found""
)"),"Shah masa deewan")</f>
        <v>Shah masa deewan</v>
      </c>
      <c r="E107" s="284" t="str">
        <f>IFERROR(__xludf.DUMMYFUNCTION("IFERROR(
  INDEX(
    FILTER(
      IMPORTRANGE(""1kOrIKZmJfNUkgOVP3sI9BPjaaPA0_a4636oymQxTXg8/edit?gid=609491371#gid=609491371"",""Form responses 1!J:J""),
      IMPORTRANGE(""1kOrIKZmJfNUkgOVP3sI9BPjaaPA0_a4636oymQxTXg8/edit?gid=609491371#gid=609491371"&amp;""",""Form responses 1!F:F"")=$B107
    ),
    1
  ),
  ""Not Found""
)"),"Not Found")</f>
        <v>Not Found</v>
      </c>
      <c r="F107" s="284" t="str">
        <f>IFERROR(__xludf.DUMMYFUNCTION("IFERROR(
  INDEX(
    FILTER(
      IMPORTRANGE(""1kOrIKZmJfNUkgOVP3sI9BPjaaPA0_a4636oymQxTXg8/edit?gid=609491371#gid=609491371"",""Form responses 1!L:L""),
      IMPORTRANGE(""1kOrIKZmJfNUkgOVP3sI9BPjaaPA0_a4636oymQxTXg8/edit?gid=609491371#gid=609491371"&amp;""",""Form responses 1!F:F"")=$B107
    ),
    1
  ),
  ""Not Found""
)"),"Not Found")</f>
        <v>Not Found</v>
      </c>
      <c r="G107" s="284"/>
      <c r="H107" s="230"/>
      <c r="I107" s="230">
        <v>1980.0</v>
      </c>
      <c r="J107" s="339">
        <f>IFERROR(__xludf.DUMMYFUNCTION("IFERROR(
  INDEX(
    FILTER(
      IMPORTRANGE(""1Cxrhp3-_-HS7v9uuqQliiIfrmMP4VaFoDNDWyUFy2J8/edit?gid=0#gid=0"",""Sheet1!AE:AE""),
      IMPORTRANGE(""1Cxrhp3-_-HS7v9uuqQliiIfrmMP4VaFoDNDWyUFy2J8/edit?gid=0#gid=0"",""Sheet1!K:K"")=$B107
    ),
    1
  )"&amp;",
  ""Not Found""
)"),1980.0)</f>
        <v>1980</v>
      </c>
      <c r="K107" s="340"/>
      <c r="L107" s="340"/>
      <c r="M107" s="230"/>
      <c r="N107" s="230"/>
      <c r="O107" s="230"/>
      <c r="P107" s="230"/>
      <c r="Q107" s="230"/>
      <c r="R107" s="230"/>
      <c r="S107" s="230"/>
      <c r="T107" s="230"/>
      <c r="U107" s="230"/>
      <c r="V107" s="230"/>
      <c r="W107" s="230"/>
      <c r="X107" s="230"/>
      <c r="Y107" s="230"/>
      <c r="Z107" s="230"/>
    </row>
    <row r="108">
      <c r="A108" s="337" t="str">
        <f>IFERROR(__xludf.DUMMYFUNCTION("VLOOKUP($B108,IMPORTRANGE(""https://docs.google.com/spreadsheets/d/1VNXDITjs75AcgdBSW27oL1VZH31udDprJSsBcE5xlp4/edit?gid=1551188038#gid=1551188038"", ""Sheet9!$B:$E""),2,false)"),"Shiekhpura")</f>
        <v>Shiekhpura</v>
      </c>
      <c r="B108" s="338" t="s">
        <v>1423</v>
      </c>
      <c r="C108" s="284">
        <f>IFERROR(__xludf.DUMMYFUNCTION("IFERROR(
  INDEX(
    FILTER(
      IMPORTRANGE(""1Cxrhp3-_-HS7v9uuqQliiIfrmMP4VaFoDNDWyUFy2J8/edit?gid=0#gid=0"",""Sheet1!AE:AE""),
      IMPORTRANGE(""1Cxrhp3-_-HS7v9uuqQliiIfrmMP4VaFoDNDWyUFy2J8/edit?gid=0#gid=0"",""Sheet1!K:K"")=$B108
    ),
    1
  )"&amp;",
  ""Not Found""
)"),1950.0)</f>
        <v>1950</v>
      </c>
      <c r="D108" s="284" t="str">
        <f>IFERROR(__xludf.DUMMYFUNCTION("IFERROR(
  INDEX(
    FILTER(
      IMPORTRANGE(""1Cxrhp3-_-HS7v9uuqQliiIfrmMP4VaFoDNDWyUFy2J8/edit?gid=0#gid=0"",""Sheet1!AG:AG""),
      IMPORTRANGE(""1Cxrhp3-_-HS7v9uuqQliiIfrmMP4VaFoDNDWyUFy2J8/edit?gid=0#gid=0"",""Sheet1!K:K"")=$B108
    ),
    1
  )"&amp;",
  ""Not Found""
)"),"")</f>
        <v/>
      </c>
      <c r="E108" s="284" t="str">
        <f>IFERROR(__xludf.DUMMYFUNCTION("IFERROR(
  INDEX(
    FILTER(
      IMPORTRANGE(""1kOrIKZmJfNUkgOVP3sI9BPjaaPA0_a4636oymQxTXg8/edit?gid=609491371#gid=609491371"",""Form responses 1!J:J""),
      IMPORTRANGE(""1kOrIKZmJfNUkgOVP3sI9BPjaaPA0_a4636oymQxTXg8/edit?gid=609491371#gid=609491371"&amp;""",""Form responses 1!F:F"")=$B108
    ),
    1
  ),
  ""Not Found""
)"),"Not Found")</f>
        <v>Not Found</v>
      </c>
      <c r="F108" s="284" t="str">
        <f>IFERROR(__xludf.DUMMYFUNCTION("IFERROR(
  INDEX(
    FILTER(
      IMPORTRANGE(""1kOrIKZmJfNUkgOVP3sI9BPjaaPA0_a4636oymQxTXg8/edit?gid=609491371#gid=609491371"",""Form responses 1!L:L""),
      IMPORTRANGE(""1kOrIKZmJfNUkgOVP3sI9BPjaaPA0_a4636oymQxTXg8/edit?gid=609491371#gid=609491371"&amp;""",""Form responses 1!F:F"")=$B108
    ),
    1
  ),
  ""Not Found""
)"),"Not Found")</f>
        <v>Not Found</v>
      </c>
      <c r="G108" s="284"/>
      <c r="H108" s="230"/>
      <c r="I108" s="230">
        <v>1950.0</v>
      </c>
      <c r="J108" s="339">
        <f>IFERROR(__xludf.DUMMYFUNCTION("IFERROR(
  INDEX(
    FILTER(
      IMPORTRANGE(""1Cxrhp3-_-HS7v9uuqQliiIfrmMP4VaFoDNDWyUFy2J8/edit?gid=0#gid=0"",""Sheet1!AE:AE""),
      IMPORTRANGE(""1Cxrhp3-_-HS7v9uuqQliiIfrmMP4VaFoDNDWyUFy2J8/edit?gid=0#gid=0"",""Sheet1!K:K"")=$B108
    ),
    1
  )"&amp;",
  ""Not Found""
)"),1950.0)</f>
        <v>1950</v>
      </c>
      <c r="K108" s="340"/>
      <c r="L108" s="340"/>
      <c r="M108" s="230"/>
      <c r="N108" s="230"/>
      <c r="O108" s="230"/>
      <c r="P108" s="230"/>
      <c r="Q108" s="230"/>
      <c r="R108" s="230"/>
      <c r="S108" s="230"/>
      <c r="T108" s="230"/>
      <c r="U108" s="230"/>
      <c r="V108" s="230"/>
      <c r="W108" s="230"/>
      <c r="X108" s="230"/>
      <c r="Y108" s="230"/>
      <c r="Z108" s="230"/>
    </row>
    <row r="109">
      <c r="A109" s="337" t="str">
        <f>IFERROR(__xludf.DUMMYFUNCTION("VLOOKUP($B109,IMPORTRANGE(""https://docs.google.com/spreadsheets/d/1VNXDITjs75AcgdBSW27oL1VZH31udDprJSsBcE5xlp4/edit?gid=1551188038#gid=1551188038"", ""Sheet9!$B:$E""),2,false)"),"Shiekhpura")</f>
        <v>Shiekhpura</v>
      </c>
      <c r="B109" s="338" t="s">
        <v>1468</v>
      </c>
      <c r="C109" s="284">
        <f>IFERROR(__xludf.DUMMYFUNCTION("IFERROR(
  INDEX(
    FILTER(
      IMPORTRANGE(""1Cxrhp3-_-HS7v9uuqQliiIfrmMP4VaFoDNDWyUFy2J8/edit?gid=0#gid=0"",""Sheet1!AE:AE""),
      IMPORTRANGE(""1Cxrhp3-_-HS7v9uuqQliiIfrmMP4VaFoDNDWyUFy2J8/edit?gid=0#gid=0"",""Sheet1!K:K"")=$B109
    ),
    1
  )"&amp;",
  ""Not Found""
)"),1953.0)</f>
        <v>1953</v>
      </c>
      <c r="D109" s="284" t="str">
        <f>IFERROR(__xludf.DUMMYFUNCTION("IFERROR(
  INDEX(
    FILTER(
      IMPORTRANGE(""1Cxrhp3-_-HS7v9uuqQliiIfrmMP4VaFoDNDWyUFy2J8/edit?gid=0#gid=0"",""Sheet1!AG:AG""),
      IMPORTRANGE(""1Cxrhp3-_-HS7v9uuqQliiIfrmMP4VaFoDNDWyUFy2J8/edit?gid=0#gid=0"",""Sheet1!K:K"")=$B109
    ),
    1
  )"&amp;",
  ""Not Found""
)"),"Qalander shah ")</f>
        <v>Qalander shah </v>
      </c>
      <c r="E109" s="284" t="str">
        <f>IFERROR(__xludf.DUMMYFUNCTION("IFERROR(
  INDEX(
    FILTER(
      IMPORTRANGE(""1kOrIKZmJfNUkgOVP3sI9BPjaaPA0_a4636oymQxTXg8/edit?gid=609491371#gid=609491371"",""Form responses 1!J:J""),
      IMPORTRANGE(""1kOrIKZmJfNUkgOVP3sI9BPjaaPA0_a4636oymQxTXg8/edit?gid=609491371#gid=609491371"&amp;""",""Form responses 1!F:F"")=$B109
    ),
    1
  ),
  ""Not Found""
)"),"Not Found")</f>
        <v>Not Found</v>
      </c>
      <c r="F109" s="284" t="str">
        <f>IFERROR(__xludf.DUMMYFUNCTION("IFERROR(
  INDEX(
    FILTER(
      IMPORTRANGE(""1kOrIKZmJfNUkgOVP3sI9BPjaaPA0_a4636oymQxTXg8/edit?gid=609491371#gid=609491371"",""Form responses 1!L:L""),
      IMPORTRANGE(""1kOrIKZmJfNUkgOVP3sI9BPjaaPA0_a4636oymQxTXg8/edit?gid=609491371#gid=609491371"&amp;""",""Form responses 1!F:F"")=$B109
    ),
    1
  ),
  ""Not Found""
)"),"Not Found")</f>
        <v>Not Found</v>
      </c>
      <c r="G109" s="284"/>
      <c r="H109" s="230"/>
      <c r="I109" s="230">
        <v>1953.0</v>
      </c>
      <c r="J109" s="339">
        <f>IFERROR(__xludf.DUMMYFUNCTION("IFERROR(
  INDEX(
    FILTER(
      IMPORTRANGE(""1Cxrhp3-_-HS7v9uuqQliiIfrmMP4VaFoDNDWyUFy2J8/edit?gid=0#gid=0"",""Sheet1!AE:AE""),
      IMPORTRANGE(""1Cxrhp3-_-HS7v9uuqQliiIfrmMP4VaFoDNDWyUFy2J8/edit?gid=0#gid=0"",""Sheet1!K:K"")=$B109
    ),
    1
  )"&amp;",
  ""Not Found""
)"),1953.0)</f>
        <v>1953</v>
      </c>
      <c r="K109" s="340"/>
      <c r="L109" s="340"/>
      <c r="M109" s="230"/>
      <c r="N109" s="230"/>
      <c r="O109" s="230"/>
      <c r="P109" s="230"/>
      <c r="Q109" s="230"/>
      <c r="R109" s="230"/>
      <c r="S109" s="230"/>
      <c r="T109" s="230"/>
      <c r="U109" s="230"/>
      <c r="V109" s="230"/>
      <c r="W109" s="230"/>
      <c r="X109" s="230"/>
      <c r="Y109" s="230"/>
      <c r="Z109" s="230"/>
    </row>
    <row r="110">
      <c r="A110" s="337" t="str">
        <f>IFERROR(__xludf.DUMMYFUNCTION("VLOOKUP($B110,IMPORTRANGE(""https://docs.google.com/spreadsheets/d/1VNXDITjs75AcgdBSW27oL1VZH31udDprJSsBcE5xlp4/edit?gid=1551188038#gid=1551188038"", ""Sheet9!$B:$E""),2,false)"),"Shiekhpura")</f>
        <v>Shiekhpura</v>
      </c>
      <c r="B110" s="338" t="s">
        <v>1714</v>
      </c>
      <c r="C110" s="284">
        <f>IFERROR(__xludf.DUMMYFUNCTION("IFERROR(
  INDEX(
    FILTER(
      IMPORTRANGE(""1Cxrhp3-_-HS7v9uuqQliiIfrmMP4VaFoDNDWyUFy2J8/edit?gid=0#gid=0"",""Sheet1!AE:AE""),
      IMPORTRANGE(""1Cxrhp3-_-HS7v9uuqQliiIfrmMP4VaFoDNDWyUFy2J8/edit?gid=0#gid=0"",""Sheet1!K:K"")=$B110
    ),
    1
  )"&amp;",
  ""Not Found""
)"),2007.0)</f>
        <v>2007</v>
      </c>
      <c r="D110" s="284" t="str">
        <f>IFERROR(__xludf.DUMMYFUNCTION("IFERROR(
  INDEX(
    FILTER(
      IMPORTRANGE(""1Cxrhp3-_-HS7v9uuqQliiIfrmMP4VaFoDNDWyUFy2J8/edit?gid=0#gid=0"",""Sheet1!AG:AG""),
      IMPORTRANGE(""1Cxrhp3-_-HS7v9uuqQliiIfrmMP4VaFoDNDWyUFy2J8/edit?gid=0#gid=0"",""Sheet1!K:K"")=$B110
    ),
    1
  )"&amp;",
  ""Not Found""
)"),"")</f>
        <v/>
      </c>
      <c r="E110" s="284" t="str">
        <f>IFERROR(__xludf.DUMMYFUNCTION("IFERROR(
  INDEX(
    FILTER(
      IMPORTRANGE(""1kOrIKZmJfNUkgOVP3sI9BPjaaPA0_a4636oymQxTXg8/edit?gid=609491371#gid=609491371"",""Form responses 1!J:J""),
      IMPORTRANGE(""1kOrIKZmJfNUkgOVP3sI9BPjaaPA0_a4636oymQxTXg8/edit?gid=609491371#gid=609491371"&amp;""",""Form responses 1!F:F"")=$B110
    ),
    1
  ),
  ""Not Found""
)"),"Not Found")</f>
        <v>Not Found</v>
      </c>
      <c r="F110" s="284" t="str">
        <f>IFERROR(__xludf.DUMMYFUNCTION("IFERROR(
  INDEX(
    FILTER(
      IMPORTRANGE(""1kOrIKZmJfNUkgOVP3sI9BPjaaPA0_a4636oymQxTXg8/edit?gid=609491371#gid=609491371"",""Form responses 1!L:L""),
      IMPORTRANGE(""1kOrIKZmJfNUkgOVP3sI9BPjaaPA0_a4636oymQxTXg8/edit?gid=609491371#gid=609491371"&amp;""",""Form responses 1!F:F"")=$B110
    ),
    1
  ),
  ""Not Found""
)"),"Not Found")</f>
        <v>Not Found</v>
      </c>
      <c r="G110" s="284"/>
      <c r="H110" s="230"/>
      <c r="I110" s="230">
        <v>2007.0</v>
      </c>
      <c r="J110" s="339">
        <f>IFERROR(__xludf.DUMMYFUNCTION("IFERROR(
  INDEX(
    FILTER(
      IMPORTRANGE(""1Cxrhp3-_-HS7v9uuqQliiIfrmMP4VaFoDNDWyUFy2J8/edit?gid=0#gid=0"",""Sheet1!AE:AE""),
      IMPORTRANGE(""1Cxrhp3-_-HS7v9uuqQliiIfrmMP4VaFoDNDWyUFy2J8/edit?gid=0#gid=0"",""Sheet1!K:K"")=$B110
    ),
    1
  )"&amp;",
  ""Not Found""
)"),2007.0)</f>
        <v>2007</v>
      </c>
      <c r="K110" s="340"/>
      <c r="L110" s="340"/>
      <c r="M110" s="230"/>
      <c r="N110" s="230"/>
      <c r="O110" s="230"/>
      <c r="P110" s="230"/>
      <c r="Q110" s="230"/>
      <c r="R110" s="230"/>
      <c r="S110" s="230"/>
      <c r="T110" s="230"/>
      <c r="U110" s="230"/>
      <c r="V110" s="230"/>
      <c r="W110" s="230"/>
      <c r="X110" s="230"/>
      <c r="Y110" s="230"/>
      <c r="Z110" s="230"/>
    </row>
    <row r="111">
      <c r="A111" s="337" t="str">
        <f>IFERROR(__xludf.DUMMYFUNCTION("VLOOKUP($B111,IMPORTRANGE(""https://docs.google.com/spreadsheets/d/1VNXDITjs75AcgdBSW27oL1VZH31udDprJSsBcE5xlp4/edit?gid=1551188038#gid=1551188038"", ""Sheet9!$B:$E""),2,false)"),"Shiekhpura")</f>
        <v>Shiekhpura</v>
      </c>
      <c r="B111" s="338" t="s">
        <v>1438</v>
      </c>
      <c r="C111" s="284">
        <f>IFERROR(__xludf.DUMMYFUNCTION("IFERROR(
  INDEX(
    FILTER(
      IMPORTRANGE(""1Cxrhp3-_-HS7v9uuqQliiIfrmMP4VaFoDNDWyUFy2J8/edit?gid=0#gid=0"",""Sheet1!AE:AE""),
      IMPORTRANGE(""1Cxrhp3-_-HS7v9uuqQliiIfrmMP4VaFoDNDWyUFy2J8/edit?gid=0#gid=0"",""Sheet1!K:K"")=$B111
    ),
    1
  )"&amp;",
  ""Not Found""
)"),1890.0)</f>
        <v>1890</v>
      </c>
      <c r="D111" s="284" t="str">
        <f>IFERROR(__xludf.DUMMYFUNCTION("IFERROR(
  INDEX(
    FILTER(
      IMPORTRANGE(""1Cxrhp3-_-HS7v9uuqQliiIfrmMP4VaFoDNDWyUFy2J8/edit?gid=0#gid=0"",""Sheet1!AG:AG""),
      IMPORTRANGE(""1Cxrhp3-_-HS7v9uuqQliiIfrmMP4VaFoDNDWyUFy2J8/edit?gid=0#gid=0"",""Sheet1!K:K"")=$B111
    ),
    1
  )"&amp;",
  ""Not Found""
)"),"")</f>
        <v/>
      </c>
      <c r="E111" s="284" t="str">
        <f>IFERROR(__xludf.DUMMYFUNCTION("IFERROR(
  INDEX(
    FILTER(
      IMPORTRANGE(""1kOrIKZmJfNUkgOVP3sI9BPjaaPA0_a4636oymQxTXg8/edit?gid=609491371#gid=609491371"",""Form responses 1!J:J""),
      IMPORTRANGE(""1kOrIKZmJfNUkgOVP3sI9BPjaaPA0_a4636oymQxTXg8/edit?gid=609491371#gid=609491371"&amp;""",""Form responses 1!F:F"")=$B111
    ),
    1
  ),
  ""Not Found""
)"),"Not Found")</f>
        <v>Not Found</v>
      </c>
      <c r="F111" s="284" t="str">
        <f>IFERROR(__xludf.DUMMYFUNCTION("IFERROR(
  INDEX(
    FILTER(
      IMPORTRANGE(""1kOrIKZmJfNUkgOVP3sI9BPjaaPA0_a4636oymQxTXg8/edit?gid=609491371#gid=609491371"",""Form responses 1!L:L""),
      IMPORTRANGE(""1kOrIKZmJfNUkgOVP3sI9BPjaaPA0_a4636oymQxTXg8/edit?gid=609491371#gid=609491371"&amp;""",""Form responses 1!F:F"")=$B111
    ),
    1
  ),
  ""Not Found""
)"),"Not Found")</f>
        <v>Not Found</v>
      </c>
      <c r="G111" s="284"/>
      <c r="H111" s="230"/>
      <c r="I111" s="230">
        <v>1890.0</v>
      </c>
      <c r="J111" s="339">
        <f>IFERROR(__xludf.DUMMYFUNCTION("IFERROR(
  INDEX(
    FILTER(
      IMPORTRANGE(""1Cxrhp3-_-HS7v9uuqQliiIfrmMP4VaFoDNDWyUFy2J8/edit?gid=0#gid=0"",""Sheet1!AE:AE""),
      IMPORTRANGE(""1Cxrhp3-_-HS7v9uuqQliiIfrmMP4VaFoDNDWyUFy2J8/edit?gid=0#gid=0"",""Sheet1!K:K"")=$B111
    ),
    1
  )"&amp;",
  ""Not Found""
)"),1890.0)</f>
        <v>1890</v>
      </c>
      <c r="K111" s="340"/>
      <c r="L111" s="340"/>
      <c r="M111" s="230"/>
      <c r="N111" s="230"/>
      <c r="O111" s="230"/>
      <c r="P111" s="230"/>
      <c r="Q111" s="230"/>
      <c r="R111" s="230"/>
      <c r="S111" s="230"/>
      <c r="T111" s="230"/>
      <c r="U111" s="230"/>
      <c r="V111" s="230"/>
      <c r="W111" s="230"/>
      <c r="X111" s="230"/>
      <c r="Y111" s="230"/>
      <c r="Z111" s="230"/>
    </row>
    <row r="112">
      <c r="A112" s="337" t="str">
        <f>IFERROR(__xludf.DUMMYFUNCTION("VLOOKUP($B112,IMPORTRANGE(""https://docs.google.com/spreadsheets/d/1VNXDITjs75AcgdBSW27oL1VZH31udDprJSsBcE5xlp4/edit?gid=1551188038#gid=1551188038"", ""Sheet9!$B:$E""),2,false)"),"Shiekhpura")</f>
        <v>Shiekhpura</v>
      </c>
      <c r="B112" s="338" t="s">
        <v>1643</v>
      </c>
      <c r="C112" s="284">
        <f>IFERROR(__xludf.DUMMYFUNCTION("IFERROR(
  INDEX(
    FILTER(
      IMPORTRANGE(""1Cxrhp3-_-HS7v9uuqQliiIfrmMP4VaFoDNDWyUFy2J8/edit?gid=0#gid=0"",""Sheet1!AE:AE""),
      IMPORTRANGE(""1Cxrhp3-_-HS7v9uuqQliiIfrmMP4VaFoDNDWyUFy2J8/edit?gid=0#gid=0"",""Sheet1!K:K"")=$B112
    ),
    1
  )"&amp;",
  ""Not Found""
)"),1890.0)</f>
        <v>1890</v>
      </c>
      <c r="D112" s="284" t="str">
        <f>IFERROR(__xludf.DUMMYFUNCTION("IFERROR(
  INDEX(
    FILTER(
      IMPORTRANGE(""1Cxrhp3-_-HS7v9uuqQliiIfrmMP4VaFoDNDWyUFy2J8/edit?gid=0#gid=0"",""Sheet1!AG:AG""),
      IMPORTRANGE(""1Cxrhp3-_-HS7v9uuqQliiIfrmMP4VaFoDNDWyUFy2J8/edit?gid=0#gid=0"",""Sheet1!K:K"")=$B112
    ),
    1
  )"&amp;",
  ""Not Found""
)"),"")</f>
        <v/>
      </c>
      <c r="E112" s="284" t="str">
        <f>IFERROR(__xludf.DUMMYFUNCTION("IFERROR(
  INDEX(
    FILTER(
      IMPORTRANGE(""1kOrIKZmJfNUkgOVP3sI9BPjaaPA0_a4636oymQxTXg8/edit?gid=609491371#gid=609491371"",""Form responses 1!J:J""),
      IMPORTRANGE(""1kOrIKZmJfNUkgOVP3sI9BPjaaPA0_a4636oymQxTXg8/edit?gid=609491371#gid=609491371"&amp;""",""Form responses 1!F:F"")=$B112
    ),
    1
  ),
  ""Not Found""
)"),"Not Found")</f>
        <v>Not Found</v>
      </c>
      <c r="F112" s="284" t="str">
        <f>IFERROR(__xludf.DUMMYFUNCTION("IFERROR(
  INDEX(
    FILTER(
      IMPORTRANGE(""1kOrIKZmJfNUkgOVP3sI9BPjaaPA0_a4636oymQxTXg8/edit?gid=609491371#gid=609491371"",""Form responses 1!L:L""),
      IMPORTRANGE(""1kOrIKZmJfNUkgOVP3sI9BPjaaPA0_a4636oymQxTXg8/edit?gid=609491371#gid=609491371"&amp;""",""Form responses 1!F:F"")=$B112
    ),
    1
  ),
  ""Not Found""
)"),"Not Found")</f>
        <v>Not Found</v>
      </c>
      <c r="G112" s="284"/>
      <c r="H112" s="230"/>
      <c r="I112" s="230">
        <v>1890.0</v>
      </c>
      <c r="J112" s="339">
        <f>IFERROR(__xludf.DUMMYFUNCTION("IFERROR(
  INDEX(
    FILTER(
      IMPORTRANGE(""1Cxrhp3-_-HS7v9uuqQliiIfrmMP4VaFoDNDWyUFy2J8/edit?gid=0#gid=0"",""Sheet1!AE:AE""),
      IMPORTRANGE(""1Cxrhp3-_-HS7v9uuqQliiIfrmMP4VaFoDNDWyUFy2J8/edit?gid=0#gid=0"",""Sheet1!K:K"")=$B112
    ),
    1
  )"&amp;",
  ""Not Found""
)"),1890.0)</f>
        <v>1890</v>
      </c>
      <c r="K112" s="340"/>
      <c r="L112" s="340"/>
      <c r="M112" s="230"/>
      <c r="N112" s="230"/>
      <c r="O112" s="230"/>
      <c r="P112" s="230"/>
      <c r="Q112" s="230"/>
      <c r="R112" s="230"/>
      <c r="S112" s="230"/>
      <c r="T112" s="230"/>
      <c r="U112" s="230"/>
      <c r="V112" s="230"/>
      <c r="W112" s="230"/>
      <c r="X112" s="230"/>
      <c r="Y112" s="230"/>
      <c r="Z112" s="230"/>
    </row>
    <row r="113">
      <c r="A113" s="337" t="str">
        <f>IFERROR(__xludf.DUMMYFUNCTION("VLOOKUP($B113,IMPORTRANGE(""https://docs.google.com/spreadsheets/d/1VNXDITjs75AcgdBSW27oL1VZH31udDprJSsBcE5xlp4/edit?gid=1551188038#gid=1551188038"", ""Sheet9!$B:$E""),2,false)"),"Shiekhpura")</f>
        <v>Shiekhpura</v>
      </c>
      <c r="B113" s="338" t="s">
        <v>4846</v>
      </c>
      <c r="C113" s="284">
        <f>IFERROR(__xludf.DUMMYFUNCTION("IFERROR(
  INDEX(
    FILTER(
      IMPORTRANGE(""1Cxrhp3-_-HS7v9uuqQliiIfrmMP4VaFoDNDWyUFy2J8/edit?gid=0#gid=0"",""Sheet1!AE:AE""),
      IMPORTRANGE(""1Cxrhp3-_-HS7v9uuqQliiIfrmMP4VaFoDNDWyUFy2J8/edit?gid=0#gid=0"",""Sheet1!K:K"")=$B113
    ),
    1
  )"&amp;",
  ""Not Found""
)"),1970.0)</f>
        <v>1970</v>
      </c>
      <c r="D113" s="284" t="str">
        <f>IFERROR(__xludf.DUMMYFUNCTION("IFERROR(
  INDEX(
    FILTER(
      IMPORTRANGE(""1Cxrhp3-_-HS7v9uuqQliiIfrmMP4VaFoDNDWyUFy2J8/edit?gid=0#gid=0"",""Sheet1!AG:AG""),
      IMPORTRANGE(""1Cxrhp3-_-HS7v9uuqQliiIfrmMP4VaFoDNDWyUFy2J8/edit?gid=0#gid=0"",""Sheet1!K:K"")=$B113
    ),
    1
  )"&amp;",
  ""Not Found""
)"),"")</f>
        <v/>
      </c>
      <c r="E113" s="284" t="str">
        <f>IFERROR(__xludf.DUMMYFUNCTION("IFERROR(
  INDEX(
    FILTER(
      IMPORTRANGE(""1kOrIKZmJfNUkgOVP3sI9BPjaaPA0_a4636oymQxTXg8/edit?gid=609491371#gid=609491371"",""Form responses 1!J:J""),
      IMPORTRANGE(""1kOrIKZmJfNUkgOVP3sI9BPjaaPA0_a4636oymQxTXg8/edit?gid=609491371#gid=609491371"&amp;""",""Form responses 1!F:F"")=$B113
    ),
    1
  ),
  ""Not Found""
)"),"Not Found")</f>
        <v>Not Found</v>
      </c>
      <c r="F113" s="284" t="str">
        <f>IFERROR(__xludf.DUMMYFUNCTION("IFERROR(
  INDEX(
    FILTER(
      IMPORTRANGE(""1kOrIKZmJfNUkgOVP3sI9BPjaaPA0_a4636oymQxTXg8/edit?gid=609491371#gid=609491371"",""Form responses 1!L:L""),
      IMPORTRANGE(""1kOrIKZmJfNUkgOVP3sI9BPjaaPA0_a4636oymQxTXg8/edit?gid=609491371#gid=609491371"&amp;""",""Form responses 1!F:F"")=$B113
    ),
    1
  ),
  ""Not Found""
)"),"Not Found")</f>
        <v>Not Found</v>
      </c>
      <c r="G113" s="284"/>
      <c r="H113" s="230"/>
      <c r="I113" s="230">
        <v>1970.0</v>
      </c>
      <c r="J113" s="339">
        <f>IFERROR(__xludf.DUMMYFUNCTION("IFERROR(
  INDEX(
    FILTER(
      IMPORTRANGE(""1Cxrhp3-_-HS7v9uuqQliiIfrmMP4VaFoDNDWyUFy2J8/edit?gid=0#gid=0"",""Sheet1!AE:AE""),
      IMPORTRANGE(""1Cxrhp3-_-HS7v9uuqQliiIfrmMP4VaFoDNDWyUFy2J8/edit?gid=0#gid=0"",""Sheet1!K:K"")=$B113
    ),
    1
  )"&amp;",
  ""Not Found""
)"),1970.0)</f>
        <v>1970</v>
      </c>
      <c r="K113" s="340"/>
      <c r="L113" s="340"/>
      <c r="M113" s="230"/>
      <c r="N113" s="230"/>
      <c r="O113" s="230"/>
      <c r="P113" s="230"/>
      <c r="Q113" s="230"/>
      <c r="R113" s="230"/>
      <c r="S113" s="230"/>
      <c r="T113" s="230"/>
      <c r="U113" s="230"/>
      <c r="V113" s="230"/>
      <c r="W113" s="230"/>
      <c r="X113" s="230"/>
      <c r="Y113" s="230"/>
      <c r="Z113" s="230"/>
    </row>
    <row r="114">
      <c r="A114" s="337" t="str">
        <f>IFERROR(__xludf.DUMMYFUNCTION("VLOOKUP($B114,IMPORTRANGE(""https://docs.google.com/spreadsheets/d/1VNXDITjs75AcgdBSW27oL1VZH31udDprJSsBcE5xlp4/edit?gid=1551188038#gid=1551188038"", ""Sheet9!$B:$E""),2,false)"),"Sargodha")</f>
        <v>Sargodha</v>
      </c>
      <c r="B114" s="338" t="s">
        <v>1771</v>
      </c>
      <c r="C114" s="284" t="str">
        <f>IFERROR(__xludf.DUMMYFUNCTION("IFERROR(
  INDEX(
    FILTER(
      IMPORTRANGE(""1Cxrhp3-_-HS7v9uuqQliiIfrmMP4VaFoDNDWyUFy2J8/edit?gid=0#gid=0"",""Sheet1!AE:AE""),
      IMPORTRANGE(""1Cxrhp3-_-HS7v9uuqQliiIfrmMP4VaFoDNDWyUFy2J8/edit?gid=0#gid=0"",""Sheet1!K:K"")=$B114
    ),
    1
  )"&amp;",
  ""Not Found""
)"),"Not Found")</f>
        <v>Not Found</v>
      </c>
      <c r="D114" s="284"/>
      <c r="E114" s="284" t="str">
        <f>IFERROR(__xludf.DUMMYFUNCTION("IFERROR(
  INDEX(
    FILTER(
      IMPORTRANGE(""1kOrIKZmJfNUkgOVP3sI9BPjaaPA0_a4636oymQxTXg8/edit?gid=609491371#gid=609491371"",""Form responses 1!J:J""),
      IMPORTRANGE(""1kOrIKZmJfNUkgOVP3sI9BPjaaPA0_a4636oymQxTXg8/edit?gid=609491371#gid=609491371"&amp;""",""Form responses 1!F:F"")=$B114
    ),
    1
  ),
  ""Not Found""
)"),"Not Found")</f>
        <v>Not Found</v>
      </c>
      <c r="F114" s="284" t="str">
        <f>IFERROR(__xludf.DUMMYFUNCTION("IFERROR(
  INDEX(
    FILTER(
      IMPORTRANGE(""1kOrIKZmJfNUkgOVP3sI9BPjaaPA0_a4636oymQxTXg8/edit?gid=609491371#gid=609491371"",""Form responses 1!L:L""),
      IMPORTRANGE(""1kOrIKZmJfNUkgOVP3sI9BPjaaPA0_a4636oymQxTXg8/edit?gid=609491371#gid=609491371"&amp;""",""Form responses 1!F:F"")=$B114
    ),
    1
  ),
  ""Not Found""
)"),"Not Found")</f>
        <v>Not Found</v>
      </c>
      <c r="G114" s="284"/>
      <c r="H114" s="230"/>
      <c r="I114" s="230"/>
      <c r="J114" s="339" t="str">
        <f>IFERROR(__xludf.DUMMYFUNCTION("IFERROR(
  INDEX(
    FILTER(
      IMPORTRANGE(""1Cxrhp3-_-HS7v9uuqQliiIfrmMP4VaFoDNDWyUFy2J8/edit?gid=0#gid=0"",""Sheet1!AE:AE""),
      IMPORTRANGE(""1Cxrhp3-_-HS7v9uuqQliiIfrmMP4VaFoDNDWyUFy2J8/edit?gid=0#gid=0"",""Sheet1!K:K"")=$B114
    ),
    1
  )"&amp;",
  ""Not Found""
)"),"Not Found")</f>
        <v>Not Found</v>
      </c>
      <c r="K114" s="340"/>
      <c r="L114" s="340"/>
      <c r="M114" s="230"/>
      <c r="N114" s="230"/>
      <c r="O114" s="230"/>
      <c r="P114" s="230"/>
      <c r="Q114" s="230"/>
      <c r="R114" s="230"/>
      <c r="S114" s="230"/>
      <c r="T114" s="230"/>
      <c r="U114" s="230"/>
      <c r="V114" s="230"/>
      <c r="W114" s="230"/>
      <c r="X114" s="230"/>
      <c r="Y114" s="230"/>
      <c r="Z114" s="230"/>
    </row>
    <row r="115">
      <c r="A115" s="337" t="str">
        <f>IFERROR(__xludf.DUMMYFUNCTION("VLOOKUP($B115,IMPORTRANGE(""https://docs.google.com/spreadsheets/d/1VNXDITjs75AcgdBSW27oL1VZH31udDprJSsBcE5xlp4/edit?gid=1551188038#gid=1551188038"", ""Sheet9!$B:$E""),2,false)"),"Sargodha")</f>
        <v>Sargodha</v>
      </c>
      <c r="B115" s="338" t="s">
        <v>4565</v>
      </c>
      <c r="C115" s="284">
        <f>IFERROR(__xludf.DUMMYFUNCTION("IFERROR(
  INDEX(
    FILTER(
      IMPORTRANGE(""1Cxrhp3-_-HS7v9uuqQliiIfrmMP4VaFoDNDWyUFy2J8/edit?gid=0#gid=0"",""Sheet1!AE:AE""),
      IMPORTRANGE(""1Cxrhp3-_-HS7v9uuqQliiIfrmMP4VaFoDNDWyUFy2J8/edit?gid=0#gid=0"",""Sheet1!K:K"")=$B115
    ),
    1
  )"&amp;",
  ""Not Found""
)"),1954.0)</f>
        <v>1954</v>
      </c>
      <c r="D115" s="284" t="str">
        <f>IFERROR(__xludf.DUMMYFUNCTION("IFERROR(
  INDEX(
    FILTER(
      IMPORTRANGE(""1Cxrhp3-_-HS7v9uuqQliiIfrmMP4VaFoDNDWyUFy2J8/edit?gid=0#gid=0"",""Sheet1!AG:AG""),
      IMPORTRANGE(""1Cxrhp3-_-HS7v9uuqQliiIfrmMP4VaFoDNDWyUFy2J8/edit?gid=0#gid=0"",""Sheet1!K:K"")=$B115
    ),
    1
  )"&amp;",
  ""Not Found""
)"),"")</f>
        <v/>
      </c>
      <c r="E115" s="284" t="str">
        <f>IFERROR(__xludf.DUMMYFUNCTION("IFERROR(
  INDEX(
    FILTER(
      IMPORTRANGE(""1kOrIKZmJfNUkgOVP3sI9BPjaaPA0_a4636oymQxTXg8/edit?gid=609491371#gid=609491371"",""Form responses 1!J:J""),
      IMPORTRANGE(""1kOrIKZmJfNUkgOVP3sI9BPjaaPA0_a4636oymQxTXg8/edit?gid=609491371#gid=609491371"&amp;""",""Form responses 1!F:F"")=$B115
    ),
    1
  ),
  ""Not Found""
)"),"Not Found")</f>
        <v>Not Found</v>
      </c>
      <c r="F115" s="284" t="str">
        <f>IFERROR(__xludf.DUMMYFUNCTION("IFERROR(
  INDEX(
    FILTER(
      IMPORTRANGE(""1kOrIKZmJfNUkgOVP3sI9BPjaaPA0_a4636oymQxTXg8/edit?gid=609491371#gid=609491371"",""Form responses 1!L:L""),
      IMPORTRANGE(""1kOrIKZmJfNUkgOVP3sI9BPjaaPA0_a4636oymQxTXg8/edit?gid=609491371#gid=609491371"&amp;""",""Form responses 1!F:F"")=$B115
    ),
    1
  ),
  ""Not Found""
)"),"Not Found")</f>
        <v>Not Found</v>
      </c>
      <c r="G115" s="284"/>
      <c r="H115" s="230"/>
      <c r="I115" s="230">
        <v>1954.0</v>
      </c>
      <c r="J115" s="339">
        <f>IFERROR(__xludf.DUMMYFUNCTION("IFERROR(
  INDEX(
    FILTER(
      IMPORTRANGE(""1Cxrhp3-_-HS7v9uuqQliiIfrmMP4VaFoDNDWyUFy2J8/edit?gid=0#gid=0"",""Sheet1!AE:AE""),
      IMPORTRANGE(""1Cxrhp3-_-HS7v9uuqQliiIfrmMP4VaFoDNDWyUFy2J8/edit?gid=0#gid=0"",""Sheet1!K:K"")=$B115
    ),
    1
  )"&amp;",
  ""Not Found""
)"),1954.0)</f>
        <v>1954</v>
      </c>
      <c r="K115" s="340"/>
      <c r="L115" s="340"/>
      <c r="M115" s="230"/>
      <c r="N115" s="230"/>
      <c r="O115" s="230"/>
      <c r="P115" s="230"/>
      <c r="Q115" s="230"/>
      <c r="R115" s="230"/>
      <c r="S115" s="230"/>
      <c r="T115" s="230"/>
      <c r="U115" s="230"/>
      <c r="V115" s="230"/>
      <c r="W115" s="230"/>
      <c r="X115" s="230"/>
      <c r="Y115" s="230"/>
      <c r="Z115" s="230"/>
    </row>
    <row r="116">
      <c r="A116" s="337" t="str">
        <f>IFERROR(__xludf.DUMMYFUNCTION("VLOOKUP($B116,IMPORTRANGE(""https://docs.google.com/spreadsheets/d/1VNXDITjs75AcgdBSW27oL1VZH31udDprJSsBcE5xlp4/edit?gid=1551188038#gid=1551188038"", ""Sheet9!$B:$E""),2,false)"),"Sargodha")</f>
        <v>Sargodha</v>
      </c>
      <c r="B116" s="338" t="s">
        <v>4567</v>
      </c>
      <c r="C116" s="284">
        <f>IFERROR(__xludf.DUMMYFUNCTION("IFERROR(
  INDEX(
    FILTER(
      IMPORTRANGE(""1Cxrhp3-_-HS7v9uuqQliiIfrmMP4VaFoDNDWyUFy2J8/edit?gid=0#gid=0"",""Sheet1!AE:AE""),
      IMPORTRANGE(""1Cxrhp3-_-HS7v9uuqQliiIfrmMP4VaFoDNDWyUFy2J8/edit?gid=0#gid=0"",""Sheet1!K:K"")=$B116
    ),
    1
  )"&amp;",
  ""Not Found""
)"),1905.0)</f>
        <v>1905</v>
      </c>
      <c r="D116" s="284" t="str">
        <f>IFERROR(__xludf.DUMMYFUNCTION("IFERROR(
  INDEX(
    FILTER(
      IMPORTRANGE(""1Cxrhp3-_-HS7v9uuqQliiIfrmMP4VaFoDNDWyUFy2J8/edit?gid=0#gid=0"",""Sheet1!AG:AG""),
      IMPORTRANGE(""1Cxrhp3-_-HS7v9uuqQliiIfrmMP4VaFoDNDWyUFy2J8/edit?gid=0#gid=0"",""Sheet1!K:K"")=$B116
    ),
    1
  )"&amp;",
  ""Not Found""
)"),"")</f>
        <v/>
      </c>
      <c r="E116" s="284" t="str">
        <f>IFERROR(__xludf.DUMMYFUNCTION("IFERROR(
  INDEX(
    FILTER(
      IMPORTRANGE(""1kOrIKZmJfNUkgOVP3sI9BPjaaPA0_a4636oymQxTXg8/edit?gid=609491371#gid=609491371"",""Form responses 1!J:J""),
      IMPORTRANGE(""1kOrIKZmJfNUkgOVP3sI9BPjaaPA0_a4636oymQxTXg8/edit?gid=609491371#gid=609491371"&amp;""",""Form responses 1!F:F"")=$B116
    ),
    1
  ),
  ""Not Found""
)"),"Not Found")</f>
        <v>Not Found</v>
      </c>
      <c r="F116" s="284" t="str">
        <f>IFERROR(__xludf.DUMMYFUNCTION("IFERROR(
  INDEX(
    FILTER(
      IMPORTRANGE(""1kOrIKZmJfNUkgOVP3sI9BPjaaPA0_a4636oymQxTXg8/edit?gid=609491371#gid=609491371"",""Form responses 1!L:L""),
      IMPORTRANGE(""1kOrIKZmJfNUkgOVP3sI9BPjaaPA0_a4636oymQxTXg8/edit?gid=609491371#gid=609491371"&amp;""",""Form responses 1!F:F"")=$B116
    ),
    1
  ),
  ""Not Found""
)"),"Not Found")</f>
        <v>Not Found</v>
      </c>
      <c r="G116" s="284"/>
      <c r="H116" s="230"/>
      <c r="I116" s="230">
        <v>1905.0</v>
      </c>
      <c r="J116" s="339">
        <f>IFERROR(__xludf.DUMMYFUNCTION("IFERROR(
  INDEX(
    FILTER(
      IMPORTRANGE(""1Cxrhp3-_-HS7v9uuqQliiIfrmMP4VaFoDNDWyUFy2J8/edit?gid=0#gid=0"",""Sheet1!AE:AE""),
      IMPORTRANGE(""1Cxrhp3-_-HS7v9uuqQliiIfrmMP4VaFoDNDWyUFy2J8/edit?gid=0#gid=0"",""Sheet1!K:K"")=$B116
    ),
    1
  )"&amp;",
  ""Not Found""
)"),1905.0)</f>
        <v>1905</v>
      </c>
      <c r="K116" s="340"/>
      <c r="L116" s="340"/>
      <c r="M116" s="230"/>
      <c r="N116" s="230"/>
      <c r="O116" s="230"/>
      <c r="P116" s="230"/>
      <c r="Q116" s="230"/>
      <c r="R116" s="230"/>
      <c r="S116" s="230"/>
      <c r="T116" s="230"/>
      <c r="U116" s="230"/>
      <c r="V116" s="230"/>
      <c r="W116" s="230"/>
      <c r="X116" s="230"/>
      <c r="Y116" s="230"/>
      <c r="Z116" s="230"/>
    </row>
    <row r="117">
      <c r="A117" s="337" t="str">
        <f>IFERROR(__xludf.DUMMYFUNCTION("VLOOKUP($B117,IMPORTRANGE(""https://docs.google.com/spreadsheets/d/1VNXDITjs75AcgdBSW27oL1VZH31udDprJSsBcE5xlp4/edit?gid=1551188038#gid=1551188038"", ""Sheet9!$B:$E""),2,false)"),"Sargodha")</f>
        <v>Sargodha</v>
      </c>
      <c r="B117" s="338" t="s">
        <v>4568</v>
      </c>
      <c r="C117" s="284" t="str">
        <f>IFERROR(__xludf.DUMMYFUNCTION("IFERROR(
  INDEX(
    FILTER(
      IMPORTRANGE(""1Cxrhp3-_-HS7v9uuqQliiIfrmMP4VaFoDNDWyUFy2J8/edit?gid=0#gid=0"",""Sheet1!AE:AE""),
      IMPORTRANGE(""1Cxrhp3-_-HS7v9uuqQliiIfrmMP4VaFoDNDWyUFy2J8/edit?gid=0#gid=0"",""Sheet1!K:K"")=$B117
    ),
    1
  )"&amp;",
  ""Not Found""
)"),"Not Found")</f>
        <v>Not Found</v>
      </c>
      <c r="D117" s="284"/>
      <c r="E117" s="284" t="str">
        <f>IFERROR(__xludf.DUMMYFUNCTION("IFERROR(
  INDEX(
    FILTER(
      IMPORTRANGE(""1kOrIKZmJfNUkgOVP3sI9BPjaaPA0_a4636oymQxTXg8/edit?gid=609491371#gid=609491371"",""Form responses 1!J:J""),
      IMPORTRANGE(""1kOrIKZmJfNUkgOVP3sI9BPjaaPA0_a4636oymQxTXg8/edit?gid=609491371#gid=609491371"&amp;""",""Form responses 1!F:F"")=$B117
    ),
    1
  ),
  ""Not Found""
)"),"Not Found")</f>
        <v>Not Found</v>
      </c>
      <c r="F117" s="284" t="str">
        <f>IFERROR(__xludf.DUMMYFUNCTION("IFERROR(
  INDEX(
    FILTER(
      IMPORTRANGE(""1kOrIKZmJfNUkgOVP3sI9BPjaaPA0_a4636oymQxTXg8/edit?gid=609491371#gid=609491371"",""Form responses 1!L:L""),
      IMPORTRANGE(""1kOrIKZmJfNUkgOVP3sI9BPjaaPA0_a4636oymQxTXg8/edit?gid=609491371#gid=609491371"&amp;""",""Form responses 1!F:F"")=$B117
    ),
    1
  ),
  ""Not Found""
)"),"Not Found")</f>
        <v>Not Found</v>
      </c>
      <c r="G117" s="284"/>
      <c r="H117" s="230"/>
      <c r="I117" s="230"/>
      <c r="J117" s="339" t="str">
        <f>IFERROR(__xludf.DUMMYFUNCTION("IFERROR(
  INDEX(
    FILTER(
      IMPORTRANGE(""1Cxrhp3-_-HS7v9uuqQliiIfrmMP4VaFoDNDWyUFy2J8/edit?gid=0#gid=0"",""Sheet1!AE:AE""),
      IMPORTRANGE(""1Cxrhp3-_-HS7v9uuqQliiIfrmMP4VaFoDNDWyUFy2J8/edit?gid=0#gid=0"",""Sheet1!K:K"")=$B117
    ),
    1
  )"&amp;",
  ""Not Found""
)"),"Not Found")</f>
        <v>Not Found</v>
      </c>
      <c r="K117" s="340"/>
      <c r="L117" s="340"/>
      <c r="M117" s="230"/>
      <c r="N117" s="230"/>
      <c r="O117" s="230"/>
      <c r="P117" s="230"/>
      <c r="Q117" s="230"/>
      <c r="R117" s="230"/>
      <c r="S117" s="230"/>
      <c r="T117" s="230"/>
      <c r="U117" s="230"/>
      <c r="V117" s="230"/>
      <c r="W117" s="230"/>
      <c r="X117" s="230"/>
      <c r="Y117" s="230"/>
      <c r="Z117" s="230"/>
    </row>
    <row r="118">
      <c r="A118" s="337" t="str">
        <f>IFERROR(__xludf.DUMMYFUNCTION("VLOOKUP($B118,IMPORTRANGE(""https://docs.google.com/spreadsheets/d/1VNXDITjs75AcgdBSW27oL1VZH31udDprJSsBcE5xlp4/edit?gid=1551188038#gid=1551188038"", ""Sheet9!$B:$E""),2,false)"),"Sargodha")</f>
        <v>Sargodha</v>
      </c>
      <c r="B118" s="338" t="s">
        <v>4569</v>
      </c>
      <c r="C118" s="284">
        <f>IFERROR(__xludf.DUMMYFUNCTION("IFERROR(
  INDEX(
    FILTER(
      IMPORTRANGE(""1Cxrhp3-_-HS7v9uuqQliiIfrmMP4VaFoDNDWyUFy2J8/edit?gid=0#gid=0"",""Sheet1!AE:AE""),
      IMPORTRANGE(""1Cxrhp3-_-HS7v9uuqQliiIfrmMP4VaFoDNDWyUFy2J8/edit?gid=0#gid=0"",""Sheet1!K:K"")=$B118
    ),
    1
  )"&amp;",
  ""Not Found""
)"),1975.0)</f>
        <v>1975</v>
      </c>
      <c r="D118" s="284" t="str">
        <f>IFERROR(__xludf.DUMMYFUNCTION("IFERROR(
  INDEX(
    FILTER(
      IMPORTRANGE(""1Cxrhp3-_-HS7v9uuqQliiIfrmMP4VaFoDNDWyUFy2J8/edit?gid=0#gid=0"",""Sheet1!AG:AG""),
      IMPORTRANGE(""1Cxrhp3-_-HS7v9uuqQliiIfrmMP4VaFoDNDWyUFy2J8/edit?gid=0#gid=0"",""Sheet1!K:K"")=$B118
    ),
    1
  )"&amp;",
  ""Not Found""
)"),"")</f>
        <v/>
      </c>
      <c r="E118" s="284" t="str">
        <f>IFERROR(__xludf.DUMMYFUNCTION("IFERROR(
  INDEX(
    FILTER(
      IMPORTRANGE(""1kOrIKZmJfNUkgOVP3sI9BPjaaPA0_a4636oymQxTXg8/edit?gid=609491371#gid=609491371"",""Form responses 1!J:J""),
      IMPORTRANGE(""1kOrIKZmJfNUkgOVP3sI9BPjaaPA0_a4636oymQxTXg8/edit?gid=609491371#gid=609491371"&amp;""",""Form responses 1!F:F"")=$B118
    ),
    1
  ),
  ""Not Found""
)"),"Not Found")</f>
        <v>Not Found</v>
      </c>
      <c r="F118" s="284" t="str">
        <f>IFERROR(__xludf.DUMMYFUNCTION("IFERROR(
  INDEX(
    FILTER(
      IMPORTRANGE(""1kOrIKZmJfNUkgOVP3sI9BPjaaPA0_a4636oymQxTXg8/edit?gid=609491371#gid=609491371"",""Form responses 1!L:L""),
      IMPORTRANGE(""1kOrIKZmJfNUkgOVP3sI9BPjaaPA0_a4636oymQxTXg8/edit?gid=609491371#gid=609491371"&amp;""",""Form responses 1!F:F"")=$B118
    ),
    1
  ),
  ""Not Found""
)"),"Not Found")</f>
        <v>Not Found</v>
      </c>
      <c r="G118" s="284"/>
      <c r="H118" s="230"/>
      <c r="I118" s="230">
        <v>1975.0</v>
      </c>
      <c r="J118" s="339">
        <f>IFERROR(__xludf.DUMMYFUNCTION("IFERROR(
  INDEX(
    FILTER(
      IMPORTRANGE(""1Cxrhp3-_-HS7v9uuqQliiIfrmMP4VaFoDNDWyUFy2J8/edit?gid=0#gid=0"",""Sheet1!AE:AE""),
      IMPORTRANGE(""1Cxrhp3-_-HS7v9uuqQliiIfrmMP4VaFoDNDWyUFy2J8/edit?gid=0#gid=0"",""Sheet1!K:K"")=$B118
    ),
    1
  )"&amp;",
  ""Not Found""
)"),1975.0)</f>
        <v>1975</v>
      </c>
      <c r="K118" s="340"/>
      <c r="L118" s="340"/>
      <c r="M118" s="230"/>
      <c r="N118" s="230"/>
      <c r="O118" s="230"/>
      <c r="P118" s="230"/>
      <c r="Q118" s="230"/>
      <c r="R118" s="230"/>
      <c r="S118" s="230"/>
      <c r="T118" s="230"/>
      <c r="U118" s="230"/>
      <c r="V118" s="230"/>
      <c r="W118" s="230"/>
      <c r="X118" s="230"/>
      <c r="Y118" s="230"/>
      <c r="Z118" s="230"/>
    </row>
    <row r="119">
      <c r="A119" s="337" t="str">
        <f>IFERROR(__xludf.DUMMYFUNCTION("VLOOKUP($B119,IMPORTRANGE(""https://docs.google.com/spreadsheets/d/1VNXDITjs75AcgdBSW27oL1VZH31udDprJSsBcE5xlp4/edit?gid=1551188038#gid=1551188038"", ""Sheet9!$B:$E""),2,false)"),"Sargodha")</f>
        <v>Sargodha</v>
      </c>
      <c r="B119" s="338" t="s">
        <v>4570</v>
      </c>
      <c r="C119" s="284">
        <f>IFERROR(__xludf.DUMMYFUNCTION("IFERROR(
  INDEX(
    FILTER(
      IMPORTRANGE(""1Cxrhp3-_-HS7v9uuqQliiIfrmMP4VaFoDNDWyUFy2J8/edit?gid=0#gid=0"",""Sheet1!AE:AE""),
      IMPORTRANGE(""1Cxrhp3-_-HS7v9uuqQliiIfrmMP4VaFoDNDWyUFy2J8/edit?gid=0#gid=0"",""Sheet1!K:K"")=$B119
    ),
    1
  )"&amp;",
  ""Not Found""
)"),1932.0)</f>
        <v>1932</v>
      </c>
      <c r="D119" s="284" t="str">
        <f>IFERROR(__xludf.DUMMYFUNCTION("IFERROR(
  INDEX(
    FILTER(
      IMPORTRANGE(""1Cxrhp3-_-HS7v9uuqQliiIfrmMP4VaFoDNDWyUFy2J8/edit?gid=0#gid=0"",""Sheet1!AG:AG""),
      IMPORTRANGE(""1Cxrhp3-_-HS7v9uuqQliiIfrmMP4VaFoDNDWyUFy2J8/edit?gid=0#gid=0"",""Sheet1!K:K"")=$B119
    ),
    1
  )"&amp;",
  ""Not Found""
)"),"")</f>
        <v/>
      </c>
      <c r="E119" s="284" t="str">
        <f>IFERROR(__xludf.DUMMYFUNCTION("IFERROR(
  INDEX(
    FILTER(
      IMPORTRANGE(""1kOrIKZmJfNUkgOVP3sI9BPjaaPA0_a4636oymQxTXg8/edit?gid=609491371#gid=609491371"",""Form responses 1!J:J""),
      IMPORTRANGE(""1kOrIKZmJfNUkgOVP3sI9BPjaaPA0_a4636oymQxTXg8/edit?gid=609491371#gid=609491371"&amp;""",""Form responses 1!F:F"")=$B119
    ),
    1
  ),
  ""Not Found""
)"),"Not Found")</f>
        <v>Not Found</v>
      </c>
      <c r="F119" s="284" t="str">
        <f>IFERROR(__xludf.DUMMYFUNCTION("IFERROR(
  INDEX(
    FILTER(
      IMPORTRANGE(""1kOrIKZmJfNUkgOVP3sI9BPjaaPA0_a4636oymQxTXg8/edit?gid=609491371#gid=609491371"",""Form responses 1!L:L""),
      IMPORTRANGE(""1kOrIKZmJfNUkgOVP3sI9BPjaaPA0_a4636oymQxTXg8/edit?gid=609491371#gid=609491371"&amp;""",""Form responses 1!F:F"")=$B119
    ),
    1
  ),
  ""Not Found""
)"),"Not Found")</f>
        <v>Not Found</v>
      </c>
      <c r="G119" s="284"/>
      <c r="H119" s="230"/>
      <c r="I119" s="230">
        <v>1932.0</v>
      </c>
      <c r="J119" s="339">
        <f>IFERROR(__xludf.DUMMYFUNCTION("IFERROR(
  INDEX(
    FILTER(
      IMPORTRANGE(""1Cxrhp3-_-HS7v9uuqQliiIfrmMP4VaFoDNDWyUFy2J8/edit?gid=0#gid=0"",""Sheet1!AE:AE""),
      IMPORTRANGE(""1Cxrhp3-_-HS7v9uuqQliiIfrmMP4VaFoDNDWyUFy2J8/edit?gid=0#gid=0"",""Sheet1!K:K"")=$B119
    ),
    1
  )"&amp;",
  ""Not Found""
)"),1932.0)</f>
        <v>1932</v>
      </c>
      <c r="K119" s="340"/>
      <c r="L119" s="340"/>
      <c r="M119" s="230"/>
      <c r="N119" s="230"/>
      <c r="O119" s="230"/>
      <c r="P119" s="230"/>
      <c r="Q119" s="230"/>
      <c r="R119" s="230"/>
      <c r="S119" s="230"/>
      <c r="T119" s="230"/>
      <c r="U119" s="230"/>
      <c r="V119" s="230"/>
      <c r="W119" s="230"/>
      <c r="X119" s="230"/>
      <c r="Y119" s="230"/>
      <c r="Z119" s="230"/>
    </row>
    <row r="120">
      <c r="A120" s="337" t="str">
        <f>IFERROR(__xludf.DUMMYFUNCTION("VLOOKUP($B120,IMPORTRANGE(""https://docs.google.com/spreadsheets/d/1VNXDITjs75AcgdBSW27oL1VZH31udDprJSsBcE5xlp4/edit?gid=1551188038#gid=1551188038"", ""Sheet9!$B:$E""),2,false)"),"Sargodha")</f>
        <v>Sargodha</v>
      </c>
      <c r="B120" s="338" t="s">
        <v>4571</v>
      </c>
      <c r="C120" s="284">
        <f>IFERROR(__xludf.DUMMYFUNCTION("IFERROR(
  INDEX(
    FILTER(
      IMPORTRANGE(""1Cxrhp3-_-HS7v9uuqQliiIfrmMP4VaFoDNDWyUFy2J8/edit?gid=0#gid=0"",""Sheet1!AE:AE""),
      IMPORTRANGE(""1Cxrhp3-_-HS7v9uuqQliiIfrmMP4VaFoDNDWyUFy2J8/edit?gid=0#gid=0"",""Sheet1!K:K"")=$B120
    ),
    1
  )"&amp;",
  ""Not Found""
)"),1899.0)</f>
        <v>1899</v>
      </c>
      <c r="D120" s="284" t="str">
        <f>IFERROR(__xludf.DUMMYFUNCTION("IFERROR(
  INDEX(
    FILTER(
      IMPORTRANGE(""1Cxrhp3-_-HS7v9uuqQliiIfrmMP4VaFoDNDWyUFy2J8/edit?gid=0#gid=0"",""Sheet1!AG:AG""),
      IMPORTRANGE(""1Cxrhp3-_-HS7v9uuqQliiIfrmMP4VaFoDNDWyUFy2J8/edit?gid=0#gid=0"",""Sheet1!K:K"")=$B120
    ),
    1
  )"&amp;",
  ""Not Found""
)"),"")</f>
        <v/>
      </c>
      <c r="E120" s="284" t="str">
        <f>IFERROR(__xludf.DUMMYFUNCTION("IFERROR(
  INDEX(
    FILTER(
      IMPORTRANGE(""1kOrIKZmJfNUkgOVP3sI9BPjaaPA0_a4636oymQxTXg8/edit?gid=609491371#gid=609491371"",""Form responses 1!J:J""),
      IMPORTRANGE(""1kOrIKZmJfNUkgOVP3sI9BPjaaPA0_a4636oymQxTXg8/edit?gid=609491371#gid=609491371"&amp;""",""Form responses 1!F:F"")=$B120
    ),
    1
  ),
  ""Not Found""
)"),"Not Found")</f>
        <v>Not Found</v>
      </c>
      <c r="F120" s="284" t="str">
        <f>IFERROR(__xludf.DUMMYFUNCTION("IFERROR(
  INDEX(
    FILTER(
      IMPORTRANGE(""1kOrIKZmJfNUkgOVP3sI9BPjaaPA0_a4636oymQxTXg8/edit?gid=609491371#gid=609491371"",""Form responses 1!L:L""),
      IMPORTRANGE(""1kOrIKZmJfNUkgOVP3sI9BPjaaPA0_a4636oymQxTXg8/edit?gid=609491371#gid=609491371"&amp;""",""Form responses 1!F:F"")=$B120
    ),
    1
  ),
  ""Not Found""
)"),"Not Found")</f>
        <v>Not Found</v>
      </c>
      <c r="G120" s="284"/>
      <c r="H120" s="230"/>
      <c r="I120" s="230">
        <v>1899.0</v>
      </c>
      <c r="J120" s="339">
        <f>IFERROR(__xludf.DUMMYFUNCTION("IFERROR(
  INDEX(
    FILTER(
      IMPORTRANGE(""1Cxrhp3-_-HS7v9uuqQliiIfrmMP4VaFoDNDWyUFy2J8/edit?gid=0#gid=0"",""Sheet1!AE:AE""),
      IMPORTRANGE(""1Cxrhp3-_-HS7v9uuqQliiIfrmMP4VaFoDNDWyUFy2J8/edit?gid=0#gid=0"",""Sheet1!K:K"")=$B120
    ),
    1
  )"&amp;",
  ""Not Found""
)"),1899.0)</f>
        <v>1899</v>
      </c>
      <c r="K120" s="340"/>
      <c r="L120" s="340"/>
      <c r="M120" s="230"/>
      <c r="N120" s="230"/>
      <c r="O120" s="230"/>
      <c r="P120" s="230"/>
      <c r="Q120" s="230"/>
      <c r="R120" s="230"/>
      <c r="S120" s="230"/>
      <c r="T120" s="230"/>
      <c r="U120" s="230"/>
      <c r="V120" s="230"/>
      <c r="W120" s="230"/>
      <c r="X120" s="230"/>
      <c r="Y120" s="230"/>
      <c r="Z120" s="230"/>
    </row>
    <row r="121">
      <c r="A121" s="337" t="str">
        <f>IFERROR(__xludf.DUMMYFUNCTION("VLOOKUP($B121,IMPORTRANGE(""https://docs.google.com/spreadsheets/d/1VNXDITjs75AcgdBSW27oL1VZH31udDprJSsBcE5xlp4/edit?gid=1551188038#gid=1551188038"", ""Sheet9!$B:$E""),2,false)"),"Sargodha")</f>
        <v>Sargodha</v>
      </c>
      <c r="B121" s="338" t="s">
        <v>4572</v>
      </c>
      <c r="C121" s="284">
        <f>IFERROR(__xludf.DUMMYFUNCTION("IFERROR(
  INDEX(
    FILTER(
      IMPORTRANGE(""1Cxrhp3-_-HS7v9uuqQliiIfrmMP4VaFoDNDWyUFy2J8/edit?gid=0#gid=0"",""Sheet1!AE:AE""),
      IMPORTRANGE(""1Cxrhp3-_-HS7v9uuqQliiIfrmMP4VaFoDNDWyUFy2J8/edit?gid=0#gid=0"",""Sheet1!K:K"")=$B121
    ),
    1
  )"&amp;",
  ""Not Found""
)"),1932.0)</f>
        <v>1932</v>
      </c>
      <c r="D121" s="284" t="str">
        <f>IFERROR(__xludf.DUMMYFUNCTION("IFERROR(
  INDEX(
    FILTER(
      IMPORTRANGE(""1Cxrhp3-_-HS7v9uuqQliiIfrmMP4VaFoDNDWyUFy2J8/edit?gid=0#gid=0"",""Sheet1!AG:AG""),
      IMPORTRANGE(""1Cxrhp3-_-HS7v9uuqQliiIfrmMP4VaFoDNDWyUFy2J8/edit?gid=0#gid=0"",""Sheet1!K:K"")=$B121
    ),
    1
  )"&amp;",
  ""Not Found""
)"),"")</f>
        <v/>
      </c>
      <c r="E121" s="284" t="str">
        <f>IFERROR(__xludf.DUMMYFUNCTION("IFERROR(
  INDEX(
    FILTER(
      IMPORTRANGE(""1kOrIKZmJfNUkgOVP3sI9BPjaaPA0_a4636oymQxTXg8/edit?gid=609491371#gid=609491371"",""Form responses 1!J:J""),
      IMPORTRANGE(""1kOrIKZmJfNUkgOVP3sI9BPjaaPA0_a4636oymQxTXg8/edit?gid=609491371#gid=609491371"&amp;""",""Form responses 1!F:F"")=$B121
    ),
    1
  ),
  ""Not Found""
)"),"Not Found")</f>
        <v>Not Found</v>
      </c>
      <c r="F121" s="284" t="str">
        <f>IFERROR(__xludf.DUMMYFUNCTION("IFERROR(
  INDEX(
    FILTER(
      IMPORTRANGE(""1kOrIKZmJfNUkgOVP3sI9BPjaaPA0_a4636oymQxTXg8/edit?gid=609491371#gid=609491371"",""Form responses 1!L:L""),
      IMPORTRANGE(""1kOrIKZmJfNUkgOVP3sI9BPjaaPA0_a4636oymQxTXg8/edit?gid=609491371#gid=609491371"&amp;""",""Form responses 1!F:F"")=$B121
    ),
    1
  ),
  ""Not Found""
)"),"Not Found")</f>
        <v>Not Found</v>
      </c>
      <c r="G121" s="284"/>
      <c r="H121" s="230"/>
      <c r="I121" s="230">
        <v>1932.0</v>
      </c>
      <c r="J121" s="339">
        <f>IFERROR(__xludf.DUMMYFUNCTION("IFERROR(
  INDEX(
    FILTER(
      IMPORTRANGE(""1Cxrhp3-_-HS7v9uuqQliiIfrmMP4VaFoDNDWyUFy2J8/edit?gid=0#gid=0"",""Sheet1!AE:AE""),
      IMPORTRANGE(""1Cxrhp3-_-HS7v9uuqQliiIfrmMP4VaFoDNDWyUFy2J8/edit?gid=0#gid=0"",""Sheet1!K:K"")=$B121
    ),
    1
  )"&amp;",
  ""Not Found""
)"),1932.0)</f>
        <v>1932</v>
      </c>
      <c r="K121" s="340"/>
      <c r="L121" s="340"/>
      <c r="M121" s="230"/>
      <c r="N121" s="230"/>
      <c r="O121" s="230"/>
      <c r="P121" s="230"/>
      <c r="Q121" s="230"/>
      <c r="R121" s="230"/>
      <c r="S121" s="230"/>
      <c r="T121" s="230"/>
      <c r="U121" s="230"/>
      <c r="V121" s="230"/>
      <c r="W121" s="230"/>
      <c r="X121" s="230"/>
      <c r="Y121" s="230"/>
      <c r="Z121" s="230"/>
    </row>
    <row r="122">
      <c r="A122" s="337" t="str">
        <f>IFERROR(__xludf.DUMMYFUNCTION("VLOOKUP($B122,IMPORTRANGE(""https://docs.google.com/spreadsheets/d/1VNXDITjs75AcgdBSW27oL1VZH31udDprJSsBcE5xlp4/edit?gid=1551188038#gid=1551188038"", ""Sheet9!$B:$E""),2,false)"),"Sargodha")</f>
        <v>Sargodha</v>
      </c>
      <c r="B122" s="338" t="s">
        <v>4573</v>
      </c>
      <c r="C122" s="284">
        <f>IFERROR(__xludf.DUMMYFUNCTION("IFERROR(
  INDEX(
    FILTER(
      IMPORTRANGE(""1Cxrhp3-_-HS7v9uuqQliiIfrmMP4VaFoDNDWyUFy2J8/edit?gid=0#gid=0"",""Sheet1!AE:AE""),
      IMPORTRANGE(""1Cxrhp3-_-HS7v9uuqQliiIfrmMP4VaFoDNDWyUFy2J8/edit?gid=0#gid=0"",""Sheet1!K:K"")=$B122
    ),
    1
  )"&amp;",
  ""Not Found""
)"),1956.0)</f>
        <v>1956</v>
      </c>
      <c r="D122" s="284" t="str">
        <f>IFERROR(__xludf.DUMMYFUNCTION("IFERROR(
  INDEX(
    FILTER(
      IMPORTRANGE(""1Cxrhp3-_-HS7v9uuqQliiIfrmMP4VaFoDNDWyUFy2J8/edit?gid=0#gid=0"",""Sheet1!AG:AG""),
      IMPORTRANGE(""1Cxrhp3-_-HS7v9uuqQliiIfrmMP4VaFoDNDWyUFy2J8/edit?gid=0#gid=0"",""Sheet1!K:K"")=$B122
    ),
    1
  )"&amp;",
  ""Not Found""
)"),"")</f>
        <v/>
      </c>
      <c r="E122" s="284" t="str">
        <f>IFERROR(__xludf.DUMMYFUNCTION("IFERROR(
  INDEX(
    FILTER(
      IMPORTRANGE(""1kOrIKZmJfNUkgOVP3sI9BPjaaPA0_a4636oymQxTXg8/edit?gid=609491371#gid=609491371"",""Form responses 1!J:J""),
      IMPORTRANGE(""1kOrIKZmJfNUkgOVP3sI9BPjaaPA0_a4636oymQxTXg8/edit?gid=609491371#gid=609491371"&amp;""",""Form responses 1!F:F"")=$B122
    ),
    1
  ),
  ""Not Found""
)"),"Not Found")</f>
        <v>Not Found</v>
      </c>
      <c r="F122" s="284" t="str">
        <f>IFERROR(__xludf.DUMMYFUNCTION("IFERROR(
  INDEX(
    FILTER(
      IMPORTRANGE(""1kOrIKZmJfNUkgOVP3sI9BPjaaPA0_a4636oymQxTXg8/edit?gid=609491371#gid=609491371"",""Form responses 1!L:L""),
      IMPORTRANGE(""1kOrIKZmJfNUkgOVP3sI9BPjaaPA0_a4636oymQxTXg8/edit?gid=609491371#gid=609491371"&amp;""",""Form responses 1!F:F"")=$B122
    ),
    1
  ),
  ""Not Found""
)"),"Not Found")</f>
        <v>Not Found</v>
      </c>
      <c r="G122" s="284"/>
      <c r="H122" s="230"/>
      <c r="I122" s="230">
        <v>1956.0</v>
      </c>
      <c r="J122" s="339">
        <f>IFERROR(__xludf.DUMMYFUNCTION("IFERROR(
  INDEX(
    FILTER(
      IMPORTRANGE(""1Cxrhp3-_-HS7v9uuqQliiIfrmMP4VaFoDNDWyUFy2J8/edit?gid=0#gid=0"",""Sheet1!AE:AE""),
      IMPORTRANGE(""1Cxrhp3-_-HS7v9uuqQliiIfrmMP4VaFoDNDWyUFy2J8/edit?gid=0#gid=0"",""Sheet1!K:K"")=$B122
    ),
    1
  )"&amp;",
  ""Not Found""
)"),1956.0)</f>
        <v>1956</v>
      </c>
      <c r="K122" s="340"/>
      <c r="L122" s="340"/>
      <c r="M122" s="230"/>
      <c r="N122" s="230"/>
      <c r="O122" s="230"/>
      <c r="P122" s="230"/>
      <c r="Q122" s="230"/>
      <c r="R122" s="230"/>
      <c r="S122" s="230"/>
      <c r="T122" s="230"/>
      <c r="U122" s="230"/>
      <c r="V122" s="230"/>
      <c r="W122" s="230"/>
      <c r="X122" s="230"/>
      <c r="Y122" s="230"/>
      <c r="Z122" s="230"/>
    </row>
    <row r="123">
      <c r="A123" s="337" t="str">
        <f>IFERROR(__xludf.DUMMYFUNCTION("VLOOKUP($B123,IMPORTRANGE(""https://docs.google.com/spreadsheets/d/1VNXDITjs75AcgdBSW27oL1VZH31udDprJSsBcE5xlp4/edit?gid=1551188038#gid=1551188038"", ""Sheet9!$B:$E""),2,false)"),"Sargodha")</f>
        <v>Sargodha</v>
      </c>
      <c r="B123" s="338" t="s">
        <v>2795</v>
      </c>
      <c r="C123" s="284">
        <f>IFERROR(__xludf.DUMMYFUNCTION("IFERROR(
  INDEX(
    FILTER(
      IMPORTRANGE(""1Cxrhp3-_-HS7v9uuqQliiIfrmMP4VaFoDNDWyUFy2J8/edit?gid=0#gid=0"",""Sheet1!AE:AE""),
      IMPORTRANGE(""1Cxrhp3-_-HS7v9uuqQliiIfrmMP4VaFoDNDWyUFy2J8/edit?gid=0#gid=0"",""Sheet1!K:K"")=$B123
    ),
    1
  )"&amp;",
  ""Not Found""
)"),2003.0)</f>
        <v>2003</v>
      </c>
      <c r="D123" s="284" t="str">
        <f>IFERROR(__xludf.DUMMYFUNCTION("IFERROR(
  INDEX(
    FILTER(
      IMPORTRANGE(""1Cxrhp3-_-HS7v9uuqQliiIfrmMP4VaFoDNDWyUFy2J8/edit?gid=0#gid=0"",""Sheet1!AG:AG""),
      IMPORTRANGE(""1Cxrhp3-_-HS7v9uuqQliiIfrmMP4VaFoDNDWyUFy2J8/edit?gid=0#gid=0"",""Sheet1!K:K"")=$B123
    ),
    1
  )"&amp;",
  ""Not Found""
)"),"")</f>
        <v/>
      </c>
      <c r="E123" s="284" t="str">
        <f>IFERROR(__xludf.DUMMYFUNCTION("IFERROR(
  INDEX(
    FILTER(
      IMPORTRANGE(""1kOrIKZmJfNUkgOVP3sI9BPjaaPA0_a4636oymQxTXg8/edit?gid=609491371#gid=609491371"",""Form responses 1!J:J""),
      IMPORTRANGE(""1kOrIKZmJfNUkgOVP3sI9BPjaaPA0_a4636oymQxTXg8/edit?gid=609491371#gid=609491371"&amp;""",""Form responses 1!F:F"")=$B123
    ),
    1
  ),
  ""Not Found""
)"),"Not Found")</f>
        <v>Not Found</v>
      </c>
      <c r="F123" s="284" t="str">
        <f>IFERROR(__xludf.DUMMYFUNCTION("IFERROR(
  INDEX(
    FILTER(
      IMPORTRANGE(""1kOrIKZmJfNUkgOVP3sI9BPjaaPA0_a4636oymQxTXg8/edit?gid=609491371#gid=609491371"",""Form responses 1!L:L""),
      IMPORTRANGE(""1kOrIKZmJfNUkgOVP3sI9BPjaaPA0_a4636oymQxTXg8/edit?gid=609491371#gid=609491371"&amp;""",""Form responses 1!F:F"")=$B123
    ),
    1
  ),
  ""Not Found""
)"),"Not Found")</f>
        <v>Not Found</v>
      </c>
      <c r="G123" s="284"/>
      <c r="H123" s="230"/>
      <c r="I123" s="230">
        <v>2003.0</v>
      </c>
      <c r="J123" s="339">
        <f>IFERROR(__xludf.DUMMYFUNCTION("IFERROR(
  INDEX(
    FILTER(
      IMPORTRANGE(""1Cxrhp3-_-HS7v9uuqQliiIfrmMP4VaFoDNDWyUFy2J8/edit?gid=0#gid=0"",""Sheet1!AE:AE""),
      IMPORTRANGE(""1Cxrhp3-_-HS7v9uuqQliiIfrmMP4VaFoDNDWyUFy2J8/edit?gid=0#gid=0"",""Sheet1!K:K"")=$B123
    ),
    1
  )"&amp;",
  ""Not Found""
)"),2003.0)</f>
        <v>2003</v>
      </c>
      <c r="K123" s="340"/>
      <c r="L123" s="340"/>
      <c r="M123" s="230"/>
      <c r="N123" s="230"/>
      <c r="O123" s="230"/>
      <c r="P123" s="230"/>
      <c r="Q123" s="230"/>
      <c r="R123" s="230"/>
      <c r="S123" s="230"/>
      <c r="T123" s="230"/>
      <c r="U123" s="230"/>
      <c r="V123" s="230"/>
      <c r="W123" s="230"/>
      <c r="X123" s="230"/>
      <c r="Y123" s="230"/>
      <c r="Z123" s="230"/>
    </row>
    <row r="124">
      <c r="A124" s="337" t="str">
        <f>IFERROR(__xludf.DUMMYFUNCTION("VLOOKUP($B124,IMPORTRANGE(""https://docs.google.com/spreadsheets/d/1VNXDITjs75AcgdBSW27oL1VZH31udDprJSsBcE5xlp4/edit?gid=1551188038#gid=1551188038"", ""Sheet9!$B:$E""),2,false)"),"Sargodha")</f>
        <v>Sargodha</v>
      </c>
      <c r="B124" s="338" t="s">
        <v>4574</v>
      </c>
      <c r="C124" s="284" t="str">
        <f>IFERROR(__xludf.DUMMYFUNCTION("IFERROR(
  INDEX(
    FILTER(
      IMPORTRANGE(""1Cxrhp3-_-HS7v9uuqQliiIfrmMP4VaFoDNDWyUFy2J8/edit?gid=0#gid=0"",""Sheet1!AE:AE""),
      IMPORTRANGE(""1Cxrhp3-_-HS7v9uuqQliiIfrmMP4VaFoDNDWyUFy2J8/edit?gid=0#gid=0"",""Sheet1!K:K"")=$B124
    ),
    1
  )"&amp;",
  ""Not Found""
)"),"Not Found")</f>
        <v>Not Found</v>
      </c>
      <c r="D124" s="284"/>
      <c r="E124" s="284" t="str">
        <f>IFERROR(__xludf.DUMMYFUNCTION("IFERROR(
  INDEX(
    FILTER(
      IMPORTRANGE(""1kOrIKZmJfNUkgOVP3sI9BPjaaPA0_a4636oymQxTXg8/edit?gid=609491371#gid=609491371"",""Form responses 1!J:J""),
      IMPORTRANGE(""1kOrIKZmJfNUkgOVP3sI9BPjaaPA0_a4636oymQxTXg8/edit?gid=609491371#gid=609491371"&amp;""",""Form responses 1!F:F"")=$B124
    ),
    1
  ),
  ""Not Found""
)"),"Not Found")</f>
        <v>Not Found</v>
      </c>
      <c r="F124" s="284" t="str">
        <f>IFERROR(__xludf.DUMMYFUNCTION("IFERROR(
  INDEX(
    FILTER(
      IMPORTRANGE(""1kOrIKZmJfNUkgOVP3sI9BPjaaPA0_a4636oymQxTXg8/edit?gid=609491371#gid=609491371"",""Form responses 1!L:L""),
      IMPORTRANGE(""1kOrIKZmJfNUkgOVP3sI9BPjaaPA0_a4636oymQxTXg8/edit?gid=609491371#gid=609491371"&amp;""",""Form responses 1!F:F"")=$B124
    ),
    1
  ),
  ""Not Found""
)"),"Not Found")</f>
        <v>Not Found</v>
      </c>
      <c r="G124" s="284"/>
      <c r="H124" s="230"/>
      <c r="I124" s="230"/>
      <c r="J124" s="339" t="str">
        <f>IFERROR(__xludf.DUMMYFUNCTION("IFERROR(
  INDEX(
    FILTER(
      IMPORTRANGE(""1Cxrhp3-_-HS7v9uuqQliiIfrmMP4VaFoDNDWyUFy2J8/edit?gid=0#gid=0"",""Sheet1!AE:AE""),
      IMPORTRANGE(""1Cxrhp3-_-HS7v9uuqQliiIfrmMP4VaFoDNDWyUFy2J8/edit?gid=0#gid=0"",""Sheet1!K:K"")=$B124
    ),
    1
  )"&amp;",
  ""Not Found""
)"),"Not Found")</f>
        <v>Not Found</v>
      </c>
      <c r="K124" s="340"/>
      <c r="L124" s="340"/>
      <c r="M124" s="230"/>
      <c r="N124" s="230"/>
      <c r="O124" s="230"/>
      <c r="P124" s="230"/>
      <c r="Q124" s="230"/>
      <c r="R124" s="230"/>
      <c r="S124" s="230"/>
      <c r="T124" s="230"/>
      <c r="U124" s="230"/>
      <c r="V124" s="230"/>
      <c r="W124" s="230"/>
      <c r="X124" s="230"/>
      <c r="Y124" s="230"/>
      <c r="Z124" s="230"/>
    </row>
    <row r="125">
      <c r="A125" s="337" t="str">
        <f>IFERROR(__xludf.DUMMYFUNCTION("VLOOKUP($B125,IMPORTRANGE(""https://docs.google.com/spreadsheets/d/1VNXDITjs75AcgdBSW27oL1VZH31udDprJSsBcE5xlp4/edit?gid=1551188038#gid=1551188038"", ""Sheet9!$B:$E""),2,false)"),"Sargodha")</f>
        <v>Sargodha</v>
      </c>
      <c r="B125" s="338" t="s">
        <v>2802</v>
      </c>
      <c r="C125" s="284">
        <f>IFERROR(__xludf.DUMMYFUNCTION("IFERROR(
  INDEX(
    FILTER(
      IMPORTRANGE(""1Cxrhp3-_-HS7v9uuqQliiIfrmMP4VaFoDNDWyUFy2J8/edit?gid=0#gid=0"",""Sheet1!AE:AE""),
      IMPORTRANGE(""1Cxrhp3-_-HS7v9uuqQliiIfrmMP4VaFoDNDWyUFy2J8/edit?gid=0#gid=0"",""Sheet1!K:K"")=$B125
    ),
    1
  )"&amp;",
  ""Not Found""
)"),1940.0)</f>
        <v>1940</v>
      </c>
      <c r="D125" s="284" t="str">
        <f>IFERROR(__xludf.DUMMYFUNCTION("IFERROR(
  INDEX(
    FILTER(
      IMPORTRANGE(""1Cxrhp3-_-HS7v9uuqQliiIfrmMP4VaFoDNDWyUFy2J8/edit?gid=0#gid=0"",""Sheet1!AG:AG""),
      IMPORTRANGE(""1Cxrhp3-_-HS7v9uuqQliiIfrmMP4VaFoDNDWyUFy2J8/edit?gid=0#gid=0"",""Sheet1!K:K"")=$B125
    ),
    1
  )"&amp;",
  ""Not Found""
)"),"")</f>
        <v/>
      </c>
      <c r="E125" s="284" t="str">
        <f>IFERROR(__xludf.DUMMYFUNCTION("IFERROR(
  INDEX(
    FILTER(
      IMPORTRANGE(""1kOrIKZmJfNUkgOVP3sI9BPjaaPA0_a4636oymQxTXg8/edit?gid=609491371#gid=609491371"",""Form responses 1!J:J""),
      IMPORTRANGE(""1kOrIKZmJfNUkgOVP3sI9BPjaaPA0_a4636oymQxTXg8/edit?gid=609491371#gid=609491371"&amp;""",""Form responses 1!F:F"")=$B125
    ),
    1
  ),
  ""Not Found""
)"),"Not Found")</f>
        <v>Not Found</v>
      </c>
      <c r="F125" s="284" t="str">
        <f>IFERROR(__xludf.DUMMYFUNCTION("IFERROR(
  INDEX(
    FILTER(
      IMPORTRANGE(""1kOrIKZmJfNUkgOVP3sI9BPjaaPA0_a4636oymQxTXg8/edit?gid=609491371#gid=609491371"",""Form responses 1!L:L""),
      IMPORTRANGE(""1kOrIKZmJfNUkgOVP3sI9BPjaaPA0_a4636oymQxTXg8/edit?gid=609491371#gid=609491371"&amp;""",""Form responses 1!F:F"")=$B125
    ),
    1
  ),
  ""Not Found""
)"),"Not Found")</f>
        <v>Not Found</v>
      </c>
      <c r="G125" s="284"/>
      <c r="H125" s="230"/>
      <c r="I125" s="230">
        <v>1940.0</v>
      </c>
      <c r="J125" s="339">
        <f>IFERROR(__xludf.DUMMYFUNCTION("IFERROR(
  INDEX(
    FILTER(
      IMPORTRANGE(""1Cxrhp3-_-HS7v9uuqQliiIfrmMP4VaFoDNDWyUFy2J8/edit?gid=0#gid=0"",""Sheet1!AE:AE""),
      IMPORTRANGE(""1Cxrhp3-_-HS7v9uuqQliiIfrmMP4VaFoDNDWyUFy2J8/edit?gid=0#gid=0"",""Sheet1!K:K"")=$B125
    ),
    1
  )"&amp;",
  ""Not Found""
)"),1940.0)</f>
        <v>1940</v>
      </c>
      <c r="K125" s="340"/>
      <c r="L125" s="340"/>
      <c r="M125" s="230"/>
      <c r="N125" s="230"/>
      <c r="O125" s="230"/>
      <c r="P125" s="230"/>
      <c r="Q125" s="230"/>
      <c r="R125" s="230"/>
      <c r="S125" s="230"/>
      <c r="T125" s="230"/>
      <c r="U125" s="230"/>
      <c r="V125" s="230"/>
      <c r="W125" s="230"/>
      <c r="X125" s="230"/>
      <c r="Y125" s="230"/>
      <c r="Z125" s="230"/>
    </row>
    <row r="126">
      <c r="A126" s="337" t="str">
        <f>IFERROR(__xludf.DUMMYFUNCTION("VLOOKUP($B126,IMPORTRANGE(""https://docs.google.com/spreadsheets/d/1VNXDITjs75AcgdBSW27oL1VZH31udDprJSsBcE5xlp4/edit?gid=1551188038#gid=1551188038"", ""Sheet9!$B:$E""),2,false)"),"Sargodha")</f>
        <v>Sargodha</v>
      </c>
      <c r="B126" s="338" t="s">
        <v>2454</v>
      </c>
      <c r="C126" s="284">
        <f>IFERROR(__xludf.DUMMYFUNCTION("IFERROR(
  INDEX(
    FILTER(
      IMPORTRANGE(""1Cxrhp3-_-HS7v9uuqQliiIfrmMP4VaFoDNDWyUFy2J8/edit?gid=0#gid=0"",""Sheet1!AE:AE""),
      IMPORTRANGE(""1Cxrhp3-_-HS7v9uuqQliiIfrmMP4VaFoDNDWyUFy2J8/edit?gid=0#gid=0"",""Sheet1!K:K"")=$B126
    ),
    1
  )"&amp;",
  ""Not Found""
)"),0.0)</f>
        <v>0</v>
      </c>
      <c r="D126" s="284" t="str">
        <f>IFERROR(__xludf.DUMMYFUNCTION("IFERROR(
  INDEX(
    FILTER(
      IMPORTRANGE(""1Cxrhp3-_-HS7v9uuqQliiIfrmMP4VaFoDNDWyUFy2J8/edit?gid=0#gid=0"",""Sheet1!AG:AG""),
      IMPORTRANGE(""1Cxrhp3-_-HS7v9uuqQliiIfrmMP4VaFoDNDWyUFy2J8/edit?gid=0#gid=0"",""Sheet1!K:K"")=$B126
    ),
    1
  )"&amp;",
  ""Not Found""
)"),"")</f>
        <v/>
      </c>
      <c r="E126" s="284" t="str">
        <f>IFERROR(__xludf.DUMMYFUNCTION("IFERROR(
  INDEX(
    FILTER(
      IMPORTRANGE(""1kOrIKZmJfNUkgOVP3sI9BPjaaPA0_a4636oymQxTXg8/edit?gid=609491371#gid=609491371"",""Form responses 1!J:J""),
      IMPORTRANGE(""1kOrIKZmJfNUkgOVP3sI9BPjaaPA0_a4636oymQxTXg8/edit?gid=609491371#gid=609491371"&amp;""",""Form responses 1!F:F"")=$B126
    ),
    1
  ),
  ""Not Found""
)"),"Not Found")</f>
        <v>Not Found</v>
      </c>
      <c r="F126" s="284" t="str">
        <f>IFERROR(__xludf.DUMMYFUNCTION("IFERROR(
  INDEX(
    FILTER(
      IMPORTRANGE(""1kOrIKZmJfNUkgOVP3sI9BPjaaPA0_a4636oymQxTXg8/edit?gid=609491371#gid=609491371"",""Form responses 1!L:L""),
      IMPORTRANGE(""1kOrIKZmJfNUkgOVP3sI9BPjaaPA0_a4636oymQxTXg8/edit?gid=609491371#gid=609491371"&amp;""",""Form responses 1!F:F"")=$B126
    ),
    1
  ),
  ""Not Found""
)"),"Not Found")</f>
        <v>Not Found</v>
      </c>
      <c r="G126" s="284"/>
      <c r="H126" s="230"/>
      <c r="I126" s="230"/>
      <c r="J126" s="339">
        <f>IFERROR(__xludf.DUMMYFUNCTION("IFERROR(
  INDEX(
    FILTER(
      IMPORTRANGE(""1Cxrhp3-_-HS7v9uuqQliiIfrmMP4VaFoDNDWyUFy2J8/edit?gid=0#gid=0"",""Sheet1!AE:AE""),
      IMPORTRANGE(""1Cxrhp3-_-HS7v9uuqQliiIfrmMP4VaFoDNDWyUFy2J8/edit?gid=0#gid=0"",""Sheet1!K:K"")=$B126
    ),
    1
  )"&amp;",
  ""Not Found""
)"),0.0)</f>
        <v>0</v>
      </c>
      <c r="K126" s="340"/>
      <c r="L126" s="340"/>
      <c r="M126" s="230"/>
      <c r="N126" s="230"/>
      <c r="O126" s="230"/>
      <c r="P126" s="230"/>
      <c r="Q126" s="230"/>
      <c r="R126" s="230"/>
      <c r="S126" s="230"/>
      <c r="T126" s="230"/>
      <c r="U126" s="230"/>
      <c r="V126" s="230"/>
      <c r="W126" s="230"/>
      <c r="X126" s="230"/>
      <c r="Y126" s="230"/>
      <c r="Z126" s="230"/>
    </row>
    <row r="127">
      <c r="A127" s="337" t="str">
        <f>IFERROR(__xludf.DUMMYFUNCTION("VLOOKUP($B127,IMPORTRANGE(""https://docs.google.com/spreadsheets/d/1VNXDITjs75AcgdBSW27oL1VZH31udDprJSsBcE5xlp4/edit?gid=1551188038#gid=1551188038"", ""Sheet9!$B:$E""),2,false)"),"Khushab")</f>
        <v>Khushab</v>
      </c>
      <c r="B127" s="338" t="s">
        <v>4575</v>
      </c>
      <c r="C127" s="284" t="str">
        <f>IFERROR(__xludf.DUMMYFUNCTION("IFERROR(
  INDEX(
    FILTER(
      IMPORTRANGE(""1Cxrhp3-_-HS7v9uuqQliiIfrmMP4VaFoDNDWyUFy2J8/edit?gid=0#gid=0"",""Sheet1!AE:AE""),
      IMPORTRANGE(""1Cxrhp3-_-HS7v9uuqQliiIfrmMP4VaFoDNDWyUFy2J8/edit?gid=0#gid=0"",""Sheet1!K:K"")=$B127
    ),
    1
  )"&amp;",
  ""Not Found""
)"),"Not Found")</f>
        <v>Not Found</v>
      </c>
      <c r="D127" s="284"/>
      <c r="E127" s="284" t="str">
        <f>IFERROR(__xludf.DUMMYFUNCTION("IFERROR(
  INDEX(
    FILTER(
      IMPORTRANGE(""1kOrIKZmJfNUkgOVP3sI9BPjaaPA0_a4636oymQxTXg8/edit?gid=609491371#gid=609491371"",""Form responses 1!J:J""),
      IMPORTRANGE(""1kOrIKZmJfNUkgOVP3sI9BPjaaPA0_a4636oymQxTXg8/edit?gid=609491371#gid=609491371"&amp;""",""Form responses 1!F:F"")=$B127
    ),
    1
  ),
  ""Not Found""
)"),"Not Found")</f>
        <v>Not Found</v>
      </c>
      <c r="F127" s="284" t="str">
        <f>IFERROR(__xludf.DUMMYFUNCTION("IFERROR(
  INDEX(
    FILTER(
      IMPORTRANGE(""1kOrIKZmJfNUkgOVP3sI9BPjaaPA0_a4636oymQxTXg8/edit?gid=609491371#gid=609491371"",""Form responses 1!L:L""),
      IMPORTRANGE(""1kOrIKZmJfNUkgOVP3sI9BPjaaPA0_a4636oymQxTXg8/edit?gid=609491371#gid=609491371"&amp;""",""Form responses 1!F:F"")=$B127
    ),
    1
  ),
  ""Not Found""
)"),"Not Found")</f>
        <v>Not Found</v>
      </c>
      <c r="G127" s="284"/>
      <c r="H127" s="230"/>
      <c r="I127" s="230"/>
      <c r="J127" s="339" t="str">
        <f>IFERROR(__xludf.DUMMYFUNCTION("IFERROR(
  INDEX(
    FILTER(
      IMPORTRANGE(""1Cxrhp3-_-HS7v9uuqQliiIfrmMP4VaFoDNDWyUFy2J8/edit?gid=0#gid=0"",""Sheet1!AE:AE""),
      IMPORTRANGE(""1Cxrhp3-_-HS7v9uuqQliiIfrmMP4VaFoDNDWyUFy2J8/edit?gid=0#gid=0"",""Sheet1!K:K"")=$B127
    ),
    1
  )"&amp;",
  ""Not Found""
)"),"Not Found")</f>
        <v>Not Found</v>
      </c>
      <c r="K127" s="340"/>
      <c r="L127" s="340"/>
      <c r="M127" s="230"/>
      <c r="N127" s="230"/>
      <c r="O127" s="230"/>
      <c r="P127" s="230"/>
      <c r="Q127" s="230"/>
      <c r="R127" s="230"/>
      <c r="S127" s="230"/>
      <c r="T127" s="230"/>
      <c r="U127" s="230"/>
      <c r="V127" s="230"/>
      <c r="W127" s="230"/>
      <c r="X127" s="230"/>
      <c r="Y127" s="230"/>
      <c r="Z127" s="230"/>
    </row>
    <row r="128">
      <c r="A128" s="337" t="str">
        <f>IFERROR(__xludf.DUMMYFUNCTION("VLOOKUP($B128,IMPORTRANGE(""https://docs.google.com/spreadsheets/d/1VNXDITjs75AcgdBSW27oL1VZH31udDprJSsBcE5xlp4/edit?gid=1551188038#gid=1551188038"", ""Sheet9!$B:$E""),2,false)"),"Khushab")</f>
        <v>Khushab</v>
      </c>
      <c r="B128" s="338" t="s">
        <v>4576</v>
      </c>
      <c r="C128" s="284">
        <f>IFERROR(__xludf.DUMMYFUNCTION("IFERROR(
  INDEX(
    FILTER(
      IMPORTRANGE(""1Cxrhp3-_-HS7v9uuqQliiIfrmMP4VaFoDNDWyUFy2J8/edit?gid=0#gid=0"",""Sheet1!AE:AE""),
      IMPORTRANGE(""1Cxrhp3-_-HS7v9uuqQliiIfrmMP4VaFoDNDWyUFy2J8/edit?gid=0#gid=0"",""Sheet1!K:K"")=$B128
    ),
    1
  )"&amp;",
  ""Not Found""
)"),1940.0)</f>
        <v>1940</v>
      </c>
      <c r="D128" s="284" t="str">
        <f>IFERROR(__xludf.DUMMYFUNCTION("IFERROR(
  INDEX(
    FILTER(
      IMPORTRANGE(""1Cxrhp3-_-HS7v9uuqQliiIfrmMP4VaFoDNDWyUFy2J8/edit?gid=0#gid=0"",""Sheet1!AG:AG""),
      IMPORTRANGE(""1Cxrhp3-_-HS7v9uuqQliiIfrmMP4VaFoDNDWyUFy2J8/edit?gid=0#gid=0"",""Sheet1!K:K"")=$B128
    ),
    1
  )"&amp;",
  ""Not Found""
)"),"")</f>
        <v/>
      </c>
      <c r="E128" s="284" t="str">
        <f>IFERROR(__xludf.DUMMYFUNCTION("IFERROR(
  INDEX(
    FILTER(
      IMPORTRANGE(""1kOrIKZmJfNUkgOVP3sI9BPjaaPA0_a4636oymQxTXg8/edit?gid=609491371#gid=609491371"",""Form responses 1!J:J""),
      IMPORTRANGE(""1kOrIKZmJfNUkgOVP3sI9BPjaaPA0_a4636oymQxTXg8/edit?gid=609491371#gid=609491371"&amp;""",""Form responses 1!F:F"")=$B128
    ),
    1
  ),
  ""Not Found""
)"),"Not Found")</f>
        <v>Not Found</v>
      </c>
      <c r="F128" s="284" t="str">
        <f>IFERROR(__xludf.DUMMYFUNCTION("IFERROR(
  INDEX(
    FILTER(
      IMPORTRANGE(""1kOrIKZmJfNUkgOVP3sI9BPjaaPA0_a4636oymQxTXg8/edit?gid=609491371#gid=609491371"",""Form responses 1!L:L""),
      IMPORTRANGE(""1kOrIKZmJfNUkgOVP3sI9BPjaaPA0_a4636oymQxTXg8/edit?gid=609491371#gid=609491371"&amp;""",""Form responses 1!F:F"")=$B128
    ),
    1
  ),
  ""Not Found""
)"),"Not Found")</f>
        <v>Not Found</v>
      </c>
      <c r="G128" s="284"/>
      <c r="H128" s="230"/>
      <c r="I128" s="230">
        <v>1940.0</v>
      </c>
      <c r="J128" s="339">
        <f>IFERROR(__xludf.DUMMYFUNCTION("IFERROR(
  INDEX(
    FILTER(
      IMPORTRANGE(""1Cxrhp3-_-HS7v9uuqQliiIfrmMP4VaFoDNDWyUFy2J8/edit?gid=0#gid=0"",""Sheet1!AE:AE""),
      IMPORTRANGE(""1Cxrhp3-_-HS7v9uuqQliiIfrmMP4VaFoDNDWyUFy2J8/edit?gid=0#gid=0"",""Sheet1!K:K"")=$B128
    ),
    1
  )"&amp;",
  ""Not Found""
)"),1940.0)</f>
        <v>1940</v>
      </c>
      <c r="K128" s="340"/>
      <c r="L128" s="340"/>
      <c r="M128" s="230"/>
      <c r="N128" s="230"/>
      <c r="O128" s="230"/>
      <c r="P128" s="230"/>
      <c r="Q128" s="230"/>
      <c r="R128" s="230"/>
      <c r="S128" s="230"/>
      <c r="T128" s="230"/>
      <c r="U128" s="230"/>
      <c r="V128" s="230"/>
      <c r="W128" s="230"/>
      <c r="X128" s="230"/>
      <c r="Y128" s="230"/>
      <c r="Z128" s="230"/>
    </row>
    <row r="129">
      <c r="A129" s="337" t="str">
        <f>IFERROR(__xludf.DUMMYFUNCTION("VLOOKUP($B129,IMPORTRANGE(""https://docs.google.com/spreadsheets/d/1VNXDITjs75AcgdBSW27oL1VZH31udDprJSsBcE5xlp4/edit?gid=1551188038#gid=1551188038"", ""Sheet9!$B:$E""),2,false)"),"Khushab")</f>
        <v>Khushab</v>
      </c>
      <c r="B129" s="338" t="s">
        <v>4578</v>
      </c>
      <c r="C129" s="284">
        <f>IFERROR(__xludf.DUMMYFUNCTION("IFERROR(
  INDEX(
    FILTER(
      IMPORTRANGE(""1Cxrhp3-_-HS7v9uuqQliiIfrmMP4VaFoDNDWyUFy2J8/edit?gid=0#gid=0"",""Sheet1!AE:AE""),
      IMPORTRANGE(""1Cxrhp3-_-HS7v9uuqQliiIfrmMP4VaFoDNDWyUFy2J8/edit?gid=0#gid=0"",""Sheet1!K:K"")=$B129
    ),
    1
  )"&amp;",
  ""Not Found""
)"),1810.0)</f>
        <v>1810</v>
      </c>
      <c r="D129" s="284" t="str">
        <f>IFERROR(__xludf.DUMMYFUNCTION("IFERROR(
  INDEX(
    FILTER(
      IMPORTRANGE(""1Cxrhp3-_-HS7v9uuqQliiIfrmMP4VaFoDNDWyUFy2J8/edit?gid=0#gid=0"",""Sheet1!AG:AG""),
      IMPORTRANGE(""1Cxrhp3-_-HS7v9uuqQliiIfrmMP4VaFoDNDWyUFy2J8/edit?gid=0#gid=0"",""Sheet1!K:K"")=$B129
    ),
    1
  )"&amp;",
  ""Not Found""
)"),"Hazrat Baba Sakhi Seyed Muhammad Said Shah")</f>
        <v>Hazrat Baba Sakhi Seyed Muhammad Said Shah</v>
      </c>
      <c r="E129" s="284" t="str">
        <f>IFERROR(__xludf.DUMMYFUNCTION("IFERROR(
  INDEX(
    FILTER(
      IMPORTRANGE(""1kOrIKZmJfNUkgOVP3sI9BPjaaPA0_a4636oymQxTXg8/edit?gid=609491371#gid=609491371"",""Form responses 1!J:J""),
      IMPORTRANGE(""1kOrIKZmJfNUkgOVP3sI9BPjaaPA0_a4636oymQxTXg8/edit?gid=609491371#gid=609491371"&amp;""",""Form responses 1!F:F"")=$B129
    ),
    1
  ),
  ""Not Found""
)"),"Not Found")</f>
        <v>Not Found</v>
      </c>
      <c r="F129" s="284" t="str">
        <f>IFERROR(__xludf.DUMMYFUNCTION("IFERROR(
  INDEX(
    FILTER(
      IMPORTRANGE(""1kOrIKZmJfNUkgOVP3sI9BPjaaPA0_a4636oymQxTXg8/edit?gid=609491371#gid=609491371"",""Form responses 1!L:L""),
      IMPORTRANGE(""1kOrIKZmJfNUkgOVP3sI9BPjaaPA0_a4636oymQxTXg8/edit?gid=609491371#gid=609491371"&amp;""",""Form responses 1!F:F"")=$B129
    ),
    1
  ),
  ""Not Found""
)"),"Not Found")</f>
        <v>Not Found</v>
      </c>
      <c r="G129" s="284"/>
      <c r="H129" s="230"/>
      <c r="I129" s="230">
        <v>1810.0</v>
      </c>
      <c r="J129" s="339">
        <f>IFERROR(__xludf.DUMMYFUNCTION("IFERROR(
  INDEX(
    FILTER(
      IMPORTRANGE(""1Cxrhp3-_-HS7v9uuqQliiIfrmMP4VaFoDNDWyUFy2J8/edit?gid=0#gid=0"",""Sheet1!AE:AE""),
      IMPORTRANGE(""1Cxrhp3-_-HS7v9uuqQliiIfrmMP4VaFoDNDWyUFy2J8/edit?gid=0#gid=0"",""Sheet1!K:K"")=$B129
    ),
    1
  )"&amp;",
  ""Not Found""
)"),1810.0)</f>
        <v>1810</v>
      </c>
      <c r="K129" s="340"/>
      <c r="L129" s="340"/>
      <c r="M129" s="230"/>
      <c r="N129" s="230"/>
      <c r="O129" s="230"/>
      <c r="P129" s="230"/>
      <c r="Q129" s="230"/>
      <c r="R129" s="230"/>
      <c r="S129" s="230"/>
      <c r="T129" s="230"/>
      <c r="U129" s="230"/>
      <c r="V129" s="230"/>
      <c r="W129" s="230"/>
      <c r="X129" s="230"/>
      <c r="Y129" s="230"/>
      <c r="Z129" s="230"/>
    </row>
    <row r="130">
      <c r="A130" s="337" t="str">
        <f>IFERROR(__xludf.DUMMYFUNCTION("VLOOKUP($B130,IMPORTRANGE(""https://docs.google.com/spreadsheets/d/1VNXDITjs75AcgdBSW27oL1VZH31udDprJSsBcE5xlp4/edit?gid=1551188038#gid=1551188038"", ""Sheet9!$B:$E""),2,false)"),"Khushab")</f>
        <v>Khushab</v>
      </c>
      <c r="B130" s="338" t="s">
        <v>2595</v>
      </c>
      <c r="C130" s="284">
        <f>IFERROR(__xludf.DUMMYFUNCTION("IFERROR(
  INDEX(
    FILTER(
      IMPORTRANGE(""1Cxrhp3-_-HS7v9uuqQliiIfrmMP4VaFoDNDWyUFy2J8/edit?gid=0#gid=0"",""Sheet1!AE:AE""),
      IMPORTRANGE(""1Cxrhp3-_-HS7v9uuqQliiIfrmMP4VaFoDNDWyUFy2J8/edit?gid=0#gid=0"",""Sheet1!K:K"")=$B130
    ),
    1
  )"&amp;",
  ""Not Found""
)"),1800.0)</f>
        <v>1800</v>
      </c>
      <c r="D130" s="284" t="str">
        <f>IFERROR(__xludf.DUMMYFUNCTION("IFERROR(
  INDEX(
    FILTER(
      IMPORTRANGE(""1Cxrhp3-_-HS7v9uuqQliiIfrmMP4VaFoDNDWyUFy2J8/edit?gid=0#gid=0"",""Sheet1!AG:AG""),
      IMPORTRANGE(""1Cxrhp3-_-HS7v9uuqQliiIfrmMP4VaFoDNDWyUFy2J8/edit?gid=0#gid=0"",""Sheet1!K:K"")=$B130
    ),
    1
  )"&amp;",
  ""Not Found""
)"),"Badshan sarkar")</f>
        <v>Badshan sarkar</v>
      </c>
      <c r="E130" s="284" t="str">
        <f>IFERROR(__xludf.DUMMYFUNCTION("IFERROR(
  INDEX(
    FILTER(
      IMPORTRANGE(""1kOrIKZmJfNUkgOVP3sI9BPjaaPA0_a4636oymQxTXg8/edit?gid=609491371#gid=609491371"",""Form responses 1!J:J""),
      IMPORTRANGE(""1kOrIKZmJfNUkgOVP3sI9BPjaaPA0_a4636oymQxTXg8/edit?gid=609491371#gid=609491371"&amp;""",""Form responses 1!F:F"")=$B130
    ),
    1
  ),
  ""Not Found""
)"),"Not Found")</f>
        <v>Not Found</v>
      </c>
      <c r="F130" s="284" t="str">
        <f>IFERROR(__xludf.DUMMYFUNCTION("IFERROR(
  INDEX(
    FILTER(
      IMPORTRANGE(""1kOrIKZmJfNUkgOVP3sI9BPjaaPA0_a4636oymQxTXg8/edit?gid=609491371#gid=609491371"",""Form responses 1!L:L""),
      IMPORTRANGE(""1kOrIKZmJfNUkgOVP3sI9BPjaaPA0_a4636oymQxTXg8/edit?gid=609491371#gid=609491371"&amp;""",""Form responses 1!F:F"")=$B130
    ),
    1
  ),
  ""Not Found""
)"),"Not Found")</f>
        <v>Not Found</v>
      </c>
      <c r="G130" s="284"/>
      <c r="H130" s="230"/>
      <c r="I130" s="230">
        <v>1800.0</v>
      </c>
      <c r="J130" s="339">
        <f>IFERROR(__xludf.DUMMYFUNCTION("IFERROR(
  INDEX(
    FILTER(
      IMPORTRANGE(""1Cxrhp3-_-HS7v9uuqQliiIfrmMP4VaFoDNDWyUFy2J8/edit?gid=0#gid=0"",""Sheet1!AE:AE""),
      IMPORTRANGE(""1Cxrhp3-_-HS7v9uuqQliiIfrmMP4VaFoDNDWyUFy2J8/edit?gid=0#gid=0"",""Sheet1!K:K"")=$B130
    ),
    1
  )"&amp;",
  ""Not Found""
)"),1800.0)</f>
        <v>1800</v>
      </c>
      <c r="K130" s="340"/>
      <c r="L130" s="340"/>
      <c r="M130" s="230"/>
      <c r="N130" s="230"/>
      <c r="O130" s="230"/>
      <c r="P130" s="230"/>
      <c r="Q130" s="230"/>
      <c r="R130" s="230"/>
      <c r="S130" s="230"/>
      <c r="T130" s="230"/>
      <c r="U130" s="230"/>
      <c r="V130" s="230"/>
      <c r="W130" s="230"/>
      <c r="X130" s="230"/>
      <c r="Y130" s="230"/>
      <c r="Z130" s="230"/>
    </row>
    <row r="131">
      <c r="A131" s="337" t="str">
        <f>IFERROR(__xludf.DUMMYFUNCTION("VLOOKUP($B131,IMPORTRANGE(""https://docs.google.com/spreadsheets/d/1VNXDITjs75AcgdBSW27oL1VZH31udDprJSsBcE5xlp4/edit?gid=1551188038#gid=1551188038"", ""Sheet9!$B:$E""),2,false)"),"Muzaffargarh")</f>
        <v>Muzaffargarh</v>
      </c>
      <c r="B131" s="338" t="s">
        <v>4579</v>
      </c>
      <c r="C131" s="284">
        <f>IFERROR(__xludf.DUMMYFUNCTION("IFERROR(
  INDEX(
    FILTER(
      IMPORTRANGE(""1Cxrhp3-_-HS7v9uuqQliiIfrmMP4VaFoDNDWyUFy2J8/edit?gid=0#gid=0"",""Sheet1!AE:AE""),
      IMPORTRANGE(""1Cxrhp3-_-HS7v9uuqQliiIfrmMP4VaFoDNDWyUFy2J8/edit?gid=0#gid=0"",""Sheet1!K:K"")=$B131
    ),
    1
  )"&amp;",
  ""Not Found""
)"),1984.0)</f>
        <v>1984</v>
      </c>
      <c r="D131" s="284" t="s">
        <v>4849</v>
      </c>
      <c r="E131" s="284">
        <f>IFERROR(__xludf.DUMMYFUNCTION("IFERROR(
  INDEX(
    FILTER(
      IMPORTRANGE(""1kOrIKZmJfNUkgOVP3sI9BPjaaPA0_a4636oymQxTXg8/edit?gid=609491371#gid=609491371"",""Form responses 1!J:J""),
      IMPORTRANGE(""1kOrIKZmJfNUkgOVP3sI9BPjaaPA0_a4636oymQxTXg8/edit?gid=609491371#gid=609491371"&amp;""",""Form responses 1!F:F"")=$B131
    ),
    1
  ),
  ""Not Found""
)"),1984.0)</f>
        <v>1984</v>
      </c>
      <c r="F131" s="284" t="str">
        <f>IFERROR(__xludf.DUMMYFUNCTION("IFERROR(
  INDEX(
    FILTER(
      IMPORTRANGE(""1kOrIKZmJfNUkgOVP3sI9BPjaaPA0_a4636oymQxTXg8/edit?gid=609491371#gid=609491371"",""Form responses 1!L:L""),
      IMPORTRANGE(""1kOrIKZmJfNUkgOVP3sI9BPjaaPA0_a4636oymQxTXg8/edit?gid=609491371#gid=609491371"&amp;""",""Form responses 1!F:F"")=$B131
    ),
    1
  ),
  ""Not Found""
)"),"Syed peer abdullah shah bukari ")</f>
        <v>Syed peer abdullah shah bukari </v>
      </c>
      <c r="G131" s="284" t="str">
        <f>IFERROR(__xludf.DUMMYFUNCTION("IFERROR(
  INDEX(
    FILTER(
      IMPORTRANGE(""1kOrIKZmJfNUkgOVP3sI9BPjaaPA0_a4636oymQxTXg8/edit?gid=609491371#gid=609491371"",""Form responses 1!K:K""),
      IMPORTRANGE(""1kOrIKZmJfNUkgOVP3sI9BPjaaPA0_a4636oymQxTXg8/edit?gid=609491371#gid=609491371"&amp;""",""Form responses 1!F:F"")=$B131
    ),
    1
  ),
  ""Not Found""
)"),"No")</f>
        <v>No</v>
      </c>
      <c r="H131" s="230"/>
      <c r="I131" s="230">
        <v>1984.0</v>
      </c>
      <c r="J131" s="339">
        <f>IFERROR(__xludf.DUMMYFUNCTION("IFERROR(
  INDEX(
    FILTER(
      IMPORTRANGE(""1Cxrhp3-_-HS7v9uuqQliiIfrmMP4VaFoDNDWyUFy2J8/edit?gid=0#gid=0"",""Sheet1!AE:AE""),
      IMPORTRANGE(""1Cxrhp3-_-HS7v9uuqQliiIfrmMP4VaFoDNDWyUFy2J8/edit?gid=0#gid=0"",""Sheet1!K:K"")=$B131
    ),
    1
  )"&amp;",
  ""Not Found""
)"),1984.0)</f>
        <v>1984</v>
      </c>
      <c r="K131" s="340"/>
      <c r="L131" s="340"/>
      <c r="M131" s="230"/>
      <c r="N131" s="230"/>
      <c r="O131" s="230"/>
      <c r="P131" s="230"/>
      <c r="Q131" s="230"/>
      <c r="R131" s="230"/>
      <c r="S131" s="230"/>
      <c r="T131" s="230"/>
      <c r="U131" s="230"/>
      <c r="V131" s="230"/>
      <c r="W131" s="230"/>
      <c r="X131" s="230"/>
      <c r="Y131" s="230"/>
      <c r="Z131" s="230"/>
    </row>
    <row r="132">
      <c r="A132" s="337" t="str">
        <f>IFERROR(__xludf.DUMMYFUNCTION("VLOOKUP($B132,IMPORTRANGE(""https://docs.google.com/spreadsheets/d/1VNXDITjs75AcgdBSW27oL1VZH31udDprJSsBcE5xlp4/edit?gid=1551188038#gid=1551188038"", ""Sheet9!$B:$E""),2,false)"),"Muzaffargarh")</f>
        <v>Muzaffargarh</v>
      </c>
      <c r="B132" s="338" t="s">
        <v>4580</v>
      </c>
      <c r="C132" s="284" t="str">
        <f>IFERROR(__xludf.DUMMYFUNCTION("IFERROR(
  INDEX(
    FILTER(
      IMPORTRANGE(""1Cxrhp3-_-HS7v9uuqQliiIfrmMP4VaFoDNDWyUFy2J8/edit?gid=0#gid=0"",""Sheet1!AE:AE""),
      IMPORTRANGE(""1Cxrhp3-_-HS7v9uuqQliiIfrmMP4VaFoDNDWyUFy2J8/edit?gid=0#gid=0"",""Sheet1!K:K"")=$B132
    ),
    1
  )"&amp;",
  ""Not Found""
)"),"Not Found")</f>
        <v>Not Found</v>
      </c>
      <c r="D132" s="284"/>
      <c r="E132" s="284" t="str">
        <f>IFERROR(__xludf.DUMMYFUNCTION("IFERROR(
  INDEX(
    FILTER(
      IMPORTRANGE(""1kOrIKZmJfNUkgOVP3sI9BPjaaPA0_a4636oymQxTXg8/edit?gid=609491371#gid=609491371"",""Form responses 1!J:J""),
      IMPORTRANGE(""1kOrIKZmJfNUkgOVP3sI9BPjaaPA0_a4636oymQxTXg8/edit?gid=609491371#gid=609491371"&amp;""",""Form responses 1!F:F"")=$B132
    ),
    1
  ),
  ""Not Found""
)"),"-")</f>
        <v>-</v>
      </c>
      <c r="F132" s="284" t="str">
        <f>IFERROR(__xludf.DUMMYFUNCTION("IFERROR(
  INDEX(
    FILTER(
      IMPORTRANGE(""1kOrIKZmJfNUkgOVP3sI9BPjaaPA0_a4636oymQxTXg8/edit?gid=609491371#gid=609491371"",""Form responses 1!L:L""),
      IMPORTRANGE(""1kOrIKZmJfNUkgOVP3sI9BPjaaPA0_a4636oymQxTXg8/edit?gid=609491371#gid=609491371"&amp;""",""Form responses 1!F:F"")=$B132
    ),
    1
  ),
  ""Not Found""
)"),"Darbar Laal Essan")</f>
        <v>Darbar Laal Essan</v>
      </c>
      <c r="G132" s="284" t="str">
        <f>IFERROR(__xludf.DUMMYFUNCTION("IFERROR(
  INDEX(
    FILTER(
      IMPORTRANGE(""1kOrIKZmJfNUkgOVP3sI9BPjaaPA0_a4636oymQxTXg8/edit?gid=609491371#gid=609491371"",""Form responses 1!K:K""),
      IMPORTRANGE(""1kOrIKZmJfNUkgOVP3sI9BPjaaPA0_a4636oymQxTXg8/edit?gid=609491371#gid=609491371"&amp;""",""Form responses 1!F:F"")=$B132
    ),
    1
  ),
  ""Not Found""
)"),"No")</f>
        <v>No</v>
      </c>
      <c r="H132" s="230"/>
      <c r="I132" s="230"/>
      <c r="J132" s="339" t="str">
        <f>IFERROR(__xludf.DUMMYFUNCTION("IFERROR(
  INDEX(
    FILTER(
      IMPORTRANGE(""1Cxrhp3-_-HS7v9uuqQliiIfrmMP4VaFoDNDWyUFy2J8/edit?gid=0#gid=0"",""Sheet1!AE:AE""),
      IMPORTRANGE(""1Cxrhp3-_-HS7v9uuqQliiIfrmMP4VaFoDNDWyUFy2J8/edit?gid=0#gid=0"",""Sheet1!K:K"")=$B132
    ),
    1
  )"&amp;",
  ""Not Found""
)"),"Not Found")</f>
        <v>Not Found</v>
      </c>
      <c r="K132" s="340"/>
      <c r="L132" s="340"/>
      <c r="M132" s="230"/>
      <c r="N132" s="230"/>
      <c r="O132" s="230"/>
      <c r="P132" s="230"/>
      <c r="Q132" s="230"/>
      <c r="R132" s="230"/>
      <c r="S132" s="230"/>
      <c r="T132" s="230"/>
      <c r="U132" s="230"/>
      <c r="V132" s="230"/>
      <c r="W132" s="230"/>
      <c r="X132" s="230"/>
      <c r="Y132" s="230"/>
      <c r="Z132" s="230"/>
    </row>
    <row r="133">
      <c r="A133" s="337" t="str">
        <f>IFERROR(__xludf.DUMMYFUNCTION("VLOOKUP($B133,IMPORTRANGE(""https://docs.google.com/spreadsheets/d/1VNXDITjs75AcgdBSW27oL1VZH31udDprJSsBcE5xlp4/edit?gid=1551188038#gid=1551188038"", ""Sheet9!$B:$E""),2,false)"),"Muzaffargarh")</f>
        <v>Muzaffargarh</v>
      </c>
      <c r="B133" s="338" t="s">
        <v>4581</v>
      </c>
      <c r="C133" s="284">
        <f>IFERROR(__xludf.DUMMYFUNCTION("IFERROR(
  INDEX(
    FILTER(
      IMPORTRANGE(""1Cxrhp3-_-HS7v9uuqQliiIfrmMP4VaFoDNDWyUFy2J8/edit?gid=0#gid=0"",""Sheet1!AE:AE""),
      IMPORTRANGE(""1Cxrhp3-_-HS7v9uuqQliiIfrmMP4VaFoDNDWyUFy2J8/edit?gid=0#gid=0"",""Sheet1!K:K"")=$B133
    ),
    1
  )"&amp;",
  ""Not Found""
)"),1770.0)</f>
        <v>1770</v>
      </c>
      <c r="D133" s="284" t="str">
        <f>IFERROR(__xludf.DUMMYFUNCTION("IFERROR(
  INDEX(
    FILTER(
      IMPORTRANGE(""1Cxrhp3-_-HS7v9uuqQliiIfrmMP4VaFoDNDWyUFy2J8/edit?gid=0#gid=0"",""Sheet1!AG:AG""),
      IMPORTRANGE(""1Cxrhp3-_-HS7v9uuqQliiIfrmMP4VaFoDNDWyUFy2J8/edit?gid=0#gid=0"",""Sheet1!K:K"")=$B133
    ),
    1
  )"&amp;",
  ""Not Found""
)"),"Ali Rajan Shah ")</f>
        <v>Ali Rajan Shah </v>
      </c>
      <c r="E133" s="284">
        <f>IFERROR(__xludf.DUMMYFUNCTION("IFERROR(
  INDEX(
    FILTER(
      IMPORTRANGE(""1kOrIKZmJfNUkgOVP3sI9BPjaaPA0_a4636oymQxTXg8/edit?gid=609491371#gid=609491371"",""Form responses 1!J:J""),
      IMPORTRANGE(""1kOrIKZmJfNUkgOVP3sI9BPjaaPA0_a4636oymQxTXg8/edit?gid=609491371#gid=609491371"&amp;""",""Form responses 1!F:F"")=$B133
    ),
    1
  ),
  ""Not Found""
)"),1770.0)</f>
        <v>1770</v>
      </c>
      <c r="F133" s="284" t="str">
        <f>IFERROR(__xludf.DUMMYFUNCTION("IFERROR(
  INDEX(
    FILTER(
      IMPORTRANGE(""1kOrIKZmJfNUkgOVP3sI9BPjaaPA0_a4636oymQxTXg8/edit?gid=609491371#gid=609491371"",""Form responses 1!L:L""),
      IMPORTRANGE(""1kOrIKZmJfNUkgOVP3sI9BPjaaPA0_a4636oymQxTXg8/edit?gid=609491371#gid=609491371"&amp;""",""Form responses 1!F:F"")=$B133
    ),
    1
  ),
  ""Not Found""
)"),"Muhamad Ali Rajan Shah")</f>
        <v>Muhamad Ali Rajan Shah</v>
      </c>
      <c r="G133" s="284" t="str">
        <f>IFERROR(__xludf.DUMMYFUNCTION("IFERROR(
  INDEX(
    FILTER(
      IMPORTRANGE(""1kOrIKZmJfNUkgOVP3sI9BPjaaPA0_a4636oymQxTXg8/edit?gid=609491371#gid=609491371"",""Form responses 1!K:K""),
      IMPORTRANGE(""1kOrIKZmJfNUkgOVP3sI9BPjaaPA0_a4636oymQxTXg8/edit?gid=609491371#gid=609491371"&amp;""",""Form responses 1!F:F"")=$B133
    ),
    1
  ),
  ""Not Found""
)"),"No")</f>
        <v>No</v>
      </c>
      <c r="H133" s="230"/>
      <c r="I133" s="230">
        <v>1770.0</v>
      </c>
      <c r="J133" s="339">
        <f>IFERROR(__xludf.DUMMYFUNCTION("IFERROR(
  INDEX(
    FILTER(
      IMPORTRANGE(""1Cxrhp3-_-HS7v9uuqQliiIfrmMP4VaFoDNDWyUFy2J8/edit?gid=0#gid=0"",""Sheet1!AE:AE""),
      IMPORTRANGE(""1Cxrhp3-_-HS7v9uuqQliiIfrmMP4VaFoDNDWyUFy2J8/edit?gid=0#gid=0"",""Sheet1!K:K"")=$B133
    ),
    1
  )"&amp;",
  ""Not Found""
)"),1770.0)</f>
        <v>1770</v>
      </c>
      <c r="K133" s="340"/>
      <c r="L133" s="340"/>
      <c r="M133" s="230"/>
      <c r="N133" s="230"/>
      <c r="O133" s="230"/>
      <c r="P133" s="230"/>
      <c r="Q133" s="230"/>
      <c r="R133" s="230"/>
      <c r="S133" s="230"/>
      <c r="T133" s="230"/>
      <c r="U133" s="230"/>
      <c r="V133" s="230"/>
      <c r="W133" s="230"/>
      <c r="X133" s="230"/>
      <c r="Y133" s="230"/>
      <c r="Z133" s="230"/>
    </row>
    <row r="134">
      <c r="A134" s="337" t="str">
        <f>IFERROR(__xludf.DUMMYFUNCTION("VLOOKUP($B134,IMPORTRANGE(""https://docs.google.com/spreadsheets/d/1VNXDITjs75AcgdBSW27oL1VZH31udDprJSsBcE5xlp4/edit?gid=1551188038#gid=1551188038"", ""Sheet9!$B:$E""),2,false)"),"Muzaffargarh")</f>
        <v>Muzaffargarh</v>
      </c>
      <c r="B134" s="338" t="s">
        <v>4582</v>
      </c>
      <c r="C134" s="284">
        <f>IFERROR(__xludf.DUMMYFUNCTION("IFERROR(
  INDEX(
    FILTER(
      IMPORTRANGE(""1Cxrhp3-_-HS7v9uuqQliiIfrmMP4VaFoDNDWyUFy2J8/edit?gid=0#gid=0"",""Sheet1!AE:AE""),
      IMPORTRANGE(""1Cxrhp3-_-HS7v9uuqQliiIfrmMP4VaFoDNDWyUFy2J8/edit?gid=0#gid=0"",""Sheet1!K:K"")=$B134
    ),
    1
  )"&amp;",
  ""Not Found""
)"),1987.0)</f>
        <v>1987</v>
      </c>
      <c r="D134" s="284" t="str">
        <f>IFERROR(__xludf.DUMMYFUNCTION("IFERROR(
  INDEX(
    FILTER(
      IMPORTRANGE(""1Cxrhp3-_-HS7v9uuqQliiIfrmMP4VaFoDNDWyUFy2J8/edit?gid=0#gid=0"",""Sheet1!AG:AG""),
      IMPORTRANGE(""1Cxrhp3-_-HS7v9uuqQliiIfrmMP4VaFoDNDWyUFy2J8/edit?gid=0#gid=0"",""Sheet1!K:K"")=$B134
    ),
    1
  )"&amp;",
  ""Not Found""
)"),"Hazrat Anayet Shah Bukhari ")</f>
        <v>Hazrat Anayet Shah Bukhari </v>
      </c>
      <c r="E134" s="284">
        <f>IFERROR(__xludf.DUMMYFUNCTION("IFERROR(
  INDEX(
    FILTER(
      IMPORTRANGE(""1kOrIKZmJfNUkgOVP3sI9BPjaaPA0_a4636oymQxTXg8/edit?gid=609491371#gid=609491371"",""Form responses 1!J:J""),
      IMPORTRANGE(""1kOrIKZmJfNUkgOVP3sI9BPjaaPA0_a4636oymQxTXg8/edit?gid=609491371#gid=609491371"&amp;""",""Form responses 1!F:F"")=$B134
    ),
    1
  ),
  ""Not Found""
)"),1987.0)</f>
        <v>1987</v>
      </c>
      <c r="F134" s="284" t="str">
        <f>IFERROR(__xludf.DUMMYFUNCTION("IFERROR(
  INDEX(
    FILTER(
      IMPORTRANGE(""1kOrIKZmJfNUkgOVP3sI9BPjaaPA0_a4636oymQxTXg8/edit?gid=609491371#gid=609491371"",""Form responses 1!L:L""),
      IMPORTRANGE(""1kOrIKZmJfNUkgOVP3sI9BPjaaPA0_a4636oymQxTXg8/edit?gid=609491371#gid=609491371"&amp;""",""Form responses 1!F:F"")=$B134
    ),
    1
  ),
  ""Not Found""
)"),"Hazrat Anaeyt Shah Bukhari")</f>
        <v>Hazrat Anaeyt Shah Bukhari</v>
      </c>
      <c r="G134" s="284" t="str">
        <f>IFERROR(__xludf.DUMMYFUNCTION("IFERROR(
  INDEX(
    FILTER(
      IMPORTRANGE(""1kOrIKZmJfNUkgOVP3sI9BPjaaPA0_a4636oymQxTXg8/edit?gid=609491371#gid=609491371"",""Form responses 1!K:K""),
      IMPORTRANGE(""1kOrIKZmJfNUkgOVP3sI9BPjaaPA0_a4636oymQxTXg8/edit?gid=609491371#gid=609491371"&amp;""",""Form responses 1!F:F"")=$B134
    ),
    1
  ),
  ""Not Found""
)"),"No")</f>
        <v>No</v>
      </c>
      <c r="H134" s="230"/>
      <c r="I134" s="230">
        <v>1987.0</v>
      </c>
      <c r="J134" s="339">
        <f>IFERROR(__xludf.DUMMYFUNCTION("IFERROR(
  INDEX(
    FILTER(
      IMPORTRANGE(""1Cxrhp3-_-HS7v9uuqQliiIfrmMP4VaFoDNDWyUFy2J8/edit?gid=0#gid=0"",""Sheet1!AE:AE""),
      IMPORTRANGE(""1Cxrhp3-_-HS7v9uuqQliiIfrmMP4VaFoDNDWyUFy2J8/edit?gid=0#gid=0"",""Sheet1!K:K"")=$B134
    ),
    1
  )"&amp;",
  ""Not Found""
)"),1987.0)</f>
        <v>1987</v>
      </c>
      <c r="K134" s="340"/>
      <c r="L134" s="340"/>
      <c r="M134" s="230"/>
      <c r="N134" s="230"/>
      <c r="O134" s="230"/>
      <c r="P134" s="230"/>
      <c r="Q134" s="230"/>
      <c r="R134" s="230"/>
      <c r="S134" s="230"/>
      <c r="T134" s="230"/>
      <c r="U134" s="230"/>
      <c r="V134" s="230"/>
      <c r="W134" s="230"/>
      <c r="X134" s="230"/>
      <c r="Y134" s="230"/>
      <c r="Z134" s="230"/>
    </row>
    <row r="135">
      <c r="A135" s="337" t="str">
        <f>IFERROR(__xludf.DUMMYFUNCTION("VLOOKUP($B135,IMPORTRANGE(""https://docs.google.com/spreadsheets/d/1VNXDITjs75AcgdBSW27oL1VZH31udDprJSsBcE5xlp4/edit?gid=1551188038#gid=1551188038"", ""Sheet9!$B:$E""),2,false)"),"Muzaffargarh")</f>
        <v>Muzaffargarh</v>
      </c>
      <c r="B135" s="338" t="s">
        <v>4583</v>
      </c>
      <c r="C135" s="284">
        <f>IFERROR(__xludf.DUMMYFUNCTION("IFERROR(
  INDEX(
    FILTER(
      IMPORTRANGE(""1Cxrhp3-_-HS7v9uuqQliiIfrmMP4VaFoDNDWyUFy2J8/edit?gid=0#gid=0"",""Sheet1!AE:AE""),
      IMPORTRANGE(""1Cxrhp3-_-HS7v9uuqQliiIfrmMP4VaFoDNDWyUFy2J8/edit?gid=0#gid=0"",""Sheet1!K:K"")=$B135
    ),
    1
  )"&amp;",
  ""Not Found""
)"),1985.0)</f>
        <v>1985</v>
      </c>
      <c r="D135" s="284" t="str">
        <f>IFERROR(__xludf.DUMMYFUNCTION("IFERROR(
  INDEX(
    FILTER(
      IMPORTRANGE(""1Cxrhp3-_-HS7v9uuqQliiIfrmMP4VaFoDNDWyUFy2J8/edit?gid=0#gid=0"",""Sheet1!AG:AG""),
      IMPORTRANGE(""1Cxrhp3-_-HS7v9uuqQliiIfrmMP4VaFoDNDWyUFy2J8/edit?gid=0#gid=0"",""Sheet1!K:K"")=$B135
    ),
    1
  )"&amp;",
  ""Not Found""
)"),"Hazrat Shamsher Shah Safri ")</f>
        <v>Hazrat Shamsher Shah Safri </v>
      </c>
      <c r="E135" s="284">
        <f>IFERROR(__xludf.DUMMYFUNCTION("IFERROR(
  INDEX(
    FILTER(
      IMPORTRANGE(""1kOrIKZmJfNUkgOVP3sI9BPjaaPA0_a4636oymQxTXg8/edit?gid=609491371#gid=609491371"",""Form responses 1!J:J""),
      IMPORTRANGE(""1kOrIKZmJfNUkgOVP3sI9BPjaaPA0_a4636oymQxTXg8/edit?gid=609491371#gid=609491371"&amp;""",""Form responses 1!F:F"")=$B135
    ),
    1
  ),
  ""Not Found""
)"),1985.0)</f>
        <v>1985</v>
      </c>
      <c r="F135" s="284" t="str">
        <f>IFERROR(__xludf.DUMMYFUNCTION("IFERROR(
  INDEX(
    FILTER(
      IMPORTRANGE(""1kOrIKZmJfNUkgOVP3sI9BPjaaPA0_a4636oymQxTXg8/edit?gid=609491371#gid=609491371"",""Form responses 1!L:L""),
      IMPORTRANGE(""1kOrIKZmJfNUkgOVP3sI9BPjaaPA0_a4636oymQxTXg8/edit?gid=609491371#gid=609491371"&amp;""",""Form responses 1!F:F"")=$B135
    ),
    1
  ),
  ""Not Found""
)"),"Darbar Shamsher Shah Safri")</f>
        <v>Darbar Shamsher Shah Safri</v>
      </c>
      <c r="G135" s="284" t="str">
        <f>IFERROR(__xludf.DUMMYFUNCTION("IFERROR(
  INDEX(
    FILTER(
      IMPORTRANGE(""1kOrIKZmJfNUkgOVP3sI9BPjaaPA0_a4636oymQxTXg8/edit?gid=609491371#gid=609491371"",""Form responses 1!K:K""),
      IMPORTRANGE(""1kOrIKZmJfNUkgOVP3sI9BPjaaPA0_a4636oymQxTXg8/edit?gid=609491371#gid=609491371"&amp;""",""Form responses 1!F:F"")=$B135
    ),
    1
  ),
  ""Not Found""
)"),"No")</f>
        <v>No</v>
      </c>
      <c r="H135" s="230"/>
      <c r="I135" s="230">
        <v>1985.0</v>
      </c>
      <c r="J135" s="339">
        <f>IFERROR(__xludf.DUMMYFUNCTION("IFERROR(
  INDEX(
    FILTER(
      IMPORTRANGE(""1Cxrhp3-_-HS7v9uuqQliiIfrmMP4VaFoDNDWyUFy2J8/edit?gid=0#gid=0"",""Sheet1!AE:AE""),
      IMPORTRANGE(""1Cxrhp3-_-HS7v9uuqQliiIfrmMP4VaFoDNDWyUFy2J8/edit?gid=0#gid=0"",""Sheet1!K:K"")=$B135
    ),
    1
  )"&amp;",
  ""Not Found""
)"),1985.0)</f>
        <v>1985</v>
      </c>
      <c r="K135" s="340"/>
      <c r="L135" s="340"/>
      <c r="M135" s="230"/>
      <c r="N135" s="230"/>
      <c r="O135" s="230"/>
      <c r="P135" s="230"/>
      <c r="Q135" s="230"/>
      <c r="R135" s="230"/>
      <c r="S135" s="230"/>
      <c r="T135" s="230"/>
      <c r="U135" s="230"/>
      <c r="V135" s="230"/>
      <c r="W135" s="230"/>
      <c r="X135" s="230"/>
      <c r="Y135" s="230"/>
      <c r="Z135" s="230"/>
    </row>
    <row r="136">
      <c r="A136" s="337" t="str">
        <f>IFERROR(__xludf.DUMMYFUNCTION("VLOOKUP($B136,IMPORTRANGE(""https://docs.google.com/spreadsheets/d/1VNXDITjs75AcgdBSW27oL1VZH31udDprJSsBcE5xlp4/edit?gid=1551188038#gid=1551188038"", ""Sheet9!$B:$E""),2,false)"),"Muzaffargarh")</f>
        <v>Muzaffargarh</v>
      </c>
      <c r="B136" s="338" t="s">
        <v>4584</v>
      </c>
      <c r="C136" s="284" t="str">
        <f>IFERROR(__xludf.DUMMYFUNCTION("IFERROR(
  INDEX(
    FILTER(
      IMPORTRANGE(""1Cxrhp3-_-HS7v9uuqQliiIfrmMP4VaFoDNDWyUFy2J8/edit?gid=0#gid=0"",""Sheet1!AE:AE""),
      IMPORTRANGE(""1Cxrhp3-_-HS7v9uuqQliiIfrmMP4VaFoDNDWyUFy2J8/edit?gid=0#gid=0"",""Sheet1!K:K"")=$B136
    ),
    1
  )"&amp;",
  ""Not Found""
)"),"")</f>
        <v/>
      </c>
      <c r="D136" s="284" t="s">
        <v>4853</v>
      </c>
      <c r="E136" s="284" t="str">
        <f>IFERROR(__xludf.DUMMYFUNCTION("IFERROR(
  INDEX(
    FILTER(
      IMPORTRANGE(""1kOrIKZmJfNUkgOVP3sI9BPjaaPA0_a4636oymQxTXg8/edit?gid=609491371#gid=609491371"",""Form responses 1!J:J""),
      IMPORTRANGE(""1kOrIKZmJfNUkgOVP3sI9BPjaaPA0_a4636oymQxTXg8/edit?gid=609491371#gid=609491371"&amp;""",""Form responses 1!F:F"")=$B136
    ),
    1
  ),
  ""Not Found""
)"),"not sure ")</f>
        <v>not sure </v>
      </c>
      <c r="F136" s="284" t="str">
        <f>IFERROR(__xludf.DUMMYFUNCTION("IFERROR(
  INDEX(
    FILTER(
      IMPORTRANGE(""1kOrIKZmJfNUkgOVP3sI9BPjaaPA0_a4636oymQxTXg8/edit?gid=609491371#gid=609491371"",""Form responses 1!L:L""),
      IMPORTRANGE(""1kOrIKZmJfNUkgOVP3sI9BPjaaPA0_a4636oymQxTXg8/edit?gid=609491371#gid=609491371"&amp;""",""Form responses 1!F:F"")=$B136
    ),
    1
  ),
  ""Not Found""
)"),"Saki Shah Habib")</f>
        <v>Saki Shah Habib</v>
      </c>
      <c r="G136" s="284" t="str">
        <f>IFERROR(__xludf.DUMMYFUNCTION("IFERROR(
  INDEX(
    FILTER(
      IMPORTRANGE(""1kOrIKZmJfNUkgOVP3sI9BPjaaPA0_a4636oymQxTXg8/edit?gid=609491371#gid=609491371"",""Form responses 1!K:K""),
      IMPORTRANGE(""1kOrIKZmJfNUkgOVP3sI9BPjaaPA0_a4636oymQxTXg8/edit?gid=609491371#gid=609491371"&amp;""",""Form responses 1!F:F"")=$B136
    ),
    1
  ),
  ""Not Found""
)"),"No")</f>
        <v>No</v>
      </c>
      <c r="H136" s="230"/>
      <c r="I136" s="230"/>
      <c r="J136" s="339" t="str">
        <f>IFERROR(__xludf.DUMMYFUNCTION("IFERROR(
  INDEX(
    FILTER(
      IMPORTRANGE(""1Cxrhp3-_-HS7v9uuqQliiIfrmMP4VaFoDNDWyUFy2J8/edit?gid=0#gid=0"",""Sheet1!AE:AE""),
      IMPORTRANGE(""1Cxrhp3-_-HS7v9uuqQliiIfrmMP4VaFoDNDWyUFy2J8/edit?gid=0#gid=0"",""Sheet1!K:K"")=$B136
    ),
    1
  )"&amp;",
  ""Not Found""
)"),"")</f>
        <v/>
      </c>
      <c r="K136" s="340"/>
      <c r="L136" s="340"/>
      <c r="M136" s="230"/>
      <c r="N136" s="230"/>
      <c r="O136" s="230"/>
      <c r="P136" s="230"/>
      <c r="Q136" s="230"/>
      <c r="R136" s="230"/>
      <c r="S136" s="230"/>
      <c r="T136" s="230"/>
      <c r="U136" s="230"/>
      <c r="V136" s="230"/>
      <c r="W136" s="230"/>
      <c r="X136" s="230"/>
      <c r="Y136" s="230"/>
      <c r="Z136" s="230"/>
    </row>
    <row r="137">
      <c r="A137" s="337" t="str">
        <f>IFERROR(__xludf.DUMMYFUNCTION("VLOOKUP($B137,IMPORTRANGE(""https://docs.google.com/spreadsheets/d/1VNXDITjs75AcgdBSW27oL1VZH31udDprJSsBcE5xlp4/edit?gid=1551188038#gid=1551188038"", ""Sheet9!$B:$E""),2,false)"),"Muzaffargarh")</f>
        <v>Muzaffargarh</v>
      </c>
      <c r="B137" s="338" t="s">
        <v>4585</v>
      </c>
      <c r="C137" s="284">
        <f>IFERROR(__xludf.DUMMYFUNCTION("IFERROR(
  INDEX(
    FILTER(
      IMPORTRANGE(""1Cxrhp3-_-HS7v9uuqQliiIfrmMP4VaFoDNDWyUFy2J8/edit?gid=0#gid=0"",""Sheet1!AE:AE""),
      IMPORTRANGE(""1Cxrhp3-_-HS7v9uuqQliiIfrmMP4VaFoDNDWyUFy2J8/edit?gid=0#gid=0"",""Sheet1!K:K"")=$B137
    ),
    1
  )"&amp;",
  ""Not Found""
)"),1960.0)</f>
        <v>1960</v>
      </c>
      <c r="D137" s="284" t="s">
        <v>4854</v>
      </c>
      <c r="E137" s="284" t="str">
        <f>IFERROR(__xludf.DUMMYFUNCTION("IFERROR(
  INDEX(
    FILTER(
      IMPORTRANGE(""1kOrIKZmJfNUkgOVP3sI9BPjaaPA0_a4636oymQxTXg8/edit?gid=609491371#gid=609491371"",""Form responses 1!J:J""),
      IMPORTRANGE(""1kOrIKZmJfNUkgOVP3sI9BPjaaPA0_a4636oymQxTXg8/edit?gid=609491371#gid=609491371"&amp;""",""Form responses 1!F:F"")=$B137
    ),
    1
  ),
  ""Not Found""
)"),"before 1960 ")</f>
        <v>before 1960 </v>
      </c>
      <c r="F137" s="284" t="str">
        <f>IFERROR(__xludf.DUMMYFUNCTION("IFERROR(
  INDEX(
    FILTER(
      IMPORTRANGE(""1kOrIKZmJfNUkgOVP3sI9BPjaaPA0_a4636oymQxTXg8/edit?gid=609491371#gid=609491371"",""Form responses 1!L:L""),
      IMPORTRANGE(""1kOrIKZmJfNUkgOVP3sI9BPjaaPA0_a4636oymQxTXg8/edit?gid=609491371#gid=609491371"&amp;""",""Form responses 1!F:F"")=$B137
    ),
    1
  ),
  ""Not Found""
)"),"Abdul Wahaab Shah Bukhari ")</f>
        <v>Abdul Wahaab Shah Bukhari </v>
      </c>
      <c r="G137" s="284" t="str">
        <f>IFERROR(__xludf.DUMMYFUNCTION("IFERROR(
  INDEX(
    FILTER(
      IMPORTRANGE(""1kOrIKZmJfNUkgOVP3sI9BPjaaPA0_a4636oymQxTXg8/edit?gid=609491371#gid=609491371"",""Form responses 1!K:K""),
      IMPORTRANGE(""1kOrIKZmJfNUkgOVP3sI9BPjaaPA0_a4636oymQxTXg8/edit?gid=609491371#gid=609491371"&amp;""",""Form responses 1!F:F"")=$B137
    ),
    1
  ),
  ""Not Found""
)"),"No")</f>
        <v>No</v>
      </c>
      <c r="H137" s="230"/>
      <c r="I137" s="230">
        <v>1960.0</v>
      </c>
      <c r="J137" s="339">
        <f>IFERROR(__xludf.DUMMYFUNCTION("IFERROR(
  INDEX(
    FILTER(
      IMPORTRANGE(""1Cxrhp3-_-HS7v9uuqQliiIfrmMP4VaFoDNDWyUFy2J8/edit?gid=0#gid=0"",""Sheet1!AE:AE""),
      IMPORTRANGE(""1Cxrhp3-_-HS7v9uuqQliiIfrmMP4VaFoDNDWyUFy2J8/edit?gid=0#gid=0"",""Sheet1!K:K"")=$B137
    ),
    1
  )"&amp;",
  ""Not Found""
)"),1960.0)</f>
        <v>1960</v>
      </c>
      <c r="K137" s="340"/>
      <c r="L137" s="340"/>
      <c r="M137" s="230"/>
      <c r="N137" s="230"/>
      <c r="O137" s="230"/>
      <c r="P137" s="230"/>
      <c r="Q137" s="230"/>
      <c r="R137" s="230"/>
      <c r="S137" s="230"/>
      <c r="T137" s="230"/>
      <c r="U137" s="230"/>
      <c r="V137" s="230"/>
      <c r="W137" s="230"/>
      <c r="X137" s="230"/>
      <c r="Y137" s="230"/>
      <c r="Z137" s="230"/>
    </row>
    <row r="138">
      <c r="A138" s="337" t="str">
        <f>IFERROR(__xludf.DUMMYFUNCTION("VLOOKUP($B138,IMPORTRANGE(""https://docs.google.com/spreadsheets/d/1VNXDITjs75AcgdBSW27oL1VZH31udDprJSsBcE5xlp4/edit?gid=1551188038#gid=1551188038"", ""Sheet9!$B:$E""),2,false)"),"Muzaffargarh")</f>
        <v>Muzaffargarh</v>
      </c>
      <c r="B138" s="338" t="s">
        <v>4586</v>
      </c>
      <c r="C138" s="284">
        <f>IFERROR(__xludf.DUMMYFUNCTION("IFERROR(
  INDEX(
    FILTER(
      IMPORTRANGE(""1Cxrhp3-_-HS7v9uuqQliiIfrmMP4VaFoDNDWyUFy2J8/edit?gid=0#gid=0"",""Sheet1!AE:AE""),
      IMPORTRANGE(""1Cxrhp3-_-HS7v9uuqQliiIfrmMP4VaFoDNDWyUFy2J8/edit?gid=0#gid=0"",""Sheet1!K:K"")=$B138
    ),
    1
  )"&amp;",
  ""Not Found""
)"),2004.0)</f>
        <v>2004</v>
      </c>
      <c r="D138" s="284" t="s">
        <v>4855</v>
      </c>
      <c r="E138" s="284" t="str">
        <f>IFERROR(__xludf.DUMMYFUNCTION("IFERROR(
  INDEX(
    FILTER(
      IMPORTRANGE(""1kOrIKZmJfNUkgOVP3sI9BPjaaPA0_a4636oymQxTXg8/edit?gid=609491371#gid=609491371"",""Form responses 1!J:J""),
      IMPORTRANGE(""1kOrIKZmJfNUkgOVP3sI9BPjaaPA0_a4636oymQxTXg8/edit?gid=609491371#gid=609491371"&amp;""",""Form responses 1!F:F"")=$B138
    ),
    1
  ),
  ""Not Found""
)"),"2005 new construction")</f>
        <v>2005 new construction</v>
      </c>
      <c r="F138" s="284" t="str">
        <f>IFERROR(__xludf.DUMMYFUNCTION("IFERROR(
  INDEX(
    FILTER(
      IMPORTRANGE(""1kOrIKZmJfNUkgOVP3sI9BPjaaPA0_a4636oymQxTXg8/edit?gid=609491371#gid=609491371"",""Form responses 1!L:L""),
      IMPORTRANGE(""1kOrIKZmJfNUkgOVP3sI9BPjaaPA0_a4636oymQxTXg8/edit?gid=609491371#gid=609491371"&amp;""",""Form responses 1!F:F"")=$B138
    ),
    1
  ),
  ""Not Found""
)"),"Hazrat Mehab Peer sarkar RA")</f>
        <v>Hazrat Mehab Peer sarkar RA</v>
      </c>
      <c r="G138" s="284" t="str">
        <f>IFERROR(__xludf.DUMMYFUNCTION("IFERROR(
  INDEX(
    FILTER(
      IMPORTRANGE(""1kOrIKZmJfNUkgOVP3sI9BPjaaPA0_a4636oymQxTXg8/edit?gid=609491371#gid=609491371"",""Form responses 1!K:K""),
      IMPORTRANGE(""1kOrIKZmJfNUkgOVP3sI9BPjaaPA0_a4636oymQxTXg8/edit?gid=609491371#gid=609491371"&amp;""",""Form responses 1!F:F"")=$B138
    ),
    1
  ),
  ""Not Found""
)"),"Yes")</f>
        <v>Yes</v>
      </c>
      <c r="H138" s="230"/>
      <c r="I138" s="230">
        <v>2004.0</v>
      </c>
      <c r="J138" s="339">
        <f>IFERROR(__xludf.DUMMYFUNCTION("IFERROR(
  INDEX(
    FILTER(
      IMPORTRANGE(""1Cxrhp3-_-HS7v9uuqQliiIfrmMP4VaFoDNDWyUFy2J8/edit?gid=0#gid=0"",""Sheet1!AE:AE""),
      IMPORTRANGE(""1Cxrhp3-_-HS7v9uuqQliiIfrmMP4VaFoDNDWyUFy2J8/edit?gid=0#gid=0"",""Sheet1!K:K"")=$B138
    ),
    1
  )"&amp;",
  ""Not Found""
)"),2004.0)</f>
        <v>2004</v>
      </c>
      <c r="K138" s="340"/>
      <c r="L138" s="340"/>
      <c r="M138" s="230"/>
      <c r="N138" s="230"/>
      <c r="O138" s="230"/>
      <c r="P138" s="230"/>
      <c r="Q138" s="230"/>
      <c r="R138" s="230"/>
      <c r="S138" s="230"/>
      <c r="T138" s="230"/>
      <c r="U138" s="230"/>
      <c r="V138" s="230"/>
      <c r="W138" s="230"/>
      <c r="X138" s="230"/>
      <c r="Y138" s="230"/>
      <c r="Z138" s="230"/>
    </row>
    <row r="139">
      <c r="A139" s="337" t="str">
        <f>IFERROR(__xludf.DUMMYFUNCTION("VLOOKUP($B139,IMPORTRANGE(""https://docs.google.com/spreadsheets/d/1VNXDITjs75AcgdBSW27oL1VZH31udDprJSsBcE5xlp4/edit?gid=1551188038#gid=1551188038"", ""Sheet9!$B:$E""),2,false)"),"Multan")</f>
        <v>Multan</v>
      </c>
      <c r="B139" s="338" t="s">
        <v>4587</v>
      </c>
      <c r="C139" s="284">
        <f>IFERROR(__xludf.DUMMYFUNCTION("IFERROR(
  INDEX(
    FILTER(
      IMPORTRANGE(""1Cxrhp3-_-HS7v9uuqQliiIfrmMP4VaFoDNDWyUFy2J8/edit?gid=0#gid=0"",""Sheet1!AE:AE""),
      IMPORTRANGE(""1Cxrhp3-_-HS7v9uuqQliiIfrmMP4VaFoDNDWyUFy2J8/edit?gid=0#gid=0"",""Sheet1!K:K"")=$B139
    ),
    1
  )"&amp;",
  ""Not Found""
)"),1171.0)</f>
        <v>1171</v>
      </c>
      <c r="D139" s="284" t="str">
        <f>IFERROR(__xludf.DUMMYFUNCTION("IFERROR(
  INDEX(
    FILTER(
      IMPORTRANGE(""1Cxrhp3-_-HS7v9uuqQliiIfrmMP4VaFoDNDWyUFy2J8/edit?gid=0#gid=0"",""Sheet1!AG:AG""),
      IMPORTRANGE(""1Cxrhp3-_-HS7v9uuqQliiIfrmMP4VaFoDNDWyUFy2J8/edit?gid=0#gid=0"",""Sheet1!K:K"")=$B139
    ),
    1
  )"&amp;",
  ""Not Found""
)"),"")</f>
        <v/>
      </c>
      <c r="E139" s="284">
        <f>IFERROR(__xludf.DUMMYFUNCTION("IFERROR(
  INDEX(
    FILTER(
      IMPORTRANGE(""1kOrIKZmJfNUkgOVP3sI9BPjaaPA0_a4636oymQxTXg8/edit?gid=609491371#gid=609491371"",""Form responses 1!J:J""),
      IMPORTRANGE(""1kOrIKZmJfNUkgOVP3sI9BPjaaPA0_a4636oymQxTXg8/edit?gid=609491371#gid=609491371"&amp;""",""Form responses 1!F:F"")=$B139
    ),
    1
  ),
  ""Not Found""
)"),1753.0)</f>
        <v>1753</v>
      </c>
      <c r="F139" s="284">
        <f>IFERROR(__xludf.DUMMYFUNCTION("IFERROR(
  INDEX(
    FILTER(
      IMPORTRANGE(""1kOrIKZmJfNUkgOVP3sI9BPjaaPA0_a4636oymQxTXg8/edit?gid=609491371#gid=609491371"",""Form responses 1!L:L""),
      IMPORTRANGE(""1kOrIKZmJfNUkgOVP3sI9BPjaaPA0_a4636oymQxTXg8/edit?gid=609491371#gid=609491371"&amp;""",""Form responses 1!F:F"")=$B139
    ),
    1
  ),
  ""Not Found""
)"),0.0)</f>
        <v>0</v>
      </c>
      <c r="G139" s="284" t="str">
        <f>IFERROR(__xludf.DUMMYFUNCTION("IFERROR(
  INDEX(
    FILTER(
      IMPORTRANGE(""1kOrIKZmJfNUkgOVP3sI9BPjaaPA0_a4636oymQxTXg8/edit?gid=609491371#gid=609491371"",""Form responses 1!K:K""),
      IMPORTRANGE(""1kOrIKZmJfNUkgOVP3sI9BPjaaPA0_a4636oymQxTXg8/edit?gid=609491371#gid=609491371"&amp;""",""Form responses 1!F:F"")=$B139
    ),
    1
  ),
  ""Not Found""
)"),"No")</f>
        <v>No</v>
      </c>
      <c r="H139" s="230"/>
      <c r="I139" s="230">
        <v>1171.0</v>
      </c>
      <c r="J139" s="339">
        <f>IFERROR(__xludf.DUMMYFUNCTION("IFERROR(
  INDEX(
    FILTER(
      IMPORTRANGE(""1Cxrhp3-_-HS7v9uuqQliiIfrmMP4VaFoDNDWyUFy2J8/edit?gid=0#gid=0"",""Sheet1!AE:AE""),
      IMPORTRANGE(""1Cxrhp3-_-HS7v9uuqQliiIfrmMP4VaFoDNDWyUFy2J8/edit?gid=0#gid=0"",""Sheet1!K:K"")=$B139
    ),
    1
  )"&amp;",
  ""Not Found""
)"),1171.0)</f>
        <v>1171</v>
      </c>
      <c r="K139" s="340"/>
      <c r="L139" s="340"/>
      <c r="M139" s="230"/>
      <c r="N139" s="230"/>
      <c r="O139" s="230"/>
      <c r="P139" s="230"/>
      <c r="Q139" s="230"/>
      <c r="R139" s="230"/>
      <c r="S139" s="230"/>
      <c r="T139" s="230"/>
      <c r="U139" s="230"/>
      <c r="V139" s="230"/>
      <c r="W139" s="230"/>
      <c r="X139" s="230"/>
      <c r="Y139" s="230"/>
      <c r="Z139" s="230"/>
    </row>
    <row r="140">
      <c r="A140" s="337" t="str">
        <f>IFERROR(__xludf.DUMMYFUNCTION("VLOOKUP($B140,IMPORTRANGE(""https://docs.google.com/spreadsheets/d/1VNXDITjs75AcgdBSW27oL1VZH31udDprJSsBcE5xlp4/edit?gid=1551188038#gid=1551188038"", ""Sheet9!$B:$E""),2,false)"),"Multan")</f>
        <v>Multan</v>
      </c>
      <c r="B140" s="338" t="s">
        <v>4588</v>
      </c>
      <c r="C140" s="284">
        <f>IFERROR(__xludf.DUMMYFUNCTION("IFERROR(
  INDEX(
    FILTER(
      IMPORTRANGE(""1Cxrhp3-_-HS7v9uuqQliiIfrmMP4VaFoDNDWyUFy2J8/edit?gid=0#gid=0"",""Sheet1!AE:AE""),
      IMPORTRANGE(""1Cxrhp3-_-HS7v9uuqQliiIfrmMP4VaFoDNDWyUFy2J8/edit?gid=0#gid=0"",""Sheet1!K:K"")=$B140
    ),
    1
  )"&amp;",
  ""Not Found""
)"),1730.0)</f>
        <v>1730</v>
      </c>
      <c r="D140" s="284" t="s">
        <v>4856</v>
      </c>
      <c r="E140" s="284">
        <f>IFERROR(__xludf.DUMMYFUNCTION("IFERROR(
  INDEX(
    FILTER(
      IMPORTRANGE(""1kOrIKZmJfNUkgOVP3sI9BPjaaPA0_a4636oymQxTXg8/edit?gid=609491371#gid=609491371"",""Form responses 1!J:J""),
      IMPORTRANGE(""1kOrIKZmJfNUkgOVP3sI9BPjaaPA0_a4636oymQxTXg8/edit?gid=609491371#gid=609491371"&amp;""",""Form responses 1!F:F"")=$B140
    ),
    1
  ),
  ""Not Found""
)"),1730.0)</f>
        <v>1730</v>
      </c>
      <c r="F140" s="284" t="str">
        <f>IFERROR(__xludf.DUMMYFUNCTION("IFERROR(
  INDEX(
    FILTER(
      IMPORTRANGE(""1kOrIKZmJfNUkgOVP3sI9BPjaaPA0_a4636oymQxTXg8/edit?gid=609491371#gid=609491371"",""Form responses 1!L:L""),
      IMPORTRANGE(""1kOrIKZmJfNUkgOVP3sI9BPjaaPA0_a4636oymQxTXg8/edit?gid=609491371#gid=609491371"&amp;""",""Form responses 1!F:F"")=$B140
    ),
    1
  ),
  ""Not Found""
)"),"Syed Sakhi Zain ul Abideen (R.A.)")</f>
        <v>Syed Sakhi Zain ul Abideen (R.A.)</v>
      </c>
      <c r="G140" s="284" t="str">
        <f>IFERROR(__xludf.DUMMYFUNCTION("IFERROR(
  INDEX(
    FILTER(
      IMPORTRANGE(""1kOrIKZmJfNUkgOVP3sI9BPjaaPA0_a4636oymQxTXg8/edit?gid=609491371#gid=609491371"",""Form responses 1!K:K""),
      IMPORTRANGE(""1kOrIKZmJfNUkgOVP3sI9BPjaaPA0_a4636oymQxTXg8/edit?gid=609491371#gid=609491371"&amp;""",""Form responses 1!F:F"")=$B140
    ),
    1
  ),
  ""Not Found""
)"),"No")</f>
        <v>No</v>
      </c>
      <c r="H140" s="230"/>
      <c r="I140" s="230">
        <v>1730.0</v>
      </c>
      <c r="J140" s="339">
        <f>IFERROR(__xludf.DUMMYFUNCTION("IFERROR(
  INDEX(
    FILTER(
      IMPORTRANGE(""1Cxrhp3-_-HS7v9uuqQliiIfrmMP4VaFoDNDWyUFy2J8/edit?gid=0#gid=0"",""Sheet1!AE:AE""),
      IMPORTRANGE(""1Cxrhp3-_-HS7v9uuqQliiIfrmMP4VaFoDNDWyUFy2J8/edit?gid=0#gid=0"",""Sheet1!K:K"")=$B140
    ),
    1
  )"&amp;",
  ""Not Found""
)"),1730.0)</f>
        <v>1730</v>
      </c>
      <c r="K140" s="340"/>
      <c r="L140" s="340"/>
      <c r="M140" s="230"/>
      <c r="N140" s="230"/>
      <c r="O140" s="230"/>
      <c r="P140" s="230"/>
      <c r="Q140" s="230"/>
      <c r="R140" s="230"/>
      <c r="S140" s="230"/>
      <c r="T140" s="230"/>
      <c r="U140" s="230"/>
      <c r="V140" s="230"/>
      <c r="W140" s="230"/>
      <c r="X140" s="230"/>
      <c r="Y140" s="230"/>
      <c r="Z140" s="230"/>
    </row>
    <row r="141">
      <c r="A141" s="337" t="str">
        <f>IFERROR(__xludf.DUMMYFUNCTION("VLOOKUP($B141,IMPORTRANGE(""https://docs.google.com/spreadsheets/d/1VNXDITjs75AcgdBSW27oL1VZH31udDprJSsBcE5xlp4/edit?gid=1551188038#gid=1551188038"", ""Sheet9!$B:$E""),2,false)"),"Multan")</f>
        <v>Multan</v>
      </c>
      <c r="B141" s="338" t="s">
        <v>4589</v>
      </c>
      <c r="C141" s="284">
        <f>IFERROR(__xludf.DUMMYFUNCTION("IFERROR(
  INDEX(
    FILTER(
      IMPORTRANGE(""1Cxrhp3-_-HS7v9uuqQliiIfrmMP4VaFoDNDWyUFy2J8/edit?gid=0#gid=0"",""Sheet1!AE:AE""),
      IMPORTRANGE(""1Cxrhp3-_-HS7v9uuqQliiIfrmMP4VaFoDNDWyUFy2J8/edit?gid=0#gid=0"",""Sheet1!K:K"")=$B141
    ),
    1
  )"&amp;",
  ""Not Found""
)"),1947.0)</f>
        <v>1947</v>
      </c>
      <c r="D141" s="284" t="str">
        <f>IFERROR(__xludf.DUMMYFUNCTION("IFERROR(
  INDEX(
    FILTER(
      IMPORTRANGE(""1Cxrhp3-_-HS7v9uuqQliiIfrmMP4VaFoDNDWyUFy2J8/edit?gid=0#gid=0"",""Sheet1!AG:AG""),
      IMPORTRANGE(""1Cxrhp3-_-HS7v9uuqQliiIfrmMP4VaFoDNDWyUFy2J8/edit?gid=0#gid=0"",""Sheet1!K:K"")=$B141
    ),
    1
  )"&amp;",
  ""Not Found""
)"),"")</f>
        <v/>
      </c>
      <c r="E141" s="284" t="str">
        <f>IFERROR(__xludf.DUMMYFUNCTION("IFERROR(
  INDEX(
    FILTER(
      IMPORTRANGE(""1kOrIKZmJfNUkgOVP3sI9BPjaaPA0_a4636oymQxTXg8/edit?gid=609491371#gid=609491371"",""Form responses 1!J:J""),
      IMPORTRANGE(""1kOrIKZmJfNUkgOVP3sI9BPjaaPA0_a4636oymQxTXg8/edit?gid=609491371#gid=609491371"&amp;""",""Form responses 1!F:F"")=$B141
    ),
    1
  ),
  ""Not Found""
)"),"Not Found")</f>
        <v>Not Found</v>
      </c>
      <c r="F141" s="284" t="str">
        <f>IFERROR(__xludf.DUMMYFUNCTION("IFERROR(
  INDEX(
    FILTER(
      IMPORTRANGE(""1kOrIKZmJfNUkgOVP3sI9BPjaaPA0_a4636oymQxTXg8/edit?gid=609491371#gid=609491371"",""Form responses 1!L:L""),
      IMPORTRANGE(""1kOrIKZmJfNUkgOVP3sI9BPjaaPA0_a4636oymQxTXg8/edit?gid=609491371#gid=609491371"&amp;""",""Form responses 1!F:F"")=$B141
    ),
    1
  ),
  ""Not Found""
)"),"Not Found")</f>
        <v>Not Found</v>
      </c>
      <c r="G141" s="284"/>
      <c r="H141" s="230"/>
      <c r="I141" s="230">
        <v>1947.0</v>
      </c>
      <c r="J141" s="339">
        <f>IFERROR(__xludf.DUMMYFUNCTION("IFERROR(
  INDEX(
    FILTER(
      IMPORTRANGE(""1Cxrhp3-_-HS7v9uuqQliiIfrmMP4VaFoDNDWyUFy2J8/edit?gid=0#gid=0"",""Sheet1!AE:AE""),
      IMPORTRANGE(""1Cxrhp3-_-HS7v9uuqQliiIfrmMP4VaFoDNDWyUFy2J8/edit?gid=0#gid=0"",""Sheet1!K:K"")=$B141
    ),
    1
  )"&amp;",
  ""Not Found""
)"),1947.0)</f>
        <v>1947</v>
      </c>
      <c r="K141" s="340"/>
      <c r="L141" s="340"/>
      <c r="M141" s="230"/>
      <c r="N141" s="230"/>
      <c r="O141" s="230"/>
      <c r="P141" s="230"/>
      <c r="Q141" s="230"/>
      <c r="R141" s="230"/>
      <c r="S141" s="230"/>
      <c r="T141" s="230"/>
      <c r="U141" s="230"/>
      <c r="V141" s="230"/>
      <c r="W141" s="230"/>
      <c r="X141" s="230"/>
      <c r="Y141" s="230"/>
      <c r="Z141" s="230"/>
    </row>
    <row r="142">
      <c r="A142" s="337" t="str">
        <f>IFERROR(__xludf.DUMMYFUNCTION("VLOOKUP($B142,IMPORTRANGE(""https://docs.google.com/spreadsheets/d/1VNXDITjs75AcgdBSW27oL1VZH31udDprJSsBcE5xlp4/edit?gid=1551188038#gid=1551188038"", ""Sheet9!$B:$E""),2,false)"),"Multan")</f>
        <v>Multan</v>
      </c>
      <c r="B142" s="342" t="s">
        <v>1095</v>
      </c>
      <c r="C142" s="284">
        <f>IFERROR(__xludf.DUMMYFUNCTION("IFERROR(
  INDEX(
    FILTER(
      IMPORTRANGE(""1Cxrhp3-_-HS7v9uuqQliiIfrmMP4VaFoDNDWyUFy2J8/edit?gid=0#gid=0"",""Sheet1!AE:AE""),
      IMPORTRANGE(""1Cxrhp3-_-HS7v9uuqQliiIfrmMP4VaFoDNDWyUFy2J8/edit?gid=0#gid=0"",""Sheet1!K:K"")=$B142
    ),
    1
  )"&amp;",
  ""Not Found""
)"),1910.0)</f>
        <v>1910</v>
      </c>
      <c r="D142" s="284" t="str">
        <f>IFERROR(__xludf.DUMMYFUNCTION("IFERROR(
  INDEX(
    FILTER(
      IMPORTRANGE(""1Cxrhp3-_-HS7v9uuqQliiIfrmMP4VaFoDNDWyUFy2J8/edit?gid=0#gid=0"",""Sheet1!AG:AG""),
      IMPORTRANGE(""1Cxrhp3-_-HS7v9uuqQliiIfrmMP4VaFoDNDWyUFy2J8/edit?gid=0#gid=0"",""Sheet1!K:K"")=$B142
    ),
    1
  )"&amp;",
  ""Not Found""
)"),"")</f>
        <v/>
      </c>
      <c r="E142" s="284" t="str">
        <f>IFERROR(__xludf.DUMMYFUNCTION("IFERROR(
  INDEX(
    FILTER(
      IMPORTRANGE(""1kOrIKZmJfNUkgOVP3sI9BPjaaPA0_a4636oymQxTXg8/edit?gid=609491371#gid=609491371"",""Form responses 1!J:J""),
      IMPORTRANGE(""1kOrIKZmJfNUkgOVP3sI9BPjaaPA0_a4636oymQxTXg8/edit?gid=609491371#gid=609491371"&amp;""",""Form responses 1!F:F"")=$B142
    ),
    1
  ),
  ""Not Found""
)"),"NA")</f>
        <v>NA</v>
      </c>
      <c r="F142" s="284" t="str">
        <f>IFERROR(__xludf.DUMMYFUNCTION("IFERROR(
  INDEX(
    FILTER(
      IMPORTRANGE(""1kOrIKZmJfNUkgOVP3sI9BPjaaPA0_a4636oymQxTXg8/edit?gid=609491371#gid=609491371"",""Form responses 1!L:L""),
      IMPORTRANGE(""1kOrIKZmJfNUkgOVP3sI9BPjaaPA0_a4636oymQxTXg8/edit?gid=609491371#gid=609491371"&amp;""",""Form responses 1!F:F"")=$B142
    ),
    1
  ),
  ""Not Found""
)"),"No")</f>
        <v>No</v>
      </c>
      <c r="G142" s="284" t="str">
        <f>IFERROR(__xludf.DUMMYFUNCTION("IFERROR(
  INDEX(
    FILTER(
      IMPORTRANGE(""1kOrIKZmJfNUkgOVP3sI9BPjaaPA0_a4636oymQxTXg8/edit?gid=609491371#gid=609491371"",""Form responses 1!K:K""),
      IMPORTRANGE(""1kOrIKZmJfNUkgOVP3sI9BPjaaPA0_a4636oymQxTXg8/edit?gid=609491371#gid=609491371"&amp;""",""Form responses 1!F:F"")=$B142
    ),
    1
  ),
  ""Not Found""
)"),"No")</f>
        <v>No</v>
      </c>
      <c r="H142" s="230"/>
      <c r="I142" s="230">
        <v>1910.0</v>
      </c>
      <c r="J142" s="339">
        <f>IFERROR(__xludf.DUMMYFUNCTION("IFERROR(
  INDEX(
    FILTER(
      IMPORTRANGE(""1Cxrhp3-_-HS7v9uuqQliiIfrmMP4VaFoDNDWyUFy2J8/edit?gid=0#gid=0"",""Sheet1!AE:AE""),
      IMPORTRANGE(""1Cxrhp3-_-HS7v9uuqQliiIfrmMP4VaFoDNDWyUFy2J8/edit?gid=0#gid=0"",""Sheet1!K:K"")=$B142
    ),
    1
  )"&amp;",
  ""Not Found""
)"),1910.0)</f>
        <v>1910</v>
      </c>
      <c r="K142" s="340"/>
      <c r="L142" s="340"/>
      <c r="M142" s="230"/>
      <c r="N142" s="230"/>
      <c r="O142" s="230"/>
      <c r="P142" s="230"/>
      <c r="Q142" s="230"/>
      <c r="R142" s="230"/>
      <c r="S142" s="230"/>
      <c r="T142" s="230"/>
      <c r="U142" s="230"/>
      <c r="V142" s="230"/>
      <c r="W142" s="230"/>
      <c r="X142" s="230"/>
      <c r="Y142" s="230"/>
      <c r="Z142" s="230"/>
    </row>
    <row r="143">
      <c r="A143" s="337" t="str">
        <f>IFERROR(__xludf.DUMMYFUNCTION("VLOOKUP($B143,IMPORTRANGE(""https://docs.google.com/spreadsheets/d/1VNXDITjs75AcgdBSW27oL1VZH31udDprJSsBcE5xlp4/edit?gid=1551188038#gid=1551188038"", ""Sheet9!$B:$E""),2,false)"),"Multan")</f>
        <v>Multan</v>
      </c>
      <c r="B143" s="338" t="s">
        <v>4591</v>
      </c>
      <c r="C143" s="284">
        <f>IFERROR(__xludf.DUMMYFUNCTION("IFERROR(
  INDEX(
    FILTER(
      IMPORTRANGE(""1Cxrhp3-_-HS7v9uuqQliiIfrmMP4VaFoDNDWyUFy2J8/edit?gid=0#gid=0"",""Sheet1!AE:AE""),
      IMPORTRANGE(""1Cxrhp3-_-HS7v9uuqQliiIfrmMP4VaFoDNDWyUFy2J8/edit?gid=0#gid=0"",""Sheet1!K:K"")=$B143
    ),
    1
  )"&amp;",
  ""Not Found""
)"),1930.0)</f>
        <v>1930</v>
      </c>
      <c r="D143" s="284" t="str">
        <f>IFERROR(__xludf.DUMMYFUNCTION("IFERROR(
  INDEX(
    FILTER(
      IMPORTRANGE(""1Cxrhp3-_-HS7v9uuqQliiIfrmMP4VaFoDNDWyUFy2J8/edit?gid=0#gid=0"",""Sheet1!AG:AG""),
      IMPORTRANGE(""1Cxrhp3-_-HS7v9uuqQliiIfrmMP4VaFoDNDWyUFy2J8/edit?gid=0#gid=0"",""Sheet1!K:K"")=$B143
    ),
    1
  )"&amp;",
  ""Not Found""
)"),"")</f>
        <v/>
      </c>
      <c r="E143" s="284">
        <f>IFERROR(__xludf.DUMMYFUNCTION("IFERROR(
  INDEX(
    FILTER(
      IMPORTRANGE(""1kOrIKZmJfNUkgOVP3sI9BPjaaPA0_a4636oymQxTXg8/edit?gid=609491371#gid=609491371"",""Form responses 1!J:J""),
      IMPORTRANGE(""1kOrIKZmJfNUkgOVP3sI9BPjaaPA0_a4636oymQxTXg8/edit?gid=609491371#gid=609491371"&amp;""",""Form responses 1!F:F"")=$B143
    ),
    1
  ),
  ""Not Found""
)"),1930.0)</f>
        <v>1930</v>
      </c>
      <c r="F143" s="284" t="str">
        <f>IFERROR(__xludf.DUMMYFUNCTION("IFERROR(
  INDEX(
    FILTER(
      IMPORTRANGE(""1kOrIKZmJfNUkgOVP3sI9BPjaaPA0_a4636oymQxTXg8/edit?gid=609491371#gid=609491371"",""Form responses 1!L:L""),
      IMPORTRANGE(""1kOrIKZmJfNUkgOVP3sI9BPjaaPA0_a4636oymQxTXg8/edit?gid=609491371#gid=609491371"&amp;""",""Form responses 1!F:F"")=$B143
    ),
    1
  ),
  ""Not Found""
)"),"no")</f>
        <v>no</v>
      </c>
      <c r="G143" s="284" t="str">
        <f>IFERROR(__xludf.DUMMYFUNCTION("IFERROR(
  INDEX(
    FILTER(
      IMPORTRANGE(""1kOrIKZmJfNUkgOVP3sI9BPjaaPA0_a4636oymQxTXg8/edit?gid=609491371#gid=609491371"",""Form responses 1!K:K""),
      IMPORTRANGE(""1kOrIKZmJfNUkgOVP3sI9BPjaaPA0_a4636oymQxTXg8/edit?gid=609491371#gid=609491371"&amp;""",""Form responses 1!F:F"")=$B143
    ),
    1
  ),
  ""Not Found""
)"),"No")</f>
        <v>No</v>
      </c>
      <c r="H143" s="230"/>
      <c r="I143" s="230">
        <v>1930.0</v>
      </c>
      <c r="J143" s="339">
        <f>IFERROR(__xludf.DUMMYFUNCTION("IFERROR(
  INDEX(
    FILTER(
      IMPORTRANGE(""1Cxrhp3-_-HS7v9uuqQliiIfrmMP4VaFoDNDWyUFy2J8/edit?gid=0#gid=0"",""Sheet1!AE:AE""),
      IMPORTRANGE(""1Cxrhp3-_-HS7v9uuqQliiIfrmMP4VaFoDNDWyUFy2J8/edit?gid=0#gid=0"",""Sheet1!K:K"")=$B143
    ),
    1
  )"&amp;",
  ""Not Found""
)"),1930.0)</f>
        <v>1930</v>
      </c>
      <c r="K143" s="340"/>
      <c r="L143" s="340"/>
      <c r="M143" s="230"/>
      <c r="N143" s="230"/>
      <c r="O143" s="230"/>
      <c r="P143" s="230"/>
      <c r="Q143" s="230"/>
      <c r="R143" s="230"/>
      <c r="S143" s="230"/>
      <c r="T143" s="230"/>
      <c r="U143" s="230"/>
      <c r="V143" s="230"/>
      <c r="W143" s="230"/>
      <c r="X143" s="230"/>
      <c r="Y143" s="230"/>
      <c r="Z143" s="230"/>
    </row>
    <row r="144">
      <c r="A144" s="337" t="str">
        <f>IFERROR(__xludf.DUMMYFUNCTION("VLOOKUP($B144,IMPORTRANGE(""https://docs.google.com/spreadsheets/d/1VNXDITjs75AcgdBSW27oL1VZH31udDprJSsBcE5xlp4/edit?gid=1551188038#gid=1551188038"", ""Sheet9!$B:$E""),2,false)"),"Multan")</f>
        <v>Multan</v>
      </c>
      <c r="B144" s="338" t="s">
        <v>4592</v>
      </c>
      <c r="C144" s="284" t="str">
        <f>IFERROR(__xludf.DUMMYFUNCTION("IFERROR(
  INDEX(
    FILTER(
      IMPORTRANGE(""1Cxrhp3-_-HS7v9uuqQliiIfrmMP4VaFoDNDWyUFy2J8/edit?gid=0#gid=0"",""Sheet1!AE:AE""),
      IMPORTRANGE(""1Cxrhp3-_-HS7v9uuqQliiIfrmMP4VaFoDNDWyUFy2J8/edit?gid=0#gid=0"",""Sheet1!K:K"")=$B144
    ),
    1
  )"&amp;",
  ""Not Found""
)"),"Not Found")</f>
        <v>Not Found</v>
      </c>
      <c r="D144" s="284"/>
      <c r="E144" s="284">
        <f>IFERROR(__xludf.DUMMYFUNCTION("IFERROR(
  INDEX(
    FILTER(
      IMPORTRANGE(""1kOrIKZmJfNUkgOVP3sI9BPjaaPA0_a4636oymQxTXg8/edit?gid=609491371#gid=609491371"",""Form responses 1!J:J""),
      IMPORTRANGE(""1kOrIKZmJfNUkgOVP3sI9BPjaaPA0_a4636oymQxTXg8/edit?gid=609491371#gid=609491371"&amp;""",""Form responses 1!F:F"")=$B144
    ),
    1
  ),
  ""Not Found""
)"),2005.0)</f>
        <v>2005</v>
      </c>
      <c r="F144" s="284" t="str">
        <f>IFERROR(__xludf.DUMMYFUNCTION("IFERROR(
  INDEX(
    FILTER(
      IMPORTRANGE(""1kOrIKZmJfNUkgOVP3sI9BPjaaPA0_a4636oymQxTXg8/edit?gid=609491371#gid=609491371"",""Form responses 1!L:L""),
      IMPORTRANGE(""1kOrIKZmJfNUkgOVP3sI9BPjaaPA0_a4636oymQxTXg8/edit?gid=609491371#gid=609491371"&amp;""",""Form responses 1!F:F"")=$B144
    ),
    1
  ),
  ""Not Found""
)"),"nhe")</f>
        <v>nhe</v>
      </c>
      <c r="G144" s="284" t="str">
        <f>IFERROR(__xludf.DUMMYFUNCTION("IFERROR(
  INDEX(
    FILTER(
      IMPORTRANGE(""1kOrIKZmJfNUkgOVP3sI9BPjaaPA0_a4636oymQxTXg8/edit?gid=609491371#gid=609491371"",""Form responses 1!K:K""),
      IMPORTRANGE(""1kOrIKZmJfNUkgOVP3sI9BPjaaPA0_a4636oymQxTXg8/edit?gid=609491371#gid=609491371"&amp;""",""Form responses 1!F:F"")=$B144
    ),
    1
  ),
  ""Not Found""
)"),"No")</f>
        <v>No</v>
      </c>
      <c r="H144" s="230"/>
      <c r="I144" s="230"/>
      <c r="J144" s="339" t="str">
        <f>IFERROR(__xludf.DUMMYFUNCTION("IFERROR(
  INDEX(
    FILTER(
      IMPORTRANGE(""1Cxrhp3-_-HS7v9uuqQliiIfrmMP4VaFoDNDWyUFy2J8/edit?gid=0#gid=0"",""Sheet1!AE:AE""),
      IMPORTRANGE(""1Cxrhp3-_-HS7v9uuqQliiIfrmMP4VaFoDNDWyUFy2J8/edit?gid=0#gid=0"",""Sheet1!K:K"")=$B144
    ),
    1
  )"&amp;",
  ""Not Found""
)"),"Not Found")</f>
        <v>Not Found</v>
      </c>
      <c r="K144" s="340"/>
      <c r="L144" s="340"/>
      <c r="M144" s="230"/>
      <c r="N144" s="230"/>
      <c r="O144" s="230"/>
      <c r="P144" s="230"/>
      <c r="Q144" s="230"/>
      <c r="R144" s="230"/>
      <c r="S144" s="230"/>
      <c r="T144" s="230"/>
      <c r="U144" s="230"/>
      <c r="V144" s="230"/>
      <c r="W144" s="230"/>
      <c r="X144" s="230"/>
      <c r="Y144" s="230"/>
      <c r="Z144" s="230"/>
    </row>
    <row r="145">
      <c r="A145" s="337" t="str">
        <f>IFERROR(__xludf.DUMMYFUNCTION("VLOOKUP($B145,IMPORTRANGE(""https://docs.google.com/spreadsheets/d/1VNXDITjs75AcgdBSW27oL1VZH31udDprJSsBcE5xlp4/edit?gid=1551188038#gid=1551188038"", ""Sheet9!$B:$E""),2,false)"),"Multan")</f>
        <v>Multan</v>
      </c>
      <c r="B145" s="338" t="s">
        <v>4593</v>
      </c>
      <c r="C145" s="284">
        <f>IFERROR(__xludf.DUMMYFUNCTION("IFERROR(
  INDEX(
    FILTER(
      IMPORTRANGE(""1Cxrhp3-_-HS7v9uuqQliiIfrmMP4VaFoDNDWyUFy2J8/edit?gid=0#gid=0"",""Sheet1!AE:AE""),
      IMPORTRANGE(""1Cxrhp3-_-HS7v9uuqQliiIfrmMP4VaFoDNDWyUFy2J8/edit?gid=0#gid=0"",""Sheet1!K:K"")=$B145
    ),
    1
  )"&amp;",
  ""Not Found""
)"),1933.0)</f>
        <v>1933</v>
      </c>
      <c r="D145" s="284" t="str">
        <f>IFERROR(__xludf.DUMMYFUNCTION("IFERROR(
  INDEX(
    FILTER(
      IMPORTRANGE(""1Cxrhp3-_-HS7v9uuqQliiIfrmMP4VaFoDNDWyUFy2J8/edit?gid=0#gid=0"",""Sheet1!AG:AG""),
      IMPORTRANGE(""1Cxrhp3-_-HS7v9uuqQliiIfrmMP4VaFoDNDWyUFy2J8/edit?gid=0#gid=0"",""Sheet1!K:K"")=$B145
    ),
    1
  )"&amp;",
  ""Not Found""
)"),"Sult	an Ahmad Qataal Jalaalpur")</f>
        <v>Sult	an Ahmad Qataal Jalaalpur</v>
      </c>
      <c r="E145" s="284">
        <f>IFERROR(__xludf.DUMMYFUNCTION("IFERROR(
  INDEX(
    FILTER(
      IMPORTRANGE(""1kOrIKZmJfNUkgOVP3sI9BPjaaPA0_a4636oymQxTXg8/edit?gid=609491371#gid=609491371"",""Form responses 1!J:J""),
      IMPORTRANGE(""1kOrIKZmJfNUkgOVP3sI9BPjaaPA0_a4636oymQxTXg8/edit?gid=609491371#gid=609491371"&amp;""",""Form responses 1!F:F"")=$B145
    ),
    1
  ),
  ""Not Found""
)"),1933.0)</f>
        <v>1933</v>
      </c>
      <c r="F145" s="284" t="str">
        <f>IFERROR(__xludf.DUMMYFUNCTION("IFERROR(
  INDEX(
    FILTER(
      IMPORTRANGE(""1kOrIKZmJfNUkgOVP3sI9BPjaaPA0_a4636oymQxTXg8/edit?gid=609491371#gid=609491371"",""Form responses 1!L:L""),
      IMPORTRANGE(""1kOrIKZmJfNUkgOVP3sI9BPjaaPA0_a4636oymQxTXg8/edit?gid=609491371#gid=609491371"&amp;""",""Form responses 1!F:F"")=$B145
    ),
    1
  ),
  ""Not Found""
)"),"Peer Syed Sultan Ahumd")</f>
        <v>Peer Syed Sultan Ahumd</v>
      </c>
      <c r="G145" s="284" t="str">
        <f>IFERROR(__xludf.DUMMYFUNCTION("IFERROR(
  INDEX(
    FILTER(
      IMPORTRANGE(""1kOrIKZmJfNUkgOVP3sI9BPjaaPA0_a4636oymQxTXg8/edit?gid=609491371#gid=609491371"",""Form responses 1!K:K""),
      IMPORTRANGE(""1kOrIKZmJfNUkgOVP3sI9BPjaaPA0_a4636oymQxTXg8/edit?gid=609491371#gid=609491371"&amp;""",""Form responses 1!F:F"")=$B145
    ),
    1
  ),
  ""Not Found""
)"),"No")</f>
        <v>No</v>
      </c>
      <c r="H145" s="230"/>
      <c r="I145" s="230">
        <v>1933.0</v>
      </c>
      <c r="J145" s="339">
        <f>IFERROR(__xludf.DUMMYFUNCTION("IFERROR(
  INDEX(
    FILTER(
      IMPORTRANGE(""1Cxrhp3-_-HS7v9uuqQliiIfrmMP4VaFoDNDWyUFy2J8/edit?gid=0#gid=0"",""Sheet1!AE:AE""),
      IMPORTRANGE(""1Cxrhp3-_-HS7v9uuqQliiIfrmMP4VaFoDNDWyUFy2J8/edit?gid=0#gid=0"",""Sheet1!K:K"")=$B145
    ),
    1
  )"&amp;",
  ""Not Found""
)"),1933.0)</f>
        <v>1933</v>
      </c>
      <c r="K145" s="340"/>
      <c r="L145" s="340"/>
      <c r="M145" s="230"/>
      <c r="N145" s="230"/>
      <c r="O145" s="230"/>
      <c r="P145" s="230"/>
      <c r="Q145" s="230"/>
      <c r="R145" s="230"/>
      <c r="S145" s="230"/>
      <c r="T145" s="230"/>
      <c r="U145" s="230"/>
      <c r="V145" s="230"/>
      <c r="W145" s="230"/>
      <c r="X145" s="230"/>
      <c r="Y145" s="230"/>
      <c r="Z145" s="230"/>
    </row>
    <row r="146">
      <c r="A146" s="337" t="str">
        <f>IFERROR(__xludf.DUMMYFUNCTION("VLOOKUP($B146,IMPORTRANGE(""https://docs.google.com/spreadsheets/d/1VNXDITjs75AcgdBSW27oL1VZH31udDprJSsBcE5xlp4/edit?gid=1551188038#gid=1551188038"", ""Sheet9!$B:$E""),2,false)"),"Multan")</f>
        <v>Multan</v>
      </c>
      <c r="B146" s="338" t="s">
        <v>3718</v>
      </c>
      <c r="C146" s="284" t="str">
        <f>IFERROR(__xludf.DUMMYFUNCTION("IFERROR(
  INDEX(
    FILTER(
      IMPORTRANGE(""1Cxrhp3-_-HS7v9uuqQliiIfrmMP4VaFoDNDWyUFy2J8/edit?gid=0#gid=0"",""Sheet1!AE:AE""),
      IMPORTRANGE(""1Cxrhp3-_-HS7v9uuqQliiIfrmMP4VaFoDNDWyUFy2J8/edit?gid=0#gid=0"",""Sheet1!K:K"")=$B146
    ),
    1
  )"&amp;",
  ""Not Found""
)"),"Not Found")</f>
        <v>Not Found</v>
      </c>
      <c r="D146" s="284"/>
      <c r="E146" s="284">
        <f>IFERROR(__xludf.DUMMYFUNCTION("IFERROR(
  INDEX(
    FILTER(
      IMPORTRANGE(""1kOrIKZmJfNUkgOVP3sI9BPjaaPA0_a4636oymQxTXg8/edit?gid=609491371#gid=609491371"",""Form responses 1!J:J""),
      IMPORTRANGE(""1kOrIKZmJfNUkgOVP3sI9BPjaaPA0_a4636oymQxTXg8/edit?gid=609491371#gid=609491371"&amp;""",""Form responses 1!F:F"")=$B146
    ),
    1
  ),
  ""Not Found""
)"),2009.0)</f>
        <v>2009</v>
      </c>
      <c r="F146" s="284" t="str">
        <f>IFERROR(__xludf.DUMMYFUNCTION("IFERROR(
  INDEX(
    FILTER(
      IMPORTRANGE(""1kOrIKZmJfNUkgOVP3sI9BPjaaPA0_a4636oymQxTXg8/edit?gid=609491371#gid=609491371"",""Form responses 1!L:L""),
      IMPORTRANGE(""1kOrIKZmJfNUkgOVP3sI9BPjaaPA0_a4636oymQxTXg8/edit?gid=609491371#gid=609491371"&amp;""",""Form responses 1!F:F"")=$B146
    ),
    1
  ),
  ""Not Found""
)"),"Baba Peer ismaeel shah RA")</f>
        <v>Baba Peer ismaeel shah RA</v>
      </c>
      <c r="G146" s="284" t="str">
        <f>IFERROR(__xludf.DUMMYFUNCTION("IFERROR(
  INDEX(
    FILTER(
      IMPORTRANGE(""1kOrIKZmJfNUkgOVP3sI9BPjaaPA0_a4636oymQxTXg8/edit?gid=609491371#gid=609491371"",""Form responses 1!K:K""),
      IMPORTRANGE(""1kOrIKZmJfNUkgOVP3sI9BPjaaPA0_a4636oymQxTXg8/edit?gid=609491371#gid=609491371"&amp;""",""Form responses 1!F:F"")=$B146
    ),
    1
  ),
  ""Not Found""
)"),"No")</f>
        <v>No</v>
      </c>
      <c r="H146" s="230"/>
      <c r="I146" s="230"/>
      <c r="J146" s="339" t="str">
        <f>IFERROR(__xludf.DUMMYFUNCTION("IFERROR(
  INDEX(
    FILTER(
      IMPORTRANGE(""1Cxrhp3-_-HS7v9uuqQliiIfrmMP4VaFoDNDWyUFy2J8/edit?gid=0#gid=0"",""Sheet1!AE:AE""),
      IMPORTRANGE(""1Cxrhp3-_-HS7v9uuqQliiIfrmMP4VaFoDNDWyUFy2J8/edit?gid=0#gid=0"",""Sheet1!K:K"")=$B146
    ),
    1
  )"&amp;",
  ""Not Found""
)"),"Not Found")</f>
        <v>Not Found</v>
      </c>
      <c r="K146" s="340"/>
      <c r="L146" s="340"/>
      <c r="M146" s="230"/>
      <c r="N146" s="230"/>
      <c r="O146" s="230"/>
      <c r="P146" s="230"/>
      <c r="Q146" s="230"/>
      <c r="R146" s="230"/>
      <c r="S146" s="230"/>
      <c r="T146" s="230"/>
      <c r="U146" s="230"/>
      <c r="V146" s="230"/>
      <c r="W146" s="230"/>
      <c r="X146" s="230"/>
      <c r="Y146" s="230"/>
      <c r="Z146" s="230"/>
    </row>
    <row r="147">
      <c r="A147" s="337" t="str">
        <f>IFERROR(__xludf.DUMMYFUNCTION("VLOOKUP($B147,IMPORTRANGE(""https://docs.google.com/spreadsheets/d/1VNXDITjs75AcgdBSW27oL1VZH31udDprJSsBcE5xlp4/edit?gid=1551188038#gid=1551188038"", ""Sheet9!$B:$E""),2,false)"),"Multan")</f>
        <v>Multan</v>
      </c>
      <c r="B147" s="338" t="s">
        <v>4594</v>
      </c>
      <c r="C147" s="284">
        <f>IFERROR(__xludf.DUMMYFUNCTION("IFERROR(
  INDEX(
    FILTER(
      IMPORTRANGE(""1Cxrhp3-_-HS7v9uuqQliiIfrmMP4VaFoDNDWyUFy2J8/edit?gid=0#gid=0"",""Sheet1!AE:AE""),
      IMPORTRANGE(""1Cxrhp3-_-HS7v9uuqQliiIfrmMP4VaFoDNDWyUFy2J8/edit?gid=0#gid=0"",""Sheet1!K:K"")=$B147
    ),
    1
  )"&amp;",
  ""Not Found""
)"),1980.0)</f>
        <v>1980</v>
      </c>
      <c r="D147" s="284" t="str">
        <f>IFERROR(__xludf.DUMMYFUNCTION("IFERROR(
  INDEX(
    FILTER(
      IMPORTRANGE(""1Cxrhp3-_-HS7v9uuqQliiIfrmMP4VaFoDNDWyUFy2J8/edit?gid=0#gid=0"",""Sheet1!AG:AG""),
      IMPORTRANGE(""1Cxrhp3-_-HS7v9uuqQliiIfrmMP4VaFoDNDWyUFy2J8/edit?gid=0#gid=0"",""Sheet1!K:K"")=$B147
    ),
    1
  )"&amp;",
  ""Not Found""
)"),"")</f>
        <v/>
      </c>
      <c r="E147" s="284" t="str">
        <f>IFERROR(__xludf.DUMMYFUNCTION("IFERROR(
  INDEX(
    FILTER(
      IMPORTRANGE(""1kOrIKZmJfNUkgOVP3sI9BPjaaPA0_a4636oymQxTXg8/edit?gid=609491371#gid=609491371"",""Form responses 1!J:J""),
      IMPORTRANGE(""1kOrIKZmJfNUkgOVP3sI9BPjaaPA0_a4636oymQxTXg8/edit?gid=609491371#gid=609491371"&amp;""",""Form responses 1!F:F"")=$B147
    ),
    1
  ),
  ""Not Found""
)"),"Not Found")</f>
        <v>Not Found</v>
      </c>
      <c r="F147" s="284" t="str">
        <f>IFERROR(__xludf.DUMMYFUNCTION("IFERROR(
  INDEX(
    FILTER(
      IMPORTRANGE(""1kOrIKZmJfNUkgOVP3sI9BPjaaPA0_a4636oymQxTXg8/edit?gid=609491371#gid=609491371"",""Form responses 1!L:L""),
      IMPORTRANGE(""1kOrIKZmJfNUkgOVP3sI9BPjaaPA0_a4636oymQxTXg8/edit?gid=609491371#gid=609491371"&amp;""",""Form responses 1!F:F"")=$B147
    ),
    1
  ),
  ""Not Found""
)"),"Not Found")</f>
        <v>Not Found</v>
      </c>
      <c r="G147" s="284"/>
      <c r="H147" s="230"/>
      <c r="I147" s="230">
        <v>1980.0</v>
      </c>
      <c r="J147" s="339">
        <f>IFERROR(__xludf.DUMMYFUNCTION("IFERROR(
  INDEX(
    FILTER(
      IMPORTRANGE(""1Cxrhp3-_-HS7v9uuqQliiIfrmMP4VaFoDNDWyUFy2J8/edit?gid=0#gid=0"",""Sheet1!AE:AE""),
      IMPORTRANGE(""1Cxrhp3-_-HS7v9uuqQliiIfrmMP4VaFoDNDWyUFy2J8/edit?gid=0#gid=0"",""Sheet1!K:K"")=$B147
    ),
    1
  )"&amp;",
  ""Not Found""
)"),1980.0)</f>
        <v>1980</v>
      </c>
      <c r="K147" s="340"/>
      <c r="L147" s="340"/>
      <c r="M147" s="230"/>
      <c r="N147" s="230"/>
      <c r="O147" s="230"/>
      <c r="P147" s="230"/>
      <c r="Q147" s="230"/>
      <c r="R147" s="230"/>
      <c r="S147" s="230"/>
      <c r="T147" s="230"/>
      <c r="U147" s="230"/>
      <c r="V147" s="230"/>
      <c r="W147" s="230"/>
      <c r="X147" s="230"/>
      <c r="Y147" s="230"/>
      <c r="Z147" s="230"/>
    </row>
    <row r="148">
      <c r="A148" s="337" t="str">
        <f>IFERROR(__xludf.DUMMYFUNCTION("VLOOKUP($B148,IMPORTRANGE(""https://docs.google.com/spreadsheets/d/1VNXDITjs75AcgdBSW27oL1VZH31udDprJSsBcE5xlp4/edit?gid=1551188038#gid=1551188038"", ""Sheet9!$B:$E""),2,false)"),"Multan")</f>
        <v>Multan</v>
      </c>
      <c r="B148" s="338" t="s">
        <v>4595</v>
      </c>
      <c r="C148" s="284">
        <f>IFERROR(__xludf.DUMMYFUNCTION("IFERROR(
  INDEX(
    FILTER(
      IMPORTRANGE(""1Cxrhp3-_-HS7v9uuqQliiIfrmMP4VaFoDNDWyUFy2J8/edit?gid=0#gid=0"",""Sheet1!AE:AE""),
      IMPORTRANGE(""1Cxrhp3-_-HS7v9uuqQliiIfrmMP4VaFoDNDWyUFy2J8/edit?gid=0#gid=0"",""Sheet1!K:K"")=$B148
    ),
    1
  )"&amp;",
  ""Not Found""
)"),1988.0)</f>
        <v>1988</v>
      </c>
      <c r="D148" s="284" t="s">
        <v>4858</v>
      </c>
      <c r="E148" s="284" t="str">
        <f>IFERROR(__xludf.DUMMYFUNCTION("IFERROR(
  INDEX(
    FILTER(
      IMPORTRANGE(""1kOrIKZmJfNUkgOVP3sI9BPjaaPA0_a4636oymQxTXg8/edit?gid=609491371#gid=609491371"",""Form responses 1!J:J""),
      IMPORTRANGE(""1kOrIKZmJfNUkgOVP3sI9BPjaaPA0_a4636oymQxTXg8/edit?gid=609491371#gid=609491371"&amp;""",""Form responses 1!F:F"")=$B148
    ),
    1
  ),
  ""Not Found""
)"),"1800 - 1970 mai pki howe")</f>
        <v>1800 - 1970 mai pki howe</v>
      </c>
      <c r="F148" s="284" t="str">
        <f>IFERROR(__xludf.DUMMYFUNCTION("IFERROR(
  INDEX(
    FILTER(
      IMPORTRANGE(""1kOrIKZmJfNUkgOVP3sI9BPjaaPA0_a4636oymQxTXg8/edit?gid=609491371#gid=609491371"",""Form responses 1!L:L""),
      IMPORTRANGE(""1kOrIKZmJfNUkgOVP3sI9BPjaaPA0_a4636oymQxTXg8/edit?gid=609491371#gid=609491371"&amp;""",""Form responses 1!F:F"")=$B148
    ),
    1
  ),
  ""Not Found""
)"),"peer mubarak ali shah")</f>
        <v>peer mubarak ali shah</v>
      </c>
      <c r="G148" s="284" t="str">
        <f>IFERROR(__xludf.DUMMYFUNCTION("IFERROR(
  INDEX(
    FILTER(
      IMPORTRANGE(""1kOrIKZmJfNUkgOVP3sI9BPjaaPA0_a4636oymQxTXg8/edit?gid=609491371#gid=609491371"",""Form responses 1!K:K""),
      IMPORTRANGE(""1kOrIKZmJfNUkgOVP3sI9BPjaaPA0_a4636oymQxTXg8/edit?gid=609491371#gid=609491371"&amp;""",""Form responses 1!F:F"")=$B148
    ),
    1
  ),
  ""Not Found""
)"),"Yes")</f>
        <v>Yes</v>
      </c>
      <c r="H148" s="230"/>
      <c r="I148" s="343">
        <v>1988.0</v>
      </c>
      <c r="J148" s="284" t="str">
        <f>IFERROR(__xludf.DUMMYFUNCTION("IFERROR(
  INDEX(
    FILTER(
      IMPORTRANGE(""1kOrIKZmJfNUkgOVP3sI9BPjaaPA0_a4636oymQxTXg8/edit?gid=609491371#gid=609491371"",""Form responses 1!J:J""),
      IMPORTRANGE(""1kOrIKZmJfNUkgOVP3sI9BPjaaPA0_a4636oymQxTXg8/edit?gid=609491371#gid=609491371"&amp;""",""Form responses 1!F:F"")=$B148
    ),
    1
  ),
  ""Not Found""
)"),"1800 - 1970 mai pki howe")</f>
        <v>1800 - 1970 mai pki howe</v>
      </c>
      <c r="K148" s="340"/>
      <c r="L148" s="340"/>
      <c r="M148" s="230"/>
      <c r="N148" s="230"/>
      <c r="O148" s="230"/>
      <c r="P148" s="230"/>
      <c r="Q148" s="230"/>
      <c r="R148" s="230"/>
      <c r="S148" s="230"/>
      <c r="T148" s="230"/>
      <c r="U148" s="230"/>
      <c r="V148" s="230"/>
      <c r="W148" s="230"/>
      <c r="X148" s="230"/>
      <c r="Y148" s="230"/>
      <c r="Z148" s="230"/>
    </row>
    <row r="149">
      <c r="A149" s="337" t="str">
        <f>IFERROR(__xludf.DUMMYFUNCTION("VLOOKUP($B149,IMPORTRANGE(""https://docs.google.com/spreadsheets/d/1VNXDITjs75AcgdBSW27oL1VZH31udDprJSsBcE5xlp4/edit?gid=1551188038#gid=1551188038"", ""Sheet9!$B:$E""),2,false)"),"Multan")</f>
        <v>Multan</v>
      </c>
      <c r="B149" s="338" t="s">
        <v>4124</v>
      </c>
      <c r="C149" s="284" t="str">
        <f>IFERROR(__xludf.DUMMYFUNCTION("IFERROR(
  INDEX(
    FILTER(
      IMPORTRANGE(""1Cxrhp3-_-HS7v9uuqQliiIfrmMP4VaFoDNDWyUFy2J8/edit?gid=0#gid=0"",""Sheet1!AE:AE""),
      IMPORTRANGE(""1Cxrhp3-_-HS7v9uuqQliiIfrmMP4VaFoDNDWyUFy2J8/edit?gid=0#gid=0"",""Sheet1!K:K"")=$B149
    ),
    1
  )"&amp;",
  ""Not Found""
)"),"Not Found")</f>
        <v>Not Found</v>
      </c>
      <c r="D149" s="284"/>
      <c r="E149" s="284" t="str">
        <f>IFERROR(__xludf.DUMMYFUNCTION("IFERROR(
  INDEX(
    FILTER(
      IMPORTRANGE(""1kOrIKZmJfNUkgOVP3sI9BPjaaPA0_a4636oymQxTXg8/edit?gid=609491371#gid=609491371"",""Form responses 1!J:J""),
      IMPORTRANGE(""1kOrIKZmJfNUkgOVP3sI9BPjaaPA0_a4636oymQxTXg8/edit?gid=609491371#gid=609491371"&amp;""",""Form responses 1!F:F"")=$B149
    ),
    1
  ),
  ""Not Found""
)"),"-")</f>
        <v>-</v>
      </c>
      <c r="F149" s="284" t="str">
        <f>IFERROR(__xludf.DUMMYFUNCTION("IFERROR(
  INDEX(
    FILTER(
      IMPORTRANGE(""1kOrIKZmJfNUkgOVP3sI9BPjaaPA0_a4636oymQxTXg8/edit?gid=609491371#gid=609491371"",""Form responses 1!L:L""),
      IMPORTRANGE(""1kOrIKZmJfNUkgOVP3sI9BPjaaPA0_a4636oymQxTXg8/edit?gid=609491371#gid=609491371"&amp;""",""Form responses 1!F:F"")=$B149
    ),
    1
  ),
  ""Not Found""
)"),"No")</f>
        <v>No</v>
      </c>
      <c r="G149" s="284" t="str">
        <f>IFERROR(__xludf.DUMMYFUNCTION("IFERROR(
  INDEX(
    FILTER(
      IMPORTRANGE(""1kOrIKZmJfNUkgOVP3sI9BPjaaPA0_a4636oymQxTXg8/edit?gid=609491371#gid=609491371"",""Form responses 1!K:K""),
      IMPORTRANGE(""1kOrIKZmJfNUkgOVP3sI9BPjaaPA0_a4636oymQxTXg8/edit?gid=609491371#gid=609491371"&amp;""",""Form responses 1!F:F"")=$B149
    ),
    1
  ),
  ""Not Found""
)"),"No")</f>
        <v>No</v>
      </c>
      <c r="H149" s="230"/>
      <c r="I149" s="230"/>
      <c r="J149" s="339" t="str">
        <f>IFERROR(__xludf.DUMMYFUNCTION("IFERROR(
  INDEX(
    FILTER(
      IMPORTRANGE(""1Cxrhp3-_-HS7v9uuqQliiIfrmMP4VaFoDNDWyUFy2J8/edit?gid=0#gid=0"",""Sheet1!AE:AE""),
      IMPORTRANGE(""1Cxrhp3-_-HS7v9uuqQliiIfrmMP4VaFoDNDWyUFy2J8/edit?gid=0#gid=0"",""Sheet1!K:K"")=$B149
    ),
    1
  )"&amp;",
  ""Not Found""
)"),"Not Found")</f>
        <v>Not Found</v>
      </c>
      <c r="K149" s="340"/>
      <c r="L149" s="340"/>
      <c r="M149" s="230"/>
      <c r="N149" s="230"/>
      <c r="O149" s="230"/>
      <c r="P149" s="230"/>
      <c r="Q149" s="230"/>
      <c r="R149" s="230"/>
      <c r="S149" s="230"/>
      <c r="T149" s="230"/>
      <c r="U149" s="230"/>
      <c r="V149" s="230"/>
      <c r="W149" s="230"/>
      <c r="X149" s="230"/>
      <c r="Y149" s="230"/>
      <c r="Z149" s="230"/>
    </row>
    <row r="150">
      <c r="A150" s="337" t="str">
        <f>IFERROR(__xludf.DUMMYFUNCTION("VLOOKUP($B150,IMPORTRANGE(""https://docs.google.com/spreadsheets/d/1VNXDITjs75AcgdBSW27oL1VZH31udDprJSsBcE5xlp4/edit?gid=1551188038#gid=1551188038"", ""Sheet9!$B:$E""),2,false)"),"Multan")</f>
        <v>Multan</v>
      </c>
      <c r="B150" s="338" t="s">
        <v>4596</v>
      </c>
      <c r="C150" s="284">
        <f>IFERROR(__xludf.DUMMYFUNCTION("IFERROR(
  INDEX(
    FILTER(
      IMPORTRANGE(""1Cxrhp3-_-HS7v9uuqQliiIfrmMP4VaFoDNDWyUFy2J8/edit?gid=0#gid=0"",""Sheet1!AE:AE""),
      IMPORTRANGE(""1Cxrhp3-_-HS7v9uuqQliiIfrmMP4VaFoDNDWyUFy2J8/edit?gid=0#gid=0"",""Sheet1!K:K"")=$B150
    ),
    1
  )"&amp;",
  ""Not Found""
)"),1962.0)</f>
        <v>1962</v>
      </c>
      <c r="D150" s="284" t="str">
        <f>IFERROR(__xludf.DUMMYFUNCTION("IFERROR(
  INDEX(
    FILTER(
      IMPORTRANGE(""1Cxrhp3-_-HS7v9uuqQliiIfrmMP4VaFoDNDWyUFy2J8/edit?gid=0#gid=0"",""Sheet1!AG:AG""),
      IMPORTRANGE(""1Cxrhp3-_-HS7v9uuqQliiIfrmMP4VaFoDNDWyUFy2J8/edit?gid=0#gid=0"",""Sheet1!K:K"")=$B150
    ),
    1
  )"&amp;",
  ""Not Found""
)"),"")</f>
        <v/>
      </c>
      <c r="E150" s="284">
        <f>IFERROR(__xludf.DUMMYFUNCTION("IFERROR(
  INDEX(
    FILTER(
      IMPORTRANGE(""1kOrIKZmJfNUkgOVP3sI9BPjaaPA0_a4636oymQxTXg8/edit?gid=609491371#gid=609491371"",""Form responses 1!J:J""),
      IMPORTRANGE(""1kOrIKZmJfNUkgOVP3sI9BPjaaPA0_a4636oymQxTXg8/edit?gid=609491371#gid=609491371"&amp;""",""Form responses 1!F:F"")=$B150
    ),
    1
  ),
  ""Not Found""
)"),1980.0)</f>
        <v>1980</v>
      </c>
      <c r="F150" s="284" t="str">
        <f>IFERROR(__xludf.DUMMYFUNCTION("IFERROR(
  INDEX(
    FILTER(
      IMPORTRANGE(""1kOrIKZmJfNUkgOVP3sI9BPjaaPA0_a4636oymQxTXg8/edit?gid=609491371#gid=609491371"",""Form responses 1!L:L""),
      IMPORTRANGE(""1kOrIKZmJfNUkgOVP3sI9BPjaaPA0_a4636oymQxTXg8/edit?gid=609491371#gid=609491371"&amp;""",""Form responses 1!F:F"")=$B150
    ),
    1
  ),
  ""Not Found""
)"),"No")</f>
        <v>No</v>
      </c>
      <c r="G150" s="284" t="str">
        <f>IFERROR(__xludf.DUMMYFUNCTION("IFERROR(
  INDEX(
    FILTER(
      IMPORTRANGE(""1kOrIKZmJfNUkgOVP3sI9BPjaaPA0_a4636oymQxTXg8/edit?gid=609491371#gid=609491371"",""Form responses 1!K:K""),
      IMPORTRANGE(""1kOrIKZmJfNUkgOVP3sI9BPjaaPA0_a4636oymQxTXg8/edit?gid=609491371#gid=609491371"&amp;""",""Form responses 1!F:F"")=$B150
    ),
    1
  ),
  ""Not Found""
)"),"No")</f>
        <v>No</v>
      </c>
      <c r="H150" s="230"/>
      <c r="I150" s="230">
        <v>1962.0</v>
      </c>
      <c r="J150" s="339">
        <f>IFERROR(__xludf.DUMMYFUNCTION("IFERROR(
  INDEX(
    FILTER(
      IMPORTRANGE(""1Cxrhp3-_-HS7v9uuqQliiIfrmMP4VaFoDNDWyUFy2J8/edit?gid=0#gid=0"",""Sheet1!AE:AE""),
      IMPORTRANGE(""1Cxrhp3-_-HS7v9uuqQliiIfrmMP4VaFoDNDWyUFy2J8/edit?gid=0#gid=0"",""Sheet1!K:K"")=$B150
    ),
    1
  )"&amp;",
  ""Not Found""
)"),1962.0)</f>
        <v>1962</v>
      </c>
      <c r="K150" s="340"/>
      <c r="L150" s="340"/>
      <c r="M150" s="230"/>
      <c r="N150" s="230"/>
      <c r="O150" s="230"/>
      <c r="P150" s="230"/>
      <c r="Q150" s="230"/>
      <c r="R150" s="230"/>
      <c r="S150" s="230"/>
      <c r="T150" s="230"/>
      <c r="U150" s="230"/>
      <c r="V150" s="230"/>
      <c r="W150" s="230"/>
      <c r="X150" s="230"/>
      <c r="Y150" s="230"/>
      <c r="Z150" s="230"/>
    </row>
    <row r="151">
      <c r="A151" s="337" t="str">
        <f>IFERROR(__xludf.DUMMYFUNCTION("VLOOKUP($B151,IMPORTRANGE(""https://docs.google.com/spreadsheets/d/1VNXDITjs75AcgdBSW27oL1VZH31udDprJSsBcE5xlp4/edit?gid=1551188038#gid=1551188038"", ""Sheet9!$B:$E""),2,false)"),"Multan")</f>
        <v>Multan</v>
      </c>
      <c r="B151" s="338" t="s">
        <v>4597</v>
      </c>
      <c r="C151" s="284">
        <f>IFERROR(__xludf.DUMMYFUNCTION("IFERROR(
  INDEX(
    FILTER(
      IMPORTRANGE(""1Cxrhp3-_-HS7v9uuqQliiIfrmMP4VaFoDNDWyUFy2J8/edit?gid=0#gid=0"",""Sheet1!AE:AE""),
      IMPORTRANGE(""1Cxrhp3-_-HS7v9uuqQliiIfrmMP4VaFoDNDWyUFy2J8/edit?gid=0#gid=0"",""Sheet1!K:K"")=$B151
    ),
    1
  )"&amp;",
  ""Not Found""
)"),1910.0)</f>
        <v>1910</v>
      </c>
      <c r="D151" s="284" t="str">
        <f>IFERROR(__xludf.DUMMYFUNCTION("IFERROR(
  INDEX(
    FILTER(
      IMPORTRANGE(""1Cxrhp3-_-HS7v9uuqQliiIfrmMP4VaFoDNDWyUFy2J8/edit?gid=0#gid=0"",""Sheet1!AG:AG""),
      IMPORTRANGE(""1Cxrhp3-_-HS7v9uuqQliiIfrmMP4VaFoDNDWyUFy2J8/edit?gid=0#gid=0"",""Sheet1!K:K"")=$B151
    ),
    1
  )"&amp;",
  ""Not Found""
)"),"Abdul rasheed jhugyani")</f>
        <v>Abdul rasheed jhugyani</v>
      </c>
      <c r="E151" s="284" t="str">
        <f>IFERROR(__xludf.DUMMYFUNCTION("IFERROR(
  INDEX(
    FILTER(
      IMPORTRANGE(""1kOrIKZmJfNUkgOVP3sI9BPjaaPA0_a4636oymQxTXg8/edit?gid=609491371#gid=609491371"",""Form responses 1!J:J""),
      IMPORTRANGE(""1kOrIKZmJfNUkgOVP3sI9BPjaaPA0_a4636oymQxTXg8/edit?gid=609491371#gid=609491371"&amp;""",""Form responses 1!F:F"")=$B151
    ),
    1
  ),
  ""Not Found""
)"),"160 year ago")</f>
        <v>160 year ago</v>
      </c>
      <c r="F151" s="284" t="str">
        <f>IFERROR(__xludf.DUMMYFUNCTION("IFERROR(
  INDEX(
    FILTER(
      IMPORTRANGE(""1kOrIKZmJfNUkgOVP3sI9BPjaaPA0_a4636oymQxTXg8/edit?gid=609491371#gid=609491371"",""Form responses 1!L:L""),
      IMPORTRANGE(""1kOrIKZmJfNUkgOVP3sI9BPjaaPA0_a4636oymQxTXg8/edit?gid=609491371#gid=609491371"&amp;""",""Form responses 1!F:F"")=$B151
    ),
    1
  ),
  ""Not Found""
)")," Makhdoom Abdul Rashid Haqqani")</f>
        <v> Makhdoom Abdul Rashid Haqqani</v>
      </c>
      <c r="G151" s="284" t="str">
        <f>IFERROR(__xludf.DUMMYFUNCTION("IFERROR(
  INDEX(
    FILTER(
      IMPORTRANGE(""1kOrIKZmJfNUkgOVP3sI9BPjaaPA0_a4636oymQxTXg8/edit?gid=609491371#gid=609491371"",""Form responses 1!K:K""),
      IMPORTRANGE(""1kOrIKZmJfNUkgOVP3sI9BPjaaPA0_a4636oymQxTXg8/edit?gid=609491371#gid=609491371"&amp;""",""Form responses 1!F:F"")=$B151
    ),
    1
  ),
  ""Not Found""
)"),"No")</f>
        <v>No</v>
      </c>
      <c r="H151" s="230"/>
      <c r="I151" s="230">
        <v>1910.0</v>
      </c>
      <c r="J151" s="339">
        <f>IFERROR(__xludf.DUMMYFUNCTION("IFERROR(
  INDEX(
    FILTER(
      IMPORTRANGE(""1Cxrhp3-_-HS7v9uuqQliiIfrmMP4VaFoDNDWyUFy2J8/edit?gid=0#gid=0"",""Sheet1!AE:AE""),
      IMPORTRANGE(""1Cxrhp3-_-HS7v9uuqQliiIfrmMP4VaFoDNDWyUFy2J8/edit?gid=0#gid=0"",""Sheet1!K:K"")=$B151
    ),
    1
  )"&amp;",
  ""Not Found""
)"),1910.0)</f>
        <v>1910</v>
      </c>
      <c r="K151" s="340"/>
      <c r="L151" s="340"/>
      <c r="M151" s="230"/>
      <c r="N151" s="230"/>
      <c r="O151" s="230"/>
      <c r="P151" s="230"/>
      <c r="Q151" s="230"/>
      <c r="R151" s="230"/>
      <c r="S151" s="230"/>
      <c r="T151" s="230"/>
      <c r="U151" s="230"/>
      <c r="V151" s="230"/>
      <c r="W151" s="230"/>
      <c r="X151" s="230"/>
      <c r="Y151" s="230"/>
      <c r="Z151" s="230"/>
    </row>
    <row r="152">
      <c r="A152" s="337" t="str">
        <f>IFERROR(__xludf.DUMMYFUNCTION("VLOOKUP($B152,IMPORTRANGE(""https://docs.google.com/spreadsheets/d/1VNXDITjs75AcgdBSW27oL1VZH31udDprJSsBcE5xlp4/edit?gid=1551188038#gid=1551188038"", ""Sheet9!$B:$E""),2,false)"),"Multan")</f>
        <v>Multan</v>
      </c>
      <c r="B152" s="338" t="s">
        <v>4598</v>
      </c>
      <c r="C152" s="284">
        <f>IFERROR(__xludf.DUMMYFUNCTION("IFERROR(
  INDEX(
    FILTER(
      IMPORTRANGE(""1Cxrhp3-_-HS7v9uuqQliiIfrmMP4VaFoDNDWyUFy2J8/edit?gid=0#gid=0"",""Sheet1!AE:AE""),
      IMPORTRANGE(""1Cxrhp3-_-HS7v9uuqQliiIfrmMP4VaFoDNDWyUFy2J8/edit?gid=0#gid=0"",""Sheet1!K:K"")=$B152
    ),
    1
  )"&amp;",
  ""Not Found""
)"),1956.0)</f>
        <v>1956</v>
      </c>
      <c r="D152" s="284" t="str">
        <f>IFERROR(__xludf.DUMMYFUNCTION("IFERROR(
  INDEX(
    FILTER(
      IMPORTRANGE(""1Cxrhp3-_-HS7v9uuqQliiIfrmMP4VaFoDNDWyUFy2J8/edit?gid=0#gid=0"",""Sheet1!AG:AG""),
      IMPORTRANGE(""1Cxrhp3-_-HS7v9uuqQliiIfrmMP4VaFoDNDWyUFy2J8/edit?gid=0#gid=0"",""Sheet1!K:K"")=$B152
    ),
    1
  )"&amp;",
  ""Not Found""
)"),"")</f>
        <v/>
      </c>
      <c r="E152" s="284">
        <f>IFERROR(__xludf.DUMMYFUNCTION("IFERROR(
  INDEX(
    FILTER(
      IMPORTRANGE(""1kOrIKZmJfNUkgOVP3sI9BPjaaPA0_a4636oymQxTXg8/edit?gid=609491371#gid=609491371"",""Form responses 1!J:J""),
      IMPORTRANGE(""1kOrIKZmJfNUkgOVP3sI9BPjaaPA0_a4636oymQxTXg8/edit?gid=609491371#gid=609491371"&amp;""",""Form responses 1!F:F"")=$B152
    ),
    1
  ),
  ""Not Found""
)"),2018.0)</f>
        <v>2018</v>
      </c>
      <c r="F152" s="284" t="str">
        <f>IFERROR(__xludf.DUMMYFUNCTION("IFERROR(
  INDEX(
    FILTER(
      IMPORTRANGE(""1kOrIKZmJfNUkgOVP3sI9BPjaaPA0_a4636oymQxTXg8/edit?gid=609491371#gid=609491371"",""Form responses 1!L:L""),
      IMPORTRANGE(""1kOrIKZmJfNUkgOVP3sI9BPjaaPA0_a4636oymQxTXg8/edit?gid=609491371#gid=609491371"&amp;""",""Form responses 1!F:F"")=$B152
    ),
    1
  ),
  ""Not Found""
)"),"No")</f>
        <v>No</v>
      </c>
      <c r="G152" s="284" t="str">
        <f>IFERROR(__xludf.DUMMYFUNCTION("IFERROR(
  INDEX(
    FILTER(
      IMPORTRANGE(""1kOrIKZmJfNUkgOVP3sI9BPjaaPA0_a4636oymQxTXg8/edit?gid=609491371#gid=609491371"",""Form responses 1!K:K""),
      IMPORTRANGE(""1kOrIKZmJfNUkgOVP3sI9BPjaaPA0_a4636oymQxTXg8/edit?gid=609491371#gid=609491371"&amp;""",""Form responses 1!F:F"")=$B152
    ),
    1
  ),
  ""Not Found""
)"),"No")</f>
        <v>No</v>
      </c>
      <c r="H152" s="230"/>
      <c r="I152" s="230">
        <v>1956.0</v>
      </c>
      <c r="J152" s="339">
        <f>IFERROR(__xludf.DUMMYFUNCTION("IFERROR(
  INDEX(
    FILTER(
      IMPORTRANGE(""1Cxrhp3-_-HS7v9uuqQliiIfrmMP4VaFoDNDWyUFy2J8/edit?gid=0#gid=0"",""Sheet1!AE:AE""),
      IMPORTRANGE(""1Cxrhp3-_-HS7v9uuqQliiIfrmMP4VaFoDNDWyUFy2J8/edit?gid=0#gid=0"",""Sheet1!K:K"")=$B152
    ),
    1
  )"&amp;",
  ""Not Found""
)"),1956.0)</f>
        <v>1956</v>
      </c>
      <c r="K152" s="340"/>
      <c r="L152" s="340"/>
      <c r="M152" s="230"/>
      <c r="N152" s="230"/>
      <c r="O152" s="230"/>
      <c r="P152" s="230"/>
      <c r="Q152" s="230"/>
      <c r="R152" s="230"/>
      <c r="S152" s="230"/>
      <c r="T152" s="230"/>
      <c r="U152" s="230"/>
      <c r="V152" s="230"/>
      <c r="W152" s="230"/>
      <c r="X152" s="230"/>
      <c r="Y152" s="230"/>
      <c r="Z152" s="230"/>
    </row>
    <row r="153">
      <c r="A153" s="337" t="str">
        <f>IFERROR(__xludf.DUMMYFUNCTION("VLOOKUP($B153,IMPORTRANGE(""https://docs.google.com/spreadsheets/d/1VNXDITjs75AcgdBSW27oL1VZH31udDprJSsBcE5xlp4/edit?gid=1551188038#gid=1551188038"", ""Sheet9!$B:$E""),2,false)"),"Multan")</f>
        <v>Multan</v>
      </c>
      <c r="B153" s="338" t="s">
        <v>4599</v>
      </c>
      <c r="C153" s="284">
        <f>IFERROR(__xludf.DUMMYFUNCTION("IFERROR(
  INDEX(
    FILTER(
      IMPORTRANGE(""1Cxrhp3-_-HS7v9uuqQliiIfrmMP4VaFoDNDWyUFy2J8/edit?gid=0#gid=0"",""Sheet1!AE:AE""),
      IMPORTRANGE(""1Cxrhp3-_-HS7v9uuqQliiIfrmMP4VaFoDNDWyUFy2J8/edit?gid=0#gid=0"",""Sheet1!K:K"")=$B153
    ),
    1
  )"&amp;",
  ""Not Found""
)"),1930.0)</f>
        <v>1930</v>
      </c>
      <c r="D153" s="284" t="str">
        <f>IFERROR(__xludf.DUMMYFUNCTION("IFERROR(
  INDEX(
    FILTER(
      IMPORTRANGE(""1Cxrhp3-_-HS7v9uuqQliiIfrmMP4VaFoDNDWyUFy2J8/edit?gid=0#gid=0"",""Sheet1!AG:AG""),
      IMPORTRANGE(""1Cxrhp3-_-HS7v9uuqQliiIfrmMP4VaFoDNDWyUFy2J8/edit?gid=0#gid=0"",""Sheet1!K:K"")=$B153
    ),
    1
  )"&amp;",
  ""Not Found""
)"),"")</f>
        <v/>
      </c>
      <c r="E153" s="284">
        <f>IFERROR(__xludf.DUMMYFUNCTION("IFERROR(
  INDEX(
    FILTER(
      IMPORTRANGE(""1kOrIKZmJfNUkgOVP3sI9BPjaaPA0_a4636oymQxTXg8/edit?gid=609491371#gid=609491371"",""Form responses 1!J:J""),
      IMPORTRANGE(""1kOrIKZmJfNUkgOVP3sI9BPjaaPA0_a4636oymQxTXg8/edit?gid=609491371#gid=609491371"&amp;""",""Form responses 1!F:F"")=$B153
    ),
    1
  ),
  ""Not Found""
)"),1930.0)</f>
        <v>1930</v>
      </c>
      <c r="F153" s="284">
        <f>IFERROR(__xludf.DUMMYFUNCTION("IFERROR(
  INDEX(
    FILTER(
      IMPORTRANGE(""1kOrIKZmJfNUkgOVP3sI9BPjaaPA0_a4636oymQxTXg8/edit?gid=609491371#gid=609491371"",""Form responses 1!L:L""),
      IMPORTRANGE(""1kOrIKZmJfNUkgOVP3sI9BPjaaPA0_a4636oymQxTXg8/edit?gid=609491371#gid=609491371"&amp;""",""Form responses 1!F:F"")=$B153
    ),
    1
  ),
  ""Not Found""
)"),0.0)</f>
        <v>0</v>
      </c>
      <c r="G153" s="284" t="str">
        <f>IFERROR(__xludf.DUMMYFUNCTION("IFERROR(
  INDEX(
    FILTER(
      IMPORTRANGE(""1kOrIKZmJfNUkgOVP3sI9BPjaaPA0_a4636oymQxTXg8/edit?gid=609491371#gid=609491371"",""Form responses 1!K:K""),
      IMPORTRANGE(""1kOrIKZmJfNUkgOVP3sI9BPjaaPA0_a4636oymQxTXg8/edit?gid=609491371#gid=609491371"&amp;""",""Form responses 1!F:F"")=$B153
    ),
    1
  ),
  ""Not Found""
)"),"Yes")</f>
        <v>Yes</v>
      </c>
      <c r="H153" s="230"/>
      <c r="I153" s="230">
        <v>1930.0</v>
      </c>
      <c r="J153" s="339">
        <f>IFERROR(__xludf.DUMMYFUNCTION("IFERROR(
  INDEX(
    FILTER(
      IMPORTRANGE(""1Cxrhp3-_-HS7v9uuqQliiIfrmMP4VaFoDNDWyUFy2J8/edit?gid=0#gid=0"",""Sheet1!AE:AE""),
      IMPORTRANGE(""1Cxrhp3-_-HS7v9uuqQliiIfrmMP4VaFoDNDWyUFy2J8/edit?gid=0#gid=0"",""Sheet1!K:K"")=$B153
    ),
    1
  )"&amp;",
  ""Not Found""
)"),1930.0)</f>
        <v>1930</v>
      </c>
      <c r="K153" s="340"/>
      <c r="L153" s="340"/>
      <c r="M153" s="230"/>
      <c r="N153" s="230"/>
      <c r="O153" s="230"/>
      <c r="P153" s="230"/>
      <c r="Q153" s="230"/>
      <c r="R153" s="230"/>
      <c r="S153" s="230"/>
      <c r="T153" s="230"/>
      <c r="U153" s="230"/>
      <c r="V153" s="230"/>
      <c r="W153" s="230"/>
      <c r="X153" s="230"/>
      <c r="Y153" s="230"/>
      <c r="Z153" s="230"/>
    </row>
    <row r="154">
      <c r="A154" s="337" t="str">
        <f>IFERROR(__xludf.DUMMYFUNCTION("VLOOKUP($B154,IMPORTRANGE(""https://docs.google.com/spreadsheets/d/1VNXDITjs75AcgdBSW27oL1VZH31udDprJSsBcE5xlp4/edit?gid=1551188038#gid=1551188038"", ""Sheet9!$B:$E""),2,false)"),"Multan")</f>
        <v>Multan</v>
      </c>
      <c r="B154" s="338" t="s">
        <v>4600</v>
      </c>
      <c r="C154" s="284">
        <f>IFERROR(__xludf.DUMMYFUNCTION("IFERROR(
  INDEX(
    FILTER(
      IMPORTRANGE(""1Cxrhp3-_-HS7v9uuqQliiIfrmMP4VaFoDNDWyUFy2J8/edit?gid=0#gid=0"",""Sheet1!AE:AE""),
      IMPORTRANGE(""1Cxrhp3-_-HS7v9uuqQliiIfrmMP4VaFoDNDWyUFy2J8/edit?gid=0#gid=0"",""Sheet1!K:K"")=$B154
    ),
    1
  )"&amp;",
  ""Not Found""
)"),2014.0)</f>
        <v>2014</v>
      </c>
      <c r="D154" s="284" t="str">
        <f>IFERROR(__xludf.DUMMYFUNCTION("IFERROR(
  INDEX(
    FILTER(
      IMPORTRANGE(""1Cxrhp3-_-HS7v9uuqQliiIfrmMP4VaFoDNDWyUFy2J8/edit?gid=0#gid=0"",""Sheet1!AG:AG""),
      IMPORTRANGE(""1Cxrhp3-_-HS7v9uuqQliiIfrmMP4VaFoDNDWyUFy2J8/edit?gid=0#gid=0"",""Sheet1!K:K"")=$B154
    ),
    1
  )"&amp;",
  ""Not Found""
)"),"")</f>
        <v/>
      </c>
      <c r="E154" s="284">
        <f>IFERROR(__xludf.DUMMYFUNCTION("IFERROR(
  INDEX(
    FILTER(
      IMPORTRANGE(""1kOrIKZmJfNUkgOVP3sI9BPjaaPA0_a4636oymQxTXg8/edit?gid=609491371#gid=609491371"",""Form responses 1!J:J""),
      IMPORTRANGE(""1kOrIKZmJfNUkgOVP3sI9BPjaaPA0_a4636oymQxTXg8/edit?gid=609491371#gid=609491371"&amp;""",""Form responses 1!F:F"")=$B154
    ),
    1
  ),
  ""Not Found""
)"),1964.0)</f>
        <v>1964</v>
      </c>
      <c r="F154" s="284" t="str">
        <f>IFERROR(__xludf.DUMMYFUNCTION("IFERROR(
  INDEX(
    FILTER(
      IMPORTRANGE(""1kOrIKZmJfNUkgOVP3sI9BPjaaPA0_a4636oymQxTXg8/edit?gid=609491371#gid=609491371"",""Form responses 1!L:L""),
      IMPORTRANGE(""1kOrIKZmJfNUkgOVP3sI9BPjaaPA0_a4636oymQxTXg8/edit?gid=609491371#gid=609491371"&amp;""",""Form responses 1!F:F"")=$B154
    ),
    1
  ),
  ""Not Found""
)"),"nhe")</f>
        <v>nhe</v>
      </c>
      <c r="G154" s="284" t="str">
        <f>IFERROR(__xludf.DUMMYFUNCTION("IFERROR(
  INDEX(
    FILTER(
      IMPORTRANGE(""1kOrIKZmJfNUkgOVP3sI9BPjaaPA0_a4636oymQxTXg8/edit?gid=609491371#gid=609491371"",""Form responses 1!K:K""),
      IMPORTRANGE(""1kOrIKZmJfNUkgOVP3sI9BPjaaPA0_a4636oymQxTXg8/edit?gid=609491371#gid=609491371"&amp;""",""Form responses 1!F:F"")=$B154
    ),
    1
  ),
  ""Not Found""
)"),"No")</f>
        <v>No</v>
      </c>
      <c r="H154" s="230"/>
      <c r="I154" s="230">
        <f>C154-J154</f>
        <v>50</v>
      </c>
      <c r="J154" s="344">
        <v>1964.0</v>
      </c>
      <c r="K154" s="340"/>
      <c r="L154" s="340"/>
      <c r="M154" s="230"/>
      <c r="N154" s="230"/>
      <c r="O154" s="230"/>
      <c r="P154" s="230"/>
      <c r="Q154" s="230"/>
      <c r="R154" s="230"/>
      <c r="S154" s="230"/>
      <c r="T154" s="230"/>
      <c r="U154" s="230"/>
      <c r="V154" s="230"/>
      <c r="W154" s="230"/>
      <c r="X154" s="230"/>
      <c r="Y154" s="230"/>
      <c r="Z154" s="230"/>
    </row>
    <row r="155">
      <c r="A155" s="337" t="str">
        <f>IFERROR(__xludf.DUMMYFUNCTION("VLOOKUP($B155,IMPORTRANGE(""https://docs.google.com/spreadsheets/d/1VNXDITjs75AcgdBSW27oL1VZH31udDprJSsBcE5xlp4/edit?gid=1551188038#gid=1551188038"", ""Sheet9!$B:$E""),2,false)"),"Multan")</f>
        <v>Multan</v>
      </c>
      <c r="B155" s="338" t="s">
        <v>4601</v>
      </c>
      <c r="C155" s="284">
        <f>IFERROR(__xludf.DUMMYFUNCTION("IFERROR(
  INDEX(
    FILTER(
      IMPORTRANGE(""1Cxrhp3-_-HS7v9uuqQliiIfrmMP4VaFoDNDWyUFy2J8/edit?gid=0#gid=0"",""Sheet1!AE:AE""),
      IMPORTRANGE(""1Cxrhp3-_-HS7v9uuqQliiIfrmMP4VaFoDNDWyUFy2J8/edit?gid=0#gid=0"",""Sheet1!K:K"")=$B155
    ),
    1
  )"&amp;",
  ""Not Found""
)"),918.0)</f>
        <v>918</v>
      </c>
      <c r="D155" s="284"/>
      <c r="E155" s="284" t="str">
        <f>IFERROR(__xludf.DUMMYFUNCTION("IFERROR(
  INDEX(
    FILTER(
      IMPORTRANGE(""1kOrIKZmJfNUkgOVP3sI9BPjaaPA0_a4636oymQxTXg8/edit?gid=609491371#gid=609491371"",""Form responses 1!J:J""),
      IMPORTRANGE(""1kOrIKZmJfNUkgOVP3sI9BPjaaPA0_a4636oymQxTXg8/edit?gid=609491371#gid=609491371"&amp;""",""Form responses 1!F:F"")=$B155
    ),
    1
  ),
  ""Not Found""
)"),"Qadeemi")</f>
        <v>Qadeemi</v>
      </c>
      <c r="F155" s="284" t="str">
        <f>IFERROR(__xludf.DUMMYFUNCTION("IFERROR(
  INDEX(
    FILTER(
      IMPORTRANGE(""1kOrIKZmJfNUkgOVP3sI9BPjaaPA0_a4636oymQxTXg8/edit?gid=609491371#gid=609491371"",""Form responses 1!L:L""),
      IMPORTRANGE(""1kOrIKZmJfNUkgOVP3sI9BPjaaPA0_a4636oymQxTXg8/edit?gid=609491371#gid=609491371"&amp;""",""Form responses 1!F:F"")=$B155
    ),
    1
  ),
  ""Not Found""
)"),"No")</f>
        <v>No</v>
      </c>
      <c r="G155" s="284" t="str">
        <f>IFERROR(__xludf.DUMMYFUNCTION("IFERROR(
  INDEX(
    FILTER(
      IMPORTRANGE(""1kOrIKZmJfNUkgOVP3sI9BPjaaPA0_a4636oymQxTXg8/edit?gid=609491371#gid=609491371"",""Form responses 1!K:K""),
      IMPORTRANGE(""1kOrIKZmJfNUkgOVP3sI9BPjaaPA0_a4636oymQxTXg8/edit?gid=609491371#gid=609491371"&amp;""",""Form responses 1!F:F"")=$B155
    ),
    1
  ),
  ""Not Found""
)"),"No")</f>
        <v>No</v>
      </c>
      <c r="H155" s="230"/>
      <c r="I155" s="343">
        <v>918.0</v>
      </c>
      <c r="J155" s="344">
        <v>1918.0</v>
      </c>
      <c r="K155" s="340"/>
      <c r="L155" s="340"/>
      <c r="M155" s="230"/>
      <c r="N155" s="230"/>
      <c r="O155" s="230"/>
      <c r="P155" s="230"/>
      <c r="Q155" s="230"/>
      <c r="R155" s="230"/>
      <c r="S155" s="230"/>
      <c r="T155" s="230"/>
      <c r="U155" s="230"/>
      <c r="V155" s="230"/>
      <c r="W155" s="230"/>
      <c r="X155" s="230"/>
      <c r="Y155" s="230"/>
      <c r="Z155" s="230"/>
    </row>
    <row r="156">
      <c r="A156" s="337" t="str">
        <f>IFERROR(__xludf.DUMMYFUNCTION("VLOOKUP($B156,IMPORTRANGE(""https://docs.google.com/spreadsheets/d/1VNXDITjs75AcgdBSW27oL1VZH31udDprJSsBcE5xlp4/edit?gid=1551188038#gid=1551188038"", ""Sheet9!$B:$E""),2,false)"),"Multan")</f>
        <v>Multan</v>
      </c>
      <c r="B156" s="338" t="s">
        <v>4602</v>
      </c>
      <c r="C156" s="284">
        <f>IFERROR(__xludf.DUMMYFUNCTION("IFERROR(
  INDEX(
    FILTER(
      IMPORTRANGE(""1Cxrhp3-_-HS7v9uuqQliiIfrmMP4VaFoDNDWyUFy2J8/edit?gid=0#gid=0"",""Sheet1!AE:AE""),
      IMPORTRANGE(""1Cxrhp3-_-HS7v9uuqQliiIfrmMP4VaFoDNDWyUFy2J8/edit?gid=0#gid=0"",""Sheet1!K:K"")=$B156
    ),
    1
  )"&amp;",
  ""Not Found""
)"),1967.0)</f>
        <v>1967</v>
      </c>
      <c r="D156" s="284" t="str">
        <f>IFERROR(__xludf.DUMMYFUNCTION("IFERROR(
  INDEX(
    FILTER(
      IMPORTRANGE(""1Cxrhp3-_-HS7v9uuqQliiIfrmMP4VaFoDNDWyUFy2J8/edit?gid=0#gid=0"",""Sheet1!AG:AG""),
      IMPORTRANGE(""1Cxrhp3-_-HS7v9uuqQliiIfrmMP4VaFoDNDWyUFy2J8/edit?gid=0#gid=0"",""Sheet1!K:K"")=$B156
    ),
    1
  )"&amp;",
  ""Not Found""
)"),"")</f>
        <v/>
      </c>
      <c r="E156" s="284">
        <f>IFERROR(__xludf.DUMMYFUNCTION("IFERROR(
  INDEX(
    FILTER(
      IMPORTRANGE(""1kOrIKZmJfNUkgOVP3sI9BPjaaPA0_a4636oymQxTXg8/edit?gid=609491371#gid=609491371"",""Form responses 1!J:J""),
      IMPORTRANGE(""1kOrIKZmJfNUkgOVP3sI9BPjaaPA0_a4636oymQxTXg8/edit?gid=609491371#gid=609491371"&amp;""",""Form responses 1!F:F"")=$B156
    ),
    1
  ),
  ""Not Found""
)"),1967.0)</f>
        <v>1967</v>
      </c>
      <c r="F156" s="284">
        <f>IFERROR(__xludf.DUMMYFUNCTION("IFERROR(
  INDEX(
    FILTER(
      IMPORTRANGE(""1kOrIKZmJfNUkgOVP3sI9BPjaaPA0_a4636oymQxTXg8/edit?gid=609491371#gid=609491371"",""Form responses 1!L:L""),
      IMPORTRANGE(""1kOrIKZmJfNUkgOVP3sI9BPjaaPA0_a4636oymQxTXg8/edit?gid=609491371#gid=609491371"&amp;""",""Form responses 1!F:F"")=$B156
    ),
    1
  ),
  ""Not Found""
)"),0.0)</f>
        <v>0</v>
      </c>
      <c r="G156" s="284" t="str">
        <f>IFERROR(__xludf.DUMMYFUNCTION("IFERROR(
  INDEX(
    FILTER(
      IMPORTRANGE(""1kOrIKZmJfNUkgOVP3sI9BPjaaPA0_a4636oymQxTXg8/edit?gid=609491371#gid=609491371"",""Form responses 1!K:K""),
      IMPORTRANGE(""1kOrIKZmJfNUkgOVP3sI9BPjaaPA0_a4636oymQxTXg8/edit?gid=609491371#gid=609491371"&amp;""",""Form responses 1!F:F"")=$B156
    ),
    1
  ),
  ""Not Found""
)"),"No")</f>
        <v>No</v>
      </c>
      <c r="H156" s="230"/>
      <c r="I156" s="230">
        <v>1967.0</v>
      </c>
      <c r="J156" s="339">
        <f>IFERROR(__xludf.DUMMYFUNCTION("IFERROR(
  INDEX(
    FILTER(
      IMPORTRANGE(""1Cxrhp3-_-HS7v9uuqQliiIfrmMP4VaFoDNDWyUFy2J8/edit?gid=0#gid=0"",""Sheet1!AE:AE""),
      IMPORTRANGE(""1Cxrhp3-_-HS7v9uuqQliiIfrmMP4VaFoDNDWyUFy2J8/edit?gid=0#gid=0"",""Sheet1!K:K"")=$B156
    ),
    1
  )"&amp;",
  ""Not Found""
)"),1967.0)</f>
        <v>1967</v>
      </c>
      <c r="K156" s="340"/>
      <c r="L156" s="340"/>
      <c r="M156" s="230"/>
      <c r="N156" s="230"/>
      <c r="O156" s="230"/>
      <c r="P156" s="230"/>
      <c r="Q156" s="230"/>
      <c r="R156" s="230"/>
      <c r="S156" s="230"/>
      <c r="T156" s="230"/>
      <c r="U156" s="230"/>
      <c r="V156" s="230"/>
      <c r="W156" s="230"/>
      <c r="X156" s="230"/>
      <c r="Y156" s="230"/>
      <c r="Z156" s="230"/>
    </row>
    <row r="157">
      <c r="A157" s="337" t="str">
        <f>IFERROR(__xludf.DUMMYFUNCTION("VLOOKUP($B157,IMPORTRANGE(""https://docs.google.com/spreadsheets/d/1VNXDITjs75AcgdBSW27oL1VZH31udDprJSsBcE5xlp4/edit?gid=1551188038#gid=1551188038"", ""Sheet9!$B:$E""),2,false)"),"Multan")</f>
        <v>Multan</v>
      </c>
      <c r="B157" s="338" t="s">
        <v>4603</v>
      </c>
      <c r="C157" s="284">
        <f>IFERROR(__xludf.DUMMYFUNCTION("IFERROR(
  INDEX(
    FILTER(
      IMPORTRANGE(""1Cxrhp3-_-HS7v9uuqQliiIfrmMP4VaFoDNDWyUFy2J8/edit?gid=0#gid=0"",""Sheet1!AE:AE""),
      IMPORTRANGE(""1Cxrhp3-_-HS7v9uuqQliiIfrmMP4VaFoDNDWyUFy2J8/edit?gid=0#gid=0"",""Sheet1!K:K"")=$B157
    ),
    1
  )"&amp;",
  ""Not Found""
)"),1330.0)</f>
        <v>1330</v>
      </c>
      <c r="D157" s="284" t="s">
        <v>4860</v>
      </c>
      <c r="E157" s="284">
        <f>IFERROR(__xludf.DUMMYFUNCTION("IFERROR(
  INDEX(
    FILTER(
      IMPORTRANGE(""1kOrIKZmJfNUkgOVP3sI9BPjaaPA0_a4636oymQxTXg8/edit?gid=609491371#gid=609491371"",""Form responses 1!J:J""),
      IMPORTRANGE(""1kOrIKZmJfNUkgOVP3sI9BPjaaPA0_a4636oymQxTXg8/edit?gid=609491371#gid=609491371"&amp;""",""Form responses 1!F:F"")=$B157
    ),
    1
  ),
  ""Not Found""
)"),1330.0)</f>
        <v>1330</v>
      </c>
      <c r="F157" s="284" t="str">
        <f>IFERROR(__xludf.DUMMYFUNCTION("IFERROR(
  INDEX(
    FILTER(
      IMPORTRANGE(""1kOrIKZmJfNUkgOVP3sI9BPjaaPA0_a4636oymQxTXg8/edit?gid=609491371#gid=609491371"",""Form responses 1!L:L""),
      IMPORTRANGE(""1kOrIKZmJfNUkgOVP3sI9BPjaaPA0_a4636oymQxTXg8/edit?gid=609491371#gid=609491371"&amp;""",""Form responses 1!F:F"")=$B157
    ),
    1
  ),
  ""Not Found""
)"),"Hazrat Shah Shams Sabzwari")</f>
        <v>Hazrat Shah Shams Sabzwari</v>
      </c>
      <c r="G157" s="284" t="str">
        <f>IFERROR(__xludf.DUMMYFUNCTION("IFERROR(
  INDEX(
    FILTER(
      IMPORTRANGE(""1kOrIKZmJfNUkgOVP3sI9BPjaaPA0_a4636oymQxTXg8/edit?gid=609491371#gid=609491371"",""Form responses 1!K:K""),
      IMPORTRANGE(""1kOrIKZmJfNUkgOVP3sI9BPjaaPA0_a4636oymQxTXg8/edit?gid=609491371#gid=609491371"&amp;""",""Form responses 1!F:F"")=$B157
    ),
    1
  ),
  ""Not Found""
)"),"No")</f>
        <v>No</v>
      </c>
      <c r="H157" s="230"/>
      <c r="I157" s="230">
        <v>1330.0</v>
      </c>
      <c r="J157" s="339">
        <f>IFERROR(__xludf.DUMMYFUNCTION("IFERROR(
  INDEX(
    FILTER(
      IMPORTRANGE(""1Cxrhp3-_-HS7v9uuqQliiIfrmMP4VaFoDNDWyUFy2J8/edit?gid=0#gid=0"",""Sheet1!AE:AE""),
      IMPORTRANGE(""1Cxrhp3-_-HS7v9uuqQliiIfrmMP4VaFoDNDWyUFy2J8/edit?gid=0#gid=0"",""Sheet1!K:K"")=$B157
    ),
    1
  )"&amp;",
  ""Not Found""
)"),1330.0)</f>
        <v>1330</v>
      </c>
      <c r="K157" s="340"/>
      <c r="L157" s="340"/>
      <c r="M157" s="230"/>
      <c r="N157" s="230"/>
      <c r="O157" s="230"/>
      <c r="P157" s="230"/>
      <c r="Q157" s="230"/>
      <c r="R157" s="230"/>
      <c r="S157" s="230"/>
      <c r="T157" s="230"/>
      <c r="U157" s="230"/>
      <c r="V157" s="230"/>
      <c r="W157" s="230"/>
      <c r="X157" s="230"/>
      <c r="Y157" s="230"/>
      <c r="Z157" s="230"/>
    </row>
    <row r="158">
      <c r="A158" s="337" t="str">
        <f>IFERROR(__xludf.DUMMYFUNCTION("VLOOKUP($B158,IMPORTRANGE(""https://docs.google.com/spreadsheets/d/1VNXDITjs75AcgdBSW27oL1VZH31udDprJSsBcE5xlp4/edit?gid=1551188038#gid=1551188038"", ""Sheet9!$B:$E""),2,false)"),"Multan")</f>
        <v>Multan</v>
      </c>
      <c r="B158" s="338" t="s">
        <v>4604</v>
      </c>
      <c r="C158" s="284">
        <f>IFERROR(__xludf.DUMMYFUNCTION("IFERROR(
  INDEX(
    FILTER(
      IMPORTRANGE(""1Cxrhp3-_-HS7v9uuqQliiIfrmMP4VaFoDNDWyUFy2J8/edit?gid=0#gid=0"",""Sheet1!AE:AE""),
      IMPORTRANGE(""1Cxrhp3-_-HS7v9uuqQliiIfrmMP4VaFoDNDWyUFy2J8/edit?gid=0#gid=0"",""Sheet1!K:K"")=$B158
    ),
    1
  )"&amp;",
  ""Not Found""
)"),1860.0)</f>
        <v>1860</v>
      </c>
      <c r="D158" s="284" t="str">
        <f>IFERROR(__xludf.DUMMYFUNCTION("IFERROR(
  INDEX(
    FILTER(
      IMPORTRANGE(""1Cxrhp3-_-HS7v9uuqQliiIfrmMP4VaFoDNDWyUFy2J8/edit?gid=0#gid=0"",""Sheet1!AG:AG""),
      IMPORTRANGE(""1Cxrhp3-_-HS7v9uuqQliiIfrmMP4VaFoDNDWyUFy2J8/edit?gid=0#gid=0"",""Sheet1!K:K"")=$B158
    ),
    1
  )"&amp;",
  ""Not Found""
)"),"")</f>
        <v/>
      </c>
      <c r="E158" s="284" t="str">
        <f>IFERROR(__xludf.DUMMYFUNCTION("IFERROR(
  INDEX(
    FILTER(
      IMPORTRANGE(""1kOrIKZmJfNUkgOVP3sI9BPjaaPA0_a4636oymQxTXg8/edit?gid=609491371#gid=609491371"",""Form responses 1!J:J""),
      IMPORTRANGE(""1kOrIKZmJfNUkgOVP3sI9BPjaaPA0_a4636oymQxTXg8/edit?gid=609491371#gid=609491371"&amp;""",""Form responses 1!F:F"")=$B158
    ),
    1
  ),
  ""Not Found""
)"),"1800..")</f>
        <v>1800..</v>
      </c>
      <c r="F158" s="284" t="str">
        <f>IFERROR(__xludf.DUMMYFUNCTION("IFERROR(
  INDEX(
    FILTER(
      IMPORTRANGE(""1kOrIKZmJfNUkgOVP3sI9BPjaaPA0_a4636oymQxTXg8/edit?gid=609491371#gid=609491371"",""Form responses 1!L:L""),
      IMPORTRANGE(""1kOrIKZmJfNUkgOVP3sI9BPjaaPA0_a4636oymQxTXg8/edit?gid=609491371#gid=609491371"&amp;""",""Form responses 1!F:F"")=$B158
    ),
    1
  ),
  ""Not Found""
)"),"No")</f>
        <v>No</v>
      </c>
      <c r="G158" s="284" t="str">
        <f>IFERROR(__xludf.DUMMYFUNCTION("IFERROR(
  INDEX(
    FILTER(
      IMPORTRANGE(""1kOrIKZmJfNUkgOVP3sI9BPjaaPA0_a4636oymQxTXg8/edit?gid=609491371#gid=609491371"",""Form responses 1!K:K""),
      IMPORTRANGE(""1kOrIKZmJfNUkgOVP3sI9BPjaaPA0_a4636oymQxTXg8/edit?gid=609491371#gid=609491371"&amp;""",""Form responses 1!F:F"")=$B158
    ),
    1
  ),
  ""Not Found""
)"),"No")</f>
        <v>No</v>
      </c>
      <c r="H158" s="230"/>
      <c r="I158" s="343">
        <v>1800.0</v>
      </c>
      <c r="J158" s="344">
        <v>1800.0</v>
      </c>
      <c r="K158" s="340"/>
      <c r="L158" s="340"/>
      <c r="M158" s="230"/>
      <c r="N158" s="230"/>
      <c r="O158" s="230"/>
      <c r="P158" s="230"/>
      <c r="Q158" s="230"/>
      <c r="R158" s="230"/>
      <c r="S158" s="230"/>
      <c r="T158" s="230"/>
      <c r="U158" s="230"/>
      <c r="V158" s="230"/>
      <c r="W158" s="230"/>
      <c r="X158" s="230"/>
      <c r="Y158" s="230"/>
      <c r="Z158" s="230"/>
    </row>
    <row r="159">
      <c r="A159" s="337" t="str">
        <f>IFERROR(__xludf.DUMMYFUNCTION("VLOOKUP($B159,IMPORTRANGE(""https://docs.google.com/spreadsheets/d/1VNXDITjs75AcgdBSW27oL1VZH31udDprJSsBcE5xlp4/edit?gid=1551188038#gid=1551188038"", ""Sheet9!$B:$E""),2,false)"),"Multan")</f>
        <v>Multan</v>
      </c>
      <c r="B159" s="345" t="s">
        <v>4605</v>
      </c>
      <c r="C159" s="284">
        <f>IFERROR(__xludf.DUMMYFUNCTION("IFERROR(
  INDEX(
    FILTER(
      IMPORTRANGE(""1Cxrhp3-_-HS7v9uuqQliiIfrmMP4VaFoDNDWyUFy2J8/edit?gid=0#gid=0"",""Sheet1!AE:AE""),
      IMPORTRANGE(""1Cxrhp3-_-HS7v9uuqQliiIfrmMP4VaFoDNDWyUFy2J8/edit?gid=0#gid=0"",""Sheet1!K:K"")=$B159
    ),
    1
  )"&amp;",
  ""Not Found""
)"),975.0)</f>
        <v>975</v>
      </c>
      <c r="D159" s="284" t="s">
        <v>4861</v>
      </c>
      <c r="E159" s="284">
        <f>IFERROR(__xludf.DUMMYFUNCTION("IFERROR(
  INDEX(
    FILTER(
      IMPORTRANGE(""1kOrIKZmJfNUkgOVP3sI9BPjaaPA0_a4636oymQxTXg8/edit?gid=609491371#gid=609491371"",""Form responses 1!J:J""),
      IMPORTRANGE(""1kOrIKZmJfNUkgOVP3sI9BPjaaPA0_a4636oymQxTXg8/edit?gid=609491371#gid=609491371"&amp;""",""Form responses 1!F:F"")=$B159
    ),
    1
  ),
  ""Not Found""
)"),975.0)</f>
        <v>975</v>
      </c>
      <c r="F159" s="284" t="str">
        <f>IFERROR(__xludf.DUMMYFUNCTION("IFERROR(
  INDEX(
    FILTER(
      IMPORTRANGE(""1kOrIKZmJfNUkgOVP3sI9BPjaaPA0_a4636oymQxTXg8/edit?gid=609491371#gid=609491371"",""Form responses 1!L:L""),
      IMPORTRANGE(""1kOrIKZmJfNUkgOVP3sI9BPjaaPA0_a4636oymQxTXg8/edit?gid=609491371#gid=609491371"&amp;""",""Form responses 1!F:F"")=$B159
    ),
    1
  ),
  ""Not Found""
)")," Musa Pak Shaheed")</f>
        <v> Musa Pak Shaheed</v>
      </c>
      <c r="G159" s="284" t="str">
        <f>IFERROR(__xludf.DUMMYFUNCTION("IFERROR(
  INDEX(
    FILTER(
      IMPORTRANGE(""1kOrIKZmJfNUkgOVP3sI9BPjaaPA0_a4636oymQxTXg8/edit?gid=609491371#gid=609491371"",""Form responses 1!K:K""),
      IMPORTRANGE(""1kOrIKZmJfNUkgOVP3sI9BPjaaPA0_a4636oymQxTXg8/edit?gid=609491371#gid=609491371"&amp;""",""Form responses 1!F:F"")=$B159
    ),
    1
  ),
  ""Not Found""
)"),"Yes")</f>
        <v>Yes</v>
      </c>
      <c r="H159" s="230"/>
      <c r="I159" s="343">
        <v>975.0</v>
      </c>
      <c r="J159" s="344">
        <v>1974.0</v>
      </c>
      <c r="K159" s="340"/>
      <c r="L159" s="340"/>
      <c r="M159" s="230"/>
      <c r="N159" s="230"/>
      <c r="O159" s="230"/>
      <c r="P159" s="230"/>
      <c r="Q159" s="230"/>
      <c r="R159" s="230"/>
      <c r="S159" s="230"/>
      <c r="T159" s="230"/>
      <c r="U159" s="230"/>
      <c r="V159" s="230"/>
      <c r="W159" s="230"/>
      <c r="X159" s="230"/>
      <c r="Y159" s="230"/>
      <c r="Z159" s="230"/>
    </row>
    <row r="160">
      <c r="A160" s="337" t="str">
        <f>IFERROR(__xludf.DUMMYFUNCTION("VLOOKUP($B160,IMPORTRANGE(""https://docs.google.com/spreadsheets/d/1VNXDITjs75AcgdBSW27oL1VZH31udDprJSsBcE5xlp4/edit?gid=1551188038#gid=1551188038"", ""Sheet9!$B:$E""),2,false)"),"Multan")</f>
        <v>Multan</v>
      </c>
      <c r="B160" s="338" t="s">
        <v>4606</v>
      </c>
      <c r="C160" s="284">
        <f>IFERROR(__xludf.DUMMYFUNCTION("IFERROR(
  INDEX(
    FILTER(
      IMPORTRANGE(""1Cxrhp3-_-HS7v9uuqQliiIfrmMP4VaFoDNDWyUFy2J8/edit?gid=0#gid=0"",""Sheet1!AE:AE""),
      IMPORTRANGE(""1Cxrhp3-_-HS7v9uuqQliiIfrmMP4VaFoDNDWyUFy2J8/edit?gid=0#gid=0"",""Sheet1!K:K"")=$B160
    ),
    1
  )"&amp;",
  ""Not Found""
)"),1920.0)</f>
        <v>1920</v>
      </c>
      <c r="D160" s="284" t="str">
        <f>IFERROR(__xludf.DUMMYFUNCTION("IFERROR(
  INDEX(
    FILTER(
      IMPORTRANGE(""1Cxrhp3-_-HS7v9uuqQliiIfrmMP4VaFoDNDWyUFy2J8/edit?gid=0#gid=0"",""Sheet1!AG:AG""),
      IMPORTRANGE(""1Cxrhp3-_-HS7v9uuqQliiIfrmMP4VaFoDNDWyUFy2J8/edit?gid=0#gid=0"",""Sheet1!K:K"")=$B160
    ),
    1
  )"&amp;",
  ""Not Found""
)"),"")</f>
        <v/>
      </c>
      <c r="E160" s="284">
        <f>IFERROR(__xludf.DUMMYFUNCTION("IFERROR(
  INDEX(
    FILTER(
      IMPORTRANGE(""1kOrIKZmJfNUkgOVP3sI9BPjaaPA0_a4636oymQxTXg8/edit?gid=609491371#gid=609491371"",""Form responses 1!J:J""),
      IMPORTRANGE(""1kOrIKZmJfNUkgOVP3sI9BPjaaPA0_a4636oymQxTXg8/edit?gid=609491371#gid=609491371"&amp;""",""Form responses 1!F:F"")=$B160
    ),
    1
  ),
  ""Not Found""
)"),1920.0)</f>
        <v>1920</v>
      </c>
      <c r="F160" s="284">
        <f>IFERROR(__xludf.DUMMYFUNCTION("IFERROR(
  INDEX(
    FILTER(
      IMPORTRANGE(""1kOrIKZmJfNUkgOVP3sI9BPjaaPA0_a4636oymQxTXg8/edit?gid=609491371#gid=609491371"",""Form responses 1!L:L""),
      IMPORTRANGE(""1kOrIKZmJfNUkgOVP3sI9BPjaaPA0_a4636oymQxTXg8/edit?gid=609491371#gid=609491371"&amp;""",""Form responses 1!F:F"")=$B160
    ),
    1
  ),
  ""Not Found""
)"),0.0)</f>
        <v>0</v>
      </c>
      <c r="G160" s="284" t="str">
        <f>IFERROR(__xludf.DUMMYFUNCTION("IFERROR(
  INDEX(
    FILTER(
      IMPORTRANGE(""1kOrIKZmJfNUkgOVP3sI9BPjaaPA0_a4636oymQxTXg8/edit?gid=609491371#gid=609491371"",""Form responses 1!K:K""),
      IMPORTRANGE(""1kOrIKZmJfNUkgOVP3sI9BPjaaPA0_a4636oymQxTXg8/edit?gid=609491371#gid=609491371"&amp;""",""Form responses 1!F:F"")=$B160
    ),
    1
  ),
  ""Not Found""
)"),"No")</f>
        <v>No</v>
      </c>
      <c r="H160" s="230"/>
      <c r="I160" s="230">
        <v>1920.0</v>
      </c>
      <c r="J160" s="339">
        <f>IFERROR(__xludf.DUMMYFUNCTION("IFERROR(
  INDEX(
    FILTER(
      IMPORTRANGE(""1Cxrhp3-_-HS7v9uuqQliiIfrmMP4VaFoDNDWyUFy2J8/edit?gid=0#gid=0"",""Sheet1!AE:AE""),
      IMPORTRANGE(""1Cxrhp3-_-HS7v9uuqQliiIfrmMP4VaFoDNDWyUFy2J8/edit?gid=0#gid=0"",""Sheet1!K:K"")=$B160
    ),
    1
  )"&amp;",
  ""Not Found""
)"),1920.0)</f>
        <v>1920</v>
      </c>
      <c r="K160" s="340"/>
      <c r="L160" s="340"/>
      <c r="M160" s="230"/>
      <c r="N160" s="230"/>
      <c r="O160" s="230"/>
      <c r="P160" s="230"/>
      <c r="Q160" s="230"/>
      <c r="R160" s="230"/>
      <c r="S160" s="230"/>
      <c r="T160" s="230"/>
      <c r="U160" s="230"/>
      <c r="V160" s="230"/>
      <c r="W160" s="230"/>
      <c r="X160" s="230"/>
      <c r="Y160" s="230"/>
      <c r="Z160" s="230"/>
    </row>
    <row r="161">
      <c r="A161" s="337" t="str">
        <f>IFERROR(__xludf.DUMMYFUNCTION("VLOOKUP($B161,IMPORTRANGE(""https://docs.google.com/spreadsheets/d/1VNXDITjs75AcgdBSW27oL1VZH31udDprJSsBcE5xlp4/edit?gid=1551188038#gid=1551188038"", ""Sheet9!$B:$E""),2,false)"),"Multan")</f>
        <v>Multan</v>
      </c>
      <c r="B161" s="345" t="s">
        <v>4119</v>
      </c>
      <c r="C161" s="284">
        <f>IFERROR(__xludf.DUMMYFUNCTION("IFERROR(
  INDEX(
    FILTER(
      IMPORTRANGE(""1Cxrhp3-_-HS7v9uuqQliiIfrmMP4VaFoDNDWyUFy2J8/edit?gid=0#gid=0"",""Sheet1!AE:AE""),
      IMPORTRANGE(""1Cxrhp3-_-HS7v9uuqQliiIfrmMP4VaFoDNDWyUFy2J8/edit?gid=0#gid=0"",""Sheet1!K:K"")=$B161
    ),
    1
  )"&amp;",
  ""Not Found""
)"),1935.0)</f>
        <v>1935</v>
      </c>
      <c r="D161" s="284" t="str">
        <f>IFERROR(__xludf.DUMMYFUNCTION("IFERROR(
  INDEX(
    FILTER(
      IMPORTRANGE(""1Cxrhp3-_-HS7v9uuqQliiIfrmMP4VaFoDNDWyUFy2J8/edit?gid=0#gid=0"",""Sheet1!AG:AG""),
      IMPORTRANGE(""1Cxrhp3-_-HS7v9uuqQliiIfrmMP4VaFoDNDWyUFy2J8/edit?gid=0#gid=0"",""Sheet1!K:K"")=$B161
    ),
    1
  )"&amp;",
  ""Not Found""
)"),"")</f>
        <v/>
      </c>
      <c r="E161" s="284">
        <f>IFERROR(__xludf.DUMMYFUNCTION("IFERROR(
  INDEX(
    FILTER(
      IMPORTRANGE(""1kOrIKZmJfNUkgOVP3sI9BPjaaPA0_a4636oymQxTXg8/edit?gid=609491371#gid=609491371"",""Form responses 1!J:J""),
      IMPORTRANGE(""1kOrIKZmJfNUkgOVP3sI9BPjaaPA0_a4636oymQxTXg8/edit?gid=609491371#gid=609491371"&amp;""",""Form responses 1!F:F"")=$B161
    ),
    1
  ),
  ""Not Found""
)"),1947.0)</f>
        <v>1947</v>
      </c>
      <c r="F161" s="284" t="str">
        <f>IFERROR(__xludf.DUMMYFUNCTION("IFERROR(
  INDEX(
    FILTER(
      IMPORTRANGE(""1kOrIKZmJfNUkgOVP3sI9BPjaaPA0_a4636oymQxTXg8/edit?gid=609491371#gid=609491371"",""Form responses 1!L:L""),
      IMPORTRANGE(""1kOrIKZmJfNUkgOVP3sI9BPjaaPA0_a4636oymQxTXg8/edit?gid=609491371#gid=609491371"&amp;""",""Form responses 1!F:F"")=$B161
    ),
    1
  ),
  ""Not Found""
)"),"NO")</f>
        <v>NO</v>
      </c>
      <c r="G161" s="284" t="str">
        <f>IFERROR(__xludf.DUMMYFUNCTION("IFERROR(
  INDEX(
    FILTER(
      IMPORTRANGE(""1kOrIKZmJfNUkgOVP3sI9BPjaaPA0_a4636oymQxTXg8/edit?gid=609491371#gid=609491371"",""Form responses 1!K:K""),
      IMPORTRANGE(""1kOrIKZmJfNUkgOVP3sI9BPjaaPA0_a4636oymQxTXg8/edit?gid=609491371#gid=609491371"&amp;""",""Form responses 1!F:F"")=$B161
    ),
    1
  ),
  ""Not Found""
)"),"No")</f>
        <v>No</v>
      </c>
      <c r="H161" s="230"/>
      <c r="I161" s="230">
        <v>1935.0</v>
      </c>
      <c r="J161" s="339">
        <f>IFERROR(__xludf.DUMMYFUNCTION("IFERROR(
  INDEX(
    FILTER(
      IMPORTRANGE(""1Cxrhp3-_-HS7v9uuqQliiIfrmMP4VaFoDNDWyUFy2J8/edit?gid=0#gid=0"",""Sheet1!AE:AE""),
      IMPORTRANGE(""1Cxrhp3-_-HS7v9uuqQliiIfrmMP4VaFoDNDWyUFy2J8/edit?gid=0#gid=0"",""Sheet1!K:K"")=$B161
    ),
    1
  )"&amp;",
  ""Not Found""
)"),1935.0)</f>
        <v>1935</v>
      </c>
      <c r="K161" s="340"/>
      <c r="L161" s="340"/>
      <c r="M161" s="230"/>
      <c r="N161" s="230"/>
      <c r="O161" s="230"/>
      <c r="P161" s="230"/>
      <c r="Q161" s="230"/>
      <c r="R161" s="230"/>
      <c r="S161" s="230"/>
      <c r="T161" s="230"/>
      <c r="U161" s="230"/>
      <c r="V161" s="230"/>
      <c r="W161" s="230"/>
      <c r="X161" s="230"/>
      <c r="Y161" s="230"/>
      <c r="Z161" s="230"/>
    </row>
    <row r="162">
      <c r="A162" s="337" t="str">
        <f>IFERROR(__xludf.DUMMYFUNCTION("VLOOKUP($B162,IMPORTRANGE(""https://docs.google.com/spreadsheets/d/1VNXDITjs75AcgdBSW27oL1VZH31udDprJSsBcE5xlp4/edit?gid=1551188038#gid=1551188038"", ""Sheet9!$B:$E""),2,false)"),"Multan")</f>
        <v>Multan</v>
      </c>
      <c r="B162" s="338" t="s">
        <v>4607</v>
      </c>
      <c r="C162" s="284" t="str">
        <f>IFERROR(__xludf.DUMMYFUNCTION("IFERROR(
  INDEX(
    FILTER(
      IMPORTRANGE(""1Cxrhp3-_-HS7v9uuqQliiIfrmMP4VaFoDNDWyUFy2J8/edit?gid=0#gid=0"",""Sheet1!AE:AE""),
      IMPORTRANGE(""1Cxrhp3-_-HS7v9uuqQliiIfrmMP4VaFoDNDWyUFy2J8/edit?gid=0#gid=0"",""Sheet1!K:K"")=$B162
    ),
    1
  )"&amp;",
  ""Not Found""
)"),"Not Found")</f>
        <v>Not Found</v>
      </c>
      <c r="D162" s="284"/>
      <c r="E162" s="284">
        <f>IFERROR(__xludf.DUMMYFUNCTION("IFERROR(
  INDEX(
    FILTER(
      IMPORTRANGE(""1kOrIKZmJfNUkgOVP3sI9BPjaaPA0_a4636oymQxTXg8/edit?gid=609491371#gid=609491371"",""Form responses 1!J:J""),
      IMPORTRANGE(""1kOrIKZmJfNUkgOVP3sI9BPjaaPA0_a4636oymQxTXg8/edit?gid=609491371#gid=609491371"&amp;""",""Form responses 1!F:F"")=$B162
    ),
    1
  ),
  ""Not Found""
)"),1080.0)</f>
        <v>1080</v>
      </c>
      <c r="F162" s="284" t="str">
        <f>IFERROR(__xludf.DUMMYFUNCTION("IFERROR(
  INDEX(
    FILTER(
      IMPORTRANGE(""1kOrIKZmJfNUkgOVP3sI9BPjaaPA0_a4636oymQxTXg8/edit?gid=609491371#gid=609491371"",""Form responses 1!L:L""),
      IMPORTRANGE(""1kOrIKZmJfNUkgOVP3sI9BPjaaPA0_a4636oymQxTXg8/edit?gid=609491371#gid=609491371"&amp;""",""Form responses 1!F:F"")=$B162
    ),
    1
  ),
  ""Not Found""
)"),"Hazrat Peer Anayat Walayat shah")</f>
        <v>Hazrat Peer Anayat Walayat shah</v>
      </c>
      <c r="G162" s="284" t="str">
        <f>IFERROR(__xludf.DUMMYFUNCTION("IFERROR(
  INDEX(
    FILTER(
      IMPORTRANGE(""1kOrIKZmJfNUkgOVP3sI9BPjaaPA0_a4636oymQxTXg8/edit?gid=609491371#gid=609491371"",""Form responses 1!K:K""),
      IMPORTRANGE(""1kOrIKZmJfNUkgOVP3sI9BPjaaPA0_a4636oymQxTXg8/edit?gid=609491371#gid=609491371"&amp;""",""Form responses 1!F:F"")=$B162
    ),
    1
  ),
  ""Not Found""
)"),"No")</f>
        <v>No</v>
      </c>
      <c r="H162" s="230"/>
      <c r="I162" s="343">
        <v>1080.0</v>
      </c>
      <c r="J162" s="344">
        <v>1080.0</v>
      </c>
      <c r="K162" s="340"/>
      <c r="L162" s="340"/>
      <c r="M162" s="230"/>
      <c r="N162" s="230"/>
      <c r="O162" s="230"/>
      <c r="P162" s="230"/>
      <c r="Q162" s="230"/>
      <c r="R162" s="230"/>
      <c r="S162" s="230"/>
      <c r="T162" s="230"/>
      <c r="U162" s="230"/>
      <c r="V162" s="230"/>
      <c r="W162" s="230"/>
      <c r="X162" s="230"/>
      <c r="Y162" s="230"/>
      <c r="Z162" s="230"/>
    </row>
    <row r="163">
      <c r="A163" s="337" t="str">
        <f>IFERROR(__xludf.DUMMYFUNCTION("VLOOKUP($B163,IMPORTRANGE(""https://docs.google.com/spreadsheets/d/1VNXDITjs75AcgdBSW27oL1VZH31udDprJSsBcE5xlp4/edit?gid=1551188038#gid=1551188038"", ""Sheet9!$B:$E""),2,false)"),"Multan")</f>
        <v>Multan</v>
      </c>
      <c r="B163" s="338" t="s">
        <v>4608</v>
      </c>
      <c r="C163" s="284">
        <f>IFERROR(__xludf.DUMMYFUNCTION("IFERROR(
  INDEX(
    FILTER(
      IMPORTRANGE(""1Cxrhp3-_-HS7v9uuqQliiIfrmMP4VaFoDNDWyUFy2J8/edit?gid=0#gid=0"",""Sheet1!AE:AE""),
      IMPORTRANGE(""1Cxrhp3-_-HS7v9uuqQliiIfrmMP4VaFoDNDWyUFy2J8/edit?gid=0#gid=0"",""Sheet1!K:K"")=$B163
    ),
    1
  )"&amp;",
  ""Not Found""
)"),1950.0)</f>
        <v>1950</v>
      </c>
      <c r="D163" s="284" t="str">
        <f>IFERROR(__xludf.DUMMYFUNCTION("IFERROR(
  INDEX(
    FILTER(
      IMPORTRANGE(""1Cxrhp3-_-HS7v9uuqQliiIfrmMP4VaFoDNDWyUFy2J8/edit?gid=0#gid=0"",""Sheet1!AG:AG""),
      IMPORTRANGE(""1Cxrhp3-_-HS7v9uuqQliiIfrmMP4VaFoDNDWyUFy2J8/edit?gid=0#gid=0"",""Sheet1!K:K"")=$B163
    ),
    1
  )"&amp;",
  ""Not Found""
)"),"")</f>
        <v/>
      </c>
      <c r="E163" s="284">
        <f>IFERROR(__xludf.DUMMYFUNCTION("IFERROR(
  INDEX(
    FILTER(
      IMPORTRANGE(""1kOrIKZmJfNUkgOVP3sI9BPjaaPA0_a4636oymQxTXg8/edit?gid=609491371#gid=609491371"",""Form responses 1!J:J""),
      IMPORTRANGE(""1kOrIKZmJfNUkgOVP3sI9BPjaaPA0_a4636oymQxTXg8/edit?gid=609491371#gid=609491371"&amp;""",""Form responses 1!F:F"")=$B163
    ),
    1
  ),
  ""Not Found""
)"),1932.0)</f>
        <v>1932</v>
      </c>
      <c r="F163" s="284" t="str">
        <f>IFERROR(__xludf.DUMMYFUNCTION("IFERROR(
  INDEX(
    FILTER(
      IMPORTRANGE(""1kOrIKZmJfNUkgOVP3sI9BPjaaPA0_a4636oymQxTXg8/edit?gid=609491371#gid=609491371"",""Form responses 1!L:L""),
      IMPORTRANGE(""1kOrIKZmJfNUkgOVP3sI9BPjaaPA0_a4636oymQxTXg8/edit?gid=609491371#gid=609491371"&amp;""",""Form responses 1!F:F"")=$B163
    ),
    1
  ),
  ""Not Found""
)"),"no")</f>
        <v>no</v>
      </c>
      <c r="G163" s="284" t="str">
        <f>IFERROR(__xludf.DUMMYFUNCTION("IFERROR(
  INDEX(
    FILTER(
      IMPORTRANGE(""1kOrIKZmJfNUkgOVP3sI9BPjaaPA0_a4636oymQxTXg8/edit?gid=609491371#gid=609491371"",""Form responses 1!K:K""),
      IMPORTRANGE(""1kOrIKZmJfNUkgOVP3sI9BPjaaPA0_a4636oymQxTXg8/edit?gid=609491371#gid=609491371"&amp;""",""Form responses 1!F:F"")=$B163
    ),
    1
  ),
  ""Not Found""
)"),"Yes")</f>
        <v>Yes</v>
      </c>
      <c r="H163" s="230"/>
      <c r="I163" s="343">
        <v>1932.0</v>
      </c>
      <c r="J163" s="344">
        <v>1932.0</v>
      </c>
      <c r="K163" s="340"/>
      <c r="L163" s="340"/>
      <c r="M163" s="230"/>
      <c r="N163" s="230"/>
      <c r="O163" s="230"/>
      <c r="P163" s="230"/>
      <c r="Q163" s="230"/>
      <c r="R163" s="230"/>
      <c r="S163" s="230"/>
      <c r="T163" s="230"/>
      <c r="U163" s="230"/>
      <c r="V163" s="230"/>
      <c r="W163" s="230"/>
      <c r="X163" s="230"/>
      <c r="Y163" s="230"/>
      <c r="Z163" s="230"/>
    </row>
    <row r="164">
      <c r="A164" s="337" t="str">
        <f>IFERROR(__xludf.DUMMYFUNCTION("VLOOKUP($B164,IMPORTRANGE(""https://docs.google.com/spreadsheets/d/1VNXDITjs75AcgdBSW27oL1VZH31udDprJSsBcE5xlp4/edit?gid=1551188038#gid=1551188038"", ""Sheet9!$B:$E""),2,false)"),"Multan")</f>
        <v>Multan</v>
      </c>
      <c r="B164" s="338" t="s">
        <v>4609</v>
      </c>
      <c r="C164" s="284">
        <f>IFERROR(__xludf.DUMMYFUNCTION("IFERROR(
  INDEX(
    FILTER(
      IMPORTRANGE(""1Cxrhp3-_-HS7v9uuqQliiIfrmMP4VaFoDNDWyUFy2J8/edit?gid=0#gid=0"",""Sheet1!AE:AE""),
      IMPORTRANGE(""1Cxrhp3-_-HS7v9uuqQliiIfrmMP4VaFoDNDWyUFy2J8/edit?gid=0#gid=0"",""Sheet1!K:K"")=$B164
    ),
    1
  )"&amp;",
  ""Not Found""
)"),800.0)</f>
        <v>800</v>
      </c>
      <c r="D164" s="284" t="str">
        <f>IFERROR(__xludf.DUMMYFUNCTION("IFERROR(
  INDEX(
    FILTER(
      IMPORTRANGE(""1Cxrhp3-_-HS7v9uuqQliiIfrmMP4VaFoDNDWyUFy2J8/edit?gid=0#gid=0"",""Sheet1!AG:AG""),
      IMPORTRANGE(""1Cxrhp3-_-HS7v9uuqQliiIfrmMP4VaFoDNDWyUFy2J8/edit?gid=0#gid=0"",""Sheet1!K:K"")=$B164
    ),
    1
  )"&amp;",
  ""Not Found""
)"),"Bahauddin Zikriya")</f>
        <v>Bahauddin Zikriya</v>
      </c>
      <c r="E164" s="284">
        <f>IFERROR(__xludf.DUMMYFUNCTION("IFERROR(
  INDEX(
    FILTER(
      IMPORTRANGE(""1kOrIKZmJfNUkgOVP3sI9BPjaaPA0_a4636oymQxTXg8/edit?gid=609491371#gid=609491371"",""Form responses 1!J:J""),
      IMPORTRANGE(""1kOrIKZmJfNUkgOVP3sI9BPjaaPA0_a4636oymQxTXg8/edit?gid=609491371#gid=609491371"&amp;""",""Form responses 1!F:F"")=$B164
    ),
    1
  ),
  ""Not Found""
)"),800.0)</f>
        <v>800</v>
      </c>
      <c r="F164" s="284" t="str">
        <f>IFERROR(__xludf.DUMMYFUNCTION("IFERROR(
  INDEX(
    FILTER(
      IMPORTRANGE(""1kOrIKZmJfNUkgOVP3sI9BPjaaPA0_a4636oymQxTXg8/edit?gid=609491371#gid=609491371"",""Form responses 1!L:L""),
      IMPORTRANGE(""1kOrIKZmJfNUkgOVP3sI9BPjaaPA0_a4636oymQxTXg8/edit?gid=609491371#gid=609491371"&amp;""",""Form responses 1!F:F"")=$B164
    ),
    1
  ),
  ""Not Found""
)"),"Syed Bah ul Deen zakriya ")</f>
        <v>Syed Bah ul Deen zakriya </v>
      </c>
      <c r="G164" s="284" t="str">
        <f>IFERROR(__xludf.DUMMYFUNCTION("IFERROR(
  INDEX(
    FILTER(
      IMPORTRANGE(""1kOrIKZmJfNUkgOVP3sI9BPjaaPA0_a4636oymQxTXg8/edit?gid=609491371#gid=609491371"",""Form responses 1!K:K""),
      IMPORTRANGE(""1kOrIKZmJfNUkgOVP3sI9BPjaaPA0_a4636oymQxTXg8/edit?gid=609491371#gid=609491371"&amp;""",""Form responses 1!F:F"")=$B164
    ),
    1
  ),
  ""Not Found""
)"),"No")</f>
        <v>No</v>
      </c>
      <c r="H164" s="230"/>
      <c r="I164" s="230">
        <v>800.0</v>
      </c>
      <c r="J164" s="339">
        <f>IFERROR(__xludf.DUMMYFUNCTION("IFERROR(
  INDEX(
    FILTER(
      IMPORTRANGE(""1Cxrhp3-_-HS7v9uuqQliiIfrmMP4VaFoDNDWyUFy2J8/edit?gid=0#gid=0"",""Sheet1!AE:AE""),
      IMPORTRANGE(""1Cxrhp3-_-HS7v9uuqQliiIfrmMP4VaFoDNDWyUFy2J8/edit?gid=0#gid=0"",""Sheet1!K:K"")=$B164
    ),
    1
  )"&amp;",
  ""Not Found""
)"),800.0)</f>
        <v>800</v>
      </c>
      <c r="K164" s="340"/>
      <c r="L164" s="340"/>
      <c r="M164" s="230"/>
      <c r="N164" s="230"/>
      <c r="O164" s="230"/>
      <c r="P164" s="230"/>
      <c r="Q164" s="230"/>
      <c r="R164" s="230"/>
      <c r="S164" s="230"/>
      <c r="T164" s="230"/>
      <c r="U164" s="230"/>
      <c r="V164" s="230"/>
      <c r="W164" s="230"/>
      <c r="X164" s="230"/>
      <c r="Y164" s="230"/>
      <c r="Z164" s="230"/>
    </row>
    <row r="165">
      <c r="A165" s="337" t="str">
        <f>IFERROR(__xludf.DUMMYFUNCTION("VLOOKUP($B165,IMPORTRANGE(""https://docs.google.com/spreadsheets/d/1VNXDITjs75AcgdBSW27oL1VZH31udDprJSsBcE5xlp4/edit?gid=1551188038#gid=1551188038"", ""Sheet9!$B:$E""),2,false)"),"Multan")</f>
        <v>Multan</v>
      </c>
      <c r="B165" s="345" t="s">
        <v>4202</v>
      </c>
      <c r="C165" s="284">
        <f>IFERROR(__xludf.DUMMYFUNCTION("IFERROR(
  INDEX(
    FILTER(
      IMPORTRANGE(""1Cxrhp3-_-HS7v9uuqQliiIfrmMP4VaFoDNDWyUFy2J8/edit?gid=0#gid=0"",""Sheet1!AE:AE""),
      IMPORTRANGE(""1Cxrhp3-_-HS7v9uuqQliiIfrmMP4VaFoDNDWyUFy2J8/edit?gid=0#gid=0"",""Sheet1!K:K"")=$B165
    ),
    1
  )"&amp;",
  ""Not Found""
)"),1950.0)</f>
        <v>1950</v>
      </c>
      <c r="D165" s="284" t="s">
        <v>4863</v>
      </c>
      <c r="E165" s="284" t="str">
        <f>IFERROR(__xludf.DUMMYFUNCTION("IFERROR(
  INDEX(
    FILTER(
      IMPORTRANGE(""1kOrIKZmJfNUkgOVP3sI9BPjaaPA0_a4636oymQxTXg8/edit?gid=609491371#gid=609491371"",""Form responses 1!J:J""),
      IMPORTRANGE(""1kOrIKZmJfNUkgOVP3sI9BPjaaPA0_a4636oymQxTXg8/edit?gid=609491371#gid=609491371"&amp;""",""Form responses 1!F:F"")=$B165
    ),
    1
  ),
  ""Not Found""
)"),"-")</f>
        <v>-</v>
      </c>
      <c r="F165" s="284" t="str">
        <f>IFERROR(__xludf.DUMMYFUNCTION("IFERROR(
  INDEX(
    FILTER(
      IMPORTRANGE(""1kOrIKZmJfNUkgOVP3sI9BPjaaPA0_a4636oymQxTXg8/edit?gid=609491371#gid=609491371"",""Form responses 1!L:L""),
      IMPORTRANGE(""1kOrIKZmJfNUkgOVP3sI9BPjaaPA0_a4636oymQxTXg8/edit?gid=609491371#gid=609491371"&amp;""",""Form responses 1!F:F"")=$B165
    ),
    1
  ),
  ""Not Found""
)"),"Hazrat Syed Ibrahim MUltani almaroof Gosha nasheen")</f>
        <v>Hazrat Syed Ibrahim MUltani almaroof Gosha nasheen</v>
      </c>
      <c r="G165" s="284" t="str">
        <f>IFERROR(__xludf.DUMMYFUNCTION("IFERROR(
  INDEX(
    FILTER(
      IMPORTRANGE(""1kOrIKZmJfNUkgOVP3sI9BPjaaPA0_a4636oymQxTXg8/edit?gid=609491371#gid=609491371"",""Form responses 1!K:K""),
      IMPORTRANGE(""1kOrIKZmJfNUkgOVP3sI9BPjaaPA0_a4636oymQxTXg8/edit?gid=609491371#gid=609491371"&amp;""",""Form responses 1!F:F"")=$B165
    ),
    1
  ),
  ""Not Found""
)"),"No")</f>
        <v>No</v>
      </c>
      <c r="H165" s="230"/>
      <c r="I165" s="230">
        <v>1950.0</v>
      </c>
      <c r="J165" s="339">
        <f>IFERROR(__xludf.DUMMYFUNCTION("IFERROR(
  INDEX(
    FILTER(
      IMPORTRANGE(""1Cxrhp3-_-HS7v9uuqQliiIfrmMP4VaFoDNDWyUFy2J8/edit?gid=0#gid=0"",""Sheet1!AE:AE""),
      IMPORTRANGE(""1Cxrhp3-_-HS7v9uuqQliiIfrmMP4VaFoDNDWyUFy2J8/edit?gid=0#gid=0"",""Sheet1!K:K"")=$B165
    ),
    1
  )"&amp;",
  ""Not Found""
)"),1950.0)</f>
        <v>1950</v>
      </c>
      <c r="K165" s="340"/>
      <c r="L165" s="340"/>
      <c r="M165" s="230"/>
      <c r="N165" s="230"/>
      <c r="O165" s="230"/>
      <c r="P165" s="230"/>
      <c r="Q165" s="230"/>
      <c r="R165" s="230"/>
      <c r="S165" s="230"/>
      <c r="T165" s="230"/>
      <c r="U165" s="230"/>
      <c r="V165" s="230"/>
      <c r="W165" s="230"/>
      <c r="X165" s="230"/>
      <c r="Y165" s="230"/>
      <c r="Z165" s="230"/>
    </row>
    <row r="166">
      <c r="A166" s="337" t="str">
        <f>IFERROR(__xludf.DUMMYFUNCTION("VLOOKUP($B166,IMPORTRANGE(""https://docs.google.com/spreadsheets/d/1VNXDITjs75AcgdBSW27oL1VZH31udDprJSsBcE5xlp4/edit?gid=1551188038#gid=1551188038"", ""Sheet9!$B:$E""),2,false)"),"Multan")</f>
        <v>Multan</v>
      </c>
      <c r="B166" s="338" t="s">
        <v>4610</v>
      </c>
      <c r="C166" s="284">
        <f>IFERROR(__xludf.DUMMYFUNCTION("IFERROR(
  INDEX(
    FILTER(
      IMPORTRANGE(""1Cxrhp3-_-HS7v9uuqQliiIfrmMP4VaFoDNDWyUFy2J8/edit?gid=0#gid=0"",""Sheet1!AE:AE""),
      IMPORTRANGE(""1Cxrhp3-_-HS7v9uuqQliiIfrmMP4VaFoDNDWyUFy2J8/edit?gid=0#gid=0"",""Sheet1!K:K"")=$B166
    ),
    1
  )"&amp;",
  ""Not Found""
)"),1887.0)</f>
        <v>1887</v>
      </c>
      <c r="D166" s="284" t="str">
        <f>IFERROR(__xludf.DUMMYFUNCTION("IFERROR(
  INDEX(
    FILTER(
      IMPORTRANGE(""1Cxrhp3-_-HS7v9uuqQliiIfrmMP4VaFoDNDWyUFy2J8/edit?gid=0#gid=0"",""Sheet1!AG:AG""),
      IMPORTRANGE(""1Cxrhp3-_-HS7v9uuqQliiIfrmMP4VaFoDNDWyUFy2J8/edit?gid=0#gid=0"",""Sheet1!K:K"")=$B166
    ),
    1
  )"&amp;",
  ""Not Found""
)"),"")</f>
        <v/>
      </c>
      <c r="E166" s="284">
        <f>IFERROR(__xludf.DUMMYFUNCTION("IFERROR(
  INDEX(
    FILTER(
      IMPORTRANGE(""1kOrIKZmJfNUkgOVP3sI9BPjaaPA0_a4636oymQxTXg8/edit?gid=609491371#gid=609491371"",""Form responses 1!J:J""),
      IMPORTRANGE(""1kOrIKZmJfNUkgOVP3sI9BPjaaPA0_a4636oymQxTXg8/edit?gid=609491371#gid=609491371"&amp;""",""Form responses 1!F:F"")=$B166
    ),
    1
  ),
  ""Not Found""
)"),1887.0)</f>
        <v>1887</v>
      </c>
      <c r="F166" s="284">
        <f>IFERROR(__xludf.DUMMYFUNCTION("IFERROR(
  INDEX(
    FILTER(
      IMPORTRANGE(""1kOrIKZmJfNUkgOVP3sI9BPjaaPA0_a4636oymQxTXg8/edit?gid=609491371#gid=609491371"",""Form responses 1!L:L""),
      IMPORTRANGE(""1kOrIKZmJfNUkgOVP3sI9BPjaaPA0_a4636oymQxTXg8/edit?gid=609491371#gid=609491371"&amp;""",""Form responses 1!F:F"")=$B166
    ),
    1
  ),
  ""Not Found""
)"),0.0)</f>
        <v>0</v>
      </c>
      <c r="G166" s="284" t="str">
        <f>IFERROR(__xludf.DUMMYFUNCTION("IFERROR(
  INDEX(
    FILTER(
      IMPORTRANGE(""1kOrIKZmJfNUkgOVP3sI9BPjaaPA0_a4636oymQxTXg8/edit?gid=609491371#gid=609491371"",""Form responses 1!K:K""),
      IMPORTRANGE(""1kOrIKZmJfNUkgOVP3sI9BPjaaPA0_a4636oymQxTXg8/edit?gid=609491371#gid=609491371"&amp;""",""Form responses 1!F:F"")=$B166
    ),
    1
  ),
  ""Not Found""
)"),"Yes")</f>
        <v>Yes</v>
      </c>
      <c r="H166" s="230"/>
      <c r="I166" s="230">
        <v>1887.0</v>
      </c>
      <c r="J166" s="339">
        <f>IFERROR(__xludf.DUMMYFUNCTION("IFERROR(
  INDEX(
    FILTER(
      IMPORTRANGE(""1Cxrhp3-_-HS7v9uuqQliiIfrmMP4VaFoDNDWyUFy2J8/edit?gid=0#gid=0"",""Sheet1!AE:AE""),
      IMPORTRANGE(""1Cxrhp3-_-HS7v9uuqQliiIfrmMP4VaFoDNDWyUFy2J8/edit?gid=0#gid=0"",""Sheet1!K:K"")=$B166
    ),
    1
  )"&amp;",
  ""Not Found""
)"),1887.0)</f>
        <v>1887</v>
      </c>
      <c r="K166" s="340"/>
      <c r="L166" s="340"/>
      <c r="M166" s="230"/>
      <c r="N166" s="230"/>
      <c r="O166" s="230"/>
      <c r="P166" s="230"/>
      <c r="Q166" s="230"/>
      <c r="R166" s="230"/>
      <c r="S166" s="230"/>
      <c r="T166" s="230"/>
      <c r="U166" s="230"/>
      <c r="V166" s="230"/>
      <c r="W166" s="230"/>
      <c r="X166" s="230"/>
      <c r="Y166" s="230"/>
      <c r="Z166" s="230"/>
    </row>
    <row r="167">
      <c r="A167" s="337" t="str">
        <f>IFERROR(__xludf.DUMMYFUNCTION("VLOOKUP($B167,IMPORTRANGE(""https://docs.google.com/spreadsheets/d/1VNXDITjs75AcgdBSW27oL1VZH31udDprJSsBcE5xlp4/edit?gid=1551188038#gid=1551188038"", ""Sheet9!$B:$E""),2,false)"),"Multan")</f>
        <v>Multan</v>
      </c>
      <c r="B167" s="338" t="s">
        <v>4611</v>
      </c>
      <c r="C167" s="284">
        <f>IFERROR(__xludf.DUMMYFUNCTION("IFERROR(
  INDEX(
    FILTER(
      IMPORTRANGE(""1Cxrhp3-_-HS7v9uuqQliiIfrmMP4VaFoDNDWyUFy2J8/edit?gid=0#gid=0"",""Sheet1!AE:AE""),
      IMPORTRANGE(""1Cxrhp3-_-HS7v9uuqQliiIfrmMP4VaFoDNDWyUFy2J8/edit?gid=0#gid=0"",""Sheet1!K:K"")=$B167
    ),
    1
  )"&amp;",
  ""Not Found""
)"),1300.0)</f>
        <v>1300</v>
      </c>
      <c r="D167" s="284" t="str">
        <f>IFERROR(__xludf.DUMMYFUNCTION("IFERROR(
  INDEX(
    FILTER(
      IMPORTRANGE(""1Cxrhp3-_-HS7v9uuqQliiIfrmMP4VaFoDNDWyUFy2J8/edit?gid=0#gid=0"",""Sheet1!AG:AG""),
      IMPORTRANGE(""1Cxrhp3-_-HS7v9uuqQliiIfrmMP4VaFoDNDWyUFy2J8/edit?gid=0#gid=0"",""Sheet1!K:K"")=$B167
    ),
    1
  )"&amp;",
  ""Not Found""
)"),"Nam maloom ni")</f>
        <v>Nam maloom ni</v>
      </c>
      <c r="E167" s="284" t="str">
        <f>IFERROR(__xludf.DUMMYFUNCTION("IFERROR(
  INDEX(
    FILTER(
      IMPORTRANGE(""1kOrIKZmJfNUkgOVP3sI9BPjaaPA0_a4636oymQxTXg8/edit?gid=609491371#gid=609491371"",""Form responses 1!J:J""),
      IMPORTRANGE(""1kOrIKZmJfNUkgOVP3sI9BPjaaPA0_a4636oymQxTXg8/edit?gid=609491371#gid=609491371"&amp;""",""Form responses 1!F:F"")=$B167
    ),
    1
  ),
  ""Not Found""
)"),"1300 e")</f>
        <v>1300 e</v>
      </c>
      <c r="F167" s="284" t="str">
        <f>IFERROR(__xludf.DUMMYFUNCTION("IFERROR(
  INDEX(
    FILTER(
      IMPORTRANGE(""1kOrIKZmJfNUkgOVP3sI9BPjaaPA0_a4636oymQxTXg8/edit?gid=609491371#gid=609491371"",""Form responses 1!L:L""),
      IMPORTRANGE(""1kOrIKZmJfNUkgOVP3sI9BPjaaPA0_a4636oymQxTXg8/edit?gid=609491371#gid=609491371"&amp;""",""Form responses 1!F:F"")=$B167
    ),
    1
  ),
  ""Not Found""
)"),"Peer Kala shah")</f>
        <v>Peer Kala shah</v>
      </c>
      <c r="G167" s="284" t="str">
        <f>IFERROR(__xludf.DUMMYFUNCTION("IFERROR(
  INDEX(
    FILTER(
      IMPORTRANGE(""1kOrIKZmJfNUkgOVP3sI9BPjaaPA0_a4636oymQxTXg8/edit?gid=609491371#gid=609491371"",""Form responses 1!K:K""),
      IMPORTRANGE(""1kOrIKZmJfNUkgOVP3sI9BPjaaPA0_a4636oymQxTXg8/edit?gid=609491371#gid=609491371"&amp;""",""Form responses 1!F:F"")=$B167
    ),
    1
  ),
  ""Not Found""
)"),"No")</f>
        <v>No</v>
      </c>
      <c r="H167" s="230"/>
      <c r="I167" s="230">
        <v>1300.0</v>
      </c>
      <c r="J167" s="339">
        <f>IFERROR(__xludf.DUMMYFUNCTION("IFERROR(
  INDEX(
    FILTER(
      IMPORTRANGE(""1Cxrhp3-_-HS7v9uuqQliiIfrmMP4VaFoDNDWyUFy2J8/edit?gid=0#gid=0"",""Sheet1!AE:AE""),
      IMPORTRANGE(""1Cxrhp3-_-HS7v9uuqQliiIfrmMP4VaFoDNDWyUFy2J8/edit?gid=0#gid=0"",""Sheet1!K:K"")=$B167
    ),
    1
  )"&amp;",
  ""Not Found""
)"),1300.0)</f>
        <v>1300</v>
      </c>
      <c r="K167" s="340"/>
      <c r="L167" s="340"/>
      <c r="M167" s="230"/>
      <c r="N167" s="230"/>
      <c r="O167" s="230"/>
      <c r="P167" s="230"/>
      <c r="Q167" s="230"/>
      <c r="R167" s="230"/>
      <c r="S167" s="230"/>
      <c r="T167" s="230"/>
      <c r="U167" s="230"/>
      <c r="V167" s="230"/>
      <c r="W167" s="230"/>
      <c r="X167" s="230"/>
      <c r="Y167" s="230"/>
      <c r="Z167" s="230"/>
    </row>
    <row r="168">
      <c r="A168" s="337" t="str">
        <f>IFERROR(__xludf.DUMMYFUNCTION("VLOOKUP($B168,IMPORTRANGE(""https://docs.google.com/spreadsheets/d/1VNXDITjs75AcgdBSW27oL1VZH31udDprJSsBcE5xlp4/edit?gid=1551188038#gid=1551188038"", ""Sheet9!$B:$E""),2,false)"),"Multan")</f>
        <v>Multan</v>
      </c>
      <c r="B168" s="338" t="s">
        <v>4612</v>
      </c>
      <c r="C168" s="284">
        <f>IFERROR(__xludf.DUMMYFUNCTION("IFERROR(
  INDEX(
    FILTER(
      IMPORTRANGE(""1Cxrhp3-_-HS7v9uuqQliiIfrmMP4VaFoDNDWyUFy2J8/edit?gid=0#gid=0"",""Sheet1!AE:AE""),
      IMPORTRANGE(""1Cxrhp3-_-HS7v9uuqQliiIfrmMP4VaFoDNDWyUFy2J8/edit?gid=0#gid=0"",""Sheet1!K:K"")=$B168
    ),
    1
  )"&amp;",
  ""Not Found""
)"),2008.0)</f>
        <v>2008</v>
      </c>
      <c r="D168" s="284" t="str">
        <f>IFERROR(__xludf.DUMMYFUNCTION("IFERROR(
  INDEX(
    FILTER(
      IMPORTRANGE(""1Cxrhp3-_-HS7v9uuqQliiIfrmMP4VaFoDNDWyUFy2J8/edit?gid=0#gid=0"",""Sheet1!AG:AG""),
      IMPORTRANGE(""1Cxrhp3-_-HS7v9uuqQliiIfrmMP4VaFoDNDWyUFy2J8/edit?gid=0#gid=0"",""Sheet1!K:K"")=$B168
    ),
    1
  )"&amp;",
  ""Not Found""
)"),"پیر بودلہ شاہ صاحب ")</f>
        <v>پیر بودلہ شاہ صاحب </v>
      </c>
      <c r="E168" s="284">
        <f>IFERROR(__xludf.DUMMYFUNCTION("IFERROR(
  INDEX(
    FILTER(
      IMPORTRANGE(""1kOrIKZmJfNUkgOVP3sI9BPjaaPA0_a4636oymQxTXg8/edit?gid=609491371#gid=609491371"",""Form responses 1!J:J""),
      IMPORTRANGE(""1kOrIKZmJfNUkgOVP3sI9BPjaaPA0_a4636oymQxTXg8/edit?gid=609491371#gid=609491371"&amp;""",""Form responses 1!F:F"")=$B168
    ),
    1
  ),
  ""Not Found""
)"),2008.0)</f>
        <v>2008</v>
      </c>
      <c r="F168" s="284" t="str">
        <f>IFERROR(__xludf.DUMMYFUNCTION("IFERROR(
  INDEX(
    FILTER(
      IMPORTRANGE(""1kOrIKZmJfNUkgOVP3sI9BPjaaPA0_a4636oymQxTXg8/edit?gid=609491371#gid=609491371"",""Form responses 1!L:L""),
      IMPORTRANGE(""1kOrIKZmJfNUkgOVP3sI9BPjaaPA0_a4636oymQxTXg8/edit?gid=609491371#gid=609491371"&amp;""",""Form responses 1!F:F"")=$B168
    ),
    1
  ),
  ""Not Found""
)"),"حضرت پیر بودلہ شاہ صاحب")</f>
        <v>حضرت پیر بودلہ شاہ صاحب</v>
      </c>
      <c r="G168" s="284" t="str">
        <f>IFERROR(__xludf.DUMMYFUNCTION("IFERROR(
  INDEX(
    FILTER(
      IMPORTRANGE(""1kOrIKZmJfNUkgOVP3sI9BPjaaPA0_a4636oymQxTXg8/edit?gid=609491371#gid=609491371"",""Form responses 1!K:K""),
      IMPORTRANGE(""1kOrIKZmJfNUkgOVP3sI9BPjaaPA0_a4636oymQxTXg8/edit?gid=609491371#gid=609491371"&amp;""",""Form responses 1!F:F"")=$B168
    ),
    1
  ),
  ""Not Found""
)"),"No")</f>
        <v>No</v>
      </c>
      <c r="H168" s="230"/>
      <c r="I168" s="230">
        <v>2008.0</v>
      </c>
      <c r="J168" s="339">
        <f>IFERROR(__xludf.DUMMYFUNCTION("IFERROR(
  INDEX(
    FILTER(
      IMPORTRANGE(""1Cxrhp3-_-HS7v9uuqQliiIfrmMP4VaFoDNDWyUFy2J8/edit?gid=0#gid=0"",""Sheet1!AE:AE""),
      IMPORTRANGE(""1Cxrhp3-_-HS7v9uuqQliiIfrmMP4VaFoDNDWyUFy2J8/edit?gid=0#gid=0"",""Sheet1!K:K"")=$B168
    ),
    1
  )"&amp;",
  ""Not Found""
)"),2008.0)</f>
        <v>2008</v>
      </c>
      <c r="K168" s="340"/>
      <c r="L168" s="340"/>
      <c r="M168" s="230"/>
      <c r="N168" s="230"/>
      <c r="O168" s="230"/>
      <c r="P168" s="230"/>
      <c r="Q168" s="230"/>
      <c r="R168" s="230"/>
      <c r="S168" s="230"/>
      <c r="T168" s="230"/>
      <c r="U168" s="230"/>
      <c r="V168" s="230"/>
      <c r="W168" s="230"/>
      <c r="X168" s="230"/>
      <c r="Y168" s="230"/>
      <c r="Z168" s="230"/>
    </row>
    <row r="169">
      <c r="A169" s="337" t="str">
        <f>IFERROR(__xludf.DUMMYFUNCTION("VLOOKUP($B169,IMPORTRANGE(""https://docs.google.com/spreadsheets/d/1VNXDITjs75AcgdBSW27oL1VZH31udDprJSsBcE5xlp4/edit?gid=1551188038#gid=1551188038"", ""Sheet9!$B:$E""),2,false)"),"Multan")</f>
        <v>Multan</v>
      </c>
      <c r="B169" s="338" t="s">
        <v>4613</v>
      </c>
      <c r="C169" s="284">
        <f>IFERROR(__xludf.DUMMYFUNCTION("IFERROR(
  INDEX(
    FILTER(
      IMPORTRANGE(""1Cxrhp3-_-HS7v9uuqQliiIfrmMP4VaFoDNDWyUFy2J8/edit?gid=0#gid=0"",""Sheet1!AE:AE""),
      IMPORTRANGE(""1Cxrhp3-_-HS7v9uuqQliiIfrmMP4VaFoDNDWyUFy2J8/edit?gid=0#gid=0"",""Sheet1!K:K"")=$B169
    ),
    1
  )"&amp;",
  ""Not Found""
)"),1726.0)</f>
        <v>1726</v>
      </c>
      <c r="D169" s="284" t="str">
        <f>IFERROR(__xludf.DUMMYFUNCTION("IFERROR(
  INDEX(
    FILTER(
      IMPORTRANGE(""1Cxrhp3-_-HS7v9uuqQliiIfrmMP4VaFoDNDWyUFy2J8/edit?gid=0#gid=0"",""Sheet1!AG:AG""),
      IMPORTRANGE(""1Cxrhp3-_-HS7v9uuqQliiIfrmMP4VaFoDNDWyUFy2J8/edit?gid=0#gid=0"",""Sheet1!K:K"")=$B169
    ),
    1
  )"&amp;",
  ""Not Found""
)"),"")</f>
        <v/>
      </c>
      <c r="E169" s="284">
        <f>IFERROR(__xludf.DUMMYFUNCTION("IFERROR(
  INDEX(
    FILTER(
      IMPORTRANGE(""1kOrIKZmJfNUkgOVP3sI9BPjaaPA0_a4636oymQxTXg8/edit?gid=609491371#gid=609491371"",""Form responses 1!J:J""),
      IMPORTRANGE(""1kOrIKZmJfNUkgOVP3sI9BPjaaPA0_a4636oymQxTXg8/edit?gid=609491371#gid=609491371"&amp;""",""Form responses 1!F:F"")=$B169
    ),
    1
  ),
  ""Not Found""
)"),1726.0)</f>
        <v>1726</v>
      </c>
      <c r="F169" s="284" t="str">
        <f>IFERROR(__xludf.DUMMYFUNCTION("IFERROR(
  INDEX(
    FILTER(
      IMPORTRANGE(""1kOrIKZmJfNUkgOVP3sI9BPjaaPA0_a4636oymQxTXg8/edit?gid=609491371#gid=609491371"",""Form responses 1!L:L""),
      IMPORTRANGE(""1kOrIKZmJfNUkgOVP3sI9BPjaaPA0_a4636oymQxTXg8/edit?gid=609491371#gid=609491371"&amp;""",""Form responses 1!F:F"")=$B169
    ),
    1
  ),
  ""Not Found""
)"),"No")</f>
        <v>No</v>
      </c>
      <c r="G169" s="284" t="str">
        <f>IFERROR(__xludf.DUMMYFUNCTION("IFERROR(
  INDEX(
    FILTER(
      IMPORTRANGE(""1kOrIKZmJfNUkgOVP3sI9BPjaaPA0_a4636oymQxTXg8/edit?gid=609491371#gid=609491371"",""Form responses 1!K:K""),
      IMPORTRANGE(""1kOrIKZmJfNUkgOVP3sI9BPjaaPA0_a4636oymQxTXg8/edit?gid=609491371#gid=609491371"&amp;""",""Form responses 1!F:F"")=$B169
    ),
    1
  ),
  ""Not Found""
)"),"No")</f>
        <v>No</v>
      </c>
      <c r="H169" s="230"/>
      <c r="I169" s="230">
        <v>1726.0</v>
      </c>
      <c r="J169" s="339">
        <f>IFERROR(__xludf.DUMMYFUNCTION("IFERROR(
  INDEX(
    FILTER(
      IMPORTRANGE(""1Cxrhp3-_-HS7v9uuqQliiIfrmMP4VaFoDNDWyUFy2J8/edit?gid=0#gid=0"",""Sheet1!AE:AE""),
      IMPORTRANGE(""1Cxrhp3-_-HS7v9uuqQliiIfrmMP4VaFoDNDWyUFy2J8/edit?gid=0#gid=0"",""Sheet1!K:K"")=$B169
    ),
    1
  )"&amp;",
  ""Not Found""
)"),1726.0)</f>
        <v>1726</v>
      </c>
      <c r="K169" s="340"/>
      <c r="L169" s="340"/>
      <c r="M169" s="230"/>
      <c r="N169" s="230"/>
      <c r="O169" s="230"/>
      <c r="P169" s="230"/>
      <c r="Q169" s="230"/>
      <c r="R169" s="230"/>
      <c r="S169" s="230"/>
      <c r="T169" s="230"/>
      <c r="U169" s="230"/>
      <c r="V169" s="230"/>
      <c r="W169" s="230"/>
      <c r="X169" s="230"/>
      <c r="Y169" s="230"/>
      <c r="Z169" s="230"/>
    </row>
    <row r="170">
      <c r="A170" s="337" t="str">
        <f>IFERROR(__xludf.DUMMYFUNCTION("VLOOKUP($B170,IMPORTRANGE(""https://docs.google.com/spreadsheets/d/1VNXDITjs75AcgdBSW27oL1VZH31udDprJSsBcE5xlp4/edit?gid=1551188038#gid=1551188038"", ""Sheet9!$B:$E""),2,false)"),"Multan")</f>
        <v>Multan</v>
      </c>
      <c r="B170" s="338" t="s">
        <v>4614</v>
      </c>
      <c r="C170" s="284">
        <f>IFERROR(__xludf.DUMMYFUNCTION("IFERROR(
  INDEX(
    FILTER(
      IMPORTRANGE(""1Cxrhp3-_-HS7v9uuqQliiIfrmMP4VaFoDNDWyUFy2J8/edit?gid=0#gid=0"",""Sheet1!AE:AE""),
      IMPORTRANGE(""1Cxrhp3-_-HS7v9uuqQliiIfrmMP4VaFoDNDWyUFy2J8/edit?gid=0#gid=0"",""Sheet1!K:K"")=$B170
    ),
    1
  )"&amp;",
  ""Not Found""
)"),1910.0)</f>
        <v>1910</v>
      </c>
      <c r="D170" s="284" t="str">
        <f>IFERROR(__xludf.DUMMYFUNCTION("IFERROR(
  INDEX(
    FILTER(
      IMPORTRANGE(""1Cxrhp3-_-HS7v9uuqQliiIfrmMP4VaFoDNDWyUFy2J8/edit?gid=0#gid=0"",""Sheet1!AG:AG""),
      IMPORTRANGE(""1Cxrhp3-_-HS7v9uuqQliiIfrmMP4VaFoDNDWyUFy2J8/edit?gid=0#gid=0"",""Sheet1!K:K"")=$B170
    ),
    1
  )"&amp;",
  ""Not Found""
)"),"")</f>
        <v/>
      </c>
      <c r="E170" s="284">
        <f>IFERROR(__xludf.DUMMYFUNCTION("IFERROR(
  INDEX(
    FILTER(
      IMPORTRANGE(""1kOrIKZmJfNUkgOVP3sI9BPjaaPA0_a4636oymQxTXg8/edit?gid=609491371#gid=609491371"",""Form responses 1!J:J""),
      IMPORTRANGE(""1kOrIKZmJfNUkgOVP3sI9BPjaaPA0_a4636oymQxTXg8/edit?gid=609491371#gid=609491371"&amp;""",""Form responses 1!F:F"")=$B170
    ),
    1
  ),
  ""Not Found""
)"),1942.0)</f>
        <v>1942</v>
      </c>
      <c r="F170" s="284" t="str">
        <f>IFERROR(__xludf.DUMMYFUNCTION("IFERROR(
  INDEX(
    FILTER(
      IMPORTRANGE(""1kOrIKZmJfNUkgOVP3sI9BPjaaPA0_a4636oymQxTXg8/edit?gid=609491371#gid=609491371"",""Form responses 1!L:L""),
      IMPORTRANGE(""1kOrIKZmJfNUkgOVP3sI9BPjaaPA0_a4636oymQxTXg8/edit?gid=609491371#gid=609491371"&amp;""",""Form responses 1!F:F"")=$B170
    ),
    1
  ),
  ""Not Found""
)"),"No")</f>
        <v>No</v>
      </c>
      <c r="G170" s="284" t="str">
        <f>IFERROR(__xludf.DUMMYFUNCTION("IFERROR(
  INDEX(
    FILTER(
      IMPORTRANGE(""1kOrIKZmJfNUkgOVP3sI9BPjaaPA0_a4636oymQxTXg8/edit?gid=609491371#gid=609491371"",""Form responses 1!K:K""),
      IMPORTRANGE(""1kOrIKZmJfNUkgOVP3sI9BPjaaPA0_a4636oymQxTXg8/edit?gid=609491371#gid=609491371"&amp;""",""Form responses 1!F:F"")=$B170
    ),
    1
  ),
  ""Not Found""
)"),"No")</f>
        <v>No</v>
      </c>
      <c r="H170" s="230"/>
      <c r="I170" s="230">
        <v>1910.0</v>
      </c>
      <c r="J170" s="339">
        <f>IFERROR(__xludf.DUMMYFUNCTION("IFERROR(
  INDEX(
    FILTER(
      IMPORTRANGE(""1Cxrhp3-_-HS7v9uuqQliiIfrmMP4VaFoDNDWyUFy2J8/edit?gid=0#gid=0"",""Sheet1!AE:AE""),
      IMPORTRANGE(""1Cxrhp3-_-HS7v9uuqQliiIfrmMP4VaFoDNDWyUFy2J8/edit?gid=0#gid=0"",""Sheet1!K:K"")=$B170
    ),
    1
  )"&amp;",
  ""Not Found""
)"),1910.0)</f>
        <v>1910</v>
      </c>
      <c r="K170" s="340"/>
      <c r="L170" s="340"/>
      <c r="M170" s="230"/>
      <c r="N170" s="230"/>
      <c r="O170" s="230"/>
      <c r="P170" s="230"/>
      <c r="Q170" s="230"/>
      <c r="R170" s="230"/>
      <c r="S170" s="230"/>
      <c r="T170" s="230"/>
      <c r="U170" s="230"/>
      <c r="V170" s="230"/>
      <c r="W170" s="230"/>
      <c r="X170" s="230"/>
      <c r="Y170" s="230"/>
      <c r="Z170" s="230"/>
    </row>
    <row r="171">
      <c r="A171" s="337" t="str">
        <f>IFERROR(__xludf.DUMMYFUNCTION("VLOOKUP($B171,IMPORTRANGE(""https://docs.google.com/spreadsheets/d/1VNXDITjs75AcgdBSW27oL1VZH31udDprJSsBcE5xlp4/edit?gid=1551188038#gid=1551188038"", ""Sheet9!$B:$E""),2,false)"),"Multan")</f>
        <v>Multan</v>
      </c>
      <c r="B171" s="338" t="s">
        <v>4615</v>
      </c>
      <c r="C171" s="284">
        <f>IFERROR(__xludf.DUMMYFUNCTION("IFERROR(
  INDEX(
    FILTER(
      IMPORTRANGE(""1Cxrhp3-_-HS7v9uuqQliiIfrmMP4VaFoDNDWyUFy2J8/edit?gid=0#gid=0"",""Sheet1!AE:AE""),
      IMPORTRANGE(""1Cxrhp3-_-HS7v9uuqQliiIfrmMP4VaFoDNDWyUFy2J8/edit?gid=0#gid=0"",""Sheet1!K:K"")=$B171
    ),
    1
  )"&amp;",
  ""Not Found""
)"),1950.0)</f>
        <v>1950</v>
      </c>
      <c r="D171" s="284" t="str">
        <f>IFERROR(__xludf.DUMMYFUNCTION("IFERROR(
  INDEX(
    FILTER(
      IMPORTRANGE(""1Cxrhp3-_-HS7v9uuqQliiIfrmMP4VaFoDNDWyUFy2J8/edit?gid=0#gid=0"",""Sheet1!AG:AG""),
      IMPORTRANGE(""1Cxrhp3-_-HS7v9uuqQliiIfrmMP4VaFoDNDWyUFy2J8/edit?gid=0#gid=0"",""Sheet1!K:K"")=$B171
    ),
    1
  )"&amp;",
  ""Not Found""
)"),"Syed azeem ul deen")</f>
        <v>Syed azeem ul deen</v>
      </c>
      <c r="E171" s="284">
        <f>IFERROR(__xludf.DUMMYFUNCTION("IFERROR(
  INDEX(
    FILTER(
      IMPORTRANGE(""1kOrIKZmJfNUkgOVP3sI9BPjaaPA0_a4636oymQxTXg8/edit?gid=609491371#gid=609491371"",""Form responses 1!J:J""),
      IMPORTRANGE(""1kOrIKZmJfNUkgOVP3sI9BPjaaPA0_a4636oymQxTXg8/edit?gid=609491371#gid=609491371"&amp;""",""Form responses 1!F:F"")=$B171
    ),
    1
  ),
  ""Not Found""
)"),1980.0)</f>
        <v>1980</v>
      </c>
      <c r="F171" s="284" t="str">
        <f>IFERROR(__xludf.DUMMYFUNCTION("IFERROR(
  INDEX(
    FILTER(
      IMPORTRANGE(""1kOrIKZmJfNUkgOVP3sI9BPjaaPA0_a4636oymQxTXg8/edit?gid=609491371#gid=609491371"",""Form responses 1!L:L""),
      IMPORTRANGE(""1kOrIKZmJfNUkgOVP3sI9BPjaaPA0_a4636oymQxTXg8/edit?gid=609491371#gid=609491371"&amp;""",""Form responses 1!F:F"")=$B171
    ),
    1
  ),
  ""Not Found""
)"),"Syed Azeem ul Deen")</f>
        <v>Syed Azeem ul Deen</v>
      </c>
      <c r="G171" s="284" t="str">
        <f>IFERROR(__xludf.DUMMYFUNCTION("IFERROR(
  INDEX(
    FILTER(
      IMPORTRANGE(""1kOrIKZmJfNUkgOVP3sI9BPjaaPA0_a4636oymQxTXg8/edit?gid=609491371#gid=609491371"",""Form responses 1!K:K""),
      IMPORTRANGE(""1kOrIKZmJfNUkgOVP3sI9BPjaaPA0_a4636oymQxTXg8/edit?gid=609491371#gid=609491371"&amp;""",""Form responses 1!F:F"")=$B171
    ),
    1
  ),
  ""Not Found""
)"),"No")</f>
        <v>No</v>
      </c>
      <c r="H171" s="230"/>
      <c r="I171" s="230">
        <v>1950.0</v>
      </c>
      <c r="J171" s="339">
        <f>IFERROR(__xludf.DUMMYFUNCTION("IFERROR(
  INDEX(
    FILTER(
      IMPORTRANGE(""1Cxrhp3-_-HS7v9uuqQliiIfrmMP4VaFoDNDWyUFy2J8/edit?gid=0#gid=0"",""Sheet1!AE:AE""),
      IMPORTRANGE(""1Cxrhp3-_-HS7v9uuqQliiIfrmMP4VaFoDNDWyUFy2J8/edit?gid=0#gid=0"",""Sheet1!K:K"")=$B171
    ),
    1
  )"&amp;",
  ""Not Found""
)"),1950.0)</f>
        <v>1950</v>
      </c>
      <c r="K171" s="340"/>
      <c r="L171" s="340"/>
      <c r="M171" s="230"/>
      <c r="N171" s="230"/>
      <c r="O171" s="230"/>
      <c r="P171" s="230"/>
      <c r="Q171" s="230"/>
      <c r="R171" s="230"/>
      <c r="S171" s="230"/>
      <c r="T171" s="230"/>
      <c r="U171" s="230"/>
      <c r="V171" s="230"/>
      <c r="W171" s="230"/>
      <c r="X171" s="230"/>
      <c r="Y171" s="230"/>
      <c r="Z171" s="230"/>
    </row>
    <row r="172">
      <c r="A172" s="337" t="str">
        <f>IFERROR(__xludf.DUMMYFUNCTION("VLOOKUP($B172,IMPORTRANGE(""https://docs.google.com/spreadsheets/d/1VNXDITjs75AcgdBSW27oL1VZH31udDprJSsBcE5xlp4/edit?gid=1551188038#gid=1551188038"", ""Sheet9!$B:$E""),2,false)"),"Multan")</f>
        <v>Multan</v>
      </c>
      <c r="B172" s="338" t="s">
        <v>4616</v>
      </c>
      <c r="C172" s="284">
        <f>IFERROR(__xludf.DUMMYFUNCTION("IFERROR(
  INDEX(
    FILTER(
      IMPORTRANGE(""1Cxrhp3-_-HS7v9uuqQliiIfrmMP4VaFoDNDWyUFy2J8/edit?gid=0#gid=0"",""Sheet1!AE:AE""),
      IMPORTRANGE(""1Cxrhp3-_-HS7v9uuqQliiIfrmMP4VaFoDNDWyUFy2J8/edit?gid=0#gid=0"",""Sheet1!K:K"")=$B172
    ),
    1
  )"&amp;",
  ""Not Found""
)"),1970.0)</f>
        <v>1970</v>
      </c>
      <c r="D172" s="284" t="str">
        <f>IFERROR(__xludf.DUMMYFUNCTION("IFERROR(
  INDEX(
    FILTER(
      IMPORTRANGE(""1Cxrhp3-_-HS7v9uuqQliiIfrmMP4VaFoDNDWyUFy2J8/edit?gid=0#gid=0"",""Sheet1!AG:AG""),
      IMPORTRANGE(""1Cxrhp3-_-HS7v9uuqQliiIfrmMP4VaFoDNDWyUFy2J8/edit?gid=0#gid=0"",""Sheet1!K:K"")=$B172
    ),
    1
  )"&amp;",
  ""Not Found""
)"),"")</f>
        <v/>
      </c>
      <c r="E172" s="284">
        <f>IFERROR(__xludf.DUMMYFUNCTION("IFERROR(
  INDEX(
    FILTER(
      IMPORTRANGE(""1kOrIKZmJfNUkgOVP3sI9BPjaaPA0_a4636oymQxTXg8/edit?gid=609491371#gid=609491371"",""Form responses 1!J:J""),
      IMPORTRANGE(""1kOrIKZmJfNUkgOVP3sI9BPjaaPA0_a4636oymQxTXg8/edit?gid=609491371#gid=609491371"&amp;""",""Form responses 1!F:F"")=$B172
    ),
    1
  ),
  ""Not Found""
)"),1972.0)</f>
        <v>1972</v>
      </c>
      <c r="F172" s="284">
        <f>IFERROR(__xludf.DUMMYFUNCTION("IFERROR(
  INDEX(
    FILTER(
      IMPORTRANGE(""1kOrIKZmJfNUkgOVP3sI9BPjaaPA0_a4636oymQxTXg8/edit?gid=609491371#gid=609491371"",""Form responses 1!L:L""),
      IMPORTRANGE(""1kOrIKZmJfNUkgOVP3sI9BPjaaPA0_a4636oymQxTXg8/edit?gid=609491371#gid=609491371"&amp;""",""Form responses 1!F:F"")=$B172
    ),
    1
  ),
  ""Not Found""
)"),0.0)</f>
        <v>0</v>
      </c>
      <c r="G172" s="284" t="str">
        <f>IFERROR(__xludf.DUMMYFUNCTION("IFERROR(
  INDEX(
    FILTER(
      IMPORTRANGE(""1kOrIKZmJfNUkgOVP3sI9BPjaaPA0_a4636oymQxTXg8/edit?gid=609491371#gid=609491371"",""Form responses 1!K:K""),
      IMPORTRANGE(""1kOrIKZmJfNUkgOVP3sI9BPjaaPA0_a4636oymQxTXg8/edit?gid=609491371#gid=609491371"&amp;""",""Form responses 1!F:F"")=$B172
    ),
    1
  ),
  ""Not Found""
)"),"Yes")</f>
        <v>Yes</v>
      </c>
      <c r="H172" s="230"/>
      <c r="I172" s="230">
        <v>1970.0</v>
      </c>
      <c r="J172" s="339">
        <f>IFERROR(__xludf.DUMMYFUNCTION("IFERROR(
  INDEX(
    FILTER(
      IMPORTRANGE(""1Cxrhp3-_-HS7v9uuqQliiIfrmMP4VaFoDNDWyUFy2J8/edit?gid=0#gid=0"",""Sheet1!AE:AE""),
      IMPORTRANGE(""1Cxrhp3-_-HS7v9uuqQliiIfrmMP4VaFoDNDWyUFy2J8/edit?gid=0#gid=0"",""Sheet1!K:K"")=$B172
    ),
    1
  )"&amp;",
  ""Not Found""
)"),1970.0)</f>
        <v>1970</v>
      </c>
      <c r="K172" s="340"/>
      <c r="L172" s="340"/>
      <c r="M172" s="230"/>
      <c r="N172" s="230"/>
      <c r="O172" s="230"/>
      <c r="P172" s="230"/>
      <c r="Q172" s="230"/>
      <c r="R172" s="230"/>
      <c r="S172" s="230"/>
      <c r="T172" s="230"/>
      <c r="U172" s="230"/>
      <c r="V172" s="230"/>
      <c r="W172" s="230"/>
      <c r="X172" s="230"/>
      <c r="Y172" s="230"/>
      <c r="Z172" s="230"/>
    </row>
    <row r="173">
      <c r="A173" s="337" t="str">
        <f>IFERROR(__xludf.DUMMYFUNCTION("VLOOKUP($B173,IMPORTRANGE(""https://docs.google.com/spreadsheets/d/1VNXDITjs75AcgdBSW27oL1VZH31udDprJSsBcE5xlp4/edit?gid=1551188038#gid=1551188038"", ""Sheet9!$B:$E""),2,false)"),"Multan")</f>
        <v>Multan</v>
      </c>
      <c r="B173" s="338" t="s">
        <v>4617</v>
      </c>
      <c r="C173" s="284">
        <f>IFERROR(__xludf.DUMMYFUNCTION("IFERROR(
  INDEX(
    FILTER(
      IMPORTRANGE(""1Cxrhp3-_-HS7v9uuqQliiIfrmMP4VaFoDNDWyUFy2J8/edit?gid=0#gid=0"",""Sheet1!AE:AE""),
      IMPORTRANGE(""1Cxrhp3-_-HS7v9uuqQliiIfrmMP4VaFoDNDWyUFy2J8/edit?gid=0#gid=0"",""Sheet1!K:K"")=$B173
    ),
    1
  )"&amp;",
  ""Not Found""
)"),1940.0)</f>
        <v>1940</v>
      </c>
      <c r="D173" s="284" t="str">
        <f>IFERROR(__xludf.DUMMYFUNCTION("IFERROR(
  INDEX(
    FILTER(
      IMPORTRANGE(""1Cxrhp3-_-HS7v9uuqQliiIfrmMP4VaFoDNDWyUFy2J8/edit?gid=0#gid=0"",""Sheet1!AG:AG""),
      IMPORTRANGE(""1Cxrhp3-_-HS7v9uuqQliiIfrmMP4VaFoDNDWyUFy2J8/edit?gid=0#gid=0"",""Sheet1!K:K"")=$B173
    ),
    1
  )"&amp;",
  ""Not Found""
)"),"")</f>
        <v/>
      </c>
      <c r="E173" s="284">
        <f>IFERROR(__xludf.DUMMYFUNCTION("IFERROR(
  INDEX(
    FILTER(
      IMPORTRANGE(""1kOrIKZmJfNUkgOVP3sI9BPjaaPA0_a4636oymQxTXg8/edit?gid=609491371#gid=609491371"",""Form responses 1!J:J""),
      IMPORTRANGE(""1kOrIKZmJfNUkgOVP3sI9BPjaaPA0_a4636oymQxTXg8/edit?gid=609491371#gid=609491371"&amp;""",""Form responses 1!F:F"")=$B173
    ),
    1
  ),
  ""Not Found""
)"),1940.0)</f>
        <v>1940</v>
      </c>
      <c r="F173" s="284" t="str">
        <f>IFERROR(__xludf.DUMMYFUNCTION("IFERROR(
  INDEX(
    FILTER(
      IMPORTRANGE(""1kOrIKZmJfNUkgOVP3sI9BPjaaPA0_a4636oymQxTXg8/edit?gid=609491371#gid=609491371"",""Form responses 1!L:L""),
      IMPORTRANGE(""1kOrIKZmJfNUkgOVP3sI9BPjaaPA0_a4636oymQxTXg8/edit?gid=609491371#gid=609491371"&amp;""",""Form responses 1!F:F"")=$B173
    ),
    1
  ),
  ""Not Found""
)"),"نہیں")</f>
        <v>نہیں</v>
      </c>
      <c r="G173" s="284" t="str">
        <f>IFERROR(__xludf.DUMMYFUNCTION("IFERROR(
  INDEX(
    FILTER(
      IMPORTRANGE(""1kOrIKZmJfNUkgOVP3sI9BPjaaPA0_a4636oymQxTXg8/edit?gid=609491371#gid=609491371"",""Form responses 1!K:K""),
      IMPORTRANGE(""1kOrIKZmJfNUkgOVP3sI9BPjaaPA0_a4636oymQxTXg8/edit?gid=609491371#gid=609491371"&amp;""",""Form responses 1!F:F"")=$B173
    ),
    1
  ),
  ""Not Found""
)"),"Yes")</f>
        <v>Yes</v>
      </c>
      <c r="H173" s="230"/>
      <c r="I173" s="230">
        <v>1940.0</v>
      </c>
      <c r="J173" s="339">
        <f>IFERROR(__xludf.DUMMYFUNCTION("IFERROR(
  INDEX(
    FILTER(
      IMPORTRANGE(""1Cxrhp3-_-HS7v9uuqQliiIfrmMP4VaFoDNDWyUFy2J8/edit?gid=0#gid=0"",""Sheet1!AE:AE""),
      IMPORTRANGE(""1Cxrhp3-_-HS7v9uuqQliiIfrmMP4VaFoDNDWyUFy2J8/edit?gid=0#gid=0"",""Sheet1!K:K"")=$B173
    ),
    1
  )"&amp;",
  ""Not Found""
)"),1940.0)</f>
        <v>1940</v>
      </c>
      <c r="K173" s="340"/>
      <c r="L173" s="340"/>
      <c r="M173" s="230"/>
      <c r="N173" s="230"/>
      <c r="O173" s="230"/>
      <c r="P173" s="230"/>
      <c r="Q173" s="230"/>
      <c r="R173" s="230"/>
      <c r="S173" s="230"/>
      <c r="T173" s="230"/>
      <c r="U173" s="230"/>
      <c r="V173" s="230"/>
      <c r="W173" s="230"/>
      <c r="X173" s="230"/>
      <c r="Y173" s="230"/>
      <c r="Z173" s="230"/>
    </row>
    <row r="174">
      <c r="A174" s="337" t="str">
        <f>IFERROR(__xludf.DUMMYFUNCTION("VLOOKUP($B174,IMPORTRANGE(""https://docs.google.com/spreadsheets/d/1VNXDITjs75AcgdBSW27oL1VZH31udDprJSsBcE5xlp4/edit?gid=1551188038#gid=1551188038"", ""Sheet9!$B:$E""),2,false)"),"Multan")</f>
        <v>Multan</v>
      </c>
      <c r="B174" s="338" t="s">
        <v>4618</v>
      </c>
      <c r="C174" s="284">
        <f>IFERROR(__xludf.DUMMYFUNCTION("IFERROR(
  INDEX(
    FILTER(
      IMPORTRANGE(""1Cxrhp3-_-HS7v9uuqQliiIfrmMP4VaFoDNDWyUFy2J8/edit?gid=0#gid=0"",""Sheet1!AE:AE""),
      IMPORTRANGE(""1Cxrhp3-_-HS7v9uuqQliiIfrmMP4VaFoDNDWyUFy2J8/edit?gid=0#gid=0"",""Sheet1!K:K"")=$B174
    ),
    1
  )"&amp;",
  ""Not Found""
)"),90.0)</f>
        <v>90</v>
      </c>
      <c r="D174" s="284" t="str">
        <f>IFERROR(__xludf.DUMMYFUNCTION("IFERROR(
  INDEX(
    FILTER(
      IMPORTRANGE(""1Cxrhp3-_-HS7v9uuqQliiIfrmMP4VaFoDNDWyUFy2J8/edit?gid=0#gid=0"",""Sheet1!AG:AG""),
      IMPORTRANGE(""1Cxrhp3-_-HS7v9uuqQliiIfrmMP4VaFoDNDWyUFy2J8/edit?gid=0#gid=0"",""Sheet1!K:K"")=$B174
    ),
    1
  )"&amp;",
  ""Not Found""
)"),"")</f>
        <v/>
      </c>
      <c r="E174" s="284">
        <f>IFERROR(__xludf.DUMMYFUNCTION("IFERROR(
  INDEX(
    FILTER(
      IMPORTRANGE(""1kOrIKZmJfNUkgOVP3sI9BPjaaPA0_a4636oymQxTXg8/edit?gid=609491371#gid=609491371"",""Form responses 1!J:J""),
      IMPORTRANGE(""1kOrIKZmJfNUkgOVP3sI9BPjaaPA0_a4636oymQxTXg8/edit?gid=609491371#gid=609491371"&amp;""",""Form responses 1!F:F"")=$B174
    ),
    1
  ),
  ""Not Found""
)"),90.0)</f>
        <v>90</v>
      </c>
      <c r="F174" s="284" t="str">
        <f>IFERROR(__xludf.DUMMYFUNCTION("IFERROR(
  INDEX(
    FILTER(
      IMPORTRANGE(""1kOrIKZmJfNUkgOVP3sI9BPjaaPA0_a4636oymQxTXg8/edit?gid=609491371#gid=609491371"",""Form responses 1!L:L""),
      IMPORTRANGE(""1kOrIKZmJfNUkgOVP3sI9BPjaaPA0_a4636oymQxTXg8/edit?gid=609491371#gid=609491371"&amp;""",""Form responses 1!F:F"")=$B174
    ),
    1
  ),
  ""Not Found""
)"),"نہیں")</f>
        <v>نہیں</v>
      </c>
      <c r="G174" s="284" t="str">
        <f>IFERROR(__xludf.DUMMYFUNCTION("IFERROR(
  INDEX(
    FILTER(
      IMPORTRANGE(""1kOrIKZmJfNUkgOVP3sI9BPjaaPA0_a4636oymQxTXg8/edit?gid=609491371#gid=609491371"",""Form responses 1!K:K""),
      IMPORTRANGE(""1kOrIKZmJfNUkgOVP3sI9BPjaaPA0_a4636oymQxTXg8/edit?gid=609491371#gid=609491371"&amp;""",""Form responses 1!F:F"")=$B174
    ),
    1
  ),
  ""Not Found""
)"),"No")</f>
        <v>No</v>
      </c>
      <c r="H174" s="230"/>
      <c r="I174" s="343">
        <v>1990.0</v>
      </c>
      <c r="J174" s="344">
        <v>1990.0</v>
      </c>
      <c r="K174" s="340"/>
      <c r="L174" s="340"/>
      <c r="M174" s="230"/>
      <c r="N174" s="230"/>
      <c r="O174" s="230"/>
      <c r="P174" s="230"/>
      <c r="Q174" s="230"/>
      <c r="R174" s="230"/>
      <c r="S174" s="230"/>
      <c r="T174" s="230"/>
      <c r="U174" s="230"/>
      <c r="V174" s="230"/>
      <c r="W174" s="230"/>
      <c r="X174" s="230"/>
      <c r="Y174" s="230"/>
      <c r="Z174" s="230"/>
    </row>
    <row r="175">
      <c r="A175" s="337" t="str">
        <f>IFERROR(__xludf.DUMMYFUNCTION("VLOOKUP($B175,IMPORTRANGE(""https://docs.google.com/spreadsheets/d/1VNXDITjs75AcgdBSW27oL1VZH31udDprJSsBcE5xlp4/edit?gid=1551188038#gid=1551188038"", ""Sheet9!$B:$E""),2,false)"),"Multan")</f>
        <v>Multan</v>
      </c>
      <c r="B175" s="338" t="s">
        <v>4619</v>
      </c>
      <c r="C175" s="284">
        <f>IFERROR(__xludf.DUMMYFUNCTION("IFERROR(
  INDEX(
    FILTER(
      IMPORTRANGE(""1Cxrhp3-_-HS7v9uuqQliiIfrmMP4VaFoDNDWyUFy2J8/edit?gid=0#gid=0"",""Sheet1!AE:AE""),
      IMPORTRANGE(""1Cxrhp3-_-HS7v9uuqQliiIfrmMP4VaFoDNDWyUFy2J8/edit?gid=0#gid=0"",""Sheet1!K:K"")=$B175
    ),
    1
  )"&amp;",
  ""Not Found""
)"),1960.0)</f>
        <v>1960</v>
      </c>
      <c r="D175" s="284" t="str">
        <f>IFERROR(__xludf.DUMMYFUNCTION("IFERROR(
  INDEX(
    FILTER(
      IMPORTRANGE(""1Cxrhp3-_-HS7v9uuqQliiIfrmMP4VaFoDNDWyUFy2J8/edit?gid=0#gid=0"",""Sheet1!AG:AG""),
      IMPORTRANGE(""1Cxrhp3-_-HS7v9uuqQliiIfrmMP4VaFoDNDWyUFy2J8/edit?gid=0#gid=0"",""Sheet1!K:K"")=$B175
    ),
    1
  )"&amp;",
  ""Not Found""
)"),"")</f>
        <v/>
      </c>
      <c r="E175" s="284">
        <f>IFERROR(__xludf.DUMMYFUNCTION("IFERROR(
  INDEX(
    FILTER(
      IMPORTRANGE(""1kOrIKZmJfNUkgOVP3sI9BPjaaPA0_a4636oymQxTXg8/edit?gid=609491371#gid=609491371"",""Form responses 1!J:J""),
      IMPORTRANGE(""1kOrIKZmJfNUkgOVP3sI9BPjaaPA0_a4636oymQxTXg8/edit?gid=609491371#gid=609491371"&amp;""",""Form responses 1!F:F"")=$B175
    ),
    1
  ),
  ""Not Found""
)"),1960.0)</f>
        <v>1960</v>
      </c>
      <c r="F175" s="284" t="str">
        <f>IFERROR(__xludf.DUMMYFUNCTION("IFERROR(
  INDEX(
    FILTER(
      IMPORTRANGE(""1kOrIKZmJfNUkgOVP3sI9BPjaaPA0_a4636oymQxTXg8/edit?gid=609491371#gid=609491371"",""Form responses 1!L:L""),
      IMPORTRANGE(""1kOrIKZmJfNUkgOVP3sI9BPjaaPA0_a4636oymQxTXg8/edit?gid=609491371#gid=609491371"&amp;""",""Form responses 1!F:F"")=$B175
    ),
    1
  ),
  ""Not Found""
)"),"No")</f>
        <v>No</v>
      </c>
      <c r="G175" s="284" t="str">
        <f>IFERROR(__xludf.DUMMYFUNCTION("IFERROR(
  INDEX(
    FILTER(
      IMPORTRANGE(""1kOrIKZmJfNUkgOVP3sI9BPjaaPA0_a4636oymQxTXg8/edit?gid=609491371#gid=609491371"",""Form responses 1!K:K""),
      IMPORTRANGE(""1kOrIKZmJfNUkgOVP3sI9BPjaaPA0_a4636oymQxTXg8/edit?gid=609491371#gid=609491371"&amp;""",""Form responses 1!F:F"")=$B175
    ),
    1
  ),
  ""Not Found""
)"),"No")</f>
        <v>No</v>
      </c>
      <c r="H175" s="230"/>
      <c r="I175" s="230">
        <v>1960.0</v>
      </c>
      <c r="J175" s="339">
        <f>IFERROR(__xludf.DUMMYFUNCTION("IFERROR(
  INDEX(
    FILTER(
      IMPORTRANGE(""1Cxrhp3-_-HS7v9uuqQliiIfrmMP4VaFoDNDWyUFy2J8/edit?gid=0#gid=0"",""Sheet1!AE:AE""),
      IMPORTRANGE(""1Cxrhp3-_-HS7v9uuqQliiIfrmMP4VaFoDNDWyUFy2J8/edit?gid=0#gid=0"",""Sheet1!K:K"")=$B175
    ),
    1
  )"&amp;",
  ""Not Found""
)"),1960.0)</f>
        <v>1960</v>
      </c>
      <c r="K175" s="340"/>
      <c r="L175" s="340"/>
      <c r="M175" s="230"/>
      <c r="N175" s="230"/>
      <c r="O175" s="230"/>
      <c r="P175" s="230"/>
      <c r="Q175" s="230"/>
      <c r="R175" s="230"/>
      <c r="S175" s="230"/>
      <c r="T175" s="230"/>
      <c r="U175" s="230"/>
      <c r="V175" s="230"/>
      <c r="W175" s="230"/>
      <c r="X175" s="230"/>
      <c r="Y175" s="230"/>
      <c r="Z175" s="230"/>
    </row>
    <row r="176">
      <c r="A176" s="337" t="str">
        <f>IFERROR(__xludf.DUMMYFUNCTION("VLOOKUP($B176,IMPORTRANGE(""https://docs.google.com/spreadsheets/d/1VNXDITjs75AcgdBSW27oL1VZH31udDprJSsBcE5xlp4/edit?gid=1551188038#gid=1551188038"", ""Sheet9!$B:$E""),2,false)"),"Multan")</f>
        <v>Multan</v>
      </c>
      <c r="B176" s="338" t="s">
        <v>4620</v>
      </c>
      <c r="C176" s="284">
        <f>IFERROR(__xludf.DUMMYFUNCTION("IFERROR(
  INDEX(
    FILTER(
      IMPORTRANGE(""1Cxrhp3-_-HS7v9uuqQliiIfrmMP4VaFoDNDWyUFy2J8/edit?gid=0#gid=0"",""Sheet1!AE:AE""),
      IMPORTRANGE(""1Cxrhp3-_-HS7v9uuqQliiIfrmMP4VaFoDNDWyUFy2J8/edit?gid=0#gid=0"",""Sheet1!K:K"")=$B176
    ),
    1
  )"&amp;",
  ""Not Found""
)"),1300.0)</f>
        <v>1300</v>
      </c>
      <c r="D176" s="284" t="str">
        <f>IFERROR(__xludf.DUMMYFUNCTION("IFERROR(
  INDEX(
    FILTER(
      IMPORTRANGE(""1Cxrhp3-_-HS7v9uuqQliiIfrmMP4VaFoDNDWyUFy2J8/edit?gid=0#gid=0"",""Sheet1!AG:AG""),
      IMPORTRANGE(""1Cxrhp3-_-HS7v9uuqQliiIfrmMP4VaFoDNDWyUFy2J8/edit?gid=0#gid=0"",""Sheet1!K:K"")=$B176
    ),
    1
  )"&amp;",
  ""Not Found""
)"),"Hazrat shah rukan e alam")</f>
        <v>Hazrat shah rukan e alam</v>
      </c>
      <c r="E176" s="284">
        <f>IFERROR(__xludf.DUMMYFUNCTION("IFERROR(
  INDEX(
    FILTER(
      IMPORTRANGE(""1kOrIKZmJfNUkgOVP3sI9BPjaaPA0_a4636oymQxTXg8/edit?gid=609491371#gid=609491371"",""Form responses 1!J:J""),
      IMPORTRANGE(""1kOrIKZmJfNUkgOVP3sI9BPjaaPA0_a4636oymQxTXg8/edit?gid=609491371#gid=609491371"&amp;""",""Form responses 1!F:F"")=$B176
    ),
    1
  ),
  ""Not Found""
)"),1300.0)</f>
        <v>1300</v>
      </c>
      <c r="F176" s="284" t="str">
        <f>IFERROR(__xludf.DUMMYFUNCTION("IFERROR(
  INDEX(
    FILTER(
      IMPORTRANGE(""1kOrIKZmJfNUkgOVP3sI9BPjaaPA0_a4636oymQxTXg8/edit?gid=609491371#gid=609491371"",""Form responses 1!L:L""),
      IMPORTRANGE(""1kOrIKZmJfNUkgOVP3sI9BPjaaPA0_a4636oymQxTXg8/edit?gid=609491371#gid=609491371"&amp;""",""Form responses 1!F:F"")=$B176
    ),
    1
  ),
  ""Not Found""
)"),"Hazrat shah rulan e alam")</f>
        <v>Hazrat shah rulan e alam</v>
      </c>
      <c r="G176" s="284" t="str">
        <f>IFERROR(__xludf.DUMMYFUNCTION("IFERROR(
  INDEX(
    FILTER(
      IMPORTRANGE(""1kOrIKZmJfNUkgOVP3sI9BPjaaPA0_a4636oymQxTXg8/edit?gid=609491371#gid=609491371"",""Form responses 1!K:K""),
      IMPORTRANGE(""1kOrIKZmJfNUkgOVP3sI9BPjaaPA0_a4636oymQxTXg8/edit?gid=609491371#gid=609491371"&amp;""",""Form responses 1!F:F"")=$B176
    ),
    1
  ),
  ""Not Found""
)"),"No")</f>
        <v>No</v>
      </c>
      <c r="H176" s="230"/>
      <c r="I176" s="230">
        <v>1300.0</v>
      </c>
      <c r="J176" s="339">
        <f>IFERROR(__xludf.DUMMYFUNCTION("IFERROR(
  INDEX(
    FILTER(
      IMPORTRANGE(""1Cxrhp3-_-HS7v9uuqQliiIfrmMP4VaFoDNDWyUFy2J8/edit?gid=0#gid=0"",""Sheet1!AE:AE""),
      IMPORTRANGE(""1Cxrhp3-_-HS7v9uuqQliiIfrmMP4VaFoDNDWyUFy2J8/edit?gid=0#gid=0"",""Sheet1!K:K"")=$B176
    ),
    1
  )"&amp;",
  ""Not Found""
)"),1300.0)</f>
        <v>1300</v>
      </c>
      <c r="K176" s="340"/>
      <c r="L176" s="340"/>
      <c r="M176" s="230"/>
      <c r="N176" s="230"/>
      <c r="O176" s="230"/>
      <c r="P176" s="230"/>
      <c r="Q176" s="230"/>
      <c r="R176" s="230"/>
      <c r="S176" s="230"/>
      <c r="T176" s="230"/>
      <c r="U176" s="230"/>
      <c r="V176" s="230"/>
      <c r="W176" s="230"/>
      <c r="X176" s="230"/>
      <c r="Y176" s="230"/>
      <c r="Z176" s="230"/>
    </row>
    <row r="177">
      <c r="A177" s="337" t="str">
        <f>IFERROR(__xludf.DUMMYFUNCTION("VLOOKUP($B177,IMPORTRANGE(""https://docs.google.com/spreadsheets/d/1VNXDITjs75AcgdBSW27oL1VZH31udDprJSsBcE5xlp4/edit?gid=1551188038#gid=1551188038"", ""Sheet9!$B:$E""),2,false)"),"Multan")</f>
        <v>Multan</v>
      </c>
      <c r="B177" s="338" t="s">
        <v>4621</v>
      </c>
      <c r="C177" s="284">
        <f>IFERROR(__xludf.DUMMYFUNCTION("IFERROR(
  INDEX(
    FILTER(
      IMPORTRANGE(""1Cxrhp3-_-HS7v9uuqQliiIfrmMP4VaFoDNDWyUFy2J8/edit?gid=0#gid=0"",""Sheet1!AE:AE""),
      IMPORTRANGE(""1Cxrhp3-_-HS7v9uuqQliiIfrmMP4VaFoDNDWyUFy2J8/edit?gid=0#gid=0"",""Sheet1!K:K"")=$B177
    ),
    1
  )"&amp;",
  ""Not Found""
)"),2004.0)</f>
        <v>2004</v>
      </c>
      <c r="D177" s="284" t="str">
        <f>IFERROR(__xludf.DUMMYFUNCTION("IFERROR(
  INDEX(
    FILTER(
      IMPORTRANGE(""1Cxrhp3-_-HS7v9uuqQliiIfrmMP4VaFoDNDWyUFy2J8/edit?gid=0#gid=0"",""Sheet1!AG:AG""),
      IMPORTRANGE(""1Cxrhp3-_-HS7v9uuqQliiIfrmMP4VaFoDNDWyUFy2J8/edit?gid=0#gid=0"",""Sheet1!K:K"")=$B177
    ),
    1
  )"&amp;",
  ""Not Found""
)"),"")</f>
        <v/>
      </c>
      <c r="E177" s="284" t="str">
        <f>IFERROR(__xludf.DUMMYFUNCTION("IFERROR(
  INDEX(
    FILTER(
      IMPORTRANGE(""1kOrIKZmJfNUkgOVP3sI9BPjaaPA0_a4636oymQxTXg8/edit?gid=609491371#gid=609491371"",""Form responses 1!J:J""),
      IMPORTRANGE(""1kOrIKZmJfNUkgOVP3sI9BPjaaPA0_a4636oymQxTXg8/edit?gid=609491371#gid=609491371"&amp;""",""Form responses 1!F:F"")=$B177
    ),
    1
  ),
  ""Not Found""
)"),"27 march 2004")</f>
        <v>27 march 2004</v>
      </c>
      <c r="F177" s="284" t="str">
        <f>IFERROR(__xludf.DUMMYFUNCTION("IFERROR(
  INDEX(
    FILTER(
      IMPORTRANGE(""1kOrIKZmJfNUkgOVP3sI9BPjaaPA0_a4636oymQxTXg8/edit?gid=609491371#gid=609491371"",""Form responses 1!L:L""),
      IMPORTRANGE(""1kOrIKZmJfNUkgOVP3sI9BPjaaPA0_a4636oymQxTXg8/edit?gid=609491371#gid=609491371"&amp;""",""Form responses 1!F:F"")=$B177
    ),
    1
  ),
  ""Not Found""
)"),"no")</f>
        <v>no</v>
      </c>
      <c r="G177" s="284" t="str">
        <f>IFERROR(__xludf.DUMMYFUNCTION("IFERROR(
  INDEX(
    FILTER(
      IMPORTRANGE(""1kOrIKZmJfNUkgOVP3sI9BPjaaPA0_a4636oymQxTXg8/edit?gid=609491371#gid=609491371"",""Form responses 1!K:K""),
      IMPORTRANGE(""1kOrIKZmJfNUkgOVP3sI9BPjaaPA0_a4636oymQxTXg8/edit?gid=609491371#gid=609491371"&amp;""",""Form responses 1!F:F"")=$B177
    ),
    1
  ),
  ""Not Found""
)"),"No")</f>
        <v>No</v>
      </c>
      <c r="H177" s="230"/>
      <c r="I177" s="230">
        <v>2004.0</v>
      </c>
      <c r="J177" s="339">
        <f>IFERROR(__xludf.DUMMYFUNCTION("IFERROR(
  INDEX(
    FILTER(
      IMPORTRANGE(""1Cxrhp3-_-HS7v9uuqQliiIfrmMP4VaFoDNDWyUFy2J8/edit?gid=0#gid=0"",""Sheet1!AE:AE""),
      IMPORTRANGE(""1Cxrhp3-_-HS7v9uuqQliiIfrmMP4VaFoDNDWyUFy2J8/edit?gid=0#gid=0"",""Sheet1!K:K"")=$B177
    ),
    1
  )"&amp;",
  ""Not Found""
)"),2004.0)</f>
        <v>2004</v>
      </c>
      <c r="K177" s="340"/>
      <c r="L177" s="340"/>
      <c r="M177" s="230"/>
      <c r="N177" s="230"/>
      <c r="O177" s="230"/>
      <c r="P177" s="230"/>
      <c r="Q177" s="230"/>
      <c r="R177" s="230"/>
      <c r="S177" s="230"/>
      <c r="T177" s="230"/>
      <c r="U177" s="230"/>
      <c r="V177" s="230"/>
      <c r="W177" s="230"/>
      <c r="X177" s="230"/>
      <c r="Y177" s="230"/>
      <c r="Z177" s="230"/>
    </row>
    <row r="178">
      <c r="A178" s="337" t="str">
        <f>IFERROR(__xludf.DUMMYFUNCTION("VLOOKUP($B178,IMPORTRANGE(""https://docs.google.com/spreadsheets/d/1VNXDITjs75AcgdBSW27oL1VZH31udDprJSsBcE5xlp4/edit?gid=1551188038#gid=1551188038"", ""Sheet9!$B:$E""),2,false)"),"Multan")</f>
        <v>Multan</v>
      </c>
      <c r="B178" s="338" t="s">
        <v>4868</v>
      </c>
      <c r="C178" s="284">
        <f>IFERROR(__xludf.DUMMYFUNCTION("IFERROR(
  INDEX(
    FILTER(
      IMPORTRANGE(""1Cxrhp3-_-HS7v9uuqQliiIfrmMP4VaFoDNDWyUFy2J8/edit?gid=0#gid=0"",""Sheet1!AE:AE""),
      IMPORTRANGE(""1Cxrhp3-_-HS7v9uuqQliiIfrmMP4VaFoDNDWyUFy2J8/edit?gid=0#gid=0"",""Sheet1!K:K"")=$B178
    ),
    1
  )"&amp;",
  ""Not Found""
)"),1980.0)</f>
        <v>1980</v>
      </c>
      <c r="D178" s="284" t="str">
        <f>IFERROR(__xludf.DUMMYFUNCTION("IFERROR(
  INDEX(
    FILTER(
      IMPORTRANGE(""1Cxrhp3-_-HS7v9uuqQliiIfrmMP4VaFoDNDWyUFy2J8/edit?gid=0#gid=0"",""Sheet1!AG:AG""),
      IMPORTRANGE(""1Cxrhp3-_-HS7v9uuqQliiIfrmMP4VaFoDNDWyUFy2J8/edit?gid=0#gid=0"",""Sheet1!K:K"")=$B178
    ),
    1
  )"&amp;",
  ""Not Found""
)"),"")</f>
        <v/>
      </c>
      <c r="E178" s="284">
        <f>IFERROR(__xludf.DUMMYFUNCTION("IFERROR(
  INDEX(
    FILTER(
      IMPORTRANGE(""1kOrIKZmJfNUkgOVP3sI9BPjaaPA0_a4636oymQxTXg8/edit?gid=609491371#gid=609491371"",""Form responses 1!J:J""),
      IMPORTRANGE(""1kOrIKZmJfNUkgOVP3sI9BPjaaPA0_a4636oymQxTXg8/edit?gid=609491371#gid=609491371"&amp;""",""Form responses 1!F:F"")=$B178
    ),
    1
  ),
  ""Not Found""
)"),1940.0)</f>
        <v>1940</v>
      </c>
      <c r="F178" s="284" t="str">
        <f>IFERROR(__xludf.DUMMYFUNCTION("IFERROR(
  INDEX(
    FILTER(
      IMPORTRANGE(""1kOrIKZmJfNUkgOVP3sI9BPjaaPA0_a4636oymQxTXg8/edit?gid=609491371#gid=609491371"",""Form responses 1!L:L""),
      IMPORTRANGE(""1kOrIKZmJfNUkgOVP3sI9BPjaaPA0_a4636oymQxTXg8/edit?gid=609491371#gid=609491371"&amp;""",""Form responses 1!F:F"")=$B178
    ),
    1
  ),
  ""Not Found""
)"),"No")</f>
        <v>No</v>
      </c>
      <c r="G178" s="284" t="str">
        <f>IFERROR(__xludf.DUMMYFUNCTION("IFERROR(
  INDEX(
    FILTER(
      IMPORTRANGE(""1kOrIKZmJfNUkgOVP3sI9BPjaaPA0_a4636oymQxTXg8/edit?gid=609491371#gid=609491371"",""Form responses 1!K:K""),
      IMPORTRANGE(""1kOrIKZmJfNUkgOVP3sI9BPjaaPA0_a4636oymQxTXg8/edit?gid=609491371#gid=609491371"&amp;""",""Form responses 1!F:F"")=$B178
    ),
    1
  ),
  ""Not Found""
)"),"No")</f>
        <v>No</v>
      </c>
      <c r="H178" s="230"/>
      <c r="I178" s="343">
        <v>1940.0</v>
      </c>
      <c r="J178" s="344">
        <v>1940.0</v>
      </c>
      <c r="K178" s="340"/>
      <c r="L178" s="340"/>
      <c r="M178" s="230"/>
      <c r="N178" s="230"/>
      <c r="O178" s="230"/>
      <c r="P178" s="230"/>
      <c r="Q178" s="230"/>
      <c r="R178" s="230"/>
      <c r="S178" s="230"/>
      <c r="T178" s="230"/>
      <c r="U178" s="230"/>
      <c r="V178" s="230"/>
      <c r="W178" s="230"/>
      <c r="X178" s="230"/>
      <c r="Y178" s="230"/>
      <c r="Z178" s="230"/>
    </row>
    <row r="179">
      <c r="A179" s="337" t="str">
        <f>IFERROR(__xludf.DUMMYFUNCTION("VLOOKUP($B179,IMPORTRANGE(""https://docs.google.com/spreadsheets/d/1VNXDITjs75AcgdBSW27oL1VZH31udDprJSsBcE5xlp4/edit?gid=1551188038#gid=1551188038"", ""Sheet9!$B:$E""),2,false)"),"Khanewal")</f>
        <v>Khanewal</v>
      </c>
      <c r="B179" s="338" t="s">
        <v>4622</v>
      </c>
      <c r="C179" s="284">
        <f>IFERROR(__xludf.DUMMYFUNCTION("IFERROR(
  INDEX(
    FILTER(
      IMPORTRANGE(""1Cxrhp3-_-HS7v9uuqQliiIfrmMP4VaFoDNDWyUFy2J8/edit?gid=0#gid=0"",""Sheet1!AE:AE""),
      IMPORTRANGE(""1Cxrhp3-_-HS7v9uuqQliiIfrmMP4VaFoDNDWyUFy2J8/edit?gid=0#gid=0"",""Sheet1!K:K"")=$B179
    ),
    1
  )"&amp;",
  ""Not Found""
)"),1900.0)</f>
        <v>1900</v>
      </c>
      <c r="D179" s="284" t="str">
        <f>IFERROR(__xludf.DUMMYFUNCTION("IFERROR(
  INDEX(
    FILTER(
      IMPORTRANGE(""1Cxrhp3-_-HS7v9uuqQliiIfrmMP4VaFoDNDWyUFy2J8/edit?gid=0#gid=0"",""Sheet1!AG:AG""),
      IMPORTRANGE(""1Cxrhp3-_-HS7v9uuqQliiIfrmMP4VaFoDNDWyUFy2J8/edit?gid=0#gid=0"",""Sheet1!K:K"")=$B179
    ),
    1
  )"&amp;",
  ""Not Found""
)"),"hazrat shah Habib Allah shah Bagdadi")</f>
        <v>hazrat shah Habib Allah shah Bagdadi</v>
      </c>
      <c r="E179" s="284">
        <f>IFERROR(__xludf.DUMMYFUNCTION("IFERROR(
  INDEX(
    FILTER(
      IMPORTRANGE(""1kOrIKZmJfNUkgOVP3sI9BPjaaPA0_a4636oymQxTXg8/edit?gid=609491371#gid=609491371"",""Form responses 1!J:J""),
      IMPORTRANGE(""1kOrIKZmJfNUkgOVP3sI9BPjaaPA0_a4636oymQxTXg8/edit?gid=609491371#gid=609491371"&amp;""",""Form responses 1!F:F"")=$B179
    ),
    1
  ),
  ""Not Found""
)"),1900.0)</f>
        <v>1900</v>
      </c>
      <c r="F179" s="284" t="str">
        <f>IFERROR(__xludf.DUMMYFUNCTION("IFERROR(
  INDEX(
    FILTER(
      IMPORTRANGE(""1kOrIKZmJfNUkgOVP3sI9BPjaaPA0_a4636oymQxTXg8/edit?gid=609491371#gid=609491371"",""Form responses 1!L:L""),
      IMPORTRANGE(""1kOrIKZmJfNUkgOVP3sI9BPjaaPA0_a4636oymQxTXg8/edit?gid=609491371#gid=609491371"&amp;""",""Form responses 1!F:F"")=$B179
    ),
    1
  ),
  ""Not Found""
)"),"Hazrat Shah Habib Allah Shah Baghdadi ")</f>
        <v>Hazrat Shah Habib Allah Shah Baghdadi </v>
      </c>
      <c r="G179" s="284" t="str">
        <f>IFERROR(__xludf.DUMMYFUNCTION("IFERROR(
  INDEX(
    FILTER(
      IMPORTRANGE(""1kOrIKZmJfNUkgOVP3sI9BPjaaPA0_a4636oymQxTXg8/edit?gid=609491371#gid=609491371"",""Form responses 1!K:K""),
      IMPORTRANGE(""1kOrIKZmJfNUkgOVP3sI9BPjaaPA0_a4636oymQxTXg8/edit?gid=609491371#gid=609491371"&amp;""",""Form responses 1!F:F"")=$B179
    ),
    1
  ),
  ""Not Found""
)"),"No")</f>
        <v>No</v>
      </c>
      <c r="H179" s="230"/>
      <c r="I179" s="230">
        <v>1900.0</v>
      </c>
      <c r="J179" s="339">
        <f>IFERROR(__xludf.DUMMYFUNCTION("IFERROR(
  INDEX(
    FILTER(
      IMPORTRANGE(""1Cxrhp3-_-HS7v9uuqQliiIfrmMP4VaFoDNDWyUFy2J8/edit?gid=0#gid=0"",""Sheet1!AE:AE""),
      IMPORTRANGE(""1Cxrhp3-_-HS7v9uuqQliiIfrmMP4VaFoDNDWyUFy2J8/edit?gid=0#gid=0"",""Sheet1!K:K"")=$B179
    ),
    1
  )"&amp;",
  ""Not Found""
)"),1900.0)</f>
        <v>1900</v>
      </c>
      <c r="K179" s="340"/>
      <c r="L179" s="340"/>
      <c r="M179" s="230"/>
      <c r="N179" s="230"/>
      <c r="O179" s="230"/>
      <c r="P179" s="230"/>
      <c r="Q179" s="230"/>
      <c r="R179" s="230"/>
      <c r="S179" s="230"/>
      <c r="T179" s="230"/>
      <c r="U179" s="230"/>
      <c r="V179" s="230"/>
      <c r="W179" s="230"/>
      <c r="X179" s="230"/>
      <c r="Y179" s="230"/>
      <c r="Z179" s="230"/>
    </row>
    <row r="180">
      <c r="A180" s="337" t="str">
        <f>IFERROR(__xludf.DUMMYFUNCTION("VLOOKUP($B180,IMPORTRANGE(""https://docs.google.com/spreadsheets/d/1VNXDITjs75AcgdBSW27oL1VZH31udDprJSsBcE5xlp4/edit?gid=1551188038#gid=1551188038"", ""Sheet9!$B:$E""),2,false)"),"Khanewal")</f>
        <v>Khanewal</v>
      </c>
      <c r="B180" s="338" t="s">
        <v>4623</v>
      </c>
      <c r="C180" s="284">
        <f>IFERROR(__xludf.DUMMYFUNCTION("IFERROR(
  INDEX(
    FILTER(
      IMPORTRANGE(""1Cxrhp3-_-HS7v9uuqQliiIfrmMP4VaFoDNDWyUFy2J8/edit?gid=0#gid=0"",""Sheet1!AE:AE""),
      IMPORTRANGE(""1Cxrhp3-_-HS7v9uuqQliiIfrmMP4VaFoDNDWyUFy2J8/edit?gid=0#gid=0"",""Sheet1!K:K"")=$B180
    ),
    1
  )"&amp;",
  ""Not Found""
)"),1952.0)</f>
        <v>1952</v>
      </c>
      <c r="D180" s="284" t="str">
        <f>IFERROR(__xludf.DUMMYFUNCTION("IFERROR(
  INDEX(
    FILTER(
      IMPORTRANGE(""1Cxrhp3-_-HS7v9uuqQliiIfrmMP4VaFoDNDWyUFy2J8/edit?gid=0#gid=0"",""Sheet1!AG:AG""),
      IMPORTRANGE(""1Cxrhp3-_-HS7v9uuqQliiIfrmMP4VaFoDNDWyUFy2J8/edit?gid=0#gid=0"",""Sheet1!K:K"")=$B180
    ),
    1
  )"&amp;",
  ""Not Found""
)"),"")</f>
        <v/>
      </c>
      <c r="E180" s="284">
        <f>IFERROR(__xludf.DUMMYFUNCTION("IFERROR(
  INDEX(
    FILTER(
      IMPORTRANGE(""1kOrIKZmJfNUkgOVP3sI9BPjaaPA0_a4636oymQxTXg8/edit?gid=609491371#gid=609491371"",""Form responses 1!J:J""),
      IMPORTRANGE(""1kOrIKZmJfNUkgOVP3sI9BPjaaPA0_a4636oymQxTXg8/edit?gid=609491371#gid=609491371"&amp;""",""Form responses 1!F:F"")=$B180
    ),
    1
  ),
  ""Not Found""
)"),1925.0)</f>
        <v>1925</v>
      </c>
      <c r="F180" s="284">
        <f>IFERROR(__xludf.DUMMYFUNCTION("IFERROR(
  INDEX(
    FILTER(
      IMPORTRANGE(""1kOrIKZmJfNUkgOVP3sI9BPjaaPA0_a4636oymQxTXg8/edit?gid=609491371#gid=609491371"",""Form responses 1!L:L""),
      IMPORTRANGE(""1kOrIKZmJfNUkgOVP3sI9BPjaaPA0_a4636oymQxTXg8/edit?gid=609491371#gid=609491371"&amp;""",""Form responses 1!F:F"")=$B180
    ),
    1
  ),
  ""Not Found""
)"),0.0)</f>
        <v>0</v>
      </c>
      <c r="G180" s="284" t="str">
        <f>IFERROR(__xludf.DUMMYFUNCTION("IFERROR(
  INDEX(
    FILTER(
      IMPORTRANGE(""1kOrIKZmJfNUkgOVP3sI9BPjaaPA0_a4636oymQxTXg8/edit?gid=609491371#gid=609491371"",""Form responses 1!K:K""),
      IMPORTRANGE(""1kOrIKZmJfNUkgOVP3sI9BPjaaPA0_a4636oymQxTXg8/edit?gid=609491371#gid=609491371"&amp;""",""Form responses 1!F:F"")=$B180
    ),
    1
  ),
  ""Not Found""
)"),"Yes")</f>
        <v>Yes</v>
      </c>
      <c r="H180" s="230"/>
      <c r="I180" s="343">
        <v>1925.0</v>
      </c>
      <c r="J180" s="344">
        <v>1925.0</v>
      </c>
      <c r="K180" s="340"/>
      <c r="L180" s="340"/>
      <c r="M180" s="230"/>
      <c r="N180" s="230"/>
      <c r="O180" s="230"/>
      <c r="P180" s="230"/>
      <c r="Q180" s="230"/>
      <c r="R180" s="230"/>
      <c r="S180" s="230"/>
      <c r="T180" s="230"/>
      <c r="U180" s="230"/>
      <c r="V180" s="230"/>
      <c r="W180" s="230"/>
      <c r="X180" s="230"/>
      <c r="Y180" s="230"/>
      <c r="Z180" s="230"/>
    </row>
    <row r="181">
      <c r="A181" s="337" t="str">
        <f>IFERROR(__xludf.DUMMYFUNCTION("VLOOKUP($B181,IMPORTRANGE(""https://docs.google.com/spreadsheets/d/1VNXDITjs75AcgdBSW27oL1VZH31udDprJSsBcE5xlp4/edit?gid=1551188038#gid=1551188038"", ""Sheet9!$B:$E""),2,false)"),"Khanewal")</f>
        <v>Khanewal</v>
      </c>
      <c r="B181" s="338" t="s">
        <v>4624</v>
      </c>
      <c r="C181" s="284" t="str">
        <f>IFERROR(__xludf.DUMMYFUNCTION("IFERROR(
  INDEX(
    FILTER(
      IMPORTRANGE(""1Cxrhp3-_-HS7v9uuqQliiIfrmMP4VaFoDNDWyUFy2J8/edit?gid=0#gid=0"",""Sheet1!AE:AE""),
      IMPORTRANGE(""1Cxrhp3-_-HS7v9uuqQliiIfrmMP4VaFoDNDWyUFy2J8/edit?gid=0#gid=0"",""Sheet1!K:K"")=$B181
    ),
    1
  )"&amp;",
  ""Not Found""
)"),"Not Found")</f>
        <v>Not Found</v>
      </c>
      <c r="D181" s="284"/>
      <c r="E181" s="284">
        <f>IFERROR(__xludf.DUMMYFUNCTION("IFERROR(
  INDEX(
    FILTER(
      IMPORTRANGE(""1kOrIKZmJfNUkgOVP3sI9BPjaaPA0_a4636oymQxTXg8/edit?gid=609491371#gid=609491371"",""Form responses 1!J:J""),
      IMPORTRANGE(""1kOrIKZmJfNUkgOVP3sI9BPjaaPA0_a4636oymQxTXg8/edit?gid=609491371#gid=609491371"&amp;""",""Form responses 1!F:F"")=$B181
    ),
    1
  ),
  ""Not Found""
)"),1963.0)</f>
        <v>1963</v>
      </c>
      <c r="F181" s="284" t="str">
        <f>IFERROR(__xludf.DUMMYFUNCTION("IFERROR(
  INDEX(
    FILTER(
      IMPORTRANGE(""1kOrIKZmJfNUkgOVP3sI9BPjaaPA0_a4636oymQxTXg8/edit?gid=609491371#gid=609491371"",""Form responses 1!L:L""),
      IMPORTRANGE(""1kOrIKZmJfNUkgOVP3sI9BPjaaPA0_a4636oymQxTXg8/edit?gid=609491371#gid=609491371"&amp;""",""Form responses 1!F:F"")=$B181
    ),
    1
  ),
  ""Not Found""
)"),"No")</f>
        <v>No</v>
      </c>
      <c r="G181" s="284" t="str">
        <f>IFERROR(__xludf.DUMMYFUNCTION("IFERROR(
  INDEX(
    FILTER(
      IMPORTRANGE(""1kOrIKZmJfNUkgOVP3sI9BPjaaPA0_a4636oymQxTXg8/edit?gid=609491371#gid=609491371"",""Form responses 1!K:K""),
      IMPORTRANGE(""1kOrIKZmJfNUkgOVP3sI9BPjaaPA0_a4636oymQxTXg8/edit?gid=609491371#gid=609491371"&amp;""",""Form responses 1!F:F"")=$B181
    ),
    1
  ),
  ""Not Found""
)"),"No")</f>
        <v>No</v>
      </c>
      <c r="H181" s="230"/>
      <c r="I181" s="343">
        <v>1963.0</v>
      </c>
      <c r="J181" s="344">
        <v>1963.0</v>
      </c>
      <c r="K181" s="340"/>
      <c r="L181" s="340"/>
      <c r="M181" s="230"/>
      <c r="N181" s="230"/>
      <c r="O181" s="230"/>
      <c r="P181" s="230"/>
      <c r="Q181" s="230"/>
      <c r="R181" s="230"/>
      <c r="S181" s="230"/>
      <c r="T181" s="230"/>
      <c r="U181" s="230"/>
      <c r="V181" s="230"/>
      <c r="W181" s="230"/>
      <c r="X181" s="230"/>
      <c r="Y181" s="230"/>
      <c r="Z181" s="230"/>
    </row>
    <row r="182">
      <c r="A182" s="337" t="str">
        <f>IFERROR(__xludf.DUMMYFUNCTION("VLOOKUP($B182,IMPORTRANGE(""https://docs.google.com/spreadsheets/d/1VNXDITjs75AcgdBSW27oL1VZH31udDprJSsBcE5xlp4/edit?gid=1551188038#gid=1551188038"", ""Sheet9!$B:$E""),2,false)"),"Khanewal")</f>
        <v>Khanewal</v>
      </c>
      <c r="B182" s="338" t="s">
        <v>4625</v>
      </c>
      <c r="C182" s="284">
        <f>IFERROR(__xludf.DUMMYFUNCTION("IFERROR(
  INDEX(
    FILTER(
      IMPORTRANGE(""1Cxrhp3-_-HS7v9uuqQliiIfrmMP4VaFoDNDWyUFy2J8/edit?gid=0#gid=0"",""Sheet1!AE:AE""),
      IMPORTRANGE(""1Cxrhp3-_-HS7v9uuqQliiIfrmMP4VaFoDNDWyUFy2J8/edit?gid=0#gid=0"",""Sheet1!K:K"")=$B182
    ),
    1
  )"&amp;",
  ""Not Found""
)"),1908.0)</f>
        <v>1908</v>
      </c>
      <c r="D182" s="284" t="str">
        <f>IFERROR(__xludf.DUMMYFUNCTION("IFERROR(
  INDEX(
    FILTER(
      IMPORTRANGE(""1Cxrhp3-_-HS7v9uuqQliiIfrmMP4VaFoDNDWyUFy2J8/edit?gid=0#gid=0"",""Sheet1!AG:AG""),
      IMPORTRANGE(""1Cxrhp3-_-HS7v9uuqQliiIfrmMP4VaFoDNDWyUFy2J8/edit?gid=0#gid=0"",""Sheet1!K:K"")=$B182
    ),
    1
  )"&amp;",
  ""Not Found""
)"),"")</f>
        <v/>
      </c>
      <c r="E182" s="284">
        <f>IFERROR(__xludf.DUMMYFUNCTION("IFERROR(
  INDEX(
    FILTER(
      IMPORTRANGE(""1kOrIKZmJfNUkgOVP3sI9BPjaaPA0_a4636oymQxTXg8/edit?gid=609491371#gid=609491371"",""Form responses 1!J:J""),
      IMPORTRANGE(""1kOrIKZmJfNUkgOVP3sI9BPjaaPA0_a4636oymQxTXg8/edit?gid=609491371#gid=609491371"&amp;""",""Form responses 1!F:F"")=$B182
    ),
    1
  ),
  ""Not Found""
)"),1951.0)</f>
        <v>1951</v>
      </c>
      <c r="F182" s="284" t="str">
        <f>IFERROR(__xludf.DUMMYFUNCTION("IFERROR(
  INDEX(
    FILTER(
      IMPORTRANGE(""1kOrIKZmJfNUkgOVP3sI9BPjaaPA0_a4636oymQxTXg8/edit?gid=609491371#gid=609491371"",""Form responses 1!L:L""),
      IMPORTRANGE(""1kOrIKZmJfNUkgOVP3sI9BPjaaPA0_a4636oymQxTXg8/edit?gid=609491371#gid=609491371"&amp;""",""Form responses 1!F:F"")=$B182
    ),
    1
  ),
  ""Not Found""
)"),"No")</f>
        <v>No</v>
      </c>
      <c r="G182" s="284" t="str">
        <f>IFERROR(__xludf.DUMMYFUNCTION("IFERROR(
  INDEX(
    FILTER(
      IMPORTRANGE(""1kOrIKZmJfNUkgOVP3sI9BPjaaPA0_a4636oymQxTXg8/edit?gid=609491371#gid=609491371"",""Form responses 1!K:K""),
      IMPORTRANGE(""1kOrIKZmJfNUkgOVP3sI9BPjaaPA0_a4636oymQxTXg8/edit?gid=609491371#gid=609491371"&amp;""",""Form responses 1!F:F"")=$B182
    ),
    1
  ),
  ""Not Found""
)"),"No")</f>
        <v>No</v>
      </c>
      <c r="H182" s="230"/>
      <c r="I182" s="230">
        <v>1908.0</v>
      </c>
      <c r="J182" s="339">
        <f>IFERROR(__xludf.DUMMYFUNCTION("IFERROR(
  INDEX(
    FILTER(
      IMPORTRANGE(""1Cxrhp3-_-HS7v9uuqQliiIfrmMP4VaFoDNDWyUFy2J8/edit?gid=0#gid=0"",""Sheet1!AE:AE""),
      IMPORTRANGE(""1Cxrhp3-_-HS7v9uuqQliiIfrmMP4VaFoDNDWyUFy2J8/edit?gid=0#gid=0"",""Sheet1!K:K"")=$B182
    ),
    1
  )"&amp;",
  ""Not Found""
)"),1908.0)</f>
        <v>1908</v>
      </c>
      <c r="K182" s="340"/>
      <c r="L182" s="340"/>
      <c r="M182" s="230"/>
      <c r="N182" s="230"/>
      <c r="O182" s="230"/>
      <c r="P182" s="230"/>
      <c r="Q182" s="230"/>
      <c r="R182" s="230"/>
      <c r="S182" s="230"/>
      <c r="T182" s="230"/>
      <c r="U182" s="230"/>
      <c r="V182" s="230"/>
      <c r="W182" s="230"/>
      <c r="X182" s="230"/>
      <c r="Y182" s="230"/>
      <c r="Z182" s="230"/>
    </row>
    <row r="183">
      <c r="A183" s="337" t="str">
        <f>IFERROR(__xludf.DUMMYFUNCTION("VLOOKUP($B183,IMPORTRANGE(""https://docs.google.com/spreadsheets/d/1VNXDITjs75AcgdBSW27oL1VZH31udDprJSsBcE5xlp4/edit?gid=1551188038#gid=1551188038"", ""Sheet9!$B:$E""),2,false)"),"Khanewal")</f>
        <v>Khanewal</v>
      </c>
      <c r="B183" s="345" t="s">
        <v>3706</v>
      </c>
      <c r="C183" s="284" t="str">
        <f>IFERROR(__xludf.DUMMYFUNCTION("IFERROR(
  INDEX(
    FILTER(
      IMPORTRANGE(""1Cxrhp3-_-HS7v9uuqQliiIfrmMP4VaFoDNDWyUFy2J8/edit?gid=0#gid=0"",""Sheet1!AE:AE""),
      IMPORTRANGE(""1Cxrhp3-_-HS7v9uuqQliiIfrmMP4VaFoDNDWyUFy2J8/edit?gid=0#gid=0"",""Sheet1!K:K"")=$B183
    ),
    1
  )"&amp;",
  ""Not Found""
)"),"Not Found")</f>
        <v>Not Found</v>
      </c>
      <c r="D183" s="284"/>
      <c r="E183" s="284">
        <f>IFERROR(__xludf.DUMMYFUNCTION("IFERROR(
  INDEX(
    FILTER(
      IMPORTRANGE(""1kOrIKZmJfNUkgOVP3sI9BPjaaPA0_a4636oymQxTXg8/edit?gid=609491371#gid=609491371"",""Form responses 1!J:J""),
      IMPORTRANGE(""1kOrIKZmJfNUkgOVP3sI9BPjaaPA0_a4636oymQxTXg8/edit?gid=609491371#gid=609491371"&amp;""",""Form responses 1!F:F"")=$B183
    ),
    1
  ),
  ""Not Found""
)"),1978.0)</f>
        <v>1978</v>
      </c>
      <c r="F183" s="284" t="str">
        <f>IFERROR(__xludf.DUMMYFUNCTION("IFERROR(
  INDEX(
    FILTER(
      IMPORTRANGE(""1kOrIKZmJfNUkgOVP3sI9BPjaaPA0_a4636oymQxTXg8/edit?gid=609491371#gid=609491371"",""Form responses 1!L:L""),
      IMPORTRANGE(""1kOrIKZmJfNUkgOVP3sI9BPjaaPA0_a4636oymQxTXg8/edit?gid=609491371#gid=609491371"&amp;""",""Form responses 1!F:F"")=$B183
    ),
    1
  ),
  ""Not Found""
)"),"Peer dawood ")</f>
        <v>Peer dawood </v>
      </c>
      <c r="G183" s="284" t="str">
        <f>IFERROR(__xludf.DUMMYFUNCTION("IFERROR(
  INDEX(
    FILTER(
      IMPORTRANGE(""1kOrIKZmJfNUkgOVP3sI9BPjaaPA0_a4636oymQxTXg8/edit?gid=609491371#gid=609491371"",""Form responses 1!K:K""),
      IMPORTRANGE(""1kOrIKZmJfNUkgOVP3sI9BPjaaPA0_a4636oymQxTXg8/edit?gid=609491371#gid=609491371"&amp;""",""Form responses 1!F:F"")=$B183
    ),
    1
  ),
  ""Not Found""
)"),"No")</f>
        <v>No</v>
      </c>
      <c r="H183" s="230"/>
      <c r="I183" s="343">
        <v>1978.0</v>
      </c>
      <c r="J183" s="344">
        <v>1978.0</v>
      </c>
      <c r="K183" s="340"/>
      <c r="L183" s="340"/>
      <c r="M183" s="230"/>
      <c r="N183" s="230"/>
      <c r="O183" s="230"/>
      <c r="P183" s="230"/>
      <c r="Q183" s="230"/>
      <c r="R183" s="230"/>
      <c r="S183" s="230"/>
      <c r="T183" s="230"/>
      <c r="U183" s="230"/>
      <c r="V183" s="230"/>
      <c r="W183" s="230"/>
      <c r="X183" s="230"/>
      <c r="Y183" s="230"/>
      <c r="Z183" s="230"/>
    </row>
    <row r="184">
      <c r="A184" s="337" t="str">
        <f>IFERROR(__xludf.DUMMYFUNCTION("VLOOKUP($B184,IMPORTRANGE(""https://docs.google.com/spreadsheets/d/1VNXDITjs75AcgdBSW27oL1VZH31udDprJSsBcE5xlp4/edit?gid=1551188038#gid=1551188038"", ""Sheet9!$B:$E""),2,false)"),"Khanewal")</f>
        <v>Khanewal</v>
      </c>
      <c r="B184" s="338" t="s">
        <v>4626</v>
      </c>
      <c r="C184" s="284" t="str">
        <f>IFERROR(__xludf.DUMMYFUNCTION("IFERROR(
  INDEX(
    FILTER(
      IMPORTRANGE(""1Cxrhp3-_-HS7v9uuqQliiIfrmMP4VaFoDNDWyUFy2J8/edit?gid=0#gid=0"",""Sheet1!AE:AE""),
      IMPORTRANGE(""1Cxrhp3-_-HS7v9uuqQliiIfrmMP4VaFoDNDWyUFy2J8/edit?gid=0#gid=0"",""Sheet1!K:K"")=$B184
    ),
    1
  )"&amp;",
  ""Not Found""
)"),"Not Found")</f>
        <v>Not Found</v>
      </c>
      <c r="D184" s="284"/>
      <c r="E184" s="284">
        <f>IFERROR(__xludf.DUMMYFUNCTION("IFERROR(
  INDEX(
    FILTER(
      IMPORTRANGE(""1kOrIKZmJfNUkgOVP3sI9BPjaaPA0_a4636oymQxTXg8/edit?gid=609491371#gid=609491371"",""Form responses 1!J:J""),
      IMPORTRANGE(""1kOrIKZmJfNUkgOVP3sI9BPjaaPA0_a4636oymQxTXg8/edit?gid=609491371#gid=609491371"&amp;""",""Form responses 1!F:F"")=$B184
    ),
    1
  ),
  ""Not Found""
)"),1936.0)</f>
        <v>1936</v>
      </c>
      <c r="F184" s="284" t="str">
        <f>IFERROR(__xludf.DUMMYFUNCTION("IFERROR(
  INDEX(
    FILTER(
      IMPORTRANGE(""1kOrIKZmJfNUkgOVP3sI9BPjaaPA0_a4636oymQxTXg8/edit?gid=609491371#gid=609491371"",""Form responses 1!L:L""),
      IMPORTRANGE(""1kOrIKZmJfNUkgOVP3sI9BPjaaPA0_a4636oymQxTXg8/edit?gid=609491371#gid=609491371"&amp;""",""Form responses 1!F:F"")=$B184
    ),
    1
  ),
  ""Not Found""
)"),"Hazrat Mian Channu")</f>
        <v>Hazrat Mian Channu</v>
      </c>
      <c r="G184" s="284" t="str">
        <f>IFERROR(__xludf.DUMMYFUNCTION("IFERROR(
  INDEX(
    FILTER(
      IMPORTRANGE(""1kOrIKZmJfNUkgOVP3sI9BPjaaPA0_a4636oymQxTXg8/edit?gid=609491371#gid=609491371"",""Form responses 1!K:K""),
      IMPORTRANGE(""1kOrIKZmJfNUkgOVP3sI9BPjaaPA0_a4636oymQxTXg8/edit?gid=609491371#gid=609491371"&amp;""",""Form responses 1!F:F"")=$B184
    ),
    1
  ),
  ""Not Found""
)"),"No")</f>
        <v>No</v>
      </c>
      <c r="H184" s="230"/>
      <c r="I184" s="343">
        <v>1936.0</v>
      </c>
      <c r="J184" s="344">
        <v>1936.0</v>
      </c>
      <c r="K184" s="340"/>
      <c r="L184" s="340"/>
      <c r="M184" s="230"/>
      <c r="N184" s="230"/>
      <c r="O184" s="230"/>
      <c r="P184" s="230"/>
      <c r="Q184" s="230"/>
      <c r="R184" s="230"/>
      <c r="S184" s="230"/>
      <c r="T184" s="230"/>
      <c r="U184" s="230"/>
      <c r="V184" s="230"/>
      <c r="W184" s="230"/>
      <c r="X184" s="230"/>
      <c r="Y184" s="230"/>
      <c r="Z184" s="230"/>
    </row>
    <row r="185">
      <c r="A185" s="337" t="str">
        <f>IFERROR(__xludf.DUMMYFUNCTION("VLOOKUP($B185,IMPORTRANGE(""https://docs.google.com/spreadsheets/d/1VNXDITjs75AcgdBSW27oL1VZH31udDprJSsBcE5xlp4/edit?gid=1551188038#gid=1551188038"", ""Sheet9!$B:$E""),2,false)"),"Khanewal")</f>
        <v>Khanewal</v>
      </c>
      <c r="B185" s="338" t="s">
        <v>4627</v>
      </c>
      <c r="C185" s="284" t="str">
        <f>IFERROR(__xludf.DUMMYFUNCTION("IFERROR(
  INDEX(
    FILTER(
      IMPORTRANGE(""1Cxrhp3-_-HS7v9uuqQliiIfrmMP4VaFoDNDWyUFy2J8/edit?gid=0#gid=0"",""Sheet1!AE:AE""),
      IMPORTRANGE(""1Cxrhp3-_-HS7v9uuqQliiIfrmMP4VaFoDNDWyUFy2J8/edit?gid=0#gid=0"",""Sheet1!K:K"")=$B185
    ),
    1
  )"&amp;",
  ""Not Found""
)"),"Not Found")</f>
        <v>Not Found</v>
      </c>
      <c r="D185" s="284"/>
      <c r="E185" s="284">
        <f>IFERROR(__xludf.DUMMYFUNCTION("IFERROR(
  INDEX(
    FILTER(
      IMPORTRANGE(""1kOrIKZmJfNUkgOVP3sI9BPjaaPA0_a4636oymQxTXg8/edit?gid=609491371#gid=609491371"",""Form responses 1!J:J""),
      IMPORTRANGE(""1kOrIKZmJfNUkgOVP3sI9BPjaaPA0_a4636oymQxTXg8/edit?gid=609491371#gid=609491371"&amp;""",""Form responses 1!F:F"")=$B185
    ),
    1
  ),
  ""Not Found""
)"),1958.0)</f>
        <v>1958</v>
      </c>
      <c r="F185" s="284">
        <f>IFERROR(__xludf.DUMMYFUNCTION("IFERROR(
  INDEX(
    FILTER(
      IMPORTRANGE(""1kOrIKZmJfNUkgOVP3sI9BPjaaPA0_a4636oymQxTXg8/edit?gid=609491371#gid=609491371"",""Form responses 1!L:L""),
      IMPORTRANGE(""1kOrIKZmJfNUkgOVP3sI9BPjaaPA0_a4636oymQxTXg8/edit?gid=609491371#gid=609491371"&amp;""",""Form responses 1!F:F"")=$B185
    ),
    1
  ),
  ""Not Found""
)"),0.0)</f>
        <v>0</v>
      </c>
      <c r="G185" s="284" t="str">
        <f>IFERROR(__xludf.DUMMYFUNCTION("IFERROR(
  INDEX(
    FILTER(
      IMPORTRANGE(""1kOrIKZmJfNUkgOVP3sI9BPjaaPA0_a4636oymQxTXg8/edit?gid=609491371#gid=609491371"",""Form responses 1!K:K""),
      IMPORTRANGE(""1kOrIKZmJfNUkgOVP3sI9BPjaaPA0_a4636oymQxTXg8/edit?gid=609491371#gid=609491371"&amp;""",""Form responses 1!F:F"")=$B185
    ),
    1
  ),
  ""Not Found""
)"),"No")</f>
        <v>No</v>
      </c>
      <c r="H185" s="230"/>
      <c r="I185" s="343">
        <v>1958.0</v>
      </c>
      <c r="J185" s="344">
        <v>1958.0</v>
      </c>
      <c r="K185" s="340"/>
      <c r="L185" s="340"/>
      <c r="M185" s="230"/>
      <c r="N185" s="230"/>
      <c r="O185" s="230"/>
      <c r="P185" s="230"/>
      <c r="Q185" s="230"/>
      <c r="R185" s="230"/>
      <c r="S185" s="230"/>
      <c r="T185" s="230"/>
      <c r="U185" s="230"/>
      <c r="V185" s="230"/>
      <c r="W185" s="230"/>
      <c r="X185" s="230"/>
      <c r="Y185" s="230"/>
      <c r="Z185" s="230"/>
    </row>
    <row r="186">
      <c r="A186" s="337" t="str">
        <f>IFERROR(__xludf.DUMMYFUNCTION("VLOOKUP($B186,IMPORTRANGE(""https://docs.google.com/spreadsheets/d/1VNXDITjs75AcgdBSW27oL1VZH31udDprJSsBcE5xlp4/edit?gid=1551188038#gid=1551188038"", ""Sheet9!$B:$E""),2,false)"),"Khanewal")</f>
        <v>Khanewal</v>
      </c>
      <c r="B186" s="345" t="s">
        <v>3712</v>
      </c>
      <c r="C186" s="284" t="str">
        <f>IFERROR(__xludf.DUMMYFUNCTION("IFERROR(
  INDEX(
    FILTER(
      IMPORTRANGE(""1Cxrhp3-_-HS7v9uuqQliiIfrmMP4VaFoDNDWyUFy2J8/edit?gid=0#gid=0"",""Sheet1!AE:AE""),
      IMPORTRANGE(""1Cxrhp3-_-HS7v9uuqQliiIfrmMP4VaFoDNDWyUFy2J8/edit?gid=0#gid=0"",""Sheet1!K:K"")=$B186
    ),
    1
  )"&amp;",
  ""Not Found""
)"),"Not Found")</f>
        <v>Not Found</v>
      </c>
      <c r="D186" s="284"/>
      <c r="E186" s="284" t="str">
        <f>IFERROR(__xludf.DUMMYFUNCTION("IFERROR(
  INDEX(
    FILTER(
      IMPORTRANGE(""1kOrIKZmJfNUkgOVP3sI9BPjaaPA0_a4636oymQxTXg8/edit?gid=609491371#gid=609491371"",""Form responses 1!J:J""),
      IMPORTRANGE(""1kOrIKZmJfNUkgOVP3sI9BPjaaPA0_a4636oymQxTXg8/edit?gid=609491371#gid=609491371"&amp;""",""Form responses 1!F:F"")=$B186
    ),
    1
  ),
  ""Not Found""
)"),"Not Found")</f>
        <v>Not Found</v>
      </c>
      <c r="F186" s="284" t="str">
        <f>IFERROR(__xludf.DUMMYFUNCTION("IFERROR(
  INDEX(
    FILTER(
      IMPORTRANGE(""1kOrIKZmJfNUkgOVP3sI9BPjaaPA0_a4636oymQxTXg8/edit?gid=609491371#gid=609491371"",""Form responses 1!L:L""),
      IMPORTRANGE(""1kOrIKZmJfNUkgOVP3sI9BPjaaPA0_a4636oymQxTXg8/edit?gid=609491371#gid=609491371"&amp;""",""Form responses 1!F:F"")=$B186
    ),
    1
  ),
  ""Not Found""
)"),"Not Found")</f>
        <v>Not Found</v>
      </c>
      <c r="G186" s="284"/>
      <c r="H186" s="230"/>
      <c r="I186" s="230"/>
      <c r="J186" s="339" t="str">
        <f>IFERROR(__xludf.DUMMYFUNCTION("IFERROR(
  INDEX(
    FILTER(
      IMPORTRANGE(""1Cxrhp3-_-HS7v9uuqQliiIfrmMP4VaFoDNDWyUFy2J8/edit?gid=0#gid=0"",""Sheet1!AE:AE""),
      IMPORTRANGE(""1Cxrhp3-_-HS7v9uuqQliiIfrmMP4VaFoDNDWyUFy2J8/edit?gid=0#gid=0"",""Sheet1!K:K"")=$B186
    ),
    1
  )"&amp;",
  ""Not Found""
)"),"Not Found")</f>
        <v>Not Found</v>
      </c>
      <c r="K186" s="340"/>
      <c r="L186" s="340"/>
      <c r="M186" s="230"/>
      <c r="N186" s="230"/>
      <c r="O186" s="230"/>
      <c r="P186" s="230"/>
      <c r="Q186" s="230"/>
      <c r="R186" s="230"/>
      <c r="S186" s="230"/>
      <c r="T186" s="230"/>
      <c r="U186" s="230"/>
      <c r="V186" s="230"/>
      <c r="W186" s="230"/>
      <c r="X186" s="230"/>
      <c r="Y186" s="230"/>
      <c r="Z186" s="230"/>
    </row>
    <row r="187">
      <c r="A187" s="337" t="str">
        <f>IFERROR(__xludf.DUMMYFUNCTION("VLOOKUP($B187,IMPORTRANGE(""https://docs.google.com/spreadsheets/d/1VNXDITjs75AcgdBSW27oL1VZH31udDprJSsBcE5xlp4/edit?gid=1551188038#gid=1551188038"", ""Sheet9!$B:$E""),2,false)"),"Khanewal")</f>
        <v>Khanewal</v>
      </c>
      <c r="B187" s="338" t="s">
        <v>4628</v>
      </c>
      <c r="C187" s="284">
        <f>IFERROR(__xludf.DUMMYFUNCTION("IFERROR(
  INDEX(
    FILTER(
      IMPORTRANGE(""1Cxrhp3-_-HS7v9uuqQliiIfrmMP4VaFoDNDWyUFy2J8/edit?gid=0#gid=0"",""Sheet1!AE:AE""),
      IMPORTRANGE(""1Cxrhp3-_-HS7v9uuqQliiIfrmMP4VaFoDNDWyUFy2J8/edit?gid=0#gid=0"",""Sheet1!K:K"")=$B187
    ),
    1
  )"&amp;",
  ""Not Found""
)"),0.0)</f>
        <v>0</v>
      </c>
      <c r="D187" s="284" t="str">
        <f>IFERROR(__xludf.DUMMYFUNCTION("IFERROR(
  INDEX(
    FILTER(
      IMPORTRANGE(""1Cxrhp3-_-HS7v9uuqQliiIfrmMP4VaFoDNDWyUFy2J8/edit?gid=0#gid=0"",""Sheet1!AG:AG""),
      IMPORTRANGE(""1Cxrhp3-_-HS7v9uuqQliiIfrmMP4VaFoDNDWyUFy2J8/edit?gid=0#gid=0"",""Sheet1!K:K"")=$B187
    ),
    1
  )"&amp;",
  ""Not Found""
)"),"")</f>
        <v/>
      </c>
      <c r="E187" s="284">
        <f>IFERROR(__xludf.DUMMYFUNCTION("IFERROR(
  INDEX(
    FILTER(
      IMPORTRANGE(""1kOrIKZmJfNUkgOVP3sI9BPjaaPA0_a4636oymQxTXg8/edit?gid=609491371#gid=609491371"",""Form responses 1!J:J""),
      IMPORTRANGE(""1kOrIKZmJfNUkgOVP3sI9BPjaaPA0_a4636oymQxTXg8/edit?gid=609491371#gid=609491371"&amp;""",""Form responses 1!F:F"")=$B187
    ),
    1
  ),
  ""Not Found""
)"),1911.0)</f>
        <v>1911</v>
      </c>
      <c r="F187" s="284" t="str">
        <f>IFERROR(__xludf.DUMMYFUNCTION("IFERROR(
  INDEX(
    FILTER(
      IMPORTRANGE(""1kOrIKZmJfNUkgOVP3sI9BPjaaPA0_a4636oymQxTXg8/edit?gid=609491371#gid=609491371"",""Form responses 1!L:L""),
      IMPORTRANGE(""1kOrIKZmJfNUkgOVP3sI9BPjaaPA0_a4636oymQxTXg8/edit?gid=609491371#gid=609491371"&amp;""",""Form responses 1!F:F"")=$B187
    ),
    1
  ),
  ""Not Found""
)"),"No")</f>
        <v>No</v>
      </c>
      <c r="G187" s="284" t="str">
        <f>IFERROR(__xludf.DUMMYFUNCTION("IFERROR(
  INDEX(
    FILTER(
      IMPORTRANGE(""1kOrIKZmJfNUkgOVP3sI9BPjaaPA0_a4636oymQxTXg8/edit?gid=609491371#gid=609491371"",""Form responses 1!K:K""),
      IMPORTRANGE(""1kOrIKZmJfNUkgOVP3sI9BPjaaPA0_a4636oymQxTXg8/edit?gid=609491371#gid=609491371"&amp;""",""Form responses 1!F:F"")=$B187
    ),
    1
  ),
  ""Not Found""
)"),"No")</f>
        <v>No</v>
      </c>
      <c r="H187" s="230"/>
      <c r="I187" s="343">
        <v>1911.0</v>
      </c>
      <c r="J187" s="344">
        <v>1911.0</v>
      </c>
      <c r="K187" s="340"/>
      <c r="L187" s="340"/>
      <c r="M187" s="230"/>
      <c r="N187" s="230"/>
      <c r="O187" s="230"/>
      <c r="P187" s="230"/>
      <c r="Q187" s="230"/>
      <c r="R187" s="230"/>
      <c r="S187" s="230"/>
      <c r="T187" s="230"/>
      <c r="U187" s="230"/>
      <c r="V187" s="230"/>
      <c r="W187" s="230"/>
      <c r="X187" s="230"/>
      <c r="Y187" s="230"/>
      <c r="Z187" s="230"/>
    </row>
    <row r="188">
      <c r="A188" s="337" t="str">
        <f>IFERROR(__xludf.DUMMYFUNCTION("VLOOKUP($B188,IMPORTRANGE(""https://docs.google.com/spreadsheets/d/1VNXDITjs75AcgdBSW27oL1VZH31udDprJSsBcE5xlp4/edit?gid=1551188038#gid=1551188038"", ""Sheet9!$B:$E""),2,false)"),"Khanewal")</f>
        <v>Khanewal</v>
      </c>
      <c r="B188" s="338" t="s">
        <v>4629</v>
      </c>
      <c r="C188" s="284">
        <f>IFERROR(__xludf.DUMMYFUNCTION("IFERROR(
  INDEX(
    FILTER(
      IMPORTRANGE(""1Cxrhp3-_-HS7v9uuqQliiIfrmMP4VaFoDNDWyUFy2J8/edit?gid=0#gid=0"",""Sheet1!AE:AE""),
      IMPORTRANGE(""1Cxrhp3-_-HS7v9uuqQliiIfrmMP4VaFoDNDWyUFy2J8/edit?gid=0#gid=0"",""Sheet1!K:K"")=$B188
    ),
    1
  )"&amp;",
  ""Not Found""
)"),1971.0)</f>
        <v>1971</v>
      </c>
      <c r="D188" s="284" t="str">
        <f>IFERROR(__xludf.DUMMYFUNCTION("IFERROR(
  INDEX(
    FILTER(
      IMPORTRANGE(""1Cxrhp3-_-HS7v9uuqQliiIfrmMP4VaFoDNDWyUFy2J8/edit?gid=0#gid=0"",""Sheet1!AG:AG""),
      IMPORTRANGE(""1Cxrhp3-_-HS7v9uuqQliiIfrmMP4VaFoDNDWyUFy2J8/edit?gid=0#gid=0"",""Sheet1!K:K"")=$B188
    ),
    1
  )"&amp;",
  ""Not Found""
)"),"")</f>
        <v/>
      </c>
      <c r="E188" s="284">
        <f>IFERROR(__xludf.DUMMYFUNCTION("IFERROR(
  INDEX(
    FILTER(
      IMPORTRANGE(""1kOrIKZmJfNUkgOVP3sI9BPjaaPA0_a4636oymQxTXg8/edit?gid=609491371#gid=609491371"",""Form responses 1!J:J""),
      IMPORTRANGE(""1kOrIKZmJfNUkgOVP3sI9BPjaaPA0_a4636oymQxTXg8/edit?gid=609491371#gid=609491371"&amp;""",""Form responses 1!F:F"")=$B188
    ),
    1
  ),
  ""Not Found""
)"),1951.0)</f>
        <v>1951</v>
      </c>
      <c r="F188" s="284" t="str">
        <f>IFERROR(__xludf.DUMMYFUNCTION("IFERROR(
  INDEX(
    FILTER(
      IMPORTRANGE(""1kOrIKZmJfNUkgOVP3sI9BPjaaPA0_a4636oymQxTXg8/edit?gid=609491371#gid=609491371"",""Form responses 1!L:L""),
      IMPORTRANGE(""1kOrIKZmJfNUkgOVP3sI9BPjaaPA0_a4636oymQxTXg8/edit?gid=609491371#gid=609491371"&amp;""",""Form responses 1!F:F"")=$B188
    ),
    1
  ),
  ""Not Found""
)"),"No")</f>
        <v>No</v>
      </c>
      <c r="G188" s="284" t="str">
        <f>IFERROR(__xludf.DUMMYFUNCTION("IFERROR(
  INDEX(
    FILTER(
      IMPORTRANGE(""1kOrIKZmJfNUkgOVP3sI9BPjaaPA0_a4636oymQxTXg8/edit?gid=609491371#gid=609491371"",""Form responses 1!K:K""),
      IMPORTRANGE(""1kOrIKZmJfNUkgOVP3sI9BPjaaPA0_a4636oymQxTXg8/edit?gid=609491371#gid=609491371"&amp;""",""Form responses 1!F:F"")=$B188
    ),
    1
  ),
  ""Not Found""
)"),"No")</f>
        <v>No</v>
      </c>
      <c r="H188" s="230"/>
      <c r="I188" s="343">
        <v>1951.0</v>
      </c>
      <c r="J188" s="344">
        <v>1951.0</v>
      </c>
      <c r="K188" s="340"/>
      <c r="L188" s="340"/>
      <c r="M188" s="230"/>
      <c r="N188" s="230"/>
      <c r="O188" s="230"/>
      <c r="P188" s="230"/>
      <c r="Q188" s="230"/>
      <c r="R188" s="230"/>
      <c r="S188" s="230"/>
      <c r="T188" s="230"/>
      <c r="U188" s="230"/>
      <c r="V188" s="230"/>
      <c r="W188" s="230"/>
      <c r="X188" s="230"/>
      <c r="Y188" s="230"/>
      <c r="Z188" s="230"/>
    </row>
    <row r="189">
      <c r="A189" s="337" t="str">
        <f>IFERROR(__xludf.DUMMYFUNCTION("VLOOKUP($B189,IMPORTRANGE(""https://docs.google.com/spreadsheets/d/1VNXDITjs75AcgdBSW27oL1VZH31udDprJSsBcE5xlp4/edit?gid=1551188038#gid=1551188038"", ""Sheet9!$B:$E""),2,false)"),"DG Khan")</f>
        <v>DG Khan</v>
      </c>
      <c r="B189" s="338" t="s">
        <v>4630</v>
      </c>
      <c r="C189" s="284" t="str">
        <f>IFERROR(__xludf.DUMMYFUNCTION("IFERROR(
  INDEX(
    FILTER(
      IMPORTRANGE(""1Cxrhp3-_-HS7v9uuqQliiIfrmMP4VaFoDNDWyUFy2J8/edit?gid=0#gid=0"",""Sheet1!AE:AE""),
      IMPORTRANGE(""1Cxrhp3-_-HS7v9uuqQliiIfrmMP4VaFoDNDWyUFy2J8/edit?gid=0#gid=0"",""Sheet1!K:K"")=$B189
    ),
    1
  )"&amp;",
  ""Not Found""
)"),"Not Found")</f>
        <v>Not Found</v>
      </c>
      <c r="D189" s="284"/>
      <c r="E189" s="284">
        <f>IFERROR(__xludf.DUMMYFUNCTION("IFERROR(
  INDEX(
    FILTER(
      IMPORTRANGE(""1kOrIKZmJfNUkgOVP3sI9BPjaaPA0_a4636oymQxTXg8/edit?gid=609491371#gid=609491371"",""Form responses 1!J:J""),
      IMPORTRANGE(""1kOrIKZmJfNUkgOVP3sI9BPjaaPA0_a4636oymQxTXg8/edit?gid=609491371#gid=609491371"&amp;""",""Form responses 1!F:F"")=$B189
    ),
    1
  ),
  ""Not Found""
)"),1957.0)</f>
        <v>1957</v>
      </c>
      <c r="F189" s="284" t="str">
        <f>IFERROR(__xludf.DUMMYFUNCTION("IFERROR(
  INDEX(
    FILTER(
      IMPORTRANGE(""1kOrIKZmJfNUkgOVP3sI9BPjaaPA0_a4636oymQxTXg8/edit?gid=609491371#gid=609491371"",""Form responses 1!L:L""),
      IMPORTRANGE(""1kOrIKZmJfNUkgOVP3sI9BPjaaPA0_a4636oymQxTXg8/edit?gid=609491371#gid=609491371"&amp;""",""Form responses 1!F:F"")=$B189
    ),
    1
  ),
  ""Not Found""
)"),"Shah Sadar Ul Din ")</f>
        <v>Shah Sadar Ul Din </v>
      </c>
      <c r="G189" s="284" t="str">
        <f>IFERROR(__xludf.DUMMYFUNCTION("IFERROR(
  INDEX(
    FILTER(
      IMPORTRANGE(""1kOrIKZmJfNUkgOVP3sI9BPjaaPA0_a4636oymQxTXg8/edit?gid=609491371#gid=609491371"",""Form responses 1!K:K""),
      IMPORTRANGE(""1kOrIKZmJfNUkgOVP3sI9BPjaaPA0_a4636oymQxTXg8/edit?gid=609491371#gid=609491371"&amp;""",""Form responses 1!F:F"")=$B189
    ),
    1
  ),
  ""Not Found""
)"),"No")</f>
        <v>No</v>
      </c>
      <c r="H189" s="230"/>
      <c r="I189" s="343">
        <v>1957.0</v>
      </c>
      <c r="J189" s="344">
        <v>1957.0</v>
      </c>
      <c r="K189" s="340"/>
      <c r="L189" s="340"/>
      <c r="M189" s="230"/>
      <c r="N189" s="230"/>
      <c r="O189" s="230"/>
      <c r="P189" s="230"/>
      <c r="Q189" s="230"/>
      <c r="R189" s="230"/>
      <c r="S189" s="230"/>
      <c r="T189" s="230"/>
      <c r="U189" s="230"/>
      <c r="V189" s="230"/>
      <c r="W189" s="230"/>
      <c r="X189" s="230"/>
      <c r="Y189" s="230"/>
      <c r="Z189" s="230"/>
    </row>
    <row r="190">
      <c r="A190" s="337" t="str">
        <f>IFERROR(__xludf.DUMMYFUNCTION("VLOOKUP($B190,IMPORTRANGE(""https://docs.google.com/spreadsheets/d/1VNXDITjs75AcgdBSW27oL1VZH31udDprJSsBcE5xlp4/edit?gid=1551188038#gid=1551188038"", ""Sheet9!$B:$E""),2,false)"),"DG Khan")</f>
        <v>DG Khan</v>
      </c>
      <c r="B190" s="338" t="s">
        <v>4631</v>
      </c>
      <c r="C190" s="284" t="str">
        <f>IFERROR(__xludf.DUMMYFUNCTION("IFERROR(
  INDEX(
    FILTER(
      IMPORTRANGE(""1Cxrhp3-_-HS7v9uuqQliiIfrmMP4VaFoDNDWyUFy2J8/edit?gid=0#gid=0"",""Sheet1!AE:AE""),
      IMPORTRANGE(""1Cxrhp3-_-HS7v9uuqQliiIfrmMP4VaFoDNDWyUFy2J8/edit?gid=0#gid=0"",""Sheet1!K:K"")=$B190
    ),
    1
  )"&amp;",
  ""Not Found""
)"),"Not Found")</f>
        <v>Not Found</v>
      </c>
      <c r="D190" s="284"/>
      <c r="E190" s="284">
        <f>IFERROR(__xludf.DUMMYFUNCTION("IFERROR(
  INDEX(
    FILTER(
      IMPORTRANGE(""1kOrIKZmJfNUkgOVP3sI9BPjaaPA0_a4636oymQxTXg8/edit?gid=609491371#gid=609491371"",""Form responses 1!J:J""),
      IMPORTRANGE(""1kOrIKZmJfNUkgOVP3sI9BPjaaPA0_a4636oymQxTXg8/edit?gid=609491371#gid=609491371"&amp;""",""Form responses 1!F:F"")=$B190
    ),
    1
  ),
  ""Not Found""
)"),1174.0)</f>
        <v>1174</v>
      </c>
      <c r="F190" s="284" t="str">
        <f>IFERROR(__xludf.DUMMYFUNCTION("IFERROR(
  INDEX(
    FILTER(
      IMPORTRANGE(""1kOrIKZmJfNUkgOVP3sI9BPjaaPA0_a4636oymQxTXg8/edit?gid=609491371#gid=609491371"",""Form responses 1!L:L""),
      IMPORTRANGE(""1kOrIKZmJfNUkgOVP3sI9BPjaaPA0_a4636oymQxTXg8/edit?gid=609491371#gid=609491371"&amp;""",""Form responses 1!F:F"")=$B190
    ),
    1
  ),
  ""Not Found""
)"),"Sakhi Sarwar")</f>
        <v>Sakhi Sarwar</v>
      </c>
      <c r="G190" s="284" t="str">
        <f>IFERROR(__xludf.DUMMYFUNCTION("IFERROR(
  INDEX(
    FILTER(
      IMPORTRANGE(""1kOrIKZmJfNUkgOVP3sI9BPjaaPA0_a4636oymQxTXg8/edit?gid=609491371#gid=609491371"",""Form responses 1!K:K""),
      IMPORTRANGE(""1kOrIKZmJfNUkgOVP3sI9BPjaaPA0_a4636oymQxTXg8/edit?gid=609491371#gid=609491371"&amp;""",""Form responses 1!F:F"")=$B190
    ),
    1
  ),
  ""Not Found""
)"),"Yes")</f>
        <v>Yes</v>
      </c>
      <c r="H190" s="230"/>
      <c r="I190" s="343">
        <v>1174.0</v>
      </c>
      <c r="J190" s="344">
        <v>1174.0</v>
      </c>
      <c r="K190" s="340"/>
      <c r="L190" s="340"/>
      <c r="M190" s="230"/>
      <c r="N190" s="230"/>
      <c r="O190" s="230"/>
      <c r="P190" s="230"/>
      <c r="Q190" s="230"/>
      <c r="R190" s="230"/>
      <c r="S190" s="230"/>
      <c r="T190" s="230"/>
      <c r="U190" s="230"/>
      <c r="V190" s="230"/>
      <c r="W190" s="230"/>
      <c r="X190" s="230"/>
      <c r="Y190" s="230"/>
      <c r="Z190" s="230"/>
    </row>
    <row r="191">
      <c r="A191" s="337" t="str">
        <f>IFERROR(__xludf.DUMMYFUNCTION("VLOOKUP($B191,IMPORTRANGE(""https://docs.google.com/spreadsheets/d/1VNXDITjs75AcgdBSW27oL1VZH31udDprJSsBcE5xlp4/edit?gid=1551188038#gid=1551188038"", ""Sheet9!$B:$E""),2,false)"),"DG Khan")</f>
        <v>DG Khan</v>
      </c>
      <c r="B191" s="338" t="s">
        <v>4632</v>
      </c>
      <c r="C191" s="284">
        <f>IFERROR(__xludf.DUMMYFUNCTION("IFERROR(
  INDEX(
    FILTER(
      IMPORTRANGE(""1Cxrhp3-_-HS7v9uuqQliiIfrmMP4VaFoDNDWyUFy2J8/edit?gid=0#gid=0"",""Sheet1!AE:AE""),
      IMPORTRANGE(""1Cxrhp3-_-HS7v9uuqQliiIfrmMP4VaFoDNDWyUFy2J8/edit?gid=0#gid=0"",""Sheet1!K:K"")=$B191
    ),
    1
  )"&amp;",
  ""Not Found""
)"),1916.0)</f>
        <v>1916</v>
      </c>
      <c r="D191" s="284" t="str">
        <f>IFERROR(__xludf.DUMMYFUNCTION("IFERROR(
  INDEX(
    FILTER(
      IMPORTRANGE(""1Cxrhp3-_-HS7v9uuqQliiIfrmMP4VaFoDNDWyUFy2J8/edit?gid=0#gid=0"",""Sheet1!AG:AG""),
      IMPORTRANGE(""1Cxrhp3-_-HS7v9uuqQliiIfrmMP4VaFoDNDWyUFy2J8/edit?gid=0#gid=0"",""Sheet1!K:K"")=$B191
    ),
    1
  )"&amp;",
  ""Not Found""
)"),"")</f>
        <v/>
      </c>
      <c r="E191" s="284">
        <f>IFERROR(__xludf.DUMMYFUNCTION("IFERROR(
  INDEX(
    FILTER(
      IMPORTRANGE(""1kOrIKZmJfNUkgOVP3sI9BPjaaPA0_a4636oymQxTXg8/edit?gid=609491371#gid=609491371"",""Form responses 1!J:J""),
      IMPORTRANGE(""1kOrIKZmJfNUkgOVP3sI9BPjaaPA0_a4636oymQxTXg8/edit?gid=609491371#gid=609491371"&amp;""",""Form responses 1!F:F"")=$B191
    ),
    1
  ),
  ""Not Found""
)"),1916.0)</f>
        <v>1916</v>
      </c>
      <c r="F191" s="284" t="str">
        <f>IFERROR(__xludf.DUMMYFUNCTION("IFERROR(
  INDEX(
    FILTER(
      IMPORTRANGE(""1kOrIKZmJfNUkgOVP3sI9BPjaaPA0_a4636oymQxTXg8/edit?gid=609491371#gid=609491371"",""Form responses 1!L:L""),
      IMPORTRANGE(""1kOrIKZmJfNUkgOVP3sI9BPjaaPA0_a4636oymQxTXg8/edit?gid=609491371#gid=609491371"&amp;""",""Form responses 1!F:F"")=$B191
    ),
    1
  ),
  ""Not Found""
)"),"No")</f>
        <v>No</v>
      </c>
      <c r="G191" s="284" t="str">
        <f>IFERROR(__xludf.DUMMYFUNCTION("IFERROR(
  INDEX(
    FILTER(
      IMPORTRANGE(""1kOrIKZmJfNUkgOVP3sI9BPjaaPA0_a4636oymQxTXg8/edit?gid=609491371#gid=609491371"",""Form responses 1!K:K""),
      IMPORTRANGE(""1kOrIKZmJfNUkgOVP3sI9BPjaaPA0_a4636oymQxTXg8/edit?gid=609491371#gid=609491371"&amp;""",""Form responses 1!F:F"")=$B191
    ),
    1
  ),
  ""Not Found""
)"),"No")</f>
        <v>No</v>
      </c>
      <c r="H191" s="230"/>
      <c r="I191" s="230">
        <v>1916.0</v>
      </c>
      <c r="J191" s="339">
        <f>IFERROR(__xludf.DUMMYFUNCTION("IFERROR(
  INDEX(
    FILTER(
      IMPORTRANGE(""1Cxrhp3-_-HS7v9uuqQliiIfrmMP4VaFoDNDWyUFy2J8/edit?gid=0#gid=0"",""Sheet1!AE:AE""),
      IMPORTRANGE(""1Cxrhp3-_-HS7v9uuqQliiIfrmMP4VaFoDNDWyUFy2J8/edit?gid=0#gid=0"",""Sheet1!K:K"")=$B191
    ),
    1
  )"&amp;",
  ""Not Found""
)"),1916.0)</f>
        <v>1916</v>
      </c>
      <c r="K191" s="340"/>
      <c r="L191" s="340"/>
      <c r="M191" s="230"/>
      <c r="N191" s="230"/>
      <c r="O191" s="230"/>
      <c r="P191" s="230"/>
      <c r="Q191" s="230"/>
      <c r="R191" s="230"/>
      <c r="S191" s="230"/>
      <c r="T191" s="230"/>
      <c r="U191" s="230"/>
      <c r="V191" s="230"/>
      <c r="W191" s="230"/>
      <c r="X191" s="230"/>
      <c r="Y191" s="230"/>
      <c r="Z191" s="230"/>
    </row>
    <row r="192">
      <c r="A192" s="337" t="str">
        <f>IFERROR(__xludf.DUMMYFUNCTION("VLOOKUP($B192,IMPORTRANGE(""https://docs.google.com/spreadsheets/d/1VNXDITjs75AcgdBSW27oL1VZH31udDprJSsBcE5xlp4/edit?gid=1551188038#gid=1551188038"", ""Sheet9!$B:$E""),2,false)"),"DG Khan")</f>
        <v>DG Khan</v>
      </c>
      <c r="B192" s="338" t="s">
        <v>4633</v>
      </c>
      <c r="C192" s="284">
        <f>IFERROR(__xludf.DUMMYFUNCTION("IFERROR(
  INDEX(
    FILTER(
      IMPORTRANGE(""1Cxrhp3-_-HS7v9uuqQliiIfrmMP4VaFoDNDWyUFy2J8/edit?gid=0#gid=0"",""Sheet1!AE:AE""),
      IMPORTRANGE(""1Cxrhp3-_-HS7v9uuqQliiIfrmMP4VaFoDNDWyUFy2J8/edit?gid=0#gid=0"",""Sheet1!K:K"")=$B192
    ),
    1
  )"&amp;",
  ""Not Found""
)"),1955.0)</f>
        <v>1955</v>
      </c>
      <c r="D192" s="284" t="str">
        <f>IFERROR(__xludf.DUMMYFUNCTION("IFERROR(
  INDEX(
    FILTER(
      IMPORTRANGE(""1Cxrhp3-_-HS7v9uuqQliiIfrmMP4VaFoDNDWyUFy2J8/edit?gid=0#gid=0"",""Sheet1!AG:AG""),
      IMPORTRANGE(""1Cxrhp3-_-HS7v9uuqQliiIfrmMP4VaFoDNDWyUFy2J8/edit?gid=0#gid=0"",""Sheet1!K:K"")=$B192
    ),
    1
  )"&amp;",
  ""Not Found""
)"),"Syed Mula Qaid Shah sahib")</f>
        <v>Syed Mula Qaid Shah sahib</v>
      </c>
      <c r="E192" s="284">
        <f>IFERROR(__xludf.DUMMYFUNCTION("IFERROR(
  INDEX(
    FILTER(
      IMPORTRANGE(""1kOrIKZmJfNUkgOVP3sI9BPjaaPA0_a4636oymQxTXg8/edit?gid=609491371#gid=609491371"",""Form responses 1!J:J""),
      IMPORTRANGE(""1kOrIKZmJfNUkgOVP3sI9BPjaaPA0_a4636oymQxTXg8/edit?gid=609491371#gid=609491371"&amp;""",""Form responses 1!F:F"")=$B192
    ),
    1
  ),
  ""Not Found""
)"),1955.0)</f>
        <v>1955</v>
      </c>
      <c r="F192" s="284" t="str">
        <f>IFERROR(__xludf.DUMMYFUNCTION("IFERROR(
  INDEX(
    FILTER(
      IMPORTRANGE(""1kOrIKZmJfNUkgOVP3sI9BPjaaPA0_a4636oymQxTXg8/edit?gid=609491371#gid=609491371"",""Form responses 1!L:L""),
      IMPORTRANGE(""1kOrIKZmJfNUkgOVP3sI9BPjaaPA0_a4636oymQxTXg8/edit?gid=609491371#gid=609491371"&amp;""",""Form responses 1!F:F"")=$B192
    ),
    1
  ),
  ""Not Found""
)"),"Syed Mula Qaid Shah sahib")</f>
        <v>Syed Mula Qaid Shah sahib</v>
      </c>
      <c r="G192" s="284" t="str">
        <f>IFERROR(__xludf.DUMMYFUNCTION("IFERROR(
  INDEX(
    FILTER(
      IMPORTRANGE(""1kOrIKZmJfNUkgOVP3sI9BPjaaPA0_a4636oymQxTXg8/edit?gid=609491371#gid=609491371"",""Form responses 1!K:K""),
      IMPORTRANGE(""1kOrIKZmJfNUkgOVP3sI9BPjaaPA0_a4636oymQxTXg8/edit?gid=609491371#gid=609491371"&amp;""",""Form responses 1!F:F"")=$B192
    ),
    1
  ),
  ""Not Found""
)"),"No")</f>
        <v>No</v>
      </c>
      <c r="H192" s="230"/>
      <c r="I192" s="230">
        <v>1955.0</v>
      </c>
      <c r="J192" s="339">
        <f>IFERROR(__xludf.DUMMYFUNCTION("IFERROR(
  INDEX(
    FILTER(
      IMPORTRANGE(""1Cxrhp3-_-HS7v9uuqQliiIfrmMP4VaFoDNDWyUFy2J8/edit?gid=0#gid=0"",""Sheet1!AE:AE""),
      IMPORTRANGE(""1Cxrhp3-_-HS7v9uuqQliiIfrmMP4VaFoDNDWyUFy2J8/edit?gid=0#gid=0"",""Sheet1!K:K"")=$B192
    ),
    1
  )"&amp;",
  ""Not Found""
)"),1955.0)</f>
        <v>1955</v>
      </c>
      <c r="K192" s="340"/>
      <c r="L192" s="340"/>
      <c r="M192" s="230"/>
      <c r="N192" s="230"/>
      <c r="O192" s="230"/>
      <c r="P192" s="230"/>
      <c r="Q192" s="230"/>
      <c r="R192" s="230"/>
      <c r="S192" s="230"/>
      <c r="T192" s="230"/>
      <c r="U192" s="230"/>
      <c r="V192" s="230"/>
      <c r="W192" s="230"/>
      <c r="X192" s="230"/>
      <c r="Y192" s="230"/>
      <c r="Z192" s="230"/>
    </row>
    <row r="193">
      <c r="A193" s="337" t="str">
        <f>IFERROR(__xludf.DUMMYFUNCTION("VLOOKUP($B193,IMPORTRANGE(""https://docs.google.com/spreadsheets/d/1VNXDITjs75AcgdBSW27oL1VZH31udDprJSsBcE5xlp4/edit?gid=1551188038#gid=1551188038"", ""Sheet9!$B:$E""),2,false)"),"Bahawalpure")</f>
        <v>Bahawalpure</v>
      </c>
      <c r="B193" s="338" t="s">
        <v>4634</v>
      </c>
      <c r="C193" s="284">
        <f>IFERROR(__xludf.DUMMYFUNCTION("IFERROR(
  INDEX(
    FILTER(
      IMPORTRANGE(""1Cxrhp3-_-HS7v9uuqQliiIfrmMP4VaFoDNDWyUFy2J8/edit?gid=0#gid=0"",""Sheet1!AE:AE""),
      IMPORTRANGE(""1Cxrhp3-_-HS7v9uuqQliiIfrmMP4VaFoDNDWyUFy2J8/edit?gid=0#gid=0"",""Sheet1!K:K"")=$B193
    ),
    1
  )"&amp;",
  ""Not Found""
)"),2000.0)</f>
        <v>2000</v>
      </c>
      <c r="D193" s="284" t="str">
        <f>IFERROR(__xludf.DUMMYFUNCTION("IFERROR(
  INDEX(
    FILTER(
      IMPORTRANGE(""1Cxrhp3-_-HS7v9uuqQliiIfrmMP4VaFoDNDWyUFy2J8/edit?gid=0#gid=0"",""Sheet1!AG:AG""),
      IMPORTRANGE(""1Cxrhp3-_-HS7v9uuqQliiIfrmMP4VaFoDNDWyUFy2J8/edit?gid=0#gid=0"",""Sheet1!K:K"")=$B193
    ),
    1
  )"&amp;",
  ""Not Found""
)"),"")</f>
        <v/>
      </c>
      <c r="E193" s="284">
        <f>IFERROR(__xludf.DUMMYFUNCTION("IFERROR(
  INDEX(
    FILTER(
      IMPORTRANGE(""1kOrIKZmJfNUkgOVP3sI9BPjaaPA0_a4636oymQxTXg8/edit?gid=609491371#gid=609491371"",""Form responses 1!J:J""),
      IMPORTRANGE(""1kOrIKZmJfNUkgOVP3sI9BPjaaPA0_a4636oymQxTXg8/edit?gid=609491371#gid=609491371"&amp;""",""Form responses 1!F:F"")=$B193
    ),
    1
  ),
  ""Not Found""
)"),2000.0)</f>
        <v>2000</v>
      </c>
      <c r="F193" s="284" t="str">
        <f>IFERROR(__xludf.DUMMYFUNCTION("IFERROR(
  INDEX(
    FILTER(
      IMPORTRANGE(""1kOrIKZmJfNUkgOVP3sI9BPjaaPA0_a4636oymQxTXg8/edit?gid=609491371#gid=609491371"",""Form responses 1!L:L""),
      IMPORTRANGE(""1kOrIKZmJfNUkgOVP3sI9BPjaaPA0_a4636oymQxTXg8/edit?gid=609491371#gid=609491371"&amp;""",""Form responses 1!F:F"")=$B193
    ),
    1
  ),
  ""Not Found""
)"),"No")</f>
        <v>No</v>
      </c>
      <c r="G193" s="284" t="str">
        <f>IFERROR(__xludf.DUMMYFUNCTION("IFERROR(
  INDEX(
    FILTER(
      IMPORTRANGE(""1kOrIKZmJfNUkgOVP3sI9BPjaaPA0_a4636oymQxTXg8/edit?gid=609491371#gid=609491371"",""Form responses 1!K:K""),
      IMPORTRANGE(""1kOrIKZmJfNUkgOVP3sI9BPjaaPA0_a4636oymQxTXg8/edit?gid=609491371#gid=609491371"&amp;""",""Form responses 1!F:F"")=$B193
    ),
    1
  ),
  ""Not Found""
)"),"No")</f>
        <v>No</v>
      </c>
      <c r="H193" s="230"/>
      <c r="I193" s="230">
        <v>2000.0</v>
      </c>
      <c r="J193" s="339">
        <f>IFERROR(__xludf.DUMMYFUNCTION("IFERROR(
  INDEX(
    FILTER(
      IMPORTRANGE(""1Cxrhp3-_-HS7v9uuqQliiIfrmMP4VaFoDNDWyUFy2J8/edit?gid=0#gid=0"",""Sheet1!AE:AE""),
      IMPORTRANGE(""1Cxrhp3-_-HS7v9uuqQliiIfrmMP4VaFoDNDWyUFy2J8/edit?gid=0#gid=0"",""Sheet1!K:K"")=$B193
    ),
    1
  )"&amp;",
  ""Not Found""
)"),2000.0)</f>
        <v>2000</v>
      </c>
      <c r="K193" s="340"/>
      <c r="L193" s="340"/>
      <c r="M193" s="230"/>
      <c r="N193" s="230"/>
      <c r="O193" s="230"/>
      <c r="P193" s="230"/>
      <c r="Q193" s="230"/>
      <c r="R193" s="230"/>
      <c r="S193" s="230"/>
      <c r="T193" s="230"/>
      <c r="U193" s="230"/>
      <c r="V193" s="230"/>
      <c r="W193" s="230"/>
      <c r="X193" s="230"/>
      <c r="Y193" s="230"/>
      <c r="Z193" s="230"/>
    </row>
    <row r="194">
      <c r="A194" s="337" t="str">
        <f>IFERROR(__xludf.DUMMYFUNCTION("VLOOKUP($B194,IMPORTRANGE(""https://docs.google.com/spreadsheets/d/1VNXDITjs75AcgdBSW27oL1VZH31udDprJSsBcE5xlp4/edit?gid=1551188038#gid=1551188038"", ""Sheet9!$B:$E""),2,false)"),"Bahawalpure")</f>
        <v>Bahawalpure</v>
      </c>
      <c r="B194" s="338" t="s">
        <v>4635</v>
      </c>
      <c r="C194" s="292" t="s">
        <v>5799</v>
      </c>
      <c r="D194" s="284" t="str">
        <f>IFERROR(__xludf.DUMMYFUNCTION("IFERROR(
  INDEX(
    FILTER(
      IMPORTRANGE(""1Cxrhp3-_-HS7v9uuqQliiIfrmMP4VaFoDNDWyUFy2J8/edit?gid=0#gid=0"",""Sheet1!AG:AG""),
      IMPORTRANGE(""1Cxrhp3-_-HS7v9uuqQliiIfrmMP4VaFoDNDWyUFy2J8/edit?gid=0#gid=0"",""Sheet1!K:K"")=$B194
    ),
    1
  )"&amp;",
  ""Not Found""
)"),"")</f>
        <v/>
      </c>
      <c r="E194" s="284">
        <f>IFERROR(__xludf.DUMMYFUNCTION("IFERROR(
  INDEX(
    FILTER(
      IMPORTRANGE(""1kOrIKZmJfNUkgOVP3sI9BPjaaPA0_a4636oymQxTXg8/edit?gid=609491371#gid=609491371"",""Form responses 1!J:J""),
      IMPORTRANGE(""1kOrIKZmJfNUkgOVP3sI9BPjaaPA0_a4636oymQxTXg8/edit?gid=609491371#gid=609491371"&amp;""",""Form responses 1!F:F"")=$B194
    ),
    1
  ),
  ""Not Found""
)"),1935.0)</f>
        <v>1935</v>
      </c>
      <c r="F194" s="284">
        <f>IFERROR(__xludf.DUMMYFUNCTION("IFERROR(
  INDEX(
    FILTER(
      IMPORTRANGE(""1kOrIKZmJfNUkgOVP3sI9BPjaaPA0_a4636oymQxTXg8/edit?gid=609491371#gid=609491371"",""Form responses 1!L:L""),
      IMPORTRANGE(""1kOrIKZmJfNUkgOVP3sI9BPjaaPA0_a4636oymQxTXg8/edit?gid=609491371#gid=609491371"&amp;""",""Form responses 1!F:F"")=$B194
    ),
    1
  ),
  ""Not Found""
)"),0.0)</f>
        <v>0</v>
      </c>
      <c r="G194" s="284" t="str">
        <f>IFERROR(__xludf.DUMMYFUNCTION("IFERROR(
  INDEX(
    FILTER(
      IMPORTRANGE(""1kOrIKZmJfNUkgOVP3sI9BPjaaPA0_a4636oymQxTXg8/edit?gid=609491371#gid=609491371"",""Form responses 1!K:K""),
      IMPORTRANGE(""1kOrIKZmJfNUkgOVP3sI9BPjaaPA0_a4636oymQxTXg8/edit?gid=609491371#gid=609491371"&amp;""",""Form responses 1!F:F"")=$B194
    ),
    1
  ),
  ""Not Found""
)"),"No")</f>
        <v>No</v>
      </c>
      <c r="H194" s="230"/>
      <c r="I194" s="230">
        <v>1935.0</v>
      </c>
      <c r="J194" s="339">
        <f>IFERROR(__xludf.DUMMYFUNCTION("IFERROR(
  INDEX(
    FILTER(
      IMPORTRANGE(""1Cxrhp3-_-HS7v9uuqQliiIfrmMP4VaFoDNDWyUFy2J8/edit?gid=0#gid=0"",""Sheet1!AE:AE""),
      IMPORTRANGE(""1Cxrhp3-_-HS7v9uuqQliiIfrmMP4VaFoDNDWyUFy2J8/edit?gid=0#gid=0"",""Sheet1!K:K"")=$B194
    ),
    1
  )"&amp;",
  ""Not Found""
)"),1935.0)</f>
        <v>1935</v>
      </c>
      <c r="K194" s="340"/>
      <c r="L194" s="340"/>
      <c r="M194" s="230"/>
      <c r="N194" s="230"/>
      <c r="O194" s="230"/>
      <c r="P194" s="230"/>
      <c r="Q194" s="230"/>
      <c r="R194" s="230"/>
      <c r="S194" s="230"/>
      <c r="T194" s="230"/>
      <c r="U194" s="230"/>
      <c r="V194" s="230"/>
      <c r="W194" s="230"/>
      <c r="X194" s="230"/>
      <c r="Y194" s="230"/>
      <c r="Z194" s="230"/>
    </row>
    <row r="195">
      <c r="A195" s="337" t="str">
        <f>IFERROR(__xludf.DUMMYFUNCTION("VLOOKUP($B195,IMPORTRANGE(""https://docs.google.com/spreadsheets/d/1VNXDITjs75AcgdBSW27oL1VZH31udDprJSsBcE5xlp4/edit?gid=1551188038#gid=1551188038"", ""Sheet9!$B:$E""),2,false)"),"Bahawalpure")</f>
        <v>Bahawalpure</v>
      </c>
      <c r="B195" s="338" t="s">
        <v>4636</v>
      </c>
      <c r="C195" s="284" t="str">
        <f>IFERROR(__xludf.DUMMYFUNCTION("IFERROR(
  INDEX(
    FILTER(
      IMPORTRANGE(""1Cxrhp3-_-HS7v9uuqQliiIfrmMP4VaFoDNDWyUFy2J8/edit?gid=0#gid=0"",""Sheet1!AE:AE""),
      IMPORTRANGE(""1Cxrhp3-_-HS7v9uuqQliiIfrmMP4VaFoDNDWyUFy2J8/edit?gid=0#gid=0"",""Sheet1!K:K"")=$B195
    ),
    1
  )"&amp;",
  ""Not Found""
)"),"Not Found")</f>
        <v>Not Found</v>
      </c>
      <c r="D195" s="284"/>
      <c r="E195" s="284">
        <f>IFERROR(__xludf.DUMMYFUNCTION("IFERROR(
  INDEX(
    FILTER(
      IMPORTRANGE(""1kOrIKZmJfNUkgOVP3sI9BPjaaPA0_a4636oymQxTXg8/edit?gid=609491371#gid=609491371"",""Form responses 1!J:J""),
      IMPORTRANGE(""1kOrIKZmJfNUkgOVP3sI9BPjaaPA0_a4636oymQxTXg8/edit?gid=609491371#gid=609491371"&amp;""",""Form responses 1!F:F"")=$B195
    ),
    1
  ),
  ""Not Found""
)"),1980.0)</f>
        <v>1980</v>
      </c>
      <c r="F195" s="284" t="str">
        <f>IFERROR(__xludf.DUMMYFUNCTION("IFERROR(
  INDEX(
    FILTER(
      IMPORTRANGE(""1kOrIKZmJfNUkgOVP3sI9BPjaaPA0_a4636oymQxTXg8/edit?gid=609491371#gid=609491371"",""Form responses 1!L:L""),
      IMPORTRANGE(""1kOrIKZmJfNUkgOVP3sI9BPjaaPA0_a4636oymQxTXg8/edit?gid=609491371#gid=609491371"&amp;""",""Form responses 1!F:F"")=$B195
    ),
    1
  ),
  ""Not Found""
)"),"Rangela shah")</f>
        <v>Rangela shah</v>
      </c>
      <c r="G195" s="284" t="str">
        <f>IFERROR(__xludf.DUMMYFUNCTION("IFERROR(
  INDEX(
    FILTER(
      IMPORTRANGE(""1kOrIKZmJfNUkgOVP3sI9BPjaaPA0_a4636oymQxTXg8/edit?gid=609491371#gid=609491371"",""Form responses 1!K:K""),
      IMPORTRANGE(""1kOrIKZmJfNUkgOVP3sI9BPjaaPA0_a4636oymQxTXg8/edit?gid=609491371#gid=609491371"&amp;""",""Form responses 1!F:F"")=$B195
    ),
    1
  ),
  ""Not Found""
)"),"No")</f>
        <v>No</v>
      </c>
      <c r="H195" s="230"/>
      <c r="I195" s="343">
        <v>1980.0</v>
      </c>
      <c r="J195" s="344">
        <v>1980.0</v>
      </c>
      <c r="K195" s="340"/>
      <c r="L195" s="340"/>
      <c r="M195" s="230"/>
      <c r="N195" s="230"/>
      <c r="O195" s="230"/>
      <c r="P195" s="230"/>
      <c r="Q195" s="230"/>
      <c r="R195" s="230"/>
      <c r="S195" s="230"/>
      <c r="T195" s="230"/>
      <c r="U195" s="230"/>
      <c r="V195" s="230"/>
      <c r="W195" s="230"/>
      <c r="X195" s="230"/>
      <c r="Y195" s="230"/>
      <c r="Z195" s="230"/>
    </row>
    <row r="196">
      <c r="A196" s="337" t="str">
        <f>IFERROR(__xludf.DUMMYFUNCTION("VLOOKUP($B196,IMPORTRANGE(""https://docs.google.com/spreadsheets/d/1VNXDITjs75AcgdBSW27oL1VZH31udDprJSsBcE5xlp4/edit?gid=1551188038#gid=1551188038"", ""Sheet9!$B:$E""),2,false)"),"Bahawalpure")</f>
        <v>Bahawalpure</v>
      </c>
      <c r="B196" s="338" t="s">
        <v>4637</v>
      </c>
      <c r="C196" s="284">
        <f>IFERROR(__xludf.DUMMYFUNCTION("IFERROR(
  INDEX(
    FILTER(
      IMPORTRANGE(""1Cxrhp3-_-HS7v9uuqQliiIfrmMP4VaFoDNDWyUFy2J8/edit?gid=0#gid=0"",""Sheet1!AE:AE""),
      IMPORTRANGE(""1Cxrhp3-_-HS7v9uuqQliiIfrmMP4VaFoDNDWyUFy2J8/edit?gid=0#gid=0"",""Sheet1!K:K"")=$B196
    ),
    1
  )"&amp;",
  ""Not Found""
)"),1918.0)</f>
        <v>1918</v>
      </c>
      <c r="D196" s="284" t="str">
        <f>IFERROR(__xludf.DUMMYFUNCTION("IFERROR(
  INDEX(
    FILTER(
      IMPORTRANGE(""1Cxrhp3-_-HS7v9uuqQliiIfrmMP4VaFoDNDWyUFy2J8/edit?gid=0#gid=0"",""Sheet1!AG:AG""),
      IMPORTRANGE(""1Cxrhp3-_-HS7v9uuqQliiIfrmMP4VaFoDNDWyUFy2J8/edit?gid=0#gid=0"",""Sheet1!K:K"")=$B196
    ),
    1
  )"&amp;",
  ""Not Found""
)"),"")</f>
        <v/>
      </c>
      <c r="E196" s="284">
        <f>IFERROR(__xludf.DUMMYFUNCTION("IFERROR(
  INDEX(
    FILTER(
      IMPORTRANGE(""1kOrIKZmJfNUkgOVP3sI9BPjaaPA0_a4636oymQxTXg8/edit?gid=609491371#gid=609491371"",""Form responses 1!J:J""),
      IMPORTRANGE(""1kOrIKZmJfNUkgOVP3sI9BPjaaPA0_a4636oymQxTXg8/edit?gid=609491371#gid=609491371"&amp;""",""Form responses 1!F:F"")=$B196
    ),
    1
  ),
  ""Not Found""
)"),1918.0)</f>
        <v>1918</v>
      </c>
      <c r="F196" s="284">
        <f>IFERROR(__xludf.DUMMYFUNCTION("IFERROR(
  INDEX(
    FILTER(
      IMPORTRANGE(""1kOrIKZmJfNUkgOVP3sI9BPjaaPA0_a4636oymQxTXg8/edit?gid=609491371#gid=609491371"",""Form responses 1!L:L""),
      IMPORTRANGE(""1kOrIKZmJfNUkgOVP3sI9BPjaaPA0_a4636oymQxTXg8/edit?gid=609491371#gid=609491371"&amp;""",""Form responses 1!F:F"")=$B196
    ),
    1
  ),
  ""Not Found""
)"),0.0)</f>
        <v>0</v>
      </c>
      <c r="G196" s="284" t="str">
        <f>IFERROR(__xludf.DUMMYFUNCTION("IFERROR(
  INDEX(
    FILTER(
      IMPORTRANGE(""1kOrIKZmJfNUkgOVP3sI9BPjaaPA0_a4636oymQxTXg8/edit?gid=609491371#gid=609491371"",""Form responses 1!K:K""),
      IMPORTRANGE(""1kOrIKZmJfNUkgOVP3sI9BPjaaPA0_a4636oymQxTXg8/edit?gid=609491371#gid=609491371"&amp;""",""Form responses 1!F:F"")=$B196
    ),
    1
  ),
  ""Not Found""
)"),"No")</f>
        <v>No</v>
      </c>
      <c r="H196" s="230"/>
      <c r="I196" s="230">
        <v>1918.0</v>
      </c>
      <c r="J196" s="339">
        <f>IFERROR(__xludf.DUMMYFUNCTION("IFERROR(
  INDEX(
    FILTER(
      IMPORTRANGE(""1Cxrhp3-_-HS7v9uuqQliiIfrmMP4VaFoDNDWyUFy2J8/edit?gid=0#gid=0"",""Sheet1!AE:AE""),
      IMPORTRANGE(""1Cxrhp3-_-HS7v9uuqQliiIfrmMP4VaFoDNDWyUFy2J8/edit?gid=0#gid=0"",""Sheet1!K:K"")=$B196
    ),
    1
  )"&amp;",
  ""Not Found""
)"),1918.0)</f>
        <v>1918</v>
      </c>
      <c r="K196" s="340"/>
      <c r="L196" s="340"/>
      <c r="M196" s="230"/>
      <c r="N196" s="230"/>
      <c r="O196" s="230"/>
      <c r="P196" s="230"/>
      <c r="Q196" s="230"/>
      <c r="R196" s="230"/>
      <c r="S196" s="230"/>
      <c r="T196" s="230"/>
      <c r="U196" s="230"/>
      <c r="V196" s="230"/>
      <c r="W196" s="230"/>
      <c r="X196" s="230"/>
      <c r="Y196" s="230"/>
      <c r="Z196" s="230"/>
    </row>
    <row r="197">
      <c r="A197" s="337" t="str">
        <f>IFERROR(__xludf.DUMMYFUNCTION("VLOOKUP($B197,IMPORTRANGE(""https://docs.google.com/spreadsheets/d/1VNXDITjs75AcgdBSW27oL1VZH31udDprJSsBcE5xlp4/edit?gid=1551188038#gid=1551188038"", ""Sheet9!$B:$E""),2,false)"),"Bahawalpure")</f>
        <v>Bahawalpure</v>
      </c>
      <c r="B197" s="338" t="s">
        <v>4638</v>
      </c>
      <c r="C197" s="284" t="str">
        <f>IFERROR(__xludf.DUMMYFUNCTION("IFERROR(
  INDEX(
    FILTER(
      IMPORTRANGE(""1Cxrhp3-_-HS7v9uuqQliiIfrmMP4VaFoDNDWyUFy2J8/edit?gid=0#gid=0"",""Sheet1!AE:AE""),
      IMPORTRANGE(""1Cxrhp3-_-HS7v9uuqQliiIfrmMP4VaFoDNDWyUFy2J8/edit?gid=0#gid=0"",""Sheet1!K:K"")=$B197
    ),
    1
  )"&amp;",
  ""Not Found""
)"),"Not Found")</f>
        <v>Not Found</v>
      </c>
      <c r="D197" s="284"/>
      <c r="E197" s="284">
        <f>IFERROR(__xludf.DUMMYFUNCTION("IFERROR(
  INDEX(
    FILTER(
      IMPORTRANGE(""1kOrIKZmJfNUkgOVP3sI9BPjaaPA0_a4636oymQxTXg8/edit?gid=609491371#gid=609491371"",""Form responses 1!J:J""),
      IMPORTRANGE(""1kOrIKZmJfNUkgOVP3sI9BPjaaPA0_a4636oymQxTXg8/edit?gid=609491371#gid=609491371"&amp;""",""Form responses 1!F:F"")=$B197
    ),
    1
  ),
  ""Not Found""
)"),1957.0)</f>
        <v>1957</v>
      </c>
      <c r="F197" s="284">
        <f>IFERROR(__xludf.DUMMYFUNCTION("IFERROR(
  INDEX(
    FILTER(
      IMPORTRANGE(""1kOrIKZmJfNUkgOVP3sI9BPjaaPA0_a4636oymQxTXg8/edit?gid=609491371#gid=609491371"",""Form responses 1!L:L""),
      IMPORTRANGE(""1kOrIKZmJfNUkgOVP3sI9BPjaaPA0_a4636oymQxTXg8/edit?gid=609491371#gid=609491371"&amp;""",""Form responses 1!F:F"")=$B197
    ),
    1
  ),
  ""Not Found""
)"),0.0)</f>
        <v>0</v>
      </c>
      <c r="G197" s="284" t="str">
        <f>IFERROR(__xludf.DUMMYFUNCTION("IFERROR(
  INDEX(
    FILTER(
      IMPORTRANGE(""1kOrIKZmJfNUkgOVP3sI9BPjaaPA0_a4636oymQxTXg8/edit?gid=609491371#gid=609491371"",""Form responses 1!K:K""),
      IMPORTRANGE(""1kOrIKZmJfNUkgOVP3sI9BPjaaPA0_a4636oymQxTXg8/edit?gid=609491371#gid=609491371"&amp;""",""Form responses 1!F:F"")=$B197
    ),
    1
  ),
  ""Not Found""
)"),"No")</f>
        <v>No</v>
      </c>
      <c r="H197" s="230"/>
      <c r="I197" s="343">
        <v>1957.0</v>
      </c>
      <c r="J197" s="344">
        <v>1957.0</v>
      </c>
      <c r="K197" s="340"/>
      <c r="L197" s="340"/>
      <c r="M197" s="230"/>
      <c r="N197" s="230"/>
      <c r="O197" s="230"/>
      <c r="P197" s="230"/>
      <c r="Q197" s="230"/>
      <c r="R197" s="230"/>
      <c r="S197" s="230"/>
      <c r="T197" s="230"/>
      <c r="U197" s="230"/>
      <c r="V197" s="230"/>
      <c r="W197" s="230"/>
      <c r="X197" s="230"/>
      <c r="Y197" s="230"/>
      <c r="Z197" s="230"/>
    </row>
    <row r="198">
      <c r="A198" s="337" t="str">
        <f>IFERROR(__xludf.DUMMYFUNCTION("VLOOKUP($B198,IMPORTRANGE(""https://docs.google.com/spreadsheets/d/1VNXDITjs75AcgdBSW27oL1VZH31udDprJSsBcE5xlp4/edit?gid=1551188038#gid=1551188038"", ""Sheet9!$B:$E""),2,false)"),"Bahawalpure")</f>
        <v>Bahawalpure</v>
      </c>
      <c r="B198" s="338" t="s">
        <v>4639</v>
      </c>
      <c r="C198" s="284">
        <f>IFERROR(__xludf.DUMMYFUNCTION("IFERROR(
  INDEX(
    FILTER(
      IMPORTRANGE(""1Cxrhp3-_-HS7v9uuqQliiIfrmMP4VaFoDNDWyUFy2J8/edit?gid=0#gid=0"",""Sheet1!AE:AE""),
      IMPORTRANGE(""1Cxrhp3-_-HS7v9uuqQliiIfrmMP4VaFoDNDWyUFy2J8/edit?gid=0#gid=0"",""Sheet1!K:K"")=$B198
    ),
    1
  )"&amp;",
  ""Not Found""
)"),2022.0)</f>
        <v>2022</v>
      </c>
      <c r="D198" s="284" t="str">
        <f>IFERROR(__xludf.DUMMYFUNCTION("IFERROR(
  INDEX(
    FILTER(
      IMPORTRANGE(""1Cxrhp3-_-HS7v9uuqQliiIfrmMP4VaFoDNDWyUFy2J8/edit?gid=0#gid=0"",""Sheet1!AG:AG""),
      IMPORTRANGE(""1Cxrhp3-_-HS7v9uuqQliiIfrmMP4VaFoDNDWyUFy2J8/edit?gid=0#gid=0"",""Sheet1!K:K"")=$B198
    ),
    1
  )"&amp;",
  ""Not Found""
)"),"")</f>
        <v/>
      </c>
      <c r="E198" s="284">
        <f>IFERROR(__xludf.DUMMYFUNCTION("IFERROR(
  INDEX(
    FILTER(
      IMPORTRANGE(""1kOrIKZmJfNUkgOVP3sI9BPjaaPA0_a4636oymQxTXg8/edit?gid=609491371#gid=609491371"",""Form responses 1!J:J""),
      IMPORTRANGE(""1kOrIKZmJfNUkgOVP3sI9BPjaaPA0_a4636oymQxTXg8/edit?gid=609491371#gid=609491371"&amp;""",""Form responses 1!F:F"")=$B198
    ),
    1
  ),
  ""Not Found""
)"),2022.0)</f>
        <v>2022</v>
      </c>
      <c r="F198" s="284">
        <f>IFERROR(__xludf.DUMMYFUNCTION("IFERROR(
  INDEX(
    FILTER(
      IMPORTRANGE(""1kOrIKZmJfNUkgOVP3sI9BPjaaPA0_a4636oymQxTXg8/edit?gid=609491371#gid=609491371"",""Form responses 1!L:L""),
      IMPORTRANGE(""1kOrIKZmJfNUkgOVP3sI9BPjaaPA0_a4636oymQxTXg8/edit?gid=609491371#gid=609491371"&amp;""",""Form responses 1!F:F"")=$B198
    ),
    1
  ),
  ""Not Found""
)"),0.0)</f>
        <v>0</v>
      </c>
      <c r="G198" s="284" t="str">
        <f>IFERROR(__xludf.DUMMYFUNCTION("IFERROR(
  INDEX(
    FILTER(
      IMPORTRANGE(""1kOrIKZmJfNUkgOVP3sI9BPjaaPA0_a4636oymQxTXg8/edit?gid=609491371#gid=609491371"",""Form responses 1!K:K""),
      IMPORTRANGE(""1kOrIKZmJfNUkgOVP3sI9BPjaaPA0_a4636oymQxTXg8/edit?gid=609491371#gid=609491371"&amp;""",""Form responses 1!F:F"")=$B198
    ),
    1
  ),
  ""Not Found""
)"),"No")</f>
        <v>No</v>
      </c>
      <c r="H198" s="230"/>
      <c r="I198" s="230">
        <v>2022.0</v>
      </c>
      <c r="J198" s="339">
        <f>IFERROR(__xludf.DUMMYFUNCTION("IFERROR(
  INDEX(
    FILTER(
      IMPORTRANGE(""1Cxrhp3-_-HS7v9uuqQliiIfrmMP4VaFoDNDWyUFy2J8/edit?gid=0#gid=0"",""Sheet1!AE:AE""),
      IMPORTRANGE(""1Cxrhp3-_-HS7v9uuqQliiIfrmMP4VaFoDNDWyUFy2J8/edit?gid=0#gid=0"",""Sheet1!K:K"")=$B198
    ),
    1
  )"&amp;",
  ""Not Found""
)"),2022.0)</f>
        <v>2022</v>
      </c>
      <c r="K198" s="340"/>
      <c r="L198" s="340"/>
      <c r="M198" s="230"/>
      <c r="N198" s="230"/>
      <c r="O198" s="230"/>
      <c r="P198" s="230"/>
      <c r="Q198" s="230"/>
      <c r="R198" s="230"/>
      <c r="S198" s="230"/>
      <c r="T198" s="230"/>
      <c r="U198" s="230"/>
      <c r="V198" s="230"/>
      <c r="W198" s="230"/>
      <c r="X198" s="230"/>
      <c r="Y198" s="230"/>
      <c r="Z198" s="230"/>
    </row>
    <row r="199">
      <c r="A199" s="337" t="str">
        <f>IFERROR(__xludf.DUMMYFUNCTION("VLOOKUP($B199,IMPORTRANGE(""https://docs.google.com/spreadsheets/d/1VNXDITjs75AcgdBSW27oL1VZH31udDprJSsBcE5xlp4/edit?gid=1551188038#gid=1551188038"", ""Sheet9!$B:$E""),2,false)"),"Bahawalpure")</f>
        <v>Bahawalpure</v>
      </c>
      <c r="B199" s="338" t="s">
        <v>4640</v>
      </c>
      <c r="C199" s="284">
        <f>IFERROR(__xludf.DUMMYFUNCTION("IFERROR(
  INDEX(
    FILTER(
      IMPORTRANGE(""1Cxrhp3-_-HS7v9uuqQliiIfrmMP4VaFoDNDWyUFy2J8/edit?gid=0#gid=0"",""Sheet1!AE:AE""),
      IMPORTRANGE(""1Cxrhp3-_-HS7v9uuqQliiIfrmMP4VaFoDNDWyUFy2J8/edit?gid=0#gid=0"",""Sheet1!K:K"")=$B199
    ),
    1
  )"&amp;",
  ""Not Found""
)"),1977.0)</f>
        <v>1977</v>
      </c>
      <c r="D199" s="284" t="str">
        <f>IFERROR(__xludf.DUMMYFUNCTION("IFERROR(
  INDEX(
    FILTER(
      IMPORTRANGE(""1Cxrhp3-_-HS7v9uuqQliiIfrmMP4VaFoDNDWyUFy2J8/edit?gid=0#gid=0"",""Sheet1!AG:AG""),
      IMPORTRANGE(""1Cxrhp3-_-HS7v9uuqQliiIfrmMP4VaFoDNDWyUFy2J8/edit?gid=0#gid=0"",""Sheet1!K:K"")=$B199
    ),
    1
  )"&amp;",
  ""Not Found""
)"),"")</f>
        <v/>
      </c>
      <c r="E199" s="284">
        <f>IFERROR(__xludf.DUMMYFUNCTION("IFERROR(
  INDEX(
    FILTER(
      IMPORTRANGE(""1kOrIKZmJfNUkgOVP3sI9BPjaaPA0_a4636oymQxTXg8/edit?gid=609491371#gid=609491371"",""Form responses 1!J:J""),
      IMPORTRANGE(""1kOrIKZmJfNUkgOVP3sI9BPjaaPA0_a4636oymQxTXg8/edit?gid=609491371#gid=609491371"&amp;""",""Form responses 1!F:F"")=$B199
    ),
    1
  ),
  ""Not Found""
)"),1977.0)</f>
        <v>1977</v>
      </c>
      <c r="F199" s="284" t="str">
        <f>IFERROR(__xludf.DUMMYFUNCTION("IFERROR(
  INDEX(
    FILTER(
      IMPORTRANGE(""1kOrIKZmJfNUkgOVP3sI9BPjaaPA0_a4636oymQxTXg8/edit?gid=609491371#gid=609491371"",""Form responses 1!L:L""),
      IMPORTRANGE(""1kOrIKZmJfNUkgOVP3sI9BPjaaPA0_a4636oymQxTXg8/edit?gid=609491371#gid=609491371"&amp;""",""Form responses 1!F:F"")=$B199
    ),
    1
  ),
  ""Not Found""
)"),"Koi darbar ni h")</f>
        <v>Koi darbar ni h</v>
      </c>
      <c r="G199" s="284" t="str">
        <f>IFERROR(__xludf.DUMMYFUNCTION("IFERROR(
  INDEX(
    FILTER(
      IMPORTRANGE(""1kOrIKZmJfNUkgOVP3sI9BPjaaPA0_a4636oymQxTXg8/edit?gid=609491371#gid=609491371"",""Form responses 1!K:K""),
      IMPORTRANGE(""1kOrIKZmJfNUkgOVP3sI9BPjaaPA0_a4636oymQxTXg8/edit?gid=609491371#gid=609491371"&amp;""",""Form responses 1!F:F"")=$B199
    ),
    1
  ),
  ""Not Found""
)"),"No")</f>
        <v>No</v>
      </c>
      <c r="H199" s="230"/>
      <c r="I199" s="230">
        <v>1977.0</v>
      </c>
      <c r="J199" s="339">
        <f>IFERROR(__xludf.DUMMYFUNCTION("IFERROR(
  INDEX(
    FILTER(
      IMPORTRANGE(""1Cxrhp3-_-HS7v9uuqQliiIfrmMP4VaFoDNDWyUFy2J8/edit?gid=0#gid=0"",""Sheet1!AE:AE""),
      IMPORTRANGE(""1Cxrhp3-_-HS7v9uuqQliiIfrmMP4VaFoDNDWyUFy2J8/edit?gid=0#gid=0"",""Sheet1!K:K"")=$B199
    ),
    1
  )"&amp;",
  ""Not Found""
)"),1977.0)</f>
        <v>1977</v>
      </c>
      <c r="K199" s="340"/>
      <c r="L199" s="340"/>
      <c r="M199" s="230"/>
      <c r="N199" s="230"/>
      <c r="O199" s="230"/>
      <c r="P199" s="230"/>
      <c r="Q199" s="230"/>
      <c r="R199" s="230"/>
      <c r="S199" s="230"/>
      <c r="T199" s="230"/>
      <c r="U199" s="230"/>
      <c r="V199" s="230"/>
      <c r="W199" s="230"/>
      <c r="X199" s="230"/>
      <c r="Y199" s="230"/>
      <c r="Z199" s="230"/>
    </row>
    <row r="200">
      <c r="A200" s="337" t="str">
        <f>IFERROR(__xludf.DUMMYFUNCTION("VLOOKUP($B200,IMPORTRANGE(""https://docs.google.com/spreadsheets/d/1VNXDITjs75AcgdBSW27oL1VZH31udDprJSsBcE5xlp4/edit?gid=1551188038#gid=1551188038"", ""Sheet9!$B:$E""),2,false)"),"Bahawalpure")</f>
        <v>Bahawalpure</v>
      </c>
      <c r="B200" s="338" t="s">
        <v>4641</v>
      </c>
      <c r="C200" s="284" t="str">
        <f>IFERROR(__xludf.DUMMYFUNCTION("IFERROR(
  INDEX(
    FILTER(
      IMPORTRANGE(""1Cxrhp3-_-HS7v9uuqQliiIfrmMP4VaFoDNDWyUFy2J8/edit?gid=0#gid=0"",""Sheet1!AE:AE""),
      IMPORTRANGE(""1Cxrhp3-_-HS7v9uuqQliiIfrmMP4VaFoDNDWyUFy2J8/edit?gid=0#gid=0"",""Sheet1!K:K"")=$B200
    ),
    1
  )"&amp;",
  ""Not Found""
)"),"Not Found")</f>
        <v>Not Found</v>
      </c>
      <c r="D200" s="284"/>
      <c r="E200" s="284">
        <f>IFERROR(__xludf.DUMMYFUNCTION("IFERROR(
  INDEX(
    FILTER(
      IMPORTRANGE(""1kOrIKZmJfNUkgOVP3sI9BPjaaPA0_a4636oymQxTXg8/edit?gid=609491371#gid=609491371"",""Form responses 1!J:J""),
      IMPORTRANGE(""1kOrIKZmJfNUkgOVP3sI9BPjaaPA0_a4636oymQxTXg8/edit?gid=609491371#gid=609491371"&amp;""",""Form responses 1!F:F"")=$B200
    ),
    1
  ),
  ""Not Found""
)"),1776.0)</f>
        <v>1776</v>
      </c>
      <c r="F200" s="284" t="str">
        <f>IFERROR(__xludf.DUMMYFUNCTION("IFERROR(
  INDEX(
    FILTER(
      IMPORTRANGE(""1kOrIKZmJfNUkgOVP3sI9BPjaaPA0_a4636oymQxTXg8/edit?gid=609491371#gid=609491371"",""Form responses 1!L:L""),
      IMPORTRANGE(""1kOrIKZmJfNUkgOVP3sI9BPjaaPA0_a4636oymQxTXg8/edit?gid=609491371#gid=609491371"&amp;""",""Form responses 1!F:F"")=$B200
    ),
    1
  ),
  ""Not Found""
)"),"Khwaja Mohkam Din Serani")</f>
        <v>Khwaja Mohkam Din Serani</v>
      </c>
      <c r="G200" s="284" t="str">
        <f>IFERROR(__xludf.DUMMYFUNCTION("IFERROR(
  INDEX(
    FILTER(
      IMPORTRANGE(""1kOrIKZmJfNUkgOVP3sI9BPjaaPA0_a4636oymQxTXg8/edit?gid=609491371#gid=609491371"",""Form responses 1!K:K""),
      IMPORTRANGE(""1kOrIKZmJfNUkgOVP3sI9BPjaaPA0_a4636oymQxTXg8/edit?gid=609491371#gid=609491371"&amp;""",""Form responses 1!F:F"")=$B200
    ),
    1
  ),
  ""Not Found""
)"),"No")</f>
        <v>No</v>
      </c>
      <c r="H200" s="230"/>
      <c r="I200" s="343">
        <v>1776.0</v>
      </c>
      <c r="J200" s="344">
        <v>1776.0</v>
      </c>
      <c r="K200" s="340"/>
      <c r="L200" s="340"/>
      <c r="M200" s="230"/>
      <c r="N200" s="230"/>
      <c r="O200" s="230"/>
      <c r="P200" s="230"/>
      <c r="Q200" s="230"/>
      <c r="R200" s="230"/>
      <c r="S200" s="230"/>
      <c r="T200" s="230"/>
      <c r="U200" s="230"/>
      <c r="V200" s="230"/>
      <c r="W200" s="230"/>
      <c r="X200" s="230"/>
      <c r="Y200" s="230"/>
      <c r="Z200" s="230"/>
    </row>
    <row r="201">
      <c r="A201" s="337" t="str">
        <f>IFERROR(__xludf.DUMMYFUNCTION("VLOOKUP($B201,IMPORTRANGE(""https://docs.google.com/spreadsheets/d/1VNXDITjs75AcgdBSW27oL1VZH31udDprJSsBcE5xlp4/edit?gid=1551188038#gid=1551188038"", ""Sheet9!$B:$E""),2,false)"),"Bahawalpure")</f>
        <v>Bahawalpure</v>
      </c>
      <c r="B201" s="338" t="s">
        <v>4642</v>
      </c>
      <c r="C201" s="284">
        <f>IFERROR(__xludf.DUMMYFUNCTION("IFERROR(
  INDEX(
    FILTER(
      IMPORTRANGE(""1Cxrhp3-_-HS7v9uuqQliiIfrmMP4VaFoDNDWyUFy2J8/edit?gid=0#gid=0"",""Sheet1!AE:AE""),
      IMPORTRANGE(""1Cxrhp3-_-HS7v9uuqQliiIfrmMP4VaFoDNDWyUFy2J8/edit?gid=0#gid=0"",""Sheet1!K:K"")=$B201
    ),
    1
  )"&amp;",
  ""Not Found""
)"),2012.0)</f>
        <v>2012</v>
      </c>
      <c r="D201" s="284" t="s">
        <v>4872</v>
      </c>
      <c r="E201" s="284">
        <f>IFERROR(__xludf.DUMMYFUNCTION("IFERROR(
  INDEX(
    FILTER(
      IMPORTRANGE(""1kOrIKZmJfNUkgOVP3sI9BPjaaPA0_a4636oymQxTXg8/edit?gid=609491371#gid=609491371"",""Form responses 1!J:J""),
      IMPORTRANGE(""1kOrIKZmJfNUkgOVP3sI9BPjaaPA0_a4636oymQxTXg8/edit?gid=609491371#gid=609491371"&amp;""",""Form responses 1!F:F"")=$B201
    ),
    1
  ),
  ""Not Found""
)"),2012.0)</f>
        <v>2012</v>
      </c>
      <c r="F201" s="284" t="str">
        <f>IFERROR(__xludf.DUMMYFUNCTION("IFERROR(
  INDEX(
    FILTER(
      IMPORTRANGE(""1kOrIKZmJfNUkgOVP3sI9BPjaaPA0_a4636oymQxTXg8/edit?gid=609491371#gid=609491371"",""Form responses 1!L:L""),
      IMPORTRANGE(""1kOrIKZmJfNUkgOVP3sI9BPjaaPA0_a4636oymQxTXg8/edit?gid=609491371#gid=609491371"&amp;""",""Form responses 1!F:F"")=$B201
    ),
    1
  ),
  ""Not Found""
)"),"Khawaja Khuda Bhakas")</f>
        <v>Khawaja Khuda Bhakas</v>
      </c>
      <c r="G201" s="284" t="str">
        <f>IFERROR(__xludf.DUMMYFUNCTION("IFERROR(
  INDEX(
    FILTER(
      IMPORTRANGE(""1kOrIKZmJfNUkgOVP3sI9BPjaaPA0_a4636oymQxTXg8/edit?gid=609491371#gid=609491371"",""Form responses 1!K:K""),
      IMPORTRANGE(""1kOrIKZmJfNUkgOVP3sI9BPjaaPA0_a4636oymQxTXg8/edit?gid=609491371#gid=609491371"&amp;""",""Form responses 1!F:F"")=$B201
    ),
    1
  ),
  ""Not Found""
)"),"No")</f>
        <v>No</v>
      </c>
      <c r="H201" s="230"/>
      <c r="I201" s="230">
        <v>2012.0</v>
      </c>
      <c r="J201" s="339">
        <f>IFERROR(__xludf.DUMMYFUNCTION("IFERROR(
  INDEX(
    FILTER(
      IMPORTRANGE(""1Cxrhp3-_-HS7v9uuqQliiIfrmMP4VaFoDNDWyUFy2J8/edit?gid=0#gid=0"",""Sheet1!AE:AE""),
      IMPORTRANGE(""1Cxrhp3-_-HS7v9uuqQliiIfrmMP4VaFoDNDWyUFy2J8/edit?gid=0#gid=0"",""Sheet1!K:K"")=$B201
    ),
    1
  )"&amp;",
  ""Not Found""
)"),2012.0)</f>
        <v>2012</v>
      </c>
      <c r="K201" s="340"/>
      <c r="L201" s="340"/>
      <c r="M201" s="230"/>
      <c r="N201" s="230"/>
      <c r="O201" s="230"/>
      <c r="P201" s="230"/>
      <c r="Q201" s="230"/>
      <c r="R201" s="230"/>
      <c r="S201" s="230"/>
      <c r="T201" s="230"/>
      <c r="U201" s="230"/>
      <c r="V201" s="230"/>
      <c r="W201" s="230"/>
      <c r="X201" s="230"/>
      <c r="Y201" s="230"/>
      <c r="Z201" s="230"/>
    </row>
    <row r="202">
      <c r="A202" s="337" t="str">
        <f>IFERROR(__xludf.DUMMYFUNCTION("VLOOKUP($B202,IMPORTRANGE(""https://docs.google.com/spreadsheets/d/1VNXDITjs75AcgdBSW27oL1VZH31udDprJSsBcE5xlp4/edit?gid=1551188038#gid=1551188038"", ""Sheet9!$B:$E""),2,false)"),"Bahawalpure")</f>
        <v>Bahawalpure</v>
      </c>
      <c r="B202" s="338" t="s">
        <v>4643</v>
      </c>
      <c r="C202" s="284" t="str">
        <f>IFERROR(__xludf.DUMMYFUNCTION("IFERROR(
  INDEX(
    FILTER(
      IMPORTRANGE(""1Cxrhp3-_-HS7v9uuqQliiIfrmMP4VaFoDNDWyUFy2J8/edit?gid=0#gid=0"",""Sheet1!AE:AE""),
      IMPORTRANGE(""1Cxrhp3-_-HS7v9uuqQliiIfrmMP4VaFoDNDWyUFy2J8/edit?gid=0#gid=0"",""Sheet1!K:K"")=$B202
    ),
    1
  )"&amp;",
  ""Not Found""
)"),"Not Found")</f>
        <v>Not Found</v>
      </c>
      <c r="D202" s="284"/>
      <c r="E202" s="284">
        <f>IFERROR(__xludf.DUMMYFUNCTION("IFERROR(
  INDEX(
    FILTER(
      IMPORTRANGE(""1kOrIKZmJfNUkgOVP3sI9BPjaaPA0_a4636oymQxTXg8/edit?gid=609491371#gid=609491371"",""Form responses 1!J:J""),
      IMPORTRANGE(""1kOrIKZmJfNUkgOVP3sI9BPjaaPA0_a4636oymQxTXg8/edit?gid=609491371#gid=609491371"&amp;""",""Form responses 1!F:F"")=$B202
    ),
    1
  ),
  ""Not Found""
)"),1990.0)</f>
        <v>1990</v>
      </c>
      <c r="F202" s="284" t="str">
        <f>IFERROR(__xludf.DUMMYFUNCTION("IFERROR(
  INDEX(
    FILTER(
      IMPORTRANGE(""1kOrIKZmJfNUkgOVP3sI9BPjaaPA0_a4636oymQxTXg8/edit?gid=609491371#gid=609491371"",""Form responses 1!L:L""),
      IMPORTRANGE(""1kOrIKZmJfNUkgOVP3sI9BPjaaPA0_a4636oymQxTXg8/edit?gid=609491371#gid=609491371"&amp;""",""Form responses 1!F:F"")=$B202
    ),
    1
  ),
  ""Not Found""
)"),"Sakhi Sultan Ahmad Shah")</f>
        <v>Sakhi Sultan Ahmad Shah</v>
      </c>
      <c r="G202" s="284" t="str">
        <f>IFERROR(__xludf.DUMMYFUNCTION("IFERROR(
  INDEX(
    FILTER(
      IMPORTRANGE(""1kOrIKZmJfNUkgOVP3sI9BPjaaPA0_a4636oymQxTXg8/edit?gid=609491371#gid=609491371"",""Form responses 1!K:K""),
      IMPORTRANGE(""1kOrIKZmJfNUkgOVP3sI9BPjaaPA0_a4636oymQxTXg8/edit?gid=609491371#gid=609491371"&amp;""",""Form responses 1!F:F"")=$B202
    ),
    1
  ),
  ""Not Found""
)"),"No")</f>
        <v>No</v>
      </c>
      <c r="H202" s="230"/>
      <c r="I202" s="343">
        <v>1990.0</v>
      </c>
      <c r="J202" s="344">
        <v>1990.0</v>
      </c>
      <c r="K202" s="340"/>
      <c r="L202" s="340"/>
      <c r="M202" s="230"/>
      <c r="N202" s="230"/>
      <c r="O202" s="230"/>
      <c r="P202" s="230"/>
      <c r="Q202" s="230"/>
      <c r="R202" s="230"/>
      <c r="S202" s="230"/>
      <c r="T202" s="230"/>
      <c r="U202" s="230"/>
      <c r="V202" s="230"/>
      <c r="W202" s="230"/>
      <c r="X202" s="230"/>
      <c r="Y202" s="230"/>
      <c r="Z202" s="230"/>
    </row>
    <row r="203">
      <c r="A203" s="337" t="str">
        <f>IFERROR(__xludf.DUMMYFUNCTION("VLOOKUP($B203,IMPORTRANGE(""https://docs.google.com/spreadsheets/d/1VNXDITjs75AcgdBSW27oL1VZH31udDprJSsBcE5xlp4/edit?gid=1551188038#gid=1551188038"", ""Sheet9!$B:$E""),2,false)"),"Bahawalpure")</f>
        <v>Bahawalpure</v>
      </c>
      <c r="B203" s="338" t="s">
        <v>4873</v>
      </c>
      <c r="C203" s="284">
        <f>IFERROR(__xludf.DUMMYFUNCTION("IFERROR(
  INDEX(
    FILTER(
      IMPORTRANGE(""1Cxrhp3-_-HS7v9uuqQliiIfrmMP4VaFoDNDWyUFy2J8/edit?gid=0#gid=0"",""Sheet1!AE:AE""),
      IMPORTRANGE(""1Cxrhp3-_-HS7v9uuqQliiIfrmMP4VaFoDNDWyUFy2J8/edit?gid=0#gid=0"",""Sheet1!K:K"")=$B203
    ),
    1
  )"&amp;",
  ""Not Found""
)"),1997.0)</f>
        <v>1997</v>
      </c>
      <c r="D203" s="284" t="str">
        <f>IFERROR(__xludf.DUMMYFUNCTION("IFERROR(
  INDEX(
    FILTER(
      IMPORTRANGE(""1Cxrhp3-_-HS7v9uuqQliiIfrmMP4VaFoDNDWyUFy2J8/edit?gid=0#gid=0"",""Sheet1!AG:AG""),
      IMPORTRANGE(""1Cxrhp3-_-HS7v9uuqQliiIfrmMP4VaFoDNDWyUFy2J8/edit?gid=0#gid=0"",""Sheet1!K:K"")=$B203
    ),
    1
  )"&amp;",
  ""Not Found""
)"),"")</f>
        <v/>
      </c>
      <c r="E203" s="284">
        <f>IFERROR(__xludf.DUMMYFUNCTION("IFERROR(
  INDEX(
    FILTER(
      IMPORTRANGE(""1kOrIKZmJfNUkgOVP3sI9BPjaaPA0_a4636oymQxTXg8/edit?gid=609491371#gid=609491371"",""Form responses 1!J:J""),
      IMPORTRANGE(""1kOrIKZmJfNUkgOVP3sI9BPjaaPA0_a4636oymQxTXg8/edit?gid=609491371#gid=609491371"&amp;""",""Form responses 1!F:F"")=$B203
    ),
    1
  ),
  ""Not Found""
)"),1997.0)</f>
        <v>1997</v>
      </c>
      <c r="F203" s="284">
        <f>IFERROR(__xludf.DUMMYFUNCTION("IFERROR(
  INDEX(
    FILTER(
      IMPORTRANGE(""1kOrIKZmJfNUkgOVP3sI9BPjaaPA0_a4636oymQxTXg8/edit?gid=609491371#gid=609491371"",""Form responses 1!L:L""),
      IMPORTRANGE(""1kOrIKZmJfNUkgOVP3sI9BPjaaPA0_a4636oymQxTXg8/edit?gid=609491371#gid=609491371"&amp;""",""Form responses 1!F:F"")=$B203
    ),
    1
  ),
  ""Not Found""
)"),0.0)</f>
        <v>0</v>
      </c>
      <c r="G203" s="284" t="str">
        <f>IFERROR(__xludf.DUMMYFUNCTION("IFERROR(
  INDEX(
    FILTER(
      IMPORTRANGE(""1kOrIKZmJfNUkgOVP3sI9BPjaaPA0_a4636oymQxTXg8/edit?gid=609491371#gid=609491371"",""Form responses 1!K:K""),
      IMPORTRANGE(""1kOrIKZmJfNUkgOVP3sI9BPjaaPA0_a4636oymQxTXg8/edit?gid=609491371#gid=609491371"&amp;""",""Form responses 1!F:F"")=$B203
    ),
    1
  ),
  ""Not Found""
)"),"No")</f>
        <v>No</v>
      </c>
      <c r="H203" s="230"/>
      <c r="I203" s="230">
        <v>1997.0</v>
      </c>
      <c r="J203" s="339">
        <f>IFERROR(__xludf.DUMMYFUNCTION("IFERROR(
  INDEX(
    FILTER(
      IMPORTRANGE(""1Cxrhp3-_-HS7v9uuqQliiIfrmMP4VaFoDNDWyUFy2J8/edit?gid=0#gid=0"",""Sheet1!AE:AE""),
      IMPORTRANGE(""1Cxrhp3-_-HS7v9uuqQliiIfrmMP4VaFoDNDWyUFy2J8/edit?gid=0#gid=0"",""Sheet1!K:K"")=$B203
    ),
    1
  )"&amp;",
  ""Not Found""
)"),1997.0)</f>
        <v>1997</v>
      </c>
      <c r="K203" s="340"/>
      <c r="L203" s="340"/>
      <c r="M203" s="230"/>
      <c r="N203" s="230"/>
      <c r="O203" s="230"/>
      <c r="P203" s="230"/>
      <c r="Q203" s="230"/>
      <c r="R203" s="230"/>
      <c r="S203" s="230"/>
      <c r="T203" s="230"/>
      <c r="U203" s="230"/>
      <c r="V203" s="230"/>
      <c r="W203" s="230"/>
      <c r="X203" s="230"/>
      <c r="Y203" s="230"/>
      <c r="Z203" s="230"/>
    </row>
    <row r="204">
      <c r="A204" s="337" t="str">
        <f>IFERROR(__xludf.DUMMYFUNCTION("VLOOKUP($B204,IMPORTRANGE(""https://docs.google.com/spreadsheets/d/1VNXDITjs75AcgdBSW27oL1VZH31udDprJSsBcE5xlp4/edit?gid=1551188038#gid=1551188038"", ""Sheet9!$B:$E""),2,false)"),"Bahawalpure")</f>
        <v>Bahawalpure</v>
      </c>
      <c r="B204" s="338" t="s">
        <v>4644</v>
      </c>
      <c r="C204" s="284">
        <f>IFERROR(__xludf.DUMMYFUNCTION("IFERROR(
  INDEX(
    FILTER(
      IMPORTRANGE(""1Cxrhp3-_-HS7v9uuqQliiIfrmMP4VaFoDNDWyUFy2J8/edit?gid=0#gid=0"",""Sheet1!AE:AE""),
      IMPORTRANGE(""1Cxrhp3-_-HS7v9uuqQliiIfrmMP4VaFoDNDWyUFy2J8/edit?gid=0#gid=0"",""Sheet1!K:K"")=$B204
    ),
    1
  )"&amp;",
  ""Not Found""
)"),1880.0)</f>
        <v>1880</v>
      </c>
      <c r="D204" s="284" t="str">
        <f>IFERROR(__xludf.DUMMYFUNCTION("IFERROR(
  INDEX(
    FILTER(
      IMPORTRANGE(""1Cxrhp3-_-HS7v9uuqQliiIfrmMP4VaFoDNDWyUFy2J8/edit?gid=0#gid=0"",""Sheet1!AG:AG""),
      IMPORTRANGE(""1Cxrhp3-_-HS7v9uuqQliiIfrmMP4VaFoDNDWyUFy2J8/edit?gid=0#gid=0"",""Sheet1!K:K"")=$B204
    ),
    1
  )"&amp;",
  ""Not Found""
)"),"")</f>
        <v/>
      </c>
      <c r="E204" s="284">
        <f>IFERROR(__xludf.DUMMYFUNCTION("IFERROR(
  INDEX(
    FILTER(
      IMPORTRANGE(""1kOrIKZmJfNUkgOVP3sI9BPjaaPA0_a4636oymQxTXg8/edit?gid=609491371#gid=609491371"",""Form responses 1!J:J""),
      IMPORTRANGE(""1kOrIKZmJfNUkgOVP3sI9BPjaaPA0_a4636oymQxTXg8/edit?gid=609491371#gid=609491371"&amp;""",""Form responses 1!F:F"")=$B204
    ),
    1
  ),
  ""Not Found""
)"),1880.0)</f>
        <v>1880</v>
      </c>
      <c r="F204" s="284">
        <f>IFERROR(__xludf.DUMMYFUNCTION("IFERROR(
  INDEX(
    FILTER(
      IMPORTRANGE(""1kOrIKZmJfNUkgOVP3sI9BPjaaPA0_a4636oymQxTXg8/edit?gid=609491371#gid=609491371"",""Form responses 1!L:L""),
      IMPORTRANGE(""1kOrIKZmJfNUkgOVP3sI9BPjaaPA0_a4636oymQxTXg8/edit?gid=609491371#gid=609491371"&amp;""",""Form responses 1!F:F"")=$B204
    ),
    1
  ),
  ""Not Found""
)"),0.0)</f>
        <v>0</v>
      </c>
      <c r="G204" s="284" t="str">
        <f>IFERROR(__xludf.DUMMYFUNCTION("IFERROR(
  INDEX(
    FILTER(
      IMPORTRANGE(""1kOrIKZmJfNUkgOVP3sI9BPjaaPA0_a4636oymQxTXg8/edit?gid=609491371#gid=609491371"",""Form responses 1!K:K""),
      IMPORTRANGE(""1kOrIKZmJfNUkgOVP3sI9BPjaaPA0_a4636oymQxTXg8/edit?gid=609491371#gid=609491371"&amp;""",""Form responses 1!F:F"")=$B204
    ),
    1
  ),
  ""Not Found""
)"),"No")</f>
        <v>No</v>
      </c>
      <c r="H204" s="230"/>
      <c r="I204" s="230">
        <v>1880.0</v>
      </c>
      <c r="J204" s="339">
        <f>IFERROR(__xludf.DUMMYFUNCTION("IFERROR(
  INDEX(
    FILTER(
      IMPORTRANGE(""1Cxrhp3-_-HS7v9uuqQliiIfrmMP4VaFoDNDWyUFy2J8/edit?gid=0#gid=0"",""Sheet1!AE:AE""),
      IMPORTRANGE(""1Cxrhp3-_-HS7v9uuqQliiIfrmMP4VaFoDNDWyUFy2J8/edit?gid=0#gid=0"",""Sheet1!K:K"")=$B204
    ),
    1
  )"&amp;",
  ""Not Found""
)"),1880.0)</f>
        <v>1880</v>
      </c>
      <c r="K204" s="340"/>
      <c r="L204" s="340"/>
      <c r="M204" s="230"/>
      <c r="N204" s="230"/>
      <c r="O204" s="230"/>
      <c r="P204" s="230"/>
      <c r="Q204" s="230"/>
      <c r="R204" s="230"/>
      <c r="S204" s="230"/>
      <c r="T204" s="230"/>
      <c r="U204" s="230"/>
      <c r="V204" s="230"/>
      <c r="W204" s="230"/>
      <c r="X204" s="230"/>
      <c r="Y204" s="230"/>
      <c r="Z204" s="230"/>
    </row>
    <row r="205">
      <c r="A205" s="337" t="str">
        <f>IFERROR(__xludf.DUMMYFUNCTION("VLOOKUP($B205,IMPORTRANGE(""https://docs.google.com/spreadsheets/d/1VNXDITjs75AcgdBSW27oL1VZH31udDprJSsBcE5xlp4/edit?gid=1551188038#gid=1551188038"", ""Sheet9!$B:$E""),2,false)"),"Bahawalpure")</f>
        <v>Bahawalpure</v>
      </c>
      <c r="B205" s="338" t="s">
        <v>4645</v>
      </c>
      <c r="C205" s="284">
        <f>IFERROR(__xludf.DUMMYFUNCTION("IFERROR(
  INDEX(
    FILTER(
      IMPORTRANGE(""1Cxrhp3-_-HS7v9uuqQliiIfrmMP4VaFoDNDWyUFy2J8/edit?gid=0#gid=0"",""Sheet1!AE:AE""),
      IMPORTRANGE(""1Cxrhp3-_-HS7v9uuqQliiIfrmMP4VaFoDNDWyUFy2J8/edit?gid=0#gid=0"",""Sheet1!K:K"")=$B205
    ),
    1
  )"&amp;",
  ""Not Found""
)"),1845.0)</f>
        <v>1845</v>
      </c>
      <c r="D205" s="284" t="s">
        <v>4874</v>
      </c>
      <c r="E205" s="284">
        <f>IFERROR(__xludf.DUMMYFUNCTION("IFERROR(
  INDEX(
    FILTER(
      IMPORTRANGE(""1kOrIKZmJfNUkgOVP3sI9BPjaaPA0_a4636oymQxTXg8/edit?gid=609491371#gid=609491371"",""Form responses 1!J:J""),
      IMPORTRANGE(""1kOrIKZmJfNUkgOVP3sI9BPjaaPA0_a4636oymQxTXg8/edit?gid=609491371#gid=609491371"&amp;""",""Form responses 1!F:F"")=$B205
    ),
    1
  ),
  ""Not Found""
)"),1845.0)</f>
        <v>1845</v>
      </c>
      <c r="F205" s="284" t="str">
        <f>IFERROR(__xludf.DUMMYFUNCTION("IFERROR(
  INDEX(
    FILTER(
      IMPORTRANGE(""1kOrIKZmJfNUkgOVP3sI9BPjaaPA0_a4636oymQxTXg8/edit?gid=609491371#gid=609491371"",""Form responses 1!L:L""),
      IMPORTRANGE(""1kOrIKZmJfNUkgOVP3sI9BPjaaPA0_a4636oymQxTXg8/edit?gid=609491371#gid=609491371"&amp;""",""Form responses 1!F:F"")=$B205
    ),
    1
  ),
  ""Not Found""
)"),"Rasheed Jalaal Ul Din")</f>
        <v>Rasheed Jalaal Ul Din</v>
      </c>
      <c r="G205" s="284" t="str">
        <f>IFERROR(__xludf.DUMMYFUNCTION("IFERROR(
  INDEX(
    FILTER(
      IMPORTRANGE(""1kOrIKZmJfNUkgOVP3sI9BPjaaPA0_a4636oymQxTXg8/edit?gid=609491371#gid=609491371"",""Form responses 1!K:K""),
      IMPORTRANGE(""1kOrIKZmJfNUkgOVP3sI9BPjaaPA0_a4636oymQxTXg8/edit?gid=609491371#gid=609491371"&amp;""",""Form responses 1!F:F"")=$B205
    ),
    1
  ),
  ""Not Found""
)"),"Yes")</f>
        <v>Yes</v>
      </c>
      <c r="H205" s="230"/>
      <c r="I205" s="230">
        <v>1845.0</v>
      </c>
      <c r="J205" s="339">
        <f>IFERROR(__xludf.DUMMYFUNCTION("IFERROR(
  INDEX(
    FILTER(
      IMPORTRANGE(""1Cxrhp3-_-HS7v9uuqQliiIfrmMP4VaFoDNDWyUFy2J8/edit?gid=0#gid=0"",""Sheet1!AE:AE""),
      IMPORTRANGE(""1Cxrhp3-_-HS7v9uuqQliiIfrmMP4VaFoDNDWyUFy2J8/edit?gid=0#gid=0"",""Sheet1!K:K"")=$B205
    ),
    1
  )"&amp;",
  ""Not Found""
)"),1845.0)</f>
        <v>1845</v>
      </c>
      <c r="K205" s="340"/>
      <c r="L205" s="340"/>
      <c r="M205" s="230"/>
      <c r="N205" s="230"/>
      <c r="O205" s="230"/>
      <c r="P205" s="230"/>
      <c r="Q205" s="230"/>
      <c r="R205" s="230"/>
      <c r="S205" s="230"/>
      <c r="T205" s="230"/>
      <c r="U205" s="230"/>
      <c r="V205" s="230"/>
      <c r="W205" s="230"/>
      <c r="X205" s="230"/>
      <c r="Y205" s="230"/>
      <c r="Z205" s="230"/>
    </row>
    <row r="206">
      <c r="A206" s="337" t="str">
        <f>IFERROR(__xludf.DUMMYFUNCTION("VLOOKUP($B206,IMPORTRANGE(""https://docs.google.com/spreadsheets/d/1VNXDITjs75AcgdBSW27oL1VZH31udDprJSsBcE5xlp4/edit?gid=1551188038#gid=1551188038"", ""Sheet9!$B:$E""),2,false)"),"Bahawalpure")</f>
        <v>Bahawalpure</v>
      </c>
      <c r="B206" s="338" t="s">
        <v>4646</v>
      </c>
      <c r="C206" s="284">
        <f>IFERROR(__xludf.DUMMYFUNCTION("IFERROR(
  INDEX(
    FILTER(
      IMPORTRANGE(""1Cxrhp3-_-HS7v9uuqQliiIfrmMP4VaFoDNDWyUFy2J8/edit?gid=0#gid=0"",""Sheet1!AE:AE""),
      IMPORTRANGE(""1Cxrhp3-_-HS7v9uuqQliiIfrmMP4VaFoDNDWyUFy2J8/edit?gid=0#gid=0"",""Sheet1!K:K"")=$B206
    ),
    1
  )"&amp;",
  ""Not Found""
)"),2005.0)</f>
        <v>2005</v>
      </c>
      <c r="D206" s="284" t="str">
        <f>IFERROR(__xludf.DUMMYFUNCTION("IFERROR(
  INDEX(
    FILTER(
      IMPORTRANGE(""1Cxrhp3-_-HS7v9uuqQliiIfrmMP4VaFoDNDWyUFy2J8/edit?gid=0#gid=0"",""Sheet1!AG:AG""),
      IMPORTRANGE(""1Cxrhp3-_-HS7v9uuqQliiIfrmMP4VaFoDNDWyUFy2J8/edit?gid=0#gid=0"",""Sheet1!K:K"")=$B206
    ),
    1
  )"&amp;",
  ""Not Found""
)"),"")</f>
        <v/>
      </c>
      <c r="E206" s="284">
        <f>IFERROR(__xludf.DUMMYFUNCTION("IFERROR(
  INDEX(
    FILTER(
      IMPORTRANGE(""1kOrIKZmJfNUkgOVP3sI9BPjaaPA0_a4636oymQxTXg8/edit?gid=609491371#gid=609491371"",""Form responses 1!J:J""),
      IMPORTRANGE(""1kOrIKZmJfNUkgOVP3sI9BPjaaPA0_a4636oymQxTXg8/edit?gid=609491371#gid=609491371"&amp;""",""Form responses 1!F:F"")=$B206
    ),
    1
  ),
  ""Not Found""
)"),2005.0)</f>
        <v>2005</v>
      </c>
      <c r="F206" s="284">
        <f>IFERROR(__xludf.DUMMYFUNCTION("IFERROR(
  INDEX(
    FILTER(
      IMPORTRANGE(""1kOrIKZmJfNUkgOVP3sI9BPjaaPA0_a4636oymQxTXg8/edit?gid=609491371#gid=609491371"",""Form responses 1!L:L""),
      IMPORTRANGE(""1kOrIKZmJfNUkgOVP3sI9BPjaaPA0_a4636oymQxTXg8/edit?gid=609491371#gid=609491371"&amp;""",""Form responses 1!F:F"")=$B206
    ),
    1
  ),
  ""Not Found""
)"),0.0)</f>
        <v>0</v>
      </c>
      <c r="G206" s="284" t="str">
        <f>IFERROR(__xludf.DUMMYFUNCTION("IFERROR(
  INDEX(
    FILTER(
      IMPORTRANGE(""1kOrIKZmJfNUkgOVP3sI9BPjaaPA0_a4636oymQxTXg8/edit?gid=609491371#gid=609491371"",""Form responses 1!K:K""),
      IMPORTRANGE(""1kOrIKZmJfNUkgOVP3sI9BPjaaPA0_a4636oymQxTXg8/edit?gid=609491371#gid=609491371"&amp;""",""Form responses 1!F:F"")=$B206
    ),
    1
  ),
  ""Not Found""
)"),"No")</f>
        <v>No</v>
      </c>
      <c r="H206" s="230"/>
      <c r="I206" s="230">
        <v>2005.0</v>
      </c>
      <c r="J206" s="339">
        <f>IFERROR(__xludf.DUMMYFUNCTION("IFERROR(
  INDEX(
    FILTER(
      IMPORTRANGE(""1Cxrhp3-_-HS7v9uuqQliiIfrmMP4VaFoDNDWyUFy2J8/edit?gid=0#gid=0"",""Sheet1!AE:AE""),
      IMPORTRANGE(""1Cxrhp3-_-HS7v9uuqQliiIfrmMP4VaFoDNDWyUFy2J8/edit?gid=0#gid=0"",""Sheet1!K:K"")=$B206
    ),
    1
  )"&amp;",
  ""Not Found""
)"),2005.0)</f>
        <v>2005</v>
      </c>
      <c r="K206" s="340"/>
      <c r="L206" s="340"/>
      <c r="M206" s="230"/>
      <c r="N206" s="230"/>
      <c r="O206" s="230"/>
      <c r="P206" s="230"/>
      <c r="Q206" s="230"/>
      <c r="R206" s="230"/>
      <c r="S206" s="230"/>
      <c r="T206" s="230"/>
      <c r="U206" s="230"/>
      <c r="V206" s="230"/>
      <c r="W206" s="230"/>
      <c r="X206" s="230"/>
      <c r="Y206" s="230"/>
      <c r="Z206" s="230"/>
    </row>
    <row r="207">
      <c r="A207" s="337" t="str">
        <f>IFERROR(__xludf.DUMMYFUNCTION("VLOOKUP($B207,IMPORTRANGE(""https://docs.google.com/spreadsheets/d/1VNXDITjs75AcgdBSW27oL1VZH31udDprJSsBcE5xlp4/edit?gid=1551188038#gid=1551188038"", ""Sheet9!$B:$E""),2,false)"),"Bahawalpure")</f>
        <v>Bahawalpure</v>
      </c>
      <c r="B207" s="338" t="s">
        <v>4647</v>
      </c>
      <c r="C207" s="284" t="str">
        <f>IFERROR(__xludf.DUMMYFUNCTION("IFERROR(
  INDEX(
    FILTER(
      IMPORTRANGE(""1Cxrhp3-_-HS7v9uuqQliiIfrmMP4VaFoDNDWyUFy2J8/edit?gid=0#gid=0"",""Sheet1!AE:AE""),
      IMPORTRANGE(""1Cxrhp3-_-HS7v9uuqQliiIfrmMP4VaFoDNDWyUFy2J8/edit?gid=0#gid=0"",""Sheet1!K:K"")=$B207
    ),
    1
  )"&amp;",
  ""Not Found""
)"),"")</f>
        <v/>
      </c>
      <c r="D207" s="284" t="s">
        <v>4875</v>
      </c>
      <c r="E207" s="284">
        <f>IFERROR(__xludf.DUMMYFUNCTION("IFERROR(
  INDEX(
    FILTER(
      IMPORTRANGE(""1kOrIKZmJfNUkgOVP3sI9BPjaaPA0_a4636oymQxTXg8/edit?gid=609491371#gid=609491371"",""Form responses 1!J:J""),
      IMPORTRANGE(""1kOrIKZmJfNUkgOVP3sI9BPjaaPA0_a4636oymQxTXg8/edit?gid=609491371#gid=609491371"&amp;""",""Form responses 1!F:F"")=$B207
    ),
    1
  ),
  ""Not Found""
)"),1956.0)</f>
        <v>1956</v>
      </c>
      <c r="F207" s="284" t="str">
        <f>IFERROR(__xludf.DUMMYFUNCTION("IFERROR(
  INDEX(
    FILTER(
      IMPORTRANGE(""1kOrIKZmJfNUkgOVP3sI9BPjaaPA0_a4636oymQxTXg8/edit?gid=609491371#gid=609491371"",""Form responses 1!L:L""),
      IMPORTRANGE(""1kOrIKZmJfNUkgOVP3sI9BPjaaPA0_a4636oymQxTXg8/edit?gid=609491371#gid=609491371"&amp;""",""Form responses 1!F:F"")=$B207
    ),
    1
  ),
  ""Not Found""
)"),"Channan Pir Darbar Cholistan ")</f>
        <v>Channan Pir Darbar Cholistan </v>
      </c>
      <c r="G207" s="284" t="str">
        <f>IFERROR(__xludf.DUMMYFUNCTION("IFERROR(
  INDEX(
    FILTER(
      IMPORTRANGE(""1kOrIKZmJfNUkgOVP3sI9BPjaaPA0_a4636oymQxTXg8/edit?gid=609491371#gid=609491371"",""Form responses 1!K:K""),
      IMPORTRANGE(""1kOrIKZmJfNUkgOVP3sI9BPjaaPA0_a4636oymQxTXg8/edit?gid=609491371#gid=609491371"&amp;""",""Form responses 1!F:F"")=$B207
    ),
    1
  ),
  ""Not Found""
)"),"No")</f>
        <v>No</v>
      </c>
      <c r="H207" s="230"/>
      <c r="I207" s="343">
        <v>1956.0</v>
      </c>
      <c r="J207" s="344">
        <v>1956.0</v>
      </c>
      <c r="K207" s="340"/>
      <c r="L207" s="340"/>
      <c r="M207" s="230"/>
      <c r="N207" s="230"/>
      <c r="O207" s="230"/>
      <c r="P207" s="230"/>
      <c r="Q207" s="230"/>
      <c r="R207" s="230"/>
      <c r="S207" s="230"/>
      <c r="T207" s="230"/>
      <c r="U207" s="230"/>
      <c r="V207" s="230"/>
      <c r="W207" s="230"/>
      <c r="X207" s="230"/>
      <c r="Y207" s="230"/>
      <c r="Z207" s="230"/>
    </row>
    <row r="208">
      <c r="A208" s="337" t="str">
        <f>IFERROR(__xludf.DUMMYFUNCTION("VLOOKUP($B208,IMPORTRANGE(""https://docs.google.com/spreadsheets/d/1VNXDITjs75AcgdBSW27oL1VZH31udDprJSsBcE5xlp4/edit?gid=1551188038#gid=1551188038"", ""Sheet9!$B:$E""),2,false)"),"Bahawalpure")</f>
        <v>Bahawalpure</v>
      </c>
      <c r="B208" s="342" t="s">
        <v>4648</v>
      </c>
      <c r="C208" s="284">
        <f>IFERROR(__xludf.DUMMYFUNCTION("IFERROR(
  INDEX(
    FILTER(
      IMPORTRANGE(""1Cxrhp3-_-HS7v9uuqQliiIfrmMP4VaFoDNDWyUFy2J8/edit?gid=0#gid=0"",""Sheet1!AE:AE""),
      IMPORTRANGE(""1Cxrhp3-_-HS7v9uuqQliiIfrmMP4VaFoDNDWyUFy2J8/edit?gid=0#gid=0"",""Sheet1!K:K"")=$B208
    ),
    1
  )"&amp;",
  ""Not Found""
)"),1045.0)</f>
        <v>1045</v>
      </c>
      <c r="D208" s="284" t="s">
        <v>4876</v>
      </c>
      <c r="E208" s="284">
        <f>IFERROR(__xludf.DUMMYFUNCTION("IFERROR(
  INDEX(
    FILTER(
      IMPORTRANGE(""1kOrIKZmJfNUkgOVP3sI9BPjaaPA0_a4636oymQxTXg8/edit?gid=609491371#gid=609491371"",""Form responses 1!J:J""),
      IMPORTRANGE(""1kOrIKZmJfNUkgOVP3sI9BPjaaPA0_a4636oymQxTXg8/edit?gid=609491371#gid=609491371"&amp;""",""Form responses 1!F:F"")=$B208
    ),
    1
  ),
  ""Not Found""
)"),1045.0)</f>
        <v>1045</v>
      </c>
      <c r="F208" s="284" t="str">
        <f>IFERROR(__xludf.DUMMYFUNCTION("IFERROR(
  INDEX(
    FILTER(
      IMPORTRANGE(""1kOrIKZmJfNUkgOVP3sI9BPjaaPA0_a4636oymQxTXg8/edit?gid=609491371#gid=609491371"",""Form responses 1!L:L""),
      IMPORTRANGE(""1kOrIKZmJfNUkgOVP3sI9BPjaaPA0_a4636oymQxTXg8/edit?gid=609491371#gid=609491371"&amp;""",""Form responses 1!F:F"")=$B208
    ),
    1
  ),
  ""Not Found""
)"),"Jalaal ul din hussain ")</f>
        <v>Jalaal ul din hussain </v>
      </c>
      <c r="G208" s="284" t="str">
        <f>IFERROR(__xludf.DUMMYFUNCTION("IFERROR(
  INDEX(
    FILTER(
      IMPORTRANGE(""1kOrIKZmJfNUkgOVP3sI9BPjaaPA0_a4636oymQxTXg8/edit?gid=609491371#gid=609491371"",""Form responses 1!K:K""),
      IMPORTRANGE(""1kOrIKZmJfNUkgOVP3sI9BPjaaPA0_a4636oymQxTXg8/edit?gid=609491371#gid=609491371"&amp;""",""Form responses 1!F:F"")=$B208
    ),
    1
  ),
  ""Not Found""
)"),"Yes")</f>
        <v>Yes</v>
      </c>
      <c r="H208" s="230"/>
      <c r="I208" s="230">
        <v>1045.0</v>
      </c>
      <c r="J208" s="339">
        <f>IFERROR(__xludf.DUMMYFUNCTION("IFERROR(
  INDEX(
    FILTER(
      IMPORTRANGE(""1Cxrhp3-_-HS7v9uuqQliiIfrmMP4VaFoDNDWyUFy2J8/edit?gid=0#gid=0"",""Sheet1!AE:AE""),
      IMPORTRANGE(""1Cxrhp3-_-HS7v9uuqQliiIfrmMP4VaFoDNDWyUFy2J8/edit?gid=0#gid=0"",""Sheet1!K:K"")=$B208
    ),
    1
  )"&amp;",
  ""Not Found""
)"),1045.0)</f>
        <v>1045</v>
      </c>
      <c r="K208" s="340"/>
      <c r="L208" s="340"/>
      <c r="M208" s="230"/>
      <c r="N208" s="230"/>
      <c r="O208" s="230"/>
      <c r="P208" s="230"/>
      <c r="Q208" s="230"/>
      <c r="R208" s="230"/>
      <c r="S208" s="230"/>
      <c r="T208" s="230"/>
      <c r="U208" s="230"/>
      <c r="V208" s="230"/>
      <c r="W208" s="230"/>
      <c r="X208" s="230"/>
      <c r="Y208" s="230"/>
      <c r="Z208" s="230"/>
    </row>
    <row r="209">
      <c r="A209" s="337" t="str">
        <f>IFERROR(__xludf.DUMMYFUNCTION("VLOOKUP($B209,IMPORTRANGE(""https://docs.google.com/spreadsheets/d/1VNXDITjs75AcgdBSW27oL1VZH31udDprJSsBcE5xlp4/edit?gid=1551188038#gid=1551188038"", ""Sheet9!$B:$E""),2,false)"),"Bahawalpure")</f>
        <v>Bahawalpure</v>
      </c>
      <c r="B209" s="338" t="s">
        <v>4650</v>
      </c>
      <c r="C209" s="284">
        <f>IFERROR(__xludf.DUMMYFUNCTION("IFERROR(
  INDEX(
    FILTER(
      IMPORTRANGE(""1Cxrhp3-_-HS7v9uuqQliiIfrmMP4VaFoDNDWyUFy2J8/edit?gid=0#gid=0"",""Sheet1!AE:AE""),
      IMPORTRANGE(""1Cxrhp3-_-HS7v9uuqQliiIfrmMP4VaFoDNDWyUFy2J8/edit?gid=0#gid=0"",""Sheet1!K:K"")=$B209
    ),
    1
  )"&amp;",
  ""Not Found""
)"),1325.0)</f>
        <v>1325</v>
      </c>
      <c r="D209" s="284" t="s">
        <v>4877</v>
      </c>
      <c r="E209" s="284">
        <f>IFERROR(__xludf.DUMMYFUNCTION("IFERROR(
  INDEX(
    FILTER(
      IMPORTRANGE(""1kOrIKZmJfNUkgOVP3sI9BPjaaPA0_a4636oymQxTXg8/edit?gid=609491371#gid=609491371"",""Form responses 1!J:J""),
      IMPORTRANGE(""1kOrIKZmJfNUkgOVP3sI9BPjaaPA0_a4636oymQxTXg8/edit?gid=609491371#gid=609491371"&amp;""",""Form responses 1!F:F"")=$B209
    ),
    1
  ),
  ""Not Found""
)"),1325.0)</f>
        <v>1325</v>
      </c>
      <c r="F209" s="284" t="str">
        <f>IFERROR(__xludf.DUMMYFUNCTION("IFERROR(
  INDEX(
    FILTER(
      IMPORTRANGE(""1kOrIKZmJfNUkgOVP3sI9BPjaaPA0_a4636oymQxTXg8/edit?gid=609491371#gid=609491371"",""Form responses 1!L:L""),
      IMPORTRANGE(""1kOrIKZmJfNUkgOVP3sI9BPjaaPA0_a4636oymQxTXg8/edit?gid=609491371#gid=609491371"&amp;""",""Form responses 1!F:F"")=$B209
    ),
    1
  ),
  ""Not Found""
)"),"Hazrat Mehboob Subhani ")</f>
        <v>Hazrat Mehboob Subhani </v>
      </c>
      <c r="G209" s="284" t="str">
        <f>IFERROR(__xludf.DUMMYFUNCTION("IFERROR(
  INDEX(
    FILTER(
      IMPORTRANGE(""1kOrIKZmJfNUkgOVP3sI9BPjaaPA0_a4636oymQxTXg8/edit?gid=609491371#gid=609491371"",""Form responses 1!K:K""),
      IMPORTRANGE(""1kOrIKZmJfNUkgOVP3sI9BPjaaPA0_a4636oymQxTXg8/edit?gid=609491371#gid=609491371"&amp;""",""Form responses 1!F:F"")=$B209
    ),
    1
  ),
  ""Not Found""
)"),"No")</f>
        <v>No</v>
      </c>
      <c r="H209" s="230"/>
      <c r="I209" s="230">
        <v>1325.0</v>
      </c>
      <c r="J209" s="339">
        <f>IFERROR(__xludf.DUMMYFUNCTION("IFERROR(
  INDEX(
    FILTER(
      IMPORTRANGE(""1Cxrhp3-_-HS7v9uuqQliiIfrmMP4VaFoDNDWyUFy2J8/edit?gid=0#gid=0"",""Sheet1!AE:AE""),
      IMPORTRANGE(""1Cxrhp3-_-HS7v9uuqQliiIfrmMP4VaFoDNDWyUFy2J8/edit?gid=0#gid=0"",""Sheet1!K:K"")=$B209
    ),
    1
  )"&amp;",
  ""Not Found""
)"),1325.0)</f>
        <v>1325</v>
      </c>
      <c r="K209" s="340"/>
      <c r="L209" s="340"/>
      <c r="M209" s="230"/>
      <c r="N209" s="230"/>
      <c r="O209" s="230"/>
      <c r="P209" s="230"/>
      <c r="Q209" s="230"/>
      <c r="R209" s="230"/>
      <c r="S209" s="230"/>
      <c r="T209" s="230"/>
      <c r="U209" s="230"/>
      <c r="V209" s="230"/>
      <c r="W209" s="230"/>
      <c r="X209" s="230"/>
      <c r="Y209" s="230"/>
      <c r="Z209" s="230"/>
    </row>
    <row r="210">
      <c r="A210" s="337" t="str">
        <f>IFERROR(__xludf.DUMMYFUNCTION("VLOOKUP($B210,IMPORTRANGE(""https://docs.google.com/spreadsheets/d/1VNXDITjs75AcgdBSW27oL1VZH31udDprJSsBcE5xlp4/edit?gid=1551188038#gid=1551188038"", ""Sheet9!$B:$E""),2,false)"),"Bahawalpure")</f>
        <v>Bahawalpure</v>
      </c>
      <c r="B210" s="338" t="s">
        <v>4651</v>
      </c>
      <c r="C210" s="284">
        <f>IFERROR(__xludf.DUMMYFUNCTION("IFERROR(
  INDEX(
    FILTER(
      IMPORTRANGE(""1Cxrhp3-_-HS7v9uuqQliiIfrmMP4VaFoDNDWyUFy2J8/edit?gid=0#gid=0"",""Sheet1!AE:AE""),
      IMPORTRANGE(""1Cxrhp3-_-HS7v9uuqQliiIfrmMP4VaFoDNDWyUFy2J8/edit?gid=0#gid=0"",""Sheet1!K:K"")=$B210
    ),
    1
  )"&amp;",
  ""Not Found""
)"),712.0)</f>
        <v>712</v>
      </c>
      <c r="D210" s="284" t="s">
        <v>4878</v>
      </c>
      <c r="E210" s="284">
        <f>IFERROR(__xludf.DUMMYFUNCTION("IFERROR(
  INDEX(
    FILTER(
      IMPORTRANGE(""1kOrIKZmJfNUkgOVP3sI9BPjaaPA0_a4636oymQxTXg8/edit?gid=609491371#gid=609491371"",""Form responses 1!J:J""),
      IMPORTRANGE(""1kOrIKZmJfNUkgOVP3sI9BPjaaPA0_a4636oymQxTXg8/edit?gid=609491371#gid=609491371"&amp;""",""Form responses 1!F:F"")=$B210
    ),
    1
  ),
  ""Not Found""
)"),712.0)</f>
        <v>712</v>
      </c>
      <c r="F210" s="284" t="str">
        <f>IFERROR(__xludf.DUMMYFUNCTION("IFERROR(
  INDEX(
    FILTER(
      IMPORTRANGE(""1kOrIKZmJfNUkgOVP3sI9BPjaaPA0_a4636oymQxTXg8/edit?gid=609491371#gid=609491371"",""Form responses 1!L:L""),
      IMPORTRANGE(""1kOrIKZmJfNUkgOVP3sI9BPjaaPA0_a4636oymQxTXg8/edit?gid=609491371#gid=609491371"&amp;""",""Form responses 1!F:F"")=$B210
    ),
    1
  ),
  ""Not Found""
)"),"Fazal Ul Din Laadala ")</f>
        <v>Fazal Ul Din Laadala </v>
      </c>
      <c r="G210" s="284" t="str">
        <f>IFERROR(__xludf.DUMMYFUNCTION("IFERROR(
  INDEX(
    FILTER(
      IMPORTRANGE(""1kOrIKZmJfNUkgOVP3sI9BPjaaPA0_a4636oymQxTXg8/edit?gid=609491371#gid=609491371"",""Form responses 1!K:K""),
      IMPORTRANGE(""1kOrIKZmJfNUkgOVP3sI9BPjaaPA0_a4636oymQxTXg8/edit?gid=609491371#gid=609491371"&amp;""",""Form responses 1!F:F"")=$B210
    ),
    1
  ),
  ""Not Found""
)"),"No")</f>
        <v>No</v>
      </c>
      <c r="H210" s="230"/>
      <c r="I210" s="230">
        <v>712.0</v>
      </c>
      <c r="J210" s="339">
        <f>IFERROR(__xludf.DUMMYFUNCTION("IFERROR(
  INDEX(
    FILTER(
      IMPORTRANGE(""1Cxrhp3-_-HS7v9uuqQliiIfrmMP4VaFoDNDWyUFy2J8/edit?gid=0#gid=0"",""Sheet1!AE:AE""),
      IMPORTRANGE(""1Cxrhp3-_-HS7v9uuqQliiIfrmMP4VaFoDNDWyUFy2J8/edit?gid=0#gid=0"",""Sheet1!K:K"")=$B210
    ),
    1
  )"&amp;",
  ""Not Found""
)"),712.0)</f>
        <v>712</v>
      </c>
      <c r="K210" s="340"/>
      <c r="L210" s="340"/>
      <c r="M210" s="230"/>
      <c r="N210" s="230"/>
      <c r="O210" s="230"/>
      <c r="P210" s="230"/>
      <c r="Q210" s="230"/>
      <c r="R210" s="230"/>
      <c r="S210" s="230"/>
      <c r="T210" s="230"/>
      <c r="U210" s="230"/>
      <c r="V210" s="230"/>
      <c r="W210" s="230"/>
      <c r="X210" s="230"/>
      <c r="Y210" s="230"/>
      <c r="Z210" s="230"/>
    </row>
    <row r="211">
      <c r="A211" s="337" t="str">
        <f>IFERROR(__xludf.DUMMYFUNCTION("VLOOKUP($B211,IMPORTRANGE(""https://docs.google.com/spreadsheets/d/1VNXDITjs75AcgdBSW27oL1VZH31udDprJSsBcE5xlp4/edit?gid=1551188038#gid=1551188038"", ""Sheet9!$B:$E""),2,false)"),"Bahawalpure")</f>
        <v>Bahawalpure</v>
      </c>
      <c r="B211" s="338" t="s">
        <v>4652</v>
      </c>
      <c r="C211" s="284">
        <f>IFERROR(__xludf.DUMMYFUNCTION("IFERROR(
  INDEX(
    FILTER(
      IMPORTRANGE(""1Cxrhp3-_-HS7v9uuqQliiIfrmMP4VaFoDNDWyUFy2J8/edit?gid=0#gid=0"",""Sheet1!AE:AE""),
      IMPORTRANGE(""1Cxrhp3-_-HS7v9uuqQliiIfrmMP4VaFoDNDWyUFy2J8/edit?gid=0#gid=0"",""Sheet1!K:K"")=$B211
    ),
    1
  )"&amp;",
  ""Not Found""
)"),2017.0)</f>
        <v>2017</v>
      </c>
      <c r="D211" s="284" t="str">
        <f>IFERROR(__xludf.DUMMYFUNCTION("IFERROR(
  INDEX(
    FILTER(
      IMPORTRANGE(""1Cxrhp3-_-HS7v9uuqQliiIfrmMP4VaFoDNDWyUFy2J8/edit?gid=0#gid=0"",""Sheet1!AG:AG""),
      IMPORTRANGE(""1Cxrhp3-_-HS7v9uuqQliiIfrmMP4VaFoDNDWyUFy2J8/edit?gid=0#gid=0"",""Sheet1!K:K"")=$B211
    ),
    1
  )"&amp;",
  ""Not Found""
)"),"")</f>
        <v/>
      </c>
      <c r="E211" s="284">
        <f>IFERROR(__xludf.DUMMYFUNCTION("IFERROR(
  INDEX(
    FILTER(
      IMPORTRANGE(""1kOrIKZmJfNUkgOVP3sI9BPjaaPA0_a4636oymQxTXg8/edit?gid=609491371#gid=609491371"",""Form responses 1!J:J""),
      IMPORTRANGE(""1kOrIKZmJfNUkgOVP3sI9BPjaaPA0_a4636oymQxTXg8/edit?gid=609491371#gid=609491371"&amp;""",""Form responses 1!F:F"")=$B211
    ),
    1
  ),
  ""Not Found""
)"),2012.0)</f>
        <v>2012</v>
      </c>
      <c r="F211" s="284" t="str">
        <f>IFERROR(__xludf.DUMMYFUNCTION("IFERROR(
  INDEX(
    FILTER(
      IMPORTRANGE(""1kOrIKZmJfNUkgOVP3sI9BPjaaPA0_a4636oymQxTXg8/edit?gid=609491371#gid=609491371"",""Form responses 1!L:L""),
      IMPORTRANGE(""1kOrIKZmJfNUkgOVP3sI9BPjaaPA0_a4636oymQxTXg8/edit?gid=609491371#gid=609491371"&amp;""",""Form responses 1!F:F"")=$B211
    ),
    1
  ),
  ""Not Found""
)"),"Nhi")</f>
        <v>Nhi</v>
      </c>
      <c r="G211" s="284" t="str">
        <f>IFERROR(__xludf.DUMMYFUNCTION("IFERROR(
  INDEX(
    FILTER(
      IMPORTRANGE(""1kOrIKZmJfNUkgOVP3sI9BPjaaPA0_a4636oymQxTXg8/edit?gid=609491371#gid=609491371"",""Form responses 1!K:K""),
      IMPORTRANGE(""1kOrIKZmJfNUkgOVP3sI9BPjaaPA0_a4636oymQxTXg8/edit?gid=609491371#gid=609491371"&amp;""",""Form responses 1!F:F"")=$B211
    ),
    1
  ),
  ""Not Found""
)"),"No")</f>
        <v>No</v>
      </c>
      <c r="H211" s="230"/>
      <c r="I211" s="343">
        <v>2012.0</v>
      </c>
      <c r="J211" s="344">
        <v>2012.0</v>
      </c>
      <c r="K211" s="340"/>
      <c r="L211" s="340"/>
      <c r="M211" s="230"/>
      <c r="N211" s="230"/>
      <c r="O211" s="230"/>
      <c r="P211" s="230"/>
      <c r="Q211" s="230"/>
      <c r="R211" s="230"/>
      <c r="S211" s="230"/>
      <c r="T211" s="230"/>
      <c r="U211" s="230"/>
      <c r="V211" s="230"/>
      <c r="W211" s="230"/>
      <c r="X211" s="230"/>
      <c r="Y211" s="230"/>
      <c r="Z211" s="230"/>
    </row>
    <row r="212">
      <c r="A212" s="337" t="str">
        <f>IFERROR(__xludf.DUMMYFUNCTION("VLOOKUP($B212,IMPORTRANGE(""https://docs.google.com/spreadsheets/d/1VNXDITjs75AcgdBSW27oL1VZH31udDprJSsBcE5xlp4/edit?gid=1551188038#gid=1551188038"", ""Sheet9!$B:$E""),2,false)"),"Bahawalpure")</f>
        <v>Bahawalpure</v>
      </c>
      <c r="B212" s="338" t="s">
        <v>4653</v>
      </c>
      <c r="C212" s="284">
        <f>IFERROR(__xludf.DUMMYFUNCTION("IFERROR(
  INDEX(
    FILTER(
      IMPORTRANGE(""1Cxrhp3-_-HS7v9uuqQliiIfrmMP4VaFoDNDWyUFy2J8/edit?gid=0#gid=0"",""Sheet1!AE:AE""),
      IMPORTRANGE(""1Cxrhp3-_-HS7v9uuqQliiIfrmMP4VaFoDNDWyUFy2J8/edit?gid=0#gid=0"",""Sheet1!K:K"")=$B212
    ),
    1
  )"&amp;",
  ""Not Found""
)"),2004.0)</f>
        <v>2004</v>
      </c>
      <c r="D212" s="284" t="str">
        <f>IFERROR(__xludf.DUMMYFUNCTION("IFERROR(
  INDEX(
    FILTER(
      IMPORTRANGE(""1Cxrhp3-_-HS7v9uuqQliiIfrmMP4VaFoDNDWyUFy2J8/edit?gid=0#gid=0"",""Sheet1!AG:AG""),
      IMPORTRANGE(""1Cxrhp3-_-HS7v9uuqQliiIfrmMP4VaFoDNDWyUFy2J8/edit?gid=0#gid=0"",""Sheet1!K:K"")=$B212
    ),
    1
  )"&amp;",
  ""Not Found""
)"),"")</f>
        <v/>
      </c>
      <c r="E212" s="284">
        <f>IFERROR(__xludf.DUMMYFUNCTION("IFERROR(
  INDEX(
    FILTER(
      IMPORTRANGE(""1kOrIKZmJfNUkgOVP3sI9BPjaaPA0_a4636oymQxTXg8/edit?gid=609491371#gid=609491371"",""Form responses 1!J:J""),
      IMPORTRANGE(""1kOrIKZmJfNUkgOVP3sI9BPjaaPA0_a4636oymQxTXg8/edit?gid=609491371#gid=609491371"&amp;""",""Form responses 1!F:F"")=$B212
    ),
    1
  ),
  ""Not Found""
)"),1965.0)</f>
        <v>1965</v>
      </c>
      <c r="F212" s="284" t="str">
        <f>IFERROR(__xludf.DUMMYFUNCTION("IFERROR(
  INDEX(
    FILTER(
      IMPORTRANGE(""1kOrIKZmJfNUkgOVP3sI9BPjaaPA0_a4636oymQxTXg8/edit?gid=609491371#gid=609491371"",""Form responses 1!L:L""),
      IMPORTRANGE(""1kOrIKZmJfNUkgOVP3sI9BPjaaPA0_a4636oymQxTXg8/edit?gid=609491371#gid=609491371"&amp;""",""Form responses 1!F:F"")=$B212
    ),
    1
  ),
  ""Not Found""
)"),"Yes")</f>
        <v>Yes</v>
      </c>
      <c r="G212" s="284" t="str">
        <f>IFERROR(__xludf.DUMMYFUNCTION("IFERROR(
  INDEX(
    FILTER(
      IMPORTRANGE(""1kOrIKZmJfNUkgOVP3sI9BPjaaPA0_a4636oymQxTXg8/edit?gid=609491371#gid=609491371"",""Form responses 1!K:K""),
      IMPORTRANGE(""1kOrIKZmJfNUkgOVP3sI9BPjaaPA0_a4636oymQxTXg8/edit?gid=609491371#gid=609491371"&amp;""",""Form responses 1!F:F"")=$B212
    ),
    1
  ),
  ""Not Found""
)"),"No")</f>
        <v>No</v>
      </c>
      <c r="H212" s="230"/>
      <c r="I212" s="343">
        <v>1965.0</v>
      </c>
      <c r="J212" s="344">
        <v>1965.0</v>
      </c>
      <c r="K212" s="340"/>
      <c r="L212" s="340"/>
      <c r="M212" s="230"/>
      <c r="N212" s="230"/>
      <c r="O212" s="230"/>
      <c r="P212" s="230"/>
      <c r="Q212" s="230"/>
      <c r="R212" s="230"/>
      <c r="S212" s="230"/>
      <c r="T212" s="230"/>
      <c r="U212" s="230"/>
      <c r="V212" s="230"/>
      <c r="W212" s="230"/>
      <c r="X212" s="230"/>
      <c r="Y212" s="230"/>
      <c r="Z212" s="230"/>
    </row>
    <row r="213">
      <c r="A213" s="337" t="str">
        <f>IFERROR(__xludf.DUMMYFUNCTION("VLOOKUP($B213,IMPORTRANGE(""https://docs.google.com/spreadsheets/d/1VNXDITjs75AcgdBSW27oL1VZH31udDprJSsBcE5xlp4/edit?gid=1551188038#gid=1551188038"", ""Sheet9!$B:$E""),2,false)"),"Bahawalpure")</f>
        <v>Bahawalpure</v>
      </c>
      <c r="B213" s="338" t="s">
        <v>4654</v>
      </c>
      <c r="C213" s="284">
        <f>IFERROR(__xludf.DUMMYFUNCTION("IFERROR(
  INDEX(
    FILTER(
      IMPORTRANGE(""1Cxrhp3-_-HS7v9uuqQliiIfrmMP4VaFoDNDWyUFy2J8/edit?gid=0#gid=0"",""Sheet1!AE:AE""),
      IMPORTRANGE(""1Cxrhp3-_-HS7v9uuqQliiIfrmMP4VaFoDNDWyUFy2J8/edit?gid=0#gid=0"",""Sheet1!K:K"")=$B213
    ),
    1
  )"&amp;",
  ""Not Found""
)"),2000.0)</f>
        <v>2000</v>
      </c>
      <c r="D213" s="284" t="str">
        <f>IFERROR(__xludf.DUMMYFUNCTION("IFERROR(
  INDEX(
    FILTER(
      IMPORTRANGE(""1Cxrhp3-_-HS7v9uuqQliiIfrmMP4VaFoDNDWyUFy2J8/edit?gid=0#gid=0"",""Sheet1!AG:AG""),
      IMPORTRANGE(""1Cxrhp3-_-HS7v9uuqQliiIfrmMP4VaFoDNDWyUFy2J8/edit?gid=0#gid=0"",""Sheet1!K:K"")=$B213
    ),
    1
  )"&amp;",
  ""Not Found""
)"),"")</f>
        <v/>
      </c>
      <c r="E213" s="284">
        <f>IFERROR(__xludf.DUMMYFUNCTION("IFERROR(
  INDEX(
    FILTER(
      IMPORTRANGE(""1kOrIKZmJfNUkgOVP3sI9BPjaaPA0_a4636oymQxTXg8/edit?gid=609491371#gid=609491371"",""Form responses 1!J:J""),
      IMPORTRANGE(""1kOrIKZmJfNUkgOVP3sI9BPjaaPA0_a4636oymQxTXg8/edit?gid=609491371#gid=609491371"&amp;""",""Form responses 1!F:F"")=$B213
    ),
    1
  ),
  ""Not Found""
)"),2000.0)</f>
        <v>2000</v>
      </c>
      <c r="F213" s="284" t="str">
        <f>IFERROR(__xludf.DUMMYFUNCTION("IFERROR(
  INDEX(
    FILTER(
      IMPORTRANGE(""1kOrIKZmJfNUkgOVP3sI9BPjaaPA0_a4636oymQxTXg8/edit?gid=609491371#gid=609491371"",""Form responses 1!L:L""),
      IMPORTRANGE(""1kOrIKZmJfNUkgOVP3sI9BPjaaPA0_a4636oymQxTXg8/edit?gid=609491371#gid=609491371"&amp;""",""Form responses 1!F:F"")=$B213
    ),
    1
  ),
  ""Not Found""
)"),"No darbar ")</f>
        <v>No darbar </v>
      </c>
      <c r="G213" s="284" t="str">
        <f>IFERROR(__xludf.DUMMYFUNCTION("IFERROR(
  INDEX(
    FILTER(
      IMPORTRANGE(""1kOrIKZmJfNUkgOVP3sI9BPjaaPA0_a4636oymQxTXg8/edit?gid=609491371#gid=609491371"",""Form responses 1!K:K""),
      IMPORTRANGE(""1kOrIKZmJfNUkgOVP3sI9BPjaaPA0_a4636oymQxTXg8/edit?gid=609491371#gid=609491371"&amp;""",""Form responses 1!F:F"")=$B213
    ),
    1
  ),
  ""Not Found""
)"),"Yes")</f>
        <v>Yes</v>
      </c>
      <c r="H213" s="230"/>
      <c r="I213" s="230">
        <v>2000.0</v>
      </c>
      <c r="J213" s="339">
        <f>IFERROR(__xludf.DUMMYFUNCTION("IFERROR(
  INDEX(
    FILTER(
      IMPORTRANGE(""1Cxrhp3-_-HS7v9uuqQliiIfrmMP4VaFoDNDWyUFy2J8/edit?gid=0#gid=0"",""Sheet1!AE:AE""),
      IMPORTRANGE(""1Cxrhp3-_-HS7v9uuqQliiIfrmMP4VaFoDNDWyUFy2J8/edit?gid=0#gid=0"",""Sheet1!K:K"")=$B213
    ),
    1
  )"&amp;",
  ""Not Found""
)"),2000.0)</f>
        <v>2000</v>
      </c>
      <c r="K213" s="340"/>
      <c r="L213" s="340"/>
      <c r="M213" s="230"/>
      <c r="N213" s="230"/>
      <c r="O213" s="230"/>
      <c r="P213" s="230"/>
      <c r="Q213" s="230"/>
      <c r="R213" s="230"/>
      <c r="S213" s="230"/>
      <c r="T213" s="230"/>
      <c r="U213" s="230"/>
      <c r="V213" s="230"/>
      <c r="W213" s="230"/>
      <c r="X213" s="230"/>
      <c r="Y213" s="230"/>
      <c r="Z213" s="230"/>
    </row>
    <row r="214">
      <c r="A214" s="337" t="str">
        <f>IFERROR(__xludf.DUMMYFUNCTION("VLOOKUP($B214,IMPORTRANGE(""https://docs.google.com/spreadsheets/d/1VNXDITjs75AcgdBSW27oL1VZH31udDprJSsBcE5xlp4/edit?gid=1551188038#gid=1551188038"", ""Sheet9!$B:$E""),2,false)"),"Chistain")</f>
        <v>Chistain</v>
      </c>
      <c r="B214" s="338" t="s">
        <v>4655</v>
      </c>
      <c r="C214" s="284">
        <f>IFERROR(__xludf.DUMMYFUNCTION("IFERROR(
  INDEX(
    FILTER(
      IMPORTRANGE(""1Cxrhp3-_-HS7v9uuqQliiIfrmMP4VaFoDNDWyUFy2J8/edit?gid=0#gid=0"",""Sheet1!AE:AE""),
      IMPORTRANGE(""1Cxrhp3-_-HS7v9uuqQliiIfrmMP4VaFoDNDWyUFy2J8/edit?gid=0#gid=0"",""Sheet1!K:K"")=$B214
    ),
    1
  )"&amp;",
  ""Not Found""
)"),1960.0)</f>
        <v>1960</v>
      </c>
      <c r="D214" s="284" t="str">
        <f>IFERROR(__xludf.DUMMYFUNCTION("IFERROR(
  INDEX(
    FILTER(
      IMPORTRANGE(""1Cxrhp3-_-HS7v9uuqQliiIfrmMP4VaFoDNDWyUFy2J8/edit?gid=0#gid=0"",""Sheet1!AG:AG""),
      IMPORTRANGE(""1Cxrhp3-_-HS7v9uuqQliiIfrmMP4VaFoDNDWyUFy2J8/edit?gid=0#gid=0"",""Sheet1!K:K"")=$B214
    ),
    1
  )"&amp;",
  ""Not Found""
)"),"")</f>
        <v/>
      </c>
      <c r="E214" s="284" t="str">
        <f>IFERROR(__xludf.DUMMYFUNCTION("IFERROR(
  INDEX(
    FILTER(
      IMPORTRANGE(""1kOrIKZmJfNUkgOVP3sI9BPjaaPA0_a4636oymQxTXg8/edit?gid=609491371#gid=609491371"",""Form responses 1!J:J""),
      IMPORTRANGE(""1kOrIKZmJfNUkgOVP3sI9BPjaaPA0_a4636oymQxTXg8/edit?gid=609491371#gid=609491371"&amp;""",""Form responses 1!F:F"")=$B214
    ),
    1
  ),
  ""Not Found""
)"),"1960 ( No one in this mosque knows exact date but it was in 1960 as per community )")</f>
        <v>1960 ( No one in this mosque knows exact date but it was in 1960 as per community )</v>
      </c>
      <c r="F214" s="284" t="str">
        <f>IFERROR(__xludf.DUMMYFUNCTION("IFERROR(
  INDEX(
    FILTER(
      IMPORTRANGE(""1kOrIKZmJfNUkgOVP3sI9BPjaaPA0_a4636oymQxTXg8/edit?gid=609491371#gid=609491371"",""Form responses 1!L:L""),
      IMPORTRANGE(""1kOrIKZmJfNUkgOVP3sI9BPjaaPA0_a4636oymQxTXg8/edit?gid=609491371#gid=609491371"&amp;""",""Form responses 1!F:F"")=$B214
    ),
    1
  ),
  ""Not Found""
)"),"No")</f>
        <v>No</v>
      </c>
      <c r="G214" s="284" t="str">
        <f>IFERROR(__xludf.DUMMYFUNCTION("IFERROR(
  INDEX(
    FILTER(
      IMPORTRANGE(""1kOrIKZmJfNUkgOVP3sI9BPjaaPA0_a4636oymQxTXg8/edit?gid=609491371#gid=609491371"",""Form responses 1!K:K""),
      IMPORTRANGE(""1kOrIKZmJfNUkgOVP3sI9BPjaaPA0_a4636oymQxTXg8/edit?gid=609491371#gid=609491371"&amp;""",""Form responses 1!F:F"")=$B214
    ),
    1
  ),
  ""Not Found""
)"),"No")</f>
        <v>No</v>
      </c>
      <c r="H214" s="230"/>
      <c r="I214" s="230">
        <v>1960.0</v>
      </c>
      <c r="J214" s="339">
        <f>IFERROR(__xludf.DUMMYFUNCTION("IFERROR(
  INDEX(
    FILTER(
      IMPORTRANGE(""1Cxrhp3-_-HS7v9uuqQliiIfrmMP4VaFoDNDWyUFy2J8/edit?gid=0#gid=0"",""Sheet1!AE:AE""),
      IMPORTRANGE(""1Cxrhp3-_-HS7v9uuqQliiIfrmMP4VaFoDNDWyUFy2J8/edit?gid=0#gid=0"",""Sheet1!K:K"")=$B214
    ),
    1
  )"&amp;",
  ""Not Found""
)"),1960.0)</f>
        <v>1960</v>
      </c>
      <c r="K214" s="340"/>
      <c r="L214" s="340"/>
      <c r="M214" s="230"/>
      <c r="N214" s="230"/>
      <c r="O214" s="230"/>
      <c r="P214" s="230"/>
      <c r="Q214" s="230"/>
      <c r="R214" s="230"/>
      <c r="S214" s="230"/>
      <c r="T214" s="230"/>
      <c r="U214" s="230"/>
      <c r="V214" s="230"/>
      <c r="W214" s="230"/>
      <c r="X214" s="230"/>
      <c r="Y214" s="230"/>
      <c r="Z214" s="230"/>
    </row>
    <row r="215">
      <c r="A215" s="337" t="str">
        <f>IFERROR(__xludf.DUMMYFUNCTION("VLOOKUP($B215,IMPORTRANGE(""https://docs.google.com/spreadsheets/d/1VNXDITjs75AcgdBSW27oL1VZH31udDprJSsBcE5xlp4/edit?gid=1551188038#gid=1551188038"", ""Sheet9!$B:$E""),2,false)"),"Chistain")</f>
        <v>Chistain</v>
      </c>
      <c r="B215" s="338" t="s">
        <v>4656</v>
      </c>
      <c r="C215" s="284">
        <f>IFERROR(__xludf.DUMMYFUNCTION("IFERROR(
  INDEX(
    FILTER(
      IMPORTRANGE(""1Cxrhp3-_-HS7v9uuqQliiIfrmMP4VaFoDNDWyUFy2J8/edit?gid=0#gid=0"",""Sheet1!AE:AE""),
      IMPORTRANGE(""1Cxrhp3-_-HS7v9uuqQliiIfrmMP4VaFoDNDWyUFy2J8/edit?gid=0#gid=0"",""Sheet1!K:K"")=$B215
    ),
    1
  )"&amp;",
  ""Not Found""
)"),1940.0)</f>
        <v>1940</v>
      </c>
      <c r="D215" s="284" t="str">
        <f>IFERROR(__xludf.DUMMYFUNCTION("IFERROR(
  INDEX(
    FILTER(
      IMPORTRANGE(""1Cxrhp3-_-HS7v9uuqQliiIfrmMP4VaFoDNDWyUFy2J8/edit?gid=0#gid=0"",""Sheet1!AG:AG""),
      IMPORTRANGE(""1Cxrhp3-_-HS7v9uuqQliiIfrmMP4VaFoDNDWyUFy2J8/edit?gid=0#gid=0"",""Sheet1!K:K"")=$B215
    ),
    1
  )"&amp;",
  ""Not Found""
)"),"")</f>
        <v/>
      </c>
      <c r="E215" s="284">
        <f>IFERROR(__xludf.DUMMYFUNCTION("IFERROR(
  INDEX(
    FILTER(
      IMPORTRANGE(""1kOrIKZmJfNUkgOVP3sI9BPjaaPA0_a4636oymQxTXg8/edit?gid=609491371#gid=609491371"",""Form responses 1!J:J""),
      IMPORTRANGE(""1kOrIKZmJfNUkgOVP3sI9BPjaaPA0_a4636oymQxTXg8/edit?gid=609491371#gid=609491371"&amp;""",""Form responses 1!F:F"")=$B215
    ),
    1
  ),
  ""Not Found""
)"),1986.0)</f>
        <v>1986</v>
      </c>
      <c r="F215" s="284" t="str">
        <f>IFERROR(__xludf.DUMMYFUNCTION("IFERROR(
  INDEX(
    FILTER(
      IMPORTRANGE(""1kOrIKZmJfNUkgOVP3sI9BPjaaPA0_a4636oymQxTXg8/edit?gid=609491371#gid=609491371"",""Form responses 1!L:L""),
      IMPORTRANGE(""1kOrIKZmJfNUkgOVP3sI9BPjaaPA0_a4636oymQxTXg8/edit?gid=609491371#gid=609491371"&amp;""",""Form responses 1!F:F"")=$B215
    ),
    1
  ),
  ""Not Found""
)"),"no")</f>
        <v>no</v>
      </c>
      <c r="G215" s="284" t="str">
        <f>IFERROR(__xludf.DUMMYFUNCTION("IFERROR(
  INDEX(
    FILTER(
      IMPORTRANGE(""1kOrIKZmJfNUkgOVP3sI9BPjaaPA0_a4636oymQxTXg8/edit?gid=609491371#gid=609491371"",""Form responses 1!K:K""),
      IMPORTRANGE(""1kOrIKZmJfNUkgOVP3sI9BPjaaPA0_a4636oymQxTXg8/edit?gid=609491371#gid=609491371"&amp;""",""Form responses 1!F:F"")=$B215
    ),
    1
  ),
  ""Not Found""
)"),"No")</f>
        <v>No</v>
      </c>
      <c r="H215" s="230"/>
      <c r="I215" s="230">
        <v>1940.0</v>
      </c>
      <c r="J215" s="339">
        <f>IFERROR(__xludf.DUMMYFUNCTION("IFERROR(
  INDEX(
    FILTER(
      IMPORTRANGE(""1Cxrhp3-_-HS7v9uuqQliiIfrmMP4VaFoDNDWyUFy2J8/edit?gid=0#gid=0"",""Sheet1!AE:AE""),
      IMPORTRANGE(""1Cxrhp3-_-HS7v9uuqQliiIfrmMP4VaFoDNDWyUFy2J8/edit?gid=0#gid=0"",""Sheet1!K:K"")=$B215
    ),
    1
  )"&amp;",
  ""Not Found""
)"),1940.0)</f>
        <v>1940</v>
      </c>
      <c r="K215" s="340"/>
      <c r="L215" s="340"/>
      <c r="M215" s="230"/>
      <c r="N215" s="230"/>
      <c r="O215" s="230"/>
      <c r="P215" s="230"/>
      <c r="Q215" s="230"/>
      <c r="R215" s="230"/>
      <c r="S215" s="230"/>
      <c r="T215" s="230"/>
      <c r="U215" s="230"/>
      <c r="V215" s="230"/>
      <c r="W215" s="230"/>
      <c r="X215" s="230"/>
      <c r="Y215" s="230"/>
      <c r="Z215" s="230"/>
    </row>
    <row r="216">
      <c r="A216" s="337" t="str">
        <f>IFERROR(__xludf.DUMMYFUNCTION("VLOOKUP($B216,IMPORTRANGE(""https://docs.google.com/spreadsheets/d/1VNXDITjs75AcgdBSW27oL1VZH31udDprJSsBcE5xlp4/edit?gid=1551188038#gid=1551188038"", ""Sheet9!$B:$E""),2,false)"),"Chistain")</f>
        <v>Chistain</v>
      </c>
      <c r="B216" s="338" t="s">
        <v>4657</v>
      </c>
      <c r="C216" s="284" t="str">
        <f>IFERROR(__xludf.DUMMYFUNCTION("IFERROR(
  INDEX(
    FILTER(
      IMPORTRANGE(""1Cxrhp3-_-HS7v9uuqQliiIfrmMP4VaFoDNDWyUFy2J8/edit?gid=0#gid=0"",""Sheet1!AE:AE""),
      IMPORTRANGE(""1Cxrhp3-_-HS7v9uuqQliiIfrmMP4VaFoDNDWyUFy2J8/edit?gid=0#gid=0"",""Sheet1!K:K"")=$B216
    ),
    1
  )"&amp;",
  ""Not Found""
)"),"Not Found")</f>
        <v>Not Found</v>
      </c>
      <c r="D216" s="284"/>
      <c r="E216" s="284">
        <f>IFERROR(__xludf.DUMMYFUNCTION("IFERROR(
  INDEX(
    FILTER(
      IMPORTRANGE(""1kOrIKZmJfNUkgOVP3sI9BPjaaPA0_a4636oymQxTXg8/edit?gid=609491371#gid=609491371"",""Form responses 1!J:J""),
      IMPORTRANGE(""1kOrIKZmJfNUkgOVP3sI9BPjaaPA0_a4636oymQxTXg8/edit?gid=609491371#gid=609491371"&amp;""",""Form responses 1!F:F"")=$B216
    ),
    1
  ),
  ""Not Found""
)"),1266.0)</f>
        <v>1266</v>
      </c>
      <c r="F216" s="284" t="str">
        <f>IFERROR(__xludf.DUMMYFUNCTION("IFERROR(
  INDEX(
    FILTER(
      IMPORTRANGE(""1kOrIKZmJfNUkgOVP3sI9BPjaaPA0_a4636oymQxTXg8/edit?gid=609491371#gid=609491371"",""Form responses 1!L:L""),
      IMPORTRANGE(""1kOrIKZmJfNUkgOVP3sI9BPjaaPA0_a4636oymQxTXg8/edit?gid=609491371#gid=609491371"&amp;""",""Form responses 1!F:F"")=$B216
    ),
    1
  ),
  ""Not Found""
)"),"Khawaja Noor Muhammad Maharwi")</f>
        <v>Khawaja Noor Muhammad Maharwi</v>
      </c>
      <c r="G216" s="284" t="str">
        <f>IFERROR(__xludf.DUMMYFUNCTION("IFERROR(
  INDEX(
    FILTER(
      IMPORTRANGE(""1kOrIKZmJfNUkgOVP3sI9BPjaaPA0_a4636oymQxTXg8/edit?gid=609491371#gid=609491371"",""Form responses 1!K:K""),
      IMPORTRANGE(""1kOrIKZmJfNUkgOVP3sI9BPjaaPA0_a4636oymQxTXg8/edit?gid=609491371#gid=609491371"&amp;""",""Form responses 1!F:F"")=$B216
    ),
    1
  ),
  ""Not Found""
)"),"No")</f>
        <v>No</v>
      </c>
      <c r="H216" s="230"/>
      <c r="I216" s="343">
        <v>1266.0</v>
      </c>
      <c r="J216" s="344">
        <v>1266.0</v>
      </c>
      <c r="K216" s="340"/>
      <c r="L216" s="340"/>
      <c r="M216" s="230"/>
      <c r="N216" s="230"/>
      <c r="O216" s="230"/>
      <c r="P216" s="230"/>
      <c r="Q216" s="230"/>
      <c r="R216" s="230"/>
      <c r="S216" s="230"/>
      <c r="T216" s="230"/>
      <c r="U216" s="230"/>
      <c r="V216" s="230"/>
      <c r="W216" s="230"/>
      <c r="X216" s="230"/>
      <c r="Y216" s="230"/>
      <c r="Z216" s="230"/>
    </row>
    <row r="217">
      <c r="A217" s="337" t="str">
        <f>IFERROR(__xludf.DUMMYFUNCTION("VLOOKUP($B217,IMPORTRANGE(""https://docs.google.com/spreadsheets/d/1VNXDITjs75AcgdBSW27oL1VZH31udDprJSsBcE5xlp4/edit?gid=1551188038#gid=1551188038"", ""Sheet9!$B:$E""),2,false)"),"Chistain")</f>
        <v>Chistain</v>
      </c>
      <c r="B217" s="338" t="s">
        <v>4658</v>
      </c>
      <c r="C217" s="284" t="str">
        <f>IFERROR(__xludf.DUMMYFUNCTION("IFERROR(
  INDEX(
    FILTER(
      IMPORTRANGE(""1Cxrhp3-_-HS7v9uuqQliiIfrmMP4VaFoDNDWyUFy2J8/edit?gid=0#gid=0"",""Sheet1!AE:AE""),
      IMPORTRANGE(""1Cxrhp3-_-HS7v9uuqQliiIfrmMP4VaFoDNDWyUFy2J8/edit?gid=0#gid=0"",""Sheet1!K:K"")=$B217
    ),
    1
  )"&amp;",
  ""Not Found""
)"),"Not Found")</f>
        <v>Not Found</v>
      </c>
      <c r="D217" s="284"/>
      <c r="E217" s="284">
        <f>IFERROR(__xludf.DUMMYFUNCTION("IFERROR(
  INDEX(
    FILTER(
      IMPORTRANGE(""1kOrIKZmJfNUkgOVP3sI9BPjaaPA0_a4636oymQxTXg8/edit?gid=609491371#gid=609491371"",""Form responses 1!J:J""),
      IMPORTRANGE(""1kOrIKZmJfNUkgOVP3sI9BPjaaPA0_a4636oymQxTXg8/edit?gid=609491371#gid=609491371"&amp;""",""Form responses 1!F:F"")=$B217
    ),
    1
  ),
  ""Not Found""
)"),1955.0)</f>
        <v>1955</v>
      </c>
      <c r="F217" s="284" t="str">
        <f>IFERROR(__xludf.DUMMYFUNCTION("IFERROR(
  INDEX(
    FILTER(
      IMPORTRANGE(""1kOrIKZmJfNUkgOVP3sI9BPjaaPA0_a4636oymQxTXg8/edit?gid=609491371#gid=609491371"",""Form responses 1!L:L""),
      IMPORTRANGE(""1kOrIKZmJfNUkgOVP3sI9BPjaaPA0_a4636oymQxTXg8/edit?gid=609491371#gid=609491371"&amp;""",""Form responses 1!F:F"")=$B217
    ),
    1
  ),
  ""Not Found""
)"),"Hazrat Baba Taj UD din Sarwar Chisti")</f>
        <v>Hazrat Baba Taj UD din Sarwar Chisti</v>
      </c>
      <c r="G217" s="284" t="str">
        <f>IFERROR(__xludf.DUMMYFUNCTION("IFERROR(
  INDEX(
    FILTER(
      IMPORTRANGE(""1kOrIKZmJfNUkgOVP3sI9BPjaaPA0_a4636oymQxTXg8/edit?gid=609491371#gid=609491371"",""Form responses 1!K:K""),
      IMPORTRANGE(""1kOrIKZmJfNUkgOVP3sI9BPjaaPA0_a4636oymQxTXg8/edit?gid=609491371#gid=609491371"&amp;""",""Form responses 1!F:F"")=$B217
    ),
    1
  ),
  ""Not Found""
)"),"No")</f>
        <v>No</v>
      </c>
      <c r="H217" s="230"/>
      <c r="I217" s="343">
        <v>1955.0</v>
      </c>
      <c r="J217" s="344">
        <v>1955.0</v>
      </c>
      <c r="K217" s="340"/>
      <c r="L217" s="340"/>
      <c r="M217" s="230"/>
      <c r="N217" s="230"/>
      <c r="O217" s="230"/>
      <c r="P217" s="230"/>
      <c r="Q217" s="230"/>
      <c r="R217" s="230"/>
      <c r="S217" s="230"/>
      <c r="T217" s="230"/>
      <c r="U217" s="230"/>
      <c r="V217" s="230"/>
      <c r="W217" s="230"/>
      <c r="X217" s="230"/>
      <c r="Y217" s="230"/>
      <c r="Z217" s="230"/>
    </row>
    <row r="218">
      <c r="A218" s="337" t="str">
        <f>IFERROR(__xludf.DUMMYFUNCTION("VLOOKUP($B218,IMPORTRANGE(""https://docs.google.com/spreadsheets/d/1VNXDITjs75AcgdBSW27oL1VZH31udDprJSsBcE5xlp4/edit?gid=1551188038#gid=1551188038"", ""Sheet9!$B:$E""),2,false)"),"Chistain")</f>
        <v>Chistain</v>
      </c>
      <c r="B218" s="338" t="s">
        <v>4659</v>
      </c>
      <c r="C218" s="284">
        <f>IFERROR(__xludf.DUMMYFUNCTION("IFERROR(
  INDEX(
    FILTER(
      IMPORTRANGE(""1Cxrhp3-_-HS7v9uuqQliiIfrmMP4VaFoDNDWyUFy2J8/edit?gid=0#gid=0"",""Sheet1!AE:AE""),
      IMPORTRANGE(""1Cxrhp3-_-HS7v9uuqQliiIfrmMP4VaFoDNDWyUFy2J8/edit?gid=0#gid=0"",""Sheet1!K:K"")=$B218
    ),
    1
  )"&amp;",
  ""Not Found""
)"),1938.0)</f>
        <v>1938</v>
      </c>
      <c r="D218" s="284" t="str">
        <f>IFERROR(__xludf.DUMMYFUNCTION("IFERROR(
  INDEX(
    FILTER(
      IMPORTRANGE(""1Cxrhp3-_-HS7v9uuqQliiIfrmMP4VaFoDNDWyUFy2J8/edit?gid=0#gid=0"",""Sheet1!AG:AG""),
      IMPORTRANGE(""1Cxrhp3-_-HS7v9uuqQliiIfrmMP4VaFoDNDWyUFy2J8/edit?gid=0#gid=0"",""Sheet1!K:K"")=$B218
    ),
    1
  )"&amp;",
  ""Not Found""
)"),"")</f>
        <v/>
      </c>
      <c r="E218" s="284">
        <f>IFERROR(__xludf.DUMMYFUNCTION("IFERROR(
  INDEX(
    FILTER(
      IMPORTRANGE(""1kOrIKZmJfNUkgOVP3sI9BPjaaPA0_a4636oymQxTXg8/edit?gid=609491371#gid=609491371"",""Form responses 1!J:J""),
      IMPORTRANGE(""1kOrIKZmJfNUkgOVP3sI9BPjaaPA0_a4636oymQxTXg8/edit?gid=609491371#gid=609491371"&amp;""",""Form responses 1!F:F"")=$B218
    ),
    1
  ),
  ""Not Found""
)"),1938.0)</f>
        <v>1938</v>
      </c>
      <c r="F218" s="284">
        <f>IFERROR(__xludf.DUMMYFUNCTION("IFERROR(
  INDEX(
    FILTER(
      IMPORTRANGE(""1kOrIKZmJfNUkgOVP3sI9BPjaaPA0_a4636oymQxTXg8/edit?gid=609491371#gid=609491371"",""Form responses 1!L:L""),
      IMPORTRANGE(""1kOrIKZmJfNUkgOVP3sI9BPjaaPA0_a4636oymQxTXg8/edit?gid=609491371#gid=609491371"&amp;""",""Form responses 1!F:F"")=$B218
    ),
    1
  ),
  ""Not Found""
)"),0.0)</f>
        <v>0</v>
      </c>
      <c r="G218" s="284" t="str">
        <f>IFERROR(__xludf.DUMMYFUNCTION("IFERROR(
  INDEX(
    FILTER(
      IMPORTRANGE(""1kOrIKZmJfNUkgOVP3sI9BPjaaPA0_a4636oymQxTXg8/edit?gid=609491371#gid=609491371"",""Form responses 1!K:K""),
      IMPORTRANGE(""1kOrIKZmJfNUkgOVP3sI9BPjaaPA0_a4636oymQxTXg8/edit?gid=609491371#gid=609491371"&amp;""",""Form responses 1!F:F"")=$B218
    ),
    1
  ),
  ""Not Found""
)"),"No")</f>
        <v>No</v>
      </c>
      <c r="H218" s="230"/>
      <c r="I218" s="230">
        <v>1938.0</v>
      </c>
      <c r="J218" s="339">
        <f>IFERROR(__xludf.DUMMYFUNCTION("IFERROR(
  INDEX(
    FILTER(
      IMPORTRANGE(""1Cxrhp3-_-HS7v9uuqQliiIfrmMP4VaFoDNDWyUFy2J8/edit?gid=0#gid=0"",""Sheet1!AE:AE""),
      IMPORTRANGE(""1Cxrhp3-_-HS7v9uuqQliiIfrmMP4VaFoDNDWyUFy2J8/edit?gid=0#gid=0"",""Sheet1!K:K"")=$B218
    ),
    1
  )"&amp;",
  ""Not Found""
)"),1938.0)</f>
        <v>1938</v>
      </c>
      <c r="K218" s="340"/>
      <c r="L218" s="340"/>
      <c r="M218" s="230"/>
      <c r="N218" s="230"/>
      <c r="O218" s="230"/>
      <c r="P218" s="230"/>
      <c r="Q218" s="230"/>
      <c r="R218" s="230"/>
      <c r="S218" s="230"/>
      <c r="T218" s="230"/>
      <c r="U218" s="230"/>
      <c r="V218" s="230"/>
      <c r="W218" s="230"/>
      <c r="X218" s="230"/>
      <c r="Y218" s="230"/>
      <c r="Z218" s="230"/>
    </row>
    <row r="219">
      <c r="A219" s="337" t="str">
        <f>IFERROR(__xludf.DUMMYFUNCTION("VLOOKUP($B219,IMPORTRANGE(""https://docs.google.com/spreadsheets/d/1VNXDITjs75AcgdBSW27oL1VZH31udDprJSsBcE5xlp4/edit?gid=1551188038#gid=1551188038"", ""Sheet9!$B:$E""),2,false)"),"Chistain")</f>
        <v>Chistain</v>
      </c>
      <c r="B219" s="338" t="s">
        <v>4660</v>
      </c>
      <c r="C219" s="284">
        <f>IFERROR(__xludf.DUMMYFUNCTION("IFERROR(
  INDEX(
    FILTER(
      IMPORTRANGE(""1Cxrhp3-_-HS7v9uuqQliiIfrmMP4VaFoDNDWyUFy2J8/edit?gid=0#gid=0"",""Sheet1!AE:AE""),
      IMPORTRANGE(""1Cxrhp3-_-HS7v9uuqQliiIfrmMP4VaFoDNDWyUFy2J8/edit?gid=0#gid=0"",""Sheet1!K:K"")=$B219
    ),
    1
  )"&amp;",
  ""Not Found""
)"),1914.0)</f>
        <v>1914</v>
      </c>
      <c r="D219" s="284" t="str">
        <f>IFERROR(__xludf.DUMMYFUNCTION("IFERROR(
  INDEX(
    FILTER(
      IMPORTRANGE(""1Cxrhp3-_-HS7v9uuqQliiIfrmMP4VaFoDNDWyUFy2J8/edit?gid=0#gid=0"",""Sheet1!AG:AG""),
      IMPORTRANGE(""1Cxrhp3-_-HS7v9uuqQliiIfrmMP4VaFoDNDWyUFy2J8/edit?gid=0#gid=0"",""Sheet1!K:K"")=$B219
    ),
    1
  )"&amp;",
  ""Not Found""
)"),"")</f>
        <v/>
      </c>
      <c r="E219" s="284">
        <f>IFERROR(__xludf.DUMMYFUNCTION("IFERROR(
  INDEX(
    FILTER(
      IMPORTRANGE(""1kOrIKZmJfNUkgOVP3sI9BPjaaPA0_a4636oymQxTXg8/edit?gid=609491371#gid=609491371"",""Form responses 1!J:J""),
      IMPORTRANGE(""1kOrIKZmJfNUkgOVP3sI9BPjaaPA0_a4636oymQxTXg8/edit?gid=609491371#gid=609491371"&amp;""",""Form responses 1!F:F"")=$B219
    ),
    1
  ),
  ""Not Found""
)"),1914.0)</f>
        <v>1914</v>
      </c>
      <c r="F219" s="284">
        <f>IFERROR(__xludf.DUMMYFUNCTION("IFERROR(
  INDEX(
    FILTER(
      IMPORTRANGE(""1kOrIKZmJfNUkgOVP3sI9BPjaaPA0_a4636oymQxTXg8/edit?gid=609491371#gid=609491371"",""Form responses 1!L:L""),
      IMPORTRANGE(""1kOrIKZmJfNUkgOVP3sI9BPjaaPA0_a4636oymQxTXg8/edit?gid=609491371#gid=609491371"&amp;""",""Form responses 1!F:F"")=$B219
    ),
    1
  ),
  ""Not Found""
)"),0.0)</f>
        <v>0</v>
      </c>
      <c r="G219" s="284" t="str">
        <f>IFERROR(__xludf.DUMMYFUNCTION("IFERROR(
  INDEX(
    FILTER(
      IMPORTRANGE(""1kOrIKZmJfNUkgOVP3sI9BPjaaPA0_a4636oymQxTXg8/edit?gid=609491371#gid=609491371"",""Form responses 1!K:K""),
      IMPORTRANGE(""1kOrIKZmJfNUkgOVP3sI9BPjaaPA0_a4636oymQxTXg8/edit?gid=609491371#gid=609491371"&amp;""",""Form responses 1!F:F"")=$B219
    ),
    1
  ),
  ""Not Found""
)"),"No")</f>
        <v>No</v>
      </c>
      <c r="H219" s="230"/>
      <c r="I219" s="230">
        <v>1914.0</v>
      </c>
      <c r="J219" s="339">
        <f>IFERROR(__xludf.DUMMYFUNCTION("IFERROR(
  INDEX(
    FILTER(
      IMPORTRANGE(""1Cxrhp3-_-HS7v9uuqQliiIfrmMP4VaFoDNDWyUFy2J8/edit?gid=0#gid=0"",""Sheet1!AE:AE""),
      IMPORTRANGE(""1Cxrhp3-_-HS7v9uuqQliiIfrmMP4VaFoDNDWyUFy2J8/edit?gid=0#gid=0"",""Sheet1!K:K"")=$B219
    ),
    1
  )"&amp;",
  ""Not Found""
)"),1914.0)</f>
        <v>1914</v>
      </c>
      <c r="K219" s="340"/>
      <c r="L219" s="340"/>
      <c r="M219" s="230"/>
      <c r="N219" s="230"/>
      <c r="O219" s="230"/>
      <c r="P219" s="230"/>
      <c r="Q219" s="230"/>
      <c r="R219" s="230"/>
      <c r="S219" s="230"/>
      <c r="T219" s="230"/>
      <c r="U219" s="230"/>
      <c r="V219" s="230"/>
      <c r="W219" s="230"/>
      <c r="X219" s="230"/>
      <c r="Y219" s="230"/>
      <c r="Z219" s="230"/>
    </row>
    <row r="220">
      <c r="A220" s="337" t="str">
        <f>IFERROR(__xludf.DUMMYFUNCTION("VLOOKUP($B220,IMPORTRANGE(""https://docs.google.com/spreadsheets/d/1VNXDITjs75AcgdBSW27oL1VZH31udDprJSsBcE5xlp4/edit?gid=1551188038#gid=1551188038"", ""Sheet9!$B:$E""),2,false)"),"Rahim Yar Khan")</f>
        <v>Rahim Yar Khan</v>
      </c>
      <c r="B220" s="338" t="s">
        <v>4661</v>
      </c>
      <c r="C220" s="284">
        <f>IFERROR(__xludf.DUMMYFUNCTION("IFERROR(
  INDEX(
    FILTER(
      IMPORTRANGE(""1Cxrhp3-_-HS7v9uuqQliiIfrmMP4VaFoDNDWyUFy2J8/edit?gid=0#gid=0"",""Sheet1!AE:AE""),
      IMPORTRANGE(""1Cxrhp3-_-HS7v9uuqQliiIfrmMP4VaFoDNDWyUFy2J8/edit?gid=0#gid=0"",""Sheet1!K:K"")=$B220
    ),
    1
  )"&amp;",
  ""Not Found""
)"),1986.0)</f>
        <v>1986</v>
      </c>
      <c r="D220" s="284" t="str">
        <f>IFERROR(__xludf.DUMMYFUNCTION("IFERROR(
  INDEX(
    FILTER(
      IMPORTRANGE(""1Cxrhp3-_-HS7v9uuqQliiIfrmMP4VaFoDNDWyUFy2J8/edit?gid=0#gid=0"",""Sheet1!AG:AG""),
      IMPORTRANGE(""1Cxrhp3-_-HS7v9uuqQliiIfrmMP4VaFoDNDWyUFy2J8/edit?gid=0#gid=0"",""Sheet1!K:K"")=$B220
    ),
    1
  )"&amp;",
  ""Not Found""
)"),"")</f>
        <v/>
      </c>
      <c r="E220" s="284">
        <f>IFERROR(__xludf.DUMMYFUNCTION("IFERROR(
  INDEX(
    FILTER(
      IMPORTRANGE(""1kOrIKZmJfNUkgOVP3sI9BPjaaPA0_a4636oymQxTXg8/edit?gid=609491371#gid=609491371"",""Form responses 1!J:J""),
      IMPORTRANGE(""1kOrIKZmJfNUkgOVP3sI9BPjaaPA0_a4636oymQxTXg8/edit?gid=609491371#gid=609491371"&amp;""",""Form responses 1!F:F"")=$B220
    ),
    1
  ),
  ""Not Found""
)"),1986.0)</f>
        <v>1986</v>
      </c>
      <c r="F220" s="284">
        <f>IFERROR(__xludf.DUMMYFUNCTION("IFERROR(
  INDEX(
    FILTER(
      IMPORTRANGE(""1kOrIKZmJfNUkgOVP3sI9BPjaaPA0_a4636oymQxTXg8/edit?gid=609491371#gid=609491371"",""Form responses 1!L:L""),
      IMPORTRANGE(""1kOrIKZmJfNUkgOVP3sI9BPjaaPA0_a4636oymQxTXg8/edit?gid=609491371#gid=609491371"&amp;""",""Form responses 1!F:F"")=$B220
    ),
    1
  ),
  ""Not Found""
)"),0.0)</f>
        <v>0</v>
      </c>
      <c r="G220" s="284" t="str">
        <f>IFERROR(__xludf.DUMMYFUNCTION("IFERROR(
  INDEX(
    FILTER(
      IMPORTRANGE(""1kOrIKZmJfNUkgOVP3sI9BPjaaPA0_a4636oymQxTXg8/edit?gid=609491371#gid=609491371"",""Form responses 1!K:K""),
      IMPORTRANGE(""1kOrIKZmJfNUkgOVP3sI9BPjaaPA0_a4636oymQxTXg8/edit?gid=609491371#gid=609491371"&amp;""",""Form responses 1!F:F"")=$B220
    ),
    1
  ),
  ""Not Found""
)"),"No")</f>
        <v>No</v>
      </c>
      <c r="H220" s="230"/>
      <c r="I220" s="230">
        <v>1986.0</v>
      </c>
      <c r="J220" s="339">
        <f>IFERROR(__xludf.DUMMYFUNCTION("IFERROR(
  INDEX(
    FILTER(
      IMPORTRANGE(""1Cxrhp3-_-HS7v9uuqQliiIfrmMP4VaFoDNDWyUFy2J8/edit?gid=0#gid=0"",""Sheet1!AE:AE""),
      IMPORTRANGE(""1Cxrhp3-_-HS7v9uuqQliiIfrmMP4VaFoDNDWyUFy2J8/edit?gid=0#gid=0"",""Sheet1!K:K"")=$B220
    ),
    1
  )"&amp;",
  ""Not Found""
)"),1986.0)</f>
        <v>1986</v>
      </c>
      <c r="K220" s="340"/>
      <c r="L220" s="340"/>
      <c r="M220" s="230"/>
      <c r="N220" s="230"/>
      <c r="O220" s="230"/>
      <c r="P220" s="230"/>
      <c r="Q220" s="230"/>
      <c r="R220" s="230"/>
      <c r="S220" s="230"/>
      <c r="T220" s="230"/>
      <c r="U220" s="230"/>
      <c r="V220" s="230"/>
      <c r="W220" s="230"/>
      <c r="X220" s="230"/>
      <c r="Y220" s="230"/>
      <c r="Z220" s="230"/>
    </row>
    <row r="221">
      <c r="A221" s="337" t="str">
        <f>IFERROR(__xludf.DUMMYFUNCTION("VLOOKUP($B221,IMPORTRANGE(""https://docs.google.com/spreadsheets/d/1VNXDITjs75AcgdBSW27oL1VZH31udDprJSsBcE5xlp4/edit?gid=1551188038#gid=1551188038"", ""Sheet9!$B:$E""),2,false)"),"Rahim Yar Khan")</f>
        <v>Rahim Yar Khan</v>
      </c>
      <c r="B221" s="338" t="s">
        <v>4662</v>
      </c>
      <c r="C221" s="284">
        <f>IFERROR(__xludf.DUMMYFUNCTION("IFERROR(
  INDEX(
    FILTER(
      IMPORTRANGE(""1Cxrhp3-_-HS7v9uuqQliiIfrmMP4VaFoDNDWyUFy2J8/edit?gid=0#gid=0"",""Sheet1!AE:AE""),
      IMPORTRANGE(""1Cxrhp3-_-HS7v9uuqQliiIfrmMP4VaFoDNDWyUFy2J8/edit?gid=0#gid=0"",""Sheet1!K:K"")=$B221
    ),
    1
  )"&amp;",
  ""Not Found""
)"),1978.0)</f>
        <v>1978</v>
      </c>
      <c r="D221" s="284" t="str">
        <f>IFERROR(__xludf.DUMMYFUNCTION("IFERROR(
  INDEX(
    FILTER(
      IMPORTRANGE(""1Cxrhp3-_-HS7v9uuqQliiIfrmMP4VaFoDNDWyUFy2J8/edit?gid=0#gid=0"",""Sheet1!AG:AG""),
      IMPORTRANGE(""1Cxrhp3-_-HS7v9uuqQliiIfrmMP4VaFoDNDWyUFy2J8/edit?gid=0#gid=0"",""Sheet1!K:K"")=$B221
    ),
    1
  )"&amp;",
  ""Not Found""
)"),"")</f>
        <v/>
      </c>
      <c r="E221" s="284">
        <f>IFERROR(__xludf.DUMMYFUNCTION("IFERROR(
  INDEX(
    FILTER(
      IMPORTRANGE(""1kOrIKZmJfNUkgOVP3sI9BPjaaPA0_a4636oymQxTXg8/edit?gid=609491371#gid=609491371"",""Form responses 1!J:J""),
      IMPORTRANGE(""1kOrIKZmJfNUkgOVP3sI9BPjaaPA0_a4636oymQxTXg8/edit?gid=609491371#gid=609491371"&amp;""",""Form responses 1!F:F"")=$B221
    ),
    1
  ),
  ""Not Found""
)"),1978.0)</f>
        <v>1978</v>
      </c>
      <c r="F221" s="284" t="str">
        <f>IFERROR(__xludf.DUMMYFUNCTION("IFERROR(
  INDEX(
    FILTER(
      IMPORTRANGE(""1kOrIKZmJfNUkgOVP3sI9BPjaaPA0_a4636oymQxTXg8/edit?gid=609491371#gid=609491371"",""Form responses 1!L:L""),
      IMPORTRANGE(""1kOrIKZmJfNUkgOVP3sI9BPjaaPA0_a4636oymQxTXg8/edit?gid=609491371#gid=609491371"&amp;""",""Form responses 1!F:F"")=$B221
    ),
    1
  ),
  ""Not Found""
)"),"No")</f>
        <v>No</v>
      </c>
      <c r="G221" s="284" t="str">
        <f>IFERROR(__xludf.DUMMYFUNCTION("IFERROR(
  INDEX(
    FILTER(
      IMPORTRANGE(""1kOrIKZmJfNUkgOVP3sI9BPjaaPA0_a4636oymQxTXg8/edit?gid=609491371#gid=609491371"",""Form responses 1!K:K""),
      IMPORTRANGE(""1kOrIKZmJfNUkgOVP3sI9BPjaaPA0_a4636oymQxTXg8/edit?gid=609491371#gid=609491371"&amp;""",""Form responses 1!F:F"")=$B221
    ),
    1
  ),
  ""Not Found""
)"),"Yes")</f>
        <v>Yes</v>
      </c>
      <c r="H221" s="230"/>
      <c r="I221" s="230">
        <v>1978.0</v>
      </c>
      <c r="J221" s="339">
        <f>IFERROR(__xludf.DUMMYFUNCTION("IFERROR(
  INDEX(
    FILTER(
      IMPORTRANGE(""1Cxrhp3-_-HS7v9uuqQliiIfrmMP4VaFoDNDWyUFy2J8/edit?gid=0#gid=0"",""Sheet1!AE:AE""),
      IMPORTRANGE(""1Cxrhp3-_-HS7v9uuqQliiIfrmMP4VaFoDNDWyUFy2J8/edit?gid=0#gid=0"",""Sheet1!K:K"")=$B221
    ),
    1
  )"&amp;",
  ""Not Found""
)"),1978.0)</f>
        <v>1978</v>
      </c>
      <c r="K221" s="340"/>
      <c r="L221" s="340"/>
      <c r="M221" s="230"/>
      <c r="N221" s="230"/>
      <c r="O221" s="230"/>
      <c r="P221" s="230"/>
      <c r="Q221" s="230"/>
      <c r="R221" s="230"/>
      <c r="S221" s="230"/>
      <c r="T221" s="230"/>
      <c r="U221" s="230"/>
      <c r="V221" s="230"/>
      <c r="W221" s="230"/>
      <c r="X221" s="230"/>
      <c r="Y221" s="230"/>
      <c r="Z221" s="230"/>
    </row>
    <row r="222">
      <c r="A222" s="337" t="str">
        <f>IFERROR(__xludf.DUMMYFUNCTION("VLOOKUP($B222,IMPORTRANGE(""https://docs.google.com/spreadsheets/d/1VNXDITjs75AcgdBSW27oL1VZH31udDprJSsBcE5xlp4/edit?gid=1551188038#gid=1551188038"", ""Sheet9!$B:$E""),2,false)"),"Rahim Yar Khan")</f>
        <v>Rahim Yar Khan</v>
      </c>
      <c r="B222" s="338" t="s">
        <v>4663</v>
      </c>
      <c r="C222" s="284">
        <f>IFERROR(__xludf.DUMMYFUNCTION("IFERROR(
  INDEX(
    FILTER(
      IMPORTRANGE(""1Cxrhp3-_-HS7v9uuqQliiIfrmMP4VaFoDNDWyUFy2J8/edit?gid=0#gid=0"",""Sheet1!AE:AE""),
      IMPORTRANGE(""1Cxrhp3-_-HS7v9uuqQliiIfrmMP4VaFoDNDWyUFy2J8/edit?gid=0#gid=0"",""Sheet1!K:K"")=$B222
    ),
    1
  )"&amp;",
  ""Not Found""
)"),1924.0)</f>
        <v>1924</v>
      </c>
      <c r="D222" s="284" t="str">
        <f>IFERROR(__xludf.DUMMYFUNCTION("IFERROR(
  INDEX(
    FILTER(
      IMPORTRANGE(""1Cxrhp3-_-HS7v9uuqQliiIfrmMP4VaFoDNDWyUFy2J8/edit?gid=0#gid=0"",""Sheet1!AG:AG""),
      IMPORTRANGE(""1Cxrhp3-_-HS7v9uuqQliiIfrmMP4VaFoDNDWyUFy2J8/edit?gid=0#gid=0"",""Sheet1!K:K"")=$B222
    ),
    1
  )"&amp;",
  ""Not Found""
)"),"")</f>
        <v/>
      </c>
      <c r="E222" s="284">
        <f>IFERROR(__xludf.DUMMYFUNCTION("IFERROR(
  INDEX(
    FILTER(
      IMPORTRANGE(""1kOrIKZmJfNUkgOVP3sI9BPjaaPA0_a4636oymQxTXg8/edit?gid=609491371#gid=609491371"",""Form responses 1!J:J""),
      IMPORTRANGE(""1kOrIKZmJfNUkgOVP3sI9BPjaaPA0_a4636oymQxTXg8/edit?gid=609491371#gid=609491371"&amp;""",""Form responses 1!F:F"")=$B222
    ),
    1
  ),
  ""Not Found""
)"),1924.0)</f>
        <v>1924</v>
      </c>
      <c r="F222" s="284" t="str">
        <f>IFERROR(__xludf.DUMMYFUNCTION("IFERROR(
  INDEX(
    FILTER(
      IMPORTRANGE(""1kOrIKZmJfNUkgOVP3sI9BPjaaPA0_a4636oymQxTXg8/edit?gid=609491371#gid=609491371"",""Form responses 1!L:L""),
      IMPORTRANGE(""1kOrIKZmJfNUkgOVP3sI9BPjaaPA0_a4636oymQxTXg8/edit?gid=609491371#gid=609491371"&amp;""",""Form responses 1!F:F"")=$B222
    ),
    1
  ),
  ""Not Found""
)"),"No")</f>
        <v>No</v>
      </c>
      <c r="G222" s="284" t="str">
        <f>IFERROR(__xludf.DUMMYFUNCTION("IFERROR(
  INDEX(
    FILTER(
      IMPORTRANGE(""1kOrIKZmJfNUkgOVP3sI9BPjaaPA0_a4636oymQxTXg8/edit?gid=609491371#gid=609491371"",""Form responses 1!K:K""),
      IMPORTRANGE(""1kOrIKZmJfNUkgOVP3sI9BPjaaPA0_a4636oymQxTXg8/edit?gid=609491371#gid=609491371"&amp;""",""Form responses 1!F:F"")=$B222
    ),
    1
  ),
  ""Not Found""
)"),"Yes")</f>
        <v>Yes</v>
      </c>
      <c r="H222" s="230"/>
      <c r="I222" s="230">
        <v>1924.0</v>
      </c>
      <c r="J222" s="339">
        <f>IFERROR(__xludf.DUMMYFUNCTION("IFERROR(
  INDEX(
    FILTER(
      IMPORTRANGE(""1Cxrhp3-_-HS7v9uuqQliiIfrmMP4VaFoDNDWyUFy2J8/edit?gid=0#gid=0"",""Sheet1!AE:AE""),
      IMPORTRANGE(""1Cxrhp3-_-HS7v9uuqQliiIfrmMP4VaFoDNDWyUFy2J8/edit?gid=0#gid=0"",""Sheet1!K:K"")=$B222
    ),
    1
  )"&amp;",
  ""Not Found""
)"),1924.0)</f>
        <v>1924</v>
      </c>
      <c r="K222" s="340"/>
      <c r="L222" s="340"/>
      <c r="M222" s="230"/>
      <c r="N222" s="230"/>
      <c r="O222" s="230"/>
      <c r="P222" s="230"/>
      <c r="Q222" s="230"/>
      <c r="R222" s="230"/>
      <c r="S222" s="230"/>
      <c r="T222" s="230"/>
      <c r="U222" s="230"/>
      <c r="V222" s="230"/>
      <c r="W222" s="230"/>
      <c r="X222" s="230"/>
      <c r="Y222" s="230"/>
      <c r="Z222" s="230"/>
    </row>
    <row r="223">
      <c r="A223" s="337" t="str">
        <f>IFERROR(__xludf.DUMMYFUNCTION("VLOOKUP($B223,IMPORTRANGE(""https://docs.google.com/spreadsheets/d/1VNXDITjs75AcgdBSW27oL1VZH31udDprJSsBcE5xlp4/edit?gid=1551188038#gid=1551188038"", ""Sheet9!$B:$E""),2,false)"),"Khanpure ( Rahim Yar Khan )")</f>
        <v>Khanpure ( Rahim Yar Khan )</v>
      </c>
      <c r="B223" s="338" t="s">
        <v>4664</v>
      </c>
      <c r="C223" s="284">
        <f>IFERROR(__xludf.DUMMYFUNCTION("IFERROR(
  INDEX(
    FILTER(
      IMPORTRANGE(""1Cxrhp3-_-HS7v9uuqQliiIfrmMP4VaFoDNDWyUFy2J8/edit?gid=0#gid=0"",""Sheet1!AE:AE""),
      IMPORTRANGE(""1Cxrhp3-_-HS7v9uuqQliiIfrmMP4VaFoDNDWyUFy2J8/edit?gid=0#gid=0"",""Sheet1!K:K"")=$B223
    ),
    1
  )"&amp;",
  ""Not Found""
)"),1950.0)</f>
        <v>1950</v>
      </c>
      <c r="D223" s="284" t="str">
        <f>IFERROR(__xludf.DUMMYFUNCTION("IFERROR(
  INDEX(
    FILTER(
      IMPORTRANGE(""1Cxrhp3-_-HS7v9uuqQliiIfrmMP4VaFoDNDWyUFy2J8/edit?gid=0#gid=0"",""Sheet1!AG:AG""),
      IMPORTRANGE(""1Cxrhp3-_-HS7v9uuqQliiIfrmMP4VaFoDNDWyUFy2J8/edit?gid=0#gid=0"",""Sheet1!K:K"")=$B223
    ),
    1
  )"&amp;",
  ""Not Found""
)"),"")</f>
        <v/>
      </c>
      <c r="E223" s="284">
        <f>IFERROR(__xludf.DUMMYFUNCTION("IFERROR(
  INDEX(
    FILTER(
      IMPORTRANGE(""1kOrIKZmJfNUkgOVP3sI9BPjaaPA0_a4636oymQxTXg8/edit?gid=609491371#gid=609491371"",""Form responses 1!J:J""),
      IMPORTRANGE(""1kOrIKZmJfNUkgOVP3sI9BPjaaPA0_a4636oymQxTXg8/edit?gid=609491371#gid=609491371"&amp;""",""Form responses 1!F:F"")=$B223
    ),
    1
  ),
  ""Not Found""
)"),1950.0)</f>
        <v>1950</v>
      </c>
      <c r="F223" s="284">
        <f>IFERROR(__xludf.DUMMYFUNCTION("IFERROR(
  INDEX(
    FILTER(
      IMPORTRANGE(""1kOrIKZmJfNUkgOVP3sI9BPjaaPA0_a4636oymQxTXg8/edit?gid=609491371#gid=609491371"",""Form responses 1!L:L""),
      IMPORTRANGE(""1kOrIKZmJfNUkgOVP3sI9BPjaaPA0_a4636oymQxTXg8/edit?gid=609491371#gid=609491371"&amp;""",""Form responses 1!F:F"")=$B223
    ),
    1
  ),
  ""Not Found""
)"),0.0)</f>
        <v>0</v>
      </c>
      <c r="G223" s="284" t="str">
        <f>IFERROR(__xludf.DUMMYFUNCTION("IFERROR(
  INDEX(
    FILTER(
      IMPORTRANGE(""1kOrIKZmJfNUkgOVP3sI9BPjaaPA0_a4636oymQxTXg8/edit?gid=609491371#gid=609491371"",""Form responses 1!K:K""),
      IMPORTRANGE(""1kOrIKZmJfNUkgOVP3sI9BPjaaPA0_a4636oymQxTXg8/edit?gid=609491371#gid=609491371"&amp;""",""Form responses 1!F:F"")=$B223
    ),
    1
  ),
  ""Not Found""
)"),"No")</f>
        <v>No</v>
      </c>
      <c r="H223" s="230"/>
      <c r="I223" s="230">
        <v>1950.0</v>
      </c>
      <c r="J223" s="339">
        <f>IFERROR(__xludf.DUMMYFUNCTION("IFERROR(
  INDEX(
    FILTER(
      IMPORTRANGE(""1Cxrhp3-_-HS7v9uuqQliiIfrmMP4VaFoDNDWyUFy2J8/edit?gid=0#gid=0"",""Sheet1!AE:AE""),
      IMPORTRANGE(""1Cxrhp3-_-HS7v9uuqQliiIfrmMP4VaFoDNDWyUFy2J8/edit?gid=0#gid=0"",""Sheet1!K:K"")=$B223
    ),
    1
  )"&amp;",
  ""Not Found""
)"),1950.0)</f>
        <v>1950</v>
      </c>
      <c r="K223" s="340"/>
      <c r="L223" s="340"/>
      <c r="M223" s="230"/>
      <c r="N223" s="230"/>
      <c r="O223" s="230"/>
      <c r="P223" s="230"/>
      <c r="Q223" s="230"/>
      <c r="R223" s="230"/>
      <c r="S223" s="230"/>
      <c r="T223" s="230"/>
      <c r="U223" s="230"/>
      <c r="V223" s="230"/>
      <c r="W223" s="230"/>
      <c r="X223" s="230"/>
      <c r="Y223" s="230"/>
      <c r="Z223" s="230"/>
    </row>
    <row r="224">
      <c r="A224" s="337" t="str">
        <f>IFERROR(__xludf.DUMMYFUNCTION("VLOOKUP($B224,IMPORTRANGE(""https://docs.google.com/spreadsheets/d/1VNXDITjs75AcgdBSW27oL1VZH31udDprJSsBcE5xlp4/edit?gid=1551188038#gid=1551188038"", ""Sheet9!$B:$E""),2,false)"),"Khanpure ( Rahim Yar Khan )")</f>
        <v>Khanpure ( Rahim Yar Khan )</v>
      </c>
      <c r="B224" s="338" t="s">
        <v>779</v>
      </c>
      <c r="C224" s="284" t="str">
        <f>IFERROR(__xludf.DUMMYFUNCTION("IFERROR(
  INDEX(
    FILTER(
      IMPORTRANGE(""1Cxrhp3-_-HS7v9uuqQliiIfrmMP4VaFoDNDWyUFy2J8/edit?gid=0#gid=0"",""Sheet1!AE:AE""),
      IMPORTRANGE(""1Cxrhp3-_-HS7v9uuqQliiIfrmMP4VaFoDNDWyUFy2J8/edit?gid=0#gid=0"",""Sheet1!K:K"")=$B224
    ),
    1
  )"&amp;",
  ""Not Found""
)"),"")</f>
        <v/>
      </c>
      <c r="D224" s="284" t="str">
        <f>IFERROR(__xludf.DUMMYFUNCTION("IFERROR(
  INDEX(
    FILTER(
      IMPORTRANGE(""1Cxrhp3-_-HS7v9uuqQliiIfrmMP4VaFoDNDWyUFy2J8/edit?gid=0#gid=0"",""Sheet1!AG:AG""),
      IMPORTRANGE(""1Cxrhp3-_-HS7v9uuqQliiIfrmMP4VaFoDNDWyUFy2J8/edit?gid=0#gid=0"",""Sheet1!K:K"")=$B224
    ),
    1
  )"&amp;",
  ""Not Found""
)"),"")</f>
        <v/>
      </c>
      <c r="E224" s="284">
        <f>IFERROR(__xludf.DUMMYFUNCTION("IFERROR(
  INDEX(
    FILTER(
      IMPORTRANGE(""1kOrIKZmJfNUkgOVP3sI9BPjaaPA0_a4636oymQxTXg8/edit?gid=609491371#gid=609491371"",""Form responses 1!J:J""),
      IMPORTRANGE(""1kOrIKZmJfNUkgOVP3sI9BPjaaPA0_a4636oymQxTXg8/edit?gid=609491371#gid=609491371"&amp;""",""Form responses 1!F:F"")=$B224
    ),
    1
  ),
  ""Not Found""
)"),1925.0)</f>
        <v>1925</v>
      </c>
      <c r="F224" s="284" t="str">
        <f>IFERROR(__xludf.DUMMYFUNCTION("IFERROR(
  INDEX(
    FILTER(
      IMPORTRANGE(""1kOrIKZmJfNUkgOVP3sI9BPjaaPA0_a4636oymQxTXg8/edit?gid=609491371#gid=609491371"",""Form responses 1!L:L""),
      IMPORTRANGE(""1kOrIKZmJfNUkgOVP3sI9BPjaaPA0_a4636oymQxTXg8/edit?gid=609491371#gid=609491371"&amp;""",""Form responses 1!F:F"")=$B224
    ),
    1
  ),
  ""Not Found""
)"),"No Tomb")</f>
        <v>No Tomb</v>
      </c>
      <c r="G224" s="284" t="str">
        <f>IFERROR(__xludf.DUMMYFUNCTION("IFERROR(
  INDEX(
    FILTER(
      IMPORTRANGE(""1kOrIKZmJfNUkgOVP3sI9BPjaaPA0_a4636oymQxTXg8/edit?gid=609491371#gid=609491371"",""Form responses 1!K:K""),
      IMPORTRANGE(""1kOrIKZmJfNUkgOVP3sI9BPjaaPA0_a4636oymQxTXg8/edit?gid=609491371#gid=609491371"&amp;""",""Form responses 1!F:F"")=$B224
    ),
    1
  ),
  ""Not Found""
)"),"No")</f>
        <v>No</v>
      </c>
      <c r="H224" s="230"/>
      <c r="I224" s="343">
        <v>1925.0</v>
      </c>
      <c r="J224" s="344">
        <v>1925.0</v>
      </c>
      <c r="K224" s="340"/>
      <c r="L224" s="340"/>
      <c r="M224" s="230"/>
      <c r="N224" s="230"/>
      <c r="O224" s="230"/>
      <c r="P224" s="230"/>
      <c r="Q224" s="230"/>
      <c r="R224" s="230"/>
      <c r="S224" s="230"/>
      <c r="T224" s="230"/>
      <c r="U224" s="230"/>
      <c r="V224" s="230"/>
      <c r="W224" s="230"/>
      <c r="X224" s="230"/>
      <c r="Y224" s="230"/>
      <c r="Z224" s="230"/>
    </row>
    <row r="225">
      <c r="A225" s="337" t="str">
        <f>IFERROR(__xludf.DUMMYFUNCTION("VLOOKUP($B225,IMPORTRANGE(""https://docs.google.com/spreadsheets/d/1VNXDITjs75AcgdBSW27oL1VZH31udDprJSsBcE5xlp4/edit?gid=1551188038#gid=1551188038"", ""Sheet9!$B:$E""),2,false)"),"Khanpure ( Rahim Yar Khan )")</f>
        <v>Khanpure ( Rahim Yar Khan )</v>
      </c>
      <c r="B225" s="338" t="s">
        <v>4665</v>
      </c>
      <c r="C225" s="284">
        <f>IFERROR(__xludf.DUMMYFUNCTION("IFERROR(
  INDEX(
    FILTER(
      IMPORTRANGE(""1Cxrhp3-_-HS7v9uuqQliiIfrmMP4VaFoDNDWyUFy2J8/edit?gid=0#gid=0"",""Sheet1!AE:AE""),
      IMPORTRANGE(""1Cxrhp3-_-HS7v9uuqQliiIfrmMP4VaFoDNDWyUFy2J8/edit?gid=0#gid=0"",""Sheet1!K:K"")=$B225
    ),
    1
  )"&amp;",
  ""Not Found""
)"),1960.0)</f>
        <v>1960</v>
      </c>
      <c r="D225" s="284" t="str">
        <f>IFERROR(__xludf.DUMMYFUNCTION("IFERROR(
  INDEX(
    FILTER(
      IMPORTRANGE(""1Cxrhp3-_-HS7v9uuqQliiIfrmMP4VaFoDNDWyUFy2J8/edit?gid=0#gid=0"",""Sheet1!AG:AG""),
      IMPORTRANGE(""1Cxrhp3-_-HS7v9uuqQliiIfrmMP4VaFoDNDWyUFy2J8/edit?gid=0#gid=0"",""Sheet1!K:K"")=$B225
    ),
    1
  )"&amp;",
  ""Not Found""
)"),"")</f>
        <v/>
      </c>
      <c r="E225" s="284">
        <f>IFERROR(__xludf.DUMMYFUNCTION("IFERROR(
  INDEX(
    FILTER(
      IMPORTRANGE(""1kOrIKZmJfNUkgOVP3sI9BPjaaPA0_a4636oymQxTXg8/edit?gid=609491371#gid=609491371"",""Form responses 1!J:J""),
      IMPORTRANGE(""1kOrIKZmJfNUkgOVP3sI9BPjaaPA0_a4636oymQxTXg8/edit?gid=609491371#gid=609491371"&amp;""",""Form responses 1!F:F"")=$B225
    ),
    1
  ),
  ""Not Found""
)"),1960.0)</f>
        <v>1960</v>
      </c>
      <c r="F225" s="284">
        <f>IFERROR(__xludf.DUMMYFUNCTION("IFERROR(
  INDEX(
    FILTER(
      IMPORTRANGE(""1kOrIKZmJfNUkgOVP3sI9BPjaaPA0_a4636oymQxTXg8/edit?gid=609491371#gid=609491371"",""Form responses 1!L:L""),
      IMPORTRANGE(""1kOrIKZmJfNUkgOVP3sI9BPjaaPA0_a4636oymQxTXg8/edit?gid=609491371#gid=609491371"&amp;""",""Form responses 1!F:F"")=$B225
    ),
    1
  ),
  ""Not Found""
)"),0.0)</f>
        <v>0</v>
      </c>
      <c r="G225" s="284" t="str">
        <f>IFERROR(__xludf.DUMMYFUNCTION("IFERROR(
  INDEX(
    FILTER(
      IMPORTRANGE(""1kOrIKZmJfNUkgOVP3sI9BPjaaPA0_a4636oymQxTXg8/edit?gid=609491371#gid=609491371"",""Form responses 1!K:K""),
      IMPORTRANGE(""1kOrIKZmJfNUkgOVP3sI9BPjaaPA0_a4636oymQxTXg8/edit?gid=609491371#gid=609491371"&amp;""",""Form responses 1!F:F"")=$B225
    ),
    1
  ),
  ""Not Found""
)"),"No")</f>
        <v>No</v>
      </c>
      <c r="H225" s="230"/>
      <c r="I225" s="230">
        <v>1960.0</v>
      </c>
      <c r="J225" s="339">
        <f>IFERROR(__xludf.DUMMYFUNCTION("IFERROR(
  INDEX(
    FILTER(
      IMPORTRANGE(""1Cxrhp3-_-HS7v9uuqQliiIfrmMP4VaFoDNDWyUFy2J8/edit?gid=0#gid=0"",""Sheet1!AE:AE""),
      IMPORTRANGE(""1Cxrhp3-_-HS7v9uuqQliiIfrmMP4VaFoDNDWyUFy2J8/edit?gid=0#gid=0"",""Sheet1!K:K"")=$B225
    ),
    1
  )"&amp;",
  ""Not Found""
)"),1960.0)</f>
        <v>1960</v>
      </c>
      <c r="K225" s="340"/>
      <c r="L225" s="340"/>
      <c r="M225" s="230"/>
      <c r="N225" s="230"/>
      <c r="O225" s="230"/>
      <c r="P225" s="230"/>
      <c r="Q225" s="230"/>
      <c r="R225" s="230"/>
      <c r="S225" s="230"/>
      <c r="T225" s="230"/>
      <c r="U225" s="230"/>
      <c r="V225" s="230"/>
      <c r="W225" s="230"/>
      <c r="X225" s="230"/>
      <c r="Y225" s="230"/>
      <c r="Z225" s="230"/>
    </row>
    <row r="226">
      <c r="A226" s="337" t="str">
        <f>IFERROR(__xludf.DUMMYFUNCTION("VLOOKUP($B226,IMPORTRANGE(""https://docs.google.com/spreadsheets/d/1VNXDITjs75AcgdBSW27oL1VZH31udDprJSsBcE5xlp4/edit?gid=1551188038#gid=1551188038"", ""Sheet9!$B:$E""),2,false)"),"Khanpure ( Rahim Yar Khan )")</f>
        <v>Khanpure ( Rahim Yar Khan )</v>
      </c>
      <c r="B226" s="338" t="s">
        <v>4666</v>
      </c>
      <c r="C226" s="284">
        <f>IFERROR(__xludf.DUMMYFUNCTION("IFERROR(
  INDEX(
    FILTER(
      IMPORTRANGE(""1Cxrhp3-_-HS7v9uuqQliiIfrmMP4VaFoDNDWyUFy2J8/edit?gid=0#gid=0"",""Sheet1!AE:AE""),
      IMPORTRANGE(""1Cxrhp3-_-HS7v9uuqQliiIfrmMP4VaFoDNDWyUFy2J8/edit?gid=0#gid=0"",""Sheet1!K:K"")=$B226
    ),
    1
  )"&amp;",
  ""Not Found""
)"),1921.0)</f>
        <v>1921</v>
      </c>
      <c r="D226" s="284" t="str">
        <f>IFERROR(__xludf.DUMMYFUNCTION("IFERROR(
  INDEX(
    FILTER(
      IMPORTRANGE(""1Cxrhp3-_-HS7v9uuqQliiIfrmMP4VaFoDNDWyUFy2J8/edit?gid=0#gid=0"",""Sheet1!AG:AG""),
      IMPORTRANGE(""1Cxrhp3-_-HS7v9uuqQliiIfrmMP4VaFoDNDWyUFy2J8/edit?gid=0#gid=0"",""Sheet1!K:K"")=$B226
    ),
    1
  )"&amp;",
  ""Not Found""
)"),"")</f>
        <v/>
      </c>
      <c r="E226" s="284">
        <f>IFERROR(__xludf.DUMMYFUNCTION("IFERROR(
  INDEX(
    FILTER(
      IMPORTRANGE(""1kOrIKZmJfNUkgOVP3sI9BPjaaPA0_a4636oymQxTXg8/edit?gid=609491371#gid=609491371"",""Form responses 1!J:J""),
      IMPORTRANGE(""1kOrIKZmJfNUkgOVP3sI9BPjaaPA0_a4636oymQxTXg8/edit?gid=609491371#gid=609491371"&amp;""",""Form responses 1!F:F"")=$B226
    ),
    1
  ),
  ""Not Found""
)"),1921.0)</f>
        <v>1921</v>
      </c>
      <c r="F226" s="284">
        <f>IFERROR(__xludf.DUMMYFUNCTION("IFERROR(
  INDEX(
    FILTER(
      IMPORTRANGE(""1kOrIKZmJfNUkgOVP3sI9BPjaaPA0_a4636oymQxTXg8/edit?gid=609491371#gid=609491371"",""Form responses 1!L:L""),
      IMPORTRANGE(""1kOrIKZmJfNUkgOVP3sI9BPjaaPA0_a4636oymQxTXg8/edit?gid=609491371#gid=609491371"&amp;""",""Form responses 1!F:F"")=$B226
    ),
    1
  ),
  ""Not Found""
)"),0.0)</f>
        <v>0</v>
      </c>
      <c r="G226" s="284" t="str">
        <f>IFERROR(__xludf.DUMMYFUNCTION("IFERROR(
  INDEX(
    FILTER(
      IMPORTRANGE(""1kOrIKZmJfNUkgOVP3sI9BPjaaPA0_a4636oymQxTXg8/edit?gid=609491371#gid=609491371"",""Form responses 1!K:K""),
      IMPORTRANGE(""1kOrIKZmJfNUkgOVP3sI9BPjaaPA0_a4636oymQxTXg8/edit?gid=609491371#gid=609491371"&amp;""",""Form responses 1!F:F"")=$B226
    ),
    1
  ),
  ""Not Found""
)"),"No")</f>
        <v>No</v>
      </c>
      <c r="H226" s="230"/>
      <c r="I226" s="230">
        <v>1921.0</v>
      </c>
      <c r="J226" s="339">
        <f>IFERROR(__xludf.DUMMYFUNCTION("IFERROR(
  INDEX(
    FILTER(
      IMPORTRANGE(""1Cxrhp3-_-HS7v9uuqQliiIfrmMP4VaFoDNDWyUFy2J8/edit?gid=0#gid=0"",""Sheet1!AE:AE""),
      IMPORTRANGE(""1Cxrhp3-_-HS7v9uuqQliiIfrmMP4VaFoDNDWyUFy2J8/edit?gid=0#gid=0"",""Sheet1!K:K"")=$B226
    ),
    1
  )"&amp;",
  ""Not Found""
)"),1921.0)</f>
        <v>1921</v>
      </c>
      <c r="K226" s="340"/>
      <c r="L226" s="340"/>
      <c r="M226" s="230"/>
      <c r="N226" s="230"/>
      <c r="O226" s="230"/>
      <c r="P226" s="230"/>
      <c r="Q226" s="230"/>
      <c r="R226" s="230"/>
      <c r="S226" s="230"/>
      <c r="T226" s="230"/>
      <c r="U226" s="230"/>
      <c r="V226" s="230"/>
      <c r="W226" s="230"/>
      <c r="X226" s="230"/>
      <c r="Y226" s="230"/>
      <c r="Z226" s="230"/>
    </row>
    <row r="227">
      <c r="A227" s="337" t="str">
        <f>IFERROR(__xludf.DUMMYFUNCTION("VLOOKUP($B227,IMPORTRANGE(""https://docs.google.com/spreadsheets/d/1VNXDITjs75AcgdBSW27oL1VZH31udDprJSsBcE5xlp4/edit?gid=1551188038#gid=1551188038"", ""Sheet9!$B:$E""),2,false)"),"Burewala")</f>
        <v>Burewala</v>
      </c>
      <c r="B227" s="341" t="s">
        <v>4667</v>
      </c>
      <c r="C227" s="284">
        <f>IFERROR(__xludf.DUMMYFUNCTION("IFERROR(
  INDEX(
    FILTER(
      IMPORTRANGE(""1Cxrhp3-_-HS7v9uuqQliiIfrmMP4VaFoDNDWyUFy2J8/edit?gid=0#gid=0"",""Sheet1!AE:AE""),
      IMPORTRANGE(""1Cxrhp3-_-HS7v9uuqQliiIfrmMP4VaFoDNDWyUFy2J8/edit?gid=0#gid=0"",""Sheet1!K:K"")=$B227
    ),
    1
  )"&amp;",
  ""Not Found""
)"),1960.0)</f>
        <v>1960</v>
      </c>
      <c r="D227" s="284" t="s">
        <v>4880</v>
      </c>
      <c r="E227" s="284">
        <f>IFERROR(__xludf.DUMMYFUNCTION("IFERROR(
  INDEX(
    FILTER(
      IMPORTRANGE(""1kOrIKZmJfNUkgOVP3sI9BPjaaPA0_a4636oymQxTXg8/edit?gid=609491371#gid=609491371"",""Form responses 1!J:J""),
      IMPORTRANGE(""1kOrIKZmJfNUkgOVP3sI9BPjaaPA0_a4636oymQxTXg8/edit?gid=609491371#gid=609491371"&amp;""",""Form responses 1!F:F"")=$B227
    ),
    1
  ),
  ""Not Found""
)"),1960.0)</f>
        <v>1960</v>
      </c>
      <c r="F227" s="284" t="str">
        <f>IFERROR(__xludf.DUMMYFUNCTION("IFERROR(
  INDEX(
    FILTER(
      IMPORTRANGE(""1kOrIKZmJfNUkgOVP3sI9BPjaaPA0_a4636oymQxTXg8/edit?gid=609491371#gid=609491371"",""Form responses 1!L:L""),
      IMPORTRANGE(""1kOrIKZmJfNUkgOVP3sI9BPjaaPA0_a4636oymQxTXg8/edit?gid=609491371#gid=609491371"&amp;""",""Form responses 1!F:F"")=$B227
    ),
    1
  ),
  ""Not Found""
)"),"Peer syed sarwar shah ghelani RA ")</f>
        <v>Peer syed sarwar shah ghelani RA </v>
      </c>
      <c r="G227" s="284" t="str">
        <f>IFERROR(__xludf.DUMMYFUNCTION("IFERROR(
  INDEX(
    FILTER(
      IMPORTRANGE(""1kOrIKZmJfNUkgOVP3sI9BPjaaPA0_a4636oymQxTXg8/edit?gid=609491371#gid=609491371"",""Form responses 1!K:K""),
      IMPORTRANGE(""1kOrIKZmJfNUkgOVP3sI9BPjaaPA0_a4636oymQxTXg8/edit?gid=609491371#gid=609491371"&amp;""",""Form responses 1!F:F"")=$B227
    ),
    1
  ),
  ""Not Found""
)"),"No")</f>
        <v>No</v>
      </c>
      <c r="H227" s="230"/>
      <c r="I227" s="230">
        <v>1960.0</v>
      </c>
      <c r="J227" s="339">
        <f>IFERROR(__xludf.DUMMYFUNCTION("IFERROR(
  INDEX(
    FILTER(
      IMPORTRANGE(""1Cxrhp3-_-HS7v9uuqQliiIfrmMP4VaFoDNDWyUFy2J8/edit?gid=0#gid=0"",""Sheet1!AE:AE""),
      IMPORTRANGE(""1Cxrhp3-_-HS7v9uuqQliiIfrmMP4VaFoDNDWyUFy2J8/edit?gid=0#gid=0"",""Sheet1!K:K"")=$B227
    ),
    1
  )"&amp;",
  ""Not Found""
)"),1960.0)</f>
        <v>1960</v>
      </c>
      <c r="K227" s="340"/>
      <c r="L227" s="340"/>
      <c r="M227" s="230"/>
      <c r="N227" s="230"/>
      <c r="O227" s="230"/>
      <c r="P227" s="230"/>
      <c r="Q227" s="230"/>
      <c r="R227" s="230"/>
      <c r="S227" s="230"/>
      <c r="T227" s="230"/>
      <c r="U227" s="230"/>
      <c r="V227" s="230"/>
      <c r="W227" s="230"/>
      <c r="X227" s="230"/>
      <c r="Y227" s="230"/>
      <c r="Z227" s="230"/>
    </row>
    <row r="228">
      <c r="A228" s="337" t="str">
        <f>IFERROR(__xludf.DUMMYFUNCTION("VLOOKUP($B228,IMPORTRANGE(""https://docs.google.com/spreadsheets/d/1VNXDITjs75AcgdBSW27oL1VZH31udDprJSsBcE5xlp4/edit?gid=1551188038#gid=1551188038"", ""Sheet9!$B:$E""),2,false)"),"Burewala")</f>
        <v>Burewala</v>
      </c>
      <c r="B228" s="341" t="s">
        <v>4669</v>
      </c>
      <c r="C228" s="284" t="str">
        <f>IFERROR(__xludf.DUMMYFUNCTION("IFERROR(
  INDEX(
    FILTER(
      IMPORTRANGE(""1Cxrhp3-_-HS7v9uuqQliiIfrmMP4VaFoDNDWyUFy2J8/edit?gid=0#gid=0"",""Sheet1!AE:AE""),
      IMPORTRANGE(""1Cxrhp3-_-HS7v9uuqQliiIfrmMP4VaFoDNDWyUFy2J8/edit?gid=0#gid=0"",""Sheet1!K:K"")=$B228
    ),
    1
  )"&amp;",
  ""Not Found""
)"),"Not Found")</f>
        <v>Not Found</v>
      </c>
      <c r="D228" s="284"/>
      <c r="E228" s="284">
        <f>IFERROR(__xludf.DUMMYFUNCTION("IFERROR(
  INDEX(
    FILTER(
      IMPORTRANGE(""1kOrIKZmJfNUkgOVP3sI9BPjaaPA0_a4636oymQxTXg8/edit?gid=609491371#gid=609491371"",""Form responses 1!J:J""),
      IMPORTRANGE(""1kOrIKZmJfNUkgOVP3sI9BPjaaPA0_a4636oymQxTXg8/edit?gid=609491371#gid=609491371"&amp;""",""Form responses 1!F:F"")=$B228
    ),
    1
  ),
  ""Not Found""
)"),1958.0)</f>
        <v>1958</v>
      </c>
      <c r="F228" s="284" t="str">
        <f>IFERROR(__xludf.DUMMYFUNCTION("IFERROR(
  INDEX(
    FILTER(
      IMPORTRANGE(""1kOrIKZmJfNUkgOVP3sI9BPjaaPA0_a4636oymQxTXg8/edit?gid=609491371#gid=609491371"",""Form responses 1!L:L""),
      IMPORTRANGE(""1kOrIKZmJfNUkgOVP3sI9BPjaaPA0_a4636oymQxTXg8/edit?gid=609491371#gid=609491371"&amp;""",""Form responses 1!F:F"")=$B228
    ),
    1
  ),
  ""Not Found""
)"),"No")</f>
        <v>No</v>
      </c>
      <c r="G228" s="284" t="str">
        <f>IFERROR(__xludf.DUMMYFUNCTION("IFERROR(
  INDEX(
    FILTER(
      IMPORTRANGE(""1kOrIKZmJfNUkgOVP3sI9BPjaaPA0_a4636oymQxTXg8/edit?gid=609491371#gid=609491371"",""Form responses 1!K:K""),
      IMPORTRANGE(""1kOrIKZmJfNUkgOVP3sI9BPjaaPA0_a4636oymQxTXg8/edit?gid=609491371#gid=609491371"&amp;""",""Form responses 1!F:F"")=$B228
    ),
    1
  ),
  ""Not Found""
)"),"No")</f>
        <v>No</v>
      </c>
      <c r="H228" s="230"/>
      <c r="I228" s="343">
        <v>1958.0</v>
      </c>
      <c r="J228" s="344">
        <v>1958.0</v>
      </c>
      <c r="K228" s="340"/>
      <c r="L228" s="340"/>
      <c r="M228" s="230"/>
      <c r="N228" s="230"/>
      <c r="O228" s="230"/>
      <c r="P228" s="230"/>
      <c r="Q228" s="230"/>
      <c r="R228" s="230"/>
      <c r="S228" s="230"/>
      <c r="T228" s="230"/>
      <c r="U228" s="230"/>
      <c r="V228" s="230"/>
      <c r="W228" s="230"/>
      <c r="X228" s="230"/>
      <c r="Y228" s="230"/>
      <c r="Z228" s="230"/>
    </row>
    <row r="229">
      <c r="A229" s="337" t="str">
        <f>IFERROR(__xludf.DUMMYFUNCTION("VLOOKUP($B229,IMPORTRANGE(""https://docs.google.com/spreadsheets/d/1VNXDITjs75AcgdBSW27oL1VZH31udDprJSsBcE5xlp4/edit?gid=1551188038#gid=1551188038"", ""Sheet9!$B:$E""),2,false)"),"Burewala")</f>
        <v>Burewala</v>
      </c>
      <c r="B229" s="341" t="s">
        <v>4670</v>
      </c>
      <c r="C229" s="284">
        <f>IFERROR(__xludf.DUMMYFUNCTION("IFERROR(
  INDEX(
    FILTER(
      IMPORTRANGE(""1Cxrhp3-_-HS7v9uuqQliiIfrmMP4VaFoDNDWyUFy2J8/edit?gid=0#gid=0"",""Sheet1!AE:AE""),
      IMPORTRANGE(""1Cxrhp3-_-HS7v9uuqQliiIfrmMP4VaFoDNDWyUFy2J8/edit?gid=0#gid=0"",""Sheet1!K:K"")=$B229
    ),
    1
  )"&amp;",
  ""Not Found""
)"),1995.0)</f>
        <v>1995</v>
      </c>
      <c r="D229" s="284" t="s">
        <v>4881</v>
      </c>
      <c r="E229" s="284">
        <f>IFERROR(__xludf.DUMMYFUNCTION("IFERROR(
  INDEX(
    FILTER(
      IMPORTRANGE(""1kOrIKZmJfNUkgOVP3sI9BPjaaPA0_a4636oymQxTXg8/edit?gid=609491371#gid=609491371"",""Form responses 1!J:J""),
      IMPORTRANGE(""1kOrIKZmJfNUkgOVP3sI9BPjaaPA0_a4636oymQxTXg8/edit?gid=609491371#gid=609491371"&amp;""",""Form responses 1!F:F"")=$B229
    ),
    1
  ),
  ""Not Found""
)"),1980.0)</f>
        <v>1980</v>
      </c>
      <c r="F229" s="284" t="str">
        <f>IFERROR(__xludf.DUMMYFUNCTION("IFERROR(
  INDEX(
    FILTER(
      IMPORTRANGE(""1kOrIKZmJfNUkgOVP3sI9BPjaaPA0_a4636oymQxTXg8/edit?gid=609491371#gid=609491371"",""Form responses 1!L:L""),
      IMPORTRANGE(""1kOrIKZmJfNUkgOVP3sI9BPjaaPA0_a4636oymQxTXg8/edit?gid=609491371#gid=609491371"&amp;""",""Form responses 1!F:F"")=$B229
    ),
    1
  ),
  ""Not Found""
)"),"Hazrat deewan chawali almashaikh RA")</f>
        <v>Hazrat deewan chawali almashaikh RA</v>
      </c>
      <c r="G229" s="284" t="str">
        <f>IFERROR(__xludf.DUMMYFUNCTION("IFERROR(
  INDEX(
    FILTER(
      IMPORTRANGE(""1kOrIKZmJfNUkgOVP3sI9BPjaaPA0_a4636oymQxTXg8/edit?gid=609491371#gid=609491371"",""Form responses 1!K:K""),
      IMPORTRANGE(""1kOrIKZmJfNUkgOVP3sI9BPjaaPA0_a4636oymQxTXg8/edit?gid=609491371#gid=609491371"&amp;""",""Form responses 1!F:F"")=$B229
    ),
    1
  ),
  ""Not Found""
)"),"No")</f>
        <v>No</v>
      </c>
      <c r="H229" s="230"/>
      <c r="I229" s="343">
        <v>1980.0</v>
      </c>
      <c r="J229" s="344">
        <v>1980.0</v>
      </c>
      <c r="K229" s="340"/>
      <c r="L229" s="340"/>
      <c r="M229" s="230"/>
      <c r="N229" s="230"/>
      <c r="O229" s="230"/>
      <c r="P229" s="230"/>
      <c r="Q229" s="230"/>
      <c r="R229" s="230"/>
      <c r="S229" s="230"/>
      <c r="T229" s="230"/>
      <c r="U229" s="230"/>
      <c r="V229" s="230"/>
      <c r="W229" s="230"/>
      <c r="X229" s="230"/>
      <c r="Y229" s="230"/>
      <c r="Z229" s="230"/>
    </row>
    <row r="230">
      <c r="A230" s="337" t="str">
        <f>IFERROR(__xludf.DUMMYFUNCTION("VLOOKUP($B230,IMPORTRANGE(""https://docs.google.com/spreadsheets/d/1VNXDITjs75AcgdBSW27oL1VZH31udDprJSsBcE5xlp4/edit?gid=1551188038#gid=1551188038"", ""Sheet9!$B:$E""),2,false)"),"Burewala")</f>
        <v>Burewala</v>
      </c>
      <c r="B230" s="341" t="s">
        <v>3762</v>
      </c>
      <c r="C230" s="284" t="str">
        <f>IFERROR(__xludf.DUMMYFUNCTION("IFERROR(
  INDEX(
    FILTER(
      IMPORTRANGE(""1Cxrhp3-_-HS7v9uuqQliiIfrmMP4VaFoDNDWyUFy2J8/edit?gid=0#gid=0"",""Sheet1!AE:AE""),
      IMPORTRANGE(""1Cxrhp3-_-HS7v9uuqQliiIfrmMP4VaFoDNDWyUFy2J8/edit?gid=0#gid=0"",""Sheet1!K:K"")=$B230
    ),
    1
  )"&amp;",
  ""Not Found""
)"),"Not Found")</f>
        <v>Not Found</v>
      </c>
      <c r="D230" s="284"/>
      <c r="E230" s="284" t="str">
        <f>IFERROR(__xludf.DUMMYFUNCTION("IFERROR(
  INDEX(
    FILTER(
      IMPORTRANGE(""1kOrIKZmJfNUkgOVP3sI9BPjaaPA0_a4636oymQxTXg8/edit?gid=609491371#gid=609491371"",""Form responses 1!J:J""),
      IMPORTRANGE(""1kOrIKZmJfNUkgOVP3sI9BPjaaPA0_a4636oymQxTXg8/edit?gid=609491371#gid=609491371"&amp;""",""Form responses 1!F:F"")=$B230
    ),
    1
  ),
  ""Not Found""
)"),"-")</f>
        <v>-</v>
      </c>
      <c r="F230" s="284" t="str">
        <f>IFERROR(__xludf.DUMMYFUNCTION("IFERROR(
  INDEX(
    FILTER(
      IMPORTRANGE(""1kOrIKZmJfNUkgOVP3sI9BPjaaPA0_a4636oymQxTXg8/edit?gid=609491371#gid=609491371"",""Form responses 1!L:L""),
      IMPORTRANGE(""1kOrIKZmJfNUkgOVP3sI9BPjaaPA0_a4636oymQxTXg8/edit?gid=609491371#gid=609491371"&amp;""",""Form responses 1!F:F"")=$B230
    ),
    1
  ),
  ""Not Found""
)"),"Syed Mehfooz Ulhaq Shah")</f>
        <v>Syed Mehfooz Ulhaq Shah</v>
      </c>
      <c r="G230" s="284" t="str">
        <f>IFERROR(__xludf.DUMMYFUNCTION("IFERROR(
  INDEX(
    FILTER(
      IMPORTRANGE(""1kOrIKZmJfNUkgOVP3sI9BPjaaPA0_a4636oymQxTXg8/edit?gid=609491371#gid=609491371"",""Form responses 1!K:K""),
      IMPORTRANGE(""1kOrIKZmJfNUkgOVP3sI9BPjaaPA0_a4636oymQxTXg8/edit?gid=609491371#gid=609491371"&amp;""",""Form responses 1!F:F"")=$B230
    ),
    1
  ),
  ""Not Found""
)"),"No")</f>
        <v>No</v>
      </c>
      <c r="H230" s="230"/>
      <c r="I230" s="230"/>
      <c r="J230" s="339" t="str">
        <f>IFERROR(__xludf.DUMMYFUNCTION("IFERROR(
  INDEX(
    FILTER(
      IMPORTRANGE(""1Cxrhp3-_-HS7v9uuqQliiIfrmMP4VaFoDNDWyUFy2J8/edit?gid=0#gid=0"",""Sheet1!AE:AE""),
      IMPORTRANGE(""1Cxrhp3-_-HS7v9uuqQliiIfrmMP4VaFoDNDWyUFy2J8/edit?gid=0#gid=0"",""Sheet1!K:K"")=$B230
    ),
    1
  )"&amp;",
  ""Not Found""
)"),"Not Found")</f>
        <v>Not Found</v>
      </c>
      <c r="K230" s="340"/>
      <c r="L230" s="340"/>
      <c r="M230" s="230"/>
      <c r="N230" s="230"/>
      <c r="O230" s="230"/>
      <c r="P230" s="230"/>
      <c r="Q230" s="230"/>
      <c r="R230" s="230"/>
      <c r="S230" s="230"/>
      <c r="T230" s="230"/>
      <c r="U230" s="230"/>
      <c r="V230" s="230"/>
      <c r="W230" s="230"/>
      <c r="X230" s="230"/>
      <c r="Y230" s="230"/>
      <c r="Z230" s="230"/>
    </row>
    <row r="231">
      <c r="A231" s="337" t="str">
        <f>IFERROR(__xludf.DUMMYFUNCTION("VLOOKUP($B231,IMPORTRANGE(""https://docs.google.com/spreadsheets/d/1VNXDITjs75AcgdBSW27oL1VZH31udDprJSsBcE5xlp4/edit?gid=1551188038#gid=1551188038"", ""Sheet9!$B:$E""),2,false)"),"Burewala")</f>
        <v>Burewala</v>
      </c>
      <c r="B231" s="341" t="s">
        <v>4671</v>
      </c>
      <c r="C231" s="284" t="str">
        <f>IFERROR(__xludf.DUMMYFUNCTION("IFERROR(
  INDEX(
    FILTER(
      IMPORTRANGE(""1Cxrhp3-_-HS7v9uuqQliiIfrmMP4VaFoDNDWyUFy2J8/edit?gid=0#gid=0"",""Sheet1!AE:AE""),
      IMPORTRANGE(""1Cxrhp3-_-HS7v9uuqQliiIfrmMP4VaFoDNDWyUFy2J8/edit?gid=0#gid=0"",""Sheet1!K:K"")=$B231
    ),
    1
  )"&amp;",
  ""Not Found""
)"),"Not Found")</f>
        <v>Not Found</v>
      </c>
      <c r="D231" s="284"/>
      <c r="E231" s="284" t="str">
        <f>IFERROR(__xludf.DUMMYFUNCTION("IFERROR(
  INDEX(
    FILTER(
      IMPORTRANGE(""1kOrIKZmJfNUkgOVP3sI9BPjaaPA0_a4636oymQxTXg8/edit?gid=609491371#gid=609491371"",""Form responses 1!J:J""),
      IMPORTRANGE(""1kOrIKZmJfNUkgOVP3sI9BPjaaPA0_a4636oymQxTXg8/edit?gid=609491371#gid=609491371"&amp;""",""Form responses 1!F:F"")=$B231
    ),
    1
  ),
  ""Not Found""
)"),"-")</f>
        <v>-</v>
      </c>
      <c r="F231" s="284" t="str">
        <f>IFERROR(__xludf.DUMMYFUNCTION("IFERROR(
  INDEX(
    FILTER(
      IMPORTRANGE(""1kOrIKZmJfNUkgOVP3sI9BPjaaPA0_a4636oymQxTXg8/edit?gid=609491371#gid=609491371"",""Form responses 1!L:L""),
      IMPORTRANGE(""1kOrIKZmJfNUkgOVP3sI9BPjaaPA0_a4636oymQxTXg8/edit?gid=609491371#gid=609491371"&amp;""",""Form responses 1!F:F"")=$B231
    ),
    1
  ),
  ""Not Found""
)"),"Hazrat Fateh Shah Bukhari RA")</f>
        <v>Hazrat Fateh Shah Bukhari RA</v>
      </c>
      <c r="G231" s="284" t="str">
        <f>IFERROR(__xludf.DUMMYFUNCTION("IFERROR(
  INDEX(
    FILTER(
      IMPORTRANGE(""1kOrIKZmJfNUkgOVP3sI9BPjaaPA0_a4636oymQxTXg8/edit?gid=609491371#gid=609491371"",""Form responses 1!K:K""),
      IMPORTRANGE(""1kOrIKZmJfNUkgOVP3sI9BPjaaPA0_a4636oymQxTXg8/edit?gid=609491371#gid=609491371"&amp;""",""Form responses 1!F:F"")=$B231
    ),
    1
  ),
  ""Not Found""
)"),"No")</f>
        <v>No</v>
      </c>
      <c r="H231" s="230"/>
      <c r="I231" s="230"/>
      <c r="J231" s="339" t="str">
        <f>IFERROR(__xludf.DUMMYFUNCTION("IFERROR(
  INDEX(
    FILTER(
      IMPORTRANGE(""1Cxrhp3-_-HS7v9uuqQliiIfrmMP4VaFoDNDWyUFy2J8/edit?gid=0#gid=0"",""Sheet1!AE:AE""),
      IMPORTRANGE(""1Cxrhp3-_-HS7v9uuqQliiIfrmMP4VaFoDNDWyUFy2J8/edit?gid=0#gid=0"",""Sheet1!K:K"")=$B231
    ),
    1
  )"&amp;",
  ""Not Found""
)"),"Not Found")</f>
        <v>Not Found</v>
      </c>
      <c r="K231" s="340"/>
      <c r="L231" s="340"/>
      <c r="M231" s="230"/>
      <c r="N231" s="230"/>
      <c r="O231" s="230"/>
      <c r="P231" s="230"/>
      <c r="Q231" s="230"/>
      <c r="R231" s="230"/>
      <c r="S231" s="230"/>
      <c r="T231" s="230"/>
      <c r="U231" s="230"/>
      <c r="V231" s="230"/>
      <c r="W231" s="230"/>
      <c r="X231" s="230"/>
      <c r="Y231" s="230"/>
      <c r="Z231" s="230"/>
    </row>
    <row r="232">
      <c r="A232" s="337" t="str">
        <f>IFERROR(__xludf.DUMMYFUNCTION("VLOOKUP($B232,IMPORTRANGE(""https://docs.google.com/spreadsheets/d/1VNXDITjs75AcgdBSW27oL1VZH31udDprJSsBcE5xlp4/edit?gid=1551188038#gid=1551188038"", ""Sheet9!$B:$E""),2,false)"),"Burewala")</f>
        <v>Burewala</v>
      </c>
      <c r="B232" s="341" t="s">
        <v>4672</v>
      </c>
      <c r="C232" s="284">
        <f>IFERROR(__xludf.DUMMYFUNCTION("IFERROR(
  INDEX(
    FILTER(
      IMPORTRANGE(""1Cxrhp3-_-HS7v9uuqQliiIfrmMP4VaFoDNDWyUFy2J8/edit?gid=0#gid=0"",""Sheet1!AE:AE""),
      IMPORTRANGE(""1Cxrhp3-_-HS7v9uuqQliiIfrmMP4VaFoDNDWyUFy2J8/edit?gid=0#gid=0"",""Sheet1!K:K"")=$B232
    ),
    1
  )"&amp;",
  ""Not Found""
)"),1960.0)</f>
        <v>1960</v>
      </c>
      <c r="D232" s="284" t="s">
        <v>4882</v>
      </c>
      <c r="E232" s="284">
        <f>IFERROR(__xludf.DUMMYFUNCTION("IFERROR(
  INDEX(
    FILTER(
      IMPORTRANGE(""1kOrIKZmJfNUkgOVP3sI9BPjaaPA0_a4636oymQxTXg8/edit?gid=609491371#gid=609491371"",""Form responses 1!J:J""),
      IMPORTRANGE(""1kOrIKZmJfNUkgOVP3sI9BPjaaPA0_a4636oymQxTXg8/edit?gid=609491371#gid=609491371"&amp;""",""Form responses 1!F:F"")=$B232
    ),
    1
  ),
  ""Not Found""
)"),1951.0)</f>
        <v>1951</v>
      </c>
      <c r="F232" s="284" t="str">
        <f>IFERROR(__xludf.DUMMYFUNCTION("IFERROR(
  INDEX(
    FILTER(
      IMPORTRANGE(""1kOrIKZmJfNUkgOVP3sI9BPjaaPA0_a4636oymQxTXg8/edit?gid=609491371#gid=609491371"",""Form responses 1!L:L""),
      IMPORTRANGE(""1kOrIKZmJfNUkgOVP3sI9BPjaaPA0_a4636oymQxTXg8/edit?gid=609491371#gid=609491371"&amp;""",""Form responses 1!F:F"")=$B232
    ),
    1
  ),
  ""Not Found""
)"),"Shiekh Faazil Ra")</f>
        <v>Shiekh Faazil Ra</v>
      </c>
      <c r="G232" s="284" t="str">
        <f>IFERROR(__xludf.DUMMYFUNCTION("IFERROR(
  INDEX(
    FILTER(
      IMPORTRANGE(""1kOrIKZmJfNUkgOVP3sI9BPjaaPA0_a4636oymQxTXg8/edit?gid=609491371#gid=609491371"",""Form responses 1!K:K""),
      IMPORTRANGE(""1kOrIKZmJfNUkgOVP3sI9BPjaaPA0_a4636oymQxTXg8/edit?gid=609491371#gid=609491371"&amp;""",""Form responses 1!F:F"")=$B232
    ),
    1
  ),
  ""Not Found""
)"),"No")</f>
        <v>No</v>
      </c>
      <c r="H232" s="230"/>
      <c r="I232" s="343">
        <v>1951.0</v>
      </c>
      <c r="J232" s="344">
        <v>1951.0</v>
      </c>
      <c r="K232" s="340"/>
      <c r="L232" s="340"/>
      <c r="M232" s="230"/>
      <c r="N232" s="230"/>
      <c r="O232" s="230"/>
      <c r="P232" s="230"/>
      <c r="Q232" s="230"/>
      <c r="R232" s="230"/>
      <c r="S232" s="230"/>
      <c r="T232" s="230"/>
      <c r="U232" s="230"/>
      <c r="V232" s="230"/>
      <c r="W232" s="230"/>
      <c r="X232" s="230"/>
      <c r="Y232" s="230"/>
      <c r="Z232" s="230"/>
    </row>
    <row r="233">
      <c r="A233" s="337" t="str">
        <f>IFERROR(__xludf.DUMMYFUNCTION("VLOOKUP($B233,IMPORTRANGE(""https://docs.google.com/spreadsheets/d/1VNXDITjs75AcgdBSW27oL1VZH31udDprJSsBcE5xlp4/edit?gid=1551188038#gid=1551188038"", ""Sheet9!$B:$E""),2,false)"),"Burewala")</f>
        <v>Burewala</v>
      </c>
      <c r="B233" s="341" t="s">
        <v>4673</v>
      </c>
      <c r="C233" s="284" t="str">
        <f>IFERROR(__xludf.DUMMYFUNCTION("IFERROR(
  INDEX(
    FILTER(
      IMPORTRANGE(""1Cxrhp3-_-HS7v9uuqQliiIfrmMP4VaFoDNDWyUFy2J8/edit?gid=0#gid=0"",""Sheet1!AE:AE""),
      IMPORTRANGE(""1Cxrhp3-_-HS7v9uuqQliiIfrmMP4VaFoDNDWyUFy2J8/edit?gid=0#gid=0"",""Sheet1!K:K"")=$B233
    ),
    1
  )"&amp;",
  ""Not Found""
)"),"Not Found")</f>
        <v>Not Found</v>
      </c>
      <c r="D233" s="284"/>
      <c r="E233" s="284" t="str">
        <f>IFERROR(__xludf.DUMMYFUNCTION("IFERROR(
  INDEX(
    FILTER(
      IMPORTRANGE(""1kOrIKZmJfNUkgOVP3sI9BPjaaPA0_a4636oymQxTXg8/edit?gid=609491371#gid=609491371"",""Form responses 1!J:J""),
      IMPORTRANGE(""1kOrIKZmJfNUkgOVP3sI9BPjaaPA0_a4636oymQxTXg8/edit?gid=609491371#gid=609491371"&amp;""",""Form responses 1!F:F"")=$B233
    ),
    1
  ),
  ""Not Found""
)"),"-")</f>
        <v>-</v>
      </c>
      <c r="F233" s="284" t="str">
        <f>IFERROR(__xludf.DUMMYFUNCTION("IFERROR(
  INDEX(
    FILTER(
      IMPORTRANGE(""1kOrIKZmJfNUkgOVP3sI9BPjaaPA0_a4636oymQxTXg8/edit?gid=609491371#gid=609491371"",""Form responses 1!L:L""),
      IMPORTRANGE(""1kOrIKZmJfNUkgOVP3sI9BPjaaPA0_a4636oymQxTXg8/edit?gid=609491371#gid=609491371"&amp;""",""Form responses 1!F:F"")=$B233
    ),
    1
  ),
  ""Not Found""
)"),"No")</f>
        <v>No</v>
      </c>
      <c r="G233" s="284" t="str">
        <f>IFERROR(__xludf.DUMMYFUNCTION("IFERROR(
  INDEX(
    FILTER(
      IMPORTRANGE(""1kOrIKZmJfNUkgOVP3sI9BPjaaPA0_a4636oymQxTXg8/edit?gid=609491371#gid=609491371"",""Form responses 1!K:K""),
      IMPORTRANGE(""1kOrIKZmJfNUkgOVP3sI9BPjaaPA0_a4636oymQxTXg8/edit?gid=609491371#gid=609491371"&amp;""",""Form responses 1!F:F"")=$B233
    ),
    1
  ),
  ""Not Found""
)"),"No")</f>
        <v>No</v>
      </c>
      <c r="H233" s="230"/>
      <c r="I233" s="230"/>
      <c r="J233" s="339" t="str">
        <f>IFERROR(__xludf.DUMMYFUNCTION("IFERROR(
  INDEX(
    FILTER(
      IMPORTRANGE(""1Cxrhp3-_-HS7v9uuqQliiIfrmMP4VaFoDNDWyUFy2J8/edit?gid=0#gid=0"",""Sheet1!AE:AE""),
      IMPORTRANGE(""1Cxrhp3-_-HS7v9uuqQliiIfrmMP4VaFoDNDWyUFy2J8/edit?gid=0#gid=0"",""Sheet1!K:K"")=$B233
    ),
    1
  )"&amp;",
  ""Not Found""
)"),"Not Found")</f>
        <v>Not Found</v>
      </c>
      <c r="K233" s="340"/>
      <c r="L233" s="340"/>
      <c r="M233" s="230"/>
      <c r="N233" s="230"/>
      <c r="O233" s="230"/>
      <c r="P233" s="230"/>
      <c r="Q233" s="230"/>
      <c r="R233" s="230"/>
      <c r="S233" s="230"/>
      <c r="T233" s="230"/>
      <c r="U233" s="230"/>
      <c r="V233" s="230"/>
      <c r="W233" s="230"/>
      <c r="X233" s="230"/>
      <c r="Y233" s="230"/>
      <c r="Z233" s="230"/>
    </row>
    <row r="234">
      <c r="A234" s="337" t="str">
        <f>IFERROR(__xludf.DUMMYFUNCTION("VLOOKUP($B234,IMPORTRANGE(""https://docs.google.com/spreadsheets/d/1VNXDITjs75AcgdBSW27oL1VZH31udDprJSsBcE5xlp4/edit?gid=1551188038#gid=1551188038"", ""Sheet9!$B:$E""),2,false)"),"Burewala")</f>
        <v>Burewala</v>
      </c>
      <c r="B234" s="341" t="s">
        <v>3820</v>
      </c>
      <c r="C234" s="284" t="str">
        <f>IFERROR(__xludf.DUMMYFUNCTION("IFERROR(
  INDEX(
    FILTER(
      IMPORTRANGE(""1Cxrhp3-_-HS7v9uuqQliiIfrmMP4VaFoDNDWyUFy2J8/edit?gid=0#gid=0"",""Sheet1!AE:AE""),
      IMPORTRANGE(""1Cxrhp3-_-HS7v9uuqQliiIfrmMP4VaFoDNDWyUFy2J8/edit?gid=0#gid=0"",""Sheet1!K:K"")=$B234
    ),
    1
  )"&amp;",
  ""Not Found""
)"),"Not Found")</f>
        <v>Not Found</v>
      </c>
      <c r="D234" s="284"/>
      <c r="E234" s="284" t="str">
        <f>IFERROR(__xludf.DUMMYFUNCTION("IFERROR(
  INDEX(
    FILTER(
      IMPORTRANGE(""1kOrIKZmJfNUkgOVP3sI9BPjaaPA0_a4636oymQxTXg8/edit?gid=609491371#gid=609491371"",""Form responses 1!J:J""),
      IMPORTRANGE(""1kOrIKZmJfNUkgOVP3sI9BPjaaPA0_a4636oymQxTXg8/edit?gid=609491371#gid=609491371"&amp;""",""Form responses 1!F:F"")=$B234
    ),
    1
  ),
  ""Not Found""
)"),"-")</f>
        <v>-</v>
      </c>
      <c r="F234" s="284" t="str">
        <f>IFERROR(__xludf.DUMMYFUNCTION("IFERROR(
  INDEX(
    FILTER(
      IMPORTRANGE(""1kOrIKZmJfNUkgOVP3sI9BPjaaPA0_a4636oymQxTXg8/edit?gid=609491371#gid=609491371"",""Form responses 1!L:L""),
      IMPORTRANGE(""1kOrIKZmJfNUkgOVP3sI9BPjaaPA0_a4636oymQxTXg8/edit?gid=609491371#gid=609491371"&amp;""",""Form responses 1!F:F"")=$B234
    ),
    1
  ),
  ""Not Found""
)"),"N0")</f>
        <v>N0</v>
      </c>
      <c r="G234" s="284" t="str">
        <f>IFERROR(__xludf.DUMMYFUNCTION("IFERROR(
  INDEX(
    FILTER(
      IMPORTRANGE(""1kOrIKZmJfNUkgOVP3sI9BPjaaPA0_a4636oymQxTXg8/edit?gid=609491371#gid=609491371"",""Form responses 1!K:K""),
      IMPORTRANGE(""1kOrIKZmJfNUkgOVP3sI9BPjaaPA0_a4636oymQxTXg8/edit?gid=609491371#gid=609491371"&amp;""",""Form responses 1!F:F"")=$B234
    ),
    1
  ),
  ""Not Found""
)"),"No")</f>
        <v>No</v>
      </c>
      <c r="H234" s="230"/>
      <c r="I234" s="230"/>
      <c r="J234" s="344"/>
      <c r="K234" s="340"/>
      <c r="L234" s="340"/>
      <c r="M234" s="230"/>
      <c r="N234" s="230"/>
      <c r="O234" s="230"/>
      <c r="P234" s="230"/>
      <c r="Q234" s="230"/>
      <c r="R234" s="230"/>
      <c r="S234" s="230"/>
      <c r="T234" s="230"/>
      <c r="U234" s="230"/>
      <c r="V234" s="230"/>
      <c r="W234" s="230"/>
      <c r="X234" s="230"/>
      <c r="Y234" s="230"/>
      <c r="Z234" s="230"/>
    </row>
    <row r="235">
      <c r="A235" s="337" t="str">
        <f>IFERROR(__xludf.DUMMYFUNCTION("VLOOKUP($B235,IMPORTRANGE(""https://docs.google.com/spreadsheets/d/1VNXDITjs75AcgdBSW27oL1VZH31udDprJSsBcE5xlp4/edit?gid=1551188038#gid=1551188038"", ""Sheet9!$B:$E""),2,false)"),"Faisalabad")</f>
        <v>Faisalabad</v>
      </c>
      <c r="B235" s="341" t="s">
        <v>4694</v>
      </c>
      <c r="C235" s="284">
        <f>IFERROR(__xludf.DUMMYFUNCTION("IFERROR(
  INDEX(
    FILTER(
      IMPORTRANGE(""1Cxrhp3-_-HS7v9uuqQliiIfrmMP4VaFoDNDWyUFy2J8/edit?gid=0#gid=0"",""Sheet1!AE:AE""),
      IMPORTRANGE(""1Cxrhp3-_-HS7v9uuqQliiIfrmMP4VaFoDNDWyUFy2J8/edit?gid=0#gid=0"",""Sheet1!K:K"")=$B235
    ),
    1
  )"&amp;",
  ""Not Found""
)"),1940.0)</f>
        <v>1940</v>
      </c>
      <c r="D235" s="284" t="str">
        <f>IFERROR(__xludf.DUMMYFUNCTION("IFERROR(
  INDEX(
    FILTER(
      IMPORTRANGE(""1Cxrhp3-_-HS7v9uuqQliiIfrmMP4VaFoDNDWyUFy2J8/edit?gid=0#gid=0"",""Sheet1!AG:AG""),
      IMPORTRANGE(""1Cxrhp3-_-HS7v9uuqQliiIfrmMP4VaFoDNDWyUFy2J8/edit?gid=0#gid=0"",""Sheet1!K:K"")=$B235
    ),
    1
  )"&amp;",
  ""Not Found""
)"),"Darbar Lasuri Shah Faisalabad")</f>
        <v>Darbar Lasuri Shah Faisalabad</v>
      </c>
      <c r="E235" s="284">
        <f>IFERROR(__xludf.DUMMYFUNCTION("IFERROR(
  INDEX(
    FILTER(
      IMPORTRANGE(""1kOrIKZmJfNUkgOVP3sI9BPjaaPA0_a4636oymQxTXg8/edit?gid=609491371#gid=609491371"",""Form responses 1!J:J""),
      IMPORTRANGE(""1kOrIKZmJfNUkgOVP3sI9BPjaaPA0_a4636oymQxTXg8/edit?gid=609491371#gid=609491371"&amp;""",""Form responses 1!F:F"")=$B235
    ),
    1
  ),
  ""Not Found""
)"),1932.0)</f>
        <v>1932</v>
      </c>
      <c r="F235" s="284" t="str">
        <f>IFERROR(__xludf.DUMMYFUNCTION("IFERROR(
  INDEX(
    FILTER(
      IMPORTRANGE(""1kOrIKZmJfNUkgOVP3sI9BPjaaPA0_a4636oymQxTXg8/edit?gid=609491371#gid=609491371"",""Form responses 1!L:L""),
      IMPORTRANGE(""1kOrIKZmJfNUkgOVP3sI9BPjaaPA0_a4636oymQxTXg8/edit?gid=609491371#gid=609491371"&amp;""",""Form responses 1!F:F"")=$B235
    ),
    1
  ),
  ""Not Found""
)"),"Hazrat MUhammad Baksh Baba Lasori shah RA")</f>
        <v>Hazrat MUhammad Baksh Baba Lasori shah RA</v>
      </c>
      <c r="G235" s="284" t="str">
        <f>IFERROR(__xludf.DUMMYFUNCTION("IFERROR(
  INDEX(
    FILTER(
      IMPORTRANGE(""1kOrIKZmJfNUkgOVP3sI9BPjaaPA0_a4636oymQxTXg8/edit?gid=609491371#gid=609491371"",""Form responses 1!K:K""),
      IMPORTRANGE(""1kOrIKZmJfNUkgOVP3sI9BPjaaPA0_a4636oymQxTXg8/edit?gid=609491371#gid=609491371"&amp;""",""Form responses 1!F:F"")=$B235
    ),
    1
  ),
  ""Not Found""
)"),"No")</f>
        <v>No</v>
      </c>
      <c r="H235" s="230"/>
      <c r="I235" s="343">
        <v>1932.0</v>
      </c>
      <c r="J235" s="344">
        <v>1932.0</v>
      </c>
      <c r="K235" s="340"/>
      <c r="L235" s="340"/>
      <c r="M235" s="230"/>
      <c r="N235" s="230"/>
      <c r="O235" s="230"/>
      <c r="P235" s="230"/>
      <c r="Q235" s="230"/>
      <c r="R235" s="230"/>
      <c r="S235" s="230"/>
      <c r="T235" s="230"/>
      <c r="U235" s="230"/>
      <c r="V235" s="230"/>
      <c r="W235" s="230"/>
      <c r="X235" s="230"/>
      <c r="Y235" s="230"/>
      <c r="Z235" s="230"/>
    </row>
    <row r="236">
      <c r="A236" s="337" t="str">
        <f>IFERROR(__xludf.DUMMYFUNCTION("VLOOKUP($B236,IMPORTRANGE(""https://docs.google.com/spreadsheets/d/1VNXDITjs75AcgdBSW27oL1VZH31udDprJSsBcE5xlp4/edit?gid=1551188038#gid=1551188038"", ""Sheet9!$B:$E""),2,false)"),"Faisalabad")</f>
        <v>Faisalabad</v>
      </c>
      <c r="B236" s="341" t="s">
        <v>3909</v>
      </c>
      <c r="C236" s="284">
        <f>IFERROR(__xludf.DUMMYFUNCTION("IFERROR(
  INDEX(
    FILTER(
      IMPORTRANGE(""1Cxrhp3-_-HS7v9uuqQliiIfrmMP4VaFoDNDWyUFy2J8/edit?gid=0#gid=0"",""Sheet1!AE:AE""),
      IMPORTRANGE(""1Cxrhp3-_-HS7v9uuqQliiIfrmMP4VaFoDNDWyUFy2J8/edit?gid=0#gid=0"",""Sheet1!K:K"")=$B236
    ),
    1
  )"&amp;",
  ""Not Found""
)"),1908.0)</f>
        <v>1908</v>
      </c>
      <c r="D236" s="284" t="str">
        <f>IFERROR(__xludf.DUMMYFUNCTION("IFERROR(
  INDEX(
    FILTER(
      IMPORTRANGE(""1Cxrhp3-_-HS7v9uuqQliiIfrmMP4VaFoDNDWyUFy2J8/edit?gid=0#gid=0"",""Sheet1!AG:AG""),
      IMPORTRANGE(""1Cxrhp3-_-HS7v9uuqQliiIfrmMP4VaFoDNDWyUFy2J8/edit?gid=0#gid=0"",""Sheet1!K:K"")=$B236
    ),
    1
  )"&amp;",
  ""Not Found""
)"),"")</f>
        <v/>
      </c>
      <c r="E236" s="284">
        <f>IFERROR(__xludf.DUMMYFUNCTION("IFERROR(
  INDEX(
    FILTER(
      IMPORTRANGE(""1kOrIKZmJfNUkgOVP3sI9BPjaaPA0_a4636oymQxTXg8/edit?gid=609491371#gid=609491371"",""Form responses 1!J:J""),
      IMPORTRANGE(""1kOrIKZmJfNUkgOVP3sI9BPjaaPA0_a4636oymQxTXg8/edit?gid=609491371#gid=609491371"&amp;""",""Form responses 1!F:F"")=$B236
    ),
    1
  ),
  ""Not Found""
)"),1908.0)</f>
        <v>1908</v>
      </c>
      <c r="F236" s="284" t="str">
        <f>IFERROR(__xludf.DUMMYFUNCTION("IFERROR(
  INDEX(
    FILTER(
      IMPORTRANGE(""1kOrIKZmJfNUkgOVP3sI9BPjaaPA0_a4636oymQxTXg8/edit?gid=609491371#gid=609491371"",""Form responses 1!L:L""),
      IMPORTRANGE(""1kOrIKZmJfNUkgOVP3sI9BPjaaPA0_a4636oymQxTXg8/edit?gid=609491371#gid=609491371"&amp;""",""Form responses 1!F:F"")=$B236
    ),
    1
  ),
  ""Not Found""
)"),"NO")</f>
        <v>NO</v>
      </c>
      <c r="G236" s="284" t="str">
        <f>IFERROR(__xludf.DUMMYFUNCTION("IFERROR(
  INDEX(
    FILTER(
      IMPORTRANGE(""1kOrIKZmJfNUkgOVP3sI9BPjaaPA0_a4636oymQxTXg8/edit?gid=609491371#gid=609491371"",""Form responses 1!K:K""),
      IMPORTRANGE(""1kOrIKZmJfNUkgOVP3sI9BPjaaPA0_a4636oymQxTXg8/edit?gid=609491371#gid=609491371"&amp;""",""Form responses 1!F:F"")=$B236
    ),
    1
  ),
  ""Not Found""
)"),"No")</f>
        <v>No</v>
      </c>
      <c r="H236" s="230"/>
      <c r="I236" s="230">
        <v>1908.0</v>
      </c>
      <c r="J236" s="339">
        <f>IFERROR(__xludf.DUMMYFUNCTION("IFERROR(
  INDEX(
    FILTER(
      IMPORTRANGE(""1Cxrhp3-_-HS7v9uuqQliiIfrmMP4VaFoDNDWyUFy2J8/edit?gid=0#gid=0"",""Sheet1!AE:AE""),
      IMPORTRANGE(""1Cxrhp3-_-HS7v9uuqQliiIfrmMP4VaFoDNDWyUFy2J8/edit?gid=0#gid=0"",""Sheet1!K:K"")=$B236
    ),
    1
  )"&amp;",
  ""Not Found""
)"),1908.0)</f>
        <v>1908</v>
      </c>
      <c r="K236" s="340"/>
      <c r="L236" s="340"/>
      <c r="M236" s="230"/>
      <c r="N236" s="230"/>
      <c r="O236" s="230"/>
      <c r="P236" s="230"/>
      <c r="Q236" s="230"/>
      <c r="R236" s="230"/>
      <c r="S236" s="230"/>
      <c r="T236" s="230"/>
      <c r="U236" s="230"/>
      <c r="V236" s="230"/>
      <c r="W236" s="230"/>
      <c r="X236" s="230"/>
      <c r="Y236" s="230"/>
      <c r="Z236" s="230"/>
    </row>
    <row r="237">
      <c r="A237" s="337" t="str">
        <f>IFERROR(__xludf.DUMMYFUNCTION("VLOOKUP($B237,IMPORTRANGE(""https://docs.google.com/spreadsheets/d/1VNXDITjs75AcgdBSW27oL1VZH31udDprJSsBcE5xlp4/edit?gid=1551188038#gid=1551188038"", ""Sheet9!$B:$E""),2,false)"),"Faisalabad")</f>
        <v>Faisalabad</v>
      </c>
      <c r="B237" s="341" t="s">
        <v>4076</v>
      </c>
      <c r="C237" s="284">
        <f>IFERROR(__xludf.DUMMYFUNCTION("IFERROR(
  INDEX(
    FILTER(
      IMPORTRANGE(""1Cxrhp3-_-HS7v9uuqQliiIfrmMP4VaFoDNDWyUFy2J8/edit?gid=0#gid=0"",""Sheet1!AE:AE""),
      IMPORTRANGE(""1Cxrhp3-_-HS7v9uuqQliiIfrmMP4VaFoDNDWyUFy2J8/edit?gid=0#gid=0"",""Sheet1!K:K"")=$B237
    ),
    1
  )"&amp;",
  ""Not Found""
)"),1950.0)</f>
        <v>1950</v>
      </c>
      <c r="D237" s="284" t="str">
        <f>IFERROR(__xludf.DUMMYFUNCTION("IFERROR(
  INDEX(
    FILTER(
      IMPORTRANGE(""1Cxrhp3-_-HS7v9uuqQliiIfrmMP4VaFoDNDWyUFy2J8/edit?gid=0#gid=0"",""Sheet1!AG:AG""),
      IMPORTRANGE(""1Cxrhp3-_-HS7v9uuqQliiIfrmMP4VaFoDNDWyUFy2J8/edit?gid=0#gid=0"",""Sheet1!K:K"")=$B237
    ),
    1
  )"&amp;",
  ""Not Found""
)"),"")</f>
        <v/>
      </c>
      <c r="E237" s="284">
        <f>IFERROR(__xludf.DUMMYFUNCTION("IFERROR(
  INDEX(
    FILTER(
      IMPORTRANGE(""1kOrIKZmJfNUkgOVP3sI9BPjaaPA0_a4636oymQxTXg8/edit?gid=609491371#gid=609491371"",""Form responses 1!J:J""),
      IMPORTRANGE(""1kOrIKZmJfNUkgOVP3sI9BPjaaPA0_a4636oymQxTXg8/edit?gid=609491371#gid=609491371"&amp;""",""Form responses 1!F:F"")=$B237
    ),
    1
  ),
  ""Not Found""
)"),1947.0)</f>
        <v>1947</v>
      </c>
      <c r="F237" s="284" t="str">
        <f>IFERROR(__xludf.DUMMYFUNCTION("IFERROR(
  INDEX(
    FILTER(
      IMPORTRANGE(""1kOrIKZmJfNUkgOVP3sI9BPjaaPA0_a4636oymQxTXg8/edit?gid=609491371#gid=609491371"",""Form responses 1!L:L""),
      IMPORTRANGE(""1kOrIKZmJfNUkgOVP3sI9BPjaaPA0_a4636oymQxTXg8/edit?gid=609491371#gid=609491371"&amp;""",""Form responses 1!F:F"")=$B237
    ),
    1
  ),
  ""Not Found""
)"),"NO")</f>
        <v>NO</v>
      </c>
      <c r="G237" s="284" t="str">
        <f>IFERROR(__xludf.DUMMYFUNCTION("IFERROR(
  INDEX(
    FILTER(
      IMPORTRANGE(""1kOrIKZmJfNUkgOVP3sI9BPjaaPA0_a4636oymQxTXg8/edit?gid=609491371#gid=609491371"",""Form responses 1!K:K""),
      IMPORTRANGE(""1kOrIKZmJfNUkgOVP3sI9BPjaaPA0_a4636oymQxTXg8/edit?gid=609491371#gid=609491371"&amp;""",""Form responses 1!F:F"")=$B237
    ),
    1
  ),
  ""Not Found""
)"),"No")</f>
        <v>No</v>
      </c>
      <c r="H237" s="230"/>
      <c r="I237" s="343">
        <v>1947.0</v>
      </c>
      <c r="J237" s="344">
        <v>1947.0</v>
      </c>
      <c r="K237" s="340"/>
      <c r="L237" s="340"/>
      <c r="M237" s="230"/>
      <c r="N237" s="230"/>
      <c r="O237" s="230"/>
      <c r="P237" s="230"/>
      <c r="Q237" s="230"/>
      <c r="R237" s="230"/>
      <c r="S237" s="230"/>
      <c r="T237" s="230"/>
      <c r="U237" s="230"/>
      <c r="V237" s="230"/>
      <c r="W237" s="230"/>
      <c r="X237" s="230"/>
      <c r="Y237" s="230"/>
      <c r="Z237" s="230"/>
    </row>
    <row r="238">
      <c r="A238" s="337" t="str">
        <f>IFERROR(__xludf.DUMMYFUNCTION("VLOOKUP($B238,IMPORTRANGE(""https://docs.google.com/spreadsheets/d/1VNXDITjs75AcgdBSW27oL1VZH31udDprJSsBcE5xlp4/edit?gid=1551188038#gid=1551188038"", ""Sheet9!$B:$E""),2,false)"),"Faisalabad")</f>
        <v>Faisalabad</v>
      </c>
      <c r="B238" s="341" t="s">
        <v>3926</v>
      </c>
      <c r="C238" s="284">
        <f>IFERROR(__xludf.DUMMYFUNCTION("IFERROR(
  INDEX(
    FILTER(
      IMPORTRANGE(""1Cxrhp3-_-HS7v9uuqQliiIfrmMP4VaFoDNDWyUFy2J8/edit?gid=0#gid=0"",""Sheet1!AE:AE""),
      IMPORTRANGE(""1Cxrhp3-_-HS7v9uuqQliiIfrmMP4VaFoDNDWyUFy2J8/edit?gid=0#gid=0"",""Sheet1!K:K"")=$B238
    ),
    1
  )"&amp;",
  ""Not Found""
)"),1945.0)</f>
        <v>1945</v>
      </c>
      <c r="D238" s="284" t="str">
        <f>IFERROR(__xludf.DUMMYFUNCTION("IFERROR(
  INDEX(
    FILTER(
      IMPORTRANGE(""1Cxrhp3-_-HS7v9uuqQliiIfrmMP4VaFoDNDWyUFy2J8/edit?gid=0#gid=0"",""Sheet1!AG:AG""),
      IMPORTRANGE(""1Cxrhp3-_-HS7v9uuqQliiIfrmMP4VaFoDNDWyUFy2J8/edit?gid=0#gid=0"",""Sheet1!K:K"")=$B238
    ),
    1
  )"&amp;",
  ""Not Found""
)"),"")</f>
        <v/>
      </c>
      <c r="E238" s="284">
        <f>IFERROR(__xludf.DUMMYFUNCTION("IFERROR(
  INDEX(
    FILTER(
      IMPORTRANGE(""1kOrIKZmJfNUkgOVP3sI9BPjaaPA0_a4636oymQxTXg8/edit?gid=609491371#gid=609491371"",""Form responses 1!J:J""),
      IMPORTRANGE(""1kOrIKZmJfNUkgOVP3sI9BPjaaPA0_a4636oymQxTXg8/edit?gid=609491371#gid=609491371"&amp;""",""Form responses 1!F:F"")=$B238
    ),
    1
  ),
  ""Not Found""
)"),1945.0)</f>
        <v>1945</v>
      </c>
      <c r="F238" s="284" t="str">
        <f>IFERROR(__xludf.DUMMYFUNCTION("IFERROR(
  INDEX(
    FILTER(
      IMPORTRANGE(""1kOrIKZmJfNUkgOVP3sI9BPjaaPA0_a4636oymQxTXg8/edit?gid=609491371#gid=609491371"",""Form responses 1!L:L""),
      IMPORTRANGE(""1kOrIKZmJfNUkgOVP3sI9BPjaaPA0_a4636oymQxTXg8/edit?gid=609491371#gid=609491371"&amp;""",""Form responses 1!F:F"")=$B238
    ),
    1
  ),
  ""Not Found""
)"),"No")</f>
        <v>No</v>
      </c>
      <c r="G238" s="284" t="str">
        <f>IFERROR(__xludf.DUMMYFUNCTION("IFERROR(
  INDEX(
    FILTER(
      IMPORTRANGE(""1kOrIKZmJfNUkgOVP3sI9BPjaaPA0_a4636oymQxTXg8/edit?gid=609491371#gid=609491371"",""Form responses 1!K:K""),
      IMPORTRANGE(""1kOrIKZmJfNUkgOVP3sI9BPjaaPA0_a4636oymQxTXg8/edit?gid=609491371#gid=609491371"&amp;""",""Form responses 1!F:F"")=$B238
    ),
    1
  ),
  ""Not Found""
)"),"No")</f>
        <v>No</v>
      </c>
      <c r="H238" s="230"/>
      <c r="I238" s="230">
        <v>1945.0</v>
      </c>
      <c r="J238" s="339">
        <f>IFERROR(__xludf.DUMMYFUNCTION("IFERROR(
  INDEX(
    FILTER(
      IMPORTRANGE(""1Cxrhp3-_-HS7v9uuqQliiIfrmMP4VaFoDNDWyUFy2J8/edit?gid=0#gid=0"",""Sheet1!AE:AE""),
      IMPORTRANGE(""1Cxrhp3-_-HS7v9uuqQliiIfrmMP4VaFoDNDWyUFy2J8/edit?gid=0#gid=0"",""Sheet1!K:K"")=$B238
    ),
    1
  )"&amp;",
  ""Not Found""
)"),1945.0)</f>
        <v>1945</v>
      </c>
      <c r="K238" s="340"/>
      <c r="L238" s="340"/>
      <c r="M238" s="230"/>
      <c r="N238" s="230"/>
      <c r="O238" s="230"/>
      <c r="P238" s="230"/>
      <c r="Q238" s="230"/>
      <c r="R238" s="230"/>
      <c r="S238" s="230"/>
      <c r="T238" s="230"/>
      <c r="U238" s="230"/>
      <c r="V238" s="230"/>
      <c r="W238" s="230"/>
      <c r="X238" s="230"/>
      <c r="Y238" s="230"/>
      <c r="Z238" s="230"/>
    </row>
    <row r="239">
      <c r="A239" s="337" t="str">
        <f>IFERROR(__xludf.DUMMYFUNCTION("VLOOKUP($B239,IMPORTRANGE(""https://docs.google.com/spreadsheets/d/1VNXDITjs75AcgdBSW27oL1VZH31udDprJSsBcE5xlp4/edit?gid=1551188038#gid=1551188038"", ""Sheet9!$B:$E""),2,false)"),"Faisalabad")</f>
        <v>Faisalabad</v>
      </c>
      <c r="B239" s="341" t="s">
        <v>4064</v>
      </c>
      <c r="C239" s="284" t="str">
        <f>IFERROR(__xludf.DUMMYFUNCTION("IFERROR(
  INDEX(
    FILTER(
      IMPORTRANGE(""1Cxrhp3-_-HS7v9uuqQliiIfrmMP4VaFoDNDWyUFy2J8/edit?gid=0#gid=0"",""Sheet1!AE:AE""),
      IMPORTRANGE(""1Cxrhp3-_-HS7v9uuqQliiIfrmMP4VaFoDNDWyUFy2J8/edit?gid=0#gid=0"",""Sheet1!K:K"")=$B239
    ),
    1
  )"&amp;",
  ""Not Found""
)"),"")</f>
        <v/>
      </c>
      <c r="D239" s="284" t="str">
        <f>IFERROR(__xludf.DUMMYFUNCTION("IFERROR(
  INDEX(
    FILTER(
      IMPORTRANGE(""1Cxrhp3-_-HS7v9uuqQliiIfrmMP4VaFoDNDWyUFy2J8/edit?gid=0#gid=0"",""Sheet1!AG:AG""),
      IMPORTRANGE(""1Cxrhp3-_-HS7v9uuqQliiIfrmMP4VaFoDNDWyUFy2J8/edit?gid=0#gid=0"",""Sheet1!K:K"")=$B239
    ),
    1
  )"&amp;",
  ""Not Found""
)"),"")</f>
        <v/>
      </c>
      <c r="E239" s="284" t="str">
        <f>IFERROR(__xludf.DUMMYFUNCTION("IFERROR(
  INDEX(
    FILTER(
      IMPORTRANGE(""1kOrIKZmJfNUkgOVP3sI9BPjaaPA0_a4636oymQxTXg8/edit?gid=609491371#gid=609491371"",""Form responses 1!J:J""),
      IMPORTRANGE(""1kOrIKZmJfNUkgOVP3sI9BPjaaPA0_a4636oymQxTXg8/edit?gid=609491371#gid=609491371"&amp;""",""Form responses 1!F:F"")=$B239
    ),
    1
  ),
  ""Not Found""
)"),"06 moharram 1411 ")</f>
        <v>06 moharram 1411 </v>
      </c>
      <c r="F239" s="284" t="str">
        <f>IFERROR(__xludf.DUMMYFUNCTION("IFERROR(
  INDEX(
    FILTER(
      IMPORTRANGE(""1kOrIKZmJfNUkgOVP3sI9BPjaaPA0_a4636oymQxTXg8/edit?gid=609491371#gid=609491371"",""Form responses 1!L:L""),
      IMPORTRANGE(""1kOrIKZmJfNUkgOVP3sI9BPjaaPA0_a4636oymQxTXg8/edit?gid=609491371#gid=609491371"&amp;""",""Form responses 1!F:F"")=$B239
    ),
    1
  ),
  ""Not Found""
)"),"No")</f>
        <v>No</v>
      </c>
      <c r="G239" s="284" t="str">
        <f>IFERROR(__xludf.DUMMYFUNCTION("IFERROR(
  INDEX(
    FILTER(
      IMPORTRANGE(""1kOrIKZmJfNUkgOVP3sI9BPjaaPA0_a4636oymQxTXg8/edit?gid=609491371#gid=609491371"",""Form responses 1!K:K""),
      IMPORTRANGE(""1kOrIKZmJfNUkgOVP3sI9BPjaaPA0_a4636oymQxTXg8/edit?gid=609491371#gid=609491371"&amp;""",""Form responses 1!F:F"")=$B239
    ),
    1
  ),
  ""Not Found""
)"),"No")</f>
        <v>No</v>
      </c>
      <c r="H239" s="230"/>
      <c r="I239" s="343">
        <v>1411.0</v>
      </c>
      <c r="J239" s="344">
        <v>1411.0</v>
      </c>
      <c r="K239" s="340"/>
      <c r="L239" s="340"/>
      <c r="M239" s="230"/>
      <c r="N239" s="230"/>
      <c r="O239" s="230"/>
      <c r="P239" s="230"/>
      <c r="Q239" s="230"/>
      <c r="R239" s="230"/>
      <c r="S239" s="230"/>
      <c r="T239" s="230"/>
      <c r="U239" s="230"/>
      <c r="V239" s="230"/>
      <c r="W239" s="230"/>
      <c r="X239" s="230"/>
      <c r="Y239" s="230"/>
      <c r="Z239" s="230"/>
    </row>
    <row r="240">
      <c r="A240" s="337" t="str">
        <f>IFERROR(__xludf.DUMMYFUNCTION("VLOOKUP($B240,IMPORTRANGE(""https://docs.google.com/spreadsheets/d/1VNXDITjs75AcgdBSW27oL1VZH31udDprJSsBcE5xlp4/edit?gid=1551188038#gid=1551188038"", ""Sheet9!$B:$E""),2,false)"),"Faisalabad")</f>
        <v>Faisalabad</v>
      </c>
      <c r="B240" s="341" t="s">
        <v>4276</v>
      </c>
      <c r="C240" s="284">
        <f>IFERROR(__xludf.DUMMYFUNCTION("IFERROR(
  INDEX(
    FILTER(
      IMPORTRANGE(""1Cxrhp3-_-HS7v9uuqQliiIfrmMP4VaFoDNDWyUFy2J8/edit?gid=0#gid=0"",""Sheet1!AE:AE""),
      IMPORTRANGE(""1Cxrhp3-_-HS7v9uuqQliiIfrmMP4VaFoDNDWyUFy2J8/edit?gid=0#gid=0"",""Sheet1!K:K"")=$B240
    ),
    1
  )"&amp;",
  ""Not Found""
)"),1990.0)</f>
        <v>1990</v>
      </c>
      <c r="D240" s="284" t="str">
        <f>IFERROR(__xludf.DUMMYFUNCTION("IFERROR(
  INDEX(
    FILTER(
      IMPORTRANGE(""1Cxrhp3-_-HS7v9uuqQliiIfrmMP4VaFoDNDWyUFy2J8/edit?gid=0#gid=0"",""Sheet1!AG:AG""),
      IMPORTRANGE(""1Cxrhp3-_-HS7v9uuqQliiIfrmMP4VaFoDNDWyUFy2J8/edit?gid=0#gid=0"",""Sheet1!K:K"")=$B240
    ),
    1
  )"&amp;",
  ""Not Found""
)"),"")</f>
        <v/>
      </c>
      <c r="E240" s="284">
        <f>IFERROR(__xludf.DUMMYFUNCTION("IFERROR(
  INDEX(
    FILTER(
      IMPORTRANGE(""1kOrIKZmJfNUkgOVP3sI9BPjaaPA0_a4636oymQxTXg8/edit?gid=609491371#gid=609491371"",""Form responses 1!J:J""),
      IMPORTRANGE(""1kOrIKZmJfNUkgOVP3sI9BPjaaPA0_a4636oymQxTXg8/edit?gid=609491371#gid=609491371"&amp;""",""Form responses 1!F:F"")=$B240
    ),
    1
  ),
  ""Not Found""
)"),1947.0)</f>
        <v>1947</v>
      </c>
      <c r="F240" s="284" t="str">
        <f>IFERROR(__xludf.DUMMYFUNCTION("IFERROR(
  INDEX(
    FILTER(
      IMPORTRANGE(""1kOrIKZmJfNUkgOVP3sI9BPjaaPA0_a4636oymQxTXg8/edit?gid=609491371#gid=609491371"",""Form responses 1!L:L""),
      IMPORTRANGE(""1kOrIKZmJfNUkgOVP3sI9BPjaaPA0_a4636oymQxTXg8/edit?gid=609491371#gid=609491371"&amp;""",""Form responses 1!F:F"")=$B240
    ),
    1
  ),
  ""Not Found""
)"),"No")</f>
        <v>No</v>
      </c>
      <c r="G240" s="284" t="str">
        <f>IFERROR(__xludf.DUMMYFUNCTION("IFERROR(
  INDEX(
    FILTER(
      IMPORTRANGE(""1kOrIKZmJfNUkgOVP3sI9BPjaaPA0_a4636oymQxTXg8/edit?gid=609491371#gid=609491371"",""Form responses 1!K:K""),
      IMPORTRANGE(""1kOrIKZmJfNUkgOVP3sI9BPjaaPA0_a4636oymQxTXg8/edit?gid=609491371#gid=609491371"&amp;""",""Form responses 1!F:F"")=$B240
    ),
    1
  ),
  ""Not Found""
)"),"No")</f>
        <v>No</v>
      </c>
      <c r="H240" s="230"/>
      <c r="I240" s="343">
        <v>1947.0</v>
      </c>
      <c r="J240" s="344">
        <v>1947.0</v>
      </c>
      <c r="K240" s="340"/>
      <c r="L240" s="340"/>
      <c r="M240" s="230"/>
      <c r="N240" s="230"/>
      <c r="O240" s="230"/>
      <c r="P240" s="230"/>
      <c r="Q240" s="230"/>
      <c r="R240" s="230"/>
      <c r="S240" s="230"/>
      <c r="T240" s="230"/>
      <c r="U240" s="230"/>
      <c r="V240" s="230"/>
      <c r="W240" s="230"/>
      <c r="X240" s="230"/>
      <c r="Y240" s="230"/>
      <c r="Z240" s="230"/>
    </row>
    <row r="241">
      <c r="A241" s="337" t="str">
        <f>IFERROR(__xludf.DUMMYFUNCTION("VLOOKUP($B241,IMPORTRANGE(""https://docs.google.com/spreadsheets/d/1VNXDITjs75AcgdBSW27oL1VZH31udDprJSsBcE5xlp4/edit?gid=1551188038#gid=1551188038"", ""Sheet9!$B:$E""),2,false)"),"Faisalabad")</f>
        <v>Faisalabad</v>
      </c>
      <c r="B241" s="341" t="s">
        <v>3961</v>
      </c>
      <c r="C241" s="284">
        <f>IFERROR(__xludf.DUMMYFUNCTION("IFERROR(
  INDEX(
    FILTER(
      IMPORTRANGE(""1Cxrhp3-_-HS7v9uuqQliiIfrmMP4VaFoDNDWyUFy2J8/edit?gid=0#gid=0"",""Sheet1!AE:AE""),
      IMPORTRANGE(""1Cxrhp3-_-HS7v9uuqQliiIfrmMP4VaFoDNDWyUFy2J8/edit?gid=0#gid=0"",""Sheet1!K:K"")=$B241
    ),
    1
  )"&amp;",
  ""Not Found""
)"),1937.0)</f>
        <v>1937</v>
      </c>
      <c r="D241" s="284" t="str">
        <f>IFERROR(__xludf.DUMMYFUNCTION("IFERROR(
  INDEX(
    FILTER(
      IMPORTRANGE(""1Cxrhp3-_-HS7v9uuqQliiIfrmMP4VaFoDNDWyUFy2J8/edit?gid=0#gid=0"",""Sheet1!AG:AG""),
      IMPORTRANGE(""1Cxrhp3-_-HS7v9uuqQliiIfrmMP4VaFoDNDWyUFy2J8/edit?gid=0#gid=0"",""Sheet1!K:K"")=$B241
    ),
    1
  )"&amp;",
  ""Not Found""
)"),"")</f>
        <v/>
      </c>
      <c r="E241" s="284">
        <f>IFERROR(__xludf.DUMMYFUNCTION("IFERROR(
  INDEX(
    FILTER(
      IMPORTRANGE(""1kOrIKZmJfNUkgOVP3sI9BPjaaPA0_a4636oymQxTXg8/edit?gid=609491371#gid=609491371"",""Form responses 1!J:J""),
      IMPORTRANGE(""1kOrIKZmJfNUkgOVP3sI9BPjaaPA0_a4636oymQxTXg8/edit?gid=609491371#gid=609491371"&amp;""",""Form responses 1!F:F"")=$B241
    ),
    1
  ),
  ""Not Found""
)"),1956.0)</f>
        <v>1956</v>
      </c>
      <c r="F241" s="284" t="str">
        <f>IFERROR(__xludf.DUMMYFUNCTION("IFERROR(
  INDEX(
    FILTER(
      IMPORTRANGE(""1kOrIKZmJfNUkgOVP3sI9BPjaaPA0_a4636oymQxTXg8/edit?gid=609491371#gid=609491371"",""Form responses 1!L:L""),
      IMPORTRANGE(""1kOrIKZmJfNUkgOVP3sI9BPjaaPA0_a4636oymQxTXg8/edit?gid=609491371#gid=609491371"&amp;""",""Form responses 1!F:F"")=$B241
    ),
    1
  ),
  ""Not Found""
)"),"No")</f>
        <v>No</v>
      </c>
      <c r="G241" s="284" t="str">
        <f>IFERROR(__xludf.DUMMYFUNCTION("IFERROR(
  INDEX(
    FILTER(
      IMPORTRANGE(""1kOrIKZmJfNUkgOVP3sI9BPjaaPA0_a4636oymQxTXg8/edit?gid=609491371#gid=609491371"",""Form responses 1!K:K""),
      IMPORTRANGE(""1kOrIKZmJfNUkgOVP3sI9BPjaaPA0_a4636oymQxTXg8/edit?gid=609491371#gid=609491371"&amp;""",""Form responses 1!F:F"")=$B241
    ),
    1
  ),
  ""Not Found""
)"),"No")</f>
        <v>No</v>
      </c>
      <c r="H241" s="230"/>
      <c r="I241" s="230">
        <v>1937.0</v>
      </c>
      <c r="J241" s="339">
        <f>IFERROR(__xludf.DUMMYFUNCTION("IFERROR(
  INDEX(
    FILTER(
      IMPORTRANGE(""1Cxrhp3-_-HS7v9uuqQliiIfrmMP4VaFoDNDWyUFy2J8/edit?gid=0#gid=0"",""Sheet1!AE:AE""),
      IMPORTRANGE(""1Cxrhp3-_-HS7v9uuqQliiIfrmMP4VaFoDNDWyUFy2J8/edit?gid=0#gid=0"",""Sheet1!K:K"")=$B241
    ),
    1
  )"&amp;",
  ""Not Found""
)"),1937.0)</f>
        <v>1937</v>
      </c>
      <c r="K241" s="340"/>
      <c r="L241" s="340"/>
      <c r="M241" s="230"/>
      <c r="N241" s="230"/>
      <c r="O241" s="230"/>
      <c r="P241" s="230"/>
      <c r="Q241" s="230"/>
      <c r="R241" s="230"/>
      <c r="S241" s="230"/>
      <c r="T241" s="230"/>
      <c r="U241" s="230"/>
      <c r="V241" s="230"/>
      <c r="W241" s="230"/>
      <c r="X241" s="230"/>
      <c r="Y241" s="230"/>
      <c r="Z241" s="230"/>
    </row>
    <row r="242">
      <c r="A242" s="337" t="str">
        <f>IFERROR(__xludf.DUMMYFUNCTION("VLOOKUP($B242,IMPORTRANGE(""https://docs.google.com/spreadsheets/d/1VNXDITjs75AcgdBSW27oL1VZH31udDprJSsBcE5xlp4/edit?gid=1551188038#gid=1551188038"", ""Sheet9!$B:$E""),2,false)"),"Faisalabad")</f>
        <v>Faisalabad</v>
      </c>
      <c r="B242" s="341" t="s">
        <v>4005</v>
      </c>
      <c r="C242" s="284" t="str">
        <f>IFERROR(__xludf.DUMMYFUNCTION("IFERROR(
  INDEX(
    FILTER(
      IMPORTRANGE(""1Cxrhp3-_-HS7v9uuqQliiIfrmMP4VaFoDNDWyUFy2J8/edit?gid=0#gid=0"",""Sheet1!AE:AE""),
      IMPORTRANGE(""1Cxrhp3-_-HS7v9uuqQliiIfrmMP4VaFoDNDWyUFy2J8/edit?gid=0#gid=0"",""Sheet1!K:K"")=$B242
    ),
    1
  )"&amp;",
  ""Not Found""
)"),"Not Found")</f>
        <v>Not Found</v>
      </c>
      <c r="D242" s="284"/>
      <c r="E242" s="284" t="str">
        <f>IFERROR(__xludf.DUMMYFUNCTION("IFERROR(
  INDEX(
    FILTER(
      IMPORTRANGE(""1kOrIKZmJfNUkgOVP3sI9BPjaaPA0_a4636oymQxTXg8/edit?gid=609491371#gid=609491371"",""Form responses 1!J:J""),
      IMPORTRANGE(""1kOrIKZmJfNUkgOVP3sI9BPjaaPA0_a4636oymQxTXg8/edit?gid=609491371#gid=609491371"&amp;""",""Form responses 1!F:F"")=$B242
    ),
    1
  ),
  ""Not Found""
)"),"before 1947")</f>
        <v>before 1947</v>
      </c>
      <c r="F242" s="284" t="str">
        <f>IFERROR(__xludf.DUMMYFUNCTION("IFERROR(
  INDEX(
    FILTER(
      IMPORTRANGE(""1kOrIKZmJfNUkgOVP3sI9BPjaaPA0_a4636oymQxTXg8/edit?gid=609491371#gid=609491371"",""Form responses 1!L:L""),
      IMPORTRANGE(""1kOrIKZmJfNUkgOVP3sI9BPjaaPA0_a4636oymQxTXg8/edit?gid=609491371#gid=609491371"&amp;""",""Form responses 1!F:F"")=$B242
    ),
    1
  ),
  ""Not Found""
)"),"No")</f>
        <v>No</v>
      </c>
      <c r="G242" s="284" t="str">
        <f>IFERROR(__xludf.DUMMYFUNCTION("IFERROR(
  INDEX(
    FILTER(
      IMPORTRANGE(""1kOrIKZmJfNUkgOVP3sI9BPjaaPA0_a4636oymQxTXg8/edit?gid=609491371#gid=609491371"",""Form responses 1!K:K""),
      IMPORTRANGE(""1kOrIKZmJfNUkgOVP3sI9BPjaaPA0_a4636oymQxTXg8/edit?gid=609491371#gid=609491371"&amp;""",""Form responses 1!F:F"")=$B242
    ),
    1
  ),
  ""Not Found""
)"),"No")</f>
        <v>No</v>
      </c>
      <c r="H242" s="230"/>
      <c r="I242" s="343">
        <v>1947.0</v>
      </c>
      <c r="J242" s="344">
        <v>1947.0</v>
      </c>
      <c r="K242" s="340"/>
      <c r="L242" s="340"/>
      <c r="M242" s="230"/>
      <c r="N242" s="230"/>
      <c r="O242" s="230"/>
      <c r="P242" s="230"/>
      <c r="Q242" s="230"/>
      <c r="R242" s="230"/>
      <c r="S242" s="230"/>
      <c r="T242" s="230"/>
      <c r="U242" s="230"/>
      <c r="V242" s="230"/>
      <c r="W242" s="230"/>
      <c r="X242" s="230"/>
      <c r="Y242" s="230"/>
      <c r="Z242" s="230"/>
    </row>
    <row r="243">
      <c r="A243" s="337" t="str">
        <f>IFERROR(__xludf.DUMMYFUNCTION("VLOOKUP($B243,IMPORTRANGE(""https://docs.google.com/spreadsheets/d/1VNXDITjs75AcgdBSW27oL1VZH31udDprJSsBcE5xlp4/edit?gid=1551188038#gid=1551188038"", ""Sheet9!$B:$E""),2,false)"),"Faisalabad")</f>
        <v>Faisalabad</v>
      </c>
      <c r="B243" s="341" t="s">
        <v>4695</v>
      </c>
      <c r="C243" s="284" t="str">
        <f>IFERROR(__xludf.DUMMYFUNCTION("IFERROR(
  INDEX(
    FILTER(
      IMPORTRANGE(""1Cxrhp3-_-HS7v9uuqQliiIfrmMP4VaFoDNDWyUFy2J8/edit?gid=0#gid=0"",""Sheet1!AE:AE""),
      IMPORTRANGE(""1Cxrhp3-_-HS7v9uuqQliiIfrmMP4VaFoDNDWyUFy2J8/edit?gid=0#gid=0"",""Sheet1!K:K"")=$B243
    ),
    1
  )"&amp;",
  ""Not Found""
)"),"Not Found")</f>
        <v>Not Found</v>
      </c>
      <c r="D243" s="284"/>
      <c r="E243" s="284" t="str">
        <f>IFERROR(__xludf.DUMMYFUNCTION("IFERROR(
  INDEX(
    FILTER(
      IMPORTRANGE(""1kOrIKZmJfNUkgOVP3sI9BPjaaPA0_a4636oymQxTXg8/edit?gid=609491371#gid=609491371"",""Form responses 1!J:J""),
      IMPORTRANGE(""1kOrIKZmJfNUkgOVP3sI9BPjaaPA0_a4636oymQxTXg8/edit?gid=609491371#gid=609491371"&amp;""",""Form responses 1!F:F"")=$B243
    ),
    1
  ),
  ""Not Found""
)"),"Don't know")</f>
        <v>Don't know</v>
      </c>
      <c r="F243" s="284" t="str">
        <f>IFERROR(__xludf.DUMMYFUNCTION("IFERROR(
  INDEX(
    FILTER(
      IMPORTRANGE(""1kOrIKZmJfNUkgOVP3sI9BPjaaPA0_a4636oymQxTXg8/edit?gid=609491371#gid=609491371"",""Form responses 1!L:L""),
      IMPORTRANGE(""1kOrIKZmJfNUkgOVP3sI9BPjaaPA0_a4636oymQxTXg8/edit?gid=609491371#gid=609491371"&amp;""",""Form responses 1!F:F"")=$B243
    ),
    1
  ),
  ""Not Found""
)"),"No")</f>
        <v>No</v>
      </c>
      <c r="G243" s="284" t="str">
        <f>IFERROR(__xludf.DUMMYFUNCTION("IFERROR(
  INDEX(
    FILTER(
      IMPORTRANGE(""1kOrIKZmJfNUkgOVP3sI9BPjaaPA0_a4636oymQxTXg8/edit?gid=609491371#gid=609491371"",""Form responses 1!K:K""),
      IMPORTRANGE(""1kOrIKZmJfNUkgOVP3sI9BPjaaPA0_a4636oymQxTXg8/edit?gid=609491371#gid=609491371"&amp;""",""Form responses 1!F:F"")=$B243
    ),
    1
  ),
  ""Not Found""
)"),"No")</f>
        <v>No</v>
      </c>
      <c r="H243" s="230"/>
      <c r="I243" s="230"/>
      <c r="J243" s="339" t="str">
        <f>IFERROR(__xludf.DUMMYFUNCTION("IFERROR(
  INDEX(
    FILTER(
      IMPORTRANGE(""1Cxrhp3-_-HS7v9uuqQliiIfrmMP4VaFoDNDWyUFy2J8/edit?gid=0#gid=0"",""Sheet1!AE:AE""),
      IMPORTRANGE(""1Cxrhp3-_-HS7v9uuqQliiIfrmMP4VaFoDNDWyUFy2J8/edit?gid=0#gid=0"",""Sheet1!K:K"")=$B243
    ),
    1
  )"&amp;",
  ""Not Found""
)"),"Not Found")</f>
        <v>Not Found</v>
      </c>
      <c r="K243" s="340"/>
      <c r="L243" s="340"/>
      <c r="M243" s="230"/>
      <c r="N243" s="230"/>
      <c r="O243" s="230"/>
      <c r="P243" s="230"/>
      <c r="Q243" s="230"/>
      <c r="R243" s="230"/>
      <c r="S243" s="230"/>
      <c r="T243" s="230"/>
      <c r="U243" s="230"/>
      <c r="V243" s="230"/>
      <c r="W243" s="230"/>
      <c r="X243" s="230"/>
      <c r="Y243" s="230"/>
      <c r="Z243" s="230"/>
    </row>
    <row r="244">
      <c r="A244" s="337" t="str">
        <f>IFERROR(__xludf.DUMMYFUNCTION("VLOOKUP($B244,IMPORTRANGE(""https://docs.google.com/spreadsheets/d/1VNXDITjs75AcgdBSW27oL1VZH31udDprJSsBcE5xlp4/edit?gid=1551188038#gid=1551188038"", ""Sheet9!$B:$E""),2,false)"),"Faisalabad")</f>
        <v>Faisalabad</v>
      </c>
      <c r="B244" s="341" t="s">
        <v>4128</v>
      </c>
      <c r="C244" s="284" t="str">
        <f>IFERROR(__xludf.DUMMYFUNCTION("IFERROR(
  INDEX(
    FILTER(
      IMPORTRANGE(""1Cxrhp3-_-HS7v9uuqQliiIfrmMP4VaFoDNDWyUFy2J8/edit?gid=0#gid=0"",""Sheet1!AE:AE""),
      IMPORTRANGE(""1Cxrhp3-_-HS7v9uuqQliiIfrmMP4VaFoDNDWyUFy2J8/edit?gid=0#gid=0"",""Sheet1!K:K"")=$B244
    ),
    1
  )"&amp;",
  ""Not Found""
)"),"Not Found")</f>
        <v>Not Found</v>
      </c>
      <c r="D244" s="284"/>
      <c r="E244" s="284">
        <f>IFERROR(__xludf.DUMMYFUNCTION("IFERROR(
  INDEX(
    FILTER(
      IMPORTRANGE(""1kOrIKZmJfNUkgOVP3sI9BPjaaPA0_a4636oymQxTXg8/edit?gid=609491371#gid=609491371"",""Form responses 1!J:J""),
      IMPORTRANGE(""1kOrIKZmJfNUkgOVP3sI9BPjaaPA0_a4636oymQxTXg8/edit?gid=609491371#gid=609491371"&amp;""",""Form responses 1!F:F"")=$B244
    ),
    1
  ),
  ""Not Found""
)"),1974.0)</f>
        <v>1974</v>
      </c>
      <c r="F244" s="284" t="str">
        <f>IFERROR(__xludf.DUMMYFUNCTION("IFERROR(
  INDEX(
    FILTER(
      IMPORTRANGE(""1kOrIKZmJfNUkgOVP3sI9BPjaaPA0_a4636oymQxTXg8/edit?gid=609491371#gid=609491371"",""Form responses 1!L:L""),
      IMPORTRANGE(""1kOrIKZmJfNUkgOVP3sI9BPjaaPA0_a4636oymQxTXg8/edit?gid=609491371#gid=609491371"&amp;""",""Form responses 1!F:F"")=$B244
    ),
    1
  ),
  ""Not Found""
)"),"No")</f>
        <v>No</v>
      </c>
      <c r="G244" s="284" t="str">
        <f>IFERROR(__xludf.DUMMYFUNCTION("IFERROR(
  INDEX(
    FILTER(
      IMPORTRANGE(""1kOrIKZmJfNUkgOVP3sI9BPjaaPA0_a4636oymQxTXg8/edit?gid=609491371#gid=609491371"",""Form responses 1!K:K""),
      IMPORTRANGE(""1kOrIKZmJfNUkgOVP3sI9BPjaaPA0_a4636oymQxTXg8/edit?gid=609491371#gid=609491371"&amp;""",""Form responses 1!F:F"")=$B244
    ),
    1
  ),
  ""Not Found""
)"),"No")</f>
        <v>No</v>
      </c>
      <c r="H244" s="230"/>
      <c r="I244" s="343">
        <v>1974.0</v>
      </c>
      <c r="J244" s="344">
        <v>1974.0</v>
      </c>
      <c r="K244" s="340"/>
      <c r="L244" s="340"/>
      <c r="M244" s="230"/>
      <c r="N244" s="230"/>
      <c r="O244" s="230"/>
      <c r="P244" s="230"/>
      <c r="Q244" s="230"/>
      <c r="R244" s="230"/>
      <c r="S244" s="230"/>
      <c r="T244" s="230"/>
      <c r="U244" s="230"/>
      <c r="V244" s="230"/>
      <c r="W244" s="230"/>
      <c r="X244" s="230"/>
      <c r="Y244" s="230"/>
      <c r="Z244" s="230"/>
    </row>
    <row r="245">
      <c r="A245" s="337" t="str">
        <f>IFERROR(__xludf.DUMMYFUNCTION("VLOOKUP($B245,IMPORTRANGE(""https://docs.google.com/spreadsheets/d/1VNXDITjs75AcgdBSW27oL1VZH31udDprJSsBcE5xlp4/edit?gid=1551188038#gid=1551188038"", ""Sheet9!$B:$E""),2,false)"),"Faisalabad")</f>
        <v>Faisalabad</v>
      </c>
      <c r="B245" s="341" t="s">
        <v>3887</v>
      </c>
      <c r="C245" s="284">
        <f>IFERROR(__xludf.DUMMYFUNCTION("IFERROR(
  INDEX(
    FILTER(
      IMPORTRANGE(""1Cxrhp3-_-HS7v9uuqQliiIfrmMP4VaFoDNDWyUFy2J8/edit?gid=0#gid=0"",""Sheet1!AE:AE""),
      IMPORTRANGE(""1Cxrhp3-_-HS7v9uuqQliiIfrmMP4VaFoDNDWyUFy2J8/edit?gid=0#gid=0"",""Sheet1!K:K"")=$B245
    ),
    1
  )"&amp;",
  ""Not Found""
)"),1947.0)</f>
        <v>1947</v>
      </c>
      <c r="D245" s="284" t="str">
        <f>IFERROR(__xludf.DUMMYFUNCTION("IFERROR(
  INDEX(
    FILTER(
      IMPORTRANGE(""1Cxrhp3-_-HS7v9uuqQliiIfrmMP4VaFoDNDWyUFy2J8/edit?gid=0#gid=0"",""Sheet1!AG:AG""),
      IMPORTRANGE(""1Cxrhp3-_-HS7v9uuqQliiIfrmMP4VaFoDNDWyUFy2J8/edit?gid=0#gid=0"",""Sheet1!K:K"")=$B245
    ),
    1
  )"&amp;",
  ""Not Found""
)"),"")</f>
        <v/>
      </c>
      <c r="E245" s="284">
        <f>IFERROR(__xludf.DUMMYFUNCTION("IFERROR(
  INDEX(
    FILTER(
      IMPORTRANGE(""1kOrIKZmJfNUkgOVP3sI9BPjaaPA0_a4636oymQxTXg8/edit?gid=609491371#gid=609491371"",""Form responses 1!J:J""),
      IMPORTRANGE(""1kOrIKZmJfNUkgOVP3sI9BPjaaPA0_a4636oymQxTXg8/edit?gid=609491371#gid=609491371"&amp;""",""Form responses 1!F:F"")=$B245
    ),
    1
  ),
  ""Not Found""
)"),1945.0)</f>
        <v>1945</v>
      </c>
      <c r="F245" s="284" t="str">
        <f>IFERROR(__xludf.DUMMYFUNCTION("IFERROR(
  INDEX(
    FILTER(
      IMPORTRANGE(""1kOrIKZmJfNUkgOVP3sI9BPjaaPA0_a4636oymQxTXg8/edit?gid=609491371#gid=609491371"",""Form responses 1!L:L""),
      IMPORTRANGE(""1kOrIKZmJfNUkgOVP3sI9BPjaaPA0_a4636oymQxTXg8/edit?gid=609491371#gid=609491371"&amp;""",""Form responses 1!F:F"")=$B245
    ),
    1
  ),
  ""Not Found""
)"),"NO")</f>
        <v>NO</v>
      </c>
      <c r="G245" s="284" t="str">
        <f>IFERROR(__xludf.DUMMYFUNCTION("IFERROR(
  INDEX(
    FILTER(
      IMPORTRANGE(""1kOrIKZmJfNUkgOVP3sI9BPjaaPA0_a4636oymQxTXg8/edit?gid=609491371#gid=609491371"",""Form responses 1!K:K""),
      IMPORTRANGE(""1kOrIKZmJfNUkgOVP3sI9BPjaaPA0_a4636oymQxTXg8/edit?gid=609491371#gid=609491371"&amp;""",""Form responses 1!F:F"")=$B245
    ),
    1
  ),
  ""Not Found""
)"),"No")</f>
        <v>No</v>
      </c>
      <c r="H245" s="230"/>
      <c r="I245" s="343">
        <v>1945.0</v>
      </c>
      <c r="J245" s="344">
        <v>1945.0</v>
      </c>
      <c r="K245" s="340"/>
      <c r="L245" s="340"/>
      <c r="M245" s="230"/>
      <c r="N245" s="230"/>
      <c r="O245" s="230"/>
      <c r="P245" s="230"/>
      <c r="Q245" s="230"/>
      <c r="R245" s="230"/>
      <c r="S245" s="230"/>
      <c r="T245" s="230"/>
      <c r="U245" s="230"/>
      <c r="V245" s="230"/>
      <c r="W245" s="230"/>
      <c r="X245" s="230"/>
      <c r="Y245" s="230"/>
      <c r="Z245" s="230"/>
    </row>
    <row r="246">
      <c r="A246" s="337" t="str">
        <f>IFERROR(__xludf.DUMMYFUNCTION("VLOOKUP($B246,IMPORTRANGE(""https://docs.google.com/spreadsheets/d/1VNXDITjs75AcgdBSW27oL1VZH31udDprJSsBcE5xlp4/edit?gid=1551188038#gid=1551188038"", ""Sheet9!$B:$E""),2,false)"),"Faisalabad")</f>
        <v>Faisalabad</v>
      </c>
      <c r="B246" s="341" t="s">
        <v>4109</v>
      </c>
      <c r="C246" s="284">
        <f>IFERROR(__xludf.DUMMYFUNCTION("IFERROR(
  INDEX(
    FILTER(
      IMPORTRANGE(""1Cxrhp3-_-HS7v9uuqQliiIfrmMP4VaFoDNDWyUFy2J8/edit?gid=0#gid=0"",""Sheet1!AE:AE""),
      IMPORTRANGE(""1Cxrhp3-_-HS7v9uuqQliiIfrmMP4VaFoDNDWyUFy2J8/edit?gid=0#gid=0"",""Sheet1!K:K"")=$B246
    ),
    1
  )"&amp;",
  ""Not Found""
)"),1980.0)</f>
        <v>1980</v>
      </c>
      <c r="D246" s="284" t="str">
        <f>IFERROR(__xludf.DUMMYFUNCTION("IFERROR(
  INDEX(
    FILTER(
      IMPORTRANGE(""1Cxrhp3-_-HS7v9uuqQliiIfrmMP4VaFoDNDWyUFy2J8/edit?gid=0#gid=0"",""Sheet1!AG:AG""),
      IMPORTRANGE(""1Cxrhp3-_-HS7v9uuqQliiIfrmMP4VaFoDNDWyUFy2J8/edit?gid=0#gid=0"",""Sheet1!K:K"")=$B246
    ),
    1
  )"&amp;",
  ""Not Found""
)"),"")</f>
        <v/>
      </c>
      <c r="E246" s="284">
        <f>IFERROR(__xludf.DUMMYFUNCTION("IFERROR(
  INDEX(
    FILTER(
      IMPORTRANGE(""1kOrIKZmJfNUkgOVP3sI9BPjaaPA0_a4636oymQxTXg8/edit?gid=609491371#gid=609491371"",""Form responses 1!J:J""),
      IMPORTRANGE(""1kOrIKZmJfNUkgOVP3sI9BPjaaPA0_a4636oymQxTXg8/edit?gid=609491371#gid=609491371"&amp;""",""Form responses 1!F:F"")=$B246
    ),
    1
  ),
  ""Not Found""
)"),2015.0)</f>
        <v>2015</v>
      </c>
      <c r="F246" s="284">
        <f>IFERROR(__xludf.DUMMYFUNCTION("IFERROR(
  INDEX(
    FILTER(
      IMPORTRANGE(""1kOrIKZmJfNUkgOVP3sI9BPjaaPA0_a4636oymQxTXg8/edit?gid=609491371#gid=609491371"",""Form responses 1!L:L""),
      IMPORTRANGE(""1kOrIKZmJfNUkgOVP3sI9BPjaaPA0_a4636oymQxTXg8/edit?gid=609491371#gid=609491371"&amp;""",""Form responses 1!F:F"")=$B246
    ),
    1
  ),
  ""Not Found""
)"),0.0)</f>
        <v>0</v>
      </c>
      <c r="G246" s="284" t="str">
        <f>IFERROR(__xludf.DUMMYFUNCTION("IFERROR(
  INDEX(
    FILTER(
      IMPORTRANGE(""1kOrIKZmJfNUkgOVP3sI9BPjaaPA0_a4636oymQxTXg8/edit?gid=609491371#gid=609491371"",""Form responses 1!K:K""),
      IMPORTRANGE(""1kOrIKZmJfNUkgOVP3sI9BPjaaPA0_a4636oymQxTXg8/edit?gid=609491371#gid=609491371"&amp;""",""Form responses 1!F:F"")=$B246
    ),
    1
  ),
  ""Not Found""
)"),"No")</f>
        <v>No</v>
      </c>
      <c r="H246" s="230"/>
      <c r="I246" s="230">
        <v>1980.0</v>
      </c>
      <c r="J246" s="339">
        <f>IFERROR(__xludf.DUMMYFUNCTION("IFERROR(
  INDEX(
    FILTER(
      IMPORTRANGE(""1Cxrhp3-_-HS7v9uuqQliiIfrmMP4VaFoDNDWyUFy2J8/edit?gid=0#gid=0"",""Sheet1!AE:AE""),
      IMPORTRANGE(""1Cxrhp3-_-HS7v9uuqQliiIfrmMP4VaFoDNDWyUFy2J8/edit?gid=0#gid=0"",""Sheet1!K:K"")=$B246
    ),
    1
  )"&amp;",
  ""Not Found""
)"),1980.0)</f>
        <v>1980</v>
      </c>
      <c r="K246" s="340"/>
      <c r="L246" s="340"/>
      <c r="M246" s="230"/>
      <c r="N246" s="230"/>
      <c r="O246" s="230"/>
      <c r="P246" s="230"/>
      <c r="Q246" s="230"/>
      <c r="R246" s="230"/>
      <c r="S246" s="230"/>
      <c r="T246" s="230"/>
      <c r="U246" s="230"/>
      <c r="V246" s="230"/>
      <c r="W246" s="230"/>
      <c r="X246" s="230"/>
      <c r="Y246" s="230"/>
      <c r="Z246" s="230"/>
    </row>
    <row r="247">
      <c r="A247" s="337" t="str">
        <f>IFERROR(__xludf.DUMMYFUNCTION("VLOOKUP($B247,IMPORTRANGE(""https://docs.google.com/spreadsheets/d/1VNXDITjs75AcgdBSW27oL1VZH31udDprJSsBcE5xlp4/edit?gid=1551188038#gid=1551188038"", ""Sheet9!$B:$E""),2,false)"),"Faisalabad")</f>
        <v>Faisalabad</v>
      </c>
      <c r="B247" s="341" t="s">
        <v>4190</v>
      </c>
      <c r="C247" s="284" t="str">
        <f>IFERROR(__xludf.DUMMYFUNCTION("IFERROR(
  INDEX(
    FILTER(
      IMPORTRANGE(""1Cxrhp3-_-HS7v9uuqQliiIfrmMP4VaFoDNDWyUFy2J8/edit?gid=0#gid=0"",""Sheet1!AE:AE""),
      IMPORTRANGE(""1Cxrhp3-_-HS7v9uuqQliiIfrmMP4VaFoDNDWyUFy2J8/edit?gid=0#gid=0"",""Sheet1!K:K"")=$B247
    ),
    1
  )"&amp;",
  ""Not Found""
)"),"Not Found")</f>
        <v>Not Found</v>
      </c>
      <c r="D247" s="284"/>
      <c r="E247" s="284">
        <f>IFERROR(__xludf.DUMMYFUNCTION("IFERROR(
  INDEX(
    FILTER(
      IMPORTRANGE(""1kOrIKZmJfNUkgOVP3sI9BPjaaPA0_a4636oymQxTXg8/edit?gid=609491371#gid=609491371"",""Form responses 1!J:J""),
      IMPORTRANGE(""1kOrIKZmJfNUkgOVP3sI9BPjaaPA0_a4636oymQxTXg8/edit?gid=609491371#gid=609491371"&amp;""",""Form responses 1!F:F"")=$B247
    ),
    1
  ),
  ""Not Found""
)"),1955.0)</f>
        <v>1955</v>
      </c>
      <c r="F247" s="284" t="str">
        <f>IFERROR(__xludf.DUMMYFUNCTION("IFERROR(
  INDEX(
    FILTER(
      IMPORTRANGE(""1kOrIKZmJfNUkgOVP3sI9BPjaaPA0_a4636oymQxTXg8/edit?gid=609491371#gid=609491371"",""Form responses 1!L:L""),
      IMPORTRANGE(""1kOrIKZmJfNUkgOVP3sI9BPjaaPA0_a4636oymQxTXg8/edit?gid=609491371#gid=609491371"&amp;""",""Form responses 1!F:F"")=$B247
    ),
    1
  ),
  ""Not Found""
)"),"No")</f>
        <v>No</v>
      </c>
      <c r="G247" s="284" t="str">
        <f>IFERROR(__xludf.DUMMYFUNCTION("IFERROR(
  INDEX(
    FILTER(
      IMPORTRANGE(""1kOrIKZmJfNUkgOVP3sI9BPjaaPA0_a4636oymQxTXg8/edit?gid=609491371#gid=609491371"",""Form responses 1!K:K""),
      IMPORTRANGE(""1kOrIKZmJfNUkgOVP3sI9BPjaaPA0_a4636oymQxTXg8/edit?gid=609491371#gid=609491371"&amp;""",""Form responses 1!F:F"")=$B247
    ),
    1
  ),
  ""Not Found""
)"),"No")</f>
        <v>No</v>
      </c>
      <c r="H247" s="230"/>
      <c r="I247" s="343">
        <v>1955.0</v>
      </c>
      <c r="J247" s="344">
        <v>1955.0</v>
      </c>
      <c r="K247" s="340"/>
      <c r="L247" s="340"/>
      <c r="M247" s="230"/>
      <c r="N247" s="230"/>
      <c r="O247" s="230"/>
      <c r="P247" s="230"/>
      <c r="Q247" s="230"/>
      <c r="R247" s="230"/>
      <c r="S247" s="230"/>
      <c r="T247" s="230"/>
      <c r="U247" s="230"/>
      <c r="V247" s="230"/>
      <c r="W247" s="230"/>
      <c r="X247" s="230"/>
      <c r="Y247" s="230"/>
      <c r="Z247" s="230"/>
    </row>
    <row r="248">
      <c r="A248" s="337" t="str">
        <f>IFERROR(__xludf.DUMMYFUNCTION("VLOOKUP($B248,IMPORTRANGE(""https://docs.google.com/spreadsheets/d/1VNXDITjs75AcgdBSW27oL1VZH31udDprJSsBcE5xlp4/edit?gid=1551188038#gid=1551188038"", ""Sheet9!$B:$E""),2,false)"),"Faisalabad")</f>
        <v>Faisalabad</v>
      </c>
      <c r="B248" s="341" t="s">
        <v>3844</v>
      </c>
      <c r="C248" s="284" t="str">
        <f>IFERROR(__xludf.DUMMYFUNCTION("IFERROR(
  INDEX(
    FILTER(
      IMPORTRANGE(""1Cxrhp3-_-HS7v9uuqQliiIfrmMP4VaFoDNDWyUFy2J8/edit?gid=0#gid=0"",""Sheet1!AE:AE""),
      IMPORTRANGE(""1Cxrhp3-_-HS7v9uuqQliiIfrmMP4VaFoDNDWyUFy2J8/edit?gid=0#gid=0"",""Sheet1!K:K"")=$B248
    ),
    1
  )"&amp;",
  ""Not Found""
)"),"Not Found")</f>
        <v>Not Found</v>
      </c>
      <c r="D248" s="284"/>
      <c r="E248" s="284">
        <f>IFERROR(__xludf.DUMMYFUNCTION("IFERROR(
  INDEX(
    FILTER(
      IMPORTRANGE(""1kOrIKZmJfNUkgOVP3sI9BPjaaPA0_a4636oymQxTXg8/edit?gid=609491371#gid=609491371"",""Form responses 1!J:J""),
      IMPORTRANGE(""1kOrIKZmJfNUkgOVP3sI9BPjaaPA0_a4636oymQxTXg8/edit?gid=609491371#gid=609491371"&amp;""",""Form responses 1!F:F"")=$B248
    ),
    1
  ),
  ""Not Found""
)"),1962.0)</f>
        <v>1962</v>
      </c>
      <c r="F248" s="284" t="str">
        <f>IFERROR(__xludf.DUMMYFUNCTION("IFERROR(
  INDEX(
    FILTER(
      IMPORTRANGE(""1kOrIKZmJfNUkgOVP3sI9BPjaaPA0_a4636oymQxTXg8/edit?gid=609491371#gid=609491371"",""Form responses 1!L:L""),
      IMPORTRANGE(""1kOrIKZmJfNUkgOVP3sI9BPjaaPA0_a4636oymQxTXg8/edit?gid=609491371#gid=609491371"&amp;""",""Form responses 1!F:F"")=$B248
    ),
    1
  ),
  ""Not Found""
)"),"No")</f>
        <v>No</v>
      </c>
      <c r="G248" s="284" t="str">
        <f>IFERROR(__xludf.DUMMYFUNCTION("IFERROR(
  INDEX(
    FILTER(
      IMPORTRANGE(""1kOrIKZmJfNUkgOVP3sI9BPjaaPA0_a4636oymQxTXg8/edit?gid=609491371#gid=609491371"",""Form responses 1!K:K""),
      IMPORTRANGE(""1kOrIKZmJfNUkgOVP3sI9BPjaaPA0_a4636oymQxTXg8/edit?gid=609491371#gid=609491371"&amp;""",""Form responses 1!F:F"")=$B248
    ),
    1
  ),
  ""Not Found""
)"),"No")</f>
        <v>No</v>
      </c>
      <c r="H248" s="230"/>
      <c r="I248" s="343">
        <v>1962.0</v>
      </c>
      <c r="J248" s="344">
        <v>1962.0</v>
      </c>
      <c r="K248" s="340"/>
      <c r="L248" s="340"/>
      <c r="M248" s="230"/>
      <c r="N248" s="230"/>
      <c r="O248" s="230"/>
      <c r="P248" s="230"/>
      <c r="Q248" s="230"/>
      <c r="R248" s="230"/>
      <c r="S248" s="230"/>
      <c r="T248" s="230"/>
      <c r="U248" s="230"/>
      <c r="V248" s="230"/>
      <c r="W248" s="230"/>
      <c r="X248" s="230"/>
      <c r="Y248" s="230"/>
      <c r="Z248" s="230"/>
    </row>
    <row r="249">
      <c r="A249" s="337" t="str">
        <f>IFERROR(__xludf.DUMMYFUNCTION("VLOOKUP($B249,IMPORTRANGE(""https://docs.google.com/spreadsheets/d/1VNXDITjs75AcgdBSW27oL1VZH31udDprJSsBcE5xlp4/edit?gid=1551188038#gid=1551188038"", ""Sheet9!$B:$E""),2,false)"),"Faisalabad")</f>
        <v>Faisalabad</v>
      </c>
      <c r="B249" s="341" t="s">
        <v>4217</v>
      </c>
      <c r="C249" s="284">
        <f>IFERROR(__xludf.DUMMYFUNCTION("IFERROR(
  INDEX(
    FILTER(
      IMPORTRANGE(""1Cxrhp3-_-HS7v9uuqQliiIfrmMP4VaFoDNDWyUFy2J8/edit?gid=0#gid=0"",""Sheet1!AE:AE""),
      IMPORTRANGE(""1Cxrhp3-_-HS7v9uuqQliiIfrmMP4VaFoDNDWyUFy2J8/edit?gid=0#gid=0"",""Sheet1!K:K"")=$B249
    ),
    1
  )"&amp;",
  ""Not Found""
)"),1965.0)</f>
        <v>1965</v>
      </c>
      <c r="D249" s="284" t="str">
        <f>IFERROR(__xludf.DUMMYFUNCTION("IFERROR(
  INDEX(
    FILTER(
      IMPORTRANGE(""1Cxrhp3-_-HS7v9uuqQliiIfrmMP4VaFoDNDWyUFy2J8/edit?gid=0#gid=0"",""Sheet1!AG:AG""),
      IMPORTRANGE(""1Cxrhp3-_-HS7v9uuqQliiIfrmMP4VaFoDNDWyUFy2J8/edit?gid=0#gid=0"",""Sheet1!K:K"")=$B249
    ),
    1
  )"&amp;",
  ""Not Found""
)"),"")</f>
        <v/>
      </c>
      <c r="E249" s="284" t="str">
        <f>IFERROR(__xludf.DUMMYFUNCTION("IFERROR(
  INDEX(
    FILTER(
      IMPORTRANGE(""1kOrIKZmJfNUkgOVP3sI9BPjaaPA0_a4636oymQxTXg8/edit?gid=609491371#gid=609491371"",""Form responses 1!J:J""),
      IMPORTRANGE(""1kOrIKZmJfNUkgOVP3sI9BPjaaPA0_a4636oymQxTXg8/edit?gid=609491371#gid=609491371"&amp;""",""Form responses 1!F:F"")=$B249
    ),
    1
  ),
  ""Not Found""
)"),"-")</f>
        <v>-</v>
      </c>
      <c r="F249" s="284" t="str">
        <f>IFERROR(__xludf.DUMMYFUNCTION("IFERROR(
  INDEX(
    FILTER(
      IMPORTRANGE(""1kOrIKZmJfNUkgOVP3sI9BPjaaPA0_a4636oymQxTXg8/edit?gid=609491371#gid=609491371"",""Form responses 1!L:L""),
      IMPORTRANGE(""1kOrIKZmJfNUkgOVP3sI9BPjaaPA0_a4636oymQxTXg8/edit?gid=609491371#gid=609491371"&amp;""",""Form responses 1!F:F"")=$B249
    ),
    1
  ),
  ""Not Found""
)"),"no")</f>
        <v>no</v>
      </c>
      <c r="G249" s="284" t="str">
        <f>IFERROR(__xludf.DUMMYFUNCTION("IFERROR(
  INDEX(
    FILTER(
      IMPORTRANGE(""1kOrIKZmJfNUkgOVP3sI9BPjaaPA0_a4636oymQxTXg8/edit?gid=609491371#gid=609491371"",""Form responses 1!K:K""),
      IMPORTRANGE(""1kOrIKZmJfNUkgOVP3sI9BPjaaPA0_a4636oymQxTXg8/edit?gid=609491371#gid=609491371"&amp;""",""Form responses 1!F:F"")=$B249
    ),
    1
  ),
  ""Not Found""
)"),"No")</f>
        <v>No</v>
      </c>
      <c r="H249" s="230"/>
      <c r="I249" s="230">
        <v>1965.0</v>
      </c>
      <c r="J249" s="339">
        <f>IFERROR(__xludf.DUMMYFUNCTION("IFERROR(
  INDEX(
    FILTER(
      IMPORTRANGE(""1Cxrhp3-_-HS7v9uuqQliiIfrmMP4VaFoDNDWyUFy2J8/edit?gid=0#gid=0"",""Sheet1!AE:AE""),
      IMPORTRANGE(""1Cxrhp3-_-HS7v9uuqQliiIfrmMP4VaFoDNDWyUFy2J8/edit?gid=0#gid=0"",""Sheet1!K:K"")=$B249
    ),
    1
  )"&amp;",
  ""Not Found""
)"),1965.0)</f>
        <v>1965</v>
      </c>
      <c r="K249" s="340"/>
      <c r="L249" s="340"/>
      <c r="M249" s="230"/>
      <c r="N249" s="230"/>
      <c r="O249" s="230"/>
      <c r="P249" s="230"/>
      <c r="Q249" s="230"/>
      <c r="R249" s="230"/>
      <c r="S249" s="230"/>
      <c r="T249" s="230"/>
      <c r="U249" s="230"/>
      <c r="V249" s="230"/>
      <c r="W249" s="230"/>
      <c r="X249" s="230"/>
      <c r="Y249" s="230"/>
      <c r="Z249" s="230"/>
    </row>
    <row r="250">
      <c r="A250" s="337" t="str">
        <f>IFERROR(__xludf.DUMMYFUNCTION("VLOOKUP($B250,IMPORTRANGE(""https://docs.google.com/spreadsheets/d/1VNXDITjs75AcgdBSW27oL1VZH31udDprJSsBcE5xlp4/edit?gid=1551188038#gid=1551188038"", ""Sheet9!$B:$E""),2,false)"),"Faisalabad")</f>
        <v>Faisalabad</v>
      </c>
      <c r="B250" s="341" t="s">
        <v>3955</v>
      </c>
      <c r="C250" s="284" t="str">
        <f>IFERROR(__xludf.DUMMYFUNCTION("IFERROR(
  INDEX(
    FILTER(
      IMPORTRANGE(""1Cxrhp3-_-HS7v9uuqQliiIfrmMP4VaFoDNDWyUFy2J8/edit?gid=0#gid=0"",""Sheet1!AE:AE""),
      IMPORTRANGE(""1Cxrhp3-_-HS7v9uuqQliiIfrmMP4VaFoDNDWyUFy2J8/edit?gid=0#gid=0"",""Sheet1!K:K"")=$B250
    ),
    1
  )"&amp;",
  ""Not Found""
)"),"Not Found")</f>
        <v>Not Found</v>
      </c>
      <c r="D250" s="284"/>
      <c r="E250" s="284" t="str">
        <f>IFERROR(__xludf.DUMMYFUNCTION("IFERROR(
  INDEX(
    FILTER(
      IMPORTRANGE(""1kOrIKZmJfNUkgOVP3sI9BPjaaPA0_a4636oymQxTXg8/edit?gid=609491371#gid=609491371"",""Form responses 1!J:J""),
      IMPORTRANGE(""1kOrIKZmJfNUkgOVP3sI9BPjaaPA0_a4636oymQxTXg8/edit?gid=609491371#gid=609491371"&amp;""",""Form responses 1!F:F"")=$B250
    ),
    1
  ),
  ""Not Found""
)"),"-")</f>
        <v>-</v>
      </c>
      <c r="F250" s="284" t="str">
        <f>IFERROR(__xludf.DUMMYFUNCTION("IFERROR(
  INDEX(
    FILTER(
      IMPORTRANGE(""1kOrIKZmJfNUkgOVP3sI9BPjaaPA0_a4636oymQxTXg8/edit?gid=609491371#gid=609491371"",""Form responses 1!L:L""),
      IMPORTRANGE(""1kOrIKZmJfNUkgOVP3sI9BPjaaPA0_a4636oymQxTXg8/edit?gid=609491371#gid=609491371"&amp;""",""Form responses 1!F:F"")=$B250
    ),
    1
  ),
  ""Not Found""
)"),"NO")</f>
        <v>NO</v>
      </c>
      <c r="G250" s="284" t="str">
        <f>IFERROR(__xludf.DUMMYFUNCTION("IFERROR(
  INDEX(
    FILTER(
      IMPORTRANGE(""1kOrIKZmJfNUkgOVP3sI9BPjaaPA0_a4636oymQxTXg8/edit?gid=609491371#gid=609491371"",""Form responses 1!K:K""),
      IMPORTRANGE(""1kOrIKZmJfNUkgOVP3sI9BPjaaPA0_a4636oymQxTXg8/edit?gid=609491371#gid=609491371"&amp;""",""Form responses 1!F:F"")=$B250
    ),
    1
  ),
  ""Not Found""
)"),"No")</f>
        <v>No</v>
      </c>
      <c r="H250" s="230"/>
      <c r="I250" s="230"/>
      <c r="J250" s="339" t="str">
        <f>IFERROR(__xludf.DUMMYFUNCTION("IFERROR(
  INDEX(
    FILTER(
      IMPORTRANGE(""1Cxrhp3-_-HS7v9uuqQliiIfrmMP4VaFoDNDWyUFy2J8/edit?gid=0#gid=0"",""Sheet1!AE:AE""),
      IMPORTRANGE(""1Cxrhp3-_-HS7v9uuqQliiIfrmMP4VaFoDNDWyUFy2J8/edit?gid=0#gid=0"",""Sheet1!K:K"")=$B250
    ),
    1
  )"&amp;",
  ""Not Found""
)"),"Not Found")</f>
        <v>Not Found</v>
      </c>
      <c r="K250" s="340"/>
      <c r="L250" s="340"/>
      <c r="M250" s="230"/>
      <c r="N250" s="230"/>
      <c r="O250" s="230"/>
      <c r="P250" s="230"/>
      <c r="Q250" s="230"/>
      <c r="R250" s="230"/>
      <c r="S250" s="230"/>
      <c r="T250" s="230"/>
      <c r="U250" s="230"/>
      <c r="V250" s="230"/>
      <c r="W250" s="230"/>
      <c r="X250" s="230"/>
      <c r="Y250" s="230"/>
      <c r="Z250" s="230"/>
    </row>
    <row r="251">
      <c r="A251" s="337" t="str">
        <f>IFERROR(__xludf.DUMMYFUNCTION("VLOOKUP($B251,IMPORTRANGE(""https://docs.google.com/spreadsheets/d/1VNXDITjs75AcgdBSW27oL1VZH31udDprJSsBcE5xlp4/edit?gid=1551188038#gid=1551188038"", ""Sheet9!$B:$E""),2,false)"),"Faisalabad")</f>
        <v>Faisalabad</v>
      </c>
      <c r="B251" s="341" t="s">
        <v>4134</v>
      </c>
      <c r="C251" s="284">
        <f>IFERROR(__xludf.DUMMYFUNCTION("IFERROR(
  INDEX(
    FILTER(
      IMPORTRANGE(""1Cxrhp3-_-HS7v9uuqQliiIfrmMP4VaFoDNDWyUFy2J8/edit?gid=0#gid=0"",""Sheet1!AE:AE""),
      IMPORTRANGE(""1Cxrhp3-_-HS7v9uuqQliiIfrmMP4VaFoDNDWyUFy2J8/edit?gid=0#gid=0"",""Sheet1!K:K"")=$B251
    ),
    1
  )"&amp;",
  ""Not Found""
)"),1990.0)</f>
        <v>1990</v>
      </c>
      <c r="D251" s="284" t="str">
        <f>IFERROR(__xludf.DUMMYFUNCTION("IFERROR(
  INDEX(
    FILTER(
      IMPORTRANGE(""1Cxrhp3-_-HS7v9uuqQliiIfrmMP4VaFoDNDWyUFy2J8/edit?gid=0#gid=0"",""Sheet1!AG:AG""),
      IMPORTRANGE(""1Cxrhp3-_-HS7v9uuqQliiIfrmMP4VaFoDNDWyUFy2J8/edit?gid=0#gid=0"",""Sheet1!K:K"")=$B251
    ),
    1
  )"&amp;",
  ""Not Found""
)"),"")</f>
        <v/>
      </c>
      <c r="E251" s="284" t="str">
        <f>IFERROR(__xludf.DUMMYFUNCTION("IFERROR(
  INDEX(
    FILTER(
      IMPORTRANGE(""1kOrIKZmJfNUkgOVP3sI9BPjaaPA0_a4636oymQxTXg8/edit?gid=609491371#gid=609491371"",""Form responses 1!J:J""),
      IMPORTRANGE(""1kOrIKZmJfNUkgOVP3sI9BPjaaPA0_a4636oymQxTXg8/edit?gid=609491371#gid=609491371"&amp;""",""Form responses 1!F:F"")=$B251
    ),
    1
  ),
  ""Not Found""
)"),"-")</f>
        <v>-</v>
      </c>
      <c r="F251" s="284" t="str">
        <f>IFERROR(__xludf.DUMMYFUNCTION("IFERROR(
  INDEX(
    FILTER(
      IMPORTRANGE(""1kOrIKZmJfNUkgOVP3sI9BPjaaPA0_a4636oymQxTXg8/edit?gid=609491371#gid=609491371"",""Form responses 1!L:L""),
      IMPORTRANGE(""1kOrIKZmJfNUkgOVP3sI9BPjaaPA0_a4636oymQxTXg8/edit?gid=609491371#gid=609491371"&amp;""",""Form responses 1!F:F"")=$B251
    ),
    1
  ),
  ""Not Found""
)"),"No")</f>
        <v>No</v>
      </c>
      <c r="G251" s="284" t="str">
        <f>IFERROR(__xludf.DUMMYFUNCTION("IFERROR(
  INDEX(
    FILTER(
      IMPORTRANGE(""1kOrIKZmJfNUkgOVP3sI9BPjaaPA0_a4636oymQxTXg8/edit?gid=609491371#gid=609491371"",""Form responses 1!K:K""),
      IMPORTRANGE(""1kOrIKZmJfNUkgOVP3sI9BPjaaPA0_a4636oymQxTXg8/edit?gid=609491371#gid=609491371"&amp;""",""Form responses 1!F:F"")=$B251
    ),
    1
  ),
  ""Not Found""
)"),"No")</f>
        <v>No</v>
      </c>
      <c r="H251" s="230"/>
      <c r="I251" s="230">
        <v>1990.0</v>
      </c>
      <c r="J251" s="339">
        <f>IFERROR(__xludf.DUMMYFUNCTION("IFERROR(
  INDEX(
    FILTER(
      IMPORTRANGE(""1Cxrhp3-_-HS7v9uuqQliiIfrmMP4VaFoDNDWyUFy2J8/edit?gid=0#gid=0"",""Sheet1!AE:AE""),
      IMPORTRANGE(""1Cxrhp3-_-HS7v9uuqQliiIfrmMP4VaFoDNDWyUFy2J8/edit?gid=0#gid=0"",""Sheet1!K:K"")=$B251
    ),
    1
  )"&amp;",
  ""Not Found""
)"),1990.0)</f>
        <v>1990</v>
      </c>
      <c r="K251" s="340"/>
      <c r="L251" s="340"/>
      <c r="M251" s="230"/>
      <c r="N251" s="230"/>
      <c r="O251" s="230"/>
      <c r="P251" s="230"/>
      <c r="Q251" s="230"/>
      <c r="R251" s="230"/>
      <c r="S251" s="230"/>
      <c r="T251" s="230"/>
      <c r="U251" s="230"/>
      <c r="V251" s="230"/>
      <c r="W251" s="230"/>
      <c r="X251" s="230"/>
      <c r="Y251" s="230"/>
      <c r="Z251" s="230"/>
    </row>
    <row r="252">
      <c r="A252" s="337" t="str">
        <f>IFERROR(__xludf.DUMMYFUNCTION("VLOOKUP($B252,IMPORTRANGE(""https://docs.google.com/spreadsheets/d/1VNXDITjs75AcgdBSW27oL1VZH31udDprJSsBcE5xlp4/edit?gid=1551188038#gid=1551188038"", ""Sheet9!$B:$E""),2,false)"),"Faisalabad")</f>
        <v>Faisalabad</v>
      </c>
      <c r="B252" s="341" t="s">
        <v>4696</v>
      </c>
      <c r="C252" s="284">
        <f>IFERROR(__xludf.DUMMYFUNCTION("IFERROR(
  INDEX(
    FILTER(
      IMPORTRANGE(""1Cxrhp3-_-HS7v9uuqQliiIfrmMP4VaFoDNDWyUFy2J8/edit?gid=0#gid=0"",""Sheet1!AE:AE""),
      IMPORTRANGE(""1Cxrhp3-_-HS7v9uuqQliiIfrmMP4VaFoDNDWyUFy2J8/edit?gid=0#gid=0"",""Sheet1!K:K"")=$B252
    ),
    1
  )"&amp;",
  ""Not Found""
)"),1947.0)</f>
        <v>1947</v>
      </c>
      <c r="D252" s="284" t="str">
        <f>IFERROR(__xludf.DUMMYFUNCTION("IFERROR(
  INDEX(
    FILTER(
      IMPORTRANGE(""1Cxrhp3-_-HS7v9uuqQliiIfrmMP4VaFoDNDWyUFy2J8/edit?gid=0#gid=0"",""Sheet1!AG:AG""),
      IMPORTRANGE(""1Cxrhp3-_-HS7v9uuqQliiIfrmMP4VaFoDNDWyUFy2J8/edit?gid=0#gid=0"",""Sheet1!K:K"")=$B252
    ),
    1
  )"&amp;",
  ""Not Found""
)"),"Noor Shah Wali ")</f>
        <v>Noor Shah Wali </v>
      </c>
      <c r="E252" s="284">
        <f>IFERROR(__xludf.DUMMYFUNCTION("IFERROR(
  INDEX(
    FILTER(
      IMPORTRANGE(""1kOrIKZmJfNUkgOVP3sI9BPjaaPA0_a4636oymQxTXg8/edit?gid=609491371#gid=609491371"",""Form responses 1!J:J""),
      IMPORTRANGE(""1kOrIKZmJfNUkgOVP3sI9BPjaaPA0_a4636oymQxTXg8/edit?gid=609491371#gid=609491371"&amp;""",""Form responses 1!F:F"")=$B252
    ),
    1
  ),
  ""Not Found""
)"),1962.0)</f>
        <v>1962</v>
      </c>
      <c r="F252" s="284" t="str">
        <f>IFERROR(__xludf.DUMMYFUNCTION("IFERROR(
  INDEX(
    FILTER(
      IMPORTRANGE(""1kOrIKZmJfNUkgOVP3sI9BPjaaPA0_a4636oymQxTXg8/edit?gid=609491371#gid=609491371"",""Form responses 1!L:L""),
      IMPORTRANGE(""1kOrIKZmJfNUkgOVP3sI9BPjaaPA0_a4636oymQxTXg8/edit?gid=609491371#gid=609491371"&amp;""",""Form responses 1!F:F"")=$B252
    ),
    1
  ),
  ""Not Found""
)"),"Hazrat Baba Noor shah Wali RA")</f>
        <v>Hazrat Baba Noor shah Wali RA</v>
      </c>
      <c r="G252" s="284" t="str">
        <f>IFERROR(__xludf.DUMMYFUNCTION("IFERROR(
  INDEX(
    FILTER(
      IMPORTRANGE(""1kOrIKZmJfNUkgOVP3sI9BPjaaPA0_a4636oymQxTXg8/edit?gid=609491371#gid=609491371"",""Form responses 1!K:K""),
      IMPORTRANGE(""1kOrIKZmJfNUkgOVP3sI9BPjaaPA0_a4636oymQxTXg8/edit?gid=609491371#gid=609491371"&amp;""",""Form responses 1!F:F"")=$B252
    ),
    1
  ),
  ""Not Found""
)"),"No")</f>
        <v>No</v>
      </c>
      <c r="H252" s="230"/>
      <c r="I252" s="230">
        <v>1947.0</v>
      </c>
      <c r="J252" s="339">
        <f>IFERROR(__xludf.DUMMYFUNCTION("IFERROR(
  INDEX(
    FILTER(
      IMPORTRANGE(""1Cxrhp3-_-HS7v9uuqQliiIfrmMP4VaFoDNDWyUFy2J8/edit?gid=0#gid=0"",""Sheet1!AE:AE""),
      IMPORTRANGE(""1Cxrhp3-_-HS7v9uuqQliiIfrmMP4VaFoDNDWyUFy2J8/edit?gid=0#gid=0"",""Sheet1!K:K"")=$B252
    ),
    1
  )"&amp;",
  ""Not Found""
)"),1947.0)</f>
        <v>1947</v>
      </c>
      <c r="K252" s="340"/>
      <c r="L252" s="340"/>
      <c r="M252" s="230"/>
      <c r="N252" s="230"/>
      <c r="O252" s="230"/>
      <c r="P252" s="230"/>
      <c r="Q252" s="230"/>
      <c r="R252" s="230"/>
      <c r="S252" s="230"/>
      <c r="T252" s="230"/>
      <c r="U252" s="230"/>
      <c r="V252" s="230"/>
      <c r="W252" s="230"/>
      <c r="X252" s="230"/>
      <c r="Y252" s="230"/>
      <c r="Z252" s="230"/>
    </row>
    <row r="253">
      <c r="A253" s="337" t="str">
        <f>IFERROR(__xludf.DUMMYFUNCTION("VLOOKUP($B253,IMPORTRANGE(""https://docs.google.com/spreadsheets/d/1VNXDITjs75AcgdBSW27oL1VZH31udDprJSsBcE5xlp4/edit?gid=1551188038#gid=1551188038"", ""Sheet9!$B:$E""),2,false)"),"Faisalabad")</f>
        <v>Faisalabad</v>
      </c>
      <c r="B253" s="341" t="s">
        <v>3915</v>
      </c>
      <c r="C253" s="284">
        <f>IFERROR(__xludf.DUMMYFUNCTION("IFERROR(
  INDEX(
    FILTER(
      IMPORTRANGE(""1Cxrhp3-_-HS7v9uuqQliiIfrmMP4VaFoDNDWyUFy2J8/edit?gid=0#gid=0"",""Sheet1!AE:AE""),
      IMPORTRANGE(""1Cxrhp3-_-HS7v9uuqQliiIfrmMP4VaFoDNDWyUFy2J8/edit?gid=0#gid=0"",""Sheet1!K:K"")=$B253
    ),
    1
  )"&amp;",
  ""Not Found""
)"),1941.0)</f>
        <v>1941</v>
      </c>
      <c r="D253" s="284" t="str">
        <f>IFERROR(__xludf.DUMMYFUNCTION("IFERROR(
  INDEX(
    FILTER(
      IMPORTRANGE(""1Cxrhp3-_-HS7v9uuqQliiIfrmMP4VaFoDNDWyUFy2J8/edit?gid=0#gid=0"",""Sheet1!AG:AG""),
      IMPORTRANGE(""1Cxrhp3-_-HS7v9uuqQliiIfrmMP4VaFoDNDWyUFy2J8/edit?gid=0#gid=0"",""Sheet1!K:K"")=$B253
    ),
    1
  )"&amp;",
  ""Not Found""
)"),"")</f>
        <v/>
      </c>
      <c r="E253" s="284">
        <f>IFERROR(__xludf.DUMMYFUNCTION("IFERROR(
  INDEX(
    FILTER(
      IMPORTRANGE(""1kOrIKZmJfNUkgOVP3sI9BPjaaPA0_a4636oymQxTXg8/edit?gid=609491371#gid=609491371"",""Form responses 1!J:J""),
      IMPORTRANGE(""1kOrIKZmJfNUkgOVP3sI9BPjaaPA0_a4636oymQxTXg8/edit?gid=609491371#gid=609491371"&amp;""",""Form responses 1!F:F"")=$B253
    ),
    1
  ),
  ""Not Found""
)"),1941.0)</f>
        <v>1941</v>
      </c>
      <c r="F253" s="284" t="str">
        <f>IFERROR(__xludf.DUMMYFUNCTION("IFERROR(
  INDEX(
    FILTER(
      IMPORTRANGE(""1kOrIKZmJfNUkgOVP3sI9BPjaaPA0_a4636oymQxTXg8/edit?gid=609491371#gid=609491371"",""Form responses 1!L:L""),
      IMPORTRANGE(""1kOrIKZmJfNUkgOVP3sI9BPjaaPA0_a4636oymQxTXg8/edit?gid=609491371#gid=609491371"&amp;""",""Form responses 1!F:F"")=$B253
    ),
    1
  ),
  ""Not Found""
)"),"No")</f>
        <v>No</v>
      </c>
      <c r="G253" s="284" t="str">
        <f>IFERROR(__xludf.DUMMYFUNCTION("IFERROR(
  INDEX(
    FILTER(
      IMPORTRANGE(""1kOrIKZmJfNUkgOVP3sI9BPjaaPA0_a4636oymQxTXg8/edit?gid=609491371#gid=609491371"",""Form responses 1!K:K""),
      IMPORTRANGE(""1kOrIKZmJfNUkgOVP3sI9BPjaaPA0_a4636oymQxTXg8/edit?gid=609491371#gid=609491371"&amp;""",""Form responses 1!F:F"")=$B253
    ),
    1
  ),
  ""Not Found""
)"),"No")</f>
        <v>No</v>
      </c>
      <c r="H253" s="230"/>
      <c r="I253" s="230">
        <v>1941.0</v>
      </c>
      <c r="J253" s="339">
        <f>IFERROR(__xludf.DUMMYFUNCTION("IFERROR(
  INDEX(
    FILTER(
      IMPORTRANGE(""1Cxrhp3-_-HS7v9uuqQliiIfrmMP4VaFoDNDWyUFy2J8/edit?gid=0#gid=0"",""Sheet1!AE:AE""),
      IMPORTRANGE(""1Cxrhp3-_-HS7v9uuqQliiIfrmMP4VaFoDNDWyUFy2J8/edit?gid=0#gid=0"",""Sheet1!K:K"")=$B253
    ),
    1
  )"&amp;",
  ""Not Found""
)"),1941.0)</f>
        <v>1941</v>
      </c>
      <c r="K253" s="340"/>
      <c r="L253" s="340"/>
      <c r="M253" s="230"/>
      <c r="N253" s="230"/>
      <c r="O253" s="230"/>
      <c r="P253" s="230"/>
      <c r="Q253" s="230"/>
      <c r="R253" s="230"/>
      <c r="S253" s="230"/>
      <c r="T253" s="230"/>
      <c r="U253" s="230"/>
      <c r="V253" s="230"/>
      <c r="W253" s="230"/>
      <c r="X253" s="230"/>
      <c r="Y253" s="230"/>
      <c r="Z253" s="230"/>
    </row>
    <row r="254">
      <c r="A254" s="337" t="str">
        <f>IFERROR(__xludf.DUMMYFUNCTION("VLOOKUP($B254,IMPORTRANGE(""https://docs.google.com/spreadsheets/d/1VNXDITjs75AcgdBSW27oL1VZH31udDprJSsBcE5xlp4/edit?gid=1551188038#gid=1551188038"", ""Sheet9!$B:$E""),2,false)"),"Faisalabad")</f>
        <v>Faisalabad</v>
      </c>
      <c r="B254" s="341" t="s">
        <v>4279</v>
      </c>
      <c r="C254" s="284">
        <f>IFERROR(__xludf.DUMMYFUNCTION("IFERROR(
  INDEX(
    FILTER(
      IMPORTRANGE(""1Cxrhp3-_-HS7v9uuqQliiIfrmMP4VaFoDNDWyUFy2J8/edit?gid=0#gid=0"",""Sheet1!AE:AE""),
      IMPORTRANGE(""1Cxrhp3-_-HS7v9uuqQliiIfrmMP4VaFoDNDWyUFy2J8/edit?gid=0#gid=0"",""Sheet1!K:K"")=$B254
    ),
    1
  )"&amp;",
  ""Not Found""
)"),2000.0)</f>
        <v>2000</v>
      </c>
      <c r="D254" s="284" t="str">
        <f>IFERROR(__xludf.DUMMYFUNCTION("IFERROR(
  INDEX(
    FILTER(
      IMPORTRANGE(""1Cxrhp3-_-HS7v9uuqQliiIfrmMP4VaFoDNDWyUFy2J8/edit?gid=0#gid=0"",""Sheet1!AG:AG""),
      IMPORTRANGE(""1Cxrhp3-_-HS7v9uuqQliiIfrmMP4VaFoDNDWyUFy2J8/edit?gid=0#gid=0"",""Sheet1!K:K"")=$B254
    ),
    1
  )"&amp;",
  ""Not Found""
)"),"")</f>
        <v/>
      </c>
      <c r="E254" s="284" t="str">
        <f>IFERROR(__xludf.DUMMYFUNCTION("IFERROR(
  INDEX(
    FILTER(
      IMPORTRANGE(""1kOrIKZmJfNUkgOVP3sI9BPjaaPA0_a4636oymQxTXg8/edit?gid=609491371#gid=609491371"",""Form responses 1!J:J""),
      IMPORTRANGE(""1kOrIKZmJfNUkgOVP3sI9BPjaaPA0_a4636oymQxTXg8/edit?gid=609491371#gid=609491371"&amp;""",""Form responses 1!F:F"")=$B254
    ),
    1
  ),
  ""Not Found""
)"),"Not Found")</f>
        <v>Not Found</v>
      </c>
      <c r="F254" s="284" t="str">
        <f>IFERROR(__xludf.DUMMYFUNCTION("IFERROR(
  INDEX(
    FILTER(
      IMPORTRANGE(""1kOrIKZmJfNUkgOVP3sI9BPjaaPA0_a4636oymQxTXg8/edit?gid=609491371#gid=609491371"",""Form responses 1!L:L""),
      IMPORTRANGE(""1kOrIKZmJfNUkgOVP3sI9BPjaaPA0_a4636oymQxTXg8/edit?gid=609491371#gid=609491371"&amp;""",""Form responses 1!F:F"")=$B254
    ),
    1
  ),
  ""Not Found""
)"),"Not Found")</f>
        <v>Not Found</v>
      </c>
      <c r="G254" s="284"/>
      <c r="H254" s="230"/>
      <c r="I254" s="343">
        <v>2000.0</v>
      </c>
      <c r="J254" s="344">
        <v>2000.0</v>
      </c>
      <c r="K254" s="340"/>
      <c r="L254" s="340"/>
      <c r="M254" s="230"/>
      <c r="N254" s="230"/>
      <c r="O254" s="230"/>
      <c r="P254" s="230"/>
      <c r="Q254" s="230"/>
      <c r="R254" s="230"/>
      <c r="S254" s="230"/>
      <c r="T254" s="230"/>
      <c r="U254" s="230"/>
      <c r="V254" s="230"/>
      <c r="W254" s="230"/>
      <c r="X254" s="230"/>
      <c r="Y254" s="230"/>
      <c r="Z254" s="230"/>
    </row>
    <row r="255">
      <c r="A255" s="337" t="str">
        <f>IFERROR(__xludf.DUMMYFUNCTION("VLOOKUP($B255,IMPORTRANGE(""https://docs.google.com/spreadsheets/d/1VNXDITjs75AcgdBSW27oL1VZH31udDprJSsBcE5xlp4/edit?gid=1551188038#gid=1551188038"", ""Sheet9!$B:$E""),2,false)"),"Faisalabad")</f>
        <v>Faisalabad</v>
      </c>
      <c r="B255" s="341" t="s">
        <v>4022</v>
      </c>
      <c r="C255" s="284">
        <f>IFERROR(__xludf.DUMMYFUNCTION("IFERROR(
  INDEX(
    FILTER(
      IMPORTRANGE(""1Cxrhp3-_-HS7v9uuqQliiIfrmMP4VaFoDNDWyUFy2J8/edit?gid=0#gid=0"",""Sheet1!AE:AE""),
      IMPORTRANGE(""1Cxrhp3-_-HS7v9uuqQliiIfrmMP4VaFoDNDWyUFy2J8/edit?gid=0#gid=0"",""Sheet1!K:K"")=$B255
    ),
    1
  )"&amp;",
  ""Not Found""
)"),1850.0)</f>
        <v>1850</v>
      </c>
      <c r="D255" s="284" t="str">
        <f>IFERROR(__xludf.DUMMYFUNCTION("IFERROR(
  INDEX(
    FILTER(
      IMPORTRANGE(""1Cxrhp3-_-HS7v9uuqQliiIfrmMP4VaFoDNDWyUFy2J8/edit?gid=0#gid=0"",""Sheet1!AG:AG""),
      IMPORTRANGE(""1Cxrhp3-_-HS7v9uuqQliiIfrmMP4VaFoDNDWyUFy2J8/edit?gid=0#gid=0"",""Sheet1!K:K"")=$B255
    ),
    1
  )"&amp;",
  ""Not Found""
)"),"")</f>
        <v/>
      </c>
      <c r="E255" s="284" t="str">
        <f>IFERROR(__xludf.DUMMYFUNCTION("IFERROR(
  INDEX(
    FILTER(
      IMPORTRANGE(""1kOrIKZmJfNUkgOVP3sI9BPjaaPA0_a4636oymQxTXg8/edit?gid=609491371#gid=609491371"",""Form responses 1!J:J""),
      IMPORTRANGE(""1kOrIKZmJfNUkgOVP3sI9BPjaaPA0_a4636oymQxTXg8/edit?gid=609491371#gid=609491371"&amp;""",""Form responses 1!F:F"")=$B255
    ),
    1
  ),
  ""Not Found""
)"),"Not Found")</f>
        <v>Not Found</v>
      </c>
      <c r="F255" s="284" t="str">
        <f>IFERROR(__xludf.DUMMYFUNCTION("IFERROR(
  INDEX(
    FILTER(
      IMPORTRANGE(""1kOrIKZmJfNUkgOVP3sI9BPjaaPA0_a4636oymQxTXg8/edit?gid=609491371#gid=609491371"",""Form responses 1!L:L""),
      IMPORTRANGE(""1kOrIKZmJfNUkgOVP3sI9BPjaaPA0_a4636oymQxTXg8/edit?gid=609491371#gid=609491371"&amp;""",""Form responses 1!F:F"")=$B255
    ),
    1
  ),
  ""Not Found""
)"),"Not Found")</f>
        <v>Not Found</v>
      </c>
      <c r="G255" s="284"/>
      <c r="H255" s="230"/>
      <c r="I255" s="230">
        <v>1850.0</v>
      </c>
      <c r="J255" s="339">
        <f>IFERROR(__xludf.DUMMYFUNCTION("IFERROR(
  INDEX(
    FILTER(
      IMPORTRANGE(""1Cxrhp3-_-HS7v9uuqQliiIfrmMP4VaFoDNDWyUFy2J8/edit?gid=0#gid=0"",""Sheet1!AE:AE""),
      IMPORTRANGE(""1Cxrhp3-_-HS7v9uuqQliiIfrmMP4VaFoDNDWyUFy2J8/edit?gid=0#gid=0"",""Sheet1!K:K"")=$B255
    ),
    1
  )"&amp;",
  ""Not Found""
)"),1850.0)</f>
        <v>1850</v>
      </c>
      <c r="K255" s="340"/>
      <c r="L255" s="340"/>
      <c r="M255" s="230"/>
      <c r="N255" s="230"/>
      <c r="O255" s="230"/>
      <c r="P255" s="230"/>
      <c r="Q255" s="230"/>
      <c r="R255" s="230"/>
      <c r="S255" s="230"/>
      <c r="T255" s="230"/>
      <c r="U255" s="230"/>
      <c r="V255" s="230"/>
      <c r="W255" s="230"/>
      <c r="X255" s="230"/>
      <c r="Y255" s="230"/>
      <c r="Z255" s="230"/>
    </row>
    <row r="256">
      <c r="A256" s="337" t="str">
        <f>IFERROR(__xludf.DUMMYFUNCTION("VLOOKUP($B256,IMPORTRANGE(""https://docs.google.com/spreadsheets/d/1VNXDITjs75AcgdBSW27oL1VZH31udDprJSsBcE5xlp4/edit?gid=1551188038#gid=1551188038"", ""Sheet9!$B:$E""),2,false)"),"Faisalabad")</f>
        <v>Faisalabad</v>
      </c>
      <c r="B256" s="341" t="s">
        <v>4697</v>
      </c>
      <c r="C256" s="284">
        <f>IFERROR(__xludf.DUMMYFUNCTION("IFERROR(
  INDEX(
    FILTER(
      IMPORTRANGE(""1Cxrhp3-_-HS7v9uuqQliiIfrmMP4VaFoDNDWyUFy2J8/edit?gid=0#gid=0"",""Sheet1!AE:AE""),
      IMPORTRANGE(""1Cxrhp3-_-HS7v9uuqQliiIfrmMP4VaFoDNDWyUFy2J8/edit?gid=0#gid=0"",""Sheet1!K:K"")=$B256
    ),
    1
  )"&amp;",
  ""Not Found""
)"),1986.0)</f>
        <v>1986</v>
      </c>
      <c r="D256" s="284" t="str">
        <f>IFERROR(__xludf.DUMMYFUNCTION("IFERROR(
  INDEX(
    FILTER(
      IMPORTRANGE(""1Cxrhp3-_-HS7v9uuqQliiIfrmMP4VaFoDNDWyUFy2J8/edit?gid=0#gid=0"",""Sheet1!AG:AG""),
      IMPORTRANGE(""1Cxrhp3-_-HS7v9uuqQliiIfrmMP4VaFoDNDWyUFy2J8/edit?gid=0#gid=0"",""Sheet1!K:K"")=$B256
    ),
    1
  )"&amp;",
  ""Not Found""
)"),"Rang Wali Sarkar ")</f>
        <v>Rang Wali Sarkar </v>
      </c>
      <c r="E256" s="284" t="str">
        <f>IFERROR(__xludf.DUMMYFUNCTION("IFERROR(
  INDEX(
    FILTER(
      IMPORTRANGE(""1kOrIKZmJfNUkgOVP3sI9BPjaaPA0_a4636oymQxTXg8/edit?gid=609491371#gid=609491371"",""Form responses 1!J:J""),
      IMPORTRANGE(""1kOrIKZmJfNUkgOVP3sI9BPjaaPA0_a4636oymQxTXg8/edit?gid=609491371#gid=609491371"&amp;""",""Form responses 1!F:F"")=$B256
    ),
    1
  ),
  ""Not Found""
)"),"rebuilt 2021")</f>
        <v>rebuilt 2021</v>
      </c>
      <c r="F256" s="284" t="str">
        <f>IFERROR(__xludf.DUMMYFUNCTION("IFERROR(
  INDEX(
    FILTER(
      IMPORTRANGE(""1kOrIKZmJfNUkgOVP3sI9BPjaaPA0_a4636oymQxTXg8/edit?gid=609491371#gid=609491371"",""Form responses 1!L:L""),
      IMPORTRANGE(""1kOrIKZmJfNUkgOVP3sI9BPjaaPA0_a4636oymQxTXg8/edit?gid=609491371#gid=609491371"&amp;""",""Form responses 1!F:F"")=$B256
    ),
    1
  ),
  ""Not Found""
)"),"Hazrat Baba rung Ali sarkar RA")</f>
        <v>Hazrat Baba rung Ali sarkar RA</v>
      </c>
      <c r="G256" s="284" t="str">
        <f>IFERROR(__xludf.DUMMYFUNCTION("IFERROR(
  INDEX(
    FILTER(
      IMPORTRANGE(""1kOrIKZmJfNUkgOVP3sI9BPjaaPA0_a4636oymQxTXg8/edit?gid=609491371#gid=609491371"",""Form responses 1!K:K""),
      IMPORTRANGE(""1kOrIKZmJfNUkgOVP3sI9BPjaaPA0_a4636oymQxTXg8/edit?gid=609491371#gid=609491371"&amp;""",""Form responses 1!F:F"")=$B256
    ),
    1
  ),
  ""Not Found""
)"),"No")</f>
        <v>No</v>
      </c>
      <c r="H256" s="230"/>
      <c r="I256" s="230">
        <v>1986.0</v>
      </c>
      <c r="J256" s="339">
        <f>IFERROR(__xludf.DUMMYFUNCTION("IFERROR(
  INDEX(
    FILTER(
      IMPORTRANGE(""1Cxrhp3-_-HS7v9uuqQliiIfrmMP4VaFoDNDWyUFy2J8/edit?gid=0#gid=0"",""Sheet1!AE:AE""),
      IMPORTRANGE(""1Cxrhp3-_-HS7v9uuqQliiIfrmMP4VaFoDNDWyUFy2J8/edit?gid=0#gid=0"",""Sheet1!K:K"")=$B256
    ),
    1
  )"&amp;",
  ""Not Found""
)"),1986.0)</f>
        <v>1986</v>
      </c>
      <c r="K256" s="340"/>
      <c r="L256" s="340"/>
      <c r="M256" s="230"/>
      <c r="N256" s="230"/>
      <c r="O256" s="230"/>
      <c r="P256" s="230"/>
      <c r="Q256" s="230"/>
      <c r="R256" s="230"/>
      <c r="S256" s="230"/>
      <c r="T256" s="230"/>
      <c r="U256" s="230"/>
      <c r="V256" s="230"/>
      <c r="W256" s="230"/>
      <c r="X256" s="230"/>
      <c r="Y256" s="230"/>
      <c r="Z256" s="230"/>
    </row>
    <row r="257">
      <c r="A257" s="337" t="str">
        <f>IFERROR(__xludf.DUMMYFUNCTION("VLOOKUP($B257,IMPORTRANGE(""https://docs.google.com/spreadsheets/d/1VNXDITjs75AcgdBSW27oL1VZH31udDprJSsBcE5xlp4/edit?gid=1551188038#gid=1551188038"", ""Sheet9!$B:$E""),2,false)"),"Faisalabad")</f>
        <v>Faisalabad</v>
      </c>
      <c r="B257" s="341" t="s">
        <v>3920</v>
      </c>
      <c r="C257" s="284">
        <f>IFERROR(__xludf.DUMMYFUNCTION("IFERROR(
  INDEX(
    FILTER(
      IMPORTRANGE(""1Cxrhp3-_-HS7v9uuqQliiIfrmMP4VaFoDNDWyUFy2J8/edit?gid=0#gid=0"",""Sheet1!AE:AE""),
      IMPORTRANGE(""1Cxrhp3-_-HS7v9uuqQliiIfrmMP4VaFoDNDWyUFy2J8/edit?gid=0#gid=0"",""Sheet1!K:K"")=$B257
    ),
    1
  )"&amp;",
  ""Not Found""
)"),1960.0)</f>
        <v>1960</v>
      </c>
      <c r="D257" s="284" t="str">
        <f>IFERROR(__xludf.DUMMYFUNCTION("IFERROR(
  INDEX(
    FILTER(
      IMPORTRANGE(""1Cxrhp3-_-HS7v9uuqQliiIfrmMP4VaFoDNDWyUFy2J8/edit?gid=0#gid=0"",""Sheet1!AG:AG""),
      IMPORTRANGE(""1Cxrhp3-_-HS7v9uuqQliiIfrmMP4VaFoDNDWyUFy2J8/edit?gid=0#gid=0"",""Sheet1!K:K"")=$B257
    ),
    1
  )"&amp;",
  ""Not Found""
)"),"")</f>
        <v/>
      </c>
      <c r="E257" s="284">
        <f>IFERROR(__xludf.DUMMYFUNCTION("IFERROR(
  INDEX(
    FILTER(
      IMPORTRANGE(""1kOrIKZmJfNUkgOVP3sI9BPjaaPA0_a4636oymQxTXg8/edit?gid=609491371#gid=609491371"",""Form responses 1!J:J""),
      IMPORTRANGE(""1kOrIKZmJfNUkgOVP3sI9BPjaaPA0_a4636oymQxTXg8/edit?gid=609491371#gid=609491371"&amp;""",""Form responses 1!F:F"")=$B257
    ),
    1
  ),
  ""Not Found""
)"),1977.0)</f>
        <v>1977</v>
      </c>
      <c r="F257" s="284" t="str">
        <f>IFERROR(__xludf.DUMMYFUNCTION("IFERROR(
  INDEX(
    FILTER(
      IMPORTRANGE(""1kOrIKZmJfNUkgOVP3sI9BPjaaPA0_a4636oymQxTXg8/edit?gid=609491371#gid=609491371"",""Form responses 1!L:L""),
      IMPORTRANGE(""1kOrIKZmJfNUkgOVP3sI9BPjaaPA0_a4636oymQxTXg8/edit?gid=609491371#gid=609491371"&amp;""",""Form responses 1!F:F"")=$B257
    ),
    1
  ),
  ""Not Found""
)"),"No")</f>
        <v>No</v>
      </c>
      <c r="G257" s="284" t="str">
        <f>IFERROR(__xludf.DUMMYFUNCTION("IFERROR(
  INDEX(
    FILTER(
      IMPORTRANGE(""1kOrIKZmJfNUkgOVP3sI9BPjaaPA0_a4636oymQxTXg8/edit?gid=609491371#gid=609491371"",""Form responses 1!K:K""),
      IMPORTRANGE(""1kOrIKZmJfNUkgOVP3sI9BPjaaPA0_a4636oymQxTXg8/edit?gid=609491371#gid=609491371"&amp;""",""Form responses 1!F:F"")=$B257
    ),
    1
  ),
  ""Not Found""
)"),"No")</f>
        <v>No</v>
      </c>
      <c r="H257" s="230"/>
      <c r="I257" s="230">
        <v>1960.0</v>
      </c>
      <c r="J257" s="339">
        <f>IFERROR(__xludf.DUMMYFUNCTION("IFERROR(
  INDEX(
    FILTER(
      IMPORTRANGE(""1Cxrhp3-_-HS7v9uuqQliiIfrmMP4VaFoDNDWyUFy2J8/edit?gid=0#gid=0"",""Sheet1!AE:AE""),
      IMPORTRANGE(""1Cxrhp3-_-HS7v9uuqQliiIfrmMP4VaFoDNDWyUFy2J8/edit?gid=0#gid=0"",""Sheet1!K:K"")=$B257
    ),
    1
  )"&amp;",
  ""Not Found""
)"),1960.0)</f>
        <v>1960</v>
      </c>
      <c r="K257" s="340"/>
      <c r="L257" s="340"/>
      <c r="M257" s="230"/>
      <c r="N257" s="230"/>
      <c r="O257" s="230"/>
      <c r="P257" s="230"/>
      <c r="Q257" s="230"/>
      <c r="R257" s="230"/>
      <c r="S257" s="230"/>
      <c r="T257" s="230"/>
      <c r="U257" s="230"/>
      <c r="V257" s="230"/>
      <c r="W257" s="230"/>
      <c r="X257" s="230"/>
      <c r="Y257" s="230"/>
      <c r="Z257" s="230"/>
    </row>
    <row r="258">
      <c r="A258" s="337" t="str">
        <f>IFERROR(__xludf.DUMMYFUNCTION("VLOOKUP($B258,IMPORTRANGE(""https://docs.google.com/spreadsheets/d/1VNXDITjs75AcgdBSW27oL1VZH31udDprJSsBcE5xlp4/edit?gid=1551188038#gid=1551188038"", ""Sheet9!$B:$E""),2,false)"),"Faisalabad")</f>
        <v>Faisalabad</v>
      </c>
      <c r="B258" s="341" t="s">
        <v>3977</v>
      </c>
      <c r="C258" s="284">
        <f>IFERROR(__xludf.DUMMYFUNCTION("IFERROR(
  INDEX(
    FILTER(
      IMPORTRANGE(""1Cxrhp3-_-HS7v9uuqQliiIfrmMP4VaFoDNDWyUFy2J8/edit?gid=0#gid=0"",""Sheet1!AE:AE""),
      IMPORTRANGE(""1Cxrhp3-_-HS7v9uuqQliiIfrmMP4VaFoDNDWyUFy2J8/edit?gid=0#gid=0"",""Sheet1!K:K"")=$B258
    ),
    1
  )"&amp;",
  ""Not Found""
)"),1955.0)</f>
        <v>1955</v>
      </c>
      <c r="D258" s="284" t="str">
        <f>IFERROR(__xludf.DUMMYFUNCTION("IFERROR(
  INDEX(
    FILTER(
      IMPORTRANGE(""1Cxrhp3-_-HS7v9uuqQliiIfrmMP4VaFoDNDWyUFy2J8/edit?gid=0#gid=0"",""Sheet1!AG:AG""),
      IMPORTRANGE(""1Cxrhp3-_-HS7v9uuqQliiIfrmMP4VaFoDNDWyUFy2J8/edit?gid=0#gid=0"",""Sheet1!K:K"")=$B258
    ),
    1
  )"&amp;",
  ""Not Found""
)"),"")</f>
        <v/>
      </c>
      <c r="E258" s="284">
        <f>IFERROR(__xludf.DUMMYFUNCTION("IFERROR(
  INDEX(
    FILTER(
      IMPORTRANGE(""1kOrIKZmJfNUkgOVP3sI9BPjaaPA0_a4636oymQxTXg8/edit?gid=609491371#gid=609491371"",""Form responses 1!J:J""),
      IMPORTRANGE(""1kOrIKZmJfNUkgOVP3sI9BPjaaPA0_a4636oymQxTXg8/edit?gid=609491371#gid=609491371"&amp;""",""Form responses 1!F:F"")=$B258
    ),
    1
  ),
  ""Not Found""
)"),1980.0)</f>
        <v>1980</v>
      </c>
      <c r="F258" s="284" t="str">
        <f>IFERROR(__xludf.DUMMYFUNCTION("IFERROR(
  INDEX(
    FILTER(
      IMPORTRANGE(""1kOrIKZmJfNUkgOVP3sI9BPjaaPA0_a4636oymQxTXg8/edit?gid=609491371#gid=609491371"",""Form responses 1!L:L""),
      IMPORTRANGE(""1kOrIKZmJfNUkgOVP3sI9BPjaaPA0_a4636oymQxTXg8/edit?gid=609491371#gid=609491371"&amp;""",""Form responses 1!F:F"")=$B258
    ),
    1
  ),
  ""Not Found""
)"),"No")</f>
        <v>No</v>
      </c>
      <c r="G258" s="284" t="str">
        <f>IFERROR(__xludf.DUMMYFUNCTION("IFERROR(
  INDEX(
    FILTER(
      IMPORTRANGE(""1kOrIKZmJfNUkgOVP3sI9BPjaaPA0_a4636oymQxTXg8/edit?gid=609491371#gid=609491371"",""Form responses 1!K:K""),
      IMPORTRANGE(""1kOrIKZmJfNUkgOVP3sI9BPjaaPA0_a4636oymQxTXg8/edit?gid=609491371#gid=609491371"&amp;""",""Form responses 1!F:F"")=$B258
    ),
    1
  ),
  ""Not Found""
)"),"No")</f>
        <v>No</v>
      </c>
      <c r="H258" s="230"/>
      <c r="I258" s="230">
        <v>1955.0</v>
      </c>
      <c r="J258" s="339">
        <f>IFERROR(__xludf.DUMMYFUNCTION("IFERROR(
  INDEX(
    FILTER(
      IMPORTRANGE(""1Cxrhp3-_-HS7v9uuqQliiIfrmMP4VaFoDNDWyUFy2J8/edit?gid=0#gid=0"",""Sheet1!AE:AE""),
      IMPORTRANGE(""1Cxrhp3-_-HS7v9uuqQliiIfrmMP4VaFoDNDWyUFy2J8/edit?gid=0#gid=0"",""Sheet1!K:K"")=$B258
    ),
    1
  )"&amp;",
  ""Not Found""
)"),1955.0)</f>
        <v>1955</v>
      </c>
      <c r="K258" s="340"/>
      <c r="L258" s="340"/>
      <c r="M258" s="230"/>
      <c r="N258" s="230"/>
      <c r="O258" s="230"/>
      <c r="P258" s="230"/>
      <c r="Q258" s="230"/>
      <c r="R258" s="230"/>
      <c r="S258" s="230"/>
      <c r="T258" s="230"/>
      <c r="U258" s="230"/>
      <c r="V258" s="230"/>
      <c r="W258" s="230"/>
      <c r="X258" s="230"/>
      <c r="Y258" s="230"/>
      <c r="Z258" s="230"/>
    </row>
    <row r="259">
      <c r="A259" s="337" t="str">
        <f>IFERROR(__xludf.DUMMYFUNCTION("VLOOKUP($B259,IMPORTRANGE(""https://docs.google.com/spreadsheets/d/1VNXDITjs75AcgdBSW27oL1VZH31udDprJSsBcE5xlp4/edit?gid=1551188038#gid=1551188038"", ""Sheet9!$B:$E""),2,false)"),"Faisalabad")</f>
        <v>Faisalabad</v>
      </c>
      <c r="B259" s="341" t="s">
        <v>4698</v>
      </c>
      <c r="C259" s="284">
        <f>IFERROR(__xludf.DUMMYFUNCTION("IFERROR(
  INDEX(
    FILTER(
      IMPORTRANGE(""1Cxrhp3-_-HS7v9uuqQliiIfrmMP4VaFoDNDWyUFy2J8/edit?gid=0#gid=0"",""Sheet1!AE:AE""),
      IMPORTRANGE(""1Cxrhp3-_-HS7v9uuqQliiIfrmMP4VaFoDNDWyUFy2J8/edit?gid=0#gid=0"",""Sheet1!K:K"")=$B259
    ),
    1
  )"&amp;",
  ""Not Found""
)"),1980.0)</f>
        <v>1980</v>
      </c>
      <c r="D259" s="284" t="str">
        <f>IFERROR(__xludf.DUMMYFUNCTION("IFERROR(
  INDEX(
    FILTER(
      IMPORTRANGE(""1Cxrhp3-_-HS7v9uuqQliiIfrmMP4VaFoDNDWyUFy2J8/edit?gid=0#gid=0"",""Sheet1!AG:AG""),
      IMPORTRANGE(""1Cxrhp3-_-HS7v9uuqQliiIfrmMP4VaFoDNDWyUFy2J8/edit?gid=0#gid=0"",""Sheet1!K:K"")=$B259
    ),
    1
  )"&amp;",
  ""Not Found""
)"),"")</f>
        <v/>
      </c>
      <c r="E259" s="284" t="str">
        <f>IFERROR(__xludf.DUMMYFUNCTION("IFERROR(
  INDEX(
    FILTER(
      IMPORTRANGE(""1kOrIKZmJfNUkgOVP3sI9BPjaaPA0_a4636oymQxTXg8/edit?gid=609491371#gid=609491371"",""Form responses 1!J:J""),
      IMPORTRANGE(""1kOrIKZmJfNUkgOVP3sI9BPjaaPA0_a4636oymQxTXg8/edit?gid=609491371#gid=609491371"&amp;""",""Form responses 1!F:F"")=$B259
    ),
    1
  ),
  ""Not Found""
)"),"-")</f>
        <v>-</v>
      </c>
      <c r="F259" s="284" t="str">
        <f>IFERROR(__xludf.DUMMYFUNCTION("IFERROR(
  INDEX(
    FILTER(
      IMPORTRANGE(""1kOrIKZmJfNUkgOVP3sI9BPjaaPA0_a4636oymQxTXg8/edit?gid=609491371#gid=609491371"",""Form responses 1!L:L""),
      IMPORTRANGE(""1kOrIKZmJfNUkgOVP3sI9BPjaaPA0_a4636oymQxTXg8/edit?gid=609491371#gid=609491371"&amp;""",""Form responses 1!F:F"")=$B259
    ),
    1
  ),
  ""Not Found""
)"),"No")</f>
        <v>No</v>
      </c>
      <c r="G259" s="284" t="str">
        <f>IFERROR(__xludf.DUMMYFUNCTION("IFERROR(
  INDEX(
    FILTER(
      IMPORTRANGE(""1kOrIKZmJfNUkgOVP3sI9BPjaaPA0_a4636oymQxTXg8/edit?gid=609491371#gid=609491371"",""Form responses 1!K:K""),
      IMPORTRANGE(""1kOrIKZmJfNUkgOVP3sI9BPjaaPA0_a4636oymQxTXg8/edit?gid=609491371#gid=609491371"&amp;""",""Form responses 1!F:F"")=$B259
    ),
    1
  ),
  ""Not Found""
)"),"No")</f>
        <v>No</v>
      </c>
      <c r="H259" s="230"/>
      <c r="I259" s="230">
        <v>1980.0</v>
      </c>
      <c r="J259" s="339">
        <f>IFERROR(__xludf.DUMMYFUNCTION("IFERROR(
  INDEX(
    FILTER(
      IMPORTRANGE(""1Cxrhp3-_-HS7v9uuqQliiIfrmMP4VaFoDNDWyUFy2J8/edit?gid=0#gid=0"",""Sheet1!AE:AE""),
      IMPORTRANGE(""1Cxrhp3-_-HS7v9uuqQliiIfrmMP4VaFoDNDWyUFy2J8/edit?gid=0#gid=0"",""Sheet1!K:K"")=$B259
    ),
    1
  )"&amp;",
  ""Not Found""
)"),1980.0)</f>
        <v>1980</v>
      </c>
      <c r="K259" s="340"/>
      <c r="L259" s="340"/>
      <c r="M259" s="230"/>
      <c r="N259" s="230"/>
      <c r="O259" s="230"/>
      <c r="P259" s="230"/>
      <c r="Q259" s="230"/>
      <c r="R259" s="230"/>
      <c r="S259" s="230"/>
      <c r="T259" s="230"/>
      <c r="U259" s="230"/>
      <c r="V259" s="230"/>
      <c r="W259" s="230"/>
      <c r="X259" s="230"/>
      <c r="Y259" s="230"/>
      <c r="Z259" s="230"/>
    </row>
    <row r="260">
      <c r="A260" s="337" t="str">
        <f>IFERROR(__xludf.DUMMYFUNCTION("VLOOKUP($B260,IMPORTRANGE(""https://docs.google.com/spreadsheets/d/1VNXDITjs75AcgdBSW27oL1VZH31udDprJSsBcE5xlp4/edit?gid=1551188038#gid=1551188038"", ""Sheet9!$B:$E""),2,false)"),"Faisalabad")</f>
        <v>Faisalabad</v>
      </c>
      <c r="B260" s="341" t="s">
        <v>4699</v>
      </c>
      <c r="C260" s="284">
        <f>IFERROR(__xludf.DUMMYFUNCTION("IFERROR(
  INDEX(
    FILTER(
      IMPORTRANGE(""1Cxrhp3-_-HS7v9uuqQliiIfrmMP4VaFoDNDWyUFy2J8/edit?gid=0#gid=0"",""Sheet1!AE:AE""),
      IMPORTRANGE(""1Cxrhp3-_-HS7v9uuqQliiIfrmMP4VaFoDNDWyUFy2J8/edit?gid=0#gid=0"",""Sheet1!K:K"")=$B260
    ),
    1
  )"&amp;",
  ""Not Found""
)"),1952.0)</f>
        <v>1952</v>
      </c>
      <c r="D260" s="284"/>
      <c r="E260" s="284" t="str">
        <f>IFERROR(__xludf.DUMMYFUNCTION("IFERROR(
  INDEX(
    FILTER(
      IMPORTRANGE(""1kOrIKZmJfNUkgOVP3sI9BPjaaPA0_a4636oymQxTXg8/edit?gid=609491371#gid=609491371"",""Form responses 1!J:J""),
      IMPORTRANGE(""1kOrIKZmJfNUkgOVP3sI9BPjaaPA0_a4636oymQxTXg8/edit?gid=609491371#gid=609491371"&amp;""",""Form responses 1!F:F"")=$B260
    ),
    1
  ),
  ""Not Found""
)"),"Not Found")</f>
        <v>Not Found</v>
      </c>
      <c r="F260" s="284" t="str">
        <f>IFERROR(__xludf.DUMMYFUNCTION("IFERROR(
  INDEX(
    FILTER(
      IMPORTRANGE(""1kOrIKZmJfNUkgOVP3sI9BPjaaPA0_a4636oymQxTXg8/edit?gid=609491371#gid=609491371"",""Form responses 1!L:L""),
      IMPORTRANGE(""1kOrIKZmJfNUkgOVP3sI9BPjaaPA0_a4636oymQxTXg8/edit?gid=609491371#gid=609491371"&amp;""",""Form responses 1!F:F"")=$B260
    ),
    1
  ),
  ""Not Found""
)"),"Not Found")</f>
        <v>Not Found</v>
      </c>
      <c r="G260" s="284"/>
      <c r="H260" s="230"/>
      <c r="I260" s="230"/>
      <c r="J260" s="339">
        <f>IFERROR(__xludf.DUMMYFUNCTION("IFERROR(
  INDEX(
    FILTER(
      IMPORTRANGE(""1Cxrhp3-_-HS7v9uuqQliiIfrmMP4VaFoDNDWyUFy2J8/edit?gid=0#gid=0"",""Sheet1!AE:AE""),
      IMPORTRANGE(""1Cxrhp3-_-HS7v9uuqQliiIfrmMP4VaFoDNDWyUFy2J8/edit?gid=0#gid=0"",""Sheet1!K:K"")=$B260
    ),
    1
  )"&amp;",
  ""Not Found""
)"),1952.0)</f>
        <v>1952</v>
      </c>
      <c r="K260" s="340"/>
      <c r="L260" s="340"/>
      <c r="M260" s="230"/>
      <c r="N260" s="230"/>
      <c r="O260" s="230"/>
      <c r="P260" s="230"/>
      <c r="Q260" s="230"/>
      <c r="R260" s="230"/>
      <c r="S260" s="230"/>
      <c r="T260" s="230"/>
      <c r="U260" s="230"/>
      <c r="V260" s="230"/>
      <c r="W260" s="230"/>
      <c r="X260" s="230"/>
      <c r="Y260" s="230"/>
      <c r="Z260" s="230"/>
    </row>
    <row r="261">
      <c r="A261" s="337" t="str">
        <f>IFERROR(__xludf.DUMMYFUNCTION("VLOOKUP($B261,IMPORTRANGE(""https://docs.google.com/spreadsheets/d/1VNXDITjs75AcgdBSW27oL1VZH31udDprJSsBcE5xlp4/edit?gid=1551188038#gid=1551188038"", ""Sheet9!$B:$E""),2,false)"),"Jhang")</f>
        <v>Jhang</v>
      </c>
      <c r="B261" s="341" t="s">
        <v>4700</v>
      </c>
      <c r="C261" s="284" t="str">
        <f>IFERROR(__xludf.DUMMYFUNCTION("IFERROR(
  INDEX(
    FILTER(
      IMPORTRANGE(""1Cxrhp3-_-HS7v9uuqQliiIfrmMP4VaFoDNDWyUFy2J8/edit?gid=0#gid=0"",""Sheet1!AE:AE""),
      IMPORTRANGE(""1Cxrhp3-_-HS7v9uuqQliiIfrmMP4VaFoDNDWyUFy2J8/edit?gid=0#gid=0"",""Sheet1!K:K"")=$B261
    ),
    1
  )"&amp;",
  ""Not Found""
)"),"Not Found")</f>
        <v>Not Found</v>
      </c>
      <c r="D261" s="284"/>
      <c r="E261" s="284">
        <f>IFERROR(__xludf.DUMMYFUNCTION("IFERROR(
  INDEX(
    FILTER(
      IMPORTRANGE(""1kOrIKZmJfNUkgOVP3sI9BPjaaPA0_a4636oymQxTXg8/edit?gid=609491371#gid=609491371"",""Form responses 1!J:J""),
      IMPORTRANGE(""1kOrIKZmJfNUkgOVP3sI9BPjaaPA0_a4636oymQxTXg8/edit?gid=609491371#gid=609491371"&amp;""",""Form responses 1!F:F"")=$B261
    ),
    1
  ),
  ""Not Found""
)"),1918.0)</f>
        <v>1918</v>
      </c>
      <c r="F261" s="284" t="str">
        <f>IFERROR(__xludf.DUMMYFUNCTION("IFERROR(
  INDEX(
    FILTER(
      IMPORTRANGE(""1kOrIKZmJfNUkgOVP3sI9BPjaaPA0_a4636oymQxTXg8/edit?gid=609491371#gid=609491371"",""Form responses 1!L:L""),
      IMPORTRANGE(""1kOrIKZmJfNUkgOVP3sI9BPjaaPA0_a4636oymQxTXg8/edit?gid=609491371#gid=609491371"&amp;""",""Form responses 1!F:F"")=$B261
    ),
    1
  ),
  ""Not Found""
)"),"No")</f>
        <v>No</v>
      </c>
      <c r="G261" s="284" t="str">
        <f>IFERROR(__xludf.DUMMYFUNCTION("IFERROR(
  INDEX(
    FILTER(
      IMPORTRANGE(""1kOrIKZmJfNUkgOVP3sI9BPjaaPA0_a4636oymQxTXg8/edit?gid=609491371#gid=609491371"",""Form responses 1!K:K""),
      IMPORTRANGE(""1kOrIKZmJfNUkgOVP3sI9BPjaaPA0_a4636oymQxTXg8/edit?gid=609491371#gid=609491371"&amp;""",""Form responses 1!F:F"")=$B261
    ),
    1
  ),
  ""Not Found""
)"),"No")</f>
        <v>No</v>
      </c>
      <c r="H261" s="230"/>
      <c r="I261" s="343">
        <v>1918.0</v>
      </c>
      <c r="J261" s="344">
        <v>1918.0</v>
      </c>
      <c r="K261" s="340"/>
      <c r="L261" s="340"/>
      <c r="M261" s="230"/>
      <c r="N261" s="230"/>
      <c r="O261" s="230"/>
      <c r="P261" s="230"/>
      <c r="Q261" s="230"/>
      <c r="R261" s="230"/>
      <c r="S261" s="230"/>
      <c r="T261" s="230"/>
      <c r="U261" s="230"/>
      <c r="V261" s="230"/>
      <c r="W261" s="230"/>
      <c r="X261" s="230"/>
      <c r="Y261" s="230"/>
      <c r="Z261" s="230"/>
    </row>
    <row r="262">
      <c r="A262" s="337" t="str">
        <f>IFERROR(__xludf.DUMMYFUNCTION("VLOOKUP($B262,IMPORTRANGE(""https://docs.google.com/spreadsheets/d/1VNXDITjs75AcgdBSW27oL1VZH31udDprJSsBcE5xlp4/edit?gid=1551188038#gid=1551188038"", ""Sheet9!$B:$E""),2,false)"),"Jhang")</f>
        <v>Jhang</v>
      </c>
      <c r="B262" s="341" t="s">
        <v>3857</v>
      </c>
      <c r="C262" s="284">
        <f>IFERROR(__xludf.DUMMYFUNCTION("IFERROR(
  INDEX(
    FILTER(
      IMPORTRANGE(""1Cxrhp3-_-HS7v9uuqQliiIfrmMP4VaFoDNDWyUFy2J8/edit?gid=0#gid=0"",""Sheet1!AE:AE""),
      IMPORTRANGE(""1Cxrhp3-_-HS7v9uuqQliiIfrmMP4VaFoDNDWyUFy2J8/edit?gid=0#gid=0"",""Sheet1!K:K"")=$B262
    ),
    1
  )"&amp;",
  ""Not Found""
)"),1984.0)</f>
        <v>1984</v>
      </c>
      <c r="D262" s="284" t="str">
        <f>IFERROR(__xludf.DUMMYFUNCTION("IFERROR(
  INDEX(
    FILTER(
      IMPORTRANGE(""1Cxrhp3-_-HS7v9uuqQliiIfrmMP4VaFoDNDWyUFy2J8/edit?gid=0#gid=0"",""Sheet1!AG:AG""),
      IMPORTRANGE(""1Cxrhp3-_-HS7v9uuqQliiIfrmMP4VaFoDNDWyUFy2J8/edit?gid=0#gid=0"",""Sheet1!K:K"")=$B262
    ),
    1
  )"&amp;",
  ""Not Found""
)"),"")</f>
        <v/>
      </c>
      <c r="E262" s="284">
        <f>IFERROR(__xludf.DUMMYFUNCTION("IFERROR(
  INDEX(
    FILTER(
      IMPORTRANGE(""1kOrIKZmJfNUkgOVP3sI9BPjaaPA0_a4636oymQxTXg8/edit?gid=609491371#gid=609491371"",""Form responses 1!J:J""),
      IMPORTRANGE(""1kOrIKZmJfNUkgOVP3sI9BPjaaPA0_a4636oymQxTXg8/edit?gid=609491371#gid=609491371"&amp;""",""Form responses 1!F:F"")=$B262
    ),
    1
  ),
  ""Not Found""
)"),1950.0)</f>
        <v>1950</v>
      </c>
      <c r="F262" s="284" t="str">
        <f>IFERROR(__xludf.DUMMYFUNCTION("IFERROR(
  INDEX(
    FILTER(
      IMPORTRANGE(""1kOrIKZmJfNUkgOVP3sI9BPjaaPA0_a4636oymQxTXg8/edit?gid=609491371#gid=609491371"",""Form responses 1!L:L""),
      IMPORTRANGE(""1kOrIKZmJfNUkgOVP3sI9BPjaaPA0_a4636oymQxTXg8/edit?gid=609491371#gid=609491371"&amp;""",""Form responses 1!F:F"")=$B262
    ),
    1
  ),
  ""Not Found""
)"),"No")</f>
        <v>No</v>
      </c>
      <c r="G262" s="284" t="str">
        <f>IFERROR(__xludf.DUMMYFUNCTION("IFERROR(
  INDEX(
    FILTER(
      IMPORTRANGE(""1kOrIKZmJfNUkgOVP3sI9BPjaaPA0_a4636oymQxTXg8/edit?gid=609491371#gid=609491371"",""Form responses 1!K:K""),
      IMPORTRANGE(""1kOrIKZmJfNUkgOVP3sI9BPjaaPA0_a4636oymQxTXg8/edit?gid=609491371#gid=609491371"&amp;""",""Form responses 1!F:F"")=$B262
    ),
    1
  ),
  ""Not Found""
)"),"No")</f>
        <v>No</v>
      </c>
      <c r="H262" s="230"/>
      <c r="I262" s="343">
        <v>1950.0</v>
      </c>
      <c r="J262" s="344">
        <v>1950.0</v>
      </c>
      <c r="K262" s="340"/>
      <c r="L262" s="340"/>
      <c r="M262" s="230"/>
      <c r="N262" s="230"/>
      <c r="O262" s="230"/>
      <c r="P262" s="230"/>
      <c r="Q262" s="230"/>
      <c r="R262" s="230"/>
      <c r="S262" s="230"/>
      <c r="T262" s="230"/>
      <c r="U262" s="230"/>
      <c r="V262" s="230"/>
      <c r="W262" s="230"/>
      <c r="X262" s="230"/>
      <c r="Y262" s="230"/>
      <c r="Z262" s="230"/>
    </row>
    <row r="263">
      <c r="A263" s="337" t="str">
        <f>IFERROR(__xludf.DUMMYFUNCTION("VLOOKUP($B263,IMPORTRANGE(""https://docs.google.com/spreadsheets/d/1VNXDITjs75AcgdBSW27oL1VZH31udDprJSsBcE5xlp4/edit?gid=1551188038#gid=1551188038"", ""Sheet9!$B:$E""),2,false)"),"Jhang")</f>
        <v>Jhang</v>
      </c>
      <c r="B263" s="341" t="s">
        <v>4002</v>
      </c>
      <c r="C263" s="284">
        <f>IFERROR(__xludf.DUMMYFUNCTION("IFERROR(
  INDEX(
    FILTER(
      IMPORTRANGE(""1Cxrhp3-_-HS7v9uuqQliiIfrmMP4VaFoDNDWyUFy2J8/edit?gid=0#gid=0"",""Sheet1!AE:AE""),
      IMPORTRANGE(""1Cxrhp3-_-HS7v9uuqQliiIfrmMP4VaFoDNDWyUFy2J8/edit?gid=0#gid=0"",""Sheet1!K:K"")=$B263
    ),
    1
  )"&amp;",
  ""Not Found""
)"),1885.0)</f>
        <v>1885</v>
      </c>
      <c r="D263" s="284" t="str">
        <f>IFERROR(__xludf.DUMMYFUNCTION("IFERROR(
  INDEX(
    FILTER(
      IMPORTRANGE(""1Cxrhp3-_-HS7v9uuqQliiIfrmMP4VaFoDNDWyUFy2J8/edit?gid=0#gid=0"",""Sheet1!AG:AG""),
      IMPORTRANGE(""1Cxrhp3-_-HS7v9uuqQliiIfrmMP4VaFoDNDWyUFy2J8/edit?gid=0#gid=0"",""Sheet1!K:K"")=$B263
    ),
    1
  )"&amp;",
  ""Not Found""
)"),"Hazart shah saddiq nehang bukhari")</f>
        <v>Hazart shah saddiq nehang bukhari</v>
      </c>
      <c r="E263" s="284">
        <f>IFERROR(__xludf.DUMMYFUNCTION("IFERROR(
  INDEX(
    FILTER(
      IMPORTRANGE(""1kOrIKZmJfNUkgOVP3sI9BPjaaPA0_a4636oymQxTXg8/edit?gid=609491371#gid=609491371"",""Form responses 1!J:J""),
      IMPORTRANGE(""1kOrIKZmJfNUkgOVP3sI9BPjaaPA0_a4636oymQxTXg8/edit?gid=609491371#gid=609491371"&amp;""",""Form responses 1!F:F"")=$B263
    ),
    1
  ),
  ""Not Found""
)"),1925.0)</f>
        <v>1925</v>
      </c>
      <c r="F263" s="284" t="str">
        <f>IFERROR(__xludf.DUMMYFUNCTION("IFERROR(
  INDEX(
    FILTER(
      IMPORTRANGE(""1kOrIKZmJfNUkgOVP3sI9BPjaaPA0_a4636oymQxTXg8/edit?gid=609491371#gid=609491371"",""Form responses 1!L:L""),
      IMPORTRANGE(""1kOrIKZmJfNUkgOVP3sI9BPjaaPA0_a4636oymQxTXg8/edit?gid=609491371#gid=609491371"&amp;""",""Form responses 1!F:F"")=$B263
    ),
    1
  ),
  ""Not Found""
)"),"Darba Shah Nehang RA")</f>
        <v>Darba Shah Nehang RA</v>
      </c>
      <c r="G263" s="284" t="str">
        <f>IFERROR(__xludf.DUMMYFUNCTION("IFERROR(
  INDEX(
    FILTER(
      IMPORTRANGE(""1kOrIKZmJfNUkgOVP3sI9BPjaaPA0_a4636oymQxTXg8/edit?gid=609491371#gid=609491371"",""Form responses 1!K:K""),
      IMPORTRANGE(""1kOrIKZmJfNUkgOVP3sI9BPjaaPA0_a4636oymQxTXg8/edit?gid=609491371#gid=609491371"&amp;""",""Form responses 1!F:F"")=$B263
    ),
    1
  ),
  ""Not Found""
)"),"No")</f>
        <v>No</v>
      </c>
      <c r="H263" s="230"/>
      <c r="I263" s="230">
        <v>1885.0</v>
      </c>
      <c r="J263" s="339">
        <f>IFERROR(__xludf.DUMMYFUNCTION("IFERROR(
  INDEX(
    FILTER(
      IMPORTRANGE(""1Cxrhp3-_-HS7v9uuqQliiIfrmMP4VaFoDNDWyUFy2J8/edit?gid=0#gid=0"",""Sheet1!AE:AE""),
      IMPORTRANGE(""1Cxrhp3-_-HS7v9uuqQliiIfrmMP4VaFoDNDWyUFy2J8/edit?gid=0#gid=0"",""Sheet1!K:K"")=$B263
    ),
    1
  )"&amp;",
  ""Not Found""
)"),1885.0)</f>
        <v>1885</v>
      </c>
      <c r="K263" s="340"/>
      <c r="L263" s="340"/>
      <c r="M263" s="230"/>
      <c r="N263" s="230"/>
      <c r="O263" s="230"/>
      <c r="P263" s="230"/>
      <c r="Q263" s="230"/>
      <c r="R263" s="230"/>
      <c r="S263" s="230"/>
      <c r="T263" s="230"/>
      <c r="U263" s="230"/>
      <c r="V263" s="230"/>
      <c r="W263" s="230"/>
      <c r="X263" s="230"/>
      <c r="Y263" s="230"/>
      <c r="Z263" s="230"/>
    </row>
    <row r="264">
      <c r="A264" s="337" t="str">
        <f>IFERROR(__xludf.DUMMYFUNCTION("VLOOKUP($B264,IMPORTRANGE(""https://docs.google.com/spreadsheets/d/1VNXDITjs75AcgdBSW27oL1VZH31udDprJSsBcE5xlp4/edit?gid=1551188038#gid=1551188038"", ""Sheet9!$B:$E""),2,false)"),"Jhang")</f>
        <v>Jhang</v>
      </c>
      <c r="B264" s="341" t="s">
        <v>3944</v>
      </c>
      <c r="C264" s="284">
        <f>IFERROR(__xludf.DUMMYFUNCTION("IFERROR(
  INDEX(
    FILTER(
      IMPORTRANGE(""1Cxrhp3-_-HS7v9uuqQliiIfrmMP4VaFoDNDWyUFy2J8/edit?gid=0#gid=0"",""Sheet1!AE:AE""),
      IMPORTRANGE(""1Cxrhp3-_-HS7v9uuqQliiIfrmMP4VaFoDNDWyUFy2J8/edit?gid=0#gid=0"",""Sheet1!K:K"")=$B264
    ),
    1
  )"&amp;",
  ""Not Found""
)"),1999.0)</f>
        <v>1999</v>
      </c>
      <c r="D264" s="284" t="str">
        <f>IFERROR(__xludf.DUMMYFUNCTION("IFERROR(
  INDEX(
    FILTER(
      IMPORTRANGE(""1Cxrhp3-_-HS7v9uuqQliiIfrmMP4VaFoDNDWyUFy2J8/edit?gid=0#gid=0"",""Sheet1!AG:AG""),
      IMPORTRANGE(""1Cxrhp3-_-HS7v9uuqQliiIfrmMP4VaFoDNDWyUFy2J8/edit?gid=0#gid=0"",""Sheet1!K:K"")=$B264
    ),
    1
  )"&amp;",
  ""Not Found""
)"),"")</f>
        <v/>
      </c>
      <c r="E264" s="284">
        <f>IFERROR(__xludf.DUMMYFUNCTION("IFERROR(
  INDEX(
    FILTER(
      IMPORTRANGE(""1kOrIKZmJfNUkgOVP3sI9BPjaaPA0_a4636oymQxTXg8/edit?gid=609491371#gid=609491371"",""Form responses 1!J:J""),
      IMPORTRANGE(""1kOrIKZmJfNUkgOVP3sI9BPjaaPA0_a4636oymQxTXg8/edit?gid=609491371#gid=609491371"&amp;""",""Form responses 1!F:F"")=$B264
    ),
    1
  ),
  ""Not Found""
)"),1957.0)</f>
        <v>1957</v>
      </c>
      <c r="F264" s="284" t="str">
        <f>IFERROR(__xludf.DUMMYFUNCTION("IFERROR(
  INDEX(
    FILTER(
      IMPORTRANGE(""1kOrIKZmJfNUkgOVP3sI9BPjaaPA0_a4636oymQxTXg8/edit?gid=609491371#gid=609491371"",""Form responses 1!L:L""),
      IMPORTRANGE(""1kOrIKZmJfNUkgOVP3sI9BPjaaPA0_a4636oymQxTXg8/edit?gid=609491371#gid=609491371"&amp;""",""Form responses 1!F:F"")=$B264
    ),
    1
  ),
  ""Not Found""
)"),"No")</f>
        <v>No</v>
      </c>
      <c r="G264" s="284" t="str">
        <f>IFERROR(__xludf.DUMMYFUNCTION("IFERROR(
  INDEX(
    FILTER(
      IMPORTRANGE(""1kOrIKZmJfNUkgOVP3sI9BPjaaPA0_a4636oymQxTXg8/edit?gid=609491371#gid=609491371"",""Form responses 1!K:K""),
      IMPORTRANGE(""1kOrIKZmJfNUkgOVP3sI9BPjaaPA0_a4636oymQxTXg8/edit?gid=609491371#gid=609491371"&amp;""",""Form responses 1!F:F"")=$B264
    ),
    1
  ),
  ""Not Found""
)"),"No")</f>
        <v>No</v>
      </c>
      <c r="H264" s="230"/>
      <c r="I264" s="343">
        <v>1957.0</v>
      </c>
      <c r="J264" s="344">
        <v>1957.0</v>
      </c>
      <c r="K264" s="340"/>
      <c r="L264" s="340"/>
      <c r="M264" s="230"/>
      <c r="N264" s="230"/>
      <c r="O264" s="230"/>
      <c r="P264" s="230"/>
      <c r="Q264" s="230"/>
      <c r="R264" s="230"/>
      <c r="S264" s="230"/>
      <c r="T264" s="230"/>
      <c r="U264" s="230"/>
      <c r="V264" s="230"/>
      <c r="W264" s="230"/>
      <c r="X264" s="230"/>
      <c r="Y264" s="230"/>
      <c r="Z264" s="230"/>
    </row>
    <row r="265">
      <c r="A265" s="337" t="str">
        <f>IFERROR(__xludf.DUMMYFUNCTION("VLOOKUP($B265,IMPORTRANGE(""https://docs.google.com/spreadsheets/d/1VNXDITjs75AcgdBSW27oL1VZH31udDprJSsBcE5xlp4/edit?gid=1551188038#gid=1551188038"", ""Sheet9!$B:$E""),2,false)"),"Jhang")</f>
        <v>Jhang</v>
      </c>
      <c r="B265" s="341" t="s">
        <v>4019</v>
      </c>
      <c r="C265" s="284">
        <f>IFERROR(__xludf.DUMMYFUNCTION("IFERROR(
  INDEX(
    FILTER(
      IMPORTRANGE(""1Cxrhp3-_-HS7v9uuqQliiIfrmMP4VaFoDNDWyUFy2J8/edit?gid=0#gid=0"",""Sheet1!AE:AE""),
      IMPORTRANGE(""1Cxrhp3-_-HS7v9uuqQliiIfrmMP4VaFoDNDWyUFy2J8/edit?gid=0#gid=0"",""Sheet1!K:K"")=$B265
    ),
    1
  )"&amp;",
  ""Not Found""
)"),1906.0)</f>
        <v>1906</v>
      </c>
      <c r="D265" s="284" t="str">
        <f>IFERROR(__xludf.DUMMYFUNCTION("IFERROR(
  INDEX(
    FILTER(
      IMPORTRANGE(""1Cxrhp3-_-HS7v9uuqQliiIfrmMP4VaFoDNDWyUFy2J8/edit?gid=0#gid=0"",""Sheet1!AG:AG""),
      IMPORTRANGE(""1Cxrhp3-_-HS7v9uuqQliiIfrmMP4VaFoDNDWyUFy2J8/edit?gid=0#gid=0"",""Sheet1!K:K"")=$B265
    ),
    1
  )"&amp;",
  ""Not Found""
)"),"")</f>
        <v/>
      </c>
      <c r="E265" s="284">
        <f>IFERROR(__xludf.DUMMYFUNCTION("IFERROR(
  INDEX(
    FILTER(
      IMPORTRANGE(""1kOrIKZmJfNUkgOVP3sI9BPjaaPA0_a4636oymQxTXg8/edit?gid=609491371#gid=609491371"",""Form responses 1!J:J""),
      IMPORTRANGE(""1kOrIKZmJfNUkgOVP3sI9BPjaaPA0_a4636oymQxTXg8/edit?gid=609491371#gid=609491371"&amp;""",""Form responses 1!F:F"")=$B265
    ),
    1
  ),
  ""Not Found""
)"),2010.0)</f>
        <v>2010</v>
      </c>
      <c r="F265" s="284" t="str">
        <f>IFERROR(__xludf.DUMMYFUNCTION("IFERROR(
  INDEX(
    FILTER(
      IMPORTRANGE(""1kOrIKZmJfNUkgOVP3sI9BPjaaPA0_a4636oymQxTXg8/edit?gid=609491371#gid=609491371"",""Form responses 1!L:L""),
      IMPORTRANGE(""1kOrIKZmJfNUkgOVP3sI9BPjaaPA0_a4636oymQxTXg8/edit?gid=609491371#gid=609491371"&amp;""",""Form responses 1!F:F"")=$B265
    ),
    1
  ),
  ""Not Found""
)"),"No")</f>
        <v>No</v>
      </c>
      <c r="G265" s="284" t="str">
        <f>IFERROR(__xludf.DUMMYFUNCTION("IFERROR(
  INDEX(
    FILTER(
      IMPORTRANGE(""1kOrIKZmJfNUkgOVP3sI9BPjaaPA0_a4636oymQxTXg8/edit?gid=609491371#gid=609491371"",""Form responses 1!K:K""),
      IMPORTRANGE(""1kOrIKZmJfNUkgOVP3sI9BPjaaPA0_a4636oymQxTXg8/edit?gid=609491371#gid=609491371"&amp;""",""Form responses 1!F:F"")=$B265
    ),
    1
  ),
  ""Not Found""
)"),"No")</f>
        <v>No</v>
      </c>
      <c r="H265" s="230"/>
      <c r="I265" s="230">
        <v>1906.0</v>
      </c>
      <c r="J265" s="339">
        <f>IFERROR(__xludf.DUMMYFUNCTION("IFERROR(
  INDEX(
    FILTER(
      IMPORTRANGE(""1Cxrhp3-_-HS7v9uuqQliiIfrmMP4VaFoDNDWyUFy2J8/edit?gid=0#gid=0"",""Sheet1!AE:AE""),
      IMPORTRANGE(""1Cxrhp3-_-HS7v9uuqQliiIfrmMP4VaFoDNDWyUFy2J8/edit?gid=0#gid=0"",""Sheet1!K:K"")=$B265
    ),
    1
  )"&amp;",
  ""Not Found""
)"),1906.0)</f>
        <v>1906</v>
      </c>
      <c r="K265" s="340"/>
      <c r="L265" s="340"/>
      <c r="M265" s="230"/>
      <c r="N265" s="230"/>
      <c r="O265" s="230"/>
      <c r="P265" s="230"/>
      <c r="Q265" s="230"/>
      <c r="R265" s="230"/>
      <c r="S265" s="230"/>
      <c r="T265" s="230"/>
      <c r="U265" s="230"/>
      <c r="V265" s="230"/>
      <c r="W265" s="230"/>
      <c r="X265" s="230"/>
      <c r="Y265" s="230"/>
      <c r="Z265" s="230"/>
    </row>
    <row r="266">
      <c r="A266" s="337" t="str">
        <f>IFERROR(__xludf.DUMMYFUNCTION("VLOOKUP($B266,IMPORTRANGE(""https://docs.google.com/spreadsheets/d/1VNXDITjs75AcgdBSW27oL1VZH31udDprJSsBcE5xlp4/edit?gid=1551188038#gid=1551188038"", ""Sheet9!$B:$E""),2,false)"),"Jhang")</f>
        <v>Jhang</v>
      </c>
      <c r="B266" s="341" t="s">
        <v>3995</v>
      </c>
      <c r="C266" s="284" t="str">
        <f>IFERROR(__xludf.DUMMYFUNCTION("IFERROR(
  INDEX(
    FILTER(
      IMPORTRANGE(""1Cxrhp3-_-HS7v9uuqQliiIfrmMP4VaFoDNDWyUFy2J8/edit?gid=0#gid=0"",""Sheet1!AE:AE""),
      IMPORTRANGE(""1Cxrhp3-_-HS7v9uuqQliiIfrmMP4VaFoDNDWyUFy2J8/edit?gid=0#gid=0"",""Sheet1!K:K"")=$B266
    ),
    1
  )"&amp;",
  ""Not Found""
)"),"Not Found")</f>
        <v>Not Found</v>
      </c>
      <c r="D266" s="284"/>
      <c r="E266" s="284">
        <f>IFERROR(__xludf.DUMMYFUNCTION("IFERROR(
  INDEX(
    FILTER(
      IMPORTRANGE(""1kOrIKZmJfNUkgOVP3sI9BPjaaPA0_a4636oymQxTXg8/edit?gid=609491371#gid=609491371"",""Form responses 1!J:J""),
      IMPORTRANGE(""1kOrIKZmJfNUkgOVP3sI9BPjaaPA0_a4636oymQxTXg8/edit?gid=609491371#gid=609491371"&amp;""",""Form responses 1!F:F"")=$B266
    ),
    1
  ),
  ""Not Found""
)"),1.0)</f>
        <v>1</v>
      </c>
      <c r="F266" s="284" t="str">
        <f>IFERROR(__xludf.DUMMYFUNCTION("IFERROR(
  INDEX(
    FILTER(
      IMPORTRANGE(""1kOrIKZmJfNUkgOVP3sI9BPjaaPA0_a4636oymQxTXg8/edit?gid=609491371#gid=609491371"",""Form responses 1!L:L""),
      IMPORTRANGE(""1kOrIKZmJfNUkgOVP3sI9BPjaaPA0_a4636oymQxTXg8/edit?gid=609491371#gid=609491371"&amp;""",""Form responses 1!F:F"")=$B266
    ),
    1
  ),
  ""Not Found""
)"),"no")</f>
        <v>no</v>
      </c>
      <c r="G266" s="284" t="str">
        <f>IFERROR(__xludf.DUMMYFUNCTION("IFERROR(
  INDEX(
    FILTER(
      IMPORTRANGE(""1kOrIKZmJfNUkgOVP3sI9BPjaaPA0_a4636oymQxTXg8/edit?gid=609491371#gid=609491371"",""Form responses 1!K:K""),
      IMPORTRANGE(""1kOrIKZmJfNUkgOVP3sI9BPjaaPA0_a4636oymQxTXg8/edit?gid=609491371#gid=609491371"&amp;""",""Form responses 1!F:F"")=$B266
    ),
    1
  ),
  ""Not Found""
)"),"No")</f>
        <v>No</v>
      </c>
      <c r="H266" s="230"/>
      <c r="I266" s="230"/>
      <c r="J266" s="339" t="str">
        <f>IFERROR(__xludf.DUMMYFUNCTION("IFERROR(
  INDEX(
    FILTER(
      IMPORTRANGE(""1Cxrhp3-_-HS7v9uuqQliiIfrmMP4VaFoDNDWyUFy2J8/edit?gid=0#gid=0"",""Sheet1!AE:AE""),
      IMPORTRANGE(""1Cxrhp3-_-HS7v9uuqQliiIfrmMP4VaFoDNDWyUFy2J8/edit?gid=0#gid=0"",""Sheet1!K:K"")=$B266
    ),
    1
  )"&amp;",
  ""Not Found""
)"),"Not Found")</f>
        <v>Not Found</v>
      </c>
      <c r="K266" s="340"/>
      <c r="L266" s="340"/>
      <c r="M266" s="230"/>
      <c r="N266" s="230"/>
      <c r="O266" s="230"/>
      <c r="P266" s="230"/>
      <c r="Q266" s="230"/>
      <c r="R266" s="230"/>
      <c r="S266" s="230"/>
      <c r="T266" s="230"/>
      <c r="U266" s="230"/>
      <c r="V266" s="230"/>
      <c r="W266" s="230"/>
      <c r="X266" s="230"/>
      <c r="Y266" s="230"/>
      <c r="Z266" s="230"/>
    </row>
    <row r="267">
      <c r="A267" s="337" t="str">
        <f>IFERROR(__xludf.DUMMYFUNCTION("VLOOKUP($B267,IMPORTRANGE(""https://docs.google.com/spreadsheets/d/1VNXDITjs75AcgdBSW27oL1VZH31udDprJSsBcE5xlp4/edit?gid=1551188038#gid=1551188038"", ""Sheet9!$B:$E""),2,false)"),"Okara")</f>
        <v>Okara</v>
      </c>
      <c r="B267" s="341" t="s">
        <v>4674</v>
      </c>
      <c r="C267" s="284" t="str">
        <f>IFERROR(__xludf.DUMMYFUNCTION("IFERROR(
  INDEX(
    FILTER(
      IMPORTRANGE(""1Cxrhp3-_-HS7v9uuqQliiIfrmMP4VaFoDNDWyUFy2J8/edit?gid=0#gid=0"",""Sheet1!AE:AE""),
      IMPORTRANGE(""1Cxrhp3-_-HS7v9uuqQliiIfrmMP4VaFoDNDWyUFy2J8/edit?gid=0#gid=0"",""Sheet1!K:K"")=$B267
    ),
    1
  )"&amp;",
  ""Not Found""
)"),"Not Found")</f>
        <v>Not Found</v>
      </c>
      <c r="D267" s="284"/>
      <c r="E267" s="284" t="str">
        <f>IFERROR(__xludf.DUMMYFUNCTION("IFERROR(
  INDEX(
    FILTER(
      IMPORTRANGE(""1kOrIKZmJfNUkgOVP3sI9BPjaaPA0_a4636oymQxTXg8/edit?gid=609491371#gid=609491371"",""Form responses 1!J:J""),
      IMPORTRANGE(""1kOrIKZmJfNUkgOVP3sI9BPjaaPA0_a4636oymQxTXg8/edit?gid=609491371#gid=609491371"&amp;""",""Form responses 1!F:F"")=$B267
    ),
    1
  ),
  ""Not Found""
)"),"-")</f>
        <v>-</v>
      </c>
      <c r="F267" s="284" t="str">
        <f>IFERROR(__xludf.DUMMYFUNCTION("IFERROR(
  INDEX(
    FILTER(
      IMPORTRANGE(""1kOrIKZmJfNUkgOVP3sI9BPjaaPA0_a4636oymQxTXg8/edit?gid=609491371#gid=609491371"",""Form responses 1!L:L""),
      IMPORTRANGE(""1kOrIKZmJfNUkgOVP3sI9BPjaaPA0_a4636oymQxTXg8/edit?gid=609491371#gid=609491371"&amp;""",""Form responses 1!F:F"")=$B267
    ),
    1
  ),
  ""Not Found""
)"),"No")</f>
        <v>No</v>
      </c>
      <c r="G267" s="284" t="str">
        <f>IFERROR(__xludf.DUMMYFUNCTION("IFERROR(
  INDEX(
    FILTER(
      IMPORTRANGE(""1kOrIKZmJfNUkgOVP3sI9BPjaaPA0_a4636oymQxTXg8/edit?gid=609491371#gid=609491371"",""Form responses 1!K:K""),
      IMPORTRANGE(""1kOrIKZmJfNUkgOVP3sI9BPjaaPA0_a4636oymQxTXg8/edit?gid=609491371#gid=609491371"&amp;""",""Form responses 1!F:F"")=$B267
    ),
    1
  ),
  ""Not Found""
)"),"No")</f>
        <v>No</v>
      </c>
      <c r="H267" s="230"/>
      <c r="I267" s="230"/>
      <c r="J267" s="339" t="str">
        <f>IFERROR(__xludf.DUMMYFUNCTION("IFERROR(
  INDEX(
    FILTER(
      IMPORTRANGE(""1Cxrhp3-_-HS7v9uuqQliiIfrmMP4VaFoDNDWyUFy2J8/edit?gid=0#gid=0"",""Sheet1!AE:AE""),
      IMPORTRANGE(""1Cxrhp3-_-HS7v9uuqQliiIfrmMP4VaFoDNDWyUFy2J8/edit?gid=0#gid=0"",""Sheet1!K:K"")=$B267
    ),
    1
  )"&amp;",
  ""Not Found""
)"),"Not Found")</f>
        <v>Not Found</v>
      </c>
      <c r="K267" s="340"/>
      <c r="L267" s="340"/>
      <c r="M267" s="230"/>
      <c r="N267" s="230"/>
      <c r="O267" s="230"/>
      <c r="P267" s="230"/>
      <c r="Q267" s="230"/>
      <c r="R267" s="230"/>
      <c r="S267" s="230"/>
      <c r="T267" s="230"/>
      <c r="U267" s="230"/>
      <c r="V267" s="230"/>
      <c r="W267" s="230"/>
      <c r="X267" s="230"/>
      <c r="Y267" s="230"/>
      <c r="Z267" s="230"/>
    </row>
    <row r="268">
      <c r="A268" s="337" t="str">
        <f>IFERROR(__xludf.DUMMYFUNCTION("VLOOKUP($B268,IMPORTRANGE(""https://docs.google.com/spreadsheets/d/1VNXDITjs75AcgdBSW27oL1VZH31udDprJSsBcE5xlp4/edit?gid=1551188038#gid=1551188038"", ""Sheet9!$B:$E""),2,false)"),"Okara")</f>
        <v>Okara</v>
      </c>
      <c r="B268" s="341" t="s">
        <v>4675</v>
      </c>
      <c r="C268" s="284" t="str">
        <f>IFERROR(__xludf.DUMMYFUNCTION("IFERROR(
  INDEX(
    FILTER(
      IMPORTRANGE(""1Cxrhp3-_-HS7v9uuqQliiIfrmMP4VaFoDNDWyUFy2J8/edit?gid=0#gid=0"",""Sheet1!AE:AE""),
      IMPORTRANGE(""1Cxrhp3-_-HS7v9uuqQliiIfrmMP4VaFoDNDWyUFy2J8/edit?gid=0#gid=0"",""Sheet1!K:K"")=$B268
    ),
    1
  )"&amp;",
  ""Not Found""
)"),"Not Found")</f>
        <v>Not Found</v>
      </c>
      <c r="D268" s="284"/>
      <c r="E268" s="284">
        <f>IFERROR(__xludf.DUMMYFUNCTION("IFERROR(
  INDEX(
    FILTER(
      IMPORTRANGE(""1kOrIKZmJfNUkgOVP3sI9BPjaaPA0_a4636oymQxTXg8/edit?gid=609491371#gid=609491371"",""Form responses 1!J:J""),
      IMPORTRANGE(""1kOrIKZmJfNUkgOVP3sI9BPjaaPA0_a4636oymQxTXg8/edit?gid=609491371#gid=609491371"&amp;""",""Form responses 1!F:F"")=$B268
    ),
    1
  ),
  ""Not Found""
)"),1955.0)</f>
        <v>1955</v>
      </c>
      <c r="F268" s="284" t="str">
        <f>IFERROR(__xludf.DUMMYFUNCTION("IFERROR(
  INDEX(
    FILTER(
      IMPORTRANGE(""1kOrIKZmJfNUkgOVP3sI9BPjaaPA0_a4636oymQxTXg8/edit?gid=609491371#gid=609491371"",""Form responses 1!L:L""),
      IMPORTRANGE(""1kOrIKZmJfNUkgOVP3sI9BPjaaPA0_a4636oymQxTXg8/edit?gid=609491371#gid=609491371"&amp;""",""Form responses 1!F:F"")=$B268
    ),
    1
  ),
  ""Not Found""
)"),"no")</f>
        <v>no</v>
      </c>
      <c r="G268" s="284" t="str">
        <f>IFERROR(__xludf.DUMMYFUNCTION("IFERROR(
  INDEX(
    FILTER(
      IMPORTRANGE(""1kOrIKZmJfNUkgOVP3sI9BPjaaPA0_a4636oymQxTXg8/edit?gid=609491371#gid=609491371"",""Form responses 1!K:K""),
      IMPORTRANGE(""1kOrIKZmJfNUkgOVP3sI9BPjaaPA0_a4636oymQxTXg8/edit?gid=609491371#gid=609491371"&amp;""",""Form responses 1!F:F"")=$B268
    ),
    1
  ),
  ""Not Found""
)"),"No")</f>
        <v>No</v>
      </c>
      <c r="H268" s="230"/>
      <c r="I268" s="343">
        <v>1955.0</v>
      </c>
      <c r="J268" s="344">
        <v>1955.0</v>
      </c>
      <c r="K268" s="340"/>
      <c r="L268" s="340"/>
      <c r="M268" s="230"/>
      <c r="N268" s="230"/>
      <c r="O268" s="230"/>
      <c r="P268" s="230"/>
      <c r="Q268" s="230"/>
      <c r="R268" s="230"/>
      <c r="S268" s="230"/>
      <c r="T268" s="230"/>
      <c r="U268" s="230"/>
      <c r="V268" s="230"/>
      <c r="W268" s="230"/>
      <c r="X268" s="230"/>
      <c r="Y268" s="230"/>
      <c r="Z268" s="230"/>
    </row>
    <row r="269">
      <c r="A269" s="337" t="str">
        <f>IFERROR(__xludf.DUMMYFUNCTION("VLOOKUP($B269,IMPORTRANGE(""https://docs.google.com/spreadsheets/d/1VNXDITjs75AcgdBSW27oL1VZH31udDprJSsBcE5xlp4/edit?gid=1551188038#gid=1551188038"", ""Sheet9!$B:$E""),2,false)"),"Okara")</f>
        <v>Okara</v>
      </c>
      <c r="B269" s="341" t="s">
        <v>4676</v>
      </c>
      <c r="C269" s="284" t="str">
        <f>IFERROR(__xludf.DUMMYFUNCTION("IFERROR(
  INDEX(
    FILTER(
      IMPORTRANGE(""1Cxrhp3-_-HS7v9uuqQliiIfrmMP4VaFoDNDWyUFy2J8/edit?gid=0#gid=0"",""Sheet1!AE:AE""),
      IMPORTRANGE(""1Cxrhp3-_-HS7v9uuqQliiIfrmMP4VaFoDNDWyUFy2J8/edit?gid=0#gid=0"",""Sheet1!K:K"")=$B269
    ),
    1
  )"&amp;",
  ""Not Found""
)"),"Not Found")</f>
        <v>Not Found</v>
      </c>
      <c r="D269" s="284"/>
      <c r="E269" s="284">
        <f>IFERROR(__xludf.DUMMYFUNCTION("IFERROR(
  INDEX(
    FILTER(
      IMPORTRANGE(""1kOrIKZmJfNUkgOVP3sI9BPjaaPA0_a4636oymQxTXg8/edit?gid=609491371#gid=609491371"",""Form responses 1!J:J""),
      IMPORTRANGE(""1kOrIKZmJfNUkgOVP3sI9BPjaaPA0_a4636oymQxTXg8/edit?gid=609491371#gid=609491371"&amp;""",""Form responses 1!F:F"")=$B269
    ),
    1
  ),
  ""Not Found""
)"),1950.0)</f>
        <v>1950</v>
      </c>
      <c r="F269" s="284" t="str">
        <f>IFERROR(__xludf.DUMMYFUNCTION("IFERROR(
  INDEX(
    FILTER(
      IMPORTRANGE(""1kOrIKZmJfNUkgOVP3sI9BPjaaPA0_a4636oymQxTXg8/edit?gid=609491371#gid=609491371"",""Form responses 1!L:L""),
      IMPORTRANGE(""1kOrIKZmJfNUkgOVP3sI9BPjaaPA0_a4636oymQxTXg8/edit?gid=609491371#gid=609491371"&amp;""",""Form responses 1!F:F"")=$B269
    ),
    1
  ),
  ""Not Found""
)"),"NO")</f>
        <v>NO</v>
      </c>
      <c r="G269" s="284" t="str">
        <f>IFERROR(__xludf.DUMMYFUNCTION("IFERROR(
  INDEX(
    FILTER(
      IMPORTRANGE(""1kOrIKZmJfNUkgOVP3sI9BPjaaPA0_a4636oymQxTXg8/edit?gid=609491371#gid=609491371"",""Form responses 1!K:K""),
      IMPORTRANGE(""1kOrIKZmJfNUkgOVP3sI9BPjaaPA0_a4636oymQxTXg8/edit?gid=609491371#gid=609491371"&amp;""",""Form responses 1!F:F"")=$B269
    ),
    1
  ),
  ""Not Found""
)"),"No")</f>
        <v>No</v>
      </c>
      <c r="H269" s="230"/>
      <c r="I269" s="343">
        <v>1950.0</v>
      </c>
      <c r="J269" s="344">
        <v>1950.0</v>
      </c>
      <c r="K269" s="340"/>
      <c r="L269" s="340"/>
      <c r="M269" s="230"/>
      <c r="N269" s="230"/>
      <c r="O269" s="230"/>
      <c r="P269" s="230"/>
      <c r="Q269" s="230"/>
      <c r="R269" s="230"/>
      <c r="S269" s="230"/>
      <c r="T269" s="230"/>
      <c r="U269" s="230"/>
      <c r="V269" s="230"/>
      <c r="W269" s="230"/>
      <c r="X269" s="230"/>
      <c r="Y269" s="230"/>
      <c r="Z269" s="230"/>
    </row>
    <row r="270">
      <c r="A270" s="337" t="str">
        <f>IFERROR(__xludf.DUMMYFUNCTION("VLOOKUP($B270,IMPORTRANGE(""https://docs.google.com/spreadsheets/d/1VNXDITjs75AcgdBSW27oL1VZH31udDprJSsBcE5xlp4/edit?gid=1551188038#gid=1551188038"", ""Sheet9!$B:$E""),2,false)"),"Okara")</f>
        <v>Okara</v>
      </c>
      <c r="B270" s="341" t="s">
        <v>4677</v>
      </c>
      <c r="C270" s="284">
        <f>IFERROR(__xludf.DUMMYFUNCTION("IFERROR(
  INDEX(
    FILTER(
      IMPORTRANGE(""1Cxrhp3-_-HS7v9uuqQliiIfrmMP4VaFoDNDWyUFy2J8/edit?gid=0#gid=0"",""Sheet1!AE:AE""),
      IMPORTRANGE(""1Cxrhp3-_-HS7v9uuqQliiIfrmMP4VaFoDNDWyUFy2J8/edit?gid=0#gid=0"",""Sheet1!K:K"")=$B270
    ),
    1
  )"&amp;",
  ""Not Found""
)"),2021.0)</f>
        <v>2021</v>
      </c>
      <c r="D270" s="284" t="s">
        <v>4890</v>
      </c>
      <c r="E270" s="284">
        <f>IFERROR(__xludf.DUMMYFUNCTION("IFERROR(
  INDEX(
    FILTER(
      IMPORTRANGE(""1kOrIKZmJfNUkgOVP3sI9BPjaaPA0_a4636oymQxTXg8/edit?gid=609491371#gid=609491371"",""Form responses 1!J:J""),
      IMPORTRANGE(""1kOrIKZmJfNUkgOVP3sI9BPjaaPA0_a4636oymQxTXg8/edit?gid=609491371#gid=609491371"&amp;""",""Form responses 1!F:F"")=$B270
    ),
    1
  ),
  ""Not Found""
)"),1947.0)</f>
        <v>1947</v>
      </c>
      <c r="F270" s="284" t="str">
        <f>IFERROR(__xludf.DUMMYFUNCTION("IFERROR(
  INDEX(
    FILTER(
      IMPORTRANGE(""1kOrIKZmJfNUkgOVP3sI9BPjaaPA0_a4636oymQxTXg8/edit?gid=609491371#gid=609491371"",""Form responses 1!L:L""),
      IMPORTRANGE(""1kOrIKZmJfNUkgOVP3sI9BPjaaPA0_a4636oymQxTXg8/edit?gid=609491371#gid=609491371"&amp;""",""Form responses 1!F:F"")=$B270
    ),
    1
  ),
  ""Not Found""
)"),"Ghous bala peer sarkar")</f>
        <v>Ghous bala peer sarkar</v>
      </c>
      <c r="G270" s="284" t="str">
        <f>IFERROR(__xludf.DUMMYFUNCTION("IFERROR(
  INDEX(
    FILTER(
      IMPORTRANGE(""1kOrIKZmJfNUkgOVP3sI9BPjaaPA0_a4636oymQxTXg8/edit?gid=609491371#gid=609491371"",""Form responses 1!K:K""),
      IMPORTRANGE(""1kOrIKZmJfNUkgOVP3sI9BPjaaPA0_a4636oymQxTXg8/edit?gid=609491371#gid=609491371"&amp;""",""Form responses 1!F:F"")=$B270
    ),
    1
  ),
  ""Not Found""
)"),"Yes")</f>
        <v>Yes</v>
      </c>
      <c r="H270" s="230"/>
      <c r="I270" s="343">
        <v>1947.0</v>
      </c>
      <c r="J270" s="344">
        <v>1947.0</v>
      </c>
      <c r="K270" s="340"/>
      <c r="L270" s="340"/>
      <c r="M270" s="230"/>
      <c r="N270" s="230"/>
      <c r="O270" s="230"/>
      <c r="P270" s="230"/>
      <c r="Q270" s="230"/>
      <c r="R270" s="230"/>
      <c r="S270" s="230"/>
      <c r="T270" s="230"/>
      <c r="U270" s="230"/>
      <c r="V270" s="230"/>
      <c r="W270" s="230"/>
      <c r="X270" s="230"/>
      <c r="Y270" s="230"/>
      <c r="Z270" s="230"/>
    </row>
    <row r="271">
      <c r="A271" s="337" t="str">
        <f>IFERROR(__xludf.DUMMYFUNCTION("VLOOKUP($B271,IMPORTRANGE(""https://docs.google.com/spreadsheets/d/1VNXDITjs75AcgdBSW27oL1VZH31udDprJSsBcE5xlp4/edit?gid=1551188038#gid=1551188038"", ""Sheet9!$B:$E""),2,false)"),"Okara")</f>
        <v>Okara</v>
      </c>
      <c r="B271" s="341" t="s">
        <v>4678</v>
      </c>
      <c r="C271" s="284" t="str">
        <f>IFERROR(__xludf.DUMMYFUNCTION("IFERROR(
  INDEX(
    FILTER(
      IMPORTRANGE(""1Cxrhp3-_-HS7v9uuqQliiIfrmMP4VaFoDNDWyUFy2J8/edit?gid=0#gid=0"",""Sheet1!AE:AE""),
      IMPORTRANGE(""1Cxrhp3-_-HS7v9uuqQliiIfrmMP4VaFoDNDWyUFy2J8/edit?gid=0#gid=0"",""Sheet1!K:K"")=$B271
    ),
    1
  )"&amp;",
  ""Not Found""
)"),"Not Found")</f>
        <v>Not Found</v>
      </c>
      <c r="D271" s="284"/>
      <c r="E271" s="284">
        <f>IFERROR(__xludf.DUMMYFUNCTION("IFERROR(
  INDEX(
    FILTER(
      IMPORTRANGE(""1kOrIKZmJfNUkgOVP3sI9BPjaaPA0_a4636oymQxTXg8/edit?gid=609491371#gid=609491371"",""Form responses 1!J:J""),
      IMPORTRANGE(""1kOrIKZmJfNUkgOVP3sI9BPjaaPA0_a4636oymQxTXg8/edit?gid=609491371#gid=609491371"&amp;""",""Form responses 1!F:F"")=$B271
    ),
    1
  ),
  ""Not Found""
)"),2009.0)</f>
        <v>2009</v>
      </c>
      <c r="F271" s="284" t="str">
        <f>IFERROR(__xludf.DUMMYFUNCTION("IFERROR(
  INDEX(
    FILTER(
      IMPORTRANGE(""1kOrIKZmJfNUkgOVP3sI9BPjaaPA0_a4636oymQxTXg8/edit?gid=609491371#gid=609491371"",""Form responses 1!L:L""),
      IMPORTRANGE(""1kOrIKZmJfNUkgOVP3sI9BPjaaPA0_a4636oymQxTXg8/edit?gid=609491371#gid=609491371"&amp;""",""Form responses 1!F:F"")=$B271
    ),
    1
  ),
  ""Not Found""
)"),"peer sain baba labhy shah sarkr RA")</f>
        <v>peer sain baba labhy shah sarkr RA</v>
      </c>
      <c r="G271" s="284" t="str">
        <f>IFERROR(__xludf.DUMMYFUNCTION("IFERROR(
  INDEX(
    FILTER(
      IMPORTRANGE(""1kOrIKZmJfNUkgOVP3sI9BPjaaPA0_a4636oymQxTXg8/edit?gid=609491371#gid=609491371"",""Form responses 1!K:K""),
      IMPORTRANGE(""1kOrIKZmJfNUkgOVP3sI9BPjaaPA0_a4636oymQxTXg8/edit?gid=609491371#gid=609491371"&amp;""",""Form responses 1!F:F"")=$B271
    ),
    1
  ),
  ""Not Found""
)"),"No")</f>
        <v>No</v>
      </c>
      <c r="H271" s="230"/>
      <c r="I271" s="343">
        <v>2009.0</v>
      </c>
      <c r="J271" s="344">
        <v>2009.0</v>
      </c>
      <c r="K271" s="340"/>
      <c r="L271" s="340"/>
      <c r="M271" s="230"/>
      <c r="N271" s="230"/>
      <c r="O271" s="230"/>
      <c r="P271" s="230"/>
      <c r="Q271" s="230"/>
      <c r="R271" s="230"/>
      <c r="S271" s="230"/>
      <c r="T271" s="230"/>
      <c r="U271" s="230"/>
      <c r="V271" s="230"/>
      <c r="W271" s="230"/>
      <c r="X271" s="230"/>
      <c r="Y271" s="230"/>
      <c r="Z271" s="230"/>
    </row>
    <row r="272">
      <c r="A272" s="337" t="str">
        <f>IFERROR(__xludf.DUMMYFUNCTION("VLOOKUP($B272,IMPORTRANGE(""https://docs.google.com/spreadsheets/d/1VNXDITjs75AcgdBSW27oL1VZH31udDprJSsBcE5xlp4/edit?gid=1551188038#gid=1551188038"", ""Sheet9!$B:$E""),2,false)"),"Pakpattan")</f>
        <v>Pakpattan</v>
      </c>
      <c r="B272" s="341" t="s">
        <v>4679</v>
      </c>
      <c r="C272" s="284">
        <f>IFERROR(__xludf.DUMMYFUNCTION("IFERROR(
  INDEX(
    FILTER(
      IMPORTRANGE(""1Cxrhp3-_-HS7v9uuqQliiIfrmMP4VaFoDNDWyUFy2J8/edit?gid=0#gid=0"",""Sheet1!AE:AE""),
      IMPORTRANGE(""1Cxrhp3-_-HS7v9uuqQliiIfrmMP4VaFoDNDWyUFy2J8/edit?gid=0#gid=0"",""Sheet1!K:K"")=$B272
    ),
    1
  )"&amp;",
  ""Not Found""
)"),0.0)</f>
        <v>0</v>
      </c>
      <c r="D272" s="284" t="str">
        <f>IFERROR(__xludf.DUMMYFUNCTION("IFERROR(
  INDEX(
    FILTER(
      IMPORTRANGE(""1Cxrhp3-_-HS7v9uuqQliiIfrmMP4VaFoDNDWyUFy2J8/edit?gid=0#gid=0"",""Sheet1!AG:AG""),
      IMPORTRANGE(""1Cxrhp3-_-HS7v9uuqQliiIfrmMP4VaFoDNDWyUFy2J8/edit?gid=0#gid=0"",""Sheet1!K:K"")=$B272
    ),
    1
  )"&amp;",
  ""Not Found""
)"),"")</f>
        <v/>
      </c>
      <c r="E272" s="284">
        <f>IFERROR(__xludf.DUMMYFUNCTION("IFERROR(
  INDEX(
    FILTER(
      IMPORTRANGE(""1kOrIKZmJfNUkgOVP3sI9BPjaaPA0_a4636oymQxTXg8/edit?gid=609491371#gid=609491371"",""Form responses 1!J:J""),
      IMPORTRANGE(""1kOrIKZmJfNUkgOVP3sI9BPjaaPA0_a4636oymQxTXg8/edit?gid=609491371#gid=609491371"&amp;""",""Form responses 1!F:F"")=$B272
    ),
    1
  ),
  ""Not Found""
)"),1959.0)</f>
        <v>1959</v>
      </c>
      <c r="F272" s="284" t="str">
        <f>IFERROR(__xludf.DUMMYFUNCTION("IFERROR(
  INDEX(
    FILTER(
      IMPORTRANGE(""1kOrIKZmJfNUkgOVP3sI9BPjaaPA0_a4636oymQxTXg8/edit?gid=609491371#gid=609491371"",""Form responses 1!L:L""),
      IMPORTRANGE(""1kOrIKZmJfNUkgOVP3sI9BPjaaPA0_a4636oymQxTXg8/edit?gid=609491371#gid=609491371"&amp;""",""Form responses 1!F:F"")=$B272
    ),
    1
  ),
  ""Not Found""
)"),"NO")</f>
        <v>NO</v>
      </c>
      <c r="G272" s="284" t="str">
        <f>IFERROR(__xludf.DUMMYFUNCTION("IFERROR(
  INDEX(
    FILTER(
      IMPORTRANGE(""1kOrIKZmJfNUkgOVP3sI9BPjaaPA0_a4636oymQxTXg8/edit?gid=609491371#gid=609491371"",""Form responses 1!K:K""),
      IMPORTRANGE(""1kOrIKZmJfNUkgOVP3sI9BPjaaPA0_a4636oymQxTXg8/edit?gid=609491371#gid=609491371"&amp;""",""Form responses 1!F:F"")=$B272
    ),
    1
  ),
  ""Not Found""
)"),"No")</f>
        <v>No</v>
      </c>
      <c r="H272" s="230"/>
      <c r="I272" s="343">
        <v>1959.0</v>
      </c>
      <c r="J272" s="344">
        <v>1959.0</v>
      </c>
      <c r="K272" s="340"/>
      <c r="L272" s="340"/>
      <c r="M272" s="230"/>
      <c r="N272" s="230"/>
      <c r="O272" s="230"/>
      <c r="P272" s="230"/>
      <c r="Q272" s="230"/>
      <c r="R272" s="230"/>
      <c r="S272" s="230"/>
      <c r="T272" s="230"/>
      <c r="U272" s="230"/>
      <c r="V272" s="230"/>
      <c r="W272" s="230"/>
      <c r="X272" s="230"/>
      <c r="Y272" s="230"/>
      <c r="Z272" s="230"/>
    </row>
    <row r="273">
      <c r="A273" s="337" t="str">
        <f>IFERROR(__xludf.DUMMYFUNCTION("VLOOKUP($B273,IMPORTRANGE(""https://docs.google.com/spreadsheets/d/1VNXDITjs75AcgdBSW27oL1VZH31udDprJSsBcE5xlp4/edit?gid=1551188038#gid=1551188038"", ""Sheet9!$B:$E""),2,false)"),"Pakpattan")</f>
        <v>Pakpattan</v>
      </c>
      <c r="B273" s="341" t="s">
        <v>4680</v>
      </c>
      <c r="C273" s="284" t="str">
        <f>IFERROR(__xludf.DUMMYFUNCTION("IFERROR(
  INDEX(
    FILTER(
      IMPORTRANGE(""1Cxrhp3-_-HS7v9uuqQliiIfrmMP4VaFoDNDWyUFy2J8/edit?gid=0#gid=0"",""Sheet1!AE:AE""),
      IMPORTRANGE(""1Cxrhp3-_-HS7v9uuqQliiIfrmMP4VaFoDNDWyUFy2J8/edit?gid=0#gid=0"",""Sheet1!K:K"")=$B273
    ),
    1
  )"&amp;",
  ""Not Found""
)"),"Not Found")</f>
        <v>Not Found</v>
      </c>
      <c r="D273" s="284"/>
      <c r="E273" s="284">
        <f>IFERROR(__xludf.DUMMYFUNCTION("IFERROR(
  INDEX(
    FILTER(
      IMPORTRANGE(""1kOrIKZmJfNUkgOVP3sI9BPjaaPA0_a4636oymQxTXg8/edit?gid=609491371#gid=609491371"",""Form responses 1!J:J""),
      IMPORTRANGE(""1kOrIKZmJfNUkgOVP3sI9BPjaaPA0_a4636oymQxTXg8/edit?gid=609491371#gid=609491371"&amp;""",""Form responses 1!F:F"")=$B273
    ),
    1
  ),
  ""Not Found""
)"),1927.0)</f>
        <v>1927</v>
      </c>
      <c r="F273" s="284" t="str">
        <f>IFERROR(__xludf.DUMMYFUNCTION("IFERROR(
  INDEX(
    FILTER(
      IMPORTRANGE(""1kOrIKZmJfNUkgOVP3sI9BPjaaPA0_a4636oymQxTXg8/edit?gid=609491371#gid=609491371"",""Form responses 1!L:L""),
      IMPORTRANGE(""1kOrIKZmJfNUkgOVP3sI9BPjaaPA0_a4636oymQxTXg8/edit?gid=609491371#gid=609491371"&amp;""",""Form responses 1!F:F"")=$B273
    ),
    1
  ),
  ""Not Found""
)"),"NO")</f>
        <v>NO</v>
      </c>
      <c r="G273" s="284" t="str">
        <f>IFERROR(__xludf.DUMMYFUNCTION("IFERROR(
  INDEX(
    FILTER(
      IMPORTRANGE(""1kOrIKZmJfNUkgOVP3sI9BPjaaPA0_a4636oymQxTXg8/edit?gid=609491371#gid=609491371"",""Form responses 1!K:K""),
      IMPORTRANGE(""1kOrIKZmJfNUkgOVP3sI9BPjaaPA0_a4636oymQxTXg8/edit?gid=609491371#gid=609491371"&amp;""",""Form responses 1!F:F"")=$B273
    ),
    1
  ),
  ""Not Found""
)"),"No")</f>
        <v>No</v>
      </c>
      <c r="H273" s="230"/>
      <c r="I273" s="343">
        <v>1927.0</v>
      </c>
      <c r="J273" s="344">
        <v>1927.0</v>
      </c>
      <c r="K273" s="340"/>
      <c r="L273" s="340"/>
      <c r="M273" s="230"/>
      <c r="N273" s="230"/>
      <c r="O273" s="230"/>
      <c r="P273" s="230"/>
      <c r="Q273" s="230"/>
      <c r="R273" s="230"/>
      <c r="S273" s="230"/>
      <c r="T273" s="230"/>
      <c r="U273" s="230"/>
      <c r="V273" s="230"/>
      <c r="W273" s="230"/>
      <c r="X273" s="230"/>
      <c r="Y273" s="230"/>
      <c r="Z273" s="230"/>
    </row>
    <row r="274">
      <c r="A274" s="337" t="str">
        <f>IFERROR(__xludf.DUMMYFUNCTION("VLOOKUP($B274,IMPORTRANGE(""https://docs.google.com/spreadsheets/d/1VNXDITjs75AcgdBSW27oL1VZH31udDprJSsBcE5xlp4/edit?gid=1551188038#gid=1551188038"", ""Sheet9!$B:$E""),2,false)"),"Pakpattan")</f>
        <v>Pakpattan</v>
      </c>
      <c r="B274" s="341" t="s">
        <v>4681</v>
      </c>
      <c r="C274" s="284" t="str">
        <f>IFERROR(__xludf.DUMMYFUNCTION("IFERROR(
  INDEX(
    FILTER(
      IMPORTRANGE(""1Cxrhp3-_-HS7v9uuqQliiIfrmMP4VaFoDNDWyUFy2J8/edit?gid=0#gid=0"",""Sheet1!AE:AE""),
      IMPORTRANGE(""1Cxrhp3-_-HS7v9uuqQliiIfrmMP4VaFoDNDWyUFy2J8/edit?gid=0#gid=0"",""Sheet1!K:K"")=$B274
    ),
    1
  )"&amp;",
  ""Not Found""
)"),"Not Found")</f>
        <v>Not Found</v>
      </c>
      <c r="D274" s="284"/>
      <c r="E274" s="284">
        <f>IFERROR(__xludf.DUMMYFUNCTION("IFERROR(
  INDEX(
    FILTER(
      IMPORTRANGE(""1kOrIKZmJfNUkgOVP3sI9BPjaaPA0_a4636oymQxTXg8/edit?gid=609491371#gid=609491371"",""Form responses 1!J:J""),
      IMPORTRANGE(""1kOrIKZmJfNUkgOVP3sI9BPjaaPA0_a4636oymQxTXg8/edit?gid=609491371#gid=609491371"&amp;""",""Form responses 1!F:F"")=$B274
    ),
    1
  ),
  ""Not Found""
)"),1985.0)</f>
        <v>1985</v>
      </c>
      <c r="F274" s="284" t="str">
        <f>IFERROR(__xludf.DUMMYFUNCTION("IFERROR(
  INDEX(
    FILTER(
      IMPORTRANGE(""1kOrIKZmJfNUkgOVP3sI9BPjaaPA0_a4636oymQxTXg8/edit?gid=609491371#gid=609491371"",""Form responses 1!L:L""),
      IMPORTRANGE(""1kOrIKZmJfNUkgOVP3sI9BPjaaPA0_a4636oymQxTXg8/edit?gid=609491371#gid=609491371"&amp;""",""Form responses 1!F:F"")=$B274
    ),
    1
  ),
  ""Not Found""
)"),"Baba Abdul kareem")</f>
        <v>Baba Abdul kareem</v>
      </c>
      <c r="G274" s="284" t="str">
        <f>IFERROR(__xludf.DUMMYFUNCTION("IFERROR(
  INDEX(
    FILTER(
      IMPORTRANGE(""1kOrIKZmJfNUkgOVP3sI9BPjaaPA0_a4636oymQxTXg8/edit?gid=609491371#gid=609491371"",""Form responses 1!K:K""),
      IMPORTRANGE(""1kOrIKZmJfNUkgOVP3sI9BPjaaPA0_a4636oymQxTXg8/edit?gid=609491371#gid=609491371"&amp;""",""Form responses 1!F:F"")=$B274
    ),
    1
  ),
  ""Not Found""
)"),"No")</f>
        <v>No</v>
      </c>
      <c r="H274" s="230"/>
      <c r="I274" s="343">
        <v>1985.0</v>
      </c>
      <c r="J274" s="344">
        <v>1985.0</v>
      </c>
      <c r="K274" s="340"/>
      <c r="L274" s="340"/>
      <c r="M274" s="230"/>
      <c r="N274" s="230"/>
      <c r="O274" s="230"/>
      <c r="P274" s="230"/>
      <c r="Q274" s="230"/>
      <c r="R274" s="230"/>
      <c r="S274" s="230"/>
      <c r="T274" s="230"/>
      <c r="U274" s="230"/>
      <c r="V274" s="230"/>
      <c r="W274" s="230"/>
      <c r="X274" s="230"/>
      <c r="Y274" s="230"/>
      <c r="Z274" s="230"/>
    </row>
    <row r="275">
      <c r="A275" s="337" t="str">
        <f>IFERROR(__xludf.DUMMYFUNCTION("VLOOKUP($B275,IMPORTRANGE(""https://docs.google.com/spreadsheets/d/1VNXDITjs75AcgdBSW27oL1VZH31udDprJSsBcE5xlp4/edit?gid=1551188038#gid=1551188038"", ""Sheet9!$B:$E""),2,false)"),"Pakpattan")</f>
        <v>Pakpattan</v>
      </c>
      <c r="B275" s="341" t="s">
        <v>4682</v>
      </c>
      <c r="C275" s="284">
        <f>IFERROR(__xludf.DUMMYFUNCTION("IFERROR(
  INDEX(
    FILTER(
      IMPORTRANGE(""1Cxrhp3-_-HS7v9uuqQliiIfrmMP4VaFoDNDWyUFy2J8/edit?gid=0#gid=0"",""Sheet1!AE:AE""),
      IMPORTRANGE(""1Cxrhp3-_-HS7v9uuqQliiIfrmMP4VaFoDNDWyUFy2J8/edit?gid=0#gid=0"",""Sheet1!K:K"")=$B275
    ),
    1
  )"&amp;",
  ""Not Found""
)"),1985.0)</f>
        <v>1985</v>
      </c>
      <c r="D275" s="284" t="s">
        <v>4892</v>
      </c>
      <c r="E275" s="284">
        <f>IFERROR(__xludf.DUMMYFUNCTION("IFERROR(
  INDEX(
    FILTER(
      IMPORTRANGE(""1kOrIKZmJfNUkgOVP3sI9BPjaaPA0_a4636oymQxTXg8/edit?gid=609491371#gid=609491371"",""Form responses 1!J:J""),
      IMPORTRANGE(""1kOrIKZmJfNUkgOVP3sI9BPjaaPA0_a4636oymQxTXg8/edit?gid=609491371#gid=609491371"&amp;""",""Form responses 1!F:F"")=$B275
    ),
    1
  ),
  ""Not Found""
)"),1989.0)</f>
        <v>1989</v>
      </c>
      <c r="F275" s="284" t="str">
        <f>IFERROR(__xludf.DUMMYFUNCTION("IFERROR(
  INDEX(
    FILTER(
      IMPORTRANGE(""1kOrIKZmJfNUkgOVP3sI9BPjaaPA0_a4636oymQxTXg8/edit?gid=609491371#gid=609491371"",""Form responses 1!L:L""),
      IMPORTRANGE(""1kOrIKZmJfNUkgOVP3sI9BPjaaPA0_a4636oymQxTXg8/edit?gid=609491371#gid=609491371"&amp;""",""Form responses 1!F:F"")=$B275
    ),
    1
  ),
  ""Not Found""
)"),"Khuwaha Aziz Makki Sarkar Ra")</f>
        <v>Khuwaha Aziz Makki Sarkar Ra</v>
      </c>
      <c r="G275" s="284" t="str">
        <f>IFERROR(__xludf.DUMMYFUNCTION("IFERROR(
  INDEX(
    FILTER(
      IMPORTRANGE(""1kOrIKZmJfNUkgOVP3sI9BPjaaPA0_a4636oymQxTXg8/edit?gid=609491371#gid=609491371"",""Form responses 1!K:K""),
      IMPORTRANGE(""1kOrIKZmJfNUkgOVP3sI9BPjaaPA0_a4636oymQxTXg8/edit?gid=609491371#gid=609491371"&amp;""",""Form responses 1!F:F"")=$B275
    ),
    1
  ),
  ""Not Found""
)"),"No")</f>
        <v>No</v>
      </c>
      <c r="H275" s="230"/>
      <c r="I275" s="343">
        <v>1989.0</v>
      </c>
      <c r="J275" s="344">
        <v>1989.0</v>
      </c>
      <c r="K275" s="340"/>
      <c r="L275" s="340"/>
      <c r="M275" s="230"/>
      <c r="N275" s="230"/>
      <c r="O275" s="230"/>
      <c r="P275" s="230"/>
      <c r="Q275" s="230"/>
      <c r="R275" s="230"/>
      <c r="S275" s="230"/>
      <c r="T275" s="230"/>
      <c r="U275" s="230"/>
      <c r="V275" s="230"/>
      <c r="W275" s="230"/>
      <c r="X275" s="230"/>
      <c r="Y275" s="230"/>
      <c r="Z275" s="230"/>
    </row>
    <row r="276">
      <c r="A276" s="337" t="str">
        <f>IFERROR(__xludf.DUMMYFUNCTION("VLOOKUP($B276,IMPORTRANGE(""https://docs.google.com/spreadsheets/d/1VNXDITjs75AcgdBSW27oL1VZH31udDprJSsBcE5xlp4/edit?gid=1551188038#gid=1551188038"", ""Sheet9!$B:$E""),2,false)"),"Pakpattan")</f>
        <v>Pakpattan</v>
      </c>
      <c r="B276" s="341" t="s">
        <v>4683</v>
      </c>
      <c r="C276" s="284">
        <f>IFERROR(__xludf.DUMMYFUNCTION("IFERROR(
  INDEX(
    FILTER(
      IMPORTRANGE(""1Cxrhp3-_-HS7v9uuqQliiIfrmMP4VaFoDNDWyUFy2J8/edit?gid=0#gid=0"",""Sheet1!AE:AE""),
      IMPORTRANGE(""1Cxrhp3-_-HS7v9uuqQliiIfrmMP4VaFoDNDWyUFy2J8/edit?gid=0#gid=0"",""Sheet1!K:K"")=$B276
    ),
    1
  )"&amp;",
  ""Not Found""
)"),1950.0)</f>
        <v>1950</v>
      </c>
      <c r="D276" s="284" t="str">
        <f>IFERROR(__xludf.DUMMYFUNCTION("IFERROR(
  INDEX(
    FILTER(
      IMPORTRANGE(""1Cxrhp3-_-HS7v9uuqQliiIfrmMP4VaFoDNDWyUFy2J8/edit?gid=0#gid=0"",""Sheet1!AG:AG""),
      IMPORTRANGE(""1Cxrhp3-_-HS7v9uuqQliiIfrmMP4VaFoDNDWyUFy2J8/edit?gid=0#gid=0"",""Sheet1!K:K"")=$B276
    ),
    1
  )"&amp;",
  ""Not Found""
)"),"")</f>
        <v/>
      </c>
      <c r="E276" s="284">
        <f>IFERROR(__xludf.DUMMYFUNCTION("IFERROR(
  INDEX(
    FILTER(
      IMPORTRANGE(""1kOrIKZmJfNUkgOVP3sI9BPjaaPA0_a4636oymQxTXg8/edit?gid=609491371#gid=609491371"",""Form responses 1!J:J""),
      IMPORTRANGE(""1kOrIKZmJfNUkgOVP3sI9BPjaaPA0_a4636oymQxTXg8/edit?gid=609491371#gid=609491371"&amp;""",""Form responses 1!F:F"")=$B276
    ),
    1
  ),
  ""Not Found""
)"),1949.0)</f>
        <v>1949</v>
      </c>
      <c r="F276" s="284" t="str">
        <f>IFERROR(__xludf.DUMMYFUNCTION("IFERROR(
  INDEX(
    FILTER(
      IMPORTRANGE(""1kOrIKZmJfNUkgOVP3sI9BPjaaPA0_a4636oymQxTXg8/edit?gid=609491371#gid=609491371"",""Form responses 1!L:L""),
      IMPORTRANGE(""1kOrIKZmJfNUkgOVP3sI9BPjaaPA0_a4636oymQxTXg8/edit?gid=609491371#gid=609491371"&amp;""",""Form responses 1!F:F"")=$B276
    ),
    1
  ),
  ""Not Found""
)"),"NO")</f>
        <v>NO</v>
      </c>
      <c r="G276" s="284" t="str">
        <f>IFERROR(__xludf.DUMMYFUNCTION("IFERROR(
  INDEX(
    FILTER(
      IMPORTRANGE(""1kOrIKZmJfNUkgOVP3sI9BPjaaPA0_a4636oymQxTXg8/edit?gid=609491371#gid=609491371"",""Form responses 1!K:K""),
      IMPORTRANGE(""1kOrIKZmJfNUkgOVP3sI9BPjaaPA0_a4636oymQxTXg8/edit?gid=609491371#gid=609491371"&amp;""",""Form responses 1!F:F"")=$B276
    ),
    1
  ),
  ""Not Found""
)"),"No")</f>
        <v>No</v>
      </c>
      <c r="H276" s="230"/>
      <c r="I276" s="343">
        <v>1949.0</v>
      </c>
      <c r="J276" s="344">
        <v>1949.0</v>
      </c>
      <c r="K276" s="340"/>
      <c r="L276" s="340"/>
      <c r="M276" s="230"/>
      <c r="N276" s="230"/>
      <c r="O276" s="230"/>
      <c r="P276" s="230"/>
      <c r="Q276" s="230"/>
      <c r="R276" s="230"/>
      <c r="S276" s="230"/>
      <c r="T276" s="230"/>
      <c r="U276" s="230"/>
      <c r="V276" s="230"/>
      <c r="W276" s="230"/>
      <c r="X276" s="230"/>
      <c r="Y276" s="230"/>
      <c r="Z276" s="230"/>
    </row>
    <row r="277">
      <c r="A277" s="337" t="str">
        <f>IFERROR(__xludf.DUMMYFUNCTION("VLOOKUP($B277,IMPORTRANGE(""https://docs.google.com/spreadsheets/d/1VNXDITjs75AcgdBSW27oL1VZH31udDprJSsBcE5xlp4/edit?gid=1551188038#gid=1551188038"", ""Sheet9!$B:$E""),2,false)"),"Pakpattan")</f>
        <v>Pakpattan</v>
      </c>
      <c r="B277" s="341" t="s">
        <v>4684</v>
      </c>
      <c r="C277" s="284">
        <f>IFERROR(__xludf.DUMMYFUNCTION("IFERROR(
  INDEX(
    FILTER(
      IMPORTRANGE(""1Cxrhp3-_-HS7v9uuqQliiIfrmMP4VaFoDNDWyUFy2J8/edit?gid=0#gid=0"",""Sheet1!AE:AE""),
      IMPORTRANGE(""1Cxrhp3-_-HS7v9uuqQliiIfrmMP4VaFoDNDWyUFy2J8/edit?gid=0#gid=0"",""Sheet1!K:K"")=$B277
    ),
    1
  )"&amp;",
  ""Not Found""
)"),2020.0)</f>
        <v>2020</v>
      </c>
      <c r="D277" s="284" t="s">
        <v>4893</v>
      </c>
      <c r="E277" s="284">
        <f>IFERROR(__xludf.DUMMYFUNCTION("IFERROR(
  INDEX(
    FILTER(
      IMPORTRANGE(""1kOrIKZmJfNUkgOVP3sI9BPjaaPA0_a4636oymQxTXg8/edit?gid=609491371#gid=609491371"",""Form responses 1!J:J""),
      IMPORTRANGE(""1kOrIKZmJfNUkgOVP3sI9BPjaaPA0_a4636oymQxTXg8/edit?gid=609491371#gid=609491371"&amp;""",""Form responses 1!F:F"")=$B277
    ),
    1
  ),
  ""Not Found""
)"),2020.0)</f>
        <v>2020</v>
      </c>
      <c r="F277" s="284" t="str">
        <f>IFERROR(__xludf.DUMMYFUNCTION("IFERROR(
  INDEX(
    FILTER(
      IMPORTRANGE(""1kOrIKZmJfNUkgOVP3sI9BPjaaPA0_a4636oymQxTXg8/edit?gid=609491371#gid=609491371"",""Form responses 1!L:L""),
      IMPORTRANGE(""1kOrIKZmJfNUkgOVP3sI9BPjaaPA0_a4636oymQxTXg8/edit?gid=609491371#gid=609491371"&amp;""",""Form responses 1!F:F"")=$B277
    ),
    1
  ),
  ""Not Found""
)"),"Hazrat Baba  badar ul din eshaq RA")</f>
        <v>Hazrat Baba  badar ul din eshaq RA</v>
      </c>
      <c r="G277" s="284" t="str">
        <f>IFERROR(__xludf.DUMMYFUNCTION("IFERROR(
  INDEX(
    FILTER(
      IMPORTRANGE(""1kOrIKZmJfNUkgOVP3sI9BPjaaPA0_a4636oymQxTXg8/edit?gid=609491371#gid=609491371"",""Form responses 1!K:K""),
      IMPORTRANGE(""1kOrIKZmJfNUkgOVP3sI9BPjaaPA0_a4636oymQxTXg8/edit?gid=609491371#gid=609491371"&amp;""",""Form responses 1!F:F"")=$B277
    ),
    1
  ),
  ""Not Found""
)"),"No")</f>
        <v>No</v>
      </c>
      <c r="H277" s="230"/>
      <c r="I277" s="230">
        <v>2020.0</v>
      </c>
      <c r="J277" s="339">
        <f>IFERROR(__xludf.DUMMYFUNCTION("IFERROR(
  INDEX(
    FILTER(
      IMPORTRANGE(""1Cxrhp3-_-HS7v9uuqQliiIfrmMP4VaFoDNDWyUFy2J8/edit?gid=0#gid=0"",""Sheet1!AE:AE""),
      IMPORTRANGE(""1Cxrhp3-_-HS7v9uuqQliiIfrmMP4VaFoDNDWyUFy2J8/edit?gid=0#gid=0"",""Sheet1!K:K"")=$B277
    ),
    1
  )"&amp;",
  ""Not Found""
)"),2020.0)</f>
        <v>2020</v>
      </c>
      <c r="K277" s="340"/>
      <c r="L277" s="340"/>
      <c r="M277" s="230"/>
      <c r="N277" s="230"/>
      <c r="O277" s="230"/>
      <c r="P277" s="230"/>
      <c r="Q277" s="230"/>
      <c r="R277" s="230"/>
      <c r="S277" s="230"/>
      <c r="T277" s="230"/>
      <c r="U277" s="230"/>
      <c r="V277" s="230"/>
      <c r="W277" s="230"/>
      <c r="X277" s="230"/>
      <c r="Y277" s="230"/>
      <c r="Z277" s="230"/>
    </row>
    <row r="278">
      <c r="A278" s="337" t="str">
        <f>IFERROR(__xludf.DUMMYFUNCTION("VLOOKUP($B278,IMPORTRANGE(""https://docs.google.com/spreadsheets/d/1VNXDITjs75AcgdBSW27oL1VZH31udDprJSsBcE5xlp4/edit?gid=1551188038#gid=1551188038"", ""Sheet9!$B:$E""),2,false)"),"Pakpattan")</f>
        <v>Pakpattan</v>
      </c>
      <c r="B278" s="341" t="s">
        <v>4685</v>
      </c>
      <c r="C278" s="284" t="str">
        <f>IFERROR(__xludf.DUMMYFUNCTION("IFERROR(
  INDEX(
    FILTER(
      IMPORTRANGE(""1Cxrhp3-_-HS7v9uuqQliiIfrmMP4VaFoDNDWyUFy2J8/edit?gid=0#gid=0"",""Sheet1!AE:AE""),
      IMPORTRANGE(""1Cxrhp3-_-HS7v9uuqQliiIfrmMP4VaFoDNDWyUFy2J8/edit?gid=0#gid=0"",""Sheet1!K:K"")=$B278
    ),
    1
  )"&amp;",
  ""Not Found""
)"),"Not Found")</f>
        <v>Not Found</v>
      </c>
      <c r="D278" s="284"/>
      <c r="E278" s="284">
        <f>IFERROR(__xludf.DUMMYFUNCTION("IFERROR(
  INDEX(
    FILTER(
      IMPORTRANGE(""1kOrIKZmJfNUkgOVP3sI9BPjaaPA0_a4636oymQxTXg8/edit?gid=609491371#gid=609491371"",""Form responses 1!J:J""),
      IMPORTRANGE(""1kOrIKZmJfNUkgOVP3sI9BPjaaPA0_a4636oymQxTXg8/edit?gid=609491371#gid=609491371"&amp;""",""Form responses 1!F:F"")=$B278
    ),
    1
  ),
  ""Not Found""
)"),1960.0)</f>
        <v>1960</v>
      </c>
      <c r="F278" s="284" t="str">
        <f>IFERROR(__xludf.DUMMYFUNCTION("IFERROR(
  INDEX(
    FILTER(
      IMPORTRANGE(""1kOrIKZmJfNUkgOVP3sI9BPjaaPA0_a4636oymQxTXg8/edit?gid=609491371#gid=609491371"",""Form responses 1!L:L""),
      IMPORTRANGE(""1kOrIKZmJfNUkgOVP3sI9BPjaaPA0_a4636oymQxTXg8/edit?gid=609491371#gid=609491371"&amp;""",""Form responses 1!F:F"")=$B278
    ),
    1
  ),
  ""Not Found""
)"),"Hazrat Baba Farid Gunj Shakar RA")</f>
        <v>Hazrat Baba Farid Gunj Shakar RA</v>
      </c>
      <c r="G278" s="284" t="str">
        <f>IFERROR(__xludf.DUMMYFUNCTION("IFERROR(
  INDEX(
    FILTER(
      IMPORTRANGE(""1kOrIKZmJfNUkgOVP3sI9BPjaaPA0_a4636oymQxTXg8/edit?gid=609491371#gid=609491371"",""Form responses 1!K:K""),
      IMPORTRANGE(""1kOrIKZmJfNUkgOVP3sI9BPjaaPA0_a4636oymQxTXg8/edit?gid=609491371#gid=609491371"&amp;""",""Form responses 1!F:F"")=$B278
    ),
    1
  ),
  ""Not Found""
)"),"Yes")</f>
        <v>Yes</v>
      </c>
      <c r="H278" s="230"/>
      <c r="I278" s="343">
        <v>1960.0</v>
      </c>
      <c r="J278" s="344">
        <v>1960.0</v>
      </c>
      <c r="K278" s="340"/>
      <c r="L278" s="340"/>
      <c r="M278" s="230"/>
      <c r="N278" s="230"/>
      <c r="O278" s="230"/>
      <c r="P278" s="230"/>
      <c r="Q278" s="230"/>
      <c r="R278" s="230"/>
      <c r="S278" s="230"/>
      <c r="T278" s="230"/>
      <c r="U278" s="230"/>
      <c r="V278" s="230"/>
      <c r="W278" s="230"/>
      <c r="X278" s="230"/>
      <c r="Y278" s="230"/>
      <c r="Z278" s="230"/>
    </row>
    <row r="279">
      <c r="A279" s="337" t="str">
        <f>IFERROR(__xludf.DUMMYFUNCTION("VLOOKUP($B279,IMPORTRANGE(""https://docs.google.com/spreadsheets/d/1VNXDITjs75AcgdBSW27oL1VZH31udDprJSsBcE5xlp4/edit?gid=1551188038#gid=1551188038"", ""Sheet9!$B:$E""),2,false)"),"Rawalpindi")</f>
        <v>Rawalpindi</v>
      </c>
      <c r="B279" s="341" t="s">
        <v>4305</v>
      </c>
      <c r="C279" s="284">
        <f>IFERROR(__xludf.DUMMYFUNCTION("IFERROR(
  INDEX(
    FILTER(
      IMPORTRANGE(""1Cxrhp3-_-HS7v9uuqQliiIfrmMP4VaFoDNDWyUFy2J8/edit?gid=0#gid=0"",""Sheet1!AE:AE""),
      IMPORTRANGE(""1Cxrhp3-_-HS7v9uuqQliiIfrmMP4VaFoDNDWyUFy2J8/edit?gid=0#gid=0"",""Sheet1!K:K"")=$B279
    ),
    1
  )"&amp;",
  ""Not Found""
)"),1997.0)</f>
        <v>1997</v>
      </c>
      <c r="D279" s="284" t="s">
        <v>4895</v>
      </c>
      <c r="E279" s="284">
        <f>IFERROR(__xludf.DUMMYFUNCTION("IFERROR(
  INDEX(
    FILTER(
      IMPORTRANGE(""1kOrIKZmJfNUkgOVP3sI9BPjaaPA0_a4636oymQxTXg8/edit?gid=609491371#gid=609491371"",""Form responses 1!J:J""),
      IMPORTRANGE(""1kOrIKZmJfNUkgOVP3sI9BPjaaPA0_a4636oymQxTXg8/edit?gid=609491371#gid=609491371"&amp;""",""Form responses 1!F:F"")=$B279
    ),
    1
  ),
  ""Not Found""
)"),1925.0)</f>
        <v>1925</v>
      </c>
      <c r="F279" s="284" t="str">
        <f>IFERROR(__xludf.DUMMYFUNCTION("IFERROR(
  INDEX(
    FILTER(
      IMPORTRANGE(""1kOrIKZmJfNUkgOVP3sI9BPjaaPA0_a4636oymQxTXg8/edit?gid=609491371#gid=609491371"",""Form responses 1!L:L""),
      IMPORTRANGE(""1kOrIKZmJfNUkgOVP3sI9BPjaaPA0_a4636oymQxTXg8/edit?gid=609491371#gid=609491371"&amp;""",""Form responses 1!F:F"")=$B279
    ),
    1
  ),
  ""Not Found""
)"),"Hazrat peer Abdul Ghani")</f>
        <v>Hazrat peer Abdul Ghani</v>
      </c>
      <c r="G279" s="284" t="str">
        <f>IFERROR(__xludf.DUMMYFUNCTION("IFERROR(
  INDEX(
    FILTER(
      IMPORTRANGE(""1kOrIKZmJfNUkgOVP3sI9BPjaaPA0_a4636oymQxTXg8/edit?gid=609491371#gid=609491371"",""Form responses 1!K:K""),
      IMPORTRANGE(""1kOrIKZmJfNUkgOVP3sI9BPjaaPA0_a4636oymQxTXg8/edit?gid=609491371#gid=609491371"&amp;""",""Form responses 1!F:F"")=$B279
    ),
    1
  ),
  ""Not Found""
)"),"No")</f>
        <v>No</v>
      </c>
      <c r="H279" s="230"/>
      <c r="I279" s="343">
        <v>1925.0</v>
      </c>
      <c r="J279" s="344">
        <v>1925.0</v>
      </c>
      <c r="K279" s="340"/>
      <c r="L279" s="340"/>
      <c r="M279" s="230"/>
      <c r="N279" s="230"/>
      <c r="O279" s="230"/>
      <c r="P279" s="230"/>
      <c r="Q279" s="230"/>
      <c r="R279" s="230"/>
      <c r="S279" s="230"/>
      <c r="T279" s="230"/>
      <c r="U279" s="230"/>
      <c r="V279" s="230"/>
      <c r="W279" s="230"/>
      <c r="X279" s="230"/>
      <c r="Y279" s="230"/>
      <c r="Z279" s="230"/>
    </row>
    <row r="280">
      <c r="A280" s="337" t="str">
        <f>IFERROR(__xludf.DUMMYFUNCTION("VLOOKUP($B280,IMPORTRANGE(""https://docs.google.com/spreadsheets/d/1VNXDITjs75AcgdBSW27oL1VZH31udDprJSsBcE5xlp4/edit?gid=1551188038#gid=1551188038"", ""Sheet9!$B:$E""),2,false)"),"Rawalpindi")</f>
        <v>Rawalpindi</v>
      </c>
      <c r="B280" s="341" t="s">
        <v>4324</v>
      </c>
      <c r="C280" s="284">
        <f>IFERROR(__xludf.DUMMYFUNCTION("IFERROR(
  INDEX(
    FILTER(
      IMPORTRANGE(""1Cxrhp3-_-HS7v9uuqQliiIfrmMP4VaFoDNDWyUFy2J8/edit?gid=0#gid=0"",""Sheet1!AE:AE""),
      IMPORTRANGE(""1Cxrhp3-_-HS7v9uuqQliiIfrmMP4VaFoDNDWyUFy2J8/edit?gid=0#gid=0"",""Sheet1!K:K"")=$B280
    ),
    1
  )"&amp;",
  ""Not Found""
)"),1964.0)</f>
        <v>1964</v>
      </c>
      <c r="D280" s="284" t="str">
        <f>IFERROR(__xludf.DUMMYFUNCTION("IFERROR(
  INDEX(
    FILTER(
      IMPORTRANGE(""1Cxrhp3-_-HS7v9uuqQliiIfrmMP4VaFoDNDWyUFy2J8/edit?gid=0#gid=0"",""Sheet1!AG:AG""),
      IMPORTRANGE(""1Cxrhp3-_-HS7v9uuqQliiIfrmMP4VaFoDNDWyUFy2J8/edit?gid=0#gid=0"",""Sheet1!K:K"")=$B280
    ),
    1
  )"&amp;",
  ""Not Found""
)"),"Hazrat Syed baba ghor Ali shah ")</f>
        <v>Hazrat Syed baba ghor Ali shah </v>
      </c>
      <c r="E280" s="284">
        <f>IFERROR(__xludf.DUMMYFUNCTION("IFERROR(
  INDEX(
    FILTER(
      IMPORTRANGE(""1kOrIKZmJfNUkgOVP3sI9BPjaaPA0_a4636oymQxTXg8/edit?gid=609491371#gid=609491371"",""Form responses 1!J:J""),
      IMPORTRANGE(""1kOrIKZmJfNUkgOVP3sI9BPjaaPA0_a4636oymQxTXg8/edit?gid=609491371#gid=609491371"&amp;""",""Form responses 1!F:F"")=$B280
    ),
    1
  ),
  ""Not Found""
)"),1964.0)</f>
        <v>1964</v>
      </c>
      <c r="F280" s="284" t="str">
        <f>IFERROR(__xludf.DUMMYFUNCTION("IFERROR(
  INDEX(
    FILTER(
      IMPORTRANGE(""1kOrIKZmJfNUkgOVP3sI9BPjaaPA0_a4636oymQxTXg8/edit?gid=609491371#gid=609491371"",""Form responses 1!L:L""),
      IMPORTRANGE(""1kOrIKZmJfNUkgOVP3sI9BPjaaPA0_a4636oymQxTXg8/edit?gid=609491371#gid=609491371"&amp;""",""Form responses 1!F:F"")=$B280
    ),
    1
  ),
  ""Not Found""
)"),"Hazrat Baba Goahar Ali shah RA")</f>
        <v>Hazrat Baba Goahar Ali shah RA</v>
      </c>
      <c r="G280" s="284" t="str">
        <f>IFERROR(__xludf.DUMMYFUNCTION("IFERROR(
  INDEX(
    FILTER(
      IMPORTRANGE(""1kOrIKZmJfNUkgOVP3sI9BPjaaPA0_a4636oymQxTXg8/edit?gid=609491371#gid=609491371"",""Form responses 1!K:K""),
      IMPORTRANGE(""1kOrIKZmJfNUkgOVP3sI9BPjaaPA0_a4636oymQxTXg8/edit?gid=609491371#gid=609491371"&amp;""",""Form responses 1!F:F"")=$B280
    ),
    1
  ),
  ""Not Found""
)"),"No")</f>
        <v>No</v>
      </c>
      <c r="H280" s="230"/>
      <c r="I280" s="230">
        <v>1964.0</v>
      </c>
      <c r="J280" s="339">
        <f>IFERROR(__xludf.DUMMYFUNCTION("IFERROR(
  INDEX(
    FILTER(
      IMPORTRANGE(""1Cxrhp3-_-HS7v9uuqQliiIfrmMP4VaFoDNDWyUFy2J8/edit?gid=0#gid=0"",""Sheet1!AE:AE""),
      IMPORTRANGE(""1Cxrhp3-_-HS7v9uuqQliiIfrmMP4VaFoDNDWyUFy2J8/edit?gid=0#gid=0"",""Sheet1!K:K"")=$B280
    ),
    1
  )"&amp;",
  ""Not Found""
)"),1964.0)</f>
        <v>1964</v>
      </c>
      <c r="K280" s="340"/>
      <c r="L280" s="340"/>
      <c r="M280" s="230"/>
      <c r="N280" s="230"/>
      <c r="O280" s="230"/>
      <c r="P280" s="230"/>
      <c r="Q280" s="230"/>
      <c r="R280" s="230"/>
      <c r="S280" s="230"/>
      <c r="T280" s="230"/>
      <c r="U280" s="230"/>
      <c r="V280" s="230"/>
      <c r="W280" s="230"/>
      <c r="X280" s="230"/>
      <c r="Y280" s="230"/>
      <c r="Z280" s="230"/>
    </row>
    <row r="281">
      <c r="A281" s="337" t="str">
        <f>IFERROR(__xludf.DUMMYFUNCTION("VLOOKUP($B281,IMPORTRANGE(""https://docs.google.com/spreadsheets/d/1VNXDITjs75AcgdBSW27oL1VZH31udDprJSsBcE5xlp4/edit?gid=1551188038#gid=1551188038"", ""Sheet9!$B:$E""),2,false)"),"Rawalpindi")</f>
        <v>Rawalpindi</v>
      </c>
      <c r="B281" s="341" t="s">
        <v>4389</v>
      </c>
      <c r="C281" s="284" t="str">
        <f>IFERROR(__xludf.DUMMYFUNCTION("IFERROR(
  INDEX(
    FILTER(
      IMPORTRANGE(""1Cxrhp3-_-HS7v9uuqQliiIfrmMP4VaFoDNDWyUFy2J8/edit?gid=0#gid=0"",""Sheet1!AE:AE""),
      IMPORTRANGE(""1Cxrhp3-_-HS7v9uuqQliiIfrmMP4VaFoDNDWyUFy2J8/edit?gid=0#gid=0"",""Sheet1!K:K"")=$B281
    ),
    1
  )"&amp;",
  ""Not Found""
)"),"Not Found")</f>
        <v>Not Found</v>
      </c>
      <c r="D281" s="284"/>
      <c r="E281" s="284">
        <f>IFERROR(__xludf.DUMMYFUNCTION("IFERROR(
  INDEX(
    FILTER(
      IMPORTRANGE(""1kOrIKZmJfNUkgOVP3sI9BPjaaPA0_a4636oymQxTXg8/edit?gid=609491371#gid=609491371"",""Form responses 1!J:J""),
      IMPORTRANGE(""1kOrIKZmJfNUkgOVP3sI9BPjaaPA0_a4636oymQxTXg8/edit?gid=609491371#gid=609491371"&amp;""",""Form responses 1!F:F"")=$B281
    ),
    1
  ),
  ""Not Found""
)"),1901.0)</f>
        <v>1901</v>
      </c>
      <c r="F281" s="284" t="str">
        <f>IFERROR(__xludf.DUMMYFUNCTION("IFERROR(
  INDEX(
    FILTER(
      IMPORTRANGE(""1kOrIKZmJfNUkgOVP3sI9BPjaaPA0_a4636oymQxTXg8/edit?gid=609491371#gid=609491371"",""Form responses 1!L:L""),
      IMPORTRANGE(""1kOrIKZmJfNUkgOVP3sI9BPjaaPA0_a4636oymQxTXg8/edit?gid=609491371#gid=609491371"&amp;""",""Form responses 1!F:F"")=$B281
    ),
    1
  ),
  ""Not Found""
)"),"No")</f>
        <v>No</v>
      </c>
      <c r="G281" s="284" t="str">
        <f>IFERROR(__xludf.DUMMYFUNCTION("IFERROR(
  INDEX(
    FILTER(
      IMPORTRANGE(""1kOrIKZmJfNUkgOVP3sI9BPjaaPA0_a4636oymQxTXg8/edit?gid=609491371#gid=609491371"",""Form responses 1!K:K""),
      IMPORTRANGE(""1kOrIKZmJfNUkgOVP3sI9BPjaaPA0_a4636oymQxTXg8/edit?gid=609491371#gid=609491371"&amp;""",""Form responses 1!F:F"")=$B281
    ),
    1
  ),
  ""Not Found""
)"),"No")</f>
        <v>No</v>
      </c>
      <c r="H281" s="230"/>
      <c r="I281" s="343">
        <v>1901.0</v>
      </c>
      <c r="J281" s="344">
        <v>1901.0</v>
      </c>
      <c r="K281" s="340"/>
      <c r="L281" s="340"/>
      <c r="M281" s="230"/>
      <c r="N281" s="230"/>
      <c r="O281" s="230"/>
      <c r="P281" s="230"/>
      <c r="Q281" s="230"/>
      <c r="R281" s="230"/>
      <c r="S281" s="230"/>
      <c r="T281" s="230"/>
      <c r="U281" s="230"/>
      <c r="V281" s="230"/>
      <c r="W281" s="230"/>
      <c r="X281" s="230"/>
      <c r="Y281" s="230"/>
      <c r="Z281" s="230"/>
    </row>
    <row r="282">
      <c r="A282" s="337" t="str">
        <f>IFERROR(__xludf.DUMMYFUNCTION("VLOOKUP($B282,IMPORTRANGE(""https://docs.google.com/spreadsheets/d/1VNXDITjs75AcgdBSW27oL1VZH31udDprJSsBcE5xlp4/edit?gid=1551188038#gid=1551188038"", ""Sheet9!$B:$E""),2,false)"),"Rawalpindi")</f>
        <v>Rawalpindi</v>
      </c>
      <c r="B282" s="341" t="s">
        <v>4311</v>
      </c>
      <c r="C282" s="284">
        <f>IFERROR(__xludf.DUMMYFUNCTION("IFERROR(
  INDEX(
    FILTER(
      IMPORTRANGE(""1Cxrhp3-_-HS7v9uuqQliiIfrmMP4VaFoDNDWyUFy2J8/edit?gid=0#gid=0"",""Sheet1!AE:AE""),
      IMPORTRANGE(""1Cxrhp3-_-HS7v9uuqQliiIfrmMP4VaFoDNDWyUFy2J8/edit?gid=0#gid=0"",""Sheet1!K:K"")=$B282
    ),
    1
  )"&amp;",
  ""Not Found""
)"),1980.0)</f>
        <v>1980</v>
      </c>
      <c r="D282" s="284"/>
      <c r="E282" s="284" t="str">
        <f>IFERROR(__xludf.DUMMYFUNCTION("IFERROR(
  INDEX(
    FILTER(
      IMPORTRANGE(""1kOrIKZmJfNUkgOVP3sI9BPjaaPA0_a4636oymQxTXg8/edit?gid=609491371#gid=609491371"",""Form responses 1!J:J""),
      IMPORTRANGE(""1kOrIKZmJfNUkgOVP3sI9BPjaaPA0_a4636oymQxTXg8/edit?gid=609491371#gid=609491371"&amp;""",""Form responses 1!F:F"")=$B282
    ),
    1
  ),
  ""Not Found""
)"),"-")</f>
        <v>-</v>
      </c>
      <c r="F282" s="284" t="str">
        <f>IFERROR(__xludf.DUMMYFUNCTION("IFERROR(
  INDEX(
    FILTER(
      IMPORTRANGE(""1kOrIKZmJfNUkgOVP3sI9BPjaaPA0_a4636oymQxTXg8/edit?gid=609491371#gid=609491371"",""Form responses 1!L:L""),
      IMPORTRANGE(""1kOrIKZmJfNUkgOVP3sI9BPjaaPA0_a4636oymQxTXg8/edit?gid=609491371#gid=609491371"&amp;""",""Form responses 1!F:F"")=$B282
    ),
    1
  ),
  ""Not Found""
)"),"Hazrat Dausd Shah Haqani RA")</f>
        <v>Hazrat Dausd Shah Haqani RA</v>
      </c>
      <c r="G282" s="284" t="str">
        <f>IFERROR(__xludf.DUMMYFUNCTION("IFERROR(
  INDEX(
    FILTER(
      IMPORTRANGE(""1kOrIKZmJfNUkgOVP3sI9BPjaaPA0_a4636oymQxTXg8/edit?gid=609491371#gid=609491371"",""Form responses 1!K:K""),
      IMPORTRANGE(""1kOrIKZmJfNUkgOVP3sI9BPjaaPA0_a4636oymQxTXg8/edit?gid=609491371#gid=609491371"&amp;""",""Form responses 1!F:F"")=$B282
    ),
    1
  ),
  ""Not Found""
)"),"No")</f>
        <v>No</v>
      </c>
      <c r="H282" s="230"/>
      <c r="I282" s="230"/>
      <c r="J282" s="339">
        <f>IFERROR(__xludf.DUMMYFUNCTION("IFERROR(
  INDEX(
    FILTER(
      IMPORTRANGE(""1Cxrhp3-_-HS7v9uuqQliiIfrmMP4VaFoDNDWyUFy2J8/edit?gid=0#gid=0"",""Sheet1!AE:AE""),
      IMPORTRANGE(""1Cxrhp3-_-HS7v9uuqQliiIfrmMP4VaFoDNDWyUFy2J8/edit?gid=0#gid=0"",""Sheet1!K:K"")=$B282
    ),
    1
  )"&amp;",
  ""Not Found""
)"),1980.0)</f>
        <v>1980</v>
      </c>
      <c r="K282" s="340"/>
      <c r="L282" s="340"/>
      <c r="M282" s="230"/>
      <c r="N282" s="230"/>
      <c r="O282" s="230"/>
      <c r="P282" s="230"/>
      <c r="Q282" s="230"/>
      <c r="R282" s="230"/>
      <c r="S282" s="230"/>
      <c r="T282" s="230"/>
      <c r="U282" s="230"/>
      <c r="V282" s="230"/>
      <c r="W282" s="230"/>
      <c r="X282" s="230"/>
      <c r="Y282" s="230"/>
      <c r="Z282" s="230"/>
    </row>
    <row r="283">
      <c r="A283" s="337" t="str">
        <f>IFERROR(__xludf.DUMMYFUNCTION("VLOOKUP($B283,IMPORTRANGE(""https://docs.google.com/spreadsheets/d/1VNXDITjs75AcgdBSW27oL1VZH31udDprJSsBcE5xlp4/edit?gid=1551188038#gid=1551188038"", ""Sheet9!$B:$E""),2,false)"),"Rawalpindi")</f>
        <v>Rawalpindi</v>
      </c>
      <c r="B283" s="341" t="s">
        <v>4331</v>
      </c>
      <c r="C283" s="284">
        <f>IFERROR(__xludf.DUMMYFUNCTION("IFERROR(
  INDEX(
    FILTER(
      IMPORTRANGE(""1Cxrhp3-_-HS7v9uuqQliiIfrmMP4VaFoDNDWyUFy2J8/edit?gid=0#gid=0"",""Sheet1!AE:AE""),
      IMPORTRANGE(""1Cxrhp3-_-HS7v9uuqQliiIfrmMP4VaFoDNDWyUFy2J8/edit?gid=0#gid=0"",""Sheet1!K:K"")=$B283
    ),
    1
  )"&amp;",
  ""Not Found""
)"),1940.0)</f>
        <v>1940</v>
      </c>
      <c r="D283" s="284"/>
      <c r="E283" s="284">
        <f>IFERROR(__xludf.DUMMYFUNCTION("IFERROR(
  INDEX(
    FILTER(
      IMPORTRANGE(""1kOrIKZmJfNUkgOVP3sI9BPjaaPA0_a4636oymQxTXg8/edit?gid=609491371#gid=609491371"",""Form responses 1!J:J""),
      IMPORTRANGE(""1kOrIKZmJfNUkgOVP3sI9BPjaaPA0_a4636oymQxTXg8/edit?gid=609491371#gid=609491371"&amp;""",""Form responses 1!F:F"")=$B283
    ),
    1
  ),
  ""Not Found""
)"),1945.0)</f>
        <v>1945</v>
      </c>
      <c r="F283" s="284" t="str">
        <f>IFERROR(__xludf.DUMMYFUNCTION("IFERROR(
  INDEX(
    FILTER(
      IMPORTRANGE(""1kOrIKZmJfNUkgOVP3sI9BPjaaPA0_a4636oymQxTXg8/edit?gid=609491371#gid=609491371"",""Form responses 1!L:L""),
      IMPORTRANGE(""1kOrIKZmJfNUkgOVP3sI9BPjaaPA0_a4636oymQxTXg8/edit?gid=609491371#gid=609491371"&amp;""",""Form responses 1!F:F"")=$B283
    ),
    1
  ),
  ""Not Found""
)"),"no")</f>
        <v>no</v>
      </c>
      <c r="G283" s="284" t="str">
        <f>IFERROR(__xludf.DUMMYFUNCTION("IFERROR(
  INDEX(
    FILTER(
      IMPORTRANGE(""1kOrIKZmJfNUkgOVP3sI9BPjaaPA0_a4636oymQxTXg8/edit?gid=609491371#gid=609491371"",""Form responses 1!K:K""),
      IMPORTRANGE(""1kOrIKZmJfNUkgOVP3sI9BPjaaPA0_a4636oymQxTXg8/edit?gid=609491371#gid=609491371"&amp;""",""Form responses 1!F:F"")=$B283
    ),
    1
  ),
  ""Not Found""
)"),"No")</f>
        <v>No</v>
      </c>
      <c r="H283" s="230"/>
      <c r="I283" s="343">
        <v>1945.0</v>
      </c>
      <c r="J283" s="344">
        <v>1945.0</v>
      </c>
      <c r="K283" s="340"/>
      <c r="L283" s="340"/>
      <c r="M283" s="230"/>
      <c r="N283" s="230"/>
      <c r="O283" s="230"/>
      <c r="P283" s="230"/>
      <c r="Q283" s="230"/>
      <c r="R283" s="230"/>
      <c r="S283" s="230"/>
      <c r="T283" s="230"/>
      <c r="U283" s="230"/>
      <c r="V283" s="230"/>
      <c r="W283" s="230"/>
      <c r="X283" s="230"/>
      <c r="Y283" s="230"/>
      <c r="Z283" s="230"/>
    </row>
    <row r="284">
      <c r="A284" s="337" t="str">
        <f>IFERROR(__xludf.DUMMYFUNCTION("VLOOKUP($B284,IMPORTRANGE(""https://docs.google.com/spreadsheets/d/1VNXDITjs75AcgdBSW27oL1VZH31udDprJSsBcE5xlp4/edit?gid=1551188038#gid=1551188038"", ""Sheet9!$B:$E""),2,false)"),"Rawalpindi")</f>
        <v>Rawalpindi</v>
      </c>
      <c r="B284" s="341" t="s">
        <v>4897</v>
      </c>
      <c r="C284" s="284">
        <f>IFERROR(__xludf.DUMMYFUNCTION("IFERROR(
  INDEX(
    FILTER(
      IMPORTRANGE(""1Cxrhp3-_-HS7v9uuqQliiIfrmMP4VaFoDNDWyUFy2J8/edit?gid=0#gid=0"",""Sheet1!AE:AE""),
      IMPORTRANGE(""1Cxrhp3-_-HS7v9uuqQliiIfrmMP4VaFoDNDWyUFy2J8/edit?gid=0#gid=0"",""Sheet1!K:K"")=$B284
    ),
    1
  )"&amp;",
  ""Not Found""
)"),1964.0)</f>
        <v>1964</v>
      </c>
      <c r="D284" s="284"/>
      <c r="E284" s="284" t="str">
        <f>IFERROR(__xludf.DUMMYFUNCTION("IFERROR(
  INDEX(
    FILTER(
      IMPORTRANGE(""1kOrIKZmJfNUkgOVP3sI9BPjaaPA0_a4636oymQxTXg8/edit?gid=609491371#gid=609491371"",""Form responses 1!J:J""),
      IMPORTRANGE(""1kOrIKZmJfNUkgOVP3sI9BPjaaPA0_a4636oymQxTXg8/edit?gid=609491371#gid=609491371"&amp;""",""Form responses 1!F:F"")=$B284
    ),
    1
  ),
  ""Not Found""
)"),"-")</f>
        <v>-</v>
      </c>
      <c r="F284" s="284" t="str">
        <f>IFERROR(__xludf.DUMMYFUNCTION("IFERROR(
  INDEX(
    FILTER(
      IMPORTRANGE(""1kOrIKZmJfNUkgOVP3sI9BPjaaPA0_a4636oymQxTXg8/edit?gid=609491371#gid=609491371"",""Form responses 1!L:L""),
      IMPORTRANGE(""1kOrIKZmJfNUkgOVP3sI9BPjaaPA0_a4636oymQxTXg8/edit?gid=609491371#gid=609491371"&amp;""",""Form responses 1!F:F"")=$B284
    ),
    1
  ),
  ""Not Found""
)"),"No")</f>
        <v>No</v>
      </c>
      <c r="G284" s="284" t="str">
        <f>IFERROR(__xludf.DUMMYFUNCTION("IFERROR(
  INDEX(
    FILTER(
      IMPORTRANGE(""1kOrIKZmJfNUkgOVP3sI9BPjaaPA0_a4636oymQxTXg8/edit?gid=609491371#gid=609491371"",""Form responses 1!K:K""),
      IMPORTRANGE(""1kOrIKZmJfNUkgOVP3sI9BPjaaPA0_a4636oymQxTXg8/edit?gid=609491371#gid=609491371"&amp;""",""Form responses 1!F:F"")=$B284
    ),
    1
  ),
  ""Not Found""
)"),"No")</f>
        <v>No</v>
      </c>
      <c r="H284" s="230"/>
      <c r="I284" s="230"/>
      <c r="J284" s="339">
        <f>IFERROR(__xludf.DUMMYFUNCTION("IFERROR(
  INDEX(
    FILTER(
      IMPORTRANGE(""1Cxrhp3-_-HS7v9uuqQliiIfrmMP4VaFoDNDWyUFy2J8/edit?gid=0#gid=0"",""Sheet1!AE:AE""),
      IMPORTRANGE(""1Cxrhp3-_-HS7v9uuqQliiIfrmMP4VaFoDNDWyUFy2J8/edit?gid=0#gid=0"",""Sheet1!K:K"")=$B284
    ),
    1
  )"&amp;",
  ""Not Found""
)"),1964.0)</f>
        <v>1964</v>
      </c>
      <c r="K284" s="340"/>
      <c r="L284" s="340"/>
      <c r="M284" s="230"/>
      <c r="N284" s="230"/>
      <c r="O284" s="230"/>
      <c r="P284" s="230"/>
      <c r="Q284" s="230"/>
      <c r="R284" s="230"/>
      <c r="S284" s="230"/>
      <c r="T284" s="230"/>
      <c r="U284" s="230"/>
      <c r="V284" s="230"/>
      <c r="W284" s="230"/>
      <c r="X284" s="230"/>
      <c r="Y284" s="230"/>
      <c r="Z284" s="230"/>
    </row>
    <row r="285">
      <c r="A285" s="337" t="str">
        <f>IFERROR(__xludf.DUMMYFUNCTION("VLOOKUP($B285,IMPORTRANGE(""https://docs.google.com/spreadsheets/d/1VNXDITjs75AcgdBSW27oL1VZH31udDprJSsBcE5xlp4/edit?gid=1551188038#gid=1551188038"", ""Sheet9!$B:$E""),2,false)"),"Rawalpindi")</f>
        <v>Rawalpindi</v>
      </c>
      <c r="B285" s="341" t="s">
        <v>4350</v>
      </c>
      <c r="C285" s="284">
        <f>IFERROR(__xludf.DUMMYFUNCTION("IFERROR(
  INDEX(
    FILTER(
      IMPORTRANGE(""1Cxrhp3-_-HS7v9uuqQliiIfrmMP4VaFoDNDWyUFy2J8/edit?gid=0#gid=0"",""Sheet1!AE:AE""),
      IMPORTRANGE(""1Cxrhp3-_-HS7v9uuqQliiIfrmMP4VaFoDNDWyUFy2J8/edit?gid=0#gid=0"",""Sheet1!K:K"")=$B285
    ),
    1
  )"&amp;",
  ""Not Found""
)"),2012.0)</f>
        <v>2012</v>
      </c>
      <c r="D285" s="284"/>
      <c r="E285" s="284" t="str">
        <f>IFERROR(__xludf.DUMMYFUNCTION("IFERROR(
  INDEX(
    FILTER(
      IMPORTRANGE(""1kOrIKZmJfNUkgOVP3sI9BPjaaPA0_a4636oymQxTXg8/edit?gid=609491371#gid=609491371"",""Form responses 1!J:J""),
      IMPORTRANGE(""1kOrIKZmJfNUkgOVP3sI9BPjaaPA0_a4636oymQxTXg8/edit?gid=609491371#gid=609491371"&amp;""",""Form responses 1!F:F"")=$B285
    ),
    1
  ),
  ""Not Found""
)"),"-")</f>
        <v>-</v>
      </c>
      <c r="F285" s="284" t="str">
        <f>IFERROR(__xludf.DUMMYFUNCTION("IFERROR(
  INDEX(
    FILTER(
      IMPORTRANGE(""1kOrIKZmJfNUkgOVP3sI9BPjaaPA0_a4636oymQxTXg8/edit?gid=609491371#gid=609491371"",""Form responses 1!L:L""),
      IMPORTRANGE(""1kOrIKZmJfNUkgOVP3sI9BPjaaPA0_a4636oymQxTXg8/edit?gid=609491371#gid=609491371"&amp;""",""Form responses 1!F:F"")=$B285
    ),
    1
  ),
  ""Not Found""
)"),"N0")</f>
        <v>N0</v>
      </c>
      <c r="G285" s="284" t="str">
        <f>IFERROR(__xludf.DUMMYFUNCTION("IFERROR(
  INDEX(
    FILTER(
      IMPORTRANGE(""1kOrIKZmJfNUkgOVP3sI9BPjaaPA0_a4636oymQxTXg8/edit?gid=609491371#gid=609491371"",""Form responses 1!K:K""),
      IMPORTRANGE(""1kOrIKZmJfNUkgOVP3sI9BPjaaPA0_a4636oymQxTXg8/edit?gid=609491371#gid=609491371"&amp;""",""Form responses 1!F:F"")=$B285
    ),
    1
  ),
  ""Not Found""
)"),"No")</f>
        <v>No</v>
      </c>
      <c r="H285" s="230"/>
      <c r="I285" s="230"/>
      <c r="J285" s="339">
        <f>IFERROR(__xludf.DUMMYFUNCTION("IFERROR(
  INDEX(
    FILTER(
      IMPORTRANGE(""1Cxrhp3-_-HS7v9uuqQliiIfrmMP4VaFoDNDWyUFy2J8/edit?gid=0#gid=0"",""Sheet1!AE:AE""),
      IMPORTRANGE(""1Cxrhp3-_-HS7v9uuqQliiIfrmMP4VaFoDNDWyUFy2J8/edit?gid=0#gid=0"",""Sheet1!K:K"")=$B285
    ),
    1
  )"&amp;",
  ""Not Found""
)"),2012.0)</f>
        <v>2012</v>
      </c>
      <c r="K285" s="340"/>
      <c r="L285" s="340"/>
      <c r="M285" s="230"/>
      <c r="N285" s="230"/>
      <c r="O285" s="230"/>
      <c r="P285" s="230"/>
      <c r="Q285" s="230"/>
      <c r="R285" s="230"/>
      <c r="S285" s="230"/>
      <c r="T285" s="230"/>
      <c r="U285" s="230"/>
      <c r="V285" s="230"/>
      <c r="W285" s="230"/>
      <c r="X285" s="230"/>
      <c r="Y285" s="230"/>
      <c r="Z285" s="230"/>
    </row>
    <row r="286">
      <c r="A286" s="337" t="str">
        <f>IFERROR(__xludf.DUMMYFUNCTION("VLOOKUP($B286,IMPORTRANGE(""https://docs.google.com/spreadsheets/d/1VNXDITjs75AcgdBSW27oL1VZH31udDprJSsBcE5xlp4/edit?gid=1551188038#gid=1551188038"", ""Sheet9!$B:$E""),2,false)"),"Rawalpindi")</f>
        <v>Rawalpindi</v>
      </c>
      <c r="B286" s="341" t="s">
        <v>4421</v>
      </c>
      <c r="C286" s="284">
        <f>IFERROR(__xludf.DUMMYFUNCTION("IFERROR(
  INDEX(
    FILTER(
      IMPORTRANGE(""1Cxrhp3-_-HS7v9uuqQliiIfrmMP4VaFoDNDWyUFy2J8/edit?gid=0#gid=0"",""Sheet1!AE:AE""),
      IMPORTRANGE(""1Cxrhp3-_-HS7v9uuqQliiIfrmMP4VaFoDNDWyUFy2J8/edit?gid=0#gid=0"",""Sheet1!K:K"")=$B286
    ),
    1
  )"&amp;",
  ""Not Found""
)"),1998.0)</f>
        <v>1998</v>
      </c>
      <c r="D286" s="284"/>
      <c r="E286" s="284" t="str">
        <f>IFERROR(__xludf.DUMMYFUNCTION("IFERROR(
  INDEX(
    FILTER(
      IMPORTRANGE(""1kOrIKZmJfNUkgOVP3sI9BPjaaPA0_a4636oymQxTXg8/edit?gid=609491371#gid=609491371"",""Form responses 1!J:J""),
      IMPORTRANGE(""1kOrIKZmJfNUkgOVP3sI9BPjaaPA0_a4636oymQxTXg8/edit?gid=609491371#gid=609491371"&amp;""",""Form responses 1!F:F"")=$B286
    ),
    1
  ),
  ""Not Found""
)"),"-")</f>
        <v>-</v>
      </c>
      <c r="F286" s="284" t="str">
        <f>IFERROR(__xludf.DUMMYFUNCTION("IFERROR(
  INDEX(
    FILTER(
      IMPORTRANGE(""1kOrIKZmJfNUkgOVP3sI9BPjaaPA0_a4636oymQxTXg8/edit?gid=609491371#gid=609491371"",""Form responses 1!L:L""),
      IMPORTRANGE(""1kOrIKZmJfNUkgOVP3sI9BPjaaPA0_a4636oymQxTXg8/edit?gid=609491371#gid=609491371"&amp;""",""Form responses 1!F:F"")=$B286
    ),
    1
  ),
  ""Not Found""
)"),"Hazrat Baba Jhar Sarkar")</f>
        <v>Hazrat Baba Jhar Sarkar</v>
      </c>
      <c r="G286" s="284" t="str">
        <f>IFERROR(__xludf.DUMMYFUNCTION("IFERROR(
  INDEX(
    FILTER(
      IMPORTRANGE(""1kOrIKZmJfNUkgOVP3sI9BPjaaPA0_a4636oymQxTXg8/edit?gid=609491371#gid=609491371"",""Form responses 1!K:K""),
      IMPORTRANGE(""1kOrIKZmJfNUkgOVP3sI9BPjaaPA0_a4636oymQxTXg8/edit?gid=609491371#gid=609491371"&amp;""",""Form responses 1!F:F"")=$B286
    ),
    1
  ),
  ""Not Found""
)"),"No")</f>
        <v>No</v>
      </c>
      <c r="H286" s="230"/>
      <c r="I286" s="230"/>
      <c r="J286" s="339">
        <f>IFERROR(__xludf.DUMMYFUNCTION("IFERROR(
  INDEX(
    FILTER(
      IMPORTRANGE(""1Cxrhp3-_-HS7v9uuqQliiIfrmMP4VaFoDNDWyUFy2J8/edit?gid=0#gid=0"",""Sheet1!AE:AE""),
      IMPORTRANGE(""1Cxrhp3-_-HS7v9uuqQliiIfrmMP4VaFoDNDWyUFy2J8/edit?gid=0#gid=0"",""Sheet1!K:K"")=$B286
    ),
    1
  )"&amp;",
  ""Not Found""
)"),1998.0)</f>
        <v>1998</v>
      </c>
      <c r="K286" s="340"/>
      <c r="L286" s="340"/>
      <c r="M286" s="230"/>
      <c r="N286" s="230"/>
      <c r="O286" s="230"/>
      <c r="P286" s="230"/>
      <c r="Q286" s="230"/>
      <c r="R286" s="230"/>
      <c r="S286" s="230"/>
      <c r="T286" s="230"/>
      <c r="U286" s="230"/>
      <c r="V286" s="230"/>
      <c r="W286" s="230"/>
      <c r="X286" s="230"/>
      <c r="Y286" s="230"/>
      <c r="Z286" s="230"/>
    </row>
    <row r="287">
      <c r="A287" s="337" t="str">
        <f>IFERROR(__xludf.DUMMYFUNCTION("VLOOKUP($B287,IMPORTRANGE(""https://docs.google.com/spreadsheets/d/1VNXDITjs75AcgdBSW27oL1VZH31udDprJSsBcE5xlp4/edit?gid=1551188038#gid=1551188038"", ""Sheet9!$B:$E""),2,false)"),"Rawalpindi")</f>
        <v>Rawalpindi</v>
      </c>
      <c r="B287" s="341" t="s">
        <v>4898</v>
      </c>
      <c r="C287" s="284">
        <f>IFERROR(__xludf.DUMMYFUNCTION("IFERROR(
  INDEX(
    FILTER(
      IMPORTRANGE(""1Cxrhp3-_-HS7v9uuqQliiIfrmMP4VaFoDNDWyUFy2J8/edit?gid=0#gid=0"",""Sheet1!AE:AE""),
      IMPORTRANGE(""1Cxrhp3-_-HS7v9uuqQliiIfrmMP4VaFoDNDWyUFy2J8/edit?gid=0#gid=0"",""Sheet1!K:K"")=$B287
    ),
    1
  )"&amp;",
  ""Not Found""
)"),1947.0)</f>
        <v>1947</v>
      </c>
      <c r="D287" s="284"/>
      <c r="E287" s="284">
        <f>IFERROR(__xludf.DUMMYFUNCTION("IFERROR(
  INDEX(
    FILTER(
      IMPORTRANGE(""1kOrIKZmJfNUkgOVP3sI9BPjaaPA0_a4636oymQxTXg8/edit?gid=609491371#gid=609491371"",""Form responses 1!J:J""),
      IMPORTRANGE(""1kOrIKZmJfNUkgOVP3sI9BPjaaPA0_a4636oymQxTXg8/edit?gid=609491371#gid=609491371"&amp;""",""Form responses 1!F:F"")=$B287
    ),
    1
  ),
  ""Not Found""
)"),1945.0)</f>
        <v>1945</v>
      </c>
      <c r="F287" s="284" t="str">
        <f>IFERROR(__xludf.DUMMYFUNCTION("IFERROR(
  INDEX(
    FILTER(
      IMPORTRANGE(""1kOrIKZmJfNUkgOVP3sI9BPjaaPA0_a4636oymQxTXg8/edit?gid=609491371#gid=609491371"",""Form responses 1!L:L""),
      IMPORTRANGE(""1kOrIKZmJfNUkgOVP3sI9BPjaaPA0_a4636oymQxTXg8/edit?gid=609491371#gid=609491371"&amp;""",""Form responses 1!F:F"")=$B287
    ),
    1
  ),
  ""Not Found""
)"),"No")</f>
        <v>No</v>
      </c>
      <c r="G287" s="284" t="str">
        <f>IFERROR(__xludf.DUMMYFUNCTION("IFERROR(
  INDEX(
    FILTER(
      IMPORTRANGE(""1kOrIKZmJfNUkgOVP3sI9BPjaaPA0_a4636oymQxTXg8/edit?gid=609491371#gid=609491371"",""Form responses 1!K:K""),
      IMPORTRANGE(""1kOrIKZmJfNUkgOVP3sI9BPjaaPA0_a4636oymQxTXg8/edit?gid=609491371#gid=609491371"&amp;""",""Form responses 1!F:F"")=$B287
    ),
    1
  ),
  ""Not Found""
)"),"No")</f>
        <v>No</v>
      </c>
      <c r="H287" s="230"/>
      <c r="I287" s="343">
        <v>1945.0</v>
      </c>
      <c r="J287" s="344">
        <v>1945.0</v>
      </c>
      <c r="K287" s="340"/>
      <c r="L287" s="340"/>
      <c r="M287" s="230"/>
      <c r="N287" s="230"/>
      <c r="O287" s="230"/>
      <c r="P287" s="230"/>
      <c r="Q287" s="230"/>
      <c r="R287" s="230"/>
      <c r="S287" s="230"/>
      <c r="T287" s="230"/>
      <c r="U287" s="230"/>
      <c r="V287" s="230"/>
      <c r="W287" s="230"/>
      <c r="X287" s="230"/>
      <c r="Y287" s="230"/>
      <c r="Z287" s="230"/>
    </row>
    <row r="288">
      <c r="A288" s="337" t="str">
        <f>IFERROR(__xludf.DUMMYFUNCTION("VLOOKUP($B288,IMPORTRANGE(""https://docs.google.com/spreadsheets/d/1VNXDITjs75AcgdBSW27oL1VZH31udDprJSsBcE5xlp4/edit?gid=1551188038#gid=1551188038"", ""Sheet9!$B:$E""),2,false)"),"Rawalpindi")</f>
        <v>Rawalpindi</v>
      </c>
      <c r="B288" s="341" t="s">
        <v>4899</v>
      </c>
      <c r="C288" s="284">
        <f>IFERROR(__xludf.DUMMYFUNCTION("IFERROR(
  INDEX(
    FILTER(
      IMPORTRANGE(""1Cxrhp3-_-HS7v9uuqQliiIfrmMP4VaFoDNDWyUFy2J8/edit?gid=0#gid=0"",""Sheet1!AE:AE""),
      IMPORTRANGE(""1Cxrhp3-_-HS7v9uuqQliiIfrmMP4VaFoDNDWyUFy2J8/edit?gid=0#gid=0"",""Sheet1!K:K"")=$B288
    ),
    1
  )"&amp;",
  ""Not Found""
)"),1957.0)</f>
        <v>1957</v>
      </c>
      <c r="D288" s="284"/>
      <c r="E288" s="284" t="str">
        <f>IFERROR(__xludf.DUMMYFUNCTION("IFERROR(
  INDEX(
    FILTER(
      IMPORTRANGE(""1kOrIKZmJfNUkgOVP3sI9BPjaaPA0_a4636oymQxTXg8/edit?gid=609491371#gid=609491371"",""Form responses 1!J:J""),
      IMPORTRANGE(""1kOrIKZmJfNUkgOVP3sI9BPjaaPA0_a4636oymQxTXg8/edit?gid=609491371#gid=609491371"&amp;""",""Form responses 1!F:F"")=$B288
    ),
    1
  ),
  ""Not Found""
)"),"-")</f>
        <v>-</v>
      </c>
      <c r="F288" s="284" t="str">
        <f>IFERROR(__xludf.DUMMYFUNCTION("IFERROR(
  INDEX(
    FILTER(
      IMPORTRANGE(""1kOrIKZmJfNUkgOVP3sI9BPjaaPA0_a4636oymQxTXg8/edit?gid=609491371#gid=609491371"",""Form responses 1!L:L""),
      IMPORTRANGE(""1kOrIKZmJfNUkgOVP3sI9BPjaaPA0_a4636oymQxTXg8/edit?gid=609491371#gid=609491371"&amp;""",""Form responses 1!F:F"")=$B288
    ),
    1
  ),
  ""Not Found""
)"),"No")</f>
        <v>No</v>
      </c>
      <c r="G288" s="284" t="str">
        <f>IFERROR(__xludf.DUMMYFUNCTION("IFERROR(
  INDEX(
    FILTER(
      IMPORTRANGE(""1kOrIKZmJfNUkgOVP3sI9BPjaaPA0_a4636oymQxTXg8/edit?gid=609491371#gid=609491371"",""Form responses 1!K:K""),
      IMPORTRANGE(""1kOrIKZmJfNUkgOVP3sI9BPjaaPA0_a4636oymQxTXg8/edit?gid=609491371#gid=609491371"&amp;""",""Form responses 1!F:F"")=$B288
    ),
    1
  ),
  ""Not Found""
)"),"No")</f>
        <v>No</v>
      </c>
      <c r="H288" s="230"/>
      <c r="I288" s="230"/>
      <c r="J288" s="339">
        <f>IFERROR(__xludf.DUMMYFUNCTION("IFERROR(
  INDEX(
    FILTER(
      IMPORTRANGE(""1Cxrhp3-_-HS7v9uuqQliiIfrmMP4VaFoDNDWyUFy2J8/edit?gid=0#gid=0"",""Sheet1!AE:AE""),
      IMPORTRANGE(""1Cxrhp3-_-HS7v9uuqQliiIfrmMP4VaFoDNDWyUFy2J8/edit?gid=0#gid=0"",""Sheet1!K:K"")=$B288
    ),
    1
  )"&amp;",
  ""Not Found""
)"),1957.0)</f>
        <v>1957</v>
      </c>
      <c r="K288" s="340"/>
      <c r="L288" s="340"/>
      <c r="M288" s="230"/>
      <c r="N288" s="230"/>
      <c r="O288" s="230"/>
      <c r="P288" s="230"/>
      <c r="Q288" s="230"/>
      <c r="R288" s="230"/>
      <c r="S288" s="230"/>
      <c r="T288" s="230"/>
      <c r="U288" s="230"/>
      <c r="V288" s="230"/>
      <c r="W288" s="230"/>
      <c r="X288" s="230"/>
      <c r="Y288" s="230"/>
      <c r="Z288" s="230"/>
    </row>
    <row r="289">
      <c r="A289" s="337" t="str">
        <f>IFERROR(__xludf.DUMMYFUNCTION("VLOOKUP($B289,IMPORTRANGE(""https://docs.google.com/spreadsheets/d/1VNXDITjs75AcgdBSW27oL1VZH31udDprJSsBcE5xlp4/edit?gid=1551188038#gid=1551188038"", ""Sheet9!$B:$E""),2,false)"),"Rawalpindi")</f>
        <v>Rawalpindi</v>
      </c>
      <c r="B289" s="341" t="s">
        <v>4900</v>
      </c>
      <c r="C289" s="284">
        <f>IFERROR(__xludf.DUMMYFUNCTION("IFERROR(
  INDEX(
    FILTER(
      IMPORTRANGE(""1Cxrhp3-_-HS7v9uuqQliiIfrmMP4VaFoDNDWyUFy2J8/edit?gid=0#gid=0"",""Sheet1!AE:AE""),
      IMPORTRANGE(""1Cxrhp3-_-HS7v9uuqQliiIfrmMP4VaFoDNDWyUFy2J8/edit?gid=0#gid=0"",""Sheet1!K:K"")=$B289
    ),
    1
  )"&amp;",
  ""Not Found""
)"),1950.0)</f>
        <v>1950</v>
      </c>
      <c r="D289" s="284" t="str">
        <f>IFERROR(__xludf.DUMMYFUNCTION("IFERROR(
  INDEX(
    FILTER(
      IMPORTRANGE(""1Cxrhp3-_-HS7v9uuqQliiIfrmMP4VaFoDNDWyUFy2J8/edit?gid=0#gid=0"",""Sheet1!AG:AG""),
      IMPORTRANGE(""1Cxrhp3-_-HS7v9uuqQliiIfrmMP4VaFoDNDWyUFy2J8/edit?gid=0#gid=0"",""Sheet1!K:K"")=$B289
    ),
    1
  )"&amp;",
  ""Not Found""
)"),"Qari israr ul haq")</f>
        <v>Qari israr ul haq</v>
      </c>
      <c r="E289" s="284">
        <f>IFERROR(__xludf.DUMMYFUNCTION("IFERROR(
  INDEX(
    FILTER(
      IMPORTRANGE(""1kOrIKZmJfNUkgOVP3sI9BPjaaPA0_a4636oymQxTXg8/edit?gid=609491371#gid=609491371"",""Form responses 1!J:J""),
      IMPORTRANGE(""1kOrIKZmJfNUkgOVP3sI9BPjaaPA0_a4636oymQxTXg8/edit?gid=609491371#gid=609491371"&amp;""",""Form responses 1!F:F"")=$B289
    ),
    1
  ),
  ""Not Found""
)"),1955.0)</f>
        <v>1955</v>
      </c>
      <c r="F289" s="284" t="str">
        <f>IFERROR(__xludf.DUMMYFUNCTION("IFERROR(
  INDEX(
    FILTER(
      IMPORTRANGE(""1kOrIKZmJfNUkgOVP3sI9BPjaaPA0_a4636oymQxTXg8/edit?gid=609491371#gid=609491371"",""Form responses 1!L:L""),
      IMPORTRANGE(""1kOrIKZmJfNUkgOVP3sI9BPjaaPA0_a4636oymQxTXg8/edit?gid=609491371#gid=609491371"&amp;""",""Form responses 1!F:F"")=$B289
    ),
    1
  ),
  ""Not Found""
)"),"Makhdoom Qazi israr ul haq haqani RA")</f>
        <v>Makhdoom Qazi israr ul haq haqani RA</v>
      </c>
      <c r="G289" s="284" t="str">
        <f>IFERROR(__xludf.DUMMYFUNCTION("IFERROR(
  INDEX(
    FILTER(
      IMPORTRANGE(""1kOrIKZmJfNUkgOVP3sI9BPjaaPA0_a4636oymQxTXg8/edit?gid=609491371#gid=609491371"",""Form responses 1!K:K""),
      IMPORTRANGE(""1kOrIKZmJfNUkgOVP3sI9BPjaaPA0_a4636oymQxTXg8/edit?gid=609491371#gid=609491371"&amp;""",""Form responses 1!F:F"")=$B289
    ),
    1
  ),
  ""Not Found""
)"),"No")</f>
        <v>No</v>
      </c>
      <c r="H289" s="230"/>
      <c r="I289" s="343">
        <v>1950.0</v>
      </c>
      <c r="J289" s="344">
        <v>1950.0</v>
      </c>
      <c r="K289" s="340"/>
      <c r="L289" s="340"/>
      <c r="M289" s="230"/>
      <c r="N289" s="230"/>
      <c r="O289" s="230"/>
      <c r="P289" s="230"/>
      <c r="Q289" s="230"/>
      <c r="R289" s="230"/>
      <c r="S289" s="230"/>
      <c r="T289" s="230"/>
      <c r="U289" s="230"/>
      <c r="V289" s="230"/>
      <c r="W289" s="230"/>
      <c r="X289" s="230"/>
      <c r="Y289" s="230"/>
      <c r="Z289" s="230"/>
    </row>
    <row r="290">
      <c r="A290" s="337" t="str">
        <f>IFERROR(__xludf.DUMMYFUNCTION("VLOOKUP($B290,IMPORTRANGE(""https://docs.google.com/spreadsheets/d/1VNXDITjs75AcgdBSW27oL1VZH31udDprJSsBcE5xlp4/edit?gid=1551188038#gid=1551188038"", ""Sheet9!$B:$E""),2,false)"),"Rawalpindi")</f>
        <v>Rawalpindi</v>
      </c>
      <c r="B290" s="341" t="s">
        <v>4378</v>
      </c>
      <c r="C290" s="284">
        <f>IFERROR(__xludf.DUMMYFUNCTION("IFERROR(
  INDEX(
    FILTER(
      IMPORTRANGE(""1Cxrhp3-_-HS7v9uuqQliiIfrmMP4VaFoDNDWyUFy2J8/edit?gid=0#gid=0"",""Sheet1!AE:AE""),
      IMPORTRANGE(""1Cxrhp3-_-HS7v9uuqQliiIfrmMP4VaFoDNDWyUFy2J8/edit?gid=0#gid=0"",""Sheet1!K:K"")=$B290
    ),
    1
  )"&amp;",
  ""Not Found""
)"),1948.0)</f>
        <v>1948</v>
      </c>
      <c r="D290" s="284"/>
      <c r="E290" s="284">
        <f>IFERROR(__xludf.DUMMYFUNCTION("IFERROR(
  INDEX(
    FILTER(
      IMPORTRANGE(""1kOrIKZmJfNUkgOVP3sI9BPjaaPA0_a4636oymQxTXg8/edit?gid=609491371#gid=609491371"",""Form responses 1!J:J""),
      IMPORTRANGE(""1kOrIKZmJfNUkgOVP3sI9BPjaaPA0_a4636oymQxTXg8/edit?gid=609491371#gid=609491371"&amp;""",""Form responses 1!F:F"")=$B290
    ),
    1
  ),
  ""Not Found""
)"),1920.0)</f>
        <v>1920</v>
      </c>
      <c r="F290" s="284" t="str">
        <f>IFERROR(__xludf.DUMMYFUNCTION("IFERROR(
  INDEX(
    FILTER(
      IMPORTRANGE(""1kOrIKZmJfNUkgOVP3sI9BPjaaPA0_a4636oymQxTXg8/edit?gid=609491371#gid=609491371"",""Form responses 1!L:L""),
      IMPORTRANGE(""1kOrIKZmJfNUkgOVP3sI9BPjaaPA0_a4636oymQxTXg8/edit?gid=609491371#gid=609491371"&amp;""",""Form responses 1!F:F"")=$B290
    ),
    1
  ),
  ""Not Found""
)"),"No")</f>
        <v>No</v>
      </c>
      <c r="G290" s="284" t="str">
        <f>IFERROR(__xludf.DUMMYFUNCTION("IFERROR(
  INDEX(
    FILTER(
      IMPORTRANGE(""1kOrIKZmJfNUkgOVP3sI9BPjaaPA0_a4636oymQxTXg8/edit?gid=609491371#gid=609491371"",""Form responses 1!K:K""),
      IMPORTRANGE(""1kOrIKZmJfNUkgOVP3sI9BPjaaPA0_a4636oymQxTXg8/edit?gid=609491371#gid=609491371"&amp;""",""Form responses 1!F:F"")=$B290
    ),
    1
  ),
  ""Not Found""
)"),"No")</f>
        <v>No</v>
      </c>
      <c r="H290" s="230"/>
      <c r="I290" s="343">
        <v>1920.0</v>
      </c>
      <c r="J290" s="344">
        <v>1920.0</v>
      </c>
      <c r="K290" s="340"/>
      <c r="L290" s="340"/>
      <c r="M290" s="230"/>
      <c r="N290" s="230"/>
      <c r="O290" s="230"/>
      <c r="P290" s="230"/>
      <c r="Q290" s="230"/>
      <c r="R290" s="230"/>
      <c r="S290" s="230"/>
      <c r="T290" s="230"/>
      <c r="U290" s="230"/>
      <c r="V290" s="230"/>
      <c r="W290" s="230"/>
      <c r="X290" s="230"/>
      <c r="Y290" s="230"/>
      <c r="Z290" s="230"/>
    </row>
    <row r="291">
      <c r="A291" s="337" t="str">
        <f>IFERROR(__xludf.DUMMYFUNCTION("VLOOKUP($B291,IMPORTRANGE(""https://docs.google.com/spreadsheets/d/1VNXDITjs75AcgdBSW27oL1VZH31udDprJSsBcE5xlp4/edit?gid=1551188038#gid=1551188038"", ""Sheet9!$B:$E""),2,false)"),"Rawalpindi")</f>
        <v>Rawalpindi</v>
      </c>
      <c r="B291" s="341" t="s">
        <v>4299</v>
      </c>
      <c r="C291" s="284" t="str">
        <f>IFERROR(__xludf.DUMMYFUNCTION("IFERROR(
  INDEX(
    FILTER(
      IMPORTRANGE(""1Cxrhp3-_-HS7v9uuqQliiIfrmMP4VaFoDNDWyUFy2J8/edit?gid=0#gid=0"",""Sheet1!AE:AE""),
      IMPORTRANGE(""1Cxrhp3-_-HS7v9uuqQliiIfrmMP4VaFoDNDWyUFy2J8/edit?gid=0#gid=0"",""Sheet1!K:K"")=$B291
    ),
    1
  )"&amp;",
  ""Not Found""
)"),"Not Found")</f>
        <v>Not Found</v>
      </c>
      <c r="D291" s="284"/>
      <c r="E291" s="284">
        <f>IFERROR(__xludf.DUMMYFUNCTION("IFERROR(
  INDEX(
    FILTER(
      IMPORTRANGE(""1kOrIKZmJfNUkgOVP3sI9BPjaaPA0_a4636oymQxTXg8/edit?gid=609491371#gid=609491371"",""Form responses 1!J:J""),
      IMPORTRANGE(""1kOrIKZmJfNUkgOVP3sI9BPjaaPA0_a4636oymQxTXg8/edit?gid=609491371#gid=609491371"&amp;""",""Form responses 1!F:F"")=$B291
    ),
    1
  ),
  ""Not Found""
)"),1913.0)</f>
        <v>1913</v>
      </c>
      <c r="F291" s="284" t="str">
        <f>IFERROR(__xludf.DUMMYFUNCTION("IFERROR(
  INDEX(
    FILTER(
      IMPORTRANGE(""1kOrIKZmJfNUkgOVP3sI9BPjaaPA0_a4636oymQxTXg8/edit?gid=609491371#gid=609491371"",""Form responses 1!L:L""),
      IMPORTRANGE(""1kOrIKZmJfNUkgOVP3sI9BPjaaPA0_a4636oymQxTXg8/edit?gid=609491371#gid=609491371"&amp;""",""Form responses 1!F:F"")=$B291
    ),
    1
  ),
  ""Not Found""
)"),"Peer syed haider shah sahb")</f>
        <v>Peer syed haider shah sahb</v>
      </c>
      <c r="G291" s="284" t="str">
        <f>IFERROR(__xludf.DUMMYFUNCTION("IFERROR(
  INDEX(
    FILTER(
      IMPORTRANGE(""1kOrIKZmJfNUkgOVP3sI9BPjaaPA0_a4636oymQxTXg8/edit?gid=609491371#gid=609491371"",""Form responses 1!K:K""),
      IMPORTRANGE(""1kOrIKZmJfNUkgOVP3sI9BPjaaPA0_a4636oymQxTXg8/edit?gid=609491371#gid=609491371"&amp;""",""Form responses 1!F:F"")=$B291
    ),
    1
  ),
  ""Not Found""
)"),"No")</f>
        <v>No</v>
      </c>
      <c r="H291" s="230"/>
      <c r="I291" s="343">
        <v>1913.0</v>
      </c>
      <c r="J291" s="344">
        <v>1913.0</v>
      </c>
      <c r="K291" s="340"/>
      <c r="L291" s="340"/>
      <c r="M291" s="230"/>
      <c r="N291" s="230"/>
      <c r="O291" s="230"/>
      <c r="P291" s="230"/>
      <c r="Q291" s="230"/>
      <c r="R291" s="230"/>
      <c r="S291" s="230"/>
      <c r="T291" s="230"/>
      <c r="U291" s="230"/>
      <c r="V291" s="230"/>
      <c r="W291" s="230"/>
      <c r="X291" s="230"/>
      <c r="Y291" s="230"/>
      <c r="Z291" s="230"/>
    </row>
    <row r="292">
      <c r="A292" s="337" t="str">
        <f>IFERROR(__xludf.DUMMYFUNCTION("VLOOKUP($B292,IMPORTRANGE(""https://docs.google.com/spreadsheets/d/1VNXDITjs75AcgdBSW27oL1VZH31udDprJSsBcE5xlp4/edit?gid=1551188038#gid=1551188038"", ""Sheet9!$B:$E""),2,false)"),"Rawalpindi")</f>
        <v>Rawalpindi</v>
      </c>
      <c r="B292" s="341" t="s">
        <v>4337</v>
      </c>
      <c r="C292" s="284">
        <f>IFERROR(__xludf.DUMMYFUNCTION("IFERROR(
  INDEX(
    FILTER(
      IMPORTRANGE(""1Cxrhp3-_-HS7v9uuqQliiIfrmMP4VaFoDNDWyUFy2J8/edit?gid=0#gid=0"",""Sheet1!AE:AE""),
      IMPORTRANGE(""1Cxrhp3-_-HS7v9uuqQliiIfrmMP4VaFoDNDWyUFy2J8/edit?gid=0#gid=0"",""Sheet1!K:K"")=$B292
    ),
    1
  )"&amp;",
  ""Not Found""
)"),1894.0)</f>
        <v>1894</v>
      </c>
      <c r="D292" s="284" t="str">
        <f>IFERROR(__xludf.DUMMYFUNCTION("IFERROR(
  INDEX(
    FILTER(
      IMPORTRANGE(""1Cxrhp3-_-HS7v9uuqQliiIfrmMP4VaFoDNDWyUFy2J8/edit?gid=0#gid=0"",""Sheet1!AG:AG""),
      IMPORTRANGE(""1Cxrhp3-_-HS7v9uuqQliiIfrmMP4VaFoDNDWyUFy2J8/edit?gid=0#gid=0"",""Sheet1!K:K"")=$B292
    ),
    1
  )"&amp;",
  ""Not Found""
)"),"")</f>
        <v/>
      </c>
      <c r="E292" s="284">
        <f>IFERROR(__xludf.DUMMYFUNCTION("IFERROR(
  INDEX(
    FILTER(
      IMPORTRANGE(""1kOrIKZmJfNUkgOVP3sI9BPjaaPA0_a4636oymQxTXg8/edit?gid=609491371#gid=609491371"",""Form responses 1!J:J""),
      IMPORTRANGE(""1kOrIKZmJfNUkgOVP3sI9BPjaaPA0_a4636oymQxTXg8/edit?gid=609491371#gid=609491371"&amp;""",""Form responses 1!F:F"")=$B292
    ),
    1
  ),
  ""Not Found""
)"),1902.0)</f>
        <v>1902</v>
      </c>
      <c r="F292" s="284" t="str">
        <f>IFERROR(__xludf.DUMMYFUNCTION("IFERROR(
  INDEX(
    FILTER(
      IMPORTRANGE(""1kOrIKZmJfNUkgOVP3sI9BPjaaPA0_a4636oymQxTXg8/edit?gid=609491371#gid=609491371"",""Form responses 1!L:L""),
      IMPORTRANGE(""1kOrIKZmJfNUkgOVP3sI9BPjaaPA0_a4636oymQxTXg8/edit?gid=609491371#gid=609491371"&amp;""",""Form responses 1!F:F"")=$B292
    ),
    1
  ),
  ""Not Found""
)"),"No")</f>
        <v>No</v>
      </c>
      <c r="G292" s="284" t="str">
        <f>IFERROR(__xludf.DUMMYFUNCTION("IFERROR(
  INDEX(
    FILTER(
      IMPORTRANGE(""1kOrIKZmJfNUkgOVP3sI9BPjaaPA0_a4636oymQxTXg8/edit?gid=609491371#gid=609491371"",""Form responses 1!K:K""),
      IMPORTRANGE(""1kOrIKZmJfNUkgOVP3sI9BPjaaPA0_a4636oymQxTXg8/edit?gid=609491371#gid=609491371"&amp;""",""Form responses 1!F:F"")=$B292
    ),
    1
  ),
  ""Not Found""
)"),"No")</f>
        <v>No</v>
      </c>
      <c r="H292" s="230"/>
      <c r="I292" s="343">
        <v>1894.0</v>
      </c>
      <c r="J292" s="344">
        <v>1894.0</v>
      </c>
      <c r="K292" s="340"/>
      <c r="L292" s="340"/>
      <c r="M292" s="230"/>
      <c r="N292" s="230"/>
      <c r="O292" s="230"/>
      <c r="P292" s="230"/>
      <c r="Q292" s="230"/>
      <c r="R292" s="230"/>
      <c r="S292" s="230"/>
      <c r="T292" s="230"/>
      <c r="U292" s="230"/>
      <c r="V292" s="230"/>
      <c r="W292" s="230"/>
      <c r="X292" s="230"/>
      <c r="Y292" s="230"/>
      <c r="Z292" s="230"/>
    </row>
    <row r="293">
      <c r="A293" s="337" t="str">
        <f>IFERROR(__xludf.DUMMYFUNCTION("VLOOKUP($B293,IMPORTRANGE(""https://docs.google.com/spreadsheets/d/1VNXDITjs75AcgdBSW27oL1VZH31udDprJSsBcE5xlp4/edit?gid=1551188038#gid=1551188038"", ""Sheet9!$B:$E""),2,false)"),"Rawalpindi")</f>
        <v>Rawalpindi</v>
      </c>
      <c r="B293" s="341" t="s">
        <v>4902</v>
      </c>
      <c r="C293" s="284">
        <f>IFERROR(__xludf.DUMMYFUNCTION("IFERROR(
  INDEX(
    FILTER(
      IMPORTRANGE(""1Cxrhp3-_-HS7v9uuqQliiIfrmMP4VaFoDNDWyUFy2J8/edit?gid=0#gid=0"",""Sheet1!AE:AE""),
      IMPORTRANGE(""1Cxrhp3-_-HS7v9uuqQliiIfrmMP4VaFoDNDWyUFy2J8/edit?gid=0#gid=0"",""Sheet1!K:K"")=$B293
    ),
    1
  )"&amp;",
  ""Not Found""
)"),1952.0)</f>
        <v>1952</v>
      </c>
      <c r="D293" s="284" t="str">
        <f>IFERROR(__xludf.DUMMYFUNCTION("IFERROR(
  INDEX(
    FILTER(
      IMPORTRANGE(""1Cxrhp3-_-HS7v9uuqQliiIfrmMP4VaFoDNDWyUFy2J8/edit?gid=0#gid=0"",""Sheet1!AG:AG""),
      IMPORTRANGE(""1Cxrhp3-_-HS7v9uuqQliiIfrmMP4VaFoDNDWyUFy2J8/edit?gid=0#gid=0"",""Sheet1!K:K"")=$B293
    ),
    1
  )"&amp;",
  ""Not Found""
)"),"")</f>
        <v/>
      </c>
      <c r="E293" s="284">
        <f>IFERROR(__xludf.DUMMYFUNCTION("IFERROR(
  INDEX(
    FILTER(
      IMPORTRANGE(""1kOrIKZmJfNUkgOVP3sI9BPjaaPA0_a4636oymQxTXg8/edit?gid=609491371#gid=609491371"",""Form responses 1!J:J""),
      IMPORTRANGE(""1kOrIKZmJfNUkgOVP3sI9BPjaaPA0_a4636oymQxTXg8/edit?gid=609491371#gid=609491371"&amp;""",""Form responses 1!F:F"")=$B293
    ),
    1
  ),
  ""Not Found""
)"),1952.0)</f>
        <v>1952</v>
      </c>
      <c r="F293" s="284" t="str">
        <f>IFERROR(__xludf.DUMMYFUNCTION("IFERROR(
  INDEX(
    FILTER(
      IMPORTRANGE(""1kOrIKZmJfNUkgOVP3sI9BPjaaPA0_a4636oymQxTXg8/edit?gid=609491371#gid=609491371"",""Form responses 1!L:L""),
      IMPORTRANGE(""1kOrIKZmJfNUkgOVP3sI9BPjaaPA0_a4636oymQxTXg8/edit?gid=609491371#gid=609491371"&amp;""",""Form responses 1!F:F"")=$B293
    ),
    1
  ),
  ""Not Found""
)"),"N0")</f>
        <v>N0</v>
      </c>
      <c r="G293" s="284" t="str">
        <f>IFERROR(__xludf.DUMMYFUNCTION("IFERROR(
  INDEX(
    FILTER(
      IMPORTRANGE(""1kOrIKZmJfNUkgOVP3sI9BPjaaPA0_a4636oymQxTXg8/edit?gid=609491371#gid=609491371"",""Form responses 1!K:K""),
      IMPORTRANGE(""1kOrIKZmJfNUkgOVP3sI9BPjaaPA0_a4636oymQxTXg8/edit?gid=609491371#gid=609491371"&amp;""",""Form responses 1!F:F"")=$B293
    ),
    1
  ),
  ""Not Found""
)"),"No")</f>
        <v>No</v>
      </c>
      <c r="H293" s="230"/>
      <c r="I293" s="343">
        <v>1952.0</v>
      </c>
      <c r="J293" s="344">
        <v>1952.0</v>
      </c>
      <c r="K293" s="340"/>
      <c r="L293" s="340"/>
      <c r="M293" s="230"/>
      <c r="N293" s="230"/>
      <c r="O293" s="230"/>
      <c r="P293" s="230"/>
      <c r="Q293" s="230"/>
      <c r="R293" s="230"/>
      <c r="S293" s="230"/>
      <c r="T293" s="230"/>
      <c r="U293" s="230"/>
      <c r="V293" s="230"/>
      <c r="W293" s="230"/>
      <c r="X293" s="230"/>
      <c r="Y293" s="230"/>
      <c r="Z293" s="230"/>
    </row>
    <row r="294">
      <c r="A294" s="337" t="str">
        <f>IFERROR(__xludf.DUMMYFUNCTION("VLOOKUP($B294,IMPORTRANGE(""https://docs.google.com/spreadsheets/d/1VNXDITjs75AcgdBSW27oL1VZH31udDprJSsBcE5xlp4/edit?gid=1551188038#gid=1551188038"", ""Sheet9!$B:$E""),2,false)"),"Rawalpindi")</f>
        <v>Rawalpindi</v>
      </c>
      <c r="B294" s="341" t="s">
        <v>4384</v>
      </c>
      <c r="C294" s="284" t="str">
        <f>IFERROR(__xludf.DUMMYFUNCTION("IFERROR(
  INDEX(
    FILTER(
      IMPORTRANGE(""1Cxrhp3-_-HS7v9uuqQliiIfrmMP4VaFoDNDWyUFy2J8/edit?gid=0#gid=0"",""Sheet1!AE:AE""),
      IMPORTRANGE(""1Cxrhp3-_-HS7v9uuqQliiIfrmMP4VaFoDNDWyUFy2J8/edit?gid=0#gid=0"",""Sheet1!K:K"")=$B294
    ),
    1
  )"&amp;",
  ""Not Found""
)"),"Not Found")</f>
        <v>Not Found</v>
      </c>
      <c r="D294" s="284"/>
      <c r="E294" s="284">
        <f>IFERROR(__xludf.DUMMYFUNCTION("IFERROR(
  INDEX(
    FILTER(
      IMPORTRANGE(""1kOrIKZmJfNUkgOVP3sI9BPjaaPA0_a4636oymQxTXg8/edit?gid=609491371#gid=609491371"",""Form responses 1!J:J""),
      IMPORTRANGE(""1kOrIKZmJfNUkgOVP3sI9BPjaaPA0_a4636oymQxTXg8/edit?gid=609491371#gid=609491371"&amp;""",""Form responses 1!F:F"")=$B294
    ),
    1
  ),
  ""Not Found""
)"),1910.0)</f>
        <v>1910</v>
      </c>
      <c r="F294" s="284" t="str">
        <f>IFERROR(__xludf.DUMMYFUNCTION("IFERROR(
  INDEX(
    FILTER(
      IMPORTRANGE(""1kOrIKZmJfNUkgOVP3sI9BPjaaPA0_a4636oymQxTXg8/edit?gid=609491371#gid=609491371"",""Form responses 1!L:L""),
      IMPORTRANGE(""1kOrIKZmJfNUkgOVP3sI9BPjaaPA0_a4636oymQxTXg8/edit?gid=609491371#gid=609491371"&amp;""",""Form responses 1!F:F"")=$B294
    ),
    1
  ),
  ""Not Found""
)"),"No")</f>
        <v>No</v>
      </c>
      <c r="G294" s="284" t="str">
        <f>IFERROR(__xludf.DUMMYFUNCTION("IFERROR(
  INDEX(
    FILTER(
      IMPORTRANGE(""1kOrIKZmJfNUkgOVP3sI9BPjaaPA0_a4636oymQxTXg8/edit?gid=609491371#gid=609491371"",""Form responses 1!K:K""),
      IMPORTRANGE(""1kOrIKZmJfNUkgOVP3sI9BPjaaPA0_a4636oymQxTXg8/edit?gid=609491371#gid=609491371"&amp;""",""Form responses 1!F:F"")=$B294
    ),
    1
  ),
  ""Not Found""
)"),"No")</f>
        <v>No</v>
      </c>
      <c r="H294" s="230"/>
      <c r="I294" s="343">
        <v>1910.0</v>
      </c>
      <c r="J294" s="344">
        <v>1910.0</v>
      </c>
      <c r="K294" s="340"/>
      <c r="L294" s="340"/>
      <c r="M294" s="230"/>
      <c r="N294" s="230"/>
      <c r="O294" s="230"/>
      <c r="P294" s="230"/>
      <c r="Q294" s="230"/>
      <c r="R294" s="230"/>
      <c r="S294" s="230"/>
      <c r="T294" s="230"/>
      <c r="U294" s="230"/>
      <c r="V294" s="230"/>
      <c r="W294" s="230"/>
      <c r="X294" s="230"/>
      <c r="Y294" s="230"/>
      <c r="Z294" s="230"/>
    </row>
    <row r="295">
      <c r="A295" s="337" t="str">
        <f>IFERROR(__xludf.DUMMYFUNCTION("VLOOKUP($B295,IMPORTRANGE(""https://docs.google.com/spreadsheets/d/1VNXDITjs75AcgdBSW27oL1VZH31udDprJSsBcE5xlp4/edit?gid=1551188038#gid=1551188038"", ""Sheet9!$B:$E""),2,false)"),"Rawalpindi")</f>
        <v>Rawalpindi</v>
      </c>
      <c r="B295" s="341" t="s">
        <v>4903</v>
      </c>
      <c r="C295" s="284">
        <f>IFERROR(__xludf.DUMMYFUNCTION("IFERROR(
  INDEX(
    FILTER(
      IMPORTRANGE(""1Cxrhp3-_-HS7v9uuqQliiIfrmMP4VaFoDNDWyUFy2J8/edit?gid=0#gid=0"",""Sheet1!AE:AE""),
      IMPORTRANGE(""1Cxrhp3-_-HS7v9uuqQliiIfrmMP4VaFoDNDWyUFy2J8/edit?gid=0#gid=0"",""Sheet1!K:K"")=$B295
    ),
    1
  )"&amp;",
  ""Not Found""
)"),1916.0)</f>
        <v>1916</v>
      </c>
      <c r="D295" s="284"/>
      <c r="E295" s="284" t="str">
        <f>IFERROR(__xludf.DUMMYFUNCTION("IFERROR(
  INDEX(
    FILTER(
      IMPORTRANGE(""1kOrIKZmJfNUkgOVP3sI9BPjaaPA0_a4636oymQxTXg8/edit?gid=609491371#gid=609491371"",""Form responses 1!J:J""),
      IMPORTRANGE(""1kOrIKZmJfNUkgOVP3sI9BPjaaPA0_a4636oymQxTXg8/edit?gid=609491371#gid=609491371"&amp;""",""Form responses 1!F:F"")=$B295
    ),
    1
  ),
  ""Not Found""
)"),"-")</f>
        <v>-</v>
      </c>
      <c r="F295" s="284" t="str">
        <f>IFERROR(__xludf.DUMMYFUNCTION("IFERROR(
  INDEX(
    FILTER(
      IMPORTRANGE(""1kOrIKZmJfNUkgOVP3sI9BPjaaPA0_a4636oymQxTXg8/edit?gid=609491371#gid=609491371"",""Form responses 1!L:L""),
      IMPORTRANGE(""1kOrIKZmJfNUkgOVP3sI9BPjaaPA0_a4636oymQxTXg8/edit?gid=609491371#gid=609491371"&amp;""",""Form responses 1!F:F"")=$B295
    ),
    1
  ),
  ""Not Found""
)"),"No")</f>
        <v>No</v>
      </c>
      <c r="G295" s="284" t="str">
        <f>IFERROR(__xludf.DUMMYFUNCTION("IFERROR(
  INDEX(
    FILTER(
      IMPORTRANGE(""1kOrIKZmJfNUkgOVP3sI9BPjaaPA0_a4636oymQxTXg8/edit?gid=609491371#gid=609491371"",""Form responses 1!K:K""),
      IMPORTRANGE(""1kOrIKZmJfNUkgOVP3sI9BPjaaPA0_a4636oymQxTXg8/edit?gid=609491371#gid=609491371"&amp;""",""Form responses 1!F:F"")=$B295
    ),
    1
  ),
  ""Not Found""
)"),"Yes")</f>
        <v>Yes</v>
      </c>
      <c r="H295" s="230"/>
      <c r="I295" s="230"/>
      <c r="J295" s="339">
        <f>IFERROR(__xludf.DUMMYFUNCTION("IFERROR(
  INDEX(
    FILTER(
      IMPORTRANGE(""1Cxrhp3-_-HS7v9uuqQliiIfrmMP4VaFoDNDWyUFy2J8/edit?gid=0#gid=0"",""Sheet1!AE:AE""),
      IMPORTRANGE(""1Cxrhp3-_-HS7v9uuqQliiIfrmMP4VaFoDNDWyUFy2J8/edit?gid=0#gid=0"",""Sheet1!K:K"")=$B295
    ),
    1
  )"&amp;",
  ""Not Found""
)"),1916.0)</f>
        <v>1916</v>
      </c>
      <c r="K295" s="340"/>
      <c r="L295" s="340"/>
      <c r="M295" s="230"/>
      <c r="N295" s="230"/>
      <c r="O295" s="230"/>
      <c r="P295" s="230"/>
      <c r="Q295" s="230"/>
      <c r="R295" s="230"/>
      <c r="S295" s="230"/>
      <c r="T295" s="230"/>
      <c r="U295" s="230"/>
      <c r="V295" s="230"/>
      <c r="W295" s="230"/>
      <c r="X295" s="230"/>
      <c r="Y295" s="230"/>
      <c r="Z295" s="230"/>
    </row>
    <row r="296">
      <c r="A296" s="337" t="str">
        <f>IFERROR(__xludf.DUMMYFUNCTION("VLOOKUP($B296,IMPORTRANGE(""https://docs.google.com/spreadsheets/d/1VNXDITjs75AcgdBSW27oL1VZH31udDprJSsBcE5xlp4/edit?gid=1551188038#gid=1551188038"", ""Sheet9!$B:$E""),2,false)"),"Rawalpindi")</f>
        <v>Rawalpindi</v>
      </c>
      <c r="B296" s="341" t="s">
        <v>4904</v>
      </c>
      <c r="C296" s="284" t="str">
        <f>IFERROR(__xludf.DUMMYFUNCTION("IFERROR(
  INDEX(
    FILTER(
      IMPORTRANGE(""1Cxrhp3-_-HS7v9uuqQliiIfrmMP4VaFoDNDWyUFy2J8/edit?gid=0#gid=0"",""Sheet1!AE:AE""),
      IMPORTRANGE(""1Cxrhp3-_-HS7v9uuqQliiIfrmMP4VaFoDNDWyUFy2J8/edit?gid=0#gid=0"",""Sheet1!K:K"")=$B296
    ),
    1
  )"&amp;",
  ""Not Found""
)"),"")</f>
        <v/>
      </c>
      <c r="D296" s="284" t="str">
        <f>IFERROR(__xludf.DUMMYFUNCTION("IFERROR(
  INDEX(
    FILTER(
      IMPORTRANGE(""1Cxrhp3-_-HS7v9uuqQliiIfrmMP4VaFoDNDWyUFy2J8/edit?gid=0#gid=0"",""Sheet1!AG:AG""),
      IMPORTRANGE(""1Cxrhp3-_-HS7v9uuqQliiIfrmMP4VaFoDNDWyUFy2J8/edit?gid=0#gid=0"",""Sheet1!K:K"")=$B296
    ),
    1
  )"&amp;",
  ""Not Found""
)"),"")</f>
        <v/>
      </c>
      <c r="E296" s="284" t="str">
        <f>IFERROR(__xludf.DUMMYFUNCTION("IFERROR(
  INDEX(
    FILTER(
      IMPORTRANGE(""1kOrIKZmJfNUkgOVP3sI9BPjaaPA0_a4636oymQxTXg8/edit?gid=609491371#gid=609491371"",""Form responses 1!J:J""),
      IMPORTRANGE(""1kOrIKZmJfNUkgOVP3sI9BPjaaPA0_a4636oymQxTXg8/edit?gid=609491371#gid=609491371"&amp;""",""Form responses 1!F:F"")=$B296
    ),
    1
  ),
  ""Not Found""
)"),"-")</f>
        <v>-</v>
      </c>
      <c r="F296" s="284" t="str">
        <f>IFERROR(__xludf.DUMMYFUNCTION("IFERROR(
  INDEX(
    FILTER(
      IMPORTRANGE(""1kOrIKZmJfNUkgOVP3sI9BPjaaPA0_a4636oymQxTXg8/edit?gid=609491371#gid=609491371"",""Form responses 1!L:L""),
      IMPORTRANGE(""1kOrIKZmJfNUkgOVP3sI9BPjaaPA0_a4636oymQxTXg8/edit?gid=609491371#gid=609491371"&amp;""",""Form responses 1!F:F"")=$B296
    ),
    1
  ),
  ""Not Found""
)"),"No")</f>
        <v>No</v>
      </c>
      <c r="G296" s="284" t="str">
        <f>IFERROR(__xludf.DUMMYFUNCTION("IFERROR(
  INDEX(
    FILTER(
      IMPORTRANGE(""1kOrIKZmJfNUkgOVP3sI9BPjaaPA0_a4636oymQxTXg8/edit?gid=609491371#gid=609491371"",""Form responses 1!K:K""),
      IMPORTRANGE(""1kOrIKZmJfNUkgOVP3sI9BPjaaPA0_a4636oymQxTXg8/edit?gid=609491371#gid=609491371"&amp;""",""Form responses 1!F:F"")=$B296
    ),
    1
  ),
  ""Not Found""
)"),"No")</f>
        <v>No</v>
      </c>
      <c r="H296" s="230"/>
      <c r="I296" s="230"/>
      <c r="J296" s="339" t="str">
        <f>IFERROR(__xludf.DUMMYFUNCTION("IFERROR(
  INDEX(
    FILTER(
      IMPORTRANGE(""1Cxrhp3-_-HS7v9uuqQliiIfrmMP4VaFoDNDWyUFy2J8/edit?gid=0#gid=0"",""Sheet1!AE:AE""),
      IMPORTRANGE(""1Cxrhp3-_-HS7v9uuqQliiIfrmMP4VaFoDNDWyUFy2J8/edit?gid=0#gid=0"",""Sheet1!K:K"")=$B296
    ),
    1
  )"&amp;",
  ""Not Found""
)"),"")</f>
        <v/>
      </c>
      <c r="K296" s="340"/>
      <c r="L296" s="340"/>
      <c r="M296" s="230"/>
      <c r="N296" s="230"/>
      <c r="O296" s="230"/>
      <c r="P296" s="230"/>
      <c r="Q296" s="230"/>
      <c r="R296" s="230"/>
      <c r="S296" s="230"/>
      <c r="T296" s="230"/>
      <c r="U296" s="230"/>
      <c r="V296" s="230"/>
      <c r="W296" s="230"/>
      <c r="X296" s="230"/>
      <c r="Y296" s="230"/>
      <c r="Z296" s="230"/>
    </row>
    <row r="297">
      <c r="A297" s="337" t="str">
        <f>IFERROR(__xludf.DUMMYFUNCTION("VLOOKUP($B297,IMPORTRANGE(""https://docs.google.com/spreadsheets/d/1VNXDITjs75AcgdBSW27oL1VZH31udDprJSsBcE5xlp4/edit?gid=1551188038#gid=1551188038"", ""Sheet9!$B:$E""),2,false)"),"Rawalpindi")</f>
        <v>Rawalpindi</v>
      </c>
      <c r="B297" s="341" t="s">
        <v>4366</v>
      </c>
      <c r="C297" s="284" t="str">
        <f>IFERROR(__xludf.DUMMYFUNCTION("IFERROR(
  INDEX(
    FILTER(
      IMPORTRANGE(""1Cxrhp3-_-HS7v9uuqQliiIfrmMP4VaFoDNDWyUFy2J8/edit?gid=0#gid=0"",""Sheet1!AE:AE""),
      IMPORTRANGE(""1Cxrhp3-_-HS7v9uuqQliiIfrmMP4VaFoDNDWyUFy2J8/edit?gid=0#gid=0"",""Sheet1!K:K"")=$B297
    ),
    1
  )"&amp;",
  ""Not Found""
)"),"Not Found")</f>
        <v>Not Found</v>
      </c>
      <c r="D297" s="284"/>
      <c r="E297" s="284" t="str">
        <f>IFERROR(__xludf.DUMMYFUNCTION("IFERROR(
  INDEX(
    FILTER(
      IMPORTRANGE(""1kOrIKZmJfNUkgOVP3sI9BPjaaPA0_a4636oymQxTXg8/edit?gid=609491371#gid=609491371"",""Form responses 1!J:J""),
      IMPORTRANGE(""1kOrIKZmJfNUkgOVP3sI9BPjaaPA0_a4636oymQxTXg8/edit?gid=609491371#gid=609491371"&amp;""",""Form responses 1!F:F"")=$B297
    ),
    1
  ),
  ""Not Found""
)"),"12 July 1978")</f>
        <v>12 July 1978</v>
      </c>
      <c r="F297" s="284" t="str">
        <f>IFERROR(__xludf.DUMMYFUNCTION("IFERROR(
  INDEX(
    FILTER(
      IMPORTRANGE(""1kOrIKZmJfNUkgOVP3sI9BPjaaPA0_a4636oymQxTXg8/edit?gid=609491371#gid=609491371"",""Form responses 1!L:L""),
      IMPORTRANGE(""1kOrIKZmJfNUkgOVP3sI9BPjaaPA0_a4636oymQxTXg8/edit?gid=609491371#gid=609491371"&amp;""",""Form responses 1!F:F"")=$B297
    ),
    1
  ),
  ""Not Found""
)"),"No")</f>
        <v>No</v>
      </c>
      <c r="G297" s="284" t="str">
        <f>IFERROR(__xludf.DUMMYFUNCTION("IFERROR(
  INDEX(
    FILTER(
      IMPORTRANGE(""1kOrIKZmJfNUkgOVP3sI9BPjaaPA0_a4636oymQxTXg8/edit?gid=609491371#gid=609491371"",""Form responses 1!K:K""),
      IMPORTRANGE(""1kOrIKZmJfNUkgOVP3sI9BPjaaPA0_a4636oymQxTXg8/edit?gid=609491371#gid=609491371"&amp;""",""Form responses 1!F:F"")=$B297
    ),
    1
  ),
  ""Not Found""
)"),"Yes")</f>
        <v>Yes</v>
      </c>
      <c r="H297" s="230"/>
      <c r="I297" s="230"/>
      <c r="J297" s="339" t="str">
        <f>IFERROR(__xludf.DUMMYFUNCTION("IFERROR(
  INDEX(
    FILTER(
      IMPORTRANGE(""1Cxrhp3-_-HS7v9uuqQliiIfrmMP4VaFoDNDWyUFy2J8/edit?gid=0#gid=0"",""Sheet1!AE:AE""),
      IMPORTRANGE(""1Cxrhp3-_-HS7v9uuqQliiIfrmMP4VaFoDNDWyUFy2J8/edit?gid=0#gid=0"",""Sheet1!K:K"")=$B297
    ),
    1
  )"&amp;",
  ""Not Found""
)"),"Not Found")</f>
        <v>Not Found</v>
      </c>
      <c r="K297" s="340"/>
      <c r="L297" s="340"/>
      <c r="M297" s="230"/>
      <c r="N297" s="230"/>
      <c r="O297" s="230"/>
      <c r="P297" s="230"/>
      <c r="Q297" s="230"/>
      <c r="R297" s="230"/>
      <c r="S297" s="230"/>
      <c r="T297" s="230"/>
      <c r="U297" s="230"/>
      <c r="V297" s="230"/>
      <c r="W297" s="230"/>
      <c r="X297" s="230"/>
      <c r="Y297" s="230"/>
      <c r="Z297" s="230"/>
    </row>
    <row r="298">
      <c r="A298" s="337" t="str">
        <f>IFERROR(__xludf.DUMMYFUNCTION("VLOOKUP($B298,IMPORTRANGE(""https://docs.google.com/spreadsheets/d/1VNXDITjs75AcgdBSW27oL1VZH31udDprJSsBcE5xlp4/edit?gid=1551188038#gid=1551188038"", ""Sheet9!$B:$E""),2,false)"),"Rawalpindi")</f>
        <v>Rawalpindi</v>
      </c>
      <c r="B298" s="341" t="s">
        <v>4905</v>
      </c>
      <c r="C298" s="284" t="str">
        <f>IFERROR(__xludf.DUMMYFUNCTION("IFERROR(
  INDEX(
    FILTER(
      IMPORTRANGE(""1Cxrhp3-_-HS7v9uuqQliiIfrmMP4VaFoDNDWyUFy2J8/edit?gid=0#gid=0"",""Sheet1!AE:AE""),
      IMPORTRANGE(""1Cxrhp3-_-HS7v9uuqQliiIfrmMP4VaFoDNDWyUFy2J8/edit?gid=0#gid=0"",""Sheet1!K:K"")=$B298
    ),
    1
  )"&amp;",
  ""Not Found""
)"),"Not Found")</f>
        <v>Not Found</v>
      </c>
      <c r="D298" s="284"/>
      <c r="E298" s="284">
        <f>IFERROR(__xludf.DUMMYFUNCTION("IFERROR(
  INDEX(
    FILTER(
      IMPORTRANGE(""1kOrIKZmJfNUkgOVP3sI9BPjaaPA0_a4636oymQxTXg8/edit?gid=609491371#gid=609491371"",""Form responses 1!J:J""),
      IMPORTRANGE(""1kOrIKZmJfNUkgOVP3sI9BPjaaPA0_a4636oymQxTXg8/edit?gid=609491371#gid=609491371"&amp;""",""Form responses 1!F:F"")=$B298
    ),
    1
  ),
  ""Not Found""
)"),1982.0)</f>
        <v>1982</v>
      </c>
      <c r="F298" s="284" t="str">
        <f>IFERROR(__xludf.DUMMYFUNCTION("IFERROR(
  INDEX(
    FILTER(
      IMPORTRANGE(""1kOrIKZmJfNUkgOVP3sI9BPjaaPA0_a4636oymQxTXg8/edit?gid=609491371#gid=609491371"",""Form responses 1!L:L""),
      IMPORTRANGE(""1kOrIKZmJfNUkgOVP3sI9BPjaaPA0_a4636oymQxTXg8/edit?gid=609491371#gid=609491371"&amp;""",""Form responses 1!F:F"")=$B298
    ),
    1
  ),
  ""Not Found""
)"),"Mian Haji Bagga Sher RA")</f>
        <v>Mian Haji Bagga Sher RA</v>
      </c>
      <c r="G298" s="284" t="str">
        <f>IFERROR(__xludf.DUMMYFUNCTION("IFERROR(
  INDEX(
    FILTER(
      IMPORTRANGE(""1kOrIKZmJfNUkgOVP3sI9BPjaaPA0_a4636oymQxTXg8/edit?gid=609491371#gid=609491371"",""Form responses 1!K:K""),
      IMPORTRANGE(""1kOrIKZmJfNUkgOVP3sI9BPjaaPA0_a4636oymQxTXg8/edit?gid=609491371#gid=609491371"&amp;""",""Form responses 1!F:F"")=$B298
    ),
    1
  ),
  ""Not Found""
)"),"No")</f>
        <v>No</v>
      </c>
      <c r="H298" s="230"/>
      <c r="I298" s="230"/>
      <c r="J298" s="339" t="str">
        <f>IFERROR(__xludf.DUMMYFUNCTION("IFERROR(
  INDEX(
    FILTER(
      IMPORTRANGE(""1Cxrhp3-_-HS7v9uuqQliiIfrmMP4VaFoDNDWyUFy2J8/edit?gid=0#gid=0"",""Sheet1!AE:AE""),
      IMPORTRANGE(""1Cxrhp3-_-HS7v9uuqQliiIfrmMP4VaFoDNDWyUFy2J8/edit?gid=0#gid=0"",""Sheet1!K:K"")=$B298
    ),
    1
  )"&amp;",
  ""Not Found""
)"),"Not Found")</f>
        <v>Not Found</v>
      </c>
      <c r="K298" s="340"/>
      <c r="L298" s="340"/>
      <c r="M298" s="230"/>
      <c r="N298" s="230"/>
      <c r="O298" s="230"/>
      <c r="P298" s="230"/>
      <c r="Q298" s="230"/>
      <c r="R298" s="230"/>
      <c r="S298" s="230"/>
      <c r="T298" s="230"/>
      <c r="U298" s="230"/>
      <c r="V298" s="230"/>
      <c r="W298" s="230"/>
      <c r="X298" s="230"/>
      <c r="Y298" s="230"/>
      <c r="Z298" s="230"/>
    </row>
    <row r="299">
      <c r="A299" s="337" t="str">
        <f>IFERROR(__xludf.DUMMYFUNCTION("VLOOKUP($B299,IMPORTRANGE(""https://docs.google.com/spreadsheets/d/1VNXDITjs75AcgdBSW27oL1VZH31udDprJSsBcE5xlp4/edit?gid=1551188038#gid=1551188038"", ""Sheet9!$B:$E""),2,false)"),"Sahiwal")</f>
        <v>Sahiwal</v>
      </c>
      <c r="B299" s="341" t="s">
        <v>4686</v>
      </c>
      <c r="C299" s="284">
        <f>IFERROR(__xludf.DUMMYFUNCTION("IFERROR(
  INDEX(
    FILTER(
      IMPORTRANGE(""1Cxrhp3-_-HS7v9uuqQliiIfrmMP4VaFoDNDWyUFy2J8/edit?gid=0#gid=0"",""Sheet1!AE:AE""),
      IMPORTRANGE(""1Cxrhp3-_-HS7v9uuqQliiIfrmMP4VaFoDNDWyUFy2J8/edit?gid=0#gid=0"",""Sheet1!K:K"")=$B299
    ),
    1
  )"&amp;",
  ""Not Found""
)"),1976.0)</f>
        <v>1976</v>
      </c>
      <c r="D299" s="284" t="str">
        <f>IFERROR(__xludf.DUMMYFUNCTION("IFERROR(
  INDEX(
    FILTER(
      IMPORTRANGE(""1Cxrhp3-_-HS7v9uuqQliiIfrmMP4VaFoDNDWyUFy2J8/edit?gid=0#gid=0"",""Sheet1!AG:AG""),
      IMPORTRANGE(""1Cxrhp3-_-HS7v9uuqQliiIfrmMP4VaFoDNDWyUFy2J8/edit?gid=0#gid=0"",""Sheet1!K:K"")=$B299
    ),
    1
  )"&amp;",
  ""Not Found""
)"),"")</f>
        <v/>
      </c>
      <c r="E299" s="284">
        <f>IFERROR(__xludf.DUMMYFUNCTION("IFERROR(
  INDEX(
    FILTER(
      IMPORTRANGE(""1kOrIKZmJfNUkgOVP3sI9BPjaaPA0_a4636oymQxTXg8/edit?gid=609491371#gid=609491371"",""Form responses 1!J:J""),
      IMPORTRANGE(""1kOrIKZmJfNUkgOVP3sI9BPjaaPA0_a4636oymQxTXg8/edit?gid=609491371#gid=609491371"&amp;""",""Form responses 1!F:F"")=$B299
    ),
    1
  ),
  ""Not Found""
)"),1970.0)</f>
        <v>1970</v>
      </c>
      <c r="F299" s="284" t="str">
        <f>IFERROR(__xludf.DUMMYFUNCTION("IFERROR(
  INDEX(
    FILTER(
      IMPORTRANGE(""1kOrIKZmJfNUkgOVP3sI9BPjaaPA0_a4636oymQxTXg8/edit?gid=609491371#gid=609491371"",""Form responses 1!L:L""),
      IMPORTRANGE(""1kOrIKZmJfNUkgOVP3sI9BPjaaPA0_a4636oymQxTXg8/edit?gid=609491371#gid=609491371"&amp;""",""Form responses 1!F:F"")=$B299
    ),
    1
  ),
  ""Not Found""
)"),"No")</f>
        <v>No</v>
      </c>
      <c r="G299" s="284" t="str">
        <f>IFERROR(__xludf.DUMMYFUNCTION("IFERROR(
  INDEX(
    FILTER(
      IMPORTRANGE(""1kOrIKZmJfNUkgOVP3sI9BPjaaPA0_a4636oymQxTXg8/edit?gid=609491371#gid=609491371"",""Form responses 1!K:K""),
      IMPORTRANGE(""1kOrIKZmJfNUkgOVP3sI9BPjaaPA0_a4636oymQxTXg8/edit?gid=609491371#gid=609491371"&amp;""",""Form responses 1!F:F"")=$B299
    ),
    1
  ),
  ""Not Found""
)"),"Yes")</f>
        <v>Yes</v>
      </c>
      <c r="H299" s="230"/>
      <c r="I299" s="343">
        <v>1970.0</v>
      </c>
      <c r="J299" s="344">
        <v>1970.0</v>
      </c>
      <c r="K299" s="340"/>
      <c r="L299" s="340"/>
      <c r="M299" s="230"/>
      <c r="N299" s="230"/>
      <c r="O299" s="230"/>
      <c r="P299" s="230"/>
      <c r="Q299" s="230"/>
      <c r="R299" s="230"/>
      <c r="S299" s="230"/>
      <c r="T299" s="230"/>
      <c r="U299" s="230"/>
      <c r="V299" s="230"/>
      <c r="W299" s="230"/>
      <c r="X299" s="230"/>
      <c r="Y299" s="230"/>
      <c r="Z299" s="230"/>
    </row>
    <row r="300">
      <c r="A300" s="337" t="str">
        <f>IFERROR(__xludf.DUMMYFUNCTION("VLOOKUP($B300,IMPORTRANGE(""https://docs.google.com/spreadsheets/d/1VNXDITjs75AcgdBSW27oL1VZH31udDprJSsBcE5xlp4/edit?gid=1551188038#gid=1551188038"", ""Sheet9!$B:$E""),2,false)"),"Sahiwal")</f>
        <v>Sahiwal</v>
      </c>
      <c r="B300" s="341" t="s">
        <v>4687</v>
      </c>
      <c r="C300" s="284">
        <f>IFERROR(__xludf.DUMMYFUNCTION("IFERROR(
  INDEX(
    FILTER(
      IMPORTRANGE(""1Cxrhp3-_-HS7v9uuqQliiIfrmMP4VaFoDNDWyUFy2J8/edit?gid=0#gid=0"",""Sheet1!AE:AE""),
      IMPORTRANGE(""1Cxrhp3-_-HS7v9uuqQliiIfrmMP4VaFoDNDWyUFy2J8/edit?gid=0#gid=0"",""Sheet1!K:K"")=$B300
    ),
    1
  )"&amp;",
  ""Not Found""
)"),1955.0)</f>
        <v>1955</v>
      </c>
      <c r="D300" s="284" t="str">
        <f>IFERROR(__xludf.DUMMYFUNCTION("IFERROR(
  INDEX(
    FILTER(
      IMPORTRANGE(""1Cxrhp3-_-HS7v9uuqQliiIfrmMP4VaFoDNDWyUFy2J8/edit?gid=0#gid=0"",""Sheet1!AG:AG""),
      IMPORTRANGE(""1Cxrhp3-_-HS7v9uuqQliiIfrmMP4VaFoDNDWyUFy2J8/edit?gid=0#gid=0"",""Sheet1!K:K"")=$B300
    ),
    1
  )"&amp;",
  ""Not Found""
)"),"")</f>
        <v/>
      </c>
      <c r="E300" s="284">
        <f>IFERROR(__xludf.DUMMYFUNCTION("IFERROR(
  INDEX(
    FILTER(
      IMPORTRANGE(""1kOrIKZmJfNUkgOVP3sI9BPjaaPA0_a4636oymQxTXg8/edit?gid=609491371#gid=609491371"",""Form responses 1!J:J""),
      IMPORTRANGE(""1kOrIKZmJfNUkgOVP3sI9BPjaaPA0_a4636oymQxTXg8/edit?gid=609491371#gid=609491371"&amp;""",""Form responses 1!F:F"")=$B300
    ),
    1
  ),
  ""Not Found""
)"),1955.0)</f>
        <v>1955</v>
      </c>
      <c r="F300" s="284" t="str">
        <f>IFERROR(__xludf.DUMMYFUNCTION("IFERROR(
  INDEX(
    FILTER(
      IMPORTRANGE(""1kOrIKZmJfNUkgOVP3sI9BPjaaPA0_a4636oymQxTXg8/edit?gid=609491371#gid=609491371"",""Form responses 1!L:L""),
      IMPORTRANGE(""1kOrIKZmJfNUkgOVP3sI9BPjaaPA0_a4636oymQxTXg8/edit?gid=609491371#gid=609491371"&amp;""",""Form responses 1!F:F"")=$B300
    ),
    1
  ),
  ""Not Found""
)"),"no")</f>
        <v>no</v>
      </c>
      <c r="G300" s="284" t="str">
        <f>IFERROR(__xludf.DUMMYFUNCTION("IFERROR(
  INDEX(
    FILTER(
      IMPORTRANGE(""1kOrIKZmJfNUkgOVP3sI9BPjaaPA0_a4636oymQxTXg8/edit?gid=609491371#gid=609491371"",""Form responses 1!K:K""),
      IMPORTRANGE(""1kOrIKZmJfNUkgOVP3sI9BPjaaPA0_a4636oymQxTXg8/edit?gid=609491371#gid=609491371"&amp;""",""Form responses 1!F:F"")=$B300
    ),
    1
  ),
  ""Not Found""
)"),"No")</f>
        <v>No</v>
      </c>
      <c r="H300" s="230"/>
      <c r="I300" s="230">
        <v>1955.0</v>
      </c>
      <c r="J300" s="339">
        <f>IFERROR(__xludf.DUMMYFUNCTION("IFERROR(
  INDEX(
    FILTER(
      IMPORTRANGE(""1Cxrhp3-_-HS7v9uuqQliiIfrmMP4VaFoDNDWyUFy2J8/edit?gid=0#gid=0"",""Sheet1!AE:AE""),
      IMPORTRANGE(""1Cxrhp3-_-HS7v9uuqQliiIfrmMP4VaFoDNDWyUFy2J8/edit?gid=0#gid=0"",""Sheet1!K:K"")=$B300
    ),
    1
  )"&amp;",
  ""Not Found""
)"),1955.0)</f>
        <v>1955</v>
      </c>
      <c r="K300" s="340"/>
      <c r="L300" s="340"/>
      <c r="M300" s="230"/>
      <c r="N300" s="230"/>
      <c r="O300" s="230"/>
      <c r="P300" s="230"/>
      <c r="Q300" s="230"/>
      <c r="R300" s="230"/>
      <c r="S300" s="230"/>
      <c r="T300" s="230"/>
      <c r="U300" s="230"/>
      <c r="V300" s="230"/>
      <c r="W300" s="230"/>
      <c r="X300" s="230"/>
      <c r="Y300" s="230"/>
      <c r="Z300" s="230"/>
    </row>
    <row r="301">
      <c r="A301" s="337" t="str">
        <f>IFERROR(__xludf.DUMMYFUNCTION("VLOOKUP($B301,IMPORTRANGE(""https://docs.google.com/spreadsheets/d/1VNXDITjs75AcgdBSW27oL1VZH31udDprJSsBcE5xlp4/edit?gid=1551188038#gid=1551188038"", ""Sheet9!$B:$E""),2,false)"),"Sahiwal")</f>
        <v>Sahiwal</v>
      </c>
      <c r="B301" s="341" t="s">
        <v>4688</v>
      </c>
      <c r="C301" s="284">
        <f>IFERROR(__xludf.DUMMYFUNCTION("IFERROR(
  INDEX(
    FILTER(
      IMPORTRANGE(""1Cxrhp3-_-HS7v9uuqQliiIfrmMP4VaFoDNDWyUFy2J8/edit?gid=0#gid=0"",""Sheet1!AE:AE""),
      IMPORTRANGE(""1Cxrhp3-_-HS7v9uuqQliiIfrmMP4VaFoDNDWyUFy2J8/edit?gid=0#gid=0"",""Sheet1!K:K"")=$B301
    ),
    1
  )"&amp;",
  ""Not Found""
)"),1948.0)</f>
        <v>1948</v>
      </c>
      <c r="D301" s="284" t="str">
        <f>IFERROR(__xludf.DUMMYFUNCTION("IFERROR(
  INDEX(
    FILTER(
      IMPORTRANGE(""1Cxrhp3-_-HS7v9uuqQliiIfrmMP4VaFoDNDWyUFy2J8/edit?gid=0#gid=0"",""Sheet1!AG:AG""),
      IMPORTRANGE(""1Cxrhp3-_-HS7v9uuqQliiIfrmMP4VaFoDNDWyUFy2J8/edit?gid=0#gid=0"",""Sheet1!K:K"")=$B301
    ),
    1
  )"&amp;",
  ""Not Found""
)"),"")</f>
        <v/>
      </c>
      <c r="E301" s="284">
        <f>IFERROR(__xludf.DUMMYFUNCTION("IFERROR(
  INDEX(
    FILTER(
      IMPORTRANGE(""1kOrIKZmJfNUkgOVP3sI9BPjaaPA0_a4636oymQxTXg8/edit?gid=609491371#gid=609491371"",""Form responses 1!J:J""),
      IMPORTRANGE(""1kOrIKZmJfNUkgOVP3sI9BPjaaPA0_a4636oymQxTXg8/edit?gid=609491371#gid=609491371"&amp;""",""Form responses 1!F:F"")=$B301
    ),
    1
  ),
  ""Not Found""
)"),1948.0)</f>
        <v>1948</v>
      </c>
      <c r="F301" s="284" t="str">
        <f>IFERROR(__xludf.DUMMYFUNCTION("IFERROR(
  INDEX(
    FILTER(
      IMPORTRANGE(""1kOrIKZmJfNUkgOVP3sI9BPjaaPA0_a4636oymQxTXg8/edit?gid=609491371#gid=609491371"",""Form responses 1!L:L""),
      IMPORTRANGE(""1kOrIKZmJfNUkgOVP3sI9BPjaaPA0_a4636oymQxTXg8/edit?gid=609491371#gid=609491371"&amp;""",""Form responses 1!F:F"")=$B301
    ),
    1
  ),
  ""Not Found""
)"),"No")</f>
        <v>No</v>
      </c>
      <c r="G301" s="284" t="str">
        <f>IFERROR(__xludf.DUMMYFUNCTION("IFERROR(
  INDEX(
    FILTER(
      IMPORTRANGE(""1kOrIKZmJfNUkgOVP3sI9BPjaaPA0_a4636oymQxTXg8/edit?gid=609491371#gid=609491371"",""Form responses 1!K:K""),
      IMPORTRANGE(""1kOrIKZmJfNUkgOVP3sI9BPjaaPA0_a4636oymQxTXg8/edit?gid=609491371#gid=609491371"&amp;""",""Form responses 1!F:F"")=$B301
    ),
    1
  ),
  ""Not Found""
)"),"No")</f>
        <v>No</v>
      </c>
      <c r="H301" s="230"/>
      <c r="I301" s="230">
        <v>1948.0</v>
      </c>
      <c r="J301" s="339">
        <f>IFERROR(__xludf.DUMMYFUNCTION("IFERROR(
  INDEX(
    FILTER(
      IMPORTRANGE(""1Cxrhp3-_-HS7v9uuqQliiIfrmMP4VaFoDNDWyUFy2J8/edit?gid=0#gid=0"",""Sheet1!AE:AE""),
      IMPORTRANGE(""1Cxrhp3-_-HS7v9uuqQliiIfrmMP4VaFoDNDWyUFy2J8/edit?gid=0#gid=0"",""Sheet1!K:K"")=$B301
    ),
    1
  )"&amp;",
  ""Not Found""
)"),1948.0)</f>
        <v>1948</v>
      </c>
      <c r="K301" s="340"/>
      <c r="L301" s="340"/>
      <c r="M301" s="230"/>
      <c r="N301" s="230"/>
      <c r="O301" s="230"/>
      <c r="P301" s="230"/>
      <c r="Q301" s="230"/>
      <c r="R301" s="230"/>
      <c r="S301" s="230"/>
      <c r="T301" s="230"/>
      <c r="U301" s="230"/>
      <c r="V301" s="230"/>
      <c r="W301" s="230"/>
      <c r="X301" s="230"/>
      <c r="Y301" s="230"/>
      <c r="Z301" s="230"/>
    </row>
    <row r="302">
      <c r="A302" s="337" t="str">
        <f>IFERROR(__xludf.DUMMYFUNCTION("VLOOKUP($B302,IMPORTRANGE(""https://docs.google.com/spreadsheets/d/1VNXDITjs75AcgdBSW27oL1VZH31udDprJSsBcE5xlp4/edit?gid=1551188038#gid=1551188038"", ""Sheet9!$B:$E""),2,false)"),"Sahiwal")</f>
        <v>Sahiwal</v>
      </c>
      <c r="B302" s="341" t="s">
        <v>4689</v>
      </c>
      <c r="C302" s="284">
        <f>IFERROR(__xludf.DUMMYFUNCTION("IFERROR(
  INDEX(
    FILTER(
      IMPORTRANGE(""1Cxrhp3-_-HS7v9uuqQliiIfrmMP4VaFoDNDWyUFy2J8/edit?gid=0#gid=0"",""Sheet1!AE:AE""),
      IMPORTRANGE(""1Cxrhp3-_-HS7v9uuqQliiIfrmMP4VaFoDNDWyUFy2J8/edit?gid=0#gid=0"",""Sheet1!K:K"")=$B302
    ),
    1
  )"&amp;",
  ""Not Found""
)"),1912.0)</f>
        <v>1912</v>
      </c>
      <c r="D302" s="284" t="str">
        <f>IFERROR(__xludf.DUMMYFUNCTION("IFERROR(
  INDEX(
    FILTER(
      IMPORTRANGE(""1Cxrhp3-_-HS7v9uuqQliiIfrmMP4VaFoDNDWyUFy2J8/edit?gid=0#gid=0"",""Sheet1!AG:AG""),
      IMPORTRANGE(""1Cxrhp3-_-HS7v9uuqQliiIfrmMP4VaFoDNDWyUFy2J8/edit?gid=0#gid=0"",""Sheet1!K:K"")=$B302
    ),
    1
  )"&amp;",
  ""Not Found""
)"),"")</f>
        <v/>
      </c>
      <c r="E302" s="284" t="str">
        <f>IFERROR(__xludf.DUMMYFUNCTION("IFERROR(
  INDEX(
    FILTER(
      IMPORTRANGE(""1kOrIKZmJfNUkgOVP3sI9BPjaaPA0_a4636oymQxTXg8/edit?gid=609491371#gid=609491371"",""Form responses 1!J:J""),
      IMPORTRANGE(""1kOrIKZmJfNUkgOVP3sI9BPjaaPA0_a4636oymQxTXg8/edit?gid=609491371#gid=609491371"&amp;""",""Form responses 1!F:F"")=$B302
    ),
    1
  ),
  ""Not Found""
)"),"Don't know")</f>
        <v>Don't know</v>
      </c>
      <c r="F302" s="284" t="str">
        <f>IFERROR(__xludf.DUMMYFUNCTION("IFERROR(
  INDEX(
    FILTER(
      IMPORTRANGE(""1kOrIKZmJfNUkgOVP3sI9BPjaaPA0_a4636oymQxTXg8/edit?gid=609491371#gid=609491371"",""Form responses 1!L:L""),
      IMPORTRANGE(""1kOrIKZmJfNUkgOVP3sI9BPjaaPA0_a4636oymQxTXg8/edit?gid=609491371#gid=609491371"&amp;""",""Form responses 1!F:F"")=$B302
    ),
    1
  ),
  ""Not Found""
)"),"No")</f>
        <v>No</v>
      </c>
      <c r="G302" s="284" t="str">
        <f>IFERROR(__xludf.DUMMYFUNCTION("IFERROR(
  INDEX(
    FILTER(
      IMPORTRANGE(""1kOrIKZmJfNUkgOVP3sI9BPjaaPA0_a4636oymQxTXg8/edit?gid=609491371#gid=609491371"",""Form responses 1!K:K""),
      IMPORTRANGE(""1kOrIKZmJfNUkgOVP3sI9BPjaaPA0_a4636oymQxTXg8/edit?gid=609491371#gid=609491371"&amp;""",""Form responses 1!F:F"")=$B302
    ),
    1
  ),
  ""Not Found""
)"),"Yes")</f>
        <v>Yes</v>
      </c>
      <c r="H302" s="230"/>
      <c r="I302" s="230">
        <v>1912.0</v>
      </c>
      <c r="J302" s="339">
        <f>IFERROR(__xludf.DUMMYFUNCTION("IFERROR(
  INDEX(
    FILTER(
      IMPORTRANGE(""1Cxrhp3-_-HS7v9uuqQliiIfrmMP4VaFoDNDWyUFy2J8/edit?gid=0#gid=0"",""Sheet1!AE:AE""),
      IMPORTRANGE(""1Cxrhp3-_-HS7v9uuqQliiIfrmMP4VaFoDNDWyUFy2J8/edit?gid=0#gid=0"",""Sheet1!K:K"")=$B302
    ),
    1
  )"&amp;",
  ""Not Found""
)"),1912.0)</f>
        <v>1912</v>
      </c>
      <c r="K302" s="340"/>
      <c r="L302" s="340"/>
      <c r="M302" s="230"/>
      <c r="N302" s="230"/>
      <c r="O302" s="230"/>
      <c r="P302" s="230"/>
      <c r="Q302" s="230"/>
      <c r="R302" s="230"/>
      <c r="S302" s="230"/>
      <c r="T302" s="230"/>
      <c r="U302" s="230"/>
      <c r="V302" s="230"/>
      <c r="W302" s="230"/>
      <c r="X302" s="230"/>
      <c r="Y302" s="230"/>
      <c r="Z302" s="230"/>
    </row>
    <row r="303">
      <c r="A303" s="337" t="str">
        <f>IFERROR(__xludf.DUMMYFUNCTION("VLOOKUP($B303,IMPORTRANGE(""https://docs.google.com/spreadsheets/d/1VNXDITjs75AcgdBSW27oL1VZH31udDprJSsBcE5xlp4/edit?gid=1551188038#gid=1551188038"", ""Sheet9!$B:$E""),2,false)"),"Sahiwal")</f>
        <v>Sahiwal</v>
      </c>
      <c r="B303" s="341" t="s">
        <v>4690</v>
      </c>
      <c r="C303" s="284">
        <f>IFERROR(__xludf.DUMMYFUNCTION("IFERROR(
  INDEX(
    FILTER(
      IMPORTRANGE(""1Cxrhp3-_-HS7v9uuqQliiIfrmMP4VaFoDNDWyUFy2J8/edit?gid=0#gid=0"",""Sheet1!AE:AE""),
      IMPORTRANGE(""1Cxrhp3-_-HS7v9uuqQliiIfrmMP4VaFoDNDWyUFy2J8/edit?gid=0#gid=0"",""Sheet1!K:K"")=$B303
    ),
    1
  )"&amp;",
  ""Not Found""
)"),1963.0)</f>
        <v>1963</v>
      </c>
      <c r="D303" s="284" t="str">
        <f>IFERROR(__xludf.DUMMYFUNCTION("IFERROR(
  INDEX(
    FILTER(
      IMPORTRANGE(""1Cxrhp3-_-HS7v9uuqQliiIfrmMP4VaFoDNDWyUFy2J8/edit?gid=0#gid=0"",""Sheet1!AG:AG""),
      IMPORTRANGE(""1Cxrhp3-_-HS7v9uuqQliiIfrmMP4VaFoDNDWyUFy2J8/edit?gid=0#gid=0"",""Sheet1!K:K"")=$B303
    ),
    1
  )"&amp;",
  ""Not Found""
)"),"")</f>
        <v/>
      </c>
      <c r="E303" s="284">
        <f>IFERROR(__xludf.DUMMYFUNCTION("IFERROR(
  INDEX(
    FILTER(
      IMPORTRANGE(""1kOrIKZmJfNUkgOVP3sI9BPjaaPA0_a4636oymQxTXg8/edit?gid=609491371#gid=609491371"",""Form responses 1!J:J""),
      IMPORTRANGE(""1kOrIKZmJfNUkgOVP3sI9BPjaaPA0_a4636oymQxTXg8/edit?gid=609491371#gid=609491371"&amp;""",""Form responses 1!F:F"")=$B303
    ),
    1
  ),
  ""Not Found""
)"),1950.0)</f>
        <v>1950</v>
      </c>
      <c r="F303" s="284" t="str">
        <f>IFERROR(__xludf.DUMMYFUNCTION("IFERROR(
  INDEX(
    FILTER(
      IMPORTRANGE(""1kOrIKZmJfNUkgOVP3sI9BPjaaPA0_a4636oymQxTXg8/edit?gid=609491371#gid=609491371"",""Form responses 1!L:L""),
      IMPORTRANGE(""1kOrIKZmJfNUkgOVP3sI9BPjaaPA0_a4636oymQxTXg8/edit?gid=609491371#gid=609491371"&amp;""",""Form responses 1!F:F"")=$B303
    ),
    1
  ),
  ""Not Found""
)"),"No")</f>
        <v>No</v>
      </c>
      <c r="G303" s="284" t="str">
        <f>IFERROR(__xludf.DUMMYFUNCTION("IFERROR(
  INDEX(
    FILTER(
      IMPORTRANGE(""1kOrIKZmJfNUkgOVP3sI9BPjaaPA0_a4636oymQxTXg8/edit?gid=609491371#gid=609491371"",""Form responses 1!K:K""),
      IMPORTRANGE(""1kOrIKZmJfNUkgOVP3sI9BPjaaPA0_a4636oymQxTXg8/edit?gid=609491371#gid=609491371"&amp;""",""Form responses 1!F:F"")=$B303
    ),
    1
  ),
  ""Not Found""
)"),"Yes")</f>
        <v>Yes</v>
      </c>
      <c r="H303" s="230"/>
      <c r="I303" s="343">
        <v>1950.0</v>
      </c>
      <c r="J303" s="344">
        <v>1950.0</v>
      </c>
      <c r="K303" s="340"/>
      <c r="L303" s="340"/>
      <c r="M303" s="230"/>
      <c r="N303" s="230"/>
      <c r="O303" s="230"/>
      <c r="P303" s="230"/>
      <c r="Q303" s="230"/>
      <c r="R303" s="230"/>
      <c r="S303" s="230"/>
      <c r="T303" s="230"/>
      <c r="U303" s="230"/>
      <c r="V303" s="230"/>
      <c r="W303" s="230"/>
      <c r="X303" s="230"/>
      <c r="Y303" s="230"/>
      <c r="Z303" s="230"/>
    </row>
    <row r="304">
      <c r="A304" s="337" t="str">
        <f>IFERROR(__xludf.DUMMYFUNCTION("VLOOKUP($B304,IMPORTRANGE(""https://docs.google.com/spreadsheets/d/1VNXDITjs75AcgdBSW27oL1VZH31udDprJSsBcE5xlp4/edit?gid=1551188038#gid=1551188038"", ""Sheet9!$B:$E""),2,false)"),"Sahiwal")</f>
        <v>Sahiwal</v>
      </c>
      <c r="B304" s="341" t="s">
        <v>4691</v>
      </c>
      <c r="C304" s="284">
        <f>IFERROR(__xludf.DUMMYFUNCTION("IFERROR(
  INDEX(
    FILTER(
      IMPORTRANGE(""1Cxrhp3-_-HS7v9uuqQliiIfrmMP4VaFoDNDWyUFy2J8/edit?gid=0#gid=0"",""Sheet1!AE:AE""),
      IMPORTRANGE(""1Cxrhp3-_-HS7v9uuqQliiIfrmMP4VaFoDNDWyUFy2J8/edit?gid=0#gid=0"",""Sheet1!K:K"")=$B304
    ),
    1
  )"&amp;",
  ""Not Found""
)"),1990.0)</f>
        <v>1990</v>
      </c>
      <c r="D304" s="284" t="s">
        <v>4906</v>
      </c>
      <c r="E304" s="284">
        <f>IFERROR(__xludf.DUMMYFUNCTION("IFERROR(
  INDEX(
    FILTER(
      IMPORTRANGE(""1kOrIKZmJfNUkgOVP3sI9BPjaaPA0_a4636oymQxTXg8/edit?gid=609491371#gid=609491371"",""Form responses 1!J:J""),
      IMPORTRANGE(""1kOrIKZmJfNUkgOVP3sI9BPjaaPA0_a4636oymQxTXg8/edit?gid=609491371#gid=609491371"&amp;""",""Form responses 1!F:F"")=$B304
    ),
    1
  ),
  ""Not Found""
)"),1990.0)</f>
        <v>1990</v>
      </c>
      <c r="F304" s="284" t="str">
        <f>IFERROR(__xludf.DUMMYFUNCTION("IFERROR(
  INDEX(
    FILTER(
      IMPORTRANGE(""1kOrIKZmJfNUkgOVP3sI9BPjaaPA0_a4636oymQxTXg8/edit?gid=609491371#gid=609491371"",""Form responses 1!L:L""),
      IMPORTRANGE(""1kOrIKZmJfNUkgOVP3sI9BPjaaPA0_a4636oymQxTXg8/edit?gid=609491371#gid=609491371"&amp;""",""Form responses 1!F:F"")=$B304
    ),
    1
  ),
  ""Not Found""
)"),"Hazrat Baba Sher shah wali RA")</f>
        <v>Hazrat Baba Sher shah wali RA</v>
      </c>
      <c r="G304" s="284" t="str">
        <f>IFERROR(__xludf.DUMMYFUNCTION("IFERROR(
  INDEX(
    FILTER(
      IMPORTRANGE(""1kOrIKZmJfNUkgOVP3sI9BPjaaPA0_a4636oymQxTXg8/edit?gid=609491371#gid=609491371"",""Form responses 1!K:K""),
      IMPORTRANGE(""1kOrIKZmJfNUkgOVP3sI9BPjaaPA0_a4636oymQxTXg8/edit?gid=609491371#gid=609491371"&amp;""",""Form responses 1!F:F"")=$B304
    ),
    1
  ),
  ""Not Found""
)"),"No")</f>
        <v>No</v>
      </c>
      <c r="H304" s="230"/>
      <c r="I304" s="230">
        <v>1990.0</v>
      </c>
      <c r="J304" s="339">
        <f>IFERROR(__xludf.DUMMYFUNCTION("IFERROR(
  INDEX(
    FILTER(
      IMPORTRANGE(""1Cxrhp3-_-HS7v9uuqQliiIfrmMP4VaFoDNDWyUFy2J8/edit?gid=0#gid=0"",""Sheet1!AE:AE""),
      IMPORTRANGE(""1Cxrhp3-_-HS7v9uuqQliiIfrmMP4VaFoDNDWyUFy2J8/edit?gid=0#gid=0"",""Sheet1!K:K"")=$B304
    ),
    1
  )"&amp;",
  ""Not Found""
)"),1990.0)</f>
        <v>1990</v>
      </c>
      <c r="K304" s="340"/>
      <c r="L304" s="340"/>
      <c r="M304" s="230"/>
      <c r="N304" s="230"/>
      <c r="O304" s="230"/>
      <c r="P304" s="230"/>
      <c r="Q304" s="230"/>
      <c r="R304" s="230"/>
      <c r="S304" s="230"/>
      <c r="T304" s="230"/>
      <c r="U304" s="230"/>
      <c r="V304" s="230"/>
      <c r="W304" s="230"/>
      <c r="X304" s="230"/>
      <c r="Y304" s="230"/>
      <c r="Z304" s="230"/>
    </row>
    <row r="305">
      <c r="A305" s="337" t="str">
        <f>IFERROR(__xludf.DUMMYFUNCTION("VLOOKUP($B305,IMPORTRANGE(""https://docs.google.com/spreadsheets/d/1VNXDITjs75AcgdBSW27oL1VZH31udDprJSsBcE5xlp4/edit?gid=1551188038#gid=1551188038"", ""Sheet9!$B:$E""),2,false)"),"Sahiwal")</f>
        <v>Sahiwal</v>
      </c>
      <c r="B305" s="341" t="s">
        <v>4692</v>
      </c>
      <c r="C305" s="284" t="str">
        <f>IFERROR(__xludf.DUMMYFUNCTION("IFERROR(
  INDEX(
    FILTER(
      IMPORTRANGE(""1Cxrhp3-_-HS7v9uuqQliiIfrmMP4VaFoDNDWyUFy2J8/edit?gid=0#gid=0"",""Sheet1!AE:AE""),
      IMPORTRANGE(""1Cxrhp3-_-HS7v9uuqQliiIfrmMP4VaFoDNDWyUFy2J8/edit?gid=0#gid=0"",""Sheet1!K:K"")=$B305
    ),
    1
  )"&amp;",
  ""Not Found""
)"),"Not Found")</f>
        <v>Not Found</v>
      </c>
      <c r="D305" s="284"/>
      <c r="E305" s="284" t="str">
        <f>IFERROR(__xludf.DUMMYFUNCTION("IFERROR(
  INDEX(
    FILTER(
      IMPORTRANGE(""1kOrIKZmJfNUkgOVP3sI9BPjaaPA0_a4636oymQxTXg8/edit?gid=609491371#gid=609491371"",""Form responses 1!J:J""),
      IMPORTRANGE(""1kOrIKZmJfNUkgOVP3sI9BPjaaPA0_a4636oymQxTXg8/edit?gid=609491371#gid=609491371"&amp;""",""Form responses 1!F:F"")=$B305
    ),
    1
  ),
  ""Not Found""
)"),"-")</f>
        <v>-</v>
      </c>
      <c r="F305" s="284" t="str">
        <f>IFERROR(__xludf.DUMMYFUNCTION("IFERROR(
  INDEX(
    FILTER(
      IMPORTRANGE(""1kOrIKZmJfNUkgOVP3sI9BPjaaPA0_a4636oymQxTXg8/edit?gid=609491371#gid=609491371"",""Form responses 1!L:L""),
      IMPORTRANGE(""1kOrIKZmJfNUkgOVP3sI9BPjaaPA0_a4636oymQxTXg8/edit?gid=609491371#gid=609491371"&amp;""",""Form responses 1!F:F"")=$B305
    ),
    1
  ),
  ""Not Found""
)"),"no")</f>
        <v>no</v>
      </c>
      <c r="G305" s="284" t="str">
        <f>IFERROR(__xludf.DUMMYFUNCTION("IFERROR(
  INDEX(
    FILTER(
      IMPORTRANGE(""1kOrIKZmJfNUkgOVP3sI9BPjaaPA0_a4636oymQxTXg8/edit?gid=609491371#gid=609491371"",""Form responses 1!K:K""),
      IMPORTRANGE(""1kOrIKZmJfNUkgOVP3sI9BPjaaPA0_a4636oymQxTXg8/edit?gid=609491371#gid=609491371"&amp;""",""Form responses 1!F:F"")=$B305
    ),
    1
  ),
  ""Not Found""
)"),"No")</f>
        <v>No</v>
      </c>
      <c r="H305" s="230"/>
      <c r="I305" s="230"/>
      <c r="J305" s="339" t="str">
        <f>IFERROR(__xludf.DUMMYFUNCTION("IFERROR(
  INDEX(
    FILTER(
      IMPORTRANGE(""1Cxrhp3-_-HS7v9uuqQliiIfrmMP4VaFoDNDWyUFy2J8/edit?gid=0#gid=0"",""Sheet1!AE:AE""),
      IMPORTRANGE(""1Cxrhp3-_-HS7v9uuqQliiIfrmMP4VaFoDNDWyUFy2J8/edit?gid=0#gid=0"",""Sheet1!K:K"")=$B305
    ),
    1
  )"&amp;",
  ""Not Found""
)"),"Not Found")</f>
        <v>Not Found</v>
      </c>
      <c r="K305" s="340"/>
      <c r="L305" s="340"/>
      <c r="M305" s="230"/>
      <c r="N305" s="230"/>
      <c r="O305" s="230"/>
      <c r="P305" s="230"/>
      <c r="Q305" s="230"/>
      <c r="R305" s="230"/>
      <c r="S305" s="230"/>
      <c r="T305" s="230"/>
      <c r="U305" s="230"/>
      <c r="V305" s="230"/>
      <c r="W305" s="230"/>
      <c r="X305" s="230"/>
      <c r="Y305" s="230"/>
      <c r="Z305" s="230"/>
    </row>
    <row r="306">
      <c r="A306" s="337" t="str">
        <f>IFERROR(__xludf.DUMMYFUNCTION("VLOOKUP($B306,IMPORTRANGE(""https://docs.google.com/spreadsheets/d/1VNXDITjs75AcgdBSW27oL1VZH31udDprJSsBcE5xlp4/edit?gid=1551188038#gid=1551188038"", ""Sheet9!$B:$E""),2,false)"),"Sahiwal")</f>
        <v>Sahiwal</v>
      </c>
      <c r="B306" s="341" t="s">
        <v>4693</v>
      </c>
      <c r="C306" s="284">
        <f>IFERROR(__xludf.DUMMYFUNCTION("IFERROR(
  INDEX(
    FILTER(
      IMPORTRANGE(""1Cxrhp3-_-HS7v9uuqQliiIfrmMP4VaFoDNDWyUFy2J8/edit?gid=0#gid=0"",""Sheet1!AE:AE""),
      IMPORTRANGE(""1Cxrhp3-_-HS7v9uuqQliiIfrmMP4VaFoDNDWyUFy2J8/edit?gid=0#gid=0"",""Sheet1!K:K"")=$B306
    ),
    1
  )"&amp;",
  ""Not Found""
)"),1999.0)</f>
        <v>1999</v>
      </c>
      <c r="D306" s="284" t="s">
        <v>4907</v>
      </c>
      <c r="E306" s="284">
        <f>IFERROR(__xludf.DUMMYFUNCTION("IFERROR(
  INDEX(
    FILTER(
      IMPORTRANGE(""1kOrIKZmJfNUkgOVP3sI9BPjaaPA0_a4636oymQxTXg8/edit?gid=609491371#gid=609491371"",""Form responses 1!J:J""),
      IMPORTRANGE(""1kOrIKZmJfNUkgOVP3sI9BPjaaPA0_a4636oymQxTXg8/edit?gid=609491371#gid=609491371"&amp;""",""Form responses 1!F:F"")=$B306
    ),
    1
  ),
  ""Not Found""
)"),1975.0)</f>
        <v>1975</v>
      </c>
      <c r="F306" s="284" t="str">
        <f>IFERROR(__xludf.DUMMYFUNCTION("IFERROR(
  INDEX(
    FILTER(
      IMPORTRANGE(""1kOrIKZmJfNUkgOVP3sI9BPjaaPA0_a4636oymQxTXg8/edit?gid=609491371#gid=609491371"",""Form responses 1!L:L""),
      IMPORTRANGE(""1kOrIKZmJfNUkgOVP3sI9BPjaaPA0_a4636oymQxTXg8/edit?gid=609491371#gid=609491371"&amp;""",""Form responses 1!F:F"")=$B306
    ),
    1
  ),
  ""Not Found""
)"),"Syed Muhammad Panah Ra")</f>
        <v>Syed Muhammad Panah Ra</v>
      </c>
      <c r="G306" s="284" t="str">
        <f>IFERROR(__xludf.DUMMYFUNCTION("IFERROR(
  INDEX(
    FILTER(
      IMPORTRANGE(""1kOrIKZmJfNUkgOVP3sI9BPjaaPA0_a4636oymQxTXg8/edit?gid=609491371#gid=609491371"",""Form responses 1!K:K""),
      IMPORTRANGE(""1kOrIKZmJfNUkgOVP3sI9BPjaaPA0_a4636oymQxTXg8/edit?gid=609491371#gid=609491371"&amp;""",""Form responses 1!F:F"")=$B306
    ),
    1
  ),
  ""Not Found""
)"),"Yes")</f>
        <v>Yes</v>
      </c>
      <c r="H306" s="230"/>
      <c r="I306" s="343">
        <v>1975.0</v>
      </c>
      <c r="J306" s="344">
        <v>1975.0</v>
      </c>
      <c r="K306" s="340"/>
      <c r="L306" s="340"/>
      <c r="M306" s="230"/>
      <c r="N306" s="230"/>
      <c r="O306" s="230"/>
      <c r="P306" s="230"/>
      <c r="Q306" s="230"/>
      <c r="R306" s="230"/>
      <c r="S306" s="230"/>
      <c r="T306" s="230"/>
      <c r="U306" s="230"/>
      <c r="V306" s="230"/>
      <c r="W306" s="230"/>
      <c r="X306" s="230"/>
      <c r="Y306" s="230"/>
      <c r="Z306" s="230"/>
    </row>
    <row r="307">
      <c r="A307" s="337" t="str">
        <f>IFERROR(__xludf.DUMMYFUNCTION("VLOOKUP($B307,IMPORTRANGE(""https://docs.google.com/spreadsheets/d/1VNXDITjs75AcgdBSW27oL1VZH31udDprJSsBcE5xlp4/edit?gid=1551188038#gid=1551188038"", ""Sheet9!$B:$E""),2,false)"),"Shahkot")</f>
        <v>Shahkot</v>
      </c>
      <c r="B307" s="341" t="s">
        <v>3868</v>
      </c>
      <c r="C307" s="284" t="str">
        <f>IFERROR(__xludf.DUMMYFUNCTION("IFERROR(
  INDEX(
    FILTER(
      IMPORTRANGE(""1Cxrhp3-_-HS7v9uuqQliiIfrmMP4VaFoDNDWyUFy2J8/edit?gid=0#gid=0"",""Sheet1!AE:AE""),
      IMPORTRANGE(""1Cxrhp3-_-HS7v9uuqQliiIfrmMP4VaFoDNDWyUFy2J8/edit?gid=0#gid=0"",""Sheet1!K:K"")=$B307
    ),
    1
  )"&amp;",
  ""Not Found""
)"),"Not Found")</f>
        <v>Not Found</v>
      </c>
      <c r="D307" s="284"/>
      <c r="E307" s="284">
        <f>IFERROR(__xludf.DUMMYFUNCTION("IFERROR(
  INDEX(
    FILTER(
      IMPORTRANGE(""1kOrIKZmJfNUkgOVP3sI9BPjaaPA0_a4636oymQxTXg8/edit?gid=609491371#gid=609491371"",""Form responses 1!J:J""),
      IMPORTRANGE(""1kOrIKZmJfNUkgOVP3sI9BPjaaPA0_a4636oymQxTXg8/edit?gid=609491371#gid=609491371"&amp;""",""Form responses 1!F:F"")=$B307
    ),
    1
  ),
  ""Not Found""
)"),1963.0)</f>
        <v>1963</v>
      </c>
      <c r="F307" s="284" t="str">
        <f>IFERROR(__xludf.DUMMYFUNCTION("IFERROR(
  INDEX(
    FILTER(
      IMPORTRANGE(""1kOrIKZmJfNUkgOVP3sI9BPjaaPA0_a4636oymQxTXg8/edit?gid=609491371#gid=609491371"",""Form responses 1!L:L""),
      IMPORTRANGE(""1kOrIKZmJfNUkgOVP3sI9BPjaaPA0_a4636oymQxTXg8/edit?gid=609491371#gid=609491371"&amp;""",""Form responses 1!F:F"")=$B307
    ),
    1
  ),
  ""Not Found""
)"),"Baba Nolakh Hazari ")</f>
        <v>Baba Nolakh Hazari </v>
      </c>
      <c r="G307" s="284" t="str">
        <f>IFERROR(__xludf.DUMMYFUNCTION("IFERROR(
  INDEX(
    FILTER(
      IMPORTRANGE(""1kOrIKZmJfNUkgOVP3sI9BPjaaPA0_a4636oymQxTXg8/edit?gid=609491371#gid=609491371"",""Form responses 1!K:K""),
      IMPORTRANGE(""1kOrIKZmJfNUkgOVP3sI9BPjaaPA0_a4636oymQxTXg8/edit?gid=609491371#gid=609491371"&amp;""",""Form responses 1!F:F"")=$B307
    ),
    1
  ),
  ""Not Found""
)"),"No")</f>
        <v>No</v>
      </c>
      <c r="H307" s="230"/>
      <c r="I307" s="343">
        <v>1963.0</v>
      </c>
      <c r="J307" s="344">
        <v>1963.0</v>
      </c>
      <c r="K307" s="340"/>
      <c r="L307" s="340"/>
      <c r="M307" s="230"/>
      <c r="N307" s="230"/>
      <c r="O307" s="230"/>
      <c r="P307" s="230"/>
      <c r="Q307" s="230"/>
      <c r="R307" s="230"/>
      <c r="S307" s="230"/>
      <c r="T307" s="230"/>
      <c r="U307" s="230"/>
      <c r="V307" s="230"/>
      <c r="W307" s="230"/>
      <c r="X307" s="230"/>
      <c r="Y307" s="230"/>
      <c r="Z307" s="230"/>
    </row>
    <row r="308">
      <c r="A308" s="337" t="str">
        <f>IFERROR(__xludf.DUMMYFUNCTION("VLOOKUP($B308,IMPORTRANGE(""https://docs.google.com/spreadsheets/d/1VNXDITjs75AcgdBSW27oL1VZH31udDprJSsBcE5xlp4/edit?gid=1551188038#gid=1551188038"", ""Sheet9!$B:$E""),2,false)"),"Shahkot")</f>
        <v>Shahkot</v>
      </c>
      <c r="B308" s="341" t="s">
        <v>3881</v>
      </c>
      <c r="C308" s="284">
        <f>IFERROR(__xludf.DUMMYFUNCTION("IFERROR(
  INDEX(
    FILTER(
      IMPORTRANGE(""1Cxrhp3-_-HS7v9uuqQliiIfrmMP4VaFoDNDWyUFy2J8/edit?gid=0#gid=0"",""Sheet1!AE:AE""),
      IMPORTRANGE(""1Cxrhp3-_-HS7v9uuqQliiIfrmMP4VaFoDNDWyUFy2J8/edit?gid=0#gid=0"",""Sheet1!K:K"")=$B308
    ),
    1
  )"&amp;",
  ""Not Found""
)"),1960.0)</f>
        <v>1960</v>
      </c>
      <c r="D308" s="284" t="str">
        <f>IFERROR(__xludf.DUMMYFUNCTION("IFERROR(
  INDEX(
    FILTER(
      IMPORTRANGE(""1Cxrhp3-_-HS7v9uuqQliiIfrmMP4VaFoDNDWyUFy2J8/edit?gid=0#gid=0"",""Sheet1!AG:AG""),
      IMPORTRANGE(""1Cxrhp3-_-HS7v9uuqQliiIfrmMP4VaFoDNDWyUFy2J8/edit?gid=0#gid=0"",""Sheet1!K:K"")=$B308
    ),
    1
  )"&amp;",
  ""Not Found""
)"),"")</f>
        <v/>
      </c>
      <c r="E308" s="284">
        <f>IFERROR(__xludf.DUMMYFUNCTION("IFERROR(
  INDEX(
    FILTER(
      IMPORTRANGE(""1kOrIKZmJfNUkgOVP3sI9BPjaaPA0_a4636oymQxTXg8/edit?gid=609491371#gid=609491371"",""Form responses 1!J:J""),
      IMPORTRANGE(""1kOrIKZmJfNUkgOVP3sI9BPjaaPA0_a4636oymQxTXg8/edit?gid=609491371#gid=609491371"&amp;""",""Form responses 1!F:F"")=$B308
    ),
    1
  ),
  ""Not Found""
)"),1985.0)</f>
        <v>1985</v>
      </c>
      <c r="F308" s="284" t="str">
        <f>IFERROR(__xludf.DUMMYFUNCTION("IFERROR(
  INDEX(
    FILTER(
      IMPORTRANGE(""1kOrIKZmJfNUkgOVP3sI9BPjaaPA0_a4636oymQxTXg8/edit?gid=609491371#gid=609491371"",""Form responses 1!L:L""),
      IMPORTRANGE(""1kOrIKZmJfNUkgOVP3sI9BPjaaPA0_a4636oymQxTXg8/edit?gid=609491371#gid=609491371"&amp;""",""Form responses 1!F:F"")=$B308
    ),
    1
  ),
  ""Not Found""
)"),"NO")</f>
        <v>NO</v>
      </c>
      <c r="G308" s="284" t="str">
        <f>IFERROR(__xludf.DUMMYFUNCTION("IFERROR(
  INDEX(
    FILTER(
      IMPORTRANGE(""1kOrIKZmJfNUkgOVP3sI9BPjaaPA0_a4636oymQxTXg8/edit?gid=609491371#gid=609491371"",""Form responses 1!K:K""),
      IMPORTRANGE(""1kOrIKZmJfNUkgOVP3sI9BPjaaPA0_a4636oymQxTXg8/edit?gid=609491371#gid=609491371"&amp;""",""Form responses 1!F:F"")=$B308
    ),
    1
  ),
  ""Not Found""
)"),"No")</f>
        <v>No</v>
      </c>
      <c r="H308" s="230"/>
      <c r="I308" s="230">
        <v>1960.0</v>
      </c>
      <c r="J308" s="339">
        <f>IFERROR(__xludf.DUMMYFUNCTION("IFERROR(
  INDEX(
    FILTER(
      IMPORTRANGE(""1Cxrhp3-_-HS7v9uuqQliiIfrmMP4VaFoDNDWyUFy2J8/edit?gid=0#gid=0"",""Sheet1!AE:AE""),
      IMPORTRANGE(""1Cxrhp3-_-HS7v9uuqQliiIfrmMP4VaFoDNDWyUFy2J8/edit?gid=0#gid=0"",""Sheet1!K:K"")=$B308
    ),
    1
  )"&amp;",
  ""Not Found""
)"),1960.0)</f>
        <v>1960</v>
      </c>
      <c r="K308" s="340"/>
      <c r="L308" s="340"/>
      <c r="M308" s="230"/>
      <c r="N308" s="230"/>
      <c r="O308" s="230"/>
      <c r="P308" s="230"/>
      <c r="Q308" s="230"/>
      <c r="R308" s="230"/>
      <c r="S308" s="230"/>
      <c r="T308" s="230"/>
      <c r="U308" s="230"/>
      <c r="V308" s="230"/>
      <c r="W308" s="230"/>
      <c r="X308" s="230"/>
      <c r="Y308" s="230"/>
      <c r="Z308" s="230"/>
    </row>
    <row r="309">
      <c r="A309" s="337" t="str">
        <f>IFERROR(__xludf.DUMMYFUNCTION("VLOOKUP($B309,IMPORTRANGE(""https://docs.google.com/spreadsheets/d/1VNXDITjs75AcgdBSW27oL1VZH31udDprJSsBcE5xlp4/edit?gid=1551188038#gid=1551188038"", ""Sheet9!$B:$E""),2,false)"),"Shahkot")</f>
        <v>Shahkot</v>
      </c>
      <c r="B309" s="341" t="s">
        <v>4011</v>
      </c>
      <c r="C309" s="284">
        <f>IFERROR(__xludf.DUMMYFUNCTION("IFERROR(
  INDEX(
    FILTER(
      IMPORTRANGE(""1Cxrhp3-_-HS7v9uuqQliiIfrmMP4VaFoDNDWyUFy2J8/edit?gid=0#gid=0"",""Sheet1!AE:AE""),
      IMPORTRANGE(""1Cxrhp3-_-HS7v9uuqQliiIfrmMP4VaFoDNDWyUFy2J8/edit?gid=0#gid=0"",""Sheet1!K:K"")=$B309
    ),
    1
  )"&amp;",
  ""Not Found""
)"),1947.0)</f>
        <v>1947</v>
      </c>
      <c r="D309" s="284" t="str">
        <f>IFERROR(__xludf.DUMMYFUNCTION("IFERROR(
  INDEX(
    FILTER(
      IMPORTRANGE(""1Cxrhp3-_-HS7v9uuqQliiIfrmMP4VaFoDNDWyUFy2J8/edit?gid=0#gid=0"",""Sheet1!AG:AG""),
      IMPORTRANGE(""1Cxrhp3-_-HS7v9uuqQliiIfrmMP4VaFoDNDWyUFy2J8/edit?gid=0#gid=0"",""Sheet1!K:K"")=$B309
    ),
    1
  )"&amp;",
  ""Not Found""
)"),"")</f>
        <v/>
      </c>
      <c r="E309" s="284" t="str">
        <f>IFERROR(__xludf.DUMMYFUNCTION("IFERROR(
  INDEX(
    FILTER(
      IMPORTRANGE(""1kOrIKZmJfNUkgOVP3sI9BPjaaPA0_a4636oymQxTXg8/edit?gid=609491371#gid=609491371"",""Form responses 1!J:J""),
      IMPORTRANGE(""1kOrIKZmJfNUkgOVP3sI9BPjaaPA0_a4636oymQxTXg8/edit?gid=609491371#gid=609491371"&amp;""",""Form responses 1!F:F"")=$B309
    ),
    1
  ),
  ""Not Found""
)"),"-")</f>
        <v>-</v>
      </c>
      <c r="F309" s="284" t="str">
        <f>IFERROR(__xludf.DUMMYFUNCTION("IFERROR(
  INDEX(
    FILTER(
      IMPORTRANGE(""1kOrIKZmJfNUkgOVP3sI9BPjaaPA0_a4636oymQxTXg8/edit?gid=609491371#gid=609491371"",""Form responses 1!L:L""),
      IMPORTRANGE(""1kOrIKZmJfNUkgOVP3sI9BPjaaPA0_a4636oymQxTXg8/edit?gid=609491371#gid=609491371"&amp;""",""Form responses 1!F:F"")=$B309
    ),
    1
  ),
  ""Not Found""
)"),"Molvi Anayat Ullah")</f>
        <v>Molvi Anayat Ullah</v>
      </c>
      <c r="G309" s="284" t="str">
        <f>IFERROR(__xludf.DUMMYFUNCTION("IFERROR(
  INDEX(
    FILTER(
      IMPORTRANGE(""1kOrIKZmJfNUkgOVP3sI9BPjaaPA0_a4636oymQxTXg8/edit?gid=609491371#gid=609491371"",""Form responses 1!K:K""),
      IMPORTRANGE(""1kOrIKZmJfNUkgOVP3sI9BPjaaPA0_a4636oymQxTXg8/edit?gid=609491371#gid=609491371"&amp;""",""Form responses 1!F:F"")=$B309
    ),
    1
  ),
  ""Not Found""
)"),"No")</f>
        <v>No</v>
      </c>
      <c r="H309" s="230"/>
      <c r="I309" s="230">
        <v>1947.0</v>
      </c>
      <c r="J309" s="339">
        <f>IFERROR(__xludf.DUMMYFUNCTION("IFERROR(
  INDEX(
    FILTER(
      IMPORTRANGE(""1Cxrhp3-_-HS7v9uuqQliiIfrmMP4VaFoDNDWyUFy2J8/edit?gid=0#gid=0"",""Sheet1!AE:AE""),
      IMPORTRANGE(""1Cxrhp3-_-HS7v9uuqQliiIfrmMP4VaFoDNDWyUFy2J8/edit?gid=0#gid=0"",""Sheet1!K:K"")=$B309
    ),
    1
  )"&amp;",
  ""Not Found""
)"),1947.0)</f>
        <v>1947</v>
      </c>
      <c r="K309" s="340"/>
      <c r="L309" s="340"/>
      <c r="M309" s="230"/>
      <c r="N309" s="230"/>
      <c r="O309" s="230"/>
      <c r="P309" s="230"/>
      <c r="Q309" s="230"/>
      <c r="R309" s="230"/>
      <c r="S309" s="230"/>
      <c r="T309" s="230"/>
      <c r="U309" s="230"/>
      <c r="V309" s="230"/>
      <c r="W309" s="230"/>
      <c r="X309" s="230"/>
      <c r="Y309" s="230"/>
      <c r="Z309" s="230"/>
    </row>
    <row r="310">
      <c r="A310" s="337" t="str">
        <f>IFERROR(__xludf.DUMMYFUNCTION("VLOOKUP($B310,IMPORTRANGE(""https://docs.google.com/spreadsheets/d/1VNXDITjs75AcgdBSW27oL1VZH31udDprJSsBcE5xlp4/edit?gid=1551188038#gid=1551188038"", ""Sheet9!$B:$E""),2,false)"),"Shahkot")</f>
        <v>Shahkot</v>
      </c>
      <c r="B310" s="341" t="s">
        <v>4701</v>
      </c>
      <c r="C310" s="284">
        <f>IFERROR(__xludf.DUMMYFUNCTION("IFERROR(
  INDEX(
    FILTER(
      IMPORTRANGE(""1Cxrhp3-_-HS7v9uuqQliiIfrmMP4VaFoDNDWyUFy2J8/edit?gid=0#gid=0"",""Sheet1!AE:AE""),
      IMPORTRANGE(""1Cxrhp3-_-HS7v9uuqQliiIfrmMP4VaFoDNDWyUFy2J8/edit?gid=0#gid=0"",""Sheet1!K:K"")=$B310
    ),
    1
  )"&amp;",
  ""Not Found""
)"),1947.0)</f>
        <v>1947</v>
      </c>
      <c r="D310" s="284"/>
      <c r="E310" s="284" t="str">
        <f>IFERROR(__xludf.DUMMYFUNCTION("IFERROR(
  INDEX(
    FILTER(
      IMPORTRANGE(""1kOrIKZmJfNUkgOVP3sI9BPjaaPA0_a4636oymQxTXg8/edit?gid=609491371#gid=609491371"",""Form responses 1!J:J""),
      IMPORTRANGE(""1kOrIKZmJfNUkgOVP3sI9BPjaaPA0_a4636oymQxTXg8/edit?gid=609491371#gid=609491371"&amp;""",""Form responses 1!F:F"")=$B310
    ),
    1
  ),
  ""Not Found""
)"),"Not Found")</f>
        <v>Not Found</v>
      </c>
      <c r="F310" s="284" t="str">
        <f>IFERROR(__xludf.DUMMYFUNCTION("IFERROR(
  INDEX(
    FILTER(
      IMPORTRANGE(""1kOrIKZmJfNUkgOVP3sI9BPjaaPA0_a4636oymQxTXg8/edit?gid=609491371#gid=609491371"",""Form responses 1!L:L""),
      IMPORTRANGE(""1kOrIKZmJfNUkgOVP3sI9BPjaaPA0_a4636oymQxTXg8/edit?gid=609491371#gid=609491371"&amp;""",""Form responses 1!F:F"")=$B310
    ),
    1
  ),
  ""Not Found""
)"),"Not Found")</f>
        <v>Not Found</v>
      </c>
      <c r="G310" s="284"/>
      <c r="H310" s="230"/>
      <c r="I310" s="230"/>
      <c r="J310" s="339">
        <f>IFERROR(__xludf.DUMMYFUNCTION("IFERROR(
  INDEX(
    FILTER(
      IMPORTRANGE(""1Cxrhp3-_-HS7v9uuqQliiIfrmMP4VaFoDNDWyUFy2J8/edit?gid=0#gid=0"",""Sheet1!AE:AE""),
      IMPORTRANGE(""1Cxrhp3-_-HS7v9uuqQliiIfrmMP4VaFoDNDWyUFy2J8/edit?gid=0#gid=0"",""Sheet1!K:K"")=$B310
    ),
    1
  )"&amp;",
  ""Not Found""
)"),1947.0)</f>
        <v>1947</v>
      </c>
      <c r="K310" s="340"/>
      <c r="L310" s="340"/>
      <c r="M310" s="230"/>
      <c r="N310" s="230"/>
      <c r="O310" s="230"/>
      <c r="P310" s="230"/>
      <c r="Q310" s="230"/>
      <c r="R310" s="230"/>
      <c r="S310" s="230"/>
      <c r="T310" s="230"/>
      <c r="U310" s="230"/>
      <c r="V310" s="230"/>
      <c r="W310" s="230"/>
      <c r="X310" s="230"/>
      <c r="Y310" s="230"/>
      <c r="Z310" s="230"/>
    </row>
    <row r="311">
      <c r="A311" s="342" t="s">
        <v>4909</v>
      </c>
      <c r="B311" s="342" t="s">
        <v>4909</v>
      </c>
      <c r="C311" s="302" t="s">
        <v>4909</v>
      </c>
      <c r="D311" s="302" t="s">
        <v>4909</v>
      </c>
      <c r="E311" s="302" t="s">
        <v>4909</v>
      </c>
      <c r="F311" s="284" t="str">
        <f>IFERROR(__xludf.DUMMYFUNCTION("IFERROR(
  INDEX(
    FILTER(
      IMPORTRANGE(""1kOrIKZmJfNUkgOVP3sI9BPjaaPA0_a4636oymQxTXg8/edit?gid=609491371#gid=609491371"",""Form responses 1!L:L""),
      IMPORTRANGE(""1kOrIKZmJfNUkgOVP3sI9BPjaaPA0_a4636oymQxTXg8/edit?gid=609491371#gid=609491371"&amp;""",""Form responses 1!F:F"")=$B311
    ),
    1
  ),
  ""Not Found""
)"),"Not Found")</f>
        <v>Not Found</v>
      </c>
      <c r="G311" s="284"/>
      <c r="H311" s="230"/>
      <c r="I311" s="344" t="s">
        <v>4909</v>
      </c>
      <c r="J311" s="344" t="s">
        <v>4909</v>
      </c>
      <c r="K311" s="340"/>
      <c r="L311" s="340"/>
      <c r="M311" s="230"/>
      <c r="N311" s="230"/>
      <c r="O311" s="230"/>
      <c r="P311" s="230"/>
      <c r="Q311" s="230"/>
      <c r="R311" s="230"/>
      <c r="S311" s="230"/>
      <c r="T311" s="230"/>
      <c r="U311" s="230"/>
      <c r="V311" s="230"/>
      <c r="W311" s="230"/>
      <c r="X311" s="230"/>
      <c r="Y311" s="230"/>
      <c r="Z311" s="230"/>
    </row>
    <row r="312">
      <c r="A312" s="346"/>
      <c r="B312" s="347"/>
      <c r="C312" s="284"/>
      <c r="D312" s="284"/>
      <c r="E312" s="285"/>
      <c r="F312" s="230"/>
      <c r="G312" s="230"/>
      <c r="H312" s="230"/>
      <c r="I312" s="230"/>
      <c r="J312" s="339"/>
      <c r="K312" s="340"/>
      <c r="L312" s="340"/>
      <c r="M312" s="230"/>
      <c r="N312" s="230"/>
      <c r="O312" s="230"/>
      <c r="P312" s="230"/>
      <c r="Q312" s="230"/>
      <c r="R312" s="230"/>
      <c r="S312" s="230"/>
      <c r="T312" s="230"/>
      <c r="U312" s="230"/>
      <c r="V312" s="230"/>
      <c r="W312" s="230"/>
      <c r="X312" s="230"/>
      <c r="Y312" s="230"/>
      <c r="Z312" s="230"/>
    </row>
    <row r="313">
      <c r="A313" s="346"/>
      <c r="B313" s="347"/>
      <c r="C313" s="284"/>
      <c r="D313" s="284"/>
      <c r="E313" s="285"/>
      <c r="F313" s="230"/>
      <c r="G313" s="230"/>
      <c r="H313" s="230"/>
      <c r="I313" s="230"/>
      <c r="J313" s="339"/>
      <c r="K313" s="340"/>
      <c r="L313" s="340"/>
      <c r="M313" s="230"/>
      <c r="N313" s="230"/>
      <c r="O313" s="230"/>
      <c r="P313" s="230"/>
      <c r="Q313" s="230"/>
      <c r="R313" s="230"/>
      <c r="S313" s="230"/>
      <c r="T313" s="230"/>
      <c r="U313" s="230"/>
      <c r="V313" s="230"/>
      <c r="W313" s="230"/>
      <c r="X313" s="230"/>
      <c r="Y313" s="230"/>
      <c r="Z313" s="230"/>
    </row>
    <row r="314">
      <c r="A314" s="346"/>
      <c r="B314" s="347"/>
      <c r="C314" s="284"/>
      <c r="D314" s="284"/>
      <c r="E314" s="285"/>
      <c r="F314" s="230"/>
      <c r="G314" s="230"/>
      <c r="H314" s="230"/>
      <c r="I314" s="230"/>
      <c r="J314" s="339"/>
      <c r="K314" s="340"/>
      <c r="L314" s="340"/>
      <c r="M314" s="230"/>
      <c r="N314" s="230"/>
      <c r="O314" s="230"/>
      <c r="P314" s="230"/>
      <c r="Q314" s="230"/>
      <c r="R314" s="230"/>
      <c r="S314" s="230"/>
      <c r="T314" s="230"/>
      <c r="U314" s="230"/>
      <c r="V314" s="230"/>
      <c r="W314" s="230"/>
      <c r="X314" s="230"/>
      <c r="Y314" s="230"/>
      <c r="Z314" s="230"/>
    </row>
    <row r="315">
      <c r="A315" s="346"/>
      <c r="B315" s="347"/>
      <c r="C315" s="284"/>
      <c r="D315" s="284"/>
      <c r="E315" s="285"/>
      <c r="F315" s="230"/>
      <c r="G315" s="230"/>
      <c r="H315" s="230"/>
      <c r="I315" s="230"/>
      <c r="J315" s="339"/>
      <c r="K315" s="340"/>
      <c r="L315" s="340"/>
      <c r="M315" s="230"/>
      <c r="N315" s="230"/>
      <c r="O315" s="230"/>
      <c r="P315" s="230"/>
      <c r="Q315" s="230"/>
      <c r="R315" s="230"/>
      <c r="S315" s="230"/>
      <c r="T315" s="230"/>
      <c r="U315" s="230"/>
      <c r="V315" s="230"/>
      <c r="W315" s="230"/>
      <c r="X315" s="230"/>
      <c r="Y315" s="230"/>
      <c r="Z315" s="230"/>
    </row>
    <row r="316">
      <c r="A316" s="346"/>
      <c r="B316" s="347"/>
      <c r="C316" s="284"/>
      <c r="D316" s="284"/>
      <c r="E316" s="285"/>
      <c r="F316" s="230"/>
      <c r="G316" s="230"/>
      <c r="H316" s="230"/>
      <c r="I316" s="230"/>
      <c r="J316" s="339"/>
      <c r="K316" s="340"/>
      <c r="L316" s="340"/>
      <c r="M316" s="230"/>
      <c r="N316" s="230"/>
      <c r="O316" s="230"/>
      <c r="P316" s="230"/>
      <c r="Q316" s="230"/>
      <c r="R316" s="230"/>
      <c r="S316" s="230"/>
      <c r="T316" s="230"/>
      <c r="U316" s="230"/>
      <c r="V316" s="230"/>
      <c r="W316" s="230"/>
      <c r="X316" s="230"/>
      <c r="Y316" s="230"/>
      <c r="Z316" s="230"/>
    </row>
    <row r="317">
      <c r="A317" s="346"/>
      <c r="B317" s="347"/>
      <c r="C317" s="284"/>
      <c r="D317" s="284"/>
      <c r="E317" s="285"/>
      <c r="F317" s="230"/>
      <c r="G317" s="230"/>
      <c r="H317" s="230"/>
      <c r="I317" s="230"/>
      <c r="J317" s="339"/>
      <c r="K317" s="340"/>
      <c r="L317" s="340"/>
      <c r="M317" s="230"/>
      <c r="N317" s="230"/>
      <c r="O317" s="230"/>
      <c r="P317" s="230"/>
      <c r="Q317" s="230"/>
      <c r="R317" s="230"/>
      <c r="S317" s="230"/>
      <c r="T317" s="230"/>
      <c r="U317" s="230"/>
      <c r="V317" s="230"/>
      <c r="W317" s="230"/>
      <c r="X317" s="230"/>
      <c r="Y317" s="230"/>
      <c r="Z317" s="230"/>
    </row>
    <row r="318">
      <c r="A318" s="346"/>
      <c r="B318" s="347"/>
      <c r="C318" s="284"/>
      <c r="D318" s="284"/>
      <c r="E318" s="285"/>
      <c r="F318" s="230"/>
      <c r="G318" s="230"/>
      <c r="H318" s="230"/>
      <c r="I318" s="230"/>
      <c r="J318" s="339"/>
      <c r="K318" s="340"/>
      <c r="L318" s="340"/>
      <c r="M318" s="230"/>
      <c r="N318" s="230"/>
      <c r="O318" s="230"/>
      <c r="P318" s="230"/>
      <c r="Q318" s="230"/>
      <c r="R318" s="230"/>
      <c r="S318" s="230"/>
      <c r="T318" s="230"/>
      <c r="U318" s="230"/>
      <c r="V318" s="230"/>
      <c r="W318" s="230"/>
      <c r="X318" s="230"/>
      <c r="Y318" s="230"/>
      <c r="Z318" s="230"/>
    </row>
    <row r="319">
      <c r="A319" s="346"/>
      <c r="B319" s="347"/>
      <c r="C319" s="284"/>
      <c r="D319" s="284"/>
      <c r="E319" s="285"/>
      <c r="F319" s="230"/>
      <c r="G319" s="230"/>
      <c r="H319" s="230"/>
      <c r="I319" s="230"/>
      <c r="J319" s="339"/>
      <c r="K319" s="340"/>
      <c r="L319" s="340"/>
      <c r="M319" s="230"/>
      <c r="N319" s="230"/>
      <c r="O319" s="230"/>
      <c r="P319" s="230"/>
      <c r="Q319" s="230"/>
      <c r="R319" s="230"/>
      <c r="S319" s="230"/>
      <c r="T319" s="230"/>
      <c r="U319" s="230"/>
      <c r="V319" s="230"/>
      <c r="W319" s="230"/>
      <c r="X319" s="230"/>
      <c r="Y319" s="230"/>
      <c r="Z319" s="230"/>
    </row>
    <row r="320">
      <c r="A320" s="346"/>
      <c r="B320" s="347"/>
      <c r="C320" s="284"/>
      <c r="D320" s="284"/>
      <c r="E320" s="285"/>
      <c r="F320" s="230"/>
      <c r="G320" s="230"/>
      <c r="H320" s="230"/>
      <c r="I320" s="230"/>
      <c r="J320" s="339"/>
      <c r="K320" s="340"/>
      <c r="L320" s="340"/>
      <c r="M320" s="230"/>
      <c r="N320" s="230"/>
      <c r="O320" s="230"/>
      <c r="P320" s="230"/>
      <c r="Q320" s="230"/>
      <c r="R320" s="230"/>
      <c r="S320" s="230"/>
      <c r="T320" s="230"/>
      <c r="U320" s="230"/>
      <c r="V320" s="230"/>
      <c r="W320" s="230"/>
      <c r="X320" s="230"/>
      <c r="Y320" s="230"/>
      <c r="Z320" s="230"/>
    </row>
    <row r="321">
      <c r="A321" s="346"/>
      <c r="B321" s="347"/>
      <c r="C321" s="284"/>
      <c r="D321" s="284"/>
      <c r="E321" s="285"/>
      <c r="F321" s="230"/>
      <c r="G321" s="230"/>
      <c r="H321" s="230"/>
      <c r="I321" s="230"/>
      <c r="J321" s="339"/>
      <c r="K321" s="340"/>
      <c r="L321" s="340"/>
      <c r="M321" s="230"/>
      <c r="N321" s="230"/>
      <c r="O321" s="230"/>
      <c r="P321" s="230"/>
      <c r="Q321" s="230"/>
      <c r="R321" s="230"/>
      <c r="S321" s="230"/>
      <c r="T321" s="230"/>
      <c r="U321" s="230"/>
      <c r="V321" s="230"/>
      <c r="W321" s="230"/>
      <c r="X321" s="230"/>
      <c r="Y321" s="230"/>
      <c r="Z321" s="230"/>
    </row>
    <row r="322">
      <c r="A322" s="346"/>
      <c r="B322" s="347"/>
      <c r="C322" s="284"/>
      <c r="D322" s="284"/>
      <c r="E322" s="285"/>
      <c r="F322" s="230"/>
      <c r="G322" s="230"/>
      <c r="H322" s="230"/>
      <c r="I322" s="230"/>
      <c r="J322" s="339"/>
      <c r="K322" s="340"/>
      <c r="L322" s="340"/>
      <c r="M322" s="230"/>
      <c r="N322" s="230"/>
      <c r="O322" s="230"/>
      <c r="P322" s="230"/>
      <c r="Q322" s="230"/>
      <c r="R322" s="230"/>
      <c r="S322" s="230"/>
      <c r="T322" s="230"/>
      <c r="U322" s="230"/>
      <c r="V322" s="230"/>
      <c r="W322" s="230"/>
      <c r="X322" s="230"/>
      <c r="Y322" s="230"/>
      <c r="Z322" s="230"/>
    </row>
    <row r="323">
      <c r="A323" s="346"/>
      <c r="B323" s="347"/>
      <c r="C323" s="284"/>
      <c r="D323" s="284"/>
      <c r="E323" s="285"/>
      <c r="F323" s="230"/>
      <c r="G323" s="230"/>
      <c r="H323" s="230"/>
      <c r="I323" s="230"/>
      <c r="J323" s="339"/>
      <c r="K323" s="340"/>
      <c r="L323" s="340"/>
      <c r="M323" s="230"/>
      <c r="N323" s="230"/>
      <c r="O323" s="230"/>
      <c r="P323" s="230"/>
      <c r="Q323" s="230"/>
      <c r="R323" s="230"/>
      <c r="S323" s="230"/>
      <c r="T323" s="230"/>
      <c r="U323" s="230"/>
      <c r="V323" s="230"/>
      <c r="W323" s="230"/>
      <c r="X323" s="230"/>
      <c r="Y323" s="230"/>
      <c r="Z323" s="230"/>
    </row>
    <row r="324">
      <c r="A324" s="346"/>
      <c r="B324" s="347"/>
      <c r="C324" s="284"/>
      <c r="D324" s="284"/>
      <c r="E324" s="285"/>
      <c r="F324" s="230"/>
      <c r="G324" s="230"/>
      <c r="H324" s="230"/>
      <c r="I324" s="230"/>
      <c r="J324" s="339"/>
      <c r="K324" s="340"/>
      <c r="L324" s="340"/>
      <c r="M324" s="230"/>
      <c r="N324" s="230"/>
      <c r="O324" s="230"/>
      <c r="P324" s="230"/>
      <c r="Q324" s="230"/>
      <c r="R324" s="230"/>
      <c r="S324" s="230"/>
      <c r="T324" s="230"/>
      <c r="U324" s="230"/>
      <c r="V324" s="230"/>
      <c r="W324" s="230"/>
      <c r="X324" s="230"/>
      <c r="Y324" s="230"/>
      <c r="Z324" s="230"/>
    </row>
    <row r="325">
      <c r="A325" s="346"/>
      <c r="B325" s="347"/>
      <c r="C325" s="284"/>
      <c r="D325" s="284"/>
      <c r="E325" s="285"/>
      <c r="F325" s="230"/>
      <c r="G325" s="230"/>
      <c r="H325" s="230"/>
      <c r="I325" s="230"/>
      <c r="J325" s="339"/>
      <c r="K325" s="340"/>
      <c r="L325" s="340"/>
      <c r="M325" s="230"/>
      <c r="N325" s="230"/>
      <c r="O325" s="230"/>
      <c r="P325" s="230"/>
      <c r="Q325" s="230"/>
      <c r="R325" s="230"/>
      <c r="S325" s="230"/>
      <c r="T325" s="230"/>
      <c r="U325" s="230"/>
      <c r="V325" s="230"/>
      <c r="W325" s="230"/>
      <c r="X325" s="230"/>
      <c r="Y325" s="230"/>
      <c r="Z325" s="230"/>
    </row>
    <row r="326">
      <c r="A326" s="346"/>
      <c r="B326" s="347"/>
      <c r="C326" s="284"/>
      <c r="D326" s="284"/>
      <c r="E326" s="285"/>
      <c r="F326" s="230"/>
      <c r="G326" s="230"/>
      <c r="H326" s="230"/>
      <c r="I326" s="230"/>
      <c r="J326" s="339"/>
      <c r="K326" s="340"/>
      <c r="L326" s="340"/>
      <c r="M326" s="230"/>
      <c r="N326" s="230"/>
      <c r="O326" s="230"/>
      <c r="P326" s="230"/>
      <c r="Q326" s="230"/>
      <c r="R326" s="230"/>
      <c r="S326" s="230"/>
      <c r="T326" s="230"/>
      <c r="U326" s="230"/>
      <c r="V326" s="230"/>
      <c r="W326" s="230"/>
      <c r="X326" s="230"/>
      <c r="Y326" s="230"/>
      <c r="Z326" s="230"/>
    </row>
    <row r="327">
      <c r="A327" s="346"/>
      <c r="B327" s="347"/>
      <c r="C327" s="284"/>
      <c r="D327" s="284"/>
      <c r="E327" s="285"/>
      <c r="F327" s="230"/>
      <c r="G327" s="230"/>
      <c r="H327" s="230"/>
      <c r="I327" s="230"/>
      <c r="J327" s="339"/>
      <c r="K327" s="340"/>
      <c r="L327" s="340"/>
      <c r="M327" s="230"/>
      <c r="N327" s="230"/>
      <c r="O327" s="230"/>
      <c r="P327" s="230"/>
      <c r="Q327" s="230"/>
      <c r="R327" s="230"/>
      <c r="S327" s="230"/>
      <c r="T327" s="230"/>
      <c r="U327" s="230"/>
      <c r="V327" s="230"/>
      <c r="W327" s="230"/>
      <c r="X327" s="230"/>
      <c r="Y327" s="230"/>
      <c r="Z327" s="230"/>
    </row>
    <row r="328">
      <c r="A328" s="346"/>
      <c r="B328" s="347"/>
      <c r="C328" s="284"/>
      <c r="D328" s="284"/>
      <c r="E328" s="285"/>
      <c r="F328" s="230"/>
      <c r="G328" s="230"/>
      <c r="H328" s="230"/>
      <c r="I328" s="230"/>
      <c r="J328" s="339"/>
      <c r="K328" s="340"/>
      <c r="L328" s="340"/>
      <c r="M328" s="230"/>
      <c r="N328" s="230"/>
      <c r="O328" s="230"/>
      <c r="P328" s="230"/>
      <c r="Q328" s="230"/>
      <c r="R328" s="230"/>
      <c r="S328" s="230"/>
      <c r="T328" s="230"/>
      <c r="U328" s="230"/>
      <c r="V328" s="230"/>
      <c r="W328" s="230"/>
      <c r="X328" s="230"/>
      <c r="Y328" s="230"/>
      <c r="Z328" s="230"/>
    </row>
    <row r="329">
      <c r="A329" s="346"/>
      <c r="B329" s="347"/>
      <c r="C329" s="284"/>
      <c r="D329" s="284"/>
      <c r="E329" s="285"/>
      <c r="F329" s="230"/>
      <c r="G329" s="230"/>
      <c r="H329" s="230"/>
      <c r="I329" s="230"/>
      <c r="J329" s="339"/>
      <c r="K329" s="340"/>
      <c r="L329" s="340"/>
      <c r="M329" s="230"/>
      <c r="N329" s="230"/>
      <c r="O329" s="230"/>
      <c r="P329" s="230"/>
      <c r="Q329" s="230"/>
      <c r="R329" s="230"/>
      <c r="S329" s="230"/>
      <c r="T329" s="230"/>
      <c r="U329" s="230"/>
      <c r="V329" s="230"/>
      <c r="W329" s="230"/>
      <c r="X329" s="230"/>
      <c r="Y329" s="230"/>
      <c r="Z329" s="230"/>
    </row>
    <row r="330">
      <c r="A330" s="346"/>
      <c r="B330" s="347"/>
      <c r="C330" s="284"/>
      <c r="D330" s="284"/>
      <c r="E330" s="285"/>
      <c r="F330" s="230"/>
      <c r="G330" s="230"/>
      <c r="H330" s="230"/>
      <c r="I330" s="230"/>
      <c r="J330" s="339"/>
      <c r="K330" s="340"/>
      <c r="L330" s="340"/>
      <c r="M330" s="230"/>
      <c r="N330" s="230"/>
      <c r="O330" s="230"/>
      <c r="P330" s="230"/>
      <c r="Q330" s="230"/>
      <c r="R330" s="230"/>
      <c r="S330" s="230"/>
      <c r="T330" s="230"/>
      <c r="U330" s="230"/>
      <c r="V330" s="230"/>
      <c r="W330" s="230"/>
      <c r="X330" s="230"/>
      <c r="Y330" s="230"/>
      <c r="Z330" s="230"/>
    </row>
    <row r="331">
      <c r="A331" s="346"/>
      <c r="B331" s="347"/>
      <c r="C331" s="284"/>
      <c r="D331" s="284"/>
      <c r="E331" s="285"/>
      <c r="F331" s="230"/>
      <c r="G331" s="230"/>
      <c r="H331" s="230"/>
      <c r="I331" s="230"/>
      <c r="J331" s="339"/>
      <c r="K331" s="340"/>
      <c r="L331" s="340"/>
      <c r="M331" s="230"/>
      <c r="N331" s="230"/>
      <c r="O331" s="230"/>
      <c r="P331" s="230"/>
      <c r="Q331" s="230"/>
      <c r="R331" s="230"/>
      <c r="S331" s="230"/>
      <c r="T331" s="230"/>
      <c r="U331" s="230"/>
      <c r="V331" s="230"/>
      <c r="W331" s="230"/>
      <c r="X331" s="230"/>
      <c r="Y331" s="230"/>
      <c r="Z331" s="230"/>
    </row>
    <row r="332">
      <c r="A332" s="346"/>
      <c r="B332" s="347"/>
      <c r="C332" s="284"/>
      <c r="D332" s="284"/>
      <c r="E332" s="285"/>
      <c r="F332" s="230"/>
      <c r="G332" s="230"/>
      <c r="H332" s="230"/>
      <c r="I332" s="230"/>
      <c r="J332" s="339"/>
      <c r="K332" s="340"/>
      <c r="L332" s="340"/>
      <c r="M332" s="230"/>
      <c r="N332" s="230"/>
      <c r="O332" s="230"/>
      <c r="P332" s="230"/>
      <c r="Q332" s="230"/>
      <c r="R332" s="230"/>
      <c r="S332" s="230"/>
      <c r="T332" s="230"/>
      <c r="U332" s="230"/>
      <c r="V332" s="230"/>
      <c r="W332" s="230"/>
      <c r="X332" s="230"/>
      <c r="Y332" s="230"/>
      <c r="Z332" s="230"/>
    </row>
    <row r="333">
      <c r="A333" s="346"/>
      <c r="B333" s="347"/>
      <c r="C333" s="284"/>
      <c r="D333" s="284"/>
      <c r="E333" s="285"/>
      <c r="F333" s="230"/>
      <c r="G333" s="230"/>
      <c r="H333" s="230"/>
      <c r="I333" s="230"/>
      <c r="J333" s="339"/>
      <c r="K333" s="340"/>
      <c r="L333" s="340"/>
      <c r="M333" s="230"/>
      <c r="N333" s="230"/>
      <c r="O333" s="230"/>
      <c r="P333" s="230"/>
      <c r="Q333" s="230"/>
      <c r="R333" s="230"/>
      <c r="S333" s="230"/>
      <c r="T333" s="230"/>
      <c r="U333" s="230"/>
      <c r="V333" s="230"/>
      <c r="W333" s="230"/>
      <c r="X333" s="230"/>
      <c r="Y333" s="230"/>
      <c r="Z333" s="230"/>
    </row>
    <row r="334">
      <c r="A334" s="346"/>
      <c r="B334" s="347"/>
      <c r="C334" s="284"/>
      <c r="D334" s="284"/>
      <c r="E334" s="285"/>
      <c r="F334" s="230"/>
      <c r="G334" s="230"/>
      <c r="H334" s="230"/>
      <c r="I334" s="230"/>
      <c r="J334" s="339"/>
      <c r="K334" s="340"/>
      <c r="L334" s="340"/>
      <c r="M334" s="230"/>
      <c r="N334" s="230"/>
      <c r="O334" s="230"/>
      <c r="P334" s="230"/>
      <c r="Q334" s="230"/>
      <c r="R334" s="230"/>
      <c r="S334" s="230"/>
      <c r="T334" s="230"/>
      <c r="U334" s="230"/>
      <c r="V334" s="230"/>
      <c r="W334" s="230"/>
      <c r="X334" s="230"/>
      <c r="Y334" s="230"/>
      <c r="Z334" s="230"/>
    </row>
    <row r="335">
      <c r="A335" s="346"/>
      <c r="B335" s="347"/>
      <c r="C335" s="284"/>
      <c r="D335" s="284"/>
      <c r="E335" s="285"/>
      <c r="F335" s="230"/>
      <c r="G335" s="230"/>
      <c r="H335" s="230"/>
      <c r="I335" s="230"/>
      <c r="J335" s="339"/>
      <c r="K335" s="340"/>
      <c r="L335" s="340"/>
      <c r="M335" s="230"/>
      <c r="N335" s="230"/>
      <c r="O335" s="230"/>
      <c r="P335" s="230"/>
      <c r="Q335" s="230"/>
      <c r="R335" s="230"/>
      <c r="S335" s="230"/>
      <c r="T335" s="230"/>
      <c r="U335" s="230"/>
      <c r="V335" s="230"/>
      <c r="W335" s="230"/>
      <c r="X335" s="230"/>
      <c r="Y335" s="230"/>
      <c r="Z335" s="230"/>
    </row>
    <row r="336">
      <c r="A336" s="346"/>
      <c r="B336" s="347"/>
      <c r="C336" s="284"/>
      <c r="D336" s="284"/>
      <c r="E336" s="285"/>
      <c r="F336" s="230"/>
      <c r="G336" s="230"/>
      <c r="H336" s="230"/>
      <c r="I336" s="230"/>
      <c r="J336" s="339"/>
      <c r="K336" s="340"/>
      <c r="L336" s="340"/>
      <c r="M336" s="230"/>
      <c r="N336" s="230"/>
      <c r="O336" s="230"/>
      <c r="P336" s="230"/>
      <c r="Q336" s="230"/>
      <c r="R336" s="230"/>
      <c r="S336" s="230"/>
      <c r="T336" s="230"/>
      <c r="U336" s="230"/>
      <c r="V336" s="230"/>
      <c r="W336" s="230"/>
      <c r="X336" s="230"/>
      <c r="Y336" s="230"/>
      <c r="Z336" s="230"/>
    </row>
    <row r="337">
      <c r="A337" s="346"/>
      <c r="B337" s="347"/>
      <c r="C337" s="284"/>
      <c r="D337" s="284"/>
      <c r="E337" s="285"/>
      <c r="F337" s="230"/>
      <c r="G337" s="230"/>
      <c r="H337" s="230"/>
      <c r="I337" s="230"/>
      <c r="J337" s="339"/>
      <c r="K337" s="340"/>
      <c r="L337" s="340"/>
      <c r="M337" s="230"/>
      <c r="N337" s="230"/>
      <c r="O337" s="230"/>
      <c r="P337" s="230"/>
      <c r="Q337" s="230"/>
      <c r="R337" s="230"/>
      <c r="S337" s="230"/>
      <c r="T337" s="230"/>
      <c r="U337" s="230"/>
      <c r="V337" s="230"/>
      <c r="W337" s="230"/>
      <c r="X337" s="230"/>
      <c r="Y337" s="230"/>
      <c r="Z337" s="230"/>
    </row>
    <row r="338">
      <c r="A338" s="346"/>
      <c r="B338" s="347"/>
      <c r="C338" s="284"/>
      <c r="D338" s="284"/>
      <c r="E338" s="285"/>
      <c r="F338" s="230"/>
      <c r="G338" s="230"/>
      <c r="H338" s="230"/>
      <c r="I338" s="230"/>
      <c r="J338" s="339"/>
      <c r="K338" s="340"/>
      <c r="L338" s="340"/>
      <c r="M338" s="230"/>
      <c r="N338" s="230"/>
      <c r="O338" s="230"/>
      <c r="P338" s="230"/>
      <c r="Q338" s="230"/>
      <c r="R338" s="230"/>
      <c r="S338" s="230"/>
      <c r="T338" s="230"/>
      <c r="U338" s="230"/>
      <c r="V338" s="230"/>
      <c r="W338" s="230"/>
      <c r="X338" s="230"/>
      <c r="Y338" s="230"/>
      <c r="Z338" s="230"/>
    </row>
    <row r="339">
      <c r="A339" s="346"/>
      <c r="B339" s="347"/>
      <c r="C339" s="284"/>
      <c r="D339" s="284"/>
      <c r="E339" s="285"/>
      <c r="F339" s="230"/>
      <c r="G339" s="230"/>
      <c r="H339" s="230"/>
      <c r="I339" s="230"/>
      <c r="J339" s="339"/>
      <c r="K339" s="340"/>
      <c r="L339" s="340"/>
      <c r="M339" s="230"/>
      <c r="N339" s="230"/>
      <c r="O339" s="230"/>
      <c r="P339" s="230"/>
      <c r="Q339" s="230"/>
      <c r="R339" s="230"/>
      <c r="S339" s="230"/>
      <c r="T339" s="230"/>
      <c r="U339" s="230"/>
      <c r="V339" s="230"/>
      <c r="W339" s="230"/>
      <c r="X339" s="230"/>
      <c r="Y339" s="230"/>
      <c r="Z339" s="230"/>
    </row>
    <row r="340">
      <c r="A340" s="346"/>
      <c r="B340" s="347"/>
      <c r="C340" s="284"/>
      <c r="D340" s="284"/>
      <c r="E340" s="285"/>
      <c r="F340" s="230"/>
      <c r="G340" s="230"/>
      <c r="H340" s="230"/>
      <c r="I340" s="230"/>
      <c r="J340" s="339"/>
      <c r="K340" s="340"/>
      <c r="L340" s="340"/>
      <c r="M340" s="230"/>
      <c r="N340" s="230"/>
      <c r="O340" s="230"/>
      <c r="P340" s="230"/>
      <c r="Q340" s="230"/>
      <c r="R340" s="230"/>
      <c r="S340" s="230"/>
      <c r="T340" s="230"/>
      <c r="U340" s="230"/>
      <c r="V340" s="230"/>
      <c r="W340" s="230"/>
      <c r="X340" s="230"/>
      <c r="Y340" s="230"/>
      <c r="Z340" s="230"/>
    </row>
    <row r="341">
      <c r="A341" s="346"/>
      <c r="B341" s="347"/>
      <c r="C341" s="284"/>
      <c r="D341" s="284"/>
      <c r="E341" s="285"/>
      <c r="F341" s="230"/>
      <c r="G341" s="230"/>
      <c r="H341" s="230"/>
      <c r="I341" s="230"/>
      <c r="J341" s="339"/>
      <c r="K341" s="340"/>
      <c r="L341" s="340"/>
      <c r="M341" s="230"/>
      <c r="N341" s="230"/>
      <c r="O341" s="230"/>
      <c r="P341" s="230"/>
      <c r="Q341" s="230"/>
      <c r="R341" s="230"/>
      <c r="S341" s="230"/>
      <c r="T341" s="230"/>
      <c r="U341" s="230"/>
      <c r="V341" s="230"/>
      <c r="W341" s="230"/>
      <c r="X341" s="230"/>
      <c r="Y341" s="230"/>
      <c r="Z341" s="230"/>
    </row>
    <row r="342">
      <c r="A342" s="346"/>
      <c r="B342" s="347"/>
      <c r="C342" s="284"/>
      <c r="D342" s="284"/>
      <c r="E342" s="285"/>
      <c r="F342" s="230"/>
      <c r="G342" s="230"/>
      <c r="H342" s="230"/>
      <c r="I342" s="230"/>
      <c r="J342" s="339"/>
      <c r="K342" s="340"/>
      <c r="L342" s="340"/>
      <c r="M342" s="230"/>
      <c r="N342" s="230"/>
      <c r="O342" s="230"/>
      <c r="P342" s="230"/>
      <c r="Q342" s="230"/>
      <c r="R342" s="230"/>
      <c r="S342" s="230"/>
      <c r="T342" s="230"/>
      <c r="U342" s="230"/>
      <c r="V342" s="230"/>
      <c r="W342" s="230"/>
      <c r="X342" s="230"/>
      <c r="Y342" s="230"/>
      <c r="Z342" s="230"/>
    </row>
    <row r="343">
      <c r="A343" s="346"/>
      <c r="B343" s="347"/>
      <c r="C343" s="284"/>
      <c r="D343" s="284"/>
      <c r="E343" s="285"/>
      <c r="F343" s="230"/>
      <c r="G343" s="230"/>
      <c r="H343" s="230"/>
      <c r="I343" s="230"/>
      <c r="J343" s="339"/>
      <c r="K343" s="340"/>
      <c r="L343" s="340"/>
      <c r="M343" s="230"/>
      <c r="N343" s="230"/>
      <c r="O343" s="230"/>
      <c r="P343" s="230"/>
      <c r="Q343" s="230"/>
      <c r="R343" s="230"/>
      <c r="S343" s="230"/>
      <c r="T343" s="230"/>
      <c r="U343" s="230"/>
      <c r="V343" s="230"/>
      <c r="W343" s="230"/>
      <c r="X343" s="230"/>
      <c r="Y343" s="230"/>
      <c r="Z343" s="230"/>
    </row>
    <row r="344">
      <c r="A344" s="346"/>
      <c r="B344" s="347"/>
      <c r="C344" s="284"/>
      <c r="D344" s="284"/>
      <c r="E344" s="285"/>
      <c r="F344" s="230"/>
      <c r="G344" s="230"/>
      <c r="H344" s="230"/>
      <c r="I344" s="230"/>
      <c r="J344" s="339"/>
      <c r="K344" s="340"/>
      <c r="L344" s="340"/>
      <c r="M344" s="230"/>
      <c r="N344" s="230"/>
      <c r="O344" s="230"/>
      <c r="P344" s="230"/>
      <c r="Q344" s="230"/>
      <c r="R344" s="230"/>
      <c r="S344" s="230"/>
      <c r="T344" s="230"/>
      <c r="U344" s="230"/>
      <c r="V344" s="230"/>
      <c r="W344" s="230"/>
      <c r="X344" s="230"/>
      <c r="Y344" s="230"/>
      <c r="Z344" s="230"/>
    </row>
    <row r="345">
      <c r="A345" s="346"/>
      <c r="B345" s="347"/>
      <c r="C345" s="284"/>
      <c r="D345" s="284"/>
      <c r="E345" s="285"/>
      <c r="F345" s="230"/>
      <c r="G345" s="230"/>
      <c r="H345" s="230"/>
      <c r="I345" s="230"/>
      <c r="J345" s="339"/>
      <c r="K345" s="340"/>
      <c r="L345" s="340"/>
      <c r="M345" s="230"/>
      <c r="N345" s="230"/>
      <c r="O345" s="230"/>
      <c r="P345" s="230"/>
      <c r="Q345" s="230"/>
      <c r="R345" s="230"/>
      <c r="S345" s="230"/>
      <c r="T345" s="230"/>
      <c r="U345" s="230"/>
      <c r="V345" s="230"/>
      <c r="W345" s="230"/>
      <c r="X345" s="230"/>
      <c r="Y345" s="230"/>
      <c r="Z345" s="230"/>
    </row>
    <row r="346">
      <c r="A346" s="346"/>
      <c r="B346" s="347"/>
      <c r="C346" s="284"/>
      <c r="D346" s="284"/>
      <c r="E346" s="285"/>
      <c r="F346" s="230"/>
      <c r="G346" s="230"/>
      <c r="H346" s="230"/>
      <c r="I346" s="230"/>
      <c r="J346" s="339"/>
      <c r="K346" s="340"/>
      <c r="L346" s="340"/>
      <c r="M346" s="230"/>
      <c r="N346" s="230"/>
      <c r="O346" s="230"/>
      <c r="P346" s="230"/>
      <c r="Q346" s="230"/>
      <c r="R346" s="230"/>
      <c r="S346" s="230"/>
      <c r="T346" s="230"/>
      <c r="U346" s="230"/>
      <c r="V346" s="230"/>
      <c r="W346" s="230"/>
      <c r="X346" s="230"/>
      <c r="Y346" s="230"/>
      <c r="Z346" s="230"/>
    </row>
    <row r="347">
      <c r="A347" s="346"/>
      <c r="B347" s="347"/>
      <c r="C347" s="284"/>
      <c r="D347" s="284"/>
      <c r="E347" s="285"/>
      <c r="F347" s="230"/>
      <c r="G347" s="230"/>
      <c r="H347" s="230"/>
      <c r="I347" s="230"/>
      <c r="J347" s="339"/>
      <c r="K347" s="340"/>
      <c r="L347" s="340"/>
      <c r="M347" s="230"/>
      <c r="N347" s="230"/>
      <c r="O347" s="230"/>
      <c r="P347" s="230"/>
      <c r="Q347" s="230"/>
      <c r="R347" s="230"/>
      <c r="S347" s="230"/>
      <c r="T347" s="230"/>
      <c r="U347" s="230"/>
      <c r="V347" s="230"/>
      <c r="W347" s="230"/>
      <c r="X347" s="230"/>
      <c r="Y347" s="230"/>
      <c r="Z347" s="230"/>
    </row>
    <row r="348">
      <c r="A348" s="346"/>
      <c r="B348" s="347"/>
      <c r="C348" s="284"/>
      <c r="D348" s="284"/>
      <c r="E348" s="285"/>
      <c r="F348" s="230"/>
      <c r="G348" s="230"/>
      <c r="H348" s="230"/>
      <c r="I348" s="230"/>
      <c r="J348" s="339"/>
      <c r="K348" s="340"/>
      <c r="L348" s="340"/>
      <c r="M348" s="230"/>
      <c r="N348" s="230"/>
      <c r="O348" s="230"/>
      <c r="P348" s="230"/>
      <c r="Q348" s="230"/>
      <c r="R348" s="230"/>
      <c r="S348" s="230"/>
      <c r="T348" s="230"/>
      <c r="U348" s="230"/>
      <c r="V348" s="230"/>
      <c r="W348" s="230"/>
      <c r="X348" s="230"/>
      <c r="Y348" s="230"/>
      <c r="Z348" s="230"/>
    </row>
    <row r="349">
      <c r="A349" s="346"/>
      <c r="B349" s="347"/>
      <c r="C349" s="284"/>
      <c r="D349" s="284"/>
      <c r="E349" s="285"/>
      <c r="F349" s="230"/>
      <c r="G349" s="230"/>
      <c r="H349" s="230"/>
      <c r="I349" s="230"/>
      <c r="J349" s="339"/>
      <c r="K349" s="340"/>
      <c r="L349" s="340"/>
      <c r="M349" s="230"/>
      <c r="N349" s="230"/>
      <c r="O349" s="230"/>
      <c r="P349" s="230"/>
      <c r="Q349" s="230"/>
      <c r="R349" s="230"/>
      <c r="S349" s="230"/>
      <c r="T349" s="230"/>
      <c r="U349" s="230"/>
      <c r="V349" s="230"/>
      <c r="W349" s="230"/>
      <c r="X349" s="230"/>
      <c r="Y349" s="230"/>
      <c r="Z349" s="230"/>
    </row>
    <row r="350">
      <c r="A350" s="346"/>
      <c r="B350" s="347"/>
      <c r="C350" s="284"/>
      <c r="D350" s="284"/>
      <c r="E350" s="285"/>
      <c r="F350" s="230"/>
      <c r="G350" s="230"/>
      <c r="H350" s="230"/>
      <c r="I350" s="230"/>
      <c r="J350" s="339"/>
      <c r="K350" s="340"/>
      <c r="L350" s="340"/>
      <c r="M350" s="230"/>
      <c r="N350" s="230"/>
      <c r="O350" s="230"/>
      <c r="P350" s="230"/>
      <c r="Q350" s="230"/>
      <c r="R350" s="230"/>
      <c r="S350" s="230"/>
      <c r="T350" s="230"/>
      <c r="U350" s="230"/>
      <c r="V350" s="230"/>
      <c r="W350" s="230"/>
      <c r="X350" s="230"/>
      <c r="Y350" s="230"/>
      <c r="Z350" s="230"/>
    </row>
    <row r="351">
      <c r="A351" s="346"/>
      <c r="B351" s="347"/>
      <c r="C351" s="284"/>
      <c r="D351" s="284"/>
      <c r="E351" s="285"/>
      <c r="F351" s="230"/>
      <c r="G351" s="230"/>
      <c r="H351" s="230"/>
      <c r="I351" s="230"/>
      <c r="J351" s="339"/>
      <c r="K351" s="340"/>
      <c r="L351" s="340"/>
      <c r="M351" s="230"/>
      <c r="N351" s="230"/>
      <c r="O351" s="230"/>
      <c r="P351" s="230"/>
      <c r="Q351" s="230"/>
      <c r="R351" s="230"/>
      <c r="S351" s="230"/>
      <c r="T351" s="230"/>
      <c r="U351" s="230"/>
      <c r="V351" s="230"/>
      <c r="W351" s="230"/>
      <c r="X351" s="230"/>
      <c r="Y351" s="230"/>
      <c r="Z351" s="230"/>
    </row>
    <row r="352">
      <c r="A352" s="346"/>
      <c r="B352" s="347"/>
      <c r="C352" s="284"/>
      <c r="D352" s="284"/>
      <c r="E352" s="285"/>
      <c r="F352" s="230"/>
      <c r="G352" s="230"/>
      <c r="H352" s="230"/>
      <c r="I352" s="230"/>
      <c r="J352" s="339"/>
      <c r="K352" s="340"/>
      <c r="L352" s="340"/>
      <c r="M352" s="230"/>
      <c r="N352" s="230"/>
      <c r="O352" s="230"/>
      <c r="P352" s="230"/>
      <c r="Q352" s="230"/>
      <c r="R352" s="230"/>
      <c r="S352" s="230"/>
      <c r="T352" s="230"/>
      <c r="U352" s="230"/>
      <c r="V352" s="230"/>
      <c r="W352" s="230"/>
      <c r="X352" s="230"/>
      <c r="Y352" s="230"/>
      <c r="Z352" s="230"/>
    </row>
    <row r="353">
      <c r="A353" s="346"/>
      <c r="B353" s="347"/>
      <c r="C353" s="284"/>
      <c r="D353" s="284"/>
      <c r="E353" s="285"/>
      <c r="F353" s="230"/>
      <c r="G353" s="230"/>
      <c r="H353" s="230"/>
      <c r="I353" s="230"/>
      <c r="J353" s="339"/>
      <c r="K353" s="340"/>
      <c r="L353" s="340"/>
      <c r="M353" s="230"/>
      <c r="N353" s="230"/>
      <c r="O353" s="230"/>
      <c r="P353" s="230"/>
      <c r="Q353" s="230"/>
      <c r="R353" s="230"/>
      <c r="S353" s="230"/>
      <c r="T353" s="230"/>
      <c r="U353" s="230"/>
      <c r="V353" s="230"/>
      <c r="W353" s="230"/>
      <c r="X353" s="230"/>
      <c r="Y353" s="230"/>
      <c r="Z353" s="230"/>
    </row>
    <row r="354">
      <c r="A354" s="346"/>
      <c r="B354" s="347"/>
      <c r="C354" s="284"/>
      <c r="D354" s="284"/>
      <c r="E354" s="285"/>
      <c r="F354" s="230"/>
      <c r="G354" s="230"/>
      <c r="H354" s="230"/>
      <c r="I354" s="230"/>
      <c r="J354" s="339"/>
      <c r="K354" s="340"/>
      <c r="L354" s="340"/>
      <c r="M354" s="230"/>
      <c r="N354" s="230"/>
      <c r="O354" s="230"/>
      <c r="P354" s="230"/>
      <c r="Q354" s="230"/>
      <c r="R354" s="230"/>
      <c r="S354" s="230"/>
      <c r="T354" s="230"/>
      <c r="U354" s="230"/>
      <c r="V354" s="230"/>
      <c r="W354" s="230"/>
      <c r="X354" s="230"/>
      <c r="Y354" s="230"/>
      <c r="Z354" s="230"/>
    </row>
    <row r="355">
      <c r="A355" s="346"/>
      <c r="B355" s="347"/>
      <c r="C355" s="284"/>
      <c r="D355" s="284"/>
      <c r="E355" s="285"/>
      <c r="F355" s="230"/>
      <c r="G355" s="230"/>
      <c r="H355" s="230"/>
      <c r="I355" s="230"/>
      <c r="J355" s="339"/>
      <c r="K355" s="340"/>
      <c r="L355" s="340"/>
      <c r="M355" s="230"/>
      <c r="N355" s="230"/>
      <c r="O355" s="230"/>
      <c r="P355" s="230"/>
      <c r="Q355" s="230"/>
      <c r="R355" s="230"/>
      <c r="S355" s="230"/>
      <c r="T355" s="230"/>
      <c r="U355" s="230"/>
      <c r="V355" s="230"/>
      <c r="W355" s="230"/>
      <c r="X355" s="230"/>
      <c r="Y355" s="230"/>
      <c r="Z355" s="230"/>
    </row>
    <row r="356">
      <c r="A356" s="346"/>
      <c r="B356" s="347"/>
      <c r="C356" s="284"/>
      <c r="D356" s="284"/>
      <c r="E356" s="285"/>
      <c r="F356" s="230"/>
      <c r="G356" s="230"/>
      <c r="H356" s="230"/>
      <c r="I356" s="230"/>
      <c r="J356" s="339"/>
      <c r="K356" s="340"/>
      <c r="L356" s="340"/>
      <c r="M356" s="230"/>
      <c r="N356" s="230"/>
      <c r="O356" s="230"/>
      <c r="P356" s="230"/>
      <c r="Q356" s="230"/>
      <c r="R356" s="230"/>
      <c r="S356" s="230"/>
      <c r="T356" s="230"/>
      <c r="U356" s="230"/>
      <c r="V356" s="230"/>
      <c r="W356" s="230"/>
      <c r="X356" s="230"/>
      <c r="Y356" s="230"/>
      <c r="Z356" s="230"/>
    </row>
    <row r="357">
      <c r="A357" s="346"/>
      <c r="B357" s="347"/>
      <c r="C357" s="284"/>
      <c r="D357" s="284"/>
      <c r="E357" s="285"/>
      <c r="F357" s="230"/>
      <c r="G357" s="230"/>
      <c r="H357" s="230"/>
      <c r="I357" s="230"/>
      <c r="J357" s="339"/>
      <c r="K357" s="340"/>
      <c r="L357" s="340"/>
      <c r="M357" s="230"/>
      <c r="N357" s="230"/>
      <c r="O357" s="230"/>
      <c r="P357" s="230"/>
      <c r="Q357" s="230"/>
      <c r="R357" s="230"/>
      <c r="S357" s="230"/>
      <c r="T357" s="230"/>
      <c r="U357" s="230"/>
      <c r="V357" s="230"/>
      <c r="W357" s="230"/>
      <c r="X357" s="230"/>
      <c r="Y357" s="230"/>
      <c r="Z357" s="230"/>
    </row>
    <row r="358">
      <c r="A358" s="346"/>
      <c r="B358" s="347"/>
      <c r="C358" s="284"/>
      <c r="D358" s="284"/>
      <c r="E358" s="285"/>
      <c r="F358" s="230"/>
      <c r="G358" s="230"/>
      <c r="H358" s="230"/>
      <c r="I358" s="230"/>
      <c r="J358" s="339"/>
      <c r="K358" s="340"/>
      <c r="L358" s="340"/>
      <c r="M358" s="230"/>
      <c r="N358" s="230"/>
      <c r="O358" s="230"/>
      <c r="P358" s="230"/>
      <c r="Q358" s="230"/>
      <c r="R358" s="230"/>
      <c r="S358" s="230"/>
      <c r="T358" s="230"/>
      <c r="U358" s="230"/>
      <c r="V358" s="230"/>
      <c r="W358" s="230"/>
      <c r="X358" s="230"/>
      <c r="Y358" s="230"/>
      <c r="Z358" s="230"/>
    </row>
    <row r="359">
      <c r="A359" s="346"/>
      <c r="B359" s="347"/>
      <c r="C359" s="284"/>
      <c r="D359" s="284"/>
      <c r="E359" s="285"/>
      <c r="F359" s="230"/>
      <c r="G359" s="230"/>
      <c r="H359" s="230"/>
      <c r="I359" s="230"/>
      <c r="J359" s="339"/>
      <c r="K359" s="340"/>
      <c r="L359" s="340"/>
      <c r="M359" s="230"/>
      <c r="N359" s="230"/>
      <c r="O359" s="230"/>
      <c r="P359" s="230"/>
      <c r="Q359" s="230"/>
      <c r="R359" s="230"/>
      <c r="S359" s="230"/>
      <c r="T359" s="230"/>
      <c r="U359" s="230"/>
      <c r="V359" s="230"/>
      <c r="W359" s="230"/>
      <c r="X359" s="230"/>
      <c r="Y359" s="230"/>
      <c r="Z359" s="230"/>
    </row>
    <row r="360">
      <c r="A360" s="346"/>
      <c r="B360" s="347"/>
      <c r="C360" s="284"/>
      <c r="D360" s="284"/>
      <c r="E360" s="285"/>
      <c r="F360" s="230"/>
      <c r="G360" s="230"/>
      <c r="H360" s="230"/>
      <c r="I360" s="230"/>
      <c r="J360" s="339"/>
      <c r="K360" s="340"/>
      <c r="L360" s="340"/>
      <c r="M360" s="230"/>
      <c r="N360" s="230"/>
      <c r="O360" s="230"/>
      <c r="P360" s="230"/>
      <c r="Q360" s="230"/>
      <c r="R360" s="230"/>
      <c r="S360" s="230"/>
      <c r="T360" s="230"/>
      <c r="U360" s="230"/>
      <c r="V360" s="230"/>
      <c r="W360" s="230"/>
      <c r="X360" s="230"/>
      <c r="Y360" s="230"/>
      <c r="Z360" s="230"/>
    </row>
    <row r="361">
      <c r="A361" s="346"/>
      <c r="B361" s="347"/>
      <c r="C361" s="284"/>
      <c r="D361" s="284"/>
      <c r="E361" s="285"/>
      <c r="F361" s="230"/>
      <c r="G361" s="230"/>
      <c r="H361" s="230"/>
      <c r="I361" s="230"/>
      <c r="J361" s="339"/>
      <c r="K361" s="340"/>
      <c r="L361" s="340"/>
      <c r="M361" s="230"/>
      <c r="N361" s="230"/>
      <c r="O361" s="230"/>
      <c r="P361" s="230"/>
      <c r="Q361" s="230"/>
      <c r="R361" s="230"/>
      <c r="S361" s="230"/>
      <c r="T361" s="230"/>
      <c r="U361" s="230"/>
      <c r="V361" s="230"/>
      <c r="W361" s="230"/>
      <c r="X361" s="230"/>
      <c r="Y361" s="230"/>
      <c r="Z361" s="230"/>
    </row>
    <row r="362">
      <c r="A362" s="346"/>
      <c r="B362" s="347"/>
      <c r="C362" s="284"/>
      <c r="D362" s="284"/>
      <c r="E362" s="285"/>
      <c r="F362" s="230"/>
      <c r="G362" s="230"/>
      <c r="H362" s="230"/>
      <c r="I362" s="230"/>
      <c r="J362" s="339"/>
      <c r="K362" s="340"/>
      <c r="L362" s="340"/>
      <c r="M362" s="230"/>
      <c r="N362" s="230"/>
      <c r="O362" s="230"/>
      <c r="P362" s="230"/>
      <c r="Q362" s="230"/>
      <c r="R362" s="230"/>
      <c r="S362" s="230"/>
      <c r="T362" s="230"/>
      <c r="U362" s="230"/>
      <c r="V362" s="230"/>
      <c r="W362" s="230"/>
      <c r="X362" s="230"/>
      <c r="Y362" s="230"/>
      <c r="Z362" s="230"/>
    </row>
    <row r="363">
      <c r="A363" s="346"/>
      <c r="B363" s="347"/>
      <c r="C363" s="284"/>
      <c r="D363" s="284"/>
      <c r="E363" s="285"/>
      <c r="F363" s="230"/>
      <c r="G363" s="230"/>
      <c r="H363" s="230"/>
      <c r="I363" s="230"/>
      <c r="J363" s="339"/>
      <c r="K363" s="340"/>
      <c r="L363" s="340"/>
      <c r="M363" s="230"/>
      <c r="N363" s="230"/>
      <c r="O363" s="230"/>
      <c r="P363" s="230"/>
      <c r="Q363" s="230"/>
      <c r="R363" s="230"/>
      <c r="S363" s="230"/>
      <c r="T363" s="230"/>
      <c r="U363" s="230"/>
      <c r="V363" s="230"/>
      <c r="W363" s="230"/>
      <c r="X363" s="230"/>
      <c r="Y363" s="230"/>
      <c r="Z363" s="230"/>
    </row>
    <row r="364">
      <c r="A364" s="346"/>
      <c r="B364" s="347"/>
      <c r="C364" s="284"/>
      <c r="D364" s="284"/>
      <c r="E364" s="285"/>
      <c r="F364" s="230"/>
      <c r="G364" s="230"/>
      <c r="H364" s="230"/>
      <c r="I364" s="230"/>
      <c r="J364" s="339"/>
      <c r="K364" s="340"/>
      <c r="L364" s="340"/>
      <c r="M364" s="230"/>
      <c r="N364" s="230"/>
      <c r="O364" s="230"/>
      <c r="P364" s="230"/>
      <c r="Q364" s="230"/>
      <c r="R364" s="230"/>
      <c r="S364" s="230"/>
      <c r="T364" s="230"/>
      <c r="U364" s="230"/>
      <c r="V364" s="230"/>
      <c r="W364" s="230"/>
      <c r="X364" s="230"/>
      <c r="Y364" s="230"/>
      <c r="Z364" s="230"/>
    </row>
    <row r="365">
      <c r="A365" s="346"/>
      <c r="B365" s="347"/>
      <c r="C365" s="284"/>
      <c r="D365" s="284"/>
      <c r="E365" s="285"/>
      <c r="F365" s="230"/>
      <c r="G365" s="230"/>
      <c r="H365" s="230"/>
      <c r="I365" s="230"/>
      <c r="J365" s="339"/>
      <c r="K365" s="340"/>
      <c r="L365" s="340"/>
      <c r="M365" s="230"/>
      <c r="N365" s="230"/>
      <c r="O365" s="230"/>
      <c r="P365" s="230"/>
      <c r="Q365" s="230"/>
      <c r="R365" s="230"/>
      <c r="S365" s="230"/>
      <c r="T365" s="230"/>
      <c r="U365" s="230"/>
      <c r="V365" s="230"/>
      <c r="W365" s="230"/>
      <c r="X365" s="230"/>
      <c r="Y365" s="230"/>
      <c r="Z365" s="230"/>
    </row>
    <row r="366">
      <c r="A366" s="346"/>
      <c r="B366" s="347"/>
      <c r="C366" s="284"/>
      <c r="D366" s="284"/>
      <c r="E366" s="285"/>
      <c r="F366" s="230"/>
      <c r="G366" s="230"/>
      <c r="H366" s="230"/>
      <c r="I366" s="230"/>
      <c r="J366" s="339"/>
      <c r="K366" s="340"/>
      <c r="L366" s="340"/>
      <c r="M366" s="230"/>
      <c r="N366" s="230"/>
      <c r="O366" s="230"/>
      <c r="P366" s="230"/>
      <c r="Q366" s="230"/>
      <c r="R366" s="230"/>
      <c r="S366" s="230"/>
      <c r="T366" s="230"/>
      <c r="U366" s="230"/>
      <c r="V366" s="230"/>
      <c r="W366" s="230"/>
      <c r="X366" s="230"/>
      <c r="Y366" s="230"/>
      <c r="Z366" s="230"/>
    </row>
    <row r="367">
      <c r="A367" s="346"/>
      <c r="B367" s="347"/>
      <c r="C367" s="284"/>
      <c r="D367" s="284"/>
      <c r="E367" s="285"/>
      <c r="F367" s="230"/>
      <c r="G367" s="230"/>
      <c r="H367" s="230"/>
      <c r="I367" s="230"/>
      <c r="J367" s="339"/>
      <c r="K367" s="340"/>
      <c r="L367" s="340"/>
      <c r="M367" s="230"/>
      <c r="N367" s="230"/>
      <c r="O367" s="230"/>
      <c r="P367" s="230"/>
      <c r="Q367" s="230"/>
      <c r="R367" s="230"/>
      <c r="S367" s="230"/>
      <c r="T367" s="230"/>
      <c r="U367" s="230"/>
      <c r="V367" s="230"/>
      <c r="W367" s="230"/>
      <c r="X367" s="230"/>
      <c r="Y367" s="230"/>
      <c r="Z367" s="230"/>
    </row>
    <row r="368">
      <c r="A368" s="346"/>
      <c r="B368" s="347"/>
      <c r="C368" s="284"/>
      <c r="D368" s="284"/>
      <c r="E368" s="285"/>
      <c r="F368" s="230"/>
      <c r="G368" s="230"/>
      <c r="H368" s="230"/>
      <c r="I368" s="230"/>
      <c r="J368" s="339"/>
      <c r="K368" s="340"/>
      <c r="L368" s="340"/>
      <c r="M368" s="230"/>
      <c r="N368" s="230"/>
      <c r="O368" s="230"/>
      <c r="P368" s="230"/>
      <c r="Q368" s="230"/>
      <c r="R368" s="230"/>
      <c r="S368" s="230"/>
      <c r="T368" s="230"/>
      <c r="U368" s="230"/>
      <c r="V368" s="230"/>
      <c r="W368" s="230"/>
      <c r="X368" s="230"/>
      <c r="Y368" s="230"/>
      <c r="Z368" s="230"/>
    </row>
    <row r="369">
      <c r="A369" s="346"/>
      <c r="B369" s="347"/>
      <c r="C369" s="284"/>
      <c r="D369" s="284"/>
      <c r="E369" s="285"/>
      <c r="F369" s="230"/>
      <c r="G369" s="230"/>
      <c r="H369" s="230"/>
      <c r="I369" s="230"/>
      <c r="J369" s="339"/>
      <c r="K369" s="340"/>
      <c r="L369" s="340"/>
      <c r="M369" s="230"/>
      <c r="N369" s="230"/>
      <c r="O369" s="230"/>
      <c r="P369" s="230"/>
      <c r="Q369" s="230"/>
      <c r="R369" s="230"/>
      <c r="S369" s="230"/>
      <c r="T369" s="230"/>
      <c r="U369" s="230"/>
      <c r="V369" s="230"/>
      <c r="W369" s="230"/>
      <c r="X369" s="230"/>
      <c r="Y369" s="230"/>
      <c r="Z369" s="230"/>
    </row>
    <row r="370">
      <c r="A370" s="346"/>
      <c r="B370" s="347"/>
      <c r="C370" s="284"/>
      <c r="D370" s="284"/>
      <c r="E370" s="285"/>
      <c r="F370" s="230"/>
      <c r="G370" s="230"/>
      <c r="H370" s="230"/>
      <c r="I370" s="230"/>
      <c r="J370" s="339"/>
      <c r="K370" s="340"/>
      <c r="L370" s="340"/>
      <c r="M370" s="230"/>
      <c r="N370" s="230"/>
      <c r="O370" s="230"/>
      <c r="P370" s="230"/>
      <c r="Q370" s="230"/>
      <c r="R370" s="230"/>
      <c r="S370" s="230"/>
      <c r="T370" s="230"/>
      <c r="U370" s="230"/>
      <c r="V370" s="230"/>
      <c r="W370" s="230"/>
      <c r="X370" s="230"/>
      <c r="Y370" s="230"/>
      <c r="Z370" s="230"/>
    </row>
    <row r="371">
      <c r="A371" s="346"/>
      <c r="B371" s="347"/>
      <c r="C371" s="284"/>
      <c r="D371" s="284"/>
      <c r="E371" s="285"/>
      <c r="F371" s="230"/>
      <c r="G371" s="230"/>
      <c r="H371" s="230"/>
      <c r="I371" s="230"/>
      <c r="J371" s="339"/>
      <c r="K371" s="340"/>
      <c r="L371" s="340"/>
      <c r="M371" s="230"/>
      <c r="N371" s="230"/>
      <c r="O371" s="230"/>
      <c r="P371" s="230"/>
      <c r="Q371" s="230"/>
      <c r="R371" s="230"/>
      <c r="S371" s="230"/>
      <c r="T371" s="230"/>
      <c r="U371" s="230"/>
      <c r="V371" s="230"/>
      <c r="W371" s="230"/>
      <c r="X371" s="230"/>
      <c r="Y371" s="230"/>
      <c r="Z371" s="230"/>
    </row>
    <row r="372">
      <c r="A372" s="346"/>
      <c r="B372" s="347"/>
      <c r="C372" s="284"/>
      <c r="D372" s="284"/>
      <c r="E372" s="285"/>
      <c r="F372" s="230"/>
      <c r="G372" s="230"/>
      <c r="H372" s="230"/>
      <c r="I372" s="230"/>
      <c r="J372" s="339"/>
      <c r="K372" s="340"/>
      <c r="L372" s="340"/>
      <c r="M372" s="230"/>
      <c r="N372" s="230"/>
      <c r="O372" s="230"/>
      <c r="P372" s="230"/>
      <c r="Q372" s="230"/>
      <c r="R372" s="230"/>
      <c r="S372" s="230"/>
      <c r="T372" s="230"/>
      <c r="U372" s="230"/>
      <c r="V372" s="230"/>
      <c r="W372" s="230"/>
      <c r="X372" s="230"/>
      <c r="Y372" s="230"/>
      <c r="Z372" s="230"/>
    </row>
    <row r="373">
      <c r="A373" s="346"/>
      <c r="B373" s="347"/>
      <c r="C373" s="284"/>
      <c r="D373" s="284"/>
      <c r="E373" s="285"/>
      <c r="F373" s="230"/>
      <c r="G373" s="230"/>
      <c r="H373" s="230"/>
      <c r="I373" s="230"/>
      <c r="J373" s="339"/>
      <c r="K373" s="340"/>
      <c r="L373" s="340"/>
      <c r="M373" s="230"/>
      <c r="N373" s="230"/>
      <c r="O373" s="230"/>
      <c r="P373" s="230"/>
      <c r="Q373" s="230"/>
      <c r="R373" s="230"/>
      <c r="S373" s="230"/>
      <c r="T373" s="230"/>
      <c r="U373" s="230"/>
      <c r="V373" s="230"/>
      <c r="W373" s="230"/>
      <c r="X373" s="230"/>
      <c r="Y373" s="230"/>
      <c r="Z373" s="230"/>
    </row>
    <row r="374">
      <c r="A374" s="346"/>
      <c r="B374" s="347"/>
      <c r="C374" s="284"/>
      <c r="D374" s="284"/>
      <c r="E374" s="285"/>
      <c r="F374" s="230"/>
      <c r="G374" s="230"/>
      <c r="H374" s="230"/>
      <c r="I374" s="230"/>
      <c r="J374" s="339"/>
      <c r="K374" s="340"/>
      <c r="L374" s="340"/>
      <c r="M374" s="230"/>
      <c r="N374" s="230"/>
      <c r="O374" s="230"/>
      <c r="P374" s="230"/>
      <c r="Q374" s="230"/>
      <c r="R374" s="230"/>
      <c r="S374" s="230"/>
      <c r="T374" s="230"/>
      <c r="U374" s="230"/>
      <c r="V374" s="230"/>
      <c r="W374" s="230"/>
      <c r="X374" s="230"/>
      <c r="Y374" s="230"/>
      <c r="Z374" s="230"/>
    </row>
    <row r="375">
      <c r="A375" s="346"/>
      <c r="B375" s="347"/>
      <c r="C375" s="284"/>
      <c r="D375" s="284"/>
      <c r="E375" s="285"/>
      <c r="F375" s="230"/>
      <c r="G375" s="230"/>
      <c r="H375" s="230"/>
      <c r="I375" s="230"/>
      <c r="J375" s="339"/>
      <c r="K375" s="340"/>
      <c r="L375" s="340"/>
      <c r="M375" s="230"/>
      <c r="N375" s="230"/>
      <c r="O375" s="230"/>
      <c r="P375" s="230"/>
      <c r="Q375" s="230"/>
      <c r="R375" s="230"/>
      <c r="S375" s="230"/>
      <c r="T375" s="230"/>
      <c r="U375" s="230"/>
      <c r="V375" s="230"/>
      <c r="W375" s="230"/>
      <c r="X375" s="230"/>
      <c r="Y375" s="230"/>
      <c r="Z375" s="230"/>
    </row>
    <row r="376">
      <c r="A376" s="346"/>
      <c r="B376" s="347"/>
      <c r="C376" s="284"/>
      <c r="D376" s="284"/>
      <c r="E376" s="285"/>
      <c r="F376" s="230"/>
      <c r="G376" s="230"/>
      <c r="H376" s="230"/>
      <c r="I376" s="230"/>
      <c r="J376" s="339"/>
      <c r="K376" s="340"/>
      <c r="L376" s="340"/>
      <c r="M376" s="230"/>
      <c r="N376" s="230"/>
      <c r="O376" s="230"/>
      <c r="P376" s="230"/>
      <c r="Q376" s="230"/>
      <c r="R376" s="230"/>
      <c r="S376" s="230"/>
      <c r="T376" s="230"/>
      <c r="U376" s="230"/>
      <c r="V376" s="230"/>
      <c r="W376" s="230"/>
      <c r="X376" s="230"/>
      <c r="Y376" s="230"/>
      <c r="Z376" s="230"/>
    </row>
    <row r="377">
      <c r="A377" s="346"/>
      <c r="B377" s="347"/>
      <c r="C377" s="284"/>
      <c r="D377" s="284"/>
      <c r="E377" s="285"/>
      <c r="F377" s="230"/>
      <c r="G377" s="230"/>
      <c r="H377" s="230"/>
      <c r="I377" s="230"/>
      <c r="J377" s="339"/>
      <c r="K377" s="340"/>
      <c r="L377" s="340"/>
      <c r="M377" s="230"/>
      <c r="N377" s="230"/>
      <c r="O377" s="230"/>
      <c r="P377" s="230"/>
      <c r="Q377" s="230"/>
      <c r="R377" s="230"/>
      <c r="S377" s="230"/>
      <c r="T377" s="230"/>
      <c r="U377" s="230"/>
      <c r="V377" s="230"/>
      <c r="W377" s="230"/>
      <c r="X377" s="230"/>
      <c r="Y377" s="230"/>
      <c r="Z377" s="230"/>
    </row>
    <row r="378">
      <c r="A378" s="346"/>
      <c r="B378" s="347"/>
      <c r="C378" s="284"/>
      <c r="D378" s="284"/>
      <c r="E378" s="285"/>
      <c r="F378" s="230"/>
      <c r="G378" s="230"/>
      <c r="H378" s="230"/>
      <c r="I378" s="230"/>
      <c r="J378" s="339"/>
      <c r="K378" s="340"/>
      <c r="L378" s="340"/>
      <c r="M378" s="230"/>
      <c r="N378" s="230"/>
      <c r="O378" s="230"/>
      <c r="P378" s="230"/>
      <c r="Q378" s="230"/>
      <c r="R378" s="230"/>
      <c r="S378" s="230"/>
      <c r="T378" s="230"/>
      <c r="U378" s="230"/>
      <c r="V378" s="230"/>
      <c r="W378" s="230"/>
      <c r="X378" s="230"/>
      <c r="Y378" s="230"/>
      <c r="Z378" s="230"/>
    </row>
    <row r="379">
      <c r="A379" s="346"/>
      <c r="B379" s="347"/>
      <c r="C379" s="284"/>
      <c r="D379" s="284"/>
      <c r="E379" s="285"/>
      <c r="F379" s="230"/>
      <c r="G379" s="230"/>
      <c r="H379" s="230"/>
      <c r="I379" s="230"/>
      <c r="J379" s="339"/>
      <c r="K379" s="340"/>
      <c r="L379" s="340"/>
      <c r="M379" s="230"/>
      <c r="N379" s="230"/>
      <c r="O379" s="230"/>
      <c r="P379" s="230"/>
      <c r="Q379" s="230"/>
      <c r="R379" s="230"/>
      <c r="S379" s="230"/>
      <c r="T379" s="230"/>
      <c r="U379" s="230"/>
      <c r="V379" s="230"/>
      <c r="W379" s="230"/>
      <c r="X379" s="230"/>
      <c r="Y379" s="230"/>
      <c r="Z379" s="230"/>
    </row>
    <row r="380">
      <c r="A380" s="346"/>
      <c r="B380" s="347"/>
      <c r="C380" s="284"/>
      <c r="D380" s="284"/>
      <c r="E380" s="285"/>
      <c r="F380" s="230"/>
      <c r="G380" s="230"/>
      <c r="H380" s="230"/>
      <c r="I380" s="230"/>
      <c r="J380" s="339"/>
      <c r="K380" s="340"/>
      <c r="L380" s="340"/>
      <c r="M380" s="230"/>
      <c r="N380" s="230"/>
      <c r="O380" s="230"/>
      <c r="P380" s="230"/>
      <c r="Q380" s="230"/>
      <c r="R380" s="230"/>
      <c r="S380" s="230"/>
      <c r="T380" s="230"/>
      <c r="U380" s="230"/>
      <c r="V380" s="230"/>
      <c r="W380" s="230"/>
      <c r="X380" s="230"/>
      <c r="Y380" s="230"/>
      <c r="Z380" s="230"/>
    </row>
    <row r="381">
      <c r="A381" s="346"/>
      <c r="B381" s="347"/>
      <c r="C381" s="284"/>
      <c r="D381" s="284"/>
      <c r="E381" s="285"/>
      <c r="F381" s="230"/>
      <c r="G381" s="230"/>
      <c r="H381" s="230"/>
      <c r="I381" s="230"/>
      <c r="J381" s="339"/>
      <c r="K381" s="340"/>
      <c r="L381" s="340"/>
      <c r="M381" s="230"/>
      <c r="N381" s="230"/>
      <c r="O381" s="230"/>
      <c r="P381" s="230"/>
      <c r="Q381" s="230"/>
      <c r="R381" s="230"/>
      <c r="S381" s="230"/>
      <c r="T381" s="230"/>
      <c r="U381" s="230"/>
      <c r="V381" s="230"/>
      <c r="W381" s="230"/>
      <c r="X381" s="230"/>
      <c r="Y381" s="230"/>
      <c r="Z381" s="230"/>
    </row>
    <row r="382">
      <c r="A382" s="346"/>
      <c r="B382" s="347"/>
      <c r="C382" s="284"/>
      <c r="D382" s="284"/>
      <c r="E382" s="285"/>
      <c r="F382" s="230"/>
      <c r="G382" s="230"/>
      <c r="H382" s="230"/>
      <c r="I382" s="230"/>
      <c r="J382" s="339"/>
      <c r="K382" s="340"/>
      <c r="L382" s="340"/>
      <c r="M382" s="230"/>
      <c r="N382" s="230"/>
      <c r="O382" s="230"/>
      <c r="P382" s="230"/>
      <c r="Q382" s="230"/>
      <c r="R382" s="230"/>
      <c r="S382" s="230"/>
      <c r="T382" s="230"/>
      <c r="U382" s="230"/>
      <c r="V382" s="230"/>
      <c r="W382" s="230"/>
      <c r="X382" s="230"/>
      <c r="Y382" s="230"/>
      <c r="Z382" s="230"/>
    </row>
    <row r="383">
      <c r="A383" s="346"/>
      <c r="B383" s="347"/>
      <c r="C383" s="284"/>
      <c r="D383" s="284"/>
      <c r="E383" s="285"/>
      <c r="F383" s="230"/>
      <c r="G383" s="230"/>
      <c r="H383" s="230"/>
      <c r="I383" s="230"/>
      <c r="J383" s="339"/>
      <c r="K383" s="340"/>
      <c r="L383" s="340"/>
      <c r="M383" s="230"/>
      <c r="N383" s="230"/>
      <c r="O383" s="230"/>
      <c r="P383" s="230"/>
      <c r="Q383" s="230"/>
      <c r="R383" s="230"/>
      <c r="S383" s="230"/>
      <c r="T383" s="230"/>
      <c r="U383" s="230"/>
      <c r="V383" s="230"/>
      <c r="W383" s="230"/>
      <c r="X383" s="230"/>
      <c r="Y383" s="230"/>
      <c r="Z383" s="230"/>
    </row>
    <row r="384">
      <c r="A384" s="346"/>
      <c r="B384" s="347"/>
      <c r="C384" s="284"/>
      <c r="D384" s="284"/>
      <c r="E384" s="285"/>
      <c r="F384" s="230"/>
      <c r="G384" s="230"/>
      <c r="H384" s="230"/>
      <c r="I384" s="230"/>
      <c r="J384" s="339"/>
      <c r="K384" s="340"/>
      <c r="L384" s="340"/>
      <c r="M384" s="230"/>
      <c r="N384" s="230"/>
      <c r="O384" s="230"/>
      <c r="P384" s="230"/>
      <c r="Q384" s="230"/>
      <c r="R384" s="230"/>
      <c r="S384" s="230"/>
      <c r="T384" s="230"/>
      <c r="U384" s="230"/>
      <c r="V384" s="230"/>
      <c r="W384" s="230"/>
      <c r="X384" s="230"/>
      <c r="Y384" s="230"/>
      <c r="Z384" s="230"/>
    </row>
    <row r="385">
      <c r="A385" s="346"/>
      <c r="B385" s="347"/>
      <c r="C385" s="284"/>
      <c r="D385" s="284"/>
      <c r="E385" s="285"/>
      <c r="F385" s="230"/>
      <c r="G385" s="230"/>
      <c r="H385" s="230"/>
      <c r="I385" s="230"/>
      <c r="J385" s="339"/>
      <c r="K385" s="340"/>
      <c r="L385" s="340"/>
      <c r="M385" s="230"/>
      <c r="N385" s="230"/>
      <c r="O385" s="230"/>
      <c r="P385" s="230"/>
      <c r="Q385" s="230"/>
      <c r="R385" s="230"/>
      <c r="S385" s="230"/>
      <c r="T385" s="230"/>
      <c r="U385" s="230"/>
      <c r="V385" s="230"/>
      <c r="W385" s="230"/>
      <c r="X385" s="230"/>
      <c r="Y385" s="230"/>
      <c r="Z385" s="230"/>
    </row>
    <row r="386">
      <c r="A386" s="346"/>
      <c r="B386" s="347"/>
      <c r="C386" s="284"/>
      <c r="D386" s="284"/>
      <c r="E386" s="285"/>
      <c r="F386" s="230"/>
      <c r="G386" s="230"/>
      <c r="H386" s="230"/>
      <c r="I386" s="230"/>
      <c r="J386" s="339"/>
      <c r="K386" s="340"/>
      <c r="L386" s="340"/>
      <c r="M386" s="230"/>
      <c r="N386" s="230"/>
      <c r="O386" s="230"/>
      <c r="P386" s="230"/>
      <c r="Q386" s="230"/>
      <c r="R386" s="230"/>
      <c r="S386" s="230"/>
      <c r="T386" s="230"/>
      <c r="U386" s="230"/>
      <c r="V386" s="230"/>
      <c r="W386" s="230"/>
      <c r="X386" s="230"/>
      <c r="Y386" s="230"/>
      <c r="Z386" s="230"/>
    </row>
    <row r="387">
      <c r="A387" s="346"/>
      <c r="B387" s="347"/>
      <c r="C387" s="284"/>
      <c r="D387" s="284"/>
      <c r="E387" s="285"/>
      <c r="F387" s="230"/>
      <c r="G387" s="230"/>
      <c r="H387" s="230"/>
      <c r="I387" s="230"/>
      <c r="J387" s="339"/>
      <c r="K387" s="340"/>
      <c r="L387" s="340"/>
      <c r="M387" s="230"/>
      <c r="N387" s="230"/>
      <c r="O387" s="230"/>
      <c r="P387" s="230"/>
      <c r="Q387" s="230"/>
      <c r="R387" s="230"/>
      <c r="S387" s="230"/>
      <c r="T387" s="230"/>
      <c r="U387" s="230"/>
      <c r="V387" s="230"/>
      <c r="W387" s="230"/>
      <c r="X387" s="230"/>
      <c r="Y387" s="230"/>
      <c r="Z387" s="230"/>
    </row>
    <row r="388">
      <c r="A388" s="346"/>
      <c r="B388" s="347"/>
      <c r="C388" s="284"/>
      <c r="D388" s="284"/>
      <c r="E388" s="285"/>
      <c r="F388" s="230"/>
      <c r="G388" s="230"/>
      <c r="H388" s="230"/>
      <c r="I388" s="230"/>
      <c r="J388" s="339"/>
      <c r="K388" s="340"/>
      <c r="L388" s="340"/>
      <c r="M388" s="230"/>
      <c r="N388" s="230"/>
      <c r="O388" s="230"/>
      <c r="P388" s="230"/>
      <c r="Q388" s="230"/>
      <c r="R388" s="230"/>
      <c r="S388" s="230"/>
      <c r="T388" s="230"/>
      <c r="U388" s="230"/>
      <c r="V388" s="230"/>
      <c r="W388" s="230"/>
      <c r="X388" s="230"/>
      <c r="Y388" s="230"/>
      <c r="Z388" s="230"/>
    </row>
    <row r="389">
      <c r="A389" s="346"/>
      <c r="B389" s="347"/>
      <c r="C389" s="284"/>
      <c r="D389" s="284"/>
      <c r="E389" s="285"/>
      <c r="F389" s="230"/>
      <c r="G389" s="230"/>
      <c r="H389" s="230"/>
      <c r="I389" s="230"/>
      <c r="J389" s="339"/>
      <c r="K389" s="340"/>
      <c r="L389" s="340"/>
      <c r="M389" s="230"/>
      <c r="N389" s="230"/>
      <c r="O389" s="230"/>
      <c r="P389" s="230"/>
      <c r="Q389" s="230"/>
      <c r="R389" s="230"/>
      <c r="S389" s="230"/>
      <c r="T389" s="230"/>
      <c r="U389" s="230"/>
      <c r="V389" s="230"/>
      <c r="W389" s="230"/>
      <c r="X389" s="230"/>
      <c r="Y389" s="230"/>
      <c r="Z389" s="230"/>
    </row>
    <row r="390">
      <c r="A390" s="346"/>
      <c r="B390" s="347"/>
      <c r="C390" s="284"/>
      <c r="D390" s="284"/>
      <c r="E390" s="285"/>
      <c r="F390" s="230"/>
      <c r="G390" s="230"/>
      <c r="H390" s="230"/>
      <c r="I390" s="230"/>
      <c r="J390" s="339"/>
      <c r="K390" s="340"/>
      <c r="L390" s="340"/>
      <c r="M390" s="230"/>
      <c r="N390" s="230"/>
      <c r="O390" s="230"/>
      <c r="P390" s="230"/>
      <c r="Q390" s="230"/>
      <c r="R390" s="230"/>
      <c r="S390" s="230"/>
      <c r="T390" s="230"/>
      <c r="U390" s="230"/>
      <c r="V390" s="230"/>
      <c r="W390" s="230"/>
      <c r="X390" s="230"/>
      <c r="Y390" s="230"/>
      <c r="Z390" s="230"/>
    </row>
    <row r="391">
      <c r="A391" s="346"/>
      <c r="B391" s="347"/>
      <c r="C391" s="284"/>
      <c r="D391" s="284"/>
      <c r="E391" s="285"/>
      <c r="F391" s="230"/>
      <c r="G391" s="230"/>
      <c r="H391" s="230"/>
      <c r="I391" s="230"/>
      <c r="J391" s="339"/>
      <c r="K391" s="340"/>
      <c r="L391" s="340"/>
      <c r="M391" s="230"/>
      <c r="N391" s="230"/>
      <c r="O391" s="230"/>
      <c r="P391" s="230"/>
      <c r="Q391" s="230"/>
      <c r="R391" s="230"/>
      <c r="S391" s="230"/>
      <c r="T391" s="230"/>
      <c r="U391" s="230"/>
      <c r="V391" s="230"/>
      <c r="W391" s="230"/>
      <c r="X391" s="230"/>
      <c r="Y391" s="230"/>
      <c r="Z391" s="230"/>
    </row>
    <row r="392">
      <c r="A392" s="346"/>
      <c r="B392" s="347"/>
      <c r="C392" s="284"/>
      <c r="D392" s="284"/>
      <c r="E392" s="285"/>
      <c r="F392" s="230"/>
      <c r="G392" s="230"/>
      <c r="H392" s="230"/>
      <c r="I392" s="230"/>
      <c r="J392" s="339"/>
      <c r="K392" s="340"/>
      <c r="L392" s="340"/>
      <c r="M392" s="230"/>
      <c r="N392" s="230"/>
      <c r="O392" s="230"/>
      <c r="P392" s="230"/>
      <c r="Q392" s="230"/>
      <c r="R392" s="230"/>
      <c r="S392" s="230"/>
      <c r="T392" s="230"/>
      <c r="U392" s="230"/>
      <c r="V392" s="230"/>
      <c r="W392" s="230"/>
      <c r="X392" s="230"/>
      <c r="Y392" s="230"/>
      <c r="Z392" s="230"/>
    </row>
    <row r="393">
      <c r="A393" s="346"/>
      <c r="B393" s="347"/>
      <c r="C393" s="284"/>
      <c r="D393" s="284"/>
      <c r="E393" s="285"/>
      <c r="F393" s="230"/>
      <c r="G393" s="230"/>
      <c r="H393" s="230"/>
      <c r="I393" s="230"/>
      <c r="J393" s="339"/>
      <c r="K393" s="340"/>
      <c r="L393" s="340"/>
      <c r="M393" s="230"/>
      <c r="N393" s="230"/>
      <c r="O393" s="230"/>
      <c r="P393" s="230"/>
      <c r="Q393" s="230"/>
      <c r="R393" s="230"/>
      <c r="S393" s="230"/>
      <c r="T393" s="230"/>
      <c r="U393" s="230"/>
      <c r="V393" s="230"/>
      <c r="W393" s="230"/>
      <c r="X393" s="230"/>
      <c r="Y393" s="230"/>
      <c r="Z393" s="230"/>
    </row>
    <row r="394">
      <c r="A394" s="346"/>
      <c r="B394" s="347"/>
      <c r="C394" s="284"/>
      <c r="D394" s="284"/>
      <c r="E394" s="285"/>
      <c r="F394" s="230"/>
      <c r="G394" s="230"/>
      <c r="H394" s="230"/>
      <c r="I394" s="230"/>
      <c r="J394" s="339"/>
      <c r="K394" s="340"/>
      <c r="L394" s="340"/>
      <c r="M394" s="230"/>
      <c r="N394" s="230"/>
      <c r="O394" s="230"/>
      <c r="P394" s="230"/>
      <c r="Q394" s="230"/>
      <c r="R394" s="230"/>
      <c r="S394" s="230"/>
      <c r="T394" s="230"/>
      <c r="U394" s="230"/>
      <c r="V394" s="230"/>
      <c r="W394" s="230"/>
      <c r="X394" s="230"/>
      <c r="Y394" s="230"/>
      <c r="Z394" s="230"/>
    </row>
    <row r="395">
      <c r="A395" s="346"/>
      <c r="B395" s="347"/>
      <c r="C395" s="284"/>
      <c r="D395" s="284"/>
      <c r="E395" s="285"/>
      <c r="F395" s="230"/>
      <c r="G395" s="230"/>
      <c r="H395" s="230"/>
      <c r="I395" s="230"/>
      <c r="J395" s="339"/>
      <c r="K395" s="340"/>
      <c r="L395" s="340"/>
      <c r="M395" s="230"/>
      <c r="N395" s="230"/>
      <c r="O395" s="230"/>
      <c r="P395" s="230"/>
      <c r="Q395" s="230"/>
      <c r="R395" s="230"/>
      <c r="S395" s="230"/>
      <c r="T395" s="230"/>
      <c r="U395" s="230"/>
      <c r="V395" s="230"/>
      <c r="W395" s="230"/>
      <c r="X395" s="230"/>
      <c r="Y395" s="230"/>
      <c r="Z395" s="230"/>
    </row>
    <row r="396">
      <c r="A396" s="346"/>
      <c r="B396" s="347"/>
      <c r="C396" s="284"/>
      <c r="D396" s="284"/>
      <c r="E396" s="285"/>
      <c r="F396" s="230"/>
      <c r="G396" s="230"/>
      <c r="H396" s="230"/>
      <c r="I396" s="230"/>
      <c r="J396" s="339"/>
      <c r="K396" s="340"/>
      <c r="L396" s="340"/>
      <c r="M396" s="230"/>
      <c r="N396" s="230"/>
      <c r="O396" s="230"/>
      <c r="P396" s="230"/>
      <c r="Q396" s="230"/>
      <c r="R396" s="230"/>
      <c r="S396" s="230"/>
      <c r="T396" s="230"/>
      <c r="U396" s="230"/>
      <c r="V396" s="230"/>
      <c r="W396" s="230"/>
      <c r="X396" s="230"/>
      <c r="Y396" s="230"/>
      <c r="Z396" s="230"/>
    </row>
    <row r="397">
      <c r="A397" s="346"/>
      <c r="B397" s="347"/>
      <c r="C397" s="284"/>
      <c r="D397" s="284"/>
      <c r="E397" s="285"/>
      <c r="F397" s="230"/>
      <c r="G397" s="230"/>
      <c r="H397" s="230"/>
      <c r="I397" s="230"/>
      <c r="J397" s="339"/>
      <c r="K397" s="340"/>
      <c r="L397" s="340"/>
      <c r="M397" s="230"/>
      <c r="N397" s="230"/>
      <c r="O397" s="230"/>
      <c r="P397" s="230"/>
      <c r="Q397" s="230"/>
      <c r="R397" s="230"/>
      <c r="S397" s="230"/>
      <c r="T397" s="230"/>
      <c r="U397" s="230"/>
      <c r="V397" s="230"/>
      <c r="W397" s="230"/>
      <c r="X397" s="230"/>
      <c r="Y397" s="230"/>
      <c r="Z397" s="230"/>
    </row>
    <row r="398">
      <c r="A398" s="346"/>
      <c r="B398" s="347"/>
      <c r="C398" s="284"/>
      <c r="D398" s="284"/>
      <c r="E398" s="285"/>
      <c r="F398" s="230"/>
      <c r="G398" s="230"/>
      <c r="H398" s="230"/>
      <c r="I398" s="230"/>
      <c r="J398" s="339"/>
      <c r="K398" s="340"/>
      <c r="L398" s="340"/>
      <c r="M398" s="230"/>
      <c r="N398" s="230"/>
      <c r="O398" s="230"/>
      <c r="P398" s="230"/>
      <c r="Q398" s="230"/>
      <c r="R398" s="230"/>
      <c r="S398" s="230"/>
      <c r="T398" s="230"/>
      <c r="U398" s="230"/>
      <c r="V398" s="230"/>
      <c r="W398" s="230"/>
      <c r="X398" s="230"/>
      <c r="Y398" s="230"/>
      <c r="Z398" s="230"/>
    </row>
    <row r="399">
      <c r="A399" s="346"/>
      <c r="B399" s="347"/>
      <c r="C399" s="284"/>
      <c r="D399" s="284"/>
      <c r="E399" s="285"/>
      <c r="F399" s="230"/>
      <c r="G399" s="230"/>
      <c r="H399" s="230"/>
      <c r="I399" s="230"/>
      <c r="J399" s="339"/>
      <c r="K399" s="340"/>
      <c r="L399" s="340"/>
      <c r="M399" s="230"/>
      <c r="N399" s="230"/>
      <c r="O399" s="230"/>
      <c r="P399" s="230"/>
      <c r="Q399" s="230"/>
      <c r="R399" s="230"/>
      <c r="S399" s="230"/>
      <c r="T399" s="230"/>
      <c r="U399" s="230"/>
      <c r="V399" s="230"/>
      <c r="W399" s="230"/>
      <c r="X399" s="230"/>
      <c r="Y399" s="230"/>
      <c r="Z399" s="230"/>
    </row>
    <row r="400">
      <c r="A400" s="346"/>
      <c r="B400" s="347"/>
      <c r="C400" s="284"/>
      <c r="D400" s="284"/>
      <c r="E400" s="285"/>
      <c r="F400" s="230"/>
      <c r="G400" s="230"/>
      <c r="H400" s="230"/>
      <c r="I400" s="230"/>
      <c r="J400" s="339"/>
      <c r="K400" s="340"/>
      <c r="L400" s="340"/>
      <c r="M400" s="230"/>
      <c r="N400" s="230"/>
      <c r="O400" s="230"/>
      <c r="P400" s="230"/>
      <c r="Q400" s="230"/>
      <c r="R400" s="230"/>
      <c r="S400" s="230"/>
      <c r="T400" s="230"/>
      <c r="U400" s="230"/>
      <c r="V400" s="230"/>
      <c r="W400" s="230"/>
      <c r="X400" s="230"/>
      <c r="Y400" s="230"/>
      <c r="Z400" s="230"/>
    </row>
    <row r="401">
      <c r="A401" s="346"/>
      <c r="B401" s="347"/>
      <c r="C401" s="284"/>
      <c r="D401" s="284"/>
      <c r="E401" s="285"/>
      <c r="F401" s="230"/>
      <c r="G401" s="230"/>
      <c r="H401" s="230"/>
      <c r="I401" s="230"/>
      <c r="J401" s="339"/>
      <c r="K401" s="340"/>
      <c r="L401" s="340"/>
      <c r="M401" s="230"/>
      <c r="N401" s="230"/>
      <c r="O401" s="230"/>
      <c r="P401" s="230"/>
      <c r="Q401" s="230"/>
      <c r="R401" s="230"/>
      <c r="S401" s="230"/>
      <c r="T401" s="230"/>
      <c r="U401" s="230"/>
      <c r="V401" s="230"/>
      <c r="W401" s="230"/>
      <c r="X401" s="230"/>
      <c r="Y401" s="230"/>
      <c r="Z401" s="230"/>
    </row>
    <row r="402">
      <c r="A402" s="346"/>
      <c r="B402" s="347"/>
      <c r="C402" s="284"/>
      <c r="D402" s="284"/>
      <c r="E402" s="285"/>
      <c r="F402" s="230"/>
      <c r="G402" s="230"/>
      <c r="H402" s="230"/>
      <c r="I402" s="230"/>
      <c r="J402" s="339"/>
      <c r="K402" s="340"/>
      <c r="L402" s="340"/>
      <c r="M402" s="230"/>
      <c r="N402" s="230"/>
      <c r="O402" s="230"/>
      <c r="P402" s="230"/>
      <c r="Q402" s="230"/>
      <c r="R402" s="230"/>
      <c r="S402" s="230"/>
      <c r="T402" s="230"/>
      <c r="U402" s="230"/>
      <c r="V402" s="230"/>
      <c r="W402" s="230"/>
      <c r="X402" s="230"/>
      <c r="Y402" s="230"/>
      <c r="Z402" s="230"/>
    </row>
    <row r="403">
      <c r="A403" s="346"/>
      <c r="B403" s="347"/>
      <c r="C403" s="284"/>
      <c r="D403" s="284"/>
      <c r="E403" s="285"/>
      <c r="F403" s="230"/>
      <c r="G403" s="230"/>
      <c r="H403" s="230"/>
      <c r="I403" s="230"/>
      <c r="J403" s="339"/>
      <c r="K403" s="340"/>
      <c r="L403" s="340"/>
      <c r="M403" s="230"/>
      <c r="N403" s="230"/>
      <c r="O403" s="230"/>
      <c r="P403" s="230"/>
      <c r="Q403" s="230"/>
      <c r="R403" s="230"/>
      <c r="S403" s="230"/>
      <c r="T403" s="230"/>
      <c r="U403" s="230"/>
      <c r="V403" s="230"/>
      <c r="W403" s="230"/>
      <c r="X403" s="230"/>
      <c r="Y403" s="230"/>
      <c r="Z403" s="230"/>
    </row>
    <row r="404">
      <c r="A404" s="346"/>
      <c r="B404" s="347"/>
      <c r="C404" s="284"/>
      <c r="D404" s="284"/>
      <c r="E404" s="285"/>
      <c r="F404" s="230"/>
      <c r="G404" s="230"/>
      <c r="H404" s="230"/>
      <c r="I404" s="230"/>
      <c r="J404" s="339"/>
      <c r="K404" s="340"/>
      <c r="L404" s="340"/>
      <c r="M404" s="230"/>
      <c r="N404" s="230"/>
      <c r="O404" s="230"/>
      <c r="P404" s="230"/>
      <c r="Q404" s="230"/>
      <c r="R404" s="230"/>
      <c r="S404" s="230"/>
      <c r="T404" s="230"/>
      <c r="U404" s="230"/>
      <c r="V404" s="230"/>
      <c r="W404" s="230"/>
      <c r="X404" s="230"/>
      <c r="Y404" s="230"/>
      <c r="Z404" s="230"/>
    </row>
    <row r="405">
      <c r="A405" s="346"/>
      <c r="B405" s="347"/>
      <c r="C405" s="284"/>
      <c r="D405" s="284"/>
      <c r="E405" s="285"/>
      <c r="F405" s="230"/>
      <c r="G405" s="230"/>
      <c r="H405" s="230"/>
      <c r="I405" s="230"/>
      <c r="J405" s="339"/>
      <c r="K405" s="340"/>
      <c r="L405" s="340"/>
      <c r="M405" s="230"/>
      <c r="N405" s="230"/>
      <c r="O405" s="230"/>
      <c r="P405" s="230"/>
      <c r="Q405" s="230"/>
      <c r="R405" s="230"/>
      <c r="S405" s="230"/>
      <c r="T405" s="230"/>
      <c r="U405" s="230"/>
      <c r="V405" s="230"/>
      <c r="W405" s="230"/>
      <c r="X405" s="230"/>
      <c r="Y405" s="230"/>
      <c r="Z405" s="230"/>
    </row>
    <row r="406">
      <c r="A406" s="346"/>
      <c r="B406" s="347"/>
      <c r="C406" s="284"/>
      <c r="D406" s="284"/>
      <c r="E406" s="285"/>
      <c r="F406" s="230"/>
      <c r="G406" s="230"/>
      <c r="H406" s="230"/>
      <c r="I406" s="230"/>
      <c r="J406" s="339"/>
      <c r="K406" s="340"/>
      <c r="L406" s="340"/>
      <c r="M406" s="230"/>
      <c r="N406" s="230"/>
      <c r="O406" s="230"/>
      <c r="P406" s="230"/>
      <c r="Q406" s="230"/>
      <c r="R406" s="230"/>
      <c r="S406" s="230"/>
      <c r="T406" s="230"/>
      <c r="U406" s="230"/>
      <c r="V406" s="230"/>
      <c r="W406" s="230"/>
      <c r="X406" s="230"/>
      <c r="Y406" s="230"/>
      <c r="Z406" s="230"/>
    </row>
    <row r="407">
      <c r="A407" s="346"/>
      <c r="B407" s="347"/>
      <c r="C407" s="284"/>
      <c r="D407" s="284"/>
      <c r="E407" s="285"/>
      <c r="F407" s="230"/>
      <c r="G407" s="230"/>
      <c r="H407" s="230"/>
      <c r="I407" s="230"/>
      <c r="J407" s="339"/>
      <c r="K407" s="340"/>
      <c r="L407" s="340"/>
      <c r="M407" s="230"/>
      <c r="N407" s="230"/>
      <c r="O407" s="230"/>
      <c r="P407" s="230"/>
      <c r="Q407" s="230"/>
      <c r="R407" s="230"/>
      <c r="S407" s="230"/>
      <c r="T407" s="230"/>
      <c r="U407" s="230"/>
      <c r="V407" s="230"/>
      <c r="W407" s="230"/>
      <c r="X407" s="230"/>
      <c r="Y407" s="230"/>
      <c r="Z407" s="230"/>
    </row>
    <row r="408">
      <c r="A408" s="346"/>
      <c r="B408" s="347"/>
      <c r="C408" s="284"/>
      <c r="D408" s="284"/>
      <c r="E408" s="285"/>
      <c r="F408" s="230"/>
      <c r="G408" s="230"/>
      <c r="H408" s="230"/>
      <c r="I408" s="230"/>
      <c r="J408" s="339"/>
      <c r="K408" s="340"/>
      <c r="L408" s="340"/>
      <c r="M408" s="230"/>
      <c r="N408" s="230"/>
      <c r="O408" s="230"/>
      <c r="P408" s="230"/>
      <c r="Q408" s="230"/>
      <c r="R408" s="230"/>
      <c r="S408" s="230"/>
      <c r="T408" s="230"/>
      <c r="U408" s="230"/>
      <c r="V408" s="230"/>
      <c r="W408" s="230"/>
      <c r="X408" s="230"/>
      <c r="Y408" s="230"/>
      <c r="Z408" s="230"/>
    </row>
    <row r="409">
      <c r="A409" s="346"/>
      <c r="B409" s="347"/>
      <c r="C409" s="284"/>
      <c r="D409" s="284"/>
      <c r="E409" s="285"/>
      <c r="F409" s="230"/>
      <c r="G409" s="230"/>
      <c r="H409" s="230"/>
      <c r="I409" s="230"/>
      <c r="J409" s="339"/>
      <c r="K409" s="340"/>
      <c r="L409" s="340"/>
      <c r="M409" s="230"/>
      <c r="N409" s="230"/>
      <c r="O409" s="230"/>
      <c r="P409" s="230"/>
      <c r="Q409" s="230"/>
      <c r="R409" s="230"/>
      <c r="S409" s="230"/>
      <c r="T409" s="230"/>
      <c r="U409" s="230"/>
      <c r="V409" s="230"/>
      <c r="W409" s="230"/>
      <c r="X409" s="230"/>
      <c r="Y409" s="230"/>
      <c r="Z409" s="230"/>
    </row>
    <row r="410">
      <c r="A410" s="346"/>
      <c r="B410" s="347"/>
      <c r="C410" s="284"/>
      <c r="D410" s="284"/>
      <c r="E410" s="285"/>
      <c r="F410" s="230"/>
      <c r="G410" s="230"/>
      <c r="H410" s="230"/>
      <c r="I410" s="230"/>
      <c r="J410" s="339"/>
      <c r="K410" s="340"/>
      <c r="L410" s="340"/>
      <c r="M410" s="230"/>
      <c r="N410" s="230"/>
      <c r="O410" s="230"/>
      <c r="P410" s="230"/>
      <c r="Q410" s="230"/>
      <c r="R410" s="230"/>
      <c r="S410" s="230"/>
      <c r="T410" s="230"/>
      <c r="U410" s="230"/>
      <c r="V410" s="230"/>
      <c r="W410" s="230"/>
      <c r="X410" s="230"/>
      <c r="Y410" s="230"/>
      <c r="Z410" s="230"/>
    </row>
    <row r="411">
      <c r="A411" s="346"/>
      <c r="B411" s="347"/>
      <c r="C411" s="284"/>
      <c r="D411" s="284"/>
      <c r="E411" s="285"/>
      <c r="F411" s="230"/>
      <c r="G411" s="230"/>
      <c r="H411" s="230"/>
      <c r="I411" s="230"/>
      <c r="J411" s="339"/>
      <c r="K411" s="340"/>
      <c r="L411" s="340"/>
      <c r="M411" s="230"/>
      <c r="N411" s="230"/>
      <c r="O411" s="230"/>
      <c r="P411" s="230"/>
      <c r="Q411" s="230"/>
      <c r="R411" s="230"/>
      <c r="S411" s="230"/>
      <c r="T411" s="230"/>
      <c r="U411" s="230"/>
      <c r="V411" s="230"/>
      <c r="W411" s="230"/>
      <c r="X411" s="230"/>
      <c r="Y411" s="230"/>
      <c r="Z411" s="230"/>
    </row>
    <row r="412">
      <c r="A412" s="346"/>
      <c r="B412" s="347"/>
      <c r="C412" s="284"/>
      <c r="D412" s="284"/>
      <c r="E412" s="285"/>
      <c r="F412" s="230"/>
      <c r="G412" s="230"/>
      <c r="H412" s="230"/>
      <c r="I412" s="230"/>
      <c r="J412" s="339"/>
      <c r="K412" s="340"/>
      <c r="L412" s="340"/>
      <c r="M412" s="230"/>
      <c r="N412" s="230"/>
      <c r="O412" s="230"/>
      <c r="P412" s="230"/>
      <c r="Q412" s="230"/>
      <c r="R412" s="230"/>
      <c r="S412" s="230"/>
      <c r="T412" s="230"/>
      <c r="U412" s="230"/>
      <c r="V412" s="230"/>
      <c r="W412" s="230"/>
      <c r="X412" s="230"/>
      <c r="Y412" s="230"/>
      <c r="Z412" s="230"/>
    </row>
    <row r="413">
      <c r="A413" s="346"/>
      <c r="B413" s="347"/>
      <c r="C413" s="284"/>
      <c r="D413" s="284"/>
      <c r="E413" s="285"/>
      <c r="F413" s="230"/>
      <c r="G413" s="230"/>
      <c r="H413" s="230"/>
      <c r="I413" s="230"/>
      <c r="J413" s="339"/>
      <c r="K413" s="340"/>
      <c r="L413" s="340"/>
      <c r="M413" s="230"/>
      <c r="N413" s="230"/>
      <c r="O413" s="230"/>
      <c r="P413" s="230"/>
      <c r="Q413" s="230"/>
      <c r="R413" s="230"/>
      <c r="S413" s="230"/>
      <c r="T413" s="230"/>
      <c r="U413" s="230"/>
      <c r="V413" s="230"/>
      <c r="W413" s="230"/>
      <c r="X413" s="230"/>
      <c r="Y413" s="230"/>
      <c r="Z413" s="230"/>
    </row>
    <row r="414">
      <c r="A414" s="346"/>
      <c r="B414" s="347"/>
      <c r="C414" s="284"/>
      <c r="D414" s="284"/>
      <c r="E414" s="285"/>
      <c r="F414" s="230"/>
      <c r="G414" s="230"/>
      <c r="H414" s="230"/>
      <c r="I414" s="230"/>
      <c r="J414" s="339"/>
      <c r="K414" s="340"/>
      <c r="L414" s="340"/>
      <c r="M414" s="230"/>
      <c r="N414" s="230"/>
      <c r="O414" s="230"/>
      <c r="P414" s="230"/>
      <c r="Q414" s="230"/>
      <c r="R414" s="230"/>
      <c r="S414" s="230"/>
      <c r="T414" s="230"/>
      <c r="U414" s="230"/>
      <c r="V414" s="230"/>
      <c r="W414" s="230"/>
      <c r="X414" s="230"/>
      <c r="Y414" s="230"/>
      <c r="Z414" s="230"/>
    </row>
    <row r="415">
      <c r="A415" s="346"/>
      <c r="B415" s="347"/>
      <c r="C415" s="284"/>
      <c r="D415" s="284"/>
      <c r="E415" s="285"/>
      <c r="F415" s="230"/>
      <c r="G415" s="230"/>
      <c r="H415" s="230"/>
      <c r="I415" s="230"/>
      <c r="J415" s="339"/>
      <c r="K415" s="340"/>
      <c r="L415" s="340"/>
      <c r="M415" s="230"/>
      <c r="N415" s="230"/>
      <c r="O415" s="230"/>
      <c r="P415" s="230"/>
      <c r="Q415" s="230"/>
      <c r="R415" s="230"/>
      <c r="S415" s="230"/>
      <c r="T415" s="230"/>
      <c r="U415" s="230"/>
      <c r="V415" s="230"/>
      <c r="W415" s="230"/>
      <c r="X415" s="230"/>
      <c r="Y415" s="230"/>
      <c r="Z415" s="230"/>
    </row>
    <row r="416">
      <c r="A416" s="346"/>
      <c r="B416" s="347"/>
      <c r="C416" s="284"/>
      <c r="D416" s="284"/>
      <c r="E416" s="285"/>
      <c r="F416" s="230"/>
      <c r="G416" s="230"/>
      <c r="H416" s="230"/>
      <c r="I416" s="230"/>
      <c r="J416" s="339"/>
      <c r="K416" s="340"/>
      <c r="L416" s="340"/>
      <c r="M416" s="230"/>
      <c r="N416" s="230"/>
      <c r="O416" s="230"/>
      <c r="P416" s="230"/>
      <c r="Q416" s="230"/>
      <c r="R416" s="230"/>
      <c r="S416" s="230"/>
      <c r="T416" s="230"/>
      <c r="U416" s="230"/>
      <c r="V416" s="230"/>
      <c r="W416" s="230"/>
      <c r="X416" s="230"/>
      <c r="Y416" s="230"/>
      <c r="Z416" s="230"/>
    </row>
    <row r="417">
      <c r="A417" s="346"/>
      <c r="B417" s="347"/>
      <c r="C417" s="284"/>
      <c r="D417" s="284"/>
      <c r="E417" s="285"/>
      <c r="F417" s="230"/>
      <c r="G417" s="230"/>
      <c r="H417" s="230"/>
      <c r="I417" s="230"/>
      <c r="J417" s="339"/>
      <c r="K417" s="340"/>
      <c r="L417" s="340"/>
      <c r="M417" s="230"/>
      <c r="N417" s="230"/>
      <c r="O417" s="230"/>
      <c r="P417" s="230"/>
      <c r="Q417" s="230"/>
      <c r="R417" s="230"/>
      <c r="S417" s="230"/>
      <c r="T417" s="230"/>
      <c r="U417" s="230"/>
      <c r="V417" s="230"/>
      <c r="W417" s="230"/>
      <c r="X417" s="230"/>
      <c r="Y417" s="230"/>
      <c r="Z417" s="230"/>
    </row>
    <row r="418">
      <c r="A418" s="346"/>
      <c r="B418" s="347"/>
      <c r="C418" s="284"/>
      <c r="D418" s="284"/>
      <c r="E418" s="285"/>
      <c r="F418" s="230"/>
      <c r="G418" s="230"/>
      <c r="H418" s="230"/>
      <c r="I418" s="230"/>
      <c r="J418" s="339"/>
      <c r="K418" s="340"/>
      <c r="L418" s="340"/>
      <c r="M418" s="230"/>
      <c r="N418" s="230"/>
      <c r="O418" s="230"/>
      <c r="P418" s="230"/>
      <c r="Q418" s="230"/>
      <c r="R418" s="230"/>
      <c r="S418" s="230"/>
      <c r="T418" s="230"/>
      <c r="U418" s="230"/>
      <c r="V418" s="230"/>
      <c r="W418" s="230"/>
      <c r="X418" s="230"/>
      <c r="Y418" s="230"/>
      <c r="Z418" s="230"/>
    </row>
    <row r="419">
      <c r="A419" s="346"/>
      <c r="B419" s="347"/>
      <c r="C419" s="284"/>
      <c r="D419" s="284"/>
      <c r="E419" s="285"/>
      <c r="F419" s="230"/>
      <c r="G419" s="230"/>
      <c r="H419" s="230"/>
      <c r="I419" s="230"/>
      <c r="J419" s="339"/>
      <c r="K419" s="340"/>
      <c r="L419" s="340"/>
      <c r="M419" s="230"/>
      <c r="N419" s="230"/>
      <c r="O419" s="230"/>
      <c r="P419" s="230"/>
      <c r="Q419" s="230"/>
      <c r="R419" s="230"/>
      <c r="S419" s="230"/>
      <c r="T419" s="230"/>
      <c r="U419" s="230"/>
      <c r="V419" s="230"/>
      <c r="W419" s="230"/>
      <c r="X419" s="230"/>
      <c r="Y419" s="230"/>
      <c r="Z419" s="230"/>
    </row>
    <row r="420">
      <c r="A420" s="346"/>
      <c r="B420" s="347"/>
      <c r="C420" s="284"/>
      <c r="D420" s="284"/>
      <c r="E420" s="285"/>
      <c r="F420" s="230"/>
      <c r="G420" s="230"/>
      <c r="H420" s="230"/>
      <c r="I420" s="230"/>
      <c r="J420" s="339"/>
      <c r="K420" s="340"/>
      <c r="L420" s="340"/>
      <c r="M420" s="230"/>
      <c r="N420" s="230"/>
      <c r="O420" s="230"/>
      <c r="P420" s="230"/>
      <c r="Q420" s="230"/>
      <c r="R420" s="230"/>
      <c r="S420" s="230"/>
      <c r="T420" s="230"/>
      <c r="U420" s="230"/>
      <c r="V420" s="230"/>
      <c r="W420" s="230"/>
      <c r="X420" s="230"/>
      <c r="Y420" s="230"/>
      <c r="Z420" s="230"/>
    </row>
    <row r="421">
      <c r="A421" s="346"/>
      <c r="B421" s="347"/>
      <c r="C421" s="284"/>
      <c r="D421" s="284"/>
      <c r="E421" s="285"/>
      <c r="F421" s="230"/>
      <c r="G421" s="230"/>
      <c r="H421" s="230"/>
      <c r="I421" s="230"/>
      <c r="J421" s="339"/>
      <c r="K421" s="340"/>
      <c r="L421" s="340"/>
      <c r="M421" s="230"/>
      <c r="N421" s="230"/>
      <c r="O421" s="230"/>
      <c r="P421" s="230"/>
      <c r="Q421" s="230"/>
      <c r="R421" s="230"/>
      <c r="S421" s="230"/>
      <c r="T421" s="230"/>
      <c r="U421" s="230"/>
      <c r="V421" s="230"/>
      <c r="W421" s="230"/>
      <c r="X421" s="230"/>
      <c r="Y421" s="230"/>
      <c r="Z421" s="230"/>
    </row>
    <row r="422">
      <c r="A422" s="346"/>
      <c r="B422" s="347"/>
      <c r="C422" s="284"/>
      <c r="D422" s="284"/>
      <c r="E422" s="285"/>
      <c r="F422" s="230"/>
      <c r="G422" s="230"/>
      <c r="H422" s="230"/>
      <c r="I422" s="230"/>
      <c r="J422" s="339"/>
      <c r="K422" s="340"/>
      <c r="L422" s="340"/>
      <c r="M422" s="230"/>
      <c r="N422" s="230"/>
      <c r="O422" s="230"/>
      <c r="P422" s="230"/>
      <c r="Q422" s="230"/>
      <c r="R422" s="230"/>
      <c r="S422" s="230"/>
      <c r="T422" s="230"/>
      <c r="U422" s="230"/>
      <c r="V422" s="230"/>
      <c r="W422" s="230"/>
      <c r="X422" s="230"/>
      <c r="Y422" s="230"/>
      <c r="Z422" s="230"/>
    </row>
    <row r="423">
      <c r="A423" s="346"/>
      <c r="B423" s="347"/>
      <c r="C423" s="284"/>
      <c r="D423" s="284"/>
      <c r="E423" s="285"/>
      <c r="F423" s="230"/>
      <c r="G423" s="230"/>
      <c r="H423" s="230"/>
      <c r="I423" s="230"/>
      <c r="J423" s="339"/>
      <c r="K423" s="340"/>
      <c r="L423" s="340"/>
      <c r="M423" s="230"/>
      <c r="N423" s="230"/>
      <c r="O423" s="230"/>
      <c r="P423" s="230"/>
      <c r="Q423" s="230"/>
      <c r="R423" s="230"/>
      <c r="S423" s="230"/>
      <c r="T423" s="230"/>
      <c r="U423" s="230"/>
      <c r="V423" s="230"/>
      <c r="W423" s="230"/>
      <c r="X423" s="230"/>
      <c r="Y423" s="230"/>
      <c r="Z423" s="230"/>
    </row>
    <row r="424">
      <c r="A424" s="346"/>
      <c r="B424" s="347"/>
      <c r="C424" s="284"/>
      <c r="D424" s="284"/>
      <c r="E424" s="285"/>
      <c r="F424" s="230"/>
      <c r="G424" s="230"/>
      <c r="H424" s="230"/>
      <c r="I424" s="230"/>
      <c r="J424" s="339"/>
      <c r="K424" s="340"/>
      <c r="L424" s="340"/>
      <c r="M424" s="230"/>
      <c r="N424" s="230"/>
      <c r="O424" s="230"/>
      <c r="P424" s="230"/>
      <c r="Q424" s="230"/>
      <c r="R424" s="230"/>
      <c r="S424" s="230"/>
      <c r="T424" s="230"/>
      <c r="U424" s="230"/>
      <c r="V424" s="230"/>
      <c r="W424" s="230"/>
      <c r="X424" s="230"/>
      <c r="Y424" s="230"/>
      <c r="Z424" s="230"/>
    </row>
    <row r="425">
      <c r="A425" s="346"/>
      <c r="B425" s="347"/>
      <c r="C425" s="284"/>
      <c r="D425" s="284"/>
      <c r="E425" s="285"/>
      <c r="F425" s="230"/>
      <c r="G425" s="230"/>
      <c r="H425" s="230"/>
      <c r="I425" s="230"/>
      <c r="J425" s="339"/>
      <c r="K425" s="340"/>
      <c r="L425" s="340"/>
      <c r="M425" s="230"/>
      <c r="N425" s="230"/>
      <c r="O425" s="230"/>
      <c r="P425" s="230"/>
      <c r="Q425" s="230"/>
      <c r="R425" s="230"/>
      <c r="S425" s="230"/>
      <c r="T425" s="230"/>
      <c r="U425" s="230"/>
      <c r="V425" s="230"/>
      <c r="W425" s="230"/>
      <c r="X425" s="230"/>
      <c r="Y425" s="230"/>
      <c r="Z425" s="230"/>
    </row>
    <row r="426">
      <c r="A426" s="346"/>
      <c r="B426" s="347"/>
      <c r="C426" s="284"/>
      <c r="D426" s="284"/>
      <c r="E426" s="285"/>
      <c r="F426" s="230"/>
      <c r="G426" s="230"/>
      <c r="H426" s="230"/>
      <c r="I426" s="230"/>
      <c r="J426" s="339"/>
      <c r="K426" s="340"/>
      <c r="L426" s="340"/>
      <c r="M426" s="230"/>
      <c r="N426" s="230"/>
      <c r="O426" s="230"/>
      <c r="P426" s="230"/>
      <c r="Q426" s="230"/>
      <c r="R426" s="230"/>
      <c r="S426" s="230"/>
      <c r="T426" s="230"/>
      <c r="U426" s="230"/>
      <c r="V426" s="230"/>
      <c r="W426" s="230"/>
      <c r="X426" s="230"/>
      <c r="Y426" s="230"/>
      <c r="Z426" s="230"/>
    </row>
    <row r="427">
      <c r="A427" s="346"/>
      <c r="B427" s="347"/>
      <c r="C427" s="284"/>
      <c r="D427" s="284"/>
      <c r="E427" s="285"/>
      <c r="F427" s="230"/>
      <c r="G427" s="230"/>
      <c r="H427" s="230"/>
      <c r="I427" s="230"/>
      <c r="J427" s="339"/>
      <c r="K427" s="340"/>
      <c r="L427" s="340"/>
      <c r="M427" s="230"/>
      <c r="N427" s="230"/>
      <c r="O427" s="230"/>
      <c r="P427" s="230"/>
      <c r="Q427" s="230"/>
      <c r="R427" s="230"/>
      <c r="S427" s="230"/>
      <c r="T427" s="230"/>
      <c r="U427" s="230"/>
      <c r="V427" s="230"/>
      <c r="W427" s="230"/>
      <c r="X427" s="230"/>
      <c r="Y427" s="230"/>
      <c r="Z427" s="230"/>
    </row>
    <row r="428">
      <c r="A428" s="346"/>
      <c r="B428" s="347"/>
      <c r="C428" s="284"/>
      <c r="D428" s="284"/>
      <c r="E428" s="285"/>
      <c r="F428" s="230"/>
      <c r="G428" s="230"/>
      <c r="H428" s="230"/>
      <c r="I428" s="230"/>
      <c r="J428" s="339"/>
      <c r="K428" s="340"/>
      <c r="L428" s="340"/>
      <c r="M428" s="230"/>
      <c r="N428" s="230"/>
      <c r="O428" s="230"/>
      <c r="P428" s="230"/>
      <c r="Q428" s="230"/>
      <c r="R428" s="230"/>
      <c r="S428" s="230"/>
      <c r="T428" s="230"/>
      <c r="U428" s="230"/>
      <c r="V428" s="230"/>
      <c r="W428" s="230"/>
      <c r="X428" s="230"/>
      <c r="Y428" s="230"/>
      <c r="Z428" s="230"/>
    </row>
    <row r="429">
      <c r="A429" s="346"/>
      <c r="B429" s="347"/>
      <c r="C429" s="284"/>
      <c r="D429" s="284"/>
      <c r="E429" s="285"/>
      <c r="F429" s="230"/>
      <c r="G429" s="230"/>
      <c r="H429" s="230"/>
      <c r="I429" s="230"/>
      <c r="J429" s="339"/>
      <c r="K429" s="340"/>
      <c r="L429" s="340"/>
      <c r="M429" s="230"/>
      <c r="N429" s="230"/>
      <c r="O429" s="230"/>
      <c r="P429" s="230"/>
      <c r="Q429" s="230"/>
      <c r="R429" s="230"/>
      <c r="S429" s="230"/>
      <c r="T429" s="230"/>
      <c r="U429" s="230"/>
      <c r="V429" s="230"/>
      <c r="W429" s="230"/>
      <c r="X429" s="230"/>
      <c r="Y429" s="230"/>
      <c r="Z429" s="230"/>
    </row>
    <row r="430">
      <c r="A430" s="346"/>
      <c r="B430" s="347"/>
      <c r="C430" s="284"/>
      <c r="D430" s="284"/>
      <c r="E430" s="285"/>
      <c r="F430" s="230"/>
      <c r="G430" s="230"/>
      <c r="H430" s="230"/>
      <c r="I430" s="230"/>
      <c r="J430" s="339"/>
      <c r="K430" s="340"/>
      <c r="L430" s="340"/>
      <c r="M430" s="230"/>
      <c r="N430" s="230"/>
      <c r="O430" s="230"/>
      <c r="P430" s="230"/>
      <c r="Q430" s="230"/>
      <c r="R430" s="230"/>
      <c r="S430" s="230"/>
      <c r="T430" s="230"/>
      <c r="U430" s="230"/>
      <c r="V430" s="230"/>
      <c r="W430" s="230"/>
      <c r="X430" s="230"/>
      <c r="Y430" s="230"/>
      <c r="Z430" s="230"/>
    </row>
    <row r="431">
      <c r="A431" s="346"/>
      <c r="B431" s="347"/>
      <c r="C431" s="284"/>
      <c r="D431" s="284"/>
      <c r="E431" s="285"/>
      <c r="F431" s="230"/>
      <c r="G431" s="230"/>
      <c r="H431" s="230"/>
      <c r="I431" s="230"/>
      <c r="J431" s="339"/>
      <c r="K431" s="340"/>
      <c r="L431" s="340"/>
      <c r="M431" s="230"/>
      <c r="N431" s="230"/>
      <c r="O431" s="230"/>
      <c r="P431" s="230"/>
      <c r="Q431" s="230"/>
      <c r="R431" s="230"/>
      <c r="S431" s="230"/>
      <c r="T431" s="230"/>
      <c r="U431" s="230"/>
      <c r="V431" s="230"/>
      <c r="W431" s="230"/>
      <c r="X431" s="230"/>
      <c r="Y431" s="230"/>
      <c r="Z431" s="230"/>
    </row>
    <row r="432">
      <c r="A432" s="346"/>
      <c r="B432" s="347"/>
      <c r="C432" s="284"/>
      <c r="D432" s="284"/>
      <c r="E432" s="285"/>
      <c r="F432" s="230"/>
      <c r="G432" s="230"/>
      <c r="H432" s="230"/>
      <c r="I432" s="230"/>
      <c r="J432" s="339"/>
      <c r="K432" s="340"/>
      <c r="L432" s="340"/>
      <c r="M432" s="230"/>
      <c r="N432" s="230"/>
      <c r="O432" s="230"/>
      <c r="P432" s="230"/>
      <c r="Q432" s="230"/>
      <c r="R432" s="230"/>
      <c r="S432" s="230"/>
      <c r="T432" s="230"/>
      <c r="U432" s="230"/>
      <c r="V432" s="230"/>
      <c r="W432" s="230"/>
      <c r="X432" s="230"/>
      <c r="Y432" s="230"/>
      <c r="Z432" s="230"/>
    </row>
    <row r="433">
      <c r="A433" s="346"/>
      <c r="B433" s="347"/>
      <c r="C433" s="284"/>
      <c r="D433" s="284"/>
      <c r="E433" s="285"/>
      <c r="F433" s="230"/>
      <c r="G433" s="230"/>
      <c r="H433" s="230"/>
      <c r="I433" s="230"/>
      <c r="J433" s="339"/>
      <c r="K433" s="340"/>
      <c r="L433" s="340"/>
      <c r="M433" s="230"/>
      <c r="N433" s="230"/>
      <c r="O433" s="230"/>
      <c r="P433" s="230"/>
      <c r="Q433" s="230"/>
      <c r="R433" s="230"/>
      <c r="S433" s="230"/>
      <c r="T433" s="230"/>
      <c r="U433" s="230"/>
      <c r="V433" s="230"/>
      <c r="W433" s="230"/>
      <c r="X433" s="230"/>
      <c r="Y433" s="230"/>
      <c r="Z433" s="230"/>
    </row>
    <row r="434">
      <c r="A434" s="346"/>
      <c r="B434" s="347"/>
      <c r="C434" s="284"/>
      <c r="D434" s="284"/>
      <c r="E434" s="285"/>
      <c r="F434" s="230"/>
      <c r="G434" s="230"/>
      <c r="H434" s="230"/>
      <c r="I434" s="230"/>
      <c r="J434" s="339"/>
      <c r="K434" s="340"/>
      <c r="L434" s="340"/>
      <c r="M434" s="230"/>
      <c r="N434" s="230"/>
      <c r="O434" s="230"/>
      <c r="P434" s="230"/>
      <c r="Q434" s="230"/>
      <c r="R434" s="230"/>
      <c r="S434" s="230"/>
      <c r="T434" s="230"/>
      <c r="U434" s="230"/>
      <c r="V434" s="230"/>
      <c r="W434" s="230"/>
      <c r="X434" s="230"/>
      <c r="Y434" s="230"/>
      <c r="Z434" s="230"/>
    </row>
    <row r="435">
      <c r="A435" s="346"/>
      <c r="B435" s="347"/>
      <c r="C435" s="284"/>
      <c r="D435" s="284"/>
      <c r="E435" s="285"/>
      <c r="F435" s="230"/>
      <c r="G435" s="230"/>
      <c r="H435" s="230"/>
      <c r="I435" s="230"/>
      <c r="J435" s="339"/>
      <c r="K435" s="340"/>
      <c r="L435" s="340"/>
      <c r="M435" s="230"/>
      <c r="N435" s="230"/>
      <c r="O435" s="230"/>
      <c r="P435" s="230"/>
      <c r="Q435" s="230"/>
      <c r="R435" s="230"/>
      <c r="S435" s="230"/>
      <c r="T435" s="230"/>
      <c r="U435" s="230"/>
      <c r="V435" s="230"/>
      <c r="W435" s="230"/>
      <c r="X435" s="230"/>
      <c r="Y435" s="230"/>
      <c r="Z435" s="230"/>
    </row>
    <row r="436">
      <c r="A436" s="346"/>
      <c r="B436" s="347"/>
      <c r="C436" s="284"/>
      <c r="D436" s="284"/>
      <c r="E436" s="285"/>
      <c r="F436" s="230"/>
      <c r="G436" s="230"/>
      <c r="H436" s="230"/>
      <c r="I436" s="230"/>
      <c r="J436" s="339"/>
      <c r="K436" s="340"/>
      <c r="L436" s="340"/>
      <c r="M436" s="230"/>
      <c r="N436" s="230"/>
      <c r="O436" s="230"/>
      <c r="P436" s="230"/>
      <c r="Q436" s="230"/>
      <c r="R436" s="230"/>
      <c r="S436" s="230"/>
      <c r="T436" s="230"/>
      <c r="U436" s="230"/>
      <c r="V436" s="230"/>
      <c r="W436" s="230"/>
      <c r="X436" s="230"/>
      <c r="Y436" s="230"/>
      <c r="Z436" s="230"/>
    </row>
    <row r="437">
      <c r="A437" s="346"/>
      <c r="B437" s="347"/>
      <c r="C437" s="284"/>
      <c r="D437" s="284"/>
      <c r="E437" s="285"/>
      <c r="F437" s="230"/>
      <c r="G437" s="230"/>
      <c r="H437" s="230"/>
      <c r="I437" s="230"/>
      <c r="J437" s="339"/>
      <c r="K437" s="340"/>
      <c r="L437" s="340"/>
      <c r="M437" s="230"/>
      <c r="N437" s="230"/>
      <c r="O437" s="230"/>
      <c r="P437" s="230"/>
      <c r="Q437" s="230"/>
      <c r="R437" s="230"/>
      <c r="S437" s="230"/>
      <c r="T437" s="230"/>
      <c r="U437" s="230"/>
      <c r="V437" s="230"/>
      <c r="W437" s="230"/>
      <c r="X437" s="230"/>
      <c r="Y437" s="230"/>
      <c r="Z437" s="230"/>
    </row>
    <row r="438">
      <c r="A438" s="346"/>
      <c r="B438" s="347"/>
      <c r="C438" s="284"/>
      <c r="D438" s="284"/>
      <c r="E438" s="285"/>
      <c r="F438" s="230"/>
      <c r="G438" s="230"/>
      <c r="H438" s="230"/>
      <c r="I438" s="230"/>
      <c r="J438" s="339"/>
      <c r="K438" s="340"/>
      <c r="L438" s="340"/>
      <c r="M438" s="230"/>
      <c r="N438" s="230"/>
      <c r="O438" s="230"/>
      <c r="P438" s="230"/>
      <c r="Q438" s="230"/>
      <c r="R438" s="230"/>
      <c r="S438" s="230"/>
      <c r="T438" s="230"/>
      <c r="U438" s="230"/>
      <c r="V438" s="230"/>
      <c r="W438" s="230"/>
      <c r="X438" s="230"/>
      <c r="Y438" s="230"/>
      <c r="Z438" s="230"/>
    </row>
    <row r="439">
      <c r="A439" s="346"/>
      <c r="B439" s="347"/>
      <c r="C439" s="284"/>
      <c r="D439" s="284"/>
      <c r="E439" s="285"/>
      <c r="F439" s="230"/>
      <c r="G439" s="230"/>
      <c r="H439" s="230"/>
      <c r="I439" s="230"/>
      <c r="J439" s="339"/>
      <c r="K439" s="340"/>
      <c r="L439" s="340"/>
      <c r="M439" s="230"/>
      <c r="N439" s="230"/>
      <c r="O439" s="230"/>
      <c r="P439" s="230"/>
      <c r="Q439" s="230"/>
      <c r="R439" s="230"/>
      <c r="S439" s="230"/>
      <c r="T439" s="230"/>
      <c r="U439" s="230"/>
      <c r="V439" s="230"/>
      <c r="W439" s="230"/>
      <c r="X439" s="230"/>
      <c r="Y439" s="230"/>
      <c r="Z439" s="230"/>
    </row>
    <row r="440">
      <c r="A440" s="346"/>
      <c r="B440" s="347"/>
      <c r="C440" s="284"/>
      <c r="D440" s="284"/>
      <c r="E440" s="285"/>
      <c r="F440" s="230"/>
      <c r="G440" s="230"/>
      <c r="H440" s="230"/>
      <c r="I440" s="230"/>
      <c r="J440" s="339"/>
      <c r="K440" s="340"/>
      <c r="L440" s="340"/>
      <c r="M440" s="230"/>
      <c r="N440" s="230"/>
      <c r="O440" s="230"/>
      <c r="P440" s="230"/>
      <c r="Q440" s="230"/>
      <c r="R440" s="230"/>
      <c r="S440" s="230"/>
      <c r="T440" s="230"/>
      <c r="U440" s="230"/>
      <c r="V440" s="230"/>
      <c r="W440" s="230"/>
      <c r="X440" s="230"/>
      <c r="Y440" s="230"/>
      <c r="Z440" s="230"/>
    </row>
    <row r="441">
      <c r="A441" s="346"/>
      <c r="B441" s="347"/>
      <c r="C441" s="284"/>
      <c r="D441" s="284"/>
      <c r="E441" s="285"/>
      <c r="F441" s="230"/>
      <c r="G441" s="230"/>
      <c r="H441" s="230"/>
      <c r="I441" s="230"/>
      <c r="J441" s="339"/>
      <c r="K441" s="340"/>
      <c r="L441" s="340"/>
      <c r="M441" s="230"/>
      <c r="N441" s="230"/>
      <c r="O441" s="230"/>
      <c r="P441" s="230"/>
      <c r="Q441" s="230"/>
      <c r="R441" s="230"/>
      <c r="S441" s="230"/>
      <c r="T441" s="230"/>
      <c r="U441" s="230"/>
      <c r="V441" s="230"/>
      <c r="W441" s="230"/>
      <c r="X441" s="230"/>
      <c r="Y441" s="230"/>
      <c r="Z441" s="230"/>
    </row>
    <row r="442">
      <c r="A442" s="346"/>
      <c r="B442" s="347"/>
      <c r="C442" s="284"/>
      <c r="D442" s="284"/>
      <c r="E442" s="285"/>
      <c r="F442" s="230"/>
      <c r="G442" s="230"/>
      <c r="H442" s="230"/>
      <c r="I442" s="230"/>
      <c r="J442" s="339"/>
      <c r="K442" s="340"/>
      <c r="L442" s="340"/>
      <c r="M442" s="230"/>
      <c r="N442" s="230"/>
      <c r="O442" s="230"/>
      <c r="P442" s="230"/>
      <c r="Q442" s="230"/>
      <c r="R442" s="230"/>
      <c r="S442" s="230"/>
      <c r="T442" s="230"/>
      <c r="U442" s="230"/>
      <c r="V442" s="230"/>
      <c r="W442" s="230"/>
      <c r="X442" s="230"/>
      <c r="Y442" s="230"/>
      <c r="Z442" s="230"/>
    </row>
    <row r="443">
      <c r="A443" s="346"/>
      <c r="B443" s="347"/>
      <c r="C443" s="284"/>
      <c r="D443" s="284"/>
      <c r="E443" s="285"/>
      <c r="F443" s="230"/>
      <c r="G443" s="230"/>
      <c r="H443" s="230"/>
      <c r="I443" s="230"/>
      <c r="J443" s="339"/>
      <c r="K443" s="340"/>
      <c r="L443" s="340"/>
      <c r="M443" s="230"/>
      <c r="N443" s="230"/>
      <c r="O443" s="230"/>
      <c r="P443" s="230"/>
      <c r="Q443" s="230"/>
      <c r="R443" s="230"/>
      <c r="S443" s="230"/>
      <c r="T443" s="230"/>
      <c r="U443" s="230"/>
      <c r="V443" s="230"/>
      <c r="W443" s="230"/>
      <c r="X443" s="230"/>
      <c r="Y443" s="230"/>
      <c r="Z443" s="230"/>
    </row>
    <row r="444">
      <c r="A444" s="346"/>
      <c r="B444" s="347"/>
      <c r="C444" s="284"/>
      <c r="D444" s="284"/>
      <c r="E444" s="285"/>
      <c r="F444" s="230"/>
      <c r="G444" s="230"/>
      <c r="H444" s="230"/>
      <c r="I444" s="230"/>
      <c r="J444" s="339"/>
      <c r="K444" s="340"/>
      <c r="L444" s="340"/>
      <c r="M444" s="230"/>
      <c r="N444" s="230"/>
      <c r="O444" s="230"/>
      <c r="P444" s="230"/>
      <c r="Q444" s="230"/>
      <c r="R444" s="230"/>
      <c r="S444" s="230"/>
      <c r="T444" s="230"/>
      <c r="U444" s="230"/>
      <c r="V444" s="230"/>
      <c r="W444" s="230"/>
      <c r="X444" s="230"/>
      <c r="Y444" s="230"/>
      <c r="Z444" s="230"/>
    </row>
    <row r="445">
      <c r="A445" s="346"/>
      <c r="B445" s="347"/>
      <c r="C445" s="284"/>
      <c r="D445" s="284"/>
      <c r="E445" s="285"/>
      <c r="F445" s="230"/>
      <c r="G445" s="230"/>
      <c r="H445" s="230"/>
      <c r="I445" s="230"/>
      <c r="J445" s="339"/>
      <c r="K445" s="340"/>
      <c r="L445" s="340"/>
      <c r="M445" s="230"/>
      <c r="N445" s="230"/>
      <c r="O445" s="230"/>
      <c r="P445" s="230"/>
      <c r="Q445" s="230"/>
      <c r="R445" s="230"/>
      <c r="S445" s="230"/>
      <c r="T445" s="230"/>
      <c r="U445" s="230"/>
      <c r="V445" s="230"/>
      <c r="W445" s="230"/>
      <c r="X445" s="230"/>
      <c r="Y445" s="230"/>
      <c r="Z445" s="230"/>
    </row>
    <row r="446">
      <c r="A446" s="346"/>
      <c r="B446" s="347"/>
      <c r="C446" s="284"/>
      <c r="D446" s="284"/>
      <c r="E446" s="285"/>
      <c r="F446" s="230"/>
      <c r="G446" s="230"/>
      <c r="H446" s="230"/>
      <c r="I446" s="230"/>
      <c r="J446" s="339"/>
      <c r="K446" s="340"/>
      <c r="L446" s="340"/>
      <c r="M446" s="230"/>
      <c r="N446" s="230"/>
      <c r="O446" s="230"/>
      <c r="P446" s="230"/>
      <c r="Q446" s="230"/>
      <c r="R446" s="230"/>
      <c r="S446" s="230"/>
      <c r="T446" s="230"/>
      <c r="U446" s="230"/>
      <c r="V446" s="230"/>
      <c r="W446" s="230"/>
      <c r="X446" s="230"/>
      <c r="Y446" s="230"/>
      <c r="Z446" s="230"/>
    </row>
    <row r="447">
      <c r="A447" s="346"/>
      <c r="B447" s="347"/>
      <c r="C447" s="284"/>
      <c r="D447" s="284"/>
      <c r="E447" s="285"/>
      <c r="F447" s="230"/>
      <c r="G447" s="230"/>
      <c r="H447" s="230"/>
      <c r="I447" s="230"/>
      <c r="J447" s="339"/>
      <c r="K447" s="340"/>
      <c r="L447" s="340"/>
      <c r="M447" s="230"/>
      <c r="N447" s="230"/>
      <c r="O447" s="230"/>
      <c r="P447" s="230"/>
      <c r="Q447" s="230"/>
      <c r="R447" s="230"/>
      <c r="S447" s="230"/>
      <c r="T447" s="230"/>
      <c r="U447" s="230"/>
      <c r="V447" s="230"/>
      <c r="W447" s="230"/>
      <c r="X447" s="230"/>
      <c r="Y447" s="230"/>
      <c r="Z447" s="230"/>
    </row>
    <row r="448">
      <c r="A448" s="346"/>
      <c r="B448" s="347"/>
      <c r="C448" s="284"/>
      <c r="D448" s="284"/>
      <c r="E448" s="285"/>
      <c r="F448" s="230"/>
      <c r="G448" s="230"/>
      <c r="H448" s="230"/>
      <c r="I448" s="230"/>
      <c r="J448" s="339"/>
      <c r="K448" s="340"/>
      <c r="L448" s="340"/>
      <c r="M448" s="230"/>
      <c r="N448" s="230"/>
      <c r="O448" s="230"/>
      <c r="P448" s="230"/>
      <c r="Q448" s="230"/>
      <c r="R448" s="230"/>
      <c r="S448" s="230"/>
      <c r="T448" s="230"/>
      <c r="U448" s="230"/>
      <c r="V448" s="230"/>
      <c r="W448" s="230"/>
      <c r="X448" s="230"/>
      <c r="Y448" s="230"/>
      <c r="Z448" s="230"/>
    </row>
    <row r="449">
      <c r="A449" s="346"/>
      <c r="B449" s="347"/>
      <c r="C449" s="284"/>
      <c r="D449" s="284"/>
      <c r="E449" s="285"/>
      <c r="F449" s="230"/>
      <c r="G449" s="230"/>
      <c r="H449" s="230"/>
      <c r="I449" s="230"/>
      <c r="J449" s="339"/>
      <c r="K449" s="340"/>
      <c r="L449" s="340"/>
      <c r="M449" s="230"/>
      <c r="N449" s="230"/>
      <c r="O449" s="230"/>
      <c r="P449" s="230"/>
      <c r="Q449" s="230"/>
      <c r="R449" s="230"/>
      <c r="S449" s="230"/>
      <c r="T449" s="230"/>
      <c r="U449" s="230"/>
      <c r="V449" s="230"/>
      <c r="W449" s="230"/>
      <c r="X449" s="230"/>
      <c r="Y449" s="230"/>
      <c r="Z449" s="230"/>
    </row>
    <row r="450">
      <c r="A450" s="346"/>
      <c r="B450" s="347"/>
      <c r="C450" s="284"/>
      <c r="D450" s="284"/>
      <c r="E450" s="285"/>
      <c r="F450" s="230"/>
      <c r="G450" s="230"/>
      <c r="H450" s="230"/>
      <c r="I450" s="230"/>
      <c r="J450" s="339"/>
      <c r="K450" s="340"/>
      <c r="L450" s="340"/>
      <c r="M450" s="230"/>
      <c r="N450" s="230"/>
      <c r="O450" s="230"/>
      <c r="P450" s="230"/>
      <c r="Q450" s="230"/>
      <c r="R450" s="230"/>
      <c r="S450" s="230"/>
      <c r="T450" s="230"/>
      <c r="U450" s="230"/>
      <c r="V450" s="230"/>
      <c r="W450" s="230"/>
      <c r="X450" s="230"/>
      <c r="Y450" s="230"/>
      <c r="Z450" s="230"/>
    </row>
    <row r="451">
      <c r="A451" s="346"/>
      <c r="B451" s="347"/>
      <c r="C451" s="284"/>
      <c r="D451" s="284"/>
      <c r="E451" s="285"/>
      <c r="F451" s="230"/>
      <c r="G451" s="230"/>
      <c r="H451" s="230"/>
      <c r="I451" s="230"/>
      <c r="J451" s="339"/>
      <c r="K451" s="340"/>
      <c r="L451" s="340"/>
      <c r="M451" s="230"/>
      <c r="N451" s="230"/>
      <c r="O451" s="230"/>
      <c r="P451" s="230"/>
      <c r="Q451" s="230"/>
      <c r="R451" s="230"/>
      <c r="S451" s="230"/>
      <c r="T451" s="230"/>
      <c r="U451" s="230"/>
      <c r="V451" s="230"/>
      <c r="W451" s="230"/>
      <c r="X451" s="230"/>
      <c r="Y451" s="230"/>
      <c r="Z451" s="230"/>
    </row>
    <row r="452">
      <c r="A452" s="346"/>
      <c r="B452" s="347"/>
      <c r="C452" s="284"/>
      <c r="D452" s="284"/>
      <c r="E452" s="285"/>
      <c r="F452" s="230"/>
      <c r="G452" s="230"/>
      <c r="H452" s="230"/>
      <c r="I452" s="230"/>
      <c r="J452" s="339"/>
      <c r="K452" s="340"/>
      <c r="L452" s="340"/>
      <c r="M452" s="230"/>
      <c r="N452" s="230"/>
      <c r="O452" s="230"/>
      <c r="P452" s="230"/>
      <c r="Q452" s="230"/>
      <c r="R452" s="230"/>
      <c r="S452" s="230"/>
      <c r="T452" s="230"/>
      <c r="U452" s="230"/>
      <c r="V452" s="230"/>
      <c r="W452" s="230"/>
      <c r="X452" s="230"/>
      <c r="Y452" s="230"/>
      <c r="Z452" s="230"/>
    </row>
    <row r="453">
      <c r="A453" s="346"/>
      <c r="B453" s="347"/>
      <c r="C453" s="284"/>
      <c r="D453" s="284"/>
      <c r="E453" s="285"/>
      <c r="F453" s="230"/>
      <c r="G453" s="230"/>
      <c r="H453" s="230"/>
      <c r="I453" s="230"/>
      <c r="J453" s="339"/>
      <c r="K453" s="340"/>
      <c r="L453" s="340"/>
      <c r="M453" s="230"/>
      <c r="N453" s="230"/>
      <c r="O453" s="230"/>
      <c r="P453" s="230"/>
      <c r="Q453" s="230"/>
      <c r="R453" s="230"/>
      <c r="S453" s="230"/>
      <c r="T453" s="230"/>
      <c r="U453" s="230"/>
      <c r="V453" s="230"/>
      <c r="W453" s="230"/>
      <c r="X453" s="230"/>
      <c r="Y453" s="230"/>
      <c r="Z453" s="230"/>
    </row>
    <row r="454">
      <c r="A454" s="346"/>
      <c r="B454" s="347"/>
      <c r="C454" s="284"/>
      <c r="D454" s="284"/>
      <c r="E454" s="285"/>
      <c r="F454" s="230"/>
      <c r="G454" s="230"/>
      <c r="H454" s="230"/>
      <c r="I454" s="230"/>
      <c r="J454" s="339"/>
      <c r="K454" s="340"/>
      <c r="L454" s="340"/>
      <c r="M454" s="230"/>
      <c r="N454" s="230"/>
      <c r="O454" s="230"/>
      <c r="P454" s="230"/>
      <c r="Q454" s="230"/>
      <c r="R454" s="230"/>
      <c r="S454" s="230"/>
      <c r="T454" s="230"/>
      <c r="U454" s="230"/>
      <c r="V454" s="230"/>
      <c r="W454" s="230"/>
      <c r="X454" s="230"/>
      <c r="Y454" s="230"/>
      <c r="Z454" s="230"/>
    </row>
    <row r="455">
      <c r="A455" s="346"/>
      <c r="B455" s="347"/>
      <c r="C455" s="284"/>
      <c r="D455" s="284"/>
      <c r="E455" s="285"/>
      <c r="F455" s="230"/>
      <c r="G455" s="230"/>
      <c r="H455" s="230"/>
      <c r="I455" s="230"/>
      <c r="J455" s="339"/>
      <c r="K455" s="340"/>
      <c r="L455" s="340"/>
      <c r="M455" s="230"/>
      <c r="N455" s="230"/>
      <c r="O455" s="230"/>
      <c r="P455" s="230"/>
      <c r="Q455" s="230"/>
      <c r="R455" s="230"/>
      <c r="S455" s="230"/>
      <c r="T455" s="230"/>
      <c r="U455" s="230"/>
      <c r="V455" s="230"/>
      <c r="W455" s="230"/>
      <c r="X455" s="230"/>
      <c r="Y455" s="230"/>
      <c r="Z455" s="230"/>
    </row>
    <row r="456">
      <c r="A456" s="346"/>
      <c r="B456" s="347"/>
      <c r="C456" s="284"/>
      <c r="D456" s="284"/>
      <c r="E456" s="285"/>
      <c r="F456" s="230"/>
      <c r="G456" s="230"/>
      <c r="H456" s="230"/>
      <c r="I456" s="230"/>
      <c r="J456" s="339"/>
      <c r="K456" s="340"/>
      <c r="L456" s="340"/>
      <c r="M456" s="230"/>
      <c r="N456" s="230"/>
      <c r="O456" s="230"/>
      <c r="P456" s="230"/>
      <c r="Q456" s="230"/>
      <c r="R456" s="230"/>
      <c r="S456" s="230"/>
      <c r="T456" s="230"/>
      <c r="U456" s="230"/>
      <c r="V456" s="230"/>
      <c r="W456" s="230"/>
      <c r="X456" s="230"/>
      <c r="Y456" s="230"/>
      <c r="Z456" s="230"/>
    </row>
    <row r="457">
      <c r="A457" s="346"/>
      <c r="B457" s="347"/>
      <c r="C457" s="284"/>
      <c r="D457" s="284"/>
      <c r="E457" s="285"/>
      <c r="F457" s="230"/>
      <c r="G457" s="230"/>
      <c r="H457" s="230"/>
      <c r="I457" s="230"/>
      <c r="J457" s="339"/>
      <c r="K457" s="340"/>
      <c r="L457" s="340"/>
      <c r="M457" s="230"/>
      <c r="N457" s="230"/>
      <c r="O457" s="230"/>
      <c r="P457" s="230"/>
      <c r="Q457" s="230"/>
      <c r="R457" s="230"/>
      <c r="S457" s="230"/>
      <c r="T457" s="230"/>
      <c r="U457" s="230"/>
      <c r="V457" s="230"/>
      <c r="W457" s="230"/>
      <c r="X457" s="230"/>
      <c r="Y457" s="230"/>
      <c r="Z457" s="230"/>
    </row>
    <row r="458">
      <c r="A458" s="346"/>
      <c r="B458" s="347"/>
      <c r="C458" s="284"/>
      <c r="D458" s="284"/>
      <c r="E458" s="285"/>
      <c r="F458" s="230"/>
      <c r="G458" s="230"/>
      <c r="H458" s="230"/>
      <c r="I458" s="230"/>
      <c r="J458" s="339"/>
      <c r="K458" s="340"/>
      <c r="L458" s="340"/>
      <c r="M458" s="230"/>
      <c r="N458" s="230"/>
      <c r="O458" s="230"/>
      <c r="P458" s="230"/>
      <c r="Q458" s="230"/>
      <c r="R458" s="230"/>
      <c r="S458" s="230"/>
      <c r="T458" s="230"/>
      <c r="U458" s="230"/>
      <c r="V458" s="230"/>
      <c r="W458" s="230"/>
      <c r="X458" s="230"/>
      <c r="Y458" s="230"/>
      <c r="Z458" s="230"/>
    </row>
    <row r="459">
      <c r="A459" s="346"/>
      <c r="B459" s="347"/>
      <c r="C459" s="284"/>
      <c r="D459" s="284"/>
      <c r="E459" s="285"/>
      <c r="F459" s="230"/>
      <c r="G459" s="230"/>
      <c r="H459" s="230"/>
      <c r="I459" s="230"/>
      <c r="J459" s="339"/>
      <c r="K459" s="340"/>
      <c r="L459" s="340"/>
      <c r="M459" s="230"/>
      <c r="N459" s="230"/>
      <c r="O459" s="230"/>
      <c r="P459" s="230"/>
      <c r="Q459" s="230"/>
      <c r="R459" s="230"/>
      <c r="S459" s="230"/>
      <c r="T459" s="230"/>
      <c r="U459" s="230"/>
      <c r="V459" s="230"/>
      <c r="W459" s="230"/>
      <c r="X459" s="230"/>
      <c r="Y459" s="230"/>
      <c r="Z459" s="230"/>
    </row>
    <row r="460">
      <c r="A460" s="346"/>
      <c r="B460" s="347"/>
      <c r="C460" s="284"/>
      <c r="D460" s="284"/>
      <c r="E460" s="285"/>
      <c r="F460" s="230"/>
      <c r="G460" s="230"/>
      <c r="H460" s="230"/>
      <c r="I460" s="230"/>
      <c r="J460" s="339"/>
      <c r="K460" s="340"/>
      <c r="L460" s="340"/>
      <c r="M460" s="230"/>
      <c r="N460" s="230"/>
      <c r="O460" s="230"/>
      <c r="P460" s="230"/>
      <c r="Q460" s="230"/>
      <c r="R460" s="230"/>
      <c r="S460" s="230"/>
      <c r="T460" s="230"/>
      <c r="U460" s="230"/>
      <c r="V460" s="230"/>
      <c r="W460" s="230"/>
      <c r="X460" s="230"/>
      <c r="Y460" s="230"/>
      <c r="Z460" s="230"/>
    </row>
    <row r="461">
      <c r="A461" s="346"/>
      <c r="B461" s="347"/>
      <c r="C461" s="284"/>
      <c r="D461" s="284"/>
      <c r="E461" s="285"/>
      <c r="F461" s="230"/>
      <c r="G461" s="230"/>
      <c r="H461" s="230"/>
      <c r="I461" s="230"/>
      <c r="J461" s="339"/>
      <c r="K461" s="340"/>
      <c r="L461" s="340"/>
      <c r="M461" s="230"/>
      <c r="N461" s="230"/>
      <c r="O461" s="230"/>
      <c r="P461" s="230"/>
      <c r="Q461" s="230"/>
      <c r="R461" s="230"/>
      <c r="S461" s="230"/>
      <c r="T461" s="230"/>
      <c r="U461" s="230"/>
      <c r="V461" s="230"/>
      <c r="W461" s="230"/>
      <c r="X461" s="230"/>
      <c r="Y461" s="230"/>
      <c r="Z461" s="230"/>
    </row>
    <row r="462">
      <c r="A462" s="346"/>
      <c r="B462" s="347"/>
      <c r="C462" s="284"/>
      <c r="D462" s="284"/>
      <c r="E462" s="285"/>
      <c r="F462" s="230"/>
      <c r="G462" s="230"/>
      <c r="H462" s="230"/>
      <c r="I462" s="230"/>
      <c r="J462" s="339"/>
      <c r="K462" s="340"/>
      <c r="L462" s="340"/>
      <c r="M462" s="230"/>
      <c r="N462" s="230"/>
      <c r="O462" s="230"/>
      <c r="P462" s="230"/>
      <c r="Q462" s="230"/>
      <c r="R462" s="230"/>
      <c r="S462" s="230"/>
      <c r="T462" s="230"/>
      <c r="U462" s="230"/>
      <c r="V462" s="230"/>
      <c r="W462" s="230"/>
      <c r="X462" s="230"/>
      <c r="Y462" s="230"/>
      <c r="Z462" s="230"/>
    </row>
    <row r="463">
      <c r="A463" s="346"/>
      <c r="B463" s="347"/>
      <c r="C463" s="284"/>
      <c r="D463" s="284"/>
      <c r="E463" s="285"/>
      <c r="F463" s="230"/>
      <c r="G463" s="230"/>
      <c r="H463" s="230"/>
      <c r="I463" s="230"/>
      <c r="J463" s="339"/>
      <c r="K463" s="340"/>
      <c r="L463" s="340"/>
      <c r="M463" s="230"/>
      <c r="N463" s="230"/>
      <c r="O463" s="230"/>
      <c r="P463" s="230"/>
      <c r="Q463" s="230"/>
      <c r="R463" s="230"/>
      <c r="S463" s="230"/>
      <c r="T463" s="230"/>
      <c r="U463" s="230"/>
      <c r="V463" s="230"/>
      <c r="W463" s="230"/>
      <c r="X463" s="230"/>
      <c r="Y463" s="230"/>
      <c r="Z463" s="230"/>
    </row>
    <row r="464">
      <c r="A464" s="346"/>
      <c r="B464" s="347"/>
      <c r="C464" s="284"/>
      <c r="D464" s="284"/>
      <c r="E464" s="285"/>
      <c r="F464" s="230"/>
      <c r="G464" s="230"/>
      <c r="H464" s="230"/>
      <c r="I464" s="230"/>
      <c r="J464" s="339"/>
      <c r="K464" s="340"/>
      <c r="L464" s="340"/>
      <c r="M464" s="230"/>
      <c r="N464" s="230"/>
      <c r="O464" s="230"/>
      <c r="P464" s="230"/>
      <c r="Q464" s="230"/>
      <c r="R464" s="230"/>
      <c r="S464" s="230"/>
      <c r="T464" s="230"/>
      <c r="U464" s="230"/>
      <c r="V464" s="230"/>
      <c r="W464" s="230"/>
      <c r="X464" s="230"/>
      <c r="Y464" s="230"/>
      <c r="Z464" s="230"/>
    </row>
    <row r="465">
      <c r="A465" s="346"/>
      <c r="B465" s="347"/>
      <c r="C465" s="284"/>
      <c r="D465" s="284"/>
      <c r="E465" s="285"/>
      <c r="F465" s="230"/>
      <c r="G465" s="230"/>
      <c r="H465" s="230"/>
      <c r="I465" s="230"/>
      <c r="J465" s="339"/>
      <c r="K465" s="340"/>
      <c r="L465" s="340"/>
      <c r="M465" s="230"/>
      <c r="N465" s="230"/>
      <c r="O465" s="230"/>
      <c r="P465" s="230"/>
      <c r="Q465" s="230"/>
      <c r="R465" s="230"/>
      <c r="S465" s="230"/>
      <c r="T465" s="230"/>
      <c r="U465" s="230"/>
      <c r="V465" s="230"/>
      <c r="W465" s="230"/>
      <c r="X465" s="230"/>
      <c r="Y465" s="230"/>
      <c r="Z465" s="230"/>
    </row>
    <row r="466">
      <c r="A466" s="346"/>
      <c r="B466" s="347"/>
      <c r="C466" s="284"/>
      <c r="D466" s="284"/>
      <c r="E466" s="285"/>
      <c r="F466" s="230"/>
      <c r="G466" s="230"/>
      <c r="H466" s="230"/>
      <c r="I466" s="230"/>
      <c r="J466" s="339"/>
      <c r="K466" s="340"/>
      <c r="L466" s="340"/>
      <c r="M466" s="230"/>
      <c r="N466" s="230"/>
      <c r="O466" s="230"/>
      <c r="P466" s="230"/>
      <c r="Q466" s="230"/>
      <c r="R466" s="230"/>
      <c r="S466" s="230"/>
      <c r="T466" s="230"/>
      <c r="U466" s="230"/>
      <c r="V466" s="230"/>
      <c r="W466" s="230"/>
      <c r="X466" s="230"/>
      <c r="Y466" s="230"/>
      <c r="Z466" s="230"/>
    </row>
    <row r="467">
      <c r="A467" s="346"/>
      <c r="B467" s="347"/>
      <c r="C467" s="284"/>
      <c r="D467" s="284"/>
      <c r="E467" s="285"/>
      <c r="F467" s="230"/>
      <c r="G467" s="230"/>
      <c r="H467" s="230"/>
      <c r="I467" s="230"/>
      <c r="J467" s="339"/>
      <c r="K467" s="340"/>
      <c r="L467" s="340"/>
      <c r="M467" s="230"/>
      <c r="N467" s="230"/>
      <c r="O467" s="230"/>
      <c r="P467" s="230"/>
      <c r="Q467" s="230"/>
      <c r="R467" s="230"/>
      <c r="S467" s="230"/>
      <c r="T467" s="230"/>
      <c r="U467" s="230"/>
      <c r="V467" s="230"/>
      <c r="W467" s="230"/>
      <c r="X467" s="230"/>
      <c r="Y467" s="230"/>
      <c r="Z467" s="230"/>
    </row>
    <row r="468">
      <c r="A468" s="346"/>
      <c r="B468" s="347"/>
      <c r="C468" s="284"/>
      <c r="D468" s="284"/>
      <c r="E468" s="285"/>
      <c r="F468" s="230"/>
      <c r="G468" s="230"/>
      <c r="H468" s="230"/>
      <c r="I468" s="230"/>
      <c r="J468" s="339"/>
      <c r="K468" s="340"/>
      <c r="L468" s="340"/>
      <c r="M468" s="230"/>
      <c r="N468" s="230"/>
      <c r="O468" s="230"/>
      <c r="P468" s="230"/>
      <c r="Q468" s="230"/>
      <c r="R468" s="230"/>
      <c r="S468" s="230"/>
      <c r="T468" s="230"/>
      <c r="U468" s="230"/>
      <c r="V468" s="230"/>
      <c r="W468" s="230"/>
      <c r="X468" s="230"/>
      <c r="Y468" s="230"/>
      <c r="Z468" s="230"/>
    </row>
    <row r="469">
      <c r="A469" s="346"/>
      <c r="B469" s="347"/>
      <c r="C469" s="284"/>
      <c r="D469" s="284"/>
      <c r="E469" s="285"/>
      <c r="F469" s="230"/>
      <c r="G469" s="230"/>
      <c r="H469" s="230"/>
      <c r="I469" s="230"/>
      <c r="J469" s="339"/>
      <c r="K469" s="340"/>
      <c r="L469" s="340"/>
      <c r="M469" s="230"/>
      <c r="N469" s="230"/>
      <c r="O469" s="230"/>
      <c r="P469" s="230"/>
      <c r="Q469" s="230"/>
      <c r="R469" s="230"/>
      <c r="S469" s="230"/>
      <c r="T469" s="230"/>
      <c r="U469" s="230"/>
      <c r="V469" s="230"/>
      <c r="W469" s="230"/>
      <c r="X469" s="230"/>
      <c r="Y469" s="230"/>
      <c r="Z469" s="230"/>
    </row>
    <row r="470">
      <c r="A470" s="346"/>
      <c r="B470" s="347"/>
      <c r="C470" s="284"/>
      <c r="D470" s="284"/>
      <c r="E470" s="285"/>
      <c r="F470" s="230"/>
      <c r="G470" s="230"/>
      <c r="H470" s="230"/>
      <c r="I470" s="230"/>
      <c r="J470" s="339"/>
      <c r="K470" s="340"/>
      <c r="L470" s="340"/>
      <c r="M470" s="230"/>
      <c r="N470" s="230"/>
      <c r="O470" s="230"/>
      <c r="P470" s="230"/>
      <c r="Q470" s="230"/>
      <c r="R470" s="230"/>
      <c r="S470" s="230"/>
      <c r="T470" s="230"/>
      <c r="U470" s="230"/>
      <c r="V470" s="230"/>
      <c r="W470" s="230"/>
      <c r="X470" s="230"/>
      <c r="Y470" s="230"/>
      <c r="Z470" s="230"/>
    </row>
    <row r="471">
      <c r="A471" s="346"/>
      <c r="B471" s="347"/>
      <c r="C471" s="284"/>
      <c r="D471" s="284"/>
      <c r="E471" s="285"/>
      <c r="F471" s="230"/>
      <c r="G471" s="230"/>
      <c r="H471" s="230"/>
      <c r="I471" s="230"/>
      <c r="J471" s="339"/>
      <c r="K471" s="340"/>
      <c r="L471" s="340"/>
      <c r="M471" s="230"/>
      <c r="N471" s="230"/>
      <c r="O471" s="230"/>
      <c r="P471" s="230"/>
      <c r="Q471" s="230"/>
      <c r="R471" s="230"/>
      <c r="S471" s="230"/>
      <c r="T471" s="230"/>
      <c r="U471" s="230"/>
      <c r="V471" s="230"/>
      <c r="W471" s="230"/>
      <c r="X471" s="230"/>
      <c r="Y471" s="230"/>
      <c r="Z471" s="230"/>
    </row>
    <row r="472">
      <c r="A472" s="346"/>
      <c r="B472" s="347"/>
      <c r="C472" s="284"/>
      <c r="D472" s="284"/>
      <c r="E472" s="285"/>
      <c r="F472" s="230"/>
      <c r="G472" s="230"/>
      <c r="H472" s="230"/>
      <c r="I472" s="230"/>
      <c r="J472" s="339"/>
      <c r="K472" s="340"/>
      <c r="L472" s="340"/>
      <c r="M472" s="230"/>
      <c r="N472" s="230"/>
      <c r="O472" s="230"/>
      <c r="P472" s="230"/>
      <c r="Q472" s="230"/>
      <c r="R472" s="230"/>
      <c r="S472" s="230"/>
      <c r="T472" s="230"/>
      <c r="U472" s="230"/>
      <c r="V472" s="230"/>
      <c r="W472" s="230"/>
      <c r="X472" s="230"/>
      <c r="Y472" s="230"/>
      <c r="Z472" s="230"/>
    </row>
    <row r="473">
      <c r="A473" s="346"/>
      <c r="B473" s="347"/>
      <c r="C473" s="284"/>
      <c r="D473" s="284"/>
      <c r="E473" s="285"/>
      <c r="F473" s="230"/>
      <c r="G473" s="230"/>
      <c r="H473" s="230"/>
      <c r="I473" s="230"/>
      <c r="J473" s="339"/>
      <c r="K473" s="340"/>
      <c r="L473" s="340"/>
      <c r="M473" s="230"/>
      <c r="N473" s="230"/>
      <c r="O473" s="230"/>
      <c r="P473" s="230"/>
      <c r="Q473" s="230"/>
      <c r="R473" s="230"/>
      <c r="S473" s="230"/>
      <c r="T473" s="230"/>
      <c r="U473" s="230"/>
      <c r="V473" s="230"/>
      <c r="W473" s="230"/>
      <c r="X473" s="230"/>
      <c r="Y473" s="230"/>
      <c r="Z473" s="230"/>
    </row>
    <row r="474">
      <c r="A474" s="346"/>
      <c r="B474" s="347"/>
      <c r="C474" s="284"/>
      <c r="D474" s="284"/>
      <c r="E474" s="285"/>
      <c r="F474" s="230"/>
      <c r="G474" s="230"/>
      <c r="H474" s="230"/>
      <c r="I474" s="230"/>
      <c r="J474" s="339"/>
      <c r="K474" s="340"/>
      <c r="L474" s="340"/>
      <c r="M474" s="230"/>
      <c r="N474" s="230"/>
      <c r="O474" s="230"/>
      <c r="P474" s="230"/>
      <c r="Q474" s="230"/>
      <c r="R474" s="230"/>
      <c r="S474" s="230"/>
      <c r="T474" s="230"/>
      <c r="U474" s="230"/>
      <c r="V474" s="230"/>
      <c r="W474" s="230"/>
      <c r="X474" s="230"/>
      <c r="Y474" s="230"/>
      <c r="Z474" s="230"/>
    </row>
    <row r="475">
      <c r="A475" s="346"/>
      <c r="B475" s="347"/>
      <c r="C475" s="284"/>
      <c r="D475" s="284"/>
      <c r="E475" s="285"/>
      <c r="F475" s="230"/>
      <c r="G475" s="230"/>
      <c r="H475" s="230"/>
      <c r="I475" s="230"/>
      <c r="J475" s="339"/>
      <c r="K475" s="340"/>
      <c r="L475" s="340"/>
      <c r="M475" s="230"/>
      <c r="N475" s="230"/>
      <c r="O475" s="230"/>
      <c r="P475" s="230"/>
      <c r="Q475" s="230"/>
      <c r="R475" s="230"/>
      <c r="S475" s="230"/>
      <c r="T475" s="230"/>
      <c r="U475" s="230"/>
      <c r="V475" s="230"/>
      <c r="W475" s="230"/>
      <c r="X475" s="230"/>
      <c r="Y475" s="230"/>
      <c r="Z475" s="230"/>
    </row>
    <row r="476">
      <c r="A476" s="346"/>
      <c r="B476" s="347"/>
      <c r="C476" s="284"/>
      <c r="D476" s="284"/>
      <c r="E476" s="285"/>
      <c r="F476" s="230"/>
      <c r="G476" s="230"/>
      <c r="H476" s="230"/>
      <c r="I476" s="230"/>
      <c r="J476" s="339"/>
      <c r="K476" s="340"/>
      <c r="L476" s="340"/>
      <c r="M476" s="230"/>
      <c r="N476" s="230"/>
      <c r="O476" s="230"/>
      <c r="P476" s="230"/>
      <c r="Q476" s="230"/>
      <c r="R476" s="230"/>
      <c r="S476" s="230"/>
      <c r="T476" s="230"/>
      <c r="U476" s="230"/>
      <c r="V476" s="230"/>
      <c r="W476" s="230"/>
      <c r="X476" s="230"/>
      <c r="Y476" s="230"/>
      <c r="Z476" s="230"/>
    </row>
    <row r="477">
      <c r="A477" s="346"/>
      <c r="B477" s="347"/>
      <c r="C477" s="284"/>
      <c r="D477" s="284"/>
      <c r="E477" s="285"/>
      <c r="F477" s="230"/>
      <c r="G477" s="230"/>
      <c r="H477" s="230"/>
      <c r="I477" s="230"/>
      <c r="J477" s="339"/>
      <c r="K477" s="340"/>
      <c r="L477" s="340"/>
      <c r="M477" s="230"/>
      <c r="N477" s="230"/>
      <c r="O477" s="230"/>
      <c r="P477" s="230"/>
      <c r="Q477" s="230"/>
      <c r="R477" s="230"/>
      <c r="S477" s="230"/>
      <c r="T477" s="230"/>
      <c r="U477" s="230"/>
      <c r="V477" s="230"/>
      <c r="W477" s="230"/>
      <c r="X477" s="230"/>
      <c r="Y477" s="230"/>
      <c r="Z477" s="230"/>
    </row>
    <row r="478">
      <c r="A478" s="346"/>
      <c r="B478" s="347"/>
      <c r="C478" s="284"/>
      <c r="D478" s="284"/>
      <c r="E478" s="285"/>
      <c r="F478" s="230"/>
      <c r="G478" s="230"/>
      <c r="H478" s="230"/>
      <c r="I478" s="230"/>
      <c r="J478" s="339"/>
      <c r="K478" s="340"/>
      <c r="L478" s="340"/>
      <c r="M478" s="230"/>
      <c r="N478" s="230"/>
      <c r="O478" s="230"/>
      <c r="P478" s="230"/>
      <c r="Q478" s="230"/>
      <c r="R478" s="230"/>
      <c r="S478" s="230"/>
      <c r="T478" s="230"/>
      <c r="U478" s="230"/>
      <c r="V478" s="230"/>
      <c r="W478" s="230"/>
      <c r="X478" s="230"/>
      <c r="Y478" s="230"/>
      <c r="Z478" s="230"/>
    </row>
    <row r="479">
      <c r="A479" s="346"/>
      <c r="B479" s="347"/>
      <c r="C479" s="284"/>
      <c r="D479" s="284"/>
      <c r="E479" s="285"/>
      <c r="F479" s="230"/>
      <c r="G479" s="230"/>
      <c r="H479" s="230"/>
      <c r="I479" s="230"/>
      <c r="J479" s="339"/>
      <c r="K479" s="340"/>
      <c r="L479" s="340"/>
      <c r="M479" s="230"/>
      <c r="N479" s="230"/>
      <c r="O479" s="230"/>
      <c r="P479" s="230"/>
      <c r="Q479" s="230"/>
      <c r="R479" s="230"/>
      <c r="S479" s="230"/>
      <c r="T479" s="230"/>
      <c r="U479" s="230"/>
      <c r="V479" s="230"/>
      <c r="W479" s="230"/>
      <c r="X479" s="230"/>
      <c r="Y479" s="230"/>
      <c r="Z479" s="230"/>
    </row>
    <row r="480">
      <c r="A480" s="346"/>
      <c r="B480" s="347"/>
      <c r="C480" s="284"/>
      <c r="D480" s="284"/>
      <c r="E480" s="285"/>
      <c r="F480" s="230"/>
      <c r="G480" s="230"/>
      <c r="H480" s="230"/>
      <c r="I480" s="230"/>
      <c r="J480" s="339"/>
      <c r="K480" s="340"/>
      <c r="L480" s="340"/>
      <c r="M480" s="230"/>
      <c r="N480" s="230"/>
      <c r="O480" s="230"/>
      <c r="P480" s="230"/>
      <c r="Q480" s="230"/>
      <c r="R480" s="230"/>
      <c r="S480" s="230"/>
      <c r="T480" s="230"/>
      <c r="U480" s="230"/>
      <c r="V480" s="230"/>
      <c r="W480" s="230"/>
      <c r="X480" s="230"/>
      <c r="Y480" s="230"/>
      <c r="Z480" s="230"/>
    </row>
    <row r="481">
      <c r="A481" s="346"/>
      <c r="B481" s="347"/>
      <c r="C481" s="284"/>
      <c r="D481" s="284"/>
      <c r="E481" s="285"/>
      <c r="F481" s="230"/>
      <c r="G481" s="230"/>
      <c r="H481" s="230"/>
      <c r="I481" s="230"/>
      <c r="J481" s="339"/>
      <c r="K481" s="340"/>
      <c r="L481" s="340"/>
      <c r="M481" s="230"/>
      <c r="N481" s="230"/>
      <c r="O481" s="230"/>
      <c r="P481" s="230"/>
      <c r="Q481" s="230"/>
      <c r="R481" s="230"/>
      <c r="S481" s="230"/>
      <c r="T481" s="230"/>
      <c r="U481" s="230"/>
      <c r="V481" s="230"/>
      <c r="W481" s="230"/>
      <c r="X481" s="230"/>
      <c r="Y481" s="230"/>
      <c r="Z481" s="230"/>
    </row>
    <row r="482">
      <c r="A482" s="346"/>
      <c r="B482" s="347"/>
      <c r="C482" s="284"/>
      <c r="D482" s="284"/>
      <c r="E482" s="285"/>
      <c r="F482" s="230"/>
      <c r="G482" s="230"/>
      <c r="H482" s="230"/>
      <c r="I482" s="230"/>
      <c r="J482" s="339"/>
      <c r="K482" s="340"/>
      <c r="L482" s="340"/>
      <c r="M482" s="230"/>
      <c r="N482" s="230"/>
      <c r="O482" s="230"/>
      <c r="P482" s="230"/>
      <c r="Q482" s="230"/>
      <c r="R482" s="230"/>
      <c r="S482" s="230"/>
      <c r="T482" s="230"/>
      <c r="U482" s="230"/>
      <c r="V482" s="230"/>
      <c r="W482" s="230"/>
      <c r="X482" s="230"/>
      <c r="Y482" s="230"/>
      <c r="Z482" s="230"/>
    </row>
    <row r="483">
      <c r="A483" s="346"/>
      <c r="B483" s="347"/>
      <c r="C483" s="284"/>
      <c r="D483" s="284"/>
      <c r="E483" s="285"/>
      <c r="F483" s="230"/>
      <c r="G483" s="230"/>
      <c r="H483" s="230"/>
      <c r="I483" s="230"/>
      <c r="J483" s="339"/>
      <c r="K483" s="340"/>
      <c r="L483" s="340"/>
      <c r="M483" s="230"/>
      <c r="N483" s="230"/>
      <c r="O483" s="230"/>
      <c r="P483" s="230"/>
      <c r="Q483" s="230"/>
      <c r="R483" s="230"/>
      <c r="S483" s="230"/>
      <c r="T483" s="230"/>
      <c r="U483" s="230"/>
      <c r="V483" s="230"/>
      <c r="W483" s="230"/>
      <c r="X483" s="230"/>
      <c r="Y483" s="230"/>
      <c r="Z483" s="230"/>
    </row>
    <row r="484">
      <c r="A484" s="346"/>
      <c r="B484" s="347"/>
      <c r="C484" s="284"/>
      <c r="D484" s="284"/>
      <c r="E484" s="285"/>
      <c r="F484" s="230"/>
      <c r="G484" s="230"/>
      <c r="H484" s="230"/>
      <c r="I484" s="230"/>
      <c r="J484" s="339"/>
      <c r="K484" s="340"/>
      <c r="L484" s="340"/>
      <c r="M484" s="230"/>
      <c r="N484" s="230"/>
      <c r="O484" s="230"/>
      <c r="P484" s="230"/>
      <c r="Q484" s="230"/>
      <c r="R484" s="230"/>
      <c r="S484" s="230"/>
      <c r="T484" s="230"/>
      <c r="U484" s="230"/>
      <c r="V484" s="230"/>
      <c r="W484" s="230"/>
      <c r="X484" s="230"/>
      <c r="Y484" s="230"/>
      <c r="Z484" s="230"/>
    </row>
    <row r="485">
      <c r="A485" s="346"/>
      <c r="B485" s="347"/>
      <c r="C485" s="284"/>
      <c r="D485" s="284"/>
      <c r="E485" s="285"/>
      <c r="F485" s="230"/>
      <c r="G485" s="230"/>
      <c r="H485" s="230"/>
      <c r="I485" s="230"/>
      <c r="J485" s="339"/>
      <c r="K485" s="340"/>
      <c r="L485" s="340"/>
      <c r="M485" s="230"/>
      <c r="N485" s="230"/>
      <c r="O485" s="230"/>
      <c r="P485" s="230"/>
      <c r="Q485" s="230"/>
      <c r="R485" s="230"/>
      <c r="S485" s="230"/>
      <c r="T485" s="230"/>
      <c r="U485" s="230"/>
      <c r="V485" s="230"/>
      <c r="W485" s="230"/>
      <c r="X485" s="230"/>
      <c r="Y485" s="230"/>
      <c r="Z485" s="230"/>
    </row>
    <row r="486">
      <c r="A486" s="346"/>
      <c r="B486" s="347"/>
      <c r="C486" s="284"/>
      <c r="D486" s="284"/>
      <c r="E486" s="285"/>
      <c r="F486" s="230"/>
      <c r="G486" s="230"/>
      <c r="H486" s="230"/>
      <c r="I486" s="230"/>
      <c r="J486" s="339"/>
      <c r="K486" s="340"/>
      <c r="L486" s="340"/>
      <c r="M486" s="230"/>
      <c r="N486" s="230"/>
      <c r="O486" s="230"/>
      <c r="P486" s="230"/>
      <c r="Q486" s="230"/>
      <c r="R486" s="230"/>
      <c r="S486" s="230"/>
      <c r="T486" s="230"/>
      <c r="U486" s="230"/>
      <c r="V486" s="230"/>
      <c r="W486" s="230"/>
      <c r="X486" s="230"/>
      <c r="Y486" s="230"/>
      <c r="Z486" s="230"/>
    </row>
    <row r="487">
      <c r="A487" s="346"/>
      <c r="B487" s="347"/>
      <c r="C487" s="284"/>
      <c r="D487" s="284"/>
      <c r="E487" s="285"/>
      <c r="F487" s="230"/>
      <c r="G487" s="230"/>
      <c r="H487" s="230"/>
      <c r="I487" s="230"/>
      <c r="J487" s="339"/>
      <c r="K487" s="340"/>
      <c r="L487" s="340"/>
      <c r="M487" s="230"/>
      <c r="N487" s="230"/>
      <c r="O487" s="230"/>
      <c r="P487" s="230"/>
      <c r="Q487" s="230"/>
      <c r="R487" s="230"/>
      <c r="S487" s="230"/>
      <c r="T487" s="230"/>
      <c r="U487" s="230"/>
      <c r="V487" s="230"/>
      <c r="W487" s="230"/>
      <c r="X487" s="230"/>
      <c r="Y487" s="230"/>
      <c r="Z487" s="230"/>
    </row>
    <row r="488">
      <c r="A488" s="346"/>
      <c r="B488" s="347"/>
      <c r="C488" s="284"/>
      <c r="D488" s="284"/>
      <c r="E488" s="285"/>
      <c r="F488" s="230"/>
      <c r="G488" s="230"/>
      <c r="H488" s="230"/>
      <c r="I488" s="230"/>
      <c r="J488" s="339"/>
      <c r="K488" s="340"/>
      <c r="L488" s="340"/>
      <c r="M488" s="230"/>
      <c r="N488" s="230"/>
      <c r="O488" s="230"/>
      <c r="P488" s="230"/>
      <c r="Q488" s="230"/>
      <c r="R488" s="230"/>
      <c r="S488" s="230"/>
      <c r="T488" s="230"/>
      <c r="U488" s="230"/>
      <c r="V488" s="230"/>
      <c r="W488" s="230"/>
      <c r="X488" s="230"/>
      <c r="Y488" s="230"/>
      <c r="Z488" s="230"/>
    </row>
    <row r="489">
      <c r="A489" s="346"/>
      <c r="B489" s="347"/>
      <c r="C489" s="284"/>
      <c r="D489" s="284"/>
      <c r="E489" s="285"/>
      <c r="F489" s="230"/>
      <c r="G489" s="230"/>
      <c r="H489" s="230"/>
      <c r="I489" s="230"/>
      <c r="J489" s="339"/>
      <c r="K489" s="340"/>
      <c r="L489" s="340"/>
      <c r="M489" s="230"/>
      <c r="N489" s="230"/>
      <c r="O489" s="230"/>
      <c r="P489" s="230"/>
      <c r="Q489" s="230"/>
      <c r="R489" s="230"/>
      <c r="S489" s="230"/>
      <c r="T489" s="230"/>
      <c r="U489" s="230"/>
      <c r="V489" s="230"/>
      <c r="W489" s="230"/>
      <c r="X489" s="230"/>
      <c r="Y489" s="230"/>
      <c r="Z489" s="230"/>
    </row>
    <row r="490">
      <c r="A490" s="346"/>
      <c r="B490" s="347"/>
      <c r="C490" s="284"/>
      <c r="D490" s="284"/>
      <c r="E490" s="285"/>
      <c r="F490" s="230"/>
      <c r="G490" s="230"/>
      <c r="H490" s="230"/>
      <c r="I490" s="230"/>
      <c r="J490" s="339"/>
      <c r="K490" s="340"/>
      <c r="L490" s="340"/>
      <c r="M490" s="230"/>
      <c r="N490" s="230"/>
      <c r="O490" s="230"/>
      <c r="P490" s="230"/>
      <c r="Q490" s="230"/>
      <c r="R490" s="230"/>
      <c r="S490" s="230"/>
      <c r="T490" s="230"/>
      <c r="U490" s="230"/>
      <c r="V490" s="230"/>
      <c r="W490" s="230"/>
      <c r="X490" s="230"/>
      <c r="Y490" s="230"/>
      <c r="Z490" s="230"/>
    </row>
    <row r="491">
      <c r="A491" s="346"/>
      <c r="B491" s="347"/>
      <c r="C491" s="284"/>
      <c r="D491" s="284"/>
      <c r="E491" s="285"/>
      <c r="F491" s="230"/>
      <c r="G491" s="230"/>
      <c r="H491" s="230"/>
      <c r="I491" s="230"/>
      <c r="J491" s="339"/>
      <c r="K491" s="340"/>
      <c r="L491" s="340"/>
      <c r="M491" s="230"/>
      <c r="N491" s="230"/>
      <c r="O491" s="230"/>
      <c r="P491" s="230"/>
      <c r="Q491" s="230"/>
      <c r="R491" s="230"/>
      <c r="S491" s="230"/>
      <c r="T491" s="230"/>
      <c r="U491" s="230"/>
      <c r="V491" s="230"/>
      <c r="W491" s="230"/>
      <c r="X491" s="230"/>
      <c r="Y491" s="230"/>
      <c r="Z491" s="230"/>
    </row>
    <row r="492">
      <c r="A492" s="346"/>
      <c r="B492" s="347"/>
      <c r="C492" s="284"/>
      <c r="D492" s="284"/>
      <c r="E492" s="285"/>
      <c r="F492" s="230"/>
      <c r="G492" s="230"/>
      <c r="H492" s="230"/>
      <c r="I492" s="230"/>
      <c r="J492" s="339"/>
      <c r="K492" s="340"/>
      <c r="L492" s="340"/>
      <c r="M492" s="230"/>
      <c r="N492" s="230"/>
      <c r="O492" s="230"/>
      <c r="P492" s="230"/>
      <c r="Q492" s="230"/>
      <c r="R492" s="230"/>
      <c r="S492" s="230"/>
      <c r="T492" s="230"/>
      <c r="U492" s="230"/>
      <c r="V492" s="230"/>
      <c r="W492" s="230"/>
      <c r="X492" s="230"/>
      <c r="Y492" s="230"/>
      <c r="Z492" s="230"/>
    </row>
    <row r="493">
      <c r="A493" s="346"/>
      <c r="B493" s="347"/>
      <c r="C493" s="284"/>
      <c r="D493" s="284"/>
      <c r="E493" s="285"/>
      <c r="F493" s="230"/>
      <c r="G493" s="230"/>
      <c r="H493" s="230"/>
      <c r="I493" s="230"/>
      <c r="J493" s="339"/>
      <c r="K493" s="340"/>
      <c r="L493" s="340"/>
      <c r="M493" s="230"/>
      <c r="N493" s="230"/>
      <c r="O493" s="230"/>
      <c r="P493" s="230"/>
      <c r="Q493" s="230"/>
      <c r="R493" s="230"/>
      <c r="S493" s="230"/>
      <c r="T493" s="230"/>
      <c r="U493" s="230"/>
      <c r="V493" s="230"/>
      <c r="W493" s="230"/>
      <c r="X493" s="230"/>
      <c r="Y493" s="230"/>
      <c r="Z493" s="230"/>
    </row>
    <row r="494">
      <c r="A494" s="346"/>
      <c r="B494" s="347"/>
      <c r="C494" s="284"/>
      <c r="D494" s="284"/>
      <c r="E494" s="285"/>
      <c r="F494" s="230"/>
      <c r="G494" s="230"/>
      <c r="H494" s="230"/>
      <c r="I494" s="230"/>
      <c r="J494" s="339"/>
      <c r="K494" s="340"/>
      <c r="L494" s="340"/>
      <c r="M494" s="230"/>
      <c r="N494" s="230"/>
      <c r="O494" s="230"/>
      <c r="P494" s="230"/>
      <c r="Q494" s="230"/>
      <c r="R494" s="230"/>
      <c r="S494" s="230"/>
      <c r="T494" s="230"/>
      <c r="U494" s="230"/>
      <c r="V494" s="230"/>
      <c r="W494" s="230"/>
      <c r="X494" s="230"/>
      <c r="Y494" s="230"/>
      <c r="Z494" s="230"/>
    </row>
    <row r="495">
      <c r="A495" s="346"/>
      <c r="B495" s="347"/>
      <c r="C495" s="284"/>
      <c r="D495" s="284"/>
      <c r="E495" s="285"/>
      <c r="F495" s="230"/>
      <c r="G495" s="230"/>
      <c r="H495" s="230"/>
      <c r="I495" s="230"/>
      <c r="J495" s="339"/>
      <c r="K495" s="340"/>
      <c r="L495" s="340"/>
      <c r="M495" s="230"/>
      <c r="N495" s="230"/>
      <c r="O495" s="230"/>
      <c r="P495" s="230"/>
      <c r="Q495" s="230"/>
      <c r="R495" s="230"/>
      <c r="S495" s="230"/>
      <c r="T495" s="230"/>
      <c r="U495" s="230"/>
      <c r="V495" s="230"/>
      <c r="W495" s="230"/>
      <c r="X495" s="230"/>
      <c r="Y495" s="230"/>
      <c r="Z495" s="230"/>
    </row>
    <row r="496">
      <c r="A496" s="346"/>
      <c r="B496" s="347"/>
      <c r="C496" s="284"/>
      <c r="D496" s="284"/>
      <c r="E496" s="285"/>
      <c r="F496" s="230"/>
      <c r="G496" s="230"/>
      <c r="H496" s="230"/>
      <c r="I496" s="230"/>
      <c r="J496" s="339"/>
      <c r="K496" s="340"/>
      <c r="L496" s="340"/>
      <c r="M496" s="230"/>
      <c r="N496" s="230"/>
      <c r="O496" s="230"/>
      <c r="P496" s="230"/>
      <c r="Q496" s="230"/>
      <c r="R496" s="230"/>
      <c r="S496" s="230"/>
      <c r="T496" s="230"/>
      <c r="U496" s="230"/>
      <c r="V496" s="230"/>
      <c r="W496" s="230"/>
      <c r="X496" s="230"/>
      <c r="Y496" s="230"/>
      <c r="Z496" s="230"/>
    </row>
    <row r="497">
      <c r="A497" s="346"/>
      <c r="B497" s="347"/>
      <c r="C497" s="284"/>
      <c r="D497" s="284"/>
      <c r="E497" s="285"/>
      <c r="F497" s="230"/>
      <c r="G497" s="230"/>
      <c r="H497" s="230"/>
      <c r="I497" s="230"/>
      <c r="J497" s="339"/>
      <c r="K497" s="340"/>
      <c r="L497" s="340"/>
      <c r="M497" s="230"/>
      <c r="N497" s="230"/>
      <c r="O497" s="230"/>
      <c r="P497" s="230"/>
      <c r="Q497" s="230"/>
      <c r="R497" s="230"/>
      <c r="S497" s="230"/>
      <c r="T497" s="230"/>
      <c r="U497" s="230"/>
      <c r="V497" s="230"/>
      <c r="W497" s="230"/>
      <c r="X497" s="230"/>
      <c r="Y497" s="230"/>
      <c r="Z497" s="230"/>
    </row>
    <row r="498">
      <c r="A498" s="346"/>
      <c r="B498" s="347"/>
      <c r="C498" s="284"/>
      <c r="D498" s="284"/>
      <c r="E498" s="285"/>
      <c r="F498" s="230"/>
      <c r="G498" s="230"/>
      <c r="H498" s="230"/>
      <c r="I498" s="230"/>
      <c r="J498" s="339"/>
      <c r="K498" s="340"/>
      <c r="L498" s="340"/>
      <c r="M498" s="230"/>
      <c r="N498" s="230"/>
      <c r="O498" s="230"/>
      <c r="P498" s="230"/>
      <c r="Q498" s="230"/>
      <c r="R498" s="230"/>
      <c r="S498" s="230"/>
      <c r="T498" s="230"/>
      <c r="U498" s="230"/>
      <c r="V498" s="230"/>
      <c r="W498" s="230"/>
      <c r="X498" s="230"/>
      <c r="Y498" s="230"/>
      <c r="Z498" s="230"/>
    </row>
    <row r="499">
      <c r="A499" s="346"/>
      <c r="B499" s="347"/>
      <c r="C499" s="284"/>
      <c r="D499" s="284"/>
      <c r="E499" s="285"/>
      <c r="F499" s="230"/>
      <c r="G499" s="230"/>
      <c r="H499" s="230"/>
      <c r="I499" s="230"/>
      <c r="J499" s="339"/>
      <c r="K499" s="340"/>
      <c r="L499" s="340"/>
      <c r="M499" s="230"/>
      <c r="N499" s="230"/>
      <c r="O499" s="230"/>
      <c r="P499" s="230"/>
      <c r="Q499" s="230"/>
      <c r="R499" s="230"/>
      <c r="S499" s="230"/>
      <c r="T499" s="230"/>
      <c r="U499" s="230"/>
      <c r="V499" s="230"/>
      <c r="W499" s="230"/>
      <c r="X499" s="230"/>
      <c r="Y499" s="230"/>
      <c r="Z499" s="230"/>
    </row>
    <row r="500">
      <c r="A500" s="346"/>
      <c r="B500" s="347"/>
      <c r="C500" s="284"/>
      <c r="D500" s="284"/>
      <c r="E500" s="285"/>
      <c r="F500" s="230"/>
      <c r="G500" s="230"/>
      <c r="H500" s="230"/>
      <c r="I500" s="230"/>
      <c r="J500" s="339"/>
      <c r="K500" s="340"/>
      <c r="L500" s="340"/>
      <c r="M500" s="230"/>
      <c r="N500" s="230"/>
      <c r="O500" s="230"/>
      <c r="P500" s="230"/>
      <c r="Q500" s="230"/>
      <c r="R500" s="230"/>
      <c r="S500" s="230"/>
      <c r="T500" s="230"/>
      <c r="U500" s="230"/>
      <c r="V500" s="230"/>
      <c r="W500" s="230"/>
      <c r="X500" s="230"/>
      <c r="Y500" s="230"/>
      <c r="Z500" s="230"/>
    </row>
    <row r="501">
      <c r="A501" s="346"/>
      <c r="B501" s="347"/>
      <c r="C501" s="284"/>
      <c r="D501" s="284"/>
      <c r="E501" s="285"/>
      <c r="F501" s="230"/>
      <c r="G501" s="230"/>
      <c r="H501" s="230"/>
      <c r="I501" s="230"/>
      <c r="J501" s="339"/>
      <c r="K501" s="340"/>
      <c r="L501" s="340"/>
      <c r="M501" s="230"/>
      <c r="N501" s="230"/>
      <c r="O501" s="230"/>
      <c r="P501" s="230"/>
      <c r="Q501" s="230"/>
      <c r="R501" s="230"/>
      <c r="S501" s="230"/>
      <c r="T501" s="230"/>
      <c r="U501" s="230"/>
      <c r="V501" s="230"/>
      <c r="W501" s="230"/>
      <c r="X501" s="230"/>
      <c r="Y501" s="230"/>
      <c r="Z501" s="230"/>
    </row>
    <row r="502">
      <c r="A502" s="346"/>
      <c r="B502" s="347"/>
      <c r="C502" s="284"/>
      <c r="D502" s="284"/>
      <c r="E502" s="285"/>
      <c r="F502" s="230"/>
      <c r="G502" s="230"/>
      <c r="H502" s="230"/>
      <c r="I502" s="230"/>
      <c r="J502" s="339"/>
      <c r="K502" s="340"/>
      <c r="L502" s="340"/>
      <c r="M502" s="230"/>
      <c r="N502" s="230"/>
      <c r="O502" s="230"/>
      <c r="P502" s="230"/>
      <c r="Q502" s="230"/>
      <c r="R502" s="230"/>
      <c r="S502" s="230"/>
      <c r="T502" s="230"/>
      <c r="U502" s="230"/>
      <c r="V502" s="230"/>
      <c r="W502" s="230"/>
      <c r="X502" s="230"/>
      <c r="Y502" s="230"/>
      <c r="Z502" s="230"/>
    </row>
    <row r="503">
      <c r="A503" s="346"/>
      <c r="B503" s="347"/>
      <c r="C503" s="284"/>
      <c r="D503" s="284"/>
      <c r="E503" s="285"/>
      <c r="F503" s="230"/>
      <c r="G503" s="230"/>
      <c r="H503" s="230"/>
      <c r="I503" s="230"/>
      <c r="J503" s="339"/>
      <c r="K503" s="340"/>
      <c r="L503" s="340"/>
      <c r="M503" s="230"/>
      <c r="N503" s="230"/>
      <c r="O503" s="230"/>
      <c r="P503" s="230"/>
      <c r="Q503" s="230"/>
      <c r="R503" s="230"/>
      <c r="S503" s="230"/>
      <c r="T503" s="230"/>
      <c r="U503" s="230"/>
      <c r="V503" s="230"/>
      <c r="W503" s="230"/>
      <c r="X503" s="230"/>
      <c r="Y503" s="230"/>
      <c r="Z503" s="230"/>
    </row>
    <row r="504">
      <c r="A504" s="346"/>
      <c r="B504" s="347"/>
      <c r="C504" s="284"/>
      <c r="D504" s="284"/>
      <c r="E504" s="285"/>
      <c r="F504" s="230"/>
      <c r="G504" s="230"/>
      <c r="H504" s="230"/>
      <c r="I504" s="230"/>
      <c r="J504" s="339"/>
      <c r="K504" s="340"/>
      <c r="L504" s="340"/>
      <c r="M504" s="230"/>
      <c r="N504" s="230"/>
      <c r="O504" s="230"/>
      <c r="P504" s="230"/>
      <c r="Q504" s="230"/>
      <c r="R504" s="230"/>
      <c r="S504" s="230"/>
      <c r="T504" s="230"/>
      <c r="U504" s="230"/>
      <c r="V504" s="230"/>
      <c r="W504" s="230"/>
      <c r="X504" s="230"/>
      <c r="Y504" s="230"/>
      <c r="Z504" s="230"/>
    </row>
    <row r="505">
      <c r="A505" s="346"/>
      <c r="B505" s="347"/>
      <c r="C505" s="284"/>
      <c r="D505" s="284"/>
      <c r="E505" s="285"/>
      <c r="F505" s="230"/>
      <c r="G505" s="230"/>
      <c r="H505" s="230"/>
      <c r="I505" s="230"/>
      <c r="J505" s="339"/>
      <c r="K505" s="340"/>
      <c r="L505" s="340"/>
      <c r="M505" s="230"/>
      <c r="N505" s="230"/>
      <c r="O505" s="230"/>
      <c r="P505" s="230"/>
      <c r="Q505" s="230"/>
      <c r="R505" s="230"/>
      <c r="S505" s="230"/>
      <c r="T505" s="230"/>
      <c r="U505" s="230"/>
      <c r="V505" s="230"/>
      <c r="W505" s="230"/>
      <c r="X505" s="230"/>
      <c r="Y505" s="230"/>
      <c r="Z505" s="230"/>
    </row>
    <row r="506">
      <c r="A506" s="346"/>
      <c r="B506" s="347"/>
      <c r="C506" s="284"/>
      <c r="D506" s="284"/>
      <c r="E506" s="285"/>
      <c r="F506" s="230"/>
      <c r="G506" s="230"/>
      <c r="H506" s="230"/>
      <c r="I506" s="230"/>
      <c r="J506" s="339"/>
      <c r="K506" s="340"/>
      <c r="L506" s="340"/>
      <c r="M506" s="230"/>
      <c r="N506" s="230"/>
      <c r="O506" s="230"/>
      <c r="P506" s="230"/>
      <c r="Q506" s="230"/>
      <c r="R506" s="230"/>
      <c r="S506" s="230"/>
      <c r="T506" s="230"/>
      <c r="U506" s="230"/>
      <c r="V506" s="230"/>
      <c r="W506" s="230"/>
      <c r="X506" s="230"/>
      <c r="Y506" s="230"/>
      <c r="Z506" s="230"/>
    </row>
    <row r="507">
      <c r="A507" s="346"/>
      <c r="B507" s="347"/>
      <c r="C507" s="284"/>
      <c r="D507" s="284"/>
      <c r="E507" s="285"/>
      <c r="F507" s="230"/>
      <c r="G507" s="230"/>
      <c r="H507" s="230"/>
      <c r="I507" s="230"/>
      <c r="J507" s="339"/>
      <c r="K507" s="340"/>
      <c r="L507" s="340"/>
      <c r="M507" s="230"/>
      <c r="N507" s="230"/>
      <c r="O507" s="230"/>
      <c r="P507" s="230"/>
      <c r="Q507" s="230"/>
      <c r="R507" s="230"/>
      <c r="S507" s="230"/>
      <c r="T507" s="230"/>
      <c r="U507" s="230"/>
      <c r="V507" s="230"/>
      <c r="W507" s="230"/>
      <c r="X507" s="230"/>
      <c r="Y507" s="230"/>
      <c r="Z507" s="230"/>
    </row>
    <row r="508">
      <c r="A508" s="346"/>
      <c r="B508" s="347"/>
      <c r="C508" s="284"/>
      <c r="D508" s="284"/>
      <c r="E508" s="285"/>
      <c r="F508" s="230"/>
      <c r="G508" s="230"/>
      <c r="H508" s="230"/>
      <c r="I508" s="230"/>
      <c r="J508" s="339"/>
      <c r="K508" s="340"/>
      <c r="L508" s="340"/>
      <c r="M508" s="230"/>
      <c r="N508" s="230"/>
      <c r="O508" s="230"/>
      <c r="P508" s="230"/>
      <c r="Q508" s="230"/>
      <c r="R508" s="230"/>
      <c r="S508" s="230"/>
      <c r="T508" s="230"/>
      <c r="U508" s="230"/>
      <c r="V508" s="230"/>
      <c r="W508" s="230"/>
      <c r="X508" s="230"/>
      <c r="Y508" s="230"/>
      <c r="Z508" s="230"/>
    </row>
    <row r="509">
      <c r="A509" s="346"/>
      <c r="B509" s="347"/>
      <c r="C509" s="284"/>
      <c r="D509" s="284"/>
      <c r="E509" s="285"/>
      <c r="F509" s="230"/>
      <c r="G509" s="230"/>
      <c r="H509" s="230"/>
      <c r="I509" s="230"/>
      <c r="J509" s="339"/>
      <c r="K509" s="340"/>
      <c r="L509" s="340"/>
      <c r="M509" s="230"/>
      <c r="N509" s="230"/>
      <c r="O509" s="230"/>
      <c r="P509" s="230"/>
      <c r="Q509" s="230"/>
      <c r="R509" s="230"/>
      <c r="S509" s="230"/>
      <c r="T509" s="230"/>
      <c r="U509" s="230"/>
      <c r="V509" s="230"/>
      <c r="W509" s="230"/>
      <c r="X509" s="230"/>
      <c r="Y509" s="230"/>
      <c r="Z509" s="230"/>
    </row>
    <row r="510">
      <c r="A510" s="346"/>
      <c r="B510" s="347"/>
      <c r="C510" s="284"/>
      <c r="D510" s="284"/>
      <c r="E510" s="285"/>
      <c r="F510" s="230"/>
      <c r="G510" s="230"/>
      <c r="H510" s="230"/>
      <c r="I510" s="230"/>
      <c r="J510" s="339"/>
      <c r="K510" s="340"/>
      <c r="L510" s="340"/>
      <c r="M510" s="230"/>
      <c r="N510" s="230"/>
      <c r="O510" s="230"/>
      <c r="P510" s="230"/>
      <c r="Q510" s="230"/>
      <c r="R510" s="230"/>
      <c r="S510" s="230"/>
      <c r="T510" s="230"/>
      <c r="U510" s="230"/>
      <c r="V510" s="230"/>
      <c r="W510" s="230"/>
      <c r="X510" s="230"/>
      <c r="Y510" s="230"/>
      <c r="Z510" s="230"/>
    </row>
    <row r="511">
      <c r="A511" s="346"/>
      <c r="B511" s="347"/>
      <c r="C511" s="284"/>
      <c r="D511" s="284"/>
      <c r="E511" s="285"/>
      <c r="F511" s="230"/>
      <c r="G511" s="230"/>
      <c r="H511" s="230"/>
      <c r="I511" s="230"/>
      <c r="J511" s="339"/>
      <c r="K511" s="340"/>
      <c r="L511" s="340"/>
      <c r="M511" s="230"/>
      <c r="N511" s="230"/>
      <c r="O511" s="230"/>
      <c r="P511" s="230"/>
      <c r="Q511" s="230"/>
      <c r="R511" s="230"/>
      <c r="S511" s="230"/>
      <c r="T511" s="230"/>
      <c r="U511" s="230"/>
      <c r="V511" s="230"/>
      <c r="W511" s="230"/>
      <c r="X511" s="230"/>
      <c r="Y511" s="230"/>
      <c r="Z511" s="230"/>
    </row>
    <row r="512">
      <c r="A512" s="346"/>
      <c r="B512" s="347"/>
      <c r="C512" s="284"/>
      <c r="D512" s="284"/>
      <c r="E512" s="285"/>
      <c r="F512" s="230"/>
      <c r="G512" s="230"/>
      <c r="H512" s="230"/>
      <c r="I512" s="230"/>
      <c r="J512" s="339"/>
      <c r="K512" s="340"/>
      <c r="L512" s="340"/>
      <c r="M512" s="230"/>
      <c r="N512" s="230"/>
      <c r="O512" s="230"/>
      <c r="P512" s="230"/>
      <c r="Q512" s="230"/>
      <c r="R512" s="230"/>
      <c r="S512" s="230"/>
      <c r="T512" s="230"/>
      <c r="U512" s="230"/>
      <c r="V512" s="230"/>
      <c r="W512" s="230"/>
      <c r="X512" s="230"/>
      <c r="Y512" s="230"/>
      <c r="Z512" s="230"/>
    </row>
    <row r="513">
      <c r="A513" s="346"/>
      <c r="B513" s="347"/>
      <c r="C513" s="284"/>
      <c r="D513" s="284"/>
      <c r="E513" s="285"/>
      <c r="F513" s="230"/>
      <c r="G513" s="230"/>
      <c r="H513" s="230"/>
      <c r="I513" s="230"/>
      <c r="J513" s="339"/>
      <c r="K513" s="340"/>
      <c r="L513" s="340"/>
      <c r="M513" s="230"/>
      <c r="N513" s="230"/>
      <c r="O513" s="230"/>
      <c r="P513" s="230"/>
      <c r="Q513" s="230"/>
      <c r="R513" s="230"/>
      <c r="S513" s="230"/>
      <c r="T513" s="230"/>
      <c r="U513" s="230"/>
      <c r="V513" s="230"/>
      <c r="W513" s="230"/>
      <c r="X513" s="230"/>
      <c r="Y513" s="230"/>
      <c r="Z513" s="230"/>
    </row>
    <row r="514">
      <c r="A514" s="346"/>
      <c r="B514" s="347"/>
      <c r="C514" s="284"/>
      <c r="D514" s="284"/>
      <c r="E514" s="285"/>
      <c r="F514" s="230"/>
      <c r="G514" s="230"/>
      <c r="H514" s="230"/>
      <c r="I514" s="230"/>
      <c r="J514" s="339"/>
      <c r="K514" s="340"/>
      <c r="L514" s="340"/>
      <c r="M514" s="230"/>
      <c r="N514" s="230"/>
      <c r="O514" s="230"/>
      <c r="P514" s="230"/>
      <c r="Q514" s="230"/>
      <c r="R514" s="230"/>
      <c r="S514" s="230"/>
      <c r="T514" s="230"/>
      <c r="U514" s="230"/>
      <c r="V514" s="230"/>
      <c r="W514" s="230"/>
      <c r="X514" s="230"/>
      <c r="Y514" s="230"/>
      <c r="Z514" s="230"/>
    </row>
    <row r="515">
      <c r="A515" s="346"/>
      <c r="B515" s="347"/>
      <c r="C515" s="284"/>
      <c r="D515" s="284"/>
      <c r="E515" s="285"/>
      <c r="F515" s="230"/>
      <c r="G515" s="230"/>
      <c r="H515" s="230"/>
      <c r="I515" s="230"/>
      <c r="J515" s="339"/>
      <c r="K515" s="340"/>
      <c r="L515" s="340"/>
      <c r="M515" s="230"/>
      <c r="N515" s="230"/>
      <c r="O515" s="230"/>
      <c r="P515" s="230"/>
      <c r="Q515" s="230"/>
      <c r="R515" s="230"/>
      <c r="S515" s="230"/>
      <c r="T515" s="230"/>
      <c r="U515" s="230"/>
      <c r="V515" s="230"/>
      <c r="W515" s="230"/>
      <c r="X515" s="230"/>
      <c r="Y515" s="230"/>
      <c r="Z515" s="230"/>
    </row>
    <row r="516">
      <c r="A516" s="346"/>
      <c r="B516" s="347"/>
      <c r="C516" s="284"/>
      <c r="D516" s="284"/>
      <c r="E516" s="285"/>
      <c r="F516" s="230"/>
      <c r="G516" s="230"/>
      <c r="H516" s="230"/>
      <c r="I516" s="230"/>
      <c r="J516" s="339"/>
      <c r="K516" s="340"/>
      <c r="L516" s="340"/>
      <c r="M516" s="230"/>
      <c r="N516" s="230"/>
      <c r="O516" s="230"/>
      <c r="P516" s="230"/>
      <c r="Q516" s="230"/>
      <c r="R516" s="230"/>
      <c r="S516" s="230"/>
      <c r="T516" s="230"/>
      <c r="U516" s="230"/>
      <c r="V516" s="230"/>
      <c r="W516" s="230"/>
      <c r="X516" s="230"/>
      <c r="Y516" s="230"/>
      <c r="Z516" s="230"/>
    </row>
    <row r="517">
      <c r="A517" s="346"/>
      <c r="B517" s="347"/>
      <c r="C517" s="284"/>
      <c r="D517" s="284"/>
      <c r="E517" s="285"/>
      <c r="F517" s="230"/>
      <c r="G517" s="230"/>
      <c r="H517" s="230"/>
      <c r="I517" s="230"/>
      <c r="J517" s="339"/>
      <c r="K517" s="340"/>
      <c r="L517" s="340"/>
      <c r="M517" s="230"/>
      <c r="N517" s="230"/>
      <c r="O517" s="230"/>
      <c r="P517" s="230"/>
      <c r="Q517" s="230"/>
      <c r="R517" s="230"/>
      <c r="S517" s="230"/>
      <c r="T517" s="230"/>
      <c r="U517" s="230"/>
      <c r="V517" s="230"/>
      <c r="W517" s="230"/>
      <c r="X517" s="230"/>
      <c r="Y517" s="230"/>
      <c r="Z517" s="230"/>
    </row>
    <row r="518">
      <c r="A518" s="346"/>
      <c r="B518" s="347"/>
      <c r="C518" s="284"/>
      <c r="D518" s="284"/>
      <c r="E518" s="285"/>
      <c r="F518" s="230"/>
      <c r="G518" s="230"/>
      <c r="H518" s="230"/>
      <c r="I518" s="230"/>
      <c r="J518" s="339"/>
      <c r="K518" s="340"/>
      <c r="L518" s="340"/>
      <c r="M518" s="230"/>
      <c r="N518" s="230"/>
      <c r="O518" s="230"/>
      <c r="P518" s="230"/>
      <c r="Q518" s="230"/>
      <c r="R518" s="230"/>
      <c r="S518" s="230"/>
      <c r="T518" s="230"/>
      <c r="U518" s="230"/>
      <c r="V518" s="230"/>
      <c r="W518" s="230"/>
      <c r="X518" s="230"/>
      <c r="Y518" s="230"/>
      <c r="Z518" s="230"/>
    </row>
    <row r="519">
      <c r="A519" s="346"/>
      <c r="B519" s="347"/>
      <c r="C519" s="284"/>
      <c r="D519" s="284"/>
      <c r="E519" s="285"/>
      <c r="F519" s="230"/>
      <c r="G519" s="230"/>
      <c r="H519" s="230"/>
      <c r="I519" s="230"/>
      <c r="J519" s="339"/>
      <c r="K519" s="340"/>
      <c r="L519" s="340"/>
      <c r="M519" s="230"/>
      <c r="N519" s="230"/>
      <c r="O519" s="230"/>
      <c r="P519" s="230"/>
      <c r="Q519" s="230"/>
      <c r="R519" s="230"/>
      <c r="S519" s="230"/>
      <c r="T519" s="230"/>
      <c r="U519" s="230"/>
      <c r="V519" s="230"/>
      <c r="W519" s="230"/>
      <c r="X519" s="230"/>
      <c r="Y519" s="230"/>
      <c r="Z519" s="230"/>
    </row>
    <row r="520">
      <c r="A520" s="346"/>
      <c r="B520" s="347"/>
      <c r="C520" s="284"/>
      <c r="D520" s="284"/>
      <c r="E520" s="285"/>
      <c r="F520" s="230"/>
      <c r="G520" s="230"/>
      <c r="H520" s="230"/>
      <c r="I520" s="230"/>
      <c r="J520" s="339"/>
      <c r="K520" s="340"/>
      <c r="L520" s="340"/>
      <c r="M520" s="230"/>
      <c r="N520" s="230"/>
      <c r="O520" s="230"/>
      <c r="P520" s="230"/>
      <c r="Q520" s="230"/>
      <c r="R520" s="230"/>
      <c r="S520" s="230"/>
      <c r="T520" s="230"/>
      <c r="U520" s="230"/>
      <c r="V520" s="230"/>
      <c r="W520" s="230"/>
      <c r="X520" s="230"/>
      <c r="Y520" s="230"/>
      <c r="Z520" s="230"/>
    </row>
    <row r="521">
      <c r="A521" s="346"/>
      <c r="B521" s="347"/>
      <c r="C521" s="284"/>
      <c r="D521" s="284"/>
      <c r="E521" s="285"/>
      <c r="F521" s="230"/>
      <c r="G521" s="230"/>
      <c r="H521" s="230"/>
      <c r="I521" s="230"/>
      <c r="J521" s="339"/>
      <c r="K521" s="340"/>
      <c r="L521" s="340"/>
      <c r="M521" s="230"/>
      <c r="N521" s="230"/>
      <c r="O521" s="230"/>
      <c r="P521" s="230"/>
      <c r="Q521" s="230"/>
      <c r="R521" s="230"/>
      <c r="S521" s="230"/>
      <c r="T521" s="230"/>
      <c r="U521" s="230"/>
      <c r="V521" s="230"/>
      <c r="W521" s="230"/>
      <c r="X521" s="230"/>
      <c r="Y521" s="230"/>
      <c r="Z521" s="230"/>
    </row>
    <row r="522">
      <c r="A522" s="346"/>
      <c r="B522" s="347"/>
      <c r="C522" s="284"/>
      <c r="D522" s="284"/>
      <c r="E522" s="285"/>
      <c r="F522" s="230"/>
      <c r="G522" s="230"/>
      <c r="H522" s="230"/>
      <c r="I522" s="230"/>
      <c r="J522" s="339"/>
      <c r="K522" s="340"/>
      <c r="L522" s="340"/>
      <c r="M522" s="230"/>
      <c r="N522" s="230"/>
      <c r="O522" s="230"/>
      <c r="P522" s="230"/>
      <c r="Q522" s="230"/>
      <c r="R522" s="230"/>
      <c r="S522" s="230"/>
      <c r="T522" s="230"/>
      <c r="U522" s="230"/>
      <c r="V522" s="230"/>
      <c r="W522" s="230"/>
      <c r="X522" s="230"/>
      <c r="Y522" s="230"/>
      <c r="Z522" s="230"/>
    </row>
    <row r="523">
      <c r="A523" s="346"/>
      <c r="B523" s="347"/>
      <c r="C523" s="284"/>
      <c r="D523" s="284"/>
      <c r="E523" s="285"/>
      <c r="F523" s="230"/>
      <c r="G523" s="230"/>
      <c r="H523" s="230"/>
      <c r="I523" s="230"/>
      <c r="J523" s="339"/>
      <c r="K523" s="340"/>
      <c r="L523" s="340"/>
      <c r="M523" s="230"/>
      <c r="N523" s="230"/>
      <c r="O523" s="230"/>
      <c r="P523" s="230"/>
      <c r="Q523" s="230"/>
      <c r="R523" s="230"/>
      <c r="S523" s="230"/>
      <c r="T523" s="230"/>
      <c r="U523" s="230"/>
      <c r="V523" s="230"/>
      <c r="W523" s="230"/>
      <c r="X523" s="230"/>
      <c r="Y523" s="230"/>
      <c r="Z523" s="230"/>
    </row>
    <row r="524">
      <c r="A524" s="346"/>
      <c r="B524" s="347"/>
      <c r="C524" s="284"/>
      <c r="D524" s="284"/>
      <c r="E524" s="285"/>
      <c r="F524" s="230"/>
      <c r="G524" s="230"/>
      <c r="H524" s="230"/>
      <c r="I524" s="230"/>
      <c r="J524" s="339"/>
      <c r="K524" s="340"/>
      <c r="L524" s="340"/>
      <c r="M524" s="230"/>
      <c r="N524" s="230"/>
      <c r="O524" s="230"/>
      <c r="P524" s="230"/>
      <c r="Q524" s="230"/>
      <c r="R524" s="230"/>
      <c r="S524" s="230"/>
      <c r="T524" s="230"/>
      <c r="U524" s="230"/>
      <c r="V524" s="230"/>
      <c r="W524" s="230"/>
      <c r="X524" s="230"/>
      <c r="Y524" s="230"/>
      <c r="Z524" s="230"/>
    </row>
    <row r="525">
      <c r="A525" s="346"/>
      <c r="B525" s="347"/>
      <c r="C525" s="284"/>
      <c r="D525" s="284"/>
      <c r="E525" s="285"/>
      <c r="F525" s="230"/>
      <c r="G525" s="230"/>
      <c r="H525" s="230"/>
      <c r="I525" s="230"/>
      <c r="J525" s="339"/>
      <c r="K525" s="340"/>
      <c r="L525" s="340"/>
      <c r="M525" s="230"/>
      <c r="N525" s="230"/>
      <c r="O525" s="230"/>
      <c r="P525" s="230"/>
      <c r="Q525" s="230"/>
      <c r="R525" s="230"/>
      <c r="S525" s="230"/>
      <c r="T525" s="230"/>
      <c r="U525" s="230"/>
      <c r="V525" s="230"/>
      <c r="W525" s="230"/>
      <c r="X525" s="230"/>
      <c r="Y525" s="230"/>
      <c r="Z525" s="230"/>
    </row>
    <row r="526">
      <c r="A526" s="346"/>
      <c r="B526" s="347"/>
      <c r="C526" s="284"/>
      <c r="D526" s="284"/>
      <c r="E526" s="285"/>
      <c r="F526" s="230"/>
      <c r="G526" s="230"/>
      <c r="H526" s="230"/>
      <c r="I526" s="230"/>
      <c r="J526" s="339"/>
      <c r="K526" s="340"/>
      <c r="L526" s="340"/>
      <c r="M526" s="230"/>
      <c r="N526" s="230"/>
      <c r="O526" s="230"/>
      <c r="P526" s="230"/>
      <c r="Q526" s="230"/>
      <c r="R526" s="230"/>
      <c r="S526" s="230"/>
      <c r="T526" s="230"/>
      <c r="U526" s="230"/>
      <c r="V526" s="230"/>
      <c r="W526" s="230"/>
      <c r="X526" s="230"/>
      <c r="Y526" s="230"/>
      <c r="Z526" s="230"/>
    </row>
    <row r="527">
      <c r="A527" s="346"/>
      <c r="B527" s="347"/>
      <c r="C527" s="284"/>
      <c r="D527" s="284"/>
      <c r="E527" s="285"/>
      <c r="F527" s="230"/>
      <c r="G527" s="230"/>
      <c r="H527" s="230"/>
      <c r="I527" s="230"/>
      <c r="J527" s="339"/>
      <c r="K527" s="340"/>
      <c r="L527" s="340"/>
      <c r="M527" s="230"/>
      <c r="N527" s="230"/>
      <c r="O527" s="230"/>
      <c r="P527" s="230"/>
      <c r="Q527" s="230"/>
      <c r="R527" s="230"/>
      <c r="S527" s="230"/>
      <c r="T527" s="230"/>
      <c r="U527" s="230"/>
      <c r="V527" s="230"/>
      <c r="W527" s="230"/>
      <c r="X527" s="230"/>
      <c r="Y527" s="230"/>
      <c r="Z527" s="230"/>
    </row>
    <row r="528">
      <c r="A528" s="346"/>
      <c r="B528" s="347"/>
      <c r="C528" s="284"/>
      <c r="D528" s="284"/>
      <c r="E528" s="285"/>
      <c r="F528" s="230"/>
      <c r="G528" s="230"/>
      <c r="H528" s="230"/>
      <c r="I528" s="230"/>
      <c r="J528" s="339"/>
      <c r="K528" s="340"/>
      <c r="L528" s="340"/>
      <c r="M528" s="230"/>
      <c r="N528" s="230"/>
      <c r="O528" s="230"/>
      <c r="P528" s="230"/>
      <c r="Q528" s="230"/>
      <c r="R528" s="230"/>
      <c r="S528" s="230"/>
      <c r="T528" s="230"/>
      <c r="U528" s="230"/>
      <c r="V528" s="230"/>
      <c r="W528" s="230"/>
      <c r="X528" s="230"/>
      <c r="Y528" s="230"/>
      <c r="Z528" s="230"/>
    </row>
    <row r="529">
      <c r="A529" s="346"/>
      <c r="B529" s="347"/>
      <c r="C529" s="284"/>
      <c r="D529" s="284"/>
      <c r="E529" s="285"/>
      <c r="F529" s="230"/>
      <c r="G529" s="230"/>
      <c r="H529" s="230"/>
      <c r="I529" s="230"/>
      <c r="J529" s="339"/>
      <c r="K529" s="340"/>
      <c r="L529" s="340"/>
      <c r="M529" s="230"/>
      <c r="N529" s="230"/>
      <c r="O529" s="230"/>
      <c r="P529" s="230"/>
      <c r="Q529" s="230"/>
      <c r="R529" s="230"/>
      <c r="S529" s="230"/>
      <c r="T529" s="230"/>
      <c r="U529" s="230"/>
      <c r="V529" s="230"/>
      <c r="W529" s="230"/>
      <c r="X529" s="230"/>
      <c r="Y529" s="230"/>
      <c r="Z529" s="230"/>
    </row>
    <row r="530">
      <c r="A530" s="346"/>
      <c r="B530" s="347"/>
      <c r="C530" s="284"/>
      <c r="D530" s="284"/>
      <c r="E530" s="285"/>
      <c r="F530" s="230"/>
      <c r="G530" s="230"/>
      <c r="H530" s="230"/>
      <c r="I530" s="230"/>
      <c r="J530" s="339"/>
      <c r="K530" s="340"/>
      <c r="L530" s="340"/>
      <c r="M530" s="230"/>
      <c r="N530" s="230"/>
      <c r="O530" s="230"/>
      <c r="P530" s="230"/>
      <c r="Q530" s="230"/>
      <c r="R530" s="230"/>
      <c r="S530" s="230"/>
      <c r="T530" s="230"/>
      <c r="U530" s="230"/>
      <c r="V530" s="230"/>
      <c r="W530" s="230"/>
      <c r="X530" s="230"/>
      <c r="Y530" s="230"/>
      <c r="Z530" s="230"/>
    </row>
    <row r="531">
      <c r="A531" s="346"/>
      <c r="B531" s="347"/>
      <c r="C531" s="284"/>
      <c r="D531" s="284"/>
      <c r="E531" s="285"/>
      <c r="F531" s="230"/>
      <c r="G531" s="230"/>
      <c r="H531" s="230"/>
      <c r="I531" s="230"/>
      <c r="J531" s="339"/>
      <c r="K531" s="340"/>
      <c r="L531" s="340"/>
      <c r="M531" s="230"/>
      <c r="N531" s="230"/>
      <c r="O531" s="230"/>
      <c r="P531" s="230"/>
      <c r="Q531" s="230"/>
      <c r="R531" s="230"/>
      <c r="S531" s="230"/>
      <c r="T531" s="230"/>
      <c r="U531" s="230"/>
      <c r="V531" s="230"/>
      <c r="W531" s="230"/>
      <c r="X531" s="230"/>
      <c r="Y531" s="230"/>
      <c r="Z531" s="230"/>
    </row>
    <row r="532">
      <c r="A532" s="346"/>
      <c r="B532" s="347"/>
      <c r="C532" s="284"/>
      <c r="D532" s="284"/>
      <c r="E532" s="285"/>
      <c r="F532" s="230"/>
      <c r="G532" s="230"/>
      <c r="H532" s="230"/>
      <c r="I532" s="230"/>
      <c r="J532" s="339"/>
      <c r="K532" s="340"/>
      <c r="L532" s="340"/>
      <c r="M532" s="230"/>
      <c r="N532" s="230"/>
      <c r="O532" s="230"/>
      <c r="P532" s="230"/>
      <c r="Q532" s="230"/>
      <c r="R532" s="230"/>
      <c r="S532" s="230"/>
      <c r="T532" s="230"/>
      <c r="U532" s="230"/>
      <c r="V532" s="230"/>
      <c r="W532" s="230"/>
      <c r="X532" s="230"/>
      <c r="Y532" s="230"/>
      <c r="Z532" s="230"/>
    </row>
    <row r="533">
      <c r="A533" s="346"/>
      <c r="B533" s="347"/>
      <c r="C533" s="284"/>
      <c r="D533" s="284"/>
      <c r="E533" s="285"/>
      <c r="F533" s="230"/>
      <c r="G533" s="230"/>
      <c r="H533" s="230"/>
      <c r="I533" s="230"/>
      <c r="J533" s="339"/>
      <c r="K533" s="340"/>
      <c r="L533" s="340"/>
      <c r="M533" s="230"/>
      <c r="N533" s="230"/>
      <c r="O533" s="230"/>
      <c r="P533" s="230"/>
      <c r="Q533" s="230"/>
      <c r="R533" s="230"/>
      <c r="S533" s="230"/>
      <c r="T533" s="230"/>
      <c r="U533" s="230"/>
      <c r="V533" s="230"/>
      <c r="W533" s="230"/>
      <c r="X533" s="230"/>
      <c r="Y533" s="230"/>
      <c r="Z533" s="230"/>
    </row>
    <row r="534">
      <c r="A534" s="346"/>
      <c r="B534" s="347"/>
      <c r="C534" s="284"/>
      <c r="D534" s="284"/>
      <c r="E534" s="285"/>
      <c r="F534" s="230"/>
      <c r="G534" s="230"/>
      <c r="H534" s="230"/>
      <c r="I534" s="230"/>
      <c r="J534" s="339"/>
      <c r="K534" s="340"/>
      <c r="L534" s="340"/>
      <c r="M534" s="230"/>
      <c r="N534" s="230"/>
      <c r="O534" s="230"/>
      <c r="P534" s="230"/>
      <c r="Q534" s="230"/>
      <c r="R534" s="230"/>
      <c r="S534" s="230"/>
      <c r="T534" s="230"/>
      <c r="U534" s="230"/>
      <c r="V534" s="230"/>
      <c r="W534" s="230"/>
      <c r="X534" s="230"/>
      <c r="Y534" s="230"/>
      <c r="Z534" s="230"/>
    </row>
    <row r="535">
      <c r="A535" s="346"/>
      <c r="B535" s="347"/>
      <c r="C535" s="284"/>
      <c r="D535" s="284"/>
      <c r="E535" s="285"/>
      <c r="F535" s="230"/>
      <c r="G535" s="230"/>
      <c r="H535" s="230"/>
      <c r="I535" s="230"/>
      <c r="J535" s="339"/>
      <c r="K535" s="340"/>
      <c r="L535" s="340"/>
      <c r="M535" s="230"/>
      <c r="N535" s="230"/>
      <c r="O535" s="230"/>
      <c r="P535" s="230"/>
      <c r="Q535" s="230"/>
      <c r="R535" s="230"/>
      <c r="S535" s="230"/>
      <c r="T535" s="230"/>
      <c r="U535" s="230"/>
      <c r="V535" s="230"/>
      <c r="W535" s="230"/>
      <c r="X535" s="230"/>
      <c r="Y535" s="230"/>
      <c r="Z535" s="230"/>
    </row>
    <row r="536">
      <c r="A536" s="346"/>
      <c r="B536" s="347"/>
      <c r="C536" s="284"/>
      <c r="D536" s="284"/>
      <c r="E536" s="285"/>
      <c r="F536" s="230"/>
      <c r="G536" s="230"/>
      <c r="H536" s="230"/>
      <c r="I536" s="230"/>
      <c r="J536" s="339"/>
      <c r="K536" s="340"/>
      <c r="L536" s="340"/>
      <c r="M536" s="230"/>
      <c r="N536" s="230"/>
      <c r="O536" s="230"/>
      <c r="P536" s="230"/>
      <c r="Q536" s="230"/>
      <c r="R536" s="230"/>
      <c r="S536" s="230"/>
      <c r="T536" s="230"/>
      <c r="U536" s="230"/>
      <c r="V536" s="230"/>
      <c r="W536" s="230"/>
      <c r="X536" s="230"/>
      <c r="Y536" s="230"/>
      <c r="Z536" s="230"/>
    </row>
    <row r="537">
      <c r="A537" s="346"/>
      <c r="B537" s="347"/>
      <c r="C537" s="284"/>
      <c r="D537" s="284"/>
      <c r="E537" s="285"/>
      <c r="F537" s="230"/>
      <c r="G537" s="230"/>
      <c r="H537" s="230"/>
      <c r="I537" s="230"/>
      <c r="J537" s="339"/>
      <c r="K537" s="340"/>
      <c r="L537" s="340"/>
      <c r="M537" s="230"/>
      <c r="N537" s="230"/>
      <c r="O537" s="230"/>
      <c r="P537" s="230"/>
      <c r="Q537" s="230"/>
      <c r="R537" s="230"/>
      <c r="S537" s="230"/>
      <c r="T537" s="230"/>
      <c r="U537" s="230"/>
      <c r="V537" s="230"/>
      <c r="W537" s="230"/>
      <c r="X537" s="230"/>
      <c r="Y537" s="230"/>
      <c r="Z537" s="230"/>
    </row>
    <row r="538">
      <c r="A538" s="346"/>
      <c r="B538" s="347"/>
      <c r="C538" s="284"/>
      <c r="D538" s="284"/>
      <c r="E538" s="285"/>
      <c r="F538" s="230"/>
      <c r="G538" s="230"/>
      <c r="H538" s="230"/>
      <c r="I538" s="230"/>
      <c r="J538" s="339"/>
      <c r="K538" s="340"/>
      <c r="L538" s="340"/>
      <c r="M538" s="230"/>
      <c r="N538" s="230"/>
      <c r="O538" s="230"/>
      <c r="P538" s="230"/>
      <c r="Q538" s="230"/>
      <c r="R538" s="230"/>
      <c r="S538" s="230"/>
      <c r="T538" s="230"/>
      <c r="U538" s="230"/>
      <c r="V538" s="230"/>
      <c r="W538" s="230"/>
      <c r="X538" s="230"/>
      <c r="Y538" s="230"/>
      <c r="Z538" s="230"/>
    </row>
    <row r="539">
      <c r="A539" s="346"/>
      <c r="B539" s="347"/>
      <c r="C539" s="284"/>
      <c r="D539" s="284"/>
      <c r="E539" s="285"/>
      <c r="F539" s="230"/>
      <c r="G539" s="230"/>
      <c r="H539" s="230"/>
      <c r="I539" s="230"/>
      <c r="J539" s="339"/>
      <c r="K539" s="340"/>
      <c r="L539" s="340"/>
      <c r="M539" s="230"/>
      <c r="N539" s="230"/>
      <c r="O539" s="230"/>
      <c r="P539" s="230"/>
      <c r="Q539" s="230"/>
      <c r="R539" s="230"/>
      <c r="S539" s="230"/>
      <c r="T539" s="230"/>
      <c r="U539" s="230"/>
      <c r="V539" s="230"/>
      <c r="W539" s="230"/>
      <c r="X539" s="230"/>
      <c r="Y539" s="230"/>
      <c r="Z539" s="230"/>
    </row>
    <row r="540">
      <c r="A540" s="346"/>
      <c r="B540" s="347"/>
      <c r="C540" s="284"/>
      <c r="D540" s="284"/>
      <c r="E540" s="285"/>
      <c r="F540" s="230"/>
      <c r="G540" s="230"/>
      <c r="H540" s="230"/>
      <c r="I540" s="230"/>
      <c r="J540" s="339"/>
      <c r="K540" s="340"/>
      <c r="L540" s="340"/>
      <c r="M540" s="230"/>
      <c r="N540" s="230"/>
      <c r="O540" s="230"/>
      <c r="P540" s="230"/>
      <c r="Q540" s="230"/>
      <c r="R540" s="230"/>
      <c r="S540" s="230"/>
      <c r="T540" s="230"/>
      <c r="U540" s="230"/>
      <c r="V540" s="230"/>
      <c r="W540" s="230"/>
      <c r="X540" s="230"/>
      <c r="Y540" s="230"/>
      <c r="Z540" s="230"/>
    </row>
    <row r="541">
      <c r="A541" s="346"/>
      <c r="B541" s="347"/>
      <c r="C541" s="284"/>
      <c r="D541" s="284"/>
      <c r="E541" s="285"/>
      <c r="F541" s="230"/>
      <c r="G541" s="230"/>
      <c r="H541" s="230"/>
      <c r="I541" s="230"/>
      <c r="J541" s="339"/>
      <c r="K541" s="340"/>
      <c r="L541" s="340"/>
      <c r="M541" s="230"/>
      <c r="N541" s="230"/>
      <c r="O541" s="230"/>
      <c r="P541" s="230"/>
      <c r="Q541" s="230"/>
      <c r="R541" s="230"/>
      <c r="S541" s="230"/>
      <c r="T541" s="230"/>
      <c r="U541" s="230"/>
      <c r="V541" s="230"/>
      <c r="W541" s="230"/>
      <c r="X541" s="230"/>
      <c r="Y541" s="230"/>
      <c r="Z541" s="230"/>
    </row>
    <row r="542">
      <c r="A542" s="346"/>
      <c r="B542" s="347"/>
      <c r="C542" s="284"/>
      <c r="D542" s="284"/>
      <c r="E542" s="285"/>
      <c r="F542" s="230"/>
      <c r="G542" s="230"/>
      <c r="H542" s="230"/>
      <c r="I542" s="230"/>
      <c r="J542" s="339"/>
      <c r="K542" s="340"/>
      <c r="L542" s="340"/>
      <c r="M542" s="230"/>
      <c r="N542" s="230"/>
      <c r="O542" s="230"/>
      <c r="P542" s="230"/>
      <c r="Q542" s="230"/>
      <c r="R542" s="230"/>
      <c r="S542" s="230"/>
      <c r="T542" s="230"/>
      <c r="U542" s="230"/>
      <c r="V542" s="230"/>
      <c r="W542" s="230"/>
      <c r="X542" s="230"/>
      <c r="Y542" s="230"/>
      <c r="Z542" s="230"/>
    </row>
    <row r="543">
      <c r="A543" s="346"/>
      <c r="B543" s="347"/>
      <c r="C543" s="284"/>
      <c r="D543" s="284"/>
      <c r="E543" s="285"/>
      <c r="F543" s="230"/>
      <c r="G543" s="230"/>
      <c r="H543" s="230"/>
      <c r="I543" s="230"/>
      <c r="J543" s="339"/>
      <c r="K543" s="340"/>
      <c r="L543" s="340"/>
      <c r="M543" s="230"/>
      <c r="N543" s="230"/>
      <c r="O543" s="230"/>
      <c r="P543" s="230"/>
      <c r="Q543" s="230"/>
      <c r="R543" s="230"/>
      <c r="S543" s="230"/>
      <c r="T543" s="230"/>
      <c r="U543" s="230"/>
      <c r="V543" s="230"/>
      <c r="W543" s="230"/>
      <c r="X543" s="230"/>
      <c r="Y543" s="230"/>
      <c r="Z543" s="230"/>
    </row>
    <row r="544">
      <c r="A544" s="346"/>
      <c r="B544" s="347"/>
      <c r="C544" s="284"/>
      <c r="D544" s="284"/>
      <c r="E544" s="285"/>
      <c r="F544" s="230"/>
      <c r="G544" s="230"/>
      <c r="H544" s="230"/>
      <c r="I544" s="230"/>
      <c r="J544" s="339"/>
      <c r="K544" s="340"/>
      <c r="L544" s="340"/>
      <c r="M544" s="230"/>
      <c r="N544" s="230"/>
      <c r="O544" s="230"/>
      <c r="P544" s="230"/>
      <c r="Q544" s="230"/>
      <c r="R544" s="230"/>
      <c r="S544" s="230"/>
      <c r="T544" s="230"/>
      <c r="U544" s="230"/>
      <c r="V544" s="230"/>
      <c r="W544" s="230"/>
      <c r="X544" s="230"/>
      <c r="Y544" s="230"/>
      <c r="Z544" s="230"/>
    </row>
    <row r="545">
      <c r="A545" s="346"/>
      <c r="B545" s="347"/>
      <c r="C545" s="284"/>
      <c r="D545" s="284"/>
      <c r="E545" s="285"/>
      <c r="F545" s="230"/>
      <c r="G545" s="230"/>
      <c r="H545" s="230"/>
      <c r="I545" s="230"/>
      <c r="J545" s="339"/>
      <c r="K545" s="340"/>
      <c r="L545" s="340"/>
      <c r="M545" s="230"/>
      <c r="N545" s="230"/>
      <c r="O545" s="230"/>
      <c r="P545" s="230"/>
      <c r="Q545" s="230"/>
      <c r="R545" s="230"/>
      <c r="S545" s="230"/>
      <c r="T545" s="230"/>
      <c r="U545" s="230"/>
      <c r="V545" s="230"/>
      <c r="W545" s="230"/>
      <c r="X545" s="230"/>
      <c r="Y545" s="230"/>
      <c r="Z545" s="230"/>
    </row>
    <row r="546">
      <c r="A546" s="346"/>
      <c r="B546" s="347"/>
      <c r="C546" s="284"/>
      <c r="D546" s="284"/>
      <c r="E546" s="285"/>
      <c r="F546" s="230"/>
      <c r="G546" s="230"/>
      <c r="H546" s="230"/>
      <c r="I546" s="230"/>
      <c r="J546" s="339"/>
      <c r="K546" s="340"/>
      <c r="L546" s="340"/>
      <c r="M546" s="230"/>
      <c r="N546" s="230"/>
      <c r="O546" s="230"/>
      <c r="P546" s="230"/>
      <c r="Q546" s="230"/>
      <c r="R546" s="230"/>
      <c r="S546" s="230"/>
      <c r="T546" s="230"/>
      <c r="U546" s="230"/>
      <c r="V546" s="230"/>
      <c r="W546" s="230"/>
      <c r="X546" s="230"/>
      <c r="Y546" s="230"/>
      <c r="Z546" s="230"/>
    </row>
    <row r="547">
      <c r="A547" s="346"/>
      <c r="B547" s="347"/>
      <c r="C547" s="284"/>
      <c r="D547" s="284"/>
      <c r="E547" s="285"/>
      <c r="F547" s="230"/>
      <c r="G547" s="230"/>
      <c r="H547" s="230"/>
      <c r="I547" s="230"/>
      <c r="J547" s="339"/>
      <c r="K547" s="340"/>
      <c r="L547" s="340"/>
      <c r="M547" s="230"/>
      <c r="N547" s="230"/>
      <c r="O547" s="230"/>
      <c r="P547" s="230"/>
      <c r="Q547" s="230"/>
      <c r="R547" s="230"/>
      <c r="S547" s="230"/>
      <c r="T547" s="230"/>
      <c r="U547" s="230"/>
      <c r="V547" s="230"/>
      <c r="W547" s="230"/>
      <c r="X547" s="230"/>
      <c r="Y547" s="230"/>
      <c r="Z547" s="230"/>
    </row>
    <row r="548">
      <c r="A548" s="346"/>
      <c r="B548" s="347"/>
      <c r="C548" s="284"/>
      <c r="D548" s="284"/>
      <c r="E548" s="285"/>
      <c r="F548" s="230"/>
      <c r="G548" s="230"/>
      <c r="H548" s="230"/>
      <c r="I548" s="230"/>
      <c r="J548" s="339"/>
      <c r="K548" s="340"/>
      <c r="L548" s="340"/>
      <c r="M548" s="230"/>
      <c r="N548" s="230"/>
      <c r="O548" s="230"/>
      <c r="P548" s="230"/>
      <c r="Q548" s="230"/>
      <c r="R548" s="230"/>
      <c r="S548" s="230"/>
      <c r="T548" s="230"/>
      <c r="U548" s="230"/>
      <c r="V548" s="230"/>
      <c r="W548" s="230"/>
      <c r="X548" s="230"/>
      <c r="Y548" s="230"/>
      <c r="Z548" s="230"/>
    </row>
    <row r="549">
      <c r="A549" s="346"/>
      <c r="B549" s="347"/>
      <c r="C549" s="284"/>
      <c r="D549" s="284"/>
      <c r="E549" s="285"/>
      <c r="F549" s="230"/>
      <c r="G549" s="230"/>
      <c r="H549" s="230"/>
      <c r="I549" s="230"/>
      <c r="J549" s="339"/>
      <c r="K549" s="340"/>
      <c r="L549" s="340"/>
      <c r="M549" s="230"/>
      <c r="N549" s="230"/>
      <c r="O549" s="230"/>
      <c r="P549" s="230"/>
      <c r="Q549" s="230"/>
      <c r="R549" s="230"/>
      <c r="S549" s="230"/>
      <c r="T549" s="230"/>
      <c r="U549" s="230"/>
      <c r="V549" s="230"/>
      <c r="W549" s="230"/>
      <c r="X549" s="230"/>
      <c r="Y549" s="230"/>
      <c r="Z549" s="230"/>
    </row>
    <row r="550">
      <c r="A550" s="346"/>
      <c r="B550" s="347"/>
      <c r="C550" s="284"/>
      <c r="D550" s="284"/>
      <c r="E550" s="285"/>
      <c r="F550" s="230"/>
      <c r="G550" s="230"/>
      <c r="H550" s="230"/>
      <c r="I550" s="230"/>
      <c r="J550" s="339"/>
      <c r="K550" s="340"/>
      <c r="L550" s="340"/>
      <c r="M550" s="230"/>
      <c r="N550" s="230"/>
      <c r="O550" s="230"/>
      <c r="P550" s="230"/>
      <c r="Q550" s="230"/>
      <c r="R550" s="230"/>
      <c r="S550" s="230"/>
      <c r="T550" s="230"/>
      <c r="U550" s="230"/>
      <c r="V550" s="230"/>
      <c r="W550" s="230"/>
      <c r="X550" s="230"/>
      <c r="Y550" s="230"/>
      <c r="Z550" s="230"/>
    </row>
    <row r="551">
      <c r="A551" s="346"/>
      <c r="B551" s="347"/>
      <c r="C551" s="284"/>
      <c r="D551" s="284"/>
      <c r="E551" s="285"/>
      <c r="F551" s="230"/>
      <c r="G551" s="230"/>
      <c r="H551" s="230"/>
      <c r="I551" s="230"/>
      <c r="J551" s="339"/>
      <c r="K551" s="340"/>
      <c r="L551" s="340"/>
      <c r="M551" s="230"/>
      <c r="N551" s="230"/>
      <c r="O551" s="230"/>
      <c r="P551" s="230"/>
      <c r="Q551" s="230"/>
      <c r="R551" s="230"/>
      <c r="S551" s="230"/>
      <c r="T551" s="230"/>
      <c r="U551" s="230"/>
      <c r="V551" s="230"/>
      <c r="W551" s="230"/>
      <c r="X551" s="230"/>
      <c r="Y551" s="230"/>
      <c r="Z551" s="230"/>
    </row>
    <row r="552">
      <c r="A552" s="346"/>
      <c r="B552" s="347"/>
      <c r="C552" s="284"/>
      <c r="D552" s="284"/>
      <c r="E552" s="285"/>
      <c r="F552" s="230"/>
      <c r="G552" s="230"/>
      <c r="H552" s="230"/>
      <c r="I552" s="230"/>
      <c r="J552" s="339"/>
      <c r="K552" s="340"/>
      <c r="L552" s="340"/>
      <c r="M552" s="230"/>
      <c r="N552" s="230"/>
      <c r="O552" s="230"/>
      <c r="P552" s="230"/>
      <c r="Q552" s="230"/>
      <c r="R552" s="230"/>
      <c r="S552" s="230"/>
      <c r="T552" s="230"/>
      <c r="U552" s="230"/>
      <c r="V552" s="230"/>
      <c r="W552" s="230"/>
      <c r="X552" s="230"/>
      <c r="Y552" s="230"/>
      <c r="Z552" s="230"/>
    </row>
    <row r="553">
      <c r="A553" s="346"/>
      <c r="B553" s="347"/>
      <c r="C553" s="284"/>
      <c r="D553" s="284"/>
      <c r="E553" s="285"/>
      <c r="F553" s="230"/>
      <c r="G553" s="230"/>
      <c r="H553" s="230"/>
      <c r="I553" s="230"/>
      <c r="J553" s="339"/>
      <c r="K553" s="340"/>
      <c r="L553" s="340"/>
      <c r="M553" s="230"/>
      <c r="N553" s="230"/>
      <c r="O553" s="230"/>
      <c r="P553" s="230"/>
      <c r="Q553" s="230"/>
      <c r="R553" s="230"/>
      <c r="S553" s="230"/>
      <c r="T553" s="230"/>
      <c r="U553" s="230"/>
      <c r="V553" s="230"/>
      <c r="W553" s="230"/>
      <c r="X553" s="230"/>
      <c r="Y553" s="230"/>
      <c r="Z553" s="230"/>
    </row>
    <row r="554">
      <c r="A554" s="346"/>
      <c r="B554" s="347"/>
      <c r="C554" s="284"/>
      <c r="D554" s="284"/>
      <c r="E554" s="285"/>
      <c r="F554" s="230"/>
      <c r="G554" s="230"/>
      <c r="H554" s="230"/>
      <c r="I554" s="230"/>
      <c r="J554" s="339"/>
      <c r="K554" s="340"/>
      <c r="L554" s="340"/>
      <c r="M554" s="230"/>
      <c r="N554" s="230"/>
      <c r="O554" s="230"/>
      <c r="P554" s="230"/>
      <c r="Q554" s="230"/>
      <c r="R554" s="230"/>
      <c r="S554" s="230"/>
      <c r="T554" s="230"/>
      <c r="U554" s="230"/>
      <c r="V554" s="230"/>
      <c r="W554" s="230"/>
      <c r="X554" s="230"/>
      <c r="Y554" s="230"/>
      <c r="Z554" s="230"/>
    </row>
    <row r="555">
      <c r="A555" s="346"/>
      <c r="B555" s="347"/>
      <c r="C555" s="284"/>
      <c r="D555" s="284"/>
      <c r="E555" s="285"/>
      <c r="F555" s="230"/>
      <c r="G555" s="230"/>
      <c r="H555" s="230"/>
      <c r="I555" s="230"/>
      <c r="J555" s="339"/>
      <c r="K555" s="340"/>
      <c r="L555" s="340"/>
      <c r="M555" s="230"/>
      <c r="N555" s="230"/>
      <c r="O555" s="230"/>
      <c r="P555" s="230"/>
      <c r="Q555" s="230"/>
      <c r="R555" s="230"/>
      <c r="S555" s="230"/>
      <c r="T555" s="230"/>
      <c r="U555" s="230"/>
      <c r="V555" s="230"/>
      <c r="W555" s="230"/>
      <c r="X555" s="230"/>
      <c r="Y555" s="230"/>
      <c r="Z555" s="230"/>
    </row>
    <row r="556">
      <c r="A556" s="346"/>
      <c r="B556" s="347"/>
      <c r="C556" s="284"/>
      <c r="D556" s="284"/>
      <c r="E556" s="285"/>
      <c r="F556" s="230"/>
      <c r="G556" s="230"/>
      <c r="H556" s="230"/>
      <c r="I556" s="230"/>
      <c r="J556" s="339"/>
      <c r="K556" s="340"/>
      <c r="L556" s="340"/>
      <c r="M556" s="230"/>
      <c r="N556" s="230"/>
      <c r="O556" s="230"/>
      <c r="P556" s="230"/>
      <c r="Q556" s="230"/>
      <c r="R556" s="230"/>
      <c r="S556" s="230"/>
      <c r="T556" s="230"/>
      <c r="U556" s="230"/>
      <c r="V556" s="230"/>
      <c r="W556" s="230"/>
      <c r="X556" s="230"/>
      <c r="Y556" s="230"/>
      <c r="Z556" s="230"/>
    </row>
    <row r="557">
      <c r="A557" s="346"/>
      <c r="B557" s="347"/>
      <c r="C557" s="284"/>
      <c r="D557" s="284"/>
      <c r="E557" s="285"/>
      <c r="F557" s="230"/>
      <c r="G557" s="230"/>
      <c r="H557" s="230"/>
      <c r="I557" s="230"/>
      <c r="J557" s="339"/>
      <c r="K557" s="340"/>
      <c r="L557" s="340"/>
      <c r="M557" s="230"/>
      <c r="N557" s="230"/>
      <c r="O557" s="230"/>
      <c r="P557" s="230"/>
      <c r="Q557" s="230"/>
      <c r="R557" s="230"/>
      <c r="S557" s="230"/>
      <c r="T557" s="230"/>
      <c r="U557" s="230"/>
      <c r="V557" s="230"/>
      <c r="W557" s="230"/>
      <c r="X557" s="230"/>
      <c r="Y557" s="230"/>
      <c r="Z557" s="230"/>
    </row>
    <row r="558">
      <c r="A558" s="346"/>
      <c r="B558" s="347"/>
      <c r="C558" s="284"/>
      <c r="D558" s="284"/>
      <c r="E558" s="285"/>
      <c r="F558" s="230"/>
      <c r="G558" s="230"/>
      <c r="H558" s="230"/>
      <c r="I558" s="230"/>
      <c r="J558" s="339"/>
      <c r="K558" s="340"/>
      <c r="L558" s="340"/>
      <c r="M558" s="230"/>
      <c r="N558" s="230"/>
      <c r="O558" s="230"/>
      <c r="P558" s="230"/>
      <c r="Q558" s="230"/>
      <c r="R558" s="230"/>
      <c r="S558" s="230"/>
      <c r="T558" s="230"/>
      <c r="U558" s="230"/>
      <c r="V558" s="230"/>
      <c r="W558" s="230"/>
      <c r="X558" s="230"/>
      <c r="Y558" s="230"/>
      <c r="Z558" s="230"/>
    </row>
    <row r="559">
      <c r="A559" s="346"/>
      <c r="B559" s="347"/>
      <c r="C559" s="284"/>
      <c r="D559" s="284"/>
      <c r="E559" s="285"/>
      <c r="F559" s="230"/>
      <c r="G559" s="230"/>
      <c r="H559" s="230"/>
      <c r="I559" s="230"/>
      <c r="J559" s="339"/>
      <c r="K559" s="340"/>
      <c r="L559" s="340"/>
      <c r="M559" s="230"/>
      <c r="N559" s="230"/>
      <c r="O559" s="230"/>
      <c r="P559" s="230"/>
      <c r="Q559" s="230"/>
      <c r="R559" s="230"/>
      <c r="S559" s="230"/>
      <c r="T559" s="230"/>
      <c r="U559" s="230"/>
      <c r="V559" s="230"/>
      <c r="W559" s="230"/>
      <c r="X559" s="230"/>
      <c r="Y559" s="230"/>
      <c r="Z559" s="230"/>
    </row>
    <row r="560">
      <c r="A560" s="346"/>
      <c r="B560" s="347"/>
      <c r="C560" s="284"/>
      <c r="D560" s="284"/>
      <c r="E560" s="285"/>
      <c r="F560" s="230"/>
      <c r="G560" s="230"/>
      <c r="H560" s="230"/>
      <c r="I560" s="230"/>
      <c r="J560" s="339"/>
      <c r="K560" s="340"/>
      <c r="L560" s="340"/>
      <c r="M560" s="230"/>
      <c r="N560" s="230"/>
      <c r="O560" s="230"/>
      <c r="P560" s="230"/>
      <c r="Q560" s="230"/>
      <c r="R560" s="230"/>
      <c r="S560" s="230"/>
      <c r="T560" s="230"/>
      <c r="U560" s="230"/>
      <c r="V560" s="230"/>
      <c r="W560" s="230"/>
      <c r="X560" s="230"/>
      <c r="Y560" s="230"/>
      <c r="Z560" s="230"/>
    </row>
    <row r="561">
      <c r="A561" s="346"/>
      <c r="B561" s="347"/>
      <c r="C561" s="284"/>
      <c r="D561" s="284"/>
      <c r="E561" s="285"/>
      <c r="F561" s="230"/>
      <c r="G561" s="230"/>
      <c r="H561" s="230"/>
      <c r="I561" s="230"/>
      <c r="J561" s="339"/>
      <c r="K561" s="340"/>
      <c r="L561" s="340"/>
      <c r="M561" s="230"/>
      <c r="N561" s="230"/>
      <c r="O561" s="230"/>
      <c r="P561" s="230"/>
      <c r="Q561" s="230"/>
      <c r="R561" s="230"/>
      <c r="S561" s="230"/>
      <c r="T561" s="230"/>
      <c r="U561" s="230"/>
      <c r="V561" s="230"/>
      <c r="W561" s="230"/>
      <c r="X561" s="230"/>
      <c r="Y561" s="230"/>
      <c r="Z561" s="230"/>
    </row>
    <row r="562">
      <c r="A562" s="346"/>
      <c r="B562" s="347"/>
      <c r="C562" s="284"/>
      <c r="D562" s="284"/>
      <c r="E562" s="285"/>
      <c r="F562" s="230"/>
      <c r="G562" s="230"/>
      <c r="H562" s="230"/>
      <c r="I562" s="230"/>
      <c r="J562" s="339"/>
      <c r="K562" s="340"/>
      <c r="L562" s="340"/>
      <c r="M562" s="230"/>
      <c r="N562" s="230"/>
      <c r="O562" s="230"/>
      <c r="P562" s="230"/>
      <c r="Q562" s="230"/>
      <c r="R562" s="230"/>
      <c r="S562" s="230"/>
      <c r="T562" s="230"/>
      <c r="U562" s="230"/>
      <c r="V562" s="230"/>
      <c r="W562" s="230"/>
      <c r="X562" s="230"/>
      <c r="Y562" s="230"/>
      <c r="Z562" s="230"/>
    </row>
    <row r="563">
      <c r="A563" s="346"/>
      <c r="B563" s="347"/>
      <c r="C563" s="284"/>
      <c r="D563" s="284"/>
      <c r="E563" s="285"/>
      <c r="F563" s="230"/>
      <c r="G563" s="230"/>
      <c r="H563" s="230"/>
      <c r="I563" s="230"/>
      <c r="J563" s="339"/>
      <c r="K563" s="340"/>
      <c r="L563" s="340"/>
      <c r="M563" s="230"/>
      <c r="N563" s="230"/>
      <c r="O563" s="230"/>
      <c r="P563" s="230"/>
      <c r="Q563" s="230"/>
      <c r="R563" s="230"/>
      <c r="S563" s="230"/>
      <c r="T563" s="230"/>
      <c r="U563" s="230"/>
      <c r="V563" s="230"/>
      <c r="W563" s="230"/>
      <c r="X563" s="230"/>
      <c r="Y563" s="230"/>
      <c r="Z563" s="230"/>
    </row>
    <row r="564">
      <c r="A564" s="346"/>
      <c r="B564" s="347"/>
      <c r="C564" s="284"/>
      <c r="D564" s="284"/>
      <c r="E564" s="285"/>
      <c r="F564" s="230"/>
      <c r="G564" s="230"/>
      <c r="H564" s="230"/>
      <c r="I564" s="230"/>
      <c r="J564" s="339"/>
      <c r="K564" s="340"/>
      <c r="L564" s="340"/>
      <c r="M564" s="230"/>
      <c r="N564" s="230"/>
      <c r="O564" s="230"/>
      <c r="P564" s="230"/>
      <c r="Q564" s="230"/>
      <c r="R564" s="230"/>
      <c r="S564" s="230"/>
      <c r="T564" s="230"/>
      <c r="U564" s="230"/>
      <c r="V564" s="230"/>
      <c r="W564" s="230"/>
      <c r="X564" s="230"/>
      <c r="Y564" s="230"/>
      <c r="Z564" s="230"/>
    </row>
    <row r="565">
      <c r="A565" s="346"/>
      <c r="B565" s="347"/>
      <c r="C565" s="284"/>
      <c r="D565" s="284"/>
      <c r="E565" s="285"/>
      <c r="F565" s="230"/>
      <c r="G565" s="230"/>
      <c r="H565" s="230"/>
      <c r="I565" s="230"/>
      <c r="J565" s="339"/>
      <c r="K565" s="340"/>
      <c r="L565" s="340"/>
      <c r="M565" s="230"/>
      <c r="N565" s="230"/>
      <c r="O565" s="230"/>
      <c r="P565" s="230"/>
      <c r="Q565" s="230"/>
      <c r="R565" s="230"/>
      <c r="S565" s="230"/>
      <c r="T565" s="230"/>
      <c r="U565" s="230"/>
      <c r="V565" s="230"/>
      <c r="W565" s="230"/>
      <c r="X565" s="230"/>
      <c r="Y565" s="230"/>
      <c r="Z565" s="230"/>
    </row>
    <row r="566">
      <c r="A566" s="346"/>
      <c r="B566" s="347"/>
      <c r="C566" s="284"/>
      <c r="D566" s="284"/>
      <c r="E566" s="285"/>
      <c r="F566" s="230"/>
      <c r="G566" s="230"/>
      <c r="H566" s="230"/>
      <c r="I566" s="230"/>
      <c r="J566" s="339"/>
      <c r="K566" s="340"/>
      <c r="L566" s="340"/>
      <c r="M566" s="230"/>
      <c r="N566" s="230"/>
      <c r="O566" s="230"/>
      <c r="P566" s="230"/>
      <c r="Q566" s="230"/>
      <c r="R566" s="230"/>
      <c r="S566" s="230"/>
      <c r="T566" s="230"/>
      <c r="U566" s="230"/>
      <c r="V566" s="230"/>
      <c r="W566" s="230"/>
      <c r="X566" s="230"/>
      <c r="Y566" s="230"/>
      <c r="Z566" s="230"/>
    </row>
    <row r="567">
      <c r="A567" s="346"/>
      <c r="B567" s="347"/>
      <c r="C567" s="284"/>
      <c r="D567" s="284"/>
      <c r="E567" s="285"/>
      <c r="F567" s="230"/>
      <c r="G567" s="230"/>
      <c r="H567" s="230"/>
      <c r="I567" s="230"/>
      <c r="J567" s="339"/>
      <c r="K567" s="340"/>
      <c r="L567" s="340"/>
      <c r="M567" s="230"/>
      <c r="N567" s="230"/>
      <c r="O567" s="230"/>
      <c r="P567" s="230"/>
      <c r="Q567" s="230"/>
      <c r="R567" s="230"/>
      <c r="S567" s="230"/>
      <c r="T567" s="230"/>
      <c r="U567" s="230"/>
      <c r="V567" s="230"/>
      <c r="W567" s="230"/>
      <c r="X567" s="230"/>
      <c r="Y567" s="230"/>
      <c r="Z567" s="230"/>
    </row>
    <row r="568">
      <c r="A568" s="346"/>
      <c r="B568" s="347"/>
      <c r="C568" s="284"/>
      <c r="D568" s="284"/>
      <c r="E568" s="285"/>
      <c r="F568" s="230"/>
      <c r="G568" s="230"/>
      <c r="H568" s="230"/>
      <c r="I568" s="230"/>
      <c r="J568" s="339"/>
      <c r="K568" s="340"/>
      <c r="L568" s="340"/>
      <c r="M568" s="230"/>
      <c r="N568" s="230"/>
      <c r="O568" s="230"/>
      <c r="P568" s="230"/>
      <c r="Q568" s="230"/>
      <c r="R568" s="230"/>
      <c r="S568" s="230"/>
      <c r="T568" s="230"/>
      <c r="U568" s="230"/>
      <c r="V568" s="230"/>
      <c r="W568" s="230"/>
      <c r="X568" s="230"/>
      <c r="Y568" s="230"/>
      <c r="Z568" s="230"/>
    </row>
    <row r="569">
      <c r="A569" s="346"/>
      <c r="B569" s="347"/>
      <c r="C569" s="284"/>
      <c r="D569" s="284"/>
      <c r="E569" s="285"/>
      <c r="F569" s="230"/>
      <c r="G569" s="230"/>
      <c r="H569" s="230"/>
      <c r="I569" s="230"/>
      <c r="J569" s="339"/>
      <c r="K569" s="340"/>
      <c r="L569" s="340"/>
      <c r="M569" s="230"/>
      <c r="N569" s="230"/>
      <c r="O569" s="230"/>
      <c r="P569" s="230"/>
      <c r="Q569" s="230"/>
      <c r="R569" s="230"/>
      <c r="S569" s="230"/>
      <c r="T569" s="230"/>
      <c r="U569" s="230"/>
      <c r="V569" s="230"/>
      <c r="W569" s="230"/>
      <c r="X569" s="230"/>
      <c r="Y569" s="230"/>
      <c r="Z569" s="230"/>
    </row>
    <row r="570">
      <c r="A570" s="346"/>
      <c r="B570" s="347"/>
      <c r="C570" s="284"/>
      <c r="D570" s="284"/>
      <c r="E570" s="285"/>
      <c r="F570" s="230"/>
      <c r="G570" s="230"/>
      <c r="H570" s="230"/>
      <c r="I570" s="230"/>
      <c r="J570" s="339"/>
      <c r="K570" s="340"/>
      <c r="L570" s="340"/>
      <c r="M570" s="230"/>
      <c r="N570" s="230"/>
      <c r="O570" s="230"/>
      <c r="P570" s="230"/>
      <c r="Q570" s="230"/>
      <c r="R570" s="230"/>
      <c r="S570" s="230"/>
      <c r="T570" s="230"/>
      <c r="U570" s="230"/>
      <c r="V570" s="230"/>
      <c r="W570" s="230"/>
      <c r="X570" s="230"/>
      <c r="Y570" s="230"/>
      <c r="Z570" s="230"/>
    </row>
    <row r="571">
      <c r="A571" s="346"/>
      <c r="B571" s="347"/>
      <c r="C571" s="284"/>
      <c r="D571" s="284"/>
      <c r="E571" s="285"/>
      <c r="F571" s="230"/>
      <c r="G571" s="230"/>
      <c r="H571" s="230"/>
      <c r="I571" s="230"/>
      <c r="J571" s="339"/>
      <c r="K571" s="340"/>
      <c r="L571" s="340"/>
      <c r="M571" s="230"/>
      <c r="N571" s="230"/>
      <c r="O571" s="230"/>
      <c r="P571" s="230"/>
      <c r="Q571" s="230"/>
      <c r="R571" s="230"/>
      <c r="S571" s="230"/>
      <c r="T571" s="230"/>
      <c r="U571" s="230"/>
      <c r="V571" s="230"/>
      <c r="W571" s="230"/>
      <c r="X571" s="230"/>
      <c r="Y571" s="230"/>
      <c r="Z571" s="230"/>
    </row>
    <row r="572">
      <c r="A572" s="346"/>
      <c r="B572" s="347"/>
      <c r="C572" s="284"/>
      <c r="D572" s="284"/>
      <c r="E572" s="285"/>
      <c r="F572" s="230"/>
      <c r="G572" s="230"/>
      <c r="H572" s="230"/>
      <c r="I572" s="230"/>
      <c r="J572" s="339"/>
      <c r="K572" s="340"/>
      <c r="L572" s="340"/>
      <c r="M572" s="230"/>
      <c r="N572" s="230"/>
      <c r="O572" s="230"/>
      <c r="P572" s="230"/>
      <c r="Q572" s="230"/>
      <c r="R572" s="230"/>
      <c r="S572" s="230"/>
      <c r="T572" s="230"/>
      <c r="U572" s="230"/>
      <c r="V572" s="230"/>
      <c r="W572" s="230"/>
      <c r="X572" s="230"/>
      <c r="Y572" s="230"/>
      <c r="Z572" s="230"/>
    </row>
    <row r="573">
      <c r="A573" s="346"/>
      <c r="B573" s="347"/>
      <c r="C573" s="284"/>
      <c r="D573" s="284"/>
      <c r="E573" s="285"/>
      <c r="F573" s="230"/>
      <c r="G573" s="230"/>
      <c r="H573" s="230"/>
      <c r="I573" s="230"/>
      <c r="J573" s="339"/>
      <c r="K573" s="340"/>
      <c r="L573" s="340"/>
      <c r="M573" s="230"/>
      <c r="N573" s="230"/>
      <c r="O573" s="230"/>
      <c r="P573" s="230"/>
      <c r="Q573" s="230"/>
      <c r="R573" s="230"/>
      <c r="S573" s="230"/>
      <c r="T573" s="230"/>
      <c r="U573" s="230"/>
      <c r="V573" s="230"/>
      <c r="W573" s="230"/>
      <c r="X573" s="230"/>
      <c r="Y573" s="230"/>
      <c r="Z573" s="230"/>
    </row>
    <row r="574">
      <c r="A574" s="346"/>
      <c r="B574" s="347"/>
      <c r="C574" s="284"/>
      <c r="D574" s="284"/>
      <c r="E574" s="285"/>
      <c r="F574" s="230"/>
      <c r="G574" s="230"/>
      <c r="H574" s="230"/>
      <c r="I574" s="230"/>
      <c r="J574" s="339"/>
      <c r="K574" s="340"/>
      <c r="L574" s="340"/>
      <c r="M574" s="230"/>
      <c r="N574" s="230"/>
      <c r="O574" s="230"/>
      <c r="P574" s="230"/>
      <c r="Q574" s="230"/>
      <c r="R574" s="230"/>
      <c r="S574" s="230"/>
      <c r="T574" s="230"/>
      <c r="U574" s="230"/>
      <c r="V574" s="230"/>
      <c r="W574" s="230"/>
      <c r="X574" s="230"/>
      <c r="Y574" s="230"/>
      <c r="Z574" s="230"/>
    </row>
    <row r="575">
      <c r="A575" s="346"/>
      <c r="B575" s="347"/>
      <c r="C575" s="284"/>
      <c r="D575" s="284"/>
      <c r="E575" s="285"/>
      <c r="F575" s="230"/>
      <c r="G575" s="230"/>
      <c r="H575" s="230"/>
      <c r="I575" s="230"/>
      <c r="J575" s="339"/>
      <c r="K575" s="340"/>
      <c r="L575" s="340"/>
      <c r="M575" s="230"/>
      <c r="N575" s="230"/>
      <c r="O575" s="230"/>
      <c r="P575" s="230"/>
      <c r="Q575" s="230"/>
      <c r="R575" s="230"/>
      <c r="S575" s="230"/>
      <c r="T575" s="230"/>
      <c r="U575" s="230"/>
      <c r="V575" s="230"/>
      <c r="W575" s="230"/>
      <c r="X575" s="230"/>
      <c r="Y575" s="230"/>
      <c r="Z575" s="230"/>
    </row>
    <row r="576">
      <c r="A576" s="346"/>
      <c r="B576" s="347"/>
      <c r="C576" s="284"/>
      <c r="D576" s="284"/>
      <c r="E576" s="285"/>
      <c r="F576" s="230"/>
      <c r="G576" s="230"/>
      <c r="H576" s="230"/>
      <c r="I576" s="230"/>
      <c r="J576" s="339"/>
      <c r="K576" s="340"/>
      <c r="L576" s="340"/>
      <c r="M576" s="230"/>
      <c r="N576" s="230"/>
      <c r="O576" s="230"/>
      <c r="P576" s="230"/>
      <c r="Q576" s="230"/>
      <c r="R576" s="230"/>
      <c r="S576" s="230"/>
      <c r="T576" s="230"/>
      <c r="U576" s="230"/>
      <c r="V576" s="230"/>
      <c r="W576" s="230"/>
      <c r="X576" s="230"/>
      <c r="Y576" s="230"/>
      <c r="Z576" s="230"/>
    </row>
    <row r="577">
      <c r="A577" s="346"/>
      <c r="B577" s="347"/>
      <c r="C577" s="284"/>
      <c r="D577" s="284"/>
      <c r="E577" s="285"/>
      <c r="F577" s="230"/>
      <c r="G577" s="230"/>
      <c r="H577" s="230"/>
      <c r="I577" s="230"/>
      <c r="J577" s="339"/>
      <c r="K577" s="340"/>
      <c r="L577" s="340"/>
      <c r="M577" s="230"/>
      <c r="N577" s="230"/>
      <c r="O577" s="230"/>
      <c r="P577" s="230"/>
      <c r="Q577" s="230"/>
      <c r="R577" s="230"/>
      <c r="S577" s="230"/>
      <c r="T577" s="230"/>
      <c r="U577" s="230"/>
      <c r="V577" s="230"/>
      <c r="W577" s="230"/>
      <c r="X577" s="230"/>
      <c r="Y577" s="230"/>
      <c r="Z577" s="230"/>
    </row>
    <row r="578">
      <c r="A578" s="346"/>
      <c r="B578" s="347"/>
      <c r="C578" s="284"/>
      <c r="D578" s="284"/>
      <c r="E578" s="285"/>
      <c r="F578" s="230"/>
      <c r="G578" s="230"/>
      <c r="H578" s="230"/>
      <c r="I578" s="230"/>
      <c r="J578" s="339"/>
      <c r="K578" s="340"/>
      <c r="L578" s="340"/>
      <c r="M578" s="230"/>
      <c r="N578" s="230"/>
      <c r="O578" s="230"/>
      <c r="P578" s="230"/>
      <c r="Q578" s="230"/>
      <c r="R578" s="230"/>
      <c r="S578" s="230"/>
      <c r="T578" s="230"/>
      <c r="U578" s="230"/>
      <c r="V578" s="230"/>
      <c r="W578" s="230"/>
      <c r="X578" s="230"/>
      <c r="Y578" s="230"/>
      <c r="Z578" s="230"/>
    </row>
    <row r="579">
      <c r="A579" s="346"/>
      <c r="B579" s="347"/>
      <c r="C579" s="284"/>
      <c r="D579" s="284"/>
      <c r="E579" s="285"/>
      <c r="F579" s="230"/>
      <c r="G579" s="230"/>
      <c r="H579" s="230"/>
      <c r="I579" s="230"/>
      <c r="J579" s="339"/>
      <c r="K579" s="340"/>
      <c r="L579" s="340"/>
      <c r="M579" s="230"/>
      <c r="N579" s="230"/>
      <c r="O579" s="230"/>
      <c r="P579" s="230"/>
      <c r="Q579" s="230"/>
      <c r="R579" s="230"/>
      <c r="S579" s="230"/>
      <c r="T579" s="230"/>
      <c r="U579" s="230"/>
      <c r="V579" s="230"/>
      <c r="W579" s="230"/>
      <c r="X579" s="230"/>
      <c r="Y579" s="230"/>
      <c r="Z579" s="230"/>
    </row>
    <row r="580">
      <c r="A580" s="346"/>
      <c r="B580" s="347"/>
      <c r="C580" s="284"/>
      <c r="D580" s="284"/>
      <c r="E580" s="285"/>
      <c r="F580" s="230"/>
      <c r="G580" s="230"/>
      <c r="H580" s="230"/>
      <c r="I580" s="230"/>
      <c r="J580" s="339"/>
      <c r="K580" s="340"/>
      <c r="L580" s="340"/>
      <c r="M580" s="230"/>
      <c r="N580" s="230"/>
      <c r="O580" s="230"/>
      <c r="P580" s="230"/>
      <c r="Q580" s="230"/>
      <c r="R580" s="230"/>
      <c r="S580" s="230"/>
      <c r="T580" s="230"/>
      <c r="U580" s="230"/>
      <c r="V580" s="230"/>
      <c r="W580" s="230"/>
      <c r="X580" s="230"/>
      <c r="Y580" s="230"/>
      <c r="Z580" s="230"/>
    </row>
    <row r="581">
      <c r="A581" s="346"/>
      <c r="B581" s="347"/>
      <c r="C581" s="284"/>
      <c r="D581" s="284"/>
      <c r="E581" s="285"/>
      <c r="F581" s="230"/>
      <c r="G581" s="230"/>
      <c r="H581" s="230"/>
      <c r="I581" s="230"/>
      <c r="J581" s="339"/>
      <c r="K581" s="340"/>
      <c r="L581" s="340"/>
      <c r="M581" s="230"/>
      <c r="N581" s="230"/>
      <c r="O581" s="230"/>
      <c r="P581" s="230"/>
      <c r="Q581" s="230"/>
      <c r="R581" s="230"/>
      <c r="S581" s="230"/>
      <c r="T581" s="230"/>
      <c r="U581" s="230"/>
      <c r="V581" s="230"/>
      <c r="W581" s="230"/>
      <c r="X581" s="230"/>
      <c r="Y581" s="230"/>
      <c r="Z581" s="230"/>
    </row>
    <row r="582">
      <c r="A582" s="346"/>
      <c r="B582" s="347"/>
      <c r="C582" s="284"/>
      <c r="D582" s="284"/>
      <c r="E582" s="285"/>
      <c r="F582" s="230"/>
      <c r="G582" s="230"/>
      <c r="H582" s="230"/>
      <c r="I582" s="230"/>
      <c r="J582" s="339"/>
      <c r="K582" s="340"/>
      <c r="L582" s="340"/>
      <c r="M582" s="230"/>
      <c r="N582" s="230"/>
      <c r="O582" s="230"/>
      <c r="P582" s="230"/>
      <c r="Q582" s="230"/>
      <c r="R582" s="230"/>
      <c r="S582" s="230"/>
      <c r="T582" s="230"/>
      <c r="U582" s="230"/>
      <c r="V582" s="230"/>
      <c r="W582" s="230"/>
      <c r="X582" s="230"/>
      <c r="Y582" s="230"/>
      <c r="Z582" s="230"/>
    </row>
    <row r="583">
      <c r="A583" s="346"/>
      <c r="B583" s="347"/>
      <c r="C583" s="284"/>
      <c r="D583" s="284"/>
      <c r="E583" s="285"/>
      <c r="F583" s="230"/>
      <c r="G583" s="230"/>
      <c r="H583" s="230"/>
      <c r="I583" s="230"/>
      <c r="J583" s="339"/>
      <c r="K583" s="340"/>
      <c r="L583" s="340"/>
      <c r="M583" s="230"/>
      <c r="N583" s="230"/>
      <c r="O583" s="230"/>
      <c r="P583" s="230"/>
      <c r="Q583" s="230"/>
      <c r="R583" s="230"/>
      <c r="S583" s="230"/>
      <c r="T583" s="230"/>
      <c r="U583" s="230"/>
      <c r="V583" s="230"/>
      <c r="W583" s="230"/>
      <c r="X583" s="230"/>
      <c r="Y583" s="230"/>
      <c r="Z583" s="230"/>
    </row>
    <row r="584">
      <c r="A584" s="346"/>
      <c r="B584" s="347"/>
      <c r="C584" s="284"/>
      <c r="D584" s="284"/>
      <c r="E584" s="285"/>
      <c r="F584" s="230"/>
      <c r="G584" s="230"/>
      <c r="H584" s="230"/>
      <c r="I584" s="230"/>
      <c r="J584" s="339"/>
      <c r="K584" s="340"/>
      <c r="L584" s="340"/>
      <c r="M584" s="230"/>
      <c r="N584" s="230"/>
      <c r="O584" s="230"/>
      <c r="P584" s="230"/>
      <c r="Q584" s="230"/>
      <c r="R584" s="230"/>
      <c r="S584" s="230"/>
      <c r="T584" s="230"/>
      <c r="U584" s="230"/>
      <c r="V584" s="230"/>
      <c r="W584" s="230"/>
      <c r="X584" s="230"/>
      <c r="Y584" s="230"/>
      <c r="Z584" s="230"/>
    </row>
    <row r="585">
      <c r="A585" s="346"/>
      <c r="B585" s="347"/>
      <c r="C585" s="284"/>
      <c r="D585" s="284"/>
      <c r="E585" s="285"/>
      <c r="F585" s="230"/>
      <c r="G585" s="230"/>
      <c r="H585" s="230"/>
      <c r="I585" s="230"/>
      <c r="J585" s="339"/>
      <c r="K585" s="340"/>
      <c r="L585" s="340"/>
      <c r="M585" s="230"/>
      <c r="N585" s="230"/>
      <c r="O585" s="230"/>
      <c r="P585" s="230"/>
      <c r="Q585" s="230"/>
      <c r="R585" s="230"/>
      <c r="S585" s="230"/>
      <c r="T585" s="230"/>
      <c r="U585" s="230"/>
      <c r="V585" s="230"/>
      <c r="W585" s="230"/>
      <c r="X585" s="230"/>
      <c r="Y585" s="230"/>
      <c r="Z585" s="230"/>
    </row>
    <row r="586">
      <c r="A586" s="346"/>
      <c r="B586" s="347"/>
      <c r="C586" s="284"/>
      <c r="D586" s="284"/>
      <c r="E586" s="285"/>
      <c r="F586" s="230"/>
      <c r="G586" s="230"/>
      <c r="H586" s="230"/>
      <c r="I586" s="230"/>
      <c r="J586" s="339"/>
      <c r="K586" s="340"/>
      <c r="L586" s="340"/>
      <c r="M586" s="230"/>
      <c r="N586" s="230"/>
      <c r="O586" s="230"/>
      <c r="P586" s="230"/>
      <c r="Q586" s="230"/>
      <c r="R586" s="230"/>
      <c r="S586" s="230"/>
      <c r="T586" s="230"/>
      <c r="U586" s="230"/>
      <c r="V586" s="230"/>
      <c r="W586" s="230"/>
      <c r="X586" s="230"/>
      <c r="Y586" s="230"/>
      <c r="Z586" s="230"/>
    </row>
    <row r="587">
      <c r="A587" s="346"/>
      <c r="B587" s="347"/>
      <c r="C587" s="284"/>
      <c r="D587" s="284"/>
      <c r="E587" s="285"/>
      <c r="F587" s="230"/>
      <c r="G587" s="230"/>
      <c r="H587" s="230"/>
      <c r="I587" s="230"/>
      <c r="J587" s="339"/>
      <c r="K587" s="340"/>
      <c r="L587" s="340"/>
      <c r="M587" s="230"/>
      <c r="N587" s="230"/>
      <c r="O587" s="230"/>
      <c r="P587" s="230"/>
      <c r="Q587" s="230"/>
      <c r="R587" s="230"/>
      <c r="S587" s="230"/>
      <c r="T587" s="230"/>
      <c r="U587" s="230"/>
      <c r="V587" s="230"/>
      <c r="W587" s="230"/>
      <c r="X587" s="230"/>
      <c r="Y587" s="230"/>
      <c r="Z587" s="230"/>
    </row>
    <row r="588">
      <c r="A588" s="346"/>
      <c r="B588" s="347"/>
      <c r="C588" s="284"/>
      <c r="D588" s="284"/>
      <c r="E588" s="285"/>
      <c r="F588" s="230"/>
      <c r="G588" s="230"/>
      <c r="H588" s="230"/>
      <c r="I588" s="230"/>
      <c r="J588" s="339"/>
      <c r="K588" s="340"/>
      <c r="L588" s="340"/>
      <c r="M588" s="230"/>
      <c r="N588" s="230"/>
      <c r="O588" s="230"/>
      <c r="P588" s="230"/>
      <c r="Q588" s="230"/>
      <c r="R588" s="230"/>
      <c r="S588" s="230"/>
      <c r="T588" s="230"/>
      <c r="U588" s="230"/>
      <c r="V588" s="230"/>
      <c r="W588" s="230"/>
      <c r="X588" s="230"/>
      <c r="Y588" s="230"/>
      <c r="Z588" s="230"/>
    </row>
    <row r="589">
      <c r="A589" s="346"/>
      <c r="B589" s="347"/>
      <c r="C589" s="284"/>
      <c r="D589" s="284"/>
      <c r="E589" s="285"/>
      <c r="F589" s="230"/>
      <c r="G589" s="230"/>
      <c r="H589" s="230"/>
      <c r="I589" s="230"/>
      <c r="J589" s="339"/>
      <c r="K589" s="340"/>
      <c r="L589" s="340"/>
      <c r="M589" s="230"/>
      <c r="N589" s="230"/>
      <c r="O589" s="230"/>
      <c r="P589" s="230"/>
      <c r="Q589" s="230"/>
      <c r="R589" s="230"/>
      <c r="S589" s="230"/>
      <c r="T589" s="230"/>
      <c r="U589" s="230"/>
      <c r="V589" s="230"/>
      <c r="W589" s="230"/>
      <c r="X589" s="230"/>
      <c r="Y589" s="230"/>
      <c r="Z589" s="230"/>
    </row>
    <row r="590">
      <c r="A590" s="346"/>
      <c r="B590" s="347"/>
      <c r="C590" s="284"/>
      <c r="D590" s="284"/>
      <c r="E590" s="285"/>
      <c r="F590" s="230"/>
      <c r="G590" s="230"/>
      <c r="H590" s="230"/>
      <c r="I590" s="230"/>
      <c r="J590" s="339"/>
      <c r="K590" s="340"/>
      <c r="L590" s="340"/>
      <c r="M590" s="230"/>
      <c r="N590" s="230"/>
      <c r="O590" s="230"/>
      <c r="P590" s="230"/>
      <c r="Q590" s="230"/>
      <c r="R590" s="230"/>
      <c r="S590" s="230"/>
      <c r="T590" s="230"/>
      <c r="U590" s="230"/>
      <c r="V590" s="230"/>
      <c r="W590" s="230"/>
      <c r="X590" s="230"/>
      <c r="Y590" s="230"/>
      <c r="Z590" s="230"/>
    </row>
    <row r="591">
      <c r="A591" s="346"/>
      <c r="B591" s="347"/>
      <c r="C591" s="284"/>
      <c r="D591" s="284"/>
      <c r="E591" s="285"/>
      <c r="F591" s="230"/>
      <c r="G591" s="230"/>
      <c r="H591" s="230"/>
      <c r="I591" s="230"/>
      <c r="J591" s="339"/>
      <c r="K591" s="340"/>
      <c r="L591" s="340"/>
      <c r="M591" s="230"/>
      <c r="N591" s="230"/>
      <c r="O591" s="230"/>
      <c r="P591" s="230"/>
      <c r="Q591" s="230"/>
      <c r="R591" s="230"/>
      <c r="S591" s="230"/>
      <c r="T591" s="230"/>
      <c r="U591" s="230"/>
      <c r="V591" s="230"/>
      <c r="W591" s="230"/>
      <c r="X591" s="230"/>
      <c r="Y591" s="230"/>
      <c r="Z591" s="230"/>
    </row>
    <row r="592">
      <c r="A592" s="346"/>
      <c r="B592" s="347"/>
      <c r="C592" s="284"/>
      <c r="D592" s="284"/>
      <c r="E592" s="285"/>
      <c r="F592" s="230"/>
      <c r="G592" s="230"/>
      <c r="H592" s="230"/>
      <c r="I592" s="230"/>
      <c r="J592" s="339"/>
      <c r="K592" s="340"/>
      <c r="L592" s="340"/>
      <c r="M592" s="230"/>
      <c r="N592" s="230"/>
      <c r="O592" s="230"/>
      <c r="P592" s="230"/>
      <c r="Q592" s="230"/>
      <c r="R592" s="230"/>
      <c r="S592" s="230"/>
      <c r="T592" s="230"/>
      <c r="U592" s="230"/>
      <c r="V592" s="230"/>
      <c r="W592" s="230"/>
      <c r="X592" s="230"/>
      <c r="Y592" s="230"/>
      <c r="Z592" s="230"/>
    </row>
    <row r="593">
      <c r="A593" s="346"/>
      <c r="B593" s="347"/>
      <c r="C593" s="284"/>
      <c r="D593" s="284"/>
      <c r="E593" s="285"/>
      <c r="F593" s="230"/>
      <c r="G593" s="230"/>
      <c r="H593" s="230"/>
      <c r="I593" s="230"/>
      <c r="J593" s="339"/>
      <c r="K593" s="340"/>
      <c r="L593" s="340"/>
      <c r="M593" s="230"/>
      <c r="N593" s="230"/>
      <c r="O593" s="230"/>
      <c r="P593" s="230"/>
      <c r="Q593" s="230"/>
      <c r="R593" s="230"/>
      <c r="S593" s="230"/>
      <c r="T593" s="230"/>
      <c r="U593" s="230"/>
      <c r="V593" s="230"/>
      <c r="W593" s="230"/>
      <c r="X593" s="230"/>
      <c r="Y593" s="230"/>
      <c r="Z593" s="230"/>
    </row>
    <row r="594">
      <c r="A594" s="346"/>
      <c r="B594" s="347"/>
      <c r="C594" s="284"/>
      <c r="D594" s="284"/>
      <c r="E594" s="285"/>
      <c r="F594" s="230"/>
      <c r="G594" s="230"/>
      <c r="H594" s="230"/>
      <c r="I594" s="230"/>
      <c r="J594" s="339"/>
      <c r="K594" s="340"/>
      <c r="L594" s="340"/>
      <c r="M594" s="230"/>
      <c r="N594" s="230"/>
      <c r="O594" s="230"/>
      <c r="P594" s="230"/>
      <c r="Q594" s="230"/>
      <c r="R594" s="230"/>
      <c r="S594" s="230"/>
      <c r="T594" s="230"/>
      <c r="U594" s="230"/>
      <c r="V594" s="230"/>
      <c r="W594" s="230"/>
      <c r="X594" s="230"/>
      <c r="Y594" s="230"/>
      <c r="Z594" s="230"/>
    </row>
    <row r="595">
      <c r="A595" s="346"/>
      <c r="B595" s="347"/>
      <c r="C595" s="284"/>
      <c r="D595" s="284"/>
      <c r="E595" s="285"/>
      <c r="F595" s="230"/>
      <c r="G595" s="230"/>
      <c r="H595" s="230"/>
      <c r="I595" s="230"/>
      <c r="J595" s="339"/>
      <c r="K595" s="340"/>
      <c r="L595" s="340"/>
      <c r="M595" s="230"/>
      <c r="N595" s="230"/>
      <c r="O595" s="230"/>
      <c r="P595" s="230"/>
      <c r="Q595" s="230"/>
      <c r="R595" s="230"/>
      <c r="S595" s="230"/>
      <c r="T595" s="230"/>
      <c r="U595" s="230"/>
      <c r="V595" s="230"/>
      <c r="W595" s="230"/>
      <c r="X595" s="230"/>
      <c r="Y595" s="230"/>
      <c r="Z595" s="230"/>
    </row>
    <row r="596">
      <c r="A596" s="346"/>
      <c r="B596" s="347"/>
      <c r="C596" s="284"/>
      <c r="D596" s="284"/>
      <c r="E596" s="285"/>
      <c r="F596" s="230"/>
      <c r="G596" s="230"/>
      <c r="H596" s="230"/>
      <c r="I596" s="230"/>
      <c r="J596" s="339"/>
      <c r="K596" s="340"/>
      <c r="L596" s="340"/>
      <c r="M596" s="230"/>
      <c r="N596" s="230"/>
      <c r="O596" s="230"/>
      <c r="P596" s="230"/>
      <c r="Q596" s="230"/>
      <c r="R596" s="230"/>
      <c r="S596" s="230"/>
      <c r="T596" s="230"/>
      <c r="U596" s="230"/>
      <c r="V596" s="230"/>
      <c r="W596" s="230"/>
      <c r="X596" s="230"/>
      <c r="Y596" s="230"/>
      <c r="Z596" s="230"/>
    </row>
    <row r="597">
      <c r="A597" s="346"/>
      <c r="B597" s="347"/>
      <c r="C597" s="284"/>
      <c r="D597" s="284"/>
      <c r="E597" s="285"/>
      <c r="F597" s="230"/>
      <c r="G597" s="230"/>
      <c r="H597" s="230"/>
      <c r="I597" s="230"/>
      <c r="J597" s="339"/>
      <c r="K597" s="340"/>
      <c r="L597" s="340"/>
      <c r="M597" s="230"/>
      <c r="N597" s="230"/>
      <c r="O597" s="230"/>
      <c r="P597" s="230"/>
      <c r="Q597" s="230"/>
      <c r="R597" s="230"/>
      <c r="S597" s="230"/>
      <c r="T597" s="230"/>
      <c r="U597" s="230"/>
      <c r="V597" s="230"/>
      <c r="W597" s="230"/>
      <c r="X597" s="230"/>
      <c r="Y597" s="230"/>
      <c r="Z597" s="230"/>
    </row>
    <row r="598">
      <c r="A598" s="346"/>
      <c r="B598" s="347"/>
      <c r="C598" s="284"/>
      <c r="D598" s="284"/>
      <c r="E598" s="285"/>
      <c r="F598" s="230"/>
      <c r="G598" s="230"/>
      <c r="H598" s="230"/>
      <c r="I598" s="230"/>
      <c r="J598" s="339"/>
      <c r="K598" s="340"/>
      <c r="L598" s="340"/>
      <c r="M598" s="230"/>
      <c r="N598" s="230"/>
      <c r="O598" s="230"/>
      <c r="P598" s="230"/>
      <c r="Q598" s="230"/>
      <c r="R598" s="230"/>
      <c r="S598" s="230"/>
      <c r="T598" s="230"/>
      <c r="U598" s="230"/>
      <c r="V598" s="230"/>
      <c r="W598" s="230"/>
      <c r="X598" s="230"/>
      <c r="Y598" s="230"/>
      <c r="Z598" s="230"/>
    </row>
    <row r="599">
      <c r="A599" s="346"/>
      <c r="B599" s="347"/>
      <c r="C599" s="284"/>
      <c r="D599" s="284"/>
      <c r="E599" s="285"/>
      <c r="F599" s="230"/>
      <c r="G599" s="230"/>
      <c r="H599" s="230"/>
      <c r="I599" s="230"/>
      <c r="J599" s="339"/>
      <c r="K599" s="340"/>
      <c r="L599" s="340"/>
      <c r="M599" s="230"/>
      <c r="N599" s="230"/>
      <c r="O599" s="230"/>
      <c r="P599" s="230"/>
      <c r="Q599" s="230"/>
      <c r="R599" s="230"/>
      <c r="S599" s="230"/>
      <c r="T599" s="230"/>
      <c r="U599" s="230"/>
      <c r="V599" s="230"/>
      <c r="W599" s="230"/>
      <c r="X599" s="230"/>
      <c r="Y599" s="230"/>
      <c r="Z599" s="230"/>
    </row>
    <row r="600">
      <c r="A600" s="346"/>
      <c r="B600" s="347"/>
      <c r="C600" s="284"/>
      <c r="D600" s="284"/>
      <c r="E600" s="285"/>
      <c r="F600" s="230"/>
      <c r="G600" s="230"/>
      <c r="H600" s="230"/>
      <c r="I600" s="230"/>
      <c r="J600" s="339"/>
      <c r="K600" s="340"/>
      <c r="L600" s="340"/>
      <c r="M600" s="230"/>
      <c r="N600" s="230"/>
      <c r="O600" s="230"/>
      <c r="P600" s="230"/>
      <c r="Q600" s="230"/>
      <c r="R600" s="230"/>
      <c r="S600" s="230"/>
      <c r="T600" s="230"/>
      <c r="U600" s="230"/>
      <c r="V600" s="230"/>
      <c r="W600" s="230"/>
      <c r="X600" s="230"/>
      <c r="Y600" s="230"/>
      <c r="Z600" s="230"/>
    </row>
    <row r="601">
      <c r="A601" s="346"/>
      <c r="B601" s="347"/>
      <c r="C601" s="284"/>
      <c r="D601" s="284"/>
      <c r="E601" s="285"/>
      <c r="F601" s="230"/>
      <c r="G601" s="230"/>
      <c r="H601" s="230"/>
      <c r="I601" s="230"/>
      <c r="J601" s="339"/>
      <c r="K601" s="340"/>
      <c r="L601" s="340"/>
      <c r="M601" s="230"/>
      <c r="N601" s="230"/>
      <c r="O601" s="230"/>
      <c r="P601" s="230"/>
      <c r="Q601" s="230"/>
      <c r="R601" s="230"/>
      <c r="S601" s="230"/>
      <c r="T601" s="230"/>
      <c r="U601" s="230"/>
      <c r="V601" s="230"/>
      <c r="W601" s="230"/>
      <c r="X601" s="230"/>
      <c r="Y601" s="230"/>
      <c r="Z601" s="230"/>
    </row>
    <row r="602">
      <c r="A602" s="346"/>
      <c r="B602" s="347"/>
      <c r="C602" s="284"/>
      <c r="D602" s="284"/>
      <c r="E602" s="285"/>
      <c r="F602" s="230"/>
      <c r="G602" s="230"/>
      <c r="H602" s="230"/>
      <c r="I602" s="230"/>
      <c r="J602" s="339"/>
      <c r="K602" s="340"/>
      <c r="L602" s="340"/>
      <c r="M602" s="230"/>
      <c r="N602" s="230"/>
      <c r="O602" s="230"/>
      <c r="P602" s="230"/>
      <c r="Q602" s="230"/>
      <c r="R602" s="230"/>
      <c r="S602" s="230"/>
      <c r="T602" s="230"/>
      <c r="U602" s="230"/>
      <c r="V602" s="230"/>
      <c r="W602" s="230"/>
      <c r="X602" s="230"/>
      <c r="Y602" s="230"/>
      <c r="Z602" s="230"/>
    </row>
    <row r="603">
      <c r="A603" s="346"/>
      <c r="B603" s="347"/>
      <c r="C603" s="284"/>
      <c r="D603" s="284"/>
      <c r="E603" s="285"/>
      <c r="F603" s="230"/>
      <c r="G603" s="230"/>
      <c r="H603" s="230"/>
      <c r="I603" s="230"/>
      <c r="J603" s="339"/>
      <c r="K603" s="340"/>
      <c r="L603" s="340"/>
      <c r="M603" s="230"/>
      <c r="N603" s="230"/>
      <c r="O603" s="230"/>
      <c r="P603" s="230"/>
      <c r="Q603" s="230"/>
      <c r="R603" s="230"/>
      <c r="S603" s="230"/>
      <c r="T603" s="230"/>
      <c r="U603" s="230"/>
      <c r="V603" s="230"/>
      <c r="W603" s="230"/>
      <c r="X603" s="230"/>
      <c r="Y603" s="230"/>
      <c r="Z603" s="230"/>
    </row>
    <row r="604">
      <c r="A604" s="346"/>
      <c r="B604" s="347"/>
      <c r="C604" s="284"/>
      <c r="D604" s="284"/>
      <c r="E604" s="285"/>
      <c r="F604" s="230"/>
      <c r="G604" s="230"/>
      <c r="H604" s="230"/>
      <c r="I604" s="230"/>
      <c r="J604" s="339"/>
      <c r="K604" s="340"/>
      <c r="L604" s="340"/>
      <c r="M604" s="230"/>
      <c r="N604" s="230"/>
      <c r="O604" s="230"/>
      <c r="P604" s="230"/>
      <c r="Q604" s="230"/>
      <c r="R604" s="230"/>
      <c r="S604" s="230"/>
      <c r="T604" s="230"/>
      <c r="U604" s="230"/>
      <c r="V604" s="230"/>
      <c r="W604" s="230"/>
      <c r="X604" s="230"/>
      <c r="Y604" s="230"/>
      <c r="Z604" s="230"/>
    </row>
    <row r="605">
      <c r="A605" s="346"/>
      <c r="B605" s="347"/>
      <c r="C605" s="284"/>
      <c r="D605" s="284"/>
      <c r="E605" s="285"/>
      <c r="F605" s="230"/>
      <c r="G605" s="230"/>
      <c r="H605" s="230"/>
      <c r="I605" s="230"/>
      <c r="J605" s="339"/>
      <c r="K605" s="340"/>
      <c r="L605" s="340"/>
      <c r="M605" s="230"/>
      <c r="N605" s="230"/>
      <c r="O605" s="230"/>
      <c r="P605" s="230"/>
      <c r="Q605" s="230"/>
      <c r="R605" s="230"/>
      <c r="S605" s="230"/>
      <c r="T605" s="230"/>
      <c r="U605" s="230"/>
      <c r="V605" s="230"/>
      <c r="W605" s="230"/>
      <c r="X605" s="230"/>
      <c r="Y605" s="230"/>
      <c r="Z605" s="230"/>
    </row>
    <row r="606">
      <c r="A606" s="346"/>
      <c r="B606" s="347"/>
      <c r="C606" s="284"/>
      <c r="D606" s="284"/>
      <c r="E606" s="285"/>
      <c r="F606" s="230"/>
      <c r="G606" s="230"/>
      <c r="H606" s="230"/>
      <c r="I606" s="230"/>
      <c r="J606" s="339"/>
      <c r="K606" s="340"/>
      <c r="L606" s="340"/>
      <c r="M606" s="230"/>
      <c r="N606" s="230"/>
      <c r="O606" s="230"/>
      <c r="P606" s="230"/>
      <c r="Q606" s="230"/>
      <c r="R606" s="230"/>
      <c r="S606" s="230"/>
      <c r="T606" s="230"/>
      <c r="U606" s="230"/>
      <c r="V606" s="230"/>
      <c r="W606" s="230"/>
      <c r="X606" s="230"/>
      <c r="Y606" s="230"/>
      <c r="Z606" s="230"/>
    </row>
    <row r="607">
      <c r="A607" s="346"/>
      <c r="B607" s="347"/>
      <c r="C607" s="284"/>
      <c r="D607" s="284"/>
      <c r="E607" s="285"/>
      <c r="F607" s="230"/>
      <c r="G607" s="230"/>
      <c r="H607" s="230"/>
      <c r="I607" s="230"/>
      <c r="J607" s="339"/>
      <c r="K607" s="340"/>
      <c r="L607" s="340"/>
      <c r="M607" s="230"/>
      <c r="N607" s="230"/>
      <c r="O607" s="230"/>
      <c r="P607" s="230"/>
      <c r="Q607" s="230"/>
      <c r="R607" s="230"/>
      <c r="S607" s="230"/>
      <c r="T607" s="230"/>
      <c r="U607" s="230"/>
      <c r="V607" s="230"/>
      <c r="W607" s="230"/>
      <c r="X607" s="230"/>
      <c r="Y607" s="230"/>
      <c r="Z607" s="230"/>
    </row>
    <row r="608">
      <c r="A608" s="346"/>
      <c r="B608" s="347"/>
      <c r="C608" s="284"/>
      <c r="D608" s="284"/>
      <c r="E608" s="285"/>
      <c r="F608" s="230"/>
      <c r="G608" s="230"/>
      <c r="H608" s="230"/>
      <c r="I608" s="230"/>
      <c r="J608" s="339"/>
      <c r="K608" s="340"/>
      <c r="L608" s="340"/>
      <c r="M608" s="230"/>
      <c r="N608" s="230"/>
      <c r="O608" s="230"/>
      <c r="P608" s="230"/>
      <c r="Q608" s="230"/>
      <c r="R608" s="230"/>
      <c r="S608" s="230"/>
      <c r="T608" s="230"/>
      <c r="U608" s="230"/>
      <c r="V608" s="230"/>
      <c r="W608" s="230"/>
      <c r="X608" s="230"/>
      <c r="Y608" s="230"/>
      <c r="Z608" s="230"/>
    </row>
    <row r="609">
      <c r="A609" s="346"/>
      <c r="B609" s="347"/>
      <c r="C609" s="284"/>
      <c r="D609" s="284"/>
      <c r="E609" s="285"/>
      <c r="F609" s="230"/>
      <c r="G609" s="230"/>
      <c r="H609" s="230"/>
      <c r="I609" s="230"/>
      <c r="J609" s="339"/>
      <c r="K609" s="340"/>
      <c r="L609" s="340"/>
      <c r="M609" s="230"/>
      <c r="N609" s="230"/>
      <c r="O609" s="230"/>
      <c r="P609" s="230"/>
      <c r="Q609" s="230"/>
      <c r="R609" s="230"/>
      <c r="S609" s="230"/>
      <c r="T609" s="230"/>
      <c r="U609" s="230"/>
      <c r="V609" s="230"/>
      <c r="W609" s="230"/>
      <c r="X609" s="230"/>
      <c r="Y609" s="230"/>
      <c r="Z609" s="230"/>
    </row>
    <row r="610">
      <c r="A610" s="346"/>
      <c r="B610" s="347"/>
      <c r="C610" s="284"/>
      <c r="D610" s="284"/>
      <c r="E610" s="285"/>
      <c r="F610" s="230"/>
      <c r="G610" s="230"/>
      <c r="H610" s="230"/>
      <c r="I610" s="230"/>
      <c r="J610" s="339"/>
      <c r="K610" s="340"/>
      <c r="L610" s="340"/>
      <c r="M610" s="230"/>
      <c r="N610" s="230"/>
      <c r="O610" s="230"/>
      <c r="P610" s="230"/>
      <c r="Q610" s="230"/>
      <c r="R610" s="230"/>
      <c r="S610" s="230"/>
      <c r="T610" s="230"/>
      <c r="U610" s="230"/>
      <c r="V610" s="230"/>
      <c r="W610" s="230"/>
      <c r="X610" s="230"/>
      <c r="Y610" s="230"/>
      <c r="Z610" s="230"/>
    </row>
    <row r="611">
      <c r="A611" s="346"/>
      <c r="B611" s="347"/>
      <c r="C611" s="284"/>
      <c r="D611" s="284"/>
      <c r="E611" s="285"/>
      <c r="F611" s="230"/>
      <c r="G611" s="230"/>
      <c r="H611" s="230"/>
      <c r="I611" s="230"/>
      <c r="J611" s="339"/>
      <c r="K611" s="340"/>
      <c r="L611" s="340"/>
      <c r="M611" s="230"/>
      <c r="N611" s="230"/>
      <c r="O611" s="230"/>
      <c r="P611" s="230"/>
      <c r="Q611" s="230"/>
      <c r="R611" s="230"/>
      <c r="S611" s="230"/>
      <c r="T611" s="230"/>
      <c r="U611" s="230"/>
      <c r="V611" s="230"/>
      <c r="W611" s="230"/>
      <c r="X611" s="230"/>
      <c r="Y611" s="230"/>
      <c r="Z611" s="230"/>
    </row>
    <row r="612">
      <c r="A612" s="346"/>
      <c r="B612" s="347"/>
      <c r="C612" s="284"/>
      <c r="D612" s="284"/>
      <c r="E612" s="285"/>
      <c r="F612" s="230"/>
      <c r="G612" s="230"/>
      <c r="H612" s="230"/>
      <c r="I612" s="230"/>
      <c r="J612" s="339"/>
      <c r="K612" s="340"/>
      <c r="L612" s="340"/>
      <c r="M612" s="230"/>
      <c r="N612" s="230"/>
      <c r="O612" s="230"/>
      <c r="P612" s="230"/>
      <c r="Q612" s="230"/>
      <c r="R612" s="230"/>
      <c r="S612" s="230"/>
      <c r="T612" s="230"/>
      <c r="U612" s="230"/>
      <c r="V612" s="230"/>
      <c r="W612" s="230"/>
      <c r="X612" s="230"/>
      <c r="Y612" s="230"/>
      <c r="Z612" s="230"/>
    </row>
    <row r="613">
      <c r="A613" s="346"/>
      <c r="B613" s="347"/>
      <c r="C613" s="284"/>
      <c r="D613" s="284"/>
      <c r="E613" s="285"/>
      <c r="F613" s="230"/>
      <c r="G613" s="230"/>
      <c r="H613" s="230"/>
      <c r="I613" s="230"/>
      <c r="J613" s="339"/>
      <c r="K613" s="340"/>
      <c r="L613" s="340"/>
      <c r="M613" s="230"/>
      <c r="N613" s="230"/>
      <c r="O613" s="230"/>
      <c r="P613" s="230"/>
      <c r="Q613" s="230"/>
      <c r="R613" s="230"/>
      <c r="S613" s="230"/>
      <c r="T613" s="230"/>
      <c r="U613" s="230"/>
      <c r="V613" s="230"/>
      <c r="W613" s="230"/>
      <c r="X613" s="230"/>
      <c r="Y613" s="230"/>
      <c r="Z613" s="230"/>
    </row>
    <row r="614">
      <c r="A614" s="346"/>
      <c r="B614" s="347"/>
      <c r="C614" s="284"/>
      <c r="D614" s="284"/>
      <c r="E614" s="285"/>
      <c r="F614" s="230"/>
      <c r="G614" s="230"/>
      <c r="H614" s="230"/>
      <c r="I614" s="230"/>
      <c r="J614" s="339"/>
      <c r="K614" s="340"/>
      <c r="L614" s="340"/>
      <c r="M614" s="230"/>
      <c r="N614" s="230"/>
      <c r="O614" s="230"/>
      <c r="P614" s="230"/>
      <c r="Q614" s="230"/>
      <c r="R614" s="230"/>
      <c r="S614" s="230"/>
      <c r="T614" s="230"/>
      <c r="U614" s="230"/>
      <c r="V614" s="230"/>
      <c r="W614" s="230"/>
      <c r="X614" s="230"/>
      <c r="Y614" s="230"/>
      <c r="Z614" s="230"/>
    </row>
    <row r="615">
      <c r="A615" s="346"/>
      <c r="B615" s="347"/>
      <c r="C615" s="284"/>
      <c r="D615" s="284"/>
      <c r="E615" s="285"/>
      <c r="F615" s="230"/>
      <c r="G615" s="230"/>
      <c r="H615" s="230"/>
      <c r="I615" s="230"/>
      <c r="J615" s="339"/>
      <c r="K615" s="340"/>
      <c r="L615" s="340"/>
      <c r="M615" s="230"/>
      <c r="N615" s="230"/>
      <c r="O615" s="230"/>
      <c r="P615" s="230"/>
      <c r="Q615" s="230"/>
      <c r="R615" s="230"/>
      <c r="S615" s="230"/>
      <c r="T615" s="230"/>
      <c r="U615" s="230"/>
      <c r="V615" s="230"/>
      <c r="W615" s="230"/>
      <c r="X615" s="230"/>
      <c r="Y615" s="230"/>
      <c r="Z615" s="230"/>
    </row>
    <row r="616">
      <c r="A616" s="346"/>
      <c r="B616" s="347"/>
      <c r="C616" s="284"/>
      <c r="D616" s="284"/>
      <c r="E616" s="285"/>
      <c r="F616" s="230"/>
      <c r="G616" s="230"/>
      <c r="H616" s="230"/>
      <c r="I616" s="230"/>
      <c r="J616" s="339"/>
      <c r="K616" s="340"/>
      <c r="L616" s="340"/>
      <c r="M616" s="230"/>
      <c r="N616" s="230"/>
      <c r="O616" s="230"/>
      <c r="P616" s="230"/>
      <c r="Q616" s="230"/>
      <c r="R616" s="230"/>
      <c r="S616" s="230"/>
      <c r="T616" s="230"/>
      <c r="U616" s="230"/>
      <c r="V616" s="230"/>
      <c r="W616" s="230"/>
      <c r="X616" s="230"/>
      <c r="Y616" s="230"/>
      <c r="Z616" s="230"/>
    </row>
    <row r="617">
      <c r="A617" s="346"/>
      <c r="B617" s="347"/>
      <c r="C617" s="284"/>
      <c r="D617" s="284"/>
      <c r="E617" s="285"/>
      <c r="F617" s="230"/>
      <c r="G617" s="230"/>
      <c r="H617" s="230"/>
      <c r="I617" s="230"/>
      <c r="J617" s="339"/>
      <c r="K617" s="340"/>
      <c r="L617" s="340"/>
      <c r="M617" s="230"/>
      <c r="N617" s="230"/>
      <c r="O617" s="230"/>
      <c r="P617" s="230"/>
      <c r="Q617" s="230"/>
      <c r="R617" s="230"/>
      <c r="S617" s="230"/>
      <c r="T617" s="230"/>
      <c r="U617" s="230"/>
      <c r="V617" s="230"/>
      <c r="W617" s="230"/>
      <c r="X617" s="230"/>
      <c r="Y617" s="230"/>
      <c r="Z617" s="230"/>
    </row>
    <row r="618">
      <c r="A618" s="346"/>
      <c r="B618" s="347"/>
      <c r="C618" s="284"/>
      <c r="D618" s="284"/>
      <c r="E618" s="285"/>
      <c r="F618" s="230"/>
      <c r="G618" s="230"/>
      <c r="H618" s="230"/>
      <c r="I618" s="230"/>
      <c r="J618" s="339"/>
      <c r="K618" s="340"/>
      <c r="L618" s="340"/>
      <c r="M618" s="230"/>
      <c r="N618" s="230"/>
      <c r="O618" s="230"/>
      <c r="P618" s="230"/>
      <c r="Q618" s="230"/>
      <c r="R618" s="230"/>
      <c r="S618" s="230"/>
      <c r="T618" s="230"/>
      <c r="U618" s="230"/>
      <c r="V618" s="230"/>
      <c r="W618" s="230"/>
      <c r="X618" s="230"/>
      <c r="Y618" s="230"/>
      <c r="Z618" s="230"/>
    </row>
    <row r="619">
      <c r="A619" s="346"/>
      <c r="B619" s="347"/>
      <c r="C619" s="284"/>
      <c r="D619" s="284"/>
      <c r="E619" s="285"/>
      <c r="F619" s="230"/>
      <c r="G619" s="230"/>
      <c r="H619" s="230"/>
      <c r="I619" s="230"/>
      <c r="J619" s="339"/>
      <c r="K619" s="340"/>
      <c r="L619" s="340"/>
      <c r="M619" s="230"/>
      <c r="N619" s="230"/>
      <c r="O619" s="230"/>
      <c r="P619" s="230"/>
      <c r="Q619" s="230"/>
      <c r="R619" s="230"/>
      <c r="S619" s="230"/>
      <c r="T619" s="230"/>
      <c r="U619" s="230"/>
      <c r="V619" s="230"/>
      <c r="W619" s="230"/>
      <c r="X619" s="230"/>
      <c r="Y619" s="230"/>
      <c r="Z619" s="230"/>
    </row>
    <row r="620">
      <c r="A620" s="346"/>
      <c r="B620" s="347"/>
      <c r="C620" s="284"/>
      <c r="D620" s="284"/>
      <c r="E620" s="285"/>
      <c r="F620" s="230"/>
      <c r="G620" s="230"/>
      <c r="H620" s="230"/>
      <c r="I620" s="230"/>
      <c r="J620" s="339"/>
      <c r="K620" s="340"/>
      <c r="L620" s="340"/>
      <c r="M620" s="230"/>
      <c r="N620" s="230"/>
      <c r="O620" s="230"/>
      <c r="P620" s="230"/>
      <c r="Q620" s="230"/>
      <c r="R620" s="230"/>
      <c r="S620" s="230"/>
      <c r="T620" s="230"/>
      <c r="U620" s="230"/>
      <c r="V620" s="230"/>
      <c r="W620" s="230"/>
      <c r="X620" s="230"/>
      <c r="Y620" s="230"/>
      <c r="Z620" s="230"/>
    </row>
    <row r="621">
      <c r="A621" s="346"/>
      <c r="B621" s="347"/>
      <c r="C621" s="284"/>
      <c r="D621" s="284"/>
      <c r="E621" s="285"/>
      <c r="F621" s="230"/>
      <c r="G621" s="230"/>
      <c r="H621" s="230"/>
      <c r="I621" s="230"/>
      <c r="J621" s="339"/>
      <c r="K621" s="340"/>
      <c r="L621" s="340"/>
      <c r="M621" s="230"/>
      <c r="N621" s="230"/>
      <c r="O621" s="230"/>
      <c r="P621" s="230"/>
      <c r="Q621" s="230"/>
      <c r="R621" s="230"/>
      <c r="S621" s="230"/>
      <c r="T621" s="230"/>
      <c r="U621" s="230"/>
      <c r="V621" s="230"/>
      <c r="W621" s="230"/>
      <c r="X621" s="230"/>
      <c r="Y621" s="230"/>
      <c r="Z621" s="230"/>
    </row>
    <row r="622">
      <c r="A622" s="346"/>
      <c r="B622" s="347"/>
      <c r="C622" s="284"/>
      <c r="D622" s="284"/>
      <c r="E622" s="285"/>
      <c r="F622" s="230"/>
      <c r="G622" s="230"/>
      <c r="H622" s="230"/>
      <c r="I622" s="230"/>
      <c r="J622" s="339"/>
      <c r="K622" s="340"/>
      <c r="L622" s="340"/>
      <c r="M622" s="230"/>
      <c r="N622" s="230"/>
      <c r="O622" s="230"/>
      <c r="P622" s="230"/>
      <c r="Q622" s="230"/>
      <c r="R622" s="230"/>
      <c r="S622" s="230"/>
      <c r="T622" s="230"/>
      <c r="U622" s="230"/>
      <c r="V622" s="230"/>
      <c r="W622" s="230"/>
      <c r="X622" s="230"/>
      <c r="Y622" s="230"/>
      <c r="Z622" s="230"/>
    </row>
    <row r="623">
      <c r="A623" s="346"/>
      <c r="B623" s="347"/>
      <c r="C623" s="284"/>
      <c r="D623" s="284"/>
      <c r="E623" s="285"/>
      <c r="F623" s="230"/>
      <c r="G623" s="230"/>
      <c r="H623" s="230"/>
      <c r="I623" s="230"/>
      <c r="J623" s="339"/>
      <c r="K623" s="340"/>
      <c r="L623" s="340"/>
      <c r="M623" s="230"/>
      <c r="N623" s="230"/>
      <c r="O623" s="230"/>
      <c r="P623" s="230"/>
      <c r="Q623" s="230"/>
      <c r="R623" s="230"/>
      <c r="S623" s="230"/>
      <c r="T623" s="230"/>
      <c r="U623" s="230"/>
      <c r="V623" s="230"/>
      <c r="W623" s="230"/>
      <c r="X623" s="230"/>
      <c r="Y623" s="230"/>
      <c r="Z623" s="230"/>
    </row>
    <row r="624">
      <c r="A624" s="346"/>
      <c r="B624" s="347"/>
      <c r="C624" s="284"/>
      <c r="D624" s="284"/>
      <c r="E624" s="285"/>
      <c r="F624" s="230"/>
      <c r="G624" s="230"/>
      <c r="H624" s="230"/>
      <c r="I624" s="230"/>
      <c r="J624" s="339"/>
      <c r="K624" s="340"/>
      <c r="L624" s="340"/>
      <c r="M624" s="230"/>
      <c r="N624" s="230"/>
      <c r="O624" s="230"/>
      <c r="P624" s="230"/>
      <c r="Q624" s="230"/>
      <c r="R624" s="230"/>
      <c r="S624" s="230"/>
      <c r="T624" s="230"/>
      <c r="U624" s="230"/>
      <c r="V624" s="230"/>
      <c r="W624" s="230"/>
      <c r="X624" s="230"/>
      <c r="Y624" s="230"/>
      <c r="Z624" s="230"/>
    </row>
    <row r="625">
      <c r="A625" s="346"/>
      <c r="B625" s="347"/>
      <c r="C625" s="284"/>
      <c r="D625" s="284"/>
      <c r="E625" s="285"/>
      <c r="F625" s="230"/>
      <c r="G625" s="230"/>
      <c r="H625" s="230"/>
      <c r="I625" s="230"/>
      <c r="J625" s="339"/>
      <c r="K625" s="340"/>
      <c r="L625" s="340"/>
      <c r="M625" s="230"/>
      <c r="N625" s="230"/>
      <c r="O625" s="230"/>
      <c r="P625" s="230"/>
      <c r="Q625" s="230"/>
      <c r="R625" s="230"/>
      <c r="S625" s="230"/>
      <c r="T625" s="230"/>
      <c r="U625" s="230"/>
      <c r="V625" s="230"/>
      <c r="W625" s="230"/>
      <c r="X625" s="230"/>
      <c r="Y625" s="230"/>
      <c r="Z625" s="230"/>
    </row>
    <row r="626">
      <c r="A626" s="346"/>
      <c r="B626" s="347"/>
      <c r="C626" s="284"/>
      <c r="D626" s="284"/>
      <c r="E626" s="285"/>
      <c r="F626" s="230"/>
      <c r="G626" s="230"/>
      <c r="H626" s="230"/>
      <c r="I626" s="230"/>
      <c r="J626" s="339"/>
      <c r="K626" s="340"/>
      <c r="L626" s="340"/>
      <c r="M626" s="230"/>
      <c r="N626" s="230"/>
      <c r="O626" s="230"/>
      <c r="P626" s="230"/>
      <c r="Q626" s="230"/>
      <c r="R626" s="230"/>
      <c r="S626" s="230"/>
      <c r="T626" s="230"/>
      <c r="U626" s="230"/>
      <c r="V626" s="230"/>
      <c r="W626" s="230"/>
      <c r="X626" s="230"/>
      <c r="Y626" s="230"/>
      <c r="Z626" s="230"/>
    </row>
    <row r="627">
      <c r="A627" s="346"/>
      <c r="B627" s="347"/>
      <c r="C627" s="284"/>
      <c r="D627" s="284"/>
      <c r="E627" s="285"/>
      <c r="F627" s="230"/>
      <c r="G627" s="230"/>
      <c r="H627" s="230"/>
      <c r="I627" s="230"/>
      <c r="J627" s="339"/>
      <c r="K627" s="340"/>
      <c r="L627" s="340"/>
      <c r="M627" s="230"/>
      <c r="N627" s="230"/>
      <c r="O627" s="230"/>
      <c r="P627" s="230"/>
      <c r="Q627" s="230"/>
      <c r="R627" s="230"/>
      <c r="S627" s="230"/>
      <c r="T627" s="230"/>
      <c r="U627" s="230"/>
      <c r="V627" s="230"/>
      <c r="W627" s="230"/>
      <c r="X627" s="230"/>
      <c r="Y627" s="230"/>
      <c r="Z627" s="230"/>
    </row>
    <row r="628">
      <c r="A628" s="346"/>
      <c r="B628" s="347"/>
      <c r="C628" s="284"/>
      <c r="D628" s="284"/>
      <c r="E628" s="285"/>
      <c r="F628" s="230"/>
      <c r="G628" s="230"/>
      <c r="H628" s="230"/>
      <c r="I628" s="230"/>
      <c r="J628" s="339"/>
      <c r="K628" s="340"/>
      <c r="L628" s="340"/>
      <c r="M628" s="230"/>
      <c r="N628" s="230"/>
      <c r="O628" s="230"/>
      <c r="P628" s="230"/>
      <c r="Q628" s="230"/>
      <c r="R628" s="230"/>
      <c r="S628" s="230"/>
      <c r="T628" s="230"/>
      <c r="U628" s="230"/>
      <c r="V628" s="230"/>
      <c r="W628" s="230"/>
      <c r="X628" s="230"/>
      <c r="Y628" s="230"/>
      <c r="Z628" s="230"/>
    </row>
    <row r="629">
      <c r="A629" s="346"/>
      <c r="B629" s="347"/>
      <c r="C629" s="284"/>
      <c r="D629" s="284"/>
      <c r="E629" s="285"/>
      <c r="F629" s="230"/>
      <c r="G629" s="230"/>
      <c r="H629" s="230"/>
      <c r="I629" s="230"/>
      <c r="J629" s="339"/>
      <c r="K629" s="340"/>
      <c r="L629" s="340"/>
      <c r="M629" s="230"/>
      <c r="N629" s="230"/>
      <c r="O629" s="230"/>
      <c r="P629" s="230"/>
      <c r="Q629" s="230"/>
      <c r="R629" s="230"/>
      <c r="S629" s="230"/>
      <c r="T629" s="230"/>
      <c r="U629" s="230"/>
      <c r="V629" s="230"/>
      <c r="W629" s="230"/>
      <c r="X629" s="230"/>
      <c r="Y629" s="230"/>
      <c r="Z629" s="230"/>
    </row>
    <row r="630">
      <c r="A630" s="346"/>
      <c r="B630" s="347"/>
      <c r="C630" s="284"/>
      <c r="D630" s="284"/>
      <c r="E630" s="285"/>
      <c r="F630" s="230"/>
      <c r="G630" s="230"/>
      <c r="H630" s="230"/>
      <c r="I630" s="230"/>
      <c r="J630" s="339"/>
      <c r="K630" s="340"/>
      <c r="L630" s="340"/>
      <c r="M630" s="230"/>
      <c r="N630" s="230"/>
      <c r="O630" s="230"/>
      <c r="P630" s="230"/>
      <c r="Q630" s="230"/>
      <c r="R630" s="230"/>
      <c r="S630" s="230"/>
      <c r="T630" s="230"/>
      <c r="U630" s="230"/>
      <c r="V630" s="230"/>
      <c r="W630" s="230"/>
      <c r="X630" s="230"/>
      <c r="Y630" s="230"/>
      <c r="Z630" s="230"/>
    </row>
    <row r="631">
      <c r="A631" s="346"/>
      <c r="B631" s="347"/>
      <c r="C631" s="284"/>
      <c r="D631" s="284"/>
      <c r="E631" s="285"/>
      <c r="F631" s="230"/>
      <c r="G631" s="230"/>
      <c r="H631" s="230"/>
      <c r="I631" s="230"/>
      <c r="J631" s="339"/>
      <c r="K631" s="340"/>
      <c r="L631" s="340"/>
      <c r="M631" s="230"/>
      <c r="N631" s="230"/>
      <c r="O631" s="230"/>
      <c r="P631" s="230"/>
      <c r="Q631" s="230"/>
      <c r="R631" s="230"/>
      <c r="S631" s="230"/>
      <c r="T631" s="230"/>
      <c r="U631" s="230"/>
      <c r="V631" s="230"/>
      <c r="W631" s="230"/>
      <c r="X631" s="230"/>
      <c r="Y631" s="230"/>
      <c r="Z631" s="230"/>
    </row>
    <row r="632">
      <c r="A632" s="346"/>
      <c r="B632" s="347"/>
      <c r="C632" s="284"/>
      <c r="D632" s="284"/>
      <c r="E632" s="285"/>
      <c r="F632" s="230"/>
      <c r="G632" s="230"/>
      <c r="H632" s="230"/>
      <c r="I632" s="230"/>
      <c r="J632" s="339"/>
      <c r="K632" s="340"/>
      <c r="L632" s="340"/>
      <c r="M632" s="230"/>
      <c r="N632" s="230"/>
      <c r="O632" s="230"/>
      <c r="P632" s="230"/>
      <c r="Q632" s="230"/>
      <c r="R632" s="230"/>
      <c r="S632" s="230"/>
      <c r="T632" s="230"/>
      <c r="U632" s="230"/>
      <c r="V632" s="230"/>
      <c r="W632" s="230"/>
      <c r="X632" s="230"/>
      <c r="Y632" s="230"/>
      <c r="Z632" s="230"/>
    </row>
    <row r="633">
      <c r="A633" s="346"/>
      <c r="B633" s="347"/>
      <c r="C633" s="284"/>
      <c r="D633" s="284"/>
      <c r="E633" s="285"/>
      <c r="F633" s="230"/>
      <c r="G633" s="230"/>
      <c r="H633" s="230"/>
      <c r="I633" s="230"/>
      <c r="J633" s="339"/>
      <c r="K633" s="340"/>
      <c r="L633" s="340"/>
      <c r="M633" s="230"/>
      <c r="N633" s="230"/>
      <c r="O633" s="230"/>
      <c r="P633" s="230"/>
      <c r="Q633" s="230"/>
      <c r="R633" s="230"/>
      <c r="S633" s="230"/>
      <c r="T633" s="230"/>
      <c r="U633" s="230"/>
      <c r="V633" s="230"/>
      <c r="W633" s="230"/>
      <c r="X633" s="230"/>
      <c r="Y633" s="230"/>
      <c r="Z633" s="230"/>
    </row>
    <row r="634">
      <c r="A634" s="346"/>
      <c r="B634" s="347"/>
      <c r="C634" s="284"/>
      <c r="D634" s="284"/>
      <c r="E634" s="285"/>
      <c r="F634" s="230"/>
      <c r="G634" s="230"/>
      <c r="H634" s="230"/>
      <c r="I634" s="230"/>
      <c r="J634" s="339"/>
      <c r="K634" s="340"/>
      <c r="L634" s="340"/>
      <c r="M634" s="230"/>
      <c r="N634" s="230"/>
      <c r="O634" s="230"/>
      <c r="P634" s="230"/>
      <c r="Q634" s="230"/>
      <c r="R634" s="230"/>
      <c r="S634" s="230"/>
      <c r="T634" s="230"/>
      <c r="U634" s="230"/>
      <c r="V634" s="230"/>
      <c r="W634" s="230"/>
      <c r="X634" s="230"/>
      <c r="Y634" s="230"/>
      <c r="Z634" s="230"/>
    </row>
    <row r="635">
      <c r="A635" s="346"/>
      <c r="B635" s="347"/>
      <c r="C635" s="284"/>
      <c r="D635" s="284"/>
      <c r="E635" s="285"/>
      <c r="F635" s="230"/>
      <c r="G635" s="230"/>
      <c r="H635" s="230"/>
      <c r="I635" s="230"/>
      <c r="J635" s="339"/>
      <c r="K635" s="340"/>
      <c r="L635" s="340"/>
      <c r="M635" s="230"/>
      <c r="N635" s="230"/>
      <c r="O635" s="230"/>
      <c r="P635" s="230"/>
      <c r="Q635" s="230"/>
      <c r="R635" s="230"/>
      <c r="S635" s="230"/>
      <c r="T635" s="230"/>
      <c r="U635" s="230"/>
      <c r="V635" s="230"/>
      <c r="W635" s="230"/>
      <c r="X635" s="230"/>
      <c r="Y635" s="230"/>
      <c r="Z635" s="230"/>
    </row>
    <row r="636">
      <c r="A636" s="346"/>
      <c r="B636" s="347"/>
      <c r="C636" s="284"/>
      <c r="D636" s="284"/>
      <c r="E636" s="285"/>
      <c r="F636" s="230"/>
      <c r="G636" s="230"/>
      <c r="H636" s="230"/>
      <c r="I636" s="230"/>
      <c r="J636" s="339"/>
      <c r="K636" s="340"/>
      <c r="L636" s="340"/>
      <c r="M636" s="230"/>
      <c r="N636" s="230"/>
      <c r="O636" s="230"/>
      <c r="P636" s="230"/>
      <c r="Q636" s="230"/>
      <c r="R636" s="230"/>
      <c r="S636" s="230"/>
      <c r="T636" s="230"/>
      <c r="U636" s="230"/>
      <c r="V636" s="230"/>
      <c r="W636" s="230"/>
      <c r="X636" s="230"/>
      <c r="Y636" s="230"/>
      <c r="Z636" s="230"/>
    </row>
    <row r="637">
      <c r="A637" s="346"/>
      <c r="B637" s="347"/>
      <c r="C637" s="284"/>
      <c r="D637" s="284"/>
      <c r="E637" s="285"/>
      <c r="F637" s="230"/>
      <c r="G637" s="230"/>
      <c r="H637" s="230"/>
      <c r="I637" s="230"/>
      <c r="J637" s="339"/>
      <c r="K637" s="340"/>
      <c r="L637" s="340"/>
      <c r="M637" s="230"/>
      <c r="N637" s="230"/>
      <c r="O637" s="230"/>
      <c r="P637" s="230"/>
      <c r="Q637" s="230"/>
      <c r="R637" s="230"/>
      <c r="S637" s="230"/>
      <c r="T637" s="230"/>
      <c r="U637" s="230"/>
      <c r="V637" s="230"/>
      <c r="W637" s="230"/>
      <c r="X637" s="230"/>
      <c r="Y637" s="230"/>
      <c r="Z637" s="230"/>
    </row>
    <row r="638">
      <c r="A638" s="346"/>
      <c r="B638" s="347"/>
      <c r="C638" s="284"/>
      <c r="D638" s="284"/>
      <c r="E638" s="285"/>
      <c r="F638" s="230"/>
      <c r="G638" s="230"/>
      <c r="H638" s="230"/>
      <c r="I638" s="230"/>
      <c r="J638" s="339"/>
      <c r="K638" s="340"/>
      <c r="L638" s="340"/>
      <c r="M638" s="230"/>
      <c r="N638" s="230"/>
      <c r="O638" s="230"/>
      <c r="P638" s="230"/>
      <c r="Q638" s="230"/>
      <c r="R638" s="230"/>
      <c r="S638" s="230"/>
      <c r="T638" s="230"/>
      <c r="U638" s="230"/>
      <c r="V638" s="230"/>
      <c r="W638" s="230"/>
      <c r="X638" s="230"/>
      <c r="Y638" s="230"/>
      <c r="Z638" s="230"/>
    </row>
    <row r="639">
      <c r="A639" s="346"/>
      <c r="B639" s="347"/>
      <c r="C639" s="284"/>
      <c r="D639" s="284"/>
      <c r="E639" s="285"/>
      <c r="F639" s="230"/>
      <c r="G639" s="230"/>
      <c r="H639" s="230"/>
      <c r="I639" s="230"/>
      <c r="J639" s="339"/>
      <c r="K639" s="340"/>
      <c r="L639" s="340"/>
      <c r="M639" s="230"/>
      <c r="N639" s="230"/>
      <c r="O639" s="230"/>
      <c r="P639" s="230"/>
      <c r="Q639" s="230"/>
      <c r="R639" s="230"/>
      <c r="S639" s="230"/>
      <c r="T639" s="230"/>
      <c r="U639" s="230"/>
      <c r="V639" s="230"/>
      <c r="W639" s="230"/>
      <c r="X639" s="230"/>
      <c r="Y639" s="230"/>
      <c r="Z639" s="230"/>
    </row>
    <row r="640">
      <c r="A640" s="346"/>
      <c r="B640" s="347"/>
      <c r="C640" s="284"/>
      <c r="D640" s="284"/>
      <c r="E640" s="285"/>
      <c r="F640" s="230"/>
      <c r="G640" s="230"/>
      <c r="H640" s="230"/>
      <c r="I640" s="230"/>
      <c r="J640" s="339"/>
      <c r="K640" s="340"/>
      <c r="L640" s="340"/>
      <c r="M640" s="230"/>
      <c r="N640" s="230"/>
      <c r="O640" s="230"/>
      <c r="P640" s="230"/>
      <c r="Q640" s="230"/>
      <c r="R640" s="230"/>
      <c r="S640" s="230"/>
      <c r="T640" s="230"/>
      <c r="U640" s="230"/>
      <c r="V640" s="230"/>
      <c r="W640" s="230"/>
      <c r="X640" s="230"/>
      <c r="Y640" s="230"/>
      <c r="Z640" s="230"/>
    </row>
    <row r="641">
      <c r="A641" s="346"/>
      <c r="B641" s="347"/>
      <c r="C641" s="284"/>
      <c r="D641" s="284"/>
      <c r="E641" s="285"/>
      <c r="F641" s="230"/>
      <c r="G641" s="230"/>
      <c r="H641" s="230"/>
      <c r="I641" s="230"/>
      <c r="J641" s="339"/>
      <c r="K641" s="340"/>
      <c r="L641" s="340"/>
      <c r="M641" s="230"/>
      <c r="N641" s="230"/>
      <c r="O641" s="230"/>
      <c r="P641" s="230"/>
      <c r="Q641" s="230"/>
      <c r="R641" s="230"/>
      <c r="S641" s="230"/>
      <c r="T641" s="230"/>
      <c r="U641" s="230"/>
      <c r="V641" s="230"/>
      <c r="W641" s="230"/>
      <c r="X641" s="230"/>
      <c r="Y641" s="230"/>
      <c r="Z641" s="230"/>
    </row>
    <row r="642">
      <c r="A642" s="346"/>
      <c r="B642" s="347"/>
      <c r="C642" s="284"/>
      <c r="D642" s="284"/>
      <c r="E642" s="285"/>
      <c r="F642" s="230"/>
      <c r="G642" s="230"/>
      <c r="H642" s="230"/>
      <c r="I642" s="230"/>
      <c r="J642" s="339"/>
      <c r="K642" s="340"/>
      <c r="L642" s="340"/>
      <c r="M642" s="230"/>
      <c r="N642" s="230"/>
      <c r="O642" s="230"/>
      <c r="P642" s="230"/>
      <c r="Q642" s="230"/>
      <c r="R642" s="230"/>
      <c r="S642" s="230"/>
      <c r="T642" s="230"/>
      <c r="U642" s="230"/>
      <c r="V642" s="230"/>
      <c r="W642" s="230"/>
      <c r="X642" s="230"/>
      <c r="Y642" s="230"/>
      <c r="Z642" s="230"/>
    </row>
    <row r="643">
      <c r="A643" s="346"/>
      <c r="B643" s="347"/>
      <c r="C643" s="284"/>
      <c r="D643" s="284"/>
      <c r="E643" s="285"/>
      <c r="F643" s="230"/>
      <c r="G643" s="230"/>
      <c r="H643" s="230"/>
      <c r="I643" s="230"/>
      <c r="J643" s="339"/>
      <c r="K643" s="340"/>
      <c r="L643" s="340"/>
      <c r="M643" s="230"/>
      <c r="N643" s="230"/>
      <c r="O643" s="230"/>
      <c r="P643" s="230"/>
      <c r="Q643" s="230"/>
      <c r="R643" s="230"/>
      <c r="S643" s="230"/>
      <c r="T643" s="230"/>
      <c r="U643" s="230"/>
      <c r="V643" s="230"/>
      <c r="W643" s="230"/>
      <c r="X643" s="230"/>
      <c r="Y643" s="230"/>
      <c r="Z643" s="230"/>
    </row>
    <row r="644">
      <c r="A644" s="346"/>
      <c r="B644" s="347"/>
      <c r="C644" s="284"/>
      <c r="D644" s="284"/>
      <c r="E644" s="285"/>
      <c r="F644" s="230"/>
      <c r="G644" s="230"/>
      <c r="H644" s="230"/>
      <c r="I644" s="230"/>
      <c r="J644" s="339"/>
      <c r="K644" s="340"/>
      <c r="L644" s="340"/>
      <c r="M644" s="230"/>
      <c r="N644" s="230"/>
      <c r="O644" s="230"/>
      <c r="P644" s="230"/>
      <c r="Q644" s="230"/>
      <c r="R644" s="230"/>
      <c r="S644" s="230"/>
      <c r="T644" s="230"/>
      <c r="U644" s="230"/>
      <c r="V644" s="230"/>
      <c r="W644" s="230"/>
      <c r="X644" s="230"/>
      <c r="Y644" s="230"/>
      <c r="Z644" s="230"/>
    </row>
    <row r="645">
      <c r="A645" s="346"/>
      <c r="B645" s="347"/>
      <c r="C645" s="284"/>
      <c r="D645" s="284"/>
      <c r="E645" s="285"/>
      <c r="F645" s="230"/>
      <c r="G645" s="230"/>
      <c r="H645" s="230"/>
      <c r="I645" s="230"/>
      <c r="J645" s="339"/>
      <c r="K645" s="340"/>
      <c r="L645" s="340"/>
      <c r="M645" s="230"/>
      <c r="N645" s="230"/>
      <c r="O645" s="230"/>
      <c r="P645" s="230"/>
      <c r="Q645" s="230"/>
      <c r="R645" s="230"/>
      <c r="S645" s="230"/>
      <c r="T645" s="230"/>
      <c r="U645" s="230"/>
      <c r="V645" s="230"/>
      <c r="W645" s="230"/>
      <c r="X645" s="230"/>
      <c r="Y645" s="230"/>
      <c r="Z645" s="230"/>
    </row>
    <row r="646">
      <c r="A646" s="346"/>
      <c r="B646" s="347"/>
      <c r="C646" s="284"/>
      <c r="D646" s="284"/>
      <c r="E646" s="285"/>
      <c r="F646" s="230"/>
      <c r="G646" s="230"/>
      <c r="H646" s="230"/>
      <c r="I646" s="230"/>
      <c r="J646" s="339"/>
      <c r="K646" s="340"/>
      <c r="L646" s="340"/>
      <c r="M646" s="230"/>
      <c r="N646" s="230"/>
      <c r="O646" s="230"/>
      <c r="P646" s="230"/>
      <c r="Q646" s="230"/>
      <c r="R646" s="230"/>
      <c r="S646" s="230"/>
      <c r="T646" s="230"/>
      <c r="U646" s="230"/>
      <c r="V646" s="230"/>
      <c r="W646" s="230"/>
      <c r="X646" s="230"/>
      <c r="Y646" s="230"/>
      <c r="Z646" s="230"/>
    </row>
    <row r="647">
      <c r="A647" s="346"/>
      <c r="B647" s="347"/>
      <c r="C647" s="284"/>
      <c r="D647" s="284"/>
      <c r="E647" s="285"/>
      <c r="F647" s="230"/>
      <c r="G647" s="230"/>
      <c r="H647" s="230"/>
      <c r="I647" s="230"/>
      <c r="J647" s="339"/>
      <c r="K647" s="340"/>
      <c r="L647" s="340"/>
      <c r="M647" s="230"/>
      <c r="N647" s="230"/>
      <c r="O647" s="230"/>
      <c r="P647" s="230"/>
      <c r="Q647" s="230"/>
      <c r="R647" s="230"/>
      <c r="S647" s="230"/>
      <c r="T647" s="230"/>
      <c r="U647" s="230"/>
      <c r="V647" s="230"/>
      <c r="W647" s="230"/>
      <c r="X647" s="230"/>
      <c r="Y647" s="230"/>
      <c r="Z647" s="230"/>
    </row>
    <row r="648">
      <c r="A648" s="346"/>
      <c r="B648" s="347"/>
      <c r="C648" s="284"/>
      <c r="D648" s="284"/>
      <c r="E648" s="285"/>
      <c r="F648" s="230"/>
      <c r="G648" s="230"/>
      <c r="H648" s="230"/>
      <c r="I648" s="230"/>
      <c r="J648" s="339"/>
      <c r="K648" s="340"/>
      <c r="L648" s="340"/>
      <c r="M648" s="230"/>
      <c r="N648" s="230"/>
      <c r="O648" s="230"/>
      <c r="P648" s="230"/>
      <c r="Q648" s="230"/>
      <c r="R648" s="230"/>
      <c r="S648" s="230"/>
      <c r="T648" s="230"/>
      <c r="U648" s="230"/>
      <c r="V648" s="230"/>
      <c r="W648" s="230"/>
      <c r="X648" s="230"/>
      <c r="Y648" s="230"/>
      <c r="Z648" s="230"/>
    </row>
    <row r="649">
      <c r="A649" s="346"/>
      <c r="B649" s="347"/>
      <c r="C649" s="284"/>
      <c r="D649" s="284"/>
      <c r="E649" s="285"/>
      <c r="F649" s="230"/>
      <c r="G649" s="230"/>
      <c r="H649" s="230"/>
      <c r="I649" s="230"/>
      <c r="J649" s="339"/>
      <c r="K649" s="340"/>
      <c r="L649" s="340"/>
      <c r="M649" s="230"/>
      <c r="N649" s="230"/>
      <c r="O649" s="230"/>
      <c r="P649" s="230"/>
      <c r="Q649" s="230"/>
      <c r="R649" s="230"/>
      <c r="S649" s="230"/>
      <c r="T649" s="230"/>
      <c r="U649" s="230"/>
      <c r="V649" s="230"/>
      <c r="W649" s="230"/>
      <c r="X649" s="230"/>
      <c r="Y649" s="230"/>
      <c r="Z649" s="230"/>
    </row>
    <row r="650">
      <c r="A650" s="346"/>
      <c r="B650" s="347"/>
      <c r="C650" s="284"/>
      <c r="D650" s="284"/>
      <c r="E650" s="285"/>
      <c r="F650" s="230"/>
      <c r="G650" s="230"/>
      <c r="H650" s="230"/>
      <c r="I650" s="230"/>
      <c r="J650" s="339"/>
      <c r="K650" s="340"/>
      <c r="L650" s="340"/>
      <c r="M650" s="230"/>
      <c r="N650" s="230"/>
      <c r="O650" s="230"/>
      <c r="P650" s="230"/>
      <c r="Q650" s="230"/>
      <c r="R650" s="230"/>
      <c r="S650" s="230"/>
      <c r="T650" s="230"/>
      <c r="U650" s="230"/>
      <c r="V650" s="230"/>
      <c r="W650" s="230"/>
      <c r="X650" s="230"/>
      <c r="Y650" s="230"/>
      <c r="Z650" s="230"/>
    </row>
    <row r="651">
      <c r="A651" s="346"/>
      <c r="B651" s="347"/>
      <c r="C651" s="284"/>
      <c r="D651" s="284"/>
      <c r="E651" s="285"/>
      <c r="F651" s="230"/>
      <c r="G651" s="230"/>
      <c r="H651" s="230"/>
      <c r="I651" s="230"/>
      <c r="J651" s="339"/>
      <c r="K651" s="340"/>
      <c r="L651" s="340"/>
      <c r="M651" s="230"/>
      <c r="N651" s="230"/>
      <c r="O651" s="230"/>
      <c r="P651" s="230"/>
      <c r="Q651" s="230"/>
      <c r="R651" s="230"/>
      <c r="S651" s="230"/>
      <c r="T651" s="230"/>
      <c r="U651" s="230"/>
      <c r="V651" s="230"/>
      <c r="W651" s="230"/>
      <c r="X651" s="230"/>
      <c r="Y651" s="230"/>
      <c r="Z651" s="230"/>
    </row>
    <row r="652">
      <c r="A652" s="346"/>
      <c r="B652" s="347"/>
      <c r="C652" s="284"/>
      <c r="D652" s="284"/>
      <c r="E652" s="285"/>
      <c r="F652" s="230"/>
      <c r="G652" s="230"/>
      <c r="H652" s="230"/>
      <c r="I652" s="230"/>
      <c r="J652" s="339"/>
      <c r="K652" s="340"/>
      <c r="L652" s="340"/>
      <c r="M652" s="230"/>
      <c r="N652" s="230"/>
      <c r="O652" s="230"/>
      <c r="P652" s="230"/>
      <c r="Q652" s="230"/>
      <c r="R652" s="230"/>
      <c r="S652" s="230"/>
      <c r="T652" s="230"/>
      <c r="U652" s="230"/>
      <c r="V652" s="230"/>
      <c r="W652" s="230"/>
      <c r="X652" s="230"/>
      <c r="Y652" s="230"/>
      <c r="Z652" s="230"/>
    </row>
    <row r="653">
      <c r="A653" s="346"/>
      <c r="B653" s="347"/>
      <c r="C653" s="284"/>
      <c r="D653" s="284"/>
      <c r="E653" s="285"/>
      <c r="F653" s="230"/>
      <c r="G653" s="230"/>
      <c r="H653" s="230"/>
      <c r="I653" s="230"/>
      <c r="J653" s="339"/>
      <c r="K653" s="340"/>
      <c r="L653" s="340"/>
      <c r="M653" s="230"/>
      <c r="N653" s="230"/>
      <c r="O653" s="230"/>
      <c r="P653" s="230"/>
      <c r="Q653" s="230"/>
      <c r="R653" s="230"/>
      <c r="S653" s="230"/>
      <c r="T653" s="230"/>
      <c r="U653" s="230"/>
      <c r="V653" s="230"/>
      <c r="W653" s="230"/>
      <c r="X653" s="230"/>
      <c r="Y653" s="230"/>
      <c r="Z653" s="230"/>
    </row>
    <row r="654">
      <c r="A654" s="346"/>
      <c r="B654" s="347"/>
      <c r="C654" s="284"/>
      <c r="D654" s="284"/>
      <c r="E654" s="285"/>
      <c r="F654" s="230"/>
      <c r="G654" s="230"/>
      <c r="H654" s="230"/>
      <c r="I654" s="230"/>
      <c r="J654" s="339"/>
      <c r="K654" s="340"/>
      <c r="L654" s="340"/>
      <c r="M654" s="230"/>
      <c r="N654" s="230"/>
      <c r="O654" s="230"/>
      <c r="P654" s="230"/>
      <c r="Q654" s="230"/>
      <c r="R654" s="230"/>
      <c r="S654" s="230"/>
      <c r="T654" s="230"/>
      <c r="U654" s="230"/>
      <c r="V654" s="230"/>
      <c r="W654" s="230"/>
      <c r="X654" s="230"/>
      <c r="Y654" s="230"/>
      <c r="Z654" s="230"/>
    </row>
    <row r="655">
      <c r="A655" s="346"/>
      <c r="B655" s="347"/>
      <c r="C655" s="284"/>
      <c r="D655" s="284"/>
      <c r="E655" s="285"/>
      <c r="F655" s="230"/>
      <c r="G655" s="230"/>
      <c r="H655" s="230"/>
      <c r="I655" s="230"/>
      <c r="J655" s="339"/>
      <c r="K655" s="340"/>
      <c r="L655" s="340"/>
      <c r="M655" s="230"/>
      <c r="N655" s="230"/>
      <c r="O655" s="230"/>
      <c r="P655" s="230"/>
      <c r="Q655" s="230"/>
      <c r="R655" s="230"/>
      <c r="S655" s="230"/>
      <c r="T655" s="230"/>
      <c r="U655" s="230"/>
      <c r="V655" s="230"/>
      <c r="W655" s="230"/>
      <c r="X655" s="230"/>
      <c r="Y655" s="230"/>
      <c r="Z655" s="230"/>
    </row>
    <row r="656">
      <c r="A656" s="346"/>
      <c r="B656" s="347"/>
      <c r="C656" s="284"/>
      <c r="D656" s="284"/>
      <c r="E656" s="285"/>
      <c r="F656" s="230"/>
      <c r="G656" s="230"/>
      <c r="H656" s="230"/>
      <c r="I656" s="230"/>
      <c r="J656" s="339"/>
      <c r="K656" s="340"/>
      <c r="L656" s="340"/>
      <c r="M656" s="230"/>
      <c r="N656" s="230"/>
      <c r="O656" s="230"/>
      <c r="P656" s="230"/>
      <c r="Q656" s="230"/>
      <c r="R656" s="230"/>
      <c r="S656" s="230"/>
      <c r="T656" s="230"/>
      <c r="U656" s="230"/>
      <c r="V656" s="230"/>
      <c r="W656" s="230"/>
      <c r="X656" s="230"/>
      <c r="Y656" s="230"/>
      <c r="Z656" s="230"/>
    </row>
    <row r="657">
      <c r="A657" s="346"/>
      <c r="B657" s="347"/>
      <c r="C657" s="284"/>
      <c r="D657" s="284"/>
      <c r="E657" s="285"/>
      <c r="F657" s="230"/>
      <c r="G657" s="230"/>
      <c r="H657" s="230"/>
      <c r="I657" s="230"/>
      <c r="J657" s="339"/>
      <c r="K657" s="340"/>
      <c r="L657" s="340"/>
      <c r="M657" s="230"/>
      <c r="N657" s="230"/>
      <c r="O657" s="230"/>
      <c r="P657" s="230"/>
      <c r="Q657" s="230"/>
      <c r="R657" s="230"/>
      <c r="S657" s="230"/>
      <c r="T657" s="230"/>
      <c r="U657" s="230"/>
      <c r="V657" s="230"/>
      <c r="W657" s="230"/>
      <c r="X657" s="230"/>
      <c r="Y657" s="230"/>
      <c r="Z657" s="230"/>
    </row>
    <row r="658">
      <c r="A658" s="346"/>
      <c r="B658" s="347"/>
      <c r="C658" s="284"/>
      <c r="D658" s="284"/>
      <c r="E658" s="285"/>
      <c r="F658" s="230"/>
      <c r="G658" s="230"/>
      <c r="H658" s="230"/>
      <c r="I658" s="230"/>
      <c r="J658" s="339"/>
      <c r="K658" s="340"/>
      <c r="L658" s="340"/>
      <c r="M658" s="230"/>
      <c r="N658" s="230"/>
      <c r="O658" s="230"/>
      <c r="P658" s="230"/>
      <c r="Q658" s="230"/>
      <c r="R658" s="230"/>
      <c r="S658" s="230"/>
      <c r="T658" s="230"/>
      <c r="U658" s="230"/>
      <c r="V658" s="230"/>
      <c r="W658" s="230"/>
      <c r="X658" s="230"/>
      <c r="Y658" s="230"/>
      <c r="Z658" s="230"/>
    </row>
    <row r="659">
      <c r="A659" s="346"/>
      <c r="B659" s="347"/>
      <c r="C659" s="284"/>
      <c r="D659" s="284"/>
      <c r="E659" s="285"/>
      <c r="F659" s="230"/>
      <c r="G659" s="230"/>
      <c r="H659" s="230"/>
      <c r="I659" s="230"/>
      <c r="J659" s="339"/>
      <c r="K659" s="340"/>
      <c r="L659" s="340"/>
      <c r="M659" s="230"/>
      <c r="N659" s="230"/>
      <c r="O659" s="230"/>
      <c r="P659" s="230"/>
      <c r="Q659" s="230"/>
      <c r="R659" s="230"/>
      <c r="S659" s="230"/>
      <c r="T659" s="230"/>
      <c r="U659" s="230"/>
      <c r="V659" s="230"/>
      <c r="W659" s="230"/>
      <c r="X659" s="230"/>
      <c r="Y659" s="230"/>
      <c r="Z659" s="230"/>
    </row>
    <row r="660">
      <c r="A660" s="346"/>
      <c r="B660" s="347"/>
      <c r="C660" s="284"/>
      <c r="D660" s="284"/>
      <c r="E660" s="285"/>
      <c r="F660" s="230"/>
      <c r="G660" s="230"/>
      <c r="H660" s="230"/>
      <c r="I660" s="230"/>
      <c r="J660" s="339"/>
      <c r="K660" s="340"/>
      <c r="L660" s="340"/>
      <c r="M660" s="230"/>
      <c r="N660" s="230"/>
      <c r="O660" s="230"/>
      <c r="P660" s="230"/>
      <c r="Q660" s="230"/>
      <c r="R660" s="230"/>
      <c r="S660" s="230"/>
      <c r="T660" s="230"/>
      <c r="U660" s="230"/>
      <c r="V660" s="230"/>
      <c r="W660" s="230"/>
      <c r="X660" s="230"/>
      <c r="Y660" s="230"/>
      <c r="Z660" s="230"/>
    </row>
    <row r="661">
      <c r="A661" s="346"/>
      <c r="B661" s="347"/>
      <c r="C661" s="284"/>
      <c r="D661" s="284"/>
      <c r="E661" s="285"/>
      <c r="F661" s="230"/>
      <c r="G661" s="230"/>
      <c r="H661" s="230"/>
      <c r="I661" s="230"/>
      <c r="J661" s="339"/>
      <c r="K661" s="340"/>
      <c r="L661" s="340"/>
      <c r="M661" s="230"/>
      <c r="N661" s="230"/>
      <c r="O661" s="230"/>
      <c r="P661" s="230"/>
      <c r="Q661" s="230"/>
      <c r="R661" s="230"/>
      <c r="S661" s="230"/>
      <c r="T661" s="230"/>
      <c r="U661" s="230"/>
      <c r="V661" s="230"/>
      <c r="W661" s="230"/>
      <c r="X661" s="230"/>
      <c r="Y661" s="230"/>
      <c r="Z661" s="230"/>
    </row>
    <row r="662">
      <c r="A662" s="346"/>
      <c r="B662" s="347"/>
      <c r="C662" s="284"/>
      <c r="D662" s="284"/>
      <c r="E662" s="285"/>
      <c r="F662" s="230"/>
      <c r="G662" s="230"/>
      <c r="H662" s="230"/>
      <c r="I662" s="230"/>
      <c r="J662" s="339"/>
      <c r="K662" s="340"/>
      <c r="L662" s="340"/>
      <c r="M662" s="230"/>
      <c r="N662" s="230"/>
      <c r="O662" s="230"/>
      <c r="P662" s="230"/>
      <c r="Q662" s="230"/>
      <c r="R662" s="230"/>
      <c r="S662" s="230"/>
      <c r="T662" s="230"/>
      <c r="U662" s="230"/>
      <c r="V662" s="230"/>
      <c r="W662" s="230"/>
      <c r="X662" s="230"/>
      <c r="Y662" s="230"/>
      <c r="Z662" s="230"/>
    </row>
    <row r="663">
      <c r="A663" s="346"/>
      <c r="B663" s="347"/>
      <c r="C663" s="284"/>
      <c r="D663" s="284"/>
      <c r="E663" s="285"/>
      <c r="F663" s="230"/>
      <c r="G663" s="230"/>
      <c r="H663" s="230"/>
      <c r="I663" s="230"/>
      <c r="J663" s="339"/>
      <c r="K663" s="340"/>
      <c r="L663" s="340"/>
      <c r="M663" s="230"/>
      <c r="N663" s="230"/>
      <c r="O663" s="230"/>
      <c r="P663" s="230"/>
      <c r="Q663" s="230"/>
      <c r="R663" s="230"/>
      <c r="S663" s="230"/>
      <c r="T663" s="230"/>
      <c r="U663" s="230"/>
      <c r="V663" s="230"/>
      <c r="W663" s="230"/>
      <c r="X663" s="230"/>
      <c r="Y663" s="230"/>
      <c r="Z663" s="230"/>
    </row>
    <row r="664">
      <c r="A664" s="346"/>
      <c r="B664" s="347"/>
      <c r="C664" s="284"/>
      <c r="D664" s="284"/>
      <c r="E664" s="285"/>
      <c r="F664" s="230"/>
      <c r="G664" s="230"/>
      <c r="H664" s="230"/>
      <c r="I664" s="230"/>
      <c r="J664" s="339"/>
      <c r="K664" s="340"/>
      <c r="L664" s="340"/>
      <c r="M664" s="230"/>
      <c r="N664" s="230"/>
      <c r="O664" s="230"/>
      <c r="P664" s="230"/>
      <c r="Q664" s="230"/>
      <c r="R664" s="230"/>
      <c r="S664" s="230"/>
      <c r="T664" s="230"/>
      <c r="U664" s="230"/>
      <c r="V664" s="230"/>
      <c r="W664" s="230"/>
      <c r="X664" s="230"/>
      <c r="Y664" s="230"/>
      <c r="Z664" s="230"/>
    </row>
    <row r="665">
      <c r="A665" s="346"/>
      <c r="B665" s="347"/>
      <c r="C665" s="284"/>
      <c r="D665" s="284"/>
      <c r="E665" s="285"/>
      <c r="F665" s="230"/>
      <c r="G665" s="230"/>
      <c r="H665" s="230"/>
      <c r="I665" s="230"/>
      <c r="J665" s="339"/>
      <c r="K665" s="340"/>
      <c r="L665" s="340"/>
      <c r="M665" s="230"/>
      <c r="N665" s="230"/>
      <c r="O665" s="230"/>
      <c r="P665" s="230"/>
      <c r="Q665" s="230"/>
      <c r="R665" s="230"/>
      <c r="S665" s="230"/>
      <c r="T665" s="230"/>
      <c r="U665" s="230"/>
      <c r="V665" s="230"/>
      <c r="W665" s="230"/>
      <c r="X665" s="230"/>
      <c r="Y665" s="230"/>
      <c r="Z665" s="230"/>
    </row>
    <row r="666">
      <c r="A666" s="346"/>
      <c r="B666" s="347"/>
      <c r="C666" s="284"/>
      <c r="D666" s="284"/>
      <c r="E666" s="285"/>
      <c r="F666" s="230"/>
      <c r="G666" s="230"/>
      <c r="H666" s="230"/>
      <c r="I666" s="230"/>
      <c r="J666" s="339"/>
      <c r="K666" s="340"/>
      <c r="L666" s="340"/>
      <c r="M666" s="230"/>
      <c r="N666" s="230"/>
      <c r="O666" s="230"/>
      <c r="P666" s="230"/>
      <c r="Q666" s="230"/>
      <c r="R666" s="230"/>
      <c r="S666" s="230"/>
      <c r="T666" s="230"/>
      <c r="U666" s="230"/>
      <c r="V666" s="230"/>
      <c r="W666" s="230"/>
      <c r="X666" s="230"/>
      <c r="Y666" s="230"/>
      <c r="Z666" s="230"/>
    </row>
    <row r="667">
      <c r="A667" s="346"/>
      <c r="B667" s="347"/>
      <c r="C667" s="284"/>
      <c r="D667" s="284"/>
      <c r="E667" s="285"/>
      <c r="F667" s="230"/>
      <c r="G667" s="230"/>
      <c r="H667" s="230"/>
      <c r="I667" s="230"/>
      <c r="J667" s="339"/>
      <c r="K667" s="340"/>
      <c r="L667" s="340"/>
      <c r="M667" s="230"/>
      <c r="N667" s="230"/>
      <c r="O667" s="230"/>
      <c r="P667" s="230"/>
      <c r="Q667" s="230"/>
      <c r="R667" s="230"/>
      <c r="S667" s="230"/>
      <c r="T667" s="230"/>
      <c r="U667" s="230"/>
      <c r="V667" s="230"/>
      <c r="W667" s="230"/>
      <c r="X667" s="230"/>
      <c r="Y667" s="230"/>
      <c r="Z667" s="230"/>
    </row>
    <row r="668">
      <c r="A668" s="346"/>
      <c r="B668" s="347"/>
      <c r="C668" s="284"/>
      <c r="D668" s="284"/>
      <c r="E668" s="285"/>
      <c r="F668" s="230"/>
      <c r="G668" s="230"/>
      <c r="H668" s="230"/>
      <c r="I668" s="230"/>
      <c r="J668" s="339"/>
      <c r="K668" s="340"/>
      <c r="L668" s="340"/>
      <c r="M668" s="230"/>
      <c r="N668" s="230"/>
      <c r="O668" s="230"/>
      <c r="P668" s="230"/>
      <c r="Q668" s="230"/>
      <c r="R668" s="230"/>
      <c r="S668" s="230"/>
      <c r="T668" s="230"/>
      <c r="U668" s="230"/>
      <c r="V668" s="230"/>
      <c r="W668" s="230"/>
      <c r="X668" s="230"/>
      <c r="Y668" s="230"/>
      <c r="Z668" s="230"/>
    </row>
    <row r="669">
      <c r="A669" s="346"/>
      <c r="B669" s="347"/>
      <c r="C669" s="284"/>
      <c r="D669" s="284"/>
      <c r="E669" s="285"/>
      <c r="F669" s="230"/>
      <c r="G669" s="230"/>
      <c r="H669" s="230"/>
      <c r="I669" s="230"/>
      <c r="J669" s="339"/>
      <c r="K669" s="340"/>
      <c r="L669" s="340"/>
      <c r="M669" s="230"/>
      <c r="N669" s="230"/>
      <c r="O669" s="230"/>
      <c r="P669" s="230"/>
      <c r="Q669" s="230"/>
      <c r="R669" s="230"/>
      <c r="S669" s="230"/>
      <c r="T669" s="230"/>
      <c r="U669" s="230"/>
      <c r="V669" s="230"/>
      <c r="W669" s="230"/>
      <c r="X669" s="230"/>
      <c r="Y669" s="230"/>
      <c r="Z669" s="230"/>
    </row>
    <row r="670">
      <c r="A670" s="346"/>
      <c r="B670" s="347"/>
      <c r="C670" s="284"/>
      <c r="D670" s="284"/>
      <c r="E670" s="285"/>
      <c r="F670" s="230"/>
      <c r="G670" s="230"/>
      <c r="H670" s="230"/>
      <c r="I670" s="230"/>
      <c r="J670" s="339"/>
      <c r="K670" s="340"/>
      <c r="L670" s="340"/>
      <c r="M670" s="230"/>
      <c r="N670" s="230"/>
      <c r="O670" s="230"/>
      <c r="P670" s="230"/>
      <c r="Q670" s="230"/>
      <c r="R670" s="230"/>
      <c r="S670" s="230"/>
      <c r="T670" s="230"/>
      <c r="U670" s="230"/>
      <c r="V670" s="230"/>
      <c r="W670" s="230"/>
      <c r="X670" s="230"/>
      <c r="Y670" s="230"/>
      <c r="Z670" s="230"/>
    </row>
    <row r="671">
      <c r="A671" s="346"/>
      <c r="B671" s="347"/>
      <c r="C671" s="284"/>
      <c r="D671" s="284"/>
      <c r="E671" s="285"/>
      <c r="F671" s="230"/>
      <c r="G671" s="230"/>
      <c r="H671" s="230"/>
      <c r="I671" s="230"/>
      <c r="J671" s="339"/>
      <c r="K671" s="340"/>
      <c r="L671" s="340"/>
      <c r="M671" s="230"/>
      <c r="N671" s="230"/>
      <c r="O671" s="230"/>
      <c r="P671" s="230"/>
      <c r="Q671" s="230"/>
      <c r="R671" s="230"/>
      <c r="S671" s="230"/>
      <c r="T671" s="230"/>
      <c r="U671" s="230"/>
      <c r="V671" s="230"/>
      <c r="W671" s="230"/>
      <c r="X671" s="230"/>
      <c r="Y671" s="230"/>
      <c r="Z671" s="230"/>
    </row>
    <row r="672">
      <c r="A672" s="346"/>
      <c r="B672" s="347"/>
      <c r="C672" s="284"/>
      <c r="D672" s="284"/>
      <c r="E672" s="285"/>
      <c r="F672" s="230"/>
      <c r="G672" s="230"/>
      <c r="H672" s="230"/>
      <c r="I672" s="230"/>
      <c r="J672" s="339"/>
      <c r="K672" s="340"/>
      <c r="L672" s="340"/>
      <c r="M672" s="230"/>
      <c r="N672" s="230"/>
      <c r="O672" s="230"/>
      <c r="P672" s="230"/>
      <c r="Q672" s="230"/>
      <c r="R672" s="230"/>
      <c r="S672" s="230"/>
      <c r="T672" s="230"/>
      <c r="U672" s="230"/>
      <c r="V672" s="230"/>
      <c r="W672" s="230"/>
      <c r="X672" s="230"/>
      <c r="Y672" s="230"/>
      <c r="Z672" s="230"/>
    </row>
    <row r="673">
      <c r="A673" s="346"/>
      <c r="B673" s="347"/>
      <c r="C673" s="284"/>
      <c r="D673" s="284"/>
      <c r="E673" s="285"/>
      <c r="F673" s="230"/>
      <c r="G673" s="230"/>
      <c r="H673" s="230"/>
      <c r="I673" s="230"/>
      <c r="J673" s="339"/>
      <c r="K673" s="340"/>
      <c r="L673" s="340"/>
      <c r="M673" s="230"/>
      <c r="N673" s="230"/>
      <c r="O673" s="230"/>
      <c r="P673" s="230"/>
      <c r="Q673" s="230"/>
      <c r="R673" s="230"/>
      <c r="S673" s="230"/>
      <c r="T673" s="230"/>
      <c r="U673" s="230"/>
      <c r="V673" s="230"/>
      <c r="W673" s="230"/>
      <c r="X673" s="230"/>
      <c r="Y673" s="230"/>
      <c r="Z673" s="230"/>
    </row>
    <row r="674">
      <c r="A674" s="346"/>
      <c r="B674" s="347"/>
      <c r="C674" s="284"/>
      <c r="D674" s="284"/>
      <c r="E674" s="285"/>
      <c r="F674" s="230"/>
      <c r="G674" s="230"/>
      <c r="H674" s="230"/>
      <c r="I674" s="230"/>
      <c r="J674" s="339"/>
      <c r="K674" s="340"/>
      <c r="L674" s="340"/>
      <c r="M674" s="230"/>
      <c r="N674" s="230"/>
      <c r="O674" s="230"/>
      <c r="P674" s="230"/>
      <c r="Q674" s="230"/>
      <c r="R674" s="230"/>
      <c r="S674" s="230"/>
      <c r="T674" s="230"/>
      <c r="U674" s="230"/>
      <c r="V674" s="230"/>
      <c r="W674" s="230"/>
      <c r="X674" s="230"/>
      <c r="Y674" s="230"/>
      <c r="Z674" s="230"/>
    </row>
    <row r="675">
      <c r="A675" s="346"/>
      <c r="B675" s="347"/>
      <c r="C675" s="284"/>
      <c r="D675" s="284"/>
      <c r="E675" s="285"/>
      <c r="F675" s="230"/>
      <c r="G675" s="230"/>
      <c r="H675" s="230"/>
      <c r="I675" s="230"/>
      <c r="J675" s="339"/>
      <c r="K675" s="340"/>
      <c r="L675" s="340"/>
      <c r="M675" s="230"/>
      <c r="N675" s="230"/>
      <c r="O675" s="230"/>
      <c r="P675" s="230"/>
      <c r="Q675" s="230"/>
      <c r="R675" s="230"/>
      <c r="S675" s="230"/>
      <c r="T675" s="230"/>
      <c r="U675" s="230"/>
      <c r="V675" s="230"/>
      <c r="W675" s="230"/>
      <c r="X675" s="230"/>
      <c r="Y675" s="230"/>
      <c r="Z675" s="230"/>
    </row>
    <row r="676">
      <c r="A676" s="346"/>
      <c r="B676" s="347"/>
      <c r="C676" s="284"/>
      <c r="D676" s="284"/>
      <c r="E676" s="285"/>
      <c r="F676" s="230"/>
      <c r="G676" s="230"/>
      <c r="H676" s="230"/>
      <c r="I676" s="230"/>
      <c r="J676" s="339"/>
      <c r="K676" s="340"/>
      <c r="L676" s="340"/>
      <c r="M676" s="230"/>
      <c r="N676" s="230"/>
      <c r="O676" s="230"/>
      <c r="P676" s="230"/>
      <c r="Q676" s="230"/>
      <c r="R676" s="230"/>
      <c r="S676" s="230"/>
      <c r="T676" s="230"/>
      <c r="U676" s="230"/>
      <c r="V676" s="230"/>
      <c r="W676" s="230"/>
      <c r="X676" s="230"/>
      <c r="Y676" s="230"/>
      <c r="Z676" s="230"/>
    </row>
    <row r="677">
      <c r="A677" s="346"/>
      <c r="B677" s="347"/>
      <c r="C677" s="284"/>
      <c r="D677" s="284"/>
      <c r="E677" s="285"/>
      <c r="F677" s="230"/>
      <c r="G677" s="230"/>
      <c r="H677" s="230"/>
      <c r="I677" s="230"/>
      <c r="J677" s="339"/>
      <c r="K677" s="340"/>
      <c r="L677" s="340"/>
      <c r="M677" s="230"/>
      <c r="N677" s="230"/>
      <c r="O677" s="230"/>
      <c r="P677" s="230"/>
      <c r="Q677" s="230"/>
      <c r="R677" s="230"/>
      <c r="S677" s="230"/>
      <c r="T677" s="230"/>
      <c r="U677" s="230"/>
      <c r="V677" s="230"/>
      <c r="W677" s="230"/>
      <c r="X677" s="230"/>
      <c r="Y677" s="230"/>
      <c r="Z677" s="230"/>
    </row>
    <row r="678">
      <c r="A678" s="346"/>
      <c r="B678" s="347"/>
      <c r="C678" s="284"/>
      <c r="D678" s="284"/>
      <c r="E678" s="285"/>
      <c r="F678" s="230"/>
      <c r="G678" s="230"/>
      <c r="H678" s="230"/>
      <c r="I678" s="230"/>
      <c r="J678" s="339"/>
      <c r="K678" s="340"/>
      <c r="L678" s="340"/>
      <c r="M678" s="230"/>
      <c r="N678" s="230"/>
      <c r="O678" s="230"/>
      <c r="P678" s="230"/>
      <c r="Q678" s="230"/>
      <c r="R678" s="230"/>
      <c r="S678" s="230"/>
      <c r="T678" s="230"/>
      <c r="U678" s="230"/>
      <c r="V678" s="230"/>
      <c r="W678" s="230"/>
      <c r="X678" s="230"/>
      <c r="Y678" s="230"/>
      <c r="Z678" s="230"/>
    </row>
    <row r="679">
      <c r="A679" s="346"/>
      <c r="B679" s="347"/>
      <c r="C679" s="284"/>
      <c r="D679" s="284"/>
      <c r="E679" s="285"/>
      <c r="F679" s="230"/>
      <c r="G679" s="230"/>
      <c r="H679" s="230"/>
      <c r="I679" s="230"/>
      <c r="J679" s="339"/>
      <c r="K679" s="340"/>
      <c r="L679" s="340"/>
      <c r="M679" s="230"/>
      <c r="N679" s="230"/>
      <c r="O679" s="230"/>
      <c r="P679" s="230"/>
      <c r="Q679" s="230"/>
      <c r="R679" s="230"/>
      <c r="S679" s="230"/>
      <c r="T679" s="230"/>
      <c r="U679" s="230"/>
      <c r="V679" s="230"/>
      <c r="W679" s="230"/>
      <c r="X679" s="230"/>
      <c r="Y679" s="230"/>
      <c r="Z679" s="230"/>
    </row>
    <row r="680">
      <c r="A680" s="346"/>
      <c r="B680" s="347"/>
      <c r="C680" s="284"/>
      <c r="D680" s="284"/>
      <c r="E680" s="285"/>
      <c r="F680" s="230"/>
      <c r="G680" s="230"/>
      <c r="H680" s="230"/>
      <c r="I680" s="230"/>
      <c r="J680" s="339"/>
      <c r="K680" s="340"/>
      <c r="L680" s="340"/>
      <c r="M680" s="230"/>
      <c r="N680" s="230"/>
      <c r="O680" s="230"/>
      <c r="P680" s="230"/>
      <c r="Q680" s="230"/>
      <c r="R680" s="230"/>
      <c r="S680" s="230"/>
      <c r="T680" s="230"/>
      <c r="U680" s="230"/>
      <c r="V680" s="230"/>
      <c r="W680" s="230"/>
      <c r="X680" s="230"/>
      <c r="Y680" s="230"/>
      <c r="Z680" s="230"/>
    </row>
    <row r="681">
      <c r="A681" s="346"/>
      <c r="B681" s="347"/>
      <c r="C681" s="284"/>
      <c r="D681" s="284"/>
      <c r="E681" s="285"/>
      <c r="F681" s="230"/>
      <c r="G681" s="230"/>
      <c r="H681" s="230"/>
      <c r="I681" s="230"/>
      <c r="J681" s="339"/>
      <c r="K681" s="340"/>
      <c r="L681" s="340"/>
      <c r="M681" s="230"/>
      <c r="N681" s="230"/>
      <c r="O681" s="230"/>
      <c r="P681" s="230"/>
      <c r="Q681" s="230"/>
      <c r="R681" s="230"/>
      <c r="S681" s="230"/>
      <c r="T681" s="230"/>
      <c r="U681" s="230"/>
      <c r="V681" s="230"/>
      <c r="W681" s="230"/>
      <c r="X681" s="230"/>
      <c r="Y681" s="230"/>
      <c r="Z681" s="230"/>
    </row>
    <row r="682">
      <c r="A682" s="346"/>
      <c r="B682" s="347"/>
      <c r="C682" s="284"/>
      <c r="D682" s="284"/>
      <c r="E682" s="285"/>
      <c r="F682" s="230"/>
      <c r="G682" s="230"/>
      <c r="H682" s="230"/>
      <c r="I682" s="230"/>
      <c r="J682" s="339"/>
      <c r="K682" s="340"/>
      <c r="L682" s="340"/>
      <c r="M682" s="230"/>
      <c r="N682" s="230"/>
      <c r="O682" s="230"/>
      <c r="P682" s="230"/>
      <c r="Q682" s="230"/>
      <c r="R682" s="230"/>
      <c r="S682" s="230"/>
      <c r="T682" s="230"/>
      <c r="U682" s="230"/>
      <c r="V682" s="230"/>
      <c r="W682" s="230"/>
      <c r="X682" s="230"/>
      <c r="Y682" s="230"/>
      <c r="Z682" s="230"/>
    </row>
    <row r="683">
      <c r="A683" s="346"/>
      <c r="B683" s="347"/>
      <c r="C683" s="284"/>
      <c r="D683" s="284"/>
      <c r="E683" s="285"/>
      <c r="F683" s="230"/>
      <c r="G683" s="230"/>
      <c r="H683" s="230"/>
      <c r="I683" s="230"/>
      <c r="J683" s="339"/>
      <c r="K683" s="340"/>
      <c r="L683" s="340"/>
      <c r="M683" s="230"/>
      <c r="N683" s="230"/>
      <c r="O683" s="230"/>
      <c r="P683" s="230"/>
      <c r="Q683" s="230"/>
      <c r="R683" s="230"/>
      <c r="S683" s="230"/>
      <c r="T683" s="230"/>
      <c r="U683" s="230"/>
      <c r="V683" s="230"/>
      <c r="W683" s="230"/>
      <c r="X683" s="230"/>
      <c r="Y683" s="230"/>
      <c r="Z683" s="230"/>
    </row>
    <row r="684">
      <c r="A684" s="346"/>
      <c r="B684" s="347"/>
      <c r="C684" s="284"/>
      <c r="D684" s="284"/>
      <c r="E684" s="285"/>
      <c r="F684" s="230"/>
      <c r="G684" s="230"/>
      <c r="H684" s="230"/>
      <c r="I684" s="230"/>
      <c r="J684" s="339"/>
      <c r="K684" s="340"/>
      <c r="L684" s="340"/>
      <c r="M684" s="230"/>
      <c r="N684" s="230"/>
      <c r="O684" s="230"/>
      <c r="P684" s="230"/>
      <c r="Q684" s="230"/>
      <c r="R684" s="230"/>
      <c r="S684" s="230"/>
      <c r="T684" s="230"/>
      <c r="U684" s="230"/>
      <c r="V684" s="230"/>
      <c r="W684" s="230"/>
      <c r="X684" s="230"/>
      <c r="Y684" s="230"/>
      <c r="Z684" s="230"/>
    </row>
    <row r="685">
      <c r="A685" s="346"/>
      <c r="B685" s="347"/>
      <c r="C685" s="284"/>
      <c r="D685" s="284"/>
      <c r="E685" s="285"/>
      <c r="F685" s="230"/>
      <c r="G685" s="230"/>
      <c r="H685" s="230"/>
      <c r="I685" s="230"/>
      <c r="J685" s="339"/>
      <c r="K685" s="340"/>
      <c r="L685" s="340"/>
      <c r="M685" s="230"/>
      <c r="N685" s="230"/>
      <c r="O685" s="230"/>
      <c r="P685" s="230"/>
      <c r="Q685" s="230"/>
      <c r="R685" s="230"/>
      <c r="S685" s="230"/>
      <c r="T685" s="230"/>
      <c r="U685" s="230"/>
      <c r="V685" s="230"/>
      <c r="W685" s="230"/>
      <c r="X685" s="230"/>
      <c r="Y685" s="230"/>
      <c r="Z685" s="230"/>
    </row>
    <row r="686">
      <c r="A686" s="346"/>
      <c r="B686" s="347"/>
      <c r="C686" s="284"/>
      <c r="D686" s="284"/>
      <c r="E686" s="285"/>
      <c r="F686" s="230"/>
      <c r="G686" s="230"/>
      <c r="H686" s="230"/>
      <c r="I686" s="230"/>
      <c r="J686" s="339"/>
      <c r="K686" s="340"/>
      <c r="L686" s="340"/>
      <c r="M686" s="230"/>
      <c r="N686" s="230"/>
      <c r="O686" s="230"/>
      <c r="P686" s="230"/>
      <c r="Q686" s="230"/>
      <c r="R686" s="230"/>
      <c r="S686" s="230"/>
      <c r="T686" s="230"/>
      <c r="U686" s="230"/>
      <c r="V686" s="230"/>
      <c r="W686" s="230"/>
      <c r="X686" s="230"/>
      <c r="Y686" s="230"/>
      <c r="Z686" s="230"/>
    </row>
    <row r="687">
      <c r="A687" s="346"/>
      <c r="B687" s="347"/>
      <c r="C687" s="284"/>
      <c r="D687" s="284"/>
      <c r="E687" s="285"/>
      <c r="F687" s="230"/>
      <c r="G687" s="230"/>
      <c r="H687" s="230"/>
      <c r="I687" s="230"/>
      <c r="J687" s="339"/>
      <c r="K687" s="340"/>
      <c r="L687" s="340"/>
      <c r="M687" s="230"/>
      <c r="N687" s="230"/>
      <c r="O687" s="230"/>
      <c r="P687" s="230"/>
      <c r="Q687" s="230"/>
      <c r="R687" s="230"/>
      <c r="S687" s="230"/>
      <c r="T687" s="230"/>
      <c r="U687" s="230"/>
      <c r="V687" s="230"/>
      <c r="W687" s="230"/>
      <c r="X687" s="230"/>
      <c r="Y687" s="230"/>
      <c r="Z687" s="230"/>
    </row>
    <row r="688">
      <c r="A688" s="346"/>
      <c r="B688" s="347"/>
      <c r="C688" s="284"/>
      <c r="D688" s="284"/>
      <c r="E688" s="285"/>
      <c r="F688" s="230"/>
      <c r="G688" s="230"/>
      <c r="H688" s="230"/>
      <c r="I688" s="230"/>
      <c r="J688" s="339"/>
      <c r="K688" s="340"/>
      <c r="L688" s="340"/>
      <c r="M688" s="230"/>
      <c r="N688" s="230"/>
      <c r="O688" s="230"/>
      <c r="P688" s="230"/>
      <c r="Q688" s="230"/>
      <c r="R688" s="230"/>
      <c r="S688" s="230"/>
      <c r="T688" s="230"/>
      <c r="U688" s="230"/>
      <c r="V688" s="230"/>
      <c r="W688" s="230"/>
      <c r="X688" s="230"/>
      <c r="Y688" s="230"/>
      <c r="Z688" s="230"/>
    </row>
    <row r="689">
      <c r="A689" s="346"/>
      <c r="B689" s="347"/>
      <c r="C689" s="284"/>
      <c r="D689" s="284"/>
      <c r="E689" s="285"/>
      <c r="F689" s="230"/>
      <c r="G689" s="230"/>
      <c r="H689" s="230"/>
      <c r="I689" s="230"/>
      <c r="J689" s="339"/>
      <c r="K689" s="340"/>
      <c r="L689" s="340"/>
      <c r="M689" s="230"/>
      <c r="N689" s="230"/>
      <c r="O689" s="230"/>
      <c r="P689" s="230"/>
      <c r="Q689" s="230"/>
      <c r="R689" s="230"/>
      <c r="S689" s="230"/>
      <c r="T689" s="230"/>
      <c r="U689" s="230"/>
      <c r="V689" s="230"/>
      <c r="W689" s="230"/>
      <c r="X689" s="230"/>
      <c r="Y689" s="230"/>
      <c r="Z689" s="230"/>
    </row>
    <row r="690">
      <c r="A690" s="346"/>
      <c r="B690" s="347"/>
      <c r="C690" s="284"/>
      <c r="D690" s="284"/>
      <c r="E690" s="285"/>
      <c r="F690" s="230"/>
      <c r="G690" s="230"/>
      <c r="H690" s="230"/>
      <c r="I690" s="230"/>
      <c r="J690" s="339"/>
      <c r="K690" s="340"/>
      <c r="L690" s="340"/>
      <c r="M690" s="230"/>
      <c r="N690" s="230"/>
      <c r="O690" s="230"/>
      <c r="P690" s="230"/>
      <c r="Q690" s="230"/>
      <c r="R690" s="230"/>
      <c r="S690" s="230"/>
      <c r="T690" s="230"/>
      <c r="U690" s="230"/>
      <c r="V690" s="230"/>
      <c r="W690" s="230"/>
      <c r="X690" s="230"/>
      <c r="Y690" s="230"/>
      <c r="Z690" s="230"/>
    </row>
    <row r="691">
      <c r="A691" s="346"/>
      <c r="B691" s="347"/>
      <c r="C691" s="284"/>
      <c r="D691" s="284"/>
      <c r="E691" s="285"/>
      <c r="F691" s="230"/>
      <c r="G691" s="230"/>
      <c r="H691" s="230"/>
      <c r="I691" s="230"/>
      <c r="J691" s="339"/>
      <c r="K691" s="340"/>
      <c r="L691" s="340"/>
      <c r="M691" s="230"/>
      <c r="N691" s="230"/>
      <c r="O691" s="230"/>
      <c r="P691" s="230"/>
      <c r="Q691" s="230"/>
      <c r="R691" s="230"/>
      <c r="S691" s="230"/>
      <c r="T691" s="230"/>
      <c r="U691" s="230"/>
      <c r="V691" s="230"/>
      <c r="W691" s="230"/>
      <c r="X691" s="230"/>
      <c r="Y691" s="230"/>
      <c r="Z691" s="230"/>
    </row>
    <row r="692">
      <c r="A692" s="346"/>
      <c r="B692" s="347"/>
      <c r="C692" s="284"/>
      <c r="D692" s="284"/>
      <c r="E692" s="285"/>
      <c r="F692" s="230"/>
      <c r="G692" s="230"/>
      <c r="H692" s="230"/>
      <c r="I692" s="230"/>
      <c r="J692" s="339"/>
      <c r="K692" s="340"/>
      <c r="L692" s="340"/>
      <c r="M692" s="230"/>
      <c r="N692" s="230"/>
      <c r="O692" s="230"/>
      <c r="P692" s="230"/>
      <c r="Q692" s="230"/>
      <c r="R692" s="230"/>
      <c r="S692" s="230"/>
      <c r="T692" s="230"/>
      <c r="U692" s="230"/>
      <c r="V692" s="230"/>
      <c r="W692" s="230"/>
      <c r="X692" s="230"/>
      <c r="Y692" s="230"/>
      <c r="Z692" s="230"/>
    </row>
    <row r="693">
      <c r="A693" s="346"/>
      <c r="B693" s="347"/>
      <c r="C693" s="284"/>
      <c r="D693" s="284"/>
      <c r="E693" s="285"/>
      <c r="F693" s="230"/>
      <c r="G693" s="230"/>
      <c r="H693" s="230"/>
      <c r="I693" s="230"/>
      <c r="J693" s="339"/>
      <c r="K693" s="340"/>
      <c r="L693" s="340"/>
      <c r="M693" s="230"/>
      <c r="N693" s="230"/>
      <c r="O693" s="230"/>
      <c r="P693" s="230"/>
      <c r="Q693" s="230"/>
      <c r="R693" s="230"/>
      <c r="S693" s="230"/>
      <c r="T693" s="230"/>
      <c r="U693" s="230"/>
      <c r="V693" s="230"/>
      <c r="W693" s="230"/>
      <c r="X693" s="230"/>
      <c r="Y693" s="230"/>
      <c r="Z693" s="230"/>
    </row>
    <row r="694">
      <c r="A694" s="346"/>
      <c r="B694" s="347"/>
      <c r="C694" s="284"/>
      <c r="D694" s="284"/>
      <c r="E694" s="285"/>
      <c r="F694" s="230"/>
      <c r="G694" s="230"/>
      <c r="H694" s="230"/>
      <c r="I694" s="230"/>
      <c r="J694" s="339"/>
      <c r="K694" s="340"/>
      <c r="L694" s="340"/>
      <c r="M694" s="230"/>
      <c r="N694" s="230"/>
      <c r="O694" s="230"/>
      <c r="P694" s="230"/>
      <c r="Q694" s="230"/>
      <c r="R694" s="230"/>
      <c r="S694" s="230"/>
      <c r="T694" s="230"/>
      <c r="U694" s="230"/>
      <c r="V694" s="230"/>
      <c r="W694" s="230"/>
      <c r="X694" s="230"/>
      <c r="Y694" s="230"/>
      <c r="Z694" s="230"/>
    </row>
    <row r="695">
      <c r="A695" s="346"/>
      <c r="B695" s="347"/>
      <c r="C695" s="284"/>
      <c r="D695" s="284"/>
      <c r="E695" s="285"/>
      <c r="F695" s="230"/>
      <c r="G695" s="230"/>
      <c r="H695" s="230"/>
      <c r="I695" s="230"/>
      <c r="J695" s="339"/>
      <c r="K695" s="340"/>
      <c r="L695" s="340"/>
      <c r="M695" s="230"/>
      <c r="N695" s="230"/>
      <c r="O695" s="230"/>
      <c r="P695" s="230"/>
      <c r="Q695" s="230"/>
      <c r="R695" s="230"/>
      <c r="S695" s="230"/>
      <c r="T695" s="230"/>
      <c r="U695" s="230"/>
      <c r="V695" s="230"/>
      <c r="W695" s="230"/>
      <c r="X695" s="230"/>
      <c r="Y695" s="230"/>
      <c r="Z695" s="230"/>
    </row>
    <row r="696">
      <c r="A696" s="346"/>
      <c r="B696" s="347"/>
      <c r="C696" s="284"/>
      <c r="D696" s="284"/>
      <c r="E696" s="285"/>
      <c r="F696" s="230"/>
      <c r="G696" s="230"/>
      <c r="H696" s="230"/>
      <c r="I696" s="230"/>
      <c r="J696" s="339"/>
      <c r="K696" s="340"/>
      <c r="L696" s="340"/>
      <c r="M696" s="230"/>
      <c r="N696" s="230"/>
      <c r="O696" s="230"/>
      <c r="P696" s="230"/>
      <c r="Q696" s="230"/>
      <c r="R696" s="230"/>
      <c r="S696" s="230"/>
      <c r="T696" s="230"/>
      <c r="U696" s="230"/>
      <c r="V696" s="230"/>
      <c r="W696" s="230"/>
      <c r="X696" s="230"/>
      <c r="Y696" s="230"/>
      <c r="Z696" s="230"/>
    </row>
    <row r="697">
      <c r="A697" s="346"/>
      <c r="B697" s="347"/>
      <c r="C697" s="284"/>
      <c r="D697" s="284"/>
      <c r="E697" s="285"/>
      <c r="F697" s="230"/>
      <c r="G697" s="230"/>
      <c r="H697" s="230"/>
      <c r="I697" s="230"/>
      <c r="J697" s="339"/>
      <c r="K697" s="340"/>
      <c r="L697" s="340"/>
      <c r="M697" s="230"/>
      <c r="N697" s="230"/>
      <c r="O697" s="230"/>
      <c r="P697" s="230"/>
      <c r="Q697" s="230"/>
      <c r="R697" s="230"/>
      <c r="S697" s="230"/>
      <c r="T697" s="230"/>
      <c r="U697" s="230"/>
      <c r="V697" s="230"/>
      <c r="W697" s="230"/>
      <c r="X697" s="230"/>
      <c r="Y697" s="230"/>
      <c r="Z697" s="230"/>
    </row>
    <row r="698">
      <c r="A698" s="346"/>
      <c r="B698" s="347"/>
      <c r="C698" s="284"/>
      <c r="D698" s="284"/>
      <c r="E698" s="285"/>
      <c r="F698" s="230"/>
      <c r="G698" s="230"/>
      <c r="H698" s="230"/>
      <c r="I698" s="230"/>
      <c r="J698" s="339"/>
      <c r="K698" s="340"/>
      <c r="L698" s="340"/>
      <c r="M698" s="230"/>
      <c r="N698" s="230"/>
      <c r="O698" s="230"/>
      <c r="P698" s="230"/>
      <c r="Q698" s="230"/>
      <c r="R698" s="230"/>
      <c r="S698" s="230"/>
      <c r="T698" s="230"/>
      <c r="U698" s="230"/>
      <c r="V698" s="230"/>
      <c r="W698" s="230"/>
      <c r="X698" s="230"/>
      <c r="Y698" s="230"/>
      <c r="Z698" s="230"/>
    </row>
    <row r="699">
      <c r="A699" s="346"/>
      <c r="B699" s="347"/>
      <c r="C699" s="284"/>
      <c r="D699" s="284"/>
      <c r="E699" s="285"/>
      <c r="F699" s="230"/>
      <c r="G699" s="230"/>
      <c r="H699" s="230"/>
      <c r="I699" s="230"/>
      <c r="J699" s="339"/>
      <c r="K699" s="340"/>
      <c r="L699" s="340"/>
      <c r="M699" s="230"/>
      <c r="N699" s="230"/>
      <c r="O699" s="230"/>
      <c r="P699" s="230"/>
      <c r="Q699" s="230"/>
      <c r="R699" s="230"/>
      <c r="S699" s="230"/>
      <c r="T699" s="230"/>
      <c r="U699" s="230"/>
      <c r="V699" s="230"/>
      <c r="W699" s="230"/>
      <c r="X699" s="230"/>
      <c r="Y699" s="230"/>
      <c r="Z699" s="230"/>
    </row>
    <row r="700">
      <c r="A700" s="346"/>
      <c r="B700" s="347"/>
      <c r="C700" s="284"/>
      <c r="D700" s="284"/>
      <c r="E700" s="285"/>
      <c r="F700" s="230"/>
      <c r="G700" s="230"/>
      <c r="H700" s="230"/>
      <c r="I700" s="230"/>
      <c r="J700" s="339"/>
      <c r="K700" s="340"/>
      <c r="L700" s="340"/>
      <c r="M700" s="230"/>
      <c r="N700" s="230"/>
      <c r="O700" s="230"/>
      <c r="P700" s="230"/>
      <c r="Q700" s="230"/>
      <c r="R700" s="230"/>
      <c r="S700" s="230"/>
      <c r="T700" s="230"/>
      <c r="U700" s="230"/>
      <c r="V700" s="230"/>
      <c r="W700" s="230"/>
      <c r="X700" s="230"/>
      <c r="Y700" s="230"/>
      <c r="Z700" s="230"/>
    </row>
    <row r="701">
      <c r="A701" s="346"/>
      <c r="B701" s="347"/>
      <c r="C701" s="284"/>
      <c r="D701" s="284"/>
      <c r="E701" s="285"/>
      <c r="F701" s="230"/>
      <c r="G701" s="230"/>
      <c r="H701" s="230"/>
      <c r="I701" s="230"/>
      <c r="J701" s="339"/>
      <c r="K701" s="340"/>
      <c r="L701" s="340"/>
      <c r="M701" s="230"/>
      <c r="N701" s="230"/>
      <c r="O701" s="230"/>
      <c r="P701" s="230"/>
      <c r="Q701" s="230"/>
      <c r="R701" s="230"/>
      <c r="S701" s="230"/>
      <c r="T701" s="230"/>
      <c r="U701" s="230"/>
      <c r="V701" s="230"/>
      <c r="W701" s="230"/>
      <c r="X701" s="230"/>
      <c r="Y701" s="230"/>
      <c r="Z701" s="230"/>
    </row>
    <row r="702">
      <c r="A702" s="346"/>
      <c r="B702" s="347"/>
      <c r="C702" s="284"/>
      <c r="D702" s="284"/>
      <c r="E702" s="285"/>
      <c r="F702" s="230"/>
      <c r="G702" s="230"/>
      <c r="H702" s="230"/>
      <c r="I702" s="230"/>
      <c r="J702" s="339"/>
      <c r="K702" s="340"/>
      <c r="L702" s="340"/>
      <c r="M702" s="230"/>
      <c r="N702" s="230"/>
      <c r="O702" s="230"/>
      <c r="P702" s="230"/>
      <c r="Q702" s="230"/>
      <c r="R702" s="230"/>
      <c r="S702" s="230"/>
      <c r="T702" s="230"/>
      <c r="U702" s="230"/>
      <c r="V702" s="230"/>
      <c r="W702" s="230"/>
      <c r="X702" s="230"/>
      <c r="Y702" s="230"/>
      <c r="Z702" s="230"/>
    </row>
    <row r="703">
      <c r="A703" s="346"/>
      <c r="B703" s="347"/>
      <c r="C703" s="284"/>
      <c r="D703" s="284"/>
      <c r="E703" s="285"/>
      <c r="F703" s="230"/>
      <c r="G703" s="230"/>
      <c r="H703" s="230"/>
      <c r="I703" s="230"/>
      <c r="J703" s="339"/>
      <c r="K703" s="340"/>
      <c r="L703" s="340"/>
      <c r="M703" s="230"/>
      <c r="N703" s="230"/>
      <c r="O703" s="230"/>
      <c r="P703" s="230"/>
      <c r="Q703" s="230"/>
      <c r="R703" s="230"/>
      <c r="S703" s="230"/>
      <c r="T703" s="230"/>
      <c r="U703" s="230"/>
      <c r="V703" s="230"/>
      <c r="W703" s="230"/>
      <c r="X703" s="230"/>
      <c r="Y703" s="230"/>
      <c r="Z703" s="230"/>
    </row>
    <row r="704">
      <c r="A704" s="346"/>
      <c r="B704" s="347"/>
      <c r="C704" s="284"/>
      <c r="D704" s="284"/>
      <c r="E704" s="285"/>
      <c r="F704" s="230"/>
      <c r="G704" s="230"/>
      <c r="H704" s="230"/>
      <c r="I704" s="230"/>
      <c r="J704" s="339"/>
      <c r="K704" s="340"/>
      <c r="L704" s="340"/>
      <c r="M704" s="230"/>
      <c r="N704" s="230"/>
      <c r="O704" s="230"/>
      <c r="P704" s="230"/>
      <c r="Q704" s="230"/>
      <c r="R704" s="230"/>
      <c r="S704" s="230"/>
      <c r="T704" s="230"/>
      <c r="U704" s="230"/>
      <c r="V704" s="230"/>
      <c r="W704" s="230"/>
      <c r="X704" s="230"/>
      <c r="Y704" s="230"/>
      <c r="Z704" s="230"/>
    </row>
    <row r="705">
      <c r="A705" s="346"/>
      <c r="B705" s="347"/>
      <c r="C705" s="284"/>
      <c r="D705" s="284"/>
      <c r="E705" s="285"/>
      <c r="F705" s="230"/>
      <c r="G705" s="230"/>
      <c r="H705" s="230"/>
      <c r="I705" s="230"/>
      <c r="J705" s="339"/>
      <c r="K705" s="340"/>
      <c r="L705" s="340"/>
      <c r="M705" s="230"/>
      <c r="N705" s="230"/>
      <c r="O705" s="230"/>
      <c r="P705" s="230"/>
      <c r="Q705" s="230"/>
      <c r="R705" s="230"/>
      <c r="S705" s="230"/>
      <c r="T705" s="230"/>
      <c r="U705" s="230"/>
      <c r="V705" s="230"/>
      <c r="W705" s="230"/>
      <c r="X705" s="230"/>
      <c r="Y705" s="230"/>
      <c r="Z705" s="230"/>
    </row>
    <row r="706">
      <c r="A706" s="346"/>
      <c r="B706" s="347"/>
      <c r="C706" s="284"/>
      <c r="D706" s="284"/>
      <c r="E706" s="285"/>
      <c r="F706" s="230"/>
      <c r="G706" s="230"/>
      <c r="H706" s="230"/>
      <c r="I706" s="230"/>
      <c r="J706" s="339"/>
      <c r="K706" s="340"/>
      <c r="L706" s="340"/>
      <c r="M706" s="230"/>
      <c r="N706" s="230"/>
      <c r="O706" s="230"/>
      <c r="P706" s="230"/>
      <c r="Q706" s="230"/>
      <c r="R706" s="230"/>
      <c r="S706" s="230"/>
      <c r="T706" s="230"/>
      <c r="U706" s="230"/>
      <c r="V706" s="230"/>
      <c r="W706" s="230"/>
      <c r="X706" s="230"/>
      <c r="Y706" s="230"/>
      <c r="Z706" s="230"/>
    </row>
    <row r="707">
      <c r="A707" s="346"/>
      <c r="B707" s="347"/>
      <c r="C707" s="284"/>
      <c r="D707" s="284"/>
      <c r="E707" s="285"/>
      <c r="F707" s="230"/>
      <c r="G707" s="230"/>
      <c r="H707" s="230"/>
      <c r="I707" s="230"/>
      <c r="J707" s="339"/>
      <c r="K707" s="340"/>
      <c r="L707" s="340"/>
      <c r="M707" s="230"/>
      <c r="N707" s="230"/>
      <c r="O707" s="230"/>
      <c r="P707" s="230"/>
      <c r="Q707" s="230"/>
      <c r="R707" s="230"/>
      <c r="S707" s="230"/>
      <c r="T707" s="230"/>
      <c r="U707" s="230"/>
      <c r="V707" s="230"/>
      <c r="W707" s="230"/>
      <c r="X707" s="230"/>
      <c r="Y707" s="230"/>
      <c r="Z707" s="230"/>
    </row>
    <row r="708">
      <c r="A708" s="346"/>
      <c r="B708" s="347"/>
      <c r="C708" s="284"/>
      <c r="D708" s="284"/>
      <c r="E708" s="285"/>
      <c r="F708" s="230"/>
      <c r="G708" s="230"/>
      <c r="H708" s="230"/>
      <c r="I708" s="230"/>
      <c r="J708" s="339"/>
      <c r="K708" s="340"/>
      <c r="L708" s="340"/>
      <c r="M708" s="230"/>
      <c r="N708" s="230"/>
      <c r="O708" s="230"/>
      <c r="P708" s="230"/>
      <c r="Q708" s="230"/>
      <c r="R708" s="230"/>
      <c r="S708" s="230"/>
      <c r="T708" s="230"/>
      <c r="U708" s="230"/>
      <c r="V708" s="230"/>
      <c r="W708" s="230"/>
      <c r="X708" s="230"/>
      <c r="Y708" s="230"/>
      <c r="Z708" s="230"/>
    </row>
    <row r="709">
      <c r="A709" s="346"/>
      <c r="B709" s="347"/>
      <c r="C709" s="284"/>
      <c r="D709" s="284"/>
      <c r="E709" s="285"/>
      <c r="F709" s="230"/>
      <c r="G709" s="230"/>
      <c r="H709" s="230"/>
      <c r="I709" s="230"/>
      <c r="J709" s="339"/>
      <c r="K709" s="340"/>
      <c r="L709" s="340"/>
      <c r="M709" s="230"/>
      <c r="N709" s="230"/>
      <c r="O709" s="230"/>
      <c r="P709" s="230"/>
      <c r="Q709" s="230"/>
      <c r="R709" s="230"/>
      <c r="S709" s="230"/>
      <c r="T709" s="230"/>
      <c r="U709" s="230"/>
      <c r="V709" s="230"/>
      <c r="W709" s="230"/>
      <c r="X709" s="230"/>
      <c r="Y709" s="230"/>
      <c r="Z709" s="230"/>
    </row>
    <row r="710">
      <c r="A710" s="346"/>
      <c r="B710" s="347"/>
      <c r="C710" s="284"/>
      <c r="D710" s="284"/>
      <c r="E710" s="285"/>
      <c r="F710" s="230"/>
      <c r="G710" s="230"/>
      <c r="H710" s="230"/>
      <c r="I710" s="230"/>
      <c r="J710" s="339"/>
      <c r="K710" s="340"/>
      <c r="L710" s="340"/>
      <c r="M710" s="230"/>
      <c r="N710" s="230"/>
      <c r="O710" s="230"/>
      <c r="P710" s="230"/>
      <c r="Q710" s="230"/>
      <c r="R710" s="230"/>
      <c r="S710" s="230"/>
      <c r="T710" s="230"/>
      <c r="U710" s="230"/>
      <c r="V710" s="230"/>
      <c r="W710" s="230"/>
      <c r="X710" s="230"/>
      <c r="Y710" s="230"/>
      <c r="Z710" s="230"/>
    </row>
    <row r="711">
      <c r="A711" s="346"/>
      <c r="B711" s="347"/>
      <c r="C711" s="284"/>
      <c r="D711" s="284"/>
      <c r="E711" s="285"/>
      <c r="F711" s="230"/>
      <c r="G711" s="230"/>
      <c r="H711" s="230"/>
      <c r="I711" s="230"/>
      <c r="J711" s="339"/>
      <c r="K711" s="340"/>
      <c r="L711" s="340"/>
      <c r="M711" s="230"/>
      <c r="N711" s="230"/>
      <c r="O711" s="230"/>
      <c r="P711" s="230"/>
      <c r="Q711" s="230"/>
      <c r="R711" s="230"/>
      <c r="S711" s="230"/>
      <c r="T711" s="230"/>
      <c r="U711" s="230"/>
      <c r="V711" s="230"/>
      <c r="W711" s="230"/>
      <c r="X711" s="230"/>
      <c r="Y711" s="230"/>
      <c r="Z711" s="230"/>
    </row>
    <row r="712">
      <c r="A712" s="346"/>
      <c r="B712" s="347"/>
      <c r="C712" s="284"/>
      <c r="D712" s="284"/>
      <c r="E712" s="285"/>
      <c r="F712" s="230"/>
      <c r="G712" s="230"/>
      <c r="H712" s="230"/>
      <c r="I712" s="230"/>
      <c r="J712" s="339"/>
      <c r="K712" s="340"/>
      <c r="L712" s="340"/>
      <c r="M712" s="230"/>
      <c r="N712" s="230"/>
      <c r="O712" s="230"/>
      <c r="P712" s="230"/>
      <c r="Q712" s="230"/>
      <c r="R712" s="230"/>
      <c r="S712" s="230"/>
      <c r="T712" s="230"/>
      <c r="U712" s="230"/>
      <c r="V712" s="230"/>
      <c r="W712" s="230"/>
      <c r="X712" s="230"/>
      <c r="Y712" s="230"/>
      <c r="Z712" s="230"/>
    </row>
    <row r="713">
      <c r="A713" s="346"/>
      <c r="B713" s="347"/>
      <c r="C713" s="284"/>
      <c r="D713" s="284"/>
      <c r="E713" s="285"/>
      <c r="F713" s="230"/>
      <c r="G713" s="230"/>
      <c r="H713" s="230"/>
      <c r="I713" s="230"/>
      <c r="J713" s="339"/>
      <c r="K713" s="340"/>
      <c r="L713" s="340"/>
      <c r="M713" s="230"/>
      <c r="N713" s="230"/>
      <c r="O713" s="230"/>
      <c r="P713" s="230"/>
      <c r="Q713" s="230"/>
      <c r="R713" s="230"/>
      <c r="S713" s="230"/>
      <c r="T713" s="230"/>
      <c r="U713" s="230"/>
      <c r="V713" s="230"/>
      <c r="W713" s="230"/>
      <c r="X713" s="230"/>
      <c r="Y713" s="230"/>
      <c r="Z713" s="230"/>
    </row>
    <row r="714">
      <c r="A714" s="346"/>
      <c r="B714" s="347"/>
      <c r="C714" s="284"/>
      <c r="D714" s="284"/>
      <c r="E714" s="285"/>
      <c r="F714" s="230"/>
      <c r="G714" s="230"/>
      <c r="H714" s="230"/>
      <c r="I714" s="230"/>
      <c r="J714" s="339"/>
      <c r="K714" s="340"/>
      <c r="L714" s="340"/>
      <c r="M714" s="230"/>
      <c r="N714" s="230"/>
      <c r="O714" s="230"/>
      <c r="P714" s="230"/>
      <c r="Q714" s="230"/>
      <c r="R714" s="230"/>
      <c r="S714" s="230"/>
      <c r="T714" s="230"/>
      <c r="U714" s="230"/>
      <c r="V714" s="230"/>
      <c r="W714" s="230"/>
      <c r="X714" s="230"/>
      <c r="Y714" s="230"/>
      <c r="Z714" s="230"/>
    </row>
    <row r="715">
      <c r="A715" s="346"/>
      <c r="B715" s="347"/>
      <c r="C715" s="284"/>
      <c r="D715" s="284"/>
      <c r="E715" s="285"/>
      <c r="F715" s="230"/>
      <c r="G715" s="230"/>
      <c r="H715" s="230"/>
      <c r="I715" s="230"/>
      <c r="J715" s="339"/>
      <c r="K715" s="340"/>
      <c r="L715" s="340"/>
      <c r="M715" s="230"/>
      <c r="N715" s="230"/>
      <c r="O715" s="230"/>
      <c r="P715" s="230"/>
      <c r="Q715" s="230"/>
      <c r="R715" s="230"/>
      <c r="S715" s="230"/>
      <c r="T715" s="230"/>
      <c r="U715" s="230"/>
      <c r="V715" s="230"/>
      <c r="W715" s="230"/>
      <c r="X715" s="230"/>
      <c r="Y715" s="230"/>
      <c r="Z715" s="230"/>
    </row>
    <row r="716">
      <c r="A716" s="346"/>
      <c r="B716" s="347"/>
      <c r="C716" s="284"/>
      <c r="D716" s="284"/>
      <c r="E716" s="285"/>
      <c r="F716" s="230"/>
      <c r="G716" s="230"/>
      <c r="H716" s="230"/>
      <c r="I716" s="230"/>
      <c r="J716" s="339"/>
      <c r="K716" s="340"/>
      <c r="L716" s="340"/>
      <c r="M716" s="230"/>
      <c r="N716" s="230"/>
      <c r="O716" s="230"/>
      <c r="P716" s="230"/>
      <c r="Q716" s="230"/>
      <c r="R716" s="230"/>
      <c r="S716" s="230"/>
      <c r="T716" s="230"/>
      <c r="U716" s="230"/>
      <c r="V716" s="230"/>
      <c r="W716" s="230"/>
      <c r="X716" s="230"/>
      <c r="Y716" s="230"/>
      <c r="Z716" s="230"/>
    </row>
    <row r="717">
      <c r="A717" s="346"/>
      <c r="B717" s="347"/>
      <c r="C717" s="284"/>
      <c r="D717" s="284"/>
      <c r="E717" s="285"/>
      <c r="F717" s="230"/>
      <c r="G717" s="230"/>
      <c r="H717" s="230"/>
      <c r="I717" s="230"/>
      <c r="J717" s="339"/>
      <c r="K717" s="340"/>
      <c r="L717" s="340"/>
      <c r="M717" s="230"/>
      <c r="N717" s="230"/>
      <c r="O717" s="230"/>
      <c r="P717" s="230"/>
      <c r="Q717" s="230"/>
      <c r="R717" s="230"/>
      <c r="S717" s="230"/>
      <c r="T717" s="230"/>
      <c r="U717" s="230"/>
      <c r="V717" s="230"/>
      <c r="W717" s="230"/>
      <c r="X717" s="230"/>
      <c r="Y717" s="230"/>
      <c r="Z717" s="230"/>
    </row>
    <row r="718">
      <c r="A718" s="346"/>
      <c r="B718" s="347"/>
      <c r="C718" s="284"/>
      <c r="D718" s="284"/>
      <c r="E718" s="285"/>
      <c r="F718" s="230"/>
      <c r="G718" s="230"/>
      <c r="H718" s="230"/>
      <c r="I718" s="230"/>
      <c r="J718" s="339"/>
      <c r="K718" s="340"/>
      <c r="L718" s="340"/>
      <c r="M718" s="230"/>
      <c r="N718" s="230"/>
      <c r="O718" s="230"/>
      <c r="P718" s="230"/>
      <c r="Q718" s="230"/>
      <c r="R718" s="230"/>
      <c r="S718" s="230"/>
      <c r="T718" s="230"/>
      <c r="U718" s="230"/>
      <c r="V718" s="230"/>
      <c r="W718" s="230"/>
      <c r="X718" s="230"/>
      <c r="Y718" s="230"/>
      <c r="Z718" s="230"/>
    </row>
    <row r="719">
      <c r="A719" s="346"/>
      <c r="B719" s="347"/>
      <c r="C719" s="284"/>
      <c r="D719" s="284"/>
      <c r="E719" s="285"/>
      <c r="F719" s="230"/>
      <c r="G719" s="230"/>
      <c r="H719" s="230"/>
      <c r="I719" s="230"/>
      <c r="J719" s="339"/>
      <c r="K719" s="340"/>
      <c r="L719" s="340"/>
      <c r="M719" s="230"/>
      <c r="N719" s="230"/>
      <c r="O719" s="230"/>
      <c r="P719" s="230"/>
      <c r="Q719" s="230"/>
      <c r="R719" s="230"/>
      <c r="S719" s="230"/>
      <c r="T719" s="230"/>
      <c r="U719" s="230"/>
      <c r="V719" s="230"/>
      <c r="W719" s="230"/>
      <c r="X719" s="230"/>
      <c r="Y719" s="230"/>
      <c r="Z719" s="230"/>
    </row>
    <row r="720">
      <c r="A720" s="346"/>
      <c r="B720" s="347"/>
      <c r="C720" s="284"/>
      <c r="D720" s="284"/>
      <c r="E720" s="285"/>
      <c r="F720" s="230"/>
      <c r="G720" s="230"/>
      <c r="H720" s="230"/>
      <c r="I720" s="230"/>
      <c r="J720" s="339"/>
      <c r="K720" s="340"/>
      <c r="L720" s="340"/>
      <c r="M720" s="230"/>
      <c r="N720" s="230"/>
      <c r="O720" s="230"/>
      <c r="P720" s="230"/>
      <c r="Q720" s="230"/>
      <c r="R720" s="230"/>
      <c r="S720" s="230"/>
      <c r="T720" s="230"/>
      <c r="U720" s="230"/>
      <c r="V720" s="230"/>
      <c r="W720" s="230"/>
      <c r="X720" s="230"/>
      <c r="Y720" s="230"/>
      <c r="Z720" s="230"/>
    </row>
    <row r="721">
      <c r="A721" s="346"/>
      <c r="B721" s="347"/>
      <c r="C721" s="284"/>
      <c r="D721" s="284"/>
      <c r="E721" s="285"/>
      <c r="F721" s="230"/>
      <c r="G721" s="230"/>
      <c r="H721" s="230"/>
      <c r="I721" s="230"/>
      <c r="J721" s="339"/>
      <c r="K721" s="340"/>
      <c r="L721" s="340"/>
      <c r="M721" s="230"/>
      <c r="N721" s="230"/>
      <c r="O721" s="230"/>
      <c r="P721" s="230"/>
      <c r="Q721" s="230"/>
      <c r="R721" s="230"/>
      <c r="S721" s="230"/>
      <c r="T721" s="230"/>
      <c r="U721" s="230"/>
      <c r="V721" s="230"/>
      <c r="W721" s="230"/>
      <c r="X721" s="230"/>
      <c r="Y721" s="230"/>
      <c r="Z721" s="230"/>
    </row>
    <row r="722">
      <c r="A722" s="346"/>
      <c r="B722" s="347"/>
      <c r="C722" s="284"/>
      <c r="D722" s="284"/>
      <c r="E722" s="285"/>
      <c r="F722" s="230"/>
      <c r="G722" s="230"/>
      <c r="H722" s="230"/>
      <c r="I722" s="230"/>
      <c r="J722" s="339"/>
      <c r="K722" s="340"/>
      <c r="L722" s="340"/>
      <c r="M722" s="230"/>
      <c r="N722" s="230"/>
      <c r="O722" s="230"/>
      <c r="P722" s="230"/>
      <c r="Q722" s="230"/>
      <c r="R722" s="230"/>
      <c r="S722" s="230"/>
      <c r="T722" s="230"/>
      <c r="U722" s="230"/>
      <c r="V722" s="230"/>
      <c r="W722" s="230"/>
      <c r="X722" s="230"/>
      <c r="Y722" s="230"/>
      <c r="Z722" s="230"/>
    </row>
    <row r="723">
      <c r="A723" s="346"/>
      <c r="B723" s="347"/>
      <c r="C723" s="284"/>
      <c r="D723" s="284"/>
      <c r="E723" s="285"/>
      <c r="F723" s="230"/>
      <c r="G723" s="230"/>
      <c r="H723" s="230"/>
      <c r="I723" s="230"/>
      <c r="J723" s="339"/>
      <c r="K723" s="340"/>
      <c r="L723" s="340"/>
      <c r="M723" s="230"/>
      <c r="N723" s="230"/>
      <c r="O723" s="230"/>
      <c r="P723" s="230"/>
      <c r="Q723" s="230"/>
      <c r="R723" s="230"/>
      <c r="S723" s="230"/>
      <c r="T723" s="230"/>
      <c r="U723" s="230"/>
      <c r="V723" s="230"/>
      <c r="W723" s="230"/>
      <c r="X723" s="230"/>
      <c r="Y723" s="230"/>
      <c r="Z723" s="230"/>
    </row>
    <row r="724">
      <c r="A724" s="346"/>
      <c r="B724" s="347"/>
      <c r="C724" s="284"/>
      <c r="D724" s="284"/>
      <c r="E724" s="285"/>
      <c r="F724" s="230"/>
      <c r="G724" s="230"/>
      <c r="H724" s="230"/>
      <c r="I724" s="230"/>
      <c r="J724" s="339"/>
      <c r="K724" s="340"/>
      <c r="L724" s="340"/>
      <c r="M724" s="230"/>
      <c r="N724" s="230"/>
      <c r="O724" s="230"/>
      <c r="P724" s="230"/>
      <c r="Q724" s="230"/>
      <c r="R724" s="230"/>
      <c r="S724" s="230"/>
      <c r="T724" s="230"/>
      <c r="U724" s="230"/>
      <c r="V724" s="230"/>
      <c r="W724" s="230"/>
      <c r="X724" s="230"/>
      <c r="Y724" s="230"/>
      <c r="Z724" s="230"/>
    </row>
    <row r="725">
      <c r="A725" s="346"/>
      <c r="B725" s="347"/>
      <c r="C725" s="284"/>
      <c r="D725" s="284"/>
      <c r="E725" s="285"/>
      <c r="F725" s="230"/>
      <c r="G725" s="230"/>
      <c r="H725" s="230"/>
      <c r="I725" s="230"/>
      <c r="J725" s="339"/>
      <c r="K725" s="340"/>
      <c r="L725" s="340"/>
      <c r="M725" s="230"/>
      <c r="N725" s="230"/>
      <c r="O725" s="230"/>
      <c r="P725" s="230"/>
      <c r="Q725" s="230"/>
      <c r="R725" s="230"/>
      <c r="S725" s="230"/>
      <c r="T725" s="230"/>
      <c r="U725" s="230"/>
      <c r="V725" s="230"/>
      <c r="W725" s="230"/>
      <c r="X725" s="230"/>
      <c r="Y725" s="230"/>
      <c r="Z725" s="230"/>
    </row>
    <row r="726">
      <c r="A726" s="346"/>
      <c r="B726" s="347"/>
      <c r="C726" s="284"/>
      <c r="D726" s="284"/>
      <c r="E726" s="285"/>
      <c r="F726" s="230"/>
      <c r="G726" s="230"/>
      <c r="H726" s="230"/>
      <c r="I726" s="230"/>
      <c r="J726" s="339"/>
      <c r="K726" s="340"/>
      <c r="L726" s="340"/>
      <c r="M726" s="230"/>
      <c r="N726" s="230"/>
      <c r="O726" s="230"/>
      <c r="P726" s="230"/>
      <c r="Q726" s="230"/>
      <c r="R726" s="230"/>
      <c r="S726" s="230"/>
      <c r="T726" s="230"/>
      <c r="U726" s="230"/>
      <c r="V726" s="230"/>
      <c r="W726" s="230"/>
      <c r="X726" s="230"/>
      <c r="Y726" s="230"/>
      <c r="Z726" s="230"/>
    </row>
    <row r="727">
      <c r="A727" s="346"/>
      <c r="B727" s="347"/>
      <c r="C727" s="284"/>
      <c r="D727" s="284"/>
      <c r="E727" s="285"/>
      <c r="F727" s="230"/>
      <c r="G727" s="230"/>
      <c r="H727" s="230"/>
      <c r="I727" s="230"/>
      <c r="J727" s="339"/>
      <c r="K727" s="340"/>
      <c r="L727" s="340"/>
      <c r="M727" s="230"/>
      <c r="N727" s="230"/>
      <c r="O727" s="230"/>
      <c r="P727" s="230"/>
      <c r="Q727" s="230"/>
      <c r="R727" s="230"/>
      <c r="S727" s="230"/>
      <c r="T727" s="230"/>
      <c r="U727" s="230"/>
      <c r="V727" s="230"/>
      <c r="W727" s="230"/>
      <c r="X727" s="230"/>
      <c r="Y727" s="230"/>
      <c r="Z727" s="230"/>
    </row>
    <row r="728">
      <c r="A728" s="346"/>
      <c r="B728" s="347"/>
      <c r="C728" s="284"/>
      <c r="D728" s="284"/>
      <c r="E728" s="285"/>
      <c r="F728" s="230"/>
      <c r="G728" s="230"/>
      <c r="H728" s="230"/>
      <c r="I728" s="230"/>
      <c r="J728" s="339"/>
      <c r="K728" s="340"/>
      <c r="L728" s="340"/>
      <c r="M728" s="230"/>
      <c r="N728" s="230"/>
      <c r="O728" s="230"/>
      <c r="P728" s="230"/>
      <c r="Q728" s="230"/>
      <c r="R728" s="230"/>
      <c r="S728" s="230"/>
      <c r="T728" s="230"/>
      <c r="U728" s="230"/>
      <c r="V728" s="230"/>
      <c r="W728" s="230"/>
      <c r="X728" s="230"/>
      <c r="Y728" s="230"/>
      <c r="Z728" s="230"/>
    </row>
    <row r="729">
      <c r="A729" s="346"/>
      <c r="B729" s="347"/>
      <c r="C729" s="284"/>
      <c r="D729" s="284"/>
      <c r="E729" s="285"/>
      <c r="F729" s="230"/>
      <c r="G729" s="230"/>
      <c r="H729" s="230"/>
      <c r="I729" s="230"/>
      <c r="J729" s="339"/>
      <c r="K729" s="340"/>
      <c r="L729" s="340"/>
      <c r="M729" s="230"/>
      <c r="N729" s="230"/>
      <c r="O729" s="230"/>
      <c r="P729" s="230"/>
      <c r="Q729" s="230"/>
      <c r="R729" s="230"/>
      <c r="S729" s="230"/>
      <c r="T729" s="230"/>
      <c r="U729" s="230"/>
      <c r="V729" s="230"/>
      <c r="W729" s="230"/>
      <c r="X729" s="230"/>
      <c r="Y729" s="230"/>
      <c r="Z729" s="230"/>
    </row>
    <row r="730">
      <c r="A730" s="346"/>
      <c r="B730" s="347"/>
      <c r="C730" s="284"/>
      <c r="D730" s="284"/>
      <c r="E730" s="285"/>
      <c r="F730" s="230"/>
      <c r="G730" s="230"/>
      <c r="H730" s="230"/>
      <c r="I730" s="230"/>
      <c r="J730" s="339"/>
      <c r="K730" s="340"/>
      <c r="L730" s="340"/>
      <c r="M730" s="230"/>
      <c r="N730" s="230"/>
      <c r="O730" s="230"/>
      <c r="P730" s="230"/>
      <c r="Q730" s="230"/>
      <c r="R730" s="230"/>
      <c r="S730" s="230"/>
      <c r="T730" s="230"/>
      <c r="U730" s="230"/>
      <c r="V730" s="230"/>
      <c r="W730" s="230"/>
      <c r="X730" s="230"/>
      <c r="Y730" s="230"/>
      <c r="Z730" s="230"/>
    </row>
    <row r="731">
      <c r="A731" s="346"/>
      <c r="B731" s="347"/>
      <c r="C731" s="284"/>
      <c r="D731" s="284"/>
      <c r="E731" s="285"/>
      <c r="F731" s="230"/>
      <c r="G731" s="230"/>
      <c r="H731" s="230"/>
      <c r="I731" s="230"/>
      <c r="J731" s="339"/>
      <c r="K731" s="340"/>
      <c r="L731" s="340"/>
      <c r="M731" s="230"/>
      <c r="N731" s="230"/>
      <c r="O731" s="230"/>
      <c r="P731" s="230"/>
      <c r="Q731" s="230"/>
      <c r="R731" s="230"/>
      <c r="S731" s="230"/>
      <c r="T731" s="230"/>
      <c r="U731" s="230"/>
      <c r="V731" s="230"/>
      <c r="W731" s="230"/>
      <c r="X731" s="230"/>
      <c r="Y731" s="230"/>
      <c r="Z731" s="230"/>
    </row>
    <row r="732">
      <c r="A732" s="346"/>
      <c r="B732" s="347"/>
      <c r="C732" s="284"/>
      <c r="D732" s="284"/>
      <c r="E732" s="285"/>
      <c r="F732" s="230"/>
      <c r="G732" s="230"/>
      <c r="H732" s="230"/>
      <c r="I732" s="230"/>
      <c r="J732" s="339"/>
      <c r="K732" s="340"/>
      <c r="L732" s="340"/>
      <c r="M732" s="230"/>
      <c r="N732" s="230"/>
      <c r="O732" s="230"/>
      <c r="P732" s="230"/>
      <c r="Q732" s="230"/>
      <c r="R732" s="230"/>
      <c r="S732" s="230"/>
      <c r="T732" s="230"/>
      <c r="U732" s="230"/>
      <c r="V732" s="230"/>
      <c r="W732" s="230"/>
      <c r="X732" s="230"/>
      <c r="Y732" s="230"/>
      <c r="Z732" s="230"/>
    </row>
    <row r="733">
      <c r="A733" s="346"/>
      <c r="B733" s="347"/>
      <c r="C733" s="284"/>
      <c r="D733" s="284"/>
      <c r="E733" s="285"/>
      <c r="F733" s="230"/>
      <c r="G733" s="230"/>
      <c r="H733" s="230"/>
      <c r="I733" s="230"/>
      <c r="J733" s="339"/>
      <c r="K733" s="340"/>
      <c r="L733" s="340"/>
      <c r="M733" s="230"/>
      <c r="N733" s="230"/>
      <c r="O733" s="230"/>
      <c r="P733" s="230"/>
      <c r="Q733" s="230"/>
      <c r="R733" s="230"/>
      <c r="S733" s="230"/>
      <c r="T733" s="230"/>
      <c r="U733" s="230"/>
      <c r="V733" s="230"/>
      <c r="W733" s="230"/>
      <c r="X733" s="230"/>
      <c r="Y733" s="230"/>
      <c r="Z733" s="230"/>
    </row>
    <row r="734">
      <c r="A734" s="346"/>
      <c r="B734" s="347"/>
      <c r="C734" s="284"/>
      <c r="D734" s="284"/>
      <c r="E734" s="285"/>
      <c r="F734" s="230"/>
      <c r="G734" s="230"/>
      <c r="H734" s="230"/>
      <c r="I734" s="230"/>
      <c r="J734" s="339"/>
      <c r="K734" s="340"/>
      <c r="L734" s="340"/>
      <c r="M734" s="230"/>
      <c r="N734" s="230"/>
      <c r="O734" s="230"/>
      <c r="P734" s="230"/>
      <c r="Q734" s="230"/>
      <c r="R734" s="230"/>
      <c r="S734" s="230"/>
      <c r="T734" s="230"/>
      <c r="U734" s="230"/>
      <c r="V734" s="230"/>
      <c r="W734" s="230"/>
      <c r="X734" s="230"/>
      <c r="Y734" s="230"/>
      <c r="Z734" s="230"/>
    </row>
    <row r="735">
      <c r="A735" s="346"/>
      <c r="B735" s="347"/>
      <c r="C735" s="284"/>
      <c r="D735" s="284"/>
      <c r="E735" s="285"/>
      <c r="F735" s="230"/>
      <c r="G735" s="230"/>
      <c r="H735" s="230"/>
      <c r="I735" s="230"/>
      <c r="J735" s="339"/>
      <c r="K735" s="340"/>
      <c r="L735" s="340"/>
      <c r="M735" s="230"/>
      <c r="N735" s="230"/>
      <c r="O735" s="230"/>
      <c r="P735" s="230"/>
      <c r="Q735" s="230"/>
      <c r="R735" s="230"/>
      <c r="S735" s="230"/>
      <c r="T735" s="230"/>
      <c r="U735" s="230"/>
      <c r="V735" s="230"/>
      <c r="W735" s="230"/>
      <c r="X735" s="230"/>
      <c r="Y735" s="230"/>
      <c r="Z735" s="230"/>
    </row>
    <row r="736">
      <c r="A736" s="346"/>
      <c r="B736" s="347"/>
      <c r="C736" s="284"/>
      <c r="D736" s="284"/>
      <c r="E736" s="285"/>
      <c r="F736" s="230"/>
      <c r="G736" s="230"/>
      <c r="H736" s="230"/>
      <c r="I736" s="230"/>
      <c r="J736" s="339"/>
      <c r="K736" s="340"/>
      <c r="L736" s="340"/>
      <c r="M736" s="230"/>
      <c r="N736" s="230"/>
      <c r="O736" s="230"/>
      <c r="P736" s="230"/>
      <c r="Q736" s="230"/>
      <c r="R736" s="230"/>
      <c r="S736" s="230"/>
      <c r="T736" s="230"/>
      <c r="U736" s="230"/>
      <c r="V736" s="230"/>
      <c r="W736" s="230"/>
      <c r="X736" s="230"/>
      <c r="Y736" s="230"/>
      <c r="Z736" s="230"/>
    </row>
    <row r="737">
      <c r="A737" s="346"/>
      <c r="B737" s="347"/>
      <c r="C737" s="284"/>
      <c r="D737" s="284"/>
      <c r="E737" s="285"/>
      <c r="F737" s="230"/>
      <c r="G737" s="230"/>
      <c r="H737" s="230"/>
      <c r="I737" s="230"/>
      <c r="J737" s="339"/>
      <c r="K737" s="340"/>
      <c r="L737" s="340"/>
      <c r="M737" s="230"/>
      <c r="N737" s="230"/>
      <c r="O737" s="230"/>
      <c r="P737" s="230"/>
      <c r="Q737" s="230"/>
      <c r="R737" s="230"/>
      <c r="S737" s="230"/>
      <c r="T737" s="230"/>
      <c r="U737" s="230"/>
      <c r="V737" s="230"/>
      <c r="W737" s="230"/>
      <c r="X737" s="230"/>
      <c r="Y737" s="230"/>
      <c r="Z737" s="230"/>
    </row>
    <row r="738">
      <c r="A738" s="346"/>
      <c r="B738" s="347"/>
      <c r="C738" s="284"/>
      <c r="D738" s="284"/>
      <c r="E738" s="285"/>
      <c r="F738" s="230"/>
      <c r="G738" s="230"/>
      <c r="H738" s="230"/>
      <c r="I738" s="230"/>
      <c r="J738" s="339"/>
      <c r="K738" s="340"/>
      <c r="L738" s="340"/>
      <c r="M738" s="230"/>
      <c r="N738" s="230"/>
      <c r="O738" s="230"/>
      <c r="P738" s="230"/>
      <c r="Q738" s="230"/>
      <c r="R738" s="230"/>
      <c r="S738" s="230"/>
      <c r="T738" s="230"/>
      <c r="U738" s="230"/>
      <c r="V738" s="230"/>
      <c r="W738" s="230"/>
      <c r="X738" s="230"/>
      <c r="Y738" s="230"/>
      <c r="Z738" s="230"/>
    </row>
    <row r="739">
      <c r="A739" s="346"/>
      <c r="B739" s="347"/>
      <c r="C739" s="284"/>
      <c r="D739" s="284"/>
      <c r="E739" s="285"/>
      <c r="F739" s="230"/>
      <c r="G739" s="230"/>
      <c r="H739" s="230"/>
      <c r="I739" s="230"/>
      <c r="J739" s="339"/>
      <c r="K739" s="340"/>
      <c r="L739" s="340"/>
      <c r="M739" s="230"/>
      <c r="N739" s="230"/>
      <c r="O739" s="230"/>
      <c r="P739" s="230"/>
      <c r="Q739" s="230"/>
      <c r="R739" s="230"/>
      <c r="S739" s="230"/>
      <c r="T739" s="230"/>
      <c r="U739" s="230"/>
      <c r="V739" s="230"/>
      <c r="W739" s="230"/>
      <c r="X739" s="230"/>
      <c r="Y739" s="230"/>
      <c r="Z739" s="230"/>
    </row>
    <row r="740">
      <c r="A740" s="346"/>
      <c r="B740" s="347"/>
      <c r="C740" s="284"/>
      <c r="D740" s="284"/>
      <c r="E740" s="285"/>
      <c r="F740" s="230"/>
      <c r="G740" s="230"/>
      <c r="H740" s="230"/>
      <c r="I740" s="230"/>
      <c r="J740" s="339"/>
      <c r="K740" s="340"/>
      <c r="L740" s="340"/>
      <c r="M740" s="230"/>
      <c r="N740" s="230"/>
      <c r="O740" s="230"/>
      <c r="P740" s="230"/>
      <c r="Q740" s="230"/>
      <c r="R740" s="230"/>
      <c r="S740" s="230"/>
      <c r="T740" s="230"/>
      <c r="U740" s="230"/>
      <c r="V740" s="230"/>
      <c r="W740" s="230"/>
      <c r="X740" s="230"/>
      <c r="Y740" s="230"/>
      <c r="Z740" s="230"/>
    </row>
    <row r="741">
      <c r="A741" s="346"/>
      <c r="B741" s="347"/>
      <c r="C741" s="284"/>
      <c r="D741" s="284"/>
      <c r="E741" s="285"/>
      <c r="F741" s="230"/>
      <c r="G741" s="230"/>
      <c r="H741" s="230"/>
      <c r="I741" s="230"/>
      <c r="J741" s="339"/>
      <c r="K741" s="340"/>
      <c r="L741" s="340"/>
      <c r="M741" s="230"/>
      <c r="N741" s="230"/>
      <c r="O741" s="230"/>
      <c r="P741" s="230"/>
      <c r="Q741" s="230"/>
      <c r="R741" s="230"/>
      <c r="S741" s="230"/>
      <c r="T741" s="230"/>
      <c r="U741" s="230"/>
      <c r="V741" s="230"/>
      <c r="W741" s="230"/>
      <c r="X741" s="230"/>
      <c r="Y741" s="230"/>
      <c r="Z741" s="230"/>
    </row>
    <row r="742">
      <c r="A742" s="346"/>
      <c r="B742" s="347"/>
      <c r="C742" s="284"/>
      <c r="D742" s="284"/>
      <c r="E742" s="285"/>
      <c r="F742" s="230"/>
      <c r="G742" s="230"/>
      <c r="H742" s="230"/>
      <c r="I742" s="230"/>
      <c r="J742" s="339"/>
      <c r="K742" s="340"/>
      <c r="L742" s="340"/>
      <c r="M742" s="230"/>
      <c r="N742" s="230"/>
      <c r="O742" s="230"/>
      <c r="P742" s="230"/>
      <c r="Q742" s="230"/>
      <c r="R742" s="230"/>
      <c r="S742" s="230"/>
      <c r="T742" s="230"/>
      <c r="U742" s="230"/>
      <c r="V742" s="230"/>
      <c r="W742" s="230"/>
      <c r="X742" s="230"/>
      <c r="Y742" s="230"/>
      <c r="Z742" s="230"/>
    </row>
    <row r="743">
      <c r="A743" s="346"/>
      <c r="B743" s="347"/>
      <c r="C743" s="284"/>
      <c r="D743" s="284"/>
      <c r="E743" s="285"/>
      <c r="F743" s="230"/>
      <c r="G743" s="230"/>
      <c r="H743" s="230"/>
      <c r="I743" s="230"/>
      <c r="J743" s="339"/>
      <c r="K743" s="340"/>
      <c r="L743" s="340"/>
      <c r="M743" s="230"/>
      <c r="N743" s="230"/>
      <c r="O743" s="230"/>
      <c r="P743" s="230"/>
      <c r="Q743" s="230"/>
      <c r="R743" s="230"/>
      <c r="S743" s="230"/>
      <c r="T743" s="230"/>
      <c r="U743" s="230"/>
      <c r="V743" s="230"/>
      <c r="W743" s="230"/>
      <c r="X743" s="230"/>
      <c r="Y743" s="230"/>
      <c r="Z743" s="230"/>
    </row>
    <row r="744">
      <c r="A744" s="346"/>
      <c r="B744" s="347"/>
      <c r="C744" s="284"/>
      <c r="D744" s="284"/>
      <c r="E744" s="285"/>
      <c r="F744" s="230"/>
      <c r="G744" s="230"/>
      <c r="H744" s="230"/>
      <c r="I744" s="230"/>
      <c r="J744" s="339"/>
      <c r="K744" s="340"/>
      <c r="L744" s="340"/>
      <c r="M744" s="230"/>
      <c r="N744" s="230"/>
      <c r="O744" s="230"/>
      <c r="P744" s="230"/>
      <c r="Q744" s="230"/>
      <c r="R744" s="230"/>
      <c r="S744" s="230"/>
      <c r="T744" s="230"/>
      <c r="U744" s="230"/>
      <c r="V744" s="230"/>
      <c r="W744" s="230"/>
      <c r="X744" s="230"/>
      <c r="Y744" s="230"/>
      <c r="Z744" s="230"/>
    </row>
    <row r="745">
      <c r="A745" s="346"/>
      <c r="B745" s="347"/>
      <c r="C745" s="284"/>
      <c r="D745" s="284"/>
      <c r="E745" s="285"/>
      <c r="F745" s="230"/>
      <c r="G745" s="230"/>
      <c r="H745" s="230"/>
      <c r="I745" s="230"/>
      <c r="J745" s="339"/>
      <c r="K745" s="340"/>
      <c r="L745" s="340"/>
      <c r="M745" s="230"/>
      <c r="N745" s="230"/>
      <c r="O745" s="230"/>
      <c r="P745" s="230"/>
      <c r="Q745" s="230"/>
      <c r="R745" s="230"/>
      <c r="S745" s="230"/>
      <c r="T745" s="230"/>
      <c r="U745" s="230"/>
      <c r="V745" s="230"/>
      <c r="W745" s="230"/>
      <c r="X745" s="230"/>
      <c r="Y745" s="230"/>
      <c r="Z745" s="230"/>
    </row>
    <row r="746">
      <c r="A746" s="346"/>
      <c r="B746" s="347"/>
      <c r="C746" s="284"/>
      <c r="D746" s="284"/>
      <c r="E746" s="285"/>
      <c r="F746" s="230"/>
      <c r="G746" s="230"/>
      <c r="H746" s="230"/>
      <c r="I746" s="230"/>
      <c r="J746" s="339"/>
      <c r="K746" s="340"/>
      <c r="L746" s="340"/>
      <c r="M746" s="230"/>
      <c r="N746" s="230"/>
      <c r="O746" s="230"/>
      <c r="P746" s="230"/>
      <c r="Q746" s="230"/>
      <c r="R746" s="230"/>
      <c r="S746" s="230"/>
      <c r="T746" s="230"/>
      <c r="U746" s="230"/>
      <c r="V746" s="230"/>
      <c r="W746" s="230"/>
      <c r="X746" s="230"/>
      <c r="Y746" s="230"/>
      <c r="Z746" s="230"/>
    </row>
    <row r="747">
      <c r="A747" s="346"/>
      <c r="B747" s="347"/>
      <c r="C747" s="284"/>
      <c r="D747" s="284"/>
      <c r="E747" s="285"/>
      <c r="F747" s="230"/>
      <c r="G747" s="230"/>
      <c r="H747" s="230"/>
      <c r="I747" s="230"/>
      <c r="J747" s="339"/>
      <c r="K747" s="340"/>
      <c r="L747" s="340"/>
      <c r="M747" s="230"/>
      <c r="N747" s="230"/>
      <c r="O747" s="230"/>
      <c r="P747" s="230"/>
      <c r="Q747" s="230"/>
      <c r="R747" s="230"/>
      <c r="S747" s="230"/>
      <c r="T747" s="230"/>
      <c r="U747" s="230"/>
      <c r="V747" s="230"/>
      <c r="W747" s="230"/>
      <c r="X747" s="230"/>
      <c r="Y747" s="230"/>
      <c r="Z747" s="230"/>
    </row>
    <row r="748">
      <c r="A748" s="346"/>
      <c r="B748" s="347"/>
      <c r="C748" s="284"/>
      <c r="D748" s="284"/>
      <c r="E748" s="285"/>
      <c r="F748" s="230"/>
      <c r="G748" s="230"/>
      <c r="H748" s="230"/>
      <c r="I748" s="230"/>
      <c r="J748" s="339"/>
      <c r="K748" s="340"/>
      <c r="L748" s="340"/>
      <c r="M748" s="230"/>
      <c r="N748" s="230"/>
      <c r="O748" s="230"/>
      <c r="P748" s="230"/>
      <c r="Q748" s="230"/>
      <c r="R748" s="230"/>
      <c r="S748" s="230"/>
      <c r="T748" s="230"/>
      <c r="U748" s="230"/>
      <c r="V748" s="230"/>
      <c r="W748" s="230"/>
      <c r="X748" s="230"/>
      <c r="Y748" s="230"/>
      <c r="Z748" s="230"/>
    </row>
    <row r="749">
      <c r="A749" s="346"/>
      <c r="B749" s="347"/>
      <c r="C749" s="284"/>
      <c r="D749" s="284"/>
      <c r="E749" s="285"/>
      <c r="F749" s="230"/>
      <c r="G749" s="230"/>
      <c r="H749" s="230"/>
      <c r="I749" s="230"/>
      <c r="J749" s="339"/>
      <c r="K749" s="340"/>
      <c r="L749" s="340"/>
      <c r="M749" s="230"/>
      <c r="N749" s="230"/>
      <c r="O749" s="230"/>
      <c r="P749" s="230"/>
      <c r="Q749" s="230"/>
      <c r="R749" s="230"/>
      <c r="S749" s="230"/>
      <c r="T749" s="230"/>
      <c r="U749" s="230"/>
      <c r="V749" s="230"/>
      <c r="W749" s="230"/>
      <c r="X749" s="230"/>
      <c r="Y749" s="230"/>
      <c r="Z749" s="230"/>
    </row>
    <row r="750">
      <c r="A750" s="346"/>
      <c r="B750" s="347"/>
      <c r="C750" s="284"/>
      <c r="D750" s="284"/>
      <c r="E750" s="285"/>
      <c r="F750" s="230"/>
      <c r="G750" s="230"/>
      <c r="H750" s="230"/>
      <c r="I750" s="230"/>
      <c r="J750" s="339"/>
      <c r="K750" s="340"/>
      <c r="L750" s="340"/>
      <c r="M750" s="230"/>
      <c r="N750" s="230"/>
      <c r="O750" s="230"/>
      <c r="P750" s="230"/>
      <c r="Q750" s="230"/>
      <c r="R750" s="230"/>
      <c r="S750" s="230"/>
      <c r="T750" s="230"/>
      <c r="U750" s="230"/>
      <c r="V750" s="230"/>
      <c r="W750" s="230"/>
      <c r="X750" s="230"/>
      <c r="Y750" s="230"/>
      <c r="Z750" s="230"/>
    </row>
    <row r="751">
      <c r="A751" s="346"/>
      <c r="B751" s="347"/>
      <c r="C751" s="284"/>
      <c r="D751" s="284"/>
      <c r="E751" s="285"/>
      <c r="F751" s="230"/>
      <c r="G751" s="230"/>
      <c r="H751" s="230"/>
      <c r="I751" s="230"/>
      <c r="J751" s="339"/>
      <c r="K751" s="340"/>
      <c r="L751" s="340"/>
      <c r="M751" s="230"/>
      <c r="N751" s="230"/>
      <c r="O751" s="230"/>
      <c r="P751" s="230"/>
      <c r="Q751" s="230"/>
      <c r="R751" s="230"/>
      <c r="S751" s="230"/>
      <c r="T751" s="230"/>
      <c r="U751" s="230"/>
      <c r="V751" s="230"/>
      <c r="W751" s="230"/>
      <c r="X751" s="230"/>
      <c r="Y751" s="230"/>
      <c r="Z751" s="230"/>
    </row>
    <row r="752">
      <c r="A752" s="346"/>
      <c r="B752" s="347"/>
      <c r="C752" s="284"/>
      <c r="D752" s="284"/>
      <c r="E752" s="285"/>
      <c r="F752" s="230"/>
      <c r="G752" s="230"/>
      <c r="H752" s="230"/>
      <c r="I752" s="230"/>
      <c r="J752" s="339"/>
      <c r="K752" s="340"/>
      <c r="L752" s="340"/>
      <c r="M752" s="230"/>
      <c r="N752" s="230"/>
      <c r="O752" s="230"/>
      <c r="P752" s="230"/>
      <c r="Q752" s="230"/>
      <c r="R752" s="230"/>
      <c r="S752" s="230"/>
      <c r="T752" s="230"/>
      <c r="U752" s="230"/>
      <c r="V752" s="230"/>
      <c r="W752" s="230"/>
      <c r="X752" s="230"/>
      <c r="Y752" s="230"/>
      <c r="Z752" s="230"/>
    </row>
    <row r="753">
      <c r="A753" s="346"/>
      <c r="B753" s="347"/>
      <c r="C753" s="284"/>
      <c r="D753" s="284"/>
      <c r="E753" s="285"/>
      <c r="F753" s="230"/>
      <c r="G753" s="230"/>
      <c r="H753" s="230"/>
      <c r="I753" s="230"/>
      <c r="J753" s="339"/>
      <c r="K753" s="340"/>
      <c r="L753" s="340"/>
      <c r="M753" s="230"/>
      <c r="N753" s="230"/>
      <c r="O753" s="230"/>
      <c r="P753" s="230"/>
      <c r="Q753" s="230"/>
      <c r="R753" s="230"/>
      <c r="S753" s="230"/>
      <c r="T753" s="230"/>
      <c r="U753" s="230"/>
      <c r="V753" s="230"/>
      <c r="W753" s="230"/>
      <c r="X753" s="230"/>
      <c r="Y753" s="230"/>
      <c r="Z753" s="230"/>
    </row>
    <row r="754">
      <c r="A754" s="346"/>
      <c r="B754" s="347"/>
      <c r="C754" s="284"/>
      <c r="D754" s="284"/>
      <c r="E754" s="285"/>
      <c r="F754" s="230"/>
      <c r="G754" s="230"/>
      <c r="H754" s="230"/>
      <c r="I754" s="230"/>
      <c r="J754" s="339"/>
      <c r="K754" s="340"/>
      <c r="L754" s="340"/>
      <c r="M754" s="230"/>
      <c r="N754" s="230"/>
      <c r="O754" s="230"/>
      <c r="P754" s="230"/>
      <c r="Q754" s="230"/>
      <c r="R754" s="230"/>
      <c r="S754" s="230"/>
      <c r="T754" s="230"/>
      <c r="U754" s="230"/>
      <c r="V754" s="230"/>
      <c r="W754" s="230"/>
      <c r="X754" s="230"/>
      <c r="Y754" s="230"/>
      <c r="Z754" s="230"/>
    </row>
    <row r="755">
      <c r="A755" s="346"/>
      <c r="B755" s="347"/>
      <c r="C755" s="284"/>
      <c r="D755" s="284"/>
      <c r="E755" s="285"/>
      <c r="F755" s="230"/>
      <c r="G755" s="230"/>
      <c r="H755" s="230"/>
      <c r="I755" s="230"/>
      <c r="J755" s="339"/>
      <c r="K755" s="340"/>
      <c r="L755" s="340"/>
      <c r="M755" s="230"/>
      <c r="N755" s="230"/>
      <c r="O755" s="230"/>
      <c r="P755" s="230"/>
      <c r="Q755" s="230"/>
      <c r="R755" s="230"/>
      <c r="S755" s="230"/>
      <c r="T755" s="230"/>
      <c r="U755" s="230"/>
      <c r="V755" s="230"/>
      <c r="W755" s="230"/>
      <c r="X755" s="230"/>
      <c r="Y755" s="230"/>
      <c r="Z755" s="230"/>
    </row>
    <row r="756">
      <c r="A756" s="346"/>
      <c r="B756" s="347"/>
      <c r="C756" s="284"/>
      <c r="D756" s="284"/>
      <c r="E756" s="285"/>
      <c r="F756" s="230"/>
      <c r="G756" s="230"/>
      <c r="H756" s="230"/>
      <c r="I756" s="230"/>
      <c r="J756" s="339"/>
      <c r="K756" s="340"/>
      <c r="L756" s="340"/>
      <c r="M756" s="230"/>
      <c r="N756" s="230"/>
      <c r="O756" s="230"/>
      <c r="P756" s="230"/>
      <c r="Q756" s="230"/>
      <c r="R756" s="230"/>
      <c r="S756" s="230"/>
      <c r="T756" s="230"/>
      <c r="U756" s="230"/>
      <c r="V756" s="230"/>
      <c r="W756" s="230"/>
      <c r="X756" s="230"/>
      <c r="Y756" s="230"/>
      <c r="Z756" s="230"/>
    </row>
    <row r="757">
      <c r="A757" s="346"/>
      <c r="B757" s="347"/>
      <c r="C757" s="284"/>
      <c r="D757" s="284"/>
      <c r="E757" s="285"/>
      <c r="F757" s="230"/>
      <c r="G757" s="230"/>
      <c r="H757" s="230"/>
      <c r="I757" s="230"/>
      <c r="J757" s="339"/>
      <c r="K757" s="340"/>
      <c r="L757" s="340"/>
      <c r="M757" s="230"/>
      <c r="N757" s="230"/>
      <c r="O757" s="230"/>
      <c r="P757" s="230"/>
      <c r="Q757" s="230"/>
      <c r="R757" s="230"/>
      <c r="S757" s="230"/>
      <c r="T757" s="230"/>
      <c r="U757" s="230"/>
      <c r="V757" s="230"/>
      <c r="W757" s="230"/>
      <c r="X757" s="230"/>
      <c r="Y757" s="230"/>
      <c r="Z757" s="230"/>
    </row>
    <row r="758">
      <c r="A758" s="346"/>
      <c r="B758" s="347"/>
      <c r="C758" s="284"/>
      <c r="D758" s="284"/>
      <c r="E758" s="285"/>
      <c r="F758" s="230"/>
      <c r="G758" s="230"/>
      <c r="H758" s="230"/>
      <c r="I758" s="230"/>
      <c r="J758" s="339"/>
      <c r="K758" s="340"/>
      <c r="L758" s="340"/>
      <c r="M758" s="230"/>
      <c r="N758" s="230"/>
      <c r="O758" s="230"/>
      <c r="P758" s="230"/>
      <c r="Q758" s="230"/>
      <c r="R758" s="230"/>
      <c r="S758" s="230"/>
      <c r="T758" s="230"/>
      <c r="U758" s="230"/>
      <c r="V758" s="230"/>
      <c r="W758" s="230"/>
      <c r="X758" s="230"/>
      <c r="Y758" s="230"/>
      <c r="Z758" s="230"/>
    </row>
    <row r="759">
      <c r="A759" s="346"/>
      <c r="B759" s="347"/>
      <c r="C759" s="284"/>
      <c r="D759" s="284"/>
      <c r="E759" s="285"/>
      <c r="F759" s="230"/>
      <c r="G759" s="230"/>
      <c r="H759" s="230"/>
      <c r="I759" s="230"/>
      <c r="J759" s="339"/>
      <c r="K759" s="340"/>
      <c r="L759" s="340"/>
      <c r="M759" s="230"/>
      <c r="N759" s="230"/>
      <c r="O759" s="230"/>
      <c r="P759" s="230"/>
      <c r="Q759" s="230"/>
      <c r="R759" s="230"/>
      <c r="S759" s="230"/>
      <c r="T759" s="230"/>
      <c r="U759" s="230"/>
      <c r="V759" s="230"/>
      <c r="W759" s="230"/>
      <c r="X759" s="230"/>
      <c r="Y759" s="230"/>
      <c r="Z759" s="230"/>
    </row>
    <row r="760">
      <c r="A760" s="346"/>
      <c r="B760" s="347"/>
      <c r="C760" s="284"/>
      <c r="D760" s="284"/>
      <c r="E760" s="285"/>
      <c r="F760" s="230"/>
      <c r="G760" s="230"/>
      <c r="H760" s="230"/>
      <c r="I760" s="230"/>
      <c r="J760" s="339"/>
      <c r="K760" s="340"/>
      <c r="L760" s="340"/>
      <c r="M760" s="230"/>
      <c r="N760" s="230"/>
      <c r="O760" s="230"/>
      <c r="P760" s="230"/>
      <c r="Q760" s="230"/>
      <c r="R760" s="230"/>
      <c r="S760" s="230"/>
      <c r="T760" s="230"/>
      <c r="U760" s="230"/>
      <c r="V760" s="230"/>
      <c r="W760" s="230"/>
      <c r="X760" s="230"/>
      <c r="Y760" s="230"/>
      <c r="Z760" s="230"/>
    </row>
    <row r="761">
      <c r="A761" s="346"/>
      <c r="B761" s="347"/>
      <c r="C761" s="284"/>
      <c r="D761" s="284"/>
      <c r="E761" s="285"/>
      <c r="F761" s="230"/>
      <c r="G761" s="230"/>
      <c r="H761" s="230"/>
      <c r="I761" s="230"/>
      <c r="J761" s="339"/>
      <c r="K761" s="340"/>
      <c r="L761" s="340"/>
      <c r="M761" s="230"/>
      <c r="N761" s="230"/>
      <c r="O761" s="230"/>
      <c r="P761" s="230"/>
      <c r="Q761" s="230"/>
      <c r="R761" s="230"/>
      <c r="S761" s="230"/>
      <c r="T761" s="230"/>
      <c r="U761" s="230"/>
      <c r="V761" s="230"/>
      <c r="W761" s="230"/>
      <c r="X761" s="230"/>
      <c r="Y761" s="230"/>
      <c r="Z761" s="230"/>
    </row>
    <row r="762">
      <c r="A762" s="346"/>
      <c r="B762" s="347"/>
      <c r="C762" s="284"/>
      <c r="D762" s="284"/>
      <c r="E762" s="285"/>
      <c r="F762" s="230"/>
      <c r="G762" s="230"/>
      <c r="H762" s="230"/>
      <c r="I762" s="230"/>
      <c r="J762" s="339"/>
      <c r="K762" s="340"/>
      <c r="L762" s="340"/>
      <c r="M762" s="230"/>
      <c r="N762" s="230"/>
      <c r="O762" s="230"/>
      <c r="P762" s="230"/>
      <c r="Q762" s="230"/>
      <c r="R762" s="230"/>
      <c r="S762" s="230"/>
      <c r="T762" s="230"/>
      <c r="U762" s="230"/>
      <c r="V762" s="230"/>
      <c r="W762" s="230"/>
      <c r="X762" s="230"/>
      <c r="Y762" s="230"/>
      <c r="Z762" s="230"/>
    </row>
    <row r="763">
      <c r="A763" s="346"/>
      <c r="B763" s="347"/>
      <c r="C763" s="284"/>
      <c r="D763" s="284"/>
      <c r="E763" s="285"/>
      <c r="F763" s="230"/>
      <c r="G763" s="230"/>
      <c r="H763" s="230"/>
      <c r="I763" s="230"/>
      <c r="J763" s="339"/>
      <c r="K763" s="340"/>
      <c r="L763" s="340"/>
      <c r="M763" s="230"/>
      <c r="N763" s="230"/>
      <c r="O763" s="230"/>
      <c r="P763" s="230"/>
      <c r="Q763" s="230"/>
      <c r="R763" s="230"/>
      <c r="S763" s="230"/>
      <c r="T763" s="230"/>
      <c r="U763" s="230"/>
      <c r="V763" s="230"/>
      <c r="W763" s="230"/>
      <c r="X763" s="230"/>
      <c r="Y763" s="230"/>
      <c r="Z763" s="230"/>
    </row>
    <row r="764">
      <c r="A764" s="346"/>
      <c r="B764" s="347"/>
      <c r="C764" s="284"/>
      <c r="D764" s="284"/>
      <c r="E764" s="285"/>
      <c r="F764" s="230"/>
      <c r="G764" s="230"/>
      <c r="H764" s="230"/>
      <c r="I764" s="230"/>
      <c r="J764" s="339"/>
      <c r="K764" s="340"/>
      <c r="L764" s="340"/>
      <c r="M764" s="230"/>
      <c r="N764" s="230"/>
      <c r="O764" s="230"/>
      <c r="P764" s="230"/>
      <c r="Q764" s="230"/>
      <c r="R764" s="230"/>
      <c r="S764" s="230"/>
      <c r="T764" s="230"/>
      <c r="U764" s="230"/>
      <c r="V764" s="230"/>
      <c r="W764" s="230"/>
      <c r="X764" s="230"/>
      <c r="Y764" s="230"/>
      <c r="Z764" s="230"/>
    </row>
    <row r="765">
      <c r="A765" s="346"/>
      <c r="B765" s="347"/>
      <c r="C765" s="284"/>
      <c r="D765" s="284"/>
      <c r="E765" s="285"/>
      <c r="F765" s="230"/>
      <c r="G765" s="230"/>
      <c r="H765" s="230"/>
      <c r="I765" s="230"/>
      <c r="J765" s="339"/>
      <c r="K765" s="340"/>
      <c r="L765" s="340"/>
      <c r="M765" s="230"/>
      <c r="N765" s="230"/>
      <c r="O765" s="230"/>
      <c r="P765" s="230"/>
      <c r="Q765" s="230"/>
      <c r="R765" s="230"/>
      <c r="S765" s="230"/>
      <c r="T765" s="230"/>
      <c r="U765" s="230"/>
      <c r="V765" s="230"/>
      <c r="W765" s="230"/>
      <c r="X765" s="230"/>
      <c r="Y765" s="230"/>
      <c r="Z765" s="230"/>
    </row>
    <row r="766">
      <c r="A766" s="346"/>
      <c r="B766" s="347"/>
      <c r="C766" s="284"/>
      <c r="D766" s="284"/>
      <c r="E766" s="285"/>
      <c r="F766" s="230"/>
      <c r="G766" s="230"/>
      <c r="H766" s="230"/>
      <c r="I766" s="230"/>
      <c r="J766" s="339"/>
      <c r="K766" s="340"/>
      <c r="L766" s="340"/>
      <c r="M766" s="230"/>
      <c r="N766" s="230"/>
      <c r="O766" s="230"/>
      <c r="P766" s="230"/>
      <c r="Q766" s="230"/>
      <c r="R766" s="230"/>
      <c r="S766" s="230"/>
      <c r="T766" s="230"/>
      <c r="U766" s="230"/>
      <c r="V766" s="230"/>
      <c r="W766" s="230"/>
      <c r="X766" s="230"/>
      <c r="Y766" s="230"/>
      <c r="Z766" s="230"/>
    </row>
    <row r="767">
      <c r="A767" s="346"/>
      <c r="B767" s="347"/>
      <c r="C767" s="284"/>
      <c r="D767" s="284"/>
      <c r="E767" s="285"/>
      <c r="F767" s="230"/>
      <c r="G767" s="230"/>
      <c r="H767" s="230"/>
      <c r="I767" s="230"/>
      <c r="J767" s="339"/>
      <c r="K767" s="340"/>
      <c r="L767" s="340"/>
      <c r="M767" s="230"/>
      <c r="N767" s="230"/>
      <c r="O767" s="230"/>
      <c r="P767" s="230"/>
      <c r="Q767" s="230"/>
      <c r="R767" s="230"/>
      <c r="S767" s="230"/>
      <c r="T767" s="230"/>
      <c r="U767" s="230"/>
      <c r="V767" s="230"/>
      <c r="W767" s="230"/>
      <c r="X767" s="230"/>
      <c r="Y767" s="230"/>
      <c r="Z767" s="230"/>
    </row>
    <row r="768">
      <c r="A768" s="346"/>
      <c r="B768" s="347"/>
      <c r="C768" s="284"/>
      <c r="D768" s="284"/>
      <c r="E768" s="285"/>
      <c r="F768" s="230"/>
      <c r="G768" s="230"/>
      <c r="H768" s="230"/>
      <c r="I768" s="230"/>
      <c r="J768" s="339"/>
      <c r="K768" s="340"/>
      <c r="L768" s="340"/>
      <c r="M768" s="230"/>
      <c r="N768" s="230"/>
      <c r="O768" s="230"/>
      <c r="P768" s="230"/>
      <c r="Q768" s="230"/>
      <c r="R768" s="230"/>
      <c r="S768" s="230"/>
      <c r="T768" s="230"/>
      <c r="U768" s="230"/>
      <c r="V768" s="230"/>
      <c r="W768" s="230"/>
      <c r="X768" s="230"/>
      <c r="Y768" s="230"/>
      <c r="Z768" s="230"/>
    </row>
    <row r="769">
      <c r="A769" s="346"/>
      <c r="B769" s="347"/>
      <c r="C769" s="284"/>
      <c r="D769" s="284"/>
      <c r="E769" s="285"/>
      <c r="F769" s="230"/>
      <c r="G769" s="230"/>
      <c r="H769" s="230"/>
      <c r="I769" s="230"/>
      <c r="J769" s="339"/>
      <c r="K769" s="340"/>
      <c r="L769" s="340"/>
      <c r="M769" s="230"/>
      <c r="N769" s="230"/>
      <c r="O769" s="230"/>
      <c r="P769" s="230"/>
      <c r="Q769" s="230"/>
      <c r="R769" s="230"/>
      <c r="S769" s="230"/>
      <c r="T769" s="230"/>
      <c r="U769" s="230"/>
      <c r="V769" s="230"/>
      <c r="W769" s="230"/>
      <c r="X769" s="230"/>
      <c r="Y769" s="230"/>
      <c r="Z769" s="230"/>
    </row>
    <row r="770">
      <c r="A770" s="346"/>
      <c r="B770" s="347"/>
      <c r="C770" s="284"/>
      <c r="D770" s="284"/>
      <c r="E770" s="285"/>
      <c r="F770" s="230"/>
      <c r="G770" s="230"/>
      <c r="H770" s="230"/>
      <c r="I770" s="230"/>
      <c r="J770" s="339"/>
      <c r="K770" s="340"/>
      <c r="L770" s="340"/>
      <c r="M770" s="230"/>
      <c r="N770" s="230"/>
      <c r="O770" s="230"/>
      <c r="P770" s="230"/>
      <c r="Q770" s="230"/>
      <c r="R770" s="230"/>
      <c r="S770" s="230"/>
      <c r="T770" s="230"/>
      <c r="U770" s="230"/>
      <c r="V770" s="230"/>
      <c r="W770" s="230"/>
      <c r="X770" s="230"/>
      <c r="Y770" s="230"/>
      <c r="Z770" s="230"/>
    </row>
    <row r="771">
      <c r="A771" s="346"/>
      <c r="B771" s="347"/>
      <c r="C771" s="284"/>
      <c r="D771" s="284"/>
      <c r="E771" s="285"/>
      <c r="F771" s="230"/>
      <c r="G771" s="230"/>
      <c r="H771" s="230"/>
      <c r="I771" s="230"/>
      <c r="J771" s="339"/>
      <c r="K771" s="340"/>
      <c r="L771" s="340"/>
      <c r="M771" s="230"/>
      <c r="N771" s="230"/>
      <c r="O771" s="230"/>
      <c r="P771" s="230"/>
      <c r="Q771" s="230"/>
      <c r="R771" s="230"/>
      <c r="S771" s="230"/>
      <c r="T771" s="230"/>
      <c r="U771" s="230"/>
      <c r="V771" s="230"/>
      <c r="W771" s="230"/>
      <c r="X771" s="230"/>
      <c r="Y771" s="230"/>
      <c r="Z771" s="230"/>
    </row>
    <row r="772">
      <c r="A772" s="346"/>
      <c r="B772" s="347"/>
      <c r="C772" s="284"/>
      <c r="D772" s="284"/>
      <c r="E772" s="285"/>
      <c r="F772" s="230"/>
      <c r="G772" s="230"/>
      <c r="H772" s="230"/>
      <c r="I772" s="230"/>
      <c r="J772" s="339"/>
      <c r="K772" s="340"/>
      <c r="L772" s="340"/>
      <c r="M772" s="230"/>
      <c r="N772" s="230"/>
      <c r="O772" s="230"/>
      <c r="P772" s="230"/>
      <c r="Q772" s="230"/>
      <c r="R772" s="230"/>
      <c r="S772" s="230"/>
      <c r="T772" s="230"/>
      <c r="U772" s="230"/>
      <c r="V772" s="230"/>
      <c r="W772" s="230"/>
      <c r="X772" s="230"/>
      <c r="Y772" s="230"/>
      <c r="Z772" s="230"/>
    </row>
    <row r="773">
      <c r="A773" s="346"/>
      <c r="B773" s="347"/>
      <c r="C773" s="284"/>
      <c r="D773" s="284"/>
      <c r="E773" s="285"/>
      <c r="F773" s="230"/>
      <c r="G773" s="230"/>
      <c r="H773" s="230"/>
      <c r="I773" s="230"/>
      <c r="J773" s="339"/>
      <c r="K773" s="340"/>
      <c r="L773" s="340"/>
      <c r="M773" s="230"/>
      <c r="N773" s="230"/>
      <c r="O773" s="230"/>
      <c r="P773" s="230"/>
      <c r="Q773" s="230"/>
      <c r="R773" s="230"/>
      <c r="S773" s="230"/>
      <c r="T773" s="230"/>
      <c r="U773" s="230"/>
      <c r="V773" s="230"/>
      <c r="W773" s="230"/>
      <c r="X773" s="230"/>
      <c r="Y773" s="230"/>
      <c r="Z773" s="230"/>
    </row>
    <row r="774">
      <c r="A774" s="346"/>
      <c r="B774" s="347"/>
      <c r="C774" s="284"/>
      <c r="D774" s="284"/>
      <c r="E774" s="285"/>
      <c r="F774" s="230"/>
      <c r="G774" s="230"/>
      <c r="H774" s="230"/>
      <c r="I774" s="230"/>
      <c r="J774" s="339"/>
      <c r="K774" s="340"/>
      <c r="L774" s="340"/>
      <c r="M774" s="230"/>
      <c r="N774" s="230"/>
      <c r="O774" s="230"/>
      <c r="P774" s="230"/>
      <c r="Q774" s="230"/>
      <c r="R774" s="230"/>
      <c r="S774" s="230"/>
      <c r="T774" s="230"/>
      <c r="U774" s="230"/>
      <c r="V774" s="230"/>
      <c r="W774" s="230"/>
      <c r="X774" s="230"/>
      <c r="Y774" s="230"/>
      <c r="Z774" s="230"/>
    </row>
    <row r="775">
      <c r="A775" s="346"/>
      <c r="B775" s="347"/>
      <c r="C775" s="284"/>
      <c r="D775" s="284"/>
      <c r="E775" s="285"/>
      <c r="F775" s="230"/>
      <c r="G775" s="230"/>
      <c r="H775" s="230"/>
      <c r="I775" s="230"/>
      <c r="J775" s="339"/>
      <c r="K775" s="340"/>
      <c r="L775" s="340"/>
      <c r="M775" s="230"/>
      <c r="N775" s="230"/>
      <c r="O775" s="230"/>
      <c r="P775" s="230"/>
      <c r="Q775" s="230"/>
      <c r="R775" s="230"/>
      <c r="S775" s="230"/>
      <c r="T775" s="230"/>
      <c r="U775" s="230"/>
      <c r="V775" s="230"/>
      <c r="W775" s="230"/>
      <c r="X775" s="230"/>
      <c r="Y775" s="230"/>
      <c r="Z775" s="230"/>
    </row>
    <row r="776">
      <c r="A776" s="346"/>
      <c r="B776" s="347"/>
      <c r="C776" s="284"/>
      <c r="D776" s="284"/>
      <c r="E776" s="285"/>
      <c r="F776" s="230"/>
      <c r="G776" s="230"/>
      <c r="H776" s="230"/>
      <c r="I776" s="230"/>
      <c r="J776" s="339"/>
      <c r="K776" s="340"/>
      <c r="L776" s="340"/>
      <c r="M776" s="230"/>
      <c r="N776" s="230"/>
      <c r="O776" s="230"/>
      <c r="P776" s="230"/>
      <c r="Q776" s="230"/>
      <c r="R776" s="230"/>
      <c r="S776" s="230"/>
      <c r="T776" s="230"/>
      <c r="U776" s="230"/>
      <c r="V776" s="230"/>
      <c r="W776" s="230"/>
      <c r="X776" s="230"/>
      <c r="Y776" s="230"/>
      <c r="Z776" s="230"/>
    </row>
    <row r="777">
      <c r="A777" s="346"/>
      <c r="B777" s="347"/>
      <c r="C777" s="284"/>
      <c r="D777" s="284"/>
      <c r="E777" s="285"/>
      <c r="F777" s="230"/>
      <c r="G777" s="230"/>
      <c r="H777" s="230"/>
      <c r="I777" s="230"/>
      <c r="J777" s="339"/>
      <c r="K777" s="340"/>
      <c r="L777" s="340"/>
      <c r="M777" s="230"/>
      <c r="N777" s="230"/>
      <c r="O777" s="230"/>
      <c r="P777" s="230"/>
      <c r="Q777" s="230"/>
      <c r="R777" s="230"/>
      <c r="S777" s="230"/>
      <c r="T777" s="230"/>
      <c r="U777" s="230"/>
      <c r="V777" s="230"/>
      <c r="W777" s="230"/>
      <c r="X777" s="230"/>
      <c r="Y777" s="230"/>
      <c r="Z777" s="230"/>
    </row>
    <row r="778">
      <c r="A778" s="346"/>
      <c r="B778" s="347"/>
      <c r="C778" s="284"/>
      <c r="D778" s="284"/>
      <c r="E778" s="285"/>
      <c r="F778" s="230"/>
      <c r="G778" s="230"/>
      <c r="H778" s="230"/>
      <c r="I778" s="230"/>
      <c r="J778" s="339"/>
      <c r="K778" s="340"/>
      <c r="L778" s="340"/>
      <c r="M778" s="230"/>
      <c r="N778" s="230"/>
      <c r="O778" s="230"/>
      <c r="P778" s="230"/>
      <c r="Q778" s="230"/>
      <c r="R778" s="230"/>
      <c r="S778" s="230"/>
      <c r="T778" s="230"/>
      <c r="U778" s="230"/>
      <c r="V778" s="230"/>
      <c r="W778" s="230"/>
      <c r="X778" s="230"/>
      <c r="Y778" s="230"/>
      <c r="Z778" s="230"/>
    </row>
    <row r="779">
      <c r="A779" s="346"/>
      <c r="B779" s="347"/>
      <c r="C779" s="284"/>
      <c r="D779" s="284"/>
      <c r="E779" s="285"/>
      <c r="F779" s="230"/>
      <c r="G779" s="230"/>
      <c r="H779" s="230"/>
      <c r="I779" s="230"/>
      <c r="J779" s="339"/>
      <c r="K779" s="340"/>
      <c r="L779" s="340"/>
      <c r="M779" s="230"/>
      <c r="N779" s="230"/>
      <c r="O779" s="230"/>
      <c r="P779" s="230"/>
      <c r="Q779" s="230"/>
      <c r="R779" s="230"/>
      <c r="S779" s="230"/>
      <c r="T779" s="230"/>
      <c r="U779" s="230"/>
      <c r="V779" s="230"/>
      <c r="W779" s="230"/>
      <c r="X779" s="230"/>
      <c r="Y779" s="230"/>
      <c r="Z779" s="230"/>
    </row>
    <row r="780">
      <c r="A780" s="346"/>
      <c r="B780" s="347"/>
      <c r="C780" s="284"/>
      <c r="D780" s="284"/>
      <c r="E780" s="285"/>
      <c r="F780" s="230"/>
      <c r="G780" s="230"/>
      <c r="H780" s="230"/>
      <c r="I780" s="230"/>
      <c r="J780" s="339"/>
      <c r="K780" s="340"/>
      <c r="L780" s="340"/>
      <c r="M780" s="230"/>
      <c r="N780" s="230"/>
      <c r="O780" s="230"/>
      <c r="P780" s="230"/>
      <c r="Q780" s="230"/>
      <c r="R780" s="230"/>
      <c r="S780" s="230"/>
      <c r="T780" s="230"/>
      <c r="U780" s="230"/>
      <c r="V780" s="230"/>
      <c r="W780" s="230"/>
      <c r="X780" s="230"/>
      <c r="Y780" s="230"/>
      <c r="Z780" s="230"/>
    </row>
    <row r="781">
      <c r="A781" s="346"/>
      <c r="B781" s="347"/>
      <c r="C781" s="284"/>
      <c r="D781" s="284"/>
      <c r="E781" s="285"/>
      <c r="F781" s="230"/>
      <c r="G781" s="230"/>
      <c r="H781" s="230"/>
      <c r="I781" s="230"/>
      <c r="J781" s="339"/>
      <c r="K781" s="340"/>
      <c r="L781" s="340"/>
      <c r="M781" s="230"/>
      <c r="N781" s="230"/>
      <c r="O781" s="230"/>
      <c r="P781" s="230"/>
      <c r="Q781" s="230"/>
      <c r="R781" s="230"/>
      <c r="S781" s="230"/>
      <c r="T781" s="230"/>
      <c r="U781" s="230"/>
      <c r="V781" s="230"/>
      <c r="W781" s="230"/>
      <c r="X781" s="230"/>
      <c r="Y781" s="230"/>
      <c r="Z781" s="230"/>
    </row>
    <row r="782">
      <c r="A782" s="346"/>
      <c r="B782" s="347"/>
      <c r="C782" s="284"/>
      <c r="D782" s="284"/>
      <c r="E782" s="285"/>
      <c r="F782" s="230"/>
      <c r="G782" s="230"/>
      <c r="H782" s="230"/>
      <c r="I782" s="230"/>
      <c r="J782" s="339"/>
      <c r="K782" s="340"/>
      <c r="L782" s="340"/>
      <c r="M782" s="230"/>
      <c r="N782" s="230"/>
      <c r="O782" s="230"/>
      <c r="P782" s="230"/>
      <c r="Q782" s="230"/>
      <c r="R782" s="230"/>
      <c r="S782" s="230"/>
      <c r="T782" s="230"/>
      <c r="U782" s="230"/>
      <c r="V782" s="230"/>
      <c r="W782" s="230"/>
      <c r="X782" s="230"/>
      <c r="Y782" s="230"/>
      <c r="Z782" s="230"/>
    </row>
    <row r="783">
      <c r="A783" s="346"/>
      <c r="B783" s="347"/>
      <c r="C783" s="284"/>
      <c r="D783" s="284"/>
      <c r="E783" s="285"/>
      <c r="F783" s="230"/>
      <c r="G783" s="230"/>
      <c r="H783" s="230"/>
      <c r="I783" s="230"/>
      <c r="J783" s="339"/>
      <c r="K783" s="340"/>
      <c r="L783" s="340"/>
      <c r="M783" s="230"/>
      <c r="N783" s="230"/>
      <c r="O783" s="230"/>
      <c r="P783" s="230"/>
      <c r="Q783" s="230"/>
      <c r="R783" s="230"/>
      <c r="S783" s="230"/>
      <c r="T783" s="230"/>
      <c r="U783" s="230"/>
      <c r="V783" s="230"/>
      <c r="W783" s="230"/>
      <c r="X783" s="230"/>
      <c r="Y783" s="230"/>
      <c r="Z783" s="230"/>
    </row>
    <row r="784">
      <c r="A784" s="346"/>
      <c r="B784" s="347"/>
      <c r="C784" s="284"/>
      <c r="D784" s="284"/>
      <c r="E784" s="285"/>
      <c r="F784" s="230"/>
      <c r="G784" s="230"/>
      <c r="H784" s="230"/>
      <c r="I784" s="230"/>
      <c r="J784" s="339"/>
      <c r="K784" s="340"/>
      <c r="L784" s="340"/>
      <c r="M784" s="230"/>
      <c r="N784" s="230"/>
      <c r="O784" s="230"/>
      <c r="P784" s="230"/>
      <c r="Q784" s="230"/>
      <c r="R784" s="230"/>
      <c r="S784" s="230"/>
      <c r="T784" s="230"/>
      <c r="U784" s="230"/>
      <c r="V784" s="230"/>
      <c r="W784" s="230"/>
      <c r="X784" s="230"/>
      <c r="Y784" s="230"/>
      <c r="Z784" s="230"/>
    </row>
    <row r="785">
      <c r="A785" s="346"/>
      <c r="B785" s="347"/>
      <c r="C785" s="284"/>
      <c r="D785" s="284"/>
      <c r="E785" s="285"/>
      <c r="F785" s="230"/>
      <c r="G785" s="230"/>
      <c r="H785" s="230"/>
      <c r="I785" s="230"/>
      <c r="J785" s="339"/>
      <c r="K785" s="340"/>
      <c r="L785" s="340"/>
      <c r="M785" s="230"/>
      <c r="N785" s="230"/>
      <c r="O785" s="230"/>
      <c r="P785" s="230"/>
      <c r="Q785" s="230"/>
      <c r="R785" s="230"/>
      <c r="S785" s="230"/>
      <c r="T785" s="230"/>
      <c r="U785" s="230"/>
      <c r="V785" s="230"/>
      <c r="W785" s="230"/>
      <c r="X785" s="230"/>
      <c r="Y785" s="230"/>
      <c r="Z785" s="230"/>
    </row>
    <row r="786">
      <c r="A786" s="346"/>
      <c r="B786" s="347"/>
      <c r="C786" s="284"/>
      <c r="D786" s="284"/>
      <c r="E786" s="285"/>
      <c r="F786" s="230"/>
      <c r="G786" s="230"/>
      <c r="H786" s="230"/>
      <c r="I786" s="230"/>
      <c r="J786" s="339"/>
      <c r="K786" s="340"/>
      <c r="L786" s="340"/>
      <c r="M786" s="230"/>
      <c r="N786" s="230"/>
      <c r="O786" s="230"/>
      <c r="P786" s="230"/>
      <c r="Q786" s="230"/>
      <c r="R786" s="230"/>
      <c r="S786" s="230"/>
      <c r="T786" s="230"/>
      <c r="U786" s="230"/>
      <c r="V786" s="230"/>
      <c r="W786" s="230"/>
      <c r="X786" s="230"/>
      <c r="Y786" s="230"/>
      <c r="Z786" s="230"/>
    </row>
    <row r="787">
      <c r="A787" s="346"/>
      <c r="B787" s="347"/>
      <c r="C787" s="284"/>
      <c r="D787" s="284"/>
      <c r="E787" s="285"/>
      <c r="F787" s="230"/>
      <c r="G787" s="230"/>
      <c r="H787" s="230"/>
      <c r="I787" s="230"/>
      <c r="J787" s="339"/>
      <c r="K787" s="340"/>
      <c r="L787" s="340"/>
      <c r="M787" s="230"/>
      <c r="N787" s="230"/>
      <c r="O787" s="230"/>
      <c r="P787" s="230"/>
      <c r="Q787" s="230"/>
      <c r="R787" s="230"/>
      <c r="S787" s="230"/>
      <c r="T787" s="230"/>
      <c r="U787" s="230"/>
      <c r="V787" s="230"/>
      <c r="W787" s="230"/>
      <c r="X787" s="230"/>
      <c r="Y787" s="230"/>
      <c r="Z787" s="230"/>
    </row>
    <row r="788">
      <c r="A788" s="346"/>
      <c r="B788" s="347"/>
      <c r="C788" s="284"/>
      <c r="D788" s="284"/>
      <c r="E788" s="285"/>
      <c r="F788" s="230"/>
      <c r="G788" s="230"/>
      <c r="H788" s="230"/>
      <c r="I788" s="230"/>
      <c r="J788" s="339"/>
      <c r="K788" s="340"/>
      <c r="L788" s="340"/>
      <c r="M788" s="230"/>
      <c r="N788" s="230"/>
      <c r="O788" s="230"/>
      <c r="P788" s="230"/>
      <c r="Q788" s="230"/>
      <c r="R788" s="230"/>
      <c r="S788" s="230"/>
      <c r="T788" s="230"/>
      <c r="U788" s="230"/>
      <c r="V788" s="230"/>
      <c r="W788" s="230"/>
      <c r="X788" s="230"/>
      <c r="Y788" s="230"/>
      <c r="Z788" s="230"/>
    </row>
    <row r="789">
      <c r="A789" s="346"/>
      <c r="B789" s="347"/>
      <c r="C789" s="284"/>
      <c r="D789" s="284"/>
      <c r="E789" s="285"/>
      <c r="F789" s="230"/>
      <c r="G789" s="230"/>
      <c r="H789" s="230"/>
      <c r="I789" s="230"/>
      <c r="J789" s="339"/>
      <c r="K789" s="340"/>
      <c r="L789" s="340"/>
      <c r="M789" s="230"/>
      <c r="N789" s="230"/>
      <c r="O789" s="230"/>
      <c r="P789" s="230"/>
      <c r="Q789" s="230"/>
      <c r="R789" s="230"/>
      <c r="S789" s="230"/>
      <c r="T789" s="230"/>
      <c r="U789" s="230"/>
      <c r="V789" s="230"/>
      <c r="W789" s="230"/>
      <c r="X789" s="230"/>
      <c r="Y789" s="230"/>
      <c r="Z789" s="230"/>
    </row>
    <row r="790">
      <c r="A790" s="346"/>
      <c r="B790" s="347"/>
      <c r="C790" s="284"/>
      <c r="D790" s="284"/>
      <c r="E790" s="285"/>
      <c r="F790" s="230"/>
      <c r="G790" s="230"/>
      <c r="H790" s="230"/>
      <c r="I790" s="230"/>
      <c r="J790" s="339"/>
      <c r="K790" s="340"/>
      <c r="L790" s="340"/>
      <c r="M790" s="230"/>
      <c r="N790" s="230"/>
      <c r="O790" s="230"/>
      <c r="P790" s="230"/>
      <c r="Q790" s="230"/>
      <c r="R790" s="230"/>
      <c r="S790" s="230"/>
      <c r="T790" s="230"/>
      <c r="U790" s="230"/>
      <c r="V790" s="230"/>
      <c r="W790" s="230"/>
      <c r="X790" s="230"/>
      <c r="Y790" s="230"/>
      <c r="Z790" s="230"/>
    </row>
    <row r="791">
      <c r="A791" s="346"/>
      <c r="B791" s="347"/>
      <c r="C791" s="284"/>
      <c r="D791" s="284"/>
      <c r="E791" s="285"/>
      <c r="F791" s="230"/>
      <c r="G791" s="230"/>
      <c r="H791" s="230"/>
      <c r="I791" s="230"/>
      <c r="J791" s="339"/>
      <c r="K791" s="340"/>
      <c r="L791" s="340"/>
      <c r="M791" s="230"/>
      <c r="N791" s="230"/>
      <c r="O791" s="230"/>
      <c r="P791" s="230"/>
      <c r="Q791" s="230"/>
      <c r="R791" s="230"/>
      <c r="S791" s="230"/>
      <c r="T791" s="230"/>
      <c r="U791" s="230"/>
      <c r="V791" s="230"/>
      <c r="W791" s="230"/>
      <c r="X791" s="230"/>
      <c r="Y791" s="230"/>
      <c r="Z791" s="230"/>
    </row>
    <row r="792">
      <c r="A792" s="346"/>
      <c r="B792" s="347"/>
      <c r="C792" s="284"/>
      <c r="D792" s="284"/>
      <c r="E792" s="285"/>
      <c r="F792" s="230"/>
      <c r="G792" s="230"/>
      <c r="H792" s="230"/>
      <c r="I792" s="230"/>
      <c r="J792" s="339"/>
      <c r="K792" s="340"/>
      <c r="L792" s="340"/>
      <c r="M792" s="230"/>
      <c r="N792" s="230"/>
      <c r="O792" s="230"/>
      <c r="P792" s="230"/>
      <c r="Q792" s="230"/>
      <c r="R792" s="230"/>
      <c r="S792" s="230"/>
      <c r="T792" s="230"/>
      <c r="U792" s="230"/>
      <c r="V792" s="230"/>
      <c r="W792" s="230"/>
      <c r="X792" s="230"/>
      <c r="Y792" s="230"/>
      <c r="Z792" s="230"/>
    </row>
    <row r="793">
      <c r="A793" s="346"/>
      <c r="B793" s="347"/>
      <c r="C793" s="284"/>
      <c r="D793" s="284"/>
      <c r="E793" s="285"/>
      <c r="F793" s="230"/>
      <c r="G793" s="230"/>
      <c r="H793" s="230"/>
      <c r="I793" s="230"/>
      <c r="J793" s="339"/>
      <c r="K793" s="340"/>
      <c r="L793" s="340"/>
      <c r="M793" s="230"/>
      <c r="N793" s="230"/>
      <c r="O793" s="230"/>
      <c r="P793" s="230"/>
      <c r="Q793" s="230"/>
      <c r="R793" s="230"/>
      <c r="S793" s="230"/>
      <c r="T793" s="230"/>
      <c r="U793" s="230"/>
      <c r="V793" s="230"/>
      <c r="W793" s="230"/>
      <c r="X793" s="230"/>
      <c r="Y793" s="230"/>
      <c r="Z793" s="230"/>
    </row>
    <row r="794">
      <c r="A794" s="346"/>
      <c r="B794" s="347"/>
      <c r="C794" s="284"/>
      <c r="D794" s="284"/>
      <c r="E794" s="285"/>
      <c r="F794" s="230"/>
      <c r="G794" s="230"/>
      <c r="H794" s="230"/>
      <c r="I794" s="230"/>
      <c r="J794" s="339"/>
      <c r="K794" s="340"/>
      <c r="L794" s="340"/>
      <c r="M794" s="230"/>
      <c r="N794" s="230"/>
      <c r="O794" s="230"/>
      <c r="P794" s="230"/>
      <c r="Q794" s="230"/>
      <c r="R794" s="230"/>
      <c r="S794" s="230"/>
      <c r="T794" s="230"/>
      <c r="U794" s="230"/>
      <c r="V794" s="230"/>
      <c r="W794" s="230"/>
      <c r="X794" s="230"/>
      <c r="Y794" s="230"/>
      <c r="Z794" s="230"/>
    </row>
    <row r="795">
      <c r="A795" s="346"/>
      <c r="B795" s="347"/>
      <c r="C795" s="284"/>
      <c r="D795" s="284"/>
      <c r="E795" s="285"/>
      <c r="F795" s="230"/>
      <c r="G795" s="230"/>
      <c r="H795" s="230"/>
      <c r="I795" s="230"/>
      <c r="J795" s="339"/>
      <c r="K795" s="340"/>
      <c r="L795" s="340"/>
      <c r="M795" s="230"/>
      <c r="N795" s="230"/>
      <c r="O795" s="230"/>
      <c r="P795" s="230"/>
      <c r="Q795" s="230"/>
      <c r="R795" s="230"/>
      <c r="S795" s="230"/>
      <c r="T795" s="230"/>
      <c r="U795" s="230"/>
      <c r="V795" s="230"/>
      <c r="W795" s="230"/>
      <c r="X795" s="230"/>
      <c r="Y795" s="230"/>
      <c r="Z795" s="230"/>
    </row>
    <row r="796">
      <c r="A796" s="346"/>
      <c r="B796" s="347"/>
      <c r="C796" s="284"/>
      <c r="D796" s="284"/>
      <c r="E796" s="285"/>
      <c r="F796" s="230"/>
      <c r="G796" s="230"/>
      <c r="H796" s="230"/>
      <c r="I796" s="230"/>
      <c r="J796" s="339"/>
      <c r="K796" s="340"/>
      <c r="L796" s="340"/>
      <c r="M796" s="230"/>
      <c r="N796" s="230"/>
      <c r="O796" s="230"/>
      <c r="P796" s="230"/>
      <c r="Q796" s="230"/>
      <c r="R796" s="230"/>
      <c r="S796" s="230"/>
      <c r="T796" s="230"/>
      <c r="U796" s="230"/>
      <c r="V796" s="230"/>
      <c r="W796" s="230"/>
      <c r="X796" s="230"/>
      <c r="Y796" s="230"/>
      <c r="Z796" s="230"/>
    </row>
    <row r="797">
      <c r="A797" s="346"/>
      <c r="B797" s="347"/>
      <c r="C797" s="284"/>
      <c r="D797" s="284"/>
      <c r="E797" s="285"/>
      <c r="F797" s="230"/>
      <c r="G797" s="230"/>
      <c r="H797" s="230"/>
      <c r="I797" s="230"/>
      <c r="J797" s="339"/>
      <c r="K797" s="340"/>
      <c r="L797" s="340"/>
      <c r="M797" s="230"/>
      <c r="N797" s="230"/>
      <c r="O797" s="230"/>
      <c r="P797" s="230"/>
      <c r="Q797" s="230"/>
      <c r="R797" s="230"/>
      <c r="S797" s="230"/>
      <c r="T797" s="230"/>
      <c r="U797" s="230"/>
      <c r="V797" s="230"/>
      <c r="W797" s="230"/>
      <c r="X797" s="230"/>
      <c r="Y797" s="230"/>
      <c r="Z797" s="230"/>
    </row>
    <row r="798">
      <c r="A798" s="346"/>
      <c r="B798" s="347"/>
      <c r="C798" s="284"/>
      <c r="D798" s="284"/>
      <c r="E798" s="285"/>
      <c r="F798" s="230"/>
      <c r="G798" s="230"/>
      <c r="H798" s="230"/>
      <c r="I798" s="230"/>
      <c r="J798" s="339"/>
      <c r="K798" s="340"/>
      <c r="L798" s="340"/>
      <c r="M798" s="230"/>
      <c r="N798" s="230"/>
      <c r="O798" s="230"/>
      <c r="P798" s="230"/>
      <c r="Q798" s="230"/>
      <c r="R798" s="230"/>
      <c r="S798" s="230"/>
      <c r="T798" s="230"/>
      <c r="U798" s="230"/>
      <c r="V798" s="230"/>
      <c r="W798" s="230"/>
      <c r="X798" s="230"/>
      <c r="Y798" s="230"/>
      <c r="Z798" s="230"/>
    </row>
    <row r="799">
      <c r="A799" s="346"/>
      <c r="B799" s="347"/>
      <c r="C799" s="284"/>
      <c r="D799" s="284"/>
      <c r="E799" s="285"/>
      <c r="F799" s="230"/>
      <c r="G799" s="230"/>
      <c r="H799" s="230"/>
      <c r="I799" s="230"/>
      <c r="J799" s="339"/>
      <c r="K799" s="340"/>
      <c r="L799" s="340"/>
      <c r="M799" s="230"/>
      <c r="N799" s="230"/>
      <c r="O799" s="230"/>
      <c r="P799" s="230"/>
      <c r="Q799" s="230"/>
      <c r="R799" s="230"/>
      <c r="S799" s="230"/>
      <c r="T799" s="230"/>
      <c r="U799" s="230"/>
      <c r="V799" s="230"/>
      <c r="W799" s="230"/>
      <c r="X799" s="230"/>
      <c r="Y799" s="230"/>
      <c r="Z799" s="230"/>
    </row>
    <row r="800">
      <c r="A800" s="346"/>
      <c r="B800" s="347"/>
      <c r="C800" s="284"/>
      <c r="D800" s="284"/>
      <c r="E800" s="285"/>
      <c r="F800" s="230"/>
      <c r="G800" s="230"/>
      <c r="H800" s="230"/>
      <c r="I800" s="230"/>
      <c r="J800" s="339"/>
      <c r="K800" s="340"/>
      <c r="L800" s="340"/>
      <c r="M800" s="230"/>
      <c r="N800" s="230"/>
      <c r="O800" s="230"/>
      <c r="P800" s="230"/>
      <c r="Q800" s="230"/>
      <c r="R800" s="230"/>
      <c r="S800" s="230"/>
      <c r="T800" s="230"/>
      <c r="U800" s="230"/>
      <c r="V800" s="230"/>
      <c r="W800" s="230"/>
      <c r="X800" s="230"/>
      <c r="Y800" s="230"/>
      <c r="Z800" s="230"/>
    </row>
    <row r="801">
      <c r="A801" s="346"/>
      <c r="B801" s="347"/>
      <c r="C801" s="284"/>
      <c r="D801" s="284"/>
      <c r="E801" s="285"/>
      <c r="F801" s="230"/>
      <c r="G801" s="230"/>
      <c r="H801" s="230"/>
      <c r="I801" s="230"/>
      <c r="J801" s="339"/>
      <c r="K801" s="340"/>
      <c r="L801" s="340"/>
      <c r="M801" s="230"/>
      <c r="N801" s="230"/>
      <c r="O801" s="230"/>
      <c r="P801" s="230"/>
      <c r="Q801" s="230"/>
      <c r="R801" s="230"/>
      <c r="S801" s="230"/>
      <c r="T801" s="230"/>
      <c r="U801" s="230"/>
      <c r="V801" s="230"/>
      <c r="W801" s="230"/>
      <c r="X801" s="230"/>
      <c r="Y801" s="230"/>
      <c r="Z801" s="230"/>
    </row>
    <row r="802">
      <c r="A802" s="346"/>
      <c r="B802" s="347"/>
      <c r="C802" s="284"/>
      <c r="D802" s="284"/>
      <c r="E802" s="285"/>
      <c r="F802" s="230"/>
      <c r="G802" s="230"/>
      <c r="H802" s="230"/>
      <c r="I802" s="230"/>
      <c r="J802" s="339"/>
      <c r="K802" s="340"/>
      <c r="L802" s="340"/>
      <c r="M802" s="230"/>
      <c r="N802" s="230"/>
      <c r="O802" s="230"/>
      <c r="P802" s="230"/>
      <c r="Q802" s="230"/>
      <c r="R802" s="230"/>
      <c r="S802" s="230"/>
      <c r="T802" s="230"/>
      <c r="U802" s="230"/>
      <c r="V802" s="230"/>
      <c r="W802" s="230"/>
      <c r="X802" s="230"/>
      <c r="Y802" s="230"/>
      <c r="Z802" s="230"/>
    </row>
    <row r="803">
      <c r="A803" s="346"/>
      <c r="B803" s="347"/>
      <c r="C803" s="284"/>
      <c r="D803" s="284"/>
      <c r="E803" s="285"/>
      <c r="F803" s="230"/>
      <c r="G803" s="230"/>
      <c r="H803" s="230"/>
      <c r="I803" s="230"/>
      <c r="J803" s="339"/>
      <c r="K803" s="340"/>
      <c r="L803" s="340"/>
      <c r="M803" s="230"/>
      <c r="N803" s="230"/>
      <c r="O803" s="230"/>
      <c r="P803" s="230"/>
      <c r="Q803" s="230"/>
      <c r="R803" s="230"/>
      <c r="S803" s="230"/>
      <c r="T803" s="230"/>
      <c r="U803" s="230"/>
      <c r="V803" s="230"/>
      <c r="W803" s="230"/>
      <c r="X803" s="230"/>
      <c r="Y803" s="230"/>
      <c r="Z803" s="230"/>
    </row>
    <row r="804">
      <c r="A804" s="346"/>
      <c r="B804" s="347"/>
      <c r="C804" s="284"/>
      <c r="D804" s="284"/>
      <c r="E804" s="285"/>
      <c r="F804" s="230"/>
      <c r="G804" s="230"/>
      <c r="H804" s="230"/>
      <c r="I804" s="230"/>
      <c r="J804" s="339"/>
      <c r="K804" s="340"/>
      <c r="L804" s="340"/>
      <c r="M804" s="230"/>
      <c r="N804" s="230"/>
      <c r="O804" s="230"/>
      <c r="P804" s="230"/>
      <c r="Q804" s="230"/>
      <c r="R804" s="230"/>
      <c r="S804" s="230"/>
      <c r="T804" s="230"/>
      <c r="U804" s="230"/>
      <c r="V804" s="230"/>
      <c r="W804" s="230"/>
      <c r="X804" s="230"/>
      <c r="Y804" s="230"/>
      <c r="Z804" s="230"/>
    </row>
    <row r="805">
      <c r="A805" s="346"/>
      <c r="B805" s="347"/>
      <c r="C805" s="284"/>
      <c r="D805" s="284"/>
      <c r="E805" s="285"/>
      <c r="F805" s="230"/>
      <c r="G805" s="230"/>
      <c r="H805" s="230"/>
      <c r="I805" s="230"/>
      <c r="J805" s="339"/>
      <c r="K805" s="340"/>
      <c r="L805" s="340"/>
      <c r="M805" s="230"/>
      <c r="N805" s="230"/>
      <c r="O805" s="230"/>
      <c r="P805" s="230"/>
      <c r="Q805" s="230"/>
      <c r="R805" s="230"/>
      <c r="S805" s="230"/>
      <c r="T805" s="230"/>
      <c r="U805" s="230"/>
      <c r="V805" s="230"/>
      <c r="W805" s="230"/>
      <c r="X805" s="230"/>
      <c r="Y805" s="230"/>
      <c r="Z805" s="230"/>
    </row>
    <row r="806">
      <c r="A806" s="346"/>
      <c r="B806" s="347"/>
      <c r="C806" s="284"/>
      <c r="D806" s="284"/>
      <c r="E806" s="285"/>
      <c r="F806" s="230"/>
      <c r="G806" s="230"/>
      <c r="H806" s="230"/>
      <c r="I806" s="230"/>
      <c r="J806" s="339"/>
      <c r="K806" s="340"/>
      <c r="L806" s="340"/>
      <c r="M806" s="230"/>
      <c r="N806" s="230"/>
      <c r="O806" s="230"/>
      <c r="P806" s="230"/>
      <c r="Q806" s="230"/>
      <c r="R806" s="230"/>
      <c r="S806" s="230"/>
      <c r="T806" s="230"/>
      <c r="U806" s="230"/>
      <c r="V806" s="230"/>
      <c r="W806" s="230"/>
      <c r="X806" s="230"/>
      <c r="Y806" s="230"/>
      <c r="Z806" s="230"/>
    </row>
    <row r="807">
      <c r="A807" s="346"/>
      <c r="B807" s="347"/>
      <c r="C807" s="284"/>
      <c r="D807" s="284"/>
      <c r="E807" s="285"/>
      <c r="F807" s="230"/>
      <c r="G807" s="230"/>
      <c r="H807" s="230"/>
      <c r="I807" s="230"/>
      <c r="J807" s="339"/>
      <c r="K807" s="340"/>
      <c r="L807" s="340"/>
      <c r="M807" s="230"/>
      <c r="N807" s="230"/>
      <c r="O807" s="230"/>
      <c r="P807" s="230"/>
      <c r="Q807" s="230"/>
      <c r="R807" s="230"/>
      <c r="S807" s="230"/>
      <c r="T807" s="230"/>
      <c r="U807" s="230"/>
      <c r="V807" s="230"/>
      <c r="W807" s="230"/>
      <c r="X807" s="230"/>
      <c r="Y807" s="230"/>
      <c r="Z807" s="230"/>
    </row>
    <row r="808">
      <c r="A808" s="346"/>
      <c r="B808" s="347"/>
      <c r="C808" s="284"/>
      <c r="D808" s="284"/>
      <c r="E808" s="285"/>
      <c r="F808" s="230"/>
      <c r="G808" s="230"/>
      <c r="H808" s="230"/>
      <c r="I808" s="230"/>
      <c r="J808" s="339"/>
      <c r="K808" s="340"/>
      <c r="L808" s="340"/>
      <c r="M808" s="230"/>
      <c r="N808" s="230"/>
      <c r="O808" s="230"/>
      <c r="P808" s="230"/>
      <c r="Q808" s="230"/>
      <c r="R808" s="230"/>
      <c r="S808" s="230"/>
      <c r="T808" s="230"/>
      <c r="U808" s="230"/>
      <c r="V808" s="230"/>
      <c r="W808" s="230"/>
      <c r="X808" s="230"/>
      <c r="Y808" s="230"/>
      <c r="Z808" s="230"/>
    </row>
    <row r="809">
      <c r="A809" s="346"/>
      <c r="B809" s="347"/>
      <c r="C809" s="284"/>
      <c r="D809" s="284"/>
      <c r="E809" s="285"/>
      <c r="F809" s="230"/>
      <c r="G809" s="230"/>
      <c r="H809" s="230"/>
      <c r="I809" s="230"/>
      <c r="J809" s="339"/>
      <c r="K809" s="340"/>
      <c r="L809" s="340"/>
      <c r="M809" s="230"/>
      <c r="N809" s="230"/>
      <c r="O809" s="230"/>
      <c r="P809" s="230"/>
      <c r="Q809" s="230"/>
      <c r="R809" s="230"/>
      <c r="S809" s="230"/>
      <c r="T809" s="230"/>
      <c r="U809" s="230"/>
      <c r="V809" s="230"/>
      <c r="W809" s="230"/>
      <c r="X809" s="230"/>
      <c r="Y809" s="230"/>
      <c r="Z809" s="230"/>
    </row>
    <row r="810">
      <c r="A810" s="346"/>
      <c r="B810" s="347"/>
      <c r="C810" s="284"/>
      <c r="D810" s="284"/>
      <c r="E810" s="285"/>
      <c r="F810" s="230"/>
      <c r="G810" s="230"/>
      <c r="H810" s="230"/>
      <c r="I810" s="230"/>
      <c r="J810" s="339"/>
      <c r="K810" s="340"/>
      <c r="L810" s="340"/>
      <c r="M810" s="230"/>
      <c r="N810" s="230"/>
      <c r="O810" s="230"/>
      <c r="P810" s="230"/>
      <c r="Q810" s="230"/>
      <c r="R810" s="230"/>
      <c r="S810" s="230"/>
      <c r="T810" s="230"/>
      <c r="U810" s="230"/>
      <c r="V810" s="230"/>
      <c r="W810" s="230"/>
      <c r="X810" s="230"/>
      <c r="Y810" s="230"/>
      <c r="Z810" s="230"/>
    </row>
    <row r="811">
      <c r="A811" s="346"/>
      <c r="B811" s="347"/>
      <c r="C811" s="284"/>
      <c r="D811" s="284"/>
      <c r="E811" s="285"/>
      <c r="F811" s="230"/>
      <c r="G811" s="230"/>
      <c r="H811" s="230"/>
      <c r="I811" s="230"/>
      <c r="J811" s="339"/>
      <c r="K811" s="340"/>
      <c r="L811" s="340"/>
      <c r="M811" s="230"/>
      <c r="N811" s="230"/>
      <c r="O811" s="230"/>
      <c r="P811" s="230"/>
      <c r="Q811" s="230"/>
      <c r="R811" s="230"/>
      <c r="S811" s="230"/>
      <c r="T811" s="230"/>
      <c r="U811" s="230"/>
      <c r="V811" s="230"/>
      <c r="W811" s="230"/>
      <c r="X811" s="230"/>
      <c r="Y811" s="230"/>
      <c r="Z811" s="230"/>
    </row>
    <row r="812">
      <c r="A812" s="346"/>
      <c r="B812" s="347"/>
      <c r="C812" s="284"/>
      <c r="D812" s="284"/>
      <c r="E812" s="285"/>
      <c r="F812" s="230"/>
      <c r="G812" s="230"/>
      <c r="H812" s="230"/>
      <c r="I812" s="230"/>
      <c r="J812" s="339"/>
      <c r="K812" s="340"/>
      <c r="L812" s="340"/>
      <c r="M812" s="230"/>
      <c r="N812" s="230"/>
      <c r="O812" s="230"/>
      <c r="P812" s="230"/>
      <c r="Q812" s="230"/>
      <c r="R812" s="230"/>
      <c r="S812" s="230"/>
      <c r="T812" s="230"/>
      <c r="U812" s="230"/>
      <c r="V812" s="230"/>
      <c r="W812" s="230"/>
      <c r="X812" s="230"/>
      <c r="Y812" s="230"/>
      <c r="Z812" s="230"/>
    </row>
    <row r="813">
      <c r="A813" s="346"/>
      <c r="B813" s="347"/>
      <c r="C813" s="284"/>
      <c r="D813" s="284"/>
      <c r="E813" s="285"/>
      <c r="F813" s="230"/>
      <c r="G813" s="230"/>
      <c r="H813" s="230"/>
      <c r="I813" s="230"/>
      <c r="J813" s="339"/>
      <c r="K813" s="340"/>
      <c r="L813" s="340"/>
      <c r="M813" s="230"/>
      <c r="N813" s="230"/>
      <c r="O813" s="230"/>
      <c r="P813" s="230"/>
      <c r="Q813" s="230"/>
      <c r="R813" s="230"/>
      <c r="S813" s="230"/>
      <c r="T813" s="230"/>
      <c r="U813" s="230"/>
      <c r="V813" s="230"/>
      <c r="W813" s="230"/>
      <c r="X813" s="230"/>
      <c r="Y813" s="230"/>
      <c r="Z813" s="230"/>
    </row>
    <row r="814">
      <c r="A814" s="346"/>
      <c r="B814" s="347"/>
      <c r="C814" s="284"/>
      <c r="D814" s="284"/>
      <c r="E814" s="285"/>
      <c r="F814" s="230"/>
      <c r="G814" s="230"/>
      <c r="H814" s="230"/>
      <c r="I814" s="230"/>
      <c r="J814" s="339"/>
      <c r="K814" s="340"/>
      <c r="L814" s="340"/>
      <c r="M814" s="230"/>
      <c r="N814" s="230"/>
      <c r="O814" s="230"/>
      <c r="P814" s="230"/>
      <c r="Q814" s="230"/>
      <c r="R814" s="230"/>
      <c r="S814" s="230"/>
      <c r="T814" s="230"/>
      <c r="U814" s="230"/>
      <c r="V814" s="230"/>
      <c r="W814" s="230"/>
      <c r="X814" s="230"/>
      <c r="Y814" s="230"/>
      <c r="Z814" s="230"/>
    </row>
    <row r="815">
      <c r="A815" s="346"/>
      <c r="B815" s="347"/>
      <c r="C815" s="284"/>
      <c r="D815" s="284"/>
      <c r="E815" s="285"/>
      <c r="F815" s="230"/>
      <c r="G815" s="230"/>
      <c r="H815" s="230"/>
      <c r="I815" s="230"/>
      <c r="J815" s="339"/>
      <c r="K815" s="340"/>
      <c r="L815" s="340"/>
      <c r="M815" s="230"/>
      <c r="N815" s="230"/>
      <c r="O815" s="230"/>
      <c r="P815" s="230"/>
      <c r="Q815" s="230"/>
      <c r="R815" s="230"/>
      <c r="S815" s="230"/>
      <c r="T815" s="230"/>
      <c r="U815" s="230"/>
      <c r="V815" s="230"/>
      <c r="W815" s="230"/>
      <c r="X815" s="230"/>
      <c r="Y815" s="230"/>
      <c r="Z815" s="230"/>
    </row>
    <row r="816">
      <c r="A816" s="346"/>
      <c r="B816" s="347"/>
      <c r="C816" s="284"/>
      <c r="D816" s="284"/>
      <c r="E816" s="285"/>
      <c r="F816" s="230"/>
      <c r="G816" s="230"/>
      <c r="H816" s="230"/>
      <c r="I816" s="230"/>
      <c r="J816" s="339"/>
      <c r="K816" s="340"/>
      <c r="L816" s="340"/>
      <c r="M816" s="230"/>
      <c r="N816" s="230"/>
      <c r="O816" s="230"/>
      <c r="P816" s="230"/>
      <c r="Q816" s="230"/>
      <c r="R816" s="230"/>
      <c r="S816" s="230"/>
      <c r="T816" s="230"/>
      <c r="U816" s="230"/>
      <c r="V816" s="230"/>
      <c r="W816" s="230"/>
      <c r="X816" s="230"/>
      <c r="Y816" s="230"/>
      <c r="Z816" s="230"/>
    </row>
    <row r="817">
      <c r="A817" s="346"/>
      <c r="B817" s="347"/>
      <c r="C817" s="284"/>
      <c r="D817" s="284"/>
      <c r="E817" s="285"/>
      <c r="F817" s="230"/>
      <c r="G817" s="230"/>
      <c r="H817" s="230"/>
      <c r="I817" s="230"/>
      <c r="J817" s="339"/>
      <c r="K817" s="340"/>
      <c r="L817" s="340"/>
      <c r="M817" s="230"/>
      <c r="N817" s="230"/>
      <c r="O817" s="230"/>
      <c r="P817" s="230"/>
      <c r="Q817" s="230"/>
      <c r="R817" s="230"/>
      <c r="S817" s="230"/>
      <c r="T817" s="230"/>
      <c r="U817" s="230"/>
      <c r="V817" s="230"/>
      <c r="W817" s="230"/>
      <c r="X817" s="230"/>
      <c r="Y817" s="230"/>
      <c r="Z817" s="230"/>
    </row>
    <row r="818">
      <c r="A818" s="346"/>
      <c r="B818" s="347"/>
      <c r="C818" s="284"/>
      <c r="D818" s="284"/>
      <c r="E818" s="285"/>
      <c r="F818" s="230"/>
      <c r="G818" s="230"/>
      <c r="H818" s="230"/>
      <c r="I818" s="230"/>
      <c r="J818" s="339"/>
      <c r="K818" s="340"/>
      <c r="L818" s="340"/>
      <c r="M818" s="230"/>
      <c r="N818" s="230"/>
      <c r="O818" s="230"/>
      <c r="P818" s="230"/>
      <c r="Q818" s="230"/>
      <c r="R818" s="230"/>
      <c r="S818" s="230"/>
      <c r="T818" s="230"/>
      <c r="U818" s="230"/>
      <c r="V818" s="230"/>
      <c r="W818" s="230"/>
      <c r="X818" s="230"/>
      <c r="Y818" s="230"/>
      <c r="Z818" s="230"/>
    </row>
    <row r="819">
      <c r="A819" s="346"/>
      <c r="B819" s="347"/>
      <c r="C819" s="284"/>
      <c r="D819" s="284"/>
      <c r="E819" s="285"/>
      <c r="F819" s="230"/>
      <c r="G819" s="230"/>
      <c r="H819" s="230"/>
      <c r="I819" s="230"/>
      <c r="J819" s="339"/>
      <c r="K819" s="340"/>
      <c r="L819" s="340"/>
      <c r="M819" s="230"/>
      <c r="N819" s="230"/>
      <c r="O819" s="230"/>
      <c r="P819" s="230"/>
      <c r="Q819" s="230"/>
      <c r="R819" s="230"/>
      <c r="S819" s="230"/>
      <c r="T819" s="230"/>
      <c r="U819" s="230"/>
      <c r="V819" s="230"/>
      <c r="W819" s="230"/>
      <c r="X819" s="230"/>
      <c r="Y819" s="230"/>
      <c r="Z819" s="230"/>
    </row>
    <row r="820">
      <c r="A820" s="346"/>
      <c r="B820" s="347"/>
      <c r="C820" s="284"/>
      <c r="D820" s="284"/>
      <c r="E820" s="285"/>
      <c r="F820" s="230"/>
      <c r="G820" s="230"/>
      <c r="H820" s="230"/>
      <c r="I820" s="230"/>
      <c r="J820" s="339"/>
      <c r="K820" s="340"/>
      <c r="L820" s="340"/>
      <c r="M820" s="230"/>
      <c r="N820" s="230"/>
      <c r="O820" s="230"/>
      <c r="P820" s="230"/>
      <c r="Q820" s="230"/>
      <c r="R820" s="230"/>
      <c r="S820" s="230"/>
      <c r="T820" s="230"/>
      <c r="U820" s="230"/>
      <c r="V820" s="230"/>
      <c r="W820" s="230"/>
      <c r="X820" s="230"/>
      <c r="Y820" s="230"/>
      <c r="Z820" s="230"/>
    </row>
    <row r="821">
      <c r="A821" s="346"/>
      <c r="B821" s="347"/>
      <c r="C821" s="284"/>
      <c r="D821" s="284"/>
      <c r="E821" s="285"/>
      <c r="F821" s="230"/>
      <c r="G821" s="230"/>
      <c r="H821" s="230"/>
      <c r="I821" s="230"/>
      <c r="J821" s="339"/>
      <c r="K821" s="340"/>
      <c r="L821" s="340"/>
      <c r="M821" s="230"/>
      <c r="N821" s="230"/>
      <c r="O821" s="230"/>
      <c r="P821" s="230"/>
      <c r="Q821" s="230"/>
      <c r="R821" s="230"/>
      <c r="S821" s="230"/>
      <c r="T821" s="230"/>
      <c r="U821" s="230"/>
      <c r="V821" s="230"/>
      <c r="W821" s="230"/>
      <c r="X821" s="230"/>
      <c r="Y821" s="230"/>
      <c r="Z821" s="230"/>
    </row>
    <row r="822">
      <c r="A822" s="346"/>
      <c r="B822" s="347"/>
      <c r="C822" s="284"/>
      <c r="D822" s="284"/>
      <c r="E822" s="285"/>
      <c r="F822" s="230"/>
      <c r="G822" s="230"/>
      <c r="H822" s="230"/>
      <c r="I822" s="230"/>
      <c r="J822" s="339"/>
      <c r="K822" s="340"/>
      <c r="L822" s="340"/>
      <c r="M822" s="230"/>
      <c r="N822" s="230"/>
      <c r="O822" s="230"/>
      <c r="P822" s="230"/>
      <c r="Q822" s="230"/>
      <c r="R822" s="230"/>
      <c r="S822" s="230"/>
      <c r="T822" s="230"/>
      <c r="U822" s="230"/>
      <c r="V822" s="230"/>
      <c r="W822" s="230"/>
      <c r="X822" s="230"/>
      <c r="Y822" s="230"/>
      <c r="Z822" s="230"/>
    </row>
    <row r="823">
      <c r="A823" s="346"/>
      <c r="B823" s="347"/>
      <c r="C823" s="284"/>
      <c r="D823" s="284"/>
      <c r="E823" s="285"/>
      <c r="F823" s="230"/>
      <c r="G823" s="230"/>
      <c r="H823" s="230"/>
      <c r="I823" s="230"/>
      <c r="J823" s="339"/>
      <c r="K823" s="340"/>
      <c r="L823" s="340"/>
      <c r="M823" s="230"/>
      <c r="N823" s="230"/>
      <c r="O823" s="230"/>
      <c r="P823" s="230"/>
      <c r="Q823" s="230"/>
      <c r="R823" s="230"/>
      <c r="S823" s="230"/>
      <c r="T823" s="230"/>
      <c r="U823" s="230"/>
      <c r="V823" s="230"/>
      <c r="W823" s="230"/>
      <c r="X823" s="230"/>
      <c r="Y823" s="230"/>
      <c r="Z823" s="230"/>
    </row>
    <row r="824">
      <c r="A824" s="346"/>
      <c r="B824" s="347"/>
      <c r="C824" s="284"/>
      <c r="D824" s="284"/>
      <c r="E824" s="285"/>
      <c r="F824" s="230"/>
      <c r="G824" s="230"/>
      <c r="H824" s="230"/>
      <c r="I824" s="230"/>
      <c r="J824" s="339"/>
      <c r="K824" s="340"/>
      <c r="L824" s="340"/>
      <c r="M824" s="230"/>
      <c r="N824" s="230"/>
      <c r="O824" s="230"/>
      <c r="P824" s="230"/>
      <c r="Q824" s="230"/>
      <c r="R824" s="230"/>
      <c r="S824" s="230"/>
      <c r="T824" s="230"/>
      <c r="U824" s="230"/>
      <c r="V824" s="230"/>
      <c r="W824" s="230"/>
      <c r="X824" s="230"/>
      <c r="Y824" s="230"/>
      <c r="Z824" s="230"/>
    </row>
    <row r="825">
      <c r="A825" s="346"/>
      <c r="B825" s="347"/>
      <c r="C825" s="284"/>
      <c r="D825" s="284"/>
      <c r="E825" s="285"/>
      <c r="F825" s="230"/>
      <c r="G825" s="230"/>
      <c r="H825" s="230"/>
      <c r="I825" s="230"/>
      <c r="J825" s="339"/>
      <c r="K825" s="340"/>
      <c r="L825" s="340"/>
      <c r="M825" s="230"/>
      <c r="N825" s="230"/>
      <c r="O825" s="230"/>
      <c r="P825" s="230"/>
      <c r="Q825" s="230"/>
      <c r="R825" s="230"/>
      <c r="S825" s="230"/>
      <c r="T825" s="230"/>
      <c r="U825" s="230"/>
      <c r="V825" s="230"/>
      <c r="W825" s="230"/>
      <c r="X825" s="230"/>
      <c r="Y825" s="230"/>
      <c r="Z825" s="230"/>
    </row>
    <row r="826">
      <c r="A826" s="346"/>
      <c r="B826" s="347"/>
      <c r="C826" s="284"/>
      <c r="D826" s="284"/>
      <c r="E826" s="285"/>
      <c r="F826" s="230"/>
      <c r="G826" s="230"/>
      <c r="H826" s="230"/>
      <c r="I826" s="230"/>
      <c r="J826" s="339"/>
      <c r="K826" s="340"/>
      <c r="L826" s="340"/>
      <c r="M826" s="230"/>
      <c r="N826" s="230"/>
      <c r="O826" s="230"/>
      <c r="P826" s="230"/>
      <c r="Q826" s="230"/>
      <c r="R826" s="230"/>
      <c r="S826" s="230"/>
      <c r="T826" s="230"/>
      <c r="U826" s="230"/>
      <c r="V826" s="230"/>
      <c r="W826" s="230"/>
      <c r="X826" s="230"/>
      <c r="Y826" s="230"/>
      <c r="Z826" s="230"/>
    </row>
    <row r="827">
      <c r="A827" s="346"/>
      <c r="B827" s="347"/>
      <c r="C827" s="284"/>
      <c r="D827" s="284"/>
      <c r="E827" s="285"/>
      <c r="F827" s="230"/>
      <c r="G827" s="230"/>
      <c r="H827" s="230"/>
      <c r="I827" s="230"/>
      <c r="J827" s="339"/>
      <c r="K827" s="340"/>
      <c r="L827" s="340"/>
      <c r="M827" s="230"/>
      <c r="N827" s="230"/>
      <c r="O827" s="230"/>
      <c r="P827" s="230"/>
      <c r="Q827" s="230"/>
      <c r="R827" s="230"/>
      <c r="S827" s="230"/>
      <c r="T827" s="230"/>
      <c r="U827" s="230"/>
      <c r="V827" s="230"/>
      <c r="W827" s="230"/>
      <c r="X827" s="230"/>
      <c r="Y827" s="230"/>
      <c r="Z827" s="230"/>
    </row>
    <row r="828">
      <c r="A828" s="346"/>
      <c r="B828" s="347"/>
      <c r="C828" s="284"/>
      <c r="D828" s="284"/>
      <c r="E828" s="285"/>
      <c r="F828" s="230"/>
      <c r="G828" s="230"/>
      <c r="H828" s="230"/>
      <c r="I828" s="230"/>
      <c r="J828" s="339"/>
      <c r="K828" s="340"/>
      <c r="L828" s="340"/>
      <c r="M828" s="230"/>
      <c r="N828" s="230"/>
      <c r="O828" s="230"/>
      <c r="P828" s="230"/>
      <c r="Q828" s="230"/>
      <c r="R828" s="230"/>
      <c r="S828" s="230"/>
      <c r="T828" s="230"/>
      <c r="U828" s="230"/>
      <c r="V828" s="230"/>
      <c r="W828" s="230"/>
      <c r="X828" s="230"/>
      <c r="Y828" s="230"/>
      <c r="Z828" s="230"/>
    </row>
    <row r="829">
      <c r="A829" s="346"/>
      <c r="B829" s="347"/>
      <c r="C829" s="284"/>
      <c r="D829" s="284"/>
      <c r="E829" s="285"/>
      <c r="F829" s="230"/>
      <c r="G829" s="230"/>
      <c r="H829" s="230"/>
      <c r="I829" s="230"/>
      <c r="J829" s="339"/>
      <c r="K829" s="340"/>
      <c r="L829" s="340"/>
      <c r="M829" s="230"/>
      <c r="N829" s="230"/>
      <c r="O829" s="230"/>
      <c r="P829" s="230"/>
      <c r="Q829" s="230"/>
      <c r="R829" s="230"/>
      <c r="S829" s="230"/>
      <c r="T829" s="230"/>
      <c r="U829" s="230"/>
      <c r="V829" s="230"/>
      <c r="W829" s="230"/>
      <c r="X829" s="230"/>
      <c r="Y829" s="230"/>
      <c r="Z829" s="230"/>
    </row>
    <row r="830">
      <c r="A830" s="346"/>
      <c r="B830" s="347"/>
      <c r="C830" s="284"/>
      <c r="D830" s="284"/>
      <c r="E830" s="285"/>
      <c r="F830" s="230"/>
      <c r="G830" s="230"/>
      <c r="H830" s="230"/>
      <c r="I830" s="230"/>
      <c r="J830" s="339"/>
      <c r="K830" s="340"/>
      <c r="L830" s="340"/>
      <c r="M830" s="230"/>
      <c r="N830" s="230"/>
      <c r="O830" s="230"/>
      <c r="P830" s="230"/>
      <c r="Q830" s="230"/>
      <c r="R830" s="230"/>
      <c r="S830" s="230"/>
      <c r="T830" s="230"/>
      <c r="U830" s="230"/>
      <c r="V830" s="230"/>
      <c r="W830" s="230"/>
      <c r="X830" s="230"/>
      <c r="Y830" s="230"/>
      <c r="Z830" s="230"/>
    </row>
    <row r="831">
      <c r="A831" s="346"/>
      <c r="B831" s="347"/>
      <c r="C831" s="284"/>
      <c r="D831" s="284"/>
      <c r="E831" s="285"/>
      <c r="F831" s="230"/>
      <c r="G831" s="230"/>
      <c r="H831" s="230"/>
      <c r="I831" s="230"/>
      <c r="J831" s="339"/>
      <c r="K831" s="340"/>
      <c r="L831" s="340"/>
      <c r="M831" s="230"/>
      <c r="N831" s="230"/>
      <c r="O831" s="230"/>
      <c r="P831" s="230"/>
      <c r="Q831" s="230"/>
      <c r="R831" s="230"/>
      <c r="S831" s="230"/>
      <c r="T831" s="230"/>
      <c r="U831" s="230"/>
      <c r="V831" s="230"/>
      <c r="W831" s="230"/>
      <c r="X831" s="230"/>
      <c r="Y831" s="230"/>
      <c r="Z831" s="230"/>
    </row>
    <row r="832">
      <c r="A832" s="346"/>
      <c r="B832" s="347"/>
      <c r="C832" s="284"/>
      <c r="D832" s="284"/>
      <c r="E832" s="285"/>
      <c r="F832" s="230"/>
      <c r="G832" s="230"/>
      <c r="H832" s="230"/>
      <c r="I832" s="230"/>
      <c r="J832" s="339"/>
      <c r="K832" s="340"/>
      <c r="L832" s="340"/>
      <c r="M832" s="230"/>
      <c r="N832" s="230"/>
      <c r="O832" s="230"/>
      <c r="P832" s="230"/>
      <c r="Q832" s="230"/>
      <c r="R832" s="230"/>
      <c r="S832" s="230"/>
      <c r="T832" s="230"/>
      <c r="U832" s="230"/>
      <c r="V832" s="230"/>
      <c r="W832" s="230"/>
      <c r="X832" s="230"/>
      <c r="Y832" s="230"/>
      <c r="Z832" s="230"/>
    </row>
    <row r="833">
      <c r="A833" s="346"/>
      <c r="B833" s="347"/>
      <c r="C833" s="284"/>
      <c r="D833" s="284"/>
      <c r="E833" s="285"/>
      <c r="F833" s="230"/>
      <c r="G833" s="230"/>
      <c r="H833" s="230"/>
      <c r="I833" s="230"/>
      <c r="J833" s="339"/>
      <c r="K833" s="340"/>
      <c r="L833" s="340"/>
      <c r="M833" s="230"/>
      <c r="N833" s="230"/>
      <c r="O833" s="230"/>
      <c r="P833" s="230"/>
      <c r="Q833" s="230"/>
      <c r="R833" s="230"/>
      <c r="S833" s="230"/>
      <c r="T833" s="230"/>
      <c r="U833" s="230"/>
      <c r="V833" s="230"/>
      <c r="W833" s="230"/>
      <c r="X833" s="230"/>
      <c r="Y833" s="230"/>
      <c r="Z833" s="230"/>
    </row>
    <row r="834">
      <c r="A834" s="346"/>
      <c r="B834" s="347"/>
      <c r="C834" s="284"/>
      <c r="D834" s="284"/>
      <c r="E834" s="285"/>
      <c r="F834" s="230"/>
      <c r="G834" s="230"/>
      <c r="H834" s="230"/>
      <c r="I834" s="230"/>
      <c r="J834" s="339"/>
      <c r="K834" s="340"/>
      <c r="L834" s="340"/>
      <c r="M834" s="230"/>
      <c r="N834" s="230"/>
      <c r="O834" s="230"/>
      <c r="P834" s="230"/>
      <c r="Q834" s="230"/>
      <c r="R834" s="230"/>
      <c r="S834" s="230"/>
      <c r="T834" s="230"/>
      <c r="U834" s="230"/>
      <c r="V834" s="230"/>
      <c r="W834" s="230"/>
      <c r="X834" s="230"/>
      <c r="Y834" s="230"/>
      <c r="Z834" s="230"/>
    </row>
    <row r="835">
      <c r="A835" s="346"/>
      <c r="B835" s="347"/>
      <c r="C835" s="284"/>
      <c r="D835" s="284"/>
      <c r="E835" s="285"/>
      <c r="F835" s="230"/>
      <c r="G835" s="230"/>
      <c r="H835" s="230"/>
      <c r="I835" s="230"/>
      <c r="J835" s="339"/>
      <c r="K835" s="340"/>
      <c r="L835" s="340"/>
      <c r="M835" s="230"/>
      <c r="N835" s="230"/>
      <c r="O835" s="230"/>
      <c r="P835" s="230"/>
      <c r="Q835" s="230"/>
      <c r="R835" s="230"/>
      <c r="S835" s="230"/>
      <c r="T835" s="230"/>
      <c r="U835" s="230"/>
      <c r="V835" s="230"/>
      <c r="W835" s="230"/>
      <c r="X835" s="230"/>
      <c r="Y835" s="230"/>
      <c r="Z835" s="230"/>
    </row>
    <row r="836">
      <c r="A836" s="346"/>
      <c r="B836" s="347"/>
      <c r="C836" s="284"/>
      <c r="D836" s="284"/>
      <c r="E836" s="285"/>
      <c r="F836" s="230"/>
      <c r="G836" s="230"/>
      <c r="H836" s="230"/>
      <c r="I836" s="230"/>
      <c r="J836" s="339"/>
      <c r="K836" s="340"/>
      <c r="L836" s="340"/>
      <c r="M836" s="230"/>
      <c r="N836" s="230"/>
      <c r="O836" s="230"/>
      <c r="P836" s="230"/>
      <c r="Q836" s="230"/>
      <c r="R836" s="230"/>
      <c r="S836" s="230"/>
      <c r="T836" s="230"/>
      <c r="U836" s="230"/>
      <c r="V836" s="230"/>
      <c r="W836" s="230"/>
      <c r="X836" s="230"/>
      <c r="Y836" s="230"/>
      <c r="Z836" s="230"/>
    </row>
    <row r="837">
      <c r="A837" s="346"/>
      <c r="B837" s="347"/>
      <c r="C837" s="284"/>
      <c r="D837" s="284"/>
      <c r="E837" s="285"/>
      <c r="F837" s="230"/>
      <c r="G837" s="230"/>
      <c r="H837" s="230"/>
      <c r="I837" s="230"/>
      <c r="J837" s="339"/>
      <c r="K837" s="340"/>
      <c r="L837" s="340"/>
      <c r="M837" s="230"/>
      <c r="N837" s="230"/>
      <c r="O837" s="230"/>
      <c r="P837" s="230"/>
      <c r="Q837" s="230"/>
      <c r="R837" s="230"/>
      <c r="S837" s="230"/>
      <c r="T837" s="230"/>
      <c r="U837" s="230"/>
      <c r="V837" s="230"/>
      <c r="W837" s="230"/>
      <c r="X837" s="230"/>
      <c r="Y837" s="230"/>
      <c r="Z837" s="230"/>
    </row>
    <row r="838">
      <c r="A838" s="346"/>
      <c r="B838" s="347"/>
      <c r="C838" s="284"/>
      <c r="D838" s="284"/>
      <c r="E838" s="285"/>
      <c r="F838" s="230"/>
      <c r="G838" s="230"/>
      <c r="H838" s="230"/>
      <c r="I838" s="230"/>
      <c r="J838" s="339"/>
      <c r="K838" s="340"/>
      <c r="L838" s="340"/>
      <c r="M838" s="230"/>
      <c r="N838" s="230"/>
      <c r="O838" s="230"/>
      <c r="P838" s="230"/>
      <c r="Q838" s="230"/>
      <c r="R838" s="230"/>
      <c r="S838" s="230"/>
      <c r="T838" s="230"/>
      <c r="U838" s="230"/>
      <c r="V838" s="230"/>
      <c r="W838" s="230"/>
      <c r="X838" s="230"/>
      <c r="Y838" s="230"/>
      <c r="Z838" s="230"/>
    </row>
    <row r="839">
      <c r="A839" s="346"/>
      <c r="B839" s="347"/>
      <c r="C839" s="284"/>
      <c r="D839" s="284"/>
      <c r="E839" s="285"/>
      <c r="F839" s="230"/>
      <c r="G839" s="230"/>
      <c r="H839" s="230"/>
      <c r="I839" s="230"/>
      <c r="J839" s="339"/>
      <c r="K839" s="340"/>
      <c r="L839" s="340"/>
      <c r="M839" s="230"/>
      <c r="N839" s="230"/>
      <c r="O839" s="230"/>
      <c r="P839" s="230"/>
      <c r="Q839" s="230"/>
      <c r="R839" s="230"/>
      <c r="S839" s="230"/>
      <c r="T839" s="230"/>
      <c r="U839" s="230"/>
      <c r="V839" s="230"/>
      <c r="W839" s="230"/>
      <c r="X839" s="230"/>
      <c r="Y839" s="230"/>
      <c r="Z839" s="230"/>
    </row>
    <row r="840">
      <c r="A840" s="346"/>
      <c r="B840" s="347"/>
      <c r="C840" s="284"/>
      <c r="D840" s="284"/>
      <c r="E840" s="285"/>
      <c r="F840" s="230"/>
      <c r="G840" s="230"/>
      <c r="H840" s="230"/>
      <c r="I840" s="230"/>
      <c r="J840" s="339"/>
      <c r="K840" s="340"/>
      <c r="L840" s="340"/>
      <c r="M840" s="230"/>
      <c r="N840" s="230"/>
      <c r="O840" s="230"/>
      <c r="P840" s="230"/>
      <c r="Q840" s="230"/>
      <c r="R840" s="230"/>
      <c r="S840" s="230"/>
      <c r="T840" s="230"/>
      <c r="U840" s="230"/>
      <c r="V840" s="230"/>
      <c r="W840" s="230"/>
      <c r="X840" s="230"/>
      <c r="Y840" s="230"/>
      <c r="Z840" s="230"/>
    </row>
    <row r="841">
      <c r="A841" s="346"/>
      <c r="B841" s="347"/>
      <c r="C841" s="284"/>
      <c r="D841" s="284"/>
      <c r="E841" s="285"/>
      <c r="F841" s="230"/>
      <c r="G841" s="230"/>
      <c r="H841" s="230"/>
      <c r="I841" s="230"/>
      <c r="J841" s="339"/>
      <c r="K841" s="340"/>
      <c r="L841" s="340"/>
      <c r="M841" s="230"/>
      <c r="N841" s="230"/>
      <c r="O841" s="230"/>
      <c r="P841" s="230"/>
      <c r="Q841" s="230"/>
      <c r="R841" s="230"/>
      <c r="S841" s="230"/>
      <c r="T841" s="230"/>
      <c r="U841" s="230"/>
      <c r="V841" s="230"/>
      <c r="W841" s="230"/>
      <c r="X841" s="230"/>
      <c r="Y841" s="230"/>
      <c r="Z841" s="230"/>
    </row>
    <row r="842">
      <c r="A842" s="346"/>
      <c r="B842" s="347"/>
      <c r="C842" s="284"/>
      <c r="D842" s="284"/>
      <c r="E842" s="285"/>
      <c r="F842" s="230"/>
      <c r="G842" s="230"/>
      <c r="H842" s="230"/>
      <c r="I842" s="230"/>
      <c r="J842" s="339"/>
      <c r="K842" s="340"/>
      <c r="L842" s="340"/>
      <c r="M842" s="230"/>
      <c r="N842" s="230"/>
      <c r="O842" s="230"/>
      <c r="P842" s="230"/>
      <c r="Q842" s="230"/>
      <c r="R842" s="230"/>
      <c r="S842" s="230"/>
      <c r="T842" s="230"/>
      <c r="U842" s="230"/>
      <c r="V842" s="230"/>
      <c r="W842" s="230"/>
      <c r="X842" s="230"/>
      <c r="Y842" s="230"/>
      <c r="Z842" s="230"/>
    </row>
    <row r="843">
      <c r="A843" s="346"/>
      <c r="B843" s="347"/>
      <c r="C843" s="284"/>
      <c r="D843" s="284"/>
      <c r="E843" s="285"/>
      <c r="F843" s="230"/>
      <c r="G843" s="230"/>
      <c r="H843" s="230"/>
      <c r="I843" s="230"/>
      <c r="J843" s="339"/>
      <c r="K843" s="340"/>
      <c r="L843" s="340"/>
      <c r="M843" s="230"/>
      <c r="N843" s="230"/>
      <c r="O843" s="230"/>
      <c r="P843" s="230"/>
      <c r="Q843" s="230"/>
      <c r="R843" s="230"/>
      <c r="S843" s="230"/>
      <c r="T843" s="230"/>
      <c r="U843" s="230"/>
      <c r="V843" s="230"/>
      <c r="W843" s="230"/>
      <c r="X843" s="230"/>
      <c r="Y843" s="230"/>
      <c r="Z843" s="230"/>
    </row>
    <row r="844">
      <c r="A844" s="346"/>
      <c r="B844" s="347"/>
      <c r="C844" s="284"/>
      <c r="D844" s="284"/>
      <c r="E844" s="285"/>
      <c r="F844" s="230"/>
      <c r="G844" s="230"/>
      <c r="H844" s="230"/>
      <c r="I844" s="230"/>
      <c r="J844" s="339"/>
      <c r="K844" s="340"/>
      <c r="L844" s="340"/>
      <c r="M844" s="230"/>
      <c r="N844" s="230"/>
      <c r="O844" s="230"/>
      <c r="P844" s="230"/>
      <c r="Q844" s="230"/>
      <c r="R844" s="230"/>
      <c r="S844" s="230"/>
      <c r="T844" s="230"/>
      <c r="U844" s="230"/>
      <c r="V844" s="230"/>
      <c r="W844" s="230"/>
      <c r="X844" s="230"/>
      <c r="Y844" s="230"/>
      <c r="Z844" s="230"/>
    </row>
    <row r="845">
      <c r="A845" s="346"/>
      <c r="B845" s="347"/>
      <c r="C845" s="284"/>
      <c r="D845" s="284"/>
      <c r="E845" s="285"/>
      <c r="F845" s="230"/>
      <c r="G845" s="230"/>
      <c r="H845" s="230"/>
      <c r="I845" s="230"/>
      <c r="J845" s="339"/>
      <c r="K845" s="340"/>
      <c r="L845" s="340"/>
      <c r="M845" s="230"/>
      <c r="N845" s="230"/>
      <c r="O845" s="230"/>
      <c r="P845" s="230"/>
      <c r="Q845" s="230"/>
      <c r="R845" s="230"/>
      <c r="S845" s="230"/>
      <c r="T845" s="230"/>
      <c r="U845" s="230"/>
      <c r="V845" s="230"/>
      <c r="W845" s="230"/>
      <c r="X845" s="230"/>
      <c r="Y845" s="230"/>
      <c r="Z845" s="230"/>
    </row>
    <row r="846">
      <c r="A846" s="346"/>
      <c r="B846" s="347"/>
      <c r="C846" s="284"/>
      <c r="D846" s="284"/>
      <c r="E846" s="285"/>
      <c r="F846" s="230"/>
      <c r="G846" s="230"/>
      <c r="H846" s="230"/>
      <c r="I846" s="230"/>
      <c r="J846" s="339"/>
      <c r="K846" s="340"/>
      <c r="L846" s="340"/>
      <c r="M846" s="230"/>
      <c r="N846" s="230"/>
      <c r="O846" s="230"/>
      <c r="P846" s="230"/>
      <c r="Q846" s="230"/>
      <c r="R846" s="230"/>
      <c r="S846" s="230"/>
      <c r="T846" s="230"/>
      <c r="U846" s="230"/>
      <c r="V846" s="230"/>
      <c r="W846" s="230"/>
      <c r="X846" s="230"/>
      <c r="Y846" s="230"/>
      <c r="Z846" s="230"/>
    </row>
    <row r="847">
      <c r="A847" s="346"/>
      <c r="B847" s="347"/>
      <c r="C847" s="284"/>
      <c r="D847" s="284"/>
      <c r="E847" s="285"/>
      <c r="F847" s="230"/>
      <c r="G847" s="230"/>
      <c r="H847" s="230"/>
      <c r="I847" s="230"/>
      <c r="J847" s="339"/>
      <c r="K847" s="340"/>
      <c r="L847" s="340"/>
      <c r="M847" s="230"/>
      <c r="N847" s="230"/>
      <c r="O847" s="230"/>
      <c r="P847" s="230"/>
      <c r="Q847" s="230"/>
      <c r="R847" s="230"/>
      <c r="S847" s="230"/>
      <c r="T847" s="230"/>
      <c r="U847" s="230"/>
      <c r="V847" s="230"/>
      <c r="W847" s="230"/>
      <c r="X847" s="230"/>
      <c r="Y847" s="230"/>
      <c r="Z847" s="230"/>
    </row>
    <row r="848">
      <c r="A848" s="346"/>
      <c r="B848" s="347"/>
      <c r="C848" s="284"/>
      <c r="D848" s="284"/>
      <c r="E848" s="285"/>
      <c r="F848" s="230"/>
      <c r="G848" s="230"/>
      <c r="H848" s="230"/>
      <c r="I848" s="230"/>
      <c r="J848" s="339"/>
      <c r="K848" s="340"/>
      <c r="L848" s="340"/>
      <c r="M848" s="230"/>
      <c r="N848" s="230"/>
      <c r="O848" s="230"/>
      <c r="P848" s="230"/>
      <c r="Q848" s="230"/>
      <c r="R848" s="230"/>
      <c r="S848" s="230"/>
      <c r="T848" s="230"/>
      <c r="U848" s="230"/>
      <c r="V848" s="230"/>
      <c r="W848" s="230"/>
      <c r="X848" s="230"/>
      <c r="Y848" s="230"/>
      <c r="Z848" s="230"/>
    </row>
    <row r="849">
      <c r="A849" s="346"/>
      <c r="B849" s="347"/>
      <c r="C849" s="284"/>
      <c r="D849" s="284"/>
      <c r="E849" s="285"/>
      <c r="F849" s="230"/>
      <c r="G849" s="230"/>
      <c r="H849" s="230"/>
      <c r="I849" s="230"/>
      <c r="J849" s="339"/>
      <c r="K849" s="340"/>
      <c r="L849" s="340"/>
      <c r="M849" s="230"/>
      <c r="N849" s="230"/>
      <c r="O849" s="230"/>
      <c r="P849" s="230"/>
      <c r="Q849" s="230"/>
      <c r="R849" s="230"/>
      <c r="S849" s="230"/>
      <c r="T849" s="230"/>
      <c r="U849" s="230"/>
      <c r="V849" s="230"/>
      <c r="W849" s="230"/>
      <c r="X849" s="230"/>
      <c r="Y849" s="230"/>
      <c r="Z849" s="230"/>
    </row>
    <row r="850">
      <c r="A850" s="346"/>
      <c r="B850" s="347"/>
      <c r="C850" s="284"/>
      <c r="D850" s="284"/>
      <c r="E850" s="285"/>
      <c r="F850" s="230"/>
      <c r="G850" s="230"/>
      <c r="H850" s="230"/>
      <c r="I850" s="230"/>
      <c r="J850" s="339"/>
      <c r="K850" s="340"/>
      <c r="L850" s="340"/>
      <c r="M850" s="230"/>
      <c r="N850" s="230"/>
      <c r="O850" s="230"/>
      <c r="P850" s="230"/>
      <c r="Q850" s="230"/>
      <c r="R850" s="230"/>
      <c r="S850" s="230"/>
      <c r="T850" s="230"/>
      <c r="U850" s="230"/>
      <c r="V850" s="230"/>
      <c r="W850" s="230"/>
      <c r="X850" s="230"/>
      <c r="Y850" s="230"/>
      <c r="Z850" s="230"/>
    </row>
    <row r="851">
      <c r="A851" s="346"/>
      <c r="B851" s="347"/>
      <c r="C851" s="284"/>
      <c r="D851" s="284"/>
      <c r="E851" s="285"/>
      <c r="F851" s="230"/>
      <c r="G851" s="230"/>
      <c r="H851" s="230"/>
      <c r="I851" s="230"/>
      <c r="J851" s="339"/>
      <c r="K851" s="340"/>
      <c r="L851" s="340"/>
      <c r="M851" s="230"/>
      <c r="N851" s="230"/>
      <c r="O851" s="230"/>
      <c r="P851" s="230"/>
      <c r="Q851" s="230"/>
      <c r="R851" s="230"/>
      <c r="S851" s="230"/>
      <c r="T851" s="230"/>
      <c r="U851" s="230"/>
      <c r="V851" s="230"/>
      <c r="W851" s="230"/>
      <c r="X851" s="230"/>
      <c r="Y851" s="230"/>
      <c r="Z851" s="230"/>
    </row>
    <row r="852">
      <c r="A852" s="346"/>
      <c r="B852" s="347"/>
      <c r="C852" s="284"/>
      <c r="D852" s="284"/>
      <c r="E852" s="285"/>
      <c r="F852" s="230"/>
      <c r="G852" s="230"/>
      <c r="H852" s="230"/>
      <c r="I852" s="230"/>
      <c r="J852" s="339"/>
      <c r="K852" s="340"/>
      <c r="L852" s="340"/>
      <c r="M852" s="230"/>
      <c r="N852" s="230"/>
      <c r="O852" s="230"/>
      <c r="P852" s="230"/>
      <c r="Q852" s="230"/>
      <c r="R852" s="230"/>
      <c r="S852" s="230"/>
      <c r="T852" s="230"/>
      <c r="U852" s="230"/>
      <c r="V852" s="230"/>
      <c r="W852" s="230"/>
      <c r="X852" s="230"/>
      <c r="Y852" s="230"/>
      <c r="Z852" s="230"/>
    </row>
    <row r="853">
      <c r="A853" s="346"/>
      <c r="B853" s="347"/>
      <c r="C853" s="284"/>
      <c r="D853" s="284"/>
      <c r="E853" s="285"/>
      <c r="F853" s="230"/>
      <c r="G853" s="230"/>
      <c r="H853" s="230"/>
      <c r="I853" s="230"/>
      <c r="J853" s="339"/>
      <c r="K853" s="340"/>
      <c r="L853" s="340"/>
      <c r="M853" s="230"/>
      <c r="N853" s="230"/>
      <c r="O853" s="230"/>
      <c r="P853" s="230"/>
      <c r="Q853" s="230"/>
      <c r="R853" s="230"/>
      <c r="S853" s="230"/>
      <c r="T853" s="230"/>
      <c r="U853" s="230"/>
      <c r="V853" s="230"/>
      <c r="W853" s="230"/>
      <c r="X853" s="230"/>
      <c r="Y853" s="230"/>
      <c r="Z853" s="230"/>
    </row>
    <row r="854">
      <c r="A854" s="346"/>
      <c r="B854" s="347"/>
      <c r="C854" s="284"/>
      <c r="D854" s="284"/>
      <c r="E854" s="285"/>
      <c r="F854" s="230"/>
      <c r="G854" s="230"/>
      <c r="H854" s="230"/>
      <c r="I854" s="230"/>
      <c r="J854" s="339"/>
      <c r="K854" s="340"/>
      <c r="L854" s="340"/>
      <c r="M854" s="230"/>
      <c r="N854" s="230"/>
      <c r="O854" s="230"/>
      <c r="P854" s="230"/>
      <c r="Q854" s="230"/>
      <c r="R854" s="230"/>
      <c r="S854" s="230"/>
      <c r="T854" s="230"/>
      <c r="U854" s="230"/>
      <c r="V854" s="230"/>
      <c r="W854" s="230"/>
      <c r="X854" s="230"/>
      <c r="Y854" s="230"/>
      <c r="Z854" s="230"/>
    </row>
    <row r="855">
      <c r="A855" s="346"/>
      <c r="B855" s="347"/>
      <c r="C855" s="284"/>
      <c r="D855" s="284"/>
      <c r="E855" s="285"/>
      <c r="F855" s="230"/>
      <c r="G855" s="230"/>
      <c r="H855" s="230"/>
      <c r="I855" s="230"/>
      <c r="J855" s="339"/>
      <c r="K855" s="340"/>
      <c r="L855" s="340"/>
      <c r="M855" s="230"/>
      <c r="N855" s="230"/>
      <c r="O855" s="230"/>
      <c r="P855" s="230"/>
      <c r="Q855" s="230"/>
      <c r="R855" s="230"/>
      <c r="S855" s="230"/>
      <c r="T855" s="230"/>
      <c r="U855" s="230"/>
      <c r="V855" s="230"/>
      <c r="W855" s="230"/>
      <c r="X855" s="230"/>
      <c r="Y855" s="230"/>
      <c r="Z855" s="230"/>
    </row>
    <row r="856">
      <c r="A856" s="346"/>
      <c r="B856" s="347"/>
      <c r="C856" s="284"/>
      <c r="D856" s="284"/>
      <c r="E856" s="285"/>
      <c r="F856" s="230"/>
      <c r="G856" s="230"/>
      <c r="H856" s="230"/>
      <c r="I856" s="230"/>
      <c r="J856" s="339"/>
      <c r="K856" s="340"/>
      <c r="L856" s="340"/>
      <c r="M856" s="230"/>
      <c r="N856" s="230"/>
      <c r="O856" s="230"/>
      <c r="P856" s="230"/>
      <c r="Q856" s="230"/>
      <c r="R856" s="230"/>
      <c r="S856" s="230"/>
      <c r="T856" s="230"/>
      <c r="U856" s="230"/>
      <c r="V856" s="230"/>
      <c r="W856" s="230"/>
      <c r="X856" s="230"/>
      <c r="Y856" s="230"/>
      <c r="Z856" s="230"/>
    </row>
    <row r="857">
      <c r="A857" s="346"/>
      <c r="B857" s="347"/>
      <c r="C857" s="284"/>
      <c r="D857" s="284"/>
      <c r="E857" s="285"/>
      <c r="F857" s="230"/>
      <c r="G857" s="230"/>
      <c r="H857" s="230"/>
      <c r="I857" s="230"/>
      <c r="J857" s="339"/>
      <c r="K857" s="340"/>
      <c r="L857" s="340"/>
      <c r="M857" s="230"/>
      <c r="N857" s="230"/>
      <c r="O857" s="230"/>
      <c r="P857" s="230"/>
      <c r="Q857" s="230"/>
      <c r="R857" s="230"/>
      <c r="S857" s="230"/>
      <c r="T857" s="230"/>
      <c r="U857" s="230"/>
      <c r="V857" s="230"/>
      <c r="W857" s="230"/>
      <c r="X857" s="230"/>
      <c r="Y857" s="230"/>
      <c r="Z857" s="230"/>
    </row>
    <row r="858">
      <c r="A858" s="346"/>
      <c r="B858" s="347"/>
      <c r="C858" s="284"/>
      <c r="D858" s="284"/>
      <c r="E858" s="285"/>
      <c r="F858" s="230"/>
      <c r="G858" s="230"/>
      <c r="H858" s="230"/>
      <c r="I858" s="230"/>
      <c r="J858" s="339"/>
      <c r="K858" s="340"/>
      <c r="L858" s="340"/>
      <c r="M858" s="230"/>
      <c r="N858" s="230"/>
      <c r="O858" s="230"/>
      <c r="P858" s="230"/>
      <c r="Q858" s="230"/>
      <c r="R858" s="230"/>
      <c r="S858" s="230"/>
      <c r="T858" s="230"/>
      <c r="U858" s="230"/>
      <c r="V858" s="230"/>
      <c r="W858" s="230"/>
      <c r="X858" s="230"/>
      <c r="Y858" s="230"/>
      <c r="Z858" s="230"/>
    </row>
    <row r="859">
      <c r="A859" s="346"/>
      <c r="B859" s="347"/>
      <c r="C859" s="284"/>
      <c r="D859" s="284"/>
      <c r="E859" s="285"/>
      <c r="F859" s="230"/>
      <c r="G859" s="230"/>
      <c r="H859" s="230"/>
      <c r="I859" s="230"/>
      <c r="J859" s="339"/>
      <c r="K859" s="340"/>
      <c r="L859" s="340"/>
      <c r="M859" s="230"/>
      <c r="N859" s="230"/>
      <c r="O859" s="230"/>
      <c r="P859" s="230"/>
      <c r="Q859" s="230"/>
      <c r="R859" s="230"/>
      <c r="S859" s="230"/>
      <c r="T859" s="230"/>
      <c r="U859" s="230"/>
      <c r="V859" s="230"/>
      <c r="W859" s="230"/>
      <c r="X859" s="230"/>
      <c r="Y859" s="230"/>
      <c r="Z859" s="230"/>
    </row>
    <row r="860">
      <c r="A860" s="346"/>
      <c r="B860" s="347"/>
      <c r="C860" s="284"/>
      <c r="D860" s="284"/>
      <c r="E860" s="285"/>
      <c r="F860" s="230"/>
      <c r="G860" s="230"/>
      <c r="H860" s="230"/>
      <c r="I860" s="230"/>
      <c r="J860" s="339"/>
      <c r="K860" s="340"/>
      <c r="L860" s="340"/>
      <c r="M860" s="230"/>
      <c r="N860" s="230"/>
      <c r="O860" s="230"/>
      <c r="P860" s="230"/>
      <c r="Q860" s="230"/>
      <c r="R860" s="230"/>
      <c r="S860" s="230"/>
      <c r="T860" s="230"/>
      <c r="U860" s="230"/>
      <c r="V860" s="230"/>
      <c r="W860" s="230"/>
      <c r="X860" s="230"/>
      <c r="Y860" s="230"/>
      <c r="Z860" s="230"/>
    </row>
    <row r="861">
      <c r="A861" s="346"/>
      <c r="B861" s="347"/>
      <c r="C861" s="284"/>
      <c r="D861" s="284"/>
      <c r="E861" s="285"/>
      <c r="F861" s="230"/>
      <c r="G861" s="230"/>
      <c r="H861" s="230"/>
      <c r="I861" s="230"/>
      <c r="J861" s="339"/>
      <c r="K861" s="340"/>
      <c r="L861" s="340"/>
      <c r="M861" s="230"/>
      <c r="N861" s="230"/>
      <c r="O861" s="230"/>
      <c r="P861" s="230"/>
      <c r="Q861" s="230"/>
      <c r="R861" s="230"/>
      <c r="S861" s="230"/>
      <c r="T861" s="230"/>
      <c r="U861" s="230"/>
      <c r="V861" s="230"/>
      <c r="W861" s="230"/>
      <c r="X861" s="230"/>
      <c r="Y861" s="230"/>
      <c r="Z861" s="230"/>
    </row>
    <row r="862">
      <c r="A862" s="346"/>
      <c r="B862" s="347"/>
      <c r="C862" s="284"/>
      <c r="D862" s="284"/>
      <c r="E862" s="285"/>
      <c r="F862" s="230"/>
      <c r="G862" s="230"/>
      <c r="H862" s="230"/>
      <c r="I862" s="230"/>
      <c r="J862" s="339"/>
      <c r="K862" s="340"/>
      <c r="L862" s="340"/>
      <c r="M862" s="230"/>
      <c r="N862" s="230"/>
      <c r="O862" s="230"/>
      <c r="P862" s="230"/>
      <c r="Q862" s="230"/>
      <c r="R862" s="230"/>
      <c r="S862" s="230"/>
      <c r="T862" s="230"/>
      <c r="U862" s="230"/>
      <c r="V862" s="230"/>
      <c r="W862" s="230"/>
      <c r="X862" s="230"/>
      <c r="Y862" s="230"/>
      <c r="Z862" s="230"/>
    </row>
    <row r="863">
      <c r="A863" s="346"/>
      <c r="B863" s="347"/>
      <c r="C863" s="284"/>
      <c r="D863" s="284"/>
      <c r="E863" s="285"/>
      <c r="F863" s="230"/>
      <c r="G863" s="230"/>
      <c r="H863" s="230"/>
      <c r="I863" s="230"/>
      <c r="J863" s="339"/>
      <c r="K863" s="340"/>
      <c r="L863" s="340"/>
      <c r="M863" s="230"/>
      <c r="N863" s="230"/>
      <c r="O863" s="230"/>
      <c r="P863" s="230"/>
      <c r="Q863" s="230"/>
      <c r="R863" s="230"/>
      <c r="S863" s="230"/>
      <c r="T863" s="230"/>
      <c r="U863" s="230"/>
      <c r="V863" s="230"/>
      <c r="W863" s="230"/>
      <c r="X863" s="230"/>
      <c r="Y863" s="230"/>
      <c r="Z863" s="230"/>
    </row>
    <row r="864">
      <c r="A864" s="346"/>
      <c r="B864" s="347"/>
      <c r="C864" s="284"/>
      <c r="D864" s="284"/>
      <c r="E864" s="285"/>
      <c r="F864" s="230"/>
      <c r="G864" s="230"/>
      <c r="H864" s="230"/>
      <c r="I864" s="230"/>
      <c r="J864" s="339"/>
      <c r="K864" s="340"/>
      <c r="L864" s="340"/>
      <c r="M864" s="230"/>
      <c r="N864" s="230"/>
      <c r="O864" s="230"/>
      <c r="P864" s="230"/>
      <c r="Q864" s="230"/>
      <c r="R864" s="230"/>
      <c r="S864" s="230"/>
      <c r="T864" s="230"/>
      <c r="U864" s="230"/>
      <c r="V864" s="230"/>
      <c r="W864" s="230"/>
      <c r="X864" s="230"/>
      <c r="Y864" s="230"/>
      <c r="Z864" s="230"/>
    </row>
    <row r="865">
      <c r="A865" s="346"/>
      <c r="B865" s="347"/>
      <c r="C865" s="284"/>
      <c r="D865" s="284"/>
      <c r="E865" s="285"/>
      <c r="F865" s="230"/>
      <c r="G865" s="230"/>
      <c r="H865" s="230"/>
      <c r="I865" s="230"/>
      <c r="J865" s="339"/>
      <c r="K865" s="340"/>
      <c r="L865" s="340"/>
      <c r="M865" s="230"/>
      <c r="N865" s="230"/>
      <c r="O865" s="230"/>
      <c r="P865" s="230"/>
      <c r="Q865" s="230"/>
      <c r="R865" s="230"/>
      <c r="S865" s="230"/>
      <c r="T865" s="230"/>
      <c r="U865" s="230"/>
      <c r="V865" s="230"/>
      <c r="W865" s="230"/>
      <c r="X865" s="230"/>
      <c r="Y865" s="230"/>
      <c r="Z865" s="230"/>
    </row>
    <row r="866">
      <c r="A866" s="346"/>
      <c r="B866" s="347"/>
      <c r="C866" s="284"/>
      <c r="D866" s="284"/>
      <c r="E866" s="285"/>
      <c r="F866" s="230"/>
      <c r="G866" s="230"/>
      <c r="H866" s="230"/>
      <c r="I866" s="230"/>
      <c r="J866" s="339"/>
      <c r="K866" s="340"/>
      <c r="L866" s="340"/>
      <c r="M866" s="230"/>
      <c r="N866" s="230"/>
      <c r="O866" s="230"/>
      <c r="P866" s="230"/>
      <c r="Q866" s="230"/>
      <c r="R866" s="230"/>
      <c r="S866" s="230"/>
      <c r="T866" s="230"/>
      <c r="U866" s="230"/>
      <c r="V866" s="230"/>
      <c r="W866" s="230"/>
      <c r="X866" s="230"/>
      <c r="Y866" s="230"/>
      <c r="Z866" s="230"/>
    </row>
    <row r="867">
      <c r="A867" s="346"/>
      <c r="B867" s="347"/>
      <c r="C867" s="284"/>
      <c r="D867" s="284"/>
      <c r="E867" s="285"/>
      <c r="F867" s="230"/>
      <c r="G867" s="230"/>
      <c r="H867" s="230"/>
      <c r="I867" s="230"/>
      <c r="J867" s="339"/>
      <c r="K867" s="340"/>
      <c r="L867" s="340"/>
      <c r="M867" s="230"/>
      <c r="N867" s="230"/>
      <c r="O867" s="230"/>
      <c r="P867" s="230"/>
      <c r="Q867" s="230"/>
      <c r="R867" s="230"/>
      <c r="S867" s="230"/>
      <c r="T867" s="230"/>
      <c r="U867" s="230"/>
      <c r="V867" s="230"/>
      <c r="W867" s="230"/>
      <c r="X867" s="230"/>
      <c r="Y867" s="230"/>
      <c r="Z867" s="230"/>
    </row>
    <row r="868">
      <c r="A868" s="346"/>
      <c r="B868" s="347"/>
      <c r="C868" s="284"/>
      <c r="D868" s="284"/>
      <c r="E868" s="285"/>
      <c r="F868" s="230"/>
      <c r="G868" s="230"/>
      <c r="H868" s="230"/>
      <c r="I868" s="230"/>
      <c r="J868" s="339"/>
      <c r="K868" s="340"/>
      <c r="L868" s="340"/>
      <c r="M868" s="230"/>
      <c r="N868" s="230"/>
      <c r="O868" s="230"/>
      <c r="P868" s="230"/>
      <c r="Q868" s="230"/>
      <c r="R868" s="230"/>
      <c r="S868" s="230"/>
      <c r="T868" s="230"/>
      <c r="U868" s="230"/>
      <c r="V868" s="230"/>
      <c r="W868" s="230"/>
      <c r="X868" s="230"/>
      <c r="Y868" s="230"/>
      <c r="Z868" s="230"/>
    </row>
    <row r="869">
      <c r="A869" s="346"/>
      <c r="B869" s="347"/>
      <c r="C869" s="284"/>
      <c r="D869" s="284"/>
      <c r="E869" s="285"/>
      <c r="F869" s="230"/>
      <c r="G869" s="230"/>
      <c r="H869" s="230"/>
      <c r="I869" s="230"/>
      <c r="J869" s="339"/>
      <c r="K869" s="340"/>
      <c r="L869" s="340"/>
      <c r="M869" s="230"/>
      <c r="N869" s="230"/>
      <c r="O869" s="230"/>
      <c r="P869" s="230"/>
      <c r="Q869" s="230"/>
      <c r="R869" s="230"/>
      <c r="S869" s="230"/>
      <c r="T869" s="230"/>
      <c r="U869" s="230"/>
      <c r="V869" s="230"/>
      <c r="W869" s="230"/>
      <c r="X869" s="230"/>
      <c r="Y869" s="230"/>
      <c r="Z869" s="230"/>
    </row>
    <row r="870">
      <c r="A870" s="346"/>
      <c r="B870" s="347"/>
      <c r="C870" s="284"/>
      <c r="D870" s="284"/>
      <c r="E870" s="285"/>
      <c r="F870" s="230"/>
      <c r="G870" s="230"/>
      <c r="H870" s="230"/>
      <c r="I870" s="230"/>
      <c r="J870" s="339"/>
      <c r="K870" s="340"/>
      <c r="L870" s="340"/>
      <c r="M870" s="230"/>
      <c r="N870" s="230"/>
      <c r="O870" s="230"/>
      <c r="P870" s="230"/>
      <c r="Q870" s="230"/>
      <c r="R870" s="230"/>
      <c r="S870" s="230"/>
      <c r="T870" s="230"/>
      <c r="U870" s="230"/>
      <c r="V870" s="230"/>
      <c r="W870" s="230"/>
      <c r="X870" s="230"/>
      <c r="Y870" s="230"/>
      <c r="Z870" s="230"/>
    </row>
    <row r="871">
      <c r="A871" s="346"/>
      <c r="B871" s="347"/>
      <c r="C871" s="284"/>
      <c r="D871" s="284"/>
      <c r="E871" s="285"/>
      <c r="F871" s="230"/>
      <c r="G871" s="230"/>
      <c r="H871" s="230"/>
      <c r="I871" s="230"/>
      <c r="J871" s="339"/>
      <c r="K871" s="340"/>
      <c r="L871" s="340"/>
      <c r="M871" s="230"/>
      <c r="N871" s="230"/>
      <c r="O871" s="230"/>
      <c r="P871" s="230"/>
      <c r="Q871" s="230"/>
      <c r="R871" s="230"/>
      <c r="S871" s="230"/>
      <c r="T871" s="230"/>
      <c r="U871" s="230"/>
      <c r="V871" s="230"/>
      <c r="W871" s="230"/>
      <c r="X871" s="230"/>
      <c r="Y871" s="230"/>
      <c r="Z871" s="230"/>
    </row>
    <row r="872">
      <c r="A872" s="346"/>
      <c r="B872" s="347"/>
      <c r="C872" s="284"/>
      <c r="D872" s="284"/>
      <c r="E872" s="285"/>
      <c r="F872" s="230"/>
      <c r="G872" s="230"/>
      <c r="H872" s="230"/>
      <c r="I872" s="230"/>
      <c r="J872" s="339"/>
      <c r="K872" s="340"/>
      <c r="L872" s="340"/>
      <c r="M872" s="230"/>
      <c r="N872" s="230"/>
      <c r="O872" s="230"/>
      <c r="P872" s="230"/>
      <c r="Q872" s="230"/>
      <c r="R872" s="230"/>
      <c r="S872" s="230"/>
      <c r="T872" s="230"/>
      <c r="U872" s="230"/>
      <c r="V872" s="230"/>
      <c r="W872" s="230"/>
      <c r="X872" s="230"/>
      <c r="Y872" s="230"/>
      <c r="Z872" s="230"/>
    </row>
    <row r="873">
      <c r="A873" s="346"/>
      <c r="B873" s="347"/>
      <c r="C873" s="284"/>
      <c r="D873" s="284"/>
      <c r="E873" s="285"/>
      <c r="F873" s="230"/>
      <c r="G873" s="230"/>
      <c r="H873" s="230"/>
      <c r="I873" s="230"/>
      <c r="J873" s="339"/>
      <c r="K873" s="340"/>
      <c r="L873" s="340"/>
      <c r="M873" s="230"/>
      <c r="N873" s="230"/>
      <c r="O873" s="230"/>
      <c r="P873" s="230"/>
      <c r="Q873" s="230"/>
      <c r="R873" s="230"/>
      <c r="S873" s="230"/>
      <c r="T873" s="230"/>
      <c r="U873" s="230"/>
      <c r="V873" s="230"/>
      <c r="W873" s="230"/>
      <c r="X873" s="230"/>
      <c r="Y873" s="230"/>
      <c r="Z873" s="230"/>
    </row>
    <row r="874">
      <c r="A874" s="346"/>
      <c r="B874" s="347"/>
      <c r="C874" s="284"/>
      <c r="D874" s="284"/>
      <c r="E874" s="285"/>
      <c r="F874" s="230"/>
      <c r="G874" s="230"/>
      <c r="H874" s="230"/>
      <c r="I874" s="230"/>
      <c r="J874" s="339"/>
      <c r="K874" s="340"/>
      <c r="L874" s="340"/>
      <c r="M874" s="230"/>
      <c r="N874" s="230"/>
      <c r="O874" s="230"/>
      <c r="P874" s="230"/>
      <c r="Q874" s="230"/>
      <c r="R874" s="230"/>
      <c r="S874" s="230"/>
      <c r="T874" s="230"/>
      <c r="U874" s="230"/>
      <c r="V874" s="230"/>
      <c r="W874" s="230"/>
      <c r="X874" s="230"/>
      <c r="Y874" s="230"/>
      <c r="Z874" s="230"/>
    </row>
    <row r="875">
      <c r="A875" s="346"/>
      <c r="B875" s="347"/>
      <c r="C875" s="284"/>
      <c r="D875" s="284"/>
      <c r="E875" s="285"/>
      <c r="F875" s="230"/>
      <c r="G875" s="230"/>
      <c r="H875" s="230"/>
      <c r="I875" s="230"/>
      <c r="J875" s="339"/>
      <c r="K875" s="340"/>
      <c r="L875" s="340"/>
      <c r="M875" s="230"/>
      <c r="N875" s="230"/>
      <c r="O875" s="230"/>
      <c r="P875" s="230"/>
      <c r="Q875" s="230"/>
      <c r="R875" s="230"/>
      <c r="S875" s="230"/>
      <c r="T875" s="230"/>
      <c r="U875" s="230"/>
      <c r="V875" s="230"/>
      <c r="W875" s="230"/>
      <c r="X875" s="230"/>
      <c r="Y875" s="230"/>
      <c r="Z875" s="230"/>
    </row>
    <row r="876">
      <c r="A876" s="346"/>
      <c r="B876" s="347"/>
      <c r="C876" s="284"/>
      <c r="D876" s="284"/>
      <c r="E876" s="285"/>
      <c r="F876" s="230"/>
      <c r="G876" s="230"/>
      <c r="H876" s="230"/>
      <c r="I876" s="230"/>
      <c r="J876" s="339"/>
      <c r="K876" s="340"/>
      <c r="L876" s="340"/>
      <c r="M876" s="230"/>
      <c r="N876" s="230"/>
      <c r="O876" s="230"/>
      <c r="P876" s="230"/>
      <c r="Q876" s="230"/>
      <c r="R876" s="230"/>
      <c r="S876" s="230"/>
      <c r="T876" s="230"/>
      <c r="U876" s="230"/>
      <c r="V876" s="230"/>
      <c r="W876" s="230"/>
      <c r="X876" s="230"/>
      <c r="Y876" s="230"/>
      <c r="Z876" s="230"/>
    </row>
    <row r="877">
      <c r="A877" s="346"/>
      <c r="B877" s="347"/>
      <c r="C877" s="284"/>
      <c r="D877" s="284"/>
      <c r="E877" s="285"/>
      <c r="F877" s="230"/>
      <c r="G877" s="230"/>
      <c r="H877" s="230"/>
      <c r="I877" s="230"/>
      <c r="J877" s="339"/>
      <c r="K877" s="340"/>
      <c r="L877" s="340"/>
      <c r="M877" s="230"/>
      <c r="N877" s="230"/>
      <c r="O877" s="230"/>
      <c r="P877" s="230"/>
      <c r="Q877" s="230"/>
      <c r="R877" s="230"/>
      <c r="S877" s="230"/>
      <c r="T877" s="230"/>
      <c r="U877" s="230"/>
      <c r="V877" s="230"/>
      <c r="W877" s="230"/>
      <c r="X877" s="230"/>
      <c r="Y877" s="230"/>
      <c r="Z877" s="230"/>
    </row>
    <row r="878">
      <c r="A878" s="346"/>
      <c r="B878" s="347"/>
      <c r="C878" s="284"/>
      <c r="D878" s="284"/>
      <c r="E878" s="285"/>
      <c r="F878" s="230"/>
      <c r="G878" s="230"/>
      <c r="H878" s="230"/>
      <c r="I878" s="230"/>
      <c r="J878" s="339"/>
      <c r="K878" s="340"/>
      <c r="L878" s="340"/>
      <c r="M878" s="230"/>
      <c r="N878" s="230"/>
      <c r="O878" s="230"/>
      <c r="P878" s="230"/>
      <c r="Q878" s="230"/>
      <c r="R878" s="230"/>
      <c r="S878" s="230"/>
      <c r="T878" s="230"/>
      <c r="U878" s="230"/>
      <c r="V878" s="230"/>
      <c r="W878" s="230"/>
      <c r="X878" s="230"/>
      <c r="Y878" s="230"/>
      <c r="Z878" s="230"/>
    </row>
    <row r="879">
      <c r="A879" s="346"/>
      <c r="B879" s="347"/>
      <c r="C879" s="284"/>
      <c r="D879" s="284"/>
      <c r="E879" s="285"/>
      <c r="F879" s="230"/>
      <c r="G879" s="230"/>
      <c r="H879" s="230"/>
      <c r="I879" s="230"/>
      <c r="J879" s="339"/>
      <c r="K879" s="340"/>
      <c r="L879" s="340"/>
      <c r="M879" s="230"/>
      <c r="N879" s="230"/>
      <c r="O879" s="230"/>
      <c r="P879" s="230"/>
      <c r="Q879" s="230"/>
      <c r="R879" s="230"/>
      <c r="S879" s="230"/>
      <c r="T879" s="230"/>
      <c r="U879" s="230"/>
      <c r="V879" s="230"/>
      <c r="W879" s="230"/>
      <c r="X879" s="230"/>
      <c r="Y879" s="230"/>
      <c r="Z879" s="230"/>
    </row>
    <row r="880">
      <c r="A880" s="346"/>
      <c r="B880" s="347"/>
      <c r="C880" s="284"/>
      <c r="D880" s="284"/>
      <c r="E880" s="285"/>
      <c r="F880" s="230"/>
      <c r="G880" s="230"/>
      <c r="H880" s="230"/>
      <c r="I880" s="230"/>
      <c r="J880" s="339"/>
      <c r="K880" s="340"/>
      <c r="L880" s="340"/>
      <c r="M880" s="230"/>
      <c r="N880" s="230"/>
      <c r="O880" s="230"/>
      <c r="P880" s="230"/>
      <c r="Q880" s="230"/>
      <c r="R880" s="230"/>
      <c r="S880" s="230"/>
      <c r="T880" s="230"/>
      <c r="U880" s="230"/>
      <c r="V880" s="230"/>
      <c r="W880" s="230"/>
      <c r="X880" s="230"/>
      <c r="Y880" s="230"/>
      <c r="Z880" s="230"/>
    </row>
    <row r="881">
      <c r="A881" s="346"/>
      <c r="B881" s="347"/>
      <c r="C881" s="284"/>
      <c r="D881" s="284"/>
      <c r="E881" s="285"/>
      <c r="F881" s="230"/>
      <c r="G881" s="230"/>
      <c r="H881" s="230"/>
      <c r="I881" s="230"/>
      <c r="J881" s="339"/>
      <c r="K881" s="340"/>
      <c r="L881" s="340"/>
      <c r="M881" s="230"/>
      <c r="N881" s="230"/>
      <c r="O881" s="230"/>
      <c r="P881" s="230"/>
      <c r="Q881" s="230"/>
      <c r="R881" s="230"/>
      <c r="S881" s="230"/>
      <c r="T881" s="230"/>
      <c r="U881" s="230"/>
      <c r="V881" s="230"/>
      <c r="W881" s="230"/>
      <c r="X881" s="230"/>
      <c r="Y881" s="230"/>
      <c r="Z881" s="230"/>
    </row>
    <row r="882">
      <c r="A882" s="346"/>
      <c r="B882" s="347"/>
      <c r="C882" s="284"/>
      <c r="D882" s="284"/>
      <c r="E882" s="285"/>
      <c r="F882" s="230"/>
      <c r="G882" s="230"/>
      <c r="H882" s="230"/>
      <c r="I882" s="230"/>
      <c r="J882" s="339"/>
      <c r="K882" s="340"/>
      <c r="L882" s="340"/>
      <c r="M882" s="230"/>
      <c r="N882" s="230"/>
      <c r="O882" s="230"/>
      <c r="P882" s="230"/>
      <c r="Q882" s="230"/>
      <c r="R882" s="230"/>
      <c r="S882" s="230"/>
      <c r="T882" s="230"/>
      <c r="U882" s="230"/>
      <c r="V882" s="230"/>
      <c r="W882" s="230"/>
      <c r="X882" s="230"/>
      <c r="Y882" s="230"/>
      <c r="Z882" s="230"/>
    </row>
    <row r="883">
      <c r="A883" s="346"/>
      <c r="B883" s="347"/>
      <c r="C883" s="284"/>
      <c r="D883" s="284"/>
      <c r="E883" s="285"/>
      <c r="F883" s="230"/>
      <c r="G883" s="230"/>
      <c r="H883" s="230"/>
      <c r="I883" s="230"/>
      <c r="J883" s="339"/>
      <c r="K883" s="340"/>
      <c r="L883" s="340"/>
      <c r="M883" s="230"/>
      <c r="N883" s="230"/>
      <c r="O883" s="230"/>
      <c r="P883" s="230"/>
      <c r="Q883" s="230"/>
      <c r="R883" s="230"/>
      <c r="S883" s="230"/>
      <c r="T883" s="230"/>
      <c r="U883" s="230"/>
      <c r="V883" s="230"/>
      <c r="W883" s="230"/>
      <c r="X883" s="230"/>
      <c r="Y883" s="230"/>
      <c r="Z883" s="230"/>
    </row>
    <row r="884">
      <c r="A884" s="346"/>
      <c r="B884" s="347"/>
      <c r="C884" s="284"/>
      <c r="D884" s="284"/>
      <c r="E884" s="285"/>
      <c r="F884" s="230"/>
      <c r="G884" s="230"/>
      <c r="H884" s="230"/>
      <c r="I884" s="230"/>
      <c r="J884" s="339"/>
      <c r="K884" s="340"/>
      <c r="L884" s="340"/>
      <c r="M884" s="230"/>
      <c r="N884" s="230"/>
      <c r="O884" s="230"/>
      <c r="P884" s="230"/>
      <c r="Q884" s="230"/>
      <c r="R884" s="230"/>
      <c r="S884" s="230"/>
      <c r="T884" s="230"/>
      <c r="U884" s="230"/>
      <c r="V884" s="230"/>
      <c r="W884" s="230"/>
      <c r="X884" s="230"/>
      <c r="Y884" s="230"/>
      <c r="Z884" s="230"/>
    </row>
    <row r="885">
      <c r="A885" s="346"/>
      <c r="B885" s="347"/>
      <c r="C885" s="284"/>
      <c r="D885" s="284"/>
      <c r="E885" s="285"/>
      <c r="F885" s="230"/>
      <c r="G885" s="230"/>
      <c r="H885" s="230"/>
      <c r="I885" s="230"/>
      <c r="J885" s="339"/>
      <c r="K885" s="340"/>
      <c r="L885" s="340"/>
      <c r="M885" s="230"/>
      <c r="N885" s="230"/>
      <c r="O885" s="230"/>
      <c r="P885" s="230"/>
      <c r="Q885" s="230"/>
      <c r="R885" s="230"/>
      <c r="S885" s="230"/>
      <c r="T885" s="230"/>
      <c r="U885" s="230"/>
      <c r="V885" s="230"/>
      <c r="W885" s="230"/>
      <c r="X885" s="230"/>
      <c r="Y885" s="230"/>
      <c r="Z885" s="230"/>
    </row>
    <row r="886">
      <c r="A886" s="346"/>
      <c r="B886" s="347"/>
      <c r="C886" s="284"/>
      <c r="D886" s="284"/>
      <c r="E886" s="285"/>
      <c r="F886" s="230"/>
      <c r="G886" s="230"/>
      <c r="H886" s="230"/>
      <c r="I886" s="230"/>
      <c r="J886" s="339"/>
      <c r="K886" s="340"/>
      <c r="L886" s="340"/>
      <c r="M886" s="230"/>
      <c r="N886" s="230"/>
      <c r="O886" s="230"/>
      <c r="P886" s="230"/>
      <c r="Q886" s="230"/>
      <c r="R886" s="230"/>
      <c r="S886" s="230"/>
      <c r="T886" s="230"/>
      <c r="U886" s="230"/>
      <c r="V886" s="230"/>
      <c r="W886" s="230"/>
      <c r="X886" s="230"/>
      <c r="Y886" s="230"/>
      <c r="Z886" s="230"/>
    </row>
    <row r="887">
      <c r="A887" s="346"/>
      <c r="B887" s="347"/>
      <c r="C887" s="284"/>
      <c r="D887" s="284"/>
      <c r="E887" s="285"/>
      <c r="F887" s="230"/>
      <c r="G887" s="230"/>
      <c r="H887" s="230"/>
      <c r="I887" s="230"/>
      <c r="J887" s="339"/>
      <c r="K887" s="340"/>
      <c r="L887" s="340"/>
      <c r="M887" s="230"/>
      <c r="N887" s="230"/>
      <c r="O887" s="230"/>
      <c r="P887" s="230"/>
      <c r="Q887" s="230"/>
      <c r="R887" s="230"/>
      <c r="S887" s="230"/>
      <c r="T887" s="230"/>
      <c r="U887" s="230"/>
      <c r="V887" s="230"/>
      <c r="W887" s="230"/>
      <c r="X887" s="230"/>
      <c r="Y887" s="230"/>
      <c r="Z887" s="230"/>
    </row>
    <row r="888">
      <c r="A888" s="346"/>
      <c r="B888" s="347"/>
      <c r="C888" s="284"/>
      <c r="D888" s="284"/>
      <c r="E888" s="285"/>
      <c r="F888" s="230"/>
      <c r="G888" s="230"/>
      <c r="H888" s="230"/>
      <c r="I888" s="230"/>
      <c r="J888" s="339"/>
      <c r="K888" s="340"/>
      <c r="L888" s="340"/>
      <c r="M888" s="230"/>
      <c r="N888" s="230"/>
      <c r="O888" s="230"/>
      <c r="P888" s="230"/>
      <c r="Q888" s="230"/>
      <c r="R888" s="230"/>
      <c r="S888" s="230"/>
      <c r="T888" s="230"/>
      <c r="U888" s="230"/>
      <c r="V888" s="230"/>
      <c r="W888" s="230"/>
      <c r="X888" s="230"/>
      <c r="Y888" s="230"/>
      <c r="Z888" s="230"/>
    </row>
    <row r="889">
      <c r="A889" s="346"/>
      <c r="B889" s="347"/>
      <c r="C889" s="284"/>
      <c r="D889" s="284"/>
      <c r="E889" s="285"/>
      <c r="F889" s="230"/>
      <c r="G889" s="230"/>
      <c r="H889" s="230"/>
      <c r="I889" s="230"/>
      <c r="J889" s="339"/>
      <c r="K889" s="340"/>
      <c r="L889" s="340"/>
      <c r="M889" s="230"/>
      <c r="N889" s="230"/>
      <c r="O889" s="230"/>
      <c r="P889" s="230"/>
      <c r="Q889" s="230"/>
      <c r="R889" s="230"/>
      <c r="S889" s="230"/>
      <c r="T889" s="230"/>
      <c r="U889" s="230"/>
      <c r="V889" s="230"/>
      <c r="W889" s="230"/>
      <c r="X889" s="230"/>
      <c r="Y889" s="230"/>
      <c r="Z889" s="230"/>
    </row>
    <row r="890">
      <c r="A890" s="346"/>
      <c r="B890" s="347"/>
      <c r="C890" s="284"/>
      <c r="D890" s="284"/>
      <c r="E890" s="285"/>
      <c r="F890" s="230"/>
      <c r="G890" s="230"/>
      <c r="H890" s="230"/>
      <c r="I890" s="230"/>
      <c r="J890" s="339"/>
      <c r="K890" s="340"/>
      <c r="L890" s="340"/>
      <c r="M890" s="230"/>
      <c r="N890" s="230"/>
      <c r="O890" s="230"/>
      <c r="P890" s="230"/>
      <c r="Q890" s="230"/>
      <c r="R890" s="230"/>
      <c r="S890" s="230"/>
      <c r="T890" s="230"/>
      <c r="U890" s="230"/>
      <c r="V890" s="230"/>
      <c r="W890" s="230"/>
      <c r="X890" s="230"/>
      <c r="Y890" s="230"/>
      <c r="Z890" s="230"/>
    </row>
    <row r="891">
      <c r="A891" s="346"/>
      <c r="B891" s="347"/>
      <c r="C891" s="284"/>
      <c r="D891" s="284"/>
      <c r="E891" s="285"/>
      <c r="F891" s="230"/>
      <c r="G891" s="230"/>
      <c r="H891" s="230"/>
      <c r="I891" s="230"/>
      <c r="J891" s="339"/>
      <c r="K891" s="340"/>
      <c r="L891" s="340"/>
      <c r="M891" s="230"/>
      <c r="N891" s="230"/>
      <c r="O891" s="230"/>
      <c r="P891" s="230"/>
      <c r="Q891" s="230"/>
      <c r="R891" s="230"/>
      <c r="S891" s="230"/>
      <c r="T891" s="230"/>
      <c r="U891" s="230"/>
      <c r="V891" s="230"/>
      <c r="W891" s="230"/>
      <c r="X891" s="230"/>
      <c r="Y891" s="230"/>
      <c r="Z891" s="230"/>
    </row>
    <row r="892">
      <c r="A892" s="346"/>
      <c r="B892" s="347"/>
      <c r="C892" s="284"/>
      <c r="D892" s="284"/>
      <c r="E892" s="285"/>
      <c r="F892" s="230"/>
      <c r="G892" s="230"/>
      <c r="H892" s="230"/>
      <c r="I892" s="230"/>
      <c r="J892" s="339"/>
      <c r="K892" s="340"/>
      <c r="L892" s="340"/>
      <c r="M892" s="230"/>
      <c r="N892" s="230"/>
      <c r="O892" s="230"/>
      <c r="P892" s="230"/>
      <c r="Q892" s="230"/>
      <c r="R892" s="230"/>
      <c r="S892" s="230"/>
      <c r="T892" s="230"/>
      <c r="U892" s="230"/>
      <c r="V892" s="230"/>
      <c r="W892" s="230"/>
      <c r="X892" s="230"/>
      <c r="Y892" s="230"/>
      <c r="Z892" s="230"/>
    </row>
    <row r="893">
      <c r="A893" s="346"/>
      <c r="B893" s="347"/>
      <c r="C893" s="284"/>
      <c r="D893" s="284"/>
      <c r="E893" s="285"/>
      <c r="F893" s="230"/>
      <c r="G893" s="230"/>
      <c r="H893" s="230"/>
      <c r="I893" s="230"/>
      <c r="J893" s="339"/>
      <c r="K893" s="340"/>
      <c r="L893" s="340"/>
      <c r="M893" s="230"/>
      <c r="N893" s="230"/>
      <c r="O893" s="230"/>
      <c r="P893" s="230"/>
      <c r="Q893" s="230"/>
      <c r="R893" s="230"/>
      <c r="S893" s="230"/>
      <c r="T893" s="230"/>
      <c r="U893" s="230"/>
      <c r="V893" s="230"/>
      <c r="W893" s="230"/>
      <c r="X893" s="230"/>
      <c r="Y893" s="230"/>
      <c r="Z893" s="230"/>
    </row>
    <row r="894">
      <c r="A894" s="346"/>
      <c r="B894" s="347"/>
      <c r="C894" s="284"/>
      <c r="D894" s="284"/>
      <c r="E894" s="285"/>
      <c r="F894" s="230"/>
      <c r="G894" s="230"/>
      <c r="H894" s="230"/>
      <c r="I894" s="230"/>
      <c r="J894" s="339"/>
      <c r="K894" s="340"/>
      <c r="L894" s="340"/>
      <c r="M894" s="230"/>
      <c r="N894" s="230"/>
      <c r="O894" s="230"/>
      <c r="P894" s="230"/>
      <c r="Q894" s="230"/>
      <c r="R894" s="230"/>
      <c r="S894" s="230"/>
      <c r="T894" s="230"/>
      <c r="U894" s="230"/>
      <c r="V894" s="230"/>
      <c r="W894" s="230"/>
      <c r="X894" s="230"/>
      <c r="Y894" s="230"/>
      <c r="Z894" s="230"/>
    </row>
    <row r="895">
      <c r="A895" s="346"/>
      <c r="B895" s="347"/>
      <c r="C895" s="284"/>
      <c r="D895" s="284"/>
      <c r="E895" s="285"/>
      <c r="F895" s="230"/>
      <c r="G895" s="230"/>
      <c r="H895" s="230"/>
      <c r="I895" s="230"/>
      <c r="J895" s="339"/>
      <c r="K895" s="340"/>
      <c r="L895" s="340"/>
      <c r="M895" s="230"/>
      <c r="N895" s="230"/>
      <c r="O895" s="230"/>
      <c r="P895" s="230"/>
      <c r="Q895" s="230"/>
      <c r="R895" s="230"/>
      <c r="S895" s="230"/>
      <c r="T895" s="230"/>
      <c r="U895" s="230"/>
      <c r="V895" s="230"/>
      <c r="W895" s="230"/>
      <c r="X895" s="230"/>
      <c r="Y895" s="230"/>
      <c r="Z895" s="230"/>
    </row>
    <row r="896">
      <c r="A896" s="346"/>
      <c r="B896" s="347"/>
      <c r="C896" s="284"/>
      <c r="D896" s="284"/>
      <c r="E896" s="285"/>
      <c r="F896" s="230"/>
      <c r="G896" s="230"/>
      <c r="H896" s="230"/>
      <c r="I896" s="230"/>
      <c r="J896" s="339"/>
      <c r="K896" s="340"/>
      <c r="L896" s="340"/>
      <c r="M896" s="230"/>
      <c r="N896" s="230"/>
      <c r="O896" s="230"/>
      <c r="P896" s="230"/>
      <c r="Q896" s="230"/>
      <c r="R896" s="230"/>
      <c r="S896" s="230"/>
      <c r="T896" s="230"/>
      <c r="U896" s="230"/>
      <c r="V896" s="230"/>
      <c r="W896" s="230"/>
      <c r="X896" s="230"/>
      <c r="Y896" s="230"/>
      <c r="Z896" s="230"/>
    </row>
    <row r="897">
      <c r="A897" s="346"/>
      <c r="B897" s="347"/>
      <c r="C897" s="284"/>
      <c r="D897" s="284"/>
      <c r="E897" s="285"/>
      <c r="F897" s="230"/>
      <c r="G897" s="230"/>
      <c r="H897" s="230"/>
      <c r="I897" s="230"/>
      <c r="J897" s="339"/>
      <c r="K897" s="340"/>
      <c r="L897" s="340"/>
      <c r="M897" s="230"/>
      <c r="N897" s="230"/>
      <c r="O897" s="230"/>
      <c r="P897" s="230"/>
      <c r="Q897" s="230"/>
      <c r="R897" s="230"/>
      <c r="S897" s="230"/>
      <c r="T897" s="230"/>
      <c r="U897" s="230"/>
      <c r="V897" s="230"/>
      <c r="W897" s="230"/>
      <c r="X897" s="230"/>
      <c r="Y897" s="230"/>
      <c r="Z897" s="230"/>
    </row>
    <row r="898">
      <c r="A898" s="346"/>
      <c r="B898" s="347"/>
      <c r="C898" s="284"/>
      <c r="D898" s="284"/>
      <c r="E898" s="285"/>
      <c r="F898" s="230"/>
      <c r="G898" s="230"/>
      <c r="H898" s="230"/>
      <c r="I898" s="230"/>
      <c r="J898" s="339"/>
      <c r="K898" s="340"/>
      <c r="L898" s="340"/>
      <c r="M898" s="230"/>
      <c r="N898" s="230"/>
      <c r="O898" s="230"/>
      <c r="P898" s="230"/>
      <c r="Q898" s="230"/>
      <c r="R898" s="230"/>
      <c r="S898" s="230"/>
      <c r="T898" s="230"/>
      <c r="U898" s="230"/>
      <c r="V898" s="230"/>
      <c r="W898" s="230"/>
      <c r="X898" s="230"/>
      <c r="Y898" s="230"/>
      <c r="Z898" s="230"/>
    </row>
    <row r="899">
      <c r="A899" s="346"/>
      <c r="B899" s="347"/>
      <c r="C899" s="284"/>
      <c r="D899" s="284"/>
      <c r="E899" s="285"/>
      <c r="F899" s="230"/>
      <c r="G899" s="230"/>
      <c r="H899" s="230"/>
      <c r="I899" s="230"/>
      <c r="J899" s="339"/>
      <c r="K899" s="340"/>
      <c r="L899" s="340"/>
      <c r="M899" s="230"/>
      <c r="N899" s="230"/>
      <c r="O899" s="230"/>
      <c r="P899" s="230"/>
      <c r="Q899" s="230"/>
      <c r="R899" s="230"/>
      <c r="S899" s="230"/>
      <c r="T899" s="230"/>
      <c r="U899" s="230"/>
      <c r="V899" s="230"/>
      <c r="W899" s="230"/>
      <c r="X899" s="230"/>
      <c r="Y899" s="230"/>
      <c r="Z899" s="230"/>
    </row>
    <row r="900">
      <c r="A900" s="346"/>
      <c r="B900" s="347"/>
      <c r="C900" s="284"/>
      <c r="D900" s="284"/>
      <c r="E900" s="285"/>
      <c r="F900" s="230"/>
      <c r="G900" s="230"/>
      <c r="H900" s="230"/>
      <c r="I900" s="230"/>
      <c r="J900" s="339"/>
      <c r="K900" s="340"/>
      <c r="L900" s="340"/>
      <c r="M900" s="230"/>
      <c r="N900" s="230"/>
      <c r="O900" s="230"/>
      <c r="P900" s="230"/>
      <c r="Q900" s="230"/>
      <c r="R900" s="230"/>
      <c r="S900" s="230"/>
      <c r="T900" s="230"/>
      <c r="U900" s="230"/>
      <c r="V900" s="230"/>
      <c r="W900" s="230"/>
      <c r="X900" s="230"/>
      <c r="Y900" s="230"/>
      <c r="Z900" s="230"/>
    </row>
    <row r="901">
      <c r="A901" s="346"/>
      <c r="B901" s="347"/>
      <c r="C901" s="284"/>
      <c r="D901" s="284"/>
      <c r="E901" s="285"/>
      <c r="F901" s="230"/>
      <c r="G901" s="230"/>
      <c r="H901" s="230"/>
      <c r="I901" s="230"/>
      <c r="J901" s="339"/>
      <c r="K901" s="340"/>
      <c r="L901" s="340"/>
      <c r="M901" s="230"/>
      <c r="N901" s="230"/>
      <c r="O901" s="230"/>
      <c r="P901" s="230"/>
      <c r="Q901" s="230"/>
      <c r="R901" s="230"/>
      <c r="S901" s="230"/>
      <c r="T901" s="230"/>
      <c r="U901" s="230"/>
      <c r="V901" s="230"/>
      <c r="W901" s="230"/>
      <c r="X901" s="230"/>
      <c r="Y901" s="230"/>
      <c r="Z901" s="230"/>
    </row>
    <row r="902">
      <c r="A902" s="346"/>
      <c r="B902" s="347"/>
      <c r="C902" s="284"/>
      <c r="D902" s="284"/>
      <c r="E902" s="285"/>
      <c r="F902" s="230"/>
      <c r="G902" s="230"/>
      <c r="H902" s="230"/>
      <c r="I902" s="230"/>
      <c r="J902" s="339"/>
      <c r="K902" s="340"/>
      <c r="L902" s="340"/>
      <c r="M902" s="230"/>
      <c r="N902" s="230"/>
      <c r="O902" s="230"/>
      <c r="P902" s="230"/>
      <c r="Q902" s="230"/>
      <c r="R902" s="230"/>
      <c r="S902" s="230"/>
      <c r="T902" s="230"/>
      <c r="U902" s="230"/>
      <c r="V902" s="230"/>
      <c r="W902" s="230"/>
      <c r="X902" s="230"/>
      <c r="Y902" s="230"/>
      <c r="Z902" s="230"/>
    </row>
    <row r="903">
      <c r="A903" s="346"/>
      <c r="B903" s="347"/>
      <c r="C903" s="284"/>
      <c r="D903" s="284"/>
      <c r="E903" s="285"/>
      <c r="F903" s="230"/>
      <c r="G903" s="230"/>
      <c r="H903" s="230"/>
      <c r="I903" s="230"/>
      <c r="J903" s="339"/>
      <c r="K903" s="340"/>
      <c r="L903" s="340"/>
      <c r="M903" s="230"/>
      <c r="N903" s="230"/>
      <c r="O903" s="230"/>
      <c r="P903" s="230"/>
      <c r="Q903" s="230"/>
      <c r="R903" s="230"/>
      <c r="S903" s="230"/>
      <c r="T903" s="230"/>
      <c r="U903" s="230"/>
      <c r="V903" s="230"/>
      <c r="W903" s="230"/>
      <c r="X903" s="230"/>
      <c r="Y903" s="230"/>
      <c r="Z903" s="230"/>
    </row>
    <row r="904">
      <c r="A904" s="346"/>
      <c r="B904" s="347"/>
      <c r="C904" s="284"/>
      <c r="D904" s="284"/>
      <c r="E904" s="285"/>
      <c r="F904" s="230"/>
      <c r="G904" s="230"/>
      <c r="H904" s="230"/>
      <c r="I904" s="230"/>
      <c r="J904" s="339"/>
      <c r="K904" s="340"/>
      <c r="L904" s="340"/>
      <c r="M904" s="230"/>
      <c r="N904" s="230"/>
      <c r="O904" s="230"/>
      <c r="P904" s="230"/>
      <c r="Q904" s="230"/>
      <c r="R904" s="230"/>
      <c r="S904" s="230"/>
      <c r="T904" s="230"/>
      <c r="U904" s="230"/>
      <c r="V904" s="230"/>
      <c r="W904" s="230"/>
      <c r="X904" s="230"/>
      <c r="Y904" s="230"/>
      <c r="Z904" s="230"/>
    </row>
    <row r="905">
      <c r="A905" s="346"/>
      <c r="B905" s="347"/>
      <c r="C905" s="284"/>
      <c r="D905" s="284"/>
      <c r="E905" s="285"/>
      <c r="F905" s="230"/>
      <c r="G905" s="230"/>
      <c r="H905" s="230"/>
      <c r="I905" s="230"/>
      <c r="J905" s="339"/>
      <c r="K905" s="340"/>
      <c r="L905" s="340"/>
      <c r="M905" s="230"/>
      <c r="N905" s="230"/>
      <c r="O905" s="230"/>
      <c r="P905" s="230"/>
      <c r="Q905" s="230"/>
      <c r="R905" s="230"/>
      <c r="S905" s="230"/>
      <c r="T905" s="230"/>
      <c r="U905" s="230"/>
      <c r="V905" s="230"/>
      <c r="W905" s="230"/>
      <c r="X905" s="230"/>
      <c r="Y905" s="230"/>
      <c r="Z905" s="230"/>
    </row>
    <row r="906">
      <c r="A906" s="346"/>
      <c r="B906" s="347"/>
      <c r="C906" s="284"/>
      <c r="D906" s="284"/>
      <c r="E906" s="285"/>
      <c r="F906" s="230"/>
      <c r="G906" s="230"/>
      <c r="H906" s="230"/>
      <c r="I906" s="230"/>
      <c r="J906" s="339"/>
      <c r="K906" s="340"/>
      <c r="L906" s="340"/>
      <c r="M906" s="230"/>
      <c r="N906" s="230"/>
      <c r="O906" s="230"/>
      <c r="P906" s="230"/>
      <c r="Q906" s="230"/>
      <c r="R906" s="230"/>
      <c r="S906" s="230"/>
      <c r="T906" s="230"/>
      <c r="U906" s="230"/>
      <c r="V906" s="230"/>
      <c r="W906" s="230"/>
      <c r="X906" s="230"/>
      <c r="Y906" s="230"/>
      <c r="Z906" s="230"/>
    </row>
    <row r="907">
      <c r="A907" s="346"/>
      <c r="B907" s="347"/>
      <c r="C907" s="284"/>
      <c r="D907" s="284"/>
      <c r="E907" s="285"/>
      <c r="F907" s="230"/>
      <c r="G907" s="230"/>
      <c r="H907" s="230"/>
      <c r="I907" s="230"/>
      <c r="J907" s="339"/>
      <c r="K907" s="340"/>
      <c r="L907" s="340"/>
      <c r="M907" s="230"/>
      <c r="N907" s="230"/>
      <c r="O907" s="230"/>
      <c r="P907" s="230"/>
      <c r="Q907" s="230"/>
      <c r="R907" s="230"/>
      <c r="S907" s="230"/>
      <c r="T907" s="230"/>
      <c r="U907" s="230"/>
      <c r="V907" s="230"/>
      <c r="W907" s="230"/>
      <c r="X907" s="230"/>
      <c r="Y907" s="230"/>
      <c r="Z907" s="230"/>
    </row>
    <row r="908">
      <c r="A908" s="346"/>
      <c r="B908" s="347"/>
      <c r="C908" s="284"/>
      <c r="D908" s="284"/>
      <c r="E908" s="285"/>
      <c r="F908" s="230"/>
      <c r="G908" s="230"/>
      <c r="H908" s="230"/>
      <c r="I908" s="230"/>
      <c r="J908" s="339"/>
      <c r="K908" s="340"/>
      <c r="L908" s="340"/>
      <c r="M908" s="230"/>
      <c r="N908" s="230"/>
      <c r="O908" s="230"/>
      <c r="P908" s="230"/>
      <c r="Q908" s="230"/>
      <c r="R908" s="230"/>
      <c r="S908" s="230"/>
      <c r="T908" s="230"/>
      <c r="U908" s="230"/>
      <c r="V908" s="230"/>
      <c r="W908" s="230"/>
      <c r="X908" s="230"/>
      <c r="Y908" s="230"/>
      <c r="Z908" s="230"/>
    </row>
    <row r="909">
      <c r="A909" s="346"/>
      <c r="B909" s="347"/>
      <c r="C909" s="284"/>
      <c r="D909" s="284"/>
      <c r="E909" s="285"/>
      <c r="F909" s="230"/>
      <c r="G909" s="230"/>
      <c r="H909" s="230"/>
      <c r="I909" s="230"/>
      <c r="J909" s="339"/>
      <c r="K909" s="340"/>
      <c r="L909" s="340"/>
      <c r="M909" s="230"/>
      <c r="N909" s="230"/>
      <c r="O909" s="230"/>
      <c r="P909" s="230"/>
      <c r="Q909" s="230"/>
      <c r="R909" s="230"/>
      <c r="S909" s="230"/>
      <c r="T909" s="230"/>
      <c r="U909" s="230"/>
      <c r="V909" s="230"/>
      <c r="W909" s="230"/>
      <c r="X909" s="230"/>
      <c r="Y909" s="230"/>
      <c r="Z909" s="230"/>
    </row>
    <row r="910">
      <c r="A910" s="346"/>
      <c r="B910" s="347"/>
      <c r="C910" s="284"/>
      <c r="D910" s="284"/>
      <c r="E910" s="285"/>
      <c r="F910" s="230"/>
      <c r="G910" s="230"/>
      <c r="H910" s="230"/>
      <c r="I910" s="230"/>
      <c r="J910" s="339"/>
      <c r="K910" s="340"/>
      <c r="L910" s="340"/>
      <c r="M910" s="230"/>
      <c r="N910" s="230"/>
      <c r="O910" s="230"/>
      <c r="P910" s="230"/>
      <c r="Q910" s="230"/>
      <c r="R910" s="230"/>
      <c r="S910" s="230"/>
      <c r="T910" s="230"/>
      <c r="U910" s="230"/>
      <c r="V910" s="230"/>
      <c r="W910" s="230"/>
      <c r="X910" s="230"/>
      <c r="Y910" s="230"/>
      <c r="Z910" s="230"/>
    </row>
    <row r="911">
      <c r="A911" s="346"/>
      <c r="B911" s="347"/>
      <c r="C911" s="284"/>
      <c r="D911" s="284"/>
      <c r="E911" s="285"/>
      <c r="F911" s="230"/>
      <c r="G911" s="230"/>
      <c r="H911" s="230"/>
      <c r="I911" s="230"/>
      <c r="J911" s="339"/>
      <c r="K911" s="340"/>
      <c r="L911" s="340"/>
      <c r="M911" s="230"/>
      <c r="N911" s="230"/>
      <c r="O911" s="230"/>
      <c r="P911" s="230"/>
      <c r="Q911" s="230"/>
      <c r="R911" s="230"/>
      <c r="S911" s="230"/>
      <c r="T911" s="230"/>
      <c r="U911" s="230"/>
      <c r="V911" s="230"/>
      <c r="W911" s="230"/>
      <c r="X911" s="230"/>
      <c r="Y911" s="230"/>
      <c r="Z911" s="230"/>
    </row>
    <row r="912">
      <c r="A912" s="346"/>
      <c r="B912" s="347"/>
      <c r="C912" s="284"/>
      <c r="D912" s="284"/>
      <c r="E912" s="285"/>
      <c r="F912" s="230"/>
      <c r="G912" s="230"/>
      <c r="H912" s="230"/>
      <c r="I912" s="230"/>
      <c r="J912" s="339"/>
      <c r="K912" s="340"/>
      <c r="L912" s="340"/>
      <c r="M912" s="230"/>
      <c r="N912" s="230"/>
      <c r="O912" s="230"/>
      <c r="P912" s="230"/>
      <c r="Q912" s="230"/>
      <c r="R912" s="230"/>
      <c r="S912" s="230"/>
      <c r="T912" s="230"/>
      <c r="U912" s="230"/>
      <c r="V912" s="230"/>
      <c r="W912" s="230"/>
      <c r="X912" s="230"/>
      <c r="Y912" s="230"/>
      <c r="Z912" s="230"/>
    </row>
    <row r="913">
      <c r="A913" s="346"/>
      <c r="B913" s="347"/>
      <c r="C913" s="284"/>
      <c r="D913" s="284"/>
      <c r="E913" s="285"/>
      <c r="F913" s="230"/>
      <c r="G913" s="230"/>
      <c r="H913" s="230"/>
      <c r="I913" s="230"/>
      <c r="J913" s="339"/>
      <c r="K913" s="340"/>
      <c r="L913" s="340"/>
      <c r="M913" s="230"/>
      <c r="N913" s="230"/>
      <c r="O913" s="230"/>
      <c r="P913" s="230"/>
      <c r="Q913" s="230"/>
      <c r="R913" s="230"/>
      <c r="S913" s="230"/>
      <c r="T913" s="230"/>
      <c r="U913" s="230"/>
      <c r="V913" s="230"/>
      <c r="W913" s="230"/>
      <c r="X913" s="230"/>
      <c r="Y913" s="230"/>
      <c r="Z913" s="230"/>
    </row>
    <row r="914">
      <c r="A914" s="346"/>
      <c r="B914" s="347"/>
      <c r="C914" s="284"/>
      <c r="D914" s="284"/>
      <c r="E914" s="285"/>
      <c r="F914" s="230"/>
      <c r="G914" s="230"/>
      <c r="H914" s="230"/>
      <c r="I914" s="230"/>
      <c r="J914" s="339"/>
      <c r="K914" s="340"/>
      <c r="L914" s="340"/>
      <c r="M914" s="230"/>
      <c r="N914" s="230"/>
      <c r="O914" s="230"/>
      <c r="P914" s="230"/>
      <c r="Q914" s="230"/>
      <c r="R914" s="230"/>
      <c r="S914" s="230"/>
      <c r="T914" s="230"/>
      <c r="U914" s="230"/>
      <c r="V914" s="230"/>
      <c r="W914" s="230"/>
      <c r="X914" s="230"/>
      <c r="Y914" s="230"/>
      <c r="Z914" s="230"/>
    </row>
    <row r="915">
      <c r="A915" s="346"/>
      <c r="B915" s="347"/>
      <c r="C915" s="284"/>
      <c r="D915" s="284"/>
      <c r="E915" s="285"/>
      <c r="F915" s="230"/>
      <c r="G915" s="230"/>
      <c r="H915" s="230"/>
      <c r="I915" s="230"/>
      <c r="J915" s="339"/>
      <c r="K915" s="340"/>
      <c r="L915" s="340"/>
      <c r="M915" s="230"/>
      <c r="N915" s="230"/>
      <c r="O915" s="230"/>
      <c r="P915" s="230"/>
      <c r="Q915" s="230"/>
      <c r="R915" s="230"/>
      <c r="S915" s="230"/>
      <c r="T915" s="230"/>
      <c r="U915" s="230"/>
      <c r="V915" s="230"/>
      <c r="W915" s="230"/>
      <c r="X915" s="230"/>
      <c r="Y915" s="230"/>
      <c r="Z915" s="230"/>
    </row>
    <row r="916">
      <c r="A916" s="346"/>
      <c r="B916" s="347"/>
      <c r="C916" s="284"/>
      <c r="D916" s="284"/>
      <c r="E916" s="285"/>
      <c r="F916" s="230"/>
      <c r="G916" s="230"/>
      <c r="H916" s="230"/>
      <c r="I916" s="230"/>
      <c r="J916" s="339"/>
      <c r="K916" s="340"/>
      <c r="L916" s="340"/>
      <c r="M916" s="230"/>
      <c r="N916" s="230"/>
      <c r="O916" s="230"/>
      <c r="P916" s="230"/>
      <c r="Q916" s="230"/>
      <c r="R916" s="230"/>
      <c r="S916" s="230"/>
      <c r="T916" s="230"/>
      <c r="U916" s="230"/>
      <c r="V916" s="230"/>
      <c r="W916" s="230"/>
      <c r="X916" s="230"/>
      <c r="Y916" s="230"/>
      <c r="Z916" s="230"/>
    </row>
    <row r="917">
      <c r="A917" s="346"/>
      <c r="B917" s="347"/>
      <c r="C917" s="284"/>
      <c r="D917" s="284"/>
      <c r="E917" s="285"/>
      <c r="F917" s="230"/>
      <c r="G917" s="230"/>
      <c r="H917" s="230"/>
      <c r="I917" s="230"/>
      <c r="J917" s="339"/>
      <c r="K917" s="340"/>
      <c r="L917" s="340"/>
      <c r="M917" s="230"/>
      <c r="N917" s="230"/>
      <c r="O917" s="230"/>
      <c r="P917" s="230"/>
      <c r="Q917" s="230"/>
      <c r="R917" s="230"/>
      <c r="S917" s="230"/>
      <c r="T917" s="230"/>
      <c r="U917" s="230"/>
      <c r="V917" s="230"/>
      <c r="W917" s="230"/>
      <c r="X917" s="230"/>
      <c r="Y917" s="230"/>
      <c r="Z917" s="230"/>
    </row>
    <row r="918">
      <c r="A918" s="346"/>
      <c r="B918" s="347"/>
      <c r="C918" s="284"/>
      <c r="D918" s="284"/>
      <c r="E918" s="285"/>
      <c r="F918" s="230"/>
      <c r="G918" s="230"/>
      <c r="H918" s="230"/>
      <c r="I918" s="230"/>
      <c r="J918" s="339"/>
      <c r="K918" s="340"/>
      <c r="L918" s="340"/>
      <c r="M918" s="230"/>
      <c r="N918" s="230"/>
      <c r="O918" s="230"/>
      <c r="P918" s="230"/>
      <c r="Q918" s="230"/>
      <c r="R918" s="230"/>
      <c r="S918" s="230"/>
      <c r="T918" s="230"/>
      <c r="U918" s="230"/>
      <c r="V918" s="230"/>
      <c r="W918" s="230"/>
      <c r="X918" s="230"/>
      <c r="Y918" s="230"/>
      <c r="Z918" s="230"/>
    </row>
    <row r="919">
      <c r="A919" s="346"/>
      <c r="B919" s="347"/>
      <c r="C919" s="284"/>
      <c r="D919" s="284"/>
      <c r="E919" s="285"/>
      <c r="F919" s="230"/>
      <c r="G919" s="230"/>
      <c r="H919" s="230"/>
      <c r="I919" s="230"/>
      <c r="J919" s="339"/>
      <c r="K919" s="340"/>
      <c r="L919" s="340"/>
      <c r="M919" s="230"/>
      <c r="N919" s="230"/>
      <c r="O919" s="230"/>
      <c r="P919" s="230"/>
      <c r="Q919" s="230"/>
      <c r="R919" s="230"/>
      <c r="S919" s="230"/>
      <c r="T919" s="230"/>
      <c r="U919" s="230"/>
      <c r="V919" s="230"/>
      <c r="W919" s="230"/>
      <c r="X919" s="230"/>
      <c r="Y919" s="230"/>
      <c r="Z919" s="230"/>
    </row>
    <row r="920">
      <c r="A920" s="346"/>
      <c r="B920" s="347"/>
      <c r="C920" s="284"/>
      <c r="D920" s="284"/>
      <c r="E920" s="285"/>
      <c r="F920" s="230"/>
      <c r="G920" s="230"/>
      <c r="H920" s="230"/>
      <c r="I920" s="230"/>
      <c r="J920" s="339"/>
      <c r="K920" s="340"/>
      <c r="L920" s="340"/>
      <c r="M920" s="230"/>
      <c r="N920" s="230"/>
      <c r="O920" s="230"/>
      <c r="P920" s="230"/>
      <c r="Q920" s="230"/>
      <c r="R920" s="230"/>
      <c r="S920" s="230"/>
      <c r="T920" s="230"/>
      <c r="U920" s="230"/>
      <c r="V920" s="230"/>
      <c r="W920" s="230"/>
      <c r="X920" s="230"/>
      <c r="Y920" s="230"/>
      <c r="Z920" s="230"/>
    </row>
    <row r="921">
      <c r="A921" s="346"/>
      <c r="B921" s="347"/>
      <c r="C921" s="284"/>
      <c r="D921" s="284"/>
      <c r="E921" s="285"/>
      <c r="F921" s="230"/>
      <c r="G921" s="230"/>
      <c r="H921" s="230"/>
      <c r="I921" s="230"/>
      <c r="J921" s="339"/>
      <c r="K921" s="340"/>
      <c r="L921" s="340"/>
      <c r="M921" s="230"/>
      <c r="N921" s="230"/>
      <c r="O921" s="230"/>
      <c r="P921" s="230"/>
      <c r="Q921" s="230"/>
      <c r="R921" s="230"/>
      <c r="S921" s="230"/>
      <c r="T921" s="230"/>
      <c r="U921" s="230"/>
      <c r="V921" s="230"/>
      <c r="W921" s="230"/>
      <c r="X921" s="230"/>
      <c r="Y921" s="230"/>
      <c r="Z921" s="230"/>
    </row>
    <row r="922">
      <c r="A922" s="346"/>
      <c r="B922" s="347"/>
      <c r="C922" s="284"/>
      <c r="D922" s="284"/>
      <c r="E922" s="285"/>
      <c r="F922" s="230"/>
      <c r="G922" s="230"/>
      <c r="H922" s="230"/>
      <c r="I922" s="230"/>
      <c r="J922" s="339"/>
      <c r="K922" s="340"/>
      <c r="L922" s="340"/>
      <c r="M922" s="230"/>
      <c r="N922" s="230"/>
      <c r="O922" s="230"/>
      <c r="P922" s="230"/>
      <c r="Q922" s="230"/>
      <c r="R922" s="230"/>
      <c r="S922" s="230"/>
      <c r="T922" s="230"/>
      <c r="U922" s="230"/>
      <c r="V922" s="230"/>
      <c r="W922" s="230"/>
      <c r="X922" s="230"/>
      <c r="Y922" s="230"/>
      <c r="Z922" s="230"/>
    </row>
    <row r="923">
      <c r="A923" s="346"/>
      <c r="B923" s="347"/>
      <c r="C923" s="284"/>
      <c r="D923" s="284"/>
      <c r="E923" s="285"/>
      <c r="F923" s="230"/>
      <c r="G923" s="230"/>
      <c r="H923" s="230"/>
      <c r="I923" s="230"/>
      <c r="J923" s="339"/>
      <c r="K923" s="340"/>
      <c r="L923" s="340"/>
      <c r="M923" s="230"/>
      <c r="N923" s="230"/>
      <c r="O923" s="230"/>
      <c r="P923" s="230"/>
      <c r="Q923" s="230"/>
      <c r="R923" s="230"/>
      <c r="S923" s="230"/>
      <c r="T923" s="230"/>
      <c r="U923" s="230"/>
      <c r="V923" s="230"/>
      <c r="W923" s="230"/>
      <c r="X923" s="230"/>
      <c r="Y923" s="230"/>
      <c r="Z923" s="230"/>
    </row>
    <row r="924">
      <c r="A924" s="346"/>
      <c r="B924" s="347"/>
      <c r="C924" s="284"/>
      <c r="D924" s="284"/>
      <c r="E924" s="285"/>
      <c r="F924" s="230"/>
      <c r="G924" s="230"/>
      <c r="H924" s="230"/>
      <c r="I924" s="230"/>
      <c r="J924" s="339"/>
      <c r="K924" s="340"/>
      <c r="L924" s="340"/>
      <c r="M924" s="230"/>
      <c r="N924" s="230"/>
      <c r="O924" s="230"/>
      <c r="P924" s="230"/>
      <c r="Q924" s="230"/>
      <c r="R924" s="230"/>
      <c r="S924" s="230"/>
      <c r="T924" s="230"/>
      <c r="U924" s="230"/>
      <c r="V924" s="230"/>
      <c r="W924" s="230"/>
      <c r="X924" s="230"/>
      <c r="Y924" s="230"/>
      <c r="Z924" s="230"/>
    </row>
    <row r="925">
      <c r="A925" s="346"/>
      <c r="B925" s="347"/>
      <c r="C925" s="284"/>
      <c r="D925" s="284"/>
      <c r="E925" s="285"/>
      <c r="F925" s="230"/>
      <c r="G925" s="230"/>
      <c r="H925" s="230"/>
      <c r="I925" s="230"/>
      <c r="J925" s="339"/>
      <c r="K925" s="340"/>
      <c r="L925" s="340"/>
      <c r="M925" s="230"/>
      <c r="N925" s="230"/>
      <c r="O925" s="230"/>
      <c r="P925" s="230"/>
      <c r="Q925" s="230"/>
      <c r="R925" s="230"/>
      <c r="S925" s="230"/>
      <c r="T925" s="230"/>
      <c r="U925" s="230"/>
      <c r="V925" s="230"/>
      <c r="W925" s="230"/>
      <c r="X925" s="230"/>
      <c r="Y925" s="230"/>
      <c r="Z925" s="230"/>
    </row>
    <row r="926">
      <c r="A926" s="346"/>
      <c r="B926" s="347"/>
      <c r="C926" s="284"/>
      <c r="D926" s="284"/>
      <c r="E926" s="285"/>
      <c r="F926" s="230"/>
      <c r="G926" s="230"/>
      <c r="H926" s="230"/>
      <c r="I926" s="230"/>
      <c r="J926" s="339"/>
      <c r="K926" s="340"/>
      <c r="L926" s="340"/>
      <c r="M926" s="230"/>
      <c r="N926" s="230"/>
      <c r="O926" s="230"/>
      <c r="P926" s="230"/>
      <c r="Q926" s="230"/>
      <c r="R926" s="230"/>
      <c r="S926" s="230"/>
      <c r="T926" s="230"/>
      <c r="U926" s="230"/>
      <c r="V926" s="230"/>
      <c r="W926" s="230"/>
      <c r="X926" s="230"/>
      <c r="Y926" s="230"/>
      <c r="Z926" s="230"/>
    </row>
    <row r="927">
      <c r="A927" s="346"/>
      <c r="B927" s="347"/>
      <c r="C927" s="284"/>
      <c r="D927" s="284"/>
      <c r="E927" s="285"/>
      <c r="F927" s="230"/>
      <c r="G927" s="230"/>
      <c r="H927" s="230"/>
      <c r="I927" s="230"/>
      <c r="J927" s="339"/>
      <c r="K927" s="340"/>
      <c r="L927" s="340"/>
      <c r="M927" s="230"/>
      <c r="N927" s="230"/>
      <c r="O927" s="230"/>
      <c r="P927" s="230"/>
      <c r="Q927" s="230"/>
      <c r="R927" s="230"/>
      <c r="S927" s="230"/>
      <c r="T927" s="230"/>
      <c r="U927" s="230"/>
      <c r="V927" s="230"/>
      <c r="W927" s="230"/>
      <c r="X927" s="230"/>
      <c r="Y927" s="230"/>
      <c r="Z927" s="230"/>
    </row>
    <row r="928">
      <c r="A928" s="346"/>
      <c r="B928" s="347"/>
      <c r="C928" s="284"/>
      <c r="D928" s="284"/>
      <c r="E928" s="285"/>
      <c r="F928" s="230"/>
      <c r="G928" s="230"/>
      <c r="H928" s="230"/>
      <c r="I928" s="230"/>
      <c r="J928" s="339"/>
      <c r="K928" s="340"/>
      <c r="L928" s="340"/>
      <c r="M928" s="230"/>
      <c r="N928" s="230"/>
      <c r="O928" s="230"/>
      <c r="P928" s="230"/>
      <c r="Q928" s="230"/>
      <c r="R928" s="230"/>
      <c r="S928" s="230"/>
      <c r="T928" s="230"/>
      <c r="U928" s="230"/>
      <c r="V928" s="230"/>
      <c r="W928" s="230"/>
      <c r="X928" s="230"/>
      <c r="Y928" s="230"/>
      <c r="Z928" s="230"/>
    </row>
    <row r="929">
      <c r="A929" s="346"/>
      <c r="B929" s="347"/>
      <c r="C929" s="284"/>
      <c r="D929" s="284"/>
      <c r="E929" s="285"/>
      <c r="F929" s="230"/>
      <c r="G929" s="230"/>
      <c r="H929" s="230"/>
      <c r="I929" s="230"/>
      <c r="J929" s="339"/>
      <c r="K929" s="340"/>
      <c r="L929" s="340"/>
      <c r="M929" s="230"/>
      <c r="N929" s="230"/>
      <c r="O929" s="230"/>
      <c r="P929" s="230"/>
      <c r="Q929" s="230"/>
      <c r="R929" s="230"/>
      <c r="S929" s="230"/>
      <c r="T929" s="230"/>
      <c r="U929" s="230"/>
      <c r="V929" s="230"/>
      <c r="W929" s="230"/>
      <c r="X929" s="230"/>
      <c r="Y929" s="230"/>
      <c r="Z929" s="230"/>
    </row>
    <row r="930">
      <c r="A930" s="346"/>
      <c r="B930" s="347"/>
      <c r="C930" s="284"/>
      <c r="D930" s="284"/>
      <c r="E930" s="285"/>
      <c r="F930" s="230"/>
      <c r="G930" s="230"/>
      <c r="H930" s="230"/>
      <c r="I930" s="230"/>
      <c r="J930" s="339"/>
      <c r="K930" s="340"/>
      <c r="L930" s="340"/>
      <c r="M930" s="230"/>
      <c r="N930" s="230"/>
      <c r="O930" s="230"/>
      <c r="P930" s="230"/>
      <c r="Q930" s="230"/>
      <c r="R930" s="230"/>
      <c r="S930" s="230"/>
      <c r="T930" s="230"/>
      <c r="U930" s="230"/>
      <c r="V930" s="230"/>
      <c r="W930" s="230"/>
      <c r="X930" s="230"/>
      <c r="Y930" s="230"/>
      <c r="Z930" s="230"/>
    </row>
    <row r="931">
      <c r="A931" s="346"/>
      <c r="B931" s="347"/>
      <c r="C931" s="284"/>
      <c r="D931" s="284"/>
      <c r="E931" s="285"/>
      <c r="F931" s="230"/>
      <c r="G931" s="230"/>
      <c r="H931" s="230"/>
      <c r="I931" s="230"/>
      <c r="J931" s="339"/>
      <c r="K931" s="340"/>
      <c r="L931" s="340"/>
      <c r="M931" s="230"/>
      <c r="N931" s="230"/>
      <c r="O931" s="230"/>
      <c r="P931" s="230"/>
      <c r="Q931" s="230"/>
      <c r="R931" s="230"/>
      <c r="S931" s="230"/>
      <c r="T931" s="230"/>
      <c r="U931" s="230"/>
      <c r="V931" s="230"/>
      <c r="W931" s="230"/>
      <c r="X931" s="230"/>
      <c r="Y931" s="230"/>
      <c r="Z931" s="230"/>
    </row>
    <row r="932">
      <c r="A932" s="346"/>
      <c r="B932" s="347"/>
      <c r="C932" s="284"/>
      <c r="D932" s="284"/>
      <c r="E932" s="285"/>
      <c r="F932" s="230"/>
      <c r="G932" s="230"/>
      <c r="H932" s="230"/>
      <c r="I932" s="230"/>
      <c r="J932" s="339"/>
      <c r="K932" s="340"/>
      <c r="L932" s="340"/>
      <c r="M932" s="230"/>
      <c r="N932" s="230"/>
      <c r="O932" s="230"/>
      <c r="P932" s="230"/>
      <c r="Q932" s="230"/>
      <c r="R932" s="230"/>
      <c r="S932" s="230"/>
      <c r="T932" s="230"/>
      <c r="U932" s="230"/>
      <c r="V932" s="230"/>
      <c r="W932" s="230"/>
      <c r="X932" s="230"/>
      <c r="Y932" s="230"/>
      <c r="Z932" s="230"/>
    </row>
    <row r="933">
      <c r="A933" s="346"/>
      <c r="B933" s="347"/>
      <c r="C933" s="284"/>
      <c r="D933" s="284"/>
      <c r="E933" s="285"/>
      <c r="F933" s="230"/>
      <c r="G933" s="230"/>
      <c r="H933" s="230"/>
      <c r="I933" s="230"/>
      <c r="J933" s="339"/>
      <c r="K933" s="340"/>
      <c r="L933" s="340"/>
      <c r="M933" s="230"/>
      <c r="N933" s="230"/>
      <c r="O933" s="230"/>
      <c r="P933" s="230"/>
      <c r="Q933" s="230"/>
      <c r="R933" s="230"/>
      <c r="S933" s="230"/>
      <c r="T933" s="230"/>
      <c r="U933" s="230"/>
      <c r="V933" s="230"/>
      <c r="W933" s="230"/>
      <c r="X933" s="230"/>
      <c r="Y933" s="230"/>
      <c r="Z933" s="230"/>
    </row>
    <row r="934">
      <c r="A934" s="346"/>
      <c r="B934" s="347"/>
      <c r="C934" s="284"/>
      <c r="D934" s="284"/>
      <c r="E934" s="285"/>
      <c r="F934" s="230"/>
      <c r="G934" s="230"/>
      <c r="H934" s="230"/>
      <c r="I934" s="230"/>
      <c r="J934" s="339"/>
      <c r="K934" s="340"/>
      <c r="L934" s="340"/>
      <c r="M934" s="230"/>
      <c r="N934" s="230"/>
      <c r="O934" s="230"/>
      <c r="P934" s="230"/>
      <c r="Q934" s="230"/>
      <c r="R934" s="230"/>
      <c r="S934" s="230"/>
      <c r="T934" s="230"/>
      <c r="U934" s="230"/>
      <c r="V934" s="230"/>
      <c r="W934" s="230"/>
      <c r="X934" s="230"/>
      <c r="Y934" s="230"/>
      <c r="Z934" s="230"/>
    </row>
    <row r="935">
      <c r="A935" s="346"/>
      <c r="B935" s="347"/>
      <c r="C935" s="284"/>
      <c r="D935" s="284"/>
      <c r="E935" s="285"/>
      <c r="F935" s="230"/>
      <c r="G935" s="230"/>
      <c r="H935" s="230"/>
      <c r="I935" s="230"/>
      <c r="J935" s="339"/>
      <c r="K935" s="340"/>
      <c r="L935" s="340"/>
      <c r="M935" s="230"/>
      <c r="N935" s="230"/>
      <c r="O935" s="230"/>
      <c r="P935" s="230"/>
      <c r="Q935" s="230"/>
      <c r="R935" s="230"/>
      <c r="S935" s="230"/>
      <c r="T935" s="230"/>
      <c r="U935" s="230"/>
      <c r="V935" s="230"/>
      <c r="W935" s="230"/>
      <c r="X935" s="230"/>
      <c r="Y935" s="230"/>
      <c r="Z935" s="230"/>
    </row>
    <row r="936">
      <c r="A936" s="346"/>
      <c r="B936" s="347"/>
      <c r="C936" s="284"/>
      <c r="D936" s="284"/>
      <c r="E936" s="285"/>
      <c r="F936" s="230"/>
      <c r="G936" s="230"/>
      <c r="H936" s="230"/>
      <c r="I936" s="230"/>
      <c r="J936" s="339"/>
      <c r="K936" s="340"/>
      <c r="L936" s="340"/>
      <c r="M936" s="230"/>
      <c r="N936" s="230"/>
      <c r="O936" s="230"/>
      <c r="P936" s="230"/>
      <c r="Q936" s="230"/>
      <c r="R936" s="230"/>
      <c r="S936" s="230"/>
      <c r="T936" s="230"/>
      <c r="U936" s="230"/>
      <c r="V936" s="230"/>
      <c r="W936" s="230"/>
      <c r="X936" s="230"/>
      <c r="Y936" s="230"/>
      <c r="Z936" s="230"/>
    </row>
    <row r="937">
      <c r="A937" s="346"/>
      <c r="B937" s="347"/>
      <c r="C937" s="284"/>
      <c r="D937" s="284"/>
      <c r="E937" s="285"/>
      <c r="F937" s="230"/>
      <c r="G937" s="230"/>
      <c r="H937" s="230"/>
      <c r="I937" s="230"/>
      <c r="J937" s="339"/>
      <c r="K937" s="340"/>
      <c r="L937" s="340"/>
      <c r="M937" s="230"/>
      <c r="N937" s="230"/>
      <c r="O937" s="230"/>
      <c r="P937" s="230"/>
      <c r="Q937" s="230"/>
      <c r="R937" s="230"/>
      <c r="S937" s="230"/>
      <c r="T937" s="230"/>
      <c r="U937" s="230"/>
      <c r="V937" s="230"/>
      <c r="W937" s="230"/>
      <c r="X937" s="230"/>
      <c r="Y937" s="230"/>
      <c r="Z937" s="230"/>
    </row>
    <row r="938">
      <c r="A938" s="346"/>
      <c r="B938" s="347"/>
      <c r="C938" s="284"/>
      <c r="D938" s="284"/>
      <c r="E938" s="285"/>
      <c r="F938" s="230"/>
      <c r="G938" s="230"/>
      <c r="H938" s="230"/>
      <c r="I938" s="230"/>
      <c r="J938" s="339"/>
      <c r="K938" s="340"/>
      <c r="L938" s="340"/>
      <c r="M938" s="230"/>
      <c r="N938" s="230"/>
      <c r="O938" s="230"/>
      <c r="P938" s="230"/>
      <c r="Q938" s="230"/>
      <c r="R938" s="230"/>
      <c r="S938" s="230"/>
      <c r="T938" s="230"/>
      <c r="U938" s="230"/>
      <c r="V938" s="230"/>
      <c r="W938" s="230"/>
      <c r="X938" s="230"/>
      <c r="Y938" s="230"/>
      <c r="Z938" s="230"/>
    </row>
    <row r="939">
      <c r="A939" s="346"/>
      <c r="B939" s="347"/>
      <c r="C939" s="284"/>
      <c r="D939" s="284"/>
      <c r="E939" s="285"/>
      <c r="F939" s="230"/>
      <c r="G939" s="230"/>
      <c r="H939" s="230"/>
      <c r="I939" s="230"/>
      <c r="J939" s="339"/>
      <c r="K939" s="340"/>
      <c r="L939" s="340"/>
      <c r="M939" s="230"/>
      <c r="N939" s="230"/>
      <c r="O939" s="230"/>
      <c r="P939" s="230"/>
      <c r="Q939" s="230"/>
      <c r="R939" s="230"/>
      <c r="S939" s="230"/>
      <c r="T939" s="230"/>
      <c r="U939" s="230"/>
      <c r="V939" s="230"/>
      <c r="W939" s="230"/>
      <c r="X939" s="230"/>
      <c r="Y939" s="230"/>
      <c r="Z939" s="230"/>
    </row>
    <row r="940">
      <c r="A940" s="346"/>
      <c r="B940" s="347"/>
      <c r="C940" s="284"/>
      <c r="D940" s="284"/>
      <c r="E940" s="285"/>
      <c r="F940" s="230"/>
      <c r="G940" s="230"/>
      <c r="H940" s="230"/>
      <c r="I940" s="230"/>
      <c r="J940" s="339"/>
      <c r="K940" s="340"/>
      <c r="L940" s="340"/>
      <c r="M940" s="230"/>
      <c r="N940" s="230"/>
      <c r="O940" s="230"/>
      <c r="P940" s="230"/>
      <c r="Q940" s="230"/>
      <c r="R940" s="230"/>
      <c r="S940" s="230"/>
      <c r="T940" s="230"/>
      <c r="U940" s="230"/>
      <c r="V940" s="230"/>
      <c r="W940" s="230"/>
      <c r="X940" s="230"/>
      <c r="Y940" s="230"/>
      <c r="Z940" s="230"/>
    </row>
    <row r="941">
      <c r="A941" s="346"/>
      <c r="B941" s="347"/>
      <c r="C941" s="284"/>
      <c r="D941" s="284"/>
      <c r="E941" s="285"/>
      <c r="F941" s="230"/>
      <c r="G941" s="230"/>
      <c r="H941" s="230"/>
      <c r="I941" s="230"/>
      <c r="J941" s="339"/>
      <c r="K941" s="340"/>
      <c r="L941" s="340"/>
      <c r="M941" s="230"/>
      <c r="N941" s="230"/>
      <c r="O941" s="230"/>
      <c r="P941" s="230"/>
      <c r="Q941" s="230"/>
      <c r="R941" s="230"/>
      <c r="S941" s="230"/>
      <c r="T941" s="230"/>
      <c r="U941" s="230"/>
      <c r="V941" s="230"/>
      <c r="W941" s="230"/>
      <c r="X941" s="230"/>
      <c r="Y941" s="230"/>
      <c r="Z941" s="230"/>
    </row>
    <row r="942">
      <c r="A942" s="346"/>
      <c r="B942" s="347"/>
      <c r="C942" s="284"/>
      <c r="D942" s="284"/>
      <c r="E942" s="285"/>
      <c r="F942" s="230"/>
      <c r="G942" s="230"/>
      <c r="H942" s="230"/>
      <c r="I942" s="230"/>
      <c r="J942" s="339"/>
      <c r="K942" s="340"/>
      <c r="L942" s="340"/>
      <c r="M942" s="230"/>
      <c r="N942" s="230"/>
      <c r="O942" s="230"/>
      <c r="P942" s="230"/>
      <c r="Q942" s="230"/>
      <c r="R942" s="230"/>
      <c r="S942" s="230"/>
      <c r="T942" s="230"/>
      <c r="U942" s="230"/>
      <c r="V942" s="230"/>
      <c r="W942" s="230"/>
      <c r="X942" s="230"/>
      <c r="Y942" s="230"/>
      <c r="Z942" s="230"/>
    </row>
    <row r="943">
      <c r="A943" s="346"/>
      <c r="B943" s="347"/>
      <c r="C943" s="284"/>
      <c r="D943" s="284"/>
      <c r="E943" s="285"/>
      <c r="F943" s="230"/>
      <c r="G943" s="230"/>
      <c r="H943" s="230"/>
      <c r="I943" s="230"/>
      <c r="J943" s="339"/>
      <c r="K943" s="340"/>
      <c r="L943" s="340"/>
      <c r="M943" s="230"/>
      <c r="N943" s="230"/>
      <c r="O943" s="230"/>
      <c r="P943" s="230"/>
      <c r="Q943" s="230"/>
      <c r="R943" s="230"/>
      <c r="S943" s="230"/>
      <c r="T943" s="230"/>
      <c r="U943" s="230"/>
      <c r="V943" s="230"/>
      <c r="W943" s="230"/>
      <c r="X943" s="230"/>
      <c r="Y943" s="230"/>
      <c r="Z943" s="230"/>
    </row>
    <row r="944">
      <c r="A944" s="346"/>
      <c r="B944" s="347"/>
      <c r="C944" s="284"/>
      <c r="D944" s="284"/>
      <c r="E944" s="285"/>
      <c r="F944" s="230"/>
      <c r="G944" s="230"/>
      <c r="H944" s="230"/>
      <c r="I944" s="230"/>
      <c r="J944" s="339"/>
      <c r="K944" s="340"/>
      <c r="L944" s="340"/>
      <c r="M944" s="230"/>
      <c r="N944" s="230"/>
      <c r="O944" s="230"/>
      <c r="P944" s="230"/>
      <c r="Q944" s="230"/>
      <c r="R944" s="230"/>
      <c r="S944" s="230"/>
      <c r="T944" s="230"/>
      <c r="U944" s="230"/>
      <c r="V944" s="230"/>
      <c r="W944" s="230"/>
      <c r="X944" s="230"/>
      <c r="Y944" s="230"/>
      <c r="Z944" s="230"/>
    </row>
    <row r="945">
      <c r="A945" s="346"/>
      <c r="B945" s="347"/>
      <c r="C945" s="284"/>
      <c r="D945" s="284"/>
      <c r="E945" s="285"/>
      <c r="F945" s="230"/>
      <c r="G945" s="230"/>
      <c r="H945" s="230"/>
      <c r="I945" s="230"/>
      <c r="J945" s="339"/>
      <c r="K945" s="340"/>
      <c r="L945" s="340"/>
      <c r="M945" s="230"/>
      <c r="N945" s="230"/>
      <c r="O945" s="230"/>
      <c r="P945" s="230"/>
      <c r="Q945" s="230"/>
      <c r="R945" s="230"/>
      <c r="S945" s="230"/>
      <c r="T945" s="230"/>
      <c r="U945" s="230"/>
      <c r="V945" s="230"/>
      <c r="W945" s="230"/>
      <c r="X945" s="230"/>
      <c r="Y945" s="230"/>
      <c r="Z945" s="230"/>
    </row>
    <row r="946">
      <c r="A946" s="346"/>
      <c r="B946" s="347"/>
      <c r="C946" s="284"/>
      <c r="D946" s="284"/>
      <c r="E946" s="285"/>
      <c r="F946" s="230"/>
      <c r="G946" s="230"/>
      <c r="H946" s="230"/>
      <c r="I946" s="230"/>
      <c r="J946" s="339"/>
      <c r="K946" s="340"/>
      <c r="L946" s="340"/>
      <c r="M946" s="230"/>
      <c r="N946" s="230"/>
      <c r="O946" s="230"/>
      <c r="P946" s="230"/>
      <c r="Q946" s="230"/>
      <c r="R946" s="230"/>
      <c r="S946" s="230"/>
      <c r="T946" s="230"/>
      <c r="U946" s="230"/>
      <c r="V946" s="230"/>
      <c r="W946" s="230"/>
      <c r="X946" s="230"/>
      <c r="Y946" s="230"/>
      <c r="Z946" s="230"/>
    </row>
    <row r="947">
      <c r="A947" s="346"/>
      <c r="B947" s="347"/>
      <c r="C947" s="284"/>
      <c r="D947" s="284"/>
      <c r="E947" s="285"/>
      <c r="F947" s="230"/>
      <c r="G947" s="230"/>
      <c r="H947" s="230"/>
      <c r="I947" s="230"/>
      <c r="J947" s="339"/>
      <c r="K947" s="340"/>
      <c r="L947" s="340"/>
      <c r="M947" s="230"/>
      <c r="N947" s="230"/>
      <c r="O947" s="230"/>
      <c r="P947" s="230"/>
      <c r="Q947" s="230"/>
      <c r="R947" s="230"/>
      <c r="S947" s="230"/>
      <c r="T947" s="230"/>
      <c r="U947" s="230"/>
      <c r="V947" s="230"/>
      <c r="W947" s="230"/>
      <c r="X947" s="230"/>
      <c r="Y947" s="230"/>
      <c r="Z947" s="230"/>
    </row>
    <row r="948">
      <c r="A948" s="346"/>
      <c r="B948" s="347"/>
      <c r="C948" s="284"/>
      <c r="D948" s="284"/>
      <c r="E948" s="285"/>
      <c r="F948" s="230"/>
      <c r="G948" s="230"/>
      <c r="H948" s="230"/>
      <c r="I948" s="230"/>
      <c r="J948" s="339"/>
      <c r="K948" s="340"/>
      <c r="L948" s="340"/>
      <c r="M948" s="230"/>
      <c r="N948" s="230"/>
      <c r="O948" s="230"/>
      <c r="P948" s="230"/>
      <c r="Q948" s="230"/>
      <c r="R948" s="230"/>
      <c r="S948" s="230"/>
      <c r="T948" s="230"/>
      <c r="U948" s="230"/>
      <c r="V948" s="230"/>
      <c r="W948" s="230"/>
      <c r="X948" s="230"/>
      <c r="Y948" s="230"/>
      <c r="Z948" s="230"/>
    </row>
    <row r="949">
      <c r="A949" s="346"/>
      <c r="B949" s="347"/>
      <c r="C949" s="284"/>
      <c r="D949" s="284"/>
      <c r="E949" s="285"/>
      <c r="F949" s="230"/>
      <c r="G949" s="230"/>
      <c r="H949" s="230"/>
      <c r="I949" s="230"/>
      <c r="J949" s="339"/>
      <c r="K949" s="340"/>
      <c r="L949" s="340"/>
      <c r="M949" s="230"/>
      <c r="N949" s="230"/>
      <c r="O949" s="230"/>
      <c r="P949" s="230"/>
      <c r="Q949" s="230"/>
      <c r="R949" s="230"/>
      <c r="S949" s="230"/>
      <c r="T949" s="230"/>
      <c r="U949" s="230"/>
      <c r="V949" s="230"/>
      <c r="W949" s="230"/>
      <c r="X949" s="230"/>
      <c r="Y949" s="230"/>
      <c r="Z949" s="230"/>
    </row>
    <row r="950">
      <c r="A950" s="346"/>
      <c r="B950" s="347"/>
      <c r="C950" s="284"/>
      <c r="D950" s="284"/>
      <c r="E950" s="285"/>
      <c r="F950" s="230"/>
      <c r="G950" s="230"/>
      <c r="H950" s="230"/>
      <c r="I950" s="230"/>
      <c r="J950" s="339"/>
      <c r="K950" s="340"/>
      <c r="L950" s="340"/>
      <c r="M950" s="230"/>
      <c r="N950" s="230"/>
      <c r="O950" s="230"/>
      <c r="P950" s="230"/>
      <c r="Q950" s="230"/>
      <c r="R950" s="230"/>
      <c r="S950" s="230"/>
      <c r="T950" s="230"/>
      <c r="U950" s="230"/>
      <c r="V950" s="230"/>
      <c r="W950" s="230"/>
      <c r="X950" s="230"/>
      <c r="Y950" s="230"/>
      <c r="Z950" s="230"/>
    </row>
    <row r="951">
      <c r="A951" s="346"/>
      <c r="B951" s="347"/>
      <c r="C951" s="284"/>
      <c r="D951" s="284"/>
      <c r="E951" s="285"/>
      <c r="F951" s="230"/>
      <c r="G951" s="230"/>
      <c r="H951" s="230"/>
      <c r="I951" s="230"/>
      <c r="J951" s="339"/>
      <c r="K951" s="340"/>
      <c r="L951" s="340"/>
      <c r="M951" s="230"/>
      <c r="N951" s="230"/>
      <c r="O951" s="230"/>
      <c r="P951" s="230"/>
      <c r="Q951" s="230"/>
      <c r="R951" s="230"/>
      <c r="S951" s="230"/>
      <c r="T951" s="230"/>
      <c r="U951" s="230"/>
      <c r="V951" s="230"/>
      <c r="W951" s="230"/>
      <c r="X951" s="230"/>
      <c r="Y951" s="230"/>
      <c r="Z951" s="230"/>
    </row>
    <row r="952">
      <c r="A952" s="346"/>
      <c r="B952" s="347"/>
      <c r="C952" s="284"/>
      <c r="D952" s="284"/>
      <c r="E952" s="285"/>
      <c r="F952" s="230"/>
      <c r="G952" s="230"/>
      <c r="H952" s="230"/>
      <c r="I952" s="230"/>
      <c r="J952" s="339"/>
      <c r="K952" s="340"/>
      <c r="L952" s="340"/>
      <c r="M952" s="230"/>
      <c r="N952" s="230"/>
      <c r="O952" s="230"/>
      <c r="P952" s="230"/>
      <c r="Q952" s="230"/>
      <c r="R952" s="230"/>
      <c r="S952" s="230"/>
      <c r="T952" s="230"/>
      <c r="U952" s="230"/>
      <c r="V952" s="230"/>
      <c r="W952" s="230"/>
      <c r="X952" s="230"/>
      <c r="Y952" s="230"/>
      <c r="Z952" s="230"/>
    </row>
    <row r="953">
      <c r="A953" s="346"/>
      <c r="B953" s="347"/>
      <c r="C953" s="284"/>
      <c r="D953" s="284"/>
      <c r="E953" s="285"/>
      <c r="F953" s="230"/>
      <c r="G953" s="230"/>
      <c r="H953" s="230"/>
      <c r="I953" s="230"/>
      <c r="J953" s="339"/>
      <c r="K953" s="340"/>
      <c r="L953" s="340"/>
      <c r="M953" s="230"/>
      <c r="N953" s="230"/>
      <c r="O953" s="230"/>
      <c r="P953" s="230"/>
      <c r="Q953" s="230"/>
      <c r="R953" s="230"/>
      <c r="S953" s="230"/>
      <c r="T953" s="230"/>
      <c r="U953" s="230"/>
      <c r="V953" s="230"/>
      <c r="W953" s="230"/>
      <c r="X953" s="230"/>
      <c r="Y953" s="230"/>
      <c r="Z953" s="230"/>
    </row>
    <row r="954">
      <c r="A954" s="346"/>
      <c r="B954" s="347"/>
      <c r="C954" s="284"/>
      <c r="D954" s="284"/>
      <c r="E954" s="285"/>
      <c r="F954" s="230"/>
      <c r="G954" s="230"/>
      <c r="H954" s="230"/>
      <c r="I954" s="230"/>
      <c r="J954" s="339"/>
      <c r="K954" s="340"/>
      <c r="L954" s="340"/>
      <c r="M954" s="230"/>
      <c r="N954" s="230"/>
      <c r="O954" s="230"/>
      <c r="P954" s="230"/>
      <c r="Q954" s="230"/>
      <c r="R954" s="230"/>
      <c r="S954" s="230"/>
      <c r="T954" s="230"/>
      <c r="U954" s="230"/>
      <c r="V954" s="230"/>
      <c r="W954" s="230"/>
      <c r="X954" s="230"/>
      <c r="Y954" s="230"/>
      <c r="Z954" s="230"/>
    </row>
    <row r="955">
      <c r="A955" s="346"/>
      <c r="B955" s="347"/>
      <c r="C955" s="284"/>
      <c r="D955" s="284"/>
      <c r="E955" s="285"/>
      <c r="F955" s="230"/>
      <c r="G955" s="230"/>
      <c r="H955" s="230"/>
      <c r="I955" s="230"/>
      <c r="J955" s="339"/>
      <c r="K955" s="340"/>
      <c r="L955" s="340"/>
      <c r="M955" s="230"/>
      <c r="N955" s="230"/>
      <c r="O955" s="230"/>
      <c r="P955" s="230"/>
      <c r="Q955" s="230"/>
      <c r="R955" s="230"/>
      <c r="S955" s="230"/>
      <c r="T955" s="230"/>
      <c r="U955" s="230"/>
      <c r="V955" s="230"/>
      <c r="W955" s="230"/>
      <c r="X955" s="230"/>
      <c r="Y955" s="230"/>
      <c r="Z955" s="230"/>
    </row>
    <row r="956">
      <c r="A956" s="346"/>
      <c r="B956" s="347"/>
      <c r="C956" s="284"/>
      <c r="D956" s="284"/>
      <c r="E956" s="285"/>
      <c r="F956" s="230"/>
      <c r="G956" s="230"/>
      <c r="H956" s="230"/>
      <c r="I956" s="230"/>
      <c r="J956" s="339"/>
      <c r="K956" s="340"/>
      <c r="L956" s="340"/>
      <c r="M956" s="230"/>
      <c r="N956" s="230"/>
      <c r="O956" s="230"/>
      <c r="P956" s="230"/>
      <c r="Q956" s="230"/>
      <c r="R956" s="230"/>
      <c r="S956" s="230"/>
      <c r="T956" s="230"/>
      <c r="U956" s="230"/>
      <c r="V956" s="230"/>
      <c r="W956" s="230"/>
      <c r="X956" s="230"/>
      <c r="Y956" s="230"/>
      <c r="Z956" s="230"/>
    </row>
    <row r="957">
      <c r="A957" s="346"/>
      <c r="B957" s="347"/>
      <c r="C957" s="284"/>
      <c r="D957" s="284"/>
      <c r="E957" s="285"/>
      <c r="F957" s="230"/>
      <c r="G957" s="230"/>
      <c r="H957" s="230"/>
      <c r="I957" s="230"/>
      <c r="J957" s="339"/>
      <c r="K957" s="340"/>
      <c r="L957" s="340"/>
      <c r="M957" s="230"/>
      <c r="N957" s="230"/>
      <c r="O957" s="230"/>
      <c r="P957" s="230"/>
      <c r="Q957" s="230"/>
      <c r="R957" s="230"/>
      <c r="S957" s="230"/>
      <c r="T957" s="230"/>
      <c r="U957" s="230"/>
      <c r="V957" s="230"/>
      <c r="W957" s="230"/>
      <c r="X957" s="230"/>
      <c r="Y957" s="230"/>
      <c r="Z957" s="230"/>
    </row>
    <row r="958">
      <c r="A958" s="346"/>
      <c r="B958" s="347"/>
      <c r="C958" s="284"/>
      <c r="D958" s="284"/>
      <c r="E958" s="285"/>
      <c r="F958" s="230"/>
      <c r="G958" s="230"/>
      <c r="H958" s="230"/>
      <c r="I958" s="230"/>
      <c r="J958" s="339"/>
      <c r="K958" s="340"/>
      <c r="L958" s="340"/>
      <c r="M958" s="230"/>
      <c r="N958" s="230"/>
      <c r="O958" s="230"/>
      <c r="P958" s="230"/>
      <c r="Q958" s="230"/>
      <c r="R958" s="230"/>
      <c r="S958" s="230"/>
      <c r="T958" s="230"/>
      <c r="U958" s="230"/>
      <c r="V958" s="230"/>
      <c r="W958" s="230"/>
      <c r="X958" s="230"/>
      <c r="Y958" s="230"/>
      <c r="Z958" s="230"/>
    </row>
    <row r="959">
      <c r="A959" s="346"/>
      <c r="B959" s="347"/>
      <c r="C959" s="284"/>
      <c r="D959" s="284"/>
      <c r="E959" s="285"/>
      <c r="F959" s="230"/>
      <c r="G959" s="230"/>
      <c r="H959" s="230"/>
      <c r="I959" s="230"/>
      <c r="J959" s="339"/>
      <c r="K959" s="340"/>
      <c r="L959" s="340"/>
      <c r="M959" s="230"/>
      <c r="N959" s="230"/>
      <c r="O959" s="230"/>
      <c r="P959" s="230"/>
      <c r="Q959" s="230"/>
      <c r="R959" s="230"/>
      <c r="S959" s="230"/>
      <c r="T959" s="230"/>
      <c r="U959" s="230"/>
      <c r="V959" s="230"/>
      <c r="W959" s="230"/>
      <c r="X959" s="230"/>
      <c r="Y959" s="230"/>
      <c r="Z959" s="230"/>
    </row>
    <row r="960">
      <c r="A960" s="346"/>
      <c r="B960" s="347"/>
      <c r="C960" s="284"/>
      <c r="D960" s="284"/>
      <c r="E960" s="285"/>
      <c r="F960" s="230"/>
      <c r="G960" s="230"/>
      <c r="H960" s="230"/>
      <c r="I960" s="230"/>
      <c r="J960" s="339"/>
      <c r="K960" s="340"/>
      <c r="L960" s="340"/>
      <c r="M960" s="230"/>
      <c r="N960" s="230"/>
      <c r="O960" s="230"/>
      <c r="P960" s="230"/>
      <c r="Q960" s="230"/>
      <c r="R960" s="230"/>
      <c r="S960" s="230"/>
      <c r="T960" s="230"/>
      <c r="U960" s="230"/>
      <c r="V960" s="230"/>
      <c r="W960" s="230"/>
      <c r="X960" s="230"/>
      <c r="Y960" s="230"/>
      <c r="Z960" s="230"/>
    </row>
    <row r="961">
      <c r="A961" s="346"/>
      <c r="B961" s="347"/>
      <c r="C961" s="284"/>
      <c r="D961" s="284"/>
      <c r="E961" s="285"/>
      <c r="F961" s="230"/>
      <c r="G961" s="230"/>
      <c r="H961" s="230"/>
      <c r="I961" s="230"/>
      <c r="J961" s="339"/>
      <c r="K961" s="340"/>
      <c r="L961" s="340"/>
      <c r="M961" s="230"/>
      <c r="N961" s="230"/>
      <c r="O961" s="230"/>
      <c r="P961" s="230"/>
      <c r="Q961" s="230"/>
      <c r="R961" s="230"/>
      <c r="S961" s="230"/>
      <c r="T961" s="230"/>
      <c r="U961" s="230"/>
      <c r="V961" s="230"/>
      <c r="W961" s="230"/>
      <c r="X961" s="230"/>
      <c r="Y961" s="230"/>
      <c r="Z961" s="230"/>
    </row>
    <row r="962">
      <c r="A962" s="346"/>
      <c r="B962" s="347"/>
      <c r="C962" s="284"/>
      <c r="D962" s="284"/>
      <c r="E962" s="285"/>
      <c r="F962" s="230"/>
      <c r="G962" s="230"/>
      <c r="H962" s="230"/>
      <c r="I962" s="230"/>
      <c r="J962" s="339"/>
      <c r="K962" s="340"/>
      <c r="L962" s="340"/>
      <c r="M962" s="230"/>
      <c r="N962" s="230"/>
      <c r="O962" s="230"/>
      <c r="P962" s="230"/>
      <c r="Q962" s="230"/>
      <c r="R962" s="230"/>
      <c r="S962" s="230"/>
      <c r="T962" s="230"/>
      <c r="U962" s="230"/>
      <c r="V962" s="230"/>
      <c r="W962" s="230"/>
      <c r="X962" s="230"/>
      <c r="Y962" s="230"/>
      <c r="Z962" s="230"/>
    </row>
    <row r="963">
      <c r="A963" s="346"/>
      <c r="B963" s="347"/>
      <c r="C963" s="284"/>
      <c r="D963" s="284"/>
      <c r="E963" s="285"/>
      <c r="F963" s="230"/>
      <c r="G963" s="230"/>
      <c r="H963" s="230"/>
      <c r="I963" s="230"/>
      <c r="J963" s="339"/>
      <c r="K963" s="340"/>
      <c r="L963" s="340"/>
      <c r="M963" s="230"/>
      <c r="N963" s="230"/>
      <c r="O963" s="230"/>
      <c r="P963" s="230"/>
      <c r="Q963" s="230"/>
      <c r="R963" s="230"/>
      <c r="S963" s="230"/>
      <c r="T963" s="230"/>
      <c r="U963" s="230"/>
      <c r="V963" s="230"/>
      <c r="W963" s="230"/>
      <c r="X963" s="230"/>
      <c r="Y963" s="230"/>
      <c r="Z963" s="230"/>
    </row>
    <row r="964">
      <c r="A964" s="346"/>
      <c r="B964" s="347"/>
      <c r="C964" s="284"/>
      <c r="D964" s="284"/>
      <c r="E964" s="285"/>
      <c r="F964" s="230"/>
      <c r="G964" s="230"/>
      <c r="H964" s="230"/>
      <c r="I964" s="230"/>
      <c r="J964" s="339"/>
      <c r="K964" s="340"/>
      <c r="L964" s="340"/>
      <c r="M964" s="230"/>
      <c r="N964" s="230"/>
      <c r="O964" s="230"/>
      <c r="P964" s="230"/>
      <c r="Q964" s="230"/>
      <c r="R964" s="230"/>
      <c r="S964" s="230"/>
      <c r="T964" s="230"/>
      <c r="U964" s="230"/>
      <c r="V964" s="230"/>
      <c r="W964" s="230"/>
      <c r="X964" s="230"/>
      <c r="Y964" s="230"/>
      <c r="Z964" s="230"/>
    </row>
    <row r="965">
      <c r="A965" s="346"/>
      <c r="B965" s="347"/>
      <c r="C965" s="284"/>
      <c r="D965" s="284"/>
      <c r="E965" s="285"/>
      <c r="F965" s="230"/>
      <c r="G965" s="230"/>
      <c r="H965" s="230"/>
      <c r="I965" s="230"/>
      <c r="J965" s="339"/>
      <c r="K965" s="340"/>
      <c r="L965" s="340"/>
      <c r="M965" s="230"/>
      <c r="N965" s="230"/>
      <c r="O965" s="230"/>
      <c r="P965" s="230"/>
      <c r="Q965" s="230"/>
      <c r="R965" s="230"/>
      <c r="S965" s="230"/>
      <c r="T965" s="230"/>
      <c r="U965" s="230"/>
      <c r="V965" s="230"/>
      <c r="W965" s="230"/>
      <c r="X965" s="230"/>
      <c r="Y965" s="230"/>
      <c r="Z965" s="230"/>
    </row>
    <row r="966">
      <c r="A966" s="346"/>
      <c r="B966" s="347"/>
      <c r="C966" s="284"/>
      <c r="D966" s="284"/>
      <c r="E966" s="285"/>
      <c r="F966" s="230"/>
      <c r="G966" s="230"/>
      <c r="H966" s="230"/>
      <c r="I966" s="230"/>
      <c r="J966" s="339"/>
      <c r="K966" s="340"/>
      <c r="L966" s="340"/>
      <c r="M966" s="230"/>
      <c r="N966" s="230"/>
      <c r="O966" s="230"/>
      <c r="P966" s="230"/>
      <c r="Q966" s="230"/>
      <c r="R966" s="230"/>
      <c r="S966" s="230"/>
      <c r="T966" s="230"/>
      <c r="U966" s="230"/>
      <c r="V966" s="230"/>
      <c r="W966" s="230"/>
      <c r="X966" s="230"/>
      <c r="Y966" s="230"/>
      <c r="Z966" s="230"/>
    </row>
    <row r="967">
      <c r="A967" s="346"/>
      <c r="B967" s="347"/>
      <c r="C967" s="284"/>
      <c r="D967" s="284"/>
      <c r="E967" s="285"/>
      <c r="F967" s="230"/>
      <c r="G967" s="230"/>
      <c r="H967" s="230"/>
      <c r="I967" s="230"/>
      <c r="J967" s="339"/>
      <c r="K967" s="340"/>
      <c r="L967" s="340"/>
      <c r="M967" s="230"/>
      <c r="N967" s="230"/>
      <c r="O967" s="230"/>
      <c r="P967" s="230"/>
      <c r="Q967" s="230"/>
      <c r="R967" s="230"/>
      <c r="S967" s="230"/>
      <c r="T967" s="230"/>
      <c r="U967" s="230"/>
      <c r="V967" s="230"/>
      <c r="W967" s="230"/>
      <c r="X967" s="230"/>
      <c r="Y967" s="230"/>
      <c r="Z967" s="230"/>
    </row>
    <row r="968">
      <c r="A968" s="346"/>
      <c r="B968" s="347"/>
      <c r="C968" s="284"/>
      <c r="D968" s="284"/>
      <c r="E968" s="285"/>
      <c r="F968" s="230"/>
      <c r="G968" s="230"/>
      <c r="H968" s="230"/>
      <c r="I968" s="230"/>
      <c r="J968" s="339"/>
      <c r="K968" s="340"/>
      <c r="L968" s="340"/>
      <c r="M968" s="230"/>
      <c r="N968" s="230"/>
      <c r="O968" s="230"/>
      <c r="P968" s="230"/>
      <c r="Q968" s="230"/>
      <c r="R968" s="230"/>
      <c r="S968" s="230"/>
      <c r="T968" s="230"/>
      <c r="U968" s="230"/>
      <c r="V968" s="230"/>
      <c r="W968" s="230"/>
      <c r="X968" s="230"/>
      <c r="Y968" s="230"/>
      <c r="Z968" s="230"/>
    </row>
    <row r="969">
      <c r="A969" s="346"/>
      <c r="B969" s="347"/>
      <c r="C969" s="284"/>
      <c r="D969" s="284"/>
      <c r="E969" s="285"/>
      <c r="F969" s="230"/>
      <c r="G969" s="230"/>
      <c r="H969" s="230"/>
      <c r="I969" s="230"/>
      <c r="J969" s="339"/>
      <c r="K969" s="340"/>
      <c r="L969" s="340"/>
      <c r="M969" s="230"/>
      <c r="N969" s="230"/>
      <c r="O969" s="230"/>
      <c r="P969" s="230"/>
      <c r="Q969" s="230"/>
      <c r="R969" s="230"/>
      <c r="S969" s="230"/>
      <c r="T969" s="230"/>
      <c r="U969" s="230"/>
      <c r="V969" s="230"/>
      <c r="W969" s="230"/>
      <c r="X969" s="230"/>
      <c r="Y969" s="230"/>
      <c r="Z969" s="230"/>
    </row>
    <row r="970">
      <c r="A970" s="346"/>
      <c r="B970" s="347"/>
      <c r="C970" s="284"/>
      <c r="D970" s="284"/>
      <c r="E970" s="285"/>
      <c r="F970" s="230"/>
      <c r="G970" s="230"/>
      <c r="H970" s="230"/>
      <c r="I970" s="230"/>
      <c r="J970" s="339"/>
      <c r="K970" s="340"/>
      <c r="L970" s="340"/>
      <c r="M970" s="230"/>
      <c r="N970" s="230"/>
      <c r="O970" s="230"/>
      <c r="P970" s="230"/>
      <c r="Q970" s="230"/>
      <c r="R970" s="230"/>
      <c r="S970" s="230"/>
      <c r="T970" s="230"/>
      <c r="U970" s="230"/>
      <c r="V970" s="230"/>
      <c r="W970" s="230"/>
      <c r="X970" s="230"/>
      <c r="Y970" s="230"/>
      <c r="Z970" s="230"/>
    </row>
    <row r="971">
      <c r="A971" s="346"/>
      <c r="B971" s="347"/>
      <c r="C971" s="284"/>
      <c r="D971" s="284"/>
      <c r="E971" s="285"/>
      <c r="F971" s="230"/>
      <c r="G971" s="230"/>
      <c r="H971" s="230"/>
      <c r="I971" s="230"/>
      <c r="J971" s="339"/>
      <c r="K971" s="340"/>
      <c r="L971" s="340"/>
      <c r="M971" s="230"/>
      <c r="N971" s="230"/>
      <c r="O971" s="230"/>
      <c r="P971" s="230"/>
      <c r="Q971" s="230"/>
      <c r="R971" s="230"/>
      <c r="S971" s="230"/>
      <c r="T971" s="230"/>
      <c r="U971" s="230"/>
      <c r="V971" s="230"/>
      <c r="W971" s="230"/>
      <c r="X971" s="230"/>
      <c r="Y971" s="230"/>
      <c r="Z971" s="230"/>
    </row>
    <row r="972">
      <c r="A972" s="346"/>
      <c r="B972" s="347"/>
      <c r="C972" s="284"/>
      <c r="D972" s="284"/>
      <c r="E972" s="285"/>
      <c r="F972" s="230"/>
      <c r="G972" s="230"/>
      <c r="H972" s="230"/>
      <c r="I972" s="230"/>
      <c r="J972" s="339"/>
      <c r="K972" s="340"/>
      <c r="L972" s="340"/>
      <c r="M972" s="230"/>
      <c r="N972" s="230"/>
      <c r="O972" s="230"/>
      <c r="P972" s="230"/>
      <c r="Q972" s="230"/>
      <c r="R972" s="230"/>
      <c r="S972" s="230"/>
      <c r="T972" s="230"/>
      <c r="U972" s="230"/>
      <c r="V972" s="230"/>
      <c r="W972" s="230"/>
      <c r="X972" s="230"/>
      <c r="Y972" s="230"/>
      <c r="Z972" s="230"/>
    </row>
    <row r="973">
      <c r="A973" s="346"/>
      <c r="B973" s="347"/>
      <c r="C973" s="284"/>
      <c r="D973" s="284"/>
      <c r="E973" s="285"/>
      <c r="F973" s="230"/>
      <c r="G973" s="230"/>
      <c r="H973" s="230"/>
      <c r="I973" s="230"/>
      <c r="J973" s="339"/>
      <c r="K973" s="340"/>
      <c r="L973" s="340"/>
      <c r="M973" s="230"/>
      <c r="N973" s="230"/>
      <c r="O973" s="230"/>
      <c r="P973" s="230"/>
      <c r="Q973" s="230"/>
      <c r="R973" s="230"/>
      <c r="S973" s="230"/>
      <c r="T973" s="230"/>
      <c r="U973" s="230"/>
      <c r="V973" s="230"/>
      <c r="W973" s="230"/>
      <c r="X973" s="230"/>
      <c r="Y973" s="230"/>
      <c r="Z973" s="230"/>
    </row>
    <row r="974">
      <c r="A974" s="346"/>
      <c r="B974" s="347"/>
      <c r="C974" s="284"/>
      <c r="D974" s="284"/>
      <c r="E974" s="285"/>
      <c r="F974" s="230"/>
      <c r="G974" s="230"/>
      <c r="H974" s="230"/>
      <c r="I974" s="230"/>
      <c r="J974" s="339"/>
      <c r="K974" s="340"/>
      <c r="L974" s="340"/>
      <c r="M974" s="230"/>
      <c r="N974" s="230"/>
      <c r="O974" s="230"/>
      <c r="P974" s="230"/>
      <c r="Q974" s="230"/>
      <c r="R974" s="230"/>
      <c r="S974" s="230"/>
      <c r="T974" s="230"/>
      <c r="U974" s="230"/>
      <c r="V974" s="230"/>
      <c r="W974" s="230"/>
      <c r="X974" s="230"/>
      <c r="Y974" s="230"/>
      <c r="Z974" s="230"/>
    </row>
    <row r="975">
      <c r="A975" s="346"/>
      <c r="B975" s="347"/>
      <c r="C975" s="284"/>
      <c r="D975" s="284"/>
      <c r="E975" s="285"/>
      <c r="F975" s="230"/>
      <c r="G975" s="230"/>
      <c r="H975" s="230"/>
      <c r="I975" s="230"/>
      <c r="J975" s="339"/>
      <c r="K975" s="340"/>
      <c r="L975" s="340"/>
      <c r="M975" s="230"/>
      <c r="N975" s="230"/>
      <c r="O975" s="230"/>
      <c r="P975" s="230"/>
      <c r="Q975" s="230"/>
      <c r="R975" s="230"/>
      <c r="S975" s="230"/>
      <c r="T975" s="230"/>
      <c r="U975" s="230"/>
      <c r="V975" s="230"/>
      <c r="W975" s="230"/>
      <c r="X975" s="230"/>
      <c r="Y975" s="230"/>
      <c r="Z975" s="230"/>
    </row>
    <row r="976">
      <c r="A976" s="346"/>
      <c r="B976" s="347"/>
      <c r="C976" s="284"/>
      <c r="D976" s="284"/>
      <c r="E976" s="285"/>
      <c r="F976" s="230"/>
      <c r="G976" s="230"/>
      <c r="H976" s="230"/>
      <c r="I976" s="230"/>
      <c r="J976" s="339"/>
      <c r="K976" s="340"/>
      <c r="L976" s="340"/>
      <c r="M976" s="230"/>
      <c r="N976" s="230"/>
      <c r="O976" s="230"/>
      <c r="P976" s="230"/>
      <c r="Q976" s="230"/>
      <c r="R976" s="230"/>
      <c r="S976" s="230"/>
      <c r="T976" s="230"/>
      <c r="U976" s="230"/>
      <c r="V976" s="230"/>
      <c r="W976" s="230"/>
      <c r="X976" s="230"/>
      <c r="Y976" s="230"/>
      <c r="Z976" s="230"/>
    </row>
    <row r="977">
      <c r="A977" s="346"/>
      <c r="B977" s="347"/>
      <c r="C977" s="284"/>
      <c r="D977" s="284"/>
      <c r="E977" s="285"/>
      <c r="F977" s="230"/>
      <c r="G977" s="230"/>
      <c r="H977" s="230"/>
      <c r="I977" s="230"/>
      <c r="J977" s="339"/>
      <c r="K977" s="340"/>
      <c r="L977" s="340"/>
      <c r="M977" s="230"/>
      <c r="N977" s="230"/>
      <c r="O977" s="230"/>
      <c r="P977" s="230"/>
      <c r="Q977" s="230"/>
      <c r="R977" s="230"/>
      <c r="S977" s="230"/>
      <c r="T977" s="230"/>
      <c r="U977" s="230"/>
      <c r="V977" s="230"/>
      <c r="W977" s="230"/>
      <c r="X977" s="230"/>
      <c r="Y977" s="230"/>
      <c r="Z977" s="230"/>
    </row>
    <row r="978">
      <c r="A978" s="346"/>
      <c r="B978" s="347"/>
      <c r="C978" s="284"/>
      <c r="D978" s="284"/>
      <c r="E978" s="285"/>
      <c r="F978" s="230"/>
      <c r="G978" s="230"/>
      <c r="H978" s="230"/>
      <c r="I978" s="230"/>
      <c r="J978" s="339"/>
      <c r="K978" s="340"/>
      <c r="L978" s="340"/>
      <c r="M978" s="230"/>
      <c r="N978" s="230"/>
      <c r="O978" s="230"/>
      <c r="P978" s="230"/>
      <c r="Q978" s="230"/>
      <c r="R978" s="230"/>
      <c r="S978" s="230"/>
      <c r="T978" s="230"/>
      <c r="U978" s="230"/>
      <c r="V978" s="230"/>
      <c r="W978" s="230"/>
      <c r="X978" s="230"/>
      <c r="Y978" s="230"/>
      <c r="Z978" s="230"/>
    </row>
    <row r="979">
      <c r="A979" s="346"/>
      <c r="B979" s="347"/>
      <c r="C979" s="284"/>
      <c r="D979" s="284"/>
      <c r="E979" s="285"/>
      <c r="F979" s="230"/>
      <c r="G979" s="230"/>
      <c r="H979" s="230"/>
      <c r="I979" s="230"/>
      <c r="J979" s="339"/>
      <c r="K979" s="340"/>
      <c r="L979" s="340"/>
      <c r="M979" s="230"/>
      <c r="N979" s="230"/>
      <c r="O979" s="230"/>
      <c r="P979" s="230"/>
      <c r="Q979" s="230"/>
      <c r="R979" s="230"/>
      <c r="S979" s="230"/>
      <c r="T979" s="230"/>
      <c r="U979" s="230"/>
      <c r="V979" s="230"/>
      <c r="W979" s="230"/>
      <c r="X979" s="230"/>
      <c r="Y979" s="230"/>
      <c r="Z979" s="230"/>
    </row>
    <row r="980">
      <c r="A980" s="346"/>
      <c r="B980" s="347"/>
      <c r="C980" s="284"/>
      <c r="D980" s="284"/>
      <c r="E980" s="285"/>
      <c r="F980" s="230"/>
      <c r="G980" s="230"/>
      <c r="H980" s="230"/>
      <c r="I980" s="230"/>
      <c r="J980" s="339"/>
      <c r="K980" s="340"/>
      <c r="L980" s="340"/>
      <c r="M980" s="230"/>
      <c r="N980" s="230"/>
      <c r="O980" s="230"/>
      <c r="P980" s="230"/>
      <c r="Q980" s="230"/>
      <c r="R980" s="230"/>
      <c r="S980" s="230"/>
      <c r="T980" s="230"/>
      <c r="U980" s="230"/>
      <c r="V980" s="230"/>
      <c r="W980" s="230"/>
      <c r="X980" s="230"/>
      <c r="Y980" s="230"/>
      <c r="Z980" s="230"/>
    </row>
    <row r="981">
      <c r="A981" s="346"/>
      <c r="B981" s="347"/>
      <c r="C981" s="284"/>
      <c r="D981" s="284"/>
      <c r="E981" s="285"/>
      <c r="F981" s="230"/>
      <c r="G981" s="230"/>
      <c r="H981" s="230"/>
      <c r="I981" s="230"/>
      <c r="J981" s="339"/>
      <c r="K981" s="340"/>
      <c r="L981" s="340"/>
      <c r="M981" s="230"/>
      <c r="N981" s="230"/>
      <c r="O981" s="230"/>
      <c r="P981" s="230"/>
      <c r="Q981" s="230"/>
      <c r="R981" s="230"/>
      <c r="S981" s="230"/>
      <c r="T981" s="230"/>
      <c r="U981" s="230"/>
      <c r="V981" s="230"/>
      <c r="W981" s="230"/>
      <c r="X981" s="230"/>
      <c r="Y981" s="230"/>
      <c r="Z981" s="230"/>
    </row>
    <row r="982">
      <c r="A982" s="346"/>
      <c r="B982" s="347"/>
      <c r="C982" s="284"/>
      <c r="D982" s="284"/>
      <c r="E982" s="285"/>
      <c r="F982" s="230"/>
      <c r="G982" s="230"/>
      <c r="H982" s="230"/>
      <c r="I982" s="230"/>
      <c r="J982" s="339"/>
      <c r="K982" s="340"/>
      <c r="L982" s="340"/>
      <c r="M982" s="230"/>
      <c r="N982" s="230"/>
      <c r="O982" s="230"/>
      <c r="P982" s="230"/>
      <c r="Q982" s="230"/>
      <c r="R982" s="230"/>
      <c r="S982" s="230"/>
      <c r="T982" s="230"/>
      <c r="U982" s="230"/>
      <c r="V982" s="230"/>
      <c r="W982" s="230"/>
      <c r="X982" s="230"/>
      <c r="Y982" s="230"/>
      <c r="Z982" s="230"/>
    </row>
    <row r="983">
      <c r="A983" s="346"/>
      <c r="B983" s="347"/>
      <c r="C983" s="284"/>
      <c r="D983" s="284"/>
      <c r="E983" s="285"/>
      <c r="F983" s="230"/>
      <c r="G983" s="230"/>
      <c r="H983" s="230"/>
      <c r="I983" s="230"/>
      <c r="J983" s="339"/>
      <c r="K983" s="340"/>
      <c r="L983" s="340"/>
      <c r="M983" s="230"/>
      <c r="N983" s="230"/>
      <c r="O983" s="230"/>
      <c r="P983" s="230"/>
      <c r="Q983" s="230"/>
      <c r="R983" s="230"/>
      <c r="S983" s="230"/>
      <c r="T983" s="230"/>
      <c r="U983" s="230"/>
      <c r="V983" s="230"/>
      <c r="W983" s="230"/>
      <c r="X983" s="230"/>
      <c r="Y983" s="230"/>
      <c r="Z983" s="230"/>
    </row>
    <row r="984">
      <c r="A984" s="346"/>
      <c r="B984" s="347"/>
      <c r="C984" s="284"/>
      <c r="D984" s="284"/>
      <c r="E984" s="285"/>
      <c r="F984" s="230"/>
      <c r="G984" s="230"/>
      <c r="H984" s="230"/>
      <c r="I984" s="230"/>
      <c r="J984" s="339"/>
      <c r="K984" s="340"/>
      <c r="L984" s="340"/>
      <c r="M984" s="230"/>
      <c r="N984" s="230"/>
      <c r="O984" s="230"/>
      <c r="P984" s="230"/>
      <c r="Q984" s="230"/>
      <c r="R984" s="230"/>
      <c r="S984" s="230"/>
      <c r="T984" s="230"/>
      <c r="U984" s="230"/>
      <c r="V984" s="230"/>
      <c r="W984" s="230"/>
      <c r="X984" s="230"/>
      <c r="Y984" s="230"/>
      <c r="Z984" s="230"/>
    </row>
    <row r="985">
      <c r="A985" s="346"/>
      <c r="B985" s="347"/>
      <c r="C985" s="284"/>
      <c r="D985" s="284"/>
      <c r="E985" s="285"/>
      <c r="F985" s="230"/>
      <c r="G985" s="230"/>
      <c r="H985" s="230"/>
      <c r="I985" s="230"/>
      <c r="J985" s="339"/>
      <c r="K985" s="340"/>
      <c r="L985" s="340"/>
      <c r="M985" s="230"/>
      <c r="N985" s="230"/>
      <c r="O985" s="230"/>
      <c r="P985" s="230"/>
      <c r="Q985" s="230"/>
      <c r="R985" s="230"/>
      <c r="S985" s="230"/>
      <c r="T985" s="230"/>
      <c r="U985" s="230"/>
      <c r="V985" s="230"/>
      <c r="W985" s="230"/>
      <c r="X985" s="230"/>
      <c r="Y985" s="230"/>
      <c r="Z985" s="230"/>
    </row>
    <row r="986">
      <c r="A986" s="346"/>
      <c r="B986" s="347"/>
      <c r="C986" s="284"/>
      <c r="D986" s="284"/>
      <c r="E986" s="285"/>
      <c r="F986" s="230"/>
      <c r="G986" s="230"/>
      <c r="H986" s="230"/>
      <c r="I986" s="230"/>
      <c r="J986" s="339"/>
      <c r="K986" s="340"/>
      <c r="L986" s="340"/>
      <c r="M986" s="230"/>
      <c r="N986" s="230"/>
      <c r="O986" s="230"/>
      <c r="P986" s="230"/>
      <c r="Q986" s="230"/>
      <c r="R986" s="230"/>
      <c r="S986" s="230"/>
      <c r="T986" s="230"/>
      <c r="U986" s="230"/>
      <c r="V986" s="230"/>
      <c r="W986" s="230"/>
      <c r="X986" s="230"/>
      <c r="Y986" s="230"/>
      <c r="Z986" s="230"/>
    </row>
    <row r="987">
      <c r="A987" s="346"/>
      <c r="B987" s="347"/>
      <c r="C987" s="284"/>
      <c r="D987" s="284"/>
      <c r="E987" s="285"/>
      <c r="F987" s="230"/>
      <c r="G987" s="230"/>
      <c r="H987" s="230"/>
      <c r="I987" s="230"/>
      <c r="J987" s="339"/>
      <c r="K987" s="340"/>
      <c r="L987" s="340"/>
      <c r="M987" s="230"/>
      <c r="N987" s="230"/>
      <c r="O987" s="230"/>
      <c r="P987" s="230"/>
      <c r="Q987" s="230"/>
      <c r="R987" s="230"/>
      <c r="S987" s="230"/>
      <c r="T987" s="230"/>
      <c r="U987" s="230"/>
      <c r="V987" s="230"/>
      <c r="W987" s="230"/>
      <c r="X987" s="230"/>
      <c r="Y987" s="230"/>
      <c r="Z987" s="230"/>
    </row>
    <row r="988">
      <c r="A988" s="346"/>
      <c r="B988" s="347"/>
      <c r="C988" s="284"/>
      <c r="D988" s="284"/>
      <c r="E988" s="285"/>
      <c r="F988" s="230"/>
      <c r="G988" s="230"/>
      <c r="H988" s="230"/>
      <c r="I988" s="230"/>
      <c r="J988" s="339"/>
      <c r="K988" s="340"/>
      <c r="L988" s="340"/>
      <c r="M988" s="230"/>
      <c r="N988" s="230"/>
      <c r="O988" s="230"/>
      <c r="P988" s="230"/>
      <c r="Q988" s="230"/>
      <c r="R988" s="230"/>
      <c r="S988" s="230"/>
      <c r="T988" s="230"/>
      <c r="U988" s="230"/>
      <c r="V988" s="230"/>
      <c r="W988" s="230"/>
      <c r="X988" s="230"/>
      <c r="Y988" s="230"/>
      <c r="Z988" s="230"/>
    </row>
    <row r="989">
      <c r="A989" s="346"/>
      <c r="B989" s="347"/>
      <c r="C989" s="284"/>
      <c r="D989" s="284"/>
      <c r="E989" s="285"/>
      <c r="F989" s="230"/>
      <c r="G989" s="230"/>
      <c r="H989" s="230"/>
      <c r="I989" s="230"/>
      <c r="J989" s="339"/>
      <c r="K989" s="340"/>
      <c r="L989" s="340"/>
      <c r="M989" s="230"/>
      <c r="N989" s="230"/>
      <c r="O989" s="230"/>
      <c r="P989" s="230"/>
      <c r="Q989" s="230"/>
      <c r="R989" s="230"/>
      <c r="S989" s="230"/>
      <c r="T989" s="230"/>
      <c r="U989" s="230"/>
      <c r="V989" s="230"/>
      <c r="W989" s="230"/>
      <c r="X989" s="230"/>
      <c r="Y989" s="230"/>
      <c r="Z989" s="230"/>
    </row>
    <row r="990">
      <c r="A990" s="346"/>
      <c r="B990" s="347"/>
      <c r="C990" s="284"/>
      <c r="D990" s="284"/>
      <c r="E990" s="285"/>
      <c r="F990" s="230"/>
      <c r="G990" s="230"/>
      <c r="H990" s="230"/>
      <c r="I990" s="230"/>
      <c r="J990" s="339"/>
      <c r="K990" s="340"/>
      <c r="L990" s="340"/>
      <c r="M990" s="230"/>
      <c r="N990" s="230"/>
      <c r="O990" s="230"/>
      <c r="P990" s="230"/>
      <c r="Q990" s="230"/>
      <c r="R990" s="230"/>
      <c r="S990" s="230"/>
      <c r="T990" s="230"/>
      <c r="U990" s="230"/>
      <c r="V990" s="230"/>
      <c r="W990" s="230"/>
      <c r="X990" s="230"/>
      <c r="Y990" s="230"/>
      <c r="Z990" s="230"/>
    </row>
    <row r="991">
      <c r="A991" s="230"/>
      <c r="B991" s="230"/>
      <c r="C991" s="230"/>
      <c r="D991" s="230"/>
      <c r="E991" s="230"/>
      <c r="F991" s="230"/>
      <c r="G991" s="230"/>
      <c r="H991" s="230"/>
      <c r="I991" s="230"/>
      <c r="J991" s="340"/>
      <c r="K991" s="340"/>
      <c r="L991" s="340"/>
      <c r="M991" s="230"/>
      <c r="N991" s="230"/>
      <c r="O991" s="230"/>
      <c r="P991" s="230"/>
      <c r="Q991" s="230"/>
      <c r="R991" s="230"/>
      <c r="S991" s="230"/>
      <c r="T991" s="230"/>
      <c r="U991" s="230"/>
      <c r="V991" s="230"/>
      <c r="W991" s="230"/>
      <c r="X991" s="230"/>
      <c r="Y991" s="230"/>
      <c r="Z991" s="230"/>
    </row>
    <row r="992">
      <c r="A992" s="230"/>
      <c r="B992" s="230"/>
      <c r="C992" s="230"/>
      <c r="D992" s="230"/>
      <c r="E992" s="230"/>
      <c r="F992" s="230"/>
      <c r="G992" s="230"/>
      <c r="H992" s="230"/>
      <c r="I992" s="230"/>
      <c r="J992" s="340"/>
      <c r="K992" s="340"/>
      <c r="L992" s="340"/>
      <c r="M992" s="230"/>
      <c r="N992" s="230"/>
      <c r="O992" s="230"/>
      <c r="P992" s="230"/>
      <c r="Q992" s="230"/>
      <c r="R992" s="230"/>
      <c r="S992" s="230"/>
      <c r="T992" s="230"/>
      <c r="U992" s="230"/>
      <c r="V992" s="230"/>
      <c r="W992" s="230"/>
      <c r="X992" s="230"/>
      <c r="Y992" s="230"/>
      <c r="Z992" s="230"/>
    </row>
    <row r="993">
      <c r="A993" s="230"/>
      <c r="B993" s="230"/>
      <c r="C993" s="230"/>
      <c r="D993" s="230"/>
      <c r="E993" s="230"/>
      <c r="F993" s="230"/>
      <c r="G993" s="230"/>
      <c r="H993" s="230"/>
      <c r="I993" s="230"/>
      <c r="J993" s="340"/>
      <c r="K993" s="340"/>
      <c r="L993" s="340"/>
      <c r="M993" s="230"/>
      <c r="N993" s="230"/>
      <c r="O993" s="230"/>
      <c r="P993" s="230"/>
      <c r="Q993" s="230"/>
      <c r="R993" s="230"/>
      <c r="S993" s="230"/>
      <c r="T993" s="230"/>
      <c r="U993" s="230"/>
      <c r="V993" s="230"/>
      <c r="W993" s="230"/>
      <c r="X993" s="230"/>
      <c r="Y993" s="230"/>
      <c r="Z993" s="230"/>
    </row>
    <row r="994">
      <c r="A994" s="230"/>
      <c r="B994" s="230"/>
      <c r="C994" s="230"/>
      <c r="D994" s="230"/>
      <c r="E994" s="230"/>
      <c r="F994" s="230"/>
      <c r="G994" s="230"/>
      <c r="H994" s="230"/>
      <c r="I994" s="230"/>
      <c r="J994" s="340"/>
      <c r="K994" s="340"/>
      <c r="L994" s="340"/>
      <c r="M994" s="230"/>
      <c r="N994" s="230"/>
      <c r="O994" s="230"/>
      <c r="P994" s="230"/>
      <c r="Q994" s="230"/>
      <c r="R994" s="230"/>
      <c r="S994" s="230"/>
      <c r="T994" s="230"/>
      <c r="U994" s="230"/>
      <c r="V994" s="230"/>
      <c r="W994" s="230"/>
      <c r="X994" s="230"/>
      <c r="Y994" s="230"/>
      <c r="Z994" s="230"/>
    </row>
    <row r="995">
      <c r="A995" s="230"/>
      <c r="B995" s="230"/>
      <c r="C995" s="230"/>
      <c r="D995" s="230"/>
      <c r="E995" s="230"/>
      <c r="F995" s="230"/>
      <c r="G995" s="230"/>
      <c r="H995" s="230"/>
      <c r="I995" s="230"/>
      <c r="J995" s="340"/>
      <c r="K995" s="340"/>
      <c r="L995" s="340"/>
      <c r="M995" s="230"/>
      <c r="N995" s="230"/>
      <c r="O995" s="230"/>
      <c r="P995" s="230"/>
      <c r="Q995" s="230"/>
      <c r="R995" s="230"/>
      <c r="S995" s="230"/>
      <c r="T995" s="230"/>
      <c r="U995" s="230"/>
      <c r="V995" s="230"/>
      <c r="W995" s="230"/>
      <c r="X995" s="230"/>
      <c r="Y995" s="230"/>
      <c r="Z995" s="230"/>
    </row>
    <row r="996">
      <c r="A996" s="230"/>
      <c r="B996" s="230"/>
      <c r="C996" s="230"/>
      <c r="D996" s="230"/>
      <c r="E996" s="230"/>
      <c r="F996" s="230"/>
      <c r="G996" s="230"/>
      <c r="H996" s="230"/>
      <c r="I996" s="230"/>
      <c r="J996" s="340"/>
      <c r="K996" s="340"/>
      <c r="L996" s="340"/>
      <c r="M996" s="230"/>
      <c r="N996" s="230"/>
      <c r="O996" s="230"/>
      <c r="P996" s="230"/>
      <c r="Q996" s="230"/>
      <c r="R996" s="230"/>
      <c r="S996" s="230"/>
      <c r="T996" s="230"/>
      <c r="U996" s="230"/>
      <c r="V996" s="230"/>
      <c r="W996" s="230"/>
      <c r="X996" s="230"/>
      <c r="Y996" s="230"/>
      <c r="Z996" s="230"/>
    </row>
    <row r="997">
      <c r="A997" s="230"/>
      <c r="B997" s="230"/>
      <c r="C997" s="230"/>
      <c r="D997" s="230"/>
      <c r="E997" s="230"/>
      <c r="F997" s="230"/>
      <c r="G997" s="230"/>
      <c r="H997" s="230"/>
      <c r="I997" s="230"/>
      <c r="J997" s="340"/>
      <c r="K997" s="340"/>
      <c r="L997" s="340"/>
      <c r="M997" s="230"/>
      <c r="N997" s="230"/>
      <c r="O997" s="230"/>
      <c r="P997" s="230"/>
      <c r="Q997" s="230"/>
      <c r="R997" s="230"/>
      <c r="S997" s="230"/>
      <c r="T997" s="230"/>
      <c r="U997" s="230"/>
      <c r="V997" s="230"/>
      <c r="W997" s="230"/>
      <c r="X997" s="230"/>
      <c r="Y997" s="230"/>
      <c r="Z997" s="230"/>
    </row>
    <row r="998">
      <c r="A998" s="230"/>
      <c r="B998" s="230"/>
      <c r="C998" s="230"/>
      <c r="D998" s="230"/>
      <c r="E998" s="230"/>
      <c r="F998" s="230"/>
      <c r="G998" s="230"/>
      <c r="H998" s="230"/>
      <c r="I998" s="230"/>
      <c r="J998" s="340"/>
      <c r="K998" s="340"/>
      <c r="L998" s="340"/>
      <c r="M998" s="230"/>
      <c r="N998" s="230"/>
      <c r="O998" s="230"/>
      <c r="P998" s="230"/>
      <c r="Q998" s="230"/>
      <c r="R998" s="230"/>
      <c r="S998" s="230"/>
      <c r="T998" s="230"/>
      <c r="U998" s="230"/>
      <c r="V998" s="230"/>
      <c r="W998" s="230"/>
      <c r="X998" s="230"/>
      <c r="Y998" s="230"/>
      <c r="Z998" s="230"/>
    </row>
    <row r="999">
      <c r="A999" s="230"/>
      <c r="B999" s="230"/>
      <c r="C999" s="230"/>
      <c r="D999" s="230"/>
      <c r="E999" s="230"/>
      <c r="F999" s="230"/>
      <c r="G999" s="230"/>
      <c r="H999" s="230"/>
      <c r="I999" s="230"/>
      <c r="J999" s="340"/>
      <c r="K999" s="340"/>
      <c r="L999" s="340"/>
      <c r="M999" s="230"/>
      <c r="N999" s="230"/>
      <c r="O999" s="230"/>
      <c r="P999" s="230"/>
      <c r="Q999" s="230"/>
      <c r="R999" s="230"/>
      <c r="S999" s="230"/>
      <c r="T999" s="230"/>
      <c r="U999" s="230"/>
      <c r="V999" s="230"/>
      <c r="W999" s="230"/>
      <c r="X999" s="230"/>
      <c r="Y999" s="230"/>
      <c r="Z999" s="230"/>
    </row>
    <row r="1000">
      <c r="A1000" s="230"/>
      <c r="B1000" s="230"/>
      <c r="C1000" s="230"/>
      <c r="D1000" s="230"/>
      <c r="E1000" s="230"/>
      <c r="F1000" s="230"/>
      <c r="G1000" s="230"/>
      <c r="H1000" s="230"/>
      <c r="I1000" s="230"/>
      <c r="J1000" s="340"/>
      <c r="K1000" s="340"/>
      <c r="L1000" s="340"/>
      <c r="M1000" s="230"/>
      <c r="N1000" s="230"/>
      <c r="O1000" s="230"/>
      <c r="P1000" s="230"/>
      <c r="Q1000" s="230"/>
      <c r="R1000" s="230"/>
      <c r="S1000" s="230"/>
      <c r="T1000" s="230"/>
      <c r="U1000" s="230"/>
      <c r="V1000" s="230"/>
      <c r="W1000" s="230"/>
      <c r="X1000" s="230"/>
      <c r="Y1000" s="230"/>
      <c r="Z1000" s="23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0"/>
    <col customWidth="1" min="3" max="3" width="61.5"/>
    <col customWidth="1" min="4" max="4" width="13.63"/>
    <col customWidth="1" min="5" max="5" width="9.88"/>
    <col customWidth="1" min="6" max="6" width="28.38"/>
    <col customWidth="1" min="7" max="7" width="20.0"/>
    <col customWidth="1" min="8" max="8" width="26.75"/>
  </cols>
  <sheetData>
    <row r="1">
      <c r="A1" s="348" t="s">
        <v>5800</v>
      </c>
      <c r="B1" s="348" t="s">
        <v>5801</v>
      </c>
      <c r="C1" s="348" t="s">
        <v>5802</v>
      </c>
      <c r="D1" s="348" t="s">
        <v>5803</v>
      </c>
      <c r="E1" s="348" t="s">
        <v>5804</v>
      </c>
      <c r="F1" s="348" t="s">
        <v>5805</v>
      </c>
      <c r="G1" s="348" t="s">
        <v>5806</v>
      </c>
      <c r="H1" s="348" t="s">
        <v>5807</v>
      </c>
      <c r="I1" s="232" t="s">
        <v>5808</v>
      </c>
    </row>
    <row r="2">
      <c r="A2" s="348" t="s">
        <v>4654</v>
      </c>
      <c r="B2" s="348" t="s">
        <v>4752</v>
      </c>
      <c r="C2" s="348" t="s">
        <v>5437</v>
      </c>
      <c r="D2" s="348"/>
      <c r="E2" s="348"/>
      <c r="F2" s="348" t="s">
        <v>5809</v>
      </c>
      <c r="G2" s="348" t="s">
        <v>5810</v>
      </c>
      <c r="H2" s="349">
        <v>3200.0</v>
      </c>
      <c r="I2" s="11" t="str">
        <f>IFERROR(__xludf.DUMMYFUNCTION("VLOOKUP($A2,IMPORTRANGE(""https://docs.google.com/spreadsheets/d/1u9GbdmgAEc9k6kHu3ZfH25nxRNstVbRmM2ai-cDl3lY/edit?gid=2020727688#gid=2020727688"", ""Form responses 1!$F:$T""),12,false)"),"https://drive.google.com/open?id=1cGy0cP_VPTVED3u77lHmmAzj2UZV2JGO")</f>
        <v>https://drive.google.com/open?id=1cGy0cP_VPTVED3u77lHmmAzj2UZV2JGO</v>
      </c>
    </row>
    <row r="3">
      <c r="A3" s="348" t="s">
        <v>4634</v>
      </c>
      <c r="B3" s="348" t="s">
        <v>4752</v>
      </c>
      <c r="C3" s="348" t="s">
        <v>5407</v>
      </c>
      <c r="D3" s="348"/>
      <c r="E3" s="348"/>
      <c r="F3" s="348" t="s">
        <v>5809</v>
      </c>
      <c r="G3" s="348" t="s">
        <v>5810</v>
      </c>
      <c r="H3" s="349">
        <v>3350.0</v>
      </c>
      <c r="I3" s="11" t="str">
        <f>IFERROR(__xludf.DUMMYFUNCTION("VLOOKUP($A3,IMPORTRANGE(""https://docs.google.com/spreadsheets/d/1u9GbdmgAEc9k6kHu3ZfH25nxRNstVbRmM2ai-cDl3lY/edit?gid=2020727688#gid=2020727688"", ""Form responses 1!$F:$T""),12,false)"),"https://drive.google.com/open?id=1w_elKF8l0yJGHcV0CGVYhUoPl_i-CnTG")</f>
        <v>https://drive.google.com/open?id=1w_elKF8l0yJGHcV0CGVYhUoPl_i-CnTG</v>
      </c>
      <c r="M3" s="8" t="s">
        <v>5810</v>
      </c>
      <c r="N3" s="10">
        <f t="shared" ref="N3:N8" si="1">COUNTIF(G2:G342,M3)</f>
        <v>118</v>
      </c>
    </row>
    <row r="4">
      <c r="A4" s="348" t="s">
        <v>4647</v>
      </c>
      <c r="B4" s="348" t="s">
        <v>4752</v>
      </c>
      <c r="C4" s="348" t="s">
        <v>5417</v>
      </c>
      <c r="D4" s="348"/>
      <c r="E4" s="348"/>
      <c r="F4" s="348" t="s">
        <v>5809</v>
      </c>
      <c r="G4" s="348" t="s">
        <v>5810</v>
      </c>
      <c r="H4" s="349">
        <v>250.0</v>
      </c>
      <c r="I4" s="11" t="str">
        <f>IFERROR(__xludf.DUMMYFUNCTION("VLOOKUP($A4,IMPORTRANGE(""https://docs.google.com/spreadsheets/d/1u9GbdmgAEc9k6kHu3ZfH25nxRNstVbRmM2ai-cDl3lY/edit?gid=2020727688#gid=2020727688"", ""Form responses 1!$F:$T""),12,false)"),"https://drive.google.com/file/d/1ivenXPXqnMM50mFb1lELkTdmO8IuHSPi/view?usp=drive_link")</f>
        <v>https://drive.google.com/file/d/1ivenXPXqnMM50mFb1lELkTdmO8IuHSPi/view?usp=drive_link</v>
      </c>
      <c r="M4" s="8" t="s">
        <v>5811</v>
      </c>
      <c r="N4" s="10">
        <f t="shared" si="1"/>
        <v>2</v>
      </c>
    </row>
    <row r="5">
      <c r="A5" s="348" t="s">
        <v>4650</v>
      </c>
      <c r="B5" s="348" t="s">
        <v>4752</v>
      </c>
      <c r="C5" s="348" t="s">
        <v>5430</v>
      </c>
      <c r="D5" s="348"/>
      <c r="E5" s="348"/>
      <c r="F5" s="348" t="s">
        <v>5809</v>
      </c>
      <c r="G5" s="348" t="s">
        <v>5810</v>
      </c>
      <c r="H5" s="349">
        <v>2900.0</v>
      </c>
      <c r="I5" s="11" t="str">
        <f>IFERROR(__xludf.DUMMYFUNCTION("VLOOKUP($A5,IMPORTRANGE(""https://docs.google.com/spreadsheets/d/1u9GbdmgAEc9k6kHu3ZfH25nxRNstVbRmM2ai-cDl3lY/edit?gid=2020727688#gid=2020727688"", ""Form responses 1!$F:$T""),12,false)"),"https://drive.google.com/open?id=1A0OGtoGSxGj0vUsO2Btfuv8xwoKEilEa")</f>
        <v>https://drive.google.com/open?id=1A0OGtoGSxGj0vUsO2Btfuv8xwoKEilEa</v>
      </c>
      <c r="M5" s="8" t="s">
        <v>5812</v>
      </c>
      <c r="N5" s="10">
        <f t="shared" si="1"/>
        <v>71</v>
      </c>
    </row>
    <row r="6">
      <c r="A6" s="348" t="s">
        <v>4652</v>
      </c>
      <c r="B6" s="348" t="s">
        <v>4752</v>
      </c>
      <c r="C6" s="348" t="s">
        <v>5409</v>
      </c>
      <c r="D6" s="348"/>
      <c r="E6" s="348"/>
      <c r="F6" s="348" t="s">
        <v>5809</v>
      </c>
      <c r="G6" s="348" t="s">
        <v>5810</v>
      </c>
      <c r="H6" s="349">
        <v>2100.0</v>
      </c>
      <c r="I6" s="11" t="str">
        <f>IFERROR(__xludf.DUMMYFUNCTION("VLOOKUP($A6,IMPORTRANGE(""https://docs.google.com/spreadsheets/d/1u9GbdmgAEc9k6kHu3ZfH25nxRNstVbRmM2ai-cDl3lY/edit?gid=2020727688#gid=2020727688"", ""Form responses 1!$F:$T""),12,false)"),"https://drive.google.com/file/d/1V8TsE7_z-wieMfO44u9p6hjrshcStDm1/view?usp=drive_link")</f>
        <v>https://drive.google.com/file/d/1V8TsE7_z-wieMfO44u9p6hjrshcStDm1/view?usp=drive_link</v>
      </c>
      <c r="M6" s="8" t="s">
        <v>5813</v>
      </c>
      <c r="N6" s="10">
        <f t="shared" si="1"/>
        <v>89</v>
      </c>
    </row>
    <row r="7">
      <c r="A7" s="348" t="s">
        <v>4643</v>
      </c>
      <c r="B7" s="348" t="s">
        <v>4752</v>
      </c>
      <c r="C7" s="348" t="s">
        <v>5426</v>
      </c>
      <c r="D7" s="348"/>
      <c r="E7" s="348"/>
      <c r="F7" s="348" t="s">
        <v>5809</v>
      </c>
      <c r="G7" s="348" t="s">
        <v>5810</v>
      </c>
      <c r="H7" s="349">
        <v>2600.0</v>
      </c>
      <c r="I7" s="11" t="str">
        <f>IFERROR(__xludf.DUMMYFUNCTION("VLOOKUP($A7,IMPORTRANGE(""https://docs.google.com/spreadsheets/d/1u9GbdmgAEc9k6kHu3ZfH25nxRNstVbRmM2ai-cDl3lY/edit?gid=2020727688#gid=2020727688"", ""Form responses 1!$F:$T""),12,false)"),"https://drive.google.com/open?id=1Nb390v2cjo_wApQcWiDKoZ-K_aplLP9y")</f>
        <v>https://drive.google.com/open?id=1Nb390v2cjo_wApQcWiDKoZ-K_aplLP9y</v>
      </c>
      <c r="M7" s="8" t="s">
        <v>5814</v>
      </c>
      <c r="N7" s="10">
        <f t="shared" si="1"/>
        <v>6</v>
      </c>
    </row>
    <row r="8">
      <c r="A8" s="348" t="s">
        <v>4638</v>
      </c>
      <c r="B8" s="348" t="s">
        <v>4752</v>
      </c>
      <c r="C8" s="348" t="s">
        <v>5440</v>
      </c>
      <c r="D8" s="348"/>
      <c r="E8" s="348"/>
      <c r="F8" s="348" t="s">
        <v>5809</v>
      </c>
      <c r="G8" s="348" t="s">
        <v>5810</v>
      </c>
      <c r="H8" s="349">
        <v>2250.0</v>
      </c>
      <c r="I8" s="11" t="str">
        <f>IFERROR(__xludf.DUMMYFUNCTION("VLOOKUP($A8,IMPORTRANGE(""https://docs.google.com/spreadsheets/d/1u9GbdmgAEc9k6kHu3ZfH25nxRNstVbRmM2ai-cDl3lY/edit?gid=2020727688#gid=2020727688"", ""Form responses 1!$F:$T""),12,false)"),"https://drive.google.com/file/d/1E3K-yQAvOcfEUP4SOmx2ZxttCm3Lpprd/view?usp=sharing")</f>
        <v>https://drive.google.com/file/d/1E3K-yQAvOcfEUP4SOmx2ZxttCm3Lpprd/view?usp=sharing</v>
      </c>
      <c r="M8" s="8" t="s">
        <v>5815</v>
      </c>
      <c r="N8" s="10">
        <f t="shared" si="1"/>
        <v>23</v>
      </c>
    </row>
    <row r="9">
      <c r="A9" s="348" t="s">
        <v>4644</v>
      </c>
      <c r="B9" s="348" t="s">
        <v>4752</v>
      </c>
      <c r="C9" s="348" t="s">
        <v>521</v>
      </c>
      <c r="D9" s="348"/>
      <c r="E9" s="348"/>
      <c r="F9" s="348" t="s">
        <v>5809</v>
      </c>
      <c r="G9" s="348" t="s">
        <v>5810</v>
      </c>
      <c r="H9" s="349">
        <v>750.0</v>
      </c>
      <c r="I9" s="11" t="str">
        <f>IFERROR(__xludf.DUMMYFUNCTION("VLOOKUP($A9,IMPORTRANGE(""https://docs.google.com/spreadsheets/d/1u9GbdmgAEc9k6kHu3ZfH25nxRNstVbRmM2ai-cDl3lY/edit?gid=2020727688#gid=2020727688"", ""Form responses 1!$F:$T""),12,false)"),"https://drive.google.com/open?id=1opKzcRMo3amcr7jFfrMUM_1M5wtxWt3a")</f>
        <v>https://drive.google.com/open?id=1opKzcRMo3amcr7jFfrMUM_1M5wtxWt3a</v>
      </c>
    </row>
    <row r="10">
      <c r="A10" s="348" t="s">
        <v>4873</v>
      </c>
      <c r="B10" s="348" t="s">
        <v>4752</v>
      </c>
      <c r="C10" s="348" t="s">
        <v>5411</v>
      </c>
      <c r="D10" s="348"/>
      <c r="E10" s="348"/>
      <c r="F10" s="348" t="s">
        <v>5809</v>
      </c>
      <c r="G10" s="348" t="s">
        <v>5810</v>
      </c>
      <c r="H10" s="349">
        <v>1900.0</v>
      </c>
      <c r="I10" s="11" t="str">
        <f>IFERROR(__xludf.DUMMYFUNCTION("VLOOKUP($A10,IMPORTRANGE(""https://docs.google.com/spreadsheets/d/1u9GbdmgAEc9k6kHu3ZfH25nxRNstVbRmM2ai-cDl3lY/edit?gid=2020727688#gid=2020727688"", ""Form responses 1!$F:$T""),12,false)"),"https://drive.google.com/open?id=1dkrrc9_Zogv4c24FdDXQvCNup4mQ0W1S")</f>
        <v>https://drive.google.com/open?id=1dkrrc9_Zogv4c24FdDXQvCNup4mQ0W1S</v>
      </c>
    </row>
    <row r="11">
      <c r="A11" s="348" t="s">
        <v>4645</v>
      </c>
      <c r="B11" s="348" t="s">
        <v>4752</v>
      </c>
      <c r="C11" s="348" t="s">
        <v>5432</v>
      </c>
      <c r="D11" s="348"/>
      <c r="E11" s="348"/>
      <c r="F11" s="348" t="s">
        <v>5809</v>
      </c>
      <c r="G11" s="348" t="s">
        <v>5810</v>
      </c>
      <c r="H11" s="349">
        <v>1300.0</v>
      </c>
      <c r="I11" s="14" t="str">
        <f>IFERROR(__xludf.DUMMYFUNCTION("VLOOKUP($A11,IMPORTRANGE(""https://docs.google.com/spreadsheets/d/1u9GbdmgAEc9k6kHu3ZfH25nxRNstVbRmM2ai-cDl3lY/edit?gid=2020727688#gid=2020727688"", ""Form responses 1!$F:$T""),12,false)"),"https://drive.google.com/open?id=1wzBNED0weDcTEvy4C29CkVid3jOKEWeG, https://drive.google.com/file/d/1vKzBdJI6MXmp9mwdlGv92UwM78qNr7_f/view?usp=sharing")</f>
        <v>https://drive.google.com/open?id=1wzBNED0weDcTEvy4C29CkVid3jOKEWeG, https://drive.google.com/file/d/1vKzBdJI6MXmp9mwdlGv92UwM78qNr7_f/view?usp=sharing</v>
      </c>
    </row>
    <row r="12">
      <c r="A12" s="348" t="s">
        <v>4651</v>
      </c>
      <c r="B12" s="348" t="s">
        <v>4752</v>
      </c>
      <c r="C12" s="348" t="s">
        <v>547</v>
      </c>
      <c r="D12" s="348"/>
      <c r="E12" s="348"/>
      <c r="F12" s="348" t="s">
        <v>5809</v>
      </c>
      <c r="G12" s="348" t="s">
        <v>5810</v>
      </c>
      <c r="H12" s="349">
        <v>2050.0</v>
      </c>
      <c r="I12" s="11" t="str">
        <f>IFERROR(__xludf.DUMMYFUNCTION("VLOOKUP($A12,IMPORTRANGE(""https://docs.google.com/spreadsheets/d/1u9GbdmgAEc9k6kHu3ZfH25nxRNstVbRmM2ai-cDl3lY/edit?gid=2020727688#gid=2020727688"", ""Form responses 1!$F:$T""),12,false)"),"https://drive.google.com/file/d/129DUWwbsB3mV13yXiHOhyzKqCNIGF6Q9/view?usp=sharing")</f>
        <v>https://drive.google.com/file/d/129DUWwbsB3mV13yXiHOhyzKqCNIGF6Q9/view?usp=sharing</v>
      </c>
    </row>
    <row r="13">
      <c r="A13" s="348" t="s">
        <v>4635</v>
      </c>
      <c r="B13" s="348" t="s">
        <v>4752</v>
      </c>
      <c r="C13" s="348" t="s">
        <v>5422</v>
      </c>
      <c r="D13" s="348"/>
      <c r="E13" s="348"/>
      <c r="F13" s="348" t="s">
        <v>5809</v>
      </c>
      <c r="G13" s="348" t="s">
        <v>5810</v>
      </c>
      <c r="H13" s="349">
        <v>1750.0</v>
      </c>
      <c r="I13" s="11" t="str">
        <f>IFERROR(__xludf.DUMMYFUNCTION("VLOOKUP($A13,IMPORTRANGE(""https://docs.google.com/spreadsheets/d/1u9GbdmgAEc9k6kHu3ZfH25nxRNstVbRmM2ai-cDl3lY/edit?gid=2020727688#gid=2020727688"", ""Form responses 1!$F:$T""),12,false)"),"https://drive.google.com/file/d/1GX4a-dHi1iEKJQ8Vvd2kFGuckw_1ptef/view?usp=sharing")</f>
        <v>https://drive.google.com/file/d/1GX4a-dHi1iEKJQ8Vvd2kFGuckw_1ptef/view?usp=sharing</v>
      </c>
    </row>
    <row r="14">
      <c r="A14" s="348" t="s">
        <v>4646</v>
      </c>
      <c r="B14" s="348" t="s">
        <v>4752</v>
      </c>
      <c r="C14" s="348" t="s">
        <v>5415</v>
      </c>
      <c r="D14" s="348"/>
      <c r="E14" s="348"/>
      <c r="F14" s="348" t="s">
        <v>5809</v>
      </c>
      <c r="G14" s="348" t="s">
        <v>5810</v>
      </c>
      <c r="H14" s="349">
        <v>1400.0</v>
      </c>
      <c r="I14" s="14" t="str">
        <f>IFERROR(__xludf.DUMMYFUNCTION("VLOOKUP($A14,IMPORTRANGE(""https://docs.google.com/spreadsheets/d/1u9GbdmgAEc9k6kHu3ZfH25nxRNstVbRmM2ai-cDl3lY/edit?gid=2020727688#gid=2020727688"", ""Form responses 1!$F:$T""),12,false)"),"https://drive.google.com/open?id=1jGLpuktndafKIjz5Lc4qZwQaBHUccPaA , https://drive.google.com/file/d/1ykWVcFecAH0RSHCb7XMX06ffBZDJR8AV/view?usp=sharing")</f>
        <v>https://drive.google.com/open?id=1jGLpuktndafKIjz5Lc4qZwQaBHUccPaA , https://drive.google.com/file/d/1ykWVcFecAH0RSHCb7XMX06ffBZDJR8AV/view?usp=sharing</v>
      </c>
    </row>
    <row r="15">
      <c r="A15" s="348" t="s">
        <v>4639</v>
      </c>
      <c r="B15" s="348" t="s">
        <v>4752</v>
      </c>
      <c r="C15" s="348" t="s">
        <v>5413</v>
      </c>
      <c r="D15" s="348"/>
      <c r="E15" s="348"/>
      <c r="F15" s="348" t="s">
        <v>5809</v>
      </c>
      <c r="G15" s="348" t="s">
        <v>5810</v>
      </c>
      <c r="H15" s="349">
        <v>2150.0</v>
      </c>
      <c r="I15" s="14" t="str">
        <f>IFERROR(__xludf.DUMMYFUNCTION("VLOOKUP($A15,IMPORTRANGE(""https://docs.google.com/spreadsheets/d/1u9GbdmgAEc9k6kHu3ZfH25nxRNstVbRmM2ai-cDl3lY/edit?gid=2020727688#gid=2020727688"", ""Form responses 1!$F:$T""),12,false)"),"https://drive.google.com/file/d/1lK-9z5WH_0yJf1cYt-C2tNn1LKsfytGT/view?usp=sharing , https://drive.google.com/file/d/1nd74qwrmkLU4BcSR6kmZObOWrdgN9jYr/view?usp=sharing")</f>
        <v>https://drive.google.com/file/d/1lK-9z5WH_0yJf1cYt-C2tNn1LKsfytGT/view?usp=sharing , https://drive.google.com/file/d/1nd74qwrmkLU4BcSR6kmZObOWrdgN9jYr/view?usp=sharing</v>
      </c>
    </row>
    <row r="16">
      <c r="A16" s="348" t="s">
        <v>4653</v>
      </c>
      <c r="B16" s="348" t="s">
        <v>4752</v>
      </c>
      <c r="C16" s="348" t="s">
        <v>626</v>
      </c>
      <c r="D16" s="348"/>
      <c r="E16" s="348"/>
      <c r="F16" s="348" t="s">
        <v>5809</v>
      </c>
      <c r="G16" s="348" t="s">
        <v>5810</v>
      </c>
      <c r="H16" s="349">
        <v>250.0</v>
      </c>
      <c r="I16" s="11" t="str">
        <f>IFERROR(__xludf.DUMMYFUNCTION("VLOOKUP($A16,IMPORTRANGE(""https://docs.google.com/spreadsheets/d/1u9GbdmgAEc9k6kHu3ZfH25nxRNstVbRmM2ai-cDl3lY/edit?gid=2020727688#gid=2020727688"", ""Form responses 1!$F:$T""),12,false)"),"https://drive.google.com/open?id=1ZFXgRbyPrqYnhc-d_zrwhZeDpenL9i4Y")</f>
        <v>https://drive.google.com/open?id=1ZFXgRbyPrqYnhc-d_zrwhZeDpenL9i4Y</v>
      </c>
    </row>
    <row r="17">
      <c r="A17" s="348" t="s">
        <v>4636</v>
      </c>
      <c r="B17" s="348" t="s">
        <v>4752</v>
      </c>
      <c r="C17" s="348" t="s">
        <v>5442</v>
      </c>
      <c r="D17" s="348"/>
      <c r="E17" s="348"/>
      <c r="F17" s="348" t="s">
        <v>5809</v>
      </c>
      <c r="G17" s="348" t="s">
        <v>5810</v>
      </c>
      <c r="H17" s="349">
        <v>1600.0</v>
      </c>
      <c r="I17" s="11" t="str">
        <f>IFERROR(__xludf.DUMMYFUNCTION("VLOOKUP($A17,IMPORTRANGE(""https://docs.google.com/spreadsheets/d/1u9GbdmgAEc9k6kHu3ZfH25nxRNstVbRmM2ai-cDl3lY/edit?gid=2020727688#gid=2020727688"", ""Form responses 1!$F:$T""),12,false)"),"https://drive.google.com/open?id=1ZeEwYMBCPW00oh26iGluH9vQwPwScJJE")</f>
        <v>https://drive.google.com/open?id=1ZeEwYMBCPW00oh26iGluH9vQwPwScJJE</v>
      </c>
    </row>
    <row r="18">
      <c r="A18" s="348" t="s">
        <v>4641</v>
      </c>
      <c r="B18" s="348" t="s">
        <v>4752</v>
      </c>
      <c r="C18" s="348" t="s">
        <v>5424</v>
      </c>
      <c r="D18" s="348"/>
      <c r="E18" s="348"/>
      <c r="F18" s="348" t="s">
        <v>5809</v>
      </c>
      <c r="G18" s="348" t="s">
        <v>5810</v>
      </c>
      <c r="H18" s="349">
        <v>1450.0</v>
      </c>
      <c r="I18" s="11" t="str">
        <f>IFERROR(__xludf.DUMMYFUNCTION("VLOOKUP($A18,IMPORTRANGE(""https://docs.google.com/spreadsheets/d/1u9GbdmgAEc9k6kHu3ZfH25nxRNstVbRmM2ai-cDl3lY/edit?gid=2020727688#gid=2020727688"", ""Form responses 1!$F:$T""),12,false)"),"https://drive.google.com/open?id=1tKWKKRf0IRKoZmASuKWaUgLXlJO2jiXK")</f>
        <v>https://drive.google.com/open?id=1tKWKKRf0IRKoZmASuKWaUgLXlJO2jiXK</v>
      </c>
    </row>
    <row r="19">
      <c r="A19" s="348" t="s">
        <v>4640</v>
      </c>
      <c r="B19" s="348" t="s">
        <v>4752</v>
      </c>
      <c r="C19" s="348" t="s">
        <v>537</v>
      </c>
      <c r="D19" s="348"/>
      <c r="E19" s="348"/>
      <c r="F19" s="348" t="s">
        <v>5809</v>
      </c>
      <c r="G19" s="348" t="s">
        <v>5810</v>
      </c>
      <c r="H19" s="349">
        <v>3150.0</v>
      </c>
      <c r="I19" s="11" t="str">
        <f>IFERROR(__xludf.DUMMYFUNCTION("VLOOKUP($A19,IMPORTRANGE(""https://docs.google.com/spreadsheets/d/1u9GbdmgAEc9k6kHu3ZfH25nxRNstVbRmM2ai-cDl3lY/edit?gid=2020727688#gid=2020727688"", ""Form responses 1!$F:$T""),12,false)"),"https://drive.google.com/open?id=1N8pFUtECxOVmOoGtNYFf11hHQFhdALwp")</f>
        <v>https://drive.google.com/open?id=1N8pFUtECxOVmOoGtNYFf11hHQFhdALwp</v>
      </c>
    </row>
    <row r="20">
      <c r="A20" s="348" t="s">
        <v>4648</v>
      </c>
      <c r="B20" s="348" t="s">
        <v>4752</v>
      </c>
      <c r="C20" s="348" t="s">
        <v>603</v>
      </c>
      <c r="D20" s="348"/>
      <c r="E20" s="348"/>
      <c r="F20" s="348" t="s">
        <v>5809</v>
      </c>
      <c r="G20" s="348" t="s">
        <v>5810</v>
      </c>
      <c r="H20" s="349">
        <v>2600.0</v>
      </c>
      <c r="I20" s="11" t="str">
        <f>IFERROR(__xludf.DUMMYFUNCTION("VLOOKUP($A20,IMPORTRANGE(""https://docs.google.com/spreadsheets/d/1u9GbdmgAEc9k6kHu3ZfH25nxRNstVbRmM2ai-cDl3lY/edit?gid=2020727688#gid=2020727688"", ""Form responses 1!$F:$T""),12,false)"),"https://drive.google.com/file/d/1xPD2yDRvnZTA21yzJIDalCeOaJ6JwPxQ/view?usp=sharing")</f>
        <v>https://drive.google.com/file/d/1xPD2yDRvnZTA21yzJIDalCeOaJ6JwPxQ/view?usp=sharing</v>
      </c>
    </row>
    <row r="21">
      <c r="A21" s="348" t="s">
        <v>4637</v>
      </c>
      <c r="B21" s="348" t="s">
        <v>4752</v>
      </c>
      <c r="C21" s="348" t="s">
        <v>5420</v>
      </c>
      <c r="D21" s="348"/>
      <c r="E21" s="348"/>
      <c r="F21" s="348" t="s">
        <v>5809</v>
      </c>
      <c r="G21" s="348" t="s">
        <v>5810</v>
      </c>
      <c r="H21" s="349">
        <v>3100.0</v>
      </c>
      <c r="I21" s="11" t="str">
        <f>IFERROR(__xludf.DUMMYFUNCTION("VLOOKUP($A21,IMPORTRANGE(""https://docs.google.com/spreadsheets/d/1u9GbdmgAEc9k6kHu3ZfH25nxRNstVbRmM2ai-cDl3lY/edit?gid=2020727688#gid=2020727688"", ""Form responses 1!$F:$T""),12,false)"),"https://drive.google.com/file/d/1g2fz2N8elERezfprs9ylW58eUuGEOe9g/view?usp=drive_link")</f>
        <v>https://drive.google.com/file/d/1g2fz2N8elERezfprs9ylW58eUuGEOe9g/view?usp=drive_link</v>
      </c>
    </row>
    <row r="22">
      <c r="A22" s="348" t="s">
        <v>4642</v>
      </c>
      <c r="B22" s="348" t="s">
        <v>4752</v>
      </c>
      <c r="C22" s="348" t="s">
        <v>5428</v>
      </c>
      <c r="D22" s="348"/>
      <c r="E22" s="348"/>
      <c r="F22" s="348" t="s">
        <v>5809</v>
      </c>
      <c r="G22" s="348" t="s">
        <v>5810</v>
      </c>
      <c r="H22" s="349">
        <v>1100.0</v>
      </c>
      <c r="I22" s="14" t="str">
        <f>IFERROR(__xludf.DUMMYFUNCTION("VLOOKUP($A22,IMPORTRANGE(""https://docs.google.com/spreadsheets/d/1u9GbdmgAEc9k6kHu3ZfH25nxRNstVbRmM2ai-cDl3lY/edit?gid=2020727688#gid=2020727688"", ""Form responses 1!$F:$T""),12,false)"),"https://drive.google.com/file/d/1fjwivKC8ZA_VXfrdcwPThE92AfaELGiz/view?usp=sharing , https://drive.google.com/file/d/1jEa5PbwviY0PIpynkrPJC-lRpsLwr4iV/view?usp=sharing , https://drive.google.com/file/d/101lvCHCLKvCXKx-cCWAXIZWppbNx73Hk/view?usp=sharing  ,"&amp;" https://drive.google.com/file/d/18Kp_K3gAGZWHaA87ezchiX-FjNTzEIaC/view?usp=sharing")</f>
        <v>https://drive.google.com/file/d/1fjwivKC8ZA_VXfrdcwPThE92AfaELGiz/view?usp=sharing , https://drive.google.com/file/d/1jEa5PbwviY0PIpynkrPJC-lRpsLwr4iV/view?usp=sharing , https://drive.google.com/file/d/101lvCHCLKvCXKx-cCWAXIZWppbNx73Hk/view?usp=sharing  , https://drive.google.com/file/d/18Kp_K3gAGZWHaA87ezchiX-FjNTzEIaC/view?usp=sharing</v>
      </c>
    </row>
    <row r="23">
      <c r="A23" s="348" t="s">
        <v>4657</v>
      </c>
      <c r="B23" s="348" t="s">
        <v>4753</v>
      </c>
      <c r="C23" s="348" t="s">
        <v>5445</v>
      </c>
      <c r="D23" s="348"/>
      <c r="E23" s="348"/>
      <c r="F23" s="348" t="s">
        <v>5809</v>
      </c>
      <c r="G23" s="348" t="s">
        <v>5810</v>
      </c>
      <c r="H23" s="349">
        <v>950.0</v>
      </c>
      <c r="I23" s="11" t="str">
        <f>IFERROR(__xludf.DUMMYFUNCTION("VLOOKUP($A23,IMPORTRANGE(""https://docs.google.com/spreadsheets/d/1u9GbdmgAEc9k6kHu3ZfH25nxRNstVbRmM2ai-cDl3lY/edit?gid=2020727688#gid=2020727688"", ""Form responses 1!$F:$T""),12,false)"),"https://drive.google.com/open?id=1SjJKSIC4BUjUkqTf9kOoOvrA_u5XbnqR")</f>
        <v>https://drive.google.com/open?id=1SjJKSIC4BUjUkqTf9kOoOvrA_u5XbnqR</v>
      </c>
    </row>
    <row r="24">
      <c r="A24" s="348" t="s">
        <v>4656</v>
      </c>
      <c r="B24" s="348" t="s">
        <v>4753</v>
      </c>
      <c r="C24" s="348" t="s">
        <v>5452</v>
      </c>
      <c r="D24" s="348"/>
      <c r="E24" s="348"/>
      <c r="F24" s="348" t="s">
        <v>5809</v>
      </c>
      <c r="G24" s="348" t="s">
        <v>5810</v>
      </c>
      <c r="H24" s="349">
        <v>1400.0</v>
      </c>
      <c r="I24" s="11" t="str">
        <f>IFERROR(__xludf.DUMMYFUNCTION("VLOOKUP($A24,IMPORTRANGE(""https://docs.google.com/spreadsheets/d/1u9GbdmgAEc9k6kHu3ZfH25nxRNstVbRmM2ai-cDl3lY/edit?gid=2020727688#gid=2020727688"", ""Form responses 1!$F:$T""),12,false)"),"https://drive.google.com/open?id=1KGxxH757Nc3um1u8ARRYiWcwUz6xgvVE")</f>
        <v>https://drive.google.com/open?id=1KGxxH757Nc3um1u8ARRYiWcwUz6xgvVE</v>
      </c>
    </row>
    <row r="25">
      <c r="A25" s="348" t="s">
        <v>4660</v>
      </c>
      <c r="B25" s="348" t="s">
        <v>4753</v>
      </c>
      <c r="C25" s="348" t="s">
        <v>5456</v>
      </c>
      <c r="D25" s="348"/>
      <c r="E25" s="348"/>
      <c r="F25" s="348" t="s">
        <v>5809</v>
      </c>
      <c r="G25" s="348" t="s">
        <v>5810</v>
      </c>
      <c r="H25" s="349">
        <v>2100.0</v>
      </c>
      <c r="I25" s="11" t="str">
        <f>IFERROR(__xludf.DUMMYFUNCTION("VLOOKUP($A25,IMPORTRANGE(""https://docs.google.com/spreadsheets/d/1u9GbdmgAEc9k6kHu3ZfH25nxRNstVbRmM2ai-cDl3lY/edit?gid=2020727688#gid=2020727688"", ""Form responses 1!$F:$T""),12,false)"),"https://drive.google.com/open?id=1JD75W_PjoSejRdz93GWeu2TNBNWu0U03")</f>
        <v>https://drive.google.com/open?id=1JD75W_PjoSejRdz93GWeu2TNBNWu0U03</v>
      </c>
    </row>
    <row r="26">
      <c r="A26" s="348" t="s">
        <v>4658</v>
      </c>
      <c r="B26" s="348" t="s">
        <v>4753</v>
      </c>
      <c r="C26" s="348" t="s">
        <v>5448</v>
      </c>
      <c r="D26" s="348"/>
      <c r="E26" s="348"/>
      <c r="F26" s="348" t="s">
        <v>5809</v>
      </c>
      <c r="G26" s="348" t="s">
        <v>5810</v>
      </c>
      <c r="H26" s="349">
        <v>2050.0</v>
      </c>
      <c r="I26" s="11" t="str">
        <f>IFERROR(__xludf.DUMMYFUNCTION("VLOOKUP($A26,IMPORTRANGE(""https://docs.google.com/spreadsheets/d/1u9GbdmgAEc9k6kHu3ZfH25nxRNstVbRmM2ai-cDl3lY/edit?gid=2020727688#gid=2020727688"", ""Form responses 1!$F:$T""),12,false)"),"https://drive.google.com/open?id=1fic4-OtCNjZpSAPE_engL4m-pNGGqJYK")</f>
        <v>https://drive.google.com/open?id=1fic4-OtCNjZpSAPE_engL4m-pNGGqJYK</v>
      </c>
    </row>
    <row r="27">
      <c r="A27" s="348" t="s">
        <v>4659</v>
      </c>
      <c r="B27" s="348" t="s">
        <v>4753</v>
      </c>
      <c r="C27" s="348" t="s">
        <v>985</v>
      </c>
      <c r="D27" s="348"/>
      <c r="E27" s="348"/>
      <c r="F27" s="348" t="s">
        <v>5809</v>
      </c>
      <c r="G27" s="348" t="s">
        <v>5810</v>
      </c>
      <c r="H27" s="349">
        <v>1900.0</v>
      </c>
      <c r="I27" s="11" t="str">
        <f>IFERROR(__xludf.DUMMYFUNCTION("VLOOKUP($A27,IMPORTRANGE(""https://docs.google.com/spreadsheets/d/1u9GbdmgAEc9k6kHu3ZfH25nxRNstVbRmM2ai-cDl3lY/edit?gid=2020727688#gid=2020727688"", ""Form responses 1!$F:$T""),12,false)"),"https://drive.google.com/open?id=1dcV0lH8YDu4gyrgQ8il3vruwflEQKpnb")</f>
        <v>https://drive.google.com/open?id=1dcV0lH8YDu4gyrgQ8il3vruwflEQKpnb</v>
      </c>
    </row>
    <row r="28">
      <c r="A28" s="348" t="s">
        <v>4655</v>
      </c>
      <c r="B28" s="348" t="s">
        <v>4753</v>
      </c>
      <c r="C28" s="348" t="s">
        <v>5450</v>
      </c>
      <c r="D28" s="348"/>
      <c r="E28" s="348"/>
      <c r="F28" s="348" t="s">
        <v>5809</v>
      </c>
      <c r="G28" s="348" t="s">
        <v>5810</v>
      </c>
      <c r="H28" s="349">
        <v>1950.0</v>
      </c>
      <c r="I28" s="11" t="str">
        <f>IFERROR(__xludf.DUMMYFUNCTION("VLOOKUP($A28,IMPORTRANGE(""https://docs.google.com/spreadsheets/d/1u9GbdmgAEc9k6kHu3ZfH25nxRNstVbRmM2ai-cDl3lY/edit?gid=2020727688#gid=2020727688"", ""Form responses 1!$F:$T""),12,false)"),"https://drive.google.com/open?id=1S1GKMQT_XscCUXKz3aTnqY9dByVkZnOU")</f>
        <v>https://drive.google.com/open?id=1S1GKMQT_XscCUXKz3aTnqY9dByVkZnOU</v>
      </c>
    </row>
    <row r="29">
      <c r="A29" s="348" t="s">
        <v>4631</v>
      </c>
      <c r="B29" s="348" t="s">
        <v>4751</v>
      </c>
      <c r="C29" s="348" t="s">
        <v>5399</v>
      </c>
      <c r="D29" s="348"/>
      <c r="E29" s="348"/>
      <c r="F29" s="348" t="s">
        <v>5809</v>
      </c>
      <c r="G29" s="348" t="s">
        <v>5810</v>
      </c>
      <c r="H29" s="349">
        <v>3050.0</v>
      </c>
      <c r="I29" s="11" t="str">
        <f>IFERROR(__xludf.DUMMYFUNCTION("VLOOKUP($A29,IMPORTRANGE(""https://docs.google.com/spreadsheets/d/1u9GbdmgAEc9k6kHu3ZfH25nxRNstVbRmM2ai-cDl3lY/edit?gid=2020727688#gid=2020727688"", ""Form responses 1!$F:$T""),12,false)"),"https://drive.google.com/file/d/1yfCvkap4RXCFBL_tM3C2azO2WZHmAvXg/view?usp=sharing")</f>
        <v>https://drive.google.com/file/d/1yfCvkap4RXCFBL_tM3C2azO2WZHmAvXg/view?usp=sharing</v>
      </c>
    </row>
    <row r="30">
      <c r="A30" s="348" t="s">
        <v>4630</v>
      </c>
      <c r="B30" s="348" t="s">
        <v>4751</v>
      </c>
      <c r="C30" s="348" t="s">
        <v>5405</v>
      </c>
      <c r="D30" s="348"/>
      <c r="E30" s="348"/>
      <c r="F30" s="348" t="s">
        <v>5809</v>
      </c>
      <c r="G30" s="348" t="s">
        <v>5810</v>
      </c>
      <c r="H30" s="349">
        <v>1900.0</v>
      </c>
      <c r="I30" s="11" t="str">
        <f>IFERROR(__xludf.DUMMYFUNCTION("VLOOKUP($A30,IMPORTRANGE(""https://docs.google.com/spreadsheets/d/1u9GbdmgAEc9k6kHu3ZfH25nxRNstVbRmM2ai-cDl3lY/edit?gid=2020727688#gid=2020727688"", ""Form responses 1!$F:$T""),12,false)"),"https://drive.google.com/open?id=1RwiPzImp9YzX5oA_EcO68fa9i1XWpDQE")</f>
        <v>https://drive.google.com/open?id=1RwiPzImp9YzX5oA_EcO68fa9i1XWpDQE</v>
      </c>
    </row>
    <row r="31">
      <c r="A31" s="348" t="s">
        <v>4633</v>
      </c>
      <c r="B31" s="348" t="s">
        <v>4751</v>
      </c>
      <c r="C31" s="348" t="s">
        <v>5401</v>
      </c>
      <c r="D31" s="348"/>
      <c r="E31" s="348"/>
      <c r="F31" s="348" t="s">
        <v>5809</v>
      </c>
      <c r="G31" s="348" t="s">
        <v>5810</v>
      </c>
      <c r="H31" s="349">
        <v>2850.0</v>
      </c>
      <c r="I31" s="14" t="str">
        <f>IFERROR(__xludf.DUMMYFUNCTION("VLOOKUP($A31,IMPORTRANGE(""https://docs.google.com/spreadsheets/d/1u9GbdmgAEc9k6kHu3ZfH25nxRNstVbRmM2ai-cDl3lY/edit?gid=2020727688#gid=2020727688"", ""Form responses 1!$F:$T""),12,false)"),"https://drive.google.com/file/d/1ujxejdltPfR9cdH0pWfR45NE4mwP9moy/view?usp=sharing , https://drive.google.com/file/d/1CPZy2m7wNUMzsk9zHgl1jTlyoK4hB9c0/view?usp=sharing")</f>
        <v>https://drive.google.com/file/d/1ujxejdltPfR9cdH0pWfR45NE4mwP9moy/view?usp=sharing , https://drive.google.com/file/d/1CPZy2m7wNUMzsk9zHgl1jTlyoK4hB9c0/view?usp=sharing</v>
      </c>
    </row>
    <row r="32">
      <c r="A32" s="348" t="s">
        <v>4632</v>
      </c>
      <c r="B32" s="348" t="s">
        <v>4751</v>
      </c>
      <c r="C32" s="348" t="s">
        <v>5403</v>
      </c>
      <c r="D32" s="348"/>
      <c r="E32" s="348"/>
      <c r="F32" s="348" t="s">
        <v>5809</v>
      </c>
      <c r="G32" s="348" t="s">
        <v>5810</v>
      </c>
      <c r="H32" s="349">
        <v>2950.0</v>
      </c>
      <c r="I32" s="11" t="str">
        <f>IFERROR(__xludf.DUMMYFUNCTION("VLOOKUP($A32,IMPORTRANGE(""https://docs.google.com/spreadsheets/d/1u9GbdmgAEc9k6kHu3ZfH25nxRNstVbRmM2ai-cDl3lY/edit?gid=2020727688#gid=2020727688"", ""Form responses 1!$F:$T""),12,false)"),"https://drive.google.com/open?id=1Bbv_9ls-5M1Hj52ii969pNdR_7vVobJM")</f>
        <v>https://drive.google.com/open?id=1Bbv_9ls-5M1Hj52ii969pNdR_7vVobJM</v>
      </c>
    </row>
    <row r="33">
      <c r="A33" s="348" t="s">
        <v>4623</v>
      </c>
      <c r="B33" s="348" t="s">
        <v>4750</v>
      </c>
      <c r="C33" s="348" t="s">
        <v>5377</v>
      </c>
      <c r="D33" s="348"/>
      <c r="E33" s="348"/>
      <c r="F33" s="348" t="s">
        <v>5809</v>
      </c>
      <c r="G33" s="348" t="s">
        <v>5810</v>
      </c>
      <c r="H33" s="349">
        <v>1200.0</v>
      </c>
      <c r="I33" s="11" t="str">
        <f>IFERROR(__xludf.DUMMYFUNCTION("VLOOKUP($A33,IMPORTRANGE(""https://docs.google.com/spreadsheets/d/1u9GbdmgAEc9k6kHu3ZfH25nxRNstVbRmM2ai-cDl3lY/edit?gid=2020727688#gid=2020727688"", ""Form responses 1!$F:$T""),12,false)"),"https://drive.google.com/file/d/16cXZ5kY_44NYRsmG92yX2ehDunf6uNE_/view?usp=sharing")</f>
        <v>https://drive.google.com/file/d/16cXZ5kY_44NYRsmG92yX2ehDunf6uNE_/view?usp=sharing</v>
      </c>
    </row>
    <row r="34">
      <c r="A34" s="348" t="s">
        <v>4622</v>
      </c>
      <c r="B34" s="348" t="s">
        <v>4750</v>
      </c>
      <c r="C34" s="348" t="s">
        <v>5375</v>
      </c>
      <c r="D34" s="348"/>
      <c r="E34" s="348"/>
      <c r="F34" s="348" t="s">
        <v>5809</v>
      </c>
      <c r="G34" s="348" t="s">
        <v>5810</v>
      </c>
      <c r="H34" s="349">
        <v>2500.0</v>
      </c>
      <c r="I34" s="11" t="str">
        <f>IFERROR(__xludf.DUMMYFUNCTION("VLOOKUP($A34,IMPORTRANGE(""https://docs.google.com/spreadsheets/d/1u9GbdmgAEc9k6kHu3ZfH25nxRNstVbRmM2ai-cDl3lY/edit?gid=2020727688#gid=2020727688"", ""Form responses 1!$F:$T""),12,false)"),"https://drive.google.com/file/d/1CM6s-JVnefnoE4a0xRW0ltq6SvRqNkjI/view?usp=sharing")</f>
        <v>https://drive.google.com/file/d/1CM6s-JVnefnoE4a0xRW0ltq6SvRqNkjI/view?usp=sharing</v>
      </c>
    </row>
    <row r="35">
      <c r="A35" s="348" t="s">
        <v>4629</v>
      </c>
      <c r="B35" s="348" t="s">
        <v>4750</v>
      </c>
      <c r="C35" s="348" t="s">
        <v>1050</v>
      </c>
      <c r="D35" s="348"/>
      <c r="E35" s="348"/>
      <c r="F35" s="348" t="s">
        <v>5809</v>
      </c>
      <c r="G35" s="348" t="s">
        <v>5810</v>
      </c>
      <c r="H35" s="349">
        <v>2450.0</v>
      </c>
      <c r="I35" s="11" t="str">
        <f>IFERROR(__xludf.DUMMYFUNCTION("VLOOKUP($A35,IMPORTRANGE(""https://docs.google.com/spreadsheets/d/1u9GbdmgAEc9k6kHu3ZfH25nxRNstVbRmM2ai-cDl3lY/edit?gid=2020727688#gid=2020727688"", ""Form responses 1!$F:$T""),12,false)"),"https://drive.google.com/open?id=1Mbv7ZFMuIJtSGaCr_2kF1xvkb8aPiU0O")</f>
        <v>https://drive.google.com/open?id=1Mbv7ZFMuIJtSGaCr_2kF1xvkb8aPiU0O</v>
      </c>
    </row>
    <row r="36">
      <c r="A36" s="348" t="s">
        <v>4624</v>
      </c>
      <c r="B36" s="348" t="s">
        <v>4750</v>
      </c>
      <c r="C36" s="348" t="s">
        <v>5366</v>
      </c>
      <c r="D36" s="348"/>
      <c r="E36" s="348"/>
      <c r="F36" s="348" t="s">
        <v>5809</v>
      </c>
      <c r="G36" s="348" t="s">
        <v>5810</v>
      </c>
      <c r="H36" s="349">
        <v>1800.0</v>
      </c>
      <c r="I36" s="11" t="str">
        <f>IFERROR(__xludf.DUMMYFUNCTION("VLOOKUP($A36,IMPORTRANGE(""https://docs.google.com/spreadsheets/d/1u9GbdmgAEc9k6kHu3ZfH25nxRNstVbRmM2ai-cDl3lY/edit?gid=2020727688#gid=2020727688"", ""Form responses 1!$F:$T""),12,false)"),"https://drive.google.com/open?id=1Yd4w8lcamzfdYtRAr_apIIrS1nxW5Ctw")</f>
        <v>https://drive.google.com/open?id=1Yd4w8lcamzfdYtRAr_apIIrS1nxW5Ctw</v>
      </c>
    </row>
    <row r="37">
      <c r="A37" s="348" t="s">
        <v>4627</v>
      </c>
      <c r="B37" s="348" t="s">
        <v>4750</v>
      </c>
      <c r="C37" s="348" t="s">
        <v>850</v>
      </c>
      <c r="D37" s="348"/>
      <c r="E37" s="348"/>
      <c r="F37" s="348" t="s">
        <v>5809</v>
      </c>
      <c r="G37" s="348" t="s">
        <v>5810</v>
      </c>
      <c r="H37" s="349">
        <v>3950.0</v>
      </c>
      <c r="I37" s="11" t="str">
        <f>IFERROR(__xludf.DUMMYFUNCTION("VLOOKUP($A37,IMPORTRANGE(""https://docs.google.com/spreadsheets/d/1u9GbdmgAEc9k6kHu3ZfH25nxRNstVbRmM2ai-cDl3lY/edit?gid=2020727688#gid=2020727688"", ""Form responses 1!$F:$T""),12,false)"),"https://drive.google.com/open?id=1nDKP1PSeL5g0wKtIav2FpmCSxB01fAKL")</f>
        <v>https://drive.google.com/open?id=1nDKP1PSeL5g0wKtIav2FpmCSxB01fAKL</v>
      </c>
    </row>
    <row r="38">
      <c r="A38" s="348" t="s">
        <v>4625</v>
      </c>
      <c r="B38" s="348" t="s">
        <v>4750</v>
      </c>
      <c r="C38" s="348" t="s">
        <v>5368</v>
      </c>
      <c r="D38" s="348"/>
      <c r="E38" s="348"/>
      <c r="F38" s="348" t="s">
        <v>5809</v>
      </c>
      <c r="G38" s="348" t="s">
        <v>5810</v>
      </c>
      <c r="H38" s="349">
        <v>1750.0</v>
      </c>
      <c r="I38" s="11" t="str">
        <f>IFERROR(__xludf.DUMMYFUNCTION("VLOOKUP($A38,IMPORTRANGE(""https://docs.google.com/spreadsheets/d/1u9GbdmgAEc9k6kHu3ZfH25nxRNstVbRmM2ai-cDl3lY/edit?gid=2020727688#gid=2020727688"", ""Form responses 1!$F:$T""),12,false)"),"https://drive.google.com/open?id=1SclVLfx8cMDTJw_hJvjWudjt5yoemHvN")</f>
        <v>https://drive.google.com/open?id=1SclVLfx8cMDTJw_hJvjWudjt5yoemHvN</v>
      </c>
    </row>
    <row r="39">
      <c r="A39" s="348" t="s">
        <v>4628</v>
      </c>
      <c r="B39" s="348" t="s">
        <v>4750</v>
      </c>
      <c r="C39" s="348" t="s">
        <v>5380</v>
      </c>
      <c r="D39" s="348"/>
      <c r="E39" s="348"/>
      <c r="F39" s="348" t="s">
        <v>5809</v>
      </c>
      <c r="G39" s="348" t="s">
        <v>5810</v>
      </c>
      <c r="H39" s="349">
        <v>300.0</v>
      </c>
      <c r="I39" s="11" t="str">
        <f>IFERROR(__xludf.DUMMYFUNCTION("VLOOKUP($A39,IMPORTRANGE(""https://docs.google.com/spreadsheets/d/1u9GbdmgAEc9k6kHu3ZfH25nxRNstVbRmM2ai-cDl3lY/edit?gid=2020727688#gid=2020727688"", ""Form responses 1!$F:$T""),12,false)"),"https://drive.google.com/open?id=1PGpEXkDEmTKwNRkaayyZ73qbENdb5VIZ")</f>
        <v>https://drive.google.com/open?id=1PGpEXkDEmTKwNRkaayyZ73qbENdb5VIZ</v>
      </c>
    </row>
    <row r="40">
      <c r="A40" s="348" t="s">
        <v>4626</v>
      </c>
      <c r="B40" s="348" t="s">
        <v>4750</v>
      </c>
      <c r="C40" s="348" t="s">
        <v>5371</v>
      </c>
      <c r="D40" s="348"/>
      <c r="E40" s="348"/>
      <c r="F40" s="348" t="s">
        <v>5809</v>
      </c>
      <c r="G40" s="348" t="s">
        <v>5810</v>
      </c>
      <c r="H40" s="349">
        <v>2350.0</v>
      </c>
      <c r="I40" s="11" t="str">
        <f>IFERROR(__xludf.DUMMYFUNCTION("VLOOKUP($A40,IMPORTRANGE(""https://docs.google.com/spreadsheets/d/1u9GbdmgAEc9k6kHu3ZfH25nxRNstVbRmM2ai-cDl3lY/edit?gid=2020727688#gid=2020727688"", ""Form responses 1!$F:$T""),12,false)"),"https://drive.google.com/open?id=1rS2Fd5ER9ZiGaA8UW7MqLzKeuZy4StAM")</f>
        <v>https://drive.google.com/open?id=1rS2Fd5ER9ZiGaA8UW7MqLzKeuZy4StAM</v>
      </c>
    </row>
    <row r="41">
      <c r="A41" s="348" t="s">
        <v>3021</v>
      </c>
      <c r="B41" s="348" t="s">
        <v>4729</v>
      </c>
      <c r="C41" s="348" t="s">
        <v>5032</v>
      </c>
      <c r="D41" s="348"/>
      <c r="E41" s="348"/>
      <c r="F41" s="348" t="s">
        <v>5816</v>
      </c>
      <c r="G41" s="348" t="s">
        <v>5810</v>
      </c>
      <c r="H41" s="349">
        <v>2500.0</v>
      </c>
      <c r="I41" s="11" t="str">
        <f>IFERROR(__xludf.DUMMYFUNCTION("VLOOKUP($A41,IMPORTRANGE(""https://docs.google.com/spreadsheets/d/1u9GbdmgAEc9k6kHu3ZfH25nxRNstVbRmM2ai-cDl3lY/edit?gid=2020727688#gid=2020727688"", ""Form responses 1!$F:$T""),12,false)"),"https://drive.google.com/file/d/1X3Cn4QxWQuLKJw_ooTnPuF2i8cVgmyQ5/view?usp=drive_link")</f>
        <v>https://drive.google.com/file/d/1X3Cn4QxWQuLKJw_ooTnPuF2i8cVgmyQ5/view?usp=drive_link</v>
      </c>
    </row>
    <row r="42">
      <c r="A42" s="348" t="s">
        <v>2885</v>
      </c>
      <c r="B42" s="348" t="s">
        <v>4729</v>
      </c>
      <c r="C42" s="348" t="s">
        <v>5057</v>
      </c>
      <c r="D42" s="348"/>
      <c r="E42" s="348"/>
      <c r="F42" s="348" t="s">
        <v>5816</v>
      </c>
      <c r="G42" s="348" t="s">
        <v>5810</v>
      </c>
      <c r="H42" s="349">
        <v>950.0</v>
      </c>
      <c r="I42" s="11" t="str">
        <f>IFERROR(__xludf.DUMMYFUNCTION("VLOOKUP($A42,IMPORTRANGE(""https://docs.google.com/spreadsheets/d/1u9GbdmgAEc9k6kHu3ZfH25nxRNstVbRmM2ai-cDl3lY/edit?gid=2020727688#gid=2020727688"", ""Form responses 1!$F:$T""),12,false)"),"https://drive.google.com/file/d/15pNdfjGpZTvcLDYi-X_YAjqHLtjX106x/view?usp=sharing")</f>
        <v>https://drive.google.com/file/d/15pNdfjGpZTvcLDYi-X_YAjqHLtjX106x/view?usp=sharing</v>
      </c>
    </row>
    <row r="43">
      <c r="A43" s="348" t="s">
        <v>4535</v>
      </c>
      <c r="B43" s="348" t="s">
        <v>4729</v>
      </c>
      <c r="C43" s="348" t="s">
        <v>4945</v>
      </c>
      <c r="D43" s="348"/>
      <c r="E43" s="348"/>
      <c r="F43" s="348" t="s">
        <v>5816</v>
      </c>
      <c r="G43" s="348" t="s">
        <v>5810</v>
      </c>
      <c r="H43" s="349">
        <v>500.0</v>
      </c>
      <c r="I43" s="14" t="str">
        <f>IFERROR(__xludf.DUMMYFUNCTION("VLOOKUP($A43,IMPORTRANGE(""https://docs.google.com/spreadsheets/d/1u9GbdmgAEc9k6kHu3ZfH25nxRNstVbRmM2ai-cDl3lY/edit?gid=2020727688#gid=2020727688"", ""Form responses 1!$F:$T""),12,false)"),"https://drive.google.com/file/d/1Ae0PKThKIIqIqmMjDPei4NqSRBNIqhYl/view?usp=sharing , https://drive.google.com/file/d/1MNcviEvL8d1EEOhqlSA-9BGd2KWhC18t/view?usp=sharing")</f>
        <v>https://drive.google.com/file/d/1Ae0PKThKIIqIqmMjDPei4NqSRBNIqhYl/view?usp=sharing , https://drive.google.com/file/d/1MNcviEvL8d1EEOhqlSA-9BGd2KWhC18t/view?usp=sharing</v>
      </c>
    </row>
    <row r="44">
      <c r="A44" s="348" t="s">
        <v>3058</v>
      </c>
      <c r="B44" s="348" t="s">
        <v>4729</v>
      </c>
      <c r="C44" s="348" t="s">
        <v>4986</v>
      </c>
      <c r="D44" s="348"/>
      <c r="E44" s="348"/>
      <c r="F44" s="348" t="s">
        <v>5816</v>
      </c>
      <c r="G44" s="348" t="s">
        <v>5810</v>
      </c>
      <c r="H44" s="349">
        <v>1150.0</v>
      </c>
      <c r="I44" s="11" t="str">
        <f>IFERROR(__xludf.DUMMYFUNCTION("VLOOKUP($A44,IMPORTRANGE(""https://docs.google.com/spreadsheets/d/1u9GbdmgAEc9k6kHu3ZfH25nxRNstVbRmM2ai-cDl3lY/edit?gid=2020727688#gid=2020727688"", ""Form responses 1!$F:$T""),12,false)"),"https://drive.google.com/open?id=1Sd5gKL-Rath_P5y3lRj3HFCkbp0LfJ9A")</f>
        <v>https://drive.google.com/open?id=1Sd5gKL-Rath_P5y3lRj3HFCkbp0LfJ9A</v>
      </c>
    </row>
    <row r="45">
      <c r="A45" s="348" t="s">
        <v>4544</v>
      </c>
      <c r="B45" s="348" t="s">
        <v>4729</v>
      </c>
      <c r="C45" s="348" t="s">
        <v>5019</v>
      </c>
      <c r="D45" s="348"/>
      <c r="E45" s="348"/>
      <c r="F45" s="348" t="s">
        <v>5816</v>
      </c>
      <c r="G45" s="348" t="s">
        <v>5810</v>
      </c>
      <c r="H45" s="349">
        <v>2450.0</v>
      </c>
      <c r="I45" s="11" t="str">
        <f>IFERROR(__xludf.DUMMYFUNCTION("VLOOKUP($A45,IMPORTRANGE(""https://docs.google.com/spreadsheets/d/1u9GbdmgAEc9k6kHu3ZfH25nxRNstVbRmM2ai-cDl3lY/edit?gid=2020727688#gid=2020727688"", ""Form responses 1!$F:$T""),12,false)"),"https://drive.google.com/file/d/1IBznuZha-uQVYGg3l7MeR9JIxPe5aGGi/view?usp=drive_link")</f>
        <v>https://drive.google.com/file/d/1IBznuZha-uQVYGg3l7MeR9JIxPe5aGGi/view?usp=drive_link</v>
      </c>
    </row>
    <row r="46">
      <c r="A46" s="348" t="s">
        <v>3201</v>
      </c>
      <c r="B46" s="348" t="s">
        <v>4729</v>
      </c>
      <c r="C46" s="348" t="s">
        <v>3204</v>
      </c>
      <c r="D46" s="348"/>
      <c r="E46" s="348"/>
      <c r="F46" s="348" t="s">
        <v>5816</v>
      </c>
      <c r="G46" s="348" t="s">
        <v>5810</v>
      </c>
      <c r="H46" s="349">
        <v>1400.0</v>
      </c>
      <c r="I46" s="11" t="str">
        <f>IFERROR(__xludf.DUMMYFUNCTION("VLOOKUP($A46,IMPORTRANGE(""https://docs.google.com/spreadsheets/d/1u9GbdmgAEc9k6kHu3ZfH25nxRNstVbRmM2ai-cDl3lY/edit?gid=2020727688#gid=2020727688"", ""Form responses 1!$F:$T""),12,false)"),"https://drive.google.com/open?id=1Dufp4_zQMvgnm3RTh93hWRS4fPCLnLSR")</f>
        <v>https://drive.google.com/open?id=1Dufp4_zQMvgnm3RTh93hWRS4fPCLnLSR</v>
      </c>
    </row>
    <row r="47">
      <c r="A47" s="348" t="s">
        <v>3168</v>
      </c>
      <c r="B47" s="348" t="s">
        <v>4729</v>
      </c>
      <c r="C47" s="348" t="s">
        <v>4973</v>
      </c>
      <c r="D47" s="348"/>
      <c r="E47" s="348"/>
      <c r="F47" s="348" t="s">
        <v>5816</v>
      </c>
      <c r="G47" s="348" t="s">
        <v>5810</v>
      </c>
      <c r="H47" s="349">
        <v>2050.0</v>
      </c>
      <c r="I47" s="11" t="str">
        <f>IFERROR(__xludf.DUMMYFUNCTION("VLOOKUP($A47,IMPORTRANGE(""https://docs.google.com/spreadsheets/d/1u9GbdmgAEc9k6kHu3ZfH25nxRNstVbRmM2ai-cDl3lY/edit?gid=2020727688#gid=2020727688"", ""Form responses 1!$F:$T""),12,false)"),"https://drive.google.com/open?id=1JtbXgBWh5cWjg_n0qWwB2gKu6ROFs2eI")</f>
        <v>https://drive.google.com/open?id=1JtbXgBWh5cWjg_n0qWwB2gKu6ROFs2eI</v>
      </c>
    </row>
    <row r="48">
      <c r="A48" s="348" t="s">
        <v>4526</v>
      </c>
      <c r="B48" s="348" t="s">
        <v>4729</v>
      </c>
      <c r="C48" s="348" t="s">
        <v>4958</v>
      </c>
      <c r="D48" s="348"/>
      <c r="E48" s="348"/>
      <c r="F48" s="348" t="s">
        <v>5816</v>
      </c>
      <c r="G48" s="348" t="s">
        <v>5810</v>
      </c>
      <c r="H48" s="349">
        <v>2600.0</v>
      </c>
      <c r="I48" s="11" t="str">
        <f>IFERROR(__xludf.DUMMYFUNCTION("VLOOKUP($A48,IMPORTRANGE(""https://docs.google.com/spreadsheets/d/1u9GbdmgAEc9k6kHu3ZfH25nxRNstVbRmM2ai-cDl3lY/edit?gid=2020727688#gid=2020727688"", ""Form responses 1!$F:$T""),12,false)"),"https://drive.google.com/open?id=1GTUnaMxm9v-EeHtB0bWzBpDatrlvNcTp")</f>
        <v>https://drive.google.com/open?id=1GTUnaMxm9v-EeHtB0bWzBpDatrlvNcTp</v>
      </c>
    </row>
    <row r="49">
      <c r="A49" s="348" t="s">
        <v>3072</v>
      </c>
      <c r="B49" s="348" t="s">
        <v>4729</v>
      </c>
      <c r="C49" s="348" t="s">
        <v>5059</v>
      </c>
      <c r="D49" s="348"/>
      <c r="E49" s="348"/>
      <c r="F49" s="348" t="s">
        <v>5816</v>
      </c>
      <c r="G49" s="348" t="s">
        <v>5810</v>
      </c>
      <c r="H49" s="349">
        <v>150.0</v>
      </c>
      <c r="I49" s="11" t="str">
        <f>IFERROR(__xludf.DUMMYFUNCTION("VLOOKUP($A49,IMPORTRANGE(""https://docs.google.com/spreadsheets/d/1u9GbdmgAEc9k6kHu3ZfH25nxRNstVbRmM2ai-cDl3lY/edit?gid=2020727688#gid=2020727688"", ""Form responses 1!$F:$T""),12,false)"),"https://drive.google.com/open?id=1vbkTEbvxK2teol2YvZsr5nt-OVLLQQSf")</f>
        <v>https://drive.google.com/open?id=1vbkTEbvxK2teol2YvZsr5nt-OVLLQQSf</v>
      </c>
    </row>
    <row r="50">
      <c r="A50" s="348" t="s">
        <v>4543</v>
      </c>
      <c r="B50" s="348" t="s">
        <v>4729</v>
      </c>
      <c r="C50" s="348" t="s">
        <v>5026</v>
      </c>
      <c r="D50" s="348"/>
      <c r="E50" s="348"/>
      <c r="F50" s="348" t="s">
        <v>5816</v>
      </c>
      <c r="G50" s="348" t="s">
        <v>5810</v>
      </c>
      <c r="H50" s="349">
        <v>1900.0</v>
      </c>
      <c r="I50" s="11" t="str">
        <f>IFERROR(__xludf.DUMMYFUNCTION("VLOOKUP($A50,IMPORTRANGE(""https://docs.google.com/spreadsheets/d/1u9GbdmgAEc9k6kHu3ZfH25nxRNstVbRmM2ai-cDl3lY/edit?gid=2020727688#gid=2020727688"", ""Form responses 1!$F:$T""),12,false)"),"https://drive.google.com/file/d/1E25G2JfNN2A5HvIUpaqWlN9kN41vc0Jb/view?usp=sharing")</f>
        <v>https://drive.google.com/file/d/1E25G2JfNN2A5HvIUpaqWlN9kN41vc0Jb/view?usp=sharing</v>
      </c>
    </row>
    <row r="51">
      <c r="A51" s="348" t="s">
        <v>4524</v>
      </c>
      <c r="B51" s="348" t="s">
        <v>4729</v>
      </c>
      <c r="C51" s="348" t="s">
        <v>4953</v>
      </c>
      <c r="D51" s="348"/>
      <c r="E51" s="348"/>
      <c r="F51" s="348" t="s">
        <v>5816</v>
      </c>
      <c r="G51" s="348" t="s">
        <v>5810</v>
      </c>
      <c r="H51" s="349">
        <v>650.0</v>
      </c>
      <c r="I51" s="11" t="str">
        <f>IFERROR(__xludf.DUMMYFUNCTION("VLOOKUP($A51,IMPORTRANGE(""https://docs.google.com/spreadsheets/d/1u9GbdmgAEc9k6kHu3ZfH25nxRNstVbRmM2ai-cDl3lY/edit?gid=2020727688#gid=2020727688"", ""Form responses 1!$F:$T""),12,false)"),"https://drive.google.com/file/d/1RUxzcne1e7MhLNwJr4rOkhyuDsqDYbrj/view?usp=sharing")</f>
        <v>https://drive.google.com/file/d/1RUxzcne1e7MhLNwJr4rOkhyuDsqDYbrj/view?usp=sharing</v>
      </c>
    </row>
    <row r="52">
      <c r="A52" s="348" t="s">
        <v>4528</v>
      </c>
      <c r="B52" s="348" t="s">
        <v>4729</v>
      </c>
      <c r="C52" s="348" t="s">
        <v>4983</v>
      </c>
      <c r="D52" s="348"/>
      <c r="E52" s="348"/>
      <c r="F52" s="348" t="s">
        <v>5816</v>
      </c>
      <c r="G52" s="348" t="s">
        <v>5810</v>
      </c>
      <c r="H52" s="349">
        <v>2100.0</v>
      </c>
      <c r="I52" s="11" t="str">
        <f>IFERROR(__xludf.DUMMYFUNCTION("VLOOKUP($A52,IMPORTRANGE(""https://docs.google.com/spreadsheets/d/1u9GbdmgAEc9k6kHu3ZfH25nxRNstVbRmM2ai-cDl3lY/edit?gid=2020727688#gid=2020727688"", ""Form responses 1!$F:$T""),12,false)"),"https://drive.google.com/file/d/1zUyxOK0TZDO3BDiINiUPhvIAfolRhYBx/view?usp=drive_link")</f>
        <v>https://drive.google.com/file/d/1zUyxOK0TZDO3BDiINiUPhvIAfolRhYBx/view?usp=drive_link</v>
      </c>
    </row>
    <row r="53">
      <c r="A53" s="348" t="s">
        <v>3304</v>
      </c>
      <c r="B53" s="348" t="s">
        <v>4729</v>
      </c>
      <c r="C53" s="348" t="s">
        <v>4943</v>
      </c>
      <c r="D53" s="348"/>
      <c r="E53" s="348"/>
      <c r="F53" s="348" t="s">
        <v>5816</v>
      </c>
      <c r="G53" s="348" t="s">
        <v>5810</v>
      </c>
      <c r="H53" s="349">
        <v>1300.0</v>
      </c>
      <c r="I53" s="11" t="str">
        <f>IFERROR(__xludf.DUMMYFUNCTION("VLOOKUP($A53,IMPORTRANGE(""https://docs.google.com/spreadsheets/d/1u9GbdmgAEc9k6kHu3ZfH25nxRNstVbRmM2ai-cDl3lY/edit?gid=2020727688#gid=2020727688"", ""Form responses 1!$F:$T""),12,false)"),"https://drive.google.com/open?id=19giD1nq2hUvAL6e9k0jM65xVXkkZrEZg")</f>
        <v>https://drive.google.com/open?id=19giD1nq2hUvAL6e9k0jM65xVXkkZrEZg</v>
      </c>
    </row>
    <row r="54">
      <c r="A54" s="348" t="s">
        <v>2899</v>
      </c>
      <c r="B54" s="348" t="s">
        <v>4729</v>
      </c>
      <c r="C54" s="348" t="s">
        <v>5073</v>
      </c>
      <c r="D54" s="348"/>
      <c r="E54" s="348"/>
      <c r="F54" s="348" t="s">
        <v>5816</v>
      </c>
      <c r="G54" s="348" t="s">
        <v>5810</v>
      </c>
      <c r="H54" s="349">
        <v>1250.0</v>
      </c>
      <c r="I54" s="11" t="str">
        <f>IFERROR(__xludf.DUMMYFUNCTION("VLOOKUP($A54,IMPORTRANGE(""https://docs.google.com/spreadsheets/d/1u9GbdmgAEc9k6kHu3ZfH25nxRNstVbRmM2ai-cDl3lY/edit?gid=2020727688#gid=2020727688"", ""Form responses 1!$F:$T""),12,false)"),"https://drive.google.com/open?id=1ShEqoC0ZT9-LAJ6dYoH7qSIv6C3dY5B4")</f>
        <v>https://drive.google.com/open?id=1ShEqoC0ZT9-LAJ6dYoH7qSIv6C3dY5B4</v>
      </c>
    </row>
    <row r="55">
      <c r="A55" s="348" t="s">
        <v>4530</v>
      </c>
      <c r="B55" s="348" t="s">
        <v>4729</v>
      </c>
      <c r="C55" s="348" t="s">
        <v>5091</v>
      </c>
      <c r="D55" s="348"/>
      <c r="E55" s="348"/>
      <c r="F55" s="348" t="s">
        <v>5816</v>
      </c>
      <c r="G55" s="348" t="s">
        <v>5810</v>
      </c>
      <c r="H55" s="349">
        <v>2000.0</v>
      </c>
      <c r="I55" s="11" t="str">
        <f>IFERROR(__xludf.DUMMYFUNCTION("VLOOKUP($A55,IMPORTRANGE(""https://docs.google.com/spreadsheets/d/1u9GbdmgAEc9k6kHu3ZfH25nxRNstVbRmM2ai-cDl3lY/edit?gid=2020727688#gid=2020727688"", ""Form responses 1!$F:$T""),12,false)"),"https://drive.google.com/file/d/1z6V50LPjjlUpglc8Q_TJohRIJAER0Jl5/view?usp=sharing")</f>
        <v>https://drive.google.com/file/d/1z6V50LPjjlUpglc8Q_TJohRIJAER0Jl5/view?usp=sharing</v>
      </c>
    </row>
    <row r="56">
      <c r="A56" s="348" t="s">
        <v>3050</v>
      </c>
      <c r="B56" s="348" t="s">
        <v>4729</v>
      </c>
      <c r="C56" s="348" t="s">
        <v>4966</v>
      </c>
      <c r="D56" s="348"/>
      <c r="E56" s="348"/>
      <c r="F56" s="348" t="s">
        <v>5816</v>
      </c>
      <c r="G56" s="348" t="s">
        <v>5810</v>
      </c>
      <c r="H56" s="349">
        <v>850.0</v>
      </c>
      <c r="I56" s="11" t="str">
        <f>IFERROR(__xludf.DUMMYFUNCTION("VLOOKUP($A56,IMPORTRANGE(""https://docs.google.com/spreadsheets/d/1u9GbdmgAEc9k6kHu3ZfH25nxRNstVbRmM2ai-cDl3lY/edit?gid=2020727688#gid=2020727688"", ""Form responses 1!$F:$T""),12,false)"),"https://drive.google.com/file/d/1ApGCDWfkweNDM3I4OoZZ_UTJmdOWBBan/view?usp=sharing")</f>
        <v>https://drive.google.com/file/d/1ApGCDWfkweNDM3I4OoZZ_UTJmdOWBBan/view?usp=sharing</v>
      </c>
    </row>
    <row r="57">
      <c r="A57" s="348" t="s">
        <v>4533</v>
      </c>
      <c r="B57" s="348" t="s">
        <v>4729</v>
      </c>
      <c r="C57" s="348" t="s">
        <v>4975</v>
      </c>
      <c r="D57" s="348"/>
      <c r="E57" s="348"/>
      <c r="F57" s="348" t="s">
        <v>5816</v>
      </c>
      <c r="G57" s="348" t="s">
        <v>5810</v>
      </c>
      <c r="H57" s="349">
        <v>1500.0</v>
      </c>
      <c r="I57" s="11" t="str">
        <f>IFERROR(__xludf.DUMMYFUNCTION("VLOOKUP($A57,IMPORTRANGE(""https://docs.google.com/spreadsheets/d/1u9GbdmgAEc9k6kHu3ZfH25nxRNstVbRmM2ai-cDl3lY/edit?gid=2020727688#gid=2020727688"", ""Form responses 1!$F:$T""),12,false)"),"https://drive.google.com/open?id=1ie-i-3ci2FRBz_rTE8nRwf50t7K5xGuB")</f>
        <v>https://drive.google.com/open?id=1ie-i-3ci2FRBz_rTE8nRwf50t7K5xGuB</v>
      </c>
    </row>
    <row r="58">
      <c r="A58" s="348" t="s">
        <v>3472</v>
      </c>
      <c r="B58" s="348" t="s">
        <v>4729</v>
      </c>
      <c r="C58" s="348" t="s">
        <v>4951</v>
      </c>
      <c r="D58" s="348"/>
      <c r="E58" s="348"/>
      <c r="F58" s="348" t="s">
        <v>5816</v>
      </c>
      <c r="G58" s="348" t="s">
        <v>5810</v>
      </c>
      <c r="H58" s="349">
        <v>800.0</v>
      </c>
      <c r="I58" s="11" t="str">
        <f>IFERROR(__xludf.DUMMYFUNCTION("VLOOKUP($A58,IMPORTRANGE(""https://docs.google.com/spreadsheets/d/1u9GbdmgAEc9k6kHu3ZfH25nxRNstVbRmM2ai-cDl3lY/edit?gid=2020727688#gid=2020727688"", ""Form responses 1!$F:$T""),12,false)"),"https://drive.google.com/file/d/1i8Vfi_oKXVlMiTCQsHdVGzClDkuI4H2Z/view?usp=sharing")</f>
        <v>https://drive.google.com/file/d/1i8Vfi_oKXVlMiTCQsHdVGzClDkuI4H2Z/view?usp=sharing</v>
      </c>
    </row>
    <row r="59">
      <c r="A59" s="348" t="s">
        <v>3086</v>
      </c>
      <c r="B59" s="348" t="s">
        <v>4729</v>
      </c>
      <c r="C59" s="348" t="s">
        <v>4989</v>
      </c>
      <c r="D59" s="348"/>
      <c r="E59" s="348"/>
      <c r="F59" s="348" t="s">
        <v>5816</v>
      </c>
      <c r="G59" s="348" t="s">
        <v>5810</v>
      </c>
      <c r="H59" s="349">
        <v>1400.0</v>
      </c>
      <c r="I59" s="11" t="str">
        <f>IFERROR(__xludf.DUMMYFUNCTION("VLOOKUP($A59,IMPORTRANGE(""https://docs.google.com/spreadsheets/d/1u9GbdmgAEc9k6kHu3ZfH25nxRNstVbRmM2ai-cDl3lY/edit?gid=2020727688#gid=2020727688"", ""Form responses 1!$F:$T""),12,false)"),"https://drive.google.com/open?id=1uTzAL7o9Gj_AhV2b4sNozLZZ8z47DUm5")</f>
        <v>https://drive.google.com/open?id=1uTzAL7o9Gj_AhV2b4sNozLZZ8z47DUm5</v>
      </c>
    </row>
    <row r="60">
      <c r="A60" s="348" t="s">
        <v>4527</v>
      </c>
      <c r="B60" s="348" t="s">
        <v>4729</v>
      </c>
      <c r="C60" s="348" t="s">
        <v>3014</v>
      </c>
      <c r="D60" s="348"/>
      <c r="E60" s="348"/>
      <c r="F60" s="348" t="s">
        <v>5816</v>
      </c>
      <c r="G60" s="348" t="s">
        <v>5810</v>
      </c>
      <c r="H60" s="349">
        <v>1000.0</v>
      </c>
      <c r="I60" s="11" t="str">
        <f>IFERROR(__xludf.DUMMYFUNCTION("VLOOKUP($A60,IMPORTRANGE(""https://docs.google.com/spreadsheets/d/1u9GbdmgAEc9k6kHu3ZfH25nxRNstVbRmM2ai-cDl3lY/edit?gid=2020727688#gid=2020727688"", ""Form responses 1!$F:$T""),12,false)"),"https://drive.google.com/open?id=17t6JWyd_gg0cPqsplmWZIzloU9WorNN8")</f>
        <v>https://drive.google.com/open?id=17t6JWyd_gg0cPqsplmWZIzloU9WorNN8</v>
      </c>
    </row>
    <row r="61">
      <c r="A61" s="348" t="s">
        <v>4534</v>
      </c>
      <c r="B61" s="348" t="s">
        <v>4729</v>
      </c>
      <c r="C61" s="348" t="s">
        <v>4979</v>
      </c>
      <c r="D61" s="348"/>
      <c r="E61" s="348"/>
      <c r="F61" s="348" t="s">
        <v>5816</v>
      </c>
      <c r="G61" s="348" t="s">
        <v>5810</v>
      </c>
      <c r="H61" s="349">
        <v>1150.0</v>
      </c>
      <c r="I61" s="11" t="str">
        <f>IFERROR(__xludf.DUMMYFUNCTION("VLOOKUP($A61,IMPORTRANGE(""https://docs.google.com/spreadsheets/d/1u9GbdmgAEc9k6kHu3ZfH25nxRNstVbRmM2ai-cDl3lY/edit?gid=2020727688#gid=2020727688"", ""Form responses 1!$F:$T""),12,false)"),"https://drive.google.com/open?id=1pq37an7mwOJiktLv1gNcxi3hBVT3H1_U")</f>
        <v>https://drive.google.com/open?id=1pq37an7mwOJiktLv1gNcxi3hBVT3H1_U</v>
      </c>
    </row>
    <row r="62">
      <c r="A62" s="348" t="s">
        <v>4536</v>
      </c>
      <c r="B62" s="348" t="s">
        <v>4729</v>
      </c>
      <c r="C62" s="348" t="s">
        <v>4940</v>
      </c>
      <c r="D62" s="348"/>
      <c r="E62" s="348"/>
      <c r="F62" s="348" t="s">
        <v>5816</v>
      </c>
      <c r="G62" s="348" t="s">
        <v>5810</v>
      </c>
      <c r="H62" s="349">
        <v>2800.0</v>
      </c>
      <c r="I62" s="11" t="str">
        <f>IFERROR(__xludf.DUMMYFUNCTION("VLOOKUP($A62,IMPORTRANGE(""https://docs.google.com/spreadsheets/d/1u9GbdmgAEc9k6kHu3ZfH25nxRNstVbRmM2ai-cDl3lY/edit?gid=2020727688#gid=2020727688"", ""Form responses 1!$F:$T""),12,false)"),"https://drive.google.com/open?id=1LvS87MpoiBXst1DElBREV1TUolG_A5ud")</f>
        <v>https://drive.google.com/open?id=1LvS87MpoiBXst1DElBREV1TUolG_A5ud</v>
      </c>
    </row>
    <row r="63">
      <c r="A63" s="348" t="s">
        <v>2916</v>
      </c>
      <c r="B63" s="348" t="s">
        <v>4729</v>
      </c>
      <c r="C63" s="348" t="s">
        <v>4969</v>
      </c>
      <c r="D63" s="348"/>
      <c r="E63" s="348"/>
      <c r="F63" s="348" t="s">
        <v>5816</v>
      </c>
      <c r="G63" s="348" t="s">
        <v>5810</v>
      </c>
      <c r="H63" s="349">
        <v>1700.0</v>
      </c>
      <c r="I63" s="11" t="str">
        <f>IFERROR(__xludf.DUMMYFUNCTION("VLOOKUP($A63,IMPORTRANGE(""https://docs.google.com/spreadsheets/d/1u9GbdmgAEc9k6kHu3ZfH25nxRNstVbRmM2ai-cDl3lY/edit?gid=2020727688#gid=2020727688"", ""Form responses 1!$F:$T""),12,false)"),"https://drive.google.com/file/d/1DQjc51BEU0T30Xjh2xKkQhLdasfaclIs/view?usp=drive_link")</f>
        <v>https://drive.google.com/file/d/1DQjc51BEU0T30Xjh2xKkQhLdasfaclIs/view?usp=drive_link</v>
      </c>
    </row>
    <row r="64">
      <c r="A64" s="348" t="s">
        <v>4539</v>
      </c>
      <c r="B64" s="348" t="s">
        <v>4729</v>
      </c>
      <c r="C64" s="348" t="s">
        <v>4930</v>
      </c>
      <c r="D64" s="348"/>
      <c r="E64" s="348"/>
      <c r="F64" s="348" t="s">
        <v>5816</v>
      </c>
      <c r="G64" s="348" t="s">
        <v>5810</v>
      </c>
      <c r="H64" s="349">
        <v>900.0</v>
      </c>
      <c r="I64" s="11" t="str">
        <f>IFERROR(__xludf.DUMMYFUNCTION("VLOOKUP($A64,IMPORTRANGE(""https://docs.google.com/spreadsheets/d/1u9GbdmgAEc9k6kHu3ZfH25nxRNstVbRmM2ai-cDl3lY/edit?gid=2020727688#gid=2020727688"", ""Form responses 1!$F:$T""),12,false)"),"https://drive.google.com/file/d/151_xA3nBsr0x2k-5jV43tfh5inf9V6NE/view?usp=sharing")</f>
        <v>https://drive.google.com/file/d/151_xA3nBsr0x2k-5jV43tfh5inf9V6NE/view?usp=sharing</v>
      </c>
    </row>
    <row r="65">
      <c r="A65" s="348" t="s">
        <v>4540</v>
      </c>
      <c r="B65" s="348" t="s">
        <v>4729</v>
      </c>
      <c r="C65" s="348" t="s">
        <v>5078</v>
      </c>
      <c r="D65" s="348"/>
      <c r="E65" s="348"/>
      <c r="F65" s="348" t="s">
        <v>5816</v>
      </c>
      <c r="G65" s="348" t="s">
        <v>5810</v>
      </c>
      <c r="H65" s="349">
        <v>1050.0</v>
      </c>
      <c r="I65" s="11" t="str">
        <f>IFERROR(__xludf.DUMMYFUNCTION("VLOOKUP($A65,IMPORTRANGE(""https://docs.google.com/spreadsheets/d/1u9GbdmgAEc9k6kHu3ZfH25nxRNstVbRmM2ai-cDl3lY/edit?gid=2020727688#gid=2020727688"", ""Form responses 1!$F:$T""),12,false)"),"https://drive.google.com/open?id=1v_lo8DqIu3065fuin_Tp4T13iYtHerDH")</f>
        <v>https://drive.google.com/open?id=1v_lo8DqIu3065fuin_Tp4T13iYtHerDH</v>
      </c>
    </row>
    <row r="66">
      <c r="A66" s="348" t="s">
        <v>3241</v>
      </c>
      <c r="B66" s="348" t="s">
        <v>4729</v>
      </c>
      <c r="C66" s="348" t="s">
        <v>5112</v>
      </c>
      <c r="D66" s="348"/>
      <c r="E66" s="348"/>
      <c r="F66" s="348" t="s">
        <v>5816</v>
      </c>
      <c r="G66" s="348" t="s">
        <v>5810</v>
      </c>
      <c r="H66" s="349">
        <v>1700.0</v>
      </c>
      <c r="I66" s="11" t="str">
        <f>IFERROR(__xludf.DUMMYFUNCTION("VLOOKUP($A66,IMPORTRANGE(""https://docs.google.com/spreadsheets/d/1u9GbdmgAEc9k6kHu3ZfH25nxRNstVbRmM2ai-cDl3lY/edit?gid=2020727688#gid=2020727688"", ""Form responses 1!$F:$T""),12,false)"),"https://drive.google.com/file/d/1wkX7arXSoYEhRvhJEZai8H0D6JAL6MYd/view?usp=drive_link")</f>
        <v>https://drive.google.com/file/d/1wkX7arXSoYEhRvhJEZai8H0D6JAL6MYd/view?usp=drive_link</v>
      </c>
    </row>
    <row r="67">
      <c r="A67" s="348" t="s">
        <v>4522</v>
      </c>
      <c r="B67" s="348" t="s">
        <v>4729</v>
      </c>
      <c r="C67" s="348" t="s">
        <v>4960</v>
      </c>
      <c r="D67" s="348"/>
      <c r="E67" s="348"/>
      <c r="F67" s="348" t="s">
        <v>5816</v>
      </c>
      <c r="G67" s="348" t="s">
        <v>5810</v>
      </c>
      <c r="H67" s="349">
        <v>1500.0</v>
      </c>
      <c r="I67" s="11" t="str">
        <f>IFERROR(__xludf.DUMMYFUNCTION("VLOOKUP($A67,IMPORTRANGE(""https://docs.google.com/spreadsheets/d/1u9GbdmgAEc9k6kHu3ZfH25nxRNstVbRmM2ai-cDl3lY/edit?gid=2020727688#gid=2020727688"", ""Form responses 1!$F:$T""),12,false)"),"https://drive.google.com/open?id=1Kxx-heZcXh2_syHu8UE42v0vEREMjMz2")</f>
        <v>https://drive.google.com/open?id=1Kxx-heZcXh2_syHu8UE42v0vEREMjMz2</v>
      </c>
    </row>
    <row r="68">
      <c r="A68" s="348" t="s">
        <v>4538</v>
      </c>
      <c r="B68" s="348" t="s">
        <v>4729</v>
      </c>
      <c r="C68" s="348" t="s">
        <v>2879</v>
      </c>
      <c r="D68" s="348"/>
      <c r="E68" s="348"/>
      <c r="F68" s="348" t="s">
        <v>5816</v>
      </c>
      <c r="G68" s="348" t="s">
        <v>5810</v>
      </c>
      <c r="H68" s="349">
        <v>1550.0</v>
      </c>
      <c r="I68" s="11" t="str">
        <f>IFERROR(__xludf.DUMMYFUNCTION("VLOOKUP($A68,IMPORTRANGE(""https://docs.google.com/spreadsheets/d/1u9GbdmgAEc9k6kHu3ZfH25nxRNstVbRmM2ai-cDl3lY/edit?gid=2020727688#gid=2020727688"", ""Form responses 1!$F:$T""),12,false)"),"https://drive.google.com/open?id=1FiLBuVu39WsXUpx-pMYv9DD5vesTLE6Q")</f>
        <v>https://drive.google.com/open?id=1FiLBuVu39WsXUpx-pMYv9DD5vesTLE6Q</v>
      </c>
    </row>
    <row r="69">
      <c r="A69" s="348" t="s">
        <v>4613</v>
      </c>
      <c r="B69" s="348" t="s">
        <v>4748</v>
      </c>
      <c r="C69" s="348" t="s">
        <v>5267</v>
      </c>
      <c r="D69" s="348"/>
      <c r="E69" s="348"/>
      <c r="F69" s="348" t="s">
        <v>5809</v>
      </c>
      <c r="G69" s="348" t="s">
        <v>5810</v>
      </c>
      <c r="H69" s="349">
        <v>1350.0</v>
      </c>
      <c r="I69" s="11" t="str">
        <f>IFERROR(__xludf.DUMMYFUNCTION("VLOOKUP($A69,IMPORTRANGE(""https://docs.google.com/spreadsheets/d/1u9GbdmgAEc9k6kHu3ZfH25nxRNstVbRmM2ai-cDl3lY/edit?gid=2020727688#gid=2020727688"", ""Form responses 1!$F:$T""),12,false)"),"https://drive.google.com/open?id=162r9GRWenLdWtgOOBNHz2abKJ2C6PTH1")</f>
        <v>https://drive.google.com/open?id=162r9GRWenLdWtgOOBNHz2abKJ2C6PTH1</v>
      </c>
    </row>
    <row r="70">
      <c r="A70" s="348" t="s">
        <v>4621</v>
      </c>
      <c r="B70" s="348" t="s">
        <v>4748</v>
      </c>
      <c r="C70" s="348" t="s">
        <v>5269</v>
      </c>
      <c r="D70" s="348"/>
      <c r="E70" s="348"/>
      <c r="F70" s="348" t="s">
        <v>5809</v>
      </c>
      <c r="G70" s="348" t="s">
        <v>5810</v>
      </c>
      <c r="H70" s="349">
        <v>2050.0</v>
      </c>
      <c r="I70" s="11" t="str">
        <f>IFERROR(__xludf.DUMMYFUNCTION("VLOOKUP($A70,IMPORTRANGE(""https://docs.google.com/spreadsheets/d/1u9GbdmgAEc9k6kHu3ZfH25nxRNstVbRmM2ai-cDl3lY/edit?gid=2020727688#gid=2020727688"", ""Form responses 1!$F:$T""),12,false)"),"https://drive.google.com/open?id=11O8VteJRp5N0qlEa_NE0Ompj2mgpgeze")</f>
        <v>https://drive.google.com/open?id=11O8VteJRp5N0qlEa_NE0Ompj2mgpgeze</v>
      </c>
    </row>
    <row r="71">
      <c r="A71" s="348" t="s">
        <v>4594</v>
      </c>
      <c r="B71" s="348" t="s">
        <v>4748</v>
      </c>
      <c r="C71" s="348" t="s">
        <v>5273</v>
      </c>
      <c r="D71" s="348"/>
      <c r="E71" s="348"/>
      <c r="F71" s="348" t="s">
        <v>5809</v>
      </c>
      <c r="G71" s="348" t="s">
        <v>5810</v>
      </c>
      <c r="H71" s="349">
        <v>1250.0</v>
      </c>
      <c r="I71" s="11" t="str">
        <f>IFERROR(__xludf.DUMMYFUNCTION("VLOOKUP($A71,IMPORTRANGE(""https://docs.google.com/spreadsheets/d/1u9GbdmgAEc9k6kHu3ZfH25nxRNstVbRmM2ai-cDl3lY/edit?gid=2020727688#gid=2020727688"", ""Form responses 1!$F:$T""),12,false)"),"https://drive.google.com/open?id=1GRBuz3kPQ38YLoYhsL1sKzIJnJ9Fb7wG")</f>
        <v>https://drive.google.com/open?id=1GRBuz3kPQ38YLoYhsL1sKzIJnJ9Fb7wG</v>
      </c>
    </row>
    <row r="72">
      <c r="A72" s="348" t="s">
        <v>4597</v>
      </c>
      <c r="B72" s="348" t="s">
        <v>4748</v>
      </c>
      <c r="C72" s="348" t="s">
        <v>5287</v>
      </c>
      <c r="D72" s="348"/>
      <c r="E72" s="348"/>
      <c r="F72" s="348" t="s">
        <v>5809</v>
      </c>
      <c r="G72" s="348" t="s">
        <v>5810</v>
      </c>
      <c r="H72" s="349">
        <v>1150.0</v>
      </c>
      <c r="I72" s="14" t="str">
        <f>IFERROR(__xludf.DUMMYFUNCTION("VLOOKUP($A72,IMPORTRANGE(""https://docs.google.com/spreadsheets/d/1u9GbdmgAEc9k6kHu3ZfH25nxRNstVbRmM2ai-cDl3lY/edit?gid=2020727688#gid=2020727688"", ""Form responses 1!$F:$T""),12,false)"),"https://drive.google.com/open?id=1AP4xfvNTHXN9-OpEvYq7wPlCxTvG9tIa , https://drive.google.com/file/d/1EfH3bqjLBIJGpDklqc2wHXN5ZDcgAK1u/view?usp=sharing")</f>
        <v>https://drive.google.com/open?id=1AP4xfvNTHXN9-OpEvYq7wPlCxTvG9tIa , https://drive.google.com/file/d/1EfH3bqjLBIJGpDklqc2wHXN5ZDcgAK1u/view?usp=sharing</v>
      </c>
    </row>
    <row r="73">
      <c r="A73" s="348" t="s">
        <v>4588</v>
      </c>
      <c r="B73" s="348" t="s">
        <v>4748</v>
      </c>
      <c r="C73" s="348" t="s">
        <v>5330</v>
      </c>
      <c r="D73" s="348"/>
      <c r="E73" s="348"/>
      <c r="F73" s="348" t="s">
        <v>5809</v>
      </c>
      <c r="G73" s="348" t="s">
        <v>5810</v>
      </c>
      <c r="H73" s="349">
        <v>2300.0</v>
      </c>
      <c r="I73" s="14" t="str">
        <f>IFERROR(__xludf.DUMMYFUNCTION("VLOOKUP($A73,IMPORTRANGE(""https://docs.google.com/spreadsheets/d/1u9GbdmgAEc9k6kHu3ZfH25nxRNstVbRmM2ai-cDl3lY/edit?gid=2020727688#gid=2020727688"", ""Form responses 1!$F:$T""),12,false)"),"https://drive.google.com/open?id=1cDTA2il0rjy10J1yCZ_x5V0wKECUtRWG , https://drive.google.com/file/d/1TfW2PdceJdY0AoJiR-I3hTuj-bOe120_/view?usp=sharing")</f>
        <v>https://drive.google.com/open?id=1cDTA2il0rjy10J1yCZ_x5V0wKECUtRWG , https://drive.google.com/file/d/1TfW2PdceJdY0AoJiR-I3hTuj-bOe120_/view?usp=sharing</v>
      </c>
    </row>
    <row r="74">
      <c r="A74" s="348" t="s">
        <v>4587</v>
      </c>
      <c r="B74" s="348" t="s">
        <v>4748</v>
      </c>
      <c r="C74" s="348" t="s">
        <v>5319</v>
      </c>
      <c r="D74" s="348"/>
      <c r="E74" s="348"/>
      <c r="F74" s="348" t="s">
        <v>5809</v>
      </c>
      <c r="G74" s="348" t="s">
        <v>5810</v>
      </c>
      <c r="H74" s="349">
        <v>900.0</v>
      </c>
      <c r="I74" s="11" t="str">
        <f>IFERROR(__xludf.DUMMYFUNCTION("VLOOKUP($A74,IMPORTRANGE(""https://docs.google.com/spreadsheets/d/1u9GbdmgAEc9k6kHu3ZfH25nxRNstVbRmM2ai-cDl3lY/edit?gid=2020727688#gid=2020727688"", ""Form responses 1!$F:$T""),12,false)"),"https://drive.google.com/file/d/1f97IRR6DwWhljoEzvqTlhSp1cBwNz_K2/view?usp=sharing")</f>
        <v>https://drive.google.com/file/d/1f97IRR6DwWhljoEzvqTlhSp1cBwNz_K2/view?usp=sharing</v>
      </c>
    </row>
    <row r="75">
      <c r="A75" s="348" t="s">
        <v>4595</v>
      </c>
      <c r="B75" s="348" t="s">
        <v>4748</v>
      </c>
      <c r="C75" s="348" t="s">
        <v>5328</v>
      </c>
      <c r="D75" s="348"/>
      <c r="E75" s="348"/>
      <c r="F75" s="348" t="s">
        <v>5809</v>
      </c>
      <c r="G75" s="348" t="s">
        <v>5810</v>
      </c>
      <c r="H75" s="349">
        <v>1400.0</v>
      </c>
      <c r="I75" s="11" t="str">
        <f>IFERROR(__xludf.DUMMYFUNCTION("VLOOKUP($A75,IMPORTRANGE(""https://docs.google.com/spreadsheets/d/1u9GbdmgAEc9k6kHu3ZfH25nxRNstVbRmM2ai-cDl3lY/edit?gid=2020727688#gid=2020727688"", ""Form responses 1!$F:$T""),12,false)"),"https://drive.google.com/file/d/10DFe119e--eviK6qwSv75b00EVm-2sIH/view?usp=sharing")</f>
        <v>https://drive.google.com/file/d/10DFe119e--eviK6qwSv75b00EVm-2sIH/view?usp=sharing</v>
      </c>
    </row>
    <row r="76">
      <c r="A76" s="348" t="s">
        <v>4601</v>
      </c>
      <c r="B76" s="348" t="s">
        <v>4748</v>
      </c>
      <c r="C76" s="348" t="s">
        <v>5297</v>
      </c>
      <c r="D76" s="348"/>
      <c r="E76" s="348"/>
      <c r="F76" s="348" t="s">
        <v>5809</v>
      </c>
      <c r="G76" s="348" t="s">
        <v>5810</v>
      </c>
      <c r="H76" s="349">
        <v>1350.0</v>
      </c>
      <c r="I76" s="11" t="str">
        <f>IFERROR(__xludf.DUMMYFUNCTION("VLOOKUP($A76,IMPORTRANGE(""https://docs.google.com/spreadsheets/d/1u9GbdmgAEc9k6kHu3ZfH25nxRNstVbRmM2ai-cDl3lY/edit?gid=2020727688#gid=2020727688"", ""Form responses 1!$F:$T""),12,false)"),"https://drive.google.com/open?id=1-lq1NXtjN9plB7X2TB1aCw63Q_3_zGCb")</f>
        <v>https://drive.google.com/open?id=1-lq1NXtjN9plB7X2TB1aCw63Q_3_zGCb</v>
      </c>
    </row>
    <row r="77">
      <c r="A77" s="348" t="s">
        <v>4592</v>
      </c>
      <c r="B77" s="348" t="s">
        <v>4748</v>
      </c>
      <c r="C77" s="348" t="s">
        <v>5271</v>
      </c>
      <c r="D77" s="348"/>
      <c r="E77" s="348"/>
      <c r="F77" s="348" t="s">
        <v>5809</v>
      </c>
      <c r="G77" s="348" t="s">
        <v>5810</v>
      </c>
      <c r="H77" s="349">
        <v>2450.0</v>
      </c>
      <c r="I77" s="11" t="str">
        <f>IFERROR(__xludf.DUMMYFUNCTION("VLOOKUP($A77,IMPORTRANGE(""https://docs.google.com/spreadsheets/d/1u9GbdmgAEc9k6kHu3ZfH25nxRNstVbRmM2ai-cDl3lY/edit?gid=2020727688#gid=2020727688"", ""Form responses 1!$F:$T""),12,false)"),"https://drive.google.com/open?id=13Zk6ocGgfyIZNDiSaOYWVbYHZ-pPxPFp")</f>
        <v>https://drive.google.com/open?id=13Zk6ocGgfyIZNDiSaOYWVbYHZ-pPxPFp</v>
      </c>
    </row>
    <row r="78">
      <c r="A78" s="348" t="s">
        <v>4602</v>
      </c>
      <c r="B78" s="348" t="s">
        <v>4748</v>
      </c>
      <c r="C78" s="348" t="s">
        <v>5326</v>
      </c>
      <c r="D78" s="348"/>
      <c r="E78" s="348"/>
      <c r="F78" s="348" t="s">
        <v>5809</v>
      </c>
      <c r="G78" s="348" t="s">
        <v>5810</v>
      </c>
      <c r="H78" s="349">
        <v>1450.0</v>
      </c>
      <c r="I78" s="14" t="str">
        <f>IFERROR(__xludf.DUMMYFUNCTION("VLOOKUP($A78,IMPORTRANGE(""https://docs.google.com/spreadsheets/d/1u9GbdmgAEc9k6kHu3ZfH25nxRNstVbRmM2ai-cDl3lY/edit?gid=2020727688#gid=2020727688"", ""Form responses 1!$F:$T""),12,false)"),"https://drive.google.com/file/d/1b-Cyh77JZY972nJfXJuTQCkpEmQaHYzC/view?usp=sharing ,  https://drive.google.com/file/d/113tnbkJ3f0xYB7CC-YazMGiqX_9RgfaW/view?usp=sharing")</f>
        <v>https://drive.google.com/file/d/1b-Cyh77JZY972nJfXJuTQCkpEmQaHYzC/view?usp=sharing ,  https://drive.google.com/file/d/113tnbkJ3f0xYB7CC-YazMGiqX_9RgfaW/view?usp=sharing</v>
      </c>
    </row>
    <row r="79">
      <c r="A79" s="348" t="s">
        <v>4591</v>
      </c>
      <c r="B79" s="348" t="s">
        <v>4748</v>
      </c>
      <c r="C79" s="348" t="s">
        <v>5324</v>
      </c>
      <c r="D79" s="348"/>
      <c r="E79" s="348"/>
      <c r="F79" s="348" t="s">
        <v>5809</v>
      </c>
      <c r="G79" s="348" t="s">
        <v>5810</v>
      </c>
      <c r="H79" s="349">
        <v>1200.0</v>
      </c>
      <c r="I79" s="11" t="str">
        <f>IFERROR(__xludf.DUMMYFUNCTION("VLOOKUP($A79,IMPORTRANGE(""https://docs.google.com/spreadsheets/d/1u9GbdmgAEc9k6kHu3ZfH25nxRNstVbRmM2ai-cDl3lY/edit?gid=2020727688#gid=2020727688"", ""Form responses 1!$F:$T""),12,false)"),"https://drive.google.com/file/d/1JDjudD7_Fs_XyBOF_edpTKOooye52X6U/view?usp=sharing")</f>
        <v>https://drive.google.com/file/d/1JDjudD7_Fs_XyBOF_edpTKOooye52X6U/view?usp=sharing</v>
      </c>
    </row>
    <row r="80">
      <c r="A80" s="348" t="s">
        <v>4610</v>
      </c>
      <c r="B80" s="348" t="s">
        <v>4748</v>
      </c>
      <c r="C80" s="348" t="s">
        <v>5305</v>
      </c>
      <c r="D80" s="348"/>
      <c r="E80" s="348"/>
      <c r="F80" s="348" t="s">
        <v>5809</v>
      </c>
      <c r="G80" s="348" t="s">
        <v>5810</v>
      </c>
      <c r="H80" s="349">
        <v>1450.0</v>
      </c>
      <c r="I80" s="14" t="str">
        <f>IFERROR(__xludf.DUMMYFUNCTION("VLOOKUP($A80,IMPORTRANGE(""https://docs.google.com/spreadsheets/d/1u9GbdmgAEc9k6kHu3ZfH25nxRNstVbRmM2ai-cDl3lY/edit?gid=2020727688#gid=2020727688"", ""Form responses 1!$F:$T""),12,false)"),"https://drive.google.com/open?id=1rQ9JJH7lWWoveZuTnqHHGd7MTsGnDptH , https://drive.google.com/file/d/1_Ld01Mm3f-PTGIAL6IElXNgkt5azclEx/view?usp=sharing")</f>
        <v>https://drive.google.com/open?id=1rQ9JJH7lWWoveZuTnqHHGd7MTsGnDptH , https://drive.google.com/file/d/1_Ld01Mm3f-PTGIAL6IElXNgkt5azclEx/view?usp=sharing</v>
      </c>
    </row>
    <row r="81">
      <c r="A81" s="348" t="s">
        <v>4618</v>
      </c>
      <c r="B81" s="348" t="s">
        <v>4748</v>
      </c>
      <c r="C81" s="348" t="s">
        <v>5334</v>
      </c>
      <c r="D81" s="348"/>
      <c r="E81" s="348"/>
      <c r="F81" s="348" t="s">
        <v>5809</v>
      </c>
      <c r="G81" s="348" t="s">
        <v>5810</v>
      </c>
      <c r="H81" s="349">
        <v>2100.0</v>
      </c>
      <c r="I81" s="11" t="str">
        <f>IFERROR(__xludf.DUMMYFUNCTION("VLOOKUP($A81,IMPORTRANGE(""https://docs.google.com/spreadsheets/d/1u9GbdmgAEc9k6kHu3ZfH25nxRNstVbRmM2ai-cDl3lY/edit?gid=2020727688#gid=2020727688"", ""Form responses 1!$F:$T""),12,false)"),"https://drive.google.com/open?id=140fC3ZZ6qYWMHl7_iG5nWKO8gfNoxvu7")</f>
        <v>https://drive.google.com/open?id=140fC3ZZ6qYWMHl7_iG5nWKO8gfNoxvu7</v>
      </c>
    </row>
    <row r="82">
      <c r="A82" s="348" t="s">
        <v>4616</v>
      </c>
      <c r="B82" s="348" t="s">
        <v>4748</v>
      </c>
      <c r="C82" s="348" t="s">
        <v>5299</v>
      </c>
      <c r="D82" s="348"/>
      <c r="E82" s="348"/>
      <c r="F82" s="348" t="s">
        <v>5809</v>
      </c>
      <c r="G82" s="348" t="s">
        <v>5810</v>
      </c>
      <c r="H82" s="349">
        <v>1650.0</v>
      </c>
      <c r="I82" s="11" t="str">
        <f>IFERROR(__xludf.DUMMYFUNCTION("VLOOKUP($A82,IMPORTRANGE(""https://docs.google.com/spreadsheets/d/1u9GbdmgAEc9k6kHu3ZfH25nxRNstVbRmM2ai-cDl3lY/edit?gid=2020727688#gid=2020727688"", ""Form responses 1!$F:$T""),12,false)"),"https://drive.google.com/open?id=1f9jN_x5gVcbLA2vrR7ELX2RIxU4U6bjw")</f>
        <v>https://drive.google.com/open?id=1f9jN_x5gVcbLA2vrR7ELX2RIxU4U6bjw</v>
      </c>
    </row>
    <row r="83">
      <c r="A83" s="348" t="s">
        <v>4607</v>
      </c>
      <c r="B83" s="348" t="s">
        <v>4748</v>
      </c>
      <c r="C83" s="348" t="s">
        <v>757</v>
      </c>
      <c r="D83" s="348"/>
      <c r="E83" s="348"/>
      <c r="F83" s="348" t="s">
        <v>5809</v>
      </c>
      <c r="G83" s="348" t="s">
        <v>5810</v>
      </c>
      <c r="H83" s="349">
        <v>1950.0</v>
      </c>
      <c r="I83" s="11" t="str">
        <f>IFERROR(__xludf.DUMMYFUNCTION("VLOOKUP($A83,IMPORTRANGE(""https://docs.google.com/spreadsheets/d/1u9GbdmgAEc9k6kHu3ZfH25nxRNstVbRmM2ai-cDl3lY/edit?gid=2020727688#gid=2020727688"", ""Form responses 1!$F:$T""),12,false)"),"https://drive.google.com/open?id=1lXeD_x_0oNSezjd7zANWbWyAZ2eWM3jm")</f>
        <v>https://drive.google.com/open?id=1lXeD_x_0oNSezjd7zANWbWyAZ2eWM3jm</v>
      </c>
    </row>
    <row r="84">
      <c r="A84" s="348" t="s">
        <v>4593</v>
      </c>
      <c r="B84" s="348" t="s">
        <v>4748</v>
      </c>
      <c r="C84" s="348" t="s">
        <v>5338</v>
      </c>
      <c r="D84" s="348"/>
      <c r="E84" s="348"/>
      <c r="F84" s="348" t="s">
        <v>5809</v>
      </c>
      <c r="G84" s="348" t="s">
        <v>5810</v>
      </c>
      <c r="H84" s="349">
        <v>1300.0</v>
      </c>
      <c r="I84" s="11" t="str">
        <f>IFERROR(__xludf.DUMMYFUNCTION("VLOOKUP($A84,IMPORTRANGE(""https://docs.google.com/spreadsheets/d/1u9GbdmgAEc9k6kHu3ZfH25nxRNstVbRmM2ai-cDl3lY/edit?gid=2020727688#gid=2020727688"", ""Form responses 1!$F:$T""),12,false)"),"https://drive.google.com/file/d/1B6p0_ZxRQJeqsv65--86hfcRi-KC7xcq/view?usp=sharing")</f>
        <v>https://drive.google.com/file/d/1B6p0_ZxRQJeqsv65--86hfcRi-KC7xcq/view?usp=sharing</v>
      </c>
    </row>
    <row r="85">
      <c r="A85" s="348" t="s">
        <v>4603</v>
      </c>
      <c r="B85" s="348" t="s">
        <v>4748</v>
      </c>
      <c r="C85" s="348" t="s">
        <v>5281</v>
      </c>
      <c r="D85" s="348"/>
      <c r="E85" s="348"/>
      <c r="F85" s="348" t="s">
        <v>5809</v>
      </c>
      <c r="G85" s="348" t="s">
        <v>5810</v>
      </c>
      <c r="H85" s="349">
        <v>3100.0</v>
      </c>
      <c r="I85" s="11" t="str">
        <f>IFERROR(__xludf.DUMMYFUNCTION("VLOOKUP($A85,IMPORTRANGE(""https://docs.google.com/spreadsheets/d/1u9GbdmgAEc9k6kHu3ZfH25nxRNstVbRmM2ai-cDl3lY/edit?gid=2020727688#gid=2020727688"", ""Form responses 1!$F:$T""),12,false)"),"https://drive.google.com/open?id=1DV5J4_RytkwPczLGvGbTbVypnIjnLetq")</f>
        <v>https://drive.google.com/open?id=1DV5J4_RytkwPczLGvGbTbVypnIjnLetq</v>
      </c>
    </row>
    <row r="86">
      <c r="A86" s="348" t="s">
        <v>4617</v>
      </c>
      <c r="B86" s="348" t="s">
        <v>4748</v>
      </c>
      <c r="C86" s="348" t="s">
        <v>5336</v>
      </c>
      <c r="D86" s="348"/>
      <c r="E86" s="348"/>
      <c r="F86" s="348" t="s">
        <v>5809</v>
      </c>
      <c r="G86" s="348" t="s">
        <v>5810</v>
      </c>
      <c r="H86" s="349">
        <v>3300.0</v>
      </c>
      <c r="I86" s="14" t="str">
        <f>IFERROR(__xludf.DUMMYFUNCTION("VLOOKUP($A86,IMPORTRANGE(""https://docs.google.com/spreadsheets/d/1u9GbdmgAEc9k6kHu3ZfH25nxRNstVbRmM2ai-cDl3lY/edit?gid=2020727688#gid=2020727688"", ""Form responses 1!$F:$T""),12,false)"),"https://drive.google.com/open?id=1UkVOBp_9tRUwxFw09j_wWBUMMMPolaA0 , https://drive.google.com/open?id=1o2BSHEi57WS76FIgRHK_lwfpVFZK0P5y")</f>
        <v>https://drive.google.com/open?id=1UkVOBp_9tRUwxFw09j_wWBUMMMPolaA0 , https://drive.google.com/open?id=1o2BSHEi57WS76FIgRHK_lwfpVFZK0P5y</v>
      </c>
    </row>
    <row r="87">
      <c r="A87" s="348" t="s">
        <v>4609</v>
      </c>
      <c r="B87" s="348" t="s">
        <v>4748</v>
      </c>
      <c r="C87" s="348" t="s">
        <v>5321</v>
      </c>
      <c r="D87" s="348"/>
      <c r="E87" s="348"/>
      <c r="F87" s="348" t="s">
        <v>5809</v>
      </c>
      <c r="G87" s="348" t="s">
        <v>5810</v>
      </c>
      <c r="H87" s="349">
        <v>1400.0</v>
      </c>
      <c r="I87" s="11" t="str">
        <f>IFERROR(__xludf.DUMMYFUNCTION("VLOOKUP($A87,IMPORTRANGE(""https://docs.google.com/spreadsheets/d/1u9GbdmgAEc9k6kHu3ZfH25nxRNstVbRmM2ai-cDl3lY/edit?gid=2020727688#gid=2020727688"", ""Form responses 1!$F:$T""),12,false)"),"https://drive.google.com/file/d/1zNbk_t7_ssuqrj36UOBIlhFBuh-cd03H/view?usp=sharing")</f>
        <v>https://drive.google.com/file/d/1zNbk_t7_ssuqrj36UOBIlhFBuh-cd03H/view?usp=sharing</v>
      </c>
    </row>
    <row r="88">
      <c r="A88" s="348" t="s">
        <v>4611</v>
      </c>
      <c r="B88" s="348" t="s">
        <v>4748</v>
      </c>
      <c r="C88" s="348" t="s">
        <v>5293</v>
      </c>
      <c r="D88" s="348"/>
      <c r="E88" s="348"/>
      <c r="F88" s="348" t="s">
        <v>5809</v>
      </c>
      <c r="G88" s="348" t="s">
        <v>5810</v>
      </c>
      <c r="H88" s="349">
        <v>300.0</v>
      </c>
      <c r="I88" s="11" t="str">
        <f>IFERROR(__xludf.DUMMYFUNCTION("VLOOKUP($A88,IMPORTRANGE(""https://docs.google.com/spreadsheets/d/1u9GbdmgAEc9k6kHu3ZfH25nxRNstVbRmM2ai-cDl3lY/edit?gid=2020727688#gid=2020727688"", ""Form responses 1!$F:$T""),12,false)"),"https://drive.google.com/open?id=19a8aIDnEIpzxmi6nOq30LSiKz3znjgDt")</f>
        <v>https://drive.google.com/open?id=19a8aIDnEIpzxmi6nOq30LSiKz3znjgDt</v>
      </c>
    </row>
    <row r="89">
      <c r="A89" s="348" t="s">
        <v>4604</v>
      </c>
      <c r="B89" s="348" t="s">
        <v>4748</v>
      </c>
      <c r="C89" s="348" t="s">
        <v>5311</v>
      </c>
      <c r="D89" s="348"/>
      <c r="E89" s="348"/>
      <c r="F89" s="348" t="s">
        <v>5809</v>
      </c>
      <c r="G89" s="348" t="s">
        <v>5810</v>
      </c>
      <c r="H89" s="349">
        <v>1000.0</v>
      </c>
      <c r="I89" s="11" t="str">
        <f>IFERROR(__xludf.DUMMYFUNCTION("VLOOKUP($A89,IMPORTRANGE(""https://docs.google.com/spreadsheets/d/1u9GbdmgAEc9k6kHu3ZfH25nxRNstVbRmM2ai-cDl3lY/edit?gid=2020727688#gid=2020727688"", ""Form responses 1!$F:$T""),12,false)"),"https://drive.google.com/open?id=1gr0oS4XXIeT_feeCvUh1MO7QywKFcdPj")</f>
        <v>https://drive.google.com/open?id=1gr0oS4XXIeT_feeCvUh1MO7QywKFcdPj</v>
      </c>
    </row>
    <row r="90">
      <c r="A90" s="348" t="s">
        <v>4615</v>
      </c>
      <c r="B90" s="348" t="s">
        <v>4748</v>
      </c>
      <c r="C90" s="348" t="s">
        <v>999</v>
      </c>
      <c r="D90" s="348"/>
      <c r="E90" s="348"/>
      <c r="F90" s="348" t="s">
        <v>5809</v>
      </c>
      <c r="G90" s="348" t="s">
        <v>5810</v>
      </c>
      <c r="H90" s="349">
        <v>1200.0</v>
      </c>
      <c r="I90" s="11" t="str">
        <f>IFERROR(__xludf.DUMMYFUNCTION("VLOOKUP($A90,IMPORTRANGE(""https://docs.google.com/spreadsheets/d/1u9GbdmgAEc9k6kHu3ZfH25nxRNstVbRmM2ai-cDl3lY/edit?gid=2020727688#gid=2020727688"", ""Form responses 1!$F:$T""),12,false)"),"https://drive.google.com/open?id=157kRRwj4PAtgwCrdqVyDHtcja4WJFFoN")</f>
        <v>https://drive.google.com/open?id=157kRRwj4PAtgwCrdqVyDHtcja4WJFFoN</v>
      </c>
    </row>
    <row r="91">
      <c r="A91" s="348" t="s">
        <v>4868</v>
      </c>
      <c r="B91" s="348" t="s">
        <v>4748</v>
      </c>
      <c r="C91" s="348" t="s">
        <v>5316</v>
      </c>
      <c r="D91" s="348"/>
      <c r="E91" s="348"/>
      <c r="F91" s="348" t="s">
        <v>5809</v>
      </c>
      <c r="G91" s="348" t="s">
        <v>5810</v>
      </c>
      <c r="H91" s="349">
        <v>950.0</v>
      </c>
      <c r="I91" s="11" t="str">
        <f>IFERROR(__xludf.DUMMYFUNCTION("VLOOKUP($A91,IMPORTRANGE(""https://docs.google.com/spreadsheets/d/1u9GbdmgAEc9k6kHu3ZfH25nxRNstVbRmM2ai-cDl3lY/edit?gid=2020727688#gid=2020727688"", ""Form responses 1!$F:$T""),12,false)"),"https://drive.google.com/open?id=11SvIJdXMhnXi4HDaoaGsZeh3D-4_i4BH")</f>
        <v>https://drive.google.com/open?id=11SvIJdXMhnXi4HDaoaGsZeh3D-4_i4BH</v>
      </c>
    </row>
    <row r="92">
      <c r="A92" s="348" t="s">
        <v>4596</v>
      </c>
      <c r="B92" s="348" t="s">
        <v>4748</v>
      </c>
      <c r="C92" s="348" t="s">
        <v>5301</v>
      </c>
      <c r="D92" s="348"/>
      <c r="E92" s="348"/>
      <c r="F92" s="348" t="s">
        <v>5809</v>
      </c>
      <c r="G92" s="348" t="s">
        <v>5810</v>
      </c>
      <c r="H92" s="349">
        <v>1400.0</v>
      </c>
      <c r="I92" s="11" t="str">
        <f>IFERROR(__xludf.DUMMYFUNCTION("VLOOKUP($A92,IMPORTRANGE(""https://docs.google.com/spreadsheets/d/1u9GbdmgAEc9k6kHu3ZfH25nxRNstVbRmM2ai-cDl3lY/edit?gid=2020727688#gid=2020727688"", ""Form responses 1!$F:$T""),12,false)"),"https://drive.google.com/open?id=10vSftbxnPti02vaS0TZbhcqb7nysacKv")</f>
        <v>https://drive.google.com/open?id=10vSftbxnPti02vaS0TZbhcqb7nysacKv</v>
      </c>
    </row>
    <row r="93">
      <c r="A93" s="348" t="s">
        <v>4606</v>
      </c>
      <c r="B93" s="348" t="s">
        <v>4748</v>
      </c>
      <c r="C93" s="348" t="s">
        <v>5291</v>
      </c>
      <c r="D93" s="348"/>
      <c r="E93" s="348"/>
      <c r="F93" s="348" t="s">
        <v>5809</v>
      </c>
      <c r="G93" s="348" t="s">
        <v>5810</v>
      </c>
      <c r="H93" s="349">
        <v>2650.0</v>
      </c>
      <c r="I93" s="11" t="str">
        <f>IFERROR(__xludf.DUMMYFUNCTION("VLOOKUP($A93,IMPORTRANGE(""https://docs.google.com/spreadsheets/d/1u9GbdmgAEc9k6kHu3ZfH25nxRNstVbRmM2ai-cDl3lY/edit?gid=2020727688#gid=2020727688"", ""Form responses 1!$F:$T""),12,false)"),"https://drive.google.com/open?id=13c4nMZU4RbX3UOz1zEwxSVfmuj3J9h-B")</f>
        <v>https://drive.google.com/open?id=13c4nMZU4RbX3UOz1zEwxSVfmuj3J9h-B</v>
      </c>
    </row>
    <row r="94">
      <c r="A94" s="348" t="s">
        <v>4598</v>
      </c>
      <c r="B94" s="348" t="s">
        <v>4748</v>
      </c>
      <c r="C94" s="348" t="s">
        <v>683</v>
      </c>
      <c r="D94" s="348"/>
      <c r="E94" s="348"/>
      <c r="F94" s="348" t="s">
        <v>5809</v>
      </c>
      <c r="G94" s="348" t="s">
        <v>5810</v>
      </c>
      <c r="H94" s="349">
        <v>1700.0</v>
      </c>
      <c r="I94" s="14" t="str">
        <f>IFERROR(__xludf.DUMMYFUNCTION("VLOOKUP($A94,IMPORTRANGE(""https://docs.google.com/spreadsheets/d/1u9GbdmgAEc9k6kHu3ZfH25nxRNstVbRmM2ai-cDl3lY/edit?gid=2020727688#gid=2020727688"", ""Form responses 1!$F:$T""),12,false)"),"https://drive.google.com/file/d/1gJQWLqP2ynfyRIxsHF8q6Qbif1xgDWER/view?usp=sharing , https://drive.google.com/file/d/1U35_NLLlvtiLgKDoUpEIFF94BNnwjrBP/view?usp=sharing")</f>
        <v>https://drive.google.com/file/d/1gJQWLqP2ynfyRIxsHF8q6Qbif1xgDWER/view?usp=sharing , https://drive.google.com/file/d/1U35_NLLlvtiLgKDoUpEIFF94BNnwjrBP/view?usp=sharing</v>
      </c>
    </row>
    <row r="95">
      <c r="A95" s="348" t="s">
        <v>4608</v>
      </c>
      <c r="B95" s="348" t="s">
        <v>4748</v>
      </c>
      <c r="C95" s="348" t="s">
        <v>5307</v>
      </c>
      <c r="D95" s="348"/>
      <c r="E95" s="348"/>
      <c r="F95" s="348" t="s">
        <v>5809</v>
      </c>
      <c r="G95" s="348" t="s">
        <v>5810</v>
      </c>
      <c r="H95" s="349">
        <v>2550.0</v>
      </c>
      <c r="I95" s="11" t="str">
        <f>IFERROR(__xludf.DUMMYFUNCTION("VLOOKUP($A95,IMPORTRANGE(""https://docs.google.com/spreadsheets/d/1u9GbdmgAEc9k6kHu3ZfH25nxRNstVbRmM2ai-cDl3lY/edit?gid=2020727688#gid=2020727688"", ""Form responses 1!$F:$T""),12,false)"),"https://drive.google.com/open?id=17IM01wEaZXxol4HHTCvwva8uZxjY2aDy")</f>
        <v>https://drive.google.com/open?id=17IM01wEaZXxol4HHTCvwva8uZxjY2aDy</v>
      </c>
    </row>
    <row r="96">
      <c r="A96" s="348" t="s">
        <v>1095</v>
      </c>
      <c r="B96" s="348" t="s">
        <v>4748</v>
      </c>
      <c r="C96" s="348" t="s">
        <v>5303</v>
      </c>
      <c r="D96" s="348"/>
      <c r="E96" s="348"/>
      <c r="F96" s="348" t="s">
        <v>5809</v>
      </c>
      <c r="G96" s="348" t="s">
        <v>5810</v>
      </c>
      <c r="H96" s="349">
        <v>1600.0</v>
      </c>
      <c r="I96" s="11" t="str">
        <f>IFERROR(__xludf.DUMMYFUNCTION("VLOOKUP($A96,IMPORTRANGE(""https://docs.google.com/spreadsheets/d/1u9GbdmgAEc9k6kHu3ZfH25nxRNstVbRmM2ai-cDl3lY/edit?gid=2020727688#gid=2020727688"", ""Form responses 1!$F:$T""),12,false)"),"https://drive.google.com/file/d/1Ehiqh5BC4lKqHDfUPHCGkbbgXna7cuCd/view?usp=sharing")</f>
        <v>https://drive.google.com/file/d/1Ehiqh5BC4lKqHDfUPHCGkbbgXna7cuCd/view?usp=sharing</v>
      </c>
    </row>
    <row r="97">
      <c r="A97" s="348" t="s">
        <v>4614</v>
      </c>
      <c r="B97" s="348" t="s">
        <v>4748</v>
      </c>
      <c r="C97" s="348" t="s">
        <v>5295</v>
      </c>
      <c r="D97" s="348"/>
      <c r="E97" s="348"/>
      <c r="F97" s="348" t="s">
        <v>5809</v>
      </c>
      <c r="G97" s="348" t="s">
        <v>5810</v>
      </c>
      <c r="H97" s="349">
        <v>150.0</v>
      </c>
      <c r="I97" s="11" t="str">
        <f>IFERROR(__xludf.DUMMYFUNCTION("VLOOKUP($A97,IMPORTRANGE(""https://docs.google.com/spreadsheets/d/1u9GbdmgAEc9k6kHu3ZfH25nxRNstVbRmM2ai-cDl3lY/edit?gid=2020727688#gid=2020727688"", ""Form responses 1!$F:$T""),12,false)"),"https://drive.google.com/open?id=11cQkVEFpFdnCXAF9i_C62zygBxoDfM1E")</f>
        <v>https://drive.google.com/open?id=11cQkVEFpFdnCXAF9i_C62zygBxoDfM1E</v>
      </c>
    </row>
    <row r="98">
      <c r="A98" s="348" t="s">
        <v>4605</v>
      </c>
      <c r="B98" s="348" t="s">
        <v>4748</v>
      </c>
      <c r="C98" s="348" t="s">
        <v>1092</v>
      </c>
      <c r="D98" s="348"/>
      <c r="E98" s="348"/>
      <c r="F98" s="348" t="s">
        <v>5809</v>
      </c>
      <c r="G98" s="348" t="s">
        <v>5810</v>
      </c>
      <c r="H98" s="349">
        <v>1150.0</v>
      </c>
      <c r="I98" s="11" t="str">
        <f>IFERROR(__xludf.DUMMYFUNCTION("VLOOKUP($A98,IMPORTRANGE(""https://docs.google.com/spreadsheets/d/1u9GbdmgAEc9k6kHu3ZfH25nxRNstVbRmM2ai-cDl3lY/edit?gid=2020727688#gid=2020727688"", ""Form responses 1!$F:$T""),12,false)"),"https://drive.google.com/open?id=1Eh4-aZu5_u88QfikZRho66v1WsNtHJd9")</f>
        <v>https://drive.google.com/open?id=1Eh4-aZu5_u88QfikZRho66v1WsNtHJd9</v>
      </c>
    </row>
    <row r="99">
      <c r="A99" s="348" t="s">
        <v>4612</v>
      </c>
      <c r="B99" s="348" t="s">
        <v>4748</v>
      </c>
      <c r="C99" s="348" t="s">
        <v>5289</v>
      </c>
      <c r="D99" s="348"/>
      <c r="E99" s="348"/>
      <c r="F99" s="348" t="s">
        <v>5809</v>
      </c>
      <c r="G99" s="348" t="s">
        <v>5810</v>
      </c>
      <c r="H99" s="349">
        <v>1200.0</v>
      </c>
      <c r="I99" s="11" t="str">
        <f>IFERROR(__xludf.DUMMYFUNCTION("VLOOKUP($A99,IMPORTRANGE(""https://docs.google.com/spreadsheets/d/1u9GbdmgAEc9k6kHu3ZfH25nxRNstVbRmM2ai-cDl3lY/edit?gid=2020727688#gid=2020727688"", ""Form responses 1!$F:$T""),12,false)"),"https://drive.google.com/open?id=1GeoidHl1fsFjX9vJYq9GjcsaGzhCIXHI")</f>
        <v>https://drive.google.com/open?id=1GeoidHl1fsFjX9vJYq9GjcsaGzhCIXHI</v>
      </c>
    </row>
    <row r="100">
      <c r="A100" s="348" t="s">
        <v>4599</v>
      </c>
      <c r="B100" s="348" t="s">
        <v>4748</v>
      </c>
      <c r="C100" s="348" t="s">
        <v>5309</v>
      </c>
      <c r="D100" s="348"/>
      <c r="E100" s="348"/>
      <c r="F100" s="348" t="s">
        <v>5809</v>
      </c>
      <c r="G100" s="348" t="s">
        <v>5810</v>
      </c>
      <c r="H100" s="349">
        <v>2250.0</v>
      </c>
      <c r="I100" s="11" t="str">
        <f>IFERROR(__xludf.DUMMYFUNCTION("VLOOKUP($A100,IMPORTRANGE(""https://docs.google.com/spreadsheets/d/1u9GbdmgAEc9k6kHu3ZfH25nxRNstVbRmM2ai-cDl3lY/edit?gid=2020727688#gid=2020727688"", ""Form responses 1!$F:$T""),12,false)"),"https://drive.google.com/open?id=1cP5_1RZq8SzgQqCuWvA0YdVVjFU8jyUq")</f>
        <v>https://drive.google.com/open?id=1cP5_1RZq8SzgQqCuWvA0YdVVjFU8jyUq</v>
      </c>
    </row>
    <row r="101">
      <c r="A101" s="348" t="s">
        <v>4620</v>
      </c>
      <c r="B101" s="348" t="s">
        <v>4748</v>
      </c>
      <c r="C101" s="348" t="s">
        <v>5265</v>
      </c>
      <c r="D101" s="348"/>
      <c r="E101" s="348"/>
      <c r="F101" s="348" t="s">
        <v>5809</v>
      </c>
      <c r="G101" s="348" t="s">
        <v>5810</v>
      </c>
      <c r="H101" s="349">
        <v>1600.0</v>
      </c>
      <c r="I101" s="11" t="str">
        <f>IFERROR(__xludf.DUMMYFUNCTION("VLOOKUP($A101,IMPORTRANGE(""https://docs.google.com/spreadsheets/d/1u9GbdmgAEc9k6kHu3ZfH25nxRNstVbRmM2ai-cDl3lY/edit?gid=2020727688#gid=2020727688"", ""Form responses 1!$F:$T""),12,false)"),"https://drive.google.com/open?id=10TCaGfv4vCEi17kQNuOf0TjcYntB7s9Y")</f>
        <v>https://drive.google.com/open?id=10TCaGfv4vCEi17kQNuOf0TjcYntB7s9Y</v>
      </c>
    </row>
    <row r="102">
      <c r="A102" s="348" t="s">
        <v>4619</v>
      </c>
      <c r="B102" s="348" t="s">
        <v>4748</v>
      </c>
      <c r="C102" s="348" t="s">
        <v>5314</v>
      </c>
      <c r="D102" s="348"/>
      <c r="E102" s="348"/>
      <c r="F102" s="348" t="s">
        <v>5809</v>
      </c>
      <c r="G102" s="348" t="s">
        <v>5810</v>
      </c>
      <c r="H102" s="349">
        <v>250.0</v>
      </c>
      <c r="I102" s="14" t="str">
        <f>IFERROR(__xludf.DUMMYFUNCTION("VLOOKUP($A102,IMPORTRANGE(""https://docs.google.com/spreadsheets/d/1u9GbdmgAEc9k6kHu3ZfH25nxRNstVbRmM2ai-cDl3lY/edit?gid=2020727688#gid=2020727688"", ""Form responses 1!$F:$T""),12,false)"),"https://drive.google.com/open?id=1J58587-eX8P1CGpoXlussVHyJDqKDa-j , https://drive.google.com/file/d/1C3C0wYpAooFlEkPy1fynlT8h98kHKKW_/view?usp=sharing")</f>
        <v>https://drive.google.com/open?id=1J58587-eX8P1CGpoXlussVHyJDqKDa-j , https://drive.google.com/file/d/1C3C0wYpAooFlEkPy1fynlT8h98kHKKW_/view?usp=sharing</v>
      </c>
    </row>
    <row r="103">
      <c r="A103" s="348" t="s">
        <v>4600</v>
      </c>
      <c r="B103" s="348" t="s">
        <v>4748</v>
      </c>
      <c r="C103" s="348" t="s">
        <v>5284</v>
      </c>
      <c r="D103" s="348"/>
      <c r="E103" s="348"/>
      <c r="F103" s="348" t="s">
        <v>5809</v>
      </c>
      <c r="G103" s="348" t="s">
        <v>5810</v>
      </c>
      <c r="H103" s="349">
        <v>2650.0</v>
      </c>
      <c r="I103" s="14" t="str">
        <f>IFERROR(__xludf.DUMMYFUNCTION("VLOOKUP($A103,IMPORTRANGE(""https://docs.google.com/spreadsheets/d/1u9GbdmgAEc9k6kHu3ZfH25nxRNstVbRmM2ai-cDl3lY/edit?gid=2020727688#gid=2020727688"", ""Form responses 1!$F:$T""),12,false)"),"https://drive.google.com/open?id=11JR3EPtK3PZeXimSsmcwNCGuiytW-60T , https://drive.google.com/file/d/1SJSCNgQPO6CdKk6O83G1FmnacdP3wKWr/view?usp=sharing")</f>
        <v>https://drive.google.com/open?id=11JR3EPtK3PZeXimSsmcwNCGuiytW-60T , https://drive.google.com/file/d/1SJSCNgQPO6CdKk6O83G1FmnacdP3wKWr/view?usp=sharing</v>
      </c>
    </row>
    <row r="104">
      <c r="A104" s="348" t="s">
        <v>4589</v>
      </c>
      <c r="B104" s="348" t="s">
        <v>4748</v>
      </c>
      <c r="C104" s="348" t="s">
        <v>5275</v>
      </c>
      <c r="D104" s="348"/>
      <c r="E104" s="348"/>
      <c r="F104" s="348" t="s">
        <v>5809</v>
      </c>
      <c r="G104" s="348" t="s">
        <v>5810</v>
      </c>
      <c r="H104" s="349">
        <v>850.0</v>
      </c>
      <c r="I104" s="11" t="str">
        <f>IFERROR(__xludf.DUMMYFUNCTION("VLOOKUP($A104,IMPORTRANGE(""https://docs.google.com/spreadsheets/d/1u9GbdmgAEc9k6kHu3ZfH25nxRNstVbRmM2ai-cDl3lY/edit?gid=2020727688#gid=2020727688"", ""Form responses 1!$F:$T""),12,false)"),"https://drive.google.com/open?id=1KgCZBUrV5_rmZAL_XaFqhxzmYYY-Hl2u")</f>
        <v>https://drive.google.com/open?id=1KgCZBUrV5_rmZAL_XaFqhxzmYYY-Hl2u</v>
      </c>
    </row>
    <row r="105">
      <c r="A105" s="348" t="s">
        <v>4581</v>
      </c>
      <c r="B105" s="348" t="s">
        <v>4747</v>
      </c>
      <c r="C105" s="348" t="s">
        <v>5352</v>
      </c>
      <c r="D105" s="348"/>
      <c r="E105" s="348"/>
      <c r="F105" s="348" t="s">
        <v>5809</v>
      </c>
      <c r="G105" s="348" t="s">
        <v>5810</v>
      </c>
      <c r="H105" s="349">
        <v>2550.0</v>
      </c>
      <c r="I105" s="11" t="str">
        <f>IFERROR(__xludf.DUMMYFUNCTION("VLOOKUP($A105,IMPORTRANGE(""https://docs.google.com/spreadsheets/d/1u9GbdmgAEc9k6kHu3ZfH25nxRNstVbRmM2ai-cDl3lY/edit?gid=2020727688#gid=2020727688"", ""Form responses 1!$F:$T""),12,false)"),"https://drive.google.com/open?id=12dE6mSQH55xEBBsSUM4tuNjlPg_7ykW2")</f>
        <v>https://drive.google.com/open?id=12dE6mSQH55xEBBsSUM4tuNjlPg_7ykW2</v>
      </c>
    </row>
    <row r="106">
      <c r="A106" s="348" t="s">
        <v>4582</v>
      </c>
      <c r="B106" s="348" t="s">
        <v>4747</v>
      </c>
      <c r="C106" s="348" t="s">
        <v>5358</v>
      </c>
      <c r="D106" s="348"/>
      <c r="E106" s="348"/>
      <c r="F106" s="348" t="s">
        <v>5809</v>
      </c>
      <c r="G106" s="348" t="s">
        <v>5810</v>
      </c>
      <c r="H106" s="349">
        <v>1200.0</v>
      </c>
      <c r="I106" s="11" t="str">
        <f>IFERROR(__xludf.DUMMYFUNCTION("VLOOKUP($A106,IMPORTRANGE(""https://docs.google.com/spreadsheets/d/1u9GbdmgAEc9k6kHu3ZfH25nxRNstVbRmM2ai-cDl3lY/edit?gid=2020727688#gid=2020727688"", ""Form responses 1!$F:$T""),12,false)"),"https://drive.google.com/open?id=138ObN941rUkUxlc5pwvMtdteMFvreApu")</f>
        <v>https://drive.google.com/open?id=138ObN941rUkUxlc5pwvMtdteMFvreApu</v>
      </c>
    </row>
    <row r="107">
      <c r="A107" s="348" t="s">
        <v>4583</v>
      </c>
      <c r="B107" s="348" t="s">
        <v>4747</v>
      </c>
      <c r="C107" s="348" t="s">
        <v>5356</v>
      </c>
      <c r="D107" s="348"/>
      <c r="E107" s="348"/>
      <c r="F107" s="348" t="s">
        <v>5809</v>
      </c>
      <c r="G107" s="348" t="s">
        <v>5810</v>
      </c>
      <c r="H107" s="349">
        <v>900.0</v>
      </c>
      <c r="I107" s="11" t="str">
        <f>IFERROR(__xludf.DUMMYFUNCTION("VLOOKUP($A107,IMPORTRANGE(""https://docs.google.com/spreadsheets/d/1u9GbdmgAEc9k6kHu3ZfH25nxRNstVbRmM2ai-cDl3lY/edit?gid=2020727688#gid=2020727688"", ""Form responses 1!$F:$T""),12,false)"),"https://drive.google.com/open?id=19VETHNahHKNvHm0KIUcnjSCPtGf3FVJU")</f>
        <v>https://drive.google.com/open?id=19VETHNahHKNvHm0KIUcnjSCPtGf3FVJU</v>
      </c>
    </row>
    <row r="108">
      <c r="A108" s="348" t="s">
        <v>4579</v>
      </c>
      <c r="B108" s="348" t="s">
        <v>4747</v>
      </c>
      <c r="C108" s="348" t="s">
        <v>705</v>
      </c>
      <c r="D108" s="348"/>
      <c r="E108" s="348"/>
      <c r="F108" s="348" t="s">
        <v>5809</v>
      </c>
      <c r="G108" s="348" t="s">
        <v>5810</v>
      </c>
      <c r="H108" s="349">
        <v>2600.0</v>
      </c>
      <c r="I108" s="11" t="str">
        <f>IFERROR(__xludf.DUMMYFUNCTION("VLOOKUP($A108,IMPORTRANGE(""https://docs.google.com/spreadsheets/d/1u9GbdmgAEc9k6kHu3ZfH25nxRNstVbRmM2ai-cDl3lY/edit?gid=2020727688#gid=2020727688"", ""Form responses 1!$F:$T""),12,false)"),"https://drive.google.com/open?id=1yHXQfjVda4FEHpbUGVx6iNKopy0Dw0DS")</f>
        <v>https://drive.google.com/open?id=1yHXQfjVda4FEHpbUGVx6iNKopy0Dw0DS</v>
      </c>
    </row>
    <row r="109">
      <c r="A109" s="348" t="s">
        <v>4580</v>
      </c>
      <c r="B109" s="348" t="s">
        <v>4747</v>
      </c>
      <c r="C109" s="348" t="s">
        <v>5354</v>
      </c>
      <c r="D109" s="348"/>
      <c r="E109" s="348"/>
      <c r="F109" s="348" t="s">
        <v>5809</v>
      </c>
      <c r="G109" s="348" t="s">
        <v>5810</v>
      </c>
      <c r="H109" s="349">
        <v>1700.0</v>
      </c>
      <c r="I109" s="11" t="str">
        <f>IFERROR(__xludf.DUMMYFUNCTION("VLOOKUP($A109,IMPORTRANGE(""https://docs.google.com/spreadsheets/d/1u9GbdmgAEc9k6kHu3ZfH25nxRNstVbRmM2ai-cDl3lY/edit?gid=2020727688#gid=2020727688"", ""Form responses 1!$F:$T""),12,false)"),"https://drive.google.com/open?id=11GNGGCzyEqjIsjxPZ3crhlOb90s9rUFe")</f>
        <v>https://drive.google.com/open?id=11GNGGCzyEqjIsjxPZ3crhlOb90s9rUFe</v>
      </c>
    </row>
    <row r="110">
      <c r="A110" s="348" t="s">
        <v>4584</v>
      </c>
      <c r="B110" s="348" t="s">
        <v>4747</v>
      </c>
      <c r="C110" s="348" t="s">
        <v>5344</v>
      </c>
      <c r="D110" s="348"/>
      <c r="E110" s="348"/>
      <c r="F110" s="348" t="s">
        <v>5809</v>
      </c>
      <c r="G110" s="348" t="s">
        <v>5810</v>
      </c>
      <c r="H110" s="349">
        <v>1750.0</v>
      </c>
      <c r="I110" s="14" t="str">
        <f>IFERROR(__xludf.DUMMYFUNCTION("VLOOKUP($A110,IMPORTRANGE(""https://docs.google.com/spreadsheets/d/1u9GbdmgAEc9k6kHu3ZfH25nxRNstVbRmM2ai-cDl3lY/edit?gid=2020727688#gid=2020727688"", ""Form responses 1!$F:$T""),12,false)"),"https://drive.google.com/open?id=1BdKoGNAF7TOWVz4apr2M87KvNe7_WJkw, https://drive.google.com/file/d/18fkiohoIZb_7Knh9z_2zmYWVTnJND71X/view?usp=sharing")</f>
        <v>https://drive.google.com/open?id=1BdKoGNAF7TOWVz4apr2M87KvNe7_WJkw, https://drive.google.com/file/d/18fkiohoIZb_7Knh9z_2zmYWVTnJND71X/view?usp=sharing</v>
      </c>
    </row>
    <row r="111">
      <c r="A111" s="348" t="s">
        <v>4585</v>
      </c>
      <c r="B111" s="348" t="s">
        <v>4747</v>
      </c>
      <c r="C111" s="348" t="s">
        <v>5346</v>
      </c>
      <c r="D111" s="348"/>
      <c r="E111" s="348"/>
      <c r="F111" s="348" t="s">
        <v>5809</v>
      </c>
      <c r="G111" s="348" t="s">
        <v>5810</v>
      </c>
      <c r="H111" s="349">
        <v>1400.0</v>
      </c>
      <c r="I111" s="11" t="str">
        <f>IFERROR(__xludf.DUMMYFUNCTION("VLOOKUP($A111,IMPORTRANGE(""https://docs.google.com/spreadsheets/d/1u9GbdmgAEc9k6kHu3ZfH25nxRNstVbRmM2ai-cDl3lY/edit?gid=2020727688#gid=2020727688"", ""Form responses 1!$F:$T""),12,false)"),"https://drive.google.com/open?id=16EjZ2rjrVQ-0M7BtWfmHScVvucR908hD")</f>
        <v>https://drive.google.com/open?id=16EjZ2rjrVQ-0M7BtWfmHScVvucR908hD</v>
      </c>
    </row>
    <row r="112">
      <c r="A112" s="348" t="s">
        <v>4586</v>
      </c>
      <c r="B112" s="348" t="s">
        <v>4747</v>
      </c>
      <c r="C112" s="348" t="s">
        <v>5361</v>
      </c>
      <c r="D112" s="348"/>
      <c r="E112" s="348"/>
      <c r="F112" s="348" t="s">
        <v>5809</v>
      </c>
      <c r="G112" s="348" t="s">
        <v>5810</v>
      </c>
      <c r="H112" s="349">
        <v>1750.0</v>
      </c>
      <c r="I112" s="14" t="str">
        <f>IFERROR(__xludf.DUMMYFUNCTION("VLOOKUP($A112,IMPORTRANGE(""https://docs.google.com/spreadsheets/d/1u9GbdmgAEc9k6kHu3ZfH25nxRNstVbRmM2ai-cDl3lY/edit?gid=2020727688#gid=2020727688"", ""Form responses 1!$F:$T""),12,false)"),"https://drive.google.com/file/d/1ubeRtl0x8TtEBOIHf93uhMnpqGkR5KAH/view?usp=sharing , https://drive.google.com/file/d/1UjvZNCR0PTwfxCIoWAop_aQQFVOcUu_i/view?usp=sharing")</f>
        <v>https://drive.google.com/file/d/1ubeRtl0x8TtEBOIHf93uhMnpqGkR5KAH/view?usp=sharing , https://drive.google.com/file/d/1UjvZNCR0PTwfxCIoWAop_aQQFVOcUu_i/view?usp=sharing</v>
      </c>
    </row>
    <row r="113">
      <c r="A113" s="348" t="s">
        <v>4663</v>
      </c>
      <c r="B113" s="348" t="s">
        <v>4754</v>
      </c>
      <c r="C113" s="348" t="s">
        <v>5476</v>
      </c>
      <c r="D113" s="348"/>
      <c r="E113" s="348"/>
      <c r="F113" s="348" t="s">
        <v>5809</v>
      </c>
      <c r="G113" s="348" t="s">
        <v>5810</v>
      </c>
      <c r="H113" s="349">
        <v>1350.0</v>
      </c>
      <c r="I113" s="11" t="str">
        <f>IFERROR(__xludf.DUMMYFUNCTION("VLOOKUP($A113,IMPORTRANGE(""https://docs.google.com/spreadsheets/d/1u9GbdmgAEc9k6kHu3ZfH25nxRNstVbRmM2ai-cDl3lY/edit?gid=2020727688#gid=2020727688"", ""Form responses 1!$F:$T""),12,false)"),"https://drive.google.com/open?id=1KIeTVxF5QMbPTn_5x6OWU_fLGSHmF7d5")</f>
        <v>https://drive.google.com/open?id=1KIeTVxF5QMbPTn_5x6OWU_fLGSHmF7d5</v>
      </c>
    </row>
    <row r="114">
      <c r="A114" s="348" t="s">
        <v>4661</v>
      </c>
      <c r="B114" s="348" t="s">
        <v>4754</v>
      </c>
      <c r="C114" s="348" t="s">
        <v>5474</v>
      </c>
      <c r="D114" s="348"/>
      <c r="E114" s="348"/>
      <c r="F114" s="348" t="s">
        <v>5809</v>
      </c>
      <c r="G114" s="348" t="s">
        <v>5810</v>
      </c>
      <c r="H114" s="349">
        <v>1500.0</v>
      </c>
      <c r="I114" s="11" t="str">
        <f>IFERROR(__xludf.DUMMYFUNCTION("VLOOKUP($A114,IMPORTRANGE(""https://docs.google.com/spreadsheets/d/1u9GbdmgAEc9k6kHu3ZfH25nxRNstVbRmM2ai-cDl3lY/edit?gid=2020727688#gid=2020727688"", ""Form responses 1!$F:$T""),12,false)"),"https://drive.google.com/open?id=16aIw9XARsAh_qEKIucHJmU2z2ZVj-vxd")</f>
        <v>https://drive.google.com/open?id=16aIw9XARsAh_qEKIucHJmU2z2ZVj-vxd</v>
      </c>
    </row>
    <row r="115">
      <c r="A115" s="348" t="s">
        <v>4662</v>
      </c>
      <c r="B115" s="348" t="s">
        <v>4754</v>
      </c>
      <c r="C115" s="348" t="s">
        <v>5472</v>
      </c>
      <c r="D115" s="348"/>
      <c r="E115" s="348"/>
      <c r="F115" s="348" t="s">
        <v>5809</v>
      </c>
      <c r="G115" s="348" t="s">
        <v>5810</v>
      </c>
      <c r="H115" s="349">
        <v>1650.0</v>
      </c>
      <c r="I115" s="11" t="str">
        <f>IFERROR(__xludf.DUMMYFUNCTION("VLOOKUP($A115,IMPORTRANGE(""https://docs.google.com/spreadsheets/d/1u9GbdmgAEc9k6kHu3ZfH25nxRNstVbRmM2ai-cDl3lY/edit?gid=2020727688#gid=2020727688"", ""Form responses 1!$F:$T""),12,false)"),"https://drive.google.com/open?id=1j_SlXF2n-PXDZSSXDbHTeZG5snX2lqFX")</f>
        <v>https://drive.google.com/open?id=1j_SlXF2n-PXDZSSXDbHTeZG5snX2lqFX</v>
      </c>
    </row>
    <row r="116">
      <c r="A116" s="348" t="s">
        <v>4665</v>
      </c>
      <c r="B116" s="348" t="s">
        <v>4755</v>
      </c>
      <c r="C116" s="348" t="s">
        <v>5470</v>
      </c>
      <c r="D116" s="348"/>
      <c r="E116" s="348"/>
      <c r="F116" s="348" t="s">
        <v>5809</v>
      </c>
      <c r="G116" s="348" t="s">
        <v>5810</v>
      </c>
      <c r="H116" s="349">
        <v>1400.0</v>
      </c>
      <c r="I116" s="11" t="str">
        <f>IFERROR(__xludf.DUMMYFUNCTION("VLOOKUP($A116,IMPORTRANGE(""https://docs.google.com/spreadsheets/d/1u9GbdmgAEc9k6kHu3ZfH25nxRNstVbRmM2ai-cDl3lY/edit?gid=2020727688#gid=2020727688"", ""Form responses 1!$F:$T""),12,false)"),"https://drive.google.com/file/d/1_rbhpDalzqeS4dqdT4LNG7wEqCADiXQq/view?usp=drive_link")</f>
        <v>https://drive.google.com/file/d/1_rbhpDalzqeS4dqdT4LNG7wEqCADiXQq/view?usp=drive_link</v>
      </c>
    </row>
    <row r="117">
      <c r="A117" s="348" t="s">
        <v>4666</v>
      </c>
      <c r="B117" s="348" t="s">
        <v>4755</v>
      </c>
      <c r="C117" s="348" t="s">
        <v>5468</v>
      </c>
      <c r="D117" s="348"/>
      <c r="E117" s="348"/>
      <c r="F117" s="348" t="s">
        <v>5809</v>
      </c>
      <c r="G117" s="348" t="s">
        <v>5810</v>
      </c>
      <c r="H117" s="349">
        <v>3100.0</v>
      </c>
      <c r="I117" s="11" t="str">
        <f>IFERROR(__xludf.DUMMYFUNCTION("VLOOKUP($A117,IMPORTRANGE(""https://docs.google.com/spreadsheets/d/1u9GbdmgAEc9k6kHu3ZfH25nxRNstVbRmM2ai-cDl3lY/edit?gid=2020727688#gid=2020727688"", ""Form responses 1!$F:$T""),12,false)"),"https://drive.google.com/file/d/1vSGSzwLEF871heldV5a-8jin8qQqc7Hg/view?usp=sharing")</f>
        <v>https://drive.google.com/file/d/1vSGSzwLEF871heldV5a-8jin8qQqc7Hg/view?usp=sharing</v>
      </c>
    </row>
    <row r="118">
      <c r="A118" s="348" t="s">
        <v>779</v>
      </c>
      <c r="B118" s="348" t="s">
        <v>4755</v>
      </c>
      <c r="C118" s="348" t="s">
        <v>5463</v>
      </c>
      <c r="D118" s="348"/>
      <c r="E118" s="348"/>
      <c r="F118" s="348" t="s">
        <v>5809</v>
      </c>
      <c r="G118" s="348" t="s">
        <v>5810</v>
      </c>
      <c r="H118" s="349">
        <v>1450.0</v>
      </c>
      <c r="I118" s="11" t="str">
        <f>IFERROR(__xludf.DUMMYFUNCTION("VLOOKUP($A118,IMPORTRANGE(""https://docs.google.com/spreadsheets/d/1u9GbdmgAEc9k6kHu3ZfH25nxRNstVbRmM2ai-cDl3lY/edit?gid=2020727688#gid=2020727688"", ""Form responses 1!$F:$T""),12,false)"),"https://drive.google.com/file/d/1XZC8PcNOgvsoLP5GVz2rxbebh8Wkfzqu/view?usp=drive_link")</f>
        <v>https://drive.google.com/file/d/1XZC8PcNOgvsoLP5GVz2rxbebh8Wkfzqu/view?usp=drive_link</v>
      </c>
    </row>
    <row r="119">
      <c r="A119" s="348" t="s">
        <v>4664</v>
      </c>
      <c r="B119" s="348" t="s">
        <v>4755</v>
      </c>
      <c r="C119" s="348" t="s">
        <v>5458</v>
      </c>
      <c r="D119" s="348"/>
      <c r="E119" s="348"/>
      <c r="F119" s="348" t="s">
        <v>5809</v>
      </c>
      <c r="G119" s="348" t="s">
        <v>5810</v>
      </c>
      <c r="H119" s="349">
        <v>1350.0</v>
      </c>
      <c r="I119" s="11" t="str">
        <f>IFERROR(__xludf.DUMMYFUNCTION("VLOOKUP($A119,IMPORTRANGE(""https://docs.google.com/spreadsheets/d/1u9GbdmgAEc9k6kHu3ZfH25nxRNstVbRmM2ai-cDl3lY/edit?gid=2020727688#gid=2020727688"", ""Form responses 1!$F:$T""),12,false)"),"https://drive.google.com/file/d/1lJiAsomgVE-EofDl6cLVsWGUtTltBQMA/view?usp=drive_link")</f>
        <v>https://drive.google.com/file/d/1lJiAsomgVE-EofDl6cLVsWGUtTltBQMA/view?usp=drive_link</v>
      </c>
    </row>
    <row r="120">
      <c r="A120" s="348" t="s">
        <v>4670</v>
      </c>
      <c r="B120" s="348" t="s">
        <v>4749</v>
      </c>
      <c r="C120" s="348" t="s">
        <v>5384</v>
      </c>
      <c r="D120" s="348"/>
      <c r="E120" s="348"/>
      <c r="F120" s="348" t="s">
        <v>5809</v>
      </c>
      <c r="G120" s="348" t="s">
        <v>5811</v>
      </c>
      <c r="H120" s="349">
        <v>1400.0</v>
      </c>
      <c r="I120" s="11" t="str">
        <f>IFERROR(__xludf.DUMMYFUNCTION("VLOOKUP($A120,IMPORTRANGE(""https://docs.google.com/spreadsheets/d/1u9GbdmgAEc9k6kHu3ZfH25nxRNstVbRmM2ai-cDl3lY/edit?gid=2020727688#gid=2020727688"", ""Form responses 1!$F:$T""),12,false)"),"https://drive.google.com/open?id=1HyoSZXPCoFhWdSw03WXzLtoknQbYOl3V")</f>
        <v>https://drive.google.com/open?id=1HyoSZXPCoFhWdSw03WXzLtoknQbYOl3V</v>
      </c>
    </row>
    <row r="121">
      <c r="A121" s="348" t="s">
        <v>4673</v>
      </c>
      <c r="B121" s="348" t="s">
        <v>4749</v>
      </c>
      <c r="C121" s="348" t="s">
        <v>5397</v>
      </c>
      <c r="D121" s="348"/>
      <c r="E121" s="348"/>
      <c r="F121" s="348" t="s">
        <v>5809</v>
      </c>
      <c r="G121" s="348" t="s">
        <v>5811</v>
      </c>
      <c r="H121" s="349">
        <v>1600.0</v>
      </c>
      <c r="I121" s="14" t="str">
        <f>IFERROR(__xludf.DUMMYFUNCTION("VLOOKUP($A121,IMPORTRANGE(""https://docs.google.com/spreadsheets/d/1u9GbdmgAEc9k6kHu3ZfH25nxRNstVbRmM2ai-cDl3lY/edit?gid=2020727688#gid=2020727688"", ""Form responses 1!$F:$T""),12,false)"),"https://drive.google.com/open?id=19EMPiYUk5IFAWbsHYqHaaK7498QLcTu2 , https://drive.google.com/file/d/1WaCEKM_u4dsCGWok7qaNJFzCbLP6BdKo/view?usp=sharing")</f>
        <v>https://drive.google.com/open?id=19EMPiYUk5IFAWbsHYqHaaK7498QLcTu2 , https://drive.google.com/file/d/1WaCEKM_u4dsCGWok7qaNJFzCbLP6BdKo/view?usp=sharing</v>
      </c>
    </row>
    <row r="122">
      <c r="A122" s="348" t="s">
        <v>4667</v>
      </c>
      <c r="B122" s="348" t="s">
        <v>4749</v>
      </c>
      <c r="C122" s="348" t="s">
        <v>5390</v>
      </c>
      <c r="D122" s="348"/>
      <c r="E122" s="348"/>
      <c r="F122" s="348" t="s">
        <v>5809</v>
      </c>
      <c r="G122" s="348" t="s">
        <v>5812</v>
      </c>
      <c r="H122" s="349">
        <v>2800.0</v>
      </c>
      <c r="I122" s="11" t="str">
        <f>IFERROR(__xludf.DUMMYFUNCTION("VLOOKUP($A122,IMPORTRANGE(""https://docs.google.com/spreadsheets/d/1u9GbdmgAEc9k6kHu3ZfH25nxRNstVbRmM2ai-cDl3lY/edit?gid=2020727688#gid=2020727688"", ""Form responses 1!$F:$T""),12,false)"),"https://drive.google.com/file/d/19_rV_2MKRJfSEQdKrD2MXTYinjOYyaDN/view?usp=drive_link")</f>
        <v>https://drive.google.com/file/d/19_rV_2MKRJfSEQdKrD2MXTYinjOYyaDN/view?usp=drive_link</v>
      </c>
    </row>
    <row r="123">
      <c r="A123" s="348" t="s">
        <v>3762</v>
      </c>
      <c r="B123" s="348" t="s">
        <v>4749</v>
      </c>
      <c r="C123" s="348" t="s">
        <v>5393</v>
      </c>
      <c r="D123" s="348"/>
      <c r="E123" s="348"/>
      <c r="F123" s="348" t="s">
        <v>5809</v>
      </c>
      <c r="G123" s="348" t="s">
        <v>5812</v>
      </c>
      <c r="H123" s="349">
        <v>1750.0</v>
      </c>
      <c r="I123" s="11" t="str">
        <f>IFERROR(__xludf.DUMMYFUNCTION("VLOOKUP($A123,IMPORTRANGE(""https://docs.google.com/spreadsheets/d/1u9GbdmgAEc9k6kHu3ZfH25nxRNstVbRmM2ai-cDl3lY/edit?gid=2020727688#gid=2020727688"", ""Form responses 1!$F:$T""),12,false)"),"https://drive.google.com/file/d/1z04HY0348UQlHZ8TqiUoxlvDGuzZrGUc/view?usp=drive_link")</f>
        <v>https://drive.google.com/file/d/1z04HY0348UQlHZ8TqiUoxlvDGuzZrGUc/view?usp=drive_link</v>
      </c>
    </row>
    <row r="124">
      <c r="A124" s="348" t="s">
        <v>3820</v>
      </c>
      <c r="B124" s="348" t="s">
        <v>4749</v>
      </c>
      <c r="C124" s="348" t="s">
        <v>3687</v>
      </c>
      <c r="D124" s="348"/>
      <c r="E124" s="348"/>
      <c r="F124" s="348" t="s">
        <v>5809</v>
      </c>
      <c r="G124" s="348" t="s">
        <v>5812</v>
      </c>
      <c r="H124" s="349">
        <v>2050.0</v>
      </c>
      <c r="I124" s="14" t="str">
        <f>IFERROR(__xludf.DUMMYFUNCTION("VLOOKUP($A124,IMPORTRANGE(""https://docs.google.com/spreadsheets/d/1u9GbdmgAEc9k6kHu3ZfH25nxRNstVbRmM2ai-cDl3lY/edit?gid=2020727688#gid=2020727688"", ""Form responses 1!$F:$T""),12,false)"),"#N/A")</f>
        <v>#N/A</v>
      </c>
    </row>
    <row r="125">
      <c r="A125" s="348" t="s">
        <v>4672</v>
      </c>
      <c r="B125" s="348" t="s">
        <v>4749</v>
      </c>
      <c r="C125" s="348" t="s">
        <v>5395</v>
      </c>
      <c r="D125" s="348"/>
      <c r="E125" s="348"/>
      <c r="F125" s="348" t="s">
        <v>5809</v>
      </c>
      <c r="G125" s="348" t="s">
        <v>5812</v>
      </c>
      <c r="H125" s="349">
        <v>550.0</v>
      </c>
      <c r="I125" s="11" t="str">
        <f>IFERROR(__xludf.DUMMYFUNCTION("VLOOKUP($A125,IMPORTRANGE(""https://docs.google.com/spreadsheets/d/1u9GbdmgAEc9k6kHu3ZfH25nxRNstVbRmM2ai-cDl3lY/edit?gid=2020727688#gid=2020727688"", ""Form responses 1!$F:$T""),12,false)"),"https://drive.google.com/open?id=18CBzr0-G4YvjUN-Lck_jmqBKp-jM_pi3")</f>
        <v>https://drive.google.com/open?id=18CBzr0-G4YvjUN-Lck_jmqBKp-jM_pi3</v>
      </c>
    </row>
    <row r="126">
      <c r="A126" s="348" t="s">
        <v>4669</v>
      </c>
      <c r="B126" s="348" t="s">
        <v>4749</v>
      </c>
      <c r="C126" s="348" t="s">
        <v>5388</v>
      </c>
      <c r="D126" s="348"/>
      <c r="E126" s="348"/>
      <c r="F126" s="348" t="s">
        <v>5809</v>
      </c>
      <c r="G126" s="348" t="s">
        <v>5812</v>
      </c>
      <c r="H126" s="349">
        <v>400.0</v>
      </c>
      <c r="I126" s="11" t="str">
        <f>IFERROR(__xludf.DUMMYFUNCTION("VLOOKUP($A126,IMPORTRANGE(""https://docs.google.com/spreadsheets/d/1u9GbdmgAEc9k6kHu3ZfH25nxRNstVbRmM2ai-cDl3lY/edit?gid=2020727688#gid=2020727688"", ""Form responses 1!$F:$T""),12,false)"),"https://drive.google.com/open?id=1NfMS3IFSkHJkjQ0pnlqL6PDNDYIUvYIs")</f>
        <v>https://drive.google.com/open?id=1NfMS3IFSkHJkjQ0pnlqL6PDNDYIUvYIs</v>
      </c>
    </row>
    <row r="127">
      <c r="A127" s="348" t="s">
        <v>4671</v>
      </c>
      <c r="B127" s="348" t="s">
        <v>4749</v>
      </c>
      <c r="C127" s="348" t="s">
        <v>5386</v>
      </c>
      <c r="D127" s="348"/>
      <c r="E127" s="348"/>
      <c r="F127" s="348" t="s">
        <v>5809</v>
      </c>
      <c r="G127" s="348" t="s">
        <v>5812</v>
      </c>
      <c r="H127" s="349">
        <v>1250.0</v>
      </c>
      <c r="I127" s="14" t="str">
        <f>IFERROR(__xludf.DUMMYFUNCTION("VLOOKUP($A127,IMPORTRANGE(""https://docs.google.com/spreadsheets/d/1u9GbdmgAEc9k6kHu3ZfH25nxRNstVbRmM2ai-cDl3lY/edit?gid=2020727688#gid=2020727688"", ""Form responses 1!$F:$T""),12,false)"),"#N/A")</f>
        <v>#N/A</v>
      </c>
    </row>
    <row r="128">
      <c r="A128" s="348" t="s">
        <v>3887</v>
      </c>
      <c r="B128" s="348" t="s">
        <v>4759</v>
      </c>
      <c r="C128" s="348" t="s">
        <v>5202</v>
      </c>
      <c r="D128" s="348"/>
      <c r="E128" s="348"/>
      <c r="F128" s="348" t="s">
        <v>5809</v>
      </c>
      <c r="G128" s="348" t="s">
        <v>5812</v>
      </c>
      <c r="H128" s="349">
        <v>2850.0</v>
      </c>
      <c r="I128" s="11" t="str">
        <f>IFERROR(__xludf.DUMMYFUNCTION("VLOOKUP($A128,IMPORTRANGE(""https://docs.google.com/spreadsheets/d/1u9GbdmgAEc9k6kHu3ZfH25nxRNstVbRmM2ai-cDl3lY/edit?gid=2020727688#gid=2020727688"", ""Form responses 1!$F:$T""),12,false)"),"https://drive.google.com/open?id=163Qnr7m0LRI1gFy8AEBPeqTnolSnS64Z")</f>
        <v>https://drive.google.com/open?id=163Qnr7m0LRI1gFy8AEBPeqTnolSnS64Z</v>
      </c>
    </row>
    <row r="129">
      <c r="A129" s="348" t="s">
        <v>3844</v>
      </c>
      <c r="B129" s="348" t="s">
        <v>4759</v>
      </c>
      <c r="C129" s="348" t="s">
        <v>5186</v>
      </c>
      <c r="D129" s="348"/>
      <c r="E129" s="348"/>
      <c r="F129" s="348" t="s">
        <v>5809</v>
      </c>
      <c r="G129" s="348" t="s">
        <v>5812</v>
      </c>
      <c r="H129" s="349">
        <v>2400.0</v>
      </c>
      <c r="I129" s="11" t="str">
        <f>IFERROR(__xludf.DUMMYFUNCTION("VLOOKUP($A129,IMPORTRANGE(""https://docs.google.com/spreadsheets/d/1u9GbdmgAEc9k6kHu3ZfH25nxRNstVbRmM2ai-cDl3lY/edit?gid=2020727688#gid=2020727688"", ""Form responses 1!$F:$T""),12,false)"),"https://drive.google.com/open?id=17bjvx6kG5Z7haMqaWB4nW1oT3vzrCY9g")</f>
        <v>https://drive.google.com/open?id=17bjvx6kG5Z7haMqaWB4nW1oT3vzrCY9g</v>
      </c>
    </row>
    <row r="130">
      <c r="A130" s="348" t="s">
        <v>3955</v>
      </c>
      <c r="B130" s="348" t="s">
        <v>4759</v>
      </c>
      <c r="C130" s="348" t="s">
        <v>5239</v>
      </c>
      <c r="D130" s="348"/>
      <c r="E130" s="348"/>
      <c r="F130" s="348" t="s">
        <v>5809</v>
      </c>
      <c r="G130" s="348" t="s">
        <v>5812</v>
      </c>
      <c r="H130" s="349">
        <v>1000.0</v>
      </c>
      <c r="I130" s="11" t="str">
        <f>IFERROR(__xludf.DUMMYFUNCTION("VLOOKUP($A130,IMPORTRANGE(""https://docs.google.com/spreadsheets/d/1u9GbdmgAEc9k6kHu3ZfH25nxRNstVbRmM2ai-cDl3lY/edit?gid=2020727688#gid=2020727688"", ""Form responses 1!$F:$T""),12,false)"),"https://drive.google.com/file/d/12c3NecxmKkRPeqn_qW6-d3rw-Y_8G5uF/view?usp=drive_link")</f>
        <v>https://drive.google.com/file/d/12c3NecxmKkRPeqn_qW6-d3rw-Y_8G5uF/view?usp=drive_link</v>
      </c>
    </row>
    <row r="131">
      <c r="A131" s="348" t="s">
        <v>3909</v>
      </c>
      <c r="B131" s="348" t="s">
        <v>4759</v>
      </c>
      <c r="C131" s="348" t="s">
        <v>5242</v>
      </c>
      <c r="D131" s="348"/>
      <c r="E131" s="348"/>
      <c r="F131" s="348" t="s">
        <v>5809</v>
      </c>
      <c r="G131" s="348" t="s">
        <v>5812</v>
      </c>
      <c r="H131" s="349">
        <v>1000.0</v>
      </c>
      <c r="I131" s="11" t="str">
        <f>IFERROR(__xludf.DUMMYFUNCTION("VLOOKUP($A131,IMPORTRANGE(""https://docs.google.com/spreadsheets/d/1u9GbdmgAEc9k6kHu3ZfH25nxRNstVbRmM2ai-cDl3lY/edit?gid=2020727688#gid=2020727688"", ""Form responses 1!$F:$T""),12,false)"),"https://drive.google.com/open?id=1hhp_rkmj23imAEW6SlzSGEImqLvc1GX_")</f>
        <v>https://drive.google.com/open?id=1hhp_rkmj23imAEW6SlzSGEImqLvc1GX_</v>
      </c>
    </row>
    <row r="132">
      <c r="A132" s="348" t="s">
        <v>3926</v>
      </c>
      <c r="B132" s="348" t="s">
        <v>4759</v>
      </c>
      <c r="C132" s="348" t="s">
        <v>5193</v>
      </c>
      <c r="D132" s="348"/>
      <c r="E132" s="348"/>
      <c r="F132" s="348" t="s">
        <v>5809</v>
      </c>
      <c r="G132" s="348" t="s">
        <v>5812</v>
      </c>
      <c r="H132" s="349">
        <v>2650.0</v>
      </c>
      <c r="I132" s="11" t="str">
        <f>IFERROR(__xludf.DUMMYFUNCTION("VLOOKUP($A132,IMPORTRANGE(""https://docs.google.com/spreadsheets/d/1u9GbdmgAEc9k6kHu3ZfH25nxRNstVbRmM2ai-cDl3lY/edit?gid=2020727688#gid=2020727688"", ""Form responses 1!$F:$T""),12,false)"),"https://drive.google.com/open?id=1XQIkiJrGLwMq-k8Eo3PChbTQi6DDFSOg")</f>
        <v>https://drive.google.com/open?id=1XQIkiJrGLwMq-k8Eo3PChbTQi6DDFSOg</v>
      </c>
    </row>
    <row r="133">
      <c r="A133" s="348" t="s">
        <v>4005</v>
      </c>
      <c r="B133" s="348" t="s">
        <v>4759</v>
      </c>
      <c r="C133" s="348" t="s">
        <v>5183</v>
      </c>
      <c r="D133" s="348"/>
      <c r="E133" s="348"/>
      <c r="F133" s="348" t="s">
        <v>5809</v>
      </c>
      <c r="G133" s="348" t="s">
        <v>5812</v>
      </c>
      <c r="H133" s="349">
        <v>3100.0</v>
      </c>
      <c r="I133" s="11" t="str">
        <f>IFERROR(__xludf.DUMMYFUNCTION("VLOOKUP($A133,IMPORTRANGE(""https://docs.google.com/spreadsheets/d/1u9GbdmgAEc9k6kHu3ZfH25nxRNstVbRmM2ai-cDl3lY/edit?gid=2020727688#gid=2020727688"", ""Form responses 1!$F:$T""),12,false)"),"https://drive.google.com/open?id=14ZU1ub_2vP_jpF4YDERpZgYUMrj-WQ6k")</f>
        <v>https://drive.google.com/open?id=14ZU1ub_2vP_jpF4YDERpZgYUMrj-WQ6k</v>
      </c>
    </row>
    <row r="134">
      <c r="A134" s="348" t="s">
        <v>4064</v>
      </c>
      <c r="B134" s="348" t="s">
        <v>4759</v>
      </c>
      <c r="C134" s="348" t="s">
        <v>5211</v>
      </c>
      <c r="D134" s="348"/>
      <c r="E134" s="348"/>
      <c r="F134" s="348" t="s">
        <v>5809</v>
      </c>
      <c r="G134" s="348" t="s">
        <v>5812</v>
      </c>
      <c r="H134" s="349">
        <v>2650.0</v>
      </c>
      <c r="I134" s="11" t="str">
        <f>IFERROR(__xludf.DUMMYFUNCTION("VLOOKUP($A134,IMPORTRANGE(""https://docs.google.com/spreadsheets/d/1u9GbdmgAEc9k6kHu3ZfH25nxRNstVbRmM2ai-cDl3lY/edit?gid=2020727688#gid=2020727688"", ""Form responses 1!$F:$T""),12,false)"),"https://drive.google.com/open?id=1ByLrL7JFZENYrJddS3JQx0NM8W2JOTkE")</f>
        <v>https://drive.google.com/open?id=1ByLrL7JFZENYrJddS3JQx0NM8W2JOTkE</v>
      </c>
    </row>
    <row r="135">
      <c r="A135" s="348" t="s">
        <v>4694</v>
      </c>
      <c r="B135" s="348" t="s">
        <v>4759</v>
      </c>
      <c r="C135" s="348" t="s">
        <v>5225</v>
      </c>
      <c r="D135" s="348"/>
      <c r="E135" s="348"/>
      <c r="F135" s="348" t="s">
        <v>5809</v>
      </c>
      <c r="G135" s="348" t="s">
        <v>5812</v>
      </c>
      <c r="H135" s="349">
        <v>650.0</v>
      </c>
      <c r="I135" s="11" t="str">
        <f>IFERROR(__xludf.DUMMYFUNCTION("VLOOKUP($A135,IMPORTRANGE(""https://docs.google.com/spreadsheets/d/1u9GbdmgAEc9k6kHu3ZfH25nxRNstVbRmM2ai-cDl3lY/edit?gid=2020727688#gid=2020727688"", ""Form responses 1!$F:$T""),12,false)"),"https://drive.google.com/open?id=1GKOvHdEG47NFP0qjUpdYBTqcDy856mr0")</f>
        <v>https://drive.google.com/open?id=1GKOvHdEG47NFP0qjUpdYBTqcDy856mr0</v>
      </c>
    </row>
    <row r="136">
      <c r="A136" s="348" t="s">
        <v>4697</v>
      </c>
      <c r="B136" s="348" t="s">
        <v>4759</v>
      </c>
      <c r="C136" s="348" t="s">
        <v>5228</v>
      </c>
      <c r="D136" s="348"/>
      <c r="E136" s="348"/>
      <c r="F136" s="348" t="s">
        <v>5809</v>
      </c>
      <c r="G136" s="348" t="s">
        <v>5812</v>
      </c>
      <c r="H136" s="349">
        <v>3100.0</v>
      </c>
      <c r="I136" s="11" t="str">
        <f>IFERROR(__xludf.DUMMYFUNCTION("VLOOKUP($A136,IMPORTRANGE(""https://docs.google.com/spreadsheets/d/1u9GbdmgAEc9k6kHu3ZfH25nxRNstVbRmM2ai-cDl3lY/edit?gid=2020727688#gid=2020727688"", ""Form responses 1!$F:$T""),12,false)"),"https://drive.google.com/file/d/1wkZ9Vg3lwe8VSz3o6jJehnkx3n3aZcaJ/view?usp=drive_link")</f>
        <v>https://drive.google.com/file/d/1wkZ9Vg3lwe8VSz3o6jJehnkx3n3aZcaJ/view?usp=drive_link</v>
      </c>
    </row>
    <row r="137">
      <c r="A137" s="348" t="s">
        <v>4076</v>
      </c>
      <c r="B137" s="348" t="s">
        <v>4759</v>
      </c>
      <c r="C137" s="348" t="s">
        <v>5213</v>
      </c>
      <c r="D137" s="348"/>
      <c r="E137" s="348"/>
      <c r="F137" s="348" t="s">
        <v>5809</v>
      </c>
      <c r="G137" s="348" t="s">
        <v>5812</v>
      </c>
      <c r="H137" s="349">
        <v>950.0</v>
      </c>
      <c r="I137" s="11" t="str">
        <f>IFERROR(__xludf.DUMMYFUNCTION("VLOOKUP($A137,IMPORTRANGE(""https://docs.google.com/spreadsheets/d/1u9GbdmgAEc9k6kHu3ZfH25nxRNstVbRmM2ai-cDl3lY/edit?gid=2020727688#gid=2020727688"", ""Form responses 1!$F:$T""),12,false)"),"https://drive.google.com/open?id=1KeGUcGetKv1hMSfWF-RiNRVNswRjk1Hk")</f>
        <v>https://drive.google.com/open?id=1KeGUcGetKv1hMSfWF-RiNRVNswRjk1Hk</v>
      </c>
    </row>
    <row r="138">
      <c r="A138" s="348" t="s">
        <v>3857</v>
      </c>
      <c r="B138" s="348" t="s">
        <v>4760</v>
      </c>
      <c r="C138" s="348" t="s">
        <v>5245</v>
      </c>
      <c r="D138" s="348"/>
      <c r="E138" s="348"/>
      <c r="F138" s="348" t="s">
        <v>5809</v>
      </c>
      <c r="G138" s="348" t="s">
        <v>5812</v>
      </c>
      <c r="H138" s="349">
        <v>2550.0</v>
      </c>
      <c r="I138" s="11" t="str">
        <f>IFERROR(__xludf.DUMMYFUNCTION("VLOOKUP($A138,IMPORTRANGE(""https://docs.google.com/spreadsheets/d/1u9GbdmgAEc9k6kHu3ZfH25nxRNstVbRmM2ai-cDl3lY/edit?gid=2020727688#gid=2020727688"", ""Form responses 1!$F:$T""),12,false)"),"https://drive.google.com/file/d/1wxINkhFrQ0_k_1OH2teNm1J09Q46BURP/view?usp=drive_link")</f>
        <v>https://drive.google.com/file/d/1wxINkhFrQ0_k_1OH2teNm1J09Q46BURP/view?usp=drive_link</v>
      </c>
    </row>
    <row r="139">
      <c r="A139" s="348" t="s">
        <v>3944</v>
      </c>
      <c r="B139" s="348" t="s">
        <v>4760</v>
      </c>
      <c r="C139" s="348" t="s">
        <v>5263</v>
      </c>
      <c r="D139" s="348"/>
      <c r="E139" s="348"/>
      <c r="F139" s="348" t="s">
        <v>5809</v>
      </c>
      <c r="G139" s="348" t="s">
        <v>5812</v>
      </c>
      <c r="H139" s="349">
        <v>1800.0</v>
      </c>
      <c r="I139" s="11" t="str">
        <f>IFERROR(__xludf.DUMMYFUNCTION("VLOOKUP($A139,IMPORTRANGE(""https://docs.google.com/spreadsheets/d/1u9GbdmgAEc9k6kHu3ZfH25nxRNstVbRmM2ai-cDl3lY/edit?gid=2020727688#gid=2020727688"", ""Form responses 1!$F:$T""),12,false)"),"https://drive.google.com/file/d/1KcEpE1VOEiiKsC7-UKelU9G3L7mR1_ah/view?usp=drive_link")</f>
        <v>https://drive.google.com/file/d/1KcEpE1VOEiiKsC7-UKelU9G3L7mR1_ah/view?usp=drive_link</v>
      </c>
    </row>
    <row r="140">
      <c r="A140" s="348" t="s">
        <v>3995</v>
      </c>
      <c r="B140" s="348" t="s">
        <v>4760</v>
      </c>
      <c r="C140" s="348" t="s">
        <v>5257</v>
      </c>
      <c r="D140" s="348"/>
      <c r="E140" s="348"/>
      <c r="F140" s="348" t="s">
        <v>5809</v>
      </c>
      <c r="G140" s="348" t="s">
        <v>5812</v>
      </c>
      <c r="H140" s="349">
        <v>1200.0</v>
      </c>
      <c r="I140" s="11" t="str">
        <f>IFERROR(__xludf.DUMMYFUNCTION("VLOOKUP($A140,IMPORTRANGE(""https://docs.google.com/spreadsheets/d/1u9GbdmgAEc9k6kHu3ZfH25nxRNstVbRmM2ai-cDl3lY/edit?gid=2020727688#gid=2020727688"", ""Form responses 1!$F:$T""),12,false)"),"https://drive.google.com/open?id=1IFw2Y0otHHqDDJAt1hOT7SEYdzC6MoI_")</f>
        <v>https://drive.google.com/open?id=1IFw2Y0otHHqDDJAt1hOT7SEYdzC6MoI_</v>
      </c>
    </row>
    <row r="141">
      <c r="A141" s="348" t="s">
        <v>4700</v>
      </c>
      <c r="B141" s="348" t="s">
        <v>4760</v>
      </c>
      <c r="C141" s="348" t="s">
        <v>5248</v>
      </c>
      <c r="D141" s="348"/>
      <c r="E141" s="348"/>
      <c r="F141" s="348" t="s">
        <v>5809</v>
      </c>
      <c r="G141" s="348" t="s">
        <v>5812</v>
      </c>
      <c r="H141" s="349">
        <v>1200.0</v>
      </c>
      <c r="I141" s="11" t="str">
        <f>IFERROR(__xludf.DUMMYFUNCTION("VLOOKUP($A141,IMPORTRANGE(""https://docs.google.com/spreadsheets/d/1u9GbdmgAEc9k6kHu3ZfH25nxRNstVbRmM2ai-cDl3lY/edit?gid=2020727688#gid=2020727688"", ""Form responses 1!$F:$T""),12,false)"),"https://drive.google.com/file/d/17Tw4SwbOxpAqaEa6NLSCBFihcD7jhdHy/view?usp=drive_link")</f>
        <v>https://drive.google.com/file/d/17Tw4SwbOxpAqaEa6NLSCBFihcD7jhdHy/view?usp=drive_link</v>
      </c>
    </row>
    <row r="142">
      <c r="A142" s="348" t="s">
        <v>3706</v>
      </c>
      <c r="B142" s="348" t="s">
        <v>4750</v>
      </c>
      <c r="C142" s="348" t="s">
        <v>3709</v>
      </c>
      <c r="D142" s="348"/>
      <c r="E142" s="348"/>
      <c r="F142" s="348" t="s">
        <v>5809</v>
      </c>
      <c r="G142" s="348" t="s">
        <v>5812</v>
      </c>
      <c r="H142" s="349">
        <v>2150.0</v>
      </c>
      <c r="I142" s="14" t="str">
        <f>IFERROR(__xludf.DUMMYFUNCTION("VLOOKUP($A142,IMPORTRANGE(""https://docs.google.com/spreadsheets/d/1u9GbdmgAEc9k6kHu3ZfH25nxRNstVbRmM2ai-cDl3lY/edit?gid=2020727688#gid=2020727688"", ""Form responses 1!$F:$T""),12,false)"),"#N/A")</f>
        <v>#N/A</v>
      </c>
    </row>
    <row r="143">
      <c r="A143" s="348" t="s">
        <v>3712</v>
      </c>
      <c r="B143" s="348" t="s">
        <v>4750</v>
      </c>
      <c r="C143" s="348" t="s">
        <v>5382</v>
      </c>
      <c r="D143" s="348"/>
      <c r="E143" s="348"/>
      <c r="F143" s="348" t="s">
        <v>5809</v>
      </c>
      <c r="G143" s="348" t="s">
        <v>5812</v>
      </c>
      <c r="H143" s="349">
        <v>1750.0</v>
      </c>
      <c r="I143" s="11" t="str">
        <f>IFERROR(__xludf.DUMMYFUNCTION("VLOOKUP($A143,IMPORTRANGE(""https://docs.google.com/spreadsheets/d/1u9GbdmgAEc9k6kHu3ZfH25nxRNstVbRmM2ai-cDl3lY/edit?gid=2020727688#gid=2020727688"", ""Form responses 1!$F:$T""),12,false)"),"https://drive.google.com/open?id=1clNAMfrxZMjenCBdv4dho-e2pcuh3BxO")</f>
        <v>https://drive.google.com/open?id=1clNAMfrxZMjenCBdv4dho-e2pcuh3BxO</v>
      </c>
    </row>
    <row r="144">
      <c r="A144" s="348" t="s">
        <v>4501</v>
      </c>
      <c r="B144" s="348" t="s">
        <v>4729</v>
      </c>
      <c r="C144" s="348" t="s">
        <v>5065</v>
      </c>
      <c r="D144" s="348"/>
      <c r="E144" s="348"/>
      <c r="F144" s="348" t="s">
        <v>5816</v>
      </c>
      <c r="G144" s="348" t="s">
        <v>5812</v>
      </c>
      <c r="H144" s="349">
        <v>1900.0</v>
      </c>
      <c r="I144" s="11" t="str">
        <f>IFERROR(__xludf.DUMMYFUNCTION("VLOOKUP($A144,IMPORTRANGE(""https://docs.google.com/spreadsheets/d/1u9GbdmgAEc9k6kHu3ZfH25nxRNstVbRmM2ai-cDl3lY/edit?gid=2020727688#gid=2020727688"", ""Form responses 1!$F:$T""),12,false)"),"https://drive.google.com/open?id=1QfuOODtyt94nEmiCGRGZ52KaT9iveqLh")</f>
        <v>https://drive.google.com/open?id=1QfuOODtyt94nEmiCGRGZ52KaT9iveqLh</v>
      </c>
    </row>
    <row r="145">
      <c r="A145" s="348" t="s">
        <v>1248</v>
      </c>
      <c r="B145" s="348" t="s">
        <v>4729</v>
      </c>
      <c r="C145" s="348" t="s">
        <v>5040</v>
      </c>
      <c r="D145" s="348"/>
      <c r="E145" s="348"/>
      <c r="F145" s="348" t="s">
        <v>5816</v>
      </c>
      <c r="G145" s="348" t="s">
        <v>5812</v>
      </c>
      <c r="H145" s="349">
        <v>3350.0</v>
      </c>
      <c r="I145" s="11" t="str">
        <f>IFERROR(__xludf.DUMMYFUNCTION("VLOOKUP($A145,IMPORTRANGE(""https://docs.google.com/spreadsheets/d/1u9GbdmgAEc9k6kHu3ZfH25nxRNstVbRmM2ai-cDl3lY/edit?gid=2020727688#gid=2020727688"", ""Form responses 1!$F:$T""),12,false)"),"https://drive.google.com/open?id=1cIcwjqrd-_4GVXL8yOsdDeoM3a5euqqM")</f>
        <v>https://drive.google.com/open?id=1cIcwjqrd-_4GVXL8yOsdDeoM3a5euqqM</v>
      </c>
    </row>
    <row r="146">
      <c r="A146" s="348" t="s">
        <v>1480</v>
      </c>
      <c r="B146" s="348" t="s">
        <v>4729</v>
      </c>
      <c r="C146" s="348" t="s">
        <v>4956</v>
      </c>
      <c r="D146" s="348"/>
      <c r="E146" s="348"/>
      <c r="F146" s="348" t="s">
        <v>5816</v>
      </c>
      <c r="G146" s="348" t="s">
        <v>5812</v>
      </c>
      <c r="H146" s="349">
        <v>2450.0</v>
      </c>
      <c r="I146" s="11" t="str">
        <f>IFERROR(__xludf.DUMMYFUNCTION("VLOOKUP($A146,IMPORTRANGE(""https://docs.google.com/spreadsheets/d/1u9GbdmgAEc9k6kHu3ZfH25nxRNstVbRmM2ai-cDl3lY/edit?gid=2020727688#gid=2020727688"", ""Form responses 1!$F:$T""),12,false)"),"https://drive.google.com/open?id=1ITaN_oQBhyhnjW9uvcRRyAhiv29I5iP1")</f>
        <v>https://drive.google.com/open?id=1ITaN_oQBhyhnjW9uvcRRyAhiv29I5iP1</v>
      </c>
    </row>
    <row r="147">
      <c r="A147" s="348" t="s">
        <v>1134</v>
      </c>
      <c r="B147" s="348" t="s">
        <v>4729</v>
      </c>
      <c r="C147" s="348" t="s">
        <v>5101</v>
      </c>
      <c r="D147" s="348"/>
      <c r="E147" s="348"/>
      <c r="F147" s="348" t="s">
        <v>5816</v>
      </c>
      <c r="G147" s="348" t="s">
        <v>5812</v>
      </c>
      <c r="H147" s="349">
        <v>1350.0</v>
      </c>
      <c r="I147" s="11" t="str">
        <f>IFERROR(__xludf.DUMMYFUNCTION("VLOOKUP($A147,IMPORTRANGE(""https://docs.google.com/spreadsheets/d/1u9GbdmgAEc9k6kHu3ZfH25nxRNstVbRmM2ai-cDl3lY/edit?gid=2020727688#gid=2020727688"", ""Form responses 1!$F:$T""),12,false)"),"https://drive.google.com/open?id=1DbimOkR45q1CGP2-4pRhCOKdfhz8bJ1r")</f>
        <v>https://drive.google.com/open?id=1DbimOkR45q1CGP2-4pRhCOKdfhz8bJ1r</v>
      </c>
    </row>
    <row r="148">
      <c r="A148" s="348" t="s">
        <v>1608</v>
      </c>
      <c r="B148" s="348" t="s">
        <v>4729</v>
      </c>
      <c r="C148" s="348" t="s">
        <v>5049</v>
      </c>
      <c r="D148" s="348"/>
      <c r="E148" s="348"/>
      <c r="F148" s="348" t="s">
        <v>5816</v>
      </c>
      <c r="G148" s="348" t="s">
        <v>5812</v>
      </c>
      <c r="H148" s="349">
        <v>1200.0</v>
      </c>
      <c r="I148" s="11" t="str">
        <f>IFERROR(__xludf.DUMMYFUNCTION("VLOOKUP($A148,IMPORTRANGE(""https://docs.google.com/spreadsheets/d/1u9GbdmgAEc9k6kHu3ZfH25nxRNstVbRmM2ai-cDl3lY/edit?gid=2020727688#gid=2020727688"", ""Form responses 1!$F:$T""),12,false)"),"https://drive.google.com/open?id=1u7MAFwz0AQm2TgGUcHz-M8XQBi9Pq9Ux")</f>
        <v>https://drive.google.com/open?id=1u7MAFwz0AQm2TgGUcHz-M8XQBi9Pq9Ux</v>
      </c>
    </row>
    <row r="149">
      <c r="A149" s="348" t="s">
        <v>4518</v>
      </c>
      <c r="B149" s="348" t="s">
        <v>4729</v>
      </c>
      <c r="C149" s="348" t="s">
        <v>1835</v>
      </c>
      <c r="D149" s="348"/>
      <c r="E149" s="348"/>
      <c r="F149" s="348" t="s">
        <v>5816</v>
      </c>
      <c r="G149" s="348" t="s">
        <v>5812</v>
      </c>
      <c r="H149" s="349">
        <v>2000.0</v>
      </c>
      <c r="I149" s="11" t="str">
        <f>IFERROR(__xludf.DUMMYFUNCTION("VLOOKUP($A149,IMPORTRANGE(""https://docs.google.com/spreadsheets/d/1u9GbdmgAEc9k6kHu3ZfH25nxRNstVbRmM2ai-cDl3lY/edit?gid=2020727688#gid=2020727688"", ""Form responses 1!$F:$T""),12,false)"),"https://drive.google.com/open?id=1dBtsNUKmw1jRhVEbXm51W-PWZJgQv_FG")</f>
        <v>https://drive.google.com/open?id=1dBtsNUKmw1jRhVEbXm51W-PWZJgQv_FG</v>
      </c>
    </row>
    <row r="150">
      <c r="A150" s="348" t="s">
        <v>4519</v>
      </c>
      <c r="B150" s="348" t="s">
        <v>4729</v>
      </c>
      <c r="C150" s="348" t="s">
        <v>4947</v>
      </c>
      <c r="D150" s="348"/>
      <c r="E150" s="348"/>
      <c r="F150" s="348" t="s">
        <v>5816</v>
      </c>
      <c r="G150" s="348" t="s">
        <v>5812</v>
      </c>
      <c r="H150" s="349">
        <v>300.0</v>
      </c>
      <c r="I150" s="11" t="str">
        <f>IFERROR(__xludf.DUMMYFUNCTION("VLOOKUP($A150,IMPORTRANGE(""https://docs.google.com/spreadsheets/d/1u9GbdmgAEc9k6kHu3ZfH25nxRNstVbRmM2ai-cDl3lY/edit?gid=2020727688#gid=2020727688"", ""Form responses 1!$F:$T""),12,false)"),"https://drive.google.com/file/d/1EecGdPTTyEa8_BzgNEbiIHcP9MGYuFy3/view?usp=sharing")</f>
        <v>https://drive.google.com/file/d/1EecGdPTTyEa8_BzgNEbiIHcP9MGYuFy3/view?usp=sharing</v>
      </c>
    </row>
    <row r="151">
      <c r="A151" s="348" t="s">
        <v>1186</v>
      </c>
      <c r="B151" s="348" t="s">
        <v>4729</v>
      </c>
      <c r="C151" s="348" t="s">
        <v>5089</v>
      </c>
      <c r="D151" s="348"/>
      <c r="E151" s="348"/>
      <c r="F151" s="348" t="s">
        <v>5816</v>
      </c>
      <c r="G151" s="348" t="s">
        <v>5812</v>
      </c>
      <c r="H151" s="349">
        <v>1800.0</v>
      </c>
      <c r="I151" s="11" t="str">
        <f>IFERROR(__xludf.DUMMYFUNCTION("VLOOKUP($A151,IMPORTRANGE(""https://docs.google.com/spreadsheets/d/1u9GbdmgAEc9k6kHu3ZfH25nxRNstVbRmM2ai-cDl3lY/edit?gid=2020727688#gid=2020727688"", ""Form responses 1!$F:$T""),12,false)"),"https://drive.google.com/file/d/1gNz_YFDh9AXGqm5DzUxbkPkRvVRcX6QD/view?usp=sharing")</f>
        <v>https://drive.google.com/file/d/1gNz_YFDh9AXGqm5DzUxbkPkRvVRcX6QD/view?usp=sharing</v>
      </c>
    </row>
    <row r="152">
      <c r="A152" s="348" t="s">
        <v>4505</v>
      </c>
      <c r="B152" s="348" t="s">
        <v>4729</v>
      </c>
      <c r="C152" s="348" t="s">
        <v>5115</v>
      </c>
      <c r="D152" s="348"/>
      <c r="E152" s="348"/>
      <c r="F152" s="348" t="s">
        <v>5816</v>
      </c>
      <c r="G152" s="348" t="s">
        <v>5812</v>
      </c>
      <c r="H152" s="349">
        <v>2300.0</v>
      </c>
      <c r="I152" s="11" t="str">
        <f>IFERROR(__xludf.DUMMYFUNCTION("VLOOKUP($A152,IMPORTRANGE(""https://docs.google.com/spreadsheets/d/1u9GbdmgAEc9k6kHu3ZfH25nxRNstVbRmM2ai-cDl3lY/edit?gid=2020727688#gid=2020727688"", ""Form responses 1!$F:$T""),12,false)"),"https://drive.google.com/open?id=1ie65ZW2fZEMKnafm679Z1WpJDA8DgiWP")</f>
        <v>https://drive.google.com/open?id=1ie65ZW2fZEMKnafm679Z1WpJDA8DgiWP</v>
      </c>
    </row>
    <row r="153">
      <c r="A153" s="348" t="s">
        <v>1635</v>
      </c>
      <c r="B153" s="348" t="s">
        <v>4729</v>
      </c>
      <c r="C153" s="348" t="s">
        <v>4997</v>
      </c>
      <c r="D153" s="348"/>
      <c r="E153" s="348"/>
      <c r="F153" s="348" t="s">
        <v>5816</v>
      </c>
      <c r="G153" s="348" t="s">
        <v>5812</v>
      </c>
      <c r="H153" s="349">
        <v>950.0</v>
      </c>
      <c r="I153" s="11" t="str">
        <f>IFERROR(__xludf.DUMMYFUNCTION("VLOOKUP($A153,IMPORTRANGE(""https://docs.google.com/spreadsheets/d/1u9GbdmgAEc9k6kHu3ZfH25nxRNstVbRmM2ai-cDl3lY/edit?gid=2020727688#gid=2020727688"", ""Form responses 1!$F:$T""),12,false)"),"https://drive.google.com/open?id=1HEVQAXHo_Nn9go4ya6jDsFYZJcBNXfzM")</f>
        <v>https://drive.google.com/open?id=1HEVQAXHo_Nn9go4ya6jDsFYZJcBNXfzM</v>
      </c>
    </row>
    <row r="154">
      <c r="A154" s="348" t="s">
        <v>1339</v>
      </c>
      <c r="B154" s="348" t="s">
        <v>4729</v>
      </c>
      <c r="C154" s="348" t="s">
        <v>1340</v>
      </c>
      <c r="D154" s="348"/>
      <c r="E154" s="348"/>
      <c r="F154" s="348" t="s">
        <v>5816</v>
      </c>
      <c r="G154" s="348" t="s">
        <v>5812</v>
      </c>
      <c r="H154" s="349">
        <v>1300.0</v>
      </c>
      <c r="I154" s="11" t="str">
        <f>IFERROR(__xludf.DUMMYFUNCTION("VLOOKUP($A154,IMPORTRANGE(""https://docs.google.com/spreadsheets/d/1u9GbdmgAEc9k6kHu3ZfH25nxRNstVbRmM2ai-cDl3lY/edit?gid=2020727688#gid=2020727688"", ""Form responses 1!$F:$T""),12,false)"),"https://drive.google.com/open?id=1mSDDeLHdjHMQooToa6aHVaOZKAPjaeeE")</f>
        <v>https://drive.google.com/open?id=1mSDDeLHdjHMQooToa6aHVaOZKAPjaeeE</v>
      </c>
    </row>
    <row r="155">
      <c r="A155" s="348" t="s">
        <v>1328</v>
      </c>
      <c r="B155" s="348" t="s">
        <v>4729</v>
      </c>
      <c r="C155" s="348" t="s">
        <v>5017</v>
      </c>
      <c r="D155" s="348"/>
      <c r="E155" s="348"/>
      <c r="F155" s="348" t="s">
        <v>5816</v>
      </c>
      <c r="G155" s="348" t="s">
        <v>5812</v>
      </c>
      <c r="H155" s="349">
        <v>1500.0</v>
      </c>
      <c r="I155" s="11" t="str">
        <f>IFERROR(__xludf.DUMMYFUNCTION("VLOOKUP($A155,IMPORTRANGE(""https://docs.google.com/spreadsheets/d/1u9GbdmgAEc9k6kHu3ZfH25nxRNstVbRmM2ai-cDl3lY/edit?gid=2020727688#gid=2020727688"", ""Form responses 1!$F:$T""),12,false)"),"https://drive.google.com/open?id=103CxiVSpwtJtXRQf69DghfHUGs4WblLG")</f>
        <v>https://drive.google.com/open?id=103CxiVSpwtJtXRQf69DghfHUGs4WblLG</v>
      </c>
    </row>
    <row r="156">
      <c r="A156" s="348" t="s">
        <v>1650</v>
      </c>
      <c r="B156" s="348" t="s">
        <v>4729</v>
      </c>
      <c r="C156" s="348" t="s">
        <v>1653</v>
      </c>
      <c r="D156" s="348"/>
      <c r="E156" s="348"/>
      <c r="F156" s="348" t="s">
        <v>5816</v>
      </c>
      <c r="G156" s="348" t="s">
        <v>5812</v>
      </c>
      <c r="H156" s="349">
        <v>2350.0</v>
      </c>
      <c r="I156" s="11" t="str">
        <f>IFERROR(__xludf.DUMMYFUNCTION("VLOOKUP($A156,IMPORTRANGE(""https://docs.google.com/spreadsheets/d/1u9GbdmgAEc9k6kHu3ZfH25nxRNstVbRmM2ai-cDl3lY/edit?gid=2020727688#gid=2020727688"", ""Form responses 1!$F:$T""),12,false)"),"https://drive.google.com/open?id=1wHwIk7MukEZV7yuk14x7rX4jBQUcWJ3O")</f>
        <v>https://drive.google.com/open?id=1wHwIk7MukEZV7yuk14x7rX4jBQUcWJ3O</v>
      </c>
    </row>
    <row r="157">
      <c r="A157" s="348" t="s">
        <v>1314</v>
      </c>
      <c r="B157" s="348" t="s">
        <v>4729</v>
      </c>
      <c r="C157" s="348" t="s">
        <v>5070</v>
      </c>
      <c r="D157" s="348"/>
      <c r="E157" s="348"/>
      <c r="F157" s="348" t="s">
        <v>5816</v>
      </c>
      <c r="G157" s="348" t="s">
        <v>5812</v>
      </c>
      <c r="H157" s="349">
        <v>900.0</v>
      </c>
      <c r="I157" s="11" t="str">
        <f>IFERROR(__xludf.DUMMYFUNCTION("VLOOKUP($A157,IMPORTRANGE(""https://docs.google.com/spreadsheets/d/1u9GbdmgAEc9k6kHu3ZfH25nxRNstVbRmM2ai-cDl3lY/edit?gid=2020727688#gid=2020727688"", ""Form responses 1!$F:$T""),12,false)"),"https://drive.google.com/open?id=1ZWb2IKw8gnmJrrq4phiWL3iRcnHn5Ga4")</f>
        <v>https://drive.google.com/open?id=1ZWb2IKw8gnmJrrq4phiWL3iRcnHn5Ga4</v>
      </c>
    </row>
    <row r="158">
      <c r="A158" s="348" t="s">
        <v>1624</v>
      </c>
      <c r="B158" s="348" t="s">
        <v>4729</v>
      </c>
      <c r="C158" s="348" t="s">
        <v>1626</v>
      </c>
      <c r="D158" s="348"/>
      <c r="E158" s="348"/>
      <c r="F158" s="348" t="s">
        <v>5816</v>
      </c>
      <c r="G158" s="348" t="s">
        <v>5812</v>
      </c>
      <c r="H158" s="349">
        <v>1600.0</v>
      </c>
      <c r="I158" s="11" t="str">
        <f>IFERROR(__xludf.DUMMYFUNCTION("VLOOKUP($A158,IMPORTRANGE(""https://docs.google.com/spreadsheets/d/1u9GbdmgAEc9k6kHu3ZfH25nxRNstVbRmM2ai-cDl3lY/edit?gid=2020727688#gid=2020727688"", ""Form responses 1!$F:$T""),12,false)"),"https://drive.google.com/open?id=1PVgovE52oG1RYq1pt4NCpw7H5qFPyB3g")</f>
        <v>https://drive.google.com/open?id=1PVgovE52oG1RYq1pt4NCpw7H5qFPyB3g</v>
      </c>
    </row>
    <row r="159">
      <c r="A159" s="348" t="s">
        <v>4503</v>
      </c>
      <c r="B159" s="348" t="s">
        <v>4729</v>
      </c>
      <c r="C159" s="348" t="s">
        <v>5003</v>
      </c>
      <c r="D159" s="348"/>
      <c r="E159" s="348"/>
      <c r="F159" s="348" t="s">
        <v>5816</v>
      </c>
      <c r="G159" s="348" t="s">
        <v>5812</v>
      </c>
      <c r="H159" s="349">
        <v>2450.0</v>
      </c>
      <c r="I159" s="14" t="str">
        <f>IFERROR(__xludf.DUMMYFUNCTION("VLOOKUP($A159,IMPORTRANGE(""https://docs.google.com/spreadsheets/d/1u9GbdmgAEc9k6kHu3ZfH25nxRNstVbRmM2ai-cDl3lY/edit?gid=2020727688#gid=2020727688"", ""Form responses 1!$F:$T""),12,false)"),"#N/A")</f>
        <v>#N/A</v>
      </c>
    </row>
    <row r="160">
      <c r="A160" s="348" t="s">
        <v>1360</v>
      </c>
      <c r="B160" s="348" t="s">
        <v>4729</v>
      </c>
      <c r="C160" s="348" t="s">
        <v>5104</v>
      </c>
      <c r="D160" s="348"/>
      <c r="E160" s="348"/>
      <c r="F160" s="348" t="s">
        <v>5816</v>
      </c>
      <c r="G160" s="348" t="s">
        <v>5812</v>
      </c>
      <c r="H160" s="349">
        <v>2100.0</v>
      </c>
      <c r="I160" s="11" t="str">
        <f>IFERROR(__xludf.DUMMYFUNCTION("VLOOKUP($A160,IMPORTRANGE(""https://docs.google.com/spreadsheets/d/1u9GbdmgAEc9k6kHu3ZfH25nxRNstVbRmM2ai-cDl3lY/edit?gid=2020727688#gid=2020727688"", ""Form responses 1!$F:$T""),12,false)"),"https://drive.google.com/open?id=1XjFieUkB6RQ80iaiTc96Guy7ecLqcrZT")</f>
        <v>https://drive.google.com/open?id=1XjFieUkB6RQ80iaiTc96Guy7ecLqcrZT</v>
      </c>
    </row>
    <row r="161">
      <c r="A161" s="348" t="s">
        <v>670</v>
      </c>
      <c r="B161" s="348" t="s">
        <v>4729</v>
      </c>
      <c r="C161" s="348" t="s">
        <v>1285</v>
      </c>
      <c r="D161" s="348"/>
      <c r="E161" s="348"/>
      <c r="F161" s="348" t="s">
        <v>5809</v>
      </c>
      <c r="G161" s="348" t="s">
        <v>5812</v>
      </c>
      <c r="H161" s="349">
        <v>1700.0</v>
      </c>
      <c r="I161" s="11" t="str">
        <f>IFERROR(__xludf.DUMMYFUNCTION("VLOOKUP($A161,IMPORTRANGE(""https://docs.google.com/spreadsheets/d/1u9GbdmgAEc9k6kHu3ZfH25nxRNstVbRmM2ai-cDl3lY/edit?gid=2020727688#gid=2020727688"", ""Form responses 1!$F:$T""),12,false)"),"https://drive.google.com/open?id=1ZY-i4jYYNIEF2dFTExJfioHo3wSLLLgt")</f>
        <v>https://drive.google.com/open?id=1ZY-i4jYYNIEF2dFTExJfioHo3wSLLLgt</v>
      </c>
    </row>
    <row r="162">
      <c r="A162" s="348" t="s">
        <v>1352</v>
      </c>
      <c r="B162" s="348" t="s">
        <v>4729</v>
      </c>
      <c r="C162" s="348" t="s">
        <v>5023</v>
      </c>
      <c r="D162" s="348"/>
      <c r="E162" s="348"/>
      <c r="F162" s="348" t="s">
        <v>5816</v>
      </c>
      <c r="G162" s="348" t="s">
        <v>5812</v>
      </c>
      <c r="H162" s="349">
        <v>1900.0</v>
      </c>
      <c r="I162" s="11" t="str">
        <f>IFERROR(__xludf.DUMMYFUNCTION("VLOOKUP($A162,IMPORTRANGE(""https://docs.google.com/spreadsheets/d/1u9GbdmgAEc9k6kHu3ZfH25nxRNstVbRmM2ai-cDl3lY/edit?gid=2020727688#gid=2020727688"", ""Form responses 1!$F:$T""),12,false)"),"https://drive.google.com/open?id=1PNXVsppJ3CLgacCwq9CX-SbR04NP_K7R")</f>
        <v>https://drive.google.com/open?id=1PNXVsppJ3CLgacCwq9CX-SbR04NP_K7R</v>
      </c>
    </row>
    <row r="163">
      <c r="A163" s="348" t="s">
        <v>1274</v>
      </c>
      <c r="B163" s="348" t="s">
        <v>4729</v>
      </c>
      <c r="C163" s="348" t="s">
        <v>1277</v>
      </c>
      <c r="D163" s="348"/>
      <c r="E163" s="348"/>
      <c r="F163" s="348" t="s">
        <v>5816</v>
      </c>
      <c r="G163" s="348" t="s">
        <v>5812</v>
      </c>
      <c r="H163" s="349">
        <v>1700.0</v>
      </c>
      <c r="I163" s="11" t="str">
        <f>IFERROR(__xludf.DUMMYFUNCTION("VLOOKUP($A163,IMPORTRANGE(""https://docs.google.com/spreadsheets/d/1u9GbdmgAEc9k6kHu3ZfH25nxRNstVbRmM2ai-cDl3lY/edit?gid=2020727688#gid=2020727688"", ""Form responses 1!$F:$T""),12,false)"),"https://drive.google.com/open?id=1wLbz29_bphhyoNKxVqlLtGMzmSJY_UgJ")</f>
        <v>https://drive.google.com/open?id=1wLbz29_bphhyoNKxVqlLtGMzmSJY_UgJ</v>
      </c>
    </row>
    <row r="164">
      <c r="A164" s="348" t="s">
        <v>1155</v>
      </c>
      <c r="B164" s="348" t="s">
        <v>4729</v>
      </c>
      <c r="C164" s="348" t="s">
        <v>1158</v>
      </c>
      <c r="D164" s="348"/>
      <c r="E164" s="348"/>
      <c r="F164" s="348" t="s">
        <v>5816</v>
      </c>
      <c r="G164" s="348" t="s">
        <v>5812</v>
      </c>
      <c r="H164" s="349">
        <v>2400.0</v>
      </c>
      <c r="I164" s="11" t="str">
        <f>IFERROR(__xludf.DUMMYFUNCTION("VLOOKUP($A164,IMPORTRANGE(""https://docs.google.com/spreadsheets/d/1u9GbdmgAEc9k6kHu3ZfH25nxRNstVbRmM2ai-cDl3lY/edit?gid=2020727688#gid=2020727688"", ""Form responses 1!$F:$T""),12,false)"),"https://drive.google.com/open?id=1kH8_-1W5qa400M6FMlJNVChW0B3sh5lH")</f>
        <v>https://drive.google.com/open?id=1kH8_-1W5qa400M6FMlJNVChW0B3sh5lH</v>
      </c>
    </row>
    <row r="165">
      <c r="A165" s="348" t="s">
        <v>1368</v>
      </c>
      <c r="B165" s="348" t="s">
        <v>4729</v>
      </c>
      <c r="C165" s="348" t="s">
        <v>5083</v>
      </c>
      <c r="D165" s="348"/>
      <c r="E165" s="348"/>
      <c r="F165" s="348" t="s">
        <v>5816</v>
      </c>
      <c r="G165" s="348" t="s">
        <v>5812</v>
      </c>
      <c r="H165" s="349">
        <v>2400.0</v>
      </c>
      <c r="I165" s="11" t="str">
        <f>IFERROR(__xludf.DUMMYFUNCTION("VLOOKUP($A165,IMPORTRANGE(""https://docs.google.com/spreadsheets/d/1u9GbdmgAEc9k6kHu3ZfH25nxRNstVbRmM2ai-cDl3lY/edit?gid=2020727688#gid=2020727688"", ""Form responses 1!$F:$T""),12,false)"),"https://drive.google.com/open?id=1Yg8iqHJzDLPM5FTNN-X4pChzLjsnEyrZ")</f>
        <v>https://drive.google.com/open?id=1Yg8iqHJzDLPM5FTNN-X4pChzLjsnEyrZ</v>
      </c>
    </row>
    <row r="166">
      <c r="A166" s="348" t="s">
        <v>1346</v>
      </c>
      <c r="B166" s="348" t="s">
        <v>4729</v>
      </c>
      <c r="C166" s="348" t="s">
        <v>5094</v>
      </c>
      <c r="D166" s="348"/>
      <c r="E166" s="348"/>
      <c r="F166" s="348" t="s">
        <v>5816</v>
      </c>
      <c r="G166" s="348" t="s">
        <v>5812</v>
      </c>
      <c r="H166" s="349">
        <v>1950.0</v>
      </c>
      <c r="I166" s="11" t="str">
        <f>IFERROR(__xludf.DUMMYFUNCTION("VLOOKUP($A166,IMPORTRANGE(""https://docs.google.com/spreadsheets/d/1u9GbdmgAEc9k6kHu3ZfH25nxRNstVbRmM2ai-cDl3lY/edit?gid=2020727688#gid=2020727688"", ""Form responses 1!$F:$T""),12,false)"),"https://drive.google.com/open?id=1M9mcGvrtazb9yz8Mn7jbPKL8sXgInZ4l")</f>
        <v>https://drive.google.com/open?id=1M9mcGvrtazb9yz8Mn7jbPKL8sXgInZ4l</v>
      </c>
    </row>
    <row r="167">
      <c r="A167" s="348" t="s">
        <v>1809</v>
      </c>
      <c r="B167" s="348" t="s">
        <v>4729</v>
      </c>
      <c r="C167" s="348" t="s">
        <v>1812</v>
      </c>
      <c r="D167" s="348"/>
      <c r="E167" s="348"/>
      <c r="F167" s="348" t="s">
        <v>5816</v>
      </c>
      <c r="G167" s="348" t="s">
        <v>5812</v>
      </c>
      <c r="H167" s="349">
        <v>1300.0</v>
      </c>
      <c r="I167" s="11" t="str">
        <f>IFERROR(__xludf.DUMMYFUNCTION("VLOOKUP($A167,IMPORTRANGE(""https://docs.google.com/spreadsheets/d/1u9GbdmgAEc9k6kHu3ZfH25nxRNstVbRmM2ai-cDl3lY/edit?gid=2020727688#gid=2020727688"", ""Form responses 1!$F:$T""),12,false)"),"https://drive.google.com/open?id=1ZGcIHNSRdG8BH1ULDQD3dMROQc_q_TnZ")</f>
        <v>https://drive.google.com/open?id=1ZGcIHNSRdG8BH1ULDQD3dMROQc_q_TnZ</v>
      </c>
    </row>
    <row r="168">
      <c r="A168" s="348" t="s">
        <v>1900</v>
      </c>
      <c r="B168" s="348" t="s">
        <v>4729</v>
      </c>
      <c r="C168" s="348" t="s">
        <v>5076</v>
      </c>
      <c r="D168" s="348"/>
      <c r="E168" s="348"/>
      <c r="F168" s="348" t="s">
        <v>5816</v>
      </c>
      <c r="G168" s="348" t="s">
        <v>5812</v>
      </c>
      <c r="H168" s="349">
        <v>1700.0</v>
      </c>
      <c r="I168" s="11" t="str">
        <f>IFERROR(__xludf.DUMMYFUNCTION("VLOOKUP($A168,IMPORTRANGE(""https://docs.google.com/spreadsheets/d/1u9GbdmgAEc9k6kHu3ZfH25nxRNstVbRmM2ai-cDl3lY/edit?gid=2020727688#gid=2020727688"", ""Form responses 1!$F:$T""),12,false)"),"https://drive.google.com/open?id=1t_aP37yUwChZUqNUzqundXLyL6parKlJ")</f>
        <v>https://drive.google.com/open?id=1t_aP37yUwChZUqNUzqundXLyL6parKlJ</v>
      </c>
    </row>
    <row r="169">
      <c r="A169" s="348" t="s">
        <v>1373</v>
      </c>
      <c r="B169" s="348" t="s">
        <v>4729</v>
      </c>
      <c r="C169" s="348" t="s">
        <v>1376</v>
      </c>
      <c r="D169" s="348"/>
      <c r="E169" s="348"/>
      <c r="F169" s="348" t="s">
        <v>5816</v>
      </c>
      <c r="G169" s="348" t="s">
        <v>5812</v>
      </c>
      <c r="H169" s="349">
        <v>1500.0</v>
      </c>
      <c r="I169" s="11" t="str">
        <f>IFERROR(__xludf.DUMMYFUNCTION("VLOOKUP($A169,IMPORTRANGE(""https://docs.google.com/spreadsheets/d/1u9GbdmgAEc9k6kHu3ZfH25nxRNstVbRmM2ai-cDl3lY/edit?gid=2020727688#gid=2020727688"", ""Form responses 1!$F:$T""),12,false)"),"https://drive.google.com/open?id=1MxxE8fBON3kHWegE46L2aMGgAgEOIVnk")</f>
        <v>https://drive.google.com/open?id=1MxxE8fBON3kHWegE46L2aMGgAgEOIVnk</v>
      </c>
    </row>
    <row r="170">
      <c r="A170" s="348" t="s">
        <v>3718</v>
      </c>
      <c r="B170" s="348" t="s">
        <v>4748</v>
      </c>
      <c r="C170" s="348" t="s">
        <v>3841</v>
      </c>
      <c r="D170" s="348"/>
      <c r="E170" s="348"/>
      <c r="F170" s="348" t="s">
        <v>5809</v>
      </c>
      <c r="G170" s="348" t="s">
        <v>5812</v>
      </c>
      <c r="H170" s="349">
        <v>2400.0</v>
      </c>
      <c r="I170" s="11" t="str">
        <f>IFERROR(__xludf.DUMMYFUNCTION("VLOOKUP($A170,IMPORTRANGE(""https://docs.google.com/spreadsheets/d/1u9GbdmgAEc9k6kHu3ZfH25nxRNstVbRmM2ai-cDl3lY/edit?gid=2020727688#gid=2020727688"", ""Form responses 1!$F:$T""),12,false)"),"https://drive.google.com/open?id=1Lk9fjHYP14jmlBQjDgmyOtfh26uyubCo")</f>
        <v>https://drive.google.com/open?id=1Lk9fjHYP14jmlBQjDgmyOtfh26uyubCo</v>
      </c>
    </row>
    <row r="171">
      <c r="A171" s="348" t="s">
        <v>4674</v>
      </c>
      <c r="B171" s="348" t="s">
        <v>4756</v>
      </c>
      <c r="C171" s="348" t="s">
        <v>5508</v>
      </c>
      <c r="D171" s="348"/>
      <c r="E171" s="348"/>
      <c r="F171" s="348" t="s">
        <v>5809</v>
      </c>
      <c r="G171" s="348" t="s">
        <v>5812</v>
      </c>
      <c r="H171" s="349">
        <v>1650.0</v>
      </c>
      <c r="I171" s="11" t="str">
        <f>IFERROR(__xludf.DUMMYFUNCTION("VLOOKUP($A171,IMPORTRANGE(""https://docs.google.com/spreadsheets/d/1u9GbdmgAEc9k6kHu3ZfH25nxRNstVbRmM2ai-cDl3lY/edit?gid=2020727688#gid=2020727688"", ""Form responses 1!$F:$T""),12,false)"),"https://drive.google.com/file/d/15Ml6seKAO5KjNvZLHxypxNVWawPPmHyH/view?usp=drive_link")</f>
        <v>https://drive.google.com/file/d/15Ml6seKAO5KjNvZLHxypxNVWawPPmHyH/view?usp=drive_link</v>
      </c>
    </row>
    <row r="172">
      <c r="A172" s="348" t="s">
        <v>4675</v>
      </c>
      <c r="B172" s="348" t="s">
        <v>4756</v>
      </c>
      <c r="C172" s="348" t="s">
        <v>5510</v>
      </c>
      <c r="D172" s="348"/>
      <c r="E172" s="348"/>
      <c r="F172" s="348" t="s">
        <v>5809</v>
      </c>
      <c r="G172" s="348" t="s">
        <v>5812</v>
      </c>
      <c r="H172" s="349">
        <v>2900.0</v>
      </c>
      <c r="I172" s="11" t="str">
        <f>IFERROR(__xludf.DUMMYFUNCTION("VLOOKUP($A172,IMPORTRANGE(""https://docs.google.com/spreadsheets/d/1u9GbdmgAEc9k6kHu3ZfH25nxRNstVbRmM2ai-cDl3lY/edit?gid=2020727688#gid=2020727688"", ""Form responses 1!$F:$T""),12,false)"),"https://drive.google.com/file/d/11ymMjXLefklkOY-SIXfIITKXVCXSelCO/view?usp=drive_link")</f>
        <v>https://drive.google.com/file/d/11ymMjXLefklkOY-SIXfIITKXVCXSelCO/view?usp=drive_link</v>
      </c>
    </row>
    <row r="173">
      <c r="A173" s="348" t="s">
        <v>4676</v>
      </c>
      <c r="B173" s="348" t="s">
        <v>4756</v>
      </c>
      <c r="C173" s="348" t="s">
        <v>5516</v>
      </c>
      <c r="D173" s="348"/>
      <c r="E173" s="348"/>
      <c r="F173" s="348" t="s">
        <v>5809</v>
      </c>
      <c r="G173" s="348" t="s">
        <v>5812</v>
      </c>
      <c r="H173" s="349">
        <v>2200.0</v>
      </c>
      <c r="I173" s="14" t="str">
        <f>IFERROR(__xludf.DUMMYFUNCTION("VLOOKUP($A173,IMPORTRANGE(""https://docs.google.com/spreadsheets/d/1u9GbdmgAEc9k6kHu3ZfH25nxRNstVbRmM2ai-cDl3lY/edit?gid=2020727688#gid=2020727688"", ""Form responses 1!$F:$T""),12,false)"),"#N/A")</f>
        <v>#N/A</v>
      </c>
    </row>
    <row r="174">
      <c r="A174" s="348" t="s">
        <v>4678</v>
      </c>
      <c r="B174" s="348" t="s">
        <v>4756</v>
      </c>
      <c r="C174" s="348" t="s">
        <v>5512</v>
      </c>
      <c r="D174" s="348"/>
      <c r="E174" s="348"/>
      <c r="F174" s="348" t="s">
        <v>5809</v>
      </c>
      <c r="G174" s="348" t="s">
        <v>5812</v>
      </c>
      <c r="H174" s="349">
        <v>2600.0</v>
      </c>
      <c r="I174" s="11" t="str">
        <f>IFERROR(__xludf.DUMMYFUNCTION("VLOOKUP($A174,IMPORTRANGE(""https://docs.google.com/spreadsheets/d/1u9GbdmgAEc9k6kHu3ZfH25nxRNstVbRmM2ai-cDl3lY/edit?gid=2020727688#gid=2020727688"", ""Form responses 1!$F:$T""),12,false)"),"https://drive.google.com/open?id=17h7SACRa8rQ9ZZvlpjzTRCgFnlLwYvZY")</f>
        <v>https://drive.google.com/open?id=17h7SACRa8rQ9ZZvlpjzTRCgFnlLwYvZY</v>
      </c>
    </row>
    <row r="175">
      <c r="A175" s="348" t="s">
        <v>4677</v>
      </c>
      <c r="B175" s="348" t="s">
        <v>4756</v>
      </c>
      <c r="C175" s="348" t="s">
        <v>5514</v>
      </c>
      <c r="D175" s="348"/>
      <c r="E175" s="348"/>
      <c r="F175" s="348" t="s">
        <v>5809</v>
      </c>
      <c r="G175" s="348" t="s">
        <v>5812</v>
      </c>
      <c r="H175" s="349">
        <v>1300.0</v>
      </c>
      <c r="I175" s="11" t="str">
        <f>IFERROR(__xludf.DUMMYFUNCTION("VLOOKUP($A175,IMPORTRANGE(""https://docs.google.com/spreadsheets/d/1u9GbdmgAEc9k6kHu3ZfH25nxRNstVbRmM2ai-cDl3lY/edit?gid=2020727688#gid=2020727688"", ""Form responses 1!$F:$T""),12,false)"),"https://drive.google.com/file/d/1-NVXKeey_FwbCSOtuJtYN6QDi-Gx7q5n/view?usp=drive_link")</f>
        <v>https://drive.google.com/file/d/1-NVXKeey_FwbCSOtuJtYN6QDi-Gx7q5n/view?usp=drive_link</v>
      </c>
    </row>
    <row r="176">
      <c r="A176" s="348" t="s">
        <v>4679</v>
      </c>
      <c r="B176" s="348" t="s">
        <v>4757</v>
      </c>
      <c r="C176" s="348" t="s">
        <v>5490</v>
      </c>
      <c r="D176" s="348"/>
      <c r="E176" s="348"/>
      <c r="F176" s="348" t="s">
        <v>5809</v>
      </c>
      <c r="G176" s="348" t="s">
        <v>5812</v>
      </c>
      <c r="H176" s="349">
        <v>1000.0</v>
      </c>
      <c r="I176" s="11" t="str">
        <f>IFERROR(__xludf.DUMMYFUNCTION("VLOOKUP($A176,IMPORTRANGE(""https://docs.google.com/spreadsheets/d/1u9GbdmgAEc9k6kHu3ZfH25nxRNstVbRmM2ai-cDl3lY/edit?gid=2020727688#gid=2020727688"", ""Form responses 1!$F:$T""),12,false)"),"https://drive.google.com/open?id=1jC5rQNerl_sgQboz4ShD5U-OpRs8KdZA")</f>
        <v>https://drive.google.com/open?id=1jC5rQNerl_sgQboz4ShD5U-OpRs8KdZA</v>
      </c>
    </row>
    <row r="177">
      <c r="A177" s="348" t="s">
        <v>4682</v>
      </c>
      <c r="B177" s="348" t="s">
        <v>4757</v>
      </c>
      <c r="C177" s="348" t="s">
        <v>5484</v>
      </c>
      <c r="D177" s="348"/>
      <c r="E177" s="348"/>
      <c r="F177" s="348" t="s">
        <v>5809</v>
      </c>
      <c r="G177" s="348" t="s">
        <v>5812</v>
      </c>
      <c r="H177" s="349">
        <v>1800.0</v>
      </c>
      <c r="I177" s="11" t="str">
        <f>IFERROR(__xludf.DUMMYFUNCTION("VLOOKUP($A177,IMPORTRANGE(""https://docs.google.com/spreadsheets/d/1u9GbdmgAEc9k6kHu3ZfH25nxRNstVbRmM2ai-cDl3lY/edit?gid=2020727688#gid=2020727688"", ""Form responses 1!$F:$T""),12,false)"),"https://drive.google.com/open?id=1UX9KEMV7sDntfNpXz5uFr4KwqgXTHXmg")</f>
        <v>https://drive.google.com/open?id=1UX9KEMV7sDntfNpXz5uFr4KwqgXTHXmg</v>
      </c>
    </row>
    <row r="178">
      <c r="A178" s="348" t="s">
        <v>4680</v>
      </c>
      <c r="B178" s="348" t="s">
        <v>4757</v>
      </c>
      <c r="C178" s="348" t="s">
        <v>5488</v>
      </c>
      <c r="D178" s="348"/>
      <c r="E178" s="348"/>
      <c r="F178" s="348" t="s">
        <v>5809</v>
      </c>
      <c r="G178" s="348" t="s">
        <v>5812</v>
      </c>
      <c r="H178" s="349">
        <v>3450.0</v>
      </c>
      <c r="I178" s="11" t="str">
        <f>IFERROR(__xludf.DUMMYFUNCTION("VLOOKUP($A178,IMPORTRANGE(""https://docs.google.com/spreadsheets/d/1u9GbdmgAEc9k6kHu3ZfH25nxRNstVbRmM2ai-cDl3lY/edit?gid=2020727688#gid=2020727688"", ""Form responses 1!$F:$T""),12,false)"),"https://drive.google.com/open?id=1zQ3ee0gfr4H2sNFQlYu4vYokVvU3iA5D")</f>
        <v>https://drive.google.com/open?id=1zQ3ee0gfr4H2sNFQlYu4vYokVvU3iA5D</v>
      </c>
    </row>
    <row r="179">
      <c r="A179" s="348" t="s">
        <v>4683</v>
      </c>
      <c r="B179" s="348" t="s">
        <v>4757</v>
      </c>
      <c r="C179" s="348" t="s">
        <v>5480</v>
      </c>
      <c r="D179" s="348"/>
      <c r="E179" s="348"/>
      <c r="F179" s="348" t="s">
        <v>5809</v>
      </c>
      <c r="G179" s="348" t="s">
        <v>5812</v>
      </c>
      <c r="H179" s="349">
        <v>2150.0</v>
      </c>
      <c r="I179" s="11" t="str">
        <f>IFERROR(__xludf.DUMMYFUNCTION("VLOOKUP($A179,IMPORTRANGE(""https://docs.google.com/spreadsheets/d/1u9GbdmgAEc9k6kHu3ZfH25nxRNstVbRmM2ai-cDl3lY/edit?gid=2020727688#gid=2020727688"", ""Form responses 1!$F:$T""),12,false)"),"https://drive.google.com/open?id=1Lm5GhaUn3OQh2e4KaWUsk05bkwlSLRrG")</f>
        <v>https://drive.google.com/open?id=1Lm5GhaUn3OQh2e4KaWUsk05bkwlSLRrG</v>
      </c>
    </row>
    <row r="180">
      <c r="A180" s="348" t="s">
        <v>4681</v>
      </c>
      <c r="B180" s="348" t="s">
        <v>4757</v>
      </c>
      <c r="C180" s="348" t="s">
        <v>5486</v>
      </c>
      <c r="D180" s="348"/>
      <c r="E180" s="348"/>
      <c r="F180" s="348" t="s">
        <v>5809</v>
      </c>
      <c r="G180" s="348" t="s">
        <v>5812</v>
      </c>
      <c r="H180" s="349">
        <v>1650.0</v>
      </c>
      <c r="I180" s="11" t="str">
        <f>IFERROR(__xludf.DUMMYFUNCTION("VLOOKUP($A180,IMPORTRANGE(""https://docs.google.com/spreadsheets/d/1u9GbdmgAEc9k6kHu3ZfH25nxRNstVbRmM2ai-cDl3lY/edit?gid=2020727688#gid=2020727688"", ""Form responses 1!$F:$T""),12,false)"),"https://drive.google.com/open?id=1-6qJy-cDnnp4ee9z-Nxvt3N6QkEA9XyW")</f>
        <v>https://drive.google.com/open?id=1-6qJy-cDnnp4ee9z-Nxvt3N6QkEA9XyW</v>
      </c>
    </row>
    <row r="181">
      <c r="A181" s="348" t="s">
        <v>4685</v>
      </c>
      <c r="B181" s="348" t="s">
        <v>4757</v>
      </c>
      <c r="C181" s="348" t="s">
        <v>5478</v>
      </c>
      <c r="D181" s="348"/>
      <c r="E181" s="348"/>
      <c r="F181" s="348" t="s">
        <v>5809</v>
      </c>
      <c r="G181" s="348" t="s">
        <v>5812</v>
      </c>
      <c r="H181" s="349">
        <v>2250.0</v>
      </c>
      <c r="I181" s="11" t="str">
        <f>IFERROR(__xludf.DUMMYFUNCTION("VLOOKUP($A181,IMPORTRANGE(""https://docs.google.com/spreadsheets/d/1u9GbdmgAEc9k6kHu3ZfH25nxRNstVbRmM2ai-cDl3lY/edit?gid=2020727688#gid=2020727688"", ""Form responses 1!$F:$T""),12,false)"),"https://drive.google.com/file/d/12SwooHg2LoGfLV_rGOl6oj3_GkHLOmfD/view?usp=drive_link")</f>
        <v>https://drive.google.com/file/d/12SwooHg2LoGfLV_rGOl6oj3_GkHLOmfD/view?usp=drive_link</v>
      </c>
    </row>
    <row r="182">
      <c r="A182" s="348" t="s">
        <v>4684</v>
      </c>
      <c r="B182" s="348" t="s">
        <v>4757</v>
      </c>
      <c r="C182" s="348" t="s">
        <v>5482</v>
      </c>
      <c r="D182" s="348"/>
      <c r="E182" s="348"/>
      <c r="F182" s="348" t="s">
        <v>5809</v>
      </c>
      <c r="G182" s="348" t="s">
        <v>5812</v>
      </c>
      <c r="H182" s="349">
        <v>3400.0</v>
      </c>
      <c r="I182" s="11" t="str">
        <f>IFERROR(__xludf.DUMMYFUNCTION("VLOOKUP($A182,IMPORTRANGE(""https://docs.google.com/spreadsheets/d/1u9GbdmgAEc9k6kHu3ZfH25nxRNstVbRmM2ai-cDl3lY/edit?gid=2020727688#gid=2020727688"", ""Form responses 1!$F:$T""),12,false)"),"https://drive.google.com/file/d/1LET2pIb9tXlPgv-M6YnVtIBr1drs_DOS/view?usp=drive_link")</f>
        <v>https://drive.google.com/file/d/1LET2pIb9tXlPgv-M6YnVtIBr1drs_DOS/view?usp=drive_link</v>
      </c>
    </row>
    <row r="183">
      <c r="A183" s="348" t="s">
        <v>4689</v>
      </c>
      <c r="B183" s="348" t="s">
        <v>4758</v>
      </c>
      <c r="C183" s="348" t="s">
        <v>5500</v>
      </c>
      <c r="D183" s="348"/>
      <c r="E183" s="348"/>
      <c r="F183" s="348" t="s">
        <v>5809</v>
      </c>
      <c r="G183" s="348" t="s">
        <v>5812</v>
      </c>
      <c r="H183" s="349">
        <v>1350.0</v>
      </c>
      <c r="I183" s="11" t="str">
        <f>IFERROR(__xludf.DUMMYFUNCTION("VLOOKUP($A183,IMPORTRANGE(""https://docs.google.com/spreadsheets/d/1u9GbdmgAEc9k6kHu3ZfH25nxRNstVbRmM2ai-cDl3lY/edit?gid=2020727688#gid=2020727688"", ""Form responses 1!$F:$T""),12,false)"),"https://drive.google.com/open?id=1QkIYzMLpTHNzKPas4bbnBdIatKVOPOyA")</f>
        <v>https://drive.google.com/open?id=1QkIYzMLpTHNzKPas4bbnBdIatKVOPOyA</v>
      </c>
    </row>
    <row r="184">
      <c r="A184" s="348" t="s">
        <v>4690</v>
      </c>
      <c r="B184" s="348" t="s">
        <v>4758</v>
      </c>
      <c r="C184" s="348" t="s">
        <v>5498</v>
      </c>
      <c r="D184" s="348"/>
      <c r="E184" s="348"/>
      <c r="F184" s="348" t="s">
        <v>5809</v>
      </c>
      <c r="G184" s="348" t="s">
        <v>5812</v>
      </c>
      <c r="H184" s="349">
        <v>1400.0</v>
      </c>
      <c r="I184" s="11" t="str">
        <f>IFERROR(__xludf.DUMMYFUNCTION("VLOOKUP($A184,IMPORTRANGE(""https://docs.google.com/spreadsheets/d/1u9GbdmgAEc9k6kHu3ZfH25nxRNstVbRmM2ai-cDl3lY/edit?gid=2020727688#gid=2020727688"", ""Form responses 1!$F:$T""),12,false)"),"https://drive.google.com/open?id=1cc8ASRBfd035PUHiV9BVit_Qg0YP5tfX")</f>
        <v>https://drive.google.com/open?id=1cc8ASRBfd035PUHiV9BVit_Qg0YP5tfX</v>
      </c>
    </row>
    <row r="185">
      <c r="A185" s="348" t="s">
        <v>4693</v>
      </c>
      <c r="B185" s="348" t="s">
        <v>4758</v>
      </c>
      <c r="C185" s="348" t="s">
        <v>5494</v>
      </c>
      <c r="D185" s="348"/>
      <c r="E185" s="348"/>
      <c r="F185" s="348" t="s">
        <v>5809</v>
      </c>
      <c r="G185" s="348" t="s">
        <v>5812</v>
      </c>
      <c r="H185" s="349">
        <v>600.0</v>
      </c>
      <c r="I185" s="11" t="str">
        <f>IFERROR(__xludf.DUMMYFUNCTION("VLOOKUP($A185,IMPORTRANGE(""https://docs.google.com/spreadsheets/d/1u9GbdmgAEc9k6kHu3ZfH25nxRNstVbRmM2ai-cDl3lY/edit?gid=2020727688#gid=2020727688"", ""Form responses 1!$F:$T""),12,false)"),"https://drive.google.com/open?id=1MkUYPwNEnXTbQzufCdRnk928rINQkKu2")</f>
        <v>https://drive.google.com/open?id=1MkUYPwNEnXTbQzufCdRnk928rINQkKu2</v>
      </c>
    </row>
    <row r="186">
      <c r="A186" s="348" t="s">
        <v>4691</v>
      </c>
      <c r="B186" s="348" t="s">
        <v>4758</v>
      </c>
      <c r="C186" s="348" t="s">
        <v>5492</v>
      </c>
      <c r="D186" s="348"/>
      <c r="E186" s="348"/>
      <c r="F186" s="348" t="s">
        <v>5809</v>
      </c>
      <c r="G186" s="348" t="s">
        <v>5812</v>
      </c>
      <c r="H186" s="349">
        <v>2000.0</v>
      </c>
      <c r="I186" s="11" t="str">
        <f>IFERROR(__xludf.DUMMYFUNCTION("VLOOKUP($A186,IMPORTRANGE(""https://docs.google.com/spreadsheets/d/1u9GbdmgAEc9k6kHu3ZfH25nxRNstVbRmM2ai-cDl3lY/edit?gid=2020727688#gid=2020727688"", ""Form responses 1!$F:$T""),12,false)"),"https://drive.google.com/open?id=1LCniZTPk1m-2V7SVrEMZBe4afAKykOEl")</f>
        <v>https://drive.google.com/open?id=1LCniZTPk1m-2V7SVrEMZBe4afAKykOEl</v>
      </c>
    </row>
    <row r="187">
      <c r="A187" s="348" t="s">
        <v>4692</v>
      </c>
      <c r="B187" s="348" t="s">
        <v>4758</v>
      </c>
      <c r="C187" s="348" t="s">
        <v>5504</v>
      </c>
      <c r="D187" s="348"/>
      <c r="E187" s="348"/>
      <c r="F187" s="348" t="s">
        <v>5809</v>
      </c>
      <c r="G187" s="348" t="s">
        <v>5812</v>
      </c>
      <c r="H187" s="349">
        <v>950.0</v>
      </c>
      <c r="I187" s="11" t="str">
        <f>IFERROR(__xludf.DUMMYFUNCTION("VLOOKUP($A187,IMPORTRANGE(""https://docs.google.com/spreadsheets/d/1u9GbdmgAEc9k6kHu3ZfH25nxRNstVbRmM2ai-cDl3lY/edit?gid=2020727688#gid=2020727688"", ""Form responses 1!$F:$T""),12,false)"),"https://drive.google.com/open?id=1KwqDHviY5t4f47Qva0wrrlwf8NokRA9G")</f>
        <v>https://drive.google.com/open?id=1KwqDHviY5t4f47Qva0wrrlwf8NokRA9G</v>
      </c>
    </row>
    <row r="188">
      <c r="A188" s="348" t="s">
        <v>4686</v>
      </c>
      <c r="B188" s="348" t="s">
        <v>4758</v>
      </c>
      <c r="C188" s="348" t="s">
        <v>5502</v>
      </c>
      <c r="D188" s="348"/>
      <c r="E188" s="348"/>
      <c r="F188" s="348" t="s">
        <v>5809</v>
      </c>
      <c r="G188" s="348" t="s">
        <v>5812</v>
      </c>
      <c r="H188" s="349">
        <v>1050.0</v>
      </c>
      <c r="I188" s="11" t="str">
        <f>IFERROR(__xludf.DUMMYFUNCTION("VLOOKUP($A188,IMPORTRANGE(""https://docs.google.com/spreadsheets/d/1u9GbdmgAEc9k6kHu3ZfH25nxRNstVbRmM2ai-cDl3lY/edit?gid=2020727688#gid=2020727688"", ""Form responses 1!$F:$T""),12,false)"),"https://drive.google.com/open?id=1hAdvwC6j8LBfyYofGBpiZc6QSyMDlAkq")</f>
        <v>https://drive.google.com/open?id=1hAdvwC6j8LBfyYofGBpiZc6QSyMDlAkq</v>
      </c>
    </row>
    <row r="189">
      <c r="A189" s="348" t="s">
        <v>4688</v>
      </c>
      <c r="B189" s="348" t="s">
        <v>4758</v>
      </c>
      <c r="C189" s="348" t="s">
        <v>5496</v>
      </c>
      <c r="D189" s="348"/>
      <c r="E189" s="348"/>
      <c r="F189" s="348" t="s">
        <v>5809</v>
      </c>
      <c r="G189" s="348" t="s">
        <v>5812</v>
      </c>
      <c r="H189" s="349">
        <v>500.0</v>
      </c>
      <c r="I189" s="11" t="str">
        <f>IFERROR(__xludf.DUMMYFUNCTION("VLOOKUP($A189,IMPORTRANGE(""https://docs.google.com/spreadsheets/d/1u9GbdmgAEc9k6kHu3ZfH25nxRNstVbRmM2ai-cDl3lY/edit?gid=2020727688#gid=2020727688"", ""Form responses 1!$F:$T""),12,false)"),"https://drive.google.com/open?id=1sojf0NbwGqh4P_UTCL-UYt5OstlOXs_0")</f>
        <v>https://drive.google.com/open?id=1sojf0NbwGqh4P_UTCL-UYt5OstlOXs_0</v>
      </c>
    </row>
    <row r="190">
      <c r="A190" s="348" t="s">
        <v>4687</v>
      </c>
      <c r="B190" s="348" t="s">
        <v>4758</v>
      </c>
      <c r="C190" s="348" t="s">
        <v>5506</v>
      </c>
      <c r="D190" s="348"/>
      <c r="E190" s="348"/>
      <c r="F190" s="348" t="s">
        <v>5809</v>
      </c>
      <c r="G190" s="348" t="s">
        <v>5812</v>
      </c>
      <c r="H190" s="349">
        <v>1350.0</v>
      </c>
      <c r="I190" s="11" t="str">
        <f>IFERROR(__xludf.DUMMYFUNCTION("VLOOKUP($A190,IMPORTRANGE(""https://docs.google.com/spreadsheets/d/1u9GbdmgAEc9k6kHu3ZfH25nxRNstVbRmM2ai-cDl3lY/edit?gid=2020727688#gid=2020727688"", ""Form responses 1!$F:$T""),12,false)"),"https://drive.google.com/open?id=1J6qY-eBcPSC3U2xZN4TFfOokEfd7FAYI")</f>
        <v>https://drive.google.com/open?id=1J6qY-eBcPSC3U2xZN4TFfOokEfd7FAYI</v>
      </c>
    </row>
    <row r="191">
      <c r="A191" s="348" t="s">
        <v>3881</v>
      </c>
      <c r="B191" s="348" t="s">
        <v>4761</v>
      </c>
      <c r="C191" s="348" t="s">
        <v>5161</v>
      </c>
      <c r="D191" s="348"/>
      <c r="E191" s="348"/>
      <c r="F191" s="348" t="s">
        <v>5809</v>
      </c>
      <c r="G191" s="348" t="s">
        <v>5812</v>
      </c>
      <c r="H191" s="349">
        <v>2000.0</v>
      </c>
      <c r="I191" s="11" t="str">
        <f>IFERROR(__xludf.DUMMYFUNCTION("VLOOKUP($A191,IMPORTRANGE(""https://docs.google.com/spreadsheets/d/1u9GbdmgAEc9k6kHu3ZfH25nxRNstVbRmM2ai-cDl3lY/edit?gid=2020727688#gid=2020727688"", ""Form responses 1!$F:$T""),12,false)"),"https://drive.google.com/open?id=1y74JHFkbe_yY5kz2WGxMpsK4UwvwkcSJ")</f>
        <v>https://drive.google.com/open?id=1y74JHFkbe_yY5kz2WGxMpsK4UwvwkcSJ</v>
      </c>
    </row>
    <row r="192">
      <c r="A192" s="348" t="s">
        <v>5817</v>
      </c>
      <c r="B192" s="348" t="s">
        <v>4744</v>
      </c>
      <c r="C192" s="348" t="s">
        <v>4923</v>
      </c>
      <c r="D192" s="348"/>
      <c r="E192" s="348"/>
      <c r="F192" s="348" t="s">
        <v>5816</v>
      </c>
      <c r="G192" s="348" t="s">
        <v>5812</v>
      </c>
      <c r="H192" s="349">
        <v>1750.0</v>
      </c>
      <c r="I192" s="11" t="str">
        <f>IFERROR(__xludf.DUMMYFUNCTION("VLOOKUP($A192,IMPORTRANGE(""https://docs.google.com/spreadsheets/d/1u9GbdmgAEc9k6kHu3ZfH25nxRNstVbRmM2ai-cDl3lY/edit?gid=2020727688#gid=2020727688"", ""Form responses 1!$F:$T""),12,false)"),"https://drive.google.com/file/d/1srGgqFvFdIDqSsSDuHmT1hm6KDJhGUvr/view?usp=drive_link")</f>
        <v>https://drive.google.com/file/d/1srGgqFvFdIDqSsSDuHmT1hm6KDJhGUvr/view?usp=drive_link</v>
      </c>
    </row>
    <row r="193">
      <c r="A193" s="348" t="s">
        <v>4134</v>
      </c>
      <c r="B193" s="348" t="s">
        <v>4759</v>
      </c>
      <c r="C193" s="348" t="s">
        <v>4137</v>
      </c>
      <c r="D193" s="348"/>
      <c r="E193" s="348"/>
      <c r="F193" s="348" t="s">
        <v>5809</v>
      </c>
      <c r="G193" s="348" t="s">
        <v>5813</v>
      </c>
      <c r="H193" s="349">
        <v>2050.0</v>
      </c>
      <c r="I193" s="14" t="str">
        <f>IFERROR(__xludf.DUMMYFUNCTION("VLOOKUP($A193,IMPORTRANGE(""https://docs.google.com/spreadsheets/d/1u9GbdmgAEc9k6kHu3ZfH25nxRNstVbRmM2ai-cDl3lY/edit?gid=2020727688#gid=2020727688"", ""Form responses 1!$F:$T""),12,false)"),"#N/A")</f>
        <v>#N/A</v>
      </c>
    </row>
    <row r="194">
      <c r="A194" s="348" t="s">
        <v>4128</v>
      </c>
      <c r="B194" s="348" t="s">
        <v>4759</v>
      </c>
      <c r="C194" s="348" t="s">
        <v>5222</v>
      </c>
      <c r="D194" s="348"/>
      <c r="E194" s="348"/>
      <c r="F194" s="348" t="s">
        <v>5809</v>
      </c>
      <c r="G194" s="348" t="s">
        <v>5813</v>
      </c>
      <c r="H194" s="349">
        <v>1600.0</v>
      </c>
      <c r="I194" s="14" t="str">
        <f>IFERROR(__xludf.DUMMYFUNCTION("VLOOKUP($A194,IMPORTRANGE(""https://docs.google.com/spreadsheets/d/1u9GbdmgAEc9k6kHu3ZfH25nxRNstVbRmM2ai-cDl3lY/edit?gid=2020727688#gid=2020727688"", ""Form responses 1!$F:$T""),12,false)"),"#N/A")</f>
        <v>#N/A</v>
      </c>
    </row>
    <row r="195">
      <c r="A195" s="348" t="s">
        <v>4695</v>
      </c>
      <c r="B195" s="348" t="s">
        <v>4759</v>
      </c>
      <c r="C195" s="348" t="s">
        <v>5189</v>
      </c>
      <c r="D195" s="348"/>
      <c r="E195" s="348"/>
      <c r="F195" s="348" t="s">
        <v>5809</v>
      </c>
      <c r="G195" s="348" t="s">
        <v>5813</v>
      </c>
      <c r="H195" s="349">
        <v>1800.0</v>
      </c>
      <c r="I195" s="14" t="str">
        <f>IFERROR(__xludf.DUMMYFUNCTION("VLOOKUP($A195,IMPORTRANGE(""https://docs.google.com/spreadsheets/d/1u9GbdmgAEc9k6kHu3ZfH25nxRNstVbRmM2ai-cDl3lY/edit?gid=2020727688#gid=2020727688"", ""Form responses 1!$F:$T""),12,false)"),"#N/A")</f>
        <v>#N/A</v>
      </c>
    </row>
    <row r="196">
      <c r="A196" s="348" t="s">
        <v>4276</v>
      </c>
      <c r="B196" s="348" t="s">
        <v>4759</v>
      </c>
      <c r="C196" s="348" t="s">
        <v>5172</v>
      </c>
      <c r="D196" s="348"/>
      <c r="E196" s="348"/>
      <c r="F196" s="348" t="s">
        <v>5809</v>
      </c>
      <c r="G196" s="348" t="s">
        <v>5813</v>
      </c>
      <c r="H196" s="349">
        <v>2600.0</v>
      </c>
      <c r="I196" s="14" t="str">
        <f>IFERROR(__xludf.DUMMYFUNCTION("VLOOKUP($A196,IMPORTRANGE(""https://docs.google.com/spreadsheets/d/1u9GbdmgAEc9k6kHu3ZfH25nxRNstVbRmM2ai-cDl3lY/edit?gid=2020727688#gid=2020727688"", ""Form responses 1!$F:$T""),12,false)"),"#N/A")</f>
        <v>#N/A</v>
      </c>
    </row>
    <row r="197">
      <c r="A197" s="348" t="s">
        <v>3977</v>
      </c>
      <c r="B197" s="348" t="s">
        <v>4759</v>
      </c>
      <c r="C197" s="348" t="s">
        <v>3980</v>
      </c>
      <c r="D197" s="348"/>
      <c r="E197" s="348"/>
      <c r="F197" s="348" t="s">
        <v>5809</v>
      </c>
      <c r="G197" s="348" t="s">
        <v>5813</v>
      </c>
      <c r="H197" s="349">
        <v>1950.0</v>
      </c>
      <c r="I197" s="14" t="str">
        <f>IFERROR(__xludf.DUMMYFUNCTION("VLOOKUP($A197,IMPORTRANGE(""https://docs.google.com/spreadsheets/d/1u9GbdmgAEc9k6kHu3ZfH25nxRNstVbRmM2ai-cDl3lY/edit?gid=2020727688#gid=2020727688"", ""Form responses 1!$F:$T""),12,false)"),"#N/A")</f>
        <v>#N/A</v>
      </c>
    </row>
    <row r="198">
      <c r="A198" s="348" t="s">
        <v>4696</v>
      </c>
      <c r="B198" s="348" t="s">
        <v>4759</v>
      </c>
      <c r="C198" s="348" t="s">
        <v>5175</v>
      </c>
      <c r="D198" s="348"/>
      <c r="E198" s="348"/>
      <c r="F198" s="348" t="s">
        <v>5809</v>
      </c>
      <c r="G198" s="348" t="s">
        <v>5813</v>
      </c>
      <c r="H198" s="349">
        <v>2100.0</v>
      </c>
      <c r="I198" s="14" t="str">
        <f>IFERROR(__xludf.DUMMYFUNCTION("VLOOKUP($A198,IMPORTRANGE(""https://docs.google.com/spreadsheets/d/1u9GbdmgAEc9k6kHu3ZfH25nxRNstVbRmM2ai-cDl3lY/edit?gid=2020727688#gid=2020727688"", ""Form responses 1!$F:$T""),12,false)"),"#N/A")</f>
        <v>#N/A</v>
      </c>
    </row>
    <row r="199">
      <c r="A199" s="348" t="s">
        <v>4109</v>
      </c>
      <c r="B199" s="348" t="s">
        <v>4759</v>
      </c>
      <c r="C199" s="348" t="s">
        <v>5170</v>
      </c>
      <c r="D199" s="348"/>
      <c r="E199" s="348"/>
      <c r="F199" s="348" t="s">
        <v>5809</v>
      </c>
      <c r="G199" s="348" t="s">
        <v>5813</v>
      </c>
      <c r="H199" s="349">
        <v>1250.0</v>
      </c>
      <c r="I199" s="14" t="str">
        <f>IFERROR(__xludf.DUMMYFUNCTION("VLOOKUP($A199,IMPORTRANGE(""https://docs.google.com/spreadsheets/d/1u9GbdmgAEc9k6kHu3ZfH25nxRNstVbRmM2ai-cDl3lY/edit?gid=2020727688#gid=2020727688"", ""Form responses 1!$F:$T""),12,false)"),"#N/A")</f>
        <v>#N/A</v>
      </c>
    </row>
    <row r="200">
      <c r="A200" s="348" t="s">
        <v>3915</v>
      </c>
      <c r="B200" s="348" t="s">
        <v>4759</v>
      </c>
      <c r="C200" s="348" t="s">
        <v>5180</v>
      </c>
      <c r="D200" s="348"/>
      <c r="E200" s="348"/>
      <c r="F200" s="348" t="s">
        <v>5809</v>
      </c>
      <c r="G200" s="348" t="s">
        <v>5813</v>
      </c>
      <c r="H200" s="349">
        <v>3200.0</v>
      </c>
      <c r="I200" s="14" t="str">
        <f>IFERROR(__xludf.DUMMYFUNCTION("VLOOKUP($A200,IMPORTRANGE(""https://docs.google.com/spreadsheets/d/1u9GbdmgAEc9k6kHu3ZfH25nxRNstVbRmM2ai-cDl3lY/edit?gid=2020727688#gid=2020727688"", ""Form responses 1!$F:$T""),12,false)"),"#N/A")</f>
        <v>#N/A</v>
      </c>
    </row>
    <row r="201">
      <c r="A201" s="348" t="s">
        <v>3961</v>
      </c>
      <c r="B201" s="348" t="s">
        <v>4759</v>
      </c>
      <c r="C201" s="348" t="s">
        <v>5199</v>
      </c>
      <c r="D201" s="348"/>
      <c r="E201" s="348"/>
      <c r="F201" s="348" t="s">
        <v>5809</v>
      </c>
      <c r="G201" s="348" t="s">
        <v>5813</v>
      </c>
      <c r="H201" s="349">
        <v>1700.0</v>
      </c>
      <c r="I201" s="14" t="str">
        <f>IFERROR(__xludf.DUMMYFUNCTION("VLOOKUP($A201,IMPORTRANGE(""https://docs.google.com/spreadsheets/d/1u9GbdmgAEc9k6kHu3ZfH25nxRNstVbRmM2ai-cDl3lY/edit?gid=2020727688#gid=2020727688"", ""Form responses 1!$F:$T""),12,false)"),"#N/A")</f>
        <v>#N/A</v>
      </c>
    </row>
    <row r="202">
      <c r="A202" s="348" t="s">
        <v>4190</v>
      </c>
      <c r="B202" s="348" t="s">
        <v>4759</v>
      </c>
      <c r="C202" s="348" t="s">
        <v>5177</v>
      </c>
      <c r="D202" s="348"/>
      <c r="E202" s="348"/>
      <c r="F202" s="348" t="s">
        <v>5809</v>
      </c>
      <c r="G202" s="348" t="s">
        <v>5813</v>
      </c>
      <c r="H202" s="349">
        <v>1100.0</v>
      </c>
      <c r="I202" s="14" t="str">
        <f>IFERROR(__xludf.DUMMYFUNCTION("VLOOKUP($A202,IMPORTRANGE(""https://docs.google.com/spreadsheets/d/1u9GbdmgAEc9k6kHu3ZfH25nxRNstVbRmM2ai-cDl3lY/edit?gid=2020727688#gid=2020727688"", ""Form responses 1!$F:$T""),12,false)"),"#N/A")</f>
        <v>#N/A</v>
      </c>
    </row>
    <row r="203">
      <c r="A203" s="348" t="s">
        <v>4217</v>
      </c>
      <c r="B203" s="348" t="s">
        <v>4759</v>
      </c>
      <c r="C203" s="348" t="s">
        <v>5216</v>
      </c>
      <c r="D203" s="348"/>
      <c r="E203" s="348"/>
      <c r="F203" s="348" t="s">
        <v>5809</v>
      </c>
      <c r="G203" s="348" t="s">
        <v>5813</v>
      </c>
      <c r="H203" s="349">
        <v>750.0</v>
      </c>
      <c r="I203" s="14" t="str">
        <f>IFERROR(__xludf.DUMMYFUNCTION("VLOOKUP($A203,IMPORTRANGE(""https://docs.google.com/spreadsheets/d/1u9GbdmgAEc9k6kHu3ZfH25nxRNstVbRmM2ai-cDl3lY/edit?gid=2020727688#gid=2020727688"", ""Form responses 1!$F:$T""),12,false)"),"#N/A")</f>
        <v>#N/A</v>
      </c>
    </row>
    <row r="204">
      <c r="A204" s="348" t="s">
        <v>3920</v>
      </c>
      <c r="B204" s="348" t="s">
        <v>4759</v>
      </c>
      <c r="C204" s="348" t="s">
        <v>5205</v>
      </c>
      <c r="D204" s="348"/>
      <c r="E204" s="348"/>
      <c r="F204" s="348" t="s">
        <v>5809</v>
      </c>
      <c r="G204" s="348" t="s">
        <v>5813</v>
      </c>
      <c r="H204" s="349">
        <v>1200.0</v>
      </c>
      <c r="I204" s="14" t="str">
        <f>IFERROR(__xludf.DUMMYFUNCTION("VLOOKUP($A204,IMPORTRANGE(""https://docs.google.com/spreadsheets/d/1u9GbdmgAEc9k6kHu3ZfH25nxRNstVbRmM2ai-cDl3lY/edit?gid=2020727688#gid=2020727688"", ""Form responses 1!$F:$T""),12,false)"),"#N/A")</f>
        <v>#N/A</v>
      </c>
    </row>
    <row r="205">
      <c r="A205" s="348" t="s">
        <v>2370</v>
      </c>
      <c r="B205" s="348" t="s">
        <v>4742</v>
      </c>
      <c r="C205" s="348" t="s">
        <v>2170</v>
      </c>
      <c r="D205" s="348"/>
      <c r="E205" s="348"/>
      <c r="F205" s="348" t="s">
        <v>5816</v>
      </c>
      <c r="G205" s="348" t="s">
        <v>5813</v>
      </c>
      <c r="H205" s="349">
        <v>2950.0</v>
      </c>
      <c r="I205" s="14" t="str">
        <f>IFERROR(__xludf.DUMMYFUNCTION("VLOOKUP($A205,IMPORTRANGE(""https://docs.google.com/spreadsheets/d/1u9GbdmgAEc9k6kHu3ZfH25nxRNstVbRmM2ai-cDl3lY/edit?gid=2020727688#gid=2020727688"", ""Form responses 1!$F:$T""),12,false)"),"#N/A")</f>
        <v>#N/A</v>
      </c>
    </row>
    <row r="206">
      <c r="A206" s="348" t="s">
        <v>5818</v>
      </c>
      <c r="B206" s="348" t="s">
        <v>4742</v>
      </c>
      <c r="C206" s="348" t="s">
        <v>5551</v>
      </c>
      <c r="D206" s="348"/>
      <c r="E206" s="348"/>
      <c r="F206" s="348" t="s">
        <v>5816</v>
      </c>
      <c r="G206" s="348" t="s">
        <v>5813</v>
      </c>
      <c r="H206" s="349">
        <v>1850.0</v>
      </c>
      <c r="I206" s="14" t="str">
        <f>IFERROR(__xludf.DUMMYFUNCTION("VLOOKUP($A206,IMPORTRANGE(""https://docs.google.com/spreadsheets/d/1u9GbdmgAEc9k6kHu3ZfH25nxRNstVbRmM2ai-cDl3lY/edit?gid=2020727688#gid=2020727688"", ""Form responses 1!$F:$T""),12,false)"),"#N/A")</f>
        <v>#N/A</v>
      </c>
    </row>
    <row r="207">
      <c r="A207" s="348" t="s">
        <v>5819</v>
      </c>
      <c r="B207" s="348" t="s">
        <v>4742</v>
      </c>
      <c r="C207" s="348" t="s">
        <v>5553</v>
      </c>
      <c r="D207" s="348"/>
      <c r="E207" s="348"/>
      <c r="F207" s="348" t="s">
        <v>5816</v>
      </c>
      <c r="G207" s="348" t="s">
        <v>5813</v>
      </c>
      <c r="H207" s="349">
        <v>1750.0</v>
      </c>
      <c r="I207" s="14" t="str">
        <f>IFERROR(__xludf.DUMMYFUNCTION("VLOOKUP($A207,IMPORTRANGE(""https://docs.google.com/spreadsheets/d/1u9GbdmgAEc9k6kHu3ZfH25nxRNstVbRmM2ai-cDl3lY/edit?gid=2020727688#gid=2020727688"", ""Form responses 1!$F:$T""),12,false)"),"#N/A")</f>
        <v>#N/A</v>
      </c>
    </row>
    <row r="208">
      <c r="A208" s="348" t="s">
        <v>5820</v>
      </c>
      <c r="B208" s="348" t="s">
        <v>4742</v>
      </c>
      <c r="C208" s="348" t="s">
        <v>5545</v>
      </c>
      <c r="D208" s="348"/>
      <c r="E208" s="348"/>
      <c r="F208" s="348" t="s">
        <v>5816</v>
      </c>
      <c r="G208" s="348" t="s">
        <v>5813</v>
      </c>
      <c r="H208" s="349">
        <v>1050.0</v>
      </c>
      <c r="I208" s="14" t="str">
        <f>IFERROR(__xludf.DUMMYFUNCTION("VLOOKUP($A208,IMPORTRANGE(""https://docs.google.com/spreadsheets/d/1u9GbdmgAEc9k6kHu3ZfH25nxRNstVbRmM2ai-cDl3lY/edit?gid=2020727688#gid=2020727688"", ""Form responses 1!$F:$T""),12,false)"),"#N/A")</f>
        <v>#N/A</v>
      </c>
    </row>
    <row r="209">
      <c r="A209" s="348" t="s">
        <v>5821</v>
      </c>
      <c r="B209" s="348" t="s">
        <v>4742</v>
      </c>
      <c r="C209" s="348" t="s">
        <v>2820</v>
      </c>
      <c r="D209" s="348"/>
      <c r="E209" s="348"/>
      <c r="F209" s="348" t="s">
        <v>5816</v>
      </c>
      <c r="G209" s="348" t="s">
        <v>5813</v>
      </c>
      <c r="H209" s="349">
        <v>1750.0</v>
      </c>
      <c r="I209" s="14" t="str">
        <f>IFERROR(__xludf.DUMMYFUNCTION("VLOOKUP($A209,IMPORTRANGE(""https://docs.google.com/spreadsheets/d/1u9GbdmgAEc9k6kHu3ZfH25nxRNstVbRmM2ai-cDl3lY/edit?gid=2020727688#gid=2020727688"", ""Form responses 1!$F:$T""),12,false)"),"#N/A")</f>
        <v>#N/A</v>
      </c>
    </row>
    <row r="210">
      <c r="A210" s="348" t="s">
        <v>5822</v>
      </c>
      <c r="B210" s="348" t="s">
        <v>4742</v>
      </c>
      <c r="C210" s="348" t="s">
        <v>2792</v>
      </c>
      <c r="D210" s="348"/>
      <c r="E210" s="348"/>
      <c r="F210" s="348" t="s">
        <v>5816</v>
      </c>
      <c r="G210" s="348" t="s">
        <v>5813</v>
      </c>
      <c r="H210" s="349">
        <v>3100.0</v>
      </c>
      <c r="I210" s="14" t="str">
        <f>IFERROR(__xludf.DUMMYFUNCTION("VLOOKUP($A210,IMPORTRANGE(""https://docs.google.com/spreadsheets/d/1u9GbdmgAEc9k6kHu3ZfH25nxRNstVbRmM2ai-cDl3lY/edit?gid=2020727688#gid=2020727688"", ""Form responses 1!$F:$T""),12,false)"),"#N/A")</f>
        <v>#N/A</v>
      </c>
    </row>
    <row r="211">
      <c r="A211" s="348" t="s">
        <v>5823</v>
      </c>
      <c r="B211" s="348" t="s">
        <v>4742</v>
      </c>
      <c r="C211" s="348" t="s">
        <v>2623</v>
      </c>
      <c r="D211" s="348"/>
      <c r="E211" s="348"/>
      <c r="F211" s="348" t="s">
        <v>5816</v>
      </c>
      <c r="G211" s="348" t="s">
        <v>5813</v>
      </c>
      <c r="H211" s="349">
        <v>1150.0</v>
      </c>
      <c r="I211" s="14" t="str">
        <f>IFERROR(__xludf.DUMMYFUNCTION("VLOOKUP($A211,IMPORTRANGE(""https://docs.google.com/spreadsheets/d/1u9GbdmgAEc9k6kHu3ZfH25nxRNstVbRmM2ai-cDl3lY/edit?gid=2020727688#gid=2020727688"", ""Form responses 1!$F:$T""),12,false)"),"#N/A")</f>
        <v>#N/A</v>
      </c>
    </row>
    <row r="212">
      <c r="A212" s="348" t="s">
        <v>5824</v>
      </c>
      <c r="B212" s="348" t="s">
        <v>4742</v>
      </c>
      <c r="C212" s="348" t="s">
        <v>5547</v>
      </c>
      <c r="D212" s="348"/>
      <c r="E212" s="348"/>
      <c r="F212" s="348" t="s">
        <v>5816</v>
      </c>
      <c r="G212" s="348" t="s">
        <v>5813</v>
      </c>
      <c r="H212" s="349">
        <v>2000.0</v>
      </c>
      <c r="I212" s="14" t="str">
        <f>IFERROR(__xludf.DUMMYFUNCTION("VLOOKUP($A212,IMPORTRANGE(""https://docs.google.com/spreadsheets/d/1u9GbdmgAEc9k6kHu3ZfH25nxRNstVbRmM2ai-cDl3lY/edit?gid=2020727688#gid=2020727688"", ""Form responses 1!$F:$T""),12,false)"),"#N/A")</f>
        <v>#N/A</v>
      </c>
    </row>
    <row r="213">
      <c r="A213" s="348" t="s">
        <v>5825</v>
      </c>
      <c r="B213" s="348" t="s">
        <v>4742</v>
      </c>
      <c r="C213" s="348" t="s">
        <v>5540</v>
      </c>
      <c r="D213" s="348"/>
      <c r="E213" s="348"/>
      <c r="F213" s="348" t="s">
        <v>5816</v>
      </c>
      <c r="G213" s="348" t="s">
        <v>5813</v>
      </c>
      <c r="H213" s="349">
        <v>1250.0</v>
      </c>
      <c r="I213" s="14" t="str">
        <f>IFERROR(__xludf.DUMMYFUNCTION("VLOOKUP($A213,IMPORTRANGE(""https://docs.google.com/spreadsheets/d/1u9GbdmgAEc9k6kHu3ZfH25nxRNstVbRmM2ai-cDl3lY/edit?gid=2020727688#gid=2020727688"", ""Form responses 1!$F:$T""),12,false)"),"#N/A")</f>
        <v>#N/A</v>
      </c>
    </row>
    <row r="214">
      <c r="A214" s="348" t="s">
        <v>5826</v>
      </c>
      <c r="B214" s="348" t="s">
        <v>4742</v>
      </c>
      <c r="C214" s="348" t="s">
        <v>5535</v>
      </c>
      <c r="D214" s="348"/>
      <c r="E214" s="348"/>
      <c r="F214" s="348" t="s">
        <v>5816</v>
      </c>
      <c r="G214" s="348" t="s">
        <v>5813</v>
      </c>
      <c r="H214" s="349">
        <v>1150.0</v>
      </c>
      <c r="I214" s="14" t="str">
        <f>IFERROR(__xludf.DUMMYFUNCTION("VLOOKUP($A214,IMPORTRANGE(""https://docs.google.com/spreadsheets/d/1u9GbdmgAEc9k6kHu3ZfH25nxRNstVbRmM2ai-cDl3lY/edit?gid=2020727688#gid=2020727688"", ""Form responses 1!$F:$T""),12,false)"),"#N/A")</f>
        <v>#N/A</v>
      </c>
    </row>
    <row r="215">
      <c r="A215" s="348" t="s">
        <v>5827</v>
      </c>
      <c r="B215" s="348" t="s">
        <v>4742</v>
      </c>
      <c r="C215" s="348" t="s">
        <v>5555</v>
      </c>
      <c r="D215" s="348"/>
      <c r="E215" s="348"/>
      <c r="F215" s="348" t="s">
        <v>5816</v>
      </c>
      <c r="G215" s="348" t="s">
        <v>5813</v>
      </c>
      <c r="H215" s="349">
        <v>2250.0</v>
      </c>
      <c r="I215" s="14" t="str">
        <f>IFERROR(__xludf.DUMMYFUNCTION("VLOOKUP($A215,IMPORTRANGE(""https://docs.google.com/spreadsheets/d/1u9GbdmgAEc9k6kHu3ZfH25nxRNstVbRmM2ai-cDl3lY/edit?gid=2020727688#gid=2020727688"", ""Form responses 1!$F:$T""),12,false)"),"#N/A")</f>
        <v>#N/A</v>
      </c>
    </row>
    <row r="216">
      <c r="A216" s="348" t="s">
        <v>5828</v>
      </c>
      <c r="B216" s="348" t="s">
        <v>4739</v>
      </c>
      <c r="C216" s="348" t="s">
        <v>5531</v>
      </c>
      <c r="D216" s="348"/>
      <c r="E216" s="348"/>
      <c r="F216" s="348" t="s">
        <v>5816</v>
      </c>
      <c r="G216" s="348" t="s">
        <v>5813</v>
      </c>
      <c r="H216" s="349">
        <v>2050.0</v>
      </c>
      <c r="I216" s="14" t="str">
        <f>IFERROR(__xludf.DUMMYFUNCTION("VLOOKUP($A216,IMPORTRANGE(""https://docs.google.com/spreadsheets/d/1u9GbdmgAEc9k6kHu3ZfH25nxRNstVbRmM2ai-cDl3lY/edit?gid=2020727688#gid=2020727688"", ""Form responses 1!$F:$T""),12,false)"),"#N/A")</f>
        <v>#N/A</v>
      </c>
    </row>
    <row r="217">
      <c r="A217" s="348" t="s">
        <v>5829</v>
      </c>
      <c r="B217" s="348" t="s">
        <v>4739</v>
      </c>
      <c r="C217" s="348" t="s">
        <v>5529</v>
      </c>
      <c r="D217" s="348"/>
      <c r="E217" s="348"/>
      <c r="F217" s="348" t="s">
        <v>5816</v>
      </c>
      <c r="G217" s="348" t="s">
        <v>5813</v>
      </c>
      <c r="H217" s="349">
        <v>2300.0</v>
      </c>
      <c r="I217" s="14" t="str">
        <f>IFERROR(__xludf.DUMMYFUNCTION("VLOOKUP($A217,IMPORTRANGE(""https://docs.google.com/spreadsheets/d/1u9GbdmgAEc9k6kHu3ZfH25nxRNstVbRmM2ai-cDl3lY/edit?gid=2020727688#gid=2020727688"", ""Form responses 1!$F:$T""),12,false)"),"#N/A")</f>
        <v>#N/A</v>
      </c>
    </row>
    <row r="218">
      <c r="A218" s="348" t="s">
        <v>5830</v>
      </c>
      <c r="B218" s="348" t="s">
        <v>4739</v>
      </c>
      <c r="C218" s="348" t="s">
        <v>5522</v>
      </c>
      <c r="D218" s="348"/>
      <c r="E218" s="348"/>
      <c r="F218" s="348" t="s">
        <v>5816</v>
      </c>
      <c r="G218" s="348" t="s">
        <v>5813</v>
      </c>
      <c r="H218" s="349">
        <v>1150.0</v>
      </c>
      <c r="I218" s="14" t="str">
        <f>IFERROR(__xludf.DUMMYFUNCTION("VLOOKUP($A218,IMPORTRANGE(""https://docs.google.com/spreadsheets/d/1u9GbdmgAEc9k6kHu3ZfH25nxRNstVbRmM2ai-cDl3lY/edit?gid=2020727688#gid=2020727688"", ""Form responses 1!$F:$T""),12,false)"),"#N/A")</f>
        <v>#N/A</v>
      </c>
    </row>
    <row r="219">
      <c r="A219" s="348" t="s">
        <v>5831</v>
      </c>
      <c r="B219" s="348" t="s">
        <v>4739</v>
      </c>
      <c r="C219" s="348" t="s">
        <v>5520</v>
      </c>
      <c r="D219" s="348"/>
      <c r="E219" s="348"/>
      <c r="F219" s="348" t="s">
        <v>5816</v>
      </c>
      <c r="G219" s="348" t="s">
        <v>5813</v>
      </c>
      <c r="H219" s="349">
        <v>1250.0</v>
      </c>
      <c r="I219" s="14" t="str">
        <f>IFERROR(__xludf.DUMMYFUNCTION("VLOOKUP($A219,IMPORTRANGE(""https://docs.google.com/spreadsheets/d/1u9GbdmgAEc9k6kHu3ZfH25nxRNstVbRmM2ai-cDl3lY/edit?gid=2020727688#gid=2020727688"", ""Form responses 1!$F:$T""),12,false)"),"#N/A")</f>
        <v>#N/A</v>
      </c>
    </row>
    <row r="220">
      <c r="A220" s="348" t="s">
        <v>5832</v>
      </c>
      <c r="B220" s="348" t="s">
        <v>4739</v>
      </c>
      <c r="C220" s="348" t="s">
        <v>5518</v>
      </c>
      <c r="D220" s="348"/>
      <c r="E220" s="348"/>
      <c r="F220" s="348" t="s">
        <v>5816</v>
      </c>
      <c r="G220" s="348" t="s">
        <v>5813</v>
      </c>
      <c r="H220" s="349">
        <v>2000.0</v>
      </c>
      <c r="I220" s="14" t="str">
        <f>IFERROR(__xludf.DUMMYFUNCTION("VLOOKUP($A220,IMPORTRANGE(""https://docs.google.com/spreadsheets/d/1u9GbdmgAEc9k6kHu3ZfH25nxRNstVbRmM2ai-cDl3lY/edit?gid=2020727688#gid=2020727688"", ""Form responses 1!$F:$T""),12,false)"),"#N/A")</f>
        <v>#N/A</v>
      </c>
    </row>
    <row r="221">
      <c r="A221" s="348" t="s">
        <v>5833</v>
      </c>
      <c r="B221" s="348" t="s">
        <v>4739</v>
      </c>
      <c r="C221" s="348" t="s">
        <v>5533</v>
      </c>
      <c r="D221" s="348"/>
      <c r="E221" s="348"/>
      <c r="F221" s="348" t="s">
        <v>5816</v>
      </c>
      <c r="G221" s="348" t="s">
        <v>5813</v>
      </c>
      <c r="H221" s="349">
        <v>2600.0</v>
      </c>
      <c r="I221" s="14" t="str">
        <f>IFERROR(__xludf.DUMMYFUNCTION("VLOOKUP($A221,IMPORTRANGE(""https://docs.google.com/spreadsheets/d/1u9GbdmgAEc9k6kHu3ZfH25nxRNstVbRmM2ai-cDl3lY/edit?gid=2020727688#gid=2020727688"", ""Form responses 1!$F:$T""),12,false)"),"#N/A")</f>
        <v>#N/A</v>
      </c>
    </row>
    <row r="222">
      <c r="A222" s="348" t="s">
        <v>5834</v>
      </c>
      <c r="B222" s="348" t="s">
        <v>4739</v>
      </c>
      <c r="C222" s="348" t="s">
        <v>5524</v>
      </c>
      <c r="D222" s="348"/>
      <c r="E222" s="348"/>
      <c r="F222" s="348" t="s">
        <v>5816</v>
      </c>
      <c r="G222" s="348" t="s">
        <v>5813</v>
      </c>
      <c r="H222" s="349">
        <v>3150.0</v>
      </c>
      <c r="I222" s="14" t="str">
        <f>IFERROR(__xludf.DUMMYFUNCTION("VLOOKUP($A222,IMPORTRANGE(""https://docs.google.com/spreadsheets/d/1u9GbdmgAEc9k6kHu3ZfH25nxRNstVbRmM2ai-cDl3lY/edit?gid=2020727688#gid=2020727688"", ""Form responses 1!$F:$T""),12,false)"),"#N/A")</f>
        <v>#N/A</v>
      </c>
    </row>
    <row r="223">
      <c r="A223" s="348" t="s">
        <v>5835</v>
      </c>
      <c r="B223" s="348" t="s">
        <v>4739</v>
      </c>
      <c r="C223" s="348" t="s">
        <v>2790</v>
      </c>
      <c r="D223" s="348"/>
      <c r="E223" s="348"/>
      <c r="F223" s="348" t="s">
        <v>5816</v>
      </c>
      <c r="G223" s="348" t="s">
        <v>5813</v>
      </c>
      <c r="H223" s="349">
        <v>1300.0</v>
      </c>
      <c r="I223" s="14" t="str">
        <f>IFERROR(__xludf.DUMMYFUNCTION("VLOOKUP($A223,IMPORTRANGE(""https://docs.google.com/spreadsheets/d/1u9GbdmgAEc9k6kHu3ZfH25nxRNstVbRmM2ai-cDl3lY/edit?gid=2020727688#gid=2020727688"", ""Form responses 1!$F:$T""),12,false)"),"#N/A")</f>
        <v>#N/A</v>
      </c>
    </row>
    <row r="224">
      <c r="A224" s="348" t="s">
        <v>5836</v>
      </c>
      <c r="B224" s="348" t="s">
        <v>4739</v>
      </c>
      <c r="C224" s="348" t="s">
        <v>5526</v>
      </c>
      <c r="D224" s="348"/>
      <c r="E224" s="348"/>
      <c r="F224" s="348" t="s">
        <v>5816</v>
      </c>
      <c r="G224" s="348" t="s">
        <v>5813</v>
      </c>
      <c r="H224" s="349">
        <v>2400.0</v>
      </c>
      <c r="I224" s="14" t="str">
        <f>IFERROR(__xludf.DUMMYFUNCTION("VLOOKUP($A224,IMPORTRANGE(""https://docs.google.com/spreadsheets/d/1u9GbdmgAEc9k6kHu3ZfH25nxRNstVbRmM2ai-cDl3lY/edit?gid=2020727688#gid=2020727688"", ""Form responses 1!$F:$T""),12,false)"),"#N/A")</f>
        <v>#N/A</v>
      </c>
    </row>
    <row r="225">
      <c r="A225" s="348" t="s">
        <v>4019</v>
      </c>
      <c r="B225" s="348" t="s">
        <v>4760</v>
      </c>
      <c r="C225" s="348" t="s">
        <v>5254</v>
      </c>
      <c r="D225" s="348"/>
      <c r="E225" s="348"/>
      <c r="F225" s="348" t="s">
        <v>5809</v>
      </c>
      <c r="G225" s="348" t="s">
        <v>5813</v>
      </c>
      <c r="H225" s="349">
        <v>500.0</v>
      </c>
      <c r="I225" s="14" t="str">
        <f>IFERROR(__xludf.DUMMYFUNCTION("VLOOKUP($A225,IMPORTRANGE(""https://docs.google.com/spreadsheets/d/1u9GbdmgAEc9k6kHu3ZfH25nxRNstVbRmM2ai-cDl3lY/edit?gid=2020727688#gid=2020727688"", ""Form responses 1!$F:$T""),12,false)"),"#N/A")</f>
        <v>#N/A</v>
      </c>
    </row>
    <row r="226">
      <c r="A226" s="348" t="s">
        <v>4002</v>
      </c>
      <c r="B226" s="348" t="s">
        <v>4760</v>
      </c>
      <c r="C226" s="348" t="s">
        <v>5260</v>
      </c>
      <c r="D226" s="348"/>
      <c r="E226" s="348"/>
      <c r="F226" s="348" t="s">
        <v>5809</v>
      </c>
      <c r="G226" s="348" t="s">
        <v>5813</v>
      </c>
      <c r="H226" s="349">
        <v>1250.0</v>
      </c>
      <c r="I226" s="14" t="str">
        <f>IFERROR(__xludf.DUMMYFUNCTION("VLOOKUP($A226,IMPORTRANGE(""https://docs.google.com/spreadsheets/d/1u9GbdmgAEc9k6kHu3ZfH25nxRNstVbRmM2ai-cDl3lY/edit?gid=2020727688#gid=2020727688"", ""Form responses 1!$F:$T""),12,false)"),"#N/A")</f>
        <v>#N/A</v>
      </c>
    </row>
    <row r="227">
      <c r="A227" s="348" t="s">
        <v>5837</v>
      </c>
      <c r="B227" s="348" t="s">
        <v>4741</v>
      </c>
      <c r="C227" s="348" t="s">
        <v>2553</v>
      </c>
      <c r="D227" s="348"/>
      <c r="E227" s="348"/>
      <c r="F227" s="348" t="s">
        <v>5816</v>
      </c>
      <c r="G227" s="348" t="s">
        <v>5813</v>
      </c>
      <c r="H227" s="349">
        <v>1900.0</v>
      </c>
      <c r="I227" s="14" t="str">
        <f>IFERROR(__xludf.DUMMYFUNCTION("VLOOKUP($A227,IMPORTRANGE(""https://docs.google.com/spreadsheets/d/1u9GbdmgAEc9k6kHu3ZfH25nxRNstVbRmM2ai-cDl3lY/edit?gid=2020727688#gid=2020727688"", ""Form responses 1!$F:$T""),12,false)"),"#N/A")</f>
        <v>#N/A</v>
      </c>
    </row>
    <row r="228">
      <c r="A228" s="348" t="s">
        <v>2225</v>
      </c>
      <c r="B228" s="348" t="s">
        <v>4741</v>
      </c>
      <c r="C228" s="348" t="s">
        <v>5561</v>
      </c>
      <c r="D228" s="348"/>
      <c r="E228" s="348"/>
      <c r="F228" s="348" t="s">
        <v>5816</v>
      </c>
      <c r="G228" s="348" t="s">
        <v>5813</v>
      </c>
      <c r="H228" s="349">
        <v>2300.0</v>
      </c>
      <c r="I228" s="14" t="str">
        <f>IFERROR(__xludf.DUMMYFUNCTION("VLOOKUP($A228,IMPORTRANGE(""https://docs.google.com/spreadsheets/d/1u9GbdmgAEc9k6kHu3ZfH25nxRNstVbRmM2ai-cDl3lY/edit?gid=2020727688#gid=2020727688"", ""Form responses 1!$F:$T""),12,false)"),"#N/A")</f>
        <v>#N/A</v>
      </c>
    </row>
    <row r="229">
      <c r="A229" s="348" t="s">
        <v>5838</v>
      </c>
      <c r="B229" s="348" t="s">
        <v>4741</v>
      </c>
      <c r="C229" s="348" t="s">
        <v>5557</v>
      </c>
      <c r="D229" s="348"/>
      <c r="E229" s="348"/>
      <c r="F229" s="348" t="s">
        <v>5816</v>
      </c>
      <c r="G229" s="348" t="s">
        <v>5813</v>
      </c>
      <c r="H229" s="349">
        <v>1800.0</v>
      </c>
      <c r="I229" s="14" t="str">
        <f>IFERROR(__xludf.DUMMYFUNCTION("VLOOKUP($A229,IMPORTRANGE(""https://docs.google.com/spreadsheets/d/1u9GbdmgAEc9k6kHu3ZfH25nxRNstVbRmM2ai-cDl3lY/edit?gid=2020727688#gid=2020727688"", ""Form responses 1!$F:$T""),12,false)"),"#N/A")</f>
        <v>#N/A</v>
      </c>
    </row>
    <row r="230">
      <c r="A230" s="348" t="s">
        <v>5839</v>
      </c>
      <c r="B230" s="348" t="s">
        <v>4741</v>
      </c>
      <c r="C230" s="348" t="s">
        <v>5559</v>
      </c>
      <c r="D230" s="348"/>
      <c r="E230" s="348"/>
      <c r="F230" s="348" t="s">
        <v>5816</v>
      </c>
      <c r="G230" s="348" t="s">
        <v>5813</v>
      </c>
      <c r="H230" s="349">
        <v>1500.0</v>
      </c>
      <c r="I230" s="14" t="str">
        <f>IFERROR(__xludf.DUMMYFUNCTION("VLOOKUP($A230,IMPORTRANGE(""https://docs.google.com/spreadsheets/d/1u9GbdmgAEc9k6kHu3ZfH25nxRNstVbRmM2ai-cDl3lY/edit?gid=2020727688#gid=2020727688"", ""Form responses 1!$F:$T""),12,false)"),"#N/A")</f>
        <v>#N/A</v>
      </c>
    </row>
    <row r="231">
      <c r="A231" s="348" t="s">
        <v>1697</v>
      </c>
      <c r="B231" s="348" t="s">
        <v>4746</v>
      </c>
      <c r="C231" s="348" t="s">
        <v>5121</v>
      </c>
      <c r="D231" s="348"/>
      <c r="E231" s="348"/>
      <c r="F231" s="348" t="s">
        <v>5816</v>
      </c>
      <c r="G231" s="348" t="s">
        <v>5813</v>
      </c>
      <c r="H231" s="349">
        <v>1800.0</v>
      </c>
      <c r="I231" s="14" t="str">
        <f>IFERROR(__xludf.DUMMYFUNCTION("VLOOKUP($A231,IMPORTRANGE(""https://docs.google.com/spreadsheets/d/1u9GbdmgAEc9k6kHu3ZfH25nxRNstVbRmM2ai-cDl3lY/edit?gid=2020727688#gid=2020727688"", ""Form responses 1!$F:$T""),12,false)"),"#N/A")</f>
        <v>#N/A</v>
      </c>
    </row>
    <row r="232">
      <c r="A232" s="348" t="s">
        <v>5840</v>
      </c>
      <c r="B232" s="348" t="s">
        <v>4746</v>
      </c>
      <c r="C232" s="348" t="s">
        <v>5125</v>
      </c>
      <c r="D232" s="348"/>
      <c r="E232" s="348"/>
      <c r="F232" s="348" t="s">
        <v>5816</v>
      </c>
      <c r="G232" s="348" t="s">
        <v>5813</v>
      </c>
      <c r="H232" s="349">
        <v>2700.0</v>
      </c>
      <c r="I232" s="14" t="str">
        <f>IFERROR(__xludf.DUMMYFUNCTION("VLOOKUP($A232,IMPORTRANGE(""https://docs.google.com/spreadsheets/d/1u9GbdmgAEc9k6kHu3ZfH25nxRNstVbRmM2ai-cDl3lY/edit?gid=2020727688#gid=2020727688"", ""Form responses 1!$F:$T""),12,false)"),"#N/A")</f>
        <v>#N/A</v>
      </c>
    </row>
    <row r="233">
      <c r="A233" s="348" t="s">
        <v>2244</v>
      </c>
      <c r="B233" s="348" t="s">
        <v>4746</v>
      </c>
      <c r="C233" s="348" t="s">
        <v>5123</v>
      </c>
      <c r="D233" s="348"/>
      <c r="E233" s="348"/>
      <c r="F233" s="348" t="s">
        <v>5816</v>
      </c>
      <c r="G233" s="348" t="s">
        <v>5813</v>
      </c>
      <c r="H233" s="349">
        <v>1650.0</v>
      </c>
      <c r="I233" s="14" t="str">
        <f>IFERROR(__xludf.DUMMYFUNCTION("VLOOKUP($A233,IMPORTRANGE(""https://docs.google.com/spreadsheets/d/1u9GbdmgAEc9k6kHu3ZfH25nxRNstVbRmM2ai-cDl3lY/edit?gid=2020727688#gid=2020727688"", ""Form responses 1!$F:$T""),12,false)"),"#N/A")</f>
        <v>#N/A</v>
      </c>
    </row>
    <row r="234">
      <c r="A234" s="348" t="s">
        <v>5841</v>
      </c>
      <c r="B234" s="348" t="s">
        <v>4746</v>
      </c>
      <c r="C234" s="348" t="s">
        <v>5119</v>
      </c>
      <c r="D234" s="348"/>
      <c r="E234" s="348"/>
      <c r="F234" s="348" t="s">
        <v>5816</v>
      </c>
      <c r="G234" s="348" t="s">
        <v>5813</v>
      </c>
      <c r="H234" s="349">
        <v>2300.0</v>
      </c>
      <c r="I234" s="14" t="str">
        <f>IFERROR(__xludf.DUMMYFUNCTION("VLOOKUP($A234,IMPORTRANGE(""https://docs.google.com/spreadsheets/d/1u9GbdmgAEc9k6kHu3ZfH25nxRNstVbRmM2ai-cDl3lY/edit?gid=2020727688#gid=2020727688"", ""Form responses 1!$F:$T""),12,false)"),"#N/A")</f>
        <v>#N/A</v>
      </c>
    </row>
    <row r="235">
      <c r="A235" s="348" t="s">
        <v>1572</v>
      </c>
      <c r="B235" s="348" t="s">
        <v>4729</v>
      </c>
      <c r="C235" s="348" t="s">
        <v>5001</v>
      </c>
      <c r="D235" s="348"/>
      <c r="E235" s="348"/>
      <c r="F235" s="348" t="s">
        <v>5816</v>
      </c>
      <c r="G235" s="348" t="s">
        <v>5813</v>
      </c>
      <c r="H235" s="349">
        <v>2000.0</v>
      </c>
      <c r="I235" s="14" t="str">
        <f>IFERROR(__xludf.DUMMYFUNCTION("VLOOKUP($A235,IMPORTRANGE(""https://docs.google.com/spreadsheets/d/1u9GbdmgAEc9k6kHu3ZfH25nxRNstVbRmM2ai-cDl3lY/edit?gid=2020727688#gid=2020727688"", ""Form responses 1!$F:$T""),12,false)"),"#N/A")</f>
        <v>#N/A</v>
      </c>
    </row>
    <row r="236">
      <c r="A236" s="348" t="s">
        <v>1541</v>
      </c>
      <c r="B236" s="348" t="s">
        <v>4729</v>
      </c>
      <c r="C236" s="348" t="s">
        <v>5080</v>
      </c>
      <c r="D236" s="348"/>
      <c r="E236" s="348"/>
      <c r="F236" s="348" t="s">
        <v>5816</v>
      </c>
      <c r="G236" s="348" t="s">
        <v>5813</v>
      </c>
      <c r="H236" s="349">
        <v>3050.0</v>
      </c>
      <c r="I236" s="14" t="str">
        <f>IFERROR(__xludf.DUMMYFUNCTION("VLOOKUP($A236,IMPORTRANGE(""https://docs.google.com/spreadsheets/d/1u9GbdmgAEc9k6kHu3ZfH25nxRNstVbRmM2ai-cDl3lY/edit?gid=2020727688#gid=2020727688"", ""Form responses 1!$F:$T""),12,false)"),"#N/A")</f>
        <v>#N/A</v>
      </c>
    </row>
    <row r="237">
      <c r="A237" s="348" t="s">
        <v>1211</v>
      </c>
      <c r="B237" s="348" t="s">
        <v>4729</v>
      </c>
      <c r="C237" s="348" t="s">
        <v>5052</v>
      </c>
      <c r="D237" s="348"/>
      <c r="E237" s="348"/>
      <c r="F237" s="348" t="s">
        <v>5816</v>
      </c>
      <c r="G237" s="348" t="s">
        <v>5813</v>
      </c>
      <c r="H237" s="349">
        <v>2000.0</v>
      </c>
      <c r="I237" s="14" t="str">
        <f>IFERROR(__xludf.DUMMYFUNCTION("VLOOKUP($A237,IMPORTRANGE(""https://docs.google.com/spreadsheets/d/1u9GbdmgAEc9k6kHu3ZfH25nxRNstVbRmM2ai-cDl3lY/edit?gid=2020727688#gid=2020727688"", ""Form responses 1!$F:$T""),12,false)"),"#N/A")</f>
        <v>#N/A</v>
      </c>
    </row>
    <row r="238">
      <c r="A238" s="348" t="s">
        <v>1485</v>
      </c>
      <c r="B238" s="348" t="s">
        <v>4729</v>
      </c>
      <c r="C238" s="348" t="s">
        <v>5014</v>
      </c>
      <c r="D238" s="348"/>
      <c r="E238" s="348"/>
      <c r="F238" s="348" t="s">
        <v>5816</v>
      </c>
      <c r="G238" s="348" t="s">
        <v>5813</v>
      </c>
      <c r="H238" s="349">
        <v>1850.0</v>
      </c>
      <c r="I238" s="11" t="str">
        <f>IFERROR(__xludf.DUMMYFUNCTION("VLOOKUP($A238,IMPORTRANGE(""https://docs.google.com/spreadsheets/d/1u9GbdmgAEc9k6kHu3ZfH25nxRNstVbRmM2ai-cDl3lY/edit?gid=2020727688#gid=2020727688"", ""Form responses 1!$F:$T""),12,false)"),"https://drive.google.com/open?id=17wHG6yj9nHQrlUS-Te8bEEHfMKj3eSGf")</f>
        <v>https://drive.google.com/open?id=17wHG6yj9nHQrlUS-Te8bEEHfMKj3eSGf</v>
      </c>
    </row>
    <row r="239">
      <c r="A239" s="348" t="s">
        <v>1306</v>
      </c>
      <c r="B239" s="348" t="s">
        <v>4729</v>
      </c>
      <c r="C239" s="348" t="s">
        <v>5029</v>
      </c>
      <c r="D239" s="348"/>
      <c r="E239" s="348"/>
      <c r="F239" s="348" t="s">
        <v>5816</v>
      </c>
      <c r="G239" s="348" t="s">
        <v>5813</v>
      </c>
      <c r="H239" s="349">
        <v>1100.0</v>
      </c>
      <c r="I239" s="11" t="str">
        <f>IFERROR(__xludf.DUMMYFUNCTION("VLOOKUP($A239,IMPORTRANGE(""https://docs.google.com/spreadsheets/d/1u9GbdmgAEc9k6kHu3ZfH25nxRNstVbRmM2ai-cDl3lY/edit?gid=2020727688#gid=2020727688"", ""Form responses 1!$F:$T""),12,false)"),"https://drive.google.com/open?id=1t3SbtJSJ5SG5HSUJ6_MuD_OF2U1xzo0c")</f>
        <v>https://drive.google.com/open?id=1t3SbtJSJ5SG5HSUJ6_MuD_OF2U1xzo0c</v>
      </c>
    </row>
    <row r="240">
      <c r="A240" s="348" t="s">
        <v>1147</v>
      </c>
      <c r="B240" s="348" t="s">
        <v>4729</v>
      </c>
      <c r="C240" s="348" t="s">
        <v>1754</v>
      </c>
      <c r="D240" s="348"/>
      <c r="E240" s="348"/>
      <c r="F240" s="348" t="s">
        <v>5816</v>
      </c>
      <c r="G240" s="348" t="s">
        <v>5813</v>
      </c>
      <c r="H240" s="349">
        <v>1400.0</v>
      </c>
      <c r="I240" s="11" t="str">
        <f>IFERROR(__xludf.DUMMYFUNCTION("VLOOKUP($A240,IMPORTRANGE(""https://docs.google.com/spreadsheets/d/1u9GbdmgAEc9k6kHu3ZfH25nxRNstVbRmM2ai-cDl3lY/edit?gid=2020727688#gid=2020727688"", ""Form responses 1!$F:$T""),12,false)"),"https://drive.google.com/open?id=1LZ88X71iHAwMAKzJraednksrQFpCHjmL")</f>
        <v>https://drive.google.com/open?id=1LZ88X71iHAwMAKzJraednksrQFpCHjmL</v>
      </c>
    </row>
    <row r="241">
      <c r="A241" s="348" t="s">
        <v>2311</v>
      </c>
      <c r="B241" s="348" t="s">
        <v>4729</v>
      </c>
      <c r="C241" s="348" t="s">
        <v>5098</v>
      </c>
      <c r="D241" s="348"/>
      <c r="E241" s="348"/>
      <c r="F241" s="348" t="s">
        <v>5816</v>
      </c>
      <c r="G241" s="348" t="s">
        <v>5813</v>
      </c>
      <c r="H241" s="349">
        <v>2400.0</v>
      </c>
      <c r="I241" s="11" t="str">
        <f>IFERROR(__xludf.DUMMYFUNCTION("VLOOKUP($A241,IMPORTRANGE(""https://docs.google.com/spreadsheets/d/1u9GbdmgAEc9k6kHu3ZfH25nxRNstVbRmM2ai-cDl3lY/edit?gid=2020727688#gid=2020727688"", ""Form responses 1!$F:$T""),12,false)"),"https://drive.google.com/open?id=1dPm2pBDG9KLcvmTiIdZWg7kkZR6l9FBu")</f>
        <v>https://drive.google.com/open?id=1dPm2pBDG9KLcvmTiIdZWg7kkZR6l9FBu</v>
      </c>
    </row>
    <row r="242">
      <c r="A242" s="348" t="s">
        <v>1298</v>
      </c>
      <c r="B242" s="348" t="s">
        <v>4729</v>
      </c>
      <c r="C242" s="348" t="s">
        <v>4933</v>
      </c>
      <c r="D242" s="348"/>
      <c r="E242" s="348"/>
      <c r="F242" s="348" t="s">
        <v>5816</v>
      </c>
      <c r="G242" s="348" t="s">
        <v>5813</v>
      </c>
      <c r="H242" s="349">
        <v>600.0</v>
      </c>
      <c r="I242" s="11" t="str">
        <f>IFERROR(__xludf.DUMMYFUNCTION("VLOOKUP($A242,IMPORTRANGE(""https://docs.google.com/spreadsheets/d/1u9GbdmgAEc9k6kHu3ZfH25nxRNstVbRmM2ai-cDl3lY/edit?gid=2020727688#gid=2020727688"", ""Form responses 1!$F:$T""),12,false)"),"https://drive.google.com/open?id=1j9Uvcr59YWNybAySrast82l99ceHcyH7")</f>
        <v>https://drive.google.com/open?id=1j9Uvcr59YWNybAySrast82l99ceHcyH7</v>
      </c>
    </row>
    <row r="243">
      <c r="A243" s="348" t="s">
        <v>2559</v>
      </c>
      <c r="B243" s="348" t="s">
        <v>4729</v>
      </c>
      <c r="C243" s="348" t="s">
        <v>2560</v>
      </c>
      <c r="D243" s="348"/>
      <c r="E243" s="348"/>
      <c r="F243" s="348" t="s">
        <v>5816</v>
      </c>
      <c r="G243" s="348" t="s">
        <v>5813</v>
      </c>
      <c r="H243" s="349">
        <v>1350.0</v>
      </c>
      <c r="I243" s="11" t="str">
        <f>IFERROR(__xludf.DUMMYFUNCTION("VLOOKUP($A243,IMPORTRANGE(""https://docs.google.com/spreadsheets/d/1u9GbdmgAEc9k6kHu3ZfH25nxRNstVbRmM2ai-cDl3lY/edit?gid=2020727688#gid=2020727688"", ""Form responses 1!$F:$T""),12,false)"),"https://drive.google.com/open?id=1vcIvm8H4-4ad4umxGZNFdbxsUtSIX5Vk")</f>
        <v>https://drive.google.com/open?id=1vcIvm8H4-4ad4umxGZNFdbxsUtSIX5Vk</v>
      </c>
    </row>
    <row r="244">
      <c r="A244" s="348" t="s">
        <v>1320</v>
      </c>
      <c r="B244" s="348" t="s">
        <v>4729</v>
      </c>
      <c r="C244" s="348" t="s">
        <v>5086</v>
      </c>
      <c r="D244" s="348"/>
      <c r="E244" s="348"/>
      <c r="F244" s="348" t="s">
        <v>5816</v>
      </c>
      <c r="G244" s="348" t="s">
        <v>5813</v>
      </c>
      <c r="H244" s="349">
        <v>2150.0</v>
      </c>
      <c r="I244" s="11" t="str">
        <f>IFERROR(__xludf.DUMMYFUNCTION("VLOOKUP($A244,IMPORTRANGE(""https://docs.google.com/spreadsheets/d/1u9GbdmgAEc9k6kHu3ZfH25nxRNstVbRmM2ai-cDl3lY/edit?gid=2020727688#gid=2020727688"", ""Form responses 1!$F:$T""),12,false)"),"https://drive.google.com/open?id=1NoWmc0dJB4UEVqzDnU_3rKKAU5IMHDos")</f>
        <v>https://drive.google.com/open?id=1NoWmc0dJB4UEVqzDnU_3rKKAU5IMHDos</v>
      </c>
    </row>
    <row r="245">
      <c r="A245" s="348" t="s">
        <v>1123</v>
      </c>
      <c r="B245" s="348" t="s">
        <v>4729</v>
      </c>
      <c r="C245" s="348" t="s">
        <v>2366</v>
      </c>
      <c r="D245" s="348"/>
      <c r="E245" s="348"/>
      <c r="F245" s="348" t="s">
        <v>5816</v>
      </c>
      <c r="G245" s="348" t="s">
        <v>5813</v>
      </c>
      <c r="H245" s="349">
        <v>2550.0</v>
      </c>
      <c r="I245" s="11" t="str">
        <f>IFERROR(__xludf.DUMMYFUNCTION("VLOOKUP($A245,IMPORTRANGE(""https://docs.google.com/spreadsheets/d/1u9GbdmgAEc9k6kHu3ZfH25nxRNstVbRmM2ai-cDl3lY/edit?gid=2020727688#gid=2020727688"", ""Form responses 1!$F:$T""),12,false)"),"https://drive.google.com/open?id=1q--e_OQjFchdBh7Hodsc2uRoeeBTKbty")</f>
        <v>https://drive.google.com/open?id=1q--e_OQjFchdBh7Hodsc2uRoeeBTKbty</v>
      </c>
    </row>
    <row r="246">
      <c r="A246" s="348" t="s">
        <v>1461</v>
      </c>
      <c r="B246" s="348" t="s">
        <v>4729</v>
      </c>
      <c r="C246" s="348" t="s">
        <v>1779</v>
      </c>
      <c r="D246" s="348"/>
      <c r="E246" s="348"/>
      <c r="F246" s="348" t="s">
        <v>5816</v>
      </c>
      <c r="G246" s="348" t="s">
        <v>5813</v>
      </c>
      <c r="H246" s="349">
        <v>1200.0</v>
      </c>
      <c r="I246" s="11" t="str">
        <f>IFERROR(__xludf.DUMMYFUNCTION("VLOOKUP($A246,IMPORTRANGE(""https://docs.google.com/spreadsheets/d/1u9GbdmgAEc9k6kHu3ZfH25nxRNstVbRmM2ai-cDl3lY/edit?gid=2020727688#gid=2020727688"", ""Form responses 1!$F:$T""),12,false)"),"https://drive.google.com/open?id=14Zh7MrbKRLjRxMCcvJ-llTLqiKiKWgdv")</f>
        <v>https://drive.google.com/open?id=14Zh7MrbKRLjRxMCcvJ-llTLqiKiKWgdv</v>
      </c>
    </row>
    <row r="247">
      <c r="A247" s="348" t="s">
        <v>1499</v>
      </c>
      <c r="B247" s="348" t="s">
        <v>4729</v>
      </c>
      <c r="C247" s="348" t="s">
        <v>1293</v>
      </c>
      <c r="D247" s="348"/>
      <c r="E247" s="348"/>
      <c r="F247" s="348" t="s">
        <v>5816</v>
      </c>
      <c r="G247" s="348" t="s">
        <v>5813</v>
      </c>
      <c r="H247" s="349">
        <v>1850.0</v>
      </c>
      <c r="I247" s="11" t="str">
        <f>IFERROR(__xludf.DUMMYFUNCTION("VLOOKUP($A247,IMPORTRANGE(""https://docs.google.com/spreadsheets/d/1u9GbdmgAEc9k6kHu3ZfH25nxRNstVbRmM2ai-cDl3lY/edit?gid=2020727688#gid=2020727688"", ""Form responses 1!$F:$T""),12,false)"),"https://drive.google.com/open?id=18kYIglkP05L35-6iz13UDDN14GF8yp85")</f>
        <v>https://drive.google.com/open?id=18kYIglkP05L35-6iz13UDDN14GF8yp85</v>
      </c>
    </row>
    <row r="248">
      <c r="A248" s="348" t="s">
        <v>1680</v>
      </c>
      <c r="B248" s="348" t="s">
        <v>4729</v>
      </c>
      <c r="C248" s="348" t="s">
        <v>5037</v>
      </c>
      <c r="D248" s="348"/>
      <c r="E248" s="348"/>
      <c r="F248" s="348" t="s">
        <v>5816</v>
      </c>
      <c r="G248" s="348" t="s">
        <v>5813</v>
      </c>
      <c r="H248" s="349">
        <v>1700.0</v>
      </c>
      <c r="I248" s="11" t="str">
        <f>IFERROR(__xludf.DUMMYFUNCTION("VLOOKUP($A248,IMPORTRANGE(""https://docs.google.com/spreadsheets/d/1u9GbdmgAEc9k6kHu3ZfH25nxRNstVbRmM2ai-cDl3lY/edit?gid=2020727688#gid=2020727688"", ""Form responses 1!$F:$T""),12,false)"),"https://drive.google.com/open?id=1RK_Ufd22yug4cBhxN6N1GBuP2B61zZKl")</f>
        <v>https://drive.google.com/open?id=1RK_Ufd22yug4cBhxN6N1GBuP2B61zZKl</v>
      </c>
    </row>
    <row r="249">
      <c r="A249" s="348" t="s">
        <v>2055</v>
      </c>
      <c r="B249" s="348" t="s">
        <v>4729</v>
      </c>
      <c r="C249" s="348" t="s">
        <v>1260</v>
      </c>
      <c r="D249" s="348"/>
      <c r="E249" s="348"/>
      <c r="F249" s="348" t="s">
        <v>5816</v>
      </c>
      <c r="G249" s="348" t="s">
        <v>5813</v>
      </c>
      <c r="H249" s="349">
        <v>1800.0</v>
      </c>
      <c r="I249" s="11" t="str">
        <f>IFERROR(__xludf.DUMMYFUNCTION("VLOOKUP($A249,IMPORTRANGE(""https://docs.google.com/spreadsheets/d/1u9GbdmgAEc9k6kHu3ZfH25nxRNstVbRmM2ai-cDl3lY/edit?gid=2020727688#gid=2020727688"", ""Form responses 1!$F:$T""),12,false)"),"https://drive.google.com/open?id=1ZmED5UxSJOM-2y9H3zBlHlOgjVrx-bGR")</f>
        <v>https://drive.google.com/open?id=1ZmED5UxSJOM-2y9H3zBlHlOgjVrx-bGR</v>
      </c>
    </row>
    <row r="250">
      <c r="A250" s="348" t="s">
        <v>4202</v>
      </c>
      <c r="B250" s="348" t="s">
        <v>4748</v>
      </c>
      <c r="C250" s="348" t="s">
        <v>4205</v>
      </c>
      <c r="D250" s="348"/>
      <c r="E250" s="348"/>
      <c r="F250" s="348" t="s">
        <v>5809</v>
      </c>
      <c r="G250" s="348" t="s">
        <v>5813</v>
      </c>
      <c r="H250" s="349">
        <v>2800.0</v>
      </c>
      <c r="I250" s="14" t="str">
        <f>IFERROR(__xludf.DUMMYFUNCTION("VLOOKUP($A250,IMPORTRANGE(""https://docs.google.com/spreadsheets/d/1u9GbdmgAEc9k6kHu3ZfH25nxRNstVbRmM2ai-cDl3lY/edit?gid=2020727688#gid=2020727688"", ""Form responses 1!$F:$T""),12,false)"),"#N/A")</f>
        <v>#N/A</v>
      </c>
    </row>
    <row r="251">
      <c r="A251" s="348" t="s">
        <v>4124</v>
      </c>
      <c r="B251" s="348" t="s">
        <v>4748</v>
      </c>
      <c r="C251" s="348" t="s">
        <v>598</v>
      </c>
      <c r="D251" s="348"/>
      <c r="E251" s="348"/>
      <c r="F251" s="348" t="s">
        <v>5809</v>
      </c>
      <c r="G251" s="348" t="s">
        <v>5813</v>
      </c>
      <c r="H251" s="349">
        <v>2300.0</v>
      </c>
      <c r="I251" s="14" t="str">
        <f>IFERROR(__xludf.DUMMYFUNCTION("VLOOKUP($A251,IMPORTRANGE(""https://docs.google.com/spreadsheets/d/1u9GbdmgAEc9k6kHu3ZfH25nxRNstVbRmM2ai-cDl3lY/edit?gid=2020727688#gid=2020727688"", ""Form responses 1!$F:$T""),12,false)"),"#N/A")</f>
        <v>#N/A</v>
      </c>
    </row>
    <row r="252">
      <c r="A252" s="348" t="s">
        <v>4119</v>
      </c>
      <c r="B252" s="348" t="s">
        <v>4748</v>
      </c>
      <c r="C252" s="348" t="s">
        <v>4122</v>
      </c>
      <c r="D252" s="348"/>
      <c r="E252" s="348"/>
      <c r="F252" s="348" t="s">
        <v>5809</v>
      </c>
      <c r="G252" s="348" t="s">
        <v>5813</v>
      </c>
      <c r="H252" s="349">
        <v>1100.0</v>
      </c>
      <c r="I252" s="14" t="str">
        <f>IFERROR(__xludf.DUMMYFUNCTION("VLOOKUP($A252,IMPORTRANGE(""https://docs.google.com/spreadsheets/d/1u9GbdmgAEc9k6kHu3ZfH25nxRNstVbRmM2ai-cDl3lY/edit?gid=2020727688#gid=2020727688"", ""Form responses 1!$F:$T""),12,false)"),"#N/A")</f>
        <v>#N/A</v>
      </c>
    </row>
    <row r="253">
      <c r="A253" s="348" t="s">
        <v>5842</v>
      </c>
      <c r="B253" s="348" t="s">
        <v>4743</v>
      </c>
      <c r="C253" s="348" t="s">
        <v>5564</v>
      </c>
      <c r="D253" s="348"/>
      <c r="E253" s="348"/>
      <c r="F253" s="348" t="s">
        <v>5816</v>
      </c>
      <c r="G253" s="348" t="s">
        <v>5813</v>
      </c>
      <c r="H253" s="349">
        <v>2650.0</v>
      </c>
      <c r="I253" s="14" t="str">
        <f>IFERROR(__xludf.DUMMYFUNCTION("VLOOKUP($A253,IMPORTRANGE(""https://docs.google.com/spreadsheets/d/1u9GbdmgAEc9k6kHu3ZfH25nxRNstVbRmM2ai-cDl3lY/edit?gid=2020727688#gid=2020727688"", ""Form responses 1!$F:$T""),12,false)"),"#N/A")</f>
        <v>#N/A</v>
      </c>
    </row>
    <row r="254">
      <c r="A254" s="348" t="s">
        <v>5843</v>
      </c>
      <c r="B254" s="348" t="s">
        <v>4743</v>
      </c>
      <c r="C254" s="348" t="s">
        <v>5573</v>
      </c>
      <c r="D254" s="348"/>
      <c r="E254" s="348"/>
      <c r="F254" s="348" t="s">
        <v>5816</v>
      </c>
      <c r="G254" s="348" t="s">
        <v>5813</v>
      </c>
      <c r="H254" s="349">
        <v>1450.0</v>
      </c>
      <c r="I254" s="14" t="str">
        <f>IFERROR(__xludf.DUMMYFUNCTION("VLOOKUP($A254,IMPORTRANGE(""https://docs.google.com/spreadsheets/d/1u9GbdmgAEc9k6kHu3ZfH25nxRNstVbRmM2ai-cDl3lY/edit?gid=2020727688#gid=2020727688"", ""Form responses 1!$F:$T""),12,false)"),"#N/A")</f>
        <v>#N/A</v>
      </c>
    </row>
    <row r="255">
      <c r="A255" s="348" t="s">
        <v>1684</v>
      </c>
      <c r="B255" s="348" t="s">
        <v>4743</v>
      </c>
      <c r="C255" s="348" t="s">
        <v>1686</v>
      </c>
      <c r="D255" s="348"/>
      <c r="E255" s="348"/>
      <c r="F255" s="348" t="s">
        <v>5816</v>
      </c>
      <c r="G255" s="348" t="s">
        <v>5813</v>
      </c>
      <c r="H255" s="349">
        <v>1750.0</v>
      </c>
      <c r="I255" s="14" t="str">
        <f>IFERROR(__xludf.DUMMYFUNCTION("VLOOKUP($A255,IMPORTRANGE(""https://docs.google.com/spreadsheets/d/1u9GbdmgAEc9k6kHu3ZfH25nxRNstVbRmM2ai-cDl3lY/edit?gid=2020727688#gid=2020727688"", ""Form responses 1!$F:$T""),12,false)"),"#N/A")</f>
        <v>#N/A</v>
      </c>
    </row>
    <row r="256">
      <c r="A256" s="348" t="s">
        <v>5844</v>
      </c>
      <c r="B256" s="348" t="s">
        <v>4743</v>
      </c>
      <c r="C256" s="348" t="s">
        <v>5575</v>
      </c>
      <c r="D256" s="348"/>
      <c r="E256" s="348"/>
      <c r="F256" s="348" t="s">
        <v>5816</v>
      </c>
      <c r="G256" s="348" t="s">
        <v>5813</v>
      </c>
      <c r="H256" s="349">
        <v>1000.0</v>
      </c>
      <c r="I256" s="14" t="str">
        <f>IFERROR(__xludf.DUMMYFUNCTION("VLOOKUP($A256,IMPORTRANGE(""https://docs.google.com/spreadsheets/d/1u9GbdmgAEc9k6kHu3ZfH25nxRNstVbRmM2ai-cDl3lY/edit?gid=2020727688#gid=2020727688"", ""Form responses 1!$F:$T""),12,false)"),"#N/A")</f>
        <v>#N/A</v>
      </c>
    </row>
    <row r="257">
      <c r="A257" s="348" t="s">
        <v>5845</v>
      </c>
      <c r="B257" s="348" t="s">
        <v>4743</v>
      </c>
      <c r="C257" s="348" t="s">
        <v>5566</v>
      </c>
      <c r="D257" s="348"/>
      <c r="E257" s="348"/>
      <c r="F257" s="348" t="s">
        <v>5816</v>
      </c>
      <c r="G257" s="348" t="s">
        <v>5813</v>
      </c>
      <c r="H257" s="349">
        <v>600.0</v>
      </c>
      <c r="I257" s="14" t="str">
        <f>IFERROR(__xludf.DUMMYFUNCTION("VLOOKUP($A257,IMPORTRANGE(""https://docs.google.com/spreadsheets/d/1u9GbdmgAEc9k6kHu3ZfH25nxRNstVbRmM2ai-cDl3lY/edit?gid=2020727688#gid=2020727688"", ""Form responses 1!$F:$T""),12,false)"),"#N/A")</f>
        <v>#N/A</v>
      </c>
    </row>
    <row r="258">
      <c r="A258" s="348" t="s">
        <v>2039</v>
      </c>
      <c r="B258" s="348" t="s">
        <v>4743</v>
      </c>
      <c r="C258" s="348" t="s">
        <v>5568</v>
      </c>
      <c r="D258" s="348"/>
      <c r="E258" s="348"/>
      <c r="F258" s="348" t="s">
        <v>5816</v>
      </c>
      <c r="G258" s="348" t="s">
        <v>5813</v>
      </c>
      <c r="H258" s="349">
        <v>700.0</v>
      </c>
      <c r="I258" s="14" t="str">
        <f>IFERROR(__xludf.DUMMYFUNCTION("VLOOKUP($A258,IMPORTRANGE(""https://docs.google.com/spreadsheets/d/1u9GbdmgAEc9k6kHu3ZfH25nxRNstVbRmM2ai-cDl3lY/edit?gid=2020727688#gid=2020727688"", ""Form responses 1!$F:$T""),12,false)"),"#N/A")</f>
        <v>#N/A</v>
      </c>
    </row>
    <row r="259">
      <c r="A259" s="348" t="s">
        <v>2678</v>
      </c>
      <c r="B259" s="348" t="s">
        <v>4743</v>
      </c>
      <c r="C259" s="348" t="s">
        <v>5570</v>
      </c>
      <c r="D259" s="348"/>
      <c r="E259" s="348"/>
      <c r="F259" s="348" t="s">
        <v>5816</v>
      </c>
      <c r="G259" s="348" t="s">
        <v>5813</v>
      </c>
      <c r="H259" s="349">
        <v>1350.0</v>
      </c>
      <c r="I259" s="14" t="str">
        <f>IFERROR(__xludf.DUMMYFUNCTION("VLOOKUP($A259,IMPORTRANGE(""https://docs.google.com/spreadsheets/d/1u9GbdmgAEc9k6kHu3ZfH25nxRNstVbRmM2ai-cDl3lY/edit?gid=2020727688#gid=2020727688"", ""Form responses 1!$F:$T""),12,false)"),"#N/A")</f>
        <v>#N/A</v>
      </c>
    </row>
    <row r="260">
      <c r="A260" s="348" t="s">
        <v>5846</v>
      </c>
      <c r="B260" s="348" t="s">
        <v>4743</v>
      </c>
      <c r="C260" s="348" t="s">
        <v>5577</v>
      </c>
      <c r="D260" s="348"/>
      <c r="E260" s="348"/>
      <c r="F260" s="348" t="s">
        <v>5816</v>
      </c>
      <c r="G260" s="348" t="s">
        <v>5813</v>
      </c>
      <c r="H260" s="349">
        <v>1400.0</v>
      </c>
      <c r="I260" s="14" t="str">
        <f>IFERROR(__xludf.DUMMYFUNCTION("VLOOKUP($A260,IMPORTRANGE(""https://docs.google.com/spreadsheets/d/1u9GbdmgAEc9k6kHu3ZfH25nxRNstVbRmM2ai-cDl3lY/edit?gid=2020727688#gid=2020727688"", ""Form responses 1!$F:$T""),12,false)"),"#N/A")</f>
        <v>#N/A</v>
      </c>
    </row>
    <row r="261">
      <c r="A261" s="348" t="s">
        <v>2324</v>
      </c>
      <c r="B261" s="348" t="s">
        <v>4745</v>
      </c>
      <c r="C261" s="348" t="s">
        <v>5153</v>
      </c>
      <c r="D261" s="348"/>
      <c r="E261" s="348"/>
      <c r="F261" s="348" t="s">
        <v>5816</v>
      </c>
      <c r="G261" s="348" t="s">
        <v>5813</v>
      </c>
      <c r="H261" s="349">
        <v>2800.0</v>
      </c>
      <c r="I261" s="14" t="str">
        <f>IFERROR(__xludf.DUMMYFUNCTION("VLOOKUP($A261,IMPORTRANGE(""https://docs.google.com/spreadsheets/d/1u9GbdmgAEc9k6kHu3ZfH25nxRNstVbRmM2ai-cDl3lY/edit?gid=2020727688#gid=2020727688"", ""Form responses 1!$F:$T""),12,false)"),"#N/A")</f>
        <v>#N/A</v>
      </c>
    </row>
    <row r="262">
      <c r="A262" s="348" t="s">
        <v>2195</v>
      </c>
      <c r="B262" s="348" t="s">
        <v>4745</v>
      </c>
      <c r="C262" s="348" t="s">
        <v>5137</v>
      </c>
      <c r="D262" s="348"/>
      <c r="E262" s="348"/>
      <c r="F262" s="348" t="s">
        <v>5816</v>
      </c>
      <c r="G262" s="348" t="s">
        <v>5813</v>
      </c>
      <c r="H262" s="349">
        <v>2200.0</v>
      </c>
      <c r="I262" s="14" t="str">
        <f>IFERROR(__xludf.DUMMYFUNCTION("VLOOKUP($A262,IMPORTRANGE(""https://docs.google.com/spreadsheets/d/1u9GbdmgAEc9k6kHu3ZfH25nxRNstVbRmM2ai-cDl3lY/edit?gid=2020727688#gid=2020727688"", ""Form responses 1!$F:$T""),12,false)"),"#N/A")</f>
        <v>#N/A</v>
      </c>
    </row>
    <row r="263">
      <c r="A263" s="348" t="s">
        <v>5847</v>
      </c>
      <c r="B263" s="348" t="s">
        <v>4745</v>
      </c>
      <c r="C263" s="348" t="s">
        <v>5139</v>
      </c>
      <c r="D263" s="348"/>
      <c r="E263" s="348"/>
      <c r="F263" s="348" t="s">
        <v>5816</v>
      </c>
      <c r="G263" s="348" t="s">
        <v>5813</v>
      </c>
      <c r="H263" s="349">
        <v>350.0</v>
      </c>
      <c r="I263" s="14" t="str">
        <f>IFERROR(__xludf.DUMMYFUNCTION("VLOOKUP($A263,IMPORTRANGE(""https://docs.google.com/spreadsheets/d/1u9GbdmgAEc9k6kHu3ZfH25nxRNstVbRmM2ai-cDl3lY/edit?gid=2020727688#gid=2020727688"", ""Form responses 1!$F:$T""),12,false)"),"#N/A")</f>
        <v>#N/A</v>
      </c>
    </row>
    <row r="264">
      <c r="A264" s="348" t="s">
        <v>5848</v>
      </c>
      <c r="B264" s="348" t="s">
        <v>4745</v>
      </c>
      <c r="C264" s="348" t="s">
        <v>5155</v>
      </c>
      <c r="D264" s="348"/>
      <c r="E264" s="348"/>
      <c r="F264" s="348" t="s">
        <v>5816</v>
      </c>
      <c r="G264" s="348" t="s">
        <v>5813</v>
      </c>
      <c r="H264" s="349">
        <v>2150.0</v>
      </c>
      <c r="I264" s="14" t="str">
        <f>IFERROR(__xludf.DUMMYFUNCTION("VLOOKUP($A264,IMPORTRANGE(""https://docs.google.com/spreadsheets/d/1u9GbdmgAEc9k6kHu3ZfH25nxRNstVbRmM2ai-cDl3lY/edit?gid=2020727688#gid=2020727688"", ""Form responses 1!$F:$T""),12,false)"),"#N/A")</f>
        <v>#N/A</v>
      </c>
    </row>
    <row r="265">
      <c r="A265" s="348" t="s">
        <v>2387</v>
      </c>
      <c r="B265" s="348" t="s">
        <v>4745</v>
      </c>
      <c r="C265" s="348" t="s">
        <v>5127</v>
      </c>
      <c r="D265" s="348"/>
      <c r="E265" s="348"/>
      <c r="F265" s="348" t="s">
        <v>5816</v>
      </c>
      <c r="G265" s="348" t="s">
        <v>5813</v>
      </c>
      <c r="H265" s="349">
        <v>1450.0</v>
      </c>
      <c r="I265" s="14" t="str">
        <f>IFERROR(__xludf.DUMMYFUNCTION("VLOOKUP($A265,IMPORTRANGE(""https://docs.google.com/spreadsheets/d/1u9GbdmgAEc9k6kHu3ZfH25nxRNstVbRmM2ai-cDl3lY/edit?gid=2020727688#gid=2020727688"", ""Form responses 1!$F:$T""),12,false)"),"#N/A")</f>
        <v>#N/A</v>
      </c>
    </row>
    <row r="266">
      <c r="A266" s="348" t="s">
        <v>1996</v>
      </c>
      <c r="B266" s="348" t="s">
        <v>4745</v>
      </c>
      <c r="C266" s="348" t="s">
        <v>5133</v>
      </c>
      <c r="D266" s="348"/>
      <c r="E266" s="348"/>
      <c r="F266" s="348" t="s">
        <v>5816</v>
      </c>
      <c r="G266" s="348" t="s">
        <v>5813</v>
      </c>
      <c r="H266" s="349">
        <v>2650.0</v>
      </c>
      <c r="I266" s="14" t="str">
        <f>IFERROR(__xludf.DUMMYFUNCTION("VLOOKUP($A266,IMPORTRANGE(""https://docs.google.com/spreadsheets/d/1u9GbdmgAEc9k6kHu3ZfH25nxRNstVbRmM2ai-cDl3lY/edit?gid=2020727688#gid=2020727688"", ""Form responses 1!$F:$T""),12,false)"),"#N/A")</f>
        <v>#N/A</v>
      </c>
    </row>
    <row r="267">
      <c r="A267" s="348" t="s">
        <v>1868</v>
      </c>
      <c r="B267" s="348" t="s">
        <v>4745</v>
      </c>
      <c r="C267" s="348" t="s">
        <v>5148</v>
      </c>
      <c r="D267" s="348"/>
      <c r="E267" s="348"/>
      <c r="F267" s="348" t="s">
        <v>5816</v>
      </c>
      <c r="G267" s="348" t="s">
        <v>5813</v>
      </c>
      <c r="H267" s="349">
        <v>1500.0</v>
      </c>
      <c r="I267" s="14" t="str">
        <f>IFERROR(__xludf.DUMMYFUNCTION("VLOOKUP($A267,IMPORTRANGE(""https://docs.google.com/spreadsheets/d/1u9GbdmgAEc9k6kHu3ZfH25nxRNstVbRmM2ai-cDl3lY/edit?gid=2020727688#gid=2020727688"", ""Form responses 1!$F:$T""),12,false)"),"#N/A")</f>
        <v>#N/A</v>
      </c>
    </row>
    <row r="268">
      <c r="A268" s="348" t="s">
        <v>2660</v>
      </c>
      <c r="B268" s="348" t="s">
        <v>4745</v>
      </c>
      <c r="C268" s="348" t="s">
        <v>5144</v>
      </c>
      <c r="D268" s="348"/>
      <c r="E268" s="348"/>
      <c r="F268" s="348" t="s">
        <v>5816</v>
      </c>
      <c r="G268" s="348" t="s">
        <v>5813</v>
      </c>
      <c r="H268" s="349">
        <v>1300.0</v>
      </c>
      <c r="I268" s="14" t="str">
        <f>IFERROR(__xludf.DUMMYFUNCTION("VLOOKUP($A268,IMPORTRANGE(""https://docs.google.com/spreadsheets/d/1u9GbdmgAEc9k6kHu3ZfH25nxRNstVbRmM2ai-cDl3lY/edit?gid=2020727688#gid=2020727688"", ""Form responses 1!$F:$T""),12,false)"),"#N/A")</f>
        <v>#N/A</v>
      </c>
    </row>
    <row r="269">
      <c r="A269" s="348" t="s">
        <v>1851</v>
      </c>
      <c r="B269" s="348" t="s">
        <v>4745</v>
      </c>
      <c r="C269" s="348" t="s">
        <v>5151</v>
      </c>
      <c r="D269" s="348"/>
      <c r="E269" s="348"/>
      <c r="F269" s="348" t="s">
        <v>5816</v>
      </c>
      <c r="G269" s="348" t="s">
        <v>5813</v>
      </c>
      <c r="H269" s="349">
        <v>2700.0</v>
      </c>
      <c r="I269" s="14" t="str">
        <f>IFERROR(__xludf.DUMMYFUNCTION("VLOOKUP($A269,IMPORTRANGE(""https://docs.google.com/spreadsheets/d/1u9GbdmgAEc9k6kHu3ZfH25nxRNstVbRmM2ai-cDl3lY/edit?gid=2020727688#gid=2020727688"", ""Form responses 1!$F:$T""),12,false)"),"#N/A")</f>
        <v>#N/A</v>
      </c>
    </row>
    <row r="270">
      <c r="A270" s="348" t="s">
        <v>2070</v>
      </c>
      <c r="B270" s="348" t="s">
        <v>4745</v>
      </c>
      <c r="C270" s="348" t="s">
        <v>5146</v>
      </c>
      <c r="D270" s="348"/>
      <c r="E270" s="348"/>
      <c r="F270" s="348" t="s">
        <v>5816</v>
      </c>
      <c r="G270" s="348" t="s">
        <v>5813</v>
      </c>
      <c r="H270" s="349">
        <v>2350.0</v>
      </c>
      <c r="I270" s="14" t="str">
        <f>IFERROR(__xludf.DUMMYFUNCTION("VLOOKUP($A270,IMPORTRANGE(""https://docs.google.com/spreadsheets/d/1u9GbdmgAEc9k6kHu3ZfH25nxRNstVbRmM2ai-cDl3lY/edit?gid=2020727688#gid=2020727688"", ""Form responses 1!$F:$T""),12,false)"),"#N/A")</f>
        <v>#N/A</v>
      </c>
    </row>
    <row r="271">
      <c r="A271" s="348" t="s">
        <v>1839</v>
      </c>
      <c r="B271" s="348" t="s">
        <v>4745</v>
      </c>
      <c r="C271" s="348" t="s">
        <v>5131</v>
      </c>
      <c r="D271" s="348"/>
      <c r="E271" s="348"/>
      <c r="F271" s="348" t="s">
        <v>5816</v>
      </c>
      <c r="G271" s="348" t="s">
        <v>5813</v>
      </c>
      <c r="H271" s="349">
        <v>1700.0</v>
      </c>
      <c r="I271" s="14" t="str">
        <f>IFERROR(__xludf.DUMMYFUNCTION("VLOOKUP($A271,IMPORTRANGE(""https://docs.google.com/spreadsheets/d/1u9GbdmgAEc9k6kHu3ZfH25nxRNstVbRmM2ai-cDl3lY/edit?gid=2020727688#gid=2020727688"", ""Form responses 1!$F:$T""),12,false)"),"#N/A")</f>
        <v>#N/A</v>
      </c>
    </row>
    <row r="272">
      <c r="A272" s="348" t="s">
        <v>2061</v>
      </c>
      <c r="B272" s="348" t="s">
        <v>4745</v>
      </c>
      <c r="C272" s="348" t="s">
        <v>5135</v>
      </c>
      <c r="D272" s="348"/>
      <c r="E272" s="348"/>
      <c r="F272" s="348" t="s">
        <v>5816</v>
      </c>
      <c r="G272" s="348" t="s">
        <v>5813</v>
      </c>
      <c r="H272" s="349">
        <v>1500.0</v>
      </c>
      <c r="I272" s="14" t="str">
        <f>IFERROR(__xludf.DUMMYFUNCTION("VLOOKUP($A272,IMPORTRANGE(""https://docs.google.com/spreadsheets/d/1u9GbdmgAEc9k6kHu3ZfH25nxRNstVbRmM2ai-cDl3lY/edit?gid=2020727688#gid=2020727688"", ""Form responses 1!$F:$T""),12,false)"),"#N/A")</f>
        <v>#N/A</v>
      </c>
    </row>
    <row r="273">
      <c r="A273" s="348" t="s">
        <v>3868</v>
      </c>
      <c r="B273" s="348" t="s">
        <v>4761</v>
      </c>
      <c r="C273" s="348" t="s">
        <v>5158</v>
      </c>
      <c r="D273" s="348"/>
      <c r="E273" s="348"/>
      <c r="F273" s="348" t="s">
        <v>5809</v>
      </c>
      <c r="G273" s="348" t="s">
        <v>5813</v>
      </c>
      <c r="H273" s="349">
        <v>2250.0</v>
      </c>
      <c r="I273" s="14" t="str">
        <f>IFERROR(__xludf.DUMMYFUNCTION("VLOOKUP($A273,IMPORTRANGE(""https://docs.google.com/spreadsheets/d/1u9GbdmgAEc9k6kHu3ZfH25nxRNstVbRmM2ai-cDl3lY/edit?gid=2020727688#gid=2020727688"", ""Form responses 1!$F:$T""),12,false)"),"#N/A")</f>
        <v>#N/A</v>
      </c>
    </row>
    <row r="274">
      <c r="A274" s="348" t="s">
        <v>4011</v>
      </c>
      <c r="B274" s="348" t="s">
        <v>4761</v>
      </c>
      <c r="C274" s="348" t="s">
        <v>5164</v>
      </c>
      <c r="D274" s="348"/>
      <c r="E274" s="348"/>
      <c r="F274" s="348" t="s">
        <v>5809</v>
      </c>
      <c r="G274" s="348" t="s">
        <v>5813</v>
      </c>
      <c r="H274" s="349">
        <v>950.0</v>
      </c>
      <c r="I274" s="14" t="str">
        <f>IFERROR(__xludf.DUMMYFUNCTION("VLOOKUP($A274,IMPORTRANGE(""https://docs.google.com/spreadsheets/d/1u9GbdmgAEc9k6kHu3ZfH25nxRNstVbRmM2ai-cDl3lY/edit?gid=2020727688#gid=2020727688"", ""Form responses 1!$F:$T""),12,false)"),"#N/A")</f>
        <v>#N/A</v>
      </c>
    </row>
    <row r="275">
      <c r="A275" s="348" t="s">
        <v>5849</v>
      </c>
      <c r="B275" s="348" t="s">
        <v>4744</v>
      </c>
      <c r="C275" s="348" t="s">
        <v>4919</v>
      </c>
      <c r="D275" s="348"/>
      <c r="E275" s="348"/>
      <c r="F275" s="348" t="s">
        <v>5816</v>
      </c>
      <c r="G275" s="348" t="s">
        <v>5813</v>
      </c>
      <c r="H275" s="349">
        <v>1850.0</v>
      </c>
      <c r="I275" s="14" t="str">
        <f>IFERROR(__xludf.DUMMYFUNCTION("VLOOKUP($A275,IMPORTRANGE(""https://docs.google.com/spreadsheets/d/1u9GbdmgAEc9k6kHu3ZfH25nxRNstVbRmM2ai-cDl3lY/edit?gid=2020727688#gid=2020727688"", ""Form responses 1!$F:$T""),12,false)"),"#N/A")</f>
        <v>#N/A</v>
      </c>
    </row>
    <row r="276">
      <c r="A276" s="348" t="s">
        <v>4846</v>
      </c>
      <c r="B276" s="348" t="s">
        <v>4744</v>
      </c>
      <c r="C276" s="348" t="s">
        <v>4921</v>
      </c>
      <c r="D276" s="348"/>
      <c r="E276" s="348"/>
      <c r="F276" s="348" t="s">
        <v>5816</v>
      </c>
      <c r="G276" s="348" t="s">
        <v>5813</v>
      </c>
      <c r="H276" s="349">
        <v>1150.0</v>
      </c>
      <c r="I276" s="14" t="str">
        <f>IFERROR(__xludf.DUMMYFUNCTION("VLOOKUP($A276,IMPORTRANGE(""https://docs.google.com/spreadsheets/d/1u9GbdmgAEc9k6kHu3ZfH25nxRNstVbRmM2ai-cDl3lY/edit?gid=2020727688#gid=2020727688"", ""Form responses 1!$F:$T""),12,false)"),"#N/A")</f>
        <v>#N/A</v>
      </c>
    </row>
    <row r="277">
      <c r="A277" s="348" t="s">
        <v>5850</v>
      </c>
      <c r="B277" s="348" t="s">
        <v>4744</v>
      </c>
      <c r="C277" s="348" t="s">
        <v>4925</v>
      </c>
      <c r="D277" s="348"/>
      <c r="E277" s="348"/>
      <c r="F277" s="348" t="s">
        <v>5816</v>
      </c>
      <c r="G277" s="348" t="s">
        <v>5813</v>
      </c>
      <c r="H277" s="349">
        <v>1600.0</v>
      </c>
      <c r="I277" s="14" t="str">
        <f>IFERROR(__xludf.DUMMYFUNCTION("VLOOKUP($A277,IMPORTRANGE(""https://docs.google.com/spreadsheets/d/1u9GbdmgAEc9k6kHu3ZfH25nxRNstVbRmM2ai-cDl3lY/edit?gid=2020727688#gid=2020727688"", ""Form responses 1!$F:$T""),12,false)"),"#N/A")</f>
        <v>#N/A</v>
      </c>
    </row>
    <row r="278">
      <c r="A278" s="348" t="s">
        <v>5851</v>
      </c>
      <c r="B278" s="348" t="s">
        <v>4744</v>
      </c>
      <c r="C278" s="348" t="s">
        <v>4927</v>
      </c>
      <c r="D278" s="348"/>
      <c r="E278" s="348"/>
      <c r="F278" s="348" t="s">
        <v>5816</v>
      </c>
      <c r="G278" s="348" t="s">
        <v>5813</v>
      </c>
      <c r="H278" s="349">
        <v>500.0</v>
      </c>
      <c r="I278" s="14" t="str">
        <f>IFERROR(__xludf.DUMMYFUNCTION("VLOOKUP($A278,IMPORTRANGE(""https://docs.google.com/spreadsheets/d/1u9GbdmgAEc9k6kHu3ZfH25nxRNstVbRmM2ai-cDl3lY/edit?gid=2020727688#gid=2020727688"", ""Form responses 1!$F:$T""),12,false)"),"#N/A")</f>
        <v>#N/A</v>
      </c>
    </row>
    <row r="279">
      <c r="A279" s="348" t="s">
        <v>5852</v>
      </c>
      <c r="B279" s="348" t="s">
        <v>4744</v>
      </c>
      <c r="C279" s="348" t="s">
        <v>4917</v>
      </c>
      <c r="D279" s="348"/>
      <c r="E279" s="348"/>
      <c r="F279" s="348" t="s">
        <v>5816</v>
      </c>
      <c r="G279" s="348" t="s">
        <v>5813</v>
      </c>
      <c r="H279" s="349">
        <v>650.0</v>
      </c>
      <c r="I279" s="14" t="str">
        <f>IFERROR(__xludf.DUMMYFUNCTION("VLOOKUP($A279,IMPORTRANGE(""https://docs.google.com/spreadsheets/d/1u9GbdmgAEc9k6kHu3ZfH25nxRNstVbRmM2ai-cDl3lY/edit?gid=2020727688#gid=2020727688"", ""Form responses 1!$F:$T""),12,false)"),"#N/A")</f>
        <v>#N/A</v>
      </c>
    </row>
    <row r="280">
      <c r="A280" s="348" t="s">
        <v>5853</v>
      </c>
      <c r="B280" s="348" t="s">
        <v>4744</v>
      </c>
      <c r="C280" s="348" t="s">
        <v>4913</v>
      </c>
      <c r="D280" s="348"/>
      <c r="E280" s="348"/>
      <c r="F280" s="348" t="s">
        <v>5816</v>
      </c>
      <c r="G280" s="348" t="s">
        <v>5813</v>
      </c>
      <c r="H280" s="349">
        <v>1300.0</v>
      </c>
      <c r="I280" s="14" t="str">
        <f>IFERROR(__xludf.DUMMYFUNCTION("VLOOKUP($A280,IMPORTRANGE(""https://docs.google.com/spreadsheets/d/1u9GbdmgAEc9k6kHu3ZfH25nxRNstVbRmM2ai-cDl3lY/edit?gid=2020727688#gid=2020727688"", ""Form responses 1!$F:$T""),12,false)"),"#N/A")</f>
        <v>#N/A</v>
      </c>
    </row>
    <row r="281">
      <c r="A281" s="348" t="s">
        <v>5854</v>
      </c>
      <c r="B281" s="348" t="s">
        <v>4744</v>
      </c>
      <c r="C281" s="348" t="s">
        <v>4915</v>
      </c>
      <c r="D281" s="348"/>
      <c r="E281" s="348"/>
      <c r="F281" s="348" t="s">
        <v>5816</v>
      </c>
      <c r="G281" s="348" t="s">
        <v>5813</v>
      </c>
      <c r="H281" s="349">
        <v>1800.0</v>
      </c>
      <c r="I281" s="14" t="str">
        <f>IFERROR(__xludf.DUMMYFUNCTION("VLOOKUP($A281,IMPORTRANGE(""https://docs.google.com/spreadsheets/d/1u9GbdmgAEc9k6kHu3ZfH25nxRNstVbRmM2ai-cDl3lY/edit?gid=2020727688#gid=2020727688"", ""Form responses 1!$F:$T""),12,false)"),"#N/A")</f>
        <v>#N/A</v>
      </c>
    </row>
    <row r="282">
      <c r="A282" s="348" t="s">
        <v>4279</v>
      </c>
      <c r="B282" s="348" t="s">
        <v>4759</v>
      </c>
      <c r="C282" s="348" t="s">
        <v>5233</v>
      </c>
      <c r="D282" s="348"/>
      <c r="E282" s="348"/>
      <c r="F282" s="348" t="s">
        <v>5809</v>
      </c>
      <c r="G282" s="348" t="s">
        <v>5814</v>
      </c>
      <c r="H282" s="349">
        <v>950.0</v>
      </c>
      <c r="I282" s="14" t="str">
        <f>IFERROR(__xludf.DUMMYFUNCTION("VLOOKUP($A282,IMPORTRANGE(""https://docs.google.com/spreadsheets/d/1u9GbdmgAEc9k6kHu3ZfH25nxRNstVbRmM2ai-cDl3lY/edit?gid=2020727688#gid=2020727688"", ""Form responses 1!$F:$T""),12,false)"),"#N/A")</f>
        <v>#N/A</v>
      </c>
    </row>
    <row r="283">
      <c r="A283" s="348" t="s">
        <v>4022</v>
      </c>
      <c r="B283" s="348" t="s">
        <v>4759</v>
      </c>
      <c r="C283" s="348" t="s">
        <v>5208</v>
      </c>
      <c r="D283" s="348"/>
      <c r="E283" s="348"/>
      <c r="F283" s="348" t="s">
        <v>5809</v>
      </c>
      <c r="G283" s="348" t="s">
        <v>5814</v>
      </c>
      <c r="H283" s="349">
        <v>1100.0</v>
      </c>
      <c r="I283" s="14" t="str">
        <f>IFERROR(__xludf.DUMMYFUNCTION("VLOOKUP($A283,IMPORTRANGE(""https://docs.google.com/spreadsheets/d/1u9GbdmgAEc9k6kHu3ZfH25nxRNstVbRmM2ai-cDl3lY/edit?gid=2020727688#gid=2020727688"", ""Form responses 1!$F:$T""),12,false)"),"#N/A")</f>
        <v>#N/A</v>
      </c>
    </row>
    <row r="284">
      <c r="A284" s="348" t="s">
        <v>5855</v>
      </c>
      <c r="B284" s="348" t="s">
        <v>4742</v>
      </c>
      <c r="C284" s="348" t="s">
        <v>5542</v>
      </c>
      <c r="D284" s="348"/>
      <c r="E284" s="348"/>
      <c r="F284" s="348" t="s">
        <v>5816</v>
      </c>
      <c r="G284" s="348" t="s">
        <v>5814</v>
      </c>
      <c r="H284" s="349">
        <v>700.0</v>
      </c>
      <c r="I284" s="14" t="str">
        <f>IFERROR(__xludf.DUMMYFUNCTION("VLOOKUP($A284,IMPORTRANGE(""https://docs.google.com/spreadsheets/d/1u9GbdmgAEc9k6kHu3ZfH25nxRNstVbRmM2ai-cDl3lY/edit?gid=2020727688#gid=2020727688"", ""Form responses 1!$F:$T""),12,false)"),"#N/A")</f>
        <v>#N/A</v>
      </c>
    </row>
    <row r="285">
      <c r="A285" s="348" t="s">
        <v>2810</v>
      </c>
      <c r="B285" s="348" t="s">
        <v>4729</v>
      </c>
      <c r="C285" s="348" t="s">
        <v>2812</v>
      </c>
      <c r="D285" s="348"/>
      <c r="E285" s="348"/>
      <c r="F285" s="348" t="s">
        <v>5816</v>
      </c>
      <c r="G285" s="348" t="s">
        <v>5814</v>
      </c>
      <c r="H285" s="349">
        <v>2000.0</v>
      </c>
      <c r="I285" s="11" t="str">
        <f>IFERROR(__xludf.DUMMYFUNCTION("VLOOKUP($A285,IMPORTRANGE(""https://docs.google.com/spreadsheets/d/1u9GbdmgAEc9k6kHu3ZfH25nxRNstVbRmM2ai-cDl3lY/edit?gid=2020727688#gid=2020727688"", ""Form responses 1!$F:$T""),12,false)"),"https://drive.google.com/open?id=1yOHCohIcBQ-EjEN9-y9jntBERjinageb")</f>
        <v>https://drive.google.com/open?id=1yOHCohIcBQ-EjEN9-y9jntBERjinageb</v>
      </c>
    </row>
    <row r="286">
      <c r="A286" s="348" t="s">
        <v>1132</v>
      </c>
      <c r="B286" s="348" t="s">
        <v>4729</v>
      </c>
      <c r="C286" s="348" t="s">
        <v>1133</v>
      </c>
      <c r="D286" s="348"/>
      <c r="E286" s="348"/>
      <c r="F286" s="348" t="s">
        <v>5816</v>
      </c>
      <c r="G286" s="348" t="s">
        <v>5814</v>
      </c>
      <c r="H286" s="349">
        <v>1250.0</v>
      </c>
      <c r="I286" s="11" t="str">
        <f>IFERROR(__xludf.DUMMYFUNCTION("VLOOKUP($A286,IMPORTRANGE(""https://docs.google.com/spreadsheets/d/1u9GbdmgAEc9k6kHu3ZfH25nxRNstVbRmM2ai-cDl3lY/edit?gid=2020727688#gid=2020727688"", ""Form responses 1!$F:$T""),12,false)"),"https://drive.google.com/open?id=10O-fUYM954w4gwKuaxo6lBRqO3nizKV5")</f>
        <v>https://drive.google.com/open?id=10O-fUYM954w4gwKuaxo6lBRqO3nizKV5</v>
      </c>
    </row>
    <row r="287">
      <c r="A287" s="348" t="s">
        <v>5856</v>
      </c>
      <c r="B287" s="348" t="s">
        <v>4745</v>
      </c>
      <c r="C287" s="348" t="s">
        <v>2796</v>
      </c>
      <c r="D287" s="348"/>
      <c r="E287" s="348"/>
      <c r="F287" s="348" t="s">
        <v>5816</v>
      </c>
      <c r="G287" s="348" t="s">
        <v>5814</v>
      </c>
      <c r="H287" s="349">
        <v>1300.0</v>
      </c>
      <c r="I287" s="14" t="str">
        <f>IFERROR(__xludf.DUMMYFUNCTION("VLOOKUP($A287,IMPORTRANGE(""https://docs.google.com/spreadsheets/d/1u9GbdmgAEc9k6kHu3ZfH25nxRNstVbRmM2ai-cDl3lY/edit?gid=2020727688#gid=2020727688"", ""Form responses 1!$F:$T""),12,false)"),"#N/A")</f>
        <v>#N/A</v>
      </c>
    </row>
    <row r="288">
      <c r="A288" s="348" t="s">
        <v>4699</v>
      </c>
      <c r="B288" s="348" t="s">
        <v>4759</v>
      </c>
      <c r="C288" s="348" t="s">
        <v>5236</v>
      </c>
      <c r="D288" s="348"/>
      <c r="E288" s="348"/>
      <c r="F288" s="348" t="s">
        <v>5809</v>
      </c>
      <c r="G288" s="348" t="s">
        <v>5815</v>
      </c>
      <c r="H288" s="349">
        <v>1250.0</v>
      </c>
      <c r="I288" s="14" t="str">
        <f>IFERROR(__xludf.DUMMYFUNCTION("VLOOKUP($A288,IMPORTRANGE(""https://docs.google.com/spreadsheets/d/1u9GbdmgAEc9k6kHu3ZfH25nxRNstVbRmM2ai-cDl3lY/edit?gid=2020727688#gid=2020727688"", ""Form responses 1!$F:$T""),12,false)"),"#N/A")</f>
        <v>#N/A</v>
      </c>
    </row>
    <row r="289">
      <c r="A289" s="348" t="s">
        <v>4902</v>
      </c>
      <c r="B289" s="348" t="s">
        <v>4762</v>
      </c>
      <c r="C289" s="348" t="s">
        <v>5597</v>
      </c>
      <c r="D289" s="348"/>
      <c r="E289" s="348"/>
      <c r="F289" s="348" t="s">
        <v>5809</v>
      </c>
      <c r="G289" s="348" t="s">
        <v>5815</v>
      </c>
      <c r="H289" s="349">
        <v>350.0</v>
      </c>
      <c r="I289" s="14" t="str">
        <f>IFERROR(__xludf.DUMMYFUNCTION("VLOOKUP($A289,IMPORTRANGE(""https://docs.google.com/spreadsheets/d/1u9GbdmgAEc9k6kHu3ZfH25nxRNstVbRmM2ai-cDl3lY/edit?gid=2020727688#gid=2020727688"", ""Form responses 1!$F:$T""),12,false)"),"#N/A")</f>
        <v>#N/A</v>
      </c>
    </row>
    <row r="290">
      <c r="A290" s="348" t="s">
        <v>4903</v>
      </c>
      <c r="B290" s="348" t="s">
        <v>4762</v>
      </c>
      <c r="C290" s="348" t="s">
        <v>5593</v>
      </c>
      <c r="D290" s="348"/>
      <c r="E290" s="348"/>
      <c r="F290" s="348" t="s">
        <v>5809</v>
      </c>
      <c r="G290" s="348" t="s">
        <v>5815</v>
      </c>
      <c r="H290" s="349">
        <v>2150.0</v>
      </c>
      <c r="I290" s="14" t="str">
        <f>IFERROR(__xludf.DUMMYFUNCTION("VLOOKUP($A290,IMPORTRANGE(""https://docs.google.com/spreadsheets/d/1u9GbdmgAEc9k6kHu3ZfH25nxRNstVbRmM2ai-cDl3lY/edit?gid=2020727688#gid=2020727688"", ""Form responses 1!$F:$T""),12,false)"),"#N/A")</f>
        <v>#N/A</v>
      </c>
    </row>
    <row r="291">
      <c r="A291" s="348" t="s">
        <v>4904</v>
      </c>
      <c r="B291" s="348" t="s">
        <v>4762</v>
      </c>
      <c r="C291" s="348" t="s">
        <v>5603</v>
      </c>
      <c r="D291" s="348"/>
      <c r="E291" s="348"/>
      <c r="F291" s="348" t="s">
        <v>5809</v>
      </c>
      <c r="G291" s="348" t="s">
        <v>5815</v>
      </c>
      <c r="H291" s="349">
        <v>2300.0</v>
      </c>
      <c r="I291" s="14" t="str">
        <f>IFERROR(__xludf.DUMMYFUNCTION("VLOOKUP($A291,IMPORTRANGE(""https://docs.google.com/spreadsheets/d/1u9GbdmgAEc9k6kHu3ZfH25nxRNstVbRmM2ai-cDl3lY/edit?gid=2020727688#gid=2020727688"", ""Form responses 1!$F:$T""),12,false)"),"#N/A")</f>
        <v>#N/A</v>
      </c>
    </row>
    <row r="292">
      <c r="A292" s="348" t="s">
        <v>4897</v>
      </c>
      <c r="B292" s="348" t="s">
        <v>4762</v>
      </c>
      <c r="C292" s="348" t="s">
        <v>5605</v>
      </c>
      <c r="D292" s="348"/>
      <c r="E292" s="348"/>
      <c r="F292" s="348" t="s">
        <v>5809</v>
      </c>
      <c r="G292" s="348" t="s">
        <v>5815</v>
      </c>
      <c r="H292" s="349">
        <v>1300.0</v>
      </c>
      <c r="I292" s="14" t="str">
        <f>IFERROR(__xludf.DUMMYFUNCTION("VLOOKUP($A292,IMPORTRANGE(""https://docs.google.com/spreadsheets/d/1u9GbdmgAEc9k6kHu3ZfH25nxRNstVbRmM2ai-cDl3lY/edit?gid=2020727688#gid=2020727688"", ""Form responses 1!$F:$T""),12,false)"),"#N/A")</f>
        <v>#N/A</v>
      </c>
    </row>
    <row r="293">
      <c r="A293" s="348" t="s">
        <v>4900</v>
      </c>
      <c r="B293" s="348" t="s">
        <v>4762</v>
      </c>
      <c r="C293" s="348" t="s">
        <v>5601</v>
      </c>
      <c r="D293" s="348"/>
      <c r="E293" s="348"/>
      <c r="F293" s="348" t="s">
        <v>5809</v>
      </c>
      <c r="G293" s="348" t="s">
        <v>5815</v>
      </c>
      <c r="H293" s="349">
        <v>1500.0</v>
      </c>
      <c r="I293" s="14" t="str">
        <f>IFERROR(__xludf.DUMMYFUNCTION("VLOOKUP($A293,IMPORTRANGE(""https://docs.google.com/spreadsheets/d/1u9GbdmgAEc9k6kHu3ZfH25nxRNstVbRmM2ai-cDl3lY/edit?gid=2020727688#gid=2020727688"", ""Form responses 1!$F:$T""),12,false)"),"#N/A")</f>
        <v>#N/A</v>
      </c>
    </row>
    <row r="294">
      <c r="A294" s="348" t="s">
        <v>4366</v>
      </c>
      <c r="B294" s="348" t="s">
        <v>4762</v>
      </c>
      <c r="C294" s="348" t="s">
        <v>5614</v>
      </c>
      <c r="D294" s="348"/>
      <c r="E294" s="348"/>
      <c r="F294" s="348" t="s">
        <v>5809</v>
      </c>
      <c r="G294" s="348" t="s">
        <v>5815</v>
      </c>
      <c r="H294" s="349">
        <v>1950.0</v>
      </c>
      <c r="I294" s="14" t="str">
        <f>IFERROR(__xludf.DUMMYFUNCTION("VLOOKUP($A294,IMPORTRANGE(""https://docs.google.com/spreadsheets/d/1u9GbdmgAEc9k6kHu3ZfH25nxRNstVbRmM2ai-cDl3lY/edit?gid=2020727688#gid=2020727688"", ""Form responses 1!$F:$T""),12,false)"),"#N/A")</f>
        <v>#N/A</v>
      </c>
    </row>
    <row r="295">
      <c r="A295" s="348" t="s">
        <v>4899</v>
      </c>
      <c r="B295" s="348" t="s">
        <v>4762</v>
      </c>
      <c r="C295" s="348" t="s">
        <v>5595</v>
      </c>
      <c r="D295" s="348"/>
      <c r="E295" s="348"/>
      <c r="F295" s="348" t="s">
        <v>5809</v>
      </c>
      <c r="G295" s="348" t="s">
        <v>5815</v>
      </c>
      <c r="H295" s="349">
        <v>1850.0</v>
      </c>
      <c r="I295" s="14" t="str">
        <f>IFERROR(__xludf.DUMMYFUNCTION("VLOOKUP($A295,IMPORTRANGE(""https://docs.google.com/spreadsheets/d/1u9GbdmgAEc9k6kHu3ZfH25nxRNstVbRmM2ai-cDl3lY/edit?gid=2020727688#gid=2020727688"", ""Form responses 1!$F:$T""),12,false)"),"#N/A")</f>
        <v>#N/A</v>
      </c>
    </row>
    <row r="296">
      <c r="A296" s="348" t="s">
        <v>4331</v>
      </c>
      <c r="B296" s="348" t="s">
        <v>4762</v>
      </c>
      <c r="C296" s="348" t="s">
        <v>5599</v>
      </c>
      <c r="D296" s="348"/>
      <c r="E296" s="348"/>
      <c r="F296" s="348" t="s">
        <v>5809</v>
      </c>
      <c r="G296" s="348" t="s">
        <v>5815</v>
      </c>
      <c r="H296" s="349">
        <v>750.0</v>
      </c>
      <c r="I296" s="14" t="str">
        <f>IFERROR(__xludf.DUMMYFUNCTION("VLOOKUP($A296,IMPORTRANGE(""https://docs.google.com/spreadsheets/d/1u9GbdmgAEc9k6kHu3ZfH25nxRNstVbRmM2ai-cDl3lY/edit?gid=2020727688#gid=2020727688"", ""Form responses 1!$F:$T""),12,false)"),"#N/A")</f>
        <v>#N/A</v>
      </c>
    </row>
    <row r="297">
      <c r="A297" s="348" t="s">
        <v>4389</v>
      </c>
      <c r="B297" s="348" t="s">
        <v>4762</v>
      </c>
      <c r="C297" s="348" t="s">
        <v>4392</v>
      </c>
      <c r="D297" s="348"/>
      <c r="E297" s="348"/>
      <c r="F297" s="348" t="s">
        <v>5809</v>
      </c>
      <c r="G297" s="348" t="s">
        <v>5815</v>
      </c>
      <c r="H297" s="349">
        <v>1050.0</v>
      </c>
      <c r="I297" s="14" t="str">
        <f>IFERROR(__xludf.DUMMYFUNCTION("VLOOKUP($A297,IMPORTRANGE(""https://docs.google.com/spreadsheets/d/1u9GbdmgAEc9k6kHu3ZfH25nxRNstVbRmM2ai-cDl3lY/edit?gid=2020727688#gid=2020727688"", ""Form responses 1!$F:$T""),12,false)"),"#N/A")</f>
        <v>#N/A</v>
      </c>
    </row>
    <row r="298">
      <c r="A298" s="348" t="s">
        <v>4421</v>
      </c>
      <c r="B298" s="348" t="s">
        <v>4762</v>
      </c>
      <c r="C298" s="348" t="s">
        <v>5587</v>
      </c>
      <c r="D298" s="348"/>
      <c r="E298" s="348"/>
      <c r="F298" s="348" t="s">
        <v>5809</v>
      </c>
      <c r="G298" s="348" t="s">
        <v>5815</v>
      </c>
      <c r="H298" s="349">
        <v>900.0</v>
      </c>
      <c r="I298" s="14" t="str">
        <f>IFERROR(__xludf.DUMMYFUNCTION("VLOOKUP($A298,IMPORTRANGE(""https://docs.google.com/spreadsheets/d/1u9GbdmgAEc9k6kHu3ZfH25nxRNstVbRmM2ai-cDl3lY/edit?gid=2020727688#gid=2020727688"", ""Form responses 1!$F:$T""),12,false)"),"#N/A")</f>
        <v>#N/A</v>
      </c>
    </row>
    <row r="299">
      <c r="A299" s="348" t="s">
        <v>4384</v>
      </c>
      <c r="B299" s="348" t="s">
        <v>4762</v>
      </c>
      <c r="C299" s="348" t="s">
        <v>4387</v>
      </c>
      <c r="D299" s="348"/>
      <c r="E299" s="348"/>
      <c r="F299" s="348" t="s">
        <v>5809</v>
      </c>
      <c r="G299" s="348" t="s">
        <v>5815</v>
      </c>
      <c r="H299" s="349">
        <v>950.0</v>
      </c>
      <c r="I299" s="14" t="str">
        <f>IFERROR(__xludf.DUMMYFUNCTION("VLOOKUP($A299,IMPORTRANGE(""https://docs.google.com/spreadsheets/d/1u9GbdmgAEc9k6kHu3ZfH25nxRNstVbRmM2ai-cDl3lY/edit?gid=2020727688#gid=2020727688"", ""Form responses 1!$F:$T""),12,false)"),"#N/A")</f>
        <v>#N/A</v>
      </c>
    </row>
    <row r="300">
      <c r="A300" s="348" t="s">
        <v>4311</v>
      </c>
      <c r="B300" s="348" t="s">
        <v>4762</v>
      </c>
      <c r="C300" s="348" t="s">
        <v>5607</v>
      </c>
      <c r="D300" s="348"/>
      <c r="E300" s="348"/>
      <c r="F300" s="348" t="s">
        <v>5809</v>
      </c>
      <c r="G300" s="348" t="s">
        <v>5815</v>
      </c>
      <c r="H300" s="349">
        <v>2800.0</v>
      </c>
      <c r="I300" s="14" t="str">
        <f>IFERROR(__xludf.DUMMYFUNCTION("VLOOKUP($A300,IMPORTRANGE(""https://docs.google.com/spreadsheets/d/1u9GbdmgAEc9k6kHu3ZfH25nxRNstVbRmM2ai-cDl3lY/edit?gid=2020727688#gid=2020727688"", ""Form responses 1!$F:$T""),12,false)"),"#N/A")</f>
        <v>#N/A</v>
      </c>
    </row>
    <row r="301">
      <c r="A301" s="348" t="s">
        <v>4324</v>
      </c>
      <c r="B301" s="348" t="s">
        <v>4762</v>
      </c>
      <c r="C301" s="348" t="s">
        <v>5583</v>
      </c>
      <c r="D301" s="348"/>
      <c r="E301" s="348"/>
      <c r="F301" s="348" t="s">
        <v>5809</v>
      </c>
      <c r="G301" s="348" t="s">
        <v>5815</v>
      </c>
      <c r="H301" s="349">
        <v>700.0</v>
      </c>
      <c r="I301" s="14" t="str">
        <f>IFERROR(__xludf.DUMMYFUNCTION("VLOOKUP($A301,IMPORTRANGE(""https://docs.google.com/spreadsheets/d/1u9GbdmgAEc9k6kHu3ZfH25nxRNstVbRmM2ai-cDl3lY/edit?gid=2020727688#gid=2020727688"", ""Form responses 1!$F:$T""),12,false)"),"#N/A")</f>
        <v>#N/A</v>
      </c>
    </row>
    <row r="302">
      <c r="A302" s="348" t="s">
        <v>4305</v>
      </c>
      <c r="B302" s="348" t="s">
        <v>4762</v>
      </c>
      <c r="C302" s="348" t="s">
        <v>4437</v>
      </c>
      <c r="D302" s="348"/>
      <c r="E302" s="348"/>
      <c r="F302" s="348" t="s">
        <v>5809</v>
      </c>
      <c r="G302" s="348" t="s">
        <v>5815</v>
      </c>
      <c r="H302" s="349">
        <v>1550.0</v>
      </c>
      <c r="I302" s="14" t="str">
        <f>IFERROR(__xludf.DUMMYFUNCTION("VLOOKUP($A302,IMPORTRANGE(""https://docs.google.com/spreadsheets/d/1u9GbdmgAEc9k6kHu3ZfH25nxRNstVbRmM2ai-cDl3lY/edit?gid=2020727688#gid=2020727688"", ""Form responses 1!$F:$T""),12,false)"),"#N/A")</f>
        <v>#N/A</v>
      </c>
    </row>
    <row r="303">
      <c r="A303" s="348" t="s">
        <v>4898</v>
      </c>
      <c r="B303" s="348" t="s">
        <v>4762</v>
      </c>
      <c r="C303" s="348" t="s">
        <v>5591</v>
      </c>
      <c r="D303" s="348"/>
      <c r="E303" s="348"/>
      <c r="F303" s="348" t="s">
        <v>5809</v>
      </c>
      <c r="G303" s="348" t="s">
        <v>5815</v>
      </c>
      <c r="H303" s="349">
        <v>2850.0</v>
      </c>
      <c r="I303" s="14" t="str">
        <f>IFERROR(__xludf.DUMMYFUNCTION("VLOOKUP($A303,IMPORTRANGE(""https://docs.google.com/spreadsheets/d/1u9GbdmgAEc9k6kHu3ZfH25nxRNstVbRmM2ai-cDl3lY/edit?gid=2020727688#gid=2020727688"", ""Form responses 1!$F:$T""),12,false)"),"#N/A")</f>
        <v>#N/A</v>
      </c>
    </row>
    <row r="304">
      <c r="A304" s="348" t="s">
        <v>4350</v>
      </c>
      <c r="B304" s="348" t="s">
        <v>4762</v>
      </c>
      <c r="C304" s="348" t="s">
        <v>5581</v>
      </c>
      <c r="D304" s="348"/>
      <c r="E304" s="348"/>
      <c r="F304" s="348" t="s">
        <v>5809</v>
      </c>
      <c r="G304" s="348" t="s">
        <v>5815</v>
      </c>
      <c r="H304" s="349">
        <v>2450.0</v>
      </c>
      <c r="I304" s="14" t="str">
        <f>IFERROR(__xludf.DUMMYFUNCTION("VLOOKUP($A304,IMPORTRANGE(""https://docs.google.com/spreadsheets/d/1u9GbdmgAEc9k6kHu3ZfH25nxRNstVbRmM2ai-cDl3lY/edit?gid=2020727688#gid=2020727688"", ""Form responses 1!$F:$T""),12,false)"),"#N/A")</f>
        <v>#N/A</v>
      </c>
    </row>
    <row r="305">
      <c r="A305" s="348" t="s">
        <v>4337</v>
      </c>
      <c r="B305" s="348" t="s">
        <v>4762</v>
      </c>
      <c r="C305" s="348" t="s">
        <v>5589</v>
      </c>
      <c r="D305" s="348"/>
      <c r="E305" s="348"/>
      <c r="F305" s="348" t="s">
        <v>5809</v>
      </c>
      <c r="G305" s="348" t="s">
        <v>5815</v>
      </c>
      <c r="H305" s="349">
        <v>1350.0</v>
      </c>
      <c r="I305" s="14" t="str">
        <f>IFERROR(__xludf.DUMMYFUNCTION("VLOOKUP($A305,IMPORTRANGE(""https://docs.google.com/spreadsheets/d/1u9GbdmgAEc9k6kHu3ZfH25nxRNstVbRmM2ai-cDl3lY/edit?gid=2020727688#gid=2020727688"", ""Form responses 1!$F:$T""),12,false)"),"#N/A")</f>
        <v>#N/A</v>
      </c>
    </row>
    <row r="306">
      <c r="A306" s="348" t="s">
        <v>4378</v>
      </c>
      <c r="B306" s="348" t="s">
        <v>4762</v>
      </c>
      <c r="C306" s="348" t="s">
        <v>4460</v>
      </c>
      <c r="D306" s="348"/>
      <c r="E306" s="348"/>
      <c r="F306" s="348" t="s">
        <v>5809</v>
      </c>
      <c r="G306" s="348" t="s">
        <v>5815</v>
      </c>
      <c r="H306" s="349">
        <v>450.0</v>
      </c>
      <c r="I306" s="14" t="str">
        <f>IFERROR(__xludf.DUMMYFUNCTION("VLOOKUP($A306,IMPORTRANGE(""https://docs.google.com/spreadsheets/d/1u9GbdmgAEc9k6kHu3ZfH25nxRNstVbRmM2ai-cDl3lY/edit?gid=2020727688#gid=2020727688"", ""Form responses 1!$F:$T""),12,false)"),"#N/A")</f>
        <v>#N/A</v>
      </c>
    </row>
    <row r="307">
      <c r="A307" s="348" t="s">
        <v>4905</v>
      </c>
      <c r="B307" s="348" t="s">
        <v>4762</v>
      </c>
      <c r="C307" s="348" t="s">
        <v>5612</v>
      </c>
      <c r="D307" s="348"/>
      <c r="E307" s="348"/>
      <c r="F307" s="348" t="s">
        <v>5809</v>
      </c>
      <c r="G307" s="348" t="s">
        <v>5815</v>
      </c>
      <c r="H307" s="349">
        <v>1850.0</v>
      </c>
      <c r="I307" s="14" t="str">
        <f>IFERROR(__xludf.DUMMYFUNCTION("VLOOKUP($A307,IMPORTRANGE(""https://docs.google.com/spreadsheets/d/1u9GbdmgAEc9k6kHu3ZfH25nxRNstVbRmM2ai-cDl3lY/edit?gid=2020727688#gid=2020727688"", ""Form responses 1!$F:$T""),12,false)"),"#N/A")</f>
        <v>#N/A</v>
      </c>
    </row>
    <row r="308">
      <c r="A308" s="348" t="s">
        <v>4299</v>
      </c>
      <c r="B308" s="348" t="s">
        <v>4762</v>
      </c>
      <c r="C308" s="348" t="s">
        <v>4302</v>
      </c>
      <c r="D308" s="348"/>
      <c r="E308" s="348"/>
      <c r="F308" s="348" t="s">
        <v>5809</v>
      </c>
      <c r="G308" s="348" t="s">
        <v>5815</v>
      </c>
      <c r="H308" s="349">
        <v>1450.0</v>
      </c>
      <c r="I308" s="14" t="str">
        <f>IFERROR(__xludf.DUMMYFUNCTION("VLOOKUP($A308,IMPORTRANGE(""https://docs.google.com/spreadsheets/d/1u9GbdmgAEc9k6kHu3ZfH25nxRNstVbRmM2ai-cDl3lY/edit?gid=2020727688#gid=2020727688"", ""Form responses 1!$F:$T""),12,false)"),"#N/A")</f>
        <v>#N/A</v>
      </c>
    </row>
    <row r="309">
      <c r="A309" s="348" t="s">
        <v>4701</v>
      </c>
      <c r="B309" s="348" t="s">
        <v>4761</v>
      </c>
      <c r="C309" s="348" t="s">
        <v>5167</v>
      </c>
      <c r="D309" s="348"/>
      <c r="E309" s="348"/>
      <c r="F309" s="348" t="s">
        <v>5809</v>
      </c>
      <c r="G309" s="348" t="s">
        <v>5815</v>
      </c>
      <c r="H309" s="349">
        <v>2000.0</v>
      </c>
      <c r="I309" s="14" t="str">
        <f>IFERROR(__xludf.DUMMYFUNCTION("VLOOKUP($A309,IMPORTRANGE(""https://docs.google.com/spreadsheets/d/1u9GbdmgAEc9k6kHu3ZfH25nxRNstVbRmM2ai-cDl3lY/edit?gid=2020727688#gid=2020727688"", ""Form responses 1!$F:$T""),12,false)"),"#N/A")</f>
        <v>#N/A</v>
      </c>
    </row>
    <row r="310">
      <c r="A310" s="348" t="s">
        <v>4698</v>
      </c>
      <c r="B310" s="350"/>
      <c r="C310" s="350"/>
      <c r="D310" s="350"/>
      <c r="E310" s="350"/>
      <c r="F310" s="348" t="s">
        <v>5809</v>
      </c>
      <c r="G310" s="348" t="s">
        <v>5815</v>
      </c>
      <c r="H310" s="349">
        <v>1900.0</v>
      </c>
      <c r="I310" s="14" t="str">
        <f>IFERROR(__xludf.DUMMYFUNCTION("VLOOKUP($A310,IMPORTRANGE(""https://docs.google.com/spreadsheets/d/1u9GbdmgAEc9k6kHu3ZfH25nxRNstVbRmM2ai-cDl3lY/edit?gid=2020727688#gid=2020727688"", ""Form responses 1!$F:$T""),12,false)"),"#N/A")</f>
        <v>#N/A</v>
      </c>
    </row>
    <row r="311">
      <c r="I311" s="14"/>
    </row>
    <row r="312">
      <c r="I312" s="14"/>
    </row>
    <row r="313">
      <c r="I313" s="14"/>
    </row>
    <row r="314">
      <c r="I314" s="14"/>
    </row>
    <row r="315">
      <c r="I315" s="14"/>
    </row>
    <row r="316">
      <c r="I316" s="14"/>
    </row>
    <row r="317">
      <c r="I317" s="14"/>
    </row>
    <row r="318">
      <c r="I318" s="14"/>
    </row>
    <row r="319">
      <c r="I319" s="14"/>
    </row>
    <row r="320">
      <c r="I320" s="14"/>
    </row>
    <row r="321">
      <c r="I321" s="14"/>
    </row>
    <row r="322">
      <c r="I322" s="14"/>
    </row>
    <row r="323">
      <c r="I323" s="14"/>
    </row>
    <row r="324">
      <c r="I324" s="14"/>
    </row>
    <row r="325">
      <c r="I325" s="14"/>
    </row>
    <row r="326">
      <c r="I326" s="14"/>
    </row>
    <row r="327">
      <c r="I327" s="14"/>
    </row>
    <row r="328">
      <c r="I328" s="14"/>
    </row>
    <row r="329">
      <c r="I329" s="14"/>
    </row>
    <row r="330">
      <c r="I330" s="14"/>
    </row>
    <row r="331">
      <c r="I331" s="14"/>
    </row>
    <row r="332">
      <c r="I332" s="14"/>
    </row>
    <row r="333">
      <c r="I333" s="14"/>
    </row>
    <row r="334">
      <c r="I334" s="14"/>
    </row>
    <row r="335">
      <c r="I335" s="14"/>
    </row>
    <row r="336">
      <c r="I336" s="14"/>
    </row>
    <row r="337">
      <c r="I337" s="14"/>
    </row>
    <row r="338">
      <c r="I338" s="14"/>
    </row>
    <row r="339">
      <c r="I339" s="14"/>
    </row>
    <row r="340">
      <c r="I340" s="14"/>
    </row>
    <row r="341">
      <c r="I341" s="14"/>
    </row>
    <row r="342">
      <c r="I342" s="14"/>
    </row>
    <row r="343">
      <c r="I343" s="14"/>
    </row>
    <row r="344">
      <c r="I344" s="14"/>
    </row>
    <row r="345">
      <c r="I345" s="14"/>
    </row>
    <row r="346">
      <c r="I346" s="14"/>
    </row>
    <row r="347">
      <c r="I347" s="14"/>
    </row>
    <row r="348">
      <c r="I348" s="14"/>
    </row>
    <row r="349">
      <c r="I349" s="14"/>
    </row>
    <row r="350">
      <c r="I350" s="14"/>
    </row>
    <row r="351">
      <c r="I351" s="14"/>
    </row>
    <row r="352">
      <c r="I352" s="14"/>
    </row>
    <row r="353">
      <c r="I353" s="14"/>
    </row>
    <row r="354">
      <c r="I354" s="14"/>
    </row>
    <row r="355">
      <c r="I355" s="14"/>
    </row>
    <row r="356">
      <c r="I356" s="14"/>
    </row>
    <row r="357">
      <c r="I357" s="14"/>
    </row>
    <row r="358">
      <c r="I358" s="14"/>
    </row>
    <row r="359">
      <c r="I359" s="14"/>
    </row>
    <row r="360">
      <c r="I360" s="14"/>
    </row>
    <row r="361">
      <c r="I361" s="14"/>
    </row>
    <row r="362">
      <c r="I362" s="14"/>
    </row>
    <row r="363">
      <c r="I363" s="14"/>
    </row>
    <row r="364">
      <c r="I364" s="14"/>
    </row>
    <row r="365">
      <c r="I365" s="14"/>
    </row>
    <row r="366">
      <c r="I366" s="14"/>
    </row>
    <row r="367">
      <c r="I367" s="14"/>
    </row>
    <row r="368">
      <c r="I368" s="14"/>
    </row>
    <row r="369">
      <c r="I369" s="14"/>
    </row>
    <row r="370">
      <c r="I370" s="14"/>
    </row>
    <row r="371">
      <c r="I371" s="14"/>
    </row>
    <row r="372">
      <c r="I372" s="14"/>
    </row>
    <row r="373">
      <c r="I373" s="14"/>
    </row>
    <row r="374">
      <c r="I374" s="14"/>
    </row>
    <row r="375">
      <c r="I375" s="14"/>
    </row>
    <row r="376">
      <c r="I376" s="14"/>
    </row>
    <row r="377">
      <c r="I377" s="14"/>
    </row>
    <row r="378">
      <c r="I378" s="14"/>
    </row>
    <row r="379">
      <c r="I379" s="14"/>
    </row>
    <row r="380">
      <c r="I380" s="14"/>
    </row>
    <row r="381">
      <c r="I381" s="14"/>
    </row>
    <row r="382">
      <c r="I382" s="14"/>
    </row>
    <row r="383">
      <c r="I383" s="14"/>
    </row>
    <row r="384">
      <c r="I384" s="14"/>
    </row>
    <row r="385">
      <c r="I385" s="14"/>
    </row>
    <row r="386">
      <c r="I386" s="14"/>
    </row>
    <row r="387">
      <c r="I387" s="14"/>
    </row>
    <row r="388">
      <c r="I388" s="14"/>
    </row>
    <row r="389">
      <c r="I389" s="14"/>
    </row>
    <row r="390">
      <c r="I390" s="14"/>
    </row>
    <row r="391">
      <c r="I391" s="14"/>
    </row>
    <row r="392">
      <c r="I392" s="14"/>
    </row>
    <row r="393">
      <c r="I393" s="14"/>
    </row>
    <row r="394">
      <c r="I394" s="14"/>
    </row>
    <row r="395">
      <c r="I395" s="14"/>
    </row>
    <row r="396">
      <c r="I396" s="14"/>
    </row>
    <row r="397">
      <c r="I397" s="14"/>
    </row>
    <row r="398">
      <c r="I398" s="14"/>
    </row>
    <row r="399">
      <c r="I399" s="14"/>
    </row>
    <row r="400">
      <c r="I400" s="14"/>
    </row>
    <row r="401">
      <c r="I401" s="14"/>
    </row>
    <row r="402">
      <c r="I402" s="14"/>
    </row>
    <row r="403">
      <c r="I403" s="14"/>
    </row>
    <row r="404">
      <c r="I404" s="14"/>
    </row>
    <row r="405">
      <c r="I405" s="14"/>
    </row>
    <row r="406">
      <c r="I406" s="14"/>
    </row>
    <row r="407">
      <c r="I407" s="14"/>
    </row>
    <row r="408">
      <c r="I408" s="14"/>
    </row>
    <row r="409">
      <c r="I409" s="14"/>
    </row>
    <row r="410">
      <c r="I410" s="14"/>
    </row>
    <row r="411">
      <c r="I411" s="14"/>
    </row>
    <row r="412">
      <c r="I412" s="14"/>
    </row>
    <row r="413">
      <c r="I413" s="14"/>
    </row>
    <row r="414">
      <c r="I414" s="14"/>
    </row>
    <row r="415">
      <c r="I415" s="14"/>
    </row>
    <row r="416">
      <c r="I416" s="14"/>
    </row>
    <row r="417">
      <c r="I417" s="14"/>
    </row>
    <row r="418">
      <c r="I418" s="14"/>
    </row>
    <row r="419">
      <c r="I419" s="14"/>
    </row>
    <row r="420">
      <c r="I420" s="14"/>
    </row>
    <row r="421">
      <c r="I421" s="14"/>
    </row>
    <row r="422">
      <c r="I422" s="14"/>
    </row>
    <row r="423">
      <c r="I423" s="14"/>
    </row>
    <row r="424">
      <c r="I424" s="14"/>
    </row>
    <row r="425">
      <c r="I425" s="14"/>
    </row>
    <row r="426">
      <c r="I426" s="14"/>
    </row>
    <row r="427">
      <c r="I427" s="14"/>
    </row>
    <row r="428">
      <c r="I428" s="14"/>
    </row>
    <row r="429">
      <c r="I429" s="14"/>
    </row>
    <row r="430">
      <c r="I430" s="14"/>
    </row>
    <row r="431">
      <c r="I431" s="14"/>
    </row>
    <row r="432">
      <c r="I432" s="14"/>
    </row>
    <row r="433">
      <c r="I433" s="14"/>
    </row>
    <row r="434">
      <c r="I434" s="14"/>
    </row>
    <row r="435">
      <c r="I435" s="14"/>
    </row>
    <row r="436">
      <c r="I436" s="14"/>
    </row>
    <row r="437">
      <c r="I437" s="14"/>
    </row>
    <row r="438">
      <c r="I438" s="14"/>
    </row>
    <row r="439">
      <c r="I439" s="14"/>
    </row>
    <row r="440">
      <c r="I440" s="14"/>
    </row>
    <row r="441">
      <c r="I441" s="14"/>
    </row>
    <row r="442">
      <c r="I442" s="14"/>
    </row>
    <row r="443">
      <c r="I443" s="14"/>
    </row>
    <row r="444">
      <c r="I444" s="14"/>
    </row>
    <row r="445">
      <c r="I445" s="14"/>
    </row>
    <row r="446">
      <c r="I446" s="14"/>
    </row>
    <row r="447">
      <c r="I447" s="14"/>
    </row>
    <row r="448">
      <c r="I448" s="14"/>
    </row>
    <row r="449">
      <c r="I449" s="14"/>
    </row>
    <row r="450">
      <c r="I450" s="14"/>
    </row>
    <row r="451">
      <c r="I451" s="14"/>
    </row>
    <row r="452">
      <c r="I452" s="14"/>
    </row>
    <row r="453">
      <c r="I453" s="14"/>
    </row>
    <row r="454">
      <c r="I454" s="14"/>
    </row>
    <row r="455">
      <c r="I455" s="14"/>
    </row>
    <row r="456">
      <c r="I456" s="14"/>
    </row>
    <row r="457">
      <c r="I457" s="14"/>
    </row>
    <row r="458">
      <c r="I458" s="14"/>
    </row>
    <row r="459">
      <c r="I459" s="14"/>
    </row>
    <row r="460">
      <c r="I460" s="14"/>
    </row>
    <row r="461">
      <c r="I461" s="14"/>
    </row>
    <row r="462">
      <c r="I462" s="14"/>
    </row>
    <row r="463">
      <c r="I463" s="14"/>
    </row>
    <row r="464">
      <c r="I464" s="14"/>
    </row>
    <row r="465">
      <c r="I465" s="14"/>
    </row>
    <row r="466">
      <c r="I466" s="14"/>
    </row>
    <row r="467">
      <c r="I467" s="14"/>
    </row>
    <row r="468">
      <c r="I468" s="14"/>
    </row>
    <row r="469">
      <c r="I469" s="14"/>
    </row>
    <row r="470">
      <c r="I470" s="14"/>
    </row>
    <row r="471">
      <c r="I471" s="14"/>
    </row>
    <row r="472">
      <c r="I472" s="14"/>
    </row>
    <row r="473">
      <c r="I473" s="14"/>
    </row>
    <row r="474">
      <c r="I474" s="14"/>
    </row>
    <row r="475">
      <c r="I475" s="14"/>
    </row>
    <row r="476">
      <c r="I476" s="14"/>
    </row>
    <row r="477">
      <c r="I477" s="14"/>
    </row>
    <row r="478">
      <c r="I478" s="14"/>
    </row>
    <row r="479">
      <c r="I479" s="14"/>
    </row>
    <row r="480">
      <c r="I480" s="14"/>
    </row>
    <row r="481">
      <c r="I481" s="14"/>
    </row>
    <row r="482">
      <c r="I482" s="14"/>
    </row>
    <row r="483">
      <c r="I483" s="14"/>
    </row>
    <row r="484">
      <c r="I484" s="14"/>
    </row>
    <row r="485">
      <c r="I485" s="14"/>
    </row>
    <row r="486">
      <c r="I486" s="14"/>
    </row>
    <row r="487">
      <c r="I487" s="14"/>
    </row>
    <row r="488">
      <c r="I488" s="14"/>
    </row>
    <row r="489">
      <c r="I489" s="14"/>
    </row>
    <row r="490">
      <c r="I490" s="14"/>
    </row>
    <row r="491">
      <c r="I491" s="14"/>
    </row>
    <row r="492">
      <c r="I492" s="14"/>
    </row>
    <row r="493">
      <c r="I493" s="14"/>
    </row>
    <row r="494">
      <c r="I494" s="14"/>
    </row>
    <row r="495">
      <c r="I495" s="14"/>
    </row>
    <row r="496">
      <c r="I496" s="14"/>
    </row>
    <row r="497">
      <c r="I497" s="14"/>
    </row>
    <row r="498">
      <c r="I498" s="14"/>
    </row>
    <row r="499">
      <c r="I499" s="14"/>
    </row>
    <row r="500">
      <c r="I500" s="14"/>
    </row>
    <row r="501">
      <c r="I501" s="14"/>
    </row>
    <row r="502">
      <c r="I502" s="14"/>
    </row>
    <row r="503">
      <c r="I503" s="14"/>
    </row>
    <row r="504">
      <c r="I504" s="14"/>
    </row>
    <row r="505">
      <c r="I505" s="14"/>
    </row>
    <row r="506">
      <c r="I506" s="14"/>
    </row>
    <row r="507">
      <c r="I507" s="14"/>
    </row>
    <row r="508">
      <c r="I508" s="14"/>
    </row>
    <row r="509">
      <c r="I509" s="14"/>
    </row>
    <row r="510">
      <c r="I510" s="14"/>
    </row>
    <row r="511">
      <c r="I511" s="14"/>
    </row>
    <row r="512">
      <c r="I512" s="14"/>
    </row>
    <row r="513">
      <c r="I513" s="14"/>
    </row>
    <row r="514">
      <c r="I514" s="14"/>
    </row>
    <row r="515">
      <c r="I515" s="14"/>
    </row>
    <row r="516">
      <c r="I516" s="14"/>
    </row>
    <row r="517">
      <c r="I517" s="14"/>
    </row>
    <row r="518">
      <c r="I518" s="14"/>
    </row>
    <row r="519">
      <c r="I519" s="14"/>
    </row>
    <row r="520">
      <c r="I520" s="14"/>
    </row>
    <row r="521">
      <c r="I521" s="14"/>
    </row>
    <row r="522">
      <c r="I522" s="14"/>
    </row>
    <row r="523">
      <c r="I523" s="14"/>
    </row>
    <row r="524">
      <c r="I524" s="14"/>
    </row>
    <row r="525">
      <c r="I525" s="14"/>
    </row>
    <row r="526">
      <c r="I526" s="14"/>
    </row>
    <row r="527">
      <c r="I527" s="14"/>
    </row>
    <row r="528">
      <c r="I528" s="14"/>
    </row>
    <row r="529">
      <c r="I529" s="14"/>
    </row>
    <row r="530">
      <c r="I530" s="14"/>
    </row>
    <row r="531">
      <c r="I531" s="14"/>
    </row>
    <row r="532">
      <c r="I532" s="14"/>
    </row>
    <row r="533">
      <c r="I533" s="14"/>
    </row>
    <row r="534">
      <c r="I534" s="14"/>
    </row>
    <row r="535">
      <c r="I535" s="14"/>
    </row>
    <row r="536">
      <c r="I536" s="14"/>
    </row>
    <row r="537">
      <c r="I537" s="14"/>
    </row>
    <row r="538">
      <c r="I538" s="14"/>
    </row>
    <row r="539">
      <c r="I539" s="14"/>
    </row>
    <row r="540">
      <c r="I540" s="14"/>
    </row>
    <row r="541">
      <c r="I541" s="14"/>
    </row>
    <row r="542">
      <c r="I542" s="14"/>
    </row>
    <row r="543">
      <c r="I543" s="14"/>
    </row>
    <row r="544">
      <c r="I544" s="14"/>
    </row>
    <row r="545">
      <c r="I545" s="14"/>
    </row>
    <row r="546">
      <c r="I546" s="14"/>
    </row>
    <row r="547">
      <c r="I547" s="14"/>
    </row>
    <row r="548">
      <c r="I548" s="14"/>
    </row>
    <row r="549">
      <c r="I549" s="14"/>
    </row>
    <row r="550">
      <c r="I550" s="14"/>
    </row>
    <row r="551">
      <c r="I551" s="14"/>
    </row>
    <row r="552">
      <c r="I552" s="14"/>
    </row>
    <row r="553">
      <c r="I553" s="14"/>
    </row>
    <row r="554">
      <c r="I554" s="14"/>
    </row>
    <row r="555">
      <c r="I555" s="14"/>
    </row>
    <row r="556">
      <c r="I556" s="14"/>
    </row>
    <row r="557">
      <c r="I557" s="14"/>
    </row>
    <row r="558">
      <c r="I558" s="14"/>
    </row>
    <row r="559">
      <c r="I559" s="14"/>
    </row>
    <row r="560">
      <c r="I560" s="14"/>
    </row>
    <row r="561">
      <c r="I561" s="14"/>
    </row>
    <row r="562">
      <c r="I562" s="14"/>
    </row>
    <row r="563">
      <c r="I563" s="14"/>
    </row>
    <row r="564">
      <c r="I564" s="14"/>
    </row>
    <row r="565">
      <c r="I565" s="14"/>
    </row>
    <row r="566">
      <c r="I566" s="14"/>
    </row>
    <row r="567">
      <c r="I567" s="14"/>
    </row>
    <row r="568">
      <c r="I568" s="14"/>
    </row>
    <row r="569">
      <c r="I569" s="14"/>
    </row>
    <row r="570">
      <c r="I570" s="14"/>
    </row>
    <row r="571">
      <c r="I571" s="14"/>
    </row>
    <row r="572">
      <c r="I572" s="14"/>
    </row>
    <row r="573">
      <c r="I573" s="14"/>
    </row>
    <row r="574">
      <c r="I574" s="14"/>
    </row>
    <row r="575">
      <c r="I575" s="14"/>
    </row>
    <row r="576">
      <c r="I576" s="14"/>
    </row>
    <row r="577">
      <c r="I577" s="14"/>
    </row>
    <row r="578">
      <c r="I578" s="14"/>
    </row>
    <row r="579">
      <c r="I579" s="14"/>
    </row>
    <row r="580">
      <c r="I580" s="14"/>
    </row>
    <row r="581">
      <c r="I581" s="14"/>
    </row>
    <row r="582">
      <c r="I582" s="14"/>
    </row>
    <row r="583">
      <c r="I583" s="14"/>
    </row>
    <row r="584">
      <c r="I584" s="14"/>
    </row>
    <row r="585">
      <c r="I585" s="14"/>
    </row>
    <row r="586">
      <c r="I586" s="14"/>
    </row>
    <row r="587">
      <c r="I587" s="14"/>
    </row>
    <row r="588">
      <c r="I588" s="14"/>
    </row>
    <row r="589">
      <c r="I589" s="14"/>
    </row>
    <row r="590">
      <c r="I590" s="14"/>
    </row>
    <row r="591">
      <c r="I591" s="14"/>
    </row>
    <row r="592">
      <c r="I592" s="14"/>
    </row>
    <row r="593">
      <c r="I593" s="14"/>
    </row>
    <row r="594">
      <c r="I594" s="14"/>
    </row>
    <row r="595">
      <c r="I595" s="14"/>
    </row>
    <row r="596">
      <c r="I596" s="14"/>
    </row>
    <row r="597">
      <c r="I597" s="14"/>
    </row>
    <row r="598">
      <c r="I598" s="14"/>
    </row>
    <row r="599">
      <c r="I599" s="14"/>
    </row>
    <row r="600">
      <c r="I600" s="14"/>
    </row>
    <row r="601">
      <c r="I601" s="14"/>
    </row>
    <row r="602">
      <c r="I602" s="14"/>
    </row>
    <row r="603">
      <c r="I603" s="14"/>
    </row>
    <row r="604">
      <c r="I604" s="14"/>
    </row>
    <row r="605">
      <c r="I605" s="14"/>
    </row>
    <row r="606">
      <c r="I606" s="14"/>
    </row>
    <row r="607">
      <c r="I607" s="14"/>
    </row>
    <row r="608">
      <c r="I608" s="14"/>
    </row>
    <row r="609">
      <c r="I609" s="14"/>
    </row>
    <row r="610">
      <c r="I610" s="14"/>
    </row>
    <row r="611">
      <c r="I611" s="14"/>
    </row>
    <row r="612">
      <c r="I612" s="14"/>
    </row>
    <row r="613">
      <c r="I613" s="14"/>
    </row>
    <row r="614">
      <c r="I614" s="14"/>
    </row>
    <row r="615">
      <c r="I615" s="14"/>
    </row>
    <row r="616">
      <c r="I616" s="14"/>
    </row>
    <row r="617">
      <c r="I617" s="14"/>
    </row>
    <row r="618">
      <c r="I618" s="14"/>
    </row>
    <row r="619">
      <c r="I619" s="14"/>
    </row>
    <row r="620">
      <c r="I620" s="14"/>
    </row>
    <row r="621">
      <c r="I621" s="14"/>
    </row>
    <row r="622">
      <c r="I622" s="14"/>
    </row>
    <row r="623">
      <c r="I623" s="14"/>
    </row>
    <row r="624">
      <c r="I624" s="14"/>
    </row>
    <row r="625">
      <c r="I625" s="14"/>
    </row>
    <row r="626">
      <c r="I626" s="14"/>
    </row>
    <row r="627">
      <c r="I627" s="14"/>
    </row>
    <row r="628">
      <c r="I628" s="14"/>
    </row>
    <row r="629">
      <c r="I629" s="14"/>
    </row>
    <row r="630">
      <c r="I630" s="14"/>
    </row>
    <row r="631">
      <c r="I631" s="14"/>
    </row>
    <row r="632">
      <c r="I632" s="14"/>
    </row>
    <row r="633">
      <c r="I633" s="14"/>
    </row>
    <row r="634">
      <c r="I634" s="14"/>
    </row>
    <row r="635">
      <c r="I635" s="14"/>
    </row>
    <row r="636">
      <c r="I636" s="14"/>
    </row>
    <row r="637">
      <c r="I637" s="14"/>
    </row>
    <row r="638">
      <c r="I638" s="14"/>
    </row>
    <row r="639">
      <c r="I639" s="14"/>
    </row>
    <row r="640">
      <c r="I640" s="14"/>
    </row>
    <row r="641">
      <c r="I641" s="14"/>
    </row>
    <row r="642">
      <c r="I642" s="14"/>
    </row>
    <row r="643">
      <c r="I643" s="14"/>
    </row>
    <row r="644">
      <c r="I644" s="14"/>
    </row>
    <row r="645">
      <c r="I645" s="14"/>
    </row>
    <row r="646">
      <c r="I646" s="14"/>
    </row>
    <row r="647">
      <c r="I647" s="14"/>
    </row>
    <row r="648">
      <c r="I648" s="14"/>
    </row>
    <row r="649">
      <c r="I649" s="14"/>
    </row>
    <row r="650">
      <c r="I650" s="14"/>
    </row>
    <row r="651">
      <c r="I651" s="14"/>
    </row>
    <row r="652">
      <c r="I652" s="14"/>
    </row>
    <row r="653">
      <c r="I653" s="14"/>
    </row>
    <row r="654">
      <c r="I654" s="14"/>
    </row>
    <row r="655">
      <c r="I655" s="14"/>
    </row>
    <row r="656">
      <c r="I656" s="14"/>
    </row>
    <row r="657">
      <c r="I657" s="14"/>
    </row>
    <row r="658">
      <c r="I658" s="14"/>
    </row>
    <row r="659">
      <c r="I659" s="14"/>
    </row>
    <row r="660">
      <c r="I660" s="14"/>
    </row>
    <row r="661">
      <c r="I661" s="14"/>
    </row>
    <row r="662">
      <c r="I662" s="14"/>
    </row>
    <row r="663">
      <c r="I663" s="14"/>
    </row>
    <row r="664">
      <c r="I664" s="14"/>
    </row>
    <row r="665">
      <c r="I665" s="14"/>
    </row>
    <row r="666">
      <c r="I666" s="14"/>
    </row>
    <row r="667">
      <c r="I667" s="14"/>
    </row>
    <row r="668">
      <c r="I668" s="14"/>
    </row>
    <row r="669">
      <c r="I669" s="14"/>
    </row>
    <row r="670">
      <c r="I670" s="14"/>
    </row>
    <row r="671">
      <c r="I671" s="14"/>
    </row>
    <row r="672">
      <c r="I672" s="14"/>
    </row>
    <row r="673">
      <c r="I673" s="14"/>
    </row>
    <row r="674">
      <c r="I674" s="14"/>
    </row>
    <row r="675">
      <c r="I675" s="14"/>
    </row>
    <row r="676">
      <c r="I676" s="14"/>
    </row>
    <row r="677">
      <c r="I677" s="14"/>
    </row>
    <row r="678">
      <c r="I678" s="14"/>
    </row>
    <row r="679">
      <c r="I679" s="14"/>
    </row>
    <row r="680">
      <c r="I680" s="14"/>
    </row>
    <row r="681">
      <c r="I681" s="14"/>
    </row>
    <row r="682">
      <c r="I682" s="14"/>
    </row>
    <row r="683">
      <c r="I683" s="14"/>
    </row>
    <row r="684">
      <c r="I684" s="14"/>
    </row>
    <row r="685">
      <c r="I685" s="14"/>
    </row>
    <row r="686">
      <c r="I686" s="14"/>
    </row>
    <row r="687">
      <c r="I687" s="14"/>
    </row>
    <row r="688">
      <c r="I688" s="14"/>
    </row>
    <row r="689">
      <c r="I689" s="14"/>
    </row>
    <row r="690">
      <c r="I690" s="14"/>
    </row>
    <row r="691">
      <c r="I691" s="14"/>
    </row>
    <row r="692">
      <c r="I692" s="14"/>
    </row>
    <row r="693">
      <c r="I693" s="14"/>
    </row>
    <row r="694">
      <c r="I694" s="14"/>
    </row>
    <row r="695">
      <c r="I695" s="14"/>
    </row>
    <row r="696">
      <c r="I696" s="14"/>
    </row>
    <row r="697">
      <c r="I697" s="14"/>
    </row>
    <row r="698">
      <c r="I698" s="14"/>
    </row>
    <row r="699">
      <c r="I699" s="14"/>
    </row>
    <row r="700">
      <c r="I700" s="14"/>
    </row>
    <row r="701">
      <c r="I701" s="14"/>
    </row>
    <row r="702">
      <c r="I702" s="14"/>
    </row>
    <row r="703">
      <c r="I703" s="14"/>
    </row>
    <row r="704">
      <c r="I704" s="14"/>
    </row>
    <row r="705">
      <c r="I705" s="14"/>
    </row>
    <row r="706">
      <c r="I706" s="14"/>
    </row>
    <row r="707">
      <c r="I707" s="14"/>
    </row>
    <row r="708">
      <c r="I708" s="14"/>
    </row>
    <row r="709">
      <c r="I709" s="14"/>
    </row>
    <row r="710">
      <c r="I710" s="14"/>
    </row>
    <row r="711">
      <c r="I711" s="14"/>
    </row>
    <row r="712">
      <c r="I712" s="14"/>
    </row>
    <row r="713">
      <c r="I713" s="14"/>
    </row>
    <row r="714">
      <c r="I714" s="14"/>
    </row>
    <row r="715">
      <c r="I715" s="14"/>
    </row>
    <row r="716">
      <c r="I716" s="14"/>
    </row>
    <row r="717">
      <c r="I717" s="14"/>
    </row>
    <row r="718">
      <c r="I718" s="14"/>
    </row>
    <row r="719">
      <c r="I719" s="14"/>
    </row>
    <row r="720">
      <c r="I720" s="14"/>
    </row>
    <row r="721">
      <c r="I721" s="14"/>
    </row>
    <row r="722">
      <c r="I722" s="14"/>
    </row>
    <row r="723">
      <c r="I723" s="14"/>
    </row>
    <row r="724">
      <c r="I724" s="14"/>
    </row>
    <row r="725">
      <c r="I725" s="14"/>
    </row>
    <row r="726">
      <c r="I726" s="14"/>
    </row>
    <row r="727">
      <c r="I727" s="14"/>
    </row>
    <row r="728">
      <c r="I728" s="14"/>
    </row>
    <row r="729">
      <c r="I729" s="14"/>
    </row>
    <row r="730">
      <c r="I730" s="14"/>
    </row>
    <row r="731">
      <c r="I731" s="14"/>
    </row>
    <row r="732">
      <c r="I732" s="14"/>
    </row>
    <row r="733">
      <c r="I733" s="14"/>
    </row>
    <row r="734">
      <c r="I734" s="14"/>
    </row>
    <row r="735">
      <c r="I735" s="14"/>
    </row>
    <row r="736">
      <c r="I736" s="14"/>
    </row>
    <row r="737">
      <c r="I737" s="14"/>
    </row>
    <row r="738">
      <c r="I738" s="14"/>
    </row>
    <row r="739">
      <c r="I739" s="14"/>
    </row>
    <row r="740">
      <c r="I740" s="14"/>
    </row>
    <row r="741">
      <c r="I741" s="14"/>
    </row>
    <row r="742">
      <c r="I742" s="14"/>
    </row>
    <row r="743">
      <c r="I743" s="14"/>
    </row>
    <row r="744">
      <c r="I744" s="14"/>
    </row>
    <row r="745">
      <c r="I745" s="14"/>
    </row>
    <row r="746">
      <c r="I746" s="14"/>
    </row>
    <row r="747">
      <c r="I747" s="14"/>
    </row>
    <row r="748">
      <c r="I748" s="14"/>
    </row>
    <row r="749">
      <c r="I749" s="14"/>
    </row>
    <row r="750">
      <c r="I750" s="14"/>
    </row>
    <row r="751">
      <c r="I751" s="14"/>
    </row>
    <row r="752">
      <c r="I752" s="14"/>
    </row>
    <row r="753">
      <c r="I753" s="14"/>
    </row>
    <row r="754">
      <c r="I754" s="14"/>
    </row>
    <row r="755">
      <c r="I755" s="14"/>
    </row>
    <row r="756">
      <c r="I756" s="14"/>
    </row>
    <row r="757">
      <c r="I757" s="14"/>
    </row>
    <row r="758">
      <c r="I758" s="14"/>
    </row>
    <row r="759">
      <c r="I759" s="14"/>
    </row>
    <row r="760">
      <c r="I760" s="14"/>
    </row>
    <row r="761">
      <c r="I761" s="14"/>
    </row>
    <row r="762">
      <c r="I762" s="14"/>
    </row>
    <row r="763">
      <c r="I763" s="14"/>
    </row>
    <row r="764">
      <c r="I764" s="14"/>
    </row>
    <row r="765">
      <c r="I765" s="14"/>
    </row>
    <row r="766">
      <c r="I766" s="14"/>
    </row>
    <row r="767">
      <c r="I767" s="14"/>
    </row>
    <row r="768">
      <c r="I768" s="14"/>
    </row>
    <row r="769">
      <c r="I769" s="14"/>
    </row>
    <row r="770">
      <c r="I770" s="14"/>
    </row>
    <row r="771">
      <c r="I771" s="14"/>
    </row>
    <row r="772">
      <c r="I772" s="14"/>
    </row>
    <row r="773">
      <c r="I773" s="14"/>
    </row>
    <row r="774">
      <c r="I774" s="14"/>
    </row>
    <row r="775">
      <c r="I775" s="14"/>
    </row>
    <row r="776">
      <c r="I776" s="14"/>
    </row>
    <row r="777">
      <c r="I777" s="14"/>
    </row>
    <row r="778">
      <c r="I778" s="14"/>
    </row>
    <row r="779">
      <c r="I779" s="14"/>
    </row>
    <row r="780">
      <c r="I780" s="14"/>
    </row>
    <row r="781">
      <c r="I781" s="14"/>
    </row>
    <row r="782">
      <c r="I782" s="14"/>
    </row>
    <row r="783">
      <c r="I783" s="14"/>
    </row>
    <row r="784">
      <c r="I784" s="14"/>
    </row>
    <row r="785">
      <c r="I785" s="14"/>
    </row>
    <row r="786">
      <c r="I786" s="14"/>
    </row>
    <row r="787">
      <c r="I787" s="14"/>
    </row>
    <row r="788">
      <c r="I788" s="14"/>
    </row>
    <row r="789">
      <c r="I789" s="14"/>
    </row>
    <row r="790">
      <c r="I790" s="14"/>
    </row>
    <row r="791">
      <c r="I791" s="14"/>
    </row>
    <row r="792">
      <c r="I792" s="14"/>
    </row>
    <row r="793">
      <c r="I793" s="14"/>
    </row>
    <row r="794">
      <c r="I794" s="14"/>
    </row>
    <row r="795">
      <c r="I795" s="14"/>
    </row>
    <row r="796">
      <c r="I796" s="14"/>
    </row>
    <row r="797">
      <c r="I797" s="14"/>
    </row>
    <row r="798">
      <c r="I798" s="14"/>
    </row>
    <row r="799">
      <c r="I799" s="14"/>
    </row>
    <row r="800">
      <c r="I800" s="14"/>
    </row>
    <row r="801">
      <c r="I801" s="14"/>
    </row>
    <row r="802">
      <c r="I802" s="14"/>
    </row>
    <row r="803">
      <c r="I803" s="14"/>
    </row>
    <row r="804">
      <c r="I804" s="14"/>
    </row>
    <row r="805">
      <c r="I805" s="14"/>
    </row>
    <row r="806">
      <c r="I806" s="14"/>
    </row>
    <row r="807">
      <c r="I807" s="14"/>
    </row>
    <row r="808">
      <c r="I808" s="14"/>
    </row>
    <row r="809">
      <c r="I809" s="14"/>
    </row>
    <row r="810">
      <c r="I810" s="14"/>
    </row>
    <row r="811">
      <c r="I811" s="14"/>
    </row>
    <row r="812">
      <c r="I812" s="14"/>
    </row>
    <row r="813">
      <c r="I813" s="14"/>
    </row>
    <row r="814">
      <c r="I814" s="14"/>
    </row>
    <row r="815">
      <c r="I815" s="14"/>
    </row>
    <row r="816">
      <c r="I816" s="14"/>
    </row>
    <row r="817">
      <c r="I817" s="14"/>
    </row>
    <row r="818">
      <c r="I818" s="14"/>
    </row>
    <row r="819">
      <c r="I819" s="14"/>
    </row>
    <row r="820">
      <c r="I820" s="14"/>
    </row>
    <row r="821">
      <c r="I821" s="14"/>
    </row>
    <row r="822">
      <c r="I822" s="14"/>
    </row>
    <row r="823">
      <c r="I823" s="14"/>
    </row>
    <row r="824">
      <c r="I824" s="14"/>
    </row>
    <row r="825">
      <c r="I825" s="14"/>
    </row>
    <row r="826">
      <c r="I826" s="14"/>
    </row>
    <row r="827">
      <c r="I827" s="14"/>
    </row>
    <row r="828">
      <c r="I828" s="14"/>
    </row>
    <row r="829">
      <c r="I829" s="14"/>
    </row>
    <row r="830">
      <c r="I830" s="14"/>
    </row>
    <row r="831">
      <c r="I831" s="14"/>
    </row>
    <row r="832">
      <c r="I832" s="14"/>
    </row>
    <row r="833">
      <c r="I833" s="14"/>
    </row>
    <row r="834">
      <c r="I834" s="14"/>
    </row>
    <row r="835">
      <c r="I835" s="14"/>
    </row>
    <row r="836">
      <c r="I836" s="14"/>
    </row>
    <row r="837">
      <c r="I837" s="14"/>
    </row>
    <row r="838">
      <c r="I838" s="14"/>
    </row>
    <row r="839">
      <c r="I839" s="14"/>
    </row>
    <row r="840">
      <c r="I840" s="14"/>
    </row>
    <row r="841">
      <c r="I841" s="14"/>
    </row>
    <row r="842">
      <c r="I842" s="14"/>
    </row>
    <row r="843">
      <c r="I843" s="14"/>
    </row>
    <row r="844">
      <c r="I844" s="14"/>
    </row>
    <row r="845">
      <c r="I845" s="14"/>
    </row>
    <row r="846">
      <c r="I846" s="14"/>
    </row>
    <row r="847">
      <c r="I847" s="14"/>
    </row>
    <row r="848">
      <c r="I848" s="14"/>
    </row>
    <row r="849">
      <c r="I849" s="14"/>
    </row>
    <row r="850">
      <c r="I850" s="14"/>
    </row>
    <row r="851">
      <c r="I851" s="14"/>
    </row>
    <row r="852">
      <c r="I852" s="14"/>
    </row>
    <row r="853">
      <c r="I853" s="14"/>
    </row>
    <row r="854">
      <c r="I854" s="14"/>
    </row>
    <row r="855">
      <c r="I855" s="14"/>
    </row>
    <row r="856">
      <c r="I856" s="14"/>
    </row>
    <row r="857">
      <c r="I857" s="14"/>
    </row>
    <row r="858">
      <c r="I858" s="14"/>
    </row>
    <row r="859">
      <c r="I859" s="14"/>
    </row>
    <row r="860">
      <c r="I860" s="14"/>
    </row>
    <row r="861">
      <c r="I861" s="14"/>
    </row>
    <row r="862">
      <c r="I862" s="14"/>
    </row>
    <row r="863">
      <c r="I863" s="14"/>
    </row>
    <row r="864">
      <c r="I864" s="14"/>
    </row>
    <row r="865">
      <c r="I865" s="14"/>
    </row>
    <row r="866">
      <c r="I866" s="14"/>
    </row>
    <row r="867">
      <c r="I867" s="14"/>
    </row>
    <row r="868">
      <c r="I868" s="14"/>
    </row>
    <row r="869">
      <c r="I869" s="14"/>
    </row>
    <row r="870">
      <c r="I870" s="14"/>
    </row>
    <row r="871">
      <c r="I871" s="14"/>
    </row>
    <row r="872">
      <c r="I872" s="14"/>
    </row>
    <row r="873">
      <c r="I873" s="14"/>
    </row>
    <row r="874">
      <c r="I874" s="14"/>
    </row>
    <row r="875">
      <c r="I875" s="14"/>
    </row>
    <row r="876">
      <c r="I876" s="14"/>
    </row>
    <row r="877">
      <c r="I877" s="14"/>
    </row>
    <row r="878">
      <c r="I878" s="14"/>
    </row>
    <row r="879">
      <c r="I879" s="14"/>
    </row>
    <row r="880">
      <c r="I880" s="14"/>
    </row>
    <row r="881">
      <c r="I881" s="14"/>
    </row>
    <row r="882">
      <c r="I882" s="14"/>
    </row>
    <row r="883">
      <c r="I883" s="14"/>
    </row>
    <row r="884">
      <c r="I884" s="14"/>
    </row>
    <row r="885">
      <c r="I885" s="14"/>
    </row>
    <row r="886">
      <c r="I886" s="14"/>
    </row>
    <row r="887">
      <c r="I887" s="14"/>
    </row>
    <row r="888">
      <c r="I888" s="14"/>
    </row>
    <row r="889">
      <c r="I889" s="14"/>
    </row>
    <row r="890">
      <c r="I890" s="14"/>
    </row>
    <row r="891">
      <c r="I891" s="14"/>
    </row>
    <row r="892">
      <c r="I892" s="14"/>
    </row>
    <row r="893">
      <c r="I893" s="14"/>
    </row>
    <row r="894">
      <c r="I894" s="14"/>
    </row>
    <row r="895">
      <c r="I895" s="14"/>
    </row>
    <row r="896">
      <c r="I896" s="14"/>
    </row>
    <row r="897">
      <c r="I897" s="14"/>
    </row>
    <row r="898">
      <c r="I898" s="14"/>
    </row>
    <row r="899">
      <c r="I899" s="14"/>
    </row>
    <row r="900">
      <c r="I900" s="14"/>
    </row>
    <row r="901">
      <c r="I901" s="14"/>
    </row>
    <row r="902">
      <c r="I902" s="14"/>
    </row>
    <row r="903">
      <c r="I903" s="14"/>
    </row>
    <row r="904">
      <c r="I904" s="14"/>
    </row>
    <row r="905">
      <c r="I905" s="14"/>
    </row>
    <row r="906">
      <c r="I906" s="14"/>
    </row>
    <row r="907">
      <c r="I907" s="14"/>
    </row>
    <row r="908">
      <c r="I908" s="14"/>
    </row>
    <row r="909">
      <c r="I909" s="14"/>
    </row>
    <row r="910">
      <c r="I910" s="14"/>
    </row>
    <row r="911">
      <c r="I911" s="14"/>
    </row>
    <row r="912">
      <c r="I912" s="14"/>
    </row>
    <row r="913">
      <c r="I913" s="14"/>
    </row>
    <row r="914">
      <c r="I914" s="14"/>
    </row>
    <row r="915">
      <c r="I915" s="14"/>
    </row>
    <row r="916">
      <c r="I916" s="14"/>
    </row>
    <row r="917">
      <c r="I917" s="14"/>
    </row>
    <row r="918">
      <c r="I918" s="14"/>
    </row>
    <row r="919">
      <c r="I919" s="14"/>
    </row>
    <row r="920">
      <c r="I920" s="14"/>
    </row>
    <row r="921">
      <c r="I921" s="14"/>
    </row>
    <row r="922">
      <c r="I922" s="14"/>
    </row>
    <row r="923">
      <c r="I923" s="14"/>
    </row>
    <row r="924">
      <c r="I924" s="14"/>
    </row>
    <row r="925">
      <c r="I925" s="14"/>
    </row>
    <row r="926">
      <c r="I926" s="14"/>
    </row>
    <row r="927">
      <c r="I927" s="14"/>
    </row>
    <row r="928">
      <c r="I928" s="14"/>
    </row>
    <row r="929">
      <c r="I929" s="14"/>
    </row>
    <row r="930">
      <c r="I930" s="14"/>
    </row>
    <row r="931">
      <c r="I931" s="14"/>
    </row>
    <row r="932">
      <c r="I932" s="14"/>
    </row>
    <row r="933">
      <c r="I933" s="14"/>
    </row>
    <row r="934">
      <c r="I934" s="14"/>
    </row>
    <row r="935">
      <c r="I935" s="14"/>
    </row>
    <row r="936">
      <c r="I936" s="14"/>
    </row>
    <row r="937">
      <c r="I937" s="14"/>
    </row>
    <row r="938">
      <c r="I938" s="14"/>
    </row>
    <row r="939">
      <c r="I939" s="14"/>
    </row>
    <row r="940">
      <c r="I940" s="14"/>
    </row>
    <row r="941">
      <c r="I941" s="14"/>
    </row>
    <row r="942">
      <c r="I942" s="14"/>
    </row>
    <row r="943">
      <c r="I943" s="14"/>
    </row>
    <row r="944">
      <c r="I944" s="14"/>
    </row>
    <row r="945">
      <c r="I945" s="14"/>
    </row>
    <row r="946">
      <c r="I946" s="14"/>
    </row>
    <row r="947">
      <c r="I947" s="14"/>
    </row>
    <row r="948">
      <c r="I948" s="14"/>
    </row>
    <row r="949">
      <c r="I949" s="14"/>
    </row>
    <row r="950">
      <c r="I950" s="14"/>
    </row>
    <row r="951">
      <c r="I951" s="14"/>
    </row>
    <row r="952">
      <c r="I952" s="14"/>
    </row>
    <row r="953">
      <c r="I953" s="14"/>
    </row>
    <row r="954">
      <c r="I954" s="14"/>
    </row>
    <row r="955">
      <c r="I955" s="14"/>
    </row>
    <row r="956">
      <c r="I956" s="14"/>
    </row>
    <row r="957">
      <c r="I957" s="14"/>
    </row>
    <row r="958">
      <c r="I958" s="14"/>
    </row>
    <row r="959">
      <c r="I959" s="14"/>
    </row>
    <row r="960">
      <c r="I960" s="14"/>
    </row>
    <row r="961">
      <c r="I961" s="14"/>
    </row>
    <row r="962">
      <c r="I962" s="14"/>
    </row>
    <row r="963">
      <c r="I963" s="14"/>
    </row>
    <row r="964">
      <c r="I964" s="14"/>
    </row>
    <row r="965">
      <c r="I965" s="14"/>
    </row>
    <row r="966">
      <c r="I966" s="14"/>
    </row>
    <row r="967">
      <c r="I967" s="14"/>
    </row>
    <row r="968">
      <c r="I968" s="14"/>
    </row>
    <row r="969">
      <c r="I969" s="14"/>
    </row>
    <row r="970">
      <c r="I970" s="14"/>
    </row>
    <row r="971">
      <c r="I971" s="14"/>
    </row>
    <row r="972">
      <c r="I972" s="14"/>
    </row>
    <row r="973">
      <c r="I973" s="14"/>
    </row>
    <row r="974">
      <c r="I974" s="14"/>
    </row>
    <row r="975">
      <c r="I975" s="14"/>
    </row>
    <row r="976">
      <c r="I976" s="14"/>
    </row>
    <row r="977">
      <c r="I977" s="14"/>
    </row>
    <row r="978">
      <c r="I978" s="14"/>
    </row>
    <row r="979">
      <c r="I979" s="14"/>
    </row>
    <row r="980">
      <c r="I980" s="14"/>
    </row>
    <row r="981">
      <c r="I981" s="14"/>
    </row>
    <row r="982">
      <c r="I982" s="14"/>
    </row>
    <row r="983">
      <c r="I983" s="14"/>
    </row>
    <row r="984">
      <c r="I984" s="14"/>
    </row>
    <row r="985">
      <c r="I985" s="14"/>
    </row>
    <row r="986">
      <c r="I986" s="14"/>
    </row>
    <row r="987">
      <c r="I987" s="14"/>
    </row>
    <row r="988">
      <c r="I988" s="14"/>
    </row>
    <row r="989">
      <c r="I989" s="14"/>
    </row>
    <row r="990">
      <c r="I990" s="14"/>
    </row>
    <row r="991">
      <c r="I991" s="14"/>
    </row>
    <row r="992">
      <c r="I992" s="14"/>
    </row>
    <row r="993">
      <c r="I993" s="14"/>
    </row>
    <row r="994">
      <c r="I994" s="14"/>
    </row>
    <row r="995">
      <c r="I995" s="14"/>
    </row>
    <row r="996">
      <c r="I996" s="14"/>
    </row>
    <row r="997">
      <c r="I997" s="14"/>
    </row>
    <row r="998">
      <c r="I998" s="14"/>
    </row>
    <row r="999">
      <c r="I999" s="14"/>
    </row>
    <row r="1000">
      <c r="I1000" s="14"/>
    </row>
  </sheetData>
  <autoFilter ref="$A$1:$I$31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3.63"/>
    <col customWidth="1" min="3" max="3" width="64.25"/>
    <col customWidth="1" min="4" max="4" width="8.63"/>
    <col customWidth="1" min="5" max="5" width="17.38"/>
    <col customWidth="1" min="6" max="6" width="19.5"/>
    <col customWidth="1" min="8" max="8" width="18.5"/>
    <col customWidth="1" min="9" max="9" width="17.0"/>
    <col customWidth="1" min="10" max="10" width="17.5"/>
  </cols>
  <sheetData>
    <row r="1">
      <c r="A1" s="351" t="s">
        <v>5800</v>
      </c>
      <c r="B1" s="351" t="s">
        <v>5801</v>
      </c>
      <c r="C1" s="351" t="s">
        <v>5802</v>
      </c>
      <c r="D1" s="351" t="s">
        <v>5805</v>
      </c>
      <c r="E1" s="351" t="s">
        <v>5806</v>
      </c>
      <c r="F1" s="351" t="s">
        <v>5807</v>
      </c>
      <c r="G1" s="232" t="s">
        <v>5808</v>
      </c>
      <c r="H1" s="279" t="s">
        <v>4775</v>
      </c>
      <c r="I1" s="279" t="s">
        <v>4776</v>
      </c>
      <c r="J1" s="279" t="s">
        <v>4777</v>
      </c>
      <c r="K1" s="14"/>
      <c r="L1" s="14"/>
    </row>
    <row r="2">
      <c r="A2" s="351" t="s">
        <v>4654</v>
      </c>
      <c r="B2" s="351" t="s">
        <v>4752</v>
      </c>
      <c r="C2" s="351" t="s">
        <v>5437</v>
      </c>
      <c r="D2" s="351" t="s">
        <v>5809</v>
      </c>
      <c r="E2" s="352" t="s">
        <v>5810</v>
      </c>
      <c r="F2" s="353">
        <v>3200.0</v>
      </c>
      <c r="G2" s="11" t="str">
        <f>IFERROR(__xludf.DUMMYFUNCTION("IFERROR(
  VLOOKUP(
    TRIM($A2),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)"),"https://drive.google.com/open?id=1j16CyQ5hGwrOjqK1i8luiMoCEgJAa-x6")</f>
        <v>https://drive.google.com/open?id=1j16CyQ5hGwrOjqK1i8luiMoCEgJAa-x6</v>
      </c>
      <c r="H2" s="14"/>
      <c r="I2" s="14"/>
      <c r="J2" s="14"/>
      <c r="K2" s="14"/>
      <c r="L2" s="14"/>
    </row>
    <row r="3">
      <c r="A3" s="351" t="s">
        <v>4634</v>
      </c>
      <c r="B3" s="351" t="s">
        <v>4752</v>
      </c>
      <c r="C3" s="351" t="s">
        <v>5407</v>
      </c>
      <c r="D3" s="351" t="s">
        <v>5809</v>
      </c>
      <c r="E3" s="352" t="s">
        <v>5810</v>
      </c>
      <c r="F3" s="353">
        <v>3350.0</v>
      </c>
      <c r="G3" s="11" t="str">
        <f>IFERROR(__xludf.DUMMYFUNCTION("IFERROR(
  VLOOKUP(
    TRIM($A3),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)"),"https://drive.google.com/open?id=1KC6VlQU_8Y8p6fmlLAZayqT6r0Iswakg")</f>
        <v>https://drive.google.com/open?id=1KC6VlQU_8Y8p6fmlLAZayqT6r0Iswakg</v>
      </c>
      <c r="H3" s="14"/>
      <c r="I3" s="14"/>
      <c r="J3" s="14"/>
      <c r="K3" s="14"/>
      <c r="L3" s="14"/>
    </row>
    <row r="4">
      <c r="A4" s="351" t="s">
        <v>4647</v>
      </c>
      <c r="B4" s="351" t="s">
        <v>4752</v>
      </c>
      <c r="C4" s="351" t="s">
        <v>5417</v>
      </c>
      <c r="D4" s="351" t="s">
        <v>5809</v>
      </c>
      <c r="E4" s="352" t="s">
        <v>5810</v>
      </c>
      <c r="F4" s="353">
        <v>250.0</v>
      </c>
      <c r="G4" s="11" t="str">
        <f>IFERROR(__xludf.DUMMYFUNCTION("IFERROR(
  VLOOKUP(
    TRIM($A4),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)"),"https://drive.google.com/open?id=1GBnqIBOBqs-fjFNUi7tRm-Pzk30I0o8B")</f>
        <v>https://drive.google.com/open?id=1GBnqIBOBqs-fjFNUi7tRm-Pzk30I0o8B</v>
      </c>
      <c r="H4" s="14"/>
      <c r="I4" s="14"/>
      <c r="J4" s="14"/>
      <c r="K4" s="14"/>
      <c r="L4" s="14"/>
    </row>
    <row r="5">
      <c r="A5" s="351" t="s">
        <v>4650</v>
      </c>
      <c r="B5" s="351" t="s">
        <v>4752</v>
      </c>
      <c r="C5" s="351" t="s">
        <v>5430</v>
      </c>
      <c r="D5" s="351" t="s">
        <v>5809</v>
      </c>
      <c r="E5" s="352" t="s">
        <v>5810</v>
      </c>
      <c r="F5" s="353">
        <v>2900.0</v>
      </c>
      <c r="G5" s="11" t="str">
        <f>IFERROR(__xludf.DUMMYFUNCTION("IFERROR(
  VLOOKUP(
    TRIM($A5),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)"),"https://drive.google.com/open?id=1bvkufuB6qcZIse6x0bp2TqHsxUdHPcVz")</f>
        <v>https://drive.google.com/open?id=1bvkufuB6qcZIse6x0bp2TqHsxUdHPcVz</v>
      </c>
      <c r="H5" s="14"/>
      <c r="I5" s="14"/>
      <c r="J5" s="14"/>
      <c r="K5" s="14"/>
      <c r="L5" s="14"/>
    </row>
    <row r="6">
      <c r="A6" s="351" t="s">
        <v>4652</v>
      </c>
      <c r="B6" s="351" t="s">
        <v>4752</v>
      </c>
      <c r="C6" s="351" t="s">
        <v>5409</v>
      </c>
      <c r="D6" s="351" t="s">
        <v>5809</v>
      </c>
      <c r="E6" s="352" t="s">
        <v>5810</v>
      </c>
      <c r="F6" s="353">
        <v>2100.0</v>
      </c>
      <c r="G6" s="11" t="str">
        <f>IFERROR(__xludf.DUMMYFUNCTION("IFERROR(
  VLOOKUP(
    TRIM($A6),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)"),"https://drive.google.com/open?id=1NnzgmLkZkTDrErwg2dDU30qEtB83D3Mq")</f>
        <v>https://drive.google.com/open?id=1NnzgmLkZkTDrErwg2dDU30qEtB83D3Mq</v>
      </c>
      <c r="H6" s="14"/>
      <c r="I6" s="14"/>
      <c r="J6" s="14"/>
      <c r="K6" s="14"/>
      <c r="L6" s="14"/>
    </row>
    <row r="7">
      <c r="A7" s="351" t="s">
        <v>4643</v>
      </c>
      <c r="B7" s="351" t="s">
        <v>4752</v>
      </c>
      <c r="C7" s="351" t="s">
        <v>5426</v>
      </c>
      <c r="D7" s="351" t="s">
        <v>5809</v>
      </c>
      <c r="E7" s="352" t="s">
        <v>5810</v>
      </c>
      <c r="F7" s="353">
        <v>2600.0</v>
      </c>
      <c r="G7" s="11" t="str">
        <f>IFERROR(__xludf.DUMMYFUNCTION("IFERROR(
  VLOOKUP(
    TRIM($A7),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)"),"https://drive.google.com/open?id=1ErAFNxkw_6VC6o3oDqWJVYakZUhcLOKF")</f>
        <v>https://drive.google.com/open?id=1ErAFNxkw_6VC6o3oDqWJVYakZUhcLOKF</v>
      </c>
      <c r="H7" s="14"/>
      <c r="I7" s="14"/>
      <c r="J7" s="14"/>
      <c r="K7" s="14"/>
      <c r="L7" s="14"/>
    </row>
    <row r="8">
      <c r="A8" s="351" t="s">
        <v>4638</v>
      </c>
      <c r="B8" s="351" t="s">
        <v>4752</v>
      </c>
      <c r="C8" s="351" t="s">
        <v>5440</v>
      </c>
      <c r="D8" s="351" t="s">
        <v>5809</v>
      </c>
      <c r="E8" s="352" t="s">
        <v>5810</v>
      </c>
      <c r="F8" s="353">
        <v>2250.0</v>
      </c>
      <c r="G8" s="11" t="str">
        <f>IFERROR(__xludf.DUMMYFUNCTION("IFERROR(
  VLOOKUP(
    TRIM($A8),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)"),"https://drive.google.com/open?id=1cAbPN53r2u08qj952_shp5kN4N5oFhjR")</f>
        <v>https://drive.google.com/open?id=1cAbPN53r2u08qj952_shp5kN4N5oFhjR</v>
      </c>
      <c r="H8" s="14"/>
      <c r="I8" s="14"/>
      <c r="J8" s="14"/>
      <c r="K8" s="14"/>
      <c r="L8" s="14"/>
    </row>
    <row r="9">
      <c r="A9" s="351" t="s">
        <v>4644</v>
      </c>
      <c r="B9" s="351" t="s">
        <v>4752</v>
      </c>
      <c r="C9" s="351" t="s">
        <v>521</v>
      </c>
      <c r="D9" s="351" t="s">
        <v>5809</v>
      </c>
      <c r="E9" s="352" t="s">
        <v>5810</v>
      </c>
      <c r="F9" s="353">
        <v>750.0</v>
      </c>
      <c r="G9" s="11" t="str">
        <f>IFERROR(__xludf.DUMMYFUNCTION("IFERROR(
  VLOOKUP(
    TRIM($A9),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)"),"https://drive.google.com/open?id=1iFOZvcppkvlwFf414IQXbAQvkx8idPsI")</f>
        <v>https://drive.google.com/open?id=1iFOZvcppkvlwFf414IQXbAQvkx8idPsI</v>
      </c>
      <c r="H9" s="14"/>
      <c r="I9" s="14"/>
      <c r="J9" s="14"/>
      <c r="K9" s="14"/>
      <c r="L9" s="14"/>
    </row>
    <row r="10">
      <c r="A10" s="351" t="s">
        <v>4873</v>
      </c>
      <c r="B10" s="351" t="s">
        <v>4752</v>
      </c>
      <c r="C10" s="351" t="s">
        <v>5411</v>
      </c>
      <c r="D10" s="351" t="s">
        <v>5809</v>
      </c>
      <c r="E10" s="352" t="s">
        <v>5810</v>
      </c>
      <c r="F10" s="353">
        <v>1900.0</v>
      </c>
      <c r="G10" s="11" t="str">
        <f>IFERROR(__xludf.DUMMYFUNCTION("IFERROR(
  VLOOKUP(
    TRIM($A10),
    ARRAYFORMULA({
      TRIM(IMPORTRANGE(""https://docs.google.com/spreadsheets/d/1u9GbdmgAEc9k6kHu3ZfH25nxRNstVbRmM2ai-cDl3lY/edit"",""Form responses 1!F:F"")),
      IMPORTRANGE(""https://docs.google.com/spreadsheets"&amp;"/d/1u9GbdmgAEc9k6kHu3ZfH25nxRNstVbRmM2ai-cDl3lY/edit"",""Form responses 1!G:T"")
    }),
    11,
    FALSE
  ),
  ""Not found""
)"),"https://drive.google.com/file/d/1i8JxnqPp8SaPDyqzv7lKrayzLzD2Jyx9/view?usp=sharing")</f>
        <v>https://drive.google.com/file/d/1i8JxnqPp8SaPDyqzv7lKrayzLzD2Jyx9/view?usp=sharing</v>
      </c>
      <c r="H10" s="14"/>
      <c r="I10" s="14"/>
      <c r="J10" s="14"/>
      <c r="K10" s="14"/>
      <c r="L10" s="14"/>
    </row>
    <row r="11">
      <c r="A11" s="351" t="s">
        <v>4645</v>
      </c>
      <c r="B11" s="351" t="s">
        <v>4752</v>
      </c>
      <c r="C11" s="351" t="s">
        <v>5432</v>
      </c>
      <c r="D11" s="351" t="s">
        <v>5809</v>
      </c>
      <c r="E11" s="352" t="s">
        <v>5810</v>
      </c>
      <c r="F11" s="353">
        <v>1300.0</v>
      </c>
      <c r="G11" s="11" t="str">
        <f>IFERROR(__xludf.DUMMYFUNCTION("IFERROR(
  VLOOKUP(
    TRIM($A11),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)"),"https://drive.google.com/open?id=1VJOiTa06MDuA6UxsBqF2Ah-enQ-5BIpy")</f>
        <v>https://drive.google.com/open?id=1VJOiTa06MDuA6UxsBqF2Ah-enQ-5BIpy</v>
      </c>
      <c r="H11" s="14"/>
      <c r="I11" s="14"/>
      <c r="J11" s="14"/>
      <c r="K11" s="14"/>
      <c r="L11" s="14"/>
    </row>
    <row r="12">
      <c r="A12" s="351" t="s">
        <v>4651</v>
      </c>
      <c r="B12" s="351" t="s">
        <v>4752</v>
      </c>
      <c r="C12" s="351" t="s">
        <v>547</v>
      </c>
      <c r="D12" s="351" t="s">
        <v>5809</v>
      </c>
      <c r="E12" s="352" t="s">
        <v>5810</v>
      </c>
      <c r="F12" s="353">
        <v>2050.0</v>
      </c>
      <c r="G12" s="11" t="str">
        <f>IFERROR(__xludf.DUMMYFUNCTION("IFERROR(
  VLOOKUP(
    TRIM($A12),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)"),"https://drive.google.com/open?id=1GFsWhY7tHcsrjIsDQf8RoRnS3ywx0VmY")</f>
        <v>https://drive.google.com/open?id=1GFsWhY7tHcsrjIsDQf8RoRnS3ywx0VmY</v>
      </c>
      <c r="H12" s="14"/>
      <c r="I12" s="14"/>
      <c r="J12" s="14"/>
      <c r="K12" s="14"/>
      <c r="L12" s="14"/>
    </row>
    <row r="13">
      <c r="A13" s="351" t="s">
        <v>4635</v>
      </c>
      <c r="B13" s="351" t="s">
        <v>4752</v>
      </c>
      <c r="C13" s="351" t="s">
        <v>5422</v>
      </c>
      <c r="D13" s="351" t="s">
        <v>5809</v>
      </c>
      <c r="E13" s="352" t="s">
        <v>5810</v>
      </c>
      <c r="F13" s="353">
        <v>1750.0</v>
      </c>
      <c r="G13" s="11" t="str">
        <f>IFERROR(__xludf.DUMMYFUNCTION("IFERROR(
  VLOOKUP(
    TRIM($A13),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)"),"https://drive.google.com/open?id=1r0H6gW3WTAN9ZldjhrJk2D10yMyHd5Ob")</f>
        <v>https://drive.google.com/open?id=1r0H6gW3WTAN9ZldjhrJk2D10yMyHd5Ob</v>
      </c>
      <c r="H13" s="14"/>
      <c r="I13" s="14"/>
      <c r="J13" s="14"/>
      <c r="K13" s="14"/>
      <c r="L13" s="14"/>
    </row>
    <row r="14">
      <c r="A14" s="351" t="s">
        <v>4646</v>
      </c>
      <c r="B14" s="351" t="s">
        <v>4752</v>
      </c>
      <c r="C14" s="351" t="s">
        <v>5415</v>
      </c>
      <c r="D14" s="351" t="s">
        <v>5809</v>
      </c>
      <c r="E14" s="352" t="s">
        <v>5810</v>
      </c>
      <c r="F14" s="353">
        <v>1400.0</v>
      </c>
      <c r="G14" s="11" t="str">
        <f>IFERROR(__xludf.DUMMYFUNCTION("IFERROR(
  VLOOKUP(
    TRIM($A14),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)"),"https://drive.google.com/open?id=1l9Z9zZuJr80f2BX2zlN2LjWuC5bIhJmZ")</f>
        <v>https://drive.google.com/open?id=1l9Z9zZuJr80f2BX2zlN2LjWuC5bIhJmZ</v>
      </c>
      <c r="H14" s="14"/>
      <c r="I14" s="14"/>
      <c r="J14" s="14"/>
      <c r="K14" s="14"/>
      <c r="L14" s="14"/>
    </row>
    <row r="15">
      <c r="A15" s="351" t="s">
        <v>4639</v>
      </c>
      <c r="B15" s="351" t="s">
        <v>4752</v>
      </c>
      <c r="C15" s="351" t="s">
        <v>5413</v>
      </c>
      <c r="D15" s="351" t="s">
        <v>5809</v>
      </c>
      <c r="E15" s="352" t="s">
        <v>5810</v>
      </c>
      <c r="F15" s="353">
        <v>2150.0</v>
      </c>
      <c r="G15" s="11" t="str">
        <f>IFERROR(__xludf.DUMMYFUNCTION("IFERROR(
  VLOOKUP(
    TRIM($A15),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)"),"https://drive.google.com/open?id=1CAnsADhFM0LaEesCr8YlgGeppqK60gmA")</f>
        <v>https://drive.google.com/open?id=1CAnsADhFM0LaEesCr8YlgGeppqK60gmA</v>
      </c>
      <c r="H15" s="14"/>
      <c r="I15" s="14"/>
      <c r="J15" s="14"/>
      <c r="K15" s="14"/>
      <c r="L15" s="14"/>
    </row>
    <row r="16">
      <c r="A16" s="351" t="s">
        <v>4653</v>
      </c>
      <c r="B16" s="351" t="s">
        <v>4752</v>
      </c>
      <c r="C16" s="351" t="s">
        <v>626</v>
      </c>
      <c r="D16" s="351" t="s">
        <v>5809</v>
      </c>
      <c r="E16" s="352" t="s">
        <v>5810</v>
      </c>
      <c r="F16" s="353">
        <v>250.0</v>
      </c>
      <c r="G16" s="11" t="str">
        <f>IFERROR(__xludf.DUMMYFUNCTION("IFERROR(
  VLOOKUP(
    TRIM($A16),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)"),"https://drive.google.com/open?id=1JVu6aPtpuKmBYdNZffnrFRStzT1sHlBp")</f>
        <v>https://drive.google.com/open?id=1JVu6aPtpuKmBYdNZffnrFRStzT1sHlBp</v>
      </c>
      <c r="H16" s="14"/>
      <c r="I16" s="14"/>
      <c r="J16" s="14"/>
      <c r="K16" s="14"/>
      <c r="L16" s="14"/>
    </row>
    <row r="17">
      <c r="A17" s="351" t="s">
        <v>4636</v>
      </c>
      <c r="B17" s="351" t="s">
        <v>4752</v>
      </c>
      <c r="C17" s="351" t="s">
        <v>5442</v>
      </c>
      <c r="D17" s="351" t="s">
        <v>5809</v>
      </c>
      <c r="E17" s="352" t="s">
        <v>5810</v>
      </c>
      <c r="F17" s="353">
        <v>1600.0</v>
      </c>
      <c r="G17" s="11" t="str">
        <f>IFERROR(__xludf.DUMMYFUNCTION("IFERROR(
  VLOOKUP(
    TRIM($A17),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)"),"https://drive.google.com/open?id=1PZvHqQRA948nteM7pamnBhXeWnISTgMy")</f>
        <v>https://drive.google.com/open?id=1PZvHqQRA948nteM7pamnBhXeWnISTgMy</v>
      </c>
      <c r="H17" s="14"/>
      <c r="I17" s="14"/>
      <c r="J17" s="14"/>
      <c r="K17" s="14"/>
      <c r="L17" s="14"/>
    </row>
    <row r="18">
      <c r="A18" s="351" t="s">
        <v>4641</v>
      </c>
      <c r="B18" s="351" t="s">
        <v>4752</v>
      </c>
      <c r="C18" s="351" t="s">
        <v>5424</v>
      </c>
      <c r="D18" s="351" t="s">
        <v>5809</v>
      </c>
      <c r="E18" s="352" t="s">
        <v>5810</v>
      </c>
      <c r="F18" s="353">
        <v>1450.0</v>
      </c>
      <c r="G18" s="11" t="str">
        <f>IFERROR(__xludf.DUMMYFUNCTION("IFERROR(
  VLOOKUP(
    TRIM($A18),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)"),"https://drive.google.com/open?id=1NZPxx6o_mfBevPDv8tgM5Br04iD116EN")</f>
        <v>https://drive.google.com/open?id=1NZPxx6o_mfBevPDv8tgM5Br04iD116EN</v>
      </c>
      <c r="H18" s="14"/>
      <c r="I18" s="14"/>
      <c r="J18" s="14"/>
      <c r="K18" s="14"/>
      <c r="L18" s="14"/>
    </row>
    <row r="19">
      <c r="A19" s="351" t="s">
        <v>4640</v>
      </c>
      <c r="B19" s="351" t="s">
        <v>4752</v>
      </c>
      <c r="C19" s="351" t="s">
        <v>537</v>
      </c>
      <c r="D19" s="351" t="s">
        <v>5809</v>
      </c>
      <c r="E19" s="352" t="s">
        <v>5810</v>
      </c>
      <c r="F19" s="353">
        <v>3150.0</v>
      </c>
      <c r="G19" s="11" t="str">
        <f>IFERROR(__xludf.DUMMYFUNCTION("IFERROR(
  VLOOKUP(
    TRIM($A19),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)"),"https://drive.google.com/open?id=1MrrbJ8xHVzZQHlTkaVubZPO4G8o0gl7g")</f>
        <v>https://drive.google.com/open?id=1MrrbJ8xHVzZQHlTkaVubZPO4G8o0gl7g</v>
      </c>
      <c r="H19" s="14"/>
      <c r="I19" s="14"/>
      <c r="J19" s="14"/>
      <c r="K19" s="14"/>
      <c r="L19" s="14"/>
    </row>
    <row r="20">
      <c r="A20" s="351" t="s">
        <v>4648</v>
      </c>
      <c r="B20" s="351" t="s">
        <v>4752</v>
      </c>
      <c r="C20" s="351" t="s">
        <v>603</v>
      </c>
      <c r="D20" s="351" t="s">
        <v>5809</v>
      </c>
      <c r="E20" s="352" t="s">
        <v>5810</v>
      </c>
      <c r="F20" s="353">
        <v>2600.0</v>
      </c>
      <c r="G20" s="11" t="str">
        <f>IFERROR(__xludf.DUMMYFUNCTION("IFERROR(
  VLOOKUP(
    TRIM($A20),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)"),"https://drive.google.com/open?id=1rMfBPXwnIHaZa8R7whFQcKicYx4TYcqF")</f>
        <v>https://drive.google.com/open?id=1rMfBPXwnIHaZa8R7whFQcKicYx4TYcqF</v>
      </c>
      <c r="H20" s="14"/>
      <c r="I20" s="14"/>
      <c r="J20" s="14"/>
      <c r="K20" s="14"/>
      <c r="L20" s="14"/>
    </row>
    <row r="21">
      <c r="A21" s="351" t="s">
        <v>4637</v>
      </c>
      <c r="B21" s="351" t="s">
        <v>4752</v>
      </c>
      <c r="C21" s="351" t="s">
        <v>5420</v>
      </c>
      <c r="D21" s="351" t="s">
        <v>5809</v>
      </c>
      <c r="E21" s="352" t="s">
        <v>5810</v>
      </c>
      <c r="F21" s="353">
        <v>3100.0</v>
      </c>
      <c r="G21" s="11" t="str">
        <f>IFERROR(__xludf.DUMMYFUNCTION("IFERROR(
  VLOOKUP(
    TRIM($A21),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)"),"https://drive.google.com/open?id=1kKdz2DUlwicu7MBdImNL_Vyy5CjjGy3d")</f>
        <v>https://drive.google.com/open?id=1kKdz2DUlwicu7MBdImNL_Vyy5CjjGy3d</v>
      </c>
      <c r="H21" s="14"/>
      <c r="I21" s="14"/>
      <c r="J21" s="14"/>
      <c r="K21" s="14"/>
      <c r="L21" s="14"/>
    </row>
    <row r="22">
      <c r="A22" s="351" t="s">
        <v>4642</v>
      </c>
      <c r="B22" s="351" t="s">
        <v>4752</v>
      </c>
      <c r="C22" s="351" t="s">
        <v>5428</v>
      </c>
      <c r="D22" s="351" t="s">
        <v>5809</v>
      </c>
      <c r="E22" s="352" t="s">
        <v>5810</v>
      </c>
      <c r="F22" s="353">
        <v>1100.0</v>
      </c>
      <c r="G22" s="11" t="str">
        <f>IFERROR(__xludf.DUMMYFUNCTION("IFERROR(
  VLOOKUP(
    TRIM($A22),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)"),"https://drive.google.com/open?id=1jY1akl_K9vlONi2zqRObhDjWl_HDQHQ7")</f>
        <v>https://drive.google.com/open?id=1jY1akl_K9vlONi2zqRObhDjWl_HDQHQ7</v>
      </c>
      <c r="H22" s="14"/>
      <c r="I22" s="14"/>
      <c r="J22" s="14"/>
      <c r="K22" s="14"/>
      <c r="L22" s="14"/>
    </row>
    <row r="23">
      <c r="A23" s="351" t="s">
        <v>4657</v>
      </c>
      <c r="B23" s="351" t="s">
        <v>4753</v>
      </c>
      <c r="C23" s="351" t="s">
        <v>5445</v>
      </c>
      <c r="D23" s="351" t="s">
        <v>5809</v>
      </c>
      <c r="E23" s="352" t="s">
        <v>5810</v>
      </c>
      <c r="F23" s="353">
        <v>950.0</v>
      </c>
      <c r="G23" s="11" t="str">
        <f>IFERROR(__xludf.DUMMYFUNCTION("IFERROR(
  VLOOKUP(
    TRIM($A23),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)"),"https://drive.google.com/open?id=1fFgUoyr09Y165YHjsQCBYGUhTq7ORQAt")</f>
        <v>https://drive.google.com/open?id=1fFgUoyr09Y165YHjsQCBYGUhTq7ORQAt</v>
      </c>
      <c r="H23" s="14"/>
      <c r="I23" s="14"/>
      <c r="J23" s="14"/>
      <c r="K23" s="14"/>
      <c r="L23" s="14"/>
    </row>
    <row r="24">
      <c r="A24" s="351" t="s">
        <v>4656</v>
      </c>
      <c r="B24" s="351" t="s">
        <v>4753</v>
      </c>
      <c r="C24" s="351" t="s">
        <v>5452</v>
      </c>
      <c r="D24" s="351" t="s">
        <v>5809</v>
      </c>
      <c r="E24" s="352" t="s">
        <v>5810</v>
      </c>
      <c r="F24" s="353">
        <v>1400.0</v>
      </c>
      <c r="G24" s="11" t="str">
        <f>IFERROR(__xludf.DUMMYFUNCTION("IFERROR(
  VLOOKUP(
    TRIM($A24),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)"),"https://drive.google.com/open?id=1qulGJMPIbqTPjDvdALzjofqEw7L_2ZUb")</f>
        <v>https://drive.google.com/open?id=1qulGJMPIbqTPjDvdALzjofqEw7L_2ZUb</v>
      </c>
      <c r="H24" s="14"/>
      <c r="I24" s="14"/>
      <c r="J24" s="14"/>
      <c r="K24" s="14"/>
      <c r="L24" s="14"/>
    </row>
    <row r="25">
      <c r="A25" s="351" t="s">
        <v>4660</v>
      </c>
      <c r="B25" s="351" t="s">
        <v>4753</v>
      </c>
      <c r="C25" s="351" t="s">
        <v>5456</v>
      </c>
      <c r="D25" s="351" t="s">
        <v>5809</v>
      </c>
      <c r="E25" s="352" t="s">
        <v>5810</v>
      </c>
      <c r="F25" s="353">
        <v>2100.0</v>
      </c>
      <c r="G25" s="11" t="str">
        <f>IFERROR(__xludf.DUMMYFUNCTION("IFERROR(
  VLOOKUP(
    TRIM($A25),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)"),"https://drive.google.com/open?id=1CC5sdSPLAH1-Lg3AWdFGtExrvbS6Sv5Y")</f>
        <v>https://drive.google.com/open?id=1CC5sdSPLAH1-Lg3AWdFGtExrvbS6Sv5Y</v>
      </c>
      <c r="H25" s="14"/>
      <c r="I25" s="14"/>
      <c r="J25" s="14"/>
      <c r="K25" s="14"/>
      <c r="L25" s="14"/>
    </row>
    <row r="26">
      <c r="A26" s="351" t="s">
        <v>4658</v>
      </c>
      <c r="B26" s="351" t="s">
        <v>4753</v>
      </c>
      <c r="C26" s="351" t="s">
        <v>5448</v>
      </c>
      <c r="D26" s="351" t="s">
        <v>5809</v>
      </c>
      <c r="E26" s="352" t="s">
        <v>5810</v>
      </c>
      <c r="F26" s="353">
        <v>2050.0</v>
      </c>
      <c r="G26" s="11" t="str">
        <f>IFERROR(__xludf.DUMMYFUNCTION("IFERROR(
  VLOOKUP(
    TRIM($A26),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)"),"https://drive.google.com/open?id=1yc7SS2aJgsbA8OlBwnoRLZURJoFJ38Vv")</f>
        <v>https://drive.google.com/open?id=1yc7SS2aJgsbA8OlBwnoRLZURJoFJ38Vv</v>
      </c>
      <c r="H26" s="14"/>
      <c r="I26" s="14"/>
      <c r="J26" s="14"/>
      <c r="K26" s="14"/>
      <c r="L26" s="14"/>
    </row>
    <row r="27">
      <c r="A27" s="351" t="s">
        <v>4659</v>
      </c>
      <c r="B27" s="351" t="s">
        <v>4753</v>
      </c>
      <c r="C27" s="351" t="s">
        <v>985</v>
      </c>
      <c r="D27" s="351" t="s">
        <v>5809</v>
      </c>
      <c r="E27" s="352" t="s">
        <v>5810</v>
      </c>
      <c r="F27" s="353">
        <v>1900.0</v>
      </c>
      <c r="G27" s="11" t="str">
        <f>IFERROR(__xludf.DUMMYFUNCTION("IFERROR(
  VLOOKUP(
    TRIM($A27),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)"),"https://drive.google.com/open?id=1HtSGvsGhq3OM-A9DQkK3qdsFWGYJD44R")</f>
        <v>https://drive.google.com/open?id=1HtSGvsGhq3OM-A9DQkK3qdsFWGYJD44R</v>
      </c>
      <c r="H27" s="14"/>
      <c r="I27" s="14"/>
      <c r="J27" s="14"/>
      <c r="K27" s="14"/>
      <c r="L27" s="14"/>
    </row>
    <row r="28">
      <c r="A28" s="351" t="s">
        <v>4655</v>
      </c>
      <c r="B28" s="351" t="s">
        <v>4753</v>
      </c>
      <c r="C28" s="351" t="s">
        <v>5450</v>
      </c>
      <c r="D28" s="351" t="s">
        <v>5809</v>
      </c>
      <c r="E28" s="352" t="s">
        <v>5810</v>
      </c>
      <c r="F28" s="353">
        <v>1950.0</v>
      </c>
      <c r="G28" s="11" t="str">
        <f>IFERROR(__xludf.DUMMYFUNCTION("IFERROR(
  VLOOKUP(
    TRIM($A28),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)"),"https://drive.google.com/open?id=1pBm6RqEq6P3Dtqp5xT9EzHzEOUvxk5BM")</f>
        <v>https://drive.google.com/open?id=1pBm6RqEq6P3Dtqp5xT9EzHzEOUvxk5BM</v>
      </c>
      <c r="H28" s="14"/>
      <c r="I28" s="14"/>
      <c r="J28" s="14"/>
      <c r="K28" s="14"/>
      <c r="L28" s="14"/>
    </row>
    <row r="29">
      <c r="A29" s="351" t="s">
        <v>4631</v>
      </c>
      <c r="B29" s="351" t="s">
        <v>4751</v>
      </c>
      <c r="C29" s="351" t="s">
        <v>5399</v>
      </c>
      <c r="D29" s="351" t="s">
        <v>5809</v>
      </c>
      <c r="E29" s="352" t="s">
        <v>5810</v>
      </c>
      <c r="F29" s="353">
        <v>3050.0</v>
      </c>
      <c r="G29" s="11" t="str">
        <f>IFERROR(__xludf.DUMMYFUNCTION("IFERROR(
  VLOOKUP(
    TRIM($A29),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)"),"https://drive.google.com/open?id=10KfwdD4m_n_mJCyJSa-cSYgJQ6Zgj30J")</f>
        <v>https://drive.google.com/open?id=10KfwdD4m_n_mJCyJSa-cSYgJQ6Zgj30J</v>
      </c>
      <c r="H29" s="14"/>
      <c r="I29" s="14"/>
      <c r="J29" s="14"/>
      <c r="K29" s="14"/>
      <c r="L29" s="14"/>
    </row>
    <row r="30">
      <c r="A30" s="351" t="s">
        <v>4630</v>
      </c>
      <c r="B30" s="351" t="s">
        <v>4751</v>
      </c>
      <c r="C30" s="351" t="s">
        <v>5405</v>
      </c>
      <c r="D30" s="351" t="s">
        <v>5809</v>
      </c>
      <c r="E30" s="352" t="s">
        <v>5810</v>
      </c>
      <c r="F30" s="353">
        <v>1900.0</v>
      </c>
      <c r="G30" s="11" t="str">
        <f>IFERROR(__xludf.DUMMYFUNCTION("IFERROR(
  VLOOKUP(
    TRIM($A30),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)"),"https://drive.google.com/open?id=1WS0rpYGo8b5tEvavmJQxv2prphZfAxWM")</f>
        <v>https://drive.google.com/open?id=1WS0rpYGo8b5tEvavmJQxv2prphZfAxWM</v>
      </c>
      <c r="H30" s="14"/>
      <c r="I30" s="14"/>
      <c r="J30" s="14"/>
      <c r="K30" s="14"/>
      <c r="L30" s="14"/>
    </row>
    <row r="31">
      <c r="A31" s="351" t="s">
        <v>4633</v>
      </c>
      <c r="B31" s="351" t="s">
        <v>4751</v>
      </c>
      <c r="C31" s="351" t="s">
        <v>5401</v>
      </c>
      <c r="D31" s="351" t="s">
        <v>5809</v>
      </c>
      <c r="E31" s="352" t="s">
        <v>5810</v>
      </c>
      <c r="F31" s="353">
        <v>2850.0</v>
      </c>
      <c r="G31" s="11" t="str">
        <f>IFERROR(__xludf.DUMMYFUNCTION("IFERROR(
  VLOOKUP(
    TRIM($A31),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)"),"https://drive.google.com/open?id=1MOaK7nymj4wVxFcBXP-g8Rp-i5QRxvdO")</f>
        <v>https://drive.google.com/open?id=1MOaK7nymj4wVxFcBXP-g8Rp-i5QRxvdO</v>
      </c>
      <c r="H31" s="14"/>
      <c r="I31" s="14"/>
      <c r="J31" s="14"/>
      <c r="K31" s="14"/>
      <c r="L31" s="14"/>
    </row>
    <row r="32">
      <c r="A32" s="351" t="s">
        <v>4632</v>
      </c>
      <c r="B32" s="351" t="s">
        <v>4751</v>
      </c>
      <c r="C32" s="351" t="s">
        <v>5403</v>
      </c>
      <c r="D32" s="351" t="s">
        <v>5809</v>
      </c>
      <c r="E32" s="352" t="s">
        <v>5810</v>
      </c>
      <c r="F32" s="353">
        <v>2950.0</v>
      </c>
      <c r="G32" s="11" t="str">
        <f>IFERROR(__xludf.DUMMYFUNCTION("IFERROR(
  VLOOKUP(
    TRIM($A32),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)"),"https://drive.google.com/open?id=1Z3JS3z48C7uDwDNSd0pickkRj-o4OHL-")</f>
        <v>https://drive.google.com/open?id=1Z3JS3z48C7uDwDNSd0pickkRj-o4OHL-</v>
      </c>
      <c r="H32" s="14"/>
      <c r="I32" s="14"/>
      <c r="J32" s="14"/>
      <c r="K32" s="14"/>
      <c r="L32" s="14"/>
    </row>
    <row r="33">
      <c r="A33" s="351" t="s">
        <v>4623</v>
      </c>
      <c r="B33" s="351" t="s">
        <v>4750</v>
      </c>
      <c r="C33" s="351" t="s">
        <v>5377</v>
      </c>
      <c r="D33" s="351" t="s">
        <v>5809</v>
      </c>
      <c r="E33" s="352" t="s">
        <v>5810</v>
      </c>
      <c r="F33" s="353">
        <v>1200.0</v>
      </c>
      <c r="G33" s="11" t="str">
        <f>IFERROR(__xludf.DUMMYFUNCTION("IFERROR(
  VLOOKUP(
    TRIM($A33),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)"),"https://drive.google.com/open?id=1fMClYW1O13l-PnM96bKfVxy5iG6zmWjN")</f>
        <v>https://drive.google.com/open?id=1fMClYW1O13l-PnM96bKfVxy5iG6zmWjN</v>
      </c>
      <c r="H33" s="14"/>
      <c r="I33" s="14"/>
      <c r="J33" s="14"/>
      <c r="K33" s="14"/>
      <c r="L33" s="14"/>
    </row>
    <row r="34">
      <c r="A34" s="351" t="s">
        <v>4622</v>
      </c>
      <c r="B34" s="351" t="s">
        <v>4750</v>
      </c>
      <c r="C34" s="351" t="s">
        <v>5375</v>
      </c>
      <c r="D34" s="351" t="s">
        <v>5809</v>
      </c>
      <c r="E34" s="352" t="s">
        <v>5810</v>
      </c>
      <c r="F34" s="353">
        <v>2500.0</v>
      </c>
      <c r="G34" s="11" t="str">
        <f>IFERROR(__xludf.DUMMYFUNCTION("IFERROR(
  VLOOKUP(
    TRIM($A34),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)"),"https://drive.google.com/open?id=1VZyy398ZAQVbB1_vpCBnpqH1bA7MoL3X")</f>
        <v>https://drive.google.com/open?id=1VZyy398ZAQVbB1_vpCBnpqH1bA7MoL3X</v>
      </c>
      <c r="H34" s="14"/>
      <c r="I34" s="14"/>
      <c r="J34" s="14"/>
      <c r="K34" s="14"/>
      <c r="L34" s="14"/>
    </row>
    <row r="35">
      <c r="A35" s="351" t="s">
        <v>4629</v>
      </c>
      <c r="B35" s="351" t="s">
        <v>4750</v>
      </c>
      <c r="C35" s="351" t="s">
        <v>1050</v>
      </c>
      <c r="D35" s="351" t="s">
        <v>5809</v>
      </c>
      <c r="E35" s="352" t="s">
        <v>5810</v>
      </c>
      <c r="F35" s="353">
        <v>2450.0</v>
      </c>
      <c r="G35" s="11" t="str">
        <f>IFERROR(__xludf.DUMMYFUNCTION("IFERROR(
  VLOOKUP(
    TRIM($A35),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)"),"https://drive.google.com/open?id=1Pq5VCguKKOF5VXDH_KX-uI6UsnZ3E-cW")</f>
        <v>https://drive.google.com/open?id=1Pq5VCguKKOF5VXDH_KX-uI6UsnZ3E-cW</v>
      </c>
      <c r="H35" s="14"/>
      <c r="I35" s="14"/>
      <c r="J35" s="14"/>
      <c r="K35" s="14"/>
      <c r="L35" s="14"/>
    </row>
    <row r="36">
      <c r="A36" s="351" t="s">
        <v>4624</v>
      </c>
      <c r="B36" s="351" t="s">
        <v>4750</v>
      </c>
      <c r="C36" s="351" t="s">
        <v>5366</v>
      </c>
      <c r="D36" s="351" t="s">
        <v>5809</v>
      </c>
      <c r="E36" s="352" t="s">
        <v>5810</v>
      </c>
      <c r="F36" s="353">
        <v>1800.0</v>
      </c>
      <c r="G36" s="11" t="str">
        <f>IFERROR(__xludf.DUMMYFUNCTION("IFERROR(
  VLOOKUP(
    TRIM($A36),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)"),"https://drive.google.com/open?id=1FT7tDs7RcrJp9u0NJEGcNyF70yqRJUdQ")</f>
        <v>https://drive.google.com/open?id=1FT7tDs7RcrJp9u0NJEGcNyF70yqRJUdQ</v>
      </c>
      <c r="H36" s="14"/>
      <c r="I36" s="14"/>
      <c r="J36" s="14"/>
      <c r="K36" s="14"/>
      <c r="L36" s="14"/>
    </row>
    <row r="37">
      <c r="A37" s="351" t="s">
        <v>4627</v>
      </c>
      <c r="B37" s="351" t="s">
        <v>4750</v>
      </c>
      <c r="C37" s="351" t="s">
        <v>850</v>
      </c>
      <c r="D37" s="351" t="s">
        <v>5809</v>
      </c>
      <c r="E37" s="352" t="s">
        <v>5810</v>
      </c>
      <c r="F37" s="353">
        <v>3950.0</v>
      </c>
      <c r="G37" s="11" t="str">
        <f>IFERROR(__xludf.DUMMYFUNCTION("IFERROR(
  VLOOKUP(
    TRIM($A37),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)"),"https://drive.google.com/open?id=1B-Kq-f0mMdMxUnGYZyatUJ0bdXEAXOam")</f>
        <v>https://drive.google.com/open?id=1B-Kq-f0mMdMxUnGYZyatUJ0bdXEAXOam</v>
      </c>
      <c r="H37" s="14"/>
      <c r="I37" s="14"/>
      <c r="J37" s="14"/>
      <c r="K37" s="14"/>
      <c r="L37" s="14"/>
    </row>
    <row r="38">
      <c r="A38" s="351" t="s">
        <v>4625</v>
      </c>
      <c r="B38" s="351" t="s">
        <v>4750</v>
      </c>
      <c r="C38" s="351" t="s">
        <v>5368</v>
      </c>
      <c r="D38" s="351" t="s">
        <v>5809</v>
      </c>
      <c r="E38" s="352" t="s">
        <v>5810</v>
      </c>
      <c r="F38" s="353">
        <v>1750.0</v>
      </c>
      <c r="G38" s="11" t="str">
        <f>IFERROR(__xludf.DUMMYFUNCTION("IFERROR(
  VLOOKUP(
    TRIM($A38),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)"),"https://drive.google.com/open?id=1H4Uj9VfWzUdtItl8r7Us5qvHFumTe_1n")</f>
        <v>https://drive.google.com/open?id=1H4Uj9VfWzUdtItl8r7Us5qvHFumTe_1n</v>
      </c>
      <c r="H38" s="14"/>
      <c r="I38" s="14"/>
      <c r="J38" s="14"/>
      <c r="K38" s="14"/>
      <c r="L38" s="14"/>
    </row>
    <row r="39">
      <c r="A39" s="351" t="s">
        <v>4628</v>
      </c>
      <c r="B39" s="351" t="s">
        <v>4750</v>
      </c>
      <c r="C39" s="351" t="s">
        <v>5380</v>
      </c>
      <c r="D39" s="351" t="s">
        <v>5809</v>
      </c>
      <c r="E39" s="352" t="s">
        <v>5810</v>
      </c>
      <c r="F39" s="353">
        <v>300.0</v>
      </c>
      <c r="G39" s="11" t="str">
        <f>IFERROR(__xludf.DUMMYFUNCTION("IFERROR(
  VLOOKUP(
    TRIM($A39),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)"),"https://drive.google.com/open?id=10fTp-_KQ1buh3caaYqcn9VwYy5FksETP")</f>
        <v>https://drive.google.com/open?id=10fTp-_KQ1buh3caaYqcn9VwYy5FksETP</v>
      </c>
      <c r="H39" s="14"/>
      <c r="I39" s="14"/>
      <c r="J39" s="14"/>
      <c r="K39" s="14"/>
      <c r="L39" s="14"/>
    </row>
    <row r="40">
      <c r="A40" s="351" t="s">
        <v>4626</v>
      </c>
      <c r="B40" s="351" t="s">
        <v>4750</v>
      </c>
      <c r="C40" s="351" t="s">
        <v>5371</v>
      </c>
      <c r="D40" s="351" t="s">
        <v>5809</v>
      </c>
      <c r="E40" s="352" t="s">
        <v>5810</v>
      </c>
      <c r="F40" s="353">
        <v>2350.0</v>
      </c>
      <c r="G40" s="11" t="str">
        <f>IFERROR(__xludf.DUMMYFUNCTION("IFERROR(
  VLOOKUP(
    TRIM($A40),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)"),"https://drive.google.com/open?id=1rqbnm3zBWuiCGx10S4kMeWs66cafCnKl")</f>
        <v>https://drive.google.com/open?id=1rqbnm3zBWuiCGx10S4kMeWs66cafCnKl</v>
      </c>
      <c r="H40" s="14"/>
      <c r="I40" s="14"/>
      <c r="J40" s="14"/>
      <c r="K40" s="14"/>
      <c r="L40" s="14"/>
    </row>
    <row r="41">
      <c r="A41" s="351" t="s">
        <v>3021</v>
      </c>
      <c r="B41" s="351" t="s">
        <v>4729</v>
      </c>
      <c r="C41" s="351" t="s">
        <v>5032</v>
      </c>
      <c r="D41" s="351" t="s">
        <v>5816</v>
      </c>
      <c r="E41" s="352" t="s">
        <v>5810</v>
      </c>
      <c r="F41" s="353">
        <v>2500.0</v>
      </c>
      <c r="G41" s="11" t="str">
        <f>IFERROR(__xludf.DUMMYFUNCTION("IFERROR(
  VLOOKUP(
    TRIM($A41),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)"),"https://drive.google.com/open?id=1gTIRcKtVZx0RNUbuaetJid82qYA-i1OZ")</f>
        <v>https://drive.google.com/open?id=1gTIRcKtVZx0RNUbuaetJid82qYA-i1OZ</v>
      </c>
      <c r="H41" s="14"/>
      <c r="I41" s="14"/>
      <c r="J41" s="14"/>
      <c r="K41" s="14"/>
      <c r="L41" s="14"/>
    </row>
    <row r="42">
      <c r="A42" s="351" t="s">
        <v>2885</v>
      </c>
      <c r="B42" s="351" t="s">
        <v>4729</v>
      </c>
      <c r="C42" s="351" t="s">
        <v>5057</v>
      </c>
      <c r="D42" s="351" t="s">
        <v>5816</v>
      </c>
      <c r="E42" s="352" t="s">
        <v>5810</v>
      </c>
      <c r="F42" s="353">
        <v>950.0</v>
      </c>
      <c r="G42" s="11" t="str">
        <f>IFERROR(__xludf.DUMMYFUNCTION("IFERROR(
  VLOOKUP(
    TRIM($A42),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)"),"https://drive.google.com/open?id=1fjFLqnHiI0RJFhn70gQ1_sSLGRjciIw1")</f>
        <v>https://drive.google.com/open?id=1fjFLqnHiI0RJFhn70gQ1_sSLGRjciIw1</v>
      </c>
      <c r="H42" s="14"/>
      <c r="I42" s="14"/>
      <c r="J42" s="14"/>
      <c r="K42" s="14"/>
      <c r="L42" s="14"/>
    </row>
    <row r="43">
      <c r="A43" s="351" t="s">
        <v>4535</v>
      </c>
      <c r="B43" s="351" t="s">
        <v>4729</v>
      </c>
      <c r="C43" s="351" t="s">
        <v>4945</v>
      </c>
      <c r="D43" s="351" t="s">
        <v>5816</v>
      </c>
      <c r="E43" s="352" t="s">
        <v>5810</v>
      </c>
      <c r="F43" s="353">
        <v>500.0</v>
      </c>
      <c r="G43" s="11" t="str">
        <f>IFERROR(__xludf.DUMMYFUNCTION("IFERROR(
  VLOOKUP(
    TRIM($A43),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)"),"https://drive.google.com/open?id=1-JQE2-PCmMl1rFG9EkShKO3GX-NXXVxe")</f>
        <v>https://drive.google.com/open?id=1-JQE2-PCmMl1rFG9EkShKO3GX-NXXVxe</v>
      </c>
      <c r="H43" s="14"/>
      <c r="I43" s="14"/>
      <c r="J43" s="14"/>
      <c r="K43" s="14"/>
      <c r="L43" s="14"/>
    </row>
    <row r="44">
      <c r="A44" s="351" t="s">
        <v>3058</v>
      </c>
      <c r="B44" s="351" t="s">
        <v>4729</v>
      </c>
      <c r="C44" s="351" t="s">
        <v>4986</v>
      </c>
      <c r="D44" s="351" t="s">
        <v>5816</v>
      </c>
      <c r="E44" s="352" t="s">
        <v>5810</v>
      </c>
      <c r="F44" s="353">
        <v>1150.0</v>
      </c>
      <c r="G44" s="11" t="str">
        <f>IFERROR(__xludf.DUMMYFUNCTION("IFERROR(
  VLOOKUP(
    TRIM($A44),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)"),"https://drive.google.com/open?id=15bMWQOsoT7ZvvcrQtc4SDjalllyQIlEw")</f>
        <v>https://drive.google.com/open?id=15bMWQOsoT7ZvvcrQtc4SDjalllyQIlEw</v>
      </c>
      <c r="H44" s="14"/>
      <c r="I44" s="14"/>
      <c r="J44" s="14"/>
      <c r="K44" s="14"/>
      <c r="L44" s="14"/>
    </row>
    <row r="45">
      <c r="A45" s="351" t="s">
        <v>4544</v>
      </c>
      <c r="B45" s="351" t="s">
        <v>4729</v>
      </c>
      <c r="C45" s="351" t="s">
        <v>5019</v>
      </c>
      <c r="D45" s="351" t="s">
        <v>5816</v>
      </c>
      <c r="E45" s="352" t="s">
        <v>5810</v>
      </c>
      <c r="F45" s="353">
        <v>2450.0</v>
      </c>
      <c r="G45" s="11" t="str">
        <f>IFERROR(__xludf.DUMMYFUNCTION("IFERROR(
  VLOOKUP(
    TRIM($A45),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)"),"https://drive.google.com/open?id=1MBqhwZu4xV4xJ8lQHpBla5QimeY075Z9")</f>
        <v>https://drive.google.com/open?id=1MBqhwZu4xV4xJ8lQHpBla5QimeY075Z9</v>
      </c>
      <c r="H45" s="14"/>
      <c r="I45" s="14"/>
      <c r="J45" s="14"/>
      <c r="K45" s="14"/>
      <c r="L45" s="14"/>
    </row>
    <row r="46">
      <c r="A46" s="351" t="s">
        <v>3201</v>
      </c>
      <c r="B46" s="351" t="s">
        <v>4729</v>
      </c>
      <c r="C46" s="351" t="s">
        <v>3204</v>
      </c>
      <c r="D46" s="351" t="s">
        <v>5816</v>
      </c>
      <c r="E46" s="352" t="s">
        <v>5810</v>
      </c>
      <c r="F46" s="353">
        <v>1400.0</v>
      </c>
      <c r="G46" s="11" t="str">
        <f>IFERROR(__xludf.DUMMYFUNCTION("IFERROR(
  VLOOKUP(
    TRIM($A46),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)"),"https://drive.google.com/open?id=1dAl31c9yoTkPjDPHFDZ8Ixyb7Y8FMWgf")</f>
        <v>https://drive.google.com/open?id=1dAl31c9yoTkPjDPHFDZ8Ixyb7Y8FMWgf</v>
      </c>
      <c r="H46" s="14"/>
      <c r="I46" s="14"/>
      <c r="J46" s="14"/>
      <c r="K46" s="14"/>
      <c r="L46" s="14"/>
    </row>
    <row r="47">
      <c r="A47" s="351" t="s">
        <v>3168</v>
      </c>
      <c r="B47" s="351" t="s">
        <v>4729</v>
      </c>
      <c r="C47" s="351" t="s">
        <v>4973</v>
      </c>
      <c r="D47" s="351" t="s">
        <v>5816</v>
      </c>
      <c r="E47" s="352" t="s">
        <v>5810</v>
      </c>
      <c r="F47" s="353">
        <v>2050.0</v>
      </c>
      <c r="G47" s="11" t="str">
        <f>IFERROR(__xludf.DUMMYFUNCTION("IFERROR(
  VLOOKUP(
    TRIM($A47),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)"),"https://drive.google.com/open?id=19mT2ZBMjCFOZPqEEy-l_bFzyoGuv8LhY")</f>
        <v>https://drive.google.com/open?id=19mT2ZBMjCFOZPqEEy-l_bFzyoGuv8LhY</v>
      </c>
      <c r="H47" s="14"/>
      <c r="I47" s="14"/>
      <c r="J47" s="14"/>
      <c r="K47" s="14"/>
      <c r="L47" s="14"/>
    </row>
    <row r="48">
      <c r="A48" s="351" t="s">
        <v>4526</v>
      </c>
      <c r="B48" s="351" t="s">
        <v>4729</v>
      </c>
      <c r="C48" s="351" t="s">
        <v>4958</v>
      </c>
      <c r="D48" s="351" t="s">
        <v>5816</v>
      </c>
      <c r="E48" s="352" t="s">
        <v>5810</v>
      </c>
      <c r="F48" s="353">
        <v>2600.0</v>
      </c>
      <c r="G48" s="11" t="str">
        <f>IFERROR(__xludf.DUMMYFUNCTION("IFERROR(
  VLOOKUP(
    TRIM($A48),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)"),"https://drive.google.com/open?id=1DVtuW8sBJ5GN6KdlSnJcptisIiqvtLA8")</f>
        <v>https://drive.google.com/open?id=1DVtuW8sBJ5GN6KdlSnJcptisIiqvtLA8</v>
      </c>
      <c r="H48" s="14"/>
      <c r="I48" s="14"/>
      <c r="J48" s="14"/>
      <c r="K48" s="14"/>
      <c r="L48" s="14"/>
    </row>
    <row r="49">
      <c r="A49" s="351" t="s">
        <v>3072</v>
      </c>
      <c r="B49" s="351" t="s">
        <v>4729</v>
      </c>
      <c r="C49" s="351" t="s">
        <v>5059</v>
      </c>
      <c r="D49" s="351" t="s">
        <v>5816</v>
      </c>
      <c r="E49" s="352" t="s">
        <v>5810</v>
      </c>
      <c r="F49" s="353">
        <v>150.0</v>
      </c>
      <c r="G49" s="11" t="str">
        <f>IFERROR(__xludf.DUMMYFUNCTION("IFERROR(
  VLOOKUP(
    TRIM($A49),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)"),"https://drive.google.com/open?id=18cVsstQIWuSGdScyRZvHmpYYYMiuTrJU")</f>
        <v>https://drive.google.com/open?id=18cVsstQIWuSGdScyRZvHmpYYYMiuTrJU</v>
      </c>
      <c r="H49" s="14"/>
      <c r="I49" s="14"/>
      <c r="J49" s="14"/>
      <c r="K49" s="14"/>
      <c r="L49" s="14"/>
    </row>
    <row r="50">
      <c r="A50" s="351" t="s">
        <v>4543</v>
      </c>
      <c r="B50" s="351" t="s">
        <v>4729</v>
      </c>
      <c r="C50" s="351" t="s">
        <v>5026</v>
      </c>
      <c r="D50" s="351" t="s">
        <v>5816</v>
      </c>
      <c r="E50" s="352" t="s">
        <v>5810</v>
      </c>
      <c r="F50" s="353">
        <v>1900.0</v>
      </c>
      <c r="G50" s="11" t="str">
        <f>IFERROR(__xludf.DUMMYFUNCTION("IFERROR(
  VLOOKUP(
    TRIM($A50),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)"),"https://drive.google.com/open?id=161-ebjgfi97njt0cZHAnXMZGCNogVFr2")</f>
        <v>https://drive.google.com/open?id=161-ebjgfi97njt0cZHAnXMZGCNogVFr2</v>
      </c>
      <c r="H50" s="14"/>
      <c r="I50" s="14"/>
      <c r="J50" s="14"/>
      <c r="K50" s="14"/>
      <c r="L50" s="14"/>
    </row>
    <row r="51">
      <c r="A51" s="351" t="s">
        <v>4524</v>
      </c>
      <c r="B51" s="351" t="s">
        <v>4729</v>
      </c>
      <c r="C51" s="351" t="s">
        <v>4953</v>
      </c>
      <c r="D51" s="351" t="s">
        <v>5816</v>
      </c>
      <c r="E51" s="352" t="s">
        <v>5810</v>
      </c>
      <c r="F51" s="353">
        <v>650.0</v>
      </c>
      <c r="G51" s="11" t="str">
        <f>IFERROR(__xludf.DUMMYFUNCTION("IFERROR(
  VLOOKUP(
    TRIM($A51),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)"),"https://drive.google.com/open?id=1lzSyl6sumUeLk3Xsw_VOe90gwK3umqLL")</f>
        <v>https://drive.google.com/open?id=1lzSyl6sumUeLk3Xsw_VOe90gwK3umqLL</v>
      </c>
      <c r="H51" s="14"/>
      <c r="I51" s="14"/>
      <c r="J51" s="14"/>
      <c r="K51" s="14"/>
      <c r="L51" s="14"/>
    </row>
    <row r="52">
      <c r="A52" s="351" t="s">
        <v>4528</v>
      </c>
      <c r="B52" s="351" t="s">
        <v>4729</v>
      </c>
      <c r="C52" s="351" t="s">
        <v>4983</v>
      </c>
      <c r="D52" s="351" t="s">
        <v>5816</v>
      </c>
      <c r="E52" s="352" t="s">
        <v>5810</v>
      </c>
      <c r="F52" s="353">
        <v>2100.0</v>
      </c>
      <c r="G52" s="11" t="str">
        <f>IFERROR(__xludf.DUMMYFUNCTION("IFERROR(
  VLOOKUP(
    TRIM($A52),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)"),"https://drive.google.com/open?id=1MgQuh3Vj7ogHgIt_9J57zWohumja4avf")</f>
        <v>https://drive.google.com/open?id=1MgQuh3Vj7ogHgIt_9J57zWohumja4avf</v>
      </c>
      <c r="H52" s="14"/>
      <c r="I52" s="14"/>
      <c r="J52" s="14"/>
      <c r="K52" s="14"/>
      <c r="L52" s="14"/>
    </row>
    <row r="53">
      <c r="A53" s="351" t="s">
        <v>3304</v>
      </c>
      <c r="B53" s="351" t="s">
        <v>4729</v>
      </c>
      <c r="C53" s="351" t="s">
        <v>4943</v>
      </c>
      <c r="D53" s="351" t="s">
        <v>5816</v>
      </c>
      <c r="E53" s="352" t="s">
        <v>5810</v>
      </c>
      <c r="F53" s="353">
        <v>1300.0</v>
      </c>
      <c r="G53" s="11" t="str">
        <f>IFERROR(__xludf.DUMMYFUNCTION("IFERROR(
  VLOOKUP(
    TRIM($A53),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)"),"https://drive.google.com/open?id=1OdPerN5__X31K0PbPnFTGAyL45YtCk6O")</f>
        <v>https://drive.google.com/open?id=1OdPerN5__X31K0PbPnFTGAyL45YtCk6O</v>
      </c>
      <c r="H53" s="14"/>
      <c r="I53" s="14"/>
      <c r="J53" s="14"/>
      <c r="K53" s="14"/>
      <c r="L53" s="14"/>
    </row>
    <row r="54">
      <c r="A54" s="351" t="s">
        <v>2899</v>
      </c>
      <c r="B54" s="351" t="s">
        <v>4729</v>
      </c>
      <c r="C54" s="351" t="s">
        <v>5073</v>
      </c>
      <c r="D54" s="351" t="s">
        <v>5816</v>
      </c>
      <c r="E54" s="352" t="s">
        <v>5810</v>
      </c>
      <c r="F54" s="353">
        <v>1250.0</v>
      </c>
      <c r="G54" s="11" t="str">
        <f>IFERROR(__xludf.DUMMYFUNCTION("IFERROR(
  VLOOKUP(
    TRIM($A54),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)"),"https://drive.google.com/open?id=1oFc3orTRDjbfMlKdQmveA6X19t6IHxkk")</f>
        <v>https://drive.google.com/open?id=1oFc3orTRDjbfMlKdQmveA6X19t6IHxkk</v>
      </c>
      <c r="H54" s="14"/>
      <c r="I54" s="14"/>
      <c r="J54" s="14"/>
      <c r="K54" s="14"/>
      <c r="L54" s="14"/>
    </row>
    <row r="55">
      <c r="A55" s="351" t="s">
        <v>4530</v>
      </c>
      <c r="B55" s="351" t="s">
        <v>4729</v>
      </c>
      <c r="C55" s="351" t="s">
        <v>5091</v>
      </c>
      <c r="D55" s="351" t="s">
        <v>5816</v>
      </c>
      <c r="E55" s="352" t="s">
        <v>5810</v>
      </c>
      <c r="F55" s="353">
        <v>2000.0</v>
      </c>
      <c r="G55" s="11" t="str">
        <f>IFERROR(__xludf.DUMMYFUNCTION("IFERROR(
  VLOOKUP(
    TRIM($A55),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)"),"https://drive.google.com/open?id=13aaSX6DFg4OBk1sGKvwjWCO4g3chctbT")</f>
        <v>https://drive.google.com/open?id=13aaSX6DFg4OBk1sGKvwjWCO4g3chctbT</v>
      </c>
      <c r="H55" s="14"/>
      <c r="I55" s="14"/>
      <c r="J55" s="14"/>
      <c r="K55" s="14"/>
      <c r="L55" s="14"/>
    </row>
    <row r="56">
      <c r="A56" s="351" t="s">
        <v>3050</v>
      </c>
      <c r="B56" s="351" t="s">
        <v>4729</v>
      </c>
      <c r="C56" s="351" t="s">
        <v>4966</v>
      </c>
      <c r="D56" s="351" t="s">
        <v>5816</v>
      </c>
      <c r="E56" s="352" t="s">
        <v>5810</v>
      </c>
      <c r="F56" s="353">
        <v>850.0</v>
      </c>
      <c r="G56" s="11" t="str">
        <f>IFERROR(__xludf.DUMMYFUNCTION("IFERROR(
  VLOOKUP(
    TRIM($A56),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)"),"https://drive.google.com/open?id=1vI1QrJayR4GLDpxBxWg_QKMnuOcZIBmM")</f>
        <v>https://drive.google.com/open?id=1vI1QrJayR4GLDpxBxWg_QKMnuOcZIBmM</v>
      </c>
      <c r="H56" s="14"/>
      <c r="I56" s="14"/>
      <c r="J56" s="14"/>
      <c r="K56" s="14"/>
      <c r="L56" s="14"/>
    </row>
    <row r="57">
      <c r="A57" s="351" t="s">
        <v>4533</v>
      </c>
      <c r="B57" s="351" t="s">
        <v>4729</v>
      </c>
      <c r="C57" s="351" t="s">
        <v>4975</v>
      </c>
      <c r="D57" s="351" t="s">
        <v>5816</v>
      </c>
      <c r="E57" s="352" t="s">
        <v>5810</v>
      </c>
      <c r="F57" s="353">
        <v>1500.0</v>
      </c>
      <c r="G57" s="11" t="str">
        <f>IFERROR(__xludf.DUMMYFUNCTION("IFERROR(
  VLOOKUP(
    TRIM($A57),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)"),"https://drive.google.com/open?id=1h6Mjh1GnCPCP9DjuP4QWfrFyEFy1HnJY")</f>
        <v>https://drive.google.com/open?id=1h6Mjh1GnCPCP9DjuP4QWfrFyEFy1HnJY</v>
      </c>
      <c r="H57" s="14"/>
      <c r="I57" s="14"/>
      <c r="J57" s="14"/>
      <c r="K57" s="14"/>
      <c r="L57" s="14"/>
    </row>
    <row r="58">
      <c r="A58" s="351" t="s">
        <v>3472</v>
      </c>
      <c r="B58" s="351" t="s">
        <v>4729</v>
      </c>
      <c r="C58" s="351" t="s">
        <v>4951</v>
      </c>
      <c r="D58" s="351" t="s">
        <v>5816</v>
      </c>
      <c r="E58" s="352" t="s">
        <v>5810</v>
      </c>
      <c r="F58" s="353">
        <v>800.0</v>
      </c>
      <c r="G58" s="11" t="str">
        <f>IFERROR(__xludf.DUMMYFUNCTION("IFERROR(
  VLOOKUP(
    TRIM($A58),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)"),"https://drive.google.com/open?id=1F8bnQmF7F05FAfaSDQBrdI_CaZSKISQH")</f>
        <v>https://drive.google.com/open?id=1F8bnQmF7F05FAfaSDQBrdI_CaZSKISQH</v>
      </c>
      <c r="H58" s="14"/>
      <c r="I58" s="14"/>
      <c r="J58" s="14"/>
      <c r="K58" s="14"/>
      <c r="L58" s="14"/>
    </row>
    <row r="59">
      <c r="A59" s="351" t="s">
        <v>3086</v>
      </c>
      <c r="B59" s="351" t="s">
        <v>4729</v>
      </c>
      <c r="C59" s="351" t="s">
        <v>4989</v>
      </c>
      <c r="D59" s="351" t="s">
        <v>5816</v>
      </c>
      <c r="E59" s="352" t="s">
        <v>5810</v>
      </c>
      <c r="F59" s="353">
        <v>1400.0</v>
      </c>
      <c r="G59" s="11" t="str">
        <f>IFERROR(__xludf.DUMMYFUNCTION("IFERROR(
  VLOOKUP(
    TRIM($A59),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)"),"https://drive.google.com/open?id=1AQPiTQscZ2w5FIv5baZYss6brzNJomTd")</f>
        <v>https://drive.google.com/open?id=1AQPiTQscZ2w5FIv5baZYss6brzNJomTd</v>
      </c>
      <c r="H59" s="14"/>
      <c r="I59" s="14"/>
      <c r="J59" s="14"/>
      <c r="K59" s="14"/>
      <c r="L59" s="14"/>
    </row>
    <row r="60">
      <c r="A60" s="351" t="s">
        <v>4527</v>
      </c>
      <c r="B60" s="351" t="s">
        <v>4729</v>
      </c>
      <c r="C60" s="351" t="s">
        <v>3014</v>
      </c>
      <c r="D60" s="351" t="s">
        <v>5816</v>
      </c>
      <c r="E60" s="352" t="s">
        <v>5810</v>
      </c>
      <c r="F60" s="353">
        <v>1000.0</v>
      </c>
      <c r="G60" s="11" t="str">
        <f>IFERROR(__xludf.DUMMYFUNCTION("IFERROR(
  VLOOKUP(
    TRIM($A60),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)"),"https://drive.google.com/open?id=1vqRirieo15oTSfDd5nr3QWeaWrgTHP-Y")</f>
        <v>https://drive.google.com/open?id=1vqRirieo15oTSfDd5nr3QWeaWrgTHP-Y</v>
      </c>
      <c r="H60" s="14"/>
      <c r="I60" s="14"/>
      <c r="J60" s="14"/>
      <c r="K60" s="14"/>
      <c r="L60" s="14"/>
    </row>
    <row r="61">
      <c r="A61" s="351" t="s">
        <v>4534</v>
      </c>
      <c r="B61" s="351" t="s">
        <v>4729</v>
      </c>
      <c r="C61" s="351" t="s">
        <v>4979</v>
      </c>
      <c r="D61" s="351" t="s">
        <v>5816</v>
      </c>
      <c r="E61" s="352" t="s">
        <v>5810</v>
      </c>
      <c r="F61" s="353">
        <v>1150.0</v>
      </c>
      <c r="G61" s="11" t="str">
        <f>IFERROR(__xludf.DUMMYFUNCTION("IFERROR(
  VLOOKUP(
    TRIM($A61),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)"),"https://drive.google.com/open?id=1RERN0x9pk7IhfFAXSjtEjZIDigANzHMJ")</f>
        <v>https://drive.google.com/open?id=1RERN0x9pk7IhfFAXSjtEjZIDigANzHMJ</v>
      </c>
      <c r="H61" s="14"/>
      <c r="I61" s="14"/>
      <c r="J61" s="14"/>
      <c r="K61" s="14"/>
      <c r="L61" s="14"/>
    </row>
    <row r="62">
      <c r="A62" s="351" t="s">
        <v>4536</v>
      </c>
      <c r="B62" s="351" t="s">
        <v>4729</v>
      </c>
      <c r="C62" s="351" t="s">
        <v>4940</v>
      </c>
      <c r="D62" s="351" t="s">
        <v>5816</v>
      </c>
      <c r="E62" s="352" t="s">
        <v>5810</v>
      </c>
      <c r="F62" s="353">
        <v>2800.0</v>
      </c>
      <c r="G62" s="11" t="str">
        <f>IFERROR(__xludf.DUMMYFUNCTION("IFERROR(
  VLOOKUP(
    TRIM($A62),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)"),"https://drive.google.com/open?id=1qRz3ocN3OJomjNiaU7--q2fZVx-50FO6")</f>
        <v>https://drive.google.com/open?id=1qRz3ocN3OJomjNiaU7--q2fZVx-50FO6</v>
      </c>
      <c r="H62" s="14"/>
      <c r="I62" s="14"/>
      <c r="J62" s="14"/>
      <c r="K62" s="14"/>
      <c r="L62" s="14"/>
    </row>
    <row r="63">
      <c r="A63" s="351" t="s">
        <v>2916</v>
      </c>
      <c r="B63" s="351" t="s">
        <v>4729</v>
      </c>
      <c r="C63" s="351" t="s">
        <v>4969</v>
      </c>
      <c r="D63" s="351" t="s">
        <v>5816</v>
      </c>
      <c r="E63" s="352" t="s">
        <v>5810</v>
      </c>
      <c r="F63" s="353">
        <v>1700.0</v>
      </c>
      <c r="G63" s="11" t="str">
        <f>IFERROR(__xludf.DUMMYFUNCTION("IFERROR(
  VLOOKUP(
    TRIM($A63),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)"),"https://drive.google.com/open?id=1mir4cuQEvwIKdAtC626DfvV7y_X3fH2f")</f>
        <v>https://drive.google.com/open?id=1mir4cuQEvwIKdAtC626DfvV7y_X3fH2f</v>
      </c>
      <c r="H63" s="14"/>
      <c r="I63" s="14"/>
      <c r="J63" s="14"/>
      <c r="K63" s="14"/>
      <c r="L63" s="14"/>
    </row>
    <row r="64">
      <c r="A64" s="351" t="s">
        <v>4539</v>
      </c>
      <c r="B64" s="351" t="s">
        <v>4729</v>
      </c>
      <c r="C64" s="351" t="s">
        <v>4930</v>
      </c>
      <c r="D64" s="351" t="s">
        <v>5816</v>
      </c>
      <c r="E64" s="352" t="s">
        <v>5810</v>
      </c>
      <c r="F64" s="353">
        <v>900.0</v>
      </c>
      <c r="G64" s="11" t="str">
        <f>IFERROR(__xludf.DUMMYFUNCTION("IFERROR(
  VLOOKUP(
    TRIM($A64),
    ARRAYFORMULA({
      TRIM(IMPORTRANGE(""https://docs.google.com/spreadsheets/d/1u9GbdmgAEc9k6kHu3ZfH25nxRNstVbRmM2ai-cDl3lY/edit"",""Form responses 1!F:F"")),
      IMPORTRANGE(""https://docs.google.com/spreadsheets"&amp;"/d/1u9GbdmgAEc9k6kHu3ZfH25nxRNstVbRmM2ai-cDl3lY/edit"",""Form responses 1!G:T"")
    }),
    11,
    FALSE
  ),
  ""Not found""
)"),"https://drive.google.com/file/d/1YCu5prLQpi0jXV72Skx9iSPHkcPXEFjE/view?usp=sharing")</f>
        <v>https://drive.google.com/file/d/1YCu5prLQpi0jXV72Skx9iSPHkcPXEFjE/view?usp=sharing</v>
      </c>
      <c r="H64" s="14"/>
      <c r="I64" s="14"/>
      <c r="J64" s="14"/>
      <c r="K64" s="14"/>
      <c r="L64" s="14"/>
    </row>
    <row r="65">
      <c r="A65" s="351" t="s">
        <v>4540</v>
      </c>
      <c r="B65" s="351" t="s">
        <v>4729</v>
      </c>
      <c r="C65" s="351" t="s">
        <v>5078</v>
      </c>
      <c r="D65" s="351" t="s">
        <v>5816</v>
      </c>
      <c r="E65" s="352" t="s">
        <v>5810</v>
      </c>
      <c r="F65" s="353">
        <v>1050.0</v>
      </c>
      <c r="G65" s="11" t="str">
        <f>IFERROR(__xludf.DUMMYFUNCTION("IFERROR(
  VLOOKUP(
    TRIM($A65),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)"),"https://drive.google.com/open?id=1dflR9irnouUW5q9WQIfKD_LezX97yIlT")</f>
        <v>https://drive.google.com/open?id=1dflR9irnouUW5q9WQIfKD_LezX97yIlT</v>
      </c>
      <c r="H65" s="14"/>
      <c r="I65" s="14"/>
      <c r="J65" s="14"/>
      <c r="K65" s="14"/>
      <c r="L65" s="14"/>
    </row>
    <row r="66">
      <c r="A66" s="351" t="s">
        <v>3241</v>
      </c>
      <c r="B66" s="351" t="s">
        <v>4729</v>
      </c>
      <c r="C66" s="351" t="s">
        <v>5112</v>
      </c>
      <c r="D66" s="351" t="s">
        <v>5816</v>
      </c>
      <c r="E66" s="352" t="s">
        <v>5810</v>
      </c>
      <c r="F66" s="353">
        <v>1700.0</v>
      </c>
      <c r="G66" s="11" t="str">
        <f>IFERROR(__xludf.DUMMYFUNCTION("IFERROR(
  VLOOKUP(
    TRIM($A66),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)"),"https://drive.google.com/open?id=1gK688Fl-GVZ57aJRNSyK70i2-IT-cVSX")</f>
        <v>https://drive.google.com/open?id=1gK688Fl-GVZ57aJRNSyK70i2-IT-cVSX</v>
      </c>
      <c r="H66" s="14"/>
      <c r="I66" s="14"/>
      <c r="J66" s="14"/>
      <c r="K66" s="14"/>
      <c r="L66" s="14"/>
    </row>
    <row r="67">
      <c r="A67" s="354" t="s">
        <v>4522</v>
      </c>
      <c r="B67" s="354" t="s">
        <v>4729</v>
      </c>
      <c r="C67" s="354" t="s">
        <v>4960</v>
      </c>
      <c r="D67" s="354" t="s">
        <v>5816</v>
      </c>
      <c r="E67" s="352" t="s">
        <v>5810</v>
      </c>
      <c r="F67" s="355">
        <v>1500.0</v>
      </c>
      <c r="G67" s="11" t="str">
        <f>IFERROR(__xludf.DUMMYFUNCTION("IFERROR(
  VLOOKUP(
    TRIM($A67),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)"),"https://drive.google.com/open?id=1BoFMTR1pMmKURYZX16HWIDy-2lQbk_eJ")</f>
        <v>https://drive.google.com/open?id=1BoFMTR1pMmKURYZX16HWIDy-2lQbk_eJ</v>
      </c>
      <c r="H67" s="298"/>
      <c r="I67" s="298"/>
      <c r="J67" s="298"/>
      <c r="K67" s="298"/>
      <c r="L67" s="298"/>
    </row>
    <row r="68">
      <c r="A68" s="351" t="s">
        <v>4538</v>
      </c>
      <c r="B68" s="351" t="s">
        <v>4729</v>
      </c>
      <c r="C68" s="351" t="s">
        <v>2879</v>
      </c>
      <c r="D68" s="351" t="s">
        <v>5816</v>
      </c>
      <c r="E68" s="352" t="s">
        <v>5810</v>
      </c>
      <c r="F68" s="353">
        <v>1550.0</v>
      </c>
      <c r="G68" s="11" t="str">
        <f>IFERROR(__xludf.DUMMYFUNCTION("IFERROR(
  VLOOKUP(
    TRIM($A68),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)"),"https://drive.google.com/open?id=1ya1R9hXg8f-UVldQXaKZ3M1Cb7bMheob")</f>
        <v>https://drive.google.com/open?id=1ya1R9hXg8f-UVldQXaKZ3M1Cb7bMheob</v>
      </c>
      <c r="H68" s="14"/>
      <c r="I68" s="14"/>
      <c r="J68" s="14"/>
      <c r="K68" s="14"/>
      <c r="L68" s="14"/>
    </row>
    <row r="69">
      <c r="A69" s="351" t="s">
        <v>4613</v>
      </c>
      <c r="B69" s="351" t="s">
        <v>4748</v>
      </c>
      <c r="C69" s="351" t="s">
        <v>5267</v>
      </c>
      <c r="D69" s="351" t="s">
        <v>5809</v>
      </c>
      <c r="E69" s="352" t="s">
        <v>5810</v>
      </c>
      <c r="F69" s="353">
        <v>1350.0</v>
      </c>
      <c r="G69" s="11" t="str">
        <f>IFERROR(__xludf.DUMMYFUNCTION("IFERROR(
  VLOOKUP(
    TRIM($A69),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)"),"https://drive.google.com/open?id=1D8i2v2rupLB3-3lRJxGcKywrUVJkhpaE")</f>
        <v>https://drive.google.com/open?id=1D8i2v2rupLB3-3lRJxGcKywrUVJkhpaE</v>
      </c>
      <c r="H69" s="14"/>
      <c r="I69" s="14"/>
      <c r="J69" s="14"/>
      <c r="K69" s="14"/>
      <c r="L69" s="14"/>
    </row>
    <row r="70">
      <c r="A70" s="351" t="s">
        <v>4621</v>
      </c>
      <c r="B70" s="351" t="s">
        <v>4748</v>
      </c>
      <c r="C70" s="351" t="s">
        <v>5269</v>
      </c>
      <c r="D70" s="351" t="s">
        <v>5809</v>
      </c>
      <c r="E70" s="352" t="s">
        <v>5810</v>
      </c>
      <c r="F70" s="353">
        <v>2050.0</v>
      </c>
      <c r="G70" s="11" t="str">
        <f>IFERROR(__xludf.DUMMYFUNCTION("IFERROR(
  VLOOKUP(
    TRIM($A70),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)"),"https://drive.google.com/open?id=1JjL83ZKBCYrH_JONp9wtrEeoaFy_tDJw")</f>
        <v>https://drive.google.com/open?id=1JjL83ZKBCYrH_JONp9wtrEeoaFy_tDJw</v>
      </c>
      <c r="H70" s="14"/>
      <c r="I70" s="14"/>
      <c r="J70" s="14"/>
      <c r="K70" s="14"/>
      <c r="L70" s="14"/>
    </row>
    <row r="71">
      <c r="A71" s="351" t="s">
        <v>4594</v>
      </c>
      <c r="B71" s="351" t="s">
        <v>4748</v>
      </c>
      <c r="C71" s="351" t="s">
        <v>5273</v>
      </c>
      <c r="D71" s="351" t="s">
        <v>5809</v>
      </c>
      <c r="E71" s="352" t="s">
        <v>5810</v>
      </c>
      <c r="F71" s="353">
        <v>1250.0</v>
      </c>
      <c r="G71" s="11" t="str">
        <f>IFERROR(__xludf.DUMMYFUNCTION("IFERROR(
  VLOOKUP(
    TRIM($A71),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)"),"https://drive.google.com/open?id=1HWFz3kpejEGFj4YCgP0iJMA6H0WtAK73")</f>
        <v>https://drive.google.com/open?id=1HWFz3kpejEGFj4YCgP0iJMA6H0WtAK73</v>
      </c>
      <c r="H71" s="14"/>
      <c r="I71" s="14"/>
      <c r="J71" s="14"/>
      <c r="K71" s="14"/>
      <c r="L71" s="14"/>
    </row>
    <row r="72">
      <c r="A72" s="351" t="s">
        <v>4597</v>
      </c>
      <c r="B72" s="351" t="s">
        <v>4748</v>
      </c>
      <c r="C72" s="351" t="s">
        <v>5287</v>
      </c>
      <c r="D72" s="351" t="s">
        <v>5809</v>
      </c>
      <c r="E72" s="352" t="s">
        <v>5810</v>
      </c>
      <c r="F72" s="353">
        <v>1150.0</v>
      </c>
      <c r="G72" s="11" t="str">
        <f>IFERROR(__xludf.DUMMYFUNCTION("IFERROR(
  VLOOKUP(
    TRIM($A72),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)"),"https://drive.google.com/open?id=1Mf8BR8lWKk2oCD9PUirO6ruwNNU8WVrr")</f>
        <v>https://drive.google.com/open?id=1Mf8BR8lWKk2oCD9PUirO6ruwNNU8WVrr</v>
      </c>
      <c r="H72" s="14"/>
      <c r="I72" s="14"/>
      <c r="J72" s="14"/>
      <c r="K72" s="14"/>
      <c r="L72" s="14"/>
    </row>
    <row r="73">
      <c r="A73" s="351" t="s">
        <v>4588</v>
      </c>
      <c r="B73" s="351" t="s">
        <v>4748</v>
      </c>
      <c r="C73" s="351" t="s">
        <v>5330</v>
      </c>
      <c r="D73" s="351" t="s">
        <v>5809</v>
      </c>
      <c r="E73" s="352" t="s">
        <v>5810</v>
      </c>
      <c r="F73" s="353">
        <v>2300.0</v>
      </c>
      <c r="G73" s="11" t="str">
        <f>IFERROR(__xludf.DUMMYFUNCTION("IFERROR(
  VLOOKUP(
    TRIM($A73),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)"),"https://drive.google.com/open?id=1efEqR_AFHOCErtTMQGTorMlfZlLkrWvF")</f>
        <v>https://drive.google.com/open?id=1efEqR_AFHOCErtTMQGTorMlfZlLkrWvF</v>
      </c>
      <c r="H73" s="14"/>
      <c r="I73" s="14"/>
      <c r="J73" s="14"/>
      <c r="K73" s="14"/>
      <c r="L73" s="14"/>
    </row>
    <row r="74">
      <c r="A74" s="351" t="s">
        <v>4587</v>
      </c>
      <c r="B74" s="351" t="s">
        <v>4748</v>
      </c>
      <c r="C74" s="351" t="s">
        <v>5319</v>
      </c>
      <c r="D74" s="351" t="s">
        <v>5809</v>
      </c>
      <c r="E74" s="352" t="s">
        <v>5810</v>
      </c>
      <c r="F74" s="353">
        <v>900.0</v>
      </c>
      <c r="G74" s="11" t="str">
        <f>IFERROR(__xludf.DUMMYFUNCTION("IFERROR(
  VLOOKUP(
    TRIM($A74),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)"),"https://drive.google.com/open?id=1kVwRwEXpPyTruGoRdP8AHavKrzcVrnmQ")</f>
        <v>https://drive.google.com/open?id=1kVwRwEXpPyTruGoRdP8AHavKrzcVrnmQ</v>
      </c>
      <c r="H74" s="14"/>
      <c r="I74" s="14"/>
      <c r="J74" s="14"/>
      <c r="K74" s="14"/>
      <c r="L74" s="14"/>
    </row>
    <row r="75">
      <c r="A75" s="351" t="s">
        <v>4595</v>
      </c>
      <c r="B75" s="351" t="s">
        <v>4748</v>
      </c>
      <c r="C75" s="351" t="s">
        <v>5328</v>
      </c>
      <c r="D75" s="351" t="s">
        <v>5809</v>
      </c>
      <c r="E75" s="352" t="s">
        <v>5810</v>
      </c>
      <c r="F75" s="353">
        <v>1400.0</v>
      </c>
      <c r="G75" s="11" t="str">
        <f>IFERROR(__xludf.DUMMYFUNCTION("IFERROR(
  VLOOKUP(
    TRIM($A75),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)"),"https://drive.google.com/open?id=1EJyAA4dhzsdz68BnKJQDP8sDxnI1ETZ2")</f>
        <v>https://drive.google.com/open?id=1EJyAA4dhzsdz68BnKJQDP8sDxnI1ETZ2</v>
      </c>
      <c r="H75" s="14"/>
      <c r="I75" s="14"/>
      <c r="J75" s="14"/>
      <c r="K75" s="14"/>
      <c r="L75" s="14"/>
    </row>
    <row r="76">
      <c r="A76" s="351" t="s">
        <v>4601</v>
      </c>
      <c r="B76" s="351" t="s">
        <v>4748</v>
      </c>
      <c r="C76" s="351" t="s">
        <v>5297</v>
      </c>
      <c r="D76" s="351" t="s">
        <v>5809</v>
      </c>
      <c r="E76" s="352" t="s">
        <v>5810</v>
      </c>
      <c r="F76" s="353">
        <v>1350.0</v>
      </c>
      <c r="G76" s="11" t="str">
        <f>IFERROR(__xludf.DUMMYFUNCTION("IFERROR(
  VLOOKUP(
    TRIM($A76),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)"),"https://drive.google.com/open?id=13U_wev_EBFGC8C-jOcvXDTYsyupAohmT")</f>
        <v>https://drive.google.com/open?id=13U_wev_EBFGC8C-jOcvXDTYsyupAohmT</v>
      </c>
      <c r="H76" s="14"/>
      <c r="I76" s="14"/>
      <c r="J76" s="14"/>
      <c r="K76" s="14"/>
      <c r="L76" s="14"/>
    </row>
    <row r="77">
      <c r="A77" s="351" t="s">
        <v>4592</v>
      </c>
      <c r="B77" s="351" t="s">
        <v>4748</v>
      </c>
      <c r="C77" s="351" t="s">
        <v>5271</v>
      </c>
      <c r="D77" s="351" t="s">
        <v>5809</v>
      </c>
      <c r="E77" s="352" t="s">
        <v>5810</v>
      </c>
      <c r="F77" s="353">
        <v>2450.0</v>
      </c>
      <c r="G77" s="11" t="str">
        <f>IFERROR(__xludf.DUMMYFUNCTION("IFERROR(
  VLOOKUP(
    TRIM($A77),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)"),"https://drive.google.com/open?id=1FWYw_s0MMo0mhPC18zXEr-9uWlI7T7N0")</f>
        <v>https://drive.google.com/open?id=1FWYw_s0MMo0mhPC18zXEr-9uWlI7T7N0</v>
      </c>
      <c r="H77" s="14"/>
      <c r="I77" s="14"/>
      <c r="J77" s="14"/>
      <c r="K77" s="14"/>
      <c r="L77" s="14"/>
    </row>
    <row r="78">
      <c r="A78" s="351" t="s">
        <v>4602</v>
      </c>
      <c r="B78" s="351" t="s">
        <v>4748</v>
      </c>
      <c r="C78" s="351" t="s">
        <v>5326</v>
      </c>
      <c r="D78" s="351" t="s">
        <v>5809</v>
      </c>
      <c r="E78" s="352" t="s">
        <v>5810</v>
      </c>
      <c r="F78" s="353">
        <v>1450.0</v>
      </c>
      <c r="G78" s="11" t="str">
        <f>IFERROR(__xludf.DUMMYFUNCTION("IFERROR(
  VLOOKUP(
    TRIM($A78),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)"),"https://drive.google.com/open?id=116PWn2GXou3YsP73pmns6ucHuVWeNpGl")</f>
        <v>https://drive.google.com/open?id=116PWn2GXou3YsP73pmns6ucHuVWeNpGl</v>
      </c>
      <c r="H78" s="14"/>
      <c r="I78" s="14"/>
      <c r="J78" s="14"/>
      <c r="K78" s="14"/>
      <c r="L78" s="14"/>
    </row>
    <row r="79">
      <c r="A79" s="351" t="s">
        <v>4591</v>
      </c>
      <c r="B79" s="351" t="s">
        <v>4748</v>
      </c>
      <c r="C79" s="351" t="s">
        <v>5324</v>
      </c>
      <c r="D79" s="351" t="s">
        <v>5809</v>
      </c>
      <c r="E79" s="352" t="s">
        <v>5810</v>
      </c>
      <c r="F79" s="353">
        <v>1200.0</v>
      </c>
      <c r="G79" s="11" t="str">
        <f>IFERROR(__xludf.DUMMYFUNCTION("IFERROR(
  VLOOKUP(
    TRIM($A79),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)"),"https://drive.google.com/open?id=1Sqfm1TeokLzMVRvJLt5EhpVJ9nxTvTie")</f>
        <v>https://drive.google.com/open?id=1Sqfm1TeokLzMVRvJLt5EhpVJ9nxTvTie</v>
      </c>
      <c r="H79" s="14"/>
      <c r="I79" s="14"/>
      <c r="J79" s="14"/>
      <c r="K79" s="14"/>
      <c r="L79" s="14"/>
    </row>
    <row r="80">
      <c r="A80" s="351" t="s">
        <v>4610</v>
      </c>
      <c r="B80" s="351" t="s">
        <v>4748</v>
      </c>
      <c r="C80" s="351" t="s">
        <v>5305</v>
      </c>
      <c r="D80" s="351" t="s">
        <v>5809</v>
      </c>
      <c r="E80" s="352" t="s">
        <v>5810</v>
      </c>
      <c r="F80" s="353">
        <v>1450.0</v>
      </c>
      <c r="G80" s="11" t="str">
        <f>IFERROR(__xludf.DUMMYFUNCTION("IFERROR(
  VLOOKUP(
    TRIM($A80),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)"),"https://drive.google.com/open?id=1b_Y53ymhoJttHilsqGJlAUND9RA3Qxi6")</f>
        <v>https://drive.google.com/open?id=1b_Y53ymhoJttHilsqGJlAUND9RA3Qxi6</v>
      </c>
      <c r="H80" s="14"/>
      <c r="I80" s="14"/>
      <c r="J80" s="14"/>
      <c r="K80" s="14"/>
      <c r="L80" s="14"/>
    </row>
    <row r="81">
      <c r="A81" s="351" t="s">
        <v>4618</v>
      </c>
      <c r="B81" s="351" t="s">
        <v>4748</v>
      </c>
      <c r="C81" s="351" t="s">
        <v>5334</v>
      </c>
      <c r="D81" s="351" t="s">
        <v>5809</v>
      </c>
      <c r="E81" s="352" t="s">
        <v>5810</v>
      </c>
      <c r="F81" s="353">
        <v>2100.0</v>
      </c>
      <c r="G81" s="11" t="str">
        <f>IFERROR(__xludf.DUMMYFUNCTION("IFERROR(
  VLOOKUP(
    TRIM($A81),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)"),"https://drive.google.com/open?id=1aL8bdbc91DXZcBZD-cYPxyCmxIcVmVZC")</f>
        <v>https://drive.google.com/open?id=1aL8bdbc91DXZcBZD-cYPxyCmxIcVmVZC</v>
      </c>
      <c r="H81" s="14"/>
      <c r="I81" s="14"/>
      <c r="J81" s="14"/>
      <c r="K81" s="14"/>
      <c r="L81" s="14"/>
    </row>
    <row r="82">
      <c r="A82" s="351" t="s">
        <v>4616</v>
      </c>
      <c r="B82" s="351" t="s">
        <v>4748</v>
      </c>
      <c r="C82" s="351" t="s">
        <v>5299</v>
      </c>
      <c r="D82" s="351" t="s">
        <v>5809</v>
      </c>
      <c r="E82" s="352" t="s">
        <v>5810</v>
      </c>
      <c r="F82" s="353">
        <v>1650.0</v>
      </c>
      <c r="G82" s="11" t="str">
        <f>IFERROR(__xludf.DUMMYFUNCTION("IFERROR(
  VLOOKUP(
    TRIM($A82),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)"),"https://drive.google.com/open?id=1IOgvpPFm_gActGulWmMz9L9Xz61Rtrow")</f>
        <v>https://drive.google.com/open?id=1IOgvpPFm_gActGulWmMz9L9Xz61Rtrow</v>
      </c>
      <c r="H82" s="14"/>
      <c r="I82" s="14"/>
      <c r="J82" s="14"/>
      <c r="K82" s="14"/>
      <c r="L82" s="14"/>
    </row>
    <row r="83">
      <c r="A83" s="351" t="s">
        <v>4607</v>
      </c>
      <c r="B83" s="351" t="s">
        <v>4748</v>
      </c>
      <c r="C83" s="351" t="s">
        <v>757</v>
      </c>
      <c r="D83" s="351" t="s">
        <v>5809</v>
      </c>
      <c r="E83" s="352" t="s">
        <v>5810</v>
      </c>
      <c r="F83" s="353">
        <v>1950.0</v>
      </c>
      <c r="G83" s="11" t="str">
        <f>IFERROR(__xludf.DUMMYFUNCTION("IFERROR(
  VLOOKUP(
    TRIM($A83),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)"),"https://drive.google.com/open?id=1TQ4BhX6ncGW_00pPSPACDJ1WjGEkYKjE")</f>
        <v>https://drive.google.com/open?id=1TQ4BhX6ncGW_00pPSPACDJ1WjGEkYKjE</v>
      </c>
      <c r="H83" s="14"/>
      <c r="I83" s="14"/>
      <c r="J83" s="14"/>
      <c r="K83" s="14"/>
      <c r="L83" s="14"/>
    </row>
    <row r="84">
      <c r="A84" s="351" t="s">
        <v>4593</v>
      </c>
      <c r="B84" s="351" t="s">
        <v>4748</v>
      </c>
      <c r="C84" s="351" t="s">
        <v>5338</v>
      </c>
      <c r="D84" s="351" t="s">
        <v>5809</v>
      </c>
      <c r="E84" s="352" t="s">
        <v>5810</v>
      </c>
      <c r="F84" s="353">
        <v>1300.0</v>
      </c>
      <c r="G84" s="11" t="str">
        <f>IFERROR(__xludf.DUMMYFUNCTION("IFERROR(
  VLOOKUP(
    TRIM($A84),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)"),"https://drive.google.com/open?id=1mUp_E95MSl6sH28VavCkOdal1judGvBy")</f>
        <v>https://drive.google.com/open?id=1mUp_E95MSl6sH28VavCkOdal1judGvBy</v>
      </c>
      <c r="H84" s="14"/>
      <c r="I84" s="14"/>
      <c r="J84" s="14"/>
      <c r="K84" s="14"/>
      <c r="L84" s="14"/>
    </row>
    <row r="85">
      <c r="A85" s="351" t="s">
        <v>4603</v>
      </c>
      <c r="B85" s="351" t="s">
        <v>4748</v>
      </c>
      <c r="C85" s="351" t="s">
        <v>5281</v>
      </c>
      <c r="D85" s="351" t="s">
        <v>5809</v>
      </c>
      <c r="E85" s="352" t="s">
        <v>5810</v>
      </c>
      <c r="F85" s="353">
        <v>3100.0</v>
      </c>
      <c r="G85" s="11" t="str">
        <f>IFERROR(__xludf.DUMMYFUNCTION("IFERROR(
  VLOOKUP(
    TRIM($A85),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)"),"https://drive.google.com/open?id=1iT8yWR2s2IQNoCvHozQA-lGoExayfFFV")</f>
        <v>https://drive.google.com/open?id=1iT8yWR2s2IQNoCvHozQA-lGoExayfFFV</v>
      </c>
      <c r="H85" s="14"/>
      <c r="I85" s="14"/>
      <c r="J85" s="14"/>
      <c r="K85" s="14"/>
      <c r="L85" s="14"/>
    </row>
    <row r="86">
      <c r="A86" s="351" t="s">
        <v>4617</v>
      </c>
      <c r="B86" s="351" t="s">
        <v>4748</v>
      </c>
      <c r="C86" s="351" t="s">
        <v>5336</v>
      </c>
      <c r="D86" s="351" t="s">
        <v>5809</v>
      </c>
      <c r="E86" s="352" t="s">
        <v>5810</v>
      </c>
      <c r="F86" s="353">
        <v>3300.0</v>
      </c>
      <c r="G86" s="11" t="str">
        <f>IFERROR(__xludf.DUMMYFUNCTION("IFERROR(
  VLOOKUP(
    TRIM($A86),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)"),"https://drive.google.com/open?id=1ljzmxvYha8jm2FXqN44EX0rEZpbJLLVy")</f>
        <v>https://drive.google.com/open?id=1ljzmxvYha8jm2FXqN44EX0rEZpbJLLVy</v>
      </c>
      <c r="H86" s="14"/>
      <c r="I86" s="14"/>
      <c r="J86" s="14"/>
      <c r="K86" s="14"/>
      <c r="L86" s="14"/>
    </row>
    <row r="87">
      <c r="A87" s="351" t="s">
        <v>4609</v>
      </c>
      <c r="B87" s="351" t="s">
        <v>4748</v>
      </c>
      <c r="C87" s="351" t="s">
        <v>5321</v>
      </c>
      <c r="D87" s="351" t="s">
        <v>5809</v>
      </c>
      <c r="E87" s="352" t="s">
        <v>5810</v>
      </c>
      <c r="F87" s="353">
        <v>1400.0</v>
      </c>
      <c r="G87" s="11" t="str">
        <f>IFERROR(__xludf.DUMMYFUNCTION("IFERROR(
  VLOOKUP(
    TRIM($A87),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)"),"https://drive.google.com/open?id=10cs-Voj4HPPqKegcebBxcvspRfd4MfuA")</f>
        <v>https://drive.google.com/open?id=10cs-Voj4HPPqKegcebBxcvspRfd4MfuA</v>
      </c>
      <c r="H87" s="14"/>
      <c r="I87" s="14"/>
      <c r="J87" s="14"/>
      <c r="K87" s="14"/>
      <c r="L87" s="14"/>
    </row>
    <row r="88">
      <c r="A88" s="351" t="s">
        <v>4611</v>
      </c>
      <c r="B88" s="351" t="s">
        <v>4748</v>
      </c>
      <c r="C88" s="351" t="s">
        <v>5293</v>
      </c>
      <c r="D88" s="351" t="s">
        <v>5809</v>
      </c>
      <c r="E88" s="352" t="s">
        <v>5810</v>
      </c>
      <c r="F88" s="353">
        <v>300.0</v>
      </c>
      <c r="G88" s="11" t="str">
        <f>IFERROR(__xludf.DUMMYFUNCTION("IFERROR(
  VLOOKUP(
    TRIM($A88),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)"),"https://drive.google.com/open?id=1yeU0Ecs3iG8fzMKC54cIr5tbq75ITBfx")</f>
        <v>https://drive.google.com/open?id=1yeU0Ecs3iG8fzMKC54cIr5tbq75ITBfx</v>
      </c>
      <c r="H88" s="14"/>
      <c r="I88" s="14"/>
      <c r="J88" s="14"/>
      <c r="K88" s="14"/>
      <c r="L88" s="14"/>
    </row>
    <row r="89">
      <c r="A89" s="351" t="s">
        <v>4604</v>
      </c>
      <c r="B89" s="351" t="s">
        <v>4748</v>
      </c>
      <c r="C89" s="351" t="s">
        <v>5311</v>
      </c>
      <c r="D89" s="351" t="s">
        <v>5809</v>
      </c>
      <c r="E89" s="352" t="s">
        <v>5810</v>
      </c>
      <c r="F89" s="353">
        <v>1000.0</v>
      </c>
      <c r="G89" s="11" t="str">
        <f>IFERROR(__xludf.DUMMYFUNCTION("IFERROR(
  VLOOKUP(
    TRIM($A89),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)"),"https://drive.google.com/open?id=115lgdghbP7X0KA2Sr6pKLCfUvcoVcUzQ")</f>
        <v>https://drive.google.com/open?id=115lgdghbP7X0KA2Sr6pKLCfUvcoVcUzQ</v>
      </c>
      <c r="H89" s="14"/>
      <c r="I89" s="14"/>
      <c r="J89" s="14"/>
      <c r="K89" s="14"/>
      <c r="L89" s="14"/>
    </row>
    <row r="90">
      <c r="A90" s="351" t="s">
        <v>4615</v>
      </c>
      <c r="B90" s="351" t="s">
        <v>4748</v>
      </c>
      <c r="C90" s="351" t="s">
        <v>999</v>
      </c>
      <c r="D90" s="351" t="s">
        <v>5809</v>
      </c>
      <c r="E90" s="352" t="s">
        <v>5810</v>
      </c>
      <c r="F90" s="353">
        <v>1200.0</v>
      </c>
      <c r="G90" s="11" t="str">
        <f>IFERROR(__xludf.DUMMYFUNCTION("IFERROR(
  VLOOKUP(
    TRIM($A90),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)"),"https://drive.google.com/open?id=1puSajbEW6yWMQI9fqVvAg9Oj8zEXgJOk")</f>
        <v>https://drive.google.com/open?id=1puSajbEW6yWMQI9fqVvAg9Oj8zEXgJOk</v>
      </c>
      <c r="H90" s="14"/>
      <c r="I90" s="14"/>
      <c r="J90" s="14"/>
      <c r="K90" s="14"/>
      <c r="L90" s="14"/>
    </row>
    <row r="91">
      <c r="A91" s="351" t="s">
        <v>4868</v>
      </c>
      <c r="B91" s="351" t="s">
        <v>4748</v>
      </c>
      <c r="C91" s="351" t="s">
        <v>5316</v>
      </c>
      <c r="D91" s="351" t="s">
        <v>5809</v>
      </c>
      <c r="E91" s="352" t="s">
        <v>5810</v>
      </c>
      <c r="F91" s="353">
        <v>950.0</v>
      </c>
      <c r="G91" s="11" t="str">
        <f>IFERROR(__xludf.DUMMYFUNCTION("IFERROR(
  VLOOKUP(
    TRIM($A91),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)"),"https://drive.google.com/open?id=1wUeqfAV0Ay3ExVoytiUICcM_ECSQQ1Kw")</f>
        <v>https://drive.google.com/open?id=1wUeqfAV0Ay3ExVoytiUICcM_ECSQQ1Kw</v>
      </c>
      <c r="H91" s="14"/>
      <c r="I91" s="14"/>
      <c r="J91" s="14"/>
      <c r="K91" s="14"/>
      <c r="L91" s="14"/>
    </row>
    <row r="92">
      <c r="A92" s="351" t="s">
        <v>4596</v>
      </c>
      <c r="B92" s="351" t="s">
        <v>4748</v>
      </c>
      <c r="C92" s="351" t="s">
        <v>5301</v>
      </c>
      <c r="D92" s="351" t="s">
        <v>5809</v>
      </c>
      <c r="E92" s="352" t="s">
        <v>5810</v>
      </c>
      <c r="F92" s="353">
        <v>1400.0</v>
      </c>
      <c r="G92" s="11" t="str">
        <f>IFERROR(__xludf.DUMMYFUNCTION("IFERROR(
  VLOOKUP(
    TRIM($A92),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)"),"https://drive.google.com/open?id=1zz0RLryBIF6qEi7SziY3YtWM_575vzMj")</f>
        <v>https://drive.google.com/open?id=1zz0RLryBIF6qEi7SziY3YtWM_575vzMj</v>
      </c>
      <c r="H92" s="14"/>
      <c r="I92" s="14"/>
      <c r="J92" s="14"/>
      <c r="K92" s="14"/>
      <c r="L92" s="14"/>
    </row>
    <row r="93">
      <c r="A93" s="351" t="s">
        <v>4606</v>
      </c>
      <c r="B93" s="351" t="s">
        <v>4748</v>
      </c>
      <c r="C93" s="351" t="s">
        <v>5291</v>
      </c>
      <c r="D93" s="351" t="s">
        <v>5809</v>
      </c>
      <c r="E93" s="352" t="s">
        <v>5810</v>
      </c>
      <c r="F93" s="353">
        <v>2650.0</v>
      </c>
      <c r="G93" s="11" t="str">
        <f>IFERROR(__xludf.DUMMYFUNCTION("IFERROR(
  VLOOKUP(
    TRIM($A93),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)"),"https://drive.google.com/open?id=1qKUW4mZL3dRDMwxaeBXgTYvRGhibW7i-")</f>
        <v>https://drive.google.com/open?id=1qKUW4mZL3dRDMwxaeBXgTYvRGhibW7i-</v>
      </c>
      <c r="H93" s="14"/>
      <c r="I93" s="14"/>
      <c r="J93" s="14"/>
      <c r="K93" s="14"/>
      <c r="L93" s="14"/>
    </row>
    <row r="94">
      <c r="A94" s="351" t="s">
        <v>4598</v>
      </c>
      <c r="B94" s="351" t="s">
        <v>4748</v>
      </c>
      <c r="C94" s="351" t="s">
        <v>683</v>
      </c>
      <c r="D94" s="351" t="s">
        <v>5809</v>
      </c>
      <c r="E94" s="352" t="s">
        <v>5810</v>
      </c>
      <c r="F94" s="353">
        <v>1700.0</v>
      </c>
      <c r="G94" s="11" t="str">
        <f>IFERROR(__xludf.DUMMYFUNCTION("IFERROR(
  VLOOKUP(
    TRIM($A94),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)"),"https://drive.google.com/open?id=1ENGwi-i7yNiJ40cRcPEHUIp-ra4fws7T")</f>
        <v>https://drive.google.com/open?id=1ENGwi-i7yNiJ40cRcPEHUIp-ra4fws7T</v>
      </c>
      <c r="H94" s="14"/>
      <c r="I94" s="14"/>
      <c r="J94" s="14"/>
      <c r="K94" s="14"/>
      <c r="L94" s="14"/>
    </row>
    <row r="95">
      <c r="A95" s="351" t="s">
        <v>4608</v>
      </c>
      <c r="B95" s="351" t="s">
        <v>4748</v>
      </c>
      <c r="C95" s="351" t="s">
        <v>5307</v>
      </c>
      <c r="D95" s="351" t="s">
        <v>5809</v>
      </c>
      <c r="E95" s="352" t="s">
        <v>5810</v>
      </c>
      <c r="F95" s="353">
        <v>2550.0</v>
      </c>
      <c r="G95" s="11" t="str">
        <f>IFERROR(__xludf.DUMMYFUNCTION("IFERROR(
  VLOOKUP(
    TRIM($A95),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)"),"https://drive.google.com/open?id=1Efv6V8PmfiMFl5a9tjXXmZImlZT2nvOc")</f>
        <v>https://drive.google.com/open?id=1Efv6V8PmfiMFl5a9tjXXmZImlZT2nvOc</v>
      </c>
      <c r="H95" s="14"/>
      <c r="I95" s="14"/>
      <c r="J95" s="14"/>
      <c r="K95" s="14"/>
      <c r="L95" s="14"/>
    </row>
    <row r="96">
      <c r="A96" s="351" t="s">
        <v>1095</v>
      </c>
      <c r="B96" s="351" t="s">
        <v>4748</v>
      </c>
      <c r="C96" s="351" t="s">
        <v>5303</v>
      </c>
      <c r="D96" s="351" t="s">
        <v>5809</v>
      </c>
      <c r="E96" s="352" t="s">
        <v>5810</v>
      </c>
      <c r="F96" s="353">
        <v>1600.0</v>
      </c>
      <c r="G96" s="11" t="str">
        <f>IFERROR(__xludf.DUMMYFUNCTION("IFERROR(
  VLOOKUP(
    TRIM($A96),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)"),"https://drive.google.com/open?id=1ki5V_DR1HwyWXdDbYd2JYQIemZ4GzLOD")</f>
        <v>https://drive.google.com/open?id=1ki5V_DR1HwyWXdDbYd2JYQIemZ4GzLOD</v>
      </c>
      <c r="H96" s="14"/>
      <c r="I96" s="14"/>
      <c r="J96" s="14"/>
      <c r="K96" s="14"/>
      <c r="L96" s="14"/>
    </row>
    <row r="97">
      <c r="A97" s="351" t="s">
        <v>4614</v>
      </c>
      <c r="B97" s="351" t="s">
        <v>4748</v>
      </c>
      <c r="C97" s="351" t="s">
        <v>5295</v>
      </c>
      <c r="D97" s="351" t="s">
        <v>5809</v>
      </c>
      <c r="E97" s="352" t="s">
        <v>5810</v>
      </c>
      <c r="F97" s="353">
        <v>150.0</v>
      </c>
      <c r="G97" s="11" t="str">
        <f>IFERROR(__xludf.DUMMYFUNCTION("IFERROR(
  VLOOKUP(
    TRIM($A97),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)"),"https://drive.google.com/open?id=1mlRjtU-SGm7vqVXGhKNQeRIiON9to_12")</f>
        <v>https://drive.google.com/open?id=1mlRjtU-SGm7vqVXGhKNQeRIiON9to_12</v>
      </c>
      <c r="H97" s="14"/>
      <c r="I97" s="14"/>
      <c r="J97" s="14"/>
      <c r="K97" s="14"/>
      <c r="L97" s="14"/>
    </row>
    <row r="98">
      <c r="A98" s="351" t="s">
        <v>4605</v>
      </c>
      <c r="B98" s="351" t="s">
        <v>4748</v>
      </c>
      <c r="C98" s="351" t="s">
        <v>1092</v>
      </c>
      <c r="D98" s="351" t="s">
        <v>5809</v>
      </c>
      <c r="E98" s="352" t="s">
        <v>5810</v>
      </c>
      <c r="F98" s="353">
        <v>1150.0</v>
      </c>
      <c r="G98" s="11" t="str">
        <f>IFERROR(__xludf.DUMMYFUNCTION("IFERROR(
  VLOOKUP(
    TRIM($A98),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)"),"https://drive.google.com/open?id=1KFr707kRqb2DZBRLaitggDnMDive4dYC")</f>
        <v>https://drive.google.com/open?id=1KFr707kRqb2DZBRLaitggDnMDive4dYC</v>
      </c>
      <c r="H98" s="14"/>
      <c r="I98" s="14"/>
      <c r="J98" s="14"/>
      <c r="K98" s="14"/>
      <c r="L98" s="14"/>
    </row>
    <row r="99">
      <c r="A99" s="351" t="s">
        <v>4612</v>
      </c>
      <c r="B99" s="351" t="s">
        <v>4748</v>
      </c>
      <c r="C99" s="351" t="s">
        <v>5289</v>
      </c>
      <c r="D99" s="351" t="s">
        <v>5809</v>
      </c>
      <c r="E99" s="352" t="s">
        <v>5810</v>
      </c>
      <c r="F99" s="353">
        <v>1200.0</v>
      </c>
      <c r="G99" s="11" t="str">
        <f>IFERROR(__xludf.DUMMYFUNCTION("IFERROR(
  VLOOKUP(
    TRIM($A99),
    ARRAYFORMULA({
      TRIM(IMPORTRANGE(""https://docs.google.com/spreadsheets/d/1u9GbdmgAEc9k6kHu3ZfH25nxRNstVbRmM2ai-cDl3lY/edit"",""Form responses 1!F:F"")),
      IMPORTRANGE(""https://docs.google.com/spreadsheets"&amp;"/d/1u9GbdmgAEc9k6kHu3ZfH25nxRNstVbRmM2ai-cDl3lY/edit"",""Form responses 1!G:T"")
    }),
    11,
    FALSE
  ),
  ""Not found""
)"),"https://drive.google.com/open?id=1GLtnCHlMuRmvbJHj8lLHOf30XS86AIu6")</f>
        <v>https://drive.google.com/open?id=1GLtnCHlMuRmvbJHj8lLHOf30XS86AIu6</v>
      </c>
      <c r="H99" s="14"/>
      <c r="I99" s="14"/>
      <c r="J99" s="14"/>
      <c r="K99" s="14"/>
      <c r="L99" s="14"/>
    </row>
    <row r="100">
      <c r="A100" s="351" t="s">
        <v>4599</v>
      </c>
      <c r="B100" s="351" t="s">
        <v>4748</v>
      </c>
      <c r="C100" s="351" t="s">
        <v>5309</v>
      </c>
      <c r="D100" s="351" t="s">
        <v>5809</v>
      </c>
      <c r="E100" s="352" t="s">
        <v>5810</v>
      </c>
      <c r="F100" s="353">
        <v>2250.0</v>
      </c>
      <c r="G100" s="11" t="str">
        <f>IFERROR(__xludf.DUMMYFUNCTION("IFERROR(
  VLOOKUP(
    TRIM($A100),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)"),"https://drive.google.com/open?id=1Zr3bN82_GUG8v4QK6mJDDpZVudpvcYoy")</f>
        <v>https://drive.google.com/open?id=1Zr3bN82_GUG8v4QK6mJDDpZVudpvcYoy</v>
      </c>
      <c r="H100" s="14"/>
      <c r="I100" s="14"/>
      <c r="J100" s="14"/>
      <c r="K100" s="14"/>
      <c r="L100" s="14"/>
    </row>
    <row r="101">
      <c r="A101" s="351" t="s">
        <v>4620</v>
      </c>
      <c r="B101" s="351" t="s">
        <v>4748</v>
      </c>
      <c r="C101" s="351" t="s">
        <v>5265</v>
      </c>
      <c r="D101" s="351" t="s">
        <v>5809</v>
      </c>
      <c r="E101" s="352" t="s">
        <v>5810</v>
      </c>
      <c r="F101" s="353">
        <v>1600.0</v>
      </c>
      <c r="G101" s="11" t="str">
        <f>IFERROR(__xludf.DUMMYFUNCTION("IFERROR(
  VLOOKUP(
    TRIM($A101),
    ARRAYFORMULA({
      TRIM(IMPORTRANGE(""https://docs.google.com/spreadsheets/d/1u9GbdmgAEc9k6kHu3ZfH25nxRNstVbRmM2ai-cDl3lY/edit"",""Form responses 1!F:F"")),
      IMPORTRANGE(""https://docs.google.com/spreadsheet"&amp;"s/d/1u9GbdmgAEc9k6kHu3ZfH25nxRNstVbRmM2ai-cDl3lY/edit"",""Form responses 1!G:T"")
    }),
    11,
    FALSE
  ),
  ""Not found""
)"),"https://drive.google.com/file/d/11GTsp6iRuGBLQYSat0GF73CEg-eObf4p/view?usp=sharing")</f>
        <v>https://drive.google.com/file/d/11GTsp6iRuGBLQYSat0GF73CEg-eObf4p/view?usp=sharing</v>
      </c>
      <c r="H101" s="14"/>
      <c r="I101" s="14"/>
      <c r="J101" s="14"/>
      <c r="K101" s="14"/>
      <c r="L101" s="14"/>
    </row>
    <row r="102">
      <c r="A102" s="351" t="s">
        <v>4619</v>
      </c>
      <c r="B102" s="351" t="s">
        <v>4748</v>
      </c>
      <c r="C102" s="351" t="s">
        <v>5314</v>
      </c>
      <c r="D102" s="351" t="s">
        <v>5809</v>
      </c>
      <c r="E102" s="352" t="s">
        <v>5810</v>
      </c>
      <c r="F102" s="353">
        <v>250.0</v>
      </c>
      <c r="G102" s="11" t="str">
        <f>IFERROR(__xludf.DUMMYFUNCTION("IFERROR(
  VLOOKUP(
    TRIM($A102),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)"),"https://drive.google.com/open?id=1ZDNRXIjzZlv4u2sl4RCa27faF1VETcJb")</f>
        <v>https://drive.google.com/open?id=1ZDNRXIjzZlv4u2sl4RCa27faF1VETcJb</v>
      </c>
      <c r="H102" s="14"/>
      <c r="I102" s="14"/>
      <c r="J102" s="14"/>
      <c r="K102" s="14"/>
      <c r="L102" s="14"/>
    </row>
    <row r="103">
      <c r="A103" s="351" t="s">
        <v>4600</v>
      </c>
      <c r="B103" s="351" t="s">
        <v>4748</v>
      </c>
      <c r="C103" s="351" t="s">
        <v>5284</v>
      </c>
      <c r="D103" s="351" t="s">
        <v>5809</v>
      </c>
      <c r="E103" s="352" t="s">
        <v>5810</v>
      </c>
      <c r="F103" s="353">
        <v>2650.0</v>
      </c>
      <c r="G103" s="11" t="str">
        <f>IFERROR(__xludf.DUMMYFUNCTION("IFERROR(
  VLOOKUP(
    TRIM($A103),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)"),"https://drive.google.com/open?id=1P1WcZ6AOhjpCtEkRS1f2oSO2i9hbm3NV")</f>
        <v>https://drive.google.com/open?id=1P1WcZ6AOhjpCtEkRS1f2oSO2i9hbm3NV</v>
      </c>
      <c r="H103" s="14"/>
      <c r="I103" s="14"/>
      <c r="J103" s="14"/>
      <c r="K103" s="14"/>
      <c r="L103" s="14"/>
    </row>
    <row r="104">
      <c r="A104" s="351" t="s">
        <v>4589</v>
      </c>
      <c r="B104" s="351" t="s">
        <v>4748</v>
      </c>
      <c r="C104" s="351" t="s">
        <v>5275</v>
      </c>
      <c r="D104" s="351" t="s">
        <v>5809</v>
      </c>
      <c r="E104" s="352" t="s">
        <v>5810</v>
      </c>
      <c r="F104" s="353">
        <v>850.0</v>
      </c>
      <c r="G104" s="11" t="str">
        <f>IFERROR(__xludf.DUMMYFUNCTION("IFERROR(
  VLOOKUP(
    TRIM($A104),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)"),"https://drive.google.com/open?id=1YfmJYBirQaUgzmscwCLQ2Qw5DZAhPt-8")</f>
        <v>https://drive.google.com/open?id=1YfmJYBirQaUgzmscwCLQ2Qw5DZAhPt-8</v>
      </c>
      <c r="H104" s="14"/>
      <c r="I104" s="14"/>
      <c r="J104" s="14"/>
      <c r="K104" s="14"/>
      <c r="L104" s="14"/>
    </row>
    <row r="105">
      <c r="A105" s="351" t="s">
        <v>4581</v>
      </c>
      <c r="B105" s="351" t="s">
        <v>4747</v>
      </c>
      <c r="C105" s="351" t="s">
        <v>5352</v>
      </c>
      <c r="D105" s="351" t="s">
        <v>5809</v>
      </c>
      <c r="E105" s="352" t="s">
        <v>5810</v>
      </c>
      <c r="F105" s="353">
        <v>2550.0</v>
      </c>
      <c r="G105" s="11" t="str">
        <f>IFERROR(__xludf.DUMMYFUNCTION("IFERROR(
  VLOOKUP(
    TRIM($A105),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)"),"https://drive.google.com/open?id=1ut9-OX4GYRjMCxLxfRbcO5fZJ9QheVd1")</f>
        <v>https://drive.google.com/open?id=1ut9-OX4GYRjMCxLxfRbcO5fZJ9QheVd1</v>
      </c>
      <c r="H105" s="14"/>
      <c r="I105" s="14"/>
      <c r="J105" s="14"/>
      <c r="K105" s="14"/>
      <c r="L105" s="14"/>
    </row>
    <row r="106">
      <c r="A106" s="351" t="s">
        <v>4582</v>
      </c>
      <c r="B106" s="351" t="s">
        <v>4747</v>
      </c>
      <c r="C106" s="351" t="s">
        <v>5358</v>
      </c>
      <c r="D106" s="351" t="s">
        <v>5809</v>
      </c>
      <c r="E106" s="352" t="s">
        <v>5810</v>
      </c>
      <c r="F106" s="353">
        <v>1200.0</v>
      </c>
      <c r="G106" s="11" t="str">
        <f>IFERROR(__xludf.DUMMYFUNCTION("IFERROR(
  VLOOKUP(
    TRIM($A106),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)"),"https://drive.google.com/open?id=143VcNhI88h5Kq6W2FjfVFMifV7m5efDn")</f>
        <v>https://drive.google.com/open?id=143VcNhI88h5Kq6W2FjfVFMifV7m5efDn</v>
      </c>
      <c r="H106" s="14"/>
      <c r="I106" s="14"/>
      <c r="J106" s="14"/>
      <c r="K106" s="14"/>
      <c r="L106" s="14"/>
    </row>
    <row r="107">
      <c r="A107" s="351" t="s">
        <v>4583</v>
      </c>
      <c r="B107" s="351" t="s">
        <v>4747</v>
      </c>
      <c r="C107" s="351" t="s">
        <v>5356</v>
      </c>
      <c r="D107" s="351" t="s">
        <v>5809</v>
      </c>
      <c r="E107" s="352" t="s">
        <v>5810</v>
      </c>
      <c r="F107" s="353">
        <v>900.0</v>
      </c>
      <c r="G107" s="11" t="str">
        <f>IFERROR(__xludf.DUMMYFUNCTION("IFERROR(
  VLOOKUP(
    TRIM($A107),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)"),"https://drive.google.com/open?id=1MTuB3F1EPc-ScIEt95-cOxPt-W5LnQM2")</f>
        <v>https://drive.google.com/open?id=1MTuB3F1EPc-ScIEt95-cOxPt-W5LnQM2</v>
      </c>
      <c r="H107" s="14"/>
      <c r="I107" s="14"/>
      <c r="J107" s="14"/>
      <c r="K107" s="14"/>
      <c r="L107" s="14"/>
    </row>
    <row r="108">
      <c r="A108" s="351" t="s">
        <v>4579</v>
      </c>
      <c r="B108" s="351" t="s">
        <v>4747</v>
      </c>
      <c r="C108" s="351" t="s">
        <v>705</v>
      </c>
      <c r="D108" s="351" t="s">
        <v>5809</v>
      </c>
      <c r="E108" s="352" t="s">
        <v>5810</v>
      </c>
      <c r="F108" s="353">
        <v>2600.0</v>
      </c>
      <c r="G108" s="11" t="str">
        <f>IFERROR(__xludf.DUMMYFUNCTION("IFERROR(
  VLOOKUP(
    TRIM($A108),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)"),"https://drive.google.com/open?id=1pNSQEtd2T_kIlPNOSsSJ5aduiyJdRXaX")</f>
        <v>https://drive.google.com/open?id=1pNSQEtd2T_kIlPNOSsSJ5aduiyJdRXaX</v>
      </c>
      <c r="H108" s="14"/>
      <c r="I108" s="14"/>
      <c r="J108" s="14"/>
      <c r="K108" s="14"/>
      <c r="L108" s="14"/>
    </row>
    <row r="109">
      <c r="A109" s="351" t="s">
        <v>4580</v>
      </c>
      <c r="B109" s="351" t="s">
        <v>4747</v>
      </c>
      <c r="C109" s="351" t="s">
        <v>5354</v>
      </c>
      <c r="D109" s="351" t="s">
        <v>5809</v>
      </c>
      <c r="E109" s="352" t="s">
        <v>5810</v>
      </c>
      <c r="F109" s="353">
        <v>1700.0</v>
      </c>
      <c r="G109" s="11" t="str">
        <f>IFERROR(__xludf.DUMMYFUNCTION("IFERROR(
  VLOOKUP(
    TRIM($A109),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)"),"https://drive.google.com/open?id=1teAfkKzKXL0853_xsoqPfxukeNEdz1B8")</f>
        <v>https://drive.google.com/open?id=1teAfkKzKXL0853_xsoqPfxukeNEdz1B8</v>
      </c>
      <c r="H109" s="14"/>
      <c r="I109" s="14"/>
      <c r="J109" s="14"/>
      <c r="K109" s="14"/>
      <c r="L109" s="14"/>
    </row>
    <row r="110">
      <c r="A110" s="351" t="s">
        <v>4584</v>
      </c>
      <c r="B110" s="351" t="s">
        <v>4747</v>
      </c>
      <c r="C110" s="351" t="s">
        <v>5344</v>
      </c>
      <c r="D110" s="351" t="s">
        <v>5809</v>
      </c>
      <c r="E110" s="352" t="s">
        <v>5810</v>
      </c>
      <c r="F110" s="353">
        <v>1750.0</v>
      </c>
      <c r="G110" s="11" t="str">
        <f>IFERROR(__xludf.DUMMYFUNCTION("IFERROR(
  VLOOKUP(
    TRIM($A110),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)"),"https://drive.google.com/open?id=1-ZOaNgmxfLd_Xyiz3zaQfqcEopvHb_Zd")</f>
        <v>https://drive.google.com/open?id=1-ZOaNgmxfLd_Xyiz3zaQfqcEopvHb_Zd</v>
      </c>
      <c r="H110" s="14"/>
      <c r="I110" s="14"/>
      <c r="J110" s="14"/>
      <c r="K110" s="14"/>
      <c r="L110" s="14"/>
    </row>
    <row r="111">
      <c r="A111" s="351" t="s">
        <v>4585</v>
      </c>
      <c r="B111" s="351" t="s">
        <v>4747</v>
      </c>
      <c r="C111" s="351" t="s">
        <v>5346</v>
      </c>
      <c r="D111" s="351" t="s">
        <v>5809</v>
      </c>
      <c r="E111" s="352" t="s">
        <v>5810</v>
      </c>
      <c r="F111" s="353">
        <v>1400.0</v>
      </c>
      <c r="G111" s="11" t="str">
        <f>IFERROR(__xludf.DUMMYFUNCTION("IFERROR(
  VLOOKUP(
    TRIM($A111),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)"),"https://drive.google.com/open?id=1EIxRdUX6CNYQRGZ4wOd_Wr1uatOdUNPS")</f>
        <v>https://drive.google.com/open?id=1EIxRdUX6CNYQRGZ4wOd_Wr1uatOdUNPS</v>
      </c>
      <c r="H111" s="14"/>
      <c r="I111" s="14"/>
      <c r="J111" s="14"/>
      <c r="K111" s="14"/>
      <c r="L111" s="14"/>
    </row>
    <row r="112">
      <c r="A112" s="351" t="s">
        <v>4586</v>
      </c>
      <c r="B112" s="351" t="s">
        <v>4747</v>
      </c>
      <c r="C112" s="351" t="s">
        <v>5361</v>
      </c>
      <c r="D112" s="351" t="s">
        <v>5809</v>
      </c>
      <c r="E112" s="352" t="s">
        <v>5810</v>
      </c>
      <c r="F112" s="353">
        <v>1750.0</v>
      </c>
      <c r="G112" s="11" t="str">
        <f>IFERROR(__xludf.DUMMYFUNCTION("IFERROR(
  VLOOKUP(
    TRIM($A112),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)"),"https://drive.google.com/open?id=1l8lD2_nOIKI8V_eQNkTZ0Mz5KTFnXl4V")</f>
        <v>https://drive.google.com/open?id=1l8lD2_nOIKI8V_eQNkTZ0Mz5KTFnXl4V</v>
      </c>
      <c r="H112" s="14"/>
      <c r="I112" s="14"/>
      <c r="J112" s="14"/>
      <c r="K112" s="14"/>
      <c r="L112" s="14"/>
    </row>
    <row r="113">
      <c r="A113" s="351" t="s">
        <v>4663</v>
      </c>
      <c r="B113" s="351" t="s">
        <v>4754</v>
      </c>
      <c r="C113" s="351" t="s">
        <v>5476</v>
      </c>
      <c r="D113" s="351" t="s">
        <v>5809</v>
      </c>
      <c r="E113" s="352" t="s">
        <v>5810</v>
      </c>
      <c r="F113" s="353">
        <v>1350.0</v>
      </c>
      <c r="G113" s="11" t="str">
        <f>IFERROR(__xludf.DUMMYFUNCTION("IFERROR(
  VLOOKUP(
    TRIM($A113),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)"),"https://drive.google.com/open?id=1sFmPq_aUXrwULs9KDjzqq77F6QPqZ0ID")</f>
        <v>https://drive.google.com/open?id=1sFmPq_aUXrwULs9KDjzqq77F6QPqZ0ID</v>
      </c>
      <c r="H113" s="14"/>
      <c r="I113" s="14"/>
      <c r="J113" s="14"/>
      <c r="K113" s="14"/>
      <c r="L113" s="14"/>
    </row>
    <row r="114">
      <c r="A114" s="351" t="s">
        <v>4661</v>
      </c>
      <c r="B114" s="351" t="s">
        <v>4754</v>
      </c>
      <c r="C114" s="351" t="s">
        <v>5474</v>
      </c>
      <c r="D114" s="351" t="s">
        <v>5809</v>
      </c>
      <c r="E114" s="352" t="s">
        <v>5810</v>
      </c>
      <c r="F114" s="353">
        <v>1500.0</v>
      </c>
      <c r="G114" s="11" t="str">
        <f>IFERROR(__xludf.DUMMYFUNCTION("IFERROR(
  VLOOKUP(
    TRIM($A114),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)"),"https://drive.google.com/open?id=1e1y5N-XhTY18VxrwbVRsZOknVtilAcu0")</f>
        <v>https://drive.google.com/open?id=1e1y5N-XhTY18VxrwbVRsZOknVtilAcu0</v>
      </c>
      <c r="H114" s="14"/>
      <c r="I114" s="14"/>
      <c r="J114" s="14"/>
      <c r="K114" s="14"/>
      <c r="L114" s="14"/>
    </row>
    <row r="115">
      <c r="A115" s="351" t="s">
        <v>4662</v>
      </c>
      <c r="B115" s="351" t="s">
        <v>4754</v>
      </c>
      <c r="C115" s="351" t="s">
        <v>5472</v>
      </c>
      <c r="D115" s="351" t="s">
        <v>5809</v>
      </c>
      <c r="E115" s="352" t="s">
        <v>5810</v>
      </c>
      <c r="F115" s="353">
        <v>1650.0</v>
      </c>
      <c r="G115" s="11" t="str">
        <f>IFERROR(__xludf.DUMMYFUNCTION("IFERROR(
  VLOOKUP(
    TRIM($A115),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)"),"https://drive.google.com/open?id=1FK2CnTl31qp0-6SIUty_D4O4iEzoQt4U")</f>
        <v>https://drive.google.com/open?id=1FK2CnTl31qp0-6SIUty_D4O4iEzoQt4U</v>
      </c>
      <c r="H115" s="14"/>
      <c r="I115" s="14"/>
      <c r="J115" s="14"/>
      <c r="K115" s="14"/>
      <c r="L115" s="14"/>
    </row>
    <row r="116">
      <c r="A116" s="351" t="s">
        <v>4665</v>
      </c>
      <c r="B116" s="351" t="s">
        <v>4755</v>
      </c>
      <c r="C116" s="351" t="s">
        <v>5470</v>
      </c>
      <c r="D116" s="351" t="s">
        <v>5809</v>
      </c>
      <c r="E116" s="352" t="s">
        <v>5810</v>
      </c>
      <c r="F116" s="353">
        <v>1400.0</v>
      </c>
      <c r="G116" s="11" t="str">
        <f>IFERROR(__xludf.DUMMYFUNCTION("IFERROR(
  VLOOKUP(
    TRIM($A116),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)"),"https://drive.google.com/open?id=1ejgNddBZG5xyXoFKkssK4RJ17-HLxaJr")</f>
        <v>https://drive.google.com/open?id=1ejgNddBZG5xyXoFKkssK4RJ17-HLxaJr</v>
      </c>
      <c r="H116" s="14"/>
      <c r="I116" s="14"/>
      <c r="J116" s="14"/>
      <c r="K116" s="14"/>
      <c r="L116" s="14"/>
    </row>
    <row r="117">
      <c r="A117" s="351" t="s">
        <v>4666</v>
      </c>
      <c r="B117" s="351" t="s">
        <v>4755</v>
      </c>
      <c r="C117" s="351" t="s">
        <v>5468</v>
      </c>
      <c r="D117" s="351" t="s">
        <v>5809</v>
      </c>
      <c r="E117" s="352" t="s">
        <v>5810</v>
      </c>
      <c r="F117" s="353">
        <v>3100.0</v>
      </c>
      <c r="G117" s="11" t="str">
        <f>IFERROR(__xludf.DUMMYFUNCTION("IFERROR(
  VLOOKUP(
    TRIM($A117),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)"),"https://drive.google.com/open?id=1rlmcvrHq2Pj6ddstFeRuNT1e9BhBmQpo")</f>
        <v>https://drive.google.com/open?id=1rlmcvrHq2Pj6ddstFeRuNT1e9BhBmQpo</v>
      </c>
      <c r="H117" s="14"/>
      <c r="I117" s="14"/>
      <c r="J117" s="14"/>
      <c r="K117" s="14"/>
      <c r="L117" s="14"/>
    </row>
    <row r="118">
      <c r="A118" s="351" t="s">
        <v>779</v>
      </c>
      <c r="B118" s="351" t="s">
        <v>4755</v>
      </c>
      <c r="C118" s="351" t="s">
        <v>5463</v>
      </c>
      <c r="D118" s="351" t="s">
        <v>5809</v>
      </c>
      <c r="E118" s="352" t="s">
        <v>5810</v>
      </c>
      <c r="F118" s="353">
        <v>1450.0</v>
      </c>
      <c r="G118" s="11" t="str">
        <f>IFERROR(__xludf.DUMMYFUNCTION("IFERROR(
  VLOOKUP(
    TRIM($A118),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)"),"https://drive.google.com/open?id=1mK5mq7plhjM7VdhDmBcYmvX63UkyqOhK")</f>
        <v>https://drive.google.com/open?id=1mK5mq7plhjM7VdhDmBcYmvX63UkyqOhK</v>
      </c>
      <c r="H118" s="14"/>
      <c r="I118" s="14"/>
      <c r="J118" s="14"/>
      <c r="K118" s="14"/>
      <c r="L118" s="14"/>
    </row>
    <row r="119">
      <c r="A119" s="351" t="s">
        <v>4664</v>
      </c>
      <c r="B119" s="351" t="s">
        <v>4755</v>
      </c>
      <c r="C119" s="351" t="s">
        <v>5458</v>
      </c>
      <c r="D119" s="351" t="s">
        <v>5809</v>
      </c>
      <c r="E119" s="352" t="s">
        <v>5810</v>
      </c>
      <c r="F119" s="353">
        <v>1350.0</v>
      </c>
      <c r="G119" s="11" t="str">
        <f>IFERROR(__xludf.DUMMYFUNCTION("IFERROR(
  VLOOKUP(
    TRIM($A119),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)"),"https://drive.google.com/open?id=18tkmGT-dedk_mjy7WqzyatuwyOp1eJC8")</f>
        <v>https://drive.google.com/open?id=18tkmGT-dedk_mjy7WqzyatuwyOp1eJC8</v>
      </c>
      <c r="H119" s="14"/>
      <c r="I119" s="14"/>
      <c r="J119" s="14"/>
      <c r="K119" s="14"/>
      <c r="L119" s="14"/>
    </row>
    <row r="120">
      <c r="A120" s="351" t="s">
        <v>4670</v>
      </c>
      <c r="B120" s="351" t="s">
        <v>4749</v>
      </c>
      <c r="C120" s="351" t="s">
        <v>5384</v>
      </c>
      <c r="D120" s="351" t="s">
        <v>5809</v>
      </c>
      <c r="E120" s="352" t="s">
        <v>5811</v>
      </c>
      <c r="F120" s="353">
        <v>1400.0</v>
      </c>
      <c r="G120" s="11" t="str">
        <f>IFERROR(__xludf.DUMMYFUNCTION("IFERROR(
  VLOOKUP(
    TRIM($A120),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)"),"https://drive.google.com/open?id=1A3oEh0Yr2Cc8IeaLxenOGSE1DDvgm8aP")</f>
        <v>https://drive.google.com/open?id=1A3oEh0Yr2Cc8IeaLxenOGSE1DDvgm8aP</v>
      </c>
      <c r="H120" s="14"/>
      <c r="I120" s="14"/>
      <c r="J120" s="14"/>
      <c r="K120" s="14"/>
      <c r="L120" s="14"/>
    </row>
    <row r="121">
      <c r="A121" s="351" t="s">
        <v>4673</v>
      </c>
      <c r="B121" s="351" t="s">
        <v>4749</v>
      </c>
      <c r="C121" s="351" t="s">
        <v>5397</v>
      </c>
      <c r="D121" s="351" t="s">
        <v>5809</v>
      </c>
      <c r="E121" s="352" t="s">
        <v>5811</v>
      </c>
      <c r="F121" s="353">
        <v>1600.0</v>
      </c>
      <c r="G121" s="11" t="str">
        <f>IFERROR(__xludf.DUMMYFUNCTION("IFERROR(
  VLOOKUP(
    TRIM($A121),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)"),"https://drive.google.com/open?id=1Y34gjqfoxjoHDaZNUM-RQ70zC9gTwCrT")</f>
        <v>https://drive.google.com/open?id=1Y34gjqfoxjoHDaZNUM-RQ70zC9gTwCrT</v>
      </c>
      <c r="H121" s="14"/>
      <c r="I121" s="14"/>
      <c r="J121" s="14"/>
      <c r="K121" s="14"/>
      <c r="L121" s="14"/>
    </row>
    <row r="122">
      <c r="A122" s="351" t="s">
        <v>4667</v>
      </c>
      <c r="B122" s="351" t="s">
        <v>4749</v>
      </c>
      <c r="C122" s="351" t="s">
        <v>5390</v>
      </c>
      <c r="D122" s="351" t="s">
        <v>5809</v>
      </c>
      <c r="E122" s="351" t="s">
        <v>5812</v>
      </c>
      <c r="F122" s="353">
        <v>2800.0</v>
      </c>
      <c r="G122" s="11" t="str">
        <f>IFERROR(__xludf.DUMMYFUNCTION("IFERROR(
  VLOOKUP(
    TRIM($A122),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)"),"https://drive.google.com/open?id=1JVBtzrFfQJdBuXixCwvTYE4ufzJo12jw")</f>
        <v>https://drive.google.com/open?id=1JVBtzrFfQJdBuXixCwvTYE4ufzJo12jw</v>
      </c>
      <c r="H122" s="14"/>
      <c r="I122" s="14"/>
      <c r="J122" s="14"/>
      <c r="K122" s="14"/>
      <c r="L122" s="14"/>
    </row>
    <row r="123">
      <c r="A123" s="351" t="s">
        <v>3762</v>
      </c>
      <c r="B123" s="351" t="s">
        <v>4749</v>
      </c>
      <c r="C123" s="351" t="s">
        <v>5393</v>
      </c>
      <c r="D123" s="351" t="s">
        <v>5809</v>
      </c>
      <c r="E123" s="351" t="s">
        <v>5812</v>
      </c>
      <c r="F123" s="353">
        <v>1750.0</v>
      </c>
      <c r="G123" s="11" t="str">
        <f>IFERROR(__xludf.DUMMYFUNCTION("IFERROR(
  VLOOKUP(
    TRIM($A123),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)"),"https://drive.google.com/open?id=15-eSgqqr9ulrODTZzJOREF4QwGPN06qa")</f>
        <v>https://drive.google.com/open?id=15-eSgqqr9ulrODTZzJOREF4QwGPN06qa</v>
      </c>
      <c r="H123" s="14"/>
      <c r="I123" s="14"/>
      <c r="J123" s="14"/>
      <c r="K123" s="14"/>
      <c r="L123" s="14"/>
    </row>
    <row r="124">
      <c r="A124" s="351" t="s">
        <v>3820</v>
      </c>
      <c r="B124" s="351" t="s">
        <v>4749</v>
      </c>
      <c r="C124" s="351" t="s">
        <v>3687</v>
      </c>
      <c r="D124" s="351" t="s">
        <v>5809</v>
      </c>
      <c r="E124" s="351" t="s">
        <v>5812</v>
      </c>
      <c r="F124" s="353">
        <v>2050.0</v>
      </c>
      <c r="G124" s="14" t="str">
        <f>IFERROR(__xludf.DUMMYFUNCTION("IFERROR(
  VLOOKUP(
    TRIM($A124),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24" s="14"/>
      <c r="I124" s="14"/>
      <c r="J124" s="14"/>
      <c r="K124" s="14"/>
      <c r="L124" s="14"/>
    </row>
    <row r="125">
      <c r="A125" s="351" t="s">
        <v>4672</v>
      </c>
      <c r="B125" s="351" t="s">
        <v>4749</v>
      </c>
      <c r="C125" s="351" t="s">
        <v>5395</v>
      </c>
      <c r="D125" s="351" t="s">
        <v>5809</v>
      </c>
      <c r="E125" s="351" t="s">
        <v>5812</v>
      </c>
      <c r="F125" s="353">
        <v>550.0</v>
      </c>
      <c r="G125" s="11" t="str">
        <f>IFERROR(__xludf.DUMMYFUNCTION("IFERROR(
  VLOOKUP(
    TRIM($A125),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)"),"https://drive.google.com/open?id=1gKVIa80v7qJFJhJPNMOsRujMkTSoa7n5")</f>
        <v>https://drive.google.com/open?id=1gKVIa80v7qJFJhJPNMOsRujMkTSoa7n5</v>
      </c>
      <c r="H125" s="14"/>
      <c r="I125" s="14"/>
      <c r="J125" s="14"/>
      <c r="K125" s="14"/>
      <c r="L125" s="14"/>
    </row>
    <row r="126">
      <c r="A126" s="351" t="s">
        <v>4669</v>
      </c>
      <c r="B126" s="351" t="s">
        <v>4749</v>
      </c>
      <c r="C126" s="351" t="s">
        <v>5388</v>
      </c>
      <c r="D126" s="351" t="s">
        <v>5809</v>
      </c>
      <c r="E126" s="351" t="s">
        <v>5812</v>
      </c>
      <c r="F126" s="353">
        <v>400.0</v>
      </c>
      <c r="G126" s="11" t="str">
        <f>IFERROR(__xludf.DUMMYFUNCTION("IFERROR(
  VLOOKUP(
    TRIM($A126),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)"),"https://drive.google.com/open?id=1B3bmNZYtpLGahQPKnSjHXugK5yyRZ4Gt")</f>
        <v>https://drive.google.com/open?id=1B3bmNZYtpLGahQPKnSjHXugK5yyRZ4Gt</v>
      </c>
      <c r="H126" s="14"/>
      <c r="I126" s="14"/>
      <c r="J126" s="14"/>
      <c r="K126" s="14"/>
      <c r="L126" s="14"/>
    </row>
    <row r="127">
      <c r="A127" s="351" t="s">
        <v>4671</v>
      </c>
      <c r="B127" s="351" t="s">
        <v>4749</v>
      </c>
      <c r="C127" s="351" t="s">
        <v>5386</v>
      </c>
      <c r="D127" s="351" t="s">
        <v>5809</v>
      </c>
      <c r="E127" s="351" t="s">
        <v>5812</v>
      </c>
      <c r="F127" s="353">
        <v>1250.0</v>
      </c>
      <c r="G127" s="14" t="str">
        <f>IFERROR(__xludf.DUMMYFUNCTION("IFERROR(
  VLOOKUP(
    TRIM($A127),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27" s="14"/>
      <c r="I127" s="14"/>
      <c r="J127" s="14"/>
      <c r="K127" s="14"/>
      <c r="L127" s="14"/>
    </row>
    <row r="128">
      <c r="A128" s="351" t="s">
        <v>3887</v>
      </c>
      <c r="B128" s="351" t="s">
        <v>4759</v>
      </c>
      <c r="C128" s="351" t="s">
        <v>5202</v>
      </c>
      <c r="D128" s="351" t="s">
        <v>5809</v>
      </c>
      <c r="E128" s="351" t="s">
        <v>5812</v>
      </c>
      <c r="F128" s="353">
        <v>2850.0</v>
      </c>
      <c r="G128" s="11" t="str">
        <f>IFERROR(__xludf.DUMMYFUNCTION("IFERROR(
  VLOOKUP(
    TRIM($A128),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)"),"https://drive.google.com/open?id=16TMOhIQJb7md_Jkb2MQEtyX3Uqqn_ejS")</f>
        <v>https://drive.google.com/open?id=16TMOhIQJb7md_Jkb2MQEtyX3Uqqn_ejS</v>
      </c>
      <c r="H128" s="14"/>
      <c r="I128" s="14"/>
      <c r="J128" s="14"/>
      <c r="K128" s="14"/>
      <c r="L128" s="14"/>
    </row>
    <row r="129">
      <c r="A129" s="351" t="s">
        <v>3844</v>
      </c>
      <c r="B129" s="351" t="s">
        <v>4759</v>
      </c>
      <c r="C129" s="351" t="s">
        <v>5186</v>
      </c>
      <c r="D129" s="351" t="s">
        <v>5809</v>
      </c>
      <c r="E129" s="351" t="s">
        <v>5812</v>
      </c>
      <c r="F129" s="353">
        <v>2400.0</v>
      </c>
      <c r="G129" s="11" t="str">
        <f>IFERROR(__xludf.DUMMYFUNCTION("IFERROR(
  VLOOKUP(
    TRIM($A129),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)"),"https://drive.google.com/open?id=1uGfebzImIDk_12N1DMy4qRbjcQkrOSqZ")</f>
        <v>https://drive.google.com/open?id=1uGfebzImIDk_12N1DMy4qRbjcQkrOSqZ</v>
      </c>
      <c r="H129" s="14"/>
      <c r="I129" s="14"/>
      <c r="J129" s="14"/>
      <c r="K129" s="14"/>
      <c r="L129" s="14"/>
    </row>
    <row r="130">
      <c r="A130" s="351" t="s">
        <v>3955</v>
      </c>
      <c r="B130" s="351" t="s">
        <v>4759</v>
      </c>
      <c r="C130" s="351" t="s">
        <v>5239</v>
      </c>
      <c r="D130" s="351" t="s">
        <v>5809</v>
      </c>
      <c r="E130" s="351" t="s">
        <v>5812</v>
      </c>
      <c r="F130" s="353">
        <v>1000.0</v>
      </c>
      <c r="G130" s="11" t="str">
        <f>IFERROR(__xludf.DUMMYFUNCTION("IFERROR(
  VLOOKUP(
    TRIM($A130),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)"),"https://drive.google.com/open?id=15_wEgEFBHb_jdoGls3crn3dNwm0MNWnQ")</f>
        <v>https://drive.google.com/open?id=15_wEgEFBHb_jdoGls3crn3dNwm0MNWnQ</v>
      </c>
      <c r="H130" s="14"/>
      <c r="I130" s="14"/>
      <c r="J130" s="14"/>
      <c r="K130" s="14"/>
      <c r="L130" s="14"/>
    </row>
    <row r="131">
      <c r="A131" s="351" t="s">
        <v>3909</v>
      </c>
      <c r="B131" s="351" t="s">
        <v>4759</v>
      </c>
      <c r="C131" s="351" t="s">
        <v>5242</v>
      </c>
      <c r="D131" s="351" t="s">
        <v>5809</v>
      </c>
      <c r="E131" s="351" t="s">
        <v>5812</v>
      </c>
      <c r="F131" s="353">
        <v>1000.0</v>
      </c>
      <c r="G131" s="11" t="str">
        <f>IFERROR(__xludf.DUMMYFUNCTION("IFERROR(
  VLOOKUP(
    TRIM($A131),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)"),"https://drive.google.com/open?id=1trcSWFYesgwgIYbqwIXu5SqnLwBawMo1")</f>
        <v>https://drive.google.com/open?id=1trcSWFYesgwgIYbqwIXu5SqnLwBawMo1</v>
      </c>
      <c r="H131" s="14"/>
      <c r="I131" s="14"/>
      <c r="J131" s="14"/>
      <c r="K131" s="14"/>
      <c r="L131" s="14"/>
    </row>
    <row r="132">
      <c r="A132" s="351" t="s">
        <v>3926</v>
      </c>
      <c r="B132" s="351" t="s">
        <v>4759</v>
      </c>
      <c r="C132" s="351" t="s">
        <v>5193</v>
      </c>
      <c r="D132" s="351" t="s">
        <v>5809</v>
      </c>
      <c r="E132" s="351" t="s">
        <v>5812</v>
      </c>
      <c r="F132" s="353">
        <v>2650.0</v>
      </c>
      <c r="G132" s="11" t="str">
        <f>IFERROR(__xludf.DUMMYFUNCTION("IFERROR(
  VLOOKUP(
    TRIM($A132),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)"),"https://drive.google.com/open?id=1NHS8REgDy8LtTluB8bvDuQNqz3lbDDpe")</f>
        <v>https://drive.google.com/open?id=1NHS8REgDy8LtTluB8bvDuQNqz3lbDDpe</v>
      </c>
      <c r="H132" s="14"/>
      <c r="I132" s="14"/>
      <c r="J132" s="14"/>
      <c r="K132" s="14"/>
      <c r="L132" s="14"/>
    </row>
    <row r="133">
      <c r="A133" s="351" t="s">
        <v>4005</v>
      </c>
      <c r="B133" s="351" t="s">
        <v>4759</v>
      </c>
      <c r="C133" s="351" t="s">
        <v>5183</v>
      </c>
      <c r="D133" s="351" t="s">
        <v>5809</v>
      </c>
      <c r="E133" s="351" t="s">
        <v>5812</v>
      </c>
      <c r="F133" s="353">
        <v>3100.0</v>
      </c>
      <c r="G133" s="11" t="str">
        <f>IFERROR(__xludf.DUMMYFUNCTION("IFERROR(
  VLOOKUP(
    TRIM($A133),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)"),"https://drive.google.com/open?id=1BkS1zV-wRn5t-LH7Y6Cp1aoSWE9pkq9N")</f>
        <v>https://drive.google.com/open?id=1BkS1zV-wRn5t-LH7Y6Cp1aoSWE9pkq9N</v>
      </c>
      <c r="H133" s="14"/>
      <c r="I133" s="14"/>
      <c r="J133" s="14"/>
      <c r="K133" s="14"/>
      <c r="L133" s="14"/>
    </row>
    <row r="134">
      <c r="A134" s="351" t="s">
        <v>4064</v>
      </c>
      <c r="B134" s="351" t="s">
        <v>4759</v>
      </c>
      <c r="C134" s="351" t="s">
        <v>5211</v>
      </c>
      <c r="D134" s="351" t="s">
        <v>5809</v>
      </c>
      <c r="E134" s="351" t="s">
        <v>5812</v>
      </c>
      <c r="F134" s="353">
        <v>2650.0</v>
      </c>
      <c r="G134" s="11" t="str">
        <f>IFERROR(__xludf.DUMMYFUNCTION("IFERROR(
  VLOOKUP(
    TRIM($A134),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)"),"https://drive.google.com/open?id=1EPzX_dXzRcV4q3V1pf9niFgTepH6nsPU")</f>
        <v>https://drive.google.com/open?id=1EPzX_dXzRcV4q3V1pf9niFgTepH6nsPU</v>
      </c>
      <c r="H134" s="14"/>
      <c r="I134" s="14"/>
      <c r="J134" s="14"/>
      <c r="K134" s="14"/>
      <c r="L134" s="14"/>
    </row>
    <row r="135">
      <c r="A135" s="351" t="s">
        <v>4694</v>
      </c>
      <c r="B135" s="351" t="s">
        <v>4759</v>
      </c>
      <c r="C135" s="351" t="s">
        <v>5225</v>
      </c>
      <c r="D135" s="351" t="s">
        <v>5809</v>
      </c>
      <c r="E135" s="351" t="s">
        <v>5812</v>
      </c>
      <c r="F135" s="353">
        <v>650.0</v>
      </c>
      <c r="G135" s="11" t="str">
        <f>IFERROR(__xludf.DUMMYFUNCTION("IFERROR(
  VLOOKUP(
    TRIM($A135),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)"),"https://drive.google.com/open?id=12ln1tLVoCPxPcL4PufdNipGxYmw958o_")</f>
        <v>https://drive.google.com/open?id=12ln1tLVoCPxPcL4PufdNipGxYmw958o_</v>
      </c>
      <c r="H135" s="14"/>
      <c r="I135" s="14"/>
      <c r="J135" s="14"/>
      <c r="K135" s="14"/>
      <c r="L135" s="14"/>
    </row>
    <row r="136">
      <c r="A136" s="351" t="s">
        <v>4697</v>
      </c>
      <c r="B136" s="351" t="s">
        <v>4759</v>
      </c>
      <c r="C136" s="351" t="s">
        <v>5228</v>
      </c>
      <c r="D136" s="351" t="s">
        <v>5809</v>
      </c>
      <c r="E136" s="351" t="s">
        <v>5812</v>
      </c>
      <c r="F136" s="353">
        <v>3100.0</v>
      </c>
      <c r="G136" s="11" t="str">
        <f>IFERROR(__xludf.DUMMYFUNCTION("IFERROR(
  VLOOKUP(
    TRIM($A136),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)"),"https://drive.google.com/open?id=1yjuKIsoXEAVST_JiZDjqFx-pMQcn6xS5")</f>
        <v>https://drive.google.com/open?id=1yjuKIsoXEAVST_JiZDjqFx-pMQcn6xS5</v>
      </c>
      <c r="H136" s="14"/>
      <c r="I136" s="14"/>
      <c r="J136" s="14"/>
      <c r="K136" s="14"/>
      <c r="L136" s="14"/>
    </row>
    <row r="137">
      <c r="A137" s="351" t="s">
        <v>4076</v>
      </c>
      <c r="B137" s="351" t="s">
        <v>4759</v>
      </c>
      <c r="C137" s="351" t="s">
        <v>5213</v>
      </c>
      <c r="D137" s="351" t="s">
        <v>5809</v>
      </c>
      <c r="E137" s="351" t="s">
        <v>5812</v>
      </c>
      <c r="F137" s="353">
        <v>950.0</v>
      </c>
      <c r="G137" s="11" t="str">
        <f>IFERROR(__xludf.DUMMYFUNCTION("IFERROR(
  VLOOKUP(
    TRIM($A137),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)"),"https://drive.google.com/open?id=1l1XozU3I7zLYOj3_J9qdNX_vQf82lk0K")</f>
        <v>https://drive.google.com/open?id=1l1XozU3I7zLYOj3_J9qdNX_vQf82lk0K</v>
      </c>
      <c r="H137" s="14"/>
      <c r="I137" s="14"/>
      <c r="J137" s="14"/>
      <c r="K137" s="14"/>
      <c r="L137" s="14"/>
    </row>
    <row r="138">
      <c r="A138" s="351" t="s">
        <v>3857</v>
      </c>
      <c r="B138" s="351" t="s">
        <v>4760</v>
      </c>
      <c r="C138" s="351" t="s">
        <v>5245</v>
      </c>
      <c r="D138" s="351" t="s">
        <v>5809</v>
      </c>
      <c r="E138" s="351" t="s">
        <v>5812</v>
      </c>
      <c r="F138" s="353">
        <v>2550.0</v>
      </c>
      <c r="G138" s="11" t="str">
        <f>IFERROR(__xludf.DUMMYFUNCTION("IFERROR(
  VLOOKUP(
    TRIM($A138),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)"),"https://drive.google.com/open?id=1d9HFJDZ-BFPjNZ11FBbkZxrn89opIsq9")</f>
        <v>https://drive.google.com/open?id=1d9HFJDZ-BFPjNZ11FBbkZxrn89opIsq9</v>
      </c>
      <c r="H138" s="14"/>
      <c r="I138" s="14"/>
      <c r="J138" s="14"/>
      <c r="K138" s="14"/>
      <c r="L138" s="14"/>
    </row>
    <row r="139">
      <c r="A139" s="351" t="s">
        <v>3944</v>
      </c>
      <c r="B139" s="351" t="s">
        <v>4760</v>
      </c>
      <c r="C139" s="351" t="s">
        <v>5263</v>
      </c>
      <c r="D139" s="351" t="s">
        <v>5809</v>
      </c>
      <c r="E139" s="351" t="s">
        <v>5812</v>
      </c>
      <c r="F139" s="353">
        <v>1800.0</v>
      </c>
      <c r="G139" s="11" t="str">
        <f>IFERROR(__xludf.DUMMYFUNCTION("IFERROR(
  VLOOKUP(
    TRIM($A139),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)"),"https://drive.google.com/open?id=1SzXKSXhN2_21_lW0IlrjedDEz68L6gbY")</f>
        <v>https://drive.google.com/open?id=1SzXKSXhN2_21_lW0IlrjedDEz68L6gbY</v>
      </c>
      <c r="H139" s="14"/>
      <c r="I139" s="14"/>
      <c r="J139" s="14"/>
      <c r="K139" s="14"/>
      <c r="L139" s="14"/>
    </row>
    <row r="140">
      <c r="A140" s="351" t="s">
        <v>3995</v>
      </c>
      <c r="B140" s="351" t="s">
        <v>4760</v>
      </c>
      <c r="C140" s="351" t="s">
        <v>5257</v>
      </c>
      <c r="D140" s="351" t="s">
        <v>5809</v>
      </c>
      <c r="E140" s="351" t="s">
        <v>5812</v>
      </c>
      <c r="F140" s="353">
        <v>1200.0</v>
      </c>
      <c r="G140" s="11" t="str">
        <f>IFERROR(__xludf.DUMMYFUNCTION("IFERROR(
  VLOOKUP(
    TRIM($A140),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)"),"https://drive.google.com/open?id=16TYtR7GhCXWz5i6g8tXpBTt9cRLUpPDg")</f>
        <v>https://drive.google.com/open?id=16TYtR7GhCXWz5i6g8tXpBTt9cRLUpPDg</v>
      </c>
      <c r="H140" s="14"/>
      <c r="I140" s="14"/>
      <c r="J140" s="14"/>
      <c r="K140" s="14"/>
      <c r="L140" s="14"/>
    </row>
    <row r="141">
      <c r="A141" s="351" t="s">
        <v>4700</v>
      </c>
      <c r="B141" s="351" t="s">
        <v>4760</v>
      </c>
      <c r="C141" s="351" t="s">
        <v>5248</v>
      </c>
      <c r="D141" s="351" t="s">
        <v>5809</v>
      </c>
      <c r="E141" s="351" t="s">
        <v>5812</v>
      </c>
      <c r="F141" s="353">
        <v>1200.0</v>
      </c>
      <c r="G141" s="11" t="str">
        <f>IFERROR(__xludf.DUMMYFUNCTION("IFERROR(
  VLOOKUP(
    TRIM($A141),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)"),"https://drive.google.com/open?id=1GTlcjVa5Wkp5aiWymOOemjefk4OwCeQe")</f>
        <v>https://drive.google.com/open?id=1GTlcjVa5Wkp5aiWymOOemjefk4OwCeQe</v>
      </c>
      <c r="H141" s="14"/>
      <c r="I141" s="14"/>
      <c r="J141" s="14"/>
      <c r="K141" s="14"/>
      <c r="L141" s="14"/>
    </row>
    <row r="142">
      <c r="A142" s="351" t="s">
        <v>3706</v>
      </c>
      <c r="B142" s="351" t="s">
        <v>4750</v>
      </c>
      <c r="C142" s="351" t="s">
        <v>3709</v>
      </c>
      <c r="D142" s="351" t="s">
        <v>5809</v>
      </c>
      <c r="E142" s="351" t="s">
        <v>5812</v>
      </c>
      <c r="F142" s="353">
        <v>2150.0</v>
      </c>
      <c r="G142" s="14" t="str">
        <f>IFERROR(__xludf.DUMMYFUNCTION("IFERROR(
  VLOOKUP(
    TRIM($A142),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42" s="14"/>
      <c r="I142" s="14"/>
      <c r="J142" s="14"/>
      <c r="K142" s="14"/>
      <c r="L142" s="14"/>
    </row>
    <row r="143">
      <c r="A143" s="351" t="s">
        <v>3712</v>
      </c>
      <c r="B143" s="351" t="s">
        <v>4750</v>
      </c>
      <c r="C143" s="351" t="s">
        <v>5382</v>
      </c>
      <c r="D143" s="351" t="s">
        <v>5809</v>
      </c>
      <c r="E143" s="351" t="s">
        <v>5812</v>
      </c>
      <c r="F143" s="353">
        <v>1750.0</v>
      </c>
      <c r="G143" s="11" t="str">
        <f>IFERROR(__xludf.DUMMYFUNCTION("IFERROR(
  VLOOKUP(
    TRIM($A143),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)"),"https://drive.google.com/open?id=14xmqENXol0ele7kn-yqnNh1wy0WJofxe")</f>
        <v>https://drive.google.com/open?id=14xmqENXol0ele7kn-yqnNh1wy0WJofxe</v>
      </c>
      <c r="H143" s="14"/>
      <c r="I143" s="14"/>
      <c r="J143" s="14"/>
      <c r="K143" s="14"/>
      <c r="L143" s="14"/>
    </row>
    <row r="144">
      <c r="A144" s="351" t="s">
        <v>4501</v>
      </c>
      <c r="B144" s="351" t="s">
        <v>4729</v>
      </c>
      <c r="C144" s="351" t="s">
        <v>5065</v>
      </c>
      <c r="D144" s="351" t="s">
        <v>5816</v>
      </c>
      <c r="E144" s="351" t="s">
        <v>5812</v>
      </c>
      <c r="F144" s="353">
        <v>1900.0</v>
      </c>
      <c r="G144" s="11" t="str">
        <f>IFERROR(__xludf.DUMMYFUNCTION("IFERROR(
  VLOOKUP(
    TRIM($A144),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)"),"https://drive.google.com/open?id=1NNj3LBm7X1k1aG802rAwTjJChLWe4hDF")</f>
        <v>https://drive.google.com/open?id=1NNj3LBm7X1k1aG802rAwTjJChLWe4hDF</v>
      </c>
      <c r="H144" s="14"/>
      <c r="I144" s="14"/>
      <c r="J144" s="14"/>
      <c r="K144" s="14"/>
      <c r="L144" s="14"/>
    </row>
    <row r="145">
      <c r="A145" s="351" t="s">
        <v>1248</v>
      </c>
      <c r="B145" s="351" t="s">
        <v>4729</v>
      </c>
      <c r="C145" s="351" t="s">
        <v>5040</v>
      </c>
      <c r="D145" s="351" t="s">
        <v>5816</v>
      </c>
      <c r="E145" s="351" t="s">
        <v>5812</v>
      </c>
      <c r="F145" s="353">
        <v>3350.0</v>
      </c>
      <c r="G145" s="11" t="str">
        <f>IFERROR(__xludf.DUMMYFUNCTION("IFERROR(
  VLOOKUP(
    TRIM($A145),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)"),"https://drive.google.com/open?id=17cdN_4UmuwDlyKz40z5rc21vdK1dOSSP")</f>
        <v>https://drive.google.com/open?id=17cdN_4UmuwDlyKz40z5rc21vdK1dOSSP</v>
      </c>
      <c r="H145" s="14"/>
      <c r="I145" s="14"/>
      <c r="J145" s="14"/>
      <c r="K145" s="14"/>
      <c r="L145" s="14"/>
    </row>
    <row r="146">
      <c r="A146" s="351" t="s">
        <v>1480</v>
      </c>
      <c r="B146" s="351" t="s">
        <v>4729</v>
      </c>
      <c r="C146" s="351" t="s">
        <v>4956</v>
      </c>
      <c r="D146" s="351" t="s">
        <v>5816</v>
      </c>
      <c r="E146" s="351" t="s">
        <v>5812</v>
      </c>
      <c r="F146" s="353">
        <v>2450.0</v>
      </c>
      <c r="G146" s="11" t="str">
        <f>IFERROR(__xludf.DUMMYFUNCTION("IFERROR(
  VLOOKUP(
    TRIM($A146),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)"),"https://drive.google.com/open?id=1hMYk150Bjp55YQNMhEp64kdKhHKagGwP")</f>
        <v>https://drive.google.com/open?id=1hMYk150Bjp55YQNMhEp64kdKhHKagGwP</v>
      </c>
      <c r="H146" s="14"/>
      <c r="I146" s="14"/>
      <c r="J146" s="14"/>
      <c r="K146" s="14"/>
      <c r="L146" s="14"/>
    </row>
    <row r="147">
      <c r="A147" s="351" t="s">
        <v>1134</v>
      </c>
      <c r="B147" s="351" t="s">
        <v>4729</v>
      </c>
      <c r="C147" s="351" t="s">
        <v>5101</v>
      </c>
      <c r="D147" s="351" t="s">
        <v>5816</v>
      </c>
      <c r="E147" s="351" t="s">
        <v>5812</v>
      </c>
      <c r="F147" s="353">
        <v>1350.0</v>
      </c>
      <c r="G147" s="11" t="str">
        <f>IFERROR(__xludf.DUMMYFUNCTION("IFERROR(
  VLOOKUP(
    TRIM($A147),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)"),"https://drive.google.com/open?id=1CsEF4O7FMFiVUosQvWchIuoo7mSOwd30")</f>
        <v>https://drive.google.com/open?id=1CsEF4O7FMFiVUosQvWchIuoo7mSOwd30</v>
      </c>
      <c r="H147" s="14"/>
      <c r="I147" s="14"/>
      <c r="J147" s="14"/>
      <c r="K147" s="14"/>
      <c r="L147" s="14"/>
    </row>
    <row r="148">
      <c r="A148" s="351" t="s">
        <v>1608</v>
      </c>
      <c r="B148" s="351" t="s">
        <v>4729</v>
      </c>
      <c r="C148" s="351" t="s">
        <v>5049</v>
      </c>
      <c r="D148" s="351" t="s">
        <v>5816</v>
      </c>
      <c r="E148" s="351" t="s">
        <v>5812</v>
      </c>
      <c r="F148" s="353">
        <v>1200.0</v>
      </c>
      <c r="G148" s="11" t="str">
        <f>IFERROR(__xludf.DUMMYFUNCTION("IFERROR(
  VLOOKUP(
    TRIM($A148),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)"),"https://drive.google.com/open?id=1ohvNt1DBuPpXt5iPQyx7oF-9S7SBj2wz")</f>
        <v>https://drive.google.com/open?id=1ohvNt1DBuPpXt5iPQyx7oF-9S7SBj2wz</v>
      </c>
      <c r="H148" s="14"/>
      <c r="I148" s="14"/>
      <c r="J148" s="14"/>
      <c r="K148" s="14"/>
      <c r="L148" s="14"/>
    </row>
    <row r="149">
      <c r="A149" s="351" t="s">
        <v>4518</v>
      </c>
      <c r="B149" s="351" t="s">
        <v>4729</v>
      </c>
      <c r="C149" s="351" t="s">
        <v>1835</v>
      </c>
      <c r="D149" s="351" t="s">
        <v>5816</v>
      </c>
      <c r="E149" s="351" t="s">
        <v>5812</v>
      </c>
      <c r="F149" s="353">
        <v>2000.0</v>
      </c>
      <c r="G149" s="11" t="str">
        <f>IFERROR(__xludf.DUMMYFUNCTION("IFERROR(
  VLOOKUP(
    TRIM($A149),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)"),"https://drive.google.com/open?id=1uahzZLkjPA_TnyhRnaai_fU_OnbAI1Nw")</f>
        <v>https://drive.google.com/open?id=1uahzZLkjPA_TnyhRnaai_fU_OnbAI1Nw</v>
      </c>
      <c r="H149" s="14"/>
      <c r="I149" s="14"/>
      <c r="J149" s="14"/>
      <c r="K149" s="14"/>
      <c r="L149" s="14"/>
    </row>
    <row r="150">
      <c r="A150" s="351" t="s">
        <v>4519</v>
      </c>
      <c r="B150" s="351" t="s">
        <v>4729</v>
      </c>
      <c r="C150" s="351" t="s">
        <v>4947</v>
      </c>
      <c r="D150" s="351" t="s">
        <v>5816</v>
      </c>
      <c r="E150" s="351" t="s">
        <v>5812</v>
      </c>
      <c r="F150" s="353">
        <v>300.0</v>
      </c>
      <c r="G150" s="11" t="str">
        <f>IFERROR(__xludf.DUMMYFUNCTION("IFERROR(
  VLOOKUP(
    TRIM($A150),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)"),"https://drive.google.com/open?id=1seB0TmlklgkrySS-Z68AwYXeXfDVbMQN")</f>
        <v>https://drive.google.com/open?id=1seB0TmlklgkrySS-Z68AwYXeXfDVbMQN</v>
      </c>
      <c r="H150" s="14"/>
      <c r="I150" s="14"/>
      <c r="J150" s="14"/>
      <c r="K150" s="14"/>
      <c r="L150" s="14"/>
    </row>
    <row r="151">
      <c r="A151" s="351" t="s">
        <v>1186</v>
      </c>
      <c r="B151" s="351" t="s">
        <v>4729</v>
      </c>
      <c r="C151" s="351" t="s">
        <v>5089</v>
      </c>
      <c r="D151" s="351" t="s">
        <v>5816</v>
      </c>
      <c r="E151" s="351" t="s">
        <v>5812</v>
      </c>
      <c r="F151" s="353">
        <v>1800.0</v>
      </c>
      <c r="G151" s="11" t="str">
        <f>IFERROR(__xludf.DUMMYFUNCTION("IFERROR(
  VLOOKUP(
    TRIM($A151),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)"),"https://drive.google.com/open?id=1xgoaze2Nbwe7vYV9JgjKXtaYbFCTRDAQ")</f>
        <v>https://drive.google.com/open?id=1xgoaze2Nbwe7vYV9JgjKXtaYbFCTRDAQ</v>
      </c>
      <c r="H151" s="14"/>
      <c r="I151" s="14"/>
      <c r="J151" s="14"/>
      <c r="K151" s="14"/>
      <c r="L151" s="14"/>
    </row>
    <row r="152">
      <c r="A152" s="351" t="s">
        <v>4505</v>
      </c>
      <c r="B152" s="351" t="s">
        <v>4729</v>
      </c>
      <c r="C152" s="351" t="s">
        <v>5115</v>
      </c>
      <c r="D152" s="351" t="s">
        <v>5816</v>
      </c>
      <c r="E152" s="351" t="s">
        <v>5812</v>
      </c>
      <c r="F152" s="353">
        <v>2300.0</v>
      </c>
      <c r="G152" s="11" t="str">
        <f>IFERROR(__xludf.DUMMYFUNCTION("IFERROR(
  VLOOKUP(
    TRIM($A152),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)"),"https://drive.google.com/open?id=1H48Rm8tD1mT1UnDagCtp3UIaKBq33ZHF")</f>
        <v>https://drive.google.com/open?id=1H48Rm8tD1mT1UnDagCtp3UIaKBq33ZHF</v>
      </c>
      <c r="H152" s="14"/>
      <c r="I152" s="14"/>
      <c r="J152" s="14"/>
      <c r="K152" s="14"/>
      <c r="L152" s="14"/>
    </row>
    <row r="153">
      <c r="A153" s="351" t="s">
        <v>1635</v>
      </c>
      <c r="B153" s="351" t="s">
        <v>4729</v>
      </c>
      <c r="C153" s="351" t="s">
        <v>4997</v>
      </c>
      <c r="D153" s="351" t="s">
        <v>5816</v>
      </c>
      <c r="E153" s="351" t="s">
        <v>5812</v>
      </c>
      <c r="F153" s="353">
        <v>950.0</v>
      </c>
      <c r="G153" s="11" t="str">
        <f>IFERROR(__xludf.DUMMYFUNCTION("IFERROR(
  VLOOKUP(
    TRIM($A153),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)"),"https://drive.google.com/open?id=1oVGC50WKFOGT0T985l2f_yH7wcdqgYCh")</f>
        <v>https://drive.google.com/open?id=1oVGC50WKFOGT0T985l2f_yH7wcdqgYCh</v>
      </c>
      <c r="H153" s="14"/>
      <c r="I153" s="14"/>
      <c r="J153" s="14"/>
      <c r="K153" s="14"/>
      <c r="L153" s="14"/>
    </row>
    <row r="154">
      <c r="A154" s="351" t="s">
        <v>1339</v>
      </c>
      <c r="B154" s="351" t="s">
        <v>4729</v>
      </c>
      <c r="C154" s="351" t="s">
        <v>1340</v>
      </c>
      <c r="D154" s="351" t="s">
        <v>5816</v>
      </c>
      <c r="E154" s="351" t="s">
        <v>5812</v>
      </c>
      <c r="F154" s="353">
        <v>1300.0</v>
      </c>
      <c r="G154" s="11" t="str">
        <f>IFERROR(__xludf.DUMMYFUNCTION("IFERROR(
  VLOOKUP(
    TRIM($A154),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)"),"https://drive.google.com/open?id=1CLnQ11KnkjNDFPuJTzsxq6rHQB24EWlc")</f>
        <v>https://drive.google.com/open?id=1CLnQ11KnkjNDFPuJTzsxq6rHQB24EWlc</v>
      </c>
      <c r="H154" s="14"/>
      <c r="I154" s="14"/>
      <c r="J154" s="14"/>
      <c r="K154" s="14"/>
      <c r="L154" s="14"/>
    </row>
    <row r="155">
      <c r="A155" s="351" t="s">
        <v>1328</v>
      </c>
      <c r="B155" s="351" t="s">
        <v>4729</v>
      </c>
      <c r="C155" s="351" t="s">
        <v>5017</v>
      </c>
      <c r="D155" s="351" t="s">
        <v>5816</v>
      </c>
      <c r="E155" s="351" t="s">
        <v>5812</v>
      </c>
      <c r="F155" s="353">
        <v>1500.0</v>
      </c>
      <c r="G155" s="11" t="str">
        <f>IFERROR(__xludf.DUMMYFUNCTION("IFERROR(
  VLOOKUP(
    TRIM($A155),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)"),"https://drive.google.com/open?id=1L6iD3IW_0mLihXWZFVfPNAAFksSv6yEt")</f>
        <v>https://drive.google.com/open?id=1L6iD3IW_0mLihXWZFVfPNAAFksSv6yEt</v>
      </c>
      <c r="H155" s="14"/>
      <c r="I155" s="14"/>
      <c r="J155" s="14"/>
      <c r="K155" s="14"/>
      <c r="L155" s="14"/>
    </row>
    <row r="156">
      <c r="A156" s="351" t="s">
        <v>1650</v>
      </c>
      <c r="B156" s="351" t="s">
        <v>4729</v>
      </c>
      <c r="C156" s="351" t="s">
        <v>1653</v>
      </c>
      <c r="D156" s="351" t="s">
        <v>5816</v>
      </c>
      <c r="E156" s="351" t="s">
        <v>5812</v>
      </c>
      <c r="F156" s="353">
        <v>2350.0</v>
      </c>
      <c r="G156" s="11" t="str">
        <f>IFERROR(__xludf.DUMMYFUNCTION("IFERROR(
  VLOOKUP(
    TRIM($A156),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)"),"https://drive.google.com/open?id=1o1PDV876NTfHzb1co6jyXcdwd6KIg6hj")</f>
        <v>https://drive.google.com/open?id=1o1PDV876NTfHzb1co6jyXcdwd6KIg6hj</v>
      </c>
      <c r="H156" s="14"/>
      <c r="I156" s="14"/>
      <c r="J156" s="14"/>
      <c r="K156" s="14"/>
      <c r="L156" s="14"/>
    </row>
    <row r="157">
      <c r="A157" s="351" t="s">
        <v>1314</v>
      </c>
      <c r="B157" s="351" t="s">
        <v>4729</v>
      </c>
      <c r="C157" s="351" t="s">
        <v>5070</v>
      </c>
      <c r="D157" s="351" t="s">
        <v>5816</v>
      </c>
      <c r="E157" s="351" t="s">
        <v>5812</v>
      </c>
      <c r="F157" s="353">
        <v>900.0</v>
      </c>
      <c r="G157" s="11" t="str">
        <f>IFERROR(__xludf.DUMMYFUNCTION("IFERROR(
  VLOOKUP(
    TRIM($A157),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)"),"https://drive.google.com/open?id=1Tw_K2O791bfd5MSkMDJZ90sm5gDQiPyQ")</f>
        <v>https://drive.google.com/open?id=1Tw_K2O791bfd5MSkMDJZ90sm5gDQiPyQ</v>
      </c>
      <c r="H157" s="14"/>
      <c r="I157" s="14"/>
      <c r="J157" s="14"/>
      <c r="K157" s="14"/>
      <c r="L157" s="14"/>
    </row>
    <row r="158">
      <c r="A158" s="351" t="s">
        <v>1624</v>
      </c>
      <c r="B158" s="351" t="s">
        <v>4729</v>
      </c>
      <c r="C158" s="351" t="s">
        <v>1626</v>
      </c>
      <c r="D158" s="351" t="s">
        <v>5816</v>
      </c>
      <c r="E158" s="351" t="s">
        <v>5812</v>
      </c>
      <c r="F158" s="353">
        <v>1600.0</v>
      </c>
      <c r="G158" s="11" t="str">
        <f>IFERROR(__xludf.DUMMYFUNCTION("IFERROR(
  VLOOKUP(
    TRIM($A158),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)"),"https://drive.google.com/open?id=1CEDYKGEpShpKQQNrV3u46lSQpKHyQswb")</f>
        <v>https://drive.google.com/open?id=1CEDYKGEpShpKQQNrV3u46lSQpKHyQswb</v>
      </c>
      <c r="H158" s="14"/>
      <c r="I158" s="14"/>
      <c r="J158" s="14"/>
      <c r="K158" s="14"/>
      <c r="L158" s="14"/>
    </row>
    <row r="159">
      <c r="A159" s="351" t="s">
        <v>4503</v>
      </c>
      <c r="B159" s="351" t="s">
        <v>4729</v>
      </c>
      <c r="C159" s="351" t="s">
        <v>5003</v>
      </c>
      <c r="D159" s="351" t="s">
        <v>5816</v>
      </c>
      <c r="E159" s="351" t="s">
        <v>5812</v>
      </c>
      <c r="F159" s="353">
        <v>2450.0</v>
      </c>
      <c r="G159" s="11" t="str">
        <f>IFERROR(__xludf.DUMMYFUNCTION("IFERROR(
  VLOOKUP(
    TRIM($A159),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)"),"https://drive.google.com/open?id=1Xwda-r_eWfi4KgsLZxXyKLSQXdIJDfUK")</f>
        <v>https://drive.google.com/open?id=1Xwda-r_eWfi4KgsLZxXyKLSQXdIJDfUK</v>
      </c>
      <c r="H159" s="14"/>
      <c r="I159" s="14"/>
      <c r="J159" s="14"/>
      <c r="K159" s="14"/>
      <c r="L159" s="14"/>
    </row>
    <row r="160">
      <c r="A160" s="351" t="s">
        <v>1360</v>
      </c>
      <c r="B160" s="351" t="s">
        <v>4729</v>
      </c>
      <c r="C160" s="351" t="s">
        <v>5104</v>
      </c>
      <c r="D160" s="351" t="s">
        <v>5816</v>
      </c>
      <c r="E160" s="351" t="s">
        <v>5812</v>
      </c>
      <c r="F160" s="353">
        <v>2100.0</v>
      </c>
      <c r="G160" s="11" t="str">
        <f>IFERROR(__xludf.DUMMYFUNCTION("IFERROR(
  VLOOKUP(
    TRIM($A160),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)"),"https://drive.google.com/open?id=108pFobgkFJKmpE0RGTVHVhBziMEHrGmb")</f>
        <v>https://drive.google.com/open?id=108pFobgkFJKmpE0RGTVHVhBziMEHrGmb</v>
      </c>
      <c r="H160" s="14"/>
      <c r="I160" s="14"/>
      <c r="J160" s="14"/>
      <c r="K160" s="14"/>
      <c r="L160" s="14"/>
    </row>
    <row r="161">
      <c r="A161" s="351" t="s">
        <v>670</v>
      </c>
      <c r="B161" s="351" t="s">
        <v>4729</v>
      </c>
      <c r="C161" s="351" t="s">
        <v>1285</v>
      </c>
      <c r="D161" s="351" t="s">
        <v>5809</v>
      </c>
      <c r="E161" s="351" t="s">
        <v>5812</v>
      </c>
      <c r="F161" s="353">
        <v>1700.0</v>
      </c>
      <c r="G161" s="11" t="str">
        <f>IFERROR(__xludf.DUMMYFUNCTION("IFERROR(
  VLOOKUP(
    TRIM($A161),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)"),"https://drive.google.com/open?id=1rTy-1mjcHSVXiE8hCO2WiFRHWN7El1cS")</f>
        <v>https://drive.google.com/open?id=1rTy-1mjcHSVXiE8hCO2WiFRHWN7El1cS</v>
      </c>
      <c r="H161" s="14"/>
      <c r="I161" s="14"/>
      <c r="J161" s="14"/>
      <c r="K161" s="14"/>
      <c r="L161" s="14"/>
    </row>
    <row r="162">
      <c r="A162" s="351" t="s">
        <v>1352</v>
      </c>
      <c r="B162" s="351" t="s">
        <v>4729</v>
      </c>
      <c r="C162" s="351" t="s">
        <v>5023</v>
      </c>
      <c r="D162" s="351" t="s">
        <v>5816</v>
      </c>
      <c r="E162" s="351" t="s">
        <v>5812</v>
      </c>
      <c r="F162" s="353">
        <v>1900.0</v>
      </c>
      <c r="G162" s="11" t="str">
        <f>IFERROR(__xludf.DUMMYFUNCTION("IFERROR(
  VLOOKUP(
    TRIM($A162),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)"),"https://drive.google.com/open?id=1kBkY_1d4hgBmKsfiUh_U9sh7tjVvjaHR")</f>
        <v>https://drive.google.com/open?id=1kBkY_1d4hgBmKsfiUh_U9sh7tjVvjaHR</v>
      </c>
      <c r="H162" s="14"/>
      <c r="I162" s="14"/>
      <c r="J162" s="14"/>
      <c r="K162" s="14"/>
      <c r="L162" s="14"/>
    </row>
    <row r="163">
      <c r="A163" s="351" t="s">
        <v>1274</v>
      </c>
      <c r="B163" s="351" t="s">
        <v>4729</v>
      </c>
      <c r="C163" s="351" t="s">
        <v>1277</v>
      </c>
      <c r="D163" s="351" t="s">
        <v>5816</v>
      </c>
      <c r="E163" s="351" t="s">
        <v>5812</v>
      </c>
      <c r="F163" s="353">
        <v>1700.0</v>
      </c>
      <c r="G163" s="11" t="str">
        <f>IFERROR(__xludf.DUMMYFUNCTION("IFERROR(
  VLOOKUP(
    TRIM($A163),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)"),"https://drive.google.com/open?id=1W1EhQ9UQXLcKovzYN_1JSHoZVKUpoB7L")</f>
        <v>https://drive.google.com/open?id=1W1EhQ9UQXLcKovzYN_1JSHoZVKUpoB7L</v>
      </c>
      <c r="H163" s="14"/>
      <c r="I163" s="14"/>
      <c r="J163" s="14"/>
      <c r="K163" s="14"/>
      <c r="L163" s="14"/>
    </row>
    <row r="164">
      <c r="A164" s="351" t="s">
        <v>1155</v>
      </c>
      <c r="B164" s="351" t="s">
        <v>4729</v>
      </c>
      <c r="C164" s="351" t="s">
        <v>1158</v>
      </c>
      <c r="D164" s="351" t="s">
        <v>5816</v>
      </c>
      <c r="E164" s="351" t="s">
        <v>5812</v>
      </c>
      <c r="F164" s="353">
        <v>2400.0</v>
      </c>
      <c r="G164" s="11" t="str">
        <f>IFERROR(__xludf.DUMMYFUNCTION("IFERROR(
  VLOOKUP(
    TRIM($A164),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)"),"https://drive.google.com/open?id=1XAfX6np-am2RN4amdB7Uf7B0dvnWNpCb")</f>
        <v>https://drive.google.com/open?id=1XAfX6np-am2RN4amdB7Uf7B0dvnWNpCb</v>
      </c>
      <c r="H164" s="14"/>
      <c r="I164" s="14"/>
      <c r="J164" s="14"/>
      <c r="K164" s="14"/>
      <c r="L164" s="14"/>
    </row>
    <row r="165">
      <c r="A165" s="351" t="s">
        <v>1368</v>
      </c>
      <c r="B165" s="351" t="s">
        <v>4729</v>
      </c>
      <c r="C165" s="351" t="s">
        <v>5083</v>
      </c>
      <c r="D165" s="351" t="s">
        <v>5816</v>
      </c>
      <c r="E165" s="351" t="s">
        <v>5812</v>
      </c>
      <c r="F165" s="353">
        <v>2400.0</v>
      </c>
      <c r="G165" s="11" t="str">
        <f>IFERROR(__xludf.DUMMYFUNCTION("IFERROR(
  VLOOKUP(
    TRIM($A165),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)"),"https://drive.google.com/open?id=1uAsomtebfmW9XqwhpKtj90KWTf0RXnxB")</f>
        <v>https://drive.google.com/open?id=1uAsomtebfmW9XqwhpKtj90KWTf0RXnxB</v>
      </c>
      <c r="H165" s="14"/>
      <c r="I165" s="14"/>
      <c r="J165" s="14"/>
      <c r="K165" s="14"/>
      <c r="L165" s="14"/>
    </row>
    <row r="166">
      <c r="A166" s="351" t="s">
        <v>1346</v>
      </c>
      <c r="B166" s="351" t="s">
        <v>4729</v>
      </c>
      <c r="C166" s="351" t="s">
        <v>5094</v>
      </c>
      <c r="D166" s="351" t="s">
        <v>5816</v>
      </c>
      <c r="E166" s="351" t="s">
        <v>5812</v>
      </c>
      <c r="F166" s="353">
        <v>1950.0</v>
      </c>
      <c r="G166" s="11" t="str">
        <f>IFERROR(__xludf.DUMMYFUNCTION("IFERROR(
  VLOOKUP(
    TRIM($A166),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)"),"https://drive.google.com/open?id=18hXm3feJd2JQBOh0H47c7w8jLB1VFLuf")</f>
        <v>https://drive.google.com/open?id=18hXm3feJd2JQBOh0H47c7w8jLB1VFLuf</v>
      </c>
      <c r="H166" s="14"/>
      <c r="I166" s="14"/>
      <c r="J166" s="14"/>
      <c r="K166" s="14"/>
      <c r="L166" s="14"/>
    </row>
    <row r="167">
      <c r="A167" s="351" t="s">
        <v>1809</v>
      </c>
      <c r="B167" s="351" t="s">
        <v>4729</v>
      </c>
      <c r="C167" s="351" t="s">
        <v>1812</v>
      </c>
      <c r="D167" s="351" t="s">
        <v>5816</v>
      </c>
      <c r="E167" s="351" t="s">
        <v>5812</v>
      </c>
      <c r="F167" s="353">
        <v>1300.0</v>
      </c>
      <c r="G167" s="11" t="str">
        <f>IFERROR(__xludf.DUMMYFUNCTION("IFERROR(
  VLOOKUP(
    TRIM($A167),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)"),"https://drive.google.com/open?id=1ADexDXh_AfuYTK5eBRWyK6jpYYk_Xoa-")</f>
        <v>https://drive.google.com/open?id=1ADexDXh_AfuYTK5eBRWyK6jpYYk_Xoa-</v>
      </c>
      <c r="H167" s="14"/>
      <c r="I167" s="14"/>
      <c r="J167" s="14"/>
      <c r="K167" s="14"/>
      <c r="L167" s="14"/>
    </row>
    <row r="168">
      <c r="A168" s="351" t="s">
        <v>1900</v>
      </c>
      <c r="B168" s="351" t="s">
        <v>4729</v>
      </c>
      <c r="C168" s="351" t="s">
        <v>5076</v>
      </c>
      <c r="D168" s="351" t="s">
        <v>5816</v>
      </c>
      <c r="E168" s="351" t="s">
        <v>5812</v>
      </c>
      <c r="F168" s="353">
        <v>1700.0</v>
      </c>
      <c r="G168" s="11" t="str">
        <f>IFERROR(__xludf.DUMMYFUNCTION("IFERROR(
  VLOOKUP(
    TRIM($A168),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)"),"https://drive.google.com/open?id=1vxvjHOgYb-ApRJ14l6ZonbXA2f_bxqWX")</f>
        <v>https://drive.google.com/open?id=1vxvjHOgYb-ApRJ14l6ZonbXA2f_bxqWX</v>
      </c>
      <c r="H168" s="14"/>
      <c r="I168" s="14"/>
      <c r="J168" s="14"/>
      <c r="K168" s="14"/>
      <c r="L168" s="14"/>
    </row>
    <row r="169">
      <c r="A169" s="351" t="s">
        <v>1373</v>
      </c>
      <c r="B169" s="351" t="s">
        <v>4729</v>
      </c>
      <c r="C169" s="351" t="s">
        <v>1376</v>
      </c>
      <c r="D169" s="351" t="s">
        <v>5816</v>
      </c>
      <c r="E169" s="351" t="s">
        <v>5812</v>
      </c>
      <c r="F169" s="353">
        <v>1500.0</v>
      </c>
      <c r="G169" s="11" t="str">
        <f>IFERROR(__xludf.DUMMYFUNCTION("IFERROR(
  VLOOKUP(
    TRIM($A169),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)"),"https://drive.google.com/open?id=1sgbCvJvitSBVf6AztkzzjJcY6tt0g4kr")</f>
        <v>https://drive.google.com/open?id=1sgbCvJvitSBVf6AztkzzjJcY6tt0g4kr</v>
      </c>
      <c r="H169" s="14"/>
      <c r="I169" s="14"/>
      <c r="J169" s="14"/>
      <c r="K169" s="14"/>
      <c r="L169" s="14"/>
    </row>
    <row r="170">
      <c r="A170" s="351" t="s">
        <v>3718</v>
      </c>
      <c r="B170" s="351" t="s">
        <v>4748</v>
      </c>
      <c r="C170" s="351" t="s">
        <v>3841</v>
      </c>
      <c r="D170" s="351" t="s">
        <v>5809</v>
      </c>
      <c r="E170" s="351" t="s">
        <v>5812</v>
      </c>
      <c r="F170" s="353">
        <v>2400.0</v>
      </c>
      <c r="G170" s="11" t="str">
        <f>IFERROR(__xludf.DUMMYFUNCTION("IFERROR(
  VLOOKUP(
    TRIM($A170),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)"),"https://drive.google.com/open?id=1-QLahdxfyOEMMGBGOuL3kYIZpTD3fJCs")</f>
        <v>https://drive.google.com/open?id=1-QLahdxfyOEMMGBGOuL3kYIZpTD3fJCs</v>
      </c>
      <c r="H170" s="14"/>
      <c r="I170" s="14"/>
      <c r="J170" s="14"/>
      <c r="K170" s="14"/>
      <c r="L170" s="14"/>
    </row>
    <row r="171">
      <c r="A171" s="351" t="s">
        <v>4674</v>
      </c>
      <c r="B171" s="351" t="s">
        <v>4756</v>
      </c>
      <c r="C171" s="351" t="s">
        <v>5508</v>
      </c>
      <c r="D171" s="351" t="s">
        <v>5809</v>
      </c>
      <c r="E171" s="351" t="s">
        <v>5812</v>
      </c>
      <c r="F171" s="353">
        <v>1650.0</v>
      </c>
      <c r="G171" s="11" t="str">
        <f>IFERROR(__xludf.DUMMYFUNCTION("IFERROR(
  VLOOKUP(
    TRIM($A171),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)"),"https://drive.google.com/open?id=1V8k62Z7oz60PWJKQRibDhDiCZ8AjXAmD")</f>
        <v>https://drive.google.com/open?id=1V8k62Z7oz60PWJKQRibDhDiCZ8AjXAmD</v>
      </c>
      <c r="H171" s="14"/>
      <c r="I171" s="14"/>
      <c r="J171" s="14"/>
      <c r="K171" s="14"/>
      <c r="L171" s="14"/>
    </row>
    <row r="172">
      <c r="A172" s="351" t="s">
        <v>4675</v>
      </c>
      <c r="B172" s="351" t="s">
        <v>4756</v>
      </c>
      <c r="C172" s="351" t="s">
        <v>5510</v>
      </c>
      <c r="D172" s="351" t="s">
        <v>5809</v>
      </c>
      <c r="E172" s="351" t="s">
        <v>5812</v>
      </c>
      <c r="F172" s="353">
        <v>2900.0</v>
      </c>
      <c r="G172" s="11" t="str">
        <f>IFERROR(__xludf.DUMMYFUNCTION("IFERROR(
  VLOOKUP(
    TRIM($A172),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)"),"https://drive.google.com/open?id=1tAvC0FSow-TslBgP1v8_Krb0nQTarPL8")</f>
        <v>https://drive.google.com/open?id=1tAvC0FSow-TslBgP1v8_Krb0nQTarPL8</v>
      </c>
      <c r="H172" s="14"/>
      <c r="I172" s="14"/>
      <c r="J172" s="14"/>
      <c r="K172" s="14"/>
      <c r="L172" s="14"/>
    </row>
    <row r="173">
      <c r="A173" s="351" t="s">
        <v>4676</v>
      </c>
      <c r="B173" s="351" t="s">
        <v>4756</v>
      </c>
      <c r="C173" s="351" t="s">
        <v>5516</v>
      </c>
      <c r="D173" s="351" t="s">
        <v>5809</v>
      </c>
      <c r="E173" s="351" t="s">
        <v>5812</v>
      </c>
      <c r="F173" s="353">
        <v>2200.0</v>
      </c>
      <c r="G173" s="14" t="str">
        <f>IFERROR(__xludf.DUMMYFUNCTION("IFERROR(
  VLOOKUP(
    TRIM($A173),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73" s="14"/>
      <c r="I173" s="14"/>
      <c r="J173" s="14"/>
      <c r="K173" s="14"/>
      <c r="L173" s="14"/>
    </row>
    <row r="174">
      <c r="A174" s="351" t="s">
        <v>4678</v>
      </c>
      <c r="B174" s="351" t="s">
        <v>4756</v>
      </c>
      <c r="C174" s="351" t="s">
        <v>5512</v>
      </c>
      <c r="D174" s="351" t="s">
        <v>5809</v>
      </c>
      <c r="E174" s="351" t="s">
        <v>5812</v>
      </c>
      <c r="F174" s="353">
        <v>2600.0</v>
      </c>
      <c r="G174" s="11" t="str">
        <f>IFERROR(__xludf.DUMMYFUNCTION("IFERROR(
  VLOOKUP(
    TRIM($A174),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)"),"https://drive.google.com/open?id=1_w-B2gFgjNG8fyir3f0Z3_y17kfYaLab")</f>
        <v>https://drive.google.com/open?id=1_w-B2gFgjNG8fyir3f0Z3_y17kfYaLab</v>
      </c>
      <c r="H174" s="14"/>
      <c r="I174" s="14"/>
      <c r="J174" s="14"/>
      <c r="K174" s="14"/>
      <c r="L174" s="14"/>
    </row>
    <row r="175">
      <c r="A175" s="351" t="s">
        <v>4677</v>
      </c>
      <c r="B175" s="351" t="s">
        <v>4756</v>
      </c>
      <c r="C175" s="351" t="s">
        <v>5514</v>
      </c>
      <c r="D175" s="351" t="s">
        <v>5809</v>
      </c>
      <c r="E175" s="351" t="s">
        <v>5812</v>
      </c>
      <c r="F175" s="353">
        <v>1300.0</v>
      </c>
      <c r="G175" s="11" t="str">
        <f>IFERROR(__xludf.DUMMYFUNCTION("IFERROR(
  VLOOKUP(
    TRIM($A175),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)"),"https://drive.google.com/open?id=1Yf4i0n2TTJW0Knr4NdN5eXjRqC7oJbf5")</f>
        <v>https://drive.google.com/open?id=1Yf4i0n2TTJW0Knr4NdN5eXjRqC7oJbf5</v>
      </c>
      <c r="H175" s="14"/>
      <c r="I175" s="14"/>
      <c r="J175" s="14"/>
      <c r="K175" s="14"/>
      <c r="L175" s="14"/>
    </row>
    <row r="176">
      <c r="A176" s="351" t="s">
        <v>4679</v>
      </c>
      <c r="B176" s="351" t="s">
        <v>4757</v>
      </c>
      <c r="C176" s="351" t="s">
        <v>5490</v>
      </c>
      <c r="D176" s="351" t="s">
        <v>5809</v>
      </c>
      <c r="E176" s="351" t="s">
        <v>5812</v>
      </c>
      <c r="F176" s="353">
        <v>1000.0</v>
      </c>
      <c r="G176" s="11" t="str">
        <f>IFERROR(__xludf.DUMMYFUNCTION("IFERROR(
  VLOOKUP(
    TRIM($A176),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)"),"https://drive.google.com/open?id=1xOd0az3p673uYxOUkC_9VfZAR9TQUVXg")</f>
        <v>https://drive.google.com/open?id=1xOd0az3p673uYxOUkC_9VfZAR9TQUVXg</v>
      </c>
      <c r="H176" s="14"/>
      <c r="I176" s="14"/>
      <c r="J176" s="14"/>
      <c r="K176" s="14"/>
      <c r="L176" s="14"/>
    </row>
    <row r="177">
      <c r="A177" s="351" t="s">
        <v>4682</v>
      </c>
      <c r="B177" s="351" t="s">
        <v>4757</v>
      </c>
      <c r="C177" s="351" t="s">
        <v>5484</v>
      </c>
      <c r="D177" s="351" t="s">
        <v>5809</v>
      </c>
      <c r="E177" s="351" t="s">
        <v>5812</v>
      </c>
      <c r="F177" s="353">
        <v>1800.0</v>
      </c>
      <c r="G177" s="11" t="str">
        <f>IFERROR(__xludf.DUMMYFUNCTION("IFERROR(
  VLOOKUP(
    TRIM($A177),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)"),"https://drive.google.com/open?id=100aRYZgsY5LKe8WyFfCoG_SGJ7fnL9mi")</f>
        <v>https://drive.google.com/open?id=100aRYZgsY5LKe8WyFfCoG_SGJ7fnL9mi</v>
      </c>
      <c r="H177" s="14"/>
      <c r="I177" s="14"/>
      <c r="J177" s="14"/>
      <c r="K177" s="14"/>
      <c r="L177" s="14"/>
    </row>
    <row r="178">
      <c r="A178" s="351" t="s">
        <v>4680</v>
      </c>
      <c r="B178" s="351" t="s">
        <v>4757</v>
      </c>
      <c r="C178" s="351" t="s">
        <v>5488</v>
      </c>
      <c r="D178" s="351" t="s">
        <v>5809</v>
      </c>
      <c r="E178" s="351" t="s">
        <v>5812</v>
      </c>
      <c r="F178" s="353">
        <v>3450.0</v>
      </c>
      <c r="G178" s="11" t="str">
        <f>IFERROR(__xludf.DUMMYFUNCTION("IFERROR(
  VLOOKUP(
    TRIM($A178),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)"),"https://drive.google.com/open?id=1Kv2QBPN5sQC3k73ZF-fdKHIe2xAOr_Er")</f>
        <v>https://drive.google.com/open?id=1Kv2QBPN5sQC3k73ZF-fdKHIe2xAOr_Er</v>
      </c>
      <c r="H178" s="14"/>
      <c r="I178" s="14"/>
      <c r="J178" s="14"/>
      <c r="K178" s="14"/>
      <c r="L178" s="14"/>
    </row>
    <row r="179">
      <c r="A179" s="351" t="s">
        <v>4683</v>
      </c>
      <c r="B179" s="351" t="s">
        <v>4757</v>
      </c>
      <c r="C179" s="351" t="s">
        <v>5480</v>
      </c>
      <c r="D179" s="351" t="s">
        <v>5809</v>
      </c>
      <c r="E179" s="351" t="s">
        <v>5812</v>
      </c>
      <c r="F179" s="353">
        <v>2150.0</v>
      </c>
      <c r="G179" s="11" t="str">
        <f>IFERROR(__xludf.DUMMYFUNCTION("IFERROR(
  VLOOKUP(
    TRIM($A179),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)"),"https://drive.google.com/open?id=1FnEXWAoQrffXpTN_nNcOzazlLVjcqxdU")</f>
        <v>https://drive.google.com/open?id=1FnEXWAoQrffXpTN_nNcOzazlLVjcqxdU</v>
      </c>
      <c r="H179" s="14"/>
      <c r="I179" s="14"/>
      <c r="J179" s="14"/>
      <c r="K179" s="14"/>
      <c r="L179" s="14"/>
    </row>
    <row r="180">
      <c r="A180" s="351" t="s">
        <v>4681</v>
      </c>
      <c r="B180" s="351" t="s">
        <v>4757</v>
      </c>
      <c r="C180" s="351" t="s">
        <v>5486</v>
      </c>
      <c r="D180" s="351" t="s">
        <v>5809</v>
      </c>
      <c r="E180" s="351" t="s">
        <v>5812</v>
      </c>
      <c r="F180" s="353">
        <v>1650.0</v>
      </c>
      <c r="G180" s="11" t="str">
        <f>IFERROR(__xludf.DUMMYFUNCTION("IFERROR(
  VLOOKUP(
    TRIM($A180),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)"),"https://drive.google.com/open?id=1E5nnVCn312osafFn1nze62iSY_-VPiYg")</f>
        <v>https://drive.google.com/open?id=1E5nnVCn312osafFn1nze62iSY_-VPiYg</v>
      </c>
      <c r="H180" s="14"/>
      <c r="I180" s="14"/>
      <c r="J180" s="14"/>
      <c r="K180" s="14"/>
      <c r="L180" s="14"/>
    </row>
    <row r="181">
      <c r="A181" s="351" t="s">
        <v>4685</v>
      </c>
      <c r="B181" s="351" t="s">
        <v>4757</v>
      </c>
      <c r="C181" s="351" t="s">
        <v>5478</v>
      </c>
      <c r="D181" s="351" t="s">
        <v>5809</v>
      </c>
      <c r="E181" s="351" t="s">
        <v>5812</v>
      </c>
      <c r="F181" s="353">
        <v>2250.0</v>
      </c>
      <c r="G181" s="11" t="str">
        <f>IFERROR(__xludf.DUMMYFUNCTION("IFERROR(
  VLOOKUP(
    TRIM($A181),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)"),"https://drive.google.com/open?id=1Nf009byuTZgws5y50Id7uTQUVcId_-Yw")</f>
        <v>https://drive.google.com/open?id=1Nf009byuTZgws5y50Id7uTQUVcId_-Yw</v>
      </c>
      <c r="H181" s="14"/>
      <c r="I181" s="14"/>
      <c r="J181" s="14"/>
      <c r="K181" s="14"/>
      <c r="L181" s="14"/>
    </row>
    <row r="182">
      <c r="A182" s="351" t="s">
        <v>4684</v>
      </c>
      <c r="B182" s="351" t="s">
        <v>4757</v>
      </c>
      <c r="C182" s="351" t="s">
        <v>5482</v>
      </c>
      <c r="D182" s="351" t="s">
        <v>5809</v>
      </c>
      <c r="E182" s="351" t="s">
        <v>5812</v>
      </c>
      <c r="F182" s="353">
        <v>3400.0</v>
      </c>
      <c r="G182" s="11" t="str">
        <f>IFERROR(__xludf.DUMMYFUNCTION("IFERROR(
  VLOOKUP(
    TRIM($A182),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)"),"https://drive.google.com/open?id=1RusMb1G-dl4_VLmCnKIX_oHSMskC86He")</f>
        <v>https://drive.google.com/open?id=1RusMb1G-dl4_VLmCnKIX_oHSMskC86He</v>
      </c>
      <c r="H182" s="14"/>
      <c r="I182" s="14"/>
      <c r="J182" s="14"/>
      <c r="K182" s="14"/>
      <c r="L182" s="14"/>
    </row>
    <row r="183">
      <c r="A183" s="351" t="s">
        <v>4689</v>
      </c>
      <c r="B183" s="351" t="s">
        <v>4758</v>
      </c>
      <c r="C183" s="351" t="s">
        <v>5500</v>
      </c>
      <c r="D183" s="351" t="s">
        <v>5809</v>
      </c>
      <c r="E183" s="351" t="s">
        <v>5812</v>
      </c>
      <c r="F183" s="353">
        <v>1350.0</v>
      </c>
      <c r="G183" s="11" t="str">
        <f>IFERROR(__xludf.DUMMYFUNCTION("IFERROR(
  VLOOKUP(
    TRIM($A183),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)"),"https://drive.google.com/open?id=1qJheNXA0QldEWIFrw74FgPtLJa_zM-MX")</f>
        <v>https://drive.google.com/open?id=1qJheNXA0QldEWIFrw74FgPtLJa_zM-MX</v>
      </c>
      <c r="H183" s="14"/>
      <c r="I183" s="14"/>
      <c r="J183" s="14"/>
      <c r="K183" s="14"/>
      <c r="L183" s="14"/>
    </row>
    <row r="184">
      <c r="A184" s="351" t="s">
        <v>4690</v>
      </c>
      <c r="B184" s="351" t="s">
        <v>4758</v>
      </c>
      <c r="C184" s="351" t="s">
        <v>5498</v>
      </c>
      <c r="D184" s="351" t="s">
        <v>5809</v>
      </c>
      <c r="E184" s="351" t="s">
        <v>5812</v>
      </c>
      <c r="F184" s="353">
        <v>1400.0</v>
      </c>
      <c r="G184" s="11" t="str">
        <f>IFERROR(__xludf.DUMMYFUNCTION("IFERROR(
  VLOOKUP(
    TRIM($A184),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)"),"https://drive.google.com/open?id=1xYrx_QLHCv_jyWiv53upQdYQZ10XE0YU")</f>
        <v>https://drive.google.com/open?id=1xYrx_QLHCv_jyWiv53upQdYQZ10XE0YU</v>
      </c>
      <c r="H184" s="14"/>
      <c r="I184" s="14"/>
      <c r="J184" s="14"/>
      <c r="K184" s="14"/>
      <c r="L184" s="14"/>
    </row>
    <row r="185">
      <c r="A185" s="351" t="s">
        <v>4693</v>
      </c>
      <c r="B185" s="351" t="s">
        <v>4758</v>
      </c>
      <c r="C185" s="351" t="s">
        <v>5494</v>
      </c>
      <c r="D185" s="351" t="s">
        <v>5809</v>
      </c>
      <c r="E185" s="351" t="s">
        <v>5812</v>
      </c>
      <c r="F185" s="353">
        <v>600.0</v>
      </c>
      <c r="G185" s="11" t="str">
        <f>IFERROR(__xludf.DUMMYFUNCTION("IFERROR(
  VLOOKUP(
    TRIM($A185),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)"),"https://drive.google.com/open?id=1ytkDGj8vTcw53OsgJzQn6cCg9QJbStez")</f>
        <v>https://drive.google.com/open?id=1ytkDGj8vTcw53OsgJzQn6cCg9QJbStez</v>
      </c>
      <c r="H185" s="14"/>
      <c r="I185" s="14"/>
      <c r="J185" s="14"/>
      <c r="K185" s="14"/>
      <c r="L185" s="14"/>
    </row>
    <row r="186">
      <c r="A186" s="351" t="s">
        <v>4691</v>
      </c>
      <c r="B186" s="351" t="s">
        <v>4758</v>
      </c>
      <c r="C186" s="351" t="s">
        <v>5492</v>
      </c>
      <c r="D186" s="351" t="s">
        <v>5809</v>
      </c>
      <c r="E186" s="351" t="s">
        <v>5812</v>
      </c>
      <c r="F186" s="353">
        <v>2000.0</v>
      </c>
      <c r="G186" s="11" t="str">
        <f>IFERROR(__xludf.DUMMYFUNCTION("IFERROR(
  VLOOKUP(
    TRIM($A186),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)"),"https://drive.google.com/open?id=15xSNjhpg7_8AsJy4B4106cEE1wSHY0Al")</f>
        <v>https://drive.google.com/open?id=15xSNjhpg7_8AsJy4B4106cEE1wSHY0Al</v>
      </c>
      <c r="H186" s="14"/>
      <c r="I186" s="14"/>
      <c r="J186" s="14"/>
      <c r="K186" s="14"/>
      <c r="L186" s="14"/>
    </row>
    <row r="187">
      <c r="A187" s="351" t="s">
        <v>4692</v>
      </c>
      <c r="B187" s="351" t="s">
        <v>4758</v>
      </c>
      <c r="C187" s="351" t="s">
        <v>5504</v>
      </c>
      <c r="D187" s="351" t="s">
        <v>5809</v>
      </c>
      <c r="E187" s="351" t="s">
        <v>5812</v>
      </c>
      <c r="F187" s="353">
        <v>950.0</v>
      </c>
      <c r="G187" s="11" t="str">
        <f>IFERROR(__xludf.DUMMYFUNCTION("IFERROR(
  VLOOKUP(
    TRIM($A187),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)"),"https://drive.google.com/open?id=1kgYp54F0AEWkjckIVSzOyzOhrkGHwt35")</f>
        <v>https://drive.google.com/open?id=1kgYp54F0AEWkjckIVSzOyzOhrkGHwt35</v>
      </c>
      <c r="H187" s="14"/>
      <c r="I187" s="14"/>
      <c r="J187" s="14"/>
      <c r="K187" s="14"/>
      <c r="L187" s="14"/>
    </row>
    <row r="188">
      <c r="A188" s="351" t="s">
        <v>4686</v>
      </c>
      <c r="B188" s="351" t="s">
        <v>4758</v>
      </c>
      <c r="C188" s="351" t="s">
        <v>5502</v>
      </c>
      <c r="D188" s="351" t="s">
        <v>5809</v>
      </c>
      <c r="E188" s="351" t="s">
        <v>5812</v>
      </c>
      <c r="F188" s="353">
        <v>1050.0</v>
      </c>
      <c r="G188" s="11" t="str">
        <f>IFERROR(__xludf.DUMMYFUNCTION("IFERROR(
  VLOOKUP(
    TRIM($A188),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)"),"https://drive.google.com/open?id=1DdAyz8kzAmgZ-p80h0QJV2AUgLxFaou9")</f>
        <v>https://drive.google.com/open?id=1DdAyz8kzAmgZ-p80h0QJV2AUgLxFaou9</v>
      </c>
      <c r="H188" s="14"/>
      <c r="I188" s="14"/>
      <c r="J188" s="14"/>
      <c r="K188" s="14"/>
      <c r="L188" s="14"/>
    </row>
    <row r="189">
      <c r="A189" s="351" t="s">
        <v>4688</v>
      </c>
      <c r="B189" s="351" t="s">
        <v>4758</v>
      </c>
      <c r="C189" s="351" t="s">
        <v>5496</v>
      </c>
      <c r="D189" s="351" t="s">
        <v>5809</v>
      </c>
      <c r="E189" s="351" t="s">
        <v>5812</v>
      </c>
      <c r="F189" s="353">
        <v>500.0</v>
      </c>
      <c r="G189" s="11" t="str">
        <f>IFERROR(__xludf.DUMMYFUNCTION("IFERROR(
  VLOOKUP(
    TRIM($A189),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)"),"https://drive.google.com/open?id=1rUCzH7sZyfXXTZeK48FkWPOLEpurtOog")</f>
        <v>https://drive.google.com/open?id=1rUCzH7sZyfXXTZeK48FkWPOLEpurtOog</v>
      </c>
      <c r="H189" s="14"/>
      <c r="I189" s="14"/>
      <c r="J189" s="14"/>
      <c r="K189" s="14"/>
      <c r="L189" s="14"/>
    </row>
    <row r="190">
      <c r="A190" s="351" t="s">
        <v>4687</v>
      </c>
      <c r="B190" s="351" t="s">
        <v>4758</v>
      </c>
      <c r="C190" s="351" t="s">
        <v>5506</v>
      </c>
      <c r="D190" s="351" t="s">
        <v>5809</v>
      </c>
      <c r="E190" s="351" t="s">
        <v>5812</v>
      </c>
      <c r="F190" s="353">
        <v>1350.0</v>
      </c>
      <c r="G190" s="11" t="str">
        <f>IFERROR(__xludf.DUMMYFUNCTION("IFERROR(
  VLOOKUP(
    TRIM($A190),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)"),"https://drive.google.com/open?id=1CalXJZkBey-sr1e2ewnyCSIG3B5POj_z")</f>
        <v>https://drive.google.com/open?id=1CalXJZkBey-sr1e2ewnyCSIG3B5POj_z</v>
      </c>
      <c r="H190" s="14"/>
      <c r="I190" s="14"/>
      <c r="J190" s="14"/>
      <c r="K190" s="14"/>
      <c r="L190" s="14"/>
    </row>
    <row r="191">
      <c r="A191" s="351" t="s">
        <v>3881</v>
      </c>
      <c r="B191" s="351" t="s">
        <v>4761</v>
      </c>
      <c r="C191" s="351" t="s">
        <v>5161</v>
      </c>
      <c r="D191" s="351" t="s">
        <v>5809</v>
      </c>
      <c r="E191" s="351" t="s">
        <v>5812</v>
      </c>
      <c r="F191" s="353">
        <v>2000.0</v>
      </c>
      <c r="G191" s="11" t="str">
        <f>IFERROR(__xludf.DUMMYFUNCTION("IFERROR(
  VLOOKUP(
    TRIM($A191),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)"),"https://drive.google.com/open?id=1NmbDaZMQ98nkmGKQaLQ786j4VwxnaD2w")</f>
        <v>https://drive.google.com/open?id=1NmbDaZMQ98nkmGKQaLQ786j4VwxnaD2w</v>
      </c>
      <c r="H191" s="14"/>
      <c r="I191" s="14"/>
      <c r="J191" s="14"/>
      <c r="K191" s="14"/>
      <c r="L191" s="14"/>
    </row>
    <row r="192">
      <c r="A192" s="351" t="s">
        <v>5817</v>
      </c>
      <c r="B192" s="351" t="s">
        <v>4744</v>
      </c>
      <c r="C192" s="351" t="s">
        <v>4923</v>
      </c>
      <c r="D192" s="351" t="s">
        <v>5816</v>
      </c>
      <c r="E192" s="351" t="s">
        <v>5812</v>
      </c>
      <c r="F192" s="353">
        <v>1750.0</v>
      </c>
      <c r="G192" s="11" t="str">
        <f>IFERROR(__xludf.DUMMYFUNCTION("IFERROR(
  VLOOKUP(
    TRIM($A192),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)"),"https://drive.google.com/open?id=1cXcz_lSMHEC5bwYmvg_UgZQWpo9VqQ1Z")</f>
        <v>https://drive.google.com/open?id=1cXcz_lSMHEC5bwYmvg_UgZQWpo9VqQ1Z</v>
      </c>
      <c r="H192" s="14"/>
      <c r="I192" s="14"/>
      <c r="J192" s="14"/>
      <c r="K192" s="14"/>
      <c r="L192" s="14"/>
    </row>
    <row r="193">
      <c r="A193" s="351" t="s">
        <v>4134</v>
      </c>
      <c r="B193" s="351" t="s">
        <v>4759</v>
      </c>
      <c r="C193" s="351" t="s">
        <v>4137</v>
      </c>
      <c r="D193" s="351" t="s">
        <v>5809</v>
      </c>
      <c r="E193" s="351" t="s">
        <v>5813</v>
      </c>
      <c r="F193" s="353">
        <v>2050.0</v>
      </c>
      <c r="G193" s="14" t="str">
        <f>IFERROR(__xludf.DUMMYFUNCTION("IFERROR(
  VLOOKUP(
    TRIM($A193),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3" s="14"/>
      <c r="I193" s="14"/>
      <c r="J193" s="14"/>
      <c r="K193" s="14"/>
      <c r="L193" s="14"/>
    </row>
    <row r="194">
      <c r="A194" s="351" t="s">
        <v>4128</v>
      </c>
      <c r="B194" s="351" t="s">
        <v>4759</v>
      </c>
      <c r="C194" s="351" t="s">
        <v>5222</v>
      </c>
      <c r="D194" s="351" t="s">
        <v>5809</v>
      </c>
      <c r="E194" s="351" t="s">
        <v>5813</v>
      </c>
      <c r="F194" s="353">
        <v>1600.0</v>
      </c>
      <c r="G194" s="14" t="str">
        <f>IFERROR(__xludf.DUMMYFUNCTION("IFERROR(
  VLOOKUP(
    TRIM($A194),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4" s="14"/>
      <c r="I194" s="14"/>
      <c r="J194" s="14"/>
      <c r="K194" s="14"/>
      <c r="L194" s="14"/>
    </row>
    <row r="195">
      <c r="A195" s="351" t="s">
        <v>4695</v>
      </c>
      <c r="B195" s="351" t="s">
        <v>4759</v>
      </c>
      <c r="C195" s="351" t="s">
        <v>5189</v>
      </c>
      <c r="D195" s="351" t="s">
        <v>5809</v>
      </c>
      <c r="E195" s="351" t="s">
        <v>5813</v>
      </c>
      <c r="F195" s="353">
        <v>1800.0</v>
      </c>
      <c r="G195" s="14" t="str">
        <f>IFERROR(__xludf.DUMMYFUNCTION("IFERROR(
  VLOOKUP(
    TRIM($A195),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5" s="14"/>
      <c r="I195" s="14"/>
      <c r="J195" s="14"/>
      <c r="K195" s="14"/>
      <c r="L195" s="14"/>
    </row>
    <row r="196">
      <c r="A196" s="351" t="s">
        <v>4276</v>
      </c>
      <c r="B196" s="351" t="s">
        <v>4759</v>
      </c>
      <c r="C196" s="351" t="s">
        <v>5172</v>
      </c>
      <c r="D196" s="351" t="s">
        <v>5809</v>
      </c>
      <c r="E196" s="351" t="s">
        <v>5813</v>
      </c>
      <c r="F196" s="353">
        <v>2600.0</v>
      </c>
      <c r="G196" s="14" t="str">
        <f>IFERROR(__xludf.DUMMYFUNCTION("IFERROR(
  VLOOKUP(
    TRIM($A196),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6" s="14"/>
      <c r="I196" s="14"/>
      <c r="J196" s="14"/>
      <c r="K196" s="14"/>
      <c r="L196" s="14"/>
    </row>
    <row r="197">
      <c r="A197" s="351" t="s">
        <v>3977</v>
      </c>
      <c r="B197" s="351" t="s">
        <v>4759</v>
      </c>
      <c r="C197" s="351" t="s">
        <v>3980</v>
      </c>
      <c r="D197" s="351" t="s">
        <v>5809</v>
      </c>
      <c r="E197" s="351" t="s">
        <v>5813</v>
      </c>
      <c r="F197" s="353">
        <v>1950.0</v>
      </c>
      <c r="G197" s="14" t="str">
        <f>IFERROR(__xludf.DUMMYFUNCTION("IFERROR(
  VLOOKUP(
    TRIM($A197),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7" s="14"/>
      <c r="I197" s="14"/>
      <c r="J197" s="14"/>
      <c r="K197" s="14"/>
      <c r="L197" s="14"/>
    </row>
    <row r="198">
      <c r="A198" s="351" t="s">
        <v>4696</v>
      </c>
      <c r="B198" s="351" t="s">
        <v>4759</v>
      </c>
      <c r="C198" s="351" t="s">
        <v>5175</v>
      </c>
      <c r="D198" s="351" t="s">
        <v>5809</v>
      </c>
      <c r="E198" s="351" t="s">
        <v>5813</v>
      </c>
      <c r="F198" s="353">
        <v>2100.0</v>
      </c>
      <c r="G198" s="14" t="str">
        <f>IFERROR(__xludf.DUMMYFUNCTION("IFERROR(
  VLOOKUP(
    TRIM($A198),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8" s="14"/>
      <c r="I198" s="14"/>
      <c r="J198" s="14"/>
      <c r="K198" s="14"/>
      <c r="L198" s="14"/>
    </row>
    <row r="199">
      <c r="A199" s="351" t="s">
        <v>4109</v>
      </c>
      <c r="B199" s="351" t="s">
        <v>4759</v>
      </c>
      <c r="C199" s="351" t="s">
        <v>5170</v>
      </c>
      <c r="D199" s="351" t="s">
        <v>5809</v>
      </c>
      <c r="E199" s="351" t="s">
        <v>5813</v>
      </c>
      <c r="F199" s="353">
        <v>1250.0</v>
      </c>
      <c r="G199" s="14" t="str">
        <f>IFERROR(__xludf.DUMMYFUNCTION("IFERROR(
  VLOOKUP(
    TRIM($A199),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199" s="14"/>
      <c r="I199" s="14"/>
      <c r="J199" s="14"/>
      <c r="K199" s="14"/>
      <c r="L199" s="14"/>
    </row>
    <row r="200">
      <c r="A200" s="351" t="s">
        <v>3915</v>
      </c>
      <c r="B200" s="351" t="s">
        <v>4759</v>
      </c>
      <c r="C200" s="351" t="s">
        <v>5180</v>
      </c>
      <c r="D200" s="351" t="s">
        <v>5809</v>
      </c>
      <c r="E200" s="351" t="s">
        <v>5813</v>
      </c>
      <c r="F200" s="353">
        <v>3200.0</v>
      </c>
      <c r="G200" s="14" t="str">
        <f>IFERROR(__xludf.DUMMYFUNCTION("IFERROR(
  VLOOKUP(
    TRIM($A200),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0" s="14"/>
      <c r="I200" s="14"/>
      <c r="J200" s="14"/>
      <c r="K200" s="14"/>
      <c r="L200" s="14"/>
    </row>
    <row r="201">
      <c r="A201" s="351" t="s">
        <v>3961</v>
      </c>
      <c r="B201" s="351" t="s">
        <v>4759</v>
      </c>
      <c r="C201" s="351" t="s">
        <v>5199</v>
      </c>
      <c r="D201" s="351" t="s">
        <v>5809</v>
      </c>
      <c r="E201" s="351" t="s">
        <v>5813</v>
      </c>
      <c r="F201" s="353">
        <v>1700.0</v>
      </c>
      <c r="G201" s="14" t="str">
        <f>IFERROR(__xludf.DUMMYFUNCTION("IFERROR(
  VLOOKUP(
    TRIM($A201),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1" s="14"/>
      <c r="I201" s="14"/>
      <c r="J201" s="14"/>
      <c r="K201" s="14"/>
      <c r="L201" s="14"/>
    </row>
    <row r="202">
      <c r="A202" s="351" t="s">
        <v>4190</v>
      </c>
      <c r="B202" s="351" t="s">
        <v>4759</v>
      </c>
      <c r="C202" s="351" t="s">
        <v>5177</v>
      </c>
      <c r="D202" s="351" t="s">
        <v>5809</v>
      </c>
      <c r="E202" s="351" t="s">
        <v>5813</v>
      </c>
      <c r="F202" s="353">
        <v>1100.0</v>
      </c>
      <c r="G202" s="14" t="str">
        <f>IFERROR(__xludf.DUMMYFUNCTION("IFERROR(
  VLOOKUP(
    TRIM($A202),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2" s="14"/>
      <c r="I202" s="14"/>
      <c r="J202" s="14"/>
      <c r="K202" s="14"/>
      <c r="L202" s="14"/>
    </row>
    <row r="203">
      <c r="A203" s="351" t="s">
        <v>4217</v>
      </c>
      <c r="B203" s="351" t="s">
        <v>4759</v>
      </c>
      <c r="C203" s="351" t="s">
        <v>5216</v>
      </c>
      <c r="D203" s="351" t="s">
        <v>5809</v>
      </c>
      <c r="E203" s="351" t="s">
        <v>5813</v>
      </c>
      <c r="F203" s="353">
        <v>750.0</v>
      </c>
      <c r="G203" s="14" t="str">
        <f>IFERROR(__xludf.DUMMYFUNCTION("IFERROR(
  VLOOKUP(
    TRIM($A203),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3" s="14"/>
      <c r="I203" s="14"/>
      <c r="J203" s="14"/>
      <c r="K203" s="14"/>
      <c r="L203" s="14"/>
    </row>
    <row r="204">
      <c r="A204" s="351" t="s">
        <v>3920</v>
      </c>
      <c r="B204" s="351" t="s">
        <v>4759</v>
      </c>
      <c r="C204" s="351" t="s">
        <v>5205</v>
      </c>
      <c r="D204" s="351" t="s">
        <v>5809</v>
      </c>
      <c r="E204" s="351" t="s">
        <v>5813</v>
      </c>
      <c r="F204" s="353">
        <v>1200.0</v>
      </c>
      <c r="G204" s="14" t="str">
        <f>IFERROR(__xludf.DUMMYFUNCTION("IFERROR(
  VLOOKUP(
    TRIM($A204),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4" s="14"/>
      <c r="I204" s="14"/>
      <c r="J204" s="14"/>
      <c r="K204" s="14"/>
      <c r="L204" s="14"/>
    </row>
    <row r="205">
      <c r="A205" s="351" t="s">
        <v>2370</v>
      </c>
      <c r="B205" s="351" t="s">
        <v>4742</v>
      </c>
      <c r="C205" s="351" t="s">
        <v>2170</v>
      </c>
      <c r="D205" s="351" t="s">
        <v>5816</v>
      </c>
      <c r="E205" s="351" t="s">
        <v>5813</v>
      </c>
      <c r="F205" s="353">
        <v>2950.0</v>
      </c>
      <c r="G205" s="14" t="str">
        <f>IFERROR(__xludf.DUMMYFUNCTION("IFERROR(
  VLOOKUP(
    TRIM($A205),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5" s="14"/>
      <c r="I205" s="14"/>
      <c r="J205" s="14"/>
      <c r="K205" s="14"/>
      <c r="L205" s="14"/>
    </row>
    <row r="206">
      <c r="A206" s="351" t="s">
        <v>5818</v>
      </c>
      <c r="B206" s="351" t="s">
        <v>4742</v>
      </c>
      <c r="C206" s="351" t="s">
        <v>5551</v>
      </c>
      <c r="D206" s="351" t="s">
        <v>5816</v>
      </c>
      <c r="E206" s="351" t="s">
        <v>5813</v>
      </c>
      <c r="F206" s="353">
        <v>1850.0</v>
      </c>
      <c r="G206" s="14" t="str">
        <f>IFERROR(__xludf.DUMMYFUNCTION("IFERROR(
  VLOOKUP(
    TRIM($A206),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6" s="14"/>
      <c r="I206" s="14"/>
      <c r="J206" s="14"/>
      <c r="K206" s="14"/>
      <c r="L206" s="14"/>
    </row>
    <row r="207">
      <c r="A207" s="351" t="s">
        <v>5819</v>
      </c>
      <c r="B207" s="351" t="s">
        <v>4742</v>
      </c>
      <c r="C207" s="351" t="s">
        <v>5553</v>
      </c>
      <c r="D207" s="351" t="s">
        <v>5816</v>
      </c>
      <c r="E207" s="351" t="s">
        <v>5813</v>
      </c>
      <c r="F207" s="353">
        <v>1750.0</v>
      </c>
      <c r="G207" s="14" t="str">
        <f>IFERROR(__xludf.DUMMYFUNCTION("IFERROR(
  VLOOKUP(
    TRIM($A207),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7" s="14"/>
      <c r="I207" s="14"/>
      <c r="J207" s="14"/>
      <c r="K207" s="14"/>
      <c r="L207" s="14"/>
    </row>
    <row r="208">
      <c r="A208" s="351" t="s">
        <v>5820</v>
      </c>
      <c r="B208" s="351" t="s">
        <v>4742</v>
      </c>
      <c r="C208" s="351" t="s">
        <v>5545</v>
      </c>
      <c r="D208" s="351" t="s">
        <v>5816</v>
      </c>
      <c r="E208" s="351" t="s">
        <v>5813</v>
      </c>
      <c r="F208" s="353">
        <v>1050.0</v>
      </c>
      <c r="G208" s="14" t="str">
        <f>IFERROR(__xludf.DUMMYFUNCTION("IFERROR(
  VLOOKUP(
    TRIM($A208),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8" s="14"/>
      <c r="I208" s="14"/>
      <c r="J208" s="14"/>
      <c r="K208" s="14"/>
      <c r="L208" s="14"/>
    </row>
    <row r="209">
      <c r="A209" s="351" t="s">
        <v>5821</v>
      </c>
      <c r="B209" s="351" t="s">
        <v>4742</v>
      </c>
      <c r="C209" s="351" t="s">
        <v>2820</v>
      </c>
      <c r="D209" s="351" t="s">
        <v>5816</v>
      </c>
      <c r="E209" s="351" t="s">
        <v>5813</v>
      </c>
      <c r="F209" s="353">
        <v>1750.0</v>
      </c>
      <c r="G209" s="14" t="str">
        <f>IFERROR(__xludf.DUMMYFUNCTION("IFERROR(
  VLOOKUP(
    TRIM($A209),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09" s="14"/>
      <c r="I209" s="14"/>
      <c r="J209" s="14"/>
      <c r="K209" s="14"/>
      <c r="L209" s="14"/>
    </row>
    <row r="210">
      <c r="A210" s="351" t="s">
        <v>5822</v>
      </c>
      <c r="B210" s="351" t="s">
        <v>4742</v>
      </c>
      <c r="C210" s="351" t="s">
        <v>2792</v>
      </c>
      <c r="D210" s="351" t="s">
        <v>5816</v>
      </c>
      <c r="E210" s="351" t="s">
        <v>5813</v>
      </c>
      <c r="F210" s="353">
        <v>3100.0</v>
      </c>
      <c r="G210" s="14" t="str">
        <f>IFERROR(__xludf.DUMMYFUNCTION("IFERROR(
  VLOOKUP(
    TRIM($A210),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0" s="14"/>
      <c r="I210" s="14"/>
      <c r="J210" s="14"/>
      <c r="K210" s="14"/>
      <c r="L210" s="14"/>
    </row>
    <row r="211">
      <c r="A211" s="351" t="s">
        <v>5823</v>
      </c>
      <c r="B211" s="351" t="s">
        <v>4742</v>
      </c>
      <c r="C211" s="351" t="s">
        <v>2623</v>
      </c>
      <c r="D211" s="351" t="s">
        <v>5816</v>
      </c>
      <c r="E211" s="351" t="s">
        <v>5813</v>
      </c>
      <c r="F211" s="353">
        <v>1150.0</v>
      </c>
      <c r="G211" s="14" t="str">
        <f>IFERROR(__xludf.DUMMYFUNCTION("IFERROR(
  VLOOKUP(
    TRIM($A211),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1" s="14"/>
      <c r="I211" s="14"/>
      <c r="J211" s="14"/>
      <c r="K211" s="14"/>
      <c r="L211" s="14"/>
    </row>
    <row r="212">
      <c r="A212" s="351" t="s">
        <v>5824</v>
      </c>
      <c r="B212" s="351" t="s">
        <v>4742</v>
      </c>
      <c r="C212" s="351" t="s">
        <v>5547</v>
      </c>
      <c r="D212" s="351" t="s">
        <v>5816</v>
      </c>
      <c r="E212" s="351" t="s">
        <v>5813</v>
      </c>
      <c r="F212" s="353">
        <v>2000.0</v>
      </c>
      <c r="G212" s="14" t="str">
        <f>IFERROR(__xludf.DUMMYFUNCTION("IFERROR(
  VLOOKUP(
    TRIM($A212),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2" s="14"/>
      <c r="I212" s="14"/>
      <c r="J212" s="14"/>
      <c r="K212" s="14"/>
      <c r="L212" s="14"/>
    </row>
    <row r="213">
      <c r="A213" s="351" t="s">
        <v>5825</v>
      </c>
      <c r="B213" s="351" t="s">
        <v>4742</v>
      </c>
      <c r="C213" s="351" t="s">
        <v>5540</v>
      </c>
      <c r="D213" s="351" t="s">
        <v>5816</v>
      </c>
      <c r="E213" s="351" t="s">
        <v>5813</v>
      </c>
      <c r="F213" s="353">
        <v>1250.0</v>
      </c>
      <c r="G213" s="14" t="str">
        <f>IFERROR(__xludf.DUMMYFUNCTION("IFERROR(
  VLOOKUP(
    TRIM($A213),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3" s="14"/>
      <c r="I213" s="14"/>
      <c r="J213" s="14"/>
      <c r="K213" s="14"/>
      <c r="L213" s="14"/>
    </row>
    <row r="214">
      <c r="A214" s="351" t="s">
        <v>5826</v>
      </c>
      <c r="B214" s="351" t="s">
        <v>4742</v>
      </c>
      <c r="C214" s="351" t="s">
        <v>5535</v>
      </c>
      <c r="D214" s="351" t="s">
        <v>5816</v>
      </c>
      <c r="E214" s="351" t="s">
        <v>5813</v>
      </c>
      <c r="F214" s="353">
        <v>1150.0</v>
      </c>
      <c r="G214" s="14" t="str">
        <f>IFERROR(__xludf.DUMMYFUNCTION("IFERROR(
  VLOOKUP(
    TRIM($A214),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4" s="14"/>
      <c r="I214" s="14"/>
      <c r="J214" s="14"/>
      <c r="K214" s="14"/>
      <c r="L214" s="14"/>
    </row>
    <row r="215">
      <c r="A215" s="351" t="s">
        <v>5827</v>
      </c>
      <c r="B215" s="351" t="s">
        <v>4742</v>
      </c>
      <c r="C215" s="351" t="s">
        <v>5555</v>
      </c>
      <c r="D215" s="351" t="s">
        <v>5816</v>
      </c>
      <c r="E215" s="351" t="s">
        <v>5813</v>
      </c>
      <c r="F215" s="353">
        <v>2250.0</v>
      </c>
      <c r="G215" s="14" t="str">
        <f>IFERROR(__xludf.DUMMYFUNCTION("IFERROR(
  VLOOKUP(
    TRIM($A215),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5" s="14"/>
      <c r="I215" s="14"/>
      <c r="J215" s="14"/>
      <c r="K215" s="14"/>
      <c r="L215" s="14"/>
    </row>
    <row r="216">
      <c r="A216" s="351" t="s">
        <v>5828</v>
      </c>
      <c r="B216" s="351" t="s">
        <v>4739</v>
      </c>
      <c r="C216" s="351" t="s">
        <v>5531</v>
      </c>
      <c r="D216" s="351" t="s">
        <v>5816</v>
      </c>
      <c r="E216" s="351" t="s">
        <v>5813</v>
      </c>
      <c r="F216" s="353">
        <v>2050.0</v>
      </c>
      <c r="G216" s="14" t="str">
        <f>IFERROR(__xludf.DUMMYFUNCTION("IFERROR(
  VLOOKUP(
    TRIM($A216),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6" s="14"/>
      <c r="I216" s="14"/>
      <c r="J216" s="14"/>
      <c r="K216" s="14"/>
      <c r="L216" s="14"/>
    </row>
    <row r="217">
      <c r="A217" s="351" t="s">
        <v>5829</v>
      </c>
      <c r="B217" s="351" t="s">
        <v>4739</v>
      </c>
      <c r="C217" s="351" t="s">
        <v>5529</v>
      </c>
      <c r="D217" s="351" t="s">
        <v>5816</v>
      </c>
      <c r="E217" s="351" t="s">
        <v>5813</v>
      </c>
      <c r="F217" s="353">
        <v>2300.0</v>
      </c>
      <c r="G217" s="14" t="str">
        <f>IFERROR(__xludf.DUMMYFUNCTION("IFERROR(
  VLOOKUP(
    TRIM($A217),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7" s="14"/>
      <c r="I217" s="14"/>
      <c r="J217" s="14"/>
      <c r="K217" s="14"/>
      <c r="L217" s="14"/>
    </row>
    <row r="218">
      <c r="A218" s="351" t="s">
        <v>5830</v>
      </c>
      <c r="B218" s="351" t="s">
        <v>4739</v>
      </c>
      <c r="C218" s="351" t="s">
        <v>5522</v>
      </c>
      <c r="D218" s="351" t="s">
        <v>5816</v>
      </c>
      <c r="E218" s="351" t="s">
        <v>5813</v>
      </c>
      <c r="F218" s="353">
        <v>1150.0</v>
      </c>
      <c r="G218" s="14" t="str">
        <f>IFERROR(__xludf.DUMMYFUNCTION("IFERROR(
  VLOOKUP(
    TRIM($A218),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8" s="14"/>
      <c r="I218" s="14"/>
      <c r="J218" s="14"/>
      <c r="K218" s="14"/>
      <c r="L218" s="14"/>
    </row>
    <row r="219">
      <c r="A219" s="351" t="s">
        <v>5831</v>
      </c>
      <c r="B219" s="351" t="s">
        <v>4739</v>
      </c>
      <c r="C219" s="351" t="s">
        <v>5520</v>
      </c>
      <c r="D219" s="351" t="s">
        <v>5816</v>
      </c>
      <c r="E219" s="351" t="s">
        <v>5813</v>
      </c>
      <c r="F219" s="353">
        <v>1250.0</v>
      </c>
      <c r="G219" s="14" t="str">
        <f>IFERROR(__xludf.DUMMYFUNCTION("IFERROR(
  VLOOKUP(
    TRIM($A219),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19" s="14"/>
      <c r="I219" s="14"/>
      <c r="J219" s="14"/>
      <c r="K219" s="14"/>
      <c r="L219" s="14"/>
    </row>
    <row r="220">
      <c r="A220" s="351" t="s">
        <v>5832</v>
      </c>
      <c r="B220" s="351" t="s">
        <v>4739</v>
      </c>
      <c r="C220" s="351" t="s">
        <v>5518</v>
      </c>
      <c r="D220" s="351" t="s">
        <v>5816</v>
      </c>
      <c r="E220" s="351" t="s">
        <v>5813</v>
      </c>
      <c r="F220" s="353">
        <v>2000.0</v>
      </c>
      <c r="G220" s="14" t="str">
        <f>IFERROR(__xludf.DUMMYFUNCTION("IFERROR(
  VLOOKUP(
    TRIM($A220),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0" s="14"/>
      <c r="I220" s="14"/>
      <c r="J220" s="14"/>
      <c r="K220" s="14"/>
      <c r="L220" s="14"/>
    </row>
    <row r="221">
      <c r="A221" s="351" t="s">
        <v>5833</v>
      </c>
      <c r="B221" s="351" t="s">
        <v>4739</v>
      </c>
      <c r="C221" s="351" t="s">
        <v>5533</v>
      </c>
      <c r="D221" s="351" t="s">
        <v>5816</v>
      </c>
      <c r="E221" s="351" t="s">
        <v>5813</v>
      </c>
      <c r="F221" s="353">
        <v>2600.0</v>
      </c>
      <c r="G221" s="14" t="str">
        <f>IFERROR(__xludf.DUMMYFUNCTION("IFERROR(
  VLOOKUP(
    TRIM($A221),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1" s="14"/>
      <c r="I221" s="14"/>
      <c r="J221" s="14"/>
      <c r="K221" s="14"/>
      <c r="L221" s="14"/>
    </row>
    <row r="222">
      <c r="A222" s="351" t="s">
        <v>5834</v>
      </c>
      <c r="B222" s="351" t="s">
        <v>4739</v>
      </c>
      <c r="C222" s="351" t="s">
        <v>5524</v>
      </c>
      <c r="D222" s="351" t="s">
        <v>5816</v>
      </c>
      <c r="E222" s="351" t="s">
        <v>5813</v>
      </c>
      <c r="F222" s="353">
        <v>3150.0</v>
      </c>
      <c r="G222" s="14" t="str">
        <f>IFERROR(__xludf.DUMMYFUNCTION("IFERROR(
  VLOOKUP(
    TRIM($A222),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2" s="14"/>
      <c r="I222" s="14"/>
      <c r="J222" s="14"/>
      <c r="K222" s="14"/>
      <c r="L222" s="14"/>
    </row>
    <row r="223">
      <c r="A223" s="351" t="s">
        <v>5835</v>
      </c>
      <c r="B223" s="351" t="s">
        <v>4739</v>
      </c>
      <c r="C223" s="351" t="s">
        <v>2790</v>
      </c>
      <c r="D223" s="351" t="s">
        <v>5816</v>
      </c>
      <c r="E223" s="351" t="s">
        <v>5813</v>
      </c>
      <c r="F223" s="353">
        <v>1300.0</v>
      </c>
      <c r="G223" s="14" t="str">
        <f>IFERROR(__xludf.DUMMYFUNCTION("IFERROR(
  VLOOKUP(
    TRIM($A223),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3" s="14"/>
      <c r="I223" s="14"/>
      <c r="J223" s="14"/>
      <c r="K223" s="14"/>
      <c r="L223" s="14"/>
    </row>
    <row r="224">
      <c r="A224" s="351" t="s">
        <v>5836</v>
      </c>
      <c r="B224" s="351" t="s">
        <v>4739</v>
      </c>
      <c r="C224" s="351" t="s">
        <v>5526</v>
      </c>
      <c r="D224" s="351" t="s">
        <v>5816</v>
      </c>
      <c r="E224" s="351" t="s">
        <v>5813</v>
      </c>
      <c r="F224" s="353">
        <v>2400.0</v>
      </c>
      <c r="G224" s="14" t="str">
        <f>IFERROR(__xludf.DUMMYFUNCTION("IFERROR(
  VLOOKUP(
    TRIM($A224),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4" s="14"/>
      <c r="I224" s="14"/>
      <c r="J224" s="14"/>
      <c r="K224" s="14"/>
      <c r="L224" s="14"/>
    </row>
    <row r="225">
      <c r="A225" s="351" t="s">
        <v>4019</v>
      </c>
      <c r="B225" s="351" t="s">
        <v>4760</v>
      </c>
      <c r="C225" s="351" t="s">
        <v>5254</v>
      </c>
      <c r="D225" s="351" t="s">
        <v>5809</v>
      </c>
      <c r="E225" s="351" t="s">
        <v>5813</v>
      </c>
      <c r="F225" s="353">
        <v>500.0</v>
      </c>
      <c r="G225" s="14" t="str">
        <f>IFERROR(__xludf.DUMMYFUNCTION("IFERROR(
  VLOOKUP(
    TRIM($A225),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5" s="14"/>
      <c r="I225" s="14"/>
      <c r="J225" s="14"/>
      <c r="K225" s="14"/>
      <c r="L225" s="14"/>
    </row>
    <row r="226">
      <c r="A226" s="351" t="s">
        <v>4002</v>
      </c>
      <c r="B226" s="351" t="s">
        <v>4760</v>
      </c>
      <c r="C226" s="351" t="s">
        <v>5260</v>
      </c>
      <c r="D226" s="351" t="s">
        <v>5809</v>
      </c>
      <c r="E226" s="351" t="s">
        <v>5813</v>
      </c>
      <c r="F226" s="353">
        <v>1250.0</v>
      </c>
      <c r="G226" s="14" t="str">
        <f>IFERROR(__xludf.DUMMYFUNCTION("IFERROR(
  VLOOKUP(
    TRIM($A226),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6" s="14"/>
      <c r="I226" s="14"/>
      <c r="J226" s="14"/>
      <c r="K226" s="14"/>
      <c r="L226" s="14"/>
    </row>
    <row r="227">
      <c r="A227" s="351" t="s">
        <v>5837</v>
      </c>
      <c r="B227" s="351" t="s">
        <v>4741</v>
      </c>
      <c r="C227" s="351" t="s">
        <v>2553</v>
      </c>
      <c r="D227" s="351" t="s">
        <v>5816</v>
      </c>
      <c r="E227" s="351" t="s">
        <v>5813</v>
      </c>
      <c r="F227" s="353">
        <v>1900.0</v>
      </c>
      <c r="G227" s="14" t="str">
        <f>IFERROR(__xludf.DUMMYFUNCTION("IFERROR(
  VLOOKUP(
    TRIM($A227),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7" s="14"/>
      <c r="I227" s="14"/>
      <c r="J227" s="14"/>
      <c r="K227" s="14"/>
      <c r="L227" s="14"/>
    </row>
    <row r="228">
      <c r="A228" s="351" t="s">
        <v>2225</v>
      </c>
      <c r="B228" s="351" t="s">
        <v>4741</v>
      </c>
      <c r="C228" s="351" t="s">
        <v>5561</v>
      </c>
      <c r="D228" s="351" t="s">
        <v>5816</v>
      </c>
      <c r="E228" s="351" t="s">
        <v>5813</v>
      </c>
      <c r="F228" s="353">
        <v>2300.0</v>
      </c>
      <c r="G228" s="14" t="str">
        <f>IFERROR(__xludf.DUMMYFUNCTION("IFERROR(
  VLOOKUP(
    TRIM($A228),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8" s="14"/>
      <c r="I228" s="14"/>
      <c r="J228" s="14"/>
      <c r="K228" s="14"/>
      <c r="L228" s="14"/>
    </row>
    <row r="229">
      <c r="A229" s="351" t="s">
        <v>5838</v>
      </c>
      <c r="B229" s="351" t="s">
        <v>4741</v>
      </c>
      <c r="C229" s="351" t="s">
        <v>5557</v>
      </c>
      <c r="D229" s="351" t="s">
        <v>5816</v>
      </c>
      <c r="E229" s="351" t="s">
        <v>5813</v>
      </c>
      <c r="F229" s="353">
        <v>1800.0</v>
      </c>
      <c r="G229" s="14" t="str">
        <f>IFERROR(__xludf.DUMMYFUNCTION("IFERROR(
  VLOOKUP(
    TRIM($A229),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29" s="14"/>
      <c r="I229" s="14"/>
      <c r="J229" s="14"/>
      <c r="K229" s="14"/>
      <c r="L229" s="14"/>
    </row>
    <row r="230">
      <c r="A230" s="351" t="s">
        <v>5839</v>
      </c>
      <c r="B230" s="351" t="s">
        <v>4741</v>
      </c>
      <c r="C230" s="351" t="s">
        <v>5559</v>
      </c>
      <c r="D230" s="351" t="s">
        <v>5816</v>
      </c>
      <c r="E230" s="351" t="s">
        <v>5813</v>
      </c>
      <c r="F230" s="353">
        <v>1500.0</v>
      </c>
      <c r="G230" s="14" t="str">
        <f>IFERROR(__xludf.DUMMYFUNCTION("IFERROR(
  VLOOKUP(
    TRIM($A230),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30" s="14"/>
      <c r="I230" s="14"/>
      <c r="J230" s="14"/>
      <c r="K230" s="14"/>
      <c r="L230" s="14"/>
    </row>
    <row r="231">
      <c r="A231" s="351" t="s">
        <v>1697</v>
      </c>
      <c r="B231" s="351" t="s">
        <v>4746</v>
      </c>
      <c r="C231" s="351" t="s">
        <v>5121</v>
      </c>
      <c r="D231" s="351" t="s">
        <v>5816</v>
      </c>
      <c r="E231" s="351" t="s">
        <v>5813</v>
      </c>
      <c r="F231" s="353">
        <v>1800.0</v>
      </c>
      <c r="G231" s="14" t="str">
        <f>IFERROR(__xludf.DUMMYFUNCTION("IFERROR(
  VLOOKUP(
    TRIM($A231),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31" s="14"/>
      <c r="I231" s="14"/>
      <c r="J231" s="14"/>
      <c r="K231" s="14"/>
      <c r="L231" s="14"/>
    </row>
    <row r="232">
      <c r="A232" s="351" t="s">
        <v>5840</v>
      </c>
      <c r="B232" s="351" t="s">
        <v>4746</v>
      </c>
      <c r="C232" s="351" t="s">
        <v>5125</v>
      </c>
      <c r="D232" s="351" t="s">
        <v>5816</v>
      </c>
      <c r="E232" s="351" t="s">
        <v>5813</v>
      </c>
      <c r="F232" s="353">
        <v>2700.0</v>
      </c>
      <c r="G232" s="14" t="str">
        <f>IFERROR(__xludf.DUMMYFUNCTION("IFERROR(
  VLOOKUP(
    TRIM($A232),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32" s="14"/>
      <c r="I232" s="14"/>
      <c r="J232" s="14"/>
      <c r="K232" s="14"/>
      <c r="L232" s="14"/>
    </row>
    <row r="233">
      <c r="A233" s="351" t="s">
        <v>2244</v>
      </c>
      <c r="B233" s="351" t="s">
        <v>4746</v>
      </c>
      <c r="C233" s="351" t="s">
        <v>5123</v>
      </c>
      <c r="D233" s="351" t="s">
        <v>5816</v>
      </c>
      <c r="E233" s="351" t="s">
        <v>5813</v>
      </c>
      <c r="F233" s="353">
        <v>1650.0</v>
      </c>
      <c r="G233" s="14" t="str">
        <f>IFERROR(__xludf.DUMMYFUNCTION("IFERROR(
  VLOOKUP(
    TRIM($A233),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33" s="14"/>
      <c r="I233" s="14"/>
      <c r="J233" s="14"/>
      <c r="K233" s="14"/>
      <c r="L233" s="14"/>
    </row>
    <row r="234">
      <c r="A234" s="351" t="s">
        <v>5841</v>
      </c>
      <c r="B234" s="351" t="s">
        <v>4746</v>
      </c>
      <c r="C234" s="351" t="s">
        <v>5119</v>
      </c>
      <c r="D234" s="351" t="s">
        <v>5816</v>
      </c>
      <c r="E234" s="351" t="s">
        <v>5813</v>
      </c>
      <c r="F234" s="353">
        <v>2300.0</v>
      </c>
      <c r="G234" s="14" t="str">
        <f>IFERROR(__xludf.DUMMYFUNCTION("IFERROR(
  VLOOKUP(
    TRIM($A234),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34" s="14"/>
      <c r="I234" s="14"/>
      <c r="J234" s="14"/>
      <c r="K234" s="14"/>
      <c r="L234" s="14"/>
    </row>
    <row r="235">
      <c r="A235" s="351" t="s">
        <v>1572</v>
      </c>
      <c r="B235" s="351" t="s">
        <v>4729</v>
      </c>
      <c r="C235" s="351" t="s">
        <v>5001</v>
      </c>
      <c r="D235" s="351" t="s">
        <v>5816</v>
      </c>
      <c r="E235" s="351" t="s">
        <v>5813</v>
      </c>
      <c r="F235" s="353">
        <v>2000.0</v>
      </c>
      <c r="G235" s="11" t="str">
        <f>IFERROR(__xludf.DUMMYFUNCTION("IFERROR(
  VLOOKUP(
    TRIM($A235),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)"),"https://drive.google.com/open?id=10isyyVFEqAWmoJcYZER7_IoXB7MW-vYX")</f>
        <v>https://drive.google.com/open?id=10isyyVFEqAWmoJcYZER7_IoXB7MW-vYX</v>
      </c>
      <c r="H235" s="14"/>
      <c r="I235" s="14"/>
      <c r="J235" s="14"/>
      <c r="K235" s="14"/>
      <c r="L235" s="14"/>
    </row>
    <row r="236">
      <c r="A236" s="351" t="s">
        <v>1541</v>
      </c>
      <c r="B236" s="351" t="s">
        <v>4729</v>
      </c>
      <c r="C236" s="351" t="s">
        <v>5080</v>
      </c>
      <c r="D236" s="351" t="s">
        <v>5816</v>
      </c>
      <c r="E236" s="351" t="s">
        <v>5813</v>
      </c>
      <c r="F236" s="353">
        <v>3050.0</v>
      </c>
      <c r="G236" s="11" t="str">
        <f>IFERROR(__xludf.DUMMYFUNCTION("IFERROR(
  VLOOKUP(
    TRIM($A236),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)"),"https://drive.google.com/open?id=1VXh23iGcVyWKnGvlWBezGGFzZiTf1MYm")</f>
        <v>https://drive.google.com/open?id=1VXh23iGcVyWKnGvlWBezGGFzZiTf1MYm</v>
      </c>
      <c r="H236" s="14"/>
      <c r="I236" s="14"/>
      <c r="J236" s="14"/>
      <c r="K236" s="14"/>
      <c r="L236" s="14"/>
    </row>
    <row r="237">
      <c r="A237" s="351" t="s">
        <v>1211</v>
      </c>
      <c r="B237" s="351" t="s">
        <v>4729</v>
      </c>
      <c r="C237" s="351" t="s">
        <v>5052</v>
      </c>
      <c r="D237" s="351" t="s">
        <v>5816</v>
      </c>
      <c r="E237" s="351" t="s">
        <v>5813</v>
      </c>
      <c r="F237" s="353">
        <v>2000.0</v>
      </c>
      <c r="G237" s="11" t="str">
        <f>IFERROR(__xludf.DUMMYFUNCTION("IFERROR(
  VLOOKUP(
    TRIM($A237),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)"),"https://drive.google.com/open?id=1GizrOYKHZiiraBWQiTC1FG5s8HRSv710")</f>
        <v>https://drive.google.com/open?id=1GizrOYKHZiiraBWQiTC1FG5s8HRSv710</v>
      </c>
      <c r="H237" s="14"/>
      <c r="I237" s="14"/>
      <c r="J237" s="14"/>
      <c r="K237" s="14"/>
      <c r="L237" s="14"/>
    </row>
    <row r="238">
      <c r="A238" s="351" t="s">
        <v>1485</v>
      </c>
      <c r="B238" s="351" t="s">
        <v>4729</v>
      </c>
      <c r="C238" s="351" t="s">
        <v>5014</v>
      </c>
      <c r="D238" s="351" t="s">
        <v>5816</v>
      </c>
      <c r="E238" s="351" t="s">
        <v>5813</v>
      </c>
      <c r="F238" s="353">
        <v>1850.0</v>
      </c>
      <c r="G238" s="11" t="str">
        <f>IFERROR(__xludf.DUMMYFUNCTION("IFERROR(
  VLOOKUP(
    TRIM($A238),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)"),"https://drive.google.com/open?id=1_fon2sCjuW8B57SJDhmLeluMok6eXGOG")</f>
        <v>https://drive.google.com/open?id=1_fon2sCjuW8B57SJDhmLeluMok6eXGOG</v>
      </c>
      <c r="H238" s="14"/>
      <c r="I238" s="14"/>
      <c r="J238" s="14"/>
      <c r="K238" s="14"/>
      <c r="L238" s="14"/>
    </row>
    <row r="239">
      <c r="A239" s="351" t="s">
        <v>1306</v>
      </c>
      <c r="B239" s="351" t="s">
        <v>4729</v>
      </c>
      <c r="C239" s="351" t="s">
        <v>5029</v>
      </c>
      <c r="D239" s="351" t="s">
        <v>5816</v>
      </c>
      <c r="E239" s="351" t="s">
        <v>5813</v>
      </c>
      <c r="F239" s="353">
        <v>1100.0</v>
      </c>
      <c r="G239" s="11" t="str">
        <f>IFERROR(__xludf.DUMMYFUNCTION("IFERROR(
  VLOOKUP(
    TRIM($A239),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)"),"https://drive.google.com/open?id=1wHo9HFyrKfSIKA6VNeRgba9JdcaNiwBl")</f>
        <v>https://drive.google.com/open?id=1wHo9HFyrKfSIKA6VNeRgba9JdcaNiwBl</v>
      </c>
      <c r="H239" s="14"/>
      <c r="I239" s="14"/>
      <c r="J239" s="14"/>
      <c r="K239" s="14"/>
      <c r="L239" s="14"/>
    </row>
    <row r="240">
      <c r="A240" s="351" t="s">
        <v>1147</v>
      </c>
      <c r="B240" s="351" t="s">
        <v>4729</v>
      </c>
      <c r="C240" s="351" t="s">
        <v>1754</v>
      </c>
      <c r="D240" s="351" t="s">
        <v>5816</v>
      </c>
      <c r="E240" s="351" t="s">
        <v>5813</v>
      </c>
      <c r="F240" s="353">
        <v>1400.0</v>
      </c>
      <c r="G240" s="11" t="str">
        <f>IFERROR(__xludf.DUMMYFUNCTION("IFERROR(
  VLOOKUP(
    TRIM($A240),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)"),"https://drive.google.com/open?id=1ZFI9YZMCvIEfL267qk8aLk7LbQQU8jN4")</f>
        <v>https://drive.google.com/open?id=1ZFI9YZMCvIEfL267qk8aLk7LbQQU8jN4</v>
      </c>
      <c r="H240" s="14"/>
      <c r="I240" s="14"/>
      <c r="J240" s="14"/>
      <c r="K240" s="14"/>
      <c r="L240" s="14"/>
    </row>
    <row r="241">
      <c r="A241" s="351" t="s">
        <v>2311</v>
      </c>
      <c r="B241" s="351" t="s">
        <v>4729</v>
      </c>
      <c r="C241" s="351" t="s">
        <v>5098</v>
      </c>
      <c r="D241" s="351" t="s">
        <v>5816</v>
      </c>
      <c r="E241" s="351" t="s">
        <v>5813</v>
      </c>
      <c r="F241" s="353">
        <v>2400.0</v>
      </c>
      <c r="G241" s="11" t="str">
        <f>IFERROR(__xludf.DUMMYFUNCTION("IFERROR(
  VLOOKUP(
    TRIM($A241),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)"),"https://drive.google.com/open?id=1Hfo8NOW3-o1fCjzkEd1NCrOgZPxYVBNh")</f>
        <v>https://drive.google.com/open?id=1Hfo8NOW3-o1fCjzkEd1NCrOgZPxYVBNh</v>
      </c>
      <c r="H241" s="14"/>
      <c r="I241" s="14"/>
      <c r="J241" s="14"/>
      <c r="K241" s="14"/>
      <c r="L241" s="14"/>
    </row>
    <row r="242">
      <c r="A242" s="351" t="s">
        <v>1298</v>
      </c>
      <c r="B242" s="351" t="s">
        <v>4729</v>
      </c>
      <c r="C242" s="351" t="s">
        <v>4933</v>
      </c>
      <c r="D242" s="351" t="s">
        <v>5816</v>
      </c>
      <c r="E242" s="351" t="s">
        <v>5813</v>
      </c>
      <c r="F242" s="353">
        <v>600.0</v>
      </c>
      <c r="G242" s="11" t="str">
        <f>IFERROR(__xludf.DUMMYFUNCTION("IFERROR(
  VLOOKUP(
    TRIM($A242),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)"),"https://drive.google.com/open?id=1Xku9Un3Dh68MgnkHnqBQtmOiZAZUq9ZH")</f>
        <v>https://drive.google.com/open?id=1Xku9Un3Dh68MgnkHnqBQtmOiZAZUq9ZH</v>
      </c>
      <c r="H242" s="14"/>
      <c r="I242" s="14"/>
      <c r="J242" s="14"/>
      <c r="K242" s="14"/>
      <c r="L242" s="14"/>
    </row>
    <row r="243">
      <c r="A243" s="351" t="s">
        <v>2559</v>
      </c>
      <c r="B243" s="351" t="s">
        <v>4729</v>
      </c>
      <c r="C243" s="351" t="s">
        <v>2560</v>
      </c>
      <c r="D243" s="351" t="s">
        <v>5816</v>
      </c>
      <c r="E243" s="351" t="s">
        <v>5813</v>
      </c>
      <c r="F243" s="353">
        <v>1350.0</v>
      </c>
      <c r="G243" s="11" t="str">
        <f>IFERROR(__xludf.DUMMYFUNCTION("IFERROR(
  VLOOKUP(
    TRIM($A243),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)"),"https://drive.google.com/open?id=1S_LGKmkQRMA1Mu8SGAGdqc_kc_HS7ihN")</f>
        <v>https://drive.google.com/open?id=1S_LGKmkQRMA1Mu8SGAGdqc_kc_HS7ihN</v>
      </c>
      <c r="H243" s="14"/>
      <c r="I243" s="14"/>
      <c r="J243" s="14"/>
      <c r="K243" s="14"/>
      <c r="L243" s="14"/>
    </row>
    <row r="244">
      <c r="A244" s="351" t="s">
        <v>1320</v>
      </c>
      <c r="B244" s="351" t="s">
        <v>4729</v>
      </c>
      <c r="C244" s="351" t="s">
        <v>5086</v>
      </c>
      <c r="D244" s="351" t="s">
        <v>5816</v>
      </c>
      <c r="E244" s="351" t="s">
        <v>5813</v>
      </c>
      <c r="F244" s="353">
        <v>2150.0</v>
      </c>
      <c r="G244" s="11" t="str">
        <f>IFERROR(__xludf.DUMMYFUNCTION("IFERROR(
  VLOOKUP(
    TRIM($A244),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)"),"https://drive.google.com/open?id=1rf9mA74gsyhaYWRpSTyvAYSvxjKYFAv1")</f>
        <v>https://drive.google.com/open?id=1rf9mA74gsyhaYWRpSTyvAYSvxjKYFAv1</v>
      </c>
      <c r="H244" s="14"/>
      <c r="I244" s="14"/>
      <c r="J244" s="14"/>
      <c r="K244" s="14"/>
      <c r="L244" s="14"/>
    </row>
    <row r="245">
      <c r="A245" s="351" t="s">
        <v>1123</v>
      </c>
      <c r="B245" s="351" t="s">
        <v>4729</v>
      </c>
      <c r="C245" s="351" t="s">
        <v>2366</v>
      </c>
      <c r="D245" s="351" t="s">
        <v>5816</v>
      </c>
      <c r="E245" s="351" t="s">
        <v>5813</v>
      </c>
      <c r="F245" s="353">
        <v>2550.0</v>
      </c>
      <c r="G245" s="11" t="str">
        <f>IFERROR(__xludf.DUMMYFUNCTION("IFERROR(
  VLOOKUP(
    TRIM($A245),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)"),"https://drive.google.com/open?id=1wjaxmW9FzkuUhdg98tcGfEjKHcf9ZqD0")</f>
        <v>https://drive.google.com/open?id=1wjaxmW9FzkuUhdg98tcGfEjKHcf9ZqD0</v>
      </c>
      <c r="H245" s="14"/>
      <c r="I245" s="14"/>
      <c r="J245" s="14"/>
      <c r="K245" s="14"/>
      <c r="L245" s="14"/>
    </row>
    <row r="246">
      <c r="A246" s="351" t="s">
        <v>1461</v>
      </c>
      <c r="B246" s="351" t="s">
        <v>4729</v>
      </c>
      <c r="C246" s="351" t="s">
        <v>1779</v>
      </c>
      <c r="D246" s="351" t="s">
        <v>5816</v>
      </c>
      <c r="E246" s="351" t="s">
        <v>5813</v>
      </c>
      <c r="F246" s="353">
        <v>1200.0</v>
      </c>
      <c r="G246" s="11" t="str">
        <f>IFERROR(__xludf.DUMMYFUNCTION("IFERROR(
  VLOOKUP(
    TRIM($A246),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)"),"https://drive.google.com/open?id=1hu_l-TjkWOwAslSsuvBqMyL_dRfn3i-Z")</f>
        <v>https://drive.google.com/open?id=1hu_l-TjkWOwAslSsuvBqMyL_dRfn3i-Z</v>
      </c>
      <c r="H246" s="14"/>
      <c r="I246" s="14"/>
      <c r="J246" s="14"/>
      <c r="K246" s="14"/>
      <c r="L246" s="14"/>
    </row>
    <row r="247">
      <c r="A247" s="351" t="s">
        <v>1499</v>
      </c>
      <c r="B247" s="351" t="s">
        <v>4729</v>
      </c>
      <c r="C247" s="351" t="s">
        <v>1293</v>
      </c>
      <c r="D247" s="351" t="s">
        <v>5816</v>
      </c>
      <c r="E247" s="351" t="s">
        <v>5813</v>
      </c>
      <c r="F247" s="353">
        <v>1850.0</v>
      </c>
      <c r="G247" s="11" t="str">
        <f>IFERROR(__xludf.DUMMYFUNCTION("IFERROR(
  VLOOKUP(
    TRIM($A247),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)"),"https://drive.google.com/open?id=1XwA4iAmBzrRcidf8AIjZuNVWhW5vjRz9")</f>
        <v>https://drive.google.com/open?id=1XwA4iAmBzrRcidf8AIjZuNVWhW5vjRz9</v>
      </c>
      <c r="H247" s="14"/>
      <c r="I247" s="14"/>
      <c r="J247" s="14"/>
      <c r="K247" s="14"/>
      <c r="L247" s="14"/>
    </row>
    <row r="248">
      <c r="A248" s="351" t="s">
        <v>1680</v>
      </c>
      <c r="B248" s="351" t="s">
        <v>4729</v>
      </c>
      <c r="C248" s="351" t="s">
        <v>5037</v>
      </c>
      <c r="D248" s="351" t="s">
        <v>5816</v>
      </c>
      <c r="E248" s="351" t="s">
        <v>5813</v>
      </c>
      <c r="F248" s="353">
        <v>1700.0</v>
      </c>
      <c r="G248" s="11" t="str">
        <f>IFERROR(__xludf.DUMMYFUNCTION("IFERROR(
  VLOOKUP(
    TRIM($A248),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)"),"https://drive.google.com/open?id=1iYt-gKaMG-81SngCd6MXE5Te0y143SYk")</f>
        <v>https://drive.google.com/open?id=1iYt-gKaMG-81SngCd6MXE5Te0y143SYk</v>
      </c>
      <c r="H248" s="14"/>
      <c r="I248" s="14"/>
      <c r="J248" s="14"/>
      <c r="K248" s="14"/>
      <c r="L248" s="14"/>
    </row>
    <row r="249">
      <c r="A249" s="351" t="s">
        <v>2055</v>
      </c>
      <c r="B249" s="351" t="s">
        <v>4729</v>
      </c>
      <c r="C249" s="351" t="s">
        <v>1260</v>
      </c>
      <c r="D249" s="351" t="s">
        <v>5816</v>
      </c>
      <c r="E249" s="351" t="s">
        <v>5813</v>
      </c>
      <c r="F249" s="353">
        <v>1800.0</v>
      </c>
      <c r="G249" s="11" t="str">
        <f>IFERROR(__xludf.DUMMYFUNCTION("IFERROR(
  VLOOKUP(
    TRIM($A249),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)"),"https://drive.google.com/open?id=1IU2iTtKFhONoLEw5FRe7KAXd7KxaSdG9")</f>
        <v>https://drive.google.com/open?id=1IU2iTtKFhONoLEw5FRe7KAXd7KxaSdG9</v>
      </c>
      <c r="H249" s="14"/>
      <c r="I249" s="14"/>
      <c r="J249" s="14"/>
      <c r="K249" s="14"/>
      <c r="L249" s="14"/>
    </row>
    <row r="250">
      <c r="A250" s="351" t="s">
        <v>4202</v>
      </c>
      <c r="B250" s="351" t="s">
        <v>4748</v>
      </c>
      <c r="C250" s="351" t="s">
        <v>4205</v>
      </c>
      <c r="D250" s="351" t="s">
        <v>5809</v>
      </c>
      <c r="E250" s="351" t="s">
        <v>5813</v>
      </c>
      <c r="F250" s="353">
        <v>2800.0</v>
      </c>
      <c r="G250" s="11" t="str">
        <f>IFERROR(__xludf.DUMMYFUNCTION("IFERROR(
  VLOOKUP(
    TRIM($A250),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)"),"https://drive.google.com/open?id=1r_NYjoeNBjMuZoc0sz0pjzgJMpXXhRBp")</f>
        <v>https://drive.google.com/open?id=1r_NYjoeNBjMuZoc0sz0pjzgJMpXXhRBp</v>
      </c>
      <c r="H250" s="14"/>
      <c r="I250" s="14"/>
      <c r="J250" s="14"/>
      <c r="K250" s="14"/>
      <c r="L250" s="14"/>
    </row>
    <row r="251">
      <c r="A251" s="351" t="s">
        <v>4124</v>
      </c>
      <c r="B251" s="351" t="s">
        <v>4748</v>
      </c>
      <c r="C251" s="351" t="s">
        <v>598</v>
      </c>
      <c r="D251" s="351" t="s">
        <v>5809</v>
      </c>
      <c r="E251" s="351" t="s">
        <v>5813</v>
      </c>
      <c r="F251" s="353">
        <v>2300.0</v>
      </c>
      <c r="G251" s="14" t="str">
        <f>IFERROR(__xludf.DUMMYFUNCTION("IFERROR(
  VLOOKUP(
    TRIM($A251),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1" s="14"/>
      <c r="I251" s="14"/>
      <c r="J251" s="14"/>
      <c r="K251" s="14"/>
      <c r="L251" s="14"/>
    </row>
    <row r="252">
      <c r="A252" s="351" t="s">
        <v>4119</v>
      </c>
      <c r="B252" s="351" t="s">
        <v>4748</v>
      </c>
      <c r="C252" s="351" t="s">
        <v>4122</v>
      </c>
      <c r="D252" s="351" t="s">
        <v>5809</v>
      </c>
      <c r="E252" s="351" t="s">
        <v>5813</v>
      </c>
      <c r="F252" s="353">
        <v>1100.0</v>
      </c>
      <c r="G252" s="14" t="str">
        <f>IFERROR(__xludf.DUMMYFUNCTION("IFERROR(
  VLOOKUP(
    TRIM($A252),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2" s="14"/>
      <c r="I252" s="14"/>
      <c r="J252" s="14"/>
      <c r="K252" s="14"/>
      <c r="L252" s="14"/>
    </row>
    <row r="253">
      <c r="A253" s="351" t="s">
        <v>5842</v>
      </c>
      <c r="B253" s="351" t="s">
        <v>4743</v>
      </c>
      <c r="C253" s="351" t="s">
        <v>5564</v>
      </c>
      <c r="D253" s="351" t="s">
        <v>5816</v>
      </c>
      <c r="E253" s="351" t="s">
        <v>5813</v>
      </c>
      <c r="F253" s="353">
        <v>2650.0</v>
      </c>
      <c r="G253" s="14" t="str">
        <f>IFERROR(__xludf.DUMMYFUNCTION("IFERROR(
  VLOOKUP(
    TRIM($A253),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3" s="14"/>
      <c r="I253" s="14"/>
      <c r="J253" s="14"/>
      <c r="K253" s="14"/>
      <c r="L253" s="14"/>
    </row>
    <row r="254">
      <c r="A254" s="351" t="s">
        <v>5843</v>
      </c>
      <c r="B254" s="351" t="s">
        <v>4743</v>
      </c>
      <c r="C254" s="351" t="s">
        <v>5573</v>
      </c>
      <c r="D254" s="351" t="s">
        <v>5816</v>
      </c>
      <c r="E254" s="351" t="s">
        <v>5813</v>
      </c>
      <c r="F254" s="353">
        <v>1450.0</v>
      </c>
      <c r="G254" s="14" t="str">
        <f>IFERROR(__xludf.DUMMYFUNCTION("IFERROR(
  VLOOKUP(
    TRIM($A254),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4" s="14"/>
      <c r="I254" s="14"/>
      <c r="J254" s="14"/>
      <c r="K254" s="14"/>
      <c r="L254" s="14"/>
    </row>
    <row r="255">
      <c r="A255" s="351" t="s">
        <v>1684</v>
      </c>
      <c r="B255" s="351" t="s">
        <v>4743</v>
      </c>
      <c r="C255" s="351" t="s">
        <v>1686</v>
      </c>
      <c r="D255" s="351" t="s">
        <v>5816</v>
      </c>
      <c r="E255" s="351" t="s">
        <v>5813</v>
      </c>
      <c r="F255" s="353">
        <v>1750.0</v>
      </c>
      <c r="G255" s="14" t="str">
        <f>IFERROR(__xludf.DUMMYFUNCTION("IFERROR(
  VLOOKUP(
    TRIM($A255),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5" s="14"/>
      <c r="I255" s="14"/>
      <c r="J255" s="14"/>
      <c r="K255" s="14"/>
      <c r="L255" s="14"/>
    </row>
    <row r="256">
      <c r="A256" s="351" t="s">
        <v>5844</v>
      </c>
      <c r="B256" s="351" t="s">
        <v>4743</v>
      </c>
      <c r="C256" s="351" t="s">
        <v>5575</v>
      </c>
      <c r="D256" s="351" t="s">
        <v>5816</v>
      </c>
      <c r="E256" s="351" t="s">
        <v>5813</v>
      </c>
      <c r="F256" s="353">
        <v>1000.0</v>
      </c>
      <c r="G256" s="14" t="str">
        <f>IFERROR(__xludf.DUMMYFUNCTION("IFERROR(
  VLOOKUP(
    TRIM($A256),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6" s="14"/>
      <c r="I256" s="14"/>
      <c r="J256" s="14"/>
      <c r="K256" s="14"/>
      <c r="L256" s="14"/>
    </row>
    <row r="257">
      <c r="A257" s="351" t="s">
        <v>5845</v>
      </c>
      <c r="B257" s="351" t="s">
        <v>4743</v>
      </c>
      <c r="C257" s="351" t="s">
        <v>5566</v>
      </c>
      <c r="D257" s="351" t="s">
        <v>5816</v>
      </c>
      <c r="E257" s="351" t="s">
        <v>5813</v>
      </c>
      <c r="F257" s="353">
        <v>600.0</v>
      </c>
      <c r="G257" s="14" t="str">
        <f>IFERROR(__xludf.DUMMYFUNCTION("IFERROR(
  VLOOKUP(
    TRIM($A257),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7" s="14"/>
      <c r="I257" s="14"/>
      <c r="J257" s="14"/>
      <c r="K257" s="14"/>
      <c r="L257" s="14"/>
    </row>
    <row r="258">
      <c r="A258" s="351" t="s">
        <v>2039</v>
      </c>
      <c r="B258" s="351" t="s">
        <v>4743</v>
      </c>
      <c r="C258" s="351" t="s">
        <v>5568</v>
      </c>
      <c r="D258" s="351" t="s">
        <v>5816</v>
      </c>
      <c r="E258" s="351" t="s">
        <v>5813</v>
      </c>
      <c r="F258" s="353">
        <v>700.0</v>
      </c>
      <c r="G258" s="14" t="str">
        <f>IFERROR(__xludf.DUMMYFUNCTION("IFERROR(
  VLOOKUP(
    TRIM($A258),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8" s="14"/>
      <c r="I258" s="14"/>
      <c r="J258" s="14"/>
      <c r="K258" s="14"/>
      <c r="L258" s="14"/>
    </row>
    <row r="259">
      <c r="A259" s="351" t="s">
        <v>2678</v>
      </c>
      <c r="B259" s="351" t="s">
        <v>4743</v>
      </c>
      <c r="C259" s="351" t="s">
        <v>5570</v>
      </c>
      <c r="D259" s="351" t="s">
        <v>5816</v>
      </c>
      <c r="E259" s="351" t="s">
        <v>5813</v>
      </c>
      <c r="F259" s="353">
        <v>1350.0</v>
      </c>
      <c r="G259" s="14" t="str">
        <f>IFERROR(__xludf.DUMMYFUNCTION("IFERROR(
  VLOOKUP(
    TRIM($A259),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59" s="14"/>
      <c r="I259" s="14"/>
      <c r="J259" s="14"/>
      <c r="K259" s="14"/>
      <c r="L259" s="14"/>
    </row>
    <row r="260">
      <c r="A260" s="351" t="s">
        <v>5846</v>
      </c>
      <c r="B260" s="351" t="s">
        <v>4743</v>
      </c>
      <c r="C260" s="351" t="s">
        <v>5577</v>
      </c>
      <c r="D260" s="351" t="s">
        <v>5816</v>
      </c>
      <c r="E260" s="351" t="s">
        <v>5813</v>
      </c>
      <c r="F260" s="353">
        <v>1400.0</v>
      </c>
      <c r="G260" s="14" t="str">
        <f>IFERROR(__xludf.DUMMYFUNCTION("IFERROR(
  VLOOKUP(
    TRIM($A260),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0" s="14"/>
      <c r="I260" s="14"/>
      <c r="J260" s="14"/>
      <c r="K260" s="14"/>
      <c r="L260" s="14"/>
    </row>
    <row r="261">
      <c r="A261" s="351" t="s">
        <v>2324</v>
      </c>
      <c r="B261" s="351" t="s">
        <v>4745</v>
      </c>
      <c r="C261" s="351" t="s">
        <v>5153</v>
      </c>
      <c r="D261" s="351" t="s">
        <v>5816</v>
      </c>
      <c r="E261" s="351" t="s">
        <v>5813</v>
      </c>
      <c r="F261" s="353">
        <v>2800.0</v>
      </c>
      <c r="G261" s="14" t="str">
        <f>IFERROR(__xludf.DUMMYFUNCTION("IFERROR(
  VLOOKUP(
    TRIM($A261),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1" s="14"/>
      <c r="I261" s="14"/>
      <c r="J261" s="14"/>
      <c r="K261" s="14"/>
      <c r="L261" s="14"/>
    </row>
    <row r="262">
      <c r="A262" s="351" t="s">
        <v>2195</v>
      </c>
      <c r="B262" s="351" t="s">
        <v>4745</v>
      </c>
      <c r="C262" s="351" t="s">
        <v>5137</v>
      </c>
      <c r="D262" s="351" t="s">
        <v>5816</v>
      </c>
      <c r="E262" s="351" t="s">
        <v>5813</v>
      </c>
      <c r="F262" s="353">
        <v>2200.0</v>
      </c>
      <c r="G262" s="14" t="str">
        <f>IFERROR(__xludf.DUMMYFUNCTION("IFERROR(
  VLOOKUP(
    TRIM($A262),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2" s="14"/>
      <c r="I262" s="14"/>
      <c r="J262" s="14"/>
      <c r="K262" s="14"/>
      <c r="L262" s="14"/>
    </row>
    <row r="263">
      <c r="A263" s="351" t="s">
        <v>5847</v>
      </c>
      <c r="B263" s="351" t="s">
        <v>4745</v>
      </c>
      <c r="C263" s="351" t="s">
        <v>5139</v>
      </c>
      <c r="D263" s="351" t="s">
        <v>5816</v>
      </c>
      <c r="E263" s="351" t="s">
        <v>5813</v>
      </c>
      <c r="F263" s="353">
        <v>350.0</v>
      </c>
      <c r="G263" s="14" t="str">
        <f>IFERROR(__xludf.DUMMYFUNCTION("IFERROR(
  VLOOKUP(
    TRIM($A263),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3" s="14"/>
      <c r="I263" s="14"/>
      <c r="J263" s="14"/>
      <c r="K263" s="14"/>
      <c r="L263" s="14"/>
    </row>
    <row r="264">
      <c r="A264" s="351" t="s">
        <v>5848</v>
      </c>
      <c r="B264" s="351" t="s">
        <v>4745</v>
      </c>
      <c r="C264" s="351" t="s">
        <v>5155</v>
      </c>
      <c r="D264" s="351" t="s">
        <v>5816</v>
      </c>
      <c r="E264" s="351" t="s">
        <v>5813</v>
      </c>
      <c r="F264" s="353">
        <v>2150.0</v>
      </c>
      <c r="G264" s="14" t="str">
        <f>IFERROR(__xludf.DUMMYFUNCTION("IFERROR(
  VLOOKUP(
    TRIM($A264),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4" s="14"/>
      <c r="I264" s="14"/>
      <c r="J264" s="14"/>
      <c r="K264" s="14"/>
      <c r="L264" s="14"/>
    </row>
    <row r="265">
      <c r="A265" s="351" t="s">
        <v>2387</v>
      </c>
      <c r="B265" s="351" t="s">
        <v>4745</v>
      </c>
      <c r="C265" s="351" t="s">
        <v>5127</v>
      </c>
      <c r="D265" s="351" t="s">
        <v>5816</v>
      </c>
      <c r="E265" s="351" t="s">
        <v>5813</v>
      </c>
      <c r="F265" s="353">
        <v>1450.0</v>
      </c>
      <c r="G265" s="14" t="str">
        <f>IFERROR(__xludf.DUMMYFUNCTION("IFERROR(
  VLOOKUP(
    TRIM($A265),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5" s="14"/>
      <c r="I265" s="14"/>
      <c r="J265" s="14"/>
      <c r="K265" s="14"/>
      <c r="L265" s="14"/>
    </row>
    <row r="266">
      <c r="A266" s="351" t="s">
        <v>1996</v>
      </c>
      <c r="B266" s="351" t="s">
        <v>4745</v>
      </c>
      <c r="C266" s="351" t="s">
        <v>5133</v>
      </c>
      <c r="D266" s="351" t="s">
        <v>5816</v>
      </c>
      <c r="E266" s="351" t="s">
        <v>5813</v>
      </c>
      <c r="F266" s="353">
        <v>2650.0</v>
      </c>
      <c r="G266" s="14" t="str">
        <f>IFERROR(__xludf.DUMMYFUNCTION("IFERROR(
  VLOOKUP(
    TRIM($A266),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6" s="14"/>
      <c r="I266" s="14"/>
      <c r="J266" s="14"/>
      <c r="K266" s="14"/>
      <c r="L266" s="14"/>
    </row>
    <row r="267">
      <c r="A267" s="351" t="s">
        <v>1868</v>
      </c>
      <c r="B267" s="351" t="s">
        <v>4745</v>
      </c>
      <c r="C267" s="351" t="s">
        <v>5148</v>
      </c>
      <c r="D267" s="351" t="s">
        <v>5816</v>
      </c>
      <c r="E267" s="351" t="s">
        <v>5813</v>
      </c>
      <c r="F267" s="353">
        <v>1500.0</v>
      </c>
      <c r="G267" s="14" t="str">
        <f>IFERROR(__xludf.DUMMYFUNCTION("IFERROR(
  VLOOKUP(
    TRIM($A267),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7" s="14"/>
      <c r="I267" s="14"/>
      <c r="J267" s="14"/>
      <c r="K267" s="14"/>
      <c r="L267" s="14"/>
    </row>
    <row r="268">
      <c r="A268" s="351" t="s">
        <v>2660</v>
      </c>
      <c r="B268" s="351" t="s">
        <v>4745</v>
      </c>
      <c r="C268" s="351" t="s">
        <v>5144</v>
      </c>
      <c r="D268" s="351" t="s">
        <v>5816</v>
      </c>
      <c r="E268" s="351" t="s">
        <v>5813</v>
      </c>
      <c r="F268" s="353">
        <v>1300.0</v>
      </c>
      <c r="G268" s="14" t="str">
        <f>IFERROR(__xludf.DUMMYFUNCTION("IFERROR(
  VLOOKUP(
    TRIM($A268),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8" s="14"/>
      <c r="I268" s="14"/>
      <c r="J268" s="14"/>
      <c r="K268" s="14"/>
      <c r="L268" s="14"/>
    </row>
    <row r="269">
      <c r="A269" s="351" t="s">
        <v>1851</v>
      </c>
      <c r="B269" s="351" t="s">
        <v>4745</v>
      </c>
      <c r="C269" s="351" t="s">
        <v>5151</v>
      </c>
      <c r="D269" s="351" t="s">
        <v>5816</v>
      </c>
      <c r="E269" s="351" t="s">
        <v>5813</v>
      </c>
      <c r="F269" s="353">
        <v>2700.0</v>
      </c>
      <c r="G269" s="14" t="str">
        <f>IFERROR(__xludf.DUMMYFUNCTION("IFERROR(
  VLOOKUP(
    TRIM($A269),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69" s="14"/>
      <c r="I269" s="14"/>
      <c r="J269" s="14"/>
      <c r="K269" s="14"/>
      <c r="L269" s="14"/>
    </row>
    <row r="270">
      <c r="A270" s="351" t="s">
        <v>2070</v>
      </c>
      <c r="B270" s="351" t="s">
        <v>4745</v>
      </c>
      <c r="C270" s="351" t="s">
        <v>5146</v>
      </c>
      <c r="D270" s="351" t="s">
        <v>5816</v>
      </c>
      <c r="E270" s="351" t="s">
        <v>5813</v>
      </c>
      <c r="F270" s="353">
        <v>2350.0</v>
      </c>
      <c r="G270" s="14" t="str">
        <f>IFERROR(__xludf.DUMMYFUNCTION("IFERROR(
  VLOOKUP(
    TRIM($A270),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0" s="14"/>
      <c r="I270" s="14"/>
      <c r="J270" s="14"/>
      <c r="K270" s="14"/>
      <c r="L270" s="14"/>
    </row>
    <row r="271">
      <c r="A271" s="351" t="s">
        <v>1839</v>
      </c>
      <c r="B271" s="351" t="s">
        <v>4745</v>
      </c>
      <c r="C271" s="351" t="s">
        <v>5131</v>
      </c>
      <c r="D271" s="351" t="s">
        <v>5816</v>
      </c>
      <c r="E271" s="351" t="s">
        <v>5813</v>
      </c>
      <c r="F271" s="353">
        <v>1700.0</v>
      </c>
      <c r="G271" s="14" t="str">
        <f>IFERROR(__xludf.DUMMYFUNCTION("IFERROR(
  VLOOKUP(
    TRIM($A271),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1" s="14"/>
      <c r="I271" s="14"/>
      <c r="J271" s="14"/>
      <c r="K271" s="14"/>
      <c r="L271" s="14"/>
    </row>
    <row r="272">
      <c r="A272" s="351" t="s">
        <v>2061</v>
      </c>
      <c r="B272" s="351" t="s">
        <v>4745</v>
      </c>
      <c r="C272" s="351" t="s">
        <v>5135</v>
      </c>
      <c r="D272" s="351" t="s">
        <v>5816</v>
      </c>
      <c r="E272" s="351" t="s">
        <v>5813</v>
      </c>
      <c r="F272" s="353">
        <v>1500.0</v>
      </c>
      <c r="G272" s="14" t="str">
        <f>IFERROR(__xludf.DUMMYFUNCTION("IFERROR(
  VLOOKUP(
    TRIM($A272),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2" s="14"/>
      <c r="I272" s="14"/>
      <c r="J272" s="14"/>
      <c r="K272" s="14"/>
      <c r="L272" s="14"/>
    </row>
    <row r="273">
      <c r="A273" s="351" t="s">
        <v>3868</v>
      </c>
      <c r="B273" s="351" t="s">
        <v>4761</v>
      </c>
      <c r="C273" s="351" t="s">
        <v>5158</v>
      </c>
      <c r="D273" s="351" t="s">
        <v>5809</v>
      </c>
      <c r="E273" s="351" t="s">
        <v>5813</v>
      </c>
      <c r="F273" s="353">
        <v>2250.0</v>
      </c>
      <c r="G273" s="14" t="str">
        <f>IFERROR(__xludf.DUMMYFUNCTION("IFERROR(
  VLOOKUP(
    TRIM($A273),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3" s="14"/>
      <c r="I273" s="14"/>
      <c r="J273" s="14"/>
      <c r="K273" s="14"/>
      <c r="L273" s="14"/>
    </row>
    <row r="274">
      <c r="A274" s="351" t="s">
        <v>4011</v>
      </c>
      <c r="B274" s="351" t="s">
        <v>4761</v>
      </c>
      <c r="C274" s="351" t="s">
        <v>5164</v>
      </c>
      <c r="D274" s="351" t="s">
        <v>5809</v>
      </c>
      <c r="E274" s="351" t="s">
        <v>5813</v>
      </c>
      <c r="F274" s="353">
        <v>950.0</v>
      </c>
      <c r="G274" s="14" t="str">
        <f>IFERROR(__xludf.DUMMYFUNCTION("IFERROR(
  VLOOKUP(
    TRIM($A274),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4" s="14"/>
      <c r="I274" s="14"/>
      <c r="J274" s="14"/>
      <c r="K274" s="14"/>
      <c r="L274" s="14"/>
    </row>
    <row r="275">
      <c r="A275" s="351" t="s">
        <v>5849</v>
      </c>
      <c r="B275" s="351" t="s">
        <v>4744</v>
      </c>
      <c r="C275" s="351" t="s">
        <v>4919</v>
      </c>
      <c r="D275" s="351" t="s">
        <v>5816</v>
      </c>
      <c r="E275" s="351" t="s">
        <v>5813</v>
      </c>
      <c r="F275" s="353">
        <v>1850.0</v>
      </c>
      <c r="G275" s="14" t="str">
        <f>IFERROR(__xludf.DUMMYFUNCTION("IFERROR(
  VLOOKUP(
    TRIM($A275),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5" s="14"/>
      <c r="I275" s="14"/>
      <c r="J275" s="14"/>
      <c r="K275" s="14"/>
      <c r="L275" s="14"/>
    </row>
    <row r="276">
      <c r="A276" s="351" t="s">
        <v>4846</v>
      </c>
      <c r="B276" s="351" t="s">
        <v>4744</v>
      </c>
      <c r="C276" s="351" t="s">
        <v>4921</v>
      </c>
      <c r="D276" s="351" t="s">
        <v>5816</v>
      </c>
      <c r="E276" s="351" t="s">
        <v>5813</v>
      </c>
      <c r="F276" s="353">
        <v>1150.0</v>
      </c>
      <c r="G276" s="14" t="str">
        <f>IFERROR(__xludf.DUMMYFUNCTION("IFERROR(
  VLOOKUP(
    TRIM($A276),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6" s="14"/>
      <c r="I276" s="14"/>
      <c r="J276" s="14"/>
      <c r="K276" s="14"/>
      <c r="L276" s="14"/>
    </row>
    <row r="277">
      <c r="A277" s="351" t="s">
        <v>5850</v>
      </c>
      <c r="B277" s="351" t="s">
        <v>4744</v>
      </c>
      <c r="C277" s="351" t="s">
        <v>4925</v>
      </c>
      <c r="D277" s="351" t="s">
        <v>5816</v>
      </c>
      <c r="E277" s="351" t="s">
        <v>5813</v>
      </c>
      <c r="F277" s="353">
        <v>1600.0</v>
      </c>
      <c r="G277" s="14" t="str">
        <f>IFERROR(__xludf.DUMMYFUNCTION("IFERROR(
  VLOOKUP(
    TRIM($A277),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7" s="14"/>
      <c r="I277" s="14"/>
      <c r="J277" s="14"/>
      <c r="K277" s="14"/>
      <c r="L277" s="14"/>
    </row>
    <row r="278">
      <c r="A278" s="351" t="s">
        <v>5851</v>
      </c>
      <c r="B278" s="351" t="s">
        <v>4744</v>
      </c>
      <c r="C278" s="351" t="s">
        <v>4927</v>
      </c>
      <c r="D278" s="351" t="s">
        <v>5816</v>
      </c>
      <c r="E278" s="351" t="s">
        <v>5813</v>
      </c>
      <c r="F278" s="353">
        <v>500.0</v>
      </c>
      <c r="G278" s="14" t="str">
        <f>IFERROR(__xludf.DUMMYFUNCTION("IFERROR(
  VLOOKUP(
    TRIM($A278),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8" s="14"/>
      <c r="I278" s="14"/>
      <c r="J278" s="14"/>
      <c r="K278" s="14"/>
      <c r="L278" s="14"/>
    </row>
    <row r="279">
      <c r="A279" s="351" t="s">
        <v>5852</v>
      </c>
      <c r="B279" s="351" t="s">
        <v>4744</v>
      </c>
      <c r="C279" s="351" t="s">
        <v>4917</v>
      </c>
      <c r="D279" s="351" t="s">
        <v>5816</v>
      </c>
      <c r="E279" s="351" t="s">
        <v>5813</v>
      </c>
      <c r="F279" s="353">
        <v>650.0</v>
      </c>
      <c r="G279" s="14" t="str">
        <f>IFERROR(__xludf.DUMMYFUNCTION("IFERROR(
  VLOOKUP(
    TRIM($A279),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79" s="14"/>
      <c r="I279" s="14"/>
      <c r="J279" s="14"/>
      <c r="K279" s="14"/>
      <c r="L279" s="14"/>
    </row>
    <row r="280">
      <c r="A280" s="351" t="s">
        <v>5853</v>
      </c>
      <c r="B280" s="351" t="s">
        <v>4744</v>
      </c>
      <c r="C280" s="351" t="s">
        <v>4913</v>
      </c>
      <c r="D280" s="351" t="s">
        <v>5816</v>
      </c>
      <c r="E280" s="351" t="s">
        <v>5813</v>
      </c>
      <c r="F280" s="353">
        <v>1300.0</v>
      </c>
      <c r="G280" s="14" t="str">
        <f>IFERROR(__xludf.DUMMYFUNCTION("IFERROR(
  VLOOKUP(
    TRIM($A280),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0" s="14"/>
      <c r="I280" s="14"/>
      <c r="J280" s="14"/>
      <c r="K280" s="14"/>
      <c r="L280" s="14"/>
    </row>
    <row r="281">
      <c r="A281" s="351" t="s">
        <v>5854</v>
      </c>
      <c r="B281" s="351" t="s">
        <v>4744</v>
      </c>
      <c r="C281" s="351" t="s">
        <v>4915</v>
      </c>
      <c r="D281" s="351" t="s">
        <v>5816</v>
      </c>
      <c r="E281" s="351" t="s">
        <v>5813</v>
      </c>
      <c r="F281" s="353">
        <v>1800.0</v>
      </c>
      <c r="G281" s="14" t="str">
        <f>IFERROR(__xludf.DUMMYFUNCTION("IFERROR(
  VLOOKUP(
    TRIM($A281),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1" s="14"/>
      <c r="I281" s="14"/>
      <c r="J281" s="14"/>
      <c r="K281" s="14"/>
      <c r="L281" s="14"/>
    </row>
    <row r="282">
      <c r="A282" s="351" t="s">
        <v>4279</v>
      </c>
      <c r="B282" s="351" t="s">
        <v>4759</v>
      </c>
      <c r="C282" s="351" t="s">
        <v>5233</v>
      </c>
      <c r="D282" s="351" t="s">
        <v>5809</v>
      </c>
      <c r="E282" s="351" t="s">
        <v>5814</v>
      </c>
      <c r="F282" s="353">
        <v>950.0</v>
      </c>
      <c r="G282" s="14" t="str">
        <f>IFERROR(__xludf.DUMMYFUNCTION("IFERROR(
  VLOOKUP(
    TRIM($A282),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2" s="14"/>
      <c r="I282" s="14"/>
      <c r="J282" s="14"/>
      <c r="K282" s="14"/>
      <c r="L282" s="14"/>
    </row>
    <row r="283">
      <c r="A283" s="351" t="s">
        <v>4022</v>
      </c>
      <c r="B283" s="351" t="s">
        <v>4759</v>
      </c>
      <c r="C283" s="351" t="s">
        <v>5208</v>
      </c>
      <c r="D283" s="351" t="s">
        <v>5809</v>
      </c>
      <c r="E283" s="351" t="s">
        <v>5814</v>
      </c>
      <c r="F283" s="353">
        <v>1100.0</v>
      </c>
      <c r="G283" s="14" t="str">
        <f>IFERROR(__xludf.DUMMYFUNCTION("IFERROR(
  VLOOKUP(
    TRIM($A283),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3" s="14"/>
      <c r="I283" s="14"/>
      <c r="J283" s="14"/>
      <c r="K283" s="14"/>
      <c r="L283" s="14"/>
    </row>
    <row r="284">
      <c r="A284" s="351" t="s">
        <v>5855</v>
      </c>
      <c r="B284" s="351" t="s">
        <v>4742</v>
      </c>
      <c r="C284" s="351" t="s">
        <v>5542</v>
      </c>
      <c r="D284" s="351" t="s">
        <v>5816</v>
      </c>
      <c r="E284" s="351" t="s">
        <v>5814</v>
      </c>
      <c r="F284" s="353">
        <v>700.0</v>
      </c>
      <c r="G284" s="14" t="str">
        <f>IFERROR(__xludf.DUMMYFUNCTION("IFERROR(
  VLOOKUP(
    TRIM($A284),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4" s="14"/>
      <c r="I284" s="14"/>
      <c r="J284" s="14"/>
      <c r="K284" s="14"/>
      <c r="L284" s="14"/>
    </row>
    <row r="285">
      <c r="A285" s="351" t="s">
        <v>2810</v>
      </c>
      <c r="B285" s="351" t="s">
        <v>4729</v>
      </c>
      <c r="C285" s="351" t="s">
        <v>2812</v>
      </c>
      <c r="D285" s="351" t="s">
        <v>5816</v>
      </c>
      <c r="E285" s="351" t="s">
        <v>5814</v>
      </c>
      <c r="F285" s="353">
        <v>2000.0</v>
      </c>
      <c r="G285" s="11" t="str">
        <f>IFERROR(__xludf.DUMMYFUNCTION("IFERROR(
  VLOOKUP(
    TRIM($A285),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)"),"https://drive.google.com/open?id=1Nlce-p21JQkM-5bSKjg0Y7_zjChm1QtN")</f>
        <v>https://drive.google.com/open?id=1Nlce-p21JQkM-5bSKjg0Y7_zjChm1QtN</v>
      </c>
      <c r="H285" s="14"/>
      <c r="I285" s="14"/>
      <c r="J285" s="14"/>
      <c r="K285" s="14"/>
      <c r="L285" s="14"/>
    </row>
    <row r="286">
      <c r="A286" s="351" t="s">
        <v>1132</v>
      </c>
      <c r="B286" s="351" t="s">
        <v>4729</v>
      </c>
      <c r="C286" s="351" t="s">
        <v>1133</v>
      </c>
      <c r="D286" s="351" t="s">
        <v>5816</v>
      </c>
      <c r="E286" s="351" t="s">
        <v>5814</v>
      </c>
      <c r="F286" s="353">
        <v>1250.0</v>
      </c>
      <c r="G286" s="11" t="str">
        <f>IFERROR(__xludf.DUMMYFUNCTION("IFERROR(
  VLOOKUP(
    TRIM($A286),
    ARRAYFORMULA({
      TRIM(IMPORTRANGE(""https://docs.google.com/spreadsheets/d/1u9GbdmgAEc9k6kHu3ZfH25nxRNstVbRmM2ai-cDl3lY/edit"",""Form responses 1!F:F"")),
      IMPORTRANGE(""https://docs.google.com/spreadsheet"&amp;"s/d/1u9GbdmgAEc9k6kHu3ZfH25nxRNstVbRmM2ai-cDl3lY/edit"",""Form responses 1!G:T"")
    }),
    11,
    FALSE
  ),
  ""Not found""
)"),"https://drive.google.com/open?id=1AKtgwGPvdpnzKre0H0Pa6hQLekyZgIt9")</f>
        <v>https://drive.google.com/open?id=1AKtgwGPvdpnzKre0H0Pa6hQLekyZgIt9</v>
      </c>
      <c r="H286" s="14"/>
      <c r="I286" s="14"/>
      <c r="J286" s="14"/>
      <c r="K286" s="14"/>
      <c r="L286" s="14"/>
    </row>
    <row r="287">
      <c r="A287" s="351" t="s">
        <v>5856</v>
      </c>
      <c r="B287" s="351" t="s">
        <v>4745</v>
      </c>
      <c r="C287" s="351" t="s">
        <v>2796</v>
      </c>
      <c r="D287" s="351" t="s">
        <v>5816</v>
      </c>
      <c r="E287" s="351" t="s">
        <v>5814</v>
      </c>
      <c r="F287" s="353">
        <v>1300.0</v>
      </c>
      <c r="G287" s="14" t="str">
        <f>IFERROR(__xludf.DUMMYFUNCTION("IFERROR(
  VLOOKUP(
    TRIM($A287),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7" s="14"/>
      <c r="I287" s="14"/>
      <c r="J287" s="14"/>
      <c r="K287" s="14"/>
      <c r="L287" s="14"/>
    </row>
    <row r="288">
      <c r="A288" s="351" t="s">
        <v>4699</v>
      </c>
      <c r="B288" s="351" t="s">
        <v>4759</v>
      </c>
      <c r="C288" s="351" t="s">
        <v>5236</v>
      </c>
      <c r="D288" s="351" t="s">
        <v>5809</v>
      </c>
      <c r="E288" s="351" t="s">
        <v>5815</v>
      </c>
      <c r="F288" s="353">
        <v>1250.0</v>
      </c>
      <c r="G288" s="14" t="str">
        <f>IFERROR(__xludf.DUMMYFUNCTION("IFERROR(
  VLOOKUP(
    TRIM($A288),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8" s="14"/>
      <c r="I288" s="14"/>
      <c r="J288" s="14"/>
      <c r="K288" s="14"/>
      <c r="L288" s="14"/>
    </row>
    <row r="289">
      <c r="A289" s="351" t="s">
        <v>4902</v>
      </c>
      <c r="B289" s="351" t="s">
        <v>4762</v>
      </c>
      <c r="C289" s="351" t="s">
        <v>5597</v>
      </c>
      <c r="D289" s="351" t="s">
        <v>5809</v>
      </c>
      <c r="E289" s="351" t="s">
        <v>5815</v>
      </c>
      <c r="F289" s="353">
        <v>350.0</v>
      </c>
      <c r="G289" s="14" t="str">
        <f>IFERROR(__xludf.DUMMYFUNCTION("IFERROR(
  VLOOKUP(
    TRIM($A289),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89" s="14"/>
      <c r="I289" s="14"/>
      <c r="J289" s="14"/>
      <c r="K289" s="14"/>
      <c r="L289" s="14"/>
    </row>
    <row r="290">
      <c r="A290" s="351" t="s">
        <v>4903</v>
      </c>
      <c r="B290" s="351" t="s">
        <v>4762</v>
      </c>
      <c r="C290" s="351" t="s">
        <v>5593</v>
      </c>
      <c r="D290" s="351" t="s">
        <v>5809</v>
      </c>
      <c r="E290" s="351" t="s">
        <v>5815</v>
      </c>
      <c r="F290" s="353">
        <v>2150.0</v>
      </c>
      <c r="G290" s="14" t="str">
        <f>IFERROR(__xludf.DUMMYFUNCTION("IFERROR(
  VLOOKUP(
    TRIM($A290),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0" s="14"/>
      <c r="I290" s="14"/>
      <c r="J290" s="14"/>
      <c r="K290" s="14"/>
      <c r="L290" s="14"/>
    </row>
    <row r="291">
      <c r="A291" s="351" t="s">
        <v>4904</v>
      </c>
      <c r="B291" s="351" t="s">
        <v>4762</v>
      </c>
      <c r="C291" s="351" t="s">
        <v>5603</v>
      </c>
      <c r="D291" s="351" t="s">
        <v>5809</v>
      </c>
      <c r="E291" s="351" t="s">
        <v>5815</v>
      </c>
      <c r="F291" s="353">
        <v>2300.0</v>
      </c>
      <c r="G291" s="14" t="str">
        <f>IFERROR(__xludf.DUMMYFUNCTION("IFERROR(
  VLOOKUP(
    TRIM($A291),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1" s="14"/>
      <c r="I291" s="14"/>
      <c r="J291" s="14"/>
      <c r="K291" s="14"/>
      <c r="L291" s="14"/>
    </row>
    <row r="292">
      <c r="A292" s="351" t="s">
        <v>4897</v>
      </c>
      <c r="B292" s="351" t="s">
        <v>4762</v>
      </c>
      <c r="C292" s="351" t="s">
        <v>5605</v>
      </c>
      <c r="D292" s="351" t="s">
        <v>5809</v>
      </c>
      <c r="E292" s="351" t="s">
        <v>5815</v>
      </c>
      <c r="F292" s="353">
        <v>1300.0</v>
      </c>
      <c r="G292" s="14" t="str">
        <f>IFERROR(__xludf.DUMMYFUNCTION("IFERROR(
  VLOOKUP(
    TRIM($A292),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2" s="14"/>
      <c r="I292" s="14"/>
      <c r="J292" s="14"/>
      <c r="K292" s="14"/>
      <c r="L292" s="14"/>
    </row>
    <row r="293">
      <c r="A293" s="351" t="s">
        <v>4900</v>
      </c>
      <c r="B293" s="351" t="s">
        <v>4762</v>
      </c>
      <c r="C293" s="351" t="s">
        <v>5601</v>
      </c>
      <c r="D293" s="351" t="s">
        <v>5809</v>
      </c>
      <c r="E293" s="351" t="s">
        <v>5815</v>
      </c>
      <c r="F293" s="353">
        <v>1500.0</v>
      </c>
      <c r="G293" s="14" t="str">
        <f>IFERROR(__xludf.DUMMYFUNCTION("IFERROR(
  VLOOKUP(
    TRIM($A293),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3" s="14"/>
      <c r="I293" s="14"/>
      <c r="J293" s="14"/>
      <c r="K293" s="14"/>
      <c r="L293" s="14"/>
    </row>
    <row r="294">
      <c r="A294" s="351" t="s">
        <v>4366</v>
      </c>
      <c r="B294" s="351" t="s">
        <v>4762</v>
      </c>
      <c r="C294" s="351" t="s">
        <v>5614</v>
      </c>
      <c r="D294" s="351" t="s">
        <v>5809</v>
      </c>
      <c r="E294" s="351" t="s">
        <v>5815</v>
      </c>
      <c r="F294" s="353">
        <v>1950.0</v>
      </c>
      <c r="G294" s="14" t="str">
        <f>IFERROR(__xludf.DUMMYFUNCTION("IFERROR(
  VLOOKUP(
    TRIM($A294),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4" s="14"/>
      <c r="I294" s="14"/>
      <c r="J294" s="14"/>
      <c r="K294" s="14"/>
      <c r="L294" s="14"/>
    </row>
    <row r="295">
      <c r="A295" s="351" t="s">
        <v>4899</v>
      </c>
      <c r="B295" s="351" t="s">
        <v>4762</v>
      </c>
      <c r="C295" s="351" t="s">
        <v>5595</v>
      </c>
      <c r="D295" s="351" t="s">
        <v>5809</v>
      </c>
      <c r="E295" s="351" t="s">
        <v>5815</v>
      </c>
      <c r="F295" s="353">
        <v>1850.0</v>
      </c>
      <c r="G295" s="14" t="str">
        <f>IFERROR(__xludf.DUMMYFUNCTION("IFERROR(
  VLOOKUP(
    TRIM($A295),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5" s="14"/>
      <c r="I295" s="14"/>
      <c r="J295" s="14"/>
      <c r="K295" s="14"/>
      <c r="L295" s="14"/>
    </row>
    <row r="296">
      <c r="A296" s="351" t="s">
        <v>4331</v>
      </c>
      <c r="B296" s="351" t="s">
        <v>4762</v>
      </c>
      <c r="C296" s="351" t="s">
        <v>5599</v>
      </c>
      <c r="D296" s="351" t="s">
        <v>5809</v>
      </c>
      <c r="E296" s="351" t="s">
        <v>5815</v>
      </c>
      <c r="F296" s="353">
        <v>750.0</v>
      </c>
      <c r="G296" s="14" t="str">
        <f>IFERROR(__xludf.DUMMYFUNCTION("IFERROR(
  VLOOKUP(
    TRIM($A296),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6" s="14"/>
      <c r="I296" s="14"/>
      <c r="J296" s="14"/>
      <c r="K296" s="14"/>
      <c r="L296" s="14"/>
    </row>
    <row r="297">
      <c r="A297" s="351" t="s">
        <v>4389</v>
      </c>
      <c r="B297" s="351" t="s">
        <v>4762</v>
      </c>
      <c r="C297" s="351" t="s">
        <v>4392</v>
      </c>
      <c r="D297" s="351" t="s">
        <v>5809</v>
      </c>
      <c r="E297" s="351" t="s">
        <v>5815</v>
      </c>
      <c r="F297" s="353">
        <v>1050.0</v>
      </c>
      <c r="G297" s="14" t="str">
        <f>IFERROR(__xludf.DUMMYFUNCTION("IFERROR(
  VLOOKUP(
    TRIM($A297),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7" s="14"/>
      <c r="I297" s="14"/>
      <c r="J297" s="14"/>
      <c r="K297" s="14"/>
      <c r="L297" s="14"/>
    </row>
    <row r="298">
      <c r="A298" s="351" t="s">
        <v>4421</v>
      </c>
      <c r="B298" s="351" t="s">
        <v>4762</v>
      </c>
      <c r="C298" s="351" t="s">
        <v>5587</v>
      </c>
      <c r="D298" s="351" t="s">
        <v>5809</v>
      </c>
      <c r="E298" s="351" t="s">
        <v>5815</v>
      </c>
      <c r="F298" s="353">
        <v>900.0</v>
      </c>
      <c r="G298" s="14" t="str">
        <f>IFERROR(__xludf.DUMMYFUNCTION("IFERROR(
  VLOOKUP(
    TRIM($A298),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8" s="14"/>
      <c r="I298" s="14"/>
      <c r="J298" s="14"/>
      <c r="K298" s="14"/>
      <c r="L298" s="14"/>
    </row>
    <row r="299">
      <c r="A299" s="351" t="s">
        <v>4384</v>
      </c>
      <c r="B299" s="351" t="s">
        <v>4762</v>
      </c>
      <c r="C299" s="351" t="s">
        <v>4387</v>
      </c>
      <c r="D299" s="351" t="s">
        <v>5809</v>
      </c>
      <c r="E299" s="351" t="s">
        <v>5815</v>
      </c>
      <c r="F299" s="353">
        <v>950.0</v>
      </c>
      <c r="G299" s="14" t="str">
        <f>IFERROR(__xludf.DUMMYFUNCTION("IFERROR(
  VLOOKUP(
    TRIM($A299),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299" s="14"/>
      <c r="I299" s="14"/>
      <c r="J299" s="14"/>
      <c r="K299" s="14"/>
      <c r="L299" s="14"/>
    </row>
    <row r="300">
      <c r="A300" s="351" t="s">
        <v>4311</v>
      </c>
      <c r="B300" s="351" t="s">
        <v>4762</v>
      </c>
      <c r="C300" s="351" t="s">
        <v>5607</v>
      </c>
      <c r="D300" s="351" t="s">
        <v>5809</v>
      </c>
      <c r="E300" s="351" t="s">
        <v>5815</v>
      </c>
      <c r="F300" s="353">
        <v>2800.0</v>
      </c>
      <c r="G300" s="14" t="str">
        <f>IFERROR(__xludf.DUMMYFUNCTION("IFERROR(
  VLOOKUP(
    TRIM($A300),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0" s="14"/>
      <c r="I300" s="14"/>
      <c r="J300" s="14"/>
      <c r="K300" s="14"/>
      <c r="L300" s="14"/>
    </row>
    <row r="301">
      <c r="A301" s="351" t="s">
        <v>4324</v>
      </c>
      <c r="B301" s="351" t="s">
        <v>4762</v>
      </c>
      <c r="C301" s="351" t="s">
        <v>5583</v>
      </c>
      <c r="D301" s="351" t="s">
        <v>5809</v>
      </c>
      <c r="E301" s="351" t="s">
        <v>5815</v>
      </c>
      <c r="F301" s="353">
        <v>700.0</v>
      </c>
      <c r="G301" s="14" t="str">
        <f>IFERROR(__xludf.DUMMYFUNCTION("IFERROR(
  VLOOKUP(
    TRIM($A301),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1" s="14"/>
      <c r="I301" s="14"/>
      <c r="J301" s="14"/>
      <c r="K301" s="14"/>
      <c r="L301" s="14"/>
    </row>
    <row r="302">
      <c r="A302" s="351" t="s">
        <v>4305</v>
      </c>
      <c r="B302" s="351" t="s">
        <v>4762</v>
      </c>
      <c r="C302" s="351" t="s">
        <v>4437</v>
      </c>
      <c r="D302" s="351" t="s">
        <v>5809</v>
      </c>
      <c r="E302" s="351" t="s">
        <v>5815</v>
      </c>
      <c r="F302" s="353">
        <v>1550.0</v>
      </c>
      <c r="G302" s="14" t="str">
        <f>IFERROR(__xludf.DUMMYFUNCTION("IFERROR(
  VLOOKUP(
    TRIM($A302),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2" s="14"/>
      <c r="I302" s="14"/>
      <c r="J302" s="14"/>
      <c r="K302" s="14"/>
      <c r="L302" s="14"/>
    </row>
    <row r="303">
      <c r="A303" s="351" t="s">
        <v>4898</v>
      </c>
      <c r="B303" s="351" t="s">
        <v>4762</v>
      </c>
      <c r="C303" s="351" t="s">
        <v>5591</v>
      </c>
      <c r="D303" s="351" t="s">
        <v>5809</v>
      </c>
      <c r="E303" s="351" t="s">
        <v>5815</v>
      </c>
      <c r="F303" s="353">
        <v>2850.0</v>
      </c>
      <c r="G303" s="14" t="str">
        <f>IFERROR(__xludf.DUMMYFUNCTION("IFERROR(
  VLOOKUP(
    TRIM($A303),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3" s="14"/>
      <c r="I303" s="14"/>
      <c r="J303" s="14"/>
      <c r="K303" s="14"/>
      <c r="L303" s="14"/>
    </row>
    <row r="304">
      <c r="A304" s="351" t="s">
        <v>4350</v>
      </c>
      <c r="B304" s="351" t="s">
        <v>4762</v>
      </c>
      <c r="C304" s="351" t="s">
        <v>5581</v>
      </c>
      <c r="D304" s="351" t="s">
        <v>5809</v>
      </c>
      <c r="E304" s="351" t="s">
        <v>5815</v>
      </c>
      <c r="F304" s="353">
        <v>2450.0</v>
      </c>
      <c r="G304" s="14" t="str">
        <f>IFERROR(__xludf.DUMMYFUNCTION("IFERROR(
  VLOOKUP(
    TRIM($A304),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4" s="14"/>
      <c r="I304" s="14"/>
      <c r="J304" s="14"/>
      <c r="K304" s="14"/>
      <c r="L304" s="14"/>
    </row>
    <row r="305">
      <c r="A305" s="351" t="s">
        <v>4337</v>
      </c>
      <c r="B305" s="351" t="s">
        <v>4762</v>
      </c>
      <c r="C305" s="351" t="s">
        <v>5589</v>
      </c>
      <c r="D305" s="351" t="s">
        <v>5809</v>
      </c>
      <c r="E305" s="351" t="s">
        <v>5815</v>
      </c>
      <c r="F305" s="353">
        <v>1350.0</v>
      </c>
      <c r="G305" s="14" t="str">
        <f>IFERROR(__xludf.DUMMYFUNCTION("IFERROR(
  VLOOKUP(
    TRIM($A305),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5" s="14"/>
      <c r="I305" s="14"/>
      <c r="J305" s="14"/>
      <c r="K305" s="14"/>
      <c r="L305" s="14"/>
    </row>
    <row r="306">
      <c r="A306" s="351" t="s">
        <v>4378</v>
      </c>
      <c r="B306" s="351" t="s">
        <v>4762</v>
      </c>
      <c r="C306" s="351" t="s">
        <v>4460</v>
      </c>
      <c r="D306" s="351" t="s">
        <v>5809</v>
      </c>
      <c r="E306" s="351" t="s">
        <v>5815</v>
      </c>
      <c r="F306" s="353">
        <v>450.0</v>
      </c>
      <c r="G306" s="14" t="str">
        <f>IFERROR(__xludf.DUMMYFUNCTION("IFERROR(
  VLOOKUP(
    TRIM($A306),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6" s="14"/>
      <c r="I306" s="14"/>
      <c r="J306" s="14"/>
      <c r="K306" s="14"/>
      <c r="L306" s="14"/>
    </row>
    <row r="307">
      <c r="A307" s="351" t="s">
        <v>4905</v>
      </c>
      <c r="B307" s="351" t="s">
        <v>4762</v>
      </c>
      <c r="C307" s="351" t="s">
        <v>5612</v>
      </c>
      <c r="D307" s="351" t="s">
        <v>5809</v>
      </c>
      <c r="E307" s="351" t="s">
        <v>5815</v>
      </c>
      <c r="F307" s="353">
        <v>1850.0</v>
      </c>
      <c r="G307" s="14" t="str">
        <f>IFERROR(__xludf.DUMMYFUNCTION("IFERROR(
  VLOOKUP(
    TRIM($A307),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7" s="14"/>
      <c r="I307" s="14"/>
      <c r="J307" s="14"/>
      <c r="K307" s="14"/>
      <c r="L307" s="14"/>
    </row>
    <row r="308">
      <c r="A308" s="351" t="s">
        <v>4299</v>
      </c>
      <c r="B308" s="351" t="s">
        <v>4762</v>
      </c>
      <c r="C308" s="351" t="s">
        <v>4302</v>
      </c>
      <c r="D308" s="351" t="s">
        <v>5809</v>
      </c>
      <c r="E308" s="351" t="s">
        <v>5815</v>
      </c>
      <c r="F308" s="353">
        <v>1450.0</v>
      </c>
      <c r="G308" s="14" t="str">
        <f>IFERROR(__xludf.DUMMYFUNCTION("IFERROR(
  VLOOKUP(
    TRIM($A308),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8" s="14"/>
      <c r="I308" s="14"/>
      <c r="J308" s="14"/>
      <c r="K308" s="14"/>
      <c r="L308" s="14"/>
    </row>
    <row r="309">
      <c r="A309" s="351" t="s">
        <v>4701</v>
      </c>
      <c r="B309" s="351" t="s">
        <v>4761</v>
      </c>
      <c r="C309" s="351" t="s">
        <v>5167</v>
      </c>
      <c r="D309" s="351" t="s">
        <v>5809</v>
      </c>
      <c r="E309" s="351" t="s">
        <v>5815</v>
      </c>
      <c r="F309" s="353">
        <v>2000.0</v>
      </c>
      <c r="G309" s="14" t="str">
        <f>IFERROR(__xludf.DUMMYFUNCTION("IFERROR(
  VLOOKUP(
    TRIM($A309),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09" s="14"/>
      <c r="I309" s="14"/>
      <c r="J309" s="14"/>
      <c r="K309" s="14"/>
      <c r="L309" s="14"/>
    </row>
    <row r="310">
      <c r="A310" s="351" t="s">
        <v>4698</v>
      </c>
      <c r="B310" s="356"/>
      <c r="C310" s="356"/>
      <c r="D310" s="356"/>
      <c r="E310" s="356"/>
      <c r="F310" s="353">
        <v>1900.0</v>
      </c>
      <c r="G310" s="14" t="str">
        <f>IFERROR(__xludf.DUMMYFUNCTION("IFERROR(
  VLOOKUP(
    TRIM($A310),
    ARRAYFORMULA({
      TRIM(IMPORTRANGE(""https://docs.google.com/spreadsheets/d/1u9GbdmgAEc9k6kHu3ZfH25nxRNstVbRmM2ai-cDl3lY/edit"",""Form responses 1!F:F"")),
      IMPORTRANGE(""https://docs.google.com/spreadsheet"&amp;"s/d/1u9GbdmgAEc9k6kHu3ZfH25nxRNstVbRmM2ai-cDl3lY/edit"",""Form responses 1!G:T"")
    }),
    11,
    FALSE
  ),
  ""Not found""
)"),"Not found")</f>
        <v>Not found</v>
      </c>
      <c r="H310" s="14"/>
      <c r="I310" s="14"/>
      <c r="J310" s="14"/>
      <c r="K310" s="14"/>
      <c r="L310" s="14"/>
    </row>
    <row r="311">
      <c r="A311" s="14"/>
      <c r="B311" s="14"/>
      <c r="C311" s="14"/>
      <c r="D311" s="14"/>
      <c r="E311" s="14"/>
      <c r="F311" s="14"/>
      <c r="G311" s="14"/>
      <c r="H311" s="14"/>
      <c r="I311" s="14"/>
      <c r="J311" s="14"/>
      <c r="K311" s="14"/>
      <c r="L311" s="14"/>
    </row>
    <row r="312">
      <c r="A312" s="14"/>
      <c r="B312" s="14"/>
      <c r="C312" s="14"/>
      <c r="D312" s="14"/>
      <c r="E312" s="14"/>
      <c r="F312" s="14"/>
      <c r="G312" s="14"/>
      <c r="H312" s="14"/>
      <c r="I312" s="14"/>
      <c r="J312" s="14"/>
      <c r="K312" s="14"/>
      <c r="L312" s="14"/>
    </row>
    <row r="313">
      <c r="A313" s="14"/>
      <c r="B313" s="14"/>
      <c r="C313" s="14"/>
      <c r="D313" s="14"/>
      <c r="E313" s="14"/>
      <c r="F313" s="14"/>
      <c r="G313" s="14"/>
      <c r="H313" s="14"/>
      <c r="I313" s="14"/>
      <c r="J313" s="14"/>
      <c r="K313" s="14"/>
      <c r="L313" s="14"/>
    </row>
    <row r="314">
      <c r="A314" s="14"/>
      <c r="B314" s="14"/>
      <c r="C314" s="14"/>
      <c r="D314" s="14"/>
      <c r="E314" s="14"/>
      <c r="F314" s="14"/>
      <c r="G314" s="14"/>
      <c r="H314" s="14"/>
      <c r="I314" s="14"/>
      <c r="J314" s="14"/>
      <c r="K314" s="14"/>
      <c r="L314" s="14"/>
    </row>
    <row r="315">
      <c r="A315" s="14"/>
      <c r="B315" s="14"/>
      <c r="C315" s="14"/>
      <c r="D315" s="14"/>
      <c r="E315" s="14"/>
      <c r="F315" s="14"/>
      <c r="G315" s="14"/>
      <c r="H315" s="14"/>
      <c r="I315" s="14"/>
      <c r="J315" s="14"/>
      <c r="K315" s="14"/>
      <c r="L315" s="14"/>
    </row>
    <row r="316">
      <c r="A316" s="14"/>
      <c r="B316" s="14"/>
      <c r="C316" s="14"/>
      <c r="D316" s="14"/>
      <c r="E316" s="14"/>
      <c r="F316" s="14"/>
      <c r="G316" s="14"/>
      <c r="H316" s="14"/>
      <c r="I316" s="14"/>
      <c r="J316" s="14"/>
      <c r="K316" s="14"/>
      <c r="L316" s="14"/>
    </row>
    <row r="317">
      <c r="A317" s="14"/>
      <c r="B317" s="14"/>
      <c r="C317" s="14"/>
      <c r="D317" s="14"/>
      <c r="E317" s="14"/>
      <c r="F317" s="14"/>
      <c r="G317" s="14"/>
      <c r="H317" s="14"/>
      <c r="I317" s="14"/>
      <c r="J317" s="14"/>
      <c r="K317" s="14"/>
      <c r="L317" s="14"/>
    </row>
    <row r="318">
      <c r="A318" s="14"/>
      <c r="B318" s="14"/>
      <c r="C318" s="14"/>
      <c r="D318" s="14"/>
      <c r="E318" s="14"/>
      <c r="F318" s="14"/>
      <c r="G318" s="14"/>
      <c r="H318" s="14"/>
      <c r="I318" s="14"/>
      <c r="J318" s="14"/>
      <c r="K318" s="14"/>
      <c r="L318" s="14"/>
    </row>
    <row r="319">
      <c r="A319" s="14"/>
      <c r="B319" s="14"/>
      <c r="C319" s="14"/>
      <c r="D319" s="14"/>
      <c r="E319" s="14"/>
      <c r="F319" s="14"/>
      <c r="G319" s="14"/>
      <c r="H319" s="14"/>
      <c r="I319" s="14"/>
      <c r="J319" s="14"/>
      <c r="K319" s="14"/>
      <c r="L319" s="14"/>
    </row>
    <row r="320">
      <c r="A320" s="14"/>
      <c r="B320" s="14"/>
      <c r="C320" s="14"/>
      <c r="D320" s="14"/>
      <c r="E320" s="14"/>
      <c r="F320" s="14"/>
      <c r="G320" s="14"/>
      <c r="H320" s="14"/>
      <c r="I320" s="14"/>
      <c r="J320" s="14"/>
      <c r="K320" s="14"/>
      <c r="L320" s="14"/>
    </row>
    <row r="321">
      <c r="A321" s="14"/>
      <c r="B321" s="14"/>
      <c r="C321" s="14"/>
      <c r="D321" s="14"/>
      <c r="E321" s="14"/>
      <c r="F321" s="14"/>
      <c r="G321" s="14"/>
      <c r="H321" s="14"/>
      <c r="I321" s="14"/>
      <c r="J321" s="14"/>
      <c r="K321" s="14"/>
      <c r="L321" s="14"/>
    </row>
    <row r="322">
      <c r="A322" s="14"/>
      <c r="B322" s="14"/>
      <c r="C322" s="14"/>
      <c r="D322" s="14"/>
      <c r="E322" s="14"/>
      <c r="F322" s="14"/>
      <c r="G322" s="14"/>
      <c r="H322" s="14"/>
      <c r="I322" s="14"/>
      <c r="J322" s="14"/>
      <c r="K322" s="14"/>
      <c r="L322" s="14"/>
    </row>
    <row r="323">
      <c r="A323" s="14"/>
      <c r="B323" s="14"/>
      <c r="C323" s="14"/>
      <c r="D323" s="14"/>
      <c r="E323" s="14"/>
      <c r="F323" s="14"/>
      <c r="G323" s="14"/>
      <c r="H323" s="14"/>
      <c r="I323" s="14"/>
      <c r="J323" s="14"/>
      <c r="K323" s="14"/>
      <c r="L323" s="14"/>
    </row>
    <row r="324">
      <c r="A324" s="14"/>
      <c r="B324" s="14"/>
      <c r="C324" s="14"/>
      <c r="D324" s="14"/>
      <c r="E324" s="14"/>
      <c r="F324" s="14"/>
      <c r="G324" s="14"/>
      <c r="H324" s="14"/>
      <c r="I324" s="14"/>
      <c r="J324" s="14"/>
      <c r="K324" s="14"/>
      <c r="L324" s="14"/>
    </row>
    <row r="325">
      <c r="A325" s="14"/>
      <c r="B325" s="14"/>
      <c r="C325" s="14"/>
      <c r="D325" s="14"/>
      <c r="E325" s="14"/>
      <c r="F325" s="14"/>
      <c r="G325" s="14"/>
      <c r="H325" s="14"/>
      <c r="I325" s="14"/>
      <c r="J325" s="14"/>
      <c r="K325" s="14"/>
      <c r="L325" s="14"/>
    </row>
    <row r="326">
      <c r="A326" s="14"/>
      <c r="B326" s="14"/>
      <c r="C326" s="14"/>
      <c r="D326" s="14"/>
      <c r="E326" s="14"/>
      <c r="F326" s="14"/>
      <c r="G326" s="14"/>
      <c r="H326" s="14"/>
      <c r="I326" s="14"/>
      <c r="J326" s="14"/>
      <c r="K326" s="14"/>
      <c r="L326" s="14"/>
    </row>
    <row r="327">
      <c r="A327" s="14"/>
      <c r="B327" s="14"/>
      <c r="C327" s="14"/>
      <c r="D327" s="14"/>
      <c r="E327" s="14"/>
      <c r="F327" s="14"/>
      <c r="G327" s="14"/>
      <c r="H327" s="14"/>
      <c r="I327" s="14"/>
      <c r="J327" s="14"/>
      <c r="K327" s="14"/>
      <c r="L327" s="14"/>
    </row>
    <row r="328">
      <c r="A328" s="14"/>
      <c r="B328" s="14"/>
      <c r="C328" s="14"/>
      <c r="D328" s="14"/>
      <c r="E328" s="14"/>
      <c r="F328" s="14"/>
      <c r="G328" s="14"/>
      <c r="H328" s="14"/>
      <c r="I328" s="14"/>
      <c r="J328" s="14"/>
      <c r="K328" s="14"/>
      <c r="L328" s="14"/>
    </row>
    <row r="329">
      <c r="A329" s="14"/>
      <c r="B329" s="14"/>
      <c r="C329" s="14"/>
      <c r="D329" s="14"/>
      <c r="E329" s="14"/>
      <c r="F329" s="14"/>
      <c r="G329" s="14"/>
      <c r="H329" s="14"/>
      <c r="I329" s="14"/>
      <c r="J329" s="14"/>
      <c r="K329" s="14"/>
      <c r="L329" s="14"/>
    </row>
    <row r="330">
      <c r="A330" s="14"/>
      <c r="B330" s="14"/>
      <c r="C330" s="14"/>
      <c r="D330" s="14"/>
      <c r="E330" s="14"/>
      <c r="F330" s="14"/>
      <c r="G330" s="14"/>
      <c r="H330" s="14"/>
      <c r="I330" s="14"/>
      <c r="J330" s="14"/>
      <c r="K330" s="14"/>
      <c r="L330" s="14"/>
    </row>
    <row r="331">
      <c r="A331" s="14"/>
      <c r="B331" s="14"/>
      <c r="C331" s="14"/>
      <c r="D331" s="14"/>
      <c r="E331" s="14"/>
      <c r="F331" s="14"/>
      <c r="G331" s="14"/>
      <c r="H331" s="14"/>
      <c r="I331" s="14"/>
      <c r="J331" s="14"/>
      <c r="K331" s="14"/>
      <c r="L331" s="14"/>
    </row>
    <row r="332">
      <c r="A332" s="14"/>
      <c r="B332" s="14"/>
      <c r="C332" s="14"/>
      <c r="D332" s="14"/>
      <c r="E332" s="14"/>
      <c r="F332" s="14"/>
      <c r="G332" s="14"/>
      <c r="H332" s="14"/>
      <c r="I332" s="14"/>
      <c r="J332" s="14"/>
      <c r="K332" s="14"/>
      <c r="L332" s="14"/>
    </row>
    <row r="333">
      <c r="A333" s="14"/>
      <c r="B333" s="14"/>
      <c r="C333" s="14"/>
      <c r="D333" s="14"/>
      <c r="E333" s="14"/>
      <c r="F333" s="14"/>
      <c r="G333" s="14"/>
      <c r="H333" s="14"/>
      <c r="I333" s="14"/>
      <c r="J333" s="14"/>
      <c r="K333" s="14"/>
      <c r="L333" s="14"/>
    </row>
    <row r="334">
      <c r="A334" s="14"/>
      <c r="B334" s="14"/>
      <c r="C334" s="14"/>
      <c r="D334" s="14"/>
      <c r="E334" s="14"/>
      <c r="F334" s="14"/>
      <c r="G334" s="14"/>
      <c r="H334" s="14"/>
      <c r="I334" s="14"/>
      <c r="J334" s="14"/>
      <c r="K334" s="14"/>
      <c r="L334" s="14"/>
    </row>
    <row r="335">
      <c r="A335" s="14"/>
      <c r="B335" s="14"/>
      <c r="C335" s="14"/>
      <c r="D335" s="14"/>
      <c r="E335" s="14"/>
      <c r="F335" s="14"/>
      <c r="G335" s="14"/>
      <c r="H335" s="14"/>
      <c r="I335" s="14"/>
      <c r="J335" s="14"/>
      <c r="K335" s="14"/>
      <c r="L335" s="14"/>
    </row>
    <row r="336">
      <c r="A336" s="14"/>
      <c r="B336" s="14"/>
      <c r="C336" s="14"/>
      <c r="D336" s="14"/>
      <c r="E336" s="14"/>
      <c r="F336" s="14"/>
      <c r="G336" s="14"/>
      <c r="H336" s="14"/>
      <c r="I336" s="14"/>
      <c r="J336" s="14"/>
      <c r="K336" s="14"/>
      <c r="L336" s="14"/>
    </row>
    <row r="337">
      <c r="A337" s="14"/>
      <c r="B337" s="14"/>
      <c r="C337" s="14"/>
      <c r="D337" s="14"/>
      <c r="E337" s="14"/>
      <c r="F337" s="14"/>
      <c r="G337" s="14"/>
      <c r="H337" s="14"/>
      <c r="I337" s="14"/>
      <c r="J337" s="14"/>
      <c r="K337" s="14"/>
      <c r="L337" s="14"/>
    </row>
    <row r="338">
      <c r="A338" s="14"/>
      <c r="B338" s="14"/>
      <c r="C338" s="14"/>
      <c r="D338" s="14"/>
      <c r="E338" s="14"/>
      <c r="F338" s="14"/>
      <c r="G338" s="14"/>
      <c r="H338" s="14"/>
      <c r="I338" s="14"/>
      <c r="J338" s="14"/>
      <c r="K338" s="14"/>
      <c r="L338" s="14"/>
    </row>
    <row r="339">
      <c r="A339" s="14"/>
      <c r="B339" s="14"/>
      <c r="C339" s="14"/>
      <c r="D339" s="14"/>
      <c r="E339" s="14"/>
      <c r="F339" s="14"/>
      <c r="G339" s="14"/>
      <c r="H339" s="14"/>
      <c r="I339" s="14"/>
      <c r="J339" s="14"/>
      <c r="K339" s="14"/>
      <c r="L339" s="14"/>
    </row>
    <row r="340">
      <c r="A340" s="14"/>
      <c r="B340" s="14"/>
      <c r="C340" s="14"/>
      <c r="D340" s="14"/>
      <c r="E340" s="14"/>
      <c r="F340" s="14"/>
      <c r="G340" s="14"/>
      <c r="H340" s="14"/>
      <c r="I340" s="14"/>
      <c r="J340" s="14"/>
      <c r="K340" s="14"/>
      <c r="L340" s="14"/>
    </row>
    <row r="341">
      <c r="A341" s="14"/>
      <c r="B341" s="14"/>
      <c r="C341" s="14"/>
      <c r="D341" s="14"/>
      <c r="E341" s="14"/>
      <c r="F341" s="14"/>
      <c r="G341" s="14"/>
      <c r="H341" s="14"/>
      <c r="I341" s="14"/>
      <c r="J341" s="14"/>
      <c r="K341" s="14"/>
      <c r="L341" s="14"/>
    </row>
    <row r="342">
      <c r="A342" s="14"/>
      <c r="B342" s="14"/>
      <c r="C342" s="14"/>
      <c r="D342" s="14"/>
      <c r="E342" s="14"/>
      <c r="F342" s="14"/>
      <c r="G342" s="14"/>
      <c r="H342" s="14"/>
      <c r="I342" s="14"/>
      <c r="J342" s="14"/>
      <c r="K342" s="14"/>
      <c r="L342" s="14"/>
    </row>
    <row r="343">
      <c r="A343" s="14"/>
      <c r="B343" s="14"/>
      <c r="C343" s="14"/>
      <c r="D343" s="14"/>
      <c r="E343" s="14"/>
      <c r="F343" s="14"/>
      <c r="G343" s="14"/>
      <c r="H343" s="14"/>
      <c r="I343" s="14"/>
      <c r="J343" s="14"/>
      <c r="K343" s="14"/>
      <c r="L343" s="14"/>
    </row>
    <row r="344">
      <c r="A344" s="14"/>
      <c r="B344" s="14"/>
      <c r="C344" s="14"/>
      <c r="D344" s="14"/>
      <c r="E344" s="14"/>
      <c r="F344" s="14"/>
      <c r="G344" s="14"/>
      <c r="H344" s="14"/>
      <c r="I344" s="14"/>
      <c r="J344" s="14"/>
      <c r="K344" s="14"/>
      <c r="L344" s="14"/>
    </row>
    <row r="345">
      <c r="A345" s="14"/>
      <c r="B345" s="14"/>
      <c r="C345" s="14"/>
      <c r="D345" s="14"/>
      <c r="E345" s="14"/>
      <c r="F345" s="14"/>
      <c r="G345" s="14"/>
      <c r="H345" s="14"/>
      <c r="I345" s="14"/>
      <c r="J345" s="14"/>
      <c r="K345" s="14"/>
      <c r="L345" s="14"/>
    </row>
    <row r="346">
      <c r="A346" s="14"/>
      <c r="B346" s="14"/>
      <c r="C346" s="14"/>
      <c r="D346" s="14"/>
      <c r="E346" s="14"/>
      <c r="F346" s="14"/>
      <c r="G346" s="14"/>
      <c r="H346" s="14"/>
      <c r="I346" s="14"/>
      <c r="J346" s="14"/>
      <c r="K346" s="14"/>
      <c r="L346" s="14"/>
    </row>
    <row r="347">
      <c r="A347" s="14"/>
      <c r="B347" s="14"/>
      <c r="C347" s="14"/>
      <c r="D347" s="14"/>
      <c r="E347" s="14"/>
      <c r="F347" s="14"/>
      <c r="G347" s="14"/>
      <c r="H347" s="14"/>
      <c r="I347" s="14"/>
      <c r="J347" s="14"/>
      <c r="K347" s="14"/>
      <c r="L347" s="14"/>
    </row>
    <row r="348">
      <c r="A348" s="14"/>
      <c r="B348" s="14"/>
      <c r="C348" s="14"/>
      <c r="D348" s="14"/>
      <c r="E348" s="14"/>
      <c r="F348" s="14"/>
      <c r="G348" s="14"/>
      <c r="H348" s="14"/>
      <c r="I348" s="14"/>
      <c r="J348" s="14"/>
      <c r="K348" s="14"/>
      <c r="L348" s="14"/>
    </row>
    <row r="349">
      <c r="A349" s="14"/>
      <c r="B349" s="14"/>
      <c r="C349" s="14"/>
      <c r="D349" s="14"/>
      <c r="E349" s="14"/>
      <c r="F349" s="14"/>
      <c r="G349" s="14"/>
      <c r="H349" s="14"/>
      <c r="I349" s="14"/>
      <c r="J349" s="14"/>
      <c r="K349" s="14"/>
      <c r="L349" s="14"/>
    </row>
    <row r="350">
      <c r="A350" s="14"/>
      <c r="B350" s="14"/>
      <c r="C350" s="14"/>
      <c r="D350" s="14"/>
      <c r="E350" s="14"/>
      <c r="F350" s="14"/>
      <c r="G350" s="14"/>
      <c r="H350" s="14"/>
      <c r="I350" s="14"/>
      <c r="J350" s="14"/>
      <c r="K350" s="14"/>
      <c r="L350" s="14"/>
    </row>
    <row r="351">
      <c r="A351" s="14"/>
      <c r="B351" s="14"/>
      <c r="C351" s="14"/>
      <c r="D351" s="14"/>
      <c r="E351" s="14"/>
      <c r="F351" s="14"/>
      <c r="G351" s="14"/>
      <c r="H351" s="14"/>
      <c r="I351" s="14"/>
      <c r="J351" s="14"/>
      <c r="K351" s="14"/>
      <c r="L351" s="14"/>
    </row>
    <row r="352">
      <c r="A352" s="14"/>
      <c r="B352" s="14"/>
      <c r="C352" s="14"/>
      <c r="D352" s="14"/>
      <c r="E352" s="14"/>
      <c r="F352" s="14"/>
      <c r="G352" s="14"/>
      <c r="H352" s="14"/>
      <c r="I352" s="14"/>
      <c r="J352" s="14"/>
      <c r="K352" s="14"/>
      <c r="L352" s="14"/>
    </row>
    <row r="353">
      <c r="A353" s="14"/>
      <c r="B353" s="14"/>
      <c r="C353" s="14"/>
      <c r="D353" s="14"/>
      <c r="E353" s="14"/>
      <c r="F353" s="14"/>
      <c r="G353" s="14"/>
      <c r="H353" s="14"/>
      <c r="I353" s="14"/>
      <c r="J353" s="14"/>
      <c r="K353" s="14"/>
      <c r="L353" s="14"/>
    </row>
    <row r="354">
      <c r="A354" s="14"/>
      <c r="B354" s="14"/>
      <c r="C354" s="14"/>
      <c r="D354" s="14"/>
      <c r="E354" s="14"/>
      <c r="F354" s="14"/>
      <c r="G354" s="14"/>
      <c r="H354" s="14"/>
      <c r="I354" s="14"/>
      <c r="J354" s="14"/>
      <c r="K354" s="14"/>
      <c r="L354" s="14"/>
    </row>
    <row r="355">
      <c r="A355" s="14"/>
      <c r="B355" s="14"/>
      <c r="C355" s="14"/>
      <c r="D355" s="14"/>
      <c r="E355" s="14"/>
      <c r="F355" s="14"/>
      <c r="G355" s="14"/>
      <c r="H355" s="14"/>
      <c r="I355" s="14"/>
      <c r="J355" s="14"/>
      <c r="K355" s="14"/>
      <c r="L355" s="14"/>
    </row>
    <row r="356">
      <c r="A356" s="14"/>
      <c r="B356" s="14"/>
      <c r="C356" s="14"/>
      <c r="D356" s="14"/>
      <c r="E356" s="14"/>
      <c r="F356" s="14"/>
      <c r="G356" s="14"/>
      <c r="H356" s="14"/>
      <c r="I356" s="14"/>
      <c r="J356" s="14"/>
      <c r="K356" s="14"/>
      <c r="L356" s="14"/>
    </row>
    <row r="357">
      <c r="A357" s="14"/>
      <c r="B357" s="14"/>
      <c r="C357" s="14"/>
      <c r="D357" s="14"/>
      <c r="E357" s="14"/>
      <c r="F357" s="14"/>
      <c r="G357" s="14"/>
      <c r="H357" s="14"/>
      <c r="I357" s="14"/>
      <c r="J357" s="14"/>
      <c r="K357" s="14"/>
      <c r="L357" s="14"/>
    </row>
    <row r="358">
      <c r="A358" s="14"/>
      <c r="B358" s="14"/>
      <c r="C358" s="14"/>
      <c r="D358" s="14"/>
      <c r="E358" s="14"/>
      <c r="F358" s="14"/>
      <c r="G358" s="14"/>
      <c r="H358" s="14"/>
      <c r="I358" s="14"/>
      <c r="J358" s="14"/>
      <c r="K358" s="14"/>
      <c r="L358" s="14"/>
    </row>
    <row r="359">
      <c r="A359" s="14"/>
      <c r="B359" s="14"/>
      <c r="C359" s="14"/>
      <c r="D359" s="14"/>
      <c r="E359" s="14"/>
      <c r="F359" s="14"/>
      <c r="G359" s="14"/>
      <c r="H359" s="14"/>
      <c r="I359" s="14"/>
      <c r="J359" s="14"/>
      <c r="K359" s="14"/>
      <c r="L359" s="14"/>
    </row>
    <row r="360">
      <c r="A360" s="14"/>
      <c r="B360" s="14"/>
      <c r="C360" s="14"/>
      <c r="D360" s="14"/>
      <c r="E360" s="14"/>
      <c r="F360" s="14"/>
      <c r="G360" s="14"/>
      <c r="H360" s="14"/>
      <c r="I360" s="14"/>
      <c r="J360" s="14"/>
      <c r="K360" s="14"/>
      <c r="L360" s="14"/>
    </row>
    <row r="361">
      <c r="A361" s="14"/>
      <c r="B361" s="14"/>
      <c r="C361" s="14"/>
      <c r="D361" s="14"/>
      <c r="E361" s="14"/>
      <c r="F361" s="14"/>
      <c r="G361" s="14"/>
      <c r="H361" s="14"/>
      <c r="I361" s="14"/>
      <c r="J361" s="14"/>
      <c r="K361" s="14"/>
      <c r="L361" s="14"/>
    </row>
    <row r="362">
      <c r="A362" s="14"/>
      <c r="B362" s="14"/>
      <c r="C362" s="14"/>
      <c r="D362" s="14"/>
      <c r="E362" s="14"/>
      <c r="F362" s="14"/>
      <c r="G362" s="14"/>
      <c r="H362" s="14"/>
      <c r="I362" s="14"/>
      <c r="J362" s="14"/>
      <c r="K362" s="14"/>
      <c r="L362" s="14"/>
    </row>
    <row r="363">
      <c r="A363" s="14"/>
      <c r="B363" s="14"/>
      <c r="C363" s="14"/>
      <c r="D363" s="14"/>
      <c r="E363" s="14"/>
      <c r="F363" s="14"/>
      <c r="G363" s="14"/>
      <c r="H363" s="14"/>
      <c r="I363" s="14"/>
      <c r="J363" s="14"/>
      <c r="K363" s="14"/>
      <c r="L363" s="14"/>
    </row>
    <row r="364">
      <c r="A364" s="14"/>
      <c r="B364" s="14"/>
      <c r="C364" s="14"/>
      <c r="D364" s="14"/>
      <c r="E364" s="14"/>
      <c r="F364" s="14"/>
      <c r="G364" s="14"/>
      <c r="H364" s="14"/>
      <c r="I364" s="14"/>
      <c r="J364" s="14"/>
      <c r="K364" s="14"/>
      <c r="L364" s="14"/>
    </row>
    <row r="365">
      <c r="A365" s="14"/>
      <c r="B365" s="14"/>
      <c r="C365" s="14"/>
      <c r="D365" s="14"/>
      <c r="E365" s="14"/>
      <c r="F365" s="14"/>
      <c r="G365" s="14"/>
      <c r="H365" s="14"/>
      <c r="I365" s="14"/>
      <c r="J365" s="14"/>
      <c r="K365" s="14"/>
      <c r="L365" s="14"/>
    </row>
    <row r="366">
      <c r="A366" s="14"/>
      <c r="B366" s="14"/>
      <c r="C366" s="14"/>
      <c r="D366" s="14"/>
      <c r="E366" s="14"/>
      <c r="F366" s="14"/>
      <c r="G366" s="14"/>
      <c r="H366" s="14"/>
      <c r="I366" s="14"/>
      <c r="J366" s="14"/>
      <c r="K366" s="14"/>
      <c r="L366" s="14"/>
    </row>
    <row r="367">
      <c r="A367" s="14"/>
      <c r="B367" s="14"/>
      <c r="C367" s="14"/>
      <c r="D367" s="14"/>
      <c r="E367" s="14"/>
      <c r="F367" s="14"/>
      <c r="G367" s="14"/>
      <c r="H367" s="14"/>
      <c r="I367" s="14"/>
      <c r="J367" s="14"/>
      <c r="K367" s="14"/>
      <c r="L367" s="14"/>
    </row>
    <row r="368">
      <c r="A368" s="14"/>
      <c r="B368" s="14"/>
      <c r="C368" s="14"/>
      <c r="D368" s="14"/>
      <c r="E368" s="14"/>
      <c r="F368" s="14"/>
      <c r="G368" s="14"/>
      <c r="H368" s="14"/>
      <c r="I368" s="14"/>
      <c r="J368" s="14"/>
      <c r="K368" s="14"/>
      <c r="L368" s="14"/>
    </row>
    <row r="369">
      <c r="A369" s="14"/>
      <c r="B369" s="14"/>
      <c r="C369" s="14"/>
      <c r="D369" s="14"/>
      <c r="E369" s="14"/>
      <c r="F369" s="14"/>
      <c r="G369" s="14"/>
      <c r="H369" s="14"/>
      <c r="I369" s="14"/>
      <c r="J369" s="14"/>
      <c r="K369" s="14"/>
      <c r="L369" s="14"/>
    </row>
    <row r="370">
      <c r="A370" s="14"/>
      <c r="B370" s="14"/>
      <c r="C370" s="14"/>
      <c r="D370" s="14"/>
      <c r="E370" s="14"/>
      <c r="F370" s="14"/>
      <c r="G370" s="14"/>
      <c r="H370" s="14"/>
      <c r="I370" s="14"/>
      <c r="J370" s="14"/>
      <c r="K370" s="14"/>
      <c r="L370" s="14"/>
    </row>
    <row r="371">
      <c r="A371" s="14"/>
      <c r="B371" s="14"/>
      <c r="C371" s="14"/>
      <c r="D371" s="14"/>
      <c r="E371" s="14"/>
      <c r="F371" s="14"/>
      <c r="G371" s="14"/>
      <c r="H371" s="14"/>
      <c r="I371" s="14"/>
      <c r="J371" s="14"/>
      <c r="K371" s="14"/>
      <c r="L371" s="14"/>
    </row>
    <row r="372">
      <c r="A372" s="14"/>
      <c r="B372" s="14"/>
      <c r="C372" s="14"/>
      <c r="D372" s="14"/>
      <c r="E372" s="14"/>
      <c r="F372" s="14"/>
      <c r="G372" s="14"/>
      <c r="H372" s="14"/>
      <c r="I372" s="14"/>
      <c r="J372" s="14"/>
      <c r="K372" s="14"/>
      <c r="L372" s="14"/>
    </row>
    <row r="373">
      <c r="A373" s="14"/>
      <c r="B373" s="14"/>
      <c r="C373" s="14"/>
      <c r="D373" s="14"/>
      <c r="E373" s="14"/>
      <c r="F373" s="14"/>
      <c r="G373" s="14"/>
      <c r="H373" s="14"/>
      <c r="I373" s="14"/>
      <c r="J373" s="14"/>
      <c r="K373" s="14"/>
      <c r="L373" s="14"/>
    </row>
    <row r="374">
      <c r="A374" s="14"/>
      <c r="B374" s="14"/>
      <c r="C374" s="14"/>
      <c r="D374" s="14"/>
      <c r="E374" s="14"/>
      <c r="F374" s="14"/>
      <c r="G374" s="14"/>
      <c r="H374" s="14"/>
      <c r="I374" s="14"/>
      <c r="J374" s="14"/>
      <c r="K374" s="14"/>
      <c r="L374" s="14"/>
    </row>
    <row r="375">
      <c r="A375" s="14"/>
      <c r="B375" s="14"/>
      <c r="C375" s="14"/>
      <c r="D375" s="14"/>
      <c r="E375" s="14"/>
      <c r="F375" s="14"/>
      <c r="G375" s="14"/>
      <c r="H375" s="14"/>
      <c r="I375" s="14"/>
      <c r="J375" s="14"/>
      <c r="K375" s="14"/>
      <c r="L375" s="14"/>
    </row>
    <row r="376">
      <c r="A376" s="14"/>
      <c r="B376" s="14"/>
      <c r="C376" s="14"/>
      <c r="D376" s="14"/>
      <c r="E376" s="14"/>
      <c r="F376" s="14"/>
      <c r="G376" s="14"/>
      <c r="H376" s="14"/>
      <c r="I376" s="14"/>
      <c r="J376" s="14"/>
      <c r="K376" s="14"/>
      <c r="L376" s="14"/>
    </row>
    <row r="377">
      <c r="A377" s="14"/>
      <c r="B377" s="14"/>
      <c r="C377" s="14"/>
      <c r="D377" s="14"/>
      <c r="E377" s="14"/>
      <c r="F377" s="14"/>
      <c r="G377" s="14"/>
      <c r="H377" s="14"/>
      <c r="I377" s="14"/>
      <c r="J377" s="14"/>
      <c r="K377" s="14"/>
      <c r="L377" s="14"/>
    </row>
    <row r="378">
      <c r="A378" s="14"/>
      <c r="B378" s="14"/>
      <c r="C378" s="14"/>
      <c r="D378" s="14"/>
      <c r="E378" s="14"/>
      <c r="F378" s="14"/>
      <c r="G378" s="14"/>
      <c r="H378" s="14"/>
      <c r="I378" s="14"/>
      <c r="J378" s="14"/>
      <c r="K378" s="14"/>
      <c r="L378" s="14"/>
    </row>
    <row r="379">
      <c r="A379" s="14"/>
      <c r="B379" s="14"/>
      <c r="C379" s="14"/>
      <c r="D379" s="14"/>
      <c r="E379" s="14"/>
      <c r="F379" s="14"/>
      <c r="G379" s="14"/>
      <c r="H379" s="14"/>
      <c r="I379" s="14"/>
      <c r="J379" s="14"/>
      <c r="K379" s="14"/>
      <c r="L379" s="14"/>
    </row>
    <row r="380">
      <c r="A380" s="14"/>
      <c r="B380" s="14"/>
      <c r="C380" s="14"/>
      <c r="D380" s="14"/>
      <c r="E380" s="14"/>
      <c r="F380" s="14"/>
      <c r="G380" s="14"/>
      <c r="H380" s="14"/>
      <c r="I380" s="14"/>
      <c r="J380" s="14"/>
      <c r="K380" s="14"/>
      <c r="L380" s="14"/>
    </row>
    <row r="381">
      <c r="A381" s="14"/>
      <c r="B381" s="14"/>
      <c r="C381" s="14"/>
      <c r="D381" s="14"/>
      <c r="E381" s="14"/>
      <c r="F381" s="14"/>
      <c r="G381" s="14"/>
      <c r="H381" s="14"/>
      <c r="I381" s="14"/>
      <c r="J381" s="14"/>
      <c r="K381" s="14"/>
      <c r="L381" s="14"/>
    </row>
    <row r="382">
      <c r="A382" s="14"/>
      <c r="B382" s="14"/>
      <c r="C382" s="14"/>
      <c r="D382" s="14"/>
      <c r="E382" s="14"/>
      <c r="F382" s="14"/>
      <c r="G382" s="14"/>
      <c r="H382" s="14"/>
      <c r="I382" s="14"/>
      <c r="J382" s="14"/>
      <c r="K382" s="14"/>
      <c r="L382" s="14"/>
    </row>
    <row r="383">
      <c r="A383" s="14"/>
      <c r="B383" s="14"/>
      <c r="C383" s="14"/>
      <c r="D383" s="14"/>
      <c r="E383" s="14"/>
      <c r="F383" s="14"/>
      <c r="G383" s="14"/>
      <c r="H383" s="14"/>
      <c r="I383" s="14"/>
      <c r="J383" s="14"/>
      <c r="K383" s="14"/>
      <c r="L383" s="14"/>
    </row>
    <row r="384">
      <c r="A384" s="14"/>
      <c r="B384" s="14"/>
      <c r="C384" s="14"/>
      <c r="D384" s="14"/>
      <c r="E384" s="14"/>
      <c r="F384" s="14"/>
      <c r="G384" s="14"/>
      <c r="H384" s="14"/>
      <c r="I384" s="14"/>
      <c r="J384" s="14"/>
      <c r="K384" s="14"/>
      <c r="L384" s="14"/>
    </row>
    <row r="385">
      <c r="A385" s="14"/>
      <c r="B385" s="14"/>
      <c r="C385" s="14"/>
      <c r="D385" s="14"/>
      <c r="E385" s="14"/>
      <c r="F385" s="14"/>
      <c r="G385" s="14"/>
      <c r="H385" s="14"/>
      <c r="I385" s="14"/>
      <c r="J385" s="14"/>
      <c r="K385" s="14"/>
      <c r="L385" s="14"/>
    </row>
    <row r="386">
      <c r="A386" s="14"/>
      <c r="B386" s="14"/>
      <c r="C386" s="14"/>
      <c r="D386" s="14"/>
      <c r="E386" s="14"/>
      <c r="F386" s="14"/>
      <c r="G386" s="14"/>
      <c r="H386" s="14"/>
      <c r="I386" s="14"/>
      <c r="J386" s="14"/>
      <c r="K386" s="14"/>
      <c r="L386" s="14"/>
    </row>
    <row r="387">
      <c r="A387" s="14"/>
      <c r="B387" s="14"/>
      <c r="C387" s="14"/>
      <c r="D387" s="14"/>
      <c r="E387" s="14"/>
      <c r="F387" s="14"/>
      <c r="G387" s="14"/>
      <c r="H387" s="14"/>
      <c r="I387" s="14"/>
      <c r="J387" s="14"/>
      <c r="K387" s="14"/>
      <c r="L387" s="14"/>
    </row>
    <row r="388">
      <c r="A388" s="14"/>
      <c r="B388" s="14"/>
      <c r="C388" s="14"/>
      <c r="D388" s="14"/>
      <c r="E388" s="14"/>
      <c r="F388" s="14"/>
      <c r="G388" s="14"/>
      <c r="H388" s="14"/>
      <c r="I388" s="14"/>
      <c r="J388" s="14"/>
      <c r="K388" s="14"/>
      <c r="L388" s="14"/>
    </row>
    <row r="389">
      <c r="A389" s="14"/>
      <c r="B389" s="14"/>
      <c r="C389" s="14"/>
      <c r="D389" s="14"/>
      <c r="E389" s="14"/>
      <c r="F389" s="14"/>
      <c r="G389" s="14"/>
      <c r="H389" s="14"/>
      <c r="I389" s="14"/>
      <c r="J389" s="14"/>
      <c r="K389" s="14"/>
      <c r="L389" s="14"/>
    </row>
    <row r="390">
      <c r="A390" s="14"/>
      <c r="B390" s="14"/>
      <c r="C390" s="14"/>
      <c r="D390" s="14"/>
      <c r="E390" s="14"/>
      <c r="F390" s="14"/>
      <c r="G390" s="14"/>
      <c r="H390" s="14"/>
      <c r="I390" s="14"/>
      <c r="J390" s="14"/>
      <c r="K390" s="14"/>
      <c r="L390" s="14"/>
    </row>
    <row r="391">
      <c r="A391" s="14"/>
      <c r="B391" s="14"/>
      <c r="C391" s="14"/>
      <c r="D391" s="14"/>
      <c r="E391" s="14"/>
      <c r="F391" s="14"/>
      <c r="G391" s="14"/>
      <c r="H391" s="14"/>
      <c r="I391" s="14"/>
      <c r="J391" s="14"/>
      <c r="K391" s="14"/>
      <c r="L391" s="14"/>
    </row>
    <row r="392">
      <c r="A392" s="14"/>
      <c r="B392" s="14"/>
      <c r="C392" s="14"/>
      <c r="D392" s="14"/>
      <c r="E392" s="14"/>
      <c r="F392" s="14"/>
      <c r="G392" s="14"/>
      <c r="H392" s="14"/>
      <c r="I392" s="14"/>
      <c r="J392" s="14"/>
      <c r="K392" s="14"/>
      <c r="L392" s="14"/>
    </row>
    <row r="393">
      <c r="A393" s="14"/>
      <c r="B393" s="14"/>
      <c r="C393" s="14"/>
      <c r="D393" s="14"/>
      <c r="E393" s="14"/>
      <c r="F393" s="14"/>
      <c r="G393" s="14"/>
      <c r="H393" s="14"/>
      <c r="I393" s="14"/>
      <c r="J393" s="14"/>
      <c r="K393" s="14"/>
      <c r="L393" s="14"/>
    </row>
    <row r="394">
      <c r="A394" s="14"/>
      <c r="B394" s="14"/>
      <c r="C394" s="14"/>
      <c r="D394" s="14"/>
      <c r="E394" s="14"/>
      <c r="F394" s="14"/>
      <c r="G394" s="14"/>
      <c r="H394" s="14"/>
      <c r="I394" s="14"/>
      <c r="J394" s="14"/>
      <c r="K394" s="14"/>
      <c r="L394" s="14"/>
    </row>
    <row r="395">
      <c r="A395" s="14"/>
      <c r="B395" s="14"/>
      <c r="C395" s="14"/>
      <c r="D395" s="14"/>
      <c r="E395" s="14"/>
      <c r="F395" s="14"/>
      <c r="G395" s="14"/>
      <c r="H395" s="14"/>
      <c r="I395" s="14"/>
      <c r="J395" s="14"/>
      <c r="K395" s="14"/>
      <c r="L395" s="14"/>
    </row>
    <row r="396">
      <c r="A396" s="14"/>
      <c r="B396" s="14"/>
      <c r="C396" s="14"/>
      <c r="D396" s="14"/>
      <c r="E396" s="14"/>
      <c r="F396" s="14"/>
      <c r="G396" s="14"/>
      <c r="H396" s="14"/>
      <c r="I396" s="14"/>
      <c r="J396" s="14"/>
      <c r="K396" s="14"/>
      <c r="L396" s="14"/>
    </row>
    <row r="397">
      <c r="A397" s="14"/>
      <c r="B397" s="14"/>
      <c r="C397" s="14"/>
      <c r="D397" s="14"/>
      <c r="E397" s="14"/>
      <c r="F397" s="14"/>
      <c r="G397" s="14"/>
      <c r="H397" s="14"/>
      <c r="I397" s="14"/>
      <c r="J397" s="14"/>
      <c r="K397" s="14"/>
      <c r="L397" s="14"/>
    </row>
    <row r="398">
      <c r="A398" s="14"/>
      <c r="B398" s="14"/>
      <c r="C398" s="14"/>
      <c r="D398" s="14"/>
      <c r="E398" s="14"/>
      <c r="F398" s="14"/>
      <c r="G398" s="14"/>
      <c r="H398" s="14"/>
      <c r="I398" s="14"/>
      <c r="J398" s="14"/>
      <c r="K398" s="14"/>
      <c r="L398" s="14"/>
    </row>
    <row r="399">
      <c r="A399" s="14"/>
      <c r="B399" s="14"/>
      <c r="C399" s="14"/>
      <c r="D399" s="14"/>
      <c r="E399" s="14"/>
      <c r="F399" s="14"/>
      <c r="G399" s="14"/>
      <c r="H399" s="14"/>
      <c r="I399" s="14"/>
      <c r="J399" s="14"/>
      <c r="K399" s="14"/>
      <c r="L399" s="14"/>
    </row>
    <row r="400">
      <c r="A400" s="14"/>
      <c r="B400" s="14"/>
      <c r="C400" s="14"/>
      <c r="D400" s="14"/>
      <c r="E400" s="14"/>
      <c r="F400" s="14"/>
      <c r="G400" s="14"/>
      <c r="H400" s="14"/>
      <c r="I400" s="14"/>
      <c r="J400" s="14"/>
      <c r="K400" s="14"/>
      <c r="L400" s="14"/>
    </row>
    <row r="401">
      <c r="A401" s="14"/>
      <c r="B401" s="14"/>
      <c r="C401" s="14"/>
      <c r="D401" s="14"/>
      <c r="E401" s="14"/>
      <c r="F401" s="14"/>
      <c r="G401" s="14"/>
      <c r="H401" s="14"/>
      <c r="I401" s="14"/>
      <c r="J401" s="14"/>
      <c r="K401" s="14"/>
      <c r="L401" s="14"/>
    </row>
    <row r="402">
      <c r="A402" s="14"/>
      <c r="B402" s="14"/>
      <c r="C402" s="14"/>
      <c r="D402" s="14"/>
      <c r="E402" s="14"/>
      <c r="F402" s="14"/>
      <c r="G402" s="14"/>
      <c r="H402" s="14"/>
      <c r="I402" s="14"/>
      <c r="J402" s="14"/>
      <c r="K402" s="14"/>
      <c r="L402" s="14"/>
    </row>
    <row r="403">
      <c r="A403" s="14"/>
      <c r="B403" s="14"/>
      <c r="C403" s="14"/>
      <c r="D403" s="14"/>
      <c r="E403" s="14"/>
      <c r="F403" s="14"/>
      <c r="G403" s="14"/>
      <c r="H403" s="14"/>
      <c r="I403" s="14"/>
      <c r="J403" s="14"/>
      <c r="K403" s="14"/>
      <c r="L403" s="14"/>
    </row>
    <row r="404">
      <c r="A404" s="14"/>
      <c r="B404" s="14"/>
      <c r="C404" s="14"/>
      <c r="D404" s="14"/>
      <c r="E404" s="14"/>
      <c r="F404" s="14"/>
      <c r="G404" s="14"/>
      <c r="H404" s="14"/>
      <c r="I404" s="14"/>
      <c r="J404" s="14"/>
      <c r="K404" s="14"/>
      <c r="L404" s="14"/>
    </row>
    <row r="405">
      <c r="A405" s="14"/>
      <c r="B405" s="14"/>
      <c r="C405" s="14"/>
      <c r="D405" s="14"/>
      <c r="E405" s="14"/>
      <c r="F405" s="14"/>
      <c r="G405" s="14"/>
      <c r="H405" s="14"/>
      <c r="I405" s="14"/>
      <c r="J405" s="14"/>
      <c r="K405" s="14"/>
      <c r="L405" s="14"/>
    </row>
    <row r="406">
      <c r="A406" s="14"/>
      <c r="B406" s="14"/>
      <c r="C406" s="14"/>
      <c r="D406" s="14"/>
      <c r="E406" s="14"/>
      <c r="F406" s="14"/>
      <c r="G406" s="14"/>
      <c r="H406" s="14"/>
      <c r="I406" s="14"/>
      <c r="J406" s="14"/>
      <c r="K406" s="14"/>
      <c r="L406" s="14"/>
    </row>
    <row r="407">
      <c r="A407" s="14"/>
      <c r="B407" s="14"/>
      <c r="C407" s="14"/>
      <c r="D407" s="14"/>
      <c r="E407" s="14"/>
      <c r="F407" s="14"/>
      <c r="G407" s="14"/>
      <c r="H407" s="14"/>
      <c r="I407" s="14"/>
      <c r="J407" s="14"/>
      <c r="K407" s="14"/>
      <c r="L407" s="14"/>
    </row>
    <row r="408">
      <c r="A408" s="14"/>
      <c r="B408" s="14"/>
      <c r="C408" s="14"/>
      <c r="D408" s="14"/>
      <c r="E408" s="14"/>
      <c r="F408" s="14"/>
      <c r="G408" s="14"/>
      <c r="H408" s="14"/>
      <c r="I408" s="14"/>
      <c r="J408" s="14"/>
      <c r="K408" s="14"/>
      <c r="L408" s="14"/>
    </row>
    <row r="409">
      <c r="A409" s="14"/>
      <c r="B409" s="14"/>
      <c r="C409" s="14"/>
      <c r="D409" s="14"/>
      <c r="E409" s="14"/>
      <c r="F409" s="14"/>
      <c r="G409" s="14"/>
      <c r="H409" s="14"/>
      <c r="I409" s="14"/>
      <c r="J409" s="14"/>
      <c r="K409" s="14"/>
      <c r="L409" s="14"/>
    </row>
    <row r="410">
      <c r="A410" s="14"/>
      <c r="B410" s="14"/>
      <c r="C410" s="14"/>
      <c r="D410" s="14"/>
      <c r="E410" s="14"/>
      <c r="F410" s="14"/>
      <c r="G410" s="14"/>
      <c r="H410" s="14"/>
      <c r="I410" s="14"/>
      <c r="J410" s="14"/>
      <c r="K410" s="14"/>
      <c r="L410" s="14"/>
    </row>
    <row r="411">
      <c r="A411" s="14"/>
      <c r="B411" s="14"/>
      <c r="C411" s="14"/>
      <c r="D411" s="14"/>
      <c r="E411" s="14"/>
      <c r="F411" s="14"/>
      <c r="G411" s="14"/>
      <c r="H411" s="14"/>
      <c r="I411" s="14"/>
      <c r="J411" s="14"/>
      <c r="K411" s="14"/>
      <c r="L411" s="14"/>
    </row>
    <row r="412">
      <c r="A412" s="14"/>
      <c r="B412" s="14"/>
      <c r="C412" s="14"/>
      <c r="D412" s="14"/>
      <c r="E412" s="14"/>
      <c r="F412" s="14"/>
      <c r="G412" s="14"/>
      <c r="H412" s="14"/>
      <c r="I412" s="14"/>
      <c r="J412" s="14"/>
      <c r="K412" s="14"/>
      <c r="L412" s="14"/>
    </row>
    <row r="413">
      <c r="A413" s="14"/>
      <c r="B413" s="14"/>
      <c r="C413" s="14"/>
      <c r="D413" s="14"/>
      <c r="E413" s="14"/>
      <c r="F413" s="14"/>
      <c r="G413" s="14"/>
      <c r="H413" s="14"/>
      <c r="I413" s="14"/>
      <c r="J413" s="14"/>
      <c r="K413" s="14"/>
      <c r="L413" s="14"/>
    </row>
    <row r="414">
      <c r="A414" s="14"/>
      <c r="B414" s="14"/>
      <c r="C414" s="14"/>
      <c r="D414" s="14"/>
      <c r="E414" s="14"/>
      <c r="F414" s="14"/>
      <c r="G414" s="14"/>
      <c r="H414" s="14"/>
      <c r="I414" s="14"/>
      <c r="J414" s="14"/>
      <c r="K414" s="14"/>
      <c r="L414" s="14"/>
    </row>
    <row r="415">
      <c r="A415" s="14"/>
      <c r="B415" s="14"/>
      <c r="C415" s="14"/>
      <c r="D415" s="14"/>
      <c r="E415" s="14"/>
      <c r="F415" s="14"/>
      <c r="G415" s="14"/>
      <c r="H415" s="14"/>
      <c r="I415" s="14"/>
      <c r="J415" s="14"/>
      <c r="K415" s="14"/>
      <c r="L415" s="14"/>
    </row>
    <row r="416">
      <c r="A416" s="14"/>
      <c r="B416" s="14"/>
      <c r="C416" s="14"/>
      <c r="D416" s="14"/>
      <c r="E416" s="14"/>
      <c r="F416" s="14"/>
      <c r="G416" s="14"/>
      <c r="H416" s="14"/>
      <c r="I416" s="14"/>
      <c r="J416" s="14"/>
      <c r="K416" s="14"/>
      <c r="L416" s="14"/>
    </row>
    <row r="417">
      <c r="A417" s="14"/>
      <c r="B417" s="14"/>
      <c r="C417" s="14"/>
      <c r="D417" s="14"/>
      <c r="E417" s="14"/>
      <c r="F417" s="14"/>
      <c r="G417" s="14"/>
      <c r="H417" s="14"/>
      <c r="I417" s="14"/>
      <c r="J417" s="14"/>
      <c r="K417" s="14"/>
      <c r="L417" s="14"/>
    </row>
    <row r="418">
      <c r="A418" s="14"/>
      <c r="B418" s="14"/>
      <c r="C418" s="14"/>
      <c r="D418" s="14"/>
      <c r="E418" s="14"/>
      <c r="F418" s="14"/>
      <c r="G418" s="14"/>
      <c r="H418" s="14"/>
      <c r="I418" s="14"/>
      <c r="J418" s="14"/>
      <c r="K418" s="14"/>
      <c r="L418" s="14"/>
    </row>
    <row r="419">
      <c r="A419" s="14"/>
      <c r="B419" s="14"/>
      <c r="C419" s="14"/>
      <c r="D419" s="14"/>
      <c r="E419" s="14"/>
      <c r="F419" s="14"/>
      <c r="G419" s="14"/>
      <c r="H419" s="14"/>
      <c r="I419" s="14"/>
      <c r="J419" s="14"/>
      <c r="K419" s="14"/>
      <c r="L419" s="14"/>
    </row>
    <row r="420">
      <c r="A420" s="14"/>
      <c r="B420" s="14"/>
      <c r="C420" s="14"/>
      <c r="D420" s="14"/>
      <c r="E420" s="14"/>
      <c r="F420" s="14"/>
      <c r="G420" s="14"/>
      <c r="H420" s="14"/>
      <c r="I420" s="14"/>
      <c r="J420" s="14"/>
      <c r="K420" s="14"/>
      <c r="L420" s="14"/>
    </row>
    <row r="421">
      <c r="A421" s="14"/>
      <c r="B421" s="14"/>
      <c r="C421" s="14"/>
      <c r="D421" s="14"/>
      <c r="E421" s="14"/>
      <c r="F421" s="14"/>
      <c r="G421" s="14"/>
      <c r="H421" s="14"/>
      <c r="I421" s="14"/>
      <c r="J421" s="14"/>
      <c r="K421" s="14"/>
      <c r="L421" s="14"/>
    </row>
    <row r="422">
      <c r="A422" s="14"/>
      <c r="B422" s="14"/>
      <c r="C422" s="14"/>
      <c r="D422" s="14"/>
      <c r="E422" s="14"/>
      <c r="F422" s="14"/>
      <c r="G422" s="14"/>
      <c r="H422" s="14"/>
      <c r="I422" s="14"/>
      <c r="J422" s="14"/>
      <c r="K422" s="14"/>
      <c r="L422" s="14"/>
    </row>
    <row r="423">
      <c r="A423" s="14"/>
      <c r="B423" s="14"/>
      <c r="C423" s="14"/>
      <c r="D423" s="14"/>
      <c r="E423" s="14"/>
      <c r="F423" s="14"/>
      <c r="G423" s="14"/>
      <c r="H423" s="14"/>
      <c r="I423" s="14"/>
      <c r="J423" s="14"/>
      <c r="K423" s="14"/>
      <c r="L423" s="14"/>
    </row>
    <row r="424">
      <c r="A424" s="14"/>
      <c r="B424" s="14"/>
      <c r="C424" s="14"/>
      <c r="D424" s="14"/>
      <c r="E424" s="14"/>
      <c r="F424" s="14"/>
      <c r="G424" s="14"/>
      <c r="H424" s="14"/>
      <c r="I424" s="14"/>
      <c r="J424" s="14"/>
      <c r="K424" s="14"/>
      <c r="L424" s="14"/>
    </row>
    <row r="425">
      <c r="A425" s="14"/>
      <c r="B425" s="14"/>
      <c r="C425" s="14"/>
      <c r="D425" s="14"/>
      <c r="E425" s="14"/>
      <c r="F425" s="14"/>
      <c r="G425" s="14"/>
      <c r="H425" s="14"/>
      <c r="I425" s="14"/>
      <c r="J425" s="14"/>
      <c r="K425" s="14"/>
      <c r="L425" s="14"/>
    </row>
    <row r="426">
      <c r="A426" s="14"/>
      <c r="B426" s="14"/>
      <c r="C426" s="14"/>
      <c r="D426" s="14"/>
      <c r="E426" s="14"/>
      <c r="F426" s="14"/>
      <c r="G426" s="14"/>
      <c r="H426" s="14"/>
      <c r="I426" s="14"/>
      <c r="J426" s="14"/>
      <c r="K426" s="14"/>
      <c r="L426" s="14"/>
    </row>
    <row r="427">
      <c r="A427" s="14"/>
      <c r="B427" s="14"/>
      <c r="C427" s="14"/>
      <c r="D427" s="14"/>
      <c r="E427" s="14"/>
      <c r="F427" s="14"/>
      <c r="G427" s="14"/>
      <c r="H427" s="14"/>
      <c r="I427" s="14"/>
      <c r="J427" s="14"/>
      <c r="K427" s="14"/>
      <c r="L427" s="14"/>
    </row>
    <row r="428">
      <c r="A428" s="14"/>
      <c r="B428" s="14"/>
      <c r="C428" s="14"/>
      <c r="D428" s="14"/>
      <c r="E428" s="14"/>
      <c r="F428" s="14"/>
      <c r="G428" s="14"/>
      <c r="H428" s="14"/>
      <c r="I428" s="14"/>
      <c r="J428" s="14"/>
      <c r="K428" s="14"/>
      <c r="L428" s="14"/>
    </row>
    <row r="429">
      <c r="A429" s="14"/>
      <c r="B429" s="14"/>
      <c r="C429" s="14"/>
      <c r="D429" s="14"/>
      <c r="E429" s="14"/>
      <c r="F429" s="14"/>
      <c r="G429" s="14"/>
      <c r="H429" s="14"/>
      <c r="I429" s="14"/>
      <c r="J429" s="14"/>
      <c r="K429" s="14"/>
      <c r="L429" s="14"/>
    </row>
    <row r="430">
      <c r="A430" s="14"/>
      <c r="B430" s="14"/>
      <c r="C430" s="14"/>
      <c r="D430" s="14"/>
      <c r="E430" s="14"/>
      <c r="F430" s="14"/>
      <c r="G430" s="14"/>
      <c r="H430" s="14"/>
      <c r="I430" s="14"/>
      <c r="J430" s="14"/>
      <c r="K430" s="14"/>
      <c r="L430" s="14"/>
    </row>
    <row r="431">
      <c r="A431" s="14"/>
      <c r="B431" s="14"/>
      <c r="C431" s="14"/>
      <c r="D431" s="14"/>
      <c r="E431" s="14"/>
      <c r="F431" s="14"/>
      <c r="G431" s="14"/>
      <c r="H431" s="14"/>
      <c r="I431" s="14"/>
      <c r="J431" s="14"/>
      <c r="K431" s="14"/>
      <c r="L431" s="14"/>
    </row>
    <row r="432">
      <c r="A432" s="14"/>
      <c r="B432" s="14"/>
      <c r="C432" s="14"/>
      <c r="D432" s="14"/>
      <c r="E432" s="14"/>
      <c r="F432" s="14"/>
      <c r="G432" s="14"/>
      <c r="H432" s="14"/>
      <c r="I432" s="14"/>
      <c r="J432" s="14"/>
      <c r="K432" s="14"/>
      <c r="L432" s="14"/>
    </row>
    <row r="433">
      <c r="A433" s="14"/>
      <c r="B433" s="14"/>
      <c r="C433" s="14"/>
      <c r="D433" s="14"/>
      <c r="E433" s="14"/>
      <c r="F433" s="14"/>
      <c r="G433" s="14"/>
      <c r="H433" s="14"/>
      <c r="I433" s="14"/>
      <c r="J433" s="14"/>
      <c r="K433" s="14"/>
      <c r="L433" s="14"/>
    </row>
    <row r="434">
      <c r="A434" s="14"/>
      <c r="B434" s="14"/>
      <c r="C434" s="14"/>
      <c r="D434" s="14"/>
      <c r="E434" s="14"/>
      <c r="F434" s="14"/>
      <c r="G434" s="14"/>
      <c r="H434" s="14"/>
      <c r="I434" s="14"/>
      <c r="J434" s="14"/>
      <c r="K434" s="14"/>
      <c r="L434" s="14"/>
    </row>
    <row r="435">
      <c r="A435" s="14"/>
      <c r="B435" s="14"/>
      <c r="C435" s="14"/>
      <c r="D435" s="14"/>
      <c r="E435" s="14"/>
      <c r="F435" s="14"/>
      <c r="G435" s="14"/>
      <c r="H435" s="14"/>
      <c r="I435" s="14"/>
      <c r="J435" s="14"/>
      <c r="K435" s="14"/>
      <c r="L435" s="14"/>
    </row>
    <row r="436">
      <c r="A436" s="14"/>
      <c r="B436" s="14"/>
      <c r="C436" s="14"/>
      <c r="D436" s="14"/>
      <c r="E436" s="14"/>
      <c r="F436" s="14"/>
      <c r="G436" s="14"/>
      <c r="H436" s="14"/>
      <c r="I436" s="14"/>
      <c r="J436" s="14"/>
      <c r="K436" s="14"/>
      <c r="L436" s="14"/>
    </row>
    <row r="437">
      <c r="A437" s="14"/>
      <c r="B437" s="14"/>
      <c r="C437" s="14"/>
      <c r="D437" s="14"/>
      <c r="E437" s="14"/>
      <c r="F437" s="14"/>
      <c r="G437" s="14"/>
      <c r="H437" s="14"/>
      <c r="I437" s="14"/>
      <c r="J437" s="14"/>
      <c r="K437" s="14"/>
      <c r="L437" s="14"/>
    </row>
    <row r="438">
      <c r="A438" s="14"/>
      <c r="B438" s="14"/>
      <c r="C438" s="14"/>
      <c r="D438" s="14"/>
      <c r="E438" s="14"/>
      <c r="F438" s="14"/>
      <c r="G438" s="14"/>
      <c r="H438" s="14"/>
      <c r="I438" s="14"/>
      <c r="J438" s="14"/>
      <c r="K438" s="14"/>
      <c r="L438" s="14"/>
    </row>
    <row r="439">
      <c r="A439" s="14"/>
      <c r="B439" s="14"/>
      <c r="C439" s="14"/>
      <c r="D439" s="14"/>
      <c r="E439" s="14"/>
      <c r="F439" s="14"/>
      <c r="G439" s="14"/>
      <c r="H439" s="14"/>
      <c r="I439" s="14"/>
      <c r="J439" s="14"/>
      <c r="K439" s="14"/>
      <c r="L439" s="14"/>
    </row>
    <row r="440">
      <c r="A440" s="14"/>
      <c r="B440" s="14"/>
      <c r="C440" s="14"/>
      <c r="D440" s="14"/>
      <c r="E440" s="14"/>
      <c r="F440" s="14"/>
      <c r="G440" s="14"/>
      <c r="H440" s="14"/>
      <c r="I440" s="14"/>
      <c r="J440" s="14"/>
      <c r="K440" s="14"/>
      <c r="L440" s="14"/>
    </row>
    <row r="441">
      <c r="A441" s="14"/>
      <c r="B441" s="14"/>
      <c r="C441" s="14"/>
      <c r="D441" s="14"/>
      <c r="E441" s="14"/>
      <c r="F441" s="14"/>
      <c r="G441" s="14"/>
      <c r="H441" s="14"/>
      <c r="I441" s="14"/>
      <c r="J441" s="14"/>
      <c r="K441" s="14"/>
      <c r="L441" s="14"/>
    </row>
    <row r="442">
      <c r="A442" s="14"/>
      <c r="B442" s="14"/>
      <c r="C442" s="14"/>
      <c r="D442" s="14"/>
      <c r="E442" s="14"/>
      <c r="F442" s="14"/>
      <c r="G442" s="14"/>
      <c r="H442" s="14"/>
      <c r="I442" s="14"/>
      <c r="J442" s="14"/>
      <c r="K442" s="14"/>
      <c r="L442" s="14"/>
    </row>
    <row r="443">
      <c r="A443" s="14"/>
      <c r="B443" s="14"/>
      <c r="C443" s="14"/>
      <c r="D443" s="14"/>
      <c r="E443" s="14"/>
      <c r="F443" s="14"/>
      <c r="G443" s="14"/>
      <c r="H443" s="14"/>
      <c r="I443" s="14"/>
      <c r="J443" s="14"/>
      <c r="K443" s="14"/>
      <c r="L443" s="14"/>
    </row>
    <row r="444">
      <c r="A444" s="14"/>
      <c r="B444" s="14"/>
      <c r="C444" s="14"/>
      <c r="D444" s="14"/>
      <c r="E444" s="14"/>
      <c r="F444" s="14"/>
      <c r="G444" s="14"/>
      <c r="H444" s="14"/>
      <c r="I444" s="14"/>
      <c r="J444" s="14"/>
      <c r="K444" s="14"/>
      <c r="L444" s="14"/>
    </row>
    <row r="445">
      <c r="A445" s="14"/>
      <c r="B445" s="14"/>
      <c r="C445" s="14"/>
      <c r="D445" s="14"/>
      <c r="E445" s="14"/>
      <c r="F445" s="14"/>
      <c r="G445" s="14"/>
      <c r="H445" s="14"/>
      <c r="I445" s="14"/>
      <c r="J445" s="14"/>
      <c r="K445" s="14"/>
      <c r="L445" s="14"/>
    </row>
    <row r="446">
      <c r="A446" s="14"/>
      <c r="B446" s="14"/>
      <c r="C446" s="14"/>
      <c r="D446" s="14"/>
      <c r="E446" s="14"/>
      <c r="F446" s="14"/>
      <c r="G446" s="14"/>
      <c r="H446" s="14"/>
      <c r="I446" s="14"/>
      <c r="J446" s="14"/>
      <c r="K446" s="14"/>
      <c r="L446" s="14"/>
    </row>
    <row r="447">
      <c r="A447" s="14"/>
      <c r="B447" s="14"/>
      <c r="C447" s="14"/>
      <c r="D447" s="14"/>
      <c r="E447" s="14"/>
      <c r="F447" s="14"/>
      <c r="G447" s="14"/>
      <c r="H447" s="14"/>
      <c r="I447" s="14"/>
      <c r="J447" s="14"/>
      <c r="K447" s="14"/>
      <c r="L447" s="14"/>
    </row>
    <row r="448">
      <c r="A448" s="14"/>
      <c r="B448" s="14"/>
      <c r="C448" s="14"/>
      <c r="D448" s="14"/>
      <c r="E448" s="14"/>
      <c r="F448" s="14"/>
      <c r="G448" s="14"/>
      <c r="H448" s="14"/>
      <c r="I448" s="14"/>
      <c r="J448" s="14"/>
      <c r="K448" s="14"/>
      <c r="L448" s="14"/>
    </row>
    <row r="449">
      <c r="A449" s="14"/>
      <c r="B449" s="14"/>
      <c r="C449" s="14"/>
      <c r="D449" s="14"/>
      <c r="E449" s="14"/>
      <c r="F449" s="14"/>
      <c r="G449" s="14"/>
      <c r="H449" s="14"/>
      <c r="I449" s="14"/>
      <c r="J449" s="14"/>
      <c r="K449" s="14"/>
      <c r="L449" s="14"/>
    </row>
    <row r="450">
      <c r="A450" s="14"/>
      <c r="B450" s="14"/>
      <c r="C450" s="14"/>
      <c r="D450" s="14"/>
      <c r="E450" s="14"/>
      <c r="F450" s="14"/>
      <c r="G450" s="14"/>
      <c r="H450" s="14"/>
      <c r="I450" s="14"/>
      <c r="J450" s="14"/>
      <c r="K450" s="14"/>
      <c r="L450" s="14"/>
    </row>
    <row r="451">
      <c r="A451" s="14"/>
      <c r="B451" s="14"/>
      <c r="C451" s="14"/>
      <c r="D451" s="14"/>
      <c r="E451" s="14"/>
      <c r="F451" s="14"/>
      <c r="G451" s="14"/>
      <c r="H451" s="14"/>
      <c r="I451" s="14"/>
      <c r="J451" s="14"/>
      <c r="K451" s="14"/>
      <c r="L451" s="14"/>
    </row>
    <row r="452">
      <c r="A452" s="14"/>
      <c r="B452" s="14"/>
      <c r="C452" s="14"/>
      <c r="D452" s="14"/>
      <c r="E452" s="14"/>
      <c r="F452" s="14"/>
      <c r="G452" s="14"/>
      <c r="H452" s="14"/>
      <c r="I452" s="14"/>
      <c r="J452" s="14"/>
      <c r="K452" s="14"/>
      <c r="L452" s="14"/>
    </row>
    <row r="453">
      <c r="A453" s="14"/>
      <c r="B453" s="14"/>
      <c r="C453" s="14"/>
      <c r="D453" s="14"/>
      <c r="E453" s="14"/>
      <c r="F453" s="14"/>
      <c r="G453" s="14"/>
      <c r="H453" s="14"/>
      <c r="I453" s="14"/>
      <c r="J453" s="14"/>
      <c r="K453" s="14"/>
      <c r="L453" s="14"/>
    </row>
    <row r="454">
      <c r="A454" s="14"/>
      <c r="B454" s="14"/>
      <c r="C454" s="14"/>
      <c r="D454" s="14"/>
      <c r="E454" s="14"/>
      <c r="F454" s="14"/>
      <c r="G454" s="14"/>
      <c r="H454" s="14"/>
      <c r="I454" s="14"/>
      <c r="J454" s="14"/>
      <c r="K454" s="14"/>
      <c r="L454" s="14"/>
    </row>
    <row r="455">
      <c r="A455" s="14"/>
      <c r="B455" s="14"/>
      <c r="C455" s="14"/>
      <c r="D455" s="14"/>
      <c r="E455" s="14"/>
      <c r="F455" s="14"/>
      <c r="G455" s="14"/>
      <c r="H455" s="14"/>
      <c r="I455" s="14"/>
      <c r="J455" s="14"/>
      <c r="K455" s="14"/>
      <c r="L455" s="14"/>
    </row>
    <row r="456">
      <c r="A456" s="14"/>
      <c r="B456" s="14"/>
      <c r="C456" s="14"/>
      <c r="D456" s="14"/>
      <c r="E456" s="14"/>
      <c r="F456" s="14"/>
      <c r="G456" s="14"/>
      <c r="H456" s="14"/>
      <c r="I456" s="14"/>
      <c r="J456" s="14"/>
      <c r="K456" s="14"/>
      <c r="L456" s="14"/>
    </row>
    <row r="457">
      <c r="A457" s="14"/>
      <c r="B457" s="14"/>
      <c r="C457" s="14"/>
      <c r="D457" s="14"/>
      <c r="E457" s="14"/>
      <c r="F457" s="14"/>
      <c r="G457" s="14"/>
      <c r="H457" s="14"/>
      <c r="I457" s="14"/>
      <c r="J457" s="14"/>
      <c r="K457" s="14"/>
      <c r="L457" s="14"/>
    </row>
    <row r="458">
      <c r="A458" s="14"/>
      <c r="B458" s="14"/>
      <c r="C458" s="14"/>
      <c r="D458" s="14"/>
      <c r="E458" s="14"/>
      <c r="F458" s="14"/>
      <c r="G458" s="14"/>
      <c r="H458" s="14"/>
      <c r="I458" s="14"/>
      <c r="J458" s="14"/>
      <c r="K458" s="14"/>
      <c r="L458" s="14"/>
    </row>
    <row r="459">
      <c r="A459" s="14"/>
      <c r="B459" s="14"/>
      <c r="C459" s="14"/>
      <c r="D459" s="14"/>
      <c r="E459" s="14"/>
      <c r="F459" s="14"/>
      <c r="G459" s="14"/>
      <c r="H459" s="14"/>
      <c r="I459" s="14"/>
      <c r="J459" s="14"/>
      <c r="K459" s="14"/>
      <c r="L459" s="14"/>
    </row>
    <row r="460">
      <c r="A460" s="14"/>
      <c r="B460" s="14"/>
      <c r="C460" s="14"/>
      <c r="D460" s="14"/>
      <c r="E460" s="14"/>
      <c r="F460" s="14"/>
      <c r="G460" s="14"/>
      <c r="H460" s="14"/>
      <c r="I460" s="14"/>
      <c r="J460" s="14"/>
      <c r="K460" s="14"/>
      <c r="L460" s="14"/>
    </row>
    <row r="461">
      <c r="A461" s="14"/>
      <c r="B461" s="14"/>
      <c r="C461" s="14"/>
      <c r="D461" s="14"/>
      <c r="E461" s="14"/>
      <c r="F461" s="14"/>
      <c r="G461" s="14"/>
      <c r="H461" s="14"/>
      <c r="I461" s="14"/>
      <c r="J461" s="14"/>
      <c r="K461" s="14"/>
      <c r="L461" s="14"/>
    </row>
    <row r="462">
      <c r="A462" s="14"/>
      <c r="B462" s="14"/>
      <c r="C462" s="14"/>
      <c r="D462" s="14"/>
      <c r="E462" s="14"/>
      <c r="F462" s="14"/>
      <c r="G462" s="14"/>
      <c r="H462" s="14"/>
      <c r="I462" s="14"/>
      <c r="J462" s="14"/>
      <c r="K462" s="14"/>
      <c r="L462" s="14"/>
    </row>
    <row r="463">
      <c r="A463" s="14"/>
      <c r="B463" s="14"/>
      <c r="C463" s="14"/>
      <c r="D463" s="14"/>
      <c r="E463" s="14"/>
      <c r="F463" s="14"/>
      <c r="G463" s="14"/>
      <c r="H463" s="14"/>
      <c r="I463" s="14"/>
      <c r="J463" s="14"/>
      <c r="K463" s="14"/>
      <c r="L463" s="14"/>
    </row>
    <row r="464">
      <c r="A464" s="14"/>
      <c r="B464" s="14"/>
      <c r="C464" s="14"/>
      <c r="D464" s="14"/>
      <c r="E464" s="14"/>
      <c r="F464" s="14"/>
      <c r="G464" s="14"/>
      <c r="H464" s="14"/>
      <c r="I464" s="14"/>
      <c r="J464" s="14"/>
      <c r="K464" s="14"/>
      <c r="L464" s="14"/>
    </row>
    <row r="465">
      <c r="A465" s="14"/>
      <c r="B465" s="14"/>
      <c r="C465" s="14"/>
      <c r="D465" s="14"/>
      <c r="E465" s="14"/>
      <c r="F465" s="14"/>
      <c r="G465" s="14"/>
      <c r="H465" s="14"/>
      <c r="I465" s="14"/>
      <c r="J465" s="14"/>
      <c r="K465" s="14"/>
      <c r="L465" s="14"/>
    </row>
    <row r="466">
      <c r="A466" s="14"/>
      <c r="B466" s="14"/>
      <c r="C466" s="14"/>
      <c r="D466" s="14"/>
      <c r="E466" s="14"/>
      <c r="F466" s="14"/>
      <c r="G466" s="14"/>
      <c r="H466" s="14"/>
      <c r="I466" s="14"/>
      <c r="J466" s="14"/>
      <c r="K466" s="14"/>
      <c r="L466" s="14"/>
    </row>
    <row r="467">
      <c r="A467" s="14"/>
      <c r="B467" s="14"/>
      <c r="C467" s="14"/>
      <c r="D467" s="14"/>
      <c r="E467" s="14"/>
      <c r="F467" s="14"/>
      <c r="G467" s="14"/>
      <c r="H467" s="14"/>
      <c r="I467" s="14"/>
      <c r="J467" s="14"/>
      <c r="K467" s="14"/>
      <c r="L467" s="14"/>
    </row>
    <row r="468">
      <c r="A468" s="14"/>
      <c r="B468" s="14"/>
      <c r="C468" s="14"/>
      <c r="D468" s="14"/>
      <c r="E468" s="14"/>
      <c r="F468" s="14"/>
      <c r="G468" s="14"/>
      <c r="H468" s="14"/>
      <c r="I468" s="14"/>
      <c r="J468" s="14"/>
      <c r="K468" s="14"/>
      <c r="L468" s="14"/>
    </row>
    <row r="469">
      <c r="A469" s="14"/>
      <c r="B469" s="14"/>
      <c r="C469" s="14"/>
      <c r="D469" s="14"/>
      <c r="E469" s="14"/>
      <c r="F469" s="14"/>
      <c r="G469" s="14"/>
      <c r="H469" s="14"/>
      <c r="I469" s="14"/>
      <c r="J469" s="14"/>
      <c r="K469" s="14"/>
      <c r="L469" s="14"/>
    </row>
    <row r="470">
      <c r="A470" s="14"/>
      <c r="B470" s="14"/>
      <c r="C470" s="14"/>
      <c r="D470" s="14"/>
      <c r="E470" s="14"/>
      <c r="F470" s="14"/>
      <c r="G470" s="14"/>
      <c r="H470" s="14"/>
      <c r="I470" s="14"/>
      <c r="J470" s="14"/>
      <c r="K470" s="14"/>
      <c r="L470" s="14"/>
    </row>
    <row r="471">
      <c r="A471" s="14"/>
      <c r="B471" s="14"/>
      <c r="C471" s="14"/>
      <c r="D471" s="14"/>
      <c r="E471" s="14"/>
      <c r="F471" s="14"/>
      <c r="G471" s="14"/>
      <c r="H471" s="14"/>
      <c r="I471" s="14"/>
      <c r="J471" s="14"/>
      <c r="K471" s="14"/>
      <c r="L471" s="14"/>
    </row>
    <row r="472">
      <c r="A472" s="14"/>
      <c r="B472" s="14"/>
      <c r="C472" s="14"/>
      <c r="D472" s="14"/>
      <c r="E472" s="14"/>
      <c r="F472" s="14"/>
      <c r="G472" s="14"/>
      <c r="H472" s="14"/>
      <c r="I472" s="14"/>
      <c r="J472" s="14"/>
      <c r="K472" s="14"/>
      <c r="L472" s="14"/>
    </row>
    <row r="473">
      <c r="A473" s="14"/>
      <c r="B473" s="14"/>
      <c r="C473" s="14"/>
      <c r="D473" s="14"/>
      <c r="E473" s="14"/>
      <c r="F473" s="14"/>
      <c r="G473" s="14"/>
      <c r="H473" s="14"/>
      <c r="I473" s="14"/>
      <c r="J473" s="14"/>
      <c r="K473" s="14"/>
      <c r="L473" s="14"/>
    </row>
    <row r="474">
      <c r="A474" s="14"/>
      <c r="B474" s="14"/>
      <c r="C474" s="14"/>
      <c r="D474" s="14"/>
      <c r="E474" s="14"/>
      <c r="F474" s="14"/>
      <c r="G474" s="14"/>
      <c r="H474" s="14"/>
      <c r="I474" s="14"/>
      <c r="J474" s="14"/>
      <c r="K474" s="14"/>
      <c r="L474" s="14"/>
    </row>
    <row r="475">
      <c r="A475" s="14"/>
      <c r="B475" s="14"/>
      <c r="C475" s="14"/>
      <c r="D475" s="14"/>
      <c r="E475" s="14"/>
      <c r="F475" s="14"/>
      <c r="G475" s="14"/>
      <c r="H475" s="14"/>
      <c r="I475" s="14"/>
      <c r="J475" s="14"/>
      <c r="K475" s="14"/>
      <c r="L475" s="14"/>
    </row>
    <row r="476">
      <c r="A476" s="14"/>
      <c r="B476" s="14"/>
      <c r="C476" s="14"/>
      <c r="D476" s="14"/>
      <c r="E476" s="14"/>
      <c r="F476" s="14"/>
      <c r="G476" s="14"/>
      <c r="H476" s="14"/>
      <c r="I476" s="14"/>
      <c r="J476" s="14"/>
      <c r="K476" s="14"/>
      <c r="L476" s="14"/>
    </row>
    <row r="477">
      <c r="A477" s="14"/>
      <c r="B477" s="14"/>
      <c r="C477" s="14"/>
      <c r="D477" s="14"/>
      <c r="E477" s="14"/>
      <c r="F477" s="14"/>
      <c r="G477" s="14"/>
      <c r="H477" s="14"/>
      <c r="I477" s="14"/>
      <c r="J477" s="14"/>
      <c r="K477" s="14"/>
      <c r="L477" s="14"/>
    </row>
    <row r="478">
      <c r="A478" s="14"/>
      <c r="B478" s="14"/>
      <c r="C478" s="14"/>
      <c r="D478" s="14"/>
      <c r="E478" s="14"/>
      <c r="F478" s="14"/>
      <c r="G478" s="14"/>
      <c r="H478" s="14"/>
      <c r="I478" s="14"/>
      <c r="J478" s="14"/>
      <c r="K478" s="14"/>
      <c r="L478" s="14"/>
    </row>
    <row r="479">
      <c r="A479" s="14"/>
      <c r="B479" s="14"/>
      <c r="C479" s="14"/>
      <c r="D479" s="14"/>
      <c r="E479" s="14"/>
      <c r="F479" s="14"/>
      <c r="G479" s="14"/>
      <c r="H479" s="14"/>
      <c r="I479" s="14"/>
      <c r="J479" s="14"/>
      <c r="K479" s="14"/>
      <c r="L479" s="14"/>
    </row>
    <row r="480">
      <c r="A480" s="14"/>
      <c r="B480" s="14"/>
      <c r="C480" s="14"/>
      <c r="D480" s="14"/>
      <c r="E480" s="14"/>
      <c r="F480" s="14"/>
      <c r="G480" s="14"/>
      <c r="H480" s="14"/>
      <c r="I480" s="14"/>
      <c r="J480" s="14"/>
      <c r="K480" s="14"/>
      <c r="L480" s="14"/>
    </row>
    <row r="481">
      <c r="A481" s="14"/>
      <c r="B481" s="14"/>
      <c r="C481" s="14"/>
      <c r="D481" s="14"/>
      <c r="E481" s="14"/>
      <c r="F481" s="14"/>
      <c r="G481" s="14"/>
      <c r="H481" s="14"/>
      <c r="I481" s="14"/>
      <c r="J481" s="14"/>
      <c r="K481" s="14"/>
      <c r="L481" s="14"/>
    </row>
    <row r="482">
      <c r="A482" s="14"/>
      <c r="B482" s="14"/>
      <c r="C482" s="14"/>
      <c r="D482" s="14"/>
      <c r="E482" s="14"/>
      <c r="F482" s="14"/>
      <c r="G482" s="14"/>
      <c r="H482" s="14"/>
      <c r="I482" s="14"/>
      <c r="J482" s="14"/>
      <c r="K482" s="14"/>
      <c r="L482" s="14"/>
    </row>
    <row r="483">
      <c r="A483" s="14"/>
      <c r="B483" s="14"/>
      <c r="C483" s="14"/>
      <c r="D483" s="14"/>
      <c r="E483" s="14"/>
      <c r="F483" s="14"/>
      <c r="G483" s="14"/>
      <c r="H483" s="14"/>
      <c r="I483" s="14"/>
      <c r="J483" s="14"/>
      <c r="K483" s="14"/>
      <c r="L483" s="14"/>
    </row>
    <row r="484">
      <c r="A484" s="14"/>
      <c r="B484" s="14"/>
      <c r="C484" s="14"/>
      <c r="D484" s="14"/>
      <c r="E484" s="14"/>
      <c r="F484" s="14"/>
      <c r="G484" s="14"/>
      <c r="H484" s="14"/>
      <c r="I484" s="14"/>
      <c r="J484" s="14"/>
      <c r="K484" s="14"/>
      <c r="L484" s="14"/>
    </row>
    <row r="485">
      <c r="A485" s="14"/>
      <c r="B485" s="14"/>
      <c r="C485" s="14"/>
      <c r="D485" s="14"/>
      <c r="E485" s="14"/>
      <c r="F485" s="14"/>
      <c r="G485" s="14"/>
      <c r="H485" s="14"/>
      <c r="I485" s="14"/>
      <c r="J485" s="14"/>
      <c r="K485" s="14"/>
      <c r="L485" s="14"/>
    </row>
    <row r="486">
      <c r="A486" s="14"/>
      <c r="B486" s="14"/>
      <c r="C486" s="14"/>
      <c r="D486" s="14"/>
      <c r="E486" s="14"/>
      <c r="F486" s="14"/>
      <c r="G486" s="14"/>
      <c r="H486" s="14"/>
      <c r="I486" s="14"/>
      <c r="J486" s="14"/>
      <c r="K486" s="14"/>
      <c r="L486" s="14"/>
    </row>
    <row r="487">
      <c r="A487" s="14"/>
      <c r="B487" s="14"/>
      <c r="C487" s="14"/>
      <c r="D487" s="14"/>
      <c r="E487" s="14"/>
      <c r="F487" s="14"/>
      <c r="G487" s="14"/>
      <c r="H487" s="14"/>
      <c r="I487" s="14"/>
      <c r="J487" s="14"/>
      <c r="K487" s="14"/>
      <c r="L487" s="14"/>
    </row>
    <row r="488">
      <c r="A488" s="14"/>
      <c r="B488" s="14"/>
      <c r="C488" s="14"/>
      <c r="D488" s="14"/>
      <c r="E488" s="14"/>
      <c r="F488" s="14"/>
      <c r="G488" s="14"/>
      <c r="H488" s="14"/>
      <c r="I488" s="14"/>
      <c r="J488" s="14"/>
      <c r="K488" s="14"/>
      <c r="L488" s="14"/>
    </row>
    <row r="489">
      <c r="A489" s="14"/>
      <c r="B489" s="14"/>
      <c r="C489" s="14"/>
      <c r="D489" s="14"/>
      <c r="E489" s="14"/>
      <c r="F489" s="14"/>
      <c r="G489" s="14"/>
      <c r="H489" s="14"/>
      <c r="I489" s="14"/>
      <c r="J489" s="14"/>
      <c r="K489" s="14"/>
      <c r="L489" s="14"/>
    </row>
    <row r="490">
      <c r="A490" s="14"/>
      <c r="B490" s="14"/>
      <c r="C490" s="14"/>
      <c r="D490" s="14"/>
      <c r="E490" s="14"/>
      <c r="F490" s="14"/>
      <c r="G490" s="14"/>
      <c r="H490" s="14"/>
      <c r="I490" s="14"/>
      <c r="J490" s="14"/>
      <c r="K490" s="14"/>
      <c r="L490" s="14"/>
    </row>
    <row r="491">
      <c r="A491" s="14"/>
      <c r="B491" s="14"/>
      <c r="C491" s="14"/>
      <c r="D491" s="14"/>
      <c r="E491" s="14"/>
      <c r="F491" s="14"/>
      <c r="G491" s="14"/>
      <c r="H491" s="14"/>
      <c r="I491" s="14"/>
      <c r="J491" s="14"/>
      <c r="K491" s="14"/>
      <c r="L491" s="14"/>
    </row>
    <row r="492">
      <c r="A492" s="14"/>
      <c r="B492" s="14"/>
      <c r="C492" s="14"/>
      <c r="D492" s="14"/>
      <c r="E492" s="14"/>
      <c r="F492" s="14"/>
      <c r="G492" s="14"/>
      <c r="H492" s="14"/>
      <c r="I492" s="14"/>
      <c r="J492" s="14"/>
      <c r="K492" s="14"/>
      <c r="L492" s="14"/>
    </row>
    <row r="493">
      <c r="A493" s="14"/>
      <c r="B493" s="14"/>
      <c r="C493" s="14"/>
      <c r="D493" s="14"/>
      <c r="E493" s="14"/>
      <c r="F493" s="14"/>
      <c r="G493" s="14"/>
      <c r="H493" s="14"/>
      <c r="I493" s="14"/>
      <c r="J493" s="14"/>
      <c r="K493" s="14"/>
      <c r="L493" s="14"/>
    </row>
    <row r="494">
      <c r="A494" s="14"/>
      <c r="B494" s="14"/>
      <c r="C494" s="14"/>
      <c r="D494" s="14"/>
      <c r="E494" s="14"/>
      <c r="F494" s="14"/>
      <c r="G494" s="14"/>
      <c r="H494" s="14"/>
      <c r="I494" s="14"/>
      <c r="J494" s="14"/>
      <c r="K494" s="14"/>
      <c r="L494" s="14"/>
    </row>
    <row r="495">
      <c r="A495" s="14"/>
      <c r="B495" s="14"/>
      <c r="C495" s="14"/>
      <c r="D495" s="14"/>
      <c r="E495" s="14"/>
      <c r="F495" s="14"/>
      <c r="G495" s="14"/>
      <c r="H495" s="14"/>
      <c r="I495" s="14"/>
      <c r="J495" s="14"/>
      <c r="K495" s="14"/>
      <c r="L495" s="14"/>
    </row>
    <row r="496">
      <c r="A496" s="14"/>
      <c r="B496" s="14"/>
      <c r="C496" s="14"/>
      <c r="D496" s="14"/>
      <c r="E496" s="14"/>
      <c r="F496" s="14"/>
      <c r="G496" s="14"/>
      <c r="H496" s="14"/>
      <c r="I496" s="14"/>
      <c r="J496" s="14"/>
      <c r="K496" s="14"/>
      <c r="L496" s="14"/>
    </row>
    <row r="497">
      <c r="A497" s="14"/>
      <c r="B497" s="14"/>
      <c r="C497" s="14"/>
      <c r="D497" s="14"/>
      <c r="E497" s="14"/>
      <c r="F497" s="14"/>
      <c r="G497" s="14"/>
      <c r="H497" s="14"/>
      <c r="I497" s="14"/>
      <c r="J497" s="14"/>
      <c r="K497" s="14"/>
      <c r="L497" s="14"/>
    </row>
    <row r="498">
      <c r="A498" s="14"/>
      <c r="B498" s="14"/>
      <c r="C498" s="14"/>
      <c r="D498" s="14"/>
      <c r="E498" s="14"/>
      <c r="F498" s="14"/>
      <c r="G498" s="14"/>
      <c r="H498" s="14"/>
      <c r="I498" s="14"/>
      <c r="J498" s="14"/>
      <c r="K498" s="14"/>
      <c r="L498" s="14"/>
    </row>
    <row r="499">
      <c r="A499" s="14"/>
      <c r="B499" s="14"/>
      <c r="C499" s="14"/>
      <c r="D499" s="14"/>
      <c r="E499" s="14"/>
      <c r="F499" s="14"/>
      <c r="G499" s="14"/>
      <c r="H499" s="14"/>
      <c r="I499" s="14"/>
      <c r="J499" s="14"/>
      <c r="K499" s="14"/>
      <c r="L499" s="14"/>
    </row>
    <row r="500">
      <c r="A500" s="14"/>
      <c r="B500" s="14"/>
      <c r="C500" s="14"/>
      <c r="D500" s="14"/>
      <c r="E500" s="14"/>
      <c r="F500" s="14"/>
      <c r="G500" s="14"/>
      <c r="H500" s="14"/>
      <c r="I500" s="14"/>
      <c r="J500" s="14"/>
      <c r="K500" s="14"/>
      <c r="L500" s="14"/>
    </row>
    <row r="501">
      <c r="A501" s="14"/>
      <c r="B501" s="14"/>
      <c r="C501" s="14"/>
      <c r="D501" s="14"/>
      <c r="E501" s="14"/>
      <c r="F501" s="14"/>
      <c r="G501" s="14"/>
      <c r="H501" s="14"/>
      <c r="I501" s="14"/>
      <c r="J501" s="14"/>
      <c r="K501" s="14"/>
      <c r="L501" s="14"/>
    </row>
    <row r="502">
      <c r="A502" s="14"/>
      <c r="B502" s="14"/>
      <c r="C502" s="14"/>
      <c r="D502" s="14"/>
      <c r="E502" s="14"/>
      <c r="F502" s="14"/>
      <c r="G502" s="14"/>
      <c r="H502" s="14"/>
      <c r="I502" s="14"/>
      <c r="J502" s="14"/>
      <c r="K502" s="14"/>
      <c r="L502" s="14"/>
    </row>
    <row r="503">
      <c r="A503" s="14"/>
      <c r="B503" s="14"/>
      <c r="C503" s="14"/>
      <c r="D503" s="14"/>
      <c r="E503" s="14"/>
      <c r="F503" s="14"/>
      <c r="G503" s="14"/>
      <c r="H503" s="14"/>
      <c r="I503" s="14"/>
      <c r="J503" s="14"/>
      <c r="K503" s="14"/>
      <c r="L503" s="14"/>
    </row>
    <row r="504">
      <c r="A504" s="14"/>
      <c r="B504" s="14"/>
      <c r="C504" s="14"/>
      <c r="D504" s="14"/>
      <c r="E504" s="14"/>
      <c r="F504" s="14"/>
      <c r="G504" s="14"/>
      <c r="H504" s="14"/>
      <c r="I504" s="14"/>
      <c r="J504" s="14"/>
      <c r="K504" s="14"/>
      <c r="L504" s="14"/>
    </row>
    <row r="505">
      <c r="A505" s="14"/>
      <c r="B505" s="14"/>
      <c r="C505" s="14"/>
      <c r="D505" s="14"/>
      <c r="E505" s="14"/>
      <c r="F505" s="14"/>
      <c r="G505" s="14"/>
      <c r="H505" s="14"/>
      <c r="I505" s="14"/>
      <c r="J505" s="14"/>
      <c r="K505" s="14"/>
      <c r="L505" s="14"/>
    </row>
    <row r="506">
      <c r="A506" s="14"/>
      <c r="B506" s="14"/>
      <c r="C506" s="14"/>
      <c r="D506" s="14"/>
      <c r="E506" s="14"/>
      <c r="F506" s="14"/>
      <c r="G506" s="14"/>
      <c r="H506" s="14"/>
      <c r="I506" s="14"/>
      <c r="J506" s="14"/>
      <c r="K506" s="14"/>
      <c r="L506" s="14"/>
    </row>
    <row r="507">
      <c r="A507" s="14"/>
      <c r="B507" s="14"/>
      <c r="C507" s="14"/>
      <c r="D507" s="14"/>
      <c r="E507" s="14"/>
      <c r="F507" s="14"/>
      <c r="G507" s="14"/>
      <c r="H507" s="14"/>
      <c r="I507" s="14"/>
      <c r="J507" s="14"/>
      <c r="K507" s="14"/>
      <c r="L507" s="14"/>
    </row>
    <row r="508">
      <c r="A508" s="14"/>
      <c r="B508" s="14"/>
      <c r="C508" s="14"/>
      <c r="D508" s="14"/>
      <c r="E508" s="14"/>
      <c r="F508" s="14"/>
      <c r="G508" s="14"/>
      <c r="H508" s="14"/>
      <c r="I508" s="14"/>
      <c r="J508" s="14"/>
      <c r="K508" s="14"/>
      <c r="L508" s="14"/>
    </row>
    <row r="509">
      <c r="A509" s="14"/>
      <c r="B509" s="14"/>
      <c r="C509" s="14"/>
      <c r="D509" s="14"/>
      <c r="E509" s="14"/>
      <c r="F509" s="14"/>
      <c r="G509" s="14"/>
      <c r="H509" s="14"/>
      <c r="I509" s="14"/>
      <c r="J509" s="14"/>
      <c r="K509" s="14"/>
      <c r="L509" s="14"/>
    </row>
    <row r="510">
      <c r="A510" s="14"/>
      <c r="B510" s="14"/>
      <c r="C510" s="14"/>
      <c r="D510" s="14"/>
      <c r="E510" s="14"/>
      <c r="F510" s="14"/>
      <c r="G510" s="14"/>
      <c r="H510" s="14"/>
      <c r="I510" s="14"/>
      <c r="J510" s="14"/>
      <c r="K510" s="14"/>
      <c r="L510" s="14"/>
    </row>
    <row r="511">
      <c r="A511" s="14"/>
      <c r="B511" s="14"/>
      <c r="C511" s="14"/>
      <c r="D511" s="14"/>
      <c r="E511" s="14"/>
      <c r="F511" s="14"/>
      <c r="G511" s="14"/>
      <c r="H511" s="14"/>
      <c r="I511" s="14"/>
      <c r="J511" s="14"/>
      <c r="K511" s="14"/>
      <c r="L511" s="14"/>
    </row>
    <row r="512">
      <c r="A512" s="14"/>
      <c r="B512" s="14"/>
      <c r="C512" s="14"/>
      <c r="D512" s="14"/>
      <c r="E512" s="14"/>
      <c r="F512" s="14"/>
      <c r="G512" s="14"/>
      <c r="H512" s="14"/>
      <c r="I512" s="14"/>
      <c r="J512" s="14"/>
      <c r="K512" s="14"/>
      <c r="L512" s="14"/>
    </row>
    <row r="513">
      <c r="A513" s="14"/>
      <c r="B513" s="14"/>
      <c r="C513" s="14"/>
      <c r="D513" s="14"/>
      <c r="E513" s="14"/>
      <c r="F513" s="14"/>
      <c r="G513" s="14"/>
      <c r="H513" s="14"/>
      <c r="I513" s="14"/>
      <c r="J513" s="14"/>
      <c r="K513" s="14"/>
      <c r="L513" s="14"/>
    </row>
    <row r="514">
      <c r="A514" s="14"/>
      <c r="B514" s="14"/>
      <c r="C514" s="14"/>
      <c r="D514" s="14"/>
      <c r="E514" s="14"/>
      <c r="F514" s="14"/>
      <c r="G514" s="14"/>
      <c r="H514" s="14"/>
      <c r="I514" s="14"/>
      <c r="J514" s="14"/>
      <c r="K514" s="14"/>
      <c r="L514" s="14"/>
    </row>
    <row r="515">
      <c r="A515" s="14"/>
      <c r="B515" s="14"/>
      <c r="C515" s="14"/>
      <c r="D515" s="14"/>
      <c r="E515" s="14"/>
      <c r="F515" s="14"/>
      <c r="G515" s="14"/>
      <c r="H515" s="14"/>
      <c r="I515" s="14"/>
      <c r="J515" s="14"/>
      <c r="K515" s="14"/>
      <c r="L515" s="14"/>
    </row>
    <row r="516">
      <c r="A516" s="14"/>
      <c r="B516" s="14"/>
      <c r="C516" s="14"/>
      <c r="D516" s="14"/>
      <c r="E516" s="14"/>
      <c r="F516" s="14"/>
      <c r="G516" s="14"/>
      <c r="H516" s="14"/>
      <c r="I516" s="14"/>
      <c r="J516" s="14"/>
      <c r="K516" s="14"/>
      <c r="L516" s="14"/>
    </row>
    <row r="517">
      <c r="A517" s="14"/>
      <c r="B517" s="14"/>
      <c r="C517" s="14"/>
      <c r="D517" s="14"/>
      <c r="E517" s="14"/>
      <c r="F517" s="14"/>
      <c r="G517" s="14"/>
      <c r="H517" s="14"/>
      <c r="I517" s="14"/>
      <c r="J517" s="14"/>
      <c r="K517" s="14"/>
      <c r="L517" s="14"/>
    </row>
    <row r="518">
      <c r="A518" s="14"/>
      <c r="B518" s="14"/>
      <c r="C518" s="14"/>
      <c r="D518" s="14"/>
      <c r="E518" s="14"/>
      <c r="F518" s="14"/>
      <c r="G518" s="14"/>
      <c r="H518" s="14"/>
      <c r="I518" s="14"/>
      <c r="J518" s="14"/>
      <c r="K518" s="14"/>
      <c r="L518" s="14"/>
    </row>
    <row r="519">
      <c r="A519" s="14"/>
      <c r="B519" s="14"/>
      <c r="C519" s="14"/>
      <c r="D519" s="14"/>
      <c r="E519" s="14"/>
      <c r="F519" s="14"/>
      <c r="G519" s="14"/>
      <c r="H519" s="14"/>
      <c r="I519" s="14"/>
      <c r="J519" s="14"/>
      <c r="K519" s="14"/>
      <c r="L519" s="14"/>
    </row>
    <row r="520">
      <c r="A520" s="14"/>
      <c r="B520" s="14"/>
      <c r="C520" s="14"/>
      <c r="D520" s="14"/>
      <c r="E520" s="14"/>
      <c r="F520" s="14"/>
      <c r="G520" s="14"/>
      <c r="H520" s="14"/>
      <c r="I520" s="14"/>
      <c r="J520" s="14"/>
      <c r="K520" s="14"/>
      <c r="L520" s="14"/>
    </row>
    <row r="521">
      <c r="A521" s="14"/>
      <c r="B521" s="14"/>
      <c r="C521" s="14"/>
      <c r="D521" s="14"/>
      <c r="E521" s="14"/>
      <c r="F521" s="14"/>
      <c r="G521" s="14"/>
      <c r="H521" s="14"/>
      <c r="I521" s="14"/>
      <c r="J521" s="14"/>
      <c r="K521" s="14"/>
      <c r="L521" s="14"/>
    </row>
    <row r="522">
      <c r="A522" s="14"/>
      <c r="B522" s="14"/>
      <c r="C522" s="14"/>
      <c r="D522" s="14"/>
      <c r="E522" s="14"/>
      <c r="F522" s="14"/>
      <c r="G522" s="14"/>
      <c r="H522" s="14"/>
      <c r="I522" s="14"/>
      <c r="J522" s="14"/>
      <c r="K522" s="14"/>
      <c r="L522" s="14"/>
    </row>
    <row r="523">
      <c r="A523" s="14"/>
      <c r="B523" s="14"/>
      <c r="C523" s="14"/>
      <c r="D523" s="14"/>
      <c r="E523" s="14"/>
      <c r="F523" s="14"/>
      <c r="G523" s="14"/>
      <c r="H523" s="14"/>
      <c r="I523" s="14"/>
      <c r="J523" s="14"/>
      <c r="K523" s="14"/>
      <c r="L523" s="14"/>
    </row>
    <row r="524">
      <c r="A524" s="14"/>
      <c r="B524" s="14"/>
      <c r="C524" s="14"/>
      <c r="D524" s="14"/>
      <c r="E524" s="14"/>
      <c r="F524" s="14"/>
      <c r="G524" s="14"/>
      <c r="H524" s="14"/>
      <c r="I524" s="14"/>
      <c r="J524" s="14"/>
      <c r="K524" s="14"/>
      <c r="L524" s="14"/>
    </row>
    <row r="525">
      <c r="A525" s="14"/>
      <c r="B525" s="14"/>
      <c r="C525" s="14"/>
      <c r="D525" s="14"/>
      <c r="E525" s="14"/>
      <c r="F525" s="14"/>
      <c r="G525" s="14"/>
      <c r="H525" s="14"/>
      <c r="I525" s="14"/>
      <c r="J525" s="14"/>
      <c r="K525" s="14"/>
      <c r="L525" s="14"/>
    </row>
    <row r="526">
      <c r="A526" s="14"/>
      <c r="B526" s="14"/>
      <c r="C526" s="14"/>
      <c r="D526" s="14"/>
      <c r="E526" s="14"/>
      <c r="F526" s="14"/>
      <c r="G526" s="14"/>
      <c r="H526" s="14"/>
      <c r="I526" s="14"/>
      <c r="J526" s="14"/>
      <c r="K526" s="14"/>
      <c r="L526" s="14"/>
    </row>
    <row r="527">
      <c r="A527" s="14"/>
      <c r="B527" s="14"/>
      <c r="C527" s="14"/>
      <c r="D527" s="14"/>
      <c r="E527" s="14"/>
      <c r="F527" s="14"/>
      <c r="G527" s="14"/>
      <c r="H527" s="14"/>
      <c r="I527" s="14"/>
      <c r="J527" s="14"/>
      <c r="K527" s="14"/>
      <c r="L527" s="14"/>
    </row>
    <row r="528">
      <c r="A528" s="14"/>
      <c r="B528" s="14"/>
      <c r="C528" s="14"/>
      <c r="D528" s="14"/>
      <c r="E528" s="14"/>
      <c r="F528" s="14"/>
      <c r="G528" s="14"/>
      <c r="H528" s="14"/>
      <c r="I528" s="14"/>
      <c r="J528" s="14"/>
      <c r="K528" s="14"/>
      <c r="L528" s="14"/>
    </row>
    <row r="529">
      <c r="A529" s="14"/>
      <c r="B529" s="14"/>
      <c r="C529" s="14"/>
      <c r="D529" s="14"/>
      <c r="E529" s="14"/>
      <c r="F529" s="14"/>
      <c r="G529" s="14"/>
      <c r="H529" s="14"/>
      <c r="I529" s="14"/>
      <c r="J529" s="14"/>
      <c r="K529" s="14"/>
      <c r="L529" s="14"/>
    </row>
    <row r="530">
      <c r="A530" s="14"/>
      <c r="B530" s="14"/>
      <c r="C530" s="14"/>
      <c r="D530" s="14"/>
      <c r="E530" s="14"/>
      <c r="F530" s="14"/>
      <c r="G530" s="14"/>
      <c r="H530" s="14"/>
      <c r="I530" s="14"/>
      <c r="J530" s="14"/>
      <c r="K530" s="14"/>
      <c r="L530" s="14"/>
    </row>
    <row r="531">
      <c r="A531" s="14"/>
      <c r="B531" s="14"/>
      <c r="C531" s="14"/>
      <c r="D531" s="14"/>
      <c r="E531" s="14"/>
      <c r="F531" s="14"/>
      <c r="G531" s="14"/>
      <c r="H531" s="14"/>
      <c r="I531" s="14"/>
      <c r="J531" s="14"/>
      <c r="K531" s="14"/>
      <c r="L531" s="14"/>
    </row>
    <row r="532">
      <c r="A532" s="14"/>
      <c r="B532" s="14"/>
      <c r="C532" s="14"/>
      <c r="D532" s="14"/>
      <c r="E532" s="14"/>
      <c r="F532" s="14"/>
      <c r="G532" s="14"/>
      <c r="H532" s="14"/>
      <c r="I532" s="14"/>
      <c r="J532" s="14"/>
      <c r="K532" s="14"/>
      <c r="L532" s="14"/>
    </row>
    <row r="533">
      <c r="A533" s="14"/>
      <c r="B533" s="14"/>
      <c r="C533" s="14"/>
      <c r="D533" s="14"/>
      <c r="E533" s="14"/>
      <c r="F533" s="14"/>
      <c r="G533" s="14"/>
      <c r="H533" s="14"/>
      <c r="I533" s="14"/>
      <c r="J533" s="14"/>
      <c r="K533" s="14"/>
      <c r="L533" s="14"/>
    </row>
    <row r="534">
      <c r="A534" s="14"/>
      <c r="B534" s="14"/>
      <c r="C534" s="14"/>
      <c r="D534" s="14"/>
      <c r="E534" s="14"/>
      <c r="F534" s="14"/>
      <c r="G534" s="14"/>
      <c r="H534" s="14"/>
      <c r="I534" s="14"/>
      <c r="J534" s="14"/>
      <c r="K534" s="14"/>
      <c r="L534" s="14"/>
    </row>
    <row r="535">
      <c r="A535" s="14"/>
      <c r="B535" s="14"/>
      <c r="C535" s="14"/>
      <c r="D535" s="14"/>
      <c r="E535" s="14"/>
      <c r="F535" s="14"/>
      <c r="G535" s="14"/>
      <c r="H535" s="14"/>
      <c r="I535" s="14"/>
      <c r="J535" s="14"/>
      <c r="K535" s="14"/>
      <c r="L535" s="14"/>
    </row>
    <row r="536">
      <c r="A536" s="14"/>
      <c r="B536" s="14"/>
      <c r="C536" s="14"/>
      <c r="D536" s="14"/>
      <c r="E536" s="14"/>
      <c r="F536" s="14"/>
      <c r="G536" s="14"/>
      <c r="H536" s="14"/>
      <c r="I536" s="14"/>
      <c r="J536" s="14"/>
      <c r="K536" s="14"/>
      <c r="L536" s="14"/>
    </row>
    <row r="537">
      <c r="A537" s="14"/>
      <c r="B537" s="14"/>
      <c r="C537" s="14"/>
      <c r="D537" s="14"/>
      <c r="E537" s="14"/>
      <c r="F537" s="14"/>
      <c r="G537" s="14"/>
      <c r="H537" s="14"/>
      <c r="I537" s="14"/>
      <c r="J537" s="14"/>
      <c r="K537" s="14"/>
      <c r="L537" s="14"/>
    </row>
    <row r="538">
      <c r="A538" s="14"/>
      <c r="B538" s="14"/>
      <c r="C538" s="14"/>
      <c r="D538" s="14"/>
      <c r="E538" s="14"/>
      <c r="F538" s="14"/>
      <c r="G538" s="14"/>
      <c r="H538" s="14"/>
      <c r="I538" s="14"/>
      <c r="J538" s="14"/>
      <c r="K538" s="14"/>
      <c r="L538" s="14"/>
    </row>
    <row r="539">
      <c r="A539" s="14"/>
      <c r="B539" s="14"/>
      <c r="C539" s="14"/>
      <c r="D539" s="14"/>
      <c r="E539" s="14"/>
      <c r="F539" s="14"/>
      <c r="G539" s="14"/>
      <c r="H539" s="14"/>
      <c r="I539" s="14"/>
      <c r="J539" s="14"/>
      <c r="K539" s="14"/>
      <c r="L539" s="14"/>
    </row>
    <row r="540">
      <c r="A540" s="14"/>
      <c r="B540" s="14"/>
      <c r="C540" s="14"/>
      <c r="D540" s="14"/>
      <c r="E540" s="14"/>
      <c r="F540" s="14"/>
      <c r="G540" s="14"/>
      <c r="H540" s="14"/>
      <c r="I540" s="14"/>
      <c r="J540" s="14"/>
      <c r="K540" s="14"/>
      <c r="L540" s="14"/>
    </row>
    <row r="541">
      <c r="A541" s="14"/>
      <c r="B541" s="14"/>
      <c r="C541" s="14"/>
      <c r="D541" s="14"/>
      <c r="E541" s="14"/>
      <c r="F541" s="14"/>
      <c r="G541" s="14"/>
      <c r="H541" s="14"/>
      <c r="I541" s="14"/>
      <c r="J541" s="14"/>
      <c r="K541" s="14"/>
      <c r="L541" s="14"/>
    </row>
    <row r="542">
      <c r="A542" s="14"/>
      <c r="B542" s="14"/>
      <c r="C542" s="14"/>
      <c r="D542" s="14"/>
      <c r="E542" s="14"/>
      <c r="F542" s="14"/>
      <c r="G542" s="14"/>
      <c r="H542" s="14"/>
      <c r="I542" s="14"/>
      <c r="J542" s="14"/>
      <c r="K542" s="14"/>
      <c r="L542" s="14"/>
    </row>
    <row r="543">
      <c r="A543" s="14"/>
      <c r="B543" s="14"/>
      <c r="C543" s="14"/>
      <c r="D543" s="14"/>
      <c r="E543" s="14"/>
      <c r="F543" s="14"/>
      <c r="G543" s="14"/>
      <c r="H543" s="14"/>
      <c r="I543" s="14"/>
      <c r="J543" s="14"/>
      <c r="K543" s="14"/>
      <c r="L543" s="14"/>
    </row>
    <row r="544">
      <c r="A544" s="14"/>
      <c r="B544" s="14"/>
      <c r="C544" s="14"/>
      <c r="D544" s="14"/>
      <c r="E544" s="14"/>
      <c r="F544" s="14"/>
      <c r="G544" s="14"/>
      <c r="H544" s="14"/>
      <c r="I544" s="14"/>
      <c r="J544" s="14"/>
      <c r="K544" s="14"/>
      <c r="L544" s="14"/>
    </row>
    <row r="545">
      <c r="A545" s="14"/>
      <c r="B545" s="14"/>
      <c r="C545" s="14"/>
      <c r="D545" s="14"/>
      <c r="E545" s="14"/>
      <c r="F545" s="14"/>
      <c r="G545" s="14"/>
      <c r="H545" s="14"/>
      <c r="I545" s="14"/>
      <c r="J545" s="14"/>
      <c r="K545" s="14"/>
      <c r="L545" s="14"/>
    </row>
    <row r="546">
      <c r="A546" s="14"/>
      <c r="B546" s="14"/>
      <c r="C546" s="14"/>
      <c r="D546" s="14"/>
      <c r="E546" s="14"/>
      <c r="F546" s="14"/>
      <c r="G546" s="14"/>
      <c r="H546" s="14"/>
      <c r="I546" s="14"/>
      <c r="J546" s="14"/>
      <c r="K546" s="14"/>
      <c r="L546" s="14"/>
    </row>
    <row r="547">
      <c r="A547" s="14"/>
      <c r="B547" s="14"/>
      <c r="C547" s="14"/>
      <c r="D547" s="14"/>
      <c r="E547" s="14"/>
      <c r="F547" s="14"/>
      <c r="G547" s="14"/>
      <c r="H547" s="14"/>
      <c r="I547" s="14"/>
      <c r="J547" s="14"/>
      <c r="K547" s="14"/>
      <c r="L547" s="14"/>
    </row>
    <row r="548">
      <c r="A548" s="14"/>
      <c r="B548" s="14"/>
      <c r="C548" s="14"/>
      <c r="D548" s="14"/>
      <c r="E548" s="14"/>
      <c r="F548" s="14"/>
      <c r="G548" s="14"/>
      <c r="H548" s="14"/>
      <c r="I548" s="14"/>
      <c r="J548" s="14"/>
      <c r="K548" s="14"/>
      <c r="L548" s="14"/>
    </row>
    <row r="549">
      <c r="A549" s="14"/>
      <c r="B549" s="14"/>
      <c r="C549" s="14"/>
      <c r="D549" s="14"/>
      <c r="E549" s="14"/>
      <c r="F549" s="14"/>
      <c r="G549" s="14"/>
      <c r="H549" s="14"/>
      <c r="I549" s="14"/>
      <c r="J549" s="14"/>
      <c r="K549" s="14"/>
      <c r="L549" s="14"/>
    </row>
    <row r="550">
      <c r="A550" s="14"/>
      <c r="B550" s="14"/>
      <c r="C550" s="14"/>
      <c r="D550" s="14"/>
      <c r="E550" s="14"/>
      <c r="F550" s="14"/>
      <c r="G550" s="14"/>
      <c r="H550" s="14"/>
      <c r="I550" s="14"/>
      <c r="J550" s="14"/>
      <c r="K550" s="14"/>
      <c r="L550" s="14"/>
    </row>
    <row r="551">
      <c r="A551" s="14"/>
      <c r="B551" s="14"/>
      <c r="C551" s="14"/>
      <c r="D551" s="14"/>
      <c r="E551" s="14"/>
      <c r="F551" s="14"/>
      <c r="G551" s="14"/>
      <c r="H551" s="14"/>
      <c r="I551" s="14"/>
      <c r="J551" s="14"/>
      <c r="K551" s="14"/>
      <c r="L551" s="14"/>
    </row>
    <row r="552">
      <c r="A552" s="14"/>
      <c r="B552" s="14"/>
      <c r="C552" s="14"/>
      <c r="D552" s="14"/>
      <c r="E552" s="14"/>
      <c r="F552" s="14"/>
      <c r="G552" s="14"/>
      <c r="H552" s="14"/>
      <c r="I552" s="14"/>
      <c r="J552" s="14"/>
      <c r="K552" s="14"/>
      <c r="L552" s="14"/>
    </row>
    <row r="553">
      <c r="A553" s="14"/>
      <c r="B553" s="14"/>
      <c r="C553" s="14"/>
      <c r="D553" s="14"/>
      <c r="E553" s="14"/>
      <c r="F553" s="14"/>
      <c r="G553" s="14"/>
      <c r="H553" s="14"/>
      <c r="I553" s="14"/>
      <c r="J553" s="14"/>
      <c r="K553" s="14"/>
      <c r="L553" s="14"/>
    </row>
    <row r="554">
      <c r="A554" s="14"/>
      <c r="B554" s="14"/>
      <c r="C554" s="14"/>
      <c r="D554" s="14"/>
      <c r="E554" s="14"/>
      <c r="F554" s="14"/>
      <c r="G554" s="14"/>
      <c r="H554" s="14"/>
      <c r="I554" s="14"/>
      <c r="J554" s="14"/>
      <c r="K554" s="14"/>
      <c r="L554" s="14"/>
    </row>
    <row r="555">
      <c r="A555" s="14"/>
      <c r="B555" s="14"/>
      <c r="C555" s="14"/>
      <c r="D555" s="14"/>
      <c r="E555" s="14"/>
      <c r="F555" s="14"/>
      <c r="G555" s="14"/>
      <c r="H555" s="14"/>
      <c r="I555" s="14"/>
      <c r="J555" s="14"/>
      <c r="K555" s="14"/>
      <c r="L555" s="14"/>
    </row>
    <row r="556">
      <c r="A556" s="14"/>
      <c r="B556" s="14"/>
      <c r="C556" s="14"/>
      <c r="D556" s="14"/>
      <c r="E556" s="14"/>
      <c r="F556" s="14"/>
      <c r="G556" s="14"/>
      <c r="H556" s="14"/>
      <c r="I556" s="14"/>
      <c r="J556" s="14"/>
      <c r="K556" s="14"/>
      <c r="L556" s="14"/>
    </row>
    <row r="557">
      <c r="A557" s="14"/>
      <c r="B557" s="14"/>
      <c r="C557" s="14"/>
      <c r="D557" s="14"/>
      <c r="E557" s="14"/>
      <c r="F557" s="14"/>
      <c r="G557" s="14"/>
      <c r="H557" s="14"/>
      <c r="I557" s="14"/>
      <c r="J557" s="14"/>
      <c r="K557" s="14"/>
      <c r="L557" s="14"/>
    </row>
    <row r="558">
      <c r="A558" s="14"/>
      <c r="B558" s="14"/>
      <c r="C558" s="14"/>
      <c r="D558" s="14"/>
      <c r="E558" s="14"/>
      <c r="F558" s="14"/>
      <c r="G558" s="14"/>
      <c r="H558" s="14"/>
      <c r="I558" s="14"/>
      <c r="J558" s="14"/>
      <c r="K558" s="14"/>
      <c r="L558" s="14"/>
    </row>
    <row r="559">
      <c r="A559" s="14"/>
      <c r="B559" s="14"/>
      <c r="C559" s="14"/>
      <c r="D559" s="14"/>
      <c r="E559" s="14"/>
      <c r="F559" s="14"/>
      <c r="G559" s="14"/>
      <c r="H559" s="14"/>
      <c r="I559" s="14"/>
      <c r="J559" s="14"/>
      <c r="K559" s="14"/>
      <c r="L559" s="14"/>
    </row>
    <row r="560">
      <c r="A560" s="14"/>
      <c r="B560" s="14"/>
      <c r="C560" s="14"/>
      <c r="D560" s="14"/>
      <c r="E560" s="14"/>
      <c r="F560" s="14"/>
      <c r="G560" s="14"/>
      <c r="H560" s="14"/>
      <c r="I560" s="14"/>
      <c r="J560" s="14"/>
      <c r="K560" s="14"/>
      <c r="L560" s="14"/>
    </row>
    <row r="561">
      <c r="A561" s="14"/>
      <c r="B561" s="14"/>
      <c r="C561" s="14"/>
      <c r="D561" s="14"/>
      <c r="E561" s="14"/>
      <c r="F561" s="14"/>
      <c r="G561" s="14"/>
      <c r="H561" s="14"/>
      <c r="I561" s="14"/>
      <c r="J561" s="14"/>
      <c r="K561" s="14"/>
      <c r="L561" s="14"/>
    </row>
    <row r="562">
      <c r="A562" s="14"/>
      <c r="B562" s="14"/>
      <c r="C562" s="14"/>
      <c r="D562" s="14"/>
      <c r="E562" s="14"/>
      <c r="F562" s="14"/>
      <c r="G562" s="14"/>
      <c r="H562" s="14"/>
      <c r="I562" s="14"/>
      <c r="J562" s="14"/>
      <c r="K562" s="14"/>
      <c r="L562" s="14"/>
    </row>
    <row r="563">
      <c r="A563" s="14"/>
      <c r="B563" s="14"/>
      <c r="C563" s="14"/>
      <c r="D563" s="14"/>
      <c r="E563" s="14"/>
      <c r="F563" s="14"/>
      <c r="G563" s="14"/>
      <c r="H563" s="14"/>
      <c r="I563" s="14"/>
      <c r="J563" s="14"/>
      <c r="K563" s="14"/>
      <c r="L563" s="14"/>
    </row>
    <row r="564">
      <c r="A564" s="14"/>
      <c r="B564" s="14"/>
      <c r="C564" s="14"/>
      <c r="D564" s="14"/>
      <c r="E564" s="14"/>
      <c r="F564" s="14"/>
      <c r="G564" s="14"/>
      <c r="H564" s="14"/>
      <c r="I564" s="14"/>
      <c r="J564" s="14"/>
      <c r="K564" s="14"/>
      <c r="L564" s="14"/>
    </row>
    <row r="565">
      <c r="A565" s="14"/>
      <c r="B565" s="14"/>
      <c r="C565" s="14"/>
      <c r="D565" s="14"/>
      <c r="E565" s="14"/>
      <c r="F565" s="14"/>
      <c r="G565" s="14"/>
      <c r="H565" s="14"/>
      <c r="I565" s="14"/>
      <c r="J565" s="14"/>
      <c r="K565" s="14"/>
      <c r="L565" s="14"/>
    </row>
    <row r="566">
      <c r="A566" s="14"/>
      <c r="B566" s="14"/>
      <c r="C566" s="14"/>
      <c r="D566" s="14"/>
      <c r="E566" s="14"/>
      <c r="F566" s="14"/>
      <c r="G566" s="14"/>
      <c r="H566" s="14"/>
      <c r="I566" s="14"/>
      <c r="J566" s="14"/>
      <c r="K566" s="14"/>
      <c r="L566" s="14"/>
    </row>
    <row r="567">
      <c r="A567" s="14"/>
      <c r="B567" s="14"/>
      <c r="C567" s="14"/>
      <c r="D567" s="14"/>
      <c r="E567" s="14"/>
      <c r="F567" s="14"/>
      <c r="G567" s="14"/>
      <c r="H567" s="14"/>
      <c r="I567" s="14"/>
      <c r="J567" s="14"/>
      <c r="K567" s="14"/>
      <c r="L567" s="14"/>
    </row>
    <row r="568">
      <c r="A568" s="14"/>
      <c r="B568" s="14"/>
      <c r="C568" s="14"/>
      <c r="D568" s="14"/>
      <c r="E568" s="14"/>
      <c r="F568" s="14"/>
      <c r="G568" s="14"/>
      <c r="H568" s="14"/>
      <c r="I568" s="14"/>
      <c r="J568" s="14"/>
      <c r="K568" s="14"/>
      <c r="L568" s="14"/>
    </row>
    <row r="569">
      <c r="A569" s="14"/>
      <c r="B569" s="14"/>
      <c r="C569" s="14"/>
      <c r="D569" s="14"/>
      <c r="E569" s="14"/>
      <c r="F569" s="14"/>
      <c r="G569" s="14"/>
      <c r="H569" s="14"/>
      <c r="I569" s="14"/>
      <c r="J569" s="14"/>
      <c r="K569" s="14"/>
      <c r="L569" s="14"/>
    </row>
    <row r="570">
      <c r="A570" s="14"/>
      <c r="B570" s="14"/>
      <c r="C570" s="14"/>
      <c r="D570" s="14"/>
      <c r="E570" s="14"/>
      <c r="F570" s="14"/>
      <c r="G570" s="14"/>
      <c r="H570" s="14"/>
      <c r="I570" s="14"/>
      <c r="J570" s="14"/>
      <c r="K570" s="14"/>
      <c r="L570" s="14"/>
    </row>
    <row r="571">
      <c r="A571" s="14"/>
      <c r="B571" s="14"/>
      <c r="C571" s="14"/>
      <c r="D571" s="14"/>
      <c r="E571" s="14"/>
      <c r="F571" s="14"/>
      <c r="G571" s="14"/>
      <c r="H571" s="14"/>
      <c r="I571" s="14"/>
      <c r="J571" s="14"/>
      <c r="K571" s="14"/>
      <c r="L571" s="14"/>
    </row>
    <row r="572">
      <c r="A572" s="14"/>
      <c r="B572" s="14"/>
      <c r="C572" s="14"/>
      <c r="D572" s="14"/>
      <c r="E572" s="14"/>
      <c r="F572" s="14"/>
      <c r="G572" s="14"/>
      <c r="H572" s="14"/>
      <c r="I572" s="14"/>
      <c r="J572" s="14"/>
      <c r="K572" s="14"/>
      <c r="L572" s="14"/>
    </row>
    <row r="573">
      <c r="A573" s="14"/>
      <c r="B573" s="14"/>
      <c r="C573" s="14"/>
      <c r="D573" s="14"/>
      <c r="E573" s="14"/>
      <c r="F573" s="14"/>
      <c r="G573" s="14"/>
      <c r="H573" s="14"/>
      <c r="I573" s="14"/>
      <c r="J573" s="14"/>
      <c r="K573" s="14"/>
      <c r="L573" s="14"/>
    </row>
    <row r="574">
      <c r="A574" s="14"/>
      <c r="B574" s="14"/>
      <c r="C574" s="14"/>
      <c r="D574" s="14"/>
      <c r="E574" s="14"/>
      <c r="F574" s="14"/>
      <c r="G574" s="14"/>
      <c r="H574" s="14"/>
      <c r="I574" s="14"/>
      <c r="J574" s="14"/>
      <c r="K574" s="14"/>
      <c r="L574" s="14"/>
    </row>
    <row r="575">
      <c r="A575" s="14"/>
      <c r="B575" s="14"/>
      <c r="C575" s="14"/>
      <c r="D575" s="14"/>
      <c r="E575" s="14"/>
      <c r="F575" s="14"/>
      <c r="G575" s="14"/>
      <c r="H575" s="14"/>
      <c r="I575" s="14"/>
      <c r="J575" s="14"/>
      <c r="K575" s="14"/>
      <c r="L575" s="14"/>
    </row>
    <row r="576">
      <c r="A576" s="14"/>
      <c r="B576" s="14"/>
      <c r="C576" s="14"/>
      <c r="D576" s="14"/>
      <c r="E576" s="14"/>
      <c r="F576" s="14"/>
      <c r="G576" s="14"/>
      <c r="H576" s="14"/>
      <c r="I576" s="14"/>
      <c r="J576" s="14"/>
      <c r="K576" s="14"/>
      <c r="L576" s="14"/>
    </row>
    <row r="577">
      <c r="A577" s="14"/>
      <c r="B577" s="14"/>
      <c r="C577" s="14"/>
      <c r="D577" s="14"/>
      <c r="E577" s="14"/>
      <c r="F577" s="14"/>
      <c r="G577" s="14"/>
      <c r="H577" s="14"/>
      <c r="I577" s="14"/>
      <c r="J577" s="14"/>
      <c r="K577" s="14"/>
      <c r="L577" s="14"/>
    </row>
    <row r="578">
      <c r="A578" s="14"/>
      <c r="B578" s="14"/>
      <c r="C578" s="14"/>
      <c r="D578" s="14"/>
      <c r="E578" s="14"/>
      <c r="F578" s="14"/>
      <c r="G578" s="14"/>
      <c r="H578" s="14"/>
      <c r="I578" s="14"/>
      <c r="J578" s="14"/>
      <c r="K578" s="14"/>
      <c r="L578" s="14"/>
    </row>
    <row r="579">
      <c r="A579" s="14"/>
      <c r="B579" s="14"/>
      <c r="C579" s="14"/>
      <c r="D579" s="14"/>
      <c r="E579" s="14"/>
      <c r="F579" s="14"/>
      <c r="G579" s="14"/>
      <c r="H579" s="14"/>
      <c r="I579" s="14"/>
      <c r="J579" s="14"/>
      <c r="K579" s="14"/>
      <c r="L579" s="14"/>
    </row>
    <row r="580">
      <c r="A580" s="14"/>
      <c r="B580" s="14"/>
      <c r="C580" s="14"/>
      <c r="D580" s="14"/>
      <c r="E580" s="14"/>
      <c r="F580" s="14"/>
      <c r="G580" s="14"/>
      <c r="H580" s="14"/>
      <c r="I580" s="14"/>
      <c r="J580" s="14"/>
      <c r="K580" s="14"/>
      <c r="L580" s="14"/>
    </row>
    <row r="581">
      <c r="A581" s="14"/>
      <c r="B581" s="14"/>
      <c r="C581" s="14"/>
      <c r="D581" s="14"/>
      <c r="E581" s="14"/>
      <c r="F581" s="14"/>
      <c r="G581" s="14"/>
      <c r="H581" s="14"/>
      <c r="I581" s="14"/>
      <c r="J581" s="14"/>
      <c r="K581" s="14"/>
      <c r="L581" s="14"/>
    </row>
    <row r="582">
      <c r="A582" s="14"/>
      <c r="B582" s="14"/>
      <c r="C582" s="14"/>
      <c r="D582" s="14"/>
      <c r="E582" s="14"/>
      <c r="F582" s="14"/>
      <c r="G582" s="14"/>
      <c r="H582" s="14"/>
      <c r="I582" s="14"/>
      <c r="J582" s="14"/>
      <c r="K582" s="14"/>
      <c r="L582" s="14"/>
    </row>
    <row r="583">
      <c r="A583" s="14"/>
      <c r="B583" s="14"/>
      <c r="C583" s="14"/>
      <c r="D583" s="14"/>
      <c r="E583" s="14"/>
      <c r="F583" s="14"/>
      <c r="G583" s="14"/>
      <c r="H583" s="14"/>
      <c r="I583" s="14"/>
      <c r="J583" s="14"/>
      <c r="K583" s="14"/>
      <c r="L583" s="14"/>
    </row>
    <row r="584">
      <c r="A584" s="14"/>
      <c r="B584" s="14"/>
      <c r="C584" s="14"/>
      <c r="D584" s="14"/>
      <c r="E584" s="14"/>
      <c r="F584" s="14"/>
      <c r="G584" s="14"/>
      <c r="H584" s="14"/>
      <c r="I584" s="14"/>
      <c r="J584" s="14"/>
      <c r="K584" s="14"/>
      <c r="L584" s="14"/>
    </row>
    <row r="585">
      <c r="A585" s="14"/>
      <c r="B585" s="14"/>
      <c r="C585" s="14"/>
      <c r="D585" s="14"/>
      <c r="E585" s="14"/>
      <c r="F585" s="14"/>
      <c r="G585" s="14"/>
      <c r="H585" s="14"/>
      <c r="I585" s="14"/>
      <c r="J585" s="14"/>
      <c r="K585" s="14"/>
      <c r="L585" s="14"/>
    </row>
    <row r="586">
      <c r="A586" s="14"/>
      <c r="B586" s="14"/>
      <c r="C586" s="14"/>
      <c r="D586" s="14"/>
      <c r="E586" s="14"/>
      <c r="F586" s="14"/>
      <c r="G586" s="14"/>
      <c r="H586" s="14"/>
      <c r="I586" s="14"/>
      <c r="J586" s="14"/>
      <c r="K586" s="14"/>
      <c r="L586" s="14"/>
    </row>
    <row r="587">
      <c r="A587" s="14"/>
      <c r="B587" s="14"/>
      <c r="C587" s="14"/>
      <c r="D587" s="14"/>
      <c r="E587" s="14"/>
      <c r="F587" s="14"/>
      <c r="G587" s="14"/>
      <c r="H587" s="14"/>
      <c r="I587" s="14"/>
      <c r="J587" s="14"/>
      <c r="K587" s="14"/>
      <c r="L587" s="14"/>
    </row>
    <row r="588">
      <c r="A588" s="14"/>
      <c r="B588" s="14"/>
      <c r="C588" s="14"/>
      <c r="D588" s="14"/>
      <c r="E588" s="14"/>
      <c r="F588" s="14"/>
      <c r="G588" s="14"/>
      <c r="H588" s="14"/>
      <c r="I588" s="14"/>
      <c r="J588" s="14"/>
      <c r="K588" s="14"/>
      <c r="L588" s="14"/>
    </row>
    <row r="589">
      <c r="A589" s="14"/>
      <c r="B589" s="14"/>
      <c r="C589" s="14"/>
      <c r="D589" s="14"/>
      <c r="E589" s="14"/>
      <c r="F589" s="14"/>
      <c r="G589" s="14"/>
      <c r="H589" s="14"/>
      <c r="I589" s="14"/>
      <c r="J589" s="14"/>
      <c r="K589" s="14"/>
      <c r="L589" s="14"/>
    </row>
    <row r="590">
      <c r="A590" s="14"/>
      <c r="B590" s="14"/>
      <c r="C590" s="14"/>
      <c r="D590" s="14"/>
      <c r="E590" s="14"/>
      <c r="F590" s="14"/>
      <c r="G590" s="14"/>
      <c r="H590" s="14"/>
      <c r="I590" s="14"/>
      <c r="J590" s="14"/>
      <c r="K590" s="14"/>
      <c r="L590" s="14"/>
    </row>
    <row r="591">
      <c r="A591" s="14"/>
      <c r="B591" s="14"/>
      <c r="C591" s="14"/>
      <c r="D591" s="14"/>
      <c r="E591" s="14"/>
      <c r="F591" s="14"/>
      <c r="G591" s="14"/>
      <c r="H591" s="14"/>
      <c r="I591" s="14"/>
      <c r="J591" s="14"/>
      <c r="K591" s="14"/>
      <c r="L591" s="14"/>
    </row>
    <row r="592">
      <c r="A592" s="14"/>
      <c r="B592" s="14"/>
      <c r="C592" s="14"/>
      <c r="D592" s="14"/>
      <c r="E592" s="14"/>
      <c r="F592" s="14"/>
      <c r="G592" s="14"/>
      <c r="H592" s="14"/>
      <c r="I592" s="14"/>
      <c r="J592" s="14"/>
      <c r="K592" s="14"/>
      <c r="L592" s="14"/>
    </row>
    <row r="593">
      <c r="A593" s="14"/>
      <c r="B593" s="14"/>
      <c r="C593" s="14"/>
      <c r="D593" s="14"/>
      <c r="E593" s="14"/>
      <c r="F593" s="14"/>
      <c r="G593" s="14"/>
      <c r="H593" s="14"/>
      <c r="I593" s="14"/>
      <c r="J593" s="14"/>
      <c r="K593" s="14"/>
      <c r="L593" s="14"/>
    </row>
    <row r="594">
      <c r="A594" s="14"/>
      <c r="B594" s="14"/>
      <c r="C594" s="14"/>
      <c r="D594" s="14"/>
      <c r="E594" s="14"/>
      <c r="F594" s="14"/>
      <c r="G594" s="14"/>
      <c r="H594" s="14"/>
      <c r="I594" s="14"/>
      <c r="J594" s="14"/>
      <c r="K594" s="14"/>
      <c r="L594" s="14"/>
    </row>
    <row r="595">
      <c r="A595" s="14"/>
      <c r="B595" s="14"/>
      <c r="C595" s="14"/>
      <c r="D595" s="14"/>
      <c r="E595" s="14"/>
      <c r="F595" s="14"/>
      <c r="G595" s="14"/>
      <c r="H595" s="14"/>
      <c r="I595" s="14"/>
      <c r="J595" s="14"/>
      <c r="K595" s="14"/>
      <c r="L595" s="14"/>
    </row>
    <row r="596">
      <c r="A596" s="14"/>
      <c r="B596" s="14"/>
      <c r="C596" s="14"/>
      <c r="D596" s="14"/>
      <c r="E596" s="14"/>
      <c r="F596" s="14"/>
      <c r="G596" s="14"/>
      <c r="H596" s="14"/>
      <c r="I596" s="14"/>
      <c r="J596" s="14"/>
      <c r="K596" s="14"/>
      <c r="L596" s="14"/>
    </row>
    <row r="597">
      <c r="A597" s="14"/>
      <c r="B597" s="14"/>
      <c r="C597" s="14"/>
      <c r="D597" s="14"/>
      <c r="E597" s="14"/>
      <c r="F597" s="14"/>
      <c r="G597" s="14"/>
      <c r="H597" s="14"/>
      <c r="I597" s="14"/>
      <c r="J597" s="14"/>
      <c r="K597" s="14"/>
      <c r="L597" s="14"/>
    </row>
    <row r="598">
      <c r="A598" s="14"/>
      <c r="B598" s="14"/>
      <c r="C598" s="14"/>
      <c r="D598" s="14"/>
      <c r="E598" s="14"/>
      <c r="F598" s="14"/>
      <c r="G598" s="14"/>
      <c r="H598" s="14"/>
      <c r="I598" s="14"/>
      <c r="J598" s="14"/>
      <c r="K598" s="14"/>
      <c r="L598" s="14"/>
    </row>
    <row r="599">
      <c r="A599" s="14"/>
      <c r="B599" s="14"/>
      <c r="C599" s="14"/>
      <c r="D599" s="14"/>
      <c r="E599" s="14"/>
      <c r="F599" s="14"/>
      <c r="G599" s="14"/>
      <c r="H599" s="14"/>
      <c r="I599" s="14"/>
      <c r="J599" s="14"/>
      <c r="K599" s="14"/>
      <c r="L599" s="14"/>
    </row>
    <row r="600">
      <c r="A600" s="14"/>
      <c r="B600" s="14"/>
      <c r="C600" s="14"/>
      <c r="D600" s="14"/>
      <c r="E600" s="14"/>
      <c r="F600" s="14"/>
      <c r="G600" s="14"/>
      <c r="H600" s="14"/>
      <c r="I600" s="14"/>
      <c r="J600" s="14"/>
      <c r="K600" s="14"/>
      <c r="L600" s="14"/>
    </row>
    <row r="601">
      <c r="A601" s="14"/>
      <c r="B601" s="14"/>
      <c r="C601" s="14"/>
      <c r="D601" s="14"/>
      <c r="E601" s="14"/>
      <c r="F601" s="14"/>
      <c r="G601" s="14"/>
      <c r="H601" s="14"/>
      <c r="I601" s="14"/>
      <c r="J601" s="14"/>
      <c r="K601" s="14"/>
      <c r="L601" s="14"/>
    </row>
    <row r="602">
      <c r="A602" s="14"/>
      <c r="B602" s="14"/>
      <c r="C602" s="14"/>
      <c r="D602" s="14"/>
      <c r="E602" s="14"/>
      <c r="F602" s="14"/>
      <c r="G602" s="14"/>
      <c r="H602" s="14"/>
      <c r="I602" s="14"/>
      <c r="J602" s="14"/>
      <c r="K602" s="14"/>
      <c r="L602" s="14"/>
    </row>
    <row r="603">
      <c r="A603" s="14"/>
      <c r="B603" s="14"/>
      <c r="C603" s="14"/>
      <c r="D603" s="14"/>
      <c r="E603" s="14"/>
      <c r="F603" s="14"/>
      <c r="G603" s="14"/>
      <c r="H603" s="14"/>
      <c r="I603" s="14"/>
      <c r="J603" s="14"/>
      <c r="K603" s="14"/>
      <c r="L603" s="14"/>
    </row>
    <row r="604">
      <c r="A604" s="14"/>
      <c r="B604" s="14"/>
      <c r="C604" s="14"/>
      <c r="D604" s="14"/>
      <c r="E604" s="14"/>
      <c r="F604" s="14"/>
      <c r="G604" s="14"/>
      <c r="H604" s="14"/>
      <c r="I604" s="14"/>
      <c r="J604" s="14"/>
      <c r="K604" s="14"/>
      <c r="L604" s="14"/>
    </row>
    <row r="605">
      <c r="A605" s="14"/>
      <c r="B605" s="14"/>
      <c r="C605" s="14"/>
      <c r="D605" s="14"/>
      <c r="E605" s="14"/>
      <c r="F605" s="14"/>
      <c r="G605" s="14"/>
      <c r="H605" s="14"/>
      <c r="I605" s="14"/>
      <c r="J605" s="14"/>
      <c r="K605" s="14"/>
      <c r="L605" s="14"/>
    </row>
    <row r="606">
      <c r="A606" s="14"/>
      <c r="B606" s="14"/>
      <c r="C606" s="14"/>
      <c r="D606" s="14"/>
      <c r="E606" s="14"/>
      <c r="F606" s="14"/>
      <c r="G606" s="14"/>
      <c r="H606" s="14"/>
      <c r="I606" s="14"/>
      <c r="J606" s="14"/>
      <c r="K606" s="14"/>
      <c r="L606" s="14"/>
    </row>
    <row r="607">
      <c r="A607" s="14"/>
      <c r="B607" s="14"/>
      <c r="C607" s="14"/>
      <c r="D607" s="14"/>
      <c r="E607" s="14"/>
      <c r="F607" s="14"/>
      <c r="G607" s="14"/>
      <c r="H607" s="14"/>
      <c r="I607" s="14"/>
      <c r="J607" s="14"/>
      <c r="K607" s="14"/>
      <c r="L607" s="14"/>
    </row>
    <row r="608">
      <c r="A608" s="14"/>
      <c r="B608" s="14"/>
      <c r="C608" s="14"/>
      <c r="D608" s="14"/>
      <c r="E608" s="14"/>
      <c r="F608" s="14"/>
      <c r="G608" s="14"/>
      <c r="H608" s="14"/>
      <c r="I608" s="14"/>
      <c r="J608" s="14"/>
      <c r="K608" s="14"/>
      <c r="L608" s="14"/>
    </row>
    <row r="609">
      <c r="A609" s="14"/>
      <c r="B609" s="14"/>
      <c r="C609" s="14"/>
      <c r="D609" s="14"/>
      <c r="E609" s="14"/>
      <c r="F609" s="14"/>
      <c r="G609" s="14"/>
      <c r="H609" s="14"/>
      <c r="I609" s="14"/>
      <c r="J609" s="14"/>
      <c r="K609" s="14"/>
      <c r="L609" s="14"/>
    </row>
    <row r="610">
      <c r="A610" s="14"/>
      <c r="B610" s="14"/>
      <c r="C610" s="14"/>
      <c r="D610" s="14"/>
      <c r="E610" s="14"/>
      <c r="F610" s="14"/>
      <c r="G610" s="14"/>
      <c r="H610" s="14"/>
      <c r="I610" s="14"/>
      <c r="J610" s="14"/>
      <c r="K610" s="14"/>
      <c r="L610" s="14"/>
    </row>
    <row r="611">
      <c r="A611" s="14"/>
      <c r="B611" s="14"/>
      <c r="C611" s="14"/>
      <c r="D611" s="14"/>
      <c r="E611" s="14"/>
      <c r="F611" s="14"/>
      <c r="G611" s="14"/>
      <c r="H611" s="14"/>
      <c r="I611" s="14"/>
      <c r="J611" s="14"/>
      <c r="K611" s="14"/>
      <c r="L611" s="14"/>
    </row>
    <row r="612">
      <c r="A612" s="14"/>
      <c r="B612" s="14"/>
      <c r="C612" s="14"/>
      <c r="D612" s="14"/>
      <c r="E612" s="14"/>
      <c r="F612" s="14"/>
      <c r="G612" s="14"/>
      <c r="H612" s="14"/>
      <c r="I612" s="14"/>
      <c r="J612" s="14"/>
      <c r="K612" s="14"/>
      <c r="L612" s="14"/>
    </row>
    <row r="613">
      <c r="A613" s="14"/>
      <c r="B613" s="14"/>
      <c r="C613" s="14"/>
      <c r="D613" s="14"/>
      <c r="E613" s="14"/>
      <c r="F613" s="14"/>
      <c r="G613" s="14"/>
      <c r="H613" s="14"/>
      <c r="I613" s="14"/>
      <c r="J613" s="14"/>
      <c r="K613" s="14"/>
      <c r="L613" s="14"/>
    </row>
    <row r="614">
      <c r="A614" s="14"/>
      <c r="B614" s="14"/>
      <c r="C614" s="14"/>
      <c r="D614" s="14"/>
      <c r="E614" s="14"/>
      <c r="F614" s="14"/>
      <c r="G614" s="14"/>
      <c r="H614" s="14"/>
      <c r="I614" s="14"/>
      <c r="J614" s="14"/>
      <c r="K614" s="14"/>
      <c r="L614" s="14"/>
    </row>
    <row r="615">
      <c r="A615" s="14"/>
      <c r="B615" s="14"/>
      <c r="C615" s="14"/>
      <c r="D615" s="14"/>
      <c r="E615" s="14"/>
      <c r="F615" s="14"/>
      <c r="G615" s="14"/>
      <c r="H615" s="14"/>
      <c r="I615" s="14"/>
      <c r="J615" s="14"/>
      <c r="K615" s="14"/>
      <c r="L615" s="14"/>
    </row>
    <row r="616">
      <c r="A616" s="14"/>
      <c r="B616" s="14"/>
      <c r="C616" s="14"/>
      <c r="D616" s="14"/>
      <c r="E616" s="14"/>
      <c r="F616" s="14"/>
      <c r="G616" s="14"/>
      <c r="H616" s="14"/>
      <c r="I616" s="14"/>
      <c r="J616" s="14"/>
      <c r="K616" s="14"/>
      <c r="L616" s="14"/>
    </row>
    <row r="617">
      <c r="A617" s="14"/>
      <c r="B617" s="14"/>
      <c r="C617" s="14"/>
      <c r="D617" s="14"/>
      <c r="E617" s="14"/>
      <c r="F617" s="14"/>
      <c r="G617" s="14"/>
      <c r="H617" s="14"/>
      <c r="I617" s="14"/>
      <c r="J617" s="14"/>
      <c r="K617" s="14"/>
      <c r="L617" s="14"/>
    </row>
    <row r="618">
      <c r="A618" s="14"/>
      <c r="B618" s="14"/>
      <c r="C618" s="14"/>
      <c r="D618" s="14"/>
      <c r="E618" s="14"/>
      <c r="F618" s="14"/>
      <c r="G618" s="14"/>
      <c r="H618" s="14"/>
      <c r="I618" s="14"/>
      <c r="J618" s="14"/>
      <c r="K618" s="14"/>
      <c r="L618" s="14"/>
    </row>
    <row r="619">
      <c r="A619" s="14"/>
      <c r="B619" s="14"/>
      <c r="C619" s="14"/>
      <c r="D619" s="14"/>
      <c r="E619" s="14"/>
      <c r="F619" s="14"/>
      <c r="G619" s="14"/>
      <c r="H619" s="14"/>
      <c r="I619" s="14"/>
      <c r="J619" s="14"/>
      <c r="K619" s="14"/>
      <c r="L619" s="14"/>
    </row>
    <row r="620">
      <c r="A620" s="14"/>
      <c r="B620" s="14"/>
      <c r="C620" s="14"/>
      <c r="D620" s="14"/>
      <c r="E620" s="14"/>
      <c r="F620" s="14"/>
      <c r="G620" s="14"/>
      <c r="H620" s="14"/>
      <c r="I620" s="14"/>
      <c r="J620" s="14"/>
      <c r="K620" s="14"/>
      <c r="L620" s="14"/>
    </row>
    <row r="621">
      <c r="A621" s="14"/>
      <c r="B621" s="14"/>
      <c r="C621" s="14"/>
      <c r="D621" s="14"/>
      <c r="E621" s="14"/>
      <c r="F621" s="14"/>
      <c r="G621" s="14"/>
      <c r="H621" s="14"/>
      <c r="I621" s="14"/>
      <c r="J621" s="14"/>
      <c r="K621" s="14"/>
      <c r="L621" s="14"/>
    </row>
    <row r="622">
      <c r="A622" s="14"/>
      <c r="B622" s="14"/>
      <c r="C622" s="14"/>
      <c r="D622" s="14"/>
      <c r="E622" s="14"/>
      <c r="F622" s="14"/>
      <c r="G622" s="14"/>
      <c r="H622" s="14"/>
      <c r="I622" s="14"/>
      <c r="J622" s="14"/>
      <c r="K622" s="14"/>
      <c r="L622" s="14"/>
    </row>
    <row r="623">
      <c r="A623" s="14"/>
      <c r="B623" s="14"/>
      <c r="C623" s="14"/>
      <c r="D623" s="14"/>
      <c r="E623" s="14"/>
      <c r="F623" s="14"/>
      <c r="G623" s="14"/>
      <c r="H623" s="14"/>
      <c r="I623" s="14"/>
      <c r="J623" s="14"/>
      <c r="K623" s="14"/>
      <c r="L623" s="14"/>
    </row>
    <row r="624">
      <c r="A624" s="14"/>
      <c r="B624" s="14"/>
      <c r="C624" s="14"/>
      <c r="D624" s="14"/>
      <c r="E624" s="14"/>
      <c r="F624" s="14"/>
      <c r="G624" s="14"/>
      <c r="H624" s="14"/>
      <c r="I624" s="14"/>
      <c r="J624" s="14"/>
      <c r="K624" s="14"/>
      <c r="L624" s="14"/>
    </row>
    <row r="625">
      <c r="A625" s="14"/>
      <c r="B625" s="14"/>
      <c r="C625" s="14"/>
      <c r="D625" s="14"/>
      <c r="E625" s="14"/>
      <c r="F625" s="14"/>
      <c r="G625" s="14"/>
      <c r="H625" s="14"/>
      <c r="I625" s="14"/>
      <c r="J625" s="14"/>
      <c r="K625" s="14"/>
      <c r="L625" s="14"/>
    </row>
    <row r="626">
      <c r="A626" s="14"/>
      <c r="B626" s="14"/>
      <c r="C626" s="14"/>
      <c r="D626" s="14"/>
      <c r="E626" s="14"/>
      <c r="F626" s="14"/>
      <c r="G626" s="14"/>
      <c r="H626" s="14"/>
      <c r="I626" s="14"/>
      <c r="J626" s="14"/>
      <c r="K626" s="14"/>
      <c r="L626" s="14"/>
    </row>
    <row r="627">
      <c r="A627" s="14"/>
      <c r="B627" s="14"/>
      <c r="C627" s="14"/>
      <c r="D627" s="14"/>
      <c r="E627" s="14"/>
      <c r="F627" s="14"/>
      <c r="G627" s="14"/>
      <c r="H627" s="14"/>
      <c r="I627" s="14"/>
      <c r="J627" s="14"/>
      <c r="K627" s="14"/>
      <c r="L627" s="14"/>
    </row>
    <row r="628">
      <c r="A628" s="14"/>
      <c r="B628" s="14"/>
      <c r="C628" s="14"/>
      <c r="D628" s="14"/>
      <c r="E628" s="14"/>
      <c r="F628" s="14"/>
      <c r="G628" s="14"/>
      <c r="H628" s="14"/>
      <c r="I628" s="14"/>
      <c r="J628" s="14"/>
      <c r="K628" s="14"/>
      <c r="L628" s="14"/>
    </row>
    <row r="629">
      <c r="A629" s="14"/>
      <c r="B629" s="14"/>
      <c r="C629" s="14"/>
      <c r="D629" s="14"/>
      <c r="E629" s="14"/>
      <c r="F629" s="14"/>
      <c r="G629" s="14"/>
      <c r="H629" s="14"/>
      <c r="I629" s="14"/>
      <c r="J629" s="14"/>
      <c r="K629" s="14"/>
      <c r="L629" s="14"/>
    </row>
    <row r="630">
      <c r="A630" s="14"/>
      <c r="B630" s="14"/>
      <c r="C630" s="14"/>
      <c r="D630" s="14"/>
      <c r="E630" s="14"/>
      <c r="F630" s="14"/>
      <c r="G630" s="14"/>
      <c r="H630" s="14"/>
      <c r="I630" s="14"/>
      <c r="J630" s="14"/>
      <c r="K630" s="14"/>
      <c r="L630" s="14"/>
    </row>
    <row r="631">
      <c r="A631" s="14"/>
      <c r="B631" s="14"/>
      <c r="C631" s="14"/>
      <c r="D631" s="14"/>
      <c r="E631" s="14"/>
      <c r="F631" s="14"/>
      <c r="G631" s="14"/>
      <c r="H631" s="14"/>
      <c r="I631" s="14"/>
      <c r="J631" s="14"/>
      <c r="K631" s="14"/>
      <c r="L631" s="14"/>
    </row>
    <row r="632">
      <c r="A632" s="14"/>
      <c r="B632" s="14"/>
      <c r="C632" s="14"/>
      <c r="D632" s="14"/>
      <c r="E632" s="14"/>
      <c r="F632" s="14"/>
      <c r="G632" s="14"/>
      <c r="H632" s="14"/>
      <c r="I632" s="14"/>
      <c r="J632" s="14"/>
      <c r="K632" s="14"/>
      <c r="L632" s="14"/>
    </row>
    <row r="633">
      <c r="A633" s="14"/>
      <c r="B633" s="14"/>
      <c r="C633" s="14"/>
      <c r="D633" s="14"/>
      <c r="E633" s="14"/>
      <c r="F633" s="14"/>
      <c r="G633" s="14"/>
      <c r="H633" s="14"/>
      <c r="I633" s="14"/>
      <c r="J633" s="14"/>
      <c r="K633" s="14"/>
      <c r="L633" s="14"/>
    </row>
    <row r="634">
      <c r="A634" s="14"/>
      <c r="B634" s="14"/>
      <c r="C634" s="14"/>
      <c r="D634" s="14"/>
      <c r="E634" s="14"/>
      <c r="F634" s="14"/>
      <c r="G634" s="14"/>
      <c r="H634" s="14"/>
      <c r="I634" s="14"/>
      <c r="J634" s="14"/>
      <c r="K634" s="14"/>
      <c r="L634" s="14"/>
    </row>
    <row r="635">
      <c r="A635" s="14"/>
      <c r="B635" s="14"/>
      <c r="C635" s="14"/>
      <c r="D635" s="14"/>
      <c r="E635" s="14"/>
      <c r="F635" s="14"/>
      <c r="G635" s="14"/>
      <c r="H635" s="14"/>
      <c r="I635" s="14"/>
      <c r="J635" s="14"/>
      <c r="K635" s="14"/>
      <c r="L635" s="14"/>
    </row>
    <row r="636">
      <c r="A636" s="14"/>
      <c r="B636" s="14"/>
      <c r="C636" s="14"/>
      <c r="D636" s="14"/>
      <c r="E636" s="14"/>
      <c r="F636" s="14"/>
      <c r="G636" s="14"/>
      <c r="H636" s="14"/>
      <c r="I636" s="14"/>
      <c r="J636" s="14"/>
      <c r="K636" s="14"/>
      <c r="L636" s="14"/>
    </row>
    <row r="637">
      <c r="A637" s="14"/>
      <c r="B637" s="14"/>
      <c r="C637" s="14"/>
      <c r="D637" s="14"/>
      <c r="E637" s="14"/>
      <c r="F637" s="14"/>
      <c r="G637" s="14"/>
      <c r="H637" s="14"/>
      <c r="I637" s="14"/>
      <c r="J637" s="14"/>
      <c r="K637" s="14"/>
      <c r="L637" s="14"/>
    </row>
    <row r="638">
      <c r="A638" s="14"/>
      <c r="B638" s="14"/>
      <c r="C638" s="14"/>
      <c r="D638" s="14"/>
      <c r="E638" s="14"/>
      <c r="F638" s="14"/>
      <c r="G638" s="14"/>
      <c r="H638" s="14"/>
      <c r="I638" s="14"/>
      <c r="J638" s="14"/>
      <c r="K638" s="14"/>
      <c r="L638" s="14"/>
    </row>
    <row r="639">
      <c r="A639" s="14"/>
      <c r="B639" s="14"/>
      <c r="C639" s="14"/>
      <c r="D639" s="14"/>
      <c r="E639" s="14"/>
      <c r="F639" s="14"/>
      <c r="G639" s="14"/>
      <c r="H639" s="14"/>
      <c r="I639" s="14"/>
      <c r="J639" s="14"/>
      <c r="K639" s="14"/>
      <c r="L639" s="14"/>
    </row>
    <row r="640">
      <c r="A640" s="14"/>
      <c r="B640" s="14"/>
      <c r="C640" s="14"/>
      <c r="D640" s="14"/>
      <c r="E640" s="14"/>
      <c r="F640" s="14"/>
      <c r="G640" s="14"/>
      <c r="H640" s="14"/>
      <c r="I640" s="14"/>
      <c r="J640" s="14"/>
      <c r="K640" s="14"/>
      <c r="L640" s="14"/>
    </row>
    <row r="641">
      <c r="A641" s="14"/>
      <c r="B641" s="14"/>
      <c r="C641" s="14"/>
      <c r="D641" s="14"/>
      <c r="E641" s="14"/>
      <c r="F641" s="14"/>
      <c r="G641" s="14"/>
      <c r="H641" s="14"/>
      <c r="I641" s="14"/>
      <c r="J641" s="14"/>
      <c r="K641" s="14"/>
      <c r="L641" s="14"/>
    </row>
    <row r="642">
      <c r="A642" s="14"/>
      <c r="B642" s="14"/>
      <c r="C642" s="14"/>
      <c r="D642" s="14"/>
      <c r="E642" s="14"/>
      <c r="F642" s="14"/>
      <c r="G642" s="14"/>
      <c r="H642" s="14"/>
      <c r="I642" s="14"/>
      <c r="J642" s="14"/>
      <c r="K642" s="14"/>
      <c r="L642" s="14"/>
    </row>
    <row r="643">
      <c r="A643" s="14"/>
      <c r="B643" s="14"/>
      <c r="C643" s="14"/>
      <c r="D643" s="14"/>
      <c r="E643" s="14"/>
      <c r="F643" s="14"/>
      <c r="G643" s="14"/>
      <c r="H643" s="14"/>
      <c r="I643" s="14"/>
      <c r="J643" s="14"/>
      <c r="K643" s="14"/>
      <c r="L643" s="14"/>
    </row>
    <row r="644">
      <c r="A644" s="14"/>
      <c r="B644" s="14"/>
      <c r="C644" s="14"/>
      <c r="D644" s="14"/>
      <c r="E644" s="14"/>
      <c r="F644" s="14"/>
      <c r="G644" s="14"/>
      <c r="H644" s="14"/>
      <c r="I644" s="14"/>
      <c r="J644" s="14"/>
      <c r="K644" s="14"/>
      <c r="L644" s="14"/>
    </row>
    <row r="645">
      <c r="A645" s="14"/>
      <c r="B645" s="14"/>
      <c r="C645" s="14"/>
      <c r="D645" s="14"/>
      <c r="E645" s="14"/>
      <c r="F645" s="14"/>
      <c r="G645" s="14"/>
      <c r="H645" s="14"/>
      <c r="I645" s="14"/>
      <c r="J645" s="14"/>
      <c r="K645" s="14"/>
      <c r="L645" s="14"/>
    </row>
    <row r="646">
      <c r="A646" s="14"/>
      <c r="B646" s="14"/>
      <c r="C646" s="14"/>
      <c r="D646" s="14"/>
      <c r="E646" s="14"/>
      <c r="F646" s="14"/>
      <c r="G646" s="14"/>
      <c r="H646" s="14"/>
      <c r="I646" s="14"/>
      <c r="J646" s="14"/>
      <c r="K646" s="14"/>
      <c r="L646" s="14"/>
    </row>
    <row r="647">
      <c r="A647" s="14"/>
      <c r="B647" s="14"/>
      <c r="C647" s="14"/>
      <c r="D647" s="14"/>
      <c r="E647" s="14"/>
      <c r="F647" s="14"/>
      <c r="G647" s="14"/>
      <c r="H647" s="14"/>
      <c r="I647" s="14"/>
      <c r="J647" s="14"/>
      <c r="K647" s="14"/>
      <c r="L647" s="14"/>
    </row>
    <row r="648">
      <c r="A648" s="14"/>
      <c r="B648" s="14"/>
      <c r="C648" s="14"/>
      <c r="D648" s="14"/>
      <c r="E648" s="14"/>
      <c r="F648" s="14"/>
      <c r="G648" s="14"/>
      <c r="H648" s="14"/>
      <c r="I648" s="14"/>
      <c r="J648" s="14"/>
      <c r="K648" s="14"/>
      <c r="L648" s="14"/>
    </row>
    <row r="649">
      <c r="A649" s="14"/>
      <c r="B649" s="14"/>
      <c r="C649" s="14"/>
      <c r="D649" s="14"/>
      <c r="E649" s="14"/>
      <c r="F649" s="14"/>
      <c r="G649" s="14"/>
      <c r="H649" s="14"/>
      <c r="I649" s="14"/>
      <c r="J649" s="14"/>
      <c r="K649" s="14"/>
      <c r="L649" s="14"/>
    </row>
    <row r="650">
      <c r="A650" s="14"/>
      <c r="B650" s="14"/>
      <c r="C650" s="14"/>
      <c r="D650" s="14"/>
      <c r="E650" s="14"/>
      <c r="F650" s="14"/>
      <c r="G650" s="14"/>
      <c r="H650" s="14"/>
      <c r="I650" s="14"/>
      <c r="J650" s="14"/>
      <c r="K650" s="14"/>
      <c r="L650" s="14"/>
    </row>
    <row r="651">
      <c r="A651" s="14"/>
      <c r="B651" s="14"/>
      <c r="C651" s="14"/>
      <c r="D651" s="14"/>
      <c r="E651" s="14"/>
      <c r="F651" s="14"/>
      <c r="G651" s="14"/>
      <c r="H651" s="14"/>
      <c r="I651" s="14"/>
      <c r="J651" s="14"/>
      <c r="K651" s="14"/>
      <c r="L651" s="14"/>
    </row>
    <row r="652">
      <c r="A652" s="14"/>
      <c r="B652" s="14"/>
      <c r="C652" s="14"/>
      <c r="D652" s="14"/>
      <c r="E652" s="14"/>
      <c r="F652" s="14"/>
      <c r="G652" s="14"/>
      <c r="H652" s="14"/>
      <c r="I652" s="14"/>
      <c r="J652" s="14"/>
      <c r="K652" s="14"/>
      <c r="L652" s="14"/>
    </row>
    <row r="653">
      <c r="A653" s="14"/>
      <c r="B653" s="14"/>
      <c r="C653" s="14"/>
      <c r="D653" s="14"/>
      <c r="E653" s="14"/>
      <c r="F653" s="14"/>
      <c r="G653" s="14"/>
      <c r="H653" s="14"/>
      <c r="I653" s="14"/>
      <c r="J653" s="14"/>
      <c r="K653" s="14"/>
      <c r="L653" s="14"/>
    </row>
    <row r="654">
      <c r="A654" s="14"/>
      <c r="B654" s="14"/>
      <c r="C654" s="14"/>
      <c r="D654" s="14"/>
      <c r="E654" s="14"/>
      <c r="F654" s="14"/>
      <c r="G654" s="14"/>
      <c r="H654" s="14"/>
      <c r="I654" s="14"/>
      <c r="J654" s="14"/>
      <c r="K654" s="14"/>
      <c r="L654" s="14"/>
    </row>
    <row r="655">
      <c r="A655" s="14"/>
      <c r="B655" s="14"/>
      <c r="C655" s="14"/>
      <c r="D655" s="14"/>
      <c r="E655" s="14"/>
      <c r="F655" s="14"/>
      <c r="G655" s="14"/>
      <c r="H655" s="14"/>
      <c r="I655" s="14"/>
      <c r="J655" s="14"/>
      <c r="K655" s="14"/>
      <c r="L655" s="14"/>
    </row>
    <row r="656">
      <c r="A656" s="14"/>
      <c r="B656" s="14"/>
      <c r="C656" s="14"/>
      <c r="D656" s="14"/>
      <c r="E656" s="14"/>
      <c r="F656" s="14"/>
      <c r="G656" s="14"/>
      <c r="H656" s="14"/>
      <c r="I656" s="14"/>
      <c r="J656" s="14"/>
      <c r="K656" s="14"/>
      <c r="L656" s="14"/>
    </row>
    <row r="657">
      <c r="A657" s="14"/>
      <c r="B657" s="14"/>
      <c r="C657" s="14"/>
      <c r="D657" s="14"/>
      <c r="E657" s="14"/>
      <c r="F657" s="14"/>
      <c r="G657" s="14"/>
      <c r="H657" s="14"/>
      <c r="I657" s="14"/>
      <c r="J657" s="14"/>
      <c r="K657" s="14"/>
      <c r="L657" s="14"/>
    </row>
    <row r="658">
      <c r="A658" s="14"/>
      <c r="B658" s="14"/>
      <c r="C658" s="14"/>
      <c r="D658" s="14"/>
      <c r="E658" s="14"/>
      <c r="F658" s="14"/>
      <c r="G658" s="14"/>
      <c r="H658" s="14"/>
      <c r="I658" s="14"/>
      <c r="J658" s="14"/>
      <c r="K658" s="14"/>
      <c r="L658" s="14"/>
    </row>
    <row r="659">
      <c r="A659" s="14"/>
      <c r="B659" s="14"/>
      <c r="C659" s="14"/>
      <c r="D659" s="14"/>
      <c r="E659" s="14"/>
      <c r="F659" s="14"/>
      <c r="G659" s="14"/>
      <c r="H659" s="14"/>
      <c r="I659" s="14"/>
      <c r="J659" s="14"/>
      <c r="K659" s="14"/>
      <c r="L659" s="14"/>
    </row>
    <row r="660">
      <c r="A660" s="14"/>
      <c r="B660" s="14"/>
      <c r="C660" s="14"/>
      <c r="D660" s="14"/>
      <c r="E660" s="14"/>
      <c r="F660" s="14"/>
      <c r="G660" s="14"/>
      <c r="H660" s="14"/>
      <c r="I660" s="14"/>
      <c r="J660" s="14"/>
      <c r="K660" s="14"/>
      <c r="L660" s="14"/>
    </row>
    <row r="661">
      <c r="A661" s="14"/>
      <c r="B661" s="14"/>
      <c r="C661" s="14"/>
      <c r="D661" s="14"/>
      <c r="E661" s="14"/>
      <c r="F661" s="14"/>
      <c r="G661" s="14"/>
      <c r="H661" s="14"/>
      <c r="I661" s="14"/>
      <c r="J661" s="14"/>
      <c r="K661" s="14"/>
      <c r="L661" s="14"/>
    </row>
    <row r="662">
      <c r="A662" s="14"/>
      <c r="B662" s="14"/>
      <c r="C662" s="14"/>
      <c r="D662" s="14"/>
      <c r="E662" s="14"/>
      <c r="F662" s="14"/>
      <c r="G662" s="14"/>
      <c r="H662" s="14"/>
      <c r="I662" s="14"/>
      <c r="J662" s="14"/>
      <c r="K662" s="14"/>
      <c r="L662" s="14"/>
    </row>
    <row r="663">
      <c r="A663" s="14"/>
      <c r="B663" s="14"/>
      <c r="C663" s="14"/>
      <c r="D663" s="14"/>
      <c r="E663" s="14"/>
      <c r="F663" s="14"/>
      <c r="G663" s="14"/>
      <c r="H663" s="14"/>
      <c r="I663" s="14"/>
      <c r="J663" s="14"/>
      <c r="K663" s="14"/>
      <c r="L663" s="14"/>
    </row>
    <row r="664">
      <c r="A664" s="14"/>
      <c r="B664" s="14"/>
      <c r="C664" s="14"/>
      <c r="D664" s="14"/>
      <c r="E664" s="14"/>
      <c r="F664" s="14"/>
      <c r="G664" s="14"/>
      <c r="H664" s="14"/>
      <c r="I664" s="14"/>
      <c r="J664" s="14"/>
      <c r="K664" s="14"/>
      <c r="L664" s="14"/>
    </row>
    <row r="665">
      <c r="A665" s="14"/>
      <c r="B665" s="14"/>
      <c r="C665" s="14"/>
      <c r="D665" s="14"/>
      <c r="E665" s="14"/>
      <c r="F665" s="14"/>
      <c r="G665" s="14"/>
      <c r="H665" s="14"/>
      <c r="I665" s="14"/>
      <c r="J665" s="14"/>
      <c r="K665" s="14"/>
      <c r="L665" s="14"/>
    </row>
    <row r="666">
      <c r="A666" s="14"/>
      <c r="B666" s="14"/>
      <c r="C666" s="14"/>
      <c r="D666" s="14"/>
      <c r="E666" s="14"/>
      <c r="F666" s="14"/>
      <c r="G666" s="14"/>
      <c r="H666" s="14"/>
      <c r="I666" s="14"/>
      <c r="J666" s="14"/>
      <c r="K666" s="14"/>
      <c r="L666" s="14"/>
    </row>
    <row r="667">
      <c r="A667" s="14"/>
      <c r="B667" s="14"/>
      <c r="C667" s="14"/>
      <c r="D667" s="14"/>
      <c r="E667" s="14"/>
      <c r="F667" s="14"/>
      <c r="G667" s="14"/>
      <c r="H667" s="14"/>
      <c r="I667" s="14"/>
      <c r="J667" s="14"/>
      <c r="K667" s="14"/>
      <c r="L667" s="14"/>
    </row>
    <row r="668">
      <c r="A668" s="14"/>
      <c r="B668" s="14"/>
      <c r="C668" s="14"/>
      <c r="D668" s="14"/>
      <c r="E668" s="14"/>
      <c r="F668" s="14"/>
      <c r="G668" s="14"/>
      <c r="H668" s="14"/>
      <c r="I668" s="14"/>
      <c r="J668" s="14"/>
      <c r="K668" s="14"/>
      <c r="L668" s="14"/>
    </row>
    <row r="669">
      <c r="A669" s="14"/>
      <c r="B669" s="14"/>
      <c r="C669" s="14"/>
      <c r="D669" s="14"/>
      <c r="E669" s="14"/>
      <c r="F669" s="14"/>
      <c r="G669" s="14"/>
      <c r="H669" s="14"/>
      <c r="I669" s="14"/>
      <c r="J669" s="14"/>
      <c r="K669" s="14"/>
      <c r="L669" s="14"/>
    </row>
    <row r="670">
      <c r="A670" s="14"/>
      <c r="B670" s="14"/>
      <c r="C670" s="14"/>
      <c r="D670" s="14"/>
      <c r="E670" s="14"/>
      <c r="F670" s="14"/>
      <c r="G670" s="14"/>
      <c r="H670" s="14"/>
      <c r="I670" s="14"/>
      <c r="J670" s="14"/>
      <c r="K670" s="14"/>
      <c r="L670" s="14"/>
    </row>
    <row r="671">
      <c r="A671" s="14"/>
      <c r="B671" s="14"/>
      <c r="C671" s="14"/>
      <c r="D671" s="14"/>
      <c r="E671" s="14"/>
      <c r="F671" s="14"/>
      <c r="G671" s="14"/>
      <c r="H671" s="14"/>
      <c r="I671" s="14"/>
      <c r="J671" s="14"/>
      <c r="K671" s="14"/>
      <c r="L671" s="14"/>
    </row>
    <row r="672">
      <c r="A672" s="14"/>
      <c r="B672" s="14"/>
      <c r="C672" s="14"/>
      <c r="D672" s="14"/>
      <c r="E672" s="14"/>
      <c r="F672" s="14"/>
      <c r="G672" s="14"/>
      <c r="H672" s="14"/>
      <c r="I672" s="14"/>
      <c r="J672" s="14"/>
      <c r="K672" s="14"/>
      <c r="L672" s="14"/>
    </row>
    <row r="673">
      <c r="A673" s="14"/>
      <c r="B673" s="14"/>
      <c r="C673" s="14"/>
      <c r="D673" s="14"/>
      <c r="E673" s="14"/>
      <c r="F673" s="14"/>
      <c r="G673" s="14"/>
      <c r="H673" s="14"/>
      <c r="I673" s="14"/>
      <c r="J673" s="14"/>
      <c r="K673" s="14"/>
      <c r="L673" s="14"/>
    </row>
    <row r="674">
      <c r="A674" s="14"/>
      <c r="B674" s="14"/>
      <c r="C674" s="14"/>
      <c r="D674" s="14"/>
      <c r="E674" s="14"/>
      <c r="F674" s="14"/>
      <c r="G674" s="14"/>
      <c r="H674" s="14"/>
      <c r="I674" s="14"/>
      <c r="J674" s="14"/>
      <c r="K674" s="14"/>
      <c r="L674" s="14"/>
    </row>
    <row r="675">
      <c r="A675" s="14"/>
      <c r="B675" s="14"/>
      <c r="C675" s="14"/>
      <c r="D675" s="14"/>
      <c r="E675" s="14"/>
      <c r="F675" s="14"/>
      <c r="G675" s="14"/>
      <c r="H675" s="14"/>
      <c r="I675" s="14"/>
      <c r="J675" s="14"/>
      <c r="K675" s="14"/>
      <c r="L675" s="14"/>
    </row>
    <row r="676">
      <c r="A676" s="14"/>
      <c r="B676" s="14"/>
      <c r="C676" s="14"/>
      <c r="D676" s="14"/>
      <c r="E676" s="14"/>
      <c r="F676" s="14"/>
      <c r="G676" s="14"/>
      <c r="H676" s="14"/>
      <c r="I676" s="14"/>
      <c r="J676" s="14"/>
      <c r="K676" s="14"/>
      <c r="L676" s="14"/>
    </row>
    <row r="677">
      <c r="A677" s="14"/>
      <c r="B677" s="14"/>
      <c r="C677" s="14"/>
      <c r="D677" s="14"/>
      <c r="E677" s="14"/>
      <c r="F677" s="14"/>
      <c r="G677" s="14"/>
      <c r="H677" s="14"/>
      <c r="I677" s="14"/>
      <c r="J677" s="14"/>
      <c r="K677" s="14"/>
      <c r="L677" s="14"/>
    </row>
    <row r="678">
      <c r="A678" s="14"/>
      <c r="B678" s="14"/>
      <c r="C678" s="14"/>
      <c r="D678" s="14"/>
      <c r="E678" s="14"/>
      <c r="F678" s="14"/>
      <c r="G678" s="14"/>
      <c r="H678" s="14"/>
      <c r="I678" s="14"/>
      <c r="J678" s="14"/>
      <c r="K678" s="14"/>
      <c r="L678" s="14"/>
    </row>
    <row r="679">
      <c r="A679" s="14"/>
      <c r="B679" s="14"/>
      <c r="C679" s="14"/>
      <c r="D679" s="14"/>
      <c r="E679" s="14"/>
      <c r="F679" s="14"/>
      <c r="G679" s="14"/>
      <c r="H679" s="14"/>
      <c r="I679" s="14"/>
      <c r="J679" s="14"/>
      <c r="K679" s="14"/>
      <c r="L679" s="14"/>
    </row>
    <row r="680">
      <c r="A680" s="14"/>
      <c r="B680" s="14"/>
      <c r="C680" s="14"/>
      <c r="D680" s="14"/>
      <c r="E680" s="14"/>
      <c r="F680" s="14"/>
      <c r="G680" s="14"/>
      <c r="H680" s="14"/>
      <c r="I680" s="14"/>
      <c r="J680" s="14"/>
      <c r="K680" s="14"/>
      <c r="L680" s="14"/>
    </row>
    <row r="681">
      <c r="A681" s="14"/>
      <c r="B681" s="14"/>
      <c r="C681" s="14"/>
      <c r="D681" s="14"/>
      <c r="E681" s="14"/>
      <c r="F681" s="14"/>
      <c r="G681" s="14"/>
      <c r="H681" s="14"/>
      <c r="I681" s="14"/>
      <c r="J681" s="14"/>
      <c r="K681" s="14"/>
      <c r="L681" s="14"/>
    </row>
    <row r="682">
      <c r="A682" s="14"/>
      <c r="B682" s="14"/>
      <c r="C682" s="14"/>
      <c r="D682" s="14"/>
      <c r="E682" s="14"/>
      <c r="F682" s="14"/>
      <c r="G682" s="14"/>
      <c r="H682" s="14"/>
      <c r="I682" s="14"/>
      <c r="J682" s="14"/>
      <c r="K682" s="14"/>
      <c r="L682" s="14"/>
    </row>
    <row r="683">
      <c r="A683" s="14"/>
      <c r="B683" s="14"/>
      <c r="C683" s="14"/>
      <c r="D683" s="14"/>
      <c r="E683" s="14"/>
      <c r="F683" s="14"/>
      <c r="G683" s="14"/>
      <c r="H683" s="14"/>
      <c r="I683" s="14"/>
      <c r="J683" s="14"/>
      <c r="K683" s="14"/>
      <c r="L683" s="14"/>
    </row>
    <row r="684">
      <c r="A684" s="14"/>
      <c r="B684" s="14"/>
      <c r="C684" s="14"/>
      <c r="D684" s="14"/>
      <c r="E684" s="14"/>
      <c r="F684" s="14"/>
      <c r="G684" s="14"/>
      <c r="H684" s="14"/>
      <c r="I684" s="14"/>
      <c r="J684" s="14"/>
      <c r="K684" s="14"/>
      <c r="L684" s="14"/>
    </row>
    <row r="685">
      <c r="A685" s="14"/>
      <c r="B685" s="14"/>
      <c r="C685" s="14"/>
      <c r="D685" s="14"/>
      <c r="E685" s="14"/>
      <c r="F685" s="14"/>
      <c r="G685" s="14"/>
      <c r="H685" s="14"/>
      <c r="I685" s="14"/>
      <c r="J685" s="14"/>
      <c r="K685" s="14"/>
      <c r="L685" s="14"/>
    </row>
    <row r="686">
      <c r="A686" s="14"/>
      <c r="B686" s="14"/>
      <c r="C686" s="14"/>
      <c r="D686" s="14"/>
      <c r="E686" s="14"/>
      <c r="F686" s="14"/>
      <c r="G686" s="14"/>
      <c r="H686" s="14"/>
      <c r="I686" s="14"/>
      <c r="J686" s="14"/>
      <c r="K686" s="14"/>
      <c r="L686" s="14"/>
    </row>
    <row r="687">
      <c r="A687" s="14"/>
      <c r="B687" s="14"/>
      <c r="C687" s="14"/>
      <c r="D687" s="14"/>
      <c r="E687" s="14"/>
      <c r="F687" s="14"/>
      <c r="G687" s="14"/>
      <c r="H687" s="14"/>
      <c r="I687" s="14"/>
      <c r="J687" s="14"/>
      <c r="K687" s="14"/>
      <c r="L687" s="14"/>
    </row>
    <row r="688">
      <c r="A688" s="14"/>
      <c r="B688" s="14"/>
      <c r="C688" s="14"/>
      <c r="D688" s="14"/>
      <c r="E688" s="14"/>
      <c r="F688" s="14"/>
      <c r="G688" s="14"/>
      <c r="H688" s="14"/>
      <c r="I688" s="14"/>
      <c r="J688" s="14"/>
      <c r="K688" s="14"/>
      <c r="L688" s="14"/>
    </row>
    <row r="689">
      <c r="A689" s="14"/>
      <c r="B689" s="14"/>
      <c r="C689" s="14"/>
      <c r="D689" s="14"/>
      <c r="E689" s="14"/>
      <c r="F689" s="14"/>
      <c r="G689" s="14"/>
      <c r="H689" s="14"/>
      <c r="I689" s="14"/>
      <c r="J689" s="14"/>
      <c r="K689" s="14"/>
      <c r="L689" s="14"/>
    </row>
    <row r="690">
      <c r="A690" s="14"/>
      <c r="B690" s="14"/>
      <c r="C690" s="14"/>
      <c r="D690" s="14"/>
      <c r="E690" s="14"/>
      <c r="F690" s="14"/>
      <c r="G690" s="14"/>
      <c r="H690" s="14"/>
      <c r="I690" s="14"/>
      <c r="J690" s="14"/>
      <c r="K690" s="14"/>
      <c r="L690" s="14"/>
    </row>
    <row r="691">
      <c r="A691" s="14"/>
      <c r="B691" s="14"/>
      <c r="C691" s="14"/>
      <c r="D691" s="14"/>
      <c r="E691" s="14"/>
      <c r="F691" s="14"/>
      <c r="G691" s="14"/>
      <c r="H691" s="14"/>
      <c r="I691" s="14"/>
      <c r="J691" s="14"/>
      <c r="K691" s="14"/>
      <c r="L691" s="14"/>
    </row>
    <row r="692">
      <c r="A692" s="14"/>
      <c r="B692" s="14"/>
      <c r="C692" s="14"/>
      <c r="D692" s="14"/>
      <c r="E692" s="14"/>
      <c r="F692" s="14"/>
      <c r="G692" s="14"/>
      <c r="H692" s="14"/>
      <c r="I692" s="14"/>
      <c r="J692" s="14"/>
      <c r="K692" s="14"/>
      <c r="L692" s="14"/>
    </row>
    <row r="693">
      <c r="A693" s="14"/>
      <c r="B693" s="14"/>
      <c r="C693" s="14"/>
      <c r="D693" s="14"/>
      <c r="E693" s="14"/>
      <c r="F693" s="14"/>
      <c r="G693" s="14"/>
      <c r="H693" s="14"/>
      <c r="I693" s="14"/>
      <c r="J693" s="14"/>
      <c r="K693" s="14"/>
      <c r="L693" s="14"/>
    </row>
    <row r="694">
      <c r="A694" s="14"/>
      <c r="B694" s="14"/>
      <c r="C694" s="14"/>
      <c r="D694" s="14"/>
      <c r="E694" s="14"/>
      <c r="F694" s="14"/>
      <c r="G694" s="14"/>
      <c r="H694" s="14"/>
      <c r="I694" s="14"/>
      <c r="J694" s="14"/>
      <c r="K694" s="14"/>
      <c r="L694" s="14"/>
    </row>
    <row r="695">
      <c r="A695" s="14"/>
      <c r="B695" s="14"/>
      <c r="C695" s="14"/>
      <c r="D695" s="14"/>
      <c r="E695" s="14"/>
      <c r="F695" s="14"/>
      <c r="G695" s="14"/>
      <c r="H695" s="14"/>
      <c r="I695" s="14"/>
      <c r="J695" s="14"/>
      <c r="K695" s="14"/>
      <c r="L695" s="14"/>
    </row>
    <row r="696">
      <c r="A696" s="14"/>
      <c r="B696" s="14"/>
      <c r="C696" s="14"/>
      <c r="D696" s="14"/>
      <c r="E696" s="14"/>
      <c r="F696" s="14"/>
      <c r="G696" s="14"/>
      <c r="H696" s="14"/>
      <c r="I696" s="14"/>
      <c r="J696" s="14"/>
      <c r="K696" s="14"/>
      <c r="L696" s="14"/>
    </row>
    <row r="697">
      <c r="A697" s="14"/>
      <c r="B697" s="14"/>
      <c r="C697" s="14"/>
      <c r="D697" s="14"/>
      <c r="E697" s="14"/>
      <c r="F697" s="14"/>
      <c r="G697" s="14"/>
      <c r="H697" s="14"/>
      <c r="I697" s="14"/>
      <c r="J697" s="14"/>
      <c r="K697" s="14"/>
      <c r="L697" s="14"/>
    </row>
    <row r="698">
      <c r="A698" s="14"/>
      <c r="B698" s="14"/>
      <c r="C698" s="14"/>
      <c r="D698" s="14"/>
      <c r="E698" s="14"/>
      <c r="F698" s="14"/>
      <c r="G698" s="14"/>
      <c r="H698" s="14"/>
      <c r="I698" s="14"/>
      <c r="J698" s="14"/>
      <c r="K698" s="14"/>
      <c r="L698" s="14"/>
    </row>
    <row r="699">
      <c r="A699" s="14"/>
      <c r="B699" s="14"/>
      <c r="C699" s="14"/>
      <c r="D699" s="14"/>
      <c r="E699" s="14"/>
      <c r="F699" s="14"/>
      <c r="G699" s="14"/>
      <c r="H699" s="14"/>
      <c r="I699" s="14"/>
      <c r="J699" s="14"/>
      <c r="K699" s="14"/>
      <c r="L699" s="14"/>
    </row>
    <row r="700">
      <c r="A700" s="14"/>
      <c r="B700" s="14"/>
      <c r="C700" s="14"/>
      <c r="D700" s="14"/>
      <c r="E700" s="14"/>
      <c r="F700" s="14"/>
      <c r="G700" s="14"/>
      <c r="H700" s="14"/>
      <c r="I700" s="14"/>
      <c r="J700" s="14"/>
      <c r="K700" s="14"/>
      <c r="L700" s="14"/>
    </row>
    <row r="701">
      <c r="A701" s="14"/>
      <c r="B701" s="14"/>
      <c r="C701" s="14"/>
      <c r="D701" s="14"/>
      <c r="E701" s="14"/>
      <c r="F701" s="14"/>
      <c r="G701" s="14"/>
      <c r="H701" s="14"/>
      <c r="I701" s="14"/>
      <c r="J701" s="14"/>
      <c r="K701" s="14"/>
      <c r="L701" s="14"/>
    </row>
    <row r="702">
      <c r="A702" s="14"/>
      <c r="B702" s="14"/>
      <c r="C702" s="14"/>
      <c r="D702" s="14"/>
      <c r="E702" s="14"/>
      <c r="F702" s="14"/>
      <c r="G702" s="14"/>
      <c r="H702" s="14"/>
      <c r="I702" s="14"/>
      <c r="J702" s="14"/>
      <c r="K702" s="14"/>
      <c r="L702" s="14"/>
    </row>
    <row r="703">
      <c r="A703" s="14"/>
      <c r="B703" s="14"/>
      <c r="C703" s="14"/>
      <c r="D703" s="14"/>
      <c r="E703" s="14"/>
      <c r="F703" s="14"/>
      <c r="G703" s="14"/>
      <c r="H703" s="14"/>
      <c r="I703" s="14"/>
      <c r="J703" s="14"/>
      <c r="K703" s="14"/>
      <c r="L703" s="14"/>
    </row>
    <row r="704">
      <c r="A704" s="14"/>
      <c r="B704" s="14"/>
      <c r="C704" s="14"/>
      <c r="D704" s="14"/>
      <c r="E704" s="14"/>
      <c r="F704" s="14"/>
      <c r="G704" s="14"/>
      <c r="H704" s="14"/>
      <c r="I704" s="14"/>
      <c r="J704" s="14"/>
      <c r="K704" s="14"/>
      <c r="L704" s="14"/>
    </row>
    <row r="705">
      <c r="A705" s="14"/>
      <c r="B705" s="14"/>
      <c r="C705" s="14"/>
      <c r="D705" s="14"/>
      <c r="E705" s="14"/>
      <c r="F705" s="14"/>
      <c r="G705" s="14"/>
      <c r="H705" s="14"/>
      <c r="I705" s="14"/>
      <c r="J705" s="14"/>
      <c r="K705" s="14"/>
      <c r="L705" s="14"/>
    </row>
    <row r="706">
      <c r="A706" s="14"/>
      <c r="B706" s="14"/>
      <c r="C706" s="14"/>
      <c r="D706" s="14"/>
      <c r="E706" s="14"/>
      <c r="F706" s="14"/>
      <c r="G706" s="14"/>
      <c r="H706" s="14"/>
      <c r="I706" s="14"/>
      <c r="J706" s="14"/>
      <c r="K706" s="14"/>
      <c r="L706" s="14"/>
    </row>
    <row r="707">
      <c r="A707" s="14"/>
      <c r="B707" s="14"/>
      <c r="C707" s="14"/>
      <c r="D707" s="14"/>
      <c r="E707" s="14"/>
      <c r="F707" s="14"/>
      <c r="G707" s="14"/>
      <c r="H707" s="14"/>
      <c r="I707" s="14"/>
      <c r="J707" s="14"/>
      <c r="K707" s="14"/>
      <c r="L707" s="14"/>
    </row>
    <row r="708">
      <c r="A708" s="14"/>
      <c r="B708" s="14"/>
      <c r="C708" s="14"/>
      <c r="D708" s="14"/>
      <c r="E708" s="14"/>
      <c r="F708" s="14"/>
      <c r="G708" s="14"/>
      <c r="H708" s="14"/>
      <c r="I708" s="14"/>
      <c r="J708" s="14"/>
      <c r="K708" s="14"/>
      <c r="L708" s="14"/>
    </row>
    <row r="709">
      <c r="A709" s="14"/>
      <c r="B709" s="14"/>
      <c r="C709" s="14"/>
      <c r="D709" s="14"/>
      <c r="E709" s="14"/>
      <c r="F709" s="14"/>
      <c r="G709" s="14"/>
      <c r="H709" s="14"/>
      <c r="I709" s="14"/>
      <c r="J709" s="14"/>
      <c r="K709" s="14"/>
      <c r="L709" s="14"/>
    </row>
    <row r="710">
      <c r="A710" s="14"/>
      <c r="B710" s="14"/>
      <c r="C710" s="14"/>
      <c r="D710" s="14"/>
      <c r="E710" s="14"/>
      <c r="F710" s="14"/>
      <c r="G710" s="14"/>
      <c r="H710" s="14"/>
      <c r="I710" s="14"/>
      <c r="J710" s="14"/>
      <c r="K710" s="14"/>
      <c r="L710" s="14"/>
    </row>
    <row r="711">
      <c r="A711" s="14"/>
      <c r="B711" s="14"/>
      <c r="C711" s="14"/>
      <c r="D711" s="14"/>
      <c r="E711" s="14"/>
      <c r="F711" s="14"/>
      <c r="G711" s="14"/>
      <c r="H711" s="14"/>
      <c r="I711" s="14"/>
      <c r="J711" s="14"/>
      <c r="K711" s="14"/>
      <c r="L711" s="14"/>
    </row>
    <row r="712">
      <c r="A712" s="14"/>
      <c r="B712" s="14"/>
      <c r="C712" s="14"/>
      <c r="D712" s="14"/>
      <c r="E712" s="14"/>
      <c r="F712" s="14"/>
      <c r="G712" s="14"/>
      <c r="H712" s="14"/>
      <c r="I712" s="14"/>
      <c r="J712" s="14"/>
      <c r="K712" s="14"/>
      <c r="L712" s="14"/>
    </row>
    <row r="713">
      <c r="A713" s="14"/>
      <c r="B713" s="14"/>
      <c r="C713" s="14"/>
      <c r="D713" s="14"/>
      <c r="E713" s="14"/>
      <c r="F713" s="14"/>
      <c r="G713" s="14"/>
      <c r="H713" s="14"/>
      <c r="I713" s="14"/>
      <c r="J713" s="14"/>
      <c r="K713" s="14"/>
      <c r="L713" s="14"/>
    </row>
    <row r="714">
      <c r="A714" s="14"/>
      <c r="B714" s="14"/>
      <c r="C714" s="14"/>
      <c r="D714" s="14"/>
      <c r="E714" s="14"/>
      <c r="F714" s="14"/>
      <c r="G714" s="14"/>
      <c r="H714" s="14"/>
      <c r="I714" s="14"/>
      <c r="J714" s="14"/>
      <c r="K714" s="14"/>
      <c r="L714" s="14"/>
    </row>
    <row r="715">
      <c r="A715" s="14"/>
      <c r="B715" s="14"/>
      <c r="C715" s="14"/>
      <c r="D715" s="14"/>
      <c r="E715" s="14"/>
      <c r="F715" s="14"/>
      <c r="G715" s="14"/>
      <c r="H715" s="14"/>
      <c r="I715" s="14"/>
      <c r="J715" s="14"/>
      <c r="K715" s="14"/>
      <c r="L715" s="14"/>
    </row>
    <row r="716">
      <c r="A716" s="14"/>
      <c r="B716" s="14"/>
      <c r="C716" s="14"/>
      <c r="D716" s="14"/>
      <c r="E716" s="14"/>
      <c r="F716" s="14"/>
      <c r="G716" s="14"/>
      <c r="H716" s="14"/>
      <c r="I716" s="14"/>
      <c r="J716" s="14"/>
      <c r="K716" s="14"/>
      <c r="L716" s="14"/>
    </row>
    <row r="717">
      <c r="A717" s="14"/>
      <c r="B717" s="14"/>
      <c r="C717" s="14"/>
      <c r="D717" s="14"/>
      <c r="E717" s="14"/>
      <c r="F717" s="14"/>
      <c r="G717" s="14"/>
      <c r="H717" s="14"/>
      <c r="I717" s="14"/>
      <c r="J717" s="14"/>
      <c r="K717" s="14"/>
      <c r="L717" s="14"/>
    </row>
    <row r="718">
      <c r="A718" s="14"/>
      <c r="B718" s="14"/>
      <c r="C718" s="14"/>
      <c r="D718" s="14"/>
      <c r="E718" s="14"/>
      <c r="F718" s="14"/>
      <c r="G718" s="14"/>
      <c r="H718" s="14"/>
      <c r="I718" s="14"/>
      <c r="J718" s="14"/>
      <c r="K718" s="14"/>
      <c r="L718" s="14"/>
    </row>
    <row r="719">
      <c r="A719" s="14"/>
      <c r="B719" s="14"/>
      <c r="C719" s="14"/>
      <c r="D719" s="14"/>
      <c r="E719" s="14"/>
      <c r="F719" s="14"/>
      <c r="G719" s="14"/>
      <c r="H719" s="14"/>
      <c r="I719" s="14"/>
      <c r="J719" s="14"/>
      <c r="K719" s="14"/>
      <c r="L719" s="14"/>
    </row>
    <row r="720">
      <c r="A720" s="14"/>
      <c r="B720" s="14"/>
      <c r="C720" s="14"/>
      <c r="D720" s="14"/>
      <c r="E720" s="14"/>
      <c r="F720" s="14"/>
      <c r="G720" s="14"/>
      <c r="H720" s="14"/>
      <c r="I720" s="14"/>
      <c r="J720" s="14"/>
      <c r="K720" s="14"/>
      <c r="L720" s="14"/>
    </row>
    <row r="721">
      <c r="A721" s="14"/>
      <c r="B721" s="14"/>
      <c r="C721" s="14"/>
      <c r="D721" s="14"/>
      <c r="E721" s="14"/>
      <c r="F721" s="14"/>
      <c r="G721" s="14"/>
      <c r="H721" s="14"/>
      <c r="I721" s="14"/>
      <c r="J721" s="14"/>
      <c r="K721" s="14"/>
      <c r="L721" s="14"/>
    </row>
    <row r="722">
      <c r="A722" s="14"/>
      <c r="B722" s="14"/>
      <c r="C722" s="14"/>
      <c r="D722" s="14"/>
      <c r="E722" s="14"/>
      <c r="F722" s="14"/>
      <c r="G722" s="14"/>
      <c r="H722" s="14"/>
      <c r="I722" s="14"/>
      <c r="J722" s="14"/>
      <c r="K722" s="14"/>
      <c r="L722" s="14"/>
    </row>
    <row r="723">
      <c r="A723" s="14"/>
      <c r="B723" s="14"/>
      <c r="C723" s="14"/>
      <c r="D723" s="14"/>
      <c r="E723" s="14"/>
      <c r="F723" s="14"/>
      <c r="G723" s="14"/>
      <c r="H723" s="14"/>
      <c r="I723" s="14"/>
      <c r="J723" s="14"/>
      <c r="K723" s="14"/>
      <c r="L723" s="14"/>
    </row>
    <row r="724">
      <c r="A724" s="14"/>
      <c r="B724" s="14"/>
      <c r="C724" s="14"/>
      <c r="D724" s="14"/>
      <c r="E724" s="14"/>
      <c r="F724" s="14"/>
      <c r="G724" s="14"/>
      <c r="H724" s="14"/>
      <c r="I724" s="14"/>
      <c r="J724" s="14"/>
      <c r="K724" s="14"/>
      <c r="L724" s="14"/>
    </row>
    <row r="725">
      <c r="A725" s="14"/>
      <c r="B725" s="14"/>
      <c r="C725" s="14"/>
      <c r="D725" s="14"/>
      <c r="E725" s="14"/>
      <c r="F725" s="14"/>
      <c r="G725" s="14"/>
      <c r="H725" s="14"/>
      <c r="I725" s="14"/>
      <c r="J725" s="14"/>
      <c r="K725" s="14"/>
      <c r="L725" s="14"/>
    </row>
    <row r="726">
      <c r="A726" s="14"/>
      <c r="B726" s="14"/>
      <c r="C726" s="14"/>
      <c r="D726" s="14"/>
      <c r="E726" s="14"/>
      <c r="F726" s="14"/>
      <c r="G726" s="14"/>
      <c r="H726" s="14"/>
      <c r="I726" s="14"/>
      <c r="J726" s="14"/>
      <c r="K726" s="14"/>
      <c r="L726" s="14"/>
    </row>
    <row r="727">
      <c r="A727" s="14"/>
      <c r="B727" s="14"/>
      <c r="C727" s="14"/>
      <c r="D727" s="14"/>
      <c r="E727" s="14"/>
      <c r="F727" s="14"/>
      <c r="G727" s="14"/>
      <c r="H727" s="14"/>
      <c r="I727" s="14"/>
      <c r="J727" s="14"/>
      <c r="K727" s="14"/>
      <c r="L727" s="14"/>
    </row>
    <row r="728">
      <c r="A728" s="14"/>
      <c r="B728" s="14"/>
      <c r="C728" s="14"/>
      <c r="D728" s="14"/>
      <c r="E728" s="14"/>
      <c r="F728" s="14"/>
      <c r="G728" s="14"/>
      <c r="H728" s="14"/>
      <c r="I728" s="14"/>
      <c r="J728" s="14"/>
      <c r="K728" s="14"/>
      <c r="L728" s="14"/>
    </row>
    <row r="729">
      <c r="A729" s="14"/>
      <c r="B729" s="14"/>
      <c r="C729" s="14"/>
      <c r="D729" s="14"/>
      <c r="E729" s="14"/>
      <c r="F729" s="14"/>
      <c r="G729" s="14"/>
      <c r="H729" s="14"/>
      <c r="I729" s="14"/>
      <c r="J729" s="14"/>
      <c r="K729" s="14"/>
      <c r="L729" s="14"/>
    </row>
    <row r="730">
      <c r="A730" s="14"/>
      <c r="B730" s="14"/>
      <c r="C730" s="14"/>
      <c r="D730" s="14"/>
      <c r="E730" s="14"/>
      <c r="F730" s="14"/>
      <c r="G730" s="14"/>
      <c r="H730" s="14"/>
      <c r="I730" s="14"/>
      <c r="J730" s="14"/>
      <c r="K730" s="14"/>
      <c r="L730" s="14"/>
    </row>
    <row r="731">
      <c r="A731" s="14"/>
      <c r="B731" s="14"/>
      <c r="C731" s="14"/>
      <c r="D731" s="14"/>
      <c r="E731" s="14"/>
      <c r="F731" s="14"/>
      <c r="G731" s="14"/>
      <c r="H731" s="14"/>
      <c r="I731" s="14"/>
      <c r="J731" s="14"/>
      <c r="K731" s="14"/>
      <c r="L731" s="14"/>
    </row>
    <row r="732">
      <c r="A732" s="14"/>
      <c r="B732" s="14"/>
      <c r="C732" s="14"/>
      <c r="D732" s="14"/>
      <c r="E732" s="14"/>
      <c r="F732" s="14"/>
      <c r="G732" s="14"/>
      <c r="H732" s="14"/>
      <c r="I732" s="14"/>
      <c r="J732" s="14"/>
      <c r="K732" s="14"/>
      <c r="L732" s="14"/>
    </row>
    <row r="733">
      <c r="A733" s="14"/>
      <c r="B733" s="14"/>
      <c r="C733" s="14"/>
      <c r="D733" s="14"/>
      <c r="E733" s="14"/>
      <c r="F733" s="14"/>
      <c r="G733" s="14"/>
      <c r="H733" s="14"/>
      <c r="I733" s="14"/>
      <c r="J733" s="14"/>
      <c r="K733" s="14"/>
      <c r="L733" s="14"/>
    </row>
    <row r="734">
      <c r="A734" s="14"/>
      <c r="B734" s="14"/>
      <c r="C734" s="14"/>
      <c r="D734" s="14"/>
      <c r="E734" s="14"/>
      <c r="F734" s="14"/>
      <c r="G734" s="14"/>
      <c r="H734" s="14"/>
      <c r="I734" s="14"/>
      <c r="J734" s="14"/>
      <c r="K734" s="14"/>
      <c r="L734" s="14"/>
    </row>
    <row r="735">
      <c r="A735" s="14"/>
      <c r="B735" s="14"/>
      <c r="C735" s="14"/>
      <c r="D735" s="14"/>
      <c r="E735" s="14"/>
      <c r="F735" s="14"/>
      <c r="G735" s="14"/>
      <c r="H735" s="14"/>
      <c r="I735" s="14"/>
      <c r="J735" s="14"/>
      <c r="K735" s="14"/>
      <c r="L735" s="14"/>
    </row>
    <row r="736">
      <c r="A736" s="14"/>
      <c r="B736" s="14"/>
      <c r="C736" s="14"/>
      <c r="D736" s="14"/>
      <c r="E736" s="14"/>
      <c r="F736" s="14"/>
      <c r="G736" s="14"/>
      <c r="H736" s="14"/>
      <c r="I736" s="14"/>
      <c r="J736" s="14"/>
      <c r="K736" s="14"/>
      <c r="L736" s="14"/>
    </row>
    <row r="737">
      <c r="A737" s="14"/>
      <c r="B737" s="14"/>
      <c r="C737" s="14"/>
      <c r="D737" s="14"/>
      <c r="E737" s="14"/>
      <c r="F737" s="14"/>
      <c r="G737" s="14"/>
      <c r="H737" s="14"/>
      <c r="I737" s="14"/>
      <c r="J737" s="14"/>
      <c r="K737" s="14"/>
      <c r="L737" s="14"/>
    </row>
    <row r="738">
      <c r="A738" s="14"/>
      <c r="B738" s="14"/>
      <c r="C738" s="14"/>
      <c r="D738" s="14"/>
      <c r="E738" s="14"/>
      <c r="F738" s="14"/>
      <c r="G738" s="14"/>
      <c r="H738" s="14"/>
      <c r="I738" s="14"/>
      <c r="J738" s="14"/>
      <c r="K738" s="14"/>
      <c r="L738" s="14"/>
    </row>
    <row r="739">
      <c r="A739" s="14"/>
      <c r="B739" s="14"/>
      <c r="C739" s="14"/>
      <c r="D739" s="14"/>
      <c r="E739" s="14"/>
      <c r="F739" s="14"/>
      <c r="G739" s="14"/>
      <c r="H739" s="14"/>
      <c r="I739" s="14"/>
      <c r="J739" s="14"/>
      <c r="K739" s="14"/>
      <c r="L739" s="14"/>
    </row>
    <row r="740">
      <c r="A740" s="14"/>
      <c r="B740" s="14"/>
      <c r="C740" s="14"/>
      <c r="D740" s="14"/>
      <c r="E740" s="14"/>
      <c r="F740" s="14"/>
      <c r="G740" s="14"/>
      <c r="H740" s="14"/>
      <c r="I740" s="14"/>
      <c r="J740" s="14"/>
      <c r="K740" s="14"/>
      <c r="L740" s="14"/>
    </row>
    <row r="741">
      <c r="A741" s="14"/>
      <c r="B741" s="14"/>
      <c r="C741" s="14"/>
      <c r="D741" s="14"/>
      <c r="E741" s="14"/>
      <c r="F741" s="14"/>
      <c r="G741" s="14"/>
      <c r="H741" s="14"/>
      <c r="I741" s="14"/>
      <c r="J741" s="14"/>
      <c r="K741" s="14"/>
      <c r="L741" s="14"/>
    </row>
    <row r="742">
      <c r="A742" s="14"/>
      <c r="B742" s="14"/>
      <c r="C742" s="14"/>
      <c r="D742" s="14"/>
      <c r="E742" s="14"/>
      <c r="F742" s="14"/>
      <c r="G742" s="14"/>
      <c r="H742" s="14"/>
      <c r="I742" s="14"/>
      <c r="J742" s="14"/>
      <c r="K742" s="14"/>
      <c r="L742" s="14"/>
    </row>
    <row r="743">
      <c r="A743" s="14"/>
      <c r="B743" s="14"/>
      <c r="C743" s="14"/>
      <c r="D743" s="14"/>
      <c r="E743" s="14"/>
      <c r="F743" s="14"/>
      <c r="G743" s="14"/>
      <c r="H743" s="14"/>
      <c r="I743" s="14"/>
      <c r="J743" s="14"/>
      <c r="K743" s="14"/>
      <c r="L743" s="14"/>
    </row>
    <row r="744">
      <c r="A744" s="14"/>
      <c r="B744" s="14"/>
      <c r="C744" s="14"/>
      <c r="D744" s="14"/>
      <c r="E744" s="14"/>
      <c r="F744" s="14"/>
      <c r="G744" s="14"/>
      <c r="H744" s="14"/>
      <c r="I744" s="14"/>
      <c r="J744" s="14"/>
      <c r="K744" s="14"/>
      <c r="L744" s="14"/>
    </row>
    <row r="745">
      <c r="A745" s="14"/>
      <c r="B745" s="14"/>
      <c r="C745" s="14"/>
      <c r="D745" s="14"/>
      <c r="E745" s="14"/>
      <c r="F745" s="14"/>
      <c r="G745" s="14"/>
      <c r="H745" s="14"/>
      <c r="I745" s="14"/>
      <c r="J745" s="14"/>
      <c r="K745" s="14"/>
      <c r="L745" s="14"/>
    </row>
    <row r="746">
      <c r="A746" s="14"/>
      <c r="B746" s="14"/>
      <c r="C746" s="14"/>
      <c r="D746" s="14"/>
      <c r="E746" s="14"/>
      <c r="F746" s="14"/>
      <c r="G746" s="14"/>
      <c r="H746" s="14"/>
      <c r="I746" s="14"/>
      <c r="J746" s="14"/>
      <c r="K746" s="14"/>
      <c r="L746" s="14"/>
    </row>
    <row r="747">
      <c r="A747" s="14"/>
      <c r="B747" s="14"/>
      <c r="C747" s="14"/>
      <c r="D747" s="14"/>
      <c r="E747" s="14"/>
      <c r="F747" s="14"/>
      <c r="G747" s="14"/>
      <c r="H747" s="14"/>
      <c r="I747" s="14"/>
      <c r="J747" s="14"/>
      <c r="K747" s="14"/>
      <c r="L747" s="14"/>
    </row>
    <row r="748">
      <c r="A748" s="14"/>
      <c r="B748" s="14"/>
      <c r="C748" s="14"/>
      <c r="D748" s="14"/>
      <c r="E748" s="14"/>
      <c r="F748" s="14"/>
      <c r="G748" s="14"/>
      <c r="H748" s="14"/>
      <c r="I748" s="14"/>
      <c r="J748" s="14"/>
      <c r="K748" s="14"/>
      <c r="L748" s="14"/>
    </row>
    <row r="749">
      <c r="A749" s="14"/>
      <c r="B749" s="14"/>
      <c r="C749" s="14"/>
      <c r="D749" s="14"/>
      <c r="E749" s="14"/>
      <c r="F749" s="14"/>
      <c r="G749" s="14"/>
      <c r="H749" s="14"/>
      <c r="I749" s="14"/>
      <c r="J749" s="14"/>
      <c r="K749" s="14"/>
      <c r="L749" s="14"/>
    </row>
    <row r="750">
      <c r="A750" s="14"/>
      <c r="B750" s="14"/>
      <c r="C750" s="14"/>
      <c r="D750" s="14"/>
      <c r="E750" s="14"/>
      <c r="F750" s="14"/>
      <c r="G750" s="14"/>
      <c r="H750" s="14"/>
      <c r="I750" s="14"/>
      <c r="J750" s="14"/>
      <c r="K750" s="14"/>
      <c r="L750" s="14"/>
    </row>
    <row r="751">
      <c r="A751" s="14"/>
      <c r="B751" s="14"/>
      <c r="C751" s="14"/>
      <c r="D751" s="14"/>
      <c r="E751" s="14"/>
      <c r="F751" s="14"/>
      <c r="G751" s="14"/>
      <c r="H751" s="14"/>
      <c r="I751" s="14"/>
      <c r="J751" s="14"/>
      <c r="K751" s="14"/>
      <c r="L751" s="14"/>
    </row>
    <row r="752">
      <c r="A752" s="14"/>
      <c r="B752" s="14"/>
      <c r="C752" s="14"/>
      <c r="D752" s="14"/>
      <c r="E752" s="14"/>
      <c r="F752" s="14"/>
      <c r="G752" s="14"/>
      <c r="H752" s="14"/>
      <c r="I752" s="14"/>
      <c r="J752" s="14"/>
      <c r="K752" s="14"/>
      <c r="L752" s="14"/>
    </row>
    <row r="753">
      <c r="A753" s="14"/>
      <c r="B753" s="14"/>
      <c r="C753" s="14"/>
      <c r="D753" s="14"/>
      <c r="E753" s="14"/>
      <c r="F753" s="14"/>
      <c r="G753" s="14"/>
      <c r="H753" s="14"/>
      <c r="I753" s="14"/>
      <c r="J753" s="14"/>
      <c r="K753" s="14"/>
      <c r="L753" s="14"/>
    </row>
    <row r="754">
      <c r="A754" s="14"/>
      <c r="B754" s="14"/>
      <c r="C754" s="14"/>
      <c r="D754" s="14"/>
      <c r="E754" s="14"/>
      <c r="F754" s="14"/>
      <c r="G754" s="14"/>
      <c r="H754" s="14"/>
      <c r="I754" s="14"/>
      <c r="J754" s="14"/>
      <c r="K754" s="14"/>
      <c r="L754" s="14"/>
    </row>
    <row r="755">
      <c r="A755" s="14"/>
      <c r="B755" s="14"/>
      <c r="C755" s="14"/>
      <c r="D755" s="14"/>
      <c r="E755" s="14"/>
      <c r="F755" s="14"/>
      <c r="G755" s="14"/>
      <c r="H755" s="14"/>
      <c r="I755" s="14"/>
      <c r="J755" s="14"/>
      <c r="K755" s="14"/>
      <c r="L755" s="14"/>
    </row>
    <row r="756">
      <c r="A756" s="14"/>
      <c r="B756" s="14"/>
      <c r="C756" s="14"/>
      <c r="D756" s="14"/>
      <c r="E756" s="14"/>
      <c r="F756" s="14"/>
      <c r="G756" s="14"/>
      <c r="H756" s="14"/>
      <c r="I756" s="14"/>
      <c r="J756" s="14"/>
      <c r="K756" s="14"/>
      <c r="L756" s="14"/>
    </row>
    <row r="757">
      <c r="A757" s="14"/>
      <c r="B757" s="14"/>
      <c r="C757" s="14"/>
      <c r="D757" s="14"/>
      <c r="E757" s="14"/>
      <c r="F757" s="14"/>
      <c r="G757" s="14"/>
      <c r="H757" s="14"/>
      <c r="I757" s="14"/>
      <c r="J757" s="14"/>
      <c r="K757" s="14"/>
      <c r="L757" s="14"/>
    </row>
    <row r="758">
      <c r="A758" s="14"/>
      <c r="B758" s="14"/>
      <c r="C758" s="14"/>
      <c r="D758" s="14"/>
      <c r="E758" s="14"/>
      <c r="F758" s="14"/>
      <c r="G758" s="14"/>
      <c r="H758" s="14"/>
      <c r="I758" s="14"/>
      <c r="J758" s="14"/>
      <c r="K758" s="14"/>
      <c r="L758" s="14"/>
    </row>
    <row r="759">
      <c r="A759" s="14"/>
      <c r="B759" s="14"/>
      <c r="C759" s="14"/>
      <c r="D759" s="14"/>
      <c r="E759" s="14"/>
      <c r="F759" s="14"/>
      <c r="G759" s="14"/>
      <c r="H759" s="14"/>
      <c r="I759" s="14"/>
      <c r="J759" s="14"/>
      <c r="K759" s="14"/>
      <c r="L759" s="14"/>
    </row>
    <row r="760">
      <c r="A760" s="14"/>
      <c r="B760" s="14"/>
      <c r="C760" s="14"/>
      <c r="D760" s="14"/>
      <c r="E760" s="14"/>
      <c r="F760" s="14"/>
      <c r="G760" s="14"/>
      <c r="H760" s="14"/>
      <c r="I760" s="14"/>
      <c r="J760" s="14"/>
      <c r="K760" s="14"/>
      <c r="L760" s="14"/>
    </row>
    <row r="761">
      <c r="A761" s="14"/>
      <c r="B761" s="14"/>
      <c r="C761" s="14"/>
      <c r="D761" s="14"/>
      <c r="E761" s="14"/>
      <c r="F761" s="14"/>
      <c r="G761" s="14"/>
      <c r="H761" s="14"/>
      <c r="I761" s="14"/>
      <c r="J761" s="14"/>
      <c r="K761" s="14"/>
      <c r="L761" s="14"/>
    </row>
    <row r="762">
      <c r="A762" s="14"/>
      <c r="B762" s="14"/>
      <c r="C762" s="14"/>
      <c r="D762" s="14"/>
      <c r="E762" s="14"/>
      <c r="F762" s="14"/>
      <c r="G762" s="14"/>
      <c r="H762" s="14"/>
      <c r="I762" s="14"/>
      <c r="J762" s="14"/>
      <c r="K762" s="14"/>
      <c r="L762" s="14"/>
    </row>
    <row r="763">
      <c r="A763" s="14"/>
      <c r="B763" s="14"/>
      <c r="C763" s="14"/>
      <c r="D763" s="14"/>
      <c r="E763" s="14"/>
      <c r="F763" s="14"/>
      <c r="G763" s="14"/>
      <c r="H763" s="14"/>
      <c r="I763" s="14"/>
      <c r="J763" s="14"/>
      <c r="K763" s="14"/>
      <c r="L763" s="14"/>
    </row>
    <row r="764">
      <c r="A764" s="14"/>
      <c r="B764" s="14"/>
      <c r="C764" s="14"/>
      <c r="D764" s="14"/>
      <c r="E764" s="14"/>
      <c r="F764" s="14"/>
      <c r="G764" s="14"/>
      <c r="H764" s="14"/>
      <c r="I764" s="14"/>
      <c r="J764" s="14"/>
      <c r="K764" s="14"/>
      <c r="L764" s="14"/>
    </row>
    <row r="765">
      <c r="A765" s="14"/>
      <c r="B765" s="14"/>
      <c r="C765" s="14"/>
      <c r="D765" s="14"/>
      <c r="E765" s="14"/>
      <c r="F765" s="14"/>
      <c r="G765" s="14"/>
      <c r="H765" s="14"/>
      <c r="I765" s="14"/>
      <c r="J765" s="14"/>
      <c r="K765" s="14"/>
      <c r="L765" s="14"/>
    </row>
    <row r="766">
      <c r="A766" s="14"/>
      <c r="B766" s="14"/>
      <c r="C766" s="14"/>
      <c r="D766" s="14"/>
      <c r="E766" s="14"/>
      <c r="F766" s="14"/>
      <c r="G766" s="14"/>
      <c r="H766" s="14"/>
      <c r="I766" s="14"/>
      <c r="J766" s="14"/>
      <c r="K766" s="14"/>
      <c r="L766" s="14"/>
    </row>
    <row r="767">
      <c r="A767" s="14"/>
      <c r="B767" s="14"/>
      <c r="C767" s="14"/>
      <c r="D767" s="14"/>
      <c r="E767" s="14"/>
      <c r="F767" s="14"/>
      <c r="G767" s="14"/>
      <c r="H767" s="14"/>
      <c r="I767" s="14"/>
      <c r="J767" s="14"/>
      <c r="K767" s="14"/>
      <c r="L767" s="14"/>
    </row>
    <row r="768">
      <c r="A768" s="14"/>
      <c r="B768" s="14"/>
      <c r="C768" s="14"/>
      <c r="D768" s="14"/>
      <c r="E768" s="14"/>
      <c r="F768" s="14"/>
      <c r="G768" s="14"/>
      <c r="H768" s="14"/>
      <c r="I768" s="14"/>
      <c r="J768" s="14"/>
      <c r="K768" s="14"/>
      <c r="L768" s="14"/>
    </row>
    <row r="769">
      <c r="A769" s="14"/>
      <c r="B769" s="14"/>
      <c r="C769" s="14"/>
      <c r="D769" s="14"/>
      <c r="E769" s="14"/>
      <c r="F769" s="14"/>
      <c r="G769" s="14"/>
      <c r="H769" s="14"/>
      <c r="I769" s="14"/>
      <c r="J769" s="14"/>
      <c r="K769" s="14"/>
      <c r="L769" s="14"/>
    </row>
    <row r="770">
      <c r="A770" s="14"/>
      <c r="B770" s="14"/>
      <c r="C770" s="14"/>
      <c r="D770" s="14"/>
      <c r="E770" s="14"/>
      <c r="F770" s="14"/>
      <c r="G770" s="14"/>
      <c r="H770" s="14"/>
      <c r="I770" s="14"/>
      <c r="J770" s="14"/>
      <c r="K770" s="14"/>
      <c r="L770" s="14"/>
    </row>
    <row r="771">
      <c r="A771" s="14"/>
      <c r="B771" s="14"/>
      <c r="C771" s="14"/>
      <c r="D771" s="14"/>
      <c r="E771" s="14"/>
      <c r="F771" s="14"/>
      <c r="G771" s="14"/>
      <c r="H771" s="14"/>
      <c r="I771" s="14"/>
      <c r="J771" s="14"/>
      <c r="K771" s="14"/>
      <c r="L771" s="14"/>
    </row>
    <row r="772">
      <c r="A772" s="14"/>
      <c r="B772" s="14"/>
      <c r="C772" s="14"/>
      <c r="D772" s="14"/>
      <c r="E772" s="14"/>
      <c r="F772" s="14"/>
      <c r="G772" s="14"/>
      <c r="H772" s="14"/>
      <c r="I772" s="14"/>
      <c r="J772" s="14"/>
      <c r="K772" s="14"/>
      <c r="L772" s="14"/>
    </row>
    <row r="773">
      <c r="A773" s="14"/>
      <c r="B773" s="14"/>
      <c r="C773" s="14"/>
      <c r="D773" s="14"/>
      <c r="E773" s="14"/>
      <c r="F773" s="14"/>
      <c r="G773" s="14"/>
      <c r="H773" s="14"/>
      <c r="I773" s="14"/>
      <c r="J773" s="14"/>
      <c r="K773" s="14"/>
      <c r="L773" s="14"/>
    </row>
    <row r="774">
      <c r="A774" s="14"/>
      <c r="B774" s="14"/>
      <c r="C774" s="14"/>
      <c r="D774" s="14"/>
      <c r="E774" s="14"/>
      <c r="F774" s="14"/>
      <c r="G774" s="14"/>
      <c r="H774" s="14"/>
      <c r="I774" s="14"/>
      <c r="J774" s="14"/>
      <c r="K774" s="14"/>
      <c r="L774" s="14"/>
    </row>
    <row r="775">
      <c r="A775" s="14"/>
      <c r="B775" s="14"/>
      <c r="C775" s="14"/>
      <c r="D775" s="14"/>
      <c r="E775" s="14"/>
      <c r="F775" s="14"/>
      <c r="G775" s="14"/>
      <c r="H775" s="14"/>
      <c r="I775" s="14"/>
      <c r="J775" s="14"/>
      <c r="K775" s="14"/>
      <c r="L775" s="14"/>
    </row>
    <row r="776">
      <c r="A776" s="14"/>
      <c r="B776" s="14"/>
      <c r="C776" s="14"/>
      <c r="D776" s="14"/>
      <c r="E776" s="14"/>
      <c r="F776" s="14"/>
      <c r="G776" s="14"/>
      <c r="H776" s="14"/>
      <c r="I776" s="14"/>
      <c r="J776" s="14"/>
      <c r="K776" s="14"/>
      <c r="L776" s="14"/>
    </row>
    <row r="777">
      <c r="A777" s="14"/>
      <c r="B777" s="14"/>
      <c r="C777" s="14"/>
      <c r="D777" s="14"/>
      <c r="E777" s="14"/>
      <c r="F777" s="14"/>
      <c r="G777" s="14"/>
      <c r="H777" s="14"/>
      <c r="I777" s="14"/>
      <c r="J777" s="14"/>
      <c r="K777" s="14"/>
      <c r="L777" s="14"/>
    </row>
    <row r="778">
      <c r="A778" s="14"/>
      <c r="B778" s="14"/>
      <c r="C778" s="14"/>
      <c r="D778" s="14"/>
      <c r="E778" s="14"/>
      <c r="F778" s="14"/>
      <c r="G778" s="14"/>
      <c r="H778" s="14"/>
      <c r="I778" s="14"/>
      <c r="J778" s="14"/>
      <c r="K778" s="14"/>
      <c r="L778" s="14"/>
    </row>
    <row r="779">
      <c r="A779" s="14"/>
      <c r="B779" s="14"/>
      <c r="C779" s="14"/>
      <c r="D779" s="14"/>
      <c r="E779" s="14"/>
      <c r="F779" s="14"/>
      <c r="G779" s="14"/>
      <c r="H779" s="14"/>
      <c r="I779" s="14"/>
      <c r="J779" s="14"/>
      <c r="K779" s="14"/>
      <c r="L779" s="14"/>
    </row>
    <row r="780">
      <c r="A780" s="14"/>
      <c r="B780" s="14"/>
      <c r="C780" s="14"/>
      <c r="D780" s="14"/>
      <c r="E780" s="14"/>
      <c r="F780" s="14"/>
      <c r="G780" s="14"/>
      <c r="H780" s="14"/>
      <c r="I780" s="14"/>
      <c r="J780" s="14"/>
      <c r="K780" s="14"/>
      <c r="L780" s="14"/>
    </row>
    <row r="781">
      <c r="A781" s="14"/>
      <c r="B781" s="14"/>
      <c r="C781" s="14"/>
      <c r="D781" s="14"/>
      <c r="E781" s="14"/>
      <c r="F781" s="14"/>
      <c r="G781" s="14"/>
      <c r="H781" s="14"/>
      <c r="I781" s="14"/>
      <c r="J781" s="14"/>
      <c r="K781" s="14"/>
      <c r="L781" s="14"/>
    </row>
    <row r="782">
      <c r="A782" s="14"/>
      <c r="B782" s="14"/>
      <c r="C782" s="14"/>
      <c r="D782" s="14"/>
      <c r="E782" s="14"/>
      <c r="F782" s="14"/>
      <c r="G782" s="14"/>
      <c r="H782" s="14"/>
      <c r="I782" s="14"/>
      <c r="J782" s="14"/>
      <c r="K782" s="14"/>
      <c r="L782" s="14"/>
    </row>
    <row r="783">
      <c r="A783" s="14"/>
      <c r="B783" s="14"/>
      <c r="C783" s="14"/>
      <c r="D783" s="14"/>
      <c r="E783" s="14"/>
      <c r="F783" s="14"/>
      <c r="G783" s="14"/>
      <c r="H783" s="14"/>
      <c r="I783" s="14"/>
      <c r="J783" s="14"/>
      <c r="K783" s="14"/>
      <c r="L783" s="14"/>
    </row>
    <row r="784">
      <c r="A784" s="14"/>
      <c r="B784" s="14"/>
      <c r="C784" s="14"/>
      <c r="D784" s="14"/>
      <c r="E784" s="14"/>
      <c r="F784" s="14"/>
      <c r="G784" s="14"/>
      <c r="H784" s="14"/>
      <c r="I784" s="14"/>
      <c r="J784" s="14"/>
      <c r="K784" s="14"/>
      <c r="L784" s="14"/>
    </row>
    <row r="785">
      <c r="A785" s="14"/>
      <c r="B785" s="14"/>
      <c r="C785" s="14"/>
      <c r="D785" s="14"/>
      <c r="E785" s="14"/>
      <c r="F785" s="14"/>
      <c r="G785" s="14"/>
      <c r="H785" s="14"/>
      <c r="I785" s="14"/>
      <c r="J785" s="14"/>
      <c r="K785" s="14"/>
      <c r="L785" s="14"/>
    </row>
    <row r="786">
      <c r="A786" s="14"/>
      <c r="B786" s="14"/>
      <c r="C786" s="14"/>
      <c r="D786" s="14"/>
      <c r="E786" s="14"/>
      <c r="F786" s="14"/>
      <c r="G786" s="14"/>
      <c r="H786" s="14"/>
      <c r="I786" s="14"/>
      <c r="J786" s="14"/>
      <c r="K786" s="14"/>
      <c r="L786" s="14"/>
    </row>
    <row r="787">
      <c r="A787" s="14"/>
      <c r="B787" s="14"/>
      <c r="C787" s="14"/>
      <c r="D787" s="14"/>
      <c r="E787" s="14"/>
      <c r="F787" s="14"/>
      <c r="G787" s="14"/>
      <c r="H787" s="14"/>
      <c r="I787" s="14"/>
      <c r="J787" s="14"/>
      <c r="K787" s="14"/>
      <c r="L787" s="14"/>
    </row>
    <row r="788">
      <c r="A788" s="14"/>
      <c r="B788" s="14"/>
      <c r="C788" s="14"/>
      <c r="D788" s="14"/>
      <c r="E788" s="14"/>
      <c r="F788" s="14"/>
      <c r="G788" s="14"/>
      <c r="H788" s="14"/>
      <c r="I788" s="14"/>
      <c r="J788" s="14"/>
      <c r="K788" s="14"/>
      <c r="L788" s="14"/>
    </row>
    <row r="789">
      <c r="A789" s="14"/>
      <c r="B789" s="14"/>
      <c r="C789" s="14"/>
      <c r="D789" s="14"/>
      <c r="E789" s="14"/>
      <c r="F789" s="14"/>
      <c r="G789" s="14"/>
      <c r="H789" s="14"/>
      <c r="I789" s="14"/>
      <c r="J789" s="14"/>
      <c r="K789" s="14"/>
      <c r="L789" s="14"/>
    </row>
    <row r="790">
      <c r="A790" s="14"/>
      <c r="B790" s="14"/>
      <c r="C790" s="14"/>
      <c r="D790" s="14"/>
      <c r="E790" s="14"/>
      <c r="F790" s="14"/>
      <c r="G790" s="14"/>
      <c r="H790" s="14"/>
      <c r="I790" s="14"/>
      <c r="J790" s="14"/>
      <c r="K790" s="14"/>
      <c r="L790" s="14"/>
    </row>
    <row r="791">
      <c r="A791" s="14"/>
      <c r="B791" s="14"/>
      <c r="C791" s="14"/>
      <c r="D791" s="14"/>
      <c r="E791" s="14"/>
      <c r="F791" s="14"/>
      <c r="G791" s="14"/>
      <c r="H791" s="14"/>
      <c r="I791" s="14"/>
      <c r="J791" s="14"/>
      <c r="K791" s="14"/>
      <c r="L791" s="14"/>
    </row>
    <row r="792">
      <c r="A792" s="14"/>
      <c r="B792" s="14"/>
      <c r="C792" s="14"/>
      <c r="D792" s="14"/>
      <c r="E792" s="14"/>
      <c r="F792" s="14"/>
      <c r="G792" s="14"/>
      <c r="H792" s="14"/>
      <c r="I792" s="14"/>
      <c r="J792" s="14"/>
      <c r="K792" s="14"/>
      <c r="L792" s="14"/>
    </row>
    <row r="793">
      <c r="A793" s="14"/>
      <c r="B793" s="14"/>
      <c r="C793" s="14"/>
      <c r="D793" s="14"/>
      <c r="E793" s="14"/>
      <c r="F793" s="14"/>
      <c r="G793" s="14"/>
      <c r="H793" s="14"/>
      <c r="I793" s="14"/>
      <c r="J793" s="14"/>
      <c r="K793" s="14"/>
      <c r="L793" s="14"/>
    </row>
    <row r="794">
      <c r="A794" s="14"/>
      <c r="B794" s="14"/>
      <c r="C794" s="14"/>
      <c r="D794" s="14"/>
      <c r="E794" s="14"/>
      <c r="F794" s="14"/>
      <c r="G794" s="14"/>
      <c r="H794" s="14"/>
      <c r="I794" s="14"/>
      <c r="J794" s="14"/>
      <c r="K794" s="14"/>
      <c r="L794" s="14"/>
    </row>
    <row r="795">
      <c r="A795" s="14"/>
      <c r="B795" s="14"/>
      <c r="C795" s="14"/>
      <c r="D795" s="14"/>
      <c r="E795" s="14"/>
      <c r="F795" s="14"/>
      <c r="G795" s="14"/>
      <c r="H795" s="14"/>
      <c r="I795" s="14"/>
      <c r="J795" s="14"/>
      <c r="K795" s="14"/>
      <c r="L795" s="14"/>
    </row>
    <row r="796">
      <c r="A796" s="14"/>
      <c r="B796" s="14"/>
      <c r="C796" s="14"/>
      <c r="D796" s="14"/>
      <c r="E796" s="14"/>
      <c r="F796" s="14"/>
      <c r="G796" s="14"/>
      <c r="H796" s="14"/>
      <c r="I796" s="14"/>
      <c r="J796" s="14"/>
      <c r="K796" s="14"/>
      <c r="L796" s="14"/>
    </row>
    <row r="797">
      <c r="A797" s="14"/>
      <c r="B797" s="14"/>
      <c r="C797" s="14"/>
      <c r="D797" s="14"/>
      <c r="E797" s="14"/>
      <c r="F797" s="14"/>
      <c r="G797" s="14"/>
      <c r="H797" s="14"/>
      <c r="I797" s="14"/>
      <c r="J797" s="14"/>
      <c r="K797" s="14"/>
      <c r="L797" s="14"/>
    </row>
    <row r="798">
      <c r="A798" s="14"/>
      <c r="B798" s="14"/>
      <c r="C798" s="14"/>
      <c r="D798" s="14"/>
      <c r="E798" s="14"/>
      <c r="F798" s="14"/>
      <c r="G798" s="14"/>
      <c r="H798" s="14"/>
      <c r="I798" s="14"/>
      <c r="J798" s="14"/>
      <c r="K798" s="14"/>
      <c r="L798" s="14"/>
    </row>
    <row r="799">
      <c r="A799" s="14"/>
      <c r="B799" s="14"/>
      <c r="C799" s="14"/>
      <c r="D799" s="14"/>
      <c r="E799" s="14"/>
      <c r="F799" s="14"/>
      <c r="G799" s="14"/>
      <c r="H799" s="14"/>
      <c r="I799" s="14"/>
      <c r="J799" s="14"/>
      <c r="K799" s="14"/>
      <c r="L799" s="14"/>
    </row>
    <row r="800">
      <c r="A800" s="14"/>
      <c r="B800" s="14"/>
      <c r="C800" s="14"/>
      <c r="D800" s="14"/>
      <c r="E800" s="14"/>
      <c r="F800" s="14"/>
      <c r="G800" s="14"/>
      <c r="H800" s="14"/>
      <c r="I800" s="14"/>
      <c r="J800" s="14"/>
      <c r="K800" s="14"/>
      <c r="L800" s="14"/>
    </row>
    <row r="801">
      <c r="A801" s="14"/>
      <c r="B801" s="14"/>
      <c r="C801" s="14"/>
      <c r="D801" s="14"/>
      <c r="E801" s="14"/>
      <c r="F801" s="14"/>
      <c r="G801" s="14"/>
      <c r="H801" s="14"/>
      <c r="I801" s="14"/>
      <c r="J801" s="14"/>
      <c r="K801" s="14"/>
      <c r="L801" s="14"/>
    </row>
    <row r="802">
      <c r="A802" s="14"/>
      <c r="B802" s="14"/>
      <c r="C802" s="14"/>
      <c r="D802" s="14"/>
      <c r="E802" s="14"/>
      <c r="F802" s="14"/>
      <c r="G802" s="14"/>
      <c r="H802" s="14"/>
      <c r="I802" s="14"/>
      <c r="J802" s="14"/>
      <c r="K802" s="14"/>
      <c r="L802" s="14"/>
    </row>
    <row r="803">
      <c r="A803" s="14"/>
      <c r="B803" s="14"/>
      <c r="C803" s="14"/>
      <c r="D803" s="14"/>
      <c r="E803" s="14"/>
      <c r="F803" s="14"/>
      <c r="G803" s="14"/>
      <c r="H803" s="14"/>
      <c r="I803" s="14"/>
      <c r="J803" s="14"/>
      <c r="K803" s="14"/>
      <c r="L803" s="14"/>
    </row>
    <row r="804">
      <c r="A804" s="14"/>
      <c r="B804" s="14"/>
      <c r="C804" s="14"/>
      <c r="D804" s="14"/>
      <c r="E804" s="14"/>
      <c r="F804" s="14"/>
      <c r="G804" s="14"/>
      <c r="H804" s="14"/>
      <c r="I804" s="14"/>
      <c r="J804" s="14"/>
      <c r="K804" s="14"/>
      <c r="L804" s="14"/>
    </row>
    <row r="805">
      <c r="A805" s="14"/>
      <c r="B805" s="14"/>
      <c r="C805" s="14"/>
      <c r="D805" s="14"/>
      <c r="E805" s="14"/>
      <c r="F805" s="14"/>
      <c r="G805" s="14"/>
      <c r="H805" s="14"/>
      <c r="I805" s="14"/>
      <c r="J805" s="14"/>
      <c r="K805" s="14"/>
      <c r="L805" s="14"/>
    </row>
    <row r="806">
      <c r="A806" s="14"/>
      <c r="B806" s="14"/>
      <c r="C806" s="14"/>
      <c r="D806" s="14"/>
      <c r="E806" s="14"/>
      <c r="F806" s="14"/>
      <c r="G806" s="14"/>
      <c r="H806" s="14"/>
      <c r="I806" s="14"/>
      <c r="J806" s="14"/>
      <c r="K806" s="14"/>
      <c r="L806" s="14"/>
    </row>
    <row r="807">
      <c r="A807" s="14"/>
      <c r="B807" s="14"/>
      <c r="C807" s="14"/>
      <c r="D807" s="14"/>
      <c r="E807" s="14"/>
      <c r="F807" s="14"/>
      <c r="G807" s="14"/>
      <c r="H807" s="14"/>
      <c r="I807" s="14"/>
      <c r="J807" s="14"/>
      <c r="K807" s="14"/>
      <c r="L807" s="14"/>
    </row>
    <row r="808">
      <c r="A808" s="14"/>
      <c r="B808" s="14"/>
      <c r="C808" s="14"/>
      <c r="D808" s="14"/>
      <c r="E808" s="14"/>
      <c r="F808" s="14"/>
      <c r="G808" s="14"/>
      <c r="H808" s="14"/>
      <c r="I808" s="14"/>
      <c r="J808" s="14"/>
      <c r="K808" s="14"/>
      <c r="L808" s="14"/>
    </row>
    <row r="809">
      <c r="A809" s="14"/>
      <c r="B809" s="14"/>
      <c r="C809" s="14"/>
      <c r="D809" s="14"/>
      <c r="E809" s="14"/>
      <c r="F809" s="14"/>
      <c r="G809" s="14"/>
      <c r="H809" s="14"/>
      <c r="I809" s="14"/>
      <c r="J809" s="14"/>
      <c r="K809" s="14"/>
      <c r="L809" s="14"/>
    </row>
    <row r="810">
      <c r="A810" s="14"/>
      <c r="B810" s="14"/>
      <c r="C810" s="14"/>
      <c r="D810" s="14"/>
      <c r="E810" s="14"/>
      <c r="F810" s="14"/>
      <c r="G810" s="14"/>
      <c r="H810" s="14"/>
      <c r="I810" s="14"/>
      <c r="J810" s="14"/>
      <c r="K810" s="14"/>
      <c r="L810" s="14"/>
    </row>
    <row r="811">
      <c r="A811" s="14"/>
      <c r="B811" s="14"/>
      <c r="C811" s="14"/>
      <c r="D811" s="14"/>
      <c r="E811" s="14"/>
      <c r="F811" s="14"/>
      <c r="G811" s="14"/>
      <c r="H811" s="14"/>
      <c r="I811" s="14"/>
      <c r="J811" s="14"/>
      <c r="K811" s="14"/>
      <c r="L811" s="14"/>
    </row>
    <row r="812">
      <c r="A812" s="14"/>
      <c r="B812" s="14"/>
      <c r="C812" s="14"/>
      <c r="D812" s="14"/>
      <c r="E812" s="14"/>
      <c r="F812" s="14"/>
      <c r="G812" s="14"/>
      <c r="H812" s="14"/>
      <c r="I812" s="14"/>
      <c r="J812" s="14"/>
      <c r="K812" s="14"/>
      <c r="L812" s="14"/>
    </row>
    <row r="813">
      <c r="A813" s="14"/>
      <c r="B813" s="14"/>
      <c r="C813" s="14"/>
      <c r="D813" s="14"/>
      <c r="E813" s="14"/>
      <c r="F813" s="14"/>
      <c r="G813" s="14"/>
      <c r="H813" s="14"/>
      <c r="I813" s="14"/>
      <c r="J813" s="14"/>
      <c r="K813" s="14"/>
      <c r="L813" s="14"/>
    </row>
    <row r="814">
      <c r="A814" s="14"/>
      <c r="B814" s="14"/>
      <c r="C814" s="14"/>
      <c r="D814" s="14"/>
      <c r="E814" s="14"/>
      <c r="F814" s="14"/>
      <c r="G814" s="14"/>
      <c r="H814" s="14"/>
      <c r="I814" s="14"/>
      <c r="J814" s="14"/>
      <c r="K814" s="14"/>
      <c r="L814" s="14"/>
    </row>
    <row r="815">
      <c r="A815" s="14"/>
      <c r="B815" s="14"/>
      <c r="C815" s="14"/>
      <c r="D815" s="14"/>
      <c r="E815" s="14"/>
      <c r="F815" s="14"/>
      <c r="G815" s="14"/>
      <c r="H815" s="14"/>
      <c r="I815" s="14"/>
      <c r="J815" s="14"/>
      <c r="K815" s="14"/>
      <c r="L815" s="14"/>
    </row>
    <row r="816">
      <c r="A816" s="14"/>
      <c r="B816" s="14"/>
      <c r="C816" s="14"/>
      <c r="D816" s="14"/>
      <c r="E816" s="14"/>
      <c r="F816" s="14"/>
      <c r="G816" s="14"/>
      <c r="H816" s="14"/>
      <c r="I816" s="14"/>
      <c r="J816" s="14"/>
      <c r="K816" s="14"/>
      <c r="L816" s="14"/>
    </row>
    <row r="817">
      <c r="A817" s="14"/>
      <c r="B817" s="14"/>
      <c r="C817" s="14"/>
      <c r="D817" s="14"/>
      <c r="E817" s="14"/>
      <c r="F817" s="14"/>
      <c r="G817" s="14"/>
      <c r="H817" s="14"/>
      <c r="I817" s="14"/>
      <c r="J817" s="14"/>
      <c r="K817" s="14"/>
      <c r="L817" s="14"/>
    </row>
    <row r="818">
      <c r="A818" s="14"/>
      <c r="B818" s="14"/>
      <c r="C818" s="14"/>
      <c r="D818" s="14"/>
      <c r="E818" s="14"/>
      <c r="F818" s="14"/>
      <c r="G818" s="14"/>
      <c r="H818" s="14"/>
      <c r="I818" s="14"/>
      <c r="J818" s="14"/>
      <c r="K818" s="14"/>
      <c r="L818" s="14"/>
    </row>
    <row r="819">
      <c r="A819" s="14"/>
      <c r="B819" s="14"/>
      <c r="C819" s="14"/>
      <c r="D819" s="14"/>
      <c r="E819" s="14"/>
      <c r="F819" s="14"/>
      <c r="G819" s="14"/>
      <c r="H819" s="14"/>
      <c r="I819" s="14"/>
      <c r="J819" s="14"/>
      <c r="K819" s="14"/>
      <c r="L819" s="14"/>
    </row>
    <row r="820">
      <c r="A820" s="14"/>
      <c r="B820" s="14"/>
      <c r="C820" s="14"/>
      <c r="D820" s="14"/>
      <c r="E820" s="14"/>
      <c r="F820" s="14"/>
      <c r="G820" s="14"/>
      <c r="H820" s="14"/>
      <c r="I820" s="14"/>
      <c r="J820" s="14"/>
      <c r="K820" s="14"/>
      <c r="L820" s="14"/>
    </row>
    <row r="821">
      <c r="A821" s="14"/>
      <c r="B821" s="14"/>
      <c r="C821" s="14"/>
      <c r="D821" s="14"/>
      <c r="E821" s="14"/>
      <c r="F821" s="14"/>
      <c r="G821" s="14"/>
      <c r="H821" s="14"/>
      <c r="I821" s="14"/>
      <c r="J821" s="14"/>
      <c r="K821" s="14"/>
      <c r="L821" s="14"/>
    </row>
    <row r="822">
      <c r="A822" s="14"/>
      <c r="B822" s="14"/>
      <c r="C822" s="14"/>
      <c r="D822" s="14"/>
      <c r="E822" s="14"/>
      <c r="F822" s="14"/>
      <c r="G822" s="14"/>
      <c r="H822" s="14"/>
      <c r="I822" s="14"/>
      <c r="J822" s="14"/>
      <c r="K822" s="14"/>
      <c r="L822" s="14"/>
    </row>
    <row r="823">
      <c r="A823" s="14"/>
      <c r="B823" s="14"/>
      <c r="C823" s="14"/>
      <c r="D823" s="14"/>
      <c r="E823" s="14"/>
      <c r="F823" s="14"/>
      <c r="G823" s="14"/>
      <c r="H823" s="14"/>
      <c r="I823" s="14"/>
      <c r="J823" s="14"/>
      <c r="K823" s="14"/>
      <c r="L823" s="14"/>
    </row>
    <row r="824">
      <c r="A824" s="14"/>
      <c r="B824" s="14"/>
      <c r="C824" s="14"/>
      <c r="D824" s="14"/>
      <c r="E824" s="14"/>
      <c r="F824" s="14"/>
      <c r="G824" s="14"/>
      <c r="H824" s="14"/>
      <c r="I824" s="14"/>
      <c r="J824" s="14"/>
      <c r="K824" s="14"/>
      <c r="L824" s="14"/>
    </row>
    <row r="825">
      <c r="A825" s="14"/>
      <c r="B825" s="14"/>
      <c r="C825" s="14"/>
      <c r="D825" s="14"/>
      <c r="E825" s="14"/>
      <c r="F825" s="14"/>
      <c r="G825" s="14"/>
      <c r="H825" s="14"/>
      <c r="I825" s="14"/>
      <c r="J825" s="14"/>
      <c r="K825" s="14"/>
      <c r="L825" s="14"/>
    </row>
    <row r="826">
      <c r="A826" s="14"/>
      <c r="B826" s="14"/>
      <c r="C826" s="14"/>
      <c r="D826" s="14"/>
      <c r="E826" s="14"/>
      <c r="F826" s="14"/>
      <c r="G826" s="14"/>
      <c r="H826" s="14"/>
      <c r="I826" s="14"/>
      <c r="J826" s="14"/>
      <c r="K826" s="14"/>
      <c r="L826" s="14"/>
    </row>
    <row r="827">
      <c r="A827" s="14"/>
      <c r="B827" s="14"/>
      <c r="C827" s="14"/>
      <c r="D827" s="14"/>
      <c r="E827" s="14"/>
      <c r="F827" s="14"/>
      <c r="G827" s="14"/>
      <c r="H827" s="14"/>
      <c r="I827" s="14"/>
      <c r="J827" s="14"/>
      <c r="K827" s="14"/>
      <c r="L827" s="14"/>
    </row>
    <row r="828">
      <c r="A828" s="14"/>
      <c r="B828" s="14"/>
      <c r="C828" s="14"/>
      <c r="D828" s="14"/>
      <c r="E828" s="14"/>
      <c r="F828" s="14"/>
      <c r="G828" s="14"/>
      <c r="H828" s="14"/>
      <c r="I828" s="14"/>
      <c r="J828" s="14"/>
      <c r="K828" s="14"/>
      <c r="L828" s="14"/>
    </row>
    <row r="829">
      <c r="A829" s="14"/>
      <c r="B829" s="14"/>
      <c r="C829" s="14"/>
      <c r="D829" s="14"/>
      <c r="E829" s="14"/>
      <c r="F829" s="14"/>
      <c r="G829" s="14"/>
      <c r="H829" s="14"/>
      <c r="I829" s="14"/>
      <c r="J829" s="14"/>
      <c r="K829" s="14"/>
      <c r="L829" s="14"/>
    </row>
    <row r="830">
      <c r="A830" s="14"/>
      <c r="B830" s="14"/>
      <c r="C830" s="14"/>
      <c r="D830" s="14"/>
      <c r="E830" s="14"/>
      <c r="F830" s="14"/>
      <c r="G830" s="14"/>
      <c r="H830" s="14"/>
      <c r="I830" s="14"/>
      <c r="J830" s="14"/>
      <c r="K830" s="14"/>
      <c r="L830" s="14"/>
    </row>
    <row r="831">
      <c r="A831" s="14"/>
      <c r="B831" s="14"/>
      <c r="C831" s="14"/>
      <c r="D831" s="14"/>
      <c r="E831" s="14"/>
      <c r="F831" s="14"/>
      <c r="G831" s="14"/>
      <c r="H831" s="14"/>
      <c r="I831" s="14"/>
      <c r="J831" s="14"/>
      <c r="K831" s="14"/>
      <c r="L831" s="14"/>
    </row>
    <row r="832">
      <c r="A832" s="14"/>
      <c r="B832" s="14"/>
      <c r="C832" s="14"/>
      <c r="D832" s="14"/>
      <c r="E832" s="14"/>
      <c r="F832" s="14"/>
      <c r="G832" s="14"/>
      <c r="H832" s="14"/>
      <c r="I832" s="14"/>
      <c r="J832" s="14"/>
      <c r="K832" s="14"/>
      <c r="L832" s="14"/>
    </row>
    <row r="833">
      <c r="A833" s="14"/>
      <c r="B833" s="14"/>
      <c r="C833" s="14"/>
      <c r="D833" s="14"/>
      <c r="E833" s="14"/>
      <c r="F833" s="14"/>
      <c r="G833" s="14"/>
      <c r="H833" s="14"/>
      <c r="I833" s="14"/>
      <c r="J833" s="14"/>
      <c r="K833" s="14"/>
      <c r="L833" s="14"/>
    </row>
    <row r="834">
      <c r="A834" s="14"/>
      <c r="B834" s="14"/>
      <c r="C834" s="14"/>
      <c r="D834" s="14"/>
      <c r="E834" s="14"/>
      <c r="F834" s="14"/>
      <c r="G834" s="14"/>
      <c r="H834" s="14"/>
      <c r="I834" s="14"/>
      <c r="J834" s="14"/>
      <c r="K834" s="14"/>
      <c r="L834" s="14"/>
    </row>
    <row r="835">
      <c r="A835" s="14"/>
      <c r="B835" s="14"/>
      <c r="C835" s="14"/>
      <c r="D835" s="14"/>
      <c r="E835" s="14"/>
      <c r="F835" s="14"/>
      <c r="G835" s="14"/>
      <c r="H835" s="14"/>
      <c r="I835" s="14"/>
      <c r="J835" s="14"/>
      <c r="K835" s="14"/>
      <c r="L835" s="14"/>
    </row>
    <row r="836">
      <c r="A836" s="14"/>
      <c r="B836" s="14"/>
      <c r="C836" s="14"/>
      <c r="D836" s="14"/>
      <c r="E836" s="14"/>
      <c r="F836" s="14"/>
      <c r="G836" s="14"/>
      <c r="H836" s="14"/>
      <c r="I836" s="14"/>
      <c r="J836" s="14"/>
      <c r="K836" s="14"/>
      <c r="L836" s="14"/>
    </row>
    <row r="837">
      <c r="A837" s="14"/>
      <c r="B837" s="14"/>
      <c r="C837" s="14"/>
      <c r="D837" s="14"/>
      <c r="E837" s="14"/>
      <c r="F837" s="14"/>
      <c r="G837" s="14"/>
      <c r="H837" s="14"/>
      <c r="I837" s="14"/>
      <c r="J837" s="14"/>
      <c r="K837" s="14"/>
      <c r="L837" s="14"/>
    </row>
    <row r="838">
      <c r="A838" s="14"/>
      <c r="B838" s="14"/>
      <c r="C838" s="14"/>
      <c r="D838" s="14"/>
      <c r="E838" s="14"/>
      <c r="F838" s="14"/>
      <c r="G838" s="14"/>
      <c r="H838" s="14"/>
      <c r="I838" s="14"/>
      <c r="J838" s="14"/>
      <c r="K838" s="14"/>
      <c r="L838" s="14"/>
    </row>
    <row r="839">
      <c r="A839" s="14"/>
      <c r="B839" s="14"/>
      <c r="C839" s="14"/>
      <c r="D839" s="14"/>
      <c r="E839" s="14"/>
      <c r="F839" s="14"/>
      <c r="G839" s="14"/>
      <c r="H839" s="14"/>
      <c r="I839" s="14"/>
      <c r="J839" s="14"/>
      <c r="K839" s="14"/>
      <c r="L839" s="14"/>
    </row>
    <row r="840">
      <c r="A840" s="14"/>
      <c r="B840" s="14"/>
      <c r="C840" s="14"/>
      <c r="D840" s="14"/>
      <c r="E840" s="14"/>
      <c r="F840" s="14"/>
      <c r="G840" s="14"/>
      <c r="H840" s="14"/>
      <c r="I840" s="14"/>
      <c r="J840" s="14"/>
      <c r="K840" s="14"/>
      <c r="L840" s="14"/>
    </row>
    <row r="841">
      <c r="A841" s="14"/>
      <c r="B841" s="14"/>
      <c r="C841" s="14"/>
      <c r="D841" s="14"/>
      <c r="E841" s="14"/>
      <c r="F841" s="14"/>
      <c r="G841" s="14"/>
      <c r="H841" s="14"/>
      <c r="I841" s="14"/>
      <c r="J841" s="14"/>
      <c r="K841" s="14"/>
      <c r="L841" s="14"/>
    </row>
    <row r="842">
      <c r="A842" s="14"/>
      <c r="B842" s="14"/>
      <c r="C842" s="14"/>
      <c r="D842" s="14"/>
      <c r="E842" s="14"/>
      <c r="F842" s="14"/>
      <c r="G842" s="14"/>
      <c r="H842" s="14"/>
      <c r="I842" s="14"/>
      <c r="J842" s="14"/>
      <c r="K842" s="14"/>
      <c r="L842" s="14"/>
    </row>
    <row r="843">
      <c r="A843" s="14"/>
      <c r="B843" s="14"/>
      <c r="C843" s="14"/>
      <c r="D843" s="14"/>
      <c r="E843" s="14"/>
      <c r="F843" s="14"/>
      <c r="G843" s="14"/>
      <c r="H843" s="14"/>
      <c r="I843" s="14"/>
      <c r="J843" s="14"/>
      <c r="K843" s="14"/>
      <c r="L843" s="14"/>
    </row>
    <row r="844">
      <c r="A844" s="14"/>
      <c r="B844" s="14"/>
      <c r="C844" s="14"/>
      <c r="D844" s="14"/>
      <c r="E844" s="14"/>
      <c r="F844" s="14"/>
      <c r="G844" s="14"/>
      <c r="H844" s="14"/>
      <c r="I844" s="14"/>
      <c r="J844" s="14"/>
      <c r="K844" s="14"/>
      <c r="L844" s="14"/>
    </row>
    <row r="845">
      <c r="A845" s="14"/>
      <c r="B845" s="14"/>
      <c r="C845" s="14"/>
      <c r="D845" s="14"/>
      <c r="E845" s="14"/>
      <c r="F845" s="14"/>
      <c r="G845" s="14"/>
      <c r="H845" s="14"/>
      <c r="I845" s="14"/>
      <c r="J845" s="14"/>
      <c r="K845" s="14"/>
      <c r="L845" s="14"/>
    </row>
    <row r="846">
      <c r="A846" s="14"/>
      <c r="B846" s="14"/>
      <c r="C846" s="14"/>
      <c r="D846" s="14"/>
      <c r="E846" s="14"/>
      <c r="F846" s="14"/>
      <c r="G846" s="14"/>
      <c r="H846" s="14"/>
      <c r="I846" s="14"/>
      <c r="J846" s="14"/>
      <c r="K846" s="14"/>
      <c r="L846" s="14"/>
    </row>
    <row r="847">
      <c r="A847" s="14"/>
      <c r="B847" s="14"/>
      <c r="C847" s="14"/>
      <c r="D847" s="14"/>
      <c r="E847" s="14"/>
      <c r="F847" s="14"/>
      <c r="G847" s="14"/>
      <c r="H847" s="14"/>
      <c r="I847" s="14"/>
      <c r="J847" s="14"/>
      <c r="K847" s="14"/>
      <c r="L847" s="14"/>
    </row>
    <row r="848">
      <c r="A848" s="14"/>
      <c r="B848" s="14"/>
      <c r="C848" s="14"/>
      <c r="D848" s="14"/>
      <c r="E848" s="14"/>
      <c r="F848" s="14"/>
      <c r="G848" s="14"/>
      <c r="H848" s="14"/>
      <c r="I848" s="14"/>
      <c r="J848" s="14"/>
      <c r="K848" s="14"/>
      <c r="L848" s="14"/>
    </row>
    <row r="849">
      <c r="A849" s="14"/>
      <c r="B849" s="14"/>
      <c r="C849" s="14"/>
      <c r="D849" s="14"/>
      <c r="E849" s="14"/>
      <c r="F849" s="14"/>
      <c r="G849" s="14"/>
      <c r="H849" s="14"/>
      <c r="I849" s="14"/>
      <c r="J849" s="14"/>
      <c r="K849" s="14"/>
      <c r="L849" s="14"/>
    </row>
    <row r="850">
      <c r="A850" s="14"/>
      <c r="B850" s="14"/>
      <c r="C850" s="14"/>
      <c r="D850" s="14"/>
      <c r="E850" s="14"/>
      <c r="F850" s="14"/>
      <c r="G850" s="14"/>
      <c r="H850" s="14"/>
      <c r="I850" s="14"/>
      <c r="J850" s="14"/>
      <c r="K850" s="14"/>
      <c r="L850" s="14"/>
    </row>
    <row r="851">
      <c r="A851" s="14"/>
      <c r="B851" s="14"/>
      <c r="C851" s="14"/>
      <c r="D851" s="14"/>
      <c r="E851" s="14"/>
      <c r="F851" s="14"/>
      <c r="G851" s="14"/>
      <c r="H851" s="14"/>
      <c r="I851" s="14"/>
      <c r="J851" s="14"/>
      <c r="K851" s="14"/>
      <c r="L851" s="14"/>
    </row>
    <row r="852">
      <c r="A852" s="14"/>
      <c r="B852" s="14"/>
      <c r="C852" s="14"/>
      <c r="D852" s="14"/>
      <c r="E852" s="14"/>
      <c r="F852" s="14"/>
      <c r="G852" s="14"/>
      <c r="H852" s="14"/>
      <c r="I852" s="14"/>
      <c r="J852" s="14"/>
      <c r="K852" s="14"/>
      <c r="L852" s="14"/>
    </row>
    <row r="853">
      <c r="A853" s="14"/>
      <c r="B853" s="14"/>
      <c r="C853" s="14"/>
      <c r="D853" s="14"/>
      <c r="E853" s="14"/>
      <c r="F853" s="14"/>
      <c r="G853" s="14"/>
      <c r="H853" s="14"/>
      <c r="I853" s="14"/>
      <c r="J853" s="14"/>
      <c r="K853" s="14"/>
      <c r="L853" s="14"/>
    </row>
    <row r="854">
      <c r="A854" s="14"/>
      <c r="B854" s="14"/>
      <c r="C854" s="14"/>
      <c r="D854" s="14"/>
      <c r="E854" s="14"/>
      <c r="F854" s="14"/>
      <c r="G854" s="14"/>
      <c r="H854" s="14"/>
      <c r="I854" s="14"/>
      <c r="J854" s="14"/>
      <c r="K854" s="14"/>
      <c r="L854" s="14"/>
    </row>
    <row r="855">
      <c r="A855" s="14"/>
      <c r="B855" s="14"/>
      <c r="C855" s="14"/>
      <c r="D855" s="14"/>
      <c r="E855" s="14"/>
      <c r="F855" s="14"/>
      <c r="G855" s="14"/>
      <c r="H855" s="14"/>
      <c r="I855" s="14"/>
      <c r="J855" s="14"/>
      <c r="K855" s="14"/>
      <c r="L855" s="14"/>
    </row>
    <row r="856">
      <c r="A856" s="14"/>
      <c r="B856" s="14"/>
      <c r="C856" s="14"/>
      <c r="D856" s="14"/>
      <c r="E856" s="14"/>
      <c r="F856" s="14"/>
      <c r="G856" s="14"/>
      <c r="H856" s="14"/>
      <c r="I856" s="14"/>
      <c r="J856" s="14"/>
      <c r="K856" s="14"/>
      <c r="L856" s="14"/>
    </row>
    <row r="857">
      <c r="A857" s="14"/>
      <c r="B857" s="14"/>
      <c r="C857" s="14"/>
      <c r="D857" s="14"/>
      <c r="E857" s="14"/>
      <c r="F857" s="14"/>
      <c r="G857" s="14"/>
      <c r="H857" s="14"/>
      <c r="I857" s="14"/>
      <c r="J857" s="14"/>
      <c r="K857" s="14"/>
      <c r="L857" s="14"/>
    </row>
    <row r="858">
      <c r="A858" s="14"/>
      <c r="B858" s="14"/>
      <c r="C858" s="14"/>
      <c r="D858" s="14"/>
      <c r="E858" s="14"/>
      <c r="F858" s="14"/>
      <c r="G858" s="14"/>
      <c r="H858" s="14"/>
      <c r="I858" s="14"/>
      <c r="J858" s="14"/>
      <c r="K858" s="14"/>
      <c r="L858" s="14"/>
    </row>
    <row r="859">
      <c r="A859" s="14"/>
      <c r="B859" s="14"/>
      <c r="C859" s="14"/>
      <c r="D859" s="14"/>
      <c r="E859" s="14"/>
      <c r="F859" s="14"/>
      <c r="G859" s="14"/>
      <c r="H859" s="14"/>
      <c r="I859" s="14"/>
      <c r="J859" s="14"/>
      <c r="K859" s="14"/>
      <c r="L859" s="14"/>
    </row>
    <row r="860">
      <c r="A860" s="14"/>
      <c r="B860" s="14"/>
      <c r="C860" s="14"/>
      <c r="D860" s="14"/>
      <c r="E860" s="14"/>
      <c r="F860" s="14"/>
      <c r="G860" s="14"/>
      <c r="H860" s="14"/>
      <c r="I860" s="14"/>
      <c r="J860" s="14"/>
      <c r="K860" s="14"/>
      <c r="L860" s="14"/>
    </row>
    <row r="861">
      <c r="A861" s="14"/>
      <c r="B861" s="14"/>
      <c r="C861" s="14"/>
      <c r="D861" s="14"/>
      <c r="E861" s="14"/>
      <c r="F861" s="14"/>
      <c r="G861" s="14"/>
      <c r="H861" s="14"/>
      <c r="I861" s="14"/>
      <c r="J861" s="14"/>
      <c r="K861" s="14"/>
      <c r="L861" s="14"/>
    </row>
    <row r="862">
      <c r="A862" s="14"/>
      <c r="B862" s="14"/>
      <c r="C862" s="14"/>
      <c r="D862" s="14"/>
      <c r="E862" s="14"/>
      <c r="F862" s="14"/>
      <c r="G862" s="14"/>
      <c r="H862" s="14"/>
      <c r="I862" s="14"/>
      <c r="J862" s="14"/>
      <c r="K862" s="14"/>
      <c r="L862" s="14"/>
    </row>
    <row r="863">
      <c r="A863" s="14"/>
      <c r="B863" s="14"/>
      <c r="C863" s="14"/>
      <c r="D863" s="14"/>
      <c r="E863" s="14"/>
      <c r="F863" s="14"/>
      <c r="G863" s="14"/>
      <c r="H863" s="14"/>
      <c r="I863" s="14"/>
      <c r="J863" s="14"/>
      <c r="K863" s="14"/>
      <c r="L863" s="14"/>
    </row>
    <row r="864">
      <c r="A864" s="14"/>
      <c r="B864" s="14"/>
      <c r="C864" s="14"/>
      <c r="D864" s="14"/>
      <c r="E864" s="14"/>
      <c r="F864" s="14"/>
      <c r="G864" s="14"/>
      <c r="H864" s="14"/>
      <c r="I864" s="14"/>
      <c r="J864" s="14"/>
      <c r="K864" s="14"/>
      <c r="L864" s="14"/>
    </row>
    <row r="865">
      <c r="A865" s="14"/>
      <c r="B865" s="14"/>
      <c r="C865" s="14"/>
      <c r="D865" s="14"/>
      <c r="E865" s="14"/>
      <c r="F865" s="14"/>
      <c r="G865" s="14"/>
      <c r="H865" s="14"/>
      <c r="I865" s="14"/>
      <c r="J865" s="14"/>
      <c r="K865" s="14"/>
      <c r="L865" s="14"/>
    </row>
    <row r="866">
      <c r="A866" s="14"/>
      <c r="B866" s="14"/>
      <c r="C866" s="14"/>
      <c r="D866" s="14"/>
      <c r="E866" s="14"/>
      <c r="F866" s="14"/>
      <c r="G866" s="14"/>
      <c r="H866" s="14"/>
      <c r="I866" s="14"/>
      <c r="J866" s="14"/>
      <c r="K866" s="14"/>
      <c r="L866" s="14"/>
    </row>
    <row r="867">
      <c r="A867" s="14"/>
      <c r="B867" s="14"/>
      <c r="C867" s="14"/>
      <c r="D867" s="14"/>
      <c r="E867" s="14"/>
      <c r="F867" s="14"/>
      <c r="G867" s="14"/>
      <c r="H867" s="14"/>
      <c r="I867" s="14"/>
      <c r="J867" s="14"/>
      <c r="K867" s="14"/>
      <c r="L867" s="14"/>
    </row>
    <row r="868">
      <c r="A868" s="14"/>
      <c r="B868" s="14"/>
      <c r="C868" s="14"/>
      <c r="D868" s="14"/>
      <c r="E868" s="14"/>
      <c r="F868" s="14"/>
      <c r="G868" s="14"/>
      <c r="H868" s="14"/>
      <c r="I868" s="14"/>
      <c r="J868" s="14"/>
      <c r="K868" s="14"/>
      <c r="L868" s="14"/>
    </row>
    <row r="869">
      <c r="A869" s="14"/>
      <c r="B869" s="14"/>
      <c r="C869" s="14"/>
      <c r="D869" s="14"/>
      <c r="E869" s="14"/>
      <c r="F869" s="14"/>
      <c r="G869" s="14"/>
      <c r="H869" s="14"/>
      <c r="I869" s="14"/>
      <c r="J869" s="14"/>
      <c r="K869" s="14"/>
      <c r="L869" s="14"/>
    </row>
    <row r="870">
      <c r="A870" s="14"/>
      <c r="B870" s="14"/>
      <c r="C870" s="14"/>
      <c r="D870" s="14"/>
      <c r="E870" s="14"/>
      <c r="F870" s="14"/>
      <c r="G870" s="14"/>
      <c r="H870" s="14"/>
      <c r="I870" s="14"/>
      <c r="J870" s="14"/>
      <c r="K870" s="14"/>
      <c r="L870" s="14"/>
    </row>
    <row r="871">
      <c r="A871" s="14"/>
      <c r="B871" s="14"/>
      <c r="C871" s="14"/>
      <c r="D871" s="14"/>
      <c r="E871" s="14"/>
      <c r="F871" s="14"/>
      <c r="G871" s="14"/>
      <c r="H871" s="14"/>
      <c r="I871" s="14"/>
      <c r="J871" s="14"/>
      <c r="K871" s="14"/>
      <c r="L871" s="14"/>
    </row>
    <row r="872">
      <c r="A872" s="14"/>
      <c r="B872" s="14"/>
      <c r="C872" s="14"/>
      <c r="D872" s="14"/>
      <c r="E872" s="14"/>
      <c r="F872" s="14"/>
      <c r="G872" s="14"/>
      <c r="H872" s="14"/>
      <c r="I872" s="14"/>
      <c r="J872" s="14"/>
      <c r="K872" s="14"/>
      <c r="L872" s="14"/>
    </row>
    <row r="873">
      <c r="A873" s="14"/>
      <c r="B873" s="14"/>
      <c r="C873" s="14"/>
      <c r="D873" s="14"/>
      <c r="E873" s="14"/>
      <c r="F873" s="14"/>
      <c r="G873" s="14"/>
      <c r="H873" s="14"/>
      <c r="I873" s="14"/>
      <c r="J873" s="14"/>
      <c r="K873" s="14"/>
      <c r="L873" s="14"/>
    </row>
    <row r="874">
      <c r="A874" s="14"/>
      <c r="B874" s="14"/>
      <c r="C874" s="14"/>
      <c r="D874" s="14"/>
      <c r="E874" s="14"/>
      <c r="F874" s="14"/>
      <c r="G874" s="14"/>
      <c r="H874" s="14"/>
      <c r="I874" s="14"/>
      <c r="J874" s="14"/>
      <c r="K874" s="14"/>
      <c r="L874" s="14"/>
    </row>
    <row r="875">
      <c r="A875" s="14"/>
      <c r="B875" s="14"/>
      <c r="C875" s="14"/>
      <c r="D875" s="14"/>
      <c r="E875" s="14"/>
      <c r="F875" s="14"/>
      <c r="G875" s="14"/>
      <c r="H875" s="14"/>
      <c r="I875" s="14"/>
      <c r="J875" s="14"/>
      <c r="K875" s="14"/>
      <c r="L875" s="14"/>
    </row>
    <row r="876">
      <c r="A876" s="14"/>
      <c r="B876" s="14"/>
      <c r="C876" s="14"/>
      <c r="D876" s="14"/>
      <c r="E876" s="14"/>
      <c r="F876" s="14"/>
      <c r="G876" s="14"/>
      <c r="H876" s="14"/>
      <c r="I876" s="14"/>
      <c r="J876" s="14"/>
      <c r="K876" s="14"/>
      <c r="L876" s="14"/>
    </row>
    <row r="877">
      <c r="A877" s="14"/>
      <c r="B877" s="14"/>
      <c r="C877" s="14"/>
      <c r="D877" s="14"/>
      <c r="E877" s="14"/>
      <c r="F877" s="14"/>
      <c r="G877" s="14"/>
      <c r="H877" s="14"/>
      <c r="I877" s="14"/>
      <c r="J877" s="14"/>
      <c r="K877" s="14"/>
      <c r="L877" s="14"/>
    </row>
    <row r="878">
      <c r="A878" s="14"/>
      <c r="B878" s="14"/>
      <c r="C878" s="14"/>
      <c r="D878" s="14"/>
      <c r="E878" s="14"/>
      <c r="F878" s="14"/>
      <c r="G878" s="14"/>
      <c r="H878" s="14"/>
      <c r="I878" s="14"/>
      <c r="J878" s="14"/>
      <c r="K878" s="14"/>
      <c r="L878" s="14"/>
    </row>
    <row r="879">
      <c r="A879" s="14"/>
      <c r="B879" s="14"/>
      <c r="C879" s="14"/>
      <c r="D879" s="14"/>
      <c r="E879" s="14"/>
      <c r="F879" s="14"/>
      <c r="G879" s="14"/>
      <c r="H879" s="14"/>
      <c r="I879" s="14"/>
      <c r="J879" s="14"/>
      <c r="K879" s="14"/>
      <c r="L879" s="14"/>
    </row>
    <row r="880">
      <c r="A880" s="14"/>
      <c r="B880" s="14"/>
      <c r="C880" s="14"/>
      <c r="D880" s="14"/>
      <c r="E880" s="14"/>
      <c r="F880" s="14"/>
      <c r="G880" s="14"/>
      <c r="H880" s="14"/>
      <c r="I880" s="14"/>
      <c r="J880" s="14"/>
      <c r="K880" s="14"/>
      <c r="L880" s="14"/>
    </row>
    <row r="881">
      <c r="A881" s="14"/>
      <c r="B881" s="14"/>
      <c r="C881" s="14"/>
      <c r="D881" s="14"/>
      <c r="E881" s="14"/>
      <c r="F881" s="14"/>
      <c r="G881" s="14"/>
      <c r="H881" s="14"/>
      <c r="I881" s="14"/>
      <c r="J881" s="14"/>
      <c r="K881" s="14"/>
      <c r="L881" s="14"/>
    </row>
    <row r="882">
      <c r="A882" s="14"/>
      <c r="B882" s="14"/>
      <c r="C882" s="14"/>
      <c r="D882" s="14"/>
      <c r="E882" s="14"/>
      <c r="F882" s="14"/>
      <c r="G882" s="14"/>
      <c r="H882" s="14"/>
      <c r="I882" s="14"/>
      <c r="J882" s="14"/>
      <c r="K882" s="14"/>
      <c r="L882" s="14"/>
    </row>
    <row r="883">
      <c r="A883" s="14"/>
      <c r="B883" s="14"/>
      <c r="C883" s="14"/>
      <c r="D883" s="14"/>
      <c r="E883" s="14"/>
      <c r="F883" s="14"/>
      <c r="G883" s="14"/>
      <c r="H883" s="14"/>
      <c r="I883" s="14"/>
      <c r="J883" s="14"/>
      <c r="K883" s="14"/>
      <c r="L883" s="14"/>
    </row>
    <row r="884">
      <c r="A884" s="14"/>
      <c r="B884" s="14"/>
      <c r="C884" s="14"/>
      <c r="D884" s="14"/>
      <c r="E884" s="14"/>
      <c r="F884" s="14"/>
      <c r="G884" s="14"/>
      <c r="H884" s="14"/>
      <c r="I884" s="14"/>
      <c r="J884" s="14"/>
      <c r="K884" s="14"/>
      <c r="L884" s="14"/>
    </row>
    <row r="885">
      <c r="A885" s="14"/>
      <c r="B885" s="14"/>
      <c r="C885" s="14"/>
      <c r="D885" s="14"/>
      <c r="E885" s="14"/>
      <c r="F885" s="14"/>
      <c r="G885" s="14"/>
      <c r="H885" s="14"/>
      <c r="I885" s="14"/>
      <c r="J885" s="14"/>
      <c r="K885" s="14"/>
      <c r="L885" s="14"/>
    </row>
    <row r="886">
      <c r="A886" s="14"/>
      <c r="B886" s="14"/>
      <c r="C886" s="14"/>
      <c r="D886" s="14"/>
      <c r="E886" s="14"/>
      <c r="F886" s="14"/>
      <c r="G886" s="14"/>
      <c r="H886" s="14"/>
      <c r="I886" s="14"/>
      <c r="J886" s="14"/>
      <c r="K886" s="14"/>
      <c r="L886" s="14"/>
    </row>
    <row r="887">
      <c r="A887" s="14"/>
      <c r="B887" s="14"/>
      <c r="C887" s="14"/>
      <c r="D887" s="14"/>
      <c r="E887" s="14"/>
      <c r="F887" s="14"/>
      <c r="G887" s="14"/>
      <c r="H887" s="14"/>
      <c r="I887" s="14"/>
      <c r="J887" s="14"/>
      <c r="K887" s="14"/>
      <c r="L887" s="14"/>
    </row>
    <row r="888">
      <c r="A888" s="14"/>
      <c r="B888" s="14"/>
      <c r="C888" s="14"/>
      <c r="D888" s="14"/>
      <c r="E888" s="14"/>
      <c r="F888" s="14"/>
      <c r="G888" s="14"/>
      <c r="H888" s="14"/>
      <c r="I888" s="14"/>
      <c r="J888" s="14"/>
      <c r="K888" s="14"/>
      <c r="L888" s="14"/>
    </row>
    <row r="889">
      <c r="A889" s="14"/>
      <c r="B889" s="14"/>
      <c r="C889" s="14"/>
      <c r="D889" s="14"/>
      <c r="E889" s="14"/>
      <c r="F889" s="14"/>
      <c r="G889" s="14"/>
      <c r="H889" s="14"/>
      <c r="I889" s="14"/>
      <c r="J889" s="14"/>
      <c r="K889" s="14"/>
      <c r="L889" s="14"/>
    </row>
    <row r="890">
      <c r="A890" s="14"/>
      <c r="B890" s="14"/>
      <c r="C890" s="14"/>
      <c r="D890" s="14"/>
      <c r="E890" s="14"/>
      <c r="F890" s="14"/>
      <c r="G890" s="14"/>
      <c r="H890" s="14"/>
      <c r="I890" s="14"/>
      <c r="J890" s="14"/>
      <c r="K890" s="14"/>
      <c r="L890" s="14"/>
    </row>
    <row r="891">
      <c r="A891" s="14"/>
      <c r="B891" s="14"/>
      <c r="C891" s="14"/>
      <c r="D891" s="14"/>
      <c r="E891" s="14"/>
      <c r="F891" s="14"/>
      <c r="G891" s="14"/>
      <c r="H891" s="14"/>
      <c r="I891" s="14"/>
      <c r="J891" s="14"/>
      <c r="K891" s="14"/>
      <c r="L891" s="14"/>
    </row>
    <row r="892">
      <c r="A892" s="14"/>
      <c r="B892" s="14"/>
      <c r="C892" s="14"/>
      <c r="D892" s="14"/>
      <c r="E892" s="14"/>
      <c r="F892" s="14"/>
      <c r="G892" s="14"/>
      <c r="H892" s="14"/>
      <c r="I892" s="14"/>
      <c r="J892" s="14"/>
      <c r="K892" s="14"/>
      <c r="L892" s="14"/>
    </row>
    <row r="893">
      <c r="A893" s="14"/>
      <c r="B893" s="14"/>
      <c r="C893" s="14"/>
      <c r="D893" s="14"/>
      <c r="E893" s="14"/>
      <c r="F893" s="14"/>
      <c r="G893" s="14"/>
      <c r="H893" s="14"/>
      <c r="I893" s="14"/>
      <c r="J893" s="14"/>
      <c r="K893" s="14"/>
      <c r="L893" s="14"/>
    </row>
    <row r="894">
      <c r="A894" s="14"/>
      <c r="B894" s="14"/>
      <c r="C894" s="14"/>
      <c r="D894" s="14"/>
      <c r="E894" s="14"/>
      <c r="F894" s="14"/>
      <c r="G894" s="14"/>
      <c r="H894" s="14"/>
      <c r="I894" s="14"/>
      <c r="J894" s="14"/>
      <c r="K894" s="14"/>
      <c r="L894" s="14"/>
    </row>
    <row r="895">
      <c r="A895" s="14"/>
      <c r="B895" s="14"/>
      <c r="C895" s="14"/>
      <c r="D895" s="14"/>
      <c r="E895" s="14"/>
      <c r="F895" s="14"/>
      <c r="G895" s="14"/>
      <c r="H895" s="14"/>
      <c r="I895" s="14"/>
      <c r="J895" s="14"/>
      <c r="K895" s="14"/>
      <c r="L895" s="14"/>
    </row>
    <row r="896">
      <c r="A896" s="14"/>
      <c r="B896" s="14"/>
      <c r="C896" s="14"/>
      <c r="D896" s="14"/>
      <c r="E896" s="14"/>
      <c r="F896" s="14"/>
      <c r="G896" s="14"/>
      <c r="H896" s="14"/>
      <c r="I896" s="14"/>
      <c r="J896" s="14"/>
      <c r="K896" s="14"/>
      <c r="L896" s="14"/>
    </row>
    <row r="897">
      <c r="A897" s="14"/>
      <c r="B897" s="14"/>
      <c r="C897" s="14"/>
      <c r="D897" s="14"/>
      <c r="E897" s="14"/>
      <c r="F897" s="14"/>
      <c r="G897" s="14"/>
      <c r="H897" s="14"/>
      <c r="I897" s="14"/>
      <c r="J897" s="14"/>
      <c r="K897" s="14"/>
      <c r="L897" s="14"/>
    </row>
    <row r="898">
      <c r="A898" s="14"/>
      <c r="B898" s="14"/>
      <c r="C898" s="14"/>
      <c r="D898" s="14"/>
      <c r="E898" s="14"/>
      <c r="F898" s="14"/>
      <c r="G898" s="14"/>
      <c r="H898" s="14"/>
      <c r="I898" s="14"/>
      <c r="J898" s="14"/>
      <c r="K898" s="14"/>
      <c r="L898" s="14"/>
    </row>
    <row r="899">
      <c r="A899" s="14"/>
      <c r="B899" s="14"/>
      <c r="C899" s="14"/>
      <c r="D899" s="14"/>
      <c r="E899" s="14"/>
      <c r="F899" s="14"/>
      <c r="G899" s="14"/>
      <c r="H899" s="14"/>
      <c r="I899" s="14"/>
      <c r="J899" s="14"/>
      <c r="K899" s="14"/>
      <c r="L899" s="14"/>
    </row>
    <row r="900">
      <c r="A900" s="14"/>
      <c r="B900" s="14"/>
      <c r="C900" s="14"/>
      <c r="D900" s="14"/>
      <c r="E900" s="14"/>
      <c r="F900" s="14"/>
      <c r="G900" s="14"/>
      <c r="H900" s="14"/>
      <c r="I900" s="14"/>
      <c r="J900" s="14"/>
      <c r="K900" s="14"/>
      <c r="L900" s="14"/>
    </row>
    <row r="901">
      <c r="A901" s="14"/>
      <c r="B901" s="14"/>
      <c r="C901" s="14"/>
      <c r="D901" s="14"/>
      <c r="E901" s="14"/>
      <c r="F901" s="14"/>
      <c r="G901" s="14"/>
      <c r="H901" s="14"/>
      <c r="I901" s="14"/>
      <c r="J901" s="14"/>
      <c r="K901" s="14"/>
      <c r="L901" s="14"/>
    </row>
    <row r="902">
      <c r="A902" s="14"/>
      <c r="B902" s="14"/>
      <c r="C902" s="14"/>
      <c r="D902" s="14"/>
      <c r="E902" s="14"/>
      <c r="F902" s="14"/>
      <c r="G902" s="14"/>
      <c r="H902" s="14"/>
      <c r="I902" s="14"/>
      <c r="J902" s="14"/>
      <c r="K902" s="14"/>
      <c r="L902" s="14"/>
    </row>
    <row r="903">
      <c r="A903" s="14"/>
      <c r="B903" s="14"/>
      <c r="C903" s="14"/>
      <c r="D903" s="14"/>
      <c r="E903" s="14"/>
      <c r="F903" s="14"/>
      <c r="G903" s="14"/>
      <c r="H903" s="14"/>
      <c r="I903" s="14"/>
      <c r="J903" s="14"/>
      <c r="K903" s="14"/>
      <c r="L903" s="14"/>
    </row>
    <row r="904">
      <c r="A904" s="14"/>
      <c r="B904" s="14"/>
      <c r="C904" s="14"/>
      <c r="D904" s="14"/>
      <c r="E904" s="14"/>
      <c r="F904" s="14"/>
      <c r="G904" s="14"/>
      <c r="H904" s="14"/>
      <c r="I904" s="14"/>
      <c r="J904" s="14"/>
      <c r="K904" s="14"/>
      <c r="L904" s="14"/>
    </row>
    <row r="905">
      <c r="A905" s="14"/>
      <c r="B905" s="14"/>
      <c r="C905" s="14"/>
      <c r="D905" s="14"/>
      <c r="E905" s="14"/>
      <c r="F905" s="14"/>
      <c r="G905" s="14"/>
      <c r="H905" s="14"/>
      <c r="I905" s="14"/>
      <c r="J905" s="14"/>
      <c r="K905" s="14"/>
      <c r="L905" s="14"/>
    </row>
    <row r="906">
      <c r="A906" s="14"/>
      <c r="B906" s="14"/>
      <c r="C906" s="14"/>
      <c r="D906" s="14"/>
      <c r="E906" s="14"/>
      <c r="F906" s="14"/>
      <c r="G906" s="14"/>
      <c r="H906" s="14"/>
      <c r="I906" s="14"/>
      <c r="J906" s="14"/>
      <c r="K906" s="14"/>
      <c r="L906" s="14"/>
    </row>
    <row r="907">
      <c r="A907" s="14"/>
      <c r="B907" s="14"/>
      <c r="C907" s="14"/>
      <c r="D907" s="14"/>
      <c r="E907" s="14"/>
      <c r="F907" s="14"/>
      <c r="G907" s="14"/>
      <c r="H907" s="14"/>
      <c r="I907" s="14"/>
      <c r="J907" s="14"/>
      <c r="K907" s="14"/>
      <c r="L907" s="14"/>
    </row>
    <row r="908">
      <c r="A908" s="14"/>
      <c r="B908" s="14"/>
      <c r="C908" s="14"/>
      <c r="D908" s="14"/>
      <c r="E908" s="14"/>
      <c r="F908" s="14"/>
      <c r="G908" s="14"/>
      <c r="H908" s="14"/>
      <c r="I908" s="14"/>
      <c r="J908" s="14"/>
      <c r="K908" s="14"/>
      <c r="L908" s="14"/>
    </row>
    <row r="909">
      <c r="A909" s="14"/>
      <c r="B909" s="14"/>
      <c r="C909" s="14"/>
      <c r="D909" s="14"/>
      <c r="E909" s="14"/>
      <c r="F909" s="14"/>
      <c r="G909" s="14"/>
      <c r="H909" s="14"/>
      <c r="I909" s="14"/>
      <c r="J909" s="14"/>
      <c r="K909" s="14"/>
      <c r="L909" s="14"/>
    </row>
    <row r="910">
      <c r="A910" s="14"/>
      <c r="B910" s="14"/>
      <c r="C910" s="14"/>
      <c r="D910" s="14"/>
      <c r="E910" s="14"/>
      <c r="F910" s="14"/>
      <c r="G910" s="14"/>
      <c r="H910" s="14"/>
      <c r="I910" s="14"/>
      <c r="J910" s="14"/>
      <c r="K910" s="14"/>
      <c r="L910" s="14"/>
    </row>
    <row r="911">
      <c r="A911" s="14"/>
      <c r="B911" s="14"/>
      <c r="C911" s="14"/>
      <c r="D911" s="14"/>
      <c r="E911" s="14"/>
      <c r="F911" s="14"/>
      <c r="G911" s="14"/>
      <c r="H911" s="14"/>
      <c r="I911" s="14"/>
      <c r="J911" s="14"/>
      <c r="K911" s="14"/>
      <c r="L911" s="14"/>
    </row>
    <row r="912">
      <c r="A912" s="14"/>
      <c r="B912" s="14"/>
      <c r="C912" s="14"/>
      <c r="D912" s="14"/>
      <c r="E912" s="14"/>
      <c r="F912" s="14"/>
      <c r="G912" s="14"/>
      <c r="H912" s="14"/>
      <c r="I912" s="14"/>
      <c r="J912" s="14"/>
      <c r="K912" s="14"/>
      <c r="L912" s="14"/>
    </row>
    <row r="913">
      <c r="A913" s="14"/>
      <c r="B913" s="14"/>
      <c r="C913" s="14"/>
      <c r="D913" s="14"/>
      <c r="E913" s="14"/>
      <c r="F913" s="14"/>
      <c r="G913" s="14"/>
      <c r="H913" s="14"/>
      <c r="I913" s="14"/>
      <c r="J913" s="14"/>
      <c r="K913" s="14"/>
      <c r="L913" s="14"/>
    </row>
    <row r="914">
      <c r="A914" s="14"/>
      <c r="B914" s="14"/>
      <c r="C914" s="14"/>
      <c r="D914" s="14"/>
      <c r="E914" s="14"/>
      <c r="F914" s="14"/>
      <c r="G914" s="14"/>
      <c r="H914" s="14"/>
      <c r="I914" s="14"/>
      <c r="J914" s="14"/>
      <c r="K914" s="14"/>
      <c r="L914" s="14"/>
    </row>
    <row r="915">
      <c r="A915" s="14"/>
      <c r="B915" s="14"/>
      <c r="C915" s="14"/>
      <c r="D915" s="14"/>
      <c r="E915" s="14"/>
      <c r="F915" s="14"/>
      <c r="G915" s="14"/>
      <c r="H915" s="14"/>
      <c r="I915" s="14"/>
      <c r="J915" s="14"/>
      <c r="K915" s="14"/>
      <c r="L915" s="14"/>
    </row>
    <row r="916">
      <c r="A916" s="14"/>
      <c r="B916" s="14"/>
      <c r="C916" s="14"/>
      <c r="D916" s="14"/>
      <c r="E916" s="14"/>
      <c r="F916" s="14"/>
      <c r="G916" s="14"/>
      <c r="H916" s="14"/>
      <c r="I916" s="14"/>
      <c r="J916" s="14"/>
      <c r="K916" s="14"/>
      <c r="L916" s="14"/>
    </row>
    <row r="917">
      <c r="A917" s="14"/>
      <c r="B917" s="14"/>
      <c r="C917" s="14"/>
      <c r="D917" s="14"/>
      <c r="E917" s="14"/>
      <c r="F917" s="14"/>
      <c r="G917" s="14"/>
      <c r="H917" s="14"/>
      <c r="I917" s="14"/>
      <c r="J917" s="14"/>
      <c r="K917" s="14"/>
      <c r="L917" s="14"/>
    </row>
    <row r="918">
      <c r="A918" s="14"/>
      <c r="B918" s="14"/>
      <c r="C918" s="14"/>
      <c r="D918" s="14"/>
      <c r="E918" s="14"/>
      <c r="F918" s="14"/>
      <c r="G918" s="14"/>
      <c r="H918" s="14"/>
      <c r="I918" s="14"/>
      <c r="J918" s="14"/>
      <c r="K918" s="14"/>
      <c r="L918" s="14"/>
    </row>
    <row r="919">
      <c r="A919" s="14"/>
      <c r="B919" s="14"/>
      <c r="C919" s="14"/>
      <c r="D919" s="14"/>
      <c r="E919" s="14"/>
      <c r="F919" s="14"/>
      <c r="G919" s="14"/>
      <c r="H919" s="14"/>
      <c r="I919" s="14"/>
      <c r="J919" s="14"/>
      <c r="K919" s="14"/>
      <c r="L919" s="14"/>
    </row>
    <row r="920">
      <c r="A920" s="14"/>
      <c r="B920" s="14"/>
      <c r="C920" s="14"/>
      <c r="D920" s="14"/>
      <c r="E920" s="14"/>
      <c r="F920" s="14"/>
      <c r="G920" s="14"/>
      <c r="H920" s="14"/>
      <c r="I920" s="14"/>
      <c r="J920" s="14"/>
      <c r="K920" s="14"/>
      <c r="L920" s="14"/>
    </row>
    <row r="921">
      <c r="A921" s="14"/>
      <c r="B921" s="14"/>
      <c r="C921" s="14"/>
      <c r="D921" s="14"/>
      <c r="E921" s="14"/>
      <c r="F921" s="14"/>
      <c r="G921" s="14"/>
      <c r="H921" s="14"/>
      <c r="I921" s="14"/>
      <c r="J921" s="14"/>
      <c r="K921" s="14"/>
      <c r="L921" s="14"/>
    </row>
    <row r="922">
      <c r="A922" s="14"/>
      <c r="B922" s="14"/>
      <c r="C922" s="14"/>
      <c r="D922" s="14"/>
      <c r="E922" s="14"/>
      <c r="F922" s="14"/>
      <c r="G922" s="14"/>
      <c r="H922" s="14"/>
      <c r="I922" s="14"/>
      <c r="J922" s="14"/>
      <c r="K922" s="14"/>
      <c r="L922" s="14"/>
    </row>
    <row r="923">
      <c r="A923" s="14"/>
      <c r="B923" s="14"/>
      <c r="C923" s="14"/>
      <c r="D923" s="14"/>
      <c r="E923" s="14"/>
      <c r="F923" s="14"/>
      <c r="G923" s="14"/>
      <c r="H923" s="14"/>
      <c r="I923" s="14"/>
      <c r="J923" s="14"/>
      <c r="K923" s="14"/>
      <c r="L923" s="14"/>
    </row>
    <row r="924">
      <c r="A924" s="14"/>
      <c r="B924" s="14"/>
      <c r="C924" s="14"/>
      <c r="D924" s="14"/>
      <c r="E924" s="14"/>
      <c r="F924" s="14"/>
      <c r="G924" s="14"/>
      <c r="H924" s="14"/>
      <c r="I924" s="14"/>
      <c r="J924" s="14"/>
      <c r="K924" s="14"/>
      <c r="L924" s="14"/>
    </row>
    <row r="925">
      <c r="A925" s="14"/>
      <c r="B925" s="14"/>
      <c r="C925" s="14"/>
      <c r="D925" s="14"/>
      <c r="E925" s="14"/>
      <c r="F925" s="14"/>
      <c r="G925" s="14"/>
      <c r="H925" s="14"/>
      <c r="I925" s="14"/>
      <c r="J925" s="14"/>
      <c r="K925" s="14"/>
      <c r="L925" s="14"/>
    </row>
    <row r="926">
      <c r="A926" s="14"/>
      <c r="B926" s="14"/>
      <c r="C926" s="14"/>
      <c r="D926" s="14"/>
      <c r="E926" s="14"/>
      <c r="F926" s="14"/>
      <c r="G926" s="14"/>
      <c r="H926" s="14"/>
      <c r="I926" s="14"/>
      <c r="J926" s="14"/>
      <c r="K926" s="14"/>
      <c r="L926" s="14"/>
    </row>
    <row r="927">
      <c r="A927" s="14"/>
      <c r="B927" s="14"/>
      <c r="C927" s="14"/>
      <c r="D927" s="14"/>
      <c r="E927" s="14"/>
      <c r="F927" s="14"/>
      <c r="G927" s="14"/>
      <c r="H927" s="14"/>
      <c r="I927" s="14"/>
      <c r="J927" s="14"/>
      <c r="K927" s="14"/>
      <c r="L927" s="14"/>
    </row>
    <row r="928">
      <c r="A928" s="14"/>
      <c r="B928" s="14"/>
      <c r="C928" s="14"/>
      <c r="D928" s="14"/>
      <c r="E928" s="14"/>
      <c r="F928" s="14"/>
      <c r="G928" s="14"/>
      <c r="H928" s="14"/>
      <c r="I928" s="14"/>
      <c r="J928" s="14"/>
      <c r="K928" s="14"/>
      <c r="L928" s="14"/>
    </row>
    <row r="929">
      <c r="A929" s="14"/>
      <c r="B929" s="14"/>
      <c r="C929" s="14"/>
      <c r="D929" s="14"/>
      <c r="E929" s="14"/>
      <c r="F929" s="14"/>
      <c r="G929" s="14"/>
      <c r="H929" s="14"/>
      <c r="I929" s="14"/>
      <c r="J929" s="14"/>
      <c r="K929" s="14"/>
      <c r="L929" s="14"/>
    </row>
    <row r="930">
      <c r="A930" s="14"/>
      <c r="B930" s="14"/>
      <c r="C930" s="14"/>
      <c r="D930" s="14"/>
      <c r="E930" s="14"/>
      <c r="F930" s="14"/>
      <c r="G930" s="14"/>
      <c r="H930" s="14"/>
      <c r="I930" s="14"/>
      <c r="J930" s="14"/>
      <c r="K930" s="14"/>
      <c r="L930" s="14"/>
    </row>
    <row r="931">
      <c r="A931" s="14"/>
      <c r="B931" s="14"/>
      <c r="C931" s="14"/>
      <c r="D931" s="14"/>
      <c r="E931" s="14"/>
      <c r="F931" s="14"/>
      <c r="G931" s="14"/>
      <c r="H931" s="14"/>
      <c r="I931" s="14"/>
      <c r="J931" s="14"/>
      <c r="K931" s="14"/>
      <c r="L931" s="14"/>
    </row>
    <row r="932">
      <c r="A932" s="14"/>
      <c r="B932" s="14"/>
      <c r="C932" s="14"/>
      <c r="D932" s="14"/>
      <c r="E932" s="14"/>
      <c r="F932" s="14"/>
      <c r="G932" s="14"/>
      <c r="H932" s="14"/>
      <c r="I932" s="14"/>
      <c r="J932" s="14"/>
      <c r="K932" s="14"/>
      <c r="L932" s="14"/>
    </row>
    <row r="933">
      <c r="A933" s="14"/>
      <c r="B933" s="14"/>
      <c r="C933" s="14"/>
      <c r="D933" s="14"/>
      <c r="E933" s="14"/>
      <c r="F933" s="14"/>
      <c r="G933" s="14"/>
      <c r="H933" s="14"/>
      <c r="I933" s="14"/>
      <c r="J933" s="14"/>
      <c r="K933" s="14"/>
      <c r="L933" s="14"/>
    </row>
    <row r="934">
      <c r="A934" s="14"/>
      <c r="B934" s="14"/>
      <c r="C934" s="14"/>
      <c r="D934" s="14"/>
      <c r="E934" s="14"/>
      <c r="F934" s="14"/>
      <c r="G934" s="14"/>
      <c r="H934" s="14"/>
      <c r="I934" s="14"/>
      <c r="J934" s="14"/>
      <c r="K934" s="14"/>
      <c r="L934" s="14"/>
    </row>
    <row r="935">
      <c r="A935" s="14"/>
      <c r="B935" s="14"/>
      <c r="C935" s="14"/>
      <c r="D935" s="14"/>
      <c r="E935" s="14"/>
      <c r="F935" s="14"/>
      <c r="G935" s="14"/>
      <c r="H935" s="14"/>
      <c r="I935" s="14"/>
      <c r="J935" s="14"/>
      <c r="K935" s="14"/>
      <c r="L935" s="14"/>
    </row>
    <row r="936">
      <c r="A936" s="14"/>
      <c r="B936" s="14"/>
      <c r="C936" s="14"/>
      <c r="D936" s="14"/>
      <c r="E936" s="14"/>
      <c r="F936" s="14"/>
      <c r="G936" s="14"/>
      <c r="H936" s="14"/>
      <c r="I936" s="14"/>
      <c r="J936" s="14"/>
      <c r="K936" s="14"/>
      <c r="L936" s="14"/>
    </row>
    <row r="937">
      <c r="A937" s="14"/>
      <c r="B937" s="14"/>
      <c r="C937" s="14"/>
      <c r="D937" s="14"/>
      <c r="E937" s="14"/>
      <c r="F937" s="14"/>
      <c r="G937" s="14"/>
      <c r="H937" s="14"/>
      <c r="I937" s="14"/>
      <c r="J937" s="14"/>
      <c r="K937" s="14"/>
      <c r="L937" s="14"/>
    </row>
    <row r="938">
      <c r="A938" s="14"/>
      <c r="B938" s="14"/>
      <c r="C938" s="14"/>
      <c r="D938" s="14"/>
      <c r="E938" s="14"/>
      <c r="F938" s="14"/>
      <c r="G938" s="14"/>
      <c r="H938" s="14"/>
      <c r="I938" s="14"/>
      <c r="J938" s="14"/>
      <c r="K938" s="14"/>
      <c r="L938" s="14"/>
    </row>
    <row r="939">
      <c r="A939" s="14"/>
      <c r="B939" s="14"/>
      <c r="C939" s="14"/>
      <c r="D939" s="14"/>
      <c r="E939" s="14"/>
      <c r="F939" s="14"/>
      <c r="G939" s="14"/>
      <c r="H939" s="14"/>
      <c r="I939" s="14"/>
      <c r="J939" s="14"/>
      <c r="K939" s="14"/>
      <c r="L939" s="14"/>
    </row>
    <row r="940">
      <c r="A940" s="14"/>
      <c r="B940" s="14"/>
      <c r="C940" s="14"/>
      <c r="D940" s="14"/>
      <c r="E940" s="14"/>
      <c r="F940" s="14"/>
      <c r="G940" s="14"/>
      <c r="H940" s="14"/>
      <c r="I940" s="14"/>
      <c r="J940" s="14"/>
      <c r="K940" s="14"/>
      <c r="L940" s="14"/>
    </row>
    <row r="941">
      <c r="A941" s="14"/>
      <c r="B941" s="14"/>
      <c r="C941" s="14"/>
      <c r="D941" s="14"/>
      <c r="E941" s="14"/>
      <c r="F941" s="14"/>
      <c r="G941" s="14"/>
      <c r="H941" s="14"/>
      <c r="I941" s="14"/>
      <c r="J941" s="14"/>
      <c r="K941" s="14"/>
      <c r="L941" s="14"/>
    </row>
    <row r="942">
      <c r="A942" s="14"/>
      <c r="B942" s="14"/>
      <c r="C942" s="14"/>
      <c r="D942" s="14"/>
      <c r="E942" s="14"/>
      <c r="F942" s="14"/>
      <c r="G942" s="14"/>
      <c r="H942" s="14"/>
      <c r="I942" s="14"/>
      <c r="J942" s="14"/>
      <c r="K942" s="14"/>
      <c r="L942" s="14"/>
    </row>
    <row r="943">
      <c r="A943" s="14"/>
      <c r="B943" s="14"/>
      <c r="C943" s="14"/>
      <c r="D943" s="14"/>
      <c r="E943" s="14"/>
      <c r="F943" s="14"/>
      <c r="G943" s="14"/>
      <c r="H943" s="14"/>
      <c r="I943" s="14"/>
      <c r="J943" s="14"/>
      <c r="K943" s="14"/>
      <c r="L943" s="14"/>
    </row>
    <row r="944">
      <c r="A944" s="14"/>
      <c r="B944" s="14"/>
      <c r="C944" s="14"/>
      <c r="D944" s="14"/>
      <c r="E944" s="14"/>
      <c r="F944" s="14"/>
      <c r="G944" s="14"/>
      <c r="H944" s="14"/>
      <c r="I944" s="14"/>
      <c r="J944" s="14"/>
      <c r="K944" s="14"/>
      <c r="L944" s="14"/>
    </row>
    <row r="945">
      <c r="A945" s="14"/>
      <c r="B945" s="14"/>
      <c r="C945" s="14"/>
      <c r="D945" s="14"/>
      <c r="E945" s="14"/>
      <c r="F945" s="14"/>
      <c r="G945" s="14"/>
      <c r="H945" s="14"/>
      <c r="I945" s="14"/>
      <c r="J945" s="14"/>
      <c r="K945" s="14"/>
      <c r="L945" s="14"/>
    </row>
    <row r="946">
      <c r="A946" s="14"/>
      <c r="B946" s="14"/>
      <c r="C946" s="14"/>
      <c r="D946" s="14"/>
      <c r="E946" s="14"/>
      <c r="F946" s="14"/>
      <c r="G946" s="14"/>
      <c r="H946" s="14"/>
      <c r="I946" s="14"/>
      <c r="J946" s="14"/>
      <c r="K946" s="14"/>
      <c r="L946" s="14"/>
    </row>
    <row r="947">
      <c r="A947" s="14"/>
      <c r="B947" s="14"/>
      <c r="C947" s="14"/>
      <c r="D947" s="14"/>
      <c r="E947" s="14"/>
      <c r="F947" s="14"/>
      <c r="G947" s="14"/>
      <c r="H947" s="14"/>
      <c r="I947" s="14"/>
      <c r="J947" s="14"/>
      <c r="K947" s="14"/>
      <c r="L947" s="14"/>
    </row>
    <row r="948">
      <c r="A948" s="14"/>
      <c r="B948" s="14"/>
      <c r="C948" s="14"/>
      <c r="D948" s="14"/>
      <c r="E948" s="14"/>
      <c r="F948" s="14"/>
      <c r="G948" s="14"/>
      <c r="H948" s="14"/>
      <c r="I948" s="14"/>
      <c r="J948" s="14"/>
      <c r="K948" s="14"/>
      <c r="L948" s="14"/>
    </row>
    <row r="949">
      <c r="A949" s="14"/>
      <c r="B949" s="14"/>
      <c r="C949" s="14"/>
      <c r="D949" s="14"/>
      <c r="E949" s="14"/>
      <c r="F949" s="14"/>
      <c r="G949" s="14"/>
      <c r="H949" s="14"/>
      <c r="I949" s="14"/>
      <c r="J949" s="14"/>
      <c r="K949" s="14"/>
      <c r="L949" s="14"/>
    </row>
    <row r="950">
      <c r="A950" s="14"/>
      <c r="B950" s="14"/>
      <c r="C950" s="14"/>
      <c r="D950" s="14"/>
      <c r="E950" s="14"/>
      <c r="F950" s="14"/>
      <c r="G950" s="14"/>
      <c r="H950" s="14"/>
      <c r="I950" s="14"/>
      <c r="J950" s="14"/>
      <c r="K950" s="14"/>
      <c r="L950" s="14"/>
    </row>
    <row r="951">
      <c r="A951" s="14"/>
      <c r="B951" s="14"/>
      <c r="C951" s="14"/>
      <c r="D951" s="14"/>
      <c r="E951" s="14"/>
      <c r="F951" s="14"/>
      <c r="G951" s="14"/>
      <c r="H951" s="14"/>
      <c r="I951" s="14"/>
      <c r="J951" s="14"/>
      <c r="K951" s="14"/>
      <c r="L951" s="14"/>
    </row>
    <row r="952">
      <c r="A952" s="14"/>
      <c r="B952" s="14"/>
      <c r="C952" s="14"/>
      <c r="D952" s="14"/>
      <c r="E952" s="14"/>
      <c r="F952" s="14"/>
      <c r="G952" s="14"/>
      <c r="H952" s="14"/>
      <c r="I952" s="14"/>
      <c r="J952" s="14"/>
      <c r="K952" s="14"/>
      <c r="L952" s="14"/>
    </row>
    <row r="953">
      <c r="A953" s="14"/>
      <c r="B953" s="14"/>
      <c r="C953" s="14"/>
      <c r="D953" s="14"/>
      <c r="E953" s="14"/>
      <c r="F953" s="14"/>
      <c r="G953" s="14"/>
      <c r="H953" s="14"/>
      <c r="I953" s="14"/>
      <c r="J953" s="14"/>
      <c r="K953" s="14"/>
      <c r="L953" s="14"/>
    </row>
    <row r="954">
      <c r="A954" s="14"/>
      <c r="B954" s="14"/>
      <c r="C954" s="14"/>
      <c r="D954" s="14"/>
      <c r="E954" s="14"/>
      <c r="F954" s="14"/>
      <c r="G954" s="14"/>
      <c r="H954" s="14"/>
      <c r="I954" s="14"/>
      <c r="J954" s="14"/>
      <c r="K954" s="14"/>
      <c r="L954" s="14"/>
    </row>
    <row r="955">
      <c r="A955" s="14"/>
      <c r="B955" s="14"/>
      <c r="C955" s="14"/>
      <c r="D955" s="14"/>
      <c r="E955" s="14"/>
      <c r="F955" s="14"/>
      <c r="G955" s="14"/>
      <c r="H955" s="14"/>
      <c r="I955" s="14"/>
      <c r="J955" s="14"/>
      <c r="K955" s="14"/>
      <c r="L955" s="14"/>
    </row>
    <row r="956">
      <c r="A956" s="14"/>
      <c r="B956" s="14"/>
      <c r="C956" s="14"/>
      <c r="D956" s="14"/>
      <c r="E956" s="14"/>
      <c r="F956" s="14"/>
      <c r="G956" s="14"/>
      <c r="H956" s="14"/>
      <c r="I956" s="14"/>
      <c r="J956" s="14"/>
      <c r="K956" s="14"/>
      <c r="L956" s="14"/>
    </row>
    <row r="957">
      <c r="A957" s="14"/>
      <c r="B957" s="14"/>
      <c r="C957" s="14"/>
      <c r="D957" s="14"/>
      <c r="E957" s="14"/>
      <c r="F957" s="14"/>
      <c r="G957" s="14"/>
      <c r="H957" s="14"/>
      <c r="I957" s="14"/>
      <c r="J957" s="14"/>
      <c r="K957" s="14"/>
      <c r="L957" s="14"/>
    </row>
    <row r="958">
      <c r="A958" s="14"/>
      <c r="B958" s="14"/>
      <c r="C958" s="14"/>
      <c r="D958" s="14"/>
      <c r="E958" s="14"/>
      <c r="F958" s="14"/>
      <c r="G958" s="14"/>
      <c r="H958" s="14"/>
      <c r="I958" s="14"/>
      <c r="J958" s="14"/>
      <c r="K958" s="14"/>
      <c r="L958" s="14"/>
    </row>
    <row r="959">
      <c r="A959" s="14"/>
      <c r="B959" s="14"/>
      <c r="C959" s="14"/>
      <c r="D959" s="14"/>
      <c r="E959" s="14"/>
      <c r="F959" s="14"/>
      <c r="G959" s="14"/>
      <c r="H959" s="14"/>
      <c r="I959" s="14"/>
      <c r="J959" s="14"/>
      <c r="K959" s="14"/>
      <c r="L959" s="14"/>
    </row>
    <row r="960">
      <c r="A960" s="14"/>
      <c r="B960" s="14"/>
      <c r="C960" s="14"/>
      <c r="D960" s="14"/>
      <c r="E960" s="14"/>
      <c r="F960" s="14"/>
      <c r="G960" s="14"/>
      <c r="H960" s="14"/>
      <c r="I960" s="14"/>
      <c r="J960" s="14"/>
      <c r="K960" s="14"/>
      <c r="L960" s="14"/>
    </row>
    <row r="961">
      <c r="A961" s="14"/>
      <c r="B961" s="14"/>
      <c r="C961" s="14"/>
      <c r="D961" s="14"/>
      <c r="E961" s="14"/>
      <c r="F961" s="14"/>
      <c r="G961" s="14"/>
      <c r="H961" s="14"/>
      <c r="I961" s="14"/>
      <c r="J961" s="14"/>
      <c r="K961" s="14"/>
      <c r="L961" s="14"/>
    </row>
    <row r="962">
      <c r="A962" s="14"/>
      <c r="B962" s="14"/>
      <c r="C962" s="14"/>
      <c r="D962" s="14"/>
      <c r="E962" s="14"/>
      <c r="F962" s="14"/>
      <c r="G962" s="14"/>
      <c r="H962" s="14"/>
      <c r="I962" s="14"/>
      <c r="J962" s="14"/>
      <c r="K962" s="14"/>
      <c r="L962" s="14"/>
    </row>
    <row r="963">
      <c r="A963" s="14"/>
      <c r="B963" s="14"/>
      <c r="C963" s="14"/>
      <c r="D963" s="14"/>
      <c r="E963" s="14"/>
      <c r="F963" s="14"/>
      <c r="G963" s="14"/>
      <c r="H963" s="14"/>
      <c r="I963" s="14"/>
      <c r="J963" s="14"/>
      <c r="K963" s="14"/>
      <c r="L963" s="14"/>
    </row>
    <row r="964">
      <c r="A964" s="14"/>
      <c r="B964" s="14"/>
      <c r="C964" s="14"/>
      <c r="D964" s="14"/>
      <c r="E964" s="14"/>
      <c r="F964" s="14"/>
      <c r="G964" s="14"/>
      <c r="H964" s="14"/>
      <c r="I964" s="14"/>
      <c r="J964" s="14"/>
      <c r="K964" s="14"/>
      <c r="L964" s="14"/>
    </row>
    <row r="965">
      <c r="A965" s="14"/>
      <c r="B965" s="14"/>
      <c r="C965" s="14"/>
      <c r="D965" s="14"/>
      <c r="E965" s="14"/>
      <c r="F965" s="14"/>
      <c r="G965" s="14"/>
      <c r="H965" s="14"/>
      <c r="I965" s="14"/>
      <c r="J965" s="14"/>
      <c r="K965" s="14"/>
      <c r="L965" s="14"/>
    </row>
    <row r="966">
      <c r="A966" s="14"/>
      <c r="B966" s="14"/>
      <c r="C966" s="14"/>
      <c r="D966" s="14"/>
      <c r="E966" s="14"/>
      <c r="F966" s="14"/>
      <c r="G966" s="14"/>
      <c r="H966" s="14"/>
      <c r="I966" s="14"/>
      <c r="J966" s="14"/>
      <c r="K966" s="14"/>
      <c r="L966" s="14"/>
    </row>
    <row r="967">
      <c r="A967" s="14"/>
      <c r="B967" s="14"/>
      <c r="C967" s="14"/>
      <c r="D967" s="14"/>
      <c r="E967" s="14"/>
      <c r="F967" s="14"/>
      <c r="G967" s="14"/>
      <c r="H967" s="14"/>
      <c r="I967" s="14"/>
      <c r="J967" s="14"/>
      <c r="K967" s="14"/>
      <c r="L967" s="14"/>
    </row>
    <row r="968">
      <c r="A968" s="14"/>
      <c r="B968" s="14"/>
      <c r="C968" s="14"/>
      <c r="D968" s="14"/>
      <c r="E968" s="14"/>
      <c r="F968" s="14"/>
      <c r="G968" s="14"/>
      <c r="H968" s="14"/>
      <c r="I968" s="14"/>
      <c r="J968" s="14"/>
      <c r="K968" s="14"/>
      <c r="L968" s="14"/>
    </row>
    <row r="969">
      <c r="A969" s="14"/>
      <c r="B969" s="14"/>
      <c r="C969" s="14"/>
      <c r="D969" s="14"/>
      <c r="E969" s="14"/>
      <c r="F969" s="14"/>
      <c r="G969" s="14"/>
      <c r="H969" s="14"/>
      <c r="I969" s="14"/>
      <c r="J969" s="14"/>
      <c r="K969" s="14"/>
      <c r="L969" s="14"/>
    </row>
    <row r="970">
      <c r="A970" s="14"/>
      <c r="B970" s="14"/>
      <c r="C970" s="14"/>
      <c r="D970" s="14"/>
      <c r="E970" s="14"/>
      <c r="F970" s="14"/>
      <c r="G970" s="14"/>
      <c r="H970" s="14"/>
      <c r="I970" s="14"/>
      <c r="J970" s="14"/>
      <c r="K970" s="14"/>
      <c r="L970" s="14"/>
    </row>
    <row r="971">
      <c r="A971" s="14"/>
      <c r="B971" s="14"/>
      <c r="C971" s="14"/>
      <c r="D971" s="14"/>
      <c r="E971" s="14"/>
      <c r="F971" s="14"/>
      <c r="G971" s="14"/>
      <c r="H971" s="14"/>
      <c r="I971" s="14"/>
      <c r="J971" s="14"/>
      <c r="K971" s="14"/>
      <c r="L971" s="14"/>
    </row>
    <row r="972">
      <c r="A972" s="14"/>
      <c r="B972" s="14"/>
      <c r="C972" s="14"/>
      <c r="D972" s="14"/>
      <c r="E972" s="14"/>
      <c r="F972" s="14"/>
      <c r="G972" s="14"/>
      <c r="H972" s="14"/>
      <c r="I972" s="14"/>
      <c r="J972" s="14"/>
      <c r="K972" s="14"/>
      <c r="L972" s="14"/>
    </row>
    <row r="973">
      <c r="A973" s="14"/>
      <c r="B973" s="14"/>
      <c r="C973" s="14"/>
      <c r="D973" s="14"/>
      <c r="E973" s="14"/>
      <c r="F973" s="14"/>
      <c r="G973" s="14"/>
      <c r="H973" s="14"/>
      <c r="I973" s="14"/>
      <c r="J973" s="14"/>
      <c r="K973" s="14"/>
      <c r="L973" s="14"/>
    </row>
    <row r="974">
      <c r="A974" s="14"/>
      <c r="B974" s="14"/>
      <c r="C974" s="14"/>
      <c r="D974" s="14"/>
      <c r="E974" s="14"/>
      <c r="F974" s="14"/>
      <c r="G974" s="14"/>
      <c r="H974" s="14"/>
      <c r="I974" s="14"/>
      <c r="J974" s="14"/>
      <c r="K974" s="14"/>
      <c r="L974" s="14"/>
    </row>
    <row r="975">
      <c r="A975" s="14"/>
      <c r="B975" s="14"/>
      <c r="C975" s="14"/>
      <c r="D975" s="14"/>
      <c r="E975" s="14"/>
      <c r="F975" s="14"/>
      <c r="G975" s="14"/>
      <c r="H975" s="14"/>
      <c r="I975" s="14"/>
      <c r="J975" s="14"/>
      <c r="K975" s="14"/>
      <c r="L975" s="14"/>
    </row>
    <row r="976">
      <c r="A976" s="14"/>
      <c r="B976" s="14"/>
      <c r="C976" s="14"/>
      <c r="D976" s="14"/>
      <c r="E976" s="14"/>
      <c r="F976" s="14"/>
      <c r="G976" s="14"/>
      <c r="H976" s="14"/>
      <c r="I976" s="14"/>
      <c r="J976" s="14"/>
      <c r="K976" s="14"/>
      <c r="L976" s="14"/>
    </row>
    <row r="977">
      <c r="A977" s="14"/>
      <c r="B977" s="14"/>
      <c r="C977" s="14"/>
      <c r="D977" s="14"/>
      <c r="E977" s="14"/>
      <c r="F977" s="14"/>
      <c r="G977" s="14"/>
      <c r="H977" s="14"/>
      <c r="I977" s="14"/>
      <c r="J977" s="14"/>
      <c r="K977" s="14"/>
      <c r="L977" s="14"/>
    </row>
    <row r="978">
      <c r="A978" s="14"/>
      <c r="B978" s="14"/>
      <c r="C978" s="14"/>
      <c r="D978" s="14"/>
      <c r="E978" s="14"/>
      <c r="F978" s="14"/>
      <c r="G978" s="14"/>
      <c r="H978" s="14"/>
      <c r="I978" s="14"/>
      <c r="J978" s="14"/>
      <c r="K978" s="14"/>
      <c r="L978" s="14"/>
    </row>
    <row r="979">
      <c r="A979" s="14"/>
      <c r="B979" s="14"/>
      <c r="C979" s="14"/>
      <c r="D979" s="14"/>
      <c r="E979" s="14"/>
      <c r="F979" s="14"/>
      <c r="G979" s="14"/>
      <c r="H979" s="14"/>
      <c r="I979" s="14"/>
      <c r="J979" s="14"/>
      <c r="K979" s="14"/>
      <c r="L979" s="14"/>
    </row>
    <row r="980">
      <c r="A980" s="14"/>
      <c r="B980" s="14"/>
      <c r="C980" s="14"/>
      <c r="D980" s="14"/>
      <c r="E980" s="14"/>
      <c r="F980" s="14"/>
      <c r="G980" s="14"/>
      <c r="H980" s="14"/>
      <c r="I980" s="14"/>
      <c r="J980" s="14"/>
      <c r="K980" s="14"/>
      <c r="L980" s="14"/>
    </row>
    <row r="981">
      <c r="A981" s="14"/>
      <c r="B981" s="14"/>
      <c r="C981" s="14"/>
      <c r="D981" s="14"/>
      <c r="E981" s="14"/>
      <c r="F981" s="14"/>
      <c r="G981" s="14"/>
      <c r="H981" s="14"/>
      <c r="I981" s="14"/>
      <c r="J981" s="14"/>
      <c r="K981" s="14"/>
      <c r="L981" s="14"/>
    </row>
    <row r="982">
      <c r="A982" s="14"/>
      <c r="B982" s="14"/>
      <c r="C982" s="14"/>
      <c r="D982" s="14"/>
      <c r="E982" s="14"/>
      <c r="F982" s="14"/>
      <c r="G982" s="14"/>
      <c r="H982" s="14"/>
      <c r="I982" s="14"/>
      <c r="J982" s="14"/>
      <c r="K982" s="14"/>
      <c r="L982" s="14"/>
    </row>
    <row r="983">
      <c r="A983" s="14"/>
      <c r="B983" s="14"/>
      <c r="C983" s="14"/>
      <c r="D983" s="14"/>
      <c r="E983" s="14"/>
      <c r="F983" s="14"/>
      <c r="G983" s="14"/>
      <c r="H983" s="14"/>
      <c r="I983" s="14"/>
      <c r="J983" s="14"/>
      <c r="K983" s="14"/>
      <c r="L983" s="14"/>
    </row>
    <row r="984">
      <c r="A984" s="14"/>
      <c r="B984" s="14"/>
      <c r="C984" s="14"/>
      <c r="D984" s="14"/>
      <c r="E984" s="14"/>
      <c r="F984" s="14"/>
      <c r="G984" s="14"/>
      <c r="H984" s="14"/>
      <c r="I984" s="14"/>
      <c r="J984" s="14"/>
      <c r="K984" s="14"/>
      <c r="L984" s="14"/>
    </row>
    <row r="985">
      <c r="A985" s="14"/>
      <c r="B985" s="14"/>
      <c r="C985" s="14"/>
      <c r="D985" s="14"/>
      <c r="E985" s="14"/>
      <c r="F985" s="14"/>
      <c r="G985" s="14"/>
      <c r="H985" s="14"/>
      <c r="I985" s="14"/>
      <c r="J985" s="14"/>
      <c r="K985" s="14"/>
      <c r="L985" s="14"/>
    </row>
    <row r="986">
      <c r="A986" s="14"/>
      <c r="B986" s="14"/>
      <c r="C986" s="14"/>
      <c r="D986" s="14"/>
      <c r="E986" s="14"/>
      <c r="F986" s="14"/>
      <c r="G986" s="14"/>
      <c r="H986" s="14"/>
      <c r="I986" s="14"/>
      <c r="J986" s="14"/>
      <c r="K986" s="14"/>
      <c r="L986" s="14"/>
    </row>
    <row r="987">
      <c r="A987" s="14"/>
      <c r="B987" s="14"/>
      <c r="C987" s="14"/>
      <c r="D987" s="14"/>
      <c r="E987" s="14"/>
      <c r="F987" s="14"/>
      <c r="G987" s="14"/>
      <c r="H987" s="14"/>
      <c r="I987" s="14"/>
      <c r="J987" s="14"/>
      <c r="K987" s="14"/>
      <c r="L987" s="14"/>
    </row>
    <row r="988">
      <c r="A988" s="14"/>
      <c r="B988" s="14"/>
      <c r="C988" s="14"/>
      <c r="D988" s="14"/>
      <c r="E988" s="14"/>
      <c r="F988" s="14"/>
      <c r="G988" s="14"/>
      <c r="H988" s="14"/>
      <c r="I988" s="14"/>
      <c r="J988" s="14"/>
      <c r="K988" s="14"/>
      <c r="L988" s="14"/>
    </row>
    <row r="989">
      <c r="A989" s="14"/>
      <c r="B989" s="14"/>
      <c r="C989" s="14"/>
      <c r="D989" s="14"/>
      <c r="E989" s="14"/>
      <c r="F989" s="14"/>
      <c r="G989" s="14"/>
      <c r="H989" s="14"/>
      <c r="I989" s="14"/>
      <c r="J989" s="14"/>
      <c r="K989" s="14"/>
      <c r="L989" s="14"/>
    </row>
    <row r="990">
      <c r="A990" s="14"/>
      <c r="B990" s="14"/>
      <c r="C990" s="14"/>
      <c r="D990" s="14"/>
      <c r="E990" s="14"/>
      <c r="F990" s="14"/>
      <c r="G990" s="14"/>
      <c r="H990" s="14"/>
      <c r="I990" s="14"/>
      <c r="J990" s="14"/>
      <c r="K990" s="14"/>
      <c r="L990" s="14"/>
    </row>
    <row r="991">
      <c r="A991" s="14"/>
      <c r="B991" s="14"/>
      <c r="C991" s="14"/>
      <c r="D991" s="14"/>
      <c r="E991" s="14"/>
      <c r="F991" s="14"/>
      <c r="G991" s="14"/>
      <c r="H991" s="14"/>
      <c r="I991" s="14"/>
      <c r="J991" s="14"/>
      <c r="K991" s="14"/>
      <c r="L991" s="14"/>
    </row>
    <row r="992">
      <c r="A992" s="14"/>
      <c r="B992" s="14"/>
      <c r="C992" s="14"/>
      <c r="D992" s="14"/>
      <c r="E992" s="14"/>
      <c r="F992" s="14"/>
      <c r="G992" s="14"/>
      <c r="H992" s="14"/>
      <c r="I992" s="14"/>
      <c r="J992" s="14"/>
      <c r="K992" s="14"/>
      <c r="L992" s="14"/>
    </row>
    <row r="993">
      <c r="A993" s="14"/>
      <c r="B993" s="14"/>
      <c r="C993" s="14"/>
      <c r="D993" s="14"/>
      <c r="E993" s="14"/>
      <c r="F993" s="14"/>
      <c r="G993" s="14"/>
      <c r="H993" s="14"/>
      <c r="I993" s="14"/>
      <c r="J993" s="14"/>
      <c r="K993" s="14"/>
      <c r="L993" s="14"/>
    </row>
    <row r="994">
      <c r="A994" s="14"/>
      <c r="B994" s="14"/>
      <c r="C994" s="14"/>
      <c r="D994" s="14"/>
      <c r="E994" s="14"/>
      <c r="F994" s="14"/>
      <c r="G994" s="14"/>
      <c r="H994" s="14"/>
      <c r="I994" s="14"/>
      <c r="J994" s="14"/>
      <c r="K994" s="14"/>
      <c r="L994" s="14"/>
    </row>
    <row r="995">
      <c r="A995" s="14"/>
      <c r="B995" s="14"/>
      <c r="C995" s="14"/>
      <c r="D995" s="14"/>
      <c r="E995" s="14"/>
      <c r="F995" s="14"/>
      <c r="G995" s="14"/>
      <c r="H995" s="14"/>
      <c r="I995" s="14"/>
      <c r="J995" s="14"/>
      <c r="K995" s="14"/>
      <c r="L995" s="14"/>
    </row>
    <row r="996">
      <c r="A996" s="14"/>
      <c r="B996" s="14"/>
      <c r="C996" s="14"/>
      <c r="D996" s="14"/>
      <c r="E996" s="14"/>
      <c r="F996" s="14"/>
      <c r="G996" s="14"/>
      <c r="H996" s="14"/>
      <c r="I996" s="14"/>
      <c r="J996" s="14"/>
      <c r="K996" s="14"/>
      <c r="L996" s="14"/>
    </row>
    <row r="997">
      <c r="A997" s="14"/>
      <c r="B997" s="14"/>
      <c r="C997" s="14"/>
      <c r="D997" s="14"/>
      <c r="E997" s="14"/>
      <c r="F997" s="14"/>
      <c r="G997" s="14"/>
      <c r="H997" s="14"/>
      <c r="I997" s="14"/>
      <c r="J997" s="14"/>
      <c r="K997" s="14"/>
      <c r="L997" s="14"/>
    </row>
    <row r="998">
      <c r="A998" s="14"/>
      <c r="B998" s="14"/>
      <c r="C998" s="14"/>
      <c r="D998" s="14"/>
      <c r="E998" s="14"/>
      <c r="F998" s="14"/>
      <c r="G998" s="14"/>
      <c r="H998" s="14"/>
      <c r="I998" s="14"/>
      <c r="J998" s="14"/>
      <c r="K998" s="14"/>
      <c r="L998" s="14"/>
    </row>
    <row r="999">
      <c r="A999" s="14"/>
      <c r="B999" s="14"/>
      <c r="C999" s="14"/>
      <c r="D999" s="14"/>
      <c r="E999" s="14"/>
      <c r="F999" s="14"/>
      <c r="G999" s="14"/>
      <c r="H999" s="14"/>
      <c r="I999" s="14"/>
      <c r="J999" s="14"/>
      <c r="K999" s="14"/>
      <c r="L999" s="14"/>
    </row>
    <row r="1000">
      <c r="A1000" s="14"/>
      <c r="B1000" s="14"/>
      <c r="C1000" s="14"/>
      <c r="D1000" s="14"/>
      <c r="E1000" s="14"/>
      <c r="F1000" s="14"/>
      <c r="G1000" s="14"/>
      <c r="H1000" s="14"/>
      <c r="I1000" s="14"/>
      <c r="J1000" s="14"/>
      <c r="K1000" s="14"/>
      <c r="L1000" s="14"/>
    </row>
  </sheetData>
  <drawing r:id="rId1"/>
</worksheet>
</file>